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ro de Horas" sheetId="2" state="visible" r:id="rId2"/>
    <sheet xmlns:r="http://schemas.openxmlformats.org/officeDocument/2006/relationships" name="Calendario Visual" sheetId="3" state="visible" r:id="rId3"/>
    <sheet xmlns:r="http://schemas.openxmlformats.org/officeDocument/2006/relationships" name="Control Malcolm" sheetId="4" state="visible" r:id="rId4"/>
    <sheet xmlns:r="http://schemas.openxmlformats.org/officeDocument/2006/relationships" name="Control proMX" sheetId="5" state="visible" r:id="rId5"/>
    <sheet xmlns:r="http://schemas.openxmlformats.org/officeDocument/2006/relationships" name="Octubre 2026" sheetId="6" state="visible" r:id="rId6"/>
    <sheet xmlns:r="http://schemas.openxmlformats.org/officeDocument/2006/relationships" name="Noviembre 2026" sheetId="7" state="visible" r:id="rId7"/>
    <sheet xmlns:r="http://schemas.openxmlformats.org/officeDocument/2006/relationships" name="Diciembre 2026" sheetId="8" state="visible" r:id="rId8"/>
    <sheet xmlns:r="http://schemas.openxmlformats.org/officeDocument/2006/relationships" name="Resumen Trimestral" sheetId="9" state="visible" r:id="rId9"/>
    <sheet xmlns:r="http://schemas.openxmlformats.org/officeDocument/2006/relationships" name="Pagos" sheetId="10" state="visible" r:id="rId10"/>
    <sheet xmlns:r="http://schemas.openxmlformats.org/officeDocument/2006/relationships" name="Configuración" sheetId="11" state="visible" r:id="rId11"/>
    <sheet xmlns:r="http://schemas.openxmlformats.org/officeDocument/2006/relationships" name="Instrucciones" sheetId="12" state="visible" r:id="rId12"/>
  </sheets>
  <definedNames>
    <definedName name="CFG_WS">'Configuración'!$C$5</definedName>
    <definedName name="CFG_WE">'Configuración'!$C$6</definedName>
    <definedName name="CFG_DH">'Configuración'!$C$7</definedName>
    <definedName name="CFG_WH">'Configuración'!$C$8</definedName>
    <definedName name="CFG_BLK">'Configuración'!$C$9</definedName>
    <definedName name="CFG_RATE">'Configuración'!$C$10</definedName>
    <definedName name="CFG_OTRATE">'Configuración'!$C$11</definedName>
    <definedName name="CFG_MAXD">'Configuración'!$C$12</definedName>
    <definedName name="CFG_BRK">'Configuración'!$C$13</definedName>
    <definedName name="CFG_PSTART">'Configuración'!$C$14</definedName>
    <definedName name="CFG_PEND">'Configuración'!$C$15</definedName>
    <definedName name="CFG_CUT">'Configuración'!$C$16</definedName>
    <definedName name="CFG_WSM">'Configuración'!$D$5</definedName>
    <definedName name="CFG_WEM">'Configuración'!$D$6</definedName>
    <definedName name="CFG_TODAY">'Configuración'!$D$16</definedName>
    <definedName name="CFG_WDAYS">'Configuración'!$G$5:$G$11</definedName>
    <definedName name="FER_F">'Configuración'!$B$21:$B$60</definedName>
    <definedName name="FER_N">'Configuración'!$C$21:$C$60</definedName>
    <definedName name="FER_NLM">'Configuración'!$E$21:$E$60</definedName>
    <definedName name="FER_NLP">'Configuración'!$F$21:$F$60</definedName>
    <definedName name="FER_OBJ">'Configuración'!$G$21:$G$60</definedName>
    <definedName name="L_PROY">'Configuración'!$J$5:$J$34</definedName>
    <definedName name="L_EMP">'Configuración'!$L$38:$L$39</definedName>
    <definedName name="L_EST">'Configuración'!$M$38:$M$43</definedName>
    <definedName name="L_NA">'Configuración'!$N$38:$N$38</definedName>
    <definedName name="L_BRK">'Configuración'!$O$38:$O$40</definedName>
    <definedName name="L_SN">'Configuración'!$P$38:$P$39</definedName>
    <definedName name="L_TFER">'Configuración'!$W$38:$W$39</definedName>
    <definedName name="L_MES">'Configuración'!$Q$38:$Q$41</definedName>
    <definedName name="L_MES3">'Configuración'!$Q$39:$Q$41</definedName>
    <definedName name="L_MESD">'Configuración'!$R$38:$R$41</definedName>
    <definedName name="L_MESH">'Configuración'!$S$38:$S$41</definedName>
    <definedName name="L_SEM">'Configuración'!$U$38:$U$51</definedName>
    <definedName name="L_PFILT">'Configuración'!$V$38:$V$98</definedName>
    <definedName name="L_PER">'Configuración'!$X$38:$X$41</definedName>
    <definedName name="R_ID">'Registro de Horas'!$A$6:$A$5000</definedName>
    <definedName name="R_Fecha">'Registro de Horas'!$B$6:$B$5000</definedName>
    <definedName name="R_Dia">'Registro de Horas'!$C$6:$C$5000</definedName>
    <definedName name="R_Emp">'Registro de Horas'!$D$6:$D$5000</definedName>
    <definedName name="R_Proy">'Registro de Horas'!$E$6:$E$5000</definedName>
    <definedName name="R_Task">'Registro de Horas'!$F$6:$F$5000</definedName>
    <definedName name="R_Desc">'Registro de Horas'!$G$6:$G$5000</definedName>
    <definedName name="R_Ini">'Registro de Horas'!$H$6:$H$5000</definedName>
    <definedName name="R_Fin">'Registro de Horas'!$I$6:$I$5000</definedName>
    <definedName name="R_Brk">'Registro de Horas'!$J$6:$J$5000</definedName>
    <definedName name="R_Dur">'Registro de Horas'!$K$6:$K$5000</definedName>
    <definedName name="R_Nor">'Registro de Horas'!$L$6:$L$5000</definedName>
    <definedName name="R_Ext">'Registro de Horas'!$M$6:$M$5000</definedName>
    <definedName name="R_Blq">'Registro de Horas'!$N$6:$N$5000</definedName>
    <definedName name="R_Reg">'Registro de Horas'!$O$6:$O$5000</definedName>
    <definedName name="R_Val">'Registro de Horas'!$P$6:$P$5000</definedName>
    <definedName name="R_Tipo">'Registro de Horas'!$Q$6:$Q$5000</definedName>
    <definedName name="R_Est">'Registro de Horas'!$R$6:$R$5000</definedName>
    <definedName name="R_FEnv">'Registro de Horas'!$S$6:$S$5000</definedName>
    <definedName name="R_FApr">'Registro de Horas'!$T$6:$T$5000</definedName>
    <definedName name="R_Obs">'Registro de Horas'!$U$6:$U$5000</definedName>
    <definedName name="R_Age">'Registro de Horas'!$V$6:$V$5000</definedName>
    <definedName name="R_Alert">'Registro de Horas'!$W$6:$W$5000</definedName>
    <definedName name="R_Used">'Registro de Horas'!$Y$6:$Y$5000</definedName>
    <definedName name="R_sMin">'Registro de Horas'!$Z$6:$Z$5000</definedName>
    <definedName name="R_eMin">'Registro de Horas'!$AA$6:$AA$5000</definedName>
    <definedName name="R_TOK">'Registro de Horas'!$AB$6:$AB$5000</definedName>
    <definedName name="R_Cross">'Registro de Horas'!$AC$6:$AC$5000</definedName>
    <definedName name="R_Gross">'Registro de Horas'!$AD$6:$AD$5000</definedName>
    <definedName name="R_BrkRaw">'Registro de Horas'!$AE$6:$AE$5000</definedName>
    <definedName name="R_Beff">'Registro de Horas'!$AF$6:$AF$5000</definedName>
    <definedName name="R_Net">'Registro de Horas'!$AG$6:$AG$5000</definedName>
    <definedName name="R_WD0">'Registro de Horas'!$AH$6:$AH$5000</definedName>
    <definedName name="R_WD1">'Registro de Horas'!$AI$6:$AI$5000</definedName>
    <definedName name="R_G1">'Registro de Horas'!$AJ$6:$AJ$5000</definedName>
    <definedName name="R_N1">'Registro de Horas'!$AK$6:$AK$5000</definedName>
    <definedName name="R_N2">'Registro de Horas'!$AL$6:$AL$5000</definedName>
    <definedName name="R_NG">'Registro de Horas'!$AM$6:$AM$5000</definedName>
    <definedName name="R_BN">'Registro de Horas'!$AN$6:$AN$5000</definedName>
    <definedName name="R_BEx">'Registro de Horas'!$AO$6:$AO$5000</definedName>
    <definedName name="R_NormM">'Registro de Horas'!$AP$6:$AP$5000</definedName>
    <definedName name="R_ExtM">'Registro de Horas'!$AQ$6:$AQ$5000</definedName>
    <definedName name="R_NormD0">'Registro de Horas'!$AR$6:$AR$5000</definedName>
    <definedName name="R_ExtD0">'Registro de Horas'!$AS$6:$AS$5000</definedName>
    <definedName name="R_D1">'Registro de Horas'!$AT$6:$AT$5000</definedName>
    <definedName name="R_NC">'Registro de Horas'!$AU$6:$AU$5000</definedName>
    <definedName name="R_Dup">'Registro de Horas'!$AV$6:$AV$5000</definedName>
    <definedName name="R_SAbs">'Registro de Horas'!$AW$6:$AW$5000</definedName>
    <definedName name="R_EAbs">'Registro de Horas'!$AX$6:$AX$5000</definedName>
    <definedName name="R_OKey">'Registro de Horas'!$AY$6:$AY$5000</definedName>
    <definedName name="R_SameOv">'Registro de Horas'!$AZ$6:$AZ$5000</definedName>
    <definedName name="R_CrossOv">'Registro de Horas'!$BA$6:$BA$5000</definedName>
    <definedName name="R_BlkOK">'Registro de Horas'!$BB$6:$BB$5000</definedName>
    <definedName name="R_Err">'Registro de Horas'!$BC$6:$BC$5000</definedName>
    <definedName name="R_Valid">'Registro de Horas'!$BD$6:$BD$5000</definedName>
    <definedName name="R_Cnt">'Registro de Horas'!$BE$6:$BE$5000</definedName>
    <definedName name="R_St">'Registro de Horas'!$BF$6:$BF$5000</definedName>
    <definedName name="R_Hval">'Registro de Horas'!$BG$6:$BG$5000</definedName>
    <definedName name="R_Hcnt">'Registro de Horas'!$BH$6:$BH$5000</definedName>
    <definedName name="R_NorH">'Registro de Horas'!$BI$6:$BI$5000</definedName>
    <definedName name="R_ExtH">'Registro de Horas'!$BJ$6:$BJ$5000</definedName>
    <definedName name="R_HD0">'Registro de Horas'!$BK$6:$BK$5000</definedName>
    <definedName name="R_HD1">'Registro de Horas'!$BL$6:$BL$5000</definedName>
    <definedName name="R_ND0">'Registro de Horas'!$BM$6:$BM$5000</definedName>
    <definedName name="R_ND1">'Registro de Horas'!$BN$6:$BN$5000</definedName>
    <definedName name="R_XD0">'Registro de Horas'!$BO$6:$BO$5000</definedName>
    <definedName name="R_XD1">'Registro de Horas'!$BP$6:$BP$5000</definedName>
    <definedName name="R_SN">'Registro de Horas'!$BQ$6:$BQ$5000</definedName>
    <definedName name="R_EN">'Registro de Horas'!$BR$6:$BR$5000</definedName>
    <definedName name="R_XOvH">'Registro de Horas'!$BS$6:$BS$5000</definedName>
    <definedName name="R_USD">'Registro de Horas'!$BT$6:$BT$5000</definedName>
    <definedName name="R_BlkV">'Registro de Horas'!$BU$6:$BU$5000</definedName>
    <definedName name="R_ApD">'Registro de Horas'!$BV$6:$BV$5000</definedName>
    <definedName name="R_FMon">'Registro de Horas'!$BW$6:$BW$5000</definedName>
    <definedName name="R_FProj">'Registro de Horas'!$BX$6:$BX$5000</definedName>
    <definedName name="R_FAll">'Registro de Horas'!$BY$6:$BY$5000</definedName>
    <definedName name="R_Label">'Registro de Horas'!$BZ$6:$BZ$5000</definedName>
    <definedName name="R_PSeq">'Registro de Horas'!$CA$6:$CA$5000</definedName>
    <definedName name="R_PSeqM">'Registro de Horas'!$CB$6:$CB$5000</definedName>
    <definedName name="R_PSeqP">'Registro de Horas'!$CC$6:$CC$5000</definedName>
    <definedName name="R_TSeqM">'Registro de Horas'!$CD$6:$CD$5000</definedName>
    <definedName name="R_TSeqP">'Registro de Horas'!$CE$6:$CE$5000</definedName>
    <definedName name="R_PendSeq">'Registro de Horas'!$CF$6:$CF$5000</definedName>
    <definedName name="R_StCode">'Registro de Horas'!$CG$6:$CG$5000</definedName>
    <definedName name="R_Alr">'Registro de Horas'!$CH$6:$CH$5000</definedName>
    <definedName name="DB_MON">'Dashboard'!$C$4</definedName>
    <definedName name="DB_PROJ">'Dashboard'!$G$4</definedName>
    <definedName name="PAY_TOT_APP">'Pagos'!$E$14</definedName>
    <definedName name="PAY_AMT">'Pagos'!$C$20:$C$219</definedName>
    <definedName name="PAY_PER">'Pagos'!$D$20:$D$219</definedName>
    <definedName name="PAY_DATE">'Pagos'!$B$20:$B$219</definedName>
    <definedName name="CAL_MON">'Calendario Visual'!$C$3</definedName>
    <definedName name="DB_MS">'Dashboard'!$K$4</definedName>
    <definedName name="DB_ME">'Dashboard'!$L$4</definedName>
    <definedName name="_xlnm.Print_Area" localSheetId="0">'Dashboard'!$A$1:$Q$76</definedName>
    <definedName name="_xlnm.Print_Titles" localSheetId="1">'Registro de Horas'!$5:$5</definedName>
    <definedName name="_xlnm.Print_Area" localSheetId="2">'Calendario Visual'!$A$1:$H$75</definedName>
    <definedName name="_xlnm.Print_Area" localSheetId="8">'Resumen Trimestral'!$A$1:$H$45</definedName>
  </definedNames>
  <calcPr calcId="124519" fullCalcOnLoad="1"/>
</workbook>
</file>

<file path=xl/styles.xml><?xml version="1.0" encoding="utf-8"?>
<styleSheet xmlns="http://schemas.openxmlformats.org/spreadsheetml/2006/main">
  <numFmts count="17">
    <numFmt numFmtId="164" formatCode="hh:mm"/>
    <numFmt numFmtId="165" formatCode="&quot;US$ &quot;#,##0.00"/>
    <numFmt numFmtId="166" formatCode="yyyy-mm-dd"/>
    <numFmt numFmtId="167" formatCode="dd/mm/yyyy"/>
    <numFmt numFmtId="168" formatCode="0&quot; min&quot;"/>
    <numFmt numFmtId="169" formatCode="0.00&quot; h&quot;"/>
    <numFmt numFmtId="170" formatCode="0.0%"/>
    <numFmt numFmtId="171" formatCode="&quot;Lunes &quot;dd/mm/yyyy"/>
    <numFmt numFmtId="172" formatCode="&quot;→ Domingo &quot;dd/mm/yyyy"/>
    <numFmt numFmtId="173" formatCode="&quot;Desde &quot;dd/mm/yyyy"/>
    <numFmt numFmtId="174" formatCode="&quot;Grilla desde &quot;dd/mm"/>
    <numFmt numFmtId="175" formatCode="&quot;Hasta &quot;dd/mm/yyyy"/>
    <numFmt numFmtId="176" formatCode="dd&quot; &quot;mmm"/>
    <numFmt numFmtId="177" formatCode="&quot;Malcolm  &quot;0.00&quot; h&quot;;;&quot;&quot;"/>
    <numFmt numFmtId="178" formatCode="&quot;proMX     &quot;0.00&quot; h&quot;;;&quot;&quot;"/>
    <numFmt numFmtId="179" formatCode="dd/mm/yy"/>
    <numFmt numFmtId="180" formatCode="dd/mm"/>
  </numFmts>
  <fonts count="6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9D3E6"/>
      <sz val="10"/>
    </font>
    <font>
      <name val="Arial"/>
      <b val="1"/>
      <color rgb="00FFFFFF"/>
      <sz val="11"/>
    </font>
    <font>
      <name val="Arial"/>
      <b val="1"/>
      <color rgb="001B2333"/>
      <sz val="10"/>
    </font>
    <font>
      <name val="Arial"/>
      <color rgb="001F4FB0"/>
      <sz val="10"/>
    </font>
    <font>
      <name val="Arial"/>
      <i val="1"/>
      <color rgb="006B7280"/>
      <sz val="8"/>
    </font>
    <font>
      <name val="Arial"/>
      <b val="1"/>
      <color rgb="00FFFFFF"/>
      <sz val="9"/>
    </font>
    <font>
      <name val="Arial"/>
      <color rgb="006B7280"/>
      <sz val="10"/>
    </font>
    <font>
      <name val="Arial"/>
      <color rgb="001B2333"/>
      <sz val="10"/>
    </font>
    <font>
      <name val="Arial"/>
      <b val="1"/>
      <color rgb="00FFFFFF"/>
      <sz val="10"/>
    </font>
    <font>
      <name val="Arial"/>
      <i val="1"/>
      <color rgb="006B7280"/>
      <sz val="9"/>
    </font>
    <font>
      <name val="Arial"/>
      <b val="1"/>
      <color rgb="001B2333"/>
      <sz val="9"/>
    </font>
    <font>
      <name val="Arial"/>
      <color rgb="001F4FB0"/>
      <sz val="9"/>
    </font>
    <font>
      <name val="Arial"/>
      <color rgb="001B2333"/>
      <sz val="9"/>
    </font>
    <font>
      <name val="Arial"/>
      <b val="1"/>
      <color rgb="00D64545"/>
      <sz val="9"/>
    </font>
    <font>
      <name val="Arial"/>
      <b val="1"/>
      <color rgb="00D64545"/>
      <sz val="10"/>
    </font>
    <font>
      <name val="Arial"/>
      <b val="1"/>
      <color rgb="002F6FDE"/>
      <sz val="10"/>
    </font>
    <font>
      <name val="Arial"/>
      <b val="1"/>
      <color rgb="000B7A75"/>
      <sz val="10"/>
    </font>
    <font>
      <name val="Arial"/>
      <b val="1"/>
      <color rgb="006B7280"/>
      <sz val="8"/>
    </font>
    <font>
      <name val="Arial"/>
      <color rgb="006B7280"/>
      <sz val="8"/>
    </font>
    <font>
      <name val="Arial"/>
      <b val="1"/>
      <color rgb="0014213D"/>
      <sz val="10"/>
    </font>
    <font>
      <name val="Arial"/>
      <b val="1"/>
      <color rgb="006B7280"/>
      <sz val="9"/>
    </font>
    <font>
      <name val="Arial"/>
      <b val="1"/>
      <color rgb="002F6FDE"/>
      <sz val="16"/>
    </font>
    <font>
      <name val="Arial"/>
      <b val="1"/>
      <color rgb="000B7A75"/>
      <sz val="16"/>
    </font>
    <font>
      <name val="Arial"/>
      <b val="1"/>
      <color rgb="001F3A68"/>
      <sz val="16"/>
    </font>
    <font>
      <name val="Arial"/>
      <b val="1"/>
      <color rgb="00F28C28"/>
      <sz val="16"/>
    </font>
    <font>
      <name val="Arial"/>
      <b val="1"/>
      <color rgb="002E9E5B"/>
      <sz val="16"/>
    </font>
    <font>
      <name val="Arial"/>
      <b val="1"/>
      <color rgb="0014213D"/>
      <sz val="16"/>
    </font>
    <font>
      <name val="Arial"/>
      <color rgb="00F28C28"/>
      <sz val="10"/>
    </font>
    <font>
      <name val="Arial"/>
      <b val="1"/>
      <color rgb="00F28C28"/>
      <sz val="10"/>
    </font>
    <font>
      <name val="Arial"/>
      <color rgb="0017A2B8"/>
      <sz val="10"/>
    </font>
    <font>
      <name val="Arial"/>
      <b val="1"/>
      <color rgb="0017A2B8"/>
      <sz val="10"/>
    </font>
    <font>
      <name val="Arial"/>
      <color rgb="007B4FD6"/>
      <sz val="10"/>
    </font>
    <font>
      <name val="Arial"/>
      <b val="1"/>
      <color rgb="007B4FD6"/>
      <sz val="10"/>
    </font>
    <font>
      <name val="Arial"/>
      <color rgb="002E9E5B"/>
      <sz val="10"/>
    </font>
    <font>
      <name val="Arial"/>
      <b val="1"/>
      <color rgb="002E9E5B"/>
      <sz val="10"/>
    </font>
    <font>
      <name val="Arial"/>
      <color rgb="00D64545"/>
      <sz val="10"/>
    </font>
    <font>
      <name val="Arial"/>
      <color rgb="00B8860B"/>
      <sz val="10"/>
    </font>
    <font>
      <name val="Arial"/>
      <b val="1"/>
      <color rgb="00B8860B"/>
      <sz val="10"/>
    </font>
    <font>
      <name val="Arial"/>
      <color rgb="008A8F98"/>
      <sz val="10"/>
    </font>
    <font>
      <name val="Arial"/>
      <b val="1"/>
      <color rgb="008A8F98"/>
      <sz val="10"/>
    </font>
    <font>
      <name val="Arial"/>
      <b val="1"/>
      <color rgb="002F6FDE"/>
      <sz val="18"/>
    </font>
    <font>
      <name val="Arial"/>
      <b val="1"/>
      <color rgb="001F3A68"/>
      <sz val="18"/>
    </font>
    <font>
      <name val="Arial"/>
      <b val="1"/>
      <color rgb="00F28C28"/>
      <sz val="18"/>
    </font>
    <font>
      <name val="Arial"/>
      <b val="1"/>
      <color rgb="0014213D"/>
      <sz val="18"/>
    </font>
    <font>
      <name val="Arial"/>
      <b val="1"/>
      <color rgb="00D64545"/>
      <sz val="18"/>
    </font>
    <font>
      <name val="Arial"/>
      <b val="1"/>
      <color rgb="000B7A75"/>
      <sz val="18"/>
    </font>
    <font>
      <name val="Arial"/>
      <b val="1"/>
      <color rgb="0017A2B8"/>
      <sz val="18"/>
    </font>
    <font>
      <name val="Arial"/>
      <b val="1"/>
      <color rgb="007B4FD6"/>
      <sz val="18"/>
    </font>
    <font>
      <name val="Arial"/>
      <b val="1"/>
      <color rgb="002E9E5B"/>
      <sz val="18"/>
    </font>
    <font>
      <name val="Arial"/>
      <color rgb="002F6FDE"/>
      <sz val="9"/>
    </font>
    <font>
      <name val="Arial"/>
      <color rgb="000B7A75"/>
      <sz val="9"/>
    </font>
    <font>
      <name val="Arial"/>
      <b val="1"/>
      <color rgb="00FFFFFF"/>
      <sz val="8"/>
    </font>
    <font>
      <name val="Arial"/>
      <color rgb="006B7280"/>
      <sz val="9"/>
    </font>
    <font>
      <name val="Arial"/>
      <b val="1"/>
      <color rgb="009A4A00"/>
      <sz val="8"/>
    </font>
    <font>
      <name val="Arial"/>
      <b val="1"/>
      <color rgb="002F6FDE"/>
      <sz val="9"/>
    </font>
    <font>
      <name val="Arial"/>
      <b val="1"/>
      <color rgb="000B7A75"/>
      <sz val="9"/>
    </font>
    <font>
      <name val="Arial"/>
      <b val="1"/>
      <color rgb="001F4FB0"/>
      <sz val="10"/>
    </font>
    <font>
      <name val="Arial"/>
      <b val="1"/>
      <color rgb="0014213D"/>
      <sz val="9"/>
    </font>
    <font>
      <name val="Arial"/>
      <b val="1"/>
      <color rgb="0014213D"/>
      <sz val="20"/>
    </font>
    <font>
      <name val="Arial"/>
      <b val="1"/>
      <color rgb="002F6FDE"/>
      <sz val="20"/>
    </font>
    <font>
      <name val="Arial"/>
      <b val="1"/>
      <color rgb="000B7A75"/>
      <sz val="20"/>
    </font>
    <font>
      <name val="Arial"/>
      <b val="1"/>
      <color rgb="001F3A68"/>
      <sz val="20"/>
    </font>
    <font>
      <name val="Arial"/>
      <b val="1"/>
      <color rgb="00F28C28"/>
      <sz val="20"/>
    </font>
    <font>
      <name val="Arial"/>
      <b val="1"/>
      <color rgb="0017A2B8"/>
      <sz val="20"/>
    </font>
    <font>
      <name val="Arial"/>
      <b val="1"/>
      <color rgb="007B4FD6"/>
      <sz val="20"/>
    </font>
    <font>
      <name val="Arial"/>
      <b val="1"/>
      <color rgb="002E9E5B"/>
      <sz val="20"/>
    </font>
    <font>
      <name val="Arial"/>
      <b val="1"/>
      <color rgb="00D64545"/>
      <sz val="20"/>
    </font>
  </fonts>
  <fills count="26">
    <fill>
      <patternFill/>
    </fill>
    <fill>
      <patternFill patternType="gray125"/>
    </fill>
    <fill>
      <patternFill patternType="solid">
        <fgColor rgb="0014213D"/>
        <bgColor rgb="0014213D"/>
      </patternFill>
    </fill>
    <fill>
      <patternFill patternType="solid">
        <fgColor rgb="001F3A68"/>
        <bgColor rgb="001F3A68"/>
      </patternFill>
    </fill>
    <fill>
      <patternFill patternType="solid">
        <fgColor rgb="00FFFBEA"/>
        <bgColor rgb="00FFFBEA"/>
      </patternFill>
    </fill>
    <fill>
      <patternFill patternType="solid">
        <fgColor rgb="008A8F98"/>
        <bgColor rgb="008A8F98"/>
      </patternFill>
    </fill>
    <fill>
      <patternFill patternType="solid">
        <fgColor rgb="00F4F6FA"/>
        <bgColor rgb="00F4F6FA"/>
      </patternFill>
    </fill>
    <fill>
      <patternFill patternType="solid">
        <fgColor rgb="00E9EDF4"/>
        <bgColor rgb="00E9EDF4"/>
      </patternFill>
    </fill>
    <fill>
      <patternFill patternType="solid">
        <fgColor rgb="00FFFFFF"/>
        <bgColor rgb="00FFFFFF"/>
      </patternFill>
    </fill>
    <fill>
      <patternFill patternType="solid">
        <fgColor rgb="002F6FDE"/>
        <bgColor rgb="002F6FDE"/>
      </patternFill>
    </fill>
    <fill>
      <patternFill patternType="solid">
        <fgColor rgb="000B7A75"/>
        <bgColor rgb="000B7A75"/>
      </patternFill>
    </fill>
    <fill>
      <patternFill patternType="solid">
        <fgColor rgb="00D4F3F7"/>
        <bgColor rgb="00D4F3F7"/>
      </patternFill>
    </fill>
    <fill>
      <patternFill patternType="solid">
        <fgColor rgb="00E8DFFB"/>
        <bgColor rgb="00E8DFFB"/>
      </patternFill>
    </fill>
    <fill>
      <patternFill patternType="solid">
        <fgColor rgb="00D9F2E3"/>
        <bgColor rgb="00D9F2E3"/>
      </patternFill>
    </fill>
    <fill>
      <patternFill patternType="solid">
        <fgColor rgb="00FADBDB"/>
        <bgColor rgb="00FADBDB"/>
      </patternFill>
    </fill>
    <fill>
      <patternFill patternType="solid">
        <fgColor rgb="00F7ECCB"/>
        <bgColor rgb="00F7ECCB"/>
      </patternFill>
    </fill>
    <fill>
      <patternFill patternType="solid">
        <fgColor rgb="00ECEDEF"/>
        <bgColor rgb="00ECEDEF"/>
      </patternFill>
    </fill>
    <fill>
      <patternFill patternType="solid">
        <fgColor rgb="0017A2B8"/>
        <bgColor rgb="0017A2B8"/>
      </patternFill>
    </fill>
    <fill>
      <patternFill patternType="solid">
        <fgColor rgb="007B4FD6"/>
        <bgColor rgb="007B4FD6"/>
      </patternFill>
    </fill>
    <fill>
      <patternFill patternType="solid">
        <fgColor rgb="002E9E5B"/>
        <bgColor rgb="002E9E5B"/>
      </patternFill>
    </fill>
    <fill>
      <patternFill patternType="solid">
        <fgColor rgb="00D64545"/>
        <bgColor rgb="00D64545"/>
      </patternFill>
    </fill>
    <fill>
      <patternFill patternType="solid">
        <fgColor rgb="00B8860B"/>
        <bgColor rgb="00B8860B"/>
      </patternFill>
    </fill>
    <fill>
      <patternFill patternType="solid">
        <fgColor rgb="00F28C28"/>
        <bgColor rgb="00F28C28"/>
      </patternFill>
    </fill>
    <fill>
      <patternFill patternType="solid">
        <fgColor rgb="00DCE8FB"/>
        <bgColor rgb="00DCE8FB"/>
      </patternFill>
    </fill>
    <fill>
      <patternFill patternType="solid">
        <fgColor rgb="00D5F0EE"/>
        <bgColor rgb="00D5F0EE"/>
      </patternFill>
    </fill>
    <fill>
      <patternFill patternType="solid">
        <fgColor rgb="00F7F9FC"/>
        <bgColor rgb="00F7F9FC"/>
      </patternFill>
    </fill>
  </fills>
  <borders count="97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  <border>
      <left style="thin">
        <color rgb="00D5DBE5"/>
      </left>
      <right style="thin">
        <color rgb="00D5DBE5"/>
      </right>
      <top style="medium">
        <color rgb="002F6FDE"/>
      </top>
    </border>
    <border>
      <left style="thin">
        <color rgb="00D5DBE5"/>
      </left>
      <right style="thin">
        <color rgb="00D5DBE5"/>
      </right>
      <bottom style="thin">
        <color rgb="00D5DBE5"/>
      </bottom>
    </border>
    <border>
      <left style="thin">
        <color rgb="00D5DBE5"/>
      </left>
      <right style="thin">
        <color rgb="00D5DBE5"/>
      </right>
      <top style="medium">
        <color rgb="000B7A75"/>
      </top>
    </border>
    <border>
      <left style="thin">
        <color rgb="00D5DBE5"/>
      </left>
      <right style="thin">
        <color rgb="00D5DBE5"/>
      </right>
      <top style="medium">
        <color rgb="001F3A68"/>
      </top>
    </border>
    <border>
      <left style="thin">
        <color rgb="00D5DBE5"/>
      </left>
      <right style="thin">
        <color rgb="00D5DBE5"/>
      </right>
      <top style="medium">
        <color rgb="00F28C28"/>
      </top>
    </border>
    <border>
      <left style="thin">
        <color rgb="00D5DBE5"/>
      </left>
      <right style="thin">
        <color rgb="00D5DBE5"/>
      </right>
      <top style="medium">
        <color rgb="002E9E5B"/>
      </top>
    </border>
    <border>
      <left style="thin">
        <color rgb="00D5DBE5"/>
      </left>
      <right style="thin">
        <color rgb="00D5DBE5"/>
      </right>
      <top style="medium">
        <color rgb="0014213D"/>
      </top>
    </border>
    <border>
      <top style="thick">
        <color rgb="002F6FDE"/>
      </top>
    </border>
    <border>
      <top style="thick">
        <color rgb="001F3A68"/>
      </top>
    </border>
    <border>
      <top style="thick">
        <color rgb="00F28C28"/>
      </top>
    </border>
    <border>
      <top style="thick">
        <color rgb="0014213D"/>
      </top>
    </border>
    <border>
      <top style="thick">
        <color rgb="00D64545"/>
      </top>
    </border>
    <border>
      <left/>
      <right/>
      <top style="thin">
        <color rgb="00D5DBE5"/>
      </top>
      <bottom/>
      <diagonal/>
    </border>
    <border>
      <left/>
      <right style="thin">
        <color rgb="00D5DBE5"/>
      </right>
      <top style="thin">
        <color rgb="00D5DBE5"/>
      </top>
      <bottom/>
      <diagonal/>
    </border>
    <border>
      <left/>
      <right/>
      <top style="thin">
        <color rgb="00D5DBE5"/>
      </top>
      <bottom style="thin">
        <color rgb="00D5DBE5"/>
      </bottom>
      <diagonal/>
    </border>
    <border>
      <left/>
      <right style="thin">
        <color rgb="00D5DBE5"/>
      </right>
      <top style="thin">
        <color rgb="00D5DBE5"/>
      </top>
      <bottom style="thin">
        <color rgb="00D5DBE5"/>
      </bottom>
      <diagonal/>
    </border>
    <border>
      <top style="thick">
        <color rgb="000B7A75"/>
      </top>
    </border>
    <border>
      <top style="thick">
        <color rgb="0017A2B8"/>
      </top>
    </border>
    <border>
      <top style="thick">
        <color rgb="007B4FD6"/>
      </top>
    </border>
    <border>
      <top style="thick">
        <color rgb="002E9E5B"/>
      </top>
    </border>
    <border>
      <left style="thin">
        <color rgb="00D5DBE5"/>
      </left>
      <right style="thin">
        <color rgb="00D5DBE5"/>
      </right>
      <top style="hair">
        <color rgb="00D5DBE5"/>
      </top>
      <bottom style="hair">
        <color rgb="00D5DBE5"/>
      </bottom>
    </border>
    <border>
      <left style="thin">
        <color rgb="00D5DBE5"/>
      </left>
      <right style="thin">
        <color rgb="00D5DBE5"/>
      </right>
      <top style="thin">
        <color rgb="00D5DBE5"/>
      </top>
    </border>
    <border>
      <left style="thin">
        <color rgb="00D5DBE5"/>
      </left>
      <right style="thin">
        <color rgb="00D5DBE5"/>
      </right>
    </border>
    <border>
      <left style="thick">
        <color rgb="0014213D"/>
      </left>
      <top style="thin">
        <color rgb="00D5DBE5"/>
      </top>
    </border>
    <border>
      <top style="thin">
        <color rgb="00D5DBE5"/>
      </top>
    </border>
    <border>
      <right style="thin">
        <color rgb="00D5DBE5"/>
      </right>
      <top style="thin">
        <color rgb="00D5DBE5"/>
      </top>
    </border>
    <border>
      <left style="thick">
        <color rgb="0014213D"/>
      </left>
    </border>
    <border/>
    <border>
      <right style="thin">
        <color rgb="00D5DBE5"/>
      </right>
    </border>
    <border>
      <left style="thick">
        <color rgb="0014213D"/>
      </left>
      <bottom style="thin">
        <color rgb="00D5DBE5"/>
      </bottom>
    </border>
    <border>
      <bottom style="thin">
        <color rgb="00D5DBE5"/>
      </bottom>
    </border>
    <border>
      <right style="thin">
        <color rgb="00D5DBE5"/>
      </right>
      <bottom style="thin">
        <color rgb="00D5DBE5"/>
      </bottom>
    </border>
    <border>
      <left style="thick">
        <color rgb="0014213D"/>
      </left>
      <right style="thin">
        <color rgb="00D5DBE5"/>
      </right>
      <top style="thin">
        <color rgb="00D5DBE5"/>
      </top>
    </border>
    <border>
      <left style="thick">
        <color rgb="0014213D"/>
      </left>
      <right style="thin">
        <color rgb="00D5DBE5"/>
      </right>
    </border>
    <border>
      <left style="thick">
        <color rgb="0014213D"/>
      </left>
      <right/>
      <top/>
      <bottom/>
      <diagonal/>
    </border>
    <border>
      <left/>
      <right style="thin">
        <color rgb="00D5DBE5"/>
      </right>
      <top/>
      <bottom/>
      <diagonal/>
    </border>
    <border>
      <left style="thick">
        <color rgb="0014213D"/>
      </left>
      <right style="thin">
        <color rgb="00D5DBE5"/>
      </right>
      <bottom style="thin">
        <color rgb="00D5DBE5"/>
      </bottom>
    </border>
    <border>
      <left/>
      <right/>
      <top/>
      <bottom style="thin">
        <color rgb="00D5DBE5"/>
      </bottom>
      <diagonal/>
    </border>
    <border>
      <left/>
      <right style="thin">
        <color rgb="00D5DBE5"/>
      </right>
      <top/>
      <bottom style="thin">
        <color rgb="00D5DBE5"/>
      </bottom>
      <diagonal/>
    </border>
    <border>
      <left style="thick">
        <color rgb="002F6FDE"/>
      </left>
      <top style="thin">
        <color rgb="00D5DBE5"/>
      </top>
    </border>
    <border>
      <left style="thick">
        <color rgb="002F6FDE"/>
      </left>
    </border>
    <border>
      <left style="thick">
        <color rgb="002F6FDE"/>
      </left>
      <bottom style="thin">
        <color rgb="00D5DBE5"/>
      </bottom>
    </border>
    <border>
      <left style="thick">
        <color rgb="002F6FDE"/>
      </left>
      <right style="thin">
        <color rgb="00D5DBE5"/>
      </right>
      <top style="thin">
        <color rgb="00D5DBE5"/>
      </top>
    </border>
    <border>
      <left style="thick">
        <color rgb="002F6FDE"/>
      </left>
      <right style="thin">
        <color rgb="00D5DBE5"/>
      </right>
    </border>
    <border>
      <left style="thick">
        <color rgb="002F6FDE"/>
      </left>
      <right/>
      <top/>
      <bottom/>
      <diagonal/>
    </border>
    <border>
      <left style="thick">
        <color rgb="002F6FDE"/>
      </left>
      <right style="thin">
        <color rgb="00D5DBE5"/>
      </right>
      <bottom style="thin">
        <color rgb="00D5DBE5"/>
      </bottom>
    </border>
    <border>
      <left style="thick">
        <color rgb="000B7A75"/>
      </left>
      <top style="thin">
        <color rgb="00D5DBE5"/>
      </top>
    </border>
    <border>
      <left style="thick">
        <color rgb="000B7A75"/>
      </left>
    </border>
    <border>
      <left style="thick">
        <color rgb="000B7A75"/>
      </left>
      <bottom style="thin">
        <color rgb="00D5DBE5"/>
      </bottom>
    </border>
    <border>
      <left style="thick">
        <color rgb="000B7A75"/>
      </left>
      <right style="thin">
        <color rgb="00D5DBE5"/>
      </right>
      <top style="thin">
        <color rgb="00D5DBE5"/>
      </top>
    </border>
    <border>
      <left style="thick">
        <color rgb="000B7A75"/>
      </left>
      <right style="thin">
        <color rgb="00D5DBE5"/>
      </right>
    </border>
    <border>
      <left style="thick">
        <color rgb="000B7A75"/>
      </left>
      <right/>
      <top/>
      <bottom/>
      <diagonal/>
    </border>
    <border>
      <left style="thick">
        <color rgb="000B7A75"/>
      </left>
      <right style="thin">
        <color rgb="00D5DBE5"/>
      </right>
      <bottom style="thin">
        <color rgb="00D5DBE5"/>
      </bottom>
    </border>
    <border>
      <left style="thick">
        <color rgb="001F3A68"/>
      </left>
      <top style="thin">
        <color rgb="00D5DBE5"/>
      </top>
    </border>
    <border>
      <left style="thick">
        <color rgb="001F3A68"/>
      </left>
    </border>
    <border>
      <left style="thick">
        <color rgb="001F3A68"/>
      </left>
      <bottom style="thin">
        <color rgb="00D5DBE5"/>
      </bottom>
    </border>
    <border>
      <left style="thick">
        <color rgb="001F3A68"/>
      </left>
      <right style="thin">
        <color rgb="00D5DBE5"/>
      </right>
      <top style="thin">
        <color rgb="00D5DBE5"/>
      </top>
    </border>
    <border>
      <left style="thick">
        <color rgb="001F3A68"/>
      </left>
      <right style="thin">
        <color rgb="00D5DBE5"/>
      </right>
    </border>
    <border>
      <left style="thick">
        <color rgb="001F3A68"/>
      </left>
      <right/>
      <top/>
      <bottom/>
      <diagonal/>
    </border>
    <border>
      <left style="thick">
        <color rgb="001F3A68"/>
      </left>
      <right style="thin">
        <color rgb="00D5DBE5"/>
      </right>
      <bottom style="thin">
        <color rgb="00D5DBE5"/>
      </bottom>
    </border>
    <border>
      <left style="thick">
        <color rgb="00F28C28"/>
      </left>
      <top style="thin">
        <color rgb="00D5DBE5"/>
      </top>
    </border>
    <border>
      <left style="thick">
        <color rgb="00F28C28"/>
      </left>
    </border>
    <border>
      <left style="thick">
        <color rgb="00F28C28"/>
      </left>
      <bottom style="thin">
        <color rgb="00D5DBE5"/>
      </bottom>
    </border>
    <border>
      <left style="thick">
        <color rgb="00F28C28"/>
      </left>
      <right style="thin">
        <color rgb="00D5DBE5"/>
      </right>
      <top style="thin">
        <color rgb="00D5DBE5"/>
      </top>
    </border>
    <border>
      <left style="thick">
        <color rgb="00F28C28"/>
      </left>
      <right style="thin">
        <color rgb="00D5DBE5"/>
      </right>
    </border>
    <border>
      <left style="thick">
        <color rgb="00F28C28"/>
      </left>
      <right/>
      <top/>
      <bottom/>
      <diagonal/>
    </border>
    <border>
      <left style="thick">
        <color rgb="00F28C28"/>
      </left>
      <right style="thin">
        <color rgb="00D5DBE5"/>
      </right>
      <bottom style="thin">
        <color rgb="00D5DBE5"/>
      </bottom>
    </border>
    <border>
      <left style="thick">
        <color rgb="0017A2B8"/>
      </left>
      <top style="thin">
        <color rgb="00D5DBE5"/>
      </top>
    </border>
    <border>
      <left style="thick">
        <color rgb="0017A2B8"/>
      </left>
    </border>
    <border>
      <left style="thick">
        <color rgb="0017A2B8"/>
      </left>
      <bottom style="thin">
        <color rgb="00D5DBE5"/>
      </bottom>
    </border>
    <border>
      <left style="thick">
        <color rgb="0017A2B8"/>
      </left>
      <right style="thin">
        <color rgb="00D5DBE5"/>
      </right>
      <top style="thin">
        <color rgb="00D5DBE5"/>
      </top>
    </border>
    <border>
      <left style="thick">
        <color rgb="0017A2B8"/>
      </left>
      <right style="thin">
        <color rgb="00D5DBE5"/>
      </right>
    </border>
    <border>
      <left style="thick">
        <color rgb="0017A2B8"/>
      </left>
      <right/>
      <top/>
      <bottom/>
      <diagonal/>
    </border>
    <border>
      <left style="thick">
        <color rgb="0017A2B8"/>
      </left>
      <right style="thin">
        <color rgb="00D5DBE5"/>
      </right>
      <bottom style="thin">
        <color rgb="00D5DBE5"/>
      </bottom>
    </border>
    <border>
      <left style="thick">
        <color rgb="007B4FD6"/>
      </left>
      <top style="thin">
        <color rgb="00D5DBE5"/>
      </top>
    </border>
    <border>
      <left style="thick">
        <color rgb="007B4FD6"/>
      </left>
    </border>
    <border>
      <left style="thick">
        <color rgb="007B4FD6"/>
      </left>
      <bottom style="thin">
        <color rgb="00D5DBE5"/>
      </bottom>
    </border>
    <border>
      <left style="thick">
        <color rgb="007B4FD6"/>
      </left>
      <right style="thin">
        <color rgb="00D5DBE5"/>
      </right>
      <top style="thin">
        <color rgb="00D5DBE5"/>
      </top>
    </border>
    <border>
      <left style="thick">
        <color rgb="007B4FD6"/>
      </left>
      <right style="thin">
        <color rgb="00D5DBE5"/>
      </right>
    </border>
    <border>
      <left style="thick">
        <color rgb="007B4FD6"/>
      </left>
      <right/>
      <top/>
      <bottom/>
      <diagonal/>
    </border>
    <border>
      <left style="thick">
        <color rgb="007B4FD6"/>
      </left>
      <right style="thin">
        <color rgb="00D5DBE5"/>
      </right>
      <bottom style="thin">
        <color rgb="00D5DBE5"/>
      </bottom>
    </border>
    <border>
      <left style="thick">
        <color rgb="002E9E5B"/>
      </left>
      <top style="thin">
        <color rgb="00D5DBE5"/>
      </top>
    </border>
    <border>
      <left style="thick">
        <color rgb="002E9E5B"/>
      </left>
    </border>
    <border>
      <left style="thick">
        <color rgb="002E9E5B"/>
      </left>
      <bottom style="thin">
        <color rgb="00D5DBE5"/>
      </bottom>
    </border>
    <border>
      <left style="thick">
        <color rgb="002E9E5B"/>
      </left>
      <right style="thin">
        <color rgb="00D5DBE5"/>
      </right>
      <top style="thin">
        <color rgb="00D5DBE5"/>
      </top>
    </border>
    <border>
      <left style="thick">
        <color rgb="002E9E5B"/>
      </left>
      <right style="thin">
        <color rgb="00D5DBE5"/>
      </right>
    </border>
    <border>
      <left style="thick">
        <color rgb="002E9E5B"/>
      </left>
      <right/>
      <top/>
      <bottom/>
      <diagonal/>
    </border>
    <border>
      <left style="thick">
        <color rgb="002E9E5B"/>
      </left>
      <right style="thin">
        <color rgb="00D5DBE5"/>
      </right>
      <bottom style="thin">
        <color rgb="00D5DBE5"/>
      </bottom>
    </border>
    <border>
      <left style="thick">
        <color rgb="00D64545"/>
      </left>
      <top style="thin">
        <color rgb="00D5DBE5"/>
      </top>
    </border>
    <border>
      <left style="thick">
        <color rgb="00D64545"/>
      </left>
    </border>
    <border>
      <left style="thick">
        <color rgb="00D64545"/>
      </left>
      <bottom style="thin">
        <color rgb="00D5DBE5"/>
      </bottom>
    </border>
    <border>
      <left style="thick">
        <color rgb="00D64545"/>
      </left>
      <right style="thin">
        <color rgb="00D5DBE5"/>
      </right>
      <top style="thin">
        <color rgb="00D5DBE5"/>
      </top>
    </border>
    <border>
      <left style="thick">
        <color rgb="00D64545"/>
      </left>
      <right style="thin">
        <color rgb="00D5DBE5"/>
      </right>
    </border>
    <border>
      <left style="thick">
        <color rgb="00D64545"/>
      </left>
      <right/>
      <top/>
      <bottom/>
      <diagonal/>
    </border>
    <border>
      <left style="thick">
        <color rgb="00D64545"/>
      </left>
      <right style="thin">
        <color rgb="00D5DBE5"/>
      </right>
      <bottom style="thin">
        <color rgb="00D5DBE5"/>
      </bottom>
    </border>
  </borders>
  <cellStyleXfs count="1">
    <xf numFmtId="0" fontId="0" fillId="0" borderId="0"/>
  </cellStyleXfs>
  <cellXfs count="24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top"/>
    </xf>
    <xf numFmtId="0" fontId="0" fillId="6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21" fillId="6" borderId="0" applyAlignment="1" pivotButton="0" quotePrefix="0" xfId="0">
      <alignment horizontal="left" vertical="center"/>
    </xf>
    <xf numFmtId="0" fontId="58" fillId="4" borderId="1" applyAlignment="1" applyProtection="1" pivotButton="0" quotePrefix="0" xfId="0">
      <alignment horizontal="center" vertical="center" wrapText="1"/>
      <protection locked="0" hidden="0"/>
    </xf>
    <xf numFmtId="0" fontId="54" fillId="6" borderId="0" pivotButton="0" quotePrefix="0" xfId="0"/>
    <xf numFmtId="179" fontId="59" fillId="6" borderId="0" applyAlignment="1" pivotButton="0" quotePrefix="0" xfId="0">
      <alignment horizontal="center" vertical="center" wrapText="1"/>
    </xf>
    <xf numFmtId="0" fontId="30" fillId="6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2" fontId="9" fillId="0" borderId="1" applyAlignment="1" pivotButton="0" quotePrefix="0" xfId="0">
      <alignment horizontal="center" vertical="center" wrapText="1"/>
    </xf>
    <xf numFmtId="180" fontId="9" fillId="0" borderId="1" applyAlignment="1" pivotButton="0" quotePrefix="0" xfId="0">
      <alignment horizontal="center" vertical="center" wrapText="1"/>
    </xf>
    <xf numFmtId="0" fontId="19" fillId="8" borderId="34" applyAlignment="1" pivotButton="0" quotePrefix="0" xfId="0">
      <alignment horizontal="left" vertical="bottom" indent="1"/>
    </xf>
    <xf numFmtId="0" fontId="0" fillId="0" borderId="14" pivotButton="0" quotePrefix="0" xfId="0"/>
    <xf numFmtId="0" fontId="0" fillId="0" borderId="15" pivotButton="0" quotePrefix="0" xfId="0"/>
    <xf numFmtId="0" fontId="19" fillId="8" borderId="44" applyAlignment="1" pivotButton="0" quotePrefix="0" xfId="0">
      <alignment horizontal="left" vertical="bottom" indent="1"/>
    </xf>
    <xf numFmtId="0" fontId="19" fillId="8" borderId="51" applyAlignment="1" pivotButton="0" quotePrefix="0" xfId="0">
      <alignment horizontal="left" vertical="bottom" indent="1"/>
    </xf>
    <xf numFmtId="0" fontId="19" fillId="8" borderId="58" applyAlignment="1" pivotButton="0" quotePrefix="0" xfId="0">
      <alignment horizontal="left" vertical="bottom" indent="1"/>
    </xf>
    <xf numFmtId="169" fontId="60" fillId="8" borderId="35" applyAlignment="1" pivotButton="0" quotePrefix="0" xfId="0">
      <alignment horizontal="left" vertical="center" indent="1"/>
    </xf>
    <xf numFmtId="0" fontId="0" fillId="0" borderId="37" pivotButton="0" quotePrefix="0" xfId="0"/>
    <xf numFmtId="169" fontId="61" fillId="8" borderId="45" applyAlignment="1" pivotButton="0" quotePrefix="0" xfId="0">
      <alignment horizontal="left" vertical="center" indent="1"/>
    </xf>
    <xf numFmtId="169" fontId="62" fillId="8" borderId="52" applyAlignment="1" pivotButton="0" quotePrefix="0" xfId="0">
      <alignment horizontal="left" vertical="center" indent="1"/>
    </xf>
    <xf numFmtId="169" fontId="63" fillId="8" borderId="59" applyAlignment="1" pivotButton="0" quotePrefix="0" xfId="0">
      <alignment horizontal="left" vertical="center" indent="1"/>
    </xf>
    <xf numFmtId="0" fontId="0" fillId="0" borderId="36" pivotButton="0" quotePrefix="0" xfId="0"/>
    <xf numFmtId="0" fontId="0" fillId="0" borderId="46" pivotButton="0" quotePrefix="0" xfId="0"/>
    <xf numFmtId="0" fontId="0" fillId="0" borderId="53" pivotButton="0" quotePrefix="0" xfId="0"/>
    <xf numFmtId="0" fontId="0" fillId="0" borderId="60" pivotButton="0" quotePrefix="0" xfId="0"/>
    <xf numFmtId="0" fontId="6" fillId="8" borderId="38" applyAlignment="1" pivotButton="0" quotePrefix="0" xfId="0">
      <alignment horizontal="left" vertical="top" indent="1"/>
    </xf>
    <xf numFmtId="0" fontId="0" fillId="0" borderId="39" pivotButton="0" quotePrefix="0" xfId="0"/>
    <xf numFmtId="0" fontId="0" fillId="0" borderId="40" pivotButton="0" quotePrefix="0" xfId="0"/>
    <xf numFmtId="0" fontId="6" fillId="8" borderId="47" applyAlignment="1" pivotButton="0" quotePrefix="0" xfId="0">
      <alignment horizontal="left" vertical="top" indent="1"/>
    </xf>
    <xf numFmtId="0" fontId="6" fillId="8" borderId="54" applyAlignment="1" pivotButton="0" quotePrefix="0" xfId="0">
      <alignment horizontal="left" vertical="top" indent="1"/>
    </xf>
    <xf numFmtId="0" fontId="6" fillId="8" borderId="61" applyAlignment="1" pivotButton="0" quotePrefix="0" xfId="0">
      <alignment horizontal="left" vertical="top" indent="1"/>
    </xf>
    <xf numFmtId="0" fontId="19" fillId="8" borderId="65" applyAlignment="1" pivotButton="0" quotePrefix="0" xfId="0">
      <alignment horizontal="left" vertical="bottom" indent="1"/>
    </xf>
    <xf numFmtId="0" fontId="19" fillId="8" borderId="72" applyAlignment="1" pivotButton="0" quotePrefix="0" xfId="0">
      <alignment horizontal="left" vertical="bottom" indent="1"/>
    </xf>
    <xf numFmtId="169" fontId="64" fillId="8" borderId="66" applyAlignment="1" pivotButton="0" quotePrefix="0" xfId="0">
      <alignment horizontal="left" vertical="center" indent="1"/>
    </xf>
    <xf numFmtId="169" fontId="65" fillId="8" borderId="73" applyAlignment="1" pivotButton="0" quotePrefix="0" xfId="0">
      <alignment horizontal="left" vertical="center" indent="1"/>
    </xf>
    <xf numFmtId="0" fontId="0" fillId="0" borderId="67" pivotButton="0" quotePrefix="0" xfId="0"/>
    <xf numFmtId="0" fontId="0" fillId="0" borderId="74" pivotButton="0" quotePrefix="0" xfId="0"/>
    <xf numFmtId="0" fontId="6" fillId="8" borderId="68" applyAlignment="1" pivotButton="0" quotePrefix="0" xfId="0">
      <alignment horizontal="left" vertical="top" indent="1"/>
    </xf>
    <xf numFmtId="0" fontId="6" fillId="8" borderId="75" applyAlignment="1" pivotButton="0" quotePrefix="0" xfId="0">
      <alignment horizontal="left" vertical="top" indent="1"/>
    </xf>
    <xf numFmtId="0" fontId="19" fillId="8" borderId="79" applyAlignment="1" pivotButton="0" quotePrefix="0" xfId="0">
      <alignment horizontal="left" vertical="bottom" indent="1"/>
    </xf>
    <xf numFmtId="0" fontId="19" fillId="8" borderId="86" applyAlignment="1" pivotButton="0" quotePrefix="0" xfId="0">
      <alignment horizontal="left" vertical="bottom" indent="1"/>
    </xf>
    <xf numFmtId="169" fontId="66" fillId="8" borderId="80" applyAlignment="1" pivotButton="0" quotePrefix="0" xfId="0">
      <alignment horizontal="left" vertical="center" indent="1"/>
    </xf>
    <xf numFmtId="169" fontId="67" fillId="8" borderId="87" applyAlignment="1" pivotButton="0" quotePrefix="0" xfId="0">
      <alignment horizontal="left" vertical="center" indent="1"/>
    </xf>
    <xf numFmtId="1" fontId="67" fillId="8" borderId="87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8" pivotButton="0" quotePrefix="0" xfId="0"/>
    <xf numFmtId="0" fontId="6" fillId="8" borderId="82" applyAlignment="1" pivotButton="0" quotePrefix="0" xfId="0">
      <alignment horizontal="left" vertical="top" indent="1"/>
    </xf>
    <xf numFmtId="0" fontId="6" fillId="8" borderId="89" applyAlignment="1" pivotButton="0" quotePrefix="0" xfId="0">
      <alignment horizontal="left" vertical="top" indent="1"/>
    </xf>
    <xf numFmtId="0" fontId="19" fillId="8" borderId="93" applyAlignment="1" pivotButton="0" quotePrefix="0" xfId="0">
      <alignment horizontal="left" vertical="bottom" indent="1"/>
    </xf>
    <xf numFmtId="165" fontId="67" fillId="8" borderId="87" applyAlignment="1" pivotButton="0" quotePrefix="0" xfId="0">
      <alignment horizontal="left" vertical="center" indent="1"/>
    </xf>
    <xf numFmtId="165" fontId="63" fillId="8" borderId="59" applyAlignment="1" pivotButton="0" quotePrefix="0" xfId="0">
      <alignment horizontal="left" vertical="center" indent="1"/>
    </xf>
    <xf numFmtId="165" fontId="64" fillId="8" borderId="66" applyAlignment="1" pivotButton="0" quotePrefix="0" xfId="0">
      <alignment horizontal="left" vertical="center" indent="1"/>
    </xf>
    <xf numFmtId="1" fontId="68" fillId="8" borderId="94" applyAlignment="1" pivotButton="0" quotePrefix="0" xfId="0">
      <alignment horizontal="left" vertical="center" indent="1"/>
    </xf>
    <xf numFmtId="0" fontId="0" fillId="0" borderId="95" pivotButton="0" quotePrefix="0" xfId="0"/>
    <xf numFmtId="0" fontId="6" fillId="8" borderId="96" applyAlignment="1" pivotButton="0" quotePrefix="0" xfId="0">
      <alignment horizontal="left" vertical="top" indent="1"/>
    </xf>
    <xf numFmtId="0" fontId="12" fillId="0" borderId="0" pivotButton="0" quotePrefix="0" xfId="0"/>
    <xf numFmtId="0" fontId="13" fillId="4" borderId="1" applyProtection="1" pivotButton="0" quotePrefix="0" xfId="0">
      <protection locked="0" hidden="0"/>
    </xf>
    <xf numFmtId="0" fontId="14" fillId="6" borderId="0" pivotButton="0" quotePrefix="0" xfId="0"/>
    <xf numFmtId="0" fontId="11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2" fontId="17" fillId="0" borderId="0" pivotButton="0" quotePrefix="0" xfId="0"/>
    <xf numFmtId="2" fontId="18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9" fillId="7" borderId="0" pivotButton="0" quotePrefix="0" xfId="0"/>
    <xf numFmtId="0" fontId="9" fillId="6" borderId="1" applyAlignment="1" pivotButton="0" quotePrefix="0" xfId="0">
      <alignment horizontal="center" vertical="center" wrapText="1"/>
    </xf>
    <xf numFmtId="167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/>
      <protection locked="0" hidden="0"/>
    </xf>
    <xf numFmtId="164" fontId="5" fillId="4" borderId="1" applyAlignment="1" applyProtection="1" pivotButton="0" quotePrefix="0" xfId="0">
      <alignment horizontal="center" vertical="center" wrapText="1"/>
      <protection locked="0" hidden="0"/>
    </xf>
    <xf numFmtId="1" fontId="5" fillId="4" borderId="1" applyAlignment="1" applyProtection="1" pivotButton="0" quotePrefix="0" xfId="0">
      <alignment horizontal="center" vertical="center" wrapText="1"/>
      <protection locked="0" hidden="0"/>
    </xf>
    <xf numFmtId="2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1" fontId="9" fillId="6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0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left" vertical="center"/>
    </xf>
    <xf numFmtId="171" fontId="21" fillId="0" borderId="0" pivotButton="0" quotePrefix="0" xfId="0"/>
    <xf numFmtId="172" fontId="21" fillId="0" borderId="0" pivotButton="0" quotePrefix="0" xfId="0"/>
    <xf numFmtId="0" fontId="7" fillId="9" borderId="0" applyAlignment="1" pivotButton="0" quotePrefix="0" xfId="0">
      <alignment horizontal="center" vertical="center" wrapText="1"/>
    </xf>
    <xf numFmtId="0" fontId="7" fillId="17" borderId="0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center" vertical="center" wrapText="1"/>
    </xf>
    <xf numFmtId="0" fontId="7" fillId="2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7" borderId="1" applyAlignment="1" pivotButton="0" quotePrefix="0" xfId="0">
      <alignment horizontal="left" vertical="center"/>
    </xf>
    <xf numFmtId="167" fontId="12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7" fillId="23" borderId="1" applyAlignment="1" pivotButton="0" quotePrefix="0" xfId="0">
      <alignment horizontal="left" vertical="center"/>
    </xf>
    <xf numFmtId="169" fontId="51" fillId="0" borderId="1" applyAlignment="1" pivotButton="0" quotePrefix="0" xfId="0">
      <alignment horizontal="center" vertical="center" wrapText="1"/>
    </xf>
    <xf numFmtId="0" fontId="18" fillId="24" borderId="1" applyAlignment="1" pivotButton="0" quotePrefix="0" xfId="0">
      <alignment horizontal="left" vertical="center"/>
    </xf>
    <xf numFmtId="169" fontId="52" fillId="0" borderId="1" applyAlignment="1" pivotButton="0" quotePrefix="0" xfId="0">
      <alignment horizontal="center" vertical="center" wrapText="1"/>
    </xf>
    <xf numFmtId="169" fontId="12" fillId="0" borderId="1" applyAlignment="1" pivotButton="0" quotePrefix="0" xfId="0">
      <alignment horizontal="center" vertical="center" wrapText="1"/>
    </xf>
    <xf numFmtId="164" fontId="22" fillId="0" borderId="0" applyAlignment="1" pivotButton="0" quotePrefix="0" xfId="0">
      <alignment horizontal="right" vertical="top"/>
    </xf>
    <xf numFmtId="0" fontId="53" fillId="8" borderId="22" applyAlignment="1" pivotButton="0" quotePrefix="0" xfId="0">
      <alignment horizontal="left" vertical="top"/>
    </xf>
    <xf numFmtId="0" fontId="53" fillId="25" borderId="22" applyAlignment="1" pivotButton="0" quotePrefix="0" xfId="0">
      <alignment horizontal="left" vertical="top"/>
    </xf>
    <xf numFmtId="173" fontId="54" fillId="0" borderId="0" pivotButton="0" quotePrefix="0" xfId="0"/>
    <xf numFmtId="174" fontId="54" fillId="0" borderId="0" pivotButton="0" quotePrefix="0" xfId="0"/>
    <xf numFmtId="175" fontId="54" fillId="0" borderId="0" pivotButton="0" quotePrefix="0" xfId="0"/>
    <xf numFmtId="0" fontId="19" fillId="0" borderId="0" pivotButton="0" quotePrefix="0" xfId="0"/>
    <xf numFmtId="176" fontId="21" fillId="0" borderId="23" applyAlignment="1" pivotButton="0" quotePrefix="0" xfId="0">
      <alignment horizontal="left" vertical="center"/>
    </xf>
    <xf numFmtId="0" fontId="55" fillId="0" borderId="24" applyAlignment="1" pivotButton="0" quotePrefix="0" xfId="0">
      <alignment horizontal="left" vertical="center"/>
    </xf>
    <xf numFmtId="177" fontId="56" fillId="0" borderId="24" applyAlignment="1" pivotButton="0" quotePrefix="0" xfId="0">
      <alignment horizontal="left" vertical="center"/>
    </xf>
    <xf numFmtId="178" fontId="57" fillId="0" borderId="3" applyAlignment="1" pivotButton="0" quotePrefix="0" xfId="0">
      <alignment horizontal="left" vertical="center"/>
    </xf>
    <xf numFmtId="0" fontId="22" fillId="8" borderId="9" applyAlignment="1" pivotButton="0" quotePrefix="0" xfId="0">
      <alignment horizontal="center" vertical="center" wrapText="1"/>
    </xf>
    <xf numFmtId="0" fontId="0" fillId="8" borderId="0" pivotButton="0" quotePrefix="0" xfId="0"/>
    <xf numFmtId="0" fontId="22" fillId="8" borderId="10" applyAlignment="1" pivotButton="0" quotePrefix="0" xfId="0">
      <alignment horizontal="center" vertical="center" wrapText="1"/>
    </xf>
    <xf numFmtId="0" fontId="22" fillId="8" borderId="11" applyAlignment="1" pivotButton="0" quotePrefix="0" xfId="0">
      <alignment horizontal="center" vertical="center" wrapText="1"/>
    </xf>
    <xf numFmtId="0" fontId="22" fillId="8" borderId="12" applyAlignment="1" pivotButton="0" quotePrefix="0" xfId="0">
      <alignment horizontal="center" vertical="center" wrapText="1"/>
    </xf>
    <xf numFmtId="0" fontId="22" fillId="8" borderId="13" applyAlignment="1" pivotButton="0" quotePrefix="0" xfId="0">
      <alignment horizontal="center" vertical="center" wrapText="1"/>
    </xf>
    <xf numFmtId="169" fontId="42" fillId="8" borderId="0" applyAlignment="1" pivotButton="0" quotePrefix="0" xfId="0">
      <alignment horizontal="center" vertical="center" wrapText="1"/>
    </xf>
    <xf numFmtId="169" fontId="43" fillId="8" borderId="0" applyAlignment="1" pivotButton="0" quotePrefix="0" xfId="0">
      <alignment horizontal="center" vertical="center" wrapText="1"/>
    </xf>
    <xf numFmtId="169" fontId="44" fillId="8" borderId="0" applyAlignment="1" pivotButton="0" quotePrefix="0" xfId="0">
      <alignment horizontal="center" vertical="center" wrapText="1"/>
    </xf>
    <xf numFmtId="1" fontId="45" fillId="8" borderId="0" applyAlignment="1" pivotButton="0" quotePrefix="0" xfId="0">
      <alignment horizontal="center" vertical="center" wrapText="1"/>
    </xf>
    <xf numFmtId="1" fontId="46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vertical="center"/>
    </xf>
    <xf numFmtId="0" fontId="0" fillId="9" borderId="0" pivotButton="0" quotePrefix="0" xfId="0"/>
    <xf numFmtId="0" fontId="10" fillId="9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2" fontId="14" fillId="0" borderId="1" applyAlignment="1" pivotButton="0" quotePrefix="0" xfId="0">
      <alignment horizontal="center" vertical="center" wrapText="1"/>
    </xf>
    <xf numFmtId="2" fontId="14" fillId="0" borderId="1" applyAlignment="1" pivotButton="0" quotePrefix="0" xfId="0">
      <alignment horizontal="left" vertical="center"/>
    </xf>
    <xf numFmtId="1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/>
    </xf>
    <xf numFmtId="2" fontId="10" fillId="9" borderId="1" applyAlignment="1" pivotButton="0" quotePrefix="0" xfId="0">
      <alignment horizontal="center" vertical="center" wrapText="1"/>
    </xf>
    <xf numFmtId="1" fontId="10" fillId="9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7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22" fillId="8" borderId="18" applyAlignment="1" pivotButton="0" quotePrefix="0" xfId="0">
      <alignment horizontal="center" vertical="center" wrapText="1"/>
    </xf>
    <xf numFmtId="0" fontId="22" fillId="8" borderId="19" applyAlignment="1" pivotButton="0" quotePrefix="0" xfId="0">
      <alignment horizontal="center" vertical="center" wrapText="1"/>
    </xf>
    <xf numFmtId="0" fontId="22" fillId="8" borderId="20" applyAlignment="1" pivotButton="0" quotePrefix="0" xfId="0">
      <alignment horizontal="center" vertical="center" wrapText="1"/>
    </xf>
    <xf numFmtId="0" fontId="22" fillId="8" borderId="21" applyAlignment="1" pivotButton="0" quotePrefix="0" xfId="0">
      <alignment horizontal="center" vertical="center" wrapText="1"/>
    </xf>
    <xf numFmtId="169" fontId="47" fillId="8" borderId="0" applyAlignment="1" pivotButton="0" quotePrefix="0" xfId="0">
      <alignment horizontal="center" vertical="center" wrapText="1"/>
    </xf>
    <xf numFmtId="1" fontId="43" fillId="8" borderId="0" applyAlignment="1" pivotButton="0" quotePrefix="0" xfId="0">
      <alignment horizontal="center" vertical="center" wrapText="1"/>
    </xf>
    <xf numFmtId="169" fontId="48" fillId="8" borderId="0" applyAlignment="1" pivotButton="0" quotePrefix="0" xfId="0">
      <alignment horizontal="center" vertical="center" wrapText="1"/>
    </xf>
    <xf numFmtId="169" fontId="49" fillId="8" borderId="0" applyAlignment="1" pivotButton="0" quotePrefix="0" xfId="0">
      <alignment horizontal="center" vertical="center" wrapText="1"/>
    </xf>
    <xf numFmtId="170" fontId="50" fillId="8" borderId="0" applyAlignment="1" pivotButton="0" quotePrefix="0" xfId="0">
      <alignment horizontal="center" vertical="center" wrapText="1"/>
    </xf>
    <xf numFmtId="1" fontId="44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vertical="center"/>
    </xf>
    <xf numFmtId="0" fontId="0" fillId="10" borderId="0" pivotButton="0" quotePrefix="0" xfId="0"/>
    <xf numFmtId="0" fontId="10" fillId="1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32" fillId="11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 wrapText="1"/>
    </xf>
    <xf numFmtId="0" fontId="34" fillId="12" borderId="1" applyAlignment="1" pivotButton="0" quotePrefix="0" xfId="0">
      <alignment horizontal="left" vertical="center"/>
    </xf>
    <xf numFmtId="0" fontId="36" fillId="13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left" vertical="center"/>
    </xf>
    <xf numFmtId="0" fontId="39" fillId="15" borderId="1" applyAlignment="1" pivotButton="0" quotePrefix="0" xfId="0">
      <alignment horizontal="left" vertical="center"/>
    </xf>
    <xf numFmtId="0" fontId="41" fillId="16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2" fontId="10" fillId="10" borderId="1" applyAlignment="1" pivotButton="0" quotePrefix="0" xfId="0">
      <alignment horizontal="center" vertical="center" wrapText="1"/>
    </xf>
    <xf numFmtId="1" fontId="10" fillId="10" borderId="1" applyAlignment="1" pivotButton="0" quotePrefix="0" xfId="0">
      <alignment horizontal="center" vertical="center" wrapText="1"/>
    </xf>
    <xf numFmtId="165" fontId="10" fillId="1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70" fontId="4" fillId="0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8" borderId="2" applyAlignment="1" pivotButton="0" quotePrefix="0" xfId="0">
      <alignment horizontal="center" vertical="center" wrapText="1"/>
    </xf>
    <xf numFmtId="0" fontId="22" fillId="8" borderId="4" applyAlignment="1" pivotButton="0" quotePrefix="0" xfId="0">
      <alignment horizontal="center" vertical="center" wrapText="1"/>
    </xf>
    <xf numFmtId="0" fontId="22" fillId="8" borderId="5" applyAlignment="1" pivotButton="0" quotePrefix="0" xfId="0">
      <alignment horizontal="center" vertical="center" wrapText="1"/>
    </xf>
    <xf numFmtId="0" fontId="22" fillId="8" borderId="6" applyAlignment="1" pivotButton="0" quotePrefix="0" xfId="0">
      <alignment horizontal="center" vertical="center" wrapText="1"/>
    </xf>
    <xf numFmtId="0" fontId="22" fillId="8" borderId="7" applyAlignment="1" pivotButton="0" quotePrefix="0" xfId="0">
      <alignment horizontal="center" vertical="center" wrapText="1"/>
    </xf>
    <xf numFmtId="0" fontId="22" fillId="8" borderId="8" applyAlignment="1" pivotButton="0" quotePrefix="0" xfId="0">
      <alignment horizontal="center" vertical="center" wrapText="1"/>
    </xf>
    <xf numFmtId="169" fontId="23" fillId="8" borderId="3" applyAlignment="1" pivotButton="0" quotePrefix="0" xfId="0">
      <alignment horizontal="center" vertical="center" wrapText="1"/>
    </xf>
    <xf numFmtId="169" fontId="24" fillId="8" borderId="3" applyAlignment="1" pivotButton="0" quotePrefix="0" xfId="0">
      <alignment horizontal="center" vertical="center" wrapText="1"/>
    </xf>
    <xf numFmtId="169" fontId="25" fillId="8" borderId="3" applyAlignment="1" pivotButton="0" quotePrefix="0" xfId="0">
      <alignment horizontal="center" vertical="center" wrapText="1"/>
    </xf>
    <xf numFmtId="169" fontId="26" fillId="8" borderId="3" applyAlignment="1" pivotButton="0" quotePrefix="0" xfId="0">
      <alignment horizontal="center" vertical="center" wrapText="1"/>
    </xf>
    <xf numFmtId="169" fontId="27" fillId="8" borderId="3" applyAlignment="1" pivotButton="0" quotePrefix="0" xfId="0">
      <alignment horizontal="center" vertical="center" wrapText="1"/>
    </xf>
    <xf numFmtId="169" fontId="28" fillId="8" borderId="3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center" vertical="center" wrapText="1"/>
    </xf>
    <xf numFmtId="2" fontId="21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0" fontId="17" fillId="0" borderId="1" pivotButton="0" quotePrefix="0" xfId="0"/>
    <xf numFmtId="2" fontId="17" fillId="0" borderId="1" applyAlignment="1" pivotButton="0" quotePrefix="0" xfId="0">
      <alignment horizontal="center" vertical="center" wrapText="1"/>
    </xf>
    <xf numFmtId="2" fontId="17" fillId="7" borderId="1" applyAlignment="1" pivotButton="0" quotePrefix="0" xfId="0">
      <alignment horizontal="center" vertical="center" wrapText="1"/>
    </xf>
    <xf numFmtId="0" fontId="18" fillId="0" borderId="1" pivotButton="0" quotePrefix="0" xfId="0"/>
    <xf numFmtId="2" fontId="18" fillId="0" borderId="1" applyAlignment="1" pivotButton="0" quotePrefix="0" xfId="0">
      <alignment horizontal="center" vertical="center" wrapText="1"/>
    </xf>
    <xf numFmtId="2" fontId="18" fillId="7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7" borderId="1" applyAlignment="1" pivotButton="0" quotePrefix="0" xfId="0">
      <alignment horizontal="center" vertical="center" wrapText="1"/>
    </xf>
    <xf numFmtId="0" fontId="29" fillId="0" borderId="1" pivotButton="0" quotePrefix="0" xfId="0"/>
    <xf numFmtId="2" fontId="29" fillId="0" borderId="1" applyAlignment="1" pivotButton="0" quotePrefix="0" xfId="0">
      <alignment horizontal="center" vertical="center" wrapText="1"/>
    </xf>
    <xf numFmtId="2" fontId="30" fillId="7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31" fillId="0" borderId="1" pivotButton="0" quotePrefix="0" xfId="0"/>
    <xf numFmtId="2" fontId="31" fillId="0" borderId="1" applyAlignment="1" pivotButton="0" quotePrefix="0" xfId="0">
      <alignment horizontal="center" vertical="center" wrapText="1"/>
    </xf>
    <xf numFmtId="2" fontId="32" fillId="7" borderId="1" applyAlignment="1" pivotButton="0" quotePrefix="0" xfId="0">
      <alignment horizontal="center" vertical="center" wrapText="1"/>
    </xf>
    <xf numFmtId="0" fontId="33" fillId="0" borderId="1" pivotButton="0" quotePrefix="0" xfId="0"/>
    <xf numFmtId="2" fontId="33" fillId="0" borderId="1" applyAlignment="1" pivotButton="0" quotePrefix="0" xfId="0">
      <alignment horizontal="center" vertical="center" wrapText="1"/>
    </xf>
    <xf numFmtId="2" fontId="34" fillId="7" borderId="1" applyAlignment="1" pivotButton="0" quotePrefix="0" xfId="0">
      <alignment horizontal="center" vertical="center" wrapText="1"/>
    </xf>
    <xf numFmtId="0" fontId="35" fillId="0" borderId="1" pivotButton="0" quotePrefix="0" xfId="0"/>
    <xf numFmtId="2" fontId="35" fillId="0" borderId="1" applyAlignment="1" pivotButton="0" quotePrefix="0" xfId="0">
      <alignment horizontal="center" vertical="center" wrapText="1"/>
    </xf>
    <xf numFmtId="2" fontId="36" fillId="7" borderId="1" applyAlignment="1" pivotButton="0" quotePrefix="0" xfId="0">
      <alignment horizontal="center" vertical="center" wrapText="1"/>
    </xf>
    <xf numFmtId="0" fontId="37" fillId="0" borderId="1" pivotButton="0" quotePrefix="0" xfId="0"/>
    <xf numFmtId="2" fontId="37" fillId="0" borderId="1" applyAlignment="1" pivotButton="0" quotePrefix="0" xfId="0">
      <alignment horizontal="center" vertical="center" wrapText="1"/>
    </xf>
    <xf numFmtId="2" fontId="16" fillId="7" borderId="1" applyAlignment="1" pivotButton="0" quotePrefix="0" xfId="0">
      <alignment horizontal="center" vertical="center" wrapText="1"/>
    </xf>
    <xf numFmtId="0" fontId="38" fillId="0" borderId="1" pivotButton="0" quotePrefix="0" xfId="0"/>
    <xf numFmtId="2" fontId="38" fillId="0" borderId="1" applyAlignment="1" pivotButton="0" quotePrefix="0" xfId="0">
      <alignment horizontal="center" vertical="center" wrapText="1"/>
    </xf>
    <xf numFmtId="2" fontId="39" fillId="7" borderId="1" applyAlignment="1" pivotButton="0" quotePrefix="0" xfId="0">
      <alignment horizontal="center" vertical="center" wrapText="1"/>
    </xf>
    <xf numFmtId="0" fontId="40" fillId="0" borderId="1" pivotButton="0" quotePrefix="0" xfId="0"/>
    <xf numFmtId="2" fontId="40" fillId="0" borderId="1" applyAlignment="1" pivotButton="0" quotePrefix="0" xfId="0">
      <alignment horizontal="center" vertical="center" wrapText="1"/>
    </xf>
    <xf numFmtId="2" fontId="41" fillId="7" borderId="1" applyAlignment="1" pivotButton="0" quotePrefix="0" xfId="0">
      <alignment horizontal="center" vertical="center" wrapText="1"/>
    </xf>
    <xf numFmtId="170" fontId="4" fillId="7" borderId="1" applyAlignment="1" pivotButton="0" quotePrefix="0" xfId="0">
      <alignment horizontal="center" vertical="center" wrapText="1"/>
    </xf>
    <xf numFmtId="165" fontId="35" fillId="0" borderId="1" applyAlignment="1" pivotButton="0" quotePrefix="0" xfId="0">
      <alignment horizontal="center" vertical="center" wrapText="1"/>
    </xf>
    <xf numFmtId="165" fontId="36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/>
    </xf>
    <xf numFmtId="165" fontId="10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7" fontId="5" fillId="4" borderId="1" applyProtection="1" pivotButton="0" quotePrefix="0" xfId="0">
      <protection locked="0" hidden="0"/>
    </xf>
    <xf numFmtId="165" fontId="5" fillId="4" borderId="1" applyProtection="1" pivotButton="0" quotePrefix="0" xfId="0">
      <protection locked="0" hidden="0"/>
    </xf>
    <xf numFmtId="0" fontId="5" fillId="4" borderId="1" applyProtection="1" pivotButton="0" quotePrefix="0" xfId="0">
      <protection locked="0" hidden="0"/>
    </xf>
    <xf numFmtId="0" fontId="7" fillId="3" borderId="0" pivotButton="0" quotePrefix="0" xfId="0"/>
    <xf numFmtId="0" fontId="4" fillId="0" borderId="1" applyAlignment="1" pivotButton="0" quotePrefix="0" xfId="0">
      <alignment horizontal="left" vertical="center"/>
    </xf>
    <xf numFmtId="168" fontId="6" fillId="0" borderId="0" pivotButton="0" quotePrefix="0" xfId="0"/>
    <xf numFmtId="2" fontId="5" fillId="4" borderId="1" applyAlignment="1" applyProtection="1" pivotButton="0" quotePrefix="0" xfId="0">
      <alignment horizontal="center" vertical="center" wrapText="1"/>
      <protection locked="0" hidden="0"/>
    </xf>
    <xf numFmtId="165" fontId="5" fillId="4" borderId="1" applyAlignment="1" applyProtection="1" pivotButton="0" quotePrefix="0" xfId="0">
      <alignment horizontal="center" vertical="center" wrapText="1"/>
      <protection locked="0" hidden="0"/>
    </xf>
    <xf numFmtId="167" fontId="6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5" borderId="0" applyAlignment="1" pivotButton="0" quotePrefix="0" xfId="0">
      <alignment vertical="center"/>
    </xf>
    <xf numFmtId="0" fontId="0" fillId="5" borderId="0" pivotButton="0" quotePrefix="0" xfId="0"/>
    <xf numFmtId="167" fontId="0" fillId="0" borderId="0" pivotButton="0" quotePrefix="0" xfId="0"/>
    <xf numFmtId="0" fontId="21" fillId="7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dxfs count="28">
    <dxf>
      <font>
        <color rgb="008A8F98"/>
      </font>
    </dxf>
    <dxf>
      <font>
        <b val="1"/>
        <color rgb="00D64545"/>
      </font>
      <fill>
        <patternFill patternType="solid">
          <fgColor rgb="00FADBDB"/>
          <bgColor rgb="00FADBDB"/>
        </patternFill>
      </fill>
    </dxf>
    <dxf>
      <font>
        <b val="1"/>
        <color rgb="002E9E5B"/>
      </font>
    </dxf>
    <dxf>
      <font>
        <b val="1"/>
        <color rgb="002F6FDE"/>
      </font>
      <fill>
        <patternFill patternType="solid">
          <fgColor rgb="00DCE8FB"/>
          <bgColor rgb="00DCE8FB"/>
        </patternFill>
      </fill>
    </dxf>
    <dxf>
      <font>
        <b val="1"/>
        <color rgb="000B7A75"/>
      </font>
      <fill>
        <patternFill patternType="solid">
          <fgColor rgb="00D5F0EE"/>
          <bgColor rgb="00D5F0EE"/>
        </patternFill>
      </fill>
    </dxf>
    <dxf>
      <font>
        <b val="1"/>
        <color rgb="0017A2B8"/>
      </font>
      <fill>
        <patternFill patternType="solid">
          <fgColor rgb="00D4F3F7"/>
          <bgColor rgb="00D4F3F7"/>
        </patternFill>
      </fill>
    </dxf>
    <dxf>
      <font>
        <b val="1"/>
        <color rgb="007B4FD6"/>
      </font>
      <fill>
        <patternFill patternType="solid">
          <fgColor rgb="00E8DFFB"/>
          <bgColor rgb="00E8DFFB"/>
        </patternFill>
      </fill>
    </dxf>
    <dxf>
      <font>
        <b val="1"/>
        <color rgb="002E9E5B"/>
      </font>
      <fill>
        <patternFill patternType="solid">
          <fgColor rgb="00D9F2E3"/>
          <bgColor rgb="00D9F2E3"/>
        </patternFill>
      </fill>
    </dxf>
    <dxf>
      <font>
        <b val="1"/>
        <color rgb="00B8860B"/>
      </font>
      <fill>
        <patternFill patternType="solid">
          <fgColor rgb="00F7ECCB"/>
          <bgColor rgb="00F7ECCB"/>
        </patternFill>
      </fill>
    </dxf>
    <dxf>
      <font>
        <b val="1"/>
        <color rgb="008A8F98"/>
      </font>
      <fill>
        <patternFill patternType="solid">
          <fgColor rgb="00ECEDEF"/>
          <bgColor rgb="00ECEDEF"/>
        </patternFill>
      </fill>
    </dxf>
    <dxf>
      <font>
        <color rgb="008A8F98"/>
      </font>
      <fill>
        <patternFill patternType="solid">
          <fgColor rgb="00ECEDEF"/>
          <bgColor rgb="00ECEDEF"/>
        </patternFill>
      </fill>
    </dxf>
    <dxf>
      <font>
        <b val="1"/>
        <color rgb="009A4A00"/>
      </font>
      <fill>
        <patternFill patternType="solid">
          <fgColor rgb="00FDE7CF"/>
          <bgColor rgb="00FDE7CF"/>
        </patternFill>
      </fill>
    </dxf>
    <dxf>
      <fill>
        <patternFill patternType="solid">
          <fgColor rgb="00ECEDEF"/>
          <bgColor rgb="00ECEDEF"/>
        </patternFill>
      </fill>
    </dxf>
    <dxf>
      <fill>
        <patternFill patternType="solid">
          <fgColor rgb="00FDE7CF"/>
          <bgColor rgb="00FDE7CF"/>
        </patternFill>
      </fill>
    </dxf>
    <dxf>
      <font>
        <b val="1"/>
        <color rgb="00F28C28"/>
      </font>
    </dxf>
    <dxf>
      <font>
        <b val="1"/>
        <color rgb="00FFFFFF"/>
      </font>
      <fill>
        <patternFill patternType="solid">
          <fgColor rgb="00F28C28"/>
          <bgColor rgb="00F28C28"/>
        </patternFill>
      </fill>
    </dxf>
    <dxf>
      <font>
        <color rgb="00FFFFFF"/>
      </font>
      <fill>
        <patternFill patternType="solid">
          <fgColor rgb="008A8F98"/>
          <bgColor rgb="008A8F98"/>
        </patternFill>
      </fill>
    </dxf>
    <dxf>
      <font>
        <b val="1"/>
        <color rgb="00FFFFFF"/>
      </font>
      <fill>
        <patternFill patternType="solid">
          <fgColor rgb="002F6FDE"/>
          <bgColor rgb="002F6FDE"/>
        </patternFill>
      </fill>
    </dxf>
    <dxf>
      <font>
        <b val="1"/>
        <color rgb="00FFFFFF"/>
      </font>
      <fill>
        <patternFill patternType="solid">
          <fgColor rgb="0017A2B8"/>
          <bgColor rgb="0017A2B8"/>
        </patternFill>
      </fill>
    </dxf>
    <dxf>
      <font>
        <b val="1"/>
        <color rgb="00FFFFFF"/>
      </font>
      <fill>
        <patternFill patternType="solid">
          <fgColor rgb="007B4FD6"/>
          <bgColor rgb="007B4FD6"/>
        </patternFill>
      </fill>
    </dxf>
    <dxf>
      <font>
        <b val="1"/>
        <color rgb="00FFFFFF"/>
      </font>
      <fill>
        <patternFill patternType="solid">
          <fgColor rgb="002E9E5B"/>
          <bgColor rgb="002E9E5B"/>
        </patternFill>
      </fill>
    </dxf>
    <dxf>
      <font>
        <b val="1"/>
        <color rgb="00FFFFFF"/>
      </font>
      <fill>
        <patternFill patternType="solid">
          <fgColor rgb="00D64545"/>
          <bgColor rgb="00D64545"/>
        </patternFill>
      </fill>
    </dxf>
    <dxf>
      <font>
        <b val="1"/>
        <color rgb="00FFFFFF"/>
      </font>
      <fill>
        <patternFill patternType="solid">
          <fgColor rgb="00B8860B"/>
          <bgColor rgb="00B8860B"/>
        </patternFill>
      </fill>
    </dxf>
    <dxf>
      <font>
        <color rgb="00B8BDC6"/>
      </font>
      <fill>
        <patternFill patternType="solid">
          <fgColor rgb="00F1F2F4"/>
          <bgColor rgb="00F1F2F4"/>
        </patternFill>
      </fill>
    </dxf>
    <dxf>
      <fill>
        <patternFill patternType="solid">
          <fgColor rgb="00E9EDF4"/>
          <bgColor rgb="00E9EDF4"/>
        </patternFill>
      </fill>
    </dxf>
    <dxf>
      <font>
        <b val="1"/>
        <color rgb="002F6FDE"/>
      </font>
    </dxf>
    <dxf>
      <font>
        <color rgb="00D64545"/>
      </font>
    </dxf>
    <dxf>
      <font>
        <color rgb="002E9E5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Malcolm vs proMX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'Dashboard'!T4</f>
            </strRef>
          </tx>
          <spPr>
            <a:solidFill xmlns:a="http://schemas.openxmlformats.org/drawingml/2006/main">
              <a:srgbClr val="2F6FDE"/>
            </a:solidFill>
            <a:ln xmlns:a="http://schemas.openxmlformats.org/drawingml/2006/main">
              <a:prstDash val="solid"/>
            </a:ln>
          </spPr>
          <cat>
            <numRef>
              <f>'Dashboard'!$S$5:$S$7</f>
            </numRef>
          </cat>
          <val>
            <numRef>
              <f>'Dashboard'!$T$5:$T$7</f>
            </numRef>
          </val>
        </ser>
        <ser>
          <idx val="1"/>
          <order val="1"/>
          <tx>
            <strRef>
              <f>'Dashboard'!U4</f>
            </strRef>
          </tx>
          <spPr>
            <a:solidFill xmlns:a="http://schemas.openxmlformats.org/drawingml/2006/main">
              <a:srgbClr val="0B7A75"/>
            </a:solidFill>
            <a:ln xmlns:a="http://schemas.openxmlformats.org/drawingml/2006/main">
              <a:prstDash val="solid"/>
            </a:ln>
          </spPr>
          <cat>
            <numRef>
              <f>'Dashboard'!$S$5:$S$7</f>
            </numRef>
          </cat>
          <val>
            <numRef>
              <f>'Dashboard'!$U$5:$U$7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trabajadas por semana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'Dashboard'!AB4</f>
            </strRef>
          </tx>
          <spPr>
            <a:solidFill xmlns:a="http://schemas.openxmlformats.org/drawingml/2006/main">
              <a:srgbClr val="2F6FDE"/>
            </a:solidFill>
            <a:ln xmlns:a="http://schemas.openxmlformats.org/drawingml/2006/main">
              <a:prstDash val="solid"/>
            </a:ln>
          </spPr>
          <cat>
            <numRef>
              <f>'Dashboard'!$AG$5:$AG$18</f>
            </numRef>
          </cat>
          <val>
            <numRef>
              <f>'Dashboard'!$AB$5:$AB$18</f>
            </numRef>
          </val>
        </ser>
        <ser>
          <idx val="1"/>
          <order val="1"/>
          <tx>
            <strRef>
              <f>'Dashboard'!AC4</f>
            </strRef>
          </tx>
          <spPr>
            <a:solidFill xmlns:a="http://schemas.openxmlformats.org/drawingml/2006/main">
              <a:srgbClr val="0B7A75"/>
            </a:solidFill>
            <a:ln xmlns:a="http://schemas.openxmlformats.org/drawingml/2006/main">
              <a:prstDash val="solid"/>
            </a:ln>
          </spPr>
          <cat>
            <numRef>
              <f>'Dashboard'!$AG$5:$AG$18</f>
            </numRef>
          </cat>
          <val>
            <numRef>
              <f>'Dashboard'!$AC$5:$AC$18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normales vs extras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'Dashboard'!V4</f>
            </strRef>
          </tx>
          <spPr>
            <a:solidFill xmlns:a="http://schemas.openxmlformats.org/drawingml/2006/main">
              <a:srgbClr val="1F3A68"/>
            </a:solidFill>
            <a:ln xmlns:a="http://schemas.openxmlformats.org/drawingml/2006/main">
              <a:prstDash val="solid"/>
            </a:ln>
          </spPr>
          <cat>
            <numRef>
              <f>'Dashboard'!$S$5:$S$7</f>
            </numRef>
          </cat>
          <val>
            <numRef>
              <f>'Dashboard'!$V$5:$V$7</f>
            </numRef>
          </val>
        </ser>
        <ser>
          <idx val="1"/>
          <order val="1"/>
          <tx>
            <strRef>
              <f>'Dashboard'!W4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prstDash val="solid"/>
            </a:ln>
          </spPr>
          <cat>
            <numRef>
              <f>'Dashboard'!$S$5:$S$7</f>
            </numRef>
          </cat>
          <val>
            <numRef>
              <f>'Dashboard'!$W$5:$W$7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estados proMX (horas)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7A2B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B4FD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9E5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64545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8860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8A8F98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'Dashboard'!$S$11:$S$16</f>
            </numRef>
          </cat>
          <val>
            <numRef>
              <f>'Dashboard'!$T$11:$T$16</f>
            </numRef>
          </val>
        </ser>
        <firstSliceAng val="0"/>
        <holeSize val="55"/>
      </doughnutChart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 horas aprobadas (acumulado)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'Dashboard'!AE4</f>
            </strRef>
          </tx>
          <spPr>
            <a:ln xmlns:a="http://schemas.openxmlformats.org/drawingml/2006/main" w="32000">
              <a:solidFill>
                <a:srgbClr val="2E9E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'Dashboard'!$AG$5:$AG$18</f>
            </numRef>
          </cat>
          <val>
            <numRef>
              <f>'Dashboard'!$AE$5:$AE$18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objetivo vs trabajadas (por semana)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'Dashboard'!AD4</f>
            </strRef>
          </tx>
          <spPr>
            <a:solidFill xmlns:a="http://schemas.openxmlformats.org/drawingml/2006/main">
              <a:srgbClr val="C9D3E6"/>
            </a:solidFill>
            <a:ln xmlns:a="http://schemas.openxmlformats.org/drawingml/2006/main">
              <a:prstDash val="solid"/>
            </a:ln>
          </spPr>
          <cat>
            <numRef>
              <f>'Dashboard'!$AG$5:$AG$18</f>
            </numRef>
          </cat>
          <val>
            <numRef>
              <f>'Dashboard'!$AD$5:$AD$18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'Dashboard'!AF4</f>
            </strRef>
          </tx>
          <spPr>
            <a:ln xmlns:a="http://schemas.openxmlformats.org/drawingml/2006/main" w="32000">
              <a:solidFill>
                <a:srgbClr val="1421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'Dashboard'!$AF$5:$AF$18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Malcolm vs proMX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Trimestral'!B5</f>
            </strRef>
          </tx>
          <spPr>
            <a:solidFill xmlns:a="http://schemas.openxmlformats.org/drawingml/2006/main">
              <a:srgbClr val="2F6FDE"/>
            </a:solidFill>
            <a:ln xmlns:a="http://schemas.openxmlformats.org/drawingml/2006/main">
              <a:prstDash val="solid"/>
            </a:ln>
          </spPr>
          <cat>
            <numRef>
              <f>'Resumen Trimestral'!$C$4:$E$4</f>
            </numRef>
          </cat>
          <val>
            <numRef>
              <f>'Resumen Trimestral'!$C$5:$E$5</f>
            </numRef>
          </val>
        </ser>
        <ser>
          <idx val="1"/>
          <order val="1"/>
          <tx>
            <strRef>
              <f>'Resumen Trimestral'!B6</f>
            </strRef>
          </tx>
          <spPr>
            <a:solidFill xmlns:a="http://schemas.openxmlformats.org/drawingml/2006/main">
              <a:srgbClr val="0B7A75"/>
            </a:solidFill>
            <a:ln xmlns:a="http://schemas.openxmlformats.org/drawingml/2006/main">
              <a:prstDash val="solid"/>
            </a:ln>
          </spPr>
          <cat>
            <numRef>
              <f>'Resumen Trimestral'!$C$4:$E$4</f>
            </numRef>
          </cat>
          <val>
            <numRef>
              <f>'Resumen Trimestral'!$C$6:$E$6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mensual: extras y aprobadas</a:t>
            </a:r>
          </a:p>
        </rich>
      </tx>
    </title>
    <plotArea>
      <lineChart>
        <grouping val="standard"/>
        <ser>
          <idx val="0"/>
          <order val="0"/>
          <tx>
            <strRef>
              <f>'Resumen Trimestral'!B11</f>
            </strRef>
          </tx>
          <spPr>
            <a:ln xmlns:a="http://schemas.openxmlformats.org/drawingml/2006/main" w="28000">
              <a:solidFill>
                <a:srgbClr val="F28C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'Resumen Trimestral'!$C$4:$E$4</f>
            </numRef>
          </cat>
          <val>
            <numRef>
              <f>'Resumen Trimestral'!$C$11:$E$11</f>
            </numRef>
          </val>
        </ser>
        <ser>
          <idx val="1"/>
          <order val="1"/>
          <tx>
            <strRef>
              <f>'Resumen Trimestral'!B16</f>
            </strRef>
          </tx>
          <spPr>
            <a:ln xmlns:a="http://schemas.openxmlformats.org/drawingml/2006/main" w="28000">
              <a:solidFill>
                <a:srgbClr val="2E9E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'Resumen Trimestral'!$C$4:$E$4</f>
            </numRef>
          </cat>
          <val>
            <numRef>
              <f>'Resumen Trimestral'!$C$16:$E$16</f>
            </numRef>
          </val>
        </ser>
        <ser>
          <idx val="2"/>
          <order val="2"/>
          <tx>
            <strRef>
              <f>'Resumen Trimestral'!B15</f>
            </strRef>
          </tx>
          <spPr>
            <a:ln xmlns:a="http://schemas.openxmlformats.org/drawingml/2006/main" w="28000">
              <a:solidFill>
                <a:srgbClr val="7B4F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'Resumen Trimestral'!$C$4:$E$4</f>
            </numRef>
          </cat>
          <val>
            <numRef>
              <f>'Resumen Trimestral'!$C$15:$E$15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Time Tracking</author>
  </authors>
  <commentList>
    <comment ref="B3" authorId="0" shapeId="0">
      <text>
        <t>Elegí un lunes de la lista o escribí cualquier fecha: se muestra la semana (lunes a domingo) que la contiene.</t>
      </text>
    </comment>
  </commentList>
</comments>
</file>

<file path=xl/comments/comment2.xml><?xml version="1.0" encoding="utf-8"?>
<comments xmlns="http://schemas.openxmlformats.org/spreadsheetml/2006/main">
  <authors>
    <author>Time Tracking</author>
  </authors>
  <commentList>
    <comment ref="C5" authorId="0" shapeId="0">
      <text>
        <t>Inicio del horario habitual (lunes a viernes).</t>
      </text>
    </comment>
    <comment ref="C6" authorId="0" shapeId="0">
      <text>
        <t>Fin del horario habitual. Todo lo trabajado fuera de [inicio, fin] es hora extra.</t>
      </text>
    </comment>
    <comment ref="C7" authorId="0" shapeId="0">
      <text>
        <t>Horas objetivo por día laborable.</t>
      </text>
    </comment>
    <comment ref="C8" authorId="0" shapeId="0">
      <text>
        <t>Tope semanal del objetivo (se aplica en los totales semanales).</t>
      </text>
    </comment>
    <comment ref="C9" authorId="0" shapeId="0">
      <text>
        <t>proMX exige múltiplos de este bloque en inicio, fin y duración neta.</t>
      </text>
    </comment>
    <comment ref="C10" authorId="0" shapeId="0">
      <text>
        <t>EJEMPLO: reemplazar por tu tarifa real. Solo aplica a proMX.</t>
      </text>
    </comment>
    <comment ref="C11" authorId="0" shapeId="0">
      <text>
        <t>EJEMPLO: reemplazar por tu tarifa real de horas extras proMX.</t>
      </text>
    </comment>
    <comment ref="C12" authorId="0" shapeId="0">
      <text>
        <t>Alerta si un registro supera estos días en Submitted (desde la fecha de envío).</t>
      </text>
    </comment>
    <comment ref="C13" authorId="0" shapeId="0">
      <text>
        <t>Como el registro no indica a qué hora fue el descanso, esta regla decide de dónde se descuenta: 'Normales primero' (descanso dentro del horario habitual), 'Extras primero' o 'Proporcional'. Si conocés el horario exacto, dividí la tarea en dos registros y dejá el descanso en 0.</t>
      </text>
    </comment>
    <comment ref="C14" authorId="0" shapeId="0">
      <text>
        <t>Registros fuera del período se marcan como inválidos.</t>
      </text>
    </comment>
    <comment ref="C16" authorId="0" shapeId="0">
      <text>
        <t>Para calcular la antigüedad de pendientes. Vacío = fecha actual.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4536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26</row>
      <rowOff>0</rowOff>
    </from>
    <ext cx="4536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42</row>
      <rowOff>0</rowOff>
    </from>
    <ext cx="4536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42</row>
      <rowOff>0</rowOff>
    </from>
    <ext cx="4536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58</row>
      <rowOff>0</rowOff>
    </from>
    <ext cx="4536000" cy="273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58</row>
      <rowOff>0</rowOff>
    </from>
    <ext cx="4536000" cy="273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Registro" displayName="TablaRegistro" ref="A5:W1505" headerRowCount="1">
  <autoFilter ref="A5:W1505"/>
  <tableColumns count="23">
    <tableColumn id="1" name="ID"/>
    <tableColumn id="2" name="Fecha"/>
    <tableColumn id="3" name="Día"/>
    <tableColumn id="4" name="Empresa"/>
    <tableColumn id="5" name="Proyecto"/>
    <tableColumn id="6" name="Task ID"/>
    <tableColumn id="7" name="Descripción"/>
    <tableColumn id="8" name="Hora inicio"/>
    <tableColumn id="9" name="Hora fin"/>
    <tableColumn id="10" name="Descanso (min)"/>
    <tableColumn id="11" name="Duración real (h)"/>
    <tableColumn id="12" name="Horas normales"/>
    <tableColumn id="13" name="Horas extras"/>
    <tableColumn id="14" name="Bloques proMX"/>
    <tableColumn id="15" name="Horas registrables proMX"/>
    <tableColumn id="16" name="Validación"/>
    <tableColumn id="17" name="Tipo de día"/>
    <tableColumn id="18" name="Estado proMX"/>
    <tableColumn id="19" name="Fecha envío"/>
    <tableColumn id="20" name="Fecha aprobación"/>
    <tableColumn id="21" name="Observaciones"/>
    <tableColumn id="22" name="Antigüedad (días)"/>
    <tableColumn id="23" name="Alerta"/>
  </tableColumns>
  <tableStyleInfo name="TableStyleLight1" showRowStripes="0"/>
</table>
</file>

<file path=xl/tables/table2.xml><?xml version="1.0" encoding="utf-8"?>
<table xmlns="http://schemas.openxmlformats.org/spreadsheetml/2006/main" id="2" name="TablaPagos" displayName="TablaPagos" ref="B19:G219" headerRowCount="1">
  <autoFilter ref="B19:G219"/>
  <tableColumns count="6">
    <tableColumn id="2" name="Fecha de pago"/>
    <tableColumn id="3" name="Importe USD"/>
    <tableColumn id="4" name="Período"/>
    <tableColumn id="5" name="Referencia de pago"/>
    <tableColumn id="6" name="Medio"/>
    <tableColumn id="7" name="Nota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4213D"/>
    <outlinePr summaryBelow="1" summaryRight="1"/>
    <pageSetUpPr fitToPage="1"/>
  </sheetPr>
  <dimension ref="A1:AG7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2" customWidth="1" min="5" max="5"/>
    <col width="11" customWidth="1" min="6" max="6"/>
    <col width="11" customWidth="1" min="7" max="7"/>
    <col width="11" customWidth="1" min="8" max="8"/>
    <col width="2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2" customWidth="1" min="17" max="17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2" customWidth="1" min="26" max="26"/>
    <col width="13" customWidth="1" min="27" max="27"/>
    <col width="11" customWidth="1" min="28" max="28"/>
    <col width="11" customWidth="1" min="29" max="29"/>
    <col width="11" customWidth="1" min="30" max="30"/>
    <col width="14" customWidth="1" min="31" max="31"/>
    <col width="11" customWidth="1" min="32" max="32"/>
    <col width="11" customWidth="1" min="33" max="33"/>
  </cols>
  <sheetData>
    <row r="1" ht="34" customHeight="1">
      <c r="A1" s="1" t="n"/>
      <c r="B1" s="2" t="inlineStr">
        <is>
          <t>Developer Time Tracking · Oct – Dic 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0" customHeight="1">
      <c r="A2" s="1" t="n"/>
      <c r="B2" s="3" t="inlineStr">
        <is>
          <t>Dashboard vinculado a Registro de Horas. Filtros (celdas amarillas): Mes y Proyecto aplican a los indicadores; los gráficos usan el filtro de Proyecto.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2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S3" s="5" t="inlineStr">
        <is>
          <t>Datos de los gráficos (automáticos · filtro de Proyecto)</t>
        </is>
      </c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</row>
    <row r="4" ht="20" customHeight="1">
      <c r="A4" s="4" t="n"/>
      <c r="B4" s="7" t="inlineStr">
        <is>
          <t>Mes ▸</t>
        </is>
      </c>
      <c r="C4" s="8" t="inlineStr">
        <is>
          <t>Todos</t>
        </is>
      </c>
      <c r="E4" s="4" t="n"/>
      <c r="F4" s="7" t="inlineStr">
        <is>
          <t>Proyecto ▸</t>
        </is>
      </c>
      <c r="G4" s="8" t="inlineStr">
        <is>
          <t>Todos</t>
        </is>
      </c>
      <c r="I4" s="4" t="n"/>
      <c r="J4" s="9" t="inlineStr">
        <is>
          <t>Período</t>
        </is>
      </c>
      <c r="K4" s="10">
        <f>INDEX(L_MESD,MATCH(DB_MON,L_MES,0))</f>
        <v>46296.0</v>
      </c>
      <c r="L4" s="10">
        <f>INDEX(L_MESH,MATCH(DB_MON,L_MES,0))</f>
        <v>46387.0</v>
      </c>
      <c r="M4" s="4" t="n"/>
      <c r="N4" s="11" t="str">
        <f>IF(SUMIFS(R_Alr,R_FAll,1)+COUNTIFS(R_St,"Returned",R_FAll,1)&gt;0,"⚠ "&amp;(SUMIFS(R_Alr,R_FAll,1)+COUNTIFS(R_St,"Returned",R_FAll,1))&amp;" alerta(s) proMX","✓ Sin alertas proMX")</f>
        <v>⚠ 1 alerta(s) proMX</v>
      </c>
      <c r="Q4" s="4" t="n"/>
      <c r="S4" s="12" t="inlineStr">
        <is>
          <t>Mes</t>
        </is>
      </c>
      <c r="T4" s="12" t="inlineStr">
        <is>
          <t>Malcolm</t>
        </is>
      </c>
      <c r="U4" s="12" t="inlineStr">
        <is>
          <t>proMX</t>
        </is>
      </c>
      <c r="V4" s="12" t="inlineStr">
        <is>
          <t>Normales</t>
        </is>
      </c>
      <c r="W4" s="12" t="inlineStr">
        <is>
          <t>Extras</t>
        </is>
      </c>
      <c r="X4" s="12" t="inlineStr">
        <is>
          <t>Objetivo</t>
        </is>
      </c>
      <c r="Y4" s="12" t="inlineStr">
        <is>
          <t>Trabajadas</t>
        </is>
      </c>
      <c r="AA4" s="12" t="inlineStr">
        <is>
          <t>Semana (lunes)</t>
        </is>
      </c>
      <c r="AB4" s="12" t="inlineStr">
        <is>
          <t>Malcolm</t>
        </is>
      </c>
      <c r="AC4" s="12" t="inlineStr">
        <is>
          <t>proMX</t>
        </is>
      </c>
      <c r="AD4" s="12" t="inlineStr">
        <is>
          <t>Objetivo</t>
        </is>
      </c>
      <c r="AE4" s="12" t="inlineStr">
        <is>
          <t>Aprobadas acum.</t>
        </is>
      </c>
      <c r="AF4" s="12" t="inlineStr">
        <is>
          <t>Trabajadas</t>
        </is>
      </c>
      <c r="AG4" s="12" t="inlineStr">
        <is>
          <t>Etiqueta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S5" s="13" t="inlineStr">
        <is>
          <t>Octubre</t>
        </is>
      </c>
      <c r="T5" s="14">
        <f>SUMIFS(R_HD0,R_FProj,1,R_Emp,"Malcolm",R_Fecha,"&gt;="&amp;DATE(2026,10,1),R_Fecha,"&lt;="&amp;DATE(2026,10,31))+SUMIFS(R_HD1,R_FProj,1,R_Emp,"Malcolm",R_D1,"&gt;="&amp;DATE(2026,10,1),R_D1,"&lt;="&amp;DATE(2026,10,31))</f>
        <v>6.333333</v>
      </c>
      <c r="U5" s="14">
        <f>SUMIFS(R_HD0,R_FProj,1,R_Emp,"proMX",R_Fecha,"&gt;="&amp;DATE(2026,10,1),R_Fecha,"&lt;="&amp;DATE(2026,10,31))+SUMIFS(R_HD1,R_FProj,1,R_Emp,"proMX",R_D1,"&gt;="&amp;DATE(2026,10,1),R_D1,"&lt;="&amp;DATE(2026,10,31))</f>
        <v>10.5</v>
      </c>
      <c r="V5" s="14">
        <f>SUMIFS(R_ND0,R_FProj,1,R_Fecha,"&gt;="&amp;DATE(2026,10,1),R_Fecha,"&lt;="&amp;DATE(2026,10,31))+SUMIFS(R_ND1,R_FProj,1,R_D1,"&gt;="&amp;DATE(2026,10,1),R_D1,"&lt;="&amp;DATE(2026,10,31))</f>
        <v>14.833333</v>
      </c>
      <c r="W5" s="14">
        <f>SUMIFS(R_XD0,R_FProj,1,R_Fecha,"&gt;="&amp;DATE(2026,10,1),R_Fecha,"&lt;="&amp;DATE(2026,10,31))+SUMIFS(R_XD1,R_FProj,1,R_D1,"&gt;="&amp;DATE(2026,10,1),R_D1,"&lt;="&amp;DATE(2026,10,31))</f>
        <v>2</v>
      </c>
      <c r="X5" s="14">
        <f>'Resumen Trimestral'!C12</f>
        <v>168</v>
      </c>
      <c r="Y5" s="14">
        <f>T5+U5</f>
        <v>16.833333</v>
      </c>
      <c r="AA5" s="15" t="n">
        <v>46293</v>
      </c>
      <c r="AB5" s="14">
        <f>SUMIFS(R_HD0,R_FProj,1,R_Emp,"Malcolm",R_Fecha,"&gt;="&amp;AA5,R_Fecha,"&lt;="&amp;AA5+6)+SUMIFS(R_HD1,R_FProj,1,R_Emp,"Malcolm",R_D1,"&gt;="&amp;AA5,R_D1,"&lt;="&amp;AA5+6)</f>
        <v>0</v>
      </c>
      <c r="AC5" s="14">
        <f>SUMIFS(R_HD0,R_FProj,1,R_Emp,"proMX",R_Fecha,"&gt;="&amp;AA5,R_Fecha,"&lt;="&amp;AA5+6)+SUMIFS(R_HD1,R_FProj,1,R_Emp,"proMX",R_D1,"&gt;="&amp;AA5,R_D1,"&lt;="&amp;AA5+6)</f>
        <v>9</v>
      </c>
      <c r="AD5" s="14">
        <f>MIN(CFG_WH,SUMIFS('Octubre 2026'!$L$9:$L$44,'Octubre 2026'!$A$9:$A$44,"&gt;="&amp;AA5,'Octubre 2026'!$A$9:$A$44,"&lt;="&amp;AA5+6,'Octubre 2026'!$N$9:$N$44,"D")+SUMIFS('Noviembre 2026'!$L$9:$L$44,'Noviembre 2026'!$A$9:$A$44,"&gt;="&amp;AA5,'Noviembre 2026'!$A$9:$A$44,"&lt;="&amp;AA5+6,'Noviembre 2026'!$N$9:$N$44,"D")+SUMIFS('Diciembre 2026'!$L$9:$L$44,'Diciembre 2026'!$A$9:$A$44,"&gt;="&amp;AA5,'Diciembre 2026'!$A$9:$A$44,"&lt;="&amp;AA5+6,'Diciembre 2026'!$N$9:$N$44,"D"))</f>
        <v>16</v>
      </c>
      <c r="AE5" s="14">
        <f>SUMIFS(R_Hval,R_St,"Approved",R_FProj,1,R_ApD,"&lt;="&amp;AA5+6)</f>
        <v>0</v>
      </c>
      <c r="AF5" s="14">
        <f>AB5+AC5</f>
        <v>9</v>
      </c>
      <c r="AG5" s="13" t="inlineStr">
        <is>
          <t>28/09</t>
        </is>
      </c>
    </row>
    <row r="6">
      <c r="A6" s="4" t="n"/>
      <c r="B6" s="16" t="inlineStr">
        <is>
          <t>TOTAL HORAS TRABAJADAS</t>
        </is>
      </c>
      <c r="C6" s="17" t="n"/>
      <c r="D6" s="18" t="n"/>
      <c r="E6" s="4" t="n"/>
      <c r="F6" s="19" t="inlineStr">
        <is>
          <t>HORAS MALCOLM</t>
        </is>
      </c>
      <c r="G6" s="17" t="n"/>
      <c r="H6" s="18" t="n"/>
      <c r="I6" s="4" t="n"/>
      <c r="J6" s="20" t="inlineStr">
        <is>
          <t>HORAS PROMX</t>
        </is>
      </c>
      <c r="K6" s="17" t="n"/>
      <c r="L6" s="18" t="n"/>
      <c r="M6" s="4" t="n"/>
      <c r="N6" s="21" t="inlineStr">
        <is>
          <t>TIEMPO CRONOLÓGICO ÚNICO</t>
        </is>
      </c>
      <c r="O6" s="17" t="n"/>
      <c r="P6" s="18" t="n"/>
      <c r="Q6" s="4" t="n"/>
      <c r="S6" s="13" t="inlineStr">
        <is>
          <t>Noviembre</t>
        </is>
      </c>
      <c r="T6" s="14">
        <f>SUMIFS(R_HD0,R_FProj,1,R_Emp,"Malcolm",R_Fecha,"&gt;="&amp;DATE(2026,11,1),R_Fecha,"&lt;="&amp;DATE(2026,11,30))+SUMIFS(R_HD1,R_FProj,1,R_Emp,"Malcolm",R_D1,"&gt;="&amp;DATE(2026,11,1),R_D1,"&lt;="&amp;DATE(2026,11,30))</f>
        <v>0</v>
      </c>
      <c r="U6" s="14">
        <f>SUMIFS(R_HD0,R_FProj,1,R_Emp,"proMX",R_Fecha,"&gt;="&amp;DATE(2026,11,1),R_Fecha,"&lt;="&amp;DATE(2026,11,30))+SUMIFS(R_HD1,R_FProj,1,R_Emp,"proMX",R_D1,"&gt;="&amp;DATE(2026,11,1),R_D1,"&lt;="&amp;DATE(2026,11,30))</f>
        <v>0</v>
      </c>
      <c r="V6" s="14">
        <f>SUMIFS(R_ND0,R_FProj,1,R_Fecha,"&gt;="&amp;DATE(2026,11,1),R_Fecha,"&lt;="&amp;DATE(2026,11,30))+SUMIFS(R_ND1,R_FProj,1,R_D1,"&gt;="&amp;DATE(2026,11,1),R_D1,"&lt;="&amp;DATE(2026,11,30))</f>
        <v>0</v>
      </c>
      <c r="W6" s="14">
        <f>SUMIFS(R_XD0,R_FProj,1,R_Fecha,"&gt;="&amp;DATE(2026,11,1),R_Fecha,"&lt;="&amp;DATE(2026,11,30))+SUMIFS(R_XD1,R_FProj,1,R_D1,"&gt;="&amp;DATE(2026,11,1),R_D1,"&lt;="&amp;DATE(2026,11,30))</f>
        <v>0</v>
      </c>
      <c r="X6" s="14">
        <f>'Resumen Trimestral'!D12</f>
        <v>152</v>
      </c>
      <c r="Y6" s="14">
        <f>T6+U6</f>
        <v>0</v>
      </c>
      <c r="AA6" s="15" t="n">
        <v>46300</v>
      </c>
      <c r="AB6" s="14">
        <f>SUMIFS(R_HD0,R_FProj,1,R_Emp,"Malcolm",R_Fecha,"&gt;="&amp;AA6,R_Fecha,"&lt;="&amp;AA6+6)+SUMIFS(R_HD1,R_FProj,1,R_Emp,"Malcolm",R_D1,"&gt;="&amp;AA6,R_D1,"&lt;="&amp;AA6+6)</f>
        <v>6.333333</v>
      </c>
      <c r="AC6" s="14">
        <f>SUMIFS(R_HD0,R_FProj,1,R_Emp,"proMX",R_Fecha,"&gt;="&amp;AA6,R_Fecha,"&lt;="&amp;AA6+6)+SUMIFS(R_HD1,R_FProj,1,R_Emp,"proMX",R_D1,"&gt;="&amp;AA6,R_D1,"&lt;="&amp;AA6+6)</f>
        <v>1.5</v>
      </c>
      <c r="AD6" s="14">
        <f>MIN(CFG_WH,SUMIFS('Octubre 2026'!$L$9:$L$44,'Octubre 2026'!$A$9:$A$44,"&gt;="&amp;AA6,'Octubre 2026'!$A$9:$A$44,"&lt;="&amp;AA6+6,'Octubre 2026'!$N$9:$N$44,"D")+SUMIFS('Noviembre 2026'!$L$9:$L$44,'Noviembre 2026'!$A$9:$A$44,"&gt;="&amp;AA6,'Noviembre 2026'!$A$9:$A$44,"&lt;="&amp;AA6+6,'Noviembre 2026'!$N$9:$N$44,"D")+SUMIFS('Diciembre 2026'!$L$9:$L$44,'Diciembre 2026'!$A$9:$A$44,"&gt;="&amp;AA6,'Diciembre 2026'!$A$9:$A$44,"&lt;="&amp;AA6+6,'Diciembre 2026'!$N$9:$N$44,"D"))</f>
        <v>40</v>
      </c>
      <c r="AE6" s="14">
        <f>SUMIFS(R_Hval,R_St,"Approved",R_FProj,1,R_ApD,"&lt;="&amp;AA6+6)</f>
        <v>6</v>
      </c>
      <c r="AF6" s="14">
        <f>AB6+AC6</f>
        <v>7.833333</v>
      </c>
      <c r="AG6" s="13" t="inlineStr">
        <is>
          <t>05/10</t>
        </is>
      </c>
    </row>
    <row r="7" ht="18" customHeight="1">
      <c r="A7" s="4" t="n"/>
      <c r="B7" s="22">
        <f>SUMIFS(R_Hcnt,R_FAll,1)</f>
        <v>16.833333</v>
      </c>
      <c r="D7" s="23" t="n"/>
      <c r="E7" s="4" t="n"/>
      <c r="F7" s="24">
        <f>SUMIFS(R_Hcnt,R_Emp,"Malcolm",R_FAll,1)</f>
        <v>6.333333</v>
      </c>
      <c r="H7" s="23" t="n"/>
      <c r="I7" s="4" t="n"/>
      <c r="J7" s="25">
        <f>SUMIFS(R_Hcnt,R_Emp,"proMX",R_FAll,1)</f>
        <v>10.5</v>
      </c>
      <c r="L7" s="23" t="n"/>
      <c r="M7" s="4" t="n"/>
      <c r="N7" s="26">
        <f>SUMIFS(R_Hcnt,R_FAll,1)-SUMIFS(R_XOvH,R_FAll,1)</f>
        <v>16.833333</v>
      </c>
      <c r="P7" s="23" t="n"/>
      <c r="Q7" s="4" t="n"/>
      <c r="S7" s="13" t="inlineStr">
        <is>
          <t>Diciembre</t>
        </is>
      </c>
      <c r="T7" s="14">
        <f>SUMIFS(R_HD0,R_FProj,1,R_Emp,"Malcolm",R_Fecha,"&gt;="&amp;DATE(2026,12,1),R_Fecha,"&lt;="&amp;DATE(2026,12,31))+SUMIFS(R_HD1,R_FProj,1,R_Emp,"Malcolm",R_D1,"&gt;="&amp;DATE(2026,12,1),R_D1,"&lt;="&amp;DATE(2026,12,31))</f>
        <v>0</v>
      </c>
      <c r="U7" s="14">
        <f>SUMIFS(R_HD0,R_FProj,1,R_Emp,"proMX",R_Fecha,"&gt;="&amp;DATE(2026,12,1),R_Fecha,"&lt;="&amp;DATE(2026,12,31))+SUMIFS(R_HD1,R_FProj,1,R_Emp,"proMX",R_D1,"&gt;="&amp;DATE(2026,12,1),R_D1,"&lt;="&amp;DATE(2026,12,31))</f>
        <v>0</v>
      </c>
      <c r="V7" s="14">
        <f>SUMIFS(R_ND0,R_FProj,1,R_Fecha,"&gt;="&amp;DATE(2026,12,1),R_Fecha,"&lt;="&amp;DATE(2026,12,31))+SUMIFS(R_ND1,R_FProj,1,R_D1,"&gt;="&amp;DATE(2026,12,1),R_D1,"&lt;="&amp;DATE(2026,12,31))</f>
        <v>0</v>
      </c>
      <c r="W7" s="14">
        <f>SUMIFS(R_XD0,R_FProj,1,R_Fecha,"&gt;="&amp;DATE(2026,12,1),R_Fecha,"&lt;="&amp;DATE(2026,12,31))+SUMIFS(R_XD1,R_FProj,1,R_D1,"&gt;="&amp;DATE(2026,12,1),R_D1,"&lt;="&amp;DATE(2026,12,31))</f>
        <v>0</v>
      </c>
      <c r="X7" s="14">
        <f>'Resumen Trimestral'!E12</f>
        <v>176</v>
      </c>
      <c r="Y7" s="14">
        <f>T7+U7</f>
        <v>0</v>
      </c>
      <c r="AA7" s="15" t="n">
        <v>46307</v>
      </c>
      <c r="AB7" s="14">
        <f>SUMIFS(R_HD0,R_FProj,1,R_Emp,"Malcolm",R_Fecha,"&gt;="&amp;AA7,R_Fecha,"&lt;="&amp;AA7+6)+SUMIFS(R_HD1,R_FProj,1,R_Emp,"Malcolm",R_D1,"&gt;="&amp;AA7,R_D1,"&lt;="&amp;AA7+6)</f>
        <v>0</v>
      </c>
      <c r="AC7" s="14">
        <f>SUMIFS(R_HD0,R_FProj,1,R_Emp,"proMX",R_Fecha,"&gt;="&amp;AA7,R_Fecha,"&lt;="&amp;AA7+6)+SUMIFS(R_HD1,R_FProj,1,R_Emp,"proMX",R_D1,"&gt;="&amp;AA7,R_D1,"&lt;="&amp;AA7+6)</f>
        <v>0</v>
      </c>
      <c r="AD7" s="14">
        <f>MIN(CFG_WH,SUMIFS('Octubre 2026'!$L$9:$L$44,'Octubre 2026'!$A$9:$A$44,"&gt;="&amp;AA7,'Octubre 2026'!$A$9:$A$44,"&lt;="&amp;AA7+6,'Octubre 2026'!$N$9:$N$44,"D")+SUMIFS('Noviembre 2026'!$L$9:$L$44,'Noviembre 2026'!$A$9:$A$44,"&gt;="&amp;AA7,'Noviembre 2026'!$A$9:$A$44,"&lt;="&amp;AA7+6,'Noviembre 2026'!$N$9:$N$44,"D")+SUMIFS('Diciembre 2026'!$L$9:$L$44,'Diciembre 2026'!$A$9:$A$44,"&gt;="&amp;AA7,'Diciembre 2026'!$A$9:$A$44,"&lt;="&amp;AA7+6,'Diciembre 2026'!$N$9:$N$44,"D"))</f>
        <v>32</v>
      </c>
      <c r="AE7" s="14">
        <f>SUMIFS(R_Hval,R_St,"Approved",R_FProj,1,R_ApD,"&lt;="&amp;AA7+6)</f>
        <v>6</v>
      </c>
      <c r="AF7" s="14">
        <f>AB7+AC7</f>
        <v>0</v>
      </c>
      <c r="AG7" s="13" t="inlineStr">
        <is>
          <t>12/10</t>
        </is>
      </c>
    </row>
    <row r="8">
      <c r="A8" s="4" t="n"/>
      <c r="B8" s="27" t="n"/>
      <c r="D8" s="23" t="n"/>
      <c r="E8" s="4" t="n"/>
      <c r="F8" s="28" t="n"/>
      <c r="H8" s="23" t="n"/>
      <c r="I8" s="4" t="n"/>
      <c r="J8" s="29" t="n"/>
      <c r="L8" s="23" t="n"/>
      <c r="M8" s="4" t="n"/>
      <c r="N8" s="30" t="n"/>
      <c r="P8" s="23" t="n"/>
      <c r="Q8" s="4" t="n"/>
      <c r="AA8" s="15" t="n">
        <v>46314</v>
      </c>
      <c r="AB8" s="14">
        <f>SUMIFS(R_HD0,R_FProj,1,R_Emp,"Malcolm",R_Fecha,"&gt;="&amp;AA8,R_Fecha,"&lt;="&amp;AA8+6)+SUMIFS(R_HD1,R_FProj,1,R_Emp,"Malcolm",R_D1,"&gt;="&amp;AA8,R_D1,"&lt;="&amp;AA8+6)</f>
        <v>0</v>
      </c>
      <c r="AC8" s="14">
        <f>SUMIFS(R_HD0,R_FProj,1,R_Emp,"proMX",R_Fecha,"&gt;="&amp;AA8,R_Fecha,"&lt;="&amp;AA8+6)+SUMIFS(R_HD1,R_FProj,1,R_Emp,"proMX",R_D1,"&gt;="&amp;AA8,R_D1,"&lt;="&amp;AA8+6)</f>
        <v>0</v>
      </c>
      <c r="AD8" s="14">
        <f>MIN(CFG_WH,SUMIFS('Octubre 2026'!$L$9:$L$44,'Octubre 2026'!$A$9:$A$44,"&gt;="&amp;AA8,'Octubre 2026'!$A$9:$A$44,"&lt;="&amp;AA8+6,'Octubre 2026'!$N$9:$N$44,"D")+SUMIFS('Noviembre 2026'!$L$9:$L$44,'Noviembre 2026'!$A$9:$A$44,"&gt;="&amp;AA8,'Noviembre 2026'!$A$9:$A$44,"&lt;="&amp;AA8+6,'Noviembre 2026'!$N$9:$N$44,"D")+SUMIFS('Diciembre 2026'!$L$9:$L$44,'Diciembre 2026'!$A$9:$A$44,"&gt;="&amp;AA8,'Diciembre 2026'!$A$9:$A$44,"&lt;="&amp;AA8+6,'Diciembre 2026'!$N$9:$N$44,"D"))</f>
        <v>40</v>
      </c>
      <c r="AE8" s="14">
        <f>SUMIFS(R_Hval,R_St,"Approved",R_FProj,1,R_ApD,"&lt;="&amp;AA8+6)</f>
        <v>6</v>
      </c>
      <c r="AF8" s="14">
        <f>AB8+AC8</f>
        <v>0</v>
      </c>
      <c r="AG8" s="13" t="inlineStr">
        <is>
          <t>19/10</t>
        </is>
      </c>
    </row>
    <row r="9">
      <c r="A9" s="4" t="n"/>
      <c r="B9" s="31" t="inlineStr">
        <is>
          <t>Imputadas a ambas empresas</t>
        </is>
      </c>
      <c r="C9" s="32" t="n"/>
      <c r="D9" s="33" t="n"/>
      <c r="E9" s="4" t="n"/>
      <c r="F9" s="34" t="inlineStr">
        <is>
          <t>Registros válidos</t>
        </is>
      </c>
      <c r="G9" s="32" t="n"/>
      <c r="H9" s="33" t="n"/>
      <c r="I9" s="4" t="n"/>
      <c r="J9" s="35" t="inlineStr">
        <is>
          <t>Válidas, sin Cancelled</t>
        </is>
      </c>
      <c r="K9" s="32" t="n"/>
      <c r="L9" s="33" t="n"/>
      <c r="M9" s="4" t="n"/>
      <c r="N9" s="36" t="str">
        <f>"Superposición Malcolm/proMX: "&amp;FIXED(SUMIFS(R_XOvH,R_FAll,1),2)&amp;" h"</f>
        <v>Superposición Malcolm/proMX: 0.00 h</v>
      </c>
      <c r="O9" s="32" t="n"/>
      <c r="P9" s="33" t="n"/>
      <c r="Q9" s="4" t="n"/>
      <c r="AA9" s="15" t="n">
        <v>46321</v>
      </c>
      <c r="AB9" s="14">
        <f>SUMIFS(R_HD0,R_FProj,1,R_Emp,"Malcolm",R_Fecha,"&gt;="&amp;AA9,R_Fecha,"&lt;="&amp;AA9+6)+SUMIFS(R_HD1,R_FProj,1,R_Emp,"Malcolm",R_D1,"&gt;="&amp;AA9,R_D1,"&lt;="&amp;AA9+6)</f>
        <v>0</v>
      </c>
      <c r="AC9" s="14">
        <f>SUMIFS(R_HD0,R_FProj,1,R_Emp,"proMX",R_Fecha,"&gt;="&amp;AA9,R_Fecha,"&lt;="&amp;AA9+6)+SUMIFS(R_HD1,R_FProj,1,R_Emp,"proMX",R_D1,"&gt;="&amp;AA9,R_D1,"&lt;="&amp;AA9+6)</f>
        <v>0</v>
      </c>
      <c r="AD9" s="14">
        <f>MIN(CFG_WH,SUMIFS('Octubre 2026'!$L$9:$L$44,'Octubre 2026'!$A$9:$A$44,"&gt;="&amp;AA9,'Octubre 2026'!$A$9:$A$44,"&lt;="&amp;AA9+6,'Octubre 2026'!$N$9:$N$44,"D")+SUMIFS('Noviembre 2026'!$L$9:$L$44,'Noviembre 2026'!$A$9:$A$44,"&gt;="&amp;AA9,'Noviembre 2026'!$A$9:$A$44,"&lt;="&amp;AA9+6,'Noviembre 2026'!$N$9:$N$44,"D")+SUMIFS('Diciembre 2026'!$L$9:$L$44,'Diciembre 2026'!$A$9:$A$44,"&gt;="&amp;AA9,'Diciembre 2026'!$A$9:$A$44,"&lt;="&amp;AA9+6,'Diciembre 2026'!$N$9:$N$44,"D"))</f>
        <v>40</v>
      </c>
      <c r="AE9" s="14">
        <f>SUMIFS(R_Hval,R_St,"Approved",R_FProj,1,R_ApD,"&lt;="&amp;AA9+6)</f>
        <v>6</v>
      </c>
      <c r="AF9" s="14">
        <f>AB9+AC9</f>
        <v>0</v>
      </c>
      <c r="AG9" s="13" t="inlineStr">
        <is>
          <t>26/10</t>
        </is>
      </c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S10" s="12" t="inlineStr">
        <is>
          <t>Estado proMX</t>
        </is>
      </c>
      <c r="T10" s="12" t="inlineStr">
        <is>
          <t>Horas</t>
        </is>
      </c>
      <c r="AA10" s="15" t="n">
        <v>46328</v>
      </c>
      <c r="AB10" s="14">
        <f>SUMIFS(R_HD0,R_FProj,1,R_Emp,"Malcolm",R_Fecha,"&gt;="&amp;AA10,R_Fecha,"&lt;="&amp;AA10+6)+SUMIFS(R_HD1,R_FProj,1,R_Emp,"Malcolm",R_D1,"&gt;="&amp;AA10,R_D1,"&lt;="&amp;AA10+6)</f>
        <v>0</v>
      </c>
      <c r="AC10" s="14">
        <f>SUMIFS(R_HD0,R_FProj,1,R_Emp,"proMX",R_Fecha,"&gt;="&amp;AA10,R_Fecha,"&lt;="&amp;AA10+6)+SUMIFS(R_HD1,R_FProj,1,R_Emp,"proMX",R_D1,"&gt;="&amp;AA10,R_D1,"&lt;="&amp;AA10+6)</f>
        <v>0</v>
      </c>
      <c r="AD10" s="14">
        <f>MIN(CFG_WH,SUMIFS('Octubre 2026'!$L$9:$L$44,'Octubre 2026'!$A$9:$A$44,"&gt;="&amp;AA10,'Octubre 2026'!$A$9:$A$44,"&lt;="&amp;AA10+6,'Octubre 2026'!$N$9:$N$44,"D")+SUMIFS('Noviembre 2026'!$L$9:$L$44,'Noviembre 2026'!$A$9:$A$44,"&gt;="&amp;AA10,'Noviembre 2026'!$A$9:$A$44,"&lt;="&amp;AA10+6,'Noviembre 2026'!$N$9:$N$44,"D")+SUMIFS('Diciembre 2026'!$L$9:$L$44,'Diciembre 2026'!$A$9:$A$44,"&gt;="&amp;AA10,'Diciembre 2026'!$A$9:$A$44,"&lt;="&amp;AA10+6,'Diciembre 2026'!$N$9:$N$44,"D"))</f>
        <v>40</v>
      </c>
      <c r="AE10" s="14">
        <f>SUMIFS(R_Hval,R_St,"Approved",R_FProj,1,R_ApD,"&lt;="&amp;AA10+6)</f>
        <v>6</v>
      </c>
      <c r="AF10" s="14">
        <f>AB10+AC10</f>
        <v>0</v>
      </c>
      <c r="AG10" s="13" t="inlineStr">
        <is>
          <t>02/11</t>
        </is>
      </c>
    </row>
    <row r="11">
      <c r="A11" s="4" t="n"/>
      <c r="B11" s="21" t="inlineStr">
        <is>
          <t>HORAS NORMALES</t>
        </is>
      </c>
      <c r="C11" s="17" t="n"/>
      <c r="D11" s="18" t="n"/>
      <c r="E11" s="4" t="n"/>
      <c r="F11" s="37" t="inlineStr">
        <is>
          <t>HORAS EXTRAS</t>
        </is>
      </c>
      <c r="G11" s="17" t="n"/>
      <c r="H11" s="18" t="n"/>
      <c r="I11" s="4" t="n"/>
      <c r="J11" s="16" t="inlineStr">
        <is>
          <t>HORAS OBJETIVO</t>
        </is>
      </c>
      <c r="K11" s="17" t="n"/>
      <c r="L11" s="18" t="n"/>
      <c r="M11" s="4" t="n"/>
      <c r="N11" s="38" t="inlineStr">
        <is>
          <t>HORAS DRAFT</t>
        </is>
      </c>
      <c r="O11" s="17" t="n"/>
      <c r="P11" s="18" t="n"/>
      <c r="Q11" s="4" t="n"/>
      <c r="S11" s="13" t="inlineStr">
        <is>
          <t>Draft</t>
        </is>
      </c>
      <c r="T11" s="14">
        <f>SUMIFS(R_Hval,R_St,"Draft",R_FProj,1)</f>
        <v>1.5</v>
      </c>
      <c r="AA11" s="15" t="n">
        <v>46335</v>
      </c>
      <c r="AB11" s="14">
        <f>SUMIFS(R_HD0,R_FProj,1,R_Emp,"Malcolm",R_Fecha,"&gt;="&amp;AA11,R_Fecha,"&lt;="&amp;AA11+6)+SUMIFS(R_HD1,R_FProj,1,R_Emp,"Malcolm",R_D1,"&gt;="&amp;AA11,R_D1,"&lt;="&amp;AA11+6)</f>
        <v>0</v>
      </c>
      <c r="AC11" s="14">
        <f>SUMIFS(R_HD0,R_FProj,1,R_Emp,"proMX",R_Fecha,"&gt;="&amp;AA11,R_Fecha,"&lt;="&amp;AA11+6)+SUMIFS(R_HD1,R_FProj,1,R_Emp,"proMX",R_D1,"&gt;="&amp;AA11,R_D1,"&lt;="&amp;AA11+6)</f>
        <v>0</v>
      </c>
      <c r="AD11" s="14">
        <f>MIN(CFG_WH,SUMIFS('Octubre 2026'!$L$9:$L$44,'Octubre 2026'!$A$9:$A$44,"&gt;="&amp;AA11,'Octubre 2026'!$A$9:$A$44,"&lt;="&amp;AA11+6,'Octubre 2026'!$N$9:$N$44,"D")+SUMIFS('Noviembre 2026'!$L$9:$L$44,'Noviembre 2026'!$A$9:$A$44,"&gt;="&amp;AA11,'Noviembre 2026'!$A$9:$A$44,"&lt;="&amp;AA11+6,'Noviembre 2026'!$N$9:$N$44,"D")+SUMIFS('Diciembre 2026'!$L$9:$L$44,'Diciembre 2026'!$A$9:$A$44,"&gt;="&amp;AA11,'Diciembre 2026'!$A$9:$A$44,"&lt;="&amp;AA11+6,'Diciembre 2026'!$N$9:$N$44,"D"))</f>
        <v>32</v>
      </c>
      <c r="AE11" s="14">
        <f>SUMIFS(R_Hval,R_St,"Approved",R_FProj,1,R_ApD,"&lt;="&amp;AA11+6)</f>
        <v>6</v>
      </c>
      <c r="AF11" s="14">
        <f>AB11+AC11</f>
        <v>0</v>
      </c>
      <c r="AG11" s="13" t="inlineStr">
        <is>
          <t>09/11</t>
        </is>
      </c>
    </row>
    <row r="12" ht="18" customHeight="1">
      <c r="A12" s="4" t="n"/>
      <c r="B12" s="26">
        <f>SUMIFS(R_NorH,R_FAll,1)</f>
        <v>14.833333</v>
      </c>
      <c r="D12" s="23" t="n"/>
      <c r="E12" s="4" t="n"/>
      <c r="F12" s="39">
        <f>SUMIFS(R_ExtH,R_FAll,1)</f>
        <v>2</v>
      </c>
      <c r="H12" s="23" t="n"/>
      <c r="I12" s="4" t="n"/>
      <c r="J12" s="22">
        <f>IF(DB_MON="Todos",'Resumen Trimestral'!F12,INDEX('Resumen Trimestral'!C12:E12,MATCH(DB_MON,L_MES3,0)))</f>
        <v>496</v>
      </c>
      <c r="L12" s="23" t="n"/>
      <c r="M12" s="4" t="n"/>
      <c r="N12" s="40">
        <f>SUMIFS(R_Hval,R_St,"Draft",R_FAll,1)</f>
        <v>1.5</v>
      </c>
      <c r="P12" s="23" t="n"/>
      <c r="Q12" s="4" t="n"/>
      <c r="S12" s="13" t="inlineStr">
        <is>
          <t>Submitted</t>
        </is>
      </c>
      <c r="T12" s="14">
        <f>SUMIFS(R_Hval,R_St,"Submitted",R_FProj,1)</f>
        <v>3</v>
      </c>
      <c r="AA12" s="15" t="n">
        <v>46342</v>
      </c>
      <c r="AB12" s="14">
        <f>SUMIFS(R_HD0,R_FProj,1,R_Emp,"Malcolm",R_Fecha,"&gt;="&amp;AA12,R_Fecha,"&lt;="&amp;AA12+6)+SUMIFS(R_HD1,R_FProj,1,R_Emp,"Malcolm",R_D1,"&gt;="&amp;AA12,R_D1,"&lt;="&amp;AA12+6)</f>
        <v>0</v>
      </c>
      <c r="AC12" s="14">
        <f>SUMIFS(R_HD0,R_FProj,1,R_Emp,"proMX",R_Fecha,"&gt;="&amp;AA12,R_Fecha,"&lt;="&amp;AA12+6)+SUMIFS(R_HD1,R_FProj,1,R_Emp,"proMX",R_D1,"&gt;="&amp;AA12,R_D1,"&lt;="&amp;AA12+6)</f>
        <v>0</v>
      </c>
      <c r="AD12" s="14">
        <f>MIN(CFG_WH,SUMIFS('Octubre 2026'!$L$9:$L$44,'Octubre 2026'!$A$9:$A$44,"&gt;="&amp;AA12,'Octubre 2026'!$A$9:$A$44,"&lt;="&amp;AA12+6,'Octubre 2026'!$N$9:$N$44,"D")+SUMIFS('Noviembre 2026'!$L$9:$L$44,'Noviembre 2026'!$A$9:$A$44,"&gt;="&amp;AA12,'Noviembre 2026'!$A$9:$A$44,"&lt;="&amp;AA12+6,'Noviembre 2026'!$N$9:$N$44,"D")+SUMIFS('Diciembre 2026'!$L$9:$L$44,'Diciembre 2026'!$A$9:$A$44,"&gt;="&amp;AA12,'Diciembre 2026'!$A$9:$A$44,"&lt;="&amp;AA12+6,'Diciembre 2026'!$N$9:$N$44,"D"))</f>
        <v>40</v>
      </c>
      <c r="AE12" s="14">
        <f>SUMIFS(R_Hval,R_St,"Approved",R_FProj,1,R_ApD,"&lt;="&amp;AA12+6)</f>
        <v>6</v>
      </c>
      <c r="AF12" s="14">
        <f>AB12+AC12</f>
        <v>0</v>
      </c>
      <c r="AG12" s="13" t="inlineStr">
        <is>
          <t>16/11</t>
        </is>
      </c>
    </row>
    <row r="13">
      <c r="A13" s="4" t="n"/>
      <c r="B13" s="30" t="n"/>
      <c r="D13" s="23" t="n"/>
      <c r="E13" s="4" t="n"/>
      <c r="F13" s="41" t="n"/>
      <c r="H13" s="23" t="n"/>
      <c r="I13" s="4" t="n"/>
      <c r="J13" s="27" t="n"/>
      <c r="L13" s="23" t="n"/>
      <c r="M13" s="4" t="n"/>
      <c r="N13" s="42" t="n"/>
      <c r="P13" s="23" t="n"/>
      <c r="Q13" s="4" t="n"/>
      <c r="S13" s="13" t="inlineStr">
        <is>
          <t>Approved</t>
        </is>
      </c>
      <c r="T13" s="14">
        <f>SUMIFS(R_Hval,R_St,"Approved",R_FProj,1)</f>
        <v>6</v>
      </c>
      <c r="AA13" s="15" t="n">
        <v>46349</v>
      </c>
      <c r="AB13" s="14">
        <f>SUMIFS(R_HD0,R_FProj,1,R_Emp,"Malcolm",R_Fecha,"&gt;="&amp;AA13,R_Fecha,"&lt;="&amp;AA13+6)+SUMIFS(R_HD1,R_FProj,1,R_Emp,"Malcolm",R_D1,"&gt;="&amp;AA13,R_D1,"&lt;="&amp;AA13+6)</f>
        <v>0</v>
      </c>
      <c r="AC13" s="14">
        <f>SUMIFS(R_HD0,R_FProj,1,R_Emp,"proMX",R_Fecha,"&gt;="&amp;AA13,R_Fecha,"&lt;="&amp;AA13+6)+SUMIFS(R_HD1,R_FProj,1,R_Emp,"proMX",R_D1,"&gt;="&amp;AA13,R_D1,"&lt;="&amp;AA13+6)</f>
        <v>0</v>
      </c>
      <c r="AD13" s="14">
        <f>MIN(CFG_WH,SUMIFS('Octubre 2026'!$L$9:$L$44,'Octubre 2026'!$A$9:$A$44,"&gt;="&amp;AA13,'Octubre 2026'!$A$9:$A$44,"&lt;="&amp;AA13+6,'Octubre 2026'!$N$9:$N$44,"D")+SUMIFS('Noviembre 2026'!$L$9:$L$44,'Noviembre 2026'!$A$9:$A$44,"&gt;="&amp;AA13,'Noviembre 2026'!$A$9:$A$44,"&lt;="&amp;AA13+6,'Noviembre 2026'!$N$9:$N$44,"D")+SUMIFS('Diciembre 2026'!$L$9:$L$44,'Diciembre 2026'!$A$9:$A$44,"&gt;="&amp;AA13,'Diciembre 2026'!$A$9:$A$44,"&lt;="&amp;AA13+6,'Diciembre 2026'!$N$9:$N$44,"D"))</f>
        <v>32</v>
      </c>
      <c r="AE13" s="14">
        <f>SUMIFS(R_Hval,R_St,"Approved",R_FProj,1,R_ApD,"&lt;="&amp;AA13+6)</f>
        <v>6</v>
      </c>
      <c r="AF13" s="14">
        <f>AB13+AC13</f>
        <v>0</v>
      </c>
      <c r="AG13" s="13" t="inlineStr">
        <is>
          <t>23/11</t>
        </is>
      </c>
    </row>
    <row r="14">
      <c r="A14" s="4" t="n"/>
      <c r="B14" s="36" t="inlineStr">
        <is>
          <t>Dentro del horario laboral</t>
        </is>
      </c>
      <c r="C14" s="32" t="n"/>
      <c r="D14" s="33" t="n"/>
      <c r="E14" s="4" t="n"/>
      <c r="F14" s="43" t="inlineStr">
        <is>
          <t>Fuera de horario / días no laborables</t>
        </is>
      </c>
      <c r="G14" s="32" t="n"/>
      <c r="H14" s="33" t="n"/>
      <c r="I14" s="4" t="n"/>
      <c r="J14" s="31" t="str">
        <f>"Cumplimiento (todos los proyectos): "&amp;FIXED(IFERROR(100*SUMIFS(R_Hcnt,R_FMon,1)/J12,0),0)&amp;"%"</f>
        <v>Cumplimiento (todos los proyectos): 3%</v>
      </c>
      <c r="K14" s="32" t="n"/>
      <c r="L14" s="33" t="n"/>
      <c r="M14" s="4" t="n"/>
      <c r="N14" s="44" t="inlineStr">
        <is>
          <t>proMX · registradas, sin enviar</t>
        </is>
      </c>
      <c r="O14" s="32" t="n"/>
      <c r="P14" s="33" t="n"/>
      <c r="Q14" s="4" t="n"/>
      <c r="S14" s="13" t="inlineStr">
        <is>
          <t>Returned</t>
        </is>
      </c>
      <c r="T14" s="14">
        <f>SUMIFS(R_Hval,R_St,"Returned",R_FProj,1)</f>
        <v>0</v>
      </c>
      <c r="AA14" s="15" t="n">
        <v>46356</v>
      </c>
      <c r="AB14" s="14">
        <f>SUMIFS(R_HD0,R_FProj,1,R_Emp,"Malcolm",R_Fecha,"&gt;="&amp;AA14,R_Fecha,"&lt;="&amp;AA14+6)+SUMIFS(R_HD1,R_FProj,1,R_Emp,"Malcolm",R_D1,"&gt;="&amp;AA14,R_D1,"&lt;="&amp;AA14+6)</f>
        <v>0</v>
      </c>
      <c r="AC14" s="14">
        <f>SUMIFS(R_HD0,R_FProj,1,R_Emp,"proMX",R_Fecha,"&gt;="&amp;AA14,R_Fecha,"&lt;="&amp;AA14+6)+SUMIFS(R_HD1,R_FProj,1,R_Emp,"proMX",R_D1,"&gt;="&amp;AA14,R_D1,"&lt;="&amp;AA14+6)</f>
        <v>0</v>
      </c>
      <c r="AD14" s="14">
        <f>MIN(CFG_WH,SUMIFS('Octubre 2026'!$L$9:$L$44,'Octubre 2026'!$A$9:$A$44,"&gt;="&amp;AA14,'Octubre 2026'!$A$9:$A$44,"&lt;="&amp;AA14+6,'Octubre 2026'!$N$9:$N$44,"D")+SUMIFS('Noviembre 2026'!$L$9:$L$44,'Noviembre 2026'!$A$9:$A$44,"&gt;="&amp;AA14,'Noviembre 2026'!$A$9:$A$44,"&lt;="&amp;AA14+6,'Noviembre 2026'!$N$9:$N$44,"D")+SUMIFS('Diciembre 2026'!$L$9:$L$44,'Diciembre 2026'!$A$9:$A$44,"&gt;="&amp;AA14,'Diciembre 2026'!$A$9:$A$44,"&lt;="&amp;AA14+6,'Diciembre 2026'!$N$9:$N$44,"D"))</f>
        <v>40</v>
      </c>
      <c r="AE14" s="14">
        <f>SUMIFS(R_Hval,R_St,"Approved",R_FProj,1,R_ApD,"&lt;="&amp;AA14+6)</f>
        <v>6</v>
      </c>
      <c r="AF14" s="14">
        <f>AB14+AC14</f>
        <v>0</v>
      </c>
      <c r="AG14" s="13" t="inlineStr">
        <is>
          <t>30/11</t>
        </is>
      </c>
    </row>
    <row r="15" ht="8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S15" s="13" t="inlineStr">
        <is>
          <t>Recall Requested</t>
        </is>
      </c>
      <c r="T15" s="14">
        <f>SUMIFS(R_Hval,R_St,"Recall Requested",R_FProj,1)</f>
        <v>0</v>
      </c>
      <c r="AA15" s="15" t="n">
        <v>46363</v>
      </c>
      <c r="AB15" s="14">
        <f>SUMIFS(R_HD0,R_FProj,1,R_Emp,"Malcolm",R_Fecha,"&gt;="&amp;AA15,R_Fecha,"&lt;="&amp;AA15+6)+SUMIFS(R_HD1,R_FProj,1,R_Emp,"Malcolm",R_D1,"&gt;="&amp;AA15,R_D1,"&lt;="&amp;AA15+6)</f>
        <v>0</v>
      </c>
      <c r="AC15" s="14">
        <f>SUMIFS(R_HD0,R_FProj,1,R_Emp,"proMX",R_Fecha,"&gt;="&amp;AA15,R_Fecha,"&lt;="&amp;AA15+6)+SUMIFS(R_HD1,R_FProj,1,R_Emp,"proMX",R_D1,"&gt;="&amp;AA15,R_D1,"&lt;="&amp;AA15+6)</f>
        <v>0</v>
      </c>
      <c r="AD15" s="14">
        <f>MIN(CFG_WH,SUMIFS('Octubre 2026'!$L$9:$L$44,'Octubre 2026'!$A$9:$A$44,"&gt;="&amp;AA15,'Octubre 2026'!$A$9:$A$44,"&lt;="&amp;AA15+6,'Octubre 2026'!$N$9:$N$44,"D")+SUMIFS('Noviembre 2026'!$L$9:$L$44,'Noviembre 2026'!$A$9:$A$44,"&gt;="&amp;AA15,'Noviembre 2026'!$A$9:$A$44,"&lt;="&amp;AA15+6,'Noviembre 2026'!$N$9:$N$44,"D")+SUMIFS('Diciembre 2026'!$L$9:$L$44,'Diciembre 2026'!$A$9:$A$44,"&gt;="&amp;AA15,'Diciembre 2026'!$A$9:$A$44,"&lt;="&amp;AA15+6,'Diciembre 2026'!$N$9:$N$44,"D"))</f>
        <v>40</v>
      </c>
      <c r="AE15" s="14">
        <f>SUMIFS(R_Hval,R_St,"Approved",R_FProj,1,R_ApD,"&lt;="&amp;AA15+6)</f>
        <v>6</v>
      </c>
      <c r="AF15" s="14">
        <f>AB15+AC15</f>
        <v>0</v>
      </c>
      <c r="AG15" s="13" t="inlineStr">
        <is>
          <t>07/12</t>
        </is>
      </c>
    </row>
    <row r="16">
      <c r="A16" s="4" t="n"/>
      <c r="B16" s="45" t="inlineStr">
        <is>
          <t>HORAS SUBMITTED</t>
        </is>
      </c>
      <c r="C16" s="17" t="n"/>
      <c r="D16" s="18" t="n"/>
      <c r="E16" s="4" t="n"/>
      <c r="F16" s="46" t="inlineStr">
        <is>
          <t>HORAS APPROVED</t>
        </is>
      </c>
      <c r="G16" s="17" t="n"/>
      <c r="H16" s="18" t="n"/>
      <c r="I16" s="4" t="n"/>
      <c r="J16" s="37" t="inlineStr">
        <is>
          <t>PENDIENTES DE APROBACIÓN</t>
        </is>
      </c>
      <c r="K16" s="17" t="n"/>
      <c r="L16" s="18" t="n"/>
      <c r="M16" s="4" t="n"/>
      <c r="N16" s="46" t="inlineStr">
        <is>
          <t>BLOQUES PROMX APROBADOS</t>
        </is>
      </c>
      <c r="O16" s="17" t="n"/>
      <c r="P16" s="18" t="n"/>
      <c r="Q16" s="4" t="n"/>
      <c r="S16" s="13" t="inlineStr">
        <is>
          <t>Cancelled</t>
        </is>
      </c>
      <c r="T16" s="14">
        <f>SUMIFS(R_Hval,R_St,"Cancelled",R_FProj,1)</f>
        <v>0</v>
      </c>
      <c r="AA16" s="15" t="n">
        <v>46370</v>
      </c>
      <c r="AB16" s="14">
        <f>SUMIFS(R_HD0,R_FProj,1,R_Emp,"Malcolm",R_Fecha,"&gt;="&amp;AA16,R_Fecha,"&lt;="&amp;AA16+6)+SUMIFS(R_HD1,R_FProj,1,R_Emp,"Malcolm",R_D1,"&gt;="&amp;AA16,R_D1,"&lt;="&amp;AA16+6)</f>
        <v>0</v>
      </c>
      <c r="AC16" s="14">
        <f>SUMIFS(R_HD0,R_FProj,1,R_Emp,"proMX",R_Fecha,"&gt;="&amp;AA16,R_Fecha,"&lt;="&amp;AA16+6)+SUMIFS(R_HD1,R_FProj,1,R_Emp,"proMX",R_D1,"&gt;="&amp;AA16,R_D1,"&lt;="&amp;AA16+6)</f>
        <v>0</v>
      </c>
      <c r="AD16" s="14">
        <f>MIN(CFG_WH,SUMIFS('Octubre 2026'!$L$9:$L$44,'Octubre 2026'!$A$9:$A$44,"&gt;="&amp;AA16,'Octubre 2026'!$A$9:$A$44,"&lt;="&amp;AA16+6,'Octubre 2026'!$N$9:$N$44,"D")+SUMIFS('Noviembre 2026'!$L$9:$L$44,'Noviembre 2026'!$A$9:$A$44,"&gt;="&amp;AA16,'Noviembre 2026'!$A$9:$A$44,"&lt;="&amp;AA16+6,'Noviembre 2026'!$N$9:$N$44,"D")+SUMIFS('Diciembre 2026'!$L$9:$L$44,'Diciembre 2026'!$A$9:$A$44,"&gt;="&amp;AA16,'Diciembre 2026'!$A$9:$A$44,"&lt;="&amp;AA16+6,'Diciembre 2026'!$N$9:$N$44,"D"))</f>
        <v>40</v>
      </c>
      <c r="AE16" s="14">
        <f>SUMIFS(R_Hval,R_St,"Approved",R_FProj,1,R_ApD,"&lt;="&amp;AA16+6)</f>
        <v>6</v>
      </c>
      <c r="AF16" s="14">
        <f>AB16+AC16</f>
        <v>0</v>
      </c>
      <c r="AG16" s="13" t="inlineStr">
        <is>
          <t>14/12</t>
        </is>
      </c>
    </row>
    <row r="17" ht="18" customHeight="1">
      <c r="A17" s="4" t="n"/>
      <c r="B17" s="47">
        <f>SUMIFS(R_Hval,R_St,"Submitted",R_FAll,1)</f>
        <v>3</v>
      </c>
      <c r="D17" s="23" t="n"/>
      <c r="E17" s="4" t="n"/>
      <c r="F17" s="48">
        <f>SUMIFS(R_Hval,R_St,"Approved",R_FAll,1)</f>
        <v>6</v>
      </c>
      <c r="H17" s="23" t="n"/>
      <c r="I17" s="4" t="n"/>
      <c r="J17" s="39">
        <f>SUMIFS(R_Hval,R_St,"Submitted",R_FAll,1)+SUMIFS(R_Hval,R_St,"Recall Requested",R_FAll,1)</f>
        <v>3</v>
      </c>
      <c r="L17" s="23" t="n"/>
      <c r="M17" s="4" t="n"/>
      <c r="N17" s="49">
        <f>SUMIFS(R_BlkV,R_St,"Approved",R_FAll,1)</f>
        <v>12</v>
      </c>
      <c r="P17" s="23" t="n"/>
      <c r="Q17" s="4" t="n"/>
      <c r="AA17" s="15" t="n">
        <v>46377</v>
      </c>
      <c r="AB17" s="14">
        <f>SUMIFS(R_HD0,R_FProj,1,R_Emp,"Malcolm",R_Fecha,"&gt;="&amp;AA17,R_Fecha,"&lt;="&amp;AA17+6)+SUMIFS(R_HD1,R_FProj,1,R_Emp,"Malcolm",R_D1,"&gt;="&amp;AA17,R_D1,"&lt;="&amp;AA17+6)</f>
        <v>0</v>
      </c>
      <c r="AC17" s="14">
        <f>SUMIFS(R_HD0,R_FProj,1,R_Emp,"proMX",R_Fecha,"&gt;="&amp;AA17,R_Fecha,"&lt;="&amp;AA17+6)+SUMIFS(R_HD1,R_FProj,1,R_Emp,"proMX",R_D1,"&gt;="&amp;AA17,R_D1,"&lt;="&amp;AA17+6)</f>
        <v>0</v>
      </c>
      <c r="AD17" s="14">
        <f>MIN(CFG_WH,SUMIFS('Octubre 2026'!$L$9:$L$44,'Octubre 2026'!$A$9:$A$44,"&gt;="&amp;AA17,'Octubre 2026'!$A$9:$A$44,"&lt;="&amp;AA17+6,'Octubre 2026'!$N$9:$N$44,"D")+SUMIFS('Noviembre 2026'!$L$9:$L$44,'Noviembre 2026'!$A$9:$A$44,"&gt;="&amp;AA17,'Noviembre 2026'!$A$9:$A$44,"&lt;="&amp;AA17+6,'Noviembre 2026'!$N$9:$N$44,"D")+SUMIFS('Diciembre 2026'!$L$9:$L$44,'Diciembre 2026'!$A$9:$A$44,"&gt;="&amp;AA17,'Diciembre 2026'!$A$9:$A$44,"&lt;="&amp;AA17+6,'Diciembre 2026'!$N$9:$N$44,"D"))</f>
        <v>32</v>
      </c>
      <c r="AE17" s="14">
        <f>SUMIFS(R_Hval,R_St,"Approved",R_FProj,1,R_ApD,"&lt;="&amp;AA17+6)</f>
        <v>6</v>
      </c>
      <c r="AF17" s="14">
        <f>AB17+AC17</f>
        <v>0</v>
      </c>
      <c r="AG17" s="13" t="inlineStr">
        <is>
          <t>21/12</t>
        </is>
      </c>
    </row>
    <row r="18">
      <c r="A18" s="4" t="n"/>
      <c r="B18" s="50" t="n"/>
      <c r="D18" s="23" t="n"/>
      <c r="E18" s="4" t="n"/>
      <c r="F18" s="51" t="n"/>
      <c r="H18" s="23" t="n"/>
      <c r="I18" s="4" t="n"/>
      <c r="J18" s="41" t="n"/>
      <c r="L18" s="23" t="n"/>
      <c r="M18" s="4" t="n"/>
      <c r="N18" s="51" t="n"/>
      <c r="P18" s="23" t="n"/>
      <c r="Q18" s="4" t="n"/>
      <c r="AA18" s="15" t="n">
        <v>46384</v>
      </c>
      <c r="AB18" s="14">
        <f>SUMIFS(R_HD0,R_FProj,1,R_Emp,"Malcolm",R_Fecha,"&gt;="&amp;AA18,R_Fecha,"&lt;="&amp;AA18+6)+SUMIFS(R_HD1,R_FProj,1,R_Emp,"Malcolm",R_D1,"&gt;="&amp;AA18,R_D1,"&lt;="&amp;AA18+6)</f>
        <v>0</v>
      </c>
      <c r="AC18" s="14">
        <f>SUMIFS(R_HD0,R_FProj,1,R_Emp,"proMX",R_Fecha,"&gt;="&amp;AA18,R_Fecha,"&lt;="&amp;AA18+6)+SUMIFS(R_HD1,R_FProj,1,R_Emp,"proMX",R_D1,"&gt;="&amp;AA18,R_D1,"&lt;="&amp;AA18+6)</f>
        <v>0</v>
      </c>
      <c r="AD18" s="14">
        <f>MIN(CFG_WH,SUMIFS('Octubre 2026'!$L$9:$L$44,'Octubre 2026'!$A$9:$A$44,"&gt;="&amp;AA18,'Octubre 2026'!$A$9:$A$44,"&lt;="&amp;AA18+6,'Octubre 2026'!$N$9:$N$44,"D")+SUMIFS('Noviembre 2026'!$L$9:$L$44,'Noviembre 2026'!$A$9:$A$44,"&gt;="&amp;AA18,'Noviembre 2026'!$A$9:$A$44,"&lt;="&amp;AA18+6,'Noviembre 2026'!$N$9:$N$44,"D")+SUMIFS('Diciembre 2026'!$L$9:$L$44,'Diciembre 2026'!$A$9:$A$44,"&gt;="&amp;AA18,'Diciembre 2026'!$A$9:$A$44,"&lt;="&amp;AA18+6,'Diciembre 2026'!$N$9:$N$44,"D"))</f>
        <v>32</v>
      </c>
      <c r="AE18" s="14">
        <f>SUMIFS(R_Hval,R_St,"Approved",R_FProj,1,R_ApD,"&lt;="&amp;AA18+6)</f>
        <v>6</v>
      </c>
      <c r="AF18" s="14">
        <f>AB18+AC18</f>
        <v>0</v>
      </c>
      <c r="AG18" s="13" t="inlineStr">
        <is>
          <t>28/12</t>
        </is>
      </c>
    </row>
    <row r="19">
      <c r="A19" s="4" t="n"/>
      <c r="B19" s="52" t="inlineStr">
        <is>
          <t>proMX · enviadas, esperando aprobación</t>
        </is>
      </c>
      <c r="C19" s="32" t="n"/>
      <c r="D19" s="33" t="n"/>
      <c r="E19" s="4" t="n"/>
      <c r="F19" s="53" t="inlineStr">
        <is>
          <t>proMX · aprobadas</t>
        </is>
      </c>
      <c r="G19" s="32" t="n"/>
      <c r="H19" s="33" t="n"/>
      <c r="I19" s="4" t="n"/>
      <c r="J19" s="43" t="str">
        <f>"Submitted + Recall · Pend. envío: "&amp;FIXED(SUMIFS(R_Hval,R_St,"Draft",R_FAll,1)+SUMIFS(R_Hval,R_St,"Returned",R_FAll,1),2)&amp;" h"</f>
        <v>Submitted + Recall · Pend. envío: 1.50 h</v>
      </c>
      <c r="K19" s="32" t="n"/>
      <c r="L19" s="33" t="n"/>
      <c r="M19" s="4" t="n"/>
      <c r="N19" s="53" t="str">
        <f>"% aprobación: "&amp;FIXED(IFERROR(100*SUMIFS(R_Hval,R_St,"Approved",R_FAll,1)/(SUMIFS(R_Hval,R_St,"Approved",R_FAll,1)+SUMIFS(R_Hval,R_St,"Submitted",R_FAll,1)+SUMIFS(R_Hval,R_St,"Returned",R_FAll,1)+SUMIFS(R_Hval,R_St,"Recall Requested",R_FAll,1)),0),1)&amp;"%"</f>
        <v>% aprobación: 66.7%</v>
      </c>
      <c r="O19" s="32" t="n"/>
      <c r="P19" s="33" t="n"/>
      <c r="Q19" s="4" t="n"/>
    </row>
    <row r="20" ht="8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6" t="inlineStr">
        <is>
          <t>USD APROBADOS</t>
        </is>
      </c>
      <c r="C21" s="17" t="n"/>
      <c r="D21" s="18" t="n"/>
      <c r="E21" s="4" t="n"/>
      <c r="F21" s="21" t="inlineStr">
        <is>
          <t>USD COBRADOS</t>
        </is>
      </c>
      <c r="G21" s="17" t="n"/>
      <c r="H21" s="18" t="n"/>
      <c r="I21" s="4" t="n"/>
      <c r="J21" s="37" t="inlineStr">
        <is>
          <t>USD PENDIENTES DE COBRO</t>
        </is>
      </c>
      <c r="K21" s="17" t="n"/>
      <c r="L21" s="18" t="n"/>
      <c r="M21" s="4" t="n"/>
      <c r="N21" s="54" t="inlineStr">
        <is>
          <t>REGISTROS A REVISAR</t>
        </is>
      </c>
      <c r="O21" s="17" t="n"/>
      <c r="P21" s="18" t="n"/>
      <c r="Q21" s="4" t="n"/>
    </row>
    <row r="22" ht="18" customHeight="1">
      <c r="A22" s="4" t="n"/>
      <c r="B22" s="55">
        <f>SUMIFS(R_USD,R_St,"Approved",R_FAll,1)</f>
        <v>300</v>
      </c>
      <c r="D22" s="23" t="n"/>
      <c r="E22" s="4" t="n"/>
      <c r="F22" s="56">
        <f>IF(DB_MON="Todos",SUM(PAY_AMT),SUMIFS(PAY_AMT,PAY_PER,DB_MON))</f>
        <v>200</v>
      </c>
      <c r="H22" s="23" t="n"/>
      <c r="I22" s="4" t="n"/>
      <c r="J22" s="57">
        <f>SUMIFS(R_USD,R_St,"Approved",R_FMon,1)-IF(DB_MON="Todos",SUM(PAY_AMT),SUMIFS(PAY_AMT,PAY_PER,DB_MON))</f>
        <v>100</v>
      </c>
      <c r="L22" s="23" t="n"/>
      <c r="M22" s="4" t="n"/>
      <c r="N22" s="58">
        <f>COUNTIFS(R_Used,1,R_Valid,0)</f>
        <v>0</v>
      </c>
      <c r="P22" s="23" t="n"/>
      <c r="Q22" s="4" t="n"/>
    </row>
    <row r="23">
      <c r="A23" s="4" t="n"/>
      <c r="B23" s="51" t="n"/>
      <c r="D23" s="23" t="n"/>
      <c r="E23" s="4" t="n"/>
      <c r="F23" s="30" t="n"/>
      <c r="H23" s="23" t="n"/>
      <c r="I23" s="4" t="n"/>
      <c r="J23" s="41" t="n"/>
      <c r="L23" s="23" t="n"/>
      <c r="M23" s="4" t="n"/>
      <c r="N23" s="59" t="n"/>
      <c r="P23" s="23" t="n"/>
      <c r="Q23" s="4" t="n"/>
    </row>
    <row r="24">
      <c r="A24" s="4" t="n"/>
      <c r="B24" s="53" t="inlineStr">
        <is>
          <t>Horas aprobadas × tarifa</t>
        </is>
      </c>
      <c r="C24" s="32" t="n"/>
      <c r="D24" s="33" t="n"/>
      <c r="E24" s="4" t="n"/>
      <c r="F24" s="36" t="inlineStr">
        <is>
          <t>Pagos registrados (no filtra proyecto)</t>
        </is>
      </c>
      <c r="G24" s="32" t="n"/>
      <c r="H24" s="33" t="n"/>
      <c r="I24" s="4" t="n"/>
      <c r="J24" s="43" t="inlineStr">
        <is>
          <t>Aprobado − cobrado (todos los proyectos)</t>
        </is>
      </c>
      <c r="K24" s="32" t="n"/>
      <c r="L24" s="33" t="n"/>
      <c r="M24" s="4" t="n"/>
      <c r="N24" s="60" t="inlineStr">
        <is>
          <t>Inválidos: excluidos de los totales</t>
        </is>
      </c>
      <c r="O24" s="32" t="n"/>
      <c r="P24" s="33" t="n"/>
      <c r="Q24" s="4" t="n"/>
    </row>
    <row r="25" ht="8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1">
    <mergeCell ref="B11:D11"/>
    <mergeCell ref="J6:L6"/>
    <mergeCell ref="J24:L24"/>
    <mergeCell ref="B14:D14"/>
    <mergeCell ref="J22:L23"/>
    <mergeCell ref="N14:P14"/>
    <mergeCell ref="B22:D23"/>
    <mergeCell ref="J17:L18"/>
    <mergeCell ref="B7:D8"/>
    <mergeCell ref="J11:L11"/>
    <mergeCell ref="C4:D4"/>
    <mergeCell ref="F7:H8"/>
    <mergeCell ref="B19:D19"/>
    <mergeCell ref="N7:P8"/>
    <mergeCell ref="J16:L16"/>
    <mergeCell ref="N19:P19"/>
    <mergeCell ref="N22:P23"/>
    <mergeCell ref="B9:D9"/>
    <mergeCell ref="N9:P9"/>
    <mergeCell ref="B12:D13"/>
    <mergeCell ref="F9:H9"/>
    <mergeCell ref="F12:H13"/>
    <mergeCell ref="B17:D18"/>
    <mergeCell ref="B6:D6"/>
    <mergeCell ref="B24:D24"/>
    <mergeCell ref="N6:P6"/>
    <mergeCell ref="N12:P13"/>
    <mergeCell ref="J21:L21"/>
    <mergeCell ref="N24:P24"/>
    <mergeCell ref="F14:H14"/>
    <mergeCell ref="N17:P18"/>
    <mergeCell ref="N4:P4"/>
    <mergeCell ref="F17:H18"/>
    <mergeCell ref="F22:H23"/>
    <mergeCell ref="F11:H11"/>
    <mergeCell ref="B16:D16"/>
    <mergeCell ref="N11:P11"/>
    <mergeCell ref="G4:H4"/>
    <mergeCell ref="F16:H16"/>
    <mergeCell ref="J7:L8"/>
    <mergeCell ref="F6:H6"/>
    <mergeCell ref="J14:L14"/>
    <mergeCell ref="F19:H19"/>
    <mergeCell ref="N16:P16"/>
    <mergeCell ref="J19:L19"/>
    <mergeCell ref="N21:P21"/>
    <mergeCell ref="B21:D21"/>
    <mergeCell ref="J9:L9"/>
    <mergeCell ref="F21:H21"/>
    <mergeCell ref="J12:L13"/>
    <mergeCell ref="F24:H24"/>
  </mergeCells>
  <dataValidations count="2">
    <dataValidation sqref="C4" showDropDown="0" showInputMessage="0" showErrorMessage="1" allowBlank="0" error="Elegí un mes." type="list">
      <formula1>=L_MES</formula1>
    </dataValidation>
    <dataValidation sqref="G4" showDropDown="0" showInputMessage="0" showErrorMessage="1" allowBlank="0" error="Elegí 'Todos' o un proyecto usado en Registro de Horas." type="list">
      <formula1>=L_PFILT</formula1>
    </dataValidation>
  </dataValidations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6FDE"/>
    <outlinePr summaryBelow="1" summaryRight="1"/>
    <pageSetUpPr fitToPage="1"/>
  </sheetPr>
  <dimension ref="A1:CH2005"/>
  <sheetViews>
    <sheetView showGridLines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1" customWidth="1" min="4" max="4"/>
    <col width="16" customWidth="1" min="5" max="5"/>
    <col width="12" customWidth="1" min="6" max="6"/>
    <col width="34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9" customWidth="1" min="14" max="14"/>
    <col width="12" customWidth="1" min="15" max="15"/>
    <col width="30" customWidth="1" min="16" max="16"/>
    <col width="18" customWidth="1" min="17" max="17"/>
    <col width="16" customWidth="1" min="18" max="18"/>
    <col width="12" customWidth="1" min="19" max="19"/>
    <col width="12" customWidth="1" min="20" max="20"/>
    <col width="30" customWidth="1" min="21" max="21"/>
    <col width="10" customWidth="1" min="22" max="22"/>
    <col width="36" customWidth="1" min="23" max="23"/>
    <col width="3" customWidth="1" min="24" max="24"/>
    <col hidden="1" outlineLevel="1" width="9" customWidth="1" min="25" max="86"/>
  </cols>
  <sheetData>
    <row r="1" ht="34" customHeight="1">
      <c r="A1" s="1" t="n"/>
      <c r="B1" s="2" t="inlineStr">
        <is>
          <t>🕒  Registro de Horas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20" customHeight="1">
      <c r="A2" s="1" t="n"/>
      <c r="B2" s="3" t="inlineStr">
        <is>
          <t>Carga diaria. Una fila por tarea/tramo. Malcolm y proMX son registros independientes: nunca se copian entre empresas.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B3" s="61" t="inlineStr">
        <is>
          <t>Leyenda:</t>
        </is>
      </c>
      <c r="C3" s="62" t="inlineStr">
        <is>
          <t>Editable</t>
        </is>
      </c>
      <c r="E3" s="63" t="inlineStr">
        <is>
          <t>Fórmula (protegida)</t>
        </is>
      </c>
      <c r="G3" s="64" t="inlineStr">
        <is>
          <t>Malcolm: precisión al minuto.  proMX: inicio, fin y duración en bloques de 30 min.  Cruce de medianoche: hora fin menor que hora inicio.</t>
        </is>
      </c>
      <c r="P3" s="65" t="inlineStr">
        <is>
          <t>Registros a revisar:</t>
        </is>
      </c>
      <c r="Q3" s="66">
        <f>COUNTIFS(R_Used,1,R_Valid,0)</f>
        <v>0</v>
      </c>
      <c r="R3" s="61" t="inlineStr">
        <is>
          <t>Horas Malcolm / proMX:</t>
        </is>
      </c>
      <c r="S3" s="67">
        <f>SUMIFS(R_Hcnt,R_Emp,"Malcolm")</f>
        <v>6.333333</v>
      </c>
      <c r="T3" s="68">
        <f>SUMIFS(R_Hcnt,R_Emp,"proMX")</f>
        <v>10.5</v>
      </c>
    </row>
    <row r="5" ht="42" customHeight="1">
      <c r="A5" s="69" t="inlineStr">
        <is>
          <t>ID</t>
        </is>
      </c>
      <c r="B5" s="69" t="inlineStr">
        <is>
          <t>Fecha</t>
        </is>
      </c>
      <c r="C5" s="69" t="inlineStr">
        <is>
          <t>Día</t>
        </is>
      </c>
      <c r="D5" s="69" t="inlineStr">
        <is>
          <t>Empresa</t>
        </is>
      </c>
      <c r="E5" s="69" t="inlineStr">
        <is>
          <t>Proyecto</t>
        </is>
      </c>
      <c r="F5" s="69" t="inlineStr">
        <is>
          <t>Task ID</t>
        </is>
      </c>
      <c r="G5" s="69" t="inlineStr">
        <is>
          <t>Descripción</t>
        </is>
      </c>
      <c r="H5" s="69" t="inlineStr">
        <is>
          <t>Hora inicio</t>
        </is>
      </c>
      <c r="I5" s="69" t="inlineStr">
        <is>
          <t>Hora fin</t>
        </is>
      </c>
      <c r="J5" s="69" t="inlineStr">
        <is>
          <t>Descanso (min)</t>
        </is>
      </c>
      <c r="K5" s="69" t="inlineStr">
        <is>
          <t>Duración real (h)</t>
        </is>
      </c>
      <c r="L5" s="69" t="inlineStr">
        <is>
          <t>Horas normales</t>
        </is>
      </c>
      <c r="M5" s="69" t="inlineStr">
        <is>
          <t>Horas extras</t>
        </is>
      </c>
      <c r="N5" s="69" t="inlineStr">
        <is>
          <t>Bloques proMX</t>
        </is>
      </c>
      <c r="O5" s="69" t="inlineStr">
        <is>
          <t>Horas registrables proMX</t>
        </is>
      </c>
      <c r="P5" s="69" t="inlineStr">
        <is>
          <t>Validación</t>
        </is>
      </c>
      <c r="Q5" s="69" t="inlineStr">
        <is>
          <t>Tipo de día</t>
        </is>
      </c>
      <c r="R5" s="69" t="inlineStr">
        <is>
          <t>Estado proMX</t>
        </is>
      </c>
      <c r="S5" s="69" t="inlineStr">
        <is>
          <t>Fecha envío</t>
        </is>
      </c>
      <c r="T5" s="69" t="inlineStr">
        <is>
          <t>Fecha aprobación</t>
        </is>
      </c>
      <c r="U5" s="69" t="inlineStr">
        <is>
          <t>Observaciones</t>
        </is>
      </c>
      <c r="V5" s="69" t="inlineStr">
        <is>
          <t>Antigüedad (días)</t>
        </is>
      </c>
      <c r="W5" s="69" t="inlineStr">
        <is>
          <t>Alerta</t>
        </is>
      </c>
      <c r="Y5" s="70" t="inlineStr">
        <is>
          <t>aux_Used</t>
        </is>
      </c>
      <c r="Z5" s="70" t="inlineStr">
        <is>
          <t>aux_sMin</t>
        </is>
      </c>
      <c r="AA5" s="70" t="inlineStr">
        <is>
          <t>aux_eMin</t>
        </is>
      </c>
      <c r="AB5" s="70" t="inlineStr">
        <is>
          <t>aux_TOK</t>
        </is>
      </c>
      <c r="AC5" s="70" t="inlineStr">
        <is>
          <t>aux_Cross</t>
        </is>
      </c>
      <c r="AD5" s="70" t="inlineStr">
        <is>
          <t>aux_Gross</t>
        </is>
      </c>
      <c r="AE5" s="70" t="inlineStr">
        <is>
          <t>aux_BrkRaw</t>
        </is>
      </c>
      <c r="AF5" s="70" t="inlineStr">
        <is>
          <t>aux_Beff</t>
        </is>
      </c>
      <c r="AG5" s="70" t="inlineStr">
        <is>
          <t>aux_Net</t>
        </is>
      </c>
      <c r="AH5" s="70" t="inlineStr">
        <is>
          <t>aux_WD0</t>
        </is>
      </c>
      <c r="AI5" s="70" t="inlineStr">
        <is>
          <t>aux_WD1</t>
        </is>
      </c>
      <c r="AJ5" s="70" t="inlineStr">
        <is>
          <t>aux_G1</t>
        </is>
      </c>
      <c r="AK5" s="70" t="inlineStr">
        <is>
          <t>aux_N1</t>
        </is>
      </c>
      <c r="AL5" s="70" t="inlineStr">
        <is>
          <t>aux_N2</t>
        </is>
      </c>
      <c r="AM5" s="70" t="inlineStr">
        <is>
          <t>aux_NG</t>
        </is>
      </c>
      <c r="AN5" s="70" t="inlineStr">
        <is>
          <t>aux_BN</t>
        </is>
      </c>
      <c r="AO5" s="70" t="inlineStr">
        <is>
          <t>aux_BEx</t>
        </is>
      </c>
      <c r="AP5" s="70" t="inlineStr">
        <is>
          <t>aux_NormM</t>
        </is>
      </c>
      <c r="AQ5" s="70" t="inlineStr">
        <is>
          <t>aux_ExtM</t>
        </is>
      </c>
      <c r="AR5" s="70" t="inlineStr">
        <is>
          <t>aux_NormD0</t>
        </is>
      </c>
      <c r="AS5" s="70" t="inlineStr">
        <is>
          <t>aux_ExtD0</t>
        </is>
      </c>
      <c r="AT5" s="70" t="inlineStr">
        <is>
          <t>aux_D1</t>
        </is>
      </c>
      <c r="AU5" s="70" t="inlineStr">
        <is>
          <t>aux_NC</t>
        </is>
      </c>
      <c r="AV5" s="70" t="inlineStr">
        <is>
          <t>aux_Dup</t>
        </is>
      </c>
      <c r="AW5" s="70" t="inlineStr">
        <is>
          <t>aux_SAbs</t>
        </is>
      </c>
      <c r="AX5" s="70" t="inlineStr">
        <is>
          <t>aux_EAbs</t>
        </is>
      </c>
      <c r="AY5" s="70" t="inlineStr">
        <is>
          <t>aux_OKey</t>
        </is>
      </c>
      <c r="AZ5" s="70" t="inlineStr">
        <is>
          <t>aux_SameOv</t>
        </is>
      </c>
      <c r="BA5" s="70" t="inlineStr">
        <is>
          <t>aux_CrossOv</t>
        </is>
      </c>
      <c r="BB5" s="70" t="inlineStr">
        <is>
          <t>aux_BlkOK</t>
        </is>
      </c>
      <c r="BC5" s="70" t="inlineStr">
        <is>
          <t>aux_Err</t>
        </is>
      </c>
      <c r="BD5" s="70" t="inlineStr">
        <is>
          <t>aux_Valid</t>
        </is>
      </c>
      <c r="BE5" s="70" t="inlineStr">
        <is>
          <t>aux_Cnt</t>
        </is>
      </c>
      <c r="BF5" s="70" t="inlineStr">
        <is>
          <t>aux_St</t>
        </is>
      </c>
      <c r="BG5" s="70" t="inlineStr">
        <is>
          <t>aux_Hval</t>
        </is>
      </c>
      <c r="BH5" s="70" t="inlineStr">
        <is>
          <t>aux_Hcnt</t>
        </is>
      </c>
      <c r="BI5" s="70" t="inlineStr">
        <is>
          <t>aux_NorH</t>
        </is>
      </c>
      <c r="BJ5" s="70" t="inlineStr">
        <is>
          <t>aux_ExtH</t>
        </is>
      </c>
      <c r="BK5" s="70" t="inlineStr">
        <is>
          <t>aux_HD0</t>
        </is>
      </c>
      <c r="BL5" s="70" t="inlineStr">
        <is>
          <t>aux_HD1</t>
        </is>
      </c>
      <c r="BM5" s="70" t="inlineStr">
        <is>
          <t>aux_ND0</t>
        </is>
      </c>
      <c r="BN5" s="70" t="inlineStr">
        <is>
          <t>aux_ND1</t>
        </is>
      </c>
      <c r="BO5" s="70" t="inlineStr">
        <is>
          <t>aux_XD0</t>
        </is>
      </c>
      <c r="BP5" s="70" t="inlineStr">
        <is>
          <t>aux_XD1</t>
        </is>
      </c>
      <c r="BQ5" s="70" t="inlineStr">
        <is>
          <t>aux_SN</t>
        </is>
      </c>
      <c r="BR5" s="70" t="inlineStr">
        <is>
          <t>aux_EN</t>
        </is>
      </c>
      <c r="BS5" s="70" t="inlineStr">
        <is>
          <t>aux_XOvH</t>
        </is>
      </c>
      <c r="BT5" s="70" t="inlineStr">
        <is>
          <t>aux_USD</t>
        </is>
      </c>
      <c r="BU5" s="70" t="inlineStr">
        <is>
          <t>aux_BlkV</t>
        </is>
      </c>
      <c r="BV5" s="70" t="inlineStr">
        <is>
          <t>aux_ApD</t>
        </is>
      </c>
      <c r="BW5" s="70" t="inlineStr">
        <is>
          <t>aux_FMon</t>
        </is>
      </c>
      <c r="BX5" s="70" t="inlineStr">
        <is>
          <t>aux_FProj</t>
        </is>
      </c>
      <c r="BY5" s="70" t="inlineStr">
        <is>
          <t>aux_FAll</t>
        </is>
      </c>
      <c r="BZ5" s="70" t="inlineStr">
        <is>
          <t>aux_Label</t>
        </is>
      </c>
      <c r="CA5" s="70" t="inlineStr">
        <is>
          <t>aux_PSeq</t>
        </is>
      </c>
      <c r="CB5" s="70" t="inlineStr">
        <is>
          <t>aux_PSeqM</t>
        </is>
      </c>
      <c r="CC5" s="70" t="inlineStr">
        <is>
          <t>aux_PSeqP</t>
        </is>
      </c>
      <c r="CD5" s="70" t="inlineStr">
        <is>
          <t>aux_TSeqM</t>
        </is>
      </c>
      <c r="CE5" s="70" t="inlineStr">
        <is>
          <t>aux_TSeqP</t>
        </is>
      </c>
      <c r="CF5" s="70" t="inlineStr">
        <is>
          <t>aux_PendSeq</t>
        </is>
      </c>
      <c r="CG5" s="70" t="inlineStr">
        <is>
          <t>aux_StCode</t>
        </is>
      </c>
      <c r="CH5" s="70" t="inlineStr">
        <is>
          <t>aux_Alr</t>
        </is>
      </c>
    </row>
    <row r="6">
      <c r="A6" s="71">
        <f>IF(Y6=1,ROW()-5,"")</f>
        <v>1</v>
      </c>
      <c r="B6" s="72" t="n">
        <v>46296</v>
      </c>
      <c r="C6" s="71" t="str">
        <f>IF(ISNUMBER(B6),CHOOSE(WEEKDAY(B6,2),"Lun","Mar","Mié","Jue","Vie","Sáb","Dom"),"")</f>
        <v>Jue</v>
      </c>
      <c r="D6" s="73" t="inlineStr">
        <is>
          <t>proMX</t>
        </is>
      </c>
      <c r="E6" s="74" t="inlineStr">
        <is>
          <t>Portal Cliente</t>
        </is>
      </c>
      <c r="F6" s="74" t="inlineStr">
        <is>
          <t>PMX-203</t>
        </is>
      </c>
      <c r="G6" s="74" t="inlineStr">
        <is>
          <t>[EJEMPLO] Desarrollo de funcionalidad</t>
        </is>
      </c>
      <c r="H6" s="75" t="n">
        <v>0.375</v>
      </c>
      <c r="I6" s="75" t="n">
        <v>0.5416666666666666</v>
      </c>
      <c r="J6" s="76" t="n">
        <v>0</v>
      </c>
      <c r="K6" s="77">
        <f>IF(AB6=1,ROUND(AG6/60,4),"")</f>
        <v>4</v>
      </c>
      <c r="L6" s="77">
        <f>IF(BD6=1,ROUND(AP6/60,4),"")</f>
        <v>4</v>
      </c>
      <c r="M6" s="77">
        <f>IF(BD6=1,ROUND(AQ6/60,4),"")</f>
        <v>0</v>
      </c>
      <c r="N6" s="71">
        <f>IF(AND(D6="proMX",AB6=1),ROUND(AG6/CFG_BLK,2),"")</f>
        <v>8</v>
      </c>
      <c r="O6" s="77">
        <f>IF(D6="proMX",IF(BD6=1,ROUND(AG6/60,4),0),"")</f>
        <v>4</v>
      </c>
      <c r="P6" s="78" t="str">
        <f>IF(Y6=0,"",IF(BD6=1,"OK",IF(D6="proMX","Revisar bloques: ","Revisar: ")&amp;BC6))</f>
        <v>OK</v>
      </c>
      <c r="Q6" s="78" t="str">
        <f>IF(NOT(ISNUMBER(B6)),"",IF(COUNTIFS(FER_F,INT(B6))&gt;0,"Feriado"&amp;IF(AH6=1," (laborable)"," (no laborable)"),IF(AH6=1,"Laborable",IF(WEEKDAY(B6,2)&gt;5,"Fin de semana","No laborable"))))</f>
        <v>Laborable</v>
      </c>
      <c r="R6" s="73" t="inlineStr">
        <is>
          <t>Approved</t>
        </is>
      </c>
      <c r="S6" s="72" t="n">
        <v>46297</v>
      </c>
      <c r="T6" s="72" t="n">
        <v>46300</v>
      </c>
      <c r="U6" s="74" t="inlineStr">
        <is>
          <t>EJEMPLO – se puede borrar</t>
        </is>
      </c>
      <c r="V6" s="79" t="str">
        <f>IF(AND(D6="proMX",OR(R6="Submitted",R6="Recall Requested"),ISNUMBER(S6)),CFG_TODAY-INT(S6),"")</f>
        <v/>
      </c>
      <c r="W6" s="78" t="str">
        <f>IF(BD6=0,"",IF(BA6&gt;0,"⚠ Se superpone con un registro de la otra empresa",IF(D6="Malcolm",IF(COUNTA(R6,S6,T6)&gt;0,"Estado/fechas proMX se ignoran en Malcolm",""),IF(BF6="Cancelled","Cancelado: excluido de totales",IF(R6="","Sin estado: se trata como Draft",IF(BF6="Submitted",IF(ISNUMBER(V6),IF(V6&gt;CFG_MAXD,"⚠ "&amp;V6&amp;" días en Submitted (máx. "&amp;CFG_MAXD&amp;")",""),"Falta fecha de envío"),IF(BF6="Returned","⚠ Devuelto: corregir y reenviar",IF(BF6="Recall Requested","Retirada solicitada: pendiente",IF(AND(BF6="Approved",NOT(ISNUMBER(T6))),"Falta fecha de aprobación",IF(AND(ISNUMBER(S6),ISNUMBER(T6),T6&lt;S6),"Aprobación anterior al envío","")))))))))</f>
        <v/>
      </c>
      <c r="Y6" s="80">
        <f>IF(COUNTA(B6,D6,E6,F6,G6,H6,I6,J6,R6,S6,T6)&gt;0,1,0)</f>
        <v>1</v>
      </c>
      <c r="Z6" s="80">
        <f>IF(AND(ISNUMBER(H6),H6&gt;=0,H6&lt;1),ROUND(H6*1440,0),"")</f>
        <v>540</v>
      </c>
      <c r="AA6" s="80">
        <f>IF(AND(ISNUMBER(I6),I6&gt;=0,I6&lt;1),ROUND(I6*1440,0),"")</f>
        <v>780</v>
      </c>
      <c r="AB6" s="80">
        <f>IF(AND(ISNUMBER(B6),D6&lt;&gt;"",ISNUMBER(Z6),ISNUMBER(AA6)),IF(Z6=AA6,0,1),0)</f>
        <v>1</v>
      </c>
      <c r="AC6" s="80">
        <f>IF(AB6=1,IF(AA6&lt;Z6,1,0),0)</f>
        <v>0</v>
      </c>
      <c r="AD6" s="80">
        <f>IF(AB6=1,IF(AC6=1,1440-Z6+AA6,AA6-Z6),0)</f>
        <v>240</v>
      </c>
      <c r="AE6" s="80">
        <f>IF(J6="",0,IF(ISNUMBER(J6),J6,-1))</f>
        <v>0</v>
      </c>
      <c r="AF6" s="80">
        <f>MIN(MAX(0,AE6),AD6)</f>
        <v>0</v>
      </c>
      <c r="AG6" s="80">
        <f>MAX(0,AD6-MAX(0,AE6))</f>
        <v>240</v>
      </c>
      <c r="AH6" s="80">
        <f>IF(ISNUMBER(B6),IF(AND(INDEX(CFG_WDAYS,WEEKDAY(INT(B6),2))="Sí",IF(D6="proMX",COUNTIFS(FER_F,INT(B6),FER_NLP,"Sí"),COUNTIFS(FER_F,INT(B6),FER_NLM,"Sí"))=0),1,0),0)</f>
        <v>1</v>
      </c>
      <c r="AI6" s="80">
        <f>IF(AC6=1,IF(AND(INDEX(CFG_WDAYS,WEEKDAY(INT(B6)+1,2))="Sí",IF(D6="proMX",COUNTIFS(FER_F,INT(B6)+1,FER_NLP,"Sí"),COUNTIFS(FER_F,INT(B6)+1,FER_NLM,"Sí"))=0),1,0),0)</f>
        <v>0</v>
      </c>
      <c r="AJ6" s="80">
        <f>IF(AC6=1,1440-Z6,AD6)</f>
        <v>240</v>
      </c>
      <c r="AK6" s="80">
        <f>IF(AND(AB6=1,AH6=1),MAX(0,MIN(IF(AC6=1,1440,AA6),CFG_WEM)-MAX(Z6,CFG_WSM)),0)</f>
        <v>240</v>
      </c>
      <c r="AL6" s="80">
        <f>IF(AND(AC6=1,AI6=1),MAX(0,MIN(AA6,CFG_WEM)-CFG_WSM),0)</f>
        <v>0</v>
      </c>
      <c r="AM6" s="80">
        <f>AK6+AL6</f>
        <v>240</v>
      </c>
      <c r="AN6" s="80">
        <f>IF(CFG_BRK="Proporcional",IF(AD6=0,0,AF6*AM6/AD6),IF(CFG_BRK="Extras primero",MIN(AM6,MAX(0,AF6-(AD6-AM6))),MIN(AF6,AM6)))</f>
        <v>0</v>
      </c>
      <c r="AO6" s="80">
        <f>AF6-AN6</f>
        <v>0</v>
      </c>
      <c r="AP6" s="80">
        <f>AM6-AN6</f>
        <v>240</v>
      </c>
      <c r="AQ6" s="80">
        <f>AD6-AM6-AO6</f>
        <v>0</v>
      </c>
      <c r="AR6" s="80">
        <f>IF(AM6=0,0,AK6-AN6*AK6/AM6)</f>
        <v>240</v>
      </c>
      <c r="AS6" s="80">
        <f>IF(AD6-AM6=0,0,(AJ6-AK6)-AO6*(AJ6-AK6)/(AD6-AM6))</f>
        <v>0</v>
      </c>
      <c r="AT6" s="80" t="str">
        <f>IF(AC6=1,INT(B6)+1,"")</f>
        <v/>
      </c>
      <c r="AU6" s="80">
        <f>IF(AND(D6="proMX",R6="Cancelled"),0,1)</f>
        <v>1</v>
      </c>
      <c r="AV6" s="80">
        <f>IF(AND(AB6=1,AU6=1),IF(COUNTIFS($D$5:D5,D6,$B$5:B5,B6,$Z$5:Z5,Z6,$AA$5:AA5,AA6,$F$5:F5,F6&amp;"",$AU$5:AU5,1)&gt;0,1,0),0)</f>
        <v>0</v>
      </c>
      <c r="AW6" s="80">
        <f>IF(AB6=1,INT(B6)*1440+Z6,"")</f>
        <v>66666780</v>
      </c>
      <c r="AX6" s="80">
        <f>IF(AB6=1,AW6+AD6,"")</f>
        <v>66667020</v>
      </c>
      <c r="AY6" s="80">
        <f>IF(AND(AB6=1,AV6=0,AU6=1),1,0)</f>
        <v>1</v>
      </c>
      <c r="AZ6" s="80">
        <f>IF(AY6=1,COUNTIFS(R_Emp,D6,R_SAbs,"&lt;"&amp;AX6,R_EAbs,"&gt;"&amp;AW6,R_OKey,1)-1,0)</f>
        <v>0</v>
      </c>
      <c r="BA6" s="80">
        <f>IF(AY6=1,COUNTIFS(R_Emp,"&lt;&gt;"&amp;D6,R_SAbs,"&lt;"&amp;AX6,R_EAbs,"&gt;"&amp;AW6,R_OKey,1),0)</f>
        <v>0</v>
      </c>
      <c r="BB6" s="80">
        <f>IF(AND(AB6=1,D6="proMX"),IF(AND(MOD(Z6,CFG_BLK)=0,MOD(AA6,CFG_BLK)=0,MOD(AG6,CFG_BLK)=0,AG6&gt;0),1,0),1)</f>
        <v>1</v>
      </c>
      <c r="BC6" s="80" t="str">
        <f>IF(Y6=0,"",IF(NOT(ISNUMBER(B6)),"Falta fecha o fecha inválida",IF(D6="","Falta empresa",IF(AND(D6&lt;&gt;"Malcolm",D6&lt;&gt;"proMX"),"Empresa inválida",IF(OR(INT(B6)&lt;CFG_PSTART,INT(B6)&gt;CFG_PEND),"Fecha fuera del período",IF(OR(NOT(ISNUMBER(Z6)),NOT(ISNUMBER(AA6))),"Falta hora inicio/fin o formato inválido",IF(AB6=0,"Hora inicio = hora fin",IF(AE6&lt;0,"Descanso inválido",IF(AE6&gt;=AD6,"Descanso ≥ duración",IF(AV6=1,"Registro duplicado",IF(AZ6&gt;0,"Se superpone con otro registro "&amp;D6,IF(BB6=0,"inicio, fin y duración neta deben ser múltiplos de "&amp;CFG_BLK&amp;" min",""))))))))))))</f>
        <v/>
      </c>
      <c r="BD6" s="80">
        <f>IF(AND(Y6=1,BC6=""),1,0)</f>
        <v>1</v>
      </c>
      <c r="BE6" s="80">
        <f>IF(AND(BD6=1,AU6=1),1,0)</f>
        <v>1</v>
      </c>
      <c r="BF6" s="80" t="str">
        <f>IF(AND(D6="proMX",BD6=1),IF(R6="","Draft",R6),"")</f>
        <v>Approved</v>
      </c>
      <c r="BG6" s="80">
        <f>IF(BD6=1,ROUND(AG6/60,6),0)</f>
        <v>4</v>
      </c>
      <c r="BH6" s="80">
        <f>IF(BE6=1,ROUND(AG6/60,6),0)</f>
        <v>4</v>
      </c>
      <c r="BI6" s="80">
        <f>IF(BE6=1,ROUND(AP6/60,6),0)</f>
        <v>4</v>
      </c>
      <c r="BJ6" s="80">
        <f>IF(BE6=1,ROUND(AQ6/60,6),0)</f>
        <v>0</v>
      </c>
      <c r="BK6" s="80">
        <f>IF(BE6=1,ROUND((AR6+AS6)/60,6),0)</f>
        <v>4</v>
      </c>
      <c r="BL6" s="80">
        <f>ROUND(BH6-BK6,6)</f>
        <v>0</v>
      </c>
      <c r="BM6" s="80">
        <f>IF(BE6=1,ROUND(AR6/60,6),0)</f>
        <v>4</v>
      </c>
      <c r="BN6" s="80">
        <f>ROUND(BI6-BM6,6)</f>
        <v>0</v>
      </c>
      <c r="BO6" s="80">
        <f>IF(BE6=1,ROUND(AS6/60,6),0)</f>
        <v>0</v>
      </c>
      <c r="BP6" s="80">
        <f>ROUND(BJ6-BO6,6)</f>
        <v>0</v>
      </c>
      <c r="BQ6" s="80">
        <f>IF(BE6=1,AW6,0)</f>
        <v>66666780</v>
      </c>
      <c r="BR6" s="80">
        <f>IF(BE6=1,AX6,0)</f>
        <v>66667020</v>
      </c>
      <c r="BS6" s="80">
        <f>IF(AND(BE6=1,D6="Malcolm",BA6&gt;0),MIN(BH6,SUMPRODUCT((R_Emp="proMX")*(R_EN&gt;0)*((R_EN-(R_EN&gt;BR6)*(R_EN-BR6))&gt;(R_SN+(R_SN&lt;BQ6)*(BQ6-R_SN)))*((R_EN-(R_EN&gt;BR6)*(R_EN-BR6))-(R_SN+(R_SN&lt;BQ6)*(BQ6-R_SN))))/60),0)</f>
        <v>0</v>
      </c>
      <c r="BT6" s="80">
        <f>IF(AND(BE6=1,D6="proMX"),ROUND(BI6*CFG_RATE+BJ6*CFG_OTRATE,6),0)</f>
        <v>200</v>
      </c>
      <c r="BU6" s="80">
        <f>IF(AND(BD6=1,D6="proMX"),ROUND(AG6/CFG_BLK,6),0)</f>
        <v>8</v>
      </c>
      <c r="BV6" s="80">
        <f>IF(BF6="Approved",IF(ISNUMBER(T6),INT(T6),INT(B6)),"")</f>
        <v>46300</v>
      </c>
      <c r="BW6" s="80">
        <f>IF(ISNUMBER(B6),IF(DB_MON="Todos",1,IF(AND(INT(B6)&gt;=DB_MS,INT(B6)&lt;=DB_ME),1,0)),0)</f>
        <v>1</v>
      </c>
      <c r="BX6" s="80">
        <f>IF(DB_PROJ="Todos",1,IF(E6&amp;""=DB_PROJ&amp;"",1,0))</f>
        <v>1</v>
      </c>
      <c r="BY6" s="80">
        <f>BW6*BX6</f>
        <v>1</v>
      </c>
      <c r="BZ6" s="80" t="str">
        <f>IF(Y6=1,F6&amp;IF(AND(F6&amp;""&lt;&gt;"",E6&amp;""&lt;&gt;"")," · ","")&amp;E6,"")</f>
        <v>PMX-203 · Portal Cliente</v>
      </c>
      <c r="CA6" s="80">
        <f>IF(AND(BD6=1,E6&amp;""&lt;&gt;""),IF(COUNTIFS($E$5:E5,E6,$BD$5:BD5,1)=0,MAX($CA$5:CA5)+1,""),"")</f>
        <v>1</v>
      </c>
      <c r="CB6" s="80" t="str">
        <f>IF(AND(BE6=1,D6="Malcolm",E6&amp;""&lt;&gt;""),IF(COUNTIFS($D$5:D5,"Malcolm",$E$5:E5,E6,$BE$5:BE5,1)=0,MAX($CB$5:CB5)+1,""),"")</f>
        <v/>
      </c>
      <c r="CC6" s="80">
        <f>IF(AND(BD6=1,D6="proMX",E6&amp;""&lt;&gt;""),IF(COUNTIFS($D$5:D5,"proMX",$E$5:E5,E6,$BD$5:BD5,1)=0,MAX($CC$5:CC5)+1,""),"")</f>
        <v>1</v>
      </c>
      <c r="CD6" s="80" t="str">
        <f>IF(AND(BE6=1,D6="Malcolm",F6&amp;""&lt;&gt;""),IF(COUNTIFS($D$5:D5,"Malcolm",$F$5:F5,F6,$BE$5:BE5,1)=0,MAX($CD$5:CD5)+1,""),"")</f>
        <v/>
      </c>
      <c r="CE6" s="80">
        <f>IF(AND(BD6=1,D6="proMX",F6&amp;""&lt;&gt;""),IF(COUNTIFS($D$5:D5,"proMX",$F$5:F5,F6,$BD$5:BD5,1)=0,MAX($CE$5:CE5)+1,""),"")</f>
        <v>1</v>
      </c>
      <c r="CF6" s="80" t="str">
        <f>IF(AND(D6="proMX",BD6=1),IF(OR(BF6="Draft",BF6="Submitted",BF6="Returned",BF6="Recall Requested"),MAX($CF$5:CF5)+1,""),"")</f>
        <v/>
      </c>
      <c r="CG6" s="80">
        <f>IF(BD6=0,0,IF(D6="Malcolm",1,MATCH(BF6,{"Draft","Submitted","Approved","Returned","Recall Requested","Cancelled"},0)+1))</f>
        <v>4</v>
      </c>
      <c r="CH6" s="80">
        <f>IF(AND(BF6="Submitted",ISNUMBER(V6)),IF(V6&gt;CFG_MAXD,1,0),0)</f>
        <v>0</v>
      </c>
    </row>
    <row r="7">
      <c r="A7" s="71">
        <f>IF(Y7=1,ROW()-5,"")</f>
        <v>2</v>
      </c>
      <c r="B7" s="72" t="n">
        <v>46296</v>
      </c>
      <c r="C7" s="71" t="str">
        <f>IF(ISNUMBER(B7),CHOOSE(WEEKDAY(B7,2),"Lun","Mar","Mié","Jue","Vie","Sáb","Dom"),"")</f>
        <v>Jue</v>
      </c>
      <c r="D7" s="73" t="inlineStr">
        <is>
          <t>proMX</t>
        </is>
      </c>
      <c r="E7" s="74" t="inlineStr">
        <is>
          <t>Portal Cliente</t>
        </is>
      </c>
      <c r="F7" s="74" t="inlineStr">
        <is>
          <t>PMX-204</t>
        </is>
      </c>
      <c r="G7" s="74" t="inlineStr">
        <is>
          <t>[EJEMPLO] Testing</t>
        </is>
      </c>
      <c r="H7" s="75" t="n">
        <v>0.5833333333333334</v>
      </c>
      <c r="I7" s="75" t="n">
        <v>0.6666666666666666</v>
      </c>
      <c r="J7" s="76" t="n">
        <v>0</v>
      </c>
      <c r="K7" s="77">
        <f>IF(AB7=1,ROUND(AG7/60,4),"")</f>
        <v>2</v>
      </c>
      <c r="L7" s="77">
        <f>IF(BD7=1,ROUND(AP7/60,4),"")</f>
        <v>2</v>
      </c>
      <c r="M7" s="77">
        <f>IF(BD7=1,ROUND(AQ7/60,4),"")</f>
        <v>0</v>
      </c>
      <c r="N7" s="71">
        <f>IF(AND(D7="proMX",AB7=1),ROUND(AG7/CFG_BLK,2),"")</f>
        <v>4</v>
      </c>
      <c r="O7" s="77">
        <f>IF(D7="proMX",IF(BD7=1,ROUND(AG7/60,4),0),"")</f>
        <v>2</v>
      </c>
      <c r="P7" s="78" t="str">
        <f>IF(Y7=0,"",IF(BD7=1,"OK",IF(D7="proMX","Revisar bloques: ","Revisar: ")&amp;BC7))</f>
        <v>OK</v>
      </c>
      <c r="Q7" s="78" t="str">
        <f>IF(NOT(ISNUMBER(B7)),"",IF(COUNTIFS(FER_F,INT(B7))&gt;0,"Feriado"&amp;IF(AH7=1," (laborable)"," (no laborable)"),IF(AH7=1,"Laborable",IF(WEEKDAY(B7,2)&gt;5,"Fin de semana","No laborable"))))</f>
        <v>Laborable</v>
      </c>
      <c r="R7" s="73" t="inlineStr">
        <is>
          <t>Approved</t>
        </is>
      </c>
      <c r="S7" s="72" t="n">
        <v>46297</v>
      </c>
      <c r="T7" s="72" t="n">
        <v>46300</v>
      </c>
      <c r="U7" s="74" t="inlineStr">
        <is>
          <t>EJEMPLO – se puede borrar</t>
        </is>
      </c>
      <c r="V7" s="79" t="str">
        <f>IF(AND(D7="proMX",OR(R7="Submitted",R7="Recall Requested"),ISNUMBER(S7)),CFG_TODAY-INT(S7),"")</f>
        <v/>
      </c>
      <c r="W7" s="78" t="str">
        <f>IF(BD7=0,"",IF(BA7&gt;0,"⚠ Se superpone con un registro de la otra empresa",IF(D7="Malcolm",IF(COUNTA(R7,S7,T7)&gt;0,"Estado/fechas proMX se ignoran en Malcolm",""),IF(BF7="Cancelled","Cancelado: excluido de totales",IF(R7="","Sin estado: se trata como Draft",IF(BF7="Submitted",IF(ISNUMBER(V7),IF(V7&gt;CFG_MAXD,"⚠ "&amp;V7&amp;" días en Submitted (máx. "&amp;CFG_MAXD&amp;")",""),"Falta fecha de envío"),IF(BF7="Returned","⚠ Devuelto: corregir y reenviar",IF(BF7="Recall Requested","Retirada solicitada: pendiente",IF(AND(BF7="Approved",NOT(ISNUMBER(T7))),"Falta fecha de aprobación",IF(AND(ISNUMBER(S7),ISNUMBER(T7),T7&lt;S7),"Aprobación anterior al envío","")))))))))</f>
        <v/>
      </c>
      <c r="Y7" s="80">
        <f>IF(COUNTA(B7,D7,E7,F7,G7,H7,I7,J7,R7,S7,T7)&gt;0,1,0)</f>
        <v>1</v>
      </c>
      <c r="Z7" s="80">
        <f>IF(AND(ISNUMBER(H7),H7&gt;=0,H7&lt;1),ROUND(H7*1440,0),"")</f>
        <v>840</v>
      </c>
      <c r="AA7" s="80">
        <f>IF(AND(ISNUMBER(I7),I7&gt;=0,I7&lt;1),ROUND(I7*1440,0),"")</f>
        <v>960</v>
      </c>
      <c r="AB7" s="80">
        <f>IF(AND(ISNUMBER(B7),D7&lt;&gt;"",ISNUMBER(Z7),ISNUMBER(AA7)),IF(Z7=AA7,0,1),0)</f>
        <v>1</v>
      </c>
      <c r="AC7" s="80">
        <f>IF(AB7=1,IF(AA7&lt;Z7,1,0),0)</f>
        <v>0</v>
      </c>
      <c r="AD7" s="80">
        <f>IF(AB7=1,IF(AC7=1,1440-Z7+AA7,AA7-Z7),0)</f>
        <v>120</v>
      </c>
      <c r="AE7" s="80">
        <f>IF(J7="",0,IF(ISNUMBER(J7),J7,-1))</f>
        <v>0</v>
      </c>
      <c r="AF7" s="80">
        <f>MIN(MAX(0,AE7),AD7)</f>
        <v>0</v>
      </c>
      <c r="AG7" s="80">
        <f>MAX(0,AD7-MAX(0,AE7))</f>
        <v>120</v>
      </c>
      <c r="AH7" s="80">
        <f>IF(ISNUMBER(B7),IF(AND(INDEX(CFG_WDAYS,WEEKDAY(INT(B7),2))="Sí",IF(D7="proMX",COUNTIFS(FER_F,INT(B7),FER_NLP,"Sí"),COUNTIFS(FER_F,INT(B7),FER_NLM,"Sí"))=0),1,0),0)</f>
        <v>1</v>
      </c>
      <c r="AI7" s="80">
        <f>IF(AC7=1,IF(AND(INDEX(CFG_WDAYS,WEEKDAY(INT(B7)+1,2))="Sí",IF(D7="proMX",COUNTIFS(FER_F,INT(B7)+1,FER_NLP,"Sí"),COUNTIFS(FER_F,INT(B7)+1,FER_NLM,"Sí"))=0),1,0),0)</f>
        <v>0</v>
      </c>
      <c r="AJ7" s="80">
        <f>IF(AC7=1,1440-Z7,AD7)</f>
        <v>120</v>
      </c>
      <c r="AK7" s="80">
        <f>IF(AND(AB7=1,AH7=1),MAX(0,MIN(IF(AC7=1,1440,AA7),CFG_WEM)-MAX(Z7,CFG_WSM)),0)</f>
        <v>120</v>
      </c>
      <c r="AL7" s="80">
        <f>IF(AND(AC7=1,AI7=1),MAX(0,MIN(AA7,CFG_WEM)-CFG_WSM),0)</f>
        <v>0</v>
      </c>
      <c r="AM7" s="80">
        <f>AK7+AL7</f>
        <v>120</v>
      </c>
      <c r="AN7" s="80">
        <f>IF(CFG_BRK="Proporcional",IF(AD7=0,0,AF7*AM7/AD7),IF(CFG_BRK="Extras primero",MIN(AM7,MAX(0,AF7-(AD7-AM7))),MIN(AF7,AM7)))</f>
        <v>0</v>
      </c>
      <c r="AO7" s="80">
        <f>AF7-AN7</f>
        <v>0</v>
      </c>
      <c r="AP7" s="80">
        <f>AM7-AN7</f>
        <v>120</v>
      </c>
      <c r="AQ7" s="80">
        <f>AD7-AM7-AO7</f>
        <v>0</v>
      </c>
      <c r="AR7" s="80">
        <f>IF(AM7=0,0,AK7-AN7*AK7/AM7)</f>
        <v>120</v>
      </c>
      <c r="AS7" s="80">
        <f>IF(AD7-AM7=0,0,(AJ7-AK7)-AO7*(AJ7-AK7)/(AD7-AM7))</f>
        <v>0</v>
      </c>
      <c r="AT7" s="80" t="str">
        <f>IF(AC7=1,INT(B7)+1,"")</f>
        <v/>
      </c>
      <c r="AU7" s="80">
        <f>IF(AND(D7="proMX",R7="Cancelled"),0,1)</f>
        <v>1</v>
      </c>
      <c r="AV7" s="80">
        <f>IF(AND(AB7=1,AU7=1),IF(COUNTIFS($D$5:D6,D7,$B$5:B6,B7,$Z$5:Z6,Z7,$AA$5:AA6,AA7,$F$5:F6,F7&amp;"",$AU$5:AU6,1)&gt;0,1,0),0)</f>
        <v>0</v>
      </c>
      <c r="AW7" s="80">
        <f>IF(AB7=1,INT(B7)*1440+Z7,"")</f>
        <v>66667080</v>
      </c>
      <c r="AX7" s="80">
        <f>IF(AB7=1,AW7+AD7,"")</f>
        <v>66667200</v>
      </c>
      <c r="AY7" s="80">
        <f>IF(AND(AB7=1,AV7=0,AU7=1),1,0)</f>
        <v>1</v>
      </c>
      <c r="AZ7" s="80">
        <f>IF(AY7=1,COUNTIFS(R_Emp,D7,R_SAbs,"&lt;"&amp;AX7,R_EAbs,"&gt;"&amp;AW7,R_OKey,1)-1,0)</f>
        <v>0</v>
      </c>
      <c r="BA7" s="80">
        <f>IF(AY7=1,COUNTIFS(R_Emp,"&lt;&gt;"&amp;D7,R_SAbs,"&lt;"&amp;AX7,R_EAbs,"&gt;"&amp;AW7,R_OKey,1),0)</f>
        <v>0</v>
      </c>
      <c r="BB7" s="80">
        <f>IF(AND(AB7=1,D7="proMX"),IF(AND(MOD(Z7,CFG_BLK)=0,MOD(AA7,CFG_BLK)=0,MOD(AG7,CFG_BLK)=0,AG7&gt;0),1,0),1)</f>
        <v>1</v>
      </c>
      <c r="BC7" s="80" t="str">
        <f>IF(Y7=0,"",IF(NOT(ISNUMBER(B7)),"Falta fecha o fecha inválida",IF(D7="","Falta empresa",IF(AND(D7&lt;&gt;"Malcolm",D7&lt;&gt;"proMX"),"Empresa inválida",IF(OR(INT(B7)&lt;CFG_PSTART,INT(B7)&gt;CFG_PEND),"Fecha fuera del período",IF(OR(NOT(ISNUMBER(Z7)),NOT(ISNUMBER(AA7))),"Falta hora inicio/fin o formato inválido",IF(AB7=0,"Hora inicio = hora fin",IF(AE7&lt;0,"Descanso inválido",IF(AE7&gt;=AD7,"Descanso ≥ duración",IF(AV7=1,"Registro duplicado",IF(AZ7&gt;0,"Se superpone con otro registro "&amp;D7,IF(BB7=0,"inicio, fin y duración neta deben ser múltiplos de "&amp;CFG_BLK&amp;" min",""))))))))))))</f>
        <v/>
      </c>
      <c r="BD7" s="80">
        <f>IF(AND(Y7=1,BC7=""),1,0)</f>
        <v>1</v>
      </c>
      <c r="BE7" s="80">
        <f>IF(AND(BD7=1,AU7=1),1,0)</f>
        <v>1</v>
      </c>
      <c r="BF7" s="80" t="str">
        <f>IF(AND(D7="proMX",BD7=1),IF(R7="","Draft",R7),"")</f>
        <v>Approved</v>
      </c>
      <c r="BG7" s="80">
        <f>IF(BD7=1,ROUND(AG7/60,6),0)</f>
        <v>2</v>
      </c>
      <c r="BH7" s="80">
        <f>IF(BE7=1,ROUND(AG7/60,6),0)</f>
        <v>2</v>
      </c>
      <c r="BI7" s="80">
        <f>IF(BE7=1,ROUND(AP7/60,6),0)</f>
        <v>2</v>
      </c>
      <c r="BJ7" s="80">
        <f>IF(BE7=1,ROUND(AQ7/60,6),0)</f>
        <v>0</v>
      </c>
      <c r="BK7" s="80">
        <f>IF(BE7=1,ROUND((AR7+AS7)/60,6),0)</f>
        <v>2</v>
      </c>
      <c r="BL7" s="80">
        <f>ROUND(BH7-BK7,6)</f>
        <v>0</v>
      </c>
      <c r="BM7" s="80">
        <f>IF(BE7=1,ROUND(AR7/60,6),0)</f>
        <v>2</v>
      </c>
      <c r="BN7" s="80">
        <f>ROUND(BI7-BM7,6)</f>
        <v>0</v>
      </c>
      <c r="BO7" s="80">
        <f>IF(BE7=1,ROUND(AS7/60,6),0)</f>
        <v>0</v>
      </c>
      <c r="BP7" s="80">
        <f>ROUND(BJ7-BO7,6)</f>
        <v>0</v>
      </c>
      <c r="BQ7" s="80">
        <f>IF(BE7=1,AW7,0)</f>
        <v>66667080</v>
      </c>
      <c r="BR7" s="80">
        <f>IF(BE7=1,AX7,0)</f>
        <v>66667200</v>
      </c>
      <c r="BS7" s="80">
        <f>IF(AND(BE7=1,D7="Malcolm",BA7&gt;0),MIN(BH7,SUMPRODUCT((R_Emp="proMX")*(R_EN&gt;0)*((R_EN-(R_EN&gt;BR7)*(R_EN-BR7))&gt;(R_SN+(R_SN&lt;BQ7)*(BQ7-R_SN)))*((R_EN-(R_EN&gt;BR7)*(R_EN-BR7))-(R_SN+(R_SN&lt;BQ7)*(BQ7-R_SN))))/60),0)</f>
        <v>0</v>
      </c>
      <c r="BT7" s="80">
        <f>IF(AND(BE7=1,D7="proMX"),ROUND(BI7*CFG_RATE+BJ7*CFG_OTRATE,6),0)</f>
        <v>100</v>
      </c>
      <c r="BU7" s="80">
        <f>IF(AND(BD7=1,D7="proMX"),ROUND(AG7/CFG_BLK,6),0)</f>
        <v>4</v>
      </c>
      <c r="BV7" s="80">
        <f>IF(BF7="Approved",IF(ISNUMBER(T7),INT(T7),INT(B7)),"")</f>
        <v>46300</v>
      </c>
      <c r="BW7" s="80">
        <f>IF(ISNUMBER(B7),IF(DB_MON="Todos",1,IF(AND(INT(B7)&gt;=DB_MS,INT(B7)&lt;=DB_ME),1,0)),0)</f>
        <v>1</v>
      </c>
      <c r="BX7" s="80">
        <f>IF(DB_PROJ="Todos",1,IF(E7&amp;""=DB_PROJ&amp;"",1,0))</f>
        <v>1</v>
      </c>
      <c r="BY7" s="80">
        <f>BW7*BX7</f>
        <v>1</v>
      </c>
      <c r="BZ7" s="80" t="str">
        <f>IF(Y7=1,F7&amp;IF(AND(F7&amp;""&lt;&gt;"",E7&amp;""&lt;&gt;"")," · ","")&amp;E7,"")</f>
        <v>PMX-204 · Portal Cliente</v>
      </c>
      <c r="CA7" s="80" t="str">
        <f>IF(AND(BD7=1,E7&amp;""&lt;&gt;""),IF(COUNTIFS($E$5:E6,E7,$BD$5:BD6,1)=0,MAX($CA$5:CA6)+1,""),"")</f>
        <v/>
      </c>
      <c r="CB7" s="80" t="str">
        <f>IF(AND(BE7=1,D7="Malcolm",E7&amp;""&lt;&gt;""),IF(COUNTIFS($D$5:D6,"Malcolm",$E$5:E6,E7,$BE$5:BE6,1)=0,MAX($CB$5:CB6)+1,""),"")</f>
        <v/>
      </c>
      <c r="CC7" s="80" t="str">
        <f>IF(AND(BD7=1,D7="proMX",E7&amp;""&lt;&gt;""),IF(COUNTIFS($D$5:D6,"proMX",$E$5:E6,E7,$BD$5:BD6,1)=0,MAX($CC$5:CC6)+1,""),"")</f>
        <v/>
      </c>
      <c r="CD7" s="80" t="str">
        <f>IF(AND(BE7=1,D7="Malcolm",F7&amp;""&lt;&gt;""),IF(COUNTIFS($D$5:D6,"Malcolm",$F$5:F6,F7,$BE$5:BE6,1)=0,MAX($CD$5:CD6)+1,""),"")</f>
        <v/>
      </c>
      <c r="CE7" s="80">
        <f>IF(AND(BD7=1,D7="proMX",F7&amp;""&lt;&gt;""),IF(COUNTIFS($D$5:D6,"proMX",$F$5:F6,F7,$BD$5:BD6,1)=0,MAX($CE$5:CE6)+1,""),"")</f>
        <v>2</v>
      </c>
      <c r="CF7" s="80" t="str">
        <f>IF(AND(D7="proMX",BD7=1),IF(OR(BF7="Draft",BF7="Submitted",BF7="Returned",BF7="Recall Requested"),MAX($CF$5:CF6)+1,""),"")</f>
        <v/>
      </c>
      <c r="CG7" s="80">
        <f>IF(BD7=0,0,IF(D7="Malcolm",1,MATCH(BF7,{"Draft","Submitted","Approved","Returned","Recall Requested","Cancelled"},0)+1))</f>
        <v>4</v>
      </c>
      <c r="CH7" s="80">
        <f>IF(AND(BF7="Submitted",ISNUMBER(V7)),IF(V7&gt;CFG_MAXD,1,0),0)</f>
        <v>0</v>
      </c>
    </row>
    <row r="8">
      <c r="A8" s="71">
        <f>IF(Y8=1,ROW()-5,"")</f>
        <v>3</v>
      </c>
      <c r="B8" s="72" t="n">
        <v>46297</v>
      </c>
      <c r="C8" s="71" t="str">
        <f>IF(ISNUMBER(B8),CHOOSE(WEEKDAY(B8,2),"Lun","Mar","Mié","Jue","Vie","Sáb","Dom"),"")</f>
        <v>Vie</v>
      </c>
      <c r="D8" s="73" t="inlineStr">
        <is>
          <t>proMX</t>
        </is>
      </c>
      <c r="E8" s="74" t="inlineStr">
        <is>
          <t>Portal Cliente</t>
        </is>
      </c>
      <c r="F8" s="74" t="inlineStr">
        <is>
          <t>PMX-202</t>
        </is>
      </c>
      <c r="G8" s="74" t="inlineStr">
        <is>
          <t>[EJEMPLO] Implementación</t>
        </is>
      </c>
      <c r="H8" s="75" t="n">
        <v>0.375</v>
      </c>
      <c r="I8" s="75" t="n">
        <v>0.5</v>
      </c>
      <c r="J8" s="76" t="n">
        <v>0</v>
      </c>
      <c r="K8" s="77">
        <f>IF(AB8=1,ROUND(AG8/60,4),"")</f>
        <v>3</v>
      </c>
      <c r="L8" s="77">
        <f>IF(BD8=1,ROUND(AP8/60,4),"")</f>
        <v>3</v>
      </c>
      <c r="M8" s="77">
        <f>IF(BD8=1,ROUND(AQ8/60,4),"")</f>
        <v>0</v>
      </c>
      <c r="N8" s="71">
        <f>IF(AND(D8="proMX",AB8=1),ROUND(AG8/CFG_BLK,2),"")</f>
        <v>6</v>
      </c>
      <c r="O8" s="77">
        <f>IF(D8="proMX",IF(BD8=1,ROUND(AG8/60,4),0),"")</f>
        <v>3</v>
      </c>
      <c r="P8" s="78" t="str">
        <f>IF(Y8=0,"",IF(BD8=1,"OK",IF(D8="proMX","Revisar bloques: ","Revisar: ")&amp;BC8))</f>
        <v>OK</v>
      </c>
      <c r="Q8" s="78" t="str">
        <f>IF(NOT(ISNUMBER(B8)),"",IF(COUNTIFS(FER_F,INT(B8))&gt;0,"Feriado"&amp;IF(AH8=1," (laborable)"," (no laborable)"),IF(AH8=1,"Laborable",IF(WEEKDAY(B8,2)&gt;5,"Fin de semana","No laborable"))))</f>
        <v>Laborable</v>
      </c>
      <c r="R8" s="73" t="inlineStr">
        <is>
          <t>Submitted</t>
        </is>
      </c>
      <c r="S8" s="72" t="n">
        <v>46297</v>
      </c>
      <c r="T8" s="72" t="n"/>
      <c r="U8" s="74" t="inlineStr">
        <is>
          <t>EJEMPLO – se puede borrar</t>
        </is>
      </c>
      <c r="V8" s="79">
        <f>IF(AND(D8="proMX",OR(R8="Submitted",R8="Recall Requested"),ISNUMBER(S8)),CFG_TODAY-INT(S8),"")</f>
        <v>11</v>
      </c>
      <c r="W8" s="78" t="str">
        <f>IF(BD8=0,"",IF(BA8&gt;0,"⚠ Se superpone con un registro de la otra empresa",IF(D8="Malcolm",IF(COUNTA(R8,S8,T8)&gt;0,"Estado/fechas proMX se ignoran en Malcolm",""),IF(BF8="Cancelled","Cancelado: excluido de totales",IF(R8="","Sin estado: se trata como Draft",IF(BF8="Submitted",IF(ISNUMBER(V8),IF(V8&gt;CFG_MAXD,"⚠ "&amp;V8&amp;" días en Submitted (máx. "&amp;CFG_MAXD&amp;")",""),"Falta fecha de envío"),IF(BF8="Returned","⚠ Devuelto: corregir y reenviar",IF(BF8="Recall Requested","Retirada solicitada: pendiente",IF(AND(BF8="Approved",NOT(ISNUMBER(T8))),"Falta fecha de aprobación",IF(AND(ISNUMBER(S8),ISNUMBER(T8),T8&lt;S8),"Aprobación anterior al envío","")))))))))</f>
        <v>⚠ 11 días en Submitted (máx. 7)</v>
      </c>
      <c r="Y8" s="80">
        <f>IF(COUNTA(B8,D8,E8,F8,G8,H8,I8,J8,R8,S8,T8)&gt;0,1,0)</f>
        <v>1</v>
      </c>
      <c r="Z8" s="80">
        <f>IF(AND(ISNUMBER(H8),H8&gt;=0,H8&lt;1),ROUND(H8*1440,0),"")</f>
        <v>540</v>
      </c>
      <c r="AA8" s="80">
        <f>IF(AND(ISNUMBER(I8),I8&gt;=0,I8&lt;1),ROUND(I8*1440,0),"")</f>
        <v>720</v>
      </c>
      <c r="AB8" s="80">
        <f>IF(AND(ISNUMBER(B8),D8&lt;&gt;"",ISNUMBER(Z8),ISNUMBER(AA8)),IF(Z8=AA8,0,1),0)</f>
        <v>1</v>
      </c>
      <c r="AC8" s="80">
        <f>IF(AB8=1,IF(AA8&lt;Z8,1,0),0)</f>
        <v>0</v>
      </c>
      <c r="AD8" s="80">
        <f>IF(AB8=1,IF(AC8=1,1440-Z8+AA8,AA8-Z8),0)</f>
        <v>180</v>
      </c>
      <c r="AE8" s="80">
        <f>IF(J8="",0,IF(ISNUMBER(J8),J8,-1))</f>
        <v>0</v>
      </c>
      <c r="AF8" s="80">
        <f>MIN(MAX(0,AE8),AD8)</f>
        <v>0</v>
      </c>
      <c r="AG8" s="80">
        <f>MAX(0,AD8-MAX(0,AE8))</f>
        <v>180</v>
      </c>
      <c r="AH8" s="80">
        <f>IF(ISNUMBER(B8),IF(AND(INDEX(CFG_WDAYS,WEEKDAY(INT(B8),2))="Sí",IF(D8="proMX",COUNTIFS(FER_F,INT(B8),FER_NLP,"Sí"),COUNTIFS(FER_F,INT(B8),FER_NLM,"Sí"))=0),1,0),0)</f>
        <v>1</v>
      </c>
      <c r="AI8" s="80">
        <f>IF(AC8=1,IF(AND(INDEX(CFG_WDAYS,WEEKDAY(INT(B8)+1,2))="Sí",IF(D8="proMX",COUNTIFS(FER_F,INT(B8)+1,FER_NLP,"Sí"),COUNTIFS(FER_F,INT(B8)+1,FER_NLM,"Sí"))=0),1,0),0)</f>
        <v>0</v>
      </c>
      <c r="AJ8" s="80">
        <f>IF(AC8=1,1440-Z8,AD8)</f>
        <v>180</v>
      </c>
      <c r="AK8" s="80">
        <f>IF(AND(AB8=1,AH8=1),MAX(0,MIN(IF(AC8=1,1440,AA8),CFG_WEM)-MAX(Z8,CFG_WSM)),0)</f>
        <v>180</v>
      </c>
      <c r="AL8" s="80">
        <f>IF(AND(AC8=1,AI8=1),MAX(0,MIN(AA8,CFG_WEM)-CFG_WSM),0)</f>
        <v>0</v>
      </c>
      <c r="AM8" s="80">
        <f>AK8+AL8</f>
        <v>180</v>
      </c>
      <c r="AN8" s="80">
        <f>IF(CFG_BRK="Proporcional",IF(AD8=0,0,AF8*AM8/AD8),IF(CFG_BRK="Extras primero",MIN(AM8,MAX(0,AF8-(AD8-AM8))),MIN(AF8,AM8)))</f>
        <v>0</v>
      </c>
      <c r="AO8" s="80">
        <f>AF8-AN8</f>
        <v>0</v>
      </c>
      <c r="AP8" s="80">
        <f>AM8-AN8</f>
        <v>180</v>
      </c>
      <c r="AQ8" s="80">
        <f>AD8-AM8-AO8</f>
        <v>0</v>
      </c>
      <c r="AR8" s="80">
        <f>IF(AM8=0,0,AK8-AN8*AK8/AM8)</f>
        <v>180</v>
      </c>
      <c r="AS8" s="80">
        <f>IF(AD8-AM8=0,0,(AJ8-AK8)-AO8*(AJ8-AK8)/(AD8-AM8))</f>
        <v>0</v>
      </c>
      <c r="AT8" s="80" t="str">
        <f>IF(AC8=1,INT(B8)+1,"")</f>
        <v/>
      </c>
      <c r="AU8" s="80">
        <f>IF(AND(D8="proMX",R8="Cancelled"),0,1)</f>
        <v>1</v>
      </c>
      <c r="AV8" s="80">
        <f>IF(AND(AB8=1,AU8=1),IF(COUNTIFS($D$5:D7,D8,$B$5:B7,B8,$Z$5:Z7,Z8,$AA$5:AA7,AA8,$F$5:F7,F8&amp;"",$AU$5:AU7,1)&gt;0,1,0),0)</f>
        <v>0</v>
      </c>
      <c r="AW8" s="80">
        <f>IF(AB8=1,INT(B8)*1440+Z8,"")</f>
        <v>66668220</v>
      </c>
      <c r="AX8" s="80">
        <f>IF(AB8=1,AW8+AD8,"")</f>
        <v>66668400</v>
      </c>
      <c r="AY8" s="80">
        <f>IF(AND(AB8=1,AV8=0,AU8=1),1,0)</f>
        <v>1</v>
      </c>
      <c r="AZ8" s="80">
        <f>IF(AY8=1,COUNTIFS(R_Emp,D8,R_SAbs,"&lt;"&amp;AX8,R_EAbs,"&gt;"&amp;AW8,R_OKey,1)-1,0)</f>
        <v>0</v>
      </c>
      <c r="BA8" s="80">
        <f>IF(AY8=1,COUNTIFS(R_Emp,"&lt;&gt;"&amp;D8,R_SAbs,"&lt;"&amp;AX8,R_EAbs,"&gt;"&amp;AW8,R_OKey,1),0)</f>
        <v>0</v>
      </c>
      <c r="BB8" s="80">
        <f>IF(AND(AB8=1,D8="proMX"),IF(AND(MOD(Z8,CFG_BLK)=0,MOD(AA8,CFG_BLK)=0,MOD(AG8,CFG_BLK)=0,AG8&gt;0),1,0),1)</f>
        <v>1</v>
      </c>
      <c r="BC8" s="80" t="str">
        <f>IF(Y8=0,"",IF(NOT(ISNUMBER(B8)),"Falta fecha o fecha inválida",IF(D8="","Falta empresa",IF(AND(D8&lt;&gt;"Malcolm",D8&lt;&gt;"proMX"),"Empresa inválida",IF(OR(INT(B8)&lt;CFG_PSTART,INT(B8)&gt;CFG_PEND),"Fecha fuera del período",IF(OR(NOT(ISNUMBER(Z8)),NOT(ISNUMBER(AA8))),"Falta hora inicio/fin o formato inválido",IF(AB8=0,"Hora inicio = hora fin",IF(AE8&lt;0,"Descanso inválido",IF(AE8&gt;=AD8,"Descanso ≥ duración",IF(AV8=1,"Registro duplicado",IF(AZ8&gt;0,"Se superpone con otro registro "&amp;D8,IF(BB8=0,"inicio, fin y duración neta deben ser múltiplos de "&amp;CFG_BLK&amp;" min",""))))))))))))</f>
        <v/>
      </c>
      <c r="BD8" s="80">
        <f>IF(AND(Y8=1,BC8=""),1,0)</f>
        <v>1</v>
      </c>
      <c r="BE8" s="80">
        <f>IF(AND(BD8=1,AU8=1),1,0)</f>
        <v>1</v>
      </c>
      <c r="BF8" s="80" t="str">
        <f>IF(AND(D8="proMX",BD8=1),IF(R8="","Draft",R8),"")</f>
        <v>Submitted</v>
      </c>
      <c r="BG8" s="80">
        <f>IF(BD8=1,ROUND(AG8/60,6),0)</f>
        <v>3</v>
      </c>
      <c r="BH8" s="80">
        <f>IF(BE8=1,ROUND(AG8/60,6),0)</f>
        <v>3</v>
      </c>
      <c r="BI8" s="80">
        <f>IF(BE8=1,ROUND(AP8/60,6),0)</f>
        <v>3</v>
      </c>
      <c r="BJ8" s="80">
        <f>IF(BE8=1,ROUND(AQ8/60,6),0)</f>
        <v>0</v>
      </c>
      <c r="BK8" s="80">
        <f>IF(BE8=1,ROUND((AR8+AS8)/60,6),0)</f>
        <v>3</v>
      </c>
      <c r="BL8" s="80">
        <f>ROUND(BH8-BK8,6)</f>
        <v>0</v>
      </c>
      <c r="BM8" s="80">
        <f>IF(BE8=1,ROUND(AR8/60,6),0)</f>
        <v>3</v>
      </c>
      <c r="BN8" s="80">
        <f>ROUND(BI8-BM8,6)</f>
        <v>0</v>
      </c>
      <c r="BO8" s="80">
        <f>IF(BE8=1,ROUND(AS8/60,6),0)</f>
        <v>0</v>
      </c>
      <c r="BP8" s="80">
        <f>ROUND(BJ8-BO8,6)</f>
        <v>0</v>
      </c>
      <c r="BQ8" s="80">
        <f>IF(BE8=1,AW8,0)</f>
        <v>66668220</v>
      </c>
      <c r="BR8" s="80">
        <f>IF(BE8=1,AX8,0)</f>
        <v>66668400</v>
      </c>
      <c r="BS8" s="80">
        <f>IF(AND(BE8=1,D8="Malcolm",BA8&gt;0),MIN(BH8,SUMPRODUCT((R_Emp="proMX")*(R_EN&gt;0)*((R_EN-(R_EN&gt;BR8)*(R_EN-BR8))&gt;(R_SN+(R_SN&lt;BQ8)*(BQ8-R_SN)))*((R_EN-(R_EN&gt;BR8)*(R_EN-BR8))-(R_SN+(R_SN&lt;BQ8)*(BQ8-R_SN))))/60),0)</f>
        <v>0</v>
      </c>
      <c r="BT8" s="80">
        <f>IF(AND(BE8=1,D8="proMX"),ROUND(BI8*CFG_RATE+BJ8*CFG_OTRATE,6),0)</f>
        <v>150</v>
      </c>
      <c r="BU8" s="80">
        <f>IF(AND(BD8=1,D8="proMX"),ROUND(AG8/CFG_BLK,6),0)</f>
        <v>6</v>
      </c>
      <c r="BV8" s="80" t="str">
        <f>IF(BF8="Approved",IF(ISNUMBER(T8),INT(T8),INT(B8)),"")</f>
        <v/>
      </c>
      <c r="BW8" s="80">
        <f>IF(ISNUMBER(B8),IF(DB_MON="Todos",1,IF(AND(INT(B8)&gt;=DB_MS,INT(B8)&lt;=DB_ME),1,0)),0)</f>
        <v>1</v>
      </c>
      <c r="BX8" s="80">
        <f>IF(DB_PROJ="Todos",1,IF(E8&amp;""=DB_PROJ&amp;"",1,0))</f>
        <v>1</v>
      </c>
      <c r="BY8" s="80">
        <f>BW8*BX8</f>
        <v>1</v>
      </c>
      <c r="BZ8" s="80" t="str">
        <f>IF(Y8=1,F8&amp;IF(AND(F8&amp;""&lt;&gt;"",E8&amp;""&lt;&gt;"")," · ","")&amp;E8,"")</f>
        <v>PMX-202 · Portal Cliente</v>
      </c>
      <c r="CA8" s="80" t="str">
        <f>IF(AND(BD8=1,E8&amp;""&lt;&gt;""),IF(COUNTIFS($E$5:E7,E8,$BD$5:BD7,1)=0,MAX($CA$5:CA7)+1,""),"")</f>
        <v/>
      </c>
      <c r="CB8" s="80" t="str">
        <f>IF(AND(BE8=1,D8="Malcolm",E8&amp;""&lt;&gt;""),IF(COUNTIFS($D$5:D7,"Malcolm",$E$5:E7,E8,$BE$5:BE7,1)=0,MAX($CB$5:CB7)+1,""),"")</f>
        <v/>
      </c>
      <c r="CC8" s="80" t="str">
        <f>IF(AND(BD8=1,D8="proMX",E8&amp;""&lt;&gt;""),IF(COUNTIFS($D$5:D7,"proMX",$E$5:E7,E8,$BD$5:BD7,1)=0,MAX($CC$5:CC7)+1,""),"")</f>
        <v/>
      </c>
      <c r="CD8" s="80" t="str">
        <f>IF(AND(BE8=1,D8="Malcolm",F8&amp;""&lt;&gt;""),IF(COUNTIFS($D$5:D7,"Malcolm",$F$5:F7,F8,$BE$5:BE7,1)=0,MAX($CD$5:CD7)+1,""),"")</f>
        <v/>
      </c>
      <c r="CE8" s="80">
        <f>IF(AND(BD8=1,D8="proMX",F8&amp;""&lt;&gt;""),IF(COUNTIFS($D$5:D7,"proMX",$F$5:F7,F8,$BD$5:BD7,1)=0,MAX($CE$5:CE7)+1,""),"")</f>
        <v>3</v>
      </c>
      <c r="CF8" s="80">
        <f>IF(AND(D8="proMX",BD8=1),IF(OR(BF8="Draft",BF8="Submitted",BF8="Returned",BF8="Recall Requested"),MAX($CF$5:CF7)+1,""),"")</f>
        <v>1</v>
      </c>
      <c r="CG8" s="80">
        <f>IF(BD8=0,0,IF(D8="Malcolm",1,MATCH(BF8,{"Draft","Submitted","Approved","Returned","Recall Requested","Cancelled"},0)+1))</f>
        <v>3</v>
      </c>
      <c r="CH8" s="80">
        <f>IF(AND(BF8="Submitted",ISNUMBER(V8)),IF(V8&gt;CFG_MAXD,1,0),0)</f>
        <v>1</v>
      </c>
    </row>
    <row r="9">
      <c r="A9" s="71">
        <f>IF(Y9=1,ROW()-5,"")</f>
        <v>4</v>
      </c>
      <c r="B9" s="72" t="n">
        <v>46300</v>
      </c>
      <c r="C9" s="71" t="str">
        <f>IF(ISNUMBER(B9),CHOOSE(WEEKDAY(B9,2),"Lun","Mar","Mié","Jue","Vie","Sáb","Dom"),"")</f>
        <v>Lun</v>
      </c>
      <c r="D9" s="73" t="inlineStr">
        <is>
          <t>Malcolm</t>
        </is>
      </c>
      <c r="E9" s="74" t="inlineStr">
        <is>
          <t>PCF</t>
        </is>
      </c>
      <c r="F9" s="74" t="inlineStr">
        <is>
          <t>PCF-101</t>
        </is>
      </c>
      <c r="G9" s="74" t="inlineStr">
        <is>
          <t>[EJEMPLO] Desarrollo PCF</t>
        </is>
      </c>
      <c r="H9" s="75" t="n">
        <v>0.375</v>
      </c>
      <c r="I9" s="75" t="n">
        <v>0.5</v>
      </c>
      <c r="J9" s="76" t="n">
        <v>0</v>
      </c>
      <c r="K9" s="77">
        <f>IF(AB9=1,ROUND(AG9/60,4),"")</f>
        <v>3</v>
      </c>
      <c r="L9" s="77">
        <f>IF(BD9=1,ROUND(AP9/60,4),"")</f>
        <v>3</v>
      </c>
      <c r="M9" s="77">
        <f>IF(BD9=1,ROUND(AQ9/60,4),"")</f>
        <v>0</v>
      </c>
      <c r="N9" s="71" t="str">
        <f>IF(AND(D9="proMX",AB9=1),ROUND(AG9/CFG_BLK,2),"")</f>
        <v/>
      </c>
      <c r="O9" s="77" t="str">
        <f>IF(D9="proMX",IF(BD9=1,ROUND(AG9/60,4),0),"")</f>
        <v/>
      </c>
      <c r="P9" s="78" t="str">
        <f>IF(Y9=0,"",IF(BD9=1,"OK",IF(D9="proMX","Revisar bloques: ","Revisar: ")&amp;BC9))</f>
        <v>OK</v>
      </c>
      <c r="Q9" s="78" t="str">
        <f>IF(NOT(ISNUMBER(B9)),"",IF(COUNTIFS(FER_F,INT(B9))&gt;0,"Feriado"&amp;IF(AH9=1," (laborable)"," (no laborable)"),IF(AH9=1,"Laborable",IF(WEEKDAY(B9,2)&gt;5,"Fin de semana","No laborable"))))</f>
        <v>Laborable</v>
      </c>
      <c r="R9" s="73" t="n"/>
      <c r="S9" s="72" t="n"/>
      <c r="T9" s="72" t="n"/>
      <c r="U9" s="74" t="inlineStr">
        <is>
          <t>EJEMPLO – se puede borrar</t>
        </is>
      </c>
      <c r="V9" s="79" t="str">
        <f>IF(AND(D9="proMX",OR(R9="Submitted",R9="Recall Requested"),ISNUMBER(S9)),CFG_TODAY-INT(S9),"")</f>
        <v/>
      </c>
      <c r="W9" s="78" t="str">
        <f>IF(BD9=0,"",IF(BA9&gt;0,"⚠ Se superpone con un registro de la otra empresa",IF(D9="Malcolm",IF(COUNTA(R9,S9,T9)&gt;0,"Estado/fechas proMX se ignoran en Malcolm",""),IF(BF9="Cancelled","Cancelado: excluido de totales",IF(R9="","Sin estado: se trata como Draft",IF(BF9="Submitted",IF(ISNUMBER(V9),IF(V9&gt;CFG_MAXD,"⚠ "&amp;V9&amp;" días en Submitted (máx. "&amp;CFG_MAXD&amp;")",""),"Falta fecha de envío"),IF(BF9="Returned","⚠ Devuelto: corregir y reenviar",IF(BF9="Recall Requested","Retirada solicitada: pendiente",IF(AND(BF9="Approved",NOT(ISNUMBER(T9))),"Falta fecha de aprobación",IF(AND(ISNUMBER(S9),ISNUMBER(T9),T9&lt;S9),"Aprobación anterior al envío","")))))))))</f>
        <v/>
      </c>
      <c r="Y9" s="80">
        <f>IF(COUNTA(B9,D9,E9,F9,G9,H9,I9,J9,R9,S9,T9)&gt;0,1,0)</f>
        <v>1</v>
      </c>
      <c r="Z9" s="80">
        <f>IF(AND(ISNUMBER(H9),H9&gt;=0,H9&lt;1),ROUND(H9*1440,0),"")</f>
        <v>540</v>
      </c>
      <c r="AA9" s="80">
        <f>IF(AND(ISNUMBER(I9),I9&gt;=0,I9&lt;1),ROUND(I9*1440,0),"")</f>
        <v>720</v>
      </c>
      <c r="AB9" s="80">
        <f>IF(AND(ISNUMBER(B9),D9&lt;&gt;"",ISNUMBER(Z9),ISNUMBER(AA9)),IF(Z9=AA9,0,1),0)</f>
        <v>1</v>
      </c>
      <c r="AC9" s="80">
        <f>IF(AB9=1,IF(AA9&lt;Z9,1,0),0)</f>
        <v>0</v>
      </c>
      <c r="AD9" s="80">
        <f>IF(AB9=1,IF(AC9=1,1440-Z9+AA9,AA9-Z9),0)</f>
        <v>180</v>
      </c>
      <c r="AE9" s="80">
        <f>IF(J9="",0,IF(ISNUMBER(J9),J9,-1))</f>
        <v>0</v>
      </c>
      <c r="AF9" s="80">
        <f>MIN(MAX(0,AE9),AD9)</f>
        <v>0</v>
      </c>
      <c r="AG9" s="80">
        <f>MAX(0,AD9-MAX(0,AE9))</f>
        <v>180</v>
      </c>
      <c r="AH9" s="80">
        <f>IF(ISNUMBER(B9),IF(AND(INDEX(CFG_WDAYS,WEEKDAY(INT(B9),2))="Sí",IF(D9="proMX",COUNTIFS(FER_F,INT(B9),FER_NLP,"Sí"),COUNTIFS(FER_F,INT(B9),FER_NLM,"Sí"))=0),1,0),0)</f>
        <v>1</v>
      </c>
      <c r="AI9" s="80">
        <f>IF(AC9=1,IF(AND(INDEX(CFG_WDAYS,WEEKDAY(INT(B9)+1,2))="Sí",IF(D9="proMX",COUNTIFS(FER_F,INT(B9)+1,FER_NLP,"Sí"),COUNTIFS(FER_F,INT(B9)+1,FER_NLM,"Sí"))=0),1,0),0)</f>
        <v>0</v>
      </c>
      <c r="AJ9" s="80">
        <f>IF(AC9=1,1440-Z9,AD9)</f>
        <v>180</v>
      </c>
      <c r="AK9" s="80">
        <f>IF(AND(AB9=1,AH9=1),MAX(0,MIN(IF(AC9=1,1440,AA9),CFG_WEM)-MAX(Z9,CFG_WSM)),0)</f>
        <v>180</v>
      </c>
      <c r="AL9" s="80">
        <f>IF(AND(AC9=1,AI9=1),MAX(0,MIN(AA9,CFG_WEM)-CFG_WSM),0)</f>
        <v>0</v>
      </c>
      <c r="AM9" s="80">
        <f>AK9+AL9</f>
        <v>180</v>
      </c>
      <c r="AN9" s="80">
        <f>IF(CFG_BRK="Proporcional",IF(AD9=0,0,AF9*AM9/AD9),IF(CFG_BRK="Extras primero",MIN(AM9,MAX(0,AF9-(AD9-AM9))),MIN(AF9,AM9)))</f>
        <v>0</v>
      </c>
      <c r="AO9" s="80">
        <f>AF9-AN9</f>
        <v>0</v>
      </c>
      <c r="AP9" s="80">
        <f>AM9-AN9</f>
        <v>180</v>
      </c>
      <c r="AQ9" s="80">
        <f>AD9-AM9-AO9</f>
        <v>0</v>
      </c>
      <c r="AR9" s="80">
        <f>IF(AM9=0,0,AK9-AN9*AK9/AM9)</f>
        <v>180</v>
      </c>
      <c r="AS9" s="80">
        <f>IF(AD9-AM9=0,0,(AJ9-AK9)-AO9*(AJ9-AK9)/(AD9-AM9))</f>
        <v>0</v>
      </c>
      <c r="AT9" s="80" t="str">
        <f>IF(AC9=1,INT(B9)+1,"")</f>
        <v/>
      </c>
      <c r="AU9" s="80">
        <f>IF(AND(D9="proMX",R9="Cancelled"),0,1)</f>
        <v>1</v>
      </c>
      <c r="AV9" s="80">
        <f>IF(AND(AB9=1,AU9=1),IF(COUNTIFS($D$5:D8,D9,$B$5:B8,B9,$Z$5:Z8,Z9,$AA$5:AA8,AA9,$F$5:F8,F9&amp;"",$AU$5:AU8,1)&gt;0,1,0),0)</f>
        <v>0</v>
      </c>
      <c r="AW9" s="80">
        <f>IF(AB9=1,INT(B9)*1440+Z9,"")</f>
        <v>66672540</v>
      </c>
      <c r="AX9" s="80">
        <f>IF(AB9=1,AW9+AD9,"")</f>
        <v>66672720</v>
      </c>
      <c r="AY9" s="80">
        <f>IF(AND(AB9=1,AV9=0,AU9=1),1,0)</f>
        <v>1</v>
      </c>
      <c r="AZ9" s="80">
        <f>IF(AY9=1,COUNTIFS(R_Emp,D9,R_SAbs,"&lt;"&amp;AX9,R_EAbs,"&gt;"&amp;AW9,R_OKey,1)-1,0)</f>
        <v>0</v>
      </c>
      <c r="BA9" s="80">
        <f>IF(AY9=1,COUNTIFS(R_Emp,"&lt;&gt;"&amp;D9,R_SAbs,"&lt;"&amp;AX9,R_EAbs,"&gt;"&amp;AW9,R_OKey,1),0)</f>
        <v>0</v>
      </c>
      <c r="BB9" s="80">
        <f>IF(AND(AB9=1,D9="proMX"),IF(AND(MOD(Z9,CFG_BLK)=0,MOD(AA9,CFG_BLK)=0,MOD(AG9,CFG_BLK)=0,AG9&gt;0),1,0),1)</f>
        <v>1</v>
      </c>
      <c r="BC9" s="80" t="str">
        <f>IF(Y9=0,"",IF(NOT(ISNUMBER(B9)),"Falta fecha o fecha inválida",IF(D9="","Falta empresa",IF(AND(D9&lt;&gt;"Malcolm",D9&lt;&gt;"proMX"),"Empresa inválida",IF(OR(INT(B9)&lt;CFG_PSTART,INT(B9)&gt;CFG_PEND),"Fecha fuera del período",IF(OR(NOT(ISNUMBER(Z9)),NOT(ISNUMBER(AA9))),"Falta hora inicio/fin o formato inválido",IF(AB9=0,"Hora inicio = hora fin",IF(AE9&lt;0,"Descanso inválido",IF(AE9&gt;=AD9,"Descanso ≥ duración",IF(AV9=1,"Registro duplicado",IF(AZ9&gt;0,"Se superpone con otro registro "&amp;D9,IF(BB9=0,"inicio, fin y duración neta deben ser múltiplos de "&amp;CFG_BLK&amp;" min",""))))))))))))</f>
        <v/>
      </c>
      <c r="BD9" s="80">
        <f>IF(AND(Y9=1,BC9=""),1,0)</f>
        <v>1</v>
      </c>
      <c r="BE9" s="80">
        <f>IF(AND(BD9=1,AU9=1),1,0)</f>
        <v>1</v>
      </c>
      <c r="BF9" s="80" t="str">
        <f>IF(AND(D9="proMX",BD9=1),IF(R9="","Draft",R9),"")</f>
        <v/>
      </c>
      <c r="BG9" s="80">
        <f>IF(BD9=1,ROUND(AG9/60,6),0)</f>
        <v>3</v>
      </c>
      <c r="BH9" s="80">
        <f>IF(BE9=1,ROUND(AG9/60,6),0)</f>
        <v>3</v>
      </c>
      <c r="BI9" s="80">
        <f>IF(BE9=1,ROUND(AP9/60,6),0)</f>
        <v>3</v>
      </c>
      <c r="BJ9" s="80">
        <f>IF(BE9=1,ROUND(AQ9/60,6),0)</f>
        <v>0</v>
      </c>
      <c r="BK9" s="80">
        <f>IF(BE9=1,ROUND((AR9+AS9)/60,6),0)</f>
        <v>3</v>
      </c>
      <c r="BL9" s="80">
        <f>ROUND(BH9-BK9,6)</f>
        <v>0</v>
      </c>
      <c r="BM9" s="80">
        <f>IF(BE9=1,ROUND(AR9/60,6),0)</f>
        <v>3</v>
      </c>
      <c r="BN9" s="80">
        <f>ROUND(BI9-BM9,6)</f>
        <v>0</v>
      </c>
      <c r="BO9" s="80">
        <f>IF(BE9=1,ROUND(AS9/60,6),0)</f>
        <v>0</v>
      </c>
      <c r="BP9" s="80">
        <f>ROUND(BJ9-BO9,6)</f>
        <v>0</v>
      </c>
      <c r="BQ9" s="80">
        <f>IF(BE9=1,AW9,0)</f>
        <v>66672540</v>
      </c>
      <c r="BR9" s="80">
        <f>IF(BE9=1,AX9,0)</f>
        <v>66672720</v>
      </c>
      <c r="BS9" s="80">
        <f>IF(AND(BE9=1,D9="Malcolm",BA9&gt;0),MIN(BH9,SUMPRODUCT((R_Emp="proMX")*(R_EN&gt;0)*((R_EN-(R_EN&gt;BR9)*(R_EN-BR9))&gt;(R_SN+(R_SN&lt;BQ9)*(BQ9-R_SN)))*((R_EN-(R_EN&gt;BR9)*(R_EN-BR9))-(R_SN+(R_SN&lt;BQ9)*(BQ9-R_SN))))/60),0)</f>
        <v>0</v>
      </c>
      <c r="BT9" s="80">
        <f>IF(AND(BE9=1,D9="proMX"),ROUND(BI9*CFG_RATE+BJ9*CFG_OTRATE,6),0)</f>
        <v>0</v>
      </c>
      <c r="BU9" s="80">
        <f>IF(AND(BD9=1,D9="proMX"),ROUND(AG9/CFG_BLK,6),0)</f>
        <v>0</v>
      </c>
      <c r="BV9" s="80" t="str">
        <f>IF(BF9="Approved",IF(ISNUMBER(T9),INT(T9),INT(B9)),"")</f>
        <v/>
      </c>
      <c r="BW9" s="80">
        <f>IF(ISNUMBER(B9),IF(DB_MON="Todos",1,IF(AND(INT(B9)&gt;=DB_MS,INT(B9)&lt;=DB_ME),1,0)),0)</f>
        <v>1</v>
      </c>
      <c r="BX9" s="80">
        <f>IF(DB_PROJ="Todos",1,IF(E9&amp;""=DB_PROJ&amp;"",1,0))</f>
        <v>1</v>
      </c>
      <c r="BY9" s="80">
        <f>BW9*BX9</f>
        <v>1</v>
      </c>
      <c r="BZ9" s="80" t="str">
        <f>IF(Y9=1,F9&amp;IF(AND(F9&amp;""&lt;&gt;"",E9&amp;""&lt;&gt;"")," · ","")&amp;E9,"")</f>
        <v>PCF-101 · PCF</v>
      </c>
      <c r="CA9" s="80">
        <f>IF(AND(BD9=1,E9&amp;""&lt;&gt;""),IF(COUNTIFS($E$5:E8,E9,$BD$5:BD8,1)=0,MAX($CA$5:CA8)+1,""),"")</f>
        <v>2</v>
      </c>
      <c r="CB9" s="80">
        <f>IF(AND(BE9=1,D9="Malcolm",E9&amp;""&lt;&gt;""),IF(COUNTIFS($D$5:D8,"Malcolm",$E$5:E8,E9,$BE$5:BE8,1)=0,MAX($CB$5:CB8)+1,""),"")</f>
        <v>1</v>
      </c>
      <c r="CC9" s="80" t="str">
        <f>IF(AND(BD9=1,D9="proMX",E9&amp;""&lt;&gt;""),IF(COUNTIFS($D$5:D8,"proMX",$E$5:E8,E9,$BD$5:BD8,1)=0,MAX($CC$5:CC8)+1,""),"")</f>
        <v/>
      </c>
      <c r="CD9" s="80">
        <f>IF(AND(BE9=1,D9="Malcolm",F9&amp;""&lt;&gt;""),IF(COUNTIFS($D$5:D8,"Malcolm",$F$5:F8,F9,$BE$5:BE8,1)=0,MAX($CD$5:CD8)+1,""),"")</f>
        <v>1</v>
      </c>
      <c r="CE9" s="80" t="str">
        <f>IF(AND(BD9=1,D9="proMX",F9&amp;""&lt;&gt;""),IF(COUNTIFS($D$5:D8,"proMX",$F$5:F8,F9,$BD$5:BD8,1)=0,MAX($CE$5:CE8)+1,""),"")</f>
        <v/>
      </c>
      <c r="CF9" s="80" t="str">
        <f>IF(AND(D9="proMX",BD9=1),IF(OR(BF9="Draft",BF9="Submitted",BF9="Returned",BF9="Recall Requested"),MAX($CF$5:CF8)+1,""),"")</f>
        <v/>
      </c>
      <c r="CG9" s="80">
        <f>IF(BD9=0,0,IF(D9="Malcolm",1,MATCH(BF9,{"Draft","Submitted","Approved","Returned","Recall Requested","Cancelled"},0)+1))</f>
        <v>1</v>
      </c>
      <c r="CH9" s="80">
        <f>IF(AND(BF9="Submitted",ISNUMBER(V9)),IF(V9&gt;CFG_MAXD,1,0),0)</f>
        <v>0</v>
      </c>
    </row>
    <row r="10">
      <c r="A10" s="71">
        <f>IF(Y10=1,ROW()-5,"")</f>
        <v>5</v>
      </c>
      <c r="B10" s="72" t="n">
        <v>46300</v>
      </c>
      <c r="C10" s="71" t="str">
        <f>IF(ISNUMBER(B10),CHOOSE(WEEKDAY(B10,2),"Lun","Mar","Mié","Jue","Vie","Sáb","Dom"),"")</f>
        <v>Lun</v>
      </c>
      <c r="D10" s="73" t="inlineStr">
        <is>
          <t>Malcolm</t>
        </is>
      </c>
      <c r="E10" s="74" t="inlineStr">
        <is>
          <t>PCF</t>
        </is>
      </c>
      <c r="F10" s="74" t="inlineStr">
        <is>
          <t>PCF-102</t>
        </is>
      </c>
      <c r="G10" s="74" t="inlineStr">
        <is>
          <t>[EJEMPLO] Debugging</t>
        </is>
      </c>
      <c r="H10" s="75" t="n">
        <v>0.5416666666666666</v>
      </c>
      <c r="I10" s="75" t="n">
        <v>0.5972222222222222</v>
      </c>
      <c r="J10" s="76" t="n">
        <v>0</v>
      </c>
      <c r="K10" s="77">
        <f>IF(AB10=1,ROUND(AG10/60,4),"")</f>
        <v>1.3333</v>
      </c>
      <c r="L10" s="77">
        <f>IF(BD10=1,ROUND(AP10/60,4),"")</f>
        <v>1.3333</v>
      </c>
      <c r="M10" s="77">
        <f>IF(BD10=1,ROUND(AQ10/60,4),"")</f>
        <v>0</v>
      </c>
      <c r="N10" s="71" t="str">
        <f>IF(AND(D10="proMX",AB10=1),ROUND(AG10/CFG_BLK,2),"")</f>
        <v/>
      </c>
      <c r="O10" s="77" t="str">
        <f>IF(D10="proMX",IF(BD10=1,ROUND(AG10/60,4),0),"")</f>
        <v/>
      </c>
      <c r="P10" s="78" t="str">
        <f>IF(Y10=0,"",IF(BD10=1,"OK",IF(D10="proMX","Revisar bloques: ","Revisar: ")&amp;BC10))</f>
        <v>OK</v>
      </c>
      <c r="Q10" s="78" t="str">
        <f>IF(NOT(ISNUMBER(B10)),"",IF(COUNTIFS(FER_F,INT(B10))&gt;0,"Feriado"&amp;IF(AH10=1," (laborable)"," (no laborable)"),IF(AH10=1,"Laborable",IF(WEEKDAY(B10,2)&gt;5,"Fin de semana","No laborable"))))</f>
        <v>Laborable</v>
      </c>
      <c r="R10" s="73" t="n"/>
      <c r="S10" s="72" t="n"/>
      <c r="T10" s="72" t="n"/>
      <c r="U10" s="74" t="inlineStr">
        <is>
          <t>EJEMPLO – se puede borrar</t>
        </is>
      </c>
      <c r="V10" s="79" t="str">
        <f>IF(AND(D10="proMX",OR(R10="Submitted",R10="Recall Requested"),ISNUMBER(S10)),CFG_TODAY-INT(S10),"")</f>
        <v/>
      </c>
      <c r="W10" s="78" t="str">
        <f>IF(BD10=0,"",IF(BA10&gt;0,"⚠ Se superpone con un registro de la otra empresa",IF(D10="Malcolm",IF(COUNTA(R10,S10,T10)&gt;0,"Estado/fechas proMX se ignoran en Malcolm",""),IF(BF10="Cancelled","Cancelado: excluido de totales",IF(R10="","Sin estado: se trata como Draft",IF(BF10="Submitted",IF(ISNUMBER(V10),IF(V10&gt;CFG_MAXD,"⚠ "&amp;V10&amp;" días en Submitted (máx. "&amp;CFG_MAXD&amp;")",""),"Falta fecha de envío"),IF(BF10="Returned","⚠ Devuelto: corregir y reenviar",IF(BF10="Recall Requested","Retirada solicitada: pendiente",IF(AND(BF10="Approved",NOT(ISNUMBER(T10))),"Falta fecha de aprobación",IF(AND(ISNUMBER(S10),ISNUMBER(T10),T10&lt;S10),"Aprobación anterior al envío","")))))))))</f>
        <v/>
      </c>
      <c r="Y10" s="80">
        <f>IF(COUNTA(B10,D10,E10,F10,G10,H10,I10,J10,R10,S10,T10)&gt;0,1,0)</f>
        <v>1</v>
      </c>
      <c r="Z10" s="80">
        <f>IF(AND(ISNUMBER(H10),H10&gt;=0,H10&lt;1),ROUND(H10*1440,0),"")</f>
        <v>780</v>
      </c>
      <c r="AA10" s="80">
        <f>IF(AND(ISNUMBER(I10),I10&gt;=0,I10&lt;1),ROUND(I10*1440,0),"")</f>
        <v>860</v>
      </c>
      <c r="AB10" s="80">
        <f>IF(AND(ISNUMBER(B10),D10&lt;&gt;"",ISNUMBER(Z10),ISNUMBER(AA10)),IF(Z10=AA10,0,1),0)</f>
        <v>1</v>
      </c>
      <c r="AC10" s="80">
        <f>IF(AB10=1,IF(AA10&lt;Z10,1,0),0)</f>
        <v>0</v>
      </c>
      <c r="AD10" s="80">
        <f>IF(AB10=1,IF(AC10=1,1440-Z10+AA10,AA10-Z10),0)</f>
        <v>80</v>
      </c>
      <c r="AE10" s="80">
        <f>IF(J10="",0,IF(ISNUMBER(J10),J10,-1))</f>
        <v>0</v>
      </c>
      <c r="AF10" s="80">
        <f>MIN(MAX(0,AE10),AD10)</f>
        <v>0</v>
      </c>
      <c r="AG10" s="80">
        <f>MAX(0,AD10-MAX(0,AE10))</f>
        <v>80</v>
      </c>
      <c r="AH10" s="80">
        <f>IF(ISNUMBER(B10),IF(AND(INDEX(CFG_WDAYS,WEEKDAY(INT(B10),2))="Sí",IF(D10="proMX",COUNTIFS(FER_F,INT(B10),FER_NLP,"Sí"),COUNTIFS(FER_F,INT(B10),FER_NLM,"Sí"))=0),1,0),0)</f>
        <v>1</v>
      </c>
      <c r="AI10" s="80">
        <f>IF(AC10=1,IF(AND(INDEX(CFG_WDAYS,WEEKDAY(INT(B10)+1,2))="Sí",IF(D10="proMX",COUNTIFS(FER_F,INT(B10)+1,FER_NLP,"Sí"),COUNTIFS(FER_F,INT(B10)+1,FER_NLM,"Sí"))=0),1,0),0)</f>
        <v>0</v>
      </c>
      <c r="AJ10" s="80">
        <f>IF(AC10=1,1440-Z10,AD10)</f>
        <v>80</v>
      </c>
      <c r="AK10" s="80">
        <f>IF(AND(AB10=1,AH10=1),MAX(0,MIN(IF(AC10=1,1440,AA10),CFG_WEM)-MAX(Z10,CFG_WSM)),0)</f>
        <v>80</v>
      </c>
      <c r="AL10" s="80">
        <f>IF(AND(AC10=1,AI10=1),MAX(0,MIN(AA10,CFG_WEM)-CFG_WSM),0)</f>
        <v>0</v>
      </c>
      <c r="AM10" s="80">
        <f>AK10+AL10</f>
        <v>80</v>
      </c>
      <c r="AN10" s="80">
        <f>IF(CFG_BRK="Proporcional",IF(AD10=0,0,AF10*AM10/AD10),IF(CFG_BRK="Extras primero",MIN(AM10,MAX(0,AF10-(AD10-AM10))),MIN(AF10,AM10)))</f>
        <v>0</v>
      </c>
      <c r="AO10" s="80">
        <f>AF10-AN10</f>
        <v>0</v>
      </c>
      <c r="AP10" s="80">
        <f>AM10-AN10</f>
        <v>80</v>
      </c>
      <c r="AQ10" s="80">
        <f>AD10-AM10-AO10</f>
        <v>0</v>
      </c>
      <c r="AR10" s="80">
        <f>IF(AM10=0,0,AK10-AN10*AK10/AM10)</f>
        <v>80</v>
      </c>
      <c r="AS10" s="80">
        <f>IF(AD10-AM10=0,0,(AJ10-AK10)-AO10*(AJ10-AK10)/(AD10-AM10))</f>
        <v>0</v>
      </c>
      <c r="AT10" s="80" t="str">
        <f>IF(AC10=1,INT(B10)+1,"")</f>
        <v/>
      </c>
      <c r="AU10" s="80">
        <f>IF(AND(D10="proMX",R10="Cancelled"),0,1)</f>
        <v>1</v>
      </c>
      <c r="AV10" s="80">
        <f>IF(AND(AB10=1,AU10=1),IF(COUNTIFS($D$5:D9,D10,$B$5:B9,B10,$Z$5:Z9,Z10,$AA$5:AA9,AA10,$F$5:F9,F10&amp;"",$AU$5:AU9,1)&gt;0,1,0),0)</f>
        <v>0</v>
      </c>
      <c r="AW10" s="80">
        <f>IF(AB10=1,INT(B10)*1440+Z10,"")</f>
        <v>66672780</v>
      </c>
      <c r="AX10" s="80">
        <f>IF(AB10=1,AW10+AD10,"")</f>
        <v>66672860</v>
      </c>
      <c r="AY10" s="80">
        <f>IF(AND(AB10=1,AV10=0,AU10=1),1,0)</f>
        <v>1</v>
      </c>
      <c r="AZ10" s="80">
        <f>IF(AY10=1,COUNTIFS(R_Emp,D10,R_SAbs,"&lt;"&amp;AX10,R_EAbs,"&gt;"&amp;AW10,R_OKey,1)-1,0)</f>
        <v>0</v>
      </c>
      <c r="BA10" s="80">
        <f>IF(AY10=1,COUNTIFS(R_Emp,"&lt;&gt;"&amp;D10,R_SAbs,"&lt;"&amp;AX10,R_EAbs,"&gt;"&amp;AW10,R_OKey,1),0)</f>
        <v>0</v>
      </c>
      <c r="BB10" s="80">
        <f>IF(AND(AB10=1,D10="proMX"),IF(AND(MOD(Z10,CFG_BLK)=0,MOD(AA10,CFG_BLK)=0,MOD(AG10,CFG_BLK)=0,AG10&gt;0),1,0),1)</f>
        <v>1</v>
      </c>
      <c r="BC10" s="80" t="str">
        <f>IF(Y10=0,"",IF(NOT(ISNUMBER(B10)),"Falta fecha o fecha inválida",IF(D10="","Falta empresa",IF(AND(D10&lt;&gt;"Malcolm",D10&lt;&gt;"proMX"),"Empresa inválida",IF(OR(INT(B10)&lt;CFG_PSTART,INT(B10)&gt;CFG_PEND),"Fecha fuera del período",IF(OR(NOT(ISNUMBER(Z10)),NOT(ISNUMBER(AA10))),"Falta hora inicio/fin o formato inválido",IF(AB10=0,"Hora inicio = hora fin",IF(AE10&lt;0,"Descanso inválido",IF(AE10&gt;=AD10,"Descanso ≥ duración",IF(AV10=1,"Registro duplicado",IF(AZ10&gt;0,"Se superpone con otro registro "&amp;D10,IF(BB10=0,"inicio, fin y duración neta deben ser múltiplos de "&amp;CFG_BLK&amp;" min",""))))))))))))</f>
        <v/>
      </c>
      <c r="BD10" s="80">
        <f>IF(AND(Y10=1,BC10=""),1,0)</f>
        <v>1</v>
      </c>
      <c r="BE10" s="80">
        <f>IF(AND(BD10=1,AU10=1),1,0)</f>
        <v>1</v>
      </c>
      <c r="BF10" s="80" t="str">
        <f>IF(AND(D10="proMX",BD10=1),IF(R10="","Draft",R10),"")</f>
        <v/>
      </c>
      <c r="BG10" s="80">
        <f>IF(BD10=1,ROUND(AG10/60,6),0)</f>
        <v>1.333333</v>
      </c>
      <c r="BH10" s="80">
        <f>IF(BE10=1,ROUND(AG10/60,6),0)</f>
        <v>1.333333</v>
      </c>
      <c r="BI10" s="80">
        <f>IF(BE10=1,ROUND(AP10/60,6),0)</f>
        <v>1.333333</v>
      </c>
      <c r="BJ10" s="80">
        <f>IF(BE10=1,ROUND(AQ10/60,6),0)</f>
        <v>0</v>
      </c>
      <c r="BK10" s="80">
        <f>IF(BE10=1,ROUND((AR10+AS10)/60,6),0)</f>
        <v>1.333333</v>
      </c>
      <c r="BL10" s="80">
        <f>ROUND(BH10-BK10,6)</f>
        <v>0</v>
      </c>
      <c r="BM10" s="80">
        <f>IF(BE10=1,ROUND(AR10/60,6),0)</f>
        <v>1.333333</v>
      </c>
      <c r="BN10" s="80">
        <f>ROUND(BI10-BM10,6)</f>
        <v>0</v>
      </c>
      <c r="BO10" s="80">
        <f>IF(BE10=1,ROUND(AS10/60,6),0)</f>
        <v>0</v>
      </c>
      <c r="BP10" s="80">
        <f>ROUND(BJ10-BO10,6)</f>
        <v>0</v>
      </c>
      <c r="BQ10" s="80">
        <f>IF(BE10=1,AW10,0)</f>
        <v>66672780</v>
      </c>
      <c r="BR10" s="80">
        <f>IF(BE10=1,AX10,0)</f>
        <v>66672860</v>
      </c>
      <c r="BS10" s="80">
        <f>IF(AND(BE10=1,D10="Malcolm",BA10&gt;0),MIN(BH10,SUMPRODUCT((R_Emp="proMX")*(R_EN&gt;0)*((R_EN-(R_EN&gt;BR10)*(R_EN-BR10))&gt;(R_SN+(R_SN&lt;BQ10)*(BQ10-R_SN)))*((R_EN-(R_EN&gt;BR10)*(R_EN-BR10))-(R_SN+(R_SN&lt;BQ10)*(BQ10-R_SN))))/60),0)</f>
        <v>0</v>
      </c>
      <c r="BT10" s="80">
        <f>IF(AND(BE10=1,D10="proMX"),ROUND(BI10*CFG_RATE+BJ10*CFG_OTRATE,6),0)</f>
        <v>0</v>
      </c>
      <c r="BU10" s="80">
        <f>IF(AND(BD10=1,D10="proMX"),ROUND(AG10/CFG_BLK,6),0)</f>
        <v>0</v>
      </c>
      <c r="BV10" s="80" t="str">
        <f>IF(BF10="Approved",IF(ISNUMBER(T10),INT(T10),INT(B10)),"")</f>
        <v/>
      </c>
      <c r="BW10" s="80">
        <f>IF(ISNUMBER(B10),IF(DB_MON="Todos",1,IF(AND(INT(B10)&gt;=DB_MS,INT(B10)&lt;=DB_ME),1,0)),0)</f>
        <v>1</v>
      </c>
      <c r="BX10" s="80">
        <f>IF(DB_PROJ="Todos",1,IF(E10&amp;""=DB_PROJ&amp;"",1,0))</f>
        <v>1</v>
      </c>
      <c r="BY10" s="80">
        <f>BW10*BX10</f>
        <v>1</v>
      </c>
      <c r="BZ10" s="80" t="str">
        <f>IF(Y10=1,F10&amp;IF(AND(F10&amp;""&lt;&gt;"",E10&amp;""&lt;&gt;"")," · ","")&amp;E10,"")</f>
        <v>PCF-102 · PCF</v>
      </c>
      <c r="CA10" s="80" t="str">
        <f>IF(AND(BD10=1,E10&amp;""&lt;&gt;""),IF(COUNTIFS($E$5:E9,E10,$BD$5:BD9,1)=0,MAX($CA$5:CA9)+1,""),"")</f>
        <v/>
      </c>
      <c r="CB10" s="80" t="str">
        <f>IF(AND(BE10=1,D10="Malcolm",E10&amp;""&lt;&gt;""),IF(COUNTIFS($D$5:D9,"Malcolm",$E$5:E9,E10,$BE$5:BE9,1)=0,MAX($CB$5:CB9)+1,""),"")</f>
        <v/>
      </c>
      <c r="CC10" s="80" t="str">
        <f>IF(AND(BD10=1,D10="proMX",E10&amp;""&lt;&gt;""),IF(COUNTIFS($D$5:D9,"proMX",$E$5:E9,E10,$BD$5:BD9,1)=0,MAX($CC$5:CC9)+1,""),"")</f>
        <v/>
      </c>
      <c r="CD10" s="80">
        <f>IF(AND(BE10=1,D10="Malcolm",F10&amp;""&lt;&gt;""),IF(COUNTIFS($D$5:D9,"Malcolm",$F$5:F9,F10,$BE$5:BE9,1)=0,MAX($CD$5:CD9)+1,""),"")</f>
        <v>2</v>
      </c>
      <c r="CE10" s="80" t="str">
        <f>IF(AND(BD10=1,D10="proMX",F10&amp;""&lt;&gt;""),IF(COUNTIFS($D$5:D9,"proMX",$F$5:F9,F10,$BD$5:BD9,1)=0,MAX($CE$5:CE9)+1,""),"")</f>
        <v/>
      </c>
      <c r="CF10" s="80" t="str">
        <f>IF(AND(D10="proMX",BD10=1),IF(OR(BF10="Draft",BF10="Submitted",BF10="Returned",BF10="Recall Requested"),MAX($CF$5:CF9)+1,""),"")</f>
        <v/>
      </c>
      <c r="CG10" s="80">
        <f>IF(BD10=0,0,IF(D10="Malcolm",1,MATCH(BF10,{"Draft","Submitted","Approved","Returned","Recall Requested","Cancelled"},0)+1))</f>
        <v>1</v>
      </c>
      <c r="CH10" s="80">
        <f>IF(AND(BF10="Submitted",ISNUMBER(V10)),IF(V10&gt;CFG_MAXD,1,0),0)</f>
        <v>0</v>
      </c>
    </row>
    <row r="11">
      <c r="A11" s="71">
        <f>IF(Y11=1,ROW()-5,"")</f>
        <v>6</v>
      </c>
      <c r="B11" s="72" t="n">
        <v>46300</v>
      </c>
      <c r="C11" s="71" t="str">
        <f>IF(ISNUMBER(B11),CHOOSE(WEEKDAY(B11,2),"Lun","Mar","Mié","Jue","Vie","Sáb","Dom"),"")</f>
        <v>Lun</v>
      </c>
      <c r="D11" s="73" t="inlineStr">
        <is>
          <t>Malcolm</t>
        </is>
      </c>
      <c r="E11" s="74" t="inlineStr">
        <is>
          <t>PCF</t>
        </is>
      </c>
      <c r="F11" s="74" t="inlineStr">
        <is>
          <t>PCF-103</t>
        </is>
      </c>
      <c r="G11" s="74" t="inlineStr">
        <is>
          <t>[EJEMPLO] Horas extras: deploy</t>
        </is>
      </c>
      <c r="H11" s="75" t="n">
        <v>0.7083333333333334</v>
      </c>
      <c r="I11" s="75" t="n">
        <v>0.7916666666666666</v>
      </c>
      <c r="J11" s="76" t="n">
        <v>0</v>
      </c>
      <c r="K11" s="77">
        <f>IF(AB11=1,ROUND(AG11/60,4),"")</f>
        <v>2</v>
      </c>
      <c r="L11" s="77">
        <f>IF(BD11=1,ROUND(AP11/60,4),"")</f>
        <v>0</v>
      </c>
      <c r="M11" s="77">
        <f>IF(BD11=1,ROUND(AQ11/60,4),"")</f>
        <v>2</v>
      </c>
      <c r="N11" s="71" t="str">
        <f>IF(AND(D11="proMX",AB11=1),ROUND(AG11/CFG_BLK,2),"")</f>
        <v/>
      </c>
      <c r="O11" s="77" t="str">
        <f>IF(D11="proMX",IF(BD11=1,ROUND(AG11/60,4),0),"")</f>
        <v/>
      </c>
      <c r="P11" s="78" t="str">
        <f>IF(Y11=0,"",IF(BD11=1,"OK",IF(D11="proMX","Revisar bloques: ","Revisar: ")&amp;BC11))</f>
        <v>OK</v>
      </c>
      <c r="Q11" s="78" t="str">
        <f>IF(NOT(ISNUMBER(B11)),"",IF(COUNTIFS(FER_F,INT(B11))&gt;0,"Feriado"&amp;IF(AH11=1," (laborable)"," (no laborable)"),IF(AH11=1,"Laborable",IF(WEEKDAY(B11,2)&gt;5,"Fin de semana","No laborable"))))</f>
        <v>Laborable</v>
      </c>
      <c r="R11" s="73" t="n"/>
      <c r="S11" s="72" t="n"/>
      <c r="T11" s="72" t="n"/>
      <c r="U11" s="74" t="inlineStr">
        <is>
          <t>EJEMPLO – se puede borrar</t>
        </is>
      </c>
      <c r="V11" s="79" t="str">
        <f>IF(AND(D11="proMX",OR(R11="Submitted",R11="Recall Requested"),ISNUMBER(S11)),CFG_TODAY-INT(S11),"")</f>
        <v/>
      </c>
      <c r="W11" s="78" t="str">
        <f>IF(BD11=0,"",IF(BA11&gt;0,"⚠ Se superpone con un registro de la otra empresa",IF(D11="Malcolm",IF(COUNTA(R11,S11,T11)&gt;0,"Estado/fechas proMX se ignoran en Malcolm",""),IF(BF11="Cancelled","Cancelado: excluido de totales",IF(R11="","Sin estado: se trata como Draft",IF(BF11="Submitted",IF(ISNUMBER(V11),IF(V11&gt;CFG_MAXD,"⚠ "&amp;V11&amp;" días en Submitted (máx. "&amp;CFG_MAXD&amp;")",""),"Falta fecha de envío"),IF(BF11="Returned","⚠ Devuelto: corregir y reenviar",IF(BF11="Recall Requested","Retirada solicitada: pendiente",IF(AND(BF11="Approved",NOT(ISNUMBER(T11))),"Falta fecha de aprobación",IF(AND(ISNUMBER(S11),ISNUMBER(T11),T11&lt;S11),"Aprobación anterior al envío","")))))))))</f>
        <v/>
      </c>
      <c r="Y11" s="80">
        <f>IF(COUNTA(B11,D11,E11,F11,G11,H11,I11,J11,R11,S11,T11)&gt;0,1,0)</f>
        <v>1</v>
      </c>
      <c r="Z11" s="80">
        <f>IF(AND(ISNUMBER(H11),H11&gt;=0,H11&lt;1),ROUND(H11*1440,0),"")</f>
        <v>1020</v>
      </c>
      <c r="AA11" s="80">
        <f>IF(AND(ISNUMBER(I11),I11&gt;=0,I11&lt;1),ROUND(I11*1440,0),"")</f>
        <v>1140</v>
      </c>
      <c r="AB11" s="80">
        <f>IF(AND(ISNUMBER(B11),D11&lt;&gt;"",ISNUMBER(Z11),ISNUMBER(AA11)),IF(Z11=AA11,0,1),0)</f>
        <v>1</v>
      </c>
      <c r="AC11" s="80">
        <f>IF(AB11=1,IF(AA11&lt;Z11,1,0),0)</f>
        <v>0</v>
      </c>
      <c r="AD11" s="80">
        <f>IF(AB11=1,IF(AC11=1,1440-Z11+AA11,AA11-Z11),0)</f>
        <v>120</v>
      </c>
      <c r="AE11" s="80">
        <f>IF(J11="",0,IF(ISNUMBER(J11),J11,-1))</f>
        <v>0</v>
      </c>
      <c r="AF11" s="80">
        <f>MIN(MAX(0,AE11),AD11)</f>
        <v>0</v>
      </c>
      <c r="AG11" s="80">
        <f>MAX(0,AD11-MAX(0,AE11))</f>
        <v>120</v>
      </c>
      <c r="AH11" s="80">
        <f>IF(ISNUMBER(B11),IF(AND(INDEX(CFG_WDAYS,WEEKDAY(INT(B11),2))="Sí",IF(D11="proMX",COUNTIFS(FER_F,INT(B11),FER_NLP,"Sí"),COUNTIFS(FER_F,INT(B11),FER_NLM,"Sí"))=0),1,0),0)</f>
        <v>1</v>
      </c>
      <c r="AI11" s="80">
        <f>IF(AC11=1,IF(AND(INDEX(CFG_WDAYS,WEEKDAY(INT(B11)+1,2))="Sí",IF(D11="proMX",COUNTIFS(FER_F,INT(B11)+1,FER_NLP,"Sí"),COUNTIFS(FER_F,INT(B11)+1,FER_NLM,"Sí"))=0),1,0),0)</f>
        <v>0</v>
      </c>
      <c r="AJ11" s="80">
        <f>IF(AC11=1,1440-Z11,AD11)</f>
        <v>120</v>
      </c>
      <c r="AK11" s="80">
        <f>IF(AND(AB11=1,AH11=1),MAX(0,MIN(IF(AC11=1,1440,AA11),CFG_WEM)-MAX(Z11,CFG_WSM)),0)</f>
        <v>0</v>
      </c>
      <c r="AL11" s="80">
        <f>IF(AND(AC11=1,AI11=1),MAX(0,MIN(AA11,CFG_WEM)-CFG_WSM),0)</f>
        <v>0</v>
      </c>
      <c r="AM11" s="80">
        <f>AK11+AL11</f>
        <v>0</v>
      </c>
      <c r="AN11" s="80">
        <f>IF(CFG_BRK="Proporcional",IF(AD11=0,0,AF11*AM11/AD11),IF(CFG_BRK="Extras primero",MIN(AM11,MAX(0,AF11-(AD11-AM11))),MIN(AF11,AM11)))</f>
        <v>0</v>
      </c>
      <c r="AO11" s="80">
        <f>AF11-AN11</f>
        <v>0</v>
      </c>
      <c r="AP11" s="80">
        <f>AM11-AN11</f>
        <v>0</v>
      </c>
      <c r="AQ11" s="80">
        <f>AD11-AM11-AO11</f>
        <v>120</v>
      </c>
      <c r="AR11" s="80">
        <f>IF(AM11=0,0,AK11-AN11*AK11/AM11)</f>
        <v>0</v>
      </c>
      <c r="AS11" s="80">
        <f>IF(AD11-AM11=0,0,(AJ11-AK11)-AO11*(AJ11-AK11)/(AD11-AM11))</f>
        <v>120</v>
      </c>
      <c r="AT11" s="80" t="str">
        <f>IF(AC11=1,INT(B11)+1,"")</f>
        <v/>
      </c>
      <c r="AU11" s="80">
        <f>IF(AND(D11="proMX",R11="Cancelled"),0,1)</f>
        <v>1</v>
      </c>
      <c r="AV11" s="80">
        <f>IF(AND(AB11=1,AU11=1),IF(COUNTIFS($D$5:D10,D11,$B$5:B10,B11,$Z$5:Z10,Z11,$AA$5:AA10,AA11,$F$5:F10,F11&amp;"",$AU$5:AU10,1)&gt;0,1,0),0)</f>
        <v>0</v>
      </c>
      <c r="AW11" s="80">
        <f>IF(AB11=1,INT(B11)*1440+Z11,"")</f>
        <v>66673020</v>
      </c>
      <c r="AX11" s="80">
        <f>IF(AB11=1,AW11+AD11,"")</f>
        <v>66673140</v>
      </c>
      <c r="AY11" s="80">
        <f>IF(AND(AB11=1,AV11=0,AU11=1),1,0)</f>
        <v>1</v>
      </c>
      <c r="AZ11" s="80">
        <f>IF(AY11=1,COUNTIFS(R_Emp,D11,R_SAbs,"&lt;"&amp;AX11,R_EAbs,"&gt;"&amp;AW11,R_OKey,1)-1,0)</f>
        <v>0</v>
      </c>
      <c r="BA11" s="80">
        <f>IF(AY11=1,COUNTIFS(R_Emp,"&lt;&gt;"&amp;D11,R_SAbs,"&lt;"&amp;AX11,R_EAbs,"&gt;"&amp;AW11,R_OKey,1),0)</f>
        <v>0</v>
      </c>
      <c r="BB11" s="80">
        <f>IF(AND(AB11=1,D11="proMX"),IF(AND(MOD(Z11,CFG_BLK)=0,MOD(AA11,CFG_BLK)=0,MOD(AG11,CFG_BLK)=0,AG11&gt;0),1,0),1)</f>
        <v>1</v>
      </c>
      <c r="BC11" s="80" t="str">
        <f>IF(Y11=0,"",IF(NOT(ISNUMBER(B11)),"Falta fecha o fecha inválida",IF(D11="","Falta empresa",IF(AND(D11&lt;&gt;"Malcolm",D11&lt;&gt;"proMX"),"Empresa inválida",IF(OR(INT(B11)&lt;CFG_PSTART,INT(B11)&gt;CFG_PEND),"Fecha fuera del período",IF(OR(NOT(ISNUMBER(Z11)),NOT(ISNUMBER(AA11))),"Falta hora inicio/fin o formato inválido",IF(AB11=0,"Hora inicio = hora fin",IF(AE11&lt;0,"Descanso inválido",IF(AE11&gt;=AD11,"Descanso ≥ duración",IF(AV11=1,"Registro duplicado",IF(AZ11&gt;0,"Se superpone con otro registro "&amp;D11,IF(BB11=0,"inicio, fin y duración neta deben ser múltiplos de "&amp;CFG_BLK&amp;" min",""))))))))))))</f>
        <v/>
      </c>
      <c r="BD11" s="80">
        <f>IF(AND(Y11=1,BC11=""),1,0)</f>
        <v>1</v>
      </c>
      <c r="BE11" s="80">
        <f>IF(AND(BD11=1,AU11=1),1,0)</f>
        <v>1</v>
      </c>
      <c r="BF11" s="80" t="str">
        <f>IF(AND(D11="proMX",BD11=1),IF(R11="","Draft",R11),"")</f>
        <v/>
      </c>
      <c r="BG11" s="80">
        <f>IF(BD11=1,ROUND(AG11/60,6),0)</f>
        <v>2</v>
      </c>
      <c r="BH11" s="80">
        <f>IF(BE11=1,ROUND(AG11/60,6),0)</f>
        <v>2</v>
      </c>
      <c r="BI11" s="80">
        <f>IF(BE11=1,ROUND(AP11/60,6),0)</f>
        <v>0</v>
      </c>
      <c r="BJ11" s="80">
        <f>IF(BE11=1,ROUND(AQ11/60,6),0)</f>
        <v>2</v>
      </c>
      <c r="BK11" s="80">
        <f>IF(BE11=1,ROUND((AR11+AS11)/60,6),0)</f>
        <v>2</v>
      </c>
      <c r="BL11" s="80">
        <f>ROUND(BH11-BK11,6)</f>
        <v>0</v>
      </c>
      <c r="BM11" s="80">
        <f>IF(BE11=1,ROUND(AR11/60,6),0)</f>
        <v>0</v>
      </c>
      <c r="BN11" s="80">
        <f>ROUND(BI11-BM11,6)</f>
        <v>0</v>
      </c>
      <c r="BO11" s="80">
        <f>IF(BE11=1,ROUND(AS11/60,6),0)</f>
        <v>2</v>
      </c>
      <c r="BP11" s="80">
        <f>ROUND(BJ11-BO11,6)</f>
        <v>0</v>
      </c>
      <c r="BQ11" s="80">
        <f>IF(BE11=1,AW11,0)</f>
        <v>66673020</v>
      </c>
      <c r="BR11" s="80">
        <f>IF(BE11=1,AX11,0)</f>
        <v>66673140</v>
      </c>
      <c r="BS11" s="80">
        <f>IF(AND(BE11=1,D11="Malcolm",BA11&gt;0),MIN(BH11,SUMPRODUCT((R_Emp="proMX")*(R_EN&gt;0)*((R_EN-(R_EN&gt;BR11)*(R_EN-BR11))&gt;(R_SN+(R_SN&lt;BQ11)*(BQ11-R_SN)))*((R_EN-(R_EN&gt;BR11)*(R_EN-BR11))-(R_SN+(R_SN&lt;BQ11)*(BQ11-R_SN))))/60),0)</f>
        <v>0</v>
      </c>
      <c r="BT11" s="80">
        <f>IF(AND(BE11=1,D11="proMX"),ROUND(BI11*CFG_RATE+BJ11*CFG_OTRATE,6),0)</f>
        <v>0</v>
      </c>
      <c r="BU11" s="80">
        <f>IF(AND(BD11=1,D11="proMX"),ROUND(AG11/CFG_BLK,6),0)</f>
        <v>0</v>
      </c>
      <c r="BV11" s="80" t="str">
        <f>IF(BF11="Approved",IF(ISNUMBER(T11),INT(T11),INT(B11)),"")</f>
        <v/>
      </c>
      <c r="BW11" s="80">
        <f>IF(ISNUMBER(B11),IF(DB_MON="Todos",1,IF(AND(INT(B11)&gt;=DB_MS,INT(B11)&lt;=DB_ME),1,0)),0)</f>
        <v>1</v>
      </c>
      <c r="BX11" s="80">
        <f>IF(DB_PROJ="Todos",1,IF(E11&amp;""=DB_PROJ&amp;"",1,0))</f>
        <v>1</v>
      </c>
      <c r="BY11" s="80">
        <f>BW11*BX11</f>
        <v>1</v>
      </c>
      <c r="BZ11" s="80" t="str">
        <f>IF(Y11=1,F11&amp;IF(AND(F11&amp;""&lt;&gt;"",E11&amp;""&lt;&gt;"")," · ","")&amp;E11,"")</f>
        <v>PCF-103 · PCF</v>
      </c>
      <c r="CA11" s="80" t="str">
        <f>IF(AND(BD11=1,E11&amp;""&lt;&gt;""),IF(COUNTIFS($E$5:E10,E11,$BD$5:BD10,1)=0,MAX($CA$5:CA10)+1,""),"")</f>
        <v/>
      </c>
      <c r="CB11" s="80" t="str">
        <f>IF(AND(BE11=1,D11="Malcolm",E11&amp;""&lt;&gt;""),IF(COUNTIFS($D$5:D10,"Malcolm",$E$5:E10,E11,$BE$5:BE10,1)=0,MAX($CB$5:CB10)+1,""),"")</f>
        <v/>
      </c>
      <c r="CC11" s="80" t="str">
        <f>IF(AND(BD11=1,D11="proMX",E11&amp;""&lt;&gt;""),IF(COUNTIFS($D$5:D10,"proMX",$E$5:E10,E11,$BD$5:BD10,1)=0,MAX($CC$5:CC10)+1,""),"")</f>
        <v/>
      </c>
      <c r="CD11" s="80">
        <f>IF(AND(BE11=1,D11="Malcolm",F11&amp;""&lt;&gt;""),IF(COUNTIFS($D$5:D10,"Malcolm",$F$5:F10,F11,$BE$5:BE10,1)=0,MAX($CD$5:CD10)+1,""),"")</f>
        <v>3</v>
      </c>
      <c r="CE11" s="80" t="str">
        <f>IF(AND(BD11=1,D11="proMX",F11&amp;""&lt;&gt;""),IF(COUNTIFS($D$5:D10,"proMX",$F$5:F10,F11,$BD$5:BD10,1)=0,MAX($CE$5:CE10)+1,""),"")</f>
        <v/>
      </c>
      <c r="CF11" s="80" t="str">
        <f>IF(AND(D11="proMX",BD11=1),IF(OR(BF11="Draft",BF11="Submitted",BF11="Returned",BF11="Recall Requested"),MAX($CF$5:CF10)+1,""),"")</f>
        <v/>
      </c>
      <c r="CG11" s="80">
        <f>IF(BD11=0,0,IF(D11="Malcolm",1,MATCH(BF11,{"Draft","Submitted","Approved","Returned","Recall Requested","Cancelled"},0)+1))</f>
        <v>1</v>
      </c>
      <c r="CH11" s="80">
        <f>IF(AND(BF11="Submitted",ISNUMBER(V11)),IF(V11&gt;CFG_MAXD,1,0),0)</f>
        <v>0</v>
      </c>
    </row>
    <row r="12">
      <c r="A12" s="71">
        <f>IF(Y12=1,ROW()-5,"")</f>
        <v>7</v>
      </c>
      <c r="B12" s="72" t="n">
        <v>46301</v>
      </c>
      <c r="C12" s="71" t="str">
        <f>IF(ISNUMBER(B12),CHOOSE(WEEKDAY(B12,2),"Lun","Mar","Mié","Jue","Vie","Sáb","Dom"),"")</f>
        <v>Mar</v>
      </c>
      <c r="D12" s="73" t="inlineStr">
        <is>
          <t>proMX</t>
        </is>
      </c>
      <c r="E12" s="74" t="inlineStr">
        <is>
          <t>Portal Cliente</t>
        </is>
      </c>
      <c r="F12" s="74" t="inlineStr">
        <is>
          <t>PMX-201</t>
        </is>
      </c>
      <c r="G12" s="74" t="inlineStr">
        <is>
          <t>[EJEMPLO] Corrección de bugs</t>
        </is>
      </c>
      <c r="H12" s="75" t="n">
        <v>0.375</v>
      </c>
      <c r="I12" s="75" t="n">
        <v>0.4375</v>
      </c>
      <c r="J12" s="76" t="n">
        <v>0</v>
      </c>
      <c r="K12" s="77">
        <f>IF(AB12=1,ROUND(AG12/60,4),"")</f>
        <v>1.5</v>
      </c>
      <c r="L12" s="77">
        <f>IF(BD12=1,ROUND(AP12/60,4),"")</f>
        <v>1.5</v>
      </c>
      <c r="M12" s="77">
        <f>IF(BD12=1,ROUND(AQ12/60,4),"")</f>
        <v>0</v>
      </c>
      <c r="N12" s="71">
        <f>IF(AND(D12="proMX",AB12=1),ROUND(AG12/CFG_BLK,2),"")</f>
        <v>3</v>
      </c>
      <c r="O12" s="77">
        <f>IF(D12="proMX",IF(BD12=1,ROUND(AG12/60,4),0),"")</f>
        <v>1.5</v>
      </c>
      <c r="P12" s="78" t="str">
        <f>IF(Y12=0,"",IF(BD12=1,"OK",IF(D12="proMX","Revisar bloques: ","Revisar: ")&amp;BC12))</f>
        <v>OK</v>
      </c>
      <c r="Q12" s="78" t="str">
        <f>IF(NOT(ISNUMBER(B12)),"",IF(COUNTIFS(FER_F,INT(B12))&gt;0,"Feriado"&amp;IF(AH12=1," (laborable)"," (no laborable)"),IF(AH12=1,"Laborable",IF(WEEKDAY(B12,2)&gt;5,"Fin de semana","No laborable"))))</f>
        <v>Laborable</v>
      </c>
      <c r="R12" s="73" t="inlineStr">
        <is>
          <t>Draft</t>
        </is>
      </c>
      <c r="S12" s="72" t="n"/>
      <c r="T12" s="72" t="n"/>
      <c r="U12" s="74" t="inlineStr">
        <is>
          <t>EJEMPLO – se puede borrar</t>
        </is>
      </c>
      <c r="V12" s="79" t="str">
        <f>IF(AND(D12="proMX",OR(R12="Submitted",R12="Recall Requested"),ISNUMBER(S12)),CFG_TODAY-INT(S12),"")</f>
        <v/>
      </c>
      <c r="W12" s="78" t="str">
        <f>IF(BD12=0,"",IF(BA12&gt;0,"⚠ Se superpone con un registro de la otra empresa",IF(D12="Malcolm",IF(COUNTA(R12,S12,T12)&gt;0,"Estado/fechas proMX se ignoran en Malcolm",""),IF(BF12="Cancelled","Cancelado: excluido de totales",IF(R12="","Sin estado: se trata como Draft",IF(BF12="Submitted",IF(ISNUMBER(V12),IF(V12&gt;CFG_MAXD,"⚠ "&amp;V12&amp;" días en Submitted (máx. "&amp;CFG_MAXD&amp;")",""),"Falta fecha de envío"),IF(BF12="Returned","⚠ Devuelto: corregir y reenviar",IF(BF12="Recall Requested","Retirada solicitada: pendiente",IF(AND(BF12="Approved",NOT(ISNUMBER(T12))),"Falta fecha de aprobación",IF(AND(ISNUMBER(S12),ISNUMBER(T12),T12&lt;S12),"Aprobación anterior al envío","")))))))))</f>
        <v/>
      </c>
      <c r="Y12" s="80">
        <f>IF(COUNTA(B12,D12,E12,F12,G12,H12,I12,J12,R12,S12,T12)&gt;0,1,0)</f>
        <v>1</v>
      </c>
      <c r="Z12" s="80">
        <f>IF(AND(ISNUMBER(H12),H12&gt;=0,H12&lt;1),ROUND(H12*1440,0),"")</f>
        <v>540</v>
      </c>
      <c r="AA12" s="80">
        <f>IF(AND(ISNUMBER(I12),I12&gt;=0,I12&lt;1),ROUND(I12*1440,0),"")</f>
        <v>630</v>
      </c>
      <c r="AB12" s="80">
        <f>IF(AND(ISNUMBER(B12),D12&lt;&gt;"",ISNUMBER(Z12),ISNUMBER(AA12)),IF(Z12=AA12,0,1),0)</f>
        <v>1</v>
      </c>
      <c r="AC12" s="80">
        <f>IF(AB12=1,IF(AA12&lt;Z12,1,0),0)</f>
        <v>0</v>
      </c>
      <c r="AD12" s="80">
        <f>IF(AB12=1,IF(AC12=1,1440-Z12+AA12,AA12-Z12),0)</f>
        <v>90</v>
      </c>
      <c r="AE12" s="80">
        <f>IF(J12="",0,IF(ISNUMBER(J12),J12,-1))</f>
        <v>0</v>
      </c>
      <c r="AF12" s="80">
        <f>MIN(MAX(0,AE12),AD12)</f>
        <v>0</v>
      </c>
      <c r="AG12" s="80">
        <f>MAX(0,AD12-MAX(0,AE12))</f>
        <v>90</v>
      </c>
      <c r="AH12" s="80">
        <f>IF(ISNUMBER(B12),IF(AND(INDEX(CFG_WDAYS,WEEKDAY(INT(B12),2))="Sí",IF(D12="proMX",COUNTIFS(FER_F,INT(B12),FER_NLP,"Sí"),COUNTIFS(FER_F,INT(B12),FER_NLM,"Sí"))=0),1,0),0)</f>
        <v>1</v>
      </c>
      <c r="AI12" s="80">
        <f>IF(AC12=1,IF(AND(INDEX(CFG_WDAYS,WEEKDAY(INT(B12)+1,2))="Sí",IF(D12="proMX",COUNTIFS(FER_F,INT(B12)+1,FER_NLP,"Sí"),COUNTIFS(FER_F,INT(B12)+1,FER_NLM,"Sí"))=0),1,0),0)</f>
        <v>0</v>
      </c>
      <c r="AJ12" s="80">
        <f>IF(AC12=1,1440-Z12,AD12)</f>
        <v>90</v>
      </c>
      <c r="AK12" s="80">
        <f>IF(AND(AB12=1,AH12=1),MAX(0,MIN(IF(AC12=1,1440,AA12),CFG_WEM)-MAX(Z12,CFG_WSM)),0)</f>
        <v>90</v>
      </c>
      <c r="AL12" s="80">
        <f>IF(AND(AC12=1,AI12=1),MAX(0,MIN(AA12,CFG_WEM)-CFG_WSM),0)</f>
        <v>0</v>
      </c>
      <c r="AM12" s="80">
        <f>AK12+AL12</f>
        <v>90</v>
      </c>
      <c r="AN12" s="80">
        <f>IF(CFG_BRK="Proporcional",IF(AD12=0,0,AF12*AM12/AD12),IF(CFG_BRK="Extras primero",MIN(AM12,MAX(0,AF12-(AD12-AM12))),MIN(AF12,AM12)))</f>
        <v>0</v>
      </c>
      <c r="AO12" s="80">
        <f>AF12-AN12</f>
        <v>0</v>
      </c>
      <c r="AP12" s="80">
        <f>AM12-AN12</f>
        <v>90</v>
      </c>
      <c r="AQ12" s="80">
        <f>AD12-AM12-AO12</f>
        <v>0</v>
      </c>
      <c r="AR12" s="80">
        <f>IF(AM12=0,0,AK12-AN12*AK12/AM12)</f>
        <v>90</v>
      </c>
      <c r="AS12" s="80">
        <f>IF(AD12-AM12=0,0,(AJ12-AK12)-AO12*(AJ12-AK12)/(AD12-AM12))</f>
        <v>0</v>
      </c>
      <c r="AT12" s="80" t="str">
        <f>IF(AC12=1,INT(B12)+1,"")</f>
        <v/>
      </c>
      <c r="AU12" s="80">
        <f>IF(AND(D12="proMX",R12="Cancelled"),0,1)</f>
        <v>1</v>
      </c>
      <c r="AV12" s="80">
        <f>IF(AND(AB12=1,AU12=1),IF(COUNTIFS($D$5:D11,D12,$B$5:B11,B12,$Z$5:Z11,Z12,$AA$5:AA11,AA12,$F$5:F11,F12&amp;"",$AU$5:AU11,1)&gt;0,1,0),0)</f>
        <v>0</v>
      </c>
      <c r="AW12" s="80">
        <f>IF(AB12=1,INT(B12)*1440+Z12,"")</f>
        <v>66673980</v>
      </c>
      <c r="AX12" s="80">
        <f>IF(AB12=1,AW12+AD12,"")</f>
        <v>66674070</v>
      </c>
      <c r="AY12" s="80">
        <f>IF(AND(AB12=1,AV12=0,AU12=1),1,0)</f>
        <v>1</v>
      </c>
      <c r="AZ12" s="80">
        <f>IF(AY12=1,COUNTIFS(R_Emp,D12,R_SAbs,"&lt;"&amp;AX12,R_EAbs,"&gt;"&amp;AW12,R_OKey,1)-1,0)</f>
        <v>0</v>
      </c>
      <c r="BA12" s="80">
        <f>IF(AY12=1,COUNTIFS(R_Emp,"&lt;&gt;"&amp;D12,R_SAbs,"&lt;"&amp;AX12,R_EAbs,"&gt;"&amp;AW12,R_OKey,1),0)</f>
        <v>0</v>
      </c>
      <c r="BB12" s="80">
        <f>IF(AND(AB12=1,D12="proMX"),IF(AND(MOD(Z12,CFG_BLK)=0,MOD(AA12,CFG_BLK)=0,MOD(AG12,CFG_BLK)=0,AG12&gt;0),1,0),1)</f>
        <v>1</v>
      </c>
      <c r="BC12" s="80" t="str">
        <f>IF(Y12=0,"",IF(NOT(ISNUMBER(B12)),"Falta fecha o fecha inválida",IF(D12="","Falta empresa",IF(AND(D12&lt;&gt;"Malcolm",D12&lt;&gt;"proMX"),"Empresa inválida",IF(OR(INT(B12)&lt;CFG_PSTART,INT(B12)&gt;CFG_PEND),"Fecha fuera del período",IF(OR(NOT(ISNUMBER(Z12)),NOT(ISNUMBER(AA12))),"Falta hora inicio/fin o formato inválido",IF(AB12=0,"Hora inicio = hora fin",IF(AE12&lt;0,"Descanso inválido",IF(AE12&gt;=AD12,"Descanso ≥ duración",IF(AV12=1,"Registro duplicado",IF(AZ12&gt;0,"Se superpone con otro registro "&amp;D12,IF(BB12=0,"inicio, fin y duración neta deben ser múltiplos de "&amp;CFG_BLK&amp;" min",""))))))))))))</f>
        <v/>
      </c>
      <c r="BD12" s="80">
        <f>IF(AND(Y12=1,BC12=""),1,0)</f>
        <v>1</v>
      </c>
      <c r="BE12" s="80">
        <f>IF(AND(BD12=1,AU12=1),1,0)</f>
        <v>1</v>
      </c>
      <c r="BF12" s="80" t="str">
        <f>IF(AND(D12="proMX",BD12=1),IF(R12="","Draft",R12),"")</f>
        <v>Draft</v>
      </c>
      <c r="BG12" s="80">
        <f>IF(BD12=1,ROUND(AG12/60,6),0)</f>
        <v>1.5</v>
      </c>
      <c r="BH12" s="80">
        <f>IF(BE12=1,ROUND(AG12/60,6),0)</f>
        <v>1.5</v>
      </c>
      <c r="BI12" s="80">
        <f>IF(BE12=1,ROUND(AP12/60,6),0)</f>
        <v>1.5</v>
      </c>
      <c r="BJ12" s="80">
        <f>IF(BE12=1,ROUND(AQ12/60,6),0)</f>
        <v>0</v>
      </c>
      <c r="BK12" s="80">
        <f>IF(BE12=1,ROUND((AR12+AS12)/60,6),0)</f>
        <v>1.5</v>
      </c>
      <c r="BL12" s="80">
        <f>ROUND(BH12-BK12,6)</f>
        <v>0</v>
      </c>
      <c r="BM12" s="80">
        <f>IF(BE12=1,ROUND(AR12/60,6),0)</f>
        <v>1.5</v>
      </c>
      <c r="BN12" s="80">
        <f>ROUND(BI12-BM12,6)</f>
        <v>0</v>
      </c>
      <c r="BO12" s="80">
        <f>IF(BE12=1,ROUND(AS12/60,6),0)</f>
        <v>0</v>
      </c>
      <c r="BP12" s="80">
        <f>ROUND(BJ12-BO12,6)</f>
        <v>0</v>
      </c>
      <c r="BQ12" s="80">
        <f>IF(BE12=1,AW12,0)</f>
        <v>66673980</v>
      </c>
      <c r="BR12" s="80">
        <f>IF(BE12=1,AX12,0)</f>
        <v>66674070</v>
      </c>
      <c r="BS12" s="80">
        <f>IF(AND(BE12=1,D12="Malcolm",BA12&gt;0),MIN(BH12,SUMPRODUCT((R_Emp="proMX")*(R_EN&gt;0)*((R_EN-(R_EN&gt;BR12)*(R_EN-BR12))&gt;(R_SN+(R_SN&lt;BQ12)*(BQ12-R_SN)))*((R_EN-(R_EN&gt;BR12)*(R_EN-BR12))-(R_SN+(R_SN&lt;BQ12)*(BQ12-R_SN))))/60),0)</f>
        <v>0</v>
      </c>
      <c r="BT12" s="80">
        <f>IF(AND(BE12=1,D12="proMX"),ROUND(BI12*CFG_RATE+BJ12*CFG_OTRATE,6),0)</f>
        <v>75</v>
      </c>
      <c r="BU12" s="80">
        <f>IF(AND(BD12=1,D12="proMX"),ROUND(AG12/CFG_BLK,6),0)</f>
        <v>3</v>
      </c>
      <c r="BV12" s="80" t="str">
        <f>IF(BF12="Approved",IF(ISNUMBER(T12),INT(T12),INT(B12)),"")</f>
        <v/>
      </c>
      <c r="BW12" s="80">
        <f>IF(ISNUMBER(B12),IF(DB_MON="Todos",1,IF(AND(INT(B12)&gt;=DB_MS,INT(B12)&lt;=DB_ME),1,0)),0)</f>
        <v>1</v>
      </c>
      <c r="BX12" s="80">
        <f>IF(DB_PROJ="Todos",1,IF(E12&amp;""=DB_PROJ&amp;"",1,0))</f>
        <v>1</v>
      </c>
      <c r="BY12" s="80">
        <f>BW12*BX12</f>
        <v>1</v>
      </c>
      <c r="BZ12" s="80" t="str">
        <f>IF(Y12=1,F12&amp;IF(AND(F12&amp;""&lt;&gt;"",E12&amp;""&lt;&gt;"")," · ","")&amp;E12,"")</f>
        <v>PMX-201 · Portal Cliente</v>
      </c>
      <c r="CA12" s="80" t="str">
        <f>IF(AND(BD12=1,E12&amp;""&lt;&gt;""),IF(COUNTIFS($E$5:E11,E12,$BD$5:BD11,1)=0,MAX($CA$5:CA11)+1,""),"")</f>
        <v/>
      </c>
      <c r="CB12" s="80" t="str">
        <f>IF(AND(BE12=1,D12="Malcolm",E12&amp;""&lt;&gt;""),IF(COUNTIFS($D$5:D11,"Malcolm",$E$5:E11,E12,$BE$5:BE11,1)=0,MAX($CB$5:CB11)+1,""),"")</f>
        <v/>
      </c>
      <c r="CC12" s="80" t="str">
        <f>IF(AND(BD12=1,D12="proMX",E12&amp;""&lt;&gt;""),IF(COUNTIFS($D$5:D11,"proMX",$E$5:E11,E12,$BD$5:BD11,1)=0,MAX($CC$5:CC11)+1,""),"")</f>
        <v/>
      </c>
      <c r="CD12" s="80" t="str">
        <f>IF(AND(BE12=1,D12="Malcolm",F12&amp;""&lt;&gt;""),IF(COUNTIFS($D$5:D11,"Malcolm",$F$5:F11,F12,$BE$5:BE11,1)=0,MAX($CD$5:CD11)+1,""),"")</f>
        <v/>
      </c>
      <c r="CE12" s="80">
        <f>IF(AND(BD12=1,D12="proMX",F12&amp;""&lt;&gt;""),IF(COUNTIFS($D$5:D11,"proMX",$F$5:F11,F12,$BD$5:BD11,1)=0,MAX($CE$5:CE11)+1,""),"")</f>
        <v>4</v>
      </c>
      <c r="CF12" s="80">
        <f>IF(AND(D12="proMX",BD12=1),IF(OR(BF12="Draft",BF12="Submitted",BF12="Returned",BF12="Recall Requested"),MAX($CF$5:CF11)+1,""),"")</f>
        <v>2</v>
      </c>
      <c r="CG12" s="80">
        <f>IF(BD12=0,0,IF(D12="Malcolm",1,MATCH(BF12,{"Draft","Submitted","Approved","Returned","Recall Requested","Cancelled"},0)+1))</f>
        <v>2</v>
      </c>
      <c r="CH12" s="80">
        <f>IF(AND(BF12="Submitted",ISNUMBER(V12)),IF(V12&gt;CFG_MAXD,1,0),0)</f>
        <v>0</v>
      </c>
    </row>
    <row r="13">
      <c r="A13" s="71" t="str">
        <f>IF(Y13=1,ROW()-5,"")</f>
        <v/>
      </c>
      <c r="B13" s="72" t="n"/>
      <c r="C13" s="71" t="str">
        <f>IF(ISNUMBER(B13),CHOOSE(WEEKDAY(B13,2),"Lun","Mar","Mié","Jue","Vie","Sáb","Dom"),"")</f>
        <v/>
      </c>
      <c r="D13" s="73" t="n"/>
      <c r="E13" s="74" t="n"/>
      <c r="F13" s="74" t="n"/>
      <c r="G13" s="74" t="n"/>
      <c r="H13" s="75" t="n"/>
      <c r="I13" s="75" t="n"/>
      <c r="J13" s="76" t="n"/>
      <c r="K13" s="77" t="str">
        <f>IF(AB13=1,ROUND(AG13/60,4),"")</f>
        <v/>
      </c>
      <c r="L13" s="77" t="str">
        <f>IF(BD13=1,ROUND(AP13/60,4),"")</f>
        <v/>
      </c>
      <c r="M13" s="77" t="str">
        <f>IF(BD13=1,ROUND(AQ13/60,4),"")</f>
        <v/>
      </c>
      <c r="N13" s="71" t="str">
        <f>IF(AND(D13="proMX",AB13=1),ROUND(AG13/CFG_BLK,2),"")</f>
        <v/>
      </c>
      <c r="O13" s="77" t="str">
        <f>IF(D13="proMX",IF(BD13=1,ROUND(AG13/60,4),0),"")</f>
        <v/>
      </c>
      <c r="P13" s="78" t="str">
        <f>IF(Y13=0,"",IF(BD13=1,"OK",IF(D13="proMX","Revisar bloques: ","Revisar: ")&amp;BC13))</f>
        <v/>
      </c>
      <c r="Q13" s="78" t="str">
        <f>IF(NOT(ISNUMBER(B13)),"",IF(COUNTIFS(FER_F,INT(B13))&gt;0,"Feriado"&amp;IF(AH13=1," (laborable)"," (no laborable)"),IF(AH13=1,"Laborable",IF(WEEKDAY(B13,2)&gt;5,"Fin de semana","No laborable"))))</f>
        <v/>
      </c>
      <c r="R13" s="73" t="n"/>
      <c r="S13" s="72" t="n"/>
      <c r="T13" s="72" t="n"/>
      <c r="U13" s="74" t="n"/>
      <c r="V13" s="79" t="str">
        <f>IF(AND(D13="proMX",OR(R13="Submitted",R13="Recall Requested"),ISNUMBER(S13)),CFG_TODAY-INT(S13),"")</f>
        <v/>
      </c>
      <c r="W13" s="78" t="str">
        <f>IF(BD13=0,"",IF(BA13&gt;0,"⚠ Se superpone con un registro de la otra empresa",IF(D13="Malcolm",IF(COUNTA(R13,S13,T13)&gt;0,"Estado/fechas proMX se ignoran en Malcolm",""),IF(BF13="Cancelled","Cancelado: excluido de totales",IF(R13="","Sin estado: se trata como Draft",IF(BF13="Submitted",IF(ISNUMBER(V13),IF(V13&gt;CFG_MAXD,"⚠ "&amp;V13&amp;" días en Submitted (máx. "&amp;CFG_MAXD&amp;")",""),"Falta fecha de envío"),IF(BF13="Returned","⚠ Devuelto: corregir y reenviar",IF(BF13="Recall Requested","Retirada solicitada: pendiente",IF(AND(BF13="Approved",NOT(ISNUMBER(T13))),"Falta fecha de aprobación",IF(AND(ISNUMBER(S13),ISNUMBER(T13),T13&lt;S13),"Aprobación anterior al envío","")))))))))</f>
        <v/>
      </c>
      <c r="Y13" s="80">
        <f>IF(COUNTA(B13,D13,E13,F13,G13,H13,I13,J13,R13,S13,T13)&gt;0,1,0)</f>
        <v>0</v>
      </c>
      <c r="Z13" s="80" t="str">
        <f>IF(AND(ISNUMBER(H13),H13&gt;=0,H13&lt;1),ROUND(H13*1440,0),"")</f>
        <v/>
      </c>
      <c r="AA13" s="80" t="str">
        <f>IF(AND(ISNUMBER(I13),I13&gt;=0,I13&lt;1),ROUND(I13*1440,0),"")</f>
        <v/>
      </c>
      <c r="AB13" s="80">
        <f>IF(AND(ISNUMBER(B13),D13&lt;&gt;"",ISNUMBER(Z13),ISNUMBER(AA13)),IF(Z13=AA13,0,1),0)</f>
        <v>0</v>
      </c>
      <c r="AC13" s="80">
        <f>IF(AB13=1,IF(AA13&lt;Z13,1,0),0)</f>
        <v>0</v>
      </c>
      <c r="AD13" s="80">
        <f>IF(AB13=1,IF(AC13=1,1440-Z13+AA13,AA13-Z13),0)</f>
        <v>0</v>
      </c>
      <c r="AE13" s="80">
        <f>IF(J13="",0,IF(ISNUMBER(J13),J13,-1))</f>
        <v>0</v>
      </c>
      <c r="AF13" s="80">
        <f>MIN(MAX(0,AE13),AD13)</f>
        <v>0</v>
      </c>
      <c r="AG13" s="80">
        <f>MAX(0,AD13-MAX(0,AE13))</f>
        <v>0</v>
      </c>
      <c r="AH13" s="80">
        <f>IF(ISNUMBER(B13),IF(AND(INDEX(CFG_WDAYS,WEEKDAY(INT(B13),2))="Sí",IF(D13="proMX",COUNTIFS(FER_F,INT(B13),FER_NLP,"Sí"),COUNTIFS(FER_F,INT(B13),FER_NLM,"Sí"))=0),1,0),0)</f>
        <v>0</v>
      </c>
      <c r="AI13" s="80">
        <f>IF(AC13=1,IF(AND(INDEX(CFG_WDAYS,WEEKDAY(INT(B13)+1,2))="Sí",IF(D13="proMX",COUNTIFS(FER_F,INT(B13)+1,FER_NLP,"Sí"),COUNTIFS(FER_F,INT(B13)+1,FER_NLM,"Sí"))=0),1,0),0)</f>
        <v>0</v>
      </c>
      <c r="AJ13" s="80">
        <f>IF(AC13=1,1440-Z13,AD13)</f>
        <v>0</v>
      </c>
      <c r="AK13" s="80">
        <f>IF(AND(AB13=1,AH13=1),MAX(0,MIN(IF(AC13=1,1440,AA13),CFG_WEM)-MAX(Z13,CFG_WSM)),0)</f>
        <v>0</v>
      </c>
      <c r="AL13" s="80">
        <f>IF(AND(AC13=1,AI13=1),MAX(0,MIN(AA13,CFG_WEM)-CFG_WSM),0)</f>
        <v>0</v>
      </c>
      <c r="AM13" s="80">
        <f>AK13+AL13</f>
        <v>0</v>
      </c>
      <c r="AN13" s="80">
        <f>IF(CFG_BRK="Proporcional",IF(AD13=0,0,AF13*AM13/AD13),IF(CFG_BRK="Extras primero",MIN(AM13,MAX(0,AF13-(AD13-AM13))),MIN(AF13,AM13)))</f>
        <v>0</v>
      </c>
      <c r="AO13" s="80">
        <f>AF13-AN13</f>
        <v>0</v>
      </c>
      <c r="AP13" s="80">
        <f>AM13-AN13</f>
        <v>0</v>
      </c>
      <c r="AQ13" s="80">
        <f>AD13-AM13-AO13</f>
        <v>0</v>
      </c>
      <c r="AR13" s="80">
        <f>IF(AM13=0,0,AK13-AN13*AK13/AM13)</f>
        <v>0</v>
      </c>
      <c r="AS13" s="80">
        <f>IF(AD13-AM13=0,0,(AJ13-AK13)-AO13*(AJ13-AK13)/(AD13-AM13))</f>
        <v>0</v>
      </c>
      <c r="AT13" s="80" t="str">
        <f>IF(AC13=1,INT(B13)+1,"")</f>
        <v/>
      </c>
      <c r="AU13" s="80">
        <f>IF(AND(D13="proMX",R13="Cancelled"),0,1)</f>
        <v>1</v>
      </c>
      <c r="AV13" s="80">
        <f>IF(AND(AB13=1,AU13=1),IF(COUNTIFS($D$5:D12,D13,$B$5:B12,B13,$Z$5:Z12,Z13,$AA$5:AA12,AA13,$F$5:F12,F13&amp;"",$AU$5:AU12,1)&gt;0,1,0),0)</f>
        <v>0</v>
      </c>
      <c r="AW13" s="80" t="str">
        <f>IF(AB13=1,INT(B13)*1440+Z13,"")</f>
        <v/>
      </c>
      <c r="AX13" s="80" t="str">
        <f>IF(AB13=1,AW13+AD13,"")</f>
        <v/>
      </c>
      <c r="AY13" s="80">
        <f>IF(AND(AB13=1,AV13=0,AU13=1),1,0)</f>
        <v>0</v>
      </c>
      <c r="AZ13" s="80">
        <f>IF(AY13=1,COUNTIFS(R_Emp,D13,R_SAbs,"&lt;"&amp;AX13,R_EAbs,"&gt;"&amp;AW13,R_OKey,1)-1,0)</f>
        <v>0</v>
      </c>
      <c r="BA13" s="80">
        <f>IF(AY13=1,COUNTIFS(R_Emp,"&lt;&gt;"&amp;D13,R_SAbs,"&lt;"&amp;AX13,R_EAbs,"&gt;"&amp;AW13,R_OKey,1),0)</f>
        <v>0</v>
      </c>
      <c r="BB13" s="80">
        <f>IF(AND(AB13=1,D13="proMX"),IF(AND(MOD(Z13,CFG_BLK)=0,MOD(AA13,CFG_BLK)=0,MOD(AG13,CFG_BLK)=0,AG13&gt;0),1,0),1)</f>
        <v>1</v>
      </c>
      <c r="BC13" s="80" t="str">
        <f>IF(Y13=0,"",IF(NOT(ISNUMBER(B13)),"Falta fecha o fecha inválida",IF(D13="","Falta empresa",IF(AND(D13&lt;&gt;"Malcolm",D13&lt;&gt;"proMX"),"Empresa inválida",IF(OR(INT(B13)&lt;CFG_PSTART,INT(B13)&gt;CFG_PEND),"Fecha fuera del período",IF(OR(NOT(ISNUMBER(Z13)),NOT(ISNUMBER(AA13))),"Falta hora inicio/fin o formato inválido",IF(AB13=0,"Hora inicio = hora fin",IF(AE13&lt;0,"Descanso inválido",IF(AE13&gt;=AD13,"Descanso ≥ duración",IF(AV13=1,"Registro duplicado",IF(AZ13&gt;0,"Se superpone con otro registro "&amp;D13,IF(BB13=0,"inicio, fin y duración neta deben ser múltiplos de "&amp;CFG_BLK&amp;" min",""))))))))))))</f>
        <v/>
      </c>
      <c r="BD13" s="80">
        <f>IF(AND(Y13=1,BC13=""),1,0)</f>
        <v>0</v>
      </c>
      <c r="BE13" s="80">
        <f>IF(AND(BD13=1,AU13=1),1,0)</f>
        <v>0</v>
      </c>
      <c r="BF13" s="80" t="str">
        <f>IF(AND(D13="proMX",BD13=1),IF(R13="","Draft",R13),"")</f>
        <v/>
      </c>
      <c r="BG13" s="80">
        <f>IF(BD13=1,ROUND(AG13/60,6),0)</f>
        <v>0</v>
      </c>
      <c r="BH13" s="80">
        <f>IF(BE13=1,ROUND(AG13/60,6),0)</f>
        <v>0</v>
      </c>
      <c r="BI13" s="80">
        <f>IF(BE13=1,ROUND(AP13/60,6),0)</f>
        <v>0</v>
      </c>
      <c r="BJ13" s="80">
        <f>IF(BE13=1,ROUND(AQ13/60,6),0)</f>
        <v>0</v>
      </c>
      <c r="BK13" s="80">
        <f>IF(BE13=1,ROUND((AR13+AS13)/60,6),0)</f>
        <v>0</v>
      </c>
      <c r="BL13" s="80">
        <f>ROUND(BH13-BK13,6)</f>
        <v>0</v>
      </c>
      <c r="BM13" s="80">
        <f>IF(BE13=1,ROUND(AR13/60,6),0)</f>
        <v>0</v>
      </c>
      <c r="BN13" s="80">
        <f>ROUND(BI13-BM13,6)</f>
        <v>0</v>
      </c>
      <c r="BO13" s="80">
        <f>IF(BE13=1,ROUND(AS13/60,6),0)</f>
        <v>0</v>
      </c>
      <c r="BP13" s="80">
        <f>ROUND(BJ13-BO13,6)</f>
        <v>0</v>
      </c>
      <c r="BQ13" s="80">
        <f>IF(BE13=1,AW13,0)</f>
        <v>0</v>
      </c>
      <c r="BR13" s="80">
        <f>IF(BE13=1,AX13,0)</f>
        <v>0</v>
      </c>
      <c r="BS13" s="80">
        <f>IF(AND(BE13=1,D13="Malcolm",BA13&gt;0),MIN(BH13,SUMPRODUCT((R_Emp="proMX")*(R_EN&gt;0)*((R_EN-(R_EN&gt;BR13)*(R_EN-BR13))&gt;(R_SN+(R_SN&lt;BQ13)*(BQ13-R_SN)))*((R_EN-(R_EN&gt;BR13)*(R_EN-BR13))-(R_SN+(R_SN&lt;BQ13)*(BQ13-R_SN))))/60),0)</f>
        <v>0</v>
      </c>
      <c r="BT13" s="80">
        <f>IF(AND(BE13=1,D13="proMX"),ROUND(BI13*CFG_RATE+BJ13*CFG_OTRATE,6),0)</f>
        <v>0</v>
      </c>
      <c r="BU13" s="80">
        <f>IF(AND(BD13=1,D13="proMX"),ROUND(AG13/CFG_BLK,6),0)</f>
        <v>0</v>
      </c>
      <c r="BV13" s="80" t="str">
        <f>IF(BF13="Approved",IF(ISNUMBER(T13),INT(T13),INT(B13)),"")</f>
        <v/>
      </c>
      <c r="BW13" s="80">
        <f>IF(ISNUMBER(B13),IF(DB_MON="Todos",1,IF(AND(INT(B13)&gt;=DB_MS,INT(B13)&lt;=DB_ME),1,0)),0)</f>
        <v>0</v>
      </c>
      <c r="BX13" s="80">
        <f>IF(DB_PROJ="Todos",1,IF(E13&amp;""=DB_PROJ&amp;"",1,0))</f>
        <v>1</v>
      </c>
      <c r="BY13" s="80">
        <f>BW13*BX13</f>
        <v>0</v>
      </c>
      <c r="BZ13" s="80" t="str">
        <f>IF(Y13=1,F13&amp;IF(AND(F13&amp;""&lt;&gt;"",E13&amp;""&lt;&gt;"")," · ","")&amp;E13,"")</f>
        <v/>
      </c>
      <c r="CA13" s="80" t="str">
        <f>IF(AND(BD13=1,E13&amp;""&lt;&gt;""),IF(COUNTIFS($E$5:E12,E13,$BD$5:BD12,1)=0,MAX($CA$5:CA12)+1,""),"")</f>
        <v/>
      </c>
      <c r="CB13" s="80" t="str">
        <f>IF(AND(BE13=1,D13="Malcolm",E13&amp;""&lt;&gt;""),IF(COUNTIFS($D$5:D12,"Malcolm",$E$5:E12,E13,$BE$5:BE12,1)=0,MAX($CB$5:CB12)+1,""),"")</f>
        <v/>
      </c>
      <c r="CC13" s="80" t="str">
        <f>IF(AND(BD13=1,D13="proMX",E13&amp;""&lt;&gt;""),IF(COUNTIFS($D$5:D12,"proMX",$E$5:E12,E13,$BD$5:BD12,1)=0,MAX($CC$5:CC12)+1,""),"")</f>
        <v/>
      </c>
      <c r="CD13" s="80" t="str">
        <f>IF(AND(BE13=1,D13="Malcolm",F13&amp;""&lt;&gt;""),IF(COUNTIFS($D$5:D12,"Malcolm",$F$5:F12,F13,$BE$5:BE12,1)=0,MAX($CD$5:CD12)+1,""),"")</f>
        <v/>
      </c>
      <c r="CE13" s="80" t="str">
        <f>IF(AND(BD13=1,D13="proMX",F13&amp;""&lt;&gt;""),IF(COUNTIFS($D$5:D12,"proMX",$F$5:F12,F13,$BD$5:BD12,1)=0,MAX($CE$5:CE12)+1,""),"")</f>
        <v/>
      </c>
      <c r="CF13" s="80" t="str">
        <f>IF(AND(D13="proMX",BD13=1),IF(OR(BF13="Draft",BF13="Submitted",BF13="Returned",BF13="Recall Requested"),MAX($CF$5:CF12)+1,""),"")</f>
        <v/>
      </c>
      <c r="CG13" s="80">
        <f>IF(BD13=0,0,IF(D13="Malcolm",1,MATCH(BF13,{"Draft","Submitted","Approved","Returned","Recall Requested","Cancelled"},0)+1))</f>
        <v>0</v>
      </c>
      <c r="CH13" s="80">
        <f>IF(AND(BF13="Submitted",ISNUMBER(V13)),IF(V13&gt;CFG_MAXD,1,0),0)</f>
        <v>0</v>
      </c>
    </row>
    <row r="14">
      <c r="A14" s="71" t="str">
        <f>IF(Y14=1,ROW()-5,"")</f>
        <v/>
      </c>
      <c r="B14" s="72" t="n"/>
      <c r="C14" s="71" t="str">
        <f>IF(ISNUMBER(B14),CHOOSE(WEEKDAY(B14,2),"Lun","Mar","Mié","Jue","Vie","Sáb","Dom"),"")</f>
        <v/>
      </c>
      <c r="D14" s="73" t="n"/>
      <c r="E14" s="74" t="n"/>
      <c r="F14" s="74" t="n"/>
      <c r="G14" s="74" t="n"/>
      <c r="H14" s="75" t="n"/>
      <c r="I14" s="75" t="n"/>
      <c r="J14" s="76" t="n"/>
      <c r="K14" s="77" t="str">
        <f>IF(AB14=1,ROUND(AG14/60,4),"")</f>
        <v/>
      </c>
      <c r="L14" s="77" t="str">
        <f>IF(BD14=1,ROUND(AP14/60,4),"")</f>
        <v/>
      </c>
      <c r="M14" s="77" t="str">
        <f>IF(BD14=1,ROUND(AQ14/60,4),"")</f>
        <v/>
      </c>
      <c r="N14" s="71" t="str">
        <f>IF(AND(D14="proMX",AB14=1),ROUND(AG14/CFG_BLK,2),"")</f>
        <v/>
      </c>
      <c r="O14" s="77" t="str">
        <f>IF(D14="proMX",IF(BD14=1,ROUND(AG14/60,4),0),"")</f>
        <v/>
      </c>
      <c r="P14" s="78" t="str">
        <f>IF(Y14=0,"",IF(BD14=1,"OK",IF(D14="proMX","Revisar bloques: ","Revisar: ")&amp;BC14))</f>
        <v/>
      </c>
      <c r="Q14" s="78" t="str">
        <f>IF(NOT(ISNUMBER(B14)),"",IF(COUNTIFS(FER_F,INT(B14))&gt;0,"Feriado"&amp;IF(AH14=1," (laborable)"," (no laborable)"),IF(AH14=1,"Laborable",IF(WEEKDAY(B14,2)&gt;5,"Fin de semana","No laborable"))))</f>
        <v/>
      </c>
      <c r="R14" s="73" t="n"/>
      <c r="S14" s="72" t="n"/>
      <c r="T14" s="72" t="n"/>
      <c r="U14" s="74" t="n"/>
      <c r="V14" s="79" t="str">
        <f>IF(AND(D14="proMX",OR(R14="Submitted",R14="Recall Requested"),ISNUMBER(S14)),CFG_TODAY-INT(S14),"")</f>
        <v/>
      </c>
      <c r="W14" s="78" t="str">
        <f>IF(BD14=0,"",IF(BA14&gt;0,"⚠ Se superpone con un registro de la otra empresa",IF(D14="Malcolm",IF(COUNTA(R14,S14,T14)&gt;0,"Estado/fechas proMX se ignoran en Malcolm",""),IF(BF14="Cancelled","Cancelado: excluido de totales",IF(R14="","Sin estado: se trata como Draft",IF(BF14="Submitted",IF(ISNUMBER(V14),IF(V14&gt;CFG_MAXD,"⚠ "&amp;V14&amp;" días en Submitted (máx. "&amp;CFG_MAXD&amp;")",""),"Falta fecha de envío"),IF(BF14="Returned","⚠ Devuelto: corregir y reenviar",IF(BF14="Recall Requested","Retirada solicitada: pendiente",IF(AND(BF14="Approved",NOT(ISNUMBER(T14))),"Falta fecha de aprobación",IF(AND(ISNUMBER(S14),ISNUMBER(T14),T14&lt;S14),"Aprobación anterior al envío","")))))))))</f>
        <v/>
      </c>
      <c r="Y14" s="80">
        <f>IF(COUNTA(B14,D14,E14,F14,G14,H14,I14,J14,R14,S14,T14)&gt;0,1,0)</f>
        <v>0</v>
      </c>
      <c r="Z14" s="80" t="str">
        <f>IF(AND(ISNUMBER(H14),H14&gt;=0,H14&lt;1),ROUND(H14*1440,0),"")</f>
        <v/>
      </c>
      <c r="AA14" s="80" t="str">
        <f>IF(AND(ISNUMBER(I14),I14&gt;=0,I14&lt;1),ROUND(I14*1440,0),"")</f>
        <v/>
      </c>
      <c r="AB14" s="80">
        <f>IF(AND(ISNUMBER(B14),D14&lt;&gt;"",ISNUMBER(Z14),ISNUMBER(AA14)),IF(Z14=AA14,0,1),0)</f>
        <v>0</v>
      </c>
      <c r="AC14" s="80">
        <f>IF(AB14=1,IF(AA14&lt;Z14,1,0),0)</f>
        <v>0</v>
      </c>
      <c r="AD14" s="80">
        <f>IF(AB14=1,IF(AC14=1,1440-Z14+AA14,AA14-Z14),0)</f>
        <v>0</v>
      </c>
      <c r="AE14" s="80">
        <f>IF(J14="",0,IF(ISNUMBER(J14),J14,-1))</f>
        <v>0</v>
      </c>
      <c r="AF14" s="80">
        <f>MIN(MAX(0,AE14),AD14)</f>
        <v>0</v>
      </c>
      <c r="AG14" s="80">
        <f>MAX(0,AD14-MAX(0,AE14))</f>
        <v>0</v>
      </c>
      <c r="AH14" s="80">
        <f>IF(ISNUMBER(B14),IF(AND(INDEX(CFG_WDAYS,WEEKDAY(INT(B14),2))="Sí",IF(D14="proMX",COUNTIFS(FER_F,INT(B14),FER_NLP,"Sí"),COUNTIFS(FER_F,INT(B14),FER_NLM,"Sí"))=0),1,0),0)</f>
        <v>0</v>
      </c>
      <c r="AI14" s="80">
        <f>IF(AC14=1,IF(AND(INDEX(CFG_WDAYS,WEEKDAY(INT(B14)+1,2))="Sí",IF(D14="proMX",COUNTIFS(FER_F,INT(B14)+1,FER_NLP,"Sí"),COUNTIFS(FER_F,INT(B14)+1,FER_NLM,"Sí"))=0),1,0),0)</f>
        <v>0</v>
      </c>
      <c r="AJ14" s="80">
        <f>IF(AC14=1,1440-Z14,AD14)</f>
        <v>0</v>
      </c>
      <c r="AK14" s="80">
        <f>IF(AND(AB14=1,AH14=1),MAX(0,MIN(IF(AC14=1,1440,AA14),CFG_WEM)-MAX(Z14,CFG_WSM)),0)</f>
        <v>0</v>
      </c>
      <c r="AL14" s="80">
        <f>IF(AND(AC14=1,AI14=1),MAX(0,MIN(AA14,CFG_WEM)-CFG_WSM),0)</f>
        <v>0</v>
      </c>
      <c r="AM14" s="80">
        <f>AK14+AL14</f>
        <v>0</v>
      </c>
      <c r="AN14" s="80">
        <f>IF(CFG_BRK="Proporcional",IF(AD14=0,0,AF14*AM14/AD14),IF(CFG_BRK="Extras primero",MIN(AM14,MAX(0,AF14-(AD14-AM14))),MIN(AF14,AM14)))</f>
        <v>0</v>
      </c>
      <c r="AO14" s="80">
        <f>AF14-AN14</f>
        <v>0</v>
      </c>
      <c r="AP14" s="80">
        <f>AM14-AN14</f>
        <v>0</v>
      </c>
      <c r="AQ14" s="80">
        <f>AD14-AM14-AO14</f>
        <v>0</v>
      </c>
      <c r="AR14" s="80">
        <f>IF(AM14=0,0,AK14-AN14*AK14/AM14)</f>
        <v>0</v>
      </c>
      <c r="AS14" s="80">
        <f>IF(AD14-AM14=0,0,(AJ14-AK14)-AO14*(AJ14-AK14)/(AD14-AM14))</f>
        <v>0</v>
      </c>
      <c r="AT14" s="80" t="str">
        <f>IF(AC14=1,INT(B14)+1,"")</f>
        <v/>
      </c>
      <c r="AU14" s="80">
        <f>IF(AND(D14="proMX",R14="Cancelled"),0,1)</f>
        <v>1</v>
      </c>
      <c r="AV14" s="80">
        <f>IF(AND(AB14=1,AU14=1),IF(COUNTIFS($D$5:D13,D14,$B$5:B13,B14,$Z$5:Z13,Z14,$AA$5:AA13,AA14,$F$5:F13,F14&amp;"",$AU$5:AU13,1)&gt;0,1,0),0)</f>
        <v>0</v>
      </c>
      <c r="AW14" s="80" t="str">
        <f>IF(AB14=1,INT(B14)*1440+Z14,"")</f>
        <v/>
      </c>
      <c r="AX14" s="80" t="str">
        <f>IF(AB14=1,AW14+AD14,"")</f>
        <v/>
      </c>
      <c r="AY14" s="80">
        <f>IF(AND(AB14=1,AV14=0,AU14=1),1,0)</f>
        <v>0</v>
      </c>
      <c r="AZ14" s="80">
        <f>IF(AY14=1,COUNTIFS(R_Emp,D14,R_SAbs,"&lt;"&amp;AX14,R_EAbs,"&gt;"&amp;AW14,R_OKey,1)-1,0)</f>
        <v>0</v>
      </c>
      <c r="BA14" s="80">
        <f>IF(AY14=1,COUNTIFS(R_Emp,"&lt;&gt;"&amp;D14,R_SAbs,"&lt;"&amp;AX14,R_EAbs,"&gt;"&amp;AW14,R_OKey,1),0)</f>
        <v>0</v>
      </c>
      <c r="BB14" s="80">
        <f>IF(AND(AB14=1,D14="proMX"),IF(AND(MOD(Z14,CFG_BLK)=0,MOD(AA14,CFG_BLK)=0,MOD(AG14,CFG_BLK)=0,AG14&gt;0),1,0),1)</f>
        <v>1</v>
      </c>
      <c r="BC14" s="80" t="str">
        <f>IF(Y14=0,"",IF(NOT(ISNUMBER(B14)),"Falta fecha o fecha inválida",IF(D14="","Falta empresa",IF(AND(D14&lt;&gt;"Malcolm",D14&lt;&gt;"proMX"),"Empresa inválida",IF(OR(INT(B14)&lt;CFG_PSTART,INT(B14)&gt;CFG_PEND),"Fecha fuera del período",IF(OR(NOT(ISNUMBER(Z14)),NOT(ISNUMBER(AA14))),"Falta hora inicio/fin o formato inválido",IF(AB14=0,"Hora inicio = hora fin",IF(AE14&lt;0,"Descanso inválido",IF(AE14&gt;=AD14,"Descanso ≥ duración",IF(AV14=1,"Registro duplicado",IF(AZ14&gt;0,"Se superpone con otro registro "&amp;D14,IF(BB14=0,"inicio, fin y duración neta deben ser múltiplos de "&amp;CFG_BLK&amp;" min",""))))))))))))</f>
        <v/>
      </c>
      <c r="BD14" s="80">
        <f>IF(AND(Y14=1,BC14=""),1,0)</f>
        <v>0</v>
      </c>
      <c r="BE14" s="80">
        <f>IF(AND(BD14=1,AU14=1),1,0)</f>
        <v>0</v>
      </c>
      <c r="BF14" s="80" t="str">
        <f>IF(AND(D14="proMX",BD14=1),IF(R14="","Draft",R14),"")</f>
        <v/>
      </c>
      <c r="BG14" s="80">
        <f>IF(BD14=1,ROUND(AG14/60,6),0)</f>
        <v>0</v>
      </c>
      <c r="BH14" s="80">
        <f>IF(BE14=1,ROUND(AG14/60,6),0)</f>
        <v>0</v>
      </c>
      <c r="BI14" s="80">
        <f>IF(BE14=1,ROUND(AP14/60,6),0)</f>
        <v>0</v>
      </c>
      <c r="BJ14" s="80">
        <f>IF(BE14=1,ROUND(AQ14/60,6),0)</f>
        <v>0</v>
      </c>
      <c r="BK14" s="80">
        <f>IF(BE14=1,ROUND((AR14+AS14)/60,6),0)</f>
        <v>0</v>
      </c>
      <c r="BL14" s="80">
        <f>ROUND(BH14-BK14,6)</f>
        <v>0</v>
      </c>
      <c r="BM14" s="80">
        <f>IF(BE14=1,ROUND(AR14/60,6),0)</f>
        <v>0</v>
      </c>
      <c r="BN14" s="80">
        <f>ROUND(BI14-BM14,6)</f>
        <v>0</v>
      </c>
      <c r="BO14" s="80">
        <f>IF(BE14=1,ROUND(AS14/60,6),0)</f>
        <v>0</v>
      </c>
      <c r="BP14" s="80">
        <f>ROUND(BJ14-BO14,6)</f>
        <v>0</v>
      </c>
      <c r="BQ14" s="80">
        <f>IF(BE14=1,AW14,0)</f>
        <v>0</v>
      </c>
      <c r="BR14" s="80">
        <f>IF(BE14=1,AX14,0)</f>
        <v>0</v>
      </c>
      <c r="BS14" s="80">
        <f>IF(AND(BE14=1,D14="Malcolm",BA14&gt;0),MIN(BH14,SUMPRODUCT((R_Emp="proMX")*(R_EN&gt;0)*((R_EN-(R_EN&gt;BR14)*(R_EN-BR14))&gt;(R_SN+(R_SN&lt;BQ14)*(BQ14-R_SN)))*((R_EN-(R_EN&gt;BR14)*(R_EN-BR14))-(R_SN+(R_SN&lt;BQ14)*(BQ14-R_SN))))/60),0)</f>
        <v>0</v>
      </c>
      <c r="BT14" s="80">
        <f>IF(AND(BE14=1,D14="proMX"),ROUND(BI14*CFG_RATE+BJ14*CFG_OTRATE,6),0)</f>
        <v>0</v>
      </c>
      <c r="BU14" s="80">
        <f>IF(AND(BD14=1,D14="proMX"),ROUND(AG14/CFG_BLK,6),0)</f>
        <v>0</v>
      </c>
      <c r="BV14" s="80" t="str">
        <f>IF(BF14="Approved",IF(ISNUMBER(T14),INT(T14),INT(B14)),"")</f>
        <v/>
      </c>
      <c r="BW14" s="80">
        <f>IF(ISNUMBER(B14),IF(DB_MON="Todos",1,IF(AND(INT(B14)&gt;=DB_MS,INT(B14)&lt;=DB_ME),1,0)),0)</f>
        <v>0</v>
      </c>
      <c r="BX14" s="80">
        <f>IF(DB_PROJ="Todos",1,IF(E14&amp;""=DB_PROJ&amp;"",1,0))</f>
        <v>1</v>
      </c>
      <c r="BY14" s="80">
        <f>BW14*BX14</f>
        <v>0</v>
      </c>
      <c r="BZ14" s="80" t="str">
        <f>IF(Y14=1,F14&amp;IF(AND(F14&amp;""&lt;&gt;"",E14&amp;""&lt;&gt;"")," · ","")&amp;E14,"")</f>
        <v/>
      </c>
      <c r="CA14" s="80" t="str">
        <f>IF(AND(BD14=1,E14&amp;""&lt;&gt;""),IF(COUNTIFS($E$5:E13,E14,$BD$5:BD13,1)=0,MAX($CA$5:CA13)+1,""),"")</f>
        <v/>
      </c>
      <c r="CB14" s="80" t="str">
        <f>IF(AND(BE14=1,D14="Malcolm",E14&amp;""&lt;&gt;""),IF(COUNTIFS($D$5:D13,"Malcolm",$E$5:E13,E14,$BE$5:BE13,1)=0,MAX($CB$5:CB13)+1,""),"")</f>
        <v/>
      </c>
      <c r="CC14" s="80" t="str">
        <f>IF(AND(BD14=1,D14="proMX",E14&amp;""&lt;&gt;""),IF(COUNTIFS($D$5:D13,"proMX",$E$5:E13,E14,$BD$5:BD13,1)=0,MAX($CC$5:CC13)+1,""),"")</f>
        <v/>
      </c>
      <c r="CD14" s="80" t="str">
        <f>IF(AND(BE14=1,D14="Malcolm",F14&amp;""&lt;&gt;""),IF(COUNTIFS($D$5:D13,"Malcolm",$F$5:F13,F14,$BE$5:BE13,1)=0,MAX($CD$5:CD13)+1,""),"")</f>
        <v/>
      </c>
      <c r="CE14" s="80" t="str">
        <f>IF(AND(BD14=1,D14="proMX",F14&amp;""&lt;&gt;""),IF(COUNTIFS($D$5:D13,"proMX",$F$5:F13,F14,$BD$5:BD13,1)=0,MAX($CE$5:CE13)+1,""),"")</f>
        <v/>
      </c>
      <c r="CF14" s="80" t="str">
        <f>IF(AND(D14="proMX",BD14=1),IF(OR(BF14="Draft",BF14="Submitted",BF14="Returned",BF14="Recall Requested"),MAX($CF$5:CF13)+1,""),"")</f>
        <v/>
      </c>
      <c r="CG14" s="80">
        <f>IF(BD14=0,0,IF(D14="Malcolm",1,MATCH(BF14,{"Draft","Submitted","Approved","Returned","Recall Requested","Cancelled"},0)+1))</f>
        <v>0</v>
      </c>
      <c r="CH14" s="80">
        <f>IF(AND(BF14="Submitted",ISNUMBER(V14)),IF(V14&gt;CFG_MAXD,1,0),0)</f>
        <v>0</v>
      </c>
    </row>
    <row r="15">
      <c r="A15" s="71" t="str">
        <f>IF(Y15=1,ROW()-5,"")</f>
        <v/>
      </c>
      <c r="B15" s="72" t="n"/>
      <c r="C15" s="71" t="str">
        <f>IF(ISNUMBER(B15),CHOOSE(WEEKDAY(B15,2),"Lun","Mar","Mié","Jue","Vie","Sáb","Dom"),"")</f>
        <v/>
      </c>
      <c r="D15" s="73" t="n"/>
      <c r="E15" s="74" t="n"/>
      <c r="F15" s="74" t="n"/>
      <c r="G15" s="74" t="n"/>
      <c r="H15" s="75" t="n"/>
      <c r="I15" s="75" t="n"/>
      <c r="J15" s="76" t="n"/>
      <c r="K15" s="77" t="str">
        <f>IF(AB15=1,ROUND(AG15/60,4),"")</f>
        <v/>
      </c>
      <c r="L15" s="77" t="str">
        <f>IF(BD15=1,ROUND(AP15/60,4),"")</f>
        <v/>
      </c>
      <c r="M15" s="77" t="str">
        <f>IF(BD15=1,ROUND(AQ15/60,4),"")</f>
        <v/>
      </c>
      <c r="N15" s="71" t="str">
        <f>IF(AND(D15="proMX",AB15=1),ROUND(AG15/CFG_BLK,2),"")</f>
        <v/>
      </c>
      <c r="O15" s="77" t="str">
        <f>IF(D15="proMX",IF(BD15=1,ROUND(AG15/60,4),0),"")</f>
        <v/>
      </c>
      <c r="P15" s="78" t="str">
        <f>IF(Y15=0,"",IF(BD15=1,"OK",IF(D15="proMX","Revisar bloques: ","Revisar: ")&amp;BC15))</f>
        <v/>
      </c>
      <c r="Q15" s="78" t="str">
        <f>IF(NOT(ISNUMBER(B15)),"",IF(COUNTIFS(FER_F,INT(B15))&gt;0,"Feriado"&amp;IF(AH15=1," (laborable)"," (no laborable)"),IF(AH15=1,"Laborable",IF(WEEKDAY(B15,2)&gt;5,"Fin de semana","No laborable"))))</f>
        <v/>
      </c>
      <c r="R15" s="73" t="n"/>
      <c r="S15" s="72" t="n"/>
      <c r="T15" s="72" t="n"/>
      <c r="U15" s="74" t="n"/>
      <c r="V15" s="79" t="str">
        <f>IF(AND(D15="proMX",OR(R15="Submitted",R15="Recall Requested"),ISNUMBER(S15)),CFG_TODAY-INT(S15),"")</f>
        <v/>
      </c>
      <c r="W15" s="78" t="str">
        <f>IF(BD15=0,"",IF(BA15&gt;0,"⚠ Se superpone con un registro de la otra empresa",IF(D15="Malcolm",IF(COUNTA(R15,S15,T15)&gt;0,"Estado/fechas proMX se ignoran en Malcolm",""),IF(BF15="Cancelled","Cancelado: excluido de totales",IF(R15="","Sin estado: se trata como Draft",IF(BF15="Submitted",IF(ISNUMBER(V15),IF(V15&gt;CFG_MAXD,"⚠ "&amp;V15&amp;" días en Submitted (máx. "&amp;CFG_MAXD&amp;")",""),"Falta fecha de envío"),IF(BF15="Returned","⚠ Devuelto: corregir y reenviar",IF(BF15="Recall Requested","Retirada solicitada: pendiente",IF(AND(BF15="Approved",NOT(ISNUMBER(T15))),"Falta fecha de aprobación",IF(AND(ISNUMBER(S15),ISNUMBER(T15),T15&lt;S15),"Aprobación anterior al envío","")))))))))</f>
        <v/>
      </c>
      <c r="Y15" s="80">
        <f>IF(COUNTA(B15,D15,E15,F15,G15,H15,I15,J15,R15,S15,T15)&gt;0,1,0)</f>
        <v>0</v>
      </c>
      <c r="Z15" s="80" t="str">
        <f>IF(AND(ISNUMBER(H15),H15&gt;=0,H15&lt;1),ROUND(H15*1440,0),"")</f>
        <v/>
      </c>
      <c r="AA15" s="80" t="str">
        <f>IF(AND(ISNUMBER(I15),I15&gt;=0,I15&lt;1),ROUND(I15*1440,0),"")</f>
        <v/>
      </c>
      <c r="AB15" s="80">
        <f>IF(AND(ISNUMBER(B15),D15&lt;&gt;"",ISNUMBER(Z15),ISNUMBER(AA15)),IF(Z15=AA15,0,1),0)</f>
        <v>0</v>
      </c>
      <c r="AC15" s="80">
        <f>IF(AB15=1,IF(AA15&lt;Z15,1,0),0)</f>
        <v>0</v>
      </c>
      <c r="AD15" s="80">
        <f>IF(AB15=1,IF(AC15=1,1440-Z15+AA15,AA15-Z15),0)</f>
        <v>0</v>
      </c>
      <c r="AE15" s="80">
        <f>IF(J15="",0,IF(ISNUMBER(J15),J15,-1))</f>
        <v>0</v>
      </c>
      <c r="AF15" s="80">
        <f>MIN(MAX(0,AE15),AD15)</f>
        <v>0</v>
      </c>
      <c r="AG15" s="80">
        <f>MAX(0,AD15-MAX(0,AE15))</f>
        <v>0</v>
      </c>
      <c r="AH15" s="80">
        <f>IF(ISNUMBER(B15),IF(AND(INDEX(CFG_WDAYS,WEEKDAY(INT(B15),2))="Sí",IF(D15="proMX",COUNTIFS(FER_F,INT(B15),FER_NLP,"Sí"),COUNTIFS(FER_F,INT(B15),FER_NLM,"Sí"))=0),1,0),0)</f>
        <v>0</v>
      </c>
      <c r="AI15" s="80">
        <f>IF(AC15=1,IF(AND(INDEX(CFG_WDAYS,WEEKDAY(INT(B15)+1,2))="Sí",IF(D15="proMX",COUNTIFS(FER_F,INT(B15)+1,FER_NLP,"Sí"),COUNTIFS(FER_F,INT(B15)+1,FER_NLM,"Sí"))=0),1,0),0)</f>
        <v>0</v>
      </c>
      <c r="AJ15" s="80">
        <f>IF(AC15=1,1440-Z15,AD15)</f>
        <v>0</v>
      </c>
      <c r="AK15" s="80">
        <f>IF(AND(AB15=1,AH15=1),MAX(0,MIN(IF(AC15=1,1440,AA15),CFG_WEM)-MAX(Z15,CFG_WSM)),0)</f>
        <v>0</v>
      </c>
      <c r="AL15" s="80">
        <f>IF(AND(AC15=1,AI15=1),MAX(0,MIN(AA15,CFG_WEM)-CFG_WSM),0)</f>
        <v>0</v>
      </c>
      <c r="AM15" s="80">
        <f>AK15+AL15</f>
        <v>0</v>
      </c>
      <c r="AN15" s="80">
        <f>IF(CFG_BRK="Proporcional",IF(AD15=0,0,AF15*AM15/AD15),IF(CFG_BRK="Extras primero",MIN(AM15,MAX(0,AF15-(AD15-AM15))),MIN(AF15,AM15)))</f>
        <v>0</v>
      </c>
      <c r="AO15" s="80">
        <f>AF15-AN15</f>
        <v>0</v>
      </c>
      <c r="AP15" s="80">
        <f>AM15-AN15</f>
        <v>0</v>
      </c>
      <c r="AQ15" s="80">
        <f>AD15-AM15-AO15</f>
        <v>0</v>
      </c>
      <c r="AR15" s="80">
        <f>IF(AM15=0,0,AK15-AN15*AK15/AM15)</f>
        <v>0</v>
      </c>
      <c r="AS15" s="80">
        <f>IF(AD15-AM15=0,0,(AJ15-AK15)-AO15*(AJ15-AK15)/(AD15-AM15))</f>
        <v>0</v>
      </c>
      <c r="AT15" s="80" t="str">
        <f>IF(AC15=1,INT(B15)+1,"")</f>
        <v/>
      </c>
      <c r="AU15" s="80">
        <f>IF(AND(D15="proMX",R15="Cancelled"),0,1)</f>
        <v>1</v>
      </c>
      <c r="AV15" s="80">
        <f>IF(AND(AB15=1,AU15=1),IF(COUNTIFS($D$5:D14,D15,$B$5:B14,B15,$Z$5:Z14,Z15,$AA$5:AA14,AA15,$F$5:F14,F15&amp;"",$AU$5:AU14,1)&gt;0,1,0),0)</f>
        <v>0</v>
      </c>
      <c r="AW15" s="80" t="str">
        <f>IF(AB15=1,INT(B15)*1440+Z15,"")</f>
        <v/>
      </c>
      <c r="AX15" s="80" t="str">
        <f>IF(AB15=1,AW15+AD15,"")</f>
        <v/>
      </c>
      <c r="AY15" s="80">
        <f>IF(AND(AB15=1,AV15=0,AU15=1),1,0)</f>
        <v>0</v>
      </c>
      <c r="AZ15" s="80">
        <f>IF(AY15=1,COUNTIFS(R_Emp,D15,R_SAbs,"&lt;"&amp;AX15,R_EAbs,"&gt;"&amp;AW15,R_OKey,1)-1,0)</f>
        <v>0</v>
      </c>
      <c r="BA15" s="80">
        <f>IF(AY15=1,COUNTIFS(R_Emp,"&lt;&gt;"&amp;D15,R_SAbs,"&lt;"&amp;AX15,R_EAbs,"&gt;"&amp;AW15,R_OKey,1),0)</f>
        <v>0</v>
      </c>
      <c r="BB15" s="80">
        <f>IF(AND(AB15=1,D15="proMX"),IF(AND(MOD(Z15,CFG_BLK)=0,MOD(AA15,CFG_BLK)=0,MOD(AG15,CFG_BLK)=0,AG15&gt;0),1,0),1)</f>
        <v>1</v>
      </c>
      <c r="BC15" s="80" t="str">
        <f>IF(Y15=0,"",IF(NOT(ISNUMBER(B15)),"Falta fecha o fecha inválida",IF(D15="","Falta empresa",IF(AND(D15&lt;&gt;"Malcolm",D15&lt;&gt;"proMX"),"Empresa inválida",IF(OR(INT(B15)&lt;CFG_PSTART,INT(B15)&gt;CFG_PEND),"Fecha fuera del período",IF(OR(NOT(ISNUMBER(Z15)),NOT(ISNUMBER(AA15))),"Falta hora inicio/fin o formato inválido",IF(AB15=0,"Hora inicio = hora fin",IF(AE15&lt;0,"Descanso inválido",IF(AE15&gt;=AD15,"Descanso ≥ duración",IF(AV15=1,"Registro duplicado",IF(AZ15&gt;0,"Se superpone con otro registro "&amp;D15,IF(BB15=0,"inicio, fin y duración neta deben ser múltiplos de "&amp;CFG_BLK&amp;" min",""))))))))))))</f>
        <v/>
      </c>
      <c r="BD15" s="80">
        <f>IF(AND(Y15=1,BC15=""),1,0)</f>
        <v>0</v>
      </c>
      <c r="BE15" s="80">
        <f>IF(AND(BD15=1,AU15=1),1,0)</f>
        <v>0</v>
      </c>
      <c r="BF15" s="80" t="str">
        <f>IF(AND(D15="proMX",BD15=1),IF(R15="","Draft",R15),"")</f>
        <v/>
      </c>
      <c r="BG15" s="80">
        <f>IF(BD15=1,ROUND(AG15/60,6),0)</f>
        <v>0</v>
      </c>
      <c r="BH15" s="80">
        <f>IF(BE15=1,ROUND(AG15/60,6),0)</f>
        <v>0</v>
      </c>
      <c r="BI15" s="80">
        <f>IF(BE15=1,ROUND(AP15/60,6),0)</f>
        <v>0</v>
      </c>
      <c r="BJ15" s="80">
        <f>IF(BE15=1,ROUND(AQ15/60,6),0)</f>
        <v>0</v>
      </c>
      <c r="BK15" s="80">
        <f>IF(BE15=1,ROUND((AR15+AS15)/60,6),0)</f>
        <v>0</v>
      </c>
      <c r="BL15" s="80">
        <f>ROUND(BH15-BK15,6)</f>
        <v>0</v>
      </c>
      <c r="BM15" s="80">
        <f>IF(BE15=1,ROUND(AR15/60,6),0)</f>
        <v>0</v>
      </c>
      <c r="BN15" s="80">
        <f>ROUND(BI15-BM15,6)</f>
        <v>0</v>
      </c>
      <c r="BO15" s="80">
        <f>IF(BE15=1,ROUND(AS15/60,6),0)</f>
        <v>0</v>
      </c>
      <c r="BP15" s="80">
        <f>ROUND(BJ15-BO15,6)</f>
        <v>0</v>
      </c>
      <c r="BQ15" s="80">
        <f>IF(BE15=1,AW15,0)</f>
        <v>0</v>
      </c>
      <c r="BR15" s="80">
        <f>IF(BE15=1,AX15,0)</f>
        <v>0</v>
      </c>
      <c r="BS15" s="80">
        <f>IF(AND(BE15=1,D15="Malcolm",BA15&gt;0),MIN(BH15,SUMPRODUCT((R_Emp="proMX")*(R_EN&gt;0)*((R_EN-(R_EN&gt;BR15)*(R_EN-BR15))&gt;(R_SN+(R_SN&lt;BQ15)*(BQ15-R_SN)))*((R_EN-(R_EN&gt;BR15)*(R_EN-BR15))-(R_SN+(R_SN&lt;BQ15)*(BQ15-R_SN))))/60),0)</f>
        <v>0</v>
      </c>
      <c r="BT15" s="80">
        <f>IF(AND(BE15=1,D15="proMX"),ROUND(BI15*CFG_RATE+BJ15*CFG_OTRATE,6),0)</f>
        <v>0</v>
      </c>
      <c r="BU15" s="80">
        <f>IF(AND(BD15=1,D15="proMX"),ROUND(AG15/CFG_BLK,6),0)</f>
        <v>0</v>
      </c>
      <c r="BV15" s="80" t="str">
        <f>IF(BF15="Approved",IF(ISNUMBER(T15),INT(T15),INT(B15)),"")</f>
        <v/>
      </c>
      <c r="BW15" s="80">
        <f>IF(ISNUMBER(B15),IF(DB_MON="Todos",1,IF(AND(INT(B15)&gt;=DB_MS,INT(B15)&lt;=DB_ME),1,0)),0)</f>
        <v>0</v>
      </c>
      <c r="BX15" s="80">
        <f>IF(DB_PROJ="Todos",1,IF(E15&amp;""=DB_PROJ&amp;"",1,0))</f>
        <v>1</v>
      </c>
      <c r="BY15" s="80">
        <f>BW15*BX15</f>
        <v>0</v>
      </c>
      <c r="BZ15" s="80" t="str">
        <f>IF(Y15=1,F15&amp;IF(AND(F15&amp;""&lt;&gt;"",E15&amp;""&lt;&gt;"")," · ","")&amp;E15,"")</f>
        <v/>
      </c>
      <c r="CA15" s="80" t="str">
        <f>IF(AND(BD15=1,E15&amp;""&lt;&gt;""),IF(COUNTIFS($E$5:E14,E15,$BD$5:BD14,1)=0,MAX($CA$5:CA14)+1,""),"")</f>
        <v/>
      </c>
      <c r="CB15" s="80" t="str">
        <f>IF(AND(BE15=1,D15="Malcolm",E15&amp;""&lt;&gt;""),IF(COUNTIFS($D$5:D14,"Malcolm",$E$5:E14,E15,$BE$5:BE14,1)=0,MAX($CB$5:CB14)+1,""),"")</f>
        <v/>
      </c>
      <c r="CC15" s="80" t="str">
        <f>IF(AND(BD15=1,D15="proMX",E15&amp;""&lt;&gt;""),IF(COUNTIFS($D$5:D14,"proMX",$E$5:E14,E15,$BD$5:BD14,1)=0,MAX($CC$5:CC14)+1,""),"")</f>
        <v/>
      </c>
      <c r="CD15" s="80" t="str">
        <f>IF(AND(BE15=1,D15="Malcolm",F15&amp;""&lt;&gt;""),IF(COUNTIFS($D$5:D14,"Malcolm",$F$5:F14,F15,$BE$5:BE14,1)=0,MAX($CD$5:CD14)+1,""),"")</f>
        <v/>
      </c>
      <c r="CE15" s="80" t="str">
        <f>IF(AND(BD15=1,D15="proMX",F15&amp;""&lt;&gt;""),IF(COUNTIFS($D$5:D14,"proMX",$F$5:F14,F15,$BD$5:BD14,1)=0,MAX($CE$5:CE14)+1,""),"")</f>
        <v/>
      </c>
      <c r="CF15" s="80" t="str">
        <f>IF(AND(D15="proMX",BD15=1),IF(OR(BF15="Draft",BF15="Submitted",BF15="Returned",BF15="Recall Requested"),MAX($CF$5:CF14)+1,""),"")</f>
        <v/>
      </c>
      <c r="CG15" s="80">
        <f>IF(BD15=0,0,IF(D15="Malcolm",1,MATCH(BF15,{"Draft","Submitted","Approved","Returned","Recall Requested","Cancelled"},0)+1))</f>
        <v>0</v>
      </c>
      <c r="CH15" s="80">
        <f>IF(AND(BF15="Submitted",ISNUMBER(V15)),IF(V15&gt;CFG_MAXD,1,0),0)</f>
        <v>0</v>
      </c>
    </row>
    <row r="16">
      <c r="A16" s="71" t="str">
        <f>IF(Y16=1,ROW()-5,"")</f>
        <v/>
      </c>
      <c r="B16" s="72" t="n"/>
      <c r="C16" s="71" t="str">
        <f>IF(ISNUMBER(B16),CHOOSE(WEEKDAY(B16,2),"Lun","Mar","Mié","Jue","Vie","Sáb","Dom"),"")</f>
        <v/>
      </c>
      <c r="D16" s="73" t="n"/>
      <c r="E16" s="74" t="n"/>
      <c r="F16" s="74" t="n"/>
      <c r="G16" s="74" t="n"/>
      <c r="H16" s="75" t="n"/>
      <c r="I16" s="75" t="n"/>
      <c r="J16" s="76" t="n"/>
      <c r="K16" s="77" t="str">
        <f>IF(AB16=1,ROUND(AG16/60,4),"")</f>
        <v/>
      </c>
      <c r="L16" s="77" t="str">
        <f>IF(BD16=1,ROUND(AP16/60,4),"")</f>
        <v/>
      </c>
      <c r="M16" s="77" t="str">
        <f>IF(BD16=1,ROUND(AQ16/60,4),"")</f>
        <v/>
      </c>
      <c r="N16" s="71" t="str">
        <f>IF(AND(D16="proMX",AB16=1),ROUND(AG16/CFG_BLK,2),"")</f>
        <v/>
      </c>
      <c r="O16" s="77" t="str">
        <f>IF(D16="proMX",IF(BD16=1,ROUND(AG16/60,4),0),"")</f>
        <v/>
      </c>
      <c r="P16" s="78" t="str">
        <f>IF(Y16=0,"",IF(BD16=1,"OK",IF(D16="proMX","Revisar bloques: ","Revisar: ")&amp;BC16))</f>
        <v/>
      </c>
      <c r="Q16" s="78" t="str">
        <f>IF(NOT(ISNUMBER(B16)),"",IF(COUNTIFS(FER_F,INT(B16))&gt;0,"Feriado"&amp;IF(AH16=1," (laborable)"," (no laborable)"),IF(AH16=1,"Laborable",IF(WEEKDAY(B16,2)&gt;5,"Fin de semana","No laborable"))))</f>
        <v/>
      </c>
      <c r="R16" s="73" t="n"/>
      <c r="S16" s="72" t="n"/>
      <c r="T16" s="72" t="n"/>
      <c r="U16" s="74" t="n"/>
      <c r="V16" s="79" t="str">
        <f>IF(AND(D16="proMX",OR(R16="Submitted",R16="Recall Requested"),ISNUMBER(S16)),CFG_TODAY-INT(S16),"")</f>
        <v/>
      </c>
      <c r="W16" s="78" t="str">
        <f>IF(BD16=0,"",IF(BA16&gt;0,"⚠ Se superpone con un registro de la otra empresa",IF(D16="Malcolm",IF(COUNTA(R16,S16,T16)&gt;0,"Estado/fechas proMX se ignoran en Malcolm",""),IF(BF16="Cancelled","Cancelado: excluido de totales",IF(R16="","Sin estado: se trata como Draft",IF(BF16="Submitted",IF(ISNUMBER(V16),IF(V16&gt;CFG_MAXD,"⚠ "&amp;V16&amp;" días en Submitted (máx. "&amp;CFG_MAXD&amp;")",""),"Falta fecha de envío"),IF(BF16="Returned","⚠ Devuelto: corregir y reenviar",IF(BF16="Recall Requested","Retirada solicitada: pendiente",IF(AND(BF16="Approved",NOT(ISNUMBER(T16))),"Falta fecha de aprobación",IF(AND(ISNUMBER(S16),ISNUMBER(T16),T16&lt;S16),"Aprobación anterior al envío","")))))))))</f>
        <v/>
      </c>
      <c r="Y16" s="80">
        <f>IF(COUNTA(B16,D16,E16,F16,G16,H16,I16,J16,R16,S16,T16)&gt;0,1,0)</f>
        <v>0</v>
      </c>
      <c r="Z16" s="80" t="str">
        <f>IF(AND(ISNUMBER(H16),H16&gt;=0,H16&lt;1),ROUND(H16*1440,0),"")</f>
        <v/>
      </c>
      <c r="AA16" s="80" t="str">
        <f>IF(AND(ISNUMBER(I16),I16&gt;=0,I16&lt;1),ROUND(I16*1440,0),"")</f>
        <v/>
      </c>
      <c r="AB16" s="80">
        <f>IF(AND(ISNUMBER(B16),D16&lt;&gt;"",ISNUMBER(Z16),ISNUMBER(AA16)),IF(Z16=AA16,0,1),0)</f>
        <v>0</v>
      </c>
      <c r="AC16" s="80">
        <f>IF(AB16=1,IF(AA16&lt;Z16,1,0),0)</f>
        <v>0</v>
      </c>
      <c r="AD16" s="80">
        <f>IF(AB16=1,IF(AC16=1,1440-Z16+AA16,AA16-Z16),0)</f>
        <v>0</v>
      </c>
      <c r="AE16" s="80">
        <f>IF(J16="",0,IF(ISNUMBER(J16),J16,-1))</f>
        <v>0</v>
      </c>
      <c r="AF16" s="80">
        <f>MIN(MAX(0,AE16),AD16)</f>
        <v>0</v>
      </c>
      <c r="AG16" s="80">
        <f>MAX(0,AD16-MAX(0,AE16))</f>
        <v>0</v>
      </c>
      <c r="AH16" s="80">
        <f>IF(ISNUMBER(B16),IF(AND(INDEX(CFG_WDAYS,WEEKDAY(INT(B16),2))="Sí",IF(D16="proMX",COUNTIFS(FER_F,INT(B16),FER_NLP,"Sí"),COUNTIFS(FER_F,INT(B16),FER_NLM,"Sí"))=0),1,0),0)</f>
        <v>0</v>
      </c>
      <c r="AI16" s="80">
        <f>IF(AC16=1,IF(AND(INDEX(CFG_WDAYS,WEEKDAY(INT(B16)+1,2))="Sí",IF(D16="proMX",COUNTIFS(FER_F,INT(B16)+1,FER_NLP,"Sí"),COUNTIFS(FER_F,INT(B16)+1,FER_NLM,"Sí"))=0),1,0),0)</f>
        <v>0</v>
      </c>
      <c r="AJ16" s="80">
        <f>IF(AC16=1,1440-Z16,AD16)</f>
        <v>0</v>
      </c>
      <c r="AK16" s="80">
        <f>IF(AND(AB16=1,AH16=1),MAX(0,MIN(IF(AC16=1,1440,AA16),CFG_WEM)-MAX(Z16,CFG_WSM)),0)</f>
        <v>0</v>
      </c>
      <c r="AL16" s="80">
        <f>IF(AND(AC16=1,AI16=1),MAX(0,MIN(AA16,CFG_WEM)-CFG_WSM),0)</f>
        <v>0</v>
      </c>
      <c r="AM16" s="80">
        <f>AK16+AL16</f>
        <v>0</v>
      </c>
      <c r="AN16" s="80">
        <f>IF(CFG_BRK="Proporcional",IF(AD16=0,0,AF16*AM16/AD16),IF(CFG_BRK="Extras primero",MIN(AM16,MAX(0,AF16-(AD16-AM16))),MIN(AF16,AM16)))</f>
        <v>0</v>
      </c>
      <c r="AO16" s="80">
        <f>AF16-AN16</f>
        <v>0</v>
      </c>
      <c r="AP16" s="80">
        <f>AM16-AN16</f>
        <v>0</v>
      </c>
      <c r="AQ16" s="80">
        <f>AD16-AM16-AO16</f>
        <v>0</v>
      </c>
      <c r="AR16" s="80">
        <f>IF(AM16=0,0,AK16-AN16*AK16/AM16)</f>
        <v>0</v>
      </c>
      <c r="AS16" s="80">
        <f>IF(AD16-AM16=0,0,(AJ16-AK16)-AO16*(AJ16-AK16)/(AD16-AM16))</f>
        <v>0</v>
      </c>
      <c r="AT16" s="80" t="str">
        <f>IF(AC16=1,INT(B16)+1,"")</f>
        <v/>
      </c>
      <c r="AU16" s="80">
        <f>IF(AND(D16="proMX",R16="Cancelled"),0,1)</f>
        <v>1</v>
      </c>
      <c r="AV16" s="80">
        <f>IF(AND(AB16=1,AU16=1),IF(COUNTIFS($D$5:D15,D16,$B$5:B15,B16,$Z$5:Z15,Z16,$AA$5:AA15,AA16,$F$5:F15,F16&amp;"",$AU$5:AU15,1)&gt;0,1,0),0)</f>
        <v>0</v>
      </c>
      <c r="AW16" s="80" t="str">
        <f>IF(AB16=1,INT(B16)*1440+Z16,"")</f>
        <v/>
      </c>
      <c r="AX16" s="80" t="str">
        <f>IF(AB16=1,AW16+AD16,"")</f>
        <v/>
      </c>
      <c r="AY16" s="80">
        <f>IF(AND(AB16=1,AV16=0,AU16=1),1,0)</f>
        <v>0</v>
      </c>
      <c r="AZ16" s="80">
        <f>IF(AY16=1,COUNTIFS(R_Emp,D16,R_SAbs,"&lt;"&amp;AX16,R_EAbs,"&gt;"&amp;AW16,R_OKey,1)-1,0)</f>
        <v>0</v>
      </c>
      <c r="BA16" s="80">
        <f>IF(AY16=1,COUNTIFS(R_Emp,"&lt;&gt;"&amp;D16,R_SAbs,"&lt;"&amp;AX16,R_EAbs,"&gt;"&amp;AW16,R_OKey,1),0)</f>
        <v>0</v>
      </c>
      <c r="BB16" s="80">
        <f>IF(AND(AB16=1,D16="proMX"),IF(AND(MOD(Z16,CFG_BLK)=0,MOD(AA16,CFG_BLK)=0,MOD(AG16,CFG_BLK)=0,AG16&gt;0),1,0),1)</f>
        <v>1</v>
      </c>
      <c r="BC16" s="80" t="str">
        <f>IF(Y16=0,"",IF(NOT(ISNUMBER(B16)),"Falta fecha o fecha inválida",IF(D16="","Falta empresa",IF(AND(D16&lt;&gt;"Malcolm",D16&lt;&gt;"proMX"),"Empresa inválida",IF(OR(INT(B16)&lt;CFG_PSTART,INT(B16)&gt;CFG_PEND),"Fecha fuera del período",IF(OR(NOT(ISNUMBER(Z16)),NOT(ISNUMBER(AA16))),"Falta hora inicio/fin o formato inválido",IF(AB16=0,"Hora inicio = hora fin",IF(AE16&lt;0,"Descanso inválido",IF(AE16&gt;=AD16,"Descanso ≥ duración",IF(AV16=1,"Registro duplicado",IF(AZ16&gt;0,"Se superpone con otro registro "&amp;D16,IF(BB16=0,"inicio, fin y duración neta deben ser múltiplos de "&amp;CFG_BLK&amp;" min",""))))))))))))</f>
        <v/>
      </c>
      <c r="BD16" s="80">
        <f>IF(AND(Y16=1,BC16=""),1,0)</f>
        <v>0</v>
      </c>
      <c r="BE16" s="80">
        <f>IF(AND(BD16=1,AU16=1),1,0)</f>
        <v>0</v>
      </c>
      <c r="BF16" s="80" t="str">
        <f>IF(AND(D16="proMX",BD16=1),IF(R16="","Draft",R16),"")</f>
        <v/>
      </c>
      <c r="BG16" s="80">
        <f>IF(BD16=1,ROUND(AG16/60,6),0)</f>
        <v>0</v>
      </c>
      <c r="BH16" s="80">
        <f>IF(BE16=1,ROUND(AG16/60,6),0)</f>
        <v>0</v>
      </c>
      <c r="BI16" s="80">
        <f>IF(BE16=1,ROUND(AP16/60,6),0)</f>
        <v>0</v>
      </c>
      <c r="BJ16" s="80">
        <f>IF(BE16=1,ROUND(AQ16/60,6),0)</f>
        <v>0</v>
      </c>
      <c r="BK16" s="80">
        <f>IF(BE16=1,ROUND((AR16+AS16)/60,6),0)</f>
        <v>0</v>
      </c>
      <c r="BL16" s="80">
        <f>ROUND(BH16-BK16,6)</f>
        <v>0</v>
      </c>
      <c r="BM16" s="80">
        <f>IF(BE16=1,ROUND(AR16/60,6),0)</f>
        <v>0</v>
      </c>
      <c r="BN16" s="80">
        <f>ROUND(BI16-BM16,6)</f>
        <v>0</v>
      </c>
      <c r="BO16" s="80">
        <f>IF(BE16=1,ROUND(AS16/60,6),0)</f>
        <v>0</v>
      </c>
      <c r="BP16" s="80">
        <f>ROUND(BJ16-BO16,6)</f>
        <v>0</v>
      </c>
      <c r="BQ16" s="80">
        <f>IF(BE16=1,AW16,0)</f>
        <v>0</v>
      </c>
      <c r="BR16" s="80">
        <f>IF(BE16=1,AX16,0)</f>
        <v>0</v>
      </c>
      <c r="BS16" s="80">
        <f>IF(AND(BE16=1,D16="Malcolm",BA16&gt;0),MIN(BH16,SUMPRODUCT((R_Emp="proMX")*(R_EN&gt;0)*((R_EN-(R_EN&gt;BR16)*(R_EN-BR16))&gt;(R_SN+(R_SN&lt;BQ16)*(BQ16-R_SN)))*((R_EN-(R_EN&gt;BR16)*(R_EN-BR16))-(R_SN+(R_SN&lt;BQ16)*(BQ16-R_SN))))/60),0)</f>
        <v>0</v>
      </c>
      <c r="BT16" s="80">
        <f>IF(AND(BE16=1,D16="proMX"),ROUND(BI16*CFG_RATE+BJ16*CFG_OTRATE,6),0)</f>
        <v>0</v>
      </c>
      <c r="BU16" s="80">
        <f>IF(AND(BD16=1,D16="proMX"),ROUND(AG16/CFG_BLK,6),0)</f>
        <v>0</v>
      </c>
      <c r="BV16" s="80" t="str">
        <f>IF(BF16="Approved",IF(ISNUMBER(T16),INT(T16),INT(B16)),"")</f>
        <v/>
      </c>
      <c r="BW16" s="80">
        <f>IF(ISNUMBER(B16),IF(DB_MON="Todos",1,IF(AND(INT(B16)&gt;=DB_MS,INT(B16)&lt;=DB_ME),1,0)),0)</f>
        <v>0</v>
      </c>
      <c r="BX16" s="80">
        <f>IF(DB_PROJ="Todos",1,IF(E16&amp;""=DB_PROJ&amp;"",1,0))</f>
        <v>1</v>
      </c>
      <c r="BY16" s="80">
        <f>BW16*BX16</f>
        <v>0</v>
      </c>
      <c r="BZ16" s="80" t="str">
        <f>IF(Y16=1,F16&amp;IF(AND(F16&amp;""&lt;&gt;"",E16&amp;""&lt;&gt;"")," · ","")&amp;E16,"")</f>
        <v/>
      </c>
      <c r="CA16" s="80" t="str">
        <f>IF(AND(BD16=1,E16&amp;""&lt;&gt;""),IF(COUNTIFS($E$5:E15,E16,$BD$5:BD15,1)=0,MAX($CA$5:CA15)+1,""),"")</f>
        <v/>
      </c>
      <c r="CB16" s="80" t="str">
        <f>IF(AND(BE16=1,D16="Malcolm",E16&amp;""&lt;&gt;""),IF(COUNTIFS($D$5:D15,"Malcolm",$E$5:E15,E16,$BE$5:BE15,1)=0,MAX($CB$5:CB15)+1,""),"")</f>
        <v/>
      </c>
      <c r="CC16" s="80" t="str">
        <f>IF(AND(BD16=1,D16="proMX",E16&amp;""&lt;&gt;""),IF(COUNTIFS($D$5:D15,"proMX",$E$5:E15,E16,$BD$5:BD15,1)=0,MAX($CC$5:CC15)+1,""),"")</f>
        <v/>
      </c>
      <c r="CD16" s="80" t="str">
        <f>IF(AND(BE16=1,D16="Malcolm",F16&amp;""&lt;&gt;""),IF(COUNTIFS($D$5:D15,"Malcolm",$F$5:F15,F16,$BE$5:BE15,1)=0,MAX($CD$5:CD15)+1,""),"")</f>
        <v/>
      </c>
      <c r="CE16" s="80" t="str">
        <f>IF(AND(BD16=1,D16="proMX",F16&amp;""&lt;&gt;""),IF(COUNTIFS($D$5:D15,"proMX",$F$5:F15,F16,$BD$5:BD15,1)=0,MAX($CE$5:CE15)+1,""),"")</f>
        <v/>
      </c>
      <c r="CF16" s="80" t="str">
        <f>IF(AND(D16="proMX",BD16=1),IF(OR(BF16="Draft",BF16="Submitted",BF16="Returned",BF16="Recall Requested"),MAX($CF$5:CF15)+1,""),"")</f>
        <v/>
      </c>
      <c r="CG16" s="80">
        <f>IF(BD16=0,0,IF(D16="Malcolm",1,MATCH(BF16,{"Draft","Submitted","Approved","Returned","Recall Requested","Cancelled"},0)+1))</f>
        <v>0</v>
      </c>
      <c r="CH16" s="80">
        <f>IF(AND(BF16="Submitted",ISNUMBER(V16)),IF(V16&gt;CFG_MAXD,1,0),0)</f>
        <v>0</v>
      </c>
    </row>
    <row r="17">
      <c r="A17" s="71" t="str">
        <f>IF(Y17=1,ROW()-5,"")</f>
        <v/>
      </c>
      <c r="B17" s="72" t="n"/>
      <c r="C17" s="71" t="str">
        <f>IF(ISNUMBER(B17),CHOOSE(WEEKDAY(B17,2),"Lun","Mar","Mié","Jue","Vie","Sáb","Dom"),"")</f>
        <v/>
      </c>
      <c r="D17" s="73" t="n"/>
      <c r="E17" s="74" t="n"/>
      <c r="F17" s="74" t="n"/>
      <c r="G17" s="74" t="n"/>
      <c r="H17" s="75" t="n"/>
      <c r="I17" s="75" t="n"/>
      <c r="J17" s="76" t="n"/>
      <c r="K17" s="77" t="str">
        <f>IF(AB17=1,ROUND(AG17/60,4),"")</f>
        <v/>
      </c>
      <c r="L17" s="77" t="str">
        <f>IF(BD17=1,ROUND(AP17/60,4),"")</f>
        <v/>
      </c>
      <c r="M17" s="77" t="str">
        <f>IF(BD17=1,ROUND(AQ17/60,4),"")</f>
        <v/>
      </c>
      <c r="N17" s="71" t="str">
        <f>IF(AND(D17="proMX",AB17=1),ROUND(AG17/CFG_BLK,2),"")</f>
        <v/>
      </c>
      <c r="O17" s="77" t="str">
        <f>IF(D17="proMX",IF(BD17=1,ROUND(AG17/60,4),0),"")</f>
        <v/>
      </c>
      <c r="P17" s="78" t="str">
        <f>IF(Y17=0,"",IF(BD17=1,"OK",IF(D17="proMX","Revisar bloques: ","Revisar: ")&amp;BC17))</f>
        <v/>
      </c>
      <c r="Q17" s="78" t="str">
        <f>IF(NOT(ISNUMBER(B17)),"",IF(COUNTIFS(FER_F,INT(B17))&gt;0,"Feriado"&amp;IF(AH17=1," (laborable)"," (no laborable)"),IF(AH17=1,"Laborable",IF(WEEKDAY(B17,2)&gt;5,"Fin de semana","No laborable"))))</f>
        <v/>
      </c>
      <c r="R17" s="73" t="n"/>
      <c r="S17" s="72" t="n"/>
      <c r="T17" s="72" t="n"/>
      <c r="U17" s="74" t="n"/>
      <c r="V17" s="79" t="str">
        <f>IF(AND(D17="proMX",OR(R17="Submitted",R17="Recall Requested"),ISNUMBER(S17)),CFG_TODAY-INT(S17),"")</f>
        <v/>
      </c>
      <c r="W17" s="78" t="str">
        <f>IF(BD17=0,"",IF(BA17&gt;0,"⚠ Se superpone con un registro de la otra empresa",IF(D17="Malcolm",IF(COUNTA(R17,S17,T17)&gt;0,"Estado/fechas proMX se ignoran en Malcolm",""),IF(BF17="Cancelled","Cancelado: excluido de totales",IF(R17="","Sin estado: se trata como Draft",IF(BF17="Submitted",IF(ISNUMBER(V17),IF(V17&gt;CFG_MAXD,"⚠ "&amp;V17&amp;" días en Submitted (máx. "&amp;CFG_MAXD&amp;")",""),"Falta fecha de envío"),IF(BF17="Returned","⚠ Devuelto: corregir y reenviar",IF(BF17="Recall Requested","Retirada solicitada: pendiente",IF(AND(BF17="Approved",NOT(ISNUMBER(T17))),"Falta fecha de aprobación",IF(AND(ISNUMBER(S17),ISNUMBER(T17),T17&lt;S17),"Aprobación anterior al envío","")))))))))</f>
        <v/>
      </c>
      <c r="Y17" s="80">
        <f>IF(COUNTA(B17,D17,E17,F17,G17,H17,I17,J17,R17,S17,T17)&gt;0,1,0)</f>
        <v>0</v>
      </c>
      <c r="Z17" s="80" t="str">
        <f>IF(AND(ISNUMBER(H17),H17&gt;=0,H17&lt;1),ROUND(H17*1440,0),"")</f>
        <v/>
      </c>
      <c r="AA17" s="80" t="str">
        <f>IF(AND(ISNUMBER(I17),I17&gt;=0,I17&lt;1),ROUND(I17*1440,0),"")</f>
        <v/>
      </c>
      <c r="AB17" s="80">
        <f>IF(AND(ISNUMBER(B17),D17&lt;&gt;"",ISNUMBER(Z17),ISNUMBER(AA17)),IF(Z17=AA17,0,1),0)</f>
        <v>0</v>
      </c>
      <c r="AC17" s="80">
        <f>IF(AB17=1,IF(AA17&lt;Z17,1,0),0)</f>
        <v>0</v>
      </c>
      <c r="AD17" s="80">
        <f>IF(AB17=1,IF(AC17=1,1440-Z17+AA17,AA17-Z17),0)</f>
        <v>0</v>
      </c>
      <c r="AE17" s="80">
        <f>IF(J17="",0,IF(ISNUMBER(J17),J17,-1))</f>
        <v>0</v>
      </c>
      <c r="AF17" s="80">
        <f>MIN(MAX(0,AE17),AD17)</f>
        <v>0</v>
      </c>
      <c r="AG17" s="80">
        <f>MAX(0,AD17-MAX(0,AE17))</f>
        <v>0</v>
      </c>
      <c r="AH17" s="80">
        <f>IF(ISNUMBER(B17),IF(AND(INDEX(CFG_WDAYS,WEEKDAY(INT(B17),2))="Sí",IF(D17="proMX",COUNTIFS(FER_F,INT(B17),FER_NLP,"Sí"),COUNTIFS(FER_F,INT(B17),FER_NLM,"Sí"))=0),1,0),0)</f>
        <v>0</v>
      </c>
      <c r="AI17" s="80">
        <f>IF(AC17=1,IF(AND(INDEX(CFG_WDAYS,WEEKDAY(INT(B17)+1,2))="Sí",IF(D17="proMX",COUNTIFS(FER_F,INT(B17)+1,FER_NLP,"Sí"),COUNTIFS(FER_F,INT(B17)+1,FER_NLM,"Sí"))=0),1,0),0)</f>
        <v>0</v>
      </c>
      <c r="AJ17" s="80">
        <f>IF(AC17=1,1440-Z17,AD17)</f>
        <v>0</v>
      </c>
      <c r="AK17" s="80">
        <f>IF(AND(AB17=1,AH17=1),MAX(0,MIN(IF(AC17=1,1440,AA17),CFG_WEM)-MAX(Z17,CFG_WSM)),0)</f>
        <v>0</v>
      </c>
      <c r="AL17" s="80">
        <f>IF(AND(AC17=1,AI17=1),MAX(0,MIN(AA17,CFG_WEM)-CFG_WSM),0)</f>
        <v>0</v>
      </c>
      <c r="AM17" s="80">
        <f>AK17+AL17</f>
        <v>0</v>
      </c>
      <c r="AN17" s="80">
        <f>IF(CFG_BRK="Proporcional",IF(AD17=0,0,AF17*AM17/AD17),IF(CFG_BRK="Extras primero",MIN(AM17,MAX(0,AF17-(AD17-AM17))),MIN(AF17,AM17)))</f>
        <v>0</v>
      </c>
      <c r="AO17" s="80">
        <f>AF17-AN17</f>
        <v>0</v>
      </c>
      <c r="AP17" s="80">
        <f>AM17-AN17</f>
        <v>0</v>
      </c>
      <c r="AQ17" s="80">
        <f>AD17-AM17-AO17</f>
        <v>0</v>
      </c>
      <c r="AR17" s="80">
        <f>IF(AM17=0,0,AK17-AN17*AK17/AM17)</f>
        <v>0</v>
      </c>
      <c r="AS17" s="80">
        <f>IF(AD17-AM17=0,0,(AJ17-AK17)-AO17*(AJ17-AK17)/(AD17-AM17))</f>
        <v>0</v>
      </c>
      <c r="AT17" s="80" t="str">
        <f>IF(AC17=1,INT(B17)+1,"")</f>
        <v/>
      </c>
      <c r="AU17" s="80">
        <f>IF(AND(D17="proMX",R17="Cancelled"),0,1)</f>
        <v>1</v>
      </c>
      <c r="AV17" s="80">
        <f>IF(AND(AB17=1,AU17=1),IF(COUNTIFS($D$5:D16,D17,$B$5:B16,B17,$Z$5:Z16,Z17,$AA$5:AA16,AA17,$F$5:F16,F17&amp;"",$AU$5:AU16,1)&gt;0,1,0),0)</f>
        <v>0</v>
      </c>
      <c r="AW17" s="80" t="str">
        <f>IF(AB17=1,INT(B17)*1440+Z17,"")</f>
        <v/>
      </c>
      <c r="AX17" s="80" t="str">
        <f>IF(AB17=1,AW17+AD17,"")</f>
        <v/>
      </c>
      <c r="AY17" s="80">
        <f>IF(AND(AB17=1,AV17=0,AU17=1),1,0)</f>
        <v>0</v>
      </c>
      <c r="AZ17" s="80">
        <f>IF(AY17=1,COUNTIFS(R_Emp,D17,R_SAbs,"&lt;"&amp;AX17,R_EAbs,"&gt;"&amp;AW17,R_OKey,1)-1,0)</f>
        <v>0</v>
      </c>
      <c r="BA17" s="80">
        <f>IF(AY17=1,COUNTIFS(R_Emp,"&lt;&gt;"&amp;D17,R_SAbs,"&lt;"&amp;AX17,R_EAbs,"&gt;"&amp;AW17,R_OKey,1),0)</f>
        <v>0</v>
      </c>
      <c r="BB17" s="80">
        <f>IF(AND(AB17=1,D17="proMX"),IF(AND(MOD(Z17,CFG_BLK)=0,MOD(AA17,CFG_BLK)=0,MOD(AG17,CFG_BLK)=0,AG17&gt;0),1,0),1)</f>
        <v>1</v>
      </c>
      <c r="BC17" s="80" t="str">
        <f>IF(Y17=0,"",IF(NOT(ISNUMBER(B17)),"Falta fecha o fecha inválida",IF(D17="","Falta empresa",IF(AND(D17&lt;&gt;"Malcolm",D17&lt;&gt;"proMX"),"Empresa inválida",IF(OR(INT(B17)&lt;CFG_PSTART,INT(B17)&gt;CFG_PEND),"Fecha fuera del período",IF(OR(NOT(ISNUMBER(Z17)),NOT(ISNUMBER(AA17))),"Falta hora inicio/fin o formato inválido",IF(AB17=0,"Hora inicio = hora fin",IF(AE17&lt;0,"Descanso inválido",IF(AE17&gt;=AD17,"Descanso ≥ duración",IF(AV17=1,"Registro duplicado",IF(AZ17&gt;0,"Se superpone con otro registro "&amp;D17,IF(BB17=0,"inicio, fin y duración neta deben ser múltiplos de "&amp;CFG_BLK&amp;" min",""))))))))))))</f>
        <v/>
      </c>
      <c r="BD17" s="80">
        <f>IF(AND(Y17=1,BC17=""),1,0)</f>
        <v>0</v>
      </c>
      <c r="BE17" s="80">
        <f>IF(AND(BD17=1,AU17=1),1,0)</f>
        <v>0</v>
      </c>
      <c r="BF17" s="80" t="str">
        <f>IF(AND(D17="proMX",BD17=1),IF(R17="","Draft",R17),"")</f>
        <v/>
      </c>
      <c r="BG17" s="80">
        <f>IF(BD17=1,ROUND(AG17/60,6),0)</f>
        <v>0</v>
      </c>
      <c r="BH17" s="80">
        <f>IF(BE17=1,ROUND(AG17/60,6),0)</f>
        <v>0</v>
      </c>
      <c r="BI17" s="80">
        <f>IF(BE17=1,ROUND(AP17/60,6),0)</f>
        <v>0</v>
      </c>
      <c r="BJ17" s="80">
        <f>IF(BE17=1,ROUND(AQ17/60,6),0)</f>
        <v>0</v>
      </c>
      <c r="BK17" s="80">
        <f>IF(BE17=1,ROUND((AR17+AS17)/60,6),0)</f>
        <v>0</v>
      </c>
      <c r="BL17" s="80">
        <f>ROUND(BH17-BK17,6)</f>
        <v>0</v>
      </c>
      <c r="BM17" s="80">
        <f>IF(BE17=1,ROUND(AR17/60,6),0)</f>
        <v>0</v>
      </c>
      <c r="BN17" s="80">
        <f>ROUND(BI17-BM17,6)</f>
        <v>0</v>
      </c>
      <c r="BO17" s="80">
        <f>IF(BE17=1,ROUND(AS17/60,6),0)</f>
        <v>0</v>
      </c>
      <c r="BP17" s="80">
        <f>ROUND(BJ17-BO17,6)</f>
        <v>0</v>
      </c>
      <c r="BQ17" s="80">
        <f>IF(BE17=1,AW17,0)</f>
        <v>0</v>
      </c>
      <c r="BR17" s="80">
        <f>IF(BE17=1,AX17,0)</f>
        <v>0</v>
      </c>
      <c r="BS17" s="80">
        <f>IF(AND(BE17=1,D17="Malcolm",BA17&gt;0),MIN(BH17,SUMPRODUCT((R_Emp="proMX")*(R_EN&gt;0)*((R_EN-(R_EN&gt;BR17)*(R_EN-BR17))&gt;(R_SN+(R_SN&lt;BQ17)*(BQ17-R_SN)))*((R_EN-(R_EN&gt;BR17)*(R_EN-BR17))-(R_SN+(R_SN&lt;BQ17)*(BQ17-R_SN))))/60),0)</f>
        <v>0</v>
      </c>
      <c r="BT17" s="80">
        <f>IF(AND(BE17=1,D17="proMX"),ROUND(BI17*CFG_RATE+BJ17*CFG_OTRATE,6),0)</f>
        <v>0</v>
      </c>
      <c r="BU17" s="80">
        <f>IF(AND(BD17=1,D17="proMX"),ROUND(AG17/CFG_BLK,6),0)</f>
        <v>0</v>
      </c>
      <c r="BV17" s="80" t="str">
        <f>IF(BF17="Approved",IF(ISNUMBER(T17),INT(T17),INT(B17)),"")</f>
        <v/>
      </c>
      <c r="BW17" s="80">
        <f>IF(ISNUMBER(B17),IF(DB_MON="Todos",1,IF(AND(INT(B17)&gt;=DB_MS,INT(B17)&lt;=DB_ME),1,0)),0)</f>
        <v>0</v>
      </c>
      <c r="BX17" s="80">
        <f>IF(DB_PROJ="Todos",1,IF(E17&amp;""=DB_PROJ&amp;"",1,0))</f>
        <v>1</v>
      </c>
      <c r="BY17" s="80">
        <f>BW17*BX17</f>
        <v>0</v>
      </c>
      <c r="BZ17" s="80" t="str">
        <f>IF(Y17=1,F17&amp;IF(AND(F17&amp;""&lt;&gt;"",E17&amp;""&lt;&gt;"")," · ","")&amp;E17,"")</f>
        <v/>
      </c>
      <c r="CA17" s="80" t="str">
        <f>IF(AND(BD17=1,E17&amp;""&lt;&gt;""),IF(COUNTIFS($E$5:E16,E17,$BD$5:BD16,1)=0,MAX($CA$5:CA16)+1,""),"")</f>
        <v/>
      </c>
      <c r="CB17" s="80" t="str">
        <f>IF(AND(BE17=1,D17="Malcolm",E17&amp;""&lt;&gt;""),IF(COUNTIFS($D$5:D16,"Malcolm",$E$5:E16,E17,$BE$5:BE16,1)=0,MAX($CB$5:CB16)+1,""),"")</f>
        <v/>
      </c>
      <c r="CC17" s="80" t="str">
        <f>IF(AND(BD17=1,D17="proMX",E17&amp;""&lt;&gt;""),IF(COUNTIFS($D$5:D16,"proMX",$E$5:E16,E17,$BD$5:BD16,1)=0,MAX($CC$5:CC16)+1,""),"")</f>
        <v/>
      </c>
      <c r="CD17" s="80" t="str">
        <f>IF(AND(BE17=1,D17="Malcolm",F17&amp;""&lt;&gt;""),IF(COUNTIFS($D$5:D16,"Malcolm",$F$5:F16,F17,$BE$5:BE16,1)=0,MAX($CD$5:CD16)+1,""),"")</f>
        <v/>
      </c>
      <c r="CE17" s="80" t="str">
        <f>IF(AND(BD17=1,D17="proMX",F17&amp;""&lt;&gt;""),IF(COUNTIFS($D$5:D16,"proMX",$F$5:F16,F17,$BD$5:BD16,1)=0,MAX($CE$5:CE16)+1,""),"")</f>
        <v/>
      </c>
      <c r="CF17" s="80" t="str">
        <f>IF(AND(D17="proMX",BD17=1),IF(OR(BF17="Draft",BF17="Submitted",BF17="Returned",BF17="Recall Requested"),MAX($CF$5:CF16)+1,""),"")</f>
        <v/>
      </c>
      <c r="CG17" s="80">
        <f>IF(BD17=0,0,IF(D17="Malcolm",1,MATCH(BF17,{"Draft","Submitted","Approved","Returned","Recall Requested","Cancelled"},0)+1))</f>
        <v>0</v>
      </c>
      <c r="CH17" s="80">
        <f>IF(AND(BF17="Submitted",ISNUMBER(V17)),IF(V17&gt;CFG_MAXD,1,0),0)</f>
        <v>0</v>
      </c>
    </row>
    <row r="18">
      <c r="A18" s="71" t="str">
        <f>IF(Y18=1,ROW()-5,"")</f>
        <v/>
      </c>
      <c r="B18" s="72" t="n"/>
      <c r="C18" s="71" t="str">
        <f>IF(ISNUMBER(B18),CHOOSE(WEEKDAY(B18,2),"Lun","Mar","Mié","Jue","Vie","Sáb","Dom"),"")</f>
        <v/>
      </c>
      <c r="D18" s="73" t="n"/>
      <c r="E18" s="74" t="n"/>
      <c r="F18" s="74" t="n"/>
      <c r="G18" s="74" t="n"/>
      <c r="H18" s="75" t="n"/>
      <c r="I18" s="75" t="n"/>
      <c r="J18" s="76" t="n"/>
      <c r="K18" s="77" t="str">
        <f>IF(AB18=1,ROUND(AG18/60,4),"")</f>
        <v/>
      </c>
      <c r="L18" s="77" t="str">
        <f>IF(BD18=1,ROUND(AP18/60,4),"")</f>
        <v/>
      </c>
      <c r="M18" s="77" t="str">
        <f>IF(BD18=1,ROUND(AQ18/60,4),"")</f>
        <v/>
      </c>
      <c r="N18" s="71" t="str">
        <f>IF(AND(D18="proMX",AB18=1),ROUND(AG18/CFG_BLK,2),"")</f>
        <v/>
      </c>
      <c r="O18" s="77" t="str">
        <f>IF(D18="proMX",IF(BD18=1,ROUND(AG18/60,4),0),"")</f>
        <v/>
      </c>
      <c r="P18" s="78" t="str">
        <f>IF(Y18=0,"",IF(BD18=1,"OK",IF(D18="proMX","Revisar bloques: ","Revisar: ")&amp;BC18))</f>
        <v/>
      </c>
      <c r="Q18" s="78" t="str">
        <f>IF(NOT(ISNUMBER(B18)),"",IF(COUNTIFS(FER_F,INT(B18))&gt;0,"Feriado"&amp;IF(AH18=1," (laborable)"," (no laborable)"),IF(AH18=1,"Laborable",IF(WEEKDAY(B18,2)&gt;5,"Fin de semana","No laborable"))))</f>
        <v/>
      </c>
      <c r="R18" s="73" t="n"/>
      <c r="S18" s="72" t="n"/>
      <c r="T18" s="72" t="n"/>
      <c r="U18" s="74" t="n"/>
      <c r="V18" s="79" t="str">
        <f>IF(AND(D18="proMX",OR(R18="Submitted",R18="Recall Requested"),ISNUMBER(S18)),CFG_TODAY-INT(S18),"")</f>
        <v/>
      </c>
      <c r="W18" s="78" t="str">
        <f>IF(BD18=0,"",IF(BA18&gt;0,"⚠ Se superpone con un registro de la otra empresa",IF(D18="Malcolm",IF(COUNTA(R18,S18,T18)&gt;0,"Estado/fechas proMX se ignoran en Malcolm",""),IF(BF18="Cancelled","Cancelado: excluido de totales",IF(R18="","Sin estado: se trata como Draft",IF(BF18="Submitted",IF(ISNUMBER(V18),IF(V18&gt;CFG_MAXD,"⚠ "&amp;V18&amp;" días en Submitted (máx. "&amp;CFG_MAXD&amp;")",""),"Falta fecha de envío"),IF(BF18="Returned","⚠ Devuelto: corregir y reenviar",IF(BF18="Recall Requested","Retirada solicitada: pendiente",IF(AND(BF18="Approved",NOT(ISNUMBER(T18))),"Falta fecha de aprobación",IF(AND(ISNUMBER(S18),ISNUMBER(T18),T18&lt;S18),"Aprobación anterior al envío","")))))))))</f>
        <v/>
      </c>
      <c r="Y18" s="80">
        <f>IF(COUNTA(B18,D18,E18,F18,G18,H18,I18,J18,R18,S18,T18)&gt;0,1,0)</f>
        <v>0</v>
      </c>
      <c r="Z18" s="80" t="str">
        <f>IF(AND(ISNUMBER(H18),H18&gt;=0,H18&lt;1),ROUND(H18*1440,0),"")</f>
        <v/>
      </c>
      <c r="AA18" s="80" t="str">
        <f>IF(AND(ISNUMBER(I18),I18&gt;=0,I18&lt;1),ROUND(I18*1440,0),"")</f>
        <v/>
      </c>
      <c r="AB18" s="80">
        <f>IF(AND(ISNUMBER(B18),D18&lt;&gt;"",ISNUMBER(Z18),ISNUMBER(AA18)),IF(Z18=AA18,0,1),0)</f>
        <v>0</v>
      </c>
      <c r="AC18" s="80">
        <f>IF(AB18=1,IF(AA18&lt;Z18,1,0),0)</f>
        <v>0</v>
      </c>
      <c r="AD18" s="80">
        <f>IF(AB18=1,IF(AC18=1,1440-Z18+AA18,AA18-Z18),0)</f>
        <v>0</v>
      </c>
      <c r="AE18" s="80">
        <f>IF(J18="",0,IF(ISNUMBER(J18),J18,-1))</f>
        <v>0</v>
      </c>
      <c r="AF18" s="80">
        <f>MIN(MAX(0,AE18),AD18)</f>
        <v>0</v>
      </c>
      <c r="AG18" s="80">
        <f>MAX(0,AD18-MAX(0,AE18))</f>
        <v>0</v>
      </c>
      <c r="AH18" s="80">
        <f>IF(ISNUMBER(B18),IF(AND(INDEX(CFG_WDAYS,WEEKDAY(INT(B18),2))="Sí",IF(D18="proMX",COUNTIFS(FER_F,INT(B18),FER_NLP,"Sí"),COUNTIFS(FER_F,INT(B18),FER_NLM,"Sí"))=0),1,0),0)</f>
        <v>0</v>
      </c>
      <c r="AI18" s="80">
        <f>IF(AC18=1,IF(AND(INDEX(CFG_WDAYS,WEEKDAY(INT(B18)+1,2))="Sí",IF(D18="proMX",COUNTIFS(FER_F,INT(B18)+1,FER_NLP,"Sí"),COUNTIFS(FER_F,INT(B18)+1,FER_NLM,"Sí"))=0),1,0),0)</f>
        <v>0</v>
      </c>
      <c r="AJ18" s="80">
        <f>IF(AC18=1,1440-Z18,AD18)</f>
        <v>0</v>
      </c>
      <c r="AK18" s="80">
        <f>IF(AND(AB18=1,AH18=1),MAX(0,MIN(IF(AC18=1,1440,AA18),CFG_WEM)-MAX(Z18,CFG_WSM)),0)</f>
        <v>0</v>
      </c>
      <c r="AL18" s="80">
        <f>IF(AND(AC18=1,AI18=1),MAX(0,MIN(AA18,CFG_WEM)-CFG_WSM),0)</f>
        <v>0</v>
      </c>
      <c r="AM18" s="80">
        <f>AK18+AL18</f>
        <v>0</v>
      </c>
      <c r="AN18" s="80">
        <f>IF(CFG_BRK="Proporcional",IF(AD18=0,0,AF18*AM18/AD18),IF(CFG_BRK="Extras primero",MIN(AM18,MAX(0,AF18-(AD18-AM18))),MIN(AF18,AM18)))</f>
        <v>0</v>
      </c>
      <c r="AO18" s="80">
        <f>AF18-AN18</f>
        <v>0</v>
      </c>
      <c r="AP18" s="80">
        <f>AM18-AN18</f>
        <v>0</v>
      </c>
      <c r="AQ18" s="80">
        <f>AD18-AM18-AO18</f>
        <v>0</v>
      </c>
      <c r="AR18" s="80">
        <f>IF(AM18=0,0,AK18-AN18*AK18/AM18)</f>
        <v>0</v>
      </c>
      <c r="AS18" s="80">
        <f>IF(AD18-AM18=0,0,(AJ18-AK18)-AO18*(AJ18-AK18)/(AD18-AM18))</f>
        <v>0</v>
      </c>
      <c r="AT18" s="80" t="str">
        <f>IF(AC18=1,INT(B18)+1,"")</f>
        <v/>
      </c>
      <c r="AU18" s="80">
        <f>IF(AND(D18="proMX",R18="Cancelled"),0,1)</f>
        <v>1</v>
      </c>
      <c r="AV18" s="80">
        <f>IF(AND(AB18=1,AU18=1),IF(COUNTIFS($D$5:D17,D18,$B$5:B17,B18,$Z$5:Z17,Z18,$AA$5:AA17,AA18,$F$5:F17,F18&amp;"",$AU$5:AU17,1)&gt;0,1,0),0)</f>
        <v>0</v>
      </c>
      <c r="AW18" s="80" t="str">
        <f>IF(AB18=1,INT(B18)*1440+Z18,"")</f>
        <v/>
      </c>
      <c r="AX18" s="80" t="str">
        <f>IF(AB18=1,AW18+AD18,"")</f>
        <v/>
      </c>
      <c r="AY18" s="80">
        <f>IF(AND(AB18=1,AV18=0,AU18=1),1,0)</f>
        <v>0</v>
      </c>
      <c r="AZ18" s="80">
        <f>IF(AY18=1,COUNTIFS(R_Emp,D18,R_SAbs,"&lt;"&amp;AX18,R_EAbs,"&gt;"&amp;AW18,R_OKey,1)-1,0)</f>
        <v>0</v>
      </c>
      <c r="BA18" s="80">
        <f>IF(AY18=1,COUNTIFS(R_Emp,"&lt;&gt;"&amp;D18,R_SAbs,"&lt;"&amp;AX18,R_EAbs,"&gt;"&amp;AW18,R_OKey,1),0)</f>
        <v>0</v>
      </c>
      <c r="BB18" s="80">
        <f>IF(AND(AB18=1,D18="proMX"),IF(AND(MOD(Z18,CFG_BLK)=0,MOD(AA18,CFG_BLK)=0,MOD(AG18,CFG_BLK)=0,AG18&gt;0),1,0),1)</f>
        <v>1</v>
      </c>
      <c r="BC18" s="80" t="str">
        <f>IF(Y18=0,"",IF(NOT(ISNUMBER(B18)),"Falta fecha o fecha inválida",IF(D18="","Falta empresa",IF(AND(D18&lt;&gt;"Malcolm",D18&lt;&gt;"proMX"),"Empresa inválida",IF(OR(INT(B18)&lt;CFG_PSTART,INT(B18)&gt;CFG_PEND),"Fecha fuera del período",IF(OR(NOT(ISNUMBER(Z18)),NOT(ISNUMBER(AA18))),"Falta hora inicio/fin o formato inválido",IF(AB18=0,"Hora inicio = hora fin",IF(AE18&lt;0,"Descanso inválido",IF(AE18&gt;=AD18,"Descanso ≥ duración",IF(AV18=1,"Registro duplicado",IF(AZ18&gt;0,"Se superpone con otro registro "&amp;D18,IF(BB18=0,"inicio, fin y duración neta deben ser múltiplos de "&amp;CFG_BLK&amp;" min",""))))))))))))</f>
        <v/>
      </c>
      <c r="BD18" s="80">
        <f>IF(AND(Y18=1,BC18=""),1,0)</f>
        <v>0</v>
      </c>
      <c r="BE18" s="80">
        <f>IF(AND(BD18=1,AU18=1),1,0)</f>
        <v>0</v>
      </c>
      <c r="BF18" s="80" t="str">
        <f>IF(AND(D18="proMX",BD18=1),IF(R18="","Draft",R18),"")</f>
        <v/>
      </c>
      <c r="BG18" s="80">
        <f>IF(BD18=1,ROUND(AG18/60,6),0)</f>
        <v>0</v>
      </c>
      <c r="BH18" s="80">
        <f>IF(BE18=1,ROUND(AG18/60,6),0)</f>
        <v>0</v>
      </c>
      <c r="BI18" s="80">
        <f>IF(BE18=1,ROUND(AP18/60,6),0)</f>
        <v>0</v>
      </c>
      <c r="BJ18" s="80">
        <f>IF(BE18=1,ROUND(AQ18/60,6),0)</f>
        <v>0</v>
      </c>
      <c r="BK18" s="80">
        <f>IF(BE18=1,ROUND((AR18+AS18)/60,6),0)</f>
        <v>0</v>
      </c>
      <c r="BL18" s="80">
        <f>ROUND(BH18-BK18,6)</f>
        <v>0</v>
      </c>
      <c r="BM18" s="80">
        <f>IF(BE18=1,ROUND(AR18/60,6),0)</f>
        <v>0</v>
      </c>
      <c r="BN18" s="80">
        <f>ROUND(BI18-BM18,6)</f>
        <v>0</v>
      </c>
      <c r="BO18" s="80">
        <f>IF(BE18=1,ROUND(AS18/60,6),0)</f>
        <v>0</v>
      </c>
      <c r="BP18" s="80">
        <f>ROUND(BJ18-BO18,6)</f>
        <v>0</v>
      </c>
      <c r="BQ18" s="80">
        <f>IF(BE18=1,AW18,0)</f>
        <v>0</v>
      </c>
      <c r="BR18" s="80">
        <f>IF(BE18=1,AX18,0)</f>
        <v>0</v>
      </c>
      <c r="BS18" s="80">
        <f>IF(AND(BE18=1,D18="Malcolm",BA18&gt;0),MIN(BH18,SUMPRODUCT((R_Emp="proMX")*(R_EN&gt;0)*((R_EN-(R_EN&gt;BR18)*(R_EN-BR18))&gt;(R_SN+(R_SN&lt;BQ18)*(BQ18-R_SN)))*((R_EN-(R_EN&gt;BR18)*(R_EN-BR18))-(R_SN+(R_SN&lt;BQ18)*(BQ18-R_SN))))/60),0)</f>
        <v>0</v>
      </c>
      <c r="BT18" s="80">
        <f>IF(AND(BE18=1,D18="proMX"),ROUND(BI18*CFG_RATE+BJ18*CFG_OTRATE,6),0)</f>
        <v>0</v>
      </c>
      <c r="BU18" s="80">
        <f>IF(AND(BD18=1,D18="proMX"),ROUND(AG18/CFG_BLK,6),0)</f>
        <v>0</v>
      </c>
      <c r="BV18" s="80" t="str">
        <f>IF(BF18="Approved",IF(ISNUMBER(T18),INT(T18),INT(B18)),"")</f>
        <v/>
      </c>
      <c r="BW18" s="80">
        <f>IF(ISNUMBER(B18),IF(DB_MON="Todos",1,IF(AND(INT(B18)&gt;=DB_MS,INT(B18)&lt;=DB_ME),1,0)),0)</f>
        <v>0</v>
      </c>
      <c r="BX18" s="80">
        <f>IF(DB_PROJ="Todos",1,IF(E18&amp;""=DB_PROJ&amp;"",1,0))</f>
        <v>1</v>
      </c>
      <c r="BY18" s="80">
        <f>BW18*BX18</f>
        <v>0</v>
      </c>
      <c r="BZ18" s="80" t="str">
        <f>IF(Y18=1,F18&amp;IF(AND(F18&amp;""&lt;&gt;"",E18&amp;""&lt;&gt;"")," · ","")&amp;E18,"")</f>
        <v/>
      </c>
      <c r="CA18" s="80" t="str">
        <f>IF(AND(BD18=1,E18&amp;""&lt;&gt;""),IF(COUNTIFS($E$5:E17,E18,$BD$5:BD17,1)=0,MAX($CA$5:CA17)+1,""),"")</f>
        <v/>
      </c>
      <c r="CB18" s="80" t="str">
        <f>IF(AND(BE18=1,D18="Malcolm",E18&amp;""&lt;&gt;""),IF(COUNTIFS($D$5:D17,"Malcolm",$E$5:E17,E18,$BE$5:BE17,1)=0,MAX($CB$5:CB17)+1,""),"")</f>
        <v/>
      </c>
      <c r="CC18" s="80" t="str">
        <f>IF(AND(BD18=1,D18="proMX",E18&amp;""&lt;&gt;""),IF(COUNTIFS($D$5:D17,"proMX",$E$5:E17,E18,$BD$5:BD17,1)=0,MAX($CC$5:CC17)+1,""),"")</f>
        <v/>
      </c>
      <c r="CD18" s="80" t="str">
        <f>IF(AND(BE18=1,D18="Malcolm",F18&amp;""&lt;&gt;""),IF(COUNTIFS($D$5:D17,"Malcolm",$F$5:F17,F18,$BE$5:BE17,1)=0,MAX($CD$5:CD17)+1,""),"")</f>
        <v/>
      </c>
      <c r="CE18" s="80" t="str">
        <f>IF(AND(BD18=1,D18="proMX",F18&amp;""&lt;&gt;""),IF(COUNTIFS($D$5:D17,"proMX",$F$5:F17,F18,$BD$5:BD17,1)=0,MAX($CE$5:CE17)+1,""),"")</f>
        <v/>
      </c>
      <c r="CF18" s="80" t="str">
        <f>IF(AND(D18="proMX",BD18=1),IF(OR(BF18="Draft",BF18="Submitted",BF18="Returned",BF18="Recall Requested"),MAX($CF$5:CF17)+1,""),"")</f>
        <v/>
      </c>
      <c r="CG18" s="80">
        <f>IF(BD18=0,0,IF(D18="Malcolm",1,MATCH(BF18,{"Draft","Submitted","Approved","Returned","Recall Requested","Cancelled"},0)+1))</f>
        <v>0</v>
      </c>
      <c r="CH18" s="80">
        <f>IF(AND(BF18="Submitted",ISNUMBER(V18)),IF(V18&gt;CFG_MAXD,1,0),0)</f>
        <v>0</v>
      </c>
    </row>
    <row r="19">
      <c r="A19" s="71" t="str">
        <f>IF(Y19=1,ROW()-5,"")</f>
        <v/>
      </c>
      <c r="B19" s="72" t="n"/>
      <c r="C19" s="71" t="str">
        <f>IF(ISNUMBER(B19),CHOOSE(WEEKDAY(B19,2),"Lun","Mar","Mié","Jue","Vie","Sáb","Dom"),"")</f>
        <v/>
      </c>
      <c r="D19" s="73" t="n"/>
      <c r="E19" s="74" t="n"/>
      <c r="F19" s="74" t="n"/>
      <c r="G19" s="74" t="n"/>
      <c r="H19" s="75" t="n"/>
      <c r="I19" s="75" t="n"/>
      <c r="J19" s="76" t="n"/>
      <c r="K19" s="77" t="str">
        <f>IF(AB19=1,ROUND(AG19/60,4),"")</f>
        <v/>
      </c>
      <c r="L19" s="77" t="str">
        <f>IF(BD19=1,ROUND(AP19/60,4),"")</f>
        <v/>
      </c>
      <c r="M19" s="77" t="str">
        <f>IF(BD19=1,ROUND(AQ19/60,4),"")</f>
        <v/>
      </c>
      <c r="N19" s="71" t="str">
        <f>IF(AND(D19="proMX",AB19=1),ROUND(AG19/CFG_BLK,2),"")</f>
        <v/>
      </c>
      <c r="O19" s="77" t="str">
        <f>IF(D19="proMX",IF(BD19=1,ROUND(AG19/60,4),0),"")</f>
        <v/>
      </c>
      <c r="P19" s="78" t="str">
        <f>IF(Y19=0,"",IF(BD19=1,"OK",IF(D19="proMX","Revisar bloques: ","Revisar: ")&amp;BC19))</f>
        <v/>
      </c>
      <c r="Q19" s="78" t="str">
        <f>IF(NOT(ISNUMBER(B19)),"",IF(COUNTIFS(FER_F,INT(B19))&gt;0,"Feriado"&amp;IF(AH19=1," (laborable)"," (no laborable)"),IF(AH19=1,"Laborable",IF(WEEKDAY(B19,2)&gt;5,"Fin de semana","No laborable"))))</f>
        <v/>
      </c>
      <c r="R19" s="73" t="n"/>
      <c r="S19" s="72" t="n"/>
      <c r="T19" s="72" t="n"/>
      <c r="U19" s="74" t="n"/>
      <c r="V19" s="79" t="str">
        <f>IF(AND(D19="proMX",OR(R19="Submitted",R19="Recall Requested"),ISNUMBER(S19)),CFG_TODAY-INT(S19),"")</f>
        <v/>
      </c>
      <c r="W19" s="78" t="str">
        <f>IF(BD19=0,"",IF(BA19&gt;0,"⚠ Se superpone con un registro de la otra empresa",IF(D19="Malcolm",IF(COUNTA(R19,S19,T19)&gt;0,"Estado/fechas proMX se ignoran en Malcolm",""),IF(BF19="Cancelled","Cancelado: excluido de totales",IF(R19="","Sin estado: se trata como Draft",IF(BF19="Submitted",IF(ISNUMBER(V19),IF(V19&gt;CFG_MAXD,"⚠ "&amp;V19&amp;" días en Submitted (máx. "&amp;CFG_MAXD&amp;")",""),"Falta fecha de envío"),IF(BF19="Returned","⚠ Devuelto: corregir y reenviar",IF(BF19="Recall Requested","Retirada solicitada: pendiente",IF(AND(BF19="Approved",NOT(ISNUMBER(T19))),"Falta fecha de aprobación",IF(AND(ISNUMBER(S19),ISNUMBER(T19),T19&lt;S19),"Aprobación anterior al envío","")))))))))</f>
        <v/>
      </c>
      <c r="Y19" s="80">
        <f>IF(COUNTA(B19,D19,E19,F19,G19,H19,I19,J19,R19,S19,T19)&gt;0,1,0)</f>
        <v>0</v>
      </c>
      <c r="Z19" s="80" t="str">
        <f>IF(AND(ISNUMBER(H19),H19&gt;=0,H19&lt;1),ROUND(H19*1440,0),"")</f>
        <v/>
      </c>
      <c r="AA19" s="80" t="str">
        <f>IF(AND(ISNUMBER(I19),I19&gt;=0,I19&lt;1),ROUND(I19*1440,0),"")</f>
        <v/>
      </c>
      <c r="AB19" s="80">
        <f>IF(AND(ISNUMBER(B19),D19&lt;&gt;"",ISNUMBER(Z19),ISNUMBER(AA19)),IF(Z19=AA19,0,1),0)</f>
        <v>0</v>
      </c>
      <c r="AC19" s="80">
        <f>IF(AB19=1,IF(AA19&lt;Z19,1,0),0)</f>
        <v>0</v>
      </c>
      <c r="AD19" s="80">
        <f>IF(AB19=1,IF(AC19=1,1440-Z19+AA19,AA19-Z19),0)</f>
        <v>0</v>
      </c>
      <c r="AE19" s="80">
        <f>IF(J19="",0,IF(ISNUMBER(J19),J19,-1))</f>
        <v>0</v>
      </c>
      <c r="AF19" s="80">
        <f>MIN(MAX(0,AE19),AD19)</f>
        <v>0</v>
      </c>
      <c r="AG19" s="80">
        <f>MAX(0,AD19-MAX(0,AE19))</f>
        <v>0</v>
      </c>
      <c r="AH19" s="80">
        <f>IF(ISNUMBER(B19),IF(AND(INDEX(CFG_WDAYS,WEEKDAY(INT(B19),2))="Sí",IF(D19="proMX",COUNTIFS(FER_F,INT(B19),FER_NLP,"Sí"),COUNTIFS(FER_F,INT(B19),FER_NLM,"Sí"))=0),1,0),0)</f>
        <v>0</v>
      </c>
      <c r="AI19" s="80">
        <f>IF(AC19=1,IF(AND(INDEX(CFG_WDAYS,WEEKDAY(INT(B19)+1,2))="Sí",IF(D19="proMX",COUNTIFS(FER_F,INT(B19)+1,FER_NLP,"Sí"),COUNTIFS(FER_F,INT(B19)+1,FER_NLM,"Sí"))=0),1,0),0)</f>
        <v>0</v>
      </c>
      <c r="AJ19" s="80">
        <f>IF(AC19=1,1440-Z19,AD19)</f>
        <v>0</v>
      </c>
      <c r="AK19" s="80">
        <f>IF(AND(AB19=1,AH19=1),MAX(0,MIN(IF(AC19=1,1440,AA19),CFG_WEM)-MAX(Z19,CFG_WSM)),0)</f>
        <v>0</v>
      </c>
      <c r="AL19" s="80">
        <f>IF(AND(AC19=1,AI19=1),MAX(0,MIN(AA19,CFG_WEM)-CFG_WSM),0)</f>
        <v>0</v>
      </c>
      <c r="AM19" s="80">
        <f>AK19+AL19</f>
        <v>0</v>
      </c>
      <c r="AN19" s="80">
        <f>IF(CFG_BRK="Proporcional",IF(AD19=0,0,AF19*AM19/AD19),IF(CFG_BRK="Extras primero",MIN(AM19,MAX(0,AF19-(AD19-AM19))),MIN(AF19,AM19)))</f>
        <v>0</v>
      </c>
      <c r="AO19" s="80">
        <f>AF19-AN19</f>
        <v>0</v>
      </c>
      <c r="AP19" s="80">
        <f>AM19-AN19</f>
        <v>0</v>
      </c>
      <c r="AQ19" s="80">
        <f>AD19-AM19-AO19</f>
        <v>0</v>
      </c>
      <c r="AR19" s="80">
        <f>IF(AM19=0,0,AK19-AN19*AK19/AM19)</f>
        <v>0</v>
      </c>
      <c r="AS19" s="80">
        <f>IF(AD19-AM19=0,0,(AJ19-AK19)-AO19*(AJ19-AK19)/(AD19-AM19))</f>
        <v>0</v>
      </c>
      <c r="AT19" s="80" t="str">
        <f>IF(AC19=1,INT(B19)+1,"")</f>
        <v/>
      </c>
      <c r="AU19" s="80">
        <f>IF(AND(D19="proMX",R19="Cancelled"),0,1)</f>
        <v>1</v>
      </c>
      <c r="AV19" s="80">
        <f>IF(AND(AB19=1,AU19=1),IF(COUNTIFS($D$5:D18,D19,$B$5:B18,B19,$Z$5:Z18,Z19,$AA$5:AA18,AA19,$F$5:F18,F19&amp;"",$AU$5:AU18,1)&gt;0,1,0),0)</f>
        <v>0</v>
      </c>
      <c r="AW19" s="80" t="str">
        <f>IF(AB19=1,INT(B19)*1440+Z19,"")</f>
        <v/>
      </c>
      <c r="AX19" s="80" t="str">
        <f>IF(AB19=1,AW19+AD19,"")</f>
        <v/>
      </c>
      <c r="AY19" s="80">
        <f>IF(AND(AB19=1,AV19=0,AU19=1),1,0)</f>
        <v>0</v>
      </c>
      <c r="AZ19" s="80">
        <f>IF(AY19=1,COUNTIFS(R_Emp,D19,R_SAbs,"&lt;"&amp;AX19,R_EAbs,"&gt;"&amp;AW19,R_OKey,1)-1,0)</f>
        <v>0</v>
      </c>
      <c r="BA19" s="80">
        <f>IF(AY19=1,COUNTIFS(R_Emp,"&lt;&gt;"&amp;D19,R_SAbs,"&lt;"&amp;AX19,R_EAbs,"&gt;"&amp;AW19,R_OKey,1),0)</f>
        <v>0</v>
      </c>
      <c r="BB19" s="80">
        <f>IF(AND(AB19=1,D19="proMX"),IF(AND(MOD(Z19,CFG_BLK)=0,MOD(AA19,CFG_BLK)=0,MOD(AG19,CFG_BLK)=0,AG19&gt;0),1,0),1)</f>
        <v>1</v>
      </c>
      <c r="BC19" s="80" t="str">
        <f>IF(Y19=0,"",IF(NOT(ISNUMBER(B19)),"Falta fecha o fecha inválida",IF(D19="","Falta empresa",IF(AND(D19&lt;&gt;"Malcolm",D19&lt;&gt;"proMX"),"Empresa inválida",IF(OR(INT(B19)&lt;CFG_PSTART,INT(B19)&gt;CFG_PEND),"Fecha fuera del período",IF(OR(NOT(ISNUMBER(Z19)),NOT(ISNUMBER(AA19))),"Falta hora inicio/fin o formato inválido",IF(AB19=0,"Hora inicio = hora fin",IF(AE19&lt;0,"Descanso inválido",IF(AE19&gt;=AD19,"Descanso ≥ duración",IF(AV19=1,"Registro duplicado",IF(AZ19&gt;0,"Se superpone con otro registro "&amp;D19,IF(BB19=0,"inicio, fin y duración neta deben ser múltiplos de "&amp;CFG_BLK&amp;" min",""))))))))))))</f>
        <v/>
      </c>
      <c r="BD19" s="80">
        <f>IF(AND(Y19=1,BC19=""),1,0)</f>
        <v>0</v>
      </c>
      <c r="BE19" s="80">
        <f>IF(AND(BD19=1,AU19=1),1,0)</f>
        <v>0</v>
      </c>
      <c r="BF19" s="80" t="str">
        <f>IF(AND(D19="proMX",BD19=1),IF(R19="","Draft",R19),"")</f>
        <v/>
      </c>
      <c r="BG19" s="80">
        <f>IF(BD19=1,ROUND(AG19/60,6),0)</f>
        <v>0</v>
      </c>
      <c r="BH19" s="80">
        <f>IF(BE19=1,ROUND(AG19/60,6),0)</f>
        <v>0</v>
      </c>
      <c r="BI19" s="80">
        <f>IF(BE19=1,ROUND(AP19/60,6),0)</f>
        <v>0</v>
      </c>
      <c r="BJ19" s="80">
        <f>IF(BE19=1,ROUND(AQ19/60,6),0)</f>
        <v>0</v>
      </c>
      <c r="BK19" s="80">
        <f>IF(BE19=1,ROUND((AR19+AS19)/60,6),0)</f>
        <v>0</v>
      </c>
      <c r="BL19" s="80">
        <f>ROUND(BH19-BK19,6)</f>
        <v>0</v>
      </c>
      <c r="BM19" s="80">
        <f>IF(BE19=1,ROUND(AR19/60,6),0)</f>
        <v>0</v>
      </c>
      <c r="BN19" s="80">
        <f>ROUND(BI19-BM19,6)</f>
        <v>0</v>
      </c>
      <c r="BO19" s="80">
        <f>IF(BE19=1,ROUND(AS19/60,6),0)</f>
        <v>0</v>
      </c>
      <c r="BP19" s="80">
        <f>ROUND(BJ19-BO19,6)</f>
        <v>0</v>
      </c>
      <c r="BQ19" s="80">
        <f>IF(BE19=1,AW19,0)</f>
        <v>0</v>
      </c>
      <c r="BR19" s="80">
        <f>IF(BE19=1,AX19,0)</f>
        <v>0</v>
      </c>
      <c r="BS19" s="80">
        <f>IF(AND(BE19=1,D19="Malcolm",BA19&gt;0),MIN(BH19,SUMPRODUCT((R_Emp="proMX")*(R_EN&gt;0)*((R_EN-(R_EN&gt;BR19)*(R_EN-BR19))&gt;(R_SN+(R_SN&lt;BQ19)*(BQ19-R_SN)))*((R_EN-(R_EN&gt;BR19)*(R_EN-BR19))-(R_SN+(R_SN&lt;BQ19)*(BQ19-R_SN))))/60),0)</f>
        <v>0</v>
      </c>
      <c r="BT19" s="80">
        <f>IF(AND(BE19=1,D19="proMX"),ROUND(BI19*CFG_RATE+BJ19*CFG_OTRATE,6),0)</f>
        <v>0</v>
      </c>
      <c r="BU19" s="80">
        <f>IF(AND(BD19=1,D19="proMX"),ROUND(AG19/CFG_BLK,6),0)</f>
        <v>0</v>
      </c>
      <c r="BV19" s="80" t="str">
        <f>IF(BF19="Approved",IF(ISNUMBER(T19),INT(T19),INT(B19)),"")</f>
        <v/>
      </c>
      <c r="BW19" s="80">
        <f>IF(ISNUMBER(B19),IF(DB_MON="Todos",1,IF(AND(INT(B19)&gt;=DB_MS,INT(B19)&lt;=DB_ME),1,0)),0)</f>
        <v>0</v>
      </c>
      <c r="BX19" s="80">
        <f>IF(DB_PROJ="Todos",1,IF(E19&amp;""=DB_PROJ&amp;"",1,0))</f>
        <v>1</v>
      </c>
      <c r="BY19" s="80">
        <f>BW19*BX19</f>
        <v>0</v>
      </c>
      <c r="BZ19" s="80" t="str">
        <f>IF(Y19=1,F19&amp;IF(AND(F19&amp;""&lt;&gt;"",E19&amp;""&lt;&gt;"")," · ","")&amp;E19,"")</f>
        <v/>
      </c>
      <c r="CA19" s="80" t="str">
        <f>IF(AND(BD19=1,E19&amp;""&lt;&gt;""),IF(COUNTIFS($E$5:E18,E19,$BD$5:BD18,1)=0,MAX($CA$5:CA18)+1,""),"")</f>
        <v/>
      </c>
      <c r="CB19" s="80" t="str">
        <f>IF(AND(BE19=1,D19="Malcolm",E19&amp;""&lt;&gt;""),IF(COUNTIFS($D$5:D18,"Malcolm",$E$5:E18,E19,$BE$5:BE18,1)=0,MAX($CB$5:CB18)+1,""),"")</f>
        <v/>
      </c>
      <c r="CC19" s="80" t="str">
        <f>IF(AND(BD19=1,D19="proMX",E19&amp;""&lt;&gt;""),IF(COUNTIFS($D$5:D18,"proMX",$E$5:E18,E19,$BD$5:BD18,1)=0,MAX($CC$5:CC18)+1,""),"")</f>
        <v/>
      </c>
      <c r="CD19" s="80" t="str">
        <f>IF(AND(BE19=1,D19="Malcolm",F19&amp;""&lt;&gt;""),IF(COUNTIFS($D$5:D18,"Malcolm",$F$5:F18,F19,$BE$5:BE18,1)=0,MAX($CD$5:CD18)+1,""),"")</f>
        <v/>
      </c>
      <c r="CE19" s="80" t="str">
        <f>IF(AND(BD19=1,D19="proMX",F19&amp;""&lt;&gt;""),IF(COUNTIFS($D$5:D18,"proMX",$F$5:F18,F19,$BD$5:BD18,1)=0,MAX($CE$5:CE18)+1,""),"")</f>
        <v/>
      </c>
      <c r="CF19" s="80" t="str">
        <f>IF(AND(D19="proMX",BD19=1),IF(OR(BF19="Draft",BF19="Submitted",BF19="Returned",BF19="Recall Requested"),MAX($CF$5:CF18)+1,""),"")</f>
        <v/>
      </c>
      <c r="CG19" s="80">
        <f>IF(BD19=0,0,IF(D19="Malcolm",1,MATCH(BF19,{"Draft","Submitted","Approved","Returned","Recall Requested","Cancelled"},0)+1))</f>
        <v>0</v>
      </c>
      <c r="CH19" s="80">
        <f>IF(AND(BF19="Submitted",ISNUMBER(V19)),IF(V19&gt;CFG_MAXD,1,0),0)</f>
        <v>0</v>
      </c>
    </row>
    <row r="20">
      <c r="A20" s="71" t="str">
        <f>IF(Y20=1,ROW()-5,"")</f>
        <v/>
      </c>
      <c r="B20" s="72" t="n"/>
      <c r="C20" s="71" t="str">
        <f>IF(ISNUMBER(B20),CHOOSE(WEEKDAY(B20,2),"Lun","Mar","Mié","Jue","Vie","Sáb","Dom"),"")</f>
        <v/>
      </c>
      <c r="D20" s="73" t="n"/>
      <c r="E20" s="74" t="n"/>
      <c r="F20" s="74" t="n"/>
      <c r="G20" s="74" t="n"/>
      <c r="H20" s="75" t="n"/>
      <c r="I20" s="75" t="n"/>
      <c r="J20" s="76" t="n"/>
      <c r="K20" s="77" t="str">
        <f>IF(AB20=1,ROUND(AG20/60,4),"")</f>
        <v/>
      </c>
      <c r="L20" s="77" t="str">
        <f>IF(BD20=1,ROUND(AP20/60,4),"")</f>
        <v/>
      </c>
      <c r="M20" s="77" t="str">
        <f>IF(BD20=1,ROUND(AQ20/60,4),"")</f>
        <v/>
      </c>
      <c r="N20" s="71" t="str">
        <f>IF(AND(D20="proMX",AB20=1),ROUND(AG20/CFG_BLK,2),"")</f>
        <v/>
      </c>
      <c r="O20" s="77" t="str">
        <f>IF(D20="proMX",IF(BD20=1,ROUND(AG20/60,4),0),"")</f>
        <v/>
      </c>
      <c r="P20" s="78" t="str">
        <f>IF(Y20=0,"",IF(BD20=1,"OK",IF(D20="proMX","Revisar bloques: ","Revisar: ")&amp;BC20))</f>
        <v/>
      </c>
      <c r="Q20" s="78" t="str">
        <f>IF(NOT(ISNUMBER(B20)),"",IF(COUNTIFS(FER_F,INT(B20))&gt;0,"Feriado"&amp;IF(AH20=1," (laborable)"," (no laborable)"),IF(AH20=1,"Laborable",IF(WEEKDAY(B20,2)&gt;5,"Fin de semana","No laborable"))))</f>
        <v/>
      </c>
      <c r="R20" s="73" t="n"/>
      <c r="S20" s="72" t="n"/>
      <c r="T20" s="72" t="n"/>
      <c r="U20" s="74" t="n"/>
      <c r="V20" s="79" t="str">
        <f>IF(AND(D20="proMX",OR(R20="Submitted",R20="Recall Requested"),ISNUMBER(S20)),CFG_TODAY-INT(S20),"")</f>
        <v/>
      </c>
      <c r="W20" s="78" t="str">
        <f>IF(BD20=0,"",IF(BA20&gt;0,"⚠ Se superpone con un registro de la otra empresa",IF(D20="Malcolm",IF(COUNTA(R20,S20,T20)&gt;0,"Estado/fechas proMX se ignoran en Malcolm",""),IF(BF20="Cancelled","Cancelado: excluido de totales",IF(R20="","Sin estado: se trata como Draft",IF(BF20="Submitted",IF(ISNUMBER(V20),IF(V20&gt;CFG_MAXD,"⚠ "&amp;V20&amp;" días en Submitted (máx. "&amp;CFG_MAXD&amp;")",""),"Falta fecha de envío"),IF(BF20="Returned","⚠ Devuelto: corregir y reenviar",IF(BF20="Recall Requested","Retirada solicitada: pendiente",IF(AND(BF20="Approved",NOT(ISNUMBER(T20))),"Falta fecha de aprobación",IF(AND(ISNUMBER(S20),ISNUMBER(T20),T20&lt;S20),"Aprobación anterior al envío","")))))))))</f>
        <v/>
      </c>
      <c r="Y20" s="80">
        <f>IF(COUNTA(B20,D20,E20,F20,G20,H20,I20,J20,R20,S20,T20)&gt;0,1,0)</f>
        <v>0</v>
      </c>
      <c r="Z20" s="80" t="str">
        <f>IF(AND(ISNUMBER(H20),H20&gt;=0,H20&lt;1),ROUND(H20*1440,0),"")</f>
        <v/>
      </c>
      <c r="AA20" s="80" t="str">
        <f>IF(AND(ISNUMBER(I20),I20&gt;=0,I20&lt;1),ROUND(I20*1440,0),"")</f>
        <v/>
      </c>
      <c r="AB20" s="80">
        <f>IF(AND(ISNUMBER(B20),D20&lt;&gt;"",ISNUMBER(Z20),ISNUMBER(AA20)),IF(Z20=AA20,0,1),0)</f>
        <v>0</v>
      </c>
      <c r="AC20" s="80">
        <f>IF(AB20=1,IF(AA20&lt;Z20,1,0),0)</f>
        <v>0</v>
      </c>
      <c r="AD20" s="80">
        <f>IF(AB20=1,IF(AC20=1,1440-Z20+AA20,AA20-Z20),0)</f>
        <v>0</v>
      </c>
      <c r="AE20" s="80">
        <f>IF(J20="",0,IF(ISNUMBER(J20),J20,-1))</f>
        <v>0</v>
      </c>
      <c r="AF20" s="80">
        <f>MIN(MAX(0,AE20),AD20)</f>
        <v>0</v>
      </c>
      <c r="AG20" s="80">
        <f>MAX(0,AD20-MAX(0,AE20))</f>
        <v>0</v>
      </c>
      <c r="AH20" s="80">
        <f>IF(ISNUMBER(B20),IF(AND(INDEX(CFG_WDAYS,WEEKDAY(INT(B20),2))="Sí",IF(D20="proMX",COUNTIFS(FER_F,INT(B20),FER_NLP,"Sí"),COUNTIFS(FER_F,INT(B20),FER_NLM,"Sí"))=0),1,0),0)</f>
        <v>0</v>
      </c>
      <c r="AI20" s="80">
        <f>IF(AC20=1,IF(AND(INDEX(CFG_WDAYS,WEEKDAY(INT(B20)+1,2))="Sí",IF(D20="proMX",COUNTIFS(FER_F,INT(B20)+1,FER_NLP,"Sí"),COUNTIFS(FER_F,INT(B20)+1,FER_NLM,"Sí"))=0),1,0),0)</f>
        <v>0</v>
      </c>
      <c r="AJ20" s="80">
        <f>IF(AC20=1,1440-Z20,AD20)</f>
        <v>0</v>
      </c>
      <c r="AK20" s="80">
        <f>IF(AND(AB20=1,AH20=1),MAX(0,MIN(IF(AC20=1,1440,AA20),CFG_WEM)-MAX(Z20,CFG_WSM)),0)</f>
        <v>0</v>
      </c>
      <c r="AL20" s="80">
        <f>IF(AND(AC20=1,AI20=1),MAX(0,MIN(AA20,CFG_WEM)-CFG_WSM),0)</f>
        <v>0</v>
      </c>
      <c r="AM20" s="80">
        <f>AK20+AL20</f>
        <v>0</v>
      </c>
      <c r="AN20" s="80">
        <f>IF(CFG_BRK="Proporcional",IF(AD20=0,0,AF20*AM20/AD20),IF(CFG_BRK="Extras primero",MIN(AM20,MAX(0,AF20-(AD20-AM20))),MIN(AF20,AM20)))</f>
        <v>0</v>
      </c>
      <c r="AO20" s="80">
        <f>AF20-AN20</f>
        <v>0</v>
      </c>
      <c r="AP20" s="80">
        <f>AM20-AN20</f>
        <v>0</v>
      </c>
      <c r="AQ20" s="80">
        <f>AD20-AM20-AO20</f>
        <v>0</v>
      </c>
      <c r="AR20" s="80">
        <f>IF(AM20=0,0,AK20-AN20*AK20/AM20)</f>
        <v>0</v>
      </c>
      <c r="AS20" s="80">
        <f>IF(AD20-AM20=0,0,(AJ20-AK20)-AO20*(AJ20-AK20)/(AD20-AM20))</f>
        <v>0</v>
      </c>
      <c r="AT20" s="80" t="str">
        <f>IF(AC20=1,INT(B20)+1,"")</f>
        <v/>
      </c>
      <c r="AU20" s="80">
        <f>IF(AND(D20="proMX",R20="Cancelled"),0,1)</f>
        <v>1</v>
      </c>
      <c r="AV20" s="80">
        <f>IF(AND(AB20=1,AU20=1),IF(COUNTIFS($D$5:D19,D20,$B$5:B19,B20,$Z$5:Z19,Z20,$AA$5:AA19,AA20,$F$5:F19,F20&amp;"",$AU$5:AU19,1)&gt;0,1,0),0)</f>
        <v>0</v>
      </c>
      <c r="AW20" s="80" t="str">
        <f>IF(AB20=1,INT(B20)*1440+Z20,"")</f>
        <v/>
      </c>
      <c r="AX20" s="80" t="str">
        <f>IF(AB20=1,AW20+AD20,"")</f>
        <v/>
      </c>
      <c r="AY20" s="80">
        <f>IF(AND(AB20=1,AV20=0,AU20=1),1,0)</f>
        <v>0</v>
      </c>
      <c r="AZ20" s="80">
        <f>IF(AY20=1,COUNTIFS(R_Emp,D20,R_SAbs,"&lt;"&amp;AX20,R_EAbs,"&gt;"&amp;AW20,R_OKey,1)-1,0)</f>
        <v>0</v>
      </c>
      <c r="BA20" s="80">
        <f>IF(AY20=1,COUNTIFS(R_Emp,"&lt;&gt;"&amp;D20,R_SAbs,"&lt;"&amp;AX20,R_EAbs,"&gt;"&amp;AW20,R_OKey,1),0)</f>
        <v>0</v>
      </c>
      <c r="BB20" s="80">
        <f>IF(AND(AB20=1,D20="proMX"),IF(AND(MOD(Z20,CFG_BLK)=0,MOD(AA20,CFG_BLK)=0,MOD(AG20,CFG_BLK)=0,AG20&gt;0),1,0),1)</f>
        <v>1</v>
      </c>
      <c r="BC20" s="80" t="str">
        <f>IF(Y20=0,"",IF(NOT(ISNUMBER(B20)),"Falta fecha o fecha inválida",IF(D20="","Falta empresa",IF(AND(D20&lt;&gt;"Malcolm",D20&lt;&gt;"proMX"),"Empresa inválida",IF(OR(INT(B20)&lt;CFG_PSTART,INT(B20)&gt;CFG_PEND),"Fecha fuera del período",IF(OR(NOT(ISNUMBER(Z20)),NOT(ISNUMBER(AA20))),"Falta hora inicio/fin o formato inválido",IF(AB20=0,"Hora inicio = hora fin",IF(AE20&lt;0,"Descanso inválido",IF(AE20&gt;=AD20,"Descanso ≥ duración",IF(AV20=1,"Registro duplicado",IF(AZ20&gt;0,"Se superpone con otro registro "&amp;D20,IF(BB20=0,"inicio, fin y duración neta deben ser múltiplos de "&amp;CFG_BLK&amp;" min",""))))))))))))</f>
        <v/>
      </c>
      <c r="BD20" s="80">
        <f>IF(AND(Y20=1,BC20=""),1,0)</f>
        <v>0</v>
      </c>
      <c r="BE20" s="80">
        <f>IF(AND(BD20=1,AU20=1),1,0)</f>
        <v>0</v>
      </c>
      <c r="BF20" s="80" t="str">
        <f>IF(AND(D20="proMX",BD20=1),IF(R20="","Draft",R20),"")</f>
        <v/>
      </c>
      <c r="BG20" s="80">
        <f>IF(BD20=1,ROUND(AG20/60,6),0)</f>
        <v>0</v>
      </c>
      <c r="BH20" s="80">
        <f>IF(BE20=1,ROUND(AG20/60,6),0)</f>
        <v>0</v>
      </c>
      <c r="BI20" s="80">
        <f>IF(BE20=1,ROUND(AP20/60,6),0)</f>
        <v>0</v>
      </c>
      <c r="BJ20" s="80">
        <f>IF(BE20=1,ROUND(AQ20/60,6),0)</f>
        <v>0</v>
      </c>
      <c r="BK20" s="80">
        <f>IF(BE20=1,ROUND((AR20+AS20)/60,6),0)</f>
        <v>0</v>
      </c>
      <c r="BL20" s="80">
        <f>ROUND(BH20-BK20,6)</f>
        <v>0</v>
      </c>
      <c r="BM20" s="80">
        <f>IF(BE20=1,ROUND(AR20/60,6),0)</f>
        <v>0</v>
      </c>
      <c r="BN20" s="80">
        <f>ROUND(BI20-BM20,6)</f>
        <v>0</v>
      </c>
      <c r="BO20" s="80">
        <f>IF(BE20=1,ROUND(AS20/60,6),0)</f>
        <v>0</v>
      </c>
      <c r="BP20" s="80">
        <f>ROUND(BJ20-BO20,6)</f>
        <v>0</v>
      </c>
      <c r="BQ20" s="80">
        <f>IF(BE20=1,AW20,0)</f>
        <v>0</v>
      </c>
      <c r="BR20" s="80">
        <f>IF(BE20=1,AX20,0)</f>
        <v>0</v>
      </c>
      <c r="BS20" s="80">
        <f>IF(AND(BE20=1,D20="Malcolm",BA20&gt;0),MIN(BH20,SUMPRODUCT((R_Emp="proMX")*(R_EN&gt;0)*((R_EN-(R_EN&gt;BR20)*(R_EN-BR20))&gt;(R_SN+(R_SN&lt;BQ20)*(BQ20-R_SN)))*((R_EN-(R_EN&gt;BR20)*(R_EN-BR20))-(R_SN+(R_SN&lt;BQ20)*(BQ20-R_SN))))/60),0)</f>
        <v>0</v>
      </c>
      <c r="BT20" s="80">
        <f>IF(AND(BE20=1,D20="proMX"),ROUND(BI20*CFG_RATE+BJ20*CFG_OTRATE,6),0)</f>
        <v>0</v>
      </c>
      <c r="BU20" s="80">
        <f>IF(AND(BD20=1,D20="proMX"),ROUND(AG20/CFG_BLK,6),0)</f>
        <v>0</v>
      </c>
      <c r="BV20" s="80" t="str">
        <f>IF(BF20="Approved",IF(ISNUMBER(T20),INT(T20),INT(B20)),"")</f>
        <v/>
      </c>
      <c r="BW20" s="80">
        <f>IF(ISNUMBER(B20),IF(DB_MON="Todos",1,IF(AND(INT(B20)&gt;=DB_MS,INT(B20)&lt;=DB_ME),1,0)),0)</f>
        <v>0</v>
      </c>
      <c r="BX20" s="80">
        <f>IF(DB_PROJ="Todos",1,IF(E20&amp;""=DB_PROJ&amp;"",1,0))</f>
        <v>1</v>
      </c>
      <c r="BY20" s="80">
        <f>BW20*BX20</f>
        <v>0</v>
      </c>
      <c r="BZ20" s="80" t="str">
        <f>IF(Y20=1,F20&amp;IF(AND(F20&amp;""&lt;&gt;"",E20&amp;""&lt;&gt;"")," · ","")&amp;E20,"")</f>
        <v/>
      </c>
      <c r="CA20" s="80" t="str">
        <f>IF(AND(BD20=1,E20&amp;""&lt;&gt;""),IF(COUNTIFS($E$5:E19,E20,$BD$5:BD19,1)=0,MAX($CA$5:CA19)+1,""),"")</f>
        <v/>
      </c>
      <c r="CB20" s="80" t="str">
        <f>IF(AND(BE20=1,D20="Malcolm",E20&amp;""&lt;&gt;""),IF(COUNTIFS($D$5:D19,"Malcolm",$E$5:E19,E20,$BE$5:BE19,1)=0,MAX($CB$5:CB19)+1,""),"")</f>
        <v/>
      </c>
      <c r="CC20" s="80" t="str">
        <f>IF(AND(BD20=1,D20="proMX",E20&amp;""&lt;&gt;""),IF(COUNTIFS($D$5:D19,"proMX",$E$5:E19,E20,$BD$5:BD19,1)=0,MAX($CC$5:CC19)+1,""),"")</f>
        <v/>
      </c>
      <c r="CD20" s="80" t="str">
        <f>IF(AND(BE20=1,D20="Malcolm",F20&amp;""&lt;&gt;""),IF(COUNTIFS($D$5:D19,"Malcolm",$F$5:F19,F20,$BE$5:BE19,1)=0,MAX($CD$5:CD19)+1,""),"")</f>
        <v/>
      </c>
      <c r="CE20" s="80" t="str">
        <f>IF(AND(BD20=1,D20="proMX",F20&amp;""&lt;&gt;""),IF(COUNTIFS($D$5:D19,"proMX",$F$5:F19,F20,$BD$5:BD19,1)=0,MAX($CE$5:CE19)+1,""),"")</f>
        <v/>
      </c>
      <c r="CF20" s="80" t="str">
        <f>IF(AND(D20="proMX",BD20=1),IF(OR(BF20="Draft",BF20="Submitted",BF20="Returned",BF20="Recall Requested"),MAX($CF$5:CF19)+1,""),"")</f>
        <v/>
      </c>
      <c r="CG20" s="80">
        <f>IF(BD20=0,0,IF(D20="Malcolm",1,MATCH(BF20,{"Draft","Submitted","Approved","Returned","Recall Requested","Cancelled"},0)+1))</f>
        <v>0</v>
      </c>
      <c r="CH20" s="80">
        <f>IF(AND(BF20="Submitted",ISNUMBER(V20)),IF(V20&gt;CFG_MAXD,1,0),0)</f>
        <v>0</v>
      </c>
    </row>
    <row r="21">
      <c r="A21" s="71" t="str">
        <f>IF(Y21=1,ROW()-5,"")</f>
        <v/>
      </c>
      <c r="B21" s="72" t="n"/>
      <c r="C21" s="71" t="str">
        <f>IF(ISNUMBER(B21),CHOOSE(WEEKDAY(B21,2),"Lun","Mar","Mié","Jue","Vie","Sáb","Dom"),"")</f>
        <v/>
      </c>
      <c r="D21" s="73" t="n"/>
      <c r="E21" s="74" t="n"/>
      <c r="F21" s="74" t="n"/>
      <c r="G21" s="74" t="n"/>
      <c r="H21" s="75" t="n"/>
      <c r="I21" s="75" t="n"/>
      <c r="J21" s="76" t="n"/>
      <c r="K21" s="77" t="str">
        <f>IF(AB21=1,ROUND(AG21/60,4),"")</f>
        <v/>
      </c>
      <c r="L21" s="77" t="str">
        <f>IF(BD21=1,ROUND(AP21/60,4),"")</f>
        <v/>
      </c>
      <c r="M21" s="77" t="str">
        <f>IF(BD21=1,ROUND(AQ21/60,4),"")</f>
        <v/>
      </c>
      <c r="N21" s="71" t="str">
        <f>IF(AND(D21="proMX",AB21=1),ROUND(AG21/CFG_BLK,2),"")</f>
        <v/>
      </c>
      <c r="O21" s="77" t="str">
        <f>IF(D21="proMX",IF(BD21=1,ROUND(AG21/60,4),0),"")</f>
        <v/>
      </c>
      <c r="P21" s="78" t="str">
        <f>IF(Y21=0,"",IF(BD21=1,"OK",IF(D21="proMX","Revisar bloques: ","Revisar: ")&amp;BC21))</f>
        <v/>
      </c>
      <c r="Q21" s="78" t="str">
        <f>IF(NOT(ISNUMBER(B21)),"",IF(COUNTIFS(FER_F,INT(B21))&gt;0,"Feriado"&amp;IF(AH21=1," (laborable)"," (no laborable)"),IF(AH21=1,"Laborable",IF(WEEKDAY(B21,2)&gt;5,"Fin de semana","No laborable"))))</f>
        <v/>
      </c>
      <c r="R21" s="73" t="n"/>
      <c r="S21" s="72" t="n"/>
      <c r="T21" s="72" t="n"/>
      <c r="U21" s="74" t="n"/>
      <c r="V21" s="79" t="str">
        <f>IF(AND(D21="proMX",OR(R21="Submitted",R21="Recall Requested"),ISNUMBER(S21)),CFG_TODAY-INT(S21),"")</f>
        <v/>
      </c>
      <c r="W21" s="78" t="str">
        <f>IF(BD21=0,"",IF(BA21&gt;0,"⚠ Se superpone con un registro de la otra empresa",IF(D21="Malcolm",IF(COUNTA(R21,S21,T21)&gt;0,"Estado/fechas proMX se ignoran en Malcolm",""),IF(BF21="Cancelled","Cancelado: excluido de totales",IF(R21="","Sin estado: se trata como Draft",IF(BF21="Submitted",IF(ISNUMBER(V21),IF(V21&gt;CFG_MAXD,"⚠ "&amp;V21&amp;" días en Submitted (máx. "&amp;CFG_MAXD&amp;")",""),"Falta fecha de envío"),IF(BF21="Returned","⚠ Devuelto: corregir y reenviar",IF(BF21="Recall Requested","Retirada solicitada: pendiente",IF(AND(BF21="Approved",NOT(ISNUMBER(T21))),"Falta fecha de aprobación",IF(AND(ISNUMBER(S21),ISNUMBER(T21),T21&lt;S21),"Aprobación anterior al envío","")))))))))</f>
        <v/>
      </c>
      <c r="Y21" s="80">
        <f>IF(COUNTA(B21,D21,E21,F21,G21,H21,I21,J21,R21,S21,T21)&gt;0,1,0)</f>
        <v>0</v>
      </c>
      <c r="Z21" s="80" t="str">
        <f>IF(AND(ISNUMBER(H21),H21&gt;=0,H21&lt;1),ROUND(H21*1440,0),"")</f>
        <v/>
      </c>
      <c r="AA21" s="80" t="str">
        <f>IF(AND(ISNUMBER(I21),I21&gt;=0,I21&lt;1),ROUND(I21*1440,0),"")</f>
        <v/>
      </c>
      <c r="AB21" s="80">
        <f>IF(AND(ISNUMBER(B21),D21&lt;&gt;"",ISNUMBER(Z21),ISNUMBER(AA21)),IF(Z21=AA21,0,1),0)</f>
        <v>0</v>
      </c>
      <c r="AC21" s="80">
        <f>IF(AB21=1,IF(AA21&lt;Z21,1,0),0)</f>
        <v>0</v>
      </c>
      <c r="AD21" s="80">
        <f>IF(AB21=1,IF(AC21=1,1440-Z21+AA21,AA21-Z21),0)</f>
        <v>0</v>
      </c>
      <c r="AE21" s="80">
        <f>IF(J21="",0,IF(ISNUMBER(J21),J21,-1))</f>
        <v>0</v>
      </c>
      <c r="AF21" s="80">
        <f>MIN(MAX(0,AE21),AD21)</f>
        <v>0</v>
      </c>
      <c r="AG21" s="80">
        <f>MAX(0,AD21-MAX(0,AE21))</f>
        <v>0</v>
      </c>
      <c r="AH21" s="80">
        <f>IF(ISNUMBER(B21),IF(AND(INDEX(CFG_WDAYS,WEEKDAY(INT(B21),2))="Sí",IF(D21="proMX",COUNTIFS(FER_F,INT(B21),FER_NLP,"Sí"),COUNTIFS(FER_F,INT(B21),FER_NLM,"Sí"))=0),1,0),0)</f>
        <v>0</v>
      </c>
      <c r="AI21" s="80">
        <f>IF(AC21=1,IF(AND(INDEX(CFG_WDAYS,WEEKDAY(INT(B21)+1,2))="Sí",IF(D21="proMX",COUNTIFS(FER_F,INT(B21)+1,FER_NLP,"Sí"),COUNTIFS(FER_F,INT(B21)+1,FER_NLM,"Sí"))=0),1,0),0)</f>
        <v>0</v>
      </c>
      <c r="AJ21" s="80">
        <f>IF(AC21=1,1440-Z21,AD21)</f>
        <v>0</v>
      </c>
      <c r="AK21" s="80">
        <f>IF(AND(AB21=1,AH21=1),MAX(0,MIN(IF(AC21=1,1440,AA21),CFG_WEM)-MAX(Z21,CFG_WSM)),0)</f>
        <v>0</v>
      </c>
      <c r="AL21" s="80">
        <f>IF(AND(AC21=1,AI21=1),MAX(0,MIN(AA21,CFG_WEM)-CFG_WSM),0)</f>
        <v>0</v>
      </c>
      <c r="AM21" s="80">
        <f>AK21+AL21</f>
        <v>0</v>
      </c>
      <c r="AN21" s="80">
        <f>IF(CFG_BRK="Proporcional",IF(AD21=0,0,AF21*AM21/AD21),IF(CFG_BRK="Extras primero",MIN(AM21,MAX(0,AF21-(AD21-AM21))),MIN(AF21,AM21)))</f>
        <v>0</v>
      </c>
      <c r="AO21" s="80">
        <f>AF21-AN21</f>
        <v>0</v>
      </c>
      <c r="AP21" s="80">
        <f>AM21-AN21</f>
        <v>0</v>
      </c>
      <c r="AQ21" s="80">
        <f>AD21-AM21-AO21</f>
        <v>0</v>
      </c>
      <c r="AR21" s="80">
        <f>IF(AM21=0,0,AK21-AN21*AK21/AM21)</f>
        <v>0</v>
      </c>
      <c r="AS21" s="80">
        <f>IF(AD21-AM21=0,0,(AJ21-AK21)-AO21*(AJ21-AK21)/(AD21-AM21))</f>
        <v>0</v>
      </c>
      <c r="AT21" s="80" t="str">
        <f>IF(AC21=1,INT(B21)+1,"")</f>
        <v/>
      </c>
      <c r="AU21" s="80">
        <f>IF(AND(D21="proMX",R21="Cancelled"),0,1)</f>
        <v>1</v>
      </c>
      <c r="AV21" s="80">
        <f>IF(AND(AB21=1,AU21=1),IF(COUNTIFS($D$5:D20,D21,$B$5:B20,B21,$Z$5:Z20,Z21,$AA$5:AA20,AA21,$F$5:F20,F21&amp;"",$AU$5:AU20,1)&gt;0,1,0),0)</f>
        <v>0</v>
      </c>
      <c r="AW21" s="80" t="str">
        <f>IF(AB21=1,INT(B21)*1440+Z21,"")</f>
        <v/>
      </c>
      <c r="AX21" s="80" t="str">
        <f>IF(AB21=1,AW21+AD21,"")</f>
        <v/>
      </c>
      <c r="AY21" s="80">
        <f>IF(AND(AB21=1,AV21=0,AU21=1),1,0)</f>
        <v>0</v>
      </c>
      <c r="AZ21" s="80">
        <f>IF(AY21=1,COUNTIFS(R_Emp,D21,R_SAbs,"&lt;"&amp;AX21,R_EAbs,"&gt;"&amp;AW21,R_OKey,1)-1,0)</f>
        <v>0</v>
      </c>
      <c r="BA21" s="80">
        <f>IF(AY21=1,COUNTIFS(R_Emp,"&lt;&gt;"&amp;D21,R_SAbs,"&lt;"&amp;AX21,R_EAbs,"&gt;"&amp;AW21,R_OKey,1),0)</f>
        <v>0</v>
      </c>
      <c r="BB21" s="80">
        <f>IF(AND(AB21=1,D21="proMX"),IF(AND(MOD(Z21,CFG_BLK)=0,MOD(AA21,CFG_BLK)=0,MOD(AG21,CFG_BLK)=0,AG21&gt;0),1,0),1)</f>
        <v>1</v>
      </c>
      <c r="BC21" s="80" t="str">
        <f>IF(Y21=0,"",IF(NOT(ISNUMBER(B21)),"Falta fecha o fecha inválida",IF(D21="","Falta empresa",IF(AND(D21&lt;&gt;"Malcolm",D21&lt;&gt;"proMX"),"Empresa inválida",IF(OR(INT(B21)&lt;CFG_PSTART,INT(B21)&gt;CFG_PEND),"Fecha fuera del período",IF(OR(NOT(ISNUMBER(Z21)),NOT(ISNUMBER(AA21))),"Falta hora inicio/fin o formato inválido",IF(AB21=0,"Hora inicio = hora fin",IF(AE21&lt;0,"Descanso inválido",IF(AE21&gt;=AD21,"Descanso ≥ duración",IF(AV21=1,"Registro duplicado",IF(AZ21&gt;0,"Se superpone con otro registro "&amp;D21,IF(BB21=0,"inicio, fin y duración neta deben ser múltiplos de "&amp;CFG_BLK&amp;" min",""))))))))))))</f>
        <v/>
      </c>
      <c r="BD21" s="80">
        <f>IF(AND(Y21=1,BC21=""),1,0)</f>
        <v>0</v>
      </c>
      <c r="BE21" s="80">
        <f>IF(AND(BD21=1,AU21=1),1,0)</f>
        <v>0</v>
      </c>
      <c r="BF21" s="80" t="str">
        <f>IF(AND(D21="proMX",BD21=1),IF(R21="","Draft",R21),"")</f>
        <v/>
      </c>
      <c r="BG21" s="80">
        <f>IF(BD21=1,ROUND(AG21/60,6),0)</f>
        <v>0</v>
      </c>
      <c r="BH21" s="80">
        <f>IF(BE21=1,ROUND(AG21/60,6),0)</f>
        <v>0</v>
      </c>
      <c r="BI21" s="80">
        <f>IF(BE21=1,ROUND(AP21/60,6),0)</f>
        <v>0</v>
      </c>
      <c r="BJ21" s="80">
        <f>IF(BE21=1,ROUND(AQ21/60,6),0)</f>
        <v>0</v>
      </c>
      <c r="BK21" s="80">
        <f>IF(BE21=1,ROUND((AR21+AS21)/60,6),0)</f>
        <v>0</v>
      </c>
      <c r="BL21" s="80">
        <f>ROUND(BH21-BK21,6)</f>
        <v>0</v>
      </c>
      <c r="BM21" s="80">
        <f>IF(BE21=1,ROUND(AR21/60,6),0)</f>
        <v>0</v>
      </c>
      <c r="BN21" s="80">
        <f>ROUND(BI21-BM21,6)</f>
        <v>0</v>
      </c>
      <c r="BO21" s="80">
        <f>IF(BE21=1,ROUND(AS21/60,6),0)</f>
        <v>0</v>
      </c>
      <c r="BP21" s="80">
        <f>ROUND(BJ21-BO21,6)</f>
        <v>0</v>
      </c>
      <c r="BQ21" s="80">
        <f>IF(BE21=1,AW21,0)</f>
        <v>0</v>
      </c>
      <c r="BR21" s="80">
        <f>IF(BE21=1,AX21,0)</f>
        <v>0</v>
      </c>
      <c r="BS21" s="80">
        <f>IF(AND(BE21=1,D21="Malcolm",BA21&gt;0),MIN(BH21,SUMPRODUCT((R_Emp="proMX")*(R_EN&gt;0)*((R_EN-(R_EN&gt;BR21)*(R_EN-BR21))&gt;(R_SN+(R_SN&lt;BQ21)*(BQ21-R_SN)))*((R_EN-(R_EN&gt;BR21)*(R_EN-BR21))-(R_SN+(R_SN&lt;BQ21)*(BQ21-R_SN))))/60),0)</f>
        <v>0</v>
      </c>
      <c r="BT21" s="80">
        <f>IF(AND(BE21=1,D21="proMX"),ROUND(BI21*CFG_RATE+BJ21*CFG_OTRATE,6),0)</f>
        <v>0</v>
      </c>
      <c r="BU21" s="80">
        <f>IF(AND(BD21=1,D21="proMX"),ROUND(AG21/CFG_BLK,6),0)</f>
        <v>0</v>
      </c>
      <c r="BV21" s="80" t="str">
        <f>IF(BF21="Approved",IF(ISNUMBER(T21),INT(T21),INT(B21)),"")</f>
        <v/>
      </c>
      <c r="BW21" s="80">
        <f>IF(ISNUMBER(B21),IF(DB_MON="Todos",1,IF(AND(INT(B21)&gt;=DB_MS,INT(B21)&lt;=DB_ME),1,0)),0)</f>
        <v>0</v>
      </c>
      <c r="BX21" s="80">
        <f>IF(DB_PROJ="Todos",1,IF(E21&amp;""=DB_PROJ&amp;"",1,0))</f>
        <v>1</v>
      </c>
      <c r="BY21" s="80">
        <f>BW21*BX21</f>
        <v>0</v>
      </c>
      <c r="BZ21" s="80" t="str">
        <f>IF(Y21=1,F21&amp;IF(AND(F21&amp;""&lt;&gt;"",E21&amp;""&lt;&gt;"")," · ","")&amp;E21,"")</f>
        <v/>
      </c>
      <c r="CA21" s="80" t="str">
        <f>IF(AND(BD21=1,E21&amp;""&lt;&gt;""),IF(COUNTIFS($E$5:E20,E21,$BD$5:BD20,1)=0,MAX($CA$5:CA20)+1,""),"")</f>
        <v/>
      </c>
      <c r="CB21" s="80" t="str">
        <f>IF(AND(BE21=1,D21="Malcolm",E21&amp;""&lt;&gt;""),IF(COUNTIFS($D$5:D20,"Malcolm",$E$5:E20,E21,$BE$5:BE20,1)=0,MAX($CB$5:CB20)+1,""),"")</f>
        <v/>
      </c>
      <c r="CC21" s="80" t="str">
        <f>IF(AND(BD21=1,D21="proMX",E21&amp;""&lt;&gt;""),IF(COUNTIFS($D$5:D20,"proMX",$E$5:E20,E21,$BD$5:BD20,1)=0,MAX($CC$5:CC20)+1,""),"")</f>
        <v/>
      </c>
      <c r="CD21" s="80" t="str">
        <f>IF(AND(BE21=1,D21="Malcolm",F21&amp;""&lt;&gt;""),IF(COUNTIFS($D$5:D20,"Malcolm",$F$5:F20,F21,$BE$5:BE20,1)=0,MAX($CD$5:CD20)+1,""),"")</f>
        <v/>
      </c>
      <c r="CE21" s="80" t="str">
        <f>IF(AND(BD21=1,D21="proMX",F21&amp;""&lt;&gt;""),IF(COUNTIFS($D$5:D20,"proMX",$F$5:F20,F21,$BD$5:BD20,1)=0,MAX($CE$5:CE20)+1,""),"")</f>
        <v/>
      </c>
      <c r="CF21" s="80" t="str">
        <f>IF(AND(D21="proMX",BD21=1),IF(OR(BF21="Draft",BF21="Submitted",BF21="Returned",BF21="Recall Requested"),MAX($CF$5:CF20)+1,""),"")</f>
        <v/>
      </c>
      <c r="CG21" s="80">
        <f>IF(BD21=0,0,IF(D21="Malcolm",1,MATCH(BF21,{"Draft","Submitted","Approved","Returned","Recall Requested","Cancelled"},0)+1))</f>
        <v>0</v>
      </c>
      <c r="CH21" s="80">
        <f>IF(AND(BF21="Submitted",ISNUMBER(V21)),IF(V21&gt;CFG_MAXD,1,0),0)</f>
        <v>0</v>
      </c>
    </row>
    <row r="22">
      <c r="A22" s="71" t="str">
        <f>IF(Y22=1,ROW()-5,"")</f>
        <v/>
      </c>
      <c r="B22" s="72" t="n"/>
      <c r="C22" s="71" t="str">
        <f>IF(ISNUMBER(B22),CHOOSE(WEEKDAY(B22,2),"Lun","Mar","Mié","Jue","Vie","Sáb","Dom"),"")</f>
        <v/>
      </c>
      <c r="D22" s="73" t="n"/>
      <c r="E22" s="74" t="n"/>
      <c r="F22" s="74" t="n"/>
      <c r="G22" s="74" t="n"/>
      <c r="H22" s="75" t="n"/>
      <c r="I22" s="75" t="n"/>
      <c r="J22" s="76" t="n"/>
      <c r="K22" s="77" t="str">
        <f>IF(AB22=1,ROUND(AG22/60,4),"")</f>
        <v/>
      </c>
      <c r="L22" s="77" t="str">
        <f>IF(BD22=1,ROUND(AP22/60,4),"")</f>
        <v/>
      </c>
      <c r="M22" s="77" t="str">
        <f>IF(BD22=1,ROUND(AQ22/60,4),"")</f>
        <v/>
      </c>
      <c r="N22" s="71" t="str">
        <f>IF(AND(D22="proMX",AB22=1),ROUND(AG22/CFG_BLK,2),"")</f>
        <v/>
      </c>
      <c r="O22" s="77" t="str">
        <f>IF(D22="proMX",IF(BD22=1,ROUND(AG22/60,4),0),"")</f>
        <v/>
      </c>
      <c r="P22" s="78" t="str">
        <f>IF(Y22=0,"",IF(BD22=1,"OK",IF(D22="proMX","Revisar bloques: ","Revisar: ")&amp;BC22))</f>
        <v/>
      </c>
      <c r="Q22" s="78" t="str">
        <f>IF(NOT(ISNUMBER(B22)),"",IF(COUNTIFS(FER_F,INT(B22))&gt;0,"Feriado"&amp;IF(AH22=1," (laborable)"," (no laborable)"),IF(AH22=1,"Laborable",IF(WEEKDAY(B22,2)&gt;5,"Fin de semana","No laborable"))))</f>
        <v/>
      </c>
      <c r="R22" s="73" t="n"/>
      <c r="S22" s="72" t="n"/>
      <c r="T22" s="72" t="n"/>
      <c r="U22" s="74" t="n"/>
      <c r="V22" s="79" t="str">
        <f>IF(AND(D22="proMX",OR(R22="Submitted",R22="Recall Requested"),ISNUMBER(S22)),CFG_TODAY-INT(S22),"")</f>
        <v/>
      </c>
      <c r="W22" s="78" t="str">
        <f>IF(BD22=0,"",IF(BA22&gt;0,"⚠ Se superpone con un registro de la otra empresa",IF(D22="Malcolm",IF(COUNTA(R22,S22,T22)&gt;0,"Estado/fechas proMX se ignoran en Malcolm",""),IF(BF22="Cancelled","Cancelado: excluido de totales",IF(R22="","Sin estado: se trata como Draft",IF(BF22="Submitted",IF(ISNUMBER(V22),IF(V22&gt;CFG_MAXD,"⚠ "&amp;V22&amp;" días en Submitted (máx. "&amp;CFG_MAXD&amp;")",""),"Falta fecha de envío"),IF(BF22="Returned","⚠ Devuelto: corregir y reenviar",IF(BF22="Recall Requested","Retirada solicitada: pendiente",IF(AND(BF22="Approved",NOT(ISNUMBER(T22))),"Falta fecha de aprobación",IF(AND(ISNUMBER(S22),ISNUMBER(T22),T22&lt;S22),"Aprobación anterior al envío","")))))))))</f>
        <v/>
      </c>
      <c r="Y22" s="80">
        <f>IF(COUNTA(B22,D22,E22,F22,G22,H22,I22,J22,R22,S22,T22)&gt;0,1,0)</f>
        <v>0</v>
      </c>
      <c r="Z22" s="80" t="str">
        <f>IF(AND(ISNUMBER(H22),H22&gt;=0,H22&lt;1),ROUND(H22*1440,0),"")</f>
        <v/>
      </c>
      <c r="AA22" s="80" t="str">
        <f>IF(AND(ISNUMBER(I22),I22&gt;=0,I22&lt;1),ROUND(I22*1440,0),"")</f>
        <v/>
      </c>
      <c r="AB22" s="80">
        <f>IF(AND(ISNUMBER(B22),D22&lt;&gt;"",ISNUMBER(Z22),ISNUMBER(AA22)),IF(Z22=AA22,0,1),0)</f>
        <v>0</v>
      </c>
      <c r="AC22" s="80">
        <f>IF(AB22=1,IF(AA22&lt;Z22,1,0),0)</f>
        <v>0</v>
      </c>
      <c r="AD22" s="80">
        <f>IF(AB22=1,IF(AC22=1,1440-Z22+AA22,AA22-Z22),0)</f>
        <v>0</v>
      </c>
      <c r="AE22" s="80">
        <f>IF(J22="",0,IF(ISNUMBER(J22),J22,-1))</f>
        <v>0</v>
      </c>
      <c r="AF22" s="80">
        <f>MIN(MAX(0,AE22),AD22)</f>
        <v>0</v>
      </c>
      <c r="AG22" s="80">
        <f>MAX(0,AD22-MAX(0,AE22))</f>
        <v>0</v>
      </c>
      <c r="AH22" s="80">
        <f>IF(ISNUMBER(B22),IF(AND(INDEX(CFG_WDAYS,WEEKDAY(INT(B22),2))="Sí",IF(D22="proMX",COUNTIFS(FER_F,INT(B22),FER_NLP,"Sí"),COUNTIFS(FER_F,INT(B22),FER_NLM,"Sí"))=0),1,0),0)</f>
        <v>0</v>
      </c>
      <c r="AI22" s="80">
        <f>IF(AC22=1,IF(AND(INDEX(CFG_WDAYS,WEEKDAY(INT(B22)+1,2))="Sí",IF(D22="proMX",COUNTIFS(FER_F,INT(B22)+1,FER_NLP,"Sí"),COUNTIFS(FER_F,INT(B22)+1,FER_NLM,"Sí"))=0),1,0),0)</f>
        <v>0</v>
      </c>
      <c r="AJ22" s="80">
        <f>IF(AC22=1,1440-Z22,AD22)</f>
        <v>0</v>
      </c>
      <c r="AK22" s="80">
        <f>IF(AND(AB22=1,AH22=1),MAX(0,MIN(IF(AC22=1,1440,AA22),CFG_WEM)-MAX(Z22,CFG_WSM)),0)</f>
        <v>0</v>
      </c>
      <c r="AL22" s="80">
        <f>IF(AND(AC22=1,AI22=1),MAX(0,MIN(AA22,CFG_WEM)-CFG_WSM),0)</f>
        <v>0</v>
      </c>
      <c r="AM22" s="80">
        <f>AK22+AL22</f>
        <v>0</v>
      </c>
      <c r="AN22" s="80">
        <f>IF(CFG_BRK="Proporcional",IF(AD22=0,0,AF22*AM22/AD22),IF(CFG_BRK="Extras primero",MIN(AM22,MAX(0,AF22-(AD22-AM22))),MIN(AF22,AM22)))</f>
        <v>0</v>
      </c>
      <c r="AO22" s="80">
        <f>AF22-AN22</f>
        <v>0</v>
      </c>
      <c r="AP22" s="80">
        <f>AM22-AN22</f>
        <v>0</v>
      </c>
      <c r="AQ22" s="80">
        <f>AD22-AM22-AO22</f>
        <v>0</v>
      </c>
      <c r="AR22" s="80">
        <f>IF(AM22=0,0,AK22-AN22*AK22/AM22)</f>
        <v>0</v>
      </c>
      <c r="AS22" s="80">
        <f>IF(AD22-AM22=0,0,(AJ22-AK22)-AO22*(AJ22-AK22)/(AD22-AM22))</f>
        <v>0</v>
      </c>
      <c r="AT22" s="80" t="str">
        <f>IF(AC22=1,INT(B22)+1,"")</f>
        <v/>
      </c>
      <c r="AU22" s="80">
        <f>IF(AND(D22="proMX",R22="Cancelled"),0,1)</f>
        <v>1</v>
      </c>
      <c r="AV22" s="80">
        <f>IF(AND(AB22=1,AU22=1),IF(COUNTIFS($D$5:D21,D22,$B$5:B21,B22,$Z$5:Z21,Z22,$AA$5:AA21,AA22,$F$5:F21,F22&amp;"",$AU$5:AU21,1)&gt;0,1,0),0)</f>
        <v>0</v>
      </c>
      <c r="AW22" s="80" t="str">
        <f>IF(AB22=1,INT(B22)*1440+Z22,"")</f>
        <v/>
      </c>
      <c r="AX22" s="80" t="str">
        <f>IF(AB22=1,AW22+AD22,"")</f>
        <v/>
      </c>
      <c r="AY22" s="80">
        <f>IF(AND(AB22=1,AV22=0,AU22=1),1,0)</f>
        <v>0</v>
      </c>
      <c r="AZ22" s="80">
        <f>IF(AY22=1,COUNTIFS(R_Emp,D22,R_SAbs,"&lt;"&amp;AX22,R_EAbs,"&gt;"&amp;AW22,R_OKey,1)-1,0)</f>
        <v>0</v>
      </c>
      <c r="BA22" s="80">
        <f>IF(AY22=1,COUNTIFS(R_Emp,"&lt;&gt;"&amp;D22,R_SAbs,"&lt;"&amp;AX22,R_EAbs,"&gt;"&amp;AW22,R_OKey,1),0)</f>
        <v>0</v>
      </c>
      <c r="BB22" s="80">
        <f>IF(AND(AB22=1,D22="proMX"),IF(AND(MOD(Z22,CFG_BLK)=0,MOD(AA22,CFG_BLK)=0,MOD(AG22,CFG_BLK)=0,AG22&gt;0),1,0),1)</f>
        <v>1</v>
      </c>
      <c r="BC22" s="80" t="str">
        <f>IF(Y22=0,"",IF(NOT(ISNUMBER(B22)),"Falta fecha o fecha inválida",IF(D22="","Falta empresa",IF(AND(D22&lt;&gt;"Malcolm",D22&lt;&gt;"proMX"),"Empresa inválida",IF(OR(INT(B22)&lt;CFG_PSTART,INT(B22)&gt;CFG_PEND),"Fecha fuera del período",IF(OR(NOT(ISNUMBER(Z22)),NOT(ISNUMBER(AA22))),"Falta hora inicio/fin o formato inválido",IF(AB22=0,"Hora inicio = hora fin",IF(AE22&lt;0,"Descanso inválido",IF(AE22&gt;=AD22,"Descanso ≥ duración",IF(AV22=1,"Registro duplicado",IF(AZ22&gt;0,"Se superpone con otro registro "&amp;D22,IF(BB22=0,"inicio, fin y duración neta deben ser múltiplos de "&amp;CFG_BLK&amp;" min",""))))))))))))</f>
        <v/>
      </c>
      <c r="BD22" s="80">
        <f>IF(AND(Y22=1,BC22=""),1,0)</f>
        <v>0</v>
      </c>
      <c r="BE22" s="80">
        <f>IF(AND(BD22=1,AU22=1),1,0)</f>
        <v>0</v>
      </c>
      <c r="BF22" s="80" t="str">
        <f>IF(AND(D22="proMX",BD22=1),IF(R22="","Draft",R22),"")</f>
        <v/>
      </c>
      <c r="BG22" s="80">
        <f>IF(BD22=1,ROUND(AG22/60,6),0)</f>
        <v>0</v>
      </c>
      <c r="BH22" s="80">
        <f>IF(BE22=1,ROUND(AG22/60,6),0)</f>
        <v>0</v>
      </c>
      <c r="BI22" s="80">
        <f>IF(BE22=1,ROUND(AP22/60,6),0)</f>
        <v>0</v>
      </c>
      <c r="BJ22" s="80">
        <f>IF(BE22=1,ROUND(AQ22/60,6),0)</f>
        <v>0</v>
      </c>
      <c r="BK22" s="80">
        <f>IF(BE22=1,ROUND((AR22+AS22)/60,6),0)</f>
        <v>0</v>
      </c>
      <c r="BL22" s="80">
        <f>ROUND(BH22-BK22,6)</f>
        <v>0</v>
      </c>
      <c r="BM22" s="80">
        <f>IF(BE22=1,ROUND(AR22/60,6),0)</f>
        <v>0</v>
      </c>
      <c r="BN22" s="80">
        <f>ROUND(BI22-BM22,6)</f>
        <v>0</v>
      </c>
      <c r="BO22" s="80">
        <f>IF(BE22=1,ROUND(AS22/60,6),0)</f>
        <v>0</v>
      </c>
      <c r="BP22" s="80">
        <f>ROUND(BJ22-BO22,6)</f>
        <v>0</v>
      </c>
      <c r="BQ22" s="80">
        <f>IF(BE22=1,AW22,0)</f>
        <v>0</v>
      </c>
      <c r="BR22" s="80">
        <f>IF(BE22=1,AX22,0)</f>
        <v>0</v>
      </c>
      <c r="BS22" s="80">
        <f>IF(AND(BE22=1,D22="Malcolm",BA22&gt;0),MIN(BH22,SUMPRODUCT((R_Emp="proMX")*(R_EN&gt;0)*((R_EN-(R_EN&gt;BR22)*(R_EN-BR22))&gt;(R_SN+(R_SN&lt;BQ22)*(BQ22-R_SN)))*((R_EN-(R_EN&gt;BR22)*(R_EN-BR22))-(R_SN+(R_SN&lt;BQ22)*(BQ22-R_SN))))/60),0)</f>
        <v>0</v>
      </c>
      <c r="BT22" s="80">
        <f>IF(AND(BE22=1,D22="proMX"),ROUND(BI22*CFG_RATE+BJ22*CFG_OTRATE,6),0)</f>
        <v>0</v>
      </c>
      <c r="BU22" s="80">
        <f>IF(AND(BD22=1,D22="proMX"),ROUND(AG22/CFG_BLK,6),0)</f>
        <v>0</v>
      </c>
      <c r="BV22" s="80" t="str">
        <f>IF(BF22="Approved",IF(ISNUMBER(T22),INT(T22),INT(B22)),"")</f>
        <v/>
      </c>
      <c r="BW22" s="80">
        <f>IF(ISNUMBER(B22),IF(DB_MON="Todos",1,IF(AND(INT(B22)&gt;=DB_MS,INT(B22)&lt;=DB_ME),1,0)),0)</f>
        <v>0</v>
      </c>
      <c r="BX22" s="80">
        <f>IF(DB_PROJ="Todos",1,IF(E22&amp;""=DB_PROJ&amp;"",1,0))</f>
        <v>1</v>
      </c>
      <c r="BY22" s="80">
        <f>BW22*BX22</f>
        <v>0</v>
      </c>
      <c r="BZ22" s="80" t="str">
        <f>IF(Y22=1,F22&amp;IF(AND(F22&amp;""&lt;&gt;"",E22&amp;""&lt;&gt;"")," · ","")&amp;E22,"")</f>
        <v/>
      </c>
      <c r="CA22" s="80" t="str">
        <f>IF(AND(BD22=1,E22&amp;""&lt;&gt;""),IF(COUNTIFS($E$5:E21,E22,$BD$5:BD21,1)=0,MAX($CA$5:CA21)+1,""),"")</f>
        <v/>
      </c>
      <c r="CB22" s="80" t="str">
        <f>IF(AND(BE22=1,D22="Malcolm",E22&amp;""&lt;&gt;""),IF(COUNTIFS($D$5:D21,"Malcolm",$E$5:E21,E22,$BE$5:BE21,1)=0,MAX($CB$5:CB21)+1,""),"")</f>
        <v/>
      </c>
      <c r="CC22" s="80" t="str">
        <f>IF(AND(BD22=1,D22="proMX",E22&amp;""&lt;&gt;""),IF(COUNTIFS($D$5:D21,"proMX",$E$5:E21,E22,$BD$5:BD21,1)=0,MAX($CC$5:CC21)+1,""),"")</f>
        <v/>
      </c>
      <c r="CD22" s="80" t="str">
        <f>IF(AND(BE22=1,D22="Malcolm",F22&amp;""&lt;&gt;""),IF(COUNTIFS($D$5:D21,"Malcolm",$F$5:F21,F22,$BE$5:BE21,1)=0,MAX($CD$5:CD21)+1,""),"")</f>
        <v/>
      </c>
      <c r="CE22" s="80" t="str">
        <f>IF(AND(BD22=1,D22="proMX",F22&amp;""&lt;&gt;""),IF(COUNTIFS($D$5:D21,"proMX",$F$5:F21,F22,$BD$5:BD21,1)=0,MAX($CE$5:CE21)+1,""),"")</f>
        <v/>
      </c>
      <c r="CF22" s="80" t="str">
        <f>IF(AND(D22="proMX",BD22=1),IF(OR(BF22="Draft",BF22="Submitted",BF22="Returned",BF22="Recall Requested"),MAX($CF$5:CF21)+1,""),"")</f>
        <v/>
      </c>
      <c r="CG22" s="80">
        <f>IF(BD22=0,0,IF(D22="Malcolm",1,MATCH(BF22,{"Draft","Submitted","Approved","Returned","Recall Requested","Cancelled"},0)+1))</f>
        <v>0</v>
      </c>
      <c r="CH22" s="80">
        <f>IF(AND(BF22="Submitted",ISNUMBER(V22)),IF(V22&gt;CFG_MAXD,1,0),0)</f>
        <v>0</v>
      </c>
    </row>
    <row r="23">
      <c r="A23" s="71" t="str">
        <f>IF(Y23=1,ROW()-5,"")</f>
        <v/>
      </c>
      <c r="B23" s="72" t="n"/>
      <c r="C23" s="71" t="str">
        <f>IF(ISNUMBER(B23),CHOOSE(WEEKDAY(B23,2),"Lun","Mar","Mié","Jue","Vie","Sáb","Dom"),"")</f>
        <v/>
      </c>
      <c r="D23" s="73" t="n"/>
      <c r="E23" s="74" t="n"/>
      <c r="F23" s="74" t="n"/>
      <c r="G23" s="74" t="n"/>
      <c r="H23" s="75" t="n"/>
      <c r="I23" s="75" t="n"/>
      <c r="J23" s="76" t="n"/>
      <c r="K23" s="77" t="str">
        <f>IF(AB23=1,ROUND(AG23/60,4),"")</f>
        <v/>
      </c>
      <c r="L23" s="77" t="str">
        <f>IF(BD23=1,ROUND(AP23/60,4),"")</f>
        <v/>
      </c>
      <c r="M23" s="77" t="str">
        <f>IF(BD23=1,ROUND(AQ23/60,4),"")</f>
        <v/>
      </c>
      <c r="N23" s="71" t="str">
        <f>IF(AND(D23="proMX",AB23=1),ROUND(AG23/CFG_BLK,2),"")</f>
        <v/>
      </c>
      <c r="O23" s="77" t="str">
        <f>IF(D23="proMX",IF(BD23=1,ROUND(AG23/60,4),0),"")</f>
        <v/>
      </c>
      <c r="P23" s="78" t="str">
        <f>IF(Y23=0,"",IF(BD23=1,"OK",IF(D23="proMX","Revisar bloques: ","Revisar: ")&amp;BC23))</f>
        <v/>
      </c>
      <c r="Q23" s="78" t="str">
        <f>IF(NOT(ISNUMBER(B23)),"",IF(COUNTIFS(FER_F,INT(B23))&gt;0,"Feriado"&amp;IF(AH23=1," (laborable)"," (no laborable)"),IF(AH23=1,"Laborable",IF(WEEKDAY(B23,2)&gt;5,"Fin de semana","No laborable"))))</f>
        <v/>
      </c>
      <c r="R23" s="73" t="n"/>
      <c r="S23" s="72" t="n"/>
      <c r="T23" s="72" t="n"/>
      <c r="U23" s="74" t="n"/>
      <c r="V23" s="79" t="str">
        <f>IF(AND(D23="proMX",OR(R23="Submitted",R23="Recall Requested"),ISNUMBER(S23)),CFG_TODAY-INT(S23),"")</f>
        <v/>
      </c>
      <c r="W23" s="78" t="str">
        <f>IF(BD23=0,"",IF(BA23&gt;0,"⚠ Se superpone con un registro de la otra empresa",IF(D23="Malcolm",IF(COUNTA(R23,S23,T23)&gt;0,"Estado/fechas proMX se ignoran en Malcolm",""),IF(BF23="Cancelled","Cancelado: excluido de totales",IF(R23="","Sin estado: se trata como Draft",IF(BF23="Submitted",IF(ISNUMBER(V23),IF(V23&gt;CFG_MAXD,"⚠ "&amp;V23&amp;" días en Submitted (máx. "&amp;CFG_MAXD&amp;")",""),"Falta fecha de envío"),IF(BF23="Returned","⚠ Devuelto: corregir y reenviar",IF(BF23="Recall Requested","Retirada solicitada: pendiente",IF(AND(BF23="Approved",NOT(ISNUMBER(T23))),"Falta fecha de aprobación",IF(AND(ISNUMBER(S23),ISNUMBER(T23),T23&lt;S23),"Aprobación anterior al envío","")))))))))</f>
        <v/>
      </c>
      <c r="Y23" s="80">
        <f>IF(COUNTA(B23,D23,E23,F23,G23,H23,I23,J23,R23,S23,T23)&gt;0,1,0)</f>
        <v>0</v>
      </c>
      <c r="Z23" s="80" t="str">
        <f>IF(AND(ISNUMBER(H23),H23&gt;=0,H23&lt;1),ROUND(H23*1440,0),"")</f>
        <v/>
      </c>
      <c r="AA23" s="80" t="str">
        <f>IF(AND(ISNUMBER(I23),I23&gt;=0,I23&lt;1),ROUND(I23*1440,0),"")</f>
        <v/>
      </c>
      <c r="AB23" s="80">
        <f>IF(AND(ISNUMBER(B23),D23&lt;&gt;"",ISNUMBER(Z23),ISNUMBER(AA23)),IF(Z23=AA23,0,1),0)</f>
        <v>0</v>
      </c>
      <c r="AC23" s="80">
        <f>IF(AB23=1,IF(AA23&lt;Z23,1,0),0)</f>
        <v>0</v>
      </c>
      <c r="AD23" s="80">
        <f>IF(AB23=1,IF(AC23=1,1440-Z23+AA23,AA23-Z23),0)</f>
        <v>0</v>
      </c>
      <c r="AE23" s="80">
        <f>IF(J23="",0,IF(ISNUMBER(J23),J23,-1))</f>
        <v>0</v>
      </c>
      <c r="AF23" s="80">
        <f>MIN(MAX(0,AE23),AD23)</f>
        <v>0</v>
      </c>
      <c r="AG23" s="80">
        <f>MAX(0,AD23-MAX(0,AE23))</f>
        <v>0</v>
      </c>
      <c r="AH23" s="80">
        <f>IF(ISNUMBER(B23),IF(AND(INDEX(CFG_WDAYS,WEEKDAY(INT(B23),2))="Sí",IF(D23="proMX",COUNTIFS(FER_F,INT(B23),FER_NLP,"Sí"),COUNTIFS(FER_F,INT(B23),FER_NLM,"Sí"))=0),1,0),0)</f>
        <v>0</v>
      </c>
      <c r="AI23" s="80">
        <f>IF(AC23=1,IF(AND(INDEX(CFG_WDAYS,WEEKDAY(INT(B23)+1,2))="Sí",IF(D23="proMX",COUNTIFS(FER_F,INT(B23)+1,FER_NLP,"Sí"),COUNTIFS(FER_F,INT(B23)+1,FER_NLM,"Sí"))=0),1,0),0)</f>
        <v>0</v>
      </c>
      <c r="AJ23" s="80">
        <f>IF(AC23=1,1440-Z23,AD23)</f>
        <v>0</v>
      </c>
      <c r="AK23" s="80">
        <f>IF(AND(AB23=1,AH23=1),MAX(0,MIN(IF(AC23=1,1440,AA23),CFG_WEM)-MAX(Z23,CFG_WSM)),0)</f>
        <v>0</v>
      </c>
      <c r="AL23" s="80">
        <f>IF(AND(AC23=1,AI23=1),MAX(0,MIN(AA23,CFG_WEM)-CFG_WSM),0)</f>
        <v>0</v>
      </c>
      <c r="AM23" s="80">
        <f>AK23+AL23</f>
        <v>0</v>
      </c>
      <c r="AN23" s="80">
        <f>IF(CFG_BRK="Proporcional",IF(AD23=0,0,AF23*AM23/AD23),IF(CFG_BRK="Extras primero",MIN(AM23,MAX(0,AF23-(AD23-AM23))),MIN(AF23,AM23)))</f>
        <v>0</v>
      </c>
      <c r="AO23" s="80">
        <f>AF23-AN23</f>
        <v>0</v>
      </c>
      <c r="AP23" s="80">
        <f>AM23-AN23</f>
        <v>0</v>
      </c>
      <c r="AQ23" s="80">
        <f>AD23-AM23-AO23</f>
        <v>0</v>
      </c>
      <c r="AR23" s="80">
        <f>IF(AM23=0,0,AK23-AN23*AK23/AM23)</f>
        <v>0</v>
      </c>
      <c r="AS23" s="80">
        <f>IF(AD23-AM23=0,0,(AJ23-AK23)-AO23*(AJ23-AK23)/(AD23-AM23))</f>
        <v>0</v>
      </c>
      <c r="AT23" s="80" t="str">
        <f>IF(AC23=1,INT(B23)+1,"")</f>
        <v/>
      </c>
      <c r="AU23" s="80">
        <f>IF(AND(D23="proMX",R23="Cancelled"),0,1)</f>
        <v>1</v>
      </c>
      <c r="AV23" s="80">
        <f>IF(AND(AB23=1,AU23=1),IF(COUNTIFS($D$5:D22,D23,$B$5:B22,B23,$Z$5:Z22,Z23,$AA$5:AA22,AA23,$F$5:F22,F23&amp;"",$AU$5:AU22,1)&gt;0,1,0),0)</f>
        <v>0</v>
      </c>
      <c r="AW23" s="80" t="str">
        <f>IF(AB23=1,INT(B23)*1440+Z23,"")</f>
        <v/>
      </c>
      <c r="AX23" s="80" t="str">
        <f>IF(AB23=1,AW23+AD23,"")</f>
        <v/>
      </c>
      <c r="AY23" s="80">
        <f>IF(AND(AB23=1,AV23=0,AU23=1),1,0)</f>
        <v>0</v>
      </c>
      <c r="AZ23" s="80">
        <f>IF(AY23=1,COUNTIFS(R_Emp,D23,R_SAbs,"&lt;"&amp;AX23,R_EAbs,"&gt;"&amp;AW23,R_OKey,1)-1,0)</f>
        <v>0</v>
      </c>
      <c r="BA23" s="80">
        <f>IF(AY23=1,COUNTIFS(R_Emp,"&lt;&gt;"&amp;D23,R_SAbs,"&lt;"&amp;AX23,R_EAbs,"&gt;"&amp;AW23,R_OKey,1),0)</f>
        <v>0</v>
      </c>
      <c r="BB23" s="80">
        <f>IF(AND(AB23=1,D23="proMX"),IF(AND(MOD(Z23,CFG_BLK)=0,MOD(AA23,CFG_BLK)=0,MOD(AG23,CFG_BLK)=0,AG23&gt;0),1,0),1)</f>
        <v>1</v>
      </c>
      <c r="BC23" s="80" t="str">
        <f>IF(Y23=0,"",IF(NOT(ISNUMBER(B23)),"Falta fecha o fecha inválida",IF(D23="","Falta empresa",IF(AND(D23&lt;&gt;"Malcolm",D23&lt;&gt;"proMX"),"Empresa inválida",IF(OR(INT(B23)&lt;CFG_PSTART,INT(B23)&gt;CFG_PEND),"Fecha fuera del período",IF(OR(NOT(ISNUMBER(Z23)),NOT(ISNUMBER(AA23))),"Falta hora inicio/fin o formato inválido",IF(AB23=0,"Hora inicio = hora fin",IF(AE23&lt;0,"Descanso inválido",IF(AE23&gt;=AD23,"Descanso ≥ duración",IF(AV23=1,"Registro duplicado",IF(AZ23&gt;0,"Se superpone con otro registro "&amp;D23,IF(BB23=0,"inicio, fin y duración neta deben ser múltiplos de "&amp;CFG_BLK&amp;" min",""))))))))))))</f>
        <v/>
      </c>
      <c r="BD23" s="80">
        <f>IF(AND(Y23=1,BC23=""),1,0)</f>
        <v>0</v>
      </c>
      <c r="BE23" s="80">
        <f>IF(AND(BD23=1,AU23=1),1,0)</f>
        <v>0</v>
      </c>
      <c r="BF23" s="80" t="str">
        <f>IF(AND(D23="proMX",BD23=1),IF(R23="","Draft",R23),"")</f>
        <v/>
      </c>
      <c r="BG23" s="80">
        <f>IF(BD23=1,ROUND(AG23/60,6),0)</f>
        <v>0</v>
      </c>
      <c r="BH23" s="80">
        <f>IF(BE23=1,ROUND(AG23/60,6),0)</f>
        <v>0</v>
      </c>
      <c r="BI23" s="80">
        <f>IF(BE23=1,ROUND(AP23/60,6),0)</f>
        <v>0</v>
      </c>
      <c r="BJ23" s="80">
        <f>IF(BE23=1,ROUND(AQ23/60,6),0)</f>
        <v>0</v>
      </c>
      <c r="BK23" s="80">
        <f>IF(BE23=1,ROUND((AR23+AS23)/60,6),0)</f>
        <v>0</v>
      </c>
      <c r="BL23" s="80">
        <f>ROUND(BH23-BK23,6)</f>
        <v>0</v>
      </c>
      <c r="BM23" s="80">
        <f>IF(BE23=1,ROUND(AR23/60,6),0)</f>
        <v>0</v>
      </c>
      <c r="BN23" s="80">
        <f>ROUND(BI23-BM23,6)</f>
        <v>0</v>
      </c>
      <c r="BO23" s="80">
        <f>IF(BE23=1,ROUND(AS23/60,6),0)</f>
        <v>0</v>
      </c>
      <c r="BP23" s="80">
        <f>ROUND(BJ23-BO23,6)</f>
        <v>0</v>
      </c>
      <c r="BQ23" s="80">
        <f>IF(BE23=1,AW23,0)</f>
        <v>0</v>
      </c>
      <c r="BR23" s="80">
        <f>IF(BE23=1,AX23,0)</f>
        <v>0</v>
      </c>
      <c r="BS23" s="80">
        <f>IF(AND(BE23=1,D23="Malcolm",BA23&gt;0),MIN(BH23,SUMPRODUCT((R_Emp="proMX")*(R_EN&gt;0)*((R_EN-(R_EN&gt;BR23)*(R_EN-BR23))&gt;(R_SN+(R_SN&lt;BQ23)*(BQ23-R_SN)))*((R_EN-(R_EN&gt;BR23)*(R_EN-BR23))-(R_SN+(R_SN&lt;BQ23)*(BQ23-R_SN))))/60),0)</f>
        <v>0</v>
      </c>
      <c r="BT23" s="80">
        <f>IF(AND(BE23=1,D23="proMX"),ROUND(BI23*CFG_RATE+BJ23*CFG_OTRATE,6),0)</f>
        <v>0</v>
      </c>
      <c r="BU23" s="80">
        <f>IF(AND(BD23=1,D23="proMX"),ROUND(AG23/CFG_BLK,6),0)</f>
        <v>0</v>
      </c>
      <c r="BV23" s="80" t="str">
        <f>IF(BF23="Approved",IF(ISNUMBER(T23),INT(T23),INT(B23)),"")</f>
        <v/>
      </c>
      <c r="BW23" s="80">
        <f>IF(ISNUMBER(B23),IF(DB_MON="Todos",1,IF(AND(INT(B23)&gt;=DB_MS,INT(B23)&lt;=DB_ME),1,0)),0)</f>
        <v>0</v>
      </c>
      <c r="BX23" s="80">
        <f>IF(DB_PROJ="Todos",1,IF(E23&amp;""=DB_PROJ&amp;"",1,0))</f>
        <v>1</v>
      </c>
      <c r="BY23" s="80">
        <f>BW23*BX23</f>
        <v>0</v>
      </c>
      <c r="BZ23" s="80" t="str">
        <f>IF(Y23=1,F23&amp;IF(AND(F23&amp;""&lt;&gt;"",E23&amp;""&lt;&gt;"")," · ","")&amp;E23,"")</f>
        <v/>
      </c>
      <c r="CA23" s="80" t="str">
        <f>IF(AND(BD23=1,E23&amp;""&lt;&gt;""),IF(COUNTIFS($E$5:E22,E23,$BD$5:BD22,1)=0,MAX($CA$5:CA22)+1,""),"")</f>
        <v/>
      </c>
      <c r="CB23" s="80" t="str">
        <f>IF(AND(BE23=1,D23="Malcolm",E23&amp;""&lt;&gt;""),IF(COUNTIFS($D$5:D22,"Malcolm",$E$5:E22,E23,$BE$5:BE22,1)=0,MAX($CB$5:CB22)+1,""),"")</f>
        <v/>
      </c>
      <c r="CC23" s="80" t="str">
        <f>IF(AND(BD23=1,D23="proMX",E23&amp;""&lt;&gt;""),IF(COUNTIFS($D$5:D22,"proMX",$E$5:E22,E23,$BD$5:BD22,1)=0,MAX($CC$5:CC22)+1,""),"")</f>
        <v/>
      </c>
      <c r="CD23" s="80" t="str">
        <f>IF(AND(BE23=1,D23="Malcolm",F23&amp;""&lt;&gt;""),IF(COUNTIFS($D$5:D22,"Malcolm",$F$5:F22,F23,$BE$5:BE22,1)=0,MAX($CD$5:CD22)+1,""),"")</f>
        <v/>
      </c>
      <c r="CE23" s="80" t="str">
        <f>IF(AND(BD23=1,D23="proMX",F23&amp;""&lt;&gt;""),IF(COUNTIFS($D$5:D22,"proMX",$F$5:F22,F23,$BD$5:BD22,1)=0,MAX($CE$5:CE22)+1,""),"")</f>
        <v/>
      </c>
      <c r="CF23" s="80" t="str">
        <f>IF(AND(D23="proMX",BD23=1),IF(OR(BF23="Draft",BF23="Submitted",BF23="Returned",BF23="Recall Requested"),MAX($CF$5:CF22)+1,""),"")</f>
        <v/>
      </c>
      <c r="CG23" s="80">
        <f>IF(BD23=0,0,IF(D23="Malcolm",1,MATCH(BF23,{"Draft","Submitted","Approved","Returned","Recall Requested","Cancelled"},0)+1))</f>
        <v>0</v>
      </c>
      <c r="CH23" s="80">
        <f>IF(AND(BF23="Submitted",ISNUMBER(V23)),IF(V23&gt;CFG_MAXD,1,0),0)</f>
        <v>0</v>
      </c>
    </row>
    <row r="24">
      <c r="A24" s="71" t="str">
        <f>IF(Y24=1,ROW()-5,"")</f>
        <v/>
      </c>
      <c r="B24" s="72" t="n"/>
      <c r="C24" s="71" t="str">
        <f>IF(ISNUMBER(B24),CHOOSE(WEEKDAY(B24,2),"Lun","Mar","Mié","Jue","Vie","Sáb","Dom"),"")</f>
        <v/>
      </c>
      <c r="D24" s="73" t="n"/>
      <c r="E24" s="74" t="n"/>
      <c r="F24" s="74" t="n"/>
      <c r="G24" s="74" t="n"/>
      <c r="H24" s="75" t="n"/>
      <c r="I24" s="75" t="n"/>
      <c r="J24" s="76" t="n"/>
      <c r="K24" s="77" t="str">
        <f>IF(AB24=1,ROUND(AG24/60,4),"")</f>
        <v/>
      </c>
      <c r="L24" s="77" t="str">
        <f>IF(BD24=1,ROUND(AP24/60,4),"")</f>
        <v/>
      </c>
      <c r="M24" s="77" t="str">
        <f>IF(BD24=1,ROUND(AQ24/60,4),"")</f>
        <v/>
      </c>
      <c r="N24" s="71" t="str">
        <f>IF(AND(D24="proMX",AB24=1),ROUND(AG24/CFG_BLK,2),"")</f>
        <v/>
      </c>
      <c r="O24" s="77" t="str">
        <f>IF(D24="proMX",IF(BD24=1,ROUND(AG24/60,4),0),"")</f>
        <v/>
      </c>
      <c r="P24" s="78" t="str">
        <f>IF(Y24=0,"",IF(BD24=1,"OK",IF(D24="proMX","Revisar bloques: ","Revisar: ")&amp;BC24))</f>
        <v/>
      </c>
      <c r="Q24" s="78" t="str">
        <f>IF(NOT(ISNUMBER(B24)),"",IF(COUNTIFS(FER_F,INT(B24))&gt;0,"Feriado"&amp;IF(AH24=1," (laborable)"," (no laborable)"),IF(AH24=1,"Laborable",IF(WEEKDAY(B24,2)&gt;5,"Fin de semana","No laborable"))))</f>
        <v/>
      </c>
      <c r="R24" s="73" t="n"/>
      <c r="S24" s="72" t="n"/>
      <c r="T24" s="72" t="n"/>
      <c r="U24" s="74" t="n"/>
      <c r="V24" s="79" t="str">
        <f>IF(AND(D24="proMX",OR(R24="Submitted",R24="Recall Requested"),ISNUMBER(S24)),CFG_TODAY-INT(S24),"")</f>
        <v/>
      </c>
      <c r="W24" s="78" t="str">
        <f>IF(BD24=0,"",IF(BA24&gt;0,"⚠ Se superpone con un registro de la otra empresa",IF(D24="Malcolm",IF(COUNTA(R24,S24,T24)&gt;0,"Estado/fechas proMX se ignoran en Malcolm",""),IF(BF24="Cancelled","Cancelado: excluido de totales",IF(R24="","Sin estado: se trata como Draft",IF(BF24="Submitted",IF(ISNUMBER(V24),IF(V24&gt;CFG_MAXD,"⚠ "&amp;V24&amp;" días en Submitted (máx. "&amp;CFG_MAXD&amp;")",""),"Falta fecha de envío"),IF(BF24="Returned","⚠ Devuelto: corregir y reenviar",IF(BF24="Recall Requested","Retirada solicitada: pendiente",IF(AND(BF24="Approved",NOT(ISNUMBER(T24))),"Falta fecha de aprobación",IF(AND(ISNUMBER(S24),ISNUMBER(T24),T24&lt;S24),"Aprobación anterior al envío","")))))))))</f>
        <v/>
      </c>
      <c r="Y24" s="80">
        <f>IF(COUNTA(B24,D24,E24,F24,G24,H24,I24,J24,R24,S24,T24)&gt;0,1,0)</f>
        <v>0</v>
      </c>
      <c r="Z24" s="80" t="str">
        <f>IF(AND(ISNUMBER(H24),H24&gt;=0,H24&lt;1),ROUND(H24*1440,0),"")</f>
        <v/>
      </c>
      <c r="AA24" s="80" t="str">
        <f>IF(AND(ISNUMBER(I24),I24&gt;=0,I24&lt;1),ROUND(I24*1440,0),"")</f>
        <v/>
      </c>
      <c r="AB24" s="80">
        <f>IF(AND(ISNUMBER(B24),D24&lt;&gt;"",ISNUMBER(Z24),ISNUMBER(AA24)),IF(Z24=AA24,0,1),0)</f>
        <v>0</v>
      </c>
      <c r="AC24" s="80">
        <f>IF(AB24=1,IF(AA24&lt;Z24,1,0),0)</f>
        <v>0</v>
      </c>
      <c r="AD24" s="80">
        <f>IF(AB24=1,IF(AC24=1,1440-Z24+AA24,AA24-Z24),0)</f>
        <v>0</v>
      </c>
      <c r="AE24" s="80">
        <f>IF(J24="",0,IF(ISNUMBER(J24),J24,-1))</f>
        <v>0</v>
      </c>
      <c r="AF24" s="80">
        <f>MIN(MAX(0,AE24),AD24)</f>
        <v>0</v>
      </c>
      <c r="AG24" s="80">
        <f>MAX(0,AD24-MAX(0,AE24))</f>
        <v>0</v>
      </c>
      <c r="AH24" s="80">
        <f>IF(ISNUMBER(B24),IF(AND(INDEX(CFG_WDAYS,WEEKDAY(INT(B24),2))="Sí",IF(D24="proMX",COUNTIFS(FER_F,INT(B24),FER_NLP,"Sí"),COUNTIFS(FER_F,INT(B24),FER_NLM,"Sí"))=0),1,0),0)</f>
        <v>0</v>
      </c>
      <c r="AI24" s="80">
        <f>IF(AC24=1,IF(AND(INDEX(CFG_WDAYS,WEEKDAY(INT(B24)+1,2))="Sí",IF(D24="proMX",COUNTIFS(FER_F,INT(B24)+1,FER_NLP,"Sí"),COUNTIFS(FER_F,INT(B24)+1,FER_NLM,"Sí"))=0),1,0),0)</f>
        <v>0</v>
      </c>
      <c r="AJ24" s="80">
        <f>IF(AC24=1,1440-Z24,AD24)</f>
        <v>0</v>
      </c>
      <c r="AK24" s="80">
        <f>IF(AND(AB24=1,AH24=1),MAX(0,MIN(IF(AC24=1,1440,AA24),CFG_WEM)-MAX(Z24,CFG_WSM)),0)</f>
        <v>0</v>
      </c>
      <c r="AL24" s="80">
        <f>IF(AND(AC24=1,AI24=1),MAX(0,MIN(AA24,CFG_WEM)-CFG_WSM),0)</f>
        <v>0</v>
      </c>
      <c r="AM24" s="80">
        <f>AK24+AL24</f>
        <v>0</v>
      </c>
      <c r="AN24" s="80">
        <f>IF(CFG_BRK="Proporcional",IF(AD24=0,0,AF24*AM24/AD24),IF(CFG_BRK="Extras primero",MIN(AM24,MAX(0,AF24-(AD24-AM24))),MIN(AF24,AM24)))</f>
        <v>0</v>
      </c>
      <c r="AO24" s="80">
        <f>AF24-AN24</f>
        <v>0</v>
      </c>
      <c r="AP24" s="80">
        <f>AM24-AN24</f>
        <v>0</v>
      </c>
      <c r="AQ24" s="80">
        <f>AD24-AM24-AO24</f>
        <v>0</v>
      </c>
      <c r="AR24" s="80">
        <f>IF(AM24=0,0,AK24-AN24*AK24/AM24)</f>
        <v>0</v>
      </c>
      <c r="AS24" s="80">
        <f>IF(AD24-AM24=0,0,(AJ24-AK24)-AO24*(AJ24-AK24)/(AD24-AM24))</f>
        <v>0</v>
      </c>
      <c r="AT24" s="80" t="str">
        <f>IF(AC24=1,INT(B24)+1,"")</f>
        <v/>
      </c>
      <c r="AU24" s="80">
        <f>IF(AND(D24="proMX",R24="Cancelled"),0,1)</f>
        <v>1</v>
      </c>
      <c r="AV24" s="80">
        <f>IF(AND(AB24=1,AU24=1),IF(COUNTIFS($D$5:D23,D24,$B$5:B23,B24,$Z$5:Z23,Z24,$AA$5:AA23,AA24,$F$5:F23,F24&amp;"",$AU$5:AU23,1)&gt;0,1,0),0)</f>
        <v>0</v>
      </c>
      <c r="AW24" s="80" t="str">
        <f>IF(AB24=1,INT(B24)*1440+Z24,"")</f>
        <v/>
      </c>
      <c r="AX24" s="80" t="str">
        <f>IF(AB24=1,AW24+AD24,"")</f>
        <v/>
      </c>
      <c r="AY24" s="80">
        <f>IF(AND(AB24=1,AV24=0,AU24=1),1,0)</f>
        <v>0</v>
      </c>
      <c r="AZ24" s="80">
        <f>IF(AY24=1,COUNTIFS(R_Emp,D24,R_SAbs,"&lt;"&amp;AX24,R_EAbs,"&gt;"&amp;AW24,R_OKey,1)-1,0)</f>
        <v>0</v>
      </c>
      <c r="BA24" s="80">
        <f>IF(AY24=1,COUNTIFS(R_Emp,"&lt;&gt;"&amp;D24,R_SAbs,"&lt;"&amp;AX24,R_EAbs,"&gt;"&amp;AW24,R_OKey,1),0)</f>
        <v>0</v>
      </c>
      <c r="BB24" s="80">
        <f>IF(AND(AB24=1,D24="proMX"),IF(AND(MOD(Z24,CFG_BLK)=0,MOD(AA24,CFG_BLK)=0,MOD(AG24,CFG_BLK)=0,AG24&gt;0),1,0),1)</f>
        <v>1</v>
      </c>
      <c r="BC24" s="80" t="str">
        <f>IF(Y24=0,"",IF(NOT(ISNUMBER(B24)),"Falta fecha o fecha inválida",IF(D24="","Falta empresa",IF(AND(D24&lt;&gt;"Malcolm",D24&lt;&gt;"proMX"),"Empresa inválida",IF(OR(INT(B24)&lt;CFG_PSTART,INT(B24)&gt;CFG_PEND),"Fecha fuera del período",IF(OR(NOT(ISNUMBER(Z24)),NOT(ISNUMBER(AA24))),"Falta hora inicio/fin o formato inválido",IF(AB24=0,"Hora inicio = hora fin",IF(AE24&lt;0,"Descanso inválido",IF(AE24&gt;=AD24,"Descanso ≥ duración",IF(AV24=1,"Registro duplicado",IF(AZ24&gt;0,"Se superpone con otro registro "&amp;D24,IF(BB24=0,"inicio, fin y duración neta deben ser múltiplos de "&amp;CFG_BLK&amp;" min",""))))))))))))</f>
        <v/>
      </c>
      <c r="BD24" s="80">
        <f>IF(AND(Y24=1,BC24=""),1,0)</f>
        <v>0</v>
      </c>
      <c r="BE24" s="80">
        <f>IF(AND(BD24=1,AU24=1),1,0)</f>
        <v>0</v>
      </c>
      <c r="BF24" s="80" t="str">
        <f>IF(AND(D24="proMX",BD24=1),IF(R24="","Draft",R24),"")</f>
        <v/>
      </c>
      <c r="BG24" s="80">
        <f>IF(BD24=1,ROUND(AG24/60,6),0)</f>
        <v>0</v>
      </c>
      <c r="BH24" s="80">
        <f>IF(BE24=1,ROUND(AG24/60,6),0)</f>
        <v>0</v>
      </c>
      <c r="BI24" s="80">
        <f>IF(BE24=1,ROUND(AP24/60,6),0)</f>
        <v>0</v>
      </c>
      <c r="BJ24" s="80">
        <f>IF(BE24=1,ROUND(AQ24/60,6),0)</f>
        <v>0</v>
      </c>
      <c r="BK24" s="80">
        <f>IF(BE24=1,ROUND((AR24+AS24)/60,6),0)</f>
        <v>0</v>
      </c>
      <c r="BL24" s="80">
        <f>ROUND(BH24-BK24,6)</f>
        <v>0</v>
      </c>
      <c r="BM24" s="80">
        <f>IF(BE24=1,ROUND(AR24/60,6),0)</f>
        <v>0</v>
      </c>
      <c r="BN24" s="80">
        <f>ROUND(BI24-BM24,6)</f>
        <v>0</v>
      </c>
      <c r="BO24" s="80">
        <f>IF(BE24=1,ROUND(AS24/60,6),0)</f>
        <v>0</v>
      </c>
      <c r="BP24" s="80">
        <f>ROUND(BJ24-BO24,6)</f>
        <v>0</v>
      </c>
      <c r="BQ24" s="80">
        <f>IF(BE24=1,AW24,0)</f>
        <v>0</v>
      </c>
      <c r="BR24" s="80">
        <f>IF(BE24=1,AX24,0)</f>
        <v>0</v>
      </c>
      <c r="BS24" s="80">
        <f>IF(AND(BE24=1,D24="Malcolm",BA24&gt;0),MIN(BH24,SUMPRODUCT((R_Emp="proMX")*(R_EN&gt;0)*((R_EN-(R_EN&gt;BR24)*(R_EN-BR24))&gt;(R_SN+(R_SN&lt;BQ24)*(BQ24-R_SN)))*((R_EN-(R_EN&gt;BR24)*(R_EN-BR24))-(R_SN+(R_SN&lt;BQ24)*(BQ24-R_SN))))/60),0)</f>
        <v>0</v>
      </c>
      <c r="BT24" s="80">
        <f>IF(AND(BE24=1,D24="proMX"),ROUND(BI24*CFG_RATE+BJ24*CFG_OTRATE,6),0)</f>
        <v>0</v>
      </c>
      <c r="BU24" s="80">
        <f>IF(AND(BD24=1,D24="proMX"),ROUND(AG24/CFG_BLK,6),0)</f>
        <v>0</v>
      </c>
      <c r="BV24" s="80" t="str">
        <f>IF(BF24="Approved",IF(ISNUMBER(T24),INT(T24),INT(B24)),"")</f>
        <v/>
      </c>
      <c r="BW24" s="80">
        <f>IF(ISNUMBER(B24),IF(DB_MON="Todos",1,IF(AND(INT(B24)&gt;=DB_MS,INT(B24)&lt;=DB_ME),1,0)),0)</f>
        <v>0</v>
      </c>
      <c r="BX24" s="80">
        <f>IF(DB_PROJ="Todos",1,IF(E24&amp;""=DB_PROJ&amp;"",1,0))</f>
        <v>1</v>
      </c>
      <c r="BY24" s="80">
        <f>BW24*BX24</f>
        <v>0</v>
      </c>
      <c r="BZ24" s="80" t="str">
        <f>IF(Y24=1,F24&amp;IF(AND(F24&amp;""&lt;&gt;"",E24&amp;""&lt;&gt;"")," · ","")&amp;E24,"")</f>
        <v/>
      </c>
      <c r="CA24" s="80" t="str">
        <f>IF(AND(BD24=1,E24&amp;""&lt;&gt;""),IF(COUNTIFS($E$5:E23,E24,$BD$5:BD23,1)=0,MAX($CA$5:CA23)+1,""),"")</f>
        <v/>
      </c>
      <c r="CB24" s="80" t="str">
        <f>IF(AND(BE24=1,D24="Malcolm",E24&amp;""&lt;&gt;""),IF(COUNTIFS($D$5:D23,"Malcolm",$E$5:E23,E24,$BE$5:BE23,1)=0,MAX($CB$5:CB23)+1,""),"")</f>
        <v/>
      </c>
      <c r="CC24" s="80" t="str">
        <f>IF(AND(BD24=1,D24="proMX",E24&amp;""&lt;&gt;""),IF(COUNTIFS($D$5:D23,"proMX",$E$5:E23,E24,$BD$5:BD23,1)=0,MAX($CC$5:CC23)+1,""),"")</f>
        <v/>
      </c>
      <c r="CD24" s="80" t="str">
        <f>IF(AND(BE24=1,D24="Malcolm",F24&amp;""&lt;&gt;""),IF(COUNTIFS($D$5:D23,"Malcolm",$F$5:F23,F24,$BE$5:BE23,1)=0,MAX($CD$5:CD23)+1,""),"")</f>
        <v/>
      </c>
      <c r="CE24" s="80" t="str">
        <f>IF(AND(BD24=1,D24="proMX",F24&amp;""&lt;&gt;""),IF(COUNTIFS($D$5:D23,"proMX",$F$5:F23,F24,$BD$5:BD23,1)=0,MAX($CE$5:CE23)+1,""),"")</f>
        <v/>
      </c>
      <c r="CF24" s="80" t="str">
        <f>IF(AND(D24="proMX",BD24=1),IF(OR(BF24="Draft",BF24="Submitted",BF24="Returned",BF24="Recall Requested"),MAX($CF$5:CF23)+1,""),"")</f>
        <v/>
      </c>
      <c r="CG24" s="80">
        <f>IF(BD24=0,0,IF(D24="Malcolm",1,MATCH(BF24,{"Draft","Submitted","Approved","Returned","Recall Requested","Cancelled"},0)+1))</f>
        <v>0</v>
      </c>
      <c r="CH24" s="80">
        <f>IF(AND(BF24="Submitted",ISNUMBER(V24)),IF(V24&gt;CFG_MAXD,1,0),0)</f>
        <v>0</v>
      </c>
    </row>
    <row r="25">
      <c r="A25" s="71" t="str">
        <f>IF(Y25=1,ROW()-5,"")</f>
        <v/>
      </c>
      <c r="B25" s="72" t="n"/>
      <c r="C25" s="71" t="str">
        <f>IF(ISNUMBER(B25),CHOOSE(WEEKDAY(B25,2),"Lun","Mar","Mié","Jue","Vie","Sáb","Dom"),"")</f>
        <v/>
      </c>
      <c r="D25" s="73" t="n"/>
      <c r="E25" s="74" t="n"/>
      <c r="F25" s="74" t="n"/>
      <c r="G25" s="74" t="n"/>
      <c r="H25" s="75" t="n"/>
      <c r="I25" s="75" t="n"/>
      <c r="J25" s="76" t="n"/>
      <c r="K25" s="77" t="str">
        <f>IF(AB25=1,ROUND(AG25/60,4),"")</f>
        <v/>
      </c>
      <c r="L25" s="77" t="str">
        <f>IF(BD25=1,ROUND(AP25/60,4),"")</f>
        <v/>
      </c>
      <c r="M25" s="77" t="str">
        <f>IF(BD25=1,ROUND(AQ25/60,4),"")</f>
        <v/>
      </c>
      <c r="N25" s="71" t="str">
        <f>IF(AND(D25="proMX",AB25=1),ROUND(AG25/CFG_BLK,2),"")</f>
        <v/>
      </c>
      <c r="O25" s="77" t="str">
        <f>IF(D25="proMX",IF(BD25=1,ROUND(AG25/60,4),0),"")</f>
        <v/>
      </c>
      <c r="P25" s="78" t="str">
        <f>IF(Y25=0,"",IF(BD25=1,"OK",IF(D25="proMX","Revisar bloques: ","Revisar: ")&amp;BC25))</f>
        <v/>
      </c>
      <c r="Q25" s="78" t="str">
        <f>IF(NOT(ISNUMBER(B25)),"",IF(COUNTIFS(FER_F,INT(B25))&gt;0,"Feriado"&amp;IF(AH25=1," (laborable)"," (no laborable)"),IF(AH25=1,"Laborable",IF(WEEKDAY(B25,2)&gt;5,"Fin de semana","No laborable"))))</f>
        <v/>
      </c>
      <c r="R25" s="73" t="n"/>
      <c r="S25" s="72" t="n"/>
      <c r="T25" s="72" t="n"/>
      <c r="U25" s="74" t="n"/>
      <c r="V25" s="79" t="str">
        <f>IF(AND(D25="proMX",OR(R25="Submitted",R25="Recall Requested"),ISNUMBER(S25)),CFG_TODAY-INT(S25),"")</f>
        <v/>
      </c>
      <c r="W25" s="78" t="str">
        <f>IF(BD25=0,"",IF(BA25&gt;0,"⚠ Se superpone con un registro de la otra empresa",IF(D25="Malcolm",IF(COUNTA(R25,S25,T25)&gt;0,"Estado/fechas proMX se ignoran en Malcolm",""),IF(BF25="Cancelled","Cancelado: excluido de totales",IF(R25="","Sin estado: se trata como Draft",IF(BF25="Submitted",IF(ISNUMBER(V25),IF(V25&gt;CFG_MAXD,"⚠ "&amp;V25&amp;" días en Submitted (máx. "&amp;CFG_MAXD&amp;")",""),"Falta fecha de envío"),IF(BF25="Returned","⚠ Devuelto: corregir y reenviar",IF(BF25="Recall Requested","Retirada solicitada: pendiente",IF(AND(BF25="Approved",NOT(ISNUMBER(T25))),"Falta fecha de aprobación",IF(AND(ISNUMBER(S25),ISNUMBER(T25),T25&lt;S25),"Aprobación anterior al envío","")))))))))</f>
        <v/>
      </c>
      <c r="Y25" s="80">
        <f>IF(COUNTA(B25,D25,E25,F25,G25,H25,I25,J25,R25,S25,T25)&gt;0,1,0)</f>
        <v>0</v>
      </c>
      <c r="Z25" s="80" t="str">
        <f>IF(AND(ISNUMBER(H25),H25&gt;=0,H25&lt;1),ROUND(H25*1440,0),"")</f>
        <v/>
      </c>
      <c r="AA25" s="80" t="str">
        <f>IF(AND(ISNUMBER(I25),I25&gt;=0,I25&lt;1),ROUND(I25*1440,0),"")</f>
        <v/>
      </c>
      <c r="AB25" s="80">
        <f>IF(AND(ISNUMBER(B25),D25&lt;&gt;"",ISNUMBER(Z25),ISNUMBER(AA25)),IF(Z25=AA25,0,1),0)</f>
        <v>0</v>
      </c>
      <c r="AC25" s="80">
        <f>IF(AB25=1,IF(AA25&lt;Z25,1,0),0)</f>
        <v>0</v>
      </c>
      <c r="AD25" s="80">
        <f>IF(AB25=1,IF(AC25=1,1440-Z25+AA25,AA25-Z25),0)</f>
        <v>0</v>
      </c>
      <c r="AE25" s="80">
        <f>IF(J25="",0,IF(ISNUMBER(J25),J25,-1))</f>
        <v>0</v>
      </c>
      <c r="AF25" s="80">
        <f>MIN(MAX(0,AE25),AD25)</f>
        <v>0</v>
      </c>
      <c r="AG25" s="80">
        <f>MAX(0,AD25-MAX(0,AE25))</f>
        <v>0</v>
      </c>
      <c r="AH25" s="80">
        <f>IF(ISNUMBER(B25),IF(AND(INDEX(CFG_WDAYS,WEEKDAY(INT(B25),2))="Sí",IF(D25="proMX",COUNTIFS(FER_F,INT(B25),FER_NLP,"Sí"),COUNTIFS(FER_F,INT(B25),FER_NLM,"Sí"))=0),1,0),0)</f>
        <v>0</v>
      </c>
      <c r="AI25" s="80">
        <f>IF(AC25=1,IF(AND(INDEX(CFG_WDAYS,WEEKDAY(INT(B25)+1,2))="Sí",IF(D25="proMX",COUNTIFS(FER_F,INT(B25)+1,FER_NLP,"Sí"),COUNTIFS(FER_F,INT(B25)+1,FER_NLM,"Sí"))=0),1,0),0)</f>
        <v>0</v>
      </c>
      <c r="AJ25" s="80">
        <f>IF(AC25=1,1440-Z25,AD25)</f>
        <v>0</v>
      </c>
      <c r="AK25" s="80">
        <f>IF(AND(AB25=1,AH25=1),MAX(0,MIN(IF(AC25=1,1440,AA25),CFG_WEM)-MAX(Z25,CFG_WSM)),0)</f>
        <v>0</v>
      </c>
      <c r="AL25" s="80">
        <f>IF(AND(AC25=1,AI25=1),MAX(0,MIN(AA25,CFG_WEM)-CFG_WSM),0)</f>
        <v>0</v>
      </c>
      <c r="AM25" s="80">
        <f>AK25+AL25</f>
        <v>0</v>
      </c>
      <c r="AN25" s="80">
        <f>IF(CFG_BRK="Proporcional",IF(AD25=0,0,AF25*AM25/AD25),IF(CFG_BRK="Extras primero",MIN(AM25,MAX(0,AF25-(AD25-AM25))),MIN(AF25,AM25)))</f>
        <v>0</v>
      </c>
      <c r="AO25" s="80">
        <f>AF25-AN25</f>
        <v>0</v>
      </c>
      <c r="AP25" s="80">
        <f>AM25-AN25</f>
        <v>0</v>
      </c>
      <c r="AQ25" s="80">
        <f>AD25-AM25-AO25</f>
        <v>0</v>
      </c>
      <c r="AR25" s="80">
        <f>IF(AM25=0,0,AK25-AN25*AK25/AM25)</f>
        <v>0</v>
      </c>
      <c r="AS25" s="80">
        <f>IF(AD25-AM25=0,0,(AJ25-AK25)-AO25*(AJ25-AK25)/(AD25-AM25))</f>
        <v>0</v>
      </c>
      <c r="AT25" s="80" t="str">
        <f>IF(AC25=1,INT(B25)+1,"")</f>
        <v/>
      </c>
      <c r="AU25" s="80">
        <f>IF(AND(D25="proMX",R25="Cancelled"),0,1)</f>
        <v>1</v>
      </c>
      <c r="AV25" s="80">
        <f>IF(AND(AB25=1,AU25=1),IF(COUNTIFS($D$5:D24,D25,$B$5:B24,B25,$Z$5:Z24,Z25,$AA$5:AA24,AA25,$F$5:F24,F25&amp;"",$AU$5:AU24,1)&gt;0,1,0),0)</f>
        <v>0</v>
      </c>
      <c r="AW25" s="80" t="str">
        <f>IF(AB25=1,INT(B25)*1440+Z25,"")</f>
        <v/>
      </c>
      <c r="AX25" s="80" t="str">
        <f>IF(AB25=1,AW25+AD25,"")</f>
        <v/>
      </c>
      <c r="AY25" s="80">
        <f>IF(AND(AB25=1,AV25=0,AU25=1),1,0)</f>
        <v>0</v>
      </c>
      <c r="AZ25" s="80">
        <f>IF(AY25=1,COUNTIFS(R_Emp,D25,R_SAbs,"&lt;"&amp;AX25,R_EAbs,"&gt;"&amp;AW25,R_OKey,1)-1,0)</f>
        <v>0</v>
      </c>
      <c r="BA25" s="80">
        <f>IF(AY25=1,COUNTIFS(R_Emp,"&lt;&gt;"&amp;D25,R_SAbs,"&lt;"&amp;AX25,R_EAbs,"&gt;"&amp;AW25,R_OKey,1),0)</f>
        <v>0</v>
      </c>
      <c r="BB25" s="80">
        <f>IF(AND(AB25=1,D25="proMX"),IF(AND(MOD(Z25,CFG_BLK)=0,MOD(AA25,CFG_BLK)=0,MOD(AG25,CFG_BLK)=0,AG25&gt;0),1,0),1)</f>
        <v>1</v>
      </c>
      <c r="BC25" s="80" t="str">
        <f>IF(Y25=0,"",IF(NOT(ISNUMBER(B25)),"Falta fecha o fecha inválida",IF(D25="","Falta empresa",IF(AND(D25&lt;&gt;"Malcolm",D25&lt;&gt;"proMX"),"Empresa inválida",IF(OR(INT(B25)&lt;CFG_PSTART,INT(B25)&gt;CFG_PEND),"Fecha fuera del período",IF(OR(NOT(ISNUMBER(Z25)),NOT(ISNUMBER(AA25))),"Falta hora inicio/fin o formato inválido",IF(AB25=0,"Hora inicio = hora fin",IF(AE25&lt;0,"Descanso inválido",IF(AE25&gt;=AD25,"Descanso ≥ duración",IF(AV25=1,"Registro duplicado",IF(AZ25&gt;0,"Se superpone con otro registro "&amp;D25,IF(BB25=0,"inicio, fin y duración neta deben ser múltiplos de "&amp;CFG_BLK&amp;" min",""))))))))))))</f>
        <v/>
      </c>
      <c r="BD25" s="80">
        <f>IF(AND(Y25=1,BC25=""),1,0)</f>
        <v>0</v>
      </c>
      <c r="BE25" s="80">
        <f>IF(AND(BD25=1,AU25=1),1,0)</f>
        <v>0</v>
      </c>
      <c r="BF25" s="80" t="str">
        <f>IF(AND(D25="proMX",BD25=1),IF(R25="","Draft",R25),"")</f>
        <v/>
      </c>
      <c r="BG25" s="80">
        <f>IF(BD25=1,ROUND(AG25/60,6),0)</f>
        <v>0</v>
      </c>
      <c r="BH25" s="80">
        <f>IF(BE25=1,ROUND(AG25/60,6),0)</f>
        <v>0</v>
      </c>
      <c r="BI25" s="80">
        <f>IF(BE25=1,ROUND(AP25/60,6),0)</f>
        <v>0</v>
      </c>
      <c r="BJ25" s="80">
        <f>IF(BE25=1,ROUND(AQ25/60,6),0)</f>
        <v>0</v>
      </c>
      <c r="BK25" s="80">
        <f>IF(BE25=1,ROUND((AR25+AS25)/60,6),0)</f>
        <v>0</v>
      </c>
      <c r="BL25" s="80">
        <f>ROUND(BH25-BK25,6)</f>
        <v>0</v>
      </c>
      <c r="BM25" s="80">
        <f>IF(BE25=1,ROUND(AR25/60,6),0)</f>
        <v>0</v>
      </c>
      <c r="BN25" s="80">
        <f>ROUND(BI25-BM25,6)</f>
        <v>0</v>
      </c>
      <c r="BO25" s="80">
        <f>IF(BE25=1,ROUND(AS25/60,6),0)</f>
        <v>0</v>
      </c>
      <c r="BP25" s="80">
        <f>ROUND(BJ25-BO25,6)</f>
        <v>0</v>
      </c>
      <c r="BQ25" s="80">
        <f>IF(BE25=1,AW25,0)</f>
        <v>0</v>
      </c>
      <c r="BR25" s="80">
        <f>IF(BE25=1,AX25,0)</f>
        <v>0</v>
      </c>
      <c r="BS25" s="80">
        <f>IF(AND(BE25=1,D25="Malcolm",BA25&gt;0),MIN(BH25,SUMPRODUCT((R_Emp="proMX")*(R_EN&gt;0)*((R_EN-(R_EN&gt;BR25)*(R_EN-BR25))&gt;(R_SN+(R_SN&lt;BQ25)*(BQ25-R_SN)))*((R_EN-(R_EN&gt;BR25)*(R_EN-BR25))-(R_SN+(R_SN&lt;BQ25)*(BQ25-R_SN))))/60),0)</f>
        <v>0</v>
      </c>
      <c r="BT25" s="80">
        <f>IF(AND(BE25=1,D25="proMX"),ROUND(BI25*CFG_RATE+BJ25*CFG_OTRATE,6),0)</f>
        <v>0</v>
      </c>
      <c r="BU25" s="80">
        <f>IF(AND(BD25=1,D25="proMX"),ROUND(AG25/CFG_BLK,6),0)</f>
        <v>0</v>
      </c>
      <c r="BV25" s="80" t="str">
        <f>IF(BF25="Approved",IF(ISNUMBER(T25),INT(T25),INT(B25)),"")</f>
        <v/>
      </c>
      <c r="BW25" s="80">
        <f>IF(ISNUMBER(B25),IF(DB_MON="Todos",1,IF(AND(INT(B25)&gt;=DB_MS,INT(B25)&lt;=DB_ME),1,0)),0)</f>
        <v>0</v>
      </c>
      <c r="BX25" s="80">
        <f>IF(DB_PROJ="Todos",1,IF(E25&amp;""=DB_PROJ&amp;"",1,0))</f>
        <v>1</v>
      </c>
      <c r="BY25" s="80">
        <f>BW25*BX25</f>
        <v>0</v>
      </c>
      <c r="BZ25" s="80" t="str">
        <f>IF(Y25=1,F25&amp;IF(AND(F25&amp;""&lt;&gt;"",E25&amp;""&lt;&gt;"")," · ","")&amp;E25,"")</f>
        <v/>
      </c>
      <c r="CA25" s="80" t="str">
        <f>IF(AND(BD25=1,E25&amp;""&lt;&gt;""),IF(COUNTIFS($E$5:E24,E25,$BD$5:BD24,1)=0,MAX($CA$5:CA24)+1,""),"")</f>
        <v/>
      </c>
      <c r="CB25" s="80" t="str">
        <f>IF(AND(BE25=1,D25="Malcolm",E25&amp;""&lt;&gt;""),IF(COUNTIFS($D$5:D24,"Malcolm",$E$5:E24,E25,$BE$5:BE24,1)=0,MAX($CB$5:CB24)+1,""),"")</f>
        <v/>
      </c>
      <c r="CC25" s="80" t="str">
        <f>IF(AND(BD25=1,D25="proMX",E25&amp;""&lt;&gt;""),IF(COUNTIFS($D$5:D24,"proMX",$E$5:E24,E25,$BD$5:BD24,1)=0,MAX($CC$5:CC24)+1,""),"")</f>
        <v/>
      </c>
      <c r="CD25" s="80" t="str">
        <f>IF(AND(BE25=1,D25="Malcolm",F25&amp;""&lt;&gt;""),IF(COUNTIFS($D$5:D24,"Malcolm",$F$5:F24,F25,$BE$5:BE24,1)=0,MAX($CD$5:CD24)+1,""),"")</f>
        <v/>
      </c>
      <c r="CE25" s="80" t="str">
        <f>IF(AND(BD25=1,D25="proMX",F25&amp;""&lt;&gt;""),IF(COUNTIFS($D$5:D24,"proMX",$F$5:F24,F25,$BD$5:BD24,1)=0,MAX($CE$5:CE24)+1,""),"")</f>
        <v/>
      </c>
      <c r="CF25" s="80" t="str">
        <f>IF(AND(D25="proMX",BD25=1),IF(OR(BF25="Draft",BF25="Submitted",BF25="Returned",BF25="Recall Requested"),MAX($CF$5:CF24)+1,""),"")</f>
        <v/>
      </c>
      <c r="CG25" s="80">
        <f>IF(BD25=0,0,IF(D25="Malcolm",1,MATCH(BF25,{"Draft","Submitted","Approved","Returned","Recall Requested","Cancelled"},0)+1))</f>
        <v>0</v>
      </c>
      <c r="CH25" s="80">
        <f>IF(AND(BF25="Submitted",ISNUMBER(V25)),IF(V25&gt;CFG_MAXD,1,0),0)</f>
        <v>0</v>
      </c>
    </row>
    <row r="26">
      <c r="A26" s="71" t="str">
        <f>IF(Y26=1,ROW()-5,"")</f>
        <v/>
      </c>
      <c r="B26" s="72" t="n"/>
      <c r="C26" s="71" t="str">
        <f>IF(ISNUMBER(B26),CHOOSE(WEEKDAY(B26,2),"Lun","Mar","Mié","Jue","Vie","Sáb","Dom"),"")</f>
        <v/>
      </c>
      <c r="D26" s="73" t="n"/>
      <c r="E26" s="74" t="n"/>
      <c r="F26" s="74" t="n"/>
      <c r="G26" s="74" t="n"/>
      <c r="H26" s="75" t="n"/>
      <c r="I26" s="75" t="n"/>
      <c r="J26" s="76" t="n"/>
      <c r="K26" s="77" t="str">
        <f>IF(AB26=1,ROUND(AG26/60,4),"")</f>
        <v/>
      </c>
      <c r="L26" s="77" t="str">
        <f>IF(BD26=1,ROUND(AP26/60,4),"")</f>
        <v/>
      </c>
      <c r="M26" s="77" t="str">
        <f>IF(BD26=1,ROUND(AQ26/60,4),"")</f>
        <v/>
      </c>
      <c r="N26" s="71" t="str">
        <f>IF(AND(D26="proMX",AB26=1),ROUND(AG26/CFG_BLK,2),"")</f>
        <v/>
      </c>
      <c r="O26" s="77" t="str">
        <f>IF(D26="proMX",IF(BD26=1,ROUND(AG26/60,4),0),"")</f>
        <v/>
      </c>
      <c r="P26" s="78" t="str">
        <f>IF(Y26=0,"",IF(BD26=1,"OK",IF(D26="proMX","Revisar bloques: ","Revisar: ")&amp;BC26))</f>
        <v/>
      </c>
      <c r="Q26" s="78" t="str">
        <f>IF(NOT(ISNUMBER(B26)),"",IF(COUNTIFS(FER_F,INT(B26))&gt;0,"Feriado"&amp;IF(AH26=1," (laborable)"," (no laborable)"),IF(AH26=1,"Laborable",IF(WEEKDAY(B26,2)&gt;5,"Fin de semana","No laborable"))))</f>
        <v/>
      </c>
      <c r="R26" s="73" t="n"/>
      <c r="S26" s="72" t="n"/>
      <c r="T26" s="72" t="n"/>
      <c r="U26" s="74" t="n"/>
      <c r="V26" s="79" t="str">
        <f>IF(AND(D26="proMX",OR(R26="Submitted",R26="Recall Requested"),ISNUMBER(S26)),CFG_TODAY-INT(S26),"")</f>
        <v/>
      </c>
      <c r="W26" s="78" t="str">
        <f>IF(BD26=0,"",IF(BA26&gt;0,"⚠ Se superpone con un registro de la otra empresa",IF(D26="Malcolm",IF(COUNTA(R26,S26,T26)&gt;0,"Estado/fechas proMX se ignoran en Malcolm",""),IF(BF26="Cancelled","Cancelado: excluido de totales",IF(R26="","Sin estado: se trata como Draft",IF(BF26="Submitted",IF(ISNUMBER(V26),IF(V26&gt;CFG_MAXD,"⚠ "&amp;V26&amp;" días en Submitted (máx. "&amp;CFG_MAXD&amp;")",""),"Falta fecha de envío"),IF(BF26="Returned","⚠ Devuelto: corregir y reenviar",IF(BF26="Recall Requested","Retirada solicitada: pendiente",IF(AND(BF26="Approved",NOT(ISNUMBER(T26))),"Falta fecha de aprobación",IF(AND(ISNUMBER(S26),ISNUMBER(T26),T26&lt;S26),"Aprobación anterior al envío","")))))))))</f>
        <v/>
      </c>
      <c r="Y26" s="80">
        <f>IF(COUNTA(B26,D26,E26,F26,G26,H26,I26,J26,R26,S26,T26)&gt;0,1,0)</f>
        <v>0</v>
      </c>
      <c r="Z26" s="80" t="str">
        <f>IF(AND(ISNUMBER(H26),H26&gt;=0,H26&lt;1),ROUND(H26*1440,0),"")</f>
        <v/>
      </c>
      <c r="AA26" s="80" t="str">
        <f>IF(AND(ISNUMBER(I26),I26&gt;=0,I26&lt;1),ROUND(I26*1440,0),"")</f>
        <v/>
      </c>
      <c r="AB26" s="80">
        <f>IF(AND(ISNUMBER(B26),D26&lt;&gt;"",ISNUMBER(Z26),ISNUMBER(AA26)),IF(Z26=AA26,0,1),0)</f>
        <v>0</v>
      </c>
      <c r="AC26" s="80">
        <f>IF(AB26=1,IF(AA26&lt;Z26,1,0),0)</f>
        <v>0</v>
      </c>
      <c r="AD26" s="80">
        <f>IF(AB26=1,IF(AC26=1,1440-Z26+AA26,AA26-Z26),0)</f>
        <v>0</v>
      </c>
      <c r="AE26" s="80">
        <f>IF(J26="",0,IF(ISNUMBER(J26),J26,-1))</f>
        <v>0</v>
      </c>
      <c r="AF26" s="80">
        <f>MIN(MAX(0,AE26),AD26)</f>
        <v>0</v>
      </c>
      <c r="AG26" s="80">
        <f>MAX(0,AD26-MAX(0,AE26))</f>
        <v>0</v>
      </c>
      <c r="AH26" s="80">
        <f>IF(ISNUMBER(B26),IF(AND(INDEX(CFG_WDAYS,WEEKDAY(INT(B26),2))="Sí",IF(D26="proMX",COUNTIFS(FER_F,INT(B26),FER_NLP,"Sí"),COUNTIFS(FER_F,INT(B26),FER_NLM,"Sí"))=0),1,0),0)</f>
        <v>0</v>
      </c>
      <c r="AI26" s="80">
        <f>IF(AC26=1,IF(AND(INDEX(CFG_WDAYS,WEEKDAY(INT(B26)+1,2))="Sí",IF(D26="proMX",COUNTIFS(FER_F,INT(B26)+1,FER_NLP,"Sí"),COUNTIFS(FER_F,INT(B26)+1,FER_NLM,"Sí"))=0),1,0),0)</f>
        <v>0</v>
      </c>
      <c r="AJ26" s="80">
        <f>IF(AC26=1,1440-Z26,AD26)</f>
        <v>0</v>
      </c>
      <c r="AK26" s="80">
        <f>IF(AND(AB26=1,AH26=1),MAX(0,MIN(IF(AC26=1,1440,AA26),CFG_WEM)-MAX(Z26,CFG_WSM)),0)</f>
        <v>0</v>
      </c>
      <c r="AL26" s="80">
        <f>IF(AND(AC26=1,AI26=1),MAX(0,MIN(AA26,CFG_WEM)-CFG_WSM),0)</f>
        <v>0</v>
      </c>
      <c r="AM26" s="80">
        <f>AK26+AL26</f>
        <v>0</v>
      </c>
      <c r="AN26" s="80">
        <f>IF(CFG_BRK="Proporcional",IF(AD26=0,0,AF26*AM26/AD26),IF(CFG_BRK="Extras primero",MIN(AM26,MAX(0,AF26-(AD26-AM26))),MIN(AF26,AM26)))</f>
        <v>0</v>
      </c>
      <c r="AO26" s="80">
        <f>AF26-AN26</f>
        <v>0</v>
      </c>
      <c r="AP26" s="80">
        <f>AM26-AN26</f>
        <v>0</v>
      </c>
      <c r="AQ26" s="80">
        <f>AD26-AM26-AO26</f>
        <v>0</v>
      </c>
      <c r="AR26" s="80">
        <f>IF(AM26=0,0,AK26-AN26*AK26/AM26)</f>
        <v>0</v>
      </c>
      <c r="AS26" s="80">
        <f>IF(AD26-AM26=0,0,(AJ26-AK26)-AO26*(AJ26-AK26)/(AD26-AM26))</f>
        <v>0</v>
      </c>
      <c r="AT26" s="80" t="str">
        <f>IF(AC26=1,INT(B26)+1,"")</f>
        <v/>
      </c>
      <c r="AU26" s="80">
        <f>IF(AND(D26="proMX",R26="Cancelled"),0,1)</f>
        <v>1</v>
      </c>
      <c r="AV26" s="80">
        <f>IF(AND(AB26=1,AU26=1),IF(COUNTIFS($D$5:D25,D26,$B$5:B25,B26,$Z$5:Z25,Z26,$AA$5:AA25,AA26,$F$5:F25,F26&amp;"",$AU$5:AU25,1)&gt;0,1,0),0)</f>
        <v>0</v>
      </c>
      <c r="AW26" s="80" t="str">
        <f>IF(AB26=1,INT(B26)*1440+Z26,"")</f>
        <v/>
      </c>
      <c r="AX26" s="80" t="str">
        <f>IF(AB26=1,AW26+AD26,"")</f>
        <v/>
      </c>
      <c r="AY26" s="80">
        <f>IF(AND(AB26=1,AV26=0,AU26=1),1,0)</f>
        <v>0</v>
      </c>
      <c r="AZ26" s="80">
        <f>IF(AY26=1,COUNTIFS(R_Emp,D26,R_SAbs,"&lt;"&amp;AX26,R_EAbs,"&gt;"&amp;AW26,R_OKey,1)-1,0)</f>
        <v>0</v>
      </c>
      <c r="BA26" s="80">
        <f>IF(AY26=1,COUNTIFS(R_Emp,"&lt;&gt;"&amp;D26,R_SAbs,"&lt;"&amp;AX26,R_EAbs,"&gt;"&amp;AW26,R_OKey,1),0)</f>
        <v>0</v>
      </c>
      <c r="BB26" s="80">
        <f>IF(AND(AB26=1,D26="proMX"),IF(AND(MOD(Z26,CFG_BLK)=0,MOD(AA26,CFG_BLK)=0,MOD(AG26,CFG_BLK)=0,AG26&gt;0),1,0),1)</f>
        <v>1</v>
      </c>
      <c r="BC26" s="80" t="str">
        <f>IF(Y26=0,"",IF(NOT(ISNUMBER(B26)),"Falta fecha o fecha inválida",IF(D26="","Falta empresa",IF(AND(D26&lt;&gt;"Malcolm",D26&lt;&gt;"proMX"),"Empresa inválida",IF(OR(INT(B26)&lt;CFG_PSTART,INT(B26)&gt;CFG_PEND),"Fecha fuera del período",IF(OR(NOT(ISNUMBER(Z26)),NOT(ISNUMBER(AA26))),"Falta hora inicio/fin o formato inválido",IF(AB26=0,"Hora inicio = hora fin",IF(AE26&lt;0,"Descanso inválido",IF(AE26&gt;=AD26,"Descanso ≥ duración",IF(AV26=1,"Registro duplicado",IF(AZ26&gt;0,"Se superpone con otro registro "&amp;D26,IF(BB26=0,"inicio, fin y duración neta deben ser múltiplos de "&amp;CFG_BLK&amp;" min",""))))))))))))</f>
        <v/>
      </c>
      <c r="BD26" s="80">
        <f>IF(AND(Y26=1,BC26=""),1,0)</f>
        <v>0</v>
      </c>
      <c r="BE26" s="80">
        <f>IF(AND(BD26=1,AU26=1),1,0)</f>
        <v>0</v>
      </c>
      <c r="BF26" s="80" t="str">
        <f>IF(AND(D26="proMX",BD26=1),IF(R26="","Draft",R26),"")</f>
        <v/>
      </c>
      <c r="BG26" s="80">
        <f>IF(BD26=1,ROUND(AG26/60,6),0)</f>
        <v>0</v>
      </c>
      <c r="BH26" s="80">
        <f>IF(BE26=1,ROUND(AG26/60,6),0)</f>
        <v>0</v>
      </c>
      <c r="BI26" s="80">
        <f>IF(BE26=1,ROUND(AP26/60,6),0)</f>
        <v>0</v>
      </c>
      <c r="BJ26" s="80">
        <f>IF(BE26=1,ROUND(AQ26/60,6),0)</f>
        <v>0</v>
      </c>
      <c r="BK26" s="80">
        <f>IF(BE26=1,ROUND((AR26+AS26)/60,6),0)</f>
        <v>0</v>
      </c>
      <c r="BL26" s="80">
        <f>ROUND(BH26-BK26,6)</f>
        <v>0</v>
      </c>
      <c r="BM26" s="80">
        <f>IF(BE26=1,ROUND(AR26/60,6),0)</f>
        <v>0</v>
      </c>
      <c r="BN26" s="80">
        <f>ROUND(BI26-BM26,6)</f>
        <v>0</v>
      </c>
      <c r="BO26" s="80">
        <f>IF(BE26=1,ROUND(AS26/60,6),0)</f>
        <v>0</v>
      </c>
      <c r="BP26" s="80">
        <f>ROUND(BJ26-BO26,6)</f>
        <v>0</v>
      </c>
      <c r="BQ26" s="80">
        <f>IF(BE26=1,AW26,0)</f>
        <v>0</v>
      </c>
      <c r="BR26" s="80">
        <f>IF(BE26=1,AX26,0)</f>
        <v>0</v>
      </c>
      <c r="BS26" s="80">
        <f>IF(AND(BE26=1,D26="Malcolm",BA26&gt;0),MIN(BH26,SUMPRODUCT((R_Emp="proMX")*(R_EN&gt;0)*((R_EN-(R_EN&gt;BR26)*(R_EN-BR26))&gt;(R_SN+(R_SN&lt;BQ26)*(BQ26-R_SN)))*((R_EN-(R_EN&gt;BR26)*(R_EN-BR26))-(R_SN+(R_SN&lt;BQ26)*(BQ26-R_SN))))/60),0)</f>
        <v>0</v>
      </c>
      <c r="BT26" s="80">
        <f>IF(AND(BE26=1,D26="proMX"),ROUND(BI26*CFG_RATE+BJ26*CFG_OTRATE,6),0)</f>
        <v>0</v>
      </c>
      <c r="BU26" s="80">
        <f>IF(AND(BD26=1,D26="proMX"),ROUND(AG26/CFG_BLK,6),0)</f>
        <v>0</v>
      </c>
      <c r="BV26" s="80" t="str">
        <f>IF(BF26="Approved",IF(ISNUMBER(T26),INT(T26),INT(B26)),"")</f>
        <v/>
      </c>
      <c r="BW26" s="80">
        <f>IF(ISNUMBER(B26),IF(DB_MON="Todos",1,IF(AND(INT(B26)&gt;=DB_MS,INT(B26)&lt;=DB_ME),1,0)),0)</f>
        <v>0</v>
      </c>
      <c r="BX26" s="80">
        <f>IF(DB_PROJ="Todos",1,IF(E26&amp;""=DB_PROJ&amp;"",1,0))</f>
        <v>1</v>
      </c>
      <c r="BY26" s="80">
        <f>BW26*BX26</f>
        <v>0</v>
      </c>
      <c r="BZ26" s="80" t="str">
        <f>IF(Y26=1,F26&amp;IF(AND(F26&amp;""&lt;&gt;"",E26&amp;""&lt;&gt;"")," · ","")&amp;E26,"")</f>
        <v/>
      </c>
      <c r="CA26" s="80" t="str">
        <f>IF(AND(BD26=1,E26&amp;""&lt;&gt;""),IF(COUNTIFS($E$5:E25,E26,$BD$5:BD25,1)=0,MAX($CA$5:CA25)+1,""),"")</f>
        <v/>
      </c>
      <c r="CB26" s="80" t="str">
        <f>IF(AND(BE26=1,D26="Malcolm",E26&amp;""&lt;&gt;""),IF(COUNTIFS($D$5:D25,"Malcolm",$E$5:E25,E26,$BE$5:BE25,1)=0,MAX($CB$5:CB25)+1,""),"")</f>
        <v/>
      </c>
      <c r="CC26" s="80" t="str">
        <f>IF(AND(BD26=1,D26="proMX",E26&amp;""&lt;&gt;""),IF(COUNTIFS($D$5:D25,"proMX",$E$5:E25,E26,$BD$5:BD25,1)=0,MAX($CC$5:CC25)+1,""),"")</f>
        <v/>
      </c>
      <c r="CD26" s="80" t="str">
        <f>IF(AND(BE26=1,D26="Malcolm",F26&amp;""&lt;&gt;""),IF(COUNTIFS($D$5:D25,"Malcolm",$F$5:F25,F26,$BE$5:BE25,1)=0,MAX($CD$5:CD25)+1,""),"")</f>
        <v/>
      </c>
      <c r="CE26" s="80" t="str">
        <f>IF(AND(BD26=1,D26="proMX",F26&amp;""&lt;&gt;""),IF(COUNTIFS($D$5:D25,"proMX",$F$5:F25,F26,$BD$5:BD25,1)=0,MAX($CE$5:CE25)+1,""),"")</f>
        <v/>
      </c>
      <c r="CF26" s="80" t="str">
        <f>IF(AND(D26="proMX",BD26=1),IF(OR(BF26="Draft",BF26="Submitted",BF26="Returned",BF26="Recall Requested"),MAX($CF$5:CF25)+1,""),"")</f>
        <v/>
      </c>
      <c r="CG26" s="80">
        <f>IF(BD26=0,0,IF(D26="Malcolm",1,MATCH(BF26,{"Draft","Submitted","Approved","Returned","Recall Requested","Cancelled"},0)+1))</f>
        <v>0</v>
      </c>
      <c r="CH26" s="80">
        <f>IF(AND(BF26="Submitted",ISNUMBER(V26)),IF(V26&gt;CFG_MAXD,1,0),0)</f>
        <v>0</v>
      </c>
    </row>
    <row r="27">
      <c r="A27" s="71" t="str">
        <f>IF(Y27=1,ROW()-5,"")</f>
        <v/>
      </c>
      <c r="B27" s="72" t="n"/>
      <c r="C27" s="71" t="str">
        <f>IF(ISNUMBER(B27),CHOOSE(WEEKDAY(B27,2),"Lun","Mar","Mié","Jue","Vie","Sáb","Dom"),"")</f>
        <v/>
      </c>
      <c r="D27" s="73" t="n"/>
      <c r="E27" s="74" t="n"/>
      <c r="F27" s="74" t="n"/>
      <c r="G27" s="74" t="n"/>
      <c r="H27" s="75" t="n"/>
      <c r="I27" s="75" t="n"/>
      <c r="J27" s="76" t="n"/>
      <c r="K27" s="77" t="str">
        <f>IF(AB27=1,ROUND(AG27/60,4),"")</f>
        <v/>
      </c>
      <c r="L27" s="77" t="str">
        <f>IF(BD27=1,ROUND(AP27/60,4),"")</f>
        <v/>
      </c>
      <c r="M27" s="77" t="str">
        <f>IF(BD27=1,ROUND(AQ27/60,4),"")</f>
        <v/>
      </c>
      <c r="N27" s="71" t="str">
        <f>IF(AND(D27="proMX",AB27=1),ROUND(AG27/CFG_BLK,2),"")</f>
        <v/>
      </c>
      <c r="O27" s="77" t="str">
        <f>IF(D27="proMX",IF(BD27=1,ROUND(AG27/60,4),0),"")</f>
        <v/>
      </c>
      <c r="P27" s="78" t="str">
        <f>IF(Y27=0,"",IF(BD27=1,"OK",IF(D27="proMX","Revisar bloques: ","Revisar: ")&amp;BC27))</f>
        <v/>
      </c>
      <c r="Q27" s="78" t="str">
        <f>IF(NOT(ISNUMBER(B27)),"",IF(COUNTIFS(FER_F,INT(B27))&gt;0,"Feriado"&amp;IF(AH27=1," (laborable)"," (no laborable)"),IF(AH27=1,"Laborable",IF(WEEKDAY(B27,2)&gt;5,"Fin de semana","No laborable"))))</f>
        <v/>
      </c>
      <c r="R27" s="73" t="n"/>
      <c r="S27" s="72" t="n"/>
      <c r="T27" s="72" t="n"/>
      <c r="U27" s="74" t="n"/>
      <c r="V27" s="79" t="str">
        <f>IF(AND(D27="proMX",OR(R27="Submitted",R27="Recall Requested"),ISNUMBER(S27)),CFG_TODAY-INT(S27),"")</f>
        <v/>
      </c>
      <c r="W27" s="78" t="str">
        <f>IF(BD27=0,"",IF(BA27&gt;0,"⚠ Se superpone con un registro de la otra empresa",IF(D27="Malcolm",IF(COUNTA(R27,S27,T27)&gt;0,"Estado/fechas proMX se ignoran en Malcolm",""),IF(BF27="Cancelled","Cancelado: excluido de totales",IF(R27="","Sin estado: se trata como Draft",IF(BF27="Submitted",IF(ISNUMBER(V27),IF(V27&gt;CFG_MAXD,"⚠ "&amp;V27&amp;" días en Submitted (máx. "&amp;CFG_MAXD&amp;")",""),"Falta fecha de envío"),IF(BF27="Returned","⚠ Devuelto: corregir y reenviar",IF(BF27="Recall Requested","Retirada solicitada: pendiente",IF(AND(BF27="Approved",NOT(ISNUMBER(T27))),"Falta fecha de aprobación",IF(AND(ISNUMBER(S27),ISNUMBER(T27),T27&lt;S27),"Aprobación anterior al envío","")))))))))</f>
        <v/>
      </c>
      <c r="Y27" s="80">
        <f>IF(COUNTA(B27,D27,E27,F27,G27,H27,I27,J27,R27,S27,T27)&gt;0,1,0)</f>
        <v>0</v>
      </c>
      <c r="Z27" s="80" t="str">
        <f>IF(AND(ISNUMBER(H27),H27&gt;=0,H27&lt;1),ROUND(H27*1440,0),"")</f>
        <v/>
      </c>
      <c r="AA27" s="80" t="str">
        <f>IF(AND(ISNUMBER(I27),I27&gt;=0,I27&lt;1),ROUND(I27*1440,0),"")</f>
        <v/>
      </c>
      <c r="AB27" s="80">
        <f>IF(AND(ISNUMBER(B27),D27&lt;&gt;"",ISNUMBER(Z27),ISNUMBER(AA27)),IF(Z27=AA27,0,1),0)</f>
        <v>0</v>
      </c>
      <c r="AC27" s="80">
        <f>IF(AB27=1,IF(AA27&lt;Z27,1,0),0)</f>
        <v>0</v>
      </c>
      <c r="AD27" s="80">
        <f>IF(AB27=1,IF(AC27=1,1440-Z27+AA27,AA27-Z27),0)</f>
        <v>0</v>
      </c>
      <c r="AE27" s="80">
        <f>IF(J27="",0,IF(ISNUMBER(J27),J27,-1))</f>
        <v>0</v>
      </c>
      <c r="AF27" s="80">
        <f>MIN(MAX(0,AE27),AD27)</f>
        <v>0</v>
      </c>
      <c r="AG27" s="80">
        <f>MAX(0,AD27-MAX(0,AE27))</f>
        <v>0</v>
      </c>
      <c r="AH27" s="80">
        <f>IF(ISNUMBER(B27),IF(AND(INDEX(CFG_WDAYS,WEEKDAY(INT(B27),2))="Sí",IF(D27="proMX",COUNTIFS(FER_F,INT(B27),FER_NLP,"Sí"),COUNTIFS(FER_F,INT(B27),FER_NLM,"Sí"))=0),1,0),0)</f>
        <v>0</v>
      </c>
      <c r="AI27" s="80">
        <f>IF(AC27=1,IF(AND(INDEX(CFG_WDAYS,WEEKDAY(INT(B27)+1,2))="Sí",IF(D27="proMX",COUNTIFS(FER_F,INT(B27)+1,FER_NLP,"Sí"),COUNTIFS(FER_F,INT(B27)+1,FER_NLM,"Sí"))=0),1,0),0)</f>
        <v>0</v>
      </c>
      <c r="AJ27" s="80">
        <f>IF(AC27=1,1440-Z27,AD27)</f>
        <v>0</v>
      </c>
      <c r="AK27" s="80">
        <f>IF(AND(AB27=1,AH27=1),MAX(0,MIN(IF(AC27=1,1440,AA27),CFG_WEM)-MAX(Z27,CFG_WSM)),0)</f>
        <v>0</v>
      </c>
      <c r="AL27" s="80">
        <f>IF(AND(AC27=1,AI27=1),MAX(0,MIN(AA27,CFG_WEM)-CFG_WSM),0)</f>
        <v>0</v>
      </c>
      <c r="AM27" s="80">
        <f>AK27+AL27</f>
        <v>0</v>
      </c>
      <c r="AN27" s="80">
        <f>IF(CFG_BRK="Proporcional",IF(AD27=0,0,AF27*AM27/AD27),IF(CFG_BRK="Extras primero",MIN(AM27,MAX(0,AF27-(AD27-AM27))),MIN(AF27,AM27)))</f>
        <v>0</v>
      </c>
      <c r="AO27" s="80">
        <f>AF27-AN27</f>
        <v>0</v>
      </c>
      <c r="AP27" s="80">
        <f>AM27-AN27</f>
        <v>0</v>
      </c>
      <c r="AQ27" s="80">
        <f>AD27-AM27-AO27</f>
        <v>0</v>
      </c>
      <c r="AR27" s="80">
        <f>IF(AM27=0,0,AK27-AN27*AK27/AM27)</f>
        <v>0</v>
      </c>
      <c r="AS27" s="80">
        <f>IF(AD27-AM27=0,0,(AJ27-AK27)-AO27*(AJ27-AK27)/(AD27-AM27))</f>
        <v>0</v>
      </c>
      <c r="AT27" s="80" t="str">
        <f>IF(AC27=1,INT(B27)+1,"")</f>
        <v/>
      </c>
      <c r="AU27" s="80">
        <f>IF(AND(D27="proMX",R27="Cancelled"),0,1)</f>
        <v>1</v>
      </c>
      <c r="AV27" s="80">
        <f>IF(AND(AB27=1,AU27=1),IF(COUNTIFS($D$5:D26,D27,$B$5:B26,B27,$Z$5:Z26,Z27,$AA$5:AA26,AA27,$F$5:F26,F27&amp;"",$AU$5:AU26,1)&gt;0,1,0),0)</f>
        <v>0</v>
      </c>
      <c r="AW27" s="80" t="str">
        <f>IF(AB27=1,INT(B27)*1440+Z27,"")</f>
        <v/>
      </c>
      <c r="AX27" s="80" t="str">
        <f>IF(AB27=1,AW27+AD27,"")</f>
        <v/>
      </c>
      <c r="AY27" s="80">
        <f>IF(AND(AB27=1,AV27=0,AU27=1),1,0)</f>
        <v>0</v>
      </c>
      <c r="AZ27" s="80">
        <f>IF(AY27=1,COUNTIFS(R_Emp,D27,R_SAbs,"&lt;"&amp;AX27,R_EAbs,"&gt;"&amp;AW27,R_OKey,1)-1,0)</f>
        <v>0</v>
      </c>
      <c r="BA27" s="80">
        <f>IF(AY27=1,COUNTIFS(R_Emp,"&lt;&gt;"&amp;D27,R_SAbs,"&lt;"&amp;AX27,R_EAbs,"&gt;"&amp;AW27,R_OKey,1),0)</f>
        <v>0</v>
      </c>
      <c r="BB27" s="80">
        <f>IF(AND(AB27=1,D27="proMX"),IF(AND(MOD(Z27,CFG_BLK)=0,MOD(AA27,CFG_BLK)=0,MOD(AG27,CFG_BLK)=0,AG27&gt;0),1,0),1)</f>
        <v>1</v>
      </c>
      <c r="BC27" s="80" t="str">
        <f>IF(Y27=0,"",IF(NOT(ISNUMBER(B27)),"Falta fecha o fecha inválida",IF(D27="","Falta empresa",IF(AND(D27&lt;&gt;"Malcolm",D27&lt;&gt;"proMX"),"Empresa inválida",IF(OR(INT(B27)&lt;CFG_PSTART,INT(B27)&gt;CFG_PEND),"Fecha fuera del período",IF(OR(NOT(ISNUMBER(Z27)),NOT(ISNUMBER(AA27))),"Falta hora inicio/fin o formato inválido",IF(AB27=0,"Hora inicio = hora fin",IF(AE27&lt;0,"Descanso inválido",IF(AE27&gt;=AD27,"Descanso ≥ duración",IF(AV27=1,"Registro duplicado",IF(AZ27&gt;0,"Se superpone con otro registro "&amp;D27,IF(BB27=0,"inicio, fin y duración neta deben ser múltiplos de "&amp;CFG_BLK&amp;" min",""))))))))))))</f>
        <v/>
      </c>
      <c r="BD27" s="80">
        <f>IF(AND(Y27=1,BC27=""),1,0)</f>
        <v>0</v>
      </c>
      <c r="BE27" s="80">
        <f>IF(AND(BD27=1,AU27=1),1,0)</f>
        <v>0</v>
      </c>
      <c r="BF27" s="80" t="str">
        <f>IF(AND(D27="proMX",BD27=1),IF(R27="","Draft",R27),"")</f>
        <v/>
      </c>
      <c r="BG27" s="80">
        <f>IF(BD27=1,ROUND(AG27/60,6),0)</f>
        <v>0</v>
      </c>
      <c r="BH27" s="80">
        <f>IF(BE27=1,ROUND(AG27/60,6),0)</f>
        <v>0</v>
      </c>
      <c r="BI27" s="80">
        <f>IF(BE27=1,ROUND(AP27/60,6),0)</f>
        <v>0</v>
      </c>
      <c r="BJ27" s="80">
        <f>IF(BE27=1,ROUND(AQ27/60,6),0)</f>
        <v>0</v>
      </c>
      <c r="BK27" s="80">
        <f>IF(BE27=1,ROUND((AR27+AS27)/60,6),0)</f>
        <v>0</v>
      </c>
      <c r="BL27" s="80">
        <f>ROUND(BH27-BK27,6)</f>
        <v>0</v>
      </c>
      <c r="BM27" s="80">
        <f>IF(BE27=1,ROUND(AR27/60,6),0)</f>
        <v>0</v>
      </c>
      <c r="BN27" s="80">
        <f>ROUND(BI27-BM27,6)</f>
        <v>0</v>
      </c>
      <c r="BO27" s="80">
        <f>IF(BE27=1,ROUND(AS27/60,6),0)</f>
        <v>0</v>
      </c>
      <c r="BP27" s="80">
        <f>ROUND(BJ27-BO27,6)</f>
        <v>0</v>
      </c>
      <c r="BQ27" s="80">
        <f>IF(BE27=1,AW27,0)</f>
        <v>0</v>
      </c>
      <c r="BR27" s="80">
        <f>IF(BE27=1,AX27,0)</f>
        <v>0</v>
      </c>
      <c r="BS27" s="80">
        <f>IF(AND(BE27=1,D27="Malcolm",BA27&gt;0),MIN(BH27,SUMPRODUCT((R_Emp="proMX")*(R_EN&gt;0)*((R_EN-(R_EN&gt;BR27)*(R_EN-BR27))&gt;(R_SN+(R_SN&lt;BQ27)*(BQ27-R_SN)))*((R_EN-(R_EN&gt;BR27)*(R_EN-BR27))-(R_SN+(R_SN&lt;BQ27)*(BQ27-R_SN))))/60),0)</f>
        <v>0</v>
      </c>
      <c r="BT27" s="80">
        <f>IF(AND(BE27=1,D27="proMX"),ROUND(BI27*CFG_RATE+BJ27*CFG_OTRATE,6),0)</f>
        <v>0</v>
      </c>
      <c r="BU27" s="80">
        <f>IF(AND(BD27=1,D27="proMX"),ROUND(AG27/CFG_BLK,6),0)</f>
        <v>0</v>
      </c>
      <c r="BV27" s="80" t="str">
        <f>IF(BF27="Approved",IF(ISNUMBER(T27),INT(T27),INT(B27)),"")</f>
        <v/>
      </c>
      <c r="BW27" s="80">
        <f>IF(ISNUMBER(B27),IF(DB_MON="Todos",1,IF(AND(INT(B27)&gt;=DB_MS,INT(B27)&lt;=DB_ME),1,0)),0)</f>
        <v>0</v>
      </c>
      <c r="BX27" s="80">
        <f>IF(DB_PROJ="Todos",1,IF(E27&amp;""=DB_PROJ&amp;"",1,0))</f>
        <v>1</v>
      </c>
      <c r="BY27" s="80">
        <f>BW27*BX27</f>
        <v>0</v>
      </c>
      <c r="BZ27" s="80" t="str">
        <f>IF(Y27=1,F27&amp;IF(AND(F27&amp;""&lt;&gt;"",E27&amp;""&lt;&gt;"")," · ","")&amp;E27,"")</f>
        <v/>
      </c>
      <c r="CA27" s="80" t="str">
        <f>IF(AND(BD27=1,E27&amp;""&lt;&gt;""),IF(COUNTIFS($E$5:E26,E27,$BD$5:BD26,1)=0,MAX($CA$5:CA26)+1,""),"")</f>
        <v/>
      </c>
      <c r="CB27" s="80" t="str">
        <f>IF(AND(BE27=1,D27="Malcolm",E27&amp;""&lt;&gt;""),IF(COUNTIFS($D$5:D26,"Malcolm",$E$5:E26,E27,$BE$5:BE26,1)=0,MAX($CB$5:CB26)+1,""),"")</f>
        <v/>
      </c>
      <c r="CC27" s="80" t="str">
        <f>IF(AND(BD27=1,D27="proMX",E27&amp;""&lt;&gt;""),IF(COUNTIFS($D$5:D26,"proMX",$E$5:E26,E27,$BD$5:BD26,1)=0,MAX($CC$5:CC26)+1,""),"")</f>
        <v/>
      </c>
      <c r="CD27" s="80" t="str">
        <f>IF(AND(BE27=1,D27="Malcolm",F27&amp;""&lt;&gt;""),IF(COUNTIFS($D$5:D26,"Malcolm",$F$5:F26,F27,$BE$5:BE26,1)=0,MAX($CD$5:CD26)+1,""),"")</f>
        <v/>
      </c>
      <c r="CE27" s="80" t="str">
        <f>IF(AND(BD27=1,D27="proMX",F27&amp;""&lt;&gt;""),IF(COUNTIFS($D$5:D26,"proMX",$F$5:F26,F27,$BD$5:BD26,1)=0,MAX($CE$5:CE26)+1,""),"")</f>
        <v/>
      </c>
      <c r="CF27" s="80" t="str">
        <f>IF(AND(D27="proMX",BD27=1),IF(OR(BF27="Draft",BF27="Submitted",BF27="Returned",BF27="Recall Requested"),MAX($CF$5:CF26)+1,""),"")</f>
        <v/>
      </c>
      <c r="CG27" s="80">
        <f>IF(BD27=0,0,IF(D27="Malcolm",1,MATCH(BF27,{"Draft","Submitted","Approved","Returned","Recall Requested","Cancelled"},0)+1))</f>
        <v>0</v>
      </c>
      <c r="CH27" s="80">
        <f>IF(AND(BF27="Submitted",ISNUMBER(V27)),IF(V27&gt;CFG_MAXD,1,0),0)</f>
        <v>0</v>
      </c>
    </row>
    <row r="28">
      <c r="A28" s="71" t="str">
        <f>IF(Y28=1,ROW()-5,"")</f>
        <v/>
      </c>
      <c r="B28" s="72" t="n"/>
      <c r="C28" s="71" t="str">
        <f>IF(ISNUMBER(B28),CHOOSE(WEEKDAY(B28,2),"Lun","Mar","Mié","Jue","Vie","Sáb","Dom"),"")</f>
        <v/>
      </c>
      <c r="D28" s="73" t="n"/>
      <c r="E28" s="74" t="n"/>
      <c r="F28" s="74" t="n"/>
      <c r="G28" s="74" t="n"/>
      <c r="H28" s="75" t="n"/>
      <c r="I28" s="75" t="n"/>
      <c r="J28" s="76" t="n"/>
      <c r="K28" s="77" t="str">
        <f>IF(AB28=1,ROUND(AG28/60,4),"")</f>
        <v/>
      </c>
      <c r="L28" s="77" t="str">
        <f>IF(BD28=1,ROUND(AP28/60,4),"")</f>
        <v/>
      </c>
      <c r="M28" s="77" t="str">
        <f>IF(BD28=1,ROUND(AQ28/60,4),"")</f>
        <v/>
      </c>
      <c r="N28" s="71" t="str">
        <f>IF(AND(D28="proMX",AB28=1),ROUND(AG28/CFG_BLK,2),"")</f>
        <v/>
      </c>
      <c r="O28" s="77" t="str">
        <f>IF(D28="proMX",IF(BD28=1,ROUND(AG28/60,4),0),"")</f>
        <v/>
      </c>
      <c r="P28" s="78" t="str">
        <f>IF(Y28=0,"",IF(BD28=1,"OK",IF(D28="proMX","Revisar bloques: ","Revisar: ")&amp;BC28))</f>
        <v/>
      </c>
      <c r="Q28" s="78" t="str">
        <f>IF(NOT(ISNUMBER(B28)),"",IF(COUNTIFS(FER_F,INT(B28))&gt;0,"Feriado"&amp;IF(AH28=1," (laborable)"," (no laborable)"),IF(AH28=1,"Laborable",IF(WEEKDAY(B28,2)&gt;5,"Fin de semana","No laborable"))))</f>
        <v/>
      </c>
      <c r="R28" s="73" t="n"/>
      <c r="S28" s="72" t="n"/>
      <c r="T28" s="72" t="n"/>
      <c r="U28" s="74" t="n"/>
      <c r="V28" s="79" t="str">
        <f>IF(AND(D28="proMX",OR(R28="Submitted",R28="Recall Requested"),ISNUMBER(S28)),CFG_TODAY-INT(S28),"")</f>
        <v/>
      </c>
      <c r="W28" s="78" t="str">
        <f>IF(BD28=0,"",IF(BA28&gt;0,"⚠ Se superpone con un registro de la otra empresa",IF(D28="Malcolm",IF(COUNTA(R28,S28,T28)&gt;0,"Estado/fechas proMX se ignoran en Malcolm",""),IF(BF28="Cancelled","Cancelado: excluido de totales",IF(R28="","Sin estado: se trata como Draft",IF(BF28="Submitted",IF(ISNUMBER(V28),IF(V28&gt;CFG_MAXD,"⚠ "&amp;V28&amp;" días en Submitted (máx. "&amp;CFG_MAXD&amp;")",""),"Falta fecha de envío"),IF(BF28="Returned","⚠ Devuelto: corregir y reenviar",IF(BF28="Recall Requested","Retirada solicitada: pendiente",IF(AND(BF28="Approved",NOT(ISNUMBER(T28))),"Falta fecha de aprobación",IF(AND(ISNUMBER(S28),ISNUMBER(T28),T28&lt;S28),"Aprobación anterior al envío","")))))))))</f>
        <v/>
      </c>
      <c r="Y28" s="80">
        <f>IF(COUNTA(B28,D28,E28,F28,G28,H28,I28,J28,R28,S28,T28)&gt;0,1,0)</f>
        <v>0</v>
      </c>
      <c r="Z28" s="80" t="str">
        <f>IF(AND(ISNUMBER(H28),H28&gt;=0,H28&lt;1),ROUND(H28*1440,0),"")</f>
        <v/>
      </c>
      <c r="AA28" s="80" t="str">
        <f>IF(AND(ISNUMBER(I28),I28&gt;=0,I28&lt;1),ROUND(I28*1440,0),"")</f>
        <v/>
      </c>
      <c r="AB28" s="80">
        <f>IF(AND(ISNUMBER(B28),D28&lt;&gt;"",ISNUMBER(Z28),ISNUMBER(AA28)),IF(Z28=AA28,0,1),0)</f>
        <v>0</v>
      </c>
      <c r="AC28" s="80">
        <f>IF(AB28=1,IF(AA28&lt;Z28,1,0),0)</f>
        <v>0</v>
      </c>
      <c r="AD28" s="80">
        <f>IF(AB28=1,IF(AC28=1,1440-Z28+AA28,AA28-Z28),0)</f>
        <v>0</v>
      </c>
      <c r="AE28" s="80">
        <f>IF(J28="",0,IF(ISNUMBER(J28),J28,-1))</f>
        <v>0</v>
      </c>
      <c r="AF28" s="80">
        <f>MIN(MAX(0,AE28),AD28)</f>
        <v>0</v>
      </c>
      <c r="AG28" s="80">
        <f>MAX(0,AD28-MAX(0,AE28))</f>
        <v>0</v>
      </c>
      <c r="AH28" s="80">
        <f>IF(ISNUMBER(B28),IF(AND(INDEX(CFG_WDAYS,WEEKDAY(INT(B28),2))="Sí",IF(D28="proMX",COUNTIFS(FER_F,INT(B28),FER_NLP,"Sí"),COUNTIFS(FER_F,INT(B28),FER_NLM,"Sí"))=0),1,0),0)</f>
        <v>0</v>
      </c>
      <c r="AI28" s="80">
        <f>IF(AC28=1,IF(AND(INDEX(CFG_WDAYS,WEEKDAY(INT(B28)+1,2))="Sí",IF(D28="proMX",COUNTIFS(FER_F,INT(B28)+1,FER_NLP,"Sí"),COUNTIFS(FER_F,INT(B28)+1,FER_NLM,"Sí"))=0),1,0),0)</f>
        <v>0</v>
      </c>
      <c r="AJ28" s="80">
        <f>IF(AC28=1,1440-Z28,AD28)</f>
        <v>0</v>
      </c>
      <c r="AK28" s="80">
        <f>IF(AND(AB28=1,AH28=1),MAX(0,MIN(IF(AC28=1,1440,AA28),CFG_WEM)-MAX(Z28,CFG_WSM)),0)</f>
        <v>0</v>
      </c>
      <c r="AL28" s="80">
        <f>IF(AND(AC28=1,AI28=1),MAX(0,MIN(AA28,CFG_WEM)-CFG_WSM),0)</f>
        <v>0</v>
      </c>
      <c r="AM28" s="80">
        <f>AK28+AL28</f>
        <v>0</v>
      </c>
      <c r="AN28" s="80">
        <f>IF(CFG_BRK="Proporcional",IF(AD28=0,0,AF28*AM28/AD28),IF(CFG_BRK="Extras primero",MIN(AM28,MAX(0,AF28-(AD28-AM28))),MIN(AF28,AM28)))</f>
        <v>0</v>
      </c>
      <c r="AO28" s="80">
        <f>AF28-AN28</f>
        <v>0</v>
      </c>
      <c r="AP28" s="80">
        <f>AM28-AN28</f>
        <v>0</v>
      </c>
      <c r="AQ28" s="80">
        <f>AD28-AM28-AO28</f>
        <v>0</v>
      </c>
      <c r="AR28" s="80">
        <f>IF(AM28=0,0,AK28-AN28*AK28/AM28)</f>
        <v>0</v>
      </c>
      <c r="AS28" s="80">
        <f>IF(AD28-AM28=0,0,(AJ28-AK28)-AO28*(AJ28-AK28)/(AD28-AM28))</f>
        <v>0</v>
      </c>
      <c r="AT28" s="80" t="str">
        <f>IF(AC28=1,INT(B28)+1,"")</f>
        <v/>
      </c>
      <c r="AU28" s="80">
        <f>IF(AND(D28="proMX",R28="Cancelled"),0,1)</f>
        <v>1</v>
      </c>
      <c r="AV28" s="80">
        <f>IF(AND(AB28=1,AU28=1),IF(COUNTIFS($D$5:D27,D28,$B$5:B27,B28,$Z$5:Z27,Z28,$AA$5:AA27,AA28,$F$5:F27,F28&amp;"",$AU$5:AU27,1)&gt;0,1,0),0)</f>
        <v>0</v>
      </c>
      <c r="AW28" s="80" t="str">
        <f>IF(AB28=1,INT(B28)*1440+Z28,"")</f>
        <v/>
      </c>
      <c r="AX28" s="80" t="str">
        <f>IF(AB28=1,AW28+AD28,"")</f>
        <v/>
      </c>
      <c r="AY28" s="80">
        <f>IF(AND(AB28=1,AV28=0,AU28=1),1,0)</f>
        <v>0</v>
      </c>
      <c r="AZ28" s="80">
        <f>IF(AY28=1,COUNTIFS(R_Emp,D28,R_SAbs,"&lt;"&amp;AX28,R_EAbs,"&gt;"&amp;AW28,R_OKey,1)-1,0)</f>
        <v>0</v>
      </c>
      <c r="BA28" s="80">
        <f>IF(AY28=1,COUNTIFS(R_Emp,"&lt;&gt;"&amp;D28,R_SAbs,"&lt;"&amp;AX28,R_EAbs,"&gt;"&amp;AW28,R_OKey,1),0)</f>
        <v>0</v>
      </c>
      <c r="BB28" s="80">
        <f>IF(AND(AB28=1,D28="proMX"),IF(AND(MOD(Z28,CFG_BLK)=0,MOD(AA28,CFG_BLK)=0,MOD(AG28,CFG_BLK)=0,AG28&gt;0),1,0),1)</f>
        <v>1</v>
      </c>
      <c r="BC28" s="80" t="str">
        <f>IF(Y28=0,"",IF(NOT(ISNUMBER(B28)),"Falta fecha o fecha inválida",IF(D28="","Falta empresa",IF(AND(D28&lt;&gt;"Malcolm",D28&lt;&gt;"proMX"),"Empresa inválida",IF(OR(INT(B28)&lt;CFG_PSTART,INT(B28)&gt;CFG_PEND),"Fecha fuera del período",IF(OR(NOT(ISNUMBER(Z28)),NOT(ISNUMBER(AA28))),"Falta hora inicio/fin o formato inválido",IF(AB28=0,"Hora inicio = hora fin",IF(AE28&lt;0,"Descanso inválido",IF(AE28&gt;=AD28,"Descanso ≥ duración",IF(AV28=1,"Registro duplicado",IF(AZ28&gt;0,"Se superpone con otro registro "&amp;D28,IF(BB28=0,"inicio, fin y duración neta deben ser múltiplos de "&amp;CFG_BLK&amp;" min",""))))))))))))</f>
        <v/>
      </c>
      <c r="BD28" s="80">
        <f>IF(AND(Y28=1,BC28=""),1,0)</f>
        <v>0</v>
      </c>
      <c r="BE28" s="80">
        <f>IF(AND(BD28=1,AU28=1),1,0)</f>
        <v>0</v>
      </c>
      <c r="BF28" s="80" t="str">
        <f>IF(AND(D28="proMX",BD28=1),IF(R28="","Draft",R28),"")</f>
        <v/>
      </c>
      <c r="BG28" s="80">
        <f>IF(BD28=1,ROUND(AG28/60,6),0)</f>
        <v>0</v>
      </c>
      <c r="BH28" s="80">
        <f>IF(BE28=1,ROUND(AG28/60,6),0)</f>
        <v>0</v>
      </c>
      <c r="BI28" s="80">
        <f>IF(BE28=1,ROUND(AP28/60,6),0)</f>
        <v>0</v>
      </c>
      <c r="BJ28" s="80">
        <f>IF(BE28=1,ROUND(AQ28/60,6),0)</f>
        <v>0</v>
      </c>
      <c r="BK28" s="80">
        <f>IF(BE28=1,ROUND((AR28+AS28)/60,6),0)</f>
        <v>0</v>
      </c>
      <c r="BL28" s="80">
        <f>ROUND(BH28-BK28,6)</f>
        <v>0</v>
      </c>
      <c r="BM28" s="80">
        <f>IF(BE28=1,ROUND(AR28/60,6),0)</f>
        <v>0</v>
      </c>
      <c r="BN28" s="80">
        <f>ROUND(BI28-BM28,6)</f>
        <v>0</v>
      </c>
      <c r="BO28" s="80">
        <f>IF(BE28=1,ROUND(AS28/60,6),0)</f>
        <v>0</v>
      </c>
      <c r="BP28" s="80">
        <f>ROUND(BJ28-BO28,6)</f>
        <v>0</v>
      </c>
      <c r="BQ28" s="80">
        <f>IF(BE28=1,AW28,0)</f>
        <v>0</v>
      </c>
      <c r="BR28" s="80">
        <f>IF(BE28=1,AX28,0)</f>
        <v>0</v>
      </c>
      <c r="BS28" s="80">
        <f>IF(AND(BE28=1,D28="Malcolm",BA28&gt;0),MIN(BH28,SUMPRODUCT((R_Emp="proMX")*(R_EN&gt;0)*((R_EN-(R_EN&gt;BR28)*(R_EN-BR28))&gt;(R_SN+(R_SN&lt;BQ28)*(BQ28-R_SN)))*((R_EN-(R_EN&gt;BR28)*(R_EN-BR28))-(R_SN+(R_SN&lt;BQ28)*(BQ28-R_SN))))/60),0)</f>
        <v>0</v>
      </c>
      <c r="BT28" s="80">
        <f>IF(AND(BE28=1,D28="proMX"),ROUND(BI28*CFG_RATE+BJ28*CFG_OTRATE,6),0)</f>
        <v>0</v>
      </c>
      <c r="BU28" s="80">
        <f>IF(AND(BD28=1,D28="proMX"),ROUND(AG28/CFG_BLK,6),0)</f>
        <v>0</v>
      </c>
      <c r="BV28" s="80" t="str">
        <f>IF(BF28="Approved",IF(ISNUMBER(T28),INT(T28),INT(B28)),"")</f>
        <v/>
      </c>
      <c r="BW28" s="80">
        <f>IF(ISNUMBER(B28),IF(DB_MON="Todos",1,IF(AND(INT(B28)&gt;=DB_MS,INT(B28)&lt;=DB_ME),1,0)),0)</f>
        <v>0</v>
      </c>
      <c r="BX28" s="80">
        <f>IF(DB_PROJ="Todos",1,IF(E28&amp;""=DB_PROJ&amp;"",1,0))</f>
        <v>1</v>
      </c>
      <c r="BY28" s="80">
        <f>BW28*BX28</f>
        <v>0</v>
      </c>
      <c r="BZ28" s="80" t="str">
        <f>IF(Y28=1,F28&amp;IF(AND(F28&amp;""&lt;&gt;"",E28&amp;""&lt;&gt;"")," · ","")&amp;E28,"")</f>
        <v/>
      </c>
      <c r="CA28" s="80" t="str">
        <f>IF(AND(BD28=1,E28&amp;""&lt;&gt;""),IF(COUNTIFS($E$5:E27,E28,$BD$5:BD27,1)=0,MAX($CA$5:CA27)+1,""),"")</f>
        <v/>
      </c>
      <c r="CB28" s="80" t="str">
        <f>IF(AND(BE28=1,D28="Malcolm",E28&amp;""&lt;&gt;""),IF(COUNTIFS($D$5:D27,"Malcolm",$E$5:E27,E28,$BE$5:BE27,1)=0,MAX($CB$5:CB27)+1,""),"")</f>
        <v/>
      </c>
      <c r="CC28" s="80" t="str">
        <f>IF(AND(BD28=1,D28="proMX",E28&amp;""&lt;&gt;""),IF(COUNTIFS($D$5:D27,"proMX",$E$5:E27,E28,$BD$5:BD27,1)=0,MAX($CC$5:CC27)+1,""),"")</f>
        <v/>
      </c>
      <c r="CD28" s="80" t="str">
        <f>IF(AND(BE28=1,D28="Malcolm",F28&amp;""&lt;&gt;""),IF(COUNTIFS($D$5:D27,"Malcolm",$F$5:F27,F28,$BE$5:BE27,1)=0,MAX($CD$5:CD27)+1,""),"")</f>
        <v/>
      </c>
      <c r="CE28" s="80" t="str">
        <f>IF(AND(BD28=1,D28="proMX",F28&amp;""&lt;&gt;""),IF(COUNTIFS($D$5:D27,"proMX",$F$5:F27,F28,$BD$5:BD27,1)=0,MAX($CE$5:CE27)+1,""),"")</f>
        <v/>
      </c>
      <c r="CF28" s="80" t="str">
        <f>IF(AND(D28="proMX",BD28=1),IF(OR(BF28="Draft",BF28="Submitted",BF28="Returned",BF28="Recall Requested"),MAX($CF$5:CF27)+1,""),"")</f>
        <v/>
      </c>
      <c r="CG28" s="80">
        <f>IF(BD28=0,0,IF(D28="Malcolm",1,MATCH(BF28,{"Draft","Submitted","Approved","Returned","Recall Requested","Cancelled"},0)+1))</f>
        <v>0</v>
      </c>
      <c r="CH28" s="80">
        <f>IF(AND(BF28="Submitted",ISNUMBER(V28)),IF(V28&gt;CFG_MAXD,1,0),0)</f>
        <v>0</v>
      </c>
    </row>
    <row r="29">
      <c r="A29" s="71" t="str">
        <f>IF(Y29=1,ROW()-5,"")</f>
        <v/>
      </c>
      <c r="B29" s="72" t="n"/>
      <c r="C29" s="71" t="str">
        <f>IF(ISNUMBER(B29),CHOOSE(WEEKDAY(B29,2),"Lun","Mar","Mié","Jue","Vie","Sáb","Dom"),"")</f>
        <v/>
      </c>
      <c r="D29" s="73" t="n"/>
      <c r="E29" s="74" t="n"/>
      <c r="F29" s="74" t="n"/>
      <c r="G29" s="74" t="n"/>
      <c r="H29" s="75" t="n"/>
      <c r="I29" s="75" t="n"/>
      <c r="J29" s="76" t="n"/>
      <c r="K29" s="77" t="str">
        <f>IF(AB29=1,ROUND(AG29/60,4),"")</f>
        <v/>
      </c>
      <c r="L29" s="77" t="str">
        <f>IF(BD29=1,ROUND(AP29/60,4),"")</f>
        <v/>
      </c>
      <c r="M29" s="77" t="str">
        <f>IF(BD29=1,ROUND(AQ29/60,4),"")</f>
        <v/>
      </c>
      <c r="N29" s="71" t="str">
        <f>IF(AND(D29="proMX",AB29=1),ROUND(AG29/CFG_BLK,2),"")</f>
        <v/>
      </c>
      <c r="O29" s="77" t="str">
        <f>IF(D29="proMX",IF(BD29=1,ROUND(AG29/60,4),0),"")</f>
        <v/>
      </c>
      <c r="P29" s="78" t="str">
        <f>IF(Y29=0,"",IF(BD29=1,"OK",IF(D29="proMX","Revisar bloques: ","Revisar: ")&amp;BC29))</f>
        <v/>
      </c>
      <c r="Q29" s="78" t="str">
        <f>IF(NOT(ISNUMBER(B29)),"",IF(COUNTIFS(FER_F,INT(B29))&gt;0,"Feriado"&amp;IF(AH29=1," (laborable)"," (no laborable)"),IF(AH29=1,"Laborable",IF(WEEKDAY(B29,2)&gt;5,"Fin de semana","No laborable"))))</f>
        <v/>
      </c>
      <c r="R29" s="73" t="n"/>
      <c r="S29" s="72" t="n"/>
      <c r="T29" s="72" t="n"/>
      <c r="U29" s="74" t="n"/>
      <c r="V29" s="79" t="str">
        <f>IF(AND(D29="proMX",OR(R29="Submitted",R29="Recall Requested"),ISNUMBER(S29)),CFG_TODAY-INT(S29),"")</f>
        <v/>
      </c>
      <c r="W29" s="78" t="str">
        <f>IF(BD29=0,"",IF(BA29&gt;0,"⚠ Se superpone con un registro de la otra empresa",IF(D29="Malcolm",IF(COUNTA(R29,S29,T29)&gt;0,"Estado/fechas proMX se ignoran en Malcolm",""),IF(BF29="Cancelled","Cancelado: excluido de totales",IF(R29="","Sin estado: se trata como Draft",IF(BF29="Submitted",IF(ISNUMBER(V29),IF(V29&gt;CFG_MAXD,"⚠ "&amp;V29&amp;" días en Submitted (máx. "&amp;CFG_MAXD&amp;")",""),"Falta fecha de envío"),IF(BF29="Returned","⚠ Devuelto: corregir y reenviar",IF(BF29="Recall Requested","Retirada solicitada: pendiente",IF(AND(BF29="Approved",NOT(ISNUMBER(T29))),"Falta fecha de aprobación",IF(AND(ISNUMBER(S29),ISNUMBER(T29),T29&lt;S29),"Aprobación anterior al envío","")))))))))</f>
        <v/>
      </c>
      <c r="Y29" s="80">
        <f>IF(COUNTA(B29,D29,E29,F29,G29,H29,I29,J29,R29,S29,T29)&gt;0,1,0)</f>
        <v>0</v>
      </c>
      <c r="Z29" s="80" t="str">
        <f>IF(AND(ISNUMBER(H29),H29&gt;=0,H29&lt;1),ROUND(H29*1440,0),"")</f>
        <v/>
      </c>
      <c r="AA29" s="80" t="str">
        <f>IF(AND(ISNUMBER(I29),I29&gt;=0,I29&lt;1),ROUND(I29*1440,0),"")</f>
        <v/>
      </c>
      <c r="AB29" s="80">
        <f>IF(AND(ISNUMBER(B29),D29&lt;&gt;"",ISNUMBER(Z29),ISNUMBER(AA29)),IF(Z29=AA29,0,1),0)</f>
        <v>0</v>
      </c>
      <c r="AC29" s="80">
        <f>IF(AB29=1,IF(AA29&lt;Z29,1,0),0)</f>
        <v>0</v>
      </c>
      <c r="AD29" s="80">
        <f>IF(AB29=1,IF(AC29=1,1440-Z29+AA29,AA29-Z29),0)</f>
        <v>0</v>
      </c>
      <c r="AE29" s="80">
        <f>IF(J29="",0,IF(ISNUMBER(J29),J29,-1))</f>
        <v>0</v>
      </c>
      <c r="AF29" s="80">
        <f>MIN(MAX(0,AE29),AD29)</f>
        <v>0</v>
      </c>
      <c r="AG29" s="80">
        <f>MAX(0,AD29-MAX(0,AE29))</f>
        <v>0</v>
      </c>
      <c r="AH29" s="80">
        <f>IF(ISNUMBER(B29),IF(AND(INDEX(CFG_WDAYS,WEEKDAY(INT(B29),2))="Sí",IF(D29="proMX",COUNTIFS(FER_F,INT(B29),FER_NLP,"Sí"),COUNTIFS(FER_F,INT(B29),FER_NLM,"Sí"))=0),1,0),0)</f>
        <v>0</v>
      </c>
      <c r="AI29" s="80">
        <f>IF(AC29=1,IF(AND(INDEX(CFG_WDAYS,WEEKDAY(INT(B29)+1,2))="Sí",IF(D29="proMX",COUNTIFS(FER_F,INT(B29)+1,FER_NLP,"Sí"),COUNTIFS(FER_F,INT(B29)+1,FER_NLM,"Sí"))=0),1,0),0)</f>
        <v>0</v>
      </c>
      <c r="AJ29" s="80">
        <f>IF(AC29=1,1440-Z29,AD29)</f>
        <v>0</v>
      </c>
      <c r="AK29" s="80">
        <f>IF(AND(AB29=1,AH29=1),MAX(0,MIN(IF(AC29=1,1440,AA29),CFG_WEM)-MAX(Z29,CFG_WSM)),0)</f>
        <v>0</v>
      </c>
      <c r="AL29" s="80">
        <f>IF(AND(AC29=1,AI29=1),MAX(0,MIN(AA29,CFG_WEM)-CFG_WSM),0)</f>
        <v>0</v>
      </c>
      <c r="AM29" s="80">
        <f>AK29+AL29</f>
        <v>0</v>
      </c>
      <c r="AN29" s="80">
        <f>IF(CFG_BRK="Proporcional",IF(AD29=0,0,AF29*AM29/AD29),IF(CFG_BRK="Extras primero",MIN(AM29,MAX(0,AF29-(AD29-AM29))),MIN(AF29,AM29)))</f>
        <v>0</v>
      </c>
      <c r="AO29" s="80">
        <f>AF29-AN29</f>
        <v>0</v>
      </c>
      <c r="AP29" s="80">
        <f>AM29-AN29</f>
        <v>0</v>
      </c>
      <c r="AQ29" s="80">
        <f>AD29-AM29-AO29</f>
        <v>0</v>
      </c>
      <c r="AR29" s="80">
        <f>IF(AM29=0,0,AK29-AN29*AK29/AM29)</f>
        <v>0</v>
      </c>
      <c r="AS29" s="80">
        <f>IF(AD29-AM29=0,0,(AJ29-AK29)-AO29*(AJ29-AK29)/(AD29-AM29))</f>
        <v>0</v>
      </c>
      <c r="AT29" s="80" t="str">
        <f>IF(AC29=1,INT(B29)+1,"")</f>
        <v/>
      </c>
      <c r="AU29" s="80">
        <f>IF(AND(D29="proMX",R29="Cancelled"),0,1)</f>
        <v>1</v>
      </c>
      <c r="AV29" s="80">
        <f>IF(AND(AB29=1,AU29=1),IF(COUNTIFS($D$5:D28,D29,$B$5:B28,B29,$Z$5:Z28,Z29,$AA$5:AA28,AA29,$F$5:F28,F29&amp;"",$AU$5:AU28,1)&gt;0,1,0),0)</f>
        <v>0</v>
      </c>
      <c r="AW29" s="80" t="str">
        <f>IF(AB29=1,INT(B29)*1440+Z29,"")</f>
        <v/>
      </c>
      <c r="AX29" s="80" t="str">
        <f>IF(AB29=1,AW29+AD29,"")</f>
        <v/>
      </c>
      <c r="AY29" s="80">
        <f>IF(AND(AB29=1,AV29=0,AU29=1),1,0)</f>
        <v>0</v>
      </c>
      <c r="AZ29" s="80">
        <f>IF(AY29=1,COUNTIFS(R_Emp,D29,R_SAbs,"&lt;"&amp;AX29,R_EAbs,"&gt;"&amp;AW29,R_OKey,1)-1,0)</f>
        <v>0</v>
      </c>
      <c r="BA29" s="80">
        <f>IF(AY29=1,COUNTIFS(R_Emp,"&lt;&gt;"&amp;D29,R_SAbs,"&lt;"&amp;AX29,R_EAbs,"&gt;"&amp;AW29,R_OKey,1),0)</f>
        <v>0</v>
      </c>
      <c r="BB29" s="80">
        <f>IF(AND(AB29=1,D29="proMX"),IF(AND(MOD(Z29,CFG_BLK)=0,MOD(AA29,CFG_BLK)=0,MOD(AG29,CFG_BLK)=0,AG29&gt;0),1,0),1)</f>
        <v>1</v>
      </c>
      <c r="BC29" s="80" t="str">
        <f>IF(Y29=0,"",IF(NOT(ISNUMBER(B29)),"Falta fecha o fecha inválida",IF(D29="","Falta empresa",IF(AND(D29&lt;&gt;"Malcolm",D29&lt;&gt;"proMX"),"Empresa inválida",IF(OR(INT(B29)&lt;CFG_PSTART,INT(B29)&gt;CFG_PEND),"Fecha fuera del período",IF(OR(NOT(ISNUMBER(Z29)),NOT(ISNUMBER(AA29))),"Falta hora inicio/fin o formato inválido",IF(AB29=0,"Hora inicio = hora fin",IF(AE29&lt;0,"Descanso inválido",IF(AE29&gt;=AD29,"Descanso ≥ duración",IF(AV29=1,"Registro duplicado",IF(AZ29&gt;0,"Se superpone con otro registro "&amp;D29,IF(BB29=0,"inicio, fin y duración neta deben ser múltiplos de "&amp;CFG_BLK&amp;" min",""))))))))))))</f>
        <v/>
      </c>
      <c r="BD29" s="80">
        <f>IF(AND(Y29=1,BC29=""),1,0)</f>
        <v>0</v>
      </c>
      <c r="BE29" s="80">
        <f>IF(AND(BD29=1,AU29=1),1,0)</f>
        <v>0</v>
      </c>
      <c r="BF29" s="80" t="str">
        <f>IF(AND(D29="proMX",BD29=1),IF(R29="","Draft",R29),"")</f>
        <v/>
      </c>
      <c r="BG29" s="80">
        <f>IF(BD29=1,ROUND(AG29/60,6),0)</f>
        <v>0</v>
      </c>
      <c r="BH29" s="80">
        <f>IF(BE29=1,ROUND(AG29/60,6),0)</f>
        <v>0</v>
      </c>
      <c r="BI29" s="80">
        <f>IF(BE29=1,ROUND(AP29/60,6),0)</f>
        <v>0</v>
      </c>
      <c r="BJ29" s="80">
        <f>IF(BE29=1,ROUND(AQ29/60,6),0)</f>
        <v>0</v>
      </c>
      <c r="BK29" s="80">
        <f>IF(BE29=1,ROUND((AR29+AS29)/60,6),0)</f>
        <v>0</v>
      </c>
      <c r="BL29" s="80">
        <f>ROUND(BH29-BK29,6)</f>
        <v>0</v>
      </c>
      <c r="BM29" s="80">
        <f>IF(BE29=1,ROUND(AR29/60,6),0)</f>
        <v>0</v>
      </c>
      <c r="BN29" s="80">
        <f>ROUND(BI29-BM29,6)</f>
        <v>0</v>
      </c>
      <c r="BO29" s="80">
        <f>IF(BE29=1,ROUND(AS29/60,6),0)</f>
        <v>0</v>
      </c>
      <c r="BP29" s="80">
        <f>ROUND(BJ29-BO29,6)</f>
        <v>0</v>
      </c>
      <c r="BQ29" s="80">
        <f>IF(BE29=1,AW29,0)</f>
        <v>0</v>
      </c>
      <c r="BR29" s="80">
        <f>IF(BE29=1,AX29,0)</f>
        <v>0</v>
      </c>
      <c r="BS29" s="80">
        <f>IF(AND(BE29=1,D29="Malcolm",BA29&gt;0),MIN(BH29,SUMPRODUCT((R_Emp="proMX")*(R_EN&gt;0)*((R_EN-(R_EN&gt;BR29)*(R_EN-BR29))&gt;(R_SN+(R_SN&lt;BQ29)*(BQ29-R_SN)))*((R_EN-(R_EN&gt;BR29)*(R_EN-BR29))-(R_SN+(R_SN&lt;BQ29)*(BQ29-R_SN))))/60),0)</f>
        <v>0</v>
      </c>
      <c r="BT29" s="80">
        <f>IF(AND(BE29=1,D29="proMX"),ROUND(BI29*CFG_RATE+BJ29*CFG_OTRATE,6),0)</f>
        <v>0</v>
      </c>
      <c r="BU29" s="80">
        <f>IF(AND(BD29=1,D29="proMX"),ROUND(AG29/CFG_BLK,6),0)</f>
        <v>0</v>
      </c>
      <c r="BV29" s="80" t="str">
        <f>IF(BF29="Approved",IF(ISNUMBER(T29),INT(T29),INT(B29)),"")</f>
        <v/>
      </c>
      <c r="BW29" s="80">
        <f>IF(ISNUMBER(B29),IF(DB_MON="Todos",1,IF(AND(INT(B29)&gt;=DB_MS,INT(B29)&lt;=DB_ME),1,0)),0)</f>
        <v>0</v>
      </c>
      <c r="BX29" s="80">
        <f>IF(DB_PROJ="Todos",1,IF(E29&amp;""=DB_PROJ&amp;"",1,0))</f>
        <v>1</v>
      </c>
      <c r="BY29" s="80">
        <f>BW29*BX29</f>
        <v>0</v>
      </c>
      <c r="BZ29" s="80" t="str">
        <f>IF(Y29=1,F29&amp;IF(AND(F29&amp;""&lt;&gt;"",E29&amp;""&lt;&gt;"")," · ","")&amp;E29,"")</f>
        <v/>
      </c>
      <c r="CA29" s="80" t="str">
        <f>IF(AND(BD29=1,E29&amp;""&lt;&gt;""),IF(COUNTIFS($E$5:E28,E29,$BD$5:BD28,1)=0,MAX($CA$5:CA28)+1,""),"")</f>
        <v/>
      </c>
      <c r="CB29" s="80" t="str">
        <f>IF(AND(BE29=1,D29="Malcolm",E29&amp;""&lt;&gt;""),IF(COUNTIFS($D$5:D28,"Malcolm",$E$5:E28,E29,$BE$5:BE28,1)=0,MAX($CB$5:CB28)+1,""),"")</f>
        <v/>
      </c>
      <c r="CC29" s="80" t="str">
        <f>IF(AND(BD29=1,D29="proMX",E29&amp;""&lt;&gt;""),IF(COUNTIFS($D$5:D28,"proMX",$E$5:E28,E29,$BD$5:BD28,1)=0,MAX($CC$5:CC28)+1,""),"")</f>
        <v/>
      </c>
      <c r="CD29" s="80" t="str">
        <f>IF(AND(BE29=1,D29="Malcolm",F29&amp;""&lt;&gt;""),IF(COUNTIFS($D$5:D28,"Malcolm",$F$5:F28,F29,$BE$5:BE28,1)=0,MAX($CD$5:CD28)+1,""),"")</f>
        <v/>
      </c>
      <c r="CE29" s="80" t="str">
        <f>IF(AND(BD29=1,D29="proMX",F29&amp;""&lt;&gt;""),IF(COUNTIFS($D$5:D28,"proMX",$F$5:F28,F29,$BD$5:BD28,1)=0,MAX($CE$5:CE28)+1,""),"")</f>
        <v/>
      </c>
      <c r="CF29" s="80" t="str">
        <f>IF(AND(D29="proMX",BD29=1),IF(OR(BF29="Draft",BF29="Submitted",BF29="Returned",BF29="Recall Requested"),MAX($CF$5:CF28)+1,""),"")</f>
        <v/>
      </c>
      <c r="CG29" s="80">
        <f>IF(BD29=0,0,IF(D29="Malcolm",1,MATCH(BF29,{"Draft","Submitted","Approved","Returned","Recall Requested","Cancelled"},0)+1))</f>
        <v>0</v>
      </c>
      <c r="CH29" s="80">
        <f>IF(AND(BF29="Submitted",ISNUMBER(V29)),IF(V29&gt;CFG_MAXD,1,0),0)</f>
        <v>0</v>
      </c>
    </row>
    <row r="30">
      <c r="A30" s="71" t="str">
        <f>IF(Y30=1,ROW()-5,"")</f>
        <v/>
      </c>
      <c r="B30" s="72" t="n"/>
      <c r="C30" s="71" t="str">
        <f>IF(ISNUMBER(B30),CHOOSE(WEEKDAY(B30,2),"Lun","Mar","Mié","Jue","Vie","Sáb","Dom"),"")</f>
        <v/>
      </c>
      <c r="D30" s="73" t="n"/>
      <c r="E30" s="74" t="n"/>
      <c r="F30" s="74" t="n"/>
      <c r="G30" s="74" t="n"/>
      <c r="H30" s="75" t="n"/>
      <c r="I30" s="75" t="n"/>
      <c r="J30" s="76" t="n"/>
      <c r="K30" s="77" t="str">
        <f>IF(AB30=1,ROUND(AG30/60,4),"")</f>
        <v/>
      </c>
      <c r="L30" s="77" t="str">
        <f>IF(BD30=1,ROUND(AP30/60,4),"")</f>
        <v/>
      </c>
      <c r="M30" s="77" t="str">
        <f>IF(BD30=1,ROUND(AQ30/60,4),"")</f>
        <v/>
      </c>
      <c r="N30" s="71" t="str">
        <f>IF(AND(D30="proMX",AB30=1),ROUND(AG30/CFG_BLK,2),"")</f>
        <v/>
      </c>
      <c r="O30" s="77" t="str">
        <f>IF(D30="proMX",IF(BD30=1,ROUND(AG30/60,4),0),"")</f>
        <v/>
      </c>
      <c r="P30" s="78" t="str">
        <f>IF(Y30=0,"",IF(BD30=1,"OK",IF(D30="proMX","Revisar bloques: ","Revisar: ")&amp;BC30))</f>
        <v/>
      </c>
      <c r="Q30" s="78" t="str">
        <f>IF(NOT(ISNUMBER(B30)),"",IF(COUNTIFS(FER_F,INT(B30))&gt;0,"Feriado"&amp;IF(AH30=1," (laborable)"," (no laborable)"),IF(AH30=1,"Laborable",IF(WEEKDAY(B30,2)&gt;5,"Fin de semana","No laborable"))))</f>
        <v/>
      </c>
      <c r="R30" s="73" t="n"/>
      <c r="S30" s="72" t="n"/>
      <c r="T30" s="72" t="n"/>
      <c r="U30" s="74" t="n"/>
      <c r="V30" s="79" t="str">
        <f>IF(AND(D30="proMX",OR(R30="Submitted",R30="Recall Requested"),ISNUMBER(S30)),CFG_TODAY-INT(S30),"")</f>
        <v/>
      </c>
      <c r="W30" s="78" t="str">
        <f>IF(BD30=0,"",IF(BA30&gt;0,"⚠ Se superpone con un registro de la otra empresa",IF(D30="Malcolm",IF(COUNTA(R30,S30,T30)&gt;0,"Estado/fechas proMX se ignoran en Malcolm",""),IF(BF30="Cancelled","Cancelado: excluido de totales",IF(R30="","Sin estado: se trata como Draft",IF(BF30="Submitted",IF(ISNUMBER(V30),IF(V30&gt;CFG_MAXD,"⚠ "&amp;V30&amp;" días en Submitted (máx. "&amp;CFG_MAXD&amp;")",""),"Falta fecha de envío"),IF(BF30="Returned","⚠ Devuelto: corregir y reenviar",IF(BF30="Recall Requested","Retirada solicitada: pendiente",IF(AND(BF30="Approved",NOT(ISNUMBER(T30))),"Falta fecha de aprobación",IF(AND(ISNUMBER(S30),ISNUMBER(T30),T30&lt;S30),"Aprobación anterior al envío","")))))))))</f>
        <v/>
      </c>
      <c r="Y30" s="80">
        <f>IF(COUNTA(B30,D30,E30,F30,G30,H30,I30,J30,R30,S30,T30)&gt;0,1,0)</f>
        <v>0</v>
      </c>
      <c r="Z30" s="80" t="str">
        <f>IF(AND(ISNUMBER(H30),H30&gt;=0,H30&lt;1),ROUND(H30*1440,0),"")</f>
        <v/>
      </c>
      <c r="AA30" s="80" t="str">
        <f>IF(AND(ISNUMBER(I30),I30&gt;=0,I30&lt;1),ROUND(I30*1440,0),"")</f>
        <v/>
      </c>
      <c r="AB30" s="80">
        <f>IF(AND(ISNUMBER(B30),D30&lt;&gt;"",ISNUMBER(Z30),ISNUMBER(AA30)),IF(Z30=AA30,0,1),0)</f>
        <v>0</v>
      </c>
      <c r="AC30" s="80">
        <f>IF(AB30=1,IF(AA30&lt;Z30,1,0),0)</f>
        <v>0</v>
      </c>
      <c r="AD30" s="80">
        <f>IF(AB30=1,IF(AC30=1,1440-Z30+AA30,AA30-Z30),0)</f>
        <v>0</v>
      </c>
      <c r="AE30" s="80">
        <f>IF(J30="",0,IF(ISNUMBER(J30),J30,-1))</f>
        <v>0</v>
      </c>
      <c r="AF30" s="80">
        <f>MIN(MAX(0,AE30),AD30)</f>
        <v>0</v>
      </c>
      <c r="AG30" s="80">
        <f>MAX(0,AD30-MAX(0,AE30))</f>
        <v>0</v>
      </c>
      <c r="AH30" s="80">
        <f>IF(ISNUMBER(B30),IF(AND(INDEX(CFG_WDAYS,WEEKDAY(INT(B30),2))="Sí",IF(D30="proMX",COUNTIFS(FER_F,INT(B30),FER_NLP,"Sí"),COUNTIFS(FER_F,INT(B30),FER_NLM,"Sí"))=0),1,0),0)</f>
        <v>0</v>
      </c>
      <c r="AI30" s="80">
        <f>IF(AC30=1,IF(AND(INDEX(CFG_WDAYS,WEEKDAY(INT(B30)+1,2))="Sí",IF(D30="proMX",COUNTIFS(FER_F,INT(B30)+1,FER_NLP,"Sí"),COUNTIFS(FER_F,INT(B30)+1,FER_NLM,"Sí"))=0),1,0),0)</f>
        <v>0</v>
      </c>
      <c r="AJ30" s="80">
        <f>IF(AC30=1,1440-Z30,AD30)</f>
        <v>0</v>
      </c>
      <c r="AK30" s="80">
        <f>IF(AND(AB30=1,AH30=1),MAX(0,MIN(IF(AC30=1,1440,AA30),CFG_WEM)-MAX(Z30,CFG_WSM)),0)</f>
        <v>0</v>
      </c>
      <c r="AL30" s="80">
        <f>IF(AND(AC30=1,AI30=1),MAX(0,MIN(AA30,CFG_WEM)-CFG_WSM),0)</f>
        <v>0</v>
      </c>
      <c r="AM30" s="80">
        <f>AK30+AL30</f>
        <v>0</v>
      </c>
      <c r="AN30" s="80">
        <f>IF(CFG_BRK="Proporcional",IF(AD30=0,0,AF30*AM30/AD30),IF(CFG_BRK="Extras primero",MIN(AM30,MAX(0,AF30-(AD30-AM30))),MIN(AF30,AM30)))</f>
        <v>0</v>
      </c>
      <c r="AO30" s="80">
        <f>AF30-AN30</f>
        <v>0</v>
      </c>
      <c r="AP30" s="80">
        <f>AM30-AN30</f>
        <v>0</v>
      </c>
      <c r="AQ30" s="80">
        <f>AD30-AM30-AO30</f>
        <v>0</v>
      </c>
      <c r="AR30" s="80">
        <f>IF(AM30=0,0,AK30-AN30*AK30/AM30)</f>
        <v>0</v>
      </c>
      <c r="AS30" s="80">
        <f>IF(AD30-AM30=0,0,(AJ30-AK30)-AO30*(AJ30-AK30)/(AD30-AM30))</f>
        <v>0</v>
      </c>
      <c r="AT30" s="80" t="str">
        <f>IF(AC30=1,INT(B30)+1,"")</f>
        <v/>
      </c>
      <c r="AU30" s="80">
        <f>IF(AND(D30="proMX",R30="Cancelled"),0,1)</f>
        <v>1</v>
      </c>
      <c r="AV30" s="80">
        <f>IF(AND(AB30=1,AU30=1),IF(COUNTIFS($D$5:D29,D30,$B$5:B29,B30,$Z$5:Z29,Z30,$AA$5:AA29,AA30,$F$5:F29,F30&amp;"",$AU$5:AU29,1)&gt;0,1,0),0)</f>
        <v>0</v>
      </c>
      <c r="AW30" s="80" t="str">
        <f>IF(AB30=1,INT(B30)*1440+Z30,"")</f>
        <v/>
      </c>
      <c r="AX30" s="80" t="str">
        <f>IF(AB30=1,AW30+AD30,"")</f>
        <v/>
      </c>
      <c r="AY30" s="80">
        <f>IF(AND(AB30=1,AV30=0,AU30=1),1,0)</f>
        <v>0</v>
      </c>
      <c r="AZ30" s="80">
        <f>IF(AY30=1,COUNTIFS(R_Emp,D30,R_SAbs,"&lt;"&amp;AX30,R_EAbs,"&gt;"&amp;AW30,R_OKey,1)-1,0)</f>
        <v>0</v>
      </c>
      <c r="BA30" s="80">
        <f>IF(AY30=1,COUNTIFS(R_Emp,"&lt;&gt;"&amp;D30,R_SAbs,"&lt;"&amp;AX30,R_EAbs,"&gt;"&amp;AW30,R_OKey,1),0)</f>
        <v>0</v>
      </c>
      <c r="BB30" s="80">
        <f>IF(AND(AB30=1,D30="proMX"),IF(AND(MOD(Z30,CFG_BLK)=0,MOD(AA30,CFG_BLK)=0,MOD(AG30,CFG_BLK)=0,AG30&gt;0),1,0),1)</f>
        <v>1</v>
      </c>
      <c r="BC30" s="80" t="str">
        <f>IF(Y30=0,"",IF(NOT(ISNUMBER(B30)),"Falta fecha o fecha inválida",IF(D30="","Falta empresa",IF(AND(D30&lt;&gt;"Malcolm",D30&lt;&gt;"proMX"),"Empresa inválida",IF(OR(INT(B30)&lt;CFG_PSTART,INT(B30)&gt;CFG_PEND),"Fecha fuera del período",IF(OR(NOT(ISNUMBER(Z30)),NOT(ISNUMBER(AA30))),"Falta hora inicio/fin o formato inválido",IF(AB30=0,"Hora inicio = hora fin",IF(AE30&lt;0,"Descanso inválido",IF(AE30&gt;=AD30,"Descanso ≥ duración",IF(AV30=1,"Registro duplicado",IF(AZ30&gt;0,"Se superpone con otro registro "&amp;D30,IF(BB30=0,"inicio, fin y duración neta deben ser múltiplos de "&amp;CFG_BLK&amp;" min",""))))))))))))</f>
        <v/>
      </c>
      <c r="BD30" s="80">
        <f>IF(AND(Y30=1,BC30=""),1,0)</f>
        <v>0</v>
      </c>
      <c r="BE30" s="80">
        <f>IF(AND(BD30=1,AU30=1),1,0)</f>
        <v>0</v>
      </c>
      <c r="BF30" s="80" t="str">
        <f>IF(AND(D30="proMX",BD30=1),IF(R30="","Draft",R30),"")</f>
        <v/>
      </c>
      <c r="BG30" s="80">
        <f>IF(BD30=1,ROUND(AG30/60,6),0)</f>
        <v>0</v>
      </c>
      <c r="BH30" s="80">
        <f>IF(BE30=1,ROUND(AG30/60,6),0)</f>
        <v>0</v>
      </c>
      <c r="BI30" s="80">
        <f>IF(BE30=1,ROUND(AP30/60,6),0)</f>
        <v>0</v>
      </c>
      <c r="BJ30" s="80">
        <f>IF(BE30=1,ROUND(AQ30/60,6),0)</f>
        <v>0</v>
      </c>
      <c r="BK30" s="80">
        <f>IF(BE30=1,ROUND((AR30+AS30)/60,6),0)</f>
        <v>0</v>
      </c>
      <c r="BL30" s="80">
        <f>ROUND(BH30-BK30,6)</f>
        <v>0</v>
      </c>
      <c r="BM30" s="80">
        <f>IF(BE30=1,ROUND(AR30/60,6),0)</f>
        <v>0</v>
      </c>
      <c r="BN30" s="80">
        <f>ROUND(BI30-BM30,6)</f>
        <v>0</v>
      </c>
      <c r="BO30" s="80">
        <f>IF(BE30=1,ROUND(AS30/60,6),0)</f>
        <v>0</v>
      </c>
      <c r="BP30" s="80">
        <f>ROUND(BJ30-BO30,6)</f>
        <v>0</v>
      </c>
      <c r="BQ30" s="80">
        <f>IF(BE30=1,AW30,0)</f>
        <v>0</v>
      </c>
      <c r="BR30" s="80">
        <f>IF(BE30=1,AX30,0)</f>
        <v>0</v>
      </c>
      <c r="BS30" s="80">
        <f>IF(AND(BE30=1,D30="Malcolm",BA30&gt;0),MIN(BH30,SUMPRODUCT((R_Emp="proMX")*(R_EN&gt;0)*((R_EN-(R_EN&gt;BR30)*(R_EN-BR30))&gt;(R_SN+(R_SN&lt;BQ30)*(BQ30-R_SN)))*((R_EN-(R_EN&gt;BR30)*(R_EN-BR30))-(R_SN+(R_SN&lt;BQ30)*(BQ30-R_SN))))/60),0)</f>
        <v>0</v>
      </c>
      <c r="BT30" s="80">
        <f>IF(AND(BE30=1,D30="proMX"),ROUND(BI30*CFG_RATE+BJ30*CFG_OTRATE,6),0)</f>
        <v>0</v>
      </c>
      <c r="BU30" s="80">
        <f>IF(AND(BD30=1,D30="proMX"),ROUND(AG30/CFG_BLK,6),0)</f>
        <v>0</v>
      </c>
      <c r="BV30" s="80" t="str">
        <f>IF(BF30="Approved",IF(ISNUMBER(T30),INT(T30),INT(B30)),"")</f>
        <v/>
      </c>
      <c r="BW30" s="80">
        <f>IF(ISNUMBER(B30),IF(DB_MON="Todos",1,IF(AND(INT(B30)&gt;=DB_MS,INT(B30)&lt;=DB_ME),1,0)),0)</f>
        <v>0</v>
      </c>
      <c r="BX30" s="80">
        <f>IF(DB_PROJ="Todos",1,IF(E30&amp;""=DB_PROJ&amp;"",1,0))</f>
        <v>1</v>
      </c>
      <c r="BY30" s="80">
        <f>BW30*BX30</f>
        <v>0</v>
      </c>
      <c r="BZ30" s="80" t="str">
        <f>IF(Y30=1,F30&amp;IF(AND(F30&amp;""&lt;&gt;"",E30&amp;""&lt;&gt;"")," · ","")&amp;E30,"")</f>
        <v/>
      </c>
      <c r="CA30" s="80" t="str">
        <f>IF(AND(BD30=1,E30&amp;""&lt;&gt;""),IF(COUNTIFS($E$5:E29,E30,$BD$5:BD29,1)=0,MAX($CA$5:CA29)+1,""),"")</f>
        <v/>
      </c>
      <c r="CB30" s="80" t="str">
        <f>IF(AND(BE30=1,D30="Malcolm",E30&amp;""&lt;&gt;""),IF(COUNTIFS($D$5:D29,"Malcolm",$E$5:E29,E30,$BE$5:BE29,1)=0,MAX($CB$5:CB29)+1,""),"")</f>
        <v/>
      </c>
      <c r="CC30" s="80" t="str">
        <f>IF(AND(BD30=1,D30="proMX",E30&amp;""&lt;&gt;""),IF(COUNTIFS($D$5:D29,"proMX",$E$5:E29,E30,$BD$5:BD29,1)=0,MAX($CC$5:CC29)+1,""),"")</f>
        <v/>
      </c>
      <c r="CD30" s="80" t="str">
        <f>IF(AND(BE30=1,D30="Malcolm",F30&amp;""&lt;&gt;""),IF(COUNTIFS($D$5:D29,"Malcolm",$F$5:F29,F30,$BE$5:BE29,1)=0,MAX($CD$5:CD29)+1,""),"")</f>
        <v/>
      </c>
      <c r="CE30" s="80" t="str">
        <f>IF(AND(BD30=1,D30="proMX",F30&amp;""&lt;&gt;""),IF(COUNTIFS($D$5:D29,"proMX",$F$5:F29,F30,$BD$5:BD29,1)=0,MAX($CE$5:CE29)+1,""),"")</f>
        <v/>
      </c>
      <c r="CF30" s="80" t="str">
        <f>IF(AND(D30="proMX",BD30=1),IF(OR(BF30="Draft",BF30="Submitted",BF30="Returned",BF30="Recall Requested"),MAX($CF$5:CF29)+1,""),"")</f>
        <v/>
      </c>
      <c r="CG30" s="80">
        <f>IF(BD30=0,0,IF(D30="Malcolm",1,MATCH(BF30,{"Draft","Submitted","Approved","Returned","Recall Requested","Cancelled"},0)+1))</f>
        <v>0</v>
      </c>
      <c r="CH30" s="80">
        <f>IF(AND(BF30="Submitted",ISNUMBER(V30)),IF(V30&gt;CFG_MAXD,1,0),0)</f>
        <v>0</v>
      </c>
    </row>
    <row r="31">
      <c r="A31" s="71" t="str">
        <f>IF(Y31=1,ROW()-5,"")</f>
        <v/>
      </c>
      <c r="B31" s="72" t="n"/>
      <c r="C31" s="71" t="str">
        <f>IF(ISNUMBER(B31),CHOOSE(WEEKDAY(B31,2),"Lun","Mar","Mié","Jue","Vie","Sáb","Dom"),"")</f>
        <v/>
      </c>
      <c r="D31" s="73" t="n"/>
      <c r="E31" s="74" t="n"/>
      <c r="F31" s="74" t="n"/>
      <c r="G31" s="74" t="n"/>
      <c r="H31" s="75" t="n"/>
      <c r="I31" s="75" t="n"/>
      <c r="J31" s="76" t="n"/>
      <c r="K31" s="77" t="str">
        <f>IF(AB31=1,ROUND(AG31/60,4),"")</f>
        <v/>
      </c>
      <c r="L31" s="77" t="str">
        <f>IF(BD31=1,ROUND(AP31/60,4),"")</f>
        <v/>
      </c>
      <c r="M31" s="77" t="str">
        <f>IF(BD31=1,ROUND(AQ31/60,4),"")</f>
        <v/>
      </c>
      <c r="N31" s="71" t="str">
        <f>IF(AND(D31="proMX",AB31=1),ROUND(AG31/CFG_BLK,2),"")</f>
        <v/>
      </c>
      <c r="O31" s="77" t="str">
        <f>IF(D31="proMX",IF(BD31=1,ROUND(AG31/60,4),0),"")</f>
        <v/>
      </c>
      <c r="P31" s="78" t="str">
        <f>IF(Y31=0,"",IF(BD31=1,"OK",IF(D31="proMX","Revisar bloques: ","Revisar: ")&amp;BC31))</f>
        <v/>
      </c>
      <c r="Q31" s="78" t="str">
        <f>IF(NOT(ISNUMBER(B31)),"",IF(COUNTIFS(FER_F,INT(B31))&gt;0,"Feriado"&amp;IF(AH31=1," (laborable)"," (no laborable)"),IF(AH31=1,"Laborable",IF(WEEKDAY(B31,2)&gt;5,"Fin de semana","No laborable"))))</f>
        <v/>
      </c>
      <c r="R31" s="73" t="n"/>
      <c r="S31" s="72" t="n"/>
      <c r="T31" s="72" t="n"/>
      <c r="U31" s="74" t="n"/>
      <c r="V31" s="79" t="str">
        <f>IF(AND(D31="proMX",OR(R31="Submitted",R31="Recall Requested"),ISNUMBER(S31)),CFG_TODAY-INT(S31),"")</f>
        <v/>
      </c>
      <c r="W31" s="78" t="str">
        <f>IF(BD31=0,"",IF(BA31&gt;0,"⚠ Se superpone con un registro de la otra empresa",IF(D31="Malcolm",IF(COUNTA(R31,S31,T31)&gt;0,"Estado/fechas proMX se ignoran en Malcolm",""),IF(BF31="Cancelled","Cancelado: excluido de totales",IF(R31="","Sin estado: se trata como Draft",IF(BF31="Submitted",IF(ISNUMBER(V31),IF(V31&gt;CFG_MAXD,"⚠ "&amp;V31&amp;" días en Submitted (máx. "&amp;CFG_MAXD&amp;")",""),"Falta fecha de envío"),IF(BF31="Returned","⚠ Devuelto: corregir y reenviar",IF(BF31="Recall Requested","Retirada solicitada: pendiente",IF(AND(BF31="Approved",NOT(ISNUMBER(T31))),"Falta fecha de aprobación",IF(AND(ISNUMBER(S31),ISNUMBER(T31),T31&lt;S31),"Aprobación anterior al envío","")))))))))</f>
        <v/>
      </c>
      <c r="Y31" s="80">
        <f>IF(COUNTA(B31,D31,E31,F31,G31,H31,I31,J31,R31,S31,T31)&gt;0,1,0)</f>
        <v>0</v>
      </c>
      <c r="Z31" s="80" t="str">
        <f>IF(AND(ISNUMBER(H31),H31&gt;=0,H31&lt;1),ROUND(H31*1440,0),"")</f>
        <v/>
      </c>
      <c r="AA31" s="80" t="str">
        <f>IF(AND(ISNUMBER(I31),I31&gt;=0,I31&lt;1),ROUND(I31*1440,0),"")</f>
        <v/>
      </c>
      <c r="AB31" s="80">
        <f>IF(AND(ISNUMBER(B31),D31&lt;&gt;"",ISNUMBER(Z31),ISNUMBER(AA31)),IF(Z31=AA31,0,1),0)</f>
        <v>0</v>
      </c>
      <c r="AC31" s="80">
        <f>IF(AB31=1,IF(AA31&lt;Z31,1,0),0)</f>
        <v>0</v>
      </c>
      <c r="AD31" s="80">
        <f>IF(AB31=1,IF(AC31=1,1440-Z31+AA31,AA31-Z31),0)</f>
        <v>0</v>
      </c>
      <c r="AE31" s="80">
        <f>IF(J31="",0,IF(ISNUMBER(J31),J31,-1))</f>
        <v>0</v>
      </c>
      <c r="AF31" s="80">
        <f>MIN(MAX(0,AE31),AD31)</f>
        <v>0</v>
      </c>
      <c r="AG31" s="80">
        <f>MAX(0,AD31-MAX(0,AE31))</f>
        <v>0</v>
      </c>
      <c r="AH31" s="80">
        <f>IF(ISNUMBER(B31),IF(AND(INDEX(CFG_WDAYS,WEEKDAY(INT(B31),2))="Sí",IF(D31="proMX",COUNTIFS(FER_F,INT(B31),FER_NLP,"Sí"),COUNTIFS(FER_F,INT(B31),FER_NLM,"Sí"))=0),1,0),0)</f>
        <v>0</v>
      </c>
      <c r="AI31" s="80">
        <f>IF(AC31=1,IF(AND(INDEX(CFG_WDAYS,WEEKDAY(INT(B31)+1,2))="Sí",IF(D31="proMX",COUNTIFS(FER_F,INT(B31)+1,FER_NLP,"Sí"),COUNTIFS(FER_F,INT(B31)+1,FER_NLM,"Sí"))=0),1,0),0)</f>
        <v>0</v>
      </c>
      <c r="AJ31" s="80">
        <f>IF(AC31=1,1440-Z31,AD31)</f>
        <v>0</v>
      </c>
      <c r="AK31" s="80">
        <f>IF(AND(AB31=1,AH31=1),MAX(0,MIN(IF(AC31=1,1440,AA31),CFG_WEM)-MAX(Z31,CFG_WSM)),0)</f>
        <v>0</v>
      </c>
      <c r="AL31" s="80">
        <f>IF(AND(AC31=1,AI31=1),MAX(0,MIN(AA31,CFG_WEM)-CFG_WSM),0)</f>
        <v>0</v>
      </c>
      <c r="AM31" s="80">
        <f>AK31+AL31</f>
        <v>0</v>
      </c>
      <c r="AN31" s="80">
        <f>IF(CFG_BRK="Proporcional",IF(AD31=0,0,AF31*AM31/AD31),IF(CFG_BRK="Extras primero",MIN(AM31,MAX(0,AF31-(AD31-AM31))),MIN(AF31,AM31)))</f>
        <v>0</v>
      </c>
      <c r="AO31" s="80">
        <f>AF31-AN31</f>
        <v>0</v>
      </c>
      <c r="AP31" s="80">
        <f>AM31-AN31</f>
        <v>0</v>
      </c>
      <c r="AQ31" s="80">
        <f>AD31-AM31-AO31</f>
        <v>0</v>
      </c>
      <c r="AR31" s="80">
        <f>IF(AM31=0,0,AK31-AN31*AK31/AM31)</f>
        <v>0</v>
      </c>
      <c r="AS31" s="80">
        <f>IF(AD31-AM31=0,0,(AJ31-AK31)-AO31*(AJ31-AK31)/(AD31-AM31))</f>
        <v>0</v>
      </c>
      <c r="AT31" s="80" t="str">
        <f>IF(AC31=1,INT(B31)+1,"")</f>
        <v/>
      </c>
      <c r="AU31" s="80">
        <f>IF(AND(D31="proMX",R31="Cancelled"),0,1)</f>
        <v>1</v>
      </c>
      <c r="AV31" s="80">
        <f>IF(AND(AB31=1,AU31=1),IF(COUNTIFS($D$5:D30,D31,$B$5:B30,B31,$Z$5:Z30,Z31,$AA$5:AA30,AA31,$F$5:F30,F31&amp;"",$AU$5:AU30,1)&gt;0,1,0),0)</f>
        <v>0</v>
      </c>
      <c r="AW31" s="80" t="str">
        <f>IF(AB31=1,INT(B31)*1440+Z31,"")</f>
        <v/>
      </c>
      <c r="AX31" s="80" t="str">
        <f>IF(AB31=1,AW31+AD31,"")</f>
        <v/>
      </c>
      <c r="AY31" s="80">
        <f>IF(AND(AB31=1,AV31=0,AU31=1),1,0)</f>
        <v>0</v>
      </c>
      <c r="AZ31" s="80">
        <f>IF(AY31=1,COUNTIFS(R_Emp,D31,R_SAbs,"&lt;"&amp;AX31,R_EAbs,"&gt;"&amp;AW31,R_OKey,1)-1,0)</f>
        <v>0</v>
      </c>
      <c r="BA31" s="80">
        <f>IF(AY31=1,COUNTIFS(R_Emp,"&lt;&gt;"&amp;D31,R_SAbs,"&lt;"&amp;AX31,R_EAbs,"&gt;"&amp;AW31,R_OKey,1),0)</f>
        <v>0</v>
      </c>
      <c r="BB31" s="80">
        <f>IF(AND(AB31=1,D31="proMX"),IF(AND(MOD(Z31,CFG_BLK)=0,MOD(AA31,CFG_BLK)=0,MOD(AG31,CFG_BLK)=0,AG31&gt;0),1,0),1)</f>
        <v>1</v>
      </c>
      <c r="BC31" s="80" t="str">
        <f>IF(Y31=0,"",IF(NOT(ISNUMBER(B31)),"Falta fecha o fecha inválida",IF(D31="","Falta empresa",IF(AND(D31&lt;&gt;"Malcolm",D31&lt;&gt;"proMX"),"Empresa inválida",IF(OR(INT(B31)&lt;CFG_PSTART,INT(B31)&gt;CFG_PEND),"Fecha fuera del período",IF(OR(NOT(ISNUMBER(Z31)),NOT(ISNUMBER(AA31))),"Falta hora inicio/fin o formato inválido",IF(AB31=0,"Hora inicio = hora fin",IF(AE31&lt;0,"Descanso inválido",IF(AE31&gt;=AD31,"Descanso ≥ duración",IF(AV31=1,"Registro duplicado",IF(AZ31&gt;0,"Se superpone con otro registro "&amp;D31,IF(BB31=0,"inicio, fin y duración neta deben ser múltiplos de "&amp;CFG_BLK&amp;" min",""))))))))))))</f>
        <v/>
      </c>
      <c r="BD31" s="80">
        <f>IF(AND(Y31=1,BC31=""),1,0)</f>
        <v>0</v>
      </c>
      <c r="BE31" s="80">
        <f>IF(AND(BD31=1,AU31=1),1,0)</f>
        <v>0</v>
      </c>
      <c r="BF31" s="80" t="str">
        <f>IF(AND(D31="proMX",BD31=1),IF(R31="","Draft",R31),"")</f>
        <v/>
      </c>
      <c r="BG31" s="80">
        <f>IF(BD31=1,ROUND(AG31/60,6),0)</f>
        <v>0</v>
      </c>
      <c r="BH31" s="80">
        <f>IF(BE31=1,ROUND(AG31/60,6),0)</f>
        <v>0</v>
      </c>
      <c r="BI31" s="80">
        <f>IF(BE31=1,ROUND(AP31/60,6),0)</f>
        <v>0</v>
      </c>
      <c r="BJ31" s="80">
        <f>IF(BE31=1,ROUND(AQ31/60,6),0)</f>
        <v>0</v>
      </c>
      <c r="BK31" s="80">
        <f>IF(BE31=1,ROUND((AR31+AS31)/60,6),0)</f>
        <v>0</v>
      </c>
      <c r="BL31" s="80">
        <f>ROUND(BH31-BK31,6)</f>
        <v>0</v>
      </c>
      <c r="BM31" s="80">
        <f>IF(BE31=1,ROUND(AR31/60,6),0)</f>
        <v>0</v>
      </c>
      <c r="BN31" s="80">
        <f>ROUND(BI31-BM31,6)</f>
        <v>0</v>
      </c>
      <c r="BO31" s="80">
        <f>IF(BE31=1,ROUND(AS31/60,6),0)</f>
        <v>0</v>
      </c>
      <c r="BP31" s="80">
        <f>ROUND(BJ31-BO31,6)</f>
        <v>0</v>
      </c>
      <c r="BQ31" s="80">
        <f>IF(BE31=1,AW31,0)</f>
        <v>0</v>
      </c>
      <c r="BR31" s="80">
        <f>IF(BE31=1,AX31,0)</f>
        <v>0</v>
      </c>
      <c r="BS31" s="80">
        <f>IF(AND(BE31=1,D31="Malcolm",BA31&gt;0),MIN(BH31,SUMPRODUCT((R_Emp="proMX")*(R_EN&gt;0)*((R_EN-(R_EN&gt;BR31)*(R_EN-BR31))&gt;(R_SN+(R_SN&lt;BQ31)*(BQ31-R_SN)))*((R_EN-(R_EN&gt;BR31)*(R_EN-BR31))-(R_SN+(R_SN&lt;BQ31)*(BQ31-R_SN))))/60),0)</f>
        <v>0</v>
      </c>
      <c r="BT31" s="80">
        <f>IF(AND(BE31=1,D31="proMX"),ROUND(BI31*CFG_RATE+BJ31*CFG_OTRATE,6),0)</f>
        <v>0</v>
      </c>
      <c r="BU31" s="80">
        <f>IF(AND(BD31=1,D31="proMX"),ROUND(AG31/CFG_BLK,6),0)</f>
        <v>0</v>
      </c>
      <c r="BV31" s="80" t="str">
        <f>IF(BF31="Approved",IF(ISNUMBER(T31),INT(T31),INT(B31)),"")</f>
        <v/>
      </c>
      <c r="BW31" s="80">
        <f>IF(ISNUMBER(B31),IF(DB_MON="Todos",1,IF(AND(INT(B31)&gt;=DB_MS,INT(B31)&lt;=DB_ME),1,0)),0)</f>
        <v>0</v>
      </c>
      <c r="BX31" s="80">
        <f>IF(DB_PROJ="Todos",1,IF(E31&amp;""=DB_PROJ&amp;"",1,0))</f>
        <v>1</v>
      </c>
      <c r="BY31" s="80">
        <f>BW31*BX31</f>
        <v>0</v>
      </c>
      <c r="BZ31" s="80" t="str">
        <f>IF(Y31=1,F31&amp;IF(AND(F31&amp;""&lt;&gt;"",E31&amp;""&lt;&gt;"")," · ","")&amp;E31,"")</f>
        <v/>
      </c>
      <c r="CA31" s="80" t="str">
        <f>IF(AND(BD31=1,E31&amp;""&lt;&gt;""),IF(COUNTIFS($E$5:E30,E31,$BD$5:BD30,1)=0,MAX($CA$5:CA30)+1,""),"")</f>
        <v/>
      </c>
      <c r="CB31" s="80" t="str">
        <f>IF(AND(BE31=1,D31="Malcolm",E31&amp;""&lt;&gt;""),IF(COUNTIFS($D$5:D30,"Malcolm",$E$5:E30,E31,$BE$5:BE30,1)=0,MAX($CB$5:CB30)+1,""),"")</f>
        <v/>
      </c>
      <c r="CC31" s="80" t="str">
        <f>IF(AND(BD31=1,D31="proMX",E31&amp;""&lt;&gt;""),IF(COUNTIFS($D$5:D30,"proMX",$E$5:E30,E31,$BD$5:BD30,1)=0,MAX($CC$5:CC30)+1,""),"")</f>
        <v/>
      </c>
      <c r="CD31" s="80" t="str">
        <f>IF(AND(BE31=1,D31="Malcolm",F31&amp;""&lt;&gt;""),IF(COUNTIFS($D$5:D30,"Malcolm",$F$5:F30,F31,$BE$5:BE30,1)=0,MAX($CD$5:CD30)+1,""),"")</f>
        <v/>
      </c>
      <c r="CE31" s="80" t="str">
        <f>IF(AND(BD31=1,D31="proMX",F31&amp;""&lt;&gt;""),IF(COUNTIFS($D$5:D30,"proMX",$F$5:F30,F31,$BD$5:BD30,1)=0,MAX($CE$5:CE30)+1,""),"")</f>
        <v/>
      </c>
      <c r="CF31" s="80" t="str">
        <f>IF(AND(D31="proMX",BD31=1),IF(OR(BF31="Draft",BF31="Submitted",BF31="Returned",BF31="Recall Requested"),MAX($CF$5:CF30)+1,""),"")</f>
        <v/>
      </c>
      <c r="CG31" s="80">
        <f>IF(BD31=0,0,IF(D31="Malcolm",1,MATCH(BF31,{"Draft","Submitted","Approved","Returned","Recall Requested","Cancelled"},0)+1))</f>
        <v>0</v>
      </c>
      <c r="CH31" s="80">
        <f>IF(AND(BF31="Submitted",ISNUMBER(V31)),IF(V31&gt;CFG_MAXD,1,0),0)</f>
        <v>0</v>
      </c>
    </row>
    <row r="32">
      <c r="A32" s="71" t="str">
        <f>IF(Y32=1,ROW()-5,"")</f>
        <v/>
      </c>
      <c r="B32" s="72" t="n"/>
      <c r="C32" s="71" t="str">
        <f>IF(ISNUMBER(B32),CHOOSE(WEEKDAY(B32,2),"Lun","Mar","Mié","Jue","Vie","Sáb","Dom"),"")</f>
        <v/>
      </c>
      <c r="D32" s="73" t="n"/>
      <c r="E32" s="74" t="n"/>
      <c r="F32" s="74" t="n"/>
      <c r="G32" s="74" t="n"/>
      <c r="H32" s="75" t="n"/>
      <c r="I32" s="75" t="n"/>
      <c r="J32" s="76" t="n"/>
      <c r="K32" s="77" t="str">
        <f>IF(AB32=1,ROUND(AG32/60,4),"")</f>
        <v/>
      </c>
      <c r="L32" s="77" t="str">
        <f>IF(BD32=1,ROUND(AP32/60,4),"")</f>
        <v/>
      </c>
      <c r="M32" s="77" t="str">
        <f>IF(BD32=1,ROUND(AQ32/60,4),"")</f>
        <v/>
      </c>
      <c r="N32" s="71" t="str">
        <f>IF(AND(D32="proMX",AB32=1),ROUND(AG32/CFG_BLK,2),"")</f>
        <v/>
      </c>
      <c r="O32" s="77" t="str">
        <f>IF(D32="proMX",IF(BD32=1,ROUND(AG32/60,4),0),"")</f>
        <v/>
      </c>
      <c r="P32" s="78" t="str">
        <f>IF(Y32=0,"",IF(BD32=1,"OK",IF(D32="proMX","Revisar bloques: ","Revisar: ")&amp;BC32))</f>
        <v/>
      </c>
      <c r="Q32" s="78" t="str">
        <f>IF(NOT(ISNUMBER(B32)),"",IF(COUNTIFS(FER_F,INT(B32))&gt;0,"Feriado"&amp;IF(AH32=1," (laborable)"," (no laborable)"),IF(AH32=1,"Laborable",IF(WEEKDAY(B32,2)&gt;5,"Fin de semana","No laborable"))))</f>
        <v/>
      </c>
      <c r="R32" s="73" t="n"/>
      <c r="S32" s="72" t="n"/>
      <c r="T32" s="72" t="n"/>
      <c r="U32" s="74" t="n"/>
      <c r="V32" s="79" t="str">
        <f>IF(AND(D32="proMX",OR(R32="Submitted",R32="Recall Requested"),ISNUMBER(S32)),CFG_TODAY-INT(S32),"")</f>
        <v/>
      </c>
      <c r="W32" s="78" t="str">
        <f>IF(BD32=0,"",IF(BA32&gt;0,"⚠ Se superpone con un registro de la otra empresa",IF(D32="Malcolm",IF(COUNTA(R32,S32,T32)&gt;0,"Estado/fechas proMX se ignoran en Malcolm",""),IF(BF32="Cancelled","Cancelado: excluido de totales",IF(R32="","Sin estado: se trata como Draft",IF(BF32="Submitted",IF(ISNUMBER(V32),IF(V32&gt;CFG_MAXD,"⚠ "&amp;V32&amp;" días en Submitted (máx. "&amp;CFG_MAXD&amp;")",""),"Falta fecha de envío"),IF(BF32="Returned","⚠ Devuelto: corregir y reenviar",IF(BF32="Recall Requested","Retirada solicitada: pendiente",IF(AND(BF32="Approved",NOT(ISNUMBER(T32))),"Falta fecha de aprobación",IF(AND(ISNUMBER(S32),ISNUMBER(T32),T32&lt;S32),"Aprobación anterior al envío","")))))))))</f>
        <v/>
      </c>
      <c r="Y32" s="80">
        <f>IF(COUNTA(B32,D32,E32,F32,G32,H32,I32,J32,R32,S32,T32)&gt;0,1,0)</f>
        <v>0</v>
      </c>
      <c r="Z32" s="80" t="str">
        <f>IF(AND(ISNUMBER(H32),H32&gt;=0,H32&lt;1),ROUND(H32*1440,0),"")</f>
        <v/>
      </c>
      <c r="AA32" s="80" t="str">
        <f>IF(AND(ISNUMBER(I32),I32&gt;=0,I32&lt;1),ROUND(I32*1440,0),"")</f>
        <v/>
      </c>
      <c r="AB32" s="80">
        <f>IF(AND(ISNUMBER(B32),D32&lt;&gt;"",ISNUMBER(Z32),ISNUMBER(AA32)),IF(Z32=AA32,0,1),0)</f>
        <v>0</v>
      </c>
      <c r="AC32" s="80">
        <f>IF(AB32=1,IF(AA32&lt;Z32,1,0),0)</f>
        <v>0</v>
      </c>
      <c r="AD32" s="80">
        <f>IF(AB32=1,IF(AC32=1,1440-Z32+AA32,AA32-Z32),0)</f>
        <v>0</v>
      </c>
      <c r="AE32" s="80">
        <f>IF(J32="",0,IF(ISNUMBER(J32),J32,-1))</f>
        <v>0</v>
      </c>
      <c r="AF32" s="80">
        <f>MIN(MAX(0,AE32),AD32)</f>
        <v>0</v>
      </c>
      <c r="AG32" s="80">
        <f>MAX(0,AD32-MAX(0,AE32))</f>
        <v>0</v>
      </c>
      <c r="AH32" s="80">
        <f>IF(ISNUMBER(B32),IF(AND(INDEX(CFG_WDAYS,WEEKDAY(INT(B32),2))="Sí",IF(D32="proMX",COUNTIFS(FER_F,INT(B32),FER_NLP,"Sí"),COUNTIFS(FER_F,INT(B32),FER_NLM,"Sí"))=0),1,0),0)</f>
        <v>0</v>
      </c>
      <c r="AI32" s="80">
        <f>IF(AC32=1,IF(AND(INDEX(CFG_WDAYS,WEEKDAY(INT(B32)+1,2))="Sí",IF(D32="proMX",COUNTIFS(FER_F,INT(B32)+1,FER_NLP,"Sí"),COUNTIFS(FER_F,INT(B32)+1,FER_NLM,"Sí"))=0),1,0),0)</f>
        <v>0</v>
      </c>
      <c r="AJ32" s="80">
        <f>IF(AC32=1,1440-Z32,AD32)</f>
        <v>0</v>
      </c>
      <c r="AK32" s="80">
        <f>IF(AND(AB32=1,AH32=1),MAX(0,MIN(IF(AC32=1,1440,AA32),CFG_WEM)-MAX(Z32,CFG_WSM)),0)</f>
        <v>0</v>
      </c>
      <c r="AL32" s="80">
        <f>IF(AND(AC32=1,AI32=1),MAX(0,MIN(AA32,CFG_WEM)-CFG_WSM),0)</f>
        <v>0</v>
      </c>
      <c r="AM32" s="80">
        <f>AK32+AL32</f>
        <v>0</v>
      </c>
      <c r="AN32" s="80">
        <f>IF(CFG_BRK="Proporcional",IF(AD32=0,0,AF32*AM32/AD32),IF(CFG_BRK="Extras primero",MIN(AM32,MAX(0,AF32-(AD32-AM32))),MIN(AF32,AM32)))</f>
        <v>0</v>
      </c>
      <c r="AO32" s="80">
        <f>AF32-AN32</f>
        <v>0</v>
      </c>
      <c r="AP32" s="80">
        <f>AM32-AN32</f>
        <v>0</v>
      </c>
      <c r="AQ32" s="80">
        <f>AD32-AM32-AO32</f>
        <v>0</v>
      </c>
      <c r="AR32" s="80">
        <f>IF(AM32=0,0,AK32-AN32*AK32/AM32)</f>
        <v>0</v>
      </c>
      <c r="AS32" s="80">
        <f>IF(AD32-AM32=0,0,(AJ32-AK32)-AO32*(AJ32-AK32)/(AD32-AM32))</f>
        <v>0</v>
      </c>
      <c r="AT32" s="80" t="str">
        <f>IF(AC32=1,INT(B32)+1,"")</f>
        <v/>
      </c>
      <c r="AU32" s="80">
        <f>IF(AND(D32="proMX",R32="Cancelled"),0,1)</f>
        <v>1</v>
      </c>
      <c r="AV32" s="80">
        <f>IF(AND(AB32=1,AU32=1),IF(COUNTIFS($D$5:D31,D32,$B$5:B31,B32,$Z$5:Z31,Z32,$AA$5:AA31,AA32,$F$5:F31,F32&amp;"",$AU$5:AU31,1)&gt;0,1,0),0)</f>
        <v>0</v>
      </c>
      <c r="AW32" s="80" t="str">
        <f>IF(AB32=1,INT(B32)*1440+Z32,"")</f>
        <v/>
      </c>
      <c r="AX32" s="80" t="str">
        <f>IF(AB32=1,AW32+AD32,"")</f>
        <v/>
      </c>
      <c r="AY32" s="80">
        <f>IF(AND(AB32=1,AV32=0,AU32=1),1,0)</f>
        <v>0</v>
      </c>
      <c r="AZ32" s="80">
        <f>IF(AY32=1,COUNTIFS(R_Emp,D32,R_SAbs,"&lt;"&amp;AX32,R_EAbs,"&gt;"&amp;AW32,R_OKey,1)-1,0)</f>
        <v>0</v>
      </c>
      <c r="BA32" s="80">
        <f>IF(AY32=1,COUNTIFS(R_Emp,"&lt;&gt;"&amp;D32,R_SAbs,"&lt;"&amp;AX32,R_EAbs,"&gt;"&amp;AW32,R_OKey,1),0)</f>
        <v>0</v>
      </c>
      <c r="BB32" s="80">
        <f>IF(AND(AB32=1,D32="proMX"),IF(AND(MOD(Z32,CFG_BLK)=0,MOD(AA32,CFG_BLK)=0,MOD(AG32,CFG_BLK)=0,AG32&gt;0),1,0),1)</f>
        <v>1</v>
      </c>
      <c r="BC32" s="80" t="str">
        <f>IF(Y32=0,"",IF(NOT(ISNUMBER(B32)),"Falta fecha o fecha inválida",IF(D32="","Falta empresa",IF(AND(D32&lt;&gt;"Malcolm",D32&lt;&gt;"proMX"),"Empresa inválida",IF(OR(INT(B32)&lt;CFG_PSTART,INT(B32)&gt;CFG_PEND),"Fecha fuera del período",IF(OR(NOT(ISNUMBER(Z32)),NOT(ISNUMBER(AA32))),"Falta hora inicio/fin o formato inválido",IF(AB32=0,"Hora inicio = hora fin",IF(AE32&lt;0,"Descanso inválido",IF(AE32&gt;=AD32,"Descanso ≥ duración",IF(AV32=1,"Registro duplicado",IF(AZ32&gt;0,"Se superpone con otro registro "&amp;D32,IF(BB32=0,"inicio, fin y duración neta deben ser múltiplos de "&amp;CFG_BLK&amp;" min",""))))))))))))</f>
        <v/>
      </c>
      <c r="BD32" s="80">
        <f>IF(AND(Y32=1,BC32=""),1,0)</f>
        <v>0</v>
      </c>
      <c r="BE32" s="80">
        <f>IF(AND(BD32=1,AU32=1),1,0)</f>
        <v>0</v>
      </c>
      <c r="BF32" s="80" t="str">
        <f>IF(AND(D32="proMX",BD32=1),IF(R32="","Draft",R32),"")</f>
        <v/>
      </c>
      <c r="BG32" s="80">
        <f>IF(BD32=1,ROUND(AG32/60,6),0)</f>
        <v>0</v>
      </c>
      <c r="BH32" s="80">
        <f>IF(BE32=1,ROUND(AG32/60,6),0)</f>
        <v>0</v>
      </c>
      <c r="BI32" s="80">
        <f>IF(BE32=1,ROUND(AP32/60,6),0)</f>
        <v>0</v>
      </c>
      <c r="BJ32" s="80">
        <f>IF(BE32=1,ROUND(AQ32/60,6),0)</f>
        <v>0</v>
      </c>
      <c r="BK32" s="80">
        <f>IF(BE32=1,ROUND((AR32+AS32)/60,6),0)</f>
        <v>0</v>
      </c>
      <c r="BL32" s="80">
        <f>ROUND(BH32-BK32,6)</f>
        <v>0</v>
      </c>
      <c r="BM32" s="80">
        <f>IF(BE32=1,ROUND(AR32/60,6),0)</f>
        <v>0</v>
      </c>
      <c r="BN32" s="80">
        <f>ROUND(BI32-BM32,6)</f>
        <v>0</v>
      </c>
      <c r="BO32" s="80">
        <f>IF(BE32=1,ROUND(AS32/60,6),0)</f>
        <v>0</v>
      </c>
      <c r="BP32" s="80">
        <f>ROUND(BJ32-BO32,6)</f>
        <v>0</v>
      </c>
      <c r="BQ32" s="80">
        <f>IF(BE32=1,AW32,0)</f>
        <v>0</v>
      </c>
      <c r="BR32" s="80">
        <f>IF(BE32=1,AX32,0)</f>
        <v>0</v>
      </c>
      <c r="BS32" s="80">
        <f>IF(AND(BE32=1,D32="Malcolm",BA32&gt;0),MIN(BH32,SUMPRODUCT((R_Emp="proMX")*(R_EN&gt;0)*((R_EN-(R_EN&gt;BR32)*(R_EN-BR32))&gt;(R_SN+(R_SN&lt;BQ32)*(BQ32-R_SN)))*((R_EN-(R_EN&gt;BR32)*(R_EN-BR32))-(R_SN+(R_SN&lt;BQ32)*(BQ32-R_SN))))/60),0)</f>
        <v>0</v>
      </c>
      <c r="BT32" s="80">
        <f>IF(AND(BE32=1,D32="proMX"),ROUND(BI32*CFG_RATE+BJ32*CFG_OTRATE,6),0)</f>
        <v>0</v>
      </c>
      <c r="BU32" s="80">
        <f>IF(AND(BD32=1,D32="proMX"),ROUND(AG32/CFG_BLK,6),0)</f>
        <v>0</v>
      </c>
      <c r="BV32" s="80" t="str">
        <f>IF(BF32="Approved",IF(ISNUMBER(T32),INT(T32),INT(B32)),"")</f>
        <v/>
      </c>
      <c r="BW32" s="80">
        <f>IF(ISNUMBER(B32),IF(DB_MON="Todos",1,IF(AND(INT(B32)&gt;=DB_MS,INT(B32)&lt;=DB_ME),1,0)),0)</f>
        <v>0</v>
      </c>
      <c r="BX32" s="80">
        <f>IF(DB_PROJ="Todos",1,IF(E32&amp;""=DB_PROJ&amp;"",1,0))</f>
        <v>1</v>
      </c>
      <c r="BY32" s="80">
        <f>BW32*BX32</f>
        <v>0</v>
      </c>
      <c r="BZ32" s="80" t="str">
        <f>IF(Y32=1,F32&amp;IF(AND(F32&amp;""&lt;&gt;"",E32&amp;""&lt;&gt;"")," · ","")&amp;E32,"")</f>
        <v/>
      </c>
      <c r="CA32" s="80" t="str">
        <f>IF(AND(BD32=1,E32&amp;""&lt;&gt;""),IF(COUNTIFS($E$5:E31,E32,$BD$5:BD31,1)=0,MAX($CA$5:CA31)+1,""),"")</f>
        <v/>
      </c>
      <c r="CB32" s="80" t="str">
        <f>IF(AND(BE32=1,D32="Malcolm",E32&amp;""&lt;&gt;""),IF(COUNTIFS($D$5:D31,"Malcolm",$E$5:E31,E32,$BE$5:BE31,1)=0,MAX($CB$5:CB31)+1,""),"")</f>
        <v/>
      </c>
      <c r="CC32" s="80" t="str">
        <f>IF(AND(BD32=1,D32="proMX",E32&amp;""&lt;&gt;""),IF(COUNTIFS($D$5:D31,"proMX",$E$5:E31,E32,$BD$5:BD31,1)=0,MAX($CC$5:CC31)+1,""),"")</f>
        <v/>
      </c>
      <c r="CD32" s="80" t="str">
        <f>IF(AND(BE32=1,D32="Malcolm",F32&amp;""&lt;&gt;""),IF(COUNTIFS($D$5:D31,"Malcolm",$F$5:F31,F32,$BE$5:BE31,1)=0,MAX($CD$5:CD31)+1,""),"")</f>
        <v/>
      </c>
      <c r="CE32" s="80" t="str">
        <f>IF(AND(BD32=1,D32="proMX",F32&amp;""&lt;&gt;""),IF(COUNTIFS($D$5:D31,"proMX",$F$5:F31,F32,$BD$5:BD31,1)=0,MAX($CE$5:CE31)+1,""),"")</f>
        <v/>
      </c>
      <c r="CF32" s="80" t="str">
        <f>IF(AND(D32="proMX",BD32=1),IF(OR(BF32="Draft",BF32="Submitted",BF32="Returned",BF32="Recall Requested"),MAX($CF$5:CF31)+1,""),"")</f>
        <v/>
      </c>
      <c r="CG32" s="80">
        <f>IF(BD32=0,0,IF(D32="Malcolm",1,MATCH(BF32,{"Draft","Submitted","Approved","Returned","Recall Requested","Cancelled"},0)+1))</f>
        <v>0</v>
      </c>
      <c r="CH32" s="80">
        <f>IF(AND(BF32="Submitted",ISNUMBER(V32)),IF(V32&gt;CFG_MAXD,1,0),0)</f>
        <v>0</v>
      </c>
    </row>
    <row r="33">
      <c r="A33" s="71" t="str">
        <f>IF(Y33=1,ROW()-5,"")</f>
        <v/>
      </c>
      <c r="B33" s="72" t="n"/>
      <c r="C33" s="71" t="str">
        <f>IF(ISNUMBER(B33),CHOOSE(WEEKDAY(B33,2),"Lun","Mar","Mié","Jue","Vie","Sáb","Dom"),"")</f>
        <v/>
      </c>
      <c r="D33" s="73" t="n"/>
      <c r="E33" s="74" t="n"/>
      <c r="F33" s="74" t="n"/>
      <c r="G33" s="74" t="n"/>
      <c r="H33" s="75" t="n"/>
      <c r="I33" s="75" t="n"/>
      <c r="J33" s="76" t="n"/>
      <c r="K33" s="77" t="str">
        <f>IF(AB33=1,ROUND(AG33/60,4),"")</f>
        <v/>
      </c>
      <c r="L33" s="77" t="str">
        <f>IF(BD33=1,ROUND(AP33/60,4),"")</f>
        <v/>
      </c>
      <c r="M33" s="77" t="str">
        <f>IF(BD33=1,ROUND(AQ33/60,4),"")</f>
        <v/>
      </c>
      <c r="N33" s="71" t="str">
        <f>IF(AND(D33="proMX",AB33=1),ROUND(AG33/CFG_BLK,2),"")</f>
        <v/>
      </c>
      <c r="O33" s="77" t="str">
        <f>IF(D33="proMX",IF(BD33=1,ROUND(AG33/60,4),0),"")</f>
        <v/>
      </c>
      <c r="P33" s="78" t="str">
        <f>IF(Y33=0,"",IF(BD33=1,"OK",IF(D33="proMX","Revisar bloques: ","Revisar: ")&amp;BC33))</f>
        <v/>
      </c>
      <c r="Q33" s="78" t="str">
        <f>IF(NOT(ISNUMBER(B33)),"",IF(COUNTIFS(FER_F,INT(B33))&gt;0,"Feriado"&amp;IF(AH33=1," (laborable)"," (no laborable)"),IF(AH33=1,"Laborable",IF(WEEKDAY(B33,2)&gt;5,"Fin de semana","No laborable"))))</f>
        <v/>
      </c>
      <c r="R33" s="73" t="n"/>
      <c r="S33" s="72" t="n"/>
      <c r="T33" s="72" t="n"/>
      <c r="U33" s="74" t="n"/>
      <c r="V33" s="79" t="str">
        <f>IF(AND(D33="proMX",OR(R33="Submitted",R33="Recall Requested"),ISNUMBER(S33)),CFG_TODAY-INT(S33),"")</f>
        <v/>
      </c>
      <c r="W33" s="78" t="str">
        <f>IF(BD33=0,"",IF(BA33&gt;0,"⚠ Se superpone con un registro de la otra empresa",IF(D33="Malcolm",IF(COUNTA(R33,S33,T33)&gt;0,"Estado/fechas proMX se ignoran en Malcolm",""),IF(BF33="Cancelled","Cancelado: excluido de totales",IF(R33="","Sin estado: se trata como Draft",IF(BF33="Submitted",IF(ISNUMBER(V33),IF(V33&gt;CFG_MAXD,"⚠ "&amp;V33&amp;" días en Submitted (máx. "&amp;CFG_MAXD&amp;")",""),"Falta fecha de envío"),IF(BF33="Returned","⚠ Devuelto: corregir y reenviar",IF(BF33="Recall Requested","Retirada solicitada: pendiente",IF(AND(BF33="Approved",NOT(ISNUMBER(T33))),"Falta fecha de aprobación",IF(AND(ISNUMBER(S33),ISNUMBER(T33),T33&lt;S33),"Aprobación anterior al envío","")))))))))</f>
        <v/>
      </c>
      <c r="Y33" s="80">
        <f>IF(COUNTA(B33,D33,E33,F33,G33,H33,I33,J33,R33,S33,T33)&gt;0,1,0)</f>
        <v>0</v>
      </c>
      <c r="Z33" s="80" t="str">
        <f>IF(AND(ISNUMBER(H33),H33&gt;=0,H33&lt;1),ROUND(H33*1440,0),"")</f>
        <v/>
      </c>
      <c r="AA33" s="80" t="str">
        <f>IF(AND(ISNUMBER(I33),I33&gt;=0,I33&lt;1),ROUND(I33*1440,0),"")</f>
        <v/>
      </c>
      <c r="AB33" s="80">
        <f>IF(AND(ISNUMBER(B33),D33&lt;&gt;"",ISNUMBER(Z33),ISNUMBER(AA33)),IF(Z33=AA33,0,1),0)</f>
        <v>0</v>
      </c>
      <c r="AC33" s="80">
        <f>IF(AB33=1,IF(AA33&lt;Z33,1,0),0)</f>
        <v>0</v>
      </c>
      <c r="AD33" s="80">
        <f>IF(AB33=1,IF(AC33=1,1440-Z33+AA33,AA33-Z33),0)</f>
        <v>0</v>
      </c>
      <c r="AE33" s="80">
        <f>IF(J33="",0,IF(ISNUMBER(J33),J33,-1))</f>
        <v>0</v>
      </c>
      <c r="AF33" s="80">
        <f>MIN(MAX(0,AE33),AD33)</f>
        <v>0</v>
      </c>
      <c r="AG33" s="80">
        <f>MAX(0,AD33-MAX(0,AE33))</f>
        <v>0</v>
      </c>
      <c r="AH33" s="80">
        <f>IF(ISNUMBER(B33),IF(AND(INDEX(CFG_WDAYS,WEEKDAY(INT(B33),2))="Sí",IF(D33="proMX",COUNTIFS(FER_F,INT(B33),FER_NLP,"Sí"),COUNTIFS(FER_F,INT(B33),FER_NLM,"Sí"))=0),1,0),0)</f>
        <v>0</v>
      </c>
      <c r="AI33" s="80">
        <f>IF(AC33=1,IF(AND(INDEX(CFG_WDAYS,WEEKDAY(INT(B33)+1,2))="Sí",IF(D33="proMX",COUNTIFS(FER_F,INT(B33)+1,FER_NLP,"Sí"),COUNTIFS(FER_F,INT(B33)+1,FER_NLM,"Sí"))=0),1,0),0)</f>
        <v>0</v>
      </c>
      <c r="AJ33" s="80">
        <f>IF(AC33=1,1440-Z33,AD33)</f>
        <v>0</v>
      </c>
      <c r="AK33" s="80">
        <f>IF(AND(AB33=1,AH33=1),MAX(0,MIN(IF(AC33=1,1440,AA33),CFG_WEM)-MAX(Z33,CFG_WSM)),0)</f>
        <v>0</v>
      </c>
      <c r="AL33" s="80">
        <f>IF(AND(AC33=1,AI33=1),MAX(0,MIN(AA33,CFG_WEM)-CFG_WSM),0)</f>
        <v>0</v>
      </c>
      <c r="AM33" s="80">
        <f>AK33+AL33</f>
        <v>0</v>
      </c>
      <c r="AN33" s="80">
        <f>IF(CFG_BRK="Proporcional",IF(AD33=0,0,AF33*AM33/AD33),IF(CFG_BRK="Extras primero",MIN(AM33,MAX(0,AF33-(AD33-AM33))),MIN(AF33,AM33)))</f>
        <v>0</v>
      </c>
      <c r="AO33" s="80">
        <f>AF33-AN33</f>
        <v>0</v>
      </c>
      <c r="AP33" s="80">
        <f>AM33-AN33</f>
        <v>0</v>
      </c>
      <c r="AQ33" s="80">
        <f>AD33-AM33-AO33</f>
        <v>0</v>
      </c>
      <c r="AR33" s="80">
        <f>IF(AM33=0,0,AK33-AN33*AK33/AM33)</f>
        <v>0</v>
      </c>
      <c r="AS33" s="80">
        <f>IF(AD33-AM33=0,0,(AJ33-AK33)-AO33*(AJ33-AK33)/(AD33-AM33))</f>
        <v>0</v>
      </c>
      <c r="AT33" s="80" t="str">
        <f>IF(AC33=1,INT(B33)+1,"")</f>
        <v/>
      </c>
      <c r="AU33" s="80">
        <f>IF(AND(D33="proMX",R33="Cancelled"),0,1)</f>
        <v>1</v>
      </c>
      <c r="AV33" s="80">
        <f>IF(AND(AB33=1,AU33=1),IF(COUNTIFS($D$5:D32,D33,$B$5:B32,B33,$Z$5:Z32,Z33,$AA$5:AA32,AA33,$F$5:F32,F33&amp;"",$AU$5:AU32,1)&gt;0,1,0),0)</f>
        <v>0</v>
      </c>
      <c r="AW33" s="80" t="str">
        <f>IF(AB33=1,INT(B33)*1440+Z33,"")</f>
        <v/>
      </c>
      <c r="AX33" s="80" t="str">
        <f>IF(AB33=1,AW33+AD33,"")</f>
        <v/>
      </c>
      <c r="AY33" s="80">
        <f>IF(AND(AB33=1,AV33=0,AU33=1),1,0)</f>
        <v>0</v>
      </c>
      <c r="AZ33" s="80">
        <f>IF(AY33=1,COUNTIFS(R_Emp,D33,R_SAbs,"&lt;"&amp;AX33,R_EAbs,"&gt;"&amp;AW33,R_OKey,1)-1,0)</f>
        <v>0</v>
      </c>
      <c r="BA33" s="80">
        <f>IF(AY33=1,COUNTIFS(R_Emp,"&lt;&gt;"&amp;D33,R_SAbs,"&lt;"&amp;AX33,R_EAbs,"&gt;"&amp;AW33,R_OKey,1),0)</f>
        <v>0</v>
      </c>
      <c r="BB33" s="80">
        <f>IF(AND(AB33=1,D33="proMX"),IF(AND(MOD(Z33,CFG_BLK)=0,MOD(AA33,CFG_BLK)=0,MOD(AG33,CFG_BLK)=0,AG33&gt;0),1,0),1)</f>
        <v>1</v>
      </c>
      <c r="BC33" s="80" t="str">
        <f>IF(Y33=0,"",IF(NOT(ISNUMBER(B33)),"Falta fecha o fecha inválida",IF(D33="","Falta empresa",IF(AND(D33&lt;&gt;"Malcolm",D33&lt;&gt;"proMX"),"Empresa inválida",IF(OR(INT(B33)&lt;CFG_PSTART,INT(B33)&gt;CFG_PEND),"Fecha fuera del período",IF(OR(NOT(ISNUMBER(Z33)),NOT(ISNUMBER(AA33))),"Falta hora inicio/fin o formato inválido",IF(AB33=0,"Hora inicio = hora fin",IF(AE33&lt;0,"Descanso inválido",IF(AE33&gt;=AD33,"Descanso ≥ duración",IF(AV33=1,"Registro duplicado",IF(AZ33&gt;0,"Se superpone con otro registro "&amp;D33,IF(BB33=0,"inicio, fin y duración neta deben ser múltiplos de "&amp;CFG_BLK&amp;" min",""))))))))))))</f>
        <v/>
      </c>
      <c r="BD33" s="80">
        <f>IF(AND(Y33=1,BC33=""),1,0)</f>
        <v>0</v>
      </c>
      <c r="BE33" s="80">
        <f>IF(AND(BD33=1,AU33=1),1,0)</f>
        <v>0</v>
      </c>
      <c r="BF33" s="80" t="str">
        <f>IF(AND(D33="proMX",BD33=1),IF(R33="","Draft",R33),"")</f>
        <v/>
      </c>
      <c r="BG33" s="80">
        <f>IF(BD33=1,ROUND(AG33/60,6),0)</f>
        <v>0</v>
      </c>
      <c r="BH33" s="80">
        <f>IF(BE33=1,ROUND(AG33/60,6),0)</f>
        <v>0</v>
      </c>
      <c r="BI33" s="80">
        <f>IF(BE33=1,ROUND(AP33/60,6),0)</f>
        <v>0</v>
      </c>
      <c r="BJ33" s="80">
        <f>IF(BE33=1,ROUND(AQ33/60,6),0)</f>
        <v>0</v>
      </c>
      <c r="BK33" s="80">
        <f>IF(BE33=1,ROUND((AR33+AS33)/60,6),0)</f>
        <v>0</v>
      </c>
      <c r="BL33" s="80">
        <f>ROUND(BH33-BK33,6)</f>
        <v>0</v>
      </c>
      <c r="BM33" s="80">
        <f>IF(BE33=1,ROUND(AR33/60,6),0)</f>
        <v>0</v>
      </c>
      <c r="BN33" s="80">
        <f>ROUND(BI33-BM33,6)</f>
        <v>0</v>
      </c>
      <c r="BO33" s="80">
        <f>IF(BE33=1,ROUND(AS33/60,6),0)</f>
        <v>0</v>
      </c>
      <c r="BP33" s="80">
        <f>ROUND(BJ33-BO33,6)</f>
        <v>0</v>
      </c>
      <c r="BQ33" s="80">
        <f>IF(BE33=1,AW33,0)</f>
        <v>0</v>
      </c>
      <c r="BR33" s="80">
        <f>IF(BE33=1,AX33,0)</f>
        <v>0</v>
      </c>
      <c r="BS33" s="80">
        <f>IF(AND(BE33=1,D33="Malcolm",BA33&gt;0),MIN(BH33,SUMPRODUCT((R_Emp="proMX")*(R_EN&gt;0)*((R_EN-(R_EN&gt;BR33)*(R_EN-BR33))&gt;(R_SN+(R_SN&lt;BQ33)*(BQ33-R_SN)))*((R_EN-(R_EN&gt;BR33)*(R_EN-BR33))-(R_SN+(R_SN&lt;BQ33)*(BQ33-R_SN))))/60),0)</f>
        <v>0</v>
      </c>
      <c r="BT33" s="80">
        <f>IF(AND(BE33=1,D33="proMX"),ROUND(BI33*CFG_RATE+BJ33*CFG_OTRATE,6),0)</f>
        <v>0</v>
      </c>
      <c r="BU33" s="80">
        <f>IF(AND(BD33=1,D33="proMX"),ROUND(AG33/CFG_BLK,6),0)</f>
        <v>0</v>
      </c>
      <c r="BV33" s="80" t="str">
        <f>IF(BF33="Approved",IF(ISNUMBER(T33),INT(T33),INT(B33)),"")</f>
        <v/>
      </c>
      <c r="BW33" s="80">
        <f>IF(ISNUMBER(B33),IF(DB_MON="Todos",1,IF(AND(INT(B33)&gt;=DB_MS,INT(B33)&lt;=DB_ME),1,0)),0)</f>
        <v>0</v>
      </c>
      <c r="BX33" s="80">
        <f>IF(DB_PROJ="Todos",1,IF(E33&amp;""=DB_PROJ&amp;"",1,0))</f>
        <v>1</v>
      </c>
      <c r="BY33" s="80">
        <f>BW33*BX33</f>
        <v>0</v>
      </c>
      <c r="BZ33" s="80" t="str">
        <f>IF(Y33=1,F33&amp;IF(AND(F33&amp;""&lt;&gt;"",E33&amp;""&lt;&gt;"")," · ","")&amp;E33,"")</f>
        <v/>
      </c>
      <c r="CA33" s="80" t="str">
        <f>IF(AND(BD33=1,E33&amp;""&lt;&gt;""),IF(COUNTIFS($E$5:E32,E33,$BD$5:BD32,1)=0,MAX($CA$5:CA32)+1,""),"")</f>
        <v/>
      </c>
      <c r="CB33" s="80" t="str">
        <f>IF(AND(BE33=1,D33="Malcolm",E33&amp;""&lt;&gt;""),IF(COUNTIFS($D$5:D32,"Malcolm",$E$5:E32,E33,$BE$5:BE32,1)=0,MAX($CB$5:CB32)+1,""),"")</f>
        <v/>
      </c>
      <c r="CC33" s="80" t="str">
        <f>IF(AND(BD33=1,D33="proMX",E33&amp;""&lt;&gt;""),IF(COUNTIFS($D$5:D32,"proMX",$E$5:E32,E33,$BD$5:BD32,1)=0,MAX($CC$5:CC32)+1,""),"")</f>
        <v/>
      </c>
      <c r="CD33" s="80" t="str">
        <f>IF(AND(BE33=1,D33="Malcolm",F33&amp;""&lt;&gt;""),IF(COUNTIFS($D$5:D32,"Malcolm",$F$5:F32,F33,$BE$5:BE32,1)=0,MAX($CD$5:CD32)+1,""),"")</f>
        <v/>
      </c>
      <c r="CE33" s="80" t="str">
        <f>IF(AND(BD33=1,D33="proMX",F33&amp;""&lt;&gt;""),IF(COUNTIFS($D$5:D32,"proMX",$F$5:F32,F33,$BD$5:BD32,1)=0,MAX($CE$5:CE32)+1,""),"")</f>
        <v/>
      </c>
      <c r="CF33" s="80" t="str">
        <f>IF(AND(D33="proMX",BD33=1),IF(OR(BF33="Draft",BF33="Submitted",BF33="Returned",BF33="Recall Requested"),MAX($CF$5:CF32)+1,""),"")</f>
        <v/>
      </c>
      <c r="CG33" s="80">
        <f>IF(BD33=0,0,IF(D33="Malcolm",1,MATCH(BF33,{"Draft","Submitted","Approved","Returned","Recall Requested","Cancelled"},0)+1))</f>
        <v>0</v>
      </c>
      <c r="CH33" s="80">
        <f>IF(AND(BF33="Submitted",ISNUMBER(V33)),IF(V33&gt;CFG_MAXD,1,0),0)</f>
        <v>0</v>
      </c>
    </row>
    <row r="34">
      <c r="A34" s="71" t="str">
        <f>IF(Y34=1,ROW()-5,"")</f>
        <v/>
      </c>
      <c r="B34" s="72" t="n"/>
      <c r="C34" s="71" t="str">
        <f>IF(ISNUMBER(B34),CHOOSE(WEEKDAY(B34,2),"Lun","Mar","Mié","Jue","Vie","Sáb","Dom"),"")</f>
        <v/>
      </c>
      <c r="D34" s="73" t="n"/>
      <c r="E34" s="74" t="n"/>
      <c r="F34" s="74" t="n"/>
      <c r="G34" s="74" t="n"/>
      <c r="H34" s="75" t="n"/>
      <c r="I34" s="75" t="n"/>
      <c r="J34" s="76" t="n"/>
      <c r="K34" s="77" t="str">
        <f>IF(AB34=1,ROUND(AG34/60,4),"")</f>
        <v/>
      </c>
      <c r="L34" s="77" t="str">
        <f>IF(BD34=1,ROUND(AP34/60,4),"")</f>
        <v/>
      </c>
      <c r="M34" s="77" t="str">
        <f>IF(BD34=1,ROUND(AQ34/60,4),"")</f>
        <v/>
      </c>
      <c r="N34" s="71" t="str">
        <f>IF(AND(D34="proMX",AB34=1),ROUND(AG34/CFG_BLK,2),"")</f>
        <v/>
      </c>
      <c r="O34" s="77" t="str">
        <f>IF(D34="proMX",IF(BD34=1,ROUND(AG34/60,4),0),"")</f>
        <v/>
      </c>
      <c r="P34" s="78" t="str">
        <f>IF(Y34=0,"",IF(BD34=1,"OK",IF(D34="proMX","Revisar bloques: ","Revisar: ")&amp;BC34))</f>
        <v/>
      </c>
      <c r="Q34" s="78" t="str">
        <f>IF(NOT(ISNUMBER(B34)),"",IF(COUNTIFS(FER_F,INT(B34))&gt;0,"Feriado"&amp;IF(AH34=1," (laborable)"," (no laborable)"),IF(AH34=1,"Laborable",IF(WEEKDAY(B34,2)&gt;5,"Fin de semana","No laborable"))))</f>
        <v/>
      </c>
      <c r="R34" s="73" t="n"/>
      <c r="S34" s="72" t="n"/>
      <c r="T34" s="72" t="n"/>
      <c r="U34" s="74" t="n"/>
      <c r="V34" s="79" t="str">
        <f>IF(AND(D34="proMX",OR(R34="Submitted",R34="Recall Requested"),ISNUMBER(S34)),CFG_TODAY-INT(S34),"")</f>
        <v/>
      </c>
      <c r="W34" s="78" t="str">
        <f>IF(BD34=0,"",IF(BA34&gt;0,"⚠ Se superpone con un registro de la otra empresa",IF(D34="Malcolm",IF(COUNTA(R34,S34,T34)&gt;0,"Estado/fechas proMX se ignoran en Malcolm",""),IF(BF34="Cancelled","Cancelado: excluido de totales",IF(R34="","Sin estado: se trata como Draft",IF(BF34="Submitted",IF(ISNUMBER(V34),IF(V34&gt;CFG_MAXD,"⚠ "&amp;V34&amp;" días en Submitted (máx. "&amp;CFG_MAXD&amp;")",""),"Falta fecha de envío"),IF(BF34="Returned","⚠ Devuelto: corregir y reenviar",IF(BF34="Recall Requested","Retirada solicitada: pendiente",IF(AND(BF34="Approved",NOT(ISNUMBER(T34))),"Falta fecha de aprobación",IF(AND(ISNUMBER(S34),ISNUMBER(T34),T34&lt;S34),"Aprobación anterior al envío","")))))))))</f>
        <v/>
      </c>
      <c r="Y34" s="80">
        <f>IF(COUNTA(B34,D34,E34,F34,G34,H34,I34,J34,R34,S34,T34)&gt;0,1,0)</f>
        <v>0</v>
      </c>
      <c r="Z34" s="80" t="str">
        <f>IF(AND(ISNUMBER(H34),H34&gt;=0,H34&lt;1),ROUND(H34*1440,0),"")</f>
        <v/>
      </c>
      <c r="AA34" s="80" t="str">
        <f>IF(AND(ISNUMBER(I34),I34&gt;=0,I34&lt;1),ROUND(I34*1440,0),"")</f>
        <v/>
      </c>
      <c r="AB34" s="80">
        <f>IF(AND(ISNUMBER(B34),D34&lt;&gt;"",ISNUMBER(Z34),ISNUMBER(AA34)),IF(Z34=AA34,0,1),0)</f>
        <v>0</v>
      </c>
      <c r="AC34" s="80">
        <f>IF(AB34=1,IF(AA34&lt;Z34,1,0),0)</f>
        <v>0</v>
      </c>
      <c r="AD34" s="80">
        <f>IF(AB34=1,IF(AC34=1,1440-Z34+AA34,AA34-Z34),0)</f>
        <v>0</v>
      </c>
      <c r="AE34" s="80">
        <f>IF(J34="",0,IF(ISNUMBER(J34),J34,-1))</f>
        <v>0</v>
      </c>
      <c r="AF34" s="80">
        <f>MIN(MAX(0,AE34),AD34)</f>
        <v>0</v>
      </c>
      <c r="AG34" s="80">
        <f>MAX(0,AD34-MAX(0,AE34))</f>
        <v>0</v>
      </c>
      <c r="AH34" s="80">
        <f>IF(ISNUMBER(B34),IF(AND(INDEX(CFG_WDAYS,WEEKDAY(INT(B34),2))="Sí",IF(D34="proMX",COUNTIFS(FER_F,INT(B34),FER_NLP,"Sí"),COUNTIFS(FER_F,INT(B34),FER_NLM,"Sí"))=0),1,0),0)</f>
        <v>0</v>
      </c>
      <c r="AI34" s="80">
        <f>IF(AC34=1,IF(AND(INDEX(CFG_WDAYS,WEEKDAY(INT(B34)+1,2))="Sí",IF(D34="proMX",COUNTIFS(FER_F,INT(B34)+1,FER_NLP,"Sí"),COUNTIFS(FER_F,INT(B34)+1,FER_NLM,"Sí"))=0),1,0),0)</f>
        <v>0</v>
      </c>
      <c r="AJ34" s="80">
        <f>IF(AC34=1,1440-Z34,AD34)</f>
        <v>0</v>
      </c>
      <c r="AK34" s="80">
        <f>IF(AND(AB34=1,AH34=1),MAX(0,MIN(IF(AC34=1,1440,AA34),CFG_WEM)-MAX(Z34,CFG_WSM)),0)</f>
        <v>0</v>
      </c>
      <c r="AL34" s="80">
        <f>IF(AND(AC34=1,AI34=1),MAX(0,MIN(AA34,CFG_WEM)-CFG_WSM),0)</f>
        <v>0</v>
      </c>
      <c r="AM34" s="80">
        <f>AK34+AL34</f>
        <v>0</v>
      </c>
      <c r="AN34" s="80">
        <f>IF(CFG_BRK="Proporcional",IF(AD34=0,0,AF34*AM34/AD34),IF(CFG_BRK="Extras primero",MIN(AM34,MAX(0,AF34-(AD34-AM34))),MIN(AF34,AM34)))</f>
        <v>0</v>
      </c>
      <c r="AO34" s="80">
        <f>AF34-AN34</f>
        <v>0</v>
      </c>
      <c r="AP34" s="80">
        <f>AM34-AN34</f>
        <v>0</v>
      </c>
      <c r="AQ34" s="80">
        <f>AD34-AM34-AO34</f>
        <v>0</v>
      </c>
      <c r="AR34" s="80">
        <f>IF(AM34=0,0,AK34-AN34*AK34/AM34)</f>
        <v>0</v>
      </c>
      <c r="AS34" s="80">
        <f>IF(AD34-AM34=0,0,(AJ34-AK34)-AO34*(AJ34-AK34)/(AD34-AM34))</f>
        <v>0</v>
      </c>
      <c r="AT34" s="80" t="str">
        <f>IF(AC34=1,INT(B34)+1,"")</f>
        <v/>
      </c>
      <c r="AU34" s="80">
        <f>IF(AND(D34="proMX",R34="Cancelled"),0,1)</f>
        <v>1</v>
      </c>
      <c r="AV34" s="80">
        <f>IF(AND(AB34=1,AU34=1),IF(COUNTIFS($D$5:D33,D34,$B$5:B33,B34,$Z$5:Z33,Z34,$AA$5:AA33,AA34,$F$5:F33,F34&amp;"",$AU$5:AU33,1)&gt;0,1,0),0)</f>
        <v>0</v>
      </c>
      <c r="AW34" s="80" t="str">
        <f>IF(AB34=1,INT(B34)*1440+Z34,"")</f>
        <v/>
      </c>
      <c r="AX34" s="80" t="str">
        <f>IF(AB34=1,AW34+AD34,"")</f>
        <v/>
      </c>
      <c r="AY34" s="80">
        <f>IF(AND(AB34=1,AV34=0,AU34=1),1,0)</f>
        <v>0</v>
      </c>
      <c r="AZ34" s="80">
        <f>IF(AY34=1,COUNTIFS(R_Emp,D34,R_SAbs,"&lt;"&amp;AX34,R_EAbs,"&gt;"&amp;AW34,R_OKey,1)-1,0)</f>
        <v>0</v>
      </c>
      <c r="BA34" s="80">
        <f>IF(AY34=1,COUNTIFS(R_Emp,"&lt;&gt;"&amp;D34,R_SAbs,"&lt;"&amp;AX34,R_EAbs,"&gt;"&amp;AW34,R_OKey,1),0)</f>
        <v>0</v>
      </c>
      <c r="BB34" s="80">
        <f>IF(AND(AB34=1,D34="proMX"),IF(AND(MOD(Z34,CFG_BLK)=0,MOD(AA34,CFG_BLK)=0,MOD(AG34,CFG_BLK)=0,AG34&gt;0),1,0),1)</f>
        <v>1</v>
      </c>
      <c r="BC34" s="80" t="str">
        <f>IF(Y34=0,"",IF(NOT(ISNUMBER(B34)),"Falta fecha o fecha inválida",IF(D34="","Falta empresa",IF(AND(D34&lt;&gt;"Malcolm",D34&lt;&gt;"proMX"),"Empresa inválida",IF(OR(INT(B34)&lt;CFG_PSTART,INT(B34)&gt;CFG_PEND),"Fecha fuera del período",IF(OR(NOT(ISNUMBER(Z34)),NOT(ISNUMBER(AA34))),"Falta hora inicio/fin o formato inválido",IF(AB34=0,"Hora inicio = hora fin",IF(AE34&lt;0,"Descanso inválido",IF(AE34&gt;=AD34,"Descanso ≥ duración",IF(AV34=1,"Registro duplicado",IF(AZ34&gt;0,"Se superpone con otro registro "&amp;D34,IF(BB34=0,"inicio, fin y duración neta deben ser múltiplos de "&amp;CFG_BLK&amp;" min",""))))))))))))</f>
        <v/>
      </c>
      <c r="BD34" s="80">
        <f>IF(AND(Y34=1,BC34=""),1,0)</f>
        <v>0</v>
      </c>
      <c r="BE34" s="80">
        <f>IF(AND(BD34=1,AU34=1),1,0)</f>
        <v>0</v>
      </c>
      <c r="BF34" s="80" t="str">
        <f>IF(AND(D34="proMX",BD34=1),IF(R34="","Draft",R34),"")</f>
        <v/>
      </c>
      <c r="BG34" s="80">
        <f>IF(BD34=1,ROUND(AG34/60,6),0)</f>
        <v>0</v>
      </c>
      <c r="BH34" s="80">
        <f>IF(BE34=1,ROUND(AG34/60,6),0)</f>
        <v>0</v>
      </c>
      <c r="BI34" s="80">
        <f>IF(BE34=1,ROUND(AP34/60,6),0)</f>
        <v>0</v>
      </c>
      <c r="BJ34" s="80">
        <f>IF(BE34=1,ROUND(AQ34/60,6),0)</f>
        <v>0</v>
      </c>
      <c r="BK34" s="80">
        <f>IF(BE34=1,ROUND((AR34+AS34)/60,6),0)</f>
        <v>0</v>
      </c>
      <c r="BL34" s="80">
        <f>ROUND(BH34-BK34,6)</f>
        <v>0</v>
      </c>
      <c r="BM34" s="80">
        <f>IF(BE34=1,ROUND(AR34/60,6),0)</f>
        <v>0</v>
      </c>
      <c r="BN34" s="80">
        <f>ROUND(BI34-BM34,6)</f>
        <v>0</v>
      </c>
      <c r="BO34" s="80">
        <f>IF(BE34=1,ROUND(AS34/60,6),0)</f>
        <v>0</v>
      </c>
      <c r="BP34" s="80">
        <f>ROUND(BJ34-BO34,6)</f>
        <v>0</v>
      </c>
      <c r="BQ34" s="80">
        <f>IF(BE34=1,AW34,0)</f>
        <v>0</v>
      </c>
      <c r="BR34" s="80">
        <f>IF(BE34=1,AX34,0)</f>
        <v>0</v>
      </c>
      <c r="BS34" s="80">
        <f>IF(AND(BE34=1,D34="Malcolm",BA34&gt;0),MIN(BH34,SUMPRODUCT((R_Emp="proMX")*(R_EN&gt;0)*((R_EN-(R_EN&gt;BR34)*(R_EN-BR34))&gt;(R_SN+(R_SN&lt;BQ34)*(BQ34-R_SN)))*((R_EN-(R_EN&gt;BR34)*(R_EN-BR34))-(R_SN+(R_SN&lt;BQ34)*(BQ34-R_SN))))/60),0)</f>
        <v>0</v>
      </c>
      <c r="BT34" s="80">
        <f>IF(AND(BE34=1,D34="proMX"),ROUND(BI34*CFG_RATE+BJ34*CFG_OTRATE,6),0)</f>
        <v>0</v>
      </c>
      <c r="BU34" s="80">
        <f>IF(AND(BD34=1,D34="proMX"),ROUND(AG34/CFG_BLK,6),0)</f>
        <v>0</v>
      </c>
      <c r="BV34" s="80" t="str">
        <f>IF(BF34="Approved",IF(ISNUMBER(T34),INT(T34),INT(B34)),"")</f>
        <v/>
      </c>
      <c r="BW34" s="80">
        <f>IF(ISNUMBER(B34),IF(DB_MON="Todos",1,IF(AND(INT(B34)&gt;=DB_MS,INT(B34)&lt;=DB_ME),1,0)),0)</f>
        <v>0</v>
      </c>
      <c r="BX34" s="80">
        <f>IF(DB_PROJ="Todos",1,IF(E34&amp;""=DB_PROJ&amp;"",1,0))</f>
        <v>1</v>
      </c>
      <c r="BY34" s="80">
        <f>BW34*BX34</f>
        <v>0</v>
      </c>
      <c r="BZ34" s="80" t="str">
        <f>IF(Y34=1,F34&amp;IF(AND(F34&amp;""&lt;&gt;"",E34&amp;""&lt;&gt;"")," · ","")&amp;E34,"")</f>
        <v/>
      </c>
      <c r="CA34" s="80" t="str">
        <f>IF(AND(BD34=1,E34&amp;""&lt;&gt;""),IF(COUNTIFS($E$5:E33,E34,$BD$5:BD33,1)=0,MAX($CA$5:CA33)+1,""),"")</f>
        <v/>
      </c>
      <c r="CB34" s="80" t="str">
        <f>IF(AND(BE34=1,D34="Malcolm",E34&amp;""&lt;&gt;""),IF(COUNTIFS($D$5:D33,"Malcolm",$E$5:E33,E34,$BE$5:BE33,1)=0,MAX($CB$5:CB33)+1,""),"")</f>
        <v/>
      </c>
      <c r="CC34" s="80" t="str">
        <f>IF(AND(BD34=1,D34="proMX",E34&amp;""&lt;&gt;""),IF(COUNTIFS($D$5:D33,"proMX",$E$5:E33,E34,$BD$5:BD33,1)=0,MAX($CC$5:CC33)+1,""),"")</f>
        <v/>
      </c>
      <c r="CD34" s="80" t="str">
        <f>IF(AND(BE34=1,D34="Malcolm",F34&amp;""&lt;&gt;""),IF(COUNTIFS($D$5:D33,"Malcolm",$F$5:F33,F34,$BE$5:BE33,1)=0,MAX($CD$5:CD33)+1,""),"")</f>
        <v/>
      </c>
      <c r="CE34" s="80" t="str">
        <f>IF(AND(BD34=1,D34="proMX",F34&amp;""&lt;&gt;""),IF(COUNTIFS($D$5:D33,"proMX",$F$5:F33,F34,$BD$5:BD33,1)=0,MAX($CE$5:CE33)+1,""),"")</f>
        <v/>
      </c>
      <c r="CF34" s="80" t="str">
        <f>IF(AND(D34="proMX",BD34=1),IF(OR(BF34="Draft",BF34="Submitted",BF34="Returned",BF34="Recall Requested"),MAX($CF$5:CF33)+1,""),"")</f>
        <v/>
      </c>
      <c r="CG34" s="80">
        <f>IF(BD34=0,0,IF(D34="Malcolm",1,MATCH(BF34,{"Draft","Submitted","Approved","Returned","Recall Requested","Cancelled"},0)+1))</f>
        <v>0</v>
      </c>
      <c r="CH34" s="80">
        <f>IF(AND(BF34="Submitted",ISNUMBER(V34)),IF(V34&gt;CFG_MAXD,1,0),0)</f>
        <v>0</v>
      </c>
    </row>
    <row r="35">
      <c r="A35" s="71" t="str">
        <f>IF(Y35=1,ROW()-5,"")</f>
        <v/>
      </c>
      <c r="B35" s="72" t="n"/>
      <c r="C35" s="71" t="str">
        <f>IF(ISNUMBER(B35),CHOOSE(WEEKDAY(B35,2),"Lun","Mar","Mié","Jue","Vie","Sáb","Dom"),"")</f>
        <v/>
      </c>
      <c r="D35" s="73" t="n"/>
      <c r="E35" s="74" t="n"/>
      <c r="F35" s="74" t="n"/>
      <c r="G35" s="74" t="n"/>
      <c r="H35" s="75" t="n"/>
      <c r="I35" s="75" t="n"/>
      <c r="J35" s="76" t="n"/>
      <c r="K35" s="77" t="str">
        <f>IF(AB35=1,ROUND(AG35/60,4),"")</f>
        <v/>
      </c>
      <c r="L35" s="77" t="str">
        <f>IF(BD35=1,ROUND(AP35/60,4),"")</f>
        <v/>
      </c>
      <c r="M35" s="77" t="str">
        <f>IF(BD35=1,ROUND(AQ35/60,4),"")</f>
        <v/>
      </c>
      <c r="N35" s="71" t="str">
        <f>IF(AND(D35="proMX",AB35=1),ROUND(AG35/CFG_BLK,2),"")</f>
        <v/>
      </c>
      <c r="O35" s="77" t="str">
        <f>IF(D35="proMX",IF(BD35=1,ROUND(AG35/60,4),0),"")</f>
        <v/>
      </c>
      <c r="P35" s="78" t="str">
        <f>IF(Y35=0,"",IF(BD35=1,"OK",IF(D35="proMX","Revisar bloques: ","Revisar: ")&amp;BC35))</f>
        <v/>
      </c>
      <c r="Q35" s="78" t="str">
        <f>IF(NOT(ISNUMBER(B35)),"",IF(COUNTIFS(FER_F,INT(B35))&gt;0,"Feriado"&amp;IF(AH35=1," (laborable)"," (no laborable)"),IF(AH35=1,"Laborable",IF(WEEKDAY(B35,2)&gt;5,"Fin de semana","No laborable"))))</f>
        <v/>
      </c>
      <c r="R35" s="73" t="n"/>
      <c r="S35" s="72" t="n"/>
      <c r="T35" s="72" t="n"/>
      <c r="U35" s="74" t="n"/>
      <c r="V35" s="79" t="str">
        <f>IF(AND(D35="proMX",OR(R35="Submitted",R35="Recall Requested"),ISNUMBER(S35)),CFG_TODAY-INT(S35),"")</f>
        <v/>
      </c>
      <c r="W35" s="78" t="str">
        <f>IF(BD35=0,"",IF(BA35&gt;0,"⚠ Se superpone con un registro de la otra empresa",IF(D35="Malcolm",IF(COUNTA(R35,S35,T35)&gt;0,"Estado/fechas proMX se ignoran en Malcolm",""),IF(BF35="Cancelled","Cancelado: excluido de totales",IF(R35="","Sin estado: se trata como Draft",IF(BF35="Submitted",IF(ISNUMBER(V35),IF(V35&gt;CFG_MAXD,"⚠ "&amp;V35&amp;" días en Submitted (máx. "&amp;CFG_MAXD&amp;")",""),"Falta fecha de envío"),IF(BF35="Returned","⚠ Devuelto: corregir y reenviar",IF(BF35="Recall Requested","Retirada solicitada: pendiente",IF(AND(BF35="Approved",NOT(ISNUMBER(T35))),"Falta fecha de aprobación",IF(AND(ISNUMBER(S35),ISNUMBER(T35),T35&lt;S35),"Aprobación anterior al envío","")))))))))</f>
        <v/>
      </c>
      <c r="Y35" s="80">
        <f>IF(COUNTA(B35,D35,E35,F35,G35,H35,I35,J35,R35,S35,T35)&gt;0,1,0)</f>
        <v>0</v>
      </c>
      <c r="Z35" s="80" t="str">
        <f>IF(AND(ISNUMBER(H35),H35&gt;=0,H35&lt;1),ROUND(H35*1440,0),"")</f>
        <v/>
      </c>
      <c r="AA35" s="80" t="str">
        <f>IF(AND(ISNUMBER(I35),I35&gt;=0,I35&lt;1),ROUND(I35*1440,0),"")</f>
        <v/>
      </c>
      <c r="AB35" s="80">
        <f>IF(AND(ISNUMBER(B35),D35&lt;&gt;"",ISNUMBER(Z35),ISNUMBER(AA35)),IF(Z35=AA35,0,1),0)</f>
        <v>0</v>
      </c>
      <c r="AC35" s="80">
        <f>IF(AB35=1,IF(AA35&lt;Z35,1,0),0)</f>
        <v>0</v>
      </c>
      <c r="AD35" s="80">
        <f>IF(AB35=1,IF(AC35=1,1440-Z35+AA35,AA35-Z35),0)</f>
        <v>0</v>
      </c>
      <c r="AE35" s="80">
        <f>IF(J35="",0,IF(ISNUMBER(J35),J35,-1))</f>
        <v>0</v>
      </c>
      <c r="AF35" s="80">
        <f>MIN(MAX(0,AE35),AD35)</f>
        <v>0</v>
      </c>
      <c r="AG35" s="80">
        <f>MAX(0,AD35-MAX(0,AE35))</f>
        <v>0</v>
      </c>
      <c r="AH35" s="80">
        <f>IF(ISNUMBER(B35),IF(AND(INDEX(CFG_WDAYS,WEEKDAY(INT(B35),2))="Sí",IF(D35="proMX",COUNTIFS(FER_F,INT(B35),FER_NLP,"Sí"),COUNTIFS(FER_F,INT(B35),FER_NLM,"Sí"))=0),1,0),0)</f>
        <v>0</v>
      </c>
      <c r="AI35" s="80">
        <f>IF(AC35=1,IF(AND(INDEX(CFG_WDAYS,WEEKDAY(INT(B35)+1,2))="Sí",IF(D35="proMX",COUNTIFS(FER_F,INT(B35)+1,FER_NLP,"Sí"),COUNTIFS(FER_F,INT(B35)+1,FER_NLM,"Sí"))=0),1,0),0)</f>
        <v>0</v>
      </c>
      <c r="AJ35" s="80">
        <f>IF(AC35=1,1440-Z35,AD35)</f>
        <v>0</v>
      </c>
      <c r="AK35" s="80">
        <f>IF(AND(AB35=1,AH35=1),MAX(0,MIN(IF(AC35=1,1440,AA35),CFG_WEM)-MAX(Z35,CFG_WSM)),0)</f>
        <v>0</v>
      </c>
      <c r="AL35" s="80">
        <f>IF(AND(AC35=1,AI35=1),MAX(0,MIN(AA35,CFG_WEM)-CFG_WSM),0)</f>
        <v>0</v>
      </c>
      <c r="AM35" s="80">
        <f>AK35+AL35</f>
        <v>0</v>
      </c>
      <c r="AN35" s="80">
        <f>IF(CFG_BRK="Proporcional",IF(AD35=0,0,AF35*AM35/AD35),IF(CFG_BRK="Extras primero",MIN(AM35,MAX(0,AF35-(AD35-AM35))),MIN(AF35,AM35)))</f>
        <v>0</v>
      </c>
      <c r="AO35" s="80">
        <f>AF35-AN35</f>
        <v>0</v>
      </c>
      <c r="AP35" s="80">
        <f>AM35-AN35</f>
        <v>0</v>
      </c>
      <c r="AQ35" s="80">
        <f>AD35-AM35-AO35</f>
        <v>0</v>
      </c>
      <c r="AR35" s="80">
        <f>IF(AM35=0,0,AK35-AN35*AK35/AM35)</f>
        <v>0</v>
      </c>
      <c r="AS35" s="80">
        <f>IF(AD35-AM35=0,0,(AJ35-AK35)-AO35*(AJ35-AK35)/(AD35-AM35))</f>
        <v>0</v>
      </c>
      <c r="AT35" s="80" t="str">
        <f>IF(AC35=1,INT(B35)+1,"")</f>
        <v/>
      </c>
      <c r="AU35" s="80">
        <f>IF(AND(D35="proMX",R35="Cancelled"),0,1)</f>
        <v>1</v>
      </c>
      <c r="AV35" s="80">
        <f>IF(AND(AB35=1,AU35=1),IF(COUNTIFS($D$5:D34,D35,$B$5:B34,B35,$Z$5:Z34,Z35,$AA$5:AA34,AA35,$F$5:F34,F35&amp;"",$AU$5:AU34,1)&gt;0,1,0),0)</f>
        <v>0</v>
      </c>
      <c r="AW35" s="80" t="str">
        <f>IF(AB35=1,INT(B35)*1440+Z35,"")</f>
        <v/>
      </c>
      <c r="AX35" s="80" t="str">
        <f>IF(AB35=1,AW35+AD35,"")</f>
        <v/>
      </c>
      <c r="AY35" s="80">
        <f>IF(AND(AB35=1,AV35=0,AU35=1),1,0)</f>
        <v>0</v>
      </c>
      <c r="AZ35" s="80">
        <f>IF(AY35=1,COUNTIFS(R_Emp,D35,R_SAbs,"&lt;"&amp;AX35,R_EAbs,"&gt;"&amp;AW35,R_OKey,1)-1,0)</f>
        <v>0</v>
      </c>
      <c r="BA35" s="80">
        <f>IF(AY35=1,COUNTIFS(R_Emp,"&lt;&gt;"&amp;D35,R_SAbs,"&lt;"&amp;AX35,R_EAbs,"&gt;"&amp;AW35,R_OKey,1),0)</f>
        <v>0</v>
      </c>
      <c r="BB35" s="80">
        <f>IF(AND(AB35=1,D35="proMX"),IF(AND(MOD(Z35,CFG_BLK)=0,MOD(AA35,CFG_BLK)=0,MOD(AG35,CFG_BLK)=0,AG35&gt;0),1,0),1)</f>
        <v>1</v>
      </c>
      <c r="BC35" s="80" t="str">
        <f>IF(Y35=0,"",IF(NOT(ISNUMBER(B35)),"Falta fecha o fecha inválida",IF(D35="","Falta empresa",IF(AND(D35&lt;&gt;"Malcolm",D35&lt;&gt;"proMX"),"Empresa inválida",IF(OR(INT(B35)&lt;CFG_PSTART,INT(B35)&gt;CFG_PEND),"Fecha fuera del período",IF(OR(NOT(ISNUMBER(Z35)),NOT(ISNUMBER(AA35))),"Falta hora inicio/fin o formato inválido",IF(AB35=0,"Hora inicio = hora fin",IF(AE35&lt;0,"Descanso inválido",IF(AE35&gt;=AD35,"Descanso ≥ duración",IF(AV35=1,"Registro duplicado",IF(AZ35&gt;0,"Se superpone con otro registro "&amp;D35,IF(BB35=0,"inicio, fin y duración neta deben ser múltiplos de "&amp;CFG_BLK&amp;" min",""))))))))))))</f>
        <v/>
      </c>
      <c r="BD35" s="80">
        <f>IF(AND(Y35=1,BC35=""),1,0)</f>
        <v>0</v>
      </c>
      <c r="BE35" s="80">
        <f>IF(AND(BD35=1,AU35=1),1,0)</f>
        <v>0</v>
      </c>
      <c r="BF35" s="80" t="str">
        <f>IF(AND(D35="proMX",BD35=1),IF(R35="","Draft",R35),"")</f>
        <v/>
      </c>
      <c r="BG35" s="80">
        <f>IF(BD35=1,ROUND(AG35/60,6),0)</f>
        <v>0</v>
      </c>
      <c r="BH35" s="80">
        <f>IF(BE35=1,ROUND(AG35/60,6),0)</f>
        <v>0</v>
      </c>
      <c r="BI35" s="80">
        <f>IF(BE35=1,ROUND(AP35/60,6),0)</f>
        <v>0</v>
      </c>
      <c r="BJ35" s="80">
        <f>IF(BE35=1,ROUND(AQ35/60,6),0)</f>
        <v>0</v>
      </c>
      <c r="BK35" s="80">
        <f>IF(BE35=1,ROUND((AR35+AS35)/60,6),0)</f>
        <v>0</v>
      </c>
      <c r="BL35" s="80">
        <f>ROUND(BH35-BK35,6)</f>
        <v>0</v>
      </c>
      <c r="BM35" s="80">
        <f>IF(BE35=1,ROUND(AR35/60,6),0)</f>
        <v>0</v>
      </c>
      <c r="BN35" s="80">
        <f>ROUND(BI35-BM35,6)</f>
        <v>0</v>
      </c>
      <c r="BO35" s="80">
        <f>IF(BE35=1,ROUND(AS35/60,6),0)</f>
        <v>0</v>
      </c>
      <c r="BP35" s="80">
        <f>ROUND(BJ35-BO35,6)</f>
        <v>0</v>
      </c>
      <c r="BQ35" s="80">
        <f>IF(BE35=1,AW35,0)</f>
        <v>0</v>
      </c>
      <c r="BR35" s="80">
        <f>IF(BE35=1,AX35,0)</f>
        <v>0</v>
      </c>
      <c r="BS35" s="80">
        <f>IF(AND(BE35=1,D35="Malcolm",BA35&gt;0),MIN(BH35,SUMPRODUCT((R_Emp="proMX")*(R_EN&gt;0)*((R_EN-(R_EN&gt;BR35)*(R_EN-BR35))&gt;(R_SN+(R_SN&lt;BQ35)*(BQ35-R_SN)))*((R_EN-(R_EN&gt;BR35)*(R_EN-BR35))-(R_SN+(R_SN&lt;BQ35)*(BQ35-R_SN))))/60),0)</f>
        <v>0</v>
      </c>
      <c r="BT35" s="80">
        <f>IF(AND(BE35=1,D35="proMX"),ROUND(BI35*CFG_RATE+BJ35*CFG_OTRATE,6),0)</f>
        <v>0</v>
      </c>
      <c r="BU35" s="80">
        <f>IF(AND(BD35=1,D35="proMX"),ROUND(AG35/CFG_BLK,6),0)</f>
        <v>0</v>
      </c>
      <c r="BV35" s="80" t="str">
        <f>IF(BF35="Approved",IF(ISNUMBER(T35),INT(T35),INT(B35)),"")</f>
        <v/>
      </c>
      <c r="BW35" s="80">
        <f>IF(ISNUMBER(B35),IF(DB_MON="Todos",1,IF(AND(INT(B35)&gt;=DB_MS,INT(B35)&lt;=DB_ME),1,0)),0)</f>
        <v>0</v>
      </c>
      <c r="BX35" s="80">
        <f>IF(DB_PROJ="Todos",1,IF(E35&amp;""=DB_PROJ&amp;"",1,0))</f>
        <v>1</v>
      </c>
      <c r="BY35" s="80">
        <f>BW35*BX35</f>
        <v>0</v>
      </c>
      <c r="BZ35" s="80" t="str">
        <f>IF(Y35=1,F35&amp;IF(AND(F35&amp;""&lt;&gt;"",E35&amp;""&lt;&gt;"")," · ","")&amp;E35,"")</f>
        <v/>
      </c>
      <c r="CA35" s="80" t="str">
        <f>IF(AND(BD35=1,E35&amp;""&lt;&gt;""),IF(COUNTIFS($E$5:E34,E35,$BD$5:BD34,1)=0,MAX($CA$5:CA34)+1,""),"")</f>
        <v/>
      </c>
      <c r="CB35" s="80" t="str">
        <f>IF(AND(BE35=1,D35="Malcolm",E35&amp;""&lt;&gt;""),IF(COUNTIFS($D$5:D34,"Malcolm",$E$5:E34,E35,$BE$5:BE34,1)=0,MAX($CB$5:CB34)+1,""),"")</f>
        <v/>
      </c>
      <c r="CC35" s="80" t="str">
        <f>IF(AND(BD35=1,D35="proMX",E35&amp;""&lt;&gt;""),IF(COUNTIFS($D$5:D34,"proMX",$E$5:E34,E35,$BD$5:BD34,1)=0,MAX($CC$5:CC34)+1,""),"")</f>
        <v/>
      </c>
      <c r="CD35" s="80" t="str">
        <f>IF(AND(BE35=1,D35="Malcolm",F35&amp;""&lt;&gt;""),IF(COUNTIFS($D$5:D34,"Malcolm",$F$5:F34,F35,$BE$5:BE34,1)=0,MAX($CD$5:CD34)+1,""),"")</f>
        <v/>
      </c>
      <c r="CE35" s="80" t="str">
        <f>IF(AND(BD35=1,D35="proMX",F35&amp;""&lt;&gt;""),IF(COUNTIFS($D$5:D34,"proMX",$F$5:F34,F35,$BD$5:BD34,1)=0,MAX($CE$5:CE34)+1,""),"")</f>
        <v/>
      </c>
      <c r="CF35" s="80" t="str">
        <f>IF(AND(D35="proMX",BD35=1),IF(OR(BF35="Draft",BF35="Submitted",BF35="Returned",BF35="Recall Requested"),MAX($CF$5:CF34)+1,""),"")</f>
        <v/>
      </c>
      <c r="CG35" s="80">
        <f>IF(BD35=0,0,IF(D35="Malcolm",1,MATCH(BF35,{"Draft","Submitted","Approved","Returned","Recall Requested","Cancelled"},0)+1))</f>
        <v>0</v>
      </c>
      <c r="CH35" s="80">
        <f>IF(AND(BF35="Submitted",ISNUMBER(V35)),IF(V35&gt;CFG_MAXD,1,0),0)</f>
        <v>0</v>
      </c>
    </row>
    <row r="36">
      <c r="A36" s="71" t="str">
        <f>IF(Y36=1,ROW()-5,"")</f>
        <v/>
      </c>
      <c r="B36" s="72" t="n"/>
      <c r="C36" s="71" t="str">
        <f>IF(ISNUMBER(B36),CHOOSE(WEEKDAY(B36,2),"Lun","Mar","Mié","Jue","Vie","Sáb","Dom"),"")</f>
        <v/>
      </c>
      <c r="D36" s="73" t="n"/>
      <c r="E36" s="74" t="n"/>
      <c r="F36" s="74" t="n"/>
      <c r="G36" s="74" t="n"/>
      <c r="H36" s="75" t="n"/>
      <c r="I36" s="75" t="n"/>
      <c r="J36" s="76" t="n"/>
      <c r="K36" s="77" t="str">
        <f>IF(AB36=1,ROUND(AG36/60,4),"")</f>
        <v/>
      </c>
      <c r="L36" s="77" t="str">
        <f>IF(BD36=1,ROUND(AP36/60,4),"")</f>
        <v/>
      </c>
      <c r="M36" s="77" t="str">
        <f>IF(BD36=1,ROUND(AQ36/60,4),"")</f>
        <v/>
      </c>
      <c r="N36" s="71" t="str">
        <f>IF(AND(D36="proMX",AB36=1),ROUND(AG36/CFG_BLK,2),"")</f>
        <v/>
      </c>
      <c r="O36" s="77" t="str">
        <f>IF(D36="proMX",IF(BD36=1,ROUND(AG36/60,4),0),"")</f>
        <v/>
      </c>
      <c r="P36" s="78" t="str">
        <f>IF(Y36=0,"",IF(BD36=1,"OK",IF(D36="proMX","Revisar bloques: ","Revisar: ")&amp;BC36))</f>
        <v/>
      </c>
      <c r="Q36" s="78" t="str">
        <f>IF(NOT(ISNUMBER(B36)),"",IF(COUNTIFS(FER_F,INT(B36))&gt;0,"Feriado"&amp;IF(AH36=1," (laborable)"," (no laborable)"),IF(AH36=1,"Laborable",IF(WEEKDAY(B36,2)&gt;5,"Fin de semana","No laborable"))))</f>
        <v/>
      </c>
      <c r="R36" s="73" t="n"/>
      <c r="S36" s="72" t="n"/>
      <c r="T36" s="72" t="n"/>
      <c r="U36" s="74" t="n"/>
      <c r="V36" s="79" t="str">
        <f>IF(AND(D36="proMX",OR(R36="Submitted",R36="Recall Requested"),ISNUMBER(S36)),CFG_TODAY-INT(S36),"")</f>
        <v/>
      </c>
      <c r="W36" s="78" t="str">
        <f>IF(BD36=0,"",IF(BA36&gt;0,"⚠ Se superpone con un registro de la otra empresa",IF(D36="Malcolm",IF(COUNTA(R36,S36,T36)&gt;0,"Estado/fechas proMX se ignoran en Malcolm",""),IF(BF36="Cancelled","Cancelado: excluido de totales",IF(R36="","Sin estado: se trata como Draft",IF(BF36="Submitted",IF(ISNUMBER(V36),IF(V36&gt;CFG_MAXD,"⚠ "&amp;V36&amp;" días en Submitted (máx. "&amp;CFG_MAXD&amp;")",""),"Falta fecha de envío"),IF(BF36="Returned","⚠ Devuelto: corregir y reenviar",IF(BF36="Recall Requested","Retirada solicitada: pendiente",IF(AND(BF36="Approved",NOT(ISNUMBER(T36))),"Falta fecha de aprobación",IF(AND(ISNUMBER(S36),ISNUMBER(T36),T36&lt;S36),"Aprobación anterior al envío","")))))))))</f>
        <v/>
      </c>
      <c r="Y36" s="80">
        <f>IF(COUNTA(B36,D36,E36,F36,G36,H36,I36,J36,R36,S36,T36)&gt;0,1,0)</f>
        <v>0</v>
      </c>
      <c r="Z36" s="80" t="str">
        <f>IF(AND(ISNUMBER(H36),H36&gt;=0,H36&lt;1),ROUND(H36*1440,0),"")</f>
        <v/>
      </c>
      <c r="AA36" s="80" t="str">
        <f>IF(AND(ISNUMBER(I36),I36&gt;=0,I36&lt;1),ROUND(I36*1440,0),"")</f>
        <v/>
      </c>
      <c r="AB36" s="80">
        <f>IF(AND(ISNUMBER(B36),D36&lt;&gt;"",ISNUMBER(Z36),ISNUMBER(AA36)),IF(Z36=AA36,0,1),0)</f>
        <v>0</v>
      </c>
      <c r="AC36" s="80">
        <f>IF(AB36=1,IF(AA36&lt;Z36,1,0),0)</f>
        <v>0</v>
      </c>
      <c r="AD36" s="80">
        <f>IF(AB36=1,IF(AC36=1,1440-Z36+AA36,AA36-Z36),0)</f>
        <v>0</v>
      </c>
      <c r="AE36" s="80">
        <f>IF(J36="",0,IF(ISNUMBER(J36),J36,-1))</f>
        <v>0</v>
      </c>
      <c r="AF36" s="80">
        <f>MIN(MAX(0,AE36),AD36)</f>
        <v>0</v>
      </c>
      <c r="AG36" s="80">
        <f>MAX(0,AD36-MAX(0,AE36))</f>
        <v>0</v>
      </c>
      <c r="AH36" s="80">
        <f>IF(ISNUMBER(B36),IF(AND(INDEX(CFG_WDAYS,WEEKDAY(INT(B36),2))="Sí",IF(D36="proMX",COUNTIFS(FER_F,INT(B36),FER_NLP,"Sí"),COUNTIFS(FER_F,INT(B36),FER_NLM,"Sí"))=0),1,0),0)</f>
        <v>0</v>
      </c>
      <c r="AI36" s="80">
        <f>IF(AC36=1,IF(AND(INDEX(CFG_WDAYS,WEEKDAY(INT(B36)+1,2))="Sí",IF(D36="proMX",COUNTIFS(FER_F,INT(B36)+1,FER_NLP,"Sí"),COUNTIFS(FER_F,INT(B36)+1,FER_NLM,"Sí"))=0),1,0),0)</f>
        <v>0</v>
      </c>
      <c r="AJ36" s="80">
        <f>IF(AC36=1,1440-Z36,AD36)</f>
        <v>0</v>
      </c>
      <c r="AK36" s="80">
        <f>IF(AND(AB36=1,AH36=1),MAX(0,MIN(IF(AC36=1,1440,AA36),CFG_WEM)-MAX(Z36,CFG_WSM)),0)</f>
        <v>0</v>
      </c>
      <c r="AL36" s="80">
        <f>IF(AND(AC36=1,AI36=1),MAX(0,MIN(AA36,CFG_WEM)-CFG_WSM),0)</f>
        <v>0</v>
      </c>
      <c r="AM36" s="80">
        <f>AK36+AL36</f>
        <v>0</v>
      </c>
      <c r="AN36" s="80">
        <f>IF(CFG_BRK="Proporcional",IF(AD36=0,0,AF36*AM36/AD36),IF(CFG_BRK="Extras primero",MIN(AM36,MAX(0,AF36-(AD36-AM36))),MIN(AF36,AM36)))</f>
        <v>0</v>
      </c>
      <c r="AO36" s="80">
        <f>AF36-AN36</f>
        <v>0</v>
      </c>
      <c r="AP36" s="80">
        <f>AM36-AN36</f>
        <v>0</v>
      </c>
      <c r="AQ36" s="80">
        <f>AD36-AM36-AO36</f>
        <v>0</v>
      </c>
      <c r="AR36" s="80">
        <f>IF(AM36=0,0,AK36-AN36*AK36/AM36)</f>
        <v>0</v>
      </c>
      <c r="AS36" s="80">
        <f>IF(AD36-AM36=0,0,(AJ36-AK36)-AO36*(AJ36-AK36)/(AD36-AM36))</f>
        <v>0</v>
      </c>
      <c r="AT36" s="80" t="str">
        <f>IF(AC36=1,INT(B36)+1,"")</f>
        <v/>
      </c>
      <c r="AU36" s="80">
        <f>IF(AND(D36="proMX",R36="Cancelled"),0,1)</f>
        <v>1</v>
      </c>
      <c r="AV36" s="80">
        <f>IF(AND(AB36=1,AU36=1),IF(COUNTIFS($D$5:D35,D36,$B$5:B35,B36,$Z$5:Z35,Z36,$AA$5:AA35,AA36,$F$5:F35,F36&amp;"",$AU$5:AU35,1)&gt;0,1,0),0)</f>
        <v>0</v>
      </c>
      <c r="AW36" s="80" t="str">
        <f>IF(AB36=1,INT(B36)*1440+Z36,"")</f>
        <v/>
      </c>
      <c r="AX36" s="80" t="str">
        <f>IF(AB36=1,AW36+AD36,"")</f>
        <v/>
      </c>
      <c r="AY36" s="80">
        <f>IF(AND(AB36=1,AV36=0,AU36=1),1,0)</f>
        <v>0</v>
      </c>
      <c r="AZ36" s="80">
        <f>IF(AY36=1,COUNTIFS(R_Emp,D36,R_SAbs,"&lt;"&amp;AX36,R_EAbs,"&gt;"&amp;AW36,R_OKey,1)-1,0)</f>
        <v>0</v>
      </c>
      <c r="BA36" s="80">
        <f>IF(AY36=1,COUNTIFS(R_Emp,"&lt;&gt;"&amp;D36,R_SAbs,"&lt;"&amp;AX36,R_EAbs,"&gt;"&amp;AW36,R_OKey,1),0)</f>
        <v>0</v>
      </c>
      <c r="BB36" s="80">
        <f>IF(AND(AB36=1,D36="proMX"),IF(AND(MOD(Z36,CFG_BLK)=0,MOD(AA36,CFG_BLK)=0,MOD(AG36,CFG_BLK)=0,AG36&gt;0),1,0),1)</f>
        <v>1</v>
      </c>
      <c r="BC36" s="80" t="str">
        <f>IF(Y36=0,"",IF(NOT(ISNUMBER(B36)),"Falta fecha o fecha inválida",IF(D36="","Falta empresa",IF(AND(D36&lt;&gt;"Malcolm",D36&lt;&gt;"proMX"),"Empresa inválida",IF(OR(INT(B36)&lt;CFG_PSTART,INT(B36)&gt;CFG_PEND),"Fecha fuera del período",IF(OR(NOT(ISNUMBER(Z36)),NOT(ISNUMBER(AA36))),"Falta hora inicio/fin o formato inválido",IF(AB36=0,"Hora inicio = hora fin",IF(AE36&lt;0,"Descanso inválido",IF(AE36&gt;=AD36,"Descanso ≥ duración",IF(AV36=1,"Registro duplicado",IF(AZ36&gt;0,"Se superpone con otro registro "&amp;D36,IF(BB36=0,"inicio, fin y duración neta deben ser múltiplos de "&amp;CFG_BLK&amp;" min",""))))))))))))</f>
        <v/>
      </c>
      <c r="BD36" s="80">
        <f>IF(AND(Y36=1,BC36=""),1,0)</f>
        <v>0</v>
      </c>
      <c r="BE36" s="80">
        <f>IF(AND(BD36=1,AU36=1),1,0)</f>
        <v>0</v>
      </c>
      <c r="BF36" s="80" t="str">
        <f>IF(AND(D36="proMX",BD36=1),IF(R36="","Draft",R36),"")</f>
        <v/>
      </c>
      <c r="BG36" s="80">
        <f>IF(BD36=1,ROUND(AG36/60,6),0)</f>
        <v>0</v>
      </c>
      <c r="BH36" s="80">
        <f>IF(BE36=1,ROUND(AG36/60,6),0)</f>
        <v>0</v>
      </c>
      <c r="BI36" s="80">
        <f>IF(BE36=1,ROUND(AP36/60,6),0)</f>
        <v>0</v>
      </c>
      <c r="BJ36" s="80">
        <f>IF(BE36=1,ROUND(AQ36/60,6),0)</f>
        <v>0</v>
      </c>
      <c r="BK36" s="80">
        <f>IF(BE36=1,ROUND((AR36+AS36)/60,6),0)</f>
        <v>0</v>
      </c>
      <c r="BL36" s="80">
        <f>ROUND(BH36-BK36,6)</f>
        <v>0</v>
      </c>
      <c r="BM36" s="80">
        <f>IF(BE36=1,ROUND(AR36/60,6),0)</f>
        <v>0</v>
      </c>
      <c r="BN36" s="80">
        <f>ROUND(BI36-BM36,6)</f>
        <v>0</v>
      </c>
      <c r="BO36" s="80">
        <f>IF(BE36=1,ROUND(AS36/60,6),0)</f>
        <v>0</v>
      </c>
      <c r="BP36" s="80">
        <f>ROUND(BJ36-BO36,6)</f>
        <v>0</v>
      </c>
      <c r="BQ36" s="80">
        <f>IF(BE36=1,AW36,0)</f>
        <v>0</v>
      </c>
      <c r="BR36" s="80">
        <f>IF(BE36=1,AX36,0)</f>
        <v>0</v>
      </c>
      <c r="BS36" s="80">
        <f>IF(AND(BE36=1,D36="Malcolm",BA36&gt;0),MIN(BH36,SUMPRODUCT((R_Emp="proMX")*(R_EN&gt;0)*((R_EN-(R_EN&gt;BR36)*(R_EN-BR36))&gt;(R_SN+(R_SN&lt;BQ36)*(BQ36-R_SN)))*((R_EN-(R_EN&gt;BR36)*(R_EN-BR36))-(R_SN+(R_SN&lt;BQ36)*(BQ36-R_SN))))/60),0)</f>
        <v>0</v>
      </c>
      <c r="BT36" s="80">
        <f>IF(AND(BE36=1,D36="proMX"),ROUND(BI36*CFG_RATE+BJ36*CFG_OTRATE,6),0)</f>
        <v>0</v>
      </c>
      <c r="BU36" s="80">
        <f>IF(AND(BD36=1,D36="proMX"),ROUND(AG36/CFG_BLK,6),0)</f>
        <v>0</v>
      </c>
      <c r="BV36" s="80" t="str">
        <f>IF(BF36="Approved",IF(ISNUMBER(T36),INT(T36),INT(B36)),"")</f>
        <v/>
      </c>
      <c r="BW36" s="80">
        <f>IF(ISNUMBER(B36),IF(DB_MON="Todos",1,IF(AND(INT(B36)&gt;=DB_MS,INT(B36)&lt;=DB_ME),1,0)),0)</f>
        <v>0</v>
      </c>
      <c r="BX36" s="80">
        <f>IF(DB_PROJ="Todos",1,IF(E36&amp;""=DB_PROJ&amp;"",1,0))</f>
        <v>1</v>
      </c>
      <c r="BY36" s="80">
        <f>BW36*BX36</f>
        <v>0</v>
      </c>
      <c r="BZ36" s="80" t="str">
        <f>IF(Y36=1,F36&amp;IF(AND(F36&amp;""&lt;&gt;"",E36&amp;""&lt;&gt;"")," · ","")&amp;E36,"")</f>
        <v/>
      </c>
      <c r="CA36" s="80" t="str">
        <f>IF(AND(BD36=1,E36&amp;""&lt;&gt;""),IF(COUNTIFS($E$5:E35,E36,$BD$5:BD35,1)=0,MAX($CA$5:CA35)+1,""),"")</f>
        <v/>
      </c>
      <c r="CB36" s="80" t="str">
        <f>IF(AND(BE36=1,D36="Malcolm",E36&amp;""&lt;&gt;""),IF(COUNTIFS($D$5:D35,"Malcolm",$E$5:E35,E36,$BE$5:BE35,1)=0,MAX($CB$5:CB35)+1,""),"")</f>
        <v/>
      </c>
      <c r="CC36" s="80" t="str">
        <f>IF(AND(BD36=1,D36="proMX",E36&amp;""&lt;&gt;""),IF(COUNTIFS($D$5:D35,"proMX",$E$5:E35,E36,$BD$5:BD35,1)=0,MAX($CC$5:CC35)+1,""),"")</f>
        <v/>
      </c>
      <c r="CD36" s="80" t="str">
        <f>IF(AND(BE36=1,D36="Malcolm",F36&amp;""&lt;&gt;""),IF(COUNTIFS($D$5:D35,"Malcolm",$F$5:F35,F36,$BE$5:BE35,1)=0,MAX($CD$5:CD35)+1,""),"")</f>
        <v/>
      </c>
      <c r="CE36" s="80" t="str">
        <f>IF(AND(BD36=1,D36="proMX",F36&amp;""&lt;&gt;""),IF(COUNTIFS($D$5:D35,"proMX",$F$5:F35,F36,$BD$5:BD35,1)=0,MAX($CE$5:CE35)+1,""),"")</f>
        <v/>
      </c>
      <c r="CF36" s="80" t="str">
        <f>IF(AND(D36="proMX",BD36=1),IF(OR(BF36="Draft",BF36="Submitted",BF36="Returned",BF36="Recall Requested"),MAX($CF$5:CF35)+1,""),"")</f>
        <v/>
      </c>
      <c r="CG36" s="80">
        <f>IF(BD36=0,0,IF(D36="Malcolm",1,MATCH(BF36,{"Draft","Submitted","Approved","Returned","Recall Requested","Cancelled"},0)+1))</f>
        <v>0</v>
      </c>
      <c r="CH36" s="80">
        <f>IF(AND(BF36="Submitted",ISNUMBER(V36)),IF(V36&gt;CFG_MAXD,1,0),0)</f>
        <v>0</v>
      </c>
    </row>
    <row r="37">
      <c r="A37" s="71" t="str">
        <f>IF(Y37=1,ROW()-5,"")</f>
        <v/>
      </c>
      <c r="B37" s="72" t="n"/>
      <c r="C37" s="71" t="str">
        <f>IF(ISNUMBER(B37),CHOOSE(WEEKDAY(B37,2),"Lun","Mar","Mié","Jue","Vie","Sáb","Dom"),"")</f>
        <v/>
      </c>
      <c r="D37" s="73" t="n"/>
      <c r="E37" s="74" t="n"/>
      <c r="F37" s="74" t="n"/>
      <c r="G37" s="74" t="n"/>
      <c r="H37" s="75" t="n"/>
      <c r="I37" s="75" t="n"/>
      <c r="J37" s="76" t="n"/>
      <c r="K37" s="77" t="str">
        <f>IF(AB37=1,ROUND(AG37/60,4),"")</f>
        <v/>
      </c>
      <c r="L37" s="77" t="str">
        <f>IF(BD37=1,ROUND(AP37/60,4),"")</f>
        <v/>
      </c>
      <c r="M37" s="77" t="str">
        <f>IF(BD37=1,ROUND(AQ37/60,4),"")</f>
        <v/>
      </c>
      <c r="N37" s="71" t="str">
        <f>IF(AND(D37="proMX",AB37=1),ROUND(AG37/CFG_BLK,2),"")</f>
        <v/>
      </c>
      <c r="O37" s="77" t="str">
        <f>IF(D37="proMX",IF(BD37=1,ROUND(AG37/60,4),0),"")</f>
        <v/>
      </c>
      <c r="P37" s="78" t="str">
        <f>IF(Y37=0,"",IF(BD37=1,"OK",IF(D37="proMX","Revisar bloques: ","Revisar: ")&amp;BC37))</f>
        <v/>
      </c>
      <c r="Q37" s="78" t="str">
        <f>IF(NOT(ISNUMBER(B37)),"",IF(COUNTIFS(FER_F,INT(B37))&gt;0,"Feriado"&amp;IF(AH37=1," (laborable)"," (no laborable)"),IF(AH37=1,"Laborable",IF(WEEKDAY(B37,2)&gt;5,"Fin de semana","No laborable"))))</f>
        <v/>
      </c>
      <c r="R37" s="73" t="n"/>
      <c r="S37" s="72" t="n"/>
      <c r="T37" s="72" t="n"/>
      <c r="U37" s="74" t="n"/>
      <c r="V37" s="79" t="str">
        <f>IF(AND(D37="proMX",OR(R37="Submitted",R37="Recall Requested"),ISNUMBER(S37)),CFG_TODAY-INT(S37),"")</f>
        <v/>
      </c>
      <c r="W37" s="78" t="str">
        <f>IF(BD37=0,"",IF(BA37&gt;0,"⚠ Se superpone con un registro de la otra empresa",IF(D37="Malcolm",IF(COUNTA(R37,S37,T37)&gt;0,"Estado/fechas proMX se ignoran en Malcolm",""),IF(BF37="Cancelled","Cancelado: excluido de totales",IF(R37="","Sin estado: se trata como Draft",IF(BF37="Submitted",IF(ISNUMBER(V37),IF(V37&gt;CFG_MAXD,"⚠ "&amp;V37&amp;" días en Submitted (máx. "&amp;CFG_MAXD&amp;")",""),"Falta fecha de envío"),IF(BF37="Returned","⚠ Devuelto: corregir y reenviar",IF(BF37="Recall Requested","Retirada solicitada: pendiente",IF(AND(BF37="Approved",NOT(ISNUMBER(T37))),"Falta fecha de aprobación",IF(AND(ISNUMBER(S37),ISNUMBER(T37),T37&lt;S37),"Aprobación anterior al envío","")))))))))</f>
        <v/>
      </c>
      <c r="Y37" s="80">
        <f>IF(COUNTA(B37,D37,E37,F37,G37,H37,I37,J37,R37,S37,T37)&gt;0,1,0)</f>
        <v>0</v>
      </c>
      <c r="Z37" s="80" t="str">
        <f>IF(AND(ISNUMBER(H37),H37&gt;=0,H37&lt;1),ROUND(H37*1440,0),"")</f>
        <v/>
      </c>
      <c r="AA37" s="80" t="str">
        <f>IF(AND(ISNUMBER(I37),I37&gt;=0,I37&lt;1),ROUND(I37*1440,0),"")</f>
        <v/>
      </c>
      <c r="AB37" s="80">
        <f>IF(AND(ISNUMBER(B37),D37&lt;&gt;"",ISNUMBER(Z37),ISNUMBER(AA37)),IF(Z37=AA37,0,1),0)</f>
        <v>0</v>
      </c>
      <c r="AC37" s="80">
        <f>IF(AB37=1,IF(AA37&lt;Z37,1,0),0)</f>
        <v>0</v>
      </c>
      <c r="AD37" s="80">
        <f>IF(AB37=1,IF(AC37=1,1440-Z37+AA37,AA37-Z37),0)</f>
        <v>0</v>
      </c>
      <c r="AE37" s="80">
        <f>IF(J37="",0,IF(ISNUMBER(J37),J37,-1))</f>
        <v>0</v>
      </c>
      <c r="AF37" s="80">
        <f>MIN(MAX(0,AE37),AD37)</f>
        <v>0</v>
      </c>
      <c r="AG37" s="80">
        <f>MAX(0,AD37-MAX(0,AE37))</f>
        <v>0</v>
      </c>
      <c r="AH37" s="80">
        <f>IF(ISNUMBER(B37),IF(AND(INDEX(CFG_WDAYS,WEEKDAY(INT(B37),2))="Sí",IF(D37="proMX",COUNTIFS(FER_F,INT(B37),FER_NLP,"Sí"),COUNTIFS(FER_F,INT(B37),FER_NLM,"Sí"))=0),1,0),0)</f>
        <v>0</v>
      </c>
      <c r="AI37" s="80">
        <f>IF(AC37=1,IF(AND(INDEX(CFG_WDAYS,WEEKDAY(INT(B37)+1,2))="Sí",IF(D37="proMX",COUNTIFS(FER_F,INT(B37)+1,FER_NLP,"Sí"),COUNTIFS(FER_F,INT(B37)+1,FER_NLM,"Sí"))=0),1,0),0)</f>
        <v>0</v>
      </c>
      <c r="AJ37" s="80">
        <f>IF(AC37=1,1440-Z37,AD37)</f>
        <v>0</v>
      </c>
      <c r="AK37" s="80">
        <f>IF(AND(AB37=1,AH37=1),MAX(0,MIN(IF(AC37=1,1440,AA37),CFG_WEM)-MAX(Z37,CFG_WSM)),0)</f>
        <v>0</v>
      </c>
      <c r="AL37" s="80">
        <f>IF(AND(AC37=1,AI37=1),MAX(0,MIN(AA37,CFG_WEM)-CFG_WSM),0)</f>
        <v>0</v>
      </c>
      <c r="AM37" s="80">
        <f>AK37+AL37</f>
        <v>0</v>
      </c>
      <c r="AN37" s="80">
        <f>IF(CFG_BRK="Proporcional",IF(AD37=0,0,AF37*AM37/AD37),IF(CFG_BRK="Extras primero",MIN(AM37,MAX(0,AF37-(AD37-AM37))),MIN(AF37,AM37)))</f>
        <v>0</v>
      </c>
      <c r="AO37" s="80">
        <f>AF37-AN37</f>
        <v>0</v>
      </c>
      <c r="AP37" s="80">
        <f>AM37-AN37</f>
        <v>0</v>
      </c>
      <c r="AQ37" s="80">
        <f>AD37-AM37-AO37</f>
        <v>0</v>
      </c>
      <c r="AR37" s="80">
        <f>IF(AM37=0,0,AK37-AN37*AK37/AM37)</f>
        <v>0</v>
      </c>
      <c r="AS37" s="80">
        <f>IF(AD37-AM37=0,0,(AJ37-AK37)-AO37*(AJ37-AK37)/(AD37-AM37))</f>
        <v>0</v>
      </c>
      <c r="AT37" s="80" t="str">
        <f>IF(AC37=1,INT(B37)+1,"")</f>
        <v/>
      </c>
      <c r="AU37" s="80">
        <f>IF(AND(D37="proMX",R37="Cancelled"),0,1)</f>
        <v>1</v>
      </c>
      <c r="AV37" s="80">
        <f>IF(AND(AB37=1,AU37=1),IF(COUNTIFS($D$5:D36,D37,$B$5:B36,B37,$Z$5:Z36,Z37,$AA$5:AA36,AA37,$F$5:F36,F37&amp;"",$AU$5:AU36,1)&gt;0,1,0),0)</f>
        <v>0</v>
      </c>
      <c r="AW37" s="80" t="str">
        <f>IF(AB37=1,INT(B37)*1440+Z37,"")</f>
        <v/>
      </c>
      <c r="AX37" s="80" t="str">
        <f>IF(AB37=1,AW37+AD37,"")</f>
        <v/>
      </c>
      <c r="AY37" s="80">
        <f>IF(AND(AB37=1,AV37=0,AU37=1),1,0)</f>
        <v>0</v>
      </c>
      <c r="AZ37" s="80">
        <f>IF(AY37=1,COUNTIFS(R_Emp,D37,R_SAbs,"&lt;"&amp;AX37,R_EAbs,"&gt;"&amp;AW37,R_OKey,1)-1,0)</f>
        <v>0</v>
      </c>
      <c r="BA37" s="80">
        <f>IF(AY37=1,COUNTIFS(R_Emp,"&lt;&gt;"&amp;D37,R_SAbs,"&lt;"&amp;AX37,R_EAbs,"&gt;"&amp;AW37,R_OKey,1),0)</f>
        <v>0</v>
      </c>
      <c r="BB37" s="80">
        <f>IF(AND(AB37=1,D37="proMX"),IF(AND(MOD(Z37,CFG_BLK)=0,MOD(AA37,CFG_BLK)=0,MOD(AG37,CFG_BLK)=0,AG37&gt;0),1,0),1)</f>
        <v>1</v>
      </c>
      <c r="BC37" s="80" t="str">
        <f>IF(Y37=0,"",IF(NOT(ISNUMBER(B37)),"Falta fecha o fecha inválida",IF(D37="","Falta empresa",IF(AND(D37&lt;&gt;"Malcolm",D37&lt;&gt;"proMX"),"Empresa inválida",IF(OR(INT(B37)&lt;CFG_PSTART,INT(B37)&gt;CFG_PEND),"Fecha fuera del período",IF(OR(NOT(ISNUMBER(Z37)),NOT(ISNUMBER(AA37))),"Falta hora inicio/fin o formato inválido",IF(AB37=0,"Hora inicio = hora fin",IF(AE37&lt;0,"Descanso inválido",IF(AE37&gt;=AD37,"Descanso ≥ duración",IF(AV37=1,"Registro duplicado",IF(AZ37&gt;0,"Se superpone con otro registro "&amp;D37,IF(BB37=0,"inicio, fin y duración neta deben ser múltiplos de "&amp;CFG_BLK&amp;" min",""))))))))))))</f>
        <v/>
      </c>
      <c r="BD37" s="80">
        <f>IF(AND(Y37=1,BC37=""),1,0)</f>
        <v>0</v>
      </c>
      <c r="BE37" s="80">
        <f>IF(AND(BD37=1,AU37=1),1,0)</f>
        <v>0</v>
      </c>
      <c r="BF37" s="80" t="str">
        <f>IF(AND(D37="proMX",BD37=1),IF(R37="","Draft",R37),"")</f>
        <v/>
      </c>
      <c r="BG37" s="80">
        <f>IF(BD37=1,ROUND(AG37/60,6),0)</f>
        <v>0</v>
      </c>
      <c r="BH37" s="80">
        <f>IF(BE37=1,ROUND(AG37/60,6),0)</f>
        <v>0</v>
      </c>
      <c r="BI37" s="80">
        <f>IF(BE37=1,ROUND(AP37/60,6),0)</f>
        <v>0</v>
      </c>
      <c r="BJ37" s="80">
        <f>IF(BE37=1,ROUND(AQ37/60,6),0)</f>
        <v>0</v>
      </c>
      <c r="BK37" s="80">
        <f>IF(BE37=1,ROUND((AR37+AS37)/60,6),0)</f>
        <v>0</v>
      </c>
      <c r="BL37" s="80">
        <f>ROUND(BH37-BK37,6)</f>
        <v>0</v>
      </c>
      <c r="BM37" s="80">
        <f>IF(BE37=1,ROUND(AR37/60,6),0)</f>
        <v>0</v>
      </c>
      <c r="BN37" s="80">
        <f>ROUND(BI37-BM37,6)</f>
        <v>0</v>
      </c>
      <c r="BO37" s="80">
        <f>IF(BE37=1,ROUND(AS37/60,6),0)</f>
        <v>0</v>
      </c>
      <c r="BP37" s="80">
        <f>ROUND(BJ37-BO37,6)</f>
        <v>0</v>
      </c>
      <c r="BQ37" s="80">
        <f>IF(BE37=1,AW37,0)</f>
        <v>0</v>
      </c>
      <c r="BR37" s="80">
        <f>IF(BE37=1,AX37,0)</f>
        <v>0</v>
      </c>
      <c r="BS37" s="80">
        <f>IF(AND(BE37=1,D37="Malcolm",BA37&gt;0),MIN(BH37,SUMPRODUCT((R_Emp="proMX")*(R_EN&gt;0)*((R_EN-(R_EN&gt;BR37)*(R_EN-BR37))&gt;(R_SN+(R_SN&lt;BQ37)*(BQ37-R_SN)))*((R_EN-(R_EN&gt;BR37)*(R_EN-BR37))-(R_SN+(R_SN&lt;BQ37)*(BQ37-R_SN))))/60),0)</f>
        <v>0</v>
      </c>
      <c r="BT37" s="80">
        <f>IF(AND(BE37=1,D37="proMX"),ROUND(BI37*CFG_RATE+BJ37*CFG_OTRATE,6),0)</f>
        <v>0</v>
      </c>
      <c r="BU37" s="80">
        <f>IF(AND(BD37=1,D37="proMX"),ROUND(AG37/CFG_BLK,6),0)</f>
        <v>0</v>
      </c>
      <c r="BV37" s="80" t="str">
        <f>IF(BF37="Approved",IF(ISNUMBER(T37),INT(T37),INT(B37)),"")</f>
        <v/>
      </c>
      <c r="BW37" s="80">
        <f>IF(ISNUMBER(B37),IF(DB_MON="Todos",1,IF(AND(INT(B37)&gt;=DB_MS,INT(B37)&lt;=DB_ME),1,0)),0)</f>
        <v>0</v>
      </c>
      <c r="BX37" s="80">
        <f>IF(DB_PROJ="Todos",1,IF(E37&amp;""=DB_PROJ&amp;"",1,0))</f>
        <v>1</v>
      </c>
      <c r="BY37" s="80">
        <f>BW37*BX37</f>
        <v>0</v>
      </c>
      <c r="BZ37" s="80" t="str">
        <f>IF(Y37=1,F37&amp;IF(AND(F37&amp;""&lt;&gt;"",E37&amp;""&lt;&gt;"")," · ","")&amp;E37,"")</f>
        <v/>
      </c>
      <c r="CA37" s="80" t="str">
        <f>IF(AND(BD37=1,E37&amp;""&lt;&gt;""),IF(COUNTIFS($E$5:E36,E37,$BD$5:BD36,1)=0,MAX($CA$5:CA36)+1,""),"")</f>
        <v/>
      </c>
      <c r="CB37" s="80" t="str">
        <f>IF(AND(BE37=1,D37="Malcolm",E37&amp;""&lt;&gt;""),IF(COUNTIFS($D$5:D36,"Malcolm",$E$5:E36,E37,$BE$5:BE36,1)=0,MAX($CB$5:CB36)+1,""),"")</f>
        <v/>
      </c>
      <c r="CC37" s="80" t="str">
        <f>IF(AND(BD37=1,D37="proMX",E37&amp;""&lt;&gt;""),IF(COUNTIFS($D$5:D36,"proMX",$E$5:E36,E37,$BD$5:BD36,1)=0,MAX($CC$5:CC36)+1,""),"")</f>
        <v/>
      </c>
      <c r="CD37" s="80" t="str">
        <f>IF(AND(BE37=1,D37="Malcolm",F37&amp;""&lt;&gt;""),IF(COUNTIFS($D$5:D36,"Malcolm",$F$5:F36,F37,$BE$5:BE36,1)=0,MAX($CD$5:CD36)+1,""),"")</f>
        <v/>
      </c>
      <c r="CE37" s="80" t="str">
        <f>IF(AND(BD37=1,D37="proMX",F37&amp;""&lt;&gt;""),IF(COUNTIFS($D$5:D36,"proMX",$F$5:F36,F37,$BD$5:BD36,1)=0,MAX($CE$5:CE36)+1,""),"")</f>
        <v/>
      </c>
      <c r="CF37" s="80" t="str">
        <f>IF(AND(D37="proMX",BD37=1),IF(OR(BF37="Draft",BF37="Submitted",BF37="Returned",BF37="Recall Requested"),MAX($CF$5:CF36)+1,""),"")</f>
        <v/>
      </c>
      <c r="CG37" s="80">
        <f>IF(BD37=0,0,IF(D37="Malcolm",1,MATCH(BF37,{"Draft","Submitted","Approved","Returned","Recall Requested","Cancelled"},0)+1))</f>
        <v>0</v>
      </c>
      <c r="CH37" s="80">
        <f>IF(AND(BF37="Submitted",ISNUMBER(V37)),IF(V37&gt;CFG_MAXD,1,0),0)</f>
        <v>0</v>
      </c>
    </row>
    <row r="38">
      <c r="A38" s="71" t="str">
        <f>IF(Y38=1,ROW()-5,"")</f>
        <v/>
      </c>
      <c r="B38" s="72" t="n"/>
      <c r="C38" s="71" t="str">
        <f>IF(ISNUMBER(B38),CHOOSE(WEEKDAY(B38,2),"Lun","Mar","Mié","Jue","Vie","Sáb","Dom"),"")</f>
        <v/>
      </c>
      <c r="D38" s="73" t="n"/>
      <c r="E38" s="74" t="n"/>
      <c r="F38" s="74" t="n"/>
      <c r="G38" s="74" t="n"/>
      <c r="H38" s="75" t="n"/>
      <c r="I38" s="75" t="n"/>
      <c r="J38" s="76" t="n"/>
      <c r="K38" s="77" t="str">
        <f>IF(AB38=1,ROUND(AG38/60,4),"")</f>
        <v/>
      </c>
      <c r="L38" s="77" t="str">
        <f>IF(BD38=1,ROUND(AP38/60,4),"")</f>
        <v/>
      </c>
      <c r="M38" s="77" t="str">
        <f>IF(BD38=1,ROUND(AQ38/60,4),"")</f>
        <v/>
      </c>
      <c r="N38" s="71" t="str">
        <f>IF(AND(D38="proMX",AB38=1),ROUND(AG38/CFG_BLK,2),"")</f>
        <v/>
      </c>
      <c r="O38" s="77" t="str">
        <f>IF(D38="proMX",IF(BD38=1,ROUND(AG38/60,4),0),"")</f>
        <v/>
      </c>
      <c r="P38" s="78" t="str">
        <f>IF(Y38=0,"",IF(BD38=1,"OK",IF(D38="proMX","Revisar bloques: ","Revisar: ")&amp;BC38))</f>
        <v/>
      </c>
      <c r="Q38" s="78" t="str">
        <f>IF(NOT(ISNUMBER(B38)),"",IF(COUNTIFS(FER_F,INT(B38))&gt;0,"Feriado"&amp;IF(AH38=1," (laborable)"," (no laborable)"),IF(AH38=1,"Laborable",IF(WEEKDAY(B38,2)&gt;5,"Fin de semana","No laborable"))))</f>
        <v/>
      </c>
      <c r="R38" s="73" t="n"/>
      <c r="S38" s="72" t="n"/>
      <c r="T38" s="72" t="n"/>
      <c r="U38" s="74" t="n"/>
      <c r="V38" s="79" t="str">
        <f>IF(AND(D38="proMX",OR(R38="Submitted",R38="Recall Requested"),ISNUMBER(S38)),CFG_TODAY-INT(S38),"")</f>
        <v/>
      </c>
      <c r="W38" s="78" t="str">
        <f>IF(BD38=0,"",IF(BA38&gt;0,"⚠ Se superpone con un registro de la otra empresa",IF(D38="Malcolm",IF(COUNTA(R38,S38,T38)&gt;0,"Estado/fechas proMX se ignoran en Malcolm",""),IF(BF38="Cancelled","Cancelado: excluido de totales",IF(R38="","Sin estado: se trata como Draft",IF(BF38="Submitted",IF(ISNUMBER(V38),IF(V38&gt;CFG_MAXD,"⚠ "&amp;V38&amp;" días en Submitted (máx. "&amp;CFG_MAXD&amp;")",""),"Falta fecha de envío"),IF(BF38="Returned","⚠ Devuelto: corregir y reenviar",IF(BF38="Recall Requested","Retirada solicitada: pendiente",IF(AND(BF38="Approved",NOT(ISNUMBER(T38))),"Falta fecha de aprobación",IF(AND(ISNUMBER(S38),ISNUMBER(T38),T38&lt;S38),"Aprobación anterior al envío","")))))))))</f>
        <v/>
      </c>
      <c r="Y38" s="80">
        <f>IF(COUNTA(B38,D38,E38,F38,G38,H38,I38,J38,R38,S38,T38)&gt;0,1,0)</f>
        <v>0</v>
      </c>
      <c r="Z38" s="80" t="str">
        <f>IF(AND(ISNUMBER(H38),H38&gt;=0,H38&lt;1),ROUND(H38*1440,0),"")</f>
        <v/>
      </c>
      <c r="AA38" s="80" t="str">
        <f>IF(AND(ISNUMBER(I38),I38&gt;=0,I38&lt;1),ROUND(I38*1440,0),"")</f>
        <v/>
      </c>
      <c r="AB38" s="80">
        <f>IF(AND(ISNUMBER(B38),D38&lt;&gt;"",ISNUMBER(Z38),ISNUMBER(AA38)),IF(Z38=AA38,0,1),0)</f>
        <v>0</v>
      </c>
      <c r="AC38" s="80">
        <f>IF(AB38=1,IF(AA38&lt;Z38,1,0),0)</f>
        <v>0</v>
      </c>
      <c r="AD38" s="80">
        <f>IF(AB38=1,IF(AC38=1,1440-Z38+AA38,AA38-Z38),0)</f>
        <v>0</v>
      </c>
      <c r="AE38" s="80">
        <f>IF(J38="",0,IF(ISNUMBER(J38),J38,-1))</f>
        <v>0</v>
      </c>
      <c r="AF38" s="80">
        <f>MIN(MAX(0,AE38),AD38)</f>
        <v>0</v>
      </c>
      <c r="AG38" s="80">
        <f>MAX(0,AD38-MAX(0,AE38))</f>
        <v>0</v>
      </c>
      <c r="AH38" s="80">
        <f>IF(ISNUMBER(B38),IF(AND(INDEX(CFG_WDAYS,WEEKDAY(INT(B38),2))="Sí",IF(D38="proMX",COUNTIFS(FER_F,INT(B38),FER_NLP,"Sí"),COUNTIFS(FER_F,INT(B38),FER_NLM,"Sí"))=0),1,0),0)</f>
        <v>0</v>
      </c>
      <c r="AI38" s="80">
        <f>IF(AC38=1,IF(AND(INDEX(CFG_WDAYS,WEEKDAY(INT(B38)+1,2))="Sí",IF(D38="proMX",COUNTIFS(FER_F,INT(B38)+1,FER_NLP,"Sí"),COUNTIFS(FER_F,INT(B38)+1,FER_NLM,"Sí"))=0),1,0),0)</f>
        <v>0</v>
      </c>
      <c r="AJ38" s="80">
        <f>IF(AC38=1,1440-Z38,AD38)</f>
        <v>0</v>
      </c>
      <c r="AK38" s="80">
        <f>IF(AND(AB38=1,AH38=1),MAX(0,MIN(IF(AC38=1,1440,AA38),CFG_WEM)-MAX(Z38,CFG_WSM)),0)</f>
        <v>0</v>
      </c>
      <c r="AL38" s="80">
        <f>IF(AND(AC38=1,AI38=1),MAX(0,MIN(AA38,CFG_WEM)-CFG_WSM),0)</f>
        <v>0</v>
      </c>
      <c r="AM38" s="80">
        <f>AK38+AL38</f>
        <v>0</v>
      </c>
      <c r="AN38" s="80">
        <f>IF(CFG_BRK="Proporcional",IF(AD38=0,0,AF38*AM38/AD38),IF(CFG_BRK="Extras primero",MIN(AM38,MAX(0,AF38-(AD38-AM38))),MIN(AF38,AM38)))</f>
        <v>0</v>
      </c>
      <c r="AO38" s="80">
        <f>AF38-AN38</f>
        <v>0</v>
      </c>
      <c r="AP38" s="80">
        <f>AM38-AN38</f>
        <v>0</v>
      </c>
      <c r="AQ38" s="80">
        <f>AD38-AM38-AO38</f>
        <v>0</v>
      </c>
      <c r="AR38" s="80">
        <f>IF(AM38=0,0,AK38-AN38*AK38/AM38)</f>
        <v>0</v>
      </c>
      <c r="AS38" s="80">
        <f>IF(AD38-AM38=0,0,(AJ38-AK38)-AO38*(AJ38-AK38)/(AD38-AM38))</f>
        <v>0</v>
      </c>
      <c r="AT38" s="80" t="str">
        <f>IF(AC38=1,INT(B38)+1,"")</f>
        <v/>
      </c>
      <c r="AU38" s="80">
        <f>IF(AND(D38="proMX",R38="Cancelled"),0,1)</f>
        <v>1</v>
      </c>
      <c r="AV38" s="80">
        <f>IF(AND(AB38=1,AU38=1),IF(COUNTIFS($D$5:D37,D38,$B$5:B37,B38,$Z$5:Z37,Z38,$AA$5:AA37,AA38,$F$5:F37,F38&amp;"",$AU$5:AU37,1)&gt;0,1,0),0)</f>
        <v>0</v>
      </c>
      <c r="AW38" s="80" t="str">
        <f>IF(AB38=1,INT(B38)*1440+Z38,"")</f>
        <v/>
      </c>
      <c r="AX38" s="80" t="str">
        <f>IF(AB38=1,AW38+AD38,"")</f>
        <v/>
      </c>
      <c r="AY38" s="80">
        <f>IF(AND(AB38=1,AV38=0,AU38=1),1,0)</f>
        <v>0</v>
      </c>
      <c r="AZ38" s="80">
        <f>IF(AY38=1,COUNTIFS(R_Emp,D38,R_SAbs,"&lt;"&amp;AX38,R_EAbs,"&gt;"&amp;AW38,R_OKey,1)-1,0)</f>
        <v>0</v>
      </c>
      <c r="BA38" s="80">
        <f>IF(AY38=1,COUNTIFS(R_Emp,"&lt;&gt;"&amp;D38,R_SAbs,"&lt;"&amp;AX38,R_EAbs,"&gt;"&amp;AW38,R_OKey,1),0)</f>
        <v>0</v>
      </c>
      <c r="BB38" s="80">
        <f>IF(AND(AB38=1,D38="proMX"),IF(AND(MOD(Z38,CFG_BLK)=0,MOD(AA38,CFG_BLK)=0,MOD(AG38,CFG_BLK)=0,AG38&gt;0),1,0),1)</f>
        <v>1</v>
      </c>
      <c r="BC38" s="80" t="str">
        <f>IF(Y38=0,"",IF(NOT(ISNUMBER(B38)),"Falta fecha o fecha inválida",IF(D38="","Falta empresa",IF(AND(D38&lt;&gt;"Malcolm",D38&lt;&gt;"proMX"),"Empresa inválida",IF(OR(INT(B38)&lt;CFG_PSTART,INT(B38)&gt;CFG_PEND),"Fecha fuera del período",IF(OR(NOT(ISNUMBER(Z38)),NOT(ISNUMBER(AA38))),"Falta hora inicio/fin o formato inválido",IF(AB38=0,"Hora inicio = hora fin",IF(AE38&lt;0,"Descanso inválido",IF(AE38&gt;=AD38,"Descanso ≥ duración",IF(AV38=1,"Registro duplicado",IF(AZ38&gt;0,"Se superpone con otro registro "&amp;D38,IF(BB38=0,"inicio, fin y duración neta deben ser múltiplos de "&amp;CFG_BLK&amp;" min",""))))))))))))</f>
        <v/>
      </c>
      <c r="BD38" s="80">
        <f>IF(AND(Y38=1,BC38=""),1,0)</f>
        <v>0</v>
      </c>
      <c r="BE38" s="80">
        <f>IF(AND(BD38=1,AU38=1),1,0)</f>
        <v>0</v>
      </c>
      <c r="BF38" s="80" t="str">
        <f>IF(AND(D38="proMX",BD38=1),IF(R38="","Draft",R38),"")</f>
        <v/>
      </c>
      <c r="BG38" s="80">
        <f>IF(BD38=1,ROUND(AG38/60,6),0)</f>
        <v>0</v>
      </c>
      <c r="BH38" s="80">
        <f>IF(BE38=1,ROUND(AG38/60,6),0)</f>
        <v>0</v>
      </c>
      <c r="BI38" s="80">
        <f>IF(BE38=1,ROUND(AP38/60,6),0)</f>
        <v>0</v>
      </c>
      <c r="BJ38" s="80">
        <f>IF(BE38=1,ROUND(AQ38/60,6),0)</f>
        <v>0</v>
      </c>
      <c r="BK38" s="80">
        <f>IF(BE38=1,ROUND((AR38+AS38)/60,6),0)</f>
        <v>0</v>
      </c>
      <c r="BL38" s="80">
        <f>ROUND(BH38-BK38,6)</f>
        <v>0</v>
      </c>
      <c r="BM38" s="80">
        <f>IF(BE38=1,ROUND(AR38/60,6),0)</f>
        <v>0</v>
      </c>
      <c r="BN38" s="80">
        <f>ROUND(BI38-BM38,6)</f>
        <v>0</v>
      </c>
      <c r="BO38" s="80">
        <f>IF(BE38=1,ROUND(AS38/60,6),0)</f>
        <v>0</v>
      </c>
      <c r="BP38" s="80">
        <f>ROUND(BJ38-BO38,6)</f>
        <v>0</v>
      </c>
      <c r="BQ38" s="80">
        <f>IF(BE38=1,AW38,0)</f>
        <v>0</v>
      </c>
      <c r="BR38" s="80">
        <f>IF(BE38=1,AX38,0)</f>
        <v>0</v>
      </c>
      <c r="BS38" s="80">
        <f>IF(AND(BE38=1,D38="Malcolm",BA38&gt;0),MIN(BH38,SUMPRODUCT((R_Emp="proMX")*(R_EN&gt;0)*((R_EN-(R_EN&gt;BR38)*(R_EN-BR38))&gt;(R_SN+(R_SN&lt;BQ38)*(BQ38-R_SN)))*((R_EN-(R_EN&gt;BR38)*(R_EN-BR38))-(R_SN+(R_SN&lt;BQ38)*(BQ38-R_SN))))/60),0)</f>
        <v>0</v>
      </c>
      <c r="BT38" s="80">
        <f>IF(AND(BE38=1,D38="proMX"),ROUND(BI38*CFG_RATE+BJ38*CFG_OTRATE,6),0)</f>
        <v>0</v>
      </c>
      <c r="BU38" s="80">
        <f>IF(AND(BD38=1,D38="proMX"),ROUND(AG38/CFG_BLK,6),0)</f>
        <v>0</v>
      </c>
      <c r="BV38" s="80" t="str">
        <f>IF(BF38="Approved",IF(ISNUMBER(T38),INT(T38),INT(B38)),"")</f>
        <v/>
      </c>
      <c r="BW38" s="80">
        <f>IF(ISNUMBER(B38),IF(DB_MON="Todos",1,IF(AND(INT(B38)&gt;=DB_MS,INT(B38)&lt;=DB_ME),1,0)),0)</f>
        <v>0</v>
      </c>
      <c r="BX38" s="80">
        <f>IF(DB_PROJ="Todos",1,IF(E38&amp;""=DB_PROJ&amp;"",1,0))</f>
        <v>1</v>
      </c>
      <c r="BY38" s="80">
        <f>BW38*BX38</f>
        <v>0</v>
      </c>
      <c r="BZ38" s="80" t="str">
        <f>IF(Y38=1,F38&amp;IF(AND(F38&amp;""&lt;&gt;"",E38&amp;""&lt;&gt;"")," · ","")&amp;E38,"")</f>
        <v/>
      </c>
      <c r="CA38" s="80" t="str">
        <f>IF(AND(BD38=1,E38&amp;""&lt;&gt;""),IF(COUNTIFS($E$5:E37,E38,$BD$5:BD37,1)=0,MAX($CA$5:CA37)+1,""),"")</f>
        <v/>
      </c>
      <c r="CB38" s="80" t="str">
        <f>IF(AND(BE38=1,D38="Malcolm",E38&amp;""&lt;&gt;""),IF(COUNTIFS($D$5:D37,"Malcolm",$E$5:E37,E38,$BE$5:BE37,1)=0,MAX($CB$5:CB37)+1,""),"")</f>
        <v/>
      </c>
      <c r="CC38" s="80" t="str">
        <f>IF(AND(BD38=1,D38="proMX",E38&amp;""&lt;&gt;""),IF(COUNTIFS($D$5:D37,"proMX",$E$5:E37,E38,$BD$5:BD37,1)=0,MAX($CC$5:CC37)+1,""),"")</f>
        <v/>
      </c>
      <c r="CD38" s="80" t="str">
        <f>IF(AND(BE38=1,D38="Malcolm",F38&amp;""&lt;&gt;""),IF(COUNTIFS($D$5:D37,"Malcolm",$F$5:F37,F38,$BE$5:BE37,1)=0,MAX($CD$5:CD37)+1,""),"")</f>
        <v/>
      </c>
      <c r="CE38" s="80" t="str">
        <f>IF(AND(BD38=1,D38="proMX",F38&amp;""&lt;&gt;""),IF(COUNTIFS($D$5:D37,"proMX",$F$5:F37,F38,$BD$5:BD37,1)=0,MAX($CE$5:CE37)+1,""),"")</f>
        <v/>
      </c>
      <c r="CF38" s="80" t="str">
        <f>IF(AND(D38="proMX",BD38=1),IF(OR(BF38="Draft",BF38="Submitted",BF38="Returned",BF38="Recall Requested"),MAX($CF$5:CF37)+1,""),"")</f>
        <v/>
      </c>
      <c r="CG38" s="80">
        <f>IF(BD38=0,0,IF(D38="Malcolm",1,MATCH(BF38,{"Draft","Submitted","Approved","Returned","Recall Requested","Cancelled"},0)+1))</f>
        <v>0</v>
      </c>
      <c r="CH38" s="80">
        <f>IF(AND(BF38="Submitted",ISNUMBER(V38)),IF(V38&gt;CFG_MAXD,1,0),0)</f>
        <v>0</v>
      </c>
    </row>
    <row r="39">
      <c r="A39" s="71" t="str">
        <f>IF(Y39=1,ROW()-5,"")</f>
        <v/>
      </c>
      <c r="B39" s="72" t="n"/>
      <c r="C39" s="71" t="str">
        <f>IF(ISNUMBER(B39),CHOOSE(WEEKDAY(B39,2),"Lun","Mar","Mié","Jue","Vie","Sáb","Dom"),"")</f>
        <v/>
      </c>
      <c r="D39" s="73" t="n"/>
      <c r="E39" s="74" t="n"/>
      <c r="F39" s="74" t="n"/>
      <c r="G39" s="74" t="n"/>
      <c r="H39" s="75" t="n"/>
      <c r="I39" s="75" t="n"/>
      <c r="J39" s="76" t="n"/>
      <c r="K39" s="77" t="str">
        <f>IF(AB39=1,ROUND(AG39/60,4),"")</f>
        <v/>
      </c>
      <c r="L39" s="77" t="str">
        <f>IF(BD39=1,ROUND(AP39/60,4),"")</f>
        <v/>
      </c>
      <c r="M39" s="77" t="str">
        <f>IF(BD39=1,ROUND(AQ39/60,4),"")</f>
        <v/>
      </c>
      <c r="N39" s="71" t="str">
        <f>IF(AND(D39="proMX",AB39=1),ROUND(AG39/CFG_BLK,2),"")</f>
        <v/>
      </c>
      <c r="O39" s="77" t="str">
        <f>IF(D39="proMX",IF(BD39=1,ROUND(AG39/60,4),0),"")</f>
        <v/>
      </c>
      <c r="P39" s="78" t="str">
        <f>IF(Y39=0,"",IF(BD39=1,"OK",IF(D39="proMX","Revisar bloques: ","Revisar: ")&amp;BC39))</f>
        <v/>
      </c>
      <c r="Q39" s="78" t="str">
        <f>IF(NOT(ISNUMBER(B39)),"",IF(COUNTIFS(FER_F,INT(B39))&gt;0,"Feriado"&amp;IF(AH39=1," (laborable)"," (no laborable)"),IF(AH39=1,"Laborable",IF(WEEKDAY(B39,2)&gt;5,"Fin de semana","No laborable"))))</f>
        <v/>
      </c>
      <c r="R39" s="73" t="n"/>
      <c r="S39" s="72" t="n"/>
      <c r="T39" s="72" t="n"/>
      <c r="U39" s="74" t="n"/>
      <c r="V39" s="79" t="str">
        <f>IF(AND(D39="proMX",OR(R39="Submitted",R39="Recall Requested"),ISNUMBER(S39)),CFG_TODAY-INT(S39),"")</f>
        <v/>
      </c>
      <c r="W39" s="78" t="str">
        <f>IF(BD39=0,"",IF(BA39&gt;0,"⚠ Se superpone con un registro de la otra empresa",IF(D39="Malcolm",IF(COUNTA(R39,S39,T39)&gt;0,"Estado/fechas proMX se ignoran en Malcolm",""),IF(BF39="Cancelled","Cancelado: excluido de totales",IF(R39="","Sin estado: se trata como Draft",IF(BF39="Submitted",IF(ISNUMBER(V39),IF(V39&gt;CFG_MAXD,"⚠ "&amp;V39&amp;" días en Submitted (máx. "&amp;CFG_MAXD&amp;")",""),"Falta fecha de envío"),IF(BF39="Returned","⚠ Devuelto: corregir y reenviar",IF(BF39="Recall Requested","Retirada solicitada: pendiente",IF(AND(BF39="Approved",NOT(ISNUMBER(T39))),"Falta fecha de aprobación",IF(AND(ISNUMBER(S39),ISNUMBER(T39),T39&lt;S39),"Aprobación anterior al envío","")))))))))</f>
        <v/>
      </c>
      <c r="Y39" s="80">
        <f>IF(COUNTA(B39,D39,E39,F39,G39,H39,I39,J39,R39,S39,T39)&gt;0,1,0)</f>
        <v>0</v>
      </c>
      <c r="Z39" s="80" t="str">
        <f>IF(AND(ISNUMBER(H39),H39&gt;=0,H39&lt;1),ROUND(H39*1440,0),"")</f>
        <v/>
      </c>
      <c r="AA39" s="80" t="str">
        <f>IF(AND(ISNUMBER(I39),I39&gt;=0,I39&lt;1),ROUND(I39*1440,0),"")</f>
        <v/>
      </c>
      <c r="AB39" s="80">
        <f>IF(AND(ISNUMBER(B39),D39&lt;&gt;"",ISNUMBER(Z39),ISNUMBER(AA39)),IF(Z39=AA39,0,1),0)</f>
        <v>0</v>
      </c>
      <c r="AC39" s="80">
        <f>IF(AB39=1,IF(AA39&lt;Z39,1,0),0)</f>
        <v>0</v>
      </c>
      <c r="AD39" s="80">
        <f>IF(AB39=1,IF(AC39=1,1440-Z39+AA39,AA39-Z39),0)</f>
        <v>0</v>
      </c>
      <c r="AE39" s="80">
        <f>IF(J39="",0,IF(ISNUMBER(J39),J39,-1))</f>
        <v>0</v>
      </c>
      <c r="AF39" s="80">
        <f>MIN(MAX(0,AE39),AD39)</f>
        <v>0</v>
      </c>
      <c r="AG39" s="80">
        <f>MAX(0,AD39-MAX(0,AE39))</f>
        <v>0</v>
      </c>
      <c r="AH39" s="80">
        <f>IF(ISNUMBER(B39),IF(AND(INDEX(CFG_WDAYS,WEEKDAY(INT(B39),2))="Sí",IF(D39="proMX",COUNTIFS(FER_F,INT(B39),FER_NLP,"Sí"),COUNTIFS(FER_F,INT(B39),FER_NLM,"Sí"))=0),1,0),0)</f>
        <v>0</v>
      </c>
      <c r="AI39" s="80">
        <f>IF(AC39=1,IF(AND(INDEX(CFG_WDAYS,WEEKDAY(INT(B39)+1,2))="Sí",IF(D39="proMX",COUNTIFS(FER_F,INT(B39)+1,FER_NLP,"Sí"),COUNTIFS(FER_F,INT(B39)+1,FER_NLM,"Sí"))=0),1,0),0)</f>
        <v>0</v>
      </c>
      <c r="AJ39" s="80">
        <f>IF(AC39=1,1440-Z39,AD39)</f>
        <v>0</v>
      </c>
      <c r="AK39" s="80">
        <f>IF(AND(AB39=1,AH39=1),MAX(0,MIN(IF(AC39=1,1440,AA39),CFG_WEM)-MAX(Z39,CFG_WSM)),0)</f>
        <v>0</v>
      </c>
      <c r="AL39" s="80">
        <f>IF(AND(AC39=1,AI39=1),MAX(0,MIN(AA39,CFG_WEM)-CFG_WSM),0)</f>
        <v>0</v>
      </c>
      <c r="AM39" s="80">
        <f>AK39+AL39</f>
        <v>0</v>
      </c>
      <c r="AN39" s="80">
        <f>IF(CFG_BRK="Proporcional",IF(AD39=0,0,AF39*AM39/AD39),IF(CFG_BRK="Extras primero",MIN(AM39,MAX(0,AF39-(AD39-AM39))),MIN(AF39,AM39)))</f>
        <v>0</v>
      </c>
      <c r="AO39" s="80">
        <f>AF39-AN39</f>
        <v>0</v>
      </c>
      <c r="AP39" s="80">
        <f>AM39-AN39</f>
        <v>0</v>
      </c>
      <c r="AQ39" s="80">
        <f>AD39-AM39-AO39</f>
        <v>0</v>
      </c>
      <c r="AR39" s="80">
        <f>IF(AM39=0,0,AK39-AN39*AK39/AM39)</f>
        <v>0</v>
      </c>
      <c r="AS39" s="80">
        <f>IF(AD39-AM39=0,0,(AJ39-AK39)-AO39*(AJ39-AK39)/(AD39-AM39))</f>
        <v>0</v>
      </c>
      <c r="AT39" s="80" t="str">
        <f>IF(AC39=1,INT(B39)+1,"")</f>
        <v/>
      </c>
      <c r="AU39" s="80">
        <f>IF(AND(D39="proMX",R39="Cancelled"),0,1)</f>
        <v>1</v>
      </c>
      <c r="AV39" s="80">
        <f>IF(AND(AB39=1,AU39=1),IF(COUNTIFS($D$5:D38,D39,$B$5:B38,B39,$Z$5:Z38,Z39,$AA$5:AA38,AA39,$F$5:F38,F39&amp;"",$AU$5:AU38,1)&gt;0,1,0),0)</f>
        <v>0</v>
      </c>
      <c r="AW39" s="80" t="str">
        <f>IF(AB39=1,INT(B39)*1440+Z39,"")</f>
        <v/>
      </c>
      <c r="AX39" s="80" t="str">
        <f>IF(AB39=1,AW39+AD39,"")</f>
        <v/>
      </c>
      <c r="AY39" s="80">
        <f>IF(AND(AB39=1,AV39=0,AU39=1),1,0)</f>
        <v>0</v>
      </c>
      <c r="AZ39" s="80">
        <f>IF(AY39=1,COUNTIFS(R_Emp,D39,R_SAbs,"&lt;"&amp;AX39,R_EAbs,"&gt;"&amp;AW39,R_OKey,1)-1,0)</f>
        <v>0</v>
      </c>
      <c r="BA39" s="80">
        <f>IF(AY39=1,COUNTIFS(R_Emp,"&lt;&gt;"&amp;D39,R_SAbs,"&lt;"&amp;AX39,R_EAbs,"&gt;"&amp;AW39,R_OKey,1),0)</f>
        <v>0</v>
      </c>
      <c r="BB39" s="80">
        <f>IF(AND(AB39=1,D39="proMX"),IF(AND(MOD(Z39,CFG_BLK)=0,MOD(AA39,CFG_BLK)=0,MOD(AG39,CFG_BLK)=0,AG39&gt;0),1,0),1)</f>
        <v>1</v>
      </c>
      <c r="BC39" s="80" t="str">
        <f>IF(Y39=0,"",IF(NOT(ISNUMBER(B39)),"Falta fecha o fecha inválida",IF(D39="","Falta empresa",IF(AND(D39&lt;&gt;"Malcolm",D39&lt;&gt;"proMX"),"Empresa inválida",IF(OR(INT(B39)&lt;CFG_PSTART,INT(B39)&gt;CFG_PEND),"Fecha fuera del período",IF(OR(NOT(ISNUMBER(Z39)),NOT(ISNUMBER(AA39))),"Falta hora inicio/fin o formato inválido",IF(AB39=0,"Hora inicio = hora fin",IF(AE39&lt;0,"Descanso inválido",IF(AE39&gt;=AD39,"Descanso ≥ duración",IF(AV39=1,"Registro duplicado",IF(AZ39&gt;0,"Se superpone con otro registro "&amp;D39,IF(BB39=0,"inicio, fin y duración neta deben ser múltiplos de "&amp;CFG_BLK&amp;" min",""))))))))))))</f>
        <v/>
      </c>
      <c r="BD39" s="80">
        <f>IF(AND(Y39=1,BC39=""),1,0)</f>
        <v>0</v>
      </c>
      <c r="BE39" s="80">
        <f>IF(AND(BD39=1,AU39=1),1,0)</f>
        <v>0</v>
      </c>
      <c r="BF39" s="80" t="str">
        <f>IF(AND(D39="proMX",BD39=1),IF(R39="","Draft",R39),"")</f>
        <v/>
      </c>
      <c r="BG39" s="80">
        <f>IF(BD39=1,ROUND(AG39/60,6),0)</f>
        <v>0</v>
      </c>
      <c r="BH39" s="80">
        <f>IF(BE39=1,ROUND(AG39/60,6),0)</f>
        <v>0</v>
      </c>
      <c r="BI39" s="80">
        <f>IF(BE39=1,ROUND(AP39/60,6),0)</f>
        <v>0</v>
      </c>
      <c r="BJ39" s="80">
        <f>IF(BE39=1,ROUND(AQ39/60,6),0)</f>
        <v>0</v>
      </c>
      <c r="BK39" s="80">
        <f>IF(BE39=1,ROUND((AR39+AS39)/60,6),0)</f>
        <v>0</v>
      </c>
      <c r="BL39" s="80">
        <f>ROUND(BH39-BK39,6)</f>
        <v>0</v>
      </c>
      <c r="BM39" s="80">
        <f>IF(BE39=1,ROUND(AR39/60,6),0)</f>
        <v>0</v>
      </c>
      <c r="BN39" s="80">
        <f>ROUND(BI39-BM39,6)</f>
        <v>0</v>
      </c>
      <c r="BO39" s="80">
        <f>IF(BE39=1,ROUND(AS39/60,6),0)</f>
        <v>0</v>
      </c>
      <c r="BP39" s="80">
        <f>ROUND(BJ39-BO39,6)</f>
        <v>0</v>
      </c>
      <c r="BQ39" s="80">
        <f>IF(BE39=1,AW39,0)</f>
        <v>0</v>
      </c>
      <c r="BR39" s="80">
        <f>IF(BE39=1,AX39,0)</f>
        <v>0</v>
      </c>
      <c r="BS39" s="80">
        <f>IF(AND(BE39=1,D39="Malcolm",BA39&gt;0),MIN(BH39,SUMPRODUCT((R_Emp="proMX")*(R_EN&gt;0)*((R_EN-(R_EN&gt;BR39)*(R_EN-BR39))&gt;(R_SN+(R_SN&lt;BQ39)*(BQ39-R_SN)))*((R_EN-(R_EN&gt;BR39)*(R_EN-BR39))-(R_SN+(R_SN&lt;BQ39)*(BQ39-R_SN))))/60),0)</f>
        <v>0</v>
      </c>
      <c r="BT39" s="80">
        <f>IF(AND(BE39=1,D39="proMX"),ROUND(BI39*CFG_RATE+BJ39*CFG_OTRATE,6),0)</f>
        <v>0</v>
      </c>
      <c r="BU39" s="80">
        <f>IF(AND(BD39=1,D39="proMX"),ROUND(AG39/CFG_BLK,6),0)</f>
        <v>0</v>
      </c>
      <c r="BV39" s="80" t="str">
        <f>IF(BF39="Approved",IF(ISNUMBER(T39),INT(T39),INT(B39)),"")</f>
        <v/>
      </c>
      <c r="BW39" s="80">
        <f>IF(ISNUMBER(B39),IF(DB_MON="Todos",1,IF(AND(INT(B39)&gt;=DB_MS,INT(B39)&lt;=DB_ME),1,0)),0)</f>
        <v>0</v>
      </c>
      <c r="BX39" s="80">
        <f>IF(DB_PROJ="Todos",1,IF(E39&amp;""=DB_PROJ&amp;"",1,0))</f>
        <v>1</v>
      </c>
      <c r="BY39" s="80">
        <f>BW39*BX39</f>
        <v>0</v>
      </c>
      <c r="BZ39" s="80" t="str">
        <f>IF(Y39=1,F39&amp;IF(AND(F39&amp;""&lt;&gt;"",E39&amp;""&lt;&gt;"")," · ","")&amp;E39,"")</f>
        <v/>
      </c>
      <c r="CA39" s="80" t="str">
        <f>IF(AND(BD39=1,E39&amp;""&lt;&gt;""),IF(COUNTIFS($E$5:E38,E39,$BD$5:BD38,1)=0,MAX($CA$5:CA38)+1,""),"")</f>
        <v/>
      </c>
      <c r="CB39" s="80" t="str">
        <f>IF(AND(BE39=1,D39="Malcolm",E39&amp;""&lt;&gt;""),IF(COUNTIFS($D$5:D38,"Malcolm",$E$5:E38,E39,$BE$5:BE38,1)=0,MAX($CB$5:CB38)+1,""),"")</f>
        <v/>
      </c>
      <c r="CC39" s="80" t="str">
        <f>IF(AND(BD39=1,D39="proMX",E39&amp;""&lt;&gt;""),IF(COUNTIFS($D$5:D38,"proMX",$E$5:E38,E39,$BD$5:BD38,1)=0,MAX($CC$5:CC38)+1,""),"")</f>
        <v/>
      </c>
      <c r="CD39" s="80" t="str">
        <f>IF(AND(BE39=1,D39="Malcolm",F39&amp;""&lt;&gt;""),IF(COUNTIFS($D$5:D38,"Malcolm",$F$5:F38,F39,$BE$5:BE38,1)=0,MAX($CD$5:CD38)+1,""),"")</f>
        <v/>
      </c>
      <c r="CE39" s="80" t="str">
        <f>IF(AND(BD39=1,D39="proMX",F39&amp;""&lt;&gt;""),IF(COUNTIFS($D$5:D38,"proMX",$F$5:F38,F39,$BD$5:BD38,1)=0,MAX($CE$5:CE38)+1,""),"")</f>
        <v/>
      </c>
      <c r="CF39" s="80" t="str">
        <f>IF(AND(D39="proMX",BD39=1),IF(OR(BF39="Draft",BF39="Submitted",BF39="Returned",BF39="Recall Requested"),MAX($CF$5:CF38)+1,""),"")</f>
        <v/>
      </c>
      <c r="CG39" s="80">
        <f>IF(BD39=0,0,IF(D39="Malcolm",1,MATCH(BF39,{"Draft","Submitted","Approved","Returned","Recall Requested","Cancelled"},0)+1))</f>
        <v>0</v>
      </c>
      <c r="CH39" s="80">
        <f>IF(AND(BF39="Submitted",ISNUMBER(V39)),IF(V39&gt;CFG_MAXD,1,0),0)</f>
        <v>0</v>
      </c>
    </row>
    <row r="40">
      <c r="A40" s="71" t="str">
        <f>IF(Y40=1,ROW()-5,"")</f>
        <v/>
      </c>
      <c r="B40" s="72" t="n"/>
      <c r="C40" s="71" t="str">
        <f>IF(ISNUMBER(B40),CHOOSE(WEEKDAY(B40,2),"Lun","Mar","Mié","Jue","Vie","Sáb","Dom"),"")</f>
        <v/>
      </c>
      <c r="D40" s="73" t="n"/>
      <c r="E40" s="74" t="n"/>
      <c r="F40" s="74" t="n"/>
      <c r="G40" s="74" t="n"/>
      <c r="H40" s="75" t="n"/>
      <c r="I40" s="75" t="n"/>
      <c r="J40" s="76" t="n"/>
      <c r="K40" s="77" t="str">
        <f>IF(AB40=1,ROUND(AG40/60,4),"")</f>
        <v/>
      </c>
      <c r="L40" s="77" t="str">
        <f>IF(BD40=1,ROUND(AP40/60,4),"")</f>
        <v/>
      </c>
      <c r="M40" s="77" t="str">
        <f>IF(BD40=1,ROUND(AQ40/60,4),"")</f>
        <v/>
      </c>
      <c r="N40" s="71" t="str">
        <f>IF(AND(D40="proMX",AB40=1),ROUND(AG40/CFG_BLK,2),"")</f>
        <v/>
      </c>
      <c r="O40" s="77" t="str">
        <f>IF(D40="proMX",IF(BD40=1,ROUND(AG40/60,4),0),"")</f>
        <v/>
      </c>
      <c r="P40" s="78" t="str">
        <f>IF(Y40=0,"",IF(BD40=1,"OK",IF(D40="proMX","Revisar bloques: ","Revisar: ")&amp;BC40))</f>
        <v/>
      </c>
      <c r="Q40" s="78" t="str">
        <f>IF(NOT(ISNUMBER(B40)),"",IF(COUNTIFS(FER_F,INT(B40))&gt;0,"Feriado"&amp;IF(AH40=1," (laborable)"," (no laborable)"),IF(AH40=1,"Laborable",IF(WEEKDAY(B40,2)&gt;5,"Fin de semana","No laborable"))))</f>
        <v/>
      </c>
      <c r="R40" s="73" t="n"/>
      <c r="S40" s="72" t="n"/>
      <c r="T40" s="72" t="n"/>
      <c r="U40" s="74" t="n"/>
      <c r="V40" s="79" t="str">
        <f>IF(AND(D40="proMX",OR(R40="Submitted",R40="Recall Requested"),ISNUMBER(S40)),CFG_TODAY-INT(S40),"")</f>
        <v/>
      </c>
      <c r="W40" s="78" t="str">
        <f>IF(BD40=0,"",IF(BA40&gt;0,"⚠ Se superpone con un registro de la otra empresa",IF(D40="Malcolm",IF(COUNTA(R40,S40,T40)&gt;0,"Estado/fechas proMX se ignoran en Malcolm",""),IF(BF40="Cancelled","Cancelado: excluido de totales",IF(R40="","Sin estado: se trata como Draft",IF(BF40="Submitted",IF(ISNUMBER(V40),IF(V40&gt;CFG_MAXD,"⚠ "&amp;V40&amp;" días en Submitted (máx. "&amp;CFG_MAXD&amp;")",""),"Falta fecha de envío"),IF(BF40="Returned","⚠ Devuelto: corregir y reenviar",IF(BF40="Recall Requested","Retirada solicitada: pendiente",IF(AND(BF40="Approved",NOT(ISNUMBER(T40))),"Falta fecha de aprobación",IF(AND(ISNUMBER(S40),ISNUMBER(T40),T40&lt;S40),"Aprobación anterior al envío","")))))))))</f>
        <v/>
      </c>
      <c r="Y40" s="80">
        <f>IF(COUNTA(B40,D40,E40,F40,G40,H40,I40,J40,R40,S40,T40)&gt;0,1,0)</f>
        <v>0</v>
      </c>
      <c r="Z40" s="80" t="str">
        <f>IF(AND(ISNUMBER(H40),H40&gt;=0,H40&lt;1),ROUND(H40*1440,0),"")</f>
        <v/>
      </c>
      <c r="AA40" s="80" t="str">
        <f>IF(AND(ISNUMBER(I40),I40&gt;=0,I40&lt;1),ROUND(I40*1440,0),"")</f>
        <v/>
      </c>
      <c r="AB40" s="80">
        <f>IF(AND(ISNUMBER(B40),D40&lt;&gt;"",ISNUMBER(Z40),ISNUMBER(AA40)),IF(Z40=AA40,0,1),0)</f>
        <v>0</v>
      </c>
      <c r="AC40" s="80">
        <f>IF(AB40=1,IF(AA40&lt;Z40,1,0),0)</f>
        <v>0</v>
      </c>
      <c r="AD40" s="80">
        <f>IF(AB40=1,IF(AC40=1,1440-Z40+AA40,AA40-Z40),0)</f>
        <v>0</v>
      </c>
      <c r="AE40" s="80">
        <f>IF(J40="",0,IF(ISNUMBER(J40),J40,-1))</f>
        <v>0</v>
      </c>
      <c r="AF40" s="80">
        <f>MIN(MAX(0,AE40),AD40)</f>
        <v>0</v>
      </c>
      <c r="AG40" s="80">
        <f>MAX(0,AD40-MAX(0,AE40))</f>
        <v>0</v>
      </c>
      <c r="AH40" s="80">
        <f>IF(ISNUMBER(B40),IF(AND(INDEX(CFG_WDAYS,WEEKDAY(INT(B40),2))="Sí",IF(D40="proMX",COUNTIFS(FER_F,INT(B40),FER_NLP,"Sí"),COUNTIFS(FER_F,INT(B40),FER_NLM,"Sí"))=0),1,0),0)</f>
        <v>0</v>
      </c>
      <c r="AI40" s="80">
        <f>IF(AC40=1,IF(AND(INDEX(CFG_WDAYS,WEEKDAY(INT(B40)+1,2))="Sí",IF(D40="proMX",COUNTIFS(FER_F,INT(B40)+1,FER_NLP,"Sí"),COUNTIFS(FER_F,INT(B40)+1,FER_NLM,"Sí"))=0),1,0),0)</f>
        <v>0</v>
      </c>
      <c r="AJ40" s="80">
        <f>IF(AC40=1,1440-Z40,AD40)</f>
        <v>0</v>
      </c>
      <c r="AK40" s="80">
        <f>IF(AND(AB40=1,AH40=1),MAX(0,MIN(IF(AC40=1,1440,AA40),CFG_WEM)-MAX(Z40,CFG_WSM)),0)</f>
        <v>0</v>
      </c>
      <c r="AL40" s="80">
        <f>IF(AND(AC40=1,AI40=1),MAX(0,MIN(AA40,CFG_WEM)-CFG_WSM),0)</f>
        <v>0</v>
      </c>
      <c r="AM40" s="80">
        <f>AK40+AL40</f>
        <v>0</v>
      </c>
      <c r="AN40" s="80">
        <f>IF(CFG_BRK="Proporcional",IF(AD40=0,0,AF40*AM40/AD40),IF(CFG_BRK="Extras primero",MIN(AM40,MAX(0,AF40-(AD40-AM40))),MIN(AF40,AM40)))</f>
        <v>0</v>
      </c>
      <c r="AO40" s="80">
        <f>AF40-AN40</f>
        <v>0</v>
      </c>
      <c r="AP40" s="80">
        <f>AM40-AN40</f>
        <v>0</v>
      </c>
      <c r="AQ40" s="80">
        <f>AD40-AM40-AO40</f>
        <v>0</v>
      </c>
      <c r="AR40" s="80">
        <f>IF(AM40=0,0,AK40-AN40*AK40/AM40)</f>
        <v>0</v>
      </c>
      <c r="AS40" s="80">
        <f>IF(AD40-AM40=0,0,(AJ40-AK40)-AO40*(AJ40-AK40)/(AD40-AM40))</f>
        <v>0</v>
      </c>
      <c r="AT40" s="80" t="str">
        <f>IF(AC40=1,INT(B40)+1,"")</f>
        <v/>
      </c>
      <c r="AU40" s="80">
        <f>IF(AND(D40="proMX",R40="Cancelled"),0,1)</f>
        <v>1</v>
      </c>
      <c r="AV40" s="80">
        <f>IF(AND(AB40=1,AU40=1),IF(COUNTIFS($D$5:D39,D40,$B$5:B39,B40,$Z$5:Z39,Z40,$AA$5:AA39,AA40,$F$5:F39,F40&amp;"",$AU$5:AU39,1)&gt;0,1,0),0)</f>
        <v>0</v>
      </c>
      <c r="AW40" s="80" t="str">
        <f>IF(AB40=1,INT(B40)*1440+Z40,"")</f>
        <v/>
      </c>
      <c r="AX40" s="80" t="str">
        <f>IF(AB40=1,AW40+AD40,"")</f>
        <v/>
      </c>
      <c r="AY40" s="80">
        <f>IF(AND(AB40=1,AV40=0,AU40=1),1,0)</f>
        <v>0</v>
      </c>
      <c r="AZ40" s="80">
        <f>IF(AY40=1,COUNTIFS(R_Emp,D40,R_SAbs,"&lt;"&amp;AX40,R_EAbs,"&gt;"&amp;AW40,R_OKey,1)-1,0)</f>
        <v>0</v>
      </c>
      <c r="BA40" s="80">
        <f>IF(AY40=1,COUNTIFS(R_Emp,"&lt;&gt;"&amp;D40,R_SAbs,"&lt;"&amp;AX40,R_EAbs,"&gt;"&amp;AW40,R_OKey,1),0)</f>
        <v>0</v>
      </c>
      <c r="BB40" s="80">
        <f>IF(AND(AB40=1,D40="proMX"),IF(AND(MOD(Z40,CFG_BLK)=0,MOD(AA40,CFG_BLK)=0,MOD(AG40,CFG_BLK)=0,AG40&gt;0),1,0),1)</f>
        <v>1</v>
      </c>
      <c r="BC40" s="80" t="str">
        <f>IF(Y40=0,"",IF(NOT(ISNUMBER(B40)),"Falta fecha o fecha inválida",IF(D40="","Falta empresa",IF(AND(D40&lt;&gt;"Malcolm",D40&lt;&gt;"proMX"),"Empresa inválida",IF(OR(INT(B40)&lt;CFG_PSTART,INT(B40)&gt;CFG_PEND),"Fecha fuera del período",IF(OR(NOT(ISNUMBER(Z40)),NOT(ISNUMBER(AA40))),"Falta hora inicio/fin o formato inválido",IF(AB40=0,"Hora inicio = hora fin",IF(AE40&lt;0,"Descanso inválido",IF(AE40&gt;=AD40,"Descanso ≥ duración",IF(AV40=1,"Registro duplicado",IF(AZ40&gt;0,"Se superpone con otro registro "&amp;D40,IF(BB40=0,"inicio, fin y duración neta deben ser múltiplos de "&amp;CFG_BLK&amp;" min",""))))))))))))</f>
        <v/>
      </c>
      <c r="BD40" s="80">
        <f>IF(AND(Y40=1,BC40=""),1,0)</f>
        <v>0</v>
      </c>
      <c r="BE40" s="80">
        <f>IF(AND(BD40=1,AU40=1),1,0)</f>
        <v>0</v>
      </c>
      <c r="BF40" s="80" t="str">
        <f>IF(AND(D40="proMX",BD40=1),IF(R40="","Draft",R40),"")</f>
        <v/>
      </c>
      <c r="BG40" s="80">
        <f>IF(BD40=1,ROUND(AG40/60,6),0)</f>
        <v>0</v>
      </c>
      <c r="BH40" s="80">
        <f>IF(BE40=1,ROUND(AG40/60,6),0)</f>
        <v>0</v>
      </c>
      <c r="BI40" s="80">
        <f>IF(BE40=1,ROUND(AP40/60,6),0)</f>
        <v>0</v>
      </c>
      <c r="BJ40" s="80">
        <f>IF(BE40=1,ROUND(AQ40/60,6),0)</f>
        <v>0</v>
      </c>
      <c r="BK40" s="80">
        <f>IF(BE40=1,ROUND((AR40+AS40)/60,6),0)</f>
        <v>0</v>
      </c>
      <c r="BL40" s="80">
        <f>ROUND(BH40-BK40,6)</f>
        <v>0</v>
      </c>
      <c r="BM40" s="80">
        <f>IF(BE40=1,ROUND(AR40/60,6),0)</f>
        <v>0</v>
      </c>
      <c r="BN40" s="80">
        <f>ROUND(BI40-BM40,6)</f>
        <v>0</v>
      </c>
      <c r="BO40" s="80">
        <f>IF(BE40=1,ROUND(AS40/60,6),0)</f>
        <v>0</v>
      </c>
      <c r="BP40" s="80">
        <f>ROUND(BJ40-BO40,6)</f>
        <v>0</v>
      </c>
      <c r="BQ40" s="80">
        <f>IF(BE40=1,AW40,0)</f>
        <v>0</v>
      </c>
      <c r="BR40" s="80">
        <f>IF(BE40=1,AX40,0)</f>
        <v>0</v>
      </c>
      <c r="BS40" s="80">
        <f>IF(AND(BE40=1,D40="Malcolm",BA40&gt;0),MIN(BH40,SUMPRODUCT((R_Emp="proMX")*(R_EN&gt;0)*((R_EN-(R_EN&gt;BR40)*(R_EN-BR40))&gt;(R_SN+(R_SN&lt;BQ40)*(BQ40-R_SN)))*((R_EN-(R_EN&gt;BR40)*(R_EN-BR40))-(R_SN+(R_SN&lt;BQ40)*(BQ40-R_SN))))/60),0)</f>
        <v>0</v>
      </c>
      <c r="BT40" s="80">
        <f>IF(AND(BE40=1,D40="proMX"),ROUND(BI40*CFG_RATE+BJ40*CFG_OTRATE,6),0)</f>
        <v>0</v>
      </c>
      <c r="BU40" s="80">
        <f>IF(AND(BD40=1,D40="proMX"),ROUND(AG40/CFG_BLK,6),0)</f>
        <v>0</v>
      </c>
      <c r="BV40" s="80" t="str">
        <f>IF(BF40="Approved",IF(ISNUMBER(T40),INT(T40),INT(B40)),"")</f>
        <v/>
      </c>
      <c r="BW40" s="80">
        <f>IF(ISNUMBER(B40),IF(DB_MON="Todos",1,IF(AND(INT(B40)&gt;=DB_MS,INT(B40)&lt;=DB_ME),1,0)),0)</f>
        <v>0</v>
      </c>
      <c r="BX40" s="80">
        <f>IF(DB_PROJ="Todos",1,IF(E40&amp;""=DB_PROJ&amp;"",1,0))</f>
        <v>1</v>
      </c>
      <c r="BY40" s="80">
        <f>BW40*BX40</f>
        <v>0</v>
      </c>
      <c r="BZ40" s="80" t="str">
        <f>IF(Y40=1,F40&amp;IF(AND(F40&amp;""&lt;&gt;"",E40&amp;""&lt;&gt;"")," · ","")&amp;E40,"")</f>
        <v/>
      </c>
      <c r="CA40" s="80" t="str">
        <f>IF(AND(BD40=1,E40&amp;""&lt;&gt;""),IF(COUNTIFS($E$5:E39,E40,$BD$5:BD39,1)=0,MAX($CA$5:CA39)+1,""),"")</f>
        <v/>
      </c>
      <c r="CB40" s="80" t="str">
        <f>IF(AND(BE40=1,D40="Malcolm",E40&amp;""&lt;&gt;""),IF(COUNTIFS($D$5:D39,"Malcolm",$E$5:E39,E40,$BE$5:BE39,1)=0,MAX($CB$5:CB39)+1,""),"")</f>
        <v/>
      </c>
      <c r="CC40" s="80" t="str">
        <f>IF(AND(BD40=1,D40="proMX",E40&amp;""&lt;&gt;""),IF(COUNTIFS($D$5:D39,"proMX",$E$5:E39,E40,$BD$5:BD39,1)=0,MAX($CC$5:CC39)+1,""),"")</f>
        <v/>
      </c>
      <c r="CD40" s="80" t="str">
        <f>IF(AND(BE40=1,D40="Malcolm",F40&amp;""&lt;&gt;""),IF(COUNTIFS($D$5:D39,"Malcolm",$F$5:F39,F40,$BE$5:BE39,1)=0,MAX($CD$5:CD39)+1,""),"")</f>
        <v/>
      </c>
      <c r="CE40" s="80" t="str">
        <f>IF(AND(BD40=1,D40="proMX",F40&amp;""&lt;&gt;""),IF(COUNTIFS($D$5:D39,"proMX",$F$5:F39,F40,$BD$5:BD39,1)=0,MAX($CE$5:CE39)+1,""),"")</f>
        <v/>
      </c>
      <c r="CF40" s="80" t="str">
        <f>IF(AND(D40="proMX",BD40=1),IF(OR(BF40="Draft",BF40="Submitted",BF40="Returned",BF40="Recall Requested"),MAX($CF$5:CF39)+1,""),"")</f>
        <v/>
      </c>
      <c r="CG40" s="80">
        <f>IF(BD40=0,0,IF(D40="Malcolm",1,MATCH(BF40,{"Draft","Submitted","Approved","Returned","Recall Requested","Cancelled"},0)+1))</f>
        <v>0</v>
      </c>
      <c r="CH40" s="80">
        <f>IF(AND(BF40="Submitted",ISNUMBER(V40)),IF(V40&gt;CFG_MAXD,1,0),0)</f>
        <v>0</v>
      </c>
    </row>
    <row r="41">
      <c r="A41" s="71" t="str">
        <f>IF(Y41=1,ROW()-5,"")</f>
        <v/>
      </c>
      <c r="B41" s="72" t="n"/>
      <c r="C41" s="71" t="str">
        <f>IF(ISNUMBER(B41),CHOOSE(WEEKDAY(B41,2),"Lun","Mar","Mié","Jue","Vie","Sáb","Dom"),"")</f>
        <v/>
      </c>
      <c r="D41" s="73" t="n"/>
      <c r="E41" s="74" t="n"/>
      <c r="F41" s="74" t="n"/>
      <c r="G41" s="74" t="n"/>
      <c r="H41" s="75" t="n"/>
      <c r="I41" s="75" t="n"/>
      <c r="J41" s="76" t="n"/>
      <c r="K41" s="77" t="str">
        <f>IF(AB41=1,ROUND(AG41/60,4),"")</f>
        <v/>
      </c>
      <c r="L41" s="77" t="str">
        <f>IF(BD41=1,ROUND(AP41/60,4),"")</f>
        <v/>
      </c>
      <c r="M41" s="77" t="str">
        <f>IF(BD41=1,ROUND(AQ41/60,4),"")</f>
        <v/>
      </c>
      <c r="N41" s="71" t="str">
        <f>IF(AND(D41="proMX",AB41=1),ROUND(AG41/CFG_BLK,2),"")</f>
        <v/>
      </c>
      <c r="O41" s="77" t="str">
        <f>IF(D41="proMX",IF(BD41=1,ROUND(AG41/60,4),0),"")</f>
        <v/>
      </c>
      <c r="P41" s="78" t="str">
        <f>IF(Y41=0,"",IF(BD41=1,"OK",IF(D41="proMX","Revisar bloques: ","Revisar: ")&amp;BC41))</f>
        <v/>
      </c>
      <c r="Q41" s="78" t="str">
        <f>IF(NOT(ISNUMBER(B41)),"",IF(COUNTIFS(FER_F,INT(B41))&gt;0,"Feriado"&amp;IF(AH41=1," (laborable)"," (no laborable)"),IF(AH41=1,"Laborable",IF(WEEKDAY(B41,2)&gt;5,"Fin de semana","No laborable"))))</f>
        <v/>
      </c>
      <c r="R41" s="73" t="n"/>
      <c r="S41" s="72" t="n"/>
      <c r="T41" s="72" t="n"/>
      <c r="U41" s="74" t="n"/>
      <c r="V41" s="79" t="str">
        <f>IF(AND(D41="proMX",OR(R41="Submitted",R41="Recall Requested"),ISNUMBER(S41)),CFG_TODAY-INT(S41),"")</f>
        <v/>
      </c>
      <c r="W41" s="78" t="str">
        <f>IF(BD41=0,"",IF(BA41&gt;0,"⚠ Se superpone con un registro de la otra empresa",IF(D41="Malcolm",IF(COUNTA(R41,S41,T41)&gt;0,"Estado/fechas proMX se ignoran en Malcolm",""),IF(BF41="Cancelled","Cancelado: excluido de totales",IF(R41="","Sin estado: se trata como Draft",IF(BF41="Submitted",IF(ISNUMBER(V41),IF(V41&gt;CFG_MAXD,"⚠ "&amp;V41&amp;" días en Submitted (máx. "&amp;CFG_MAXD&amp;")",""),"Falta fecha de envío"),IF(BF41="Returned","⚠ Devuelto: corregir y reenviar",IF(BF41="Recall Requested","Retirada solicitada: pendiente",IF(AND(BF41="Approved",NOT(ISNUMBER(T41))),"Falta fecha de aprobación",IF(AND(ISNUMBER(S41),ISNUMBER(T41),T41&lt;S41),"Aprobación anterior al envío","")))))))))</f>
        <v/>
      </c>
      <c r="Y41" s="80">
        <f>IF(COUNTA(B41,D41,E41,F41,G41,H41,I41,J41,R41,S41,T41)&gt;0,1,0)</f>
        <v>0</v>
      </c>
      <c r="Z41" s="80" t="str">
        <f>IF(AND(ISNUMBER(H41),H41&gt;=0,H41&lt;1),ROUND(H41*1440,0),"")</f>
        <v/>
      </c>
      <c r="AA41" s="80" t="str">
        <f>IF(AND(ISNUMBER(I41),I41&gt;=0,I41&lt;1),ROUND(I41*1440,0),"")</f>
        <v/>
      </c>
      <c r="AB41" s="80">
        <f>IF(AND(ISNUMBER(B41),D41&lt;&gt;"",ISNUMBER(Z41),ISNUMBER(AA41)),IF(Z41=AA41,0,1),0)</f>
        <v>0</v>
      </c>
      <c r="AC41" s="80">
        <f>IF(AB41=1,IF(AA41&lt;Z41,1,0),0)</f>
        <v>0</v>
      </c>
      <c r="AD41" s="80">
        <f>IF(AB41=1,IF(AC41=1,1440-Z41+AA41,AA41-Z41),0)</f>
        <v>0</v>
      </c>
      <c r="AE41" s="80">
        <f>IF(J41="",0,IF(ISNUMBER(J41),J41,-1))</f>
        <v>0</v>
      </c>
      <c r="AF41" s="80">
        <f>MIN(MAX(0,AE41),AD41)</f>
        <v>0</v>
      </c>
      <c r="AG41" s="80">
        <f>MAX(0,AD41-MAX(0,AE41))</f>
        <v>0</v>
      </c>
      <c r="AH41" s="80">
        <f>IF(ISNUMBER(B41),IF(AND(INDEX(CFG_WDAYS,WEEKDAY(INT(B41),2))="Sí",IF(D41="proMX",COUNTIFS(FER_F,INT(B41),FER_NLP,"Sí"),COUNTIFS(FER_F,INT(B41),FER_NLM,"Sí"))=0),1,0),0)</f>
        <v>0</v>
      </c>
      <c r="AI41" s="80">
        <f>IF(AC41=1,IF(AND(INDEX(CFG_WDAYS,WEEKDAY(INT(B41)+1,2))="Sí",IF(D41="proMX",COUNTIFS(FER_F,INT(B41)+1,FER_NLP,"Sí"),COUNTIFS(FER_F,INT(B41)+1,FER_NLM,"Sí"))=0),1,0),0)</f>
        <v>0</v>
      </c>
      <c r="AJ41" s="80">
        <f>IF(AC41=1,1440-Z41,AD41)</f>
        <v>0</v>
      </c>
      <c r="AK41" s="80">
        <f>IF(AND(AB41=1,AH41=1),MAX(0,MIN(IF(AC41=1,1440,AA41),CFG_WEM)-MAX(Z41,CFG_WSM)),0)</f>
        <v>0</v>
      </c>
      <c r="AL41" s="80">
        <f>IF(AND(AC41=1,AI41=1),MAX(0,MIN(AA41,CFG_WEM)-CFG_WSM),0)</f>
        <v>0</v>
      </c>
      <c r="AM41" s="80">
        <f>AK41+AL41</f>
        <v>0</v>
      </c>
      <c r="AN41" s="80">
        <f>IF(CFG_BRK="Proporcional",IF(AD41=0,0,AF41*AM41/AD41),IF(CFG_BRK="Extras primero",MIN(AM41,MAX(0,AF41-(AD41-AM41))),MIN(AF41,AM41)))</f>
        <v>0</v>
      </c>
      <c r="AO41" s="80">
        <f>AF41-AN41</f>
        <v>0</v>
      </c>
      <c r="AP41" s="80">
        <f>AM41-AN41</f>
        <v>0</v>
      </c>
      <c r="AQ41" s="80">
        <f>AD41-AM41-AO41</f>
        <v>0</v>
      </c>
      <c r="AR41" s="80">
        <f>IF(AM41=0,0,AK41-AN41*AK41/AM41)</f>
        <v>0</v>
      </c>
      <c r="AS41" s="80">
        <f>IF(AD41-AM41=0,0,(AJ41-AK41)-AO41*(AJ41-AK41)/(AD41-AM41))</f>
        <v>0</v>
      </c>
      <c r="AT41" s="80" t="str">
        <f>IF(AC41=1,INT(B41)+1,"")</f>
        <v/>
      </c>
      <c r="AU41" s="80">
        <f>IF(AND(D41="proMX",R41="Cancelled"),0,1)</f>
        <v>1</v>
      </c>
      <c r="AV41" s="80">
        <f>IF(AND(AB41=1,AU41=1),IF(COUNTIFS($D$5:D40,D41,$B$5:B40,B41,$Z$5:Z40,Z41,$AA$5:AA40,AA41,$F$5:F40,F41&amp;"",$AU$5:AU40,1)&gt;0,1,0),0)</f>
        <v>0</v>
      </c>
      <c r="AW41" s="80" t="str">
        <f>IF(AB41=1,INT(B41)*1440+Z41,"")</f>
        <v/>
      </c>
      <c r="AX41" s="80" t="str">
        <f>IF(AB41=1,AW41+AD41,"")</f>
        <v/>
      </c>
      <c r="AY41" s="80">
        <f>IF(AND(AB41=1,AV41=0,AU41=1),1,0)</f>
        <v>0</v>
      </c>
      <c r="AZ41" s="80">
        <f>IF(AY41=1,COUNTIFS(R_Emp,D41,R_SAbs,"&lt;"&amp;AX41,R_EAbs,"&gt;"&amp;AW41,R_OKey,1)-1,0)</f>
        <v>0</v>
      </c>
      <c r="BA41" s="80">
        <f>IF(AY41=1,COUNTIFS(R_Emp,"&lt;&gt;"&amp;D41,R_SAbs,"&lt;"&amp;AX41,R_EAbs,"&gt;"&amp;AW41,R_OKey,1),0)</f>
        <v>0</v>
      </c>
      <c r="BB41" s="80">
        <f>IF(AND(AB41=1,D41="proMX"),IF(AND(MOD(Z41,CFG_BLK)=0,MOD(AA41,CFG_BLK)=0,MOD(AG41,CFG_BLK)=0,AG41&gt;0),1,0),1)</f>
        <v>1</v>
      </c>
      <c r="BC41" s="80" t="str">
        <f>IF(Y41=0,"",IF(NOT(ISNUMBER(B41)),"Falta fecha o fecha inválida",IF(D41="","Falta empresa",IF(AND(D41&lt;&gt;"Malcolm",D41&lt;&gt;"proMX"),"Empresa inválida",IF(OR(INT(B41)&lt;CFG_PSTART,INT(B41)&gt;CFG_PEND),"Fecha fuera del período",IF(OR(NOT(ISNUMBER(Z41)),NOT(ISNUMBER(AA41))),"Falta hora inicio/fin o formato inválido",IF(AB41=0,"Hora inicio = hora fin",IF(AE41&lt;0,"Descanso inválido",IF(AE41&gt;=AD41,"Descanso ≥ duración",IF(AV41=1,"Registro duplicado",IF(AZ41&gt;0,"Se superpone con otro registro "&amp;D41,IF(BB41=0,"inicio, fin y duración neta deben ser múltiplos de "&amp;CFG_BLK&amp;" min",""))))))))))))</f>
        <v/>
      </c>
      <c r="BD41" s="80">
        <f>IF(AND(Y41=1,BC41=""),1,0)</f>
        <v>0</v>
      </c>
      <c r="BE41" s="80">
        <f>IF(AND(BD41=1,AU41=1),1,0)</f>
        <v>0</v>
      </c>
      <c r="BF41" s="80" t="str">
        <f>IF(AND(D41="proMX",BD41=1),IF(R41="","Draft",R41),"")</f>
        <v/>
      </c>
      <c r="BG41" s="80">
        <f>IF(BD41=1,ROUND(AG41/60,6),0)</f>
        <v>0</v>
      </c>
      <c r="BH41" s="80">
        <f>IF(BE41=1,ROUND(AG41/60,6),0)</f>
        <v>0</v>
      </c>
      <c r="BI41" s="80">
        <f>IF(BE41=1,ROUND(AP41/60,6),0)</f>
        <v>0</v>
      </c>
      <c r="BJ41" s="80">
        <f>IF(BE41=1,ROUND(AQ41/60,6),0)</f>
        <v>0</v>
      </c>
      <c r="BK41" s="80">
        <f>IF(BE41=1,ROUND((AR41+AS41)/60,6),0)</f>
        <v>0</v>
      </c>
      <c r="BL41" s="80">
        <f>ROUND(BH41-BK41,6)</f>
        <v>0</v>
      </c>
      <c r="BM41" s="80">
        <f>IF(BE41=1,ROUND(AR41/60,6),0)</f>
        <v>0</v>
      </c>
      <c r="BN41" s="80">
        <f>ROUND(BI41-BM41,6)</f>
        <v>0</v>
      </c>
      <c r="BO41" s="80">
        <f>IF(BE41=1,ROUND(AS41/60,6),0)</f>
        <v>0</v>
      </c>
      <c r="BP41" s="80">
        <f>ROUND(BJ41-BO41,6)</f>
        <v>0</v>
      </c>
      <c r="BQ41" s="80">
        <f>IF(BE41=1,AW41,0)</f>
        <v>0</v>
      </c>
      <c r="BR41" s="80">
        <f>IF(BE41=1,AX41,0)</f>
        <v>0</v>
      </c>
      <c r="BS41" s="80">
        <f>IF(AND(BE41=1,D41="Malcolm",BA41&gt;0),MIN(BH41,SUMPRODUCT((R_Emp="proMX")*(R_EN&gt;0)*((R_EN-(R_EN&gt;BR41)*(R_EN-BR41))&gt;(R_SN+(R_SN&lt;BQ41)*(BQ41-R_SN)))*((R_EN-(R_EN&gt;BR41)*(R_EN-BR41))-(R_SN+(R_SN&lt;BQ41)*(BQ41-R_SN))))/60),0)</f>
        <v>0</v>
      </c>
      <c r="BT41" s="80">
        <f>IF(AND(BE41=1,D41="proMX"),ROUND(BI41*CFG_RATE+BJ41*CFG_OTRATE,6),0)</f>
        <v>0</v>
      </c>
      <c r="BU41" s="80">
        <f>IF(AND(BD41=1,D41="proMX"),ROUND(AG41/CFG_BLK,6),0)</f>
        <v>0</v>
      </c>
      <c r="BV41" s="80" t="str">
        <f>IF(BF41="Approved",IF(ISNUMBER(T41),INT(T41),INT(B41)),"")</f>
        <v/>
      </c>
      <c r="BW41" s="80">
        <f>IF(ISNUMBER(B41),IF(DB_MON="Todos",1,IF(AND(INT(B41)&gt;=DB_MS,INT(B41)&lt;=DB_ME),1,0)),0)</f>
        <v>0</v>
      </c>
      <c r="BX41" s="80">
        <f>IF(DB_PROJ="Todos",1,IF(E41&amp;""=DB_PROJ&amp;"",1,0))</f>
        <v>1</v>
      </c>
      <c r="BY41" s="80">
        <f>BW41*BX41</f>
        <v>0</v>
      </c>
      <c r="BZ41" s="80" t="str">
        <f>IF(Y41=1,F41&amp;IF(AND(F41&amp;""&lt;&gt;"",E41&amp;""&lt;&gt;"")," · ","")&amp;E41,"")</f>
        <v/>
      </c>
      <c r="CA41" s="80" t="str">
        <f>IF(AND(BD41=1,E41&amp;""&lt;&gt;""),IF(COUNTIFS($E$5:E40,E41,$BD$5:BD40,1)=0,MAX($CA$5:CA40)+1,""),"")</f>
        <v/>
      </c>
      <c r="CB41" s="80" t="str">
        <f>IF(AND(BE41=1,D41="Malcolm",E41&amp;""&lt;&gt;""),IF(COUNTIFS($D$5:D40,"Malcolm",$E$5:E40,E41,$BE$5:BE40,1)=0,MAX($CB$5:CB40)+1,""),"")</f>
        <v/>
      </c>
      <c r="CC41" s="80" t="str">
        <f>IF(AND(BD41=1,D41="proMX",E41&amp;""&lt;&gt;""),IF(COUNTIFS($D$5:D40,"proMX",$E$5:E40,E41,$BD$5:BD40,1)=0,MAX($CC$5:CC40)+1,""),"")</f>
        <v/>
      </c>
      <c r="CD41" s="80" t="str">
        <f>IF(AND(BE41=1,D41="Malcolm",F41&amp;""&lt;&gt;""),IF(COUNTIFS($D$5:D40,"Malcolm",$F$5:F40,F41,$BE$5:BE40,1)=0,MAX($CD$5:CD40)+1,""),"")</f>
        <v/>
      </c>
      <c r="CE41" s="80" t="str">
        <f>IF(AND(BD41=1,D41="proMX",F41&amp;""&lt;&gt;""),IF(COUNTIFS($D$5:D40,"proMX",$F$5:F40,F41,$BD$5:BD40,1)=0,MAX($CE$5:CE40)+1,""),"")</f>
        <v/>
      </c>
      <c r="CF41" s="80" t="str">
        <f>IF(AND(D41="proMX",BD41=1),IF(OR(BF41="Draft",BF41="Submitted",BF41="Returned",BF41="Recall Requested"),MAX($CF$5:CF40)+1,""),"")</f>
        <v/>
      </c>
      <c r="CG41" s="80">
        <f>IF(BD41=0,0,IF(D41="Malcolm",1,MATCH(BF41,{"Draft","Submitted","Approved","Returned","Recall Requested","Cancelled"},0)+1))</f>
        <v>0</v>
      </c>
      <c r="CH41" s="80">
        <f>IF(AND(BF41="Submitted",ISNUMBER(V41)),IF(V41&gt;CFG_MAXD,1,0),0)</f>
        <v>0</v>
      </c>
    </row>
    <row r="42">
      <c r="A42" s="71" t="str">
        <f>IF(Y42=1,ROW()-5,"")</f>
        <v/>
      </c>
      <c r="B42" s="72" t="n"/>
      <c r="C42" s="71" t="str">
        <f>IF(ISNUMBER(B42),CHOOSE(WEEKDAY(B42,2),"Lun","Mar","Mié","Jue","Vie","Sáb","Dom"),"")</f>
        <v/>
      </c>
      <c r="D42" s="73" t="n"/>
      <c r="E42" s="74" t="n"/>
      <c r="F42" s="74" t="n"/>
      <c r="G42" s="74" t="n"/>
      <c r="H42" s="75" t="n"/>
      <c r="I42" s="75" t="n"/>
      <c r="J42" s="76" t="n"/>
      <c r="K42" s="77" t="str">
        <f>IF(AB42=1,ROUND(AG42/60,4),"")</f>
        <v/>
      </c>
      <c r="L42" s="77" t="str">
        <f>IF(BD42=1,ROUND(AP42/60,4),"")</f>
        <v/>
      </c>
      <c r="M42" s="77" t="str">
        <f>IF(BD42=1,ROUND(AQ42/60,4),"")</f>
        <v/>
      </c>
      <c r="N42" s="71" t="str">
        <f>IF(AND(D42="proMX",AB42=1),ROUND(AG42/CFG_BLK,2),"")</f>
        <v/>
      </c>
      <c r="O42" s="77" t="str">
        <f>IF(D42="proMX",IF(BD42=1,ROUND(AG42/60,4),0),"")</f>
        <v/>
      </c>
      <c r="P42" s="78" t="str">
        <f>IF(Y42=0,"",IF(BD42=1,"OK",IF(D42="proMX","Revisar bloques: ","Revisar: ")&amp;BC42))</f>
        <v/>
      </c>
      <c r="Q42" s="78" t="str">
        <f>IF(NOT(ISNUMBER(B42)),"",IF(COUNTIFS(FER_F,INT(B42))&gt;0,"Feriado"&amp;IF(AH42=1," (laborable)"," (no laborable)"),IF(AH42=1,"Laborable",IF(WEEKDAY(B42,2)&gt;5,"Fin de semana","No laborable"))))</f>
        <v/>
      </c>
      <c r="R42" s="73" t="n"/>
      <c r="S42" s="72" t="n"/>
      <c r="T42" s="72" t="n"/>
      <c r="U42" s="74" t="n"/>
      <c r="V42" s="79" t="str">
        <f>IF(AND(D42="proMX",OR(R42="Submitted",R42="Recall Requested"),ISNUMBER(S42)),CFG_TODAY-INT(S42),"")</f>
        <v/>
      </c>
      <c r="W42" s="78" t="str">
        <f>IF(BD42=0,"",IF(BA42&gt;0,"⚠ Se superpone con un registro de la otra empresa",IF(D42="Malcolm",IF(COUNTA(R42,S42,T42)&gt;0,"Estado/fechas proMX se ignoran en Malcolm",""),IF(BF42="Cancelled","Cancelado: excluido de totales",IF(R42="","Sin estado: se trata como Draft",IF(BF42="Submitted",IF(ISNUMBER(V42),IF(V42&gt;CFG_MAXD,"⚠ "&amp;V42&amp;" días en Submitted (máx. "&amp;CFG_MAXD&amp;")",""),"Falta fecha de envío"),IF(BF42="Returned","⚠ Devuelto: corregir y reenviar",IF(BF42="Recall Requested","Retirada solicitada: pendiente",IF(AND(BF42="Approved",NOT(ISNUMBER(T42))),"Falta fecha de aprobación",IF(AND(ISNUMBER(S42),ISNUMBER(T42),T42&lt;S42),"Aprobación anterior al envío","")))))))))</f>
        <v/>
      </c>
      <c r="Y42" s="80">
        <f>IF(COUNTA(B42,D42,E42,F42,G42,H42,I42,J42,R42,S42,T42)&gt;0,1,0)</f>
        <v>0</v>
      </c>
      <c r="Z42" s="80" t="str">
        <f>IF(AND(ISNUMBER(H42),H42&gt;=0,H42&lt;1),ROUND(H42*1440,0),"")</f>
        <v/>
      </c>
      <c r="AA42" s="80" t="str">
        <f>IF(AND(ISNUMBER(I42),I42&gt;=0,I42&lt;1),ROUND(I42*1440,0),"")</f>
        <v/>
      </c>
      <c r="AB42" s="80">
        <f>IF(AND(ISNUMBER(B42),D42&lt;&gt;"",ISNUMBER(Z42),ISNUMBER(AA42)),IF(Z42=AA42,0,1),0)</f>
        <v>0</v>
      </c>
      <c r="AC42" s="80">
        <f>IF(AB42=1,IF(AA42&lt;Z42,1,0),0)</f>
        <v>0</v>
      </c>
      <c r="AD42" s="80">
        <f>IF(AB42=1,IF(AC42=1,1440-Z42+AA42,AA42-Z42),0)</f>
        <v>0</v>
      </c>
      <c r="AE42" s="80">
        <f>IF(J42="",0,IF(ISNUMBER(J42),J42,-1))</f>
        <v>0</v>
      </c>
      <c r="AF42" s="80">
        <f>MIN(MAX(0,AE42),AD42)</f>
        <v>0</v>
      </c>
      <c r="AG42" s="80">
        <f>MAX(0,AD42-MAX(0,AE42))</f>
        <v>0</v>
      </c>
      <c r="AH42" s="80">
        <f>IF(ISNUMBER(B42),IF(AND(INDEX(CFG_WDAYS,WEEKDAY(INT(B42),2))="Sí",IF(D42="proMX",COUNTIFS(FER_F,INT(B42),FER_NLP,"Sí"),COUNTIFS(FER_F,INT(B42),FER_NLM,"Sí"))=0),1,0),0)</f>
        <v>0</v>
      </c>
      <c r="AI42" s="80">
        <f>IF(AC42=1,IF(AND(INDEX(CFG_WDAYS,WEEKDAY(INT(B42)+1,2))="Sí",IF(D42="proMX",COUNTIFS(FER_F,INT(B42)+1,FER_NLP,"Sí"),COUNTIFS(FER_F,INT(B42)+1,FER_NLM,"Sí"))=0),1,0),0)</f>
        <v>0</v>
      </c>
      <c r="AJ42" s="80">
        <f>IF(AC42=1,1440-Z42,AD42)</f>
        <v>0</v>
      </c>
      <c r="AK42" s="80">
        <f>IF(AND(AB42=1,AH42=1),MAX(0,MIN(IF(AC42=1,1440,AA42),CFG_WEM)-MAX(Z42,CFG_WSM)),0)</f>
        <v>0</v>
      </c>
      <c r="AL42" s="80">
        <f>IF(AND(AC42=1,AI42=1),MAX(0,MIN(AA42,CFG_WEM)-CFG_WSM),0)</f>
        <v>0</v>
      </c>
      <c r="AM42" s="80">
        <f>AK42+AL42</f>
        <v>0</v>
      </c>
      <c r="AN42" s="80">
        <f>IF(CFG_BRK="Proporcional",IF(AD42=0,0,AF42*AM42/AD42),IF(CFG_BRK="Extras primero",MIN(AM42,MAX(0,AF42-(AD42-AM42))),MIN(AF42,AM42)))</f>
        <v>0</v>
      </c>
      <c r="AO42" s="80">
        <f>AF42-AN42</f>
        <v>0</v>
      </c>
      <c r="AP42" s="80">
        <f>AM42-AN42</f>
        <v>0</v>
      </c>
      <c r="AQ42" s="80">
        <f>AD42-AM42-AO42</f>
        <v>0</v>
      </c>
      <c r="AR42" s="80">
        <f>IF(AM42=0,0,AK42-AN42*AK42/AM42)</f>
        <v>0</v>
      </c>
      <c r="AS42" s="80">
        <f>IF(AD42-AM42=0,0,(AJ42-AK42)-AO42*(AJ42-AK42)/(AD42-AM42))</f>
        <v>0</v>
      </c>
      <c r="AT42" s="80" t="str">
        <f>IF(AC42=1,INT(B42)+1,"")</f>
        <v/>
      </c>
      <c r="AU42" s="80">
        <f>IF(AND(D42="proMX",R42="Cancelled"),0,1)</f>
        <v>1</v>
      </c>
      <c r="AV42" s="80">
        <f>IF(AND(AB42=1,AU42=1),IF(COUNTIFS($D$5:D41,D42,$B$5:B41,B42,$Z$5:Z41,Z42,$AA$5:AA41,AA42,$F$5:F41,F42&amp;"",$AU$5:AU41,1)&gt;0,1,0),0)</f>
        <v>0</v>
      </c>
      <c r="AW42" s="80" t="str">
        <f>IF(AB42=1,INT(B42)*1440+Z42,"")</f>
        <v/>
      </c>
      <c r="AX42" s="80" t="str">
        <f>IF(AB42=1,AW42+AD42,"")</f>
        <v/>
      </c>
      <c r="AY42" s="80">
        <f>IF(AND(AB42=1,AV42=0,AU42=1),1,0)</f>
        <v>0</v>
      </c>
      <c r="AZ42" s="80">
        <f>IF(AY42=1,COUNTIFS(R_Emp,D42,R_SAbs,"&lt;"&amp;AX42,R_EAbs,"&gt;"&amp;AW42,R_OKey,1)-1,0)</f>
        <v>0</v>
      </c>
      <c r="BA42" s="80">
        <f>IF(AY42=1,COUNTIFS(R_Emp,"&lt;&gt;"&amp;D42,R_SAbs,"&lt;"&amp;AX42,R_EAbs,"&gt;"&amp;AW42,R_OKey,1),0)</f>
        <v>0</v>
      </c>
      <c r="BB42" s="80">
        <f>IF(AND(AB42=1,D42="proMX"),IF(AND(MOD(Z42,CFG_BLK)=0,MOD(AA42,CFG_BLK)=0,MOD(AG42,CFG_BLK)=0,AG42&gt;0),1,0),1)</f>
        <v>1</v>
      </c>
      <c r="BC42" s="80" t="str">
        <f>IF(Y42=0,"",IF(NOT(ISNUMBER(B42)),"Falta fecha o fecha inválida",IF(D42="","Falta empresa",IF(AND(D42&lt;&gt;"Malcolm",D42&lt;&gt;"proMX"),"Empresa inválida",IF(OR(INT(B42)&lt;CFG_PSTART,INT(B42)&gt;CFG_PEND),"Fecha fuera del período",IF(OR(NOT(ISNUMBER(Z42)),NOT(ISNUMBER(AA42))),"Falta hora inicio/fin o formato inválido",IF(AB42=0,"Hora inicio = hora fin",IF(AE42&lt;0,"Descanso inválido",IF(AE42&gt;=AD42,"Descanso ≥ duración",IF(AV42=1,"Registro duplicado",IF(AZ42&gt;0,"Se superpone con otro registro "&amp;D42,IF(BB42=0,"inicio, fin y duración neta deben ser múltiplos de "&amp;CFG_BLK&amp;" min",""))))))))))))</f>
        <v/>
      </c>
      <c r="BD42" s="80">
        <f>IF(AND(Y42=1,BC42=""),1,0)</f>
        <v>0</v>
      </c>
      <c r="BE42" s="80">
        <f>IF(AND(BD42=1,AU42=1),1,0)</f>
        <v>0</v>
      </c>
      <c r="BF42" s="80" t="str">
        <f>IF(AND(D42="proMX",BD42=1),IF(R42="","Draft",R42),"")</f>
        <v/>
      </c>
      <c r="BG42" s="80">
        <f>IF(BD42=1,ROUND(AG42/60,6),0)</f>
        <v>0</v>
      </c>
      <c r="BH42" s="80">
        <f>IF(BE42=1,ROUND(AG42/60,6),0)</f>
        <v>0</v>
      </c>
      <c r="BI42" s="80">
        <f>IF(BE42=1,ROUND(AP42/60,6),0)</f>
        <v>0</v>
      </c>
      <c r="BJ42" s="80">
        <f>IF(BE42=1,ROUND(AQ42/60,6),0)</f>
        <v>0</v>
      </c>
      <c r="BK42" s="80">
        <f>IF(BE42=1,ROUND((AR42+AS42)/60,6),0)</f>
        <v>0</v>
      </c>
      <c r="BL42" s="80">
        <f>ROUND(BH42-BK42,6)</f>
        <v>0</v>
      </c>
      <c r="BM42" s="80">
        <f>IF(BE42=1,ROUND(AR42/60,6),0)</f>
        <v>0</v>
      </c>
      <c r="BN42" s="80">
        <f>ROUND(BI42-BM42,6)</f>
        <v>0</v>
      </c>
      <c r="BO42" s="80">
        <f>IF(BE42=1,ROUND(AS42/60,6),0)</f>
        <v>0</v>
      </c>
      <c r="BP42" s="80">
        <f>ROUND(BJ42-BO42,6)</f>
        <v>0</v>
      </c>
      <c r="BQ42" s="80">
        <f>IF(BE42=1,AW42,0)</f>
        <v>0</v>
      </c>
      <c r="BR42" s="80">
        <f>IF(BE42=1,AX42,0)</f>
        <v>0</v>
      </c>
      <c r="BS42" s="80">
        <f>IF(AND(BE42=1,D42="Malcolm",BA42&gt;0),MIN(BH42,SUMPRODUCT((R_Emp="proMX")*(R_EN&gt;0)*((R_EN-(R_EN&gt;BR42)*(R_EN-BR42))&gt;(R_SN+(R_SN&lt;BQ42)*(BQ42-R_SN)))*((R_EN-(R_EN&gt;BR42)*(R_EN-BR42))-(R_SN+(R_SN&lt;BQ42)*(BQ42-R_SN))))/60),0)</f>
        <v>0</v>
      </c>
      <c r="BT42" s="80">
        <f>IF(AND(BE42=1,D42="proMX"),ROUND(BI42*CFG_RATE+BJ42*CFG_OTRATE,6),0)</f>
        <v>0</v>
      </c>
      <c r="BU42" s="80">
        <f>IF(AND(BD42=1,D42="proMX"),ROUND(AG42/CFG_BLK,6),0)</f>
        <v>0</v>
      </c>
      <c r="BV42" s="80" t="str">
        <f>IF(BF42="Approved",IF(ISNUMBER(T42),INT(T42),INT(B42)),"")</f>
        <v/>
      </c>
      <c r="BW42" s="80">
        <f>IF(ISNUMBER(B42),IF(DB_MON="Todos",1,IF(AND(INT(B42)&gt;=DB_MS,INT(B42)&lt;=DB_ME),1,0)),0)</f>
        <v>0</v>
      </c>
      <c r="BX42" s="80">
        <f>IF(DB_PROJ="Todos",1,IF(E42&amp;""=DB_PROJ&amp;"",1,0))</f>
        <v>1</v>
      </c>
      <c r="BY42" s="80">
        <f>BW42*BX42</f>
        <v>0</v>
      </c>
      <c r="BZ42" s="80" t="str">
        <f>IF(Y42=1,F42&amp;IF(AND(F42&amp;""&lt;&gt;"",E42&amp;""&lt;&gt;"")," · ","")&amp;E42,"")</f>
        <v/>
      </c>
      <c r="CA42" s="80" t="str">
        <f>IF(AND(BD42=1,E42&amp;""&lt;&gt;""),IF(COUNTIFS($E$5:E41,E42,$BD$5:BD41,1)=0,MAX($CA$5:CA41)+1,""),"")</f>
        <v/>
      </c>
      <c r="CB42" s="80" t="str">
        <f>IF(AND(BE42=1,D42="Malcolm",E42&amp;""&lt;&gt;""),IF(COUNTIFS($D$5:D41,"Malcolm",$E$5:E41,E42,$BE$5:BE41,1)=0,MAX($CB$5:CB41)+1,""),"")</f>
        <v/>
      </c>
      <c r="CC42" s="80" t="str">
        <f>IF(AND(BD42=1,D42="proMX",E42&amp;""&lt;&gt;""),IF(COUNTIFS($D$5:D41,"proMX",$E$5:E41,E42,$BD$5:BD41,1)=0,MAX($CC$5:CC41)+1,""),"")</f>
        <v/>
      </c>
      <c r="CD42" s="80" t="str">
        <f>IF(AND(BE42=1,D42="Malcolm",F42&amp;""&lt;&gt;""),IF(COUNTIFS($D$5:D41,"Malcolm",$F$5:F41,F42,$BE$5:BE41,1)=0,MAX($CD$5:CD41)+1,""),"")</f>
        <v/>
      </c>
      <c r="CE42" s="80" t="str">
        <f>IF(AND(BD42=1,D42="proMX",F42&amp;""&lt;&gt;""),IF(COUNTIFS($D$5:D41,"proMX",$F$5:F41,F42,$BD$5:BD41,1)=0,MAX($CE$5:CE41)+1,""),"")</f>
        <v/>
      </c>
      <c r="CF42" s="80" t="str">
        <f>IF(AND(D42="proMX",BD42=1),IF(OR(BF42="Draft",BF42="Submitted",BF42="Returned",BF42="Recall Requested"),MAX($CF$5:CF41)+1,""),"")</f>
        <v/>
      </c>
      <c r="CG42" s="80">
        <f>IF(BD42=0,0,IF(D42="Malcolm",1,MATCH(BF42,{"Draft","Submitted","Approved","Returned","Recall Requested","Cancelled"},0)+1))</f>
        <v>0</v>
      </c>
      <c r="CH42" s="80">
        <f>IF(AND(BF42="Submitted",ISNUMBER(V42)),IF(V42&gt;CFG_MAXD,1,0),0)</f>
        <v>0</v>
      </c>
    </row>
    <row r="43">
      <c r="A43" s="71" t="str">
        <f>IF(Y43=1,ROW()-5,"")</f>
        <v/>
      </c>
      <c r="B43" s="72" t="n"/>
      <c r="C43" s="71" t="str">
        <f>IF(ISNUMBER(B43),CHOOSE(WEEKDAY(B43,2),"Lun","Mar","Mié","Jue","Vie","Sáb","Dom"),"")</f>
        <v/>
      </c>
      <c r="D43" s="73" t="n"/>
      <c r="E43" s="74" t="n"/>
      <c r="F43" s="74" t="n"/>
      <c r="G43" s="74" t="n"/>
      <c r="H43" s="75" t="n"/>
      <c r="I43" s="75" t="n"/>
      <c r="J43" s="76" t="n"/>
      <c r="K43" s="77" t="str">
        <f>IF(AB43=1,ROUND(AG43/60,4),"")</f>
        <v/>
      </c>
      <c r="L43" s="77" t="str">
        <f>IF(BD43=1,ROUND(AP43/60,4),"")</f>
        <v/>
      </c>
      <c r="M43" s="77" t="str">
        <f>IF(BD43=1,ROUND(AQ43/60,4),"")</f>
        <v/>
      </c>
      <c r="N43" s="71" t="str">
        <f>IF(AND(D43="proMX",AB43=1),ROUND(AG43/CFG_BLK,2),"")</f>
        <v/>
      </c>
      <c r="O43" s="77" t="str">
        <f>IF(D43="proMX",IF(BD43=1,ROUND(AG43/60,4),0),"")</f>
        <v/>
      </c>
      <c r="P43" s="78" t="str">
        <f>IF(Y43=0,"",IF(BD43=1,"OK",IF(D43="proMX","Revisar bloques: ","Revisar: ")&amp;BC43))</f>
        <v/>
      </c>
      <c r="Q43" s="78" t="str">
        <f>IF(NOT(ISNUMBER(B43)),"",IF(COUNTIFS(FER_F,INT(B43))&gt;0,"Feriado"&amp;IF(AH43=1," (laborable)"," (no laborable)"),IF(AH43=1,"Laborable",IF(WEEKDAY(B43,2)&gt;5,"Fin de semana","No laborable"))))</f>
        <v/>
      </c>
      <c r="R43" s="73" t="n"/>
      <c r="S43" s="72" t="n"/>
      <c r="T43" s="72" t="n"/>
      <c r="U43" s="74" t="n"/>
      <c r="V43" s="79" t="str">
        <f>IF(AND(D43="proMX",OR(R43="Submitted",R43="Recall Requested"),ISNUMBER(S43)),CFG_TODAY-INT(S43),"")</f>
        <v/>
      </c>
      <c r="W43" s="78" t="str">
        <f>IF(BD43=0,"",IF(BA43&gt;0,"⚠ Se superpone con un registro de la otra empresa",IF(D43="Malcolm",IF(COUNTA(R43,S43,T43)&gt;0,"Estado/fechas proMX se ignoran en Malcolm",""),IF(BF43="Cancelled","Cancelado: excluido de totales",IF(R43="","Sin estado: se trata como Draft",IF(BF43="Submitted",IF(ISNUMBER(V43),IF(V43&gt;CFG_MAXD,"⚠ "&amp;V43&amp;" días en Submitted (máx. "&amp;CFG_MAXD&amp;")",""),"Falta fecha de envío"),IF(BF43="Returned","⚠ Devuelto: corregir y reenviar",IF(BF43="Recall Requested","Retirada solicitada: pendiente",IF(AND(BF43="Approved",NOT(ISNUMBER(T43))),"Falta fecha de aprobación",IF(AND(ISNUMBER(S43),ISNUMBER(T43),T43&lt;S43),"Aprobación anterior al envío","")))))))))</f>
        <v/>
      </c>
      <c r="Y43" s="80">
        <f>IF(COUNTA(B43,D43,E43,F43,G43,H43,I43,J43,R43,S43,T43)&gt;0,1,0)</f>
        <v>0</v>
      </c>
      <c r="Z43" s="80" t="str">
        <f>IF(AND(ISNUMBER(H43),H43&gt;=0,H43&lt;1),ROUND(H43*1440,0),"")</f>
        <v/>
      </c>
      <c r="AA43" s="80" t="str">
        <f>IF(AND(ISNUMBER(I43),I43&gt;=0,I43&lt;1),ROUND(I43*1440,0),"")</f>
        <v/>
      </c>
      <c r="AB43" s="80">
        <f>IF(AND(ISNUMBER(B43),D43&lt;&gt;"",ISNUMBER(Z43),ISNUMBER(AA43)),IF(Z43=AA43,0,1),0)</f>
        <v>0</v>
      </c>
      <c r="AC43" s="80">
        <f>IF(AB43=1,IF(AA43&lt;Z43,1,0),0)</f>
        <v>0</v>
      </c>
      <c r="AD43" s="80">
        <f>IF(AB43=1,IF(AC43=1,1440-Z43+AA43,AA43-Z43),0)</f>
        <v>0</v>
      </c>
      <c r="AE43" s="80">
        <f>IF(J43="",0,IF(ISNUMBER(J43),J43,-1))</f>
        <v>0</v>
      </c>
      <c r="AF43" s="80">
        <f>MIN(MAX(0,AE43),AD43)</f>
        <v>0</v>
      </c>
      <c r="AG43" s="80">
        <f>MAX(0,AD43-MAX(0,AE43))</f>
        <v>0</v>
      </c>
      <c r="AH43" s="80">
        <f>IF(ISNUMBER(B43),IF(AND(INDEX(CFG_WDAYS,WEEKDAY(INT(B43),2))="Sí",IF(D43="proMX",COUNTIFS(FER_F,INT(B43),FER_NLP,"Sí"),COUNTIFS(FER_F,INT(B43),FER_NLM,"Sí"))=0),1,0),0)</f>
        <v>0</v>
      </c>
      <c r="AI43" s="80">
        <f>IF(AC43=1,IF(AND(INDEX(CFG_WDAYS,WEEKDAY(INT(B43)+1,2))="Sí",IF(D43="proMX",COUNTIFS(FER_F,INT(B43)+1,FER_NLP,"Sí"),COUNTIFS(FER_F,INT(B43)+1,FER_NLM,"Sí"))=0),1,0),0)</f>
        <v>0</v>
      </c>
      <c r="AJ43" s="80">
        <f>IF(AC43=1,1440-Z43,AD43)</f>
        <v>0</v>
      </c>
      <c r="AK43" s="80">
        <f>IF(AND(AB43=1,AH43=1),MAX(0,MIN(IF(AC43=1,1440,AA43),CFG_WEM)-MAX(Z43,CFG_WSM)),0)</f>
        <v>0</v>
      </c>
      <c r="AL43" s="80">
        <f>IF(AND(AC43=1,AI43=1),MAX(0,MIN(AA43,CFG_WEM)-CFG_WSM),0)</f>
        <v>0</v>
      </c>
      <c r="AM43" s="80">
        <f>AK43+AL43</f>
        <v>0</v>
      </c>
      <c r="AN43" s="80">
        <f>IF(CFG_BRK="Proporcional",IF(AD43=0,0,AF43*AM43/AD43),IF(CFG_BRK="Extras primero",MIN(AM43,MAX(0,AF43-(AD43-AM43))),MIN(AF43,AM43)))</f>
        <v>0</v>
      </c>
      <c r="AO43" s="80">
        <f>AF43-AN43</f>
        <v>0</v>
      </c>
      <c r="AP43" s="80">
        <f>AM43-AN43</f>
        <v>0</v>
      </c>
      <c r="AQ43" s="80">
        <f>AD43-AM43-AO43</f>
        <v>0</v>
      </c>
      <c r="AR43" s="80">
        <f>IF(AM43=0,0,AK43-AN43*AK43/AM43)</f>
        <v>0</v>
      </c>
      <c r="AS43" s="80">
        <f>IF(AD43-AM43=0,0,(AJ43-AK43)-AO43*(AJ43-AK43)/(AD43-AM43))</f>
        <v>0</v>
      </c>
      <c r="AT43" s="80" t="str">
        <f>IF(AC43=1,INT(B43)+1,"")</f>
        <v/>
      </c>
      <c r="AU43" s="80">
        <f>IF(AND(D43="proMX",R43="Cancelled"),0,1)</f>
        <v>1</v>
      </c>
      <c r="AV43" s="80">
        <f>IF(AND(AB43=1,AU43=1),IF(COUNTIFS($D$5:D42,D43,$B$5:B42,B43,$Z$5:Z42,Z43,$AA$5:AA42,AA43,$F$5:F42,F43&amp;"",$AU$5:AU42,1)&gt;0,1,0),0)</f>
        <v>0</v>
      </c>
      <c r="AW43" s="80" t="str">
        <f>IF(AB43=1,INT(B43)*1440+Z43,"")</f>
        <v/>
      </c>
      <c r="AX43" s="80" t="str">
        <f>IF(AB43=1,AW43+AD43,"")</f>
        <v/>
      </c>
      <c r="AY43" s="80">
        <f>IF(AND(AB43=1,AV43=0,AU43=1),1,0)</f>
        <v>0</v>
      </c>
      <c r="AZ43" s="80">
        <f>IF(AY43=1,COUNTIFS(R_Emp,D43,R_SAbs,"&lt;"&amp;AX43,R_EAbs,"&gt;"&amp;AW43,R_OKey,1)-1,0)</f>
        <v>0</v>
      </c>
      <c r="BA43" s="80">
        <f>IF(AY43=1,COUNTIFS(R_Emp,"&lt;&gt;"&amp;D43,R_SAbs,"&lt;"&amp;AX43,R_EAbs,"&gt;"&amp;AW43,R_OKey,1),0)</f>
        <v>0</v>
      </c>
      <c r="BB43" s="80">
        <f>IF(AND(AB43=1,D43="proMX"),IF(AND(MOD(Z43,CFG_BLK)=0,MOD(AA43,CFG_BLK)=0,MOD(AG43,CFG_BLK)=0,AG43&gt;0),1,0),1)</f>
        <v>1</v>
      </c>
      <c r="BC43" s="80" t="str">
        <f>IF(Y43=0,"",IF(NOT(ISNUMBER(B43)),"Falta fecha o fecha inválida",IF(D43="","Falta empresa",IF(AND(D43&lt;&gt;"Malcolm",D43&lt;&gt;"proMX"),"Empresa inválida",IF(OR(INT(B43)&lt;CFG_PSTART,INT(B43)&gt;CFG_PEND),"Fecha fuera del período",IF(OR(NOT(ISNUMBER(Z43)),NOT(ISNUMBER(AA43))),"Falta hora inicio/fin o formato inválido",IF(AB43=0,"Hora inicio = hora fin",IF(AE43&lt;0,"Descanso inválido",IF(AE43&gt;=AD43,"Descanso ≥ duración",IF(AV43=1,"Registro duplicado",IF(AZ43&gt;0,"Se superpone con otro registro "&amp;D43,IF(BB43=0,"inicio, fin y duración neta deben ser múltiplos de "&amp;CFG_BLK&amp;" min",""))))))))))))</f>
        <v/>
      </c>
      <c r="BD43" s="80">
        <f>IF(AND(Y43=1,BC43=""),1,0)</f>
        <v>0</v>
      </c>
      <c r="BE43" s="80">
        <f>IF(AND(BD43=1,AU43=1),1,0)</f>
        <v>0</v>
      </c>
      <c r="BF43" s="80" t="str">
        <f>IF(AND(D43="proMX",BD43=1),IF(R43="","Draft",R43),"")</f>
        <v/>
      </c>
      <c r="BG43" s="80">
        <f>IF(BD43=1,ROUND(AG43/60,6),0)</f>
        <v>0</v>
      </c>
      <c r="BH43" s="80">
        <f>IF(BE43=1,ROUND(AG43/60,6),0)</f>
        <v>0</v>
      </c>
      <c r="BI43" s="80">
        <f>IF(BE43=1,ROUND(AP43/60,6),0)</f>
        <v>0</v>
      </c>
      <c r="BJ43" s="80">
        <f>IF(BE43=1,ROUND(AQ43/60,6),0)</f>
        <v>0</v>
      </c>
      <c r="BK43" s="80">
        <f>IF(BE43=1,ROUND((AR43+AS43)/60,6),0)</f>
        <v>0</v>
      </c>
      <c r="BL43" s="80">
        <f>ROUND(BH43-BK43,6)</f>
        <v>0</v>
      </c>
      <c r="BM43" s="80">
        <f>IF(BE43=1,ROUND(AR43/60,6),0)</f>
        <v>0</v>
      </c>
      <c r="BN43" s="80">
        <f>ROUND(BI43-BM43,6)</f>
        <v>0</v>
      </c>
      <c r="BO43" s="80">
        <f>IF(BE43=1,ROUND(AS43/60,6),0)</f>
        <v>0</v>
      </c>
      <c r="BP43" s="80">
        <f>ROUND(BJ43-BO43,6)</f>
        <v>0</v>
      </c>
      <c r="BQ43" s="80">
        <f>IF(BE43=1,AW43,0)</f>
        <v>0</v>
      </c>
      <c r="BR43" s="80">
        <f>IF(BE43=1,AX43,0)</f>
        <v>0</v>
      </c>
      <c r="BS43" s="80">
        <f>IF(AND(BE43=1,D43="Malcolm",BA43&gt;0),MIN(BH43,SUMPRODUCT((R_Emp="proMX")*(R_EN&gt;0)*((R_EN-(R_EN&gt;BR43)*(R_EN-BR43))&gt;(R_SN+(R_SN&lt;BQ43)*(BQ43-R_SN)))*((R_EN-(R_EN&gt;BR43)*(R_EN-BR43))-(R_SN+(R_SN&lt;BQ43)*(BQ43-R_SN))))/60),0)</f>
        <v>0</v>
      </c>
      <c r="BT43" s="80">
        <f>IF(AND(BE43=1,D43="proMX"),ROUND(BI43*CFG_RATE+BJ43*CFG_OTRATE,6),0)</f>
        <v>0</v>
      </c>
      <c r="BU43" s="80">
        <f>IF(AND(BD43=1,D43="proMX"),ROUND(AG43/CFG_BLK,6),0)</f>
        <v>0</v>
      </c>
      <c r="BV43" s="80" t="str">
        <f>IF(BF43="Approved",IF(ISNUMBER(T43),INT(T43),INT(B43)),"")</f>
        <v/>
      </c>
      <c r="BW43" s="80">
        <f>IF(ISNUMBER(B43),IF(DB_MON="Todos",1,IF(AND(INT(B43)&gt;=DB_MS,INT(B43)&lt;=DB_ME),1,0)),0)</f>
        <v>0</v>
      </c>
      <c r="BX43" s="80">
        <f>IF(DB_PROJ="Todos",1,IF(E43&amp;""=DB_PROJ&amp;"",1,0))</f>
        <v>1</v>
      </c>
      <c r="BY43" s="80">
        <f>BW43*BX43</f>
        <v>0</v>
      </c>
      <c r="BZ43" s="80" t="str">
        <f>IF(Y43=1,F43&amp;IF(AND(F43&amp;""&lt;&gt;"",E43&amp;""&lt;&gt;"")," · ","")&amp;E43,"")</f>
        <v/>
      </c>
      <c r="CA43" s="80" t="str">
        <f>IF(AND(BD43=1,E43&amp;""&lt;&gt;""),IF(COUNTIFS($E$5:E42,E43,$BD$5:BD42,1)=0,MAX($CA$5:CA42)+1,""),"")</f>
        <v/>
      </c>
      <c r="CB43" s="80" t="str">
        <f>IF(AND(BE43=1,D43="Malcolm",E43&amp;""&lt;&gt;""),IF(COUNTIFS($D$5:D42,"Malcolm",$E$5:E42,E43,$BE$5:BE42,1)=0,MAX($CB$5:CB42)+1,""),"")</f>
        <v/>
      </c>
      <c r="CC43" s="80" t="str">
        <f>IF(AND(BD43=1,D43="proMX",E43&amp;""&lt;&gt;""),IF(COUNTIFS($D$5:D42,"proMX",$E$5:E42,E43,$BD$5:BD42,1)=0,MAX($CC$5:CC42)+1,""),"")</f>
        <v/>
      </c>
      <c r="CD43" s="80" t="str">
        <f>IF(AND(BE43=1,D43="Malcolm",F43&amp;""&lt;&gt;""),IF(COUNTIFS($D$5:D42,"Malcolm",$F$5:F42,F43,$BE$5:BE42,1)=0,MAX($CD$5:CD42)+1,""),"")</f>
        <v/>
      </c>
      <c r="CE43" s="80" t="str">
        <f>IF(AND(BD43=1,D43="proMX",F43&amp;""&lt;&gt;""),IF(COUNTIFS($D$5:D42,"proMX",$F$5:F42,F43,$BD$5:BD42,1)=0,MAX($CE$5:CE42)+1,""),"")</f>
        <v/>
      </c>
      <c r="CF43" s="80" t="str">
        <f>IF(AND(D43="proMX",BD43=1),IF(OR(BF43="Draft",BF43="Submitted",BF43="Returned",BF43="Recall Requested"),MAX($CF$5:CF42)+1,""),"")</f>
        <v/>
      </c>
      <c r="CG43" s="80">
        <f>IF(BD43=0,0,IF(D43="Malcolm",1,MATCH(BF43,{"Draft","Submitted","Approved","Returned","Recall Requested","Cancelled"},0)+1))</f>
        <v>0</v>
      </c>
      <c r="CH43" s="80">
        <f>IF(AND(BF43="Submitted",ISNUMBER(V43)),IF(V43&gt;CFG_MAXD,1,0),0)</f>
        <v>0</v>
      </c>
    </row>
    <row r="44">
      <c r="A44" s="71" t="str">
        <f>IF(Y44=1,ROW()-5,"")</f>
        <v/>
      </c>
      <c r="B44" s="72" t="n"/>
      <c r="C44" s="71" t="str">
        <f>IF(ISNUMBER(B44),CHOOSE(WEEKDAY(B44,2),"Lun","Mar","Mié","Jue","Vie","Sáb","Dom"),"")</f>
        <v/>
      </c>
      <c r="D44" s="73" t="n"/>
      <c r="E44" s="74" t="n"/>
      <c r="F44" s="74" t="n"/>
      <c r="G44" s="74" t="n"/>
      <c r="H44" s="75" t="n"/>
      <c r="I44" s="75" t="n"/>
      <c r="J44" s="76" t="n"/>
      <c r="K44" s="77" t="str">
        <f>IF(AB44=1,ROUND(AG44/60,4),"")</f>
        <v/>
      </c>
      <c r="L44" s="77" t="str">
        <f>IF(BD44=1,ROUND(AP44/60,4),"")</f>
        <v/>
      </c>
      <c r="M44" s="77" t="str">
        <f>IF(BD44=1,ROUND(AQ44/60,4),"")</f>
        <v/>
      </c>
      <c r="N44" s="71" t="str">
        <f>IF(AND(D44="proMX",AB44=1),ROUND(AG44/CFG_BLK,2),"")</f>
        <v/>
      </c>
      <c r="O44" s="77" t="str">
        <f>IF(D44="proMX",IF(BD44=1,ROUND(AG44/60,4),0),"")</f>
        <v/>
      </c>
      <c r="P44" s="78" t="str">
        <f>IF(Y44=0,"",IF(BD44=1,"OK",IF(D44="proMX","Revisar bloques: ","Revisar: ")&amp;BC44))</f>
        <v/>
      </c>
      <c r="Q44" s="78" t="str">
        <f>IF(NOT(ISNUMBER(B44)),"",IF(COUNTIFS(FER_F,INT(B44))&gt;0,"Feriado"&amp;IF(AH44=1," (laborable)"," (no laborable)"),IF(AH44=1,"Laborable",IF(WEEKDAY(B44,2)&gt;5,"Fin de semana","No laborable"))))</f>
        <v/>
      </c>
      <c r="R44" s="73" t="n"/>
      <c r="S44" s="72" t="n"/>
      <c r="T44" s="72" t="n"/>
      <c r="U44" s="74" t="n"/>
      <c r="V44" s="79" t="str">
        <f>IF(AND(D44="proMX",OR(R44="Submitted",R44="Recall Requested"),ISNUMBER(S44)),CFG_TODAY-INT(S44),"")</f>
        <v/>
      </c>
      <c r="W44" s="78" t="str">
        <f>IF(BD44=0,"",IF(BA44&gt;0,"⚠ Se superpone con un registro de la otra empresa",IF(D44="Malcolm",IF(COUNTA(R44,S44,T44)&gt;0,"Estado/fechas proMX se ignoran en Malcolm",""),IF(BF44="Cancelled","Cancelado: excluido de totales",IF(R44="","Sin estado: se trata como Draft",IF(BF44="Submitted",IF(ISNUMBER(V44),IF(V44&gt;CFG_MAXD,"⚠ "&amp;V44&amp;" días en Submitted (máx. "&amp;CFG_MAXD&amp;")",""),"Falta fecha de envío"),IF(BF44="Returned","⚠ Devuelto: corregir y reenviar",IF(BF44="Recall Requested","Retirada solicitada: pendiente",IF(AND(BF44="Approved",NOT(ISNUMBER(T44))),"Falta fecha de aprobación",IF(AND(ISNUMBER(S44),ISNUMBER(T44),T44&lt;S44),"Aprobación anterior al envío","")))))))))</f>
        <v/>
      </c>
      <c r="Y44" s="80">
        <f>IF(COUNTA(B44,D44,E44,F44,G44,H44,I44,J44,R44,S44,T44)&gt;0,1,0)</f>
        <v>0</v>
      </c>
      <c r="Z44" s="80" t="str">
        <f>IF(AND(ISNUMBER(H44),H44&gt;=0,H44&lt;1),ROUND(H44*1440,0),"")</f>
        <v/>
      </c>
      <c r="AA44" s="80" t="str">
        <f>IF(AND(ISNUMBER(I44),I44&gt;=0,I44&lt;1),ROUND(I44*1440,0),"")</f>
        <v/>
      </c>
      <c r="AB44" s="80">
        <f>IF(AND(ISNUMBER(B44),D44&lt;&gt;"",ISNUMBER(Z44),ISNUMBER(AA44)),IF(Z44=AA44,0,1),0)</f>
        <v>0</v>
      </c>
      <c r="AC44" s="80">
        <f>IF(AB44=1,IF(AA44&lt;Z44,1,0),0)</f>
        <v>0</v>
      </c>
      <c r="AD44" s="80">
        <f>IF(AB44=1,IF(AC44=1,1440-Z44+AA44,AA44-Z44),0)</f>
        <v>0</v>
      </c>
      <c r="AE44" s="80">
        <f>IF(J44="",0,IF(ISNUMBER(J44),J44,-1))</f>
        <v>0</v>
      </c>
      <c r="AF44" s="80">
        <f>MIN(MAX(0,AE44),AD44)</f>
        <v>0</v>
      </c>
      <c r="AG44" s="80">
        <f>MAX(0,AD44-MAX(0,AE44))</f>
        <v>0</v>
      </c>
      <c r="AH44" s="80">
        <f>IF(ISNUMBER(B44),IF(AND(INDEX(CFG_WDAYS,WEEKDAY(INT(B44),2))="Sí",IF(D44="proMX",COUNTIFS(FER_F,INT(B44),FER_NLP,"Sí"),COUNTIFS(FER_F,INT(B44),FER_NLM,"Sí"))=0),1,0),0)</f>
        <v>0</v>
      </c>
      <c r="AI44" s="80">
        <f>IF(AC44=1,IF(AND(INDEX(CFG_WDAYS,WEEKDAY(INT(B44)+1,2))="Sí",IF(D44="proMX",COUNTIFS(FER_F,INT(B44)+1,FER_NLP,"Sí"),COUNTIFS(FER_F,INT(B44)+1,FER_NLM,"Sí"))=0),1,0),0)</f>
        <v>0</v>
      </c>
      <c r="AJ44" s="80">
        <f>IF(AC44=1,1440-Z44,AD44)</f>
        <v>0</v>
      </c>
      <c r="AK44" s="80">
        <f>IF(AND(AB44=1,AH44=1),MAX(0,MIN(IF(AC44=1,1440,AA44),CFG_WEM)-MAX(Z44,CFG_WSM)),0)</f>
        <v>0</v>
      </c>
      <c r="AL44" s="80">
        <f>IF(AND(AC44=1,AI44=1),MAX(0,MIN(AA44,CFG_WEM)-CFG_WSM),0)</f>
        <v>0</v>
      </c>
      <c r="AM44" s="80">
        <f>AK44+AL44</f>
        <v>0</v>
      </c>
      <c r="AN44" s="80">
        <f>IF(CFG_BRK="Proporcional",IF(AD44=0,0,AF44*AM44/AD44),IF(CFG_BRK="Extras primero",MIN(AM44,MAX(0,AF44-(AD44-AM44))),MIN(AF44,AM44)))</f>
        <v>0</v>
      </c>
      <c r="AO44" s="80">
        <f>AF44-AN44</f>
        <v>0</v>
      </c>
      <c r="AP44" s="80">
        <f>AM44-AN44</f>
        <v>0</v>
      </c>
      <c r="AQ44" s="80">
        <f>AD44-AM44-AO44</f>
        <v>0</v>
      </c>
      <c r="AR44" s="80">
        <f>IF(AM44=0,0,AK44-AN44*AK44/AM44)</f>
        <v>0</v>
      </c>
      <c r="AS44" s="80">
        <f>IF(AD44-AM44=0,0,(AJ44-AK44)-AO44*(AJ44-AK44)/(AD44-AM44))</f>
        <v>0</v>
      </c>
      <c r="AT44" s="80" t="str">
        <f>IF(AC44=1,INT(B44)+1,"")</f>
        <v/>
      </c>
      <c r="AU44" s="80">
        <f>IF(AND(D44="proMX",R44="Cancelled"),0,1)</f>
        <v>1</v>
      </c>
      <c r="AV44" s="80">
        <f>IF(AND(AB44=1,AU44=1),IF(COUNTIFS($D$5:D43,D44,$B$5:B43,B44,$Z$5:Z43,Z44,$AA$5:AA43,AA44,$F$5:F43,F44&amp;"",$AU$5:AU43,1)&gt;0,1,0),0)</f>
        <v>0</v>
      </c>
      <c r="AW44" s="80" t="str">
        <f>IF(AB44=1,INT(B44)*1440+Z44,"")</f>
        <v/>
      </c>
      <c r="AX44" s="80" t="str">
        <f>IF(AB44=1,AW44+AD44,"")</f>
        <v/>
      </c>
      <c r="AY44" s="80">
        <f>IF(AND(AB44=1,AV44=0,AU44=1),1,0)</f>
        <v>0</v>
      </c>
      <c r="AZ44" s="80">
        <f>IF(AY44=1,COUNTIFS(R_Emp,D44,R_SAbs,"&lt;"&amp;AX44,R_EAbs,"&gt;"&amp;AW44,R_OKey,1)-1,0)</f>
        <v>0</v>
      </c>
      <c r="BA44" s="80">
        <f>IF(AY44=1,COUNTIFS(R_Emp,"&lt;&gt;"&amp;D44,R_SAbs,"&lt;"&amp;AX44,R_EAbs,"&gt;"&amp;AW44,R_OKey,1),0)</f>
        <v>0</v>
      </c>
      <c r="BB44" s="80">
        <f>IF(AND(AB44=1,D44="proMX"),IF(AND(MOD(Z44,CFG_BLK)=0,MOD(AA44,CFG_BLK)=0,MOD(AG44,CFG_BLK)=0,AG44&gt;0),1,0),1)</f>
        <v>1</v>
      </c>
      <c r="BC44" s="80" t="str">
        <f>IF(Y44=0,"",IF(NOT(ISNUMBER(B44)),"Falta fecha o fecha inválida",IF(D44="","Falta empresa",IF(AND(D44&lt;&gt;"Malcolm",D44&lt;&gt;"proMX"),"Empresa inválida",IF(OR(INT(B44)&lt;CFG_PSTART,INT(B44)&gt;CFG_PEND),"Fecha fuera del período",IF(OR(NOT(ISNUMBER(Z44)),NOT(ISNUMBER(AA44))),"Falta hora inicio/fin o formato inválido",IF(AB44=0,"Hora inicio = hora fin",IF(AE44&lt;0,"Descanso inválido",IF(AE44&gt;=AD44,"Descanso ≥ duración",IF(AV44=1,"Registro duplicado",IF(AZ44&gt;0,"Se superpone con otro registro "&amp;D44,IF(BB44=0,"inicio, fin y duración neta deben ser múltiplos de "&amp;CFG_BLK&amp;" min",""))))))))))))</f>
        <v/>
      </c>
      <c r="BD44" s="80">
        <f>IF(AND(Y44=1,BC44=""),1,0)</f>
        <v>0</v>
      </c>
      <c r="BE44" s="80">
        <f>IF(AND(BD44=1,AU44=1),1,0)</f>
        <v>0</v>
      </c>
      <c r="BF44" s="80" t="str">
        <f>IF(AND(D44="proMX",BD44=1),IF(R44="","Draft",R44),"")</f>
        <v/>
      </c>
      <c r="BG44" s="80">
        <f>IF(BD44=1,ROUND(AG44/60,6),0)</f>
        <v>0</v>
      </c>
      <c r="BH44" s="80">
        <f>IF(BE44=1,ROUND(AG44/60,6),0)</f>
        <v>0</v>
      </c>
      <c r="BI44" s="80">
        <f>IF(BE44=1,ROUND(AP44/60,6),0)</f>
        <v>0</v>
      </c>
      <c r="BJ44" s="80">
        <f>IF(BE44=1,ROUND(AQ44/60,6),0)</f>
        <v>0</v>
      </c>
      <c r="BK44" s="80">
        <f>IF(BE44=1,ROUND((AR44+AS44)/60,6),0)</f>
        <v>0</v>
      </c>
      <c r="BL44" s="80">
        <f>ROUND(BH44-BK44,6)</f>
        <v>0</v>
      </c>
      <c r="BM44" s="80">
        <f>IF(BE44=1,ROUND(AR44/60,6),0)</f>
        <v>0</v>
      </c>
      <c r="BN44" s="80">
        <f>ROUND(BI44-BM44,6)</f>
        <v>0</v>
      </c>
      <c r="BO44" s="80">
        <f>IF(BE44=1,ROUND(AS44/60,6),0)</f>
        <v>0</v>
      </c>
      <c r="BP44" s="80">
        <f>ROUND(BJ44-BO44,6)</f>
        <v>0</v>
      </c>
      <c r="BQ44" s="80">
        <f>IF(BE44=1,AW44,0)</f>
        <v>0</v>
      </c>
      <c r="BR44" s="80">
        <f>IF(BE44=1,AX44,0)</f>
        <v>0</v>
      </c>
      <c r="BS44" s="80">
        <f>IF(AND(BE44=1,D44="Malcolm",BA44&gt;0),MIN(BH44,SUMPRODUCT((R_Emp="proMX")*(R_EN&gt;0)*((R_EN-(R_EN&gt;BR44)*(R_EN-BR44))&gt;(R_SN+(R_SN&lt;BQ44)*(BQ44-R_SN)))*((R_EN-(R_EN&gt;BR44)*(R_EN-BR44))-(R_SN+(R_SN&lt;BQ44)*(BQ44-R_SN))))/60),0)</f>
        <v>0</v>
      </c>
      <c r="BT44" s="80">
        <f>IF(AND(BE44=1,D44="proMX"),ROUND(BI44*CFG_RATE+BJ44*CFG_OTRATE,6),0)</f>
        <v>0</v>
      </c>
      <c r="BU44" s="80">
        <f>IF(AND(BD44=1,D44="proMX"),ROUND(AG44/CFG_BLK,6),0)</f>
        <v>0</v>
      </c>
      <c r="BV44" s="80" t="str">
        <f>IF(BF44="Approved",IF(ISNUMBER(T44),INT(T44),INT(B44)),"")</f>
        <v/>
      </c>
      <c r="BW44" s="80">
        <f>IF(ISNUMBER(B44),IF(DB_MON="Todos",1,IF(AND(INT(B44)&gt;=DB_MS,INT(B44)&lt;=DB_ME),1,0)),0)</f>
        <v>0</v>
      </c>
      <c r="BX44" s="80">
        <f>IF(DB_PROJ="Todos",1,IF(E44&amp;""=DB_PROJ&amp;"",1,0))</f>
        <v>1</v>
      </c>
      <c r="BY44" s="80">
        <f>BW44*BX44</f>
        <v>0</v>
      </c>
      <c r="BZ44" s="80" t="str">
        <f>IF(Y44=1,F44&amp;IF(AND(F44&amp;""&lt;&gt;"",E44&amp;""&lt;&gt;"")," · ","")&amp;E44,"")</f>
        <v/>
      </c>
      <c r="CA44" s="80" t="str">
        <f>IF(AND(BD44=1,E44&amp;""&lt;&gt;""),IF(COUNTIFS($E$5:E43,E44,$BD$5:BD43,1)=0,MAX($CA$5:CA43)+1,""),"")</f>
        <v/>
      </c>
      <c r="CB44" s="80" t="str">
        <f>IF(AND(BE44=1,D44="Malcolm",E44&amp;""&lt;&gt;""),IF(COUNTIFS($D$5:D43,"Malcolm",$E$5:E43,E44,$BE$5:BE43,1)=0,MAX($CB$5:CB43)+1,""),"")</f>
        <v/>
      </c>
      <c r="CC44" s="80" t="str">
        <f>IF(AND(BD44=1,D44="proMX",E44&amp;""&lt;&gt;""),IF(COUNTIFS($D$5:D43,"proMX",$E$5:E43,E44,$BD$5:BD43,1)=0,MAX($CC$5:CC43)+1,""),"")</f>
        <v/>
      </c>
      <c r="CD44" s="80" t="str">
        <f>IF(AND(BE44=1,D44="Malcolm",F44&amp;""&lt;&gt;""),IF(COUNTIFS($D$5:D43,"Malcolm",$F$5:F43,F44,$BE$5:BE43,1)=0,MAX($CD$5:CD43)+1,""),"")</f>
        <v/>
      </c>
      <c r="CE44" s="80" t="str">
        <f>IF(AND(BD44=1,D44="proMX",F44&amp;""&lt;&gt;""),IF(COUNTIFS($D$5:D43,"proMX",$F$5:F43,F44,$BD$5:BD43,1)=0,MAX($CE$5:CE43)+1,""),"")</f>
        <v/>
      </c>
      <c r="CF44" s="80" t="str">
        <f>IF(AND(D44="proMX",BD44=1),IF(OR(BF44="Draft",BF44="Submitted",BF44="Returned",BF44="Recall Requested"),MAX($CF$5:CF43)+1,""),"")</f>
        <v/>
      </c>
      <c r="CG44" s="80">
        <f>IF(BD44=0,0,IF(D44="Malcolm",1,MATCH(BF44,{"Draft","Submitted","Approved","Returned","Recall Requested","Cancelled"},0)+1))</f>
        <v>0</v>
      </c>
      <c r="CH44" s="80">
        <f>IF(AND(BF44="Submitted",ISNUMBER(V44)),IF(V44&gt;CFG_MAXD,1,0),0)</f>
        <v>0</v>
      </c>
    </row>
    <row r="45">
      <c r="A45" s="71" t="str">
        <f>IF(Y45=1,ROW()-5,"")</f>
        <v/>
      </c>
      <c r="B45" s="72" t="n"/>
      <c r="C45" s="71" t="str">
        <f>IF(ISNUMBER(B45),CHOOSE(WEEKDAY(B45,2),"Lun","Mar","Mié","Jue","Vie","Sáb","Dom"),"")</f>
        <v/>
      </c>
      <c r="D45" s="73" t="n"/>
      <c r="E45" s="74" t="n"/>
      <c r="F45" s="74" t="n"/>
      <c r="G45" s="74" t="n"/>
      <c r="H45" s="75" t="n"/>
      <c r="I45" s="75" t="n"/>
      <c r="J45" s="76" t="n"/>
      <c r="K45" s="77" t="str">
        <f>IF(AB45=1,ROUND(AG45/60,4),"")</f>
        <v/>
      </c>
      <c r="L45" s="77" t="str">
        <f>IF(BD45=1,ROUND(AP45/60,4),"")</f>
        <v/>
      </c>
      <c r="M45" s="77" t="str">
        <f>IF(BD45=1,ROUND(AQ45/60,4),"")</f>
        <v/>
      </c>
      <c r="N45" s="71" t="str">
        <f>IF(AND(D45="proMX",AB45=1),ROUND(AG45/CFG_BLK,2),"")</f>
        <v/>
      </c>
      <c r="O45" s="77" t="str">
        <f>IF(D45="proMX",IF(BD45=1,ROUND(AG45/60,4),0),"")</f>
        <v/>
      </c>
      <c r="P45" s="78" t="str">
        <f>IF(Y45=0,"",IF(BD45=1,"OK",IF(D45="proMX","Revisar bloques: ","Revisar: ")&amp;BC45))</f>
        <v/>
      </c>
      <c r="Q45" s="78" t="str">
        <f>IF(NOT(ISNUMBER(B45)),"",IF(COUNTIFS(FER_F,INT(B45))&gt;0,"Feriado"&amp;IF(AH45=1," (laborable)"," (no laborable)"),IF(AH45=1,"Laborable",IF(WEEKDAY(B45,2)&gt;5,"Fin de semana","No laborable"))))</f>
        <v/>
      </c>
      <c r="R45" s="73" t="n"/>
      <c r="S45" s="72" t="n"/>
      <c r="T45" s="72" t="n"/>
      <c r="U45" s="74" t="n"/>
      <c r="V45" s="79" t="str">
        <f>IF(AND(D45="proMX",OR(R45="Submitted",R45="Recall Requested"),ISNUMBER(S45)),CFG_TODAY-INT(S45),"")</f>
        <v/>
      </c>
      <c r="W45" s="78" t="str">
        <f>IF(BD45=0,"",IF(BA45&gt;0,"⚠ Se superpone con un registro de la otra empresa",IF(D45="Malcolm",IF(COUNTA(R45,S45,T45)&gt;0,"Estado/fechas proMX se ignoran en Malcolm",""),IF(BF45="Cancelled","Cancelado: excluido de totales",IF(R45="","Sin estado: se trata como Draft",IF(BF45="Submitted",IF(ISNUMBER(V45),IF(V45&gt;CFG_MAXD,"⚠ "&amp;V45&amp;" días en Submitted (máx. "&amp;CFG_MAXD&amp;")",""),"Falta fecha de envío"),IF(BF45="Returned","⚠ Devuelto: corregir y reenviar",IF(BF45="Recall Requested","Retirada solicitada: pendiente",IF(AND(BF45="Approved",NOT(ISNUMBER(T45))),"Falta fecha de aprobación",IF(AND(ISNUMBER(S45),ISNUMBER(T45),T45&lt;S45),"Aprobación anterior al envío","")))))))))</f>
        <v/>
      </c>
      <c r="Y45" s="80">
        <f>IF(COUNTA(B45,D45,E45,F45,G45,H45,I45,J45,R45,S45,T45)&gt;0,1,0)</f>
        <v>0</v>
      </c>
      <c r="Z45" s="80" t="str">
        <f>IF(AND(ISNUMBER(H45),H45&gt;=0,H45&lt;1),ROUND(H45*1440,0),"")</f>
        <v/>
      </c>
      <c r="AA45" s="80" t="str">
        <f>IF(AND(ISNUMBER(I45),I45&gt;=0,I45&lt;1),ROUND(I45*1440,0),"")</f>
        <v/>
      </c>
      <c r="AB45" s="80">
        <f>IF(AND(ISNUMBER(B45),D45&lt;&gt;"",ISNUMBER(Z45),ISNUMBER(AA45)),IF(Z45=AA45,0,1),0)</f>
        <v>0</v>
      </c>
      <c r="AC45" s="80">
        <f>IF(AB45=1,IF(AA45&lt;Z45,1,0),0)</f>
        <v>0</v>
      </c>
      <c r="AD45" s="80">
        <f>IF(AB45=1,IF(AC45=1,1440-Z45+AA45,AA45-Z45),0)</f>
        <v>0</v>
      </c>
      <c r="AE45" s="80">
        <f>IF(J45="",0,IF(ISNUMBER(J45),J45,-1))</f>
        <v>0</v>
      </c>
      <c r="AF45" s="80">
        <f>MIN(MAX(0,AE45),AD45)</f>
        <v>0</v>
      </c>
      <c r="AG45" s="80">
        <f>MAX(0,AD45-MAX(0,AE45))</f>
        <v>0</v>
      </c>
      <c r="AH45" s="80">
        <f>IF(ISNUMBER(B45),IF(AND(INDEX(CFG_WDAYS,WEEKDAY(INT(B45),2))="Sí",IF(D45="proMX",COUNTIFS(FER_F,INT(B45),FER_NLP,"Sí"),COUNTIFS(FER_F,INT(B45),FER_NLM,"Sí"))=0),1,0),0)</f>
        <v>0</v>
      </c>
      <c r="AI45" s="80">
        <f>IF(AC45=1,IF(AND(INDEX(CFG_WDAYS,WEEKDAY(INT(B45)+1,2))="Sí",IF(D45="proMX",COUNTIFS(FER_F,INT(B45)+1,FER_NLP,"Sí"),COUNTIFS(FER_F,INT(B45)+1,FER_NLM,"Sí"))=0),1,0),0)</f>
        <v>0</v>
      </c>
      <c r="AJ45" s="80">
        <f>IF(AC45=1,1440-Z45,AD45)</f>
        <v>0</v>
      </c>
      <c r="AK45" s="80">
        <f>IF(AND(AB45=1,AH45=1),MAX(0,MIN(IF(AC45=1,1440,AA45),CFG_WEM)-MAX(Z45,CFG_WSM)),0)</f>
        <v>0</v>
      </c>
      <c r="AL45" s="80">
        <f>IF(AND(AC45=1,AI45=1),MAX(0,MIN(AA45,CFG_WEM)-CFG_WSM),0)</f>
        <v>0</v>
      </c>
      <c r="AM45" s="80">
        <f>AK45+AL45</f>
        <v>0</v>
      </c>
      <c r="AN45" s="80">
        <f>IF(CFG_BRK="Proporcional",IF(AD45=0,0,AF45*AM45/AD45),IF(CFG_BRK="Extras primero",MIN(AM45,MAX(0,AF45-(AD45-AM45))),MIN(AF45,AM45)))</f>
        <v>0</v>
      </c>
      <c r="AO45" s="80">
        <f>AF45-AN45</f>
        <v>0</v>
      </c>
      <c r="AP45" s="80">
        <f>AM45-AN45</f>
        <v>0</v>
      </c>
      <c r="AQ45" s="80">
        <f>AD45-AM45-AO45</f>
        <v>0</v>
      </c>
      <c r="AR45" s="80">
        <f>IF(AM45=0,0,AK45-AN45*AK45/AM45)</f>
        <v>0</v>
      </c>
      <c r="AS45" s="80">
        <f>IF(AD45-AM45=0,0,(AJ45-AK45)-AO45*(AJ45-AK45)/(AD45-AM45))</f>
        <v>0</v>
      </c>
      <c r="AT45" s="80" t="str">
        <f>IF(AC45=1,INT(B45)+1,"")</f>
        <v/>
      </c>
      <c r="AU45" s="80">
        <f>IF(AND(D45="proMX",R45="Cancelled"),0,1)</f>
        <v>1</v>
      </c>
      <c r="AV45" s="80">
        <f>IF(AND(AB45=1,AU45=1),IF(COUNTIFS($D$5:D44,D45,$B$5:B44,B45,$Z$5:Z44,Z45,$AA$5:AA44,AA45,$F$5:F44,F45&amp;"",$AU$5:AU44,1)&gt;0,1,0),0)</f>
        <v>0</v>
      </c>
      <c r="AW45" s="80" t="str">
        <f>IF(AB45=1,INT(B45)*1440+Z45,"")</f>
        <v/>
      </c>
      <c r="AX45" s="80" t="str">
        <f>IF(AB45=1,AW45+AD45,"")</f>
        <v/>
      </c>
      <c r="AY45" s="80">
        <f>IF(AND(AB45=1,AV45=0,AU45=1),1,0)</f>
        <v>0</v>
      </c>
      <c r="AZ45" s="80">
        <f>IF(AY45=1,COUNTIFS(R_Emp,D45,R_SAbs,"&lt;"&amp;AX45,R_EAbs,"&gt;"&amp;AW45,R_OKey,1)-1,0)</f>
        <v>0</v>
      </c>
      <c r="BA45" s="80">
        <f>IF(AY45=1,COUNTIFS(R_Emp,"&lt;&gt;"&amp;D45,R_SAbs,"&lt;"&amp;AX45,R_EAbs,"&gt;"&amp;AW45,R_OKey,1),0)</f>
        <v>0</v>
      </c>
      <c r="BB45" s="80">
        <f>IF(AND(AB45=1,D45="proMX"),IF(AND(MOD(Z45,CFG_BLK)=0,MOD(AA45,CFG_BLK)=0,MOD(AG45,CFG_BLK)=0,AG45&gt;0),1,0),1)</f>
        <v>1</v>
      </c>
      <c r="BC45" s="80" t="str">
        <f>IF(Y45=0,"",IF(NOT(ISNUMBER(B45)),"Falta fecha o fecha inválida",IF(D45="","Falta empresa",IF(AND(D45&lt;&gt;"Malcolm",D45&lt;&gt;"proMX"),"Empresa inválida",IF(OR(INT(B45)&lt;CFG_PSTART,INT(B45)&gt;CFG_PEND),"Fecha fuera del período",IF(OR(NOT(ISNUMBER(Z45)),NOT(ISNUMBER(AA45))),"Falta hora inicio/fin o formato inválido",IF(AB45=0,"Hora inicio = hora fin",IF(AE45&lt;0,"Descanso inválido",IF(AE45&gt;=AD45,"Descanso ≥ duración",IF(AV45=1,"Registro duplicado",IF(AZ45&gt;0,"Se superpone con otro registro "&amp;D45,IF(BB45=0,"inicio, fin y duración neta deben ser múltiplos de "&amp;CFG_BLK&amp;" min",""))))))))))))</f>
        <v/>
      </c>
      <c r="BD45" s="80">
        <f>IF(AND(Y45=1,BC45=""),1,0)</f>
        <v>0</v>
      </c>
      <c r="BE45" s="80">
        <f>IF(AND(BD45=1,AU45=1),1,0)</f>
        <v>0</v>
      </c>
      <c r="BF45" s="80" t="str">
        <f>IF(AND(D45="proMX",BD45=1),IF(R45="","Draft",R45),"")</f>
        <v/>
      </c>
      <c r="BG45" s="80">
        <f>IF(BD45=1,ROUND(AG45/60,6),0)</f>
        <v>0</v>
      </c>
      <c r="BH45" s="80">
        <f>IF(BE45=1,ROUND(AG45/60,6),0)</f>
        <v>0</v>
      </c>
      <c r="BI45" s="80">
        <f>IF(BE45=1,ROUND(AP45/60,6),0)</f>
        <v>0</v>
      </c>
      <c r="BJ45" s="80">
        <f>IF(BE45=1,ROUND(AQ45/60,6),0)</f>
        <v>0</v>
      </c>
      <c r="BK45" s="80">
        <f>IF(BE45=1,ROUND((AR45+AS45)/60,6),0)</f>
        <v>0</v>
      </c>
      <c r="BL45" s="80">
        <f>ROUND(BH45-BK45,6)</f>
        <v>0</v>
      </c>
      <c r="BM45" s="80">
        <f>IF(BE45=1,ROUND(AR45/60,6),0)</f>
        <v>0</v>
      </c>
      <c r="BN45" s="80">
        <f>ROUND(BI45-BM45,6)</f>
        <v>0</v>
      </c>
      <c r="BO45" s="80">
        <f>IF(BE45=1,ROUND(AS45/60,6),0)</f>
        <v>0</v>
      </c>
      <c r="BP45" s="80">
        <f>ROUND(BJ45-BO45,6)</f>
        <v>0</v>
      </c>
      <c r="BQ45" s="80">
        <f>IF(BE45=1,AW45,0)</f>
        <v>0</v>
      </c>
      <c r="BR45" s="80">
        <f>IF(BE45=1,AX45,0)</f>
        <v>0</v>
      </c>
      <c r="BS45" s="80">
        <f>IF(AND(BE45=1,D45="Malcolm",BA45&gt;0),MIN(BH45,SUMPRODUCT((R_Emp="proMX")*(R_EN&gt;0)*((R_EN-(R_EN&gt;BR45)*(R_EN-BR45))&gt;(R_SN+(R_SN&lt;BQ45)*(BQ45-R_SN)))*((R_EN-(R_EN&gt;BR45)*(R_EN-BR45))-(R_SN+(R_SN&lt;BQ45)*(BQ45-R_SN))))/60),0)</f>
        <v>0</v>
      </c>
      <c r="BT45" s="80">
        <f>IF(AND(BE45=1,D45="proMX"),ROUND(BI45*CFG_RATE+BJ45*CFG_OTRATE,6),0)</f>
        <v>0</v>
      </c>
      <c r="BU45" s="80">
        <f>IF(AND(BD45=1,D45="proMX"),ROUND(AG45/CFG_BLK,6),0)</f>
        <v>0</v>
      </c>
      <c r="BV45" s="80" t="str">
        <f>IF(BF45="Approved",IF(ISNUMBER(T45),INT(T45),INT(B45)),"")</f>
        <v/>
      </c>
      <c r="BW45" s="80">
        <f>IF(ISNUMBER(B45),IF(DB_MON="Todos",1,IF(AND(INT(B45)&gt;=DB_MS,INT(B45)&lt;=DB_ME),1,0)),0)</f>
        <v>0</v>
      </c>
      <c r="BX45" s="80">
        <f>IF(DB_PROJ="Todos",1,IF(E45&amp;""=DB_PROJ&amp;"",1,0))</f>
        <v>1</v>
      </c>
      <c r="BY45" s="80">
        <f>BW45*BX45</f>
        <v>0</v>
      </c>
      <c r="BZ45" s="80" t="str">
        <f>IF(Y45=1,F45&amp;IF(AND(F45&amp;""&lt;&gt;"",E45&amp;""&lt;&gt;"")," · ","")&amp;E45,"")</f>
        <v/>
      </c>
      <c r="CA45" s="80" t="str">
        <f>IF(AND(BD45=1,E45&amp;""&lt;&gt;""),IF(COUNTIFS($E$5:E44,E45,$BD$5:BD44,1)=0,MAX($CA$5:CA44)+1,""),"")</f>
        <v/>
      </c>
      <c r="CB45" s="80" t="str">
        <f>IF(AND(BE45=1,D45="Malcolm",E45&amp;""&lt;&gt;""),IF(COUNTIFS($D$5:D44,"Malcolm",$E$5:E44,E45,$BE$5:BE44,1)=0,MAX($CB$5:CB44)+1,""),"")</f>
        <v/>
      </c>
      <c r="CC45" s="80" t="str">
        <f>IF(AND(BD45=1,D45="proMX",E45&amp;""&lt;&gt;""),IF(COUNTIFS($D$5:D44,"proMX",$E$5:E44,E45,$BD$5:BD44,1)=0,MAX($CC$5:CC44)+1,""),"")</f>
        <v/>
      </c>
      <c r="CD45" s="80" t="str">
        <f>IF(AND(BE45=1,D45="Malcolm",F45&amp;""&lt;&gt;""),IF(COUNTIFS($D$5:D44,"Malcolm",$F$5:F44,F45,$BE$5:BE44,1)=0,MAX($CD$5:CD44)+1,""),"")</f>
        <v/>
      </c>
      <c r="CE45" s="80" t="str">
        <f>IF(AND(BD45=1,D45="proMX",F45&amp;""&lt;&gt;""),IF(COUNTIFS($D$5:D44,"proMX",$F$5:F44,F45,$BD$5:BD44,1)=0,MAX($CE$5:CE44)+1,""),"")</f>
        <v/>
      </c>
      <c r="CF45" s="80" t="str">
        <f>IF(AND(D45="proMX",BD45=1),IF(OR(BF45="Draft",BF45="Submitted",BF45="Returned",BF45="Recall Requested"),MAX($CF$5:CF44)+1,""),"")</f>
        <v/>
      </c>
      <c r="CG45" s="80">
        <f>IF(BD45=0,0,IF(D45="Malcolm",1,MATCH(BF45,{"Draft","Submitted","Approved","Returned","Recall Requested","Cancelled"},0)+1))</f>
        <v>0</v>
      </c>
      <c r="CH45" s="80">
        <f>IF(AND(BF45="Submitted",ISNUMBER(V45)),IF(V45&gt;CFG_MAXD,1,0),0)</f>
        <v>0</v>
      </c>
    </row>
    <row r="46">
      <c r="A46" s="71" t="str">
        <f>IF(Y46=1,ROW()-5,"")</f>
        <v/>
      </c>
      <c r="B46" s="72" t="n"/>
      <c r="C46" s="71" t="str">
        <f>IF(ISNUMBER(B46),CHOOSE(WEEKDAY(B46,2),"Lun","Mar","Mié","Jue","Vie","Sáb","Dom"),"")</f>
        <v/>
      </c>
      <c r="D46" s="73" t="n"/>
      <c r="E46" s="74" t="n"/>
      <c r="F46" s="74" t="n"/>
      <c r="G46" s="74" t="n"/>
      <c r="H46" s="75" t="n"/>
      <c r="I46" s="75" t="n"/>
      <c r="J46" s="76" t="n"/>
      <c r="K46" s="77" t="str">
        <f>IF(AB46=1,ROUND(AG46/60,4),"")</f>
        <v/>
      </c>
      <c r="L46" s="77" t="str">
        <f>IF(BD46=1,ROUND(AP46/60,4),"")</f>
        <v/>
      </c>
      <c r="M46" s="77" t="str">
        <f>IF(BD46=1,ROUND(AQ46/60,4),"")</f>
        <v/>
      </c>
      <c r="N46" s="71" t="str">
        <f>IF(AND(D46="proMX",AB46=1),ROUND(AG46/CFG_BLK,2),"")</f>
        <v/>
      </c>
      <c r="O46" s="77" t="str">
        <f>IF(D46="proMX",IF(BD46=1,ROUND(AG46/60,4),0),"")</f>
        <v/>
      </c>
      <c r="P46" s="78" t="str">
        <f>IF(Y46=0,"",IF(BD46=1,"OK",IF(D46="proMX","Revisar bloques: ","Revisar: ")&amp;BC46))</f>
        <v/>
      </c>
      <c r="Q46" s="78" t="str">
        <f>IF(NOT(ISNUMBER(B46)),"",IF(COUNTIFS(FER_F,INT(B46))&gt;0,"Feriado"&amp;IF(AH46=1," (laborable)"," (no laborable)"),IF(AH46=1,"Laborable",IF(WEEKDAY(B46,2)&gt;5,"Fin de semana","No laborable"))))</f>
        <v/>
      </c>
      <c r="R46" s="73" t="n"/>
      <c r="S46" s="72" t="n"/>
      <c r="T46" s="72" t="n"/>
      <c r="U46" s="74" t="n"/>
      <c r="V46" s="79" t="str">
        <f>IF(AND(D46="proMX",OR(R46="Submitted",R46="Recall Requested"),ISNUMBER(S46)),CFG_TODAY-INT(S46),"")</f>
        <v/>
      </c>
      <c r="W46" s="78" t="str">
        <f>IF(BD46=0,"",IF(BA46&gt;0,"⚠ Se superpone con un registro de la otra empresa",IF(D46="Malcolm",IF(COUNTA(R46,S46,T46)&gt;0,"Estado/fechas proMX se ignoran en Malcolm",""),IF(BF46="Cancelled","Cancelado: excluido de totales",IF(R46="","Sin estado: se trata como Draft",IF(BF46="Submitted",IF(ISNUMBER(V46),IF(V46&gt;CFG_MAXD,"⚠ "&amp;V46&amp;" días en Submitted (máx. "&amp;CFG_MAXD&amp;")",""),"Falta fecha de envío"),IF(BF46="Returned","⚠ Devuelto: corregir y reenviar",IF(BF46="Recall Requested","Retirada solicitada: pendiente",IF(AND(BF46="Approved",NOT(ISNUMBER(T46))),"Falta fecha de aprobación",IF(AND(ISNUMBER(S46),ISNUMBER(T46),T46&lt;S46),"Aprobación anterior al envío","")))))))))</f>
        <v/>
      </c>
      <c r="Y46" s="80">
        <f>IF(COUNTA(B46,D46,E46,F46,G46,H46,I46,J46,R46,S46,T46)&gt;0,1,0)</f>
        <v>0</v>
      </c>
      <c r="Z46" s="80" t="str">
        <f>IF(AND(ISNUMBER(H46),H46&gt;=0,H46&lt;1),ROUND(H46*1440,0),"")</f>
        <v/>
      </c>
      <c r="AA46" s="80" t="str">
        <f>IF(AND(ISNUMBER(I46),I46&gt;=0,I46&lt;1),ROUND(I46*1440,0),"")</f>
        <v/>
      </c>
      <c r="AB46" s="80">
        <f>IF(AND(ISNUMBER(B46),D46&lt;&gt;"",ISNUMBER(Z46),ISNUMBER(AA46)),IF(Z46=AA46,0,1),0)</f>
        <v>0</v>
      </c>
      <c r="AC46" s="80">
        <f>IF(AB46=1,IF(AA46&lt;Z46,1,0),0)</f>
        <v>0</v>
      </c>
      <c r="AD46" s="80">
        <f>IF(AB46=1,IF(AC46=1,1440-Z46+AA46,AA46-Z46),0)</f>
        <v>0</v>
      </c>
      <c r="AE46" s="80">
        <f>IF(J46="",0,IF(ISNUMBER(J46),J46,-1))</f>
        <v>0</v>
      </c>
      <c r="AF46" s="80">
        <f>MIN(MAX(0,AE46),AD46)</f>
        <v>0</v>
      </c>
      <c r="AG46" s="80">
        <f>MAX(0,AD46-MAX(0,AE46))</f>
        <v>0</v>
      </c>
      <c r="AH46" s="80">
        <f>IF(ISNUMBER(B46),IF(AND(INDEX(CFG_WDAYS,WEEKDAY(INT(B46),2))="Sí",IF(D46="proMX",COUNTIFS(FER_F,INT(B46),FER_NLP,"Sí"),COUNTIFS(FER_F,INT(B46),FER_NLM,"Sí"))=0),1,0),0)</f>
        <v>0</v>
      </c>
      <c r="AI46" s="80">
        <f>IF(AC46=1,IF(AND(INDEX(CFG_WDAYS,WEEKDAY(INT(B46)+1,2))="Sí",IF(D46="proMX",COUNTIFS(FER_F,INT(B46)+1,FER_NLP,"Sí"),COUNTIFS(FER_F,INT(B46)+1,FER_NLM,"Sí"))=0),1,0),0)</f>
        <v>0</v>
      </c>
      <c r="AJ46" s="80">
        <f>IF(AC46=1,1440-Z46,AD46)</f>
        <v>0</v>
      </c>
      <c r="AK46" s="80">
        <f>IF(AND(AB46=1,AH46=1),MAX(0,MIN(IF(AC46=1,1440,AA46),CFG_WEM)-MAX(Z46,CFG_WSM)),0)</f>
        <v>0</v>
      </c>
      <c r="AL46" s="80">
        <f>IF(AND(AC46=1,AI46=1),MAX(0,MIN(AA46,CFG_WEM)-CFG_WSM),0)</f>
        <v>0</v>
      </c>
      <c r="AM46" s="80">
        <f>AK46+AL46</f>
        <v>0</v>
      </c>
      <c r="AN46" s="80">
        <f>IF(CFG_BRK="Proporcional",IF(AD46=0,0,AF46*AM46/AD46),IF(CFG_BRK="Extras primero",MIN(AM46,MAX(0,AF46-(AD46-AM46))),MIN(AF46,AM46)))</f>
        <v>0</v>
      </c>
      <c r="AO46" s="80">
        <f>AF46-AN46</f>
        <v>0</v>
      </c>
      <c r="AP46" s="80">
        <f>AM46-AN46</f>
        <v>0</v>
      </c>
      <c r="AQ46" s="80">
        <f>AD46-AM46-AO46</f>
        <v>0</v>
      </c>
      <c r="AR46" s="80">
        <f>IF(AM46=0,0,AK46-AN46*AK46/AM46)</f>
        <v>0</v>
      </c>
      <c r="AS46" s="80">
        <f>IF(AD46-AM46=0,0,(AJ46-AK46)-AO46*(AJ46-AK46)/(AD46-AM46))</f>
        <v>0</v>
      </c>
      <c r="AT46" s="80" t="str">
        <f>IF(AC46=1,INT(B46)+1,"")</f>
        <v/>
      </c>
      <c r="AU46" s="80">
        <f>IF(AND(D46="proMX",R46="Cancelled"),0,1)</f>
        <v>1</v>
      </c>
      <c r="AV46" s="80">
        <f>IF(AND(AB46=1,AU46=1),IF(COUNTIFS($D$5:D45,D46,$B$5:B45,B46,$Z$5:Z45,Z46,$AA$5:AA45,AA46,$F$5:F45,F46&amp;"",$AU$5:AU45,1)&gt;0,1,0),0)</f>
        <v>0</v>
      </c>
      <c r="AW46" s="80" t="str">
        <f>IF(AB46=1,INT(B46)*1440+Z46,"")</f>
        <v/>
      </c>
      <c r="AX46" s="80" t="str">
        <f>IF(AB46=1,AW46+AD46,"")</f>
        <v/>
      </c>
      <c r="AY46" s="80">
        <f>IF(AND(AB46=1,AV46=0,AU46=1),1,0)</f>
        <v>0</v>
      </c>
      <c r="AZ46" s="80">
        <f>IF(AY46=1,COUNTIFS(R_Emp,D46,R_SAbs,"&lt;"&amp;AX46,R_EAbs,"&gt;"&amp;AW46,R_OKey,1)-1,0)</f>
        <v>0</v>
      </c>
      <c r="BA46" s="80">
        <f>IF(AY46=1,COUNTIFS(R_Emp,"&lt;&gt;"&amp;D46,R_SAbs,"&lt;"&amp;AX46,R_EAbs,"&gt;"&amp;AW46,R_OKey,1),0)</f>
        <v>0</v>
      </c>
      <c r="BB46" s="80">
        <f>IF(AND(AB46=1,D46="proMX"),IF(AND(MOD(Z46,CFG_BLK)=0,MOD(AA46,CFG_BLK)=0,MOD(AG46,CFG_BLK)=0,AG46&gt;0),1,0),1)</f>
        <v>1</v>
      </c>
      <c r="BC46" s="80" t="str">
        <f>IF(Y46=0,"",IF(NOT(ISNUMBER(B46)),"Falta fecha o fecha inválida",IF(D46="","Falta empresa",IF(AND(D46&lt;&gt;"Malcolm",D46&lt;&gt;"proMX"),"Empresa inválida",IF(OR(INT(B46)&lt;CFG_PSTART,INT(B46)&gt;CFG_PEND),"Fecha fuera del período",IF(OR(NOT(ISNUMBER(Z46)),NOT(ISNUMBER(AA46))),"Falta hora inicio/fin o formato inválido",IF(AB46=0,"Hora inicio = hora fin",IF(AE46&lt;0,"Descanso inválido",IF(AE46&gt;=AD46,"Descanso ≥ duración",IF(AV46=1,"Registro duplicado",IF(AZ46&gt;0,"Se superpone con otro registro "&amp;D46,IF(BB46=0,"inicio, fin y duración neta deben ser múltiplos de "&amp;CFG_BLK&amp;" min",""))))))))))))</f>
        <v/>
      </c>
      <c r="BD46" s="80">
        <f>IF(AND(Y46=1,BC46=""),1,0)</f>
        <v>0</v>
      </c>
      <c r="BE46" s="80">
        <f>IF(AND(BD46=1,AU46=1),1,0)</f>
        <v>0</v>
      </c>
      <c r="BF46" s="80" t="str">
        <f>IF(AND(D46="proMX",BD46=1),IF(R46="","Draft",R46),"")</f>
        <v/>
      </c>
      <c r="BG46" s="80">
        <f>IF(BD46=1,ROUND(AG46/60,6),0)</f>
        <v>0</v>
      </c>
      <c r="BH46" s="80">
        <f>IF(BE46=1,ROUND(AG46/60,6),0)</f>
        <v>0</v>
      </c>
      <c r="BI46" s="80">
        <f>IF(BE46=1,ROUND(AP46/60,6),0)</f>
        <v>0</v>
      </c>
      <c r="BJ46" s="80">
        <f>IF(BE46=1,ROUND(AQ46/60,6),0)</f>
        <v>0</v>
      </c>
      <c r="BK46" s="80">
        <f>IF(BE46=1,ROUND((AR46+AS46)/60,6),0)</f>
        <v>0</v>
      </c>
      <c r="BL46" s="80">
        <f>ROUND(BH46-BK46,6)</f>
        <v>0</v>
      </c>
      <c r="BM46" s="80">
        <f>IF(BE46=1,ROUND(AR46/60,6),0)</f>
        <v>0</v>
      </c>
      <c r="BN46" s="80">
        <f>ROUND(BI46-BM46,6)</f>
        <v>0</v>
      </c>
      <c r="BO46" s="80">
        <f>IF(BE46=1,ROUND(AS46/60,6),0)</f>
        <v>0</v>
      </c>
      <c r="BP46" s="80">
        <f>ROUND(BJ46-BO46,6)</f>
        <v>0</v>
      </c>
      <c r="BQ46" s="80">
        <f>IF(BE46=1,AW46,0)</f>
        <v>0</v>
      </c>
      <c r="BR46" s="80">
        <f>IF(BE46=1,AX46,0)</f>
        <v>0</v>
      </c>
      <c r="BS46" s="80">
        <f>IF(AND(BE46=1,D46="Malcolm",BA46&gt;0),MIN(BH46,SUMPRODUCT((R_Emp="proMX")*(R_EN&gt;0)*((R_EN-(R_EN&gt;BR46)*(R_EN-BR46))&gt;(R_SN+(R_SN&lt;BQ46)*(BQ46-R_SN)))*((R_EN-(R_EN&gt;BR46)*(R_EN-BR46))-(R_SN+(R_SN&lt;BQ46)*(BQ46-R_SN))))/60),0)</f>
        <v>0</v>
      </c>
      <c r="BT46" s="80">
        <f>IF(AND(BE46=1,D46="proMX"),ROUND(BI46*CFG_RATE+BJ46*CFG_OTRATE,6),0)</f>
        <v>0</v>
      </c>
      <c r="BU46" s="80">
        <f>IF(AND(BD46=1,D46="proMX"),ROUND(AG46/CFG_BLK,6),0)</f>
        <v>0</v>
      </c>
      <c r="BV46" s="80" t="str">
        <f>IF(BF46="Approved",IF(ISNUMBER(T46),INT(T46),INT(B46)),"")</f>
        <v/>
      </c>
      <c r="BW46" s="80">
        <f>IF(ISNUMBER(B46),IF(DB_MON="Todos",1,IF(AND(INT(B46)&gt;=DB_MS,INT(B46)&lt;=DB_ME),1,0)),0)</f>
        <v>0</v>
      </c>
      <c r="BX46" s="80">
        <f>IF(DB_PROJ="Todos",1,IF(E46&amp;""=DB_PROJ&amp;"",1,0))</f>
        <v>1</v>
      </c>
      <c r="BY46" s="80">
        <f>BW46*BX46</f>
        <v>0</v>
      </c>
      <c r="BZ46" s="80" t="str">
        <f>IF(Y46=1,F46&amp;IF(AND(F46&amp;""&lt;&gt;"",E46&amp;""&lt;&gt;"")," · ","")&amp;E46,"")</f>
        <v/>
      </c>
      <c r="CA46" s="80" t="str">
        <f>IF(AND(BD46=1,E46&amp;""&lt;&gt;""),IF(COUNTIFS($E$5:E45,E46,$BD$5:BD45,1)=0,MAX($CA$5:CA45)+1,""),"")</f>
        <v/>
      </c>
      <c r="CB46" s="80" t="str">
        <f>IF(AND(BE46=1,D46="Malcolm",E46&amp;""&lt;&gt;""),IF(COUNTIFS($D$5:D45,"Malcolm",$E$5:E45,E46,$BE$5:BE45,1)=0,MAX($CB$5:CB45)+1,""),"")</f>
        <v/>
      </c>
      <c r="CC46" s="80" t="str">
        <f>IF(AND(BD46=1,D46="proMX",E46&amp;""&lt;&gt;""),IF(COUNTIFS($D$5:D45,"proMX",$E$5:E45,E46,$BD$5:BD45,1)=0,MAX($CC$5:CC45)+1,""),"")</f>
        <v/>
      </c>
      <c r="CD46" s="80" t="str">
        <f>IF(AND(BE46=1,D46="Malcolm",F46&amp;""&lt;&gt;""),IF(COUNTIFS($D$5:D45,"Malcolm",$F$5:F45,F46,$BE$5:BE45,1)=0,MAX($CD$5:CD45)+1,""),"")</f>
        <v/>
      </c>
      <c r="CE46" s="80" t="str">
        <f>IF(AND(BD46=1,D46="proMX",F46&amp;""&lt;&gt;""),IF(COUNTIFS($D$5:D45,"proMX",$F$5:F45,F46,$BD$5:BD45,1)=0,MAX($CE$5:CE45)+1,""),"")</f>
        <v/>
      </c>
      <c r="CF46" s="80" t="str">
        <f>IF(AND(D46="proMX",BD46=1),IF(OR(BF46="Draft",BF46="Submitted",BF46="Returned",BF46="Recall Requested"),MAX($CF$5:CF45)+1,""),"")</f>
        <v/>
      </c>
      <c r="CG46" s="80">
        <f>IF(BD46=0,0,IF(D46="Malcolm",1,MATCH(BF46,{"Draft","Submitted","Approved","Returned","Recall Requested","Cancelled"},0)+1))</f>
        <v>0</v>
      </c>
      <c r="CH46" s="80">
        <f>IF(AND(BF46="Submitted",ISNUMBER(V46)),IF(V46&gt;CFG_MAXD,1,0),0)</f>
        <v>0</v>
      </c>
    </row>
    <row r="47">
      <c r="A47" s="71" t="str">
        <f>IF(Y47=1,ROW()-5,"")</f>
        <v/>
      </c>
      <c r="B47" s="72" t="n"/>
      <c r="C47" s="71" t="str">
        <f>IF(ISNUMBER(B47),CHOOSE(WEEKDAY(B47,2),"Lun","Mar","Mié","Jue","Vie","Sáb","Dom"),"")</f>
        <v/>
      </c>
      <c r="D47" s="73" t="n"/>
      <c r="E47" s="74" t="n"/>
      <c r="F47" s="74" t="n"/>
      <c r="G47" s="74" t="n"/>
      <c r="H47" s="75" t="n"/>
      <c r="I47" s="75" t="n"/>
      <c r="J47" s="76" t="n"/>
      <c r="K47" s="77" t="str">
        <f>IF(AB47=1,ROUND(AG47/60,4),"")</f>
        <v/>
      </c>
      <c r="L47" s="77" t="str">
        <f>IF(BD47=1,ROUND(AP47/60,4),"")</f>
        <v/>
      </c>
      <c r="M47" s="77" t="str">
        <f>IF(BD47=1,ROUND(AQ47/60,4),"")</f>
        <v/>
      </c>
      <c r="N47" s="71" t="str">
        <f>IF(AND(D47="proMX",AB47=1),ROUND(AG47/CFG_BLK,2),"")</f>
        <v/>
      </c>
      <c r="O47" s="77" t="str">
        <f>IF(D47="proMX",IF(BD47=1,ROUND(AG47/60,4),0),"")</f>
        <v/>
      </c>
      <c r="P47" s="78" t="str">
        <f>IF(Y47=0,"",IF(BD47=1,"OK",IF(D47="proMX","Revisar bloques: ","Revisar: ")&amp;BC47))</f>
        <v/>
      </c>
      <c r="Q47" s="78" t="str">
        <f>IF(NOT(ISNUMBER(B47)),"",IF(COUNTIFS(FER_F,INT(B47))&gt;0,"Feriado"&amp;IF(AH47=1," (laborable)"," (no laborable)"),IF(AH47=1,"Laborable",IF(WEEKDAY(B47,2)&gt;5,"Fin de semana","No laborable"))))</f>
        <v/>
      </c>
      <c r="R47" s="73" t="n"/>
      <c r="S47" s="72" t="n"/>
      <c r="T47" s="72" t="n"/>
      <c r="U47" s="74" t="n"/>
      <c r="V47" s="79" t="str">
        <f>IF(AND(D47="proMX",OR(R47="Submitted",R47="Recall Requested"),ISNUMBER(S47)),CFG_TODAY-INT(S47),"")</f>
        <v/>
      </c>
      <c r="W47" s="78" t="str">
        <f>IF(BD47=0,"",IF(BA47&gt;0,"⚠ Se superpone con un registro de la otra empresa",IF(D47="Malcolm",IF(COUNTA(R47,S47,T47)&gt;0,"Estado/fechas proMX se ignoran en Malcolm",""),IF(BF47="Cancelled","Cancelado: excluido de totales",IF(R47="","Sin estado: se trata como Draft",IF(BF47="Submitted",IF(ISNUMBER(V47),IF(V47&gt;CFG_MAXD,"⚠ "&amp;V47&amp;" días en Submitted (máx. "&amp;CFG_MAXD&amp;")",""),"Falta fecha de envío"),IF(BF47="Returned","⚠ Devuelto: corregir y reenviar",IF(BF47="Recall Requested","Retirada solicitada: pendiente",IF(AND(BF47="Approved",NOT(ISNUMBER(T47))),"Falta fecha de aprobación",IF(AND(ISNUMBER(S47),ISNUMBER(T47),T47&lt;S47),"Aprobación anterior al envío","")))))))))</f>
        <v/>
      </c>
      <c r="Y47" s="80">
        <f>IF(COUNTA(B47,D47,E47,F47,G47,H47,I47,J47,R47,S47,T47)&gt;0,1,0)</f>
        <v>0</v>
      </c>
      <c r="Z47" s="80" t="str">
        <f>IF(AND(ISNUMBER(H47),H47&gt;=0,H47&lt;1),ROUND(H47*1440,0),"")</f>
        <v/>
      </c>
      <c r="AA47" s="80" t="str">
        <f>IF(AND(ISNUMBER(I47),I47&gt;=0,I47&lt;1),ROUND(I47*1440,0),"")</f>
        <v/>
      </c>
      <c r="AB47" s="80">
        <f>IF(AND(ISNUMBER(B47),D47&lt;&gt;"",ISNUMBER(Z47),ISNUMBER(AA47)),IF(Z47=AA47,0,1),0)</f>
        <v>0</v>
      </c>
      <c r="AC47" s="80">
        <f>IF(AB47=1,IF(AA47&lt;Z47,1,0),0)</f>
        <v>0</v>
      </c>
      <c r="AD47" s="80">
        <f>IF(AB47=1,IF(AC47=1,1440-Z47+AA47,AA47-Z47),0)</f>
        <v>0</v>
      </c>
      <c r="AE47" s="80">
        <f>IF(J47="",0,IF(ISNUMBER(J47),J47,-1))</f>
        <v>0</v>
      </c>
      <c r="AF47" s="80">
        <f>MIN(MAX(0,AE47),AD47)</f>
        <v>0</v>
      </c>
      <c r="AG47" s="80">
        <f>MAX(0,AD47-MAX(0,AE47))</f>
        <v>0</v>
      </c>
      <c r="AH47" s="80">
        <f>IF(ISNUMBER(B47),IF(AND(INDEX(CFG_WDAYS,WEEKDAY(INT(B47),2))="Sí",IF(D47="proMX",COUNTIFS(FER_F,INT(B47),FER_NLP,"Sí"),COUNTIFS(FER_F,INT(B47),FER_NLM,"Sí"))=0),1,0),0)</f>
        <v>0</v>
      </c>
      <c r="AI47" s="80">
        <f>IF(AC47=1,IF(AND(INDEX(CFG_WDAYS,WEEKDAY(INT(B47)+1,2))="Sí",IF(D47="proMX",COUNTIFS(FER_F,INT(B47)+1,FER_NLP,"Sí"),COUNTIFS(FER_F,INT(B47)+1,FER_NLM,"Sí"))=0),1,0),0)</f>
        <v>0</v>
      </c>
      <c r="AJ47" s="80">
        <f>IF(AC47=1,1440-Z47,AD47)</f>
        <v>0</v>
      </c>
      <c r="AK47" s="80">
        <f>IF(AND(AB47=1,AH47=1),MAX(0,MIN(IF(AC47=1,1440,AA47),CFG_WEM)-MAX(Z47,CFG_WSM)),0)</f>
        <v>0</v>
      </c>
      <c r="AL47" s="80">
        <f>IF(AND(AC47=1,AI47=1),MAX(0,MIN(AA47,CFG_WEM)-CFG_WSM),0)</f>
        <v>0</v>
      </c>
      <c r="AM47" s="80">
        <f>AK47+AL47</f>
        <v>0</v>
      </c>
      <c r="AN47" s="80">
        <f>IF(CFG_BRK="Proporcional",IF(AD47=0,0,AF47*AM47/AD47),IF(CFG_BRK="Extras primero",MIN(AM47,MAX(0,AF47-(AD47-AM47))),MIN(AF47,AM47)))</f>
        <v>0</v>
      </c>
      <c r="AO47" s="80">
        <f>AF47-AN47</f>
        <v>0</v>
      </c>
      <c r="AP47" s="80">
        <f>AM47-AN47</f>
        <v>0</v>
      </c>
      <c r="AQ47" s="80">
        <f>AD47-AM47-AO47</f>
        <v>0</v>
      </c>
      <c r="AR47" s="80">
        <f>IF(AM47=0,0,AK47-AN47*AK47/AM47)</f>
        <v>0</v>
      </c>
      <c r="AS47" s="80">
        <f>IF(AD47-AM47=0,0,(AJ47-AK47)-AO47*(AJ47-AK47)/(AD47-AM47))</f>
        <v>0</v>
      </c>
      <c r="AT47" s="80" t="str">
        <f>IF(AC47=1,INT(B47)+1,"")</f>
        <v/>
      </c>
      <c r="AU47" s="80">
        <f>IF(AND(D47="proMX",R47="Cancelled"),0,1)</f>
        <v>1</v>
      </c>
      <c r="AV47" s="80">
        <f>IF(AND(AB47=1,AU47=1),IF(COUNTIFS($D$5:D46,D47,$B$5:B46,B47,$Z$5:Z46,Z47,$AA$5:AA46,AA47,$F$5:F46,F47&amp;"",$AU$5:AU46,1)&gt;0,1,0),0)</f>
        <v>0</v>
      </c>
      <c r="AW47" s="80" t="str">
        <f>IF(AB47=1,INT(B47)*1440+Z47,"")</f>
        <v/>
      </c>
      <c r="AX47" s="80" t="str">
        <f>IF(AB47=1,AW47+AD47,"")</f>
        <v/>
      </c>
      <c r="AY47" s="80">
        <f>IF(AND(AB47=1,AV47=0,AU47=1),1,0)</f>
        <v>0</v>
      </c>
      <c r="AZ47" s="80">
        <f>IF(AY47=1,COUNTIFS(R_Emp,D47,R_SAbs,"&lt;"&amp;AX47,R_EAbs,"&gt;"&amp;AW47,R_OKey,1)-1,0)</f>
        <v>0</v>
      </c>
      <c r="BA47" s="80">
        <f>IF(AY47=1,COUNTIFS(R_Emp,"&lt;&gt;"&amp;D47,R_SAbs,"&lt;"&amp;AX47,R_EAbs,"&gt;"&amp;AW47,R_OKey,1),0)</f>
        <v>0</v>
      </c>
      <c r="BB47" s="80">
        <f>IF(AND(AB47=1,D47="proMX"),IF(AND(MOD(Z47,CFG_BLK)=0,MOD(AA47,CFG_BLK)=0,MOD(AG47,CFG_BLK)=0,AG47&gt;0),1,0),1)</f>
        <v>1</v>
      </c>
      <c r="BC47" s="80" t="str">
        <f>IF(Y47=0,"",IF(NOT(ISNUMBER(B47)),"Falta fecha o fecha inválida",IF(D47="","Falta empresa",IF(AND(D47&lt;&gt;"Malcolm",D47&lt;&gt;"proMX"),"Empresa inválida",IF(OR(INT(B47)&lt;CFG_PSTART,INT(B47)&gt;CFG_PEND),"Fecha fuera del período",IF(OR(NOT(ISNUMBER(Z47)),NOT(ISNUMBER(AA47))),"Falta hora inicio/fin o formato inválido",IF(AB47=0,"Hora inicio = hora fin",IF(AE47&lt;0,"Descanso inválido",IF(AE47&gt;=AD47,"Descanso ≥ duración",IF(AV47=1,"Registro duplicado",IF(AZ47&gt;0,"Se superpone con otro registro "&amp;D47,IF(BB47=0,"inicio, fin y duración neta deben ser múltiplos de "&amp;CFG_BLK&amp;" min",""))))))))))))</f>
        <v/>
      </c>
      <c r="BD47" s="80">
        <f>IF(AND(Y47=1,BC47=""),1,0)</f>
        <v>0</v>
      </c>
      <c r="BE47" s="80">
        <f>IF(AND(BD47=1,AU47=1),1,0)</f>
        <v>0</v>
      </c>
      <c r="BF47" s="80" t="str">
        <f>IF(AND(D47="proMX",BD47=1),IF(R47="","Draft",R47),"")</f>
        <v/>
      </c>
      <c r="BG47" s="80">
        <f>IF(BD47=1,ROUND(AG47/60,6),0)</f>
        <v>0</v>
      </c>
      <c r="BH47" s="80">
        <f>IF(BE47=1,ROUND(AG47/60,6),0)</f>
        <v>0</v>
      </c>
      <c r="BI47" s="80">
        <f>IF(BE47=1,ROUND(AP47/60,6),0)</f>
        <v>0</v>
      </c>
      <c r="BJ47" s="80">
        <f>IF(BE47=1,ROUND(AQ47/60,6),0)</f>
        <v>0</v>
      </c>
      <c r="BK47" s="80">
        <f>IF(BE47=1,ROUND((AR47+AS47)/60,6),0)</f>
        <v>0</v>
      </c>
      <c r="BL47" s="80">
        <f>ROUND(BH47-BK47,6)</f>
        <v>0</v>
      </c>
      <c r="BM47" s="80">
        <f>IF(BE47=1,ROUND(AR47/60,6),0)</f>
        <v>0</v>
      </c>
      <c r="BN47" s="80">
        <f>ROUND(BI47-BM47,6)</f>
        <v>0</v>
      </c>
      <c r="BO47" s="80">
        <f>IF(BE47=1,ROUND(AS47/60,6),0)</f>
        <v>0</v>
      </c>
      <c r="BP47" s="80">
        <f>ROUND(BJ47-BO47,6)</f>
        <v>0</v>
      </c>
      <c r="BQ47" s="80">
        <f>IF(BE47=1,AW47,0)</f>
        <v>0</v>
      </c>
      <c r="BR47" s="80">
        <f>IF(BE47=1,AX47,0)</f>
        <v>0</v>
      </c>
      <c r="BS47" s="80">
        <f>IF(AND(BE47=1,D47="Malcolm",BA47&gt;0),MIN(BH47,SUMPRODUCT((R_Emp="proMX")*(R_EN&gt;0)*((R_EN-(R_EN&gt;BR47)*(R_EN-BR47))&gt;(R_SN+(R_SN&lt;BQ47)*(BQ47-R_SN)))*((R_EN-(R_EN&gt;BR47)*(R_EN-BR47))-(R_SN+(R_SN&lt;BQ47)*(BQ47-R_SN))))/60),0)</f>
        <v>0</v>
      </c>
      <c r="BT47" s="80">
        <f>IF(AND(BE47=1,D47="proMX"),ROUND(BI47*CFG_RATE+BJ47*CFG_OTRATE,6),0)</f>
        <v>0</v>
      </c>
      <c r="BU47" s="80">
        <f>IF(AND(BD47=1,D47="proMX"),ROUND(AG47/CFG_BLK,6),0)</f>
        <v>0</v>
      </c>
      <c r="BV47" s="80" t="str">
        <f>IF(BF47="Approved",IF(ISNUMBER(T47),INT(T47),INT(B47)),"")</f>
        <v/>
      </c>
      <c r="BW47" s="80">
        <f>IF(ISNUMBER(B47),IF(DB_MON="Todos",1,IF(AND(INT(B47)&gt;=DB_MS,INT(B47)&lt;=DB_ME),1,0)),0)</f>
        <v>0</v>
      </c>
      <c r="BX47" s="80">
        <f>IF(DB_PROJ="Todos",1,IF(E47&amp;""=DB_PROJ&amp;"",1,0))</f>
        <v>1</v>
      </c>
      <c r="BY47" s="80">
        <f>BW47*BX47</f>
        <v>0</v>
      </c>
      <c r="BZ47" s="80" t="str">
        <f>IF(Y47=1,F47&amp;IF(AND(F47&amp;""&lt;&gt;"",E47&amp;""&lt;&gt;"")," · ","")&amp;E47,"")</f>
        <v/>
      </c>
      <c r="CA47" s="80" t="str">
        <f>IF(AND(BD47=1,E47&amp;""&lt;&gt;""),IF(COUNTIFS($E$5:E46,E47,$BD$5:BD46,1)=0,MAX($CA$5:CA46)+1,""),"")</f>
        <v/>
      </c>
      <c r="CB47" s="80" t="str">
        <f>IF(AND(BE47=1,D47="Malcolm",E47&amp;""&lt;&gt;""),IF(COUNTIFS($D$5:D46,"Malcolm",$E$5:E46,E47,$BE$5:BE46,1)=0,MAX($CB$5:CB46)+1,""),"")</f>
        <v/>
      </c>
      <c r="CC47" s="80" t="str">
        <f>IF(AND(BD47=1,D47="proMX",E47&amp;""&lt;&gt;""),IF(COUNTIFS($D$5:D46,"proMX",$E$5:E46,E47,$BD$5:BD46,1)=0,MAX($CC$5:CC46)+1,""),"")</f>
        <v/>
      </c>
      <c r="CD47" s="80" t="str">
        <f>IF(AND(BE47=1,D47="Malcolm",F47&amp;""&lt;&gt;""),IF(COUNTIFS($D$5:D46,"Malcolm",$F$5:F46,F47,$BE$5:BE46,1)=0,MAX($CD$5:CD46)+1,""),"")</f>
        <v/>
      </c>
      <c r="CE47" s="80" t="str">
        <f>IF(AND(BD47=1,D47="proMX",F47&amp;""&lt;&gt;""),IF(COUNTIFS($D$5:D46,"proMX",$F$5:F46,F47,$BD$5:BD46,1)=0,MAX($CE$5:CE46)+1,""),"")</f>
        <v/>
      </c>
      <c r="CF47" s="80" t="str">
        <f>IF(AND(D47="proMX",BD47=1),IF(OR(BF47="Draft",BF47="Submitted",BF47="Returned",BF47="Recall Requested"),MAX($CF$5:CF46)+1,""),"")</f>
        <v/>
      </c>
      <c r="CG47" s="80">
        <f>IF(BD47=0,0,IF(D47="Malcolm",1,MATCH(BF47,{"Draft","Submitted","Approved","Returned","Recall Requested","Cancelled"},0)+1))</f>
        <v>0</v>
      </c>
      <c r="CH47" s="80">
        <f>IF(AND(BF47="Submitted",ISNUMBER(V47)),IF(V47&gt;CFG_MAXD,1,0),0)</f>
        <v>0</v>
      </c>
    </row>
    <row r="48">
      <c r="A48" s="71" t="str">
        <f>IF(Y48=1,ROW()-5,"")</f>
        <v/>
      </c>
      <c r="B48" s="72" t="n"/>
      <c r="C48" s="71" t="str">
        <f>IF(ISNUMBER(B48),CHOOSE(WEEKDAY(B48,2),"Lun","Mar","Mié","Jue","Vie","Sáb","Dom"),"")</f>
        <v/>
      </c>
      <c r="D48" s="73" t="n"/>
      <c r="E48" s="74" t="n"/>
      <c r="F48" s="74" t="n"/>
      <c r="G48" s="74" t="n"/>
      <c r="H48" s="75" t="n"/>
      <c r="I48" s="75" t="n"/>
      <c r="J48" s="76" t="n"/>
      <c r="K48" s="77" t="str">
        <f>IF(AB48=1,ROUND(AG48/60,4),"")</f>
        <v/>
      </c>
      <c r="L48" s="77" t="str">
        <f>IF(BD48=1,ROUND(AP48/60,4),"")</f>
        <v/>
      </c>
      <c r="M48" s="77" t="str">
        <f>IF(BD48=1,ROUND(AQ48/60,4),"")</f>
        <v/>
      </c>
      <c r="N48" s="71" t="str">
        <f>IF(AND(D48="proMX",AB48=1),ROUND(AG48/CFG_BLK,2),"")</f>
        <v/>
      </c>
      <c r="O48" s="77" t="str">
        <f>IF(D48="proMX",IF(BD48=1,ROUND(AG48/60,4),0),"")</f>
        <v/>
      </c>
      <c r="P48" s="78" t="str">
        <f>IF(Y48=0,"",IF(BD48=1,"OK",IF(D48="proMX","Revisar bloques: ","Revisar: ")&amp;BC48))</f>
        <v/>
      </c>
      <c r="Q48" s="78" t="str">
        <f>IF(NOT(ISNUMBER(B48)),"",IF(COUNTIFS(FER_F,INT(B48))&gt;0,"Feriado"&amp;IF(AH48=1," (laborable)"," (no laborable)"),IF(AH48=1,"Laborable",IF(WEEKDAY(B48,2)&gt;5,"Fin de semana","No laborable"))))</f>
        <v/>
      </c>
      <c r="R48" s="73" t="n"/>
      <c r="S48" s="72" t="n"/>
      <c r="T48" s="72" t="n"/>
      <c r="U48" s="74" t="n"/>
      <c r="V48" s="79" t="str">
        <f>IF(AND(D48="proMX",OR(R48="Submitted",R48="Recall Requested"),ISNUMBER(S48)),CFG_TODAY-INT(S48),"")</f>
        <v/>
      </c>
      <c r="W48" s="78" t="str">
        <f>IF(BD48=0,"",IF(BA48&gt;0,"⚠ Se superpone con un registro de la otra empresa",IF(D48="Malcolm",IF(COUNTA(R48,S48,T48)&gt;0,"Estado/fechas proMX se ignoran en Malcolm",""),IF(BF48="Cancelled","Cancelado: excluido de totales",IF(R48="","Sin estado: se trata como Draft",IF(BF48="Submitted",IF(ISNUMBER(V48),IF(V48&gt;CFG_MAXD,"⚠ "&amp;V48&amp;" días en Submitted (máx. "&amp;CFG_MAXD&amp;")",""),"Falta fecha de envío"),IF(BF48="Returned","⚠ Devuelto: corregir y reenviar",IF(BF48="Recall Requested","Retirada solicitada: pendiente",IF(AND(BF48="Approved",NOT(ISNUMBER(T48))),"Falta fecha de aprobación",IF(AND(ISNUMBER(S48),ISNUMBER(T48),T48&lt;S48),"Aprobación anterior al envío","")))))))))</f>
        <v/>
      </c>
      <c r="Y48" s="80">
        <f>IF(COUNTA(B48,D48,E48,F48,G48,H48,I48,J48,R48,S48,T48)&gt;0,1,0)</f>
        <v>0</v>
      </c>
      <c r="Z48" s="80" t="str">
        <f>IF(AND(ISNUMBER(H48),H48&gt;=0,H48&lt;1),ROUND(H48*1440,0),"")</f>
        <v/>
      </c>
      <c r="AA48" s="80" t="str">
        <f>IF(AND(ISNUMBER(I48),I48&gt;=0,I48&lt;1),ROUND(I48*1440,0),"")</f>
        <v/>
      </c>
      <c r="AB48" s="80">
        <f>IF(AND(ISNUMBER(B48),D48&lt;&gt;"",ISNUMBER(Z48),ISNUMBER(AA48)),IF(Z48=AA48,0,1),0)</f>
        <v>0</v>
      </c>
      <c r="AC48" s="80">
        <f>IF(AB48=1,IF(AA48&lt;Z48,1,0),0)</f>
        <v>0</v>
      </c>
      <c r="AD48" s="80">
        <f>IF(AB48=1,IF(AC48=1,1440-Z48+AA48,AA48-Z48),0)</f>
        <v>0</v>
      </c>
      <c r="AE48" s="80">
        <f>IF(J48="",0,IF(ISNUMBER(J48),J48,-1))</f>
        <v>0</v>
      </c>
      <c r="AF48" s="80">
        <f>MIN(MAX(0,AE48),AD48)</f>
        <v>0</v>
      </c>
      <c r="AG48" s="80">
        <f>MAX(0,AD48-MAX(0,AE48))</f>
        <v>0</v>
      </c>
      <c r="AH48" s="80">
        <f>IF(ISNUMBER(B48),IF(AND(INDEX(CFG_WDAYS,WEEKDAY(INT(B48),2))="Sí",IF(D48="proMX",COUNTIFS(FER_F,INT(B48),FER_NLP,"Sí"),COUNTIFS(FER_F,INT(B48),FER_NLM,"Sí"))=0),1,0),0)</f>
        <v>0</v>
      </c>
      <c r="AI48" s="80">
        <f>IF(AC48=1,IF(AND(INDEX(CFG_WDAYS,WEEKDAY(INT(B48)+1,2))="Sí",IF(D48="proMX",COUNTIFS(FER_F,INT(B48)+1,FER_NLP,"Sí"),COUNTIFS(FER_F,INT(B48)+1,FER_NLM,"Sí"))=0),1,0),0)</f>
        <v>0</v>
      </c>
      <c r="AJ48" s="80">
        <f>IF(AC48=1,1440-Z48,AD48)</f>
        <v>0</v>
      </c>
      <c r="AK48" s="80">
        <f>IF(AND(AB48=1,AH48=1),MAX(0,MIN(IF(AC48=1,1440,AA48),CFG_WEM)-MAX(Z48,CFG_WSM)),0)</f>
        <v>0</v>
      </c>
      <c r="AL48" s="80">
        <f>IF(AND(AC48=1,AI48=1),MAX(0,MIN(AA48,CFG_WEM)-CFG_WSM),0)</f>
        <v>0</v>
      </c>
      <c r="AM48" s="80">
        <f>AK48+AL48</f>
        <v>0</v>
      </c>
      <c r="AN48" s="80">
        <f>IF(CFG_BRK="Proporcional",IF(AD48=0,0,AF48*AM48/AD48),IF(CFG_BRK="Extras primero",MIN(AM48,MAX(0,AF48-(AD48-AM48))),MIN(AF48,AM48)))</f>
        <v>0</v>
      </c>
      <c r="AO48" s="80">
        <f>AF48-AN48</f>
        <v>0</v>
      </c>
      <c r="AP48" s="80">
        <f>AM48-AN48</f>
        <v>0</v>
      </c>
      <c r="AQ48" s="80">
        <f>AD48-AM48-AO48</f>
        <v>0</v>
      </c>
      <c r="AR48" s="80">
        <f>IF(AM48=0,0,AK48-AN48*AK48/AM48)</f>
        <v>0</v>
      </c>
      <c r="AS48" s="80">
        <f>IF(AD48-AM48=0,0,(AJ48-AK48)-AO48*(AJ48-AK48)/(AD48-AM48))</f>
        <v>0</v>
      </c>
      <c r="AT48" s="80" t="str">
        <f>IF(AC48=1,INT(B48)+1,"")</f>
        <v/>
      </c>
      <c r="AU48" s="80">
        <f>IF(AND(D48="proMX",R48="Cancelled"),0,1)</f>
        <v>1</v>
      </c>
      <c r="AV48" s="80">
        <f>IF(AND(AB48=1,AU48=1),IF(COUNTIFS($D$5:D47,D48,$B$5:B47,B48,$Z$5:Z47,Z48,$AA$5:AA47,AA48,$F$5:F47,F48&amp;"",$AU$5:AU47,1)&gt;0,1,0),0)</f>
        <v>0</v>
      </c>
      <c r="AW48" s="80" t="str">
        <f>IF(AB48=1,INT(B48)*1440+Z48,"")</f>
        <v/>
      </c>
      <c r="AX48" s="80" t="str">
        <f>IF(AB48=1,AW48+AD48,"")</f>
        <v/>
      </c>
      <c r="AY48" s="80">
        <f>IF(AND(AB48=1,AV48=0,AU48=1),1,0)</f>
        <v>0</v>
      </c>
      <c r="AZ48" s="80">
        <f>IF(AY48=1,COUNTIFS(R_Emp,D48,R_SAbs,"&lt;"&amp;AX48,R_EAbs,"&gt;"&amp;AW48,R_OKey,1)-1,0)</f>
        <v>0</v>
      </c>
      <c r="BA48" s="80">
        <f>IF(AY48=1,COUNTIFS(R_Emp,"&lt;&gt;"&amp;D48,R_SAbs,"&lt;"&amp;AX48,R_EAbs,"&gt;"&amp;AW48,R_OKey,1),0)</f>
        <v>0</v>
      </c>
      <c r="BB48" s="80">
        <f>IF(AND(AB48=1,D48="proMX"),IF(AND(MOD(Z48,CFG_BLK)=0,MOD(AA48,CFG_BLK)=0,MOD(AG48,CFG_BLK)=0,AG48&gt;0),1,0),1)</f>
        <v>1</v>
      </c>
      <c r="BC48" s="80" t="str">
        <f>IF(Y48=0,"",IF(NOT(ISNUMBER(B48)),"Falta fecha o fecha inválida",IF(D48="","Falta empresa",IF(AND(D48&lt;&gt;"Malcolm",D48&lt;&gt;"proMX"),"Empresa inválida",IF(OR(INT(B48)&lt;CFG_PSTART,INT(B48)&gt;CFG_PEND),"Fecha fuera del período",IF(OR(NOT(ISNUMBER(Z48)),NOT(ISNUMBER(AA48))),"Falta hora inicio/fin o formato inválido",IF(AB48=0,"Hora inicio = hora fin",IF(AE48&lt;0,"Descanso inválido",IF(AE48&gt;=AD48,"Descanso ≥ duración",IF(AV48=1,"Registro duplicado",IF(AZ48&gt;0,"Se superpone con otro registro "&amp;D48,IF(BB48=0,"inicio, fin y duración neta deben ser múltiplos de "&amp;CFG_BLK&amp;" min",""))))))))))))</f>
        <v/>
      </c>
      <c r="BD48" s="80">
        <f>IF(AND(Y48=1,BC48=""),1,0)</f>
        <v>0</v>
      </c>
      <c r="BE48" s="80">
        <f>IF(AND(BD48=1,AU48=1),1,0)</f>
        <v>0</v>
      </c>
      <c r="BF48" s="80" t="str">
        <f>IF(AND(D48="proMX",BD48=1),IF(R48="","Draft",R48),"")</f>
        <v/>
      </c>
      <c r="BG48" s="80">
        <f>IF(BD48=1,ROUND(AG48/60,6),0)</f>
        <v>0</v>
      </c>
      <c r="BH48" s="80">
        <f>IF(BE48=1,ROUND(AG48/60,6),0)</f>
        <v>0</v>
      </c>
      <c r="BI48" s="80">
        <f>IF(BE48=1,ROUND(AP48/60,6),0)</f>
        <v>0</v>
      </c>
      <c r="BJ48" s="80">
        <f>IF(BE48=1,ROUND(AQ48/60,6),0)</f>
        <v>0</v>
      </c>
      <c r="BK48" s="80">
        <f>IF(BE48=1,ROUND((AR48+AS48)/60,6),0)</f>
        <v>0</v>
      </c>
      <c r="BL48" s="80">
        <f>ROUND(BH48-BK48,6)</f>
        <v>0</v>
      </c>
      <c r="BM48" s="80">
        <f>IF(BE48=1,ROUND(AR48/60,6),0)</f>
        <v>0</v>
      </c>
      <c r="BN48" s="80">
        <f>ROUND(BI48-BM48,6)</f>
        <v>0</v>
      </c>
      <c r="BO48" s="80">
        <f>IF(BE48=1,ROUND(AS48/60,6),0)</f>
        <v>0</v>
      </c>
      <c r="BP48" s="80">
        <f>ROUND(BJ48-BO48,6)</f>
        <v>0</v>
      </c>
      <c r="BQ48" s="80">
        <f>IF(BE48=1,AW48,0)</f>
        <v>0</v>
      </c>
      <c r="BR48" s="80">
        <f>IF(BE48=1,AX48,0)</f>
        <v>0</v>
      </c>
      <c r="BS48" s="80">
        <f>IF(AND(BE48=1,D48="Malcolm",BA48&gt;0),MIN(BH48,SUMPRODUCT((R_Emp="proMX")*(R_EN&gt;0)*((R_EN-(R_EN&gt;BR48)*(R_EN-BR48))&gt;(R_SN+(R_SN&lt;BQ48)*(BQ48-R_SN)))*((R_EN-(R_EN&gt;BR48)*(R_EN-BR48))-(R_SN+(R_SN&lt;BQ48)*(BQ48-R_SN))))/60),0)</f>
        <v>0</v>
      </c>
      <c r="BT48" s="80">
        <f>IF(AND(BE48=1,D48="proMX"),ROUND(BI48*CFG_RATE+BJ48*CFG_OTRATE,6),0)</f>
        <v>0</v>
      </c>
      <c r="BU48" s="80">
        <f>IF(AND(BD48=1,D48="proMX"),ROUND(AG48/CFG_BLK,6),0)</f>
        <v>0</v>
      </c>
      <c r="BV48" s="80" t="str">
        <f>IF(BF48="Approved",IF(ISNUMBER(T48),INT(T48),INT(B48)),"")</f>
        <v/>
      </c>
      <c r="BW48" s="80">
        <f>IF(ISNUMBER(B48),IF(DB_MON="Todos",1,IF(AND(INT(B48)&gt;=DB_MS,INT(B48)&lt;=DB_ME),1,0)),0)</f>
        <v>0</v>
      </c>
      <c r="BX48" s="80">
        <f>IF(DB_PROJ="Todos",1,IF(E48&amp;""=DB_PROJ&amp;"",1,0))</f>
        <v>1</v>
      </c>
      <c r="BY48" s="80">
        <f>BW48*BX48</f>
        <v>0</v>
      </c>
      <c r="BZ48" s="80" t="str">
        <f>IF(Y48=1,F48&amp;IF(AND(F48&amp;""&lt;&gt;"",E48&amp;""&lt;&gt;"")," · ","")&amp;E48,"")</f>
        <v/>
      </c>
      <c r="CA48" s="80" t="str">
        <f>IF(AND(BD48=1,E48&amp;""&lt;&gt;""),IF(COUNTIFS($E$5:E47,E48,$BD$5:BD47,1)=0,MAX($CA$5:CA47)+1,""),"")</f>
        <v/>
      </c>
      <c r="CB48" s="80" t="str">
        <f>IF(AND(BE48=1,D48="Malcolm",E48&amp;""&lt;&gt;""),IF(COUNTIFS($D$5:D47,"Malcolm",$E$5:E47,E48,$BE$5:BE47,1)=0,MAX($CB$5:CB47)+1,""),"")</f>
        <v/>
      </c>
      <c r="CC48" s="80" t="str">
        <f>IF(AND(BD48=1,D48="proMX",E48&amp;""&lt;&gt;""),IF(COUNTIFS($D$5:D47,"proMX",$E$5:E47,E48,$BD$5:BD47,1)=0,MAX($CC$5:CC47)+1,""),"")</f>
        <v/>
      </c>
      <c r="CD48" s="80" t="str">
        <f>IF(AND(BE48=1,D48="Malcolm",F48&amp;""&lt;&gt;""),IF(COUNTIFS($D$5:D47,"Malcolm",$F$5:F47,F48,$BE$5:BE47,1)=0,MAX($CD$5:CD47)+1,""),"")</f>
        <v/>
      </c>
      <c r="CE48" s="80" t="str">
        <f>IF(AND(BD48=1,D48="proMX",F48&amp;""&lt;&gt;""),IF(COUNTIFS($D$5:D47,"proMX",$F$5:F47,F48,$BD$5:BD47,1)=0,MAX($CE$5:CE47)+1,""),"")</f>
        <v/>
      </c>
      <c r="CF48" s="80" t="str">
        <f>IF(AND(D48="proMX",BD48=1),IF(OR(BF48="Draft",BF48="Submitted",BF48="Returned",BF48="Recall Requested"),MAX($CF$5:CF47)+1,""),"")</f>
        <v/>
      </c>
      <c r="CG48" s="80">
        <f>IF(BD48=0,0,IF(D48="Malcolm",1,MATCH(BF48,{"Draft","Submitted","Approved","Returned","Recall Requested","Cancelled"},0)+1))</f>
        <v>0</v>
      </c>
      <c r="CH48" s="80">
        <f>IF(AND(BF48="Submitted",ISNUMBER(V48)),IF(V48&gt;CFG_MAXD,1,0),0)</f>
        <v>0</v>
      </c>
    </row>
    <row r="49">
      <c r="A49" s="71" t="str">
        <f>IF(Y49=1,ROW()-5,"")</f>
        <v/>
      </c>
      <c r="B49" s="72" t="n"/>
      <c r="C49" s="71" t="str">
        <f>IF(ISNUMBER(B49),CHOOSE(WEEKDAY(B49,2),"Lun","Mar","Mié","Jue","Vie","Sáb","Dom"),"")</f>
        <v/>
      </c>
      <c r="D49" s="73" t="n"/>
      <c r="E49" s="74" t="n"/>
      <c r="F49" s="74" t="n"/>
      <c r="G49" s="74" t="n"/>
      <c r="H49" s="75" t="n"/>
      <c r="I49" s="75" t="n"/>
      <c r="J49" s="76" t="n"/>
      <c r="K49" s="77" t="str">
        <f>IF(AB49=1,ROUND(AG49/60,4),"")</f>
        <v/>
      </c>
      <c r="L49" s="77" t="str">
        <f>IF(BD49=1,ROUND(AP49/60,4),"")</f>
        <v/>
      </c>
      <c r="M49" s="77" t="str">
        <f>IF(BD49=1,ROUND(AQ49/60,4),"")</f>
        <v/>
      </c>
      <c r="N49" s="71" t="str">
        <f>IF(AND(D49="proMX",AB49=1),ROUND(AG49/CFG_BLK,2),"")</f>
        <v/>
      </c>
      <c r="O49" s="77" t="str">
        <f>IF(D49="proMX",IF(BD49=1,ROUND(AG49/60,4),0),"")</f>
        <v/>
      </c>
      <c r="P49" s="78" t="str">
        <f>IF(Y49=0,"",IF(BD49=1,"OK",IF(D49="proMX","Revisar bloques: ","Revisar: ")&amp;BC49))</f>
        <v/>
      </c>
      <c r="Q49" s="78" t="str">
        <f>IF(NOT(ISNUMBER(B49)),"",IF(COUNTIFS(FER_F,INT(B49))&gt;0,"Feriado"&amp;IF(AH49=1," (laborable)"," (no laborable)"),IF(AH49=1,"Laborable",IF(WEEKDAY(B49,2)&gt;5,"Fin de semana","No laborable"))))</f>
        <v/>
      </c>
      <c r="R49" s="73" t="n"/>
      <c r="S49" s="72" t="n"/>
      <c r="T49" s="72" t="n"/>
      <c r="U49" s="74" t="n"/>
      <c r="V49" s="79" t="str">
        <f>IF(AND(D49="proMX",OR(R49="Submitted",R49="Recall Requested"),ISNUMBER(S49)),CFG_TODAY-INT(S49),"")</f>
        <v/>
      </c>
      <c r="W49" s="78" t="str">
        <f>IF(BD49=0,"",IF(BA49&gt;0,"⚠ Se superpone con un registro de la otra empresa",IF(D49="Malcolm",IF(COUNTA(R49,S49,T49)&gt;0,"Estado/fechas proMX se ignoran en Malcolm",""),IF(BF49="Cancelled","Cancelado: excluido de totales",IF(R49="","Sin estado: se trata como Draft",IF(BF49="Submitted",IF(ISNUMBER(V49),IF(V49&gt;CFG_MAXD,"⚠ "&amp;V49&amp;" días en Submitted (máx. "&amp;CFG_MAXD&amp;")",""),"Falta fecha de envío"),IF(BF49="Returned","⚠ Devuelto: corregir y reenviar",IF(BF49="Recall Requested","Retirada solicitada: pendiente",IF(AND(BF49="Approved",NOT(ISNUMBER(T49))),"Falta fecha de aprobación",IF(AND(ISNUMBER(S49),ISNUMBER(T49),T49&lt;S49),"Aprobación anterior al envío","")))))))))</f>
        <v/>
      </c>
      <c r="Y49" s="80">
        <f>IF(COUNTA(B49,D49,E49,F49,G49,H49,I49,J49,R49,S49,T49)&gt;0,1,0)</f>
        <v>0</v>
      </c>
      <c r="Z49" s="80" t="str">
        <f>IF(AND(ISNUMBER(H49),H49&gt;=0,H49&lt;1),ROUND(H49*1440,0),"")</f>
        <v/>
      </c>
      <c r="AA49" s="80" t="str">
        <f>IF(AND(ISNUMBER(I49),I49&gt;=0,I49&lt;1),ROUND(I49*1440,0),"")</f>
        <v/>
      </c>
      <c r="AB49" s="80">
        <f>IF(AND(ISNUMBER(B49),D49&lt;&gt;"",ISNUMBER(Z49),ISNUMBER(AA49)),IF(Z49=AA49,0,1),0)</f>
        <v>0</v>
      </c>
      <c r="AC49" s="80">
        <f>IF(AB49=1,IF(AA49&lt;Z49,1,0),0)</f>
        <v>0</v>
      </c>
      <c r="AD49" s="80">
        <f>IF(AB49=1,IF(AC49=1,1440-Z49+AA49,AA49-Z49),0)</f>
        <v>0</v>
      </c>
      <c r="AE49" s="80">
        <f>IF(J49="",0,IF(ISNUMBER(J49),J49,-1))</f>
        <v>0</v>
      </c>
      <c r="AF49" s="80">
        <f>MIN(MAX(0,AE49),AD49)</f>
        <v>0</v>
      </c>
      <c r="AG49" s="80">
        <f>MAX(0,AD49-MAX(0,AE49))</f>
        <v>0</v>
      </c>
      <c r="AH49" s="80">
        <f>IF(ISNUMBER(B49),IF(AND(INDEX(CFG_WDAYS,WEEKDAY(INT(B49),2))="Sí",IF(D49="proMX",COUNTIFS(FER_F,INT(B49),FER_NLP,"Sí"),COUNTIFS(FER_F,INT(B49),FER_NLM,"Sí"))=0),1,0),0)</f>
        <v>0</v>
      </c>
      <c r="AI49" s="80">
        <f>IF(AC49=1,IF(AND(INDEX(CFG_WDAYS,WEEKDAY(INT(B49)+1,2))="Sí",IF(D49="proMX",COUNTIFS(FER_F,INT(B49)+1,FER_NLP,"Sí"),COUNTIFS(FER_F,INT(B49)+1,FER_NLM,"Sí"))=0),1,0),0)</f>
        <v>0</v>
      </c>
      <c r="AJ49" s="80">
        <f>IF(AC49=1,1440-Z49,AD49)</f>
        <v>0</v>
      </c>
      <c r="AK49" s="80">
        <f>IF(AND(AB49=1,AH49=1),MAX(0,MIN(IF(AC49=1,1440,AA49),CFG_WEM)-MAX(Z49,CFG_WSM)),0)</f>
        <v>0</v>
      </c>
      <c r="AL49" s="80">
        <f>IF(AND(AC49=1,AI49=1),MAX(0,MIN(AA49,CFG_WEM)-CFG_WSM),0)</f>
        <v>0</v>
      </c>
      <c r="AM49" s="80">
        <f>AK49+AL49</f>
        <v>0</v>
      </c>
      <c r="AN49" s="80">
        <f>IF(CFG_BRK="Proporcional",IF(AD49=0,0,AF49*AM49/AD49),IF(CFG_BRK="Extras primero",MIN(AM49,MAX(0,AF49-(AD49-AM49))),MIN(AF49,AM49)))</f>
        <v>0</v>
      </c>
      <c r="AO49" s="80">
        <f>AF49-AN49</f>
        <v>0</v>
      </c>
      <c r="AP49" s="80">
        <f>AM49-AN49</f>
        <v>0</v>
      </c>
      <c r="AQ49" s="80">
        <f>AD49-AM49-AO49</f>
        <v>0</v>
      </c>
      <c r="AR49" s="80">
        <f>IF(AM49=0,0,AK49-AN49*AK49/AM49)</f>
        <v>0</v>
      </c>
      <c r="AS49" s="80">
        <f>IF(AD49-AM49=0,0,(AJ49-AK49)-AO49*(AJ49-AK49)/(AD49-AM49))</f>
        <v>0</v>
      </c>
      <c r="AT49" s="80" t="str">
        <f>IF(AC49=1,INT(B49)+1,"")</f>
        <v/>
      </c>
      <c r="AU49" s="80">
        <f>IF(AND(D49="proMX",R49="Cancelled"),0,1)</f>
        <v>1</v>
      </c>
      <c r="AV49" s="80">
        <f>IF(AND(AB49=1,AU49=1),IF(COUNTIFS($D$5:D48,D49,$B$5:B48,B49,$Z$5:Z48,Z49,$AA$5:AA48,AA49,$F$5:F48,F49&amp;"",$AU$5:AU48,1)&gt;0,1,0),0)</f>
        <v>0</v>
      </c>
      <c r="AW49" s="80" t="str">
        <f>IF(AB49=1,INT(B49)*1440+Z49,"")</f>
        <v/>
      </c>
      <c r="AX49" s="80" t="str">
        <f>IF(AB49=1,AW49+AD49,"")</f>
        <v/>
      </c>
      <c r="AY49" s="80">
        <f>IF(AND(AB49=1,AV49=0,AU49=1),1,0)</f>
        <v>0</v>
      </c>
      <c r="AZ49" s="80">
        <f>IF(AY49=1,COUNTIFS(R_Emp,D49,R_SAbs,"&lt;"&amp;AX49,R_EAbs,"&gt;"&amp;AW49,R_OKey,1)-1,0)</f>
        <v>0</v>
      </c>
      <c r="BA49" s="80">
        <f>IF(AY49=1,COUNTIFS(R_Emp,"&lt;&gt;"&amp;D49,R_SAbs,"&lt;"&amp;AX49,R_EAbs,"&gt;"&amp;AW49,R_OKey,1),0)</f>
        <v>0</v>
      </c>
      <c r="BB49" s="80">
        <f>IF(AND(AB49=1,D49="proMX"),IF(AND(MOD(Z49,CFG_BLK)=0,MOD(AA49,CFG_BLK)=0,MOD(AG49,CFG_BLK)=0,AG49&gt;0),1,0),1)</f>
        <v>1</v>
      </c>
      <c r="BC49" s="80" t="str">
        <f>IF(Y49=0,"",IF(NOT(ISNUMBER(B49)),"Falta fecha o fecha inválida",IF(D49="","Falta empresa",IF(AND(D49&lt;&gt;"Malcolm",D49&lt;&gt;"proMX"),"Empresa inválida",IF(OR(INT(B49)&lt;CFG_PSTART,INT(B49)&gt;CFG_PEND),"Fecha fuera del período",IF(OR(NOT(ISNUMBER(Z49)),NOT(ISNUMBER(AA49))),"Falta hora inicio/fin o formato inválido",IF(AB49=0,"Hora inicio = hora fin",IF(AE49&lt;0,"Descanso inválido",IF(AE49&gt;=AD49,"Descanso ≥ duración",IF(AV49=1,"Registro duplicado",IF(AZ49&gt;0,"Se superpone con otro registro "&amp;D49,IF(BB49=0,"inicio, fin y duración neta deben ser múltiplos de "&amp;CFG_BLK&amp;" min",""))))))))))))</f>
        <v/>
      </c>
      <c r="BD49" s="80">
        <f>IF(AND(Y49=1,BC49=""),1,0)</f>
        <v>0</v>
      </c>
      <c r="BE49" s="80">
        <f>IF(AND(BD49=1,AU49=1),1,0)</f>
        <v>0</v>
      </c>
      <c r="BF49" s="80" t="str">
        <f>IF(AND(D49="proMX",BD49=1),IF(R49="","Draft",R49),"")</f>
        <v/>
      </c>
      <c r="BG49" s="80">
        <f>IF(BD49=1,ROUND(AG49/60,6),0)</f>
        <v>0</v>
      </c>
      <c r="BH49" s="80">
        <f>IF(BE49=1,ROUND(AG49/60,6),0)</f>
        <v>0</v>
      </c>
      <c r="BI49" s="80">
        <f>IF(BE49=1,ROUND(AP49/60,6),0)</f>
        <v>0</v>
      </c>
      <c r="BJ49" s="80">
        <f>IF(BE49=1,ROUND(AQ49/60,6),0)</f>
        <v>0</v>
      </c>
      <c r="BK49" s="80">
        <f>IF(BE49=1,ROUND((AR49+AS49)/60,6),0)</f>
        <v>0</v>
      </c>
      <c r="BL49" s="80">
        <f>ROUND(BH49-BK49,6)</f>
        <v>0</v>
      </c>
      <c r="BM49" s="80">
        <f>IF(BE49=1,ROUND(AR49/60,6),0)</f>
        <v>0</v>
      </c>
      <c r="BN49" s="80">
        <f>ROUND(BI49-BM49,6)</f>
        <v>0</v>
      </c>
      <c r="BO49" s="80">
        <f>IF(BE49=1,ROUND(AS49/60,6),0)</f>
        <v>0</v>
      </c>
      <c r="BP49" s="80">
        <f>ROUND(BJ49-BO49,6)</f>
        <v>0</v>
      </c>
      <c r="BQ49" s="80">
        <f>IF(BE49=1,AW49,0)</f>
        <v>0</v>
      </c>
      <c r="BR49" s="80">
        <f>IF(BE49=1,AX49,0)</f>
        <v>0</v>
      </c>
      <c r="BS49" s="80">
        <f>IF(AND(BE49=1,D49="Malcolm",BA49&gt;0),MIN(BH49,SUMPRODUCT((R_Emp="proMX")*(R_EN&gt;0)*((R_EN-(R_EN&gt;BR49)*(R_EN-BR49))&gt;(R_SN+(R_SN&lt;BQ49)*(BQ49-R_SN)))*((R_EN-(R_EN&gt;BR49)*(R_EN-BR49))-(R_SN+(R_SN&lt;BQ49)*(BQ49-R_SN))))/60),0)</f>
        <v>0</v>
      </c>
      <c r="BT49" s="80">
        <f>IF(AND(BE49=1,D49="proMX"),ROUND(BI49*CFG_RATE+BJ49*CFG_OTRATE,6),0)</f>
        <v>0</v>
      </c>
      <c r="BU49" s="80">
        <f>IF(AND(BD49=1,D49="proMX"),ROUND(AG49/CFG_BLK,6),0)</f>
        <v>0</v>
      </c>
      <c r="BV49" s="80" t="str">
        <f>IF(BF49="Approved",IF(ISNUMBER(T49),INT(T49),INT(B49)),"")</f>
        <v/>
      </c>
      <c r="BW49" s="80">
        <f>IF(ISNUMBER(B49),IF(DB_MON="Todos",1,IF(AND(INT(B49)&gt;=DB_MS,INT(B49)&lt;=DB_ME),1,0)),0)</f>
        <v>0</v>
      </c>
      <c r="BX49" s="80">
        <f>IF(DB_PROJ="Todos",1,IF(E49&amp;""=DB_PROJ&amp;"",1,0))</f>
        <v>1</v>
      </c>
      <c r="BY49" s="80">
        <f>BW49*BX49</f>
        <v>0</v>
      </c>
      <c r="BZ49" s="80" t="str">
        <f>IF(Y49=1,F49&amp;IF(AND(F49&amp;""&lt;&gt;"",E49&amp;""&lt;&gt;"")," · ","")&amp;E49,"")</f>
        <v/>
      </c>
      <c r="CA49" s="80" t="str">
        <f>IF(AND(BD49=1,E49&amp;""&lt;&gt;""),IF(COUNTIFS($E$5:E48,E49,$BD$5:BD48,1)=0,MAX($CA$5:CA48)+1,""),"")</f>
        <v/>
      </c>
      <c r="CB49" s="80" t="str">
        <f>IF(AND(BE49=1,D49="Malcolm",E49&amp;""&lt;&gt;""),IF(COUNTIFS($D$5:D48,"Malcolm",$E$5:E48,E49,$BE$5:BE48,1)=0,MAX($CB$5:CB48)+1,""),"")</f>
        <v/>
      </c>
      <c r="CC49" s="80" t="str">
        <f>IF(AND(BD49=1,D49="proMX",E49&amp;""&lt;&gt;""),IF(COUNTIFS($D$5:D48,"proMX",$E$5:E48,E49,$BD$5:BD48,1)=0,MAX($CC$5:CC48)+1,""),"")</f>
        <v/>
      </c>
      <c r="CD49" s="80" t="str">
        <f>IF(AND(BE49=1,D49="Malcolm",F49&amp;""&lt;&gt;""),IF(COUNTIFS($D$5:D48,"Malcolm",$F$5:F48,F49,$BE$5:BE48,1)=0,MAX($CD$5:CD48)+1,""),"")</f>
        <v/>
      </c>
      <c r="CE49" s="80" t="str">
        <f>IF(AND(BD49=1,D49="proMX",F49&amp;""&lt;&gt;""),IF(COUNTIFS($D$5:D48,"proMX",$F$5:F48,F49,$BD$5:BD48,1)=0,MAX($CE$5:CE48)+1,""),"")</f>
        <v/>
      </c>
      <c r="CF49" s="80" t="str">
        <f>IF(AND(D49="proMX",BD49=1),IF(OR(BF49="Draft",BF49="Submitted",BF49="Returned",BF49="Recall Requested"),MAX($CF$5:CF48)+1,""),"")</f>
        <v/>
      </c>
      <c r="CG49" s="80">
        <f>IF(BD49=0,0,IF(D49="Malcolm",1,MATCH(BF49,{"Draft","Submitted","Approved","Returned","Recall Requested","Cancelled"},0)+1))</f>
        <v>0</v>
      </c>
      <c r="CH49" s="80">
        <f>IF(AND(BF49="Submitted",ISNUMBER(V49)),IF(V49&gt;CFG_MAXD,1,0),0)</f>
        <v>0</v>
      </c>
    </row>
    <row r="50">
      <c r="A50" s="71" t="str">
        <f>IF(Y50=1,ROW()-5,"")</f>
        <v/>
      </c>
      <c r="B50" s="72" t="n"/>
      <c r="C50" s="71" t="str">
        <f>IF(ISNUMBER(B50),CHOOSE(WEEKDAY(B50,2),"Lun","Mar","Mié","Jue","Vie","Sáb","Dom"),"")</f>
        <v/>
      </c>
      <c r="D50" s="73" t="n"/>
      <c r="E50" s="74" t="n"/>
      <c r="F50" s="74" t="n"/>
      <c r="G50" s="74" t="n"/>
      <c r="H50" s="75" t="n"/>
      <c r="I50" s="75" t="n"/>
      <c r="J50" s="76" t="n"/>
      <c r="K50" s="77" t="str">
        <f>IF(AB50=1,ROUND(AG50/60,4),"")</f>
        <v/>
      </c>
      <c r="L50" s="77" t="str">
        <f>IF(BD50=1,ROUND(AP50/60,4),"")</f>
        <v/>
      </c>
      <c r="M50" s="77" t="str">
        <f>IF(BD50=1,ROUND(AQ50/60,4),"")</f>
        <v/>
      </c>
      <c r="N50" s="71" t="str">
        <f>IF(AND(D50="proMX",AB50=1),ROUND(AG50/CFG_BLK,2),"")</f>
        <v/>
      </c>
      <c r="O50" s="77" t="str">
        <f>IF(D50="proMX",IF(BD50=1,ROUND(AG50/60,4),0),"")</f>
        <v/>
      </c>
      <c r="P50" s="78" t="str">
        <f>IF(Y50=0,"",IF(BD50=1,"OK",IF(D50="proMX","Revisar bloques: ","Revisar: ")&amp;BC50))</f>
        <v/>
      </c>
      <c r="Q50" s="78" t="str">
        <f>IF(NOT(ISNUMBER(B50)),"",IF(COUNTIFS(FER_F,INT(B50))&gt;0,"Feriado"&amp;IF(AH50=1," (laborable)"," (no laborable)"),IF(AH50=1,"Laborable",IF(WEEKDAY(B50,2)&gt;5,"Fin de semana","No laborable"))))</f>
        <v/>
      </c>
      <c r="R50" s="73" t="n"/>
      <c r="S50" s="72" t="n"/>
      <c r="T50" s="72" t="n"/>
      <c r="U50" s="74" t="n"/>
      <c r="V50" s="79" t="str">
        <f>IF(AND(D50="proMX",OR(R50="Submitted",R50="Recall Requested"),ISNUMBER(S50)),CFG_TODAY-INT(S50),"")</f>
        <v/>
      </c>
      <c r="W50" s="78" t="str">
        <f>IF(BD50=0,"",IF(BA50&gt;0,"⚠ Se superpone con un registro de la otra empresa",IF(D50="Malcolm",IF(COUNTA(R50,S50,T50)&gt;0,"Estado/fechas proMX se ignoran en Malcolm",""),IF(BF50="Cancelled","Cancelado: excluido de totales",IF(R50="","Sin estado: se trata como Draft",IF(BF50="Submitted",IF(ISNUMBER(V50),IF(V50&gt;CFG_MAXD,"⚠ "&amp;V50&amp;" días en Submitted (máx. "&amp;CFG_MAXD&amp;")",""),"Falta fecha de envío"),IF(BF50="Returned","⚠ Devuelto: corregir y reenviar",IF(BF50="Recall Requested","Retirada solicitada: pendiente",IF(AND(BF50="Approved",NOT(ISNUMBER(T50))),"Falta fecha de aprobación",IF(AND(ISNUMBER(S50),ISNUMBER(T50),T50&lt;S50),"Aprobación anterior al envío","")))))))))</f>
        <v/>
      </c>
      <c r="Y50" s="80">
        <f>IF(COUNTA(B50,D50,E50,F50,G50,H50,I50,J50,R50,S50,T50)&gt;0,1,0)</f>
        <v>0</v>
      </c>
      <c r="Z50" s="80" t="str">
        <f>IF(AND(ISNUMBER(H50),H50&gt;=0,H50&lt;1),ROUND(H50*1440,0),"")</f>
        <v/>
      </c>
      <c r="AA50" s="80" t="str">
        <f>IF(AND(ISNUMBER(I50),I50&gt;=0,I50&lt;1),ROUND(I50*1440,0),"")</f>
        <v/>
      </c>
      <c r="AB50" s="80">
        <f>IF(AND(ISNUMBER(B50),D50&lt;&gt;"",ISNUMBER(Z50),ISNUMBER(AA50)),IF(Z50=AA50,0,1),0)</f>
        <v>0</v>
      </c>
      <c r="AC50" s="80">
        <f>IF(AB50=1,IF(AA50&lt;Z50,1,0),0)</f>
        <v>0</v>
      </c>
      <c r="AD50" s="80">
        <f>IF(AB50=1,IF(AC50=1,1440-Z50+AA50,AA50-Z50),0)</f>
        <v>0</v>
      </c>
      <c r="AE50" s="80">
        <f>IF(J50="",0,IF(ISNUMBER(J50),J50,-1))</f>
        <v>0</v>
      </c>
      <c r="AF50" s="80">
        <f>MIN(MAX(0,AE50),AD50)</f>
        <v>0</v>
      </c>
      <c r="AG50" s="80">
        <f>MAX(0,AD50-MAX(0,AE50))</f>
        <v>0</v>
      </c>
      <c r="AH50" s="80">
        <f>IF(ISNUMBER(B50),IF(AND(INDEX(CFG_WDAYS,WEEKDAY(INT(B50),2))="Sí",IF(D50="proMX",COUNTIFS(FER_F,INT(B50),FER_NLP,"Sí"),COUNTIFS(FER_F,INT(B50),FER_NLM,"Sí"))=0),1,0),0)</f>
        <v>0</v>
      </c>
      <c r="AI50" s="80">
        <f>IF(AC50=1,IF(AND(INDEX(CFG_WDAYS,WEEKDAY(INT(B50)+1,2))="Sí",IF(D50="proMX",COUNTIFS(FER_F,INT(B50)+1,FER_NLP,"Sí"),COUNTIFS(FER_F,INT(B50)+1,FER_NLM,"Sí"))=0),1,0),0)</f>
        <v>0</v>
      </c>
      <c r="AJ50" s="80">
        <f>IF(AC50=1,1440-Z50,AD50)</f>
        <v>0</v>
      </c>
      <c r="AK50" s="80">
        <f>IF(AND(AB50=1,AH50=1),MAX(0,MIN(IF(AC50=1,1440,AA50),CFG_WEM)-MAX(Z50,CFG_WSM)),0)</f>
        <v>0</v>
      </c>
      <c r="AL50" s="80">
        <f>IF(AND(AC50=1,AI50=1),MAX(0,MIN(AA50,CFG_WEM)-CFG_WSM),0)</f>
        <v>0</v>
      </c>
      <c r="AM50" s="80">
        <f>AK50+AL50</f>
        <v>0</v>
      </c>
      <c r="AN50" s="80">
        <f>IF(CFG_BRK="Proporcional",IF(AD50=0,0,AF50*AM50/AD50),IF(CFG_BRK="Extras primero",MIN(AM50,MAX(0,AF50-(AD50-AM50))),MIN(AF50,AM50)))</f>
        <v>0</v>
      </c>
      <c r="AO50" s="80">
        <f>AF50-AN50</f>
        <v>0</v>
      </c>
      <c r="AP50" s="80">
        <f>AM50-AN50</f>
        <v>0</v>
      </c>
      <c r="AQ50" s="80">
        <f>AD50-AM50-AO50</f>
        <v>0</v>
      </c>
      <c r="AR50" s="80">
        <f>IF(AM50=0,0,AK50-AN50*AK50/AM50)</f>
        <v>0</v>
      </c>
      <c r="AS50" s="80">
        <f>IF(AD50-AM50=0,0,(AJ50-AK50)-AO50*(AJ50-AK50)/(AD50-AM50))</f>
        <v>0</v>
      </c>
      <c r="AT50" s="80" t="str">
        <f>IF(AC50=1,INT(B50)+1,"")</f>
        <v/>
      </c>
      <c r="AU50" s="80">
        <f>IF(AND(D50="proMX",R50="Cancelled"),0,1)</f>
        <v>1</v>
      </c>
      <c r="AV50" s="80">
        <f>IF(AND(AB50=1,AU50=1),IF(COUNTIFS($D$5:D49,D50,$B$5:B49,B50,$Z$5:Z49,Z50,$AA$5:AA49,AA50,$F$5:F49,F50&amp;"",$AU$5:AU49,1)&gt;0,1,0),0)</f>
        <v>0</v>
      </c>
      <c r="AW50" s="80" t="str">
        <f>IF(AB50=1,INT(B50)*1440+Z50,"")</f>
        <v/>
      </c>
      <c r="AX50" s="80" t="str">
        <f>IF(AB50=1,AW50+AD50,"")</f>
        <v/>
      </c>
      <c r="AY50" s="80">
        <f>IF(AND(AB50=1,AV50=0,AU50=1),1,0)</f>
        <v>0</v>
      </c>
      <c r="AZ50" s="80">
        <f>IF(AY50=1,COUNTIFS(R_Emp,D50,R_SAbs,"&lt;"&amp;AX50,R_EAbs,"&gt;"&amp;AW50,R_OKey,1)-1,0)</f>
        <v>0</v>
      </c>
      <c r="BA50" s="80">
        <f>IF(AY50=1,COUNTIFS(R_Emp,"&lt;&gt;"&amp;D50,R_SAbs,"&lt;"&amp;AX50,R_EAbs,"&gt;"&amp;AW50,R_OKey,1),0)</f>
        <v>0</v>
      </c>
      <c r="BB50" s="80">
        <f>IF(AND(AB50=1,D50="proMX"),IF(AND(MOD(Z50,CFG_BLK)=0,MOD(AA50,CFG_BLK)=0,MOD(AG50,CFG_BLK)=0,AG50&gt;0),1,0),1)</f>
        <v>1</v>
      </c>
      <c r="BC50" s="80" t="str">
        <f>IF(Y50=0,"",IF(NOT(ISNUMBER(B50)),"Falta fecha o fecha inválida",IF(D50="","Falta empresa",IF(AND(D50&lt;&gt;"Malcolm",D50&lt;&gt;"proMX"),"Empresa inválida",IF(OR(INT(B50)&lt;CFG_PSTART,INT(B50)&gt;CFG_PEND),"Fecha fuera del período",IF(OR(NOT(ISNUMBER(Z50)),NOT(ISNUMBER(AA50))),"Falta hora inicio/fin o formato inválido",IF(AB50=0,"Hora inicio = hora fin",IF(AE50&lt;0,"Descanso inválido",IF(AE50&gt;=AD50,"Descanso ≥ duración",IF(AV50=1,"Registro duplicado",IF(AZ50&gt;0,"Se superpone con otro registro "&amp;D50,IF(BB50=0,"inicio, fin y duración neta deben ser múltiplos de "&amp;CFG_BLK&amp;" min",""))))))))))))</f>
        <v/>
      </c>
      <c r="BD50" s="80">
        <f>IF(AND(Y50=1,BC50=""),1,0)</f>
        <v>0</v>
      </c>
      <c r="BE50" s="80">
        <f>IF(AND(BD50=1,AU50=1),1,0)</f>
        <v>0</v>
      </c>
      <c r="BF50" s="80" t="str">
        <f>IF(AND(D50="proMX",BD50=1),IF(R50="","Draft",R50),"")</f>
        <v/>
      </c>
      <c r="BG50" s="80">
        <f>IF(BD50=1,ROUND(AG50/60,6),0)</f>
        <v>0</v>
      </c>
      <c r="BH50" s="80">
        <f>IF(BE50=1,ROUND(AG50/60,6),0)</f>
        <v>0</v>
      </c>
      <c r="BI50" s="80">
        <f>IF(BE50=1,ROUND(AP50/60,6),0)</f>
        <v>0</v>
      </c>
      <c r="BJ50" s="80">
        <f>IF(BE50=1,ROUND(AQ50/60,6),0)</f>
        <v>0</v>
      </c>
      <c r="BK50" s="80">
        <f>IF(BE50=1,ROUND((AR50+AS50)/60,6),0)</f>
        <v>0</v>
      </c>
      <c r="BL50" s="80">
        <f>ROUND(BH50-BK50,6)</f>
        <v>0</v>
      </c>
      <c r="BM50" s="80">
        <f>IF(BE50=1,ROUND(AR50/60,6),0)</f>
        <v>0</v>
      </c>
      <c r="BN50" s="80">
        <f>ROUND(BI50-BM50,6)</f>
        <v>0</v>
      </c>
      <c r="BO50" s="80">
        <f>IF(BE50=1,ROUND(AS50/60,6),0)</f>
        <v>0</v>
      </c>
      <c r="BP50" s="80">
        <f>ROUND(BJ50-BO50,6)</f>
        <v>0</v>
      </c>
      <c r="BQ50" s="80">
        <f>IF(BE50=1,AW50,0)</f>
        <v>0</v>
      </c>
      <c r="BR50" s="80">
        <f>IF(BE50=1,AX50,0)</f>
        <v>0</v>
      </c>
      <c r="BS50" s="80">
        <f>IF(AND(BE50=1,D50="Malcolm",BA50&gt;0),MIN(BH50,SUMPRODUCT((R_Emp="proMX")*(R_EN&gt;0)*((R_EN-(R_EN&gt;BR50)*(R_EN-BR50))&gt;(R_SN+(R_SN&lt;BQ50)*(BQ50-R_SN)))*((R_EN-(R_EN&gt;BR50)*(R_EN-BR50))-(R_SN+(R_SN&lt;BQ50)*(BQ50-R_SN))))/60),0)</f>
        <v>0</v>
      </c>
      <c r="BT50" s="80">
        <f>IF(AND(BE50=1,D50="proMX"),ROUND(BI50*CFG_RATE+BJ50*CFG_OTRATE,6),0)</f>
        <v>0</v>
      </c>
      <c r="BU50" s="80">
        <f>IF(AND(BD50=1,D50="proMX"),ROUND(AG50/CFG_BLK,6),0)</f>
        <v>0</v>
      </c>
      <c r="BV50" s="80" t="str">
        <f>IF(BF50="Approved",IF(ISNUMBER(T50),INT(T50),INT(B50)),"")</f>
        <v/>
      </c>
      <c r="BW50" s="80">
        <f>IF(ISNUMBER(B50),IF(DB_MON="Todos",1,IF(AND(INT(B50)&gt;=DB_MS,INT(B50)&lt;=DB_ME),1,0)),0)</f>
        <v>0</v>
      </c>
      <c r="BX50" s="80">
        <f>IF(DB_PROJ="Todos",1,IF(E50&amp;""=DB_PROJ&amp;"",1,0))</f>
        <v>1</v>
      </c>
      <c r="BY50" s="80">
        <f>BW50*BX50</f>
        <v>0</v>
      </c>
      <c r="BZ50" s="80" t="str">
        <f>IF(Y50=1,F50&amp;IF(AND(F50&amp;""&lt;&gt;"",E50&amp;""&lt;&gt;"")," · ","")&amp;E50,"")</f>
        <v/>
      </c>
      <c r="CA50" s="80" t="str">
        <f>IF(AND(BD50=1,E50&amp;""&lt;&gt;""),IF(COUNTIFS($E$5:E49,E50,$BD$5:BD49,1)=0,MAX($CA$5:CA49)+1,""),"")</f>
        <v/>
      </c>
      <c r="CB50" s="80" t="str">
        <f>IF(AND(BE50=1,D50="Malcolm",E50&amp;""&lt;&gt;""),IF(COUNTIFS($D$5:D49,"Malcolm",$E$5:E49,E50,$BE$5:BE49,1)=0,MAX($CB$5:CB49)+1,""),"")</f>
        <v/>
      </c>
      <c r="CC50" s="80" t="str">
        <f>IF(AND(BD50=1,D50="proMX",E50&amp;""&lt;&gt;""),IF(COUNTIFS($D$5:D49,"proMX",$E$5:E49,E50,$BD$5:BD49,1)=0,MAX($CC$5:CC49)+1,""),"")</f>
        <v/>
      </c>
      <c r="CD50" s="80" t="str">
        <f>IF(AND(BE50=1,D50="Malcolm",F50&amp;""&lt;&gt;""),IF(COUNTIFS($D$5:D49,"Malcolm",$F$5:F49,F50,$BE$5:BE49,1)=0,MAX($CD$5:CD49)+1,""),"")</f>
        <v/>
      </c>
      <c r="CE50" s="80" t="str">
        <f>IF(AND(BD50=1,D50="proMX",F50&amp;""&lt;&gt;""),IF(COUNTIFS($D$5:D49,"proMX",$F$5:F49,F50,$BD$5:BD49,1)=0,MAX($CE$5:CE49)+1,""),"")</f>
        <v/>
      </c>
      <c r="CF50" s="80" t="str">
        <f>IF(AND(D50="proMX",BD50=1),IF(OR(BF50="Draft",BF50="Submitted",BF50="Returned",BF50="Recall Requested"),MAX($CF$5:CF49)+1,""),"")</f>
        <v/>
      </c>
      <c r="CG50" s="80">
        <f>IF(BD50=0,0,IF(D50="Malcolm",1,MATCH(BF50,{"Draft","Submitted","Approved","Returned","Recall Requested","Cancelled"},0)+1))</f>
        <v>0</v>
      </c>
      <c r="CH50" s="80">
        <f>IF(AND(BF50="Submitted",ISNUMBER(V50)),IF(V50&gt;CFG_MAXD,1,0),0)</f>
        <v>0</v>
      </c>
    </row>
    <row r="51">
      <c r="A51" s="71" t="str">
        <f>IF(Y51=1,ROW()-5,"")</f>
        <v/>
      </c>
      <c r="B51" s="72" t="n"/>
      <c r="C51" s="71" t="str">
        <f>IF(ISNUMBER(B51),CHOOSE(WEEKDAY(B51,2),"Lun","Mar","Mié","Jue","Vie","Sáb","Dom"),"")</f>
        <v/>
      </c>
      <c r="D51" s="73" t="n"/>
      <c r="E51" s="74" t="n"/>
      <c r="F51" s="74" t="n"/>
      <c r="G51" s="74" t="n"/>
      <c r="H51" s="75" t="n"/>
      <c r="I51" s="75" t="n"/>
      <c r="J51" s="76" t="n"/>
      <c r="K51" s="77" t="str">
        <f>IF(AB51=1,ROUND(AG51/60,4),"")</f>
        <v/>
      </c>
      <c r="L51" s="77" t="str">
        <f>IF(BD51=1,ROUND(AP51/60,4),"")</f>
        <v/>
      </c>
      <c r="M51" s="77" t="str">
        <f>IF(BD51=1,ROUND(AQ51/60,4),"")</f>
        <v/>
      </c>
      <c r="N51" s="71" t="str">
        <f>IF(AND(D51="proMX",AB51=1),ROUND(AG51/CFG_BLK,2),"")</f>
        <v/>
      </c>
      <c r="O51" s="77" t="str">
        <f>IF(D51="proMX",IF(BD51=1,ROUND(AG51/60,4),0),"")</f>
        <v/>
      </c>
      <c r="P51" s="78" t="str">
        <f>IF(Y51=0,"",IF(BD51=1,"OK",IF(D51="proMX","Revisar bloques: ","Revisar: ")&amp;BC51))</f>
        <v/>
      </c>
      <c r="Q51" s="78" t="str">
        <f>IF(NOT(ISNUMBER(B51)),"",IF(COUNTIFS(FER_F,INT(B51))&gt;0,"Feriado"&amp;IF(AH51=1," (laborable)"," (no laborable)"),IF(AH51=1,"Laborable",IF(WEEKDAY(B51,2)&gt;5,"Fin de semana","No laborable"))))</f>
        <v/>
      </c>
      <c r="R51" s="73" t="n"/>
      <c r="S51" s="72" t="n"/>
      <c r="T51" s="72" t="n"/>
      <c r="U51" s="74" t="n"/>
      <c r="V51" s="79" t="str">
        <f>IF(AND(D51="proMX",OR(R51="Submitted",R51="Recall Requested"),ISNUMBER(S51)),CFG_TODAY-INT(S51),"")</f>
        <v/>
      </c>
      <c r="W51" s="78" t="str">
        <f>IF(BD51=0,"",IF(BA51&gt;0,"⚠ Se superpone con un registro de la otra empresa",IF(D51="Malcolm",IF(COUNTA(R51,S51,T51)&gt;0,"Estado/fechas proMX se ignoran en Malcolm",""),IF(BF51="Cancelled","Cancelado: excluido de totales",IF(R51="","Sin estado: se trata como Draft",IF(BF51="Submitted",IF(ISNUMBER(V51),IF(V51&gt;CFG_MAXD,"⚠ "&amp;V51&amp;" días en Submitted (máx. "&amp;CFG_MAXD&amp;")",""),"Falta fecha de envío"),IF(BF51="Returned","⚠ Devuelto: corregir y reenviar",IF(BF51="Recall Requested","Retirada solicitada: pendiente",IF(AND(BF51="Approved",NOT(ISNUMBER(T51))),"Falta fecha de aprobación",IF(AND(ISNUMBER(S51),ISNUMBER(T51),T51&lt;S51),"Aprobación anterior al envío","")))))))))</f>
        <v/>
      </c>
      <c r="Y51" s="80">
        <f>IF(COUNTA(B51,D51,E51,F51,G51,H51,I51,J51,R51,S51,T51)&gt;0,1,0)</f>
        <v>0</v>
      </c>
      <c r="Z51" s="80" t="str">
        <f>IF(AND(ISNUMBER(H51),H51&gt;=0,H51&lt;1),ROUND(H51*1440,0),"")</f>
        <v/>
      </c>
      <c r="AA51" s="80" t="str">
        <f>IF(AND(ISNUMBER(I51),I51&gt;=0,I51&lt;1),ROUND(I51*1440,0),"")</f>
        <v/>
      </c>
      <c r="AB51" s="80">
        <f>IF(AND(ISNUMBER(B51),D51&lt;&gt;"",ISNUMBER(Z51),ISNUMBER(AA51)),IF(Z51=AA51,0,1),0)</f>
        <v>0</v>
      </c>
      <c r="AC51" s="80">
        <f>IF(AB51=1,IF(AA51&lt;Z51,1,0),0)</f>
        <v>0</v>
      </c>
      <c r="AD51" s="80">
        <f>IF(AB51=1,IF(AC51=1,1440-Z51+AA51,AA51-Z51),0)</f>
        <v>0</v>
      </c>
      <c r="AE51" s="80">
        <f>IF(J51="",0,IF(ISNUMBER(J51),J51,-1))</f>
        <v>0</v>
      </c>
      <c r="AF51" s="80">
        <f>MIN(MAX(0,AE51),AD51)</f>
        <v>0</v>
      </c>
      <c r="AG51" s="80">
        <f>MAX(0,AD51-MAX(0,AE51))</f>
        <v>0</v>
      </c>
      <c r="AH51" s="80">
        <f>IF(ISNUMBER(B51),IF(AND(INDEX(CFG_WDAYS,WEEKDAY(INT(B51),2))="Sí",IF(D51="proMX",COUNTIFS(FER_F,INT(B51),FER_NLP,"Sí"),COUNTIFS(FER_F,INT(B51),FER_NLM,"Sí"))=0),1,0),0)</f>
        <v>0</v>
      </c>
      <c r="AI51" s="80">
        <f>IF(AC51=1,IF(AND(INDEX(CFG_WDAYS,WEEKDAY(INT(B51)+1,2))="Sí",IF(D51="proMX",COUNTIFS(FER_F,INT(B51)+1,FER_NLP,"Sí"),COUNTIFS(FER_F,INT(B51)+1,FER_NLM,"Sí"))=0),1,0),0)</f>
        <v>0</v>
      </c>
      <c r="AJ51" s="80">
        <f>IF(AC51=1,1440-Z51,AD51)</f>
        <v>0</v>
      </c>
      <c r="AK51" s="80">
        <f>IF(AND(AB51=1,AH51=1),MAX(0,MIN(IF(AC51=1,1440,AA51),CFG_WEM)-MAX(Z51,CFG_WSM)),0)</f>
        <v>0</v>
      </c>
      <c r="AL51" s="80">
        <f>IF(AND(AC51=1,AI51=1),MAX(0,MIN(AA51,CFG_WEM)-CFG_WSM),0)</f>
        <v>0</v>
      </c>
      <c r="AM51" s="80">
        <f>AK51+AL51</f>
        <v>0</v>
      </c>
      <c r="AN51" s="80">
        <f>IF(CFG_BRK="Proporcional",IF(AD51=0,0,AF51*AM51/AD51),IF(CFG_BRK="Extras primero",MIN(AM51,MAX(0,AF51-(AD51-AM51))),MIN(AF51,AM51)))</f>
        <v>0</v>
      </c>
      <c r="AO51" s="80">
        <f>AF51-AN51</f>
        <v>0</v>
      </c>
      <c r="AP51" s="80">
        <f>AM51-AN51</f>
        <v>0</v>
      </c>
      <c r="AQ51" s="80">
        <f>AD51-AM51-AO51</f>
        <v>0</v>
      </c>
      <c r="AR51" s="80">
        <f>IF(AM51=0,0,AK51-AN51*AK51/AM51)</f>
        <v>0</v>
      </c>
      <c r="AS51" s="80">
        <f>IF(AD51-AM51=0,0,(AJ51-AK51)-AO51*(AJ51-AK51)/(AD51-AM51))</f>
        <v>0</v>
      </c>
      <c r="AT51" s="80" t="str">
        <f>IF(AC51=1,INT(B51)+1,"")</f>
        <v/>
      </c>
      <c r="AU51" s="80">
        <f>IF(AND(D51="proMX",R51="Cancelled"),0,1)</f>
        <v>1</v>
      </c>
      <c r="AV51" s="80">
        <f>IF(AND(AB51=1,AU51=1),IF(COUNTIFS($D$5:D50,D51,$B$5:B50,B51,$Z$5:Z50,Z51,$AA$5:AA50,AA51,$F$5:F50,F51&amp;"",$AU$5:AU50,1)&gt;0,1,0),0)</f>
        <v>0</v>
      </c>
      <c r="AW51" s="80" t="str">
        <f>IF(AB51=1,INT(B51)*1440+Z51,"")</f>
        <v/>
      </c>
      <c r="AX51" s="80" t="str">
        <f>IF(AB51=1,AW51+AD51,"")</f>
        <v/>
      </c>
      <c r="AY51" s="80">
        <f>IF(AND(AB51=1,AV51=0,AU51=1),1,0)</f>
        <v>0</v>
      </c>
      <c r="AZ51" s="80">
        <f>IF(AY51=1,COUNTIFS(R_Emp,D51,R_SAbs,"&lt;"&amp;AX51,R_EAbs,"&gt;"&amp;AW51,R_OKey,1)-1,0)</f>
        <v>0</v>
      </c>
      <c r="BA51" s="80">
        <f>IF(AY51=1,COUNTIFS(R_Emp,"&lt;&gt;"&amp;D51,R_SAbs,"&lt;"&amp;AX51,R_EAbs,"&gt;"&amp;AW51,R_OKey,1),0)</f>
        <v>0</v>
      </c>
      <c r="BB51" s="80">
        <f>IF(AND(AB51=1,D51="proMX"),IF(AND(MOD(Z51,CFG_BLK)=0,MOD(AA51,CFG_BLK)=0,MOD(AG51,CFG_BLK)=0,AG51&gt;0),1,0),1)</f>
        <v>1</v>
      </c>
      <c r="BC51" s="80" t="str">
        <f>IF(Y51=0,"",IF(NOT(ISNUMBER(B51)),"Falta fecha o fecha inválida",IF(D51="","Falta empresa",IF(AND(D51&lt;&gt;"Malcolm",D51&lt;&gt;"proMX"),"Empresa inválida",IF(OR(INT(B51)&lt;CFG_PSTART,INT(B51)&gt;CFG_PEND),"Fecha fuera del período",IF(OR(NOT(ISNUMBER(Z51)),NOT(ISNUMBER(AA51))),"Falta hora inicio/fin o formato inválido",IF(AB51=0,"Hora inicio = hora fin",IF(AE51&lt;0,"Descanso inválido",IF(AE51&gt;=AD51,"Descanso ≥ duración",IF(AV51=1,"Registro duplicado",IF(AZ51&gt;0,"Se superpone con otro registro "&amp;D51,IF(BB51=0,"inicio, fin y duración neta deben ser múltiplos de "&amp;CFG_BLK&amp;" min",""))))))))))))</f>
        <v/>
      </c>
      <c r="BD51" s="80">
        <f>IF(AND(Y51=1,BC51=""),1,0)</f>
        <v>0</v>
      </c>
      <c r="BE51" s="80">
        <f>IF(AND(BD51=1,AU51=1),1,0)</f>
        <v>0</v>
      </c>
      <c r="BF51" s="80" t="str">
        <f>IF(AND(D51="proMX",BD51=1),IF(R51="","Draft",R51),"")</f>
        <v/>
      </c>
      <c r="BG51" s="80">
        <f>IF(BD51=1,ROUND(AG51/60,6),0)</f>
        <v>0</v>
      </c>
      <c r="BH51" s="80">
        <f>IF(BE51=1,ROUND(AG51/60,6),0)</f>
        <v>0</v>
      </c>
      <c r="BI51" s="80">
        <f>IF(BE51=1,ROUND(AP51/60,6),0)</f>
        <v>0</v>
      </c>
      <c r="BJ51" s="80">
        <f>IF(BE51=1,ROUND(AQ51/60,6),0)</f>
        <v>0</v>
      </c>
      <c r="BK51" s="80">
        <f>IF(BE51=1,ROUND((AR51+AS51)/60,6),0)</f>
        <v>0</v>
      </c>
      <c r="BL51" s="80">
        <f>ROUND(BH51-BK51,6)</f>
        <v>0</v>
      </c>
      <c r="BM51" s="80">
        <f>IF(BE51=1,ROUND(AR51/60,6),0)</f>
        <v>0</v>
      </c>
      <c r="BN51" s="80">
        <f>ROUND(BI51-BM51,6)</f>
        <v>0</v>
      </c>
      <c r="BO51" s="80">
        <f>IF(BE51=1,ROUND(AS51/60,6),0)</f>
        <v>0</v>
      </c>
      <c r="BP51" s="80">
        <f>ROUND(BJ51-BO51,6)</f>
        <v>0</v>
      </c>
      <c r="BQ51" s="80">
        <f>IF(BE51=1,AW51,0)</f>
        <v>0</v>
      </c>
      <c r="BR51" s="80">
        <f>IF(BE51=1,AX51,0)</f>
        <v>0</v>
      </c>
      <c r="BS51" s="80">
        <f>IF(AND(BE51=1,D51="Malcolm",BA51&gt;0),MIN(BH51,SUMPRODUCT((R_Emp="proMX")*(R_EN&gt;0)*((R_EN-(R_EN&gt;BR51)*(R_EN-BR51))&gt;(R_SN+(R_SN&lt;BQ51)*(BQ51-R_SN)))*((R_EN-(R_EN&gt;BR51)*(R_EN-BR51))-(R_SN+(R_SN&lt;BQ51)*(BQ51-R_SN))))/60),0)</f>
        <v>0</v>
      </c>
      <c r="BT51" s="80">
        <f>IF(AND(BE51=1,D51="proMX"),ROUND(BI51*CFG_RATE+BJ51*CFG_OTRATE,6),0)</f>
        <v>0</v>
      </c>
      <c r="BU51" s="80">
        <f>IF(AND(BD51=1,D51="proMX"),ROUND(AG51/CFG_BLK,6),0)</f>
        <v>0</v>
      </c>
      <c r="BV51" s="80" t="str">
        <f>IF(BF51="Approved",IF(ISNUMBER(T51),INT(T51),INT(B51)),"")</f>
        <v/>
      </c>
      <c r="BW51" s="80">
        <f>IF(ISNUMBER(B51),IF(DB_MON="Todos",1,IF(AND(INT(B51)&gt;=DB_MS,INT(B51)&lt;=DB_ME),1,0)),0)</f>
        <v>0</v>
      </c>
      <c r="BX51" s="80">
        <f>IF(DB_PROJ="Todos",1,IF(E51&amp;""=DB_PROJ&amp;"",1,0))</f>
        <v>1</v>
      </c>
      <c r="BY51" s="80">
        <f>BW51*BX51</f>
        <v>0</v>
      </c>
      <c r="BZ51" s="80" t="str">
        <f>IF(Y51=1,F51&amp;IF(AND(F51&amp;""&lt;&gt;"",E51&amp;""&lt;&gt;"")," · ","")&amp;E51,"")</f>
        <v/>
      </c>
      <c r="CA51" s="80" t="str">
        <f>IF(AND(BD51=1,E51&amp;""&lt;&gt;""),IF(COUNTIFS($E$5:E50,E51,$BD$5:BD50,1)=0,MAX($CA$5:CA50)+1,""),"")</f>
        <v/>
      </c>
      <c r="CB51" s="80" t="str">
        <f>IF(AND(BE51=1,D51="Malcolm",E51&amp;""&lt;&gt;""),IF(COUNTIFS($D$5:D50,"Malcolm",$E$5:E50,E51,$BE$5:BE50,1)=0,MAX($CB$5:CB50)+1,""),"")</f>
        <v/>
      </c>
      <c r="CC51" s="80" t="str">
        <f>IF(AND(BD51=1,D51="proMX",E51&amp;""&lt;&gt;""),IF(COUNTIFS($D$5:D50,"proMX",$E$5:E50,E51,$BD$5:BD50,1)=0,MAX($CC$5:CC50)+1,""),"")</f>
        <v/>
      </c>
      <c r="CD51" s="80" t="str">
        <f>IF(AND(BE51=1,D51="Malcolm",F51&amp;""&lt;&gt;""),IF(COUNTIFS($D$5:D50,"Malcolm",$F$5:F50,F51,$BE$5:BE50,1)=0,MAX($CD$5:CD50)+1,""),"")</f>
        <v/>
      </c>
      <c r="CE51" s="80" t="str">
        <f>IF(AND(BD51=1,D51="proMX",F51&amp;""&lt;&gt;""),IF(COUNTIFS($D$5:D50,"proMX",$F$5:F50,F51,$BD$5:BD50,1)=0,MAX($CE$5:CE50)+1,""),"")</f>
        <v/>
      </c>
      <c r="CF51" s="80" t="str">
        <f>IF(AND(D51="proMX",BD51=1),IF(OR(BF51="Draft",BF51="Submitted",BF51="Returned",BF51="Recall Requested"),MAX($CF$5:CF50)+1,""),"")</f>
        <v/>
      </c>
      <c r="CG51" s="80">
        <f>IF(BD51=0,0,IF(D51="Malcolm",1,MATCH(BF51,{"Draft","Submitted","Approved","Returned","Recall Requested","Cancelled"},0)+1))</f>
        <v>0</v>
      </c>
      <c r="CH51" s="80">
        <f>IF(AND(BF51="Submitted",ISNUMBER(V51)),IF(V51&gt;CFG_MAXD,1,0),0)</f>
        <v>0</v>
      </c>
    </row>
    <row r="52">
      <c r="A52" s="71" t="str">
        <f>IF(Y52=1,ROW()-5,"")</f>
        <v/>
      </c>
      <c r="B52" s="72" t="n"/>
      <c r="C52" s="71" t="str">
        <f>IF(ISNUMBER(B52),CHOOSE(WEEKDAY(B52,2),"Lun","Mar","Mié","Jue","Vie","Sáb","Dom"),"")</f>
        <v/>
      </c>
      <c r="D52" s="73" t="n"/>
      <c r="E52" s="74" t="n"/>
      <c r="F52" s="74" t="n"/>
      <c r="G52" s="74" t="n"/>
      <c r="H52" s="75" t="n"/>
      <c r="I52" s="75" t="n"/>
      <c r="J52" s="76" t="n"/>
      <c r="K52" s="77" t="str">
        <f>IF(AB52=1,ROUND(AG52/60,4),"")</f>
        <v/>
      </c>
      <c r="L52" s="77" t="str">
        <f>IF(BD52=1,ROUND(AP52/60,4),"")</f>
        <v/>
      </c>
      <c r="M52" s="77" t="str">
        <f>IF(BD52=1,ROUND(AQ52/60,4),"")</f>
        <v/>
      </c>
      <c r="N52" s="71" t="str">
        <f>IF(AND(D52="proMX",AB52=1),ROUND(AG52/CFG_BLK,2),"")</f>
        <v/>
      </c>
      <c r="O52" s="77" t="str">
        <f>IF(D52="proMX",IF(BD52=1,ROUND(AG52/60,4),0),"")</f>
        <v/>
      </c>
      <c r="P52" s="78" t="str">
        <f>IF(Y52=0,"",IF(BD52=1,"OK",IF(D52="proMX","Revisar bloques: ","Revisar: ")&amp;BC52))</f>
        <v/>
      </c>
      <c r="Q52" s="78" t="str">
        <f>IF(NOT(ISNUMBER(B52)),"",IF(COUNTIFS(FER_F,INT(B52))&gt;0,"Feriado"&amp;IF(AH52=1," (laborable)"," (no laborable)"),IF(AH52=1,"Laborable",IF(WEEKDAY(B52,2)&gt;5,"Fin de semana","No laborable"))))</f>
        <v/>
      </c>
      <c r="R52" s="73" t="n"/>
      <c r="S52" s="72" t="n"/>
      <c r="T52" s="72" t="n"/>
      <c r="U52" s="74" t="n"/>
      <c r="V52" s="79" t="str">
        <f>IF(AND(D52="proMX",OR(R52="Submitted",R52="Recall Requested"),ISNUMBER(S52)),CFG_TODAY-INT(S52),"")</f>
        <v/>
      </c>
      <c r="W52" s="78" t="str">
        <f>IF(BD52=0,"",IF(BA52&gt;0,"⚠ Se superpone con un registro de la otra empresa",IF(D52="Malcolm",IF(COUNTA(R52,S52,T52)&gt;0,"Estado/fechas proMX se ignoran en Malcolm",""),IF(BF52="Cancelled","Cancelado: excluido de totales",IF(R52="","Sin estado: se trata como Draft",IF(BF52="Submitted",IF(ISNUMBER(V52),IF(V52&gt;CFG_MAXD,"⚠ "&amp;V52&amp;" días en Submitted (máx. "&amp;CFG_MAXD&amp;")",""),"Falta fecha de envío"),IF(BF52="Returned","⚠ Devuelto: corregir y reenviar",IF(BF52="Recall Requested","Retirada solicitada: pendiente",IF(AND(BF52="Approved",NOT(ISNUMBER(T52))),"Falta fecha de aprobación",IF(AND(ISNUMBER(S52),ISNUMBER(T52),T52&lt;S52),"Aprobación anterior al envío","")))))))))</f>
        <v/>
      </c>
      <c r="Y52" s="80">
        <f>IF(COUNTA(B52,D52,E52,F52,G52,H52,I52,J52,R52,S52,T52)&gt;0,1,0)</f>
        <v>0</v>
      </c>
      <c r="Z52" s="80" t="str">
        <f>IF(AND(ISNUMBER(H52),H52&gt;=0,H52&lt;1),ROUND(H52*1440,0),"")</f>
        <v/>
      </c>
      <c r="AA52" s="80" t="str">
        <f>IF(AND(ISNUMBER(I52),I52&gt;=0,I52&lt;1),ROUND(I52*1440,0),"")</f>
        <v/>
      </c>
      <c r="AB52" s="80">
        <f>IF(AND(ISNUMBER(B52),D52&lt;&gt;"",ISNUMBER(Z52),ISNUMBER(AA52)),IF(Z52=AA52,0,1),0)</f>
        <v>0</v>
      </c>
      <c r="AC52" s="80">
        <f>IF(AB52=1,IF(AA52&lt;Z52,1,0),0)</f>
        <v>0</v>
      </c>
      <c r="AD52" s="80">
        <f>IF(AB52=1,IF(AC52=1,1440-Z52+AA52,AA52-Z52),0)</f>
        <v>0</v>
      </c>
      <c r="AE52" s="80">
        <f>IF(J52="",0,IF(ISNUMBER(J52),J52,-1))</f>
        <v>0</v>
      </c>
      <c r="AF52" s="80">
        <f>MIN(MAX(0,AE52),AD52)</f>
        <v>0</v>
      </c>
      <c r="AG52" s="80">
        <f>MAX(0,AD52-MAX(0,AE52))</f>
        <v>0</v>
      </c>
      <c r="AH52" s="80">
        <f>IF(ISNUMBER(B52),IF(AND(INDEX(CFG_WDAYS,WEEKDAY(INT(B52),2))="Sí",IF(D52="proMX",COUNTIFS(FER_F,INT(B52),FER_NLP,"Sí"),COUNTIFS(FER_F,INT(B52),FER_NLM,"Sí"))=0),1,0),0)</f>
        <v>0</v>
      </c>
      <c r="AI52" s="80">
        <f>IF(AC52=1,IF(AND(INDEX(CFG_WDAYS,WEEKDAY(INT(B52)+1,2))="Sí",IF(D52="proMX",COUNTIFS(FER_F,INT(B52)+1,FER_NLP,"Sí"),COUNTIFS(FER_F,INT(B52)+1,FER_NLM,"Sí"))=0),1,0),0)</f>
        <v>0</v>
      </c>
      <c r="AJ52" s="80">
        <f>IF(AC52=1,1440-Z52,AD52)</f>
        <v>0</v>
      </c>
      <c r="AK52" s="80">
        <f>IF(AND(AB52=1,AH52=1),MAX(0,MIN(IF(AC52=1,1440,AA52),CFG_WEM)-MAX(Z52,CFG_WSM)),0)</f>
        <v>0</v>
      </c>
      <c r="AL52" s="80">
        <f>IF(AND(AC52=1,AI52=1),MAX(0,MIN(AA52,CFG_WEM)-CFG_WSM),0)</f>
        <v>0</v>
      </c>
      <c r="AM52" s="80">
        <f>AK52+AL52</f>
        <v>0</v>
      </c>
      <c r="AN52" s="80">
        <f>IF(CFG_BRK="Proporcional",IF(AD52=0,0,AF52*AM52/AD52),IF(CFG_BRK="Extras primero",MIN(AM52,MAX(0,AF52-(AD52-AM52))),MIN(AF52,AM52)))</f>
        <v>0</v>
      </c>
      <c r="AO52" s="80">
        <f>AF52-AN52</f>
        <v>0</v>
      </c>
      <c r="AP52" s="80">
        <f>AM52-AN52</f>
        <v>0</v>
      </c>
      <c r="AQ52" s="80">
        <f>AD52-AM52-AO52</f>
        <v>0</v>
      </c>
      <c r="AR52" s="80">
        <f>IF(AM52=0,0,AK52-AN52*AK52/AM52)</f>
        <v>0</v>
      </c>
      <c r="AS52" s="80">
        <f>IF(AD52-AM52=0,0,(AJ52-AK52)-AO52*(AJ52-AK52)/(AD52-AM52))</f>
        <v>0</v>
      </c>
      <c r="AT52" s="80" t="str">
        <f>IF(AC52=1,INT(B52)+1,"")</f>
        <v/>
      </c>
      <c r="AU52" s="80">
        <f>IF(AND(D52="proMX",R52="Cancelled"),0,1)</f>
        <v>1</v>
      </c>
      <c r="AV52" s="80">
        <f>IF(AND(AB52=1,AU52=1),IF(COUNTIFS($D$5:D51,D52,$B$5:B51,B52,$Z$5:Z51,Z52,$AA$5:AA51,AA52,$F$5:F51,F52&amp;"",$AU$5:AU51,1)&gt;0,1,0),0)</f>
        <v>0</v>
      </c>
      <c r="AW52" s="80" t="str">
        <f>IF(AB52=1,INT(B52)*1440+Z52,"")</f>
        <v/>
      </c>
      <c r="AX52" s="80" t="str">
        <f>IF(AB52=1,AW52+AD52,"")</f>
        <v/>
      </c>
      <c r="AY52" s="80">
        <f>IF(AND(AB52=1,AV52=0,AU52=1),1,0)</f>
        <v>0</v>
      </c>
      <c r="AZ52" s="80">
        <f>IF(AY52=1,COUNTIFS(R_Emp,D52,R_SAbs,"&lt;"&amp;AX52,R_EAbs,"&gt;"&amp;AW52,R_OKey,1)-1,0)</f>
        <v>0</v>
      </c>
      <c r="BA52" s="80">
        <f>IF(AY52=1,COUNTIFS(R_Emp,"&lt;&gt;"&amp;D52,R_SAbs,"&lt;"&amp;AX52,R_EAbs,"&gt;"&amp;AW52,R_OKey,1),0)</f>
        <v>0</v>
      </c>
      <c r="BB52" s="80">
        <f>IF(AND(AB52=1,D52="proMX"),IF(AND(MOD(Z52,CFG_BLK)=0,MOD(AA52,CFG_BLK)=0,MOD(AG52,CFG_BLK)=0,AG52&gt;0),1,0),1)</f>
        <v>1</v>
      </c>
      <c r="BC52" s="80" t="str">
        <f>IF(Y52=0,"",IF(NOT(ISNUMBER(B52)),"Falta fecha o fecha inválida",IF(D52="","Falta empresa",IF(AND(D52&lt;&gt;"Malcolm",D52&lt;&gt;"proMX"),"Empresa inválida",IF(OR(INT(B52)&lt;CFG_PSTART,INT(B52)&gt;CFG_PEND),"Fecha fuera del período",IF(OR(NOT(ISNUMBER(Z52)),NOT(ISNUMBER(AA52))),"Falta hora inicio/fin o formato inválido",IF(AB52=0,"Hora inicio = hora fin",IF(AE52&lt;0,"Descanso inválido",IF(AE52&gt;=AD52,"Descanso ≥ duración",IF(AV52=1,"Registro duplicado",IF(AZ52&gt;0,"Se superpone con otro registro "&amp;D52,IF(BB52=0,"inicio, fin y duración neta deben ser múltiplos de "&amp;CFG_BLK&amp;" min",""))))))))))))</f>
        <v/>
      </c>
      <c r="BD52" s="80">
        <f>IF(AND(Y52=1,BC52=""),1,0)</f>
        <v>0</v>
      </c>
      <c r="BE52" s="80">
        <f>IF(AND(BD52=1,AU52=1),1,0)</f>
        <v>0</v>
      </c>
      <c r="BF52" s="80" t="str">
        <f>IF(AND(D52="proMX",BD52=1),IF(R52="","Draft",R52),"")</f>
        <v/>
      </c>
      <c r="BG52" s="80">
        <f>IF(BD52=1,ROUND(AG52/60,6),0)</f>
        <v>0</v>
      </c>
      <c r="BH52" s="80">
        <f>IF(BE52=1,ROUND(AG52/60,6),0)</f>
        <v>0</v>
      </c>
      <c r="BI52" s="80">
        <f>IF(BE52=1,ROUND(AP52/60,6),0)</f>
        <v>0</v>
      </c>
      <c r="BJ52" s="80">
        <f>IF(BE52=1,ROUND(AQ52/60,6),0)</f>
        <v>0</v>
      </c>
      <c r="BK52" s="80">
        <f>IF(BE52=1,ROUND((AR52+AS52)/60,6),0)</f>
        <v>0</v>
      </c>
      <c r="BL52" s="80">
        <f>ROUND(BH52-BK52,6)</f>
        <v>0</v>
      </c>
      <c r="BM52" s="80">
        <f>IF(BE52=1,ROUND(AR52/60,6),0)</f>
        <v>0</v>
      </c>
      <c r="BN52" s="80">
        <f>ROUND(BI52-BM52,6)</f>
        <v>0</v>
      </c>
      <c r="BO52" s="80">
        <f>IF(BE52=1,ROUND(AS52/60,6),0)</f>
        <v>0</v>
      </c>
      <c r="BP52" s="80">
        <f>ROUND(BJ52-BO52,6)</f>
        <v>0</v>
      </c>
      <c r="BQ52" s="80">
        <f>IF(BE52=1,AW52,0)</f>
        <v>0</v>
      </c>
      <c r="BR52" s="80">
        <f>IF(BE52=1,AX52,0)</f>
        <v>0</v>
      </c>
      <c r="BS52" s="80">
        <f>IF(AND(BE52=1,D52="Malcolm",BA52&gt;0),MIN(BH52,SUMPRODUCT((R_Emp="proMX")*(R_EN&gt;0)*((R_EN-(R_EN&gt;BR52)*(R_EN-BR52))&gt;(R_SN+(R_SN&lt;BQ52)*(BQ52-R_SN)))*((R_EN-(R_EN&gt;BR52)*(R_EN-BR52))-(R_SN+(R_SN&lt;BQ52)*(BQ52-R_SN))))/60),0)</f>
        <v>0</v>
      </c>
      <c r="BT52" s="80">
        <f>IF(AND(BE52=1,D52="proMX"),ROUND(BI52*CFG_RATE+BJ52*CFG_OTRATE,6),0)</f>
        <v>0</v>
      </c>
      <c r="BU52" s="80">
        <f>IF(AND(BD52=1,D52="proMX"),ROUND(AG52/CFG_BLK,6),0)</f>
        <v>0</v>
      </c>
      <c r="BV52" s="80" t="str">
        <f>IF(BF52="Approved",IF(ISNUMBER(T52),INT(T52),INT(B52)),"")</f>
        <v/>
      </c>
      <c r="BW52" s="80">
        <f>IF(ISNUMBER(B52),IF(DB_MON="Todos",1,IF(AND(INT(B52)&gt;=DB_MS,INT(B52)&lt;=DB_ME),1,0)),0)</f>
        <v>0</v>
      </c>
      <c r="BX52" s="80">
        <f>IF(DB_PROJ="Todos",1,IF(E52&amp;""=DB_PROJ&amp;"",1,0))</f>
        <v>1</v>
      </c>
      <c r="BY52" s="80">
        <f>BW52*BX52</f>
        <v>0</v>
      </c>
      <c r="BZ52" s="80" t="str">
        <f>IF(Y52=1,F52&amp;IF(AND(F52&amp;""&lt;&gt;"",E52&amp;""&lt;&gt;"")," · ","")&amp;E52,"")</f>
        <v/>
      </c>
      <c r="CA52" s="80" t="str">
        <f>IF(AND(BD52=1,E52&amp;""&lt;&gt;""),IF(COUNTIFS($E$5:E51,E52,$BD$5:BD51,1)=0,MAX($CA$5:CA51)+1,""),"")</f>
        <v/>
      </c>
      <c r="CB52" s="80" t="str">
        <f>IF(AND(BE52=1,D52="Malcolm",E52&amp;""&lt;&gt;""),IF(COUNTIFS($D$5:D51,"Malcolm",$E$5:E51,E52,$BE$5:BE51,1)=0,MAX($CB$5:CB51)+1,""),"")</f>
        <v/>
      </c>
      <c r="CC52" s="80" t="str">
        <f>IF(AND(BD52=1,D52="proMX",E52&amp;""&lt;&gt;""),IF(COUNTIFS($D$5:D51,"proMX",$E$5:E51,E52,$BD$5:BD51,1)=0,MAX($CC$5:CC51)+1,""),"")</f>
        <v/>
      </c>
      <c r="CD52" s="80" t="str">
        <f>IF(AND(BE52=1,D52="Malcolm",F52&amp;""&lt;&gt;""),IF(COUNTIFS($D$5:D51,"Malcolm",$F$5:F51,F52,$BE$5:BE51,1)=0,MAX($CD$5:CD51)+1,""),"")</f>
        <v/>
      </c>
      <c r="CE52" s="80" t="str">
        <f>IF(AND(BD52=1,D52="proMX",F52&amp;""&lt;&gt;""),IF(COUNTIFS($D$5:D51,"proMX",$F$5:F51,F52,$BD$5:BD51,1)=0,MAX($CE$5:CE51)+1,""),"")</f>
        <v/>
      </c>
      <c r="CF52" s="80" t="str">
        <f>IF(AND(D52="proMX",BD52=1),IF(OR(BF52="Draft",BF52="Submitted",BF52="Returned",BF52="Recall Requested"),MAX($CF$5:CF51)+1,""),"")</f>
        <v/>
      </c>
      <c r="CG52" s="80">
        <f>IF(BD52=0,0,IF(D52="Malcolm",1,MATCH(BF52,{"Draft","Submitted","Approved","Returned","Recall Requested","Cancelled"},0)+1))</f>
        <v>0</v>
      </c>
      <c r="CH52" s="80">
        <f>IF(AND(BF52="Submitted",ISNUMBER(V52)),IF(V52&gt;CFG_MAXD,1,0),0)</f>
        <v>0</v>
      </c>
    </row>
    <row r="53">
      <c r="A53" s="71" t="str">
        <f>IF(Y53=1,ROW()-5,"")</f>
        <v/>
      </c>
      <c r="B53" s="72" t="n"/>
      <c r="C53" s="71" t="str">
        <f>IF(ISNUMBER(B53),CHOOSE(WEEKDAY(B53,2),"Lun","Mar","Mié","Jue","Vie","Sáb","Dom"),"")</f>
        <v/>
      </c>
      <c r="D53" s="73" t="n"/>
      <c r="E53" s="74" t="n"/>
      <c r="F53" s="74" t="n"/>
      <c r="G53" s="74" t="n"/>
      <c r="H53" s="75" t="n"/>
      <c r="I53" s="75" t="n"/>
      <c r="J53" s="76" t="n"/>
      <c r="K53" s="77" t="str">
        <f>IF(AB53=1,ROUND(AG53/60,4),"")</f>
        <v/>
      </c>
      <c r="L53" s="77" t="str">
        <f>IF(BD53=1,ROUND(AP53/60,4),"")</f>
        <v/>
      </c>
      <c r="M53" s="77" t="str">
        <f>IF(BD53=1,ROUND(AQ53/60,4),"")</f>
        <v/>
      </c>
      <c r="N53" s="71" t="str">
        <f>IF(AND(D53="proMX",AB53=1),ROUND(AG53/CFG_BLK,2),"")</f>
        <v/>
      </c>
      <c r="O53" s="77" t="str">
        <f>IF(D53="proMX",IF(BD53=1,ROUND(AG53/60,4),0),"")</f>
        <v/>
      </c>
      <c r="P53" s="78" t="str">
        <f>IF(Y53=0,"",IF(BD53=1,"OK",IF(D53="proMX","Revisar bloques: ","Revisar: ")&amp;BC53))</f>
        <v/>
      </c>
      <c r="Q53" s="78" t="str">
        <f>IF(NOT(ISNUMBER(B53)),"",IF(COUNTIFS(FER_F,INT(B53))&gt;0,"Feriado"&amp;IF(AH53=1," (laborable)"," (no laborable)"),IF(AH53=1,"Laborable",IF(WEEKDAY(B53,2)&gt;5,"Fin de semana","No laborable"))))</f>
        <v/>
      </c>
      <c r="R53" s="73" t="n"/>
      <c r="S53" s="72" t="n"/>
      <c r="T53" s="72" t="n"/>
      <c r="U53" s="74" t="n"/>
      <c r="V53" s="79" t="str">
        <f>IF(AND(D53="proMX",OR(R53="Submitted",R53="Recall Requested"),ISNUMBER(S53)),CFG_TODAY-INT(S53),"")</f>
        <v/>
      </c>
      <c r="W53" s="78" t="str">
        <f>IF(BD53=0,"",IF(BA53&gt;0,"⚠ Se superpone con un registro de la otra empresa",IF(D53="Malcolm",IF(COUNTA(R53,S53,T53)&gt;0,"Estado/fechas proMX se ignoran en Malcolm",""),IF(BF53="Cancelled","Cancelado: excluido de totales",IF(R53="","Sin estado: se trata como Draft",IF(BF53="Submitted",IF(ISNUMBER(V53),IF(V53&gt;CFG_MAXD,"⚠ "&amp;V53&amp;" días en Submitted (máx. "&amp;CFG_MAXD&amp;")",""),"Falta fecha de envío"),IF(BF53="Returned","⚠ Devuelto: corregir y reenviar",IF(BF53="Recall Requested","Retirada solicitada: pendiente",IF(AND(BF53="Approved",NOT(ISNUMBER(T53))),"Falta fecha de aprobación",IF(AND(ISNUMBER(S53),ISNUMBER(T53),T53&lt;S53),"Aprobación anterior al envío","")))))))))</f>
        <v/>
      </c>
      <c r="Y53" s="80">
        <f>IF(COUNTA(B53,D53,E53,F53,G53,H53,I53,J53,R53,S53,T53)&gt;0,1,0)</f>
        <v>0</v>
      </c>
      <c r="Z53" s="80" t="str">
        <f>IF(AND(ISNUMBER(H53),H53&gt;=0,H53&lt;1),ROUND(H53*1440,0),"")</f>
        <v/>
      </c>
      <c r="AA53" s="80" t="str">
        <f>IF(AND(ISNUMBER(I53),I53&gt;=0,I53&lt;1),ROUND(I53*1440,0),"")</f>
        <v/>
      </c>
      <c r="AB53" s="80">
        <f>IF(AND(ISNUMBER(B53),D53&lt;&gt;"",ISNUMBER(Z53),ISNUMBER(AA53)),IF(Z53=AA53,0,1),0)</f>
        <v>0</v>
      </c>
      <c r="AC53" s="80">
        <f>IF(AB53=1,IF(AA53&lt;Z53,1,0),0)</f>
        <v>0</v>
      </c>
      <c r="AD53" s="80">
        <f>IF(AB53=1,IF(AC53=1,1440-Z53+AA53,AA53-Z53),0)</f>
        <v>0</v>
      </c>
      <c r="AE53" s="80">
        <f>IF(J53="",0,IF(ISNUMBER(J53),J53,-1))</f>
        <v>0</v>
      </c>
      <c r="AF53" s="80">
        <f>MIN(MAX(0,AE53),AD53)</f>
        <v>0</v>
      </c>
      <c r="AG53" s="80">
        <f>MAX(0,AD53-MAX(0,AE53))</f>
        <v>0</v>
      </c>
      <c r="AH53" s="80">
        <f>IF(ISNUMBER(B53),IF(AND(INDEX(CFG_WDAYS,WEEKDAY(INT(B53),2))="Sí",IF(D53="proMX",COUNTIFS(FER_F,INT(B53),FER_NLP,"Sí"),COUNTIFS(FER_F,INT(B53),FER_NLM,"Sí"))=0),1,0),0)</f>
        <v>0</v>
      </c>
      <c r="AI53" s="80">
        <f>IF(AC53=1,IF(AND(INDEX(CFG_WDAYS,WEEKDAY(INT(B53)+1,2))="Sí",IF(D53="proMX",COUNTIFS(FER_F,INT(B53)+1,FER_NLP,"Sí"),COUNTIFS(FER_F,INT(B53)+1,FER_NLM,"Sí"))=0),1,0),0)</f>
        <v>0</v>
      </c>
      <c r="AJ53" s="80">
        <f>IF(AC53=1,1440-Z53,AD53)</f>
        <v>0</v>
      </c>
      <c r="AK53" s="80">
        <f>IF(AND(AB53=1,AH53=1),MAX(0,MIN(IF(AC53=1,1440,AA53),CFG_WEM)-MAX(Z53,CFG_WSM)),0)</f>
        <v>0</v>
      </c>
      <c r="AL53" s="80">
        <f>IF(AND(AC53=1,AI53=1),MAX(0,MIN(AA53,CFG_WEM)-CFG_WSM),0)</f>
        <v>0</v>
      </c>
      <c r="AM53" s="80">
        <f>AK53+AL53</f>
        <v>0</v>
      </c>
      <c r="AN53" s="80">
        <f>IF(CFG_BRK="Proporcional",IF(AD53=0,0,AF53*AM53/AD53),IF(CFG_BRK="Extras primero",MIN(AM53,MAX(0,AF53-(AD53-AM53))),MIN(AF53,AM53)))</f>
        <v>0</v>
      </c>
      <c r="AO53" s="80">
        <f>AF53-AN53</f>
        <v>0</v>
      </c>
      <c r="AP53" s="80">
        <f>AM53-AN53</f>
        <v>0</v>
      </c>
      <c r="AQ53" s="80">
        <f>AD53-AM53-AO53</f>
        <v>0</v>
      </c>
      <c r="AR53" s="80">
        <f>IF(AM53=0,0,AK53-AN53*AK53/AM53)</f>
        <v>0</v>
      </c>
      <c r="AS53" s="80">
        <f>IF(AD53-AM53=0,0,(AJ53-AK53)-AO53*(AJ53-AK53)/(AD53-AM53))</f>
        <v>0</v>
      </c>
      <c r="AT53" s="80" t="str">
        <f>IF(AC53=1,INT(B53)+1,"")</f>
        <v/>
      </c>
      <c r="AU53" s="80">
        <f>IF(AND(D53="proMX",R53="Cancelled"),0,1)</f>
        <v>1</v>
      </c>
      <c r="AV53" s="80">
        <f>IF(AND(AB53=1,AU53=1),IF(COUNTIFS($D$5:D52,D53,$B$5:B52,B53,$Z$5:Z52,Z53,$AA$5:AA52,AA53,$F$5:F52,F53&amp;"",$AU$5:AU52,1)&gt;0,1,0),0)</f>
        <v>0</v>
      </c>
      <c r="AW53" s="80" t="str">
        <f>IF(AB53=1,INT(B53)*1440+Z53,"")</f>
        <v/>
      </c>
      <c r="AX53" s="80" t="str">
        <f>IF(AB53=1,AW53+AD53,"")</f>
        <v/>
      </c>
      <c r="AY53" s="80">
        <f>IF(AND(AB53=1,AV53=0,AU53=1),1,0)</f>
        <v>0</v>
      </c>
      <c r="AZ53" s="80">
        <f>IF(AY53=1,COUNTIFS(R_Emp,D53,R_SAbs,"&lt;"&amp;AX53,R_EAbs,"&gt;"&amp;AW53,R_OKey,1)-1,0)</f>
        <v>0</v>
      </c>
      <c r="BA53" s="80">
        <f>IF(AY53=1,COUNTIFS(R_Emp,"&lt;&gt;"&amp;D53,R_SAbs,"&lt;"&amp;AX53,R_EAbs,"&gt;"&amp;AW53,R_OKey,1),0)</f>
        <v>0</v>
      </c>
      <c r="BB53" s="80">
        <f>IF(AND(AB53=1,D53="proMX"),IF(AND(MOD(Z53,CFG_BLK)=0,MOD(AA53,CFG_BLK)=0,MOD(AG53,CFG_BLK)=0,AG53&gt;0),1,0),1)</f>
        <v>1</v>
      </c>
      <c r="BC53" s="80" t="str">
        <f>IF(Y53=0,"",IF(NOT(ISNUMBER(B53)),"Falta fecha o fecha inválida",IF(D53="","Falta empresa",IF(AND(D53&lt;&gt;"Malcolm",D53&lt;&gt;"proMX"),"Empresa inválida",IF(OR(INT(B53)&lt;CFG_PSTART,INT(B53)&gt;CFG_PEND),"Fecha fuera del período",IF(OR(NOT(ISNUMBER(Z53)),NOT(ISNUMBER(AA53))),"Falta hora inicio/fin o formato inválido",IF(AB53=0,"Hora inicio = hora fin",IF(AE53&lt;0,"Descanso inválido",IF(AE53&gt;=AD53,"Descanso ≥ duración",IF(AV53=1,"Registro duplicado",IF(AZ53&gt;0,"Se superpone con otro registro "&amp;D53,IF(BB53=0,"inicio, fin y duración neta deben ser múltiplos de "&amp;CFG_BLK&amp;" min",""))))))))))))</f>
        <v/>
      </c>
      <c r="BD53" s="80">
        <f>IF(AND(Y53=1,BC53=""),1,0)</f>
        <v>0</v>
      </c>
      <c r="BE53" s="80">
        <f>IF(AND(BD53=1,AU53=1),1,0)</f>
        <v>0</v>
      </c>
      <c r="BF53" s="80" t="str">
        <f>IF(AND(D53="proMX",BD53=1),IF(R53="","Draft",R53),"")</f>
        <v/>
      </c>
      <c r="BG53" s="80">
        <f>IF(BD53=1,ROUND(AG53/60,6),0)</f>
        <v>0</v>
      </c>
      <c r="BH53" s="80">
        <f>IF(BE53=1,ROUND(AG53/60,6),0)</f>
        <v>0</v>
      </c>
      <c r="BI53" s="80">
        <f>IF(BE53=1,ROUND(AP53/60,6),0)</f>
        <v>0</v>
      </c>
      <c r="BJ53" s="80">
        <f>IF(BE53=1,ROUND(AQ53/60,6),0)</f>
        <v>0</v>
      </c>
      <c r="BK53" s="80">
        <f>IF(BE53=1,ROUND((AR53+AS53)/60,6),0)</f>
        <v>0</v>
      </c>
      <c r="BL53" s="80">
        <f>ROUND(BH53-BK53,6)</f>
        <v>0</v>
      </c>
      <c r="BM53" s="80">
        <f>IF(BE53=1,ROUND(AR53/60,6),0)</f>
        <v>0</v>
      </c>
      <c r="BN53" s="80">
        <f>ROUND(BI53-BM53,6)</f>
        <v>0</v>
      </c>
      <c r="BO53" s="80">
        <f>IF(BE53=1,ROUND(AS53/60,6),0)</f>
        <v>0</v>
      </c>
      <c r="BP53" s="80">
        <f>ROUND(BJ53-BO53,6)</f>
        <v>0</v>
      </c>
      <c r="BQ53" s="80">
        <f>IF(BE53=1,AW53,0)</f>
        <v>0</v>
      </c>
      <c r="BR53" s="80">
        <f>IF(BE53=1,AX53,0)</f>
        <v>0</v>
      </c>
      <c r="BS53" s="80">
        <f>IF(AND(BE53=1,D53="Malcolm",BA53&gt;0),MIN(BH53,SUMPRODUCT((R_Emp="proMX")*(R_EN&gt;0)*((R_EN-(R_EN&gt;BR53)*(R_EN-BR53))&gt;(R_SN+(R_SN&lt;BQ53)*(BQ53-R_SN)))*((R_EN-(R_EN&gt;BR53)*(R_EN-BR53))-(R_SN+(R_SN&lt;BQ53)*(BQ53-R_SN))))/60),0)</f>
        <v>0</v>
      </c>
      <c r="BT53" s="80">
        <f>IF(AND(BE53=1,D53="proMX"),ROUND(BI53*CFG_RATE+BJ53*CFG_OTRATE,6),0)</f>
        <v>0</v>
      </c>
      <c r="BU53" s="80">
        <f>IF(AND(BD53=1,D53="proMX"),ROUND(AG53/CFG_BLK,6),0)</f>
        <v>0</v>
      </c>
      <c r="BV53" s="80" t="str">
        <f>IF(BF53="Approved",IF(ISNUMBER(T53),INT(T53),INT(B53)),"")</f>
        <v/>
      </c>
      <c r="BW53" s="80">
        <f>IF(ISNUMBER(B53),IF(DB_MON="Todos",1,IF(AND(INT(B53)&gt;=DB_MS,INT(B53)&lt;=DB_ME),1,0)),0)</f>
        <v>0</v>
      </c>
      <c r="BX53" s="80">
        <f>IF(DB_PROJ="Todos",1,IF(E53&amp;""=DB_PROJ&amp;"",1,0))</f>
        <v>1</v>
      </c>
      <c r="BY53" s="80">
        <f>BW53*BX53</f>
        <v>0</v>
      </c>
      <c r="BZ53" s="80" t="str">
        <f>IF(Y53=1,F53&amp;IF(AND(F53&amp;""&lt;&gt;"",E53&amp;""&lt;&gt;"")," · ","")&amp;E53,"")</f>
        <v/>
      </c>
      <c r="CA53" s="80" t="str">
        <f>IF(AND(BD53=1,E53&amp;""&lt;&gt;""),IF(COUNTIFS($E$5:E52,E53,$BD$5:BD52,1)=0,MAX($CA$5:CA52)+1,""),"")</f>
        <v/>
      </c>
      <c r="CB53" s="80" t="str">
        <f>IF(AND(BE53=1,D53="Malcolm",E53&amp;""&lt;&gt;""),IF(COUNTIFS($D$5:D52,"Malcolm",$E$5:E52,E53,$BE$5:BE52,1)=0,MAX($CB$5:CB52)+1,""),"")</f>
        <v/>
      </c>
      <c r="CC53" s="80" t="str">
        <f>IF(AND(BD53=1,D53="proMX",E53&amp;""&lt;&gt;""),IF(COUNTIFS($D$5:D52,"proMX",$E$5:E52,E53,$BD$5:BD52,1)=0,MAX($CC$5:CC52)+1,""),"")</f>
        <v/>
      </c>
      <c r="CD53" s="80" t="str">
        <f>IF(AND(BE53=1,D53="Malcolm",F53&amp;""&lt;&gt;""),IF(COUNTIFS($D$5:D52,"Malcolm",$F$5:F52,F53,$BE$5:BE52,1)=0,MAX($CD$5:CD52)+1,""),"")</f>
        <v/>
      </c>
      <c r="CE53" s="80" t="str">
        <f>IF(AND(BD53=1,D53="proMX",F53&amp;""&lt;&gt;""),IF(COUNTIFS($D$5:D52,"proMX",$F$5:F52,F53,$BD$5:BD52,1)=0,MAX($CE$5:CE52)+1,""),"")</f>
        <v/>
      </c>
      <c r="CF53" s="80" t="str">
        <f>IF(AND(D53="proMX",BD53=1),IF(OR(BF53="Draft",BF53="Submitted",BF53="Returned",BF53="Recall Requested"),MAX($CF$5:CF52)+1,""),"")</f>
        <v/>
      </c>
      <c r="CG53" s="80">
        <f>IF(BD53=0,0,IF(D53="Malcolm",1,MATCH(BF53,{"Draft","Submitted","Approved","Returned","Recall Requested","Cancelled"},0)+1))</f>
        <v>0</v>
      </c>
      <c r="CH53" s="80">
        <f>IF(AND(BF53="Submitted",ISNUMBER(V53)),IF(V53&gt;CFG_MAXD,1,0),0)</f>
        <v>0</v>
      </c>
    </row>
    <row r="54">
      <c r="A54" s="71" t="str">
        <f>IF(Y54=1,ROW()-5,"")</f>
        <v/>
      </c>
      <c r="B54" s="72" t="n"/>
      <c r="C54" s="71" t="str">
        <f>IF(ISNUMBER(B54),CHOOSE(WEEKDAY(B54,2),"Lun","Mar","Mié","Jue","Vie","Sáb","Dom"),"")</f>
        <v/>
      </c>
      <c r="D54" s="73" t="n"/>
      <c r="E54" s="74" t="n"/>
      <c r="F54" s="74" t="n"/>
      <c r="G54" s="74" t="n"/>
      <c r="H54" s="75" t="n"/>
      <c r="I54" s="75" t="n"/>
      <c r="J54" s="76" t="n"/>
      <c r="K54" s="77" t="str">
        <f>IF(AB54=1,ROUND(AG54/60,4),"")</f>
        <v/>
      </c>
      <c r="L54" s="77" t="str">
        <f>IF(BD54=1,ROUND(AP54/60,4),"")</f>
        <v/>
      </c>
      <c r="M54" s="77" t="str">
        <f>IF(BD54=1,ROUND(AQ54/60,4),"")</f>
        <v/>
      </c>
      <c r="N54" s="71" t="str">
        <f>IF(AND(D54="proMX",AB54=1),ROUND(AG54/CFG_BLK,2),"")</f>
        <v/>
      </c>
      <c r="O54" s="77" t="str">
        <f>IF(D54="proMX",IF(BD54=1,ROUND(AG54/60,4),0),"")</f>
        <v/>
      </c>
      <c r="P54" s="78" t="str">
        <f>IF(Y54=0,"",IF(BD54=1,"OK",IF(D54="proMX","Revisar bloques: ","Revisar: ")&amp;BC54))</f>
        <v/>
      </c>
      <c r="Q54" s="78" t="str">
        <f>IF(NOT(ISNUMBER(B54)),"",IF(COUNTIFS(FER_F,INT(B54))&gt;0,"Feriado"&amp;IF(AH54=1," (laborable)"," (no laborable)"),IF(AH54=1,"Laborable",IF(WEEKDAY(B54,2)&gt;5,"Fin de semana","No laborable"))))</f>
        <v/>
      </c>
      <c r="R54" s="73" t="n"/>
      <c r="S54" s="72" t="n"/>
      <c r="T54" s="72" t="n"/>
      <c r="U54" s="74" t="n"/>
      <c r="V54" s="79" t="str">
        <f>IF(AND(D54="proMX",OR(R54="Submitted",R54="Recall Requested"),ISNUMBER(S54)),CFG_TODAY-INT(S54),"")</f>
        <v/>
      </c>
      <c r="W54" s="78" t="str">
        <f>IF(BD54=0,"",IF(BA54&gt;0,"⚠ Se superpone con un registro de la otra empresa",IF(D54="Malcolm",IF(COUNTA(R54,S54,T54)&gt;0,"Estado/fechas proMX se ignoran en Malcolm",""),IF(BF54="Cancelled","Cancelado: excluido de totales",IF(R54="","Sin estado: se trata como Draft",IF(BF54="Submitted",IF(ISNUMBER(V54),IF(V54&gt;CFG_MAXD,"⚠ "&amp;V54&amp;" días en Submitted (máx. "&amp;CFG_MAXD&amp;")",""),"Falta fecha de envío"),IF(BF54="Returned","⚠ Devuelto: corregir y reenviar",IF(BF54="Recall Requested","Retirada solicitada: pendiente",IF(AND(BF54="Approved",NOT(ISNUMBER(T54))),"Falta fecha de aprobación",IF(AND(ISNUMBER(S54),ISNUMBER(T54),T54&lt;S54),"Aprobación anterior al envío","")))))))))</f>
        <v/>
      </c>
      <c r="Y54" s="80">
        <f>IF(COUNTA(B54,D54,E54,F54,G54,H54,I54,J54,R54,S54,T54)&gt;0,1,0)</f>
        <v>0</v>
      </c>
      <c r="Z54" s="80" t="str">
        <f>IF(AND(ISNUMBER(H54),H54&gt;=0,H54&lt;1),ROUND(H54*1440,0),"")</f>
        <v/>
      </c>
      <c r="AA54" s="80" t="str">
        <f>IF(AND(ISNUMBER(I54),I54&gt;=0,I54&lt;1),ROUND(I54*1440,0),"")</f>
        <v/>
      </c>
      <c r="AB54" s="80">
        <f>IF(AND(ISNUMBER(B54),D54&lt;&gt;"",ISNUMBER(Z54),ISNUMBER(AA54)),IF(Z54=AA54,0,1),0)</f>
        <v>0</v>
      </c>
      <c r="AC54" s="80">
        <f>IF(AB54=1,IF(AA54&lt;Z54,1,0),0)</f>
        <v>0</v>
      </c>
      <c r="AD54" s="80">
        <f>IF(AB54=1,IF(AC54=1,1440-Z54+AA54,AA54-Z54),0)</f>
        <v>0</v>
      </c>
      <c r="AE54" s="80">
        <f>IF(J54="",0,IF(ISNUMBER(J54),J54,-1))</f>
        <v>0</v>
      </c>
      <c r="AF54" s="80">
        <f>MIN(MAX(0,AE54),AD54)</f>
        <v>0</v>
      </c>
      <c r="AG54" s="80">
        <f>MAX(0,AD54-MAX(0,AE54))</f>
        <v>0</v>
      </c>
      <c r="AH54" s="80">
        <f>IF(ISNUMBER(B54),IF(AND(INDEX(CFG_WDAYS,WEEKDAY(INT(B54),2))="Sí",IF(D54="proMX",COUNTIFS(FER_F,INT(B54),FER_NLP,"Sí"),COUNTIFS(FER_F,INT(B54),FER_NLM,"Sí"))=0),1,0),0)</f>
        <v>0</v>
      </c>
      <c r="AI54" s="80">
        <f>IF(AC54=1,IF(AND(INDEX(CFG_WDAYS,WEEKDAY(INT(B54)+1,2))="Sí",IF(D54="proMX",COUNTIFS(FER_F,INT(B54)+1,FER_NLP,"Sí"),COUNTIFS(FER_F,INT(B54)+1,FER_NLM,"Sí"))=0),1,0),0)</f>
        <v>0</v>
      </c>
      <c r="AJ54" s="80">
        <f>IF(AC54=1,1440-Z54,AD54)</f>
        <v>0</v>
      </c>
      <c r="AK54" s="80">
        <f>IF(AND(AB54=1,AH54=1),MAX(0,MIN(IF(AC54=1,1440,AA54),CFG_WEM)-MAX(Z54,CFG_WSM)),0)</f>
        <v>0</v>
      </c>
      <c r="AL54" s="80">
        <f>IF(AND(AC54=1,AI54=1),MAX(0,MIN(AA54,CFG_WEM)-CFG_WSM),0)</f>
        <v>0</v>
      </c>
      <c r="AM54" s="80">
        <f>AK54+AL54</f>
        <v>0</v>
      </c>
      <c r="AN54" s="80">
        <f>IF(CFG_BRK="Proporcional",IF(AD54=0,0,AF54*AM54/AD54),IF(CFG_BRK="Extras primero",MIN(AM54,MAX(0,AF54-(AD54-AM54))),MIN(AF54,AM54)))</f>
        <v>0</v>
      </c>
      <c r="AO54" s="80">
        <f>AF54-AN54</f>
        <v>0</v>
      </c>
      <c r="AP54" s="80">
        <f>AM54-AN54</f>
        <v>0</v>
      </c>
      <c r="AQ54" s="80">
        <f>AD54-AM54-AO54</f>
        <v>0</v>
      </c>
      <c r="AR54" s="80">
        <f>IF(AM54=0,0,AK54-AN54*AK54/AM54)</f>
        <v>0</v>
      </c>
      <c r="AS54" s="80">
        <f>IF(AD54-AM54=0,0,(AJ54-AK54)-AO54*(AJ54-AK54)/(AD54-AM54))</f>
        <v>0</v>
      </c>
      <c r="AT54" s="80" t="str">
        <f>IF(AC54=1,INT(B54)+1,"")</f>
        <v/>
      </c>
      <c r="AU54" s="80">
        <f>IF(AND(D54="proMX",R54="Cancelled"),0,1)</f>
        <v>1</v>
      </c>
      <c r="AV54" s="80">
        <f>IF(AND(AB54=1,AU54=1),IF(COUNTIFS($D$5:D53,D54,$B$5:B53,B54,$Z$5:Z53,Z54,$AA$5:AA53,AA54,$F$5:F53,F54&amp;"",$AU$5:AU53,1)&gt;0,1,0),0)</f>
        <v>0</v>
      </c>
      <c r="AW54" s="80" t="str">
        <f>IF(AB54=1,INT(B54)*1440+Z54,"")</f>
        <v/>
      </c>
      <c r="AX54" s="80" t="str">
        <f>IF(AB54=1,AW54+AD54,"")</f>
        <v/>
      </c>
      <c r="AY54" s="80">
        <f>IF(AND(AB54=1,AV54=0,AU54=1),1,0)</f>
        <v>0</v>
      </c>
      <c r="AZ54" s="80">
        <f>IF(AY54=1,COUNTIFS(R_Emp,D54,R_SAbs,"&lt;"&amp;AX54,R_EAbs,"&gt;"&amp;AW54,R_OKey,1)-1,0)</f>
        <v>0</v>
      </c>
      <c r="BA54" s="80">
        <f>IF(AY54=1,COUNTIFS(R_Emp,"&lt;&gt;"&amp;D54,R_SAbs,"&lt;"&amp;AX54,R_EAbs,"&gt;"&amp;AW54,R_OKey,1),0)</f>
        <v>0</v>
      </c>
      <c r="BB54" s="80">
        <f>IF(AND(AB54=1,D54="proMX"),IF(AND(MOD(Z54,CFG_BLK)=0,MOD(AA54,CFG_BLK)=0,MOD(AG54,CFG_BLK)=0,AG54&gt;0),1,0),1)</f>
        <v>1</v>
      </c>
      <c r="BC54" s="80" t="str">
        <f>IF(Y54=0,"",IF(NOT(ISNUMBER(B54)),"Falta fecha o fecha inválida",IF(D54="","Falta empresa",IF(AND(D54&lt;&gt;"Malcolm",D54&lt;&gt;"proMX"),"Empresa inválida",IF(OR(INT(B54)&lt;CFG_PSTART,INT(B54)&gt;CFG_PEND),"Fecha fuera del período",IF(OR(NOT(ISNUMBER(Z54)),NOT(ISNUMBER(AA54))),"Falta hora inicio/fin o formato inválido",IF(AB54=0,"Hora inicio = hora fin",IF(AE54&lt;0,"Descanso inválido",IF(AE54&gt;=AD54,"Descanso ≥ duración",IF(AV54=1,"Registro duplicado",IF(AZ54&gt;0,"Se superpone con otro registro "&amp;D54,IF(BB54=0,"inicio, fin y duración neta deben ser múltiplos de "&amp;CFG_BLK&amp;" min",""))))))))))))</f>
        <v/>
      </c>
      <c r="BD54" s="80">
        <f>IF(AND(Y54=1,BC54=""),1,0)</f>
        <v>0</v>
      </c>
      <c r="BE54" s="80">
        <f>IF(AND(BD54=1,AU54=1),1,0)</f>
        <v>0</v>
      </c>
      <c r="BF54" s="80" t="str">
        <f>IF(AND(D54="proMX",BD54=1),IF(R54="","Draft",R54),"")</f>
        <v/>
      </c>
      <c r="BG54" s="80">
        <f>IF(BD54=1,ROUND(AG54/60,6),0)</f>
        <v>0</v>
      </c>
      <c r="BH54" s="80">
        <f>IF(BE54=1,ROUND(AG54/60,6),0)</f>
        <v>0</v>
      </c>
      <c r="BI54" s="80">
        <f>IF(BE54=1,ROUND(AP54/60,6),0)</f>
        <v>0</v>
      </c>
      <c r="BJ54" s="80">
        <f>IF(BE54=1,ROUND(AQ54/60,6),0)</f>
        <v>0</v>
      </c>
      <c r="BK54" s="80">
        <f>IF(BE54=1,ROUND((AR54+AS54)/60,6),0)</f>
        <v>0</v>
      </c>
      <c r="BL54" s="80">
        <f>ROUND(BH54-BK54,6)</f>
        <v>0</v>
      </c>
      <c r="BM54" s="80">
        <f>IF(BE54=1,ROUND(AR54/60,6),0)</f>
        <v>0</v>
      </c>
      <c r="BN54" s="80">
        <f>ROUND(BI54-BM54,6)</f>
        <v>0</v>
      </c>
      <c r="BO54" s="80">
        <f>IF(BE54=1,ROUND(AS54/60,6),0)</f>
        <v>0</v>
      </c>
      <c r="BP54" s="80">
        <f>ROUND(BJ54-BO54,6)</f>
        <v>0</v>
      </c>
      <c r="BQ54" s="80">
        <f>IF(BE54=1,AW54,0)</f>
        <v>0</v>
      </c>
      <c r="BR54" s="80">
        <f>IF(BE54=1,AX54,0)</f>
        <v>0</v>
      </c>
      <c r="BS54" s="80">
        <f>IF(AND(BE54=1,D54="Malcolm",BA54&gt;0),MIN(BH54,SUMPRODUCT((R_Emp="proMX")*(R_EN&gt;0)*((R_EN-(R_EN&gt;BR54)*(R_EN-BR54))&gt;(R_SN+(R_SN&lt;BQ54)*(BQ54-R_SN)))*((R_EN-(R_EN&gt;BR54)*(R_EN-BR54))-(R_SN+(R_SN&lt;BQ54)*(BQ54-R_SN))))/60),0)</f>
        <v>0</v>
      </c>
      <c r="BT54" s="80">
        <f>IF(AND(BE54=1,D54="proMX"),ROUND(BI54*CFG_RATE+BJ54*CFG_OTRATE,6),0)</f>
        <v>0</v>
      </c>
      <c r="BU54" s="80">
        <f>IF(AND(BD54=1,D54="proMX"),ROUND(AG54/CFG_BLK,6),0)</f>
        <v>0</v>
      </c>
      <c r="BV54" s="80" t="str">
        <f>IF(BF54="Approved",IF(ISNUMBER(T54),INT(T54),INT(B54)),"")</f>
        <v/>
      </c>
      <c r="BW54" s="80">
        <f>IF(ISNUMBER(B54),IF(DB_MON="Todos",1,IF(AND(INT(B54)&gt;=DB_MS,INT(B54)&lt;=DB_ME),1,0)),0)</f>
        <v>0</v>
      </c>
      <c r="BX54" s="80">
        <f>IF(DB_PROJ="Todos",1,IF(E54&amp;""=DB_PROJ&amp;"",1,0))</f>
        <v>1</v>
      </c>
      <c r="BY54" s="80">
        <f>BW54*BX54</f>
        <v>0</v>
      </c>
      <c r="BZ54" s="80" t="str">
        <f>IF(Y54=1,F54&amp;IF(AND(F54&amp;""&lt;&gt;"",E54&amp;""&lt;&gt;"")," · ","")&amp;E54,"")</f>
        <v/>
      </c>
      <c r="CA54" s="80" t="str">
        <f>IF(AND(BD54=1,E54&amp;""&lt;&gt;""),IF(COUNTIFS($E$5:E53,E54,$BD$5:BD53,1)=0,MAX($CA$5:CA53)+1,""),"")</f>
        <v/>
      </c>
      <c r="CB54" s="80" t="str">
        <f>IF(AND(BE54=1,D54="Malcolm",E54&amp;""&lt;&gt;""),IF(COUNTIFS($D$5:D53,"Malcolm",$E$5:E53,E54,$BE$5:BE53,1)=0,MAX($CB$5:CB53)+1,""),"")</f>
        <v/>
      </c>
      <c r="CC54" s="80" t="str">
        <f>IF(AND(BD54=1,D54="proMX",E54&amp;""&lt;&gt;""),IF(COUNTIFS($D$5:D53,"proMX",$E$5:E53,E54,$BD$5:BD53,1)=0,MAX($CC$5:CC53)+1,""),"")</f>
        <v/>
      </c>
      <c r="CD54" s="80" t="str">
        <f>IF(AND(BE54=1,D54="Malcolm",F54&amp;""&lt;&gt;""),IF(COUNTIFS($D$5:D53,"Malcolm",$F$5:F53,F54,$BE$5:BE53,1)=0,MAX($CD$5:CD53)+1,""),"")</f>
        <v/>
      </c>
      <c r="CE54" s="80" t="str">
        <f>IF(AND(BD54=1,D54="proMX",F54&amp;""&lt;&gt;""),IF(COUNTIFS($D$5:D53,"proMX",$F$5:F53,F54,$BD$5:BD53,1)=0,MAX($CE$5:CE53)+1,""),"")</f>
        <v/>
      </c>
      <c r="CF54" s="80" t="str">
        <f>IF(AND(D54="proMX",BD54=1),IF(OR(BF54="Draft",BF54="Submitted",BF54="Returned",BF54="Recall Requested"),MAX($CF$5:CF53)+1,""),"")</f>
        <v/>
      </c>
      <c r="CG54" s="80">
        <f>IF(BD54=0,0,IF(D54="Malcolm",1,MATCH(BF54,{"Draft","Submitted","Approved","Returned","Recall Requested","Cancelled"},0)+1))</f>
        <v>0</v>
      </c>
      <c r="CH54" s="80">
        <f>IF(AND(BF54="Submitted",ISNUMBER(V54)),IF(V54&gt;CFG_MAXD,1,0),0)</f>
        <v>0</v>
      </c>
    </row>
    <row r="55">
      <c r="A55" s="71" t="str">
        <f>IF(Y55=1,ROW()-5,"")</f>
        <v/>
      </c>
      <c r="B55" s="72" t="n"/>
      <c r="C55" s="71" t="str">
        <f>IF(ISNUMBER(B55),CHOOSE(WEEKDAY(B55,2),"Lun","Mar","Mié","Jue","Vie","Sáb","Dom"),"")</f>
        <v/>
      </c>
      <c r="D55" s="73" t="n"/>
      <c r="E55" s="74" t="n"/>
      <c r="F55" s="74" t="n"/>
      <c r="G55" s="74" t="n"/>
      <c r="H55" s="75" t="n"/>
      <c r="I55" s="75" t="n"/>
      <c r="J55" s="76" t="n"/>
      <c r="K55" s="77" t="str">
        <f>IF(AB55=1,ROUND(AG55/60,4),"")</f>
        <v/>
      </c>
      <c r="L55" s="77" t="str">
        <f>IF(BD55=1,ROUND(AP55/60,4),"")</f>
        <v/>
      </c>
      <c r="M55" s="77" t="str">
        <f>IF(BD55=1,ROUND(AQ55/60,4),"")</f>
        <v/>
      </c>
      <c r="N55" s="71" t="str">
        <f>IF(AND(D55="proMX",AB55=1),ROUND(AG55/CFG_BLK,2),"")</f>
        <v/>
      </c>
      <c r="O55" s="77" t="str">
        <f>IF(D55="proMX",IF(BD55=1,ROUND(AG55/60,4),0),"")</f>
        <v/>
      </c>
      <c r="P55" s="78" t="str">
        <f>IF(Y55=0,"",IF(BD55=1,"OK",IF(D55="proMX","Revisar bloques: ","Revisar: ")&amp;BC55))</f>
        <v/>
      </c>
      <c r="Q55" s="78" t="str">
        <f>IF(NOT(ISNUMBER(B55)),"",IF(COUNTIFS(FER_F,INT(B55))&gt;0,"Feriado"&amp;IF(AH55=1," (laborable)"," (no laborable)"),IF(AH55=1,"Laborable",IF(WEEKDAY(B55,2)&gt;5,"Fin de semana","No laborable"))))</f>
        <v/>
      </c>
      <c r="R55" s="73" t="n"/>
      <c r="S55" s="72" t="n"/>
      <c r="T55" s="72" t="n"/>
      <c r="U55" s="74" t="n"/>
      <c r="V55" s="79" t="str">
        <f>IF(AND(D55="proMX",OR(R55="Submitted",R55="Recall Requested"),ISNUMBER(S55)),CFG_TODAY-INT(S55),"")</f>
        <v/>
      </c>
      <c r="W55" s="78" t="str">
        <f>IF(BD55=0,"",IF(BA55&gt;0,"⚠ Se superpone con un registro de la otra empresa",IF(D55="Malcolm",IF(COUNTA(R55,S55,T55)&gt;0,"Estado/fechas proMX se ignoran en Malcolm",""),IF(BF55="Cancelled","Cancelado: excluido de totales",IF(R55="","Sin estado: se trata como Draft",IF(BF55="Submitted",IF(ISNUMBER(V55),IF(V55&gt;CFG_MAXD,"⚠ "&amp;V55&amp;" días en Submitted (máx. "&amp;CFG_MAXD&amp;")",""),"Falta fecha de envío"),IF(BF55="Returned","⚠ Devuelto: corregir y reenviar",IF(BF55="Recall Requested","Retirada solicitada: pendiente",IF(AND(BF55="Approved",NOT(ISNUMBER(T55))),"Falta fecha de aprobación",IF(AND(ISNUMBER(S55),ISNUMBER(T55),T55&lt;S55),"Aprobación anterior al envío","")))))))))</f>
        <v/>
      </c>
      <c r="Y55" s="80">
        <f>IF(COUNTA(B55,D55,E55,F55,G55,H55,I55,J55,R55,S55,T55)&gt;0,1,0)</f>
        <v>0</v>
      </c>
      <c r="Z55" s="80" t="str">
        <f>IF(AND(ISNUMBER(H55),H55&gt;=0,H55&lt;1),ROUND(H55*1440,0),"")</f>
        <v/>
      </c>
      <c r="AA55" s="80" t="str">
        <f>IF(AND(ISNUMBER(I55),I55&gt;=0,I55&lt;1),ROUND(I55*1440,0),"")</f>
        <v/>
      </c>
      <c r="AB55" s="80">
        <f>IF(AND(ISNUMBER(B55),D55&lt;&gt;"",ISNUMBER(Z55),ISNUMBER(AA55)),IF(Z55=AA55,0,1),0)</f>
        <v>0</v>
      </c>
      <c r="AC55" s="80">
        <f>IF(AB55=1,IF(AA55&lt;Z55,1,0),0)</f>
        <v>0</v>
      </c>
      <c r="AD55" s="80">
        <f>IF(AB55=1,IF(AC55=1,1440-Z55+AA55,AA55-Z55),0)</f>
        <v>0</v>
      </c>
      <c r="AE55" s="80">
        <f>IF(J55="",0,IF(ISNUMBER(J55),J55,-1))</f>
        <v>0</v>
      </c>
      <c r="AF55" s="80">
        <f>MIN(MAX(0,AE55),AD55)</f>
        <v>0</v>
      </c>
      <c r="AG55" s="80">
        <f>MAX(0,AD55-MAX(0,AE55))</f>
        <v>0</v>
      </c>
      <c r="AH55" s="80">
        <f>IF(ISNUMBER(B55),IF(AND(INDEX(CFG_WDAYS,WEEKDAY(INT(B55),2))="Sí",IF(D55="proMX",COUNTIFS(FER_F,INT(B55),FER_NLP,"Sí"),COUNTIFS(FER_F,INT(B55),FER_NLM,"Sí"))=0),1,0),0)</f>
        <v>0</v>
      </c>
      <c r="AI55" s="80">
        <f>IF(AC55=1,IF(AND(INDEX(CFG_WDAYS,WEEKDAY(INT(B55)+1,2))="Sí",IF(D55="proMX",COUNTIFS(FER_F,INT(B55)+1,FER_NLP,"Sí"),COUNTIFS(FER_F,INT(B55)+1,FER_NLM,"Sí"))=0),1,0),0)</f>
        <v>0</v>
      </c>
      <c r="AJ55" s="80">
        <f>IF(AC55=1,1440-Z55,AD55)</f>
        <v>0</v>
      </c>
      <c r="AK55" s="80">
        <f>IF(AND(AB55=1,AH55=1),MAX(0,MIN(IF(AC55=1,1440,AA55),CFG_WEM)-MAX(Z55,CFG_WSM)),0)</f>
        <v>0</v>
      </c>
      <c r="AL55" s="80">
        <f>IF(AND(AC55=1,AI55=1),MAX(0,MIN(AA55,CFG_WEM)-CFG_WSM),0)</f>
        <v>0</v>
      </c>
      <c r="AM55" s="80">
        <f>AK55+AL55</f>
        <v>0</v>
      </c>
      <c r="AN55" s="80">
        <f>IF(CFG_BRK="Proporcional",IF(AD55=0,0,AF55*AM55/AD55),IF(CFG_BRK="Extras primero",MIN(AM55,MAX(0,AF55-(AD55-AM55))),MIN(AF55,AM55)))</f>
        <v>0</v>
      </c>
      <c r="AO55" s="80">
        <f>AF55-AN55</f>
        <v>0</v>
      </c>
      <c r="AP55" s="80">
        <f>AM55-AN55</f>
        <v>0</v>
      </c>
      <c r="AQ55" s="80">
        <f>AD55-AM55-AO55</f>
        <v>0</v>
      </c>
      <c r="AR55" s="80">
        <f>IF(AM55=0,0,AK55-AN55*AK55/AM55)</f>
        <v>0</v>
      </c>
      <c r="AS55" s="80">
        <f>IF(AD55-AM55=0,0,(AJ55-AK55)-AO55*(AJ55-AK55)/(AD55-AM55))</f>
        <v>0</v>
      </c>
      <c r="AT55" s="80" t="str">
        <f>IF(AC55=1,INT(B55)+1,"")</f>
        <v/>
      </c>
      <c r="AU55" s="80">
        <f>IF(AND(D55="proMX",R55="Cancelled"),0,1)</f>
        <v>1</v>
      </c>
      <c r="AV55" s="80">
        <f>IF(AND(AB55=1,AU55=1),IF(COUNTIFS($D$5:D54,D55,$B$5:B54,B55,$Z$5:Z54,Z55,$AA$5:AA54,AA55,$F$5:F54,F55&amp;"",$AU$5:AU54,1)&gt;0,1,0),0)</f>
        <v>0</v>
      </c>
      <c r="AW55" s="80" t="str">
        <f>IF(AB55=1,INT(B55)*1440+Z55,"")</f>
        <v/>
      </c>
      <c r="AX55" s="80" t="str">
        <f>IF(AB55=1,AW55+AD55,"")</f>
        <v/>
      </c>
      <c r="AY55" s="80">
        <f>IF(AND(AB55=1,AV55=0,AU55=1),1,0)</f>
        <v>0</v>
      </c>
      <c r="AZ55" s="80">
        <f>IF(AY55=1,COUNTIFS(R_Emp,D55,R_SAbs,"&lt;"&amp;AX55,R_EAbs,"&gt;"&amp;AW55,R_OKey,1)-1,0)</f>
        <v>0</v>
      </c>
      <c r="BA55" s="80">
        <f>IF(AY55=1,COUNTIFS(R_Emp,"&lt;&gt;"&amp;D55,R_SAbs,"&lt;"&amp;AX55,R_EAbs,"&gt;"&amp;AW55,R_OKey,1),0)</f>
        <v>0</v>
      </c>
      <c r="BB55" s="80">
        <f>IF(AND(AB55=1,D55="proMX"),IF(AND(MOD(Z55,CFG_BLK)=0,MOD(AA55,CFG_BLK)=0,MOD(AG55,CFG_BLK)=0,AG55&gt;0),1,0),1)</f>
        <v>1</v>
      </c>
      <c r="BC55" s="80" t="str">
        <f>IF(Y55=0,"",IF(NOT(ISNUMBER(B55)),"Falta fecha o fecha inválida",IF(D55="","Falta empresa",IF(AND(D55&lt;&gt;"Malcolm",D55&lt;&gt;"proMX"),"Empresa inválida",IF(OR(INT(B55)&lt;CFG_PSTART,INT(B55)&gt;CFG_PEND),"Fecha fuera del período",IF(OR(NOT(ISNUMBER(Z55)),NOT(ISNUMBER(AA55))),"Falta hora inicio/fin o formato inválido",IF(AB55=0,"Hora inicio = hora fin",IF(AE55&lt;0,"Descanso inválido",IF(AE55&gt;=AD55,"Descanso ≥ duración",IF(AV55=1,"Registro duplicado",IF(AZ55&gt;0,"Se superpone con otro registro "&amp;D55,IF(BB55=0,"inicio, fin y duración neta deben ser múltiplos de "&amp;CFG_BLK&amp;" min",""))))))))))))</f>
        <v/>
      </c>
      <c r="BD55" s="80">
        <f>IF(AND(Y55=1,BC55=""),1,0)</f>
        <v>0</v>
      </c>
      <c r="BE55" s="80">
        <f>IF(AND(BD55=1,AU55=1),1,0)</f>
        <v>0</v>
      </c>
      <c r="BF55" s="80" t="str">
        <f>IF(AND(D55="proMX",BD55=1),IF(R55="","Draft",R55),"")</f>
        <v/>
      </c>
      <c r="BG55" s="80">
        <f>IF(BD55=1,ROUND(AG55/60,6),0)</f>
        <v>0</v>
      </c>
      <c r="BH55" s="80">
        <f>IF(BE55=1,ROUND(AG55/60,6),0)</f>
        <v>0</v>
      </c>
      <c r="BI55" s="80">
        <f>IF(BE55=1,ROUND(AP55/60,6),0)</f>
        <v>0</v>
      </c>
      <c r="BJ55" s="80">
        <f>IF(BE55=1,ROUND(AQ55/60,6),0)</f>
        <v>0</v>
      </c>
      <c r="BK55" s="80">
        <f>IF(BE55=1,ROUND((AR55+AS55)/60,6),0)</f>
        <v>0</v>
      </c>
      <c r="BL55" s="80">
        <f>ROUND(BH55-BK55,6)</f>
        <v>0</v>
      </c>
      <c r="BM55" s="80">
        <f>IF(BE55=1,ROUND(AR55/60,6),0)</f>
        <v>0</v>
      </c>
      <c r="BN55" s="80">
        <f>ROUND(BI55-BM55,6)</f>
        <v>0</v>
      </c>
      <c r="BO55" s="80">
        <f>IF(BE55=1,ROUND(AS55/60,6),0)</f>
        <v>0</v>
      </c>
      <c r="BP55" s="80">
        <f>ROUND(BJ55-BO55,6)</f>
        <v>0</v>
      </c>
      <c r="BQ55" s="80">
        <f>IF(BE55=1,AW55,0)</f>
        <v>0</v>
      </c>
      <c r="BR55" s="80">
        <f>IF(BE55=1,AX55,0)</f>
        <v>0</v>
      </c>
      <c r="BS55" s="80">
        <f>IF(AND(BE55=1,D55="Malcolm",BA55&gt;0),MIN(BH55,SUMPRODUCT((R_Emp="proMX")*(R_EN&gt;0)*((R_EN-(R_EN&gt;BR55)*(R_EN-BR55))&gt;(R_SN+(R_SN&lt;BQ55)*(BQ55-R_SN)))*((R_EN-(R_EN&gt;BR55)*(R_EN-BR55))-(R_SN+(R_SN&lt;BQ55)*(BQ55-R_SN))))/60),0)</f>
        <v>0</v>
      </c>
      <c r="BT55" s="80">
        <f>IF(AND(BE55=1,D55="proMX"),ROUND(BI55*CFG_RATE+BJ55*CFG_OTRATE,6),0)</f>
        <v>0</v>
      </c>
      <c r="BU55" s="80">
        <f>IF(AND(BD55=1,D55="proMX"),ROUND(AG55/CFG_BLK,6),0)</f>
        <v>0</v>
      </c>
      <c r="BV55" s="80" t="str">
        <f>IF(BF55="Approved",IF(ISNUMBER(T55),INT(T55),INT(B55)),"")</f>
        <v/>
      </c>
      <c r="BW55" s="80">
        <f>IF(ISNUMBER(B55),IF(DB_MON="Todos",1,IF(AND(INT(B55)&gt;=DB_MS,INT(B55)&lt;=DB_ME),1,0)),0)</f>
        <v>0</v>
      </c>
      <c r="BX55" s="80">
        <f>IF(DB_PROJ="Todos",1,IF(E55&amp;""=DB_PROJ&amp;"",1,0))</f>
        <v>1</v>
      </c>
      <c r="BY55" s="80">
        <f>BW55*BX55</f>
        <v>0</v>
      </c>
      <c r="BZ55" s="80" t="str">
        <f>IF(Y55=1,F55&amp;IF(AND(F55&amp;""&lt;&gt;"",E55&amp;""&lt;&gt;"")," · ","")&amp;E55,"")</f>
        <v/>
      </c>
      <c r="CA55" s="80" t="str">
        <f>IF(AND(BD55=1,E55&amp;""&lt;&gt;""),IF(COUNTIFS($E$5:E54,E55,$BD$5:BD54,1)=0,MAX($CA$5:CA54)+1,""),"")</f>
        <v/>
      </c>
      <c r="CB55" s="80" t="str">
        <f>IF(AND(BE55=1,D55="Malcolm",E55&amp;""&lt;&gt;""),IF(COUNTIFS($D$5:D54,"Malcolm",$E$5:E54,E55,$BE$5:BE54,1)=0,MAX($CB$5:CB54)+1,""),"")</f>
        <v/>
      </c>
      <c r="CC55" s="80" t="str">
        <f>IF(AND(BD55=1,D55="proMX",E55&amp;""&lt;&gt;""),IF(COUNTIFS($D$5:D54,"proMX",$E$5:E54,E55,$BD$5:BD54,1)=0,MAX($CC$5:CC54)+1,""),"")</f>
        <v/>
      </c>
      <c r="CD55" s="80" t="str">
        <f>IF(AND(BE55=1,D55="Malcolm",F55&amp;""&lt;&gt;""),IF(COUNTIFS($D$5:D54,"Malcolm",$F$5:F54,F55,$BE$5:BE54,1)=0,MAX($CD$5:CD54)+1,""),"")</f>
        <v/>
      </c>
      <c r="CE55" s="80" t="str">
        <f>IF(AND(BD55=1,D55="proMX",F55&amp;""&lt;&gt;""),IF(COUNTIFS($D$5:D54,"proMX",$F$5:F54,F55,$BD$5:BD54,1)=0,MAX($CE$5:CE54)+1,""),"")</f>
        <v/>
      </c>
      <c r="CF55" s="80" t="str">
        <f>IF(AND(D55="proMX",BD55=1),IF(OR(BF55="Draft",BF55="Submitted",BF55="Returned",BF55="Recall Requested"),MAX($CF$5:CF54)+1,""),"")</f>
        <v/>
      </c>
      <c r="CG55" s="80">
        <f>IF(BD55=0,0,IF(D55="Malcolm",1,MATCH(BF55,{"Draft","Submitted","Approved","Returned","Recall Requested","Cancelled"},0)+1))</f>
        <v>0</v>
      </c>
      <c r="CH55" s="80">
        <f>IF(AND(BF55="Submitted",ISNUMBER(V55)),IF(V55&gt;CFG_MAXD,1,0),0)</f>
        <v>0</v>
      </c>
    </row>
    <row r="56">
      <c r="A56" s="71" t="str">
        <f>IF(Y56=1,ROW()-5,"")</f>
        <v/>
      </c>
      <c r="B56" s="72" t="n"/>
      <c r="C56" s="71" t="str">
        <f>IF(ISNUMBER(B56),CHOOSE(WEEKDAY(B56,2),"Lun","Mar","Mié","Jue","Vie","Sáb","Dom"),"")</f>
        <v/>
      </c>
      <c r="D56" s="73" t="n"/>
      <c r="E56" s="74" t="n"/>
      <c r="F56" s="74" t="n"/>
      <c r="G56" s="74" t="n"/>
      <c r="H56" s="75" t="n"/>
      <c r="I56" s="75" t="n"/>
      <c r="J56" s="76" t="n"/>
      <c r="K56" s="77" t="str">
        <f>IF(AB56=1,ROUND(AG56/60,4),"")</f>
        <v/>
      </c>
      <c r="L56" s="77" t="str">
        <f>IF(BD56=1,ROUND(AP56/60,4),"")</f>
        <v/>
      </c>
      <c r="M56" s="77" t="str">
        <f>IF(BD56=1,ROUND(AQ56/60,4),"")</f>
        <v/>
      </c>
      <c r="N56" s="71" t="str">
        <f>IF(AND(D56="proMX",AB56=1),ROUND(AG56/CFG_BLK,2),"")</f>
        <v/>
      </c>
      <c r="O56" s="77" t="str">
        <f>IF(D56="proMX",IF(BD56=1,ROUND(AG56/60,4),0),"")</f>
        <v/>
      </c>
      <c r="P56" s="78" t="str">
        <f>IF(Y56=0,"",IF(BD56=1,"OK",IF(D56="proMX","Revisar bloques: ","Revisar: ")&amp;BC56))</f>
        <v/>
      </c>
      <c r="Q56" s="78" t="str">
        <f>IF(NOT(ISNUMBER(B56)),"",IF(COUNTIFS(FER_F,INT(B56))&gt;0,"Feriado"&amp;IF(AH56=1," (laborable)"," (no laborable)"),IF(AH56=1,"Laborable",IF(WEEKDAY(B56,2)&gt;5,"Fin de semana","No laborable"))))</f>
        <v/>
      </c>
      <c r="R56" s="73" t="n"/>
      <c r="S56" s="72" t="n"/>
      <c r="T56" s="72" t="n"/>
      <c r="U56" s="74" t="n"/>
      <c r="V56" s="79" t="str">
        <f>IF(AND(D56="proMX",OR(R56="Submitted",R56="Recall Requested"),ISNUMBER(S56)),CFG_TODAY-INT(S56),"")</f>
        <v/>
      </c>
      <c r="W56" s="78" t="str">
        <f>IF(BD56=0,"",IF(BA56&gt;0,"⚠ Se superpone con un registro de la otra empresa",IF(D56="Malcolm",IF(COUNTA(R56,S56,T56)&gt;0,"Estado/fechas proMX se ignoran en Malcolm",""),IF(BF56="Cancelled","Cancelado: excluido de totales",IF(R56="","Sin estado: se trata como Draft",IF(BF56="Submitted",IF(ISNUMBER(V56),IF(V56&gt;CFG_MAXD,"⚠ "&amp;V56&amp;" días en Submitted (máx. "&amp;CFG_MAXD&amp;")",""),"Falta fecha de envío"),IF(BF56="Returned","⚠ Devuelto: corregir y reenviar",IF(BF56="Recall Requested","Retirada solicitada: pendiente",IF(AND(BF56="Approved",NOT(ISNUMBER(T56))),"Falta fecha de aprobación",IF(AND(ISNUMBER(S56),ISNUMBER(T56),T56&lt;S56),"Aprobación anterior al envío","")))))))))</f>
        <v/>
      </c>
      <c r="Y56" s="80">
        <f>IF(COUNTA(B56,D56,E56,F56,G56,H56,I56,J56,R56,S56,T56)&gt;0,1,0)</f>
        <v>0</v>
      </c>
      <c r="Z56" s="80" t="str">
        <f>IF(AND(ISNUMBER(H56),H56&gt;=0,H56&lt;1),ROUND(H56*1440,0),"")</f>
        <v/>
      </c>
      <c r="AA56" s="80" t="str">
        <f>IF(AND(ISNUMBER(I56),I56&gt;=0,I56&lt;1),ROUND(I56*1440,0),"")</f>
        <v/>
      </c>
      <c r="AB56" s="80">
        <f>IF(AND(ISNUMBER(B56),D56&lt;&gt;"",ISNUMBER(Z56),ISNUMBER(AA56)),IF(Z56=AA56,0,1),0)</f>
        <v>0</v>
      </c>
      <c r="AC56" s="80">
        <f>IF(AB56=1,IF(AA56&lt;Z56,1,0),0)</f>
        <v>0</v>
      </c>
      <c r="AD56" s="80">
        <f>IF(AB56=1,IF(AC56=1,1440-Z56+AA56,AA56-Z56),0)</f>
        <v>0</v>
      </c>
      <c r="AE56" s="80">
        <f>IF(J56="",0,IF(ISNUMBER(J56),J56,-1))</f>
        <v>0</v>
      </c>
      <c r="AF56" s="80">
        <f>MIN(MAX(0,AE56),AD56)</f>
        <v>0</v>
      </c>
      <c r="AG56" s="80">
        <f>MAX(0,AD56-MAX(0,AE56))</f>
        <v>0</v>
      </c>
      <c r="AH56" s="80">
        <f>IF(ISNUMBER(B56),IF(AND(INDEX(CFG_WDAYS,WEEKDAY(INT(B56),2))="Sí",IF(D56="proMX",COUNTIFS(FER_F,INT(B56),FER_NLP,"Sí"),COUNTIFS(FER_F,INT(B56),FER_NLM,"Sí"))=0),1,0),0)</f>
        <v>0</v>
      </c>
      <c r="AI56" s="80">
        <f>IF(AC56=1,IF(AND(INDEX(CFG_WDAYS,WEEKDAY(INT(B56)+1,2))="Sí",IF(D56="proMX",COUNTIFS(FER_F,INT(B56)+1,FER_NLP,"Sí"),COUNTIFS(FER_F,INT(B56)+1,FER_NLM,"Sí"))=0),1,0),0)</f>
        <v>0</v>
      </c>
      <c r="AJ56" s="80">
        <f>IF(AC56=1,1440-Z56,AD56)</f>
        <v>0</v>
      </c>
      <c r="AK56" s="80">
        <f>IF(AND(AB56=1,AH56=1),MAX(0,MIN(IF(AC56=1,1440,AA56),CFG_WEM)-MAX(Z56,CFG_WSM)),0)</f>
        <v>0</v>
      </c>
      <c r="AL56" s="80">
        <f>IF(AND(AC56=1,AI56=1),MAX(0,MIN(AA56,CFG_WEM)-CFG_WSM),0)</f>
        <v>0</v>
      </c>
      <c r="AM56" s="80">
        <f>AK56+AL56</f>
        <v>0</v>
      </c>
      <c r="AN56" s="80">
        <f>IF(CFG_BRK="Proporcional",IF(AD56=0,0,AF56*AM56/AD56),IF(CFG_BRK="Extras primero",MIN(AM56,MAX(0,AF56-(AD56-AM56))),MIN(AF56,AM56)))</f>
        <v>0</v>
      </c>
      <c r="AO56" s="80">
        <f>AF56-AN56</f>
        <v>0</v>
      </c>
      <c r="AP56" s="80">
        <f>AM56-AN56</f>
        <v>0</v>
      </c>
      <c r="AQ56" s="80">
        <f>AD56-AM56-AO56</f>
        <v>0</v>
      </c>
      <c r="AR56" s="80">
        <f>IF(AM56=0,0,AK56-AN56*AK56/AM56)</f>
        <v>0</v>
      </c>
      <c r="AS56" s="80">
        <f>IF(AD56-AM56=0,0,(AJ56-AK56)-AO56*(AJ56-AK56)/(AD56-AM56))</f>
        <v>0</v>
      </c>
      <c r="AT56" s="80" t="str">
        <f>IF(AC56=1,INT(B56)+1,"")</f>
        <v/>
      </c>
      <c r="AU56" s="80">
        <f>IF(AND(D56="proMX",R56="Cancelled"),0,1)</f>
        <v>1</v>
      </c>
      <c r="AV56" s="80">
        <f>IF(AND(AB56=1,AU56=1),IF(COUNTIFS($D$5:D55,D56,$B$5:B55,B56,$Z$5:Z55,Z56,$AA$5:AA55,AA56,$F$5:F55,F56&amp;"",$AU$5:AU55,1)&gt;0,1,0),0)</f>
        <v>0</v>
      </c>
      <c r="AW56" s="80" t="str">
        <f>IF(AB56=1,INT(B56)*1440+Z56,"")</f>
        <v/>
      </c>
      <c r="AX56" s="80" t="str">
        <f>IF(AB56=1,AW56+AD56,"")</f>
        <v/>
      </c>
      <c r="AY56" s="80">
        <f>IF(AND(AB56=1,AV56=0,AU56=1),1,0)</f>
        <v>0</v>
      </c>
      <c r="AZ56" s="80">
        <f>IF(AY56=1,COUNTIFS(R_Emp,D56,R_SAbs,"&lt;"&amp;AX56,R_EAbs,"&gt;"&amp;AW56,R_OKey,1)-1,0)</f>
        <v>0</v>
      </c>
      <c r="BA56" s="80">
        <f>IF(AY56=1,COUNTIFS(R_Emp,"&lt;&gt;"&amp;D56,R_SAbs,"&lt;"&amp;AX56,R_EAbs,"&gt;"&amp;AW56,R_OKey,1),0)</f>
        <v>0</v>
      </c>
      <c r="BB56" s="80">
        <f>IF(AND(AB56=1,D56="proMX"),IF(AND(MOD(Z56,CFG_BLK)=0,MOD(AA56,CFG_BLK)=0,MOD(AG56,CFG_BLK)=0,AG56&gt;0),1,0),1)</f>
        <v>1</v>
      </c>
      <c r="BC56" s="80" t="str">
        <f>IF(Y56=0,"",IF(NOT(ISNUMBER(B56)),"Falta fecha o fecha inválida",IF(D56="","Falta empresa",IF(AND(D56&lt;&gt;"Malcolm",D56&lt;&gt;"proMX"),"Empresa inválida",IF(OR(INT(B56)&lt;CFG_PSTART,INT(B56)&gt;CFG_PEND),"Fecha fuera del período",IF(OR(NOT(ISNUMBER(Z56)),NOT(ISNUMBER(AA56))),"Falta hora inicio/fin o formato inválido",IF(AB56=0,"Hora inicio = hora fin",IF(AE56&lt;0,"Descanso inválido",IF(AE56&gt;=AD56,"Descanso ≥ duración",IF(AV56=1,"Registro duplicado",IF(AZ56&gt;0,"Se superpone con otro registro "&amp;D56,IF(BB56=0,"inicio, fin y duración neta deben ser múltiplos de "&amp;CFG_BLK&amp;" min",""))))))))))))</f>
        <v/>
      </c>
      <c r="BD56" s="80">
        <f>IF(AND(Y56=1,BC56=""),1,0)</f>
        <v>0</v>
      </c>
      <c r="BE56" s="80">
        <f>IF(AND(BD56=1,AU56=1),1,0)</f>
        <v>0</v>
      </c>
      <c r="BF56" s="80" t="str">
        <f>IF(AND(D56="proMX",BD56=1),IF(R56="","Draft",R56),"")</f>
        <v/>
      </c>
      <c r="BG56" s="80">
        <f>IF(BD56=1,ROUND(AG56/60,6),0)</f>
        <v>0</v>
      </c>
      <c r="BH56" s="80">
        <f>IF(BE56=1,ROUND(AG56/60,6),0)</f>
        <v>0</v>
      </c>
      <c r="BI56" s="80">
        <f>IF(BE56=1,ROUND(AP56/60,6),0)</f>
        <v>0</v>
      </c>
      <c r="BJ56" s="80">
        <f>IF(BE56=1,ROUND(AQ56/60,6),0)</f>
        <v>0</v>
      </c>
      <c r="BK56" s="80">
        <f>IF(BE56=1,ROUND((AR56+AS56)/60,6),0)</f>
        <v>0</v>
      </c>
      <c r="BL56" s="80">
        <f>ROUND(BH56-BK56,6)</f>
        <v>0</v>
      </c>
      <c r="BM56" s="80">
        <f>IF(BE56=1,ROUND(AR56/60,6),0)</f>
        <v>0</v>
      </c>
      <c r="BN56" s="80">
        <f>ROUND(BI56-BM56,6)</f>
        <v>0</v>
      </c>
      <c r="BO56" s="80">
        <f>IF(BE56=1,ROUND(AS56/60,6),0)</f>
        <v>0</v>
      </c>
      <c r="BP56" s="80">
        <f>ROUND(BJ56-BO56,6)</f>
        <v>0</v>
      </c>
      <c r="BQ56" s="80">
        <f>IF(BE56=1,AW56,0)</f>
        <v>0</v>
      </c>
      <c r="BR56" s="80">
        <f>IF(BE56=1,AX56,0)</f>
        <v>0</v>
      </c>
      <c r="BS56" s="80">
        <f>IF(AND(BE56=1,D56="Malcolm",BA56&gt;0),MIN(BH56,SUMPRODUCT((R_Emp="proMX")*(R_EN&gt;0)*((R_EN-(R_EN&gt;BR56)*(R_EN-BR56))&gt;(R_SN+(R_SN&lt;BQ56)*(BQ56-R_SN)))*((R_EN-(R_EN&gt;BR56)*(R_EN-BR56))-(R_SN+(R_SN&lt;BQ56)*(BQ56-R_SN))))/60),0)</f>
        <v>0</v>
      </c>
      <c r="BT56" s="80">
        <f>IF(AND(BE56=1,D56="proMX"),ROUND(BI56*CFG_RATE+BJ56*CFG_OTRATE,6),0)</f>
        <v>0</v>
      </c>
      <c r="BU56" s="80">
        <f>IF(AND(BD56=1,D56="proMX"),ROUND(AG56/CFG_BLK,6),0)</f>
        <v>0</v>
      </c>
      <c r="BV56" s="80" t="str">
        <f>IF(BF56="Approved",IF(ISNUMBER(T56),INT(T56),INT(B56)),"")</f>
        <v/>
      </c>
      <c r="BW56" s="80">
        <f>IF(ISNUMBER(B56),IF(DB_MON="Todos",1,IF(AND(INT(B56)&gt;=DB_MS,INT(B56)&lt;=DB_ME),1,0)),0)</f>
        <v>0</v>
      </c>
      <c r="BX56" s="80">
        <f>IF(DB_PROJ="Todos",1,IF(E56&amp;""=DB_PROJ&amp;"",1,0))</f>
        <v>1</v>
      </c>
      <c r="BY56" s="80">
        <f>BW56*BX56</f>
        <v>0</v>
      </c>
      <c r="BZ56" s="80" t="str">
        <f>IF(Y56=1,F56&amp;IF(AND(F56&amp;""&lt;&gt;"",E56&amp;""&lt;&gt;"")," · ","")&amp;E56,"")</f>
        <v/>
      </c>
      <c r="CA56" s="80" t="str">
        <f>IF(AND(BD56=1,E56&amp;""&lt;&gt;""),IF(COUNTIFS($E$5:E55,E56,$BD$5:BD55,1)=0,MAX($CA$5:CA55)+1,""),"")</f>
        <v/>
      </c>
      <c r="CB56" s="80" t="str">
        <f>IF(AND(BE56=1,D56="Malcolm",E56&amp;""&lt;&gt;""),IF(COUNTIFS($D$5:D55,"Malcolm",$E$5:E55,E56,$BE$5:BE55,1)=0,MAX($CB$5:CB55)+1,""),"")</f>
        <v/>
      </c>
      <c r="CC56" s="80" t="str">
        <f>IF(AND(BD56=1,D56="proMX",E56&amp;""&lt;&gt;""),IF(COUNTIFS($D$5:D55,"proMX",$E$5:E55,E56,$BD$5:BD55,1)=0,MAX($CC$5:CC55)+1,""),"")</f>
        <v/>
      </c>
      <c r="CD56" s="80" t="str">
        <f>IF(AND(BE56=1,D56="Malcolm",F56&amp;""&lt;&gt;""),IF(COUNTIFS($D$5:D55,"Malcolm",$F$5:F55,F56,$BE$5:BE55,1)=0,MAX($CD$5:CD55)+1,""),"")</f>
        <v/>
      </c>
      <c r="CE56" s="80" t="str">
        <f>IF(AND(BD56=1,D56="proMX",F56&amp;""&lt;&gt;""),IF(COUNTIFS($D$5:D55,"proMX",$F$5:F55,F56,$BD$5:BD55,1)=0,MAX($CE$5:CE55)+1,""),"")</f>
        <v/>
      </c>
      <c r="CF56" s="80" t="str">
        <f>IF(AND(D56="proMX",BD56=1),IF(OR(BF56="Draft",BF56="Submitted",BF56="Returned",BF56="Recall Requested"),MAX($CF$5:CF55)+1,""),"")</f>
        <v/>
      </c>
      <c r="CG56" s="80">
        <f>IF(BD56=0,0,IF(D56="Malcolm",1,MATCH(BF56,{"Draft","Submitted","Approved","Returned","Recall Requested","Cancelled"},0)+1))</f>
        <v>0</v>
      </c>
      <c r="CH56" s="80">
        <f>IF(AND(BF56="Submitted",ISNUMBER(V56)),IF(V56&gt;CFG_MAXD,1,0),0)</f>
        <v>0</v>
      </c>
    </row>
    <row r="57">
      <c r="A57" s="71" t="str">
        <f>IF(Y57=1,ROW()-5,"")</f>
        <v/>
      </c>
      <c r="B57" s="72" t="n"/>
      <c r="C57" s="71" t="str">
        <f>IF(ISNUMBER(B57),CHOOSE(WEEKDAY(B57,2),"Lun","Mar","Mié","Jue","Vie","Sáb","Dom"),"")</f>
        <v/>
      </c>
      <c r="D57" s="73" t="n"/>
      <c r="E57" s="74" t="n"/>
      <c r="F57" s="74" t="n"/>
      <c r="G57" s="74" t="n"/>
      <c r="H57" s="75" t="n"/>
      <c r="I57" s="75" t="n"/>
      <c r="J57" s="76" t="n"/>
      <c r="K57" s="77" t="str">
        <f>IF(AB57=1,ROUND(AG57/60,4),"")</f>
        <v/>
      </c>
      <c r="L57" s="77" t="str">
        <f>IF(BD57=1,ROUND(AP57/60,4),"")</f>
        <v/>
      </c>
      <c r="M57" s="77" t="str">
        <f>IF(BD57=1,ROUND(AQ57/60,4),"")</f>
        <v/>
      </c>
      <c r="N57" s="71" t="str">
        <f>IF(AND(D57="proMX",AB57=1),ROUND(AG57/CFG_BLK,2),"")</f>
        <v/>
      </c>
      <c r="O57" s="77" t="str">
        <f>IF(D57="proMX",IF(BD57=1,ROUND(AG57/60,4),0),"")</f>
        <v/>
      </c>
      <c r="P57" s="78" t="str">
        <f>IF(Y57=0,"",IF(BD57=1,"OK",IF(D57="proMX","Revisar bloques: ","Revisar: ")&amp;BC57))</f>
        <v/>
      </c>
      <c r="Q57" s="78" t="str">
        <f>IF(NOT(ISNUMBER(B57)),"",IF(COUNTIFS(FER_F,INT(B57))&gt;0,"Feriado"&amp;IF(AH57=1," (laborable)"," (no laborable)"),IF(AH57=1,"Laborable",IF(WEEKDAY(B57,2)&gt;5,"Fin de semana","No laborable"))))</f>
        <v/>
      </c>
      <c r="R57" s="73" t="n"/>
      <c r="S57" s="72" t="n"/>
      <c r="T57" s="72" t="n"/>
      <c r="U57" s="74" t="n"/>
      <c r="V57" s="79" t="str">
        <f>IF(AND(D57="proMX",OR(R57="Submitted",R57="Recall Requested"),ISNUMBER(S57)),CFG_TODAY-INT(S57),"")</f>
        <v/>
      </c>
      <c r="W57" s="78" t="str">
        <f>IF(BD57=0,"",IF(BA57&gt;0,"⚠ Se superpone con un registro de la otra empresa",IF(D57="Malcolm",IF(COUNTA(R57,S57,T57)&gt;0,"Estado/fechas proMX se ignoran en Malcolm",""),IF(BF57="Cancelled","Cancelado: excluido de totales",IF(R57="","Sin estado: se trata como Draft",IF(BF57="Submitted",IF(ISNUMBER(V57),IF(V57&gt;CFG_MAXD,"⚠ "&amp;V57&amp;" días en Submitted (máx. "&amp;CFG_MAXD&amp;")",""),"Falta fecha de envío"),IF(BF57="Returned","⚠ Devuelto: corregir y reenviar",IF(BF57="Recall Requested","Retirada solicitada: pendiente",IF(AND(BF57="Approved",NOT(ISNUMBER(T57))),"Falta fecha de aprobación",IF(AND(ISNUMBER(S57),ISNUMBER(T57),T57&lt;S57),"Aprobación anterior al envío","")))))))))</f>
        <v/>
      </c>
      <c r="Y57" s="80">
        <f>IF(COUNTA(B57,D57,E57,F57,G57,H57,I57,J57,R57,S57,T57)&gt;0,1,0)</f>
        <v>0</v>
      </c>
      <c r="Z57" s="80" t="str">
        <f>IF(AND(ISNUMBER(H57),H57&gt;=0,H57&lt;1),ROUND(H57*1440,0),"")</f>
        <v/>
      </c>
      <c r="AA57" s="80" t="str">
        <f>IF(AND(ISNUMBER(I57),I57&gt;=0,I57&lt;1),ROUND(I57*1440,0),"")</f>
        <v/>
      </c>
      <c r="AB57" s="80">
        <f>IF(AND(ISNUMBER(B57),D57&lt;&gt;"",ISNUMBER(Z57),ISNUMBER(AA57)),IF(Z57=AA57,0,1),0)</f>
        <v>0</v>
      </c>
      <c r="AC57" s="80">
        <f>IF(AB57=1,IF(AA57&lt;Z57,1,0),0)</f>
        <v>0</v>
      </c>
      <c r="AD57" s="80">
        <f>IF(AB57=1,IF(AC57=1,1440-Z57+AA57,AA57-Z57),0)</f>
        <v>0</v>
      </c>
      <c r="AE57" s="80">
        <f>IF(J57="",0,IF(ISNUMBER(J57),J57,-1))</f>
        <v>0</v>
      </c>
      <c r="AF57" s="80">
        <f>MIN(MAX(0,AE57),AD57)</f>
        <v>0</v>
      </c>
      <c r="AG57" s="80">
        <f>MAX(0,AD57-MAX(0,AE57))</f>
        <v>0</v>
      </c>
      <c r="AH57" s="80">
        <f>IF(ISNUMBER(B57),IF(AND(INDEX(CFG_WDAYS,WEEKDAY(INT(B57),2))="Sí",IF(D57="proMX",COUNTIFS(FER_F,INT(B57),FER_NLP,"Sí"),COUNTIFS(FER_F,INT(B57),FER_NLM,"Sí"))=0),1,0),0)</f>
        <v>0</v>
      </c>
      <c r="AI57" s="80">
        <f>IF(AC57=1,IF(AND(INDEX(CFG_WDAYS,WEEKDAY(INT(B57)+1,2))="Sí",IF(D57="proMX",COUNTIFS(FER_F,INT(B57)+1,FER_NLP,"Sí"),COUNTIFS(FER_F,INT(B57)+1,FER_NLM,"Sí"))=0),1,0),0)</f>
        <v>0</v>
      </c>
      <c r="AJ57" s="80">
        <f>IF(AC57=1,1440-Z57,AD57)</f>
        <v>0</v>
      </c>
      <c r="AK57" s="80">
        <f>IF(AND(AB57=1,AH57=1),MAX(0,MIN(IF(AC57=1,1440,AA57),CFG_WEM)-MAX(Z57,CFG_WSM)),0)</f>
        <v>0</v>
      </c>
      <c r="AL57" s="80">
        <f>IF(AND(AC57=1,AI57=1),MAX(0,MIN(AA57,CFG_WEM)-CFG_WSM),0)</f>
        <v>0</v>
      </c>
      <c r="AM57" s="80">
        <f>AK57+AL57</f>
        <v>0</v>
      </c>
      <c r="AN57" s="80">
        <f>IF(CFG_BRK="Proporcional",IF(AD57=0,0,AF57*AM57/AD57),IF(CFG_BRK="Extras primero",MIN(AM57,MAX(0,AF57-(AD57-AM57))),MIN(AF57,AM57)))</f>
        <v>0</v>
      </c>
      <c r="AO57" s="80">
        <f>AF57-AN57</f>
        <v>0</v>
      </c>
      <c r="AP57" s="80">
        <f>AM57-AN57</f>
        <v>0</v>
      </c>
      <c r="AQ57" s="80">
        <f>AD57-AM57-AO57</f>
        <v>0</v>
      </c>
      <c r="AR57" s="80">
        <f>IF(AM57=0,0,AK57-AN57*AK57/AM57)</f>
        <v>0</v>
      </c>
      <c r="AS57" s="80">
        <f>IF(AD57-AM57=0,0,(AJ57-AK57)-AO57*(AJ57-AK57)/(AD57-AM57))</f>
        <v>0</v>
      </c>
      <c r="AT57" s="80" t="str">
        <f>IF(AC57=1,INT(B57)+1,"")</f>
        <v/>
      </c>
      <c r="AU57" s="80">
        <f>IF(AND(D57="proMX",R57="Cancelled"),0,1)</f>
        <v>1</v>
      </c>
      <c r="AV57" s="80">
        <f>IF(AND(AB57=1,AU57=1),IF(COUNTIFS($D$5:D56,D57,$B$5:B56,B57,$Z$5:Z56,Z57,$AA$5:AA56,AA57,$F$5:F56,F57&amp;"",$AU$5:AU56,1)&gt;0,1,0),0)</f>
        <v>0</v>
      </c>
      <c r="AW57" s="80" t="str">
        <f>IF(AB57=1,INT(B57)*1440+Z57,"")</f>
        <v/>
      </c>
      <c r="AX57" s="80" t="str">
        <f>IF(AB57=1,AW57+AD57,"")</f>
        <v/>
      </c>
      <c r="AY57" s="80">
        <f>IF(AND(AB57=1,AV57=0,AU57=1),1,0)</f>
        <v>0</v>
      </c>
      <c r="AZ57" s="80">
        <f>IF(AY57=1,COUNTIFS(R_Emp,D57,R_SAbs,"&lt;"&amp;AX57,R_EAbs,"&gt;"&amp;AW57,R_OKey,1)-1,0)</f>
        <v>0</v>
      </c>
      <c r="BA57" s="80">
        <f>IF(AY57=1,COUNTIFS(R_Emp,"&lt;&gt;"&amp;D57,R_SAbs,"&lt;"&amp;AX57,R_EAbs,"&gt;"&amp;AW57,R_OKey,1),0)</f>
        <v>0</v>
      </c>
      <c r="BB57" s="80">
        <f>IF(AND(AB57=1,D57="proMX"),IF(AND(MOD(Z57,CFG_BLK)=0,MOD(AA57,CFG_BLK)=0,MOD(AG57,CFG_BLK)=0,AG57&gt;0),1,0),1)</f>
        <v>1</v>
      </c>
      <c r="BC57" s="80" t="str">
        <f>IF(Y57=0,"",IF(NOT(ISNUMBER(B57)),"Falta fecha o fecha inválida",IF(D57="","Falta empresa",IF(AND(D57&lt;&gt;"Malcolm",D57&lt;&gt;"proMX"),"Empresa inválida",IF(OR(INT(B57)&lt;CFG_PSTART,INT(B57)&gt;CFG_PEND),"Fecha fuera del período",IF(OR(NOT(ISNUMBER(Z57)),NOT(ISNUMBER(AA57))),"Falta hora inicio/fin o formato inválido",IF(AB57=0,"Hora inicio = hora fin",IF(AE57&lt;0,"Descanso inválido",IF(AE57&gt;=AD57,"Descanso ≥ duración",IF(AV57=1,"Registro duplicado",IF(AZ57&gt;0,"Se superpone con otro registro "&amp;D57,IF(BB57=0,"inicio, fin y duración neta deben ser múltiplos de "&amp;CFG_BLK&amp;" min",""))))))))))))</f>
        <v/>
      </c>
      <c r="BD57" s="80">
        <f>IF(AND(Y57=1,BC57=""),1,0)</f>
        <v>0</v>
      </c>
      <c r="BE57" s="80">
        <f>IF(AND(BD57=1,AU57=1),1,0)</f>
        <v>0</v>
      </c>
      <c r="BF57" s="80" t="str">
        <f>IF(AND(D57="proMX",BD57=1),IF(R57="","Draft",R57),"")</f>
        <v/>
      </c>
      <c r="BG57" s="80">
        <f>IF(BD57=1,ROUND(AG57/60,6),0)</f>
        <v>0</v>
      </c>
      <c r="BH57" s="80">
        <f>IF(BE57=1,ROUND(AG57/60,6),0)</f>
        <v>0</v>
      </c>
      <c r="BI57" s="80">
        <f>IF(BE57=1,ROUND(AP57/60,6),0)</f>
        <v>0</v>
      </c>
      <c r="BJ57" s="80">
        <f>IF(BE57=1,ROUND(AQ57/60,6),0)</f>
        <v>0</v>
      </c>
      <c r="BK57" s="80">
        <f>IF(BE57=1,ROUND((AR57+AS57)/60,6),0)</f>
        <v>0</v>
      </c>
      <c r="BL57" s="80">
        <f>ROUND(BH57-BK57,6)</f>
        <v>0</v>
      </c>
      <c r="BM57" s="80">
        <f>IF(BE57=1,ROUND(AR57/60,6),0)</f>
        <v>0</v>
      </c>
      <c r="BN57" s="80">
        <f>ROUND(BI57-BM57,6)</f>
        <v>0</v>
      </c>
      <c r="BO57" s="80">
        <f>IF(BE57=1,ROUND(AS57/60,6),0)</f>
        <v>0</v>
      </c>
      <c r="BP57" s="80">
        <f>ROUND(BJ57-BO57,6)</f>
        <v>0</v>
      </c>
      <c r="BQ57" s="80">
        <f>IF(BE57=1,AW57,0)</f>
        <v>0</v>
      </c>
      <c r="BR57" s="80">
        <f>IF(BE57=1,AX57,0)</f>
        <v>0</v>
      </c>
      <c r="BS57" s="80">
        <f>IF(AND(BE57=1,D57="Malcolm",BA57&gt;0),MIN(BH57,SUMPRODUCT((R_Emp="proMX")*(R_EN&gt;0)*((R_EN-(R_EN&gt;BR57)*(R_EN-BR57))&gt;(R_SN+(R_SN&lt;BQ57)*(BQ57-R_SN)))*((R_EN-(R_EN&gt;BR57)*(R_EN-BR57))-(R_SN+(R_SN&lt;BQ57)*(BQ57-R_SN))))/60),0)</f>
        <v>0</v>
      </c>
      <c r="BT57" s="80">
        <f>IF(AND(BE57=1,D57="proMX"),ROUND(BI57*CFG_RATE+BJ57*CFG_OTRATE,6),0)</f>
        <v>0</v>
      </c>
      <c r="BU57" s="80">
        <f>IF(AND(BD57=1,D57="proMX"),ROUND(AG57/CFG_BLK,6),0)</f>
        <v>0</v>
      </c>
      <c r="BV57" s="80" t="str">
        <f>IF(BF57="Approved",IF(ISNUMBER(T57),INT(T57),INT(B57)),"")</f>
        <v/>
      </c>
      <c r="BW57" s="80">
        <f>IF(ISNUMBER(B57),IF(DB_MON="Todos",1,IF(AND(INT(B57)&gt;=DB_MS,INT(B57)&lt;=DB_ME),1,0)),0)</f>
        <v>0</v>
      </c>
      <c r="BX57" s="80">
        <f>IF(DB_PROJ="Todos",1,IF(E57&amp;""=DB_PROJ&amp;"",1,0))</f>
        <v>1</v>
      </c>
      <c r="BY57" s="80">
        <f>BW57*BX57</f>
        <v>0</v>
      </c>
      <c r="BZ57" s="80" t="str">
        <f>IF(Y57=1,F57&amp;IF(AND(F57&amp;""&lt;&gt;"",E57&amp;""&lt;&gt;"")," · ","")&amp;E57,"")</f>
        <v/>
      </c>
      <c r="CA57" s="80" t="str">
        <f>IF(AND(BD57=1,E57&amp;""&lt;&gt;""),IF(COUNTIFS($E$5:E56,E57,$BD$5:BD56,1)=0,MAX($CA$5:CA56)+1,""),"")</f>
        <v/>
      </c>
      <c r="CB57" s="80" t="str">
        <f>IF(AND(BE57=1,D57="Malcolm",E57&amp;""&lt;&gt;""),IF(COUNTIFS($D$5:D56,"Malcolm",$E$5:E56,E57,$BE$5:BE56,1)=0,MAX($CB$5:CB56)+1,""),"")</f>
        <v/>
      </c>
      <c r="CC57" s="80" t="str">
        <f>IF(AND(BD57=1,D57="proMX",E57&amp;""&lt;&gt;""),IF(COUNTIFS($D$5:D56,"proMX",$E$5:E56,E57,$BD$5:BD56,1)=0,MAX($CC$5:CC56)+1,""),"")</f>
        <v/>
      </c>
      <c r="CD57" s="80" t="str">
        <f>IF(AND(BE57=1,D57="Malcolm",F57&amp;""&lt;&gt;""),IF(COUNTIFS($D$5:D56,"Malcolm",$F$5:F56,F57,$BE$5:BE56,1)=0,MAX($CD$5:CD56)+1,""),"")</f>
        <v/>
      </c>
      <c r="CE57" s="80" t="str">
        <f>IF(AND(BD57=1,D57="proMX",F57&amp;""&lt;&gt;""),IF(COUNTIFS($D$5:D56,"proMX",$F$5:F56,F57,$BD$5:BD56,1)=0,MAX($CE$5:CE56)+1,""),"")</f>
        <v/>
      </c>
      <c r="CF57" s="80" t="str">
        <f>IF(AND(D57="proMX",BD57=1),IF(OR(BF57="Draft",BF57="Submitted",BF57="Returned",BF57="Recall Requested"),MAX($CF$5:CF56)+1,""),"")</f>
        <v/>
      </c>
      <c r="CG57" s="80">
        <f>IF(BD57=0,0,IF(D57="Malcolm",1,MATCH(BF57,{"Draft","Submitted","Approved","Returned","Recall Requested","Cancelled"},0)+1))</f>
        <v>0</v>
      </c>
      <c r="CH57" s="80">
        <f>IF(AND(BF57="Submitted",ISNUMBER(V57)),IF(V57&gt;CFG_MAXD,1,0),0)</f>
        <v>0</v>
      </c>
    </row>
    <row r="58">
      <c r="A58" s="71" t="str">
        <f>IF(Y58=1,ROW()-5,"")</f>
        <v/>
      </c>
      <c r="B58" s="72" t="n"/>
      <c r="C58" s="71" t="str">
        <f>IF(ISNUMBER(B58),CHOOSE(WEEKDAY(B58,2),"Lun","Mar","Mié","Jue","Vie","Sáb","Dom"),"")</f>
        <v/>
      </c>
      <c r="D58" s="73" t="n"/>
      <c r="E58" s="74" t="n"/>
      <c r="F58" s="74" t="n"/>
      <c r="G58" s="74" t="n"/>
      <c r="H58" s="75" t="n"/>
      <c r="I58" s="75" t="n"/>
      <c r="J58" s="76" t="n"/>
      <c r="K58" s="77" t="str">
        <f>IF(AB58=1,ROUND(AG58/60,4),"")</f>
        <v/>
      </c>
      <c r="L58" s="77" t="str">
        <f>IF(BD58=1,ROUND(AP58/60,4),"")</f>
        <v/>
      </c>
      <c r="M58" s="77" t="str">
        <f>IF(BD58=1,ROUND(AQ58/60,4),"")</f>
        <v/>
      </c>
      <c r="N58" s="71" t="str">
        <f>IF(AND(D58="proMX",AB58=1),ROUND(AG58/CFG_BLK,2),"")</f>
        <v/>
      </c>
      <c r="O58" s="77" t="str">
        <f>IF(D58="proMX",IF(BD58=1,ROUND(AG58/60,4),0),"")</f>
        <v/>
      </c>
      <c r="P58" s="78" t="str">
        <f>IF(Y58=0,"",IF(BD58=1,"OK",IF(D58="proMX","Revisar bloques: ","Revisar: ")&amp;BC58))</f>
        <v/>
      </c>
      <c r="Q58" s="78" t="str">
        <f>IF(NOT(ISNUMBER(B58)),"",IF(COUNTIFS(FER_F,INT(B58))&gt;0,"Feriado"&amp;IF(AH58=1," (laborable)"," (no laborable)"),IF(AH58=1,"Laborable",IF(WEEKDAY(B58,2)&gt;5,"Fin de semana","No laborable"))))</f>
        <v/>
      </c>
      <c r="R58" s="73" t="n"/>
      <c r="S58" s="72" t="n"/>
      <c r="T58" s="72" t="n"/>
      <c r="U58" s="74" t="n"/>
      <c r="V58" s="79" t="str">
        <f>IF(AND(D58="proMX",OR(R58="Submitted",R58="Recall Requested"),ISNUMBER(S58)),CFG_TODAY-INT(S58),"")</f>
        <v/>
      </c>
      <c r="W58" s="78" t="str">
        <f>IF(BD58=0,"",IF(BA58&gt;0,"⚠ Se superpone con un registro de la otra empresa",IF(D58="Malcolm",IF(COUNTA(R58,S58,T58)&gt;0,"Estado/fechas proMX se ignoran en Malcolm",""),IF(BF58="Cancelled","Cancelado: excluido de totales",IF(R58="","Sin estado: se trata como Draft",IF(BF58="Submitted",IF(ISNUMBER(V58),IF(V58&gt;CFG_MAXD,"⚠ "&amp;V58&amp;" días en Submitted (máx. "&amp;CFG_MAXD&amp;")",""),"Falta fecha de envío"),IF(BF58="Returned","⚠ Devuelto: corregir y reenviar",IF(BF58="Recall Requested","Retirada solicitada: pendiente",IF(AND(BF58="Approved",NOT(ISNUMBER(T58))),"Falta fecha de aprobación",IF(AND(ISNUMBER(S58),ISNUMBER(T58),T58&lt;S58),"Aprobación anterior al envío","")))))))))</f>
        <v/>
      </c>
      <c r="Y58" s="80">
        <f>IF(COUNTA(B58,D58,E58,F58,G58,H58,I58,J58,R58,S58,T58)&gt;0,1,0)</f>
        <v>0</v>
      </c>
      <c r="Z58" s="80" t="str">
        <f>IF(AND(ISNUMBER(H58),H58&gt;=0,H58&lt;1),ROUND(H58*1440,0),"")</f>
        <v/>
      </c>
      <c r="AA58" s="80" t="str">
        <f>IF(AND(ISNUMBER(I58),I58&gt;=0,I58&lt;1),ROUND(I58*1440,0),"")</f>
        <v/>
      </c>
      <c r="AB58" s="80">
        <f>IF(AND(ISNUMBER(B58),D58&lt;&gt;"",ISNUMBER(Z58),ISNUMBER(AA58)),IF(Z58=AA58,0,1),0)</f>
        <v>0</v>
      </c>
      <c r="AC58" s="80">
        <f>IF(AB58=1,IF(AA58&lt;Z58,1,0),0)</f>
        <v>0</v>
      </c>
      <c r="AD58" s="80">
        <f>IF(AB58=1,IF(AC58=1,1440-Z58+AA58,AA58-Z58),0)</f>
        <v>0</v>
      </c>
      <c r="AE58" s="80">
        <f>IF(J58="",0,IF(ISNUMBER(J58),J58,-1))</f>
        <v>0</v>
      </c>
      <c r="AF58" s="80">
        <f>MIN(MAX(0,AE58),AD58)</f>
        <v>0</v>
      </c>
      <c r="AG58" s="80">
        <f>MAX(0,AD58-MAX(0,AE58))</f>
        <v>0</v>
      </c>
      <c r="AH58" s="80">
        <f>IF(ISNUMBER(B58),IF(AND(INDEX(CFG_WDAYS,WEEKDAY(INT(B58),2))="Sí",IF(D58="proMX",COUNTIFS(FER_F,INT(B58),FER_NLP,"Sí"),COUNTIFS(FER_F,INT(B58),FER_NLM,"Sí"))=0),1,0),0)</f>
        <v>0</v>
      </c>
      <c r="AI58" s="80">
        <f>IF(AC58=1,IF(AND(INDEX(CFG_WDAYS,WEEKDAY(INT(B58)+1,2))="Sí",IF(D58="proMX",COUNTIFS(FER_F,INT(B58)+1,FER_NLP,"Sí"),COUNTIFS(FER_F,INT(B58)+1,FER_NLM,"Sí"))=0),1,0),0)</f>
        <v>0</v>
      </c>
      <c r="AJ58" s="80">
        <f>IF(AC58=1,1440-Z58,AD58)</f>
        <v>0</v>
      </c>
      <c r="AK58" s="80">
        <f>IF(AND(AB58=1,AH58=1),MAX(0,MIN(IF(AC58=1,1440,AA58),CFG_WEM)-MAX(Z58,CFG_WSM)),0)</f>
        <v>0</v>
      </c>
      <c r="AL58" s="80">
        <f>IF(AND(AC58=1,AI58=1),MAX(0,MIN(AA58,CFG_WEM)-CFG_WSM),0)</f>
        <v>0</v>
      </c>
      <c r="AM58" s="80">
        <f>AK58+AL58</f>
        <v>0</v>
      </c>
      <c r="AN58" s="80">
        <f>IF(CFG_BRK="Proporcional",IF(AD58=0,0,AF58*AM58/AD58),IF(CFG_BRK="Extras primero",MIN(AM58,MAX(0,AF58-(AD58-AM58))),MIN(AF58,AM58)))</f>
        <v>0</v>
      </c>
      <c r="AO58" s="80">
        <f>AF58-AN58</f>
        <v>0</v>
      </c>
      <c r="AP58" s="80">
        <f>AM58-AN58</f>
        <v>0</v>
      </c>
      <c r="AQ58" s="80">
        <f>AD58-AM58-AO58</f>
        <v>0</v>
      </c>
      <c r="AR58" s="80">
        <f>IF(AM58=0,0,AK58-AN58*AK58/AM58)</f>
        <v>0</v>
      </c>
      <c r="AS58" s="80">
        <f>IF(AD58-AM58=0,0,(AJ58-AK58)-AO58*(AJ58-AK58)/(AD58-AM58))</f>
        <v>0</v>
      </c>
      <c r="AT58" s="80" t="str">
        <f>IF(AC58=1,INT(B58)+1,"")</f>
        <v/>
      </c>
      <c r="AU58" s="80">
        <f>IF(AND(D58="proMX",R58="Cancelled"),0,1)</f>
        <v>1</v>
      </c>
      <c r="AV58" s="80">
        <f>IF(AND(AB58=1,AU58=1),IF(COUNTIFS($D$5:D57,D58,$B$5:B57,B58,$Z$5:Z57,Z58,$AA$5:AA57,AA58,$F$5:F57,F58&amp;"",$AU$5:AU57,1)&gt;0,1,0),0)</f>
        <v>0</v>
      </c>
      <c r="AW58" s="80" t="str">
        <f>IF(AB58=1,INT(B58)*1440+Z58,"")</f>
        <v/>
      </c>
      <c r="AX58" s="80" t="str">
        <f>IF(AB58=1,AW58+AD58,"")</f>
        <v/>
      </c>
      <c r="AY58" s="80">
        <f>IF(AND(AB58=1,AV58=0,AU58=1),1,0)</f>
        <v>0</v>
      </c>
      <c r="AZ58" s="80">
        <f>IF(AY58=1,COUNTIFS(R_Emp,D58,R_SAbs,"&lt;"&amp;AX58,R_EAbs,"&gt;"&amp;AW58,R_OKey,1)-1,0)</f>
        <v>0</v>
      </c>
      <c r="BA58" s="80">
        <f>IF(AY58=1,COUNTIFS(R_Emp,"&lt;&gt;"&amp;D58,R_SAbs,"&lt;"&amp;AX58,R_EAbs,"&gt;"&amp;AW58,R_OKey,1),0)</f>
        <v>0</v>
      </c>
      <c r="BB58" s="80">
        <f>IF(AND(AB58=1,D58="proMX"),IF(AND(MOD(Z58,CFG_BLK)=0,MOD(AA58,CFG_BLK)=0,MOD(AG58,CFG_BLK)=0,AG58&gt;0),1,0),1)</f>
        <v>1</v>
      </c>
      <c r="BC58" s="80" t="str">
        <f>IF(Y58=0,"",IF(NOT(ISNUMBER(B58)),"Falta fecha o fecha inválida",IF(D58="","Falta empresa",IF(AND(D58&lt;&gt;"Malcolm",D58&lt;&gt;"proMX"),"Empresa inválida",IF(OR(INT(B58)&lt;CFG_PSTART,INT(B58)&gt;CFG_PEND),"Fecha fuera del período",IF(OR(NOT(ISNUMBER(Z58)),NOT(ISNUMBER(AA58))),"Falta hora inicio/fin o formato inválido",IF(AB58=0,"Hora inicio = hora fin",IF(AE58&lt;0,"Descanso inválido",IF(AE58&gt;=AD58,"Descanso ≥ duración",IF(AV58=1,"Registro duplicado",IF(AZ58&gt;0,"Se superpone con otro registro "&amp;D58,IF(BB58=0,"inicio, fin y duración neta deben ser múltiplos de "&amp;CFG_BLK&amp;" min",""))))))))))))</f>
        <v/>
      </c>
      <c r="BD58" s="80">
        <f>IF(AND(Y58=1,BC58=""),1,0)</f>
        <v>0</v>
      </c>
      <c r="BE58" s="80">
        <f>IF(AND(BD58=1,AU58=1),1,0)</f>
        <v>0</v>
      </c>
      <c r="BF58" s="80" t="str">
        <f>IF(AND(D58="proMX",BD58=1),IF(R58="","Draft",R58),"")</f>
        <v/>
      </c>
      <c r="BG58" s="80">
        <f>IF(BD58=1,ROUND(AG58/60,6),0)</f>
        <v>0</v>
      </c>
      <c r="BH58" s="80">
        <f>IF(BE58=1,ROUND(AG58/60,6),0)</f>
        <v>0</v>
      </c>
      <c r="BI58" s="80">
        <f>IF(BE58=1,ROUND(AP58/60,6),0)</f>
        <v>0</v>
      </c>
      <c r="BJ58" s="80">
        <f>IF(BE58=1,ROUND(AQ58/60,6),0)</f>
        <v>0</v>
      </c>
      <c r="BK58" s="80">
        <f>IF(BE58=1,ROUND((AR58+AS58)/60,6),0)</f>
        <v>0</v>
      </c>
      <c r="BL58" s="80">
        <f>ROUND(BH58-BK58,6)</f>
        <v>0</v>
      </c>
      <c r="BM58" s="80">
        <f>IF(BE58=1,ROUND(AR58/60,6),0)</f>
        <v>0</v>
      </c>
      <c r="BN58" s="80">
        <f>ROUND(BI58-BM58,6)</f>
        <v>0</v>
      </c>
      <c r="BO58" s="80">
        <f>IF(BE58=1,ROUND(AS58/60,6),0)</f>
        <v>0</v>
      </c>
      <c r="BP58" s="80">
        <f>ROUND(BJ58-BO58,6)</f>
        <v>0</v>
      </c>
      <c r="BQ58" s="80">
        <f>IF(BE58=1,AW58,0)</f>
        <v>0</v>
      </c>
      <c r="BR58" s="80">
        <f>IF(BE58=1,AX58,0)</f>
        <v>0</v>
      </c>
      <c r="BS58" s="80">
        <f>IF(AND(BE58=1,D58="Malcolm",BA58&gt;0),MIN(BH58,SUMPRODUCT((R_Emp="proMX")*(R_EN&gt;0)*((R_EN-(R_EN&gt;BR58)*(R_EN-BR58))&gt;(R_SN+(R_SN&lt;BQ58)*(BQ58-R_SN)))*((R_EN-(R_EN&gt;BR58)*(R_EN-BR58))-(R_SN+(R_SN&lt;BQ58)*(BQ58-R_SN))))/60),0)</f>
        <v>0</v>
      </c>
      <c r="BT58" s="80">
        <f>IF(AND(BE58=1,D58="proMX"),ROUND(BI58*CFG_RATE+BJ58*CFG_OTRATE,6),0)</f>
        <v>0</v>
      </c>
      <c r="BU58" s="80">
        <f>IF(AND(BD58=1,D58="proMX"),ROUND(AG58/CFG_BLK,6),0)</f>
        <v>0</v>
      </c>
      <c r="BV58" s="80" t="str">
        <f>IF(BF58="Approved",IF(ISNUMBER(T58),INT(T58),INT(B58)),"")</f>
        <v/>
      </c>
      <c r="BW58" s="80">
        <f>IF(ISNUMBER(B58),IF(DB_MON="Todos",1,IF(AND(INT(B58)&gt;=DB_MS,INT(B58)&lt;=DB_ME),1,0)),0)</f>
        <v>0</v>
      </c>
      <c r="BX58" s="80">
        <f>IF(DB_PROJ="Todos",1,IF(E58&amp;""=DB_PROJ&amp;"",1,0))</f>
        <v>1</v>
      </c>
      <c r="BY58" s="80">
        <f>BW58*BX58</f>
        <v>0</v>
      </c>
      <c r="BZ58" s="80" t="str">
        <f>IF(Y58=1,F58&amp;IF(AND(F58&amp;""&lt;&gt;"",E58&amp;""&lt;&gt;"")," · ","")&amp;E58,"")</f>
        <v/>
      </c>
      <c r="CA58" s="80" t="str">
        <f>IF(AND(BD58=1,E58&amp;""&lt;&gt;""),IF(COUNTIFS($E$5:E57,E58,$BD$5:BD57,1)=0,MAX($CA$5:CA57)+1,""),"")</f>
        <v/>
      </c>
      <c r="CB58" s="80" t="str">
        <f>IF(AND(BE58=1,D58="Malcolm",E58&amp;""&lt;&gt;""),IF(COUNTIFS($D$5:D57,"Malcolm",$E$5:E57,E58,$BE$5:BE57,1)=0,MAX($CB$5:CB57)+1,""),"")</f>
        <v/>
      </c>
      <c r="CC58" s="80" t="str">
        <f>IF(AND(BD58=1,D58="proMX",E58&amp;""&lt;&gt;""),IF(COUNTIFS($D$5:D57,"proMX",$E$5:E57,E58,$BD$5:BD57,1)=0,MAX($CC$5:CC57)+1,""),"")</f>
        <v/>
      </c>
      <c r="CD58" s="80" t="str">
        <f>IF(AND(BE58=1,D58="Malcolm",F58&amp;""&lt;&gt;""),IF(COUNTIFS($D$5:D57,"Malcolm",$F$5:F57,F58,$BE$5:BE57,1)=0,MAX($CD$5:CD57)+1,""),"")</f>
        <v/>
      </c>
      <c r="CE58" s="80" t="str">
        <f>IF(AND(BD58=1,D58="proMX",F58&amp;""&lt;&gt;""),IF(COUNTIFS($D$5:D57,"proMX",$F$5:F57,F58,$BD$5:BD57,1)=0,MAX($CE$5:CE57)+1,""),"")</f>
        <v/>
      </c>
      <c r="CF58" s="80" t="str">
        <f>IF(AND(D58="proMX",BD58=1),IF(OR(BF58="Draft",BF58="Submitted",BF58="Returned",BF58="Recall Requested"),MAX($CF$5:CF57)+1,""),"")</f>
        <v/>
      </c>
      <c r="CG58" s="80">
        <f>IF(BD58=0,0,IF(D58="Malcolm",1,MATCH(BF58,{"Draft","Submitted","Approved","Returned","Recall Requested","Cancelled"},0)+1))</f>
        <v>0</v>
      </c>
      <c r="CH58" s="80">
        <f>IF(AND(BF58="Submitted",ISNUMBER(V58)),IF(V58&gt;CFG_MAXD,1,0),0)</f>
        <v>0</v>
      </c>
    </row>
    <row r="59">
      <c r="A59" s="71" t="str">
        <f>IF(Y59=1,ROW()-5,"")</f>
        <v/>
      </c>
      <c r="B59" s="72" t="n"/>
      <c r="C59" s="71" t="str">
        <f>IF(ISNUMBER(B59),CHOOSE(WEEKDAY(B59,2),"Lun","Mar","Mié","Jue","Vie","Sáb","Dom"),"")</f>
        <v/>
      </c>
      <c r="D59" s="73" t="n"/>
      <c r="E59" s="74" t="n"/>
      <c r="F59" s="74" t="n"/>
      <c r="G59" s="74" t="n"/>
      <c r="H59" s="75" t="n"/>
      <c r="I59" s="75" t="n"/>
      <c r="J59" s="76" t="n"/>
      <c r="K59" s="77" t="str">
        <f>IF(AB59=1,ROUND(AG59/60,4),"")</f>
        <v/>
      </c>
      <c r="L59" s="77" t="str">
        <f>IF(BD59=1,ROUND(AP59/60,4),"")</f>
        <v/>
      </c>
      <c r="M59" s="77" t="str">
        <f>IF(BD59=1,ROUND(AQ59/60,4),"")</f>
        <v/>
      </c>
      <c r="N59" s="71" t="str">
        <f>IF(AND(D59="proMX",AB59=1),ROUND(AG59/CFG_BLK,2),"")</f>
        <v/>
      </c>
      <c r="O59" s="77" t="str">
        <f>IF(D59="proMX",IF(BD59=1,ROUND(AG59/60,4),0),"")</f>
        <v/>
      </c>
      <c r="P59" s="78" t="str">
        <f>IF(Y59=0,"",IF(BD59=1,"OK",IF(D59="proMX","Revisar bloques: ","Revisar: ")&amp;BC59))</f>
        <v/>
      </c>
      <c r="Q59" s="78" t="str">
        <f>IF(NOT(ISNUMBER(B59)),"",IF(COUNTIFS(FER_F,INT(B59))&gt;0,"Feriado"&amp;IF(AH59=1," (laborable)"," (no laborable)"),IF(AH59=1,"Laborable",IF(WEEKDAY(B59,2)&gt;5,"Fin de semana","No laborable"))))</f>
        <v/>
      </c>
      <c r="R59" s="73" t="n"/>
      <c r="S59" s="72" t="n"/>
      <c r="T59" s="72" t="n"/>
      <c r="U59" s="74" t="n"/>
      <c r="V59" s="79" t="str">
        <f>IF(AND(D59="proMX",OR(R59="Submitted",R59="Recall Requested"),ISNUMBER(S59)),CFG_TODAY-INT(S59),"")</f>
        <v/>
      </c>
      <c r="W59" s="78" t="str">
        <f>IF(BD59=0,"",IF(BA59&gt;0,"⚠ Se superpone con un registro de la otra empresa",IF(D59="Malcolm",IF(COUNTA(R59,S59,T59)&gt;0,"Estado/fechas proMX se ignoran en Malcolm",""),IF(BF59="Cancelled","Cancelado: excluido de totales",IF(R59="","Sin estado: se trata como Draft",IF(BF59="Submitted",IF(ISNUMBER(V59),IF(V59&gt;CFG_MAXD,"⚠ "&amp;V59&amp;" días en Submitted (máx. "&amp;CFG_MAXD&amp;")",""),"Falta fecha de envío"),IF(BF59="Returned","⚠ Devuelto: corregir y reenviar",IF(BF59="Recall Requested","Retirada solicitada: pendiente",IF(AND(BF59="Approved",NOT(ISNUMBER(T59))),"Falta fecha de aprobación",IF(AND(ISNUMBER(S59),ISNUMBER(T59),T59&lt;S59),"Aprobación anterior al envío","")))))))))</f>
        <v/>
      </c>
      <c r="Y59" s="80">
        <f>IF(COUNTA(B59,D59,E59,F59,G59,H59,I59,J59,R59,S59,T59)&gt;0,1,0)</f>
        <v>0</v>
      </c>
      <c r="Z59" s="80" t="str">
        <f>IF(AND(ISNUMBER(H59),H59&gt;=0,H59&lt;1),ROUND(H59*1440,0),"")</f>
        <v/>
      </c>
      <c r="AA59" s="80" t="str">
        <f>IF(AND(ISNUMBER(I59),I59&gt;=0,I59&lt;1),ROUND(I59*1440,0),"")</f>
        <v/>
      </c>
      <c r="AB59" s="80">
        <f>IF(AND(ISNUMBER(B59),D59&lt;&gt;"",ISNUMBER(Z59),ISNUMBER(AA59)),IF(Z59=AA59,0,1),0)</f>
        <v>0</v>
      </c>
      <c r="AC59" s="80">
        <f>IF(AB59=1,IF(AA59&lt;Z59,1,0),0)</f>
        <v>0</v>
      </c>
      <c r="AD59" s="80">
        <f>IF(AB59=1,IF(AC59=1,1440-Z59+AA59,AA59-Z59),0)</f>
        <v>0</v>
      </c>
      <c r="AE59" s="80">
        <f>IF(J59="",0,IF(ISNUMBER(J59),J59,-1))</f>
        <v>0</v>
      </c>
      <c r="AF59" s="80">
        <f>MIN(MAX(0,AE59),AD59)</f>
        <v>0</v>
      </c>
      <c r="AG59" s="80">
        <f>MAX(0,AD59-MAX(0,AE59))</f>
        <v>0</v>
      </c>
      <c r="AH59" s="80">
        <f>IF(ISNUMBER(B59),IF(AND(INDEX(CFG_WDAYS,WEEKDAY(INT(B59),2))="Sí",IF(D59="proMX",COUNTIFS(FER_F,INT(B59),FER_NLP,"Sí"),COUNTIFS(FER_F,INT(B59),FER_NLM,"Sí"))=0),1,0),0)</f>
        <v>0</v>
      </c>
      <c r="AI59" s="80">
        <f>IF(AC59=1,IF(AND(INDEX(CFG_WDAYS,WEEKDAY(INT(B59)+1,2))="Sí",IF(D59="proMX",COUNTIFS(FER_F,INT(B59)+1,FER_NLP,"Sí"),COUNTIFS(FER_F,INT(B59)+1,FER_NLM,"Sí"))=0),1,0),0)</f>
        <v>0</v>
      </c>
      <c r="AJ59" s="80">
        <f>IF(AC59=1,1440-Z59,AD59)</f>
        <v>0</v>
      </c>
      <c r="AK59" s="80">
        <f>IF(AND(AB59=1,AH59=1),MAX(0,MIN(IF(AC59=1,1440,AA59),CFG_WEM)-MAX(Z59,CFG_WSM)),0)</f>
        <v>0</v>
      </c>
      <c r="AL59" s="80">
        <f>IF(AND(AC59=1,AI59=1),MAX(0,MIN(AA59,CFG_WEM)-CFG_WSM),0)</f>
        <v>0</v>
      </c>
      <c r="AM59" s="80">
        <f>AK59+AL59</f>
        <v>0</v>
      </c>
      <c r="AN59" s="80">
        <f>IF(CFG_BRK="Proporcional",IF(AD59=0,0,AF59*AM59/AD59),IF(CFG_BRK="Extras primero",MIN(AM59,MAX(0,AF59-(AD59-AM59))),MIN(AF59,AM59)))</f>
        <v>0</v>
      </c>
      <c r="AO59" s="80">
        <f>AF59-AN59</f>
        <v>0</v>
      </c>
      <c r="AP59" s="80">
        <f>AM59-AN59</f>
        <v>0</v>
      </c>
      <c r="AQ59" s="80">
        <f>AD59-AM59-AO59</f>
        <v>0</v>
      </c>
      <c r="AR59" s="80">
        <f>IF(AM59=0,0,AK59-AN59*AK59/AM59)</f>
        <v>0</v>
      </c>
      <c r="AS59" s="80">
        <f>IF(AD59-AM59=0,0,(AJ59-AK59)-AO59*(AJ59-AK59)/(AD59-AM59))</f>
        <v>0</v>
      </c>
      <c r="AT59" s="80" t="str">
        <f>IF(AC59=1,INT(B59)+1,"")</f>
        <v/>
      </c>
      <c r="AU59" s="80">
        <f>IF(AND(D59="proMX",R59="Cancelled"),0,1)</f>
        <v>1</v>
      </c>
      <c r="AV59" s="80">
        <f>IF(AND(AB59=1,AU59=1),IF(COUNTIFS($D$5:D58,D59,$B$5:B58,B59,$Z$5:Z58,Z59,$AA$5:AA58,AA59,$F$5:F58,F59&amp;"",$AU$5:AU58,1)&gt;0,1,0),0)</f>
        <v>0</v>
      </c>
      <c r="AW59" s="80" t="str">
        <f>IF(AB59=1,INT(B59)*1440+Z59,"")</f>
        <v/>
      </c>
      <c r="AX59" s="80" t="str">
        <f>IF(AB59=1,AW59+AD59,"")</f>
        <v/>
      </c>
      <c r="AY59" s="80">
        <f>IF(AND(AB59=1,AV59=0,AU59=1),1,0)</f>
        <v>0</v>
      </c>
      <c r="AZ59" s="80">
        <f>IF(AY59=1,COUNTIFS(R_Emp,D59,R_SAbs,"&lt;"&amp;AX59,R_EAbs,"&gt;"&amp;AW59,R_OKey,1)-1,0)</f>
        <v>0</v>
      </c>
      <c r="BA59" s="80">
        <f>IF(AY59=1,COUNTIFS(R_Emp,"&lt;&gt;"&amp;D59,R_SAbs,"&lt;"&amp;AX59,R_EAbs,"&gt;"&amp;AW59,R_OKey,1),0)</f>
        <v>0</v>
      </c>
      <c r="BB59" s="80">
        <f>IF(AND(AB59=1,D59="proMX"),IF(AND(MOD(Z59,CFG_BLK)=0,MOD(AA59,CFG_BLK)=0,MOD(AG59,CFG_BLK)=0,AG59&gt;0),1,0),1)</f>
        <v>1</v>
      </c>
      <c r="BC59" s="80" t="str">
        <f>IF(Y59=0,"",IF(NOT(ISNUMBER(B59)),"Falta fecha o fecha inválida",IF(D59="","Falta empresa",IF(AND(D59&lt;&gt;"Malcolm",D59&lt;&gt;"proMX"),"Empresa inválida",IF(OR(INT(B59)&lt;CFG_PSTART,INT(B59)&gt;CFG_PEND),"Fecha fuera del período",IF(OR(NOT(ISNUMBER(Z59)),NOT(ISNUMBER(AA59))),"Falta hora inicio/fin o formato inválido",IF(AB59=0,"Hora inicio = hora fin",IF(AE59&lt;0,"Descanso inválido",IF(AE59&gt;=AD59,"Descanso ≥ duración",IF(AV59=1,"Registro duplicado",IF(AZ59&gt;0,"Se superpone con otro registro "&amp;D59,IF(BB59=0,"inicio, fin y duración neta deben ser múltiplos de "&amp;CFG_BLK&amp;" min",""))))))))))))</f>
        <v/>
      </c>
      <c r="BD59" s="80">
        <f>IF(AND(Y59=1,BC59=""),1,0)</f>
        <v>0</v>
      </c>
      <c r="BE59" s="80">
        <f>IF(AND(BD59=1,AU59=1),1,0)</f>
        <v>0</v>
      </c>
      <c r="BF59" s="80" t="str">
        <f>IF(AND(D59="proMX",BD59=1),IF(R59="","Draft",R59),"")</f>
        <v/>
      </c>
      <c r="BG59" s="80">
        <f>IF(BD59=1,ROUND(AG59/60,6),0)</f>
        <v>0</v>
      </c>
      <c r="BH59" s="80">
        <f>IF(BE59=1,ROUND(AG59/60,6),0)</f>
        <v>0</v>
      </c>
      <c r="BI59" s="80">
        <f>IF(BE59=1,ROUND(AP59/60,6),0)</f>
        <v>0</v>
      </c>
      <c r="BJ59" s="80">
        <f>IF(BE59=1,ROUND(AQ59/60,6),0)</f>
        <v>0</v>
      </c>
      <c r="BK59" s="80">
        <f>IF(BE59=1,ROUND((AR59+AS59)/60,6),0)</f>
        <v>0</v>
      </c>
      <c r="BL59" s="80">
        <f>ROUND(BH59-BK59,6)</f>
        <v>0</v>
      </c>
      <c r="BM59" s="80">
        <f>IF(BE59=1,ROUND(AR59/60,6),0)</f>
        <v>0</v>
      </c>
      <c r="BN59" s="80">
        <f>ROUND(BI59-BM59,6)</f>
        <v>0</v>
      </c>
      <c r="BO59" s="80">
        <f>IF(BE59=1,ROUND(AS59/60,6),0)</f>
        <v>0</v>
      </c>
      <c r="BP59" s="80">
        <f>ROUND(BJ59-BO59,6)</f>
        <v>0</v>
      </c>
      <c r="BQ59" s="80">
        <f>IF(BE59=1,AW59,0)</f>
        <v>0</v>
      </c>
      <c r="BR59" s="80">
        <f>IF(BE59=1,AX59,0)</f>
        <v>0</v>
      </c>
      <c r="BS59" s="80">
        <f>IF(AND(BE59=1,D59="Malcolm",BA59&gt;0),MIN(BH59,SUMPRODUCT((R_Emp="proMX")*(R_EN&gt;0)*((R_EN-(R_EN&gt;BR59)*(R_EN-BR59))&gt;(R_SN+(R_SN&lt;BQ59)*(BQ59-R_SN)))*((R_EN-(R_EN&gt;BR59)*(R_EN-BR59))-(R_SN+(R_SN&lt;BQ59)*(BQ59-R_SN))))/60),0)</f>
        <v>0</v>
      </c>
      <c r="BT59" s="80">
        <f>IF(AND(BE59=1,D59="proMX"),ROUND(BI59*CFG_RATE+BJ59*CFG_OTRATE,6),0)</f>
        <v>0</v>
      </c>
      <c r="BU59" s="80">
        <f>IF(AND(BD59=1,D59="proMX"),ROUND(AG59/CFG_BLK,6),0)</f>
        <v>0</v>
      </c>
      <c r="BV59" s="80" t="str">
        <f>IF(BF59="Approved",IF(ISNUMBER(T59),INT(T59),INT(B59)),"")</f>
        <v/>
      </c>
      <c r="BW59" s="80">
        <f>IF(ISNUMBER(B59),IF(DB_MON="Todos",1,IF(AND(INT(B59)&gt;=DB_MS,INT(B59)&lt;=DB_ME),1,0)),0)</f>
        <v>0</v>
      </c>
      <c r="BX59" s="80">
        <f>IF(DB_PROJ="Todos",1,IF(E59&amp;""=DB_PROJ&amp;"",1,0))</f>
        <v>1</v>
      </c>
      <c r="BY59" s="80">
        <f>BW59*BX59</f>
        <v>0</v>
      </c>
      <c r="BZ59" s="80" t="str">
        <f>IF(Y59=1,F59&amp;IF(AND(F59&amp;""&lt;&gt;"",E59&amp;""&lt;&gt;"")," · ","")&amp;E59,"")</f>
        <v/>
      </c>
      <c r="CA59" s="80" t="str">
        <f>IF(AND(BD59=1,E59&amp;""&lt;&gt;""),IF(COUNTIFS($E$5:E58,E59,$BD$5:BD58,1)=0,MAX($CA$5:CA58)+1,""),"")</f>
        <v/>
      </c>
      <c r="CB59" s="80" t="str">
        <f>IF(AND(BE59=1,D59="Malcolm",E59&amp;""&lt;&gt;""),IF(COUNTIFS($D$5:D58,"Malcolm",$E$5:E58,E59,$BE$5:BE58,1)=0,MAX($CB$5:CB58)+1,""),"")</f>
        <v/>
      </c>
      <c r="CC59" s="80" t="str">
        <f>IF(AND(BD59=1,D59="proMX",E59&amp;""&lt;&gt;""),IF(COUNTIFS($D$5:D58,"proMX",$E$5:E58,E59,$BD$5:BD58,1)=0,MAX($CC$5:CC58)+1,""),"")</f>
        <v/>
      </c>
      <c r="CD59" s="80" t="str">
        <f>IF(AND(BE59=1,D59="Malcolm",F59&amp;""&lt;&gt;""),IF(COUNTIFS($D$5:D58,"Malcolm",$F$5:F58,F59,$BE$5:BE58,1)=0,MAX($CD$5:CD58)+1,""),"")</f>
        <v/>
      </c>
      <c r="CE59" s="80" t="str">
        <f>IF(AND(BD59=1,D59="proMX",F59&amp;""&lt;&gt;""),IF(COUNTIFS($D$5:D58,"proMX",$F$5:F58,F59,$BD$5:BD58,1)=0,MAX($CE$5:CE58)+1,""),"")</f>
        <v/>
      </c>
      <c r="CF59" s="80" t="str">
        <f>IF(AND(D59="proMX",BD59=1),IF(OR(BF59="Draft",BF59="Submitted",BF59="Returned",BF59="Recall Requested"),MAX($CF$5:CF58)+1,""),"")</f>
        <v/>
      </c>
      <c r="CG59" s="80">
        <f>IF(BD59=0,0,IF(D59="Malcolm",1,MATCH(BF59,{"Draft","Submitted","Approved","Returned","Recall Requested","Cancelled"},0)+1))</f>
        <v>0</v>
      </c>
      <c r="CH59" s="80">
        <f>IF(AND(BF59="Submitted",ISNUMBER(V59)),IF(V59&gt;CFG_MAXD,1,0),0)</f>
        <v>0</v>
      </c>
    </row>
    <row r="60">
      <c r="A60" s="71" t="str">
        <f>IF(Y60=1,ROW()-5,"")</f>
        <v/>
      </c>
      <c r="B60" s="72" t="n"/>
      <c r="C60" s="71" t="str">
        <f>IF(ISNUMBER(B60),CHOOSE(WEEKDAY(B60,2),"Lun","Mar","Mié","Jue","Vie","Sáb","Dom"),"")</f>
        <v/>
      </c>
      <c r="D60" s="73" t="n"/>
      <c r="E60" s="74" t="n"/>
      <c r="F60" s="74" t="n"/>
      <c r="G60" s="74" t="n"/>
      <c r="H60" s="75" t="n"/>
      <c r="I60" s="75" t="n"/>
      <c r="J60" s="76" t="n"/>
      <c r="K60" s="77" t="str">
        <f>IF(AB60=1,ROUND(AG60/60,4),"")</f>
        <v/>
      </c>
      <c r="L60" s="77" t="str">
        <f>IF(BD60=1,ROUND(AP60/60,4),"")</f>
        <v/>
      </c>
      <c r="M60" s="77" t="str">
        <f>IF(BD60=1,ROUND(AQ60/60,4),"")</f>
        <v/>
      </c>
      <c r="N60" s="71" t="str">
        <f>IF(AND(D60="proMX",AB60=1),ROUND(AG60/CFG_BLK,2),"")</f>
        <v/>
      </c>
      <c r="O60" s="77" t="str">
        <f>IF(D60="proMX",IF(BD60=1,ROUND(AG60/60,4),0),"")</f>
        <v/>
      </c>
      <c r="P60" s="78" t="str">
        <f>IF(Y60=0,"",IF(BD60=1,"OK",IF(D60="proMX","Revisar bloques: ","Revisar: ")&amp;BC60))</f>
        <v/>
      </c>
      <c r="Q60" s="78" t="str">
        <f>IF(NOT(ISNUMBER(B60)),"",IF(COUNTIFS(FER_F,INT(B60))&gt;0,"Feriado"&amp;IF(AH60=1," (laborable)"," (no laborable)"),IF(AH60=1,"Laborable",IF(WEEKDAY(B60,2)&gt;5,"Fin de semana","No laborable"))))</f>
        <v/>
      </c>
      <c r="R60" s="73" t="n"/>
      <c r="S60" s="72" t="n"/>
      <c r="T60" s="72" t="n"/>
      <c r="U60" s="74" t="n"/>
      <c r="V60" s="79" t="str">
        <f>IF(AND(D60="proMX",OR(R60="Submitted",R60="Recall Requested"),ISNUMBER(S60)),CFG_TODAY-INT(S60),"")</f>
        <v/>
      </c>
      <c r="W60" s="78" t="str">
        <f>IF(BD60=0,"",IF(BA60&gt;0,"⚠ Se superpone con un registro de la otra empresa",IF(D60="Malcolm",IF(COUNTA(R60,S60,T60)&gt;0,"Estado/fechas proMX se ignoran en Malcolm",""),IF(BF60="Cancelled","Cancelado: excluido de totales",IF(R60="","Sin estado: se trata como Draft",IF(BF60="Submitted",IF(ISNUMBER(V60),IF(V60&gt;CFG_MAXD,"⚠ "&amp;V60&amp;" días en Submitted (máx. "&amp;CFG_MAXD&amp;")",""),"Falta fecha de envío"),IF(BF60="Returned","⚠ Devuelto: corregir y reenviar",IF(BF60="Recall Requested","Retirada solicitada: pendiente",IF(AND(BF60="Approved",NOT(ISNUMBER(T60))),"Falta fecha de aprobación",IF(AND(ISNUMBER(S60),ISNUMBER(T60),T60&lt;S60),"Aprobación anterior al envío","")))))))))</f>
        <v/>
      </c>
      <c r="Y60" s="80">
        <f>IF(COUNTA(B60,D60,E60,F60,G60,H60,I60,J60,R60,S60,T60)&gt;0,1,0)</f>
        <v>0</v>
      </c>
      <c r="Z60" s="80" t="str">
        <f>IF(AND(ISNUMBER(H60),H60&gt;=0,H60&lt;1),ROUND(H60*1440,0),"")</f>
        <v/>
      </c>
      <c r="AA60" s="80" t="str">
        <f>IF(AND(ISNUMBER(I60),I60&gt;=0,I60&lt;1),ROUND(I60*1440,0),"")</f>
        <v/>
      </c>
      <c r="AB60" s="80">
        <f>IF(AND(ISNUMBER(B60),D60&lt;&gt;"",ISNUMBER(Z60),ISNUMBER(AA60)),IF(Z60=AA60,0,1),0)</f>
        <v>0</v>
      </c>
      <c r="AC60" s="80">
        <f>IF(AB60=1,IF(AA60&lt;Z60,1,0),0)</f>
        <v>0</v>
      </c>
      <c r="AD60" s="80">
        <f>IF(AB60=1,IF(AC60=1,1440-Z60+AA60,AA60-Z60),0)</f>
        <v>0</v>
      </c>
      <c r="AE60" s="80">
        <f>IF(J60="",0,IF(ISNUMBER(J60),J60,-1))</f>
        <v>0</v>
      </c>
      <c r="AF60" s="80">
        <f>MIN(MAX(0,AE60),AD60)</f>
        <v>0</v>
      </c>
      <c r="AG60" s="80">
        <f>MAX(0,AD60-MAX(0,AE60))</f>
        <v>0</v>
      </c>
      <c r="AH60" s="80">
        <f>IF(ISNUMBER(B60),IF(AND(INDEX(CFG_WDAYS,WEEKDAY(INT(B60),2))="Sí",IF(D60="proMX",COUNTIFS(FER_F,INT(B60),FER_NLP,"Sí"),COUNTIFS(FER_F,INT(B60),FER_NLM,"Sí"))=0),1,0),0)</f>
        <v>0</v>
      </c>
      <c r="AI60" s="80">
        <f>IF(AC60=1,IF(AND(INDEX(CFG_WDAYS,WEEKDAY(INT(B60)+1,2))="Sí",IF(D60="proMX",COUNTIFS(FER_F,INT(B60)+1,FER_NLP,"Sí"),COUNTIFS(FER_F,INT(B60)+1,FER_NLM,"Sí"))=0),1,0),0)</f>
        <v>0</v>
      </c>
      <c r="AJ60" s="80">
        <f>IF(AC60=1,1440-Z60,AD60)</f>
        <v>0</v>
      </c>
      <c r="AK60" s="80">
        <f>IF(AND(AB60=1,AH60=1),MAX(0,MIN(IF(AC60=1,1440,AA60),CFG_WEM)-MAX(Z60,CFG_WSM)),0)</f>
        <v>0</v>
      </c>
      <c r="AL60" s="80">
        <f>IF(AND(AC60=1,AI60=1),MAX(0,MIN(AA60,CFG_WEM)-CFG_WSM),0)</f>
        <v>0</v>
      </c>
      <c r="AM60" s="80">
        <f>AK60+AL60</f>
        <v>0</v>
      </c>
      <c r="AN60" s="80">
        <f>IF(CFG_BRK="Proporcional",IF(AD60=0,0,AF60*AM60/AD60),IF(CFG_BRK="Extras primero",MIN(AM60,MAX(0,AF60-(AD60-AM60))),MIN(AF60,AM60)))</f>
        <v>0</v>
      </c>
      <c r="AO60" s="80">
        <f>AF60-AN60</f>
        <v>0</v>
      </c>
      <c r="AP60" s="80">
        <f>AM60-AN60</f>
        <v>0</v>
      </c>
      <c r="AQ60" s="80">
        <f>AD60-AM60-AO60</f>
        <v>0</v>
      </c>
      <c r="AR60" s="80">
        <f>IF(AM60=0,0,AK60-AN60*AK60/AM60)</f>
        <v>0</v>
      </c>
      <c r="AS60" s="80">
        <f>IF(AD60-AM60=0,0,(AJ60-AK60)-AO60*(AJ60-AK60)/(AD60-AM60))</f>
        <v>0</v>
      </c>
      <c r="AT60" s="80" t="str">
        <f>IF(AC60=1,INT(B60)+1,"")</f>
        <v/>
      </c>
      <c r="AU60" s="80">
        <f>IF(AND(D60="proMX",R60="Cancelled"),0,1)</f>
        <v>1</v>
      </c>
      <c r="AV60" s="80">
        <f>IF(AND(AB60=1,AU60=1),IF(COUNTIFS($D$5:D59,D60,$B$5:B59,B60,$Z$5:Z59,Z60,$AA$5:AA59,AA60,$F$5:F59,F60&amp;"",$AU$5:AU59,1)&gt;0,1,0),0)</f>
        <v>0</v>
      </c>
      <c r="AW60" s="80" t="str">
        <f>IF(AB60=1,INT(B60)*1440+Z60,"")</f>
        <v/>
      </c>
      <c r="AX60" s="80" t="str">
        <f>IF(AB60=1,AW60+AD60,"")</f>
        <v/>
      </c>
      <c r="AY60" s="80">
        <f>IF(AND(AB60=1,AV60=0,AU60=1),1,0)</f>
        <v>0</v>
      </c>
      <c r="AZ60" s="80">
        <f>IF(AY60=1,COUNTIFS(R_Emp,D60,R_SAbs,"&lt;"&amp;AX60,R_EAbs,"&gt;"&amp;AW60,R_OKey,1)-1,0)</f>
        <v>0</v>
      </c>
      <c r="BA60" s="80">
        <f>IF(AY60=1,COUNTIFS(R_Emp,"&lt;&gt;"&amp;D60,R_SAbs,"&lt;"&amp;AX60,R_EAbs,"&gt;"&amp;AW60,R_OKey,1),0)</f>
        <v>0</v>
      </c>
      <c r="BB60" s="80">
        <f>IF(AND(AB60=1,D60="proMX"),IF(AND(MOD(Z60,CFG_BLK)=0,MOD(AA60,CFG_BLK)=0,MOD(AG60,CFG_BLK)=0,AG60&gt;0),1,0),1)</f>
        <v>1</v>
      </c>
      <c r="BC60" s="80" t="str">
        <f>IF(Y60=0,"",IF(NOT(ISNUMBER(B60)),"Falta fecha o fecha inválida",IF(D60="","Falta empresa",IF(AND(D60&lt;&gt;"Malcolm",D60&lt;&gt;"proMX"),"Empresa inválida",IF(OR(INT(B60)&lt;CFG_PSTART,INT(B60)&gt;CFG_PEND),"Fecha fuera del período",IF(OR(NOT(ISNUMBER(Z60)),NOT(ISNUMBER(AA60))),"Falta hora inicio/fin o formato inválido",IF(AB60=0,"Hora inicio = hora fin",IF(AE60&lt;0,"Descanso inválido",IF(AE60&gt;=AD60,"Descanso ≥ duración",IF(AV60=1,"Registro duplicado",IF(AZ60&gt;0,"Se superpone con otro registro "&amp;D60,IF(BB60=0,"inicio, fin y duración neta deben ser múltiplos de "&amp;CFG_BLK&amp;" min",""))))))))))))</f>
        <v/>
      </c>
      <c r="BD60" s="80">
        <f>IF(AND(Y60=1,BC60=""),1,0)</f>
        <v>0</v>
      </c>
      <c r="BE60" s="80">
        <f>IF(AND(BD60=1,AU60=1),1,0)</f>
        <v>0</v>
      </c>
      <c r="BF60" s="80" t="str">
        <f>IF(AND(D60="proMX",BD60=1),IF(R60="","Draft",R60),"")</f>
        <v/>
      </c>
      <c r="BG60" s="80">
        <f>IF(BD60=1,ROUND(AG60/60,6),0)</f>
        <v>0</v>
      </c>
      <c r="BH60" s="80">
        <f>IF(BE60=1,ROUND(AG60/60,6),0)</f>
        <v>0</v>
      </c>
      <c r="BI60" s="80">
        <f>IF(BE60=1,ROUND(AP60/60,6),0)</f>
        <v>0</v>
      </c>
      <c r="BJ60" s="80">
        <f>IF(BE60=1,ROUND(AQ60/60,6),0)</f>
        <v>0</v>
      </c>
      <c r="BK60" s="80">
        <f>IF(BE60=1,ROUND((AR60+AS60)/60,6),0)</f>
        <v>0</v>
      </c>
      <c r="BL60" s="80">
        <f>ROUND(BH60-BK60,6)</f>
        <v>0</v>
      </c>
      <c r="BM60" s="80">
        <f>IF(BE60=1,ROUND(AR60/60,6),0)</f>
        <v>0</v>
      </c>
      <c r="BN60" s="80">
        <f>ROUND(BI60-BM60,6)</f>
        <v>0</v>
      </c>
      <c r="BO60" s="80">
        <f>IF(BE60=1,ROUND(AS60/60,6),0)</f>
        <v>0</v>
      </c>
      <c r="BP60" s="80">
        <f>ROUND(BJ60-BO60,6)</f>
        <v>0</v>
      </c>
      <c r="BQ60" s="80">
        <f>IF(BE60=1,AW60,0)</f>
        <v>0</v>
      </c>
      <c r="BR60" s="80">
        <f>IF(BE60=1,AX60,0)</f>
        <v>0</v>
      </c>
      <c r="BS60" s="80">
        <f>IF(AND(BE60=1,D60="Malcolm",BA60&gt;0),MIN(BH60,SUMPRODUCT((R_Emp="proMX")*(R_EN&gt;0)*((R_EN-(R_EN&gt;BR60)*(R_EN-BR60))&gt;(R_SN+(R_SN&lt;BQ60)*(BQ60-R_SN)))*((R_EN-(R_EN&gt;BR60)*(R_EN-BR60))-(R_SN+(R_SN&lt;BQ60)*(BQ60-R_SN))))/60),0)</f>
        <v>0</v>
      </c>
      <c r="BT60" s="80">
        <f>IF(AND(BE60=1,D60="proMX"),ROUND(BI60*CFG_RATE+BJ60*CFG_OTRATE,6),0)</f>
        <v>0</v>
      </c>
      <c r="BU60" s="80">
        <f>IF(AND(BD60=1,D60="proMX"),ROUND(AG60/CFG_BLK,6),0)</f>
        <v>0</v>
      </c>
      <c r="BV60" s="80" t="str">
        <f>IF(BF60="Approved",IF(ISNUMBER(T60),INT(T60),INT(B60)),"")</f>
        <v/>
      </c>
      <c r="BW60" s="80">
        <f>IF(ISNUMBER(B60),IF(DB_MON="Todos",1,IF(AND(INT(B60)&gt;=DB_MS,INT(B60)&lt;=DB_ME),1,0)),0)</f>
        <v>0</v>
      </c>
      <c r="BX60" s="80">
        <f>IF(DB_PROJ="Todos",1,IF(E60&amp;""=DB_PROJ&amp;"",1,0))</f>
        <v>1</v>
      </c>
      <c r="BY60" s="80">
        <f>BW60*BX60</f>
        <v>0</v>
      </c>
      <c r="BZ60" s="80" t="str">
        <f>IF(Y60=1,F60&amp;IF(AND(F60&amp;""&lt;&gt;"",E60&amp;""&lt;&gt;"")," · ","")&amp;E60,"")</f>
        <v/>
      </c>
      <c r="CA60" s="80" t="str">
        <f>IF(AND(BD60=1,E60&amp;""&lt;&gt;""),IF(COUNTIFS($E$5:E59,E60,$BD$5:BD59,1)=0,MAX($CA$5:CA59)+1,""),"")</f>
        <v/>
      </c>
      <c r="CB60" s="80" t="str">
        <f>IF(AND(BE60=1,D60="Malcolm",E60&amp;""&lt;&gt;""),IF(COUNTIFS($D$5:D59,"Malcolm",$E$5:E59,E60,$BE$5:BE59,1)=0,MAX($CB$5:CB59)+1,""),"")</f>
        <v/>
      </c>
      <c r="CC60" s="80" t="str">
        <f>IF(AND(BD60=1,D60="proMX",E60&amp;""&lt;&gt;""),IF(COUNTIFS($D$5:D59,"proMX",$E$5:E59,E60,$BD$5:BD59,1)=0,MAX($CC$5:CC59)+1,""),"")</f>
        <v/>
      </c>
      <c r="CD60" s="80" t="str">
        <f>IF(AND(BE60=1,D60="Malcolm",F60&amp;""&lt;&gt;""),IF(COUNTIFS($D$5:D59,"Malcolm",$F$5:F59,F60,$BE$5:BE59,1)=0,MAX($CD$5:CD59)+1,""),"")</f>
        <v/>
      </c>
      <c r="CE60" s="80" t="str">
        <f>IF(AND(BD60=1,D60="proMX",F60&amp;""&lt;&gt;""),IF(COUNTIFS($D$5:D59,"proMX",$F$5:F59,F60,$BD$5:BD59,1)=0,MAX($CE$5:CE59)+1,""),"")</f>
        <v/>
      </c>
      <c r="CF60" s="80" t="str">
        <f>IF(AND(D60="proMX",BD60=1),IF(OR(BF60="Draft",BF60="Submitted",BF60="Returned",BF60="Recall Requested"),MAX($CF$5:CF59)+1,""),"")</f>
        <v/>
      </c>
      <c r="CG60" s="80">
        <f>IF(BD60=0,0,IF(D60="Malcolm",1,MATCH(BF60,{"Draft","Submitted","Approved","Returned","Recall Requested","Cancelled"},0)+1))</f>
        <v>0</v>
      </c>
      <c r="CH60" s="80">
        <f>IF(AND(BF60="Submitted",ISNUMBER(V60)),IF(V60&gt;CFG_MAXD,1,0),0)</f>
        <v>0</v>
      </c>
    </row>
    <row r="61">
      <c r="A61" s="71" t="str">
        <f>IF(Y61=1,ROW()-5,"")</f>
        <v/>
      </c>
      <c r="B61" s="72" t="n"/>
      <c r="C61" s="71" t="str">
        <f>IF(ISNUMBER(B61),CHOOSE(WEEKDAY(B61,2),"Lun","Mar","Mié","Jue","Vie","Sáb","Dom"),"")</f>
        <v/>
      </c>
      <c r="D61" s="73" t="n"/>
      <c r="E61" s="74" t="n"/>
      <c r="F61" s="74" t="n"/>
      <c r="G61" s="74" t="n"/>
      <c r="H61" s="75" t="n"/>
      <c r="I61" s="75" t="n"/>
      <c r="J61" s="76" t="n"/>
      <c r="K61" s="77" t="str">
        <f>IF(AB61=1,ROUND(AG61/60,4),"")</f>
        <v/>
      </c>
      <c r="L61" s="77" t="str">
        <f>IF(BD61=1,ROUND(AP61/60,4),"")</f>
        <v/>
      </c>
      <c r="M61" s="77" t="str">
        <f>IF(BD61=1,ROUND(AQ61/60,4),"")</f>
        <v/>
      </c>
      <c r="N61" s="71" t="str">
        <f>IF(AND(D61="proMX",AB61=1),ROUND(AG61/CFG_BLK,2),"")</f>
        <v/>
      </c>
      <c r="O61" s="77" t="str">
        <f>IF(D61="proMX",IF(BD61=1,ROUND(AG61/60,4),0),"")</f>
        <v/>
      </c>
      <c r="P61" s="78" t="str">
        <f>IF(Y61=0,"",IF(BD61=1,"OK",IF(D61="proMX","Revisar bloques: ","Revisar: ")&amp;BC61))</f>
        <v/>
      </c>
      <c r="Q61" s="78" t="str">
        <f>IF(NOT(ISNUMBER(B61)),"",IF(COUNTIFS(FER_F,INT(B61))&gt;0,"Feriado"&amp;IF(AH61=1," (laborable)"," (no laborable)"),IF(AH61=1,"Laborable",IF(WEEKDAY(B61,2)&gt;5,"Fin de semana","No laborable"))))</f>
        <v/>
      </c>
      <c r="R61" s="73" t="n"/>
      <c r="S61" s="72" t="n"/>
      <c r="T61" s="72" t="n"/>
      <c r="U61" s="74" t="n"/>
      <c r="V61" s="79" t="str">
        <f>IF(AND(D61="proMX",OR(R61="Submitted",R61="Recall Requested"),ISNUMBER(S61)),CFG_TODAY-INT(S61),"")</f>
        <v/>
      </c>
      <c r="W61" s="78" t="str">
        <f>IF(BD61=0,"",IF(BA61&gt;0,"⚠ Se superpone con un registro de la otra empresa",IF(D61="Malcolm",IF(COUNTA(R61,S61,T61)&gt;0,"Estado/fechas proMX se ignoran en Malcolm",""),IF(BF61="Cancelled","Cancelado: excluido de totales",IF(R61="","Sin estado: se trata como Draft",IF(BF61="Submitted",IF(ISNUMBER(V61),IF(V61&gt;CFG_MAXD,"⚠ "&amp;V61&amp;" días en Submitted (máx. "&amp;CFG_MAXD&amp;")",""),"Falta fecha de envío"),IF(BF61="Returned","⚠ Devuelto: corregir y reenviar",IF(BF61="Recall Requested","Retirada solicitada: pendiente",IF(AND(BF61="Approved",NOT(ISNUMBER(T61))),"Falta fecha de aprobación",IF(AND(ISNUMBER(S61),ISNUMBER(T61),T61&lt;S61),"Aprobación anterior al envío","")))))))))</f>
        <v/>
      </c>
      <c r="Y61" s="80">
        <f>IF(COUNTA(B61,D61,E61,F61,G61,H61,I61,J61,R61,S61,T61)&gt;0,1,0)</f>
        <v>0</v>
      </c>
      <c r="Z61" s="80" t="str">
        <f>IF(AND(ISNUMBER(H61),H61&gt;=0,H61&lt;1),ROUND(H61*1440,0),"")</f>
        <v/>
      </c>
      <c r="AA61" s="80" t="str">
        <f>IF(AND(ISNUMBER(I61),I61&gt;=0,I61&lt;1),ROUND(I61*1440,0),"")</f>
        <v/>
      </c>
      <c r="AB61" s="80">
        <f>IF(AND(ISNUMBER(B61),D61&lt;&gt;"",ISNUMBER(Z61),ISNUMBER(AA61)),IF(Z61=AA61,0,1),0)</f>
        <v>0</v>
      </c>
      <c r="AC61" s="80">
        <f>IF(AB61=1,IF(AA61&lt;Z61,1,0),0)</f>
        <v>0</v>
      </c>
      <c r="AD61" s="80">
        <f>IF(AB61=1,IF(AC61=1,1440-Z61+AA61,AA61-Z61),0)</f>
        <v>0</v>
      </c>
      <c r="AE61" s="80">
        <f>IF(J61="",0,IF(ISNUMBER(J61),J61,-1))</f>
        <v>0</v>
      </c>
      <c r="AF61" s="80">
        <f>MIN(MAX(0,AE61),AD61)</f>
        <v>0</v>
      </c>
      <c r="AG61" s="80">
        <f>MAX(0,AD61-MAX(0,AE61))</f>
        <v>0</v>
      </c>
      <c r="AH61" s="80">
        <f>IF(ISNUMBER(B61),IF(AND(INDEX(CFG_WDAYS,WEEKDAY(INT(B61),2))="Sí",IF(D61="proMX",COUNTIFS(FER_F,INT(B61),FER_NLP,"Sí"),COUNTIFS(FER_F,INT(B61),FER_NLM,"Sí"))=0),1,0),0)</f>
        <v>0</v>
      </c>
      <c r="AI61" s="80">
        <f>IF(AC61=1,IF(AND(INDEX(CFG_WDAYS,WEEKDAY(INT(B61)+1,2))="Sí",IF(D61="proMX",COUNTIFS(FER_F,INT(B61)+1,FER_NLP,"Sí"),COUNTIFS(FER_F,INT(B61)+1,FER_NLM,"Sí"))=0),1,0),0)</f>
        <v>0</v>
      </c>
      <c r="AJ61" s="80">
        <f>IF(AC61=1,1440-Z61,AD61)</f>
        <v>0</v>
      </c>
      <c r="AK61" s="80">
        <f>IF(AND(AB61=1,AH61=1),MAX(0,MIN(IF(AC61=1,1440,AA61),CFG_WEM)-MAX(Z61,CFG_WSM)),0)</f>
        <v>0</v>
      </c>
      <c r="AL61" s="80">
        <f>IF(AND(AC61=1,AI61=1),MAX(0,MIN(AA61,CFG_WEM)-CFG_WSM),0)</f>
        <v>0</v>
      </c>
      <c r="AM61" s="80">
        <f>AK61+AL61</f>
        <v>0</v>
      </c>
      <c r="AN61" s="80">
        <f>IF(CFG_BRK="Proporcional",IF(AD61=0,0,AF61*AM61/AD61),IF(CFG_BRK="Extras primero",MIN(AM61,MAX(0,AF61-(AD61-AM61))),MIN(AF61,AM61)))</f>
        <v>0</v>
      </c>
      <c r="AO61" s="80">
        <f>AF61-AN61</f>
        <v>0</v>
      </c>
      <c r="AP61" s="80">
        <f>AM61-AN61</f>
        <v>0</v>
      </c>
      <c r="AQ61" s="80">
        <f>AD61-AM61-AO61</f>
        <v>0</v>
      </c>
      <c r="AR61" s="80">
        <f>IF(AM61=0,0,AK61-AN61*AK61/AM61)</f>
        <v>0</v>
      </c>
      <c r="AS61" s="80">
        <f>IF(AD61-AM61=0,0,(AJ61-AK61)-AO61*(AJ61-AK61)/(AD61-AM61))</f>
        <v>0</v>
      </c>
      <c r="AT61" s="80" t="str">
        <f>IF(AC61=1,INT(B61)+1,"")</f>
        <v/>
      </c>
      <c r="AU61" s="80">
        <f>IF(AND(D61="proMX",R61="Cancelled"),0,1)</f>
        <v>1</v>
      </c>
      <c r="AV61" s="80">
        <f>IF(AND(AB61=1,AU61=1),IF(COUNTIFS($D$5:D60,D61,$B$5:B60,B61,$Z$5:Z60,Z61,$AA$5:AA60,AA61,$F$5:F60,F61&amp;"",$AU$5:AU60,1)&gt;0,1,0),0)</f>
        <v>0</v>
      </c>
      <c r="AW61" s="80" t="str">
        <f>IF(AB61=1,INT(B61)*1440+Z61,"")</f>
        <v/>
      </c>
      <c r="AX61" s="80" t="str">
        <f>IF(AB61=1,AW61+AD61,"")</f>
        <v/>
      </c>
      <c r="AY61" s="80">
        <f>IF(AND(AB61=1,AV61=0,AU61=1),1,0)</f>
        <v>0</v>
      </c>
      <c r="AZ61" s="80">
        <f>IF(AY61=1,COUNTIFS(R_Emp,D61,R_SAbs,"&lt;"&amp;AX61,R_EAbs,"&gt;"&amp;AW61,R_OKey,1)-1,0)</f>
        <v>0</v>
      </c>
      <c r="BA61" s="80">
        <f>IF(AY61=1,COUNTIFS(R_Emp,"&lt;&gt;"&amp;D61,R_SAbs,"&lt;"&amp;AX61,R_EAbs,"&gt;"&amp;AW61,R_OKey,1),0)</f>
        <v>0</v>
      </c>
      <c r="BB61" s="80">
        <f>IF(AND(AB61=1,D61="proMX"),IF(AND(MOD(Z61,CFG_BLK)=0,MOD(AA61,CFG_BLK)=0,MOD(AG61,CFG_BLK)=0,AG61&gt;0),1,0),1)</f>
        <v>1</v>
      </c>
      <c r="BC61" s="80" t="str">
        <f>IF(Y61=0,"",IF(NOT(ISNUMBER(B61)),"Falta fecha o fecha inválida",IF(D61="","Falta empresa",IF(AND(D61&lt;&gt;"Malcolm",D61&lt;&gt;"proMX"),"Empresa inválida",IF(OR(INT(B61)&lt;CFG_PSTART,INT(B61)&gt;CFG_PEND),"Fecha fuera del período",IF(OR(NOT(ISNUMBER(Z61)),NOT(ISNUMBER(AA61))),"Falta hora inicio/fin o formato inválido",IF(AB61=0,"Hora inicio = hora fin",IF(AE61&lt;0,"Descanso inválido",IF(AE61&gt;=AD61,"Descanso ≥ duración",IF(AV61=1,"Registro duplicado",IF(AZ61&gt;0,"Se superpone con otro registro "&amp;D61,IF(BB61=0,"inicio, fin y duración neta deben ser múltiplos de "&amp;CFG_BLK&amp;" min",""))))))))))))</f>
        <v/>
      </c>
      <c r="BD61" s="80">
        <f>IF(AND(Y61=1,BC61=""),1,0)</f>
        <v>0</v>
      </c>
      <c r="BE61" s="80">
        <f>IF(AND(BD61=1,AU61=1),1,0)</f>
        <v>0</v>
      </c>
      <c r="BF61" s="80" t="str">
        <f>IF(AND(D61="proMX",BD61=1),IF(R61="","Draft",R61),"")</f>
        <v/>
      </c>
      <c r="BG61" s="80">
        <f>IF(BD61=1,ROUND(AG61/60,6),0)</f>
        <v>0</v>
      </c>
      <c r="BH61" s="80">
        <f>IF(BE61=1,ROUND(AG61/60,6),0)</f>
        <v>0</v>
      </c>
      <c r="BI61" s="80">
        <f>IF(BE61=1,ROUND(AP61/60,6),0)</f>
        <v>0</v>
      </c>
      <c r="BJ61" s="80">
        <f>IF(BE61=1,ROUND(AQ61/60,6),0)</f>
        <v>0</v>
      </c>
      <c r="BK61" s="80">
        <f>IF(BE61=1,ROUND((AR61+AS61)/60,6),0)</f>
        <v>0</v>
      </c>
      <c r="BL61" s="80">
        <f>ROUND(BH61-BK61,6)</f>
        <v>0</v>
      </c>
      <c r="BM61" s="80">
        <f>IF(BE61=1,ROUND(AR61/60,6),0)</f>
        <v>0</v>
      </c>
      <c r="BN61" s="80">
        <f>ROUND(BI61-BM61,6)</f>
        <v>0</v>
      </c>
      <c r="BO61" s="80">
        <f>IF(BE61=1,ROUND(AS61/60,6),0)</f>
        <v>0</v>
      </c>
      <c r="BP61" s="80">
        <f>ROUND(BJ61-BO61,6)</f>
        <v>0</v>
      </c>
      <c r="BQ61" s="80">
        <f>IF(BE61=1,AW61,0)</f>
        <v>0</v>
      </c>
      <c r="BR61" s="80">
        <f>IF(BE61=1,AX61,0)</f>
        <v>0</v>
      </c>
      <c r="BS61" s="80">
        <f>IF(AND(BE61=1,D61="Malcolm",BA61&gt;0),MIN(BH61,SUMPRODUCT((R_Emp="proMX")*(R_EN&gt;0)*((R_EN-(R_EN&gt;BR61)*(R_EN-BR61))&gt;(R_SN+(R_SN&lt;BQ61)*(BQ61-R_SN)))*((R_EN-(R_EN&gt;BR61)*(R_EN-BR61))-(R_SN+(R_SN&lt;BQ61)*(BQ61-R_SN))))/60),0)</f>
        <v>0</v>
      </c>
      <c r="BT61" s="80">
        <f>IF(AND(BE61=1,D61="proMX"),ROUND(BI61*CFG_RATE+BJ61*CFG_OTRATE,6),0)</f>
        <v>0</v>
      </c>
      <c r="BU61" s="80">
        <f>IF(AND(BD61=1,D61="proMX"),ROUND(AG61/CFG_BLK,6),0)</f>
        <v>0</v>
      </c>
      <c r="BV61" s="80" t="str">
        <f>IF(BF61="Approved",IF(ISNUMBER(T61),INT(T61),INT(B61)),"")</f>
        <v/>
      </c>
      <c r="BW61" s="80">
        <f>IF(ISNUMBER(B61),IF(DB_MON="Todos",1,IF(AND(INT(B61)&gt;=DB_MS,INT(B61)&lt;=DB_ME),1,0)),0)</f>
        <v>0</v>
      </c>
      <c r="BX61" s="80">
        <f>IF(DB_PROJ="Todos",1,IF(E61&amp;""=DB_PROJ&amp;"",1,0))</f>
        <v>1</v>
      </c>
      <c r="BY61" s="80">
        <f>BW61*BX61</f>
        <v>0</v>
      </c>
      <c r="BZ61" s="80" t="str">
        <f>IF(Y61=1,F61&amp;IF(AND(F61&amp;""&lt;&gt;"",E61&amp;""&lt;&gt;"")," · ","")&amp;E61,"")</f>
        <v/>
      </c>
      <c r="CA61" s="80" t="str">
        <f>IF(AND(BD61=1,E61&amp;""&lt;&gt;""),IF(COUNTIFS($E$5:E60,E61,$BD$5:BD60,1)=0,MAX($CA$5:CA60)+1,""),"")</f>
        <v/>
      </c>
      <c r="CB61" s="80" t="str">
        <f>IF(AND(BE61=1,D61="Malcolm",E61&amp;""&lt;&gt;""),IF(COUNTIFS($D$5:D60,"Malcolm",$E$5:E60,E61,$BE$5:BE60,1)=0,MAX($CB$5:CB60)+1,""),"")</f>
        <v/>
      </c>
      <c r="CC61" s="80" t="str">
        <f>IF(AND(BD61=1,D61="proMX",E61&amp;""&lt;&gt;""),IF(COUNTIFS($D$5:D60,"proMX",$E$5:E60,E61,$BD$5:BD60,1)=0,MAX($CC$5:CC60)+1,""),"")</f>
        <v/>
      </c>
      <c r="CD61" s="80" t="str">
        <f>IF(AND(BE61=1,D61="Malcolm",F61&amp;""&lt;&gt;""),IF(COUNTIFS($D$5:D60,"Malcolm",$F$5:F60,F61,$BE$5:BE60,1)=0,MAX($CD$5:CD60)+1,""),"")</f>
        <v/>
      </c>
      <c r="CE61" s="80" t="str">
        <f>IF(AND(BD61=1,D61="proMX",F61&amp;""&lt;&gt;""),IF(COUNTIFS($D$5:D60,"proMX",$F$5:F60,F61,$BD$5:BD60,1)=0,MAX($CE$5:CE60)+1,""),"")</f>
        <v/>
      </c>
      <c r="CF61" s="80" t="str">
        <f>IF(AND(D61="proMX",BD61=1),IF(OR(BF61="Draft",BF61="Submitted",BF61="Returned",BF61="Recall Requested"),MAX($CF$5:CF60)+1,""),"")</f>
        <v/>
      </c>
      <c r="CG61" s="80">
        <f>IF(BD61=0,0,IF(D61="Malcolm",1,MATCH(BF61,{"Draft","Submitted","Approved","Returned","Recall Requested","Cancelled"},0)+1))</f>
        <v>0</v>
      </c>
      <c r="CH61" s="80">
        <f>IF(AND(BF61="Submitted",ISNUMBER(V61)),IF(V61&gt;CFG_MAXD,1,0),0)</f>
        <v>0</v>
      </c>
    </row>
    <row r="62">
      <c r="A62" s="71" t="str">
        <f>IF(Y62=1,ROW()-5,"")</f>
        <v/>
      </c>
      <c r="B62" s="72" t="n"/>
      <c r="C62" s="71" t="str">
        <f>IF(ISNUMBER(B62),CHOOSE(WEEKDAY(B62,2),"Lun","Mar","Mié","Jue","Vie","Sáb","Dom"),"")</f>
        <v/>
      </c>
      <c r="D62" s="73" t="n"/>
      <c r="E62" s="74" t="n"/>
      <c r="F62" s="74" t="n"/>
      <c r="G62" s="74" t="n"/>
      <c r="H62" s="75" t="n"/>
      <c r="I62" s="75" t="n"/>
      <c r="J62" s="76" t="n"/>
      <c r="K62" s="77" t="str">
        <f>IF(AB62=1,ROUND(AG62/60,4),"")</f>
        <v/>
      </c>
      <c r="L62" s="77" t="str">
        <f>IF(BD62=1,ROUND(AP62/60,4),"")</f>
        <v/>
      </c>
      <c r="M62" s="77" t="str">
        <f>IF(BD62=1,ROUND(AQ62/60,4),"")</f>
        <v/>
      </c>
      <c r="N62" s="71" t="str">
        <f>IF(AND(D62="proMX",AB62=1),ROUND(AG62/CFG_BLK,2),"")</f>
        <v/>
      </c>
      <c r="O62" s="77" t="str">
        <f>IF(D62="proMX",IF(BD62=1,ROUND(AG62/60,4),0),"")</f>
        <v/>
      </c>
      <c r="P62" s="78" t="str">
        <f>IF(Y62=0,"",IF(BD62=1,"OK",IF(D62="proMX","Revisar bloques: ","Revisar: ")&amp;BC62))</f>
        <v/>
      </c>
      <c r="Q62" s="78" t="str">
        <f>IF(NOT(ISNUMBER(B62)),"",IF(COUNTIFS(FER_F,INT(B62))&gt;0,"Feriado"&amp;IF(AH62=1," (laborable)"," (no laborable)"),IF(AH62=1,"Laborable",IF(WEEKDAY(B62,2)&gt;5,"Fin de semana","No laborable"))))</f>
        <v/>
      </c>
      <c r="R62" s="73" t="n"/>
      <c r="S62" s="72" t="n"/>
      <c r="T62" s="72" t="n"/>
      <c r="U62" s="74" t="n"/>
      <c r="V62" s="79" t="str">
        <f>IF(AND(D62="proMX",OR(R62="Submitted",R62="Recall Requested"),ISNUMBER(S62)),CFG_TODAY-INT(S62),"")</f>
        <v/>
      </c>
      <c r="W62" s="78" t="str">
        <f>IF(BD62=0,"",IF(BA62&gt;0,"⚠ Se superpone con un registro de la otra empresa",IF(D62="Malcolm",IF(COUNTA(R62,S62,T62)&gt;0,"Estado/fechas proMX se ignoran en Malcolm",""),IF(BF62="Cancelled","Cancelado: excluido de totales",IF(R62="","Sin estado: se trata como Draft",IF(BF62="Submitted",IF(ISNUMBER(V62),IF(V62&gt;CFG_MAXD,"⚠ "&amp;V62&amp;" días en Submitted (máx. "&amp;CFG_MAXD&amp;")",""),"Falta fecha de envío"),IF(BF62="Returned","⚠ Devuelto: corregir y reenviar",IF(BF62="Recall Requested","Retirada solicitada: pendiente",IF(AND(BF62="Approved",NOT(ISNUMBER(T62))),"Falta fecha de aprobación",IF(AND(ISNUMBER(S62),ISNUMBER(T62),T62&lt;S62),"Aprobación anterior al envío","")))))))))</f>
        <v/>
      </c>
      <c r="Y62" s="80">
        <f>IF(COUNTA(B62,D62,E62,F62,G62,H62,I62,J62,R62,S62,T62)&gt;0,1,0)</f>
        <v>0</v>
      </c>
      <c r="Z62" s="80" t="str">
        <f>IF(AND(ISNUMBER(H62),H62&gt;=0,H62&lt;1),ROUND(H62*1440,0),"")</f>
        <v/>
      </c>
      <c r="AA62" s="80" t="str">
        <f>IF(AND(ISNUMBER(I62),I62&gt;=0,I62&lt;1),ROUND(I62*1440,0),"")</f>
        <v/>
      </c>
      <c r="AB62" s="80">
        <f>IF(AND(ISNUMBER(B62),D62&lt;&gt;"",ISNUMBER(Z62),ISNUMBER(AA62)),IF(Z62=AA62,0,1),0)</f>
        <v>0</v>
      </c>
      <c r="AC62" s="80">
        <f>IF(AB62=1,IF(AA62&lt;Z62,1,0),0)</f>
        <v>0</v>
      </c>
      <c r="AD62" s="80">
        <f>IF(AB62=1,IF(AC62=1,1440-Z62+AA62,AA62-Z62),0)</f>
        <v>0</v>
      </c>
      <c r="AE62" s="80">
        <f>IF(J62="",0,IF(ISNUMBER(J62),J62,-1))</f>
        <v>0</v>
      </c>
      <c r="AF62" s="80">
        <f>MIN(MAX(0,AE62),AD62)</f>
        <v>0</v>
      </c>
      <c r="AG62" s="80">
        <f>MAX(0,AD62-MAX(0,AE62))</f>
        <v>0</v>
      </c>
      <c r="AH62" s="80">
        <f>IF(ISNUMBER(B62),IF(AND(INDEX(CFG_WDAYS,WEEKDAY(INT(B62),2))="Sí",IF(D62="proMX",COUNTIFS(FER_F,INT(B62),FER_NLP,"Sí"),COUNTIFS(FER_F,INT(B62),FER_NLM,"Sí"))=0),1,0),0)</f>
        <v>0</v>
      </c>
      <c r="AI62" s="80">
        <f>IF(AC62=1,IF(AND(INDEX(CFG_WDAYS,WEEKDAY(INT(B62)+1,2))="Sí",IF(D62="proMX",COUNTIFS(FER_F,INT(B62)+1,FER_NLP,"Sí"),COUNTIFS(FER_F,INT(B62)+1,FER_NLM,"Sí"))=0),1,0),0)</f>
        <v>0</v>
      </c>
      <c r="AJ62" s="80">
        <f>IF(AC62=1,1440-Z62,AD62)</f>
        <v>0</v>
      </c>
      <c r="AK62" s="80">
        <f>IF(AND(AB62=1,AH62=1),MAX(0,MIN(IF(AC62=1,1440,AA62),CFG_WEM)-MAX(Z62,CFG_WSM)),0)</f>
        <v>0</v>
      </c>
      <c r="AL62" s="80">
        <f>IF(AND(AC62=1,AI62=1),MAX(0,MIN(AA62,CFG_WEM)-CFG_WSM),0)</f>
        <v>0</v>
      </c>
      <c r="AM62" s="80">
        <f>AK62+AL62</f>
        <v>0</v>
      </c>
      <c r="AN62" s="80">
        <f>IF(CFG_BRK="Proporcional",IF(AD62=0,0,AF62*AM62/AD62),IF(CFG_BRK="Extras primero",MIN(AM62,MAX(0,AF62-(AD62-AM62))),MIN(AF62,AM62)))</f>
        <v>0</v>
      </c>
      <c r="AO62" s="80">
        <f>AF62-AN62</f>
        <v>0</v>
      </c>
      <c r="AP62" s="80">
        <f>AM62-AN62</f>
        <v>0</v>
      </c>
      <c r="AQ62" s="80">
        <f>AD62-AM62-AO62</f>
        <v>0</v>
      </c>
      <c r="AR62" s="80">
        <f>IF(AM62=0,0,AK62-AN62*AK62/AM62)</f>
        <v>0</v>
      </c>
      <c r="AS62" s="80">
        <f>IF(AD62-AM62=0,0,(AJ62-AK62)-AO62*(AJ62-AK62)/(AD62-AM62))</f>
        <v>0</v>
      </c>
      <c r="AT62" s="80" t="str">
        <f>IF(AC62=1,INT(B62)+1,"")</f>
        <v/>
      </c>
      <c r="AU62" s="80">
        <f>IF(AND(D62="proMX",R62="Cancelled"),0,1)</f>
        <v>1</v>
      </c>
      <c r="AV62" s="80">
        <f>IF(AND(AB62=1,AU62=1),IF(COUNTIFS($D$5:D61,D62,$B$5:B61,B62,$Z$5:Z61,Z62,$AA$5:AA61,AA62,$F$5:F61,F62&amp;"",$AU$5:AU61,1)&gt;0,1,0),0)</f>
        <v>0</v>
      </c>
      <c r="AW62" s="80" t="str">
        <f>IF(AB62=1,INT(B62)*1440+Z62,"")</f>
        <v/>
      </c>
      <c r="AX62" s="80" t="str">
        <f>IF(AB62=1,AW62+AD62,"")</f>
        <v/>
      </c>
      <c r="AY62" s="80">
        <f>IF(AND(AB62=1,AV62=0,AU62=1),1,0)</f>
        <v>0</v>
      </c>
      <c r="AZ62" s="80">
        <f>IF(AY62=1,COUNTIFS(R_Emp,D62,R_SAbs,"&lt;"&amp;AX62,R_EAbs,"&gt;"&amp;AW62,R_OKey,1)-1,0)</f>
        <v>0</v>
      </c>
      <c r="BA62" s="80">
        <f>IF(AY62=1,COUNTIFS(R_Emp,"&lt;&gt;"&amp;D62,R_SAbs,"&lt;"&amp;AX62,R_EAbs,"&gt;"&amp;AW62,R_OKey,1),0)</f>
        <v>0</v>
      </c>
      <c r="BB62" s="80">
        <f>IF(AND(AB62=1,D62="proMX"),IF(AND(MOD(Z62,CFG_BLK)=0,MOD(AA62,CFG_BLK)=0,MOD(AG62,CFG_BLK)=0,AG62&gt;0),1,0),1)</f>
        <v>1</v>
      </c>
      <c r="BC62" s="80" t="str">
        <f>IF(Y62=0,"",IF(NOT(ISNUMBER(B62)),"Falta fecha o fecha inválida",IF(D62="","Falta empresa",IF(AND(D62&lt;&gt;"Malcolm",D62&lt;&gt;"proMX"),"Empresa inválida",IF(OR(INT(B62)&lt;CFG_PSTART,INT(B62)&gt;CFG_PEND),"Fecha fuera del período",IF(OR(NOT(ISNUMBER(Z62)),NOT(ISNUMBER(AA62))),"Falta hora inicio/fin o formato inválido",IF(AB62=0,"Hora inicio = hora fin",IF(AE62&lt;0,"Descanso inválido",IF(AE62&gt;=AD62,"Descanso ≥ duración",IF(AV62=1,"Registro duplicado",IF(AZ62&gt;0,"Se superpone con otro registro "&amp;D62,IF(BB62=0,"inicio, fin y duración neta deben ser múltiplos de "&amp;CFG_BLK&amp;" min",""))))))))))))</f>
        <v/>
      </c>
      <c r="BD62" s="80">
        <f>IF(AND(Y62=1,BC62=""),1,0)</f>
        <v>0</v>
      </c>
      <c r="BE62" s="80">
        <f>IF(AND(BD62=1,AU62=1),1,0)</f>
        <v>0</v>
      </c>
      <c r="BF62" s="80" t="str">
        <f>IF(AND(D62="proMX",BD62=1),IF(R62="","Draft",R62),"")</f>
        <v/>
      </c>
      <c r="BG62" s="80">
        <f>IF(BD62=1,ROUND(AG62/60,6),0)</f>
        <v>0</v>
      </c>
      <c r="BH62" s="80">
        <f>IF(BE62=1,ROUND(AG62/60,6),0)</f>
        <v>0</v>
      </c>
      <c r="BI62" s="80">
        <f>IF(BE62=1,ROUND(AP62/60,6),0)</f>
        <v>0</v>
      </c>
      <c r="BJ62" s="80">
        <f>IF(BE62=1,ROUND(AQ62/60,6),0)</f>
        <v>0</v>
      </c>
      <c r="BK62" s="80">
        <f>IF(BE62=1,ROUND((AR62+AS62)/60,6),0)</f>
        <v>0</v>
      </c>
      <c r="BL62" s="80">
        <f>ROUND(BH62-BK62,6)</f>
        <v>0</v>
      </c>
      <c r="BM62" s="80">
        <f>IF(BE62=1,ROUND(AR62/60,6),0)</f>
        <v>0</v>
      </c>
      <c r="BN62" s="80">
        <f>ROUND(BI62-BM62,6)</f>
        <v>0</v>
      </c>
      <c r="BO62" s="80">
        <f>IF(BE62=1,ROUND(AS62/60,6),0)</f>
        <v>0</v>
      </c>
      <c r="BP62" s="80">
        <f>ROUND(BJ62-BO62,6)</f>
        <v>0</v>
      </c>
      <c r="BQ62" s="80">
        <f>IF(BE62=1,AW62,0)</f>
        <v>0</v>
      </c>
      <c r="BR62" s="80">
        <f>IF(BE62=1,AX62,0)</f>
        <v>0</v>
      </c>
      <c r="BS62" s="80">
        <f>IF(AND(BE62=1,D62="Malcolm",BA62&gt;0),MIN(BH62,SUMPRODUCT((R_Emp="proMX")*(R_EN&gt;0)*((R_EN-(R_EN&gt;BR62)*(R_EN-BR62))&gt;(R_SN+(R_SN&lt;BQ62)*(BQ62-R_SN)))*((R_EN-(R_EN&gt;BR62)*(R_EN-BR62))-(R_SN+(R_SN&lt;BQ62)*(BQ62-R_SN))))/60),0)</f>
        <v>0</v>
      </c>
      <c r="BT62" s="80">
        <f>IF(AND(BE62=1,D62="proMX"),ROUND(BI62*CFG_RATE+BJ62*CFG_OTRATE,6),0)</f>
        <v>0</v>
      </c>
      <c r="BU62" s="80">
        <f>IF(AND(BD62=1,D62="proMX"),ROUND(AG62/CFG_BLK,6),0)</f>
        <v>0</v>
      </c>
      <c r="BV62" s="80" t="str">
        <f>IF(BF62="Approved",IF(ISNUMBER(T62),INT(T62),INT(B62)),"")</f>
        <v/>
      </c>
      <c r="BW62" s="80">
        <f>IF(ISNUMBER(B62),IF(DB_MON="Todos",1,IF(AND(INT(B62)&gt;=DB_MS,INT(B62)&lt;=DB_ME),1,0)),0)</f>
        <v>0</v>
      </c>
      <c r="BX62" s="80">
        <f>IF(DB_PROJ="Todos",1,IF(E62&amp;""=DB_PROJ&amp;"",1,0))</f>
        <v>1</v>
      </c>
      <c r="BY62" s="80">
        <f>BW62*BX62</f>
        <v>0</v>
      </c>
      <c r="BZ62" s="80" t="str">
        <f>IF(Y62=1,F62&amp;IF(AND(F62&amp;""&lt;&gt;"",E62&amp;""&lt;&gt;"")," · ","")&amp;E62,"")</f>
        <v/>
      </c>
      <c r="CA62" s="80" t="str">
        <f>IF(AND(BD62=1,E62&amp;""&lt;&gt;""),IF(COUNTIFS($E$5:E61,E62,$BD$5:BD61,1)=0,MAX($CA$5:CA61)+1,""),"")</f>
        <v/>
      </c>
      <c r="CB62" s="80" t="str">
        <f>IF(AND(BE62=1,D62="Malcolm",E62&amp;""&lt;&gt;""),IF(COUNTIFS($D$5:D61,"Malcolm",$E$5:E61,E62,$BE$5:BE61,1)=0,MAX($CB$5:CB61)+1,""),"")</f>
        <v/>
      </c>
      <c r="CC62" s="80" t="str">
        <f>IF(AND(BD62=1,D62="proMX",E62&amp;""&lt;&gt;""),IF(COUNTIFS($D$5:D61,"proMX",$E$5:E61,E62,$BD$5:BD61,1)=0,MAX($CC$5:CC61)+1,""),"")</f>
        <v/>
      </c>
      <c r="CD62" s="80" t="str">
        <f>IF(AND(BE62=1,D62="Malcolm",F62&amp;""&lt;&gt;""),IF(COUNTIFS($D$5:D61,"Malcolm",$F$5:F61,F62,$BE$5:BE61,1)=0,MAX($CD$5:CD61)+1,""),"")</f>
        <v/>
      </c>
      <c r="CE62" s="80" t="str">
        <f>IF(AND(BD62=1,D62="proMX",F62&amp;""&lt;&gt;""),IF(COUNTIFS($D$5:D61,"proMX",$F$5:F61,F62,$BD$5:BD61,1)=0,MAX($CE$5:CE61)+1,""),"")</f>
        <v/>
      </c>
      <c r="CF62" s="80" t="str">
        <f>IF(AND(D62="proMX",BD62=1),IF(OR(BF62="Draft",BF62="Submitted",BF62="Returned",BF62="Recall Requested"),MAX($CF$5:CF61)+1,""),"")</f>
        <v/>
      </c>
      <c r="CG62" s="80">
        <f>IF(BD62=0,0,IF(D62="Malcolm",1,MATCH(BF62,{"Draft","Submitted","Approved","Returned","Recall Requested","Cancelled"},0)+1))</f>
        <v>0</v>
      </c>
      <c r="CH62" s="80">
        <f>IF(AND(BF62="Submitted",ISNUMBER(V62)),IF(V62&gt;CFG_MAXD,1,0),0)</f>
        <v>0</v>
      </c>
    </row>
    <row r="63">
      <c r="A63" s="71" t="str">
        <f>IF(Y63=1,ROW()-5,"")</f>
        <v/>
      </c>
      <c r="B63" s="72" t="n"/>
      <c r="C63" s="71" t="str">
        <f>IF(ISNUMBER(B63),CHOOSE(WEEKDAY(B63,2),"Lun","Mar","Mié","Jue","Vie","Sáb","Dom"),"")</f>
        <v/>
      </c>
      <c r="D63" s="73" t="n"/>
      <c r="E63" s="74" t="n"/>
      <c r="F63" s="74" t="n"/>
      <c r="G63" s="74" t="n"/>
      <c r="H63" s="75" t="n"/>
      <c r="I63" s="75" t="n"/>
      <c r="J63" s="76" t="n"/>
      <c r="K63" s="77" t="str">
        <f>IF(AB63=1,ROUND(AG63/60,4),"")</f>
        <v/>
      </c>
      <c r="L63" s="77" t="str">
        <f>IF(BD63=1,ROUND(AP63/60,4),"")</f>
        <v/>
      </c>
      <c r="M63" s="77" t="str">
        <f>IF(BD63=1,ROUND(AQ63/60,4),"")</f>
        <v/>
      </c>
      <c r="N63" s="71" t="str">
        <f>IF(AND(D63="proMX",AB63=1),ROUND(AG63/CFG_BLK,2),"")</f>
        <v/>
      </c>
      <c r="O63" s="77" t="str">
        <f>IF(D63="proMX",IF(BD63=1,ROUND(AG63/60,4),0),"")</f>
        <v/>
      </c>
      <c r="P63" s="78" t="str">
        <f>IF(Y63=0,"",IF(BD63=1,"OK",IF(D63="proMX","Revisar bloques: ","Revisar: ")&amp;BC63))</f>
        <v/>
      </c>
      <c r="Q63" s="78" t="str">
        <f>IF(NOT(ISNUMBER(B63)),"",IF(COUNTIFS(FER_F,INT(B63))&gt;0,"Feriado"&amp;IF(AH63=1," (laborable)"," (no laborable)"),IF(AH63=1,"Laborable",IF(WEEKDAY(B63,2)&gt;5,"Fin de semana","No laborable"))))</f>
        <v/>
      </c>
      <c r="R63" s="73" t="n"/>
      <c r="S63" s="72" t="n"/>
      <c r="T63" s="72" t="n"/>
      <c r="U63" s="74" t="n"/>
      <c r="V63" s="79" t="str">
        <f>IF(AND(D63="proMX",OR(R63="Submitted",R63="Recall Requested"),ISNUMBER(S63)),CFG_TODAY-INT(S63),"")</f>
        <v/>
      </c>
      <c r="W63" s="78" t="str">
        <f>IF(BD63=0,"",IF(BA63&gt;0,"⚠ Se superpone con un registro de la otra empresa",IF(D63="Malcolm",IF(COUNTA(R63,S63,T63)&gt;0,"Estado/fechas proMX se ignoran en Malcolm",""),IF(BF63="Cancelled","Cancelado: excluido de totales",IF(R63="","Sin estado: se trata como Draft",IF(BF63="Submitted",IF(ISNUMBER(V63),IF(V63&gt;CFG_MAXD,"⚠ "&amp;V63&amp;" días en Submitted (máx. "&amp;CFG_MAXD&amp;")",""),"Falta fecha de envío"),IF(BF63="Returned","⚠ Devuelto: corregir y reenviar",IF(BF63="Recall Requested","Retirada solicitada: pendiente",IF(AND(BF63="Approved",NOT(ISNUMBER(T63))),"Falta fecha de aprobación",IF(AND(ISNUMBER(S63),ISNUMBER(T63),T63&lt;S63),"Aprobación anterior al envío","")))))))))</f>
        <v/>
      </c>
      <c r="Y63" s="80">
        <f>IF(COUNTA(B63,D63,E63,F63,G63,H63,I63,J63,R63,S63,T63)&gt;0,1,0)</f>
        <v>0</v>
      </c>
      <c r="Z63" s="80" t="str">
        <f>IF(AND(ISNUMBER(H63),H63&gt;=0,H63&lt;1),ROUND(H63*1440,0),"")</f>
        <v/>
      </c>
      <c r="AA63" s="80" t="str">
        <f>IF(AND(ISNUMBER(I63),I63&gt;=0,I63&lt;1),ROUND(I63*1440,0),"")</f>
        <v/>
      </c>
      <c r="AB63" s="80">
        <f>IF(AND(ISNUMBER(B63),D63&lt;&gt;"",ISNUMBER(Z63),ISNUMBER(AA63)),IF(Z63=AA63,0,1),0)</f>
        <v>0</v>
      </c>
      <c r="AC63" s="80">
        <f>IF(AB63=1,IF(AA63&lt;Z63,1,0),0)</f>
        <v>0</v>
      </c>
      <c r="AD63" s="80">
        <f>IF(AB63=1,IF(AC63=1,1440-Z63+AA63,AA63-Z63),0)</f>
        <v>0</v>
      </c>
      <c r="AE63" s="80">
        <f>IF(J63="",0,IF(ISNUMBER(J63),J63,-1))</f>
        <v>0</v>
      </c>
      <c r="AF63" s="80">
        <f>MIN(MAX(0,AE63),AD63)</f>
        <v>0</v>
      </c>
      <c r="AG63" s="80">
        <f>MAX(0,AD63-MAX(0,AE63))</f>
        <v>0</v>
      </c>
      <c r="AH63" s="80">
        <f>IF(ISNUMBER(B63),IF(AND(INDEX(CFG_WDAYS,WEEKDAY(INT(B63),2))="Sí",IF(D63="proMX",COUNTIFS(FER_F,INT(B63),FER_NLP,"Sí"),COUNTIFS(FER_F,INT(B63),FER_NLM,"Sí"))=0),1,0),0)</f>
        <v>0</v>
      </c>
      <c r="AI63" s="80">
        <f>IF(AC63=1,IF(AND(INDEX(CFG_WDAYS,WEEKDAY(INT(B63)+1,2))="Sí",IF(D63="proMX",COUNTIFS(FER_F,INT(B63)+1,FER_NLP,"Sí"),COUNTIFS(FER_F,INT(B63)+1,FER_NLM,"Sí"))=0),1,0),0)</f>
        <v>0</v>
      </c>
      <c r="AJ63" s="80">
        <f>IF(AC63=1,1440-Z63,AD63)</f>
        <v>0</v>
      </c>
      <c r="AK63" s="80">
        <f>IF(AND(AB63=1,AH63=1),MAX(0,MIN(IF(AC63=1,1440,AA63),CFG_WEM)-MAX(Z63,CFG_WSM)),0)</f>
        <v>0</v>
      </c>
      <c r="AL63" s="80">
        <f>IF(AND(AC63=1,AI63=1),MAX(0,MIN(AA63,CFG_WEM)-CFG_WSM),0)</f>
        <v>0</v>
      </c>
      <c r="AM63" s="80">
        <f>AK63+AL63</f>
        <v>0</v>
      </c>
      <c r="AN63" s="80">
        <f>IF(CFG_BRK="Proporcional",IF(AD63=0,0,AF63*AM63/AD63),IF(CFG_BRK="Extras primero",MIN(AM63,MAX(0,AF63-(AD63-AM63))),MIN(AF63,AM63)))</f>
        <v>0</v>
      </c>
      <c r="AO63" s="80">
        <f>AF63-AN63</f>
        <v>0</v>
      </c>
      <c r="AP63" s="80">
        <f>AM63-AN63</f>
        <v>0</v>
      </c>
      <c r="AQ63" s="80">
        <f>AD63-AM63-AO63</f>
        <v>0</v>
      </c>
      <c r="AR63" s="80">
        <f>IF(AM63=0,0,AK63-AN63*AK63/AM63)</f>
        <v>0</v>
      </c>
      <c r="AS63" s="80">
        <f>IF(AD63-AM63=0,0,(AJ63-AK63)-AO63*(AJ63-AK63)/(AD63-AM63))</f>
        <v>0</v>
      </c>
      <c r="AT63" s="80" t="str">
        <f>IF(AC63=1,INT(B63)+1,"")</f>
        <v/>
      </c>
      <c r="AU63" s="80">
        <f>IF(AND(D63="proMX",R63="Cancelled"),0,1)</f>
        <v>1</v>
      </c>
      <c r="AV63" s="80">
        <f>IF(AND(AB63=1,AU63=1),IF(COUNTIFS($D$5:D62,D63,$B$5:B62,B63,$Z$5:Z62,Z63,$AA$5:AA62,AA63,$F$5:F62,F63&amp;"",$AU$5:AU62,1)&gt;0,1,0),0)</f>
        <v>0</v>
      </c>
      <c r="AW63" s="80" t="str">
        <f>IF(AB63=1,INT(B63)*1440+Z63,"")</f>
        <v/>
      </c>
      <c r="AX63" s="80" t="str">
        <f>IF(AB63=1,AW63+AD63,"")</f>
        <v/>
      </c>
      <c r="AY63" s="80">
        <f>IF(AND(AB63=1,AV63=0,AU63=1),1,0)</f>
        <v>0</v>
      </c>
      <c r="AZ63" s="80">
        <f>IF(AY63=1,COUNTIFS(R_Emp,D63,R_SAbs,"&lt;"&amp;AX63,R_EAbs,"&gt;"&amp;AW63,R_OKey,1)-1,0)</f>
        <v>0</v>
      </c>
      <c r="BA63" s="80">
        <f>IF(AY63=1,COUNTIFS(R_Emp,"&lt;&gt;"&amp;D63,R_SAbs,"&lt;"&amp;AX63,R_EAbs,"&gt;"&amp;AW63,R_OKey,1),0)</f>
        <v>0</v>
      </c>
      <c r="BB63" s="80">
        <f>IF(AND(AB63=1,D63="proMX"),IF(AND(MOD(Z63,CFG_BLK)=0,MOD(AA63,CFG_BLK)=0,MOD(AG63,CFG_BLK)=0,AG63&gt;0),1,0),1)</f>
        <v>1</v>
      </c>
      <c r="BC63" s="80" t="str">
        <f>IF(Y63=0,"",IF(NOT(ISNUMBER(B63)),"Falta fecha o fecha inválida",IF(D63="","Falta empresa",IF(AND(D63&lt;&gt;"Malcolm",D63&lt;&gt;"proMX"),"Empresa inválida",IF(OR(INT(B63)&lt;CFG_PSTART,INT(B63)&gt;CFG_PEND),"Fecha fuera del período",IF(OR(NOT(ISNUMBER(Z63)),NOT(ISNUMBER(AA63))),"Falta hora inicio/fin o formato inválido",IF(AB63=0,"Hora inicio = hora fin",IF(AE63&lt;0,"Descanso inválido",IF(AE63&gt;=AD63,"Descanso ≥ duración",IF(AV63=1,"Registro duplicado",IF(AZ63&gt;0,"Se superpone con otro registro "&amp;D63,IF(BB63=0,"inicio, fin y duración neta deben ser múltiplos de "&amp;CFG_BLK&amp;" min",""))))))))))))</f>
        <v/>
      </c>
      <c r="BD63" s="80">
        <f>IF(AND(Y63=1,BC63=""),1,0)</f>
        <v>0</v>
      </c>
      <c r="BE63" s="80">
        <f>IF(AND(BD63=1,AU63=1),1,0)</f>
        <v>0</v>
      </c>
      <c r="BF63" s="80" t="str">
        <f>IF(AND(D63="proMX",BD63=1),IF(R63="","Draft",R63),"")</f>
        <v/>
      </c>
      <c r="BG63" s="80">
        <f>IF(BD63=1,ROUND(AG63/60,6),0)</f>
        <v>0</v>
      </c>
      <c r="BH63" s="80">
        <f>IF(BE63=1,ROUND(AG63/60,6),0)</f>
        <v>0</v>
      </c>
      <c r="BI63" s="80">
        <f>IF(BE63=1,ROUND(AP63/60,6),0)</f>
        <v>0</v>
      </c>
      <c r="BJ63" s="80">
        <f>IF(BE63=1,ROUND(AQ63/60,6),0)</f>
        <v>0</v>
      </c>
      <c r="BK63" s="80">
        <f>IF(BE63=1,ROUND((AR63+AS63)/60,6),0)</f>
        <v>0</v>
      </c>
      <c r="BL63" s="80">
        <f>ROUND(BH63-BK63,6)</f>
        <v>0</v>
      </c>
      <c r="BM63" s="80">
        <f>IF(BE63=1,ROUND(AR63/60,6),0)</f>
        <v>0</v>
      </c>
      <c r="BN63" s="80">
        <f>ROUND(BI63-BM63,6)</f>
        <v>0</v>
      </c>
      <c r="BO63" s="80">
        <f>IF(BE63=1,ROUND(AS63/60,6),0)</f>
        <v>0</v>
      </c>
      <c r="BP63" s="80">
        <f>ROUND(BJ63-BO63,6)</f>
        <v>0</v>
      </c>
      <c r="BQ63" s="80">
        <f>IF(BE63=1,AW63,0)</f>
        <v>0</v>
      </c>
      <c r="BR63" s="80">
        <f>IF(BE63=1,AX63,0)</f>
        <v>0</v>
      </c>
      <c r="BS63" s="80">
        <f>IF(AND(BE63=1,D63="Malcolm",BA63&gt;0),MIN(BH63,SUMPRODUCT((R_Emp="proMX")*(R_EN&gt;0)*((R_EN-(R_EN&gt;BR63)*(R_EN-BR63))&gt;(R_SN+(R_SN&lt;BQ63)*(BQ63-R_SN)))*((R_EN-(R_EN&gt;BR63)*(R_EN-BR63))-(R_SN+(R_SN&lt;BQ63)*(BQ63-R_SN))))/60),0)</f>
        <v>0</v>
      </c>
      <c r="BT63" s="80">
        <f>IF(AND(BE63=1,D63="proMX"),ROUND(BI63*CFG_RATE+BJ63*CFG_OTRATE,6),0)</f>
        <v>0</v>
      </c>
      <c r="BU63" s="80">
        <f>IF(AND(BD63=1,D63="proMX"),ROUND(AG63/CFG_BLK,6),0)</f>
        <v>0</v>
      </c>
      <c r="BV63" s="80" t="str">
        <f>IF(BF63="Approved",IF(ISNUMBER(T63),INT(T63),INT(B63)),"")</f>
        <v/>
      </c>
      <c r="BW63" s="80">
        <f>IF(ISNUMBER(B63),IF(DB_MON="Todos",1,IF(AND(INT(B63)&gt;=DB_MS,INT(B63)&lt;=DB_ME),1,0)),0)</f>
        <v>0</v>
      </c>
      <c r="BX63" s="80">
        <f>IF(DB_PROJ="Todos",1,IF(E63&amp;""=DB_PROJ&amp;"",1,0))</f>
        <v>1</v>
      </c>
      <c r="BY63" s="80">
        <f>BW63*BX63</f>
        <v>0</v>
      </c>
      <c r="BZ63" s="80" t="str">
        <f>IF(Y63=1,F63&amp;IF(AND(F63&amp;""&lt;&gt;"",E63&amp;""&lt;&gt;"")," · ","")&amp;E63,"")</f>
        <v/>
      </c>
      <c r="CA63" s="80" t="str">
        <f>IF(AND(BD63=1,E63&amp;""&lt;&gt;""),IF(COUNTIFS($E$5:E62,E63,$BD$5:BD62,1)=0,MAX($CA$5:CA62)+1,""),"")</f>
        <v/>
      </c>
      <c r="CB63" s="80" t="str">
        <f>IF(AND(BE63=1,D63="Malcolm",E63&amp;""&lt;&gt;""),IF(COUNTIFS($D$5:D62,"Malcolm",$E$5:E62,E63,$BE$5:BE62,1)=0,MAX($CB$5:CB62)+1,""),"")</f>
        <v/>
      </c>
      <c r="CC63" s="80" t="str">
        <f>IF(AND(BD63=1,D63="proMX",E63&amp;""&lt;&gt;""),IF(COUNTIFS($D$5:D62,"proMX",$E$5:E62,E63,$BD$5:BD62,1)=0,MAX($CC$5:CC62)+1,""),"")</f>
        <v/>
      </c>
      <c r="CD63" s="80" t="str">
        <f>IF(AND(BE63=1,D63="Malcolm",F63&amp;""&lt;&gt;""),IF(COUNTIFS($D$5:D62,"Malcolm",$F$5:F62,F63,$BE$5:BE62,1)=0,MAX($CD$5:CD62)+1,""),"")</f>
        <v/>
      </c>
      <c r="CE63" s="80" t="str">
        <f>IF(AND(BD63=1,D63="proMX",F63&amp;""&lt;&gt;""),IF(COUNTIFS($D$5:D62,"proMX",$F$5:F62,F63,$BD$5:BD62,1)=0,MAX($CE$5:CE62)+1,""),"")</f>
        <v/>
      </c>
      <c r="CF63" s="80" t="str">
        <f>IF(AND(D63="proMX",BD63=1),IF(OR(BF63="Draft",BF63="Submitted",BF63="Returned",BF63="Recall Requested"),MAX($CF$5:CF62)+1,""),"")</f>
        <v/>
      </c>
      <c r="CG63" s="80">
        <f>IF(BD63=0,0,IF(D63="Malcolm",1,MATCH(BF63,{"Draft","Submitted","Approved","Returned","Recall Requested","Cancelled"},0)+1))</f>
        <v>0</v>
      </c>
      <c r="CH63" s="80">
        <f>IF(AND(BF63="Submitted",ISNUMBER(V63)),IF(V63&gt;CFG_MAXD,1,0),0)</f>
        <v>0</v>
      </c>
    </row>
    <row r="64">
      <c r="A64" s="71" t="str">
        <f>IF(Y64=1,ROW()-5,"")</f>
        <v/>
      </c>
      <c r="B64" s="72" t="n"/>
      <c r="C64" s="71" t="str">
        <f>IF(ISNUMBER(B64),CHOOSE(WEEKDAY(B64,2),"Lun","Mar","Mié","Jue","Vie","Sáb","Dom"),"")</f>
        <v/>
      </c>
      <c r="D64" s="73" t="n"/>
      <c r="E64" s="74" t="n"/>
      <c r="F64" s="74" t="n"/>
      <c r="G64" s="74" t="n"/>
      <c r="H64" s="75" t="n"/>
      <c r="I64" s="75" t="n"/>
      <c r="J64" s="76" t="n"/>
      <c r="K64" s="77" t="str">
        <f>IF(AB64=1,ROUND(AG64/60,4),"")</f>
        <v/>
      </c>
      <c r="L64" s="77" t="str">
        <f>IF(BD64=1,ROUND(AP64/60,4),"")</f>
        <v/>
      </c>
      <c r="M64" s="77" t="str">
        <f>IF(BD64=1,ROUND(AQ64/60,4),"")</f>
        <v/>
      </c>
      <c r="N64" s="71" t="str">
        <f>IF(AND(D64="proMX",AB64=1),ROUND(AG64/CFG_BLK,2),"")</f>
        <v/>
      </c>
      <c r="O64" s="77" t="str">
        <f>IF(D64="proMX",IF(BD64=1,ROUND(AG64/60,4),0),"")</f>
        <v/>
      </c>
      <c r="P64" s="78" t="str">
        <f>IF(Y64=0,"",IF(BD64=1,"OK",IF(D64="proMX","Revisar bloques: ","Revisar: ")&amp;BC64))</f>
        <v/>
      </c>
      <c r="Q64" s="78" t="str">
        <f>IF(NOT(ISNUMBER(B64)),"",IF(COUNTIFS(FER_F,INT(B64))&gt;0,"Feriado"&amp;IF(AH64=1," (laborable)"," (no laborable)"),IF(AH64=1,"Laborable",IF(WEEKDAY(B64,2)&gt;5,"Fin de semana","No laborable"))))</f>
        <v/>
      </c>
      <c r="R64" s="73" t="n"/>
      <c r="S64" s="72" t="n"/>
      <c r="T64" s="72" t="n"/>
      <c r="U64" s="74" t="n"/>
      <c r="V64" s="79" t="str">
        <f>IF(AND(D64="proMX",OR(R64="Submitted",R64="Recall Requested"),ISNUMBER(S64)),CFG_TODAY-INT(S64),"")</f>
        <v/>
      </c>
      <c r="W64" s="78" t="str">
        <f>IF(BD64=0,"",IF(BA64&gt;0,"⚠ Se superpone con un registro de la otra empresa",IF(D64="Malcolm",IF(COUNTA(R64,S64,T64)&gt;0,"Estado/fechas proMX se ignoran en Malcolm",""),IF(BF64="Cancelled","Cancelado: excluido de totales",IF(R64="","Sin estado: se trata como Draft",IF(BF64="Submitted",IF(ISNUMBER(V64),IF(V64&gt;CFG_MAXD,"⚠ "&amp;V64&amp;" días en Submitted (máx. "&amp;CFG_MAXD&amp;")",""),"Falta fecha de envío"),IF(BF64="Returned","⚠ Devuelto: corregir y reenviar",IF(BF64="Recall Requested","Retirada solicitada: pendiente",IF(AND(BF64="Approved",NOT(ISNUMBER(T64))),"Falta fecha de aprobación",IF(AND(ISNUMBER(S64),ISNUMBER(T64),T64&lt;S64),"Aprobación anterior al envío","")))))))))</f>
        <v/>
      </c>
      <c r="Y64" s="80">
        <f>IF(COUNTA(B64,D64,E64,F64,G64,H64,I64,J64,R64,S64,T64)&gt;0,1,0)</f>
        <v>0</v>
      </c>
      <c r="Z64" s="80" t="str">
        <f>IF(AND(ISNUMBER(H64),H64&gt;=0,H64&lt;1),ROUND(H64*1440,0),"")</f>
        <v/>
      </c>
      <c r="AA64" s="80" t="str">
        <f>IF(AND(ISNUMBER(I64),I64&gt;=0,I64&lt;1),ROUND(I64*1440,0),"")</f>
        <v/>
      </c>
      <c r="AB64" s="80">
        <f>IF(AND(ISNUMBER(B64),D64&lt;&gt;"",ISNUMBER(Z64),ISNUMBER(AA64)),IF(Z64=AA64,0,1),0)</f>
        <v>0</v>
      </c>
      <c r="AC64" s="80">
        <f>IF(AB64=1,IF(AA64&lt;Z64,1,0),0)</f>
        <v>0</v>
      </c>
      <c r="AD64" s="80">
        <f>IF(AB64=1,IF(AC64=1,1440-Z64+AA64,AA64-Z64),0)</f>
        <v>0</v>
      </c>
      <c r="AE64" s="80">
        <f>IF(J64="",0,IF(ISNUMBER(J64),J64,-1))</f>
        <v>0</v>
      </c>
      <c r="AF64" s="80">
        <f>MIN(MAX(0,AE64),AD64)</f>
        <v>0</v>
      </c>
      <c r="AG64" s="80">
        <f>MAX(0,AD64-MAX(0,AE64))</f>
        <v>0</v>
      </c>
      <c r="AH64" s="80">
        <f>IF(ISNUMBER(B64),IF(AND(INDEX(CFG_WDAYS,WEEKDAY(INT(B64),2))="Sí",IF(D64="proMX",COUNTIFS(FER_F,INT(B64),FER_NLP,"Sí"),COUNTIFS(FER_F,INT(B64),FER_NLM,"Sí"))=0),1,0),0)</f>
        <v>0</v>
      </c>
      <c r="AI64" s="80">
        <f>IF(AC64=1,IF(AND(INDEX(CFG_WDAYS,WEEKDAY(INT(B64)+1,2))="Sí",IF(D64="proMX",COUNTIFS(FER_F,INT(B64)+1,FER_NLP,"Sí"),COUNTIFS(FER_F,INT(B64)+1,FER_NLM,"Sí"))=0),1,0),0)</f>
        <v>0</v>
      </c>
      <c r="AJ64" s="80">
        <f>IF(AC64=1,1440-Z64,AD64)</f>
        <v>0</v>
      </c>
      <c r="AK64" s="80">
        <f>IF(AND(AB64=1,AH64=1),MAX(0,MIN(IF(AC64=1,1440,AA64),CFG_WEM)-MAX(Z64,CFG_WSM)),0)</f>
        <v>0</v>
      </c>
      <c r="AL64" s="80">
        <f>IF(AND(AC64=1,AI64=1),MAX(0,MIN(AA64,CFG_WEM)-CFG_WSM),0)</f>
        <v>0</v>
      </c>
      <c r="AM64" s="80">
        <f>AK64+AL64</f>
        <v>0</v>
      </c>
      <c r="AN64" s="80">
        <f>IF(CFG_BRK="Proporcional",IF(AD64=0,0,AF64*AM64/AD64),IF(CFG_BRK="Extras primero",MIN(AM64,MAX(0,AF64-(AD64-AM64))),MIN(AF64,AM64)))</f>
        <v>0</v>
      </c>
      <c r="AO64" s="80">
        <f>AF64-AN64</f>
        <v>0</v>
      </c>
      <c r="AP64" s="80">
        <f>AM64-AN64</f>
        <v>0</v>
      </c>
      <c r="AQ64" s="80">
        <f>AD64-AM64-AO64</f>
        <v>0</v>
      </c>
      <c r="AR64" s="80">
        <f>IF(AM64=0,0,AK64-AN64*AK64/AM64)</f>
        <v>0</v>
      </c>
      <c r="AS64" s="80">
        <f>IF(AD64-AM64=0,0,(AJ64-AK64)-AO64*(AJ64-AK64)/(AD64-AM64))</f>
        <v>0</v>
      </c>
      <c r="AT64" s="80" t="str">
        <f>IF(AC64=1,INT(B64)+1,"")</f>
        <v/>
      </c>
      <c r="AU64" s="80">
        <f>IF(AND(D64="proMX",R64="Cancelled"),0,1)</f>
        <v>1</v>
      </c>
      <c r="AV64" s="80">
        <f>IF(AND(AB64=1,AU64=1),IF(COUNTIFS($D$5:D63,D64,$B$5:B63,B64,$Z$5:Z63,Z64,$AA$5:AA63,AA64,$F$5:F63,F64&amp;"",$AU$5:AU63,1)&gt;0,1,0),0)</f>
        <v>0</v>
      </c>
      <c r="AW64" s="80" t="str">
        <f>IF(AB64=1,INT(B64)*1440+Z64,"")</f>
        <v/>
      </c>
      <c r="AX64" s="80" t="str">
        <f>IF(AB64=1,AW64+AD64,"")</f>
        <v/>
      </c>
      <c r="AY64" s="80">
        <f>IF(AND(AB64=1,AV64=0,AU64=1),1,0)</f>
        <v>0</v>
      </c>
      <c r="AZ64" s="80">
        <f>IF(AY64=1,COUNTIFS(R_Emp,D64,R_SAbs,"&lt;"&amp;AX64,R_EAbs,"&gt;"&amp;AW64,R_OKey,1)-1,0)</f>
        <v>0</v>
      </c>
      <c r="BA64" s="80">
        <f>IF(AY64=1,COUNTIFS(R_Emp,"&lt;&gt;"&amp;D64,R_SAbs,"&lt;"&amp;AX64,R_EAbs,"&gt;"&amp;AW64,R_OKey,1),0)</f>
        <v>0</v>
      </c>
      <c r="BB64" s="80">
        <f>IF(AND(AB64=1,D64="proMX"),IF(AND(MOD(Z64,CFG_BLK)=0,MOD(AA64,CFG_BLK)=0,MOD(AG64,CFG_BLK)=0,AG64&gt;0),1,0),1)</f>
        <v>1</v>
      </c>
      <c r="BC64" s="80" t="str">
        <f>IF(Y64=0,"",IF(NOT(ISNUMBER(B64)),"Falta fecha o fecha inválida",IF(D64="","Falta empresa",IF(AND(D64&lt;&gt;"Malcolm",D64&lt;&gt;"proMX"),"Empresa inválida",IF(OR(INT(B64)&lt;CFG_PSTART,INT(B64)&gt;CFG_PEND),"Fecha fuera del período",IF(OR(NOT(ISNUMBER(Z64)),NOT(ISNUMBER(AA64))),"Falta hora inicio/fin o formato inválido",IF(AB64=0,"Hora inicio = hora fin",IF(AE64&lt;0,"Descanso inválido",IF(AE64&gt;=AD64,"Descanso ≥ duración",IF(AV64=1,"Registro duplicado",IF(AZ64&gt;0,"Se superpone con otro registro "&amp;D64,IF(BB64=0,"inicio, fin y duración neta deben ser múltiplos de "&amp;CFG_BLK&amp;" min",""))))))))))))</f>
        <v/>
      </c>
      <c r="BD64" s="80">
        <f>IF(AND(Y64=1,BC64=""),1,0)</f>
        <v>0</v>
      </c>
      <c r="BE64" s="80">
        <f>IF(AND(BD64=1,AU64=1),1,0)</f>
        <v>0</v>
      </c>
      <c r="BF64" s="80" t="str">
        <f>IF(AND(D64="proMX",BD64=1),IF(R64="","Draft",R64),"")</f>
        <v/>
      </c>
      <c r="BG64" s="80">
        <f>IF(BD64=1,ROUND(AG64/60,6),0)</f>
        <v>0</v>
      </c>
      <c r="BH64" s="80">
        <f>IF(BE64=1,ROUND(AG64/60,6),0)</f>
        <v>0</v>
      </c>
      <c r="BI64" s="80">
        <f>IF(BE64=1,ROUND(AP64/60,6),0)</f>
        <v>0</v>
      </c>
      <c r="BJ64" s="80">
        <f>IF(BE64=1,ROUND(AQ64/60,6),0)</f>
        <v>0</v>
      </c>
      <c r="BK64" s="80">
        <f>IF(BE64=1,ROUND((AR64+AS64)/60,6),0)</f>
        <v>0</v>
      </c>
      <c r="BL64" s="80">
        <f>ROUND(BH64-BK64,6)</f>
        <v>0</v>
      </c>
      <c r="BM64" s="80">
        <f>IF(BE64=1,ROUND(AR64/60,6),0)</f>
        <v>0</v>
      </c>
      <c r="BN64" s="80">
        <f>ROUND(BI64-BM64,6)</f>
        <v>0</v>
      </c>
      <c r="BO64" s="80">
        <f>IF(BE64=1,ROUND(AS64/60,6),0)</f>
        <v>0</v>
      </c>
      <c r="BP64" s="80">
        <f>ROUND(BJ64-BO64,6)</f>
        <v>0</v>
      </c>
      <c r="BQ64" s="80">
        <f>IF(BE64=1,AW64,0)</f>
        <v>0</v>
      </c>
      <c r="BR64" s="80">
        <f>IF(BE64=1,AX64,0)</f>
        <v>0</v>
      </c>
      <c r="BS64" s="80">
        <f>IF(AND(BE64=1,D64="Malcolm",BA64&gt;0),MIN(BH64,SUMPRODUCT((R_Emp="proMX")*(R_EN&gt;0)*((R_EN-(R_EN&gt;BR64)*(R_EN-BR64))&gt;(R_SN+(R_SN&lt;BQ64)*(BQ64-R_SN)))*((R_EN-(R_EN&gt;BR64)*(R_EN-BR64))-(R_SN+(R_SN&lt;BQ64)*(BQ64-R_SN))))/60),0)</f>
        <v>0</v>
      </c>
      <c r="BT64" s="80">
        <f>IF(AND(BE64=1,D64="proMX"),ROUND(BI64*CFG_RATE+BJ64*CFG_OTRATE,6),0)</f>
        <v>0</v>
      </c>
      <c r="BU64" s="80">
        <f>IF(AND(BD64=1,D64="proMX"),ROUND(AG64/CFG_BLK,6),0)</f>
        <v>0</v>
      </c>
      <c r="BV64" s="80" t="str">
        <f>IF(BF64="Approved",IF(ISNUMBER(T64),INT(T64),INT(B64)),"")</f>
        <v/>
      </c>
      <c r="BW64" s="80">
        <f>IF(ISNUMBER(B64),IF(DB_MON="Todos",1,IF(AND(INT(B64)&gt;=DB_MS,INT(B64)&lt;=DB_ME),1,0)),0)</f>
        <v>0</v>
      </c>
      <c r="BX64" s="80">
        <f>IF(DB_PROJ="Todos",1,IF(E64&amp;""=DB_PROJ&amp;"",1,0))</f>
        <v>1</v>
      </c>
      <c r="BY64" s="80">
        <f>BW64*BX64</f>
        <v>0</v>
      </c>
      <c r="BZ64" s="80" t="str">
        <f>IF(Y64=1,F64&amp;IF(AND(F64&amp;""&lt;&gt;"",E64&amp;""&lt;&gt;"")," · ","")&amp;E64,"")</f>
        <v/>
      </c>
      <c r="CA64" s="80" t="str">
        <f>IF(AND(BD64=1,E64&amp;""&lt;&gt;""),IF(COUNTIFS($E$5:E63,E64,$BD$5:BD63,1)=0,MAX($CA$5:CA63)+1,""),"")</f>
        <v/>
      </c>
      <c r="CB64" s="80" t="str">
        <f>IF(AND(BE64=1,D64="Malcolm",E64&amp;""&lt;&gt;""),IF(COUNTIFS($D$5:D63,"Malcolm",$E$5:E63,E64,$BE$5:BE63,1)=0,MAX($CB$5:CB63)+1,""),"")</f>
        <v/>
      </c>
      <c r="CC64" s="80" t="str">
        <f>IF(AND(BD64=1,D64="proMX",E64&amp;""&lt;&gt;""),IF(COUNTIFS($D$5:D63,"proMX",$E$5:E63,E64,$BD$5:BD63,1)=0,MAX($CC$5:CC63)+1,""),"")</f>
        <v/>
      </c>
      <c r="CD64" s="80" t="str">
        <f>IF(AND(BE64=1,D64="Malcolm",F64&amp;""&lt;&gt;""),IF(COUNTIFS($D$5:D63,"Malcolm",$F$5:F63,F64,$BE$5:BE63,1)=0,MAX($CD$5:CD63)+1,""),"")</f>
        <v/>
      </c>
      <c r="CE64" s="80" t="str">
        <f>IF(AND(BD64=1,D64="proMX",F64&amp;""&lt;&gt;""),IF(COUNTIFS($D$5:D63,"proMX",$F$5:F63,F64,$BD$5:BD63,1)=0,MAX($CE$5:CE63)+1,""),"")</f>
        <v/>
      </c>
      <c r="CF64" s="80" t="str">
        <f>IF(AND(D64="proMX",BD64=1),IF(OR(BF64="Draft",BF64="Submitted",BF64="Returned",BF64="Recall Requested"),MAX($CF$5:CF63)+1,""),"")</f>
        <v/>
      </c>
      <c r="CG64" s="80">
        <f>IF(BD64=0,0,IF(D64="Malcolm",1,MATCH(BF64,{"Draft","Submitted","Approved","Returned","Recall Requested","Cancelled"},0)+1))</f>
        <v>0</v>
      </c>
      <c r="CH64" s="80">
        <f>IF(AND(BF64="Submitted",ISNUMBER(V64)),IF(V64&gt;CFG_MAXD,1,0),0)</f>
        <v>0</v>
      </c>
    </row>
    <row r="65">
      <c r="A65" s="71" t="str">
        <f>IF(Y65=1,ROW()-5,"")</f>
        <v/>
      </c>
      <c r="B65" s="72" t="n"/>
      <c r="C65" s="71" t="str">
        <f>IF(ISNUMBER(B65),CHOOSE(WEEKDAY(B65,2),"Lun","Mar","Mié","Jue","Vie","Sáb","Dom"),"")</f>
        <v/>
      </c>
      <c r="D65" s="73" t="n"/>
      <c r="E65" s="74" t="n"/>
      <c r="F65" s="74" t="n"/>
      <c r="G65" s="74" t="n"/>
      <c r="H65" s="75" t="n"/>
      <c r="I65" s="75" t="n"/>
      <c r="J65" s="76" t="n"/>
      <c r="K65" s="77" t="str">
        <f>IF(AB65=1,ROUND(AG65/60,4),"")</f>
        <v/>
      </c>
      <c r="L65" s="77" t="str">
        <f>IF(BD65=1,ROUND(AP65/60,4),"")</f>
        <v/>
      </c>
      <c r="M65" s="77" t="str">
        <f>IF(BD65=1,ROUND(AQ65/60,4),"")</f>
        <v/>
      </c>
      <c r="N65" s="71" t="str">
        <f>IF(AND(D65="proMX",AB65=1),ROUND(AG65/CFG_BLK,2),"")</f>
        <v/>
      </c>
      <c r="O65" s="77" t="str">
        <f>IF(D65="proMX",IF(BD65=1,ROUND(AG65/60,4),0),"")</f>
        <v/>
      </c>
      <c r="P65" s="78" t="str">
        <f>IF(Y65=0,"",IF(BD65=1,"OK",IF(D65="proMX","Revisar bloques: ","Revisar: ")&amp;BC65))</f>
        <v/>
      </c>
      <c r="Q65" s="78" t="str">
        <f>IF(NOT(ISNUMBER(B65)),"",IF(COUNTIFS(FER_F,INT(B65))&gt;0,"Feriado"&amp;IF(AH65=1," (laborable)"," (no laborable)"),IF(AH65=1,"Laborable",IF(WEEKDAY(B65,2)&gt;5,"Fin de semana","No laborable"))))</f>
        <v/>
      </c>
      <c r="R65" s="73" t="n"/>
      <c r="S65" s="72" t="n"/>
      <c r="T65" s="72" t="n"/>
      <c r="U65" s="74" t="n"/>
      <c r="V65" s="79" t="str">
        <f>IF(AND(D65="proMX",OR(R65="Submitted",R65="Recall Requested"),ISNUMBER(S65)),CFG_TODAY-INT(S65),"")</f>
        <v/>
      </c>
      <c r="W65" s="78" t="str">
        <f>IF(BD65=0,"",IF(BA65&gt;0,"⚠ Se superpone con un registro de la otra empresa",IF(D65="Malcolm",IF(COUNTA(R65,S65,T65)&gt;0,"Estado/fechas proMX se ignoran en Malcolm",""),IF(BF65="Cancelled","Cancelado: excluido de totales",IF(R65="","Sin estado: se trata como Draft",IF(BF65="Submitted",IF(ISNUMBER(V65),IF(V65&gt;CFG_MAXD,"⚠ "&amp;V65&amp;" días en Submitted (máx. "&amp;CFG_MAXD&amp;")",""),"Falta fecha de envío"),IF(BF65="Returned","⚠ Devuelto: corregir y reenviar",IF(BF65="Recall Requested","Retirada solicitada: pendiente",IF(AND(BF65="Approved",NOT(ISNUMBER(T65))),"Falta fecha de aprobación",IF(AND(ISNUMBER(S65),ISNUMBER(T65),T65&lt;S65),"Aprobación anterior al envío","")))))))))</f>
        <v/>
      </c>
      <c r="Y65" s="80">
        <f>IF(COUNTA(B65,D65,E65,F65,G65,H65,I65,J65,R65,S65,T65)&gt;0,1,0)</f>
        <v>0</v>
      </c>
      <c r="Z65" s="80" t="str">
        <f>IF(AND(ISNUMBER(H65),H65&gt;=0,H65&lt;1),ROUND(H65*1440,0),"")</f>
        <v/>
      </c>
      <c r="AA65" s="80" t="str">
        <f>IF(AND(ISNUMBER(I65),I65&gt;=0,I65&lt;1),ROUND(I65*1440,0),"")</f>
        <v/>
      </c>
      <c r="AB65" s="80">
        <f>IF(AND(ISNUMBER(B65),D65&lt;&gt;"",ISNUMBER(Z65),ISNUMBER(AA65)),IF(Z65=AA65,0,1),0)</f>
        <v>0</v>
      </c>
      <c r="AC65" s="80">
        <f>IF(AB65=1,IF(AA65&lt;Z65,1,0),0)</f>
        <v>0</v>
      </c>
      <c r="AD65" s="80">
        <f>IF(AB65=1,IF(AC65=1,1440-Z65+AA65,AA65-Z65),0)</f>
        <v>0</v>
      </c>
      <c r="AE65" s="80">
        <f>IF(J65="",0,IF(ISNUMBER(J65),J65,-1))</f>
        <v>0</v>
      </c>
      <c r="AF65" s="80">
        <f>MIN(MAX(0,AE65),AD65)</f>
        <v>0</v>
      </c>
      <c r="AG65" s="80">
        <f>MAX(0,AD65-MAX(0,AE65))</f>
        <v>0</v>
      </c>
      <c r="AH65" s="80">
        <f>IF(ISNUMBER(B65),IF(AND(INDEX(CFG_WDAYS,WEEKDAY(INT(B65),2))="Sí",IF(D65="proMX",COUNTIFS(FER_F,INT(B65),FER_NLP,"Sí"),COUNTIFS(FER_F,INT(B65),FER_NLM,"Sí"))=0),1,0),0)</f>
        <v>0</v>
      </c>
      <c r="AI65" s="80">
        <f>IF(AC65=1,IF(AND(INDEX(CFG_WDAYS,WEEKDAY(INT(B65)+1,2))="Sí",IF(D65="proMX",COUNTIFS(FER_F,INT(B65)+1,FER_NLP,"Sí"),COUNTIFS(FER_F,INT(B65)+1,FER_NLM,"Sí"))=0),1,0),0)</f>
        <v>0</v>
      </c>
      <c r="AJ65" s="80">
        <f>IF(AC65=1,1440-Z65,AD65)</f>
        <v>0</v>
      </c>
      <c r="AK65" s="80">
        <f>IF(AND(AB65=1,AH65=1),MAX(0,MIN(IF(AC65=1,1440,AA65),CFG_WEM)-MAX(Z65,CFG_WSM)),0)</f>
        <v>0</v>
      </c>
      <c r="AL65" s="80">
        <f>IF(AND(AC65=1,AI65=1),MAX(0,MIN(AA65,CFG_WEM)-CFG_WSM),0)</f>
        <v>0</v>
      </c>
      <c r="AM65" s="80">
        <f>AK65+AL65</f>
        <v>0</v>
      </c>
      <c r="AN65" s="80">
        <f>IF(CFG_BRK="Proporcional",IF(AD65=0,0,AF65*AM65/AD65),IF(CFG_BRK="Extras primero",MIN(AM65,MAX(0,AF65-(AD65-AM65))),MIN(AF65,AM65)))</f>
        <v>0</v>
      </c>
      <c r="AO65" s="80">
        <f>AF65-AN65</f>
        <v>0</v>
      </c>
      <c r="AP65" s="80">
        <f>AM65-AN65</f>
        <v>0</v>
      </c>
      <c r="AQ65" s="80">
        <f>AD65-AM65-AO65</f>
        <v>0</v>
      </c>
      <c r="AR65" s="80">
        <f>IF(AM65=0,0,AK65-AN65*AK65/AM65)</f>
        <v>0</v>
      </c>
      <c r="AS65" s="80">
        <f>IF(AD65-AM65=0,0,(AJ65-AK65)-AO65*(AJ65-AK65)/(AD65-AM65))</f>
        <v>0</v>
      </c>
      <c r="AT65" s="80" t="str">
        <f>IF(AC65=1,INT(B65)+1,"")</f>
        <v/>
      </c>
      <c r="AU65" s="80">
        <f>IF(AND(D65="proMX",R65="Cancelled"),0,1)</f>
        <v>1</v>
      </c>
      <c r="AV65" s="80">
        <f>IF(AND(AB65=1,AU65=1),IF(COUNTIFS($D$5:D64,D65,$B$5:B64,B65,$Z$5:Z64,Z65,$AA$5:AA64,AA65,$F$5:F64,F65&amp;"",$AU$5:AU64,1)&gt;0,1,0),0)</f>
        <v>0</v>
      </c>
      <c r="AW65" s="80" t="str">
        <f>IF(AB65=1,INT(B65)*1440+Z65,"")</f>
        <v/>
      </c>
      <c r="AX65" s="80" t="str">
        <f>IF(AB65=1,AW65+AD65,"")</f>
        <v/>
      </c>
      <c r="AY65" s="80">
        <f>IF(AND(AB65=1,AV65=0,AU65=1),1,0)</f>
        <v>0</v>
      </c>
      <c r="AZ65" s="80">
        <f>IF(AY65=1,COUNTIFS(R_Emp,D65,R_SAbs,"&lt;"&amp;AX65,R_EAbs,"&gt;"&amp;AW65,R_OKey,1)-1,0)</f>
        <v>0</v>
      </c>
      <c r="BA65" s="80">
        <f>IF(AY65=1,COUNTIFS(R_Emp,"&lt;&gt;"&amp;D65,R_SAbs,"&lt;"&amp;AX65,R_EAbs,"&gt;"&amp;AW65,R_OKey,1),0)</f>
        <v>0</v>
      </c>
      <c r="BB65" s="80">
        <f>IF(AND(AB65=1,D65="proMX"),IF(AND(MOD(Z65,CFG_BLK)=0,MOD(AA65,CFG_BLK)=0,MOD(AG65,CFG_BLK)=0,AG65&gt;0),1,0),1)</f>
        <v>1</v>
      </c>
      <c r="BC65" s="80" t="str">
        <f>IF(Y65=0,"",IF(NOT(ISNUMBER(B65)),"Falta fecha o fecha inválida",IF(D65="","Falta empresa",IF(AND(D65&lt;&gt;"Malcolm",D65&lt;&gt;"proMX"),"Empresa inválida",IF(OR(INT(B65)&lt;CFG_PSTART,INT(B65)&gt;CFG_PEND),"Fecha fuera del período",IF(OR(NOT(ISNUMBER(Z65)),NOT(ISNUMBER(AA65))),"Falta hora inicio/fin o formato inválido",IF(AB65=0,"Hora inicio = hora fin",IF(AE65&lt;0,"Descanso inválido",IF(AE65&gt;=AD65,"Descanso ≥ duración",IF(AV65=1,"Registro duplicado",IF(AZ65&gt;0,"Se superpone con otro registro "&amp;D65,IF(BB65=0,"inicio, fin y duración neta deben ser múltiplos de "&amp;CFG_BLK&amp;" min",""))))))))))))</f>
        <v/>
      </c>
      <c r="BD65" s="80">
        <f>IF(AND(Y65=1,BC65=""),1,0)</f>
        <v>0</v>
      </c>
      <c r="BE65" s="80">
        <f>IF(AND(BD65=1,AU65=1),1,0)</f>
        <v>0</v>
      </c>
      <c r="BF65" s="80" t="str">
        <f>IF(AND(D65="proMX",BD65=1),IF(R65="","Draft",R65),"")</f>
        <v/>
      </c>
      <c r="BG65" s="80">
        <f>IF(BD65=1,ROUND(AG65/60,6),0)</f>
        <v>0</v>
      </c>
      <c r="BH65" s="80">
        <f>IF(BE65=1,ROUND(AG65/60,6),0)</f>
        <v>0</v>
      </c>
      <c r="BI65" s="80">
        <f>IF(BE65=1,ROUND(AP65/60,6),0)</f>
        <v>0</v>
      </c>
      <c r="BJ65" s="80">
        <f>IF(BE65=1,ROUND(AQ65/60,6),0)</f>
        <v>0</v>
      </c>
      <c r="BK65" s="80">
        <f>IF(BE65=1,ROUND((AR65+AS65)/60,6),0)</f>
        <v>0</v>
      </c>
      <c r="BL65" s="80">
        <f>ROUND(BH65-BK65,6)</f>
        <v>0</v>
      </c>
      <c r="BM65" s="80">
        <f>IF(BE65=1,ROUND(AR65/60,6),0)</f>
        <v>0</v>
      </c>
      <c r="BN65" s="80">
        <f>ROUND(BI65-BM65,6)</f>
        <v>0</v>
      </c>
      <c r="BO65" s="80">
        <f>IF(BE65=1,ROUND(AS65/60,6),0)</f>
        <v>0</v>
      </c>
      <c r="BP65" s="80">
        <f>ROUND(BJ65-BO65,6)</f>
        <v>0</v>
      </c>
      <c r="BQ65" s="80">
        <f>IF(BE65=1,AW65,0)</f>
        <v>0</v>
      </c>
      <c r="BR65" s="80">
        <f>IF(BE65=1,AX65,0)</f>
        <v>0</v>
      </c>
      <c r="BS65" s="80">
        <f>IF(AND(BE65=1,D65="Malcolm",BA65&gt;0),MIN(BH65,SUMPRODUCT((R_Emp="proMX")*(R_EN&gt;0)*((R_EN-(R_EN&gt;BR65)*(R_EN-BR65))&gt;(R_SN+(R_SN&lt;BQ65)*(BQ65-R_SN)))*((R_EN-(R_EN&gt;BR65)*(R_EN-BR65))-(R_SN+(R_SN&lt;BQ65)*(BQ65-R_SN))))/60),0)</f>
        <v>0</v>
      </c>
      <c r="BT65" s="80">
        <f>IF(AND(BE65=1,D65="proMX"),ROUND(BI65*CFG_RATE+BJ65*CFG_OTRATE,6),0)</f>
        <v>0</v>
      </c>
      <c r="BU65" s="80">
        <f>IF(AND(BD65=1,D65="proMX"),ROUND(AG65/CFG_BLK,6),0)</f>
        <v>0</v>
      </c>
      <c r="BV65" s="80" t="str">
        <f>IF(BF65="Approved",IF(ISNUMBER(T65),INT(T65),INT(B65)),"")</f>
        <v/>
      </c>
      <c r="BW65" s="80">
        <f>IF(ISNUMBER(B65),IF(DB_MON="Todos",1,IF(AND(INT(B65)&gt;=DB_MS,INT(B65)&lt;=DB_ME),1,0)),0)</f>
        <v>0</v>
      </c>
      <c r="BX65" s="80">
        <f>IF(DB_PROJ="Todos",1,IF(E65&amp;""=DB_PROJ&amp;"",1,0))</f>
        <v>1</v>
      </c>
      <c r="BY65" s="80">
        <f>BW65*BX65</f>
        <v>0</v>
      </c>
      <c r="BZ65" s="80" t="str">
        <f>IF(Y65=1,F65&amp;IF(AND(F65&amp;""&lt;&gt;"",E65&amp;""&lt;&gt;"")," · ","")&amp;E65,"")</f>
        <v/>
      </c>
      <c r="CA65" s="80" t="str">
        <f>IF(AND(BD65=1,E65&amp;""&lt;&gt;""),IF(COUNTIFS($E$5:E64,E65,$BD$5:BD64,1)=0,MAX($CA$5:CA64)+1,""),"")</f>
        <v/>
      </c>
      <c r="CB65" s="80" t="str">
        <f>IF(AND(BE65=1,D65="Malcolm",E65&amp;""&lt;&gt;""),IF(COUNTIFS($D$5:D64,"Malcolm",$E$5:E64,E65,$BE$5:BE64,1)=0,MAX($CB$5:CB64)+1,""),"")</f>
        <v/>
      </c>
      <c r="CC65" s="80" t="str">
        <f>IF(AND(BD65=1,D65="proMX",E65&amp;""&lt;&gt;""),IF(COUNTIFS($D$5:D64,"proMX",$E$5:E64,E65,$BD$5:BD64,1)=0,MAX($CC$5:CC64)+1,""),"")</f>
        <v/>
      </c>
      <c r="CD65" s="80" t="str">
        <f>IF(AND(BE65=1,D65="Malcolm",F65&amp;""&lt;&gt;""),IF(COUNTIFS($D$5:D64,"Malcolm",$F$5:F64,F65,$BE$5:BE64,1)=0,MAX($CD$5:CD64)+1,""),"")</f>
        <v/>
      </c>
      <c r="CE65" s="80" t="str">
        <f>IF(AND(BD65=1,D65="proMX",F65&amp;""&lt;&gt;""),IF(COUNTIFS($D$5:D64,"proMX",$F$5:F64,F65,$BD$5:BD64,1)=0,MAX($CE$5:CE64)+1,""),"")</f>
        <v/>
      </c>
      <c r="CF65" s="80" t="str">
        <f>IF(AND(D65="proMX",BD65=1),IF(OR(BF65="Draft",BF65="Submitted",BF65="Returned",BF65="Recall Requested"),MAX($CF$5:CF64)+1,""),"")</f>
        <v/>
      </c>
      <c r="CG65" s="80">
        <f>IF(BD65=0,0,IF(D65="Malcolm",1,MATCH(BF65,{"Draft","Submitted","Approved","Returned","Recall Requested","Cancelled"},0)+1))</f>
        <v>0</v>
      </c>
      <c r="CH65" s="80">
        <f>IF(AND(BF65="Submitted",ISNUMBER(V65)),IF(V65&gt;CFG_MAXD,1,0),0)</f>
        <v>0</v>
      </c>
    </row>
    <row r="66">
      <c r="A66" s="71" t="str">
        <f>IF(Y66=1,ROW()-5,"")</f>
        <v/>
      </c>
      <c r="B66" s="72" t="n"/>
      <c r="C66" s="71" t="str">
        <f>IF(ISNUMBER(B66),CHOOSE(WEEKDAY(B66,2),"Lun","Mar","Mié","Jue","Vie","Sáb","Dom"),"")</f>
        <v/>
      </c>
      <c r="D66" s="73" t="n"/>
      <c r="E66" s="74" t="n"/>
      <c r="F66" s="74" t="n"/>
      <c r="G66" s="74" t="n"/>
      <c r="H66" s="75" t="n"/>
      <c r="I66" s="75" t="n"/>
      <c r="J66" s="76" t="n"/>
      <c r="K66" s="77" t="str">
        <f>IF(AB66=1,ROUND(AG66/60,4),"")</f>
        <v/>
      </c>
      <c r="L66" s="77" t="str">
        <f>IF(BD66=1,ROUND(AP66/60,4),"")</f>
        <v/>
      </c>
      <c r="M66" s="77" t="str">
        <f>IF(BD66=1,ROUND(AQ66/60,4),"")</f>
        <v/>
      </c>
      <c r="N66" s="71" t="str">
        <f>IF(AND(D66="proMX",AB66=1),ROUND(AG66/CFG_BLK,2),"")</f>
        <v/>
      </c>
      <c r="O66" s="77" t="str">
        <f>IF(D66="proMX",IF(BD66=1,ROUND(AG66/60,4),0),"")</f>
        <v/>
      </c>
      <c r="P66" s="78" t="str">
        <f>IF(Y66=0,"",IF(BD66=1,"OK",IF(D66="proMX","Revisar bloques: ","Revisar: ")&amp;BC66))</f>
        <v/>
      </c>
      <c r="Q66" s="78" t="str">
        <f>IF(NOT(ISNUMBER(B66)),"",IF(COUNTIFS(FER_F,INT(B66))&gt;0,"Feriado"&amp;IF(AH66=1," (laborable)"," (no laborable)"),IF(AH66=1,"Laborable",IF(WEEKDAY(B66,2)&gt;5,"Fin de semana","No laborable"))))</f>
        <v/>
      </c>
      <c r="R66" s="73" t="n"/>
      <c r="S66" s="72" t="n"/>
      <c r="T66" s="72" t="n"/>
      <c r="U66" s="74" t="n"/>
      <c r="V66" s="79" t="str">
        <f>IF(AND(D66="proMX",OR(R66="Submitted",R66="Recall Requested"),ISNUMBER(S66)),CFG_TODAY-INT(S66),"")</f>
        <v/>
      </c>
      <c r="W66" s="78" t="str">
        <f>IF(BD66=0,"",IF(BA66&gt;0,"⚠ Se superpone con un registro de la otra empresa",IF(D66="Malcolm",IF(COUNTA(R66,S66,T66)&gt;0,"Estado/fechas proMX se ignoran en Malcolm",""),IF(BF66="Cancelled","Cancelado: excluido de totales",IF(R66="","Sin estado: se trata como Draft",IF(BF66="Submitted",IF(ISNUMBER(V66),IF(V66&gt;CFG_MAXD,"⚠ "&amp;V66&amp;" días en Submitted (máx. "&amp;CFG_MAXD&amp;")",""),"Falta fecha de envío"),IF(BF66="Returned","⚠ Devuelto: corregir y reenviar",IF(BF66="Recall Requested","Retirada solicitada: pendiente",IF(AND(BF66="Approved",NOT(ISNUMBER(T66))),"Falta fecha de aprobación",IF(AND(ISNUMBER(S66),ISNUMBER(T66),T66&lt;S66),"Aprobación anterior al envío","")))))))))</f>
        <v/>
      </c>
      <c r="Y66" s="80">
        <f>IF(COUNTA(B66,D66,E66,F66,G66,H66,I66,J66,R66,S66,T66)&gt;0,1,0)</f>
        <v>0</v>
      </c>
      <c r="Z66" s="80" t="str">
        <f>IF(AND(ISNUMBER(H66),H66&gt;=0,H66&lt;1),ROUND(H66*1440,0),"")</f>
        <v/>
      </c>
      <c r="AA66" s="80" t="str">
        <f>IF(AND(ISNUMBER(I66),I66&gt;=0,I66&lt;1),ROUND(I66*1440,0),"")</f>
        <v/>
      </c>
      <c r="AB66" s="80">
        <f>IF(AND(ISNUMBER(B66),D66&lt;&gt;"",ISNUMBER(Z66),ISNUMBER(AA66)),IF(Z66=AA66,0,1),0)</f>
        <v>0</v>
      </c>
      <c r="AC66" s="80">
        <f>IF(AB66=1,IF(AA66&lt;Z66,1,0),0)</f>
        <v>0</v>
      </c>
      <c r="AD66" s="80">
        <f>IF(AB66=1,IF(AC66=1,1440-Z66+AA66,AA66-Z66),0)</f>
        <v>0</v>
      </c>
      <c r="AE66" s="80">
        <f>IF(J66="",0,IF(ISNUMBER(J66),J66,-1))</f>
        <v>0</v>
      </c>
      <c r="AF66" s="80">
        <f>MIN(MAX(0,AE66),AD66)</f>
        <v>0</v>
      </c>
      <c r="AG66" s="80">
        <f>MAX(0,AD66-MAX(0,AE66))</f>
        <v>0</v>
      </c>
      <c r="AH66" s="80">
        <f>IF(ISNUMBER(B66),IF(AND(INDEX(CFG_WDAYS,WEEKDAY(INT(B66),2))="Sí",IF(D66="proMX",COUNTIFS(FER_F,INT(B66),FER_NLP,"Sí"),COUNTIFS(FER_F,INT(B66),FER_NLM,"Sí"))=0),1,0),0)</f>
        <v>0</v>
      </c>
      <c r="AI66" s="80">
        <f>IF(AC66=1,IF(AND(INDEX(CFG_WDAYS,WEEKDAY(INT(B66)+1,2))="Sí",IF(D66="proMX",COUNTIFS(FER_F,INT(B66)+1,FER_NLP,"Sí"),COUNTIFS(FER_F,INT(B66)+1,FER_NLM,"Sí"))=0),1,0),0)</f>
        <v>0</v>
      </c>
      <c r="AJ66" s="80">
        <f>IF(AC66=1,1440-Z66,AD66)</f>
        <v>0</v>
      </c>
      <c r="AK66" s="80">
        <f>IF(AND(AB66=1,AH66=1),MAX(0,MIN(IF(AC66=1,1440,AA66),CFG_WEM)-MAX(Z66,CFG_WSM)),0)</f>
        <v>0</v>
      </c>
      <c r="AL66" s="80">
        <f>IF(AND(AC66=1,AI66=1),MAX(0,MIN(AA66,CFG_WEM)-CFG_WSM),0)</f>
        <v>0</v>
      </c>
      <c r="AM66" s="80">
        <f>AK66+AL66</f>
        <v>0</v>
      </c>
      <c r="AN66" s="80">
        <f>IF(CFG_BRK="Proporcional",IF(AD66=0,0,AF66*AM66/AD66),IF(CFG_BRK="Extras primero",MIN(AM66,MAX(0,AF66-(AD66-AM66))),MIN(AF66,AM66)))</f>
        <v>0</v>
      </c>
      <c r="AO66" s="80">
        <f>AF66-AN66</f>
        <v>0</v>
      </c>
      <c r="AP66" s="80">
        <f>AM66-AN66</f>
        <v>0</v>
      </c>
      <c r="AQ66" s="80">
        <f>AD66-AM66-AO66</f>
        <v>0</v>
      </c>
      <c r="AR66" s="80">
        <f>IF(AM66=0,0,AK66-AN66*AK66/AM66)</f>
        <v>0</v>
      </c>
      <c r="AS66" s="80">
        <f>IF(AD66-AM66=0,0,(AJ66-AK66)-AO66*(AJ66-AK66)/(AD66-AM66))</f>
        <v>0</v>
      </c>
      <c r="AT66" s="80" t="str">
        <f>IF(AC66=1,INT(B66)+1,"")</f>
        <v/>
      </c>
      <c r="AU66" s="80">
        <f>IF(AND(D66="proMX",R66="Cancelled"),0,1)</f>
        <v>1</v>
      </c>
      <c r="AV66" s="80">
        <f>IF(AND(AB66=1,AU66=1),IF(COUNTIFS($D$5:D65,D66,$B$5:B65,B66,$Z$5:Z65,Z66,$AA$5:AA65,AA66,$F$5:F65,F66&amp;"",$AU$5:AU65,1)&gt;0,1,0),0)</f>
        <v>0</v>
      </c>
      <c r="AW66" s="80" t="str">
        <f>IF(AB66=1,INT(B66)*1440+Z66,"")</f>
        <v/>
      </c>
      <c r="AX66" s="80" t="str">
        <f>IF(AB66=1,AW66+AD66,"")</f>
        <v/>
      </c>
      <c r="AY66" s="80">
        <f>IF(AND(AB66=1,AV66=0,AU66=1),1,0)</f>
        <v>0</v>
      </c>
      <c r="AZ66" s="80">
        <f>IF(AY66=1,COUNTIFS(R_Emp,D66,R_SAbs,"&lt;"&amp;AX66,R_EAbs,"&gt;"&amp;AW66,R_OKey,1)-1,0)</f>
        <v>0</v>
      </c>
      <c r="BA66" s="80">
        <f>IF(AY66=1,COUNTIFS(R_Emp,"&lt;&gt;"&amp;D66,R_SAbs,"&lt;"&amp;AX66,R_EAbs,"&gt;"&amp;AW66,R_OKey,1),0)</f>
        <v>0</v>
      </c>
      <c r="BB66" s="80">
        <f>IF(AND(AB66=1,D66="proMX"),IF(AND(MOD(Z66,CFG_BLK)=0,MOD(AA66,CFG_BLK)=0,MOD(AG66,CFG_BLK)=0,AG66&gt;0),1,0),1)</f>
        <v>1</v>
      </c>
      <c r="BC66" s="80" t="str">
        <f>IF(Y66=0,"",IF(NOT(ISNUMBER(B66)),"Falta fecha o fecha inválida",IF(D66="","Falta empresa",IF(AND(D66&lt;&gt;"Malcolm",D66&lt;&gt;"proMX"),"Empresa inválida",IF(OR(INT(B66)&lt;CFG_PSTART,INT(B66)&gt;CFG_PEND),"Fecha fuera del período",IF(OR(NOT(ISNUMBER(Z66)),NOT(ISNUMBER(AA66))),"Falta hora inicio/fin o formato inválido",IF(AB66=0,"Hora inicio = hora fin",IF(AE66&lt;0,"Descanso inválido",IF(AE66&gt;=AD66,"Descanso ≥ duración",IF(AV66=1,"Registro duplicado",IF(AZ66&gt;0,"Se superpone con otro registro "&amp;D66,IF(BB66=0,"inicio, fin y duración neta deben ser múltiplos de "&amp;CFG_BLK&amp;" min",""))))))))))))</f>
        <v/>
      </c>
      <c r="BD66" s="80">
        <f>IF(AND(Y66=1,BC66=""),1,0)</f>
        <v>0</v>
      </c>
      <c r="BE66" s="80">
        <f>IF(AND(BD66=1,AU66=1),1,0)</f>
        <v>0</v>
      </c>
      <c r="BF66" s="80" t="str">
        <f>IF(AND(D66="proMX",BD66=1),IF(R66="","Draft",R66),"")</f>
        <v/>
      </c>
      <c r="BG66" s="80">
        <f>IF(BD66=1,ROUND(AG66/60,6),0)</f>
        <v>0</v>
      </c>
      <c r="BH66" s="80">
        <f>IF(BE66=1,ROUND(AG66/60,6),0)</f>
        <v>0</v>
      </c>
      <c r="BI66" s="80">
        <f>IF(BE66=1,ROUND(AP66/60,6),0)</f>
        <v>0</v>
      </c>
      <c r="BJ66" s="80">
        <f>IF(BE66=1,ROUND(AQ66/60,6),0)</f>
        <v>0</v>
      </c>
      <c r="BK66" s="80">
        <f>IF(BE66=1,ROUND((AR66+AS66)/60,6),0)</f>
        <v>0</v>
      </c>
      <c r="BL66" s="80">
        <f>ROUND(BH66-BK66,6)</f>
        <v>0</v>
      </c>
      <c r="BM66" s="80">
        <f>IF(BE66=1,ROUND(AR66/60,6),0)</f>
        <v>0</v>
      </c>
      <c r="BN66" s="80">
        <f>ROUND(BI66-BM66,6)</f>
        <v>0</v>
      </c>
      <c r="BO66" s="80">
        <f>IF(BE66=1,ROUND(AS66/60,6),0)</f>
        <v>0</v>
      </c>
      <c r="BP66" s="80">
        <f>ROUND(BJ66-BO66,6)</f>
        <v>0</v>
      </c>
      <c r="BQ66" s="80">
        <f>IF(BE66=1,AW66,0)</f>
        <v>0</v>
      </c>
      <c r="BR66" s="80">
        <f>IF(BE66=1,AX66,0)</f>
        <v>0</v>
      </c>
      <c r="BS66" s="80">
        <f>IF(AND(BE66=1,D66="Malcolm",BA66&gt;0),MIN(BH66,SUMPRODUCT((R_Emp="proMX")*(R_EN&gt;0)*((R_EN-(R_EN&gt;BR66)*(R_EN-BR66))&gt;(R_SN+(R_SN&lt;BQ66)*(BQ66-R_SN)))*((R_EN-(R_EN&gt;BR66)*(R_EN-BR66))-(R_SN+(R_SN&lt;BQ66)*(BQ66-R_SN))))/60),0)</f>
        <v>0</v>
      </c>
      <c r="BT66" s="80">
        <f>IF(AND(BE66=1,D66="proMX"),ROUND(BI66*CFG_RATE+BJ66*CFG_OTRATE,6),0)</f>
        <v>0</v>
      </c>
      <c r="BU66" s="80">
        <f>IF(AND(BD66=1,D66="proMX"),ROUND(AG66/CFG_BLK,6),0)</f>
        <v>0</v>
      </c>
      <c r="BV66" s="80" t="str">
        <f>IF(BF66="Approved",IF(ISNUMBER(T66),INT(T66),INT(B66)),"")</f>
        <v/>
      </c>
      <c r="BW66" s="80">
        <f>IF(ISNUMBER(B66),IF(DB_MON="Todos",1,IF(AND(INT(B66)&gt;=DB_MS,INT(B66)&lt;=DB_ME),1,0)),0)</f>
        <v>0</v>
      </c>
      <c r="BX66" s="80">
        <f>IF(DB_PROJ="Todos",1,IF(E66&amp;""=DB_PROJ&amp;"",1,0))</f>
        <v>1</v>
      </c>
      <c r="BY66" s="80">
        <f>BW66*BX66</f>
        <v>0</v>
      </c>
      <c r="BZ66" s="80" t="str">
        <f>IF(Y66=1,F66&amp;IF(AND(F66&amp;""&lt;&gt;"",E66&amp;""&lt;&gt;"")," · ","")&amp;E66,"")</f>
        <v/>
      </c>
      <c r="CA66" s="80" t="str">
        <f>IF(AND(BD66=1,E66&amp;""&lt;&gt;""),IF(COUNTIFS($E$5:E65,E66,$BD$5:BD65,1)=0,MAX($CA$5:CA65)+1,""),"")</f>
        <v/>
      </c>
      <c r="CB66" s="80" t="str">
        <f>IF(AND(BE66=1,D66="Malcolm",E66&amp;""&lt;&gt;""),IF(COUNTIFS($D$5:D65,"Malcolm",$E$5:E65,E66,$BE$5:BE65,1)=0,MAX($CB$5:CB65)+1,""),"")</f>
        <v/>
      </c>
      <c r="CC66" s="80" t="str">
        <f>IF(AND(BD66=1,D66="proMX",E66&amp;""&lt;&gt;""),IF(COUNTIFS($D$5:D65,"proMX",$E$5:E65,E66,$BD$5:BD65,1)=0,MAX($CC$5:CC65)+1,""),"")</f>
        <v/>
      </c>
      <c r="CD66" s="80" t="str">
        <f>IF(AND(BE66=1,D66="Malcolm",F66&amp;""&lt;&gt;""),IF(COUNTIFS($D$5:D65,"Malcolm",$F$5:F65,F66,$BE$5:BE65,1)=0,MAX($CD$5:CD65)+1,""),"")</f>
        <v/>
      </c>
      <c r="CE66" s="80" t="str">
        <f>IF(AND(BD66=1,D66="proMX",F66&amp;""&lt;&gt;""),IF(COUNTIFS($D$5:D65,"proMX",$F$5:F65,F66,$BD$5:BD65,1)=0,MAX($CE$5:CE65)+1,""),"")</f>
        <v/>
      </c>
      <c r="CF66" s="80" t="str">
        <f>IF(AND(D66="proMX",BD66=1),IF(OR(BF66="Draft",BF66="Submitted",BF66="Returned",BF66="Recall Requested"),MAX($CF$5:CF65)+1,""),"")</f>
        <v/>
      </c>
      <c r="CG66" s="80">
        <f>IF(BD66=0,0,IF(D66="Malcolm",1,MATCH(BF66,{"Draft","Submitted","Approved","Returned","Recall Requested","Cancelled"},0)+1))</f>
        <v>0</v>
      </c>
      <c r="CH66" s="80">
        <f>IF(AND(BF66="Submitted",ISNUMBER(V66)),IF(V66&gt;CFG_MAXD,1,0),0)</f>
        <v>0</v>
      </c>
    </row>
    <row r="67">
      <c r="A67" s="71" t="str">
        <f>IF(Y67=1,ROW()-5,"")</f>
        <v/>
      </c>
      <c r="B67" s="72" t="n"/>
      <c r="C67" s="71" t="str">
        <f>IF(ISNUMBER(B67),CHOOSE(WEEKDAY(B67,2),"Lun","Mar","Mié","Jue","Vie","Sáb","Dom"),"")</f>
        <v/>
      </c>
      <c r="D67" s="73" t="n"/>
      <c r="E67" s="74" t="n"/>
      <c r="F67" s="74" t="n"/>
      <c r="G67" s="74" t="n"/>
      <c r="H67" s="75" t="n"/>
      <c r="I67" s="75" t="n"/>
      <c r="J67" s="76" t="n"/>
      <c r="K67" s="77" t="str">
        <f>IF(AB67=1,ROUND(AG67/60,4),"")</f>
        <v/>
      </c>
      <c r="L67" s="77" t="str">
        <f>IF(BD67=1,ROUND(AP67/60,4),"")</f>
        <v/>
      </c>
      <c r="M67" s="77" t="str">
        <f>IF(BD67=1,ROUND(AQ67/60,4),"")</f>
        <v/>
      </c>
      <c r="N67" s="71" t="str">
        <f>IF(AND(D67="proMX",AB67=1),ROUND(AG67/CFG_BLK,2),"")</f>
        <v/>
      </c>
      <c r="O67" s="77" t="str">
        <f>IF(D67="proMX",IF(BD67=1,ROUND(AG67/60,4),0),"")</f>
        <v/>
      </c>
      <c r="P67" s="78" t="str">
        <f>IF(Y67=0,"",IF(BD67=1,"OK",IF(D67="proMX","Revisar bloques: ","Revisar: ")&amp;BC67))</f>
        <v/>
      </c>
      <c r="Q67" s="78" t="str">
        <f>IF(NOT(ISNUMBER(B67)),"",IF(COUNTIFS(FER_F,INT(B67))&gt;0,"Feriado"&amp;IF(AH67=1," (laborable)"," (no laborable)"),IF(AH67=1,"Laborable",IF(WEEKDAY(B67,2)&gt;5,"Fin de semana","No laborable"))))</f>
        <v/>
      </c>
      <c r="R67" s="73" t="n"/>
      <c r="S67" s="72" t="n"/>
      <c r="T67" s="72" t="n"/>
      <c r="U67" s="74" t="n"/>
      <c r="V67" s="79" t="str">
        <f>IF(AND(D67="proMX",OR(R67="Submitted",R67="Recall Requested"),ISNUMBER(S67)),CFG_TODAY-INT(S67),"")</f>
        <v/>
      </c>
      <c r="W67" s="78" t="str">
        <f>IF(BD67=0,"",IF(BA67&gt;0,"⚠ Se superpone con un registro de la otra empresa",IF(D67="Malcolm",IF(COUNTA(R67,S67,T67)&gt;0,"Estado/fechas proMX se ignoran en Malcolm",""),IF(BF67="Cancelled","Cancelado: excluido de totales",IF(R67="","Sin estado: se trata como Draft",IF(BF67="Submitted",IF(ISNUMBER(V67),IF(V67&gt;CFG_MAXD,"⚠ "&amp;V67&amp;" días en Submitted (máx. "&amp;CFG_MAXD&amp;")",""),"Falta fecha de envío"),IF(BF67="Returned","⚠ Devuelto: corregir y reenviar",IF(BF67="Recall Requested","Retirada solicitada: pendiente",IF(AND(BF67="Approved",NOT(ISNUMBER(T67))),"Falta fecha de aprobación",IF(AND(ISNUMBER(S67),ISNUMBER(T67),T67&lt;S67),"Aprobación anterior al envío","")))))))))</f>
        <v/>
      </c>
      <c r="Y67" s="80">
        <f>IF(COUNTA(B67,D67,E67,F67,G67,H67,I67,J67,R67,S67,T67)&gt;0,1,0)</f>
        <v>0</v>
      </c>
      <c r="Z67" s="80" t="str">
        <f>IF(AND(ISNUMBER(H67),H67&gt;=0,H67&lt;1),ROUND(H67*1440,0),"")</f>
        <v/>
      </c>
      <c r="AA67" s="80" t="str">
        <f>IF(AND(ISNUMBER(I67),I67&gt;=0,I67&lt;1),ROUND(I67*1440,0),"")</f>
        <v/>
      </c>
      <c r="AB67" s="80">
        <f>IF(AND(ISNUMBER(B67),D67&lt;&gt;"",ISNUMBER(Z67),ISNUMBER(AA67)),IF(Z67=AA67,0,1),0)</f>
        <v>0</v>
      </c>
      <c r="AC67" s="80">
        <f>IF(AB67=1,IF(AA67&lt;Z67,1,0),0)</f>
        <v>0</v>
      </c>
      <c r="AD67" s="80">
        <f>IF(AB67=1,IF(AC67=1,1440-Z67+AA67,AA67-Z67),0)</f>
        <v>0</v>
      </c>
      <c r="AE67" s="80">
        <f>IF(J67="",0,IF(ISNUMBER(J67),J67,-1))</f>
        <v>0</v>
      </c>
      <c r="AF67" s="80">
        <f>MIN(MAX(0,AE67),AD67)</f>
        <v>0</v>
      </c>
      <c r="AG67" s="80">
        <f>MAX(0,AD67-MAX(0,AE67))</f>
        <v>0</v>
      </c>
      <c r="AH67" s="80">
        <f>IF(ISNUMBER(B67),IF(AND(INDEX(CFG_WDAYS,WEEKDAY(INT(B67),2))="Sí",IF(D67="proMX",COUNTIFS(FER_F,INT(B67),FER_NLP,"Sí"),COUNTIFS(FER_F,INT(B67),FER_NLM,"Sí"))=0),1,0),0)</f>
        <v>0</v>
      </c>
      <c r="AI67" s="80">
        <f>IF(AC67=1,IF(AND(INDEX(CFG_WDAYS,WEEKDAY(INT(B67)+1,2))="Sí",IF(D67="proMX",COUNTIFS(FER_F,INT(B67)+1,FER_NLP,"Sí"),COUNTIFS(FER_F,INT(B67)+1,FER_NLM,"Sí"))=0),1,0),0)</f>
        <v>0</v>
      </c>
      <c r="AJ67" s="80">
        <f>IF(AC67=1,1440-Z67,AD67)</f>
        <v>0</v>
      </c>
      <c r="AK67" s="80">
        <f>IF(AND(AB67=1,AH67=1),MAX(0,MIN(IF(AC67=1,1440,AA67),CFG_WEM)-MAX(Z67,CFG_WSM)),0)</f>
        <v>0</v>
      </c>
      <c r="AL67" s="80">
        <f>IF(AND(AC67=1,AI67=1),MAX(0,MIN(AA67,CFG_WEM)-CFG_WSM),0)</f>
        <v>0</v>
      </c>
      <c r="AM67" s="80">
        <f>AK67+AL67</f>
        <v>0</v>
      </c>
      <c r="AN67" s="80">
        <f>IF(CFG_BRK="Proporcional",IF(AD67=0,0,AF67*AM67/AD67),IF(CFG_BRK="Extras primero",MIN(AM67,MAX(0,AF67-(AD67-AM67))),MIN(AF67,AM67)))</f>
        <v>0</v>
      </c>
      <c r="AO67" s="80">
        <f>AF67-AN67</f>
        <v>0</v>
      </c>
      <c r="AP67" s="80">
        <f>AM67-AN67</f>
        <v>0</v>
      </c>
      <c r="AQ67" s="80">
        <f>AD67-AM67-AO67</f>
        <v>0</v>
      </c>
      <c r="AR67" s="80">
        <f>IF(AM67=0,0,AK67-AN67*AK67/AM67)</f>
        <v>0</v>
      </c>
      <c r="AS67" s="80">
        <f>IF(AD67-AM67=0,0,(AJ67-AK67)-AO67*(AJ67-AK67)/(AD67-AM67))</f>
        <v>0</v>
      </c>
      <c r="AT67" s="80" t="str">
        <f>IF(AC67=1,INT(B67)+1,"")</f>
        <v/>
      </c>
      <c r="AU67" s="80">
        <f>IF(AND(D67="proMX",R67="Cancelled"),0,1)</f>
        <v>1</v>
      </c>
      <c r="AV67" s="80">
        <f>IF(AND(AB67=1,AU67=1),IF(COUNTIFS($D$5:D66,D67,$B$5:B66,B67,$Z$5:Z66,Z67,$AA$5:AA66,AA67,$F$5:F66,F67&amp;"",$AU$5:AU66,1)&gt;0,1,0),0)</f>
        <v>0</v>
      </c>
      <c r="AW67" s="80" t="str">
        <f>IF(AB67=1,INT(B67)*1440+Z67,"")</f>
        <v/>
      </c>
      <c r="AX67" s="80" t="str">
        <f>IF(AB67=1,AW67+AD67,"")</f>
        <v/>
      </c>
      <c r="AY67" s="80">
        <f>IF(AND(AB67=1,AV67=0,AU67=1),1,0)</f>
        <v>0</v>
      </c>
      <c r="AZ67" s="80">
        <f>IF(AY67=1,COUNTIFS(R_Emp,D67,R_SAbs,"&lt;"&amp;AX67,R_EAbs,"&gt;"&amp;AW67,R_OKey,1)-1,0)</f>
        <v>0</v>
      </c>
      <c r="BA67" s="80">
        <f>IF(AY67=1,COUNTIFS(R_Emp,"&lt;&gt;"&amp;D67,R_SAbs,"&lt;"&amp;AX67,R_EAbs,"&gt;"&amp;AW67,R_OKey,1),0)</f>
        <v>0</v>
      </c>
      <c r="BB67" s="80">
        <f>IF(AND(AB67=1,D67="proMX"),IF(AND(MOD(Z67,CFG_BLK)=0,MOD(AA67,CFG_BLK)=0,MOD(AG67,CFG_BLK)=0,AG67&gt;0),1,0),1)</f>
        <v>1</v>
      </c>
      <c r="BC67" s="80" t="str">
        <f>IF(Y67=0,"",IF(NOT(ISNUMBER(B67)),"Falta fecha o fecha inválida",IF(D67="","Falta empresa",IF(AND(D67&lt;&gt;"Malcolm",D67&lt;&gt;"proMX"),"Empresa inválida",IF(OR(INT(B67)&lt;CFG_PSTART,INT(B67)&gt;CFG_PEND),"Fecha fuera del período",IF(OR(NOT(ISNUMBER(Z67)),NOT(ISNUMBER(AA67))),"Falta hora inicio/fin o formato inválido",IF(AB67=0,"Hora inicio = hora fin",IF(AE67&lt;0,"Descanso inválido",IF(AE67&gt;=AD67,"Descanso ≥ duración",IF(AV67=1,"Registro duplicado",IF(AZ67&gt;0,"Se superpone con otro registro "&amp;D67,IF(BB67=0,"inicio, fin y duración neta deben ser múltiplos de "&amp;CFG_BLK&amp;" min",""))))))))))))</f>
        <v/>
      </c>
      <c r="BD67" s="80">
        <f>IF(AND(Y67=1,BC67=""),1,0)</f>
        <v>0</v>
      </c>
      <c r="BE67" s="80">
        <f>IF(AND(BD67=1,AU67=1),1,0)</f>
        <v>0</v>
      </c>
      <c r="BF67" s="80" t="str">
        <f>IF(AND(D67="proMX",BD67=1),IF(R67="","Draft",R67),"")</f>
        <v/>
      </c>
      <c r="BG67" s="80">
        <f>IF(BD67=1,ROUND(AG67/60,6),0)</f>
        <v>0</v>
      </c>
      <c r="BH67" s="80">
        <f>IF(BE67=1,ROUND(AG67/60,6),0)</f>
        <v>0</v>
      </c>
      <c r="BI67" s="80">
        <f>IF(BE67=1,ROUND(AP67/60,6),0)</f>
        <v>0</v>
      </c>
      <c r="BJ67" s="80">
        <f>IF(BE67=1,ROUND(AQ67/60,6),0)</f>
        <v>0</v>
      </c>
      <c r="BK67" s="80">
        <f>IF(BE67=1,ROUND((AR67+AS67)/60,6),0)</f>
        <v>0</v>
      </c>
      <c r="BL67" s="80">
        <f>ROUND(BH67-BK67,6)</f>
        <v>0</v>
      </c>
      <c r="BM67" s="80">
        <f>IF(BE67=1,ROUND(AR67/60,6),0)</f>
        <v>0</v>
      </c>
      <c r="BN67" s="80">
        <f>ROUND(BI67-BM67,6)</f>
        <v>0</v>
      </c>
      <c r="BO67" s="80">
        <f>IF(BE67=1,ROUND(AS67/60,6),0)</f>
        <v>0</v>
      </c>
      <c r="BP67" s="80">
        <f>ROUND(BJ67-BO67,6)</f>
        <v>0</v>
      </c>
      <c r="BQ67" s="80">
        <f>IF(BE67=1,AW67,0)</f>
        <v>0</v>
      </c>
      <c r="BR67" s="80">
        <f>IF(BE67=1,AX67,0)</f>
        <v>0</v>
      </c>
      <c r="BS67" s="80">
        <f>IF(AND(BE67=1,D67="Malcolm",BA67&gt;0),MIN(BH67,SUMPRODUCT((R_Emp="proMX")*(R_EN&gt;0)*((R_EN-(R_EN&gt;BR67)*(R_EN-BR67))&gt;(R_SN+(R_SN&lt;BQ67)*(BQ67-R_SN)))*((R_EN-(R_EN&gt;BR67)*(R_EN-BR67))-(R_SN+(R_SN&lt;BQ67)*(BQ67-R_SN))))/60),0)</f>
        <v>0</v>
      </c>
      <c r="BT67" s="80">
        <f>IF(AND(BE67=1,D67="proMX"),ROUND(BI67*CFG_RATE+BJ67*CFG_OTRATE,6),0)</f>
        <v>0</v>
      </c>
      <c r="BU67" s="80">
        <f>IF(AND(BD67=1,D67="proMX"),ROUND(AG67/CFG_BLK,6),0)</f>
        <v>0</v>
      </c>
      <c r="BV67" s="80" t="str">
        <f>IF(BF67="Approved",IF(ISNUMBER(T67),INT(T67),INT(B67)),"")</f>
        <v/>
      </c>
      <c r="BW67" s="80">
        <f>IF(ISNUMBER(B67),IF(DB_MON="Todos",1,IF(AND(INT(B67)&gt;=DB_MS,INT(B67)&lt;=DB_ME),1,0)),0)</f>
        <v>0</v>
      </c>
      <c r="BX67" s="80">
        <f>IF(DB_PROJ="Todos",1,IF(E67&amp;""=DB_PROJ&amp;"",1,0))</f>
        <v>1</v>
      </c>
      <c r="BY67" s="80">
        <f>BW67*BX67</f>
        <v>0</v>
      </c>
      <c r="BZ67" s="80" t="str">
        <f>IF(Y67=1,F67&amp;IF(AND(F67&amp;""&lt;&gt;"",E67&amp;""&lt;&gt;"")," · ","")&amp;E67,"")</f>
        <v/>
      </c>
      <c r="CA67" s="80" t="str">
        <f>IF(AND(BD67=1,E67&amp;""&lt;&gt;""),IF(COUNTIFS($E$5:E66,E67,$BD$5:BD66,1)=0,MAX($CA$5:CA66)+1,""),"")</f>
        <v/>
      </c>
      <c r="CB67" s="80" t="str">
        <f>IF(AND(BE67=1,D67="Malcolm",E67&amp;""&lt;&gt;""),IF(COUNTIFS($D$5:D66,"Malcolm",$E$5:E66,E67,$BE$5:BE66,1)=0,MAX($CB$5:CB66)+1,""),"")</f>
        <v/>
      </c>
      <c r="CC67" s="80" t="str">
        <f>IF(AND(BD67=1,D67="proMX",E67&amp;""&lt;&gt;""),IF(COUNTIFS($D$5:D66,"proMX",$E$5:E66,E67,$BD$5:BD66,1)=0,MAX($CC$5:CC66)+1,""),"")</f>
        <v/>
      </c>
      <c r="CD67" s="80" t="str">
        <f>IF(AND(BE67=1,D67="Malcolm",F67&amp;""&lt;&gt;""),IF(COUNTIFS($D$5:D66,"Malcolm",$F$5:F66,F67,$BE$5:BE66,1)=0,MAX($CD$5:CD66)+1,""),"")</f>
        <v/>
      </c>
      <c r="CE67" s="80" t="str">
        <f>IF(AND(BD67=1,D67="proMX",F67&amp;""&lt;&gt;""),IF(COUNTIFS($D$5:D66,"proMX",$F$5:F66,F67,$BD$5:BD66,1)=0,MAX($CE$5:CE66)+1,""),"")</f>
        <v/>
      </c>
      <c r="CF67" s="80" t="str">
        <f>IF(AND(D67="proMX",BD67=1),IF(OR(BF67="Draft",BF67="Submitted",BF67="Returned",BF67="Recall Requested"),MAX($CF$5:CF66)+1,""),"")</f>
        <v/>
      </c>
      <c r="CG67" s="80">
        <f>IF(BD67=0,0,IF(D67="Malcolm",1,MATCH(BF67,{"Draft","Submitted","Approved","Returned","Recall Requested","Cancelled"},0)+1))</f>
        <v>0</v>
      </c>
      <c r="CH67" s="80">
        <f>IF(AND(BF67="Submitted",ISNUMBER(V67)),IF(V67&gt;CFG_MAXD,1,0),0)</f>
        <v>0</v>
      </c>
    </row>
    <row r="68">
      <c r="A68" s="71" t="str">
        <f>IF(Y68=1,ROW()-5,"")</f>
        <v/>
      </c>
      <c r="B68" s="72" t="n"/>
      <c r="C68" s="71" t="str">
        <f>IF(ISNUMBER(B68),CHOOSE(WEEKDAY(B68,2),"Lun","Mar","Mié","Jue","Vie","Sáb","Dom"),"")</f>
        <v/>
      </c>
      <c r="D68" s="73" t="n"/>
      <c r="E68" s="74" t="n"/>
      <c r="F68" s="74" t="n"/>
      <c r="G68" s="74" t="n"/>
      <c r="H68" s="75" t="n"/>
      <c r="I68" s="75" t="n"/>
      <c r="J68" s="76" t="n"/>
      <c r="K68" s="77" t="str">
        <f>IF(AB68=1,ROUND(AG68/60,4),"")</f>
        <v/>
      </c>
      <c r="L68" s="77" t="str">
        <f>IF(BD68=1,ROUND(AP68/60,4),"")</f>
        <v/>
      </c>
      <c r="M68" s="77" t="str">
        <f>IF(BD68=1,ROUND(AQ68/60,4),"")</f>
        <v/>
      </c>
      <c r="N68" s="71" t="str">
        <f>IF(AND(D68="proMX",AB68=1),ROUND(AG68/CFG_BLK,2),"")</f>
        <v/>
      </c>
      <c r="O68" s="77" t="str">
        <f>IF(D68="proMX",IF(BD68=1,ROUND(AG68/60,4),0),"")</f>
        <v/>
      </c>
      <c r="P68" s="78" t="str">
        <f>IF(Y68=0,"",IF(BD68=1,"OK",IF(D68="proMX","Revisar bloques: ","Revisar: ")&amp;BC68))</f>
        <v/>
      </c>
      <c r="Q68" s="78" t="str">
        <f>IF(NOT(ISNUMBER(B68)),"",IF(COUNTIFS(FER_F,INT(B68))&gt;0,"Feriado"&amp;IF(AH68=1," (laborable)"," (no laborable)"),IF(AH68=1,"Laborable",IF(WEEKDAY(B68,2)&gt;5,"Fin de semana","No laborable"))))</f>
        <v/>
      </c>
      <c r="R68" s="73" t="n"/>
      <c r="S68" s="72" t="n"/>
      <c r="T68" s="72" t="n"/>
      <c r="U68" s="74" t="n"/>
      <c r="V68" s="79" t="str">
        <f>IF(AND(D68="proMX",OR(R68="Submitted",R68="Recall Requested"),ISNUMBER(S68)),CFG_TODAY-INT(S68),"")</f>
        <v/>
      </c>
      <c r="W68" s="78" t="str">
        <f>IF(BD68=0,"",IF(BA68&gt;0,"⚠ Se superpone con un registro de la otra empresa",IF(D68="Malcolm",IF(COUNTA(R68,S68,T68)&gt;0,"Estado/fechas proMX se ignoran en Malcolm",""),IF(BF68="Cancelled","Cancelado: excluido de totales",IF(R68="","Sin estado: se trata como Draft",IF(BF68="Submitted",IF(ISNUMBER(V68),IF(V68&gt;CFG_MAXD,"⚠ "&amp;V68&amp;" días en Submitted (máx. "&amp;CFG_MAXD&amp;")",""),"Falta fecha de envío"),IF(BF68="Returned","⚠ Devuelto: corregir y reenviar",IF(BF68="Recall Requested","Retirada solicitada: pendiente",IF(AND(BF68="Approved",NOT(ISNUMBER(T68))),"Falta fecha de aprobación",IF(AND(ISNUMBER(S68),ISNUMBER(T68),T68&lt;S68),"Aprobación anterior al envío","")))))))))</f>
        <v/>
      </c>
      <c r="Y68" s="80">
        <f>IF(COUNTA(B68,D68,E68,F68,G68,H68,I68,J68,R68,S68,T68)&gt;0,1,0)</f>
        <v>0</v>
      </c>
      <c r="Z68" s="80" t="str">
        <f>IF(AND(ISNUMBER(H68),H68&gt;=0,H68&lt;1),ROUND(H68*1440,0),"")</f>
        <v/>
      </c>
      <c r="AA68" s="80" t="str">
        <f>IF(AND(ISNUMBER(I68),I68&gt;=0,I68&lt;1),ROUND(I68*1440,0),"")</f>
        <v/>
      </c>
      <c r="AB68" s="80">
        <f>IF(AND(ISNUMBER(B68),D68&lt;&gt;"",ISNUMBER(Z68),ISNUMBER(AA68)),IF(Z68=AA68,0,1),0)</f>
        <v>0</v>
      </c>
      <c r="AC68" s="80">
        <f>IF(AB68=1,IF(AA68&lt;Z68,1,0),0)</f>
        <v>0</v>
      </c>
      <c r="AD68" s="80">
        <f>IF(AB68=1,IF(AC68=1,1440-Z68+AA68,AA68-Z68),0)</f>
        <v>0</v>
      </c>
      <c r="AE68" s="80">
        <f>IF(J68="",0,IF(ISNUMBER(J68),J68,-1))</f>
        <v>0</v>
      </c>
      <c r="AF68" s="80">
        <f>MIN(MAX(0,AE68),AD68)</f>
        <v>0</v>
      </c>
      <c r="AG68" s="80">
        <f>MAX(0,AD68-MAX(0,AE68))</f>
        <v>0</v>
      </c>
      <c r="AH68" s="80">
        <f>IF(ISNUMBER(B68),IF(AND(INDEX(CFG_WDAYS,WEEKDAY(INT(B68),2))="Sí",IF(D68="proMX",COUNTIFS(FER_F,INT(B68),FER_NLP,"Sí"),COUNTIFS(FER_F,INT(B68),FER_NLM,"Sí"))=0),1,0),0)</f>
        <v>0</v>
      </c>
      <c r="AI68" s="80">
        <f>IF(AC68=1,IF(AND(INDEX(CFG_WDAYS,WEEKDAY(INT(B68)+1,2))="Sí",IF(D68="proMX",COUNTIFS(FER_F,INT(B68)+1,FER_NLP,"Sí"),COUNTIFS(FER_F,INT(B68)+1,FER_NLM,"Sí"))=0),1,0),0)</f>
        <v>0</v>
      </c>
      <c r="AJ68" s="80">
        <f>IF(AC68=1,1440-Z68,AD68)</f>
        <v>0</v>
      </c>
      <c r="AK68" s="80">
        <f>IF(AND(AB68=1,AH68=1),MAX(0,MIN(IF(AC68=1,1440,AA68),CFG_WEM)-MAX(Z68,CFG_WSM)),0)</f>
        <v>0</v>
      </c>
      <c r="AL68" s="80">
        <f>IF(AND(AC68=1,AI68=1),MAX(0,MIN(AA68,CFG_WEM)-CFG_WSM),0)</f>
        <v>0</v>
      </c>
      <c r="AM68" s="80">
        <f>AK68+AL68</f>
        <v>0</v>
      </c>
      <c r="AN68" s="80">
        <f>IF(CFG_BRK="Proporcional",IF(AD68=0,0,AF68*AM68/AD68),IF(CFG_BRK="Extras primero",MIN(AM68,MAX(0,AF68-(AD68-AM68))),MIN(AF68,AM68)))</f>
        <v>0</v>
      </c>
      <c r="AO68" s="80">
        <f>AF68-AN68</f>
        <v>0</v>
      </c>
      <c r="AP68" s="80">
        <f>AM68-AN68</f>
        <v>0</v>
      </c>
      <c r="AQ68" s="80">
        <f>AD68-AM68-AO68</f>
        <v>0</v>
      </c>
      <c r="AR68" s="80">
        <f>IF(AM68=0,0,AK68-AN68*AK68/AM68)</f>
        <v>0</v>
      </c>
      <c r="AS68" s="80">
        <f>IF(AD68-AM68=0,0,(AJ68-AK68)-AO68*(AJ68-AK68)/(AD68-AM68))</f>
        <v>0</v>
      </c>
      <c r="AT68" s="80" t="str">
        <f>IF(AC68=1,INT(B68)+1,"")</f>
        <v/>
      </c>
      <c r="AU68" s="80">
        <f>IF(AND(D68="proMX",R68="Cancelled"),0,1)</f>
        <v>1</v>
      </c>
      <c r="AV68" s="80">
        <f>IF(AND(AB68=1,AU68=1),IF(COUNTIFS($D$5:D67,D68,$B$5:B67,B68,$Z$5:Z67,Z68,$AA$5:AA67,AA68,$F$5:F67,F68&amp;"",$AU$5:AU67,1)&gt;0,1,0),0)</f>
        <v>0</v>
      </c>
      <c r="AW68" s="80" t="str">
        <f>IF(AB68=1,INT(B68)*1440+Z68,"")</f>
        <v/>
      </c>
      <c r="AX68" s="80" t="str">
        <f>IF(AB68=1,AW68+AD68,"")</f>
        <v/>
      </c>
      <c r="AY68" s="80">
        <f>IF(AND(AB68=1,AV68=0,AU68=1),1,0)</f>
        <v>0</v>
      </c>
      <c r="AZ68" s="80">
        <f>IF(AY68=1,COUNTIFS(R_Emp,D68,R_SAbs,"&lt;"&amp;AX68,R_EAbs,"&gt;"&amp;AW68,R_OKey,1)-1,0)</f>
        <v>0</v>
      </c>
      <c r="BA68" s="80">
        <f>IF(AY68=1,COUNTIFS(R_Emp,"&lt;&gt;"&amp;D68,R_SAbs,"&lt;"&amp;AX68,R_EAbs,"&gt;"&amp;AW68,R_OKey,1),0)</f>
        <v>0</v>
      </c>
      <c r="BB68" s="80">
        <f>IF(AND(AB68=1,D68="proMX"),IF(AND(MOD(Z68,CFG_BLK)=0,MOD(AA68,CFG_BLK)=0,MOD(AG68,CFG_BLK)=0,AG68&gt;0),1,0),1)</f>
        <v>1</v>
      </c>
      <c r="BC68" s="80" t="str">
        <f>IF(Y68=0,"",IF(NOT(ISNUMBER(B68)),"Falta fecha o fecha inválida",IF(D68="","Falta empresa",IF(AND(D68&lt;&gt;"Malcolm",D68&lt;&gt;"proMX"),"Empresa inválida",IF(OR(INT(B68)&lt;CFG_PSTART,INT(B68)&gt;CFG_PEND),"Fecha fuera del período",IF(OR(NOT(ISNUMBER(Z68)),NOT(ISNUMBER(AA68))),"Falta hora inicio/fin o formato inválido",IF(AB68=0,"Hora inicio = hora fin",IF(AE68&lt;0,"Descanso inválido",IF(AE68&gt;=AD68,"Descanso ≥ duración",IF(AV68=1,"Registro duplicado",IF(AZ68&gt;0,"Se superpone con otro registro "&amp;D68,IF(BB68=0,"inicio, fin y duración neta deben ser múltiplos de "&amp;CFG_BLK&amp;" min",""))))))))))))</f>
        <v/>
      </c>
      <c r="BD68" s="80">
        <f>IF(AND(Y68=1,BC68=""),1,0)</f>
        <v>0</v>
      </c>
      <c r="BE68" s="80">
        <f>IF(AND(BD68=1,AU68=1),1,0)</f>
        <v>0</v>
      </c>
      <c r="BF68" s="80" t="str">
        <f>IF(AND(D68="proMX",BD68=1),IF(R68="","Draft",R68),"")</f>
        <v/>
      </c>
      <c r="BG68" s="80">
        <f>IF(BD68=1,ROUND(AG68/60,6),0)</f>
        <v>0</v>
      </c>
      <c r="BH68" s="80">
        <f>IF(BE68=1,ROUND(AG68/60,6),0)</f>
        <v>0</v>
      </c>
      <c r="BI68" s="80">
        <f>IF(BE68=1,ROUND(AP68/60,6),0)</f>
        <v>0</v>
      </c>
      <c r="BJ68" s="80">
        <f>IF(BE68=1,ROUND(AQ68/60,6),0)</f>
        <v>0</v>
      </c>
      <c r="BK68" s="80">
        <f>IF(BE68=1,ROUND((AR68+AS68)/60,6),0)</f>
        <v>0</v>
      </c>
      <c r="BL68" s="80">
        <f>ROUND(BH68-BK68,6)</f>
        <v>0</v>
      </c>
      <c r="BM68" s="80">
        <f>IF(BE68=1,ROUND(AR68/60,6),0)</f>
        <v>0</v>
      </c>
      <c r="BN68" s="80">
        <f>ROUND(BI68-BM68,6)</f>
        <v>0</v>
      </c>
      <c r="BO68" s="80">
        <f>IF(BE68=1,ROUND(AS68/60,6),0)</f>
        <v>0</v>
      </c>
      <c r="BP68" s="80">
        <f>ROUND(BJ68-BO68,6)</f>
        <v>0</v>
      </c>
      <c r="BQ68" s="80">
        <f>IF(BE68=1,AW68,0)</f>
        <v>0</v>
      </c>
      <c r="BR68" s="80">
        <f>IF(BE68=1,AX68,0)</f>
        <v>0</v>
      </c>
      <c r="BS68" s="80">
        <f>IF(AND(BE68=1,D68="Malcolm",BA68&gt;0),MIN(BH68,SUMPRODUCT((R_Emp="proMX")*(R_EN&gt;0)*((R_EN-(R_EN&gt;BR68)*(R_EN-BR68))&gt;(R_SN+(R_SN&lt;BQ68)*(BQ68-R_SN)))*((R_EN-(R_EN&gt;BR68)*(R_EN-BR68))-(R_SN+(R_SN&lt;BQ68)*(BQ68-R_SN))))/60),0)</f>
        <v>0</v>
      </c>
      <c r="BT68" s="80">
        <f>IF(AND(BE68=1,D68="proMX"),ROUND(BI68*CFG_RATE+BJ68*CFG_OTRATE,6),0)</f>
        <v>0</v>
      </c>
      <c r="BU68" s="80">
        <f>IF(AND(BD68=1,D68="proMX"),ROUND(AG68/CFG_BLK,6),0)</f>
        <v>0</v>
      </c>
      <c r="BV68" s="80" t="str">
        <f>IF(BF68="Approved",IF(ISNUMBER(T68),INT(T68),INT(B68)),"")</f>
        <v/>
      </c>
      <c r="BW68" s="80">
        <f>IF(ISNUMBER(B68),IF(DB_MON="Todos",1,IF(AND(INT(B68)&gt;=DB_MS,INT(B68)&lt;=DB_ME),1,0)),0)</f>
        <v>0</v>
      </c>
      <c r="BX68" s="80">
        <f>IF(DB_PROJ="Todos",1,IF(E68&amp;""=DB_PROJ&amp;"",1,0))</f>
        <v>1</v>
      </c>
      <c r="BY68" s="80">
        <f>BW68*BX68</f>
        <v>0</v>
      </c>
      <c r="BZ68" s="80" t="str">
        <f>IF(Y68=1,F68&amp;IF(AND(F68&amp;""&lt;&gt;"",E68&amp;""&lt;&gt;"")," · ","")&amp;E68,"")</f>
        <v/>
      </c>
      <c r="CA68" s="80" t="str">
        <f>IF(AND(BD68=1,E68&amp;""&lt;&gt;""),IF(COUNTIFS($E$5:E67,E68,$BD$5:BD67,1)=0,MAX($CA$5:CA67)+1,""),"")</f>
        <v/>
      </c>
      <c r="CB68" s="80" t="str">
        <f>IF(AND(BE68=1,D68="Malcolm",E68&amp;""&lt;&gt;""),IF(COUNTIFS($D$5:D67,"Malcolm",$E$5:E67,E68,$BE$5:BE67,1)=0,MAX($CB$5:CB67)+1,""),"")</f>
        <v/>
      </c>
      <c r="CC68" s="80" t="str">
        <f>IF(AND(BD68=1,D68="proMX",E68&amp;""&lt;&gt;""),IF(COUNTIFS($D$5:D67,"proMX",$E$5:E67,E68,$BD$5:BD67,1)=0,MAX($CC$5:CC67)+1,""),"")</f>
        <v/>
      </c>
      <c r="CD68" s="80" t="str">
        <f>IF(AND(BE68=1,D68="Malcolm",F68&amp;""&lt;&gt;""),IF(COUNTIFS($D$5:D67,"Malcolm",$F$5:F67,F68,$BE$5:BE67,1)=0,MAX($CD$5:CD67)+1,""),"")</f>
        <v/>
      </c>
      <c r="CE68" s="80" t="str">
        <f>IF(AND(BD68=1,D68="proMX",F68&amp;""&lt;&gt;""),IF(COUNTIFS($D$5:D67,"proMX",$F$5:F67,F68,$BD$5:BD67,1)=0,MAX($CE$5:CE67)+1,""),"")</f>
        <v/>
      </c>
      <c r="CF68" s="80" t="str">
        <f>IF(AND(D68="proMX",BD68=1),IF(OR(BF68="Draft",BF68="Submitted",BF68="Returned",BF68="Recall Requested"),MAX($CF$5:CF67)+1,""),"")</f>
        <v/>
      </c>
      <c r="CG68" s="80">
        <f>IF(BD68=0,0,IF(D68="Malcolm",1,MATCH(BF68,{"Draft","Submitted","Approved","Returned","Recall Requested","Cancelled"},0)+1))</f>
        <v>0</v>
      </c>
      <c r="CH68" s="80">
        <f>IF(AND(BF68="Submitted",ISNUMBER(V68)),IF(V68&gt;CFG_MAXD,1,0),0)</f>
        <v>0</v>
      </c>
    </row>
    <row r="69">
      <c r="A69" s="71" t="str">
        <f>IF(Y69=1,ROW()-5,"")</f>
        <v/>
      </c>
      <c r="B69" s="72" t="n"/>
      <c r="C69" s="71" t="str">
        <f>IF(ISNUMBER(B69),CHOOSE(WEEKDAY(B69,2),"Lun","Mar","Mié","Jue","Vie","Sáb","Dom"),"")</f>
        <v/>
      </c>
      <c r="D69" s="73" t="n"/>
      <c r="E69" s="74" t="n"/>
      <c r="F69" s="74" t="n"/>
      <c r="G69" s="74" t="n"/>
      <c r="H69" s="75" t="n"/>
      <c r="I69" s="75" t="n"/>
      <c r="J69" s="76" t="n"/>
      <c r="K69" s="77" t="str">
        <f>IF(AB69=1,ROUND(AG69/60,4),"")</f>
        <v/>
      </c>
      <c r="L69" s="77" t="str">
        <f>IF(BD69=1,ROUND(AP69/60,4),"")</f>
        <v/>
      </c>
      <c r="M69" s="77" t="str">
        <f>IF(BD69=1,ROUND(AQ69/60,4),"")</f>
        <v/>
      </c>
      <c r="N69" s="71" t="str">
        <f>IF(AND(D69="proMX",AB69=1),ROUND(AG69/CFG_BLK,2),"")</f>
        <v/>
      </c>
      <c r="O69" s="77" t="str">
        <f>IF(D69="proMX",IF(BD69=1,ROUND(AG69/60,4),0),"")</f>
        <v/>
      </c>
      <c r="P69" s="78" t="str">
        <f>IF(Y69=0,"",IF(BD69=1,"OK",IF(D69="proMX","Revisar bloques: ","Revisar: ")&amp;BC69))</f>
        <v/>
      </c>
      <c r="Q69" s="78" t="str">
        <f>IF(NOT(ISNUMBER(B69)),"",IF(COUNTIFS(FER_F,INT(B69))&gt;0,"Feriado"&amp;IF(AH69=1," (laborable)"," (no laborable)"),IF(AH69=1,"Laborable",IF(WEEKDAY(B69,2)&gt;5,"Fin de semana","No laborable"))))</f>
        <v/>
      </c>
      <c r="R69" s="73" t="n"/>
      <c r="S69" s="72" t="n"/>
      <c r="T69" s="72" t="n"/>
      <c r="U69" s="74" t="n"/>
      <c r="V69" s="79" t="str">
        <f>IF(AND(D69="proMX",OR(R69="Submitted",R69="Recall Requested"),ISNUMBER(S69)),CFG_TODAY-INT(S69),"")</f>
        <v/>
      </c>
      <c r="W69" s="78" t="str">
        <f>IF(BD69=0,"",IF(BA69&gt;0,"⚠ Se superpone con un registro de la otra empresa",IF(D69="Malcolm",IF(COUNTA(R69,S69,T69)&gt;0,"Estado/fechas proMX se ignoran en Malcolm",""),IF(BF69="Cancelled","Cancelado: excluido de totales",IF(R69="","Sin estado: se trata como Draft",IF(BF69="Submitted",IF(ISNUMBER(V69),IF(V69&gt;CFG_MAXD,"⚠ "&amp;V69&amp;" días en Submitted (máx. "&amp;CFG_MAXD&amp;")",""),"Falta fecha de envío"),IF(BF69="Returned","⚠ Devuelto: corregir y reenviar",IF(BF69="Recall Requested","Retirada solicitada: pendiente",IF(AND(BF69="Approved",NOT(ISNUMBER(T69))),"Falta fecha de aprobación",IF(AND(ISNUMBER(S69),ISNUMBER(T69),T69&lt;S69),"Aprobación anterior al envío","")))))))))</f>
        <v/>
      </c>
      <c r="Y69" s="80">
        <f>IF(COUNTA(B69,D69,E69,F69,G69,H69,I69,J69,R69,S69,T69)&gt;0,1,0)</f>
        <v>0</v>
      </c>
      <c r="Z69" s="80" t="str">
        <f>IF(AND(ISNUMBER(H69),H69&gt;=0,H69&lt;1),ROUND(H69*1440,0),"")</f>
        <v/>
      </c>
      <c r="AA69" s="80" t="str">
        <f>IF(AND(ISNUMBER(I69),I69&gt;=0,I69&lt;1),ROUND(I69*1440,0),"")</f>
        <v/>
      </c>
      <c r="AB69" s="80">
        <f>IF(AND(ISNUMBER(B69),D69&lt;&gt;"",ISNUMBER(Z69),ISNUMBER(AA69)),IF(Z69=AA69,0,1),0)</f>
        <v>0</v>
      </c>
      <c r="AC69" s="80">
        <f>IF(AB69=1,IF(AA69&lt;Z69,1,0),0)</f>
        <v>0</v>
      </c>
      <c r="AD69" s="80">
        <f>IF(AB69=1,IF(AC69=1,1440-Z69+AA69,AA69-Z69),0)</f>
        <v>0</v>
      </c>
      <c r="AE69" s="80">
        <f>IF(J69="",0,IF(ISNUMBER(J69),J69,-1))</f>
        <v>0</v>
      </c>
      <c r="AF69" s="80">
        <f>MIN(MAX(0,AE69),AD69)</f>
        <v>0</v>
      </c>
      <c r="AG69" s="80">
        <f>MAX(0,AD69-MAX(0,AE69))</f>
        <v>0</v>
      </c>
      <c r="AH69" s="80">
        <f>IF(ISNUMBER(B69),IF(AND(INDEX(CFG_WDAYS,WEEKDAY(INT(B69),2))="Sí",IF(D69="proMX",COUNTIFS(FER_F,INT(B69),FER_NLP,"Sí"),COUNTIFS(FER_F,INT(B69),FER_NLM,"Sí"))=0),1,0),0)</f>
        <v>0</v>
      </c>
      <c r="AI69" s="80">
        <f>IF(AC69=1,IF(AND(INDEX(CFG_WDAYS,WEEKDAY(INT(B69)+1,2))="Sí",IF(D69="proMX",COUNTIFS(FER_F,INT(B69)+1,FER_NLP,"Sí"),COUNTIFS(FER_F,INT(B69)+1,FER_NLM,"Sí"))=0),1,0),0)</f>
        <v>0</v>
      </c>
      <c r="AJ69" s="80">
        <f>IF(AC69=1,1440-Z69,AD69)</f>
        <v>0</v>
      </c>
      <c r="AK69" s="80">
        <f>IF(AND(AB69=1,AH69=1),MAX(0,MIN(IF(AC69=1,1440,AA69),CFG_WEM)-MAX(Z69,CFG_WSM)),0)</f>
        <v>0</v>
      </c>
      <c r="AL69" s="80">
        <f>IF(AND(AC69=1,AI69=1),MAX(0,MIN(AA69,CFG_WEM)-CFG_WSM),0)</f>
        <v>0</v>
      </c>
      <c r="AM69" s="80">
        <f>AK69+AL69</f>
        <v>0</v>
      </c>
      <c r="AN69" s="80">
        <f>IF(CFG_BRK="Proporcional",IF(AD69=0,0,AF69*AM69/AD69),IF(CFG_BRK="Extras primero",MIN(AM69,MAX(0,AF69-(AD69-AM69))),MIN(AF69,AM69)))</f>
        <v>0</v>
      </c>
      <c r="AO69" s="80">
        <f>AF69-AN69</f>
        <v>0</v>
      </c>
      <c r="AP69" s="80">
        <f>AM69-AN69</f>
        <v>0</v>
      </c>
      <c r="AQ69" s="80">
        <f>AD69-AM69-AO69</f>
        <v>0</v>
      </c>
      <c r="AR69" s="80">
        <f>IF(AM69=0,0,AK69-AN69*AK69/AM69)</f>
        <v>0</v>
      </c>
      <c r="AS69" s="80">
        <f>IF(AD69-AM69=0,0,(AJ69-AK69)-AO69*(AJ69-AK69)/(AD69-AM69))</f>
        <v>0</v>
      </c>
      <c r="AT69" s="80" t="str">
        <f>IF(AC69=1,INT(B69)+1,"")</f>
        <v/>
      </c>
      <c r="AU69" s="80">
        <f>IF(AND(D69="proMX",R69="Cancelled"),0,1)</f>
        <v>1</v>
      </c>
      <c r="AV69" s="80">
        <f>IF(AND(AB69=1,AU69=1),IF(COUNTIFS($D$5:D68,D69,$B$5:B68,B69,$Z$5:Z68,Z69,$AA$5:AA68,AA69,$F$5:F68,F69&amp;"",$AU$5:AU68,1)&gt;0,1,0),0)</f>
        <v>0</v>
      </c>
      <c r="AW69" s="80" t="str">
        <f>IF(AB69=1,INT(B69)*1440+Z69,"")</f>
        <v/>
      </c>
      <c r="AX69" s="80" t="str">
        <f>IF(AB69=1,AW69+AD69,"")</f>
        <v/>
      </c>
      <c r="AY69" s="80">
        <f>IF(AND(AB69=1,AV69=0,AU69=1),1,0)</f>
        <v>0</v>
      </c>
      <c r="AZ69" s="80">
        <f>IF(AY69=1,COUNTIFS(R_Emp,D69,R_SAbs,"&lt;"&amp;AX69,R_EAbs,"&gt;"&amp;AW69,R_OKey,1)-1,0)</f>
        <v>0</v>
      </c>
      <c r="BA69" s="80">
        <f>IF(AY69=1,COUNTIFS(R_Emp,"&lt;&gt;"&amp;D69,R_SAbs,"&lt;"&amp;AX69,R_EAbs,"&gt;"&amp;AW69,R_OKey,1),0)</f>
        <v>0</v>
      </c>
      <c r="BB69" s="80">
        <f>IF(AND(AB69=1,D69="proMX"),IF(AND(MOD(Z69,CFG_BLK)=0,MOD(AA69,CFG_BLK)=0,MOD(AG69,CFG_BLK)=0,AG69&gt;0),1,0),1)</f>
        <v>1</v>
      </c>
      <c r="BC69" s="80" t="str">
        <f>IF(Y69=0,"",IF(NOT(ISNUMBER(B69)),"Falta fecha o fecha inválida",IF(D69="","Falta empresa",IF(AND(D69&lt;&gt;"Malcolm",D69&lt;&gt;"proMX"),"Empresa inválida",IF(OR(INT(B69)&lt;CFG_PSTART,INT(B69)&gt;CFG_PEND),"Fecha fuera del período",IF(OR(NOT(ISNUMBER(Z69)),NOT(ISNUMBER(AA69))),"Falta hora inicio/fin o formato inválido",IF(AB69=0,"Hora inicio = hora fin",IF(AE69&lt;0,"Descanso inválido",IF(AE69&gt;=AD69,"Descanso ≥ duración",IF(AV69=1,"Registro duplicado",IF(AZ69&gt;0,"Se superpone con otro registro "&amp;D69,IF(BB69=0,"inicio, fin y duración neta deben ser múltiplos de "&amp;CFG_BLK&amp;" min",""))))))))))))</f>
        <v/>
      </c>
      <c r="BD69" s="80">
        <f>IF(AND(Y69=1,BC69=""),1,0)</f>
        <v>0</v>
      </c>
      <c r="BE69" s="80">
        <f>IF(AND(BD69=1,AU69=1),1,0)</f>
        <v>0</v>
      </c>
      <c r="BF69" s="80" t="str">
        <f>IF(AND(D69="proMX",BD69=1),IF(R69="","Draft",R69),"")</f>
        <v/>
      </c>
      <c r="BG69" s="80">
        <f>IF(BD69=1,ROUND(AG69/60,6),0)</f>
        <v>0</v>
      </c>
      <c r="BH69" s="80">
        <f>IF(BE69=1,ROUND(AG69/60,6),0)</f>
        <v>0</v>
      </c>
      <c r="BI69" s="80">
        <f>IF(BE69=1,ROUND(AP69/60,6),0)</f>
        <v>0</v>
      </c>
      <c r="BJ69" s="80">
        <f>IF(BE69=1,ROUND(AQ69/60,6),0)</f>
        <v>0</v>
      </c>
      <c r="BK69" s="80">
        <f>IF(BE69=1,ROUND((AR69+AS69)/60,6),0)</f>
        <v>0</v>
      </c>
      <c r="BL69" s="80">
        <f>ROUND(BH69-BK69,6)</f>
        <v>0</v>
      </c>
      <c r="BM69" s="80">
        <f>IF(BE69=1,ROUND(AR69/60,6),0)</f>
        <v>0</v>
      </c>
      <c r="BN69" s="80">
        <f>ROUND(BI69-BM69,6)</f>
        <v>0</v>
      </c>
      <c r="BO69" s="80">
        <f>IF(BE69=1,ROUND(AS69/60,6),0)</f>
        <v>0</v>
      </c>
      <c r="BP69" s="80">
        <f>ROUND(BJ69-BO69,6)</f>
        <v>0</v>
      </c>
      <c r="BQ69" s="80">
        <f>IF(BE69=1,AW69,0)</f>
        <v>0</v>
      </c>
      <c r="BR69" s="80">
        <f>IF(BE69=1,AX69,0)</f>
        <v>0</v>
      </c>
      <c r="BS69" s="80">
        <f>IF(AND(BE69=1,D69="Malcolm",BA69&gt;0),MIN(BH69,SUMPRODUCT((R_Emp="proMX")*(R_EN&gt;0)*((R_EN-(R_EN&gt;BR69)*(R_EN-BR69))&gt;(R_SN+(R_SN&lt;BQ69)*(BQ69-R_SN)))*((R_EN-(R_EN&gt;BR69)*(R_EN-BR69))-(R_SN+(R_SN&lt;BQ69)*(BQ69-R_SN))))/60),0)</f>
        <v>0</v>
      </c>
      <c r="BT69" s="80">
        <f>IF(AND(BE69=1,D69="proMX"),ROUND(BI69*CFG_RATE+BJ69*CFG_OTRATE,6),0)</f>
        <v>0</v>
      </c>
      <c r="BU69" s="80">
        <f>IF(AND(BD69=1,D69="proMX"),ROUND(AG69/CFG_BLK,6),0)</f>
        <v>0</v>
      </c>
      <c r="BV69" s="80" t="str">
        <f>IF(BF69="Approved",IF(ISNUMBER(T69),INT(T69),INT(B69)),"")</f>
        <v/>
      </c>
      <c r="BW69" s="80">
        <f>IF(ISNUMBER(B69),IF(DB_MON="Todos",1,IF(AND(INT(B69)&gt;=DB_MS,INT(B69)&lt;=DB_ME),1,0)),0)</f>
        <v>0</v>
      </c>
      <c r="BX69" s="80">
        <f>IF(DB_PROJ="Todos",1,IF(E69&amp;""=DB_PROJ&amp;"",1,0))</f>
        <v>1</v>
      </c>
      <c r="BY69" s="80">
        <f>BW69*BX69</f>
        <v>0</v>
      </c>
      <c r="BZ69" s="80" t="str">
        <f>IF(Y69=1,F69&amp;IF(AND(F69&amp;""&lt;&gt;"",E69&amp;""&lt;&gt;"")," · ","")&amp;E69,"")</f>
        <v/>
      </c>
      <c r="CA69" s="80" t="str">
        <f>IF(AND(BD69=1,E69&amp;""&lt;&gt;""),IF(COUNTIFS($E$5:E68,E69,$BD$5:BD68,1)=0,MAX($CA$5:CA68)+1,""),"")</f>
        <v/>
      </c>
      <c r="CB69" s="80" t="str">
        <f>IF(AND(BE69=1,D69="Malcolm",E69&amp;""&lt;&gt;""),IF(COUNTIFS($D$5:D68,"Malcolm",$E$5:E68,E69,$BE$5:BE68,1)=0,MAX($CB$5:CB68)+1,""),"")</f>
        <v/>
      </c>
      <c r="CC69" s="80" t="str">
        <f>IF(AND(BD69=1,D69="proMX",E69&amp;""&lt;&gt;""),IF(COUNTIFS($D$5:D68,"proMX",$E$5:E68,E69,$BD$5:BD68,1)=0,MAX($CC$5:CC68)+1,""),"")</f>
        <v/>
      </c>
      <c r="CD69" s="80" t="str">
        <f>IF(AND(BE69=1,D69="Malcolm",F69&amp;""&lt;&gt;""),IF(COUNTIFS($D$5:D68,"Malcolm",$F$5:F68,F69,$BE$5:BE68,1)=0,MAX($CD$5:CD68)+1,""),"")</f>
        <v/>
      </c>
      <c r="CE69" s="80" t="str">
        <f>IF(AND(BD69=1,D69="proMX",F69&amp;""&lt;&gt;""),IF(COUNTIFS($D$5:D68,"proMX",$F$5:F68,F69,$BD$5:BD68,1)=0,MAX($CE$5:CE68)+1,""),"")</f>
        <v/>
      </c>
      <c r="CF69" s="80" t="str">
        <f>IF(AND(D69="proMX",BD69=1),IF(OR(BF69="Draft",BF69="Submitted",BF69="Returned",BF69="Recall Requested"),MAX($CF$5:CF68)+1,""),"")</f>
        <v/>
      </c>
      <c r="CG69" s="80">
        <f>IF(BD69=0,0,IF(D69="Malcolm",1,MATCH(BF69,{"Draft","Submitted","Approved","Returned","Recall Requested","Cancelled"},0)+1))</f>
        <v>0</v>
      </c>
      <c r="CH69" s="80">
        <f>IF(AND(BF69="Submitted",ISNUMBER(V69)),IF(V69&gt;CFG_MAXD,1,0),0)</f>
        <v>0</v>
      </c>
    </row>
    <row r="70">
      <c r="A70" s="71" t="str">
        <f>IF(Y70=1,ROW()-5,"")</f>
        <v/>
      </c>
      <c r="B70" s="72" t="n"/>
      <c r="C70" s="71" t="str">
        <f>IF(ISNUMBER(B70),CHOOSE(WEEKDAY(B70,2),"Lun","Mar","Mié","Jue","Vie","Sáb","Dom"),"")</f>
        <v/>
      </c>
      <c r="D70" s="73" t="n"/>
      <c r="E70" s="74" t="n"/>
      <c r="F70" s="74" t="n"/>
      <c r="G70" s="74" t="n"/>
      <c r="H70" s="75" t="n"/>
      <c r="I70" s="75" t="n"/>
      <c r="J70" s="76" t="n"/>
      <c r="K70" s="77" t="str">
        <f>IF(AB70=1,ROUND(AG70/60,4),"")</f>
        <v/>
      </c>
      <c r="L70" s="77" t="str">
        <f>IF(BD70=1,ROUND(AP70/60,4),"")</f>
        <v/>
      </c>
      <c r="M70" s="77" t="str">
        <f>IF(BD70=1,ROUND(AQ70/60,4),"")</f>
        <v/>
      </c>
      <c r="N70" s="71" t="str">
        <f>IF(AND(D70="proMX",AB70=1),ROUND(AG70/CFG_BLK,2),"")</f>
        <v/>
      </c>
      <c r="O70" s="77" t="str">
        <f>IF(D70="proMX",IF(BD70=1,ROUND(AG70/60,4),0),"")</f>
        <v/>
      </c>
      <c r="P70" s="78" t="str">
        <f>IF(Y70=0,"",IF(BD70=1,"OK",IF(D70="proMX","Revisar bloques: ","Revisar: ")&amp;BC70))</f>
        <v/>
      </c>
      <c r="Q70" s="78" t="str">
        <f>IF(NOT(ISNUMBER(B70)),"",IF(COUNTIFS(FER_F,INT(B70))&gt;0,"Feriado"&amp;IF(AH70=1," (laborable)"," (no laborable)"),IF(AH70=1,"Laborable",IF(WEEKDAY(B70,2)&gt;5,"Fin de semana","No laborable"))))</f>
        <v/>
      </c>
      <c r="R70" s="73" t="n"/>
      <c r="S70" s="72" t="n"/>
      <c r="T70" s="72" t="n"/>
      <c r="U70" s="74" t="n"/>
      <c r="V70" s="79" t="str">
        <f>IF(AND(D70="proMX",OR(R70="Submitted",R70="Recall Requested"),ISNUMBER(S70)),CFG_TODAY-INT(S70),"")</f>
        <v/>
      </c>
      <c r="W70" s="78" t="str">
        <f>IF(BD70=0,"",IF(BA70&gt;0,"⚠ Se superpone con un registro de la otra empresa",IF(D70="Malcolm",IF(COUNTA(R70,S70,T70)&gt;0,"Estado/fechas proMX se ignoran en Malcolm",""),IF(BF70="Cancelled","Cancelado: excluido de totales",IF(R70="","Sin estado: se trata como Draft",IF(BF70="Submitted",IF(ISNUMBER(V70),IF(V70&gt;CFG_MAXD,"⚠ "&amp;V70&amp;" días en Submitted (máx. "&amp;CFG_MAXD&amp;")",""),"Falta fecha de envío"),IF(BF70="Returned","⚠ Devuelto: corregir y reenviar",IF(BF70="Recall Requested","Retirada solicitada: pendiente",IF(AND(BF70="Approved",NOT(ISNUMBER(T70))),"Falta fecha de aprobación",IF(AND(ISNUMBER(S70),ISNUMBER(T70),T70&lt;S70),"Aprobación anterior al envío","")))))))))</f>
        <v/>
      </c>
      <c r="Y70" s="80">
        <f>IF(COUNTA(B70,D70,E70,F70,G70,H70,I70,J70,R70,S70,T70)&gt;0,1,0)</f>
        <v>0</v>
      </c>
      <c r="Z70" s="80" t="str">
        <f>IF(AND(ISNUMBER(H70),H70&gt;=0,H70&lt;1),ROUND(H70*1440,0),"")</f>
        <v/>
      </c>
      <c r="AA70" s="80" t="str">
        <f>IF(AND(ISNUMBER(I70),I70&gt;=0,I70&lt;1),ROUND(I70*1440,0),"")</f>
        <v/>
      </c>
      <c r="AB70" s="80">
        <f>IF(AND(ISNUMBER(B70),D70&lt;&gt;"",ISNUMBER(Z70),ISNUMBER(AA70)),IF(Z70=AA70,0,1),0)</f>
        <v>0</v>
      </c>
      <c r="AC70" s="80">
        <f>IF(AB70=1,IF(AA70&lt;Z70,1,0),0)</f>
        <v>0</v>
      </c>
      <c r="AD70" s="80">
        <f>IF(AB70=1,IF(AC70=1,1440-Z70+AA70,AA70-Z70),0)</f>
        <v>0</v>
      </c>
      <c r="AE70" s="80">
        <f>IF(J70="",0,IF(ISNUMBER(J70),J70,-1))</f>
        <v>0</v>
      </c>
      <c r="AF70" s="80">
        <f>MIN(MAX(0,AE70),AD70)</f>
        <v>0</v>
      </c>
      <c r="AG70" s="80">
        <f>MAX(0,AD70-MAX(0,AE70))</f>
        <v>0</v>
      </c>
      <c r="AH70" s="80">
        <f>IF(ISNUMBER(B70),IF(AND(INDEX(CFG_WDAYS,WEEKDAY(INT(B70),2))="Sí",IF(D70="proMX",COUNTIFS(FER_F,INT(B70),FER_NLP,"Sí"),COUNTIFS(FER_F,INT(B70),FER_NLM,"Sí"))=0),1,0),0)</f>
        <v>0</v>
      </c>
      <c r="AI70" s="80">
        <f>IF(AC70=1,IF(AND(INDEX(CFG_WDAYS,WEEKDAY(INT(B70)+1,2))="Sí",IF(D70="proMX",COUNTIFS(FER_F,INT(B70)+1,FER_NLP,"Sí"),COUNTIFS(FER_F,INT(B70)+1,FER_NLM,"Sí"))=0),1,0),0)</f>
        <v>0</v>
      </c>
      <c r="AJ70" s="80">
        <f>IF(AC70=1,1440-Z70,AD70)</f>
        <v>0</v>
      </c>
      <c r="AK70" s="80">
        <f>IF(AND(AB70=1,AH70=1),MAX(0,MIN(IF(AC70=1,1440,AA70),CFG_WEM)-MAX(Z70,CFG_WSM)),0)</f>
        <v>0</v>
      </c>
      <c r="AL70" s="80">
        <f>IF(AND(AC70=1,AI70=1),MAX(0,MIN(AA70,CFG_WEM)-CFG_WSM),0)</f>
        <v>0</v>
      </c>
      <c r="AM70" s="80">
        <f>AK70+AL70</f>
        <v>0</v>
      </c>
      <c r="AN70" s="80">
        <f>IF(CFG_BRK="Proporcional",IF(AD70=0,0,AF70*AM70/AD70),IF(CFG_BRK="Extras primero",MIN(AM70,MAX(0,AF70-(AD70-AM70))),MIN(AF70,AM70)))</f>
        <v>0</v>
      </c>
      <c r="AO70" s="80">
        <f>AF70-AN70</f>
        <v>0</v>
      </c>
      <c r="AP70" s="80">
        <f>AM70-AN70</f>
        <v>0</v>
      </c>
      <c r="AQ70" s="80">
        <f>AD70-AM70-AO70</f>
        <v>0</v>
      </c>
      <c r="AR70" s="80">
        <f>IF(AM70=0,0,AK70-AN70*AK70/AM70)</f>
        <v>0</v>
      </c>
      <c r="AS70" s="80">
        <f>IF(AD70-AM70=0,0,(AJ70-AK70)-AO70*(AJ70-AK70)/(AD70-AM70))</f>
        <v>0</v>
      </c>
      <c r="AT70" s="80" t="str">
        <f>IF(AC70=1,INT(B70)+1,"")</f>
        <v/>
      </c>
      <c r="AU70" s="80">
        <f>IF(AND(D70="proMX",R70="Cancelled"),0,1)</f>
        <v>1</v>
      </c>
      <c r="AV70" s="80">
        <f>IF(AND(AB70=1,AU70=1),IF(COUNTIFS($D$5:D69,D70,$B$5:B69,B70,$Z$5:Z69,Z70,$AA$5:AA69,AA70,$F$5:F69,F70&amp;"",$AU$5:AU69,1)&gt;0,1,0),0)</f>
        <v>0</v>
      </c>
      <c r="AW70" s="80" t="str">
        <f>IF(AB70=1,INT(B70)*1440+Z70,"")</f>
        <v/>
      </c>
      <c r="AX70" s="80" t="str">
        <f>IF(AB70=1,AW70+AD70,"")</f>
        <v/>
      </c>
      <c r="AY70" s="80">
        <f>IF(AND(AB70=1,AV70=0,AU70=1),1,0)</f>
        <v>0</v>
      </c>
      <c r="AZ70" s="80">
        <f>IF(AY70=1,COUNTIFS(R_Emp,D70,R_SAbs,"&lt;"&amp;AX70,R_EAbs,"&gt;"&amp;AW70,R_OKey,1)-1,0)</f>
        <v>0</v>
      </c>
      <c r="BA70" s="80">
        <f>IF(AY70=1,COUNTIFS(R_Emp,"&lt;&gt;"&amp;D70,R_SAbs,"&lt;"&amp;AX70,R_EAbs,"&gt;"&amp;AW70,R_OKey,1),0)</f>
        <v>0</v>
      </c>
      <c r="BB70" s="80">
        <f>IF(AND(AB70=1,D70="proMX"),IF(AND(MOD(Z70,CFG_BLK)=0,MOD(AA70,CFG_BLK)=0,MOD(AG70,CFG_BLK)=0,AG70&gt;0),1,0),1)</f>
        <v>1</v>
      </c>
      <c r="BC70" s="80" t="str">
        <f>IF(Y70=0,"",IF(NOT(ISNUMBER(B70)),"Falta fecha o fecha inválida",IF(D70="","Falta empresa",IF(AND(D70&lt;&gt;"Malcolm",D70&lt;&gt;"proMX"),"Empresa inválida",IF(OR(INT(B70)&lt;CFG_PSTART,INT(B70)&gt;CFG_PEND),"Fecha fuera del período",IF(OR(NOT(ISNUMBER(Z70)),NOT(ISNUMBER(AA70))),"Falta hora inicio/fin o formato inválido",IF(AB70=0,"Hora inicio = hora fin",IF(AE70&lt;0,"Descanso inválido",IF(AE70&gt;=AD70,"Descanso ≥ duración",IF(AV70=1,"Registro duplicado",IF(AZ70&gt;0,"Se superpone con otro registro "&amp;D70,IF(BB70=0,"inicio, fin y duración neta deben ser múltiplos de "&amp;CFG_BLK&amp;" min",""))))))))))))</f>
        <v/>
      </c>
      <c r="BD70" s="80">
        <f>IF(AND(Y70=1,BC70=""),1,0)</f>
        <v>0</v>
      </c>
      <c r="BE70" s="80">
        <f>IF(AND(BD70=1,AU70=1),1,0)</f>
        <v>0</v>
      </c>
      <c r="BF70" s="80" t="str">
        <f>IF(AND(D70="proMX",BD70=1),IF(R70="","Draft",R70),"")</f>
        <v/>
      </c>
      <c r="BG70" s="80">
        <f>IF(BD70=1,ROUND(AG70/60,6),0)</f>
        <v>0</v>
      </c>
      <c r="BH70" s="80">
        <f>IF(BE70=1,ROUND(AG70/60,6),0)</f>
        <v>0</v>
      </c>
      <c r="BI70" s="80">
        <f>IF(BE70=1,ROUND(AP70/60,6),0)</f>
        <v>0</v>
      </c>
      <c r="BJ70" s="80">
        <f>IF(BE70=1,ROUND(AQ70/60,6),0)</f>
        <v>0</v>
      </c>
      <c r="BK70" s="80">
        <f>IF(BE70=1,ROUND((AR70+AS70)/60,6),0)</f>
        <v>0</v>
      </c>
      <c r="BL70" s="80">
        <f>ROUND(BH70-BK70,6)</f>
        <v>0</v>
      </c>
      <c r="BM70" s="80">
        <f>IF(BE70=1,ROUND(AR70/60,6),0)</f>
        <v>0</v>
      </c>
      <c r="BN70" s="80">
        <f>ROUND(BI70-BM70,6)</f>
        <v>0</v>
      </c>
      <c r="BO70" s="80">
        <f>IF(BE70=1,ROUND(AS70/60,6),0)</f>
        <v>0</v>
      </c>
      <c r="BP70" s="80">
        <f>ROUND(BJ70-BO70,6)</f>
        <v>0</v>
      </c>
      <c r="BQ70" s="80">
        <f>IF(BE70=1,AW70,0)</f>
        <v>0</v>
      </c>
      <c r="BR70" s="80">
        <f>IF(BE70=1,AX70,0)</f>
        <v>0</v>
      </c>
      <c r="BS70" s="80">
        <f>IF(AND(BE70=1,D70="Malcolm",BA70&gt;0),MIN(BH70,SUMPRODUCT((R_Emp="proMX")*(R_EN&gt;0)*((R_EN-(R_EN&gt;BR70)*(R_EN-BR70))&gt;(R_SN+(R_SN&lt;BQ70)*(BQ70-R_SN)))*((R_EN-(R_EN&gt;BR70)*(R_EN-BR70))-(R_SN+(R_SN&lt;BQ70)*(BQ70-R_SN))))/60),0)</f>
        <v>0</v>
      </c>
      <c r="BT70" s="80">
        <f>IF(AND(BE70=1,D70="proMX"),ROUND(BI70*CFG_RATE+BJ70*CFG_OTRATE,6),0)</f>
        <v>0</v>
      </c>
      <c r="BU70" s="80">
        <f>IF(AND(BD70=1,D70="proMX"),ROUND(AG70/CFG_BLK,6),0)</f>
        <v>0</v>
      </c>
      <c r="BV70" s="80" t="str">
        <f>IF(BF70="Approved",IF(ISNUMBER(T70),INT(T70),INT(B70)),"")</f>
        <v/>
      </c>
      <c r="BW70" s="80">
        <f>IF(ISNUMBER(B70),IF(DB_MON="Todos",1,IF(AND(INT(B70)&gt;=DB_MS,INT(B70)&lt;=DB_ME),1,0)),0)</f>
        <v>0</v>
      </c>
      <c r="BX70" s="80">
        <f>IF(DB_PROJ="Todos",1,IF(E70&amp;""=DB_PROJ&amp;"",1,0))</f>
        <v>1</v>
      </c>
      <c r="BY70" s="80">
        <f>BW70*BX70</f>
        <v>0</v>
      </c>
      <c r="BZ70" s="80" t="str">
        <f>IF(Y70=1,F70&amp;IF(AND(F70&amp;""&lt;&gt;"",E70&amp;""&lt;&gt;"")," · ","")&amp;E70,"")</f>
        <v/>
      </c>
      <c r="CA70" s="80" t="str">
        <f>IF(AND(BD70=1,E70&amp;""&lt;&gt;""),IF(COUNTIFS($E$5:E69,E70,$BD$5:BD69,1)=0,MAX($CA$5:CA69)+1,""),"")</f>
        <v/>
      </c>
      <c r="CB70" s="80" t="str">
        <f>IF(AND(BE70=1,D70="Malcolm",E70&amp;""&lt;&gt;""),IF(COUNTIFS($D$5:D69,"Malcolm",$E$5:E69,E70,$BE$5:BE69,1)=0,MAX($CB$5:CB69)+1,""),"")</f>
        <v/>
      </c>
      <c r="CC70" s="80" t="str">
        <f>IF(AND(BD70=1,D70="proMX",E70&amp;""&lt;&gt;""),IF(COUNTIFS($D$5:D69,"proMX",$E$5:E69,E70,$BD$5:BD69,1)=0,MAX($CC$5:CC69)+1,""),"")</f>
        <v/>
      </c>
      <c r="CD70" s="80" t="str">
        <f>IF(AND(BE70=1,D70="Malcolm",F70&amp;""&lt;&gt;""),IF(COUNTIFS($D$5:D69,"Malcolm",$F$5:F69,F70,$BE$5:BE69,1)=0,MAX($CD$5:CD69)+1,""),"")</f>
        <v/>
      </c>
      <c r="CE70" s="80" t="str">
        <f>IF(AND(BD70=1,D70="proMX",F70&amp;""&lt;&gt;""),IF(COUNTIFS($D$5:D69,"proMX",$F$5:F69,F70,$BD$5:BD69,1)=0,MAX($CE$5:CE69)+1,""),"")</f>
        <v/>
      </c>
      <c r="CF70" s="80" t="str">
        <f>IF(AND(D70="proMX",BD70=1),IF(OR(BF70="Draft",BF70="Submitted",BF70="Returned",BF70="Recall Requested"),MAX($CF$5:CF69)+1,""),"")</f>
        <v/>
      </c>
      <c r="CG70" s="80">
        <f>IF(BD70=0,0,IF(D70="Malcolm",1,MATCH(BF70,{"Draft","Submitted","Approved","Returned","Recall Requested","Cancelled"},0)+1))</f>
        <v>0</v>
      </c>
      <c r="CH70" s="80">
        <f>IF(AND(BF70="Submitted",ISNUMBER(V70)),IF(V70&gt;CFG_MAXD,1,0),0)</f>
        <v>0</v>
      </c>
    </row>
    <row r="71">
      <c r="A71" s="71" t="str">
        <f>IF(Y71=1,ROW()-5,"")</f>
        <v/>
      </c>
      <c r="B71" s="72" t="n"/>
      <c r="C71" s="71" t="str">
        <f>IF(ISNUMBER(B71),CHOOSE(WEEKDAY(B71,2),"Lun","Mar","Mié","Jue","Vie","Sáb","Dom"),"")</f>
        <v/>
      </c>
      <c r="D71" s="73" t="n"/>
      <c r="E71" s="74" t="n"/>
      <c r="F71" s="74" t="n"/>
      <c r="G71" s="74" t="n"/>
      <c r="H71" s="75" t="n"/>
      <c r="I71" s="75" t="n"/>
      <c r="J71" s="76" t="n"/>
      <c r="K71" s="77" t="str">
        <f>IF(AB71=1,ROUND(AG71/60,4),"")</f>
        <v/>
      </c>
      <c r="L71" s="77" t="str">
        <f>IF(BD71=1,ROUND(AP71/60,4),"")</f>
        <v/>
      </c>
      <c r="M71" s="77" t="str">
        <f>IF(BD71=1,ROUND(AQ71/60,4),"")</f>
        <v/>
      </c>
      <c r="N71" s="71" t="str">
        <f>IF(AND(D71="proMX",AB71=1),ROUND(AG71/CFG_BLK,2),"")</f>
        <v/>
      </c>
      <c r="O71" s="77" t="str">
        <f>IF(D71="proMX",IF(BD71=1,ROUND(AG71/60,4),0),"")</f>
        <v/>
      </c>
      <c r="P71" s="78" t="str">
        <f>IF(Y71=0,"",IF(BD71=1,"OK",IF(D71="proMX","Revisar bloques: ","Revisar: ")&amp;BC71))</f>
        <v/>
      </c>
      <c r="Q71" s="78" t="str">
        <f>IF(NOT(ISNUMBER(B71)),"",IF(COUNTIFS(FER_F,INT(B71))&gt;0,"Feriado"&amp;IF(AH71=1," (laborable)"," (no laborable)"),IF(AH71=1,"Laborable",IF(WEEKDAY(B71,2)&gt;5,"Fin de semana","No laborable"))))</f>
        <v/>
      </c>
      <c r="R71" s="73" t="n"/>
      <c r="S71" s="72" t="n"/>
      <c r="T71" s="72" t="n"/>
      <c r="U71" s="74" t="n"/>
      <c r="V71" s="79" t="str">
        <f>IF(AND(D71="proMX",OR(R71="Submitted",R71="Recall Requested"),ISNUMBER(S71)),CFG_TODAY-INT(S71),"")</f>
        <v/>
      </c>
      <c r="W71" s="78" t="str">
        <f>IF(BD71=0,"",IF(BA71&gt;0,"⚠ Se superpone con un registro de la otra empresa",IF(D71="Malcolm",IF(COUNTA(R71,S71,T71)&gt;0,"Estado/fechas proMX se ignoran en Malcolm",""),IF(BF71="Cancelled","Cancelado: excluido de totales",IF(R71="","Sin estado: se trata como Draft",IF(BF71="Submitted",IF(ISNUMBER(V71),IF(V71&gt;CFG_MAXD,"⚠ "&amp;V71&amp;" días en Submitted (máx. "&amp;CFG_MAXD&amp;")",""),"Falta fecha de envío"),IF(BF71="Returned","⚠ Devuelto: corregir y reenviar",IF(BF71="Recall Requested","Retirada solicitada: pendiente",IF(AND(BF71="Approved",NOT(ISNUMBER(T71))),"Falta fecha de aprobación",IF(AND(ISNUMBER(S71),ISNUMBER(T71),T71&lt;S71),"Aprobación anterior al envío","")))))))))</f>
        <v/>
      </c>
      <c r="Y71" s="80">
        <f>IF(COUNTA(B71,D71,E71,F71,G71,H71,I71,J71,R71,S71,T71)&gt;0,1,0)</f>
        <v>0</v>
      </c>
      <c r="Z71" s="80" t="str">
        <f>IF(AND(ISNUMBER(H71),H71&gt;=0,H71&lt;1),ROUND(H71*1440,0),"")</f>
        <v/>
      </c>
      <c r="AA71" s="80" t="str">
        <f>IF(AND(ISNUMBER(I71),I71&gt;=0,I71&lt;1),ROUND(I71*1440,0),"")</f>
        <v/>
      </c>
      <c r="AB71" s="80">
        <f>IF(AND(ISNUMBER(B71),D71&lt;&gt;"",ISNUMBER(Z71),ISNUMBER(AA71)),IF(Z71=AA71,0,1),0)</f>
        <v>0</v>
      </c>
      <c r="AC71" s="80">
        <f>IF(AB71=1,IF(AA71&lt;Z71,1,0),0)</f>
        <v>0</v>
      </c>
      <c r="AD71" s="80">
        <f>IF(AB71=1,IF(AC71=1,1440-Z71+AA71,AA71-Z71),0)</f>
        <v>0</v>
      </c>
      <c r="AE71" s="80">
        <f>IF(J71="",0,IF(ISNUMBER(J71),J71,-1))</f>
        <v>0</v>
      </c>
      <c r="AF71" s="80">
        <f>MIN(MAX(0,AE71),AD71)</f>
        <v>0</v>
      </c>
      <c r="AG71" s="80">
        <f>MAX(0,AD71-MAX(0,AE71))</f>
        <v>0</v>
      </c>
      <c r="AH71" s="80">
        <f>IF(ISNUMBER(B71),IF(AND(INDEX(CFG_WDAYS,WEEKDAY(INT(B71),2))="Sí",IF(D71="proMX",COUNTIFS(FER_F,INT(B71),FER_NLP,"Sí"),COUNTIFS(FER_F,INT(B71),FER_NLM,"Sí"))=0),1,0),0)</f>
        <v>0</v>
      </c>
      <c r="AI71" s="80">
        <f>IF(AC71=1,IF(AND(INDEX(CFG_WDAYS,WEEKDAY(INT(B71)+1,2))="Sí",IF(D71="proMX",COUNTIFS(FER_F,INT(B71)+1,FER_NLP,"Sí"),COUNTIFS(FER_F,INT(B71)+1,FER_NLM,"Sí"))=0),1,0),0)</f>
        <v>0</v>
      </c>
      <c r="AJ71" s="80">
        <f>IF(AC71=1,1440-Z71,AD71)</f>
        <v>0</v>
      </c>
      <c r="AK71" s="80">
        <f>IF(AND(AB71=1,AH71=1),MAX(0,MIN(IF(AC71=1,1440,AA71),CFG_WEM)-MAX(Z71,CFG_WSM)),0)</f>
        <v>0</v>
      </c>
      <c r="AL71" s="80">
        <f>IF(AND(AC71=1,AI71=1),MAX(0,MIN(AA71,CFG_WEM)-CFG_WSM),0)</f>
        <v>0</v>
      </c>
      <c r="AM71" s="80">
        <f>AK71+AL71</f>
        <v>0</v>
      </c>
      <c r="AN71" s="80">
        <f>IF(CFG_BRK="Proporcional",IF(AD71=0,0,AF71*AM71/AD71),IF(CFG_BRK="Extras primero",MIN(AM71,MAX(0,AF71-(AD71-AM71))),MIN(AF71,AM71)))</f>
        <v>0</v>
      </c>
      <c r="AO71" s="80">
        <f>AF71-AN71</f>
        <v>0</v>
      </c>
      <c r="AP71" s="80">
        <f>AM71-AN71</f>
        <v>0</v>
      </c>
      <c r="AQ71" s="80">
        <f>AD71-AM71-AO71</f>
        <v>0</v>
      </c>
      <c r="AR71" s="80">
        <f>IF(AM71=0,0,AK71-AN71*AK71/AM71)</f>
        <v>0</v>
      </c>
      <c r="AS71" s="80">
        <f>IF(AD71-AM71=0,0,(AJ71-AK71)-AO71*(AJ71-AK71)/(AD71-AM71))</f>
        <v>0</v>
      </c>
      <c r="AT71" s="80" t="str">
        <f>IF(AC71=1,INT(B71)+1,"")</f>
        <v/>
      </c>
      <c r="AU71" s="80">
        <f>IF(AND(D71="proMX",R71="Cancelled"),0,1)</f>
        <v>1</v>
      </c>
      <c r="AV71" s="80">
        <f>IF(AND(AB71=1,AU71=1),IF(COUNTIFS($D$5:D70,D71,$B$5:B70,B71,$Z$5:Z70,Z71,$AA$5:AA70,AA71,$F$5:F70,F71&amp;"",$AU$5:AU70,1)&gt;0,1,0),0)</f>
        <v>0</v>
      </c>
      <c r="AW71" s="80" t="str">
        <f>IF(AB71=1,INT(B71)*1440+Z71,"")</f>
        <v/>
      </c>
      <c r="AX71" s="80" t="str">
        <f>IF(AB71=1,AW71+AD71,"")</f>
        <v/>
      </c>
      <c r="AY71" s="80">
        <f>IF(AND(AB71=1,AV71=0,AU71=1),1,0)</f>
        <v>0</v>
      </c>
      <c r="AZ71" s="80">
        <f>IF(AY71=1,COUNTIFS(R_Emp,D71,R_SAbs,"&lt;"&amp;AX71,R_EAbs,"&gt;"&amp;AW71,R_OKey,1)-1,0)</f>
        <v>0</v>
      </c>
      <c r="BA71" s="80">
        <f>IF(AY71=1,COUNTIFS(R_Emp,"&lt;&gt;"&amp;D71,R_SAbs,"&lt;"&amp;AX71,R_EAbs,"&gt;"&amp;AW71,R_OKey,1),0)</f>
        <v>0</v>
      </c>
      <c r="BB71" s="80">
        <f>IF(AND(AB71=1,D71="proMX"),IF(AND(MOD(Z71,CFG_BLK)=0,MOD(AA71,CFG_BLK)=0,MOD(AG71,CFG_BLK)=0,AG71&gt;0),1,0),1)</f>
        <v>1</v>
      </c>
      <c r="BC71" s="80" t="str">
        <f>IF(Y71=0,"",IF(NOT(ISNUMBER(B71)),"Falta fecha o fecha inválida",IF(D71="","Falta empresa",IF(AND(D71&lt;&gt;"Malcolm",D71&lt;&gt;"proMX"),"Empresa inválida",IF(OR(INT(B71)&lt;CFG_PSTART,INT(B71)&gt;CFG_PEND),"Fecha fuera del período",IF(OR(NOT(ISNUMBER(Z71)),NOT(ISNUMBER(AA71))),"Falta hora inicio/fin o formato inválido",IF(AB71=0,"Hora inicio = hora fin",IF(AE71&lt;0,"Descanso inválido",IF(AE71&gt;=AD71,"Descanso ≥ duración",IF(AV71=1,"Registro duplicado",IF(AZ71&gt;0,"Se superpone con otro registro "&amp;D71,IF(BB71=0,"inicio, fin y duración neta deben ser múltiplos de "&amp;CFG_BLK&amp;" min",""))))))))))))</f>
        <v/>
      </c>
      <c r="BD71" s="80">
        <f>IF(AND(Y71=1,BC71=""),1,0)</f>
        <v>0</v>
      </c>
      <c r="BE71" s="80">
        <f>IF(AND(BD71=1,AU71=1),1,0)</f>
        <v>0</v>
      </c>
      <c r="BF71" s="80" t="str">
        <f>IF(AND(D71="proMX",BD71=1),IF(R71="","Draft",R71),"")</f>
        <v/>
      </c>
      <c r="BG71" s="80">
        <f>IF(BD71=1,ROUND(AG71/60,6),0)</f>
        <v>0</v>
      </c>
      <c r="BH71" s="80">
        <f>IF(BE71=1,ROUND(AG71/60,6),0)</f>
        <v>0</v>
      </c>
      <c r="BI71" s="80">
        <f>IF(BE71=1,ROUND(AP71/60,6),0)</f>
        <v>0</v>
      </c>
      <c r="BJ71" s="80">
        <f>IF(BE71=1,ROUND(AQ71/60,6),0)</f>
        <v>0</v>
      </c>
      <c r="BK71" s="80">
        <f>IF(BE71=1,ROUND((AR71+AS71)/60,6),0)</f>
        <v>0</v>
      </c>
      <c r="BL71" s="80">
        <f>ROUND(BH71-BK71,6)</f>
        <v>0</v>
      </c>
      <c r="BM71" s="80">
        <f>IF(BE71=1,ROUND(AR71/60,6),0)</f>
        <v>0</v>
      </c>
      <c r="BN71" s="80">
        <f>ROUND(BI71-BM71,6)</f>
        <v>0</v>
      </c>
      <c r="BO71" s="80">
        <f>IF(BE71=1,ROUND(AS71/60,6),0)</f>
        <v>0</v>
      </c>
      <c r="BP71" s="80">
        <f>ROUND(BJ71-BO71,6)</f>
        <v>0</v>
      </c>
      <c r="BQ71" s="80">
        <f>IF(BE71=1,AW71,0)</f>
        <v>0</v>
      </c>
      <c r="BR71" s="80">
        <f>IF(BE71=1,AX71,0)</f>
        <v>0</v>
      </c>
      <c r="BS71" s="80">
        <f>IF(AND(BE71=1,D71="Malcolm",BA71&gt;0),MIN(BH71,SUMPRODUCT((R_Emp="proMX")*(R_EN&gt;0)*((R_EN-(R_EN&gt;BR71)*(R_EN-BR71))&gt;(R_SN+(R_SN&lt;BQ71)*(BQ71-R_SN)))*((R_EN-(R_EN&gt;BR71)*(R_EN-BR71))-(R_SN+(R_SN&lt;BQ71)*(BQ71-R_SN))))/60),0)</f>
        <v>0</v>
      </c>
      <c r="BT71" s="80">
        <f>IF(AND(BE71=1,D71="proMX"),ROUND(BI71*CFG_RATE+BJ71*CFG_OTRATE,6),0)</f>
        <v>0</v>
      </c>
      <c r="BU71" s="80">
        <f>IF(AND(BD71=1,D71="proMX"),ROUND(AG71/CFG_BLK,6),0)</f>
        <v>0</v>
      </c>
      <c r="BV71" s="80" t="str">
        <f>IF(BF71="Approved",IF(ISNUMBER(T71),INT(T71),INT(B71)),"")</f>
        <v/>
      </c>
      <c r="BW71" s="80">
        <f>IF(ISNUMBER(B71),IF(DB_MON="Todos",1,IF(AND(INT(B71)&gt;=DB_MS,INT(B71)&lt;=DB_ME),1,0)),0)</f>
        <v>0</v>
      </c>
      <c r="BX71" s="80">
        <f>IF(DB_PROJ="Todos",1,IF(E71&amp;""=DB_PROJ&amp;"",1,0))</f>
        <v>1</v>
      </c>
      <c r="BY71" s="80">
        <f>BW71*BX71</f>
        <v>0</v>
      </c>
      <c r="BZ71" s="80" t="str">
        <f>IF(Y71=1,F71&amp;IF(AND(F71&amp;""&lt;&gt;"",E71&amp;""&lt;&gt;"")," · ","")&amp;E71,"")</f>
        <v/>
      </c>
      <c r="CA71" s="80" t="str">
        <f>IF(AND(BD71=1,E71&amp;""&lt;&gt;""),IF(COUNTIFS($E$5:E70,E71,$BD$5:BD70,1)=0,MAX($CA$5:CA70)+1,""),"")</f>
        <v/>
      </c>
      <c r="CB71" s="80" t="str">
        <f>IF(AND(BE71=1,D71="Malcolm",E71&amp;""&lt;&gt;""),IF(COUNTIFS($D$5:D70,"Malcolm",$E$5:E70,E71,$BE$5:BE70,1)=0,MAX($CB$5:CB70)+1,""),"")</f>
        <v/>
      </c>
      <c r="CC71" s="80" t="str">
        <f>IF(AND(BD71=1,D71="proMX",E71&amp;""&lt;&gt;""),IF(COUNTIFS($D$5:D70,"proMX",$E$5:E70,E71,$BD$5:BD70,1)=0,MAX($CC$5:CC70)+1,""),"")</f>
        <v/>
      </c>
      <c r="CD71" s="80" t="str">
        <f>IF(AND(BE71=1,D71="Malcolm",F71&amp;""&lt;&gt;""),IF(COUNTIFS($D$5:D70,"Malcolm",$F$5:F70,F71,$BE$5:BE70,1)=0,MAX($CD$5:CD70)+1,""),"")</f>
        <v/>
      </c>
      <c r="CE71" s="80" t="str">
        <f>IF(AND(BD71=1,D71="proMX",F71&amp;""&lt;&gt;""),IF(COUNTIFS($D$5:D70,"proMX",$F$5:F70,F71,$BD$5:BD70,1)=0,MAX($CE$5:CE70)+1,""),"")</f>
        <v/>
      </c>
      <c r="CF71" s="80" t="str">
        <f>IF(AND(D71="proMX",BD71=1),IF(OR(BF71="Draft",BF71="Submitted",BF71="Returned",BF71="Recall Requested"),MAX($CF$5:CF70)+1,""),"")</f>
        <v/>
      </c>
      <c r="CG71" s="80">
        <f>IF(BD71=0,0,IF(D71="Malcolm",1,MATCH(BF71,{"Draft","Submitted","Approved","Returned","Recall Requested","Cancelled"},0)+1))</f>
        <v>0</v>
      </c>
      <c r="CH71" s="80">
        <f>IF(AND(BF71="Submitted",ISNUMBER(V71)),IF(V71&gt;CFG_MAXD,1,0),0)</f>
        <v>0</v>
      </c>
    </row>
    <row r="72">
      <c r="A72" s="71" t="str">
        <f>IF(Y72=1,ROW()-5,"")</f>
        <v/>
      </c>
      <c r="B72" s="72" t="n"/>
      <c r="C72" s="71" t="str">
        <f>IF(ISNUMBER(B72),CHOOSE(WEEKDAY(B72,2),"Lun","Mar","Mié","Jue","Vie","Sáb","Dom"),"")</f>
        <v/>
      </c>
      <c r="D72" s="73" t="n"/>
      <c r="E72" s="74" t="n"/>
      <c r="F72" s="74" t="n"/>
      <c r="G72" s="74" t="n"/>
      <c r="H72" s="75" t="n"/>
      <c r="I72" s="75" t="n"/>
      <c r="J72" s="76" t="n"/>
      <c r="K72" s="77" t="str">
        <f>IF(AB72=1,ROUND(AG72/60,4),"")</f>
        <v/>
      </c>
      <c r="L72" s="77" t="str">
        <f>IF(BD72=1,ROUND(AP72/60,4),"")</f>
        <v/>
      </c>
      <c r="M72" s="77" t="str">
        <f>IF(BD72=1,ROUND(AQ72/60,4),"")</f>
        <v/>
      </c>
      <c r="N72" s="71" t="str">
        <f>IF(AND(D72="proMX",AB72=1),ROUND(AG72/CFG_BLK,2),"")</f>
        <v/>
      </c>
      <c r="O72" s="77" t="str">
        <f>IF(D72="proMX",IF(BD72=1,ROUND(AG72/60,4),0),"")</f>
        <v/>
      </c>
      <c r="P72" s="78" t="str">
        <f>IF(Y72=0,"",IF(BD72=1,"OK",IF(D72="proMX","Revisar bloques: ","Revisar: ")&amp;BC72))</f>
        <v/>
      </c>
      <c r="Q72" s="78" t="str">
        <f>IF(NOT(ISNUMBER(B72)),"",IF(COUNTIFS(FER_F,INT(B72))&gt;0,"Feriado"&amp;IF(AH72=1," (laborable)"," (no laborable)"),IF(AH72=1,"Laborable",IF(WEEKDAY(B72,2)&gt;5,"Fin de semana","No laborable"))))</f>
        <v/>
      </c>
      <c r="R72" s="73" t="n"/>
      <c r="S72" s="72" t="n"/>
      <c r="T72" s="72" t="n"/>
      <c r="U72" s="74" t="n"/>
      <c r="V72" s="79" t="str">
        <f>IF(AND(D72="proMX",OR(R72="Submitted",R72="Recall Requested"),ISNUMBER(S72)),CFG_TODAY-INT(S72),"")</f>
        <v/>
      </c>
      <c r="W72" s="78" t="str">
        <f>IF(BD72=0,"",IF(BA72&gt;0,"⚠ Se superpone con un registro de la otra empresa",IF(D72="Malcolm",IF(COUNTA(R72,S72,T72)&gt;0,"Estado/fechas proMX se ignoran en Malcolm",""),IF(BF72="Cancelled","Cancelado: excluido de totales",IF(R72="","Sin estado: se trata como Draft",IF(BF72="Submitted",IF(ISNUMBER(V72),IF(V72&gt;CFG_MAXD,"⚠ "&amp;V72&amp;" días en Submitted (máx. "&amp;CFG_MAXD&amp;")",""),"Falta fecha de envío"),IF(BF72="Returned","⚠ Devuelto: corregir y reenviar",IF(BF72="Recall Requested","Retirada solicitada: pendiente",IF(AND(BF72="Approved",NOT(ISNUMBER(T72))),"Falta fecha de aprobación",IF(AND(ISNUMBER(S72),ISNUMBER(T72),T72&lt;S72),"Aprobación anterior al envío","")))))))))</f>
        <v/>
      </c>
      <c r="Y72" s="80">
        <f>IF(COUNTA(B72,D72,E72,F72,G72,H72,I72,J72,R72,S72,T72)&gt;0,1,0)</f>
        <v>0</v>
      </c>
      <c r="Z72" s="80" t="str">
        <f>IF(AND(ISNUMBER(H72),H72&gt;=0,H72&lt;1),ROUND(H72*1440,0),"")</f>
        <v/>
      </c>
      <c r="AA72" s="80" t="str">
        <f>IF(AND(ISNUMBER(I72),I72&gt;=0,I72&lt;1),ROUND(I72*1440,0),"")</f>
        <v/>
      </c>
      <c r="AB72" s="80">
        <f>IF(AND(ISNUMBER(B72),D72&lt;&gt;"",ISNUMBER(Z72),ISNUMBER(AA72)),IF(Z72=AA72,0,1),0)</f>
        <v>0</v>
      </c>
      <c r="AC72" s="80">
        <f>IF(AB72=1,IF(AA72&lt;Z72,1,0),0)</f>
        <v>0</v>
      </c>
      <c r="AD72" s="80">
        <f>IF(AB72=1,IF(AC72=1,1440-Z72+AA72,AA72-Z72),0)</f>
        <v>0</v>
      </c>
      <c r="AE72" s="80">
        <f>IF(J72="",0,IF(ISNUMBER(J72),J72,-1))</f>
        <v>0</v>
      </c>
      <c r="AF72" s="80">
        <f>MIN(MAX(0,AE72),AD72)</f>
        <v>0</v>
      </c>
      <c r="AG72" s="80">
        <f>MAX(0,AD72-MAX(0,AE72))</f>
        <v>0</v>
      </c>
      <c r="AH72" s="80">
        <f>IF(ISNUMBER(B72),IF(AND(INDEX(CFG_WDAYS,WEEKDAY(INT(B72),2))="Sí",IF(D72="proMX",COUNTIFS(FER_F,INT(B72),FER_NLP,"Sí"),COUNTIFS(FER_F,INT(B72),FER_NLM,"Sí"))=0),1,0),0)</f>
        <v>0</v>
      </c>
      <c r="AI72" s="80">
        <f>IF(AC72=1,IF(AND(INDEX(CFG_WDAYS,WEEKDAY(INT(B72)+1,2))="Sí",IF(D72="proMX",COUNTIFS(FER_F,INT(B72)+1,FER_NLP,"Sí"),COUNTIFS(FER_F,INT(B72)+1,FER_NLM,"Sí"))=0),1,0),0)</f>
        <v>0</v>
      </c>
      <c r="AJ72" s="80">
        <f>IF(AC72=1,1440-Z72,AD72)</f>
        <v>0</v>
      </c>
      <c r="AK72" s="80">
        <f>IF(AND(AB72=1,AH72=1),MAX(0,MIN(IF(AC72=1,1440,AA72),CFG_WEM)-MAX(Z72,CFG_WSM)),0)</f>
        <v>0</v>
      </c>
      <c r="AL72" s="80">
        <f>IF(AND(AC72=1,AI72=1),MAX(0,MIN(AA72,CFG_WEM)-CFG_WSM),0)</f>
        <v>0</v>
      </c>
      <c r="AM72" s="80">
        <f>AK72+AL72</f>
        <v>0</v>
      </c>
      <c r="AN72" s="80">
        <f>IF(CFG_BRK="Proporcional",IF(AD72=0,0,AF72*AM72/AD72),IF(CFG_BRK="Extras primero",MIN(AM72,MAX(0,AF72-(AD72-AM72))),MIN(AF72,AM72)))</f>
        <v>0</v>
      </c>
      <c r="AO72" s="80">
        <f>AF72-AN72</f>
        <v>0</v>
      </c>
      <c r="AP72" s="80">
        <f>AM72-AN72</f>
        <v>0</v>
      </c>
      <c r="AQ72" s="80">
        <f>AD72-AM72-AO72</f>
        <v>0</v>
      </c>
      <c r="AR72" s="80">
        <f>IF(AM72=0,0,AK72-AN72*AK72/AM72)</f>
        <v>0</v>
      </c>
      <c r="AS72" s="80">
        <f>IF(AD72-AM72=0,0,(AJ72-AK72)-AO72*(AJ72-AK72)/(AD72-AM72))</f>
        <v>0</v>
      </c>
      <c r="AT72" s="80" t="str">
        <f>IF(AC72=1,INT(B72)+1,"")</f>
        <v/>
      </c>
      <c r="AU72" s="80">
        <f>IF(AND(D72="proMX",R72="Cancelled"),0,1)</f>
        <v>1</v>
      </c>
      <c r="AV72" s="80">
        <f>IF(AND(AB72=1,AU72=1),IF(COUNTIFS($D$5:D71,D72,$B$5:B71,B72,$Z$5:Z71,Z72,$AA$5:AA71,AA72,$F$5:F71,F72&amp;"",$AU$5:AU71,1)&gt;0,1,0),0)</f>
        <v>0</v>
      </c>
      <c r="AW72" s="80" t="str">
        <f>IF(AB72=1,INT(B72)*1440+Z72,"")</f>
        <v/>
      </c>
      <c r="AX72" s="80" t="str">
        <f>IF(AB72=1,AW72+AD72,"")</f>
        <v/>
      </c>
      <c r="AY72" s="80">
        <f>IF(AND(AB72=1,AV72=0,AU72=1),1,0)</f>
        <v>0</v>
      </c>
      <c r="AZ72" s="80">
        <f>IF(AY72=1,COUNTIFS(R_Emp,D72,R_SAbs,"&lt;"&amp;AX72,R_EAbs,"&gt;"&amp;AW72,R_OKey,1)-1,0)</f>
        <v>0</v>
      </c>
      <c r="BA72" s="80">
        <f>IF(AY72=1,COUNTIFS(R_Emp,"&lt;&gt;"&amp;D72,R_SAbs,"&lt;"&amp;AX72,R_EAbs,"&gt;"&amp;AW72,R_OKey,1),0)</f>
        <v>0</v>
      </c>
      <c r="BB72" s="80">
        <f>IF(AND(AB72=1,D72="proMX"),IF(AND(MOD(Z72,CFG_BLK)=0,MOD(AA72,CFG_BLK)=0,MOD(AG72,CFG_BLK)=0,AG72&gt;0),1,0),1)</f>
        <v>1</v>
      </c>
      <c r="BC72" s="80" t="str">
        <f>IF(Y72=0,"",IF(NOT(ISNUMBER(B72)),"Falta fecha o fecha inválida",IF(D72="","Falta empresa",IF(AND(D72&lt;&gt;"Malcolm",D72&lt;&gt;"proMX"),"Empresa inválida",IF(OR(INT(B72)&lt;CFG_PSTART,INT(B72)&gt;CFG_PEND),"Fecha fuera del período",IF(OR(NOT(ISNUMBER(Z72)),NOT(ISNUMBER(AA72))),"Falta hora inicio/fin o formato inválido",IF(AB72=0,"Hora inicio = hora fin",IF(AE72&lt;0,"Descanso inválido",IF(AE72&gt;=AD72,"Descanso ≥ duración",IF(AV72=1,"Registro duplicado",IF(AZ72&gt;0,"Se superpone con otro registro "&amp;D72,IF(BB72=0,"inicio, fin y duración neta deben ser múltiplos de "&amp;CFG_BLK&amp;" min",""))))))))))))</f>
        <v/>
      </c>
      <c r="BD72" s="80">
        <f>IF(AND(Y72=1,BC72=""),1,0)</f>
        <v>0</v>
      </c>
      <c r="BE72" s="80">
        <f>IF(AND(BD72=1,AU72=1),1,0)</f>
        <v>0</v>
      </c>
      <c r="BF72" s="80" t="str">
        <f>IF(AND(D72="proMX",BD72=1),IF(R72="","Draft",R72),"")</f>
        <v/>
      </c>
      <c r="BG72" s="80">
        <f>IF(BD72=1,ROUND(AG72/60,6),0)</f>
        <v>0</v>
      </c>
      <c r="BH72" s="80">
        <f>IF(BE72=1,ROUND(AG72/60,6),0)</f>
        <v>0</v>
      </c>
      <c r="BI72" s="80">
        <f>IF(BE72=1,ROUND(AP72/60,6),0)</f>
        <v>0</v>
      </c>
      <c r="BJ72" s="80">
        <f>IF(BE72=1,ROUND(AQ72/60,6),0)</f>
        <v>0</v>
      </c>
      <c r="BK72" s="80">
        <f>IF(BE72=1,ROUND((AR72+AS72)/60,6),0)</f>
        <v>0</v>
      </c>
      <c r="BL72" s="80">
        <f>ROUND(BH72-BK72,6)</f>
        <v>0</v>
      </c>
      <c r="BM72" s="80">
        <f>IF(BE72=1,ROUND(AR72/60,6),0)</f>
        <v>0</v>
      </c>
      <c r="BN72" s="80">
        <f>ROUND(BI72-BM72,6)</f>
        <v>0</v>
      </c>
      <c r="BO72" s="80">
        <f>IF(BE72=1,ROUND(AS72/60,6),0)</f>
        <v>0</v>
      </c>
      <c r="BP72" s="80">
        <f>ROUND(BJ72-BO72,6)</f>
        <v>0</v>
      </c>
      <c r="BQ72" s="80">
        <f>IF(BE72=1,AW72,0)</f>
        <v>0</v>
      </c>
      <c r="BR72" s="80">
        <f>IF(BE72=1,AX72,0)</f>
        <v>0</v>
      </c>
      <c r="BS72" s="80">
        <f>IF(AND(BE72=1,D72="Malcolm",BA72&gt;0),MIN(BH72,SUMPRODUCT((R_Emp="proMX")*(R_EN&gt;0)*((R_EN-(R_EN&gt;BR72)*(R_EN-BR72))&gt;(R_SN+(R_SN&lt;BQ72)*(BQ72-R_SN)))*((R_EN-(R_EN&gt;BR72)*(R_EN-BR72))-(R_SN+(R_SN&lt;BQ72)*(BQ72-R_SN))))/60),0)</f>
        <v>0</v>
      </c>
      <c r="BT72" s="80">
        <f>IF(AND(BE72=1,D72="proMX"),ROUND(BI72*CFG_RATE+BJ72*CFG_OTRATE,6),0)</f>
        <v>0</v>
      </c>
      <c r="BU72" s="80">
        <f>IF(AND(BD72=1,D72="proMX"),ROUND(AG72/CFG_BLK,6),0)</f>
        <v>0</v>
      </c>
      <c r="BV72" s="80" t="str">
        <f>IF(BF72="Approved",IF(ISNUMBER(T72),INT(T72),INT(B72)),"")</f>
        <v/>
      </c>
      <c r="BW72" s="80">
        <f>IF(ISNUMBER(B72),IF(DB_MON="Todos",1,IF(AND(INT(B72)&gt;=DB_MS,INT(B72)&lt;=DB_ME),1,0)),0)</f>
        <v>0</v>
      </c>
      <c r="BX72" s="80">
        <f>IF(DB_PROJ="Todos",1,IF(E72&amp;""=DB_PROJ&amp;"",1,0))</f>
        <v>1</v>
      </c>
      <c r="BY72" s="80">
        <f>BW72*BX72</f>
        <v>0</v>
      </c>
      <c r="BZ72" s="80" t="str">
        <f>IF(Y72=1,F72&amp;IF(AND(F72&amp;""&lt;&gt;"",E72&amp;""&lt;&gt;"")," · ","")&amp;E72,"")</f>
        <v/>
      </c>
      <c r="CA72" s="80" t="str">
        <f>IF(AND(BD72=1,E72&amp;""&lt;&gt;""),IF(COUNTIFS($E$5:E71,E72,$BD$5:BD71,1)=0,MAX($CA$5:CA71)+1,""),"")</f>
        <v/>
      </c>
      <c r="CB72" s="80" t="str">
        <f>IF(AND(BE72=1,D72="Malcolm",E72&amp;""&lt;&gt;""),IF(COUNTIFS($D$5:D71,"Malcolm",$E$5:E71,E72,$BE$5:BE71,1)=0,MAX($CB$5:CB71)+1,""),"")</f>
        <v/>
      </c>
      <c r="CC72" s="80" t="str">
        <f>IF(AND(BD72=1,D72="proMX",E72&amp;""&lt;&gt;""),IF(COUNTIFS($D$5:D71,"proMX",$E$5:E71,E72,$BD$5:BD71,1)=0,MAX($CC$5:CC71)+1,""),"")</f>
        <v/>
      </c>
      <c r="CD72" s="80" t="str">
        <f>IF(AND(BE72=1,D72="Malcolm",F72&amp;""&lt;&gt;""),IF(COUNTIFS($D$5:D71,"Malcolm",$F$5:F71,F72,$BE$5:BE71,1)=0,MAX($CD$5:CD71)+1,""),"")</f>
        <v/>
      </c>
      <c r="CE72" s="80" t="str">
        <f>IF(AND(BD72=1,D72="proMX",F72&amp;""&lt;&gt;""),IF(COUNTIFS($D$5:D71,"proMX",$F$5:F71,F72,$BD$5:BD71,1)=0,MAX($CE$5:CE71)+1,""),"")</f>
        <v/>
      </c>
      <c r="CF72" s="80" t="str">
        <f>IF(AND(D72="proMX",BD72=1),IF(OR(BF72="Draft",BF72="Submitted",BF72="Returned",BF72="Recall Requested"),MAX($CF$5:CF71)+1,""),"")</f>
        <v/>
      </c>
      <c r="CG72" s="80">
        <f>IF(BD72=0,0,IF(D72="Malcolm",1,MATCH(BF72,{"Draft","Submitted","Approved","Returned","Recall Requested","Cancelled"},0)+1))</f>
        <v>0</v>
      </c>
      <c r="CH72" s="80">
        <f>IF(AND(BF72="Submitted",ISNUMBER(V72)),IF(V72&gt;CFG_MAXD,1,0),0)</f>
        <v>0</v>
      </c>
    </row>
    <row r="73">
      <c r="A73" s="71" t="str">
        <f>IF(Y73=1,ROW()-5,"")</f>
        <v/>
      </c>
      <c r="B73" s="72" t="n"/>
      <c r="C73" s="71" t="str">
        <f>IF(ISNUMBER(B73),CHOOSE(WEEKDAY(B73,2),"Lun","Mar","Mié","Jue","Vie","Sáb","Dom"),"")</f>
        <v/>
      </c>
      <c r="D73" s="73" t="n"/>
      <c r="E73" s="74" t="n"/>
      <c r="F73" s="74" t="n"/>
      <c r="G73" s="74" t="n"/>
      <c r="H73" s="75" t="n"/>
      <c r="I73" s="75" t="n"/>
      <c r="J73" s="76" t="n"/>
      <c r="K73" s="77" t="str">
        <f>IF(AB73=1,ROUND(AG73/60,4),"")</f>
        <v/>
      </c>
      <c r="L73" s="77" t="str">
        <f>IF(BD73=1,ROUND(AP73/60,4),"")</f>
        <v/>
      </c>
      <c r="M73" s="77" t="str">
        <f>IF(BD73=1,ROUND(AQ73/60,4),"")</f>
        <v/>
      </c>
      <c r="N73" s="71" t="str">
        <f>IF(AND(D73="proMX",AB73=1),ROUND(AG73/CFG_BLK,2),"")</f>
        <v/>
      </c>
      <c r="O73" s="77" t="str">
        <f>IF(D73="proMX",IF(BD73=1,ROUND(AG73/60,4),0),"")</f>
        <v/>
      </c>
      <c r="P73" s="78" t="str">
        <f>IF(Y73=0,"",IF(BD73=1,"OK",IF(D73="proMX","Revisar bloques: ","Revisar: ")&amp;BC73))</f>
        <v/>
      </c>
      <c r="Q73" s="78" t="str">
        <f>IF(NOT(ISNUMBER(B73)),"",IF(COUNTIFS(FER_F,INT(B73))&gt;0,"Feriado"&amp;IF(AH73=1," (laborable)"," (no laborable)"),IF(AH73=1,"Laborable",IF(WEEKDAY(B73,2)&gt;5,"Fin de semana","No laborable"))))</f>
        <v/>
      </c>
      <c r="R73" s="73" t="n"/>
      <c r="S73" s="72" t="n"/>
      <c r="T73" s="72" t="n"/>
      <c r="U73" s="74" t="n"/>
      <c r="V73" s="79" t="str">
        <f>IF(AND(D73="proMX",OR(R73="Submitted",R73="Recall Requested"),ISNUMBER(S73)),CFG_TODAY-INT(S73),"")</f>
        <v/>
      </c>
      <c r="W73" s="78" t="str">
        <f>IF(BD73=0,"",IF(BA73&gt;0,"⚠ Se superpone con un registro de la otra empresa",IF(D73="Malcolm",IF(COUNTA(R73,S73,T73)&gt;0,"Estado/fechas proMX se ignoran en Malcolm",""),IF(BF73="Cancelled","Cancelado: excluido de totales",IF(R73="","Sin estado: se trata como Draft",IF(BF73="Submitted",IF(ISNUMBER(V73),IF(V73&gt;CFG_MAXD,"⚠ "&amp;V73&amp;" días en Submitted (máx. "&amp;CFG_MAXD&amp;")",""),"Falta fecha de envío"),IF(BF73="Returned","⚠ Devuelto: corregir y reenviar",IF(BF73="Recall Requested","Retirada solicitada: pendiente",IF(AND(BF73="Approved",NOT(ISNUMBER(T73))),"Falta fecha de aprobación",IF(AND(ISNUMBER(S73),ISNUMBER(T73),T73&lt;S73),"Aprobación anterior al envío","")))))))))</f>
        <v/>
      </c>
      <c r="Y73" s="80">
        <f>IF(COUNTA(B73,D73,E73,F73,G73,H73,I73,J73,R73,S73,T73)&gt;0,1,0)</f>
        <v>0</v>
      </c>
      <c r="Z73" s="80" t="str">
        <f>IF(AND(ISNUMBER(H73),H73&gt;=0,H73&lt;1),ROUND(H73*1440,0),"")</f>
        <v/>
      </c>
      <c r="AA73" s="80" t="str">
        <f>IF(AND(ISNUMBER(I73),I73&gt;=0,I73&lt;1),ROUND(I73*1440,0),"")</f>
        <v/>
      </c>
      <c r="AB73" s="80">
        <f>IF(AND(ISNUMBER(B73),D73&lt;&gt;"",ISNUMBER(Z73),ISNUMBER(AA73)),IF(Z73=AA73,0,1),0)</f>
        <v>0</v>
      </c>
      <c r="AC73" s="80">
        <f>IF(AB73=1,IF(AA73&lt;Z73,1,0),0)</f>
        <v>0</v>
      </c>
      <c r="AD73" s="80">
        <f>IF(AB73=1,IF(AC73=1,1440-Z73+AA73,AA73-Z73),0)</f>
        <v>0</v>
      </c>
      <c r="AE73" s="80">
        <f>IF(J73="",0,IF(ISNUMBER(J73),J73,-1))</f>
        <v>0</v>
      </c>
      <c r="AF73" s="80">
        <f>MIN(MAX(0,AE73),AD73)</f>
        <v>0</v>
      </c>
      <c r="AG73" s="80">
        <f>MAX(0,AD73-MAX(0,AE73))</f>
        <v>0</v>
      </c>
      <c r="AH73" s="80">
        <f>IF(ISNUMBER(B73),IF(AND(INDEX(CFG_WDAYS,WEEKDAY(INT(B73),2))="Sí",IF(D73="proMX",COUNTIFS(FER_F,INT(B73),FER_NLP,"Sí"),COUNTIFS(FER_F,INT(B73),FER_NLM,"Sí"))=0),1,0),0)</f>
        <v>0</v>
      </c>
      <c r="AI73" s="80">
        <f>IF(AC73=1,IF(AND(INDEX(CFG_WDAYS,WEEKDAY(INT(B73)+1,2))="Sí",IF(D73="proMX",COUNTIFS(FER_F,INT(B73)+1,FER_NLP,"Sí"),COUNTIFS(FER_F,INT(B73)+1,FER_NLM,"Sí"))=0),1,0),0)</f>
        <v>0</v>
      </c>
      <c r="AJ73" s="80">
        <f>IF(AC73=1,1440-Z73,AD73)</f>
        <v>0</v>
      </c>
      <c r="AK73" s="80">
        <f>IF(AND(AB73=1,AH73=1),MAX(0,MIN(IF(AC73=1,1440,AA73),CFG_WEM)-MAX(Z73,CFG_WSM)),0)</f>
        <v>0</v>
      </c>
      <c r="AL73" s="80">
        <f>IF(AND(AC73=1,AI73=1),MAX(0,MIN(AA73,CFG_WEM)-CFG_WSM),0)</f>
        <v>0</v>
      </c>
      <c r="AM73" s="80">
        <f>AK73+AL73</f>
        <v>0</v>
      </c>
      <c r="AN73" s="80">
        <f>IF(CFG_BRK="Proporcional",IF(AD73=0,0,AF73*AM73/AD73),IF(CFG_BRK="Extras primero",MIN(AM73,MAX(0,AF73-(AD73-AM73))),MIN(AF73,AM73)))</f>
        <v>0</v>
      </c>
      <c r="AO73" s="80">
        <f>AF73-AN73</f>
        <v>0</v>
      </c>
      <c r="AP73" s="80">
        <f>AM73-AN73</f>
        <v>0</v>
      </c>
      <c r="AQ73" s="80">
        <f>AD73-AM73-AO73</f>
        <v>0</v>
      </c>
      <c r="AR73" s="80">
        <f>IF(AM73=0,0,AK73-AN73*AK73/AM73)</f>
        <v>0</v>
      </c>
      <c r="AS73" s="80">
        <f>IF(AD73-AM73=0,0,(AJ73-AK73)-AO73*(AJ73-AK73)/(AD73-AM73))</f>
        <v>0</v>
      </c>
      <c r="AT73" s="80" t="str">
        <f>IF(AC73=1,INT(B73)+1,"")</f>
        <v/>
      </c>
      <c r="AU73" s="80">
        <f>IF(AND(D73="proMX",R73="Cancelled"),0,1)</f>
        <v>1</v>
      </c>
      <c r="AV73" s="80">
        <f>IF(AND(AB73=1,AU73=1),IF(COUNTIFS($D$5:D72,D73,$B$5:B72,B73,$Z$5:Z72,Z73,$AA$5:AA72,AA73,$F$5:F72,F73&amp;"",$AU$5:AU72,1)&gt;0,1,0),0)</f>
        <v>0</v>
      </c>
      <c r="AW73" s="80" t="str">
        <f>IF(AB73=1,INT(B73)*1440+Z73,"")</f>
        <v/>
      </c>
      <c r="AX73" s="80" t="str">
        <f>IF(AB73=1,AW73+AD73,"")</f>
        <v/>
      </c>
      <c r="AY73" s="80">
        <f>IF(AND(AB73=1,AV73=0,AU73=1),1,0)</f>
        <v>0</v>
      </c>
      <c r="AZ73" s="80">
        <f>IF(AY73=1,COUNTIFS(R_Emp,D73,R_SAbs,"&lt;"&amp;AX73,R_EAbs,"&gt;"&amp;AW73,R_OKey,1)-1,0)</f>
        <v>0</v>
      </c>
      <c r="BA73" s="80">
        <f>IF(AY73=1,COUNTIFS(R_Emp,"&lt;&gt;"&amp;D73,R_SAbs,"&lt;"&amp;AX73,R_EAbs,"&gt;"&amp;AW73,R_OKey,1),0)</f>
        <v>0</v>
      </c>
      <c r="BB73" s="80">
        <f>IF(AND(AB73=1,D73="proMX"),IF(AND(MOD(Z73,CFG_BLK)=0,MOD(AA73,CFG_BLK)=0,MOD(AG73,CFG_BLK)=0,AG73&gt;0),1,0),1)</f>
        <v>1</v>
      </c>
      <c r="BC73" s="80" t="str">
        <f>IF(Y73=0,"",IF(NOT(ISNUMBER(B73)),"Falta fecha o fecha inválida",IF(D73="","Falta empresa",IF(AND(D73&lt;&gt;"Malcolm",D73&lt;&gt;"proMX"),"Empresa inválida",IF(OR(INT(B73)&lt;CFG_PSTART,INT(B73)&gt;CFG_PEND),"Fecha fuera del período",IF(OR(NOT(ISNUMBER(Z73)),NOT(ISNUMBER(AA73))),"Falta hora inicio/fin o formato inválido",IF(AB73=0,"Hora inicio = hora fin",IF(AE73&lt;0,"Descanso inválido",IF(AE73&gt;=AD73,"Descanso ≥ duración",IF(AV73=1,"Registro duplicado",IF(AZ73&gt;0,"Se superpone con otro registro "&amp;D73,IF(BB73=0,"inicio, fin y duración neta deben ser múltiplos de "&amp;CFG_BLK&amp;" min",""))))))))))))</f>
        <v/>
      </c>
      <c r="BD73" s="80">
        <f>IF(AND(Y73=1,BC73=""),1,0)</f>
        <v>0</v>
      </c>
      <c r="BE73" s="80">
        <f>IF(AND(BD73=1,AU73=1),1,0)</f>
        <v>0</v>
      </c>
      <c r="BF73" s="80" t="str">
        <f>IF(AND(D73="proMX",BD73=1),IF(R73="","Draft",R73),"")</f>
        <v/>
      </c>
      <c r="BG73" s="80">
        <f>IF(BD73=1,ROUND(AG73/60,6),0)</f>
        <v>0</v>
      </c>
      <c r="BH73" s="80">
        <f>IF(BE73=1,ROUND(AG73/60,6),0)</f>
        <v>0</v>
      </c>
      <c r="BI73" s="80">
        <f>IF(BE73=1,ROUND(AP73/60,6),0)</f>
        <v>0</v>
      </c>
      <c r="BJ73" s="80">
        <f>IF(BE73=1,ROUND(AQ73/60,6),0)</f>
        <v>0</v>
      </c>
      <c r="BK73" s="80">
        <f>IF(BE73=1,ROUND((AR73+AS73)/60,6),0)</f>
        <v>0</v>
      </c>
      <c r="BL73" s="80">
        <f>ROUND(BH73-BK73,6)</f>
        <v>0</v>
      </c>
      <c r="BM73" s="80">
        <f>IF(BE73=1,ROUND(AR73/60,6),0)</f>
        <v>0</v>
      </c>
      <c r="BN73" s="80">
        <f>ROUND(BI73-BM73,6)</f>
        <v>0</v>
      </c>
      <c r="BO73" s="80">
        <f>IF(BE73=1,ROUND(AS73/60,6),0)</f>
        <v>0</v>
      </c>
      <c r="BP73" s="80">
        <f>ROUND(BJ73-BO73,6)</f>
        <v>0</v>
      </c>
      <c r="BQ73" s="80">
        <f>IF(BE73=1,AW73,0)</f>
        <v>0</v>
      </c>
      <c r="BR73" s="80">
        <f>IF(BE73=1,AX73,0)</f>
        <v>0</v>
      </c>
      <c r="BS73" s="80">
        <f>IF(AND(BE73=1,D73="Malcolm",BA73&gt;0),MIN(BH73,SUMPRODUCT((R_Emp="proMX")*(R_EN&gt;0)*((R_EN-(R_EN&gt;BR73)*(R_EN-BR73))&gt;(R_SN+(R_SN&lt;BQ73)*(BQ73-R_SN)))*((R_EN-(R_EN&gt;BR73)*(R_EN-BR73))-(R_SN+(R_SN&lt;BQ73)*(BQ73-R_SN))))/60),0)</f>
        <v>0</v>
      </c>
      <c r="BT73" s="80">
        <f>IF(AND(BE73=1,D73="proMX"),ROUND(BI73*CFG_RATE+BJ73*CFG_OTRATE,6),0)</f>
        <v>0</v>
      </c>
      <c r="BU73" s="80">
        <f>IF(AND(BD73=1,D73="proMX"),ROUND(AG73/CFG_BLK,6),0)</f>
        <v>0</v>
      </c>
      <c r="BV73" s="80" t="str">
        <f>IF(BF73="Approved",IF(ISNUMBER(T73),INT(T73),INT(B73)),"")</f>
        <v/>
      </c>
      <c r="BW73" s="80">
        <f>IF(ISNUMBER(B73),IF(DB_MON="Todos",1,IF(AND(INT(B73)&gt;=DB_MS,INT(B73)&lt;=DB_ME),1,0)),0)</f>
        <v>0</v>
      </c>
      <c r="BX73" s="80">
        <f>IF(DB_PROJ="Todos",1,IF(E73&amp;""=DB_PROJ&amp;"",1,0))</f>
        <v>1</v>
      </c>
      <c r="BY73" s="80">
        <f>BW73*BX73</f>
        <v>0</v>
      </c>
      <c r="BZ73" s="80" t="str">
        <f>IF(Y73=1,F73&amp;IF(AND(F73&amp;""&lt;&gt;"",E73&amp;""&lt;&gt;"")," · ","")&amp;E73,"")</f>
        <v/>
      </c>
      <c r="CA73" s="80" t="str">
        <f>IF(AND(BD73=1,E73&amp;""&lt;&gt;""),IF(COUNTIFS($E$5:E72,E73,$BD$5:BD72,1)=0,MAX($CA$5:CA72)+1,""),"")</f>
        <v/>
      </c>
      <c r="CB73" s="80" t="str">
        <f>IF(AND(BE73=1,D73="Malcolm",E73&amp;""&lt;&gt;""),IF(COUNTIFS($D$5:D72,"Malcolm",$E$5:E72,E73,$BE$5:BE72,1)=0,MAX($CB$5:CB72)+1,""),"")</f>
        <v/>
      </c>
      <c r="CC73" s="80" t="str">
        <f>IF(AND(BD73=1,D73="proMX",E73&amp;""&lt;&gt;""),IF(COUNTIFS($D$5:D72,"proMX",$E$5:E72,E73,$BD$5:BD72,1)=0,MAX($CC$5:CC72)+1,""),"")</f>
        <v/>
      </c>
      <c r="CD73" s="80" t="str">
        <f>IF(AND(BE73=1,D73="Malcolm",F73&amp;""&lt;&gt;""),IF(COUNTIFS($D$5:D72,"Malcolm",$F$5:F72,F73,$BE$5:BE72,1)=0,MAX($CD$5:CD72)+1,""),"")</f>
        <v/>
      </c>
      <c r="CE73" s="80" t="str">
        <f>IF(AND(BD73=1,D73="proMX",F73&amp;""&lt;&gt;""),IF(COUNTIFS($D$5:D72,"proMX",$F$5:F72,F73,$BD$5:BD72,1)=0,MAX($CE$5:CE72)+1,""),"")</f>
        <v/>
      </c>
      <c r="CF73" s="80" t="str">
        <f>IF(AND(D73="proMX",BD73=1),IF(OR(BF73="Draft",BF73="Submitted",BF73="Returned",BF73="Recall Requested"),MAX($CF$5:CF72)+1,""),"")</f>
        <v/>
      </c>
      <c r="CG73" s="80">
        <f>IF(BD73=0,0,IF(D73="Malcolm",1,MATCH(BF73,{"Draft","Submitted","Approved","Returned","Recall Requested","Cancelled"},0)+1))</f>
        <v>0</v>
      </c>
      <c r="CH73" s="80">
        <f>IF(AND(BF73="Submitted",ISNUMBER(V73)),IF(V73&gt;CFG_MAXD,1,0),0)</f>
        <v>0</v>
      </c>
    </row>
    <row r="74">
      <c r="A74" s="71" t="str">
        <f>IF(Y74=1,ROW()-5,"")</f>
        <v/>
      </c>
      <c r="B74" s="72" t="n"/>
      <c r="C74" s="71" t="str">
        <f>IF(ISNUMBER(B74),CHOOSE(WEEKDAY(B74,2),"Lun","Mar","Mié","Jue","Vie","Sáb","Dom"),"")</f>
        <v/>
      </c>
      <c r="D74" s="73" t="n"/>
      <c r="E74" s="74" t="n"/>
      <c r="F74" s="74" t="n"/>
      <c r="G74" s="74" t="n"/>
      <c r="H74" s="75" t="n"/>
      <c r="I74" s="75" t="n"/>
      <c r="J74" s="76" t="n"/>
      <c r="K74" s="77" t="str">
        <f>IF(AB74=1,ROUND(AG74/60,4),"")</f>
        <v/>
      </c>
      <c r="L74" s="77" t="str">
        <f>IF(BD74=1,ROUND(AP74/60,4),"")</f>
        <v/>
      </c>
      <c r="M74" s="77" t="str">
        <f>IF(BD74=1,ROUND(AQ74/60,4),"")</f>
        <v/>
      </c>
      <c r="N74" s="71" t="str">
        <f>IF(AND(D74="proMX",AB74=1),ROUND(AG74/CFG_BLK,2),"")</f>
        <v/>
      </c>
      <c r="O74" s="77" t="str">
        <f>IF(D74="proMX",IF(BD74=1,ROUND(AG74/60,4),0),"")</f>
        <v/>
      </c>
      <c r="P74" s="78" t="str">
        <f>IF(Y74=0,"",IF(BD74=1,"OK",IF(D74="proMX","Revisar bloques: ","Revisar: ")&amp;BC74))</f>
        <v/>
      </c>
      <c r="Q74" s="78" t="str">
        <f>IF(NOT(ISNUMBER(B74)),"",IF(COUNTIFS(FER_F,INT(B74))&gt;0,"Feriado"&amp;IF(AH74=1," (laborable)"," (no laborable)"),IF(AH74=1,"Laborable",IF(WEEKDAY(B74,2)&gt;5,"Fin de semana","No laborable"))))</f>
        <v/>
      </c>
      <c r="R74" s="73" t="n"/>
      <c r="S74" s="72" t="n"/>
      <c r="T74" s="72" t="n"/>
      <c r="U74" s="74" t="n"/>
      <c r="V74" s="79" t="str">
        <f>IF(AND(D74="proMX",OR(R74="Submitted",R74="Recall Requested"),ISNUMBER(S74)),CFG_TODAY-INT(S74),"")</f>
        <v/>
      </c>
      <c r="W74" s="78" t="str">
        <f>IF(BD74=0,"",IF(BA74&gt;0,"⚠ Se superpone con un registro de la otra empresa",IF(D74="Malcolm",IF(COUNTA(R74,S74,T74)&gt;0,"Estado/fechas proMX se ignoran en Malcolm",""),IF(BF74="Cancelled","Cancelado: excluido de totales",IF(R74="","Sin estado: se trata como Draft",IF(BF74="Submitted",IF(ISNUMBER(V74),IF(V74&gt;CFG_MAXD,"⚠ "&amp;V74&amp;" días en Submitted (máx. "&amp;CFG_MAXD&amp;")",""),"Falta fecha de envío"),IF(BF74="Returned","⚠ Devuelto: corregir y reenviar",IF(BF74="Recall Requested","Retirada solicitada: pendiente",IF(AND(BF74="Approved",NOT(ISNUMBER(T74))),"Falta fecha de aprobación",IF(AND(ISNUMBER(S74),ISNUMBER(T74),T74&lt;S74),"Aprobación anterior al envío","")))))))))</f>
        <v/>
      </c>
      <c r="Y74" s="80">
        <f>IF(COUNTA(B74,D74,E74,F74,G74,H74,I74,J74,R74,S74,T74)&gt;0,1,0)</f>
        <v>0</v>
      </c>
      <c r="Z74" s="80" t="str">
        <f>IF(AND(ISNUMBER(H74),H74&gt;=0,H74&lt;1),ROUND(H74*1440,0),"")</f>
        <v/>
      </c>
      <c r="AA74" s="80" t="str">
        <f>IF(AND(ISNUMBER(I74),I74&gt;=0,I74&lt;1),ROUND(I74*1440,0),"")</f>
        <v/>
      </c>
      <c r="AB74" s="80">
        <f>IF(AND(ISNUMBER(B74),D74&lt;&gt;"",ISNUMBER(Z74),ISNUMBER(AA74)),IF(Z74=AA74,0,1),0)</f>
        <v>0</v>
      </c>
      <c r="AC74" s="80">
        <f>IF(AB74=1,IF(AA74&lt;Z74,1,0),0)</f>
        <v>0</v>
      </c>
      <c r="AD74" s="80">
        <f>IF(AB74=1,IF(AC74=1,1440-Z74+AA74,AA74-Z74),0)</f>
        <v>0</v>
      </c>
      <c r="AE74" s="80">
        <f>IF(J74="",0,IF(ISNUMBER(J74),J74,-1))</f>
        <v>0</v>
      </c>
      <c r="AF74" s="80">
        <f>MIN(MAX(0,AE74),AD74)</f>
        <v>0</v>
      </c>
      <c r="AG74" s="80">
        <f>MAX(0,AD74-MAX(0,AE74))</f>
        <v>0</v>
      </c>
      <c r="AH74" s="80">
        <f>IF(ISNUMBER(B74),IF(AND(INDEX(CFG_WDAYS,WEEKDAY(INT(B74),2))="Sí",IF(D74="proMX",COUNTIFS(FER_F,INT(B74),FER_NLP,"Sí"),COUNTIFS(FER_F,INT(B74),FER_NLM,"Sí"))=0),1,0),0)</f>
        <v>0</v>
      </c>
      <c r="AI74" s="80">
        <f>IF(AC74=1,IF(AND(INDEX(CFG_WDAYS,WEEKDAY(INT(B74)+1,2))="Sí",IF(D74="proMX",COUNTIFS(FER_F,INT(B74)+1,FER_NLP,"Sí"),COUNTIFS(FER_F,INT(B74)+1,FER_NLM,"Sí"))=0),1,0),0)</f>
        <v>0</v>
      </c>
      <c r="AJ74" s="80">
        <f>IF(AC74=1,1440-Z74,AD74)</f>
        <v>0</v>
      </c>
      <c r="AK74" s="80">
        <f>IF(AND(AB74=1,AH74=1),MAX(0,MIN(IF(AC74=1,1440,AA74),CFG_WEM)-MAX(Z74,CFG_WSM)),0)</f>
        <v>0</v>
      </c>
      <c r="AL74" s="80">
        <f>IF(AND(AC74=1,AI74=1),MAX(0,MIN(AA74,CFG_WEM)-CFG_WSM),0)</f>
        <v>0</v>
      </c>
      <c r="AM74" s="80">
        <f>AK74+AL74</f>
        <v>0</v>
      </c>
      <c r="AN74" s="80">
        <f>IF(CFG_BRK="Proporcional",IF(AD74=0,0,AF74*AM74/AD74),IF(CFG_BRK="Extras primero",MIN(AM74,MAX(0,AF74-(AD74-AM74))),MIN(AF74,AM74)))</f>
        <v>0</v>
      </c>
      <c r="AO74" s="80">
        <f>AF74-AN74</f>
        <v>0</v>
      </c>
      <c r="AP74" s="80">
        <f>AM74-AN74</f>
        <v>0</v>
      </c>
      <c r="AQ74" s="80">
        <f>AD74-AM74-AO74</f>
        <v>0</v>
      </c>
      <c r="AR74" s="80">
        <f>IF(AM74=0,0,AK74-AN74*AK74/AM74)</f>
        <v>0</v>
      </c>
      <c r="AS74" s="80">
        <f>IF(AD74-AM74=0,0,(AJ74-AK74)-AO74*(AJ74-AK74)/(AD74-AM74))</f>
        <v>0</v>
      </c>
      <c r="AT74" s="80" t="str">
        <f>IF(AC74=1,INT(B74)+1,"")</f>
        <v/>
      </c>
      <c r="AU74" s="80">
        <f>IF(AND(D74="proMX",R74="Cancelled"),0,1)</f>
        <v>1</v>
      </c>
      <c r="AV74" s="80">
        <f>IF(AND(AB74=1,AU74=1),IF(COUNTIFS($D$5:D73,D74,$B$5:B73,B74,$Z$5:Z73,Z74,$AA$5:AA73,AA74,$F$5:F73,F74&amp;"",$AU$5:AU73,1)&gt;0,1,0),0)</f>
        <v>0</v>
      </c>
      <c r="AW74" s="80" t="str">
        <f>IF(AB74=1,INT(B74)*1440+Z74,"")</f>
        <v/>
      </c>
      <c r="AX74" s="80" t="str">
        <f>IF(AB74=1,AW74+AD74,"")</f>
        <v/>
      </c>
      <c r="AY74" s="80">
        <f>IF(AND(AB74=1,AV74=0,AU74=1),1,0)</f>
        <v>0</v>
      </c>
      <c r="AZ74" s="80">
        <f>IF(AY74=1,COUNTIFS(R_Emp,D74,R_SAbs,"&lt;"&amp;AX74,R_EAbs,"&gt;"&amp;AW74,R_OKey,1)-1,0)</f>
        <v>0</v>
      </c>
      <c r="BA74" s="80">
        <f>IF(AY74=1,COUNTIFS(R_Emp,"&lt;&gt;"&amp;D74,R_SAbs,"&lt;"&amp;AX74,R_EAbs,"&gt;"&amp;AW74,R_OKey,1),0)</f>
        <v>0</v>
      </c>
      <c r="BB74" s="80">
        <f>IF(AND(AB74=1,D74="proMX"),IF(AND(MOD(Z74,CFG_BLK)=0,MOD(AA74,CFG_BLK)=0,MOD(AG74,CFG_BLK)=0,AG74&gt;0),1,0),1)</f>
        <v>1</v>
      </c>
      <c r="BC74" s="80" t="str">
        <f>IF(Y74=0,"",IF(NOT(ISNUMBER(B74)),"Falta fecha o fecha inválida",IF(D74="","Falta empresa",IF(AND(D74&lt;&gt;"Malcolm",D74&lt;&gt;"proMX"),"Empresa inválida",IF(OR(INT(B74)&lt;CFG_PSTART,INT(B74)&gt;CFG_PEND),"Fecha fuera del período",IF(OR(NOT(ISNUMBER(Z74)),NOT(ISNUMBER(AA74))),"Falta hora inicio/fin o formato inválido",IF(AB74=0,"Hora inicio = hora fin",IF(AE74&lt;0,"Descanso inválido",IF(AE74&gt;=AD74,"Descanso ≥ duración",IF(AV74=1,"Registro duplicado",IF(AZ74&gt;0,"Se superpone con otro registro "&amp;D74,IF(BB74=0,"inicio, fin y duración neta deben ser múltiplos de "&amp;CFG_BLK&amp;" min",""))))))))))))</f>
        <v/>
      </c>
      <c r="BD74" s="80">
        <f>IF(AND(Y74=1,BC74=""),1,0)</f>
        <v>0</v>
      </c>
      <c r="BE74" s="80">
        <f>IF(AND(BD74=1,AU74=1),1,0)</f>
        <v>0</v>
      </c>
      <c r="BF74" s="80" t="str">
        <f>IF(AND(D74="proMX",BD74=1),IF(R74="","Draft",R74),"")</f>
        <v/>
      </c>
      <c r="BG74" s="80">
        <f>IF(BD74=1,ROUND(AG74/60,6),0)</f>
        <v>0</v>
      </c>
      <c r="BH74" s="80">
        <f>IF(BE74=1,ROUND(AG74/60,6),0)</f>
        <v>0</v>
      </c>
      <c r="BI74" s="80">
        <f>IF(BE74=1,ROUND(AP74/60,6),0)</f>
        <v>0</v>
      </c>
      <c r="BJ74" s="80">
        <f>IF(BE74=1,ROUND(AQ74/60,6),0)</f>
        <v>0</v>
      </c>
      <c r="BK74" s="80">
        <f>IF(BE74=1,ROUND((AR74+AS74)/60,6),0)</f>
        <v>0</v>
      </c>
      <c r="BL74" s="80">
        <f>ROUND(BH74-BK74,6)</f>
        <v>0</v>
      </c>
      <c r="BM74" s="80">
        <f>IF(BE74=1,ROUND(AR74/60,6),0)</f>
        <v>0</v>
      </c>
      <c r="BN74" s="80">
        <f>ROUND(BI74-BM74,6)</f>
        <v>0</v>
      </c>
      <c r="BO74" s="80">
        <f>IF(BE74=1,ROUND(AS74/60,6),0)</f>
        <v>0</v>
      </c>
      <c r="BP74" s="80">
        <f>ROUND(BJ74-BO74,6)</f>
        <v>0</v>
      </c>
      <c r="BQ74" s="80">
        <f>IF(BE74=1,AW74,0)</f>
        <v>0</v>
      </c>
      <c r="BR74" s="80">
        <f>IF(BE74=1,AX74,0)</f>
        <v>0</v>
      </c>
      <c r="BS74" s="80">
        <f>IF(AND(BE74=1,D74="Malcolm",BA74&gt;0),MIN(BH74,SUMPRODUCT((R_Emp="proMX")*(R_EN&gt;0)*((R_EN-(R_EN&gt;BR74)*(R_EN-BR74))&gt;(R_SN+(R_SN&lt;BQ74)*(BQ74-R_SN)))*((R_EN-(R_EN&gt;BR74)*(R_EN-BR74))-(R_SN+(R_SN&lt;BQ74)*(BQ74-R_SN))))/60),0)</f>
        <v>0</v>
      </c>
      <c r="BT74" s="80">
        <f>IF(AND(BE74=1,D74="proMX"),ROUND(BI74*CFG_RATE+BJ74*CFG_OTRATE,6),0)</f>
        <v>0</v>
      </c>
      <c r="BU74" s="80">
        <f>IF(AND(BD74=1,D74="proMX"),ROUND(AG74/CFG_BLK,6),0)</f>
        <v>0</v>
      </c>
      <c r="BV74" s="80" t="str">
        <f>IF(BF74="Approved",IF(ISNUMBER(T74),INT(T74),INT(B74)),"")</f>
        <v/>
      </c>
      <c r="BW74" s="80">
        <f>IF(ISNUMBER(B74),IF(DB_MON="Todos",1,IF(AND(INT(B74)&gt;=DB_MS,INT(B74)&lt;=DB_ME),1,0)),0)</f>
        <v>0</v>
      </c>
      <c r="BX74" s="80">
        <f>IF(DB_PROJ="Todos",1,IF(E74&amp;""=DB_PROJ&amp;"",1,0))</f>
        <v>1</v>
      </c>
      <c r="BY74" s="80">
        <f>BW74*BX74</f>
        <v>0</v>
      </c>
      <c r="BZ74" s="80" t="str">
        <f>IF(Y74=1,F74&amp;IF(AND(F74&amp;""&lt;&gt;"",E74&amp;""&lt;&gt;"")," · ","")&amp;E74,"")</f>
        <v/>
      </c>
      <c r="CA74" s="80" t="str">
        <f>IF(AND(BD74=1,E74&amp;""&lt;&gt;""),IF(COUNTIFS($E$5:E73,E74,$BD$5:BD73,1)=0,MAX($CA$5:CA73)+1,""),"")</f>
        <v/>
      </c>
      <c r="CB74" s="80" t="str">
        <f>IF(AND(BE74=1,D74="Malcolm",E74&amp;""&lt;&gt;""),IF(COUNTIFS($D$5:D73,"Malcolm",$E$5:E73,E74,$BE$5:BE73,1)=0,MAX($CB$5:CB73)+1,""),"")</f>
        <v/>
      </c>
      <c r="CC74" s="80" t="str">
        <f>IF(AND(BD74=1,D74="proMX",E74&amp;""&lt;&gt;""),IF(COUNTIFS($D$5:D73,"proMX",$E$5:E73,E74,$BD$5:BD73,1)=0,MAX($CC$5:CC73)+1,""),"")</f>
        <v/>
      </c>
      <c r="CD74" s="80" t="str">
        <f>IF(AND(BE74=1,D74="Malcolm",F74&amp;""&lt;&gt;""),IF(COUNTIFS($D$5:D73,"Malcolm",$F$5:F73,F74,$BE$5:BE73,1)=0,MAX($CD$5:CD73)+1,""),"")</f>
        <v/>
      </c>
      <c r="CE74" s="80" t="str">
        <f>IF(AND(BD74=1,D74="proMX",F74&amp;""&lt;&gt;""),IF(COUNTIFS($D$5:D73,"proMX",$F$5:F73,F74,$BD$5:BD73,1)=0,MAX($CE$5:CE73)+1,""),"")</f>
        <v/>
      </c>
      <c r="CF74" s="80" t="str">
        <f>IF(AND(D74="proMX",BD74=1),IF(OR(BF74="Draft",BF74="Submitted",BF74="Returned",BF74="Recall Requested"),MAX($CF$5:CF73)+1,""),"")</f>
        <v/>
      </c>
      <c r="CG74" s="80">
        <f>IF(BD74=0,0,IF(D74="Malcolm",1,MATCH(BF74,{"Draft","Submitted","Approved","Returned","Recall Requested","Cancelled"},0)+1))</f>
        <v>0</v>
      </c>
      <c r="CH74" s="80">
        <f>IF(AND(BF74="Submitted",ISNUMBER(V74)),IF(V74&gt;CFG_MAXD,1,0),0)</f>
        <v>0</v>
      </c>
    </row>
    <row r="75">
      <c r="A75" s="71" t="str">
        <f>IF(Y75=1,ROW()-5,"")</f>
        <v/>
      </c>
      <c r="B75" s="72" t="n"/>
      <c r="C75" s="71" t="str">
        <f>IF(ISNUMBER(B75),CHOOSE(WEEKDAY(B75,2),"Lun","Mar","Mié","Jue","Vie","Sáb","Dom"),"")</f>
        <v/>
      </c>
      <c r="D75" s="73" t="n"/>
      <c r="E75" s="74" t="n"/>
      <c r="F75" s="74" t="n"/>
      <c r="G75" s="74" t="n"/>
      <c r="H75" s="75" t="n"/>
      <c r="I75" s="75" t="n"/>
      <c r="J75" s="76" t="n"/>
      <c r="K75" s="77" t="str">
        <f>IF(AB75=1,ROUND(AG75/60,4),"")</f>
        <v/>
      </c>
      <c r="L75" s="77" t="str">
        <f>IF(BD75=1,ROUND(AP75/60,4),"")</f>
        <v/>
      </c>
      <c r="M75" s="77" t="str">
        <f>IF(BD75=1,ROUND(AQ75/60,4),"")</f>
        <v/>
      </c>
      <c r="N75" s="71" t="str">
        <f>IF(AND(D75="proMX",AB75=1),ROUND(AG75/CFG_BLK,2),"")</f>
        <v/>
      </c>
      <c r="O75" s="77" t="str">
        <f>IF(D75="proMX",IF(BD75=1,ROUND(AG75/60,4),0),"")</f>
        <v/>
      </c>
      <c r="P75" s="78" t="str">
        <f>IF(Y75=0,"",IF(BD75=1,"OK",IF(D75="proMX","Revisar bloques: ","Revisar: ")&amp;BC75))</f>
        <v/>
      </c>
      <c r="Q75" s="78" t="str">
        <f>IF(NOT(ISNUMBER(B75)),"",IF(COUNTIFS(FER_F,INT(B75))&gt;0,"Feriado"&amp;IF(AH75=1," (laborable)"," (no laborable)"),IF(AH75=1,"Laborable",IF(WEEKDAY(B75,2)&gt;5,"Fin de semana","No laborable"))))</f>
        <v/>
      </c>
      <c r="R75" s="73" t="n"/>
      <c r="S75" s="72" t="n"/>
      <c r="T75" s="72" t="n"/>
      <c r="U75" s="74" t="n"/>
      <c r="V75" s="79" t="str">
        <f>IF(AND(D75="proMX",OR(R75="Submitted",R75="Recall Requested"),ISNUMBER(S75)),CFG_TODAY-INT(S75),"")</f>
        <v/>
      </c>
      <c r="W75" s="78" t="str">
        <f>IF(BD75=0,"",IF(BA75&gt;0,"⚠ Se superpone con un registro de la otra empresa",IF(D75="Malcolm",IF(COUNTA(R75,S75,T75)&gt;0,"Estado/fechas proMX se ignoran en Malcolm",""),IF(BF75="Cancelled","Cancelado: excluido de totales",IF(R75="","Sin estado: se trata como Draft",IF(BF75="Submitted",IF(ISNUMBER(V75),IF(V75&gt;CFG_MAXD,"⚠ "&amp;V75&amp;" días en Submitted (máx. "&amp;CFG_MAXD&amp;")",""),"Falta fecha de envío"),IF(BF75="Returned","⚠ Devuelto: corregir y reenviar",IF(BF75="Recall Requested","Retirada solicitada: pendiente",IF(AND(BF75="Approved",NOT(ISNUMBER(T75))),"Falta fecha de aprobación",IF(AND(ISNUMBER(S75),ISNUMBER(T75),T75&lt;S75),"Aprobación anterior al envío","")))))))))</f>
        <v/>
      </c>
      <c r="Y75" s="80">
        <f>IF(COUNTA(B75,D75,E75,F75,G75,H75,I75,J75,R75,S75,T75)&gt;0,1,0)</f>
        <v>0</v>
      </c>
      <c r="Z75" s="80" t="str">
        <f>IF(AND(ISNUMBER(H75),H75&gt;=0,H75&lt;1),ROUND(H75*1440,0),"")</f>
        <v/>
      </c>
      <c r="AA75" s="80" t="str">
        <f>IF(AND(ISNUMBER(I75),I75&gt;=0,I75&lt;1),ROUND(I75*1440,0),"")</f>
        <v/>
      </c>
      <c r="AB75" s="80">
        <f>IF(AND(ISNUMBER(B75),D75&lt;&gt;"",ISNUMBER(Z75),ISNUMBER(AA75)),IF(Z75=AA75,0,1),0)</f>
        <v>0</v>
      </c>
      <c r="AC75" s="80">
        <f>IF(AB75=1,IF(AA75&lt;Z75,1,0),0)</f>
        <v>0</v>
      </c>
      <c r="AD75" s="80">
        <f>IF(AB75=1,IF(AC75=1,1440-Z75+AA75,AA75-Z75),0)</f>
        <v>0</v>
      </c>
      <c r="AE75" s="80">
        <f>IF(J75="",0,IF(ISNUMBER(J75),J75,-1))</f>
        <v>0</v>
      </c>
      <c r="AF75" s="80">
        <f>MIN(MAX(0,AE75),AD75)</f>
        <v>0</v>
      </c>
      <c r="AG75" s="80">
        <f>MAX(0,AD75-MAX(0,AE75))</f>
        <v>0</v>
      </c>
      <c r="AH75" s="80">
        <f>IF(ISNUMBER(B75),IF(AND(INDEX(CFG_WDAYS,WEEKDAY(INT(B75),2))="Sí",IF(D75="proMX",COUNTIFS(FER_F,INT(B75),FER_NLP,"Sí"),COUNTIFS(FER_F,INT(B75),FER_NLM,"Sí"))=0),1,0),0)</f>
        <v>0</v>
      </c>
      <c r="AI75" s="80">
        <f>IF(AC75=1,IF(AND(INDEX(CFG_WDAYS,WEEKDAY(INT(B75)+1,2))="Sí",IF(D75="proMX",COUNTIFS(FER_F,INT(B75)+1,FER_NLP,"Sí"),COUNTIFS(FER_F,INT(B75)+1,FER_NLM,"Sí"))=0),1,0),0)</f>
        <v>0</v>
      </c>
      <c r="AJ75" s="80">
        <f>IF(AC75=1,1440-Z75,AD75)</f>
        <v>0</v>
      </c>
      <c r="AK75" s="80">
        <f>IF(AND(AB75=1,AH75=1),MAX(0,MIN(IF(AC75=1,1440,AA75),CFG_WEM)-MAX(Z75,CFG_WSM)),0)</f>
        <v>0</v>
      </c>
      <c r="AL75" s="80">
        <f>IF(AND(AC75=1,AI75=1),MAX(0,MIN(AA75,CFG_WEM)-CFG_WSM),0)</f>
        <v>0</v>
      </c>
      <c r="AM75" s="80">
        <f>AK75+AL75</f>
        <v>0</v>
      </c>
      <c r="AN75" s="80">
        <f>IF(CFG_BRK="Proporcional",IF(AD75=0,0,AF75*AM75/AD75),IF(CFG_BRK="Extras primero",MIN(AM75,MAX(0,AF75-(AD75-AM75))),MIN(AF75,AM75)))</f>
        <v>0</v>
      </c>
      <c r="AO75" s="80">
        <f>AF75-AN75</f>
        <v>0</v>
      </c>
      <c r="AP75" s="80">
        <f>AM75-AN75</f>
        <v>0</v>
      </c>
      <c r="AQ75" s="80">
        <f>AD75-AM75-AO75</f>
        <v>0</v>
      </c>
      <c r="AR75" s="80">
        <f>IF(AM75=0,0,AK75-AN75*AK75/AM75)</f>
        <v>0</v>
      </c>
      <c r="AS75" s="80">
        <f>IF(AD75-AM75=0,0,(AJ75-AK75)-AO75*(AJ75-AK75)/(AD75-AM75))</f>
        <v>0</v>
      </c>
      <c r="AT75" s="80" t="str">
        <f>IF(AC75=1,INT(B75)+1,"")</f>
        <v/>
      </c>
      <c r="AU75" s="80">
        <f>IF(AND(D75="proMX",R75="Cancelled"),0,1)</f>
        <v>1</v>
      </c>
      <c r="AV75" s="80">
        <f>IF(AND(AB75=1,AU75=1),IF(COUNTIFS($D$5:D74,D75,$B$5:B74,B75,$Z$5:Z74,Z75,$AA$5:AA74,AA75,$F$5:F74,F75&amp;"",$AU$5:AU74,1)&gt;0,1,0),0)</f>
        <v>0</v>
      </c>
      <c r="AW75" s="80" t="str">
        <f>IF(AB75=1,INT(B75)*1440+Z75,"")</f>
        <v/>
      </c>
      <c r="AX75" s="80" t="str">
        <f>IF(AB75=1,AW75+AD75,"")</f>
        <v/>
      </c>
      <c r="AY75" s="80">
        <f>IF(AND(AB75=1,AV75=0,AU75=1),1,0)</f>
        <v>0</v>
      </c>
      <c r="AZ75" s="80">
        <f>IF(AY75=1,COUNTIFS(R_Emp,D75,R_SAbs,"&lt;"&amp;AX75,R_EAbs,"&gt;"&amp;AW75,R_OKey,1)-1,0)</f>
        <v>0</v>
      </c>
      <c r="BA75" s="80">
        <f>IF(AY75=1,COUNTIFS(R_Emp,"&lt;&gt;"&amp;D75,R_SAbs,"&lt;"&amp;AX75,R_EAbs,"&gt;"&amp;AW75,R_OKey,1),0)</f>
        <v>0</v>
      </c>
      <c r="BB75" s="80">
        <f>IF(AND(AB75=1,D75="proMX"),IF(AND(MOD(Z75,CFG_BLK)=0,MOD(AA75,CFG_BLK)=0,MOD(AG75,CFG_BLK)=0,AG75&gt;0),1,0),1)</f>
        <v>1</v>
      </c>
      <c r="BC75" s="80" t="str">
        <f>IF(Y75=0,"",IF(NOT(ISNUMBER(B75)),"Falta fecha o fecha inválida",IF(D75="","Falta empresa",IF(AND(D75&lt;&gt;"Malcolm",D75&lt;&gt;"proMX"),"Empresa inválida",IF(OR(INT(B75)&lt;CFG_PSTART,INT(B75)&gt;CFG_PEND),"Fecha fuera del período",IF(OR(NOT(ISNUMBER(Z75)),NOT(ISNUMBER(AA75))),"Falta hora inicio/fin o formato inválido",IF(AB75=0,"Hora inicio = hora fin",IF(AE75&lt;0,"Descanso inválido",IF(AE75&gt;=AD75,"Descanso ≥ duración",IF(AV75=1,"Registro duplicado",IF(AZ75&gt;0,"Se superpone con otro registro "&amp;D75,IF(BB75=0,"inicio, fin y duración neta deben ser múltiplos de "&amp;CFG_BLK&amp;" min",""))))))))))))</f>
        <v/>
      </c>
      <c r="BD75" s="80">
        <f>IF(AND(Y75=1,BC75=""),1,0)</f>
        <v>0</v>
      </c>
      <c r="BE75" s="80">
        <f>IF(AND(BD75=1,AU75=1),1,0)</f>
        <v>0</v>
      </c>
      <c r="BF75" s="80" t="str">
        <f>IF(AND(D75="proMX",BD75=1),IF(R75="","Draft",R75),"")</f>
        <v/>
      </c>
      <c r="BG75" s="80">
        <f>IF(BD75=1,ROUND(AG75/60,6),0)</f>
        <v>0</v>
      </c>
      <c r="BH75" s="80">
        <f>IF(BE75=1,ROUND(AG75/60,6),0)</f>
        <v>0</v>
      </c>
      <c r="BI75" s="80">
        <f>IF(BE75=1,ROUND(AP75/60,6),0)</f>
        <v>0</v>
      </c>
      <c r="BJ75" s="80">
        <f>IF(BE75=1,ROUND(AQ75/60,6),0)</f>
        <v>0</v>
      </c>
      <c r="BK75" s="80">
        <f>IF(BE75=1,ROUND((AR75+AS75)/60,6),0)</f>
        <v>0</v>
      </c>
      <c r="BL75" s="80">
        <f>ROUND(BH75-BK75,6)</f>
        <v>0</v>
      </c>
      <c r="BM75" s="80">
        <f>IF(BE75=1,ROUND(AR75/60,6),0)</f>
        <v>0</v>
      </c>
      <c r="BN75" s="80">
        <f>ROUND(BI75-BM75,6)</f>
        <v>0</v>
      </c>
      <c r="BO75" s="80">
        <f>IF(BE75=1,ROUND(AS75/60,6),0)</f>
        <v>0</v>
      </c>
      <c r="BP75" s="80">
        <f>ROUND(BJ75-BO75,6)</f>
        <v>0</v>
      </c>
      <c r="BQ75" s="80">
        <f>IF(BE75=1,AW75,0)</f>
        <v>0</v>
      </c>
      <c r="BR75" s="80">
        <f>IF(BE75=1,AX75,0)</f>
        <v>0</v>
      </c>
      <c r="BS75" s="80">
        <f>IF(AND(BE75=1,D75="Malcolm",BA75&gt;0),MIN(BH75,SUMPRODUCT((R_Emp="proMX")*(R_EN&gt;0)*((R_EN-(R_EN&gt;BR75)*(R_EN-BR75))&gt;(R_SN+(R_SN&lt;BQ75)*(BQ75-R_SN)))*((R_EN-(R_EN&gt;BR75)*(R_EN-BR75))-(R_SN+(R_SN&lt;BQ75)*(BQ75-R_SN))))/60),0)</f>
        <v>0</v>
      </c>
      <c r="BT75" s="80">
        <f>IF(AND(BE75=1,D75="proMX"),ROUND(BI75*CFG_RATE+BJ75*CFG_OTRATE,6),0)</f>
        <v>0</v>
      </c>
      <c r="BU75" s="80">
        <f>IF(AND(BD75=1,D75="proMX"),ROUND(AG75/CFG_BLK,6),0)</f>
        <v>0</v>
      </c>
      <c r="BV75" s="80" t="str">
        <f>IF(BF75="Approved",IF(ISNUMBER(T75),INT(T75),INT(B75)),"")</f>
        <v/>
      </c>
      <c r="BW75" s="80">
        <f>IF(ISNUMBER(B75),IF(DB_MON="Todos",1,IF(AND(INT(B75)&gt;=DB_MS,INT(B75)&lt;=DB_ME),1,0)),0)</f>
        <v>0</v>
      </c>
      <c r="BX75" s="80">
        <f>IF(DB_PROJ="Todos",1,IF(E75&amp;""=DB_PROJ&amp;"",1,0))</f>
        <v>1</v>
      </c>
      <c r="BY75" s="80">
        <f>BW75*BX75</f>
        <v>0</v>
      </c>
      <c r="BZ75" s="80" t="str">
        <f>IF(Y75=1,F75&amp;IF(AND(F75&amp;""&lt;&gt;"",E75&amp;""&lt;&gt;"")," · ","")&amp;E75,"")</f>
        <v/>
      </c>
      <c r="CA75" s="80" t="str">
        <f>IF(AND(BD75=1,E75&amp;""&lt;&gt;""),IF(COUNTIFS($E$5:E74,E75,$BD$5:BD74,1)=0,MAX($CA$5:CA74)+1,""),"")</f>
        <v/>
      </c>
      <c r="CB75" s="80" t="str">
        <f>IF(AND(BE75=1,D75="Malcolm",E75&amp;""&lt;&gt;""),IF(COUNTIFS($D$5:D74,"Malcolm",$E$5:E74,E75,$BE$5:BE74,1)=0,MAX($CB$5:CB74)+1,""),"")</f>
        <v/>
      </c>
      <c r="CC75" s="80" t="str">
        <f>IF(AND(BD75=1,D75="proMX",E75&amp;""&lt;&gt;""),IF(COUNTIFS($D$5:D74,"proMX",$E$5:E74,E75,$BD$5:BD74,1)=0,MAX($CC$5:CC74)+1,""),"")</f>
        <v/>
      </c>
      <c r="CD75" s="80" t="str">
        <f>IF(AND(BE75=1,D75="Malcolm",F75&amp;""&lt;&gt;""),IF(COUNTIFS($D$5:D74,"Malcolm",$F$5:F74,F75,$BE$5:BE74,1)=0,MAX($CD$5:CD74)+1,""),"")</f>
        <v/>
      </c>
      <c r="CE75" s="80" t="str">
        <f>IF(AND(BD75=1,D75="proMX",F75&amp;""&lt;&gt;""),IF(COUNTIFS($D$5:D74,"proMX",$F$5:F74,F75,$BD$5:BD74,1)=0,MAX($CE$5:CE74)+1,""),"")</f>
        <v/>
      </c>
      <c r="CF75" s="80" t="str">
        <f>IF(AND(D75="proMX",BD75=1),IF(OR(BF75="Draft",BF75="Submitted",BF75="Returned",BF75="Recall Requested"),MAX($CF$5:CF74)+1,""),"")</f>
        <v/>
      </c>
      <c r="CG75" s="80">
        <f>IF(BD75=0,0,IF(D75="Malcolm",1,MATCH(BF75,{"Draft","Submitted","Approved","Returned","Recall Requested","Cancelled"},0)+1))</f>
        <v>0</v>
      </c>
      <c r="CH75" s="80">
        <f>IF(AND(BF75="Submitted",ISNUMBER(V75)),IF(V75&gt;CFG_MAXD,1,0),0)</f>
        <v>0</v>
      </c>
    </row>
    <row r="76">
      <c r="A76" s="71" t="str">
        <f>IF(Y76=1,ROW()-5,"")</f>
        <v/>
      </c>
      <c r="B76" s="72" t="n"/>
      <c r="C76" s="71" t="str">
        <f>IF(ISNUMBER(B76),CHOOSE(WEEKDAY(B76,2),"Lun","Mar","Mié","Jue","Vie","Sáb","Dom"),"")</f>
        <v/>
      </c>
      <c r="D76" s="73" t="n"/>
      <c r="E76" s="74" t="n"/>
      <c r="F76" s="74" t="n"/>
      <c r="G76" s="74" t="n"/>
      <c r="H76" s="75" t="n"/>
      <c r="I76" s="75" t="n"/>
      <c r="J76" s="76" t="n"/>
      <c r="K76" s="77" t="str">
        <f>IF(AB76=1,ROUND(AG76/60,4),"")</f>
        <v/>
      </c>
      <c r="L76" s="77" t="str">
        <f>IF(BD76=1,ROUND(AP76/60,4),"")</f>
        <v/>
      </c>
      <c r="M76" s="77" t="str">
        <f>IF(BD76=1,ROUND(AQ76/60,4),"")</f>
        <v/>
      </c>
      <c r="N76" s="71" t="str">
        <f>IF(AND(D76="proMX",AB76=1),ROUND(AG76/CFG_BLK,2),"")</f>
        <v/>
      </c>
      <c r="O76" s="77" t="str">
        <f>IF(D76="proMX",IF(BD76=1,ROUND(AG76/60,4),0),"")</f>
        <v/>
      </c>
      <c r="P76" s="78" t="str">
        <f>IF(Y76=0,"",IF(BD76=1,"OK",IF(D76="proMX","Revisar bloques: ","Revisar: ")&amp;BC76))</f>
        <v/>
      </c>
      <c r="Q76" s="78" t="str">
        <f>IF(NOT(ISNUMBER(B76)),"",IF(COUNTIFS(FER_F,INT(B76))&gt;0,"Feriado"&amp;IF(AH76=1," (laborable)"," (no laborable)"),IF(AH76=1,"Laborable",IF(WEEKDAY(B76,2)&gt;5,"Fin de semana","No laborable"))))</f>
        <v/>
      </c>
      <c r="R76" s="73" t="n"/>
      <c r="S76" s="72" t="n"/>
      <c r="T76" s="72" t="n"/>
      <c r="U76" s="74" t="n"/>
      <c r="V76" s="79" t="str">
        <f>IF(AND(D76="proMX",OR(R76="Submitted",R76="Recall Requested"),ISNUMBER(S76)),CFG_TODAY-INT(S76),"")</f>
        <v/>
      </c>
      <c r="W76" s="78" t="str">
        <f>IF(BD76=0,"",IF(BA76&gt;0,"⚠ Se superpone con un registro de la otra empresa",IF(D76="Malcolm",IF(COUNTA(R76,S76,T76)&gt;0,"Estado/fechas proMX se ignoran en Malcolm",""),IF(BF76="Cancelled","Cancelado: excluido de totales",IF(R76="","Sin estado: se trata como Draft",IF(BF76="Submitted",IF(ISNUMBER(V76),IF(V76&gt;CFG_MAXD,"⚠ "&amp;V76&amp;" días en Submitted (máx. "&amp;CFG_MAXD&amp;")",""),"Falta fecha de envío"),IF(BF76="Returned","⚠ Devuelto: corregir y reenviar",IF(BF76="Recall Requested","Retirada solicitada: pendiente",IF(AND(BF76="Approved",NOT(ISNUMBER(T76))),"Falta fecha de aprobación",IF(AND(ISNUMBER(S76),ISNUMBER(T76),T76&lt;S76),"Aprobación anterior al envío","")))))))))</f>
        <v/>
      </c>
      <c r="Y76" s="80">
        <f>IF(COUNTA(B76,D76,E76,F76,G76,H76,I76,J76,R76,S76,T76)&gt;0,1,0)</f>
        <v>0</v>
      </c>
      <c r="Z76" s="80" t="str">
        <f>IF(AND(ISNUMBER(H76),H76&gt;=0,H76&lt;1),ROUND(H76*1440,0),"")</f>
        <v/>
      </c>
      <c r="AA76" s="80" t="str">
        <f>IF(AND(ISNUMBER(I76),I76&gt;=0,I76&lt;1),ROUND(I76*1440,0),"")</f>
        <v/>
      </c>
      <c r="AB76" s="80">
        <f>IF(AND(ISNUMBER(B76),D76&lt;&gt;"",ISNUMBER(Z76),ISNUMBER(AA76)),IF(Z76=AA76,0,1),0)</f>
        <v>0</v>
      </c>
      <c r="AC76" s="80">
        <f>IF(AB76=1,IF(AA76&lt;Z76,1,0),0)</f>
        <v>0</v>
      </c>
      <c r="AD76" s="80">
        <f>IF(AB76=1,IF(AC76=1,1440-Z76+AA76,AA76-Z76),0)</f>
        <v>0</v>
      </c>
      <c r="AE76" s="80">
        <f>IF(J76="",0,IF(ISNUMBER(J76),J76,-1))</f>
        <v>0</v>
      </c>
      <c r="AF76" s="80">
        <f>MIN(MAX(0,AE76),AD76)</f>
        <v>0</v>
      </c>
      <c r="AG76" s="80">
        <f>MAX(0,AD76-MAX(0,AE76))</f>
        <v>0</v>
      </c>
      <c r="AH76" s="80">
        <f>IF(ISNUMBER(B76),IF(AND(INDEX(CFG_WDAYS,WEEKDAY(INT(B76),2))="Sí",IF(D76="proMX",COUNTIFS(FER_F,INT(B76),FER_NLP,"Sí"),COUNTIFS(FER_F,INT(B76),FER_NLM,"Sí"))=0),1,0),0)</f>
        <v>0</v>
      </c>
      <c r="AI76" s="80">
        <f>IF(AC76=1,IF(AND(INDEX(CFG_WDAYS,WEEKDAY(INT(B76)+1,2))="Sí",IF(D76="proMX",COUNTIFS(FER_F,INT(B76)+1,FER_NLP,"Sí"),COUNTIFS(FER_F,INT(B76)+1,FER_NLM,"Sí"))=0),1,0),0)</f>
        <v>0</v>
      </c>
      <c r="AJ76" s="80">
        <f>IF(AC76=1,1440-Z76,AD76)</f>
        <v>0</v>
      </c>
      <c r="AK76" s="80">
        <f>IF(AND(AB76=1,AH76=1),MAX(0,MIN(IF(AC76=1,1440,AA76),CFG_WEM)-MAX(Z76,CFG_WSM)),0)</f>
        <v>0</v>
      </c>
      <c r="AL76" s="80">
        <f>IF(AND(AC76=1,AI76=1),MAX(0,MIN(AA76,CFG_WEM)-CFG_WSM),0)</f>
        <v>0</v>
      </c>
      <c r="AM76" s="80">
        <f>AK76+AL76</f>
        <v>0</v>
      </c>
      <c r="AN76" s="80">
        <f>IF(CFG_BRK="Proporcional",IF(AD76=0,0,AF76*AM76/AD76),IF(CFG_BRK="Extras primero",MIN(AM76,MAX(0,AF76-(AD76-AM76))),MIN(AF76,AM76)))</f>
        <v>0</v>
      </c>
      <c r="AO76" s="80">
        <f>AF76-AN76</f>
        <v>0</v>
      </c>
      <c r="AP76" s="80">
        <f>AM76-AN76</f>
        <v>0</v>
      </c>
      <c r="AQ76" s="80">
        <f>AD76-AM76-AO76</f>
        <v>0</v>
      </c>
      <c r="AR76" s="80">
        <f>IF(AM76=0,0,AK76-AN76*AK76/AM76)</f>
        <v>0</v>
      </c>
      <c r="AS76" s="80">
        <f>IF(AD76-AM76=0,0,(AJ76-AK76)-AO76*(AJ76-AK76)/(AD76-AM76))</f>
        <v>0</v>
      </c>
      <c r="AT76" s="80" t="str">
        <f>IF(AC76=1,INT(B76)+1,"")</f>
        <v/>
      </c>
      <c r="AU76" s="80">
        <f>IF(AND(D76="proMX",R76="Cancelled"),0,1)</f>
        <v>1</v>
      </c>
      <c r="AV76" s="80">
        <f>IF(AND(AB76=1,AU76=1),IF(COUNTIFS($D$5:D75,D76,$B$5:B75,B76,$Z$5:Z75,Z76,$AA$5:AA75,AA76,$F$5:F75,F76&amp;"",$AU$5:AU75,1)&gt;0,1,0),0)</f>
        <v>0</v>
      </c>
      <c r="AW76" s="80" t="str">
        <f>IF(AB76=1,INT(B76)*1440+Z76,"")</f>
        <v/>
      </c>
      <c r="AX76" s="80" t="str">
        <f>IF(AB76=1,AW76+AD76,"")</f>
        <v/>
      </c>
      <c r="AY76" s="80">
        <f>IF(AND(AB76=1,AV76=0,AU76=1),1,0)</f>
        <v>0</v>
      </c>
      <c r="AZ76" s="80">
        <f>IF(AY76=1,COUNTIFS(R_Emp,D76,R_SAbs,"&lt;"&amp;AX76,R_EAbs,"&gt;"&amp;AW76,R_OKey,1)-1,0)</f>
        <v>0</v>
      </c>
      <c r="BA76" s="80">
        <f>IF(AY76=1,COUNTIFS(R_Emp,"&lt;&gt;"&amp;D76,R_SAbs,"&lt;"&amp;AX76,R_EAbs,"&gt;"&amp;AW76,R_OKey,1),0)</f>
        <v>0</v>
      </c>
      <c r="BB76" s="80">
        <f>IF(AND(AB76=1,D76="proMX"),IF(AND(MOD(Z76,CFG_BLK)=0,MOD(AA76,CFG_BLK)=0,MOD(AG76,CFG_BLK)=0,AG76&gt;0),1,0),1)</f>
        <v>1</v>
      </c>
      <c r="BC76" s="80" t="str">
        <f>IF(Y76=0,"",IF(NOT(ISNUMBER(B76)),"Falta fecha o fecha inválida",IF(D76="","Falta empresa",IF(AND(D76&lt;&gt;"Malcolm",D76&lt;&gt;"proMX"),"Empresa inválida",IF(OR(INT(B76)&lt;CFG_PSTART,INT(B76)&gt;CFG_PEND),"Fecha fuera del período",IF(OR(NOT(ISNUMBER(Z76)),NOT(ISNUMBER(AA76))),"Falta hora inicio/fin o formato inválido",IF(AB76=0,"Hora inicio = hora fin",IF(AE76&lt;0,"Descanso inválido",IF(AE76&gt;=AD76,"Descanso ≥ duración",IF(AV76=1,"Registro duplicado",IF(AZ76&gt;0,"Se superpone con otro registro "&amp;D76,IF(BB76=0,"inicio, fin y duración neta deben ser múltiplos de "&amp;CFG_BLK&amp;" min",""))))))))))))</f>
        <v/>
      </c>
      <c r="BD76" s="80">
        <f>IF(AND(Y76=1,BC76=""),1,0)</f>
        <v>0</v>
      </c>
      <c r="BE76" s="80">
        <f>IF(AND(BD76=1,AU76=1),1,0)</f>
        <v>0</v>
      </c>
      <c r="BF76" s="80" t="str">
        <f>IF(AND(D76="proMX",BD76=1),IF(R76="","Draft",R76),"")</f>
        <v/>
      </c>
      <c r="BG76" s="80">
        <f>IF(BD76=1,ROUND(AG76/60,6),0)</f>
        <v>0</v>
      </c>
      <c r="BH76" s="80">
        <f>IF(BE76=1,ROUND(AG76/60,6),0)</f>
        <v>0</v>
      </c>
      <c r="BI76" s="80">
        <f>IF(BE76=1,ROUND(AP76/60,6),0)</f>
        <v>0</v>
      </c>
      <c r="BJ76" s="80">
        <f>IF(BE76=1,ROUND(AQ76/60,6),0)</f>
        <v>0</v>
      </c>
      <c r="BK76" s="80">
        <f>IF(BE76=1,ROUND((AR76+AS76)/60,6),0)</f>
        <v>0</v>
      </c>
      <c r="BL76" s="80">
        <f>ROUND(BH76-BK76,6)</f>
        <v>0</v>
      </c>
      <c r="BM76" s="80">
        <f>IF(BE76=1,ROUND(AR76/60,6),0)</f>
        <v>0</v>
      </c>
      <c r="BN76" s="80">
        <f>ROUND(BI76-BM76,6)</f>
        <v>0</v>
      </c>
      <c r="BO76" s="80">
        <f>IF(BE76=1,ROUND(AS76/60,6),0)</f>
        <v>0</v>
      </c>
      <c r="BP76" s="80">
        <f>ROUND(BJ76-BO76,6)</f>
        <v>0</v>
      </c>
      <c r="BQ76" s="80">
        <f>IF(BE76=1,AW76,0)</f>
        <v>0</v>
      </c>
      <c r="BR76" s="80">
        <f>IF(BE76=1,AX76,0)</f>
        <v>0</v>
      </c>
      <c r="BS76" s="80">
        <f>IF(AND(BE76=1,D76="Malcolm",BA76&gt;0),MIN(BH76,SUMPRODUCT((R_Emp="proMX")*(R_EN&gt;0)*((R_EN-(R_EN&gt;BR76)*(R_EN-BR76))&gt;(R_SN+(R_SN&lt;BQ76)*(BQ76-R_SN)))*((R_EN-(R_EN&gt;BR76)*(R_EN-BR76))-(R_SN+(R_SN&lt;BQ76)*(BQ76-R_SN))))/60),0)</f>
        <v>0</v>
      </c>
      <c r="BT76" s="80">
        <f>IF(AND(BE76=1,D76="proMX"),ROUND(BI76*CFG_RATE+BJ76*CFG_OTRATE,6),0)</f>
        <v>0</v>
      </c>
      <c r="BU76" s="80">
        <f>IF(AND(BD76=1,D76="proMX"),ROUND(AG76/CFG_BLK,6),0)</f>
        <v>0</v>
      </c>
      <c r="BV76" s="80" t="str">
        <f>IF(BF76="Approved",IF(ISNUMBER(T76),INT(T76),INT(B76)),"")</f>
        <v/>
      </c>
      <c r="BW76" s="80">
        <f>IF(ISNUMBER(B76),IF(DB_MON="Todos",1,IF(AND(INT(B76)&gt;=DB_MS,INT(B76)&lt;=DB_ME),1,0)),0)</f>
        <v>0</v>
      </c>
      <c r="BX76" s="80">
        <f>IF(DB_PROJ="Todos",1,IF(E76&amp;""=DB_PROJ&amp;"",1,0))</f>
        <v>1</v>
      </c>
      <c r="BY76" s="80">
        <f>BW76*BX76</f>
        <v>0</v>
      </c>
      <c r="BZ76" s="80" t="str">
        <f>IF(Y76=1,F76&amp;IF(AND(F76&amp;""&lt;&gt;"",E76&amp;""&lt;&gt;"")," · ","")&amp;E76,"")</f>
        <v/>
      </c>
      <c r="CA76" s="80" t="str">
        <f>IF(AND(BD76=1,E76&amp;""&lt;&gt;""),IF(COUNTIFS($E$5:E75,E76,$BD$5:BD75,1)=0,MAX($CA$5:CA75)+1,""),"")</f>
        <v/>
      </c>
      <c r="CB76" s="80" t="str">
        <f>IF(AND(BE76=1,D76="Malcolm",E76&amp;""&lt;&gt;""),IF(COUNTIFS($D$5:D75,"Malcolm",$E$5:E75,E76,$BE$5:BE75,1)=0,MAX($CB$5:CB75)+1,""),"")</f>
        <v/>
      </c>
      <c r="CC76" s="80" t="str">
        <f>IF(AND(BD76=1,D76="proMX",E76&amp;""&lt;&gt;""),IF(COUNTIFS($D$5:D75,"proMX",$E$5:E75,E76,$BD$5:BD75,1)=0,MAX($CC$5:CC75)+1,""),"")</f>
        <v/>
      </c>
      <c r="CD76" s="80" t="str">
        <f>IF(AND(BE76=1,D76="Malcolm",F76&amp;""&lt;&gt;""),IF(COUNTIFS($D$5:D75,"Malcolm",$F$5:F75,F76,$BE$5:BE75,1)=0,MAX($CD$5:CD75)+1,""),"")</f>
        <v/>
      </c>
      <c r="CE76" s="80" t="str">
        <f>IF(AND(BD76=1,D76="proMX",F76&amp;""&lt;&gt;""),IF(COUNTIFS($D$5:D75,"proMX",$F$5:F75,F76,$BD$5:BD75,1)=0,MAX($CE$5:CE75)+1,""),"")</f>
        <v/>
      </c>
      <c r="CF76" s="80" t="str">
        <f>IF(AND(D76="proMX",BD76=1),IF(OR(BF76="Draft",BF76="Submitted",BF76="Returned",BF76="Recall Requested"),MAX($CF$5:CF75)+1,""),"")</f>
        <v/>
      </c>
      <c r="CG76" s="80">
        <f>IF(BD76=0,0,IF(D76="Malcolm",1,MATCH(BF76,{"Draft","Submitted","Approved","Returned","Recall Requested","Cancelled"},0)+1))</f>
        <v>0</v>
      </c>
      <c r="CH76" s="80">
        <f>IF(AND(BF76="Submitted",ISNUMBER(V76)),IF(V76&gt;CFG_MAXD,1,0),0)</f>
        <v>0</v>
      </c>
    </row>
    <row r="77">
      <c r="A77" s="71" t="str">
        <f>IF(Y77=1,ROW()-5,"")</f>
        <v/>
      </c>
      <c r="B77" s="72" t="n"/>
      <c r="C77" s="71" t="str">
        <f>IF(ISNUMBER(B77),CHOOSE(WEEKDAY(B77,2),"Lun","Mar","Mié","Jue","Vie","Sáb","Dom"),"")</f>
        <v/>
      </c>
      <c r="D77" s="73" t="n"/>
      <c r="E77" s="74" t="n"/>
      <c r="F77" s="74" t="n"/>
      <c r="G77" s="74" t="n"/>
      <c r="H77" s="75" t="n"/>
      <c r="I77" s="75" t="n"/>
      <c r="J77" s="76" t="n"/>
      <c r="K77" s="77" t="str">
        <f>IF(AB77=1,ROUND(AG77/60,4),"")</f>
        <v/>
      </c>
      <c r="L77" s="77" t="str">
        <f>IF(BD77=1,ROUND(AP77/60,4),"")</f>
        <v/>
      </c>
      <c r="M77" s="77" t="str">
        <f>IF(BD77=1,ROUND(AQ77/60,4),"")</f>
        <v/>
      </c>
      <c r="N77" s="71" t="str">
        <f>IF(AND(D77="proMX",AB77=1),ROUND(AG77/CFG_BLK,2),"")</f>
        <v/>
      </c>
      <c r="O77" s="77" t="str">
        <f>IF(D77="proMX",IF(BD77=1,ROUND(AG77/60,4),0),"")</f>
        <v/>
      </c>
      <c r="P77" s="78" t="str">
        <f>IF(Y77=0,"",IF(BD77=1,"OK",IF(D77="proMX","Revisar bloques: ","Revisar: ")&amp;BC77))</f>
        <v/>
      </c>
      <c r="Q77" s="78" t="str">
        <f>IF(NOT(ISNUMBER(B77)),"",IF(COUNTIFS(FER_F,INT(B77))&gt;0,"Feriado"&amp;IF(AH77=1," (laborable)"," (no laborable)"),IF(AH77=1,"Laborable",IF(WEEKDAY(B77,2)&gt;5,"Fin de semana","No laborable"))))</f>
        <v/>
      </c>
      <c r="R77" s="73" t="n"/>
      <c r="S77" s="72" t="n"/>
      <c r="T77" s="72" t="n"/>
      <c r="U77" s="74" t="n"/>
      <c r="V77" s="79" t="str">
        <f>IF(AND(D77="proMX",OR(R77="Submitted",R77="Recall Requested"),ISNUMBER(S77)),CFG_TODAY-INT(S77),"")</f>
        <v/>
      </c>
      <c r="W77" s="78" t="str">
        <f>IF(BD77=0,"",IF(BA77&gt;0,"⚠ Se superpone con un registro de la otra empresa",IF(D77="Malcolm",IF(COUNTA(R77,S77,T77)&gt;0,"Estado/fechas proMX se ignoran en Malcolm",""),IF(BF77="Cancelled","Cancelado: excluido de totales",IF(R77="","Sin estado: se trata como Draft",IF(BF77="Submitted",IF(ISNUMBER(V77),IF(V77&gt;CFG_MAXD,"⚠ "&amp;V77&amp;" días en Submitted (máx. "&amp;CFG_MAXD&amp;")",""),"Falta fecha de envío"),IF(BF77="Returned","⚠ Devuelto: corregir y reenviar",IF(BF77="Recall Requested","Retirada solicitada: pendiente",IF(AND(BF77="Approved",NOT(ISNUMBER(T77))),"Falta fecha de aprobación",IF(AND(ISNUMBER(S77),ISNUMBER(T77),T77&lt;S77),"Aprobación anterior al envío","")))))))))</f>
        <v/>
      </c>
      <c r="Y77" s="80">
        <f>IF(COUNTA(B77,D77,E77,F77,G77,H77,I77,J77,R77,S77,T77)&gt;0,1,0)</f>
        <v>0</v>
      </c>
      <c r="Z77" s="80" t="str">
        <f>IF(AND(ISNUMBER(H77),H77&gt;=0,H77&lt;1),ROUND(H77*1440,0),"")</f>
        <v/>
      </c>
      <c r="AA77" s="80" t="str">
        <f>IF(AND(ISNUMBER(I77),I77&gt;=0,I77&lt;1),ROUND(I77*1440,0),"")</f>
        <v/>
      </c>
      <c r="AB77" s="80">
        <f>IF(AND(ISNUMBER(B77),D77&lt;&gt;"",ISNUMBER(Z77),ISNUMBER(AA77)),IF(Z77=AA77,0,1),0)</f>
        <v>0</v>
      </c>
      <c r="AC77" s="80">
        <f>IF(AB77=1,IF(AA77&lt;Z77,1,0),0)</f>
        <v>0</v>
      </c>
      <c r="AD77" s="80">
        <f>IF(AB77=1,IF(AC77=1,1440-Z77+AA77,AA77-Z77),0)</f>
        <v>0</v>
      </c>
      <c r="AE77" s="80">
        <f>IF(J77="",0,IF(ISNUMBER(J77),J77,-1))</f>
        <v>0</v>
      </c>
      <c r="AF77" s="80">
        <f>MIN(MAX(0,AE77),AD77)</f>
        <v>0</v>
      </c>
      <c r="AG77" s="80">
        <f>MAX(0,AD77-MAX(0,AE77))</f>
        <v>0</v>
      </c>
      <c r="AH77" s="80">
        <f>IF(ISNUMBER(B77),IF(AND(INDEX(CFG_WDAYS,WEEKDAY(INT(B77),2))="Sí",IF(D77="proMX",COUNTIFS(FER_F,INT(B77),FER_NLP,"Sí"),COUNTIFS(FER_F,INT(B77),FER_NLM,"Sí"))=0),1,0),0)</f>
        <v>0</v>
      </c>
      <c r="AI77" s="80">
        <f>IF(AC77=1,IF(AND(INDEX(CFG_WDAYS,WEEKDAY(INT(B77)+1,2))="Sí",IF(D77="proMX",COUNTIFS(FER_F,INT(B77)+1,FER_NLP,"Sí"),COUNTIFS(FER_F,INT(B77)+1,FER_NLM,"Sí"))=0),1,0),0)</f>
        <v>0</v>
      </c>
      <c r="AJ77" s="80">
        <f>IF(AC77=1,1440-Z77,AD77)</f>
        <v>0</v>
      </c>
      <c r="AK77" s="80">
        <f>IF(AND(AB77=1,AH77=1),MAX(0,MIN(IF(AC77=1,1440,AA77),CFG_WEM)-MAX(Z77,CFG_WSM)),0)</f>
        <v>0</v>
      </c>
      <c r="AL77" s="80">
        <f>IF(AND(AC77=1,AI77=1),MAX(0,MIN(AA77,CFG_WEM)-CFG_WSM),0)</f>
        <v>0</v>
      </c>
      <c r="AM77" s="80">
        <f>AK77+AL77</f>
        <v>0</v>
      </c>
      <c r="AN77" s="80">
        <f>IF(CFG_BRK="Proporcional",IF(AD77=0,0,AF77*AM77/AD77),IF(CFG_BRK="Extras primero",MIN(AM77,MAX(0,AF77-(AD77-AM77))),MIN(AF77,AM77)))</f>
        <v>0</v>
      </c>
      <c r="AO77" s="80">
        <f>AF77-AN77</f>
        <v>0</v>
      </c>
      <c r="AP77" s="80">
        <f>AM77-AN77</f>
        <v>0</v>
      </c>
      <c r="AQ77" s="80">
        <f>AD77-AM77-AO77</f>
        <v>0</v>
      </c>
      <c r="AR77" s="80">
        <f>IF(AM77=0,0,AK77-AN77*AK77/AM77)</f>
        <v>0</v>
      </c>
      <c r="AS77" s="80">
        <f>IF(AD77-AM77=0,0,(AJ77-AK77)-AO77*(AJ77-AK77)/(AD77-AM77))</f>
        <v>0</v>
      </c>
      <c r="AT77" s="80" t="str">
        <f>IF(AC77=1,INT(B77)+1,"")</f>
        <v/>
      </c>
      <c r="AU77" s="80">
        <f>IF(AND(D77="proMX",R77="Cancelled"),0,1)</f>
        <v>1</v>
      </c>
      <c r="AV77" s="80">
        <f>IF(AND(AB77=1,AU77=1),IF(COUNTIFS($D$5:D76,D77,$B$5:B76,B77,$Z$5:Z76,Z77,$AA$5:AA76,AA77,$F$5:F76,F77&amp;"",$AU$5:AU76,1)&gt;0,1,0),0)</f>
        <v>0</v>
      </c>
      <c r="AW77" s="80" t="str">
        <f>IF(AB77=1,INT(B77)*1440+Z77,"")</f>
        <v/>
      </c>
      <c r="AX77" s="80" t="str">
        <f>IF(AB77=1,AW77+AD77,"")</f>
        <v/>
      </c>
      <c r="AY77" s="80">
        <f>IF(AND(AB77=1,AV77=0,AU77=1),1,0)</f>
        <v>0</v>
      </c>
      <c r="AZ77" s="80">
        <f>IF(AY77=1,COUNTIFS(R_Emp,D77,R_SAbs,"&lt;"&amp;AX77,R_EAbs,"&gt;"&amp;AW77,R_OKey,1)-1,0)</f>
        <v>0</v>
      </c>
      <c r="BA77" s="80">
        <f>IF(AY77=1,COUNTIFS(R_Emp,"&lt;&gt;"&amp;D77,R_SAbs,"&lt;"&amp;AX77,R_EAbs,"&gt;"&amp;AW77,R_OKey,1),0)</f>
        <v>0</v>
      </c>
      <c r="BB77" s="80">
        <f>IF(AND(AB77=1,D77="proMX"),IF(AND(MOD(Z77,CFG_BLK)=0,MOD(AA77,CFG_BLK)=0,MOD(AG77,CFG_BLK)=0,AG77&gt;0),1,0),1)</f>
        <v>1</v>
      </c>
      <c r="BC77" s="80" t="str">
        <f>IF(Y77=0,"",IF(NOT(ISNUMBER(B77)),"Falta fecha o fecha inválida",IF(D77="","Falta empresa",IF(AND(D77&lt;&gt;"Malcolm",D77&lt;&gt;"proMX"),"Empresa inválida",IF(OR(INT(B77)&lt;CFG_PSTART,INT(B77)&gt;CFG_PEND),"Fecha fuera del período",IF(OR(NOT(ISNUMBER(Z77)),NOT(ISNUMBER(AA77))),"Falta hora inicio/fin o formato inválido",IF(AB77=0,"Hora inicio = hora fin",IF(AE77&lt;0,"Descanso inválido",IF(AE77&gt;=AD77,"Descanso ≥ duración",IF(AV77=1,"Registro duplicado",IF(AZ77&gt;0,"Se superpone con otro registro "&amp;D77,IF(BB77=0,"inicio, fin y duración neta deben ser múltiplos de "&amp;CFG_BLK&amp;" min",""))))))))))))</f>
        <v/>
      </c>
      <c r="BD77" s="80">
        <f>IF(AND(Y77=1,BC77=""),1,0)</f>
        <v>0</v>
      </c>
      <c r="BE77" s="80">
        <f>IF(AND(BD77=1,AU77=1),1,0)</f>
        <v>0</v>
      </c>
      <c r="BF77" s="80" t="str">
        <f>IF(AND(D77="proMX",BD77=1),IF(R77="","Draft",R77),"")</f>
        <v/>
      </c>
      <c r="BG77" s="80">
        <f>IF(BD77=1,ROUND(AG77/60,6),0)</f>
        <v>0</v>
      </c>
      <c r="BH77" s="80">
        <f>IF(BE77=1,ROUND(AG77/60,6),0)</f>
        <v>0</v>
      </c>
      <c r="BI77" s="80">
        <f>IF(BE77=1,ROUND(AP77/60,6),0)</f>
        <v>0</v>
      </c>
      <c r="BJ77" s="80">
        <f>IF(BE77=1,ROUND(AQ77/60,6),0)</f>
        <v>0</v>
      </c>
      <c r="BK77" s="80">
        <f>IF(BE77=1,ROUND((AR77+AS77)/60,6),0)</f>
        <v>0</v>
      </c>
      <c r="BL77" s="80">
        <f>ROUND(BH77-BK77,6)</f>
        <v>0</v>
      </c>
      <c r="BM77" s="80">
        <f>IF(BE77=1,ROUND(AR77/60,6),0)</f>
        <v>0</v>
      </c>
      <c r="BN77" s="80">
        <f>ROUND(BI77-BM77,6)</f>
        <v>0</v>
      </c>
      <c r="BO77" s="80">
        <f>IF(BE77=1,ROUND(AS77/60,6),0)</f>
        <v>0</v>
      </c>
      <c r="BP77" s="80">
        <f>ROUND(BJ77-BO77,6)</f>
        <v>0</v>
      </c>
      <c r="BQ77" s="80">
        <f>IF(BE77=1,AW77,0)</f>
        <v>0</v>
      </c>
      <c r="BR77" s="80">
        <f>IF(BE77=1,AX77,0)</f>
        <v>0</v>
      </c>
      <c r="BS77" s="80">
        <f>IF(AND(BE77=1,D77="Malcolm",BA77&gt;0),MIN(BH77,SUMPRODUCT((R_Emp="proMX")*(R_EN&gt;0)*((R_EN-(R_EN&gt;BR77)*(R_EN-BR77))&gt;(R_SN+(R_SN&lt;BQ77)*(BQ77-R_SN)))*((R_EN-(R_EN&gt;BR77)*(R_EN-BR77))-(R_SN+(R_SN&lt;BQ77)*(BQ77-R_SN))))/60),0)</f>
        <v>0</v>
      </c>
      <c r="BT77" s="80">
        <f>IF(AND(BE77=1,D77="proMX"),ROUND(BI77*CFG_RATE+BJ77*CFG_OTRATE,6),0)</f>
        <v>0</v>
      </c>
      <c r="BU77" s="80">
        <f>IF(AND(BD77=1,D77="proMX"),ROUND(AG77/CFG_BLK,6),0)</f>
        <v>0</v>
      </c>
      <c r="BV77" s="80" t="str">
        <f>IF(BF77="Approved",IF(ISNUMBER(T77),INT(T77),INT(B77)),"")</f>
        <v/>
      </c>
      <c r="BW77" s="80">
        <f>IF(ISNUMBER(B77),IF(DB_MON="Todos",1,IF(AND(INT(B77)&gt;=DB_MS,INT(B77)&lt;=DB_ME),1,0)),0)</f>
        <v>0</v>
      </c>
      <c r="BX77" s="80">
        <f>IF(DB_PROJ="Todos",1,IF(E77&amp;""=DB_PROJ&amp;"",1,0))</f>
        <v>1</v>
      </c>
      <c r="BY77" s="80">
        <f>BW77*BX77</f>
        <v>0</v>
      </c>
      <c r="BZ77" s="80" t="str">
        <f>IF(Y77=1,F77&amp;IF(AND(F77&amp;""&lt;&gt;"",E77&amp;""&lt;&gt;"")," · ","")&amp;E77,"")</f>
        <v/>
      </c>
      <c r="CA77" s="80" t="str">
        <f>IF(AND(BD77=1,E77&amp;""&lt;&gt;""),IF(COUNTIFS($E$5:E76,E77,$BD$5:BD76,1)=0,MAX($CA$5:CA76)+1,""),"")</f>
        <v/>
      </c>
      <c r="CB77" s="80" t="str">
        <f>IF(AND(BE77=1,D77="Malcolm",E77&amp;""&lt;&gt;""),IF(COUNTIFS($D$5:D76,"Malcolm",$E$5:E76,E77,$BE$5:BE76,1)=0,MAX($CB$5:CB76)+1,""),"")</f>
        <v/>
      </c>
      <c r="CC77" s="80" t="str">
        <f>IF(AND(BD77=1,D77="proMX",E77&amp;""&lt;&gt;""),IF(COUNTIFS($D$5:D76,"proMX",$E$5:E76,E77,$BD$5:BD76,1)=0,MAX($CC$5:CC76)+1,""),"")</f>
        <v/>
      </c>
      <c r="CD77" s="80" t="str">
        <f>IF(AND(BE77=1,D77="Malcolm",F77&amp;""&lt;&gt;""),IF(COUNTIFS($D$5:D76,"Malcolm",$F$5:F76,F77,$BE$5:BE76,1)=0,MAX($CD$5:CD76)+1,""),"")</f>
        <v/>
      </c>
      <c r="CE77" s="80" t="str">
        <f>IF(AND(BD77=1,D77="proMX",F77&amp;""&lt;&gt;""),IF(COUNTIFS($D$5:D76,"proMX",$F$5:F76,F77,$BD$5:BD76,1)=0,MAX($CE$5:CE76)+1,""),"")</f>
        <v/>
      </c>
      <c r="CF77" s="80" t="str">
        <f>IF(AND(D77="proMX",BD77=1),IF(OR(BF77="Draft",BF77="Submitted",BF77="Returned",BF77="Recall Requested"),MAX($CF$5:CF76)+1,""),"")</f>
        <v/>
      </c>
      <c r="CG77" s="80">
        <f>IF(BD77=0,0,IF(D77="Malcolm",1,MATCH(BF77,{"Draft","Submitted","Approved","Returned","Recall Requested","Cancelled"},0)+1))</f>
        <v>0</v>
      </c>
      <c r="CH77" s="80">
        <f>IF(AND(BF77="Submitted",ISNUMBER(V77)),IF(V77&gt;CFG_MAXD,1,0),0)</f>
        <v>0</v>
      </c>
    </row>
    <row r="78">
      <c r="A78" s="71" t="str">
        <f>IF(Y78=1,ROW()-5,"")</f>
        <v/>
      </c>
      <c r="B78" s="72" t="n"/>
      <c r="C78" s="71" t="str">
        <f>IF(ISNUMBER(B78),CHOOSE(WEEKDAY(B78,2),"Lun","Mar","Mié","Jue","Vie","Sáb","Dom"),"")</f>
        <v/>
      </c>
      <c r="D78" s="73" t="n"/>
      <c r="E78" s="74" t="n"/>
      <c r="F78" s="74" t="n"/>
      <c r="G78" s="74" t="n"/>
      <c r="H78" s="75" t="n"/>
      <c r="I78" s="75" t="n"/>
      <c r="J78" s="76" t="n"/>
      <c r="K78" s="77" t="str">
        <f>IF(AB78=1,ROUND(AG78/60,4),"")</f>
        <v/>
      </c>
      <c r="L78" s="77" t="str">
        <f>IF(BD78=1,ROUND(AP78/60,4),"")</f>
        <v/>
      </c>
      <c r="M78" s="77" t="str">
        <f>IF(BD78=1,ROUND(AQ78/60,4),"")</f>
        <v/>
      </c>
      <c r="N78" s="71" t="str">
        <f>IF(AND(D78="proMX",AB78=1),ROUND(AG78/CFG_BLK,2),"")</f>
        <v/>
      </c>
      <c r="O78" s="77" t="str">
        <f>IF(D78="proMX",IF(BD78=1,ROUND(AG78/60,4),0),"")</f>
        <v/>
      </c>
      <c r="P78" s="78" t="str">
        <f>IF(Y78=0,"",IF(BD78=1,"OK",IF(D78="proMX","Revisar bloques: ","Revisar: ")&amp;BC78))</f>
        <v/>
      </c>
      <c r="Q78" s="78" t="str">
        <f>IF(NOT(ISNUMBER(B78)),"",IF(COUNTIFS(FER_F,INT(B78))&gt;0,"Feriado"&amp;IF(AH78=1," (laborable)"," (no laborable)"),IF(AH78=1,"Laborable",IF(WEEKDAY(B78,2)&gt;5,"Fin de semana","No laborable"))))</f>
        <v/>
      </c>
      <c r="R78" s="73" t="n"/>
      <c r="S78" s="72" t="n"/>
      <c r="T78" s="72" t="n"/>
      <c r="U78" s="74" t="n"/>
      <c r="V78" s="79" t="str">
        <f>IF(AND(D78="proMX",OR(R78="Submitted",R78="Recall Requested"),ISNUMBER(S78)),CFG_TODAY-INT(S78),"")</f>
        <v/>
      </c>
      <c r="W78" s="78" t="str">
        <f>IF(BD78=0,"",IF(BA78&gt;0,"⚠ Se superpone con un registro de la otra empresa",IF(D78="Malcolm",IF(COUNTA(R78,S78,T78)&gt;0,"Estado/fechas proMX se ignoran en Malcolm",""),IF(BF78="Cancelled","Cancelado: excluido de totales",IF(R78="","Sin estado: se trata como Draft",IF(BF78="Submitted",IF(ISNUMBER(V78),IF(V78&gt;CFG_MAXD,"⚠ "&amp;V78&amp;" días en Submitted (máx. "&amp;CFG_MAXD&amp;")",""),"Falta fecha de envío"),IF(BF78="Returned","⚠ Devuelto: corregir y reenviar",IF(BF78="Recall Requested","Retirada solicitada: pendiente",IF(AND(BF78="Approved",NOT(ISNUMBER(T78))),"Falta fecha de aprobación",IF(AND(ISNUMBER(S78),ISNUMBER(T78),T78&lt;S78),"Aprobación anterior al envío","")))))))))</f>
        <v/>
      </c>
      <c r="Y78" s="80">
        <f>IF(COUNTA(B78,D78,E78,F78,G78,H78,I78,J78,R78,S78,T78)&gt;0,1,0)</f>
        <v>0</v>
      </c>
      <c r="Z78" s="80" t="str">
        <f>IF(AND(ISNUMBER(H78),H78&gt;=0,H78&lt;1),ROUND(H78*1440,0),"")</f>
        <v/>
      </c>
      <c r="AA78" s="80" t="str">
        <f>IF(AND(ISNUMBER(I78),I78&gt;=0,I78&lt;1),ROUND(I78*1440,0),"")</f>
        <v/>
      </c>
      <c r="AB78" s="80">
        <f>IF(AND(ISNUMBER(B78),D78&lt;&gt;"",ISNUMBER(Z78),ISNUMBER(AA78)),IF(Z78=AA78,0,1),0)</f>
        <v>0</v>
      </c>
      <c r="AC78" s="80">
        <f>IF(AB78=1,IF(AA78&lt;Z78,1,0),0)</f>
        <v>0</v>
      </c>
      <c r="AD78" s="80">
        <f>IF(AB78=1,IF(AC78=1,1440-Z78+AA78,AA78-Z78),0)</f>
        <v>0</v>
      </c>
      <c r="AE78" s="80">
        <f>IF(J78="",0,IF(ISNUMBER(J78),J78,-1))</f>
        <v>0</v>
      </c>
      <c r="AF78" s="80">
        <f>MIN(MAX(0,AE78),AD78)</f>
        <v>0</v>
      </c>
      <c r="AG78" s="80">
        <f>MAX(0,AD78-MAX(0,AE78))</f>
        <v>0</v>
      </c>
      <c r="AH78" s="80">
        <f>IF(ISNUMBER(B78),IF(AND(INDEX(CFG_WDAYS,WEEKDAY(INT(B78),2))="Sí",IF(D78="proMX",COUNTIFS(FER_F,INT(B78),FER_NLP,"Sí"),COUNTIFS(FER_F,INT(B78),FER_NLM,"Sí"))=0),1,0),0)</f>
        <v>0</v>
      </c>
      <c r="AI78" s="80">
        <f>IF(AC78=1,IF(AND(INDEX(CFG_WDAYS,WEEKDAY(INT(B78)+1,2))="Sí",IF(D78="proMX",COUNTIFS(FER_F,INT(B78)+1,FER_NLP,"Sí"),COUNTIFS(FER_F,INT(B78)+1,FER_NLM,"Sí"))=0),1,0),0)</f>
        <v>0</v>
      </c>
      <c r="AJ78" s="80">
        <f>IF(AC78=1,1440-Z78,AD78)</f>
        <v>0</v>
      </c>
      <c r="AK78" s="80">
        <f>IF(AND(AB78=1,AH78=1),MAX(0,MIN(IF(AC78=1,1440,AA78),CFG_WEM)-MAX(Z78,CFG_WSM)),0)</f>
        <v>0</v>
      </c>
      <c r="AL78" s="80">
        <f>IF(AND(AC78=1,AI78=1),MAX(0,MIN(AA78,CFG_WEM)-CFG_WSM),0)</f>
        <v>0</v>
      </c>
      <c r="AM78" s="80">
        <f>AK78+AL78</f>
        <v>0</v>
      </c>
      <c r="AN78" s="80">
        <f>IF(CFG_BRK="Proporcional",IF(AD78=0,0,AF78*AM78/AD78),IF(CFG_BRK="Extras primero",MIN(AM78,MAX(0,AF78-(AD78-AM78))),MIN(AF78,AM78)))</f>
        <v>0</v>
      </c>
      <c r="AO78" s="80">
        <f>AF78-AN78</f>
        <v>0</v>
      </c>
      <c r="AP78" s="80">
        <f>AM78-AN78</f>
        <v>0</v>
      </c>
      <c r="AQ78" s="80">
        <f>AD78-AM78-AO78</f>
        <v>0</v>
      </c>
      <c r="AR78" s="80">
        <f>IF(AM78=0,0,AK78-AN78*AK78/AM78)</f>
        <v>0</v>
      </c>
      <c r="AS78" s="80">
        <f>IF(AD78-AM78=0,0,(AJ78-AK78)-AO78*(AJ78-AK78)/(AD78-AM78))</f>
        <v>0</v>
      </c>
      <c r="AT78" s="80" t="str">
        <f>IF(AC78=1,INT(B78)+1,"")</f>
        <v/>
      </c>
      <c r="AU78" s="80">
        <f>IF(AND(D78="proMX",R78="Cancelled"),0,1)</f>
        <v>1</v>
      </c>
      <c r="AV78" s="80">
        <f>IF(AND(AB78=1,AU78=1),IF(COUNTIFS($D$5:D77,D78,$B$5:B77,B78,$Z$5:Z77,Z78,$AA$5:AA77,AA78,$F$5:F77,F78&amp;"",$AU$5:AU77,1)&gt;0,1,0),0)</f>
        <v>0</v>
      </c>
      <c r="AW78" s="80" t="str">
        <f>IF(AB78=1,INT(B78)*1440+Z78,"")</f>
        <v/>
      </c>
      <c r="AX78" s="80" t="str">
        <f>IF(AB78=1,AW78+AD78,"")</f>
        <v/>
      </c>
      <c r="AY78" s="80">
        <f>IF(AND(AB78=1,AV78=0,AU78=1),1,0)</f>
        <v>0</v>
      </c>
      <c r="AZ78" s="80">
        <f>IF(AY78=1,COUNTIFS(R_Emp,D78,R_SAbs,"&lt;"&amp;AX78,R_EAbs,"&gt;"&amp;AW78,R_OKey,1)-1,0)</f>
        <v>0</v>
      </c>
      <c r="BA78" s="80">
        <f>IF(AY78=1,COUNTIFS(R_Emp,"&lt;&gt;"&amp;D78,R_SAbs,"&lt;"&amp;AX78,R_EAbs,"&gt;"&amp;AW78,R_OKey,1),0)</f>
        <v>0</v>
      </c>
      <c r="BB78" s="80">
        <f>IF(AND(AB78=1,D78="proMX"),IF(AND(MOD(Z78,CFG_BLK)=0,MOD(AA78,CFG_BLK)=0,MOD(AG78,CFG_BLK)=0,AG78&gt;0),1,0),1)</f>
        <v>1</v>
      </c>
      <c r="BC78" s="80" t="str">
        <f>IF(Y78=0,"",IF(NOT(ISNUMBER(B78)),"Falta fecha o fecha inválida",IF(D78="","Falta empresa",IF(AND(D78&lt;&gt;"Malcolm",D78&lt;&gt;"proMX"),"Empresa inválida",IF(OR(INT(B78)&lt;CFG_PSTART,INT(B78)&gt;CFG_PEND),"Fecha fuera del período",IF(OR(NOT(ISNUMBER(Z78)),NOT(ISNUMBER(AA78))),"Falta hora inicio/fin o formato inválido",IF(AB78=0,"Hora inicio = hora fin",IF(AE78&lt;0,"Descanso inválido",IF(AE78&gt;=AD78,"Descanso ≥ duración",IF(AV78=1,"Registro duplicado",IF(AZ78&gt;0,"Se superpone con otro registro "&amp;D78,IF(BB78=0,"inicio, fin y duración neta deben ser múltiplos de "&amp;CFG_BLK&amp;" min",""))))))))))))</f>
        <v/>
      </c>
      <c r="BD78" s="80">
        <f>IF(AND(Y78=1,BC78=""),1,0)</f>
        <v>0</v>
      </c>
      <c r="BE78" s="80">
        <f>IF(AND(BD78=1,AU78=1),1,0)</f>
        <v>0</v>
      </c>
      <c r="BF78" s="80" t="str">
        <f>IF(AND(D78="proMX",BD78=1),IF(R78="","Draft",R78),"")</f>
        <v/>
      </c>
      <c r="BG78" s="80">
        <f>IF(BD78=1,ROUND(AG78/60,6),0)</f>
        <v>0</v>
      </c>
      <c r="BH78" s="80">
        <f>IF(BE78=1,ROUND(AG78/60,6),0)</f>
        <v>0</v>
      </c>
      <c r="BI78" s="80">
        <f>IF(BE78=1,ROUND(AP78/60,6),0)</f>
        <v>0</v>
      </c>
      <c r="BJ78" s="80">
        <f>IF(BE78=1,ROUND(AQ78/60,6),0)</f>
        <v>0</v>
      </c>
      <c r="BK78" s="80">
        <f>IF(BE78=1,ROUND((AR78+AS78)/60,6),0)</f>
        <v>0</v>
      </c>
      <c r="BL78" s="80">
        <f>ROUND(BH78-BK78,6)</f>
        <v>0</v>
      </c>
      <c r="BM78" s="80">
        <f>IF(BE78=1,ROUND(AR78/60,6),0)</f>
        <v>0</v>
      </c>
      <c r="BN78" s="80">
        <f>ROUND(BI78-BM78,6)</f>
        <v>0</v>
      </c>
      <c r="BO78" s="80">
        <f>IF(BE78=1,ROUND(AS78/60,6),0)</f>
        <v>0</v>
      </c>
      <c r="BP78" s="80">
        <f>ROUND(BJ78-BO78,6)</f>
        <v>0</v>
      </c>
      <c r="BQ78" s="80">
        <f>IF(BE78=1,AW78,0)</f>
        <v>0</v>
      </c>
      <c r="BR78" s="80">
        <f>IF(BE78=1,AX78,0)</f>
        <v>0</v>
      </c>
      <c r="BS78" s="80">
        <f>IF(AND(BE78=1,D78="Malcolm",BA78&gt;0),MIN(BH78,SUMPRODUCT((R_Emp="proMX")*(R_EN&gt;0)*((R_EN-(R_EN&gt;BR78)*(R_EN-BR78))&gt;(R_SN+(R_SN&lt;BQ78)*(BQ78-R_SN)))*((R_EN-(R_EN&gt;BR78)*(R_EN-BR78))-(R_SN+(R_SN&lt;BQ78)*(BQ78-R_SN))))/60),0)</f>
        <v>0</v>
      </c>
      <c r="BT78" s="80">
        <f>IF(AND(BE78=1,D78="proMX"),ROUND(BI78*CFG_RATE+BJ78*CFG_OTRATE,6),0)</f>
        <v>0</v>
      </c>
      <c r="BU78" s="80">
        <f>IF(AND(BD78=1,D78="proMX"),ROUND(AG78/CFG_BLK,6),0)</f>
        <v>0</v>
      </c>
      <c r="BV78" s="80" t="str">
        <f>IF(BF78="Approved",IF(ISNUMBER(T78),INT(T78),INT(B78)),"")</f>
        <v/>
      </c>
      <c r="BW78" s="80">
        <f>IF(ISNUMBER(B78),IF(DB_MON="Todos",1,IF(AND(INT(B78)&gt;=DB_MS,INT(B78)&lt;=DB_ME),1,0)),0)</f>
        <v>0</v>
      </c>
      <c r="BX78" s="80">
        <f>IF(DB_PROJ="Todos",1,IF(E78&amp;""=DB_PROJ&amp;"",1,0))</f>
        <v>1</v>
      </c>
      <c r="BY78" s="80">
        <f>BW78*BX78</f>
        <v>0</v>
      </c>
      <c r="BZ78" s="80" t="str">
        <f>IF(Y78=1,F78&amp;IF(AND(F78&amp;""&lt;&gt;"",E78&amp;""&lt;&gt;"")," · ","")&amp;E78,"")</f>
        <v/>
      </c>
      <c r="CA78" s="80" t="str">
        <f>IF(AND(BD78=1,E78&amp;""&lt;&gt;""),IF(COUNTIFS($E$5:E77,E78,$BD$5:BD77,1)=0,MAX($CA$5:CA77)+1,""),"")</f>
        <v/>
      </c>
      <c r="CB78" s="80" t="str">
        <f>IF(AND(BE78=1,D78="Malcolm",E78&amp;""&lt;&gt;""),IF(COUNTIFS($D$5:D77,"Malcolm",$E$5:E77,E78,$BE$5:BE77,1)=0,MAX($CB$5:CB77)+1,""),"")</f>
        <v/>
      </c>
      <c r="CC78" s="80" t="str">
        <f>IF(AND(BD78=1,D78="proMX",E78&amp;""&lt;&gt;""),IF(COUNTIFS($D$5:D77,"proMX",$E$5:E77,E78,$BD$5:BD77,1)=0,MAX($CC$5:CC77)+1,""),"")</f>
        <v/>
      </c>
      <c r="CD78" s="80" t="str">
        <f>IF(AND(BE78=1,D78="Malcolm",F78&amp;""&lt;&gt;""),IF(COUNTIFS($D$5:D77,"Malcolm",$F$5:F77,F78,$BE$5:BE77,1)=0,MAX($CD$5:CD77)+1,""),"")</f>
        <v/>
      </c>
      <c r="CE78" s="80" t="str">
        <f>IF(AND(BD78=1,D78="proMX",F78&amp;""&lt;&gt;""),IF(COUNTIFS($D$5:D77,"proMX",$F$5:F77,F78,$BD$5:BD77,1)=0,MAX($CE$5:CE77)+1,""),"")</f>
        <v/>
      </c>
      <c r="CF78" s="80" t="str">
        <f>IF(AND(D78="proMX",BD78=1),IF(OR(BF78="Draft",BF78="Submitted",BF78="Returned",BF78="Recall Requested"),MAX($CF$5:CF77)+1,""),"")</f>
        <v/>
      </c>
      <c r="CG78" s="80">
        <f>IF(BD78=0,0,IF(D78="Malcolm",1,MATCH(BF78,{"Draft","Submitted","Approved","Returned","Recall Requested","Cancelled"},0)+1))</f>
        <v>0</v>
      </c>
      <c r="CH78" s="80">
        <f>IF(AND(BF78="Submitted",ISNUMBER(V78)),IF(V78&gt;CFG_MAXD,1,0),0)</f>
        <v>0</v>
      </c>
    </row>
    <row r="79">
      <c r="A79" s="71" t="str">
        <f>IF(Y79=1,ROW()-5,"")</f>
        <v/>
      </c>
      <c r="B79" s="72" t="n"/>
      <c r="C79" s="71" t="str">
        <f>IF(ISNUMBER(B79),CHOOSE(WEEKDAY(B79,2),"Lun","Mar","Mié","Jue","Vie","Sáb","Dom"),"")</f>
        <v/>
      </c>
      <c r="D79" s="73" t="n"/>
      <c r="E79" s="74" t="n"/>
      <c r="F79" s="74" t="n"/>
      <c r="G79" s="74" t="n"/>
      <c r="H79" s="75" t="n"/>
      <c r="I79" s="75" t="n"/>
      <c r="J79" s="76" t="n"/>
      <c r="K79" s="77" t="str">
        <f>IF(AB79=1,ROUND(AG79/60,4),"")</f>
        <v/>
      </c>
      <c r="L79" s="77" t="str">
        <f>IF(BD79=1,ROUND(AP79/60,4),"")</f>
        <v/>
      </c>
      <c r="M79" s="77" t="str">
        <f>IF(BD79=1,ROUND(AQ79/60,4),"")</f>
        <v/>
      </c>
      <c r="N79" s="71" t="str">
        <f>IF(AND(D79="proMX",AB79=1),ROUND(AG79/CFG_BLK,2),"")</f>
        <v/>
      </c>
      <c r="O79" s="77" t="str">
        <f>IF(D79="proMX",IF(BD79=1,ROUND(AG79/60,4),0),"")</f>
        <v/>
      </c>
      <c r="P79" s="78" t="str">
        <f>IF(Y79=0,"",IF(BD79=1,"OK",IF(D79="proMX","Revisar bloques: ","Revisar: ")&amp;BC79))</f>
        <v/>
      </c>
      <c r="Q79" s="78" t="str">
        <f>IF(NOT(ISNUMBER(B79)),"",IF(COUNTIFS(FER_F,INT(B79))&gt;0,"Feriado"&amp;IF(AH79=1," (laborable)"," (no laborable)"),IF(AH79=1,"Laborable",IF(WEEKDAY(B79,2)&gt;5,"Fin de semana","No laborable"))))</f>
        <v/>
      </c>
      <c r="R79" s="73" t="n"/>
      <c r="S79" s="72" t="n"/>
      <c r="T79" s="72" t="n"/>
      <c r="U79" s="74" t="n"/>
      <c r="V79" s="79" t="str">
        <f>IF(AND(D79="proMX",OR(R79="Submitted",R79="Recall Requested"),ISNUMBER(S79)),CFG_TODAY-INT(S79),"")</f>
        <v/>
      </c>
      <c r="W79" s="78" t="str">
        <f>IF(BD79=0,"",IF(BA79&gt;0,"⚠ Se superpone con un registro de la otra empresa",IF(D79="Malcolm",IF(COUNTA(R79,S79,T79)&gt;0,"Estado/fechas proMX se ignoran en Malcolm",""),IF(BF79="Cancelled","Cancelado: excluido de totales",IF(R79="","Sin estado: se trata como Draft",IF(BF79="Submitted",IF(ISNUMBER(V79),IF(V79&gt;CFG_MAXD,"⚠ "&amp;V79&amp;" días en Submitted (máx. "&amp;CFG_MAXD&amp;")",""),"Falta fecha de envío"),IF(BF79="Returned","⚠ Devuelto: corregir y reenviar",IF(BF79="Recall Requested","Retirada solicitada: pendiente",IF(AND(BF79="Approved",NOT(ISNUMBER(T79))),"Falta fecha de aprobación",IF(AND(ISNUMBER(S79),ISNUMBER(T79),T79&lt;S79),"Aprobación anterior al envío","")))))))))</f>
        <v/>
      </c>
      <c r="Y79" s="80">
        <f>IF(COUNTA(B79,D79,E79,F79,G79,H79,I79,J79,R79,S79,T79)&gt;0,1,0)</f>
        <v>0</v>
      </c>
      <c r="Z79" s="80" t="str">
        <f>IF(AND(ISNUMBER(H79),H79&gt;=0,H79&lt;1),ROUND(H79*1440,0),"")</f>
        <v/>
      </c>
      <c r="AA79" s="80" t="str">
        <f>IF(AND(ISNUMBER(I79),I79&gt;=0,I79&lt;1),ROUND(I79*1440,0),"")</f>
        <v/>
      </c>
      <c r="AB79" s="80">
        <f>IF(AND(ISNUMBER(B79),D79&lt;&gt;"",ISNUMBER(Z79),ISNUMBER(AA79)),IF(Z79=AA79,0,1),0)</f>
        <v>0</v>
      </c>
      <c r="AC79" s="80">
        <f>IF(AB79=1,IF(AA79&lt;Z79,1,0),0)</f>
        <v>0</v>
      </c>
      <c r="AD79" s="80">
        <f>IF(AB79=1,IF(AC79=1,1440-Z79+AA79,AA79-Z79),0)</f>
        <v>0</v>
      </c>
      <c r="AE79" s="80">
        <f>IF(J79="",0,IF(ISNUMBER(J79),J79,-1))</f>
        <v>0</v>
      </c>
      <c r="AF79" s="80">
        <f>MIN(MAX(0,AE79),AD79)</f>
        <v>0</v>
      </c>
      <c r="AG79" s="80">
        <f>MAX(0,AD79-MAX(0,AE79))</f>
        <v>0</v>
      </c>
      <c r="AH79" s="80">
        <f>IF(ISNUMBER(B79),IF(AND(INDEX(CFG_WDAYS,WEEKDAY(INT(B79),2))="Sí",IF(D79="proMX",COUNTIFS(FER_F,INT(B79),FER_NLP,"Sí"),COUNTIFS(FER_F,INT(B79),FER_NLM,"Sí"))=0),1,0),0)</f>
        <v>0</v>
      </c>
      <c r="AI79" s="80">
        <f>IF(AC79=1,IF(AND(INDEX(CFG_WDAYS,WEEKDAY(INT(B79)+1,2))="Sí",IF(D79="proMX",COUNTIFS(FER_F,INT(B79)+1,FER_NLP,"Sí"),COUNTIFS(FER_F,INT(B79)+1,FER_NLM,"Sí"))=0),1,0),0)</f>
        <v>0</v>
      </c>
      <c r="AJ79" s="80">
        <f>IF(AC79=1,1440-Z79,AD79)</f>
        <v>0</v>
      </c>
      <c r="AK79" s="80">
        <f>IF(AND(AB79=1,AH79=1),MAX(0,MIN(IF(AC79=1,1440,AA79),CFG_WEM)-MAX(Z79,CFG_WSM)),0)</f>
        <v>0</v>
      </c>
      <c r="AL79" s="80">
        <f>IF(AND(AC79=1,AI79=1),MAX(0,MIN(AA79,CFG_WEM)-CFG_WSM),0)</f>
        <v>0</v>
      </c>
      <c r="AM79" s="80">
        <f>AK79+AL79</f>
        <v>0</v>
      </c>
      <c r="AN79" s="80">
        <f>IF(CFG_BRK="Proporcional",IF(AD79=0,0,AF79*AM79/AD79),IF(CFG_BRK="Extras primero",MIN(AM79,MAX(0,AF79-(AD79-AM79))),MIN(AF79,AM79)))</f>
        <v>0</v>
      </c>
      <c r="AO79" s="80">
        <f>AF79-AN79</f>
        <v>0</v>
      </c>
      <c r="AP79" s="80">
        <f>AM79-AN79</f>
        <v>0</v>
      </c>
      <c r="AQ79" s="80">
        <f>AD79-AM79-AO79</f>
        <v>0</v>
      </c>
      <c r="AR79" s="80">
        <f>IF(AM79=0,0,AK79-AN79*AK79/AM79)</f>
        <v>0</v>
      </c>
      <c r="AS79" s="80">
        <f>IF(AD79-AM79=0,0,(AJ79-AK79)-AO79*(AJ79-AK79)/(AD79-AM79))</f>
        <v>0</v>
      </c>
      <c r="AT79" s="80" t="str">
        <f>IF(AC79=1,INT(B79)+1,"")</f>
        <v/>
      </c>
      <c r="AU79" s="80">
        <f>IF(AND(D79="proMX",R79="Cancelled"),0,1)</f>
        <v>1</v>
      </c>
      <c r="AV79" s="80">
        <f>IF(AND(AB79=1,AU79=1),IF(COUNTIFS($D$5:D78,D79,$B$5:B78,B79,$Z$5:Z78,Z79,$AA$5:AA78,AA79,$F$5:F78,F79&amp;"",$AU$5:AU78,1)&gt;0,1,0),0)</f>
        <v>0</v>
      </c>
      <c r="AW79" s="80" t="str">
        <f>IF(AB79=1,INT(B79)*1440+Z79,"")</f>
        <v/>
      </c>
      <c r="AX79" s="80" t="str">
        <f>IF(AB79=1,AW79+AD79,"")</f>
        <v/>
      </c>
      <c r="AY79" s="80">
        <f>IF(AND(AB79=1,AV79=0,AU79=1),1,0)</f>
        <v>0</v>
      </c>
      <c r="AZ79" s="80">
        <f>IF(AY79=1,COUNTIFS(R_Emp,D79,R_SAbs,"&lt;"&amp;AX79,R_EAbs,"&gt;"&amp;AW79,R_OKey,1)-1,0)</f>
        <v>0</v>
      </c>
      <c r="BA79" s="80">
        <f>IF(AY79=1,COUNTIFS(R_Emp,"&lt;&gt;"&amp;D79,R_SAbs,"&lt;"&amp;AX79,R_EAbs,"&gt;"&amp;AW79,R_OKey,1),0)</f>
        <v>0</v>
      </c>
      <c r="BB79" s="80">
        <f>IF(AND(AB79=1,D79="proMX"),IF(AND(MOD(Z79,CFG_BLK)=0,MOD(AA79,CFG_BLK)=0,MOD(AG79,CFG_BLK)=0,AG79&gt;0),1,0),1)</f>
        <v>1</v>
      </c>
      <c r="BC79" s="80" t="str">
        <f>IF(Y79=0,"",IF(NOT(ISNUMBER(B79)),"Falta fecha o fecha inválida",IF(D79="","Falta empresa",IF(AND(D79&lt;&gt;"Malcolm",D79&lt;&gt;"proMX"),"Empresa inválida",IF(OR(INT(B79)&lt;CFG_PSTART,INT(B79)&gt;CFG_PEND),"Fecha fuera del período",IF(OR(NOT(ISNUMBER(Z79)),NOT(ISNUMBER(AA79))),"Falta hora inicio/fin o formato inválido",IF(AB79=0,"Hora inicio = hora fin",IF(AE79&lt;0,"Descanso inválido",IF(AE79&gt;=AD79,"Descanso ≥ duración",IF(AV79=1,"Registro duplicado",IF(AZ79&gt;0,"Se superpone con otro registro "&amp;D79,IF(BB79=0,"inicio, fin y duración neta deben ser múltiplos de "&amp;CFG_BLK&amp;" min",""))))))))))))</f>
        <v/>
      </c>
      <c r="BD79" s="80">
        <f>IF(AND(Y79=1,BC79=""),1,0)</f>
        <v>0</v>
      </c>
      <c r="BE79" s="80">
        <f>IF(AND(BD79=1,AU79=1),1,0)</f>
        <v>0</v>
      </c>
      <c r="BF79" s="80" t="str">
        <f>IF(AND(D79="proMX",BD79=1),IF(R79="","Draft",R79),"")</f>
        <v/>
      </c>
      <c r="BG79" s="80">
        <f>IF(BD79=1,ROUND(AG79/60,6),0)</f>
        <v>0</v>
      </c>
      <c r="BH79" s="80">
        <f>IF(BE79=1,ROUND(AG79/60,6),0)</f>
        <v>0</v>
      </c>
      <c r="BI79" s="80">
        <f>IF(BE79=1,ROUND(AP79/60,6),0)</f>
        <v>0</v>
      </c>
      <c r="BJ79" s="80">
        <f>IF(BE79=1,ROUND(AQ79/60,6),0)</f>
        <v>0</v>
      </c>
      <c r="BK79" s="80">
        <f>IF(BE79=1,ROUND((AR79+AS79)/60,6),0)</f>
        <v>0</v>
      </c>
      <c r="BL79" s="80">
        <f>ROUND(BH79-BK79,6)</f>
        <v>0</v>
      </c>
      <c r="BM79" s="80">
        <f>IF(BE79=1,ROUND(AR79/60,6),0)</f>
        <v>0</v>
      </c>
      <c r="BN79" s="80">
        <f>ROUND(BI79-BM79,6)</f>
        <v>0</v>
      </c>
      <c r="BO79" s="80">
        <f>IF(BE79=1,ROUND(AS79/60,6),0)</f>
        <v>0</v>
      </c>
      <c r="BP79" s="80">
        <f>ROUND(BJ79-BO79,6)</f>
        <v>0</v>
      </c>
      <c r="BQ79" s="80">
        <f>IF(BE79=1,AW79,0)</f>
        <v>0</v>
      </c>
      <c r="BR79" s="80">
        <f>IF(BE79=1,AX79,0)</f>
        <v>0</v>
      </c>
      <c r="BS79" s="80">
        <f>IF(AND(BE79=1,D79="Malcolm",BA79&gt;0),MIN(BH79,SUMPRODUCT((R_Emp="proMX")*(R_EN&gt;0)*((R_EN-(R_EN&gt;BR79)*(R_EN-BR79))&gt;(R_SN+(R_SN&lt;BQ79)*(BQ79-R_SN)))*((R_EN-(R_EN&gt;BR79)*(R_EN-BR79))-(R_SN+(R_SN&lt;BQ79)*(BQ79-R_SN))))/60),0)</f>
        <v>0</v>
      </c>
      <c r="BT79" s="80">
        <f>IF(AND(BE79=1,D79="proMX"),ROUND(BI79*CFG_RATE+BJ79*CFG_OTRATE,6),0)</f>
        <v>0</v>
      </c>
      <c r="BU79" s="80">
        <f>IF(AND(BD79=1,D79="proMX"),ROUND(AG79/CFG_BLK,6),0)</f>
        <v>0</v>
      </c>
      <c r="BV79" s="80" t="str">
        <f>IF(BF79="Approved",IF(ISNUMBER(T79),INT(T79),INT(B79)),"")</f>
        <v/>
      </c>
      <c r="BW79" s="80">
        <f>IF(ISNUMBER(B79),IF(DB_MON="Todos",1,IF(AND(INT(B79)&gt;=DB_MS,INT(B79)&lt;=DB_ME),1,0)),0)</f>
        <v>0</v>
      </c>
      <c r="BX79" s="80">
        <f>IF(DB_PROJ="Todos",1,IF(E79&amp;""=DB_PROJ&amp;"",1,0))</f>
        <v>1</v>
      </c>
      <c r="BY79" s="80">
        <f>BW79*BX79</f>
        <v>0</v>
      </c>
      <c r="BZ79" s="80" t="str">
        <f>IF(Y79=1,F79&amp;IF(AND(F79&amp;""&lt;&gt;"",E79&amp;""&lt;&gt;"")," · ","")&amp;E79,"")</f>
        <v/>
      </c>
      <c r="CA79" s="80" t="str">
        <f>IF(AND(BD79=1,E79&amp;""&lt;&gt;""),IF(COUNTIFS($E$5:E78,E79,$BD$5:BD78,1)=0,MAX($CA$5:CA78)+1,""),"")</f>
        <v/>
      </c>
      <c r="CB79" s="80" t="str">
        <f>IF(AND(BE79=1,D79="Malcolm",E79&amp;""&lt;&gt;""),IF(COUNTIFS($D$5:D78,"Malcolm",$E$5:E78,E79,$BE$5:BE78,1)=0,MAX($CB$5:CB78)+1,""),"")</f>
        <v/>
      </c>
      <c r="CC79" s="80" t="str">
        <f>IF(AND(BD79=1,D79="proMX",E79&amp;""&lt;&gt;""),IF(COUNTIFS($D$5:D78,"proMX",$E$5:E78,E79,$BD$5:BD78,1)=0,MAX($CC$5:CC78)+1,""),"")</f>
        <v/>
      </c>
      <c r="CD79" s="80" t="str">
        <f>IF(AND(BE79=1,D79="Malcolm",F79&amp;""&lt;&gt;""),IF(COUNTIFS($D$5:D78,"Malcolm",$F$5:F78,F79,$BE$5:BE78,1)=0,MAX($CD$5:CD78)+1,""),"")</f>
        <v/>
      </c>
      <c r="CE79" s="80" t="str">
        <f>IF(AND(BD79=1,D79="proMX",F79&amp;""&lt;&gt;""),IF(COUNTIFS($D$5:D78,"proMX",$F$5:F78,F79,$BD$5:BD78,1)=0,MAX($CE$5:CE78)+1,""),"")</f>
        <v/>
      </c>
      <c r="CF79" s="80" t="str">
        <f>IF(AND(D79="proMX",BD79=1),IF(OR(BF79="Draft",BF79="Submitted",BF79="Returned",BF79="Recall Requested"),MAX($CF$5:CF78)+1,""),"")</f>
        <v/>
      </c>
      <c r="CG79" s="80">
        <f>IF(BD79=0,0,IF(D79="Malcolm",1,MATCH(BF79,{"Draft","Submitted","Approved","Returned","Recall Requested","Cancelled"},0)+1))</f>
        <v>0</v>
      </c>
      <c r="CH79" s="80">
        <f>IF(AND(BF79="Submitted",ISNUMBER(V79)),IF(V79&gt;CFG_MAXD,1,0),0)</f>
        <v>0</v>
      </c>
    </row>
    <row r="80">
      <c r="A80" s="71" t="str">
        <f>IF(Y80=1,ROW()-5,"")</f>
        <v/>
      </c>
      <c r="B80" s="72" t="n"/>
      <c r="C80" s="71" t="str">
        <f>IF(ISNUMBER(B80),CHOOSE(WEEKDAY(B80,2),"Lun","Mar","Mié","Jue","Vie","Sáb","Dom"),"")</f>
        <v/>
      </c>
      <c r="D80" s="73" t="n"/>
      <c r="E80" s="74" t="n"/>
      <c r="F80" s="74" t="n"/>
      <c r="G80" s="74" t="n"/>
      <c r="H80" s="75" t="n"/>
      <c r="I80" s="75" t="n"/>
      <c r="J80" s="76" t="n"/>
      <c r="K80" s="77" t="str">
        <f>IF(AB80=1,ROUND(AG80/60,4),"")</f>
        <v/>
      </c>
      <c r="L80" s="77" t="str">
        <f>IF(BD80=1,ROUND(AP80/60,4),"")</f>
        <v/>
      </c>
      <c r="M80" s="77" t="str">
        <f>IF(BD80=1,ROUND(AQ80/60,4),"")</f>
        <v/>
      </c>
      <c r="N80" s="71" t="str">
        <f>IF(AND(D80="proMX",AB80=1),ROUND(AG80/CFG_BLK,2),"")</f>
        <v/>
      </c>
      <c r="O80" s="77" t="str">
        <f>IF(D80="proMX",IF(BD80=1,ROUND(AG80/60,4),0),"")</f>
        <v/>
      </c>
      <c r="P80" s="78" t="str">
        <f>IF(Y80=0,"",IF(BD80=1,"OK",IF(D80="proMX","Revisar bloques: ","Revisar: ")&amp;BC80))</f>
        <v/>
      </c>
      <c r="Q80" s="78" t="str">
        <f>IF(NOT(ISNUMBER(B80)),"",IF(COUNTIFS(FER_F,INT(B80))&gt;0,"Feriado"&amp;IF(AH80=1," (laborable)"," (no laborable)"),IF(AH80=1,"Laborable",IF(WEEKDAY(B80,2)&gt;5,"Fin de semana","No laborable"))))</f>
        <v/>
      </c>
      <c r="R80" s="73" t="n"/>
      <c r="S80" s="72" t="n"/>
      <c r="T80" s="72" t="n"/>
      <c r="U80" s="74" t="n"/>
      <c r="V80" s="79" t="str">
        <f>IF(AND(D80="proMX",OR(R80="Submitted",R80="Recall Requested"),ISNUMBER(S80)),CFG_TODAY-INT(S80),"")</f>
        <v/>
      </c>
      <c r="W80" s="78" t="str">
        <f>IF(BD80=0,"",IF(BA80&gt;0,"⚠ Se superpone con un registro de la otra empresa",IF(D80="Malcolm",IF(COUNTA(R80,S80,T80)&gt;0,"Estado/fechas proMX se ignoran en Malcolm",""),IF(BF80="Cancelled","Cancelado: excluido de totales",IF(R80="","Sin estado: se trata como Draft",IF(BF80="Submitted",IF(ISNUMBER(V80),IF(V80&gt;CFG_MAXD,"⚠ "&amp;V80&amp;" días en Submitted (máx. "&amp;CFG_MAXD&amp;")",""),"Falta fecha de envío"),IF(BF80="Returned","⚠ Devuelto: corregir y reenviar",IF(BF80="Recall Requested","Retirada solicitada: pendiente",IF(AND(BF80="Approved",NOT(ISNUMBER(T80))),"Falta fecha de aprobación",IF(AND(ISNUMBER(S80),ISNUMBER(T80),T80&lt;S80),"Aprobación anterior al envío","")))))))))</f>
        <v/>
      </c>
      <c r="Y80" s="80">
        <f>IF(COUNTA(B80,D80,E80,F80,G80,H80,I80,J80,R80,S80,T80)&gt;0,1,0)</f>
        <v>0</v>
      </c>
      <c r="Z80" s="80" t="str">
        <f>IF(AND(ISNUMBER(H80),H80&gt;=0,H80&lt;1),ROUND(H80*1440,0),"")</f>
        <v/>
      </c>
      <c r="AA80" s="80" t="str">
        <f>IF(AND(ISNUMBER(I80),I80&gt;=0,I80&lt;1),ROUND(I80*1440,0),"")</f>
        <v/>
      </c>
      <c r="AB80" s="80">
        <f>IF(AND(ISNUMBER(B80),D80&lt;&gt;"",ISNUMBER(Z80),ISNUMBER(AA80)),IF(Z80=AA80,0,1),0)</f>
        <v>0</v>
      </c>
      <c r="AC80" s="80">
        <f>IF(AB80=1,IF(AA80&lt;Z80,1,0),0)</f>
        <v>0</v>
      </c>
      <c r="AD80" s="80">
        <f>IF(AB80=1,IF(AC80=1,1440-Z80+AA80,AA80-Z80),0)</f>
        <v>0</v>
      </c>
      <c r="AE80" s="80">
        <f>IF(J80="",0,IF(ISNUMBER(J80),J80,-1))</f>
        <v>0</v>
      </c>
      <c r="AF80" s="80">
        <f>MIN(MAX(0,AE80),AD80)</f>
        <v>0</v>
      </c>
      <c r="AG80" s="80">
        <f>MAX(0,AD80-MAX(0,AE80))</f>
        <v>0</v>
      </c>
      <c r="AH80" s="80">
        <f>IF(ISNUMBER(B80),IF(AND(INDEX(CFG_WDAYS,WEEKDAY(INT(B80),2))="Sí",IF(D80="proMX",COUNTIFS(FER_F,INT(B80),FER_NLP,"Sí"),COUNTIFS(FER_F,INT(B80),FER_NLM,"Sí"))=0),1,0),0)</f>
        <v>0</v>
      </c>
      <c r="AI80" s="80">
        <f>IF(AC80=1,IF(AND(INDEX(CFG_WDAYS,WEEKDAY(INT(B80)+1,2))="Sí",IF(D80="proMX",COUNTIFS(FER_F,INT(B80)+1,FER_NLP,"Sí"),COUNTIFS(FER_F,INT(B80)+1,FER_NLM,"Sí"))=0),1,0),0)</f>
        <v>0</v>
      </c>
      <c r="AJ80" s="80">
        <f>IF(AC80=1,1440-Z80,AD80)</f>
        <v>0</v>
      </c>
      <c r="AK80" s="80">
        <f>IF(AND(AB80=1,AH80=1),MAX(0,MIN(IF(AC80=1,1440,AA80),CFG_WEM)-MAX(Z80,CFG_WSM)),0)</f>
        <v>0</v>
      </c>
      <c r="AL80" s="80">
        <f>IF(AND(AC80=1,AI80=1),MAX(0,MIN(AA80,CFG_WEM)-CFG_WSM),0)</f>
        <v>0</v>
      </c>
      <c r="AM80" s="80">
        <f>AK80+AL80</f>
        <v>0</v>
      </c>
      <c r="AN80" s="80">
        <f>IF(CFG_BRK="Proporcional",IF(AD80=0,0,AF80*AM80/AD80),IF(CFG_BRK="Extras primero",MIN(AM80,MAX(0,AF80-(AD80-AM80))),MIN(AF80,AM80)))</f>
        <v>0</v>
      </c>
      <c r="AO80" s="80">
        <f>AF80-AN80</f>
        <v>0</v>
      </c>
      <c r="AP80" s="80">
        <f>AM80-AN80</f>
        <v>0</v>
      </c>
      <c r="AQ80" s="80">
        <f>AD80-AM80-AO80</f>
        <v>0</v>
      </c>
      <c r="AR80" s="80">
        <f>IF(AM80=0,0,AK80-AN80*AK80/AM80)</f>
        <v>0</v>
      </c>
      <c r="AS80" s="80">
        <f>IF(AD80-AM80=0,0,(AJ80-AK80)-AO80*(AJ80-AK80)/(AD80-AM80))</f>
        <v>0</v>
      </c>
      <c r="AT80" s="80" t="str">
        <f>IF(AC80=1,INT(B80)+1,"")</f>
        <v/>
      </c>
      <c r="AU80" s="80">
        <f>IF(AND(D80="proMX",R80="Cancelled"),0,1)</f>
        <v>1</v>
      </c>
      <c r="AV80" s="80">
        <f>IF(AND(AB80=1,AU80=1),IF(COUNTIFS($D$5:D79,D80,$B$5:B79,B80,$Z$5:Z79,Z80,$AA$5:AA79,AA80,$F$5:F79,F80&amp;"",$AU$5:AU79,1)&gt;0,1,0),0)</f>
        <v>0</v>
      </c>
      <c r="AW80" s="80" t="str">
        <f>IF(AB80=1,INT(B80)*1440+Z80,"")</f>
        <v/>
      </c>
      <c r="AX80" s="80" t="str">
        <f>IF(AB80=1,AW80+AD80,"")</f>
        <v/>
      </c>
      <c r="AY80" s="80">
        <f>IF(AND(AB80=1,AV80=0,AU80=1),1,0)</f>
        <v>0</v>
      </c>
      <c r="AZ80" s="80">
        <f>IF(AY80=1,COUNTIFS(R_Emp,D80,R_SAbs,"&lt;"&amp;AX80,R_EAbs,"&gt;"&amp;AW80,R_OKey,1)-1,0)</f>
        <v>0</v>
      </c>
      <c r="BA80" s="80">
        <f>IF(AY80=1,COUNTIFS(R_Emp,"&lt;&gt;"&amp;D80,R_SAbs,"&lt;"&amp;AX80,R_EAbs,"&gt;"&amp;AW80,R_OKey,1),0)</f>
        <v>0</v>
      </c>
      <c r="BB80" s="80">
        <f>IF(AND(AB80=1,D80="proMX"),IF(AND(MOD(Z80,CFG_BLK)=0,MOD(AA80,CFG_BLK)=0,MOD(AG80,CFG_BLK)=0,AG80&gt;0),1,0),1)</f>
        <v>1</v>
      </c>
      <c r="BC80" s="80" t="str">
        <f>IF(Y80=0,"",IF(NOT(ISNUMBER(B80)),"Falta fecha o fecha inválida",IF(D80="","Falta empresa",IF(AND(D80&lt;&gt;"Malcolm",D80&lt;&gt;"proMX"),"Empresa inválida",IF(OR(INT(B80)&lt;CFG_PSTART,INT(B80)&gt;CFG_PEND),"Fecha fuera del período",IF(OR(NOT(ISNUMBER(Z80)),NOT(ISNUMBER(AA80))),"Falta hora inicio/fin o formato inválido",IF(AB80=0,"Hora inicio = hora fin",IF(AE80&lt;0,"Descanso inválido",IF(AE80&gt;=AD80,"Descanso ≥ duración",IF(AV80=1,"Registro duplicado",IF(AZ80&gt;0,"Se superpone con otro registro "&amp;D80,IF(BB80=0,"inicio, fin y duración neta deben ser múltiplos de "&amp;CFG_BLK&amp;" min",""))))))))))))</f>
        <v/>
      </c>
      <c r="BD80" s="80">
        <f>IF(AND(Y80=1,BC80=""),1,0)</f>
        <v>0</v>
      </c>
      <c r="BE80" s="80">
        <f>IF(AND(BD80=1,AU80=1),1,0)</f>
        <v>0</v>
      </c>
      <c r="BF80" s="80" t="str">
        <f>IF(AND(D80="proMX",BD80=1),IF(R80="","Draft",R80),"")</f>
        <v/>
      </c>
      <c r="BG80" s="80">
        <f>IF(BD80=1,ROUND(AG80/60,6),0)</f>
        <v>0</v>
      </c>
      <c r="BH80" s="80">
        <f>IF(BE80=1,ROUND(AG80/60,6),0)</f>
        <v>0</v>
      </c>
      <c r="BI80" s="80">
        <f>IF(BE80=1,ROUND(AP80/60,6),0)</f>
        <v>0</v>
      </c>
      <c r="BJ80" s="80">
        <f>IF(BE80=1,ROUND(AQ80/60,6),0)</f>
        <v>0</v>
      </c>
      <c r="BK80" s="80">
        <f>IF(BE80=1,ROUND((AR80+AS80)/60,6),0)</f>
        <v>0</v>
      </c>
      <c r="BL80" s="80">
        <f>ROUND(BH80-BK80,6)</f>
        <v>0</v>
      </c>
      <c r="BM80" s="80">
        <f>IF(BE80=1,ROUND(AR80/60,6),0)</f>
        <v>0</v>
      </c>
      <c r="BN80" s="80">
        <f>ROUND(BI80-BM80,6)</f>
        <v>0</v>
      </c>
      <c r="BO80" s="80">
        <f>IF(BE80=1,ROUND(AS80/60,6),0)</f>
        <v>0</v>
      </c>
      <c r="BP80" s="80">
        <f>ROUND(BJ80-BO80,6)</f>
        <v>0</v>
      </c>
      <c r="BQ80" s="80">
        <f>IF(BE80=1,AW80,0)</f>
        <v>0</v>
      </c>
      <c r="BR80" s="80">
        <f>IF(BE80=1,AX80,0)</f>
        <v>0</v>
      </c>
      <c r="BS80" s="80">
        <f>IF(AND(BE80=1,D80="Malcolm",BA80&gt;0),MIN(BH80,SUMPRODUCT((R_Emp="proMX")*(R_EN&gt;0)*((R_EN-(R_EN&gt;BR80)*(R_EN-BR80))&gt;(R_SN+(R_SN&lt;BQ80)*(BQ80-R_SN)))*((R_EN-(R_EN&gt;BR80)*(R_EN-BR80))-(R_SN+(R_SN&lt;BQ80)*(BQ80-R_SN))))/60),0)</f>
        <v>0</v>
      </c>
      <c r="BT80" s="80">
        <f>IF(AND(BE80=1,D80="proMX"),ROUND(BI80*CFG_RATE+BJ80*CFG_OTRATE,6),0)</f>
        <v>0</v>
      </c>
      <c r="BU80" s="80">
        <f>IF(AND(BD80=1,D80="proMX"),ROUND(AG80/CFG_BLK,6),0)</f>
        <v>0</v>
      </c>
      <c r="BV80" s="80" t="str">
        <f>IF(BF80="Approved",IF(ISNUMBER(T80),INT(T80),INT(B80)),"")</f>
        <v/>
      </c>
      <c r="BW80" s="80">
        <f>IF(ISNUMBER(B80),IF(DB_MON="Todos",1,IF(AND(INT(B80)&gt;=DB_MS,INT(B80)&lt;=DB_ME),1,0)),0)</f>
        <v>0</v>
      </c>
      <c r="BX80" s="80">
        <f>IF(DB_PROJ="Todos",1,IF(E80&amp;""=DB_PROJ&amp;"",1,0))</f>
        <v>1</v>
      </c>
      <c r="BY80" s="80">
        <f>BW80*BX80</f>
        <v>0</v>
      </c>
      <c r="BZ80" s="80" t="str">
        <f>IF(Y80=1,F80&amp;IF(AND(F80&amp;""&lt;&gt;"",E80&amp;""&lt;&gt;"")," · ","")&amp;E80,"")</f>
        <v/>
      </c>
      <c r="CA80" s="80" t="str">
        <f>IF(AND(BD80=1,E80&amp;""&lt;&gt;""),IF(COUNTIFS($E$5:E79,E80,$BD$5:BD79,1)=0,MAX($CA$5:CA79)+1,""),"")</f>
        <v/>
      </c>
      <c r="CB80" s="80" t="str">
        <f>IF(AND(BE80=1,D80="Malcolm",E80&amp;""&lt;&gt;""),IF(COUNTIFS($D$5:D79,"Malcolm",$E$5:E79,E80,$BE$5:BE79,1)=0,MAX($CB$5:CB79)+1,""),"")</f>
        <v/>
      </c>
      <c r="CC80" s="80" t="str">
        <f>IF(AND(BD80=1,D80="proMX",E80&amp;""&lt;&gt;""),IF(COUNTIFS($D$5:D79,"proMX",$E$5:E79,E80,$BD$5:BD79,1)=0,MAX($CC$5:CC79)+1,""),"")</f>
        <v/>
      </c>
      <c r="CD80" s="80" t="str">
        <f>IF(AND(BE80=1,D80="Malcolm",F80&amp;""&lt;&gt;""),IF(COUNTIFS($D$5:D79,"Malcolm",$F$5:F79,F80,$BE$5:BE79,1)=0,MAX($CD$5:CD79)+1,""),"")</f>
        <v/>
      </c>
      <c r="CE80" s="80" t="str">
        <f>IF(AND(BD80=1,D80="proMX",F80&amp;""&lt;&gt;""),IF(COUNTIFS($D$5:D79,"proMX",$F$5:F79,F80,$BD$5:BD79,1)=0,MAX($CE$5:CE79)+1,""),"")</f>
        <v/>
      </c>
      <c r="CF80" s="80" t="str">
        <f>IF(AND(D80="proMX",BD80=1),IF(OR(BF80="Draft",BF80="Submitted",BF80="Returned",BF80="Recall Requested"),MAX($CF$5:CF79)+1,""),"")</f>
        <v/>
      </c>
      <c r="CG80" s="80">
        <f>IF(BD80=0,0,IF(D80="Malcolm",1,MATCH(BF80,{"Draft","Submitted","Approved","Returned","Recall Requested","Cancelled"},0)+1))</f>
        <v>0</v>
      </c>
      <c r="CH80" s="80">
        <f>IF(AND(BF80="Submitted",ISNUMBER(V80)),IF(V80&gt;CFG_MAXD,1,0),0)</f>
        <v>0</v>
      </c>
    </row>
    <row r="81">
      <c r="A81" s="71" t="str">
        <f>IF(Y81=1,ROW()-5,"")</f>
        <v/>
      </c>
      <c r="B81" s="72" t="n"/>
      <c r="C81" s="71" t="str">
        <f>IF(ISNUMBER(B81),CHOOSE(WEEKDAY(B81,2),"Lun","Mar","Mié","Jue","Vie","Sáb","Dom"),"")</f>
        <v/>
      </c>
      <c r="D81" s="73" t="n"/>
      <c r="E81" s="74" t="n"/>
      <c r="F81" s="74" t="n"/>
      <c r="G81" s="74" t="n"/>
      <c r="H81" s="75" t="n"/>
      <c r="I81" s="75" t="n"/>
      <c r="J81" s="76" t="n"/>
      <c r="K81" s="77" t="str">
        <f>IF(AB81=1,ROUND(AG81/60,4),"")</f>
        <v/>
      </c>
      <c r="L81" s="77" t="str">
        <f>IF(BD81=1,ROUND(AP81/60,4),"")</f>
        <v/>
      </c>
      <c r="M81" s="77" t="str">
        <f>IF(BD81=1,ROUND(AQ81/60,4),"")</f>
        <v/>
      </c>
      <c r="N81" s="71" t="str">
        <f>IF(AND(D81="proMX",AB81=1),ROUND(AG81/CFG_BLK,2),"")</f>
        <v/>
      </c>
      <c r="O81" s="77" t="str">
        <f>IF(D81="proMX",IF(BD81=1,ROUND(AG81/60,4),0),"")</f>
        <v/>
      </c>
      <c r="P81" s="78" t="str">
        <f>IF(Y81=0,"",IF(BD81=1,"OK",IF(D81="proMX","Revisar bloques: ","Revisar: ")&amp;BC81))</f>
        <v/>
      </c>
      <c r="Q81" s="78" t="str">
        <f>IF(NOT(ISNUMBER(B81)),"",IF(COUNTIFS(FER_F,INT(B81))&gt;0,"Feriado"&amp;IF(AH81=1," (laborable)"," (no laborable)"),IF(AH81=1,"Laborable",IF(WEEKDAY(B81,2)&gt;5,"Fin de semana","No laborable"))))</f>
        <v/>
      </c>
      <c r="R81" s="73" t="n"/>
      <c r="S81" s="72" t="n"/>
      <c r="T81" s="72" t="n"/>
      <c r="U81" s="74" t="n"/>
      <c r="V81" s="79" t="str">
        <f>IF(AND(D81="proMX",OR(R81="Submitted",R81="Recall Requested"),ISNUMBER(S81)),CFG_TODAY-INT(S81),"")</f>
        <v/>
      </c>
      <c r="W81" s="78" t="str">
        <f>IF(BD81=0,"",IF(BA81&gt;0,"⚠ Se superpone con un registro de la otra empresa",IF(D81="Malcolm",IF(COUNTA(R81,S81,T81)&gt;0,"Estado/fechas proMX se ignoran en Malcolm",""),IF(BF81="Cancelled","Cancelado: excluido de totales",IF(R81="","Sin estado: se trata como Draft",IF(BF81="Submitted",IF(ISNUMBER(V81),IF(V81&gt;CFG_MAXD,"⚠ "&amp;V81&amp;" días en Submitted (máx. "&amp;CFG_MAXD&amp;")",""),"Falta fecha de envío"),IF(BF81="Returned","⚠ Devuelto: corregir y reenviar",IF(BF81="Recall Requested","Retirada solicitada: pendiente",IF(AND(BF81="Approved",NOT(ISNUMBER(T81))),"Falta fecha de aprobación",IF(AND(ISNUMBER(S81),ISNUMBER(T81),T81&lt;S81),"Aprobación anterior al envío","")))))))))</f>
        <v/>
      </c>
      <c r="Y81" s="80">
        <f>IF(COUNTA(B81,D81,E81,F81,G81,H81,I81,J81,R81,S81,T81)&gt;0,1,0)</f>
        <v>0</v>
      </c>
      <c r="Z81" s="80" t="str">
        <f>IF(AND(ISNUMBER(H81),H81&gt;=0,H81&lt;1),ROUND(H81*1440,0),"")</f>
        <v/>
      </c>
      <c r="AA81" s="80" t="str">
        <f>IF(AND(ISNUMBER(I81),I81&gt;=0,I81&lt;1),ROUND(I81*1440,0),"")</f>
        <v/>
      </c>
      <c r="AB81" s="80">
        <f>IF(AND(ISNUMBER(B81),D81&lt;&gt;"",ISNUMBER(Z81),ISNUMBER(AA81)),IF(Z81=AA81,0,1),0)</f>
        <v>0</v>
      </c>
      <c r="AC81" s="80">
        <f>IF(AB81=1,IF(AA81&lt;Z81,1,0),0)</f>
        <v>0</v>
      </c>
      <c r="AD81" s="80">
        <f>IF(AB81=1,IF(AC81=1,1440-Z81+AA81,AA81-Z81),0)</f>
        <v>0</v>
      </c>
      <c r="AE81" s="80">
        <f>IF(J81="",0,IF(ISNUMBER(J81),J81,-1))</f>
        <v>0</v>
      </c>
      <c r="AF81" s="80">
        <f>MIN(MAX(0,AE81),AD81)</f>
        <v>0</v>
      </c>
      <c r="AG81" s="80">
        <f>MAX(0,AD81-MAX(0,AE81))</f>
        <v>0</v>
      </c>
      <c r="AH81" s="80">
        <f>IF(ISNUMBER(B81),IF(AND(INDEX(CFG_WDAYS,WEEKDAY(INT(B81),2))="Sí",IF(D81="proMX",COUNTIFS(FER_F,INT(B81),FER_NLP,"Sí"),COUNTIFS(FER_F,INT(B81),FER_NLM,"Sí"))=0),1,0),0)</f>
        <v>0</v>
      </c>
      <c r="AI81" s="80">
        <f>IF(AC81=1,IF(AND(INDEX(CFG_WDAYS,WEEKDAY(INT(B81)+1,2))="Sí",IF(D81="proMX",COUNTIFS(FER_F,INT(B81)+1,FER_NLP,"Sí"),COUNTIFS(FER_F,INT(B81)+1,FER_NLM,"Sí"))=0),1,0),0)</f>
        <v>0</v>
      </c>
      <c r="AJ81" s="80">
        <f>IF(AC81=1,1440-Z81,AD81)</f>
        <v>0</v>
      </c>
      <c r="AK81" s="80">
        <f>IF(AND(AB81=1,AH81=1),MAX(0,MIN(IF(AC81=1,1440,AA81),CFG_WEM)-MAX(Z81,CFG_WSM)),0)</f>
        <v>0</v>
      </c>
      <c r="AL81" s="80">
        <f>IF(AND(AC81=1,AI81=1),MAX(0,MIN(AA81,CFG_WEM)-CFG_WSM),0)</f>
        <v>0</v>
      </c>
      <c r="AM81" s="80">
        <f>AK81+AL81</f>
        <v>0</v>
      </c>
      <c r="AN81" s="80">
        <f>IF(CFG_BRK="Proporcional",IF(AD81=0,0,AF81*AM81/AD81),IF(CFG_BRK="Extras primero",MIN(AM81,MAX(0,AF81-(AD81-AM81))),MIN(AF81,AM81)))</f>
        <v>0</v>
      </c>
      <c r="AO81" s="80">
        <f>AF81-AN81</f>
        <v>0</v>
      </c>
      <c r="AP81" s="80">
        <f>AM81-AN81</f>
        <v>0</v>
      </c>
      <c r="AQ81" s="80">
        <f>AD81-AM81-AO81</f>
        <v>0</v>
      </c>
      <c r="AR81" s="80">
        <f>IF(AM81=0,0,AK81-AN81*AK81/AM81)</f>
        <v>0</v>
      </c>
      <c r="AS81" s="80">
        <f>IF(AD81-AM81=0,0,(AJ81-AK81)-AO81*(AJ81-AK81)/(AD81-AM81))</f>
        <v>0</v>
      </c>
      <c r="AT81" s="80" t="str">
        <f>IF(AC81=1,INT(B81)+1,"")</f>
        <v/>
      </c>
      <c r="AU81" s="80">
        <f>IF(AND(D81="proMX",R81="Cancelled"),0,1)</f>
        <v>1</v>
      </c>
      <c r="AV81" s="80">
        <f>IF(AND(AB81=1,AU81=1),IF(COUNTIFS($D$5:D80,D81,$B$5:B80,B81,$Z$5:Z80,Z81,$AA$5:AA80,AA81,$F$5:F80,F81&amp;"",$AU$5:AU80,1)&gt;0,1,0),0)</f>
        <v>0</v>
      </c>
      <c r="AW81" s="80" t="str">
        <f>IF(AB81=1,INT(B81)*1440+Z81,"")</f>
        <v/>
      </c>
      <c r="AX81" s="80" t="str">
        <f>IF(AB81=1,AW81+AD81,"")</f>
        <v/>
      </c>
      <c r="AY81" s="80">
        <f>IF(AND(AB81=1,AV81=0,AU81=1),1,0)</f>
        <v>0</v>
      </c>
      <c r="AZ81" s="80">
        <f>IF(AY81=1,COUNTIFS(R_Emp,D81,R_SAbs,"&lt;"&amp;AX81,R_EAbs,"&gt;"&amp;AW81,R_OKey,1)-1,0)</f>
        <v>0</v>
      </c>
      <c r="BA81" s="80">
        <f>IF(AY81=1,COUNTIFS(R_Emp,"&lt;&gt;"&amp;D81,R_SAbs,"&lt;"&amp;AX81,R_EAbs,"&gt;"&amp;AW81,R_OKey,1),0)</f>
        <v>0</v>
      </c>
      <c r="BB81" s="80">
        <f>IF(AND(AB81=1,D81="proMX"),IF(AND(MOD(Z81,CFG_BLK)=0,MOD(AA81,CFG_BLK)=0,MOD(AG81,CFG_BLK)=0,AG81&gt;0),1,0),1)</f>
        <v>1</v>
      </c>
      <c r="BC81" s="80" t="str">
        <f>IF(Y81=0,"",IF(NOT(ISNUMBER(B81)),"Falta fecha o fecha inválida",IF(D81="","Falta empresa",IF(AND(D81&lt;&gt;"Malcolm",D81&lt;&gt;"proMX"),"Empresa inválida",IF(OR(INT(B81)&lt;CFG_PSTART,INT(B81)&gt;CFG_PEND),"Fecha fuera del período",IF(OR(NOT(ISNUMBER(Z81)),NOT(ISNUMBER(AA81))),"Falta hora inicio/fin o formato inválido",IF(AB81=0,"Hora inicio = hora fin",IF(AE81&lt;0,"Descanso inválido",IF(AE81&gt;=AD81,"Descanso ≥ duración",IF(AV81=1,"Registro duplicado",IF(AZ81&gt;0,"Se superpone con otro registro "&amp;D81,IF(BB81=0,"inicio, fin y duración neta deben ser múltiplos de "&amp;CFG_BLK&amp;" min",""))))))))))))</f>
        <v/>
      </c>
      <c r="BD81" s="80">
        <f>IF(AND(Y81=1,BC81=""),1,0)</f>
        <v>0</v>
      </c>
      <c r="BE81" s="80">
        <f>IF(AND(BD81=1,AU81=1),1,0)</f>
        <v>0</v>
      </c>
      <c r="BF81" s="80" t="str">
        <f>IF(AND(D81="proMX",BD81=1),IF(R81="","Draft",R81),"")</f>
        <v/>
      </c>
      <c r="BG81" s="80">
        <f>IF(BD81=1,ROUND(AG81/60,6),0)</f>
        <v>0</v>
      </c>
      <c r="BH81" s="80">
        <f>IF(BE81=1,ROUND(AG81/60,6),0)</f>
        <v>0</v>
      </c>
      <c r="BI81" s="80">
        <f>IF(BE81=1,ROUND(AP81/60,6),0)</f>
        <v>0</v>
      </c>
      <c r="BJ81" s="80">
        <f>IF(BE81=1,ROUND(AQ81/60,6),0)</f>
        <v>0</v>
      </c>
      <c r="BK81" s="80">
        <f>IF(BE81=1,ROUND((AR81+AS81)/60,6),0)</f>
        <v>0</v>
      </c>
      <c r="BL81" s="80">
        <f>ROUND(BH81-BK81,6)</f>
        <v>0</v>
      </c>
      <c r="BM81" s="80">
        <f>IF(BE81=1,ROUND(AR81/60,6),0)</f>
        <v>0</v>
      </c>
      <c r="BN81" s="80">
        <f>ROUND(BI81-BM81,6)</f>
        <v>0</v>
      </c>
      <c r="BO81" s="80">
        <f>IF(BE81=1,ROUND(AS81/60,6),0)</f>
        <v>0</v>
      </c>
      <c r="BP81" s="80">
        <f>ROUND(BJ81-BO81,6)</f>
        <v>0</v>
      </c>
      <c r="BQ81" s="80">
        <f>IF(BE81=1,AW81,0)</f>
        <v>0</v>
      </c>
      <c r="BR81" s="80">
        <f>IF(BE81=1,AX81,0)</f>
        <v>0</v>
      </c>
      <c r="BS81" s="80">
        <f>IF(AND(BE81=1,D81="Malcolm",BA81&gt;0),MIN(BH81,SUMPRODUCT((R_Emp="proMX")*(R_EN&gt;0)*((R_EN-(R_EN&gt;BR81)*(R_EN-BR81))&gt;(R_SN+(R_SN&lt;BQ81)*(BQ81-R_SN)))*((R_EN-(R_EN&gt;BR81)*(R_EN-BR81))-(R_SN+(R_SN&lt;BQ81)*(BQ81-R_SN))))/60),0)</f>
        <v>0</v>
      </c>
      <c r="BT81" s="80">
        <f>IF(AND(BE81=1,D81="proMX"),ROUND(BI81*CFG_RATE+BJ81*CFG_OTRATE,6),0)</f>
        <v>0</v>
      </c>
      <c r="BU81" s="80">
        <f>IF(AND(BD81=1,D81="proMX"),ROUND(AG81/CFG_BLK,6),0)</f>
        <v>0</v>
      </c>
      <c r="BV81" s="80" t="str">
        <f>IF(BF81="Approved",IF(ISNUMBER(T81),INT(T81),INT(B81)),"")</f>
        <v/>
      </c>
      <c r="BW81" s="80">
        <f>IF(ISNUMBER(B81),IF(DB_MON="Todos",1,IF(AND(INT(B81)&gt;=DB_MS,INT(B81)&lt;=DB_ME),1,0)),0)</f>
        <v>0</v>
      </c>
      <c r="BX81" s="80">
        <f>IF(DB_PROJ="Todos",1,IF(E81&amp;""=DB_PROJ&amp;"",1,0))</f>
        <v>1</v>
      </c>
      <c r="BY81" s="80">
        <f>BW81*BX81</f>
        <v>0</v>
      </c>
      <c r="BZ81" s="80" t="str">
        <f>IF(Y81=1,F81&amp;IF(AND(F81&amp;""&lt;&gt;"",E81&amp;""&lt;&gt;"")," · ","")&amp;E81,"")</f>
        <v/>
      </c>
      <c r="CA81" s="80" t="str">
        <f>IF(AND(BD81=1,E81&amp;""&lt;&gt;""),IF(COUNTIFS($E$5:E80,E81,$BD$5:BD80,1)=0,MAX($CA$5:CA80)+1,""),"")</f>
        <v/>
      </c>
      <c r="CB81" s="80" t="str">
        <f>IF(AND(BE81=1,D81="Malcolm",E81&amp;""&lt;&gt;""),IF(COUNTIFS($D$5:D80,"Malcolm",$E$5:E80,E81,$BE$5:BE80,1)=0,MAX($CB$5:CB80)+1,""),"")</f>
        <v/>
      </c>
      <c r="CC81" s="80" t="str">
        <f>IF(AND(BD81=1,D81="proMX",E81&amp;""&lt;&gt;""),IF(COUNTIFS($D$5:D80,"proMX",$E$5:E80,E81,$BD$5:BD80,1)=0,MAX($CC$5:CC80)+1,""),"")</f>
        <v/>
      </c>
      <c r="CD81" s="80" t="str">
        <f>IF(AND(BE81=1,D81="Malcolm",F81&amp;""&lt;&gt;""),IF(COUNTIFS($D$5:D80,"Malcolm",$F$5:F80,F81,$BE$5:BE80,1)=0,MAX($CD$5:CD80)+1,""),"")</f>
        <v/>
      </c>
      <c r="CE81" s="80" t="str">
        <f>IF(AND(BD81=1,D81="proMX",F81&amp;""&lt;&gt;""),IF(COUNTIFS($D$5:D80,"proMX",$F$5:F80,F81,$BD$5:BD80,1)=0,MAX($CE$5:CE80)+1,""),"")</f>
        <v/>
      </c>
      <c r="CF81" s="80" t="str">
        <f>IF(AND(D81="proMX",BD81=1),IF(OR(BF81="Draft",BF81="Submitted",BF81="Returned",BF81="Recall Requested"),MAX($CF$5:CF80)+1,""),"")</f>
        <v/>
      </c>
      <c r="CG81" s="80">
        <f>IF(BD81=0,0,IF(D81="Malcolm",1,MATCH(BF81,{"Draft","Submitted","Approved","Returned","Recall Requested","Cancelled"},0)+1))</f>
        <v>0</v>
      </c>
      <c r="CH81" s="80">
        <f>IF(AND(BF81="Submitted",ISNUMBER(V81)),IF(V81&gt;CFG_MAXD,1,0),0)</f>
        <v>0</v>
      </c>
    </row>
    <row r="82">
      <c r="A82" s="71" t="str">
        <f>IF(Y82=1,ROW()-5,"")</f>
        <v/>
      </c>
      <c r="B82" s="72" t="n"/>
      <c r="C82" s="71" t="str">
        <f>IF(ISNUMBER(B82),CHOOSE(WEEKDAY(B82,2),"Lun","Mar","Mié","Jue","Vie","Sáb","Dom"),"")</f>
        <v/>
      </c>
      <c r="D82" s="73" t="n"/>
      <c r="E82" s="74" t="n"/>
      <c r="F82" s="74" t="n"/>
      <c r="G82" s="74" t="n"/>
      <c r="H82" s="75" t="n"/>
      <c r="I82" s="75" t="n"/>
      <c r="J82" s="76" t="n"/>
      <c r="K82" s="77" t="str">
        <f>IF(AB82=1,ROUND(AG82/60,4),"")</f>
        <v/>
      </c>
      <c r="L82" s="77" t="str">
        <f>IF(BD82=1,ROUND(AP82/60,4),"")</f>
        <v/>
      </c>
      <c r="M82" s="77" t="str">
        <f>IF(BD82=1,ROUND(AQ82/60,4),"")</f>
        <v/>
      </c>
      <c r="N82" s="71" t="str">
        <f>IF(AND(D82="proMX",AB82=1),ROUND(AG82/CFG_BLK,2),"")</f>
        <v/>
      </c>
      <c r="O82" s="77" t="str">
        <f>IF(D82="proMX",IF(BD82=1,ROUND(AG82/60,4),0),"")</f>
        <v/>
      </c>
      <c r="P82" s="78" t="str">
        <f>IF(Y82=0,"",IF(BD82=1,"OK",IF(D82="proMX","Revisar bloques: ","Revisar: ")&amp;BC82))</f>
        <v/>
      </c>
      <c r="Q82" s="78" t="str">
        <f>IF(NOT(ISNUMBER(B82)),"",IF(COUNTIFS(FER_F,INT(B82))&gt;0,"Feriado"&amp;IF(AH82=1," (laborable)"," (no laborable)"),IF(AH82=1,"Laborable",IF(WEEKDAY(B82,2)&gt;5,"Fin de semana","No laborable"))))</f>
        <v/>
      </c>
      <c r="R82" s="73" t="n"/>
      <c r="S82" s="72" t="n"/>
      <c r="T82" s="72" t="n"/>
      <c r="U82" s="74" t="n"/>
      <c r="V82" s="79" t="str">
        <f>IF(AND(D82="proMX",OR(R82="Submitted",R82="Recall Requested"),ISNUMBER(S82)),CFG_TODAY-INT(S82),"")</f>
        <v/>
      </c>
      <c r="W82" s="78" t="str">
        <f>IF(BD82=0,"",IF(BA82&gt;0,"⚠ Se superpone con un registro de la otra empresa",IF(D82="Malcolm",IF(COUNTA(R82,S82,T82)&gt;0,"Estado/fechas proMX se ignoran en Malcolm",""),IF(BF82="Cancelled","Cancelado: excluido de totales",IF(R82="","Sin estado: se trata como Draft",IF(BF82="Submitted",IF(ISNUMBER(V82),IF(V82&gt;CFG_MAXD,"⚠ "&amp;V82&amp;" días en Submitted (máx. "&amp;CFG_MAXD&amp;")",""),"Falta fecha de envío"),IF(BF82="Returned","⚠ Devuelto: corregir y reenviar",IF(BF82="Recall Requested","Retirada solicitada: pendiente",IF(AND(BF82="Approved",NOT(ISNUMBER(T82))),"Falta fecha de aprobación",IF(AND(ISNUMBER(S82),ISNUMBER(T82),T82&lt;S82),"Aprobación anterior al envío","")))))))))</f>
        <v/>
      </c>
      <c r="Y82" s="80">
        <f>IF(COUNTA(B82,D82,E82,F82,G82,H82,I82,J82,R82,S82,T82)&gt;0,1,0)</f>
        <v>0</v>
      </c>
      <c r="Z82" s="80" t="str">
        <f>IF(AND(ISNUMBER(H82),H82&gt;=0,H82&lt;1),ROUND(H82*1440,0),"")</f>
        <v/>
      </c>
      <c r="AA82" s="80" t="str">
        <f>IF(AND(ISNUMBER(I82),I82&gt;=0,I82&lt;1),ROUND(I82*1440,0),"")</f>
        <v/>
      </c>
      <c r="AB82" s="80">
        <f>IF(AND(ISNUMBER(B82),D82&lt;&gt;"",ISNUMBER(Z82),ISNUMBER(AA82)),IF(Z82=AA82,0,1),0)</f>
        <v>0</v>
      </c>
      <c r="AC82" s="80">
        <f>IF(AB82=1,IF(AA82&lt;Z82,1,0),0)</f>
        <v>0</v>
      </c>
      <c r="AD82" s="80">
        <f>IF(AB82=1,IF(AC82=1,1440-Z82+AA82,AA82-Z82),0)</f>
        <v>0</v>
      </c>
      <c r="AE82" s="80">
        <f>IF(J82="",0,IF(ISNUMBER(J82),J82,-1))</f>
        <v>0</v>
      </c>
      <c r="AF82" s="80">
        <f>MIN(MAX(0,AE82),AD82)</f>
        <v>0</v>
      </c>
      <c r="AG82" s="80">
        <f>MAX(0,AD82-MAX(0,AE82))</f>
        <v>0</v>
      </c>
      <c r="AH82" s="80">
        <f>IF(ISNUMBER(B82),IF(AND(INDEX(CFG_WDAYS,WEEKDAY(INT(B82),2))="Sí",IF(D82="proMX",COUNTIFS(FER_F,INT(B82),FER_NLP,"Sí"),COUNTIFS(FER_F,INT(B82),FER_NLM,"Sí"))=0),1,0),0)</f>
        <v>0</v>
      </c>
      <c r="AI82" s="80">
        <f>IF(AC82=1,IF(AND(INDEX(CFG_WDAYS,WEEKDAY(INT(B82)+1,2))="Sí",IF(D82="proMX",COUNTIFS(FER_F,INT(B82)+1,FER_NLP,"Sí"),COUNTIFS(FER_F,INT(B82)+1,FER_NLM,"Sí"))=0),1,0),0)</f>
        <v>0</v>
      </c>
      <c r="AJ82" s="80">
        <f>IF(AC82=1,1440-Z82,AD82)</f>
        <v>0</v>
      </c>
      <c r="AK82" s="80">
        <f>IF(AND(AB82=1,AH82=1),MAX(0,MIN(IF(AC82=1,1440,AA82),CFG_WEM)-MAX(Z82,CFG_WSM)),0)</f>
        <v>0</v>
      </c>
      <c r="AL82" s="80">
        <f>IF(AND(AC82=1,AI82=1),MAX(0,MIN(AA82,CFG_WEM)-CFG_WSM),0)</f>
        <v>0</v>
      </c>
      <c r="AM82" s="80">
        <f>AK82+AL82</f>
        <v>0</v>
      </c>
      <c r="AN82" s="80">
        <f>IF(CFG_BRK="Proporcional",IF(AD82=0,0,AF82*AM82/AD82),IF(CFG_BRK="Extras primero",MIN(AM82,MAX(0,AF82-(AD82-AM82))),MIN(AF82,AM82)))</f>
        <v>0</v>
      </c>
      <c r="AO82" s="80">
        <f>AF82-AN82</f>
        <v>0</v>
      </c>
      <c r="AP82" s="80">
        <f>AM82-AN82</f>
        <v>0</v>
      </c>
      <c r="AQ82" s="80">
        <f>AD82-AM82-AO82</f>
        <v>0</v>
      </c>
      <c r="AR82" s="80">
        <f>IF(AM82=0,0,AK82-AN82*AK82/AM82)</f>
        <v>0</v>
      </c>
      <c r="AS82" s="80">
        <f>IF(AD82-AM82=0,0,(AJ82-AK82)-AO82*(AJ82-AK82)/(AD82-AM82))</f>
        <v>0</v>
      </c>
      <c r="AT82" s="80" t="str">
        <f>IF(AC82=1,INT(B82)+1,"")</f>
        <v/>
      </c>
      <c r="AU82" s="80">
        <f>IF(AND(D82="proMX",R82="Cancelled"),0,1)</f>
        <v>1</v>
      </c>
      <c r="AV82" s="80">
        <f>IF(AND(AB82=1,AU82=1),IF(COUNTIFS($D$5:D81,D82,$B$5:B81,B82,$Z$5:Z81,Z82,$AA$5:AA81,AA82,$F$5:F81,F82&amp;"",$AU$5:AU81,1)&gt;0,1,0),0)</f>
        <v>0</v>
      </c>
      <c r="AW82" s="80" t="str">
        <f>IF(AB82=1,INT(B82)*1440+Z82,"")</f>
        <v/>
      </c>
      <c r="AX82" s="80" t="str">
        <f>IF(AB82=1,AW82+AD82,"")</f>
        <v/>
      </c>
      <c r="AY82" s="80">
        <f>IF(AND(AB82=1,AV82=0,AU82=1),1,0)</f>
        <v>0</v>
      </c>
      <c r="AZ82" s="80">
        <f>IF(AY82=1,COUNTIFS(R_Emp,D82,R_SAbs,"&lt;"&amp;AX82,R_EAbs,"&gt;"&amp;AW82,R_OKey,1)-1,0)</f>
        <v>0</v>
      </c>
      <c r="BA82" s="80">
        <f>IF(AY82=1,COUNTIFS(R_Emp,"&lt;&gt;"&amp;D82,R_SAbs,"&lt;"&amp;AX82,R_EAbs,"&gt;"&amp;AW82,R_OKey,1),0)</f>
        <v>0</v>
      </c>
      <c r="BB82" s="80">
        <f>IF(AND(AB82=1,D82="proMX"),IF(AND(MOD(Z82,CFG_BLK)=0,MOD(AA82,CFG_BLK)=0,MOD(AG82,CFG_BLK)=0,AG82&gt;0),1,0),1)</f>
        <v>1</v>
      </c>
      <c r="BC82" s="80" t="str">
        <f>IF(Y82=0,"",IF(NOT(ISNUMBER(B82)),"Falta fecha o fecha inválida",IF(D82="","Falta empresa",IF(AND(D82&lt;&gt;"Malcolm",D82&lt;&gt;"proMX"),"Empresa inválida",IF(OR(INT(B82)&lt;CFG_PSTART,INT(B82)&gt;CFG_PEND),"Fecha fuera del período",IF(OR(NOT(ISNUMBER(Z82)),NOT(ISNUMBER(AA82))),"Falta hora inicio/fin o formato inválido",IF(AB82=0,"Hora inicio = hora fin",IF(AE82&lt;0,"Descanso inválido",IF(AE82&gt;=AD82,"Descanso ≥ duración",IF(AV82=1,"Registro duplicado",IF(AZ82&gt;0,"Se superpone con otro registro "&amp;D82,IF(BB82=0,"inicio, fin y duración neta deben ser múltiplos de "&amp;CFG_BLK&amp;" min",""))))))))))))</f>
        <v/>
      </c>
      <c r="BD82" s="80">
        <f>IF(AND(Y82=1,BC82=""),1,0)</f>
        <v>0</v>
      </c>
      <c r="BE82" s="80">
        <f>IF(AND(BD82=1,AU82=1),1,0)</f>
        <v>0</v>
      </c>
      <c r="BF82" s="80" t="str">
        <f>IF(AND(D82="proMX",BD82=1),IF(R82="","Draft",R82),"")</f>
        <v/>
      </c>
      <c r="BG82" s="80">
        <f>IF(BD82=1,ROUND(AG82/60,6),0)</f>
        <v>0</v>
      </c>
      <c r="BH82" s="80">
        <f>IF(BE82=1,ROUND(AG82/60,6),0)</f>
        <v>0</v>
      </c>
      <c r="BI82" s="80">
        <f>IF(BE82=1,ROUND(AP82/60,6),0)</f>
        <v>0</v>
      </c>
      <c r="BJ82" s="80">
        <f>IF(BE82=1,ROUND(AQ82/60,6),0)</f>
        <v>0</v>
      </c>
      <c r="BK82" s="80">
        <f>IF(BE82=1,ROUND((AR82+AS82)/60,6),0)</f>
        <v>0</v>
      </c>
      <c r="BL82" s="80">
        <f>ROUND(BH82-BK82,6)</f>
        <v>0</v>
      </c>
      <c r="BM82" s="80">
        <f>IF(BE82=1,ROUND(AR82/60,6),0)</f>
        <v>0</v>
      </c>
      <c r="BN82" s="80">
        <f>ROUND(BI82-BM82,6)</f>
        <v>0</v>
      </c>
      <c r="BO82" s="80">
        <f>IF(BE82=1,ROUND(AS82/60,6),0)</f>
        <v>0</v>
      </c>
      <c r="BP82" s="80">
        <f>ROUND(BJ82-BO82,6)</f>
        <v>0</v>
      </c>
      <c r="BQ82" s="80">
        <f>IF(BE82=1,AW82,0)</f>
        <v>0</v>
      </c>
      <c r="BR82" s="80">
        <f>IF(BE82=1,AX82,0)</f>
        <v>0</v>
      </c>
      <c r="BS82" s="80">
        <f>IF(AND(BE82=1,D82="Malcolm",BA82&gt;0),MIN(BH82,SUMPRODUCT((R_Emp="proMX")*(R_EN&gt;0)*((R_EN-(R_EN&gt;BR82)*(R_EN-BR82))&gt;(R_SN+(R_SN&lt;BQ82)*(BQ82-R_SN)))*((R_EN-(R_EN&gt;BR82)*(R_EN-BR82))-(R_SN+(R_SN&lt;BQ82)*(BQ82-R_SN))))/60),0)</f>
        <v>0</v>
      </c>
      <c r="BT82" s="80">
        <f>IF(AND(BE82=1,D82="proMX"),ROUND(BI82*CFG_RATE+BJ82*CFG_OTRATE,6),0)</f>
        <v>0</v>
      </c>
      <c r="BU82" s="80">
        <f>IF(AND(BD82=1,D82="proMX"),ROUND(AG82/CFG_BLK,6),0)</f>
        <v>0</v>
      </c>
      <c r="BV82" s="80" t="str">
        <f>IF(BF82="Approved",IF(ISNUMBER(T82),INT(T82),INT(B82)),"")</f>
        <v/>
      </c>
      <c r="BW82" s="80">
        <f>IF(ISNUMBER(B82),IF(DB_MON="Todos",1,IF(AND(INT(B82)&gt;=DB_MS,INT(B82)&lt;=DB_ME),1,0)),0)</f>
        <v>0</v>
      </c>
      <c r="BX82" s="80">
        <f>IF(DB_PROJ="Todos",1,IF(E82&amp;""=DB_PROJ&amp;"",1,0))</f>
        <v>1</v>
      </c>
      <c r="BY82" s="80">
        <f>BW82*BX82</f>
        <v>0</v>
      </c>
      <c r="BZ82" s="80" t="str">
        <f>IF(Y82=1,F82&amp;IF(AND(F82&amp;""&lt;&gt;"",E82&amp;""&lt;&gt;"")," · ","")&amp;E82,"")</f>
        <v/>
      </c>
      <c r="CA82" s="80" t="str">
        <f>IF(AND(BD82=1,E82&amp;""&lt;&gt;""),IF(COUNTIFS($E$5:E81,E82,$BD$5:BD81,1)=0,MAX($CA$5:CA81)+1,""),"")</f>
        <v/>
      </c>
      <c r="CB82" s="80" t="str">
        <f>IF(AND(BE82=1,D82="Malcolm",E82&amp;""&lt;&gt;""),IF(COUNTIFS($D$5:D81,"Malcolm",$E$5:E81,E82,$BE$5:BE81,1)=0,MAX($CB$5:CB81)+1,""),"")</f>
        <v/>
      </c>
      <c r="CC82" s="80" t="str">
        <f>IF(AND(BD82=1,D82="proMX",E82&amp;""&lt;&gt;""),IF(COUNTIFS($D$5:D81,"proMX",$E$5:E81,E82,$BD$5:BD81,1)=0,MAX($CC$5:CC81)+1,""),"")</f>
        <v/>
      </c>
      <c r="CD82" s="80" t="str">
        <f>IF(AND(BE82=1,D82="Malcolm",F82&amp;""&lt;&gt;""),IF(COUNTIFS($D$5:D81,"Malcolm",$F$5:F81,F82,$BE$5:BE81,1)=0,MAX($CD$5:CD81)+1,""),"")</f>
        <v/>
      </c>
      <c r="CE82" s="80" t="str">
        <f>IF(AND(BD82=1,D82="proMX",F82&amp;""&lt;&gt;""),IF(COUNTIFS($D$5:D81,"proMX",$F$5:F81,F82,$BD$5:BD81,1)=0,MAX($CE$5:CE81)+1,""),"")</f>
        <v/>
      </c>
      <c r="CF82" s="80" t="str">
        <f>IF(AND(D82="proMX",BD82=1),IF(OR(BF82="Draft",BF82="Submitted",BF82="Returned",BF82="Recall Requested"),MAX($CF$5:CF81)+1,""),"")</f>
        <v/>
      </c>
      <c r="CG82" s="80">
        <f>IF(BD82=0,0,IF(D82="Malcolm",1,MATCH(BF82,{"Draft","Submitted","Approved","Returned","Recall Requested","Cancelled"},0)+1))</f>
        <v>0</v>
      </c>
      <c r="CH82" s="80">
        <f>IF(AND(BF82="Submitted",ISNUMBER(V82)),IF(V82&gt;CFG_MAXD,1,0),0)</f>
        <v>0</v>
      </c>
    </row>
    <row r="83">
      <c r="A83" s="71" t="str">
        <f>IF(Y83=1,ROW()-5,"")</f>
        <v/>
      </c>
      <c r="B83" s="72" t="n"/>
      <c r="C83" s="71" t="str">
        <f>IF(ISNUMBER(B83),CHOOSE(WEEKDAY(B83,2),"Lun","Mar","Mié","Jue","Vie","Sáb","Dom"),"")</f>
        <v/>
      </c>
      <c r="D83" s="73" t="n"/>
      <c r="E83" s="74" t="n"/>
      <c r="F83" s="74" t="n"/>
      <c r="G83" s="74" t="n"/>
      <c r="H83" s="75" t="n"/>
      <c r="I83" s="75" t="n"/>
      <c r="J83" s="76" t="n"/>
      <c r="K83" s="77" t="str">
        <f>IF(AB83=1,ROUND(AG83/60,4),"")</f>
        <v/>
      </c>
      <c r="L83" s="77" t="str">
        <f>IF(BD83=1,ROUND(AP83/60,4),"")</f>
        <v/>
      </c>
      <c r="M83" s="77" t="str">
        <f>IF(BD83=1,ROUND(AQ83/60,4),"")</f>
        <v/>
      </c>
      <c r="N83" s="71" t="str">
        <f>IF(AND(D83="proMX",AB83=1),ROUND(AG83/CFG_BLK,2),"")</f>
        <v/>
      </c>
      <c r="O83" s="77" t="str">
        <f>IF(D83="proMX",IF(BD83=1,ROUND(AG83/60,4),0),"")</f>
        <v/>
      </c>
      <c r="P83" s="78" t="str">
        <f>IF(Y83=0,"",IF(BD83=1,"OK",IF(D83="proMX","Revisar bloques: ","Revisar: ")&amp;BC83))</f>
        <v/>
      </c>
      <c r="Q83" s="78" t="str">
        <f>IF(NOT(ISNUMBER(B83)),"",IF(COUNTIFS(FER_F,INT(B83))&gt;0,"Feriado"&amp;IF(AH83=1," (laborable)"," (no laborable)"),IF(AH83=1,"Laborable",IF(WEEKDAY(B83,2)&gt;5,"Fin de semana","No laborable"))))</f>
        <v/>
      </c>
      <c r="R83" s="73" t="n"/>
      <c r="S83" s="72" t="n"/>
      <c r="T83" s="72" t="n"/>
      <c r="U83" s="74" t="n"/>
      <c r="V83" s="79" t="str">
        <f>IF(AND(D83="proMX",OR(R83="Submitted",R83="Recall Requested"),ISNUMBER(S83)),CFG_TODAY-INT(S83),"")</f>
        <v/>
      </c>
      <c r="W83" s="78" t="str">
        <f>IF(BD83=0,"",IF(BA83&gt;0,"⚠ Se superpone con un registro de la otra empresa",IF(D83="Malcolm",IF(COUNTA(R83,S83,T83)&gt;0,"Estado/fechas proMX se ignoran en Malcolm",""),IF(BF83="Cancelled","Cancelado: excluido de totales",IF(R83="","Sin estado: se trata como Draft",IF(BF83="Submitted",IF(ISNUMBER(V83),IF(V83&gt;CFG_MAXD,"⚠ "&amp;V83&amp;" días en Submitted (máx. "&amp;CFG_MAXD&amp;")",""),"Falta fecha de envío"),IF(BF83="Returned","⚠ Devuelto: corregir y reenviar",IF(BF83="Recall Requested","Retirada solicitada: pendiente",IF(AND(BF83="Approved",NOT(ISNUMBER(T83))),"Falta fecha de aprobación",IF(AND(ISNUMBER(S83),ISNUMBER(T83),T83&lt;S83),"Aprobación anterior al envío","")))))))))</f>
        <v/>
      </c>
      <c r="Y83" s="80">
        <f>IF(COUNTA(B83,D83,E83,F83,G83,H83,I83,J83,R83,S83,T83)&gt;0,1,0)</f>
        <v>0</v>
      </c>
      <c r="Z83" s="80" t="str">
        <f>IF(AND(ISNUMBER(H83),H83&gt;=0,H83&lt;1),ROUND(H83*1440,0),"")</f>
        <v/>
      </c>
      <c r="AA83" s="80" t="str">
        <f>IF(AND(ISNUMBER(I83),I83&gt;=0,I83&lt;1),ROUND(I83*1440,0),"")</f>
        <v/>
      </c>
      <c r="AB83" s="80">
        <f>IF(AND(ISNUMBER(B83),D83&lt;&gt;"",ISNUMBER(Z83),ISNUMBER(AA83)),IF(Z83=AA83,0,1),0)</f>
        <v>0</v>
      </c>
      <c r="AC83" s="80">
        <f>IF(AB83=1,IF(AA83&lt;Z83,1,0),0)</f>
        <v>0</v>
      </c>
      <c r="AD83" s="80">
        <f>IF(AB83=1,IF(AC83=1,1440-Z83+AA83,AA83-Z83),0)</f>
        <v>0</v>
      </c>
      <c r="AE83" s="80">
        <f>IF(J83="",0,IF(ISNUMBER(J83),J83,-1))</f>
        <v>0</v>
      </c>
      <c r="AF83" s="80">
        <f>MIN(MAX(0,AE83),AD83)</f>
        <v>0</v>
      </c>
      <c r="AG83" s="80">
        <f>MAX(0,AD83-MAX(0,AE83))</f>
        <v>0</v>
      </c>
      <c r="AH83" s="80">
        <f>IF(ISNUMBER(B83),IF(AND(INDEX(CFG_WDAYS,WEEKDAY(INT(B83),2))="Sí",IF(D83="proMX",COUNTIFS(FER_F,INT(B83),FER_NLP,"Sí"),COUNTIFS(FER_F,INT(B83),FER_NLM,"Sí"))=0),1,0),0)</f>
        <v>0</v>
      </c>
      <c r="AI83" s="80">
        <f>IF(AC83=1,IF(AND(INDEX(CFG_WDAYS,WEEKDAY(INT(B83)+1,2))="Sí",IF(D83="proMX",COUNTIFS(FER_F,INT(B83)+1,FER_NLP,"Sí"),COUNTIFS(FER_F,INT(B83)+1,FER_NLM,"Sí"))=0),1,0),0)</f>
        <v>0</v>
      </c>
      <c r="AJ83" s="80">
        <f>IF(AC83=1,1440-Z83,AD83)</f>
        <v>0</v>
      </c>
      <c r="AK83" s="80">
        <f>IF(AND(AB83=1,AH83=1),MAX(0,MIN(IF(AC83=1,1440,AA83),CFG_WEM)-MAX(Z83,CFG_WSM)),0)</f>
        <v>0</v>
      </c>
      <c r="AL83" s="80">
        <f>IF(AND(AC83=1,AI83=1),MAX(0,MIN(AA83,CFG_WEM)-CFG_WSM),0)</f>
        <v>0</v>
      </c>
      <c r="AM83" s="80">
        <f>AK83+AL83</f>
        <v>0</v>
      </c>
      <c r="AN83" s="80">
        <f>IF(CFG_BRK="Proporcional",IF(AD83=0,0,AF83*AM83/AD83),IF(CFG_BRK="Extras primero",MIN(AM83,MAX(0,AF83-(AD83-AM83))),MIN(AF83,AM83)))</f>
        <v>0</v>
      </c>
      <c r="AO83" s="80">
        <f>AF83-AN83</f>
        <v>0</v>
      </c>
      <c r="AP83" s="80">
        <f>AM83-AN83</f>
        <v>0</v>
      </c>
      <c r="AQ83" s="80">
        <f>AD83-AM83-AO83</f>
        <v>0</v>
      </c>
      <c r="AR83" s="80">
        <f>IF(AM83=0,0,AK83-AN83*AK83/AM83)</f>
        <v>0</v>
      </c>
      <c r="AS83" s="80">
        <f>IF(AD83-AM83=0,0,(AJ83-AK83)-AO83*(AJ83-AK83)/(AD83-AM83))</f>
        <v>0</v>
      </c>
      <c r="AT83" s="80" t="str">
        <f>IF(AC83=1,INT(B83)+1,"")</f>
        <v/>
      </c>
      <c r="AU83" s="80">
        <f>IF(AND(D83="proMX",R83="Cancelled"),0,1)</f>
        <v>1</v>
      </c>
      <c r="AV83" s="80">
        <f>IF(AND(AB83=1,AU83=1),IF(COUNTIFS($D$5:D82,D83,$B$5:B82,B83,$Z$5:Z82,Z83,$AA$5:AA82,AA83,$F$5:F82,F83&amp;"",$AU$5:AU82,1)&gt;0,1,0),0)</f>
        <v>0</v>
      </c>
      <c r="AW83" s="80" t="str">
        <f>IF(AB83=1,INT(B83)*1440+Z83,"")</f>
        <v/>
      </c>
      <c r="AX83" s="80" t="str">
        <f>IF(AB83=1,AW83+AD83,"")</f>
        <v/>
      </c>
      <c r="AY83" s="80">
        <f>IF(AND(AB83=1,AV83=0,AU83=1),1,0)</f>
        <v>0</v>
      </c>
      <c r="AZ83" s="80">
        <f>IF(AY83=1,COUNTIFS(R_Emp,D83,R_SAbs,"&lt;"&amp;AX83,R_EAbs,"&gt;"&amp;AW83,R_OKey,1)-1,0)</f>
        <v>0</v>
      </c>
      <c r="BA83" s="80">
        <f>IF(AY83=1,COUNTIFS(R_Emp,"&lt;&gt;"&amp;D83,R_SAbs,"&lt;"&amp;AX83,R_EAbs,"&gt;"&amp;AW83,R_OKey,1),0)</f>
        <v>0</v>
      </c>
      <c r="BB83" s="80">
        <f>IF(AND(AB83=1,D83="proMX"),IF(AND(MOD(Z83,CFG_BLK)=0,MOD(AA83,CFG_BLK)=0,MOD(AG83,CFG_BLK)=0,AG83&gt;0),1,0),1)</f>
        <v>1</v>
      </c>
      <c r="BC83" s="80" t="str">
        <f>IF(Y83=0,"",IF(NOT(ISNUMBER(B83)),"Falta fecha o fecha inválida",IF(D83="","Falta empresa",IF(AND(D83&lt;&gt;"Malcolm",D83&lt;&gt;"proMX"),"Empresa inválida",IF(OR(INT(B83)&lt;CFG_PSTART,INT(B83)&gt;CFG_PEND),"Fecha fuera del período",IF(OR(NOT(ISNUMBER(Z83)),NOT(ISNUMBER(AA83))),"Falta hora inicio/fin o formato inválido",IF(AB83=0,"Hora inicio = hora fin",IF(AE83&lt;0,"Descanso inválido",IF(AE83&gt;=AD83,"Descanso ≥ duración",IF(AV83=1,"Registro duplicado",IF(AZ83&gt;0,"Se superpone con otro registro "&amp;D83,IF(BB83=0,"inicio, fin y duración neta deben ser múltiplos de "&amp;CFG_BLK&amp;" min",""))))))))))))</f>
        <v/>
      </c>
      <c r="BD83" s="80">
        <f>IF(AND(Y83=1,BC83=""),1,0)</f>
        <v>0</v>
      </c>
      <c r="BE83" s="80">
        <f>IF(AND(BD83=1,AU83=1),1,0)</f>
        <v>0</v>
      </c>
      <c r="BF83" s="80" t="str">
        <f>IF(AND(D83="proMX",BD83=1),IF(R83="","Draft",R83),"")</f>
        <v/>
      </c>
      <c r="BG83" s="80">
        <f>IF(BD83=1,ROUND(AG83/60,6),0)</f>
        <v>0</v>
      </c>
      <c r="BH83" s="80">
        <f>IF(BE83=1,ROUND(AG83/60,6),0)</f>
        <v>0</v>
      </c>
      <c r="BI83" s="80">
        <f>IF(BE83=1,ROUND(AP83/60,6),0)</f>
        <v>0</v>
      </c>
      <c r="BJ83" s="80">
        <f>IF(BE83=1,ROUND(AQ83/60,6),0)</f>
        <v>0</v>
      </c>
      <c r="BK83" s="80">
        <f>IF(BE83=1,ROUND((AR83+AS83)/60,6),0)</f>
        <v>0</v>
      </c>
      <c r="BL83" s="80">
        <f>ROUND(BH83-BK83,6)</f>
        <v>0</v>
      </c>
      <c r="BM83" s="80">
        <f>IF(BE83=1,ROUND(AR83/60,6),0)</f>
        <v>0</v>
      </c>
      <c r="BN83" s="80">
        <f>ROUND(BI83-BM83,6)</f>
        <v>0</v>
      </c>
      <c r="BO83" s="80">
        <f>IF(BE83=1,ROUND(AS83/60,6),0)</f>
        <v>0</v>
      </c>
      <c r="BP83" s="80">
        <f>ROUND(BJ83-BO83,6)</f>
        <v>0</v>
      </c>
      <c r="BQ83" s="80">
        <f>IF(BE83=1,AW83,0)</f>
        <v>0</v>
      </c>
      <c r="BR83" s="80">
        <f>IF(BE83=1,AX83,0)</f>
        <v>0</v>
      </c>
      <c r="BS83" s="80">
        <f>IF(AND(BE83=1,D83="Malcolm",BA83&gt;0),MIN(BH83,SUMPRODUCT((R_Emp="proMX")*(R_EN&gt;0)*((R_EN-(R_EN&gt;BR83)*(R_EN-BR83))&gt;(R_SN+(R_SN&lt;BQ83)*(BQ83-R_SN)))*((R_EN-(R_EN&gt;BR83)*(R_EN-BR83))-(R_SN+(R_SN&lt;BQ83)*(BQ83-R_SN))))/60),0)</f>
        <v>0</v>
      </c>
      <c r="BT83" s="80">
        <f>IF(AND(BE83=1,D83="proMX"),ROUND(BI83*CFG_RATE+BJ83*CFG_OTRATE,6),0)</f>
        <v>0</v>
      </c>
      <c r="BU83" s="80">
        <f>IF(AND(BD83=1,D83="proMX"),ROUND(AG83/CFG_BLK,6),0)</f>
        <v>0</v>
      </c>
      <c r="BV83" s="80" t="str">
        <f>IF(BF83="Approved",IF(ISNUMBER(T83),INT(T83),INT(B83)),"")</f>
        <v/>
      </c>
      <c r="BW83" s="80">
        <f>IF(ISNUMBER(B83),IF(DB_MON="Todos",1,IF(AND(INT(B83)&gt;=DB_MS,INT(B83)&lt;=DB_ME),1,0)),0)</f>
        <v>0</v>
      </c>
      <c r="BX83" s="80">
        <f>IF(DB_PROJ="Todos",1,IF(E83&amp;""=DB_PROJ&amp;"",1,0))</f>
        <v>1</v>
      </c>
      <c r="BY83" s="80">
        <f>BW83*BX83</f>
        <v>0</v>
      </c>
      <c r="BZ83" s="80" t="str">
        <f>IF(Y83=1,F83&amp;IF(AND(F83&amp;""&lt;&gt;"",E83&amp;""&lt;&gt;"")," · ","")&amp;E83,"")</f>
        <v/>
      </c>
      <c r="CA83" s="80" t="str">
        <f>IF(AND(BD83=1,E83&amp;""&lt;&gt;""),IF(COUNTIFS($E$5:E82,E83,$BD$5:BD82,1)=0,MAX($CA$5:CA82)+1,""),"")</f>
        <v/>
      </c>
      <c r="CB83" s="80" t="str">
        <f>IF(AND(BE83=1,D83="Malcolm",E83&amp;""&lt;&gt;""),IF(COUNTIFS($D$5:D82,"Malcolm",$E$5:E82,E83,$BE$5:BE82,1)=0,MAX($CB$5:CB82)+1,""),"")</f>
        <v/>
      </c>
      <c r="CC83" s="80" t="str">
        <f>IF(AND(BD83=1,D83="proMX",E83&amp;""&lt;&gt;""),IF(COUNTIFS($D$5:D82,"proMX",$E$5:E82,E83,$BD$5:BD82,1)=0,MAX($CC$5:CC82)+1,""),"")</f>
        <v/>
      </c>
      <c r="CD83" s="80" t="str">
        <f>IF(AND(BE83=1,D83="Malcolm",F83&amp;""&lt;&gt;""),IF(COUNTIFS($D$5:D82,"Malcolm",$F$5:F82,F83,$BE$5:BE82,1)=0,MAX($CD$5:CD82)+1,""),"")</f>
        <v/>
      </c>
      <c r="CE83" s="80" t="str">
        <f>IF(AND(BD83=1,D83="proMX",F83&amp;""&lt;&gt;""),IF(COUNTIFS($D$5:D82,"proMX",$F$5:F82,F83,$BD$5:BD82,1)=0,MAX($CE$5:CE82)+1,""),"")</f>
        <v/>
      </c>
      <c r="CF83" s="80" t="str">
        <f>IF(AND(D83="proMX",BD83=1),IF(OR(BF83="Draft",BF83="Submitted",BF83="Returned",BF83="Recall Requested"),MAX($CF$5:CF82)+1,""),"")</f>
        <v/>
      </c>
      <c r="CG83" s="80">
        <f>IF(BD83=0,0,IF(D83="Malcolm",1,MATCH(BF83,{"Draft","Submitted","Approved","Returned","Recall Requested","Cancelled"},0)+1))</f>
        <v>0</v>
      </c>
      <c r="CH83" s="80">
        <f>IF(AND(BF83="Submitted",ISNUMBER(V83)),IF(V83&gt;CFG_MAXD,1,0),0)</f>
        <v>0</v>
      </c>
    </row>
    <row r="84">
      <c r="A84" s="71" t="str">
        <f>IF(Y84=1,ROW()-5,"")</f>
        <v/>
      </c>
      <c r="B84" s="72" t="n"/>
      <c r="C84" s="71" t="str">
        <f>IF(ISNUMBER(B84),CHOOSE(WEEKDAY(B84,2),"Lun","Mar","Mié","Jue","Vie","Sáb","Dom"),"")</f>
        <v/>
      </c>
      <c r="D84" s="73" t="n"/>
      <c r="E84" s="74" t="n"/>
      <c r="F84" s="74" t="n"/>
      <c r="G84" s="74" t="n"/>
      <c r="H84" s="75" t="n"/>
      <c r="I84" s="75" t="n"/>
      <c r="J84" s="76" t="n"/>
      <c r="K84" s="77" t="str">
        <f>IF(AB84=1,ROUND(AG84/60,4),"")</f>
        <v/>
      </c>
      <c r="L84" s="77" t="str">
        <f>IF(BD84=1,ROUND(AP84/60,4),"")</f>
        <v/>
      </c>
      <c r="M84" s="77" t="str">
        <f>IF(BD84=1,ROUND(AQ84/60,4),"")</f>
        <v/>
      </c>
      <c r="N84" s="71" t="str">
        <f>IF(AND(D84="proMX",AB84=1),ROUND(AG84/CFG_BLK,2),"")</f>
        <v/>
      </c>
      <c r="O84" s="77" t="str">
        <f>IF(D84="proMX",IF(BD84=1,ROUND(AG84/60,4),0),"")</f>
        <v/>
      </c>
      <c r="P84" s="78" t="str">
        <f>IF(Y84=0,"",IF(BD84=1,"OK",IF(D84="proMX","Revisar bloques: ","Revisar: ")&amp;BC84))</f>
        <v/>
      </c>
      <c r="Q84" s="78" t="str">
        <f>IF(NOT(ISNUMBER(B84)),"",IF(COUNTIFS(FER_F,INT(B84))&gt;0,"Feriado"&amp;IF(AH84=1," (laborable)"," (no laborable)"),IF(AH84=1,"Laborable",IF(WEEKDAY(B84,2)&gt;5,"Fin de semana","No laborable"))))</f>
        <v/>
      </c>
      <c r="R84" s="73" t="n"/>
      <c r="S84" s="72" t="n"/>
      <c r="T84" s="72" t="n"/>
      <c r="U84" s="74" t="n"/>
      <c r="V84" s="79" t="str">
        <f>IF(AND(D84="proMX",OR(R84="Submitted",R84="Recall Requested"),ISNUMBER(S84)),CFG_TODAY-INT(S84),"")</f>
        <v/>
      </c>
      <c r="W84" s="78" t="str">
        <f>IF(BD84=0,"",IF(BA84&gt;0,"⚠ Se superpone con un registro de la otra empresa",IF(D84="Malcolm",IF(COUNTA(R84,S84,T84)&gt;0,"Estado/fechas proMX se ignoran en Malcolm",""),IF(BF84="Cancelled","Cancelado: excluido de totales",IF(R84="","Sin estado: se trata como Draft",IF(BF84="Submitted",IF(ISNUMBER(V84),IF(V84&gt;CFG_MAXD,"⚠ "&amp;V84&amp;" días en Submitted (máx. "&amp;CFG_MAXD&amp;")",""),"Falta fecha de envío"),IF(BF84="Returned","⚠ Devuelto: corregir y reenviar",IF(BF84="Recall Requested","Retirada solicitada: pendiente",IF(AND(BF84="Approved",NOT(ISNUMBER(T84))),"Falta fecha de aprobación",IF(AND(ISNUMBER(S84),ISNUMBER(T84),T84&lt;S84),"Aprobación anterior al envío","")))))))))</f>
        <v/>
      </c>
      <c r="Y84" s="80">
        <f>IF(COUNTA(B84,D84,E84,F84,G84,H84,I84,J84,R84,S84,T84)&gt;0,1,0)</f>
        <v>0</v>
      </c>
      <c r="Z84" s="80" t="str">
        <f>IF(AND(ISNUMBER(H84),H84&gt;=0,H84&lt;1),ROUND(H84*1440,0),"")</f>
        <v/>
      </c>
      <c r="AA84" s="80" t="str">
        <f>IF(AND(ISNUMBER(I84),I84&gt;=0,I84&lt;1),ROUND(I84*1440,0),"")</f>
        <v/>
      </c>
      <c r="AB84" s="80">
        <f>IF(AND(ISNUMBER(B84),D84&lt;&gt;"",ISNUMBER(Z84),ISNUMBER(AA84)),IF(Z84=AA84,0,1),0)</f>
        <v>0</v>
      </c>
      <c r="AC84" s="80">
        <f>IF(AB84=1,IF(AA84&lt;Z84,1,0),0)</f>
        <v>0</v>
      </c>
      <c r="AD84" s="80">
        <f>IF(AB84=1,IF(AC84=1,1440-Z84+AA84,AA84-Z84),0)</f>
        <v>0</v>
      </c>
      <c r="AE84" s="80">
        <f>IF(J84="",0,IF(ISNUMBER(J84),J84,-1))</f>
        <v>0</v>
      </c>
      <c r="AF84" s="80">
        <f>MIN(MAX(0,AE84),AD84)</f>
        <v>0</v>
      </c>
      <c r="AG84" s="80">
        <f>MAX(0,AD84-MAX(0,AE84))</f>
        <v>0</v>
      </c>
      <c r="AH84" s="80">
        <f>IF(ISNUMBER(B84),IF(AND(INDEX(CFG_WDAYS,WEEKDAY(INT(B84),2))="Sí",IF(D84="proMX",COUNTIFS(FER_F,INT(B84),FER_NLP,"Sí"),COUNTIFS(FER_F,INT(B84),FER_NLM,"Sí"))=0),1,0),0)</f>
        <v>0</v>
      </c>
      <c r="AI84" s="80">
        <f>IF(AC84=1,IF(AND(INDEX(CFG_WDAYS,WEEKDAY(INT(B84)+1,2))="Sí",IF(D84="proMX",COUNTIFS(FER_F,INT(B84)+1,FER_NLP,"Sí"),COUNTIFS(FER_F,INT(B84)+1,FER_NLM,"Sí"))=0),1,0),0)</f>
        <v>0</v>
      </c>
      <c r="AJ84" s="80">
        <f>IF(AC84=1,1440-Z84,AD84)</f>
        <v>0</v>
      </c>
      <c r="AK84" s="80">
        <f>IF(AND(AB84=1,AH84=1),MAX(0,MIN(IF(AC84=1,1440,AA84),CFG_WEM)-MAX(Z84,CFG_WSM)),0)</f>
        <v>0</v>
      </c>
      <c r="AL84" s="80">
        <f>IF(AND(AC84=1,AI84=1),MAX(0,MIN(AA84,CFG_WEM)-CFG_WSM),0)</f>
        <v>0</v>
      </c>
      <c r="AM84" s="80">
        <f>AK84+AL84</f>
        <v>0</v>
      </c>
      <c r="AN84" s="80">
        <f>IF(CFG_BRK="Proporcional",IF(AD84=0,0,AF84*AM84/AD84),IF(CFG_BRK="Extras primero",MIN(AM84,MAX(0,AF84-(AD84-AM84))),MIN(AF84,AM84)))</f>
        <v>0</v>
      </c>
      <c r="AO84" s="80">
        <f>AF84-AN84</f>
        <v>0</v>
      </c>
      <c r="AP84" s="80">
        <f>AM84-AN84</f>
        <v>0</v>
      </c>
      <c r="AQ84" s="80">
        <f>AD84-AM84-AO84</f>
        <v>0</v>
      </c>
      <c r="AR84" s="80">
        <f>IF(AM84=0,0,AK84-AN84*AK84/AM84)</f>
        <v>0</v>
      </c>
      <c r="AS84" s="80">
        <f>IF(AD84-AM84=0,0,(AJ84-AK84)-AO84*(AJ84-AK84)/(AD84-AM84))</f>
        <v>0</v>
      </c>
      <c r="AT84" s="80" t="str">
        <f>IF(AC84=1,INT(B84)+1,"")</f>
        <v/>
      </c>
      <c r="AU84" s="80">
        <f>IF(AND(D84="proMX",R84="Cancelled"),0,1)</f>
        <v>1</v>
      </c>
      <c r="AV84" s="80">
        <f>IF(AND(AB84=1,AU84=1),IF(COUNTIFS($D$5:D83,D84,$B$5:B83,B84,$Z$5:Z83,Z84,$AA$5:AA83,AA84,$F$5:F83,F84&amp;"",$AU$5:AU83,1)&gt;0,1,0),0)</f>
        <v>0</v>
      </c>
      <c r="AW84" s="80" t="str">
        <f>IF(AB84=1,INT(B84)*1440+Z84,"")</f>
        <v/>
      </c>
      <c r="AX84" s="80" t="str">
        <f>IF(AB84=1,AW84+AD84,"")</f>
        <v/>
      </c>
      <c r="AY84" s="80">
        <f>IF(AND(AB84=1,AV84=0,AU84=1),1,0)</f>
        <v>0</v>
      </c>
      <c r="AZ84" s="80">
        <f>IF(AY84=1,COUNTIFS(R_Emp,D84,R_SAbs,"&lt;"&amp;AX84,R_EAbs,"&gt;"&amp;AW84,R_OKey,1)-1,0)</f>
        <v>0</v>
      </c>
      <c r="BA84" s="80">
        <f>IF(AY84=1,COUNTIFS(R_Emp,"&lt;&gt;"&amp;D84,R_SAbs,"&lt;"&amp;AX84,R_EAbs,"&gt;"&amp;AW84,R_OKey,1),0)</f>
        <v>0</v>
      </c>
      <c r="BB84" s="80">
        <f>IF(AND(AB84=1,D84="proMX"),IF(AND(MOD(Z84,CFG_BLK)=0,MOD(AA84,CFG_BLK)=0,MOD(AG84,CFG_BLK)=0,AG84&gt;0),1,0),1)</f>
        <v>1</v>
      </c>
      <c r="BC84" s="80" t="str">
        <f>IF(Y84=0,"",IF(NOT(ISNUMBER(B84)),"Falta fecha o fecha inválida",IF(D84="","Falta empresa",IF(AND(D84&lt;&gt;"Malcolm",D84&lt;&gt;"proMX"),"Empresa inválida",IF(OR(INT(B84)&lt;CFG_PSTART,INT(B84)&gt;CFG_PEND),"Fecha fuera del período",IF(OR(NOT(ISNUMBER(Z84)),NOT(ISNUMBER(AA84))),"Falta hora inicio/fin o formato inválido",IF(AB84=0,"Hora inicio = hora fin",IF(AE84&lt;0,"Descanso inválido",IF(AE84&gt;=AD84,"Descanso ≥ duración",IF(AV84=1,"Registro duplicado",IF(AZ84&gt;0,"Se superpone con otro registro "&amp;D84,IF(BB84=0,"inicio, fin y duración neta deben ser múltiplos de "&amp;CFG_BLK&amp;" min",""))))))))))))</f>
        <v/>
      </c>
      <c r="BD84" s="80">
        <f>IF(AND(Y84=1,BC84=""),1,0)</f>
        <v>0</v>
      </c>
      <c r="BE84" s="80">
        <f>IF(AND(BD84=1,AU84=1),1,0)</f>
        <v>0</v>
      </c>
      <c r="BF84" s="80" t="str">
        <f>IF(AND(D84="proMX",BD84=1),IF(R84="","Draft",R84),"")</f>
        <v/>
      </c>
      <c r="BG84" s="80">
        <f>IF(BD84=1,ROUND(AG84/60,6),0)</f>
        <v>0</v>
      </c>
      <c r="BH84" s="80">
        <f>IF(BE84=1,ROUND(AG84/60,6),0)</f>
        <v>0</v>
      </c>
      <c r="BI84" s="80">
        <f>IF(BE84=1,ROUND(AP84/60,6),0)</f>
        <v>0</v>
      </c>
      <c r="BJ84" s="80">
        <f>IF(BE84=1,ROUND(AQ84/60,6),0)</f>
        <v>0</v>
      </c>
      <c r="BK84" s="80">
        <f>IF(BE84=1,ROUND((AR84+AS84)/60,6),0)</f>
        <v>0</v>
      </c>
      <c r="BL84" s="80">
        <f>ROUND(BH84-BK84,6)</f>
        <v>0</v>
      </c>
      <c r="BM84" s="80">
        <f>IF(BE84=1,ROUND(AR84/60,6),0)</f>
        <v>0</v>
      </c>
      <c r="BN84" s="80">
        <f>ROUND(BI84-BM84,6)</f>
        <v>0</v>
      </c>
      <c r="BO84" s="80">
        <f>IF(BE84=1,ROUND(AS84/60,6),0)</f>
        <v>0</v>
      </c>
      <c r="BP84" s="80">
        <f>ROUND(BJ84-BO84,6)</f>
        <v>0</v>
      </c>
      <c r="BQ84" s="80">
        <f>IF(BE84=1,AW84,0)</f>
        <v>0</v>
      </c>
      <c r="BR84" s="80">
        <f>IF(BE84=1,AX84,0)</f>
        <v>0</v>
      </c>
      <c r="BS84" s="80">
        <f>IF(AND(BE84=1,D84="Malcolm",BA84&gt;0),MIN(BH84,SUMPRODUCT((R_Emp="proMX")*(R_EN&gt;0)*((R_EN-(R_EN&gt;BR84)*(R_EN-BR84))&gt;(R_SN+(R_SN&lt;BQ84)*(BQ84-R_SN)))*((R_EN-(R_EN&gt;BR84)*(R_EN-BR84))-(R_SN+(R_SN&lt;BQ84)*(BQ84-R_SN))))/60),0)</f>
        <v>0</v>
      </c>
      <c r="BT84" s="80">
        <f>IF(AND(BE84=1,D84="proMX"),ROUND(BI84*CFG_RATE+BJ84*CFG_OTRATE,6),0)</f>
        <v>0</v>
      </c>
      <c r="BU84" s="80">
        <f>IF(AND(BD84=1,D84="proMX"),ROUND(AG84/CFG_BLK,6),0)</f>
        <v>0</v>
      </c>
      <c r="BV84" s="80" t="str">
        <f>IF(BF84="Approved",IF(ISNUMBER(T84),INT(T84),INT(B84)),"")</f>
        <v/>
      </c>
      <c r="BW84" s="80">
        <f>IF(ISNUMBER(B84),IF(DB_MON="Todos",1,IF(AND(INT(B84)&gt;=DB_MS,INT(B84)&lt;=DB_ME),1,0)),0)</f>
        <v>0</v>
      </c>
      <c r="BX84" s="80">
        <f>IF(DB_PROJ="Todos",1,IF(E84&amp;""=DB_PROJ&amp;"",1,0))</f>
        <v>1</v>
      </c>
      <c r="BY84" s="80">
        <f>BW84*BX84</f>
        <v>0</v>
      </c>
      <c r="BZ84" s="80" t="str">
        <f>IF(Y84=1,F84&amp;IF(AND(F84&amp;""&lt;&gt;"",E84&amp;""&lt;&gt;"")," · ","")&amp;E84,"")</f>
        <v/>
      </c>
      <c r="CA84" s="80" t="str">
        <f>IF(AND(BD84=1,E84&amp;""&lt;&gt;""),IF(COUNTIFS($E$5:E83,E84,$BD$5:BD83,1)=0,MAX($CA$5:CA83)+1,""),"")</f>
        <v/>
      </c>
      <c r="CB84" s="80" t="str">
        <f>IF(AND(BE84=1,D84="Malcolm",E84&amp;""&lt;&gt;""),IF(COUNTIFS($D$5:D83,"Malcolm",$E$5:E83,E84,$BE$5:BE83,1)=0,MAX($CB$5:CB83)+1,""),"")</f>
        <v/>
      </c>
      <c r="CC84" s="80" t="str">
        <f>IF(AND(BD84=1,D84="proMX",E84&amp;""&lt;&gt;""),IF(COUNTIFS($D$5:D83,"proMX",$E$5:E83,E84,$BD$5:BD83,1)=0,MAX($CC$5:CC83)+1,""),"")</f>
        <v/>
      </c>
      <c r="CD84" s="80" t="str">
        <f>IF(AND(BE84=1,D84="Malcolm",F84&amp;""&lt;&gt;""),IF(COUNTIFS($D$5:D83,"Malcolm",$F$5:F83,F84,$BE$5:BE83,1)=0,MAX($CD$5:CD83)+1,""),"")</f>
        <v/>
      </c>
      <c r="CE84" s="80" t="str">
        <f>IF(AND(BD84=1,D84="proMX",F84&amp;""&lt;&gt;""),IF(COUNTIFS($D$5:D83,"proMX",$F$5:F83,F84,$BD$5:BD83,1)=0,MAX($CE$5:CE83)+1,""),"")</f>
        <v/>
      </c>
      <c r="CF84" s="80" t="str">
        <f>IF(AND(D84="proMX",BD84=1),IF(OR(BF84="Draft",BF84="Submitted",BF84="Returned",BF84="Recall Requested"),MAX($CF$5:CF83)+1,""),"")</f>
        <v/>
      </c>
      <c r="CG84" s="80">
        <f>IF(BD84=0,0,IF(D84="Malcolm",1,MATCH(BF84,{"Draft","Submitted","Approved","Returned","Recall Requested","Cancelled"},0)+1))</f>
        <v>0</v>
      </c>
      <c r="CH84" s="80">
        <f>IF(AND(BF84="Submitted",ISNUMBER(V84)),IF(V84&gt;CFG_MAXD,1,0),0)</f>
        <v>0</v>
      </c>
    </row>
    <row r="85">
      <c r="A85" s="71" t="str">
        <f>IF(Y85=1,ROW()-5,"")</f>
        <v/>
      </c>
      <c r="B85" s="72" t="n"/>
      <c r="C85" s="71" t="str">
        <f>IF(ISNUMBER(B85),CHOOSE(WEEKDAY(B85,2),"Lun","Mar","Mié","Jue","Vie","Sáb","Dom"),"")</f>
        <v/>
      </c>
      <c r="D85" s="73" t="n"/>
      <c r="E85" s="74" t="n"/>
      <c r="F85" s="74" t="n"/>
      <c r="G85" s="74" t="n"/>
      <c r="H85" s="75" t="n"/>
      <c r="I85" s="75" t="n"/>
      <c r="J85" s="76" t="n"/>
      <c r="K85" s="77" t="str">
        <f>IF(AB85=1,ROUND(AG85/60,4),"")</f>
        <v/>
      </c>
      <c r="L85" s="77" t="str">
        <f>IF(BD85=1,ROUND(AP85/60,4),"")</f>
        <v/>
      </c>
      <c r="M85" s="77" t="str">
        <f>IF(BD85=1,ROUND(AQ85/60,4),"")</f>
        <v/>
      </c>
      <c r="N85" s="71" t="str">
        <f>IF(AND(D85="proMX",AB85=1),ROUND(AG85/CFG_BLK,2),"")</f>
        <v/>
      </c>
      <c r="O85" s="77" t="str">
        <f>IF(D85="proMX",IF(BD85=1,ROUND(AG85/60,4),0),"")</f>
        <v/>
      </c>
      <c r="P85" s="78" t="str">
        <f>IF(Y85=0,"",IF(BD85=1,"OK",IF(D85="proMX","Revisar bloques: ","Revisar: ")&amp;BC85))</f>
        <v/>
      </c>
      <c r="Q85" s="78" t="str">
        <f>IF(NOT(ISNUMBER(B85)),"",IF(COUNTIFS(FER_F,INT(B85))&gt;0,"Feriado"&amp;IF(AH85=1," (laborable)"," (no laborable)"),IF(AH85=1,"Laborable",IF(WEEKDAY(B85,2)&gt;5,"Fin de semana","No laborable"))))</f>
        <v/>
      </c>
      <c r="R85" s="73" t="n"/>
      <c r="S85" s="72" t="n"/>
      <c r="T85" s="72" t="n"/>
      <c r="U85" s="74" t="n"/>
      <c r="V85" s="79" t="str">
        <f>IF(AND(D85="proMX",OR(R85="Submitted",R85="Recall Requested"),ISNUMBER(S85)),CFG_TODAY-INT(S85),"")</f>
        <v/>
      </c>
      <c r="W85" s="78" t="str">
        <f>IF(BD85=0,"",IF(BA85&gt;0,"⚠ Se superpone con un registro de la otra empresa",IF(D85="Malcolm",IF(COUNTA(R85,S85,T85)&gt;0,"Estado/fechas proMX se ignoran en Malcolm",""),IF(BF85="Cancelled","Cancelado: excluido de totales",IF(R85="","Sin estado: se trata como Draft",IF(BF85="Submitted",IF(ISNUMBER(V85),IF(V85&gt;CFG_MAXD,"⚠ "&amp;V85&amp;" días en Submitted (máx. "&amp;CFG_MAXD&amp;")",""),"Falta fecha de envío"),IF(BF85="Returned","⚠ Devuelto: corregir y reenviar",IF(BF85="Recall Requested","Retirada solicitada: pendiente",IF(AND(BF85="Approved",NOT(ISNUMBER(T85))),"Falta fecha de aprobación",IF(AND(ISNUMBER(S85),ISNUMBER(T85),T85&lt;S85),"Aprobación anterior al envío","")))))))))</f>
        <v/>
      </c>
      <c r="Y85" s="80">
        <f>IF(COUNTA(B85,D85,E85,F85,G85,H85,I85,J85,R85,S85,T85)&gt;0,1,0)</f>
        <v>0</v>
      </c>
      <c r="Z85" s="80" t="str">
        <f>IF(AND(ISNUMBER(H85),H85&gt;=0,H85&lt;1),ROUND(H85*1440,0),"")</f>
        <v/>
      </c>
      <c r="AA85" s="80" t="str">
        <f>IF(AND(ISNUMBER(I85),I85&gt;=0,I85&lt;1),ROUND(I85*1440,0),"")</f>
        <v/>
      </c>
      <c r="AB85" s="80">
        <f>IF(AND(ISNUMBER(B85),D85&lt;&gt;"",ISNUMBER(Z85),ISNUMBER(AA85)),IF(Z85=AA85,0,1),0)</f>
        <v>0</v>
      </c>
      <c r="AC85" s="80">
        <f>IF(AB85=1,IF(AA85&lt;Z85,1,0),0)</f>
        <v>0</v>
      </c>
      <c r="AD85" s="80">
        <f>IF(AB85=1,IF(AC85=1,1440-Z85+AA85,AA85-Z85),0)</f>
        <v>0</v>
      </c>
      <c r="AE85" s="80">
        <f>IF(J85="",0,IF(ISNUMBER(J85),J85,-1))</f>
        <v>0</v>
      </c>
      <c r="AF85" s="80">
        <f>MIN(MAX(0,AE85),AD85)</f>
        <v>0</v>
      </c>
      <c r="AG85" s="80">
        <f>MAX(0,AD85-MAX(0,AE85))</f>
        <v>0</v>
      </c>
      <c r="AH85" s="80">
        <f>IF(ISNUMBER(B85),IF(AND(INDEX(CFG_WDAYS,WEEKDAY(INT(B85),2))="Sí",IF(D85="proMX",COUNTIFS(FER_F,INT(B85),FER_NLP,"Sí"),COUNTIFS(FER_F,INT(B85),FER_NLM,"Sí"))=0),1,0),0)</f>
        <v>0</v>
      </c>
      <c r="AI85" s="80">
        <f>IF(AC85=1,IF(AND(INDEX(CFG_WDAYS,WEEKDAY(INT(B85)+1,2))="Sí",IF(D85="proMX",COUNTIFS(FER_F,INT(B85)+1,FER_NLP,"Sí"),COUNTIFS(FER_F,INT(B85)+1,FER_NLM,"Sí"))=0),1,0),0)</f>
        <v>0</v>
      </c>
      <c r="AJ85" s="80">
        <f>IF(AC85=1,1440-Z85,AD85)</f>
        <v>0</v>
      </c>
      <c r="AK85" s="80">
        <f>IF(AND(AB85=1,AH85=1),MAX(0,MIN(IF(AC85=1,1440,AA85),CFG_WEM)-MAX(Z85,CFG_WSM)),0)</f>
        <v>0</v>
      </c>
      <c r="AL85" s="80">
        <f>IF(AND(AC85=1,AI85=1),MAX(0,MIN(AA85,CFG_WEM)-CFG_WSM),0)</f>
        <v>0</v>
      </c>
      <c r="AM85" s="80">
        <f>AK85+AL85</f>
        <v>0</v>
      </c>
      <c r="AN85" s="80">
        <f>IF(CFG_BRK="Proporcional",IF(AD85=0,0,AF85*AM85/AD85),IF(CFG_BRK="Extras primero",MIN(AM85,MAX(0,AF85-(AD85-AM85))),MIN(AF85,AM85)))</f>
        <v>0</v>
      </c>
      <c r="AO85" s="80">
        <f>AF85-AN85</f>
        <v>0</v>
      </c>
      <c r="AP85" s="80">
        <f>AM85-AN85</f>
        <v>0</v>
      </c>
      <c r="AQ85" s="80">
        <f>AD85-AM85-AO85</f>
        <v>0</v>
      </c>
      <c r="AR85" s="80">
        <f>IF(AM85=0,0,AK85-AN85*AK85/AM85)</f>
        <v>0</v>
      </c>
      <c r="AS85" s="80">
        <f>IF(AD85-AM85=0,0,(AJ85-AK85)-AO85*(AJ85-AK85)/(AD85-AM85))</f>
        <v>0</v>
      </c>
      <c r="AT85" s="80" t="str">
        <f>IF(AC85=1,INT(B85)+1,"")</f>
        <v/>
      </c>
      <c r="AU85" s="80">
        <f>IF(AND(D85="proMX",R85="Cancelled"),0,1)</f>
        <v>1</v>
      </c>
      <c r="AV85" s="80">
        <f>IF(AND(AB85=1,AU85=1),IF(COUNTIFS($D$5:D84,D85,$B$5:B84,B85,$Z$5:Z84,Z85,$AA$5:AA84,AA85,$F$5:F84,F85&amp;"",$AU$5:AU84,1)&gt;0,1,0),0)</f>
        <v>0</v>
      </c>
      <c r="AW85" s="80" t="str">
        <f>IF(AB85=1,INT(B85)*1440+Z85,"")</f>
        <v/>
      </c>
      <c r="AX85" s="80" t="str">
        <f>IF(AB85=1,AW85+AD85,"")</f>
        <v/>
      </c>
      <c r="AY85" s="80">
        <f>IF(AND(AB85=1,AV85=0,AU85=1),1,0)</f>
        <v>0</v>
      </c>
      <c r="AZ85" s="80">
        <f>IF(AY85=1,COUNTIFS(R_Emp,D85,R_SAbs,"&lt;"&amp;AX85,R_EAbs,"&gt;"&amp;AW85,R_OKey,1)-1,0)</f>
        <v>0</v>
      </c>
      <c r="BA85" s="80">
        <f>IF(AY85=1,COUNTIFS(R_Emp,"&lt;&gt;"&amp;D85,R_SAbs,"&lt;"&amp;AX85,R_EAbs,"&gt;"&amp;AW85,R_OKey,1),0)</f>
        <v>0</v>
      </c>
      <c r="BB85" s="80">
        <f>IF(AND(AB85=1,D85="proMX"),IF(AND(MOD(Z85,CFG_BLK)=0,MOD(AA85,CFG_BLK)=0,MOD(AG85,CFG_BLK)=0,AG85&gt;0),1,0),1)</f>
        <v>1</v>
      </c>
      <c r="BC85" s="80" t="str">
        <f>IF(Y85=0,"",IF(NOT(ISNUMBER(B85)),"Falta fecha o fecha inválida",IF(D85="","Falta empresa",IF(AND(D85&lt;&gt;"Malcolm",D85&lt;&gt;"proMX"),"Empresa inválida",IF(OR(INT(B85)&lt;CFG_PSTART,INT(B85)&gt;CFG_PEND),"Fecha fuera del período",IF(OR(NOT(ISNUMBER(Z85)),NOT(ISNUMBER(AA85))),"Falta hora inicio/fin o formato inválido",IF(AB85=0,"Hora inicio = hora fin",IF(AE85&lt;0,"Descanso inválido",IF(AE85&gt;=AD85,"Descanso ≥ duración",IF(AV85=1,"Registro duplicado",IF(AZ85&gt;0,"Se superpone con otro registro "&amp;D85,IF(BB85=0,"inicio, fin y duración neta deben ser múltiplos de "&amp;CFG_BLK&amp;" min",""))))))))))))</f>
        <v/>
      </c>
      <c r="BD85" s="80">
        <f>IF(AND(Y85=1,BC85=""),1,0)</f>
        <v>0</v>
      </c>
      <c r="BE85" s="80">
        <f>IF(AND(BD85=1,AU85=1),1,0)</f>
        <v>0</v>
      </c>
      <c r="BF85" s="80" t="str">
        <f>IF(AND(D85="proMX",BD85=1),IF(R85="","Draft",R85),"")</f>
        <v/>
      </c>
      <c r="BG85" s="80">
        <f>IF(BD85=1,ROUND(AG85/60,6),0)</f>
        <v>0</v>
      </c>
      <c r="BH85" s="80">
        <f>IF(BE85=1,ROUND(AG85/60,6),0)</f>
        <v>0</v>
      </c>
      <c r="BI85" s="80">
        <f>IF(BE85=1,ROUND(AP85/60,6),0)</f>
        <v>0</v>
      </c>
      <c r="BJ85" s="80">
        <f>IF(BE85=1,ROUND(AQ85/60,6),0)</f>
        <v>0</v>
      </c>
      <c r="BK85" s="80">
        <f>IF(BE85=1,ROUND((AR85+AS85)/60,6),0)</f>
        <v>0</v>
      </c>
      <c r="BL85" s="80">
        <f>ROUND(BH85-BK85,6)</f>
        <v>0</v>
      </c>
      <c r="BM85" s="80">
        <f>IF(BE85=1,ROUND(AR85/60,6),0)</f>
        <v>0</v>
      </c>
      <c r="BN85" s="80">
        <f>ROUND(BI85-BM85,6)</f>
        <v>0</v>
      </c>
      <c r="BO85" s="80">
        <f>IF(BE85=1,ROUND(AS85/60,6),0)</f>
        <v>0</v>
      </c>
      <c r="BP85" s="80">
        <f>ROUND(BJ85-BO85,6)</f>
        <v>0</v>
      </c>
      <c r="BQ85" s="80">
        <f>IF(BE85=1,AW85,0)</f>
        <v>0</v>
      </c>
      <c r="BR85" s="80">
        <f>IF(BE85=1,AX85,0)</f>
        <v>0</v>
      </c>
      <c r="BS85" s="80">
        <f>IF(AND(BE85=1,D85="Malcolm",BA85&gt;0),MIN(BH85,SUMPRODUCT((R_Emp="proMX")*(R_EN&gt;0)*((R_EN-(R_EN&gt;BR85)*(R_EN-BR85))&gt;(R_SN+(R_SN&lt;BQ85)*(BQ85-R_SN)))*((R_EN-(R_EN&gt;BR85)*(R_EN-BR85))-(R_SN+(R_SN&lt;BQ85)*(BQ85-R_SN))))/60),0)</f>
        <v>0</v>
      </c>
      <c r="BT85" s="80">
        <f>IF(AND(BE85=1,D85="proMX"),ROUND(BI85*CFG_RATE+BJ85*CFG_OTRATE,6),0)</f>
        <v>0</v>
      </c>
      <c r="BU85" s="80">
        <f>IF(AND(BD85=1,D85="proMX"),ROUND(AG85/CFG_BLK,6),0)</f>
        <v>0</v>
      </c>
      <c r="BV85" s="80" t="str">
        <f>IF(BF85="Approved",IF(ISNUMBER(T85),INT(T85),INT(B85)),"")</f>
        <v/>
      </c>
      <c r="BW85" s="80">
        <f>IF(ISNUMBER(B85),IF(DB_MON="Todos",1,IF(AND(INT(B85)&gt;=DB_MS,INT(B85)&lt;=DB_ME),1,0)),0)</f>
        <v>0</v>
      </c>
      <c r="BX85" s="80">
        <f>IF(DB_PROJ="Todos",1,IF(E85&amp;""=DB_PROJ&amp;"",1,0))</f>
        <v>1</v>
      </c>
      <c r="BY85" s="80">
        <f>BW85*BX85</f>
        <v>0</v>
      </c>
      <c r="BZ85" s="80" t="str">
        <f>IF(Y85=1,F85&amp;IF(AND(F85&amp;""&lt;&gt;"",E85&amp;""&lt;&gt;"")," · ","")&amp;E85,"")</f>
        <v/>
      </c>
      <c r="CA85" s="80" t="str">
        <f>IF(AND(BD85=1,E85&amp;""&lt;&gt;""),IF(COUNTIFS($E$5:E84,E85,$BD$5:BD84,1)=0,MAX($CA$5:CA84)+1,""),"")</f>
        <v/>
      </c>
      <c r="CB85" s="80" t="str">
        <f>IF(AND(BE85=1,D85="Malcolm",E85&amp;""&lt;&gt;""),IF(COUNTIFS($D$5:D84,"Malcolm",$E$5:E84,E85,$BE$5:BE84,1)=0,MAX($CB$5:CB84)+1,""),"")</f>
        <v/>
      </c>
      <c r="CC85" s="80" t="str">
        <f>IF(AND(BD85=1,D85="proMX",E85&amp;""&lt;&gt;""),IF(COUNTIFS($D$5:D84,"proMX",$E$5:E84,E85,$BD$5:BD84,1)=0,MAX($CC$5:CC84)+1,""),"")</f>
        <v/>
      </c>
      <c r="CD85" s="80" t="str">
        <f>IF(AND(BE85=1,D85="Malcolm",F85&amp;""&lt;&gt;""),IF(COUNTIFS($D$5:D84,"Malcolm",$F$5:F84,F85,$BE$5:BE84,1)=0,MAX($CD$5:CD84)+1,""),"")</f>
        <v/>
      </c>
      <c r="CE85" s="80" t="str">
        <f>IF(AND(BD85=1,D85="proMX",F85&amp;""&lt;&gt;""),IF(COUNTIFS($D$5:D84,"proMX",$F$5:F84,F85,$BD$5:BD84,1)=0,MAX($CE$5:CE84)+1,""),"")</f>
        <v/>
      </c>
      <c r="CF85" s="80" t="str">
        <f>IF(AND(D85="proMX",BD85=1),IF(OR(BF85="Draft",BF85="Submitted",BF85="Returned",BF85="Recall Requested"),MAX($CF$5:CF84)+1,""),"")</f>
        <v/>
      </c>
      <c r="CG85" s="80">
        <f>IF(BD85=0,0,IF(D85="Malcolm",1,MATCH(BF85,{"Draft","Submitted","Approved","Returned","Recall Requested","Cancelled"},0)+1))</f>
        <v>0</v>
      </c>
      <c r="CH85" s="80">
        <f>IF(AND(BF85="Submitted",ISNUMBER(V85)),IF(V85&gt;CFG_MAXD,1,0),0)</f>
        <v>0</v>
      </c>
    </row>
    <row r="86">
      <c r="A86" s="71" t="str">
        <f>IF(Y86=1,ROW()-5,"")</f>
        <v/>
      </c>
      <c r="B86" s="72" t="n"/>
      <c r="C86" s="71" t="str">
        <f>IF(ISNUMBER(B86),CHOOSE(WEEKDAY(B86,2),"Lun","Mar","Mié","Jue","Vie","Sáb","Dom"),"")</f>
        <v/>
      </c>
      <c r="D86" s="73" t="n"/>
      <c r="E86" s="74" t="n"/>
      <c r="F86" s="74" t="n"/>
      <c r="G86" s="74" t="n"/>
      <c r="H86" s="75" t="n"/>
      <c r="I86" s="75" t="n"/>
      <c r="J86" s="76" t="n"/>
      <c r="K86" s="77" t="str">
        <f>IF(AB86=1,ROUND(AG86/60,4),"")</f>
        <v/>
      </c>
      <c r="L86" s="77" t="str">
        <f>IF(BD86=1,ROUND(AP86/60,4),"")</f>
        <v/>
      </c>
      <c r="M86" s="77" t="str">
        <f>IF(BD86=1,ROUND(AQ86/60,4),"")</f>
        <v/>
      </c>
      <c r="N86" s="71" t="str">
        <f>IF(AND(D86="proMX",AB86=1),ROUND(AG86/CFG_BLK,2),"")</f>
        <v/>
      </c>
      <c r="O86" s="77" t="str">
        <f>IF(D86="proMX",IF(BD86=1,ROUND(AG86/60,4),0),"")</f>
        <v/>
      </c>
      <c r="P86" s="78" t="str">
        <f>IF(Y86=0,"",IF(BD86=1,"OK",IF(D86="proMX","Revisar bloques: ","Revisar: ")&amp;BC86))</f>
        <v/>
      </c>
      <c r="Q86" s="78" t="str">
        <f>IF(NOT(ISNUMBER(B86)),"",IF(COUNTIFS(FER_F,INT(B86))&gt;0,"Feriado"&amp;IF(AH86=1," (laborable)"," (no laborable)"),IF(AH86=1,"Laborable",IF(WEEKDAY(B86,2)&gt;5,"Fin de semana","No laborable"))))</f>
        <v/>
      </c>
      <c r="R86" s="73" t="n"/>
      <c r="S86" s="72" t="n"/>
      <c r="T86" s="72" t="n"/>
      <c r="U86" s="74" t="n"/>
      <c r="V86" s="79" t="str">
        <f>IF(AND(D86="proMX",OR(R86="Submitted",R86="Recall Requested"),ISNUMBER(S86)),CFG_TODAY-INT(S86),"")</f>
        <v/>
      </c>
      <c r="W86" s="78" t="str">
        <f>IF(BD86=0,"",IF(BA86&gt;0,"⚠ Se superpone con un registro de la otra empresa",IF(D86="Malcolm",IF(COUNTA(R86,S86,T86)&gt;0,"Estado/fechas proMX se ignoran en Malcolm",""),IF(BF86="Cancelled","Cancelado: excluido de totales",IF(R86="","Sin estado: se trata como Draft",IF(BF86="Submitted",IF(ISNUMBER(V86),IF(V86&gt;CFG_MAXD,"⚠ "&amp;V86&amp;" días en Submitted (máx. "&amp;CFG_MAXD&amp;")",""),"Falta fecha de envío"),IF(BF86="Returned","⚠ Devuelto: corregir y reenviar",IF(BF86="Recall Requested","Retirada solicitada: pendiente",IF(AND(BF86="Approved",NOT(ISNUMBER(T86))),"Falta fecha de aprobación",IF(AND(ISNUMBER(S86),ISNUMBER(T86),T86&lt;S86),"Aprobación anterior al envío","")))))))))</f>
        <v/>
      </c>
      <c r="Y86" s="80">
        <f>IF(COUNTA(B86,D86,E86,F86,G86,H86,I86,J86,R86,S86,T86)&gt;0,1,0)</f>
        <v>0</v>
      </c>
      <c r="Z86" s="80" t="str">
        <f>IF(AND(ISNUMBER(H86),H86&gt;=0,H86&lt;1),ROUND(H86*1440,0),"")</f>
        <v/>
      </c>
      <c r="AA86" s="80" t="str">
        <f>IF(AND(ISNUMBER(I86),I86&gt;=0,I86&lt;1),ROUND(I86*1440,0),"")</f>
        <v/>
      </c>
      <c r="AB86" s="80">
        <f>IF(AND(ISNUMBER(B86),D86&lt;&gt;"",ISNUMBER(Z86),ISNUMBER(AA86)),IF(Z86=AA86,0,1),0)</f>
        <v>0</v>
      </c>
      <c r="AC86" s="80">
        <f>IF(AB86=1,IF(AA86&lt;Z86,1,0),0)</f>
        <v>0</v>
      </c>
      <c r="AD86" s="80">
        <f>IF(AB86=1,IF(AC86=1,1440-Z86+AA86,AA86-Z86),0)</f>
        <v>0</v>
      </c>
      <c r="AE86" s="80">
        <f>IF(J86="",0,IF(ISNUMBER(J86),J86,-1))</f>
        <v>0</v>
      </c>
      <c r="AF86" s="80">
        <f>MIN(MAX(0,AE86),AD86)</f>
        <v>0</v>
      </c>
      <c r="AG86" s="80">
        <f>MAX(0,AD86-MAX(0,AE86))</f>
        <v>0</v>
      </c>
      <c r="AH86" s="80">
        <f>IF(ISNUMBER(B86),IF(AND(INDEX(CFG_WDAYS,WEEKDAY(INT(B86),2))="Sí",IF(D86="proMX",COUNTIFS(FER_F,INT(B86),FER_NLP,"Sí"),COUNTIFS(FER_F,INT(B86),FER_NLM,"Sí"))=0),1,0),0)</f>
        <v>0</v>
      </c>
      <c r="AI86" s="80">
        <f>IF(AC86=1,IF(AND(INDEX(CFG_WDAYS,WEEKDAY(INT(B86)+1,2))="Sí",IF(D86="proMX",COUNTIFS(FER_F,INT(B86)+1,FER_NLP,"Sí"),COUNTIFS(FER_F,INT(B86)+1,FER_NLM,"Sí"))=0),1,0),0)</f>
        <v>0</v>
      </c>
      <c r="AJ86" s="80">
        <f>IF(AC86=1,1440-Z86,AD86)</f>
        <v>0</v>
      </c>
      <c r="AK86" s="80">
        <f>IF(AND(AB86=1,AH86=1),MAX(0,MIN(IF(AC86=1,1440,AA86),CFG_WEM)-MAX(Z86,CFG_WSM)),0)</f>
        <v>0</v>
      </c>
      <c r="AL86" s="80">
        <f>IF(AND(AC86=1,AI86=1),MAX(0,MIN(AA86,CFG_WEM)-CFG_WSM),0)</f>
        <v>0</v>
      </c>
      <c r="AM86" s="80">
        <f>AK86+AL86</f>
        <v>0</v>
      </c>
      <c r="AN86" s="80">
        <f>IF(CFG_BRK="Proporcional",IF(AD86=0,0,AF86*AM86/AD86),IF(CFG_BRK="Extras primero",MIN(AM86,MAX(0,AF86-(AD86-AM86))),MIN(AF86,AM86)))</f>
        <v>0</v>
      </c>
      <c r="AO86" s="80">
        <f>AF86-AN86</f>
        <v>0</v>
      </c>
      <c r="AP86" s="80">
        <f>AM86-AN86</f>
        <v>0</v>
      </c>
      <c r="AQ86" s="80">
        <f>AD86-AM86-AO86</f>
        <v>0</v>
      </c>
      <c r="AR86" s="80">
        <f>IF(AM86=0,0,AK86-AN86*AK86/AM86)</f>
        <v>0</v>
      </c>
      <c r="AS86" s="80">
        <f>IF(AD86-AM86=0,0,(AJ86-AK86)-AO86*(AJ86-AK86)/(AD86-AM86))</f>
        <v>0</v>
      </c>
      <c r="AT86" s="80" t="str">
        <f>IF(AC86=1,INT(B86)+1,"")</f>
        <v/>
      </c>
      <c r="AU86" s="80">
        <f>IF(AND(D86="proMX",R86="Cancelled"),0,1)</f>
        <v>1</v>
      </c>
      <c r="AV86" s="80">
        <f>IF(AND(AB86=1,AU86=1),IF(COUNTIFS($D$5:D85,D86,$B$5:B85,B86,$Z$5:Z85,Z86,$AA$5:AA85,AA86,$F$5:F85,F86&amp;"",$AU$5:AU85,1)&gt;0,1,0),0)</f>
        <v>0</v>
      </c>
      <c r="AW86" s="80" t="str">
        <f>IF(AB86=1,INT(B86)*1440+Z86,"")</f>
        <v/>
      </c>
      <c r="AX86" s="80" t="str">
        <f>IF(AB86=1,AW86+AD86,"")</f>
        <v/>
      </c>
      <c r="AY86" s="80">
        <f>IF(AND(AB86=1,AV86=0,AU86=1),1,0)</f>
        <v>0</v>
      </c>
      <c r="AZ86" s="80">
        <f>IF(AY86=1,COUNTIFS(R_Emp,D86,R_SAbs,"&lt;"&amp;AX86,R_EAbs,"&gt;"&amp;AW86,R_OKey,1)-1,0)</f>
        <v>0</v>
      </c>
      <c r="BA86" s="80">
        <f>IF(AY86=1,COUNTIFS(R_Emp,"&lt;&gt;"&amp;D86,R_SAbs,"&lt;"&amp;AX86,R_EAbs,"&gt;"&amp;AW86,R_OKey,1),0)</f>
        <v>0</v>
      </c>
      <c r="BB86" s="80">
        <f>IF(AND(AB86=1,D86="proMX"),IF(AND(MOD(Z86,CFG_BLK)=0,MOD(AA86,CFG_BLK)=0,MOD(AG86,CFG_BLK)=0,AG86&gt;0),1,0),1)</f>
        <v>1</v>
      </c>
      <c r="BC86" s="80" t="str">
        <f>IF(Y86=0,"",IF(NOT(ISNUMBER(B86)),"Falta fecha o fecha inválida",IF(D86="","Falta empresa",IF(AND(D86&lt;&gt;"Malcolm",D86&lt;&gt;"proMX"),"Empresa inválida",IF(OR(INT(B86)&lt;CFG_PSTART,INT(B86)&gt;CFG_PEND),"Fecha fuera del período",IF(OR(NOT(ISNUMBER(Z86)),NOT(ISNUMBER(AA86))),"Falta hora inicio/fin o formato inválido",IF(AB86=0,"Hora inicio = hora fin",IF(AE86&lt;0,"Descanso inválido",IF(AE86&gt;=AD86,"Descanso ≥ duración",IF(AV86=1,"Registro duplicado",IF(AZ86&gt;0,"Se superpone con otro registro "&amp;D86,IF(BB86=0,"inicio, fin y duración neta deben ser múltiplos de "&amp;CFG_BLK&amp;" min",""))))))))))))</f>
        <v/>
      </c>
      <c r="BD86" s="80">
        <f>IF(AND(Y86=1,BC86=""),1,0)</f>
        <v>0</v>
      </c>
      <c r="BE86" s="80">
        <f>IF(AND(BD86=1,AU86=1),1,0)</f>
        <v>0</v>
      </c>
      <c r="BF86" s="80" t="str">
        <f>IF(AND(D86="proMX",BD86=1),IF(R86="","Draft",R86),"")</f>
        <v/>
      </c>
      <c r="BG86" s="80">
        <f>IF(BD86=1,ROUND(AG86/60,6),0)</f>
        <v>0</v>
      </c>
      <c r="BH86" s="80">
        <f>IF(BE86=1,ROUND(AG86/60,6),0)</f>
        <v>0</v>
      </c>
      <c r="BI86" s="80">
        <f>IF(BE86=1,ROUND(AP86/60,6),0)</f>
        <v>0</v>
      </c>
      <c r="BJ86" s="80">
        <f>IF(BE86=1,ROUND(AQ86/60,6),0)</f>
        <v>0</v>
      </c>
      <c r="BK86" s="80">
        <f>IF(BE86=1,ROUND((AR86+AS86)/60,6),0)</f>
        <v>0</v>
      </c>
      <c r="BL86" s="80">
        <f>ROUND(BH86-BK86,6)</f>
        <v>0</v>
      </c>
      <c r="BM86" s="80">
        <f>IF(BE86=1,ROUND(AR86/60,6),0)</f>
        <v>0</v>
      </c>
      <c r="BN86" s="80">
        <f>ROUND(BI86-BM86,6)</f>
        <v>0</v>
      </c>
      <c r="BO86" s="80">
        <f>IF(BE86=1,ROUND(AS86/60,6),0)</f>
        <v>0</v>
      </c>
      <c r="BP86" s="80">
        <f>ROUND(BJ86-BO86,6)</f>
        <v>0</v>
      </c>
      <c r="BQ86" s="80">
        <f>IF(BE86=1,AW86,0)</f>
        <v>0</v>
      </c>
      <c r="BR86" s="80">
        <f>IF(BE86=1,AX86,0)</f>
        <v>0</v>
      </c>
      <c r="BS86" s="80">
        <f>IF(AND(BE86=1,D86="Malcolm",BA86&gt;0),MIN(BH86,SUMPRODUCT((R_Emp="proMX")*(R_EN&gt;0)*((R_EN-(R_EN&gt;BR86)*(R_EN-BR86))&gt;(R_SN+(R_SN&lt;BQ86)*(BQ86-R_SN)))*((R_EN-(R_EN&gt;BR86)*(R_EN-BR86))-(R_SN+(R_SN&lt;BQ86)*(BQ86-R_SN))))/60),0)</f>
        <v>0</v>
      </c>
      <c r="BT86" s="80">
        <f>IF(AND(BE86=1,D86="proMX"),ROUND(BI86*CFG_RATE+BJ86*CFG_OTRATE,6),0)</f>
        <v>0</v>
      </c>
      <c r="BU86" s="80">
        <f>IF(AND(BD86=1,D86="proMX"),ROUND(AG86/CFG_BLK,6),0)</f>
        <v>0</v>
      </c>
      <c r="BV86" s="80" t="str">
        <f>IF(BF86="Approved",IF(ISNUMBER(T86),INT(T86),INT(B86)),"")</f>
        <v/>
      </c>
      <c r="BW86" s="80">
        <f>IF(ISNUMBER(B86),IF(DB_MON="Todos",1,IF(AND(INT(B86)&gt;=DB_MS,INT(B86)&lt;=DB_ME),1,0)),0)</f>
        <v>0</v>
      </c>
      <c r="BX86" s="80">
        <f>IF(DB_PROJ="Todos",1,IF(E86&amp;""=DB_PROJ&amp;"",1,0))</f>
        <v>1</v>
      </c>
      <c r="BY86" s="80">
        <f>BW86*BX86</f>
        <v>0</v>
      </c>
      <c r="BZ86" s="80" t="str">
        <f>IF(Y86=1,F86&amp;IF(AND(F86&amp;""&lt;&gt;"",E86&amp;""&lt;&gt;"")," · ","")&amp;E86,"")</f>
        <v/>
      </c>
      <c r="CA86" s="80" t="str">
        <f>IF(AND(BD86=1,E86&amp;""&lt;&gt;""),IF(COUNTIFS($E$5:E85,E86,$BD$5:BD85,1)=0,MAX($CA$5:CA85)+1,""),"")</f>
        <v/>
      </c>
      <c r="CB86" s="80" t="str">
        <f>IF(AND(BE86=1,D86="Malcolm",E86&amp;""&lt;&gt;""),IF(COUNTIFS($D$5:D85,"Malcolm",$E$5:E85,E86,$BE$5:BE85,1)=0,MAX($CB$5:CB85)+1,""),"")</f>
        <v/>
      </c>
      <c r="CC86" s="80" t="str">
        <f>IF(AND(BD86=1,D86="proMX",E86&amp;""&lt;&gt;""),IF(COUNTIFS($D$5:D85,"proMX",$E$5:E85,E86,$BD$5:BD85,1)=0,MAX($CC$5:CC85)+1,""),"")</f>
        <v/>
      </c>
      <c r="CD86" s="80" t="str">
        <f>IF(AND(BE86=1,D86="Malcolm",F86&amp;""&lt;&gt;""),IF(COUNTIFS($D$5:D85,"Malcolm",$F$5:F85,F86,$BE$5:BE85,1)=0,MAX($CD$5:CD85)+1,""),"")</f>
        <v/>
      </c>
      <c r="CE86" s="80" t="str">
        <f>IF(AND(BD86=1,D86="proMX",F86&amp;""&lt;&gt;""),IF(COUNTIFS($D$5:D85,"proMX",$F$5:F85,F86,$BD$5:BD85,1)=0,MAX($CE$5:CE85)+1,""),"")</f>
        <v/>
      </c>
      <c r="CF86" s="80" t="str">
        <f>IF(AND(D86="proMX",BD86=1),IF(OR(BF86="Draft",BF86="Submitted",BF86="Returned",BF86="Recall Requested"),MAX($CF$5:CF85)+1,""),"")</f>
        <v/>
      </c>
      <c r="CG86" s="80">
        <f>IF(BD86=0,0,IF(D86="Malcolm",1,MATCH(BF86,{"Draft","Submitted","Approved","Returned","Recall Requested","Cancelled"},0)+1))</f>
        <v>0</v>
      </c>
      <c r="CH86" s="80">
        <f>IF(AND(BF86="Submitted",ISNUMBER(V86)),IF(V86&gt;CFG_MAXD,1,0),0)</f>
        <v>0</v>
      </c>
    </row>
    <row r="87">
      <c r="A87" s="71" t="str">
        <f>IF(Y87=1,ROW()-5,"")</f>
        <v/>
      </c>
      <c r="B87" s="72" t="n"/>
      <c r="C87" s="71" t="str">
        <f>IF(ISNUMBER(B87),CHOOSE(WEEKDAY(B87,2),"Lun","Mar","Mié","Jue","Vie","Sáb","Dom"),"")</f>
        <v/>
      </c>
      <c r="D87" s="73" t="n"/>
      <c r="E87" s="74" t="n"/>
      <c r="F87" s="74" t="n"/>
      <c r="G87" s="74" t="n"/>
      <c r="H87" s="75" t="n"/>
      <c r="I87" s="75" t="n"/>
      <c r="J87" s="76" t="n"/>
      <c r="K87" s="77" t="str">
        <f>IF(AB87=1,ROUND(AG87/60,4),"")</f>
        <v/>
      </c>
      <c r="L87" s="77" t="str">
        <f>IF(BD87=1,ROUND(AP87/60,4),"")</f>
        <v/>
      </c>
      <c r="M87" s="77" t="str">
        <f>IF(BD87=1,ROUND(AQ87/60,4),"")</f>
        <v/>
      </c>
      <c r="N87" s="71" t="str">
        <f>IF(AND(D87="proMX",AB87=1),ROUND(AG87/CFG_BLK,2),"")</f>
        <v/>
      </c>
      <c r="O87" s="77" t="str">
        <f>IF(D87="proMX",IF(BD87=1,ROUND(AG87/60,4),0),"")</f>
        <v/>
      </c>
      <c r="P87" s="78" t="str">
        <f>IF(Y87=0,"",IF(BD87=1,"OK",IF(D87="proMX","Revisar bloques: ","Revisar: ")&amp;BC87))</f>
        <v/>
      </c>
      <c r="Q87" s="78" t="str">
        <f>IF(NOT(ISNUMBER(B87)),"",IF(COUNTIFS(FER_F,INT(B87))&gt;0,"Feriado"&amp;IF(AH87=1," (laborable)"," (no laborable)"),IF(AH87=1,"Laborable",IF(WEEKDAY(B87,2)&gt;5,"Fin de semana","No laborable"))))</f>
        <v/>
      </c>
      <c r="R87" s="73" t="n"/>
      <c r="S87" s="72" t="n"/>
      <c r="T87" s="72" t="n"/>
      <c r="U87" s="74" t="n"/>
      <c r="V87" s="79" t="str">
        <f>IF(AND(D87="proMX",OR(R87="Submitted",R87="Recall Requested"),ISNUMBER(S87)),CFG_TODAY-INT(S87),"")</f>
        <v/>
      </c>
      <c r="W87" s="78" t="str">
        <f>IF(BD87=0,"",IF(BA87&gt;0,"⚠ Se superpone con un registro de la otra empresa",IF(D87="Malcolm",IF(COUNTA(R87,S87,T87)&gt;0,"Estado/fechas proMX se ignoran en Malcolm",""),IF(BF87="Cancelled","Cancelado: excluido de totales",IF(R87="","Sin estado: se trata como Draft",IF(BF87="Submitted",IF(ISNUMBER(V87),IF(V87&gt;CFG_MAXD,"⚠ "&amp;V87&amp;" días en Submitted (máx. "&amp;CFG_MAXD&amp;")",""),"Falta fecha de envío"),IF(BF87="Returned","⚠ Devuelto: corregir y reenviar",IF(BF87="Recall Requested","Retirada solicitada: pendiente",IF(AND(BF87="Approved",NOT(ISNUMBER(T87))),"Falta fecha de aprobación",IF(AND(ISNUMBER(S87),ISNUMBER(T87),T87&lt;S87),"Aprobación anterior al envío","")))))))))</f>
        <v/>
      </c>
      <c r="Y87" s="80">
        <f>IF(COUNTA(B87,D87,E87,F87,G87,H87,I87,J87,R87,S87,T87)&gt;0,1,0)</f>
        <v>0</v>
      </c>
      <c r="Z87" s="80" t="str">
        <f>IF(AND(ISNUMBER(H87),H87&gt;=0,H87&lt;1),ROUND(H87*1440,0),"")</f>
        <v/>
      </c>
      <c r="AA87" s="80" t="str">
        <f>IF(AND(ISNUMBER(I87),I87&gt;=0,I87&lt;1),ROUND(I87*1440,0),"")</f>
        <v/>
      </c>
      <c r="AB87" s="80">
        <f>IF(AND(ISNUMBER(B87),D87&lt;&gt;"",ISNUMBER(Z87),ISNUMBER(AA87)),IF(Z87=AA87,0,1),0)</f>
        <v>0</v>
      </c>
      <c r="AC87" s="80">
        <f>IF(AB87=1,IF(AA87&lt;Z87,1,0),0)</f>
        <v>0</v>
      </c>
      <c r="AD87" s="80">
        <f>IF(AB87=1,IF(AC87=1,1440-Z87+AA87,AA87-Z87),0)</f>
        <v>0</v>
      </c>
      <c r="AE87" s="80">
        <f>IF(J87="",0,IF(ISNUMBER(J87),J87,-1))</f>
        <v>0</v>
      </c>
      <c r="AF87" s="80">
        <f>MIN(MAX(0,AE87),AD87)</f>
        <v>0</v>
      </c>
      <c r="AG87" s="80">
        <f>MAX(0,AD87-MAX(0,AE87))</f>
        <v>0</v>
      </c>
      <c r="AH87" s="80">
        <f>IF(ISNUMBER(B87),IF(AND(INDEX(CFG_WDAYS,WEEKDAY(INT(B87),2))="Sí",IF(D87="proMX",COUNTIFS(FER_F,INT(B87),FER_NLP,"Sí"),COUNTIFS(FER_F,INT(B87),FER_NLM,"Sí"))=0),1,0),0)</f>
        <v>0</v>
      </c>
      <c r="AI87" s="80">
        <f>IF(AC87=1,IF(AND(INDEX(CFG_WDAYS,WEEKDAY(INT(B87)+1,2))="Sí",IF(D87="proMX",COUNTIFS(FER_F,INT(B87)+1,FER_NLP,"Sí"),COUNTIFS(FER_F,INT(B87)+1,FER_NLM,"Sí"))=0),1,0),0)</f>
        <v>0</v>
      </c>
      <c r="AJ87" s="80">
        <f>IF(AC87=1,1440-Z87,AD87)</f>
        <v>0</v>
      </c>
      <c r="AK87" s="80">
        <f>IF(AND(AB87=1,AH87=1),MAX(0,MIN(IF(AC87=1,1440,AA87),CFG_WEM)-MAX(Z87,CFG_WSM)),0)</f>
        <v>0</v>
      </c>
      <c r="AL87" s="80">
        <f>IF(AND(AC87=1,AI87=1),MAX(0,MIN(AA87,CFG_WEM)-CFG_WSM),0)</f>
        <v>0</v>
      </c>
      <c r="AM87" s="80">
        <f>AK87+AL87</f>
        <v>0</v>
      </c>
      <c r="AN87" s="80">
        <f>IF(CFG_BRK="Proporcional",IF(AD87=0,0,AF87*AM87/AD87),IF(CFG_BRK="Extras primero",MIN(AM87,MAX(0,AF87-(AD87-AM87))),MIN(AF87,AM87)))</f>
        <v>0</v>
      </c>
      <c r="AO87" s="80">
        <f>AF87-AN87</f>
        <v>0</v>
      </c>
      <c r="AP87" s="80">
        <f>AM87-AN87</f>
        <v>0</v>
      </c>
      <c r="AQ87" s="80">
        <f>AD87-AM87-AO87</f>
        <v>0</v>
      </c>
      <c r="AR87" s="80">
        <f>IF(AM87=0,0,AK87-AN87*AK87/AM87)</f>
        <v>0</v>
      </c>
      <c r="AS87" s="80">
        <f>IF(AD87-AM87=0,0,(AJ87-AK87)-AO87*(AJ87-AK87)/(AD87-AM87))</f>
        <v>0</v>
      </c>
      <c r="AT87" s="80" t="str">
        <f>IF(AC87=1,INT(B87)+1,"")</f>
        <v/>
      </c>
      <c r="AU87" s="80">
        <f>IF(AND(D87="proMX",R87="Cancelled"),0,1)</f>
        <v>1</v>
      </c>
      <c r="AV87" s="80">
        <f>IF(AND(AB87=1,AU87=1),IF(COUNTIFS($D$5:D86,D87,$B$5:B86,B87,$Z$5:Z86,Z87,$AA$5:AA86,AA87,$F$5:F86,F87&amp;"",$AU$5:AU86,1)&gt;0,1,0),0)</f>
        <v>0</v>
      </c>
      <c r="AW87" s="80" t="str">
        <f>IF(AB87=1,INT(B87)*1440+Z87,"")</f>
        <v/>
      </c>
      <c r="AX87" s="80" t="str">
        <f>IF(AB87=1,AW87+AD87,"")</f>
        <v/>
      </c>
      <c r="AY87" s="80">
        <f>IF(AND(AB87=1,AV87=0,AU87=1),1,0)</f>
        <v>0</v>
      </c>
      <c r="AZ87" s="80">
        <f>IF(AY87=1,COUNTIFS(R_Emp,D87,R_SAbs,"&lt;"&amp;AX87,R_EAbs,"&gt;"&amp;AW87,R_OKey,1)-1,0)</f>
        <v>0</v>
      </c>
      <c r="BA87" s="80">
        <f>IF(AY87=1,COUNTIFS(R_Emp,"&lt;&gt;"&amp;D87,R_SAbs,"&lt;"&amp;AX87,R_EAbs,"&gt;"&amp;AW87,R_OKey,1),0)</f>
        <v>0</v>
      </c>
      <c r="BB87" s="80">
        <f>IF(AND(AB87=1,D87="proMX"),IF(AND(MOD(Z87,CFG_BLK)=0,MOD(AA87,CFG_BLK)=0,MOD(AG87,CFG_BLK)=0,AG87&gt;0),1,0),1)</f>
        <v>1</v>
      </c>
      <c r="BC87" s="80" t="str">
        <f>IF(Y87=0,"",IF(NOT(ISNUMBER(B87)),"Falta fecha o fecha inválida",IF(D87="","Falta empresa",IF(AND(D87&lt;&gt;"Malcolm",D87&lt;&gt;"proMX"),"Empresa inválida",IF(OR(INT(B87)&lt;CFG_PSTART,INT(B87)&gt;CFG_PEND),"Fecha fuera del período",IF(OR(NOT(ISNUMBER(Z87)),NOT(ISNUMBER(AA87))),"Falta hora inicio/fin o formato inválido",IF(AB87=0,"Hora inicio = hora fin",IF(AE87&lt;0,"Descanso inválido",IF(AE87&gt;=AD87,"Descanso ≥ duración",IF(AV87=1,"Registro duplicado",IF(AZ87&gt;0,"Se superpone con otro registro "&amp;D87,IF(BB87=0,"inicio, fin y duración neta deben ser múltiplos de "&amp;CFG_BLK&amp;" min",""))))))))))))</f>
        <v/>
      </c>
      <c r="BD87" s="80">
        <f>IF(AND(Y87=1,BC87=""),1,0)</f>
        <v>0</v>
      </c>
      <c r="BE87" s="80">
        <f>IF(AND(BD87=1,AU87=1),1,0)</f>
        <v>0</v>
      </c>
      <c r="BF87" s="80" t="str">
        <f>IF(AND(D87="proMX",BD87=1),IF(R87="","Draft",R87),"")</f>
        <v/>
      </c>
      <c r="BG87" s="80">
        <f>IF(BD87=1,ROUND(AG87/60,6),0)</f>
        <v>0</v>
      </c>
      <c r="BH87" s="80">
        <f>IF(BE87=1,ROUND(AG87/60,6),0)</f>
        <v>0</v>
      </c>
      <c r="BI87" s="80">
        <f>IF(BE87=1,ROUND(AP87/60,6),0)</f>
        <v>0</v>
      </c>
      <c r="BJ87" s="80">
        <f>IF(BE87=1,ROUND(AQ87/60,6),0)</f>
        <v>0</v>
      </c>
      <c r="BK87" s="80">
        <f>IF(BE87=1,ROUND((AR87+AS87)/60,6),0)</f>
        <v>0</v>
      </c>
      <c r="BL87" s="80">
        <f>ROUND(BH87-BK87,6)</f>
        <v>0</v>
      </c>
      <c r="BM87" s="80">
        <f>IF(BE87=1,ROUND(AR87/60,6),0)</f>
        <v>0</v>
      </c>
      <c r="BN87" s="80">
        <f>ROUND(BI87-BM87,6)</f>
        <v>0</v>
      </c>
      <c r="BO87" s="80">
        <f>IF(BE87=1,ROUND(AS87/60,6),0)</f>
        <v>0</v>
      </c>
      <c r="BP87" s="80">
        <f>ROUND(BJ87-BO87,6)</f>
        <v>0</v>
      </c>
      <c r="BQ87" s="80">
        <f>IF(BE87=1,AW87,0)</f>
        <v>0</v>
      </c>
      <c r="BR87" s="80">
        <f>IF(BE87=1,AX87,0)</f>
        <v>0</v>
      </c>
      <c r="BS87" s="80">
        <f>IF(AND(BE87=1,D87="Malcolm",BA87&gt;0),MIN(BH87,SUMPRODUCT((R_Emp="proMX")*(R_EN&gt;0)*((R_EN-(R_EN&gt;BR87)*(R_EN-BR87))&gt;(R_SN+(R_SN&lt;BQ87)*(BQ87-R_SN)))*((R_EN-(R_EN&gt;BR87)*(R_EN-BR87))-(R_SN+(R_SN&lt;BQ87)*(BQ87-R_SN))))/60),0)</f>
        <v>0</v>
      </c>
      <c r="BT87" s="80">
        <f>IF(AND(BE87=1,D87="proMX"),ROUND(BI87*CFG_RATE+BJ87*CFG_OTRATE,6),0)</f>
        <v>0</v>
      </c>
      <c r="BU87" s="80">
        <f>IF(AND(BD87=1,D87="proMX"),ROUND(AG87/CFG_BLK,6),0)</f>
        <v>0</v>
      </c>
      <c r="BV87" s="80" t="str">
        <f>IF(BF87="Approved",IF(ISNUMBER(T87),INT(T87),INT(B87)),"")</f>
        <v/>
      </c>
      <c r="BW87" s="80">
        <f>IF(ISNUMBER(B87),IF(DB_MON="Todos",1,IF(AND(INT(B87)&gt;=DB_MS,INT(B87)&lt;=DB_ME),1,0)),0)</f>
        <v>0</v>
      </c>
      <c r="BX87" s="80">
        <f>IF(DB_PROJ="Todos",1,IF(E87&amp;""=DB_PROJ&amp;"",1,0))</f>
        <v>1</v>
      </c>
      <c r="BY87" s="80">
        <f>BW87*BX87</f>
        <v>0</v>
      </c>
      <c r="BZ87" s="80" t="str">
        <f>IF(Y87=1,F87&amp;IF(AND(F87&amp;""&lt;&gt;"",E87&amp;""&lt;&gt;"")," · ","")&amp;E87,"")</f>
        <v/>
      </c>
      <c r="CA87" s="80" t="str">
        <f>IF(AND(BD87=1,E87&amp;""&lt;&gt;""),IF(COUNTIFS($E$5:E86,E87,$BD$5:BD86,1)=0,MAX($CA$5:CA86)+1,""),"")</f>
        <v/>
      </c>
      <c r="CB87" s="80" t="str">
        <f>IF(AND(BE87=1,D87="Malcolm",E87&amp;""&lt;&gt;""),IF(COUNTIFS($D$5:D86,"Malcolm",$E$5:E86,E87,$BE$5:BE86,1)=0,MAX($CB$5:CB86)+1,""),"")</f>
        <v/>
      </c>
      <c r="CC87" s="80" t="str">
        <f>IF(AND(BD87=1,D87="proMX",E87&amp;""&lt;&gt;""),IF(COUNTIFS($D$5:D86,"proMX",$E$5:E86,E87,$BD$5:BD86,1)=0,MAX($CC$5:CC86)+1,""),"")</f>
        <v/>
      </c>
      <c r="CD87" s="80" t="str">
        <f>IF(AND(BE87=1,D87="Malcolm",F87&amp;""&lt;&gt;""),IF(COUNTIFS($D$5:D86,"Malcolm",$F$5:F86,F87,$BE$5:BE86,1)=0,MAX($CD$5:CD86)+1,""),"")</f>
        <v/>
      </c>
      <c r="CE87" s="80" t="str">
        <f>IF(AND(BD87=1,D87="proMX",F87&amp;""&lt;&gt;""),IF(COUNTIFS($D$5:D86,"proMX",$F$5:F86,F87,$BD$5:BD86,1)=0,MAX($CE$5:CE86)+1,""),"")</f>
        <v/>
      </c>
      <c r="CF87" s="80" t="str">
        <f>IF(AND(D87="proMX",BD87=1),IF(OR(BF87="Draft",BF87="Submitted",BF87="Returned",BF87="Recall Requested"),MAX($CF$5:CF86)+1,""),"")</f>
        <v/>
      </c>
      <c r="CG87" s="80">
        <f>IF(BD87=0,0,IF(D87="Malcolm",1,MATCH(BF87,{"Draft","Submitted","Approved","Returned","Recall Requested","Cancelled"},0)+1))</f>
        <v>0</v>
      </c>
      <c r="CH87" s="80">
        <f>IF(AND(BF87="Submitted",ISNUMBER(V87)),IF(V87&gt;CFG_MAXD,1,0),0)</f>
        <v>0</v>
      </c>
    </row>
    <row r="88">
      <c r="A88" s="71" t="str">
        <f>IF(Y88=1,ROW()-5,"")</f>
        <v/>
      </c>
      <c r="B88" s="72" t="n"/>
      <c r="C88" s="71" t="str">
        <f>IF(ISNUMBER(B88),CHOOSE(WEEKDAY(B88,2),"Lun","Mar","Mié","Jue","Vie","Sáb","Dom"),"")</f>
        <v/>
      </c>
      <c r="D88" s="73" t="n"/>
      <c r="E88" s="74" t="n"/>
      <c r="F88" s="74" t="n"/>
      <c r="G88" s="74" t="n"/>
      <c r="H88" s="75" t="n"/>
      <c r="I88" s="75" t="n"/>
      <c r="J88" s="76" t="n"/>
      <c r="K88" s="77" t="str">
        <f>IF(AB88=1,ROUND(AG88/60,4),"")</f>
        <v/>
      </c>
      <c r="L88" s="77" t="str">
        <f>IF(BD88=1,ROUND(AP88/60,4),"")</f>
        <v/>
      </c>
      <c r="M88" s="77" t="str">
        <f>IF(BD88=1,ROUND(AQ88/60,4),"")</f>
        <v/>
      </c>
      <c r="N88" s="71" t="str">
        <f>IF(AND(D88="proMX",AB88=1),ROUND(AG88/CFG_BLK,2),"")</f>
        <v/>
      </c>
      <c r="O88" s="77" t="str">
        <f>IF(D88="proMX",IF(BD88=1,ROUND(AG88/60,4),0),"")</f>
        <v/>
      </c>
      <c r="P88" s="78" t="str">
        <f>IF(Y88=0,"",IF(BD88=1,"OK",IF(D88="proMX","Revisar bloques: ","Revisar: ")&amp;BC88))</f>
        <v/>
      </c>
      <c r="Q88" s="78" t="str">
        <f>IF(NOT(ISNUMBER(B88)),"",IF(COUNTIFS(FER_F,INT(B88))&gt;0,"Feriado"&amp;IF(AH88=1," (laborable)"," (no laborable)"),IF(AH88=1,"Laborable",IF(WEEKDAY(B88,2)&gt;5,"Fin de semana","No laborable"))))</f>
        <v/>
      </c>
      <c r="R88" s="73" t="n"/>
      <c r="S88" s="72" t="n"/>
      <c r="T88" s="72" t="n"/>
      <c r="U88" s="74" t="n"/>
      <c r="V88" s="79" t="str">
        <f>IF(AND(D88="proMX",OR(R88="Submitted",R88="Recall Requested"),ISNUMBER(S88)),CFG_TODAY-INT(S88),"")</f>
        <v/>
      </c>
      <c r="W88" s="78" t="str">
        <f>IF(BD88=0,"",IF(BA88&gt;0,"⚠ Se superpone con un registro de la otra empresa",IF(D88="Malcolm",IF(COUNTA(R88,S88,T88)&gt;0,"Estado/fechas proMX se ignoran en Malcolm",""),IF(BF88="Cancelled","Cancelado: excluido de totales",IF(R88="","Sin estado: se trata como Draft",IF(BF88="Submitted",IF(ISNUMBER(V88),IF(V88&gt;CFG_MAXD,"⚠ "&amp;V88&amp;" días en Submitted (máx. "&amp;CFG_MAXD&amp;")",""),"Falta fecha de envío"),IF(BF88="Returned","⚠ Devuelto: corregir y reenviar",IF(BF88="Recall Requested","Retirada solicitada: pendiente",IF(AND(BF88="Approved",NOT(ISNUMBER(T88))),"Falta fecha de aprobación",IF(AND(ISNUMBER(S88),ISNUMBER(T88),T88&lt;S88),"Aprobación anterior al envío","")))))))))</f>
        <v/>
      </c>
      <c r="Y88" s="80">
        <f>IF(COUNTA(B88,D88,E88,F88,G88,H88,I88,J88,R88,S88,T88)&gt;0,1,0)</f>
        <v>0</v>
      </c>
      <c r="Z88" s="80" t="str">
        <f>IF(AND(ISNUMBER(H88),H88&gt;=0,H88&lt;1),ROUND(H88*1440,0),"")</f>
        <v/>
      </c>
      <c r="AA88" s="80" t="str">
        <f>IF(AND(ISNUMBER(I88),I88&gt;=0,I88&lt;1),ROUND(I88*1440,0),"")</f>
        <v/>
      </c>
      <c r="AB88" s="80">
        <f>IF(AND(ISNUMBER(B88),D88&lt;&gt;"",ISNUMBER(Z88),ISNUMBER(AA88)),IF(Z88=AA88,0,1),0)</f>
        <v>0</v>
      </c>
      <c r="AC88" s="80">
        <f>IF(AB88=1,IF(AA88&lt;Z88,1,0),0)</f>
        <v>0</v>
      </c>
      <c r="AD88" s="80">
        <f>IF(AB88=1,IF(AC88=1,1440-Z88+AA88,AA88-Z88),0)</f>
        <v>0</v>
      </c>
      <c r="AE88" s="80">
        <f>IF(J88="",0,IF(ISNUMBER(J88),J88,-1))</f>
        <v>0</v>
      </c>
      <c r="AF88" s="80">
        <f>MIN(MAX(0,AE88),AD88)</f>
        <v>0</v>
      </c>
      <c r="AG88" s="80">
        <f>MAX(0,AD88-MAX(0,AE88))</f>
        <v>0</v>
      </c>
      <c r="AH88" s="80">
        <f>IF(ISNUMBER(B88),IF(AND(INDEX(CFG_WDAYS,WEEKDAY(INT(B88),2))="Sí",IF(D88="proMX",COUNTIFS(FER_F,INT(B88),FER_NLP,"Sí"),COUNTIFS(FER_F,INT(B88),FER_NLM,"Sí"))=0),1,0),0)</f>
        <v>0</v>
      </c>
      <c r="AI88" s="80">
        <f>IF(AC88=1,IF(AND(INDEX(CFG_WDAYS,WEEKDAY(INT(B88)+1,2))="Sí",IF(D88="proMX",COUNTIFS(FER_F,INT(B88)+1,FER_NLP,"Sí"),COUNTIFS(FER_F,INT(B88)+1,FER_NLM,"Sí"))=0),1,0),0)</f>
        <v>0</v>
      </c>
      <c r="AJ88" s="80">
        <f>IF(AC88=1,1440-Z88,AD88)</f>
        <v>0</v>
      </c>
      <c r="AK88" s="80">
        <f>IF(AND(AB88=1,AH88=1),MAX(0,MIN(IF(AC88=1,1440,AA88),CFG_WEM)-MAX(Z88,CFG_WSM)),0)</f>
        <v>0</v>
      </c>
      <c r="AL88" s="80">
        <f>IF(AND(AC88=1,AI88=1),MAX(0,MIN(AA88,CFG_WEM)-CFG_WSM),0)</f>
        <v>0</v>
      </c>
      <c r="AM88" s="80">
        <f>AK88+AL88</f>
        <v>0</v>
      </c>
      <c r="AN88" s="80">
        <f>IF(CFG_BRK="Proporcional",IF(AD88=0,0,AF88*AM88/AD88),IF(CFG_BRK="Extras primero",MIN(AM88,MAX(0,AF88-(AD88-AM88))),MIN(AF88,AM88)))</f>
        <v>0</v>
      </c>
      <c r="AO88" s="80">
        <f>AF88-AN88</f>
        <v>0</v>
      </c>
      <c r="AP88" s="80">
        <f>AM88-AN88</f>
        <v>0</v>
      </c>
      <c r="AQ88" s="80">
        <f>AD88-AM88-AO88</f>
        <v>0</v>
      </c>
      <c r="AR88" s="80">
        <f>IF(AM88=0,0,AK88-AN88*AK88/AM88)</f>
        <v>0</v>
      </c>
      <c r="AS88" s="80">
        <f>IF(AD88-AM88=0,0,(AJ88-AK88)-AO88*(AJ88-AK88)/(AD88-AM88))</f>
        <v>0</v>
      </c>
      <c r="AT88" s="80" t="str">
        <f>IF(AC88=1,INT(B88)+1,"")</f>
        <v/>
      </c>
      <c r="AU88" s="80">
        <f>IF(AND(D88="proMX",R88="Cancelled"),0,1)</f>
        <v>1</v>
      </c>
      <c r="AV88" s="80">
        <f>IF(AND(AB88=1,AU88=1),IF(COUNTIFS($D$5:D87,D88,$B$5:B87,B88,$Z$5:Z87,Z88,$AA$5:AA87,AA88,$F$5:F87,F88&amp;"",$AU$5:AU87,1)&gt;0,1,0),0)</f>
        <v>0</v>
      </c>
      <c r="AW88" s="80" t="str">
        <f>IF(AB88=1,INT(B88)*1440+Z88,"")</f>
        <v/>
      </c>
      <c r="AX88" s="80" t="str">
        <f>IF(AB88=1,AW88+AD88,"")</f>
        <v/>
      </c>
      <c r="AY88" s="80">
        <f>IF(AND(AB88=1,AV88=0,AU88=1),1,0)</f>
        <v>0</v>
      </c>
      <c r="AZ88" s="80">
        <f>IF(AY88=1,COUNTIFS(R_Emp,D88,R_SAbs,"&lt;"&amp;AX88,R_EAbs,"&gt;"&amp;AW88,R_OKey,1)-1,0)</f>
        <v>0</v>
      </c>
      <c r="BA88" s="80">
        <f>IF(AY88=1,COUNTIFS(R_Emp,"&lt;&gt;"&amp;D88,R_SAbs,"&lt;"&amp;AX88,R_EAbs,"&gt;"&amp;AW88,R_OKey,1),0)</f>
        <v>0</v>
      </c>
      <c r="BB88" s="80">
        <f>IF(AND(AB88=1,D88="proMX"),IF(AND(MOD(Z88,CFG_BLK)=0,MOD(AA88,CFG_BLK)=0,MOD(AG88,CFG_BLK)=0,AG88&gt;0),1,0),1)</f>
        <v>1</v>
      </c>
      <c r="BC88" s="80" t="str">
        <f>IF(Y88=0,"",IF(NOT(ISNUMBER(B88)),"Falta fecha o fecha inválida",IF(D88="","Falta empresa",IF(AND(D88&lt;&gt;"Malcolm",D88&lt;&gt;"proMX"),"Empresa inválida",IF(OR(INT(B88)&lt;CFG_PSTART,INT(B88)&gt;CFG_PEND),"Fecha fuera del período",IF(OR(NOT(ISNUMBER(Z88)),NOT(ISNUMBER(AA88))),"Falta hora inicio/fin o formato inválido",IF(AB88=0,"Hora inicio = hora fin",IF(AE88&lt;0,"Descanso inválido",IF(AE88&gt;=AD88,"Descanso ≥ duración",IF(AV88=1,"Registro duplicado",IF(AZ88&gt;0,"Se superpone con otro registro "&amp;D88,IF(BB88=0,"inicio, fin y duración neta deben ser múltiplos de "&amp;CFG_BLK&amp;" min",""))))))))))))</f>
        <v/>
      </c>
      <c r="BD88" s="80">
        <f>IF(AND(Y88=1,BC88=""),1,0)</f>
        <v>0</v>
      </c>
      <c r="BE88" s="80">
        <f>IF(AND(BD88=1,AU88=1),1,0)</f>
        <v>0</v>
      </c>
      <c r="BF88" s="80" t="str">
        <f>IF(AND(D88="proMX",BD88=1),IF(R88="","Draft",R88),"")</f>
        <v/>
      </c>
      <c r="BG88" s="80">
        <f>IF(BD88=1,ROUND(AG88/60,6),0)</f>
        <v>0</v>
      </c>
      <c r="BH88" s="80">
        <f>IF(BE88=1,ROUND(AG88/60,6),0)</f>
        <v>0</v>
      </c>
      <c r="BI88" s="80">
        <f>IF(BE88=1,ROUND(AP88/60,6),0)</f>
        <v>0</v>
      </c>
      <c r="BJ88" s="80">
        <f>IF(BE88=1,ROUND(AQ88/60,6),0)</f>
        <v>0</v>
      </c>
      <c r="BK88" s="80">
        <f>IF(BE88=1,ROUND((AR88+AS88)/60,6),0)</f>
        <v>0</v>
      </c>
      <c r="BL88" s="80">
        <f>ROUND(BH88-BK88,6)</f>
        <v>0</v>
      </c>
      <c r="BM88" s="80">
        <f>IF(BE88=1,ROUND(AR88/60,6),0)</f>
        <v>0</v>
      </c>
      <c r="BN88" s="80">
        <f>ROUND(BI88-BM88,6)</f>
        <v>0</v>
      </c>
      <c r="BO88" s="80">
        <f>IF(BE88=1,ROUND(AS88/60,6),0)</f>
        <v>0</v>
      </c>
      <c r="BP88" s="80">
        <f>ROUND(BJ88-BO88,6)</f>
        <v>0</v>
      </c>
      <c r="BQ88" s="80">
        <f>IF(BE88=1,AW88,0)</f>
        <v>0</v>
      </c>
      <c r="BR88" s="80">
        <f>IF(BE88=1,AX88,0)</f>
        <v>0</v>
      </c>
      <c r="BS88" s="80">
        <f>IF(AND(BE88=1,D88="Malcolm",BA88&gt;0),MIN(BH88,SUMPRODUCT((R_Emp="proMX")*(R_EN&gt;0)*((R_EN-(R_EN&gt;BR88)*(R_EN-BR88))&gt;(R_SN+(R_SN&lt;BQ88)*(BQ88-R_SN)))*((R_EN-(R_EN&gt;BR88)*(R_EN-BR88))-(R_SN+(R_SN&lt;BQ88)*(BQ88-R_SN))))/60),0)</f>
        <v>0</v>
      </c>
      <c r="BT88" s="80">
        <f>IF(AND(BE88=1,D88="proMX"),ROUND(BI88*CFG_RATE+BJ88*CFG_OTRATE,6),0)</f>
        <v>0</v>
      </c>
      <c r="BU88" s="80">
        <f>IF(AND(BD88=1,D88="proMX"),ROUND(AG88/CFG_BLK,6),0)</f>
        <v>0</v>
      </c>
      <c r="BV88" s="80" t="str">
        <f>IF(BF88="Approved",IF(ISNUMBER(T88),INT(T88),INT(B88)),"")</f>
        <v/>
      </c>
      <c r="BW88" s="80">
        <f>IF(ISNUMBER(B88),IF(DB_MON="Todos",1,IF(AND(INT(B88)&gt;=DB_MS,INT(B88)&lt;=DB_ME),1,0)),0)</f>
        <v>0</v>
      </c>
      <c r="BX88" s="80">
        <f>IF(DB_PROJ="Todos",1,IF(E88&amp;""=DB_PROJ&amp;"",1,0))</f>
        <v>1</v>
      </c>
      <c r="BY88" s="80">
        <f>BW88*BX88</f>
        <v>0</v>
      </c>
      <c r="BZ88" s="80" t="str">
        <f>IF(Y88=1,F88&amp;IF(AND(F88&amp;""&lt;&gt;"",E88&amp;""&lt;&gt;"")," · ","")&amp;E88,"")</f>
        <v/>
      </c>
      <c r="CA88" s="80" t="str">
        <f>IF(AND(BD88=1,E88&amp;""&lt;&gt;""),IF(COUNTIFS($E$5:E87,E88,$BD$5:BD87,1)=0,MAX($CA$5:CA87)+1,""),"")</f>
        <v/>
      </c>
      <c r="CB88" s="80" t="str">
        <f>IF(AND(BE88=1,D88="Malcolm",E88&amp;""&lt;&gt;""),IF(COUNTIFS($D$5:D87,"Malcolm",$E$5:E87,E88,$BE$5:BE87,1)=0,MAX($CB$5:CB87)+1,""),"")</f>
        <v/>
      </c>
      <c r="CC88" s="80" t="str">
        <f>IF(AND(BD88=1,D88="proMX",E88&amp;""&lt;&gt;""),IF(COUNTIFS($D$5:D87,"proMX",$E$5:E87,E88,$BD$5:BD87,1)=0,MAX($CC$5:CC87)+1,""),"")</f>
        <v/>
      </c>
      <c r="CD88" s="80" t="str">
        <f>IF(AND(BE88=1,D88="Malcolm",F88&amp;""&lt;&gt;""),IF(COUNTIFS($D$5:D87,"Malcolm",$F$5:F87,F88,$BE$5:BE87,1)=0,MAX($CD$5:CD87)+1,""),"")</f>
        <v/>
      </c>
      <c r="CE88" s="80" t="str">
        <f>IF(AND(BD88=1,D88="proMX",F88&amp;""&lt;&gt;""),IF(COUNTIFS($D$5:D87,"proMX",$F$5:F87,F88,$BD$5:BD87,1)=0,MAX($CE$5:CE87)+1,""),"")</f>
        <v/>
      </c>
      <c r="CF88" s="80" t="str">
        <f>IF(AND(D88="proMX",BD88=1),IF(OR(BF88="Draft",BF88="Submitted",BF88="Returned",BF88="Recall Requested"),MAX($CF$5:CF87)+1,""),"")</f>
        <v/>
      </c>
      <c r="CG88" s="80">
        <f>IF(BD88=0,0,IF(D88="Malcolm",1,MATCH(BF88,{"Draft","Submitted","Approved","Returned","Recall Requested","Cancelled"},0)+1))</f>
        <v>0</v>
      </c>
      <c r="CH88" s="80">
        <f>IF(AND(BF88="Submitted",ISNUMBER(V88)),IF(V88&gt;CFG_MAXD,1,0),0)</f>
        <v>0</v>
      </c>
    </row>
    <row r="89">
      <c r="A89" s="71" t="str">
        <f>IF(Y89=1,ROW()-5,"")</f>
        <v/>
      </c>
      <c r="B89" s="72" t="n"/>
      <c r="C89" s="71" t="str">
        <f>IF(ISNUMBER(B89),CHOOSE(WEEKDAY(B89,2),"Lun","Mar","Mié","Jue","Vie","Sáb","Dom"),"")</f>
        <v/>
      </c>
      <c r="D89" s="73" t="n"/>
      <c r="E89" s="74" t="n"/>
      <c r="F89" s="74" t="n"/>
      <c r="G89" s="74" t="n"/>
      <c r="H89" s="75" t="n"/>
      <c r="I89" s="75" t="n"/>
      <c r="J89" s="76" t="n"/>
      <c r="K89" s="77" t="str">
        <f>IF(AB89=1,ROUND(AG89/60,4),"")</f>
        <v/>
      </c>
      <c r="L89" s="77" t="str">
        <f>IF(BD89=1,ROUND(AP89/60,4),"")</f>
        <v/>
      </c>
      <c r="M89" s="77" t="str">
        <f>IF(BD89=1,ROUND(AQ89/60,4),"")</f>
        <v/>
      </c>
      <c r="N89" s="71" t="str">
        <f>IF(AND(D89="proMX",AB89=1),ROUND(AG89/CFG_BLK,2),"")</f>
        <v/>
      </c>
      <c r="O89" s="77" t="str">
        <f>IF(D89="proMX",IF(BD89=1,ROUND(AG89/60,4),0),"")</f>
        <v/>
      </c>
      <c r="P89" s="78" t="str">
        <f>IF(Y89=0,"",IF(BD89=1,"OK",IF(D89="proMX","Revisar bloques: ","Revisar: ")&amp;BC89))</f>
        <v/>
      </c>
      <c r="Q89" s="78" t="str">
        <f>IF(NOT(ISNUMBER(B89)),"",IF(COUNTIFS(FER_F,INT(B89))&gt;0,"Feriado"&amp;IF(AH89=1," (laborable)"," (no laborable)"),IF(AH89=1,"Laborable",IF(WEEKDAY(B89,2)&gt;5,"Fin de semana","No laborable"))))</f>
        <v/>
      </c>
      <c r="R89" s="73" t="n"/>
      <c r="S89" s="72" t="n"/>
      <c r="T89" s="72" t="n"/>
      <c r="U89" s="74" t="n"/>
      <c r="V89" s="79" t="str">
        <f>IF(AND(D89="proMX",OR(R89="Submitted",R89="Recall Requested"),ISNUMBER(S89)),CFG_TODAY-INT(S89),"")</f>
        <v/>
      </c>
      <c r="W89" s="78" t="str">
        <f>IF(BD89=0,"",IF(BA89&gt;0,"⚠ Se superpone con un registro de la otra empresa",IF(D89="Malcolm",IF(COUNTA(R89,S89,T89)&gt;0,"Estado/fechas proMX se ignoran en Malcolm",""),IF(BF89="Cancelled","Cancelado: excluido de totales",IF(R89="","Sin estado: se trata como Draft",IF(BF89="Submitted",IF(ISNUMBER(V89),IF(V89&gt;CFG_MAXD,"⚠ "&amp;V89&amp;" días en Submitted (máx. "&amp;CFG_MAXD&amp;")",""),"Falta fecha de envío"),IF(BF89="Returned","⚠ Devuelto: corregir y reenviar",IF(BF89="Recall Requested","Retirada solicitada: pendiente",IF(AND(BF89="Approved",NOT(ISNUMBER(T89))),"Falta fecha de aprobación",IF(AND(ISNUMBER(S89),ISNUMBER(T89),T89&lt;S89),"Aprobación anterior al envío","")))))))))</f>
        <v/>
      </c>
      <c r="Y89" s="80">
        <f>IF(COUNTA(B89,D89,E89,F89,G89,H89,I89,J89,R89,S89,T89)&gt;0,1,0)</f>
        <v>0</v>
      </c>
      <c r="Z89" s="80" t="str">
        <f>IF(AND(ISNUMBER(H89),H89&gt;=0,H89&lt;1),ROUND(H89*1440,0),"")</f>
        <v/>
      </c>
      <c r="AA89" s="80" t="str">
        <f>IF(AND(ISNUMBER(I89),I89&gt;=0,I89&lt;1),ROUND(I89*1440,0),"")</f>
        <v/>
      </c>
      <c r="AB89" s="80">
        <f>IF(AND(ISNUMBER(B89),D89&lt;&gt;"",ISNUMBER(Z89),ISNUMBER(AA89)),IF(Z89=AA89,0,1),0)</f>
        <v>0</v>
      </c>
      <c r="AC89" s="80">
        <f>IF(AB89=1,IF(AA89&lt;Z89,1,0),0)</f>
        <v>0</v>
      </c>
      <c r="AD89" s="80">
        <f>IF(AB89=1,IF(AC89=1,1440-Z89+AA89,AA89-Z89),0)</f>
        <v>0</v>
      </c>
      <c r="AE89" s="80">
        <f>IF(J89="",0,IF(ISNUMBER(J89),J89,-1))</f>
        <v>0</v>
      </c>
      <c r="AF89" s="80">
        <f>MIN(MAX(0,AE89),AD89)</f>
        <v>0</v>
      </c>
      <c r="AG89" s="80">
        <f>MAX(0,AD89-MAX(0,AE89))</f>
        <v>0</v>
      </c>
      <c r="AH89" s="80">
        <f>IF(ISNUMBER(B89),IF(AND(INDEX(CFG_WDAYS,WEEKDAY(INT(B89),2))="Sí",IF(D89="proMX",COUNTIFS(FER_F,INT(B89),FER_NLP,"Sí"),COUNTIFS(FER_F,INT(B89),FER_NLM,"Sí"))=0),1,0),0)</f>
        <v>0</v>
      </c>
      <c r="AI89" s="80">
        <f>IF(AC89=1,IF(AND(INDEX(CFG_WDAYS,WEEKDAY(INT(B89)+1,2))="Sí",IF(D89="proMX",COUNTIFS(FER_F,INT(B89)+1,FER_NLP,"Sí"),COUNTIFS(FER_F,INT(B89)+1,FER_NLM,"Sí"))=0),1,0),0)</f>
        <v>0</v>
      </c>
      <c r="AJ89" s="80">
        <f>IF(AC89=1,1440-Z89,AD89)</f>
        <v>0</v>
      </c>
      <c r="AK89" s="80">
        <f>IF(AND(AB89=1,AH89=1),MAX(0,MIN(IF(AC89=1,1440,AA89),CFG_WEM)-MAX(Z89,CFG_WSM)),0)</f>
        <v>0</v>
      </c>
      <c r="AL89" s="80">
        <f>IF(AND(AC89=1,AI89=1),MAX(0,MIN(AA89,CFG_WEM)-CFG_WSM),0)</f>
        <v>0</v>
      </c>
      <c r="AM89" s="80">
        <f>AK89+AL89</f>
        <v>0</v>
      </c>
      <c r="AN89" s="80">
        <f>IF(CFG_BRK="Proporcional",IF(AD89=0,0,AF89*AM89/AD89),IF(CFG_BRK="Extras primero",MIN(AM89,MAX(0,AF89-(AD89-AM89))),MIN(AF89,AM89)))</f>
        <v>0</v>
      </c>
      <c r="AO89" s="80">
        <f>AF89-AN89</f>
        <v>0</v>
      </c>
      <c r="AP89" s="80">
        <f>AM89-AN89</f>
        <v>0</v>
      </c>
      <c r="AQ89" s="80">
        <f>AD89-AM89-AO89</f>
        <v>0</v>
      </c>
      <c r="AR89" s="80">
        <f>IF(AM89=0,0,AK89-AN89*AK89/AM89)</f>
        <v>0</v>
      </c>
      <c r="AS89" s="80">
        <f>IF(AD89-AM89=0,0,(AJ89-AK89)-AO89*(AJ89-AK89)/(AD89-AM89))</f>
        <v>0</v>
      </c>
      <c r="AT89" s="80" t="str">
        <f>IF(AC89=1,INT(B89)+1,"")</f>
        <v/>
      </c>
      <c r="AU89" s="80">
        <f>IF(AND(D89="proMX",R89="Cancelled"),0,1)</f>
        <v>1</v>
      </c>
      <c r="AV89" s="80">
        <f>IF(AND(AB89=1,AU89=1),IF(COUNTIFS($D$5:D88,D89,$B$5:B88,B89,$Z$5:Z88,Z89,$AA$5:AA88,AA89,$F$5:F88,F89&amp;"",$AU$5:AU88,1)&gt;0,1,0),0)</f>
        <v>0</v>
      </c>
      <c r="AW89" s="80" t="str">
        <f>IF(AB89=1,INT(B89)*1440+Z89,"")</f>
        <v/>
      </c>
      <c r="AX89" s="80" t="str">
        <f>IF(AB89=1,AW89+AD89,"")</f>
        <v/>
      </c>
      <c r="AY89" s="80">
        <f>IF(AND(AB89=1,AV89=0,AU89=1),1,0)</f>
        <v>0</v>
      </c>
      <c r="AZ89" s="80">
        <f>IF(AY89=1,COUNTIFS(R_Emp,D89,R_SAbs,"&lt;"&amp;AX89,R_EAbs,"&gt;"&amp;AW89,R_OKey,1)-1,0)</f>
        <v>0</v>
      </c>
      <c r="BA89" s="80">
        <f>IF(AY89=1,COUNTIFS(R_Emp,"&lt;&gt;"&amp;D89,R_SAbs,"&lt;"&amp;AX89,R_EAbs,"&gt;"&amp;AW89,R_OKey,1),0)</f>
        <v>0</v>
      </c>
      <c r="BB89" s="80">
        <f>IF(AND(AB89=1,D89="proMX"),IF(AND(MOD(Z89,CFG_BLK)=0,MOD(AA89,CFG_BLK)=0,MOD(AG89,CFG_BLK)=0,AG89&gt;0),1,0),1)</f>
        <v>1</v>
      </c>
      <c r="BC89" s="80" t="str">
        <f>IF(Y89=0,"",IF(NOT(ISNUMBER(B89)),"Falta fecha o fecha inválida",IF(D89="","Falta empresa",IF(AND(D89&lt;&gt;"Malcolm",D89&lt;&gt;"proMX"),"Empresa inválida",IF(OR(INT(B89)&lt;CFG_PSTART,INT(B89)&gt;CFG_PEND),"Fecha fuera del período",IF(OR(NOT(ISNUMBER(Z89)),NOT(ISNUMBER(AA89))),"Falta hora inicio/fin o formato inválido",IF(AB89=0,"Hora inicio = hora fin",IF(AE89&lt;0,"Descanso inválido",IF(AE89&gt;=AD89,"Descanso ≥ duración",IF(AV89=1,"Registro duplicado",IF(AZ89&gt;0,"Se superpone con otro registro "&amp;D89,IF(BB89=0,"inicio, fin y duración neta deben ser múltiplos de "&amp;CFG_BLK&amp;" min",""))))))))))))</f>
        <v/>
      </c>
      <c r="BD89" s="80">
        <f>IF(AND(Y89=1,BC89=""),1,0)</f>
        <v>0</v>
      </c>
      <c r="BE89" s="80">
        <f>IF(AND(BD89=1,AU89=1),1,0)</f>
        <v>0</v>
      </c>
      <c r="BF89" s="80" t="str">
        <f>IF(AND(D89="proMX",BD89=1),IF(R89="","Draft",R89),"")</f>
        <v/>
      </c>
      <c r="BG89" s="80">
        <f>IF(BD89=1,ROUND(AG89/60,6),0)</f>
        <v>0</v>
      </c>
      <c r="BH89" s="80">
        <f>IF(BE89=1,ROUND(AG89/60,6),0)</f>
        <v>0</v>
      </c>
      <c r="BI89" s="80">
        <f>IF(BE89=1,ROUND(AP89/60,6),0)</f>
        <v>0</v>
      </c>
      <c r="BJ89" s="80">
        <f>IF(BE89=1,ROUND(AQ89/60,6),0)</f>
        <v>0</v>
      </c>
      <c r="BK89" s="80">
        <f>IF(BE89=1,ROUND((AR89+AS89)/60,6),0)</f>
        <v>0</v>
      </c>
      <c r="BL89" s="80">
        <f>ROUND(BH89-BK89,6)</f>
        <v>0</v>
      </c>
      <c r="BM89" s="80">
        <f>IF(BE89=1,ROUND(AR89/60,6),0)</f>
        <v>0</v>
      </c>
      <c r="BN89" s="80">
        <f>ROUND(BI89-BM89,6)</f>
        <v>0</v>
      </c>
      <c r="BO89" s="80">
        <f>IF(BE89=1,ROUND(AS89/60,6),0)</f>
        <v>0</v>
      </c>
      <c r="BP89" s="80">
        <f>ROUND(BJ89-BO89,6)</f>
        <v>0</v>
      </c>
      <c r="BQ89" s="80">
        <f>IF(BE89=1,AW89,0)</f>
        <v>0</v>
      </c>
      <c r="BR89" s="80">
        <f>IF(BE89=1,AX89,0)</f>
        <v>0</v>
      </c>
      <c r="BS89" s="80">
        <f>IF(AND(BE89=1,D89="Malcolm",BA89&gt;0),MIN(BH89,SUMPRODUCT((R_Emp="proMX")*(R_EN&gt;0)*((R_EN-(R_EN&gt;BR89)*(R_EN-BR89))&gt;(R_SN+(R_SN&lt;BQ89)*(BQ89-R_SN)))*((R_EN-(R_EN&gt;BR89)*(R_EN-BR89))-(R_SN+(R_SN&lt;BQ89)*(BQ89-R_SN))))/60),0)</f>
        <v>0</v>
      </c>
      <c r="BT89" s="80">
        <f>IF(AND(BE89=1,D89="proMX"),ROUND(BI89*CFG_RATE+BJ89*CFG_OTRATE,6),0)</f>
        <v>0</v>
      </c>
      <c r="BU89" s="80">
        <f>IF(AND(BD89=1,D89="proMX"),ROUND(AG89/CFG_BLK,6),0)</f>
        <v>0</v>
      </c>
      <c r="BV89" s="80" t="str">
        <f>IF(BF89="Approved",IF(ISNUMBER(T89),INT(T89),INT(B89)),"")</f>
        <v/>
      </c>
      <c r="BW89" s="80">
        <f>IF(ISNUMBER(B89),IF(DB_MON="Todos",1,IF(AND(INT(B89)&gt;=DB_MS,INT(B89)&lt;=DB_ME),1,0)),0)</f>
        <v>0</v>
      </c>
      <c r="BX89" s="80">
        <f>IF(DB_PROJ="Todos",1,IF(E89&amp;""=DB_PROJ&amp;"",1,0))</f>
        <v>1</v>
      </c>
      <c r="BY89" s="80">
        <f>BW89*BX89</f>
        <v>0</v>
      </c>
      <c r="BZ89" s="80" t="str">
        <f>IF(Y89=1,F89&amp;IF(AND(F89&amp;""&lt;&gt;"",E89&amp;""&lt;&gt;"")," · ","")&amp;E89,"")</f>
        <v/>
      </c>
      <c r="CA89" s="80" t="str">
        <f>IF(AND(BD89=1,E89&amp;""&lt;&gt;""),IF(COUNTIFS($E$5:E88,E89,$BD$5:BD88,1)=0,MAX($CA$5:CA88)+1,""),"")</f>
        <v/>
      </c>
      <c r="CB89" s="80" t="str">
        <f>IF(AND(BE89=1,D89="Malcolm",E89&amp;""&lt;&gt;""),IF(COUNTIFS($D$5:D88,"Malcolm",$E$5:E88,E89,$BE$5:BE88,1)=0,MAX($CB$5:CB88)+1,""),"")</f>
        <v/>
      </c>
      <c r="CC89" s="80" t="str">
        <f>IF(AND(BD89=1,D89="proMX",E89&amp;""&lt;&gt;""),IF(COUNTIFS($D$5:D88,"proMX",$E$5:E88,E89,$BD$5:BD88,1)=0,MAX($CC$5:CC88)+1,""),"")</f>
        <v/>
      </c>
      <c r="CD89" s="80" t="str">
        <f>IF(AND(BE89=1,D89="Malcolm",F89&amp;""&lt;&gt;""),IF(COUNTIFS($D$5:D88,"Malcolm",$F$5:F88,F89,$BE$5:BE88,1)=0,MAX($CD$5:CD88)+1,""),"")</f>
        <v/>
      </c>
      <c r="CE89" s="80" t="str">
        <f>IF(AND(BD89=1,D89="proMX",F89&amp;""&lt;&gt;""),IF(COUNTIFS($D$5:D88,"proMX",$F$5:F88,F89,$BD$5:BD88,1)=0,MAX($CE$5:CE88)+1,""),"")</f>
        <v/>
      </c>
      <c r="CF89" s="80" t="str">
        <f>IF(AND(D89="proMX",BD89=1),IF(OR(BF89="Draft",BF89="Submitted",BF89="Returned",BF89="Recall Requested"),MAX($CF$5:CF88)+1,""),"")</f>
        <v/>
      </c>
      <c r="CG89" s="80">
        <f>IF(BD89=0,0,IF(D89="Malcolm",1,MATCH(BF89,{"Draft","Submitted","Approved","Returned","Recall Requested","Cancelled"},0)+1))</f>
        <v>0</v>
      </c>
      <c r="CH89" s="80">
        <f>IF(AND(BF89="Submitted",ISNUMBER(V89)),IF(V89&gt;CFG_MAXD,1,0),0)</f>
        <v>0</v>
      </c>
    </row>
    <row r="90">
      <c r="A90" s="71" t="str">
        <f>IF(Y90=1,ROW()-5,"")</f>
        <v/>
      </c>
      <c r="B90" s="72" t="n"/>
      <c r="C90" s="71" t="str">
        <f>IF(ISNUMBER(B90),CHOOSE(WEEKDAY(B90,2),"Lun","Mar","Mié","Jue","Vie","Sáb","Dom"),"")</f>
        <v/>
      </c>
      <c r="D90" s="73" t="n"/>
      <c r="E90" s="74" t="n"/>
      <c r="F90" s="74" t="n"/>
      <c r="G90" s="74" t="n"/>
      <c r="H90" s="75" t="n"/>
      <c r="I90" s="75" t="n"/>
      <c r="J90" s="76" t="n"/>
      <c r="K90" s="77" t="str">
        <f>IF(AB90=1,ROUND(AG90/60,4),"")</f>
        <v/>
      </c>
      <c r="L90" s="77" t="str">
        <f>IF(BD90=1,ROUND(AP90/60,4),"")</f>
        <v/>
      </c>
      <c r="M90" s="77" t="str">
        <f>IF(BD90=1,ROUND(AQ90/60,4),"")</f>
        <v/>
      </c>
      <c r="N90" s="71" t="str">
        <f>IF(AND(D90="proMX",AB90=1),ROUND(AG90/CFG_BLK,2),"")</f>
        <v/>
      </c>
      <c r="O90" s="77" t="str">
        <f>IF(D90="proMX",IF(BD90=1,ROUND(AG90/60,4),0),"")</f>
        <v/>
      </c>
      <c r="P90" s="78" t="str">
        <f>IF(Y90=0,"",IF(BD90=1,"OK",IF(D90="proMX","Revisar bloques: ","Revisar: ")&amp;BC90))</f>
        <v/>
      </c>
      <c r="Q90" s="78" t="str">
        <f>IF(NOT(ISNUMBER(B90)),"",IF(COUNTIFS(FER_F,INT(B90))&gt;0,"Feriado"&amp;IF(AH90=1," (laborable)"," (no laborable)"),IF(AH90=1,"Laborable",IF(WEEKDAY(B90,2)&gt;5,"Fin de semana","No laborable"))))</f>
        <v/>
      </c>
      <c r="R90" s="73" t="n"/>
      <c r="S90" s="72" t="n"/>
      <c r="T90" s="72" t="n"/>
      <c r="U90" s="74" t="n"/>
      <c r="V90" s="79" t="str">
        <f>IF(AND(D90="proMX",OR(R90="Submitted",R90="Recall Requested"),ISNUMBER(S90)),CFG_TODAY-INT(S90),"")</f>
        <v/>
      </c>
      <c r="W90" s="78" t="str">
        <f>IF(BD90=0,"",IF(BA90&gt;0,"⚠ Se superpone con un registro de la otra empresa",IF(D90="Malcolm",IF(COUNTA(R90,S90,T90)&gt;0,"Estado/fechas proMX se ignoran en Malcolm",""),IF(BF90="Cancelled","Cancelado: excluido de totales",IF(R90="","Sin estado: se trata como Draft",IF(BF90="Submitted",IF(ISNUMBER(V90),IF(V90&gt;CFG_MAXD,"⚠ "&amp;V90&amp;" días en Submitted (máx. "&amp;CFG_MAXD&amp;")",""),"Falta fecha de envío"),IF(BF90="Returned","⚠ Devuelto: corregir y reenviar",IF(BF90="Recall Requested","Retirada solicitada: pendiente",IF(AND(BF90="Approved",NOT(ISNUMBER(T90))),"Falta fecha de aprobación",IF(AND(ISNUMBER(S90),ISNUMBER(T90),T90&lt;S90),"Aprobación anterior al envío","")))))))))</f>
        <v/>
      </c>
      <c r="Y90" s="80">
        <f>IF(COUNTA(B90,D90,E90,F90,G90,H90,I90,J90,R90,S90,T90)&gt;0,1,0)</f>
        <v>0</v>
      </c>
      <c r="Z90" s="80" t="str">
        <f>IF(AND(ISNUMBER(H90),H90&gt;=0,H90&lt;1),ROUND(H90*1440,0),"")</f>
        <v/>
      </c>
      <c r="AA90" s="80" t="str">
        <f>IF(AND(ISNUMBER(I90),I90&gt;=0,I90&lt;1),ROUND(I90*1440,0),"")</f>
        <v/>
      </c>
      <c r="AB90" s="80">
        <f>IF(AND(ISNUMBER(B90),D90&lt;&gt;"",ISNUMBER(Z90),ISNUMBER(AA90)),IF(Z90=AA90,0,1),0)</f>
        <v>0</v>
      </c>
      <c r="AC90" s="80">
        <f>IF(AB90=1,IF(AA90&lt;Z90,1,0),0)</f>
        <v>0</v>
      </c>
      <c r="AD90" s="80">
        <f>IF(AB90=1,IF(AC90=1,1440-Z90+AA90,AA90-Z90),0)</f>
        <v>0</v>
      </c>
      <c r="AE90" s="80">
        <f>IF(J90="",0,IF(ISNUMBER(J90),J90,-1))</f>
        <v>0</v>
      </c>
      <c r="AF90" s="80">
        <f>MIN(MAX(0,AE90),AD90)</f>
        <v>0</v>
      </c>
      <c r="AG90" s="80">
        <f>MAX(0,AD90-MAX(0,AE90))</f>
        <v>0</v>
      </c>
      <c r="AH90" s="80">
        <f>IF(ISNUMBER(B90),IF(AND(INDEX(CFG_WDAYS,WEEKDAY(INT(B90),2))="Sí",IF(D90="proMX",COUNTIFS(FER_F,INT(B90),FER_NLP,"Sí"),COUNTIFS(FER_F,INT(B90),FER_NLM,"Sí"))=0),1,0),0)</f>
        <v>0</v>
      </c>
      <c r="AI90" s="80">
        <f>IF(AC90=1,IF(AND(INDEX(CFG_WDAYS,WEEKDAY(INT(B90)+1,2))="Sí",IF(D90="proMX",COUNTIFS(FER_F,INT(B90)+1,FER_NLP,"Sí"),COUNTIFS(FER_F,INT(B90)+1,FER_NLM,"Sí"))=0),1,0),0)</f>
        <v>0</v>
      </c>
      <c r="AJ90" s="80">
        <f>IF(AC90=1,1440-Z90,AD90)</f>
        <v>0</v>
      </c>
      <c r="AK90" s="80">
        <f>IF(AND(AB90=1,AH90=1),MAX(0,MIN(IF(AC90=1,1440,AA90),CFG_WEM)-MAX(Z90,CFG_WSM)),0)</f>
        <v>0</v>
      </c>
      <c r="AL90" s="80">
        <f>IF(AND(AC90=1,AI90=1),MAX(0,MIN(AA90,CFG_WEM)-CFG_WSM),0)</f>
        <v>0</v>
      </c>
      <c r="AM90" s="80">
        <f>AK90+AL90</f>
        <v>0</v>
      </c>
      <c r="AN90" s="80">
        <f>IF(CFG_BRK="Proporcional",IF(AD90=0,0,AF90*AM90/AD90),IF(CFG_BRK="Extras primero",MIN(AM90,MAX(0,AF90-(AD90-AM90))),MIN(AF90,AM90)))</f>
        <v>0</v>
      </c>
      <c r="AO90" s="80">
        <f>AF90-AN90</f>
        <v>0</v>
      </c>
      <c r="AP90" s="80">
        <f>AM90-AN90</f>
        <v>0</v>
      </c>
      <c r="AQ90" s="80">
        <f>AD90-AM90-AO90</f>
        <v>0</v>
      </c>
      <c r="AR90" s="80">
        <f>IF(AM90=0,0,AK90-AN90*AK90/AM90)</f>
        <v>0</v>
      </c>
      <c r="AS90" s="80">
        <f>IF(AD90-AM90=0,0,(AJ90-AK90)-AO90*(AJ90-AK90)/(AD90-AM90))</f>
        <v>0</v>
      </c>
      <c r="AT90" s="80" t="str">
        <f>IF(AC90=1,INT(B90)+1,"")</f>
        <v/>
      </c>
      <c r="AU90" s="80">
        <f>IF(AND(D90="proMX",R90="Cancelled"),0,1)</f>
        <v>1</v>
      </c>
      <c r="AV90" s="80">
        <f>IF(AND(AB90=1,AU90=1),IF(COUNTIFS($D$5:D89,D90,$B$5:B89,B90,$Z$5:Z89,Z90,$AA$5:AA89,AA90,$F$5:F89,F90&amp;"",$AU$5:AU89,1)&gt;0,1,0),0)</f>
        <v>0</v>
      </c>
      <c r="AW90" s="80" t="str">
        <f>IF(AB90=1,INT(B90)*1440+Z90,"")</f>
        <v/>
      </c>
      <c r="AX90" s="80" t="str">
        <f>IF(AB90=1,AW90+AD90,"")</f>
        <v/>
      </c>
      <c r="AY90" s="80">
        <f>IF(AND(AB90=1,AV90=0,AU90=1),1,0)</f>
        <v>0</v>
      </c>
      <c r="AZ90" s="80">
        <f>IF(AY90=1,COUNTIFS(R_Emp,D90,R_SAbs,"&lt;"&amp;AX90,R_EAbs,"&gt;"&amp;AW90,R_OKey,1)-1,0)</f>
        <v>0</v>
      </c>
      <c r="BA90" s="80">
        <f>IF(AY90=1,COUNTIFS(R_Emp,"&lt;&gt;"&amp;D90,R_SAbs,"&lt;"&amp;AX90,R_EAbs,"&gt;"&amp;AW90,R_OKey,1),0)</f>
        <v>0</v>
      </c>
      <c r="BB90" s="80">
        <f>IF(AND(AB90=1,D90="proMX"),IF(AND(MOD(Z90,CFG_BLK)=0,MOD(AA90,CFG_BLK)=0,MOD(AG90,CFG_BLK)=0,AG90&gt;0),1,0),1)</f>
        <v>1</v>
      </c>
      <c r="BC90" s="80" t="str">
        <f>IF(Y90=0,"",IF(NOT(ISNUMBER(B90)),"Falta fecha o fecha inválida",IF(D90="","Falta empresa",IF(AND(D90&lt;&gt;"Malcolm",D90&lt;&gt;"proMX"),"Empresa inválida",IF(OR(INT(B90)&lt;CFG_PSTART,INT(B90)&gt;CFG_PEND),"Fecha fuera del período",IF(OR(NOT(ISNUMBER(Z90)),NOT(ISNUMBER(AA90))),"Falta hora inicio/fin o formato inválido",IF(AB90=0,"Hora inicio = hora fin",IF(AE90&lt;0,"Descanso inválido",IF(AE90&gt;=AD90,"Descanso ≥ duración",IF(AV90=1,"Registro duplicado",IF(AZ90&gt;0,"Se superpone con otro registro "&amp;D90,IF(BB90=0,"inicio, fin y duración neta deben ser múltiplos de "&amp;CFG_BLK&amp;" min",""))))))))))))</f>
        <v/>
      </c>
      <c r="BD90" s="80">
        <f>IF(AND(Y90=1,BC90=""),1,0)</f>
        <v>0</v>
      </c>
      <c r="BE90" s="80">
        <f>IF(AND(BD90=1,AU90=1),1,0)</f>
        <v>0</v>
      </c>
      <c r="BF90" s="80" t="str">
        <f>IF(AND(D90="proMX",BD90=1),IF(R90="","Draft",R90),"")</f>
        <v/>
      </c>
      <c r="BG90" s="80">
        <f>IF(BD90=1,ROUND(AG90/60,6),0)</f>
        <v>0</v>
      </c>
      <c r="BH90" s="80">
        <f>IF(BE90=1,ROUND(AG90/60,6),0)</f>
        <v>0</v>
      </c>
      <c r="BI90" s="80">
        <f>IF(BE90=1,ROUND(AP90/60,6),0)</f>
        <v>0</v>
      </c>
      <c r="BJ90" s="80">
        <f>IF(BE90=1,ROUND(AQ90/60,6),0)</f>
        <v>0</v>
      </c>
      <c r="BK90" s="80">
        <f>IF(BE90=1,ROUND((AR90+AS90)/60,6),0)</f>
        <v>0</v>
      </c>
      <c r="BL90" s="80">
        <f>ROUND(BH90-BK90,6)</f>
        <v>0</v>
      </c>
      <c r="BM90" s="80">
        <f>IF(BE90=1,ROUND(AR90/60,6),0)</f>
        <v>0</v>
      </c>
      <c r="BN90" s="80">
        <f>ROUND(BI90-BM90,6)</f>
        <v>0</v>
      </c>
      <c r="BO90" s="80">
        <f>IF(BE90=1,ROUND(AS90/60,6),0)</f>
        <v>0</v>
      </c>
      <c r="BP90" s="80">
        <f>ROUND(BJ90-BO90,6)</f>
        <v>0</v>
      </c>
      <c r="BQ90" s="80">
        <f>IF(BE90=1,AW90,0)</f>
        <v>0</v>
      </c>
      <c r="BR90" s="80">
        <f>IF(BE90=1,AX90,0)</f>
        <v>0</v>
      </c>
      <c r="BS90" s="80">
        <f>IF(AND(BE90=1,D90="Malcolm",BA90&gt;0),MIN(BH90,SUMPRODUCT((R_Emp="proMX")*(R_EN&gt;0)*((R_EN-(R_EN&gt;BR90)*(R_EN-BR90))&gt;(R_SN+(R_SN&lt;BQ90)*(BQ90-R_SN)))*((R_EN-(R_EN&gt;BR90)*(R_EN-BR90))-(R_SN+(R_SN&lt;BQ90)*(BQ90-R_SN))))/60),0)</f>
        <v>0</v>
      </c>
      <c r="BT90" s="80">
        <f>IF(AND(BE90=1,D90="proMX"),ROUND(BI90*CFG_RATE+BJ90*CFG_OTRATE,6),0)</f>
        <v>0</v>
      </c>
      <c r="BU90" s="80">
        <f>IF(AND(BD90=1,D90="proMX"),ROUND(AG90/CFG_BLK,6),0)</f>
        <v>0</v>
      </c>
      <c r="BV90" s="80" t="str">
        <f>IF(BF90="Approved",IF(ISNUMBER(T90),INT(T90),INT(B90)),"")</f>
        <v/>
      </c>
      <c r="BW90" s="80">
        <f>IF(ISNUMBER(B90),IF(DB_MON="Todos",1,IF(AND(INT(B90)&gt;=DB_MS,INT(B90)&lt;=DB_ME),1,0)),0)</f>
        <v>0</v>
      </c>
      <c r="BX90" s="80">
        <f>IF(DB_PROJ="Todos",1,IF(E90&amp;""=DB_PROJ&amp;"",1,0))</f>
        <v>1</v>
      </c>
      <c r="BY90" s="80">
        <f>BW90*BX90</f>
        <v>0</v>
      </c>
      <c r="BZ90" s="80" t="str">
        <f>IF(Y90=1,F90&amp;IF(AND(F90&amp;""&lt;&gt;"",E90&amp;""&lt;&gt;"")," · ","")&amp;E90,"")</f>
        <v/>
      </c>
      <c r="CA90" s="80" t="str">
        <f>IF(AND(BD90=1,E90&amp;""&lt;&gt;""),IF(COUNTIFS($E$5:E89,E90,$BD$5:BD89,1)=0,MAX($CA$5:CA89)+1,""),"")</f>
        <v/>
      </c>
      <c r="CB90" s="80" t="str">
        <f>IF(AND(BE90=1,D90="Malcolm",E90&amp;""&lt;&gt;""),IF(COUNTIFS($D$5:D89,"Malcolm",$E$5:E89,E90,$BE$5:BE89,1)=0,MAX($CB$5:CB89)+1,""),"")</f>
        <v/>
      </c>
      <c r="CC90" s="80" t="str">
        <f>IF(AND(BD90=1,D90="proMX",E90&amp;""&lt;&gt;""),IF(COUNTIFS($D$5:D89,"proMX",$E$5:E89,E90,$BD$5:BD89,1)=0,MAX($CC$5:CC89)+1,""),"")</f>
        <v/>
      </c>
      <c r="CD90" s="80" t="str">
        <f>IF(AND(BE90=1,D90="Malcolm",F90&amp;""&lt;&gt;""),IF(COUNTIFS($D$5:D89,"Malcolm",$F$5:F89,F90,$BE$5:BE89,1)=0,MAX($CD$5:CD89)+1,""),"")</f>
        <v/>
      </c>
      <c r="CE90" s="80" t="str">
        <f>IF(AND(BD90=1,D90="proMX",F90&amp;""&lt;&gt;""),IF(COUNTIFS($D$5:D89,"proMX",$F$5:F89,F90,$BD$5:BD89,1)=0,MAX($CE$5:CE89)+1,""),"")</f>
        <v/>
      </c>
      <c r="CF90" s="80" t="str">
        <f>IF(AND(D90="proMX",BD90=1),IF(OR(BF90="Draft",BF90="Submitted",BF90="Returned",BF90="Recall Requested"),MAX($CF$5:CF89)+1,""),"")</f>
        <v/>
      </c>
      <c r="CG90" s="80">
        <f>IF(BD90=0,0,IF(D90="Malcolm",1,MATCH(BF90,{"Draft","Submitted","Approved","Returned","Recall Requested","Cancelled"},0)+1))</f>
        <v>0</v>
      </c>
      <c r="CH90" s="80">
        <f>IF(AND(BF90="Submitted",ISNUMBER(V90)),IF(V90&gt;CFG_MAXD,1,0),0)</f>
        <v>0</v>
      </c>
    </row>
    <row r="91">
      <c r="A91" s="71" t="str">
        <f>IF(Y91=1,ROW()-5,"")</f>
        <v/>
      </c>
      <c r="B91" s="72" t="n"/>
      <c r="C91" s="71" t="str">
        <f>IF(ISNUMBER(B91),CHOOSE(WEEKDAY(B91,2),"Lun","Mar","Mié","Jue","Vie","Sáb","Dom"),"")</f>
        <v/>
      </c>
      <c r="D91" s="73" t="n"/>
      <c r="E91" s="74" t="n"/>
      <c r="F91" s="74" t="n"/>
      <c r="G91" s="74" t="n"/>
      <c r="H91" s="75" t="n"/>
      <c r="I91" s="75" t="n"/>
      <c r="J91" s="76" t="n"/>
      <c r="K91" s="77" t="str">
        <f>IF(AB91=1,ROUND(AG91/60,4),"")</f>
        <v/>
      </c>
      <c r="L91" s="77" t="str">
        <f>IF(BD91=1,ROUND(AP91/60,4),"")</f>
        <v/>
      </c>
      <c r="M91" s="77" t="str">
        <f>IF(BD91=1,ROUND(AQ91/60,4),"")</f>
        <v/>
      </c>
      <c r="N91" s="71" t="str">
        <f>IF(AND(D91="proMX",AB91=1),ROUND(AG91/CFG_BLK,2),"")</f>
        <v/>
      </c>
      <c r="O91" s="77" t="str">
        <f>IF(D91="proMX",IF(BD91=1,ROUND(AG91/60,4),0),"")</f>
        <v/>
      </c>
      <c r="P91" s="78" t="str">
        <f>IF(Y91=0,"",IF(BD91=1,"OK",IF(D91="proMX","Revisar bloques: ","Revisar: ")&amp;BC91))</f>
        <v/>
      </c>
      <c r="Q91" s="78" t="str">
        <f>IF(NOT(ISNUMBER(B91)),"",IF(COUNTIFS(FER_F,INT(B91))&gt;0,"Feriado"&amp;IF(AH91=1," (laborable)"," (no laborable)"),IF(AH91=1,"Laborable",IF(WEEKDAY(B91,2)&gt;5,"Fin de semana","No laborable"))))</f>
        <v/>
      </c>
      <c r="R91" s="73" t="n"/>
      <c r="S91" s="72" t="n"/>
      <c r="T91" s="72" t="n"/>
      <c r="U91" s="74" t="n"/>
      <c r="V91" s="79" t="str">
        <f>IF(AND(D91="proMX",OR(R91="Submitted",R91="Recall Requested"),ISNUMBER(S91)),CFG_TODAY-INT(S91),"")</f>
        <v/>
      </c>
      <c r="W91" s="78" t="str">
        <f>IF(BD91=0,"",IF(BA91&gt;0,"⚠ Se superpone con un registro de la otra empresa",IF(D91="Malcolm",IF(COUNTA(R91,S91,T91)&gt;0,"Estado/fechas proMX se ignoran en Malcolm",""),IF(BF91="Cancelled","Cancelado: excluido de totales",IF(R91="","Sin estado: se trata como Draft",IF(BF91="Submitted",IF(ISNUMBER(V91),IF(V91&gt;CFG_MAXD,"⚠ "&amp;V91&amp;" días en Submitted (máx. "&amp;CFG_MAXD&amp;")",""),"Falta fecha de envío"),IF(BF91="Returned","⚠ Devuelto: corregir y reenviar",IF(BF91="Recall Requested","Retirada solicitada: pendiente",IF(AND(BF91="Approved",NOT(ISNUMBER(T91))),"Falta fecha de aprobación",IF(AND(ISNUMBER(S91),ISNUMBER(T91),T91&lt;S91),"Aprobación anterior al envío","")))))))))</f>
        <v/>
      </c>
      <c r="Y91" s="80">
        <f>IF(COUNTA(B91,D91,E91,F91,G91,H91,I91,J91,R91,S91,T91)&gt;0,1,0)</f>
        <v>0</v>
      </c>
      <c r="Z91" s="80" t="str">
        <f>IF(AND(ISNUMBER(H91),H91&gt;=0,H91&lt;1),ROUND(H91*1440,0),"")</f>
        <v/>
      </c>
      <c r="AA91" s="80" t="str">
        <f>IF(AND(ISNUMBER(I91),I91&gt;=0,I91&lt;1),ROUND(I91*1440,0),"")</f>
        <v/>
      </c>
      <c r="AB91" s="80">
        <f>IF(AND(ISNUMBER(B91),D91&lt;&gt;"",ISNUMBER(Z91),ISNUMBER(AA91)),IF(Z91=AA91,0,1),0)</f>
        <v>0</v>
      </c>
      <c r="AC91" s="80">
        <f>IF(AB91=1,IF(AA91&lt;Z91,1,0),0)</f>
        <v>0</v>
      </c>
      <c r="AD91" s="80">
        <f>IF(AB91=1,IF(AC91=1,1440-Z91+AA91,AA91-Z91),0)</f>
        <v>0</v>
      </c>
      <c r="AE91" s="80">
        <f>IF(J91="",0,IF(ISNUMBER(J91),J91,-1))</f>
        <v>0</v>
      </c>
      <c r="AF91" s="80">
        <f>MIN(MAX(0,AE91),AD91)</f>
        <v>0</v>
      </c>
      <c r="AG91" s="80">
        <f>MAX(0,AD91-MAX(0,AE91))</f>
        <v>0</v>
      </c>
      <c r="AH91" s="80">
        <f>IF(ISNUMBER(B91),IF(AND(INDEX(CFG_WDAYS,WEEKDAY(INT(B91),2))="Sí",IF(D91="proMX",COUNTIFS(FER_F,INT(B91),FER_NLP,"Sí"),COUNTIFS(FER_F,INT(B91),FER_NLM,"Sí"))=0),1,0),0)</f>
        <v>0</v>
      </c>
      <c r="AI91" s="80">
        <f>IF(AC91=1,IF(AND(INDEX(CFG_WDAYS,WEEKDAY(INT(B91)+1,2))="Sí",IF(D91="proMX",COUNTIFS(FER_F,INT(B91)+1,FER_NLP,"Sí"),COUNTIFS(FER_F,INT(B91)+1,FER_NLM,"Sí"))=0),1,0),0)</f>
        <v>0</v>
      </c>
      <c r="AJ91" s="80">
        <f>IF(AC91=1,1440-Z91,AD91)</f>
        <v>0</v>
      </c>
      <c r="AK91" s="80">
        <f>IF(AND(AB91=1,AH91=1),MAX(0,MIN(IF(AC91=1,1440,AA91),CFG_WEM)-MAX(Z91,CFG_WSM)),0)</f>
        <v>0</v>
      </c>
      <c r="AL91" s="80">
        <f>IF(AND(AC91=1,AI91=1),MAX(0,MIN(AA91,CFG_WEM)-CFG_WSM),0)</f>
        <v>0</v>
      </c>
      <c r="AM91" s="80">
        <f>AK91+AL91</f>
        <v>0</v>
      </c>
      <c r="AN91" s="80">
        <f>IF(CFG_BRK="Proporcional",IF(AD91=0,0,AF91*AM91/AD91),IF(CFG_BRK="Extras primero",MIN(AM91,MAX(0,AF91-(AD91-AM91))),MIN(AF91,AM91)))</f>
        <v>0</v>
      </c>
      <c r="AO91" s="80">
        <f>AF91-AN91</f>
        <v>0</v>
      </c>
      <c r="AP91" s="80">
        <f>AM91-AN91</f>
        <v>0</v>
      </c>
      <c r="AQ91" s="80">
        <f>AD91-AM91-AO91</f>
        <v>0</v>
      </c>
      <c r="AR91" s="80">
        <f>IF(AM91=0,0,AK91-AN91*AK91/AM91)</f>
        <v>0</v>
      </c>
      <c r="AS91" s="80">
        <f>IF(AD91-AM91=0,0,(AJ91-AK91)-AO91*(AJ91-AK91)/(AD91-AM91))</f>
        <v>0</v>
      </c>
      <c r="AT91" s="80" t="str">
        <f>IF(AC91=1,INT(B91)+1,"")</f>
        <v/>
      </c>
      <c r="AU91" s="80">
        <f>IF(AND(D91="proMX",R91="Cancelled"),0,1)</f>
        <v>1</v>
      </c>
      <c r="AV91" s="80">
        <f>IF(AND(AB91=1,AU91=1),IF(COUNTIFS($D$5:D90,D91,$B$5:B90,B91,$Z$5:Z90,Z91,$AA$5:AA90,AA91,$F$5:F90,F91&amp;"",$AU$5:AU90,1)&gt;0,1,0),0)</f>
        <v>0</v>
      </c>
      <c r="AW91" s="80" t="str">
        <f>IF(AB91=1,INT(B91)*1440+Z91,"")</f>
        <v/>
      </c>
      <c r="AX91" s="80" t="str">
        <f>IF(AB91=1,AW91+AD91,"")</f>
        <v/>
      </c>
      <c r="AY91" s="80">
        <f>IF(AND(AB91=1,AV91=0,AU91=1),1,0)</f>
        <v>0</v>
      </c>
      <c r="AZ91" s="80">
        <f>IF(AY91=1,COUNTIFS(R_Emp,D91,R_SAbs,"&lt;"&amp;AX91,R_EAbs,"&gt;"&amp;AW91,R_OKey,1)-1,0)</f>
        <v>0</v>
      </c>
      <c r="BA91" s="80">
        <f>IF(AY91=1,COUNTIFS(R_Emp,"&lt;&gt;"&amp;D91,R_SAbs,"&lt;"&amp;AX91,R_EAbs,"&gt;"&amp;AW91,R_OKey,1),0)</f>
        <v>0</v>
      </c>
      <c r="BB91" s="80">
        <f>IF(AND(AB91=1,D91="proMX"),IF(AND(MOD(Z91,CFG_BLK)=0,MOD(AA91,CFG_BLK)=0,MOD(AG91,CFG_BLK)=0,AG91&gt;0),1,0),1)</f>
        <v>1</v>
      </c>
      <c r="BC91" s="80" t="str">
        <f>IF(Y91=0,"",IF(NOT(ISNUMBER(B91)),"Falta fecha o fecha inválida",IF(D91="","Falta empresa",IF(AND(D91&lt;&gt;"Malcolm",D91&lt;&gt;"proMX"),"Empresa inválida",IF(OR(INT(B91)&lt;CFG_PSTART,INT(B91)&gt;CFG_PEND),"Fecha fuera del período",IF(OR(NOT(ISNUMBER(Z91)),NOT(ISNUMBER(AA91))),"Falta hora inicio/fin o formato inválido",IF(AB91=0,"Hora inicio = hora fin",IF(AE91&lt;0,"Descanso inválido",IF(AE91&gt;=AD91,"Descanso ≥ duración",IF(AV91=1,"Registro duplicado",IF(AZ91&gt;0,"Se superpone con otro registro "&amp;D91,IF(BB91=0,"inicio, fin y duración neta deben ser múltiplos de "&amp;CFG_BLK&amp;" min",""))))))))))))</f>
        <v/>
      </c>
      <c r="BD91" s="80">
        <f>IF(AND(Y91=1,BC91=""),1,0)</f>
        <v>0</v>
      </c>
      <c r="BE91" s="80">
        <f>IF(AND(BD91=1,AU91=1),1,0)</f>
        <v>0</v>
      </c>
      <c r="BF91" s="80" t="str">
        <f>IF(AND(D91="proMX",BD91=1),IF(R91="","Draft",R91),"")</f>
        <v/>
      </c>
      <c r="BG91" s="80">
        <f>IF(BD91=1,ROUND(AG91/60,6),0)</f>
        <v>0</v>
      </c>
      <c r="BH91" s="80">
        <f>IF(BE91=1,ROUND(AG91/60,6),0)</f>
        <v>0</v>
      </c>
      <c r="BI91" s="80">
        <f>IF(BE91=1,ROUND(AP91/60,6),0)</f>
        <v>0</v>
      </c>
      <c r="BJ91" s="80">
        <f>IF(BE91=1,ROUND(AQ91/60,6),0)</f>
        <v>0</v>
      </c>
      <c r="BK91" s="80">
        <f>IF(BE91=1,ROUND((AR91+AS91)/60,6),0)</f>
        <v>0</v>
      </c>
      <c r="BL91" s="80">
        <f>ROUND(BH91-BK91,6)</f>
        <v>0</v>
      </c>
      <c r="BM91" s="80">
        <f>IF(BE91=1,ROUND(AR91/60,6),0)</f>
        <v>0</v>
      </c>
      <c r="BN91" s="80">
        <f>ROUND(BI91-BM91,6)</f>
        <v>0</v>
      </c>
      <c r="BO91" s="80">
        <f>IF(BE91=1,ROUND(AS91/60,6),0)</f>
        <v>0</v>
      </c>
      <c r="BP91" s="80">
        <f>ROUND(BJ91-BO91,6)</f>
        <v>0</v>
      </c>
      <c r="BQ91" s="80">
        <f>IF(BE91=1,AW91,0)</f>
        <v>0</v>
      </c>
      <c r="BR91" s="80">
        <f>IF(BE91=1,AX91,0)</f>
        <v>0</v>
      </c>
      <c r="BS91" s="80">
        <f>IF(AND(BE91=1,D91="Malcolm",BA91&gt;0),MIN(BH91,SUMPRODUCT((R_Emp="proMX")*(R_EN&gt;0)*((R_EN-(R_EN&gt;BR91)*(R_EN-BR91))&gt;(R_SN+(R_SN&lt;BQ91)*(BQ91-R_SN)))*((R_EN-(R_EN&gt;BR91)*(R_EN-BR91))-(R_SN+(R_SN&lt;BQ91)*(BQ91-R_SN))))/60),0)</f>
        <v>0</v>
      </c>
      <c r="BT91" s="80">
        <f>IF(AND(BE91=1,D91="proMX"),ROUND(BI91*CFG_RATE+BJ91*CFG_OTRATE,6),0)</f>
        <v>0</v>
      </c>
      <c r="BU91" s="80">
        <f>IF(AND(BD91=1,D91="proMX"),ROUND(AG91/CFG_BLK,6),0)</f>
        <v>0</v>
      </c>
      <c r="BV91" s="80" t="str">
        <f>IF(BF91="Approved",IF(ISNUMBER(T91),INT(T91),INT(B91)),"")</f>
        <v/>
      </c>
      <c r="BW91" s="80">
        <f>IF(ISNUMBER(B91),IF(DB_MON="Todos",1,IF(AND(INT(B91)&gt;=DB_MS,INT(B91)&lt;=DB_ME),1,0)),0)</f>
        <v>0</v>
      </c>
      <c r="BX91" s="80">
        <f>IF(DB_PROJ="Todos",1,IF(E91&amp;""=DB_PROJ&amp;"",1,0))</f>
        <v>1</v>
      </c>
      <c r="BY91" s="80">
        <f>BW91*BX91</f>
        <v>0</v>
      </c>
      <c r="BZ91" s="80" t="str">
        <f>IF(Y91=1,F91&amp;IF(AND(F91&amp;""&lt;&gt;"",E91&amp;""&lt;&gt;"")," · ","")&amp;E91,"")</f>
        <v/>
      </c>
      <c r="CA91" s="80" t="str">
        <f>IF(AND(BD91=1,E91&amp;""&lt;&gt;""),IF(COUNTIFS($E$5:E90,E91,$BD$5:BD90,1)=0,MAX($CA$5:CA90)+1,""),"")</f>
        <v/>
      </c>
      <c r="CB91" s="80" t="str">
        <f>IF(AND(BE91=1,D91="Malcolm",E91&amp;""&lt;&gt;""),IF(COUNTIFS($D$5:D90,"Malcolm",$E$5:E90,E91,$BE$5:BE90,1)=0,MAX($CB$5:CB90)+1,""),"")</f>
        <v/>
      </c>
      <c r="CC91" s="80" t="str">
        <f>IF(AND(BD91=1,D91="proMX",E91&amp;""&lt;&gt;""),IF(COUNTIFS($D$5:D90,"proMX",$E$5:E90,E91,$BD$5:BD90,1)=0,MAX($CC$5:CC90)+1,""),"")</f>
        <v/>
      </c>
      <c r="CD91" s="80" t="str">
        <f>IF(AND(BE91=1,D91="Malcolm",F91&amp;""&lt;&gt;""),IF(COUNTIFS($D$5:D90,"Malcolm",$F$5:F90,F91,$BE$5:BE90,1)=0,MAX($CD$5:CD90)+1,""),"")</f>
        <v/>
      </c>
      <c r="CE91" s="80" t="str">
        <f>IF(AND(BD91=1,D91="proMX",F91&amp;""&lt;&gt;""),IF(COUNTIFS($D$5:D90,"proMX",$F$5:F90,F91,$BD$5:BD90,1)=0,MAX($CE$5:CE90)+1,""),"")</f>
        <v/>
      </c>
      <c r="CF91" s="80" t="str">
        <f>IF(AND(D91="proMX",BD91=1),IF(OR(BF91="Draft",BF91="Submitted",BF91="Returned",BF91="Recall Requested"),MAX($CF$5:CF90)+1,""),"")</f>
        <v/>
      </c>
      <c r="CG91" s="80">
        <f>IF(BD91=0,0,IF(D91="Malcolm",1,MATCH(BF91,{"Draft","Submitted","Approved","Returned","Recall Requested","Cancelled"},0)+1))</f>
        <v>0</v>
      </c>
      <c r="CH91" s="80">
        <f>IF(AND(BF91="Submitted",ISNUMBER(V91)),IF(V91&gt;CFG_MAXD,1,0),0)</f>
        <v>0</v>
      </c>
    </row>
    <row r="92">
      <c r="A92" s="71" t="str">
        <f>IF(Y92=1,ROW()-5,"")</f>
        <v/>
      </c>
      <c r="B92" s="72" t="n"/>
      <c r="C92" s="71" t="str">
        <f>IF(ISNUMBER(B92),CHOOSE(WEEKDAY(B92,2),"Lun","Mar","Mié","Jue","Vie","Sáb","Dom"),"")</f>
        <v/>
      </c>
      <c r="D92" s="73" t="n"/>
      <c r="E92" s="74" t="n"/>
      <c r="F92" s="74" t="n"/>
      <c r="G92" s="74" t="n"/>
      <c r="H92" s="75" t="n"/>
      <c r="I92" s="75" t="n"/>
      <c r="J92" s="76" t="n"/>
      <c r="K92" s="77" t="str">
        <f>IF(AB92=1,ROUND(AG92/60,4),"")</f>
        <v/>
      </c>
      <c r="L92" s="77" t="str">
        <f>IF(BD92=1,ROUND(AP92/60,4),"")</f>
        <v/>
      </c>
      <c r="M92" s="77" t="str">
        <f>IF(BD92=1,ROUND(AQ92/60,4),"")</f>
        <v/>
      </c>
      <c r="N92" s="71" t="str">
        <f>IF(AND(D92="proMX",AB92=1),ROUND(AG92/CFG_BLK,2),"")</f>
        <v/>
      </c>
      <c r="O92" s="77" t="str">
        <f>IF(D92="proMX",IF(BD92=1,ROUND(AG92/60,4),0),"")</f>
        <v/>
      </c>
      <c r="P92" s="78" t="str">
        <f>IF(Y92=0,"",IF(BD92=1,"OK",IF(D92="proMX","Revisar bloques: ","Revisar: ")&amp;BC92))</f>
        <v/>
      </c>
      <c r="Q92" s="78" t="str">
        <f>IF(NOT(ISNUMBER(B92)),"",IF(COUNTIFS(FER_F,INT(B92))&gt;0,"Feriado"&amp;IF(AH92=1," (laborable)"," (no laborable)"),IF(AH92=1,"Laborable",IF(WEEKDAY(B92,2)&gt;5,"Fin de semana","No laborable"))))</f>
        <v/>
      </c>
      <c r="R92" s="73" t="n"/>
      <c r="S92" s="72" t="n"/>
      <c r="T92" s="72" t="n"/>
      <c r="U92" s="74" t="n"/>
      <c r="V92" s="79" t="str">
        <f>IF(AND(D92="proMX",OR(R92="Submitted",R92="Recall Requested"),ISNUMBER(S92)),CFG_TODAY-INT(S92),"")</f>
        <v/>
      </c>
      <c r="W92" s="78" t="str">
        <f>IF(BD92=0,"",IF(BA92&gt;0,"⚠ Se superpone con un registro de la otra empresa",IF(D92="Malcolm",IF(COUNTA(R92,S92,T92)&gt;0,"Estado/fechas proMX se ignoran en Malcolm",""),IF(BF92="Cancelled","Cancelado: excluido de totales",IF(R92="","Sin estado: se trata como Draft",IF(BF92="Submitted",IF(ISNUMBER(V92),IF(V92&gt;CFG_MAXD,"⚠ "&amp;V92&amp;" días en Submitted (máx. "&amp;CFG_MAXD&amp;")",""),"Falta fecha de envío"),IF(BF92="Returned","⚠ Devuelto: corregir y reenviar",IF(BF92="Recall Requested","Retirada solicitada: pendiente",IF(AND(BF92="Approved",NOT(ISNUMBER(T92))),"Falta fecha de aprobación",IF(AND(ISNUMBER(S92),ISNUMBER(T92),T92&lt;S92),"Aprobación anterior al envío","")))))))))</f>
        <v/>
      </c>
      <c r="Y92" s="80">
        <f>IF(COUNTA(B92,D92,E92,F92,G92,H92,I92,J92,R92,S92,T92)&gt;0,1,0)</f>
        <v>0</v>
      </c>
      <c r="Z92" s="80" t="str">
        <f>IF(AND(ISNUMBER(H92),H92&gt;=0,H92&lt;1),ROUND(H92*1440,0),"")</f>
        <v/>
      </c>
      <c r="AA92" s="80" t="str">
        <f>IF(AND(ISNUMBER(I92),I92&gt;=0,I92&lt;1),ROUND(I92*1440,0),"")</f>
        <v/>
      </c>
      <c r="AB92" s="80">
        <f>IF(AND(ISNUMBER(B92),D92&lt;&gt;"",ISNUMBER(Z92),ISNUMBER(AA92)),IF(Z92=AA92,0,1),0)</f>
        <v>0</v>
      </c>
      <c r="AC92" s="80">
        <f>IF(AB92=1,IF(AA92&lt;Z92,1,0),0)</f>
        <v>0</v>
      </c>
      <c r="AD92" s="80">
        <f>IF(AB92=1,IF(AC92=1,1440-Z92+AA92,AA92-Z92),0)</f>
        <v>0</v>
      </c>
      <c r="AE92" s="80">
        <f>IF(J92="",0,IF(ISNUMBER(J92),J92,-1))</f>
        <v>0</v>
      </c>
      <c r="AF92" s="80">
        <f>MIN(MAX(0,AE92),AD92)</f>
        <v>0</v>
      </c>
      <c r="AG92" s="80">
        <f>MAX(0,AD92-MAX(0,AE92))</f>
        <v>0</v>
      </c>
      <c r="AH92" s="80">
        <f>IF(ISNUMBER(B92),IF(AND(INDEX(CFG_WDAYS,WEEKDAY(INT(B92),2))="Sí",IF(D92="proMX",COUNTIFS(FER_F,INT(B92),FER_NLP,"Sí"),COUNTIFS(FER_F,INT(B92),FER_NLM,"Sí"))=0),1,0),0)</f>
        <v>0</v>
      </c>
      <c r="AI92" s="80">
        <f>IF(AC92=1,IF(AND(INDEX(CFG_WDAYS,WEEKDAY(INT(B92)+1,2))="Sí",IF(D92="proMX",COUNTIFS(FER_F,INT(B92)+1,FER_NLP,"Sí"),COUNTIFS(FER_F,INT(B92)+1,FER_NLM,"Sí"))=0),1,0),0)</f>
        <v>0</v>
      </c>
      <c r="AJ92" s="80">
        <f>IF(AC92=1,1440-Z92,AD92)</f>
        <v>0</v>
      </c>
      <c r="AK92" s="80">
        <f>IF(AND(AB92=1,AH92=1),MAX(0,MIN(IF(AC92=1,1440,AA92),CFG_WEM)-MAX(Z92,CFG_WSM)),0)</f>
        <v>0</v>
      </c>
      <c r="AL92" s="80">
        <f>IF(AND(AC92=1,AI92=1),MAX(0,MIN(AA92,CFG_WEM)-CFG_WSM),0)</f>
        <v>0</v>
      </c>
      <c r="AM92" s="80">
        <f>AK92+AL92</f>
        <v>0</v>
      </c>
      <c r="AN92" s="80">
        <f>IF(CFG_BRK="Proporcional",IF(AD92=0,0,AF92*AM92/AD92),IF(CFG_BRK="Extras primero",MIN(AM92,MAX(0,AF92-(AD92-AM92))),MIN(AF92,AM92)))</f>
        <v>0</v>
      </c>
      <c r="AO92" s="80">
        <f>AF92-AN92</f>
        <v>0</v>
      </c>
      <c r="AP92" s="80">
        <f>AM92-AN92</f>
        <v>0</v>
      </c>
      <c r="AQ92" s="80">
        <f>AD92-AM92-AO92</f>
        <v>0</v>
      </c>
      <c r="AR92" s="80">
        <f>IF(AM92=0,0,AK92-AN92*AK92/AM92)</f>
        <v>0</v>
      </c>
      <c r="AS92" s="80">
        <f>IF(AD92-AM92=0,0,(AJ92-AK92)-AO92*(AJ92-AK92)/(AD92-AM92))</f>
        <v>0</v>
      </c>
      <c r="AT92" s="80" t="str">
        <f>IF(AC92=1,INT(B92)+1,"")</f>
        <v/>
      </c>
      <c r="AU92" s="80">
        <f>IF(AND(D92="proMX",R92="Cancelled"),0,1)</f>
        <v>1</v>
      </c>
      <c r="AV92" s="80">
        <f>IF(AND(AB92=1,AU92=1),IF(COUNTIFS($D$5:D91,D92,$B$5:B91,B92,$Z$5:Z91,Z92,$AA$5:AA91,AA92,$F$5:F91,F92&amp;"",$AU$5:AU91,1)&gt;0,1,0),0)</f>
        <v>0</v>
      </c>
      <c r="AW92" s="80" t="str">
        <f>IF(AB92=1,INT(B92)*1440+Z92,"")</f>
        <v/>
      </c>
      <c r="AX92" s="80" t="str">
        <f>IF(AB92=1,AW92+AD92,"")</f>
        <v/>
      </c>
      <c r="AY92" s="80">
        <f>IF(AND(AB92=1,AV92=0,AU92=1),1,0)</f>
        <v>0</v>
      </c>
      <c r="AZ92" s="80">
        <f>IF(AY92=1,COUNTIFS(R_Emp,D92,R_SAbs,"&lt;"&amp;AX92,R_EAbs,"&gt;"&amp;AW92,R_OKey,1)-1,0)</f>
        <v>0</v>
      </c>
      <c r="BA92" s="80">
        <f>IF(AY92=1,COUNTIFS(R_Emp,"&lt;&gt;"&amp;D92,R_SAbs,"&lt;"&amp;AX92,R_EAbs,"&gt;"&amp;AW92,R_OKey,1),0)</f>
        <v>0</v>
      </c>
      <c r="BB92" s="80">
        <f>IF(AND(AB92=1,D92="proMX"),IF(AND(MOD(Z92,CFG_BLK)=0,MOD(AA92,CFG_BLK)=0,MOD(AG92,CFG_BLK)=0,AG92&gt;0),1,0),1)</f>
        <v>1</v>
      </c>
      <c r="BC92" s="80" t="str">
        <f>IF(Y92=0,"",IF(NOT(ISNUMBER(B92)),"Falta fecha o fecha inválida",IF(D92="","Falta empresa",IF(AND(D92&lt;&gt;"Malcolm",D92&lt;&gt;"proMX"),"Empresa inválida",IF(OR(INT(B92)&lt;CFG_PSTART,INT(B92)&gt;CFG_PEND),"Fecha fuera del período",IF(OR(NOT(ISNUMBER(Z92)),NOT(ISNUMBER(AA92))),"Falta hora inicio/fin o formato inválido",IF(AB92=0,"Hora inicio = hora fin",IF(AE92&lt;0,"Descanso inválido",IF(AE92&gt;=AD92,"Descanso ≥ duración",IF(AV92=1,"Registro duplicado",IF(AZ92&gt;0,"Se superpone con otro registro "&amp;D92,IF(BB92=0,"inicio, fin y duración neta deben ser múltiplos de "&amp;CFG_BLK&amp;" min",""))))))))))))</f>
        <v/>
      </c>
      <c r="BD92" s="80">
        <f>IF(AND(Y92=1,BC92=""),1,0)</f>
        <v>0</v>
      </c>
      <c r="BE92" s="80">
        <f>IF(AND(BD92=1,AU92=1),1,0)</f>
        <v>0</v>
      </c>
      <c r="BF92" s="80" t="str">
        <f>IF(AND(D92="proMX",BD92=1),IF(R92="","Draft",R92),"")</f>
        <v/>
      </c>
      <c r="BG92" s="80">
        <f>IF(BD92=1,ROUND(AG92/60,6),0)</f>
        <v>0</v>
      </c>
      <c r="BH92" s="80">
        <f>IF(BE92=1,ROUND(AG92/60,6),0)</f>
        <v>0</v>
      </c>
      <c r="BI92" s="80">
        <f>IF(BE92=1,ROUND(AP92/60,6),0)</f>
        <v>0</v>
      </c>
      <c r="BJ92" s="80">
        <f>IF(BE92=1,ROUND(AQ92/60,6),0)</f>
        <v>0</v>
      </c>
      <c r="BK92" s="80">
        <f>IF(BE92=1,ROUND((AR92+AS92)/60,6),0)</f>
        <v>0</v>
      </c>
      <c r="BL92" s="80">
        <f>ROUND(BH92-BK92,6)</f>
        <v>0</v>
      </c>
      <c r="BM92" s="80">
        <f>IF(BE92=1,ROUND(AR92/60,6),0)</f>
        <v>0</v>
      </c>
      <c r="BN92" s="80">
        <f>ROUND(BI92-BM92,6)</f>
        <v>0</v>
      </c>
      <c r="BO92" s="80">
        <f>IF(BE92=1,ROUND(AS92/60,6),0)</f>
        <v>0</v>
      </c>
      <c r="BP92" s="80">
        <f>ROUND(BJ92-BO92,6)</f>
        <v>0</v>
      </c>
      <c r="BQ92" s="80">
        <f>IF(BE92=1,AW92,0)</f>
        <v>0</v>
      </c>
      <c r="BR92" s="80">
        <f>IF(BE92=1,AX92,0)</f>
        <v>0</v>
      </c>
      <c r="BS92" s="80">
        <f>IF(AND(BE92=1,D92="Malcolm",BA92&gt;0),MIN(BH92,SUMPRODUCT((R_Emp="proMX")*(R_EN&gt;0)*((R_EN-(R_EN&gt;BR92)*(R_EN-BR92))&gt;(R_SN+(R_SN&lt;BQ92)*(BQ92-R_SN)))*((R_EN-(R_EN&gt;BR92)*(R_EN-BR92))-(R_SN+(R_SN&lt;BQ92)*(BQ92-R_SN))))/60),0)</f>
        <v>0</v>
      </c>
      <c r="BT92" s="80">
        <f>IF(AND(BE92=1,D92="proMX"),ROUND(BI92*CFG_RATE+BJ92*CFG_OTRATE,6),0)</f>
        <v>0</v>
      </c>
      <c r="BU92" s="80">
        <f>IF(AND(BD92=1,D92="proMX"),ROUND(AG92/CFG_BLK,6),0)</f>
        <v>0</v>
      </c>
      <c r="BV92" s="80" t="str">
        <f>IF(BF92="Approved",IF(ISNUMBER(T92),INT(T92),INT(B92)),"")</f>
        <v/>
      </c>
      <c r="BW92" s="80">
        <f>IF(ISNUMBER(B92),IF(DB_MON="Todos",1,IF(AND(INT(B92)&gt;=DB_MS,INT(B92)&lt;=DB_ME),1,0)),0)</f>
        <v>0</v>
      </c>
      <c r="BX92" s="80">
        <f>IF(DB_PROJ="Todos",1,IF(E92&amp;""=DB_PROJ&amp;"",1,0))</f>
        <v>1</v>
      </c>
      <c r="BY92" s="80">
        <f>BW92*BX92</f>
        <v>0</v>
      </c>
      <c r="BZ92" s="80" t="str">
        <f>IF(Y92=1,F92&amp;IF(AND(F92&amp;""&lt;&gt;"",E92&amp;""&lt;&gt;"")," · ","")&amp;E92,"")</f>
        <v/>
      </c>
      <c r="CA92" s="80" t="str">
        <f>IF(AND(BD92=1,E92&amp;""&lt;&gt;""),IF(COUNTIFS($E$5:E91,E92,$BD$5:BD91,1)=0,MAX($CA$5:CA91)+1,""),"")</f>
        <v/>
      </c>
      <c r="CB92" s="80" t="str">
        <f>IF(AND(BE92=1,D92="Malcolm",E92&amp;""&lt;&gt;""),IF(COUNTIFS($D$5:D91,"Malcolm",$E$5:E91,E92,$BE$5:BE91,1)=0,MAX($CB$5:CB91)+1,""),"")</f>
        <v/>
      </c>
      <c r="CC92" s="80" t="str">
        <f>IF(AND(BD92=1,D92="proMX",E92&amp;""&lt;&gt;""),IF(COUNTIFS($D$5:D91,"proMX",$E$5:E91,E92,$BD$5:BD91,1)=0,MAX($CC$5:CC91)+1,""),"")</f>
        <v/>
      </c>
      <c r="CD92" s="80" t="str">
        <f>IF(AND(BE92=1,D92="Malcolm",F92&amp;""&lt;&gt;""),IF(COUNTIFS($D$5:D91,"Malcolm",$F$5:F91,F92,$BE$5:BE91,1)=0,MAX($CD$5:CD91)+1,""),"")</f>
        <v/>
      </c>
      <c r="CE92" s="80" t="str">
        <f>IF(AND(BD92=1,D92="proMX",F92&amp;""&lt;&gt;""),IF(COUNTIFS($D$5:D91,"proMX",$F$5:F91,F92,$BD$5:BD91,1)=0,MAX($CE$5:CE91)+1,""),"")</f>
        <v/>
      </c>
      <c r="CF92" s="80" t="str">
        <f>IF(AND(D92="proMX",BD92=1),IF(OR(BF92="Draft",BF92="Submitted",BF92="Returned",BF92="Recall Requested"),MAX($CF$5:CF91)+1,""),"")</f>
        <v/>
      </c>
      <c r="CG92" s="80">
        <f>IF(BD92=0,0,IF(D92="Malcolm",1,MATCH(BF92,{"Draft","Submitted","Approved","Returned","Recall Requested","Cancelled"},0)+1))</f>
        <v>0</v>
      </c>
      <c r="CH92" s="80">
        <f>IF(AND(BF92="Submitted",ISNUMBER(V92)),IF(V92&gt;CFG_MAXD,1,0),0)</f>
        <v>0</v>
      </c>
    </row>
    <row r="93">
      <c r="A93" s="71" t="str">
        <f>IF(Y93=1,ROW()-5,"")</f>
        <v/>
      </c>
      <c r="B93" s="72" t="n"/>
      <c r="C93" s="71" t="str">
        <f>IF(ISNUMBER(B93),CHOOSE(WEEKDAY(B93,2),"Lun","Mar","Mié","Jue","Vie","Sáb","Dom"),"")</f>
        <v/>
      </c>
      <c r="D93" s="73" t="n"/>
      <c r="E93" s="74" t="n"/>
      <c r="F93" s="74" t="n"/>
      <c r="G93" s="74" t="n"/>
      <c r="H93" s="75" t="n"/>
      <c r="I93" s="75" t="n"/>
      <c r="J93" s="76" t="n"/>
      <c r="K93" s="77" t="str">
        <f>IF(AB93=1,ROUND(AG93/60,4),"")</f>
        <v/>
      </c>
      <c r="L93" s="77" t="str">
        <f>IF(BD93=1,ROUND(AP93/60,4),"")</f>
        <v/>
      </c>
      <c r="M93" s="77" t="str">
        <f>IF(BD93=1,ROUND(AQ93/60,4),"")</f>
        <v/>
      </c>
      <c r="N93" s="71" t="str">
        <f>IF(AND(D93="proMX",AB93=1),ROUND(AG93/CFG_BLK,2),"")</f>
        <v/>
      </c>
      <c r="O93" s="77" t="str">
        <f>IF(D93="proMX",IF(BD93=1,ROUND(AG93/60,4),0),"")</f>
        <v/>
      </c>
      <c r="P93" s="78" t="str">
        <f>IF(Y93=0,"",IF(BD93=1,"OK",IF(D93="proMX","Revisar bloques: ","Revisar: ")&amp;BC93))</f>
        <v/>
      </c>
      <c r="Q93" s="78" t="str">
        <f>IF(NOT(ISNUMBER(B93)),"",IF(COUNTIFS(FER_F,INT(B93))&gt;0,"Feriado"&amp;IF(AH93=1," (laborable)"," (no laborable)"),IF(AH93=1,"Laborable",IF(WEEKDAY(B93,2)&gt;5,"Fin de semana","No laborable"))))</f>
        <v/>
      </c>
      <c r="R93" s="73" t="n"/>
      <c r="S93" s="72" t="n"/>
      <c r="T93" s="72" t="n"/>
      <c r="U93" s="74" t="n"/>
      <c r="V93" s="79" t="str">
        <f>IF(AND(D93="proMX",OR(R93="Submitted",R93="Recall Requested"),ISNUMBER(S93)),CFG_TODAY-INT(S93),"")</f>
        <v/>
      </c>
      <c r="W93" s="78" t="str">
        <f>IF(BD93=0,"",IF(BA93&gt;0,"⚠ Se superpone con un registro de la otra empresa",IF(D93="Malcolm",IF(COUNTA(R93,S93,T93)&gt;0,"Estado/fechas proMX se ignoran en Malcolm",""),IF(BF93="Cancelled","Cancelado: excluido de totales",IF(R93="","Sin estado: se trata como Draft",IF(BF93="Submitted",IF(ISNUMBER(V93),IF(V93&gt;CFG_MAXD,"⚠ "&amp;V93&amp;" días en Submitted (máx. "&amp;CFG_MAXD&amp;")",""),"Falta fecha de envío"),IF(BF93="Returned","⚠ Devuelto: corregir y reenviar",IF(BF93="Recall Requested","Retirada solicitada: pendiente",IF(AND(BF93="Approved",NOT(ISNUMBER(T93))),"Falta fecha de aprobación",IF(AND(ISNUMBER(S93),ISNUMBER(T93),T93&lt;S93),"Aprobación anterior al envío","")))))))))</f>
        <v/>
      </c>
      <c r="Y93" s="80">
        <f>IF(COUNTA(B93,D93,E93,F93,G93,H93,I93,J93,R93,S93,T93)&gt;0,1,0)</f>
        <v>0</v>
      </c>
      <c r="Z93" s="80" t="str">
        <f>IF(AND(ISNUMBER(H93),H93&gt;=0,H93&lt;1),ROUND(H93*1440,0),"")</f>
        <v/>
      </c>
      <c r="AA93" s="80" t="str">
        <f>IF(AND(ISNUMBER(I93),I93&gt;=0,I93&lt;1),ROUND(I93*1440,0),"")</f>
        <v/>
      </c>
      <c r="AB93" s="80">
        <f>IF(AND(ISNUMBER(B93),D93&lt;&gt;"",ISNUMBER(Z93),ISNUMBER(AA93)),IF(Z93=AA93,0,1),0)</f>
        <v>0</v>
      </c>
      <c r="AC93" s="80">
        <f>IF(AB93=1,IF(AA93&lt;Z93,1,0),0)</f>
        <v>0</v>
      </c>
      <c r="AD93" s="80">
        <f>IF(AB93=1,IF(AC93=1,1440-Z93+AA93,AA93-Z93),0)</f>
        <v>0</v>
      </c>
      <c r="AE93" s="80">
        <f>IF(J93="",0,IF(ISNUMBER(J93),J93,-1))</f>
        <v>0</v>
      </c>
      <c r="AF93" s="80">
        <f>MIN(MAX(0,AE93),AD93)</f>
        <v>0</v>
      </c>
      <c r="AG93" s="80">
        <f>MAX(0,AD93-MAX(0,AE93))</f>
        <v>0</v>
      </c>
      <c r="AH93" s="80">
        <f>IF(ISNUMBER(B93),IF(AND(INDEX(CFG_WDAYS,WEEKDAY(INT(B93),2))="Sí",IF(D93="proMX",COUNTIFS(FER_F,INT(B93),FER_NLP,"Sí"),COUNTIFS(FER_F,INT(B93),FER_NLM,"Sí"))=0),1,0),0)</f>
        <v>0</v>
      </c>
      <c r="AI93" s="80">
        <f>IF(AC93=1,IF(AND(INDEX(CFG_WDAYS,WEEKDAY(INT(B93)+1,2))="Sí",IF(D93="proMX",COUNTIFS(FER_F,INT(B93)+1,FER_NLP,"Sí"),COUNTIFS(FER_F,INT(B93)+1,FER_NLM,"Sí"))=0),1,0),0)</f>
        <v>0</v>
      </c>
      <c r="AJ93" s="80">
        <f>IF(AC93=1,1440-Z93,AD93)</f>
        <v>0</v>
      </c>
      <c r="AK93" s="80">
        <f>IF(AND(AB93=1,AH93=1),MAX(0,MIN(IF(AC93=1,1440,AA93),CFG_WEM)-MAX(Z93,CFG_WSM)),0)</f>
        <v>0</v>
      </c>
      <c r="AL93" s="80">
        <f>IF(AND(AC93=1,AI93=1),MAX(0,MIN(AA93,CFG_WEM)-CFG_WSM),0)</f>
        <v>0</v>
      </c>
      <c r="AM93" s="80">
        <f>AK93+AL93</f>
        <v>0</v>
      </c>
      <c r="AN93" s="80">
        <f>IF(CFG_BRK="Proporcional",IF(AD93=0,0,AF93*AM93/AD93),IF(CFG_BRK="Extras primero",MIN(AM93,MAX(0,AF93-(AD93-AM93))),MIN(AF93,AM93)))</f>
        <v>0</v>
      </c>
      <c r="AO93" s="80">
        <f>AF93-AN93</f>
        <v>0</v>
      </c>
      <c r="AP93" s="80">
        <f>AM93-AN93</f>
        <v>0</v>
      </c>
      <c r="AQ93" s="80">
        <f>AD93-AM93-AO93</f>
        <v>0</v>
      </c>
      <c r="AR93" s="80">
        <f>IF(AM93=0,0,AK93-AN93*AK93/AM93)</f>
        <v>0</v>
      </c>
      <c r="AS93" s="80">
        <f>IF(AD93-AM93=0,0,(AJ93-AK93)-AO93*(AJ93-AK93)/(AD93-AM93))</f>
        <v>0</v>
      </c>
      <c r="AT93" s="80" t="str">
        <f>IF(AC93=1,INT(B93)+1,"")</f>
        <v/>
      </c>
      <c r="AU93" s="80">
        <f>IF(AND(D93="proMX",R93="Cancelled"),0,1)</f>
        <v>1</v>
      </c>
      <c r="AV93" s="80">
        <f>IF(AND(AB93=1,AU93=1),IF(COUNTIFS($D$5:D92,D93,$B$5:B92,B93,$Z$5:Z92,Z93,$AA$5:AA92,AA93,$F$5:F92,F93&amp;"",$AU$5:AU92,1)&gt;0,1,0),0)</f>
        <v>0</v>
      </c>
      <c r="AW93" s="80" t="str">
        <f>IF(AB93=1,INT(B93)*1440+Z93,"")</f>
        <v/>
      </c>
      <c r="AX93" s="80" t="str">
        <f>IF(AB93=1,AW93+AD93,"")</f>
        <v/>
      </c>
      <c r="AY93" s="80">
        <f>IF(AND(AB93=1,AV93=0,AU93=1),1,0)</f>
        <v>0</v>
      </c>
      <c r="AZ93" s="80">
        <f>IF(AY93=1,COUNTIFS(R_Emp,D93,R_SAbs,"&lt;"&amp;AX93,R_EAbs,"&gt;"&amp;AW93,R_OKey,1)-1,0)</f>
        <v>0</v>
      </c>
      <c r="BA93" s="80">
        <f>IF(AY93=1,COUNTIFS(R_Emp,"&lt;&gt;"&amp;D93,R_SAbs,"&lt;"&amp;AX93,R_EAbs,"&gt;"&amp;AW93,R_OKey,1),0)</f>
        <v>0</v>
      </c>
      <c r="BB93" s="80">
        <f>IF(AND(AB93=1,D93="proMX"),IF(AND(MOD(Z93,CFG_BLK)=0,MOD(AA93,CFG_BLK)=0,MOD(AG93,CFG_BLK)=0,AG93&gt;0),1,0),1)</f>
        <v>1</v>
      </c>
      <c r="BC93" s="80" t="str">
        <f>IF(Y93=0,"",IF(NOT(ISNUMBER(B93)),"Falta fecha o fecha inválida",IF(D93="","Falta empresa",IF(AND(D93&lt;&gt;"Malcolm",D93&lt;&gt;"proMX"),"Empresa inválida",IF(OR(INT(B93)&lt;CFG_PSTART,INT(B93)&gt;CFG_PEND),"Fecha fuera del período",IF(OR(NOT(ISNUMBER(Z93)),NOT(ISNUMBER(AA93))),"Falta hora inicio/fin o formato inválido",IF(AB93=0,"Hora inicio = hora fin",IF(AE93&lt;0,"Descanso inválido",IF(AE93&gt;=AD93,"Descanso ≥ duración",IF(AV93=1,"Registro duplicado",IF(AZ93&gt;0,"Se superpone con otro registro "&amp;D93,IF(BB93=0,"inicio, fin y duración neta deben ser múltiplos de "&amp;CFG_BLK&amp;" min",""))))))))))))</f>
        <v/>
      </c>
      <c r="BD93" s="80">
        <f>IF(AND(Y93=1,BC93=""),1,0)</f>
        <v>0</v>
      </c>
      <c r="BE93" s="80">
        <f>IF(AND(BD93=1,AU93=1),1,0)</f>
        <v>0</v>
      </c>
      <c r="BF93" s="80" t="str">
        <f>IF(AND(D93="proMX",BD93=1),IF(R93="","Draft",R93),"")</f>
        <v/>
      </c>
      <c r="BG93" s="80">
        <f>IF(BD93=1,ROUND(AG93/60,6),0)</f>
        <v>0</v>
      </c>
      <c r="BH93" s="80">
        <f>IF(BE93=1,ROUND(AG93/60,6),0)</f>
        <v>0</v>
      </c>
      <c r="BI93" s="80">
        <f>IF(BE93=1,ROUND(AP93/60,6),0)</f>
        <v>0</v>
      </c>
      <c r="BJ93" s="80">
        <f>IF(BE93=1,ROUND(AQ93/60,6),0)</f>
        <v>0</v>
      </c>
      <c r="BK93" s="80">
        <f>IF(BE93=1,ROUND((AR93+AS93)/60,6),0)</f>
        <v>0</v>
      </c>
      <c r="BL93" s="80">
        <f>ROUND(BH93-BK93,6)</f>
        <v>0</v>
      </c>
      <c r="BM93" s="80">
        <f>IF(BE93=1,ROUND(AR93/60,6),0)</f>
        <v>0</v>
      </c>
      <c r="BN93" s="80">
        <f>ROUND(BI93-BM93,6)</f>
        <v>0</v>
      </c>
      <c r="BO93" s="80">
        <f>IF(BE93=1,ROUND(AS93/60,6),0)</f>
        <v>0</v>
      </c>
      <c r="BP93" s="80">
        <f>ROUND(BJ93-BO93,6)</f>
        <v>0</v>
      </c>
      <c r="BQ93" s="80">
        <f>IF(BE93=1,AW93,0)</f>
        <v>0</v>
      </c>
      <c r="BR93" s="80">
        <f>IF(BE93=1,AX93,0)</f>
        <v>0</v>
      </c>
      <c r="BS93" s="80">
        <f>IF(AND(BE93=1,D93="Malcolm",BA93&gt;0),MIN(BH93,SUMPRODUCT((R_Emp="proMX")*(R_EN&gt;0)*((R_EN-(R_EN&gt;BR93)*(R_EN-BR93))&gt;(R_SN+(R_SN&lt;BQ93)*(BQ93-R_SN)))*((R_EN-(R_EN&gt;BR93)*(R_EN-BR93))-(R_SN+(R_SN&lt;BQ93)*(BQ93-R_SN))))/60),0)</f>
        <v>0</v>
      </c>
      <c r="BT93" s="80">
        <f>IF(AND(BE93=1,D93="proMX"),ROUND(BI93*CFG_RATE+BJ93*CFG_OTRATE,6),0)</f>
        <v>0</v>
      </c>
      <c r="BU93" s="80">
        <f>IF(AND(BD93=1,D93="proMX"),ROUND(AG93/CFG_BLK,6),0)</f>
        <v>0</v>
      </c>
      <c r="BV93" s="80" t="str">
        <f>IF(BF93="Approved",IF(ISNUMBER(T93),INT(T93),INT(B93)),"")</f>
        <v/>
      </c>
      <c r="BW93" s="80">
        <f>IF(ISNUMBER(B93),IF(DB_MON="Todos",1,IF(AND(INT(B93)&gt;=DB_MS,INT(B93)&lt;=DB_ME),1,0)),0)</f>
        <v>0</v>
      </c>
      <c r="BX93" s="80">
        <f>IF(DB_PROJ="Todos",1,IF(E93&amp;""=DB_PROJ&amp;"",1,0))</f>
        <v>1</v>
      </c>
      <c r="BY93" s="80">
        <f>BW93*BX93</f>
        <v>0</v>
      </c>
      <c r="BZ93" s="80" t="str">
        <f>IF(Y93=1,F93&amp;IF(AND(F93&amp;""&lt;&gt;"",E93&amp;""&lt;&gt;"")," · ","")&amp;E93,"")</f>
        <v/>
      </c>
      <c r="CA93" s="80" t="str">
        <f>IF(AND(BD93=1,E93&amp;""&lt;&gt;""),IF(COUNTIFS($E$5:E92,E93,$BD$5:BD92,1)=0,MAX($CA$5:CA92)+1,""),"")</f>
        <v/>
      </c>
      <c r="CB93" s="80" t="str">
        <f>IF(AND(BE93=1,D93="Malcolm",E93&amp;""&lt;&gt;""),IF(COUNTIFS($D$5:D92,"Malcolm",$E$5:E92,E93,$BE$5:BE92,1)=0,MAX($CB$5:CB92)+1,""),"")</f>
        <v/>
      </c>
      <c r="CC93" s="80" t="str">
        <f>IF(AND(BD93=1,D93="proMX",E93&amp;""&lt;&gt;""),IF(COUNTIFS($D$5:D92,"proMX",$E$5:E92,E93,$BD$5:BD92,1)=0,MAX($CC$5:CC92)+1,""),"")</f>
        <v/>
      </c>
      <c r="CD93" s="80" t="str">
        <f>IF(AND(BE93=1,D93="Malcolm",F93&amp;""&lt;&gt;""),IF(COUNTIFS($D$5:D92,"Malcolm",$F$5:F92,F93,$BE$5:BE92,1)=0,MAX($CD$5:CD92)+1,""),"")</f>
        <v/>
      </c>
      <c r="CE93" s="80" t="str">
        <f>IF(AND(BD93=1,D93="proMX",F93&amp;""&lt;&gt;""),IF(COUNTIFS($D$5:D92,"proMX",$F$5:F92,F93,$BD$5:BD92,1)=0,MAX($CE$5:CE92)+1,""),"")</f>
        <v/>
      </c>
      <c r="CF93" s="80" t="str">
        <f>IF(AND(D93="proMX",BD93=1),IF(OR(BF93="Draft",BF93="Submitted",BF93="Returned",BF93="Recall Requested"),MAX($CF$5:CF92)+1,""),"")</f>
        <v/>
      </c>
      <c r="CG93" s="80">
        <f>IF(BD93=0,0,IF(D93="Malcolm",1,MATCH(BF93,{"Draft","Submitted","Approved","Returned","Recall Requested","Cancelled"},0)+1))</f>
        <v>0</v>
      </c>
      <c r="CH93" s="80">
        <f>IF(AND(BF93="Submitted",ISNUMBER(V93)),IF(V93&gt;CFG_MAXD,1,0),0)</f>
        <v>0</v>
      </c>
    </row>
    <row r="94">
      <c r="A94" s="71" t="str">
        <f>IF(Y94=1,ROW()-5,"")</f>
        <v/>
      </c>
      <c r="B94" s="72" t="n"/>
      <c r="C94" s="71" t="str">
        <f>IF(ISNUMBER(B94),CHOOSE(WEEKDAY(B94,2),"Lun","Mar","Mié","Jue","Vie","Sáb","Dom"),"")</f>
        <v/>
      </c>
      <c r="D94" s="73" t="n"/>
      <c r="E94" s="74" t="n"/>
      <c r="F94" s="74" t="n"/>
      <c r="G94" s="74" t="n"/>
      <c r="H94" s="75" t="n"/>
      <c r="I94" s="75" t="n"/>
      <c r="J94" s="76" t="n"/>
      <c r="K94" s="77" t="str">
        <f>IF(AB94=1,ROUND(AG94/60,4),"")</f>
        <v/>
      </c>
      <c r="L94" s="77" t="str">
        <f>IF(BD94=1,ROUND(AP94/60,4),"")</f>
        <v/>
      </c>
      <c r="M94" s="77" t="str">
        <f>IF(BD94=1,ROUND(AQ94/60,4),"")</f>
        <v/>
      </c>
      <c r="N94" s="71" t="str">
        <f>IF(AND(D94="proMX",AB94=1),ROUND(AG94/CFG_BLK,2),"")</f>
        <v/>
      </c>
      <c r="O94" s="77" t="str">
        <f>IF(D94="proMX",IF(BD94=1,ROUND(AG94/60,4),0),"")</f>
        <v/>
      </c>
      <c r="P94" s="78" t="str">
        <f>IF(Y94=0,"",IF(BD94=1,"OK",IF(D94="proMX","Revisar bloques: ","Revisar: ")&amp;BC94))</f>
        <v/>
      </c>
      <c r="Q94" s="78" t="str">
        <f>IF(NOT(ISNUMBER(B94)),"",IF(COUNTIFS(FER_F,INT(B94))&gt;0,"Feriado"&amp;IF(AH94=1," (laborable)"," (no laborable)"),IF(AH94=1,"Laborable",IF(WEEKDAY(B94,2)&gt;5,"Fin de semana","No laborable"))))</f>
        <v/>
      </c>
      <c r="R94" s="73" t="n"/>
      <c r="S94" s="72" t="n"/>
      <c r="T94" s="72" t="n"/>
      <c r="U94" s="74" t="n"/>
      <c r="V94" s="79" t="str">
        <f>IF(AND(D94="proMX",OR(R94="Submitted",R94="Recall Requested"),ISNUMBER(S94)),CFG_TODAY-INT(S94),"")</f>
        <v/>
      </c>
      <c r="W94" s="78" t="str">
        <f>IF(BD94=0,"",IF(BA94&gt;0,"⚠ Se superpone con un registro de la otra empresa",IF(D94="Malcolm",IF(COUNTA(R94,S94,T94)&gt;0,"Estado/fechas proMX se ignoran en Malcolm",""),IF(BF94="Cancelled","Cancelado: excluido de totales",IF(R94="","Sin estado: se trata como Draft",IF(BF94="Submitted",IF(ISNUMBER(V94),IF(V94&gt;CFG_MAXD,"⚠ "&amp;V94&amp;" días en Submitted (máx. "&amp;CFG_MAXD&amp;")",""),"Falta fecha de envío"),IF(BF94="Returned","⚠ Devuelto: corregir y reenviar",IF(BF94="Recall Requested","Retirada solicitada: pendiente",IF(AND(BF94="Approved",NOT(ISNUMBER(T94))),"Falta fecha de aprobación",IF(AND(ISNUMBER(S94),ISNUMBER(T94),T94&lt;S94),"Aprobación anterior al envío","")))))))))</f>
        <v/>
      </c>
      <c r="Y94" s="80">
        <f>IF(COUNTA(B94,D94,E94,F94,G94,H94,I94,J94,R94,S94,T94)&gt;0,1,0)</f>
        <v>0</v>
      </c>
      <c r="Z94" s="80" t="str">
        <f>IF(AND(ISNUMBER(H94),H94&gt;=0,H94&lt;1),ROUND(H94*1440,0),"")</f>
        <v/>
      </c>
      <c r="AA94" s="80" t="str">
        <f>IF(AND(ISNUMBER(I94),I94&gt;=0,I94&lt;1),ROUND(I94*1440,0),"")</f>
        <v/>
      </c>
      <c r="AB94" s="80">
        <f>IF(AND(ISNUMBER(B94),D94&lt;&gt;"",ISNUMBER(Z94),ISNUMBER(AA94)),IF(Z94=AA94,0,1),0)</f>
        <v>0</v>
      </c>
      <c r="AC94" s="80">
        <f>IF(AB94=1,IF(AA94&lt;Z94,1,0),0)</f>
        <v>0</v>
      </c>
      <c r="AD94" s="80">
        <f>IF(AB94=1,IF(AC94=1,1440-Z94+AA94,AA94-Z94),0)</f>
        <v>0</v>
      </c>
      <c r="AE94" s="80">
        <f>IF(J94="",0,IF(ISNUMBER(J94),J94,-1))</f>
        <v>0</v>
      </c>
      <c r="AF94" s="80">
        <f>MIN(MAX(0,AE94),AD94)</f>
        <v>0</v>
      </c>
      <c r="AG94" s="80">
        <f>MAX(0,AD94-MAX(0,AE94))</f>
        <v>0</v>
      </c>
      <c r="AH94" s="80">
        <f>IF(ISNUMBER(B94),IF(AND(INDEX(CFG_WDAYS,WEEKDAY(INT(B94),2))="Sí",IF(D94="proMX",COUNTIFS(FER_F,INT(B94),FER_NLP,"Sí"),COUNTIFS(FER_F,INT(B94),FER_NLM,"Sí"))=0),1,0),0)</f>
        <v>0</v>
      </c>
      <c r="AI94" s="80">
        <f>IF(AC94=1,IF(AND(INDEX(CFG_WDAYS,WEEKDAY(INT(B94)+1,2))="Sí",IF(D94="proMX",COUNTIFS(FER_F,INT(B94)+1,FER_NLP,"Sí"),COUNTIFS(FER_F,INT(B94)+1,FER_NLM,"Sí"))=0),1,0),0)</f>
        <v>0</v>
      </c>
      <c r="AJ94" s="80">
        <f>IF(AC94=1,1440-Z94,AD94)</f>
        <v>0</v>
      </c>
      <c r="AK94" s="80">
        <f>IF(AND(AB94=1,AH94=1),MAX(0,MIN(IF(AC94=1,1440,AA94),CFG_WEM)-MAX(Z94,CFG_WSM)),0)</f>
        <v>0</v>
      </c>
      <c r="AL94" s="80">
        <f>IF(AND(AC94=1,AI94=1),MAX(0,MIN(AA94,CFG_WEM)-CFG_WSM),0)</f>
        <v>0</v>
      </c>
      <c r="AM94" s="80">
        <f>AK94+AL94</f>
        <v>0</v>
      </c>
      <c r="AN94" s="80">
        <f>IF(CFG_BRK="Proporcional",IF(AD94=0,0,AF94*AM94/AD94),IF(CFG_BRK="Extras primero",MIN(AM94,MAX(0,AF94-(AD94-AM94))),MIN(AF94,AM94)))</f>
        <v>0</v>
      </c>
      <c r="AO94" s="80">
        <f>AF94-AN94</f>
        <v>0</v>
      </c>
      <c r="AP94" s="80">
        <f>AM94-AN94</f>
        <v>0</v>
      </c>
      <c r="AQ94" s="80">
        <f>AD94-AM94-AO94</f>
        <v>0</v>
      </c>
      <c r="AR94" s="80">
        <f>IF(AM94=0,0,AK94-AN94*AK94/AM94)</f>
        <v>0</v>
      </c>
      <c r="AS94" s="80">
        <f>IF(AD94-AM94=0,0,(AJ94-AK94)-AO94*(AJ94-AK94)/(AD94-AM94))</f>
        <v>0</v>
      </c>
      <c r="AT94" s="80" t="str">
        <f>IF(AC94=1,INT(B94)+1,"")</f>
        <v/>
      </c>
      <c r="AU94" s="80">
        <f>IF(AND(D94="proMX",R94="Cancelled"),0,1)</f>
        <v>1</v>
      </c>
      <c r="AV94" s="80">
        <f>IF(AND(AB94=1,AU94=1),IF(COUNTIFS($D$5:D93,D94,$B$5:B93,B94,$Z$5:Z93,Z94,$AA$5:AA93,AA94,$F$5:F93,F94&amp;"",$AU$5:AU93,1)&gt;0,1,0),0)</f>
        <v>0</v>
      </c>
      <c r="AW94" s="80" t="str">
        <f>IF(AB94=1,INT(B94)*1440+Z94,"")</f>
        <v/>
      </c>
      <c r="AX94" s="80" t="str">
        <f>IF(AB94=1,AW94+AD94,"")</f>
        <v/>
      </c>
      <c r="AY94" s="80">
        <f>IF(AND(AB94=1,AV94=0,AU94=1),1,0)</f>
        <v>0</v>
      </c>
      <c r="AZ94" s="80">
        <f>IF(AY94=1,COUNTIFS(R_Emp,D94,R_SAbs,"&lt;"&amp;AX94,R_EAbs,"&gt;"&amp;AW94,R_OKey,1)-1,0)</f>
        <v>0</v>
      </c>
      <c r="BA94" s="80">
        <f>IF(AY94=1,COUNTIFS(R_Emp,"&lt;&gt;"&amp;D94,R_SAbs,"&lt;"&amp;AX94,R_EAbs,"&gt;"&amp;AW94,R_OKey,1),0)</f>
        <v>0</v>
      </c>
      <c r="BB94" s="80">
        <f>IF(AND(AB94=1,D94="proMX"),IF(AND(MOD(Z94,CFG_BLK)=0,MOD(AA94,CFG_BLK)=0,MOD(AG94,CFG_BLK)=0,AG94&gt;0),1,0),1)</f>
        <v>1</v>
      </c>
      <c r="BC94" s="80" t="str">
        <f>IF(Y94=0,"",IF(NOT(ISNUMBER(B94)),"Falta fecha o fecha inválida",IF(D94="","Falta empresa",IF(AND(D94&lt;&gt;"Malcolm",D94&lt;&gt;"proMX"),"Empresa inválida",IF(OR(INT(B94)&lt;CFG_PSTART,INT(B94)&gt;CFG_PEND),"Fecha fuera del período",IF(OR(NOT(ISNUMBER(Z94)),NOT(ISNUMBER(AA94))),"Falta hora inicio/fin o formato inválido",IF(AB94=0,"Hora inicio = hora fin",IF(AE94&lt;0,"Descanso inválido",IF(AE94&gt;=AD94,"Descanso ≥ duración",IF(AV94=1,"Registro duplicado",IF(AZ94&gt;0,"Se superpone con otro registro "&amp;D94,IF(BB94=0,"inicio, fin y duración neta deben ser múltiplos de "&amp;CFG_BLK&amp;" min",""))))))))))))</f>
        <v/>
      </c>
      <c r="BD94" s="80">
        <f>IF(AND(Y94=1,BC94=""),1,0)</f>
        <v>0</v>
      </c>
      <c r="BE94" s="80">
        <f>IF(AND(BD94=1,AU94=1),1,0)</f>
        <v>0</v>
      </c>
      <c r="BF94" s="80" t="str">
        <f>IF(AND(D94="proMX",BD94=1),IF(R94="","Draft",R94),"")</f>
        <v/>
      </c>
      <c r="BG94" s="80">
        <f>IF(BD94=1,ROUND(AG94/60,6),0)</f>
        <v>0</v>
      </c>
      <c r="BH94" s="80">
        <f>IF(BE94=1,ROUND(AG94/60,6),0)</f>
        <v>0</v>
      </c>
      <c r="BI94" s="80">
        <f>IF(BE94=1,ROUND(AP94/60,6),0)</f>
        <v>0</v>
      </c>
      <c r="BJ94" s="80">
        <f>IF(BE94=1,ROUND(AQ94/60,6),0)</f>
        <v>0</v>
      </c>
      <c r="BK94" s="80">
        <f>IF(BE94=1,ROUND((AR94+AS94)/60,6),0)</f>
        <v>0</v>
      </c>
      <c r="BL94" s="80">
        <f>ROUND(BH94-BK94,6)</f>
        <v>0</v>
      </c>
      <c r="BM94" s="80">
        <f>IF(BE94=1,ROUND(AR94/60,6),0)</f>
        <v>0</v>
      </c>
      <c r="BN94" s="80">
        <f>ROUND(BI94-BM94,6)</f>
        <v>0</v>
      </c>
      <c r="BO94" s="80">
        <f>IF(BE94=1,ROUND(AS94/60,6),0)</f>
        <v>0</v>
      </c>
      <c r="BP94" s="80">
        <f>ROUND(BJ94-BO94,6)</f>
        <v>0</v>
      </c>
      <c r="BQ94" s="80">
        <f>IF(BE94=1,AW94,0)</f>
        <v>0</v>
      </c>
      <c r="BR94" s="80">
        <f>IF(BE94=1,AX94,0)</f>
        <v>0</v>
      </c>
      <c r="BS94" s="80">
        <f>IF(AND(BE94=1,D94="Malcolm",BA94&gt;0),MIN(BH94,SUMPRODUCT((R_Emp="proMX")*(R_EN&gt;0)*((R_EN-(R_EN&gt;BR94)*(R_EN-BR94))&gt;(R_SN+(R_SN&lt;BQ94)*(BQ94-R_SN)))*((R_EN-(R_EN&gt;BR94)*(R_EN-BR94))-(R_SN+(R_SN&lt;BQ94)*(BQ94-R_SN))))/60),0)</f>
        <v>0</v>
      </c>
      <c r="BT94" s="80">
        <f>IF(AND(BE94=1,D94="proMX"),ROUND(BI94*CFG_RATE+BJ94*CFG_OTRATE,6),0)</f>
        <v>0</v>
      </c>
      <c r="BU94" s="80">
        <f>IF(AND(BD94=1,D94="proMX"),ROUND(AG94/CFG_BLK,6),0)</f>
        <v>0</v>
      </c>
      <c r="BV94" s="80" t="str">
        <f>IF(BF94="Approved",IF(ISNUMBER(T94),INT(T94),INT(B94)),"")</f>
        <v/>
      </c>
      <c r="BW94" s="80">
        <f>IF(ISNUMBER(B94),IF(DB_MON="Todos",1,IF(AND(INT(B94)&gt;=DB_MS,INT(B94)&lt;=DB_ME),1,0)),0)</f>
        <v>0</v>
      </c>
      <c r="BX94" s="80">
        <f>IF(DB_PROJ="Todos",1,IF(E94&amp;""=DB_PROJ&amp;"",1,0))</f>
        <v>1</v>
      </c>
      <c r="BY94" s="80">
        <f>BW94*BX94</f>
        <v>0</v>
      </c>
      <c r="BZ94" s="80" t="str">
        <f>IF(Y94=1,F94&amp;IF(AND(F94&amp;""&lt;&gt;"",E94&amp;""&lt;&gt;"")," · ","")&amp;E94,"")</f>
        <v/>
      </c>
      <c r="CA94" s="80" t="str">
        <f>IF(AND(BD94=1,E94&amp;""&lt;&gt;""),IF(COUNTIFS($E$5:E93,E94,$BD$5:BD93,1)=0,MAX($CA$5:CA93)+1,""),"")</f>
        <v/>
      </c>
      <c r="CB94" s="80" t="str">
        <f>IF(AND(BE94=1,D94="Malcolm",E94&amp;""&lt;&gt;""),IF(COUNTIFS($D$5:D93,"Malcolm",$E$5:E93,E94,$BE$5:BE93,1)=0,MAX($CB$5:CB93)+1,""),"")</f>
        <v/>
      </c>
      <c r="CC94" s="80" t="str">
        <f>IF(AND(BD94=1,D94="proMX",E94&amp;""&lt;&gt;""),IF(COUNTIFS($D$5:D93,"proMX",$E$5:E93,E94,$BD$5:BD93,1)=0,MAX($CC$5:CC93)+1,""),"")</f>
        <v/>
      </c>
      <c r="CD94" s="80" t="str">
        <f>IF(AND(BE94=1,D94="Malcolm",F94&amp;""&lt;&gt;""),IF(COUNTIFS($D$5:D93,"Malcolm",$F$5:F93,F94,$BE$5:BE93,1)=0,MAX($CD$5:CD93)+1,""),"")</f>
        <v/>
      </c>
      <c r="CE94" s="80" t="str">
        <f>IF(AND(BD94=1,D94="proMX",F94&amp;""&lt;&gt;""),IF(COUNTIFS($D$5:D93,"proMX",$F$5:F93,F94,$BD$5:BD93,1)=0,MAX($CE$5:CE93)+1,""),"")</f>
        <v/>
      </c>
      <c r="CF94" s="80" t="str">
        <f>IF(AND(D94="proMX",BD94=1),IF(OR(BF94="Draft",BF94="Submitted",BF94="Returned",BF94="Recall Requested"),MAX($CF$5:CF93)+1,""),"")</f>
        <v/>
      </c>
      <c r="CG94" s="80">
        <f>IF(BD94=0,0,IF(D94="Malcolm",1,MATCH(BF94,{"Draft","Submitted","Approved","Returned","Recall Requested","Cancelled"},0)+1))</f>
        <v>0</v>
      </c>
      <c r="CH94" s="80">
        <f>IF(AND(BF94="Submitted",ISNUMBER(V94)),IF(V94&gt;CFG_MAXD,1,0),0)</f>
        <v>0</v>
      </c>
    </row>
    <row r="95">
      <c r="A95" s="71" t="str">
        <f>IF(Y95=1,ROW()-5,"")</f>
        <v/>
      </c>
      <c r="B95" s="72" t="n"/>
      <c r="C95" s="71" t="str">
        <f>IF(ISNUMBER(B95),CHOOSE(WEEKDAY(B95,2),"Lun","Mar","Mié","Jue","Vie","Sáb","Dom"),"")</f>
        <v/>
      </c>
      <c r="D95" s="73" t="n"/>
      <c r="E95" s="74" t="n"/>
      <c r="F95" s="74" t="n"/>
      <c r="G95" s="74" t="n"/>
      <c r="H95" s="75" t="n"/>
      <c r="I95" s="75" t="n"/>
      <c r="J95" s="76" t="n"/>
      <c r="K95" s="77" t="str">
        <f>IF(AB95=1,ROUND(AG95/60,4),"")</f>
        <v/>
      </c>
      <c r="L95" s="77" t="str">
        <f>IF(BD95=1,ROUND(AP95/60,4),"")</f>
        <v/>
      </c>
      <c r="M95" s="77" t="str">
        <f>IF(BD95=1,ROUND(AQ95/60,4),"")</f>
        <v/>
      </c>
      <c r="N95" s="71" t="str">
        <f>IF(AND(D95="proMX",AB95=1),ROUND(AG95/CFG_BLK,2),"")</f>
        <v/>
      </c>
      <c r="O95" s="77" t="str">
        <f>IF(D95="proMX",IF(BD95=1,ROUND(AG95/60,4),0),"")</f>
        <v/>
      </c>
      <c r="P95" s="78" t="str">
        <f>IF(Y95=0,"",IF(BD95=1,"OK",IF(D95="proMX","Revisar bloques: ","Revisar: ")&amp;BC95))</f>
        <v/>
      </c>
      <c r="Q95" s="78" t="str">
        <f>IF(NOT(ISNUMBER(B95)),"",IF(COUNTIFS(FER_F,INT(B95))&gt;0,"Feriado"&amp;IF(AH95=1," (laborable)"," (no laborable)"),IF(AH95=1,"Laborable",IF(WEEKDAY(B95,2)&gt;5,"Fin de semana","No laborable"))))</f>
        <v/>
      </c>
      <c r="R95" s="73" t="n"/>
      <c r="S95" s="72" t="n"/>
      <c r="T95" s="72" t="n"/>
      <c r="U95" s="74" t="n"/>
      <c r="V95" s="79" t="str">
        <f>IF(AND(D95="proMX",OR(R95="Submitted",R95="Recall Requested"),ISNUMBER(S95)),CFG_TODAY-INT(S95),"")</f>
        <v/>
      </c>
      <c r="W95" s="78" t="str">
        <f>IF(BD95=0,"",IF(BA95&gt;0,"⚠ Se superpone con un registro de la otra empresa",IF(D95="Malcolm",IF(COUNTA(R95,S95,T95)&gt;0,"Estado/fechas proMX se ignoran en Malcolm",""),IF(BF95="Cancelled","Cancelado: excluido de totales",IF(R95="","Sin estado: se trata como Draft",IF(BF95="Submitted",IF(ISNUMBER(V95),IF(V95&gt;CFG_MAXD,"⚠ "&amp;V95&amp;" días en Submitted (máx. "&amp;CFG_MAXD&amp;")",""),"Falta fecha de envío"),IF(BF95="Returned","⚠ Devuelto: corregir y reenviar",IF(BF95="Recall Requested","Retirada solicitada: pendiente",IF(AND(BF95="Approved",NOT(ISNUMBER(T95))),"Falta fecha de aprobación",IF(AND(ISNUMBER(S95),ISNUMBER(T95),T95&lt;S95),"Aprobación anterior al envío","")))))))))</f>
        <v/>
      </c>
      <c r="Y95" s="80">
        <f>IF(COUNTA(B95,D95,E95,F95,G95,H95,I95,J95,R95,S95,T95)&gt;0,1,0)</f>
        <v>0</v>
      </c>
      <c r="Z95" s="80" t="str">
        <f>IF(AND(ISNUMBER(H95),H95&gt;=0,H95&lt;1),ROUND(H95*1440,0),"")</f>
        <v/>
      </c>
      <c r="AA95" s="80" t="str">
        <f>IF(AND(ISNUMBER(I95),I95&gt;=0,I95&lt;1),ROUND(I95*1440,0),"")</f>
        <v/>
      </c>
      <c r="AB95" s="80">
        <f>IF(AND(ISNUMBER(B95),D95&lt;&gt;"",ISNUMBER(Z95),ISNUMBER(AA95)),IF(Z95=AA95,0,1),0)</f>
        <v>0</v>
      </c>
      <c r="AC95" s="80">
        <f>IF(AB95=1,IF(AA95&lt;Z95,1,0),0)</f>
        <v>0</v>
      </c>
      <c r="AD95" s="80">
        <f>IF(AB95=1,IF(AC95=1,1440-Z95+AA95,AA95-Z95),0)</f>
        <v>0</v>
      </c>
      <c r="AE95" s="80">
        <f>IF(J95="",0,IF(ISNUMBER(J95),J95,-1))</f>
        <v>0</v>
      </c>
      <c r="AF95" s="80">
        <f>MIN(MAX(0,AE95),AD95)</f>
        <v>0</v>
      </c>
      <c r="AG95" s="80">
        <f>MAX(0,AD95-MAX(0,AE95))</f>
        <v>0</v>
      </c>
      <c r="AH95" s="80">
        <f>IF(ISNUMBER(B95),IF(AND(INDEX(CFG_WDAYS,WEEKDAY(INT(B95),2))="Sí",IF(D95="proMX",COUNTIFS(FER_F,INT(B95),FER_NLP,"Sí"),COUNTIFS(FER_F,INT(B95),FER_NLM,"Sí"))=0),1,0),0)</f>
        <v>0</v>
      </c>
      <c r="AI95" s="80">
        <f>IF(AC95=1,IF(AND(INDEX(CFG_WDAYS,WEEKDAY(INT(B95)+1,2))="Sí",IF(D95="proMX",COUNTIFS(FER_F,INT(B95)+1,FER_NLP,"Sí"),COUNTIFS(FER_F,INT(B95)+1,FER_NLM,"Sí"))=0),1,0),0)</f>
        <v>0</v>
      </c>
      <c r="AJ95" s="80">
        <f>IF(AC95=1,1440-Z95,AD95)</f>
        <v>0</v>
      </c>
      <c r="AK95" s="80">
        <f>IF(AND(AB95=1,AH95=1),MAX(0,MIN(IF(AC95=1,1440,AA95),CFG_WEM)-MAX(Z95,CFG_WSM)),0)</f>
        <v>0</v>
      </c>
      <c r="AL95" s="80">
        <f>IF(AND(AC95=1,AI95=1),MAX(0,MIN(AA95,CFG_WEM)-CFG_WSM),0)</f>
        <v>0</v>
      </c>
      <c r="AM95" s="80">
        <f>AK95+AL95</f>
        <v>0</v>
      </c>
      <c r="AN95" s="80">
        <f>IF(CFG_BRK="Proporcional",IF(AD95=0,0,AF95*AM95/AD95),IF(CFG_BRK="Extras primero",MIN(AM95,MAX(0,AF95-(AD95-AM95))),MIN(AF95,AM95)))</f>
        <v>0</v>
      </c>
      <c r="AO95" s="80">
        <f>AF95-AN95</f>
        <v>0</v>
      </c>
      <c r="AP95" s="80">
        <f>AM95-AN95</f>
        <v>0</v>
      </c>
      <c r="AQ95" s="80">
        <f>AD95-AM95-AO95</f>
        <v>0</v>
      </c>
      <c r="AR95" s="80">
        <f>IF(AM95=0,0,AK95-AN95*AK95/AM95)</f>
        <v>0</v>
      </c>
      <c r="AS95" s="80">
        <f>IF(AD95-AM95=0,0,(AJ95-AK95)-AO95*(AJ95-AK95)/(AD95-AM95))</f>
        <v>0</v>
      </c>
      <c r="AT95" s="80" t="str">
        <f>IF(AC95=1,INT(B95)+1,"")</f>
        <v/>
      </c>
      <c r="AU95" s="80">
        <f>IF(AND(D95="proMX",R95="Cancelled"),0,1)</f>
        <v>1</v>
      </c>
      <c r="AV95" s="80">
        <f>IF(AND(AB95=1,AU95=1),IF(COUNTIFS($D$5:D94,D95,$B$5:B94,B95,$Z$5:Z94,Z95,$AA$5:AA94,AA95,$F$5:F94,F95&amp;"",$AU$5:AU94,1)&gt;0,1,0),0)</f>
        <v>0</v>
      </c>
      <c r="AW95" s="80" t="str">
        <f>IF(AB95=1,INT(B95)*1440+Z95,"")</f>
        <v/>
      </c>
      <c r="AX95" s="80" t="str">
        <f>IF(AB95=1,AW95+AD95,"")</f>
        <v/>
      </c>
      <c r="AY95" s="80">
        <f>IF(AND(AB95=1,AV95=0,AU95=1),1,0)</f>
        <v>0</v>
      </c>
      <c r="AZ95" s="80">
        <f>IF(AY95=1,COUNTIFS(R_Emp,D95,R_SAbs,"&lt;"&amp;AX95,R_EAbs,"&gt;"&amp;AW95,R_OKey,1)-1,0)</f>
        <v>0</v>
      </c>
      <c r="BA95" s="80">
        <f>IF(AY95=1,COUNTIFS(R_Emp,"&lt;&gt;"&amp;D95,R_SAbs,"&lt;"&amp;AX95,R_EAbs,"&gt;"&amp;AW95,R_OKey,1),0)</f>
        <v>0</v>
      </c>
      <c r="BB95" s="80">
        <f>IF(AND(AB95=1,D95="proMX"),IF(AND(MOD(Z95,CFG_BLK)=0,MOD(AA95,CFG_BLK)=0,MOD(AG95,CFG_BLK)=0,AG95&gt;0),1,0),1)</f>
        <v>1</v>
      </c>
      <c r="BC95" s="80" t="str">
        <f>IF(Y95=0,"",IF(NOT(ISNUMBER(B95)),"Falta fecha o fecha inválida",IF(D95="","Falta empresa",IF(AND(D95&lt;&gt;"Malcolm",D95&lt;&gt;"proMX"),"Empresa inválida",IF(OR(INT(B95)&lt;CFG_PSTART,INT(B95)&gt;CFG_PEND),"Fecha fuera del período",IF(OR(NOT(ISNUMBER(Z95)),NOT(ISNUMBER(AA95))),"Falta hora inicio/fin o formato inválido",IF(AB95=0,"Hora inicio = hora fin",IF(AE95&lt;0,"Descanso inválido",IF(AE95&gt;=AD95,"Descanso ≥ duración",IF(AV95=1,"Registro duplicado",IF(AZ95&gt;0,"Se superpone con otro registro "&amp;D95,IF(BB95=0,"inicio, fin y duración neta deben ser múltiplos de "&amp;CFG_BLK&amp;" min",""))))))))))))</f>
        <v/>
      </c>
      <c r="BD95" s="80">
        <f>IF(AND(Y95=1,BC95=""),1,0)</f>
        <v>0</v>
      </c>
      <c r="BE95" s="80">
        <f>IF(AND(BD95=1,AU95=1),1,0)</f>
        <v>0</v>
      </c>
      <c r="BF95" s="80" t="str">
        <f>IF(AND(D95="proMX",BD95=1),IF(R95="","Draft",R95),"")</f>
        <v/>
      </c>
      <c r="BG95" s="80">
        <f>IF(BD95=1,ROUND(AG95/60,6),0)</f>
        <v>0</v>
      </c>
      <c r="BH95" s="80">
        <f>IF(BE95=1,ROUND(AG95/60,6),0)</f>
        <v>0</v>
      </c>
      <c r="BI95" s="80">
        <f>IF(BE95=1,ROUND(AP95/60,6),0)</f>
        <v>0</v>
      </c>
      <c r="BJ95" s="80">
        <f>IF(BE95=1,ROUND(AQ95/60,6),0)</f>
        <v>0</v>
      </c>
      <c r="BK95" s="80">
        <f>IF(BE95=1,ROUND((AR95+AS95)/60,6),0)</f>
        <v>0</v>
      </c>
      <c r="BL95" s="80">
        <f>ROUND(BH95-BK95,6)</f>
        <v>0</v>
      </c>
      <c r="BM95" s="80">
        <f>IF(BE95=1,ROUND(AR95/60,6),0)</f>
        <v>0</v>
      </c>
      <c r="BN95" s="80">
        <f>ROUND(BI95-BM95,6)</f>
        <v>0</v>
      </c>
      <c r="BO95" s="80">
        <f>IF(BE95=1,ROUND(AS95/60,6),0)</f>
        <v>0</v>
      </c>
      <c r="BP95" s="80">
        <f>ROUND(BJ95-BO95,6)</f>
        <v>0</v>
      </c>
      <c r="BQ95" s="80">
        <f>IF(BE95=1,AW95,0)</f>
        <v>0</v>
      </c>
      <c r="BR95" s="80">
        <f>IF(BE95=1,AX95,0)</f>
        <v>0</v>
      </c>
      <c r="BS95" s="80">
        <f>IF(AND(BE95=1,D95="Malcolm",BA95&gt;0),MIN(BH95,SUMPRODUCT((R_Emp="proMX")*(R_EN&gt;0)*((R_EN-(R_EN&gt;BR95)*(R_EN-BR95))&gt;(R_SN+(R_SN&lt;BQ95)*(BQ95-R_SN)))*((R_EN-(R_EN&gt;BR95)*(R_EN-BR95))-(R_SN+(R_SN&lt;BQ95)*(BQ95-R_SN))))/60),0)</f>
        <v>0</v>
      </c>
      <c r="BT95" s="80">
        <f>IF(AND(BE95=1,D95="proMX"),ROUND(BI95*CFG_RATE+BJ95*CFG_OTRATE,6),0)</f>
        <v>0</v>
      </c>
      <c r="BU95" s="80">
        <f>IF(AND(BD95=1,D95="proMX"),ROUND(AG95/CFG_BLK,6),0)</f>
        <v>0</v>
      </c>
      <c r="BV95" s="80" t="str">
        <f>IF(BF95="Approved",IF(ISNUMBER(T95),INT(T95),INT(B95)),"")</f>
        <v/>
      </c>
      <c r="BW95" s="80">
        <f>IF(ISNUMBER(B95),IF(DB_MON="Todos",1,IF(AND(INT(B95)&gt;=DB_MS,INT(B95)&lt;=DB_ME),1,0)),0)</f>
        <v>0</v>
      </c>
      <c r="BX95" s="80">
        <f>IF(DB_PROJ="Todos",1,IF(E95&amp;""=DB_PROJ&amp;"",1,0))</f>
        <v>1</v>
      </c>
      <c r="BY95" s="80">
        <f>BW95*BX95</f>
        <v>0</v>
      </c>
      <c r="BZ95" s="80" t="str">
        <f>IF(Y95=1,F95&amp;IF(AND(F95&amp;""&lt;&gt;"",E95&amp;""&lt;&gt;"")," · ","")&amp;E95,"")</f>
        <v/>
      </c>
      <c r="CA95" s="80" t="str">
        <f>IF(AND(BD95=1,E95&amp;""&lt;&gt;""),IF(COUNTIFS($E$5:E94,E95,$BD$5:BD94,1)=0,MAX($CA$5:CA94)+1,""),"")</f>
        <v/>
      </c>
      <c r="CB95" s="80" t="str">
        <f>IF(AND(BE95=1,D95="Malcolm",E95&amp;""&lt;&gt;""),IF(COUNTIFS($D$5:D94,"Malcolm",$E$5:E94,E95,$BE$5:BE94,1)=0,MAX($CB$5:CB94)+1,""),"")</f>
        <v/>
      </c>
      <c r="CC95" s="80" t="str">
        <f>IF(AND(BD95=1,D95="proMX",E95&amp;""&lt;&gt;""),IF(COUNTIFS($D$5:D94,"proMX",$E$5:E94,E95,$BD$5:BD94,1)=0,MAX($CC$5:CC94)+1,""),"")</f>
        <v/>
      </c>
      <c r="CD95" s="80" t="str">
        <f>IF(AND(BE95=1,D95="Malcolm",F95&amp;""&lt;&gt;""),IF(COUNTIFS($D$5:D94,"Malcolm",$F$5:F94,F95,$BE$5:BE94,1)=0,MAX($CD$5:CD94)+1,""),"")</f>
        <v/>
      </c>
      <c r="CE95" s="80" t="str">
        <f>IF(AND(BD95=1,D95="proMX",F95&amp;""&lt;&gt;""),IF(COUNTIFS($D$5:D94,"proMX",$F$5:F94,F95,$BD$5:BD94,1)=0,MAX($CE$5:CE94)+1,""),"")</f>
        <v/>
      </c>
      <c r="CF95" s="80" t="str">
        <f>IF(AND(D95="proMX",BD95=1),IF(OR(BF95="Draft",BF95="Submitted",BF95="Returned",BF95="Recall Requested"),MAX($CF$5:CF94)+1,""),"")</f>
        <v/>
      </c>
      <c r="CG95" s="80">
        <f>IF(BD95=0,0,IF(D95="Malcolm",1,MATCH(BF95,{"Draft","Submitted","Approved","Returned","Recall Requested","Cancelled"},0)+1))</f>
        <v>0</v>
      </c>
      <c r="CH95" s="80">
        <f>IF(AND(BF95="Submitted",ISNUMBER(V95)),IF(V95&gt;CFG_MAXD,1,0),0)</f>
        <v>0</v>
      </c>
    </row>
    <row r="96">
      <c r="A96" s="71" t="str">
        <f>IF(Y96=1,ROW()-5,"")</f>
        <v/>
      </c>
      <c r="B96" s="72" t="n"/>
      <c r="C96" s="71" t="str">
        <f>IF(ISNUMBER(B96),CHOOSE(WEEKDAY(B96,2),"Lun","Mar","Mié","Jue","Vie","Sáb","Dom"),"")</f>
        <v/>
      </c>
      <c r="D96" s="73" t="n"/>
      <c r="E96" s="74" t="n"/>
      <c r="F96" s="74" t="n"/>
      <c r="G96" s="74" t="n"/>
      <c r="H96" s="75" t="n"/>
      <c r="I96" s="75" t="n"/>
      <c r="J96" s="76" t="n"/>
      <c r="K96" s="77" t="str">
        <f>IF(AB96=1,ROUND(AG96/60,4),"")</f>
        <v/>
      </c>
      <c r="L96" s="77" t="str">
        <f>IF(BD96=1,ROUND(AP96/60,4),"")</f>
        <v/>
      </c>
      <c r="M96" s="77" t="str">
        <f>IF(BD96=1,ROUND(AQ96/60,4),"")</f>
        <v/>
      </c>
      <c r="N96" s="71" t="str">
        <f>IF(AND(D96="proMX",AB96=1),ROUND(AG96/CFG_BLK,2),"")</f>
        <v/>
      </c>
      <c r="O96" s="77" t="str">
        <f>IF(D96="proMX",IF(BD96=1,ROUND(AG96/60,4),0),"")</f>
        <v/>
      </c>
      <c r="P96" s="78" t="str">
        <f>IF(Y96=0,"",IF(BD96=1,"OK",IF(D96="proMX","Revisar bloques: ","Revisar: ")&amp;BC96))</f>
        <v/>
      </c>
      <c r="Q96" s="78" t="str">
        <f>IF(NOT(ISNUMBER(B96)),"",IF(COUNTIFS(FER_F,INT(B96))&gt;0,"Feriado"&amp;IF(AH96=1," (laborable)"," (no laborable)"),IF(AH96=1,"Laborable",IF(WEEKDAY(B96,2)&gt;5,"Fin de semana","No laborable"))))</f>
        <v/>
      </c>
      <c r="R96" s="73" t="n"/>
      <c r="S96" s="72" t="n"/>
      <c r="T96" s="72" t="n"/>
      <c r="U96" s="74" t="n"/>
      <c r="V96" s="79" t="str">
        <f>IF(AND(D96="proMX",OR(R96="Submitted",R96="Recall Requested"),ISNUMBER(S96)),CFG_TODAY-INT(S96),"")</f>
        <v/>
      </c>
      <c r="W96" s="78" t="str">
        <f>IF(BD96=0,"",IF(BA96&gt;0,"⚠ Se superpone con un registro de la otra empresa",IF(D96="Malcolm",IF(COUNTA(R96,S96,T96)&gt;0,"Estado/fechas proMX se ignoran en Malcolm",""),IF(BF96="Cancelled","Cancelado: excluido de totales",IF(R96="","Sin estado: se trata como Draft",IF(BF96="Submitted",IF(ISNUMBER(V96),IF(V96&gt;CFG_MAXD,"⚠ "&amp;V96&amp;" días en Submitted (máx. "&amp;CFG_MAXD&amp;")",""),"Falta fecha de envío"),IF(BF96="Returned","⚠ Devuelto: corregir y reenviar",IF(BF96="Recall Requested","Retirada solicitada: pendiente",IF(AND(BF96="Approved",NOT(ISNUMBER(T96))),"Falta fecha de aprobación",IF(AND(ISNUMBER(S96),ISNUMBER(T96),T96&lt;S96),"Aprobación anterior al envío","")))))))))</f>
        <v/>
      </c>
      <c r="Y96" s="80">
        <f>IF(COUNTA(B96,D96,E96,F96,G96,H96,I96,J96,R96,S96,T96)&gt;0,1,0)</f>
        <v>0</v>
      </c>
      <c r="Z96" s="80" t="str">
        <f>IF(AND(ISNUMBER(H96),H96&gt;=0,H96&lt;1),ROUND(H96*1440,0),"")</f>
        <v/>
      </c>
      <c r="AA96" s="80" t="str">
        <f>IF(AND(ISNUMBER(I96),I96&gt;=0,I96&lt;1),ROUND(I96*1440,0),"")</f>
        <v/>
      </c>
      <c r="AB96" s="80">
        <f>IF(AND(ISNUMBER(B96),D96&lt;&gt;"",ISNUMBER(Z96),ISNUMBER(AA96)),IF(Z96=AA96,0,1),0)</f>
        <v>0</v>
      </c>
      <c r="AC96" s="80">
        <f>IF(AB96=1,IF(AA96&lt;Z96,1,0),0)</f>
        <v>0</v>
      </c>
      <c r="AD96" s="80">
        <f>IF(AB96=1,IF(AC96=1,1440-Z96+AA96,AA96-Z96),0)</f>
        <v>0</v>
      </c>
      <c r="AE96" s="80">
        <f>IF(J96="",0,IF(ISNUMBER(J96),J96,-1))</f>
        <v>0</v>
      </c>
      <c r="AF96" s="80">
        <f>MIN(MAX(0,AE96),AD96)</f>
        <v>0</v>
      </c>
      <c r="AG96" s="80">
        <f>MAX(0,AD96-MAX(0,AE96))</f>
        <v>0</v>
      </c>
      <c r="AH96" s="80">
        <f>IF(ISNUMBER(B96),IF(AND(INDEX(CFG_WDAYS,WEEKDAY(INT(B96),2))="Sí",IF(D96="proMX",COUNTIFS(FER_F,INT(B96),FER_NLP,"Sí"),COUNTIFS(FER_F,INT(B96),FER_NLM,"Sí"))=0),1,0),0)</f>
        <v>0</v>
      </c>
      <c r="AI96" s="80">
        <f>IF(AC96=1,IF(AND(INDEX(CFG_WDAYS,WEEKDAY(INT(B96)+1,2))="Sí",IF(D96="proMX",COUNTIFS(FER_F,INT(B96)+1,FER_NLP,"Sí"),COUNTIFS(FER_F,INT(B96)+1,FER_NLM,"Sí"))=0),1,0),0)</f>
        <v>0</v>
      </c>
      <c r="AJ96" s="80">
        <f>IF(AC96=1,1440-Z96,AD96)</f>
        <v>0</v>
      </c>
      <c r="AK96" s="80">
        <f>IF(AND(AB96=1,AH96=1),MAX(0,MIN(IF(AC96=1,1440,AA96),CFG_WEM)-MAX(Z96,CFG_WSM)),0)</f>
        <v>0</v>
      </c>
      <c r="AL96" s="80">
        <f>IF(AND(AC96=1,AI96=1),MAX(0,MIN(AA96,CFG_WEM)-CFG_WSM),0)</f>
        <v>0</v>
      </c>
      <c r="AM96" s="80">
        <f>AK96+AL96</f>
        <v>0</v>
      </c>
      <c r="AN96" s="80">
        <f>IF(CFG_BRK="Proporcional",IF(AD96=0,0,AF96*AM96/AD96),IF(CFG_BRK="Extras primero",MIN(AM96,MAX(0,AF96-(AD96-AM96))),MIN(AF96,AM96)))</f>
        <v>0</v>
      </c>
      <c r="AO96" s="80">
        <f>AF96-AN96</f>
        <v>0</v>
      </c>
      <c r="AP96" s="80">
        <f>AM96-AN96</f>
        <v>0</v>
      </c>
      <c r="AQ96" s="80">
        <f>AD96-AM96-AO96</f>
        <v>0</v>
      </c>
      <c r="AR96" s="80">
        <f>IF(AM96=0,0,AK96-AN96*AK96/AM96)</f>
        <v>0</v>
      </c>
      <c r="AS96" s="80">
        <f>IF(AD96-AM96=0,0,(AJ96-AK96)-AO96*(AJ96-AK96)/(AD96-AM96))</f>
        <v>0</v>
      </c>
      <c r="AT96" s="80" t="str">
        <f>IF(AC96=1,INT(B96)+1,"")</f>
        <v/>
      </c>
      <c r="AU96" s="80">
        <f>IF(AND(D96="proMX",R96="Cancelled"),0,1)</f>
        <v>1</v>
      </c>
      <c r="AV96" s="80">
        <f>IF(AND(AB96=1,AU96=1),IF(COUNTIFS($D$5:D95,D96,$B$5:B95,B96,$Z$5:Z95,Z96,$AA$5:AA95,AA96,$F$5:F95,F96&amp;"",$AU$5:AU95,1)&gt;0,1,0),0)</f>
        <v>0</v>
      </c>
      <c r="AW96" s="80" t="str">
        <f>IF(AB96=1,INT(B96)*1440+Z96,"")</f>
        <v/>
      </c>
      <c r="AX96" s="80" t="str">
        <f>IF(AB96=1,AW96+AD96,"")</f>
        <v/>
      </c>
      <c r="AY96" s="80">
        <f>IF(AND(AB96=1,AV96=0,AU96=1),1,0)</f>
        <v>0</v>
      </c>
      <c r="AZ96" s="80">
        <f>IF(AY96=1,COUNTIFS(R_Emp,D96,R_SAbs,"&lt;"&amp;AX96,R_EAbs,"&gt;"&amp;AW96,R_OKey,1)-1,0)</f>
        <v>0</v>
      </c>
      <c r="BA96" s="80">
        <f>IF(AY96=1,COUNTIFS(R_Emp,"&lt;&gt;"&amp;D96,R_SAbs,"&lt;"&amp;AX96,R_EAbs,"&gt;"&amp;AW96,R_OKey,1),0)</f>
        <v>0</v>
      </c>
      <c r="BB96" s="80">
        <f>IF(AND(AB96=1,D96="proMX"),IF(AND(MOD(Z96,CFG_BLK)=0,MOD(AA96,CFG_BLK)=0,MOD(AG96,CFG_BLK)=0,AG96&gt;0),1,0),1)</f>
        <v>1</v>
      </c>
      <c r="BC96" s="80" t="str">
        <f>IF(Y96=0,"",IF(NOT(ISNUMBER(B96)),"Falta fecha o fecha inválida",IF(D96="","Falta empresa",IF(AND(D96&lt;&gt;"Malcolm",D96&lt;&gt;"proMX"),"Empresa inválida",IF(OR(INT(B96)&lt;CFG_PSTART,INT(B96)&gt;CFG_PEND),"Fecha fuera del período",IF(OR(NOT(ISNUMBER(Z96)),NOT(ISNUMBER(AA96))),"Falta hora inicio/fin o formato inválido",IF(AB96=0,"Hora inicio = hora fin",IF(AE96&lt;0,"Descanso inválido",IF(AE96&gt;=AD96,"Descanso ≥ duración",IF(AV96=1,"Registro duplicado",IF(AZ96&gt;0,"Se superpone con otro registro "&amp;D96,IF(BB96=0,"inicio, fin y duración neta deben ser múltiplos de "&amp;CFG_BLK&amp;" min",""))))))))))))</f>
        <v/>
      </c>
      <c r="BD96" s="80">
        <f>IF(AND(Y96=1,BC96=""),1,0)</f>
        <v>0</v>
      </c>
      <c r="BE96" s="80">
        <f>IF(AND(BD96=1,AU96=1),1,0)</f>
        <v>0</v>
      </c>
      <c r="BF96" s="80" t="str">
        <f>IF(AND(D96="proMX",BD96=1),IF(R96="","Draft",R96),"")</f>
        <v/>
      </c>
      <c r="BG96" s="80">
        <f>IF(BD96=1,ROUND(AG96/60,6),0)</f>
        <v>0</v>
      </c>
      <c r="BH96" s="80">
        <f>IF(BE96=1,ROUND(AG96/60,6),0)</f>
        <v>0</v>
      </c>
      <c r="BI96" s="80">
        <f>IF(BE96=1,ROUND(AP96/60,6),0)</f>
        <v>0</v>
      </c>
      <c r="BJ96" s="80">
        <f>IF(BE96=1,ROUND(AQ96/60,6),0)</f>
        <v>0</v>
      </c>
      <c r="BK96" s="80">
        <f>IF(BE96=1,ROUND((AR96+AS96)/60,6),0)</f>
        <v>0</v>
      </c>
      <c r="BL96" s="80">
        <f>ROUND(BH96-BK96,6)</f>
        <v>0</v>
      </c>
      <c r="BM96" s="80">
        <f>IF(BE96=1,ROUND(AR96/60,6),0)</f>
        <v>0</v>
      </c>
      <c r="BN96" s="80">
        <f>ROUND(BI96-BM96,6)</f>
        <v>0</v>
      </c>
      <c r="BO96" s="80">
        <f>IF(BE96=1,ROUND(AS96/60,6),0)</f>
        <v>0</v>
      </c>
      <c r="BP96" s="80">
        <f>ROUND(BJ96-BO96,6)</f>
        <v>0</v>
      </c>
      <c r="BQ96" s="80">
        <f>IF(BE96=1,AW96,0)</f>
        <v>0</v>
      </c>
      <c r="BR96" s="80">
        <f>IF(BE96=1,AX96,0)</f>
        <v>0</v>
      </c>
      <c r="BS96" s="80">
        <f>IF(AND(BE96=1,D96="Malcolm",BA96&gt;0),MIN(BH96,SUMPRODUCT((R_Emp="proMX")*(R_EN&gt;0)*((R_EN-(R_EN&gt;BR96)*(R_EN-BR96))&gt;(R_SN+(R_SN&lt;BQ96)*(BQ96-R_SN)))*((R_EN-(R_EN&gt;BR96)*(R_EN-BR96))-(R_SN+(R_SN&lt;BQ96)*(BQ96-R_SN))))/60),0)</f>
        <v>0</v>
      </c>
      <c r="BT96" s="80">
        <f>IF(AND(BE96=1,D96="proMX"),ROUND(BI96*CFG_RATE+BJ96*CFG_OTRATE,6),0)</f>
        <v>0</v>
      </c>
      <c r="BU96" s="80">
        <f>IF(AND(BD96=1,D96="proMX"),ROUND(AG96/CFG_BLK,6),0)</f>
        <v>0</v>
      </c>
      <c r="BV96" s="80" t="str">
        <f>IF(BF96="Approved",IF(ISNUMBER(T96),INT(T96),INT(B96)),"")</f>
        <v/>
      </c>
      <c r="BW96" s="80">
        <f>IF(ISNUMBER(B96),IF(DB_MON="Todos",1,IF(AND(INT(B96)&gt;=DB_MS,INT(B96)&lt;=DB_ME),1,0)),0)</f>
        <v>0</v>
      </c>
      <c r="BX96" s="80">
        <f>IF(DB_PROJ="Todos",1,IF(E96&amp;""=DB_PROJ&amp;"",1,0))</f>
        <v>1</v>
      </c>
      <c r="BY96" s="80">
        <f>BW96*BX96</f>
        <v>0</v>
      </c>
      <c r="BZ96" s="80" t="str">
        <f>IF(Y96=1,F96&amp;IF(AND(F96&amp;""&lt;&gt;"",E96&amp;""&lt;&gt;"")," · ","")&amp;E96,"")</f>
        <v/>
      </c>
      <c r="CA96" s="80" t="str">
        <f>IF(AND(BD96=1,E96&amp;""&lt;&gt;""),IF(COUNTIFS($E$5:E95,E96,$BD$5:BD95,1)=0,MAX($CA$5:CA95)+1,""),"")</f>
        <v/>
      </c>
      <c r="CB96" s="80" t="str">
        <f>IF(AND(BE96=1,D96="Malcolm",E96&amp;""&lt;&gt;""),IF(COUNTIFS($D$5:D95,"Malcolm",$E$5:E95,E96,$BE$5:BE95,1)=0,MAX($CB$5:CB95)+1,""),"")</f>
        <v/>
      </c>
      <c r="CC96" s="80" t="str">
        <f>IF(AND(BD96=1,D96="proMX",E96&amp;""&lt;&gt;""),IF(COUNTIFS($D$5:D95,"proMX",$E$5:E95,E96,$BD$5:BD95,1)=0,MAX($CC$5:CC95)+1,""),"")</f>
        <v/>
      </c>
      <c r="CD96" s="80" t="str">
        <f>IF(AND(BE96=1,D96="Malcolm",F96&amp;""&lt;&gt;""),IF(COUNTIFS($D$5:D95,"Malcolm",$F$5:F95,F96,$BE$5:BE95,1)=0,MAX($CD$5:CD95)+1,""),"")</f>
        <v/>
      </c>
      <c r="CE96" s="80" t="str">
        <f>IF(AND(BD96=1,D96="proMX",F96&amp;""&lt;&gt;""),IF(COUNTIFS($D$5:D95,"proMX",$F$5:F95,F96,$BD$5:BD95,1)=0,MAX($CE$5:CE95)+1,""),"")</f>
        <v/>
      </c>
      <c r="CF96" s="80" t="str">
        <f>IF(AND(D96="proMX",BD96=1),IF(OR(BF96="Draft",BF96="Submitted",BF96="Returned",BF96="Recall Requested"),MAX($CF$5:CF95)+1,""),"")</f>
        <v/>
      </c>
      <c r="CG96" s="80">
        <f>IF(BD96=0,0,IF(D96="Malcolm",1,MATCH(BF96,{"Draft","Submitted","Approved","Returned","Recall Requested","Cancelled"},0)+1))</f>
        <v>0</v>
      </c>
      <c r="CH96" s="80">
        <f>IF(AND(BF96="Submitted",ISNUMBER(V96)),IF(V96&gt;CFG_MAXD,1,0),0)</f>
        <v>0</v>
      </c>
    </row>
    <row r="97">
      <c r="A97" s="71" t="str">
        <f>IF(Y97=1,ROW()-5,"")</f>
        <v/>
      </c>
      <c r="B97" s="72" t="n"/>
      <c r="C97" s="71" t="str">
        <f>IF(ISNUMBER(B97),CHOOSE(WEEKDAY(B97,2),"Lun","Mar","Mié","Jue","Vie","Sáb","Dom"),"")</f>
        <v/>
      </c>
      <c r="D97" s="73" t="n"/>
      <c r="E97" s="74" t="n"/>
      <c r="F97" s="74" t="n"/>
      <c r="G97" s="74" t="n"/>
      <c r="H97" s="75" t="n"/>
      <c r="I97" s="75" t="n"/>
      <c r="J97" s="76" t="n"/>
      <c r="K97" s="77" t="str">
        <f>IF(AB97=1,ROUND(AG97/60,4),"")</f>
        <v/>
      </c>
      <c r="L97" s="77" t="str">
        <f>IF(BD97=1,ROUND(AP97/60,4),"")</f>
        <v/>
      </c>
      <c r="M97" s="77" t="str">
        <f>IF(BD97=1,ROUND(AQ97/60,4),"")</f>
        <v/>
      </c>
      <c r="N97" s="71" t="str">
        <f>IF(AND(D97="proMX",AB97=1),ROUND(AG97/CFG_BLK,2),"")</f>
        <v/>
      </c>
      <c r="O97" s="77" t="str">
        <f>IF(D97="proMX",IF(BD97=1,ROUND(AG97/60,4),0),"")</f>
        <v/>
      </c>
      <c r="P97" s="78" t="str">
        <f>IF(Y97=0,"",IF(BD97=1,"OK",IF(D97="proMX","Revisar bloques: ","Revisar: ")&amp;BC97))</f>
        <v/>
      </c>
      <c r="Q97" s="78" t="str">
        <f>IF(NOT(ISNUMBER(B97)),"",IF(COUNTIFS(FER_F,INT(B97))&gt;0,"Feriado"&amp;IF(AH97=1," (laborable)"," (no laborable)"),IF(AH97=1,"Laborable",IF(WEEKDAY(B97,2)&gt;5,"Fin de semana","No laborable"))))</f>
        <v/>
      </c>
      <c r="R97" s="73" t="n"/>
      <c r="S97" s="72" t="n"/>
      <c r="T97" s="72" t="n"/>
      <c r="U97" s="74" t="n"/>
      <c r="V97" s="79" t="str">
        <f>IF(AND(D97="proMX",OR(R97="Submitted",R97="Recall Requested"),ISNUMBER(S97)),CFG_TODAY-INT(S97),"")</f>
        <v/>
      </c>
      <c r="W97" s="78" t="str">
        <f>IF(BD97=0,"",IF(BA97&gt;0,"⚠ Se superpone con un registro de la otra empresa",IF(D97="Malcolm",IF(COUNTA(R97,S97,T97)&gt;0,"Estado/fechas proMX se ignoran en Malcolm",""),IF(BF97="Cancelled","Cancelado: excluido de totales",IF(R97="","Sin estado: se trata como Draft",IF(BF97="Submitted",IF(ISNUMBER(V97),IF(V97&gt;CFG_MAXD,"⚠ "&amp;V97&amp;" días en Submitted (máx. "&amp;CFG_MAXD&amp;")",""),"Falta fecha de envío"),IF(BF97="Returned","⚠ Devuelto: corregir y reenviar",IF(BF97="Recall Requested","Retirada solicitada: pendiente",IF(AND(BF97="Approved",NOT(ISNUMBER(T97))),"Falta fecha de aprobación",IF(AND(ISNUMBER(S97),ISNUMBER(T97),T97&lt;S97),"Aprobación anterior al envío","")))))))))</f>
        <v/>
      </c>
      <c r="Y97" s="80">
        <f>IF(COUNTA(B97,D97,E97,F97,G97,H97,I97,J97,R97,S97,T97)&gt;0,1,0)</f>
        <v>0</v>
      </c>
      <c r="Z97" s="80" t="str">
        <f>IF(AND(ISNUMBER(H97),H97&gt;=0,H97&lt;1),ROUND(H97*1440,0),"")</f>
        <v/>
      </c>
      <c r="AA97" s="80" t="str">
        <f>IF(AND(ISNUMBER(I97),I97&gt;=0,I97&lt;1),ROUND(I97*1440,0),"")</f>
        <v/>
      </c>
      <c r="AB97" s="80">
        <f>IF(AND(ISNUMBER(B97),D97&lt;&gt;"",ISNUMBER(Z97),ISNUMBER(AA97)),IF(Z97=AA97,0,1),0)</f>
        <v>0</v>
      </c>
      <c r="AC97" s="80">
        <f>IF(AB97=1,IF(AA97&lt;Z97,1,0),0)</f>
        <v>0</v>
      </c>
      <c r="AD97" s="80">
        <f>IF(AB97=1,IF(AC97=1,1440-Z97+AA97,AA97-Z97),0)</f>
        <v>0</v>
      </c>
      <c r="AE97" s="80">
        <f>IF(J97="",0,IF(ISNUMBER(J97),J97,-1))</f>
        <v>0</v>
      </c>
      <c r="AF97" s="80">
        <f>MIN(MAX(0,AE97),AD97)</f>
        <v>0</v>
      </c>
      <c r="AG97" s="80">
        <f>MAX(0,AD97-MAX(0,AE97))</f>
        <v>0</v>
      </c>
      <c r="AH97" s="80">
        <f>IF(ISNUMBER(B97),IF(AND(INDEX(CFG_WDAYS,WEEKDAY(INT(B97),2))="Sí",IF(D97="proMX",COUNTIFS(FER_F,INT(B97),FER_NLP,"Sí"),COUNTIFS(FER_F,INT(B97),FER_NLM,"Sí"))=0),1,0),0)</f>
        <v>0</v>
      </c>
      <c r="AI97" s="80">
        <f>IF(AC97=1,IF(AND(INDEX(CFG_WDAYS,WEEKDAY(INT(B97)+1,2))="Sí",IF(D97="proMX",COUNTIFS(FER_F,INT(B97)+1,FER_NLP,"Sí"),COUNTIFS(FER_F,INT(B97)+1,FER_NLM,"Sí"))=0),1,0),0)</f>
        <v>0</v>
      </c>
      <c r="AJ97" s="80">
        <f>IF(AC97=1,1440-Z97,AD97)</f>
        <v>0</v>
      </c>
      <c r="AK97" s="80">
        <f>IF(AND(AB97=1,AH97=1),MAX(0,MIN(IF(AC97=1,1440,AA97),CFG_WEM)-MAX(Z97,CFG_WSM)),0)</f>
        <v>0</v>
      </c>
      <c r="AL97" s="80">
        <f>IF(AND(AC97=1,AI97=1),MAX(0,MIN(AA97,CFG_WEM)-CFG_WSM),0)</f>
        <v>0</v>
      </c>
      <c r="AM97" s="80">
        <f>AK97+AL97</f>
        <v>0</v>
      </c>
      <c r="AN97" s="80">
        <f>IF(CFG_BRK="Proporcional",IF(AD97=0,0,AF97*AM97/AD97),IF(CFG_BRK="Extras primero",MIN(AM97,MAX(0,AF97-(AD97-AM97))),MIN(AF97,AM97)))</f>
        <v>0</v>
      </c>
      <c r="AO97" s="80">
        <f>AF97-AN97</f>
        <v>0</v>
      </c>
      <c r="AP97" s="80">
        <f>AM97-AN97</f>
        <v>0</v>
      </c>
      <c r="AQ97" s="80">
        <f>AD97-AM97-AO97</f>
        <v>0</v>
      </c>
      <c r="AR97" s="80">
        <f>IF(AM97=0,0,AK97-AN97*AK97/AM97)</f>
        <v>0</v>
      </c>
      <c r="AS97" s="80">
        <f>IF(AD97-AM97=0,0,(AJ97-AK97)-AO97*(AJ97-AK97)/(AD97-AM97))</f>
        <v>0</v>
      </c>
      <c r="AT97" s="80" t="str">
        <f>IF(AC97=1,INT(B97)+1,"")</f>
        <v/>
      </c>
      <c r="AU97" s="80">
        <f>IF(AND(D97="proMX",R97="Cancelled"),0,1)</f>
        <v>1</v>
      </c>
      <c r="AV97" s="80">
        <f>IF(AND(AB97=1,AU97=1),IF(COUNTIFS($D$5:D96,D97,$B$5:B96,B97,$Z$5:Z96,Z97,$AA$5:AA96,AA97,$F$5:F96,F97&amp;"",$AU$5:AU96,1)&gt;0,1,0),0)</f>
        <v>0</v>
      </c>
      <c r="AW97" s="80" t="str">
        <f>IF(AB97=1,INT(B97)*1440+Z97,"")</f>
        <v/>
      </c>
      <c r="AX97" s="80" t="str">
        <f>IF(AB97=1,AW97+AD97,"")</f>
        <v/>
      </c>
      <c r="AY97" s="80">
        <f>IF(AND(AB97=1,AV97=0,AU97=1),1,0)</f>
        <v>0</v>
      </c>
      <c r="AZ97" s="80">
        <f>IF(AY97=1,COUNTIFS(R_Emp,D97,R_SAbs,"&lt;"&amp;AX97,R_EAbs,"&gt;"&amp;AW97,R_OKey,1)-1,0)</f>
        <v>0</v>
      </c>
      <c r="BA97" s="80">
        <f>IF(AY97=1,COUNTIFS(R_Emp,"&lt;&gt;"&amp;D97,R_SAbs,"&lt;"&amp;AX97,R_EAbs,"&gt;"&amp;AW97,R_OKey,1),0)</f>
        <v>0</v>
      </c>
      <c r="BB97" s="80">
        <f>IF(AND(AB97=1,D97="proMX"),IF(AND(MOD(Z97,CFG_BLK)=0,MOD(AA97,CFG_BLK)=0,MOD(AG97,CFG_BLK)=0,AG97&gt;0),1,0),1)</f>
        <v>1</v>
      </c>
      <c r="BC97" s="80" t="str">
        <f>IF(Y97=0,"",IF(NOT(ISNUMBER(B97)),"Falta fecha o fecha inválida",IF(D97="","Falta empresa",IF(AND(D97&lt;&gt;"Malcolm",D97&lt;&gt;"proMX"),"Empresa inválida",IF(OR(INT(B97)&lt;CFG_PSTART,INT(B97)&gt;CFG_PEND),"Fecha fuera del período",IF(OR(NOT(ISNUMBER(Z97)),NOT(ISNUMBER(AA97))),"Falta hora inicio/fin o formato inválido",IF(AB97=0,"Hora inicio = hora fin",IF(AE97&lt;0,"Descanso inválido",IF(AE97&gt;=AD97,"Descanso ≥ duración",IF(AV97=1,"Registro duplicado",IF(AZ97&gt;0,"Se superpone con otro registro "&amp;D97,IF(BB97=0,"inicio, fin y duración neta deben ser múltiplos de "&amp;CFG_BLK&amp;" min",""))))))))))))</f>
        <v/>
      </c>
      <c r="BD97" s="80">
        <f>IF(AND(Y97=1,BC97=""),1,0)</f>
        <v>0</v>
      </c>
      <c r="BE97" s="80">
        <f>IF(AND(BD97=1,AU97=1),1,0)</f>
        <v>0</v>
      </c>
      <c r="BF97" s="80" t="str">
        <f>IF(AND(D97="proMX",BD97=1),IF(R97="","Draft",R97),"")</f>
        <v/>
      </c>
      <c r="BG97" s="80">
        <f>IF(BD97=1,ROUND(AG97/60,6),0)</f>
        <v>0</v>
      </c>
      <c r="BH97" s="80">
        <f>IF(BE97=1,ROUND(AG97/60,6),0)</f>
        <v>0</v>
      </c>
      <c r="BI97" s="80">
        <f>IF(BE97=1,ROUND(AP97/60,6),0)</f>
        <v>0</v>
      </c>
      <c r="BJ97" s="80">
        <f>IF(BE97=1,ROUND(AQ97/60,6),0)</f>
        <v>0</v>
      </c>
      <c r="BK97" s="80">
        <f>IF(BE97=1,ROUND((AR97+AS97)/60,6),0)</f>
        <v>0</v>
      </c>
      <c r="BL97" s="80">
        <f>ROUND(BH97-BK97,6)</f>
        <v>0</v>
      </c>
      <c r="BM97" s="80">
        <f>IF(BE97=1,ROUND(AR97/60,6),0)</f>
        <v>0</v>
      </c>
      <c r="BN97" s="80">
        <f>ROUND(BI97-BM97,6)</f>
        <v>0</v>
      </c>
      <c r="BO97" s="80">
        <f>IF(BE97=1,ROUND(AS97/60,6),0)</f>
        <v>0</v>
      </c>
      <c r="BP97" s="80">
        <f>ROUND(BJ97-BO97,6)</f>
        <v>0</v>
      </c>
      <c r="BQ97" s="80">
        <f>IF(BE97=1,AW97,0)</f>
        <v>0</v>
      </c>
      <c r="BR97" s="80">
        <f>IF(BE97=1,AX97,0)</f>
        <v>0</v>
      </c>
      <c r="BS97" s="80">
        <f>IF(AND(BE97=1,D97="Malcolm",BA97&gt;0),MIN(BH97,SUMPRODUCT((R_Emp="proMX")*(R_EN&gt;0)*((R_EN-(R_EN&gt;BR97)*(R_EN-BR97))&gt;(R_SN+(R_SN&lt;BQ97)*(BQ97-R_SN)))*((R_EN-(R_EN&gt;BR97)*(R_EN-BR97))-(R_SN+(R_SN&lt;BQ97)*(BQ97-R_SN))))/60),0)</f>
        <v>0</v>
      </c>
      <c r="BT97" s="80">
        <f>IF(AND(BE97=1,D97="proMX"),ROUND(BI97*CFG_RATE+BJ97*CFG_OTRATE,6),0)</f>
        <v>0</v>
      </c>
      <c r="BU97" s="80">
        <f>IF(AND(BD97=1,D97="proMX"),ROUND(AG97/CFG_BLK,6),0)</f>
        <v>0</v>
      </c>
      <c r="BV97" s="80" t="str">
        <f>IF(BF97="Approved",IF(ISNUMBER(T97),INT(T97),INT(B97)),"")</f>
        <v/>
      </c>
      <c r="BW97" s="80">
        <f>IF(ISNUMBER(B97),IF(DB_MON="Todos",1,IF(AND(INT(B97)&gt;=DB_MS,INT(B97)&lt;=DB_ME),1,0)),0)</f>
        <v>0</v>
      </c>
      <c r="BX97" s="80">
        <f>IF(DB_PROJ="Todos",1,IF(E97&amp;""=DB_PROJ&amp;"",1,0))</f>
        <v>1</v>
      </c>
      <c r="BY97" s="80">
        <f>BW97*BX97</f>
        <v>0</v>
      </c>
      <c r="BZ97" s="80" t="str">
        <f>IF(Y97=1,F97&amp;IF(AND(F97&amp;""&lt;&gt;"",E97&amp;""&lt;&gt;"")," · ","")&amp;E97,"")</f>
        <v/>
      </c>
      <c r="CA97" s="80" t="str">
        <f>IF(AND(BD97=1,E97&amp;""&lt;&gt;""),IF(COUNTIFS($E$5:E96,E97,$BD$5:BD96,1)=0,MAX($CA$5:CA96)+1,""),"")</f>
        <v/>
      </c>
      <c r="CB97" s="80" t="str">
        <f>IF(AND(BE97=1,D97="Malcolm",E97&amp;""&lt;&gt;""),IF(COUNTIFS($D$5:D96,"Malcolm",$E$5:E96,E97,$BE$5:BE96,1)=0,MAX($CB$5:CB96)+1,""),"")</f>
        <v/>
      </c>
      <c r="CC97" s="80" t="str">
        <f>IF(AND(BD97=1,D97="proMX",E97&amp;""&lt;&gt;""),IF(COUNTIFS($D$5:D96,"proMX",$E$5:E96,E97,$BD$5:BD96,1)=0,MAX($CC$5:CC96)+1,""),"")</f>
        <v/>
      </c>
      <c r="CD97" s="80" t="str">
        <f>IF(AND(BE97=1,D97="Malcolm",F97&amp;""&lt;&gt;""),IF(COUNTIFS($D$5:D96,"Malcolm",$F$5:F96,F97,$BE$5:BE96,1)=0,MAX($CD$5:CD96)+1,""),"")</f>
        <v/>
      </c>
      <c r="CE97" s="80" t="str">
        <f>IF(AND(BD97=1,D97="proMX",F97&amp;""&lt;&gt;""),IF(COUNTIFS($D$5:D96,"proMX",$F$5:F96,F97,$BD$5:BD96,1)=0,MAX($CE$5:CE96)+1,""),"")</f>
        <v/>
      </c>
      <c r="CF97" s="80" t="str">
        <f>IF(AND(D97="proMX",BD97=1),IF(OR(BF97="Draft",BF97="Submitted",BF97="Returned",BF97="Recall Requested"),MAX($CF$5:CF96)+1,""),"")</f>
        <v/>
      </c>
      <c r="CG97" s="80">
        <f>IF(BD97=0,0,IF(D97="Malcolm",1,MATCH(BF97,{"Draft","Submitted","Approved","Returned","Recall Requested","Cancelled"},0)+1))</f>
        <v>0</v>
      </c>
      <c r="CH97" s="80">
        <f>IF(AND(BF97="Submitted",ISNUMBER(V97)),IF(V97&gt;CFG_MAXD,1,0),0)</f>
        <v>0</v>
      </c>
    </row>
    <row r="98">
      <c r="A98" s="71" t="str">
        <f>IF(Y98=1,ROW()-5,"")</f>
        <v/>
      </c>
      <c r="B98" s="72" t="n"/>
      <c r="C98" s="71" t="str">
        <f>IF(ISNUMBER(B98),CHOOSE(WEEKDAY(B98,2),"Lun","Mar","Mié","Jue","Vie","Sáb","Dom"),"")</f>
        <v/>
      </c>
      <c r="D98" s="73" t="n"/>
      <c r="E98" s="74" t="n"/>
      <c r="F98" s="74" t="n"/>
      <c r="G98" s="74" t="n"/>
      <c r="H98" s="75" t="n"/>
      <c r="I98" s="75" t="n"/>
      <c r="J98" s="76" t="n"/>
      <c r="K98" s="77" t="str">
        <f>IF(AB98=1,ROUND(AG98/60,4),"")</f>
        <v/>
      </c>
      <c r="L98" s="77" t="str">
        <f>IF(BD98=1,ROUND(AP98/60,4),"")</f>
        <v/>
      </c>
      <c r="M98" s="77" t="str">
        <f>IF(BD98=1,ROUND(AQ98/60,4),"")</f>
        <v/>
      </c>
      <c r="N98" s="71" t="str">
        <f>IF(AND(D98="proMX",AB98=1),ROUND(AG98/CFG_BLK,2),"")</f>
        <v/>
      </c>
      <c r="O98" s="77" t="str">
        <f>IF(D98="proMX",IF(BD98=1,ROUND(AG98/60,4),0),"")</f>
        <v/>
      </c>
      <c r="P98" s="78" t="str">
        <f>IF(Y98=0,"",IF(BD98=1,"OK",IF(D98="proMX","Revisar bloques: ","Revisar: ")&amp;BC98))</f>
        <v/>
      </c>
      <c r="Q98" s="78" t="str">
        <f>IF(NOT(ISNUMBER(B98)),"",IF(COUNTIFS(FER_F,INT(B98))&gt;0,"Feriado"&amp;IF(AH98=1," (laborable)"," (no laborable)"),IF(AH98=1,"Laborable",IF(WEEKDAY(B98,2)&gt;5,"Fin de semana","No laborable"))))</f>
        <v/>
      </c>
      <c r="R98" s="73" t="n"/>
      <c r="S98" s="72" t="n"/>
      <c r="T98" s="72" t="n"/>
      <c r="U98" s="74" t="n"/>
      <c r="V98" s="79" t="str">
        <f>IF(AND(D98="proMX",OR(R98="Submitted",R98="Recall Requested"),ISNUMBER(S98)),CFG_TODAY-INT(S98),"")</f>
        <v/>
      </c>
      <c r="W98" s="78" t="str">
        <f>IF(BD98=0,"",IF(BA98&gt;0,"⚠ Se superpone con un registro de la otra empresa",IF(D98="Malcolm",IF(COUNTA(R98,S98,T98)&gt;0,"Estado/fechas proMX se ignoran en Malcolm",""),IF(BF98="Cancelled","Cancelado: excluido de totales",IF(R98="","Sin estado: se trata como Draft",IF(BF98="Submitted",IF(ISNUMBER(V98),IF(V98&gt;CFG_MAXD,"⚠ "&amp;V98&amp;" días en Submitted (máx. "&amp;CFG_MAXD&amp;")",""),"Falta fecha de envío"),IF(BF98="Returned","⚠ Devuelto: corregir y reenviar",IF(BF98="Recall Requested","Retirada solicitada: pendiente",IF(AND(BF98="Approved",NOT(ISNUMBER(T98))),"Falta fecha de aprobación",IF(AND(ISNUMBER(S98),ISNUMBER(T98),T98&lt;S98),"Aprobación anterior al envío","")))))))))</f>
        <v/>
      </c>
      <c r="Y98" s="80">
        <f>IF(COUNTA(B98,D98,E98,F98,G98,H98,I98,J98,R98,S98,T98)&gt;0,1,0)</f>
        <v>0</v>
      </c>
      <c r="Z98" s="80" t="str">
        <f>IF(AND(ISNUMBER(H98),H98&gt;=0,H98&lt;1),ROUND(H98*1440,0),"")</f>
        <v/>
      </c>
      <c r="AA98" s="80" t="str">
        <f>IF(AND(ISNUMBER(I98),I98&gt;=0,I98&lt;1),ROUND(I98*1440,0),"")</f>
        <v/>
      </c>
      <c r="AB98" s="80">
        <f>IF(AND(ISNUMBER(B98),D98&lt;&gt;"",ISNUMBER(Z98),ISNUMBER(AA98)),IF(Z98=AA98,0,1),0)</f>
        <v>0</v>
      </c>
      <c r="AC98" s="80">
        <f>IF(AB98=1,IF(AA98&lt;Z98,1,0),0)</f>
        <v>0</v>
      </c>
      <c r="AD98" s="80">
        <f>IF(AB98=1,IF(AC98=1,1440-Z98+AA98,AA98-Z98),0)</f>
        <v>0</v>
      </c>
      <c r="AE98" s="80">
        <f>IF(J98="",0,IF(ISNUMBER(J98),J98,-1))</f>
        <v>0</v>
      </c>
      <c r="AF98" s="80">
        <f>MIN(MAX(0,AE98),AD98)</f>
        <v>0</v>
      </c>
      <c r="AG98" s="80">
        <f>MAX(0,AD98-MAX(0,AE98))</f>
        <v>0</v>
      </c>
      <c r="AH98" s="80">
        <f>IF(ISNUMBER(B98),IF(AND(INDEX(CFG_WDAYS,WEEKDAY(INT(B98),2))="Sí",IF(D98="proMX",COUNTIFS(FER_F,INT(B98),FER_NLP,"Sí"),COUNTIFS(FER_F,INT(B98),FER_NLM,"Sí"))=0),1,0),0)</f>
        <v>0</v>
      </c>
      <c r="AI98" s="80">
        <f>IF(AC98=1,IF(AND(INDEX(CFG_WDAYS,WEEKDAY(INT(B98)+1,2))="Sí",IF(D98="proMX",COUNTIFS(FER_F,INT(B98)+1,FER_NLP,"Sí"),COUNTIFS(FER_F,INT(B98)+1,FER_NLM,"Sí"))=0),1,0),0)</f>
        <v>0</v>
      </c>
      <c r="AJ98" s="80">
        <f>IF(AC98=1,1440-Z98,AD98)</f>
        <v>0</v>
      </c>
      <c r="AK98" s="80">
        <f>IF(AND(AB98=1,AH98=1),MAX(0,MIN(IF(AC98=1,1440,AA98),CFG_WEM)-MAX(Z98,CFG_WSM)),0)</f>
        <v>0</v>
      </c>
      <c r="AL98" s="80">
        <f>IF(AND(AC98=1,AI98=1),MAX(0,MIN(AA98,CFG_WEM)-CFG_WSM),0)</f>
        <v>0</v>
      </c>
      <c r="AM98" s="80">
        <f>AK98+AL98</f>
        <v>0</v>
      </c>
      <c r="AN98" s="80">
        <f>IF(CFG_BRK="Proporcional",IF(AD98=0,0,AF98*AM98/AD98),IF(CFG_BRK="Extras primero",MIN(AM98,MAX(0,AF98-(AD98-AM98))),MIN(AF98,AM98)))</f>
        <v>0</v>
      </c>
      <c r="AO98" s="80">
        <f>AF98-AN98</f>
        <v>0</v>
      </c>
      <c r="AP98" s="80">
        <f>AM98-AN98</f>
        <v>0</v>
      </c>
      <c r="AQ98" s="80">
        <f>AD98-AM98-AO98</f>
        <v>0</v>
      </c>
      <c r="AR98" s="80">
        <f>IF(AM98=0,0,AK98-AN98*AK98/AM98)</f>
        <v>0</v>
      </c>
      <c r="AS98" s="80">
        <f>IF(AD98-AM98=0,0,(AJ98-AK98)-AO98*(AJ98-AK98)/(AD98-AM98))</f>
        <v>0</v>
      </c>
      <c r="AT98" s="80" t="str">
        <f>IF(AC98=1,INT(B98)+1,"")</f>
        <v/>
      </c>
      <c r="AU98" s="80">
        <f>IF(AND(D98="proMX",R98="Cancelled"),0,1)</f>
        <v>1</v>
      </c>
      <c r="AV98" s="80">
        <f>IF(AND(AB98=1,AU98=1),IF(COUNTIFS($D$5:D97,D98,$B$5:B97,B98,$Z$5:Z97,Z98,$AA$5:AA97,AA98,$F$5:F97,F98&amp;"",$AU$5:AU97,1)&gt;0,1,0),0)</f>
        <v>0</v>
      </c>
      <c r="AW98" s="80" t="str">
        <f>IF(AB98=1,INT(B98)*1440+Z98,"")</f>
        <v/>
      </c>
      <c r="AX98" s="80" t="str">
        <f>IF(AB98=1,AW98+AD98,"")</f>
        <v/>
      </c>
      <c r="AY98" s="80">
        <f>IF(AND(AB98=1,AV98=0,AU98=1),1,0)</f>
        <v>0</v>
      </c>
      <c r="AZ98" s="80">
        <f>IF(AY98=1,COUNTIFS(R_Emp,D98,R_SAbs,"&lt;"&amp;AX98,R_EAbs,"&gt;"&amp;AW98,R_OKey,1)-1,0)</f>
        <v>0</v>
      </c>
      <c r="BA98" s="80">
        <f>IF(AY98=1,COUNTIFS(R_Emp,"&lt;&gt;"&amp;D98,R_SAbs,"&lt;"&amp;AX98,R_EAbs,"&gt;"&amp;AW98,R_OKey,1),0)</f>
        <v>0</v>
      </c>
      <c r="BB98" s="80">
        <f>IF(AND(AB98=1,D98="proMX"),IF(AND(MOD(Z98,CFG_BLK)=0,MOD(AA98,CFG_BLK)=0,MOD(AG98,CFG_BLK)=0,AG98&gt;0),1,0),1)</f>
        <v>1</v>
      </c>
      <c r="BC98" s="80" t="str">
        <f>IF(Y98=0,"",IF(NOT(ISNUMBER(B98)),"Falta fecha o fecha inválida",IF(D98="","Falta empresa",IF(AND(D98&lt;&gt;"Malcolm",D98&lt;&gt;"proMX"),"Empresa inválida",IF(OR(INT(B98)&lt;CFG_PSTART,INT(B98)&gt;CFG_PEND),"Fecha fuera del período",IF(OR(NOT(ISNUMBER(Z98)),NOT(ISNUMBER(AA98))),"Falta hora inicio/fin o formato inválido",IF(AB98=0,"Hora inicio = hora fin",IF(AE98&lt;0,"Descanso inválido",IF(AE98&gt;=AD98,"Descanso ≥ duración",IF(AV98=1,"Registro duplicado",IF(AZ98&gt;0,"Se superpone con otro registro "&amp;D98,IF(BB98=0,"inicio, fin y duración neta deben ser múltiplos de "&amp;CFG_BLK&amp;" min",""))))))))))))</f>
        <v/>
      </c>
      <c r="BD98" s="80">
        <f>IF(AND(Y98=1,BC98=""),1,0)</f>
        <v>0</v>
      </c>
      <c r="BE98" s="80">
        <f>IF(AND(BD98=1,AU98=1),1,0)</f>
        <v>0</v>
      </c>
      <c r="BF98" s="80" t="str">
        <f>IF(AND(D98="proMX",BD98=1),IF(R98="","Draft",R98),"")</f>
        <v/>
      </c>
      <c r="BG98" s="80">
        <f>IF(BD98=1,ROUND(AG98/60,6),0)</f>
        <v>0</v>
      </c>
      <c r="BH98" s="80">
        <f>IF(BE98=1,ROUND(AG98/60,6),0)</f>
        <v>0</v>
      </c>
      <c r="BI98" s="80">
        <f>IF(BE98=1,ROUND(AP98/60,6),0)</f>
        <v>0</v>
      </c>
      <c r="BJ98" s="80">
        <f>IF(BE98=1,ROUND(AQ98/60,6),0)</f>
        <v>0</v>
      </c>
      <c r="BK98" s="80">
        <f>IF(BE98=1,ROUND((AR98+AS98)/60,6),0)</f>
        <v>0</v>
      </c>
      <c r="BL98" s="80">
        <f>ROUND(BH98-BK98,6)</f>
        <v>0</v>
      </c>
      <c r="BM98" s="80">
        <f>IF(BE98=1,ROUND(AR98/60,6),0)</f>
        <v>0</v>
      </c>
      <c r="BN98" s="80">
        <f>ROUND(BI98-BM98,6)</f>
        <v>0</v>
      </c>
      <c r="BO98" s="80">
        <f>IF(BE98=1,ROUND(AS98/60,6),0)</f>
        <v>0</v>
      </c>
      <c r="BP98" s="80">
        <f>ROUND(BJ98-BO98,6)</f>
        <v>0</v>
      </c>
      <c r="BQ98" s="80">
        <f>IF(BE98=1,AW98,0)</f>
        <v>0</v>
      </c>
      <c r="BR98" s="80">
        <f>IF(BE98=1,AX98,0)</f>
        <v>0</v>
      </c>
      <c r="BS98" s="80">
        <f>IF(AND(BE98=1,D98="Malcolm",BA98&gt;0),MIN(BH98,SUMPRODUCT((R_Emp="proMX")*(R_EN&gt;0)*((R_EN-(R_EN&gt;BR98)*(R_EN-BR98))&gt;(R_SN+(R_SN&lt;BQ98)*(BQ98-R_SN)))*((R_EN-(R_EN&gt;BR98)*(R_EN-BR98))-(R_SN+(R_SN&lt;BQ98)*(BQ98-R_SN))))/60),0)</f>
        <v>0</v>
      </c>
      <c r="BT98" s="80">
        <f>IF(AND(BE98=1,D98="proMX"),ROUND(BI98*CFG_RATE+BJ98*CFG_OTRATE,6),0)</f>
        <v>0</v>
      </c>
      <c r="BU98" s="80">
        <f>IF(AND(BD98=1,D98="proMX"),ROUND(AG98/CFG_BLK,6),0)</f>
        <v>0</v>
      </c>
      <c r="BV98" s="80" t="str">
        <f>IF(BF98="Approved",IF(ISNUMBER(T98),INT(T98),INT(B98)),"")</f>
        <v/>
      </c>
      <c r="BW98" s="80">
        <f>IF(ISNUMBER(B98),IF(DB_MON="Todos",1,IF(AND(INT(B98)&gt;=DB_MS,INT(B98)&lt;=DB_ME),1,0)),0)</f>
        <v>0</v>
      </c>
      <c r="BX98" s="80">
        <f>IF(DB_PROJ="Todos",1,IF(E98&amp;""=DB_PROJ&amp;"",1,0))</f>
        <v>1</v>
      </c>
      <c r="BY98" s="80">
        <f>BW98*BX98</f>
        <v>0</v>
      </c>
      <c r="BZ98" s="80" t="str">
        <f>IF(Y98=1,F98&amp;IF(AND(F98&amp;""&lt;&gt;"",E98&amp;""&lt;&gt;"")," · ","")&amp;E98,"")</f>
        <v/>
      </c>
      <c r="CA98" s="80" t="str">
        <f>IF(AND(BD98=1,E98&amp;""&lt;&gt;""),IF(COUNTIFS($E$5:E97,E98,$BD$5:BD97,1)=0,MAX($CA$5:CA97)+1,""),"")</f>
        <v/>
      </c>
      <c r="CB98" s="80" t="str">
        <f>IF(AND(BE98=1,D98="Malcolm",E98&amp;""&lt;&gt;""),IF(COUNTIFS($D$5:D97,"Malcolm",$E$5:E97,E98,$BE$5:BE97,1)=0,MAX($CB$5:CB97)+1,""),"")</f>
        <v/>
      </c>
      <c r="CC98" s="80" t="str">
        <f>IF(AND(BD98=1,D98="proMX",E98&amp;""&lt;&gt;""),IF(COUNTIFS($D$5:D97,"proMX",$E$5:E97,E98,$BD$5:BD97,1)=0,MAX($CC$5:CC97)+1,""),"")</f>
        <v/>
      </c>
      <c r="CD98" s="80" t="str">
        <f>IF(AND(BE98=1,D98="Malcolm",F98&amp;""&lt;&gt;""),IF(COUNTIFS($D$5:D97,"Malcolm",$F$5:F97,F98,$BE$5:BE97,1)=0,MAX($CD$5:CD97)+1,""),"")</f>
        <v/>
      </c>
      <c r="CE98" s="80" t="str">
        <f>IF(AND(BD98=1,D98="proMX",F98&amp;""&lt;&gt;""),IF(COUNTIFS($D$5:D97,"proMX",$F$5:F97,F98,$BD$5:BD97,1)=0,MAX($CE$5:CE97)+1,""),"")</f>
        <v/>
      </c>
      <c r="CF98" s="80" t="str">
        <f>IF(AND(D98="proMX",BD98=1),IF(OR(BF98="Draft",BF98="Submitted",BF98="Returned",BF98="Recall Requested"),MAX($CF$5:CF97)+1,""),"")</f>
        <v/>
      </c>
      <c r="CG98" s="80">
        <f>IF(BD98=0,0,IF(D98="Malcolm",1,MATCH(BF98,{"Draft","Submitted","Approved","Returned","Recall Requested","Cancelled"},0)+1))</f>
        <v>0</v>
      </c>
      <c r="CH98" s="80">
        <f>IF(AND(BF98="Submitted",ISNUMBER(V98)),IF(V98&gt;CFG_MAXD,1,0),0)</f>
        <v>0</v>
      </c>
    </row>
    <row r="99">
      <c r="A99" s="71" t="str">
        <f>IF(Y99=1,ROW()-5,"")</f>
        <v/>
      </c>
      <c r="B99" s="72" t="n"/>
      <c r="C99" s="71" t="str">
        <f>IF(ISNUMBER(B99),CHOOSE(WEEKDAY(B99,2),"Lun","Mar","Mié","Jue","Vie","Sáb","Dom"),"")</f>
        <v/>
      </c>
      <c r="D99" s="73" t="n"/>
      <c r="E99" s="74" t="n"/>
      <c r="F99" s="74" t="n"/>
      <c r="G99" s="74" t="n"/>
      <c r="H99" s="75" t="n"/>
      <c r="I99" s="75" t="n"/>
      <c r="J99" s="76" t="n"/>
      <c r="K99" s="77" t="str">
        <f>IF(AB99=1,ROUND(AG99/60,4),"")</f>
        <v/>
      </c>
      <c r="L99" s="77" t="str">
        <f>IF(BD99=1,ROUND(AP99/60,4),"")</f>
        <v/>
      </c>
      <c r="M99" s="77" t="str">
        <f>IF(BD99=1,ROUND(AQ99/60,4),"")</f>
        <v/>
      </c>
      <c r="N99" s="71" t="str">
        <f>IF(AND(D99="proMX",AB99=1),ROUND(AG99/CFG_BLK,2),"")</f>
        <v/>
      </c>
      <c r="O99" s="77" t="str">
        <f>IF(D99="proMX",IF(BD99=1,ROUND(AG99/60,4),0),"")</f>
        <v/>
      </c>
      <c r="P99" s="78" t="str">
        <f>IF(Y99=0,"",IF(BD99=1,"OK",IF(D99="proMX","Revisar bloques: ","Revisar: ")&amp;BC99))</f>
        <v/>
      </c>
      <c r="Q99" s="78" t="str">
        <f>IF(NOT(ISNUMBER(B99)),"",IF(COUNTIFS(FER_F,INT(B99))&gt;0,"Feriado"&amp;IF(AH99=1," (laborable)"," (no laborable)"),IF(AH99=1,"Laborable",IF(WEEKDAY(B99,2)&gt;5,"Fin de semana","No laborable"))))</f>
        <v/>
      </c>
      <c r="R99" s="73" t="n"/>
      <c r="S99" s="72" t="n"/>
      <c r="T99" s="72" t="n"/>
      <c r="U99" s="74" t="n"/>
      <c r="V99" s="79" t="str">
        <f>IF(AND(D99="proMX",OR(R99="Submitted",R99="Recall Requested"),ISNUMBER(S99)),CFG_TODAY-INT(S99),"")</f>
        <v/>
      </c>
      <c r="W99" s="78" t="str">
        <f>IF(BD99=0,"",IF(BA99&gt;0,"⚠ Se superpone con un registro de la otra empresa",IF(D99="Malcolm",IF(COUNTA(R99,S99,T99)&gt;0,"Estado/fechas proMX se ignoran en Malcolm",""),IF(BF99="Cancelled","Cancelado: excluido de totales",IF(R99="","Sin estado: se trata como Draft",IF(BF99="Submitted",IF(ISNUMBER(V99),IF(V99&gt;CFG_MAXD,"⚠ "&amp;V99&amp;" días en Submitted (máx. "&amp;CFG_MAXD&amp;")",""),"Falta fecha de envío"),IF(BF99="Returned","⚠ Devuelto: corregir y reenviar",IF(BF99="Recall Requested","Retirada solicitada: pendiente",IF(AND(BF99="Approved",NOT(ISNUMBER(T99))),"Falta fecha de aprobación",IF(AND(ISNUMBER(S99),ISNUMBER(T99),T99&lt;S99),"Aprobación anterior al envío","")))))))))</f>
        <v/>
      </c>
      <c r="Y99" s="80">
        <f>IF(COUNTA(B99,D99,E99,F99,G99,H99,I99,J99,R99,S99,T99)&gt;0,1,0)</f>
        <v>0</v>
      </c>
      <c r="Z99" s="80" t="str">
        <f>IF(AND(ISNUMBER(H99),H99&gt;=0,H99&lt;1),ROUND(H99*1440,0),"")</f>
        <v/>
      </c>
      <c r="AA99" s="80" t="str">
        <f>IF(AND(ISNUMBER(I99),I99&gt;=0,I99&lt;1),ROUND(I99*1440,0),"")</f>
        <v/>
      </c>
      <c r="AB99" s="80">
        <f>IF(AND(ISNUMBER(B99),D99&lt;&gt;"",ISNUMBER(Z99),ISNUMBER(AA99)),IF(Z99=AA99,0,1),0)</f>
        <v>0</v>
      </c>
      <c r="AC99" s="80">
        <f>IF(AB99=1,IF(AA99&lt;Z99,1,0),0)</f>
        <v>0</v>
      </c>
      <c r="AD99" s="80">
        <f>IF(AB99=1,IF(AC99=1,1440-Z99+AA99,AA99-Z99),0)</f>
        <v>0</v>
      </c>
      <c r="AE99" s="80">
        <f>IF(J99="",0,IF(ISNUMBER(J99),J99,-1))</f>
        <v>0</v>
      </c>
      <c r="AF99" s="80">
        <f>MIN(MAX(0,AE99),AD99)</f>
        <v>0</v>
      </c>
      <c r="AG99" s="80">
        <f>MAX(0,AD99-MAX(0,AE99))</f>
        <v>0</v>
      </c>
      <c r="AH99" s="80">
        <f>IF(ISNUMBER(B99),IF(AND(INDEX(CFG_WDAYS,WEEKDAY(INT(B99),2))="Sí",IF(D99="proMX",COUNTIFS(FER_F,INT(B99),FER_NLP,"Sí"),COUNTIFS(FER_F,INT(B99),FER_NLM,"Sí"))=0),1,0),0)</f>
        <v>0</v>
      </c>
      <c r="AI99" s="80">
        <f>IF(AC99=1,IF(AND(INDEX(CFG_WDAYS,WEEKDAY(INT(B99)+1,2))="Sí",IF(D99="proMX",COUNTIFS(FER_F,INT(B99)+1,FER_NLP,"Sí"),COUNTIFS(FER_F,INT(B99)+1,FER_NLM,"Sí"))=0),1,0),0)</f>
        <v>0</v>
      </c>
      <c r="AJ99" s="80">
        <f>IF(AC99=1,1440-Z99,AD99)</f>
        <v>0</v>
      </c>
      <c r="AK99" s="80">
        <f>IF(AND(AB99=1,AH99=1),MAX(0,MIN(IF(AC99=1,1440,AA99),CFG_WEM)-MAX(Z99,CFG_WSM)),0)</f>
        <v>0</v>
      </c>
      <c r="AL99" s="80">
        <f>IF(AND(AC99=1,AI99=1),MAX(0,MIN(AA99,CFG_WEM)-CFG_WSM),0)</f>
        <v>0</v>
      </c>
      <c r="AM99" s="80">
        <f>AK99+AL99</f>
        <v>0</v>
      </c>
      <c r="AN99" s="80">
        <f>IF(CFG_BRK="Proporcional",IF(AD99=0,0,AF99*AM99/AD99),IF(CFG_BRK="Extras primero",MIN(AM99,MAX(0,AF99-(AD99-AM99))),MIN(AF99,AM99)))</f>
        <v>0</v>
      </c>
      <c r="AO99" s="80">
        <f>AF99-AN99</f>
        <v>0</v>
      </c>
      <c r="AP99" s="80">
        <f>AM99-AN99</f>
        <v>0</v>
      </c>
      <c r="AQ99" s="80">
        <f>AD99-AM99-AO99</f>
        <v>0</v>
      </c>
      <c r="AR99" s="80">
        <f>IF(AM99=0,0,AK99-AN99*AK99/AM99)</f>
        <v>0</v>
      </c>
      <c r="AS99" s="80">
        <f>IF(AD99-AM99=0,0,(AJ99-AK99)-AO99*(AJ99-AK99)/(AD99-AM99))</f>
        <v>0</v>
      </c>
      <c r="AT99" s="80" t="str">
        <f>IF(AC99=1,INT(B99)+1,"")</f>
        <v/>
      </c>
      <c r="AU99" s="80">
        <f>IF(AND(D99="proMX",R99="Cancelled"),0,1)</f>
        <v>1</v>
      </c>
      <c r="AV99" s="80">
        <f>IF(AND(AB99=1,AU99=1),IF(COUNTIFS($D$5:D98,D99,$B$5:B98,B99,$Z$5:Z98,Z99,$AA$5:AA98,AA99,$F$5:F98,F99&amp;"",$AU$5:AU98,1)&gt;0,1,0),0)</f>
        <v>0</v>
      </c>
      <c r="AW99" s="80" t="str">
        <f>IF(AB99=1,INT(B99)*1440+Z99,"")</f>
        <v/>
      </c>
      <c r="AX99" s="80" t="str">
        <f>IF(AB99=1,AW99+AD99,"")</f>
        <v/>
      </c>
      <c r="AY99" s="80">
        <f>IF(AND(AB99=1,AV99=0,AU99=1),1,0)</f>
        <v>0</v>
      </c>
      <c r="AZ99" s="80">
        <f>IF(AY99=1,COUNTIFS(R_Emp,D99,R_SAbs,"&lt;"&amp;AX99,R_EAbs,"&gt;"&amp;AW99,R_OKey,1)-1,0)</f>
        <v>0</v>
      </c>
      <c r="BA99" s="80">
        <f>IF(AY99=1,COUNTIFS(R_Emp,"&lt;&gt;"&amp;D99,R_SAbs,"&lt;"&amp;AX99,R_EAbs,"&gt;"&amp;AW99,R_OKey,1),0)</f>
        <v>0</v>
      </c>
      <c r="BB99" s="80">
        <f>IF(AND(AB99=1,D99="proMX"),IF(AND(MOD(Z99,CFG_BLK)=0,MOD(AA99,CFG_BLK)=0,MOD(AG99,CFG_BLK)=0,AG99&gt;0),1,0),1)</f>
        <v>1</v>
      </c>
      <c r="BC99" s="80" t="str">
        <f>IF(Y99=0,"",IF(NOT(ISNUMBER(B99)),"Falta fecha o fecha inválida",IF(D99="","Falta empresa",IF(AND(D99&lt;&gt;"Malcolm",D99&lt;&gt;"proMX"),"Empresa inválida",IF(OR(INT(B99)&lt;CFG_PSTART,INT(B99)&gt;CFG_PEND),"Fecha fuera del período",IF(OR(NOT(ISNUMBER(Z99)),NOT(ISNUMBER(AA99))),"Falta hora inicio/fin o formato inválido",IF(AB99=0,"Hora inicio = hora fin",IF(AE99&lt;0,"Descanso inválido",IF(AE99&gt;=AD99,"Descanso ≥ duración",IF(AV99=1,"Registro duplicado",IF(AZ99&gt;0,"Se superpone con otro registro "&amp;D99,IF(BB99=0,"inicio, fin y duración neta deben ser múltiplos de "&amp;CFG_BLK&amp;" min",""))))))))))))</f>
        <v/>
      </c>
      <c r="BD99" s="80">
        <f>IF(AND(Y99=1,BC99=""),1,0)</f>
        <v>0</v>
      </c>
      <c r="BE99" s="80">
        <f>IF(AND(BD99=1,AU99=1),1,0)</f>
        <v>0</v>
      </c>
      <c r="BF99" s="80" t="str">
        <f>IF(AND(D99="proMX",BD99=1),IF(R99="","Draft",R99),"")</f>
        <v/>
      </c>
      <c r="BG99" s="80">
        <f>IF(BD99=1,ROUND(AG99/60,6),0)</f>
        <v>0</v>
      </c>
      <c r="BH99" s="80">
        <f>IF(BE99=1,ROUND(AG99/60,6),0)</f>
        <v>0</v>
      </c>
      <c r="BI99" s="80">
        <f>IF(BE99=1,ROUND(AP99/60,6),0)</f>
        <v>0</v>
      </c>
      <c r="BJ99" s="80">
        <f>IF(BE99=1,ROUND(AQ99/60,6),0)</f>
        <v>0</v>
      </c>
      <c r="BK99" s="80">
        <f>IF(BE99=1,ROUND((AR99+AS99)/60,6),0)</f>
        <v>0</v>
      </c>
      <c r="BL99" s="80">
        <f>ROUND(BH99-BK99,6)</f>
        <v>0</v>
      </c>
      <c r="BM99" s="80">
        <f>IF(BE99=1,ROUND(AR99/60,6),0)</f>
        <v>0</v>
      </c>
      <c r="BN99" s="80">
        <f>ROUND(BI99-BM99,6)</f>
        <v>0</v>
      </c>
      <c r="BO99" s="80">
        <f>IF(BE99=1,ROUND(AS99/60,6),0)</f>
        <v>0</v>
      </c>
      <c r="BP99" s="80">
        <f>ROUND(BJ99-BO99,6)</f>
        <v>0</v>
      </c>
      <c r="BQ99" s="80">
        <f>IF(BE99=1,AW99,0)</f>
        <v>0</v>
      </c>
      <c r="BR99" s="80">
        <f>IF(BE99=1,AX99,0)</f>
        <v>0</v>
      </c>
      <c r="BS99" s="80">
        <f>IF(AND(BE99=1,D99="Malcolm",BA99&gt;0),MIN(BH99,SUMPRODUCT((R_Emp="proMX")*(R_EN&gt;0)*((R_EN-(R_EN&gt;BR99)*(R_EN-BR99))&gt;(R_SN+(R_SN&lt;BQ99)*(BQ99-R_SN)))*((R_EN-(R_EN&gt;BR99)*(R_EN-BR99))-(R_SN+(R_SN&lt;BQ99)*(BQ99-R_SN))))/60),0)</f>
        <v>0</v>
      </c>
      <c r="BT99" s="80">
        <f>IF(AND(BE99=1,D99="proMX"),ROUND(BI99*CFG_RATE+BJ99*CFG_OTRATE,6),0)</f>
        <v>0</v>
      </c>
      <c r="BU99" s="80">
        <f>IF(AND(BD99=1,D99="proMX"),ROUND(AG99/CFG_BLK,6),0)</f>
        <v>0</v>
      </c>
      <c r="BV99" s="80" t="str">
        <f>IF(BF99="Approved",IF(ISNUMBER(T99),INT(T99),INT(B99)),"")</f>
        <v/>
      </c>
      <c r="BW99" s="80">
        <f>IF(ISNUMBER(B99),IF(DB_MON="Todos",1,IF(AND(INT(B99)&gt;=DB_MS,INT(B99)&lt;=DB_ME),1,0)),0)</f>
        <v>0</v>
      </c>
      <c r="BX99" s="80">
        <f>IF(DB_PROJ="Todos",1,IF(E99&amp;""=DB_PROJ&amp;"",1,0))</f>
        <v>1</v>
      </c>
      <c r="BY99" s="80">
        <f>BW99*BX99</f>
        <v>0</v>
      </c>
      <c r="BZ99" s="80" t="str">
        <f>IF(Y99=1,F99&amp;IF(AND(F99&amp;""&lt;&gt;"",E99&amp;""&lt;&gt;"")," · ","")&amp;E99,"")</f>
        <v/>
      </c>
      <c r="CA99" s="80" t="str">
        <f>IF(AND(BD99=1,E99&amp;""&lt;&gt;""),IF(COUNTIFS($E$5:E98,E99,$BD$5:BD98,1)=0,MAX($CA$5:CA98)+1,""),"")</f>
        <v/>
      </c>
      <c r="CB99" s="80" t="str">
        <f>IF(AND(BE99=1,D99="Malcolm",E99&amp;""&lt;&gt;""),IF(COUNTIFS($D$5:D98,"Malcolm",$E$5:E98,E99,$BE$5:BE98,1)=0,MAX($CB$5:CB98)+1,""),"")</f>
        <v/>
      </c>
      <c r="CC99" s="80" t="str">
        <f>IF(AND(BD99=1,D99="proMX",E99&amp;""&lt;&gt;""),IF(COUNTIFS($D$5:D98,"proMX",$E$5:E98,E99,$BD$5:BD98,1)=0,MAX($CC$5:CC98)+1,""),"")</f>
        <v/>
      </c>
      <c r="CD99" s="80" t="str">
        <f>IF(AND(BE99=1,D99="Malcolm",F99&amp;""&lt;&gt;""),IF(COUNTIFS($D$5:D98,"Malcolm",$F$5:F98,F99,$BE$5:BE98,1)=0,MAX($CD$5:CD98)+1,""),"")</f>
        <v/>
      </c>
      <c r="CE99" s="80" t="str">
        <f>IF(AND(BD99=1,D99="proMX",F99&amp;""&lt;&gt;""),IF(COUNTIFS($D$5:D98,"proMX",$F$5:F98,F99,$BD$5:BD98,1)=0,MAX($CE$5:CE98)+1,""),"")</f>
        <v/>
      </c>
      <c r="CF99" s="80" t="str">
        <f>IF(AND(D99="proMX",BD99=1),IF(OR(BF99="Draft",BF99="Submitted",BF99="Returned",BF99="Recall Requested"),MAX($CF$5:CF98)+1,""),"")</f>
        <v/>
      </c>
      <c r="CG99" s="80">
        <f>IF(BD99=0,0,IF(D99="Malcolm",1,MATCH(BF99,{"Draft","Submitted","Approved","Returned","Recall Requested","Cancelled"},0)+1))</f>
        <v>0</v>
      </c>
      <c r="CH99" s="80">
        <f>IF(AND(BF99="Submitted",ISNUMBER(V99)),IF(V99&gt;CFG_MAXD,1,0),0)</f>
        <v>0</v>
      </c>
    </row>
    <row r="100">
      <c r="A100" s="71" t="str">
        <f>IF(Y100=1,ROW()-5,"")</f>
        <v/>
      </c>
      <c r="B100" s="72" t="n"/>
      <c r="C100" s="71" t="str">
        <f>IF(ISNUMBER(B100),CHOOSE(WEEKDAY(B100,2),"Lun","Mar","Mié","Jue","Vie","Sáb","Dom"),"")</f>
        <v/>
      </c>
      <c r="D100" s="73" t="n"/>
      <c r="E100" s="74" t="n"/>
      <c r="F100" s="74" t="n"/>
      <c r="G100" s="74" t="n"/>
      <c r="H100" s="75" t="n"/>
      <c r="I100" s="75" t="n"/>
      <c r="J100" s="76" t="n"/>
      <c r="K100" s="77" t="str">
        <f>IF(AB100=1,ROUND(AG100/60,4),"")</f>
        <v/>
      </c>
      <c r="L100" s="77" t="str">
        <f>IF(BD100=1,ROUND(AP100/60,4),"")</f>
        <v/>
      </c>
      <c r="M100" s="77" t="str">
        <f>IF(BD100=1,ROUND(AQ100/60,4),"")</f>
        <v/>
      </c>
      <c r="N100" s="71" t="str">
        <f>IF(AND(D100="proMX",AB100=1),ROUND(AG100/CFG_BLK,2),"")</f>
        <v/>
      </c>
      <c r="O100" s="77" t="str">
        <f>IF(D100="proMX",IF(BD100=1,ROUND(AG100/60,4),0),"")</f>
        <v/>
      </c>
      <c r="P100" s="78" t="str">
        <f>IF(Y100=0,"",IF(BD100=1,"OK",IF(D100="proMX","Revisar bloques: ","Revisar: ")&amp;BC100))</f>
        <v/>
      </c>
      <c r="Q100" s="78" t="str">
        <f>IF(NOT(ISNUMBER(B100)),"",IF(COUNTIFS(FER_F,INT(B100))&gt;0,"Feriado"&amp;IF(AH100=1," (laborable)"," (no laborable)"),IF(AH100=1,"Laborable",IF(WEEKDAY(B100,2)&gt;5,"Fin de semana","No laborable"))))</f>
        <v/>
      </c>
      <c r="R100" s="73" t="n"/>
      <c r="S100" s="72" t="n"/>
      <c r="T100" s="72" t="n"/>
      <c r="U100" s="74" t="n"/>
      <c r="V100" s="79" t="str">
        <f>IF(AND(D100="proMX",OR(R100="Submitted",R100="Recall Requested"),ISNUMBER(S100)),CFG_TODAY-INT(S100),"")</f>
        <v/>
      </c>
      <c r="W100" s="78" t="str">
        <f>IF(BD100=0,"",IF(BA100&gt;0,"⚠ Se superpone con un registro de la otra empresa",IF(D100="Malcolm",IF(COUNTA(R100,S100,T100)&gt;0,"Estado/fechas proMX se ignoran en Malcolm",""),IF(BF100="Cancelled","Cancelado: excluido de totales",IF(R100="","Sin estado: se trata como Draft",IF(BF100="Submitted",IF(ISNUMBER(V100),IF(V100&gt;CFG_MAXD,"⚠ "&amp;V100&amp;" días en Submitted (máx. "&amp;CFG_MAXD&amp;")",""),"Falta fecha de envío"),IF(BF100="Returned","⚠ Devuelto: corregir y reenviar",IF(BF100="Recall Requested","Retirada solicitada: pendiente",IF(AND(BF100="Approved",NOT(ISNUMBER(T100))),"Falta fecha de aprobación",IF(AND(ISNUMBER(S100),ISNUMBER(T100),T100&lt;S100),"Aprobación anterior al envío","")))))))))</f>
        <v/>
      </c>
      <c r="Y100" s="80">
        <f>IF(COUNTA(B100,D100,E100,F100,G100,H100,I100,J100,R100,S100,T100)&gt;0,1,0)</f>
        <v>0</v>
      </c>
      <c r="Z100" s="80" t="str">
        <f>IF(AND(ISNUMBER(H100),H100&gt;=0,H100&lt;1),ROUND(H100*1440,0),"")</f>
        <v/>
      </c>
      <c r="AA100" s="80" t="str">
        <f>IF(AND(ISNUMBER(I100),I100&gt;=0,I100&lt;1),ROUND(I100*1440,0),"")</f>
        <v/>
      </c>
      <c r="AB100" s="80">
        <f>IF(AND(ISNUMBER(B100),D100&lt;&gt;"",ISNUMBER(Z100),ISNUMBER(AA100)),IF(Z100=AA100,0,1),0)</f>
        <v>0</v>
      </c>
      <c r="AC100" s="80">
        <f>IF(AB100=1,IF(AA100&lt;Z100,1,0),0)</f>
        <v>0</v>
      </c>
      <c r="AD100" s="80">
        <f>IF(AB100=1,IF(AC100=1,1440-Z100+AA100,AA100-Z100),0)</f>
        <v>0</v>
      </c>
      <c r="AE100" s="80">
        <f>IF(J100="",0,IF(ISNUMBER(J100),J100,-1))</f>
        <v>0</v>
      </c>
      <c r="AF100" s="80">
        <f>MIN(MAX(0,AE100),AD100)</f>
        <v>0</v>
      </c>
      <c r="AG100" s="80">
        <f>MAX(0,AD100-MAX(0,AE100))</f>
        <v>0</v>
      </c>
      <c r="AH100" s="80">
        <f>IF(ISNUMBER(B100),IF(AND(INDEX(CFG_WDAYS,WEEKDAY(INT(B100),2))="Sí",IF(D100="proMX",COUNTIFS(FER_F,INT(B100),FER_NLP,"Sí"),COUNTIFS(FER_F,INT(B100),FER_NLM,"Sí"))=0),1,0),0)</f>
        <v>0</v>
      </c>
      <c r="AI100" s="80">
        <f>IF(AC100=1,IF(AND(INDEX(CFG_WDAYS,WEEKDAY(INT(B100)+1,2))="Sí",IF(D100="proMX",COUNTIFS(FER_F,INT(B100)+1,FER_NLP,"Sí"),COUNTIFS(FER_F,INT(B100)+1,FER_NLM,"Sí"))=0),1,0),0)</f>
        <v>0</v>
      </c>
      <c r="AJ100" s="80">
        <f>IF(AC100=1,1440-Z100,AD100)</f>
        <v>0</v>
      </c>
      <c r="AK100" s="80">
        <f>IF(AND(AB100=1,AH100=1),MAX(0,MIN(IF(AC100=1,1440,AA100),CFG_WEM)-MAX(Z100,CFG_WSM)),0)</f>
        <v>0</v>
      </c>
      <c r="AL100" s="80">
        <f>IF(AND(AC100=1,AI100=1),MAX(0,MIN(AA100,CFG_WEM)-CFG_WSM),0)</f>
        <v>0</v>
      </c>
      <c r="AM100" s="80">
        <f>AK100+AL100</f>
        <v>0</v>
      </c>
      <c r="AN100" s="80">
        <f>IF(CFG_BRK="Proporcional",IF(AD100=0,0,AF100*AM100/AD100),IF(CFG_BRK="Extras primero",MIN(AM100,MAX(0,AF100-(AD100-AM100))),MIN(AF100,AM100)))</f>
        <v>0</v>
      </c>
      <c r="AO100" s="80">
        <f>AF100-AN100</f>
        <v>0</v>
      </c>
      <c r="AP100" s="80">
        <f>AM100-AN100</f>
        <v>0</v>
      </c>
      <c r="AQ100" s="80">
        <f>AD100-AM100-AO100</f>
        <v>0</v>
      </c>
      <c r="AR100" s="80">
        <f>IF(AM100=0,0,AK100-AN100*AK100/AM100)</f>
        <v>0</v>
      </c>
      <c r="AS100" s="80">
        <f>IF(AD100-AM100=0,0,(AJ100-AK100)-AO100*(AJ100-AK100)/(AD100-AM100))</f>
        <v>0</v>
      </c>
      <c r="AT100" s="80" t="str">
        <f>IF(AC100=1,INT(B100)+1,"")</f>
        <v/>
      </c>
      <c r="AU100" s="80">
        <f>IF(AND(D100="proMX",R100="Cancelled"),0,1)</f>
        <v>1</v>
      </c>
      <c r="AV100" s="80">
        <f>IF(AND(AB100=1,AU100=1),IF(COUNTIFS($D$5:D99,D100,$B$5:B99,B100,$Z$5:Z99,Z100,$AA$5:AA99,AA100,$F$5:F99,F100&amp;"",$AU$5:AU99,1)&gt;0,1,0),0)</f>
        <v>0</v>
      </c>
      <c r="AW100" s="80" t="str">
        <f>IF(AB100=1,INT(B100)*1440+Z100,"")</f>
        <v/>
      </c>
      <c r="AX100" s="80" t="str">
        <f>IF(AB100=1,AW100+AD100,"")</f>
        <v/>
      </c>
      <c r="AY100" s="80">
        <f>IF(AND(AB100=1,AV100=0,AU100=1),1,0)</f>
        <v>0</v>
      </c>
      <c r="AZ100" s="80">
        <f>IF(AY100=1,COUNTIFS(R_Emp,D100,R_SAbs,"&lt;"&amp;AX100,R_EAbs,"&gt;"&amp;AW100,R_OKey,1)-1,0)</f>
        <v>0</v>
      </c>
      <c r="BA100" s="80">
        <f>IF(AY100=1,COUNTIFS(R_Emp,"&lt;&gt;"&amp;D100,R_SAbs,"&lt;"&amp;AX100,R_EAbs,"&gt;"&amp;AW100,R_OKey,1),0)</f>
        <v>0</v>
      </c>
      <c r="BB100" s="80">
        <f>IF(AND(AB100=1,D100="proMX"),IF(AND(MOD(Z100,CFG_BLK)=0,MOD(AA100,CFG_BLK)=0,MOD(AG100,CFG_BLK)=0,AG100&gt;0),1,0),1)</f>
        <v>1</v>
      </c>
      <c r="BC100" s="80" t="str">
        <f>IF(Y100=0,"",IF(NOT(ISNUMBER(B100)),"Falta fecha o fecha inválida",IF(D100="","Falta empresa",IF(AND(D100&lt;&gt;"Malcolm",D100&lt;&gt;"proMX"),"Empresa inválida",IF(OR(INT(B100)&lt;CFG_PSTART,INT(B100)&gt;CFG_PEND),"Fecha fuera del período",IF(OR(NOT(ISNUMBER(Z100)),NOT(ISNUMBER(AA100))),"Falta hora inicio/fin o formato inválido",IF(AB100=0,"Hora inicio = hora fin",IF(AE100&lt;0,"Descanso inválido",IF(AE100&gt;=AD100,"Descanso ≥ duración",IF(AV100=1,"Registro duplicado",IF(AZ100&gt;0,"Se superpone con otro registro "&amp;D100,IF(BB100=0,"inicio, fin y duración neta deben ser múltiplos de "&amp;CFG_BLK&amp;" min",""))))))))))))</f>
        <v/>
      </c>
      <c r="BD100" s="80">
        <f>IF(AND(Y100=1,BC100=""),1,0)</f>
        <v>0</v>
      </c>
      <c r="BE100" s="80">
        <f>IF(AND(BD100=1,AU100=1),1,0)</f>
        <v>0</v>
      </c>
      <c r="BF100" s="80" t="str">
        <f>IF(AND(D100="proMX",BD100=1),IF(R100="","Draft",R100),"")</f>
        <v/>
      </c>
      <c r="BG100" s="80">
        <f>IF(BD100=1,ROUND(AG100/60,6),0)</f>
        <v>0</v>
      </c>
      <c r="BH100" s="80">
        <f>IF(BE100=1,ROUND(AG100/60,6),0)</f>
        <v>0</v>
      </c>
      <c r="BI100" s="80">
        <f>IF(BE100=1,ROUND(AP100/60,6),0)</f>
        <v>0</v>
      </c>
      <c r="BJ100" s="80">
        <f>IF(BE100=1,ROUND(AQ100/60,6),0)</f>
        <v>0</v>
      </c>
      <c r="BK100" s="80">
        <f>IF(BE100=1,ROUND((AR100+AS100)/60,6),0)</f>
        <v>0</v>
      </c>
      <c r="BL100" s="80">
        <f>ROUND(BH100-BK100,6)</f>
        <v>0</v>
      </c>
      <c r="BM100" s="80">
        <f>IF(BE100=1,ROUND(AR100/60,6),0)</f>
        <v>0</v>
      </c>
      <c r="BN100" s="80">
        <f>ROUND(BI100-BM100,6)</f>
        <v>0</v>
      </c>
      <c r="BO100" s="80">
        <f>IF(BE100=1,ROUND(AS100/60,6),0)</f>
        <v>0</v>
      </c>
      <c r="BP100" s="80">
        <f>ROUND(BJ100-BO100,6)</f>
        <v>0</v>
      </c>
      <c r="BQ100" s="80">
        <f>IF(BE100=1,AW100,0)</f>
        <v>0</v>
      </c>
      <c r="BR100" s="80">
        <f>IF(BE100=1,AX100,0)</f>
        <v>0</v>
      </c>
      <c r="BS100" s="80">
        <f>IF(AND(BE100=1,D100="Malcolm",BA100&gt;0),MIN(BH100,SUMPRODUCT((R_Emp="proMX")*(R_EN&gt;0)*((R_EN-(R_EN&gt;BR100)*(R_EN-BR100))&gt;(R_SN+(R_SN&lt;BQ100)*(BQ100-R_SN)))*((R_EN-(R_EN&gt;BR100)*(R_EN-BR100))-(R_SN+(R_SN&lt;BQ100)*(BQ100-R_SN))))/60),0)</f>
        <v>0</v>
      </c>
      <c r="BT100" s="80">
        <f>IF(AND(BE100=1,D100="proMX"),ROUND(BI100*CFG_RATE+BJ100*CFG_OTRATE,6),0)</f>
        <v>0</v>
      </c>
      <c r="BU100" s="80">
        <f>IF(AND(BD100=1,D100="proMX"),ROUND(AG100/CFG_BLK,6),0)</f>
        <v>0</v>
      </c>
      <c r="BV100" s="80" t="str">
        <f>IF(BF100="Approved",IF(ISNUMBER(T100),INT(T100),INT(B100)),"")</f>
        <v/>
      </c>
      <c r="BW100" s="80">
        <f>IF(ISNUMBER(B100),IF(DB_MON="Todos",1,IF(AND(INT(B100)&gt;=DB_MS,INT(B100)&lt;=DB_ME),1,0)),0)</f>
        <v>0</v>
      </c>
      <c r="BX100" s="80">
        <f>IF(DB_PROJ="Todos",1,IF(E100&amp;""=DB_PROJ&amp;"",1,0))</f>
        <v>1</v>
      </c>
      <c r="BY100" s="80">
        <f>BW100*BX100</f>
        <v>0</v>
      </c>
      <c r="BZ100" s="80" t="str">
        <f>IF(Y100=1,F100&amp;IF(AND(F100&amp;""&lt;&gt;"",E100&amp;""&lt;&gt;"")," · ","")&amp;E100,"")</f>
        <v/>
      </c>
      <c r="CA100" s="80" t="str">
        <f>IF(AND(BD100=1,E100&amp;""&lt;&gt;""),IF(COUNTIFS($E$5:E99,E100,$BD$5:BD99,1)=0,MAX($CA$5:CA99)+1,""),"")</f>
        <v/>
      </c>
      <c r="CB100" s="80" t="str">
        <f>IF(AND(BE100=1,D100="Malcolm",E100&amp;""&lt;&gt;""),IF(COUNTIFS($D$5:D99,"Malcolm",$E$5:E99,E100,$BE$5:BE99,1)=0,MAX($CB$5:CB99)+1,""),"")</f>
        <v/>
      </c>
      <c r="CC100" s="80" t="str">
        <f>IF(AND(BD100=1,D100="proMX",E100&amp;""&lt;&gt;""),IF(COUNTIFS($D$5:D99,"proMX",$E$5:E99,E100,$BD$5:BD99,1)=0,MAX($CC$5:CC99)+1,""),"")</f>
        <v/>
      </c>
      <c r="CD100" s="80" t="str">
        <f>IF(AND(BE100=1,D100="Malcolm",F100&amp;""&lt;&gt;""),IF(COUNTIFS($D$5:D99,"Malcolm",$F$5:F99,F100,$BE$5:BE99,1)=0,MAX($CD$5:CD99)+1,""),"")</f>
        <v/>
      </c>
      <c r="CE100" s="80" t="str">
        <f>IF(AND(BD100=1,D100="proMX",F100&amp;""&lt;&gt;""),IF(COUNTIFS($D$5:D99,"proMX",$F$5:F99,F100,$BD$5:BD99,1)=0,MAX($CE$5:CE99)+1,""),"")</f>
        <v/>
      </c>
      <c r="CF100" s="80" t="str">
        <f>IF(AND(D100="proMX",BD100=1),IF(OR(BF100="Draft",BF100="Submitted",BF100="Returned",BF100="Recall Requested"),MAX($CF$5:CF99)+1,""),"")</f>
        <v/>
      </c>
      <c r="CG100" s="80">
        <f>IF(BD100=0,0,IF(D100="Malcolm",1,MATCH(BF100,{"Draft","Submitted","Approved","Returned","Recall Requested","Cancelled"},0)+1))</f>
        <v>0</v>
      </c>
      <c r="CH100" s="80">
        <f>IF(AND(BF100="Submitted",ISNUMBER(V100)),IF(V100&gt;CFG_MAXD,1,0),0)</f>
        <v>0</v>
      </c>
    </row>
    <row r="101">
      <c r="A101" s="71" t="str">
        <f>IF(Y101=1,ROW()-5,"")</f>
        <v/>
      </c>
      <c r="B101" s="72" t="n"/>
      <c r="C101" s="71" t="str">
        <f>IF(ISNUMBER(B101),CHOOSE(WEEKDAY(B101,2),"Lun","Mar","Mié","Jue","Vie","Sáb","Dom"),"")</f>
        <v/>
      </c>
      <c r="D101" s="73" t="n"/>
      <c r="E101" s="74" t="n"/>
      <c r="F101" s="74" t="n"/>
      <c r="G101" s="74" t="n"/>
      <c r="H101" s="75" t="n"/>
      <c r="I101" s="75" t="n"/>
      <c r="J101" s="76" t="n"/>
      <c r="K101" s="77" t="str">
        <f>IF(AB101=1,ROUND(AG101/60,4),"")</f>
        <v/>
      </c>
      <c r="L101" s="77" t="str">
        <f>IF(BD101=1,ROUND(AP101/60,4),"")</f>
        <v/>
      </c>
      <c r="M101" s="77" t="str">
        <f>IF(BD101=1,ROUND(AQ101/60,4),"")</f>
        <v/>
      </c>
      <c r="N101" s="71" t="str">
        <f>IF(AND(D101="proMX",AB101=1),ROUND(AG101/CFG_BLK,2),"")</f>
        <v/>
      </c>
      <c r="O101" s="77" t="str">
        <f>IF(D101="proMX",IF(BD101=1,ROUND(AG101/60,4),0),"")</f>
        <v/>
      </c>
      <c r="P101" s="78" t="str">
        <f>IF(Y101=0,"",IF(BD101=1,"OK",IF(D101="proMX","Revisar bloques: ","Revisar: ")&amp;BC101))</f>
        <v/>
      </c>
      <c r="Q101" s="78" t="str">
        <f>IF(NOT(ISNUMBER(B101)),"",IF(COUNTIFS(FER_F,INT(B101))&gt;0,"Feriado"&amp;IF(AH101=1," (laborable)"," (no laborable)"),IF(AH101=1,"Laborable",IF(WEEKDAY(B101,2)&gt;5,"Fin de semana","No laborable"))))</f>
        <v/>
      </c>
      <c r="R101" s="73" t="n"/>
      <c r="S101" s="72" t="n"/>
      <c r="T101" s="72" t="n"/>
      <c r="U101" s="74" t="n"/>
      <c r="V101" s="79" t="str">
        <f>IF(AND(D101="proMX",OR(R101="Submitted",R101="Recall Requested"),ISNUMBER(S101)),CFG_TODAY-INT(S101),"")</f>
        <v/>
      </c>
      <c r="W101" s="78" t="str">
        <f>IF(BD101=0,"",IF(BA101&gt;0,"⚠ Se superpone con un registro de la otra empresa",IF(D101="Malcolm",IF(COUNTA(R101,S101,T101)&gt;0,"Estado/fechas proMX se ignoran en Malcolm",""),IF(BF101="Cancelled","Cancelado: excluido de totales",IF(R101="","Sin estado: se trata como Draft",IF(BF101="Submitted",IF(ISNUMBER(V101),IF(V101&gt;CFG_MAXD,"⚠ "&amp;V101&amp;" días en Submitted (máx. "&amp;CFG_MAXD&amp;")",""),"Falta fecha de envío"),IF(BF101="Returned","⚠ Devuelto: corregir y reenviar",IF(BF101="Recall Requested","Retirada solicitada: pendiente",IF(AND(BF101="Approved",NOT(ISNUMBER(T101))),"Falta fecha de aprobación",IF(AND(ISNUMBER(S101),ISNUMBER(T101),T101&lt;S101),"Aprobación anterior al envío","")))))))))</f>
        <v/>
      </c>
      <c r="Y101" s="80">
        <f>IF(COUNTA(B101,D101,E101,F101,G101,H101,I101,J101,R101,S101,T101)&gt;0,1,0)</f>
        <v>0</v>
      </c>
      <c r="Z101" s="80" t="str">
        <f>IF(AND(ISNUMBER(H101),H101&gt;=0,H101&lt;1),ROUND(H101*1440,0),"")</f>
        <v/>
      </c>
      <c r="AA101" s="80" t="str">
        <f>IF(AND(ISNUMBER(I101),I101&gt;=0,I101&lt;1),ROUND(I101*1440,0),"")</f>
        <v/>
      </c>
      <c r="AB101" s="80">
        <f>IF(AND(ISNUMBER(B101),D101&lt;&gt;"",ISNUMBER(Z101),ISNUMBER(AA101)),IF(Z101=AA101,0,1),0)</f>
        <v>0</v>
      </c>
      <c r="AC101" s="80">
        <f>IF(AB101=1,IF(AA101&lt;Z101,1,0),0)</f>
        <v>0</v>
      </c>
      <c r="AD101" s="80">
        <f>IF(AB101=1,IF(AC101=1,1440-Z101+AA101,AA101-Z101),0)</f>
        <v>0</v>
      </c>
      <c r="AE101" s="80">
        <f>IF(J101="",0,IF(ISNUMBER(J101),J101,-1))</f>
        <v>0</v>
      </c>
      <c r="AF101" s="80">
        <f>MIN(MAX(0,AE101),AD101)</f>
        <v>0</v>
      </c>
      <c r="AG101" s="80">
        <f>MAX(0,AD101-MAX(0,AE101))</f>
        <v>0</v>
      </c>
      <c r="AH101" s="80">
        <f>IF(ISNUMBER(B101),IF(AND(INDEX(CFG_WDAYS,WEEKDAY(INT(B101),2))="Sí",IF(D101="proMX",COUNTIFS(FER_F,INT(B101),FER_NLP,"Sí"),COUNTIFS(FER_F,INT(B101),FER_NLM,"Sí"))=0),1,0),0)</f>
        <v>0</v>
      </c>
      <c r="AI101" s="80">
        <f>IF(AC101=1,IF(AND(INDEX(CFG_WDAYS,WEEKDAY(INT(B101)+1,2))="Sí",IF(D101="proMX",COUNTIFS(FER_F,INT(B101)+1,FER_NLP,"Sí"),COUNTIFS(FER_F,INT(B101)+1,FER_NLM,"Sí"))=0),1,0),0)</f>
        <v>0</v>
      </c>
      <c r="AJ101" s="80">
        <f>IF(AC101=1,1440-Z101,AD101)</f>
        <v>0</v>
      </c>
      <c r="AK101" s="80">
        <f>IF(AND(AB101=1,AH101=1),MAX(0,MIN(IF(AC101=1,1440,AA101),CFG_WEM)-MAX(Z101,CFG_WSM)),0)</f>
        <v>0</v>
      </c>
      <c r="AL101" s="80">
        <f>IF(AND(AC101=1,AI101=1),MAX(0,MIN(AA101,CFG_WEM)-CFG_WSM),0)</f>
        <v>0</v>
      </c>
      <c r="AM101" s="80">
        <f>AK101+AL101</f>
        <v>0</v>
      </c>
      <c r="AN101" s="80">
        <f>IF(CFG_BRK="Proporcional",IF(AD101=0,0,AF101*AM101/AD101),IF(CFG_BRK="Extras primero",MIN(AM101,MAX(0,AF101-(AD101-AM101))),MIN(AF101,AM101)))</f>
        <v>0</v>
      </c>
      <c r="AO101" s="80">
        <f>AF101-AN101</f>
        <v>0</v>
      </c>
      <c r="AP101" s="80">
        <f>AM101-AN101</f>
        <v>0</v>
      </c>
      <c r="AQ101" s="80">
        <f>AD101-AM101-AO101</f>
        <v>0</v>
      </c>
      <c r="AR101" s="80">
        <f>IF(AM101=0,0,AK101-AN101*AK101/AM101)</f>
        <v>0</v>
      </c>
      <c r="AS101" s="80">
        <f>IF(AD101-AM101=0,0,(AJ101-AK101)-AO101*(AJ101-AK101)/(AD101-AM101))</f>
        <v>0</v>
      </c>
      <c r="AT101" s="80" t="str">
        <f>IF(AC101=1,INT(B101)+1,"")</f>
        <v/>
      </c>
      <c r="AU101" s="80">
        <f>IF(AND(D101="proMX",R101="Cancelled"),0,1)</f>
        <v>1</v>
      </c>
      <c r="AV101" s="80">
        <f>IF(AND(AB101=1,AU101=1),IF(COUNTIFS($D$5:D100,D101,$B$5:B100,B101,$Z$5:Z100,Z101,$AA$5:AA100,AA101,$F$5:F100,F101&amp;"",$AU$5:AU100,1)&gt;0,1,0),0)</f>
        <v>0</v>
      </c>
      <c r="AW101" s="80" t="str">
        <f>IF(AB101=1,INT(B101)*1440+Z101,"")</f>
        <v/>
      </c>
      <c r="AX101" s="80" t="str">
        <f>IF(AB101=1,AW101+AD101,"")</f>
        <v/>
      </c>
      <c r="AY101" s="80">
        <f>IF(AND(AB101=1,AV101=0,AU101=1),1,0)</f>
        <v>0</v>
      </c>
      <c r="AZ101" s="80">
        <f>IF(AY101=1,COUNTIFS(R_Emp,D101,R_SAbs,"&lt;"&amp;AX101,R_EAbs,"&gt;"&amp;AW101,R_OKey,1)-1,0)</f>
        <v>0</v>
      </c>
      <c r="BA101" s="80">
        <f>IF(AY101=1,COUNTIFS(R_Emp,"&lt;&gt;"&amp;D101,R_SAbs,"&lt;"&amp;AX101,R_EAbs,"&gt;"&amp;AW101,R_OKey,1),0)</f>
        <v>0</v>
      </c>
      <c r="BB101" s="80">
        <f>IF(AND(AB101=1,D101="proMX"),IF(AND(MOD(Z101,CFG_BLK)=0,MOD(AA101,CFG_BLK)=0,MOD(AG101,CFG_BLK)=0,AG101&gt;0),1,0),1)</f>
        <v>1</v>
      </c>
      <c r="BC101" s="80" t="str">
        <f>IF(Y101=0,"",IF(NOT(ISNUMBER(B101)),"Falta fecha o fecha inválida",IF(D101="","Falta empresa",IF(AND(D101&lt;&gt;"Malcolm",D101&lt;&gt;"proMX"),"Empresa inválida",IF(OR(INT(B101)&lt;CFG_PSTART,INT(B101)&gt;CFG_PEND),"Fecha fuera del período",IF(OR(NOT(ISNUMBER(Z101)),NOT(ISNUMBER(AA101))),"Falta hora inicio/fin o formato inválido",IF(AB101=0,"Hora inicio = hora fin",IF(AE101&lt;0,"Descanso inválido",IF(AE101&gt;=AD101,"Descanso ≥ duración",IF(AV101=1,"Registro duplicado",IF(AZ101&gt;0,"Se superpone con otro registro "&amp;D101,IF(BB101=0,"inicio, fin y duración neta deben ser múltiplos de "&amp;CFG_BLK&amp;" min",""))))))))))))</f>
        <v/>
      </c>
      <c r="BD101" s="80">
        <f>IF(AND(Y101=1,BC101=""),1,0)</f>
        <v>0</v>
      </c>
      <c r="BE101" s="80">
        <f>IF(AND(BD101=1,AU101=1),1,0)</f>
        <v>0</v>
      </c>
      <c r="BF101" s="80" t="str">
        <f>IF(AND(D101="proMX",BD101=1),IF(R101="","Draft",R101),"")</f>
        <v/>
      </c>
      <c r="BG101" s="80">
        <f>IF(BD101=1,ROUND(AG101/60,6),0)</f>
        <v>0</v>
      </c>
      <c r="BH101" s="80">
        <f>IF(BE101=1,ROUND(AG101/60,6),0)</f>
        <v>0</v>
      </c>
      <c r="BI101" s="80">
        <f>IF(BE101=1,ROUND(AP101/60,6),0)</f>
        <v>0</v>
      </c>
      <c r="BJ101" s="80">
        <f>IF(BE101=1,ROUND(AQ101/60,6),0)</f>
        <v>0</v>
      </c>
      <c r="BK101" s="80">
        <f>IF(BE101=1,ROUND((AR101+AS101)/60,6),0)</f>
        <v>0</v>
      </c>
      <c r="BL101" s="80">
        <f>ROUND(BH101-BK101,6)</f>
        <v>0</v>
      </c>
      <c r="BM101" s="80">
        <f>IF(BE101=1,ROUND(AR101/60,6),0)</f>
        <v>0</v>
      </c>
      <c r="BN101" s="80">
        <f>ROUND(BI101-BM101,6)</f>
        <v>0</v>
      </c>
      <c r="BO101" s="80">
        <f>IF(BE101=1,ROUND(AS101/60,6),0)</f>
        <v>0</v>
      </c>
      <c r="BP101" s="80">
        <f>ROUND(BJ101-BO101,6)</f>
        <v>0</v>
      </c>
      <c r="BQ101" s="80">
        <f>IF(BE101=1,AW101,0)</f>
        <v>0</v>
      </c>
      <c r="BR101" s="80">
        <f>IF(BE101=1,AX101,0)</f>
        <v>0</v>
      </c>
      <c r="BS101" s="80">
        <f>IF(AND(BE101=1,D101="Malcolm",BA101&gt;0),MIN(BH101,SUMPRODUCT((R_Emp="proMX")*(R_EN&gt;0)*((R_EN-(R_EN&gt;BR101)*(R_EN-BR101))&gt;(R_SN+(R_SN&lt;BQ101)*(BQ101-R_SN)))*((R_EN-(R_EN&gt;BR101)*(R_EN-BR101))-(R_SN+(R_SN&lt;BQ101)*(BQ101-R_SN))))/60),0)</f>
        <v>0</v>
      </c>
      <c r="BT101" s="80">
        <f>IF(AND(BE101=1,D101="proMX"),ROUND(BI101*CFG_RATE+BJ101*CFG_OTRATE,6),0)</f>
        <v>0</v>
      </c>
      <c r="BU101" s="80">
        <f>IF(AND(BD101=1,D101="proMX"),ROUND(AG101/CFG_BLK,6),0)</f>
        <v>0</v>
      </c>
      <c r="BV101" s="80" t="str">
        <f>IF(BF101="Approved",IF(ISNUMBER(T101),INT(T101),INT(B101)),"")</f>
        <v/>
      </c>
      <c r="BW101" s="80">
        <f>IF(ISNUMBER(B101),IF(DB_MON="Todos",1,IF(AND(INT(B101)&gt;=DB_MS,INT(B101)&lt;=DB_ME),1,0)),0)</f>
        <v>0</v>
      </c>
      <c r="BX101" s="80">
        <f>IF(DB_PROJ="Todos",1,IF(E101&amp;""=DB_PROJ&amp;"",1,0))</f>
        <v>1</v>
      </c>
      <c r="BY101" s="80">
        <f>BW101*BX101</f>
        <v>0</v>
      </c>
      <c r="BZ101" s="80" t="str">
        <f>IF(Y101=1,F101&amp;IF(AND(F101&amp;""&lt;&gt;"",E101&amp;""&lt;&gt;"")," · ","")&amp;E101,"")</f>
        <v/>
      </c>
      <c r="CA101" s="80" t="str">
        <f>IF(AND(BD101=1,E101&amp;""&lt;&gt;""),IF(COUNTIFS($E$5:E100,E101,$BD$5:BD100,1)=0,MAX($CA$5:CA100)+1,""),"")</f>
        <v/>
      </c>
      <c r="CB101" s="80" t="str">
        <f>IF(AND(BE101=1,D101="Malcolm",E101&amp;""&lt;&gt;""),IF(COUNTIFS($D$5:D100,"Malcolm",$E$5:E100,E101,$BE$5:BE100,1)=0,MAX($CB$5:CB100)+1,""),"")</f>
        <v/>
      </c>
      <c r="CC101" s="80" t="str">
        <f>IF(AND(BD101=1,D101="proMX",E101&amp;""&lt;&gt;""),IF(COUNTIFS($D$5:D100,"proMX",$E$5:E100,E101,$BD$5:BD100,1)=0,MAX($CC$5:CC100)+1,""),"")</f>
        <v/>
      </c>
      <c r="CD101" s="80" t="str">
        <f>IF(AND(BE101=1,D101="Malcolm",F101&amp;""&lt;&gt;""),IF(COUNTIFS($D$5:D100,"Malcolm",$F$5:F100,F101,$BE$5:BE100,1)=0,MAX($CD$5:CD100)+1,""),"")</f>
        <v/>
      </c>
      <c r="CE101" s="80" t="str">
        <f>IF(AND(BD101=1,D101="proMX",F101&amp;""&lt;&gt;""),IF(COUNTIFS($D$5:D100,"proMX",$F$5:F100,F101,$BD$5:BD100,1)=0,MAX($CE$5:CE100)+1,""),"")</f>
        <v/>
      </c>
      <c r="CF101" s="80" t="str">
        <f>IF(AND(D101="proMX",BD101=1),IF(OR(BF101="Draft",BF101="Submitted",BF101="Returned",BF101="Recall Requested"),MAX($CF$5:CF100)+1,""),"")</f>
        <v/>
      </c>
      <c r="CG101" s="80">
        <f>IF(BD101=0,0,IF(D101="Malcolm",1,MATCH(BF101,{"Draft","Submitted","Approved","Returned","Recall Requested","Cancelled"},0)+1))</f>
        <v>0</v>
      </c>
      <c r="CH101" s="80">
        <f>IF(AND(BF101="Submitted",ISNUMBER(V101)),IF(V101&gt;CFG_MAXD,1,0),0)</f>
        <v>0</v>
      </c>
    </row>
    <row r="102">
      <c r="A102" s="71" t="str">
        <f>IF(Y102=1,ROW()-5,"")</f>
        <v/>
      </c>
      <c r="B102" s="72" t="n"/>
      <c r="C102" s="71" t="str">
        <f>IF(ISNUMBER(B102),CHOOSE(WEEKDAY(B102,2),"Lun","Mar","Mié","Jue","Vie","Sáb","Dom"),"")</f>
        <v/>
      </c>
      <c r="D102" s="73" t="n"/>
      <c r="E102" s="74" t="n"/>
      <c r="F102" s="74" t="n"/>
      <c r="G102" s="74" t="n"/>
      <c r="H102" s="75" t="n"/>
      <c r="I102" s="75" t="n"/>
      <c r="J102" s="76" t="n"/>
      <c r="K102" s="77" t="str">
        <f>IF(AB102=1,ROUND(AG102/60,4),"")</f>
        <v/>
      </c>
      <c r="L102" s="77" t="str">
        <f>IF(BD102=1,ROUND(AP102/60,4),"")</f>
        <v/>
      </c>
      <c r="M102" s="77" t="str">
        <f>IF(BD102=1,ROUND(AQ102/60,4),"")</f>
        <v/>
      </c>
      <c r="N102" s="71" t="str">
        <f>IF(AND(D102="proMX",AB102=1),ROUND(AG102/CFG_BLK,2),"")</f>
        <v/>
      </c>
      <c r="O102" s="77" t="str">
        <f>IF(D102="proMX",IF(BD102=1,ROUND(AG102/60,4),0),"")</f>
        <v/>
      </c>
      <c r="P102" s="78" t="str">
        <f>IF(Y102=0,"",IF(BD102=1,"OK",IF(D102="proMX","Revisar bloques: ","Revisar: ")&amp;BC102))</f>
        <v/>
      </c>
      <c r="Q102" s="78" t="str">
        <f>IF(NOT(ISNUMBER(B102)),"",IF(COUNTIFS(FER_F,INT(B102))&gt;0,"Feriado"&amp;IF(AH102=1," (laborable)"," (no laborable)"),IF(AH102=1,"Laborable",IF(WEEKDAY(B102,2)&gt;5,"Fin de semana","No laborable"))))</f>
        <v/>
      </c>
      <c r="R102" s="73" t="n"/>
      <c r="S102" s="72" t="n"/>
      <c r="T102" s="72" t="n"/>
      <c r="U102" s="74" t="n"/>
      <c r="V102" s="79" t="str">
        <f>IF(AND(D102="proMX",OR(R102="Submitted",R102="Recall Requested"),ISNUMBER(S102)),CFG_TODAY-INT(S102),"")</f>
        <v/>
      </c>
      <c r="W102" s="78" t="str">
        <f>IF(BD102=0,"",IF(BA102&gt;0,"⚠ Se superpone con un registro de la otra empresa",IF(D102="Malcolm",IF(COUNTA(R102,S102,T102)&gt;0,"Estado/fechas proMX se ignoran en Malcolm",""),IF(BF102="Cancelled","Cancelado: excluido de totales",IF(R102="","Sin estado: se trata como Draft",IF(BF102="Submitted",IF(ISNUMBER(V102),IF(V102&gt;CFG_MAXD,"⚠ "&amp;V102&amp;" días en Submitted (máx. "&amp;CFG_MAXD&amp;")",""),"Falta fecha de envío"),IF(BF102="Returned","⚠ Devuelto: corregir y reenviar",IF(BF102="Recall Requested","Retirada solicitada: pendiente",IF(AND(BF102="Approved",NOT(ISNUMBER(T102))),"Falta fecha de aprobación",IF(AND(ISNUMBER(S102),ISNUMBER(T102),T102&lt;S102),"Aprobación anterior al envío","")))))))))</f>
        <v/>
      </c>
      <c r="Y102" s="80">
        <f>IF(COUNTA(B102,D102,E102,F102,G102,H102,I102,J102,R102,S102,T102)&gt;0,1,0)</f>
        <v>0</v>
      </c>
      <c r="Z102" s="80" t="str">
        <f>IF(AND(ISNUMBER(H102),H102&gt;=0,H102&lt;1),ROUND(H102*1440,0),"")</f>
        <v/>
      </c>
      <c r="AA102" s="80" t="str">
        <f>IF(AND(ISNUMBER(I102),I102&gt;=0,I102&lt;1),ROUND(I102*1440,0),"")</f>
        <v/>
      </c>
      <c r="AB102" s="80">
        <f>IF(AND(ISNUMBER(B102),D102&lt;&gt;"",ISNUMBER(Z102),ISNUMBER(AA102)),IF(Z102=AA102,0,1),0)</f>
        <v>0</v>
      </c>
      <c r="AC102" s="80">
        <f>IF(AB102=1,IF(AA102&lt;Z102,1,0),0)</f>
        <v>0</v>
      </c>
      <c r="AD102" s="80">
        <f>IF(AB102=1,IF(AC102=1,1440-Z102+AA102,AA102-Z102),0)</f>
        <v>0</v>
      </c>
      <c r="AE102" s="80">
        <f>IF(J102="",0,IF(ISNUMBER(J102),J102,-1))</f>
        <v>0</v>
      </c>
      <c r="AF102" s="80">
        <f>MIN(MAX(0,AE102),AD102)</f>
        <v>0</v>
      </c>
      <c r="AG102" s="80">
        <f>MAX(0,AD102-MAX(0,AE102))</f>
        <v>0</v>
      </c>
      <c r="AH102" s="80">
        <f>IF(ISNUMBER(B102),IF(AND(INDEX(CFG_WDAYS,WEEKDAY(INT(B102),2))="Sí",IF(D102="proMX",COUNTIFS(FER_F,INT(B102),FER_NLP,"Sí"),COUNTIFS(FER_F,INT(B102),FER_NLM,"Sí"))=0),1,0),0)</f>
        <v>0</v>
      </c>
      <c r="AI102" s="80">
        <f>IF(AC102=1,IF(AND(INDEX(CFG_WDAYS,WEEKDAY(INT(B102)+1,2))="Sí",IF(D102="proMX",COUNTIFS(FER_F,INT(B102)+1,FER_NLP,"Sí"),COUNTIFS(FER_F,INT(B102)+1,FER_NLM,"Sí"))=0),1,0),0)</f>
        <v>0</v>
      </c>
      <c r="AJ102" s="80">
        <f>IF(AC102=1,1440-Z102,AD102)</f>
        <v>0</v>
      </c>
      <c r="AK102" s="80">
        <f>IF(AND(AB102=1,AH102=1),MAX(0,MIN(IF(AC102=1,1440,AA102),CFG_WEM)-MAX(Z102,CFG_WSM)),0)</f>
        <v>0</v>
      </c>
      <c r="AL102" s="80">
        <f>IF(AND(AC102=1,AI102=1),MAX(0,MIN(AA102,CFG_WEM)-CFG_WSM),0)</f>
        <v>0</v>
      </c>
      <c r="AM102" s="80">
        <f>AK102+AL102</f>
        <v>0</v>
      </c>
      <c r="AN102" s="80">
        <f>IF(CFG_BRK="Proporcional",IF(AD102=0,0,AF102*AM102/AD102),IF(CFG_BRK="Extras primero",MIN(AM102,MAX(0,AF102-(AD102-AM102))),MIN(AF102,AM102)))</f>
        <v>0</v>
      </c>
      <c r="AO102" s="80">
        <f>AF102-AN102</f>
        <v>0</v>
      </c>
      <c r="AP102" s="80">
        <f>AM102-AN102</f>
        <v>0</v>
      </c>
      <c r="AQ102" s="80">
        <f>AD102-AM102-AO102</f>
        <v>0</v>
      </c>
      <c r="AR102" s="80">
        <f>IF(AM102=0,0,AK102-AN102*AK102/AM102)</f>
        <v>0</v>
      </c>
      <c r="AS102" s="80">
        <f>IF(AD102-AM102=0,0,(AJ102-AK102)-AO102*(AJ102-AK102)/(AD102-AM102))</f>
        <v>0</v>
      </c>
      <c r="AT102" s="80" t="str">
        <f>IF(AC102=1,INT(B102)+1,"")</f>
        <v/>
      </c>
      <c r="AU102" s="80">
        <f>IF(AND(D102="proMX",R102="Cancelled"),0,1)</f>
        <v>1</v>
      </c>
      <c r="AV102" s="80">
        <f>IF(AND(AB102=1,AU102=1),IF(COUNTIFS($D$5:D101,D102,$B$5:B101,B102,$Z$5:Z101,Z102,$AA$5:AA101,AA102,$F$5:F101,F102&amp;"",$AU$5:AU101,1)&gt;0,1,0),0)</f>
        <v>0</v>
      </c>
      <c r="AW102" s="80" t="str">
        <f>IF(AB102=1,INT(B102)*1440+Z102,"")</f>
        <v/>
      </c>
      <c r="AX102" s="80" t="str">
        <f>IF(AB102=1,AW102+AD102,"")</f>
        <v/>
      </c>
      <c r="AY102" s="80">
        <f>IF(AND(AB102=1,AV102=0,AU102=1),1,0)</f>
        <v>0</v>
      </c>
      <c r="AZ102" s="80">
        <f>IF(AY102=1,COUNTIFS(R_Emp,D102,R_SAbs,"&lt;"&amp;AX102,R_EAbs,"&gt;"&amp;AW102,R_OKey,1)-1,0)</f>
        <v>0</v>
      </c>
      <c r="BA102" s="80">
        <f>IF(AY102=1,COUNTIFS(R_Emp,"&lt;&gt;"&amp;D102,R_SAbs,"&lt;"&amp;AX102,R_EAbs,"&gt;"&amp;AW102,R_OKey,1),0)</f>
        <v>0</v>
      </c>
      <c r="BB102" s="80">
        <f>IF(AND(AB102=1,D102="proMX"),IF(AND(MOD(Z102,CFG_BLK)=0,MOD(AA102,CFG_BLK)=0,MOD(AG102,CFG_BLK)=0,AG102&gt;0),1,0),1)</f>
        <v>1</v>
      </c>
      <c r="BC102" s="80" t="str">
        <f>IF(Y102=0,"",IF(NOT(ISNUMBER(B102)),"Falta fecha o fecha inválida",IF(D102="","Falta empresa",IF(AND(D102&lt;&gt;"Malcolm",D102&lt;&gt;"proMX"),"Empresa inválida",IF(OR(INT(B102)&lt;CFG_PSTART,INT(B102)&gt;CFG_PEND),"Fecha fuera del período",IF(OR(NOT(ISNUMBER(Z102)),NOT(ISNUMBER(AA102))),"Falta hora inicio/fin o formato inválido",IF(AB102=0,"Hora inicio = hora fin",IF(AE102&lt;0,"Descanso inválido",IF(AE102&gt;=AD102,"Descanso ≥ duración",IF(AV102=1,"Registro duplicado",IF(AZ102&gt;0,"Se superpone con otro registro "&amp;D102,IF(BB102=0,"inicio, fin y duración neta deben ser múltiplos de "&amp;CFG_BLK&amp;" min",""))))))))))))</f>
        <v/>
      </c>
      <c r="BD102" s="80">
        <f>IF(AND(Y102=1,BC102=""),1,0)</f>
        <v>0</v>
      </c>
      <c r="BE102" s="80">
        <f>IF(AND(BD102=1,AU102=1),1,0)</f>
        <v>0</v>
      </c>
      <c r="BF102" s="80" t="str">
        <f>IF(AND(D102="proMX",BD102=1),IF(R102="","Draft",R102),"")</f>
        <v/>
      </c>
      <c r="BG102" s="80">
        <f>IF(BD102=1,ROUND(AG102/60,6),0)</f>
        <v>0</v>
      </c>
      <c r="BH102" s="80">
        <f>IF(BE102=1,ROUND(AG102/60,6),0)</f>
        <v>0</v>
      </c>
      <c r="BI102" s="80">
        <f>IF(BE102=1,ROUND(AP102/60,6),0)</f>
        <v>0</v>
      </c>
      <c r="BJ102" s="80">
        <f>IF(BE102=1,ROUND(AQ102/60,6),0)</f>
        <v>0</v>
      </c>
      <c r="BK102" s="80">
        <f>IF(BE102=1,ROUND((AR102+AS102)/60,6),0)</f>
        <v>0</v>
      </c>
      <c r="BL102" s="80">
        <f>ROUND(BH102-BK102,6)</f>
        <v>0</v>
      </c>
      <c r="BM102" s="80">
        <f>IF(BE102=1,ROUND(AR102/60,6),0)</f>
        <v>0</v>
      </c>
      <c r="BN102" s="80">
        <f>ROUND(BI102-BM102,6)</f>
        <v>0</v>
      </c>
      <c r="BO102" s="80">
        <f>IF(BE102=1,ROUND(AS102/60,6),0)</f>
        <v>0</v>
      </c>
      <c r="BP102" s="80">
        <f>ROUND(BJ102-BO102,6)</f>
        <v>0</v>
      </c>
      <c r="BQ102" s="80">
        <f>IF(BE102=1,AW102,0)</f>
        <v>0</v>
      </c>
      <c r="BR102" s="80">
        <f>IF(BE102=1,AX102,0)</f>
        <v>0</v>
      </c>
      <c r="BS102" s="80">
        <f>IF(AND(BE102=1,D102="Malcolm",BA102&gt;0),MIN(BH102,SUMPRODUCT((R_Emp="proMX")*(R_EN&gt;0)*((R_EN-(R_EN&gt;BR102)*(R_EN-BR102))&gt;(R_SN+(R_SN&lt;BQ102)*(BQ102-R_SN)))*((R_EN-(R_EN&gt;BR102)*(R_EN-BR102))-(R_SN+(R_SN&lt;BQ102)*(BQ102-R_SN))))/60),0)</f>
        <v>0</v>
      </c>
      <c r="BT102" s="80">
        <f>IF(AND(BE102=1,D102="proMX"),ROUND(BI102*CFG_RATE+BJ102*CFG_OTRATE,6),0)</f>
        <v>0</v>
      </c>
      <c r="BU102" s="80">
        <f>IF(AND(BD102=1,D102="proMX"),ROUND(AG102/CFG_BLK,6),0)</f>
        <v>0</v>
      </c>
      <c r="BV102" s="80" t="str">
        <f>IF(BF102="Approved",IF(ISNUMBER(T102),INT(T102),INT(B102)),"")</f>
        <v/>
      </c>
      <c r="BW102" s="80">
        <f>IF(ISNUMBER(B102),IF(DB_MON="Todos",1,IF(AND(INT(B102)&gt;=DB_MS,INT(B102)&lt;=DB_ME),1,0)),0)</f>
        <v>0</v>
      </c>
      <c r="BX102" s="80">
        <f>IF(DB_PROJ="Todos",1,IF(E102&amp;""=DB_PROJ&amp;"",1,0))</f>
        <v>1</v>
      </c>
      <c r="BY102" s="80">
        <f>BW102*BX102</f>
        <v>0</v>
      </c>
      <c r="BZ102" s="80" t="str">
        <f>IF(Y102=1,F102&amp;IF(AND(F102&amp;""&lt;&gt;"",E102&amp;""&lt;&gt;"")," · ","")&amp;E102,"")</f>
        <v/>
      </c>
      <c r="CA102" s="80" t="str">
        <f>IF(AND(BD102=1,E102&amp;""&lt;&gt;""),IF(COUNTIFS($E$5:E101,E102,$BD$5:BD101,1)=0,MAX($CA$5:CA101)+1,""),"")</f>
        <v/>
      </c>
      <c r="CB102" s="80" t="str">
        <f>IF(AND(BE102=1,D102="Malcolm",E102&amp;""&lt;&gt;""),IF(COUNTIFS($D$5:D101,"Malcolm",$E$5:E101,E102,$BE$5:BE101,1)=0,MAX($CB$5:CB101)+1,""),"")</f>
        <v/>
      </c>
      <c r="CC102" s="80" t="str">
        <f>IF(AND(BD102=1,D102="proMX",E102&amp;""&lt;&gt;""),IF(COUNTIFS($D$5:D101,"proMX",$E$5:E101,E102,$BD$5:BD101,1)=0,MAX($CC$5:CC101)+1,""),"")</f>
        <v/>
      </c>
      <c r="CD102" s="80" t="str">
        <f>IF(AND(BE102=1,D102="Malcolm",F102&amp;""&lt;&gt;""),IF(COUNTIFS($D$5:D101,"Malcolm",$F$5:F101,F102,$BE$5:BE101,1)=0,MAX($CD$5:CD101)+1,""),"")</f>
        <v/>
      </c>
      <c r="CE102" s="80" t="str">
        <f>IF(AND(BD102=1,D102="proMX",F102&amp;""&lt;&gt;""),IF(COUNTIFS($D$5:D101,"proMX",$F$5:F101,F102,$BD$5:BD101,1)=0,MAX($CE$5:CE101)+1,""),"")</f>
        <v/>
      </c>
      <c r="CF102" s="80" t="str">
        <f>IF(AND(D102="proMX",BD102=1),IF(OR(BF102="Draft",BF102="Submitted",BF102="Returned",BF102="Recall Requested"),MAX($CF$5:CF101)+1,""),"")</f>
        <v/>
      </c>
      <c r="CG102" s="80">
        <f>IF(BD102=0,0,IF(D102="Malcolm",1,MATCH(BF102,{"Draft","Submitted","Approved","Returned","Recall Requested","Cancelled"},0)+1))</f>
        <v>0</v>
      </c>
      <c r="CH102" s="80">
        <f>IF(AND(BF102="Submitted",ISNUMBER(V102)),IF(V102&gt;CFG_MAXD,1,0),0)</f>
        <v>0</v>
      </c>
    </row>
    <row r="103">
      <c r="A103" s="71" t="str">
        <f>IF(Y103=1,ROW()-5,"")</f>
        <v/>
      </c>
      <c r="B103" s="72" t="n"/>
      <c r="C103" s="71" t="str">
        <f>IF(ISNUMBER(B103),CHOOSE(WEEKDAY(B103,2),"Lun","Mar","Mié","Jue","Vie","Sáb","Dom"),"")</f>
        <v/>
      </c>
      <c r="D103" s="73" t="n"/>
      <c r="E103" s="74" t="n"/>
      <c r="F103" s="74" t="n"/>
      <c r="G103" s="74" t="n"/>
      <c r="H103" s="75" t="n"/>
      <c r="I103" s="75" t="n"/>
      <c r="J103" s="76" t="n"/>
      <c r="K103" s="77" t="str">
        <f>IF(AB103=1,ROUND(AG103/60,4),"")</f>
        <v/>
      </c>
      <c r="L103" s="77" t="str">
        <f>IF(BD103=1,ROUND(AP103/60,4),"")</f>
        <v/>
      </c>
      <c r="M103" s="77" t="str">
        <f>IF(BD103=1,ROUND(AQ103/60,4),"")</f>
        <v/>
      </c>
      <c r="N103" s="71" t="str">
        <f>IF(AND(D103="proMX",AB103=1),ROUND(AG103/CFG_BLK,2),"")</f>
        <v/>
      </c>
      <c r="O103" s="77" t="str">
        <f>IF(D103="proMX",IF(BD103=1,ROUND(AG103/60,4),0),"")</f>
        <v/>
      </c>
      <c r="P103" s="78" t="str">
        <f>IF(Y103=0,"",IF(BD103=1,"OK",IF(D103="proMX","Revisar bloques: ","Revisar: ")&amp;BC103))</f>
        <v/>
      </c>
      <c r="Q103" s="78" t="str">
        <f>IF(NOT(ISNUMBER(B103)),"",IF(COUNTIFS(FER_F,INT(B103))&gt;0,"Feriado"&amp;IF(AH103=1," (laborable)"," (no laborable)"),IF(AH103=1,"Laborable",IF(WEEKDAY(B103,2)&gt;5,"Fin de semana","No laborable"))))</f>
        <v/>
      </c>
      <c r="R103" s="73" t="n"/>
      <c r="S103" s="72" t="n"/>
      <c r="T103" s="72" t="n"/>
      <c r="U103" s="74" t="n"/>
      <c r="V103" s="79" t="str">
        <f>IF(AND(D103="proMX",OR(R103="Submitted",R103="Recall Requested"),ISNUMBER(S103)),CFG_TODAY-INT(S103),"")</f>
        <v/>
      </c>
      <c r="W103" s="78" t="str">
        <f>IF(BD103=0,"",IF(BA103&gt;0,"⚠ Se superpone con un registro de la otra empresa",IF(D103="Malcolm",IF(COUNTA(R103,S103,T103)&gt;0,"Estado/fechas proMX se ignoran en Malcolm",""),IF(BF103="Cancelled","Cancelado: excluido de totales",IF(R103="","Sin estado: se trata como Draft",IF(BF103="Submitted",IF(ISNUMBER(V103),IF(V103&gt;CFG_MAXD,"⚠ "&amp;V103&amp;" días en Submitted (máx. "&amp;CFG_MAXD&amp;")",""),"Falta fecha de envío"),IF(BF103="Returned","⚠ Devuelto: corregir y reenviar",IF(BF103="Recall Requested","Retirada solicitada: pendiente",IF(AND(BF103="Approved",NOT(ISNUMBER(T103))),"Falta fecha de aprobación",IF(AND(ISNUMBER(S103),ISNUMBER(T103),T103&lt;S103),"Aprobación anterior al envío","")))))))))</f>
        <v/>
      </c>
      <c r="Y103" s="80">
        <f>IF(COUNTA(B103,D103,E103,F103,G103,H103,I103,J103,R103,S103,T103)&gt;0,1,0)</f>
        <v>0</v>
      </c>
      <c r="Z103" s="80" t="str">
        <f>IF(AND(ISNUMBER(H103),H103&gt;=0,H103&lt;1),ROUND(H103*1440,0),"")</f>
        <v/>
      </c>
      <c r="AA103" s="80" t="str">
        <f>IF(AND(ISNUMBER(I103),I103&gt;=0,I103&lt;1),ROUND(I103*1440,0),"")</f>
        <v/>
      </c>
      <c r="AB103" s="80">
        <f>IF(AND(ISNUMBER(B103),D103&lt;&gt;"",ISNUMBER(Z103),ISNUMBER(AA103)),IF(Z103=AA103,0,1),0)</f>
        <v>0</v>
      </c>
      <c r="AC103" s="80">
        <f>IF(AB103=1,IF(AA103&lt;Z103,1,0),0)</f>
        <v>0</v>
      </c>
      <c r="AD103" s="80">
        <f>IF(AB103=1,IF(AC103=1,1440-Z103+AA103,AA103-Z103),0)</f>
        <v>0</v>
      </c>
      <c r="AE103" s="80">
        <f>IF(J103="",0,IF(ISNUMBER(J103),J103,-1))</f>
        <v>0</v>
      </c>
      <c r="AF103" s="80">
        <f>MIN(MAX(0,AE103),AD103)</f>
        <v>0</v>
      </c>
      <c r="AG103" s="80">
        <f>MAX(0,AD103-MAX(0,AE103))</f>
        <v>0</v>
      </c>
      <c r="AH103" s="80">
        <f>IF(ISNUMBER(B103),IF(AND(INDEX(CFG_WDAYS,WEEKDAY(INT(B103),2))="Sí",IF(D103="proMX",COUNTIFS(FER_F,INT(B103),FER_NLP,"Sí"),COUNTIFS(FER_F,INT(B103),FER_NLM,"Sí"))=0),1,0),0)</f>
        <v>0</v>
      </c>
      <c r="AI103" s="80">
        <f>IF(AC103=1,IF(AND(INDEX(CFG_WDAYS,WEEKDAY(INT(B103)+1,2))="Sí",IF(D103="proMX",COUNTIFS(FER_F,INT(B103)+1,FER_NLP,"Sí"),COUNTIFS(FER_F,INT(B103)+1,FER_NLM,"Sí"))=0),1,0),0)</f>
        <v>0</v>
      </c>
      <c r="AJ103" s="80">
        <f>IF(AC103=1,1440-Z103,AD103)</f>
        <v>0</v>
      </c>
      <c r="AK103" s="80">
        <f>IF(AND(AB103=1,AH103=1),MAX(0,MIN(IF(AC103=1,1440,AA103),CFG_WEM)-MAX(Z103,CFG_WSM)),0)</f>
        <v>0</v>
      </c>
      <c r="AL103" s="80">
        <f>IF(AND(AC103=1,AI103=1),MAX(0,MIN(AA103,CFG_WEM)-CFG_WSM),0)</f>
        <v>0</v>
      </c>
      <c r="AM103" s="80">
        <f>AK103+AL103</f>
        <v>0</v>
      </c>
      <c r="AN103" s="80">
        <f>IF(CFG_BRK="Proporcional",IF(AD103=0,0,AF103*AM103/AD103),IF(CFG_BRK="Extras primero",MIN(AM103,MAX(0,AF103-(AD103-AM103))),MIN(AF103,AM103)))</f>
        <v>0</v>
      </c>
      <c r="AO103" s="80">
        <f>AF103-AN103</f>
        <v>0</v>
      </c>
      <c r="AP103" s="80">
        <f>AM103-AN103</f>
        <v>0</v>
      </c>
      <c r="AQ103" s="80">
        <f>AD103-AM103-AO103</f>
        <v>0</v>
      </c>
      <c r="AR103" s="80">
        <f>IF(AM103=0,0,AK103-AN103*AK103/AM103)</f>
        <v>0</v>
      </c>
      <c r="AS103" s="80">
        <f>IF(AD103-AM103=0,0,(AJ103-AK103)-AO103*(AJ103-AK103)/(AD103-AM103))</f>
        <v>0</v>
      </c>
      <c r="AT103" s="80" t="str">
        <f>IF(AC103=1,INT(B103)+1,"")</f>
        <v/>
      </c>
      <c r="AU103" s="80">
        <f>IF(AND(D103="proMX",R103="Cancelled"),0,1)</f>
        <v>1</v>
      </c>
      <c r="AV103" s="80">
        <f>IF(AND(AB103=1,AU103=1),IF(COUNTIFS($D$5:D102,D103,$B$5:B102,B103,$Z$5:Z102,Z103,$AA$5:AA102,AA103,$F$5:F102,F103&amp;"",$AU$5:AU102,1)&gt;0,1,0),0)</f>
        <v>0</v>
      </c>
      <c r="AW103" s="80" t="str">
        <f>IF(AB103=1,INT(B103)*1440+Z103,"")</f>
        <v/>
      </c>
      <c r="AX103" s="80" t="str">
        <f>IF(AB103=1,AW103+AD103,"")</f>
        <v/>
      </c>
      <c r="AY103" s="80">
        <f>IF(AND(AB103=1,AV103=0,AU103=1),1,0)</f>
        <v>0</v>
      </c>
      <c r="AZ103" s="80">
        <f>IF(AY103=1,COUNTIFS(R_Emp,D103,R_SAbs,"&lt;"&amp;AX103,R_EAbs,"&gt;"&amp;AW103,R_OKey,1)-1,0)</f>
        <v>0</v>
      </c>
      <c r="BA103" s="80">
        <f>IF(AY103=1,COUNTIFS(R_Emp,"&lt;&gt;"&amp;D103,R_SAbs,"&lt;"&amp;AX103,R_EAbs,"&gt;"&amp;AW103,R_OKey,1),0)</f>
        <v>0</v>
      </c>
      <c r="BB103" s="80">
        <f>IF(AND(AB103=1,D103="proMX"),IF(AND(MOD(Z103,CFG_BLK)=0,MOD(AA103,CFG_BLK)=0,MOD(AG103,CFG_BLK)=0,AG103&gt;0),1,0),1)</f>
        <v>1</v>
      </c>
      <c r="BC103" s="80" t="str">
        <f>IF(Y103=0,"",IF(NOT(ISNUMBER(B103)),"Falta fecha o fecha inválida",IF(D103="","Falta empresa",IF(AND(D103&lt;&gt;"Malcolm",D103&lt;&gt;"proMX"),"Empresa inválida",IF(OR(INT(B103)&lt;CFG_PSTART,INT(B103)&gt;CFG_PEND),"Fecha fuera del período",IF(OR(NOT(ISNUMBER(Z103)),NOT(ISNUMBER(AA103))),"Falta hora inicio/fin o formato inválido",IF(AB103=0,"Hora inicio = hora fin",IF(AE103&lt;0,"Descanso inválido",IF(AE103&gt;=AD103,"Descanso ≥ duración",IF(AV103=1,"Registro duplicado",IF(AZ103&gt;0,"Se superpone con otro registro "&amp;D103,IF(BB103=0,"inicio, fin y duración neta deben ser múltiplos de "&amp;CFG_BLK&amp;" min",""))))))))))))</f>
        <v/>
      </c>
      <c r="BD103" s="80">
        <f>IF(AND(Y103=1,BC103=""),1,0)</f>
        <v>0</v>
      </c>
      <c r="BE103" s="80">
        <f>IF(AND(BD103=1,AU103=1),1,0)</f>
        <v>0</v>
      </c>
      <c r="BF103" s="80" t="str">
        <f>IF(AND(D103="proMX",BD103=1),IF(R103="","Draft",R103),"")</f>
        <v/>
      </c>
      <c r="BG103" s="80">
        <f>IF(BD103=1,ROUND(AG103/60,6),0)</f>
        <v>0</v>
      </c>
      <c r="BH103" s="80">
        <f>IF(BE103=1,ROUND(AG103/60,6),0)</f>
        <v>0</v>
      </c>
      <c r="BI103" s="80">
        <f>IF(BE103=1,ROUND(AP103/60,6),0)</f>
        <v>0</v>
      </c>
      <c r="BJ103" s="80">
        <f>IF(BE103=1,ROUND(AQ103/60,6),0)</f>
        <v>0</v>
      </c>
      <c r="BK103" s="80">
        <f>IF(BE103=1,ROUND((AR103+AS103)/60,6),0)</f>
        <v>0</v>
      </c>
      <c r="BL103" s="80">
        <f>ROUND(BH103-BK103,6)</f>
        <v>0</v>
      </c>
      <c r="BM103" s="80">
        <f>IF(BE103=1,ROUND(AR103/60,6),0)</f>
        <v>0</v>
      </c>
      <c r="BN103" s="80">
        <f>ROUND(BI103-BM103,6)</f>
        <v>0</v>
      </c>
      <c r="BO103" s="80">
        <f>IF(BE103=1,ROUND(AS103/60,6),0)</f>
        <v>0</v>
      </c>
      <c r="BP103" s="80">
        <f>ROUND(BJ103-BO103,6)</f>
        <v>0</v>
      </c>
      <c r="BQ103" s="80">
        <f>IF(BE103=1,AW103,0)</f>
        <v>0</v>
      </c>
      <c r="BR103" s="80">
        <f>IF(BE103=1,AX103,0)</f>
        <v>0</v>
      </c>
      <c r="BS103" s="80">
        <f>IF(AND(BE103=1,D103="Malcolm",BA103&gt;0),MIN(BH103,SUMPRODUCT((R_Emp="proMX")*(R_EN&gt;0)*((R_EN-(R_EN&gt;BR103)*(R_EN-BR103))&gt;(R_SN+(R_SN&lt;BQ103)*(BQ103-R_SN)))*((R_EN-(R_EN&gt;BR103)*(R_EN-BR103))-(R_SN+(R_SN&lt;BQ103)*(BQ103-R_SN))))/60),0)</f>
        <v>0</v>
      </c>
      <c r="BT103" s="80">
        <f>IF(AND(BE103=1,D103="proMX"),ROUND(BI103*CFG_RATE+BJ103*CFG_OTRATE,6),0)</f>
        <v>0</v>
      </c>
      <c r="BU103" s="80">
        <f>IF(AND(BD103=1,D103="proMX"),ROUND(AG103/CFG_BLK,6),0)</f>
        <v>0</v>
      </c>
      <c r="BV103" s="80" t="str">
        <f>IF(BF103="Approved",IF(ISNUMBER(T103),INT(T103),INT(B103)),"")</f>
        <v/>
      </c>
      <c r="BW103" s="80">
        <f>IF(ISNUMBER(B103),IF(DB_MON="Todos",1,IF(AND(INT(B103)&gt;=DB_MS,INT(B103)&lt;=DB_ME),1,0)),0)</f>
        <v>0</v>
      </c>
      <c r="BX103" s="80">
        <f>IF(DB_PROJ="Todos",1,IF(E103&amp;""=DB_PROJ&amp;"",1,0))</f>
        <v>1</v>
      </c>
      <c r="BY103" s="80">
        <f>BW103*BX103</f>
        <v>0</v>
      </c>
      <c r="BZ103" s="80" t="str">
        <f>IF(Y103=1,F103&amp;IF(AND(F103&amp;""&lt;&gt;"",E103&amp;""&lt;&gt;"")," · ","")&amp;E103,"")</f>
        <v/>
      </c>
      <c r="CA103" s="80" t="str">
        <f>IF(AND(BD103=1,E103&amp;""&lt;&gt;""),IF(COUNTIFS($E$5:E102,E103,$BD$5:BD102,1)=0,MAX($CA$5:CA102)+1,""),"")</f>
        <v/>
      </c>
      <c r="CB103" s="80" t="str">
        <f>IF(AND(BE103=1,D103="Malcolm",E103&amp;""&lt;&gt;""),IF(COUNTIFS($D$5:D102,"Malcolm",$E$5:E102,E103,$BE$5:BE102,1)=0,MAX($CB$5:CB102)+1,""),"")</f>
        <v/>
      </c>
      <c r="CC103" s="80" t="str">
        <f>IF(AND(BD103=1,D103="proMX",E103&amp;""&lt;&gt;""),IF(COUNTIFS($D$5:D102,"proMX",$E$5:E102,E103,$BD$5:BD102,1)=0,MAX($CC$5:CC102)+1,""),"")</f>
        <v/>
      </c>
      <c r="CD103" s="80" t="str">
        <f>IF(AND(BE103=1,D103="Malcolm",F103&amp;""&lt;&gt;""),IF(COUNTIFS($D$5:D102,"Malcolm",$F$5:F102,F103,$BE$5:BE102,1)=0,MAX($CD$5:CD102)+1,""),"")</f>
        <v/>
      </c>
      <c r="CE103" s="80" t="str">
        <f>IF(AND(BD103=1,D103="proMX",F103&amp;""&lt;&gt;""),IF(COUNTIFS($D$5:D102,"proMX",$F$5:F102,F103,$BD$5:BD102,1)=0,MAX($CE$5:CE102)+1,""),"")</f>
        <v/>
      </c>
      <c r="CF103" s="80" t="str">
        <f>IF(AND(D103="proMX",BD103=1),IF(OR(BF103="Draft",BF103="Submitted",BF103="Returned",BF103="Recall Requested"),MAX($CF$5:CF102)+1,""),"")</f>
        <v/>
      </c>
      <c r="CG103" s="80">
        <f>IF(BD103=0,0,IF(D103="Malcolm",1,MATCH(BF103,{"Draft","Submitted","Approved","Returned","Recall Requested","Cancelled"},0)+1))</f>
        <v>0</v>
      </c>
      <c r="CH103" s="80">
        <f>IF(AND(BF103="Submitted",ISNUMBER(V103)),IF(V103&gt;CFG_MAXD,1,0),0)</f>
        <v>0</v>
      </c>
    </row>
    <row r="104">
      <c r="A104" s="71" t="str">
        <f>IF(Y104=1,ROW()-5,"")</f>
        <v/>
      </c>
      <c r="B104" s="72" t="n"/>
      <c r="C104" s="71" t="str">
        <f>IF(ISNUMBER(B104),CHOOSE(WEEKDAY(B104,2),"Lun","Mar","Mié","Jue","Vie","Sáb","Dom"),"")</f>
        <v/>
      </c>
      <c r="D104" s="73" t="n"/>
      <c r="E104" s="74" t="n"/>
      <c r="F104" s="74" t="n"/>
      <c r="G104" s="74" t="n"/>
      <c r="H104" s="75" t="n"/>
      <c r="I104" s="75" t="n"/>
      <c r="J104" s="76" t="n"/>
      <c r="K104" s="77" t="str">
        <f>IF(AB104=1,ROUND(AG104/60,4),"")</f>
        <v/>
      </c>
      <c r="L104" s="77" t="str">
        <f>IF(BD104=1,ROUND(AP104/60,4),"")</f>
        <v/>
      </c>
      <c r="M104" s="77" t="str">
        <f>IF(BD104=1,ROUND(AQ104/60,4),"")</f>
        <v/>
      </c>
      <c r="N104" s="71" t="str">
        <f>IF(AND(D104="proMX",AB104=1),ROUND(AG104/CFG_BLK,2),"")</f>
        <v/>
      </c>
      <c r="O104" s="77" t="str">
        <f>IF(D104="proMX",IF(BD104=1,ROUND(AG104/60,4),0),"")</f>
        <v/>
      </c>
      <c r="P104" s="78" t="str">
        <f>IF(Y104=0,"",IF(BD104=1,"OK",IF(D104="proMX","Revisar bloques: ","Revisar: ")&amp;BC104))</f>
        <v/>
      </c>
      <c r="Q104" s="78" t="str">
        <f>IF(NOT(ISNUMBER(B104)),"",IF(COUNTIFS(FER_F,INT(B104))&gt;0,"Feriado"&amp;IF(AH104=1," (laborable)"," (no laborable)"),IF(AH104=1,"Laborable",IF(WEEKDAY(B104,2)&gt;5,"Fin de semana","No laborable"))))</f>
        <v/>
      </c>
      <c r="R104" s="73" t="n"/>
      <c r="S104" s="72" t="n"/>
      <c r="T104" s="72" t="n"/>
      <c r="U104" s="74" t="n"/>
      <c r="V104" s="79" t="str">
        <f>IF(AND(D104="proMX",OR(R104="Submitted",R104="Recall Requested"),ISNUMBER(S104)),CFG_TODAY-INT(S104),"")</f>
        <v/>
      </c>
      <c r="W104" s="78" t="str">
        <f>IF(BD104=0,"",IF(BA104&gt;0,"⚠ Se superpone con un registro de la otra empresa",IF(D104="Malcolm",IF(COUNTA(R104,S104,T104)&gt;0,"Estado/fechas proMX se ignoran en Malcolm",""),IF(BF104="Cancelled","Cancelado: excluido de totales",IF(R104="","Sin estado: se trata como Draft",IF(BF104="Submitted",IF(ISNUMBER(V104),IF(V104&gt;CFG_MAXD,"⚠ "&amp;V104&amp;" días en Submitted (máx. "&amp;CFG_MAXD&amp;")",""),"Falta fecha de envío"),IF(BF104="Returned","⚠ Devuelto: corregir y reenviar",IF(BF104="Recall Requested","Retirada solicitada: pendiente",IF(AND(BF104="Approved",NOT(ISNUMBER(T104))),"Falta fecha de aprobación",IF(AND(ISNUMBER(S104),ISNUMBER(T104),T104&lt;S104),"Aprobación anterior al envío","")))))))))</f>
        <v/>
      </c>
      <c r="Y104" s="80">
        <f>IF(COUNTA(B104,D104,E104,F104,G104,H104,I104,J104,R104,S104,T104)&gt;0,1,0)</f>
        <v>0</v>
      </c>
      <c r="Z104" s="80" t="str">
        <f>IF(AND(ISNUMBER(H104),H104&gt;=0,H104&lt;1),ROUND(H104*1440,0),"")</f>
        <v/>
      </c>
      <c r="AA104" s="80" t="str">
        <f>IF(AND(ISNUMBER(I104),I104&gt;=0,I104&lt;1),ROUND(I104*1440,0),"")</f>
        <v/>
      </c>
      <c r="AB104" s="80">
        <f>IF(AND(ISNUMBER(B104),D104&lt;&gt;"",ISNUMBER(Z104),ISNUMBER(AA104)),IF(Z104=AA104,0,1),0)</f>
        <v>0</v>
      </c>
      <c r="AC104" s="80">
        <f>IF(AB104=1,IF(AA104&lt;Z104,1,0),0)</f>
        <v>0</v>
      </c>
      <c r="AD104" s="80">
        <f>IF(AB104=1,IF(AC104=1,1440-Z104+AA104,AA104-Z104),0)</f>
        <v>0</v>
      </c>
      <c r="AE104" s="80">
        <f>IF(J104="",0,IF(ISNUMBER(J104),J104,-1))</f>
        <v>0</v>
      </c>
      <c r="AF104" s="80">
        <f>MIN(MAX(0,AE104),AD104)</f>
        <v>0</v>
      </c>
      <c r="AG104" s="80">
        <f>MAX(0,AD104-MAX(0,AE104))</f>
        <v>0</v>
      </c>
      <c r="AH104" s="80">
        <f>IF(ISNUMBER(B104),IF(AND(INDEX(CFG_WDAYS,WEEKDAY(INT(B104),2))="Sí",IF(D104="proMX",COUNTIFS(FER_F,INT(B104),FER_NLP,"Sí"),COUNTIFS(FER_F,INT(B104),FER_NLM,"Sí"))=0),1,0),0)</f>
        <v>0</v>
      </c>
      <c r="AI104" s="80">
        <f>IF(AC104=1,IF(AND(INDEX(CFG_WDAYS,WEEKDAY(INT(B104)+1,2))="Sí",IF(D104="proMX",COUNTIFS(FER_F,INT(B104)+1,FER_NLP,"Sí"),COUNTIFS(FER_F,INT(B104)+1,FER_NLM,"Sí"))=0),1,0),0)</f>
        <v>0</v>
      </c>
      <c r="AJ104" s="80">
        <f>IF(AC104=1,1440-Z104,AD104)</f>
        <v>0</v>
      </c>
      <c r="AK104" s="80">
        <f>IF(AND(AB104=1,AH104=1),MAX(0,MIN(IF(AC104=1,1440,AA104),CFG_WEM)-MAX(Z104,CFG_WSM)),0)</f>
        <v>0</v>
      </c>
      <c r="AL104" s="80">
        <f>IF(AND(AC104=1,AI104=1),MAX(0,MIN(AA104,CFG_WEM)-CFG_WSM),0)</f>
        <v>0</v>
      </c>
      <c r="AM104" s="80">
        <f>AK104+AL104</f>
        <v>0</v>
      </c>
      <c r="AN104" s="80">
        <f>IF(CFG_BRK="Proporcional",IF(AD104=0,0,AF104*AM104/AD104),IF(CFG_BRK="Extras primero",MIN(AM104,MAX(0,AF104-(AD104-AM104))),MIN(AF104,AM104)))</f>
        <v>0</v>
      </c>
      <c r="AO104" s="80">
        <f>AF104-AN104</f>
        <v>0</v>
      </c>
      <c r="AP104" s="80">
        <f>AM104-AN104</f>
        <v>0</v>
      </c>
      <c r="AQ104" s="80">
        <f>AD104-AM104-AO104</f>
        <v>0</v>
      </c>
      <c r="AR104" s="80">
        <f>IF(AM104=0,0,AK104-AN104*AK104/AM104)</f>
        <v>0</v>
      </c>
      <c r="AS104" s="80">
        <f>IF(AD104-AM104=0,0,(AJ104-AK104)-AO104*(AJ104-AK104)/(AD104-AM104))</f>
        <v>0</v>
      </c>
      <c r="AT104" s="80" t="str">
        <f>IF(AC104=1,INT(B104)+1,"")</f>
        <v/>
      </c>
      <c r="AU104" s="80">
        <f>IF(AND(D104="proMX",R104="Cancelled"),0,1)</f>
        <v>1</v>
      </c>
      <c r="AV104" s="80">
        <f>IF(AND(AB104=1,AU104=1),IF(COUNTIFS($D$5:D103,D104,$B$5:B103,B104,$Z$5:Z103,Z104,$AA$5:AA103,AA104,$F$5:F103,F104&amp;"",$AU$5:AU103,1)&gt;0,1,0),0)</f>
        <v>0</v>
      </c>
      <c r="AW104" s="80" t="str">
        <f>IF(AB104=1,INT(B104)*1440+Z104,"")</f>
        <v/>
      </c>
      <c r="AX104" s="80" t="str">
        <f>IF(AB104=1,AW104+AD104,"")</f>
        <v/>
      </c>
      <c r="AY104" s="80">
        <f>IF(AND(AB104=1,AV104=0,AU104=1),1,0)</f>
        <v>0</v>
      </c>
      <c r="AZ104" s="80">
        <f>IF(AY104=1,COUNTIFS(R_Emp,D104,R_SAbs,"&lt;"&amp;AX104,R_EAbs,"&gt;"&amp;AW104,R_OKey,1)-1,0)</f>
        <v>0</v>
      </c>
      <c r="BA104" s="80">
        <f>IF(AY104=1,COUNTIFS(R_Emp,"&lt;&gt;"&amp;D104,R_SAbs,"&lt;"&amp;AX104,R_EAbs,"&gt;"&amp;AW104,R_OKey,1),0)</f>
        <v>0</v>
      </c>
      <c r="BB104" s="80">
        <f>IF(AND(AB104=1,D104="proMX"),IF(AND(MOD(Z104,CFG_BLK)=0,MOD(AA104,CFG_BLK)=0,MOD(AG104,CFG_BLK)=0,AG104&gt;0),1,0),1)</f>
        <v>1</v>
      </c>
      <c r="BC104" s="80" t="str">
        <f>IF(Y104=0,"",IF(NOT(ISNUMBER(B104)),"Falta fecha o fecha inválida",IF(D104="","Falta empresa",IF(AND(D104&lt;&gt;"Malcolm",D104&lt;&gt;"proMX"),"Empresa inválida",IF(OR(INT(B104)&lt;CFG_PSTART,INT(B104)&gt;CFG_PEND),"Fecha fuera del período",IF(OR(NOT(ISNUMBER(Z104)),NOT(ISNUMBER(AA104))),"Falta hora inicio/fin o formato inválido",IF(AB104=0,"Hora inicio = hora fin",IF(AE104&lt;0,"Descanso inválido",IF(AE104&gt;=AD104,"Descanso ≥ duración",IF(AV104=1,"Registro duplicado",IF(AZ104&gt;0,"Se superpone con otro registro "&amp;D104,IF(BB104=0,"inicio, fin y duración neta deben ser múltiplos de "&amp;CFG_BLK&amp;" min",""))))))))))))</f>
        <v/>
      </c>
      <c r="BD104" s="80">
        <f>IF(AND(Y104=1,BC104=""),1,0)</f>
        <v>0</v>
      </c>
      <c r="BE104" s="80">
        <f>IF(AND(BD104=1,AU104=1),1,0)</f>
        <v>0</v>
      </c>
      <c r="BF104" s="80" t="str">
        <f>IF(AND(D104="proMX",BD104=1),IF(R104="","Draft",R104),"")</f>
        <v/>
      </c>
      <c r="BG104" s="80">
        <f>IF(BD104=1,ROUND(AG104/60,6),0)</f>
        <v>0</v>
      </c>
      <c r="BH104" s="80">
        <f>IF(BE104=1,ROUND(AG104/60,6),0)</f>
        <v>0</v>
      </c>
      <c r="BI104" s="80">
        <f>IF(BE104=1,ROUND(AP104/60,6),0)</f>
        <v>0</v>
      </c>
      <c r="BJ104" s="80">
        <f>IF(BE104=1,ROUND(AQ104/60,6),0)</f>
        <v>0</v>
      </c>
      <c r="BK104" s="80">
        <f>IF(BE104=1,ROUND((AR104+AS104)/60,6),0)</f>
        <v>0</v>
      </c>
      <c r="BL104" s="80">
        <f>ROUND(BH104-BK104,6)</f>
        <v>0</v>
      </c>
      <c r="BM104" s="80">
        <f>IF(BE104=1,ROUND(AR104/60,6),0)</f>
        <v>0</v>
      </c>
      <c r="BN104" s="80">
        <f>ROUND(BI104-BM104,6)</f>
        <v>0</v>
      </c>
      <c r="BO104" s="80">
        <f>IF(BE104=1,ROUND(AS104/60,6),0)</f>
        <v>0</v>
      </c>
      <c r="BP104" s="80">
        <f>ROUND(BJ104-BO104,6)</f>
        <v>0</v>
      </c>
      <c r="BQ104" s="80">
        <f>IF(BE104=1,AW104,0)</f>
        <v>0</v>
      </c>
      <c r="BR104" s="80">
        <f>IF(BE104=1,AX104,0)</f>
        <v>0</v>
      </c>
      <c r="BS104" s="80">
        <f>IF(AND(BE104=1,D104="Malcolm",BA104&gt;0),MIN(BH104,SUMPRODUCT((R_Emp="proMX")*(R_EN&gt;0)*((R_EN-(R_EN&gt;BR104)*(R_EN-BR104))&gt;(R_SN+(R_SN&lt;BQ104)*(BQ104-R_SN)))*((R_EN-(R_EN&gt;BR104)*(R_EN-BR104))-(R_SN+(R_SN&lt;BQ104)*(BQ104-R_SN))))/60),0)</f>
        <v>0</v>
      </c>
      <c r="BT104" s="80">
        <f>IF(AND(BE104=1,D104="proMX"),ROUND(BI104*CFG_RATE+BJ104*CFG_OTRATE,6),0)</f>
        <v>0</v>
      </c>
      <c r="BU104" s="80">
        <f>IF(AND(BD104=1,D104="proMX"),ROUND(AG104/CFG_BLK,6),0)</f>
        <v>0</v>
      </c>
      <c r="BV104" s="80" t="str">
        <f>IF(BF104="Approved",IF(ISNUMBER(T104),INT(T104),INT(B104)),"")</f>
        <v/>
      </c>
      <c r="BW104" s="80">
        <f>IF(ISNUMBER(B104),IF(DB_MON="Todos",1,IF(AND(INT(B104)&gt;=DB_MS,INT(B104)&lt;=DB_ME),1,0)),0)</f>
        <v>0</v>
      </c>
      <c r="BX104" s="80">
        <f>IF(DB_PROJ="Todos",1,IF(E104&amp;""=DB_PROJ&amp;"",1,0))</f>
        <v>1</v>
      </c>
      <c r="BY104" s="80">
        <f>BW104*BX104</f>
        <v>0</v>
      </c>
      <c r="BZ104" s="80" t="str">
        <f>IF(Y104=1,F104&amp;IF(AND(F104&amp;""&lt;&gt;"",E104&amp;""&lt;&gt;"")," · ","")&amp;E104,"")</f>
        <v/>
      </c>
      <c r="CA104" s="80" t="str">
        <f>IF(AND(BD104=1,E104&amp;""&lt;&gt;""),IF(COUNTIFS($E$5:E103,E104,$BD$5:BD103,1)=0,MAX($CA$5:CA103)+1,""),"")</f>
        <v/>
      </c>
      <c r="CB104" s="80" t="str">
        <f>IF(AND(BE104=1,D104="Malcolm",E104&amp;""&lt;&gt;""),IF(COUNTIFS($D$5:D103,"Malcolm",$E$5:E103,E104,$BE$5:BE103,1)=0,MAX($CB$5:CB103)+1,""),"")</f>
        <v/>
      </c>
      <c r="CC104" s="80" t="str">
        <f>IF(AND(BD104=1,D104="proMX",E104&amp;""&lt;&gt;""),IF(COUNTIFS($D$5:D103,"proMX",$E$5:E103,E104,$BD$5:BD103,1)=0,MAX($CC$5:CC103)+1,""),"")</f>
        <v/>
      </c>
      <c r="CD104" s="80" t="str">
        <f>IF(AND(BE104=1,D104="Malcolm",F104&amp;""&lt;&gt;""),IF(COUNTIFS($D$5:D103,"Malcolm",$F$5:F103,F104,$BE$5:BE103,1)=0,MAX($CD$5:CD103)+1,""),"")</f>
        <v/>
      </c>
      <c r="CE104" s="80" t="str">
        <f>IF(AND(BD104=1,D104="proMX",F104&amp;""&lt;&gt;""),IF(COUNTIFS($D$5:D103,"proMX",$F$5:F103,F104,$BD$5:BD103,1)=0,MAX($CE$5:CE103)+1,""),"")</f>
        <v/>
      </c>
      <c r="CF104" s="80" t="str">
        <f>IF(AND(D104="proMX",BD104=1),IF(OR(BF104="Draft",BF104="Submitted",BF104="Returned",BF104="Recall Requested"),MAX($CF$5:CF103)+1,""),"")</f>
        <v/>
      </c>
      <c r="CG104" s="80">
        <f>IF(BD104=0,0,IF(D104="Malcolm",1,MATCH(BF104,{"Draft","Submitted","Approved","Returned","Recall Requested","Cancelled"},0)+1))</f>
        <v>0</v>
      </c>
      <c r="CH104" s="80">
        <f>IF(AND(BF104="Submitted",ISNUMBER(V104)),IF(V104&gt;CFG_MAXD,1,0),0)</f>
        <v>0</v>
      </c>
    </row>
    <row r="105">
      <c r="A105" s="71" t="str">
        <f>IF(Y105=1,ROW()-5,"")</f>
        <v/>
      </c>
      <c r="B105" s="72" t="n"/>
      <c r="C105" s="71" t="str">
        <f>IF(ISNUMBER(B105),CHOOSE(WEEKDAY(B105,2),"Lun","Mar","Mié","Jue","Vie","Sáb","Dom"),"")</f>
        <v/>
      </c>
      <c r="D105" s="73" t="n"/>
      <c r="E105" s="74" t="n"/>
      <c r="F105" s="74" t="n"/>
      <c r="G105" s="74" t="n"/>
      <c r="H105" s="75" t="n"/>
      <c r="I105" s="75" t="n"/>
      <c r="J105" s="76" t="n"/>
      <c r="K105" s="77" t="str">
        <f>IF(AB105=1,ROUND(AG105/60,4),"")</f>
        <v/>
      </c>
      <c r="L105" s="77" t="str">
        <f>IF(BD105=1,ROUND(AP105/60,4),"")</f>
        <v/>
      </c>
      <c r="M105" s="77" t="str">
        <f>IF(BD105=1,ROUND(AQ105/60,4),"")</f>
        <v/>
      </c>
      <c r="N105" s="71" t="str">
        <f>IF(AND(D105="proMX",AB105=1),ROUND(AG105/CFG_BLK,2),"")</f>
        <v/>
      </c>
      <c r="O105" s="77" t="str">
        <f>IF(D105="proMX",IF(BD105=1,ROUND(AG105/60,4),0),"")</f>
        <v/>
      </c>
      <c r="P105" s="78" t="str">
        <f>IF(Y105=0,"",IF(BD105=1,"OK",IF(D105="proMX","Revisar bloques: ","Revisar: ")&amp;BC105))</f>
        <v/>
      </c>
      <c r="Q105" s="78" t="str">
        <f>IF(NOT(ISNUMBER(B105)),"",IF(COUNTIFS(FER_F,INT(B105))&gt;0,"Feriado"&amp;IF(AH105=1," (laborable)"," (no laborable)"),IF(AH105=1,"Laborable",IF(WEEKDAY(B105,2)&gt;5,"Fin de semana","No laborable"))))</f>
        <v/>
      </c>
      <c r="R105" s="73" t="n"/>
      <c r="S105" s="72" t="n"/>
      <c r="T105" s="72" t="n"/>
      <c r="U105" s="74" t="n"/>
      <c r="V105" s="79" t="str">
        <f>IF(AND(D105="proMX",OR(R105="Submitted",R105="Recall Requested"),ISNUMBER(S105)),CFG_TODAY-INT(S105),"")</f>
        <v/>
      </c>
      <c r="W105" s="78" t="str">
        <f>IF(BD105=0,"",IF(BA105&gt;0,"⚠ Se superpone con un registro de la otra empresa",IF(D105="Malcolm",IF(COUNTA(R105,S105,T105)&gt;0,"Estado/fechas proMX se ignoran en Malcolm",""),IF(BF105="Cancelled","Cancelado: excluido de totales",IF(R105="","Sin estado: se trata como Draft",IF(BF105="Submitted",IF(ISNUMBER(V105),IF(V105&gt;CFG_MAXD,"⚠ "&amp;V105&amp;" días en Submitted (máx. "&amp;CFG_MAXD&amp;")",""),"Falta fecha de envío"),IF(BF105="Returned","⚠ Devuelto: corregir y reenviar",IF(BF105="Recall Requested","Retirada solicitada: pendiente",IF(AND(BF105="Approved",NOT(ISNUMBER(T105))),"Falta fecha de aprobación",IF(AND(ISNUMBER(S105),ISNUMBER(T105),T105&lt;S105),"Aprobación anterior al envío","")))))))))</f>
        <v/>
      </c>
      <c r="Y105" s="80">
        <f>IF(COUNTA(B105,D105,E105,F105,G105,H105,I105,J105,R105,S105,T105)&gt;0,1,0)</f>
        <v>0</v>
      </c>
      <c r="Z105" s="80" t="str">
        <f>IF(AND(ISNUMBER(H105),H105&gt;=0,H105&lt;1),ROUND(H105*1440,0),"")</f>
        <v/>
      </c>
      <c r="AA105" s="80" t="str">
        <f>IF(AND(ISNUMBER(I105),I105&gt;=0,I105&lt;1),ROUND(I105*1440,0),"")</f>
        <v/>
      </c>
      <c r="AB105" s="80">
        <f>IF(AND(ISNUMBER(B105),D105&lt;&gt;"",ISNUMBER(Z105),ISNUMBER(AA105)),IF(Z105=AA105,0,1),0)</f>
        <v>0</v>
      </c>
      <c r="AC105" s="80">
        <f>IF(AB105=1,IF(AA105&lt;Z105,1,0),0)</f>
        <v>0</v>
      </c>
      <c r="AD105" s="80">
        <f>IF(AB105=1,IF(AC105=1,1440-Z105+AA105,AA105-Z105),0)</f>
        <v>0</v>
      </c>
      <c r="AE105" s="80">
        <f>IF(J105="",0,IF(ISNUMBER(J105),J105,-1))</f>
        <v>0</v>
      </c>
      <c r="AF105" s="80">
        <f>MIN(MAX(0,AE105),AD105)</f>
        <v>0</v>
      </c>
      <c r="AG105" s="80">
        <f>MAX(0,AD105-MAX(0,AE105))</f>
        <v>0</v>
      </c>
      <c r="AH105" s="80">
        <f>IF(ISNUMBER(B105),IF(AND(INDEX(CFG_WDAYS,WEEKDAY(INT(B105),2))="Sí",IF(D105="proMX",COUNTIFS(FER_F,INT(B105),FER_NLP,"Sí"),COUNTIFS(FER_F,INT(B105),FER_NLM,"Sí"))=0),1,0),0)</f>
        <v>0</v>
      </c>
      <c r="AI105" s="80">
        <f>IF(AC105=1,IF(AND(INDEX(CFG_WDAYS,WEEKDAY(INT(B105)+1,2))="Sí",IF(D105="proMX",COUNTIFS(FER_F,INT(B105)+1,FER_NLP,"Sí"),COUNTIFS(FER_F,INT(B105)+1,FER_NLM,"Sí"))=0),1,0),0)</f>
        <v>0</v>
      </c>
      <c r="AJ105" s="80">
        <f>IF(AC105=1,1440-Z105,AD105)</f>
        <v>0</v>
      </c>
      <c r="AK105" s="80">
        <f>IF(AND(AB105=1,AH105=1),MAX(0,MIN(IF(AC105=1,1440,AA105),CFG_WEM)-MAX(Z105,CFG_WSM)),0)</f>
        <v>0</v>
      </c>
      <c r="AL105" s="80">
        <f>IF(AND(AC105=1,AI105=1),MAX(0,MIN(AA105,CFG_WEM)-CFG_WSM),0)</f>
        <v>0</v>
      </c>
      <c r="AM105" s="80">
        <f>AK105+AL105</f>
        <v>0</v>
      </c>
      <c r="AN105" s="80">
        <f>IF(CFG_BRK="Proporcional",IF(AD105=0,0,AF105*AM105/AD105),IF(CFG_BRK="Extras primero",MIN(AM105,MAX(0,AF105-(AD105-AM105))),MIN(AF105,AM105)))</f>
        <v>0</v>
      </c>
      <c r="AO105" s="80">
        <f>AF105-AN105</f>
        <v>0</v>
      </c>
      <c r="AP105" s="80">
        <f>AM105-AN105</f>
        <v>0</v>
      </c>
      <c r="AQ105" s="80">
        <f>AD105-AM105-AO105</f>
        <v>0</v>
      </c>
      <c r="AR105" s="80">
        <f>IF(AM105=0,0,AK105-AN105*AK105/AM105)</f>
        <v>0</v>
      </c>
      <c r="AS105" s="80">
        <f>IF(AD105-AM105=0,0,(AJ105-AK105)-AO105*(AJ105-AK105)/(AD105-AM105))</f>
        <v>0</v>
      </c>
      <c r="AT105" s="80" t="str">
        <f>IF(AC105=1,INT(B105)+1,"")</f>
        <v/>
      </c>
      <c r="AU105" s="80">
        <f>IF(AND(D105="proMX",R105="Cancelled"),0,1)</f>
        <v>1</v>
      </c>
      <c r="AV105" s="80">
        <f>IF(AND(AB105=1,AU105=1),IF(COUNTIFS($D$5:D104,D105,$B$5:B104,B105,$Z$5:Z104,Z105,$AA$5:AA104,AA105,$F$5:F104,F105&amp;"",$AU$5:AU104,1)&gt;0,1,0),0)</f>
        <v>0</v>
      </c>
      <c r="AW105" s="80" t="str">
        <f>IF(AB105=1,INT(B105)*1440+Z105,"")</f>
        <v/>
      </c>
      <c r="AX105" s="80" t="str">
        <f>IF(AB105=1,AW105+AD105,"")</f>
        <v/>
      </c>
      <c r="AY105" s="80">
        <f>IF(AND(AB105=1,AV105=0,AU105=1),1,0)</f>
        <v>0</v>
      </c>
      <c r="AZ105" s="80">
        <f>IF(AY105=1,COUNTIFS(R_Emp,D105,R_SAbs,"&lt;"&amp;AX105,R_EAbs,"&gt;"&amp;AW105,R_OKey,1)-1,0)</f>
        <v>0</v>
      </c>
      <c r="BA105" s="80">
        <f>IF(AY105=1,COUNTIFS(R_Emp,"&lt;&gt;"&amp;D105,R_SAbs,"&lt;"&amp;AX105,R_EAbs,"&gt;"&amp;AW105,R_OKey,1),0)</f>
        <v>0</v>
      </c>
      <c r="BB105" s="80">
        <f>IF(AND(AB105=1,D105="proMX"),IF(AND(MOD(Z105,CFG_BLK)=0,MOD(AA105,CFG_BLK)=0,MOD(AG105,CFG_BLK)=0,AG105&gt;0),1,0),1)</f>
        <v>1</v>
      </c>
      <c r="BC105" s="80" t="str">
        <f>IF(Y105=0,"",IF(NOT(ISNUMBER(B105)),"Falta fecha o fecha inválida",IF(D105="","Falta empresa",IF(AND(D105&lt;&gt;"Malcolm",D105&lt;&gt;"proMX"),"Empresa inválida",IF(OR(INT(B105)&lt;CFG_PSTART,INT(B105)&gt;CFG_PEND),"Fecha fuera del período",IF(OR(NOT(ISNUMBER(Z105)),NOT(ISNUMBER(AA105))),"Falta hora inicio/fin o formato inválido",IF(AB105=0,"Hora inicio = hora fin",IF(AE105&lt;0,"Descanso inválido",IF(AE105&gt;=AD105,"Descanso ≥ duración",IF(AV105=1,"Registro duplicado",IF(AZ105&gt;0,"Se superpone con otro registro "&amp;D105,IF(BB105=0,"inicio, fin y duración neta deben ser múltiplos de "&amp;CFG_BLK&amp;" min",""))))))))))))</f>
        <v/>
      </c>
      <c r="BD105" s="80">
        <f>IF(AND(Y105=1,BC105=""),1,0)</f>
        <v>0</v>
      </c>
      <c r="BE105" s="80">
        <f>IF(AND(BD105=1,AU105=1),1,0)</f>
        <v>0</v>
      </c>
      <c r="BF105" s="80" t="str">
        <f>IF(AND(D105="proMX",BD105=1),IF(R105="","Draft",R105),"")</f>
        <v/>
      </c>
      <c r="BG105" s="80">
        <f>IF(BD105=1,ROUND(AG105/60,6),0)</f>
        <v>0</v>
      </c>
      <c r="BH105" s="80">
        <f>IF(BE105=1,ROUND(AG105/60,6),0)</f>
        <v>0</v>
      </c>
      <c r="BI105" s="80">
        <f>IF(BE105=1,ROUND(AP105/60,6),0)</f>
        <v>0</v>
      </c>
      <c r="BJ105" s="80">
        <f>IF(BE105=1,ROUND(AQ105/60,6),0)</f>
        <v>0</v>
      </c>
      <c r="BK105" s="80">
        <f>IF(BE105=1,ROUND((AR105+AS105)/60,6),0)</f>
        <v>0</v>
      </c>
      <c r="BL105" s="80">
        <f>ROUND(BH105-BK105,6)</f>
        <v>0</v>
      </c>
      <c r="BM105" s="80">
        <f>IF(BE105=1,ROUND(AR105/60,6),0)</f>
        <v>0</v>
      </c>
      <c r="BN105" s="80">
        <f>ROUND(BI105-BM105,6)</f>
        <v>0</v>
      </c>
      <c r="BO105" s="80">
        <f>IF(BE105=1,ROUND(AS105/60,6),0)</f>
        <v>0</v>
      </c>
      <c r="BP105" s="80">
        <f>ROUND(BJ105-BO105,6)</f>
        <v>0</v>
      </c>
      <c r="BQ105" s="80">
        <f>IF(BE105=1,AW105,0)</f>
        <v>0</v>
      </c>
      <c r="BR105" s="80">
        <f>IF(BE105=1,AX105,0)</f>
        <v>0</v>
      </c>
      <c r="BS105" s="80">
        <f>IF(AND(BE105=1,D105="Malcolm",BA105&gt;0),MIN(BH105,SUMPRODUCT((R_Emp="proMX")*(R_EN&gt;0)*((R_EN-(R_EN&gt;BR105)*(R_EN-BR105))&gt;(R_SN+(R_SN&lt;BQ105)*(BQ105-R_SN)))*((R_EN-(R_EN&gt;BR105)*(R_EN-BR105))-(R_SN+(R_SN&lt;BQ105)*(BQ105-R_SN))))/60),0)</f>
        <v>0</v>
      </c>
      <c r="BT105" s="80">
        <f>IF(AND(BE105=1,D105="proMX"),ROUND(BI105*CFG_RATE+BJ105*CFG_OTRATE,6),0)</f>
        <v>0</v>
      </c>
      <c r="BU105" s="80">
        <f>IF(AND(BD105=1,D105="proMX"),ROUND(AG105/CFG_BLK,6),0)</f>
        <v>0</v>
      </c>
      <c r="BV105" s="80" t="str">
        <f>IF(BF105="Approved",IF(ISNUMBER(T105),INT(T105),INT(B105)),"")</f>
        <v/>
      </c>
      <c r="BW105" s="80">
        <f>IF(ISNUMBER(B105),IF(DB_MON="Todos",1,IF(AND(INT(B105)&gt;=DB_MS,INT(B105)&lt;=DB_ME),1,0)),0)</f>
        <v>0</v>
      </c>
      <c r="BX105" s="80">
        <f>IF(DB_PROJ="Todos",1,IF(E105&amp;""=DB_PROJ&amp;"",1,0))</f>
        <v>1</v>
      </c>
      <c r="BY105" s="80">
        <f>BW105*BX105</f>
        <v>0</v>
      </c>
      <c r="BZ105" s="80" t="str">
        <f>IF(Y105=1,F105&amp;IF(AND(F105&amp;""&lt;&gt;"",E105&amp;""&lt;&gt;"")," · ","")&amp;E105,"")</f>
        <v/>
      </c>
      <c r="CA105" s="80" t="str">
        <f>IF(AND(BD105=1,E105&amp;""&lt;&gt;""),IF(COUNTIFS($E$5:E104,E105,$BD$5:BD104,1)=0,MAX($CA$5:CA104)+1,""),"")</f>
        <v/>
      </c>
      <c r="CB105" s="80" t="str">
        <f>IF(AND(BE105=1,D105="Malcolm",E105&amp;""&lt;&gt;""),IF(COUNTIFS($D$5:D104,"Malcolm",$E$5:E104,E105,$BE$5:BE104,1)=0,MAX($CB$5:CB104)+1,""),"")</f>
        <v/>
      </c>
      <c r="CC105" s="80" t="str">
        <f>IF(AND(BD105=1,D105="proMX",E105&amp;""&lt;&gt;""),IF(COUNTIFS($D$5:D104,"proMX",$E$5:E104,E105,$BD$5:BD104,1)=0,MAX($CC$5:CC104)+1,""),"")</f>
        <v/>
      </c>
      <c r="CD105" s="80" t="str">
        <f>IF(AND(BE105=1,D105="Malcolm",F105&amp;""&lt;&gt;""),IF(COUNTIFS($D$5:D104,"Malcolm",$F$5:F104,F105,$BE$5:BE104,1)=0,MAX($CD$5:CD104)+1,""),"")</f>
        <v/>
      </c>
      <c r="CE105" s="80" t="str">
        <f>IF(AND(BD105=1,D105="proMX",F105&amp;""&lt;&gt;""),IF(COUNTIFS($D$5:D104,"proMX",$F$5:F104,F105,$BD$5:BD104,1)=0,MAX($CE$5:CE104)+1,""),"")</f>
        <v/>
      </c>
      <c r="CF105" s="80" t="str">
        <f>IF(AND(D105="proMX",BD105=1),IF(OR(BF105="Draft",BF105="Submitted",BF105="Returned",BF105="Recall Requested"),MAX($CF$5:CF104)+1,""),"")</f>
        <v/>
      </c>
      <c r="CG105" s="80">
        <f>IF(BD105=0,0,IF(D105="Malcolm",1,MATCH(BF105,{"Draft","Submitted","Approved","Returned","Recall Requested","Cancelled"},0)+1))</f>
        <v>0</v>
      </c>
      <c r="CH105" s="80">
        <f>IF(AND(BF105="Submitted",ISNUMBER(V105)),IF(V105&gt;CFG_MAXD,1,0),0)</f>
        <v>0</v>
      </c>
    </row>
    <row r="106">
      <c r="A106" s="71" t="str">
        <f>IF(Y106=1,ROW()-5,"")</f>
        <v/>
      </c>
      <c r="B106" s="72" t="n"/>
      <c r="C106" s="71" t="str">
        <f>IF(ISNUMBER(B106),CHOOSE(WEEKDAY(B106,2),"Lun","Mar","Mié","Jue","Vie","Sáb","Dom"),"")</f>
        <v/>
      </c>
      <c r="D106" s="73" t="n"/>
      <c r="E106" s="74" t="n"/>
      <c r="F106" s="74" t="n"/>
      <c r="G106" s="74" t="n"/>
      <c r="H106" s="75" t="n"/>
      <c r="I106" s="75" t="n"/>
      <c r="J106" s="76" t="n"/>
      <c r="K106" s="77" t="str">
        <f>IF(AB106=1,ROUND(AG106/60,4),"")</f>
        <v/>
      </c>
      <c r="L106" s="77" t="str">
        <f>IF(BD106=1,ROUND(AP106/60,4),"")</f>
        <v/>
      </c>
      <c r="M106" s="77" t="str">
        <f>IF(BD106=1,ROUND(AQ106/60,4),"")</f>
        <v/>
      </c>
      <c r="N106" s="71" t="str">
        <f>IF(AND(D106="proMX",AB106=1),ROUND(AG106/CFG_BLK,2),"")</f>
        <v/>
      </c>
      <c r="O106" s="77" t="str">
        <f>IF(D106="proMX",IF(BD106=1,ROUND(AG106/60,4),0),"")</f>
        <v/>
      </c>
      <c r="P106" s="78" t="str">
        <f>IF(Y106=0,"",IF(BD106=1,"OK",IF(D106="proMX","Revisar bloques: ","Revisar: ")&amp;BC106))</f>
        <v/>
      </c>
      <c r="Q106" s="78" t="str">
        <f>IF(NOT(ISNUMBER(B106)),"",IF(COUNTIFS(FER_F,INT(B106))&gt;0,"Feriado"&amp;IF(AH106=1," (laborable)"," (no laborable)"),IF(AH106=1,"Laborable",IF(WEEKDAY(B106,2)&gt;5,"Fin de semana","No laborable"))))</f>
        <v/>
      </c>
      <c r="R106" s="73" t="n"/>
      <c r="S106" s="72" t="n"/>
      <c r="T106" s="72" t="n"/>
      <c r="U106" s="74" t="n"/>
      <c r="V106" s="79" t="str">
        <f>IF(AND(D106="proMX",OR(R106="Submitted",R106="Recall Requested"),ISNUMBER(S106)),CFG_TODAY-INT(S106),"")</f>
        <v/>
      </c>
      <c r="W106" s="78" t="str">
        <f>IF(BD106=0,"",IF(BA106&gt;0,"⚠ Se superpone con un registro de la otra empresa",IF(D106="Malcolm",IF(COUNTA(R106,S106,T106)&gt;0,"Estado/fechas proMX se ignoran en Malcolm",""),IF(BF106="Cancelled","Cancelado: excluido de totales",IF(R106="","Sin estado: se trata como Draft",IF(BF106="Submitted",IF(ISNUMBER(V106),IF(V106&gt;CFG_MAXD,"⚠ "&amp;V106&amp;" días en Submitted (máx. "&amp;CFG_MAXD&amp;")",""),"Falta fecha de envío"),IF(BF106="Returned","⚠ Devuelto: corregir y reenviar",IF(BF106="Recall Requested","Retirada solicitada: pendiente",IF(AND(BF106="Approved",NOT(ISNUMBER(T106))),"Falta fecha de aprobación",IF(AND(ISNUMBER(S106),ISNUMBER(T106),T106&lt;S106),"Aprobación anterior al envío","")))))))))</f>
        <v/>
      </c>
      <c r="Y106" s="80">
        <f>IF(COUNTA(B106,D106,E106,F106,G106,H106,I106,J106,R106,S106,T106)&gt;0,1,0)</f>
        <v>0</v>
      </c>
      <c r="Z106" s="80" t="str">
        <f>IF(AND(ISNUMBER(H106),H106&gt;=0,H106&lt;1),ROUND(H106*1440,0),"")</f>
        <v/>
      </c>
      <c r="AA106" s="80" t="str">
        <f>IF(AND(ISNUMBER(I106),I106&gt;=0,I106&lt;1),ROUND(I106*1440,0),"")</f>
        <v/>
      </c>
      <c r="AB106" s="80">
        <f>IF(AND(ISNUMBER(B106),D106&lt;&gt;"",ISNUMBER(Z106),ISNUMBER(AA106)),IF(Z106=AA106,0,1),0)</f>
        <v>0</v>
      </c>
      <c r="AC106" s="80">
        <f>IF(AB106=1,IF(AA106&lt;Z106,1,0),0)</f>
        <v>0</v>
      </c>
      <c r="AD106" s="80">
        <f>IF(AB106=1,IF(AC106=1,1440-Z106+AA106,AA106-Z106),0)</f>
        <v>0</v>
      </c>
      <c r="AE106" s="80">
        <f>IF(J106="",0,IF(ISNUMBER(J106),J106,-1))</f>
        <v>0</v>
      </c>
      <c r="AF106" s="80">
        <f>MIN(MAX(0,AE106),AD106)</f>
        <v>0</v>
      </c>
      <c r="AG106" s="80">
        <f>MAX(0,AD106-MAX(0,AE106))</f>
        <v>0</v>
      </c>
      <c r="AH106" s="80">
        <f>IF(ISNUMBER(B106),IF(AND(INDEX(CFG_WDAYS,WEEKDAY(INT(B106),2))="Sí",IF(D106="proMX",COUNTIFS(FER_F,INT(B106),FER_NLP,"Sí"),COUNTIFS(FER_F,INT(B106),FER_NLM,"Sí"))=0),1,0),0)</f>
        <v>0</v>
      </c>
      <c r="AI106" s="80">
        <f>IF(AC106=1,IF(AND(INDEX(CFG_WDAYS,WEEKDAY(INT(B106)+1,2))="Sí",IF(D106="proMX",COUNTIFS(FER_F,INT(B106)+1,FER_NLP,"Sí"),COUNTIFS(FER_F,INT(B106)+1,FER_NLM,"Sí"))=0),1,0),0)</f>
        <v>0</v>
      </c>
      <c r="AJ106" s="80">
        <f>IF(AC106=1,1440-Z106,AD106)</f>
        <v>0</v>
      </c>
      <c r="AK106" s="80">
        <f>IF(AND(AB106=1,AH106=1),MAX(0,MIN(IF(AC106=1,1440,AA106),CFG_WEM)-MAX(Z106,CFG_WSM)),0)</f>
        <v>0</v>
      </c>
      <c r="AL106" s="80">
        <f>IF(AND(AC106=1,AI106=1),MAX(0,MIN(AA106,CFG_WEM)-CFG_WSM),0)</f>
        <v>0</v>
      </c>
      <c r="AM106" s="80">
        <f>AK106+AL106</f>
        <v>0</v>
      </c>
      <c r="AN106" s="80">
        <f>IF(CFG_BRK="Proporcional",IF(AD106=0,0,AF106*AM106/AD106),IF(CFG_BRK="Extras primero",MIN(AM106,MAX(0,AF106-(AD106-AM106))),MIN(AF106,AM106)))</f>
        <v>0</v>
      </c>
      <c r="AO106" s="80">
        <f>AF106-AN106</f>
        <v>0</v>
      </c>
      <c r="AP106" s="80">
        <f>AM106-AN106</f>
        <v>0</v>
      </c>
      <c r="AQ106" s="80">
        <f>AD106-AM106-AO106</f>
        <v>0</v>
      </c>
      <c r="AR106" s="80">
        <f>IF(AM106=0,0,AK106-AN106*AK106/AM106)</f>
        <v>0</v>
      </c>
      <c r="AS106" s="80">
        <f>IF(AD106-AM106=0,0,(AJ106-AK106)-AO106*(AJ106-AK106)/(AD106-AM106))</f>
        <v>0</v>
      </c>
      <c r="AT106" s="80" t="str">
        <f>IF(AC106=1,INT(B106)+1,"")</f>
        <v/>
      </c>
      <c r="AU106" s="80">
        <f>IF(AND(D106="proMX",R106="Cancelled"),0,1)</f>
        <v>1</v>
      </c>
      <c r="AV106" s="80">
        <f>IF(AND(AB106=1,AU106=1),IF(COUNTIFS($D$5:D105,D106,$B$5:B105,B106,$Z$5:Z105,Z106,$AA$5:AA105,AA106,$F$5:F105,F106&amp;"",$AU$5:AU105,1)&gt;0,1,0),0)</f>
        <v>0</v>
      </c>
      <c r="AW106" s="80" t="str">
        <f>IF(AB106=1,INT(B106)*1440+Z106,"")</f>
        <v/>
      </c>
      <c r="AX106" s="80" t="str">
        <f>IF(AB106=1,AW106+AD106,"")</f>
        <v/>
      </c>
      <c r="AY106" s="80">
        <f>IF(AND(AB106=1,AV106=0,AU106=1),1,0)</f>
        <v>0</v>
      </c>
      <c r="AZ106" s="80">
        <f>IF(AY106=1,COUNTIFS(R_Emp,D106,R_SAbs,"&lt;"&amp;AX106,R_EAbs,"&gt;"&amp;AW106,R_OKey,1)-1,0)</f>
        <v>0</v>
      </c>
      <c r="BA106" s="80">
        <f>IF(AY106=1,COUNTIFS(R_Emp,"&lt;&gt;"&amp;D106,R_SAbs,"&lt;"&amp;AX106,R_EAbs,"&gt;"&amp;AW106,R_OKey,1),0)</f>
        <v>0</v>
      </c>
      <c r="BB106" s="80">
        <f>IF(AND(AB106=1,D106="proMX"),IF(AND(MOD(Z106,CFG_BLK)=0,MOD(AA106,CFG_BLK)=0,MOD(AG106,CFG_BLK)=0,AG106&gt;0),1,0),1)</f>
        <v>1</v>
      </c>
      <c r="BC106" s="80" t="str">
        <f>IF(Y106=0,"",IF(NOT(ISNUMBER(B106)),"Falta fecha o fecha inválida",IF(D106="","Falta empresa",IF(AND(D106&lt;&gt;"Malcolm",D106&lt;&gt;"proMX"),"Empresa inválida",IF(OR(INT(B106)&lt;CFG_PSTART,INT(B106)&gt;CFG_PEND),"Fecha fuera del período",IF(OR(NOT(ISNUMBER(Z106)),NOT(ISNUMBER(AA106))),"Falta hora inicio/fin o formato inválido",IF(AB106=0,"Hora inicio = hora fin",IF(AE106&lt;0,"Descanso inválido",IF(AE106&gt;=AD106,"Descanso ≥ duración",IF(AV106=1,"Registro duplicado",IF(AZ106&gt;0,"Se superpone con otro registro "&amp;D106,IF(BB106=0,"inicio, fin y duración neta deben ser múltiplos de "&amp;CFG_BLK&amp;" min",""))))))))))))</f>
        <v/>
      </c>
      <c r="BD106" s="80">
        <f>IF(AND(Y106=1,BC106=""),1,0)</f>
        <v>0</v>
      </c>
      <c r="BE106" s="80">
        <f>IF(AND(BD106=1,AU106=1),1,0)</f>
        <v>0</v>
      </c>
      <c r="BF106" s="80" t="str">
        <f>IF(AND(D106="proMX",BD106=1),IF(R106="","Draft",R106),"")</f>
        <v/>
      </c>
      <c r="BG106" s="80">
        <f>IF(BD106=1,ROUND(AG106/60,6),0)</f>
        <v>0</v>
      </c>
      <c r="BH106" s="80">
        <f>IF(BE106=1,ROUND(AG106/60,6),0)</f>
        <v>0</v>
      </c>
      <c r="BI106" s="80">
        <f>IF(BE106=1,ROUND(AP106/60,6),0)</f>
        <v>0</v>
      </c>
      <c r="BJ106" s="80">
        <f>IF(BE106=1,ROUND(AQ106/60,6),0)</f>
        <v>0</v>
      </c>
      <c r="BK106" s="80">
        <f>IF(BE106=1,ROUND((AR106+AS106)/60,6),0)</f>
        <v>0</v>
      </c>
      <c r="BL106" s="80">
        <f>ROUND(BH106-BK106,6)</f>
        <v>0</v>
      </c>
      <c r="BM106" s="80">
        <f>IF(BE106=1,ROUND(AR106/60,6),0)</f>
        <v>0</v>
      </c>
      <c r="BN106" s="80">
        <f>ROUND(BI106-BM106,6)</f>
        <v>0</v>
      </c>
      <c r="BO106" s="80">
        <f>IF(BE106=1,ROUND(AS106/60,6),0)</f>
        <v>0</v>
      </c>
      <c r="BP106" s="80">
        <f>ROUND(BJ106-BO106,6)</f>
        <v>0</v>
      </c>
      <c r="BQ106" s="80">
        <f>IF(BE106=1,AW106,0)</f>
        <v>0</v>
      </c>
      <c r="BR106" s="80">
        <f>IF(BE106=1,AX106,0)</f>
        <v>0</v>
      </c>
      <c r="BS106" s="80">
        <f>IF(AND(BE106=1,D106="Malcolm",BA106&gt;0),MIN(BH106,SUMPRODUCT((R_Emp="proMX")*(R_EN&gt;0)*((R_EN-(R_EN&gt;BR106)*(R_EN-BR106))&gt;(R_SN+(R_SN&lt;BQ106)*(BQ106-R_SN)))*((R_EN-(R_EN&gt;BR106)*(R_EN-BR106))-(R_SN+(R_SN&lt;BQ106)*(BQ106-R_SN))))/60),0)</f>
        <v>0</v>
      </c>
      <c r="BT106" s="80">
        <f>IF(AND(BE106=1,D106="proMX"),ROUND(BI106*CFG_RATE+BJ106*CFG_OTRATE,6),0)</f>
        <v>0</v>
      </c>
      <c r="BU106" s="80">
        <f>IF(AND(BD106=1,D106="proMX"),ROUND(AG106/CFG_BLK,6),0)</f>
        <v>0</v>
      </c>
      <c r="BV106" s="80" t="str">
        <f>IF(BF106="Approved",IF(ISNUMBER(T106),INT(T106),INT(B106)),"")</f>
        <v/>
      </c>
      <c r="BW106" s="80">
        <f>IF(ISNUMBER(B106),IF(DB_MON="Todos",1,IF(AND(INT(B106)&gt;=DB_MS,INT(B106)&lt;=DB_ME),1,0)),0)</f>
        <v>0</v>
      </c>
      <c r="BX106" s="80">
        <f>IF(DB_PROJ="Todos",1,IF(E106&amp;""=DB_PROJ&amp;"",1,0))</f>
        <v>1</v>
      </c>
      <c r="BY106" s="80">
        <f>BW106*BX106</f>
        <v>0</v>
      </c>
      <c r="BZ106" s="80" t="str">
        <f>IF(Y106=1,F106&amp;IF(AND(F106&amp;""&lt;&gt;"",E106&amp;""&lt;&gt;"")," · ","")&amp;E106,"")</f>
        <v/>
      </c>
      <c r="CA106" s="80" t="str">
        <f>IF(AND(BD106=1,E106&amp;""&lt;&gt;""),IF(COUNTIFS($E$5:E105,E106,$BD$5:BD105,1)=0,MAX($CA$5:CA105)+1,""),"")</f>
        <v/>
      </c>
      <c r="CB106" s="80" t="str">
        <f>IF(AND(BE106=1,D106="Malcolm",E106&amp;""&lt;&gt;""),IF(COUNTIFS($D$5:D105,"Malcolm",$E$5:E105,E106,$BE$5:BE105,1)=0,MAX($CB$5:CB105)+1,""),"")</f>
        <v/>
      </c>
      <c r="CC106" s="80" t="str">
        <f>IF(AND(BD106=1,D106="proMX",E106&amp;""&lt;&gt;""),IF(COUNTIFS($D$5:D105,"proMX",$E$5:E105,E106,$BD$5:BD105,1)=0,MAX($CC$5:CC105)+1,""),"")</f>
        <v/>
      </c>
      <c r="CD106" s="80" t="str">
        <f>IF(AND(BE106=1,D106="Malcolm",F106&amp;""&lt;&gt;""),IF(COUNTIFS($D$5:D105,"Malcolm",$F$5:F105,F106,$BE$5:BE105,1)=0,MAX($CD$5:CD105)+1,""),"")</f>
        <v/>
      </c>
      <c r="CE106" s="80" t="str">
        <f>IF(AND(BD106=1,D106="proMX",F106&amp;""&lt;&gt;""),IF(COUNTIFS($D$5:D105,"proMX",$F$5:F105,F106,$BD$5:BD105,1)=0,MAX($CE$5:CE105)+1,""),"")</f>
        <v/>
      </c>
      <c r="CF106" s="80" t="str">
        <f>IF(AND(D106="proMX",BD106=1),IF(OR(BF106="Draft",BF106="Submitted",BF106="Returned",BF106="Recall Requested"),MAX($CF$5:CF105)+1,""),"")</f>
        <v/>
      </c>
      <c r="CG106" s="80">
        <f>IF(BD106=0,0,IF(D106="Malcolm",1,MATCH(BF106,{"Draft","Submitted","Approved","Returned","Recall Requested","Cancelled"},0)+1))</f>
        <v>0</v>
      </c>
      <c r="CH106" s="80">
        <f>IF(AND(BF106="Submitted",ISNUMBER(V106)),IF(V106&gt;CFG_MAXD,1,0),0)</f>
        <v>0</v>
      </c>
    </row>
    <row r="107">
      <c r="A107" s="71" t="str">
        <f>IF(Y107=1,ROW()-5,"")</f>
        <v/>
      </c>
      <c r="B107" s="72" t="n"/>
      <c r="C107" s="71" t="str">
        <f>IF(ISNUMBER(B107),CHOOSE(WEEKDAY(B107,2),"Lun","Mar","Mié","Jue","Vie","Sáb","Dom"),"")</f>
        <v/>
      </c>
      <c r="D107" s="73" t="n"/>
      <c r="E107" s="74" t="n"/>
      <c r="F107" s="74" t="n"/>
      <c r="G107" s="74" t="n"/>
      <c r="H107" s="75" t="n"/>
      <c r="I107" s="75" t="n"/>
      <c r="J107" s="76" t="n"/>
      <c r="K107" s="77" t="str">
        <f>IF(AB107=1,ROUND(AG107/60,4),"")</f>
        <v/>
      </c>
      <c r="L107" s="77" t="str">
        <f>IF(BD107=1,ROUND(AP107/60,4),"")</f>
        <v/>
      </c>
      <c r="M107" s="77" t="str">
        <f>IF(BD107=1,ROUND(AQ107/60,4),"")</f>
        <v/>
      </c>
      <c r="N107" s="71" t="str">
        <f>IF(AND(D107="proMX",AB107=1),ROUND(AG107/CFG_BLK,2),"")</f>
        <v/>
      </c>
      <c r="O107" s="77" t="str">
        <f>IF(D107="proMX",IF(BD107=1,ROUND(AG107/60,4),0),"")</f>
        <v/>
      </c>
      <c r="P107" s="78" t="str">
        <f>IF(Y107=0,"",IF(BD107=1,"OK",IF(D107="proMX","Revisar bloques: ","Revisar: ")&amp;BC107))</f>
        <v/>
      </c>
      <c r="Q107" s="78" t="str">
        <f>IF(NOT(ISNUMBER(B107)),"",IF(COUNTIFS(FER_F,INT(B107))&gt;0,"Feriado"&amp;IF(AH107=1," (laborable)"," (no laborable)"),IF(AH107=1,"Laborable",IF(WEEKDAY(B107,2)&gt;5,"Fin de semana","No laborable"))))</f>
        <v/>
      </c>
      <c r="R107" s="73" t="n"/>
      <c r="S107" s="72" t="n"/>
      <c r="T107" s="72" t="n"/>
      <c r="U107" s="74" t="n"/>
      <c r="V107" s="79" t="str">
        <f>IF(AND(D107="proMX",OR(R107="Submitted",R107="Recall Requested"),ISNUMBER(S107)),CFG_TODAY-INT(S107),"")</f>
        <v/>
      </c>
      <c r="W107" s="78" t="str">
        <f>IF(BD107=0,"",IF(BA107&gt;0,"⚠ Se superpone con un registro de la otra empresa",IF(D107="Malcolm",IF(COUNTA(R107,S107,T107)&gt;0,"Estado/fechas proMX se ignoran en Malcolm",""),IF(BF107="Cancelled","Cancelado: excluido de totales",IF(R107="","Sin estado: se trata como Draft",IF(BF107="Submitted",IF(ISNUMBER(V107),IF(V107&gt;CFG_MAXD,"⚠ "&amp;V107&amp;" días en Submitted (máx. "&amp;CFG_MAXD&amp;")",""),"Falta fecha de envío"),IF(BF107="Returned","⚠ Devuelto: corregir y reenviar",IF(BF107="Recall Requested","Retirada solicitada: pendiente",IF(AND(BF107="Approved",NOT(ISNUMBER(T107))),"Falta fecha de aprobación",IF(AND(ISNUMBER(S107),ISNUMBER(T107),T107&lt;S107),"Aprobación anterior al envío","")))))))))</f>
        <v/>
      </c>
      <c r="Y107" s="80">
        <f>IF(COUNTA(B107,D107,E107,F107,G107,H107,I107,J107,R107,S107,T107)&gt;0,1,0)</f>
        <v>0</v>
      </c>
      <c r="Z107" s="80" t="str">
        <f>IF(AND(ISNUMBER(H107),H107&gt;=0,H107&lt;1),ROUND(H107*1440,0),"")</f>
        <v/>
      </c>
      <c r="AA107" s="80" t="str">
        <f>IF(AND(ISNUMBER(I107),I107&gt;=0,I107&lt;1),ROUND(I107*1440,0),"")</f>
        <v/>
      </c>
      <c r="AB107" s="80">
        <f>IF(AND(ISNUMBER(B107),D107&lt;&gt;"",ISNUMBER(Z107),ISNUMBER(AA107)),IF(Z107=AA107,0,1),0)</f>
        <v>0</v>
      </c>
      <c r="AC107" s="80">
        <f>IF(AB107=1,IF(AA107&lt;Z107,1,0),0)</f>
        <v>0</v>
      </c>
      <c r="AD107" s="80">
        <f>IF(AB107=1,IF(AC107=1,1440-Z107+AA107,AA107-Z107),0)</f>
        <v>0</v>
      </c>
      <c r="AE107" s="80">
        <f>IF(J107="",0,IF(ISNUMBER(J107),J107,-1))</f>
        <v>0</v>
      </c>
      <c r="AF107" s="80">
        <f>MIN(MAX(0,AE107),AD107)</f>
        <v>0</v>
      </c>
      <c r="AG107" s="80">
        <f>MAX(0,AD107-MAX(0,AE107))</f>
        <v>0</v>
      </c>
      <c r="AH107" s="80">
        <f>IF(ISNUMBER(B107),IF(AND(INDEX(CFG_WDAYS,WEEKDAY(INT(B107),2))="Sí",IF(D107="proMX",COUNTIFS(FER_F,INT(B107),FER_NLP,"Sí"),COUNTIFS(FER_F,INT(B107),FER_NLM,"Sí"))=0),1,0),0)</f>
        <v>0</v>
      </c>
      <c r="AI107" s="80">
        <f>IF(AC107=1,IF(AND(INDEX(CFG_WDAYS,WEEKDAY(INT(B107)+1,2))="Sí",IF(D107="proMX",COUNTIFS(FER_F,INT(B107)+1,FER_NLP,"Sí"),COUNTIFS(FER_F,INT(B107)+1,FER_NLM,"Sí"))=0),1,0),0)</f>
        <v>0</v>
      </c>
      <c r="AJ107" s="80">
        <f>IF(AC107=1,1440-Z107,AD107)</f>
        <v>0</v>
      </c>
      <c r="AK107" s="80">
        <f>IF(AND(AB107=1,AH107=1),MAX(0,MIN(IF(AC107=1,1440,AA107),CFG_WEM)-MAX(Z107,CFG_WSM)),0)</f>
        <v>0</v>
      </c>
      <c r="AL107" s="80">
        <f>IF(AND(AC107=1,AI107=1),MAX(0,MIN(AA107,CFG_WEM)-CFG_WSM),0)</f>
        <v>0</v>
      </c>
      <c r="AM107" s="80">
        <f>AK107+AL107</f>
        <v>0</v>
      </c>
      <c r="AN107" s="80">
        <f>IF(CFG_BRK="Proporcional",IF(AD107=0,0,AF107*AM107/AD107),IF(CFG_BRK="Extras primero",MIN(AM107,MAX(0,AF107-(AD107-AM107))),MIN(AF107,AM107)))</f>
        <v>0</v>
      </c>
      <c r="AO107" s="80">
        <f>AF107-AN107</f>
        <v>0</v>
      </c>
      <c r="AP107" s="80">
        <f>AM107-AN107</f>
        <v>0</v>
      </c>
      <c r="AQ107" s="80">
        <f>AD107-AM107-AO107</f>
        <v>0</v>
      </c>
      <c r="AR107" s="80">
        <f>IF(AM107=0,0,AK107-AN107*AK107/AM107)</f>
        <v>0</v>
      </c>
      <c r="AS107" s="80">
        <f>IF(AD107-AM107=0,0,(AJ107-AK107)-AO107*(AJ107-AK107)/(AD107-AM107))</f>
        <v>0</v>
      </c>
      <c r="AT107" s="80" t="str">
        <f>IF(AC107=1,INT(B107)+1,"")</f>
        <v/>
      </c>
      <c r="AU107" s="80">
        <f>IF(AND(D107="proMX",R107="Cancelled"),0,1)</f>
        <v>1</v>
      </c>
      <c r="AV107" s="80">
        <f>IF(AND(AB107=1,AU107=1),IF(COUNTIFS($D$5:D106,D107,$B$5:B106,B107,$Z$5:Z106,Z107,$AA$5:AA106,AA107,$F$5:F106,F107&amp;"",$AU$5:AU106,1)&gt;0,1,0),0)</f>
        <v>0</v>
      </c>
      <c r="AW107" s="80" t="str">
        <f>IF(AB107=1,INT(B107)*1440+Z107,"")</f>
        <v/>
      </c>
      <c r="AX107" s="80" t="str">
        <f>IF(AB107=1,AW107+AD107,"")</f>
        <v/>
      </c>
      <c r="AY107" s="80">
        <f>IF(AND(AB107=1,AV107=0,AU107=1),1,0)</f>
        <v>0</v>
      </c>
      <c r="AZ107" s="80">
        <f>IF(AY107=1,COUNTIFS(R_Emp,D107,R_SAbs,"&lt;"&amp;AX107,R_EAbs,"&gt;"&amp;AW107,R_OKey,1)-1,0)</f>
        <v>0</v>
      </c>
      <c r="BA107" s="80">
        <f>IF(AY107=1,COUNTIFS(R_Emp,"&lt;&gt;"&amp;D107,R_SAbs,"&lt;"&amp;AX107,R_EAbs,"&gt;"&amp;AW107,R_OKey,1),0)</f>
        <v>0</v>
      </c>
      <c r="BB107" s="80">
        <f>IF(AND(AB107=1,D107="proMX"),IF(AND(MOD(Z107,CFG_BLK)=0,MOD(AA107,CFG_BLK)=0,MOD(AG107,CFG_BLK)=0,AG107&gt;0),1,0),1)</f>
        <v>1</v>
      </c>
      <c r="BC107" s="80" t="str">
        <f>IF(Y107=0,"",IF(NOT(ISNUMBER(B107)),"Falta fecha o fecha inválida",IF(D107="","Falta empresa",IF(AND(D107&lt;&gt;"Malcolm",D107&lt;&gt;"proMX"),"Empresa inválida",IF(OR(INT(B107)&lt;CFG_PSTART,INT(B107)&gt;CFG_PEND),"Fecha fuera del período",IF(OR(NOT(ISNUMBER(Z107)),NOT(ISNUMBER(AA107))),"Falta hora inicio/fin o formato inválido",IF(AB107=0,"Hora inicio = hora fin",IF(AE107&lt;0,"Descanso inválido",IF(AE107&gt;=AD107,"Descanso ≥ duración",IF(AV107=1,"Registro duplicado",IF(AZ107&gt;0,"Se superpone con otro registro "&amp;D107,IF(BB107=0,"inicio, fin y duración neta deben ser múltiplos de "&amp;CFG_BLK&amp;" min",""))))))))))))</f>
        <v/>
      </c>
      <c r="BD107" s="80">
        <f>IF(AND(Y107=1,BC107=""),1,0)</f>
        <v>0</v>
      </c>
      <c r="BE107" s="80">
        <f>IF(AND(BD107=1,AU107=1),1,0)</f>
        <v>0</v>
      </c>
      <c r="BF107" s="80" t="str">
        <f>IF(AND(D107="proMX",BD107=1),IF(R107="","Draft",R107),"")</f>
        <v/>
      </c>
      <c r="BG107" s="80">
        <f>IF(BD107=1,ROUND(AG107/60,6),0)</f>
        <v>0</v>
      </c>
      <c r="BH107" s="80">
        <f>IF(BE107=1,ROUND(AG107/60,6),0)</f>
        <v>0</v>
      </c>
      <c r="BI107" s="80">
        <f>IF(BE107=1,ROUND(AP107/60,6),0)</f>
        <v>0</v>
      </c>
      <c r="BJ107" s="80">
        <f>IF(BE107=1,ROUND(AQ107/60,6),0)</f>
        <v>0</v>
      </c>
      <c r="BK107" s="80">
        <f>IF(BE107=1,ROUND((AR107+AS107)/60,6),0)</f>
        <v>0</v>
      </c>
      <c r="BL107" s="80">
        <f>ROUND(BH107-BK107,6)</f>
        <v>0</v>
      </c>
      <c r="BM107" s="80">
        <f>IF(BE107=1,ROUND(AR107/60,6),0)</f>
        <v>0</v>
      </c>
      <c r="BN107" s="80">
        <f>ROUND(BI107-BM107,6)</f>
        <v>0</v>
      </c>
      <c r="BO107" s="80">
        <f>IF(BE107=1,ROUND(AS107/60,6),0)</f>
        <v>0</v>
      </c>
      <c r="BP107" s="80">
        <f>ROUND(BJ107-BO107,6)</f>
        <v>0</v>
      </c>
      <c r="BQ107" s="80">
        <f>IF(BE107=1,AW107,0)</f>
        <v>0</v>
      </c>
      <c r="BR107" s="80">
        <f>IF(BE107=1,AX107,0)</f>
        <v>0</v>
      </c>
      <c r="BS107" s="80">
        <f>IF(AND(BE107=1,D107="Malcolm",BA107&gt;0),MIN(BH107,SUMPRODUCT((R_Emp="proMX")*(R_EN&gt;0)*((R_EN-(R_EN&gt;BR107)*(R_EN-BR107))&gt;(R_SN+(R_SN&lt;BQ107)*(BQ107-R_SN)))*((R_EN-(R_EN&gt;BR107)*(R_EN-BR107))-(R_SN+(R_SN&lt;BQ107)*(BQ107-R_SN))))/60),0)</f>
        <v>0</v>
      </c>
      <c r="BT107" s="80">
        <f>IF(AND(BE107=1,D107="proMX"),ROUND(BI107*CFG_RATE+BJ107*CFG_OTRATE,6),0)</f>
        <v>0</v>
      </c>
      <c r="BU107" s="80">
        <f>IF(AND(BD107=1,D107="proMX"),ROUND(AG107/CFG_BLK,6),0)</f>
        <v>0</v>
      </c>
      <c r="BV107" s="80" t="str">
        <f>IF(BF107="Approved",IF(ISNUMBER(T107),INT(T107),INT(B107)),"")</f>
        <v/>
      </c>
      <c r="BW107" s="80">
        <f>IF(ISNUMBER(B107),IF(DB_MON="Todos",1,IF(AND(INT(B107)&gt;=DB_MS,INT(B107)&lt;=DB_ME),1,0)),0)</f>
        <v>0</v>
      </c>
      <c r="BX107" s="80">
        <f>IF(DB_PROJ="Todos",1,IF(E107&amp;""=DB_PROJ&amp;"",1,0))</f>
        <v>1</v>
      </c>
      <c r="BY107" s="80">
        <f>BW107*BX107</f>
        <v>0</v>
      </c>
      <c r="BZ107" s="80" t="str">
        <f>IF(Y107=1,F107&amp;IF(AND(F107&amp;""&lt;&gt;"",E107&amp;""&lt;&gt;"")," · ","")&amp;E107,"")</f>
        <v/>
      </c>
      <c r="CA107" s="80" t="str">
        <f>IF(AND(BD107=1,E107&amp;""&lt;&gt;""),IF(COUNTIFS($E$5:E106,E107,$BD$5:BD106,1)=0,MAX($CA$5:CA106)+1,""),"")</f>
        <v/>
      </c>
      <c r="CB107" s="80" t="str">
        <f>IF(AND(BE107=1,D107="Malcolm",E107&amp;""&lt;&gt;""),IF(COUNTIFS($D$5:D106,"Malcolm",$E$5:E106,E107,$BE$5:BE106,1)=0,MAX($CB$5:CB106)+1,""),"")</f>
        <v/>
      </c>
      <c r="CC107" s="80" t="str">
        <f>IF(AND(BD107=1,D107="proMX",E107&amp;""&lt;&gt;""),IF(COUNTIFS($D$5:D106,"proMX",$E$5:E106,E107,$BD$5:BD106,1)=0,MAX($CC$5:CC106)+1,""),"")</f>
        <v/>
      </c>
      <c r="CD107" s="80" t="str">
        <f>IF(AND(BE107=1,D107="Malcolm",F107&amp;""&lt;&gt;""),IF(COUNTIFS($D$5:D106,"Malcolm",$F$5:F106,F107,$BE$5:BE106,1)=0,MAX($CD$5:CD106)+1,""),"")</f>
        <v/>
      </c>
      <c r="CE107" s="80" t="str">
        <f>IF(AND(BD107=1,D107="proMX",F107&amp;""&lt;&gt;""),IF(COUNTIFS($D$5:D106,"proMX",$F$5:F106,F107,$BD$5:BD106,1)=0,MAX($CE$5:CE106)+1,""),"")</f>
        <v/>
      </c>
      <c r="CF107" s="80" t="str">
        <f>IF(AND(D107="proMX",BD107=1),IF(OR(BF107="Draft",BF107="Submitted",BF107="Returned",BF107="Recall Requested"),MAX($CF$5:CF106)+1,""),"")</f>
        <v/>
      </c>
      <c r="CG107" s="80">
        <f>IF(BD107=0,0,IF(D107="Malcolm",1,MATCH(BF107,{"Draft","Submitted","Approved","Returned","Recall Requested","Cancelled"},0)+1))</f>
        <v>0</v>
      </c>
      <c r="CH107" s="80">
        <f>IF(AND(BF107="Submitted",ISNUMBER(V107)),IF(V107&gt;CFG_MAXD,1,0),0)</f>
        <v>0</v>
      </c>
    </row>
    <row r="108">
      <c r="A108" s="71" t="str">
        <f>IF(Y108=1,ROW()-5,"")</f>
        <v/>
      </c>
      <c r="B108" s="72" t="n"/>
      <c r="C108" s="71" t="str">
        <f>IF(ISNUMBER(B108),CHOOSE(WEEKDAY(B108,2),"Lun","Mar","Mié","Jue","Vie","Sáb","Dom"),"")</f>
        <v/>
      </c>
      <c r="D108" s="73" t="n"/>
      <c r="E108" s="74" t="n"/>
      <c r="F108" s="74" t="n"/>
      <c r="G108" s="74" t="n"/>
      <c r="H108" s="75" t="n"/>
      <c r="I108" s="75" t="n"/>
      <c r="J108" s="76" t="n"/>
      <c r="K108" s="77" t="str">
        <f>IF(AB108=1,ROUND(AG108/60,4),"")</f>
        <v/>
      </c>
      <c r="L108" s="77" t="str">
        <f>IF(BD108=1,ROUND(AP108/60,4),"")</f>
        <v/>
      </c>
      <c r="M108" s="77" t="str">
        <f>IF(BD108=1,ROUND(AQ108/60,4),"")</f>
        <v/>
      </c>
      <c r="N108" s="71" t="str">
        <f>IF(AND(D108="proMX",AB108=1),ROUND(AG108/CFG_BLK,2),"")</f>
        <v/>
      </c>
      <c r="O108" s="77" t="str">
        <f>IF(D108="proMX",IF(BD108=1,ROUND(AG108/60,4),0),"")</f>
        <v/>
      </c>
      <c r="P108" s="78" t="str">
        <f>IF(Y108=0,"",IF(BD108=1,"OK",IF(D108="proMX","Revisar bloques: ","Revisar: ")&amp;BC108))</f>
        <v/>
      </c>
      <c r="Q108" s="78" t="str">
        <f>IF(NOT(ISNUMBER(B108)),"",IF(COUNTIFS(FER_F,INT(B108))&gt;0,"Feriado"&amp;IF(AH108=1," (laborable)"," (no laborable)"),IF(AH108=1,"Laborable",IF(WEEKDAY(B108,2)&gt;5,"Fin de semana","No laborable"))))</f>
        <v/>
      </c>
      <c r="R108" s="73" t="n"/>
      <c r="S108" s="72" t="n"/>
      <c r="T108" s="72" t="n"/>
      <c r="U108" s="74" t="n"/>
      <c r="V108" s="79" t="str">
        <f>IF(AND(D108="proMX",OR(R108="Submitted",R108="Recall Requested"),ISNUMBER(S108)),CFG_TODAY-INT(S108),"")</f>
        <v/>
      </c>
      <c r="W108" s="78" t="str">
        <f>IF(BD108=0,"",IF(BA108&gt;0,"⚠ Se superpone con un registro de la otra empresa",IF(D108="Malcolm",IF(COUNTA(R108,S108,T108)&gt;0,"Estado/fechas proMX se ignoran en Malcolm",""),IF(BF108="Cancelled","Cancelado: excluido de totales",IF(R108="","Sin estado: se trata como Draft",IF(BF108="Submitted",IF(ISNUMBER(V108),IF(V108&gt;CFG_MAXD,"⚠ "&amp;V108&amp;" días en Submitted (máx. "&amp;CFG_MAXD&amp;")",""),"Falta fecha de envío"),IF(BF108="Returned","⚠ Devuelto: corregir y reenviar",IF(BF108="Recall Requested","Retirada solicitada: pendiente",IF(AND(BF108="Approved",NOT(ISNUMBER(T108))),"Falta fecha de aprobación",IF(AND(ISNUMBER(S108),ISNUMBER(T108),T108&lt;S108),"Aprobación anterior al envío","")))))))))</f>
        <v/>
      </c>
      <c r="Y108" s="80">
        <f>IF(COUNTA(B108,D108,E108,F108,G108,H108,I108,J108,R108,S108,T108)&gt;0,1,0)</f>
        <v>0</v>
      </c>
      <c r="Z108" s="80" t="str">
        <f>IF(AND(ISNUMBER(H108),H108&gt;=0,H108&lt;1),ROUND(H108*1440,0),"")</f>
        <v/>
      </c>
      <c r="AA108" s="80" t="str">
        <f>IF(AND(ISNUMBER(I108),I108&gt;=0,I108&lt;1),ROUND(I108*1440,0),"")</f>
        <v/>
      </c>
      <c r="AB108" s="80">
        <f>IF(AND(ISNUMBER(B108),D108&lt;&gt;"",ISNUMBER(Z108),ISNUMBER(AA108)),IF(Z108=AA108,0,1),0)</f>
        <v>0</v>
      </c>
      <c r="AC108" s="80">
        <f>IF(AB108=1,IF(AA108&lt;Z108,1,0),0)</f>
        <v>0</v>
      </c>
      <c r="AD108" s="80">
        <f>IF(AB108=1,IF(AC108=1,1440-Z108+AA108,AA108-Z108),0)</f>
        <v>0</v>
      </c>
      <c r="AE108" s="80">
        <f>IF(J108="",0,IF(ISNUMBER(J108),J108,-1))</f>
        <v>0</v>
      </c>
      <c r="AF108" s="80">
        <f>MIN(MAX(0,AE108),AD108)</f>
        <v>0</v>
      </c>
      <c r="AG108" s="80">
        <f>MAX(0,AD108-MAX(0,AE108))</f>
        <v>0</v>
      </c>
      <c r="AH108" s="80">
        <f>IF(ISNUMBER(B108),IF(AND(INDEX(CFG_WDAYS,WEEKDAY(INT(B108),2))="Sí",IF(D108="proMX",COUNTIFS(FER_F,INT(B108),FER_NLP,"Sí"),COUNTIFS(FER_F,INT(B108),FER_NLM,"Sí"))=0),1,0),0)</f>
        <v>0</v>
      </c>
      <c r="AI108" s="80">
        <f>IF(AC108=1,IF(AND(INDEX(CFG_WDAYS,WEEKDAY(INT(B108)+1,2))="Sí",IF(D108="proMX",COUNTIFS(FER_F,INT(B108)+1,FER_NLP,"Sí"),COUNTIFS(FER_F,INT(B108)+1,FER_NLM,"Sí"))=0),1,0),0)</f>
        <v>0</v>
      </c>
      <c r="AJ108" s="80">
        <f>IF(AC108=1,1440-Z108,AD108)</f>
        <v>0</v>
      </c>
      <c r="AK108" s="80">
        <f>IF(AND(AB108=1,AH108=1),MAX(0,MIN(IF(AC108=1,1440,AA108),CFG_WEM)-MAX(Z108,CFG_WSM)),0)</f>
        <v>0</v>
      </c>
      <c r="AL108" s="80">
        <f>IF(AND(AC108=1,AI108=1),MAX(0,MIN(AA108,CFG_WEM)-CFG_WSM),0)</f>
        <v>0</v>
      </c>
      <c r="AM108" s="80">
        <f>AK108+AL108</f>
        <v>0</v>
      </c>
      <c r="AN108" s="80">
        <f>IF(CFG_BRK="Proporcional",IF(AD108=0,0,AF108*AM108/AD108),IF(CFG_BRK="Extras primero",MIN(AM108,MAX(0,AF108-(AD108-AM108))),MIN(AF108,AM108)))</f>
        <v>0</v>
      </c>
      <c r="AO108" s="80">
        <f>AF108-AN108</f>
        <v>0</v>
      </c>
      <c r="AP108" s="80">
        <f>AM108-AN108</f>
        <v>0</v>
      </c>
      <c r="AQ108" s="80">
        <f>AD108-AM108-AO108</f>
        <v>0</v>
      </c>
      <c r="AR108" s="80">
        <f>IF(AM108=0,0,AK108-AN108*AK108/AM108)</f>
        <v>0</v>
      </c>
      <c r="AS108" s="80">
        <f>IF(AD108-AM108=0,0,(AJ108-AK108)-AO108*(AJ108-AK108)/(AD108-AM108))</f>
        <v>0</v>
      </c>
      <c r="AT108" s="80" t="str">
        <f>IF(AC108=1,INT(B108)+1,"")</f>
        <v/>
      </c>
      <c r="AU108" s="80">
        <f>IF(AND(D108="proMX",R108="Cancelled"),0,1)</f>
        <v>1</v>
      </c>
      <c r="AV108" s="80">
        <f>IF(AND(AB108=1,AU108=1),IF(COUNTIFS($D$5:D107,D108,$B$5:B107,B108,$Z$5:Z107,Z108,$AA$5:AA107,AA108,$F$5:F107,F108&amp;"",$AU$5:AU107,1)&gt;0,1,0),0)</f>
        <v>0</v>
      </c>
      <c r="AW108" s="80" t="str">
        <f>IF(AB108=1,INT(B108)*1440+Z108,"")</f>
        <v/>
      </c>
      <c r="AX108" s="80" t="str">
        <f>IF(AB108=1,AW108+AD108,"")</f>
        <v/>
      </c>
      <c r="AY108" s="80">
        <f>IF(AND(AB108=1,AV108=0,AU108=1),1,0)</f>
        <v>0</v>
      </c>
      <c r="AZ108" s="80">
        <f>IF(AY108=1,COUNTIFS(R_Emp,D108,R_SAbs,"&lt;"&amp;AX108,R_EAbs,"&gt;"&amp;AW108,R_OKey,1)-1,0)</f>
        <v>0</v>
      </c>
      <c r="BA108" s="80">
        <f>IF(AY108=1,COUNTIFS(R_Emp,"&lt;&gt;"&amp;D108,R_SAbs,"&lt;"&amp;AX108,R_EAbs,"&gt;"&amp;AW108,R_OKey,1),0)</f>
        <v>0</v>
      </c>
      <c r="BB108" s="80">
        <f>IF(AND(AB108=1,D108="proMX"),IF(AND(MOD(Z108,CFG_BLK)=0,MOD(AA108,CFG_BLK)=0,MOD(AG108,CFG_BLK)=0,AG108&gt;0),1,0),1)</f>
        <v>1</v>
      </c>
      <c r="BC108" s="80" t="str">
        <f>IF(Y108=0,"",IF(NOT(ISNUMBER(B108)),"Falta fecha o fecha inválida",IF(D108="","Falta empresa",IF(AND(D108&lt;&gt;"Malcolm",D108&lt;&gt;"proMX"),"Empresa inválida",IF(OR(INT(B108)&lt;CFG_PSTART,INT(B108)&gt;CFG_PEND),"Fecha fuera del período",IF(OR(NOT(ISNUMBER(Z108)),NOT(ISNUMBER(AA108))),"Falta hora inicio/fin o formato inválido",IF(AB108=0,"Hora inicio = hora fin",IF(AE108&lt;0,"Descanso inválido",IF(AE108&gt;=AD108,"Descanso ≥ duración",IF(AV108=1,"Registro duplicado",IF(AZ108&gt;0,"Se superpone con otro registro "&amp;D108,IF(BB108=0,"inicio, fin y duración neta deben ser múltiplos de "&amp;CFG_BLK&amp;" min",""))))))))))))</f>
        <v/>
      </c>
      <c r="BD108" s="80">
        <f>IF(AND(Y108=1,BC108=""),1,0)</f>
        <v>0</v>
      </c>
      <c r="BE108" s="80">
        <f>IF(AND(BD108=1,AU108=1),1,0)</f>
        <v>0</v>
      </c>
      <c r="BF108" s="80" t="str">
        <f>IF(AND(D108="proMX",BD108=1),IF(R108="","Draft",R108),"")</f>
        <v/>
      </c>
      <c r="BG108" s="80">
        <f>IF(BD108=1,ROUND(AG108/60,6),0)</f>
        <v>0</v>
      </c>
      <c r="BH108" s="80">
        <f>IF(BE108=1,ROUND(AG108/60,6),0)</f>
        <v>0</v>
      </c>
      <c r="BI108" s="80">
        <f>IF(BE108=1,ROUND(AP108/60,6),0)</f>
        <v>0</v>
      </c>
      <c r="BJ108" s="80">
        <f>IF(BE108=1,ROUND(AQ108/60,6),0)</f>
        <v>0</v>
      </c>
      <c r="BK108" s="80">
        <f>IF(BE108=1,ROUND((AR108+AS108)/60,6),0)</f>
        <v>0</v>
      </c>
      <c r="BL108" s="80">
        <f>ROUND(BH108-BK108,6)</f>
        <v>0</v>
      </c>
      <c r="BM108" s="80">
        <f>IF(BE108=1,ROUND(AR108/60,6),0)</f>
        <v>0</v>
      </c>
      <c r="BN108" s="80">
        <f>ROUND(BI108-BM108,6)</f>
        <v>0</v>
      </c>
      <c r="BO108" s="80">
        <f>IF(BE108=1,ROUND(AS108/60,6),0)</f>
        <v>0</v>
      </c>
      <c r="BP108" s="80">
        <f>ROUND(BJ108-BO108,6)</f>
        <v>0</v>
      </c>
      <c r="BQ108" s="80">
        <f>IF(BE108=1,AW108,0)</f>
        <v>0</v>
      </c>
      <c r="BR108" s="80">
        <f>IF(BE108=1,AX108,0)</f>
        <v>0</v>
      </c>
      <c r="BS108" s="80">
        <f>IF(AND(BE108=1,D108="Malcolm",BA108&gt;0),MIN(BH108,SUMPRODUCT((R_Emp="proMX")*(R_EN&gt;0)*((R_EN-(R_EN&gt;BR108)*(R_EN-BR108))&gt;(R_SN+(R_SN&lt;BQ108)*(BQ108-R_SN)))*((R_EN-(R_EN&gt;BR108)*(R_EN-BR108))-(R_SN+(R_SN&lt;BQ108)*(BQ108-R_SN))))/60),0)</f>
        <v>0</v>
      </c>
      <c r="BT108" s="80">
        <f>IF(AND(BE108=1,D108="proMX"),ROUND(BI108*CFG_RATE+BJ108*CFG_OTRATE,6),0)</f>
        <v>0</v>
      </c>
      <c r="BU108" s="80">
        <f>IF(AND(BD108=1,D108="proMX"),ROUND(AG108/CFG_BLK,6),0)</f>
        <v>0</v>
      </c>
      <c r="BV108" s="80" t="str">
        <f>IF(BF108="Approved",IF(ISNUMBER(T108),INT(T108),INT(B108)),"")</f>
        <v/>
      </c>
      <c r="BW108" s="80">
        <f>IF(ISNUMBER(B108),IF(DB_MON="Todos",1,IF(AND(INT(B108)&gt;=DB_MS,INT(B108)&lt;=DB_ME),1,0)),0)</f>
        <v>0</v>
      </c>
      <c r="BX108" s="80">
        <f>IF(DB_PROJ="Todos",1,IF(E108&amp;""=DB_PROJ&amp;"",1,0))</f>
        <v>1</v>
      </c>
      <c r="BY108" s="80">
        <f>BW108*BX108</f>
        <v>0</v>
      </c>
      <c r="BZ108" s="80" t="str">
        <f>IF(Y108=1,F108&amp;IF(AND(F108&amp;""&lt;&gt;"",E108&amp;""&lt;&gt;"")," · ","")&amp;E108,"")</f>
        <v/>
      </c>
      <c r="CA108" s="80" t="str">
        <f>IF(AND(BD108=1,E108&amp;""&lt;&gt;""),IF(COUNTIFS($E$5:E107,E108,$BD$5:BD107,1)=0,MAX($CA$5:CA107)+1,""),"")</f>
        <v/>
      </c>
      <c r="CB108" s="80" t="str">
        <f>IF(AND(BE108=1,D108="Malcolm",E108&amp;""&lt;&gt;""),IF(COUNTIFS($D$5:D107,"Malcolm",$E$5:E107,E108,$BE$5:BE107,1)=0,MAX($CB$5:CB107)+1,""),"")</f>
        <v/>
      </c>
      <c r="CC108" s="80" t="str">
        <f>IF(AND(BD108=1,D108="proMX",E108&amp;""&lt;&gt;""),IF(COUNTIFS($D$5:D107,"proMX",$E$5:E107,E108,$BD$5:BD107,1)=0,MAX($CC$5:CC107)+1,""),"")</f>
        <v/>
      </c>
      <c r="CD108" s="80" t="str">
        <f>IF(AND(BE108=1,D108="Malcolm",F108&amp;""&lt;&gt;""),IF(COUNTIFS($D$5:D107,"Malcolm",$F$5:F107,F108,$BE$5:BE107,1)=0,MAX($CD$5:CD107)+1,""),"")</f>
        <v/>
      </c>
      <c r="CE108" s="80" t="str">
        <f>IF(AND(BD108=1,D108="proMX",F108&amp;""&lt;&gt;""),IF(COUNTIFS($D$5:D107,"proMX",$F$5:F107,F108,$BD$5:BD107,1)=0,MAX($CE$5:CE107)+1,""),"")</f>
        <v/>
      </c>
      <c r="CF108" s="80" t="str">
        <f>IF(AND(D108="proMX",BD108=1),IF(OR(BF108="Draft",BF108="Submitted",BF108="Returned",BF108="Recall Requested"),MAX($CF$5:CF107)+1,""),"")</f>
        <v/>
      </c>
      <c r="CG108" s="80">
        <f>IF(BD108=0,0,IF(D108="Malcolm",1,MATCH(BF108,{"Draft","Submitted","Approved","Returned","Recall Requested","Cancelled"},0)+1))</f>
        <v>0</v>
      </c>
      <c r="CH108" s="80">
        <f>IF(AND(BF108="Submitted",ISNUMBER(V108)),IF(V108&gt;CFG_MAXD,1,0),0)</f>
        <v>0</v>
      </c>
    </row>
    <row r="109">
      <c r="A109" s="71" t="str">
        <f>IF(Y109=1,ROW()-5,"")</f>
        <v/>
      </c>
      <c r="B109" s="72" t="n"/>
      <c r="C109" s="71" t="str">
        <f>IF(ISNUMBER(B109),CHOOSE(WEEKDAY(B109,2),"Lun","Mar","Mié","Jue","Vie","Sáb","Dom"),"")</f>
        <v/>
      </c>
      <c r="D109" s="73" t="n"/>
      <c r="E109" s="74" t="n"/>
      <c r="F109" s="74" t="n"/>
      <c r="G109" s="74" t="n"/>
      <c r="H109" s="75" t="n"/>
      <c r="I109" s="75" t="n"/>
      <c r="J109" s="76" t="n"/>
      <c r="K109" s="77" t="str">
        <f>IF(AB109=1,ROUND(AG109/60,4),"")</f>
        <v/>
      </c>
      <c r="L109" s="77" t="str">
        <f>IF(BD109=1,ROUND(AP109/60,4),"")</f>
        <v/>
      </c>
      <c r="M109" s="77" t="str">
        <f>IF(BD109=1,ROUND(AQ109/60,4),"")</f>
        <v/>
      </c>
      <c r="N109" s="71" t="str">
        <f>IF(AND(D109="proMX",AB109=1),ROUND(AG109/CFG_BLK,2),"")</f>
        <v/>
      </c>
      <c r="O109" s="77" t="str">
        <f>IF(D109="proMX",IF(BD109=1,ROUND(AG109/60,4),0),"")</f>
        <v/>
      </c>
      <c r="P109" s="78" t="str">
        <f>IF(Y109=0,"",IF(BD109=1,"OK",IF(D109="proMX","Revisar bloques: ","Revisar: ")&amp;BC109))</f>
        <v/>
      </c>
      <c r="Q109" s="78" t="str">
        <f>IF(NOT(ISNUMBER(B109)),"",IF(COUNTIFS(FER_F,INT(B109))&gt;0,"Feriado"&amp;IF(AH109=1," (laborable)"," (no laborable)"),IF(AH109=1,"Laborable",IF(WEEKDAY(B109,2)&gt;5,"Fin de semana","No laborable"))))</f>
        <v/>
      </c>
      <c r="R109" s="73" t="n"/>
      <c r="S109" s="72" t="n"/>
      <c r="T109" s="72" t="n"/>
      <c r="U109" s="74" t="n"/>
      <c r="V109" s="79" t="str">
        <f>IF(AND(D109="proMX",OR(R109="Submitted",R109="Recall Requested"),ISNUMBER(S109)),CFG_TODAY-INT(S109),"")</f>
        <v/>
      </c>
      <c r="W109" s="78" t="str">
        <f>IF(BD109=0,"",IF(BA109&gt;0,"⚠ Se superpone con un registro de la otra empresa",IF(D109="Malcolm",IF(COUNTA(R109,S109,T109)&gt;0,"Estado/fechas proMX se ignoran en Malcolm",""),IF(BF109="Cancelled","Cancelado: excluido de totales",IF(R109="","Sin estado: se trata como Draft",IF(BF109="Submitted",IF(ISNUMBER(V109),IF(V109&gt;CFG_MAXD,"⚠ "&amp;V109&amp;" días en Submitted (máx. "&amp;CFG_MAXD&amp;")",""),"Falta fecha de envío"),IF(BF109="Returned","⚠ Devuelto: corregir y reenviar",IF(BF109="Recall Requested","Retirada solicitada: pendiente",IF(AND(BF109="Approved",NOT(ISNUMBER(T109))),"Falta fecha de aprobación",IF(AND(ISNUMBER(S109),ISNUMBER(T109),T109&lt;S109),"Aprobación anterior al envío","")))))))))</f>
        <v/>
      </c>
      <c r="Y109" s="80">
        <f>IF(COUNTA(B109,D109,E109,F109,G109,H109,I109,J109,R109,S109,T109)&gt;0,1,0)</f>
        <v>0</v>
      </c>
      <c r="Z109" s="80" t="str">
        <f>IF(AND(ISNUMBER(H109),H109&gt;=0,H109&lt;1),ROUND(H109*1440,0),"")</f>
        <v/>
      </c>
      <c r="AA109" s="80" t="str">
        <f>IF(AND(ISNUMBER(I109),I109&gt;=0,I109&lt;1),ROUND(I109*1440,0),"")</f>
        <v/>
      </c>
      <c r="AB109" s="80">
        <f>IF(AND(ISNUMBER(B109),D109&lt;&gt;"",ISNUMBER(Z109),ISNUMBER(AA109)),IF(Z109=AA109,0,1),0)</f>
        <v>0</v>
      </c>
      <c r="AC109" s="80">
        <f>IF(AB109=1,IF(AA109&lt;Z109,1,0),0)</f>
        <v>0</v>
      </c>
      <c r="AD109" s="80">
        <f>IF(AB109=1,IF(AC109=1,1440-Z109+AA109,AA109-Z109),0)</f>
        <v>0</v>
      </c>
      <c r="AE109" s="80">
        <f>IF(J109="",0,IF(ISNUMBER(J109),J109,-1))</f>
        <v>0</v>
      </c>
      <c r="AF109" s="80">
        <f>MIN(MAX(0,AE109),AD109)</f>
        <v>0</v>
      </c>
      <c r="AG109" s="80">
        <f>MAX(0,AD109-MAX(0,AE109))</f>
        <v>0</v>
      </c>
      <c r="AH109" s="80">
        <f>IF(ISNUMBER(B109),IF(AND(INDEX(CFG_WDAYS,WEEKDAY(INT(B109),2))="Sí",IF(D109="proMX",COUNTIFS(FER_F,INT(B109),FER_NLP,"Sí"),COUNTIFS(FER_F,INT(B109),FER_NLM,"Sí"))=0),1,0),0)</f>
        <v>0</v>
      </c>
      <c r="AI109" s="80">
        <f>IF(AC109=1,IF(AND(INDEX(CFG_WDAYS,WEEKDAY(INT(B109)+1,2))="Sí",IF(D109="proMX",COUNTIFS(FER_F,INT(B109)+1,FER_NLP,"Sí"),COUNTIFS(FER_F,INT(B109)+1,FER_NLM,"Sí"))=0),1,0),0)</f>
        <v>0</v>
      </c>
      <c r="AJ109" s="80">
        <f>IF(AC109=1,1440-Z109,AD109)</f>
        <v>0</v>
      </c>
      <c r="AK109" s="80">
        <f>IF(AND(AB109=1,AH109=1),MAX(0,MIN(IF(AC109=1,1440,AA109),CFG_WEM)-MAX(Z109,CFG_WSM)),0)</f>
        <v>0</v>
      </c>
      <c r="AL109" s="80">
        <f>IF(AND(AC109=1,AI109=1),MAX(0,MIN(AA109,CFG_WEM)-CFG_WSM),0)</f>
        <v>0</v>
      </c>
      <c r="AM109" s="80">
        <f>AK109+AL109</f>
        <v>0</v>
      </c>
      <c r="AN109" s="80">
        <f>IF(CFG_BRK="Proporcional",IF(AD109=0,0,AF109*AM109/AD109),IF(CFG_BRK="Extras primero",MIN(AM109,MAX(0,AF109-(AD109-AM109))),MIN(AF109,AM109)))</f>
        <v>0</v>
      </c>
      <c r="AO109" s="80">
        <f>AF109-AN109</f>
        <v>0</v>
      </c>
      <c r="AP109" s="80">
        <f>AM109-AN109</f>
        <v>0</v>
      </c>
      <c r="AQ109" s="80">
        <f>AD109-AM109-AO109</f>
        <v>0</v>
      </c>
      <c r="AR109" s="80">
        <f>IF(AM109=0,0,AK109-AN109*AK109/AM109)</f>
        <v>0</v>
      </c>
      <c r="AS109" s="80">
        <f>IF(AD109-AM109=0,0,(AJ109-AK109)-AO109*(AJ109-AK109)/(AD109-AM109))</f>
        <v>0</v>
      </c>
      <c r="AT109" s="80" t="str">
        <f>IF(AC109=1,INT(B109)+1,"")</f>
        <v/>
      </c>
      <c r="AU109" s="80">
        <f>IF(AND(D109="proMX",R109="Cancelled"),0,1)</f>
        <v>1</v>
      </c>
      <c r="AV109" s="80">
        <f>IF(AND(AB109=1,AU109=1),IF(COUNTIFS($D$5:D108,D109,$B$5:B108,B109,$Z$5:Z108,Z109,$AA$5:AA108,AA109,$F$5:F108,F109&amp;"",$AU$5:AU108,1)&gt;0,1,0),0)</f>
        <v>0</v>
      </c>
      <c r="AW109" s="80" t="str">
        <f>IF(AB109=1,INT(B109)*1440+Z109,"")</f>
        <v/>
      </c>
      <c r="AX109" s="80" t="str">
        <f>IF(AB109=1,AW109+AD109,"")</f>
        <v/>
      </c>
      <c r="AY109" s="80">
        <f>IF(AND(AB109=1,AV109=0,AU109=1),1,0)</f>
        <v>0</v>
      </c>
      <c r="AZ109" s="80">
        <f>IF(AY109=1,COUNTIFS(R_Emp,D109,R_SAbs,"&lt;"&amp;AX109,R_EAbs,"&gt;"&amp;AW109,R_OKey,1)-1,0)</f>
        <v>0</v>
      </c>
      <c r="BA109" s="80">
        <f>IF(AY109=1,COUNTIFS(R_Emp,"&lt;&gt;"&amp;D109,R_SAbs,"&lt;"&amp;AX109,R_EAbs,"&gt;"&amp;AW109,R_OKey,1),0)</f>
        <v>0</v>
      </c>
      <c r="BB109" s="80">
        <f>IF(AND(AB109=1,D109="proMX"),IF(AND(MOD(Z109,CFG_BLK)=0,MOD(AA109,CFG_BLK)=0,MOD(AG109,CFG_BLK)=0,AG109&gt;0),1,0),1)</f>
        <v>1</v>
      </c>
      <c r="BC109" s="80" t="str">
        <f>IF(Y109=0,"",IF(NOT(ISNUMBER(B109)),"Falta fecha o fecha inválida",IF(D109="","Falta empresa",IF(AND(D109&lt;&gt;"Malcolm",D109&lt;&gt;"proMX"),"Empresa inválida",IF(OR(INT(B109)&lt;CFG_PSTART,INT(B109)&gt;CFG_PEND),"Fecha fuera del período",IF(OR(NOT(ISNUMBER(Z109)),NOT(ISNUMBER(AA109))),"Falta hora inicio/fin o formato inválido",IF(AB109=0,"Hora inicio = hora fin",IF(AE109&lt;0,"Descanso inválido",IF(AE109&gt;=AD109,"Descanso ≥ duración",IF(AV109=1,"Registro duplicado",IF(AZ109&gt;0,"Se superpone con otro registro "&amp;D109,IF(BB109=0,"inicio, fin y duración neta deben ser múltiplos de "&amp;CFG_BLK&amp;" min",""))))))))))))</f>
        <v/>
      </c>
      <c r="BD109" s="80">
        <f>IF(AND(Y109=1,BC109=""),1,0)</f>
        <v>0</v>
      </c>
      <c r="BE109" s="80">
        <f>IF(AND(BD109=1,AU109=1),1,0)</f>
        <v>0</v>
      </c>
      <c r="BF109" s="80" t="str">
        <f>IF(AND(D109="proMX",BD109=1),IF(R109="","Draft",R109),"")</f>
        <v/>
      </c>
      <c r="BG109" s="80">
        <f>IF(BD109=1,ROUND(AG109/60,6),0)</f>
        <v>0</v>
      </c>
      <c r="BH109" s="80">
        <f>IF(BE109=1,ROUND(AG109/60,6),0)</f>
        <v>0</v>
      </c>
      <c r="BI109" s="80">
        <f>IF(BE109=1,ROUND(AP109/60,6),0)</f>
        <v>0</v>
      </c>
      <c r="BJ109" s="80">
        <f>IF(BE109=1,ROUND(AQ109/60,6),0)</f>
        <v>0</v>
      </c>
      <c r="BK109" s="80">
        <f>IF(BE109=1,ROUND((AR109+AS109)/60,6),0)</f>
        <v>0</v>
      </c>
      <c r="BL109" s="80">
        <f>ROUND(BH109-BK109,6)</f>
        <v>0</v>
      </c>
      <c r="BM109" s="80">
        <f>IF(BE109=1,ROUND(AR109/60,6),0)</f>
        <v>0</v>
      </c>
      <c r="BN109" s="80">
        <f>ROUND(BI109-BM109,6)</f>
        <v>0</v>
      </c>
      <c r="BO109" s="80">
        <f>IF(BE109=1,ROUND(AS109/60,6),0)</f>
        <v>0</v>
      </c>
      <c r="BP109" s="80">
        <f>ROUND(BJ109-BO109,6)</f>
        <v>0</v>
      </c>
      <c r="BQ109" s="80">
        <f>IF(BE109=1,AW109,0)</f>
        <v>0</v>
      </c>
      <c r="BR109" s="80">
        <f>IF(BE109=1,AX109,0)</f>
        <v>0</v>
      </c>
      <c r="BS109" s="80">
        <f>IF(AND(BE109=1,D109="Malcolm",BA109&gt;0),MIN(BH109,SUMPRODUCT((R_Emp="proMX")*(R_EN&gt;0)*((R_EN-(R_EN&gt;BR109)*(R_EN-BR109))&gt;(R_SN+(R_SN&lt;BQ109)*(BQ109-R_SN)))*((R_EN-(R_EN&gt;BR109)*(R_EN-BR109))-(R_SN+(R_SN&lt;BQ109)*(BQ109-R_SN))))/60),0)</f>
        <v>0</v>
      </c>
      <c r="BT109" s="80">
        <f>IF(AND(BE109=1,D109="proMX"),ROUND(BI109*CFG_RATE+BJ109*CFG_OTRATE,6),0)</f>
        <v>0</v>
      </c>
      <c r="BU109" s="80">
        <f>IF(AND(BD109=1,D109="proMX"),ROUND(AG109/CFG_BLK,6),0)</f>
        <v>0</v>
      </c>
      <c r="BV109" s="80" t="str">
        <f>IF(BF109="Approved",IF(ISNUMBER(T109),INT(T109),INT(B109)),"")</f>
        <v/>
      </c>
      <c r="BW109" s="80">
        <f>IF(ISNUMBER(B109),IF(DB_MON="Todos",1,IF(AND(INT(B109)&gt;=DB_MS,INT(B109)&lt;=DB_ME),1,0)),0)</f>
        <v>0</v>
      </c>
      <c r="BX109" s="80">
        <f>IF(DB_PROJ="Todos",1,IF(E109&amp;""=DB_PROJ&amp;"",1,0))</f>
        <v>1</v>
      </c>
      <c r="BY109" s="80">
        <f>BW109*BX109</f>
        <v>0</v>
      </c>
      <c r="BZ109" s="80" t="str">
        <f>IF(Y109=1,F109&amp;IF(AND(F109&amp;""&lt;&gt;"",E109&amp;""&lt;&gt;"")," · ","")&amp;E109,"")</f>
        <v/>
      </c>
      <c r="CA109" s="80" t="str">
        <f>IF(AND(BD109=1,E109&amp;""&lt;&gt;""),IF(COUNTIFS($E$5:E108,E109,$BD$5:BD108,1)=0,MAX($CA$5:CA108)+1,""),"")</f>
        <v/>
      </c>
      <c r="CB109" s="80" t="str">
        <f>IF(AND(BE109=1,D109="Malcolm",E109&amp;""&lt;&gt;""),IF(COUNTIFS($D$5:D108,"Malcolm",$E$5:E108,E109,$BE$5:BE108,1)=0,MAX($CB$5:CB108)+1,""),"")</f>
        <v/>
      </c>
      <c r="CC109" s="80" t="str">
        <f>IF(AND(BD109=1,D109="proMX",E109&amp;""&lt;&gt;""),IF(COUNTIFS($D$5:D108,"proMX",$E$5:E108,E109,$BD$5:BD108,1)=0,MAX($CC$5:CC108)+1,""),"")</f>
        <v/>
      </c>
      <c r="CD109" s="80" t="str">
        <f>IF(AND(BE109=1,D109="Malcolm",F109&amp;""&lt;&gt;""),IF(COUNTIFS($D$5:D108,"Malcolm",$F$5:F108,F109,$BE$5:BE108,1)=0,MAX($CD$5:CD108)+1,""),"")</f>
        <v/>
      </c>
      <c r="CE109" s="80" t="str">
        <f>IF(AND(BD109=1,D109="proMX",F109&amp;""&lt;&gt;""),IF(COUNTIFS($D$5:D108,"proMX",$F$5:F108,F109,$BD$5:BD108,1)=0,MAX($CE$5:CE108)+1,""),"")</f>
        <v/>
      </c>
      <c r="CF109" s="80" t="str">
        <f>IF(AND(D109="proMX",BD109=1),IF(OR(BF109="Draft",BF109="Submitted",BF109="Returned",BF109="Recall Requested"),MAX($CF$5:CF108)+1,""),"")</f>
        <v/>
      </c>
      <c r="CG109" s="80">
        <f>IF(BD109=0,0,IF(D109="Malcolm",1,MATCH(BF109,{"Draft","Submitted","Approved","Returned","Recall Requested","Cancelled"},0)+1))</f>
        <v>0</v>
      </c>
      <c r="CH109" s="80">
        <f>IF(AND(BF109="Submitted",ISNUMBER(V109)),IF(V109&gt;CFG_MAXD,1,0),0)</f>
        <v>0</v>
      </c>
    </row>
    <row r="110">
      <c r="A110" s="71" t="str">
        <f>IF(Y110=1,ROW()-5,"")</f>
        <v/>
      </c>
      <c r="B110" s="72" t="n"/>
      <c r="C110" s="71" t="str">
        <f>IF(ISNUMBER(B110),CHOOSE(WEEKDAY(B110,2),"Lun","Mar","Mié","Jue","Vie","Sáb","Dom"),"")</f>
        <v/>
      </c>
      <c r="D110" s="73" t="n"/>
      <c r="E110" s="74" t="n"/>
      <c r="F110" s="74" t="n"/>
      <c r="G110" s="74" t="n"/>
      <c r="H110" s="75" t="n"/>
      <c r="I110" s="75" t="n"/>
      <c r="J110" s="76" t="n"/>
      <c r="K110" s="77" t="str">
        <f>IF(AB110=1,ROUND(AG110/60,4),"")</f>
        <v/>
      </c>
      <c r="L110" s="77" t="str">
        <f>IF(BD110=1,ROUND(AP110/60,4),"")</f>
        <v/>
      </c>
      <c r="M110" s="77" t="str">
        <f>IF(BD110=1,ROUND(AQ110/60,4),"")</f>
        <v/>
      </c>
      <c r="N110" s="71" t="str">
        <f>IF(AND(D110="proMX",AB110=1),ROUND(AG110/CFG_BLK,2),"")</f>
        <v/>
      </c>
      <c r="O110" s="77" t="str">
        <f>IF(D110="proMX",IF(BD110=1,ROUND(AG110/60,4),0),"")</f>
        <v/>
      </c>
      <c r="P110" s="78" t="str">
        <f>IF(Y110=0,"",IF(BD110=1,"OK",IF(D110="proMX","Revisar bloques: ","Revisar: ")&amp;BC110))</f>
        <v/>
      </c>
      <c r="Q110" s="78" t="str">
        <f>IF(NOT(ISNUMBER(B110)),"",IF(COUNTIFS(FER_F,INT(B110))&gt;0,"Feriado"&amp;IF(AH110=1," (laborable)"," (no laborable)"),IF(AH110=1,"Laborable",IF(WEEKDAY(B110,2)&gt;5,"Fin de semana","No laborable"))))</f>
        <v/>
      </c>
      <c r="R110" s="73" t="n"/>
      <c r="S110" s="72" t="n"/>
      <c r="T110" s="72" t="n"/>
      <c r="U110" s="74" t="n"/>
      <c r="V110" s="79" t="str">
        <f>IF(AND(D110="proMX",OR(R110="Submitted",R110="Recall Requested"),ISNUMBER(S110)),CFG_TODAY-INT(S110),"")</f>
        <v/>
      </c>
      <c r="W110" s="78" t="str">
        <f>IF(BD110=0,"",IF(BA110&gt;0,"⚠ Se superpone con un registro de la otra empresa",IF(D110="Malcolm",IF(COUNTA(R110,S110,T110)&gt;0,"Estado/fechas proMX se ignoran en Malcolm",""),IF(BF110="Cancelled","Cancelado: excluido de totales",IF(R110="","Sin estado: se trata como Draft",IF(BF110="Submitted",IF(ISNUMBER(V110),IF(V110&gt;CFG_MAXD,"⚠ "&amp;V110&amp;" días en Submitted (máx. "&amp;CFG_MAXD&amp;")",""),"Falta fecha de envío"),IF(BF110="Returned","⚠ Devuelto: corregir y reenviar",IF(BF110="Recall Requested","Retirada solicitada: pendiente",IF(AND(BF110="Approved",NOT(ISNUMBER(T110))),"Falta fecha de aprobación",IF(AND(ISNUMBER(S110),ISNUMBER(T110),T110&lt;S110),"Aprobación anterior al envío","")))))))))</f>
        <v/>
      </c>
      <c r="Y110" s="80">
        <f>IF(COUNTA(B110,D110,E110,F110,G110,H110,I110,J110,R110,S110,T110)&gt;0,1,0)</f>
        <v>0</v>
      </c>
      <c r="Z110" s="80" t="str">
        <f>IF(AND(ISNUMBER(H110),H110&gt;=0,H110&lt;1),ROUND(H110*1440,0),"")</f>
        <v/>
      </c>
      <c r="AA110" s="80" t="str">
        <f>IF(AND(ISNUMBER(I110),I110&gt;=0,I110&lt;1),ROUND(I110*1440,0),"")</f>
        <v/>
      </c>
      <c r="AB110" s="80">
        <f>IF(AND(ISNUMBER(B110),D110&lt;&gt;"",ISNUMBER(Z110),ISNUMBER(AA110)),IF(Z110=AA110,0,1),0)</f>
        <v>0</v>
      </c>
      <c r="AC110" s="80">
        <f>IF(AB110=1,IF(AA110&lt;Z110,1,0),0)</f>
        <v>0</v>
      </c>
      <c r="AD110" s="80">
        <f>IF(AB110=1,IF(AC110=1,1440-Z110+AA110,AA110-Z110),0)</f>
        <v>0</v>
      </c>
      <c r="AE110" s="80">
        <f>IF(J110="",0,IF(ISNUMBER(J110),J110,-1))</f>
        <v>0</v>
      </c>
      <c r="AF110" s="80">
        <f>MIN(MAX(0,AE110),AD110)</f>
        <v>0</v>
      </c>
      <c r="AG110" s="80">
        <f>MAX(0,AD110-MAX(0,AE110))</f>
        <v>0</v>
      </c>
      <c r="AH110" s="80">
        <f>IF(ISNUMBER(B110),IF(AND(INDEX(CFG_WDAYS,WEEKDAY(INT(B110),2))="Sí",IF(D110="proMX",COUNTIFS(FER_F,INT(B110),FER_NLP,"Sí"),COUNTIFS(FER_F,INT(B110),FER_NLM,"Sí"))=0),1,0),0)</f>
        <v>0</v>
      </c>
      <c r="AI110" s="80">
        <f>IF(AC110=1,IF(AND(INDEX(CFG_WDAYS,WEEKDAY(INT(B110)+1,2))="Sí",IF(D110="proMX",COUNTIFS(FER_F,INT(B110)+1,FER_NLP,"Sí"),COUNTIFS(FER_F,INT(B110)+1,FER_NLM,"Sí"))=0),1,0),0)</f>
        <v>0</v>
      </c>
      <c r="AJ110" s="80">
        <f>IF(AC110=1,1440-Z110,AD110)</f>
        <v>0</v>
      </c>
      <c r="AK110" s="80">
        <f>IF(AND(AB110=1,AH110=1),MAX(0,MIN(IF(AC110=1,1440,AA110),CFG_WEM)-MAX(Z110,CFG_WSM)),0)</f>
        <v>0</v>
      </c>
      <c r="AL110" s="80">
        <f>IF(AND(AC110=1,AI110=1),MAX(0,MIN(AA110,CFG_WEM)-CFG_WSM),0)</f>
        <v>0</v>
      </c>
      <c r="AM110" s="80">
        <f>AK110+AL110</f>
        <v>0</v>
      </c>
      <c r="AN110" s="80">
        <f>IF(CFG_BRK="Proporcional",IF(AD110=0,0,AF110*AM110/AD110),IF(CFG_BRK="Extras primero",MIN(AM110,MAX(0,AF110-(AD110-AM110))),MIN(AF110,AM110)))</f>
        <v>0</v>
      </c>
      <c r="AO110" s="80">
        <f>AF110-AN110</f>
        <v>0</v>
      </c>
      <c r="AP110" s="80">
        <f>AM110-AN110</f>
        <v>0</v>
      </c>
      <c r="AQ110" s="80">
        <f>AD110-AM110-AO110</f>
        <v>0</v>
      </c>
      <c r="AR110" s="80">
        <f>IF(AM110=0,0,AK110-AN110*AK110/AM110)</f>
        <v>0</v>
      </c>
      <c r="AS110" s="80">
        <f>IF(AD110-AM110=0,0,(AJ110-AK110)-AO110*(AJ110-AK110)/(AD110-AM110))</f>
        <v>0</v>
      </c>
      <c r="AT110" s="80" t="str">
        <f>IF(AC110=1,INT(B110)+1,"")</f>
        <v/>
      </c>
      <c r="AU110" s="80">
        <f>IF(AND(D110="proMX",R110="Cancelled"),0,1)</f>
        <v>1</v>
      </c>
      <c r="AV110" s="80">
        <f>IF(AND(AB110=1,AU110=1),IF(COUNTIFS($D$5:D109,D110,$B$5:B109,B110,$Z$5:Z109,Z110,$AA$5:AA109,AA110,$F$5:F109,F110&amp;"",$AU$5:AU109,1)&gt;0,1,0),0)</f>
        <v>0</v>
      </c>
      <c r="AW110" s="80" t="str">
        <f>IF(AB110=1,INT(B110)*1440+Z110,"")</f>
        <v/>
      </c>
      <c r="AX110" s="80" t="str">
        <f>IF(AB110=1,AW110+AD110,"")</f>
        <v/>
      </c>
      <c r="AY110" s="80">
        <f>IF(AND(AB110=1,AV110=0,AU110=1),1,0)</f>
        <v>0</v>
      </c>
      <c r="AZ110" s="80">
        <f>IF(AY110=1,COUNTIFS(R_Emp,D110,R_SAbs,"&lt;"&amp;AX110,R_EAbs,"&gt;"&amp;AW110,R_OKey,1)-1,0)</f>
        <v>0</v>
      </c>
      <c r="BA110" s="80">
        <f>IF(AY110=1,COUNTIFS(R_Emp,"&lt;&gt;"&amp;D110,R_SAbs,"&lt;"&amp;AX110,R_EAbs,"&gt;"&amp;AW110,R_OKey,1),0)</f>
        <v>0</v>
      </c>
      <c r="BB110" s="80">
        <f>IF(AND(AB110=1,D110="proMX"),IF(AND(MOD(Z110,CFG_BLK)=0,MOD(AA110,CFG_BLK)=0,MOD(AG110,CFG_BLK)=0,AG110&gt;0),1,0),1)</f>
        <v>1</v>
      </c>
      <c r="BC110" s="80" t="str">
        <f>IF(Y110=0,"",IF(NOT(ISNUMBER(B110)),"Falta fecha o fecha inválida",IF(D110="","Falta empresa",IF(AND(D110&lt;&gt;"Malcolm",D110&lt;&gt;"proMX"),"Empresa inválida",IF(OR(INT(B110)&lt;CFG_PSTART,INT(B110)&gt;CFG_PEND),"Fecha fuera del período",IF(OR(NOT(ISNUMBER(Z110)),NOT(ISNUMBER(AA110))),"Falta hora inicio/fin o formato inválido",IF(AB110=0,"Hora inicio = hora fin",IF(AE110&lt;0,"Descanso inválido",IF(AE110&gt;=AD110,"Descanso ≥ duración",IF(AV110=1,"Registro duplicado",IF(AZ110&gt;0,"Se superpone con otro registro "&amp;D110,IF(BB110=0,"inicio, fin y duración neta deben ser múltiplos de "&amp;CFG_BLK&amp;" min",""))))))))))))</f>
        <v/>
      </c>
      <c r="BD110" s="80">
        <f>IF(AND(Y110=1,BC110=""),1,0)</f>
        <v>0</v>
      </c>
      <c r="BE110" s="80">
        <f>IF(AND(BD110=1,AU110=1),1,0)</f>
        <v>0</v>
      </c>
      <c r="BF110" s="80" t="str">
        <f>IF(AND(D110="proMX",BD110=1),IF(R110="","Draft",R110),"")</f>
        <v/>
      </c>
      <c r="BG110" s="80">
        <f>IF(BD110=1,ROUND(AG110/60,6),0)</f>
        <v>0</v>
      </c>
      <c r="BH110" s="80">
        <f>IF(BE110=1,ROUND(AG110/60,6),0)</f>
        <v>0</v>
      </c>
      <c r="BI110" s="80">
        <f>IF(BE110=1,ROUND(AP110/60,6),0)</f>
        <v>0</v>
      </c>
      <c r="BJ110" s="80">
        <f>IF(BE110=1,ROUND(AQ110/60,6),0)</f>
        <v>0</v>
      </c>
      <c r="BK110" s="80">
        <f>IF(BE110=1,ROUND((AR110+AS110)/60,6),0)</f>
        <v>0</v>
      </c>
      <c r="BL110" s="80">
        <f>ROUND(BH110-BK110,6)</f>
        <v>0</v>
      </c>
      <c r="BM110" s="80">
        <f>IF(BE110=1,ROUND(AR110/60,6),0)</f>
        <v>0</v>
      </c>
      <c r="BN110" s="80">
        <f>ROUND(BI110-BM110,6)</f>
        <v>0</v>
      </c>
      <c r="BO110" s="80">
        <f>IF(BE110=1,ROUND(AS110/60,6),0)</f>
        <v>0</v>
      </c>
      <c r="BP110" s="80">
        <f>ROUND(BJ110-BO110,6)</f>
        <v>0</v>
      </c>
      <c r="BQ110" s="80">
        <f>IF(BE110=1,AW110,0)</f>
        <v>0</v>
      </c>
      <c r="BR110" s="80">
        <f>IF(BE110=1,AX110,0)</f>
        <v>0</v>
      </c>
      <c r="BS110" s="80">
        <f>IF(AND(BE110=1,D110="Malcolm",BA110&gt;0),MIN(BH110,SUMPRODUCT((R_Emp="proMX")*(R_EN&gt;0)*((R_EN-(R_EN&gt;BR110)*(R_EN-BR110))&gt;(R_SN+(R_SN&lt;BQ110)*(BQ110-R_SN)))*((R_EN-(R_EN&gt;BR110)*(R_EN-BR110))-(R_SN+(R_SN&lt;BQ110)*(BQ110-R_SN))))/60),0)</f>
        <v>0</v>
      </c>
      <c r="BT110" s="80">
        <f>IF(AND(BE110=1,D110="proMX"),ROUND(BI110*CFG_RATE+BJ110*CFG_OTRATE,6),0)</f>
        <v>0</v>
      </c>
      <c r="BU110" s="80">
        <f>IF(AND(BD110=1,D110="proMX"),ROUND(AG110/CFG_BLK,6),0)</f>
        <v>0</v>
      </c>
      <c r="BV110" s="80" t="str">
        <f>IF(BF110="Approved",IF(ISNUMBER(T110),INT(T110),INT(B110)),"")</f>
        <v/>
      </c>
      <c r="BW110" s="80">
        <f>IF(ISNUMBER(B110),IF(DB_MON="Todos",1,IF(AND(INT(B110)&gt;=DB_MS,INT(B110)&lt;=DB_ME),1,0)),0)</f>
        <v>0</v>
      </c>
      <c r="BX110" s="80">
        <f>IF(DB_PROJ="Todos",1,IF(E110&amp;""=DB_PROJ&amp;"",1,0))</f>
        <v>1</v>
      </c>
      <c r="BY110" s="80">
        <f>BW110*BX110</f>
        <v>0</v>
      </c>
      <c r="BZ110" s="80" t="str">
        <f>IF(Y110=1,F110&amp;IF(AND(F110&amp;""&lt;&gt;"",E110&amp;""&lt;&gt;"")," · ","")&amp;E110,"")</f>
        <v/>
      </c>
      <c r="CA110" s="80" t="str">
        <f>IF(AND(BD110=1,E110&amp;""&lt;&gt;""),IF(COUNTIFS($E$5:E109,E110,$BD$5:BD109,1)=0,MAX($CA$5:CA109)+1,""),"")</f>
        <v/>
      </c>
      <c r="CB110" s="80" t="str">
        <f>IF(AND(BE110=1,D110="Malcolm",E110&amp;""&lt;&gt;""),IF(COUNTIFS($D$5:D109,"Malcolm",$E$5:E109,E110,$BE$5:BE109,1)=0,MAX($CB$5:CB109)+1,""),"")</f>
        <v/>
      </c>
      <c r="CC110" s="80" t="str">
        <f>IF(AND(BD110=1,D110="proMX",E110&amp;""&lt;&gt;""),IF(COUNTIFS($D$5:D109,"proMX",$E$5:E109,E110,$BD$5:BD109,1)=0,MAX($CC$5:CC109)+1,""),"")</f>
        <v/>
      </c>
      <c r="CD110" s="80" t="str">
        <f>IF(AND(BE110=1,D110="Malcolm",F110&amp;""&lt;&gt;""),IF(COUNTIFS($D$5:D109,"Malcolm",$F$5:F109,F110,$BE$5:BE109,1)=0,MAX($CD$5:CD109)+1,""),"")</f>
        <v/>
      </c>
      <c r="CE110" s="80" t="str">
        <f>IF(AND(BD110=1,D110="proMX",F110&amp;""&lt;&gt;""),IF(COUNTIFS($D$5:D109,"proMX",$F$5:F109,F110,$BD$5:BD109,1)=0,MAX($CE$5:CE109)+1,""),"")</f>
        <v/>
      </c>
      <c r="CF110" s="80" t="str">
        <f>IF(AND(D110="proMX",BD110=1),IF(OR(BF110="Draft",BF110="Submitted",BF110="Returned",BF110="Recall Requested"),MAX($CF$5:CF109)+1,""),"")</f>
        <v/>
      </c>
      <c r="CG110" s="80">
        <f>IF(BD110=0,0,IF(D110="Malcolm",1,MATCH(BF110,{"Draft","Submitted","Approved","Returned","Recall Requested","Cancelled"},0)+1))</f>
        <v>0</v>
      </c>
      <c r="CH110" s="80">
        <f>IF(AND(BF110="Submitted",ISNUMBER(V110)),IF(V110&gt;CFG_MAXD,1,0),0)</f>
        <v>0</v>
      </c>
    </row>
    <row r="111">
      <c r="A111" s="71" t="str">
        <f>IF(Y111=1,ROW()-5,"")</f>
        <v/>
      </c>
      <c r="B111" s="72" t="n"/>
      <c r="C111" s="71" t="str">
        <f>IF(ISNUMBER(B111),CHOOSE(WEEKDAY(B111,2),"Lun","Mar","Mié","Jue","Vie","Sáb","Dom"),"")</f>
        <v/>
      </c>
      <c r="D111" s="73" t="n"/>
      <c r="E111" s="74" t="n"/>
      <c r="F111" s="74" t="n"/>
      <c r="G111" s="74" t="n"/>
      <c r="H111" s="75" t="n"/>
      <c r="I111" s="75" t="n"/>
      <c r="J111" s="76" t="n"/>
      <c r="K111" s="77" t="str">
        <f>IF(AB111=1,ROUND(AG111/60,4),"")</f>
        <v/>
      </c>
      <c r="L111" s="77" t="str">
        <f>IF(BD111=1,ROUND(AP111/60,4),"")</f>
        <v/>
      </c>
      <c r="M111" s="77" t="str">
        <f>IF(BD111=1,ROUND(AQ111/60,4),"")</f>
        <v/>
      </c>
      <c r="N111" s="71" t="str">
        <f>IF(AND(D111="proMX",AB111=1),ROUND(AG111/CFG_BLK,2),"")</f>
        <v/>
      </c>
      <c r="O111" s="77" t="str">
        <f>IF(D111="proMX",IF(BD111=1,ROUND(AG111/60,4),0),"")</f>
        <v/>
      </c>
      <c r="P111" s="78" t="str">
        <f>IF(Y111=0,"",IF(BD111=1,"OK",IF(D111="proMX","Revisar bloques: ","Revisar: ")&amp;BC111))</f>
        <v/>
      </c>
      <c r="Q111" s="78" t="str">
        <f>IF(NOT(ISNUMBER(B111)),"",IF(COUNTIFS(FER_F,INT(B111))&gt;0,"Feriado"&amp;IF(AH111=1," (laborable)"," (no laborable)"),IF(AH111=1,"Laborable",IF(WEEKDAY(B111,2)&gt;5,"Fin de semana","No laborable"))))</f>
        <v/>
      </c>
      <c r="R111" s="73" t="n"/>
      <c r="S111" s="72" t="n"/>
      <c r="T111" s="72" t="n"/>
      <c r="U111" s="74" t="n"/>
      <c r="V111" s="79" t="str">
        <f>IF(AND(D111="proMX",OR(R111="Submitted",R111="Recall Requested"),ISNUMBER(S111)),CFG_TODAY-INT(S111),"")</f>
        <v/>
      </c>
      <c r="W111" s="78" t="str">
        <f>IF(BD111=0,"",IF(BA111&gt;0,"⚠ Se superpone con un registro de la otra empresa",IF(D111="Malcolm",IF(COUNTA(R111,S111,T111)&gt;0,"Estado/fechas proMX se ignoran en Malcolm",""),IF(BF111="Cancelled","Cancelado: excluido de totales",IF(R111="","Sin estado: se trata como Draft",IF(BF111="Submitted",IF(ISNUMBER(V111),IF(V111&gt;CFG_MAXD,"⚠ "&amp;V111&amp;" días en Submitted (máx. "&amp;CFG_MAXD&amp;")",""),"Falta fecha de envío"),IF(BF111="Returned","⚠ Devuelto: corregir y reenviar",IF(BF111="Recall Requested","Retirada solicitada: pendiente",IF(AND(BF111="Approved",NOT(ISNUMBER(T111))),"Falta fecha de aprobación",IF(AND(ISNUMBER(S111),ISNUMBER(T111),T111&lt;S111),"Aprobación anterior al envío","")))))))))</f>
        <v/>
      </c>
      <c r="Y111" s="80">
        <f>IF(COUNTA(B111,D111,E111,F111,G111,H111,I111,J111,R111,S111,T111)&gt;0,1,0)</f>
        <v>0</v>
      </c>
      <c r="Z111" s="80" t="str">
        <f>IF(AND(ISNUMBER(H111),H111&gt;=0,H111&lt;1),ROUND(H111*1440,0),"")</f>
        <v/>
      </c>
      <c r="AA111" s="80" t="str">
        <f>IF(AND(ISNUMBER(I111),I111&gt;=0,I111&lt;1),ROUND(I111*1440,0),"")</f>
        <v/>
      </c>
      <c r="AB111" s="80">
        <f>IF(AND(ISNUMBER(B111),D111&lt;&gt;"",ISNUMBER(Z111),ISNUMBER(AA111)),IF(Z111=AA111,0,1),0)</f>
        <v>0</v>
      </c>
      <c r="AC111" s="80">
        <f>IF(AB111=1,IF(AA111&lt;Z111,1,0),0)</f>
        <v>0</v>
      </c>
      <c r="AD111" s="80">
        <f>IF(AB111=1,IF(AC111=1,1440-Z111+AA111,AA111-Z111),0)</f>
        <v>0</v>
      </c>
      <c r="AE111" s="80">
        <f>IF(J111="",0,IF(ISNUMBER(J111),J111,-1))</f>
        <v>0</v>
      </c>
      <c r="AF111" s="80">
        <f>MIN(MAX(0,AE111),AD111)</f>
        <v>0</v>
      </c>
      <c r="AG111" s="80">
        <f>MAX(0,AD111-MAX(0,AE111))</f>
        <v>0</v>
      </c>
      <c r="AH111" s="80">
        <f>IF(ISNUMBER(B111),IF(AND(INDEX(CFG_WDAYS,WEEKDAY(INT(B111),2))="Sí",IF(D111="proMX",COUNTIFS(FER_F,INT(B111),FER_NLP,"Sí"),COUNTIFS(FER_F,INT(B111),FER_NLM,"Sí"))=0),1,0),0)</f>
        <v>0</v>
      </c>
      <c r="AI111" s="80">
        <f>IF(AC111=1,IF(AND(INDEX(CFG_WDAYS,WEEKDAY(INT(B111)+1,2))="Sí",IF(D111="proMX",COUNTIFS(FER_F,INT(B111)+1,FER_NLP,"Sí"),COUNTIFS(FER_F,INT(B111)+1,FER_NLM,"Sí"))=0),1,0),0)</f>
        <v>0</v>
      </c>
      <c r="AJ111" s="80">
        <f>IF(AC111=1,1440-Z111,AD111)</f>
        <v>0</v>
      </c>
      <c r="AK111" s="80">
        <f>IF(AND(AB111=1,AH111=1),MAX(0,MIN(IF(AC111=1,1440,AA111),CFG_WEM)-MAX(Z111,CFG_WSM)),0)</f>
        <v>0</v>
      </c>
      <c r="AL111" s="80">
        <f>IF(AND(AC111=1,AI111=1),MAX(0,MIN(AA111,CFG_WEM)-CFG_WSM),0)</f>
        <v>0</v>
      </c>
      <c r="AM111" s="80">
        <f>AK111+AL111</f>
        <v>0</v>
      </c>
      <c r="AN111" s="80">
        <f>IF(CFG_BRK="Proporcional",IF(AD111=0,0,AF111*AM111/AD111),IF(CFG_BRK="Extras primero",MIN(AM111,MAX(0,AF111-(AD111-AM111))),MIN(AF111,AM111)))</f>
        <v>0</v>
      </c>
      <c r="AO111" s="80">
        <f>AF111-AN111</f>
        <v>0</v>
      </c>
      <c r="AP111" s="80">
        <f>AM111-AN111</f>
        <v>0</v>
      </c>
      <c r="AQ111" s="80">
        <f>AD111-AM111-AO111</f>
        <v>0</v>
      </c>
      <c r="AR111" s="80">
        <f>IF(AM111=0,0,AK111-AN111*AK111/AM111)</f>
        <v>0</v>
      </c>
      <c r="AS111" s="80">
        <f>IF(AD111-AM111=0,0,(AJ111-AK111)-AO111*(AJ111-AK111)/(AD111-AM111))</f>
        <v>0</v>
      </c>
      <c r="AT111" s="80" t="str">
        <f>IF(AC111=1,INT(B111)+1,"")</f>
        <v/>
      </c>
      <c r="AU111" s="80">
        <f>IF(AND(D111="proMX",R111="Cancelled"),0,1)</f>
        <v>1</v>
      </c>
      <c r="AV111" s="80">
        <f>IF(AND(AB111=1,AU111=1),IF(COUNTIFS($D$5:D110,D111,$B$5:B110,B111,$Z$5:Z110,Z111,$AA$5:AA110,AA111,$F$5:F110,F111&amp;"",$AU$5:AU110,1)&gt;0,1,0),0)</f>
        <v>0</v>
      </c>
      <c r="AW111" s="80" t="str">
        <f>IF(AB111=1,INT(B111)*1440+Z111,"")</f>
        <v/>
      </c>
      <c r="AX111" s="80" t="str">
        <f>IF(AB111=1,AW111+AD111,"")</f>
        <v/>
      </c>
      <c r="AY111" s="80">
        <f>IF(AND(AB111=1,AV111=0,AU111=1),1,0)</f>
        <v>0</v>
      </c>
      <c r="AZ111" s="80">
        <f>IF(AY111=1,COUNTIFS(R_Emp,D111,R_SAbs,"&lt;"&amp;AX111,R_EAbs,"&gt;"&amp;AW111,R_OKey,1)-1,0)</f>
        <v>0</v>
      </c>
      <c r="BA111" s="80">
        <f>IF(AY111=1,COUNTIFS(R_Emp,"&lt;&gt;"&amp;D111,R_SAbs,"&lt;"&amp;AX111,R_EAbs,"&gt;"&amp;AW111,R_OKey,1),0)</f>
        <v>0</v>
      </c>
      <c r="BB111" s="80">
        <f>IF(AND(AB111=1,D111="proMX"),IF(AND(MOD(Z111,CFG_BLK)=0,MOD(AA111,CFG_BLK)=0,MOD(AG111,CFG_BLK)=0,AG111&gt;0),1,0),1)</f>
        <v>1</v>
      </c>
      <c r="BC111" s="80" t="str">
        <f>IF(Y111=0,"",IF(NOT(ISNUMBER(B111)),"Falta fecha o fecha inválida",IF(D111="","Falta empresa",IF(AND(D111&lt;&gt;"Malcolm",D111&lt;&gt;"proMX"),"Empresa inválida",IF(OR(INT(B111)&lt;CFG_PSTART,INT(B111)&gt;CFG_PEND),"Fecha fuera del período",IF(OR(NOT(ISNUMBER(Z111)),NOT(ISNUMBER(AA111))),"Falta hora inicio/fin o formato inválido",IF(AB111=0,"Hora inicio = hora fin",IF(AE111&lt;0,"Descanso inválido",IF(AE111&gt;=AD111,"Descanso ≥ duración",IF(AV111=1,"Registro duplicado",IF(AZ111&gt;0,"Se superpone con otro registro "&amp;D111,IF(BB111=0,"inicio, fin y duración neta deben ser múltiplos de "&amp;CFG_BLK&amp;" min",""))))))))))))</f>
        <v/>
      </c>
      <c r="BD111" s="80">
        <f>IF(AND(Y111=1,BC111=""),1,0)</f>
        <v>0</v>
      </c>
      <c r="BE111" s="80">
        <f>IF(AND(BD111=1,AU111=1),1,0)</f>
        <v>0</v>
      </c>
      <c r="BF111" s="80" t="str">
        <f>IF(AND(D111="proMX",BD111=1),IF(R111="","Draft",R111),"")</f>
        <v/>
      </c>
      <c r="BG111" s="80">
        <f>IF(BD111=1,ROUND(AG111/60,6),0)</f>
        <v>0</v>
      </c>
      <c r="BH111" s="80">
        <f>IF(BE111=1,ROUND(AG111/60,6),0)</f>
        <v>0</v>
      </c>
      <c r="BI111" s="80">
        <f>IF(BE111=1,ROUND(AP111/60,6),0)</f>
        <v>0</v>
      </c>
      <c r="BJ111" s="80">
        <f>IF(BE111=1,ROUND(AQ111/60,6),0)</f>
        <v>0</v>
      </c>
      <c r="BK111" s="80">
        <f>IF(BE111=1,ROUND((AR111+AS111)/60,6),0)</f>
        <v>0</v>
      </c>
      <c r="BL111" s="80">
        <f>ROUND(BH111-BK111,6)</f>
        <v>0</v>
      </c>
      <c r="BM111" s="80">
        <f>IF(BE111=1,ROUND(AR111/60,6),0)</f>
        <v>0</v>
      </c>
      <c r="BN111" s="80">
        <f>ROUND(BI111-BM111,6)</f>
        <v>0</v>
      </c>
      <c r="BO111" s="80">
        <f>IF(BE111=1,ROUND(AS111/60,6),0)</f>
        <v>0</v>
      </c>
      <c r="BP111" s="80">
        <f>ROUND(BJ111-BO111,6)</f>
        <v>0</v>
      </c>
      <c r="BQ111" s="80">
        <f>IF(BE111=1,AW111,0)</f>
        <v>0</v>
      </c>
      <c r="BR111" s="80">
        <f>IF(BE111=1,AX111,0)</f>
        <v>0</v>
      </c>
      <c r="BS111" s="80">
        <f>IF(AND(BE111=1,D111="Malcolm",BA111&gt;0),MIN(BH111,SUMPRODUCT((R_Emp="proMX")*(R_EN&gt;0)*((R_EN-(R_EN&gt;BR111)*(R_EN-BR111))&gt;(R_SN+(R_SN&lt;BQ111)*(BQ111-R_SN)))*((R_EN-(R_EN&gt;BR111)*(R_EN-BR111))-(R_SN+(R_SN&lt;BQ111)*(BQ111-R_SN))))/60),0)</f>
        <v>0</v>
      </c>
      <c r="BT111" s="80">
        <f>IF(AND(BE111=1,D111="proMX"),ROUND(BI111*CFG_RATE+BJ111*CFG_OTRATE,6),0)</f>
        <v>0</v>
      </c>
      <c r="BU111" s="80">
        <f>IF(AND(BD111=1,D111="proMX"),ROUND(AG111/CFG_BLK,6),0)</f>
        <v>0</v>
      </c>
      <c r="BV111" s="80" t="str">
        <f>IF(BF111="Approved",IF(ISNUMBER(T111),INT(T111),INT(B111)),"")</f>
        <v/>
      </c>
      <c r="BW111" s="80">
        <f>IF(ISNUMBER(B111),IF(DB_MON="Todos",1,IF(AND(INT(B111)&gt;=DB_MS,INT(B111)&lt;=DB_ME),1,0)),0)</f>
        <v>0</v>
      </c>
      <c r="BX111" s="80">
        <f>IF(DB_PROJ="Todos",1,IF(E111&amp;""=DB_PROJ&amp;"",1,0))</f>
        <v>1</v>
      </c>
      <c r="BY111" s="80">
        <f>BW111*BX111</f>
        <v>0</v>
      </c>
      <c r="BZ111" s="80" t="str">
        <f>IF(Y111=1,F111&amp;IF(AND(F111&amp;""&lt;&gt;"",E111&amp;""&lt;&gt;"")," · ","")&amp;E111,"")</f>
        <v/>
      </c>
      <c r="CA111" s="80" t="str">
        <f>IF(AND(BD111=1,E111&amp;""&lt;&gt;""),IF(COUNTIFS($E$5:E110,E111,$BD$5:BD110,1)=0,MAX($CA$5:CA110)+1,""),"")</f>
        <v/>
      </c>
      <c r="CB111" s="80" t="str">
        <f>IF(AND(BE111=1,D111="Malcolm",E111&amp;""&lt;&gt;""),IF(COUNTIFS($D$5:D110,"Malcolm",$E$5:E110,E111,$BE$5:BE110,1)=0,MAX($CB$5:CB110)+1,""),"")</f>
        <v/>
      </c>
      <c r="CC111" s="80" t="str">
        <f>IF(AND(BD111=1,D111="proMX",E111&amp;""&lt;&gt;""),IF(COUNTIFS($D$5:D110,"proMX",$E$5:E110,E111,$BD$5:BD110,1)=0,MAX($CC$5:CC110)+1,""),"")</f>
        <v/>
      </c>
      <c r="CD111" s="80" t="str">
        <f>IF(AND(BE111=1,D111="Malcolm",F111&amp;""&lt;&gt;""),IF(COUNTIFS($D$5:D110,"Malcolm",$F$5:F110,F111,$BE$5:BE110,1)=0,MAX($CD$5:CD110)+1,""),"")</f>
        <v/>
      </c>
      <c r="CE111" s="80" t="str">
        <f>IF(AND(BD111=1,D111="proMX",F111&amp;""&lt;&gt;""),IF(COUNTIFS($D$5:D110,"proMX",$F$5:F110,F111,$BD$5:BD110,1)=0,MAX($CE$5:CE110)+1,""),"")</f>
        <v/>
      </c>
      <c r="CF111" s="80" t="str">
        <f>IF(AND(D111="proMX",BD111=1),IF(OR(BF111="Draft",BF111="Submitted",BF111="Returned",BF111="Recall Requested"),MAX($CF$5:CF110)+1,""),"")</f>
        <v/>
      </c>
      <c r="CG111" s="80">
        <f>IF(BD111=0,0,IF(D111="Malcolm",1,MATCH(BF111,{"Draft","Submitted","Approved","Returned","Recall Requested","Cancelled"},0)+1))</f>
        <v>0</v>
      </c>
      <c r="CH111" s="80">
        <f>IF(AND(BF111="Submitted",ISNUMBER(V111)),IF(V111&gt;CFG_MAXD,1,0),0)</f>
        <v>0</v>
      </c>
    </row>
    <row r="112">
      <c r="A112" s="71" t="str">
        <f>IF(Y112=1,ROW()-5,"")</f>
        <v/>
      </c>
      <c r="B112" s="72" t="n"/>
      <c r="C112" s="71" t="str">
        <f>IF(ISNUMBER(B112),CHOOSE(WEEKDAY(B112,2),"Lun","Mar","Mié","Jue","Vie","Sáb","Dom"),"")</f>
        <v/>
      </c>
      <c r="D112" s="73" t="n"/>
      <c r="E112" s="74" t="n"/>
      <c r="F112" s="74" t="n"/>
      <c r="G112" s="74" t="n"/>
      <c r="H112" s="75" t="n"/>
      <c r="I112" s="75" t="n"/>
      <c r="J112" s="76" t="n"/>
      <c r="K112" s="77" t="str">
        <f>IF(AB112=1,ROUND(AG112/60,4),"")</f>
        <v/>
      </c>
      <c r="L112" s="77" t="str">
        <f>IF(BD112=1,ROUND(AP112/60,4),"")</f>
        <v/>
      </c>
      <c r="M112" s="77" t="str">
        <f>IF(BD112=1,ROUND(AQ112/60,4),"")</f>
        <v/>
      </c>
      <c r="N112" s="71" t="str">
        <f>IF(AND(D112="proMX",AB112=1),ROUND(AG112/CFG_BLK,2),"")</f>
        <v/>
      </c>
      <c r="O112" s="77" t="str">
        <f>IF(D112="proMX",IF(BD112=1,ROUND(AG112/60,4),0),"")</f>
        <v/>
      </c>
      <c r="P112" s="78" t="str">
        <f>IF(Y112=0,"",IF(BD112=1,"OK",IF(D112="proMX","Revisar bloques: ","Revisar: ")&amp;BC112))</f>
        <v/>
      </c>
      <c r="Q112" s="78" t="str">
        <f>IF(NOT(ISNUMBER(B112)),"",IF(COUNTIFS(FER_F,INT(B112))&gt;0,"Feriado"&amp;IF(AH112=1," (laborable)"," (no laborable)"),IF(AH112=1,"Laborable",IF(WEEKDAY(B112,2)&gt;5,"Fin de semana","No laborable"))))</f>
        <v/>
      </c>
      <c r="R112" s="73" t="n"/>
      <c r="S112" s="72" t="n"/>
      <c r="T112" s="72" t="n"/>
      <c r="U112" s="74" t="n"/>
      <c r="V112" s="79" t="str">
        <f>IF(AND(D112="proMX",OR(R112="Submitted",R112="Recall Requested"),ISNUMBER(S112)),CFG_TODAY-INT(S112),"")</f>
        <v/>
      </c>
      <c r="W112" s="78" t="str">
        <f>IF(BD112=0,"",IF(BA112&gt;0,"⚠ Se superpone con un registro de la otra empresa",IF(D112="Malcolm",IF(COUNTA(R112,S112,T112)&gt;0,"Estado/fechas proMX se ignoran en Malcolm",""),IF(BF112="Cancelled","Cancelado: excluido de totales",IF(R112="","Sin estado: se trata como Draft",IF(BF112="Submitted",IF(ISNUMBER(V112),IF(V112&gt;CFG_MAXD,"⚠ "&amp;V112&amp;" días en Submitted (máx. "&amp;CFG_MAXD&amp;")",""),"Falta fecha de envío"),IF(BF112="Returned","⚠ Devuelto: corregir y reenviar",IF(BF112="Recall Requested","Retirada solicitada: pendiente",IF(AND(BF112="Approved",NOT(ISNUMBER(T112))),"Falta fecha de aprobación",IF(AND(ISNUMBER(S112),ISNUMBER(T112),T112&lt;S112),"Aprobación anterior al envío","")))))))))</f>
        <v/>
      </c>
      <c r="Y112" s="80">
        <f>IF(COUNTA(B112,D112,E112,F112,G112,H112,I112,J112,R112,S112,T112)&gt;0,1,0)</f>
        <v>0</v>
      </c>
      <c r="Z112" s="80" t="str">
        <f>IF(AND(ISNUMBER(H112),H112&gt;=0,H112&lt;1),ROUND(H112*1440,0),"")</f>
        <v/>
      </c>
      <c r="AA112" s="80" t="str">
        <f>IF(AND(ISNUMBER(I112),I112&gt;=0,I112&lt;1),ROUND(I112*1440,0),"")</f>
        <v/>
      </c>
      <c r="AB112" s="80">
        <f>IF(AND(ISNUMBER(B112),D112&lt;&gt;"",ISNUMBER(Z112),ISNUMBER(AA112)),IF(Z112=AA112,0,1),0)</f>
        <v>0</v>
      </c>
      <c r="AC112" s="80">
        <f>IF(AB112=1,IF(AA112&lt;Z112,1,0),0)</f>
        <v>0</v>
      </c>
      <c r="AD112" s="80">
        <f>IF(AB112=1,IF(AC112=1,1440-Z112+AA112,AA112-Z112),0)</f>
        <v>0</v>
      </c>
      <c r="AE112" s="80">
        <f>IF(J112="",0,IF(ISNUMBER(J112),J112,-1))</f>
        <v>0</v>
      </c>
      <c r="AF112" s="80">
        <f>MIN(MAX(0,AE112),AD112)</f>
        <v>0</v>
      </c>
      <c r="AG112" s="80">
        <f>MAX(0,AD112-MAX(0,AE112))</f>
        <v>0</v>
      </c>
      <c r="AH112" s="80">
        <f>IF(ISNUMBER(B112),IF(AND(INDEX(CFG_WDAYS,WEEKDAY(INT(B112),2))="Sí",IF(D112="proMX",COUNTIFS(FER_F,INT(B112),FER_NLP,"Sí"),COUNTIFS(FER_F,INT(B112),FER_NLM,"Sí"))=0),1,0),0)</f>
        <v>0</v>
      </c>
      <c r="AI112" s="80">
        <f>IF(AC112=1,IF(AND(INDEX(CFG_WDAYS,WEEKDAY(INT(B112)+1,2))="Sí",IF(D112="proMX",COUNTIFS(FER_F,INT(B112)+1,FER_NLP,"Sí"),COUNTIFS(FER_F,INT(B112)+1,FER_NLM,"Sí"))=0),1,0),0)</f>
        <v>0</v>
      </c>
      <c r="AJ112" s="80">
        <f>IF(AC112=1,1440-Z112,AD112)</f>
        <v>0</v>
      </c>
      <c r="AK112" s="80">
        <f>IF(AND(AB112=1,AH112=1),MAX(0,MIN(IF(AC112=1,1440,AA112),CFG_WEM)-MAX(Z112,CFG_WSM)),0)</f>
        <v>0</v>
      </c>
      <c r="AL112" s="80">
        <f>IF(AND(AC112=1,AI112=1),MAX(0,MIN(AA112,CFG_WEM)-CFG_WSM),0)</f>
        <v>0</v>
      </c>
      <c r="AM112" s="80">
        <f>AK112+AL112</f>
        <v>0</v>
      </c>
      <c r="AN112" s="80">
        <f>IF(CFG_BRK="Proporcional",IF(AD112=0,0,AF112*AM112/AD112),IF(CFG_BRK="Extras primero",MIN(AM112,MAX(0,AF112-(AD112-AM112))),MIN(AF112,AM112)))</f>
        <v>0</v>
      </c>
      <c r="AO112" s="80">
        <f>AF112-AN112</f>
        <v>0</v>
      </c>
      <c r="AP112" s="80">
        <f>AM112-AN112</f>
        <v>0</v>
      </c>
      <c r="AQ112" s="80">
        <f>AD112-AM112-AO112</f>
        <v>0</v>
      </c>
      <c r="AR112" s="80">
        <f>IF(AM112=0,0,AK112-AN112*AK112/AM112)</f>
        <v>0</v>
      </c>
      <c r="AS112" s="80">
        <f>IF(AD112-AM112=0,0,(AJ112-AK112)-AO112*(AJ112-AK112)/(AD112-AM112))</f>
        <v>0</v>
      </c>
      <c r="AT112" s="80" t="str">
        <f>IF(AC112=1,INT(B112)+1,"")</f>
        <v/>
      </c>
      <c r="AU112" s="80">
        <f>IF(AND(D112="proMX",R112="Cancelled"),0,1)</f>
        <v>1</v>
      </c>
      <c r="AV112" s="80">
        <f>IF(AND(AB112=1,AU112=1),IF(COUNTIFS($D$5:D111,D112,$B$5:B111,B112,$Z$5:Z111,Z112,$AA$5:AA111,AA112,$F$5:F111,F112&amp;"",$AU$5:AU111,1)&gt;0,1,0),0)</f>
        <v>0</v>
      </c>
      <c r="AW112" s="80" t="str">
        <f>IF(AB112=1,INT(B112)*1440+Z112,"")</f>
        <v/>
      </c>
      <c r="AX112" s="80" t="str">
        <f>IF(AB112=1,AW112+AD112,"")</f>
        <v/>
      </c>
      <c r="AY112" s="80">
        <f>IF(AND(AB112=1,AV112=0,AU112=1),1,0)</f>
        <v>0</v>
      </c>
      <c r="AZ112" s="80">
        <f>IF(AY112=1,COUNTIFS(R_Emp,D112,R_SAbs,"&lt;"&amp;AX112,R_EAbs,"&gt;"&amp;AW112,R_OKey,1)-1,0)</f>
        <v>0</v>
      </c>
      <c r="BA112" s="80">
        <f>IF(AY112=1,COUNTIFS(R_Emp,"&lt;&gt;"&amp;D112,R_SAbs,"&lt;"&amp;AX112,R_EAbs,"&gt;"&amp;AW112,R_OKey,1),0)</f>
        <v>0</v>
      </c>
      <c r="BB112" s="80">
        <f>IF(AND(AB112=1,D112="proMX"),IF(AND(MOD(Z112,CFG_BLK)=0,MOD(AA112,CFG_BLK)=0,MOD(AG112,CFG_BLK)=0,AG112&gt;0),1,0),1)</f>
        <v>1</v>
      </c>
      <c r="BC112" s="80" t="str">
        <f>IF(Y112=0,"",IF(NOT(ISNUMBER(B112)),"Falta fecha o fecha inválida",IF(D112="","Falta empresa",IF(AND(D112&lt;&gt;"Malcolm",D112&lt;&gt;"proMX"),"Empresa inválida",IF(OR(INT(B112)&lt;CFG_PSTART,INT(B112)&gt;CFG_PEND),"Fecha fuera del período",IF(OR(NOT(ISNUMBER(Z112)),NOT(ISNUMBER(AA112))),"Falta hora inicio/fin o formato inválido",IF(AB112=0,"Hora inicio = hora fin",IF(AE112&lt;0,"Descanso inválido",IF(AE112&gt;=AD112,"Descanso ≥ duración",IF(AV112=1,"Registro duplicado",IF(AZ112&gt;0,"Se superpone con otro registro "&amp;D112,IF(BB112=0,"inicio, fin y duración neta deben ser múltiplos de "&amp;CFG_BLK&amp;" min",""))))))))))))</f>
        <v/>
      </c>
      <c r="BD112" s="80">
        <f>IF(AND(Y112=1,BC112=""),1,0)</f>
        <v>0</v>
      </c>
      <c r="BE112" s="80">
        <f>IF(AND(BD112=1,AU112=1),1,0)</f>
        <v>0</v>
      </c>
      <c r="BF112" s="80" t="str">
        <f>IF(AND(D112="proMX",BD112=1),IF(R112="","Draft",R112),"")</f>
        <v/>
      </c>
      <c r="BG112" s="80">
        <f>IF(BD112=1,ROUND(AG112/60,6),0)</f>
        <v>0</v>
      </c>
      <c r="BH112" s="80">
        <f>IF(BE112=1,ROUND(AG112/60,6),0)</f>
        <v>0</v>
      </c>
      <c r="BI112" s="80">
        <f>IF(BE112=1,ROUND(AP112/60,6),0)</f>
        <v>0</v>
      </c>
      <c r="BJ112" s="80">
        <f>IF(BE112=1,ROUND(AQ112/60,6),0)</f>
        <v>0</v>
      </c>
      <c r="BK112" s="80">
        <f>IF(BE112=1,ROUND((AR112+AS112)/60,6),0)</f>
        <v>0</v>
      </c>
      <c r="BL112" s="80">
        <f>ROUND(BH112-BK112,6)</f>
        <v>0</v>
      </c>
      <c r="BM112" s="80">
        <f>IF(BE112=1,ROUND(AR112/60,6),0)</f>
        <v>0</v>
      </c>
      <c r="BN112" s="80">
        <f>ROUND(BI112-BM112,6)</f>
        <v>0</v>
      </c>
      <c r="BO112" s="80">
        <f>IF(BE112=1,ROUND(AS112/60,6),0)</f>
        <v>0</v>
      </c>
      <c r="BP112" s="80">
        <f>ROUND(BJ112-BO112,6)</f>
        <v>0</v>
      </c>
      <c r="BQ112" s="80">
        <f>IF(BE112=1,AW112,0)</f>
        <v>0</v>
      </c>
      <c r="BR112" s="80">
        <f>IF(BE112=1,AX112,0)</f>
        <v>0</v>
      </c>
      <c r="BS112" s="80">
        <f>IF(AND(BE112=1,D112="Malcolm",BA112&gt;0),MIN(BH112,SUMPRODUCT((R_Emp="proMX")*(R_EN&gt;0)*((R_EN-(R_EN&gt;BR112)*(R_EN-BR112))&gt;(R_SN+(R_SN&lt;BQ112)*(BQ112-R_SN)))*((R_EN-(R_EN&gt;BR112)*(R_EN-BR112))-(R_SN+(R_SN&lt;BQ112)*(BQ112-R_SN))))/60),0)</f>
        <v>0</v>
      </c>
      <c r="BT112" s="80">
        <f>IF(AND(BE112=1,D112="proMX"),ROUND(BI112*CFG_RATE+BJ112*CFG_OTRATE,6),0)</f>
        <v>0</v>
      </c>
      <c r="BU112" s="80">
        <f>IF(AND(BD112=1,D112="proMX"),ROUND(AG112/CFG_BLK,6),0)</f>
        <v>0</v>
      </c>
      <c r="BV112" s="80" t="str">
        <f>IF(BF112="Approved",IF(ISNUMBER(T112),INT(T112),INT(B112)),"")</f>
        <v/>
      </c>
      <c r="BW112" s="80">
        <f>IF(ISNUMBER(B112),IF(DB_MON="Todos",1,IF(AND(INT(B112)&gt;=DB_MS,INT(B112)&lt;=DB_ME),1,0)),0)</f>
        <v>0</v>
      </c>
      <c r="BX112" s="80">
        <f>IF(DB_PROJ="Todos",1,IF(E112&amp;""=DB_PROJ&amp;"",1,0))</f>
        <v>1</v>
      </c>
      <c r="BY112" s="80">
        <f>BW112*BX112</f>
        <v>0</v>
      </c>
      <c r="BZ112" s="80" t="str">
        <f>IF(Y112=1,F112&amp;IF(AND(F112&amp;""&lt;&gt;"",E112&amp;""&lt;&gt;"")," · ","")&amp;E112,"")</f>
        <v/>
      </c>
      <c r="CA112" s="80" t="str">
        <f>IF(AND(BD112=1,E112&amp;""&lt;&gt;""),IF(COUNTIFS($E$5:E111,E112,$BD$5:BD111,1)=0,MAX($CA$5:CA111)+1,""),"")</f>
        <v/>
      </c>
      <c r="CB112" s="80" t="str">
        <f>IF(AND(BE112=1,D112="Malcolm",E112&amp;""&lt;&gt;""),IF(COUNTIFS($D$5:D111,"Malcolm",$E$5:E111,E112,$BE$5:BE111,1)=0,MAX($CB$5:CB111)+1,""),"")</f>
        <v/>
      </c>
      <c r="CC112" s="80" t="str">
        <f>IF(AND(BD112=1,D112="proMX",E112&amp;""&lt;&gt;""),IF(COUNTIFS($D$5:D111,"proMX",$E$5:E111,E112,$BD$5:BD111,1)=0,MAX($CC$5:CC111)+1,""),"")</f>
        <v/>
      </c>
      <c r="CD112" s="80" t="str">
        <f>IF(AND(BE112=1,D112="Malcolm",F112&amp;""&lt;&gt;""),IF(COUNTIFS($D$5:D111,"Malcolm",$F$5:F111,F112,$BE$5:BE111,1)=0,MAX($CD$5:CD111)+1,""),"")</f>
        <v/>
      </c>
      <c r="CE112" s="80" t="str">
        <f>IF(AND(BD112=1,D112="proMX",F112&amp;""&lt;&gt;""),IF(COUNTIFS($D$5:D111,"proMX",$F$5:F111,F112,$BD$5:BD111,1)=0,MAX($CE$5:CE111)+1,""),"")</f>
        <v/>
      </c>
      <c r="CF112" s="80" t="str">
        <f>IF(AND(D112="proMX",BD112=1),IF(OR(BF112="Draft",BF112="Submitted",BF112="Returned",BF112="Recall Requested"),MAX($CF$5:CF111)+1,""),"")</f>
        <v/>
      </c>
      <c r="CG112" s="80">
        <f>IF(BD112=0,0,IF(D112="Malcolm",1,MATCH(BF112,{"Draft","Submitted","Approved","Returned","Recall Requested","Cancelled"},0)+1))</f>
        <v>0</v>
      </c>
      <c r="CH112" s="80">
        <f>IF(AND(BF112="Submitted",ISNUMBER(V112)),IF(V112&gt;CFG_MAXD,1,0),0)</f>
        <v>0</v>
      </c>
    </row>
    <row r="113">
      <c r="A113" s="71" t="str">
        <f>IF(Y113=1,ROW()-5,"")</f>
        <v/>
      </c>
      <c r="B113" s="72" t="n"/>
      <c r="C113" s="71" t="str">
        <f>IF(ISNUMBER(B113),CHOOSE(WEEKDAY(B113,2),"Lun","Mar","Mié","Jue","Vie","Sáb","Dom"),"")</f>
        <v/>
      </c>
      <c r="D113" s="73" t="n"/>
      <c r="E113" s="74" t="n"/>
      <c r="F113" s="74" t="n"/>
      <c r="G113" s="74" t="n"/>
      <c r="H113" s="75" t="n"/>
      <c r="I113" s="75" t="n"/>
      <c r="J113" s="76" t="n"/>
      <c r="K113" s="77" t="str">
        <f>IF(AB113=1,ROUND(AG113/60,4),"")</f>
        <v/>
      </c>
      <c r="L113" s="77" t="str">
        <f>IF(BD113=1,ROUND(AP113/60,4),"")</f>
        <v/>
      </c>
      <c r="M113" s="77" t="str">
        <f>IF(BD113=1,ROUND(AQ113/60,4),"")</f>
        <v/>
      </c>
      <c r="N113" s="71" t="str">
        <f>IF(AND(D113="proMX",AB113=1),ROUND(AG113/CFG_BLK,2),"")</f>
        <v/>
      </c>
      <c r="O113" s="77" t="str">
        <f>IF(D113="proMX",IF(BD113=1,ROUND(AG113/60,4),0),"")</f>
        <v/>
      </c>
      <c r="P113" s="78" t="str">
        <f>IF(Y113=0,"",IF(BD113=1,"OK",IF(D113="proMX","Revisar bloques: ","Revisar: ")&amp;BC113))</f>
        <v/>
      </c>
      <c r="Q113" s="78" t="str">
        <f>IF(NOT(ISNUMBER(B113)),"",IF(COUNTIFS(FER_F,INT(B113))&gt;0,"Feriado"&amp;IF(AH113=1," (laborable)"," (no laborable)"),IF(AH113=1,"Laborable",IF(WEEKDAY(B113,2)&gt;5,"Fin de semana","No laborable"))))</f>
        <v/>
      </c>
      <c r="R113" s="73" t="n"/>
      <c r="S113" s="72" t="n"/>
      <c r="T113" s="72" t="n"/>
      <c r="U113" s="74" t="n"/>
      <c r="V113" s="79" t="str">
        <f>IF(AND(D113="proMX",OR(R113="Submitted",R113="Recall Requested"),ISNUMBER(S113)),CFG_TODAY-INT(S113),"")</f>
        <v/>
      </c>
      <c r="W113" s="78" t="str">
        <f>IF(BD113=0,"",IF(BA113&gt;0,"⚠ Se superpone con un registro de la otra empresa",IF(D113="Malcolm",IF(COUNTA(R113,S113,T113)&gt;0,"Estado/fechas proMX se ignoran en Malcolm",""),IF(BF113="Cancelled","Cancelado: excluido de totales",IF(R113="","Sin estado: se trata como Draft",IF(BF113="Submitted",IF(ISNUMBER(V113),IF(V113&gt;CFG_MAXD,"⚠ "&amp;V113&amp;" días en Submitted (máx. "&amp;CFG_MAXD&amp;")",""),"Falta fecha de envío"),IF(BF113="Returned","⚠ Devuelto: corregir y reenviar",IF(BF113="Recall Requested","Retirada solicitada: pendiente",IF(AND(BF113="Approved",NOT(ISNUMBER(T113))),"Falta fecha de aprobación",IF(AND(ISNUMBER(S113),ISNUMBER(T113),T113&lt;S113),"Aprobación anterior al envío","")))))))))</f>
        <v/>
      </c>
      <c r="Y113" s="80">
        <f>IF(COUNTA(B113,D113,E113,F113,G113,H113,I113,J113,R113,S113,T113)&gt;0,1,0)</f>
        <v>0</v>
      </c>
      <c r="Z113" s="80" t="str">
        <f>IF(AND(ISNUMBER(H113),H113&gt;=0,H113&lt;1),ROUND(H113*1440,0),"")</f>
        <v/>
      </c>
      <c r="AA113" s="80" t="str">
        <f>IF(AND(ISNUMBER(I113),I113&gt;=0,I113&lt;1),ROUND(I113*1440,0),"")</f>
        <v/>
      </c>
      <c r="AB113" s="80">
        <f>IF(AND(ISNUMBER(B113),D113&lt;&gt;"",ISNUMBER(Z113),ISNUMBER(AA113)),IF(Z113=AA113,0,1),0)</f>
        <v>0</v>
      </c>
      <c r="AC113" s="80">
        <f>IF(AB113=1,IF(AA113&lt;Z113,1,0),0)</f>
        <v>0</v>
      </c>
      <c r="AD113" s="80">
        <f>IF(AB113=1,IF(AC113=1,1440-Z113+AA113,AA113-Z113),0)</f>
        <v>0</v>
      </c>
      <c r="AE113" s="80">
        <f>IF(J113="",0,IF(ISNUMBER(J113),J113,-1))</f>
        <v>0</v>
      </c>
      <c r="AF113" s="80">
        <f>MIN(MAX(0,AE113),AD113)</f>
        <v>0</v>
      </c>
      <c r="AG113" s="80">
        <f>MAX(0,AD113-MAX(0,AE113))</f>
        <v>0</v>
      </c>
      <c r="AH113" s="80">
        <f>IF(ISNUMBER(B113),IF(AND(INDEX(CFG_WDAYS,WEEKDAY(INT(B113),2))="Sí",IF(D113="proMX",COUNTIFS(FER_F,INT(B113),FER_NLP,"Sí"),COUNTIFS(FER_F,INT(B113),FER_NLM,"Sí"))=0),1,0),0)</f>
        <v>0</v>
      </c>
      <c r="AI113" s="80">
        <f>IF(AC113=1,IF(AND(INDEX(CFG_WDAYS,WEEKDAY(INT(B113)+1,2))="Sí",IF(D113="proMX",COUNTIFS(FER_F,INT(B113)+1,FER_NLP,"Sí"),COUNTIFS(FER_F,INT(B113)+1,FER_NLM,"Sí"))=0),1,0),0)</f>
        <v>0</v>
      </c>
      <c r="AJ113" s="80">
        <f>IF(AC113=1,1440-Z113,AD113)</f>
        <v>0</v>
      </c>
      <c r="AK113" s="80">
        <f>IF(AND(AB113=1,AH113=1),MAX(0,MIN(IF(AC113=1,1440,AA113),CFG_WEM)-MAX(Z113,CFG_WSM)),0)</f>
        <v>0</v>
      </c>
      <c r="AL113" s="80">
        <f>IF(AND(AC113=1,AI113=1),MAX(0,MIN(AA113,CFG_WEM)-CFG_WSM),0)</f>
        <v>0</v>
      </c>
      <c r="AM113" s="80">
        <f>AK113+AL113</f>
        <v>0</v>
      </c>
      <c r="AN113" s="80">
        <f>IF(CFG_BRK="Proporcional",IF(AD113=0,0,AF113*AM113/AD113),IF(CFG_BRK="Extras primero",MIN(AM113,MAX(0,AF113-(AD113-AM113))),MIN(AF113,AM113)))</f>
        <v>0</v>
      </c>
      <c r="AO113" s="80">
        <f>AF113-AN113</f>
        <v>0</v>
      </c>
      <c r="AP113" s="80">
        <f>AM113-AN113</f>
        <v>0</v>
      </c>
      <c r="AQ113" s="80">
        <f>AD113-AM113-AO113</f>
        <v>0</v>
      </c>
      <c r="AR113" s="80">
        <f>IF(AM113=0,0,AK113-AN113*AK113/AM113)</f>
        <v>0</v>
      </c>
      <c r="AS113" s="80">
        <f>IF(AD113-AM113=0,0,(AJ113-AK113)-AO113*(AJ113-AK113)/(AD113-AM113))</f>
        <v>0</v>
      </c>
      <c r="AT113" s="80" t="str">
        <f>IF(AC113=1,INT(B113)+1,"")</f>
        <v/>
      </c>
      <c r="AU113" s="80">
        <f>IF(AND(D113="proMX",R113="Cancelled"),0,1)</f>
        <v>1</v>
      </c>
      <c r="AV113" s="80">
        <f>IF(AND(AB113=1,AU113=1),IF(COUNTIFS($D$5:D112,D113,$B$5:B112,B113,$Z$5:Z112,Z113,$AA$5:AA112,AA113,$F$5:F112,F113&amp;"",$AU$5:AU112,1)&gt;0,1,0),0)</f>
        <v>0</v>
      </c>
      <c r="AW113" s="80" t="str">
        <f>IF(AB113=1,INT(B113)*1440+Z113,"")</f>
        <v/>
      </c>
      <c r="AX113" s="80" t="str">
        <f>IF(AB113=1,AW113+AD113,"")</f>
        <v/>
      </c>
      <c r="AY113" s="80">
        <f>IF(AND(AB113=1,AV113=0,AU113=1),1,0)</f>
        <v>0</v>
      </c>
      <c r="AZ113" s="80">
        <f>IF(AY113=1,COUNTIFS(R_Emp,D113,R_SAbs,"&lt;"&amp;AX113,R_EAbs,"&gt;"&amp;AW113,R_OKey,1)-1,0)</f>
        <v>0</v>
      </c>
      <c r="BA113" s="80">
        <f>IF(AY113=1,COUNTIFS(R_Emp,"&lt;&gt;"&amp;D113,R_SAbs,"&lt;"&amp;AX113,R_EAbs,"&gt;"&amp;AW113,R_OKey,1),0)</f>
        <v>0</v>
      </c>
      <c r="BB113" s="80">
        <f>IF(AND(AB113=1,D113="proMX"),IF(AND(MOD(Z113,CFG_BLK)=0,MOD(AA113,CFG_BLK)=0,MOD(AG113,CFG_BLK)=0,AG113&gt;0),1,0),1)</f>
        <v>1</v>
      </c>
      <c r="BC113" s="80" t="str">
        <f>IF(Y113=0,"",IF(NOT(ISNUMBER(B113)),"Falta fecha o fecha inválida",IF(D113="","Falta empresa",IF(AND(D113&lt;&gt;"Malcolm",D113&lt;&gt;"proMX"),"Empresa inválida",IF(OR(INT(B113)&lt;CFG_PSTART,INT(B113)&gt;CFG_PEND),"Fecha fuera del período",IF(OR(NOT(ISNUMBER(Z113)),NOT(ISNUMBER(AA113))),"Falta hora inicio/fin o formato inválido",IF(AB113=0,"Hora inicio = hora fin",IF(AE113&lt;0,"Descanso inválido",IF(AE113&gt;=AD113,"Descanso ≥ duración",IF(AV113=1,"Registro duplicado",IF(AZ113&gt;0,"Se superpone con otro registro "&amp;D113,IF(BB113=0,"inicio, fin y duración neta deben ser múltiplos de "&amp;CFG_BLK&amp;" min",""))))))))))))</f>
        <v/>
      </c>
      <c r="BD113" s="80">
        <f>IF(AND(Y113=1,BC113=""),1,0)</f>
        <v>0</v>
      </c>
      <c r="BE113" s="80">
        <f>IF(AND(BD113=1,AU113=1),1,0)</f>
        <v>0</v>
      </c>
      <c r="BF113" s="80" t="str">
        <f>IF(AND(D113="proMX",BD113=1),IF(R113="","Draft",R113),"")</f>
        <v/>
      </c>
      <c r="BG113" s="80">
        <f>IF(BD113=1,ROUND(AG113/60,6),0)</f>
        <v>0</v>
      </c>
      <c r="BH113" s="80">
        <f>IF(BE113=1,ROUND(AG113/60,6),0)</f>
        <v>0</v>
      </c>
      <c r="BI113" s="80">
        <f>IF(BE113=1,ROUND(AP113/60,6),0)</f>
        <v>0</v>
      </c>
      <c r="BJ113" s="80">
        <f>IF(BE113=1,ROUND(AQ113/60,6),0)</f>
        <v>0</v>
      </c>
      <c r="BK113" s="80">
        <f>IF(BE113=1,ROUND((AR113+AS113)/60,6),0)</f>
        <v>0</v>
      </c>
      <c r="BL113" s="80">
        <f>ROUND(BH113-BK113,6)</f>
        <v>0</v>
      </c>
      <c r="BM113" s="80">
        <f>IF(BE113=1,ROUND(AR113/60,6),0)</f>
        <v>0</v>
      </c>
      <c r="BN113" s="80">
        <f>ROUND(BI113-BM113,6)</f>
        <v>0</v>
      </c>
      <c r="BO113" s="80">
        <f>IF(BE113=1,ROUND(AS113/60,6),0)</f>
        <v>0</v>
      </c>
      <c r="BP113" s="80">
        <f>ROUND(BJ113-BO113,6)</f>
        <v>0</v>
      </c>
      <c r="BQ113" s="80">
        <f>IF(BE113=1,AW113,0)</f>
        <v>0</v>
      </c>
      <c r="BR113" s="80">
        <f>IF(BE113=1,AX113,0)</f>
        <v>0</v>
      </c>
      <c r="BS113" s="80">
        <f>IF(AND(BE113=1,D113="Malcolm",BA113&gt;0),MIN(BH113,SUMPRODUCT((R_Emp="proMX")*(R_EN&gt;0)*((R_EN-(R_EN&gt;BR113)*(R_EN-BR113))&gt;(R_SN+(R_SN&lt;BQ113)*(BQ113-R_SN)))*((R_EN-(R_EN&gt;BR113)*(R_EN-BR113))-(R_SN+(R_SN&lt;BQ113)*(BQ113-R_SN))))/60),0)</f>
        <v>0</v>
      </c>
      <c r="BT113" s="80">
        <f>IF(AND(BE113=1,D113="proMX"),ROUND(BI113*CFG_RATE+BJ113*CFG_OTRATE,6),0)</f>
        <v>0</v>
      </c>
      <c r="BU113" s="80">
        <f>IF(AND(BD113=1,D113="proMX"),ROUND(AG113/CFG_BLK,6),0)</f>
        <v>0</v>
      </c>
      <c r="BV113" s="80" t="str">
        <f>IF(BF113="Approved",IF(ISNUMBER(T113),INT(T113),INT(B113)),"")</f>
        <v/>
      </c>
      <c r="BW113" s="80">
        <f>IF(ISNUMBER(B113),IF(DB_MON="Todos",1,IF(AND(INT(B113)&gt;=DB_MS,INT(B113)&lt;=DB_ME),1,0)),0)</f>
        <v>0</v>
      </c>
      <c r="BX113" s="80">
        <f>IF(DB_PROJ="Todos",1,IF(E113&amp;""=DB_PROJ&amp;"",1,0))</f>
        <v>1</v>
      </c>
      <c r="BY113" s="80">
        <f>BW113*BX113</f>
        <v>0</v>
      </c>
      <c r="BZ113" s="80" t="str">
        <f>IF(Y113=1,F113&amp;IF(AND(F113&amp;""&lt;&gt;"",E113&amp;""&lt;&gt;"")," · ","")&amp;E113,"")</f>
        <v/>
      </c>
      <c r="CA113" s="80" t="str">
        <f>IF(AND(BD113=1,E113&amp;""&lt;&gt;""),IF(COUNTIFS($E$5:E112,E113,$BD$5:BD112,1)=0,MAX($CA$5:CA112)+1,""),"")</f>
        <v/>
      </c>
      <c r="CB113" s="80" t="str">
        <f>IF(AND(BE113=1,D113="Malcolm",E113&amp;""&lt;&gt;""),IF(COUNTIFS($D$5:D112,"Malcolm",$E$5:E112,E113,$BE$5:BE112,1)=0,MAX($CB$5:CB112)+1,""),"")</f>
        <v/>
      </c>
      <c r="CC113" s="80" t="str">
        <f>IF(AND(BD113=1,D113="proMX",E113&amp;""&lt;&gt;""),IF(COUNTIFS($D$5:D112,"proMX",$E$5:E112,E113,$BD$5:BD112,1)=0,MAX($CC$5:CC112)+1,""),"")</f>
        <v/>
      </c>
      <c r="CD113" s="80" t="str">
        <f>IF(AND(BE113=1,D113="Malcolm",F113&amp;""&lt;&gt;""),IF(COUNTIFS($D$5:D112,"Malcolm",$F$5:F112,F113,$BE$5:BE112,1)=0,MAX($CD$5:CD112)+1,""),"")</f>
        <v/>
      </c>
      <c r="CE113" s="80" t="str">
        <f>IF(AND(BD113=1,D113="proMX",F113&amp;""&lt;&gt;""),IF(COUNTIFS($D$5:D112,"proMX",$F$5:F112,F113,$BD$5:BD112,1)=0,MAX($CE$5:CE112)+1,""),"")</f>
        <v/>
      </c>
      <c r="CF113" s="80" t="str">
        <f>IF(AND(D113="proMX",BD113=1),IF(OR(BF113="Draft",BF113="Submitted",BF113="Returned",BF113="Recall Requested"),MAX($CF$5:CF112)+1,""),"")</f>
        <v/>
      </c>
      <c r="CG113" s="80">
        <f>IF(BD113=0,0,IF(D113="Malcolm",1,MATCH(BF113,{"Draft","Submitted","Approved","Returned","Recall Requested","Cancelled"},0)+1))</f>
        <v>0</v>
      </c>
      <c r="CH113" s="80">
        <f>IF(AND(BF113="Submitted",ISNUMBER(V113)),IF(V113&gt;CFG_MAXD,1,0),0)</f>
        <v>0</v>
      </c>
    </row>
    <row r="114">
      <c r="A114" s="71" t="str">
        <f>IF(Y114=1,ROW()-5,"")</f>
        <v/>
      </c>
      <c r="B114" s="72" t="n"/>
      <c r="C114" s="71" t="str">
        <f>IF(ISNUMBER(B114),CHOOSE(WEEKDAY(B114,2),"Lun","Mar","Mié","Jue","Vie","Sáb","Dom"),"")</f>
        <v/>
      </c>
      <c r="D114" s="73" t="n"/>
      <c r="E114" s="74" t="n"/>
      <c r="F114" s="74" t="n"/>
      <c r="G114" s="74" t="n"/>
      <c r="H114" s="75" t="n"/>
      <c r="I114" s="75" t="n"/>
      <c r="J114" s="76" t="n"/>
      <c r="K114" s="77" t="str">
        <f>IF(AB114=1,ROUND(AG114/60,4),"")</f>
        <v/>
      </c>
      <c r="L114" s="77" t="str">
        <f>IF(BD114=1,ROUND(AP114/60,4),"")</f>
        <v/>
      </c>
      <c r="M114" s="77" t="str">
        <f>IF(BD114=1,ROUND(AQ114/60,4),"")</f>
        <v/>
      </c>
      <c r="N114" s="71" t="str">
        <f>IF(AND(D114="proMX",AB114=1),ROUND(AG114/CFG_BLK,2),"")</f>
        <v/>
      </c>
      <c r="O114" s="77" t="str">
        <f>IF(D114="proMX",IF(BD114=1,ROUND(AG114/60,4),0),"")</f>
        <v/>
      </c>
      <c r="P114" s="78" t="str">
        <f>IF(Y114=0,"",IF(BD114=1,"OK",IF(D114="proMX","Revisar bloques: ","Revisar: ")&amp;BC114))</f>
        <v/>
      </c>
      <c r="Q114" s="78" t="str">
        <f>IF(NOT(ISNUMBER(B114)),"",IF(COUNTIFS(FER_F,INT(B114))&gt;0,"Feriado"&amp;IF(AH114=1," (laborable)"," (no laborable)"),IF(AH114=1,"Laborable",IF(WEEKDAY(B114,2)&gt;5,"Fin de semana","No laborable"))))</f>
        <v/>
      </c>
      <c r="R114" s="73" t="n"/>
      <c r="S114" s="72" t="n"/>
      <c r="T114" s="72" t="n"/>
      <c r="U114" s="74" t="n"/>
      <c r="V114" s="79" t="str">
        <f>IF(AND(D114="proMX",OR(R114="Submitted",R114="Recall Requested"),ISNUMBER(S114)),CFG_TODAY-INT(S114),"")</f>
        <v/>
      </c>
      <c r="W114" s="78" t="str">
        <f>IF(BD114=0,"",IF(BA114&gt;0,"⚠ Se superpone con un registro de la otra empresa",IF(D114="Malcolm",IF(COUNTA(R114,S114,T114)&gt;0,"Estado/fechas proMX se ignoran en Malcolm",""),IF(BF114="Cancelled","Cancelado: excluido de totales",IF(R114="","Sin estado: se trata como Draft",IF(BF114="Submitted",IF(ISNUMBER(V114),IF(V114&gt;CFG_MAXD,"⚠ "&amp;V114&amp;" días en Submitted (máx. "&amp;CFG_MAXD&amp;")",""),"Falta fecha de envío"),IF(BF114="Returned","⚠ Devuelto: corregir y reenviar",IF(BF114="Recall Requested","Retirada solicitada: pendiente",IF(AND(BF114="Approved",NOT(ISNUMBER(T114))),"Falta fecha de aprobación",IF(AND(ISNUMBER(S114),ISNUMBER(T114),T114&lt;S114),"Aprobación anterior al envío","")))))))))</f>
        <v/>
      </c>
      <c r="Y114" s="80">
        <f>IF(COUNTA(B114,D114,E114,F114,G114,H114,I114,J114,R114,S114,T114)&gt;0,1,0)</f>
        <v>0</v>
      </c>
      <c r="Z114" s="80" t="str">
        <f>IF(AND(ISNUMBER(H114),H114&gt;=0,H114&lt;1),ROUND(H114*1440,0),"")</f>
        <v/>
      </c>
      <c r="AA114" s="80" t="str">
        <f>IF(AND(ISNUMBER(I114),I114&gt;=0,I114&lt;1),ROUND(I114*1440,0),"")</f>
        <v/>
      </c>
      <c r="AB114" s="80">
        <f>IF(AND(ISNUMBER(B114),D114&lt;&gt;"",ISNUMBER(Z114),ISNUMBER(AA114)),IF(Z114=AA114,0,1),0)</f>
        <v>0</v>
      </c>
      <c r="AC114" s="80">
        <f>IF(AB114=1,IF(AA114&lt;Z114,1,0),0)</f>
        <v>0</v>
      </c>
      <c r="AD114" s="80">
        <f>IF(AB114=1,IF(AC114=1,1440-Z114+AA114,AA114-Z114),0)</f>
        <v>0</v>
      </c>
      <c r="AE114" s="80">
        <f>IF(J114="",0,IF(ISNUMBER(J114),J114,-1))</f>
        <v>0</v>
      </c>
      <c r="AF114" s="80">
        <f>MIN(MAX(0,AE114),AD114)</f>
        <v>0</v>
      </c>
      <c r="AG114" s="80">
        <f>MAX(0,AD114-MAX(0,AE114))</f>
        <v>0</v>
      </c>
      <c r="AH114" s="80">
        <f>IF(ISNUMBER(B114),IF(AND(INDEX(CFG_WDAYS,WEEKDAY(INT(B114),2))="Sí",IF(D114="proMX",COUNTIFS(FER_F,INT(B114),FER_NLP,"Sí"),COUNTIFS(FER_F,INT(B114),FER_NLM,"Sí"))=0),1,0),0)</f>
        <v>0</v>
      </c>
      <c r="AI114" s="80">
        <f>IF(AC114=1,IF(AND(INDEX(CFG_WDAYS,WEEKDAY(INT(B114)+1,2))="Sí",IF(D114="proMX",COUNTIFS(FER_F,INT(B114)+1,FER_NLP,"Sí"),COUNTIFS(FER_F,INT(B114)+1,FER_NLM,"Sí"))=0),1,0),0)</f>
        <v>0</v>
      </c>
      <c r="AJ114" s="80">
        <f>IF(AC114=1,1440-Z114,AD114)</f>
        <v>0</v>
      </c>
      <c r="AK114" s="80">
        <f>IF(AND(AB114=1,AH114=1),MAX(0,MIN(IF(AC114=1,1440,AA114),CFG_WEM)-MAX(Z114,CFG_WSM)),0)</f>
        <v>0</v>
      </c>
      <c r="AL114" s="80">
        <f>IF(AND(AC114=1,AI114=1),MAX(0,MIN(AA114,CFG_WEM)-CFG_WSM),0)</f>
        <v>0</v>
      </c>
      <c r="AM114" s="80">
        <f>AK114+AL114</f>
        <v>0</v>
      </c>
      <c r="AN114" s="80">
        <f>IF(CFG_BRK="Proporcional",IF(AD114=0,0,AF114*AM114/AD114),IF(CFG_BRK="Extras primero",MIN(AM114,MAX(0,AF114-(AD114-AM114))),MIN(AF114,AM114)))</f>
        <v>0</v>
      </c>
      <c r="AO114" s="80">
        <f>AF114-AN114</f>
        <v>0</v>
      </c>
      <c r="AP114" s="80">
        <f>AM114-AN114</f>
        <v>0</v>
      </c>
      <c r="AQ114" s="80">
        <f>AD114-AM114-AO114</f>
        <v>0</v>
      </c>
      <c r="AR114" s="80">
        <f>IF(AM114=0,0,AK114-AN114*AK114/AM114)</f>
        <v>0</v>
      </c>
      <c r="AS114" s="80">
        <f>IF(AD114-AM114=0,0,(AJ114-AK114)-AO114*(AJ114-AK114)/(AD114-AM114))</f>
        <v>0</v>
      </c>
      <c r="AT114" s="80" t="str">
        <f>IF(AC114=1,INT(B114)+1,"")</f>
        <v/>
      </c>
      <c r="AU114" s="80">
        <f>IF(AND(D114="proMX",R114="Cancelled"),0,1)</f>
        <v>1</v>
      </c>
      <c r="AV114" s="80">
        <f>IF(AND(AB114=1,AU114=1),IF(COUNTIFS($D$5:D113,D114,$B$5:B113,B114,$Z$5:Z113,Z114,$AA$5:AA113,AA114,$F$5:F113,F114&amp;"",$AU$5:AU113,1)&gt;0,1,0),0)</f>
        <v>0</v>
      </c>
      <c r="AW114" s="80" t="str">
        <f>IF(AB114=1,INT(B114)*1440+Z114,"")</f>
        <v/>
      </c>
      <c r="AX114" s="80" t="str">
        <f>IF(AB114=1,AW114+AD114,"")</f>
        <v/>
      </c>
      <c r="AY114" s="80">
        <f>IF(AND(AB114=1,AV114=0,AU114=1),1,0)</f>
        <v>0</v>
      </c>
      <c r="AZ114" s="80">
        <f>IF(AY114=1,COUNTIFS(R_Emp,D114,R_SAbs,"&lt;"&amp;AX114,R_EAbs,"&gt;"&amp;AW114,R_OKey,1)-1,0)</f>
        <v>0</v>
      </c>
      <c r="BA114" s="80">
        <f>IF(AY114=1,COUNTIFS(R_Emp,"&lt;&gt;"&amp;D114,R_SAbs,"&lt;"&amp;AX114,R_EAbs,"&gt;"&amp;AW114,R_OKey,1),0)</f>
        <v>0</v>
      </c>
      <c r="BB114" s="80">
        <f>IF(AND(AB114=1,D114="proMX"),IF(AND(MOD(Z114,CFG_BLK)=0,MOD(AA114,CFG_BLK)=0,MOD(AG114,CFG_BLK)=0,AG114&gt;0),1,0),1)</f>
        <v>1</v>
      </c>
      <c r="BC114" s="80" t="str">
        <f>IF(Y114=0,"",IF(NOT(ISNUMBER(B114)),"Falta fecha o fecha inválida",IF(D114="","Falta empresa",IF(AND(D114&lt;&gt;"Malcolm",D114&lt;&gt;"proMX"),"Empresa inválida",IF(OR(INT(B114)&lt;CFG_PSTART,INT(B114)&gt;CFG_PEND),"Fecha fuera del período",IF(OR(NOT(ISNUMBER(Z114)),NOT(ISNUMBER(AA114))),"Falta hora inicio/fin o formato inválido",IF(AB114=0,"Hora inicio = hora fin",IF(AE114&lt;0,"Descanso inválido",IF(AE114&gt;=AD114,"Descanso ≥ duración",IF(AV114=1,"Registro duplicado",IF(AZ114&gt;0,"Se superpone con otro registro "&amp;D114,IF(BB114=0,"inicio, fin y duración neta deben ser múltiplos de "&amp;CFG_BLK&amp;" min",""))))))))))))</f>
        <v/>
      </c>
      <c r="BD114" s="80">
        <f>IF(AND(Y114=1,BC114=""),1,0)</f>
        <v>0</v>
      </c>
      <c r="BE114" s="80">
        <f>IF(AND(BD114=1,AU114=1),1,0)</f>
        <v>0</v>
      </c>
      <c r="BF114" s="80" t="str">
        <f>IF(AND(D114="proMX",BD114=1),IF(R114="","Draft",R114),"")</f>
        <v/>
      </c>
      <c r="BG114" s="80">
        <f>IF(BD114=1,ROUND(AG114/60,6),0)</f>
        <v>0</v>
      </c>
      <c r="BH114" s="80">
        <f>IF(BE114=1,ROUND(AG114/60,6),0)</f>
        <v>0</v>
      </c>
      <c r="BI114" s="80">
        <f>IF(BE114=1,ROUND(AP114/60,6),0)</f>
        <v>0</v>
      </c>
      <c r="BJ114" s="80">
        <f>IF(BE114=1,ROUND(AQ114/60,6),0)</f>
        <v>0</v>
      </c>
      <c r="BK114" s="80">
        <f>IF(BE114=1,ROUND((AR114+AS114)/60,6),0)</f>
        <v>0</v>
      </c>
      <c r="BL114" s="80">
        <f>ROUND(BH114-BK114,6)</f>
        <v>0</v>
      </c>
      <c r="BM114" s="80">
        <f>IF(BE114=1,ROUND(AR114/60,6),0)</f>
        <v>0</v>
      </c>
      <c r="BN114" s="80">
        <f>ROUND(BI114-BM114,6)</f>
        <v>0</v>
      </c>
      <c r="BO114" s="80">
        <f>IF(BE114=1,ROUND(AS114/60,6),0)</f>
        <v>0</v>
      </c>
      <c r="BP114" s="80">
        <f>ROUND(BJ114-BO114,6)</f>
        <v>0</v>
      </c>
      <c r="BQ114" s="80">
        <f>IF(BE114=1,AW114,0)</f>
        <v>0</v>
      </c>
      <c r="BR114" s="80">
        <f>IF(BE114=1,AX114,0)</f>
        <v>0</v>
      </c>
      <c r="BS114" s="80">
        <f>IF(AND(BE114=1,D114="Malcolm",BA114&gt;0),MIN(BH114,SUMPRODUCT((R_Emp="proMX")*(R_EN&gt;0)*((R_EN-(R_EN&gt;BR114)*(R_EN-BR114))&gt;(R_SN+(R_SN&lt;BQ114)*(BQ114-R_SN)))*((R_EN-(R_EN&gt;BR114)*(R_EN-BR114))-(R_SN+(R_SN&lt;BQ114)*(BQ114-R_SN))))/60),0)</f>
        <v>0</v>
      </c>
      <c r="BT114" s="80">
        <f>IF(AND(BE114=1,D114="proMX"),ROUND(BI114*CFG_RATE+BJ114*CFG_OTRATE,6),0)</f>
        <v>0</v>
      </c>
      <c r="BU114" s="80">
        <f>IF(AND(BD114=1,D114="proMX"),ROUND(AG114/CFG_BLK,6),0)</f>
        <v>0</v>
      </c>
      <c r="BV114" s="80" t="str">
        <f>IF(BF114="Approved",IF(ISNUMBER(T114),INT(T114),INT(B114)),"")</f>
        <v/>
      </c>
      <c r="BW114" s="80">
        <f>IF(ISNUMBER(B114),IF(DB_MON="Todos",1,IF(AND(INT(B114)&gt;=DB_MS,INT(B114)&lt;=DB_ME),1,0)),0)</f>
        <v>0</v>
      </c>
      <c r="BX114" s="80">
        <f>IF(DB_PROJ="Todos",1,IF(E114&amp;""=DB_PROJ&amp;"",1,0))</f>
        <v>1</v>
      </c>
      <c r="BY114" s="80">
        <f>BW114*BX114</f>
        <v>0</v>
      </c>
      <c r="BZ114" s="80" t="str">
        <f>IF(Y114=1,F114&amp;IF(AND(F114&amp;""&lt;&gt;"",E114&amp;""&lt;&gt;"")," · ","")&amp;E114,"")</f>
        <v/>
      </c>
      <c r="CA114" s="80" t="str">
        <f>IF(AND(BD114=1,E114&amp;""&lt;&gt;""),IF(COUNTIFS($E$5:E113,E114,$BD$5:BD113,1)=0,MAX($CA$5:CA113)+1,""),"")</f>
        <v/>
      </c>
      <c r="CB114" s="80" t="str">
        <f>IF(AND(BE114=1,D114="Malcolm",E114&amp;""&lt;&gt;""),IF(COUNTIFS($D$5:D113,"Malcolm",$E$5:E113,E114,$BE$5:BE113,1)=0,MAX($CB$5:CB113)+1,""),"")</f>
        <v/>
      </c>
      <c r="CC114" s="80" t="str">
        <f>IF(AND(BD114=1,D114="proMX",E114&amp;""&lt;&gt;""),IF(COUNTIFS($D$5:D113,"proMX",$E$5:E113,E114,$BD$5:BD113,1)=0,MAX($CC$5:CC113)+1,""),"")</f>
        <v/>
      </c>
      <c r="CD114" s="80" t="str">
        <f>IF(AND(BE114=1,D114="Malcolm",F114&amp;""&lt;&gt;""),IF(COUNTIFS($D$5:D113,"Malcolm",$F$5:F113,F114,$BE$5:BE113,1)=0,MAX($CD$5:CD113)+1,""),"")</f>
        <v/>
      </c>
      <c r="CE114" s="80" t="str">
        <f>IF(AND(BD114=1,D114="proMX",F114&amp;""&lt;&gt;""),IF(COUNTIFS($D$5:D113,"proMX",$F$5:F113,F114,$BD$5:BD113,1)=0,MAX($CE$5:CE113)+1,""),"")</f>
        <v/>
      </c>
      <c r="CF114" s="80" t="str">
        <f>IF(AND(D114="proMX",BD114=1),IF(OR(BF114="Draft",BF114="Submitted",BF114="Returned",BF114="Recall Requested"),MAX($CF$5:CF113)+1,""),"")</f>
        <v/>
      </c>
      <c r="CG114" s="80">
        <f>IF(BD114=0,0,IF(D114="Malcolm",1,MATCH(BF114,{"Draft","Submitted","Approved","Returned","Recall Requested","Cancelled"},0)+1))</f>
        <v>0</v>
      </c>
      <c r="CH114" s="80">
        <f>IF(AND(BF114="Submitted",ISNUMBER(V114)),IF(V114&gt;CFG_MAXD,1,0),0)</f>
        <v>0</v>
      </c>
    </row>
    <row r="115">
      <c r="A115" s="71" t="str">
        <f>IF(Y115=1,ROW()-5,"")</f>
        <v/>
      </c>
      <c r="B115" s="72" t="n"/>
      <c r="C115" s="71" t="str">
        <f>IF(ISNUMBER(B115),CHOOSE(WEEKDAY(B115,2),"Lun","Mar","Mié","Jue","Vie","Sáb","Dom"),"")</f>
        <v/>
      </c>
      <c r="D115" s="73" t="n"/>
      <c r="E115" s="74" t="n"/>
      <c r="F115" s="74" t="n"/>
      <c r="G115" s="74" t="n"/>
      <c r="H115" s="75" t="n"/>
      <c r="I115" s="75" t="n"/>
      <c r="J115" s="76" t="n"/>
      <c r="K115" s="77" t="str">
        <f>IF(AB115=1,ROUND(AG115/60,4),"")</f>
        <v/>
      </c>
      <c r="L115" s="77" t="str">
        <f>IF(BD115=1,ROUND(AP115/60,4),"")</f>
        <v/>
      </c>
      <c r="M115" s="77" t="str">
        <f>IF(BD115=1,ROUND(AQ115/60,4),"")</f>
        <v/>
      </c>
      <c r="N115" s="71" t="str">
        <f>IF(AND(D115="proMX",AB115=1),ROUND(AG115/CFG_BLK,2),"")</f>
        <v/>
      </c>
      <c r="O115" s="77" t="str">
        <f>IF(D115="proMX",IF(BD115=1,ROUND(AG115/60,4),0),"")</f>
        <v/>
      </c>
      <c r="P115" s="78" t="str">
        <f>IF(Y115=0,"",IF(BD115=1,"OK",IF(D115="proMX","Revisar bloques: ","Revisar: ")&amp;BC115))</f>
        <v/>
      </c>
      <c r="Q115" s="78" t="str">
        <f>IF(NOT(ISNUMBER(B115)),"",IF(COUNTIFS(FER_F,INT(B115))&gt;0,"Feriado"&amp;IF(AH115=1," (laborable)"," (no laborable)"),IF(AH115=1,"Laborable",IF(WEEKDAY(B115,2)&gt;5,"Fin de semana","No laborable"))))</f>
        <v/>
      </c>
      <c r="R115" s="73" t="n"/>
      <c r="S115" s="72" t="n"/>
      <c r="T115" s="72" t="n"/>
      <c r="U115" s="74" t="n"/>
      <c r="V115" s="79" t="str">
        <f>IF(AND(D115="proMX",OR(R115="Submitted",R115="Recall Requested"),ISNUMBER(S115)),CFG_TODAY-INT(S115),"")</f>
        <v/>
      </c>
      <c r="W115" s="78" t="str">
        <f>IF(BD115=0,"",IF(BA115&gt;0,"⚠ Se superpone con un registro de la otra empresa",IF(D115="Malcolm",IF(COUNTA(R115,S115,T115)&gt;0,"Estado/fechas proMX se ignoran en Malcolm",""),IF(BF115="Cancelled","Cancelado: excluido de totales",IF(R115="","Sin estado: se trata como Draft",IF(BF115="Submitted",IF(ISNUMBER(V115),IF(V115&gt;CFG_MAXD,"⚠ "&amp;V115&amp;" días en Submitted (máx. "&amp;CFG_MAXD&amp;")",""),"Falta fecha de envío"),IF(BF115="Returned","⚠ Devuelto: corregir y reenviar",IF(BF115="Recall Requested","Retirada solicitada: pendiente",IF(AND(BF115="Approved",NOT(ISNUMBER(T115))),"Falta fecha de aprobación",IF(AND(ISNUMBER(S115),ISNUMBER(T115),T115&lt;S115),"Aprobación anterior al envío","")))))))))</f>
        <v/>
      </c>
      <c r="Y115" s="80">
        <f>IF(COUNTA(B115,D115,E115,F115,G115,H115,I115,J115,R115,S115,T115)&gt;0,1,0)</f>
        <v>0</v>
      </c>
      <c r="Z115" s="80" t="str">
        <f>IF(AND(ISNUMBER(H115),H115&gt;=0,H115&lt;1),ROUND(H115*1440,0),"")</f>
        <v/>
      </c>
      <c r="AA115" s="80" t="str">
        <f>IF(AND(ISNUMBER(I115),I115&gt;=0,I115&lt;1),ROUND(I115*1440,0),"")</f>
        <v/>
      </c>
      <c r="AB115" s="80">
        <f>IF(AND(ISNUMBER(B115),D115&lt;&gt;"",ISNUMBER(Z115),ISNUMBER(AA115)),IF(Z115=AA115,0,1),0)</f>
        <v>0</v>
      </c>
      <c r="AC115" s="80">
        <f>IF(AB115=1,IF(AA115&lt;Z115,1,0),0)</f>
        <v>0</v>
      </c>
      <c r="AD115" s="80">
        <f>IF(AB115=1,IF(AC115=1,1440-Z115+AA115,AA115-Z115),0)</f>
        <v>0</v>
      </c>
      <c r="AE115" s="80">
        <f>IF(J115="",0,IF(ISNUMBER(J115),J115,-1))</f>
        <v>0</v>
      </c>
      <c r="AF115" s="80">
        <f>MIN(MAX(0,AE115),AD115)</f>
        <v>0</v>
      </c>
      <c r="AG115" s="80">
        <f>MAX(0,AD115-MAX(0,AE115))</f>
        <v>0</v>
      </c>
      <c r="AH115" s="80">
        <f>IF(ISNUMBER(B115),IF(AND(INDEX(CFG_WDAYS,WEEKDAY(INT(B115),2))="Sí",IF(D115="proMX",COUNTIFS(FER_F,INT(B115),FER_NLP,"Sí"),COUNTIFS(FER_F,INT(B115),FER_NLM,"Sí"))=0),1,0),0)</f>
        <v>0</v>
      </c>
      <c r="AI115" s="80">
        <f>IF(AC115=1,IF(AND(INDEX(CFG_WDAYS,WEEKDAY(INT(B115)+1,2))="Sí",IF(D115="proMX",COUNTIFS(FER_F,INT(B115)+1,FER_NLP,"Sí"),COUNTIFS(FER_F,INT(B115)+1,FER_NLM,"Sí"))=0),1,0),0)</f>
        <v>0</v>
      </c>
      <c r="AJ115" s="80">
        <f>IF(AC115=1,1440-Z115,AD115)</f>
        <v>0</v>
      </c>
      <c r="AK115" s="80">
        <f>IF(AND(AB115=1,AH115=1),MAX(0,MIN(IF(AC115=1,1440,AA115),CFG_WEM)-MAX(Z115,CFG_WSM)),0)</f>
        <v>0</v>
      </c>
      <c r="AL115" s="80">
        <f>IF(AND(AC115=1,AI115=1),MAX(0,MIN(AA115,CFG_WEM)-CFG_WSM),0)</f>
        <v>0</v>
      </c>
      <c r="AM115" s="80">
        <f>AK115+AL115</f>
        <v>0</v>
      </c>
      <c r="AN115" s="80">
        <f>IF(CFG_BRK="Proporcional",IF(AD115=0,0,AF115*AM115/AD115),IF(CFG_BRK="Extras primero",MIN(AM115,MAX(0,AF115-(AD115-AM115))),MIN(AF115,AM115)))</f>
        <v>0</v>
      </c>
      <c r="AO115" s="80">
        <f>AF115-AN115</f>
        <v>0</v>
      </c>
      <c r="AP115" s="80">
        <f>AM115-AN115</f>
        <v>0</v>
      </c>
      <c r="AQ115" s="80">
        <f>AD115-AM115-AO115</f>
        <v>0</v>
      </c>
      <c r="AR115" s="80">
        <f>IF(AM115=0,0,AK115-AN115*AK115/AM115)</f>
        <v>0</v>
      </c>
      <c r="AS115" s="80">
        <f>IF(AD115-AM115=0,0,(AJ115-AK115)-AO115*(AJ115-AK115)/(AD115-AM115))</f>
        <v>0</v>
      </c>
      <c r="AT115" s="80" t="str">
        <f>IF(AC115=1,INT(B115)+1,"")</f>
        <v/>
      </c>
      <c r="AU115" s="80">
        <f>IF(AND(D115="proMX",R115="Cancelled"),0,1)</f>
        <v>1</v>
      </c>
      <c r="AV115" s="80">
        <f>IF(AND(AB115=1,AU115=1),IF(COUNTIFS($D$5:D114,D115,$B$5:B114,B115,$Z$5:Z114,Z115,$AA$5:AA114,AA115,$F$5:F114,F115&amp;"",$AU$5:AU114,1)&gt;0,1,0),0)</f>
        <v>0</v>
      </c>
      <c r="AW115" s="80" t="str">
        <f>IF(AB115=1,INT(B115)*1440+Z115,"")</f>
        <v/>
      </c>
      <c r="AX115" s="80" t="str">
        <f>IF(AB115=1,AW115+AD115,"")</f>
        <v/>
      </c>
      <c r="AY115" s="80">
        <f>IF(AND(AB115=1,AV115=0,AU115=1),1,0)</f>
        <v>0</v>
      </c>
      <c r="AZ115" s="80">
        <f>IF(AY115=1,COUNTIFS(R_Emp,D115,R_SAbs,"&lt;"&amp;AX115,R_EAbs,"&gt;"&amp;AW115,R_OKey,1)-1,0)</f>
        <v>0</v>
      </c>
      <c r="BA115" s="80">
        <f>IF(AY115=1,COUNTIFS(R_Emp,"&lt;&gt;"&amp;D115,R_SAbs,"&lt;"&amp;AX115,R_EAbs,"&gt;"&amp;AW115,R_OKey,1),0)</f>
        <v>0</v>
      </c>
      <c r="BB115" s="80">
        <f>IF(AND(AB115=1,D115="proMX"),IF(AND(MOD(Z115,CFG_BLK)=0,MOD(AA115,CFG_BLK)=0,MOD(AG115,CFG_BLK)=0,AG115&gt;0),1,0),1)</f>
        <v>1</v>
      </c>
      <c r="BC115" s="80" t="str">
        <f>IF(Y115=0,"",IF(NOT(ISNUMBER(B115)),"Falta fecha o fecha inválida",IF(D115="","Falta empresa",IF(AND(D115&lt;&gt;"Malcolm",D115&lt;&gt;"proMX"),"Empresa inválida",IF(OR(INT(B115)&lt;CFG_PSTART,INT(B115)&gt;CFG_PEND),"Fecha fuera del período",IF(OR(NOT(ISNUMBER(Z115)),NOT(ISNUMBER(AA115))),"Falta hora inicio/fin o formato inválido",IF(AB115=0,"Hora inicio = hora fin",IF(AE115&lt;0,"Descanso inválido",IF(AE115&gt;=AD115,"Descanso ≥ duración",IF(AV115=1,"Registro duplicado",IF(AZ115&gt;0,"Se superpone con otro registro "&amp;D115,IF(BB115=0,"inicio, fin y duración neta deben ser múltiplos de "&amp;CFG_BLK&amp;" min",""))))))))))))</f>
        <v/>
      </c>
      <c r="BD115" s="80">
        <f>IF(AND(Y115=1,BC115=""),1,0)</f>
        <v>0</v>
      </c>
      <c r="BE115" s="80">
        <f>IF(AND(BD115=1,AU115=1),1,0)</f>
        <v>0</v>
      </c>
      <c r="BF115" s="80" t="str">
        <f>IF(AND(D115="proMX",BD115=1),IF(R115="","Draft",R115),"")</f>
        <v/>
      </c>
      <c r="BG115" s="80">
        <f>IF(BD115=1,ROUND(AG115/60,6),0)</f>
        <v>0</v>
      </c>
      <c r="BH115" s="80">
        <f>IF(BE115=1,ROUND(AG115/60,6),0)</f>
        <v>0</v>
      </c>
      <c r="BI115" s="80">
        <f>IF(BE115=1,ROUND(AP115/60,6),0)</f>
        <v>0</v>
      </c>
      <c r="BJ115" s="80">
        <f>IF(BE115=1,ROUND(AQ115/60,6),0)</f>
        <v>0</v>
      </c>
      <c r="BK115" s="80">
        <f>IF(BE115=1,ROUND((AR115+AS115)/60,6),0)</f>
        <v>0</v>
      </c>
      <c r="BL115" s="80">
        <f>ROUND(BH115-BK115,6)</f>
        <v>0</v>
      </c>
      <c r="BM115" s="80">
        <f>IF(BE115=1,ROUND(AR115/60,6),0)</f>
        <v>0</v>
      </c>
      <c r="BN115" s="80">
        <f>ROUND(BI115-BM115,6)</f>
        <v>0</v>
      </c>
      <c r="BO115" s="80">
        <f>IF(BE115=1,ROUND(AS115/60,6),0)</f>
        <v>0</v>
      </c>
      <c r="BP115" s="80">
        <f>ROUND(BJ115-BO115,6)</f>
        <v>0</v>
      </c>
      <c r="BQ115" s="80">
        <f>IF(BE115=1,AW115,0)</f>
        <v>0</v>
      </c>
      <c r="BR115" s="80">
        <f>IF(BE115=1,AX115,0)</f>
        <v>0</v>
      </c>
      <c r="BS115" s="80">
        <f>IF(AND(BE115=1,D115="Malcolm",BA115&gt;0),MIN(BH115,SUMPRODUCT((R_Emp="proMX")*(R_EN&gt;0)*((R_EN-(R_EN&gt;BR115)*(R_EN-BR115))&gt;(R_SN+(R_SN&lt;BQ115)*(BQ115-R_SN)))*((R_EN-(R_EN&gt;BR115)*(R_EN-BR115))-(R_SN+(R_SN&lt;BQ115)*(BQ115-R_SN))))/60),0)</f>
        <v>0</v>
      </c>
      <c r="BT115" s="80">
        <f>IF(AND(BE115=1,D115="proMX"),ROUND(BI115*CFG_RATE+BJ115*CFG_OTRATE,6),0)</f>
        <v>0</v>
      </c>
      <c r="BU115" s="80">
        <f>IF(AND(BD115=1,D115="proMX"),ROUND(AG115/CFG_BLK,6),0)</f>
        <v>0</v>
      </c>
      <c r="BV115" s="80" t="str">
        <f>IF(BF115="Approved",IF(ISNUMBER(T115),INT(T115),INT(B115)),"")</f>
        <v/>
      </c>
      <c r="BW115" s="80">
        <f>IF(ISNUMBER(B115),IF(DB_MON="Todos",1,IF(AND(INT(B115)&gt;=DB_MS,INT(B115)&lt;=DB_ME),1,0)),0)</f>
        <v>0</v>
      </c>
      <c r="BX115" s="80">
        <f>IF(DB_PROJ="Todos",1,IF(E115&amp;""=DB_PROJ&amp;"",1,0))</f>
        <v>1</v>
      </c>
      <c r="BY115" s="80">
        <f>BW115*BX115</f>
        <v>0</v>
      </c>
      <c r="BZ115" s="80" t="str">
        <f>IF(Y115=1,F115&amp;IF(AND(F115&amp;""&lt;&gt;"",E115&amp;""&lt;&gt;"")," · ","")&amp;E115,"")</f>
        <v/>
      </c>
      <c r="CA115" s="80" t="str">
        <f>IF(AND(BD115=1,E115&amp;""&lt;&gt;""),IF(COUNTIFS($E$5:E114,E115,$BD$5:BD114,1)=0,MAX($CA$5:CA114)+1,""),"")</f>
        <v/>
      </c>
      <c r="CB115" s="80" t="str">
        <f>IF(AND(BE115=1,D115="Malcolm",E115&amp;""&lt;&gt;""),IF(COUNTIFS($D$5:D114,"Malcolm",$E$5:E114,E115,$BE$5:BE114,1)=0,MAX($CB$5:CB114)+1,""),"")</f>
        <v/>
      </c>
      <c r="CC115" s="80" t="str">
        <f>IF(AND(BD115=1,D115="proMX",E115&amp;""&lt;&gt;""),IF(COUNTIFS($D$5:D114,"proMX",$E$5:E114,E115,$BD$5:BD114,1)=0,MAX($CC$5:CC114)+1,""),"")</f>
        <v/>
      </c>
      <c r="CD115" s="80" t="str">
        <f>IF(AND(BE115=1,D115="Malcolm",F115&amp;""&lt;&gt;""),IF(COUNTIFS($D$5:D114,"Malcolm",$F$5:F114,F115,$BE$5:BE114,1)=0,MAX($CD$5:CD114)+1,""),"")</f>
        <v/>
      </c>
      <c r="CE115" s="80" t="str">
        <f>IF(AND(BD115=1,D115="proMX",F115&amp;""&lt;&gt;""),IF(COUNTIFS($D$5:D114,"proMX",$F$5:F114,F115,$BD$5:BD114,1)=0,MAX($CE$5:CE114)+1,""),"")</f>
        <v/>
      </c>
      <c r="CF115" s="80" t="str">
        <f>IF(AND(D115="proMX",BD115=1),IF(OR(BF115="Draft",BF115="Submitted",BF115="Returned",BF115="Recall Requested"),MAX($CF$5:CF114)+1,""),"")</f>
        <v/>
      </c>
      <c r="CG115" s="80">
        <f>IF(BD115=0,0,IF(D115="Malcolm",1,MATCH(BF115,{"Draft","Submitted","Approved","Returned","Recall Requested","Cancelled"},0)+1))</f>
        <v>0</v>
      </c>
      <c r="CH115" s="80">
        <f>IF(AND(BF115="Submitted",ISNUMBER(V115)),IF(V115&gt;CFG_MAXD,1,0),0)</f>
        <v>0</v>
      </c>
    </row>
    <row r="116">
      <c r="A116" s="71" t="str">
        <f>IF(Y116=1,ROW()-5,"")</f>
        <v/>
      </c>
      <c r="B116" s="72" t="n"/>
      <c r="C116" s="71" t="str">
        <f>IF(ISNUMBER(B116),CHOOSE(WEEKDAY(B116,2),"Lun","Mar","Mié","Jue","Vie","Sáb","Dom"),"")</f>
        <v/>
      </c>
      <c r="D116" s="73" t="n"/>
      <c r="E116" s="74" t="n"/>
      <c r="F116" s="74" t="n"/>
      <c r="G116" s="74" t="n"/>
      <c r="H116" s="75" t="n"/>
      <c r="I116" s="75" t="n"/>
      <c r="J116" s="76" t="n"/>
      <c r="K116" s="77" t="str">
        <f>IF(AB116=1,ROUND(AG116/60,4),"")</f>
        <v/>
      </c>
      <c r="L116" s="77" t="str">
        <f>IF(BD116=1,ROUND(AP116/60,4),"")</f>
        <v/>
      </c>
      <c r="M116" s="77" t="str">
        <f>IF(BD116=1,ROUND(AQ116/60,4),"")</f>
        <v/>
      </c>
      <c r="N116" s="71" t="str">
        <f>IF(AND(D116="proMX",AB116=1),ROUND(AG116/CFG_BLK,2),"")</f>
        <v/>
      </c>
      <c r="O116" s="77" t="str">
        <f>IF(D116="proMX",IF(BD116=1,ROUND(AG116/60,4),0),"")</f>
        <v/>
      </c>
      <c r="P116" s="78" t="str">
        <f>IF(Y116=0,"",IF(BD116=1,"OK",IF(D116="proMX","Revisar bloques: ","Revisar: ")&amp;BC116))</f>
        <v/>
      </c>
      <c r="Q116" s="78" t="str">
        <f>IF(NOT(ISNUMBER(B116)),"",IF(COUNTIFS(FER_F,INT(B116))&gt;0,"Feriado"&amp;IF(AH116=1," (laborable)"," (no laborable)"),IF(AH116=1,"Laborable",IF(WEEKDAY(B116,2)&gt;5,"Fin de semana","No laborable"))))</f>
        <v/>
      </c>
      <c r="R116" s="73" t="n"/>
      <c r="S116" s="72" t="n"/>
      <c r="T116" s="72" t="n"/>
      <c r="U116" s="74" t="n"/>
      <c r="V116" s="79" t="str">
        <f>IF(AND(D116="proMX",OR(R116="Submitted",R116="Recall Requested"),ISNUMBER(S116)),CFG_TODAY-INT(S116),"")</f>
        <v/>
      </c>
      <c r="W116" s="78" t="str">
        <f>IF(BD116=0,"",IF(BA116&gt;0,"⚠ Se superpone con un registro de la otra empresa",IF(D116="Malcolm",IF(COUNTA(R116,S116,T116)&gt;0,"Estado/fechas proMX se ignoran en Malcolm",""),IF(BF116="Cancelled","Cancelado: excluido de totales",IF(R116="","Sin estado: se trata como Draft",IF(BF116="Submitted",IF(ISNUMBER(V116),IF(V116&gt;CFG_MAXD,"⚠ "&amp;V116&amp;" días en Submitted (máx. "&amp;CFG_MAXD&amp;")",""),"Falta fecha de envío"),IF(BF116="Returned","⚠ Devuelto: corregir y reenviar",IF(BF116="Recall Requested","Retirada solicitada: pendiente",IF(AND(BF116="Approved",NOT(ISNUMBER(T116))),"Falta fecha de aprobación",IF(AND(ISNUMBER(S116),ISNUMBER(T116),T116&lt;S116),"Aprobación anterior al envío","")))))))))</f>
        <v/>
      </c>
      <c r="Y116" s="80">
        <f>IF(COUNTA(B116,D116,E116,F116,G116,H116,I116,J116,R116,S116,T116)&gt;0,1,0)</f>
        <v>0</v>
      </c>
      <c r="Z116" s="80" t="str">
        <f>IF(AND(ISNUMBER(H116),H116&gt;=0,H116&lt;1),ROUND(H116*1440,0),"")</f>
        <v/>
      </c>
      <c r="AA116" s="80" t="str">
        <f>IF(AND(ISNUMBER(I116),I116&gt;=0,I116&lt;1),ROUND(I116*1440,0),"")</f>
        <v/>
      </c>
      <c r="AB116" s="80">
        <f>IF(AND(ISNUMBER(B116),D116&lt;&gt;"",ISNUMBER(Z116),ISNUMBER(AA116)),IF(Z116=AA116,0,1),0)</f>
        <v>0</v>
      </c>
      <c r="AC116" s="80">
        <f>IF(AB116=1,IF(AA116&lt;Z116,1,0),0)</f>
        <v>0</v>
      </c>
      <c r="AD116" s="80">
        <f>IF(AB116=1,IF(AC116=1,1440-Z116+AA116,AA116-Z116),0)</f>
        <v>0</v>
      </c>
      <c r="AE116" s="80">
        <f>IF(J116="",0,IF(ISNUMBER(J116),J116,-1))</f>
        <v>0</v>
      </c>
      <c r="AF116" s="80">
        <f>MIN(MAX(0,AE116),AD116)</f>
        <v>0</v>
      </c>
      <c r="AG116" s="80">
        <f>MAX(0,AD116-MAX(0,AE116))</f>
        <v>0</v>
      </c>
      <c r="AH116" s="80">
        <f>IF(ISNUMBER(B116),IF(AND(INDEX(CFG_WDAYS,WEEKDAY(INT(B116),2))="Sí",IF(D116="proMX",COUNTIFS(FER_F,INT(B116),FER_NLP,"Sí"),COUNTIFS(FER_F,INT(B116),FER_NLM,"Sí"))=0),1,0),0)</f>
        <v>0</v>
      </c>
      <c r="AI116" s="80">
        <f>IF(AC116=1,IF(AND(INDEX(CFG_WDAYS,WEEKDAY(INT(B116)+1,2))="Sí",IF(D116="proMX",COUNTIFS(FER_F,INT(B116)+1,FER_NLP,"Sí"),COUNTIFS(FER_F,INT(B116)+1,FER_NLM,"Sí"))=0),1,0),0)</f>
        <v>0</v>
      </c>
      <c r="AJ116" s="80">
        <f>IF(AC116=1,1440-Z116,AD116)</f>
        <v>0</v>
      </c>
      <c r="AK116" s="80">
        <f>IF(AND(AB116=1,AH116=1),MAX(0,MIN(IF(AC116=1,1440,AA116),CFG_WEM)-MAX(Z116,CFG_WSM)),0)</f>
        <v>0</v>
      </c>
      <c r="AL116" s="80">
        <f>IF(AND(AC116=1,AI116=1),MAX(0,MIN(AA116,CFG_WEM)-CFG_WSM),0)</f>
        <v>0</v>
      </c>
      <c r="AM116" s="80">
        <f>AK116+AL116</f>
        <v>0</v>
      </c>
      <c r="AN116" s="80">
        <f>IF(CFG_BRK="Proporcional",IF(AD116=0,0,AF116*AM116/AD116),IF(CFG_BRK="Extras primero",MIN(AM116,MAX(0,AF116-(AD116-AM116))),MIN(AF116,AM116)))</f>
        <v>0</v>
      </c>
      <c r="AO116" s="80">
        <f>AF116-AN116</f>
        <v>0</v>
      </c>
      <c r="AP116" s="80">
        <f>AM116-AN116</f>
        <v>0</v>
      </c>
      <c r="AQ116" s="80">
        <f>AD116-AM116-AO116</f>
        <v>0</v>
      </c>
      <c r="AR116" s="80">
        <f>IF(AM116=0,0,AK116-AN116*AK116/AM116)</f>
        <v>0</v>
      </c>
      <c r="AS116" s="80">
        <f>IF(AD116-AM116=0,0,(AJ116-AK116)-AO116*(AJ116-AK116)/(AD116-AM116))</f>
        <v>0</v>
      </c>
      <c r="AT116" s="80" t="str">
        <f>IF(AC116=1,INT(B116)+1,"")</f>
        <v/>
      </c>
      <c r="AU116" s="80">
        <f>IF(AND(D116="proMX",R116="Cancelled"),0,1)</f>
        <v>1</v>
      </c>
      <c r="AV116" s="80">
        <f>IF(AND(AB116=1,AU116=1),IF(COUNTIFS($D$5:D115,D116,$B$5:B115,B116,$Z$5:Z115,Z116,$AA$5:AA115,AA116,$F$5:F115,F116&amp;"",$AU$5:AU115,1)&gt;0,1,0),0)</f>
        <v>0</v>
      </c>
      <c r="AW116" s="80" t="str">
        <f>IF(AB116=1,INT(B116)*1440+Z116,"")</f>
        <v/>
      </c>
      <c r="AX116" s="80" t="str">
        <f>IF(AB116=1,AW116+AD116,"")</f>
        <v/>
      </c>
      <c r="AY116" s="80">
        <f>IF(AND(AB116=1,AV116=0,AU116=1),1,0)</f>
        <v>0</v>
      </c>
      <c r="AZ116" s="80">
        <f>IF(AY116=1,COUNTIFS(R_Emp,D116,R_SAbs,"&lt;"&amp;AX116,R_EAbs,"&gt;"&amp;AW116,R_OKey,1)-1,0)</f>
        <v>0</v>
      </c>
      <c r="BA116" s="80">
        <f>IF(AY116=1,COUNTIFS(R_Emp,"&lt;&gt;"&amp;D116,R_SAbs,"&lt;"&amp;AX116,R_EAbs,"&gt;"&amp;AW116,R_OKey,1),0)</f>
        <v>0</v>
      </c>
      <c r="BB116" s="80">
        <f>IF(AND(AB116=1,D116="proMX"),IF(AND(MOD(Z116,CFG_BLK)=0,MOD(AA116,CFG_BLK)=0,MOD(AG116,CFG_BLK)=0,AG116&gt;0),1,0),1)</f>
        <v>1</v>
      </c>
      <c r="BC116" s="80" t="str">
        <f>IF(Y116=0,"",IF(NOT(ISNUMBER(B116)),"Falta fecha o fecha inválida",IF(D116="","Falta empresa",IF(AND(D116&lt;&gt;"Malcolm",D116&lt;&gt;"proMX"),"Empresa inválida",IF(OR(INT(B116)&lt;CFG_PSTART,INT(B116)&gt;CFG_PEND),"Fecha fuera del período",IF(OR(NOT(ISNUMBER(Z116)),NOT(ISNUMBER(AA116))),"Falta hora inicio/fin o formato inválido",IF(AB116=0,"Hora inicio = hora fin",IF(AE116&lt;0,"Descanso inválido",IF(AE116&gt;=AD116,"Descanso ≥ duración",IF(AV116=1,"Registro duplicado",IF(AZ116&gt;0,"Se superpone con otro registro "&amp;D116,IF(BB116=0,"inicio, fin y duración neta deben ser múltiplos de "&amp;CFG_BLK&amp;" min",""))))))))))))</f>
        <v/>
      </c>
      <c r="BD116" s="80">
        <f>IF(AND(Y116=1,BC116=""),1,0)</f>
        <v>0</v>
      </c>
      <c r="BE116" s="80">
        <f>IF(AND(BD116=1,AU116=1),1,0)</f>
        <v>0</v>
      </c>
      <c r="BF116" s="80" t="str">
        <f>IF(AND(D116="proMX",BD116=1),IF(R116="","Draft",R116),"")</f>
        <v/>
      </c>
      <c r="BG116" s="80">
        <f>IF(BD116=1,ROUND(AG116/60,6),0)</f>
        <v>0</v>
      </c>
      <c r="BH116" s="80">
        <f>IF(BE116=1,ROUND(AG116/60,6),0)</f>
        <v>0</v>
      </c>
      <c r="BI116" s="80">
        <f>IF(BE116=1,ROUND(AP116/60,6),0)</f>
        <v>0</v>
      </c>
      <c r="BJ116" s="80">
        <f>IF(BE116=1,ROUND(AQ116/60,6),0)</f>
        <v>0</v>
      </c>
      <c r="BK116" s="80">
        <f>IF(BE116=1,ROUND((AR116+AS116)/60,6),0)</f>
        <v>0</v>
      </c>
      <c r="BL116" s="80">
        <f>ROUND(BH116-BK116,6)</f>
        <v>0</v>
      </c>
      <c r="BM116" s="80">
        <f>IF(BE116=1,ROUND(AR116/60,6),0)</f>
        <v>0</v>
      </c>
      <c r="BN116" s="80">
        <f>ROUND(BI116-BM116,6)</f>
        <v>0</v>
      </c>
      <c r="BO116" s="80">
        <f>IF(BE116=1,ROUND(AS116/60,6),0)</f>
        <v>0</v>
      </c>
      <c r="BP116" s="80">
        <f>ROUND(BJ116-BO116,6)</f>
        <v>0</v>
      </c>
      <c r="BQ116" s="80">
        <f>IF(BE116=1,AW116,0)</f>
        <v>0</v>
      </c>
      <c r="BR116" s="80">
        <f>IF(BE116=1,AX116,0)</f>
        <v>0</v>
      </c>
      <c r="BS116" s="80">
        <f>IF(AND(BE116=1,D116="Malcolm",BA116&gt;0),MIN(BH116,SUMPRODUCT((R_Emp="proMX")*(R_EN&gt;0)*((R_EN-(R_EN&gt;BR116)*(R_EN-BR116))&gt;(R_SN+(R_SN&lt;BQ116)*(BQ116-R_SN)))*((R_EN-(R_EN&gt;BR116)*(R_EN-BR116))-(R_SN+(R_SN&lt;BQ116)*(BQ116-R_SN))))/60),0)</f>
        <v>0</v>
      </c>
      <c r="BT116" s="80">
        <f>IF(AND(BE116=1,D116="proMX"),ROUND(BI116*CFG_RATE+BJ116*CFG_OTRATE,6),0)</f>
        <v>0</v>
      </c>
      <c r="BU116" s="80">
        <f>IF(AND(BD116=1,D116="proMX"),ROUND(AG116/CFG_BLK,6),0)</f>
        <v>0</v>
      </c>
      <c r="BV116" s="80" t="str">
        <f>IF(BF116="Approved",IF(ISNUMBER(T116),INT(T116),INT(B116)),"")</f>
        <v/>
      </c>
      <c r="BW116" s="80">
        <f>IF(ISNUMBER(B116),IF(DB_MON="Todos",1,IF(AND(INT(B116)&gt;=DB_MS,INT(B116)&lt;=DB_ME),1,0)),0)</f>
        <v>0</v>
      </c>
      <c r="BX116" s="80">
        <f>IF(DB_PROJ="Todos",1,IF(E116&amp;""=DB_PROJ&amp;"",1,0))</f>
        <v>1</v>
      </c>
      <c r="BY116" s="80">
        <f>BW116*BX116</f>
        <v>0</v>
      </c>
      <c r="BZ116" s="80" t="str">
        <f>IF(Y116=1,F116&amp;IF(AND(F116&amp;""&lt;&gt;"",E116&amp;""&lt;&gt;"")," · ","")&amp;E116,"")</f>
        <v/>
      </c>
      <c r="CA116" s="80" t="str">
        <f>IF(AND(BD116=1,E116&amp;""&lt;&gt;""),IF(COUNTIFS($E$5:E115,E116,$BD$5:BD115,1)=0,MAX($CA$5:CA115)+1,""),"")</f>
        <v/>
      </c>
      <c r="CB116" s="80" t="str">
        <f>IF(AND(BE116=1,D116="Malcolm",E116&amp;""&lt;&gt;""),IF(COUNTIFS($D$5:D115,"Malcolm",$E$5:E115,E116,$BE$5:BE115,1)=0,MAX($CB$5:CB115)+1,""),"")</f>
        <v/>
      </c>
      <c r="CC116" s="80" t="str">
        <f>IF(AND(BD116=1,D116="proMX",E116&amp;""&lt;&gt;""),IF(COUNTIFS($D$5:D115,"proMX",$E$5:E115,E116,$BD$5:BD115,1)=0,MAX($CC$5:CC115)+1,""),"")</f>
        <v/>
      </c>
      <c r="CD116" s="80" t="str">
        <f>IF(AND(BE116=1,D116="Malcolm",F116&amp;""&lt;&gt;""),IF(COUNTIFS($D$5:D115,"Malcolm",$F$5:F115,F116,$BE$5:BE115,1)=0,MAX($CD$5:CD115)+1,""),"")</f>
        <v/>
      </c>
      <c r="CE116" s="80" t="str">
        <f>IF(AND(BD116=1,D116="proMX",F116&amp;""&lt;&gt;""),IF(COUNTIFS($D$5:D115,"proMX",$F$5:F115,F116,$BD$5:BD115,1)=0,MAX($CE$5:CE115)+1,""),"")</f>
        <v/>
      </c>
      <c r="CF116" s="80" t="str">
        <f>IF(AND(D116="proMX",BD116=1),IF(OR(BF116="Draft",BF116="Submitted",BF116="Returned",BF116="Recall Requested"),MAX($CF$5:CF115)+1,""),"")</f>
        <v/>
      </c>
      <c r="CG116" s="80">
        <f>IF(BD116=0,0,IF(D116="Malcolm",1,MATCH(BF116,{"Draft","Submitted","Approved","Returned","Recall Requested","Cancelled"},0)+1))</f>
        <v>0</v>
      </c>
      <c r="CH116" s="80">
        <f>IF(AND(BF116="Submitted",ISNUMBER(V116)),IF(V116&gt;CFG_MAXD,1,0),0)</f>
        <v>0</v>
      </c>
    </row>
    <row r="117">
      <c r="A117" s="71" t="str">
        <f>IF(Y117=1,ROW()-5,"")</f>
        <v/>
      </c>
      <c r="B117" s="72" t="n"/>
      <c r="C117" s="71" t="str">
        <f>IF(ISNUMBER(B117),CHOOSE(WEEKDAY(B117,2),"Lun","Mar","Mié","Jue","Vie","Sáb","Dom"),"")</f>
        <v/>
      </c>
      <c r="D117" s="73" t="n"/>
      <c r="E117" s="74" t="n"/>
      <c r="F117" s="74" t="n"/>
      <c r="G117" s="74" t="n"/>
      <c r="H117" s="75" t="n"/>
      <c r="I117" s="75" t="n"/>
      <c r="J117" s="76" t="n"/>
      <c r="K117" s="77" t="str">
        <f>IF(AB117=1,ROUND(AG117/60,4),"")</f>
        <v/>
      </c>
      <c r="L117" s="77" t="str">
        <f>IF(BD117=1,ROUND(AP117/60,4),"")</f>
        <v/>
      </c>
      <c r="M117" s="77" t="str">
        <f>IF(BD117=1,ROUND(AQ117/60,4),"")</f>
        <v/>
      </c>
      <c r="N117" s="71" t="str">
        <f>IF(AND(D117="proMX",AB117=1),ROUND(AG117/CFG_BLK,2),"")</f>
        <v/>
      </c>
      <c r="O117" s="77" t="str">
        <f>IF(D117="proMX",IF(BD117=1,ROUND(AG117/60,4),0),"")</f>
        <v/>
      </c>
      <c r="P117" s="78" t="str">
        <f>IF(Y117=0,"",IF(BD117=1,"OK",IF(D117="proMX","Revisar bloques: ","Revisar: ")&amp;BC117))</f>
        <v/>
      </c>
      <c r="Q117" s="78" t="str">
        <f>IF(NOT(ISNUMBER(B117)),"",IF(COUNTIFS(FER_F,INT(B117))&gt;0,"Feriado"&amp;IF(AH117=1," (laborable)"," (no laborable)"),IF(AH117=1,"Laborable",IF(WEEKDAY(B117,2)&gt;5,"Fin de semana","No laborable"))))</f>
        <v/>
      </c>
      <c r="R117" s="73" t="n"/>
      <c r="S117" s="72" t="n"/>
      <c r="T117" s="72" t="n"/>
      <c r="U117" s="74" t="n"/>
      <c r="V117" s="79" t="str">
        <f>IF(AND(D117="proMX",OR(R117="Submitted",R117="Recall Requested"),ISNUMBER(S117)),CFG_TODAY-INT(S117),"")</f>
        <v/>
      </c>
      <c r="W117" s="78" t="str">
        <f>IF(BD117=0,"",IF(BA117&gt;0,"⚠ Se superpone con un registro de la otra empresa",IF(D117="Malcolm",IF(COUNTA(R117,S117,T117)&gt;0,"Estado/fechas proMX se ignoran en Malcolm",""),IF(BF117="Cancelled","Cancelado: excluido de totales",IF(R117="","Sin estado: se trata como Draft",IF(BF117="Submitted",IF(ISNUMBER(V117),IF(V117&gt;CFG_MAXD,"⚠ "&amp;V117&amp;" días en Submitted (máx. "&amp;CFG_MAXD&amp;")",""),"Falta fecha de envío"),IF(BF117="Returned","⚠ Devuelto: corregir y reenviar",IF(BF117="Recall Requested","Retirada solicitada: pendiente",IF(AND(BF117="Approved",NOT(ISNUMBER(T117))),"Falta fecha de aprobación",IF(AND(ISNUMBER(S117),ISNUMBER(T117),T117&lt;S117),"Aprobación anterior al envío","")))))))))</f>
        <v/>
      </c>
      <c r="Y117" s="80">
        <f>IF(COUNTA(B117,D117,E117,F117,G117,H117,I117,J117,R117,S117,T117)&gt;0,1,0)</f>
        <v>0</v>
      </c>
      <c r="Z117" s="80" t="str">
        <f>IF(AND(ISNUMBER(H117),H117&gt;=0,H117&lt;1),ROUND(H117*1440,0),"")</f>
        <v/>
      </c>
      <c r="AA117" s="80" t="str">
        <f>IF(AND(ISNUMBER(I117),I117&gt;=0,I117&lt;1),ROUND(I117*1440,0),"")</f>
        <v/>
      </c>
      <c r="AB117" s="80">
        <f>IF(AND(ISNUMBER(B117),D117&lt;&gt;"",ISNUMBER(Z117),ISNUMBER(AA117)),IF(Z117=AA117,0,1),0)</f>
        <v>0</v>
      </c>
      <c r="AC117" s="80">
        <f>IF(AB117=1,IF(AA117&lt;Z117,1,0),0)</f>
        <v>0</v>
      </c>
      <c r="AD117" s="80">
        <f>IF(AB117=1,IF(AC117=1,1440-Z117+AA117,AA117-Z117),0)</f>
        <v>0</v>
      </c>
      <c r="AE117" s="80">
        <f>IF(J117="",0,IF(ISNUMBER(J117),J117,-1))</f>
        <v>0</v>
      </c>
      <c r="AF117" s="80">
        <f>MIN(MAX(0,AE117),AD117)</f>
        <v>0</v>
      </c>
      <c r="AG117" s="80">
        <f>MAX(0,AD117-MAX(0,AE117))</f>
        <v>0</v>
      </c>
      <c r="AH117" s="80">
        <f>IF(ISNUMBER(B117),IF(AND(INDEX(CFG_WDAYS,WEEKDAY(INT(B117),2))="Sí",IF(D117="proMX",COUNTIFS(FER_F,INT(B117),FER_NLP,"Sí"),COUNTIFS(FER_F,INT(B117),FER_NLM,"Sí"))=0),1,0),0)</f>
        <v>0</v>
      </c>
      <c r="AI117" s="80">
        <f>IF(AC117=1,IF(AND(INDEX(CFG_WDAYS,WEEKDAY(INT(B117)+1,2))="Sí",IF(D117="proMX",COUNTIFS(FER_F,INT(B117)+1,FER_NLP,"Sí"),COUNTIFS(FER_F,INT(B117)+1,FER_NLM,"Sí"))=0),1,0),0)</f>
        <v>0</v>
      </c>
      <c r="AJ117" s="80">
        <f>IF(AC117=1,1440-Z117,AD117)</f>
        <v>0</v>
      </c>
      <c r="AK117" s="80">
        <f>IF(AND(AB117=1,AH117=1),MAX(0,MIN(IF(AC117=1,1440,AA117),CFG_WEM)-MAX(Z117,CFG_WSM)),0)</f>
        <v>0</v>
      </c>
      <c r="AL117" s="80">
        <f>IF(AND(AC117=1,AI117=1),MAX(0,MIN(AA117,CFG_WEM)-CFG_WSM),0)</f>
        <v>0</v>
      </c>
      <c r="AM117" s="80">
        <f>AK117+AL117</f>
        <v>0</v>
      </c>
      <c r="AN117" s="80">
        <f>IF(CFG_BRK="Proporcional",IF(AD117=0,0,AF117*AM117/AD117),IF(CFG_BRK="Extras primero",MIN(AM117,MAX(0,AF117-(AD117-AM117))),MIN(AF117,AM117)))</f>
        <v>0</v>
      </c>
      <c r="AO117" s="80">
        <f>AF117-AN117</f>
        <v>0</v>
      </c>
      <c r="AP117" s="80">
        <f>AM117-AN117</f>
        <v>0</v>
      </c>
      <c r="AQ117" s="80">
        <f>AD117-AM117-AO117</f>
        <v>0</v>
      </c>
      <c r="AR117" s="80">
        <f>IF(AM117=0,0,AK117-AN117*AK117/AM117)</f>
        <v>0</v>
      </c>
      <c r="AS117" s="80">
        <f>IF(AD117-AM117=0,0,(AJ117-AK117)-AO117*(AJ117-AK117)/(AD117-AM117))</f>
        <v>0</v>
      </c>
      <c r="AT117" s="80" t="str">
        <f>IF(AC117=1,INT(B117)+1,"")</f>
        <v/>
      </c>
      <c r="AU117" s="80">
        <f>IF(AND(D117="proMX",R117="Cancelled"),0,1)</f>
        <v>1</v>
      </c>
      <c r="AV117" s="80">
        <f>IF(AND(AB117=1,AU117=1),IF(COUNTIFS($D$5:D116,D117,$B$5:B116,B117,$Z$5:Z116,Z117,$AA$5:AA116,AA117,$F$5:F116,F117&amp;"",$AU$5:AU116,1)&gt;0,1,0),0)</f>
        <v>0</v>
      </c>
      <c r="AW117" s="80" t="str">
        <f>IF(AB117=1,INT(B117)*1440+Z117,"")</f>
        <v/>
      </c>
      <c r="AX117" s="80" t="str">
        <f>IF(AB117=1,AW117+AD117,"")</f>
        <v/>
      </c>
      <c r="AY117" s="80">
        <f>IF(AND(AB117=1,AV117=0,AU117=1),1,0)</f>
        <v>0</v>
      </c>
      <c r="AZ117" s="80">
        <f>IF(AY117=1,COUNTIFS(R_Emp,D117,R_SAbs,"&lt;"&amp;AX117,R_EAbs,"&gt;"&amp;AW117,R_OKey,1)-1,0)</f>
        <v>0</v>
      </c>
      <c r="BA117" s="80">
        <f>IF(AY117=1,COUNTIFS(R_Emp,"&lt;&gt;"&amp;D117,R_SAbs,"&lt;"&amp;AX117,R_EAbs,"&gt;"&amp;AW117,R_OKey,1),0)</f>
        <v>0</v>
      </c>
      <c r="BB117" s="80">
        <f>IF(AND(AB117=1,D117="proMX"),IF(AND(MOD(Z117,CFG_BLK)=0,MOD(AA117,CFG_BLK)=0,MOD(AG117,CFG_BLK)=0,AG117&gt;0),1,0),1)</f>
        <v>1</v>
      </c>
      <c r="BC117" s="80" t="str">
        <f>IF(Y117=0,"",IF(NOT(ISNUMBER(B117)),"Falta fecha o fecha inválida",IF(D117="","Falta empresa",IF(AND(D117&lt;&gt;"Malcolm",D117&lt;&gt;"proMX"),"Empresa inválida",IF(OR(INT(B117)&lt;CFG_PSTART,INT(B117)&gt;CFG_PEND),"Fecha fuera del período",IF(OR(NOT(ISNUMBER(Z117)),NOT(ISNUMBER(AA117))),"Falta hora inicio/fin o formato inválido",IF(AB117=0,"Hora inicio = hora fin",IF(AE117&lt;0,"Descanso inválido",IF(AE117&gt;=AD117,"Descanso ≥ duración",IF(AV117=1,"Registro duplicado",IF(AZ117&gt;0,"Se superpone con otro registro "&amp;D117,IF(BB117=0,"inicio, fin y duración neta deben ser múltiplos de "&amp;CFG_BLK&amp;" min",""))))))))))))</f>
        <v/>
      </c>
      <c r="BD117" s="80">
        <f>IF(AND(Y117=1,BC117=""),1,0)</f>
        <v>0</v>
      </c>
      <c r="BE117" s="80">
        <f>IF(AND(BD117=1,AU117=1),1,0)</f>
        <v>0</v>
      </c>
      <c r="BF117" s="80" t="str">
        <f>IF(AND(D117="proMX",BD117=1),IF(R117="","Draft",R117),"")</f>
        <v/>
      </c>
      <c r="BG117" s="80">
        <f>IF(BD117=1,ROUND(AG117/60,6),0)</f>
        <v>0</v>
      </c>
      <c r="BH117" s="80">
        <f>IF(BE117=1,ROUND(AG117/60,6),0)</f>
        <v>0</v>
      </c>
      <c r="BI117" s="80">
        <f>IF(BE117=1,ROUND(AP117/60,6),0)</f>
        <v>0</v>
      </c>
      <c r="BJ117" s="80">
        <f>IF(BE117=1,ROUND(AQ117/60,6),0)</f>
        <v>0</v>
      </c>
      <c r="BK117" s="80">
        <f>IF(BE117=1,ROUND((AR117+AS117)/60,6),0)</f>
        <v>0</v>
      </c>
      <c r="BL117" s="80">
        <f>ROUND(BH117-BK117,6)</f>
        <v>0</v>
      </c>
      <c r="BM117" s="80">
        <f>IF(BE117=1,ROUND(AR117/60,6),0)</f>
        <v>0</v>
      </c>
      <c r="BN117" s="80">
        <f>ROUND(BI117-BM117,6)</f>
        <v>0</v>
      </c>
      <c r="BO117" s="80">
        <f>IF(BE117=1,ROUND(AS117/60,6),0)</f>
        <v>0</v>
      </c>
      <c r="BP117" s="80">
        <f>ROUND(BJ117-BO117,6)</f>
        <v>0</v>
      </c>
      <c r="BQ117" s="80">
        <f>IF(BE117=1,AW117,0)</f>
        <v>0</v>
      </c>
      <c r="BR117" s="80">
        <f>IF(BE117=1,AX117,0)</f>
        <v>0</v>
      </c>
      <c r="BS117" s="80">
        <f>IF(AND(BE117=1,D117="Malcolm",BA117&gt;0),MIN(BH117,SUMPRODUCT((R_Emp="proMX")*(R_EN&gt;0)*((R_EN-(R_EN&gt;BR117)*(R_EN-BR117))&gt;(R_SN+(R_SN&lt;BQ117)*(BQ117-R_SN)))*((R_EN-(R_EN&gt;BR117)*(R_EN-BR117))-(R_SN+(R_SN&lt;BQ117)*(BQ117-R_SN))))/60),0)</f>
        <v>0</v>
      </c>
      <c r="BT117" s="80">
        <f>IF(AND(BE117=1,D117="proMX"),ROUND(BI117*CFG_RATE+BJ117*CFG_OTRATE,6),0)</f>
        <v>0</v>
      </c>
      <c r="BU117" s="80">
        <f>IF(AND(BD117=1,D117="proMX"),ROUND(AG117/CFG_BLK,6),0)</f>
        <v>0</v>
      </c>
      <c r="BV117" s="80" t="str">
        <f>IF(BF117="Approved",IF(ISNUMBER(T117),INT(T117),INT(B117)),"")</f>
        <v/>
      </c>
      <c r="BW117" s="80">
        <f>IF(ISNUMBER(B117),IF(DB_MON="Todos",1,IF(AND(INT(B117)&gt;=DB_MS,INT(B117)&lt;=DB_ME),1,0)),0)</f>
        <v>0</v>
      </c>
      <c r="BX117" s="80">
        <f>IF(DB_PROJ="Todos",1,IF(E117&amp;""=DB_PROJ&amp;"",1,0))</f>
        <v>1</v>
      </c>
      <c r="BY117" s="80">
        <f>BW117*BX117</f>
        <v>0</v>
      </c>
      <c r="BZ117" s="80" t="str">
        <f>IF(Y117=1,F117&amp;IF(AND(F117&amp;""&lt;&gt;"",E117&amp;""&lt;&gt;"")," · ","")&amp;E117,"")</f>
        <v/>
      </c>
      <c r="CA117" s="80" t="str">
        <f>IF(AND(BD117=1,E117&amp;""&lt;&gt;""),IF(COUNTIFS($E$5:E116,E117,$BD$5:BD116,1)=0,MAX($CA$5:CA116)+1,""),"")</f>
        <v/>
      </c>
      <c r="CB117" s="80" t="str">
        <f>IF(AND(BE117=1,D117="Malcolm",E117&amp;""&lt;&gt;""),IF(COUNTIFS($D$5:D116,"Malcolm",$E$5:E116,E117,$BE$5:BE116,1)=0,MAX($CB$5:CB116)+1,""),"")</f>
        <v/>
      </c>
      <c r="CC117" s="80" t="str">
        <f>IF(AND(BD117=1,D117="proMX",E117&amp;""&lt;&gt;""),IF(COUNTIFS($D$5:D116,"proMX",$E$5:E116,E117,$BD$5:BD116,1)=0,MAX($CC$5:CC116)+1,""),"")</f>
        <v/>
      </c>
      <c r="CD117" s="80" t="str">
        <f>IF(AND(BE117=1,D117="Malcolm",F117&amp;""&lt;&gt;""),IF(COUNTIFS($D$5:D116,"Malcolm",$F$5:F116,F117,$BE$5:BE116,1)=0,MAX($CD$5:CD116)+1,""),"")</f>
        <v/>
      </c>
      <c r="CE117" s="80" t="str">
        <f>IF(AND(BD117=1,D117="proMX",F117&amp;""&lt;&gt;""),IF(COUNTIFS($D$5:D116,"proMX",$F$5:F116,F117,$BD$5:BD116,1)=0,MAX($CE$5:CE116)+1,""),"")</f>
        <v/>
      </c>
      <c r="CF117" s="80" t="str">
        <f>IF(AND(D117="proMX",BD117=1),IF(OR(BF117="Draft",BF117="Submitted",BF117="Returned",BF117="Recall Requested"),MAX($CF$5:CF116)+1,""),"")</f>
        <v/>
      </c>
      <c r="CG117" s="80">
        <f>IF(BD117=0,0,IF(D117="Malcolm",1,MATCH(BF117,{"Draft","Submitted","Approved","Returned","Recall Requested","Cancelled"},0)+1))</f>
        <v>0</v>
      </c>
      <c r="CH117" s="80">
        <f>IF(AND(BF117="Submitted",ISNUMBER(V117)),IF(V117&gt;CFG_MAXD,1,0),0)</f>
        <v>0</v>
      </c>
    </row>
    <row r="118">
      <c r="A118" s="71" t="str">
        <f>IF(Y118=1,ROW()-5,"")</f>
        <v/>
      </c>
      <c r="B118" s="72" t="n"/>
      <c r="C118" s="71" t="str">
        <f>IF(ISNUMBER(B118),CHOOSE(WEEKDAY(B118,2),"Lun","Mar","Mié","Jue","Vie","Sáb","Dom"),"")</f>
        <v/>
      </c>
      <c r="D118" s="73" t="n"/>
      <c r="E118" s="74" t="n"/>
      <c r="F118" s="74" t="n"/>
      <c r="G118" s="74" t="n"/>
      <c r="H118" s="75" t="n"/>
      <c r="I118" s="75" t="n"/>
      <c r="J118" s="76" t="n"/>
      <c r="K118" s="77" t="str">
        <f>IF(AB118=1,ROUND(AG118/60,4),"")</f>
        <v/>
      </c>
      <c r="L118" s="77" t="str">
        <f>IF(BD118=1,ROUND(AP118/60,4),"")</f>
        <v/>
      </c>
      <c r="M118" s="77" t="str">
        <f>IF(BD118=1,ROUND(AQ118/60,4),"")</f>
        <v/>
      </c>
      <c r="N118" s="71" t="str">
        <f>IF(AND(D118="proMX",AB118=1),ROUND(AG118/CFG_BLK,2),"")</f>
        <v/>
      </c>
      <c r="O118" s="77" t="str">
        <f>IF(D118="proMX",IF(BD118=1,ROUND(AG118/60,4),0),"")</f>
        <v/>
      </c>
      <c r="P118" s="78" t="str">
        <f>IF(Y118=0,"",IF(BD118=1,"OK",IF(D118="proMX","Revisar bloques: ","Revisar: ")&amp;BC118))</f>
        <v/>
      </c>
      <c r="Q118" s="78" t="str">
        <f>IF(NOT(ISNUMBER(B118)),"",IF(COUNTIFS(FER_F,INT(B118))&gt;0,"Feriado"&amp;IF(AH118=1," (laborable)"," (no laborable)"),IF(AH118=1,"Laborable",IF(WEEKDAY(B118,2)&gt;5,"Fin de semana","No laborable"))))</f>
        <v/>
      </c>
      <c r="R118" s="73" t="n"/>
      <c r="S118" s="72" t="n"/>
      <c r="T118" s="72" t="n"/>
      <c r="U118" s="74" t="n"/>
      <c r="V118" s="79" t="str">
        <f>IF(AND(D118="proMX",OR(R118="Submitted",R118="Recall Requested"),ISNUMBER(S118)),CFG_TODAY-INT(S118),"")</f>
        <v/>
      </c>
      <c r="W118" s="78" t="str">
        <f>IF(BD118=0,"",IF(BA118&gt;0,"⚠ Se superpone con un registro de la otra empresa",IF(D118="Malcolm",IF(COUNTA(R118,S118,T118)&gt;0,"Estado/fechas proMX se ignoran en Malcolm",""),IF(BF118="Cancelled","Cancelado: excluido de totales",IF(R118="","Sin estado: se trata como Draft",IF(BF118="Submitted",IF(ISNUMBER(V118),IF(V118&gt;CFG_MAXD,"⚠ "&amp;V118&amp;" días en Submitted (máx. "&amp;CFG_MAXD&amp;")",""),"Falta fecha de envío"),IF(BF118="Returned","⚠ Devuelto: corregir y reenviar",IF(BF118="Recall Requested","Retirada solicitada: pendiente",IF(AND(BF118="Approved",NOT(ISNUMBER(T118))),"Falta fecha de aprobación",IF(AND(ISNUMBER(S118),ISNUMBER(T118),T118&lt;S118),"Aprobación anterior al envío","")))))))))</f>
        <v/>
      </c>
      <c r="Y118" s="80">
        <f>IF(COUNTA(B118,D118,E118,F118,G118,H118,I118,J118,R118,S118,T118)&gt;0,1,0)</f>
        <v>0</v>
      </c>
      <c r="Z118" s="80" t="str">
        <f>IF(AND(ISNUMBER(H118),H118&gt;=0,H118&lt;1),ROUND(H118*1440,0),"")</f>
        <v/>
      </c>
      <c r="AA118" s="80" t="str">
        <f>IF(AND(ISNUMBER(I118),I118&gt;=0,I118&lt;1),ROUND(I118*1440,0),"")</f>
        <v/>
      </c>
      <c r="AB118" s="80">
        <f>IF(AND(ISNUMBER(B118),D118&lt;&gt;"",ISNUMBER(Z118),ISNUMBER(AA118)),IF(Z118=AA118,0,1),0)</f>
        <v>0</v>
      </c>
      <c r="AC118" s="80">
        <f>IF(AB118=1,IF(AA118&lt;Z118,1,0),0)</f>
        <v>0</v>
      </c>
      <c r="AD118" s="80">
        <f>IF(AB118=1,IF(AC118=1,1440-Z118+AA118,AA118-Z118),0)</f>
        <v>0</v>
      </c>
      <c r="AE118" s="80">
        <f>IF(J118="",0,IF(ISNUMBER(J118),J118,-1))</f>
        <v>0</v>
      </c>
      <c r="AF118" s="80">
        <f>MIN(MAX(0,AE118),AD118)</f>
        <v>0</v>
      </c>
      <c r="AG118" s="80">
        <f>MAX(0,AD118-MAX(0,AE118))</f>
        <v>0</v>
      </c>
      <c r="AH118" s="80">
        <f>IF(ISNUMBER(B118),IF(AND(INDEX(CFG_WDAYS,WEEKDAY(INT(B118),2))="Sí",IF(D118="proMX",COUNTIFS(FER_F,INT(B118),FER_NLP,"Sí"),COUNTIFS(FER_F,INT(B118),FER_NLM,"Sí"))=0),1,0),0)</f>
        <v>0</v>
      </c>
      <c r="AI118" s="80">
        <f>IF(AC118=1,IF(AND(INDEX(CFG_WDAYS,WEEKDAY(INT(B118)+1,2))="Sí",IF(D118="proMX",COUNTIFS(FER_F,INT(B118)+1,FER_NLP,"Sí"),COUNTIFS(FER_F,INT(B118)+1,FER_NLM,"Sí"))=0),1,0),0)</f>
        <v>0</v>
      </c>
      <c r="AJ118" s="80">
        <f>IF(AC118=1,1440-Z118,AD118)</f>
        <v>0</v>
      </c>
      <c r="AK118" s="80">
        <f>IF(AND(AB118=1,AH118=1),MAX(0,MIN(IF(AC118=1,1440,AA118),CFG_WEM)-MAX(Z118,CFG_WSM)),0)</f>
        <v>0</v>
      </c>
      <c r="AL118" s="80">
        <f>IF(AND(AC118=1,AI118=1),MAX(0,MIN(AA118,CFG_WEM)-CFG_WSM),0)</f>
        <v>0</v>
      </c>
      <c r="AM118" s="80">
        <f>AK118+AL118</f>
        <v>0</v>
      </c>
      <c r="AN118" s="80">
        <f>IF(CFG_BRK="Proporcional",IF(AD118=0,0,AF118*AM118/AD118),IF(CFG_BRK="Extras primero",MIN(AM118,MAX(0,AF118-(AD118-AM118))),MIN(AF118,AM118)))</f>
        <v>0</v>
      </c>
      <c r="AO118" s="80">
        <f>AF118-AN118</f>
        <v>0</v>
      </c>
      <c r="AP118" s="80">
        <f>AM118-AN118</f>
        <v>0</v>
      </c>
      <c r="AQ118" s="80">
        <f>AD118-AM118-AO118</f>
        <v>0</v>
      </c>
      <c r="AR118" s="80">
        <f>IF(AM118=0,0,AK118-AN118*AK118/AM118)</f>
        <v>0</v>
      </c>
      <c r="AS118" s="80">
        <f>IF(AD118-AM118=0,0,(AJ118-AK118)-AO118*(AJ118-AK118)/(AD118-AM118))</f>
        <v>0</v>
      </c>
      <c r="AT118" s="80" t="str">
        <f>IF(AC118=1,INT(B118)+1,"")</f>
        <v/>
      </c>
      <c r="AU118" s="80">
        <f>IF(AND(D118="proMX",R118="Cancelled"),0,1)</f>
        <v>1</v>
      </c>
      <c r="AV118" s="80">
        <f>IF(AND(AB118=1,AU118=1),IF(COUNTIFS($D$5:D117,D118,$B$5:B117,B118,$Z$5:Z117,Z118,$AA$5:AA117,AA118,$F$5:F117,F118&amp;"",$AU$5:AU117,1)&gt;0,1,0),0)</f>
        <v>0</v>
      </c>
      <c r="AW118" s="80" t="str">
        <f>IF(AB118=1,INT(B118)*1440+Z118,"")</f>
        <v/>
      </c>
      <c r="AX118" s="80" t="str">
        <f>IF(AB118=1,AW118+AD118,"")</f>
        <v/>
      </c>
      <c r="AY118" s="80">
        <f>IF(AND(AB118=1,AV118=0,AU118=1),1,0)</f>
        <v>0</v>
      </c>
      <c r="AZ118" s="80">
        <f>IF(AY118=1,COUNTIFS(R_Emp,D118,R_SAbs,"&lt;"&amp;AX118,R_EAbs,"&gt;"&amp;AW118,R_OKey,1)-1,0)</f>
        <v>0</v>
      </c>
      <c r="BA118" s="80">
        <f>IF(AY118=1,COUNTIFS(R_Emp,"&lt;&gt;"&amp;D118,R_SAbs,"&lt;"&amp;AX118,R_EAbs,"&gt;"&amp;AW118,R_OKey,1),0)</f>
        <v>0</v>
      </c>
      <c r="BB118" s="80">
        <f>IF(AND(AB118=1,D118="proMX"),IF(AND(MOD(Z118,CFG_BLK)=0,MOD(AA118,CFG_BLK)=0,MOD(AG118,CFG_BLK)=0,AG118&gt;0),1,0),1)</f>
        <v>1</v>
      </c>
      <c r="BC118" s="80" t="str">
        <f>IF(Y118=0,"",IF(NOT(ISNUMBER(B118)),"Falta fecha o fecha inválida",IF(D118="","Falta empresa",IF(AND(D118&lt;&gt;"Malcolm",D118&lt;&gt;"proMX"),"Empresa inválida",IF(OR(INT(B118)&lt;CFG_PSTART,INT(B118)&gt;CFG_PEND),"Fecha fuera del período",IF(OR(NOT(ISNUMBER(Z118)),NOT(ISNUMBER(AA118))),"Falta hora inicio/fin o formato inválido",IF(AB118=0,"Hora inicio = hora fin",IF(AE118&lt;0,"Descanso inválido",IF(AE118&gt;=AD118,"Descanso ≥ duración",IF(AV118=1,"Registro duplicado",IF(AZ118&gt;0,"Se superpone con otro registro "&amp;D118,IF(BB118=0,"inicio, fin y duración neta deben ser múltiplos de "&amp;CFG_BLK&amp;" min",""))))))))))))</f>
        <v/>
      </c>
      <c r="BD118" s="80">
        <f>IF(AND(Y118=1,BC118=""),1,0)</f>
        <v>0</v>
      </c>
      <c r="BE118" s="80">
        <f>IF(AND(BD118=1,AU118=1),1,0)</f>
        <v>0</v>
      </c>
      <c r="BF118" s="80" t="str">
        <f>IF(AND(D118="proMX",BD118=1),IF(R118="","Draft",R118),"")</f>
        <v/>
      </c>
      <c r="BG118" s="80">
        <f>IF(BD118=1,ROUND(AG118/60,6),0)</f>
        <v>0</v>
      </c>
      <c r="BH118" s="80">
        <f>IF(BE118=1,ROUND(AG118/60,6),0)</f>
        <v>0</v>
      </c>
      <c r="BI118" s="80">
        <f>IF(BE118=1,ROUND(AP118/60,6),0)</f>
        <v>0</v>
      </c>
      <c r="BJ118" s="80">
        <f>IF(BE118=1,ROUND(AQ118/60,6),0)</f>
        <v>0</v>
      </c>
      <c r="BK118" s="80">
        <f>IF(BE118=1,ROUND((AR118+AS118)/60,6),0)</f>
        <v>0</v>
      </c>
      <c r="BL118" s="80">
        <f>ROUND(BH118-BK118,6)</f>
        <v>0</v>
      </c>
      <c r="BM118" s="80">
        <f>IF(BE118=1,ROUND(AR118/60,6),0)</f>
        <v>0</v>
      </c>
      <c r="BN118" s="80">
        <f>ROUND(BI118-BM118,6)</f>
        <v>0</v>
      </c>
      <c r="BO118" s="80">
        <f>IF(BE118=1,ROUND(AS118/60,6),0)</f>
        <v>0</v>
      </c>
      <c r="BP118" s="80">
        <f>ROUND(BJ118-BO118,6)</f>
        <v>0</v>
      </c>
      <c r="BQ118" s="80">
        <f>IF(BE118=1,AW118,0)</f>
        <v>0</v>
      </c>
      <c r="BR118" s="80">
        <f>IF(BE118=1,AX118,0)</f>
        <v>0</v>
      </c>
      <c r="BS118" s="80">
        <f>IF(AND(BE118=1,D118="Malcolm",BA118&gt;0),MIN(BH118,SUMPRODUCT((R_Emp="proMX")*(R_EN&gt;0)*((R_EN-(R_EN&gt;BR118)*(R_EN-BR118))&gt;(R_SN+(R_SN&lt;BQ118)*(BQ118-R_SN)))*((R_EN-(R_EN&gt;BR118)*(R_EN-BR118))-(R_SN+(R_SN&lt;BQ118)*(BQ118-R_SN))))/60),0)</f>
        <v>0</v>
      </c>
      <c r="BT118" s="80">
        <f>IF(AND(BE118=1,D118="proMX"),ROUND(BI118*CFG_RATE+BJ118*CFG_OTRATE,6),0)</f>
        <v>0</v>
      </c>
      <c r="BU118" s="80">
        <f>IF(AND(BD118=1,D118="proMX"),ROUND(AG118/CFG_BLK,6),0)</f>
        <v>0</v>
      </c>
      <c r="BV118" s="80" t="str">
        <f>IF(BF118="Approved",IF(ISNUMBER(T118),INT(T118),INT(B118)),"")</f>
        <v/>
      </c>
      <c r="BW118" s="80">
        <f>IF(ISNUMBER(B118),IF(DB_MON="Todos",1,IF(AND(INT(B118)&gt;=DB_MS,INT(B118)&lt;=DB_ME),1,0)),0)</f>
        <v>0</v>
      </c>
      <c r="BX118" s="80">
        <f>IF(DB_PROJ="Todos",1,IF(E118&amp;""=DB_PROJ&amp;"",1,0))</f>
        <v>1</v>
      </c>
      <c r="BY118" s="80">
        <f>BW118*BX118</f>
        <v>0</v>
      </c>
      <c r="BZ118" s="80" t="str">
        <f>IF(Y118=1,F118&amp;IF(AND(F118&amp;""&lt;&gt;"",E118&amp;""&lt;&gt;"")," · ","")&amp;E118,"")</f>
        <v/>
      </c>
      <c r="CA118" s="80" t="str">
        <f>IF(AND(BD118=1,E118&amp;""&lt;&gt;""),IF(COUNTIFS($E$5:E117,E118,$BD$5:BD117,1)=0,MAX($CA$5:CA117)+1,""),"")</f>
        <v/>
      </c>
      <c r="CB118" s="80" t="str">
        <f>IF(AND(BE118=1,D118="Malcolm",E118&amp;""&lt;&gt;""),IF(COUNTIFS($D$5:D117,"Malcolm",$E$5:E117,E118,$BE$5:BE117,1)=0,MAX($CB$5:CB117)+1,""),"")</f>
        <v/>
      </c>
      <c r="CC118" s="80" t="str">
        <f>IF(AND(BD118=1,D118="proMX",E118&amp;""&lt;&gt;""),IF(COUNTIFS($D$5:D117,"proMX",$E$5:E117,E118,$BD$5:BD117,1)=0,MAX($CC$5:CC117)+1,""),"")</f>
        <v/>
      </c>
      <c r="CD118" s="80" t="str">
        <f>IF(AND(BE118=1,D118="Malcolm",F118&amp;""&lt;&gt;""),IF(COUNTIFS($D$5:D117,"Malcolm",$F$5:F117,F118,$BE$5:BE117,1)=0,MAX($CD$5:CD117)+1,""),"")</f>
        <v/>
      </c>
      <c r="CE118" s="80" t="str">
        <f>IF(AND(BD118=1,D118="proMX",F118&amp;""&lt;&gt;""),IF(COUNTIFS($D$5:D117,"proMX",$F$5:F117,F118,$BD$5:BD117,1)=0,MAX($CE$5:CE117)+1,""),"")</f>
        <v/>
      </c>
      <c r="CF118" s="80" t="str">
        <f>IF(AND(D118="proMX",BD118=1),IF(OR(BF118="Draft",BF118="Submitted",BF118="Returned",BF118="Recall Requested"),MAX($CF$5:CF117)+1,""),"")</f>
        <v/>
      </c>
      <c r="CG118" s="80">
        <f>IF(BD118=0,0,IF(D118="Malcolm",1,MATCH(BF118,{"Draft","Submitted","Approved","Returned","Recall Requested","Cancelled"},0)+1))</f>
        <v>0</v>
      </c>
      <c r="CH118" s="80">
        <f>IF(AND(BF118="Submitted",ISNUMBER(V118)),IF(V118&gt;CFG_MAXD,1,0),0)</f>
        <v>0</v>
      </c>
    </row>
    <row r="119">
      <c r="A119" s="71" t="str">
        <f>IF(Y119=1,ROW()-5,"")</f>
        <v/>
      </c>
      <c r="B119" s="72" t="n"/>
      <c r="C119" s="71" t="str">
        <f>IF(ISNUMBER(B119),CHOOSE(WEEKDAY(B119,2),"Lun","Mar","Mié","Jue","Vie","Sáb","Dom"),"")</f>
        <v/>
      </c>
      <c r="D119" s="73" t="n"/>
      <c r="E119" s="74" t="n"/>
      <c r="F119" s="74" t="n"/>
      <c r="G119" s="74" t="n"/>
      <c r="H119" s="75" t="n"/>
      <c r="I119" s="75" t="n"/>
      <c r="J119" s="76" t="n"/>
      <c r="K119" s="77" t="str">
        <f>IF(AB119=1,ROUND(AG119/60,4),"")</f>
        <v/>
      </c>
      <c r="L119" s="77" t="str">
        <f>IF(BD119=1,ROUND(AP119/60,4),"")</f>
        <v/>
      </c>
      <c r="M119" s="77" t="str">
        <f>IF(BD119=1,ROUND(AQ119/60,4),"")</f>
        <v/>
      </c>
      <c r="N119" s="71" t="str">
        <f>IF(AND(D119="proMX",AB119=1),ROUND(AG119/CFG_BLK,2),"")</f>
        <v/>
      </c>
      <c r="O119" s="77" t="str">
        <f>IF(D119="proMX",IF(BD119=1,ROUND(AG119/60,4),0),"")</f>
        <v/>
      </c>
      <c r="P119" s="78" t="str">
        <f>IF(Y119=0,"",IF(BD119=1,"OK",IF(D119="proMX","Revisar bloques: ","Revisar: ")&amp;BC119))</f>
        <v/>
      </c>
      <c r="Q119" s="78" t="str">
        <f>IF(NOT(ISNUMBER(B119)),"",IF(COUNTIFS(FER_F,INT(B119))&gt;0,"Feriado"&amp;IF(AH119=1," (laborable)"," (no laborable)"),IF(AH119=1,"Laborable",IF(WEEKDAY(B119,2)&gt;5,"Fin de semana","No laborable"))))</f>
        <v/>
      </c>
      <c r="R119" s="73" t="n"/>
      <c r="S119" s="72" t="n"/>
      <c r="T119" s="72" t="n"/>
      <c r="U119" s="74" t="n"/>
      <c r="V119" s="79" t="str">
        <f>IF(AND(D119="proMX",OR(R119="Submitted",R119="Recall Requested"),ISNUMBER(S119)),CFG_TODAY-INT(S119),"")</f>
        <v/>
      </c>
      <c r="W119" s="78" t="str">
        <f>IF(BD119=0,"",IF(BA119&gt;0,"⚠ Se superpone con un registro de la otra empresa",IF(D119="Malcolm",IF(COUNTA(R119,S119,T119)&gt;0,"Estado/fechas proMX se ignoran en Malcolm",""),IF(BF119="Cancelled","Cancelado: excluido de totales",IF(R119="","Sin estado: se trata como Draft",IF(BF119="Submitted",IF(ISNUMBER(V119),IF(V119&gt;CFG_MAXD,"⚠ "&amp;V119&amp;" días en Submitted (máx. "&amp;CFG_MAXD&amp;")",""),"Falta fecha de envío"),IF(BF119="Returned","⚠ Devuelto: corregir y reenviar",IF(BF119="Recall Requested","Retirada solicitada: pendiente",IF(AND(BF119="Approved",NOT(ISNUMBER(T119))),"Falta fecha de aprobación",IF(AND(ISNUMBER(S119),ISNUMBER(T119),T119&lt;S119),"Aprobación anterior al envío","")))))))))</f>
        <v/>
      </c>
      <c r="Y119" s="80">
        <f>IF(COUNTA(B119,D119,E119,F119,G119,H119,I119,J119,R119,S119,T119)&gt;0,1,0)</f>
        <v>0</v>
      </c>
      <c r="Z119" s="80" t="str">
        <f>IF(AND(ISNUMBER(H119),H119&gt;=0,H119&lt;1),ROUND(H119*1440,0),"")</f>
        <v/>
      </c>
      <c r="AA119" s="80" t="str">
        <f>IF(AND(ISNUMBER(I119),I119&gt;=0,I119&lt;1),ROUND(I119*1440,0),"")</f>
        <v/>
      </c>
      <c r="AB119" s="80">
        <f>IF(AND(ISNUMBER(B119),D119&lt;&gt;"",ISNUMBER(Z119),ISNUMBER(AA119)),IF(Z119=AA119,0,1),0)</f>
        <v>0</v>
      </c>
      <c r="AC119" s="80">
        <f>IF(AB119=1,IF(AA119&lt;Z119,1,0),0)</f>
        <v>0</v>
      </c>
      <c r="AD119" s="80">
        <f>IF(AB119=1,IF(AC119=1,1440-Z119+AA119,AA119-Z119),0)</f>
        <v>0</v>
      </c>
      <c r="AE119" s="80">
        <f>IF(J119="",0,IF(ISNUMBER(J119),J119,-1))</f>
        <v>0</v>
      </c>
      <c r="AF119" s="80">
        <f>MIN(MAX(0,AE119),AD119)</f>
        <v>0</v>
      </c>
      <c r="AG119" s="80">
        <f>MAX(0,AD119-MAX(0,AE119))</f>
        <v>0</v>
      </c>
      <c r="AH119" s="80">
        <f>IF(ISNUMBER(B119),IF(AND(INDEX(CFG_WDAYS,WEEKDAY(INT(B119),2))="Sí",IF(D119="proMX",COUNTIFS(FER_F,INT(B119),FER_NLP,"Sí"),COUNTIFS(FER_F,INT(B119),FER_NLM,"Sí"))=0),1,0),0)</f>
        <v>0</v>
      </c>
      <c r="AI119" s="80">
        <f>IF(AC119=1,IF(AND(INDEX(CFG_WDAYS,WEEKDAY(INT(B119)+1,2))="Sí",IF(D119="proMX",COUNTIFS(FER_F,INT(B119)+1,FER_NLP,"Sí"),COUNTIFS(FER_F,INT(B119)+1,FER_NLM,"Sí"))=0),1,0),0)</f>
        <v>0</v>
      </c>
      <c r="AJ119" s="80">
        <f>IF(AC119=1,1440-Z119,AD119)</f>
        <v>0</v>
      </c>
      <c r="AK119" s="80">
        <f>IF(AND(AB119=1,AH119=1),MAX(0,MIN(IF(AC119=1,1440,AA119),CFG_WEM)-MAX(Z119,CFG_WSM)),0)</f>
        <v>0</v>
      </c>
      <c r="AL119" s="80">
        <f>IF(AND(AC119=1,AI119=1),MAX(0,MIN(AA119,CFG_WEM)-CFG_WSM),0)</f>
        <v>0</v>
      </c>
      <c r="AM119" s="80">
        <f>AK119+AL119</f>
        <v>0</v>
      </c>
      <c r="AN119" s="80">
        <f>IF(CFG_BRK="Proporcional",IF(AD119=0,0,AF119*AM119/AD119),IF(CFG_BRK="Extras primero",MIN(AM119,MAX(0,AF119-(AD119-AM119))),MIN(AF119,AM119)))</f>
        <v>0</v>
      </c>
      <c r="AO119" s="80">
        <f>AF119-AN119</f>
        <v>0</v>
      </c>
      <c r="AP119" s="80">
        <f>AM119-AN119</f>
        <v>0</v>
      </c>
      <c r="AQ119" s="80">
        <f>AD119-AM119-AO119</f>
        <v>0</v>
      </c>
      <c r="AR119" s="80">
        <f>IF(AM119=0,0,AK119-AN119*AK119/AM119)</f>
        <v>0</v>
      </c>
      <c r="AS119" s="80">
        <f>IF(AD119-AM119=0,0,(AJ119-AK119)-AO119*(AJ119-AK119)/(AD119-AM119))</f>
        <v>0</v>
      </c>
      <c r="AT119" s="80" t="str">
        <f>IF(AC119=1,INT(B119)+1,"")</f>
        <v/>
      </c>
      <c r="AU119" s="80">
        <f>IF(AND(D119="proMX",R119="Cancelled"),0,1)</f>
        <v>1</v>
      </c>
      <c r="AV119" s="80">
        <f>IF(AND(AB119=1,AU119=1),IF(COUNTIFS($D$5:D118,D119,$B$5:B118,B119,$Z$5:Z118,Z119,$AA$5:AA118,AA119,$F$5:F118,F119&amp;"",$AU$5:AU118,1)&gt;0,1,0),0)</f>
        <v>0</v>
      </c>
      <c r="AW119" s="80" t="str">
        <f>IF(AB119=1,INT(B119)*1440+Z119,"")</f>
        <v/>
      </c>
      <c r="AX119" s="80" t="str">
        <f>IF(AB119=1,AW119+AD119,"")</f>
        <v/>
      </c>
      <c r="AY119" s="80">
        <f>IF(AND(AB119=1,AV119=0,AU119=1),1,0)</f>
        <v>0</v>
      </c>
      <c r="AZ119" s="80">
        <f>IF(AY119=1,COUNTIFS(R_Emp,D119,R_SAbs,"&lt;"&amp;AX119,R_EAbs,"&gt;"&amp;AW119,R_OKey,1)-1,0)</f>
        <v>0</v>
      </c>
      <c r="BA119" s="80">
        <f>IF(AY119=1,COUNTIFS(R_Emp,"&lt;&gt;"&amp;D119,R_SAbs,"&lt;"&amp;AX119,R_EAbs,"&gt;"&amp;AW119,R_OKey,1),0)</f>
        <v>0</v>
      </c>
      <c r="BB119" s="80">
        <f>IF(AND(AB119=1,D119="proMX"),IF(AND(MOD(Z119,CFG_BLK)=0,MOD(AA119,CFG_BLK)=0,MOD(AG119,CFG_BLK)=0,AG119&gt;0),1,0),1)</f>
        <v>1</v>
      </c>
      <c r="BC119" s="80" t="str">
        <f>IF(Y119=0,"",IF(NOT(ISNUMBER(B119)),"Falta fecha o fecha inválida",IF(D119="","Falta empresa",IF(AND(D119&lt;&gt;"Malcolm",D119&lt;&gt;"proMX"),"Empresa inválida",IF(OR(INT(B119)&lt;CFG_PSTART,INT(B119)&gt;CFG_PEND),"Fecha fuera del período",IF(OR(NOT(ISNUMBER(Z119)),NOT(ISNUMBER(AA119))),"Falta hora inicio/fin o formato inválido",IF(AB119=0,"Hora inicio = hora fin",IF(AE119&lt;0,"Descanso inválido",IF(AE119&gt;=AD119,"Descanso ≥ duración",IF(AV119=1,"Registro duplicado",IF(AZ119&gt;0,"Se superpone con otro registro "&amp;D119,IF(BB119=0,"inicio, fin y duración neta deben ser múltiplos de "&amp;CFG_BLK&amp;" min",""))))))))))))</f>
        <v/>
      </c>
      <c r="BD119" s="80">
        <f>IF(AND(Y119=1,BC119=""),1,0)</f>
        <v>0</v>
      </c>
      <c r="BE119" s="80">
        <f>IF(AND(BD119=1,AU119=1),1,0)</f>
        <v>0</v>
      </c>
      <c r="BF119" s="80" t="str">
        <f>IF(AND(D119="proMX",BD119=1),IF(R119="","Draft",R119),"")</f>
        <v/>
      </c>
      <c r="BG119" s="80">
        <f>IF(BD119=1,ROUND(AG119/60,6),0)</f>
        <v>0</v>
      </c>
      <c r="BH119" s="80">
        <f>IF(BE119=1,ROUND(AG119/60,6),0)</f>
        <v>0</v>
      </c>
      <c r="BI119" s="80">
        <f>IF(BE119=1,ROUND(AP119/60,6),0)</f>
        <v>0</v>
      </c>
      <c r="BJ119" s="80">
        <f>IF(BE119=1,ROUND(AQ119/60,6),0)</f>
        <v>0</v>
      </c>
      <c r="BK119" s="80">
        <f>IF(BE119=1,ROUND((AR119+AS119)/60,6),0)</f>
        <v>0</v>
      </c>
      <c r="BL119" s="80">
        <f>ROUND(BH119-BK119,6)</f>
        <v>0</v>
      </c>
      <c r="BM119" s="80">
        <f>IF(BE119=1,ROUND(AR119/60,6),0)</f>
        <v>0</v>
      </c>
      <c r="BN119" s="80">
        <f>ROUND(BI119-BM119,6)</f>
        <v>0</v>
      </c>
      <c r="BO119" s="80">
        <f>IF(BE119=1,ROUND(AS119/60,6),0)</f>
        <v>0</v>
      </c>
      <c r="BP119" s="80">
        <f>ROUND(BJ119-BO119,6)</f>
        <v>0</v>
      </c>
      <c r="BQ119" s="80">
        <f>IF(BE119=1,AW119,0)</f>
        <v>0</v>
      </c>
      <c r="BR119" s="80">
        <f>IF(BE119=1,AX119,0)</f>
        <v>0</v>
      </c>
      <c r="BS119" s="80">
        <f>IF(AND(BE119=1,D119="Malcolm",BA119&gt;0),MIN(BH119,SUMPRODUCT((R_Emp="proMX")*(R_EN&gt;0)*((R_EN-(R_EN&gt;BR119)*(R_EN-BR119))&gt;(R_SN+(R_SN&lt;BQ119)*(BQ119-R_SN)))*((R_EN-(R_EN&gt;BR119)*(R_EN-BR119))-(R_SN+(R_SN&lt;BQ119)*(BQ119-R_SN))))/60),0)</f>
        <v>0</v>
      </c>
      <c r="BT119" s="80">
        <f>IF(AND(BE119=1,D119="proMX"),ROUND(BI119*CFG_RATE+BJ119*CFG_OTRATE,6),0)</f>
        <v>0</v>
      </c>
      <c r="BU119" s="80">
        <f>IF(AND(BD119=1,D119="proMX"),ROUND(AG119/CFG_BLK,6),0)</f>
        <v>0</v>
      </c>
      <c r="BV119" s="80" t="str">
        <f>IF(BF119="Approved",IF(ISNUMBER(T119),INT(T119),INT(B119)),"")</f>
        <v/>
      </c>
      <c r="BW119" s="80">
        <f>IF(ISNUMBER(B119),IF(DB_MON="Todos",1,IF(AND(INT(B119)&gt;=DB_MS,INT(B119)&lt;=DB_ME),1,0)),0)</f>
        <v>0</v>
      </c>
      <c r="BX119" s="80">
        <f>IF(DB_PROJ="Todos",1,IF(E119&amp;""=DB_PROJ&amp;"",1,0))</f>
        <v>1</v>
      </c>
      <c r="BY119" s="80">
        <f>BW119*BX119</f>
        <v>0</v>
      </c>
      <c r="BZ119" s="80" t="str">
        <f>IF(Y119=1,F119&amp;IF(AND(F119&amp;""&lt;&gt;"",E119&amp;""&lt;&gt;"")," · ","")&amp;E119,"")</f>
        <v/>
      </c>
      <c r="CA119" s="80" t="str">
        <f>IF(AND(BD119=1,E119&amp;""&lt;&gt;""),IF(COUNTIFS($E$5:E118,E119,$BD$5:BD118,1)=0,MAX($CA$5:CA118)+1,""),"")</f>
        <v/>
      </c>
      <c r="CB119" s="80" t="str">
        <f>IF(AND(BE119=1,D119="Malcolm",E119&amp;""&lt;&gt;""),IF(COUNTIFS($D$5:D118,"Malcolm",$E$5:E118,E119,$BE$5:BE118,1)=0,MAX($CB$5:CB118)+1,""),"")</f>
        <v/>
      </c>
      <c r="CC119" s="80" t="str">
        <f>IF(AND(BD119=1,D119="proMX",E119&amp;""&lt;&gt;""),IF(COUNTIFS($D$5:D118,"proMX",$E$5:E118,E119,$BD$5:BD118,1)=0,MAX($CC$5:CC118)+1,""),"")</f>
        <v/>
      </c>
      <c r="CD119" s="80" t="str">
        <f>IF(AND(BE119=1,D119="Malcolm",F119&amp;""&lt;&gt;""),IF(COUNTIFS($D$5:D118,"Malcolm",$F$5:F118,F119,$BE$5:BE118,1)=0,MAX($CD$5:CD118)+1,""),"")</f>
        <v/>
      </c>
      <c r="CE119" s="80" t="str">
        <f>IF(AND(BD119=1,D119="proMX",F119&amp;""&lt;&gt;""),IF(COUNTIFS($D$5:D118,"proMX",$F$5:F118,F119,$BD$5:BD118,1)=0,MAX($CE$5:CE118)+1,""),"")</f>
        <v/>
      </c>
      <c r="CF119" s="80" t="str">
        <f>IF(AND(D119="proMX",BD119=1),IF(OR(BF119="Draft",BF119="Submitted",BF119="Returned",BF119="Recall Requested"),MAX($CF$5:CF118)+1,""),"")</f>
        <v/>
      </c>
      <c r="CG119" s="80">
        <f>IF(BD119=0,0,IF(D119="Malcolm",1,MATCH(BF119,{"Draft","Submitted","Approved","Returned","Recall Requested","Cancelled"},0)+1))</f>
        <v>0</v>
      </c>
      <c r="CH119" s="80">
        <f>IF(AND(BF119="Submitted",ISNUMBER(V119)),IF(V119&gt;CFG_MAXD,1,0),0)</f>
        <v>0</v>
      </c>
    </row>
    <row r="120">
      <c r="A120" s="71" t="str">
        <f>IF(Y120=1,ROW()-5,"")</f>
        <v/>
      </c>
      <c r="B120" s="72" t="n"/>
      <c r="C120" s="71" t="str">
        <f>IF(ISNUMBER(B120),CHOOSE(WEEKDAY(B120,2),"Lun","Mar","Mié","Jue","Vie","Sáb","Dom"),"")</f>
        <v/>
      </c>
      <c r="D120" s="73" t="n"/>
      <c r="E120" s="74" t="n"/>
      <c r="F120" s="74" t="n"/>
      <c r="G120" s="74" t="n"/>
      <c r="H120" s="75" t="n"/>
      <c r="I120" s="75" t="n"/>
      <c r="J120" s="76" t="n"/>
      <c r="K120" s="77" t="str">
        <f>IF(AB120=1,ROUND(AG120/60,4),"")</f>
        <v/>
      </c>
      <c r="L120" s="77" t="str">
        <f>IF(BD120=1,ROUND(AP120/60,4),"")</f>
        <v/>
      </c>
      <c r="M120" s="77" t="str">
        <f>IF(BD120=1,ROUND(AQ120/60,4),"")</f>
        <v/>
      </c>
      <c r="N120" s="71" t="str">
        <f>IF(AND(D120="proMX",AB120=1),ROUND(AG120/CFG_BLK,2),"")</f>
        <v/>
      </c>
      <c r="O120" s="77" t="str">
        <f>IF(D120="proMX",IF(BD120=1,ROUND(AG120/60,4),0),"")</f>
        <v/>
      </c>
      <c r="P120" s="78" t="str">
        <f>IF(Y120=0,"",IF(BD120=1,"OK",IF(D120="proMX","Revisar bloques: ","Revisar: ")&amp;BC120))</f>
        <v/>
      </c>
      <c r="Q120" s="78" t="str">
        <f>IF(NOT(ISNUMBER(B120)),"",IF(COUNTIFS(FER_F,INT(B120))&gt;0,"Feriado"&amp;IF(AH120=1," (laborable)"," (no laborable)"),IF(AH120=1,"Laborable",IF(WEEKDAY(B120,2)&gt;5,"Fin de semana","No laborable"))))</f>
        <v/>
      </c>
      <c r="R120" s="73" t="n"/>
      <c r="S120" s="72" t="n"/>
      <c r="T120" s="72" t="n"/>
      <c r="U120" s="74" t="n"/>
      <c r="V120" s="79" t="str">
        <f>IF(AND(D120="proMX",OR(R120="Submitted",R120="Recall Requested"),ISNUMBER(S120)),CFG_TODAY-INT(S120),"")</f>
        <v/>
      </c>
      <c r="W120" s="78" t="str">
        <f>IF(BD120=0,"",IF(BA120&gt;0,"⚠ Se superpone con un registro de la otra empresa",IF(D120="Malcolm",IF(COUNTA(R120,S120,T120)&gt;0,"Estado/fechas proMX se ignoran en Malcolm",""),IF(BF120="Cancelled","Cancelado: excluido de totales",IF(R120="","Sin estado: se trata como Draft",IF(BF120="Submitted",IF(ISNUMBER(V120),IF(V120&gt;CFG_MAXD,"⚠ "&amp;V120&amp;" días en Submitted (máx. "&amp;CFG_MAXD&amp;")",""),"Falta fecha de envío"),IF(BF120="Returned","⚠ Devuelto: corregir y reenviar",IF(BF120="Recall Requested","Retirada solicitada: pendiente",IF(AND(BF120="Approved",NOT(ISNUMBER(T120))),"Falta fecha de aprobación",IF(AND(ISNUMBER(S120),ISNUMBER(T120),T120&lt;S120),"Aprobación anterior al envío","")))))))))</f>
        <v/>
      </c>
      <c r="Y120" s="80">
        <f>IF(COUNTA(B120,D120,E120,F120,G120,H120,I120,J120,R120,S120,T120)&gt;0,1,0)</f>
        <v>0</v>
      </c>
      <c r="Z120" s="80" t="str">
        <f>IF(AND(ISNUMBER(H120),H120&gt;=0,H120&lt;1),ROUND(H120*1440,0),"")</f>
        <v/>
      </c>
      <c r="AA120" s="80" t="str">
        <f>IF(AND(ISNUMBER(I120),I120&gt;=0,I120&lt;1),ROUND(I120*1440,0),"")</f>
        <v/>
      </c>
      <c r="AB120" s="80">
        <f>IF(AND(ISNUMBER(B120),D120&lt;&gt;"",ISNUMBER(Z120),ISNUMBER(AA120)),IF(Z120=AA120,0,1),0)</f>
        <v>0</v>
      </c>
      <c r="AC120" s="80">
        <f>IF(AB120=1,IF(AA120&lt;Z120,1,0),0)</f>
        <v>0</v>
      </c>
      <c r="AD120" s="80">
        <f>IF(AB120=1,IF(AC120=1,1440-Z120+AA120,AA120-Z120),0)</f>
        <v>0</v>
      </c>
      <c r="AE120" s="80">
        <f>IF(J120="",0,IF(ISNUMBER(J120),J120,-1))</f>
        <v>0</v>
      </c>
      <c r="AF120" s="80">
        <f>MIN(MAX(0,AE120),AD120)</f>
        <v>0</v>
      </c>
      <c r="AG120" s="80">
        <f>MAX(0,AD120-MAX(0,AE120))</f>
        <v>0</v>
      </c>
      <c r="AH120" s="80">
        <f>IF(ISNUMBER(B120),IF(AND(INDEX(CFG_WDAYS,WEEKDAY(INT(B120),2))="Sí",IF(D120="proMX",COUNTIFS(FER_F,INT(B120),FER_NLP,"Sí"),COUNTIFS(FER_F,INT(B120),FER_NLM,"Sí"))=0),1,0),0)</f>
        <v>0</v>
      </c>
      <c r="AI120" s="80">
        <f>IF(AC120=1,IF(AND(INDEX(CFG_WDAYS,WEEKDAY(INT(B120)+1,2))="Sí",IF(D120="proMX",COUNTIFS(FER_F,INT(B120)+1,FER_NLP,"Sí"),COUNTIFS(FER_F,INT(B120)+1,FER_NLM,"Sí"))=0),1,0),0)</f>
        <v>0</v>
      </c>
      <c r="AJ120" s="80">
        <f>IF(AC120=1,1440-Z120,AD120)</f>
        <v>0</v>
      </c>
      <c r="AK120" s="80">
        <f>IF(AND(AB120=1,AH120=1),MAX(0,MIN(IF(AC120=1,1440,AA120),CFG_WEM)-MAX(Z120,CFG_WSM)),0)</f>
        <v>0</v>
      </c>
      <c r="AL120" s="80">
        <f>IF(AND(AC120=1,AI120=1),MAX(0,MIN(AA120,CFG_WEM)-CFG_WSM),0)</f>
        <v>0</v>
      </c>
      <c r="AM120" s="80">
        <f>AK120+AL120</f>
        <v>0</v>
      </c>
      <c r="AN120" s="80">
        <f>IF(CFG_BRK="Proporcional",IF(AD120=0,0,AF120*AM120/AD120),IF(CFG_BRK="Extras primero",MIN(AM120,MAX(0,AF120-(AD120-AM120))),MIN(AF120,AM120)))</f>
        <v>0</v>
      </c>
      <c r="AO120" s="80">
        <f>AF120-AN120</f>
        <v>0</v>
      </c>
      <c r="AP120" s="80">
        <f>AM120-AN120</f>
        <v>0</v>
      </c>
      <c r="AQ120" s="80">
        <f>AD120-AM120-AO120</f>
        <v>0</v>
      </c>
      <c r="AR120" s="80">
        <f>IF(AM120=0,0,AK120-AN120*AK120/AM120)</f>
        <v>0</v>
      </c>
      <c r="AS120" s="80">
        <f>IF(AD120-AM120=0,0,(AJ120-AK120)-AO120*(AJ120-AK120)/(AD120-AM120))</f>
        <v>0</v>
      </c>
      <c r="AT120" s="80" t="str">
        <f>IF(AC120=1,INT(B120)+1,"")</f>
        <v/>
      </c>
      <c r="AU120" s="80">
        <f>IF(AND(D120="proMX",R120="Cancelled"),0,1)</f>
        <v>1</v>
      </c>
      <c r="AV120" s="80">
        <f>IF(AND(AB120=1,AU120=1),IF(COUNTIFS($D$5:D119,D120,$B$5:B119,B120,$Z$5:Z119,Z120,$AA$5:AA119,AA120,$F$5:F119,F120&amp;"",$AU$5:AU119,1)&gt;0,1,0),0)</f>
        <v>0</v>
      </c>
      <c r="AW120" s="80" t="str">
        <f>IF(AB120=1,INT(B120)*1440+Z120,"")</f>
        <v/>
      </c>
      <c r="AX120" s="80" t="str">
        <f>IF(AB120=1,AW120+AD120,"")</f>
        <v/>
      </c>
      <c r="AY120" s="80">
        <f>IF(AND(AB120=1,AV120=0,AU120=1),1,0)</f>
        <v>0</v>
      </c>
      <c r="AZ120" s="80">
        <f>IF(AY120=1,COUNTIFS(R_Emp,D120,R_SAbs,"&lt;"&amp;AX120,R_EAbs,"&gt;"&amp;AW120,R_OKey,1)-1,0)</f>
        <v>0</v>
      </c>
      <c r="BA120" s="80">
        <f>IF(AY120=1,COUNTIFS(R_Emp,"&lt;&gt;"&amp;D120,R_SAbs,"&lt;"&amp;AX120,R_EAbs,"&gt;"&amp;AW120,R_OKey,1),0)</f>
        <v>0</v>
      </c>
      <c r="BB120" s="80">
        <f>IF(AND(AB120=1,D120="proMX"),IF(AND(MOD(Z120,CFG_BLK)=0,MOD(AA120,CFG_BLK)=0,MOD(AG120,CFG_BLK)=0,AG120&gt;0),1,0),1)</f>
        <v>1</v>
      </c>
      <c r="BC120" s="80" t="str">
        <f>IF(Y120=0,"",IF(NOT(ISNUMBER(B120)),"Falta fecha o fecha inválida",IF(D120="","Falta empresa",IF(AND(D120&lt;&gt;"Malcolm",D120&lt;&gt;"proMX"),"Empresa inválida",IF(OR(INT(B120)&lt;CFG_PSTART,INT(B120)&gt;CFG_PEND),"Fecha fuera del período",IF(OR(NOT(ISNUMBER(Z120)),NOT(ISNUMBER(AA120))),"Falta hora inicio/fin o formato inválido",IF(AB120=0,"Hora inicio = hora fin",IF(AE120&lt;0,"Descanso inválido",IF(AE120&gt;=AD120,"Descanso ≥ duración",IF(AV120=1,"Registro duplicado",IF(AZ120&gt;0,"Se superpone con otro registro "&amp;D120,IF(BB120=0,"inicio, fin y duración neta deben ser múltiplos de "&amp;CFG_BLK&amp;" min",""))))))))))))</f>
        <v/>
      </c>
      <c r="BD120" s="80">
        <f>IF(AND(Y120=1,BC120=""),1,0)</f>
        <v>0</v>
      </c>
      <c r="BE120" s="80">
        <f>IF(AND(BD120=1,AU120=1),1,0)</f>
        <v>0</v>
      </c>
      <c r="BF120" s="80" t="str">
        <f>IF(AND(D120="proMX",BD120=1),IF(R120="","Draft",R120),"")</f>
        <v/>
      </c>
      <c r="BG120" s="80">
        <f>IF(BD120=1,ROUND(AG120/60,6),0)</f>
        <v>0</v>
      </c>
      <c r="BH120" s="80">
        <f>IF(BE120=1,ROUND(AG120/60,6),0)</f>
        <v>0</v>
      </c>
      <c r="BI120" s="80">
        <f>IF(BE120=1,ROUND(AP120/60,6),0)</f>
        <v>0</v>
      </c>
      <c r="BJ120" s="80">
        <f>IF(BE120=1,ROUND(AQ120/60,6),0)</f>
        <v>0</v>
      </c>
      <c r="BK120" s="80">
        <f>IF(BE120=1,ROUND((AR120+AS120)/60,6),0)</f>
        <v>0</v>
      </c>
      <c r="BL120" s="80">
        <f>ROUND(BH120-BK120,6)</f>
        <v>0</v>
      </c>
      <c r="BM120" s="80">
        <f>IF(BE120=1,ROUND(AR120/60,6),0)</f>
        <v>0</v>
      </c>
      <c r="BN120" s="80">
        <f>ROUND(BI120-BM120,6)</f>
        <v>0</v>
      </c>
      <c r="BO120" s="80">
        <f>IF(BE120=1,ROUND(AS120/60,6),0)</f>
        <v>0</v>
      </c>
      <c r="BP120" s="80">
        <f>ROUND(BJ120-BO120,6)</f>
        <v>0</v>
      </c>
      <c r="BQ120" s="80">
        <f>IF(BE120=1,AW120,0)</f>
        <v>0</v>
      </c>
      <c r="BR120" s="80">
        <f>IF(BE120=1,AX120,0)</f>
        <v>0</v>
      </c>
      <c r="BS120" s="80">
        <f>IF(AND(BE120=1,D120="Malcolm",BA120&gt;0),MIN(BH120,SUMPRODUCT((R_Emp="proMX")*(R_EN&gt;0)*((R_EN-(R_EN&gt;BR120)*(R_EN-BR120))&gt;(R_SN+(R_SN&lt;BQ120)*(BQ120-R_SN)))*((R_EN-(R_EN&gt;BR120)*(R_EN-BR120))-(R_SN+(R_SN&lt;BQ120)*(BQ120-R_SN))))/60),0)</f>
        <v>0</v>
      </c>
      <c r="BT120" s="80">
        <f>IF(AND(BE120=1,D120="proMX"),ROUND(BI120*CFG_RATE+BJ120*CFG_OTRATE,6),0)</f>
        <v>0</v>
      </c>
      <c r="BU120" s="80">
        <f>IF(AND(BD120=1,D120="proMX"),ROUND(AG120/CFG_BLK,6),0)</f>
        <v>0</v>
      </c>
      <c r="BV120" s="80" t="str">
        <f>IF(BF120="Approved",IF(ISNUMBER(T120),INT(T120),INT(B120)),"")</f>
        <v/>
      </c>
      <c r="BW120" s="80">
        <f>IF(ISNUMBER(B120),IF(DB_MON="Todos",1,IF(AND(INT(B120)&gt;=DB_MS,INT(B120)&lt;=DB_ME),1,0)),0)</f>
        <v>0</v>
      </c>
      <c r="BX120" s="80">
        <f>IF(DB_PROJ="Todos",1,IF(E120&amp;""=DB_PROJ&amp;"",1,0))</f>
        <v>1</v>
      </c>
      <c r="BY120" s="80">
        <f>BW120*BX120</f>
        <v>0</v>
      </c>
      <c r="BZ120" s="80" t="str">
        <f>IF(Y120=1,F120&amp;IF(AND(F120&amp;""&lt;&gt;"",E120&amp;""&lt;&gt;"")," · ","")&amp;E120,"")</f>
        <v/>
      </c>
      <c r="CA120" s="80" t="str">
        <f>IF(AND(BD120=1,E120&amp;""&lt;&gt;""),IF(COUNTIFS($E$5:E119,E120,$BD$5:BD119,1)=0,MAX($CA$5:CA119)+1,""),"")</f>
        <v/>
      </c>
      <c r="CB120" s="80" t="str">
        <f>IF(AND(BE120=1,D120="Malcolm",E120&amp;""&lt;&gt;""),IF(COUNTIFS($D$5:D119,"Malcolm",$E$5:E119,E120,$BE$5:BE119,1)=0,MAX($CB$5:CB119)+1,""),"")</f>
        <v/>
      </c>
      <c r="CC120" s="80" t="str">
        <f>IF(AND(BD120=1,D120="proMX",E120&amp;""&lt;&gt;""),IF(COUNTIFS($D$5:D119,"proMX",$E$5:E119,E120,$BD$5:BD119,1)=0,MAX($CC$5:CC119)+1,""),"")</f>
        <v/>
      </c>
      <c r="CD120" s="80" t="str">
        <f>IF(AND(BE120=1,D120="Malcolm",F120&amp;""&lt;&gt;""),IF(COUNTIFS($D$5:D119,"Malcolm",$F$5:F119,F120,$BE$5:BE119,1)=0,MAX($CD$5:CD119)+1,""),"")</f>
        <v/>
      </c>
      <c r="CE120" s="80" t="str">
        <f>IF(AND(BD120=1,D120="proMX",F120&amp;""&lt;&gt;""),IF(COUNTIFS($D$5:D119,"proMX",$F$5:F119,F120,$BD$5:BD119,1)=0,MAX($CE$5:CE119)+1,""),"")</f>
        <v/>
      </c>
      <c r="CF120" s="80" t="str">
        <f>IF(AND(D120="proMX",BD120=1),IF(OR(BF120="Draft",BF120="Submitted",BF120="Returned",BF120="Recall Requested"),MAX($CF$5:CF119)+1,""),"")</f>
        <v/>
      </c>
      <c r="CG120" s="80">
        <f>IF(BD120=0,0,IF(D120="Malcolm",1,MATCH(BF120,{"Draft","Submitted","Approved","Returned","Recall Requested","Cancelled"},0)+1))</f>
        <v>0</v>
      </c>
      <c r="CH120" s="80">
        <f>IF(AND(BF120="Submitted",ISNUMBER(V120)),IF(V120&gt;CFG_MAXD,1,0),0)</f>
        <v>0</v>
      </c>
    </row>
    <row r="121">
      <c r="A121" s="71" t="str">
        <f>IF(Y121=1,ROW()-5,"")</f>
        <v/>
      </c>
      <c r="B121" s="72" t="n"/>
      <c r="C121" s="71" t="str">
        <f>IF(ISNUMBER(B121),CHOOSE(WEEKDAY(B121,2),"Lun","Mar","Mié","Jue","Vie","Sáb","Dom"),"")</f>
        <v/>
      </c>
      <c r="D121" s="73" t="n"/>
      <c r="E121" s="74" t="n"/>
      <c r="F121" s="74" t="n"/>
      <c r="G121" s="74" t="n"/>
      <c r="H121" s="75" t="n"/>
      <c r="I121" s="75" t="n"/>
      <c r="J121" s="76" t="n"/>
      <c r="K121" s="77" t="str">
        <f>IF(AB121=1,ROUND(AG121/60,4),"")</f>
        <v/>
      </c>
      <c r="L121" s="77" t="str">
        <f>IF(BD121=1,ROUND(AP121/60,4),"")</f>
        <v/>
      </c>
      <c r="M121" s="77" t="str">
        <f>IF(BD121=1,ROUND(AQ121/60,4),"")</f>
        <v/>
      </c>
      <c r="N121" s="71" t="str">
        <f>IF(AND(D121="proMX",AB121=1),ROUND(AG121/CFG_BLK,2),"")</f>
        <v/>
      </c>
      <c r="O121" s="77" t="str">
        <f>IF(D121="proMX",IF(BD121=1,ROUND(AG121/60,4),0),"")</f>
        <v/>
      </c>
      <c r="P121" s="78" t="str">
        <f>IF(Y121=0,"",IF(BD121=1,"OK",IF(D121="proMX","Revisar bloques: ","Revisar: ")&amp;BC121))</f>
        <v/>
      </c>
      <c r="Q121" s="78" t="str">
        <f>IF(NOT(ISNUMBER(B121)),"",IF(COUNTIFS(FER_F,INT(B121))&gt;0,"Feriado"&amp;IF(AH121=1," (laborable)"," (no laborable)"),IF(AH121=1,"Laborable",IF(WEEKDAY(B121,2)&gt;5,"Fin de semana","No laborable"))))</f>
        <v/>
      </c>
      <c r="R121" s="73" t="n"/>
      <c r="S121" s="72" t="n"/>
      <c r="T121" s="72" t="n"/>
      <c r="U121" s="74" t="n"/>
      <c r="V121" s="79" t="str">
        <f>IF(AND(D121="proMX",OR(R121="Submitted",R121="Recall Requested"),ISNUMBER(S121)),CFG_TODAY-INT(S121),"")</f>
        <v/>
      </c>
      <c r="W121" s="78" t="str">
        <f>IF(BD121=0,"",IF(BA121&gt;0,"⚠ Se superpone con un registro de la otra empresa",IF(D121="Malcolm",IF(COUNTA(R121,S121,T121)&gt;0,"Estado/fechas proMX se ignoran en Malcolm",""),IF(BF121="Cancelled","Cancelado: excluido de totales",IF(R121="","Sin estado: se trata como Draft",IF(BF121="Submitted",IF(ISNUMBER(V121),IF(V121&gt;CFG_MAXD,"⚠ "&amp;V121&amp;" días en Submitted (máx. "&amp;CFG_MAXD&amp;")",""),"Falta fecha de envío"),IF(BF121="Returned","⚠ Devuelto: corregir y reenviar",IF(BF121="Recall Requested","Retirada solicitada: pendiente",IF(AND(BF121="Approved",NOT(ISNUMBER(T121))),"Falta fecha de aprobación",IF(AND(ISNUMBER(S121),ISNUMBER(T121),T121&lt;S121),"Aprobación anterior al envío","")))))))))</f>
        <v/>
      </c>
      <c r="Y121" s="80">
        <f>IF(COUNTA(B121,D121,E121,F121,G121,H121,I121,J121,R121,S121,T121)&gt;0,1,0)</f>
        <v>0</v>
      </c>
      <c r="Z121" s="80" t="str">
        <f>IF(AND(ISNUMBER(H121),H121&gt;=0,H121&lt;1),ROUND(H121*1440,0),"")</f>
        <v/>
      </c>
      <c r="AA121" s="80" t="str">
        <f>IF(AND(ISNUMBER(I121),I121&gt;=0,I121&lt;1),ROUND(I121*1440,0),"")</f>
        <v/>
      </c>
      <c r="AB121" s="80">
        <f>IF(AND(ISNUMBER(B121),D121&lt;&gt;"",ISNUMBER(Z121),ISNUMBER(AA121)),IF(Z121=AA121,0,1),0)</f>
        <v>0</v>
      </c>
      <c r="AC121" s="80">
        <f>IF(AB121=1,IF(AA121&lt;Z121,1,0),0)</f>
        <v>0</v>
      </c>
      <c r="AD121" s="80">
        <f>IF(AB121=1,IF(AC121=1,1440-Z121+AA121,AA121-Z121),0)</f>
        <v>0</v>
      </c>
      <c r="AE121" s="80">
        <f>IF(J121="",0,IF(ISNUMBER(J121),J121,-1))</f>
        <v>0</v>
      </c>
      <c r="AF121" s="80">
        <f>MIN(MAX(0,AE121),AD121)</f>
        <v>0</v>
      </c>
      <c r="AG121" s="80">
        <f>MAX(0,AD121-MAX(0,AE121))</f>
        <v>0</v>
      </c>
      <c r="AH121" s="80">
        <f>IF(ISNUMBER(B121),IF(AND(INDEX(CFG_WDAYS,WEEKDAY(INT(B121),2))="Sí",IF(D121="proMX",COUNTIFS(FER_F,INT(B121),FER_NLP,"Sí"),COUNTIFS(FER_F,INT(B121),FER_NLM,"Sí"))=0),1,0),0)</f>
        <v>0</v>
      </c>
      <c r="AI121" s="80">
        <f>IF(AC121=1,IF(AND(INDEX(CFG_WDAYS,WEEKDAY(INT(B121)+1,2))="Sí",IF(D121="proMX",COUNTIFS(FER_F,INT(B121)+1,FER_NLP,"Sí"),COUNTIFS(FER_F,INT(B121)+1,FER_NLM,"Sí"))=0),1,0),0)</f>
        <v>0</v>
      </c>
      <c r="AJ121" s="80">
        <f>IF(AC121=1,1440-Z121,AD121)</f>
        <v>0</v>
      </c>
      <c r="AK121" s="80">
        <f>IF(AND(AB121=1,AH121=1),MAX(0,MIN(IF(AC121=1,1440,AA121),CFG_WEM)-MAX(Z121,CFG_WSM)),0)</f>
        <v>0</v>
      </c>
      <c r="AL121" s="80">
        <f>IF(AND(AC121=1,AI121=1),MAX(0,MIN(AA121,CFG_WEM)-CFG_WSM),0)</f>
        <v>0</v>
      </c>
      <c r="AM121" s="80">
        <f>AK121+AL121</f>
        <v>0</v>
      </c>
      <c r="AN121" s="80">
        <f>IF(CFG_BRK="Proporcional",IF(AD121=0,0,AF121*AM121/AD121),IF(CFG_BRK="Extras primero",MIN(AM121,MAX(0,AF121-(AD121-AM121))),MIN(AF121,AM121)))</f>
        <v>0</v>
      </c>
      <c r="AO121" s="80">
        <f>AF121-AN121</f>
        <v>0</v>
      </c>
      <c r="AP121" s="80">
        <f>AM121-AN121</f>
        <v>0</v>
      </c>
      <c r="AQ121" s="80">
        <f>AD121-AM121-AO121</f>
        <v>0</v>
      </c>
      <c r="AR121" s="80">
        <f>IF(AM121=0,0,AK121-AN121*AK121/AM121)</f>
        <v>0</v>
      </c>
      <c r="AS121" s="80">
        <f>IF(AD121-AM121=0,0,(AJ121-AK121)-AO121*(AJ121-AK121)/(AD121-AM121))</f>
        <v>0</v>
      </c>
      <c r="AT121" s="80" t="str">
        <f>IF(AC121=1,INT(B121)+1,"")</f>
        <v/>
      </c>
      <c r="AU121" s="80">
        <f>IF(AND(D121="proMX",R121="Cancelled"),0,1)</f>
        <v>1</v>
      </c>
      <c r="AV121" s="80">
        <f>IF(AND(AB121=1,AU121=1),IF(COUNTIFS($D$5:D120,D121,$B$5:B120,B121,$Z$5:Z120,Z121,$AA$5:AA120,AA121,$F$5:F120,F121&amp;"",$AU$5:AU120,1)&gt;0,1,0),0)</f>
        <v>0</v>
      </c>
      <c r="AW121" s="80" t="str">
        <f>IF(AB121=1,INT(B121)*1440+Z121,"")</f>
        <v/>
      </c>
      <c r="AX121" s="80" t="str">
        <f>IF(AB121=1,AW121+AD121,"")</f>
        <v/>
      </c>
      <c r="AY121" s="80">
        <f>IF(AND(AB121=1,AV121=0,AU121=1),1,0)</f>
        <v>0</v>
      </c>
      <c r="AZ121" s="80">
        <f>IF(AY121=1,COUNTIFS(R_Emp,D121,R_SAbs,"&lt;"&amp;AX121,R_EAbs,"&gt;"&amp;AW121,R_OKey,1)-1,0)</f>
        <v>0</v>
      </c>
      <c r="BA121" s="80">
        <f>IF(AY121=1,COUNTIFS(R_Emp,"&lt;&gt;"&amp;D121,R_SAbs,"&lt;"&amp;AX121,R_EAbs,"&gt;"&amp;AW121,R_OKey,1),0)</f>
        <v>0</v>
      </c>
      <c r="BB121" s="80">
        <f>IF(AND(AB121=1,D121="proMX"),IF(AND(MOD(Z121,CFG_BLK)=0,MOD(AA121,CFG_BLK)=0,MOD(AG121,CFG_BLK)=0,AG121&gt;0),1,0),1)</f>
        <v>1</v>
      </c>
      <c r="BC121" s="80" t="str">
        <f>IF(Y121=0,"",IF(NOT(ISNUMBER(B121)),"Falta fecha o fecha inválida",IF(D121="","Falta empresa",IF(AND(D121&lt;&gt;"Malcolm",D121&lt;&gt;"proMX"),"Empresa inválida",IF(OR(INT(B121)&lt;CFG_PSTART,INT(B121)&gt;CFG_PEND),"Fecha fuera del período",IF(OR(NOT(ISNUMBER(Z121)),NOT(ISNUMBER(AA121))),"Falta hora inicio/fin o formato inválido",IF(AB121=0,"Hora inicio = hora fin",IF(AE121&lt;0,"Descanso inválido",IF(AE121&gt;=AD121,"Descanso ≥ duración",IF(AV121=1,"Registro duplicado",IF(AZ121&gt;0,"Se superpone con otro registro "&amp;D121,IF(BB121=0,"inicio, fin y duración neta deben ser múltiplos de "&amp;CFG_BLK&amp;" min",""))))))))))))</f>
        <v/>
      </c>
      <c r="BD121" s="80">
        <f>IF(AND(Y121=1,BC121=""),1,0)</f>
        <v>0</v>
      </c>
      <c r="BE121" s="80">
        <f>IF(AND(BD121=1,AU121=1),1,0)</f>
        <v>0</v>
      </c>
      <c r="BF121" s="80" t="str">
        <f>IF(AND(D121="proMX",BD121=1),IF(R121="","Draft",R121),"")</f>
        <v/>
      </c>
      <c r="BG121" s="80">
        <f>IF(BD121=1,ROUND(AG121/60,6),0)</f>
        <v>0</v>
      </c>
      <c r="BH121" s="80">
        <f>IF(BE121=1,ROUND(AG121/60,6),0)</f>
        <v>0</v>
      </c>
      <c r="BI121" s="80">
        <f>IF(BE121=1,ROUND(AP121/60,6),0)</f>
        <v>0</v>
      </c>
      <c r="BJ121" s="80">
        <f>IF(BE121=1,ROUND(AQ121/60,6),0)</f>
        <v>0</v>
      </c>
      <c r="BK121" s="80">
        <f>IF(BE121=1,ROUND((AR121+AS121)/60,6),0)</f>
        <v>0</v>
      </c>
      <c r="BL121" s="80">
        <f>ROUND(BH121-BK121,6)</f>
        <v>0</v>
      </c>
      <c r="BM121" s="80">
        <f>IF(BE121=1,ROUND(AR121/60,6),0)</f>
        <v>0</v>
      </c>
      <c r="BN121" s="80">
        <f>ROUND(BI121-BM121,6)</f>
        <v>0</v>
      </c>
      <c r="BO121" s="80">
        <f>IF(BE121=1,ROUND(AS121/60,6),0)</f>
        <v>0</v>
      </c>
      <c r="BP121" s="80">
        <f>ROUND(BJ121-BO121,6)</f>
        <v>0</v>
      </c>
      <c r="BQ121" s="80">
        <f>IF(BE121=1,AW121,0)</f>
        <v>0</v>
      </c>
      <c r="BR121" s="80">
        <f>IF(BE121=1,AX121,0)</f>
        <v>0</v>
      </c>
      <c r="BS121" s="80">
        <f>IF(AND(BE121=1,D121="Malcolm",BA121&gt;0),MIN(BH121,SUMPRODUCT((R_Emp="proMX")*(R_EN&gt;0)*((R_EN-(R_EN&gt;BR121)*(R_EN-BR121))&gt;(R_SN+(R_SN&lt;BQ121)*(BQ121-R_SN)))*((R_EN-(R_EN&gt;BR121)*(R_EN-BR121))-(R_SN+(R_SN&lt;BQ121)*(BQ121-R_SN))))/60),0)</f>
        <v>0</v>
      </c>
      <c r="BT121" s="80">
        <f>IF(AND(BE121=1,D121="proMX"),ROUND(BI121*CFG_RATE+BJ121*CFG_OTRATE,6),0)</f>
        <v>0</v>
      </c>
      <c r="BU121" s="80">
        <f>IF(AND(BD121=1,D121="proMX"),ROUND(AG121/CFG_BLK,6),0)</f>
        <v>0</v>
      </c>
      <c r="BV121" s="80" t="str">
        <f>IF(BF121="Approved",IF(ISNUMBER(T121),INT(T121),INT(B121)),"")</f>
        <v/>
      </c>
      <c r="BW121" s="80">
        <f>IF(ISNUMBER(B121),IF(DB_MON="Todos",1,IF(AND(INT(B121)&gt;=DB_MS,INT(B121)&lt;=DB_ME),1,0)),0)</f>
        <v>0</v>
      </c>
      <c r="BX121" s="80">
        <f>IF(DB_PROJ="Todos",1,IF(E121&amp;""=DB_PROJ&amp;"",1,0))</f>
        <v>1</v>
      </c>
      <c r="BY121" s="80">
        <f>BW121*BX121</f>
        <v>0</v>
      </c>
      <c r="BZ121" s="80" t="str">
        <f>IF(Y121=1,F121&amp;IF(AND(F121&amp;""&lt;&gt;"",E121&amp;""&lt;&gt;"")," · ","")&amp;E121,"")</f>
        <v/>
      </c>
      <c r="CA121" s="80" t="str">
        <f>IF(AND(BD121=1,E121&amp;""&lt;&gt;""),IF(COUNTIFS($E$5:E120,E121,$BD$5:BD120,1)=0,MAX($CA$5:CA120)+1,""),"")</f>
        <v/>
      </c>
      <c r="CB121" s="80" t="str">
        <f>IF(AND(BE121=1,D121="Malcolm",E121&amp;""&lt;&gt;""),IF(COUNTIFS($D$5:D120,"Malcolm",$E$5:E120,E121,$BE$5:BE120,1)=0,MAX($CB$5:CB120)+1,""),"")</f>
        <v/>
      </c>
      <c r="CC121" s="80" t="str">
        <f>IF(AND(BD121=1,D121="proMX",E121&amp;""&lt;&gt;""),IF(COUNTIFS($D$5:D120,"proMX",$E$5:E120,E121,$BD$5:BD120,1)=0,MAX($CC$5:CC120)+1,""),"")</f>
        <v/>
      </c>
      <c r="CD121" s="80" t="str">
        <f>IF(AND(BE121=1,D121="Malcolm",F121&amp;""&lt;&gt;""),IF(COUNTIFS($D$5:D120,"Malcolm",$F$5:F120,F121,$BE$5:BE120,1)=0,MAX($CD$5:CD120)+1,""),"")</f>
        <v/>
      </c>
      <c r="CE121" s="80" t="str">
        <f>IF(AND(BD121=1,D121="proMX",F121&amp;""&lt;&gt;""),IF(COUNTIFS($D$5:D120,"proMX",$F$5:F120,F121,$BD$5:BD120,1)=0,MAX($CE$5:CE120)+1,""),"")</f>
        <v/>
      </c>
      <c r="CF121" s="80" t="str">
        <f>IF(AND(D121="proMX",BD121=1),IF(OR(BF121="Draft",BF121="Submitted",BF121="Returned",BF121="Recall Requested"),MAX($CF$5:CF120)+1,""),"")</f>
        <v/>
      </c>
      <c r="CG121" s="80">
        <f>IF(BD121=0,0,IF(D121="Malcolm",1,MATCH(BF121,{"Draft","Submitted","Approved","Returned","Recall Requested","Cancelled"},0)+1))</f>
        <v>0</v>
      </c>
      <c r="CH121" s="80">
        <f>IF(AND(BF121="Submitted",ISNUMBER(V121)),IF(V121&gt;CFG_MAXD,1,0),0)</f>
        <v>0</v>
      </c>
    </row>
    <row r="122">
      <c r="A122" s="71" t="str">
        <f>IF(Y122=1,ROW()-5,"")</f>
        <v/>
      </c>
      <c r="B122" s="72" t="n"/>
      <c r="C122" s="71" t="str">
        <f>IF(ISNUMBER(B122),CHOOSE(WEEKDAY(B122,2),"Lun","Mar","Mié","Jue","Vie","Sáb","Dom"),"")</f>
        <v/>
      </c>
      <c r="D122" s="73" t="n"/>
      <c r="E122" s="74" t="n"/>
      <c r="F122" s="74" t="n"/>
      <c r="G122" s="74" t="n"/>
      <c r="H122" s="75" t="n"/>
      <c r="I122" s="75" t="n"/>
      <c r="J122" s="76" t="n"/>
      <c r="K122" s="77" t="str">
        <f>IF(AB122=1,ROUND(AG122/60,4),"")</f>
        <v/>
      </c>
      <c r="L122" s="77" t="str">
        <f>IF(BD122=1,ROUND(AP122/60,4),"")</f>
        <v/>
      </c>
      <c r="M122" s="77" t="str">
        <f>IF(BD122=1,ROUND(AQ122/60,4),"")</f>
        <v/>
      </c>
      <c r="N122" s="71" t="str">
        <f>IF(AND(D122="proMX",AB122=1),ROUND(AG122/CFG_BLK,2),"")</f>
        <v/>
      </c>
      <c r="O122" s="77" t="str">
        <f>IF(D122="proMX",IF(BD122=1,ROUND(AG122/60,4),0),"")</f>
        <v/>
      </c>
      <c r="P122" s="78" t="str">
        <f>IF(Y122=0,"",IF(BD122=1,"OK",IF(D122="proMX","Revisar bloques: ","Revisar: ")&amp;BC122))</f>
        <v/>
      </c>
      <c r="Q122" s="78" t="str">
        <f>IF(NOT(ISNUMBER(B122)),"",IF(COUNTIFS(FER_F,INT(B122))&gt;0,"Feriado"&amp;IF(AH122=1," (laborable)"," (no laborable)"),IF(AH122=1,"Laborable",IF(WEEKDAY(B122,2)&gt;5,"Fin de semana","No laborable"))))</f>
        <v/>
      </c>
      <c r="R122" s="73" t="n"/>
      <c r="S122" s="72" t="n"/>
      <c r="T122" s="72" t="n"/>
      <c r="U122" s="74" t="n"/>
      <c r="V122" s="79" t="str">
        <f>IF(AND(D122="proMX",OR(R122="Submitted",R122="Recall Requested"),ISNUMBER(S122)),CFG_TODAY-INT(S122),"")</f>
        <v/>
      </c>
      <c r="W122" s="78" t="str">
        <f>IF(BD122=0,"",IF(BA122&gt;0,"⚠ Se superpone con un registro de la otra empresa",IF(D122="Malcolm",IF(COUNTA(R122,S122,T122)&gt;0,"Estado/fechas proMX se ignoran en Malcolm",""),IF(BF122="Cancelled","Cancelado: excluido de totales",IF(R122="","Sin estado: se trata como Draft",IF(BF122="Submitted",IF(ISNUMBER(V122),IF(V122&gt;CFG_MAXD,"⚠ "&amp;V122&amp;" días en Submitted (máx. "&amp;CFG_MAXD&amp;")",""),"Falta fecha de envío"),IF(BF122="Returned","⚠ Devuelto: corregir y reenviar",IF(BF122="Recall Requested","Retirada solicitada: pendiente",IF(AND(BF122="Approved",NOT(ISNUMBER(T122))),"Falta fecha de aprobación",IF(AND(ISNUMBER(S122),ISNUMBER(T122),T122&lt;S122),"Aprobación anterior al envío","")))))))))</f>
        <v/>
      </c>
      <c r="Y122" s="80">
        <f>IF(COUNTA(B122,D122,E122,F122,G122,H122,I122,J122,R122,S122,T122)&gt;0,1,0)</f>
        <v>0</v>
      </c>
      <c r="Z122" s="80" t="str">
        <f>IF(AND(ISNUMBER(H122),H122&gt;=0,H122&lt;1),ROUND(H122*1440,0),"")</f>
        <v/>
      </c>
      <c r="AA122" s="80" t="str">
        <f>IF(AND(ISNUMBER(I122),I122&gt;=0,I122&lt;1),ROUND(I122*1440,0),"")</f>
        <v/>
      </c>
      <c r="AB122" s="80">
        <f>IF(AND(ISNUMBER(B122),D122&lt;&gt;"",ISNUMBER(Z122),ISNUMBER(AA122)),IF(Z122=AA122,0,1),0)</f>
        <v>0</v>
      </c>
      <c r="AC122" s="80">
        <f>IF(AB122=1,IF(AA122&lt;Z122,1,0),0)</f>
        <v>0</v>
      </c>
      <c r="AD122" s="80">
        <f>IF(AB122=1,IF(AC122=1,1440-Z122+AA122,AA122-Z122),0)</f>
        <v>0</v>
      </c>
      <c r="AE122" s="80">
        <f>IF(J122="",0,IF(ISNUMBER(J122),J122,-1))</f>
        <v>0</v>
      </c>
      <c r="AF122" s="80">
        <f>MIN(MAX(0,AE122),AD122)</f>
        <v>0</v>
      </c>
      <c r="AG122" s="80">
        <f>MAX(0,AD122-MAX(0,AE122))</f>
        <v>0</v>
      </c>
      <c r="AH122" s="80">
        <f>IF(ISNUMBER(B122),IF(AND(INDEX(CFG_WDAYS,WEEKDAY(INT(B122),2))="Sí",IF(D122="proMX",COUNTIFS(FER_F,INT(B122),FER_NLP,"Sí"),COUNTIFS(FER_F,INT(B122),FER_NLM,"Sí"))=0),1,0),0)</f>
        <v>0</v>
      </c>
      <c r="AI122" s="80">
        <f>IF(AC122=1,IF(AND(INDEX(CFG_WDAYS,WEEKDAY(INT(B122)+1,2))="Sí",IF(D122="proMX",COUNTIFS(FER_F,INT(B122)+1,FER_NLP,"Sí"),COUNTIFS(FER_F,INT(B122)+1,FER_NLM,"Sí"))=0),1,0),0)</f>
        <v>0</v>
      </c>
      <c r="AJ122" s="80">
        <f>IF(AC122=1,1440-Z122,AD122)</f>
        <v>0</v>
      </c>
      <c r="AK122" s="80">
        <f>IF(AND(AB122=1,AH122=1),MAX(0,MIN(IF(AC122=1,1440,AA122),CFG_WEM)-MAX(Z122,CFG_WSM)),0)</f>
        <v>0</v>
      </c>
      <c r="AL122" s="80">
        <f>IF(AND(AC122=1,AI122=1),MAX(0,MIN(AA122,CFG_WEM)-CFG_WSM),0)</f>
        <v>0</v>
      </c>
      <c r="AM122" s="80">
        <f>AK122+AL122</f>
        <v>0</v>
      </c>
      <c r="AN122" s="80">
        <f>IF(CFG_BRK="Proporcional",IF(AD122=0,0,AF122*AM122/AD122),IF(CFG_BRK="Extras primero",MIN(AM122,MAX(0,AF122-(AD122-AM122))),MIN(AF122,AM122)))</f>
        <v>0</v>
      </c>
      <c r="AO122" s="80">
        <f>AF122-AN122</f>
        <v>0</v>
      </c>
      <c r="AP122" s="80">
        <f>AM122-AN122</f>
        <v>0</v>
      </c>
      <c r="AQ122" s="80">
        <f>AD122-AM122-AO122</f>
        <v>0</v>
      </c>
      <c r="AR122" s="80">
        <f>IF(AM122=0,0,AK122-AN122*AK122/AM122)</f>
        <v>0</v>
      </c>
      <c r="AS122" s="80">
        <f>IF(AD122-AM122=0,0,(AJ122-AK122)-AO122*(AJ122-AK122)/(AD122-AM122))</f>
        <v>0</v>
      </c>
      <c r="AT122" s="80" t="str">
        <f>IF(AC122=1,INT(B122)+1,"")</f>
        <v/>
      </c>
      <c r="AU122" s="80">
        <f>IF(AND(D122="proMX",R122="Cancelled"),0,1)</f>
        <v>1</v>
      </c>
      <c r="AV122" s="80">
        <f>IF(AND(AB122=1,AU122=1),IF(COUNTIFS($D$5:D121,D122,$B$5:B121,B122,$Z$5:Z121,Z122,$AA$5:AA121,AA122,$F$5:F121,F122&amp;"",$AU$5:AU121,1)&gt;0,1,0),0)</f>
        <v>0</v>
      </c>
      <c r="AW122" s="80" t="str">
        <f>IF(AB122=1,INT(B122)*1440+Z122,"")</f>
        <v/>
      </c>
      <c r="AX122" s="80" t="str">
        <f>IF(AB122=1,AW122+AD122,"")</f>
        <v/>
      </c>
      <c r="AY122" s="80">
        <f>IF(AND(AB122=1,AV122=0,AU122=1),1,0)</f>
        <v>0</v>
      </c>
      <c r="AZ122" s="80">
        <f>IF(AY122=1,COUNTIFS(R_Emp,D122,R_SAbs,"&lt;"&amp;AX122,R_EAbs,"&gt;"&amp;AW122,R_OKey,1)-1,0)</f>
        <v>0</v>
      </c>
      <c r="BA122" s="80">
        <f>IF(AY122=1,COUNTIFS(R_Emp,"&lt;&gt;"&amp;D122,R_SAbs,"&lt;"&amp;AX122,R_EAbs,"&gt;"&amp;AW122,R_OKey,1),0)</f>
        <v>0</v>
      </c>
      <c r="BB122" s="80">
        <f>IF(AND(AB122=1,D122="proMX"),IF(AND(MOD(Z122,CFG_BLK)=0,MOD(AA122,CFG_BLK)=0,MOD(AG122,CFG_BLK)=0,AG122&gt;0),1,0),1)</f>
        <v>1</v>
      </c>
      <c r="BC122" s="80" t="str">
        <f>IF(Y122=0,"",IF(NOT(ISNUMBER(B122)),"Falta fecha o fecha inválida",IF(D122="","Falta empresa",IF(AND(D122&lt;&gt;"Malcolm",D122&lt;&gt;"proMX"),"Empresa inválida",IF(OR(INT(B122)&lt;CFG_PSTART,INT(B122)&gt;CFG_PEND),"Fecha fuera del período",IF(OR(NOT(ISNUMBER(Z122)),NOT(ISNUMBER(AA122))),"Falta hora inicio/fin o formato inválido",IF(AB122=0,"Hora inicio = hora fin",IF(AE122&lt;0,"Descanso inválido",IF(AE122&gt;=AD122,"Descanso ≥ duración",IF(AV122=1,"Registro duplicado",IF(AZ122&gt;0,"Se superpone con otro registro "&amp;D122,IF(BB122=0,"inicio, fin y duración neta deben ser múltiplos de "&amp;CFG_BLK&amp;" min",""))))))))))))</f>
        <v/>
      </c>
      <c r="BD122" s="80">
        <f>IF(AND(Y122=1,BC122=""),1,0)</f>
        <v>0</v>
      </c>
      <c r="BE122" s="80">
        <f>IF(AND(BD122=1,AU122=1),1,0)</f>
        <v>0</v>
      </c>
      <c r="BF122" s="80" t="str">
        <f>IF(AND(D122="proMX",BD122=1),IF(R122="","Draft",R122),"")</f>
        <v/>
      </c>
      <c r="BG122" s="80">
        <f>IF(BD122=1,ROUND(AG122/60,6),0)</f>
        <v>0</v>
      </c>
      <c r="BH122" s="80">
        <f>IF(BE122=1,ROUND(AG122/60,6),0)</f>
        <v>0</v>
      </c>
      <c r="BI122" s="80">
        <f>IF(BE122=1,ROUND(AP122/60,6),0)</f>
        <v>0</v>
      </c>
      <c r="BJ122" s="80">
        <f>IF(BE122=1,ROUND(AQ122/60,6),0)</f>
        <v>0</v>
      </c>
      <c r="BK122" s="80">
        <f>IF(BE122=1,ROUND((AR122+AS122)/60,6),0)</f>
        <v>0</v>
      </c>
      <c r="BL122" s="80">
        <f>ROUND(BH122-BK122,6)</f>
        <v>0</v>
      </c>
      <c r="BM122" s="80">
        <f>IF(BE122=1,ROUND(AR122/60,6),0)</f>
        <v>0</v>
      </c>
      <c r="BN122" s="80">
        <f>ROUND(BI122-BM122,6)</f>
        <v>0</v>
      </c>
      <c r="BO122" s="80">
        <f>IF(BE122=1,ROUND(AS122/60,6),0)</f>
        <v>0</v>
      </c>
      <c r="BP122" s="80">
        <f>ROUND(BJ122-BO122,6)</f>
        <v>0</v>
      </c>
      <c r="BQ122" s="80">
        <f>IF(BE122=1,AW122,0)</f>
        <v>0</v>
      </c>
      <c r="BR122" s="80">
        <f>IF(BE122=1,AX122,0)</f>
        <v>0</v>
      </c>
      <c r="BS122" s="80">
        <f>IF(AND(BE122=1,D122="Malcolm",BA122&gt;0),MIN(BH122,SUMPRODUCT((R_Emp="proMX")*(R_EN&gt;0)*((R_EN-(R_EN&gt;BR122)*(R_EN-BR122))&gt;(R_SN+(R_SN&lt;BQ122)*(BQ122-R_SN)))*((R_EN-(R_EN&gt;BR122)*(R_EN-BR122))-(R_SN+(R_SN&lt;BQ122)*(BQ122-R_SN))))/60),0)</f>
        <v>0</v>
      </c>
      <c r="BT122" s="80">
        <f>IF(AND(BE122=1,D122="proMX"),ROUND(BI122*CFG_RATE+BJ122*CFG_OTRATE,6),0)</f>
        <v>0</v>
      </c>
      <c r="BU122" s="80">
        <f>IF(AND(BD122=1,D122="proMX"),ROUND(AG122/CFG_BLK,6),0)</f>
        <v>0</v>
      </c>
      <c r="BV122" s="80" t="str">
        <f>IF(BF122="Approved",IF(ISNUMBER(T122),INT(T122),INT(B122)),"")</f>
        <v/>
      </c>
      <c r="BW122" s="80">
        <f>IF(ISNUMBER(B122),IF(DB_MON="Todos",1,IF(AND(INT(B122)&gt;=DB_MS,INT(B122)&lt;=DB_ME),1,0)),0)</f>
        <v>0</v>
      </c>
      <c r="BX122" s="80">
        <f>IF(DB_PROJ="Todos",1,IF(E122&amp;""=DB_PROJ&amp;"",1,0))</f>
        <v>1</v>
      </c>
      <c r="BY122" s="80">
        <f>BW122*BX122</f>
        <v>0</v>
      </c>
      <c r="BZ122" s="80" t="str">
        <f>IF(Y122=1,F122&amp;IF(AND(F122&amp;""&lt;&gt;"",E122&amp;""&lt;&gt;"")," · ","")&amp;E122,"")</f>
        <v/>
      </c>
      <c r="CA122" s="80" t="str">
        <f>IF(AND(BD122=1,E122&amp;""&lt;&gt;""),IF(COUNTIFS($E$5:E121,E122,$BD$5:BD121,1)=0,MAX($CA$5:CA121)+1,""),"")</f>
        <v/>
      </c>
      <c r="CB122" s="80" t="str">
        <f>IF(AND(BE122=1,D122="Malcolm",E122&amp;""&lt;&gt;""),IF(COUNTIFS($D$5:D121,"Malcolm",$E$5:E121,E122,$BE$5:BE121,1)=0,MAX($CB$5:CB121)+1,""),"")</f>
        <v/>
      </c>
      <c r="CC122" s="80" t="str">
        <f>IF(AND(BD122=1,D122="proMX",E122&amp;""&lt;&gt;""),IF(COUNTIFS($D$5:D121,"proMX",$E$5:E121,E122,$BD$5:BD121,1)=0,MAX($CC$5:CC121)+1,""),"")</f>
        <v/>
      </c>
      <c r="CD122" s="80" t="str">
        <f>IF(AND(BE122=1,D122="Malcolm",F122&amp;""&lt;&gt;""),IF(COUNTIFS($D$5:D121,"Malcolm",$F$5:F121,F122,$BE$5:BE121,1)=0,MAX($CD$5:CD121)+1,""),"")</f>
        <v/>
      </c>
      <c r="CE122" s="80" t="str">
        <f>IF(AND(BD122=1,D122="proMX",F122&amp;""&lt;&gt;""),IF(COUNTIFS($D$5:D121,"proMX",$F$5:F121,F122,$BD$5:BD121,1)=0,MAX($CE$5:CE121)+1,""),"")</f>
        <v/>
      </c>
      <c r="CF122" s="80" t="str">
        <f>IF(AND(D122="proMX",BD122=1),IF(OR(BF122="Draft",BF122="Submitted",BF122="Returned",BF122="Recall Requested"),MAX($CF$5:CF121)+1,""),"")</f>
        <v/>
      </c>
      <c r="CG122" s="80">
        <f>IF(BD122=0,0,IF(D122="Malcolm",1,MATCH(BF122,{"Draft","Submitted","Approved","Returned","Recall Requested","Cancelled"},0)+1))</f>
        <v>0</v>
      </c>
      <c r="CH122" s="80">
        <f>IF(AND(BF122="Submitted",ISNUMBER(V122)),IF(V122&gt;CFG_MAXD,1,0),0)</f>
        <v>0</v>
      </c>
    </row>
    <row r="123">
      <c r="A123" s="71" t="str">
        <f>IF(Y123=1,ROW()-5,"")</f>
        <v/>
      </c>
      <c r="B123" s="72" t="n"/>
      <c r="C123" s="71" t="str">
        <f>IF(ISNUMBER(B123),CHOOSE(WEEKDAY(B123,2),"Lun","Mar","Mié","Jue","Vie","Sáb","Dom"),"")</f>
        <v/>
      </c>
      <c r="D123" s="73" t="n"/>
      <c r="E123" s="74" t="n"/>
      <c r="F123" s="74" t="n"/>
      <c r="G123" s="74" t="n"/>
      <c r="H123" s="75" t="n"/>
      <c r="I123" s="75" t="n"/>
      <c r="J123" s="76" t="n"/>
      <c r="K123" s="77" t="str">
        <f>IF(AB123=1,ROUND(AG123/60,4),"")</f>
        <v/>
      </c>
      <c r="L123" s="77" t="str">
        <f>IF(BD123=1,ROUND(AP123/60,4),"")</f>
        <v/>
      </c>
      <c r="M123" s="77" t="str">
        <f>IF(BD123=1,ROUND(AQ123/60,4),"")</f>
        <v/>
      </c>
      <c r="N123" s="71" t="str">
        <f>IF(AND(D123="proMX",AB123=1),ROUND(AG123/CFG_BLK,2),"")</f>
        <v/>
      </c>
      <c r="O123" s="77" t="str">
        <f>IF(D123="proMX",IF(BD123=1,ROUND(AG123/60,4),0),"")</f>
        <v/>
      </c>
      <c r="P123" s="78" t="str">
        <f>IF(Y123=0,"",IF(BD123=1,"OK",IF(D123="proMX","Revisar bloques: ","Revisar: ")&amp;BC123))</f>
        <v/>
      </c>
      <c r="Q123" s="78" t="str">
        <f>IF(NOT(ISNUMBER(B123)),"",IF(COUNTIFS(FER_F,INT(B123))&gt;0,"Feriado"&amp;IF(AH123=1," (laborable)"," (no laborable)"),IF(AH123=1,"Laborable",IF(WEEKDAY(B123,2)&gt;5,"Fin de semana","No laborable"))))</f>
        <v/>
      </c>
      <c r="R123" s="73" t="n"/>
      <c r="S123" s="72" t="n"/>
      <c r="T123" s="72" t="n"/>
      <c r="U123" s="74" t="n"/>
      <c r="V123" s="79" t="str">
        <f>IF(AND(D123="proMX",OR(R123="Submitted",R123="Recall Requested"),ISNUMBER(S123)),CFG_TODAY-INT(S123),"")</f>
        <v/>
      </c>
      <c r="W123" s="78" t="str">
        <f>IF(BD123=0,"",IF(BA123&gt;0,"⚠ Se superpone con un registro de la otra empresa",IF(D123="Malcolm",IF(COUNTA(R123,S123,T123)&gt;0,"Estado/fechas proMX se ignoran en Malcolm",""),IF(BF123="Cancelled","Cancelado: excluido de totales",IF(R123="","Sin estado: se trata como Draft",IF(BF123="Submitted",IF(ISNUMBER(V123),IF(V123&gt;CFG_MAXD,"⚠ "&amp;V123&amp;" días en Submitted (máx. "&amp;CFG_MAXD&amp;")",""),"Falta fecha de envío"),IF(BF123="Returned","⚠ Devuelto: corregir y reenviar",IF(BF123="Recall Requested","Retirada solicitada: pendiente",IF(AND(BF123="Approved",NOT(ISNUMBER(T123))),"Falta fecha de aprobación",IF(AND(ISNUMBER(S123),ISNUMBER(T123),T123&lt;S123),"Aprobación anterior al envío","")))))))))</f>
        <v/>
      </c>
      <c r="Y123" s="80">
        <f>IF(COUNTA(B123,D123,E123,F123,G123,H123,I123,J123,R123,S123,T123)&gt;0,1,0)</f>
        <v>0</v>
      </c>
      <c r="Z123" s="80" t="str">
        <f>IF(AND(ISNUMBER(H123),H123&gt;=0,H123&lt;1),ROUND(H123*1440,0),"")</f>
        <v/>
      </c>
      <c r="AA123" s="80" t="str">
        <f>IF(AND(ISNUMBER(I123),I123&gt;=0,I123&lt;1),ROUND(I123*1440,0),"")</f>
        <v/>
      </c>
      <c r="AB123" s="80">
        <f>IF(AND(ISNUMBER(B123),D123&lt;&gt;"",ISNUMBER(Z123),ISNUMBER(AA123)),IF(Z123=AA123,0,1),0)</f>
        <v>0</v>
      </c>
      <c r="AC123" s="80">
        <f>IF(AB123=1,IF(AA123&lt;Z123,1,0),0)</f>
        <v>0</v>
      </c>
      <c r="AD123" s="80">
        <f>IF(AB123=1,IF(AC123=1,1440-Z123+AA123,AA123-Z123),0)</f>
        <v>0</v>
      </c>
      <c r="AE123" s="80">
        <f>IF(J123="",0,IF(ISNUMBER(J123),J123,-1))</f>
        <v>0</v>
      </c>
      <c r="AF123" s="80">
        <f>MIN(MAX(0,AE123),AD123)</f>
        <v>0</v>
      </c>
      <c r="AG123" s="80">
        <f>MAX(0,AD123-MAX(0,AE123))</f>
        <v>0</v>
      </c>
      <c r="AH123" s="80">
        <f>IF(ISNUMBER(B123),IF(AND(INDEX(CFG_WDAYS,WEEKDAY(INT(B123),2))="Sí",IF(D123="proMX",COUNTIFS(FER_F,INT(B123),FER_NLP,"Sí"),COUNTIFS(FER_F,INT(B123),FER_NLM,"Sí"))=0),1,0),0)</f>
        <v>0</v>
      </c>
      <c r="AI123" s="80">
        <f>IF(AC123=1,IF(AND(INDEX(CFG_WDAYS,WEEKDAY(INT(B123)+1,2))="Sí",IF(D123="proMX",COUNTIFS(FER_F,INT(B123)+1,FER_NLP,"Sí"),COUNTIFS(FER_F,INT(B123)+1,FER_NLM,"Sí"))=0),1,0),0)</f>
        <v>0</v>
      </c>
      <c r="AJ123" s="80">
        <f>IF(AC123=1,1440-Z123,AD123)</f>
        <v>0</v>
      </c>
      <c r="AK123" s="80">
        <f>IF(AND(AB123=1,AH123=1),MAX(0,MIN(IF(AC123=1,1440,AA123),CFG_WEM)-MAX(Z123,CFG_WSM)),0)</f>
        <v>0</v>
      </c>
      <c r="AL123" s="80">
        <f>IF(AND(AC123=1,AI123=1),MAX(0,MIN(AA123,CFG_WEM)-CFG_WSM),0)</f>
        <v>0</v>
      </c>
      <c r="AM123" s="80">
        <f>AK123+AL123</f>
        <v>0</v>
      </c>
      <c r="AN123" s="80">
        <f>IF(CFG_BRK="Proporcional",IF(AD123=0,0,AF123*AM123/AD123),IF(CFG_BRK="Extras primero",MIN(AM123,MAX(0,AF123-(AD123-AM123))),MIN(AF123,AM123)))</f>
        <v>0</v>
      </c>
      <c r="AO123" s="80">
        <f>AF123-AN123</f>
        <v>0</v>
      </c>
      <c r="AP123" s="80">
        <f>AM123-AN123</f>
        <v>0</v>
      </c>
      <c r="AQ123" s="80">
        <f>AD123-AM123-AO123</f>
        <v>0</v>
      </c>
      <c r="AR123" s="80">
        <f>IF(AM123=0,0,AK123-AN123*AK123/AM123)</f>
        <v>0</v>
      </c>
      <c r="AS123" s="80">
        <f>IF(AD123-AM123=0,0,(AJ123-AK123)-AO123*(AJ123-AK123)/(AD123-AM123))</f>
        <v>0</v>
      </c>
      <c r="AT123" s="80" t="str">
        <f>IF(AC123=1,INT(B123)+1,"")</f>
        <v/>
      </c>
      <c r="AU123" s="80">
        <f>IF(AND(D123="proMX",R123="Cancelled"),0,1)</f>
        <v>1</v>
      </c>
      <c r="AV123" s="80">
        <f>IF(AND(AB123=1,AU123=1),IF(COUNTIFS($D$5:D122,D123,$B$5:B122,B123,$Z$5:Z122,Z123,$AA$5:AA122,AA123,$F$5:F122,F123&amp;"",$AU$5:AU122,1)&gt;0,1,0),0)</f>
        <v>0</v>
      </c>
      <c r="AW123" s="80" t="str">
        <f>IF(AB123=1,INT(B123)*1440+Z123,"")</f>
        <v/>
      </c>
      <c r="AX123" s="80" t="str">
        <f>IF(AB123=1,AW123+AD123,"")</f>
        <v/>
      </c>
      <c r="AY123" s="80">
        <f>IF(AND(AB123=1,AV123=0,AU123=1),1,0)</f>
        <v>0</v>
      </c>
      <c r="AZ123" s="80">
        <f>IF(AY123=1,COUNTIFS(R_Emp,D123,R_SAbs,"&lt;"&amp;AX123,R_EAbs,"&gt;"&amp;AW123,R_OKey,1)-1,0)</f>
        <v>0</v>
      </c>
      <c r="BA123" s="80">
        <f>IF(AY123=1,COUNTIFS(R_Emp,"&lt;&gt;"&amp;D123,R_SAbs,"&lt;"&amp;AX123,R_EAbs,"&gt;"&amp;AW123,R_OKey,1),0)</f>
        <v>0</v>
      </c>
      <c r="BB123" s="80">
        <f>IF(AND(AB123=1,D123="proMX"),IF(AND(MOD(Z123,CFG_BLK)=0,MOD(AA123,CFG_BLK)=0,MOD(AG123,CFG_BLK)=0,AG123&gt;0),1,0),1)</f>
        <v>1</v>
      </c>
      <c r="BC123" s="80" t="str">
        <f>IF(Y123=0,"",IF(NOT(ISNUMBER(B123)),"Falta fecha o fecha inválida",IF(D123="","Falta empresa",IF(AND(D123&lt;&gt;"Malcolm",D123&lt;&gt;"proMX"),"Empresa inválida",IF(OR(INT(B123)&lt;CFG_PSTART,INT(B123)&gt;CFG_PEND),"Fecha fuera del período",IF(OR(NOT(ISNUMBER(Z123)),NOT(ISNUMBER(AA123))),"Falta hora inicio/fin o formato inválido",IF(AB123=0,"Hora inicio = hora fin",IF(AE123&lt;0,"Descanso inválido",IF(AE123&gt;=AD123,"Descanso ≥ duración",IF(AV123=1,"Registro duplicado",IF(AZ123&gt;0,"Se superpone con otro registro "&amp;D123,IF(BB123=0,"inicio, fin y duración neta deben ser múltiplos de "&amp;CFG_BLK&amp;" min",""))))))))))))</f>
        <v/>
      </c>
      <c r="BD123" s="80">
        <f>IF(AND(Y123=1,BC123=""),1,0)</f>
        <v>0</v>
      </c>
      <c r="BE123" s="80">
        <f>IF(AND(BD123=1,AU123=1),1,0)</f>
        <v>0</v>
      </c>
      <c r="BF123" s="80" t="str">
        <f>IF(AND(D123="proMX",BD123=1),IF(R123="","Draft",R123),"")</f>
        <v/>
      </c>
      <c r="BG123" s="80">
        <f>IF(BD123=1,ROUND(AG123/60,6),0)</f>
        <v>0</v>
      </c>
      <c r="BH123" s="80">
        <f>IF(BE123=1,ROUND(AG123/60,6),0)</f>
        <v>0</v>
      </c>
      <c r="BI123" s="80">
        <f>IF(BE123=1,ROUND(AP123/60,6),0)</f>
        <v>0</v>
      </c>
      <c r="BJ123" s="80">
        <f>IF(BE123=1,ROUND(AQ123/60,6),0)</f>
        <v>0</v>
      </c>
      <c r="BK123" s="80">
        <f>IF(BE123=1,ROUND((AR123+AS123)/60,6),0)</f>
        <v>0</v>
      </c>
      <c r="BL123" s="80">
        <f>ROUND(BH123-BK123,6)</f>
        <v>0</v>
      </c>
      <c r="BM123" s="80">
        <f>IF(BE123=1,ROUND(AR123/60,6),0)</f>
        <v>0</v>
      </c>
      <c r="BN123" s="80">
        <f>ROUND(BI123-BM123,6)</f>
        <v>0</v>
      </c>
      <c r="BO123" s="80">
        <f>IF(BE123=1,ROUND(AS123/60,6),0)</f>
        <v>0</v>
      </c>
      <c r="BP123" s="80">
        <f>ROUND(BJ123-BO123,6)</f>
        <v>0</v>
      </c>
      <c r="BQ123" s="80">
        <f>IF(BE123=1,AW123,0)</f>
        <v>0</v>
      </c>
      <c r="BR123" s="80">
        <f>IF(BE123=1,AX123,0)</f>
        <v>0</v>
      </c>
      <c r="BS123" s="80">
        <f>IF(AND(BE123=1,D123="Malcolm",BA123&gt;0),MIN(BH123,SUMPRODUCT((R_Emp="proMX")*(R_EN&gt;0)*((R_EN-(R_EN&gt;BR123)*(R_EN-BR123))&gt;(R_SN+(R_SN&lt;BQ123)*(BQ123-R_SN)))*((R_EN-(R_EN&gt;BR123)*(R_EN-BR123))-(R_SN+(R_SN&lt;BQ123)*(BQ123-R_SN))))/60),0)</f>
        <v>0</v>
      </c>
      <c r="BT123" s="80">
        <f>IF(AND(BE123=1,D123="proMX"),ROUND(BI123*CFG_RATE+BJ123*CFG_OTRATE,6),0)</f>
        <v>0</v>
      </c>
      <c r="BU123" s="80">
        <f>IF(AND(BD123=1,D123="proMX"),ROUND(AG123/CFG_BLK,6),0)</f>
        <v>0</v>
      </c>
      <c r="BV123" s="80" t="str">
        <f>IF(BF123="Approved",IF(ISNUMBER(T123),INT(T123),INT(B123)),"")</f>
        <v/>
      </c>
      <c r="BW123" s="80">
        <f>IF(ISNUMBER(B123),IF(DB_MON="Todos",1,IF(AND(INT(B123)&gt;=DB_MS,INT(B123)&lt;=DB_ME),1,0)),0)</f>
        <v>0</v>
      </c>
      <c r="BX123" s="80">
        <f>IF(DB_PROJ="Todos",1,IF(E123&amp;""=DB_PROJ&amp;"",1,0))</f>
        <v>1</v>
      </c>
      <c r="BY123" s="80">
        <f>BW123*BX123</f>
        <v>0</v>
      </c>
      <c r="BZ123" s="80" t="str">
        <f>IF(Y123=1,F123&amp;IF(AND(F123&amp;""&lt;&gt;"",E123&amp;""&lt;&gt;"")," · ","")&amp;E123,"")</f>
        <v/>
      </c>
      <c r="CA123" s="80" t="str">
        <f>IF(AND(BD123=1,E123&amp;""&lt;&gt;""),IF(COUNTIFS($E$5:E122,E123,$BD$5:BD122,1)=0,MAX($CA$5:CA122)+1,""),"")</f>
        <v/>
      </c>
      <c r="CB123" s="80" t="str">
        <f>IF(AND(BE123=1,D123="Malcolm",E123&amp;""&lt;&gt;""),IF(COUNTIFS($D$5:D122,"Malcolm",$E$5:E122,E123,$BE$5:BE122,1)=0,MAX($CB$5:CB122)+1,""),"")</f>
        <v/>
      </c>
      <c r="CC123" s="80" t="str">
        <f>IF(AND(BD123=1,D123="proMX",E123&amp;""&lt;&gt;""),IF(COUNTIFS($D$5:D122,"proMX",$E$5:E122,E123,$BD$5:BD122,1)=0,MAX($CC$5:CC122)+1,""),"")</f>
        <v/>
      </c>
      <c r="CD123" s="80" t="str">
        <f>IF(AND(BE123=1,D123="Malcolm",F123&amp;""&lt;&gt;""),IF(COUNTIFS($D$5:D122,"Malcolm",$F$5:F122,F123,$BE$5:BE122,1)=0,MAX($CD$5:CD122)+1,""),"")</f>
        <v/>
      </c>
      <c r="CE123" s="80" t="str">
        <f>IF(AND(BD123=1,D123="proMX",F123&amp;""&lt;&gt;""),IF(COUNTIFS($D$5:D122,"proMX",$F$5:F122,F123,$BD$5:BD122,1)=0,MAX($CE$5:CE122)+1,""),"")</f>
        <v/>
      </c>
      <c r="CF123" s="80" t="str">
        <f>IF(AND(D123="proMX",BD123=1),IF(OR(BF123="Draft",BF123="Submitted",BF123="Returned",BF123="Recall Requested"),MAX($CF$5:CF122)+1,""),"")</f>
        <v/>
      </c>
      <c r="CG123" s="80">
        <f>IF(BD123=0,0,IF(D123="Malcolm",1,MATCH(BF123,{"Draft","Submitted","Approved","Returned","Recall Requested","Cancelled"},0)+1))</f>
        <v>0</v>
      </c>
      <c r="CH123" s="80">
        <f>IF(AND(BF123="Submitted",ISNUMBER(V123)),IF(V123&gt;CFG_MAXD,1,0),0)</f>
        <v>0</v>
      </c>
    </row>
    <row r="124">
      <c r="A124" s="71" t="str">
        <f>IF(Y124=1,ROW()-5,"")</f>
        <v/>
      </c>
      <c r="B124" s="72" t="n"/>
      <c r="C124" s="71" t="str">
        <f>IF(ISNUMBER(B124),CHOOSE(WEEKDAY(B124,2),"Lun","Mar","Mié","Jue","Vie","Sáb","Dom"),"")</f>
        <v/>
      </c>
      <c r="D124" s="73" t="n"/>
      <c r="E124" s="74" t="n"/>
      <c r="F124" s="74" t="n"/>
      <c r="G124" s="74" t="n"/>
      <c r="H124" s="75" t="n"/>
      <c r="I124" s="75" t="n"/>
      <c r="J124" s="76" t="n"/>
      <c r="K124" s="77" t="str">
        <f>IF(AB124=1,ROUND(AG124/60,4),"")</f>
        <v/>
      </c>
      <c r="L124" s="77" t="str">
        <f>IF(BD124=1,ROUND(AP124/60,4),"")</f>
        <v/>
      </c>
      <c r="M124" s="77" t="str">
        <f>IF(BD124=1,ROUND(AQ124/60,4),"")</f>
        <v/>
      </c>
      <c r="N124" s="71" t="str">
        <f>IF(AND(D124="proMX",AB124=1),ROUND(AG124/CFG_BLK,2),"")</f>
        <v/>
      </c>
      <c r="O124" s="77" t="str">
        <f>IF(D124="proMX",IF(BD124=1,ROUND(AG124/60,4),0),"")</f>
        <v/>
      </c>
      <c r="P124" s="78" t="str">
        <f>IF(Y124=0,"",IF(BD124=1,"OK",IF(D124="proMX","Revisar bloques: ","Revisar: ")&amp;BC124))</f>
        <v/>
      </c>
      <c r="Q124" s="78" t="str">
        <f>IF(NOT(ISNUMBER(B124)),"",IF(COUNTIFS(FER_F,INT(B124))&gt;0,"Feriado"&amp;IF(AH124=1," (laborable)"," (no laborable)"),IF(AH124=1,"Laborable",IF(WEEKDAY(B124,2)&gt;5,"Fin de semana","No laborable"))))</f>
        <v/>
      </c>
      <c r="R124" s="73" t="n"/>
      <c r="S124" s="72" t="n"/>
      <c r="T124" s="72" t="n"/>
      <c r="U124" s="74" t="n"/>
      <c r="V124" s="79" t="str">
        <f>IF(AND(D124="proMX",OR(R124="Submitted",R124="Recall Requested"),ISNUMBER(S124)),CFG_TODAY-INT(S124),"")</f>
        <v/>
      </c>
      <c r="W124" s="78" t="str">
        <f>IF(BD124=0,"",IF(BA124&gt;0,"⚠ Se superpone con un registro de la otra empresa",IF(D124="Malcolm",IF(COUNTA(R124,S124,T124)&gt;0,"Estado/fechas proMX se ignoran en Malcolm",""),IF(BF124="Cancelled","Cancelado: excluido de totales",IF(R124="","Sin estado: se trata como Draft",IF(BF124="Submitted",IF(ISNUMBER(V124),IF(V124&gt;CFG_MAXD,"⚠ "&amp;V124&amp;" días en Submitted (máx. "&amp;CFG_MAXD&amp;")",""),"Falta fecha de envío"),IF(BF124="Returned","⚠ Devuelto: corregir y reenviar",IF(BF124="Recall Requested","Retirada solicitada: pendiente",IF(AND(BF124="Approved",NOT(ISNUMBER(T124))),"Falta fecha de aprobación",IF(AND(ISNUMBER(S124),ISNUMBER(T124),T124&lt;S124),"Aprobación anterior al envío","")))))))))</f>
        <v/>
      </c>
      <c r="Y124" s="80">
        <f>IF(COUNTA(B124,D124,E124,F124,G124,H124,I124,J124,R124,S124,T124)&gt;0,1,0)</f>
        <v>0</v>
      </c>
      <c r="Z124" s="80" t="str">
        <f>IF(AND(ISNUMBER(H124),H124&gt;=0,H124&lt;1),ROUND(H124*1440,0),"")</f>
        <v/>
      </c>
      <c r="AA124" s="80" t="str">
        <f>IF(AND(ISNUMBER(I124),I124&gt;=0,I124&lt;1),ROUND(I124*1440,0),"")</f>
        <v/>
      </c>
      <c r="AB124" s="80">
        <f>IF(AND(ISNUMBER(B124),D124&lt;&gt;"",ISNUMBER(Z124),ISNUMBER(AA124)),IF(Z124=AA124,0,1),0)</f>
        <v>0</v>
      </c>
      <c r="AC124" s="80">
        <f>IF(AB124=1,IF(AA124&lt;Z124,1,0),0)</f>
        <v>0</v>
      </c>
      <c r="AD124" s="80">
        <f>IF(AB124=1,IF(AC124=1,1440-Z124+AA124,AA124-Z124),0)</f>
        <v>0</v>
      </c>
      <c r="AE124" s="80">
        <f>IF(J124="",0,IF(ISNUMBER(J124),J124,-1))</f>
        <v>0</v>
      </c>
      <c r="AF124" s="80">
        <f>MIN(MAX(0,AE124),AD124)</f>
        <v>0</v>
      </c>
      <c r="AG124" s="80">
        <f>MAX(0,AD124-MAX(0,AE124))</f>
        <v>0</v>
      </c>
      <c r="AH124" s="80">
        <f>IF(ISNUMBER(B124),IF(AND(INDEX(CFG_WDAYS,WEEKDAY(INT(B124),2))="Sí",IF(D124="proMX",COUNTIFS(FER_F,INT(B124),FER_NLP,"Sí"),COUNTIFS(FER_F,INT(B124),FER_NLM,"Sí"))=0),1,0),0)</f>
        <v>0</v>
      </c>
      <c r="AI124" s="80">
        <f>IF(AC124=1,IF(AND(INDEX(CFG_WDAYS,WEEKDAY(INT(B124)+1,2))="Sí",IF(D124="proMX",COUNTIFS(FER_F,INT(B124)+1,FER_NLP,"Sí"),COUNTIFS(FER_F,INT(B124)+1,FER_NLM,"Sí"))=0),1,0),0)</f>
        <v>0</v>
      </c>
      <c r="AJ124" s="80">
        <f>IF(AC124=1,1440-Z124,AD124)</f>
        <v>0</v>
      </c>
      <c r="AK124" s="80">
        <f>IF(AND(AB124=1,AH124=1),MAX(0,MIN(IF(AC124=1,1440,AA124),CFG_WEM)-MAX(Z124,CFG_WSM)),0)</f>
        <v>0</v>
      </c>
      <c r="AL124" s="80">
        <f>IF(AND(AC124=1,AI124=1),MAX(0,MIN(AA124,CFG_WEM)-CFG_WSM),0)</f>
        <v>0</v>
      </c>
      <c r="AM124" s="80">
        <f>AK124+AL124</f>
        <v>0</v>
      </c>
      <c r="AN124" s="80">
        <f>IF(CFG_BRK="Proporcional",IF(AD124=0,0,AF124*AM124/AD124),IF(CFG_BRK="Extras primero",MIN(AM124,MAX(0,AF124-(AD124-AM124))),MIN(AF124,AM124)))</f>
        <v>0</v>
      </c>
      <c r="AO124" s="80">
        <f>AF124-AN124</f>
        <v>0</v>
      </c>
      <c r="AP124" s="80">
        <f>AM124-AN124</f>
        <v>0</v>
      </c>
      <c r="AQ124" s="80">
        <f>AD124-AM124-AO124</f>
        <v>0</v>
      </c>
      <c r="AR124" s="80">
        <f>IF(AM124=0,0,AK124-AN124*AK124/AM124)</f>
        <v>0</v>
      </c>
      <c r="AS124" s="80">
        <f>IF(AD124-AM124=0,0,(AJ124-AK124)-AO124*(AJ124-AK124)/(AD124-AM124))</f>
        <v>0</v>
      </c>
      <c r="AT124" s="80" t="str">
        <f>IF(AC124=1,INT(B124)+1,"")</f>
        <v/>
      </c>
      <c r="AU124" s="80">
        <f>IF(AND(D124="proMX",R124="Cancelled"),0,1)</f>
        <v>1</v>
      </c>
      <c r="AV124" s="80">
        <f>IF(AND(AB124=1,AU124=1),IF(COUNTIFS($D$5:D123,D124,$B$5:B123,B124,$Z$5:Z123,Z124,$AA$5:AA123,AA124,$F$5:F123,F124&amp;"",$AU$5:AU123,1)&gt;0,1,0),0)</f>
        <v>0</v>
      </c>
      <c r="AW124" s="80" t="str">
        <f>IF(AB124=1,INT(B124)*1440+Z124,"")</f>
        <v/>
      </c>
      <c r="AX124" s="80" t="str">
        <f>IF(AB124=1,AW124+AD124,"")</f>
        <v/>
      </c>
      <c r="AY124" s="80">
        <f>IF(AND(AB124=1,AV124=0,AU124=1),1,0)</f>
        <v>0</v>
      </c>
      <c r="AZ124" s="80">
        <f>IF(AY124=1,COUNTIFS(R_Emp,D124,R_SAbs,"&lt;"&amp;AX124,R_EAbs,"&gt;"&amp;AW124,R_OKey,1)-1,0)</f>
        <v>0</v>
      </c>
      <c r="BA124" s="80">
        <f>IF(AY124=1,COUNTIFS(R_Emp,"&lt;&gt;"&amp;D124,R_SAbs,"&lt;"&amp;AX124,R_EAbs,"&gt;"&amp;AW124,R_OKey,1),0)</f>
        <v>0</v>
      </c>
      <c r="BB124" s="80">
        <f>IF(AND(AB124=1,D124="proMX"),IF(AND(MOD(Z124,CFG_BLK)=0,MOD(AA124,CFG_BLK)=0,MOD(AG124,CFG_BLK)=0,AG124&gt;0),1,0),1)</f>
        <v>1</v>
      </c>
      <c r="BC124" s="80" t="str">
        <f>IF(Y124=0,"",IF(NOT(ISNUMBER(B124)),"Falta fecha o fecha inválida",IF(D124="","Falta empresa",IF(AND(D124&lt;&gt;"Malcolm",D124&lt;&gt;"proMX"),"Empresa inválida",IF(OR(INT(B124)&lt;CFG_PSTART,INT(B124)&gt;CFG_PEND),"Fecha fuera del período",IF(OR(NOT(ISNUMBER(Z124)),NOT(ISNUMBER(AA124))),"Falta hora inicio/fin o formato inválido",IF(AB124=0,"Hora inicio = hora fin",IF(AE124&lt;0,"Descanso inválido",IF(AE124&gt;=AD124,"Descanso ≥ duración",IF(AV124=1,"Registro duplicado",IF(AZ124&gt;0,"Se superpone con otro registro "&amp;D124,IF(BB124=0,"inicio, fin y duración neta deben ser múltiplos de "&amp;CFG_BLK&amp;" min",""))))))))))))</f>
        <v/>
      </c>
      <c r="BD124" s="80">
        <f>IF(AND(Y124=1,BC124=""),1,0)</f>
        <v>0</v>
      </c>
      <c r="BE124" s="80">
        <f>IF(AND(BD124=1,AU124=1),1,0)</f>
        <v>0</v>
      </c>
      <c r="BF124" s="80" t="str">
        <f>IF(AND(D124="proMX",BD124=1),IF(R124="","Draft",R124),"")</f>
        <v/>
      </c>
      <c r="BG124" s="80">
        <f>IF(BD124=1,ROUND(AG124/60,6),0)</f>
        <v>0</v>
      </c>
      <c r="BH124" s="80">
        <f>IF(BE124=1,ROUND(AG124/60,6),0)</f>
        <v>0</v>
      </c>
      <c r="BI124" s="80">
        <f>IF(BE124=1,ROUND(AP124/60,6),0)</f>
        <v>0</v>
      </c>
      <c r="BJ124" s="80">
        <f>IF(BE124=1,ROUND(AQ124/60,6),0)</f>
        <v>0</v>
      </c>
      <c r="BK124" s="80">
        <f>IF(BE124=1,ROUND((AR124+AS124)/60,6),0)</f>
        <v>0</v>
      </c>
      <c r="BL124" s="80">
        <f>ROUND(BH124-BK124,6)</f>
        <v>0</v>
      </c>
      <c r="BM124" s="80">
        <f>IF(BE124=1,ROUND(AR124/60,6),0)</f>
        <v>0</v>
      </c>
      <c r="BN124" s="80">
        <f>ROUND(BI124-BM124,6)</f>
        <v>0</v>
      </c>
      <c r="BO124" s="80">
        <f>IF(BE124=1,ROUND(AS124/60,6),0)</f>
        <v>0</v>
      </c>
      <c r="BP124" s="80">
        <f>ROUND(BJ124-BO124,6)</f>
        <v>0</v>
      </c>
      <c r="BQ124" s="80">
        <f>IF(BE124=1,AW124,0)</f>
        <v>0</v>
      </c>
      <c r="BR124" s="80">
        <f>IF(BE124=1,AX124,0)</f>
        <v>0</v>
      </c>
      <c r="BS124" s="80">
        <f>IF(AND(BE124=1,D124="Malcolm",BA124&gt;0),MIN(BH124,SUMPRODUCT((R_Emp="proMX")*(R_EN&gt;0)*((R_EN-(R_EN&gt;BR124)*(R_EN-BR124))&gt;(R_SN+(R_SN&lt;BQ124)*(BQ124-R_SN)))*((R_EN-(R_EN&gt;BR124)*(R_EN-BR124))-(R_SN+(R_SN&lt;BQ124)*(BQ124-R_SN))))/60),0)</f>
        <v>0</v>
      </c>
      <c r="BT124" s="80">
        <f>IF(AND(BE124=1,D124="proMX"),ROUND(BI124*CFG_RATE+BJ124*CFG_OTRATE,6),0)</f>
        <v>0</v>
      </c>
      <c r="BU124" s="80">
        <f>IF(AND(BD124=1,D124="proMX"),ROUND(AG124/CFG_BLK,6),0)</f>
        <v>0</v>
      </c>
      <c r="BV124" s="80" t="str">
        <f>IF(BF124="Approved",IF(ISNUMBER(T124),INT(T124),INT(B124)),"")</f>
        <v/>
      </c>
      <c r="BW124" s="80">
        <f>IF(ISNUMBER(B124),IF(DB_MON="Todos",1,IF(AND(INT(B124)&gt;=DB_MS,INT(B124)&lt;=DB_ME),1,0)),0)</f>
        <v>0</v>
      </c>
      <c r="BX124" s="80">
        <f>IF(DB_PROJ="Todos",1,IF(E124&amp;""=DB_PROJ&amp;"",1,0))</f>
        <v>1</v>
      </c>
      <c r="BY124" s="80">
        <f>BW124*BX124</f>
        <v>0</v>
      </c>
      <c r="BZ124" s="80" t="str">
        <f>IF(Y124=1,F124&amp;IF(AND(F124&amp;""&lt;&gt;"",E124&amp;""&lt;&gt;"")," · ","")&amp;E124,"")</f>
        <v/>
      </c>
      <c r="CA124" s="80" t="str">
        <f>IF(AND(BD124=1,E124&amp;""&lt;&gt;""),IF(COUNTIFS($E$5:E123,E124,$BD$5:BD123,1)=0,MAX($CA$5:CA123)+1,""),"")</f>
        <v/>
      </c>
      <c r="CB124" s="80" t="str">
        <f>IF(AND(BE124=1,D124="Malcolm",E124&amp;""&lt;&gt;""),IF(COUNTIFS($D$5:D123,"Malcolm",$E$5:E123,E124,$BE$5:BE123,1)=0,MAX($CB$5:CB123)+1,""),"")</f>
        <v/>
      </c>
      <c r="CC124" s="80" t="str">
        <f>IF(AND(BD124=1,D124="proMX",E124&amp;""&lt;&gt;""),IF(COUNTIFS($D$5:D123,"proMX",$E$5:E123,E124,$BD$5:BD123,1)=0,MAX($CC$5:CC123)+1,""),"")</f>
        <v/>
      </c>
      <c r="CD124" s="80" t="str">
        <f>IF(AND(BE124=1,D124="Malcolm",F124&amp;""&lt;&gt;""),IF(COUNTIFS($D$5:D123,"Malcolm",$F$5:F123,F124,$BE$5:BE123,1)=0,MAX($CD$5:CD123)+1,""),"")</f>
        <v/>
      </c>
      <c r="CE124" s="80" t="str">
        <f>IF(AND(BD124=1,D124="proMX",F124&amp;""&lt;&gt;""),IF(COUNTIFS($D$5:D123,"proMX",$F$5:F123,F124,$BD$5:BD123,1)=0,MAX($CE$5:CE123)+1,""),"")</f>
        <v/>
      </c>
      <c r="CF124" s="80" t="str">
        <f>IF(AND(D124="proMX",BD124=1),IF(OR(BF124="Draft",BF124="Submitted",BF124="Returned",BF124="Recall Requested"),MAX($CF$5:CF123)+1,""),"")</f>
        <v/>
      </c>
      <c r="CG124" s="80">
        <f>IF(BD124=0,0,IF(D124="Malcolm",1,MATCH(BF124,{"Draft","Submitted","Approved","Returned","Recall Requested","Cancelled"},0)+1))</f>
        <v>0</v>
      </c>
      <c r="CH124" s="80">
        <f>IF(AND(BF124="Submitted",ISNUMBER(V124)),IF(V124&gt;CFG_MAXD,1,0),0)</f>
        <v>0</v>
      </c>
    </row>
    <row r="125">
      <c r="A125" s="71" t="str">
        <f>IF(Y125=1,ROW()-5,"")</f>
        <v/>
      </c>
      <c r="B125" s="72" t="n"/>
      <c r="C125" s="71" t="str">
        <f>IF(ISNUMBER(B125),CHOOSE(WEEKDAY(B125,2),"Lun","Mar","Mié","Jue","Vie","Sáb","Dom"),"")</f>
        <v/>
      </c>
      <c r="D125" s="73" t="n"/>
      <c r="E125" s="74" t="n"/>
      <c r="F125" s="74" t="n"/>
      <c r="G125" s="74" t="n"/>
      <c r="H125" s="75" t="n"/>
      <c r="I125" s="75" t="n"/>
      <c r="J125" s="76" t="n"/>
      <c r="K125" s="77" t="str">
        <f>IF(AB125=1,ROUND(AG125/60,4),"")</f>
        <v/>
      </c>
      <c r="L125" s="77" t="str">
        <f>IF(BD125=1,ROUND(AP125/60,4),"")</f>
        <v/>
      </c>
      <c r="M125" s="77" t="str">
        <f>IF(BD125=1,ROUND(AQ125/60,4),"")</f>
        <v/>
      </c>
      <c r="N125" s="71" t="str">
        <f>IF(AND(D125="proMX",AB125=1),ROUND(AG125/CFG_BLK,2),"")</f>
        <v/>
      </c>
      <c r="O125" s="77" t="str">
        <f>IF(D125="proMX",IF(BD125=1,ROUND(AG125/60,4),0),"")</f>
        <v/>
      </c>
      <c r="P125" s="78" t="str">
        <f>IF(Y125=0,"",IF(BD125=1,"OK",IF(D125="proMX","Revisar bloques: ","Revisar: ")&amp;BC125))</f>
        <v/>
      </c>
      <c r="Q125" s="78" t="str">
        <f>IF(NOT(ISNUMBER(B125)),"",IF(COUNTIFS(FER_F,INT(B125))&gt;0,"Feriado"&amp;IF(AH125=1," (laborable)"," (no laborable)"),IF(AH125=1,"Laborable",IF(WEEKDAY(B125,2)&gt;5,"Fin de semana","No laborable"))))</f>
        <v/>
      </c>
      <c r="R125" s="73" t="n"/>
      <c r="S125" s="72" t="n"/>
      <c r="T125" s="72" t="n"/>
      <c r="U125" s="74" t="n"/>
      <c r="V125" s="79" t="str">
        <f>IF(AND(D125="proMX",OR(R125="Submitted",R125="Recall Requested"),ISNUMBER(S125)),CFG_TODAY-INT(S125),"")</f>
        <v/>
      </c>
      <c r="W125" s="78" t="str">
        <f>IF(BD125=0,"",IF(BA125&gt;0,"⚠ Se superpone con un registro de la otra empresa",IF(D125="Malcolm",IF(COUNTA(R125,S125,T125)&gt;0,"Estado/fechas proMX se ignoran en Malcolm",""),IF(BF125="Cancelled","Cancelado: excluido de totales",IF(R125="","Sin estado: se trata como Draft",IF(BF125="Submitted",IF(ISNUMBER(V125),IF(V125&gt;CFG_MAXD,"⚠ "&amp;V125&amp;" días en Submitted (máx. "&amp;CFG_MAXD&amp;")",""),"Falta fecha de envío"),IF(BF125="Returned","⚠ Devuelto: corregir y reenviar",IF(BF125="Recall Requested","Retirada solicitada: pendiente",IF(AND(BF125="Approved",NOT(ISNUMBER(T125))),"Falta fecha de aprobación",IF(AND(ISNUMBER(S125),ISNUMBER(T125),T125&lt;S125),"Aprobación anterior al envío","")))))))))</f>
        <v/>
      </c>
      <c r="Y125" s="80">
        <f>IF(COUNTA(B125,D125,E125,F125,G125,H125,I125,J125,R125,S125,T125)&gt;0,1,0)</f>
        <v>0</v>
      </c>
      <c r="Z125" s="80" t="str">
        <f>IF(AND(ISNUMBER(H125),H125&gt;=0,H125&lt;1),ROUND(H125*1440,0),"")</f>
        <v/>
      </c>
      <c r="AA125" s="80" t="str">
        <f>IF(AND(ISNUMBER(I125),I125&gt;=0,I125&lt;1),ROUND(I125*1440,0),"")</f>
        <v/>
      </c>
      <c r="AB125" s="80">
        <f>IF(AND(ISNUMBER(B125),D125&lt;&gt;"",ISNUMBER(Z125),ISNUMBER(AA125)),IF(Z125=AA125,0,1),0)</f>
        <v>0</v>
      </c>
      <c r="AC125" s="80">
        <f>IF(AB125=1,IF(AA125&lt;Z125,1,0),0)</f>
        <v>0</v>
      </c>
      <c r="AD125" s="80">
        <f>IF(AB125=1,IF(AC125=1,1440-Z125+AA125,AA125-Z125),0)</f>
        <v>0</v>
      </c>
      <c r="AE125" s="80">
        <f>IF(J125="",0,IF(ISNUMBER(J125),J125,-1))</f>
        <v>0</v>
      </c>
      <c r="AF125" s="80">
        <f>MIN(MAX(0,AE125),AD125)</f>
        <v>0</v>
      </c>
      <c r="AG125" s="80">
        <f>MAX(0,AD125-MAX(0,AE125))</f>
        <v>0</v>
      </c>
      <c r="AH125" s="80">
        <f>IF(ISNUMBER(B125),IF(AND(INDEX(CFG_WDAYS,WEEKDAY(INT(B125),2))="Sí",IF(D125="proMX",COUNTIFS(FER_F,INT(B125),FER_NLP,"Sí"),COUNTIFS(FER_F,INT(B125),FER_NLM,"Sí"))=0),1,0),0)</f>
        <v>0</v>
      </c>
      <c r="AI125" s="80">
        <f>IF(AC125=1,IF(AND(INDEX(CFG_WDAYS,WEEKDAY(INT(B125)+1,2))="Sí",IF(D125="proMX",COUNTIFS(FER_F,INT(B125)+1,FER_NLP,"Sí"),COUNTIFS(FER_F,INT(B125)+1,FER_NLM,"Sí"))=0),1,0),0)</f>
        <v>0</v>
      </c>
      <c r="AJ125" s="80">
        <f>IF(AC125=1,1440-Z125,AD125)</f>
        <v>0</v>
      </c>
      <c r="AK125" s="80">
        <f>IF(AND(AB125=1,AH125=1),MAX(0,MIN(IF(AC125=1,1440,AA125),CFG_WEM)-MAX(Z125,CFG_WSM)),0)</f>
        <v>0</v>
      </c>
      <c r="AL125" s="80">
        <f>IF(AND(AC125=1,AI125=1),MAX(0,MIN(AA125,CFG_WEM)-CFG_WSM),0)</f>
        <v>0</v>
      </c>
      <c r="AM125" s="80">
        <f>AK125+AL125</f>
        <v>0</v>
      </c>
      <c r="AN125" s="80">
        <f>IF(CFG_BRK="Proporcional",IF(AD125=0,0,AF125*AM125/AD125),IF(CFG_BRK="Extras primero",MIN(AM125,MAX(0,AF125-(AD125-AM125))),MIN(AF125,AM125)))</f>
        <v>0</v>
      </c>
      <c r="AO125" s="80">
        <f>AF125-AN125</f>
        <v>0</v>
      </c>
      <c r="AP125" s="80">
        <f>AM125-AN125</f>
        <v>0</v>
      </c>
      <c r="AQ125" s="80">
        <f>AD125-AM125-AO125</f>
        <v>0</v>
      </c>
      <c r="AR125" s="80">
        <f>IF(AM125=0,0,AK125-AN125*AK125/AM125)</f>
        <v>0</v>
      </c>
      <c r="AS125" s="80">
        <f>IF(AD125-AM125=0,0,(AJ125-AK125)-AO125*(AJ125-AK125)/(AD125-AM125))</f>
        <v>0</v>
      </c>
      <c r="AT125" s="80" t="str">
        <f>IF(AC125=1,INT(B125)+1,"")</f>
        <v/>
      </c>
      <c r="AU125" s="80">
        <f>IF(AND(D125="proMX",R125="Cancelled"),0,1)</f>
        <v>1</v>
      </c>
      <c r="AV125" s="80">
        <f>IF(AND(AB125=1,AU125=1),IF(COUNTIFS($D$5:D124,D125,$B$5:B124,B125,$Z$5:Z124,Z125,$AA$5:AA124,AA125,$F$5:F124,F125&amp;"",$AU$5:AU124,1)&gt;0,1,0),0)</f>
        <v>0</v>
      </c>
      <c r="AW125" s="80" t="str">
        <f>IF(AB125=1,INT(B125)*1440+Z125,"")</f>
        <v/>
      </c>
      <c r="AX125" s="80" t="str">
        <f>IF(AB125=1,AW125+AD125,"")</f>
        <v/>
      </c>
      <c r="AY125" s="80">
        <f>IF(AND(AB125=1,AV125=0,AU125=1),1,0)</f>
        <v>0</v>
      </c>
      <c r="AZ125" s="80">
        <f>IF(AY125=1,COUNTIFS(R_Emp,D125,R_SAbs,"&lt;"&amp;AX125,R_EAbs,"&gt;"&amp;AW125,R_OKey,1)-1,0)</f>
        <v>0</v>
      </c>
      <c r="BA125" s="80">
        <f>IF(AY125=1,COUNTIFS(R_Emp,"&lt;&gt;"&amp;D125,R_SAbs,"&lt;"&amp;AX125,R_EAbs,"&gt;"&amp;AW125,R_OKey,1),0)</f>
        <v>0</v>
      </c>
      <c r="BB125" s="80">
        <f>IF(AND(AB125=1,D125="proMX"),IF(AND(MOD(Z125,CFG_BLK)=0,MOD(AA125,CFG_BLK)=0,MOD(AG125,CFG_BLK)=0,AG125&gt;0),1,0),1)</f>
        <v>1</v>
      </c>
      <c r="BC125" s="80" t="str">
        <f>IF(Y125=0,"",IF(NOT(ISNUMBER(B125)),"Falta fecha o fecha inválida",IF(D125="","Falta empresa",IF(AND(D125&lt;&gt;"Malcolm",D125&lt;&gt;"proMX"),"Empresa inválida",IF(OR(INT(B125)&lt;CFG_PSTART,INT(B125)&gt;CFG_PEND),"Fecha fuera del período",IF(OR(NOT(ISNUMBER(Z125)),NOT(ISNUMBER(AA125))),"Falta hora inicio/fin o formato inválido",IF(AB125=0,"Hora inicio = hora fin",IF(AE125&lt;0,"Descanso inválido",IF(AE125&gt;=AD125,"Descanso ≥ duración",IF(AV125=1,"Registro duplicado",IF(AZ125&gt;0,"Se superpone con otro registro "&amp;D125,IF(BB125=0,"inicio, fin y duración neta deben ser múltiplos de "&amp;CFG_BLK&amp;" min",""))))))))))))</f>
        <v/>
      </c>
      <c r="BD125" s="80">
        <f>IF(AND(Y125=1,BC125=""),1,0)</f>
        <v>0</v>
      </c>
      <c r="BE125" s="80">
        <f>IF(AND(BD125=1,AU125=1),1,0)</f>
        <v>0</v>
      </c>
      <c r="BF125" s="80" t="str">
        <f>IF(AND(D125="proMX",BD125=1),IF(R125="","Draft",R125),"")</f>
        <v/>
      </c>
      <c r="BG125" s="80">
        <f>IF(BD125=1,ROUND(AG125/60,6),0)</f>
        <v>0</v>
      </c>
      <c r="BH125" s="80">
        <f>IF(BE125=1,ROUND(AG125/60,6),0)</f>
        <v>0</v>
      </c>
      <c r="BI125" s="80">
        <f>IF(BE125=1,ROUND(AP125/60,6),0)</f>
        <v>0</v>
      </c>
      <c r="BJ125" s="80">
        <f>IF(BE125=1,ROUND(AQ125/60,6),0)</f>
        <v>0</v>
      </c>
      <c r="BK125" s="80">
        <f>IF(BE125=1,ROUND((AR125+AS125)/60,6),0)</f>
        <v>0</v>
      </c>
      <c r="BL125" s="80">
        <f>ROUND(BH125-BK125,6)</f>
        <v>0</v>
      </c>
      <c r="BM125" s="80">
        <f>IF(BE125=1,ROUND(AR125/60,6),0)</f>
        <v>0</v>
      </c>
      <c r="BN125" s="80">
        <f>ROUND(BI125-BM125,6)</f>
        <v>0</v>
      </c>
      <c r="BO125" s="80">
        <f>IF(BE125=1,ROUND(AS125/60,6),0)</f>
        <v>0</v>
      </c>
      <c r="BP125" s="80">
        <f>ROUND(BJ125-BO125,6)</f>
        <v>0</v>
      </c>
      <c r="BQ125" s="80">
        <f>IF(BE125=1,AW125,0)</f>
        <v>0</v>
      </c>
      <c r="BR125" s="80">
        <f>IF(BE125=1,AX125,0)</f>
        <v>0</v>
      </c>
      <c r="BS125" s="80">
        <f>IF(AND(BE125=1,D125="Malcolm",BA125&gt;0),MIN(BH125,SUMPRODUCT((R_Emp="proMX")*(R_EN&gt;0)*((R_EN-(R_EN&gt;BR125)*(R_EN-BR125))&gt;(R_SN+(R_SN&lt;BQ125)*(BQ125-R_SN)))*((R_EN-(R_EN&gt;BR125)*(R_EN-BR125))-(R_SN+(R_SN&lt;BQ125)*(BQ125-R_SN))))/60),0)</f>
        <v>0</v>
      </c>
      <c r="BT125" s="80">
        <f>IF(AND(BE125=1,D125="proMX"),ROUND(BI125*CFG_RATE+BJ125*CFG_OTRATE,6),0)</f>
        <v>0</v>
      </c>
      <c r="BU125" s="80">
        <f>IF(AND(BD125=1,D125="proMX"),ROUND(AG125/CFG_BLK,6),0)</f>
        <v>0</v>
      </c>
      <c r="BV125" s="80" t="str">
        <f>IF(BF125="Approved",IF(ISNUMBER(T125),INT(T125),INT(B125)),"")</f>
        <v/>
      </c>
      <c r="BW125" s="80">
        <f>IF(ISNUMBER(B125),IF(DB_MON="Todos",1,IF(AND(INT(B125)&gt;=DB_MS,INT(B125)&lt;=DB_ME),1,0)),0)</f>
        <v>0</v>
      </c>
      <c r="BX125" s="80">
        <f>IF(DB_PROJ="Todos",1,IF(E125&amp;""=DB_PROJ&amp;"",1,0))</f>
        <v>1</v>
      </c>
      <c r="BY125" s="80">
        <f>BW125*BX125</f>
        <v>0</v>
      </c>
      <c r="BZ125" s="80" t="str">
        <f>IF(Y125=1,F125&amp;IF(AND(F125&amp;""&lt;&gt;"",E125&amp;""&lt;&gt;"")," · ","")&amp;E125,"")</f>
        <v/>
      </c>
      <c r="CA125" s="80" t="str">
        <f>IF(AND(BD125=1,E125&amp;""&lt;&gt;""),IF(COUNTIFS($E$5:E124,E125,$BD$5:BD124,1)=0,MAX($CA$5:CA124)+1,""),"")</f>
        <v/>
      </c>
      <c r="CB125" s="80" t="str">
        <f>IF(AND(BE125=1,D125="Malcolm",E125&amp;""&lt;&gt;""),IF(COUNTIFS($D$5:D124,"Malcolm",$E$5:E124,E125,$BE$5:BE124,1)=0,MAX($CB$5:CB124)+1,""),"")</f>
        <v/>
      </c>
      <c r="CC125" s="80" t="str">
        <f>IF(AND(BD125=1,D125="proMX",E125&amp;""&lt;&gt;""),IF(COUNTIFS($D$5:D124,"proMX",$E$5:E124,E125,$BD$5:BD124,1)=0,MAX($CC$5:CC124)+1,""),"")</f>
        <v/>
      </c>
      <c r="CD125" s="80" t="str">
        <f>IF(AND(BE125=1,D125="Malcolm",F125&amp;""&lt;&gt;""),IF(COUNTIFS($D$5:D124,"Malcolm",$F$5:F124,F125,$BE$5:BE124,1)=0,MAX($CD$5:CD124)+1,""),"")</f>
        <v/>
      </c>
      <c r="CE125" s="80" t="str">
        <f>IF(AND(BD125=1,D125="proMX",F125&amp;""&lt;&gt;""),IF(COUNTIFS($D$5:D124,"proMX",$F$5:F124,F125,$BD$5:BD124,1)=0,MAX($CE$5:CE124)+1,""),"")</f>
        <v/>
      </c>
      <c r="CF125" s="80" t="str">
        <f>IF(AND(D125="proMX",BD125=1),IF(OR(BF125="Draft",BF125="Submitted",BF125="Returned",BF125="Recall Requested"),MAX($CF$5:CF124)+1,""),"")</f>
        <v/>
      </c>
      <c r="CG125" s="80">
        <f>IF(BD125=0,0,IF(D125="Malcolm",1,MATCH(BF125,{"Draft","Submitted","Approved","Returned","Recall Requested","Cancelled"},0)+1))</f>
        <v>0</v>
      </c>
      <c r="CH125" s="80">
        <f>IF(AND(BF125="Submitted",ISNUMBER(V125)),IF(V125&gt;CFG_MAXD,1,0),0)</f>
        <v>0</v>
      </c>
    </row>
    <row r="126">
      <c r="A126" s="71" t="str">
        <f>IF(Y126=1,ROW()-5,"")</f>
        <v/>
      </c>
      <c r="B126" s="72" t="n"/>
      <c r="C126" s="71" t="str">
        <f>IF(ISNUMBER(B126),CHOOSE(WEEKDAY(B126,2),"Lun","Mar","Mié","Jue","Vie","Sáb","Dom"),"")</f>
        <v/>
      </c>
      <c r="D126" s="73" t="n"/>
      <c r="E126" s="74" t="n"/>
      <c r="F126" s="74" t="n"/>
      <c r="G126" s="74" t="n"/>
      <c r="H126" s="75" t="n"/>
      <c r="I126" s="75" t="n"/>
      <c r="J126" s="76" t="n"/>
      <c r="K126" s="77" t="str">
        <f>IF(AB126=1,ROUND(AG126/60,4),"")</f>
        <v/>
      </c>
      <c r="L126" s="77" t="str">
        <f>IF(BD126=1,ROUND(AP126/60,4),"")</f>
        <v/>
      </c>
      <c r="M126" s="77" t="str">
        <f>IF(BD126=1,ROUND(AQ126/60,4),"")</f>
        <v/>
      </c>
      <c r="N126" s="71" t="str">
        <f>IF(AND(D126="proMX",AB126=1),ROUND(AG126/CFG_BLK,2),"")</f>
        <v/>
      </c>
      <c r="O126" s="77" t="str">
        <f>IF(D126="proMX",IF(BD126=1,ROUND(AG126/60,4),0),"")</f>
        <v/>
      </c>
      <c r="P126" s="78" t="str">
        <f>IF(Y126=0,"",IF(BD126=1,"OK",IF(D126="proMX","Revisar bloques: ","Revisar: ")&amp;BC126))</f>
        <v/>
      </c>
      <c r="Q126" s="78" t="str">
        <f>IF(NOT(ISNUMBER(B126)),"",IF(COUNTIFS(FER_F,INT(B126))&gt;0,"Feriado"&amp;IF(AH126=1," (laborable)"," (no laborable)"),IF(AH126=1,"Laborable",IF(WEEKDAY(B126,2)&gt;5,"Fin de semana","No laborable"))))</f>
        <v/>
      </c>
      <c r="R126" s="73" t="n"/>
      <c r="S126" s="72" t="n"/>
      <c r="T126" s="72" t="n"/>
      <c r="U126" s="74" t="n"/>
      <c r="V126" s="79" t="str">
        <f>IF(AND(D126="proMX",OR(R126="Submitted",R126="Recall Requested"),ISNUMBER(S126)),CFG_TODAY-INT(S126),"")</f>
        <v/>
      </c>
      <c r="W126" s="78" t="str">
        <f>IF(BD126=0,"",IF(BA126&gt;0,"⚠ Se superpone con un registro de la otra empresa",IF(D126="Malcolm",IF(COUNTA(R126,S126,T126)&gt;0,"Estado/fechas proMX se ignoran en Malcolm",""),IF(BF126="Cancelled","Cancelado: excluido de totales",IF(R126="","Sin estado: se trata como Draft",IF(BF126="Submitted",IF(ISNUMBER(V126),IF(V126&gt;CFG_MAXD,"⚠ "&amp;V126&amp;" días en Submitted (máx. "&amp;CFG_MAXD&amp;")",""),"Falta fecha de envío"),IF(BF126="Returned","⚠ Devuelto: corregir y reenviar",IF(BF126="Recall Requested","Retirada solicitada: pendiente",IF(AND(BF126="Approved",NOT(ISNUMBER(T126))),"Falta fecha de aprobación",IF(AND(ISNUMBER(S126),ISNUMBER(T126),T126&lt;S126),"Aprobación anterior al envío","")))))))))</f>
        <v/>
      </c>
      <c r="Y126" s="80">
        <f>IF(COUNTA(B126,D126,E126,F126,G126,H126,I126,J126,R126,S126,T126)&gt;0,1,0)</f>
        <v>0</v>
      </c>
      <c r="Z126" s="80" t="str">
        <f>IF(AND(ISNUMBER(H126),H126&gt;=0,H126&lt;1),ROUND(H126*1440,0),"")</f>
        <v/>
      </c>
      <c r="AA126" s="80" t="str">
        <f>IF(AND(ISNUMBER(I126),I126&gt;=0,I126&lt;1),ROUND(I126*1440,0),"")</f>
        <v/>
      </c>
      <c r="AB126" s="80">
        <f>IF(AND(ISNUMBER(B126),D126&lt;&gt;"",ISNUMBER(Z126),ISNUMBER(AA126)),IF(Z126=AA126,0,1),0)</f>
        <v>0</v>
      </c>
      <c r="AC126" s="80">
        <f>IF(AB126=1,IF(AA126&lt;Z126,1,0),0)</f>
        <v>0</v>
      </c>
      <c r="AD126" s="80">
        <f>IF(AB126=1,IF(AC126=1,1440-Z126+AA126,AA126-Z126),0)</f>
        <v>0</v>
      </c>
      <c r="AE126" s="80">
        <f>IF(J126="",0,IF(ISNUMBER(J126),J126,-1))</f>
        <v>0</v>
      </c>
      <c r="AF126" s="80">
        <f>MIN(MAX(0,AE126),AD126)</f>
        <v>0</v>
      </c>
      <c r="AG126" s="80">
        <f>MAX(0,AD126-MAX(0,AE126))</f>
        <v>0</v>
      </c>
      <c r="AH126" s="80">
        <f>IF(ISNUMBER(B126),IF(AND(INDEX(CFG_WDAYS,WEEKDAY(INT(B126),2))="Sí",IF(D126="proMX",COUNTIFS(FER_F,INT(B126),FER_NLP,"Sí"),COUNTIFS(FER_F,INT(B126),FER_NLM,"Sí"))=0),1,0),0)</f>
        <v>0</v>
      </c>
      <c r="AI126" s="80">
        <f>IF(AC126=1,IF(AND(INDEX(CFG_WDAYS,WEEKDAY(INT(B126)+1,2))="Sí",IF(D126="proMX",COUNTIFS(FER_F,INT(B126)+1,FER_NLP,"Sí"),COUNTIFS(FER_F,INT(B126)+1,FER_NLM,"Sí"))=0),1,0),0)</f>
        <v>0</v>
      </c>
      <c r="AJ126" s="80">
        <f>IF(AC126=1,1440-Z126,AD126)</f>
        <v>0</v>
      </c>
      <c r="AK126" s="80">
        <f>IF(AND(AB126=1,AH126=1),MAX(0,MIN(IF(AC126=1,1440,AA126),CFG_WEM)-MAX(Z126,CFG_WSM)),0)</f>
        <v>0</v>
      </c>
      <c r="AL126" s="80">
        <f>IF(AND(AC126=1,AI126=1),MAX(0,MIN(AA126,CFG_WEM)-CFG_WSM),0)</f>
        <v>0</v>
      </c>
      <c r="AM126" s="80">
        <f>AK126+AL126</f>
        <v>0</v>
      </c>
      <c r="AN126" s="80">
        <f>IF(CFG_BRK="Proporcional",IF(AD126=0,0,AF126*AM126/AD126),IF(CFG_BRK="Extras primero",MIN(AM126,MAX(0,AF126-(AD126-AM126))),MIN(AF126,AM126)))</f>
        <v>0</v>
      </c>
      <c r="AO126" s="80">
        <f>AF126-AN126</f>
        <v>0</v>
      </c>
      <c r="AP126" s="80">
        <f>AM126-AN126</f>
        <v>0</v>
      </c>
      <c r="AQ126" s="80">
        <f>AD126-AM126-AO126</f>
        <v>0</v>
      </c>
      <c r="AR126" s="80">
        <f>IF(AM126=0,0,AK126-AN126*AK126/AM126)</f>
        <v>0</v>
      </c>
      <c r="AS126" s="80">
        <f>IF(AD126-AM126=0,0,(AJ126-AK126)-AO126*(AJ126-AK126)/(AD126-AM126))</f>
        <v>0</v>
      </c>
      <c r="AT126" s="80" t="str">
        <f>IF(AC126=1,INT(B126)+1,"")</f>
        <v/>
      </c>
      <c r="AU126" s="80">
        <f>IF(AND(D126="proMX",R126="Cancelled"),0,1)</f>
        <v>1</v>
      </c>
      <c r="AV126" s="80">
        <f>IF(AND(AB126=1,AU126=1),IF(COUNTIFS($D$5:D125,D126,$B$5:B125,B126,$Z$5:Z125,Z126,$AA$5:AA125,AA126,$F$5:F125,F126&amp;"",$AU$5:AU125,1)&gt;0,1,0),0)</f>
        <v>0</v>
      </c>
      <c r="AW126" s="80" t="str">
        <f>IF(AB126=1,INT(B126)*1440+Z126,"")</f>
        <v/>
      </c>
      <c r="AX126" s="80" t="str">
        <f>IF(AB126=1,AW126+AD126,"")</f>
        <v/>
      </c>
      <c r="AY126" s="80">
        <f>IF(AND(AB126=1,AV126=0,AU126=1),1,0)</f>
        <v>0</v>
      </c>
      <c r="AZ126" s="80">
        <f>IF(AY126=1,COUNTIFS(R_Emp,D126,R_SAbs,"&lt;"&amp;AX126,R_EAbs,"&gt;"&amp;AW126,R_OKey,1)-1,0)</f>
        <v>0</v>
      </c>
      <c r="BA126" s="80">
        <f>IF(AY126=1,COUNTIFS(R_Emp,"&lt;&gt;"&amp;D126,R_SAbs,"&lt;"&amp;AX126,R_EAbs,"&gt;"&amp;AW126,R_OKey,1),0)</f>
        <v>0</v>
      </c>
      <c r="BB126" s="80">
        <f>IF(AND(AB126=1,D126="proMX"),IF(AND(MOD(Z126,CFG_BLK)=0,MOD(AA126,CFG_BLK)=0,MOD(AG126,CFG_BLK)=0,AG126&gt;0),1,0),1)</f>
        <v>1</v>
      </c>
      <c r="BC126" s="80" t="str">
        <f>IF(Y126=0,"",IF(NOT(ISNUMBER(B126)),"Falta fecha o fecha inválida",IF(D126="","Falta empresa",IF(AND(D126&lt;&gt;"Malcolm",D126&lt;&gt;"proMX"),"Empresa inválida",IF(OR(INT(B126)&lt;CFG_PSTART,INT(B126)&gt;CFG_PEND),"Fecha fuera del período",IF(OR(NOT(ISNUMBER(Z126)),NOT(ISNUMBER(AA126))),"Falta hora inicio/fin o formato inválido",IF(AB126=0,"Hora inicio = hora fin",IF(AE126&lt;0,"Descanso inválido",IF(AE126&gt;=AD126,"Descanso ≥ duración",IF(AV126=1,"Registro duplicado",IF(AZ126&gt;0,"Se superpone con otro registro "&amp;D126,IF(BB126=0,"inicio, fin y duración neta deben ser múltiplos de "&amp;CFG_BLK&amp;" min",""))))))))))))</f>
        <v/>
      </c>
      <c r="BD126" s="80">
        <f>IF(AND(Y126=1,BC126=""),1,0)</f>
        <v>0</v>
      </c>
      <c r="BE126" s="80">
        <f>IF(AND(BD126=1,AU126=1),1,0)</f>
        <v>0</v>
      </c>
      <c r="BF126" s="80" t="str">
        <f>IF(AND(D126="proMX",BD126=1),IF(R126="","Draft",R126),"")</f>
        <v/>
      </c>
      <c r="BG126" s="80">
        <f>IF(BD126=1,ROUND(AG126/60,6),0)</f>
        <v>0</v>
      </c>
      <c r="BH126" s="80">
        <f>IF(BE126=1,ROUND(AG126/60,6),0)</f>
        <v>0</v>
      </c>
      <c r="BI126" s="80">
        <f>IF(BE126=1,ROUND(AP126/60,6),0)</f>
        <v>0</v>
      </c>
      <c r="BJ126" s="80">
        <f>IF(BE126=1,ROUND(AQ126/60,6),0)</f>
        <v>0</v>
      </c>
      <c r="BK126" s="80">
        <f>IF(BE126=1,ROUND((AR126+AS126)/60,6),0)</f>
        <v>0</v>
      </c>
      <c r="BL126" s="80">
        <f>ROUND(BH126-BK126,6)</f>
        <v>0</v>
      </c>
      <c r="BM126" s="80">
        <f>IF(BE126=1,ROUND(AR126/60,6),0)</f>
        <v>0</v>
      </c>
      <c r="BN126" s="80">
        <f>ROUND(BI126-BM126,6)</f>
        <v>0</v>
      </c>
      <c r="BO126" s="80">
        <f>IF(BE126=1,ROUND(AS126/60,6),0)</f>
        <v>0</v>
      </c>
      <c r="BP126" s="80">
        <f>ROUND(BJ126-BO126,6)</f>
        <v>0</v>
      </c>
      <c r="BQ126" s="80">
        <f>IF(BE126=1,AW126,0)</f>
        <v>0</v>
      </c>
      <c r="BR126" s="80">
        <f>IF(BE126=1,AX126,0)</f>
        <v>0</v>
      </c>
      <c r="BS126" s="80">
        <f>IF(AND(BE126=1,D126="Malcolm",BA126&gt;0),MIN(BH126,SUMPRODUCT((R_Emp="proMX")*(R_EN&gt;0)*((R_EN-(R_EN&gt;BR126)*(R_EN-BR126))&gt;(R_SN+(R_SN&lt;BQ126)*(BQ126-R_SN)))*((R_EN-(R_EN&gt;BR126)*(R_EN-BR126))-(R_SN+(R_SN&lt;BQ126)*(BQ126-R_SN))))/60),0)</f>
        <v>0</v>
      </c>
      <c r="BT126" s="80">
        <f>IF(AND(BE126=1,D126="proMX"),ROUND(BI126*CFG_RATE+BJ126*CFG_OTRATE,6),0)</f>
        <v>0</v>
      </c>
      <c r="BU126" s="80">
        <f>IF(AND(BD126=1,D126="proMX"),ROUND(AG126/CFG_BLK,6),0)</f>
        <v>0</v>
      </c>
      <c r="BV126" s="80" t="str">
        <f>IF(BF126="Approved",IF(ISNUMBER(T126),INT(T126),INT(B126)),"")</f>
        <v/>
      </c>
      <c r="BW126" s="80">
        <f>IF(ISNUMBER(B126),IF(DB_MON="Todos",1,IF(AND(INT(B126)&gt;=DB_MS,INT(B126)&lt;=DB_ME),1,0)),0)</f>
        <v>0</v>
      </c>
      <c r="BX126" s="80">
        <f>IF(DB_PROJ="Todos",1,IF(E126&amp;""=DB_PROJ&amp;"",1,0))</f>
        <v>1</v>
      </c>
      <c r="BY126" s="80">
        <f>BW126*BX126</f>
        <v>0</v>
      </c>
      <c r="BZ126" s="80" t="str">
        <f>IF(Y126=1,F126&amp;IF(AND(F126&amp;""&lt;&gt;"",E126&amp;""&lt;&gt;"")," · ","")&amp;E126,"")</f>
        <v/>
      </c>
      <c r="CA126" s="80" t="str">
        <f>IF(AND(BD126=1,E126&amp;""&lt;&gt;""),IF(COUNTIFS($E$5:E125,E126,$BD$5:BD125,1)=0,MAX($CA$5:CA125)+1,""),"")</f>
        <v/>
      </c>
      <c r="CB126" s="80" t="str">
        <f>IF(AND(BE126=1,D126="Malcolm",E126&amp;""&lt;&gt;""),IF(COUNTIFS($D$5:D125,"Malcolm",$E$5:E125,E126,$BE$5:BE125,1)=0,MAX($CB$5:CB125)+1,""),"")</f>
        <v/>
      </c>
      <c r="CC126" s="80" t="str">
        <f>IF(AND(BD126=1,D126="proMX",E126&amp;""&lt;&gt;""),IF(COUNTIFS($D$5:D125,"proMX",$E$5:E125,E126,$BD$5:BD125,1)=0,MAX($CC$5:CC125)+1,""),"")</f>
        <v/>
      </c>
      <c r="CD126" s="80" t="str">
        <f>IF(AND(BE126=1,D126="Malcolm",F126&amp;""&lt;&gt;""),IF(COUNTIFS($D$5:D125,"Malcolm",$F$5:F125,F126,$BE$5:BE125,1)=0,MAX($CD$5:CD125)+1,""),"")</f>
        <v/>
      </c>
      <c r="CE126" s="80" t="str">
        <f>IF(AND(BD126=1,D126="proMX",F126&amp;""&lt;&gt;""),IF(COUNTIFS($D$5:D125,"proMX",$F$5:F125,F126,$BD$5:BD125,1)=0,MAX($CE$5:CE125)+1,""),"")</f>
        <v/>
      </c>
      <c r="CF126" s="80" t="str">
        <f>IF(AND(D126="proMX",BD126=1),IF(OR(BF126="Draft",BF126="Submitted",BF126="Returned",BF126="Recall Requested"),MAX($CF$5:CF125)+1,""),"")</f>
        <v/>
      </c>
      <c r="CG126" s="80">
        <f>IF(BD126=0,0,IF(D126="Malcolm",1,MATCH(BF126,{"Draft","Submitted","Approved","Returned","Recall Requested","Cancelled"},0)+1))</f>
        <v>0</v>
      </c>
      <c r="CH126" s="80">
        <f>IF(AND(BF126="Submitted",ISNUMBER(V126)),IF(V126&gt;CFG_MAXD,1,0),0)</f>
        <v>0</v>
      </c>
    </row>
    <row r="127">
      <c r="A127" s="71" t="str">
        <f>IF(Y127=1,ROW()-5,"")</f>
        <v/>
      </c>
      <c r="B127" s="72" t="n"/>
      <c r="C127" s="71" t="str">
        <f>IF(ISNUMBER(B127),CHOOSE(WEEKDAY(B127,2),"Lun","Mar","Mié","Jue","Vie","Sáb","Dom"),"")</f>
        <v/>
      </c>
      <c r="D127" s="73" t="n"/>
      <c r="E127" s="74" t="n"/>
      <c r="F127" s="74" t="n"/>
      <c r="G127" s="74" t="n"/>
      <c r="H127" s="75" t="n"/>
      <c r="I127" s="75" t="n"/>
      <c r="J127" s="76" t="n"/>
      <c r="K127" s="77" t="str">
        <f>IF(AB127=1,ROUND(AG127/60,4),"")</f>
        <v/>
      </c>
      <c r="L127" s="77" t="str">
        <f>IF(BD127=1,ROUND(AP127/60,4),"")</f>
        <v/>
      </c>
      <c r="M127" s="77" t="str">
        <f>IF(BD127=1,ROUND(AQ127/60,4),"")</f>
        <v/>
      </c>
      <c r="N127" s="71" t="str">
        <f>IF(AND(D127="proMX",AB127=1),ROUND(AG127/CFG_BLK,2),"")</f>
        <v/>
      </c>
      <c r="O127" s="77" t="str">
        <f>IF(D127="proMX",IF(BD127=1,ROUND(AG127/60,4),0),"")</f>
        <v/>
      </c>
      <c r="P127" s="78" t="str">
        <f>IF(Y127=0,"",IF(BD127=1,"OK",IF(D127="proMX","Revisar bloques: ","Revisar: ")&amp;BC127))</f>
        <v/>
      </c>
      <c r="Q127" s="78" t="str">
        <f>IF(NOT(ISNUMBER(B127)),"",IF(COUNTIFS(FER_F,INT(B127))&gt;0,"Feriado"&amp;IF(AH127=1," (laborable)"," (no laborable)"),IF(AH127=1,"Laborable",IF(WEEKDAY(B127,2)&gt;5,"Fin de semana","No laborable"))))</f>
        <v/>
      </c>
      <c r="R127" s="73" t="n"/>
      <c r="S127" s="72" t="n"/>
      <c r="T127" s="72" t="n"/>
      <c r="U127" s="74" t="n"/>
      <c r="V127" s="79" t="str">
        <f>IF(AND(D127="proMX",OR(R127="Submitted",R127="Recall Requested"),ISNUMBER(S127)),CFG_TODAY-INT(S127),"")</f>
        <v/>
      </c>
      <c r="W127" s="78" t="str">
        <f>IF(BD127=0,"",IF(BA127&gt;0,"⚠ Se superpone con un registro de la otra empresa",IF(D127="Malcolm",IF(COUNTA(R127,S127,T127)&gt;0,"Estado/fechas proMX se ignoran en Malcolm",""),IF(BF127="Cancelled","Cancelado: excluido de totales",IF(R127="","Sin estado: se trata como Draft",IF(BF127="Submitted",IF(ISNUMBER(V127),IF(V127&gt;CFG_MAXD,"⚠ "&amp;V127&amp;" días en Submitted (máx. "&amp;CFG_MAXD&amp;")",""),"Falta fecha de envío"),IF(BF127="Returned","⚠ Devuelto: corregir y reenviar",IF(BF127="Recall Requested","Retirada solicitada: pendiente",IF(AND(BF127="Approved",NOT(ISNUMBER(T127))),"Falta fecha de aprobación",IF(AND(ISNUMBER(S127),ISNUMBER(T127),T127&lt;S127),"Aprobación anterior al envío","")))))))))</f>
        <v/>
      </c>
      <c r="Y127" s="80">
        <f>IF(COUNTA(B127,D127,E127,F127,G127,H127,I127,J127,R127,S127,T127)&gt;0,1,0)</f>
        <v>0</v>
      </c>
      <c r="Z127" s="80" t="str">
        <f>IF(AND(ISNUMBER(H127),H127&gt;=0,H127&lt;1),ROUND(H127*1440,0),"")</f>
        <v/>
      </c>
      <c r="AA127" s="80" t="str">
        <f>IF(AND(ISNUMBER(I127),I127&gt;=0,I127&lt;1),ROUND(I127*1440,0),"")</f>
        <v/>
      </c>
      <c r="AB127" s="80">
        <f>IF(AND(ISNUMBER(B127),D127&lt;&gt;"",ISNUMBER(Z127),ISNUMBER(AA127)),IF(Z127=AA127,0,1),0)</f>
        <v>0</v>
      </c>
      <c r="AC127" s="80">
        <f>IF(AB127=1,IF(AA127&lt;Z127,1,0),0)</f>
        <v>0</v>
      </c>
      <c r="AD127" s="80">
        <f>IF(AB127=1,IF(AC127=1,1440-Z127+AA127,AA127-Z127),0)</f>
        <v>0</v>
      </c>
      <c r="AE127" s="80">
        <f>IF(J127="",0,IF(ISNUMBER(J127),J127,-1))</f>
        <v>0</v>
      </c>
      <c r="AF127" s="80">
        <f>MIN(MAX(0,AE127),AD127)</f>
        <v>0</v>
      </c>
      <c r="AG127" s="80">
        <f>MAX(0,AD127-MAX(0,AE127))</f>
        <v>0</v>
      </c>
      <c r="AH127" s="80">
        <f>IF(ISNUMBER(B127),IF(AND(INDEX(CFG_WDAYS,WEEKDAY(INT(B127),2))="Sí",IF(D127="proMX",COUNTIFS(FER_F,INT(B127),FER_NLP,"Sí"),COUNTIFS(FER_F,INT(B127),FER_NLM,"Sí"))=0),1,0),0)</f>
        <v>0</v>
      </c>
      <c r="AI127" s="80">
        <f>IF(AC127=1,IF(AND(INDEX(CFG_WDAYS,WEEKDAY(INT(B127)+1,2))="Sí",IF(D127="proMX",COUNTIFS(FER_F,INT(B127)+1,FER_NLP,"Sí"),COUNTIFS(FER_F,INT(B127)+1,FER_NLM,"Sí"))=0),1,0),0)</f>
        <v>0</v>
      </c>
      <c r="AJ127" s="80">
        <f>IF(AC127=1,1440-Z127,AD127)</f>
        <v>0</v>
      </c>
      <c r="AK127" s="80">
        <f>IF(AND(AB127=1,AH127=1),MAX(0,MIN(IF(AC127=1,1440,AA127),CFG_WEM)-MAX(Z127,CFG_WSM)),0)</f>
        <v>0</v>
      </c>
      <c r="AL127" s="80">
        <f>IF(AND(AC127=1,AI127=1),MAX(0,MIN(AA127,CFG_WEM)-CFG_WSM),0)</f>
        <v>0</v>
      </c>
      <c r="AM127" s="80">
        <f>AK127+AL127</f>
        <v>0</v>
      </c>
      <c r="AN127" s="80">
        <f>IF(CFG_BRK="Proporcional",IF(AD127=0,0,AF127*AM127/AD127),IF(CFG_BRK="Extras primero",MIN(AM127,MAX(0,AF127-(AD127-AM127))),MIN(AF127,AM127)))</f>
        <v>0</v>
      </c>
      <c r="AO127" s="80">
        <f>AF127-AN127</f>
        <v>0</v>
      </c>
      <c r="AP127" s="80">
        <f>AM127-AN127</f>
        <v>0</v>
      </c>
      <c r="AQ127" s="80">
        <f>AD127-AM127-AO127</f>
        <v>0</v>
      </c>
      <c r="AR127" s="80">
        <f>IF(AM127=0,0,AK127-AN127*AK127/AM127)</f>
        <v>0</v>
      </c>
      <c r="AS127" s="80">
        <f>IF(AD127-AM127=0,0,(AJ127-AK127)-AO127*(AJ127-AK127)/(AD127-AM127))</f>
        <v>0</v>
      </c>
      <c r="AT127" s="80" t="str">
        <f>IF(AC127=1,INT(B127)+1,"")</f>
        <v/>
      </c>
      <c r="AU127" s="80">
        <f>IF(AND(D127="proMX",R127="Cancelled"),0,1)</f>
        <v>1</v>
      </c>
      <c r="AV127" s="80">
        <f>IF(AND(AB127=1,AU127=1),IF(COUNTIFS($D$5:D126,D127,$B$5:B126,B127,$Z$5:Z126,Z127,$AA$5:AA126,AA127,$F$5:F126,F127&amp;"",$AU$5:AU126,1)&gt;0,1,0),0)</f>
        <v>0</v>
      </c>
      <c r="AW127" s="80" t="str">
        <f>IF(AB127=1,INT(B127)*1440+Z127,"")</f>
        <v/>
      </c>
      <c r="AX127" s="80" t="str">
        <f>IF(AB127=1,AW127+AD127,"")</f>
        <v/>
      </c>
      <c r="AY127" s="80">
        <f>IF(AND(AB127=1,AV127=0,AU127=1),1,0)</f>
        <v>0</v>
      </c>
      <c r="AZ127" s="80">
        <f>IF(AY127=1,COUNTIFS(R_Emp,D127,R_SAbs,"&lt;"&amp;AX127,R_EAbs,"&gt;"&amp;AW127,R_OKey,1)-1,0)</f>
        <v>0</v>
      </c>
      <c r="BA127" s="80">
        <f>IF(AY127=1,COUNTIFS(R_Emp,"&lt;&gt;"&amp;D127,R_SAbs,"&lt;"&amp;AX127,R_EAbs,"&gt;"&amp;AW127,R_OKey,1),0)</f>
        <v>0</v>
      </c>
      <c r="BB127" s="80">
        <f>IF(AND(AB127=1,D127="proMX"),IF(AND(MOD(Z127,CFG_BLK)=0,MOD(AA127,CFG_BLK)=0,MOD(AG127,CFG_BLK)=0,AG127&gt;0),1,0),1)</f>
        <v>1</v>
      </c>
      <c r="BC127" s="80" t="str">
        <f>IF(Y127=0,"",IF(NOT(ISNUMBER(B127)),"Falta fecha o fecha inválida",IF(D127="","Falta empresa",IF(AND(D127&lt;&gt;"Malcolm",D127&lt;&gt;"proMX"),"Empresa inválida",IF(OR(INT(B127)&lt;CFG_PSTART,INT(B127)&gt;CFG_PEND),"Fecha fuera del período",IF(OR(NOT(ISNUMBER(Z127)),NOT(ISNUMBER(AA127))),"Falta hora inicio/fin o formato inválido",IF(AB127=0,"Hora inicio = hora fin",IF(AE127&lt;0,"Descanso inválido",IF(AE127&gt;=AD127,"Descanso ≥ duración",IF(AV127=1,"Registro duplicado",IF(AZ127&gt;0,"Se superpone con otro registro "&amp;D127,IF(BB127=0,"inicio, fin y duración neta deben ser múltiplos de "&amp;CFG_BLK&amp;" min",""))))))))))))</f>
        <v/>
      </c>
      <c r="BD127" s="80">
        <f>IF(AND(Y127=1,BC127=""),1,0)</f>
        <v>0</v>
      </c>
      <c r="BE127" s="80">
        <f>IF(AND(BD127=1,AU127=1),1,0)</f>
        <v>0</v>
      </c>
      <c r="BF127" s="80" t="str">
        <f>IF(AND(D127="proMX",BD127=1),IF(R127="","Draft",R127),"")</f>
        <v/>
      </c>
      <c r="BG127" s="80">
        <f>IF(BD127=1,ROUND(AG127/60,6),0)</f>
        <v>0</v>
      </c>
      <c r="BH127" s="80">
        <f>IF(BE127=1,ROUND(AG127/60,6),0)</f>
        <v>0</v>
      </c>
      <c r="BI127" s="80">
        <f>IF(BE127=1,ROUND(AP127/60,6),0)</f>
        <v>0</v>
      </c>
      <c r="BJ127" s="80">
        <f>IF(BE127=1,ROUND(AQ127/60,6),0)</f>
        <v>0</v>
      </c>
      <c r="BK127" s="80">
        <f>IF(BE127=1,ROUND((AR127+AS127)/60,6),0)</f>
        <v>0</v>
      </c>
      <c r="BL127" s="80">
        <f>ROUND(BH127-BK127,6)</f>
        <v>0</v>
      </c>
      <c r="BM127" s="80">
        <f>IF(BE127=1,ROUND(AR127/60,6),0)</f>
        <v>0</v>
      </c>
      <c r="BN127" s="80">
        <f>ROUND(BI127-BM127,6)</f>
        <v>0</v>
      </c>
      <c r="BO127" s="80">
        <f>IF(BE127=1,ROUND(AS127/60,6),0)</f>
        <v>0</v>
      </c>
      <c r="BP127" s="80">
        <f>ROUND(BJ127-BO127,6)</f>
        <v>0</v>
      </c>
      <c r="BQ127" s="80">
        <f>IF(BE127=1,AW127,0)</f>
        <v>0</v>
      </c>
      <c r="BR127" s="80">
        <f>IF(BE127=1,AX127,0)</f>
        <v>0</v>
      </c>
      <c r="BS127" s="80">
        <f>IF(AND(BE127=1,D127="Malcolm",BA127&gt;0),MIN(BH127,SUMPRODUCT((R_Emp="proMX")*(R_EN&gt;0)*((R_EN-(R_EN&gt;BR127)*(R_EN-BR127))&gt;(R_SN+(R_SN&lt;BQ127)*(BQ127-R_SN)))*((R_EN-(R_EN&gt;BR127)*(R_EN-BR127))-(R_SN+(R_SN&lt;BQ127)*(BQ127-R_SN))))/60),0)</f>
        <v>0</v>
      </c>
      <c r="BT127" s="80">
        <f>IF(AND(BE127=1,D127="proMX"),ROUND(BI127*CFG_RATE+BJ127*CFG_OTRATE,6),0)</f>
        <v>0</v>
      </c>
      <c r="BU127" s="80">
        <f>IF(AND(BD127=1,D127="proMX"),ROUND(AG127/CFG_BLK,6),0)</f>
        <v>0</v>
      </c>
      <c r="BV127" s="80" t="str">
        <f>IF(BF127="Approved",IF(ISNUMBER(T127),INT(T127),INT(B127)),"")</f>
        <v/>
      </c>
      <c r="BW127" s="80">
        <f>IF(ISNUMBER(B127),IF(DB_MON="Todos",1,IF(AND(INT(B127)&gt;=DB_MS,INT(B127)&lt;=DB_ME),1,0)),0)</f>
        <v>0</v>
      </c>
      <c r="BX127" s="80">
        <f>IF(DB_PROJ="Todos",1,IF(E127&amp;""=DB_PROJ&amp;"",1,0))</f>
        <v>1</v>
      </c>
      <c r="BY127" s="80">
        <f>BW127*BX127</f>
        <v>0</v>
      </c>
      <c r="BZ127" s="80" t="str">
        <f>IF(Y127=1,F127&amp;IF(AND(F127&amp;""&lt;&gt;"",E127&amp;""&lt;&gt;"")," · ","")&amp;E127,"")</f>
        <v/>
      </c>
      <c r="CA127" s="80" t="str">
        <f>IF(AND(BD127=1,E127&amp;""&lt;&gt;""),IF(COUNTIFS($E$5:E126,E127,$BD$5:BD126,1)=0,MAX($CA$5:CA126)+1,""),"")</f>
        <v/>
      </c>
      <c r="CB127" s="80" t="str">
        <f>IF(AND(BE127=1,D127="Malcolm",E127&amp;""&lt;&gt;""),IF(COUNTIFS($D$5:D126,"Malcolm",$E$5:E126,E127,$BE$5:BE126,1)=0,MAX($CB$5:CB126)+1,""),"")</f>
        <v/>
      </c>
      <c r="CC127" s="80" t="str">
        <f>IF(AND(BD127=1,D127="proMX",E127&amp;""&lt;&gt;""),IF(COUNTIFS($D$5:D126,"proMX",$E$5:E126,E127,$BD$5:BD126,1)=0,MAX($CC$5:CC126)+1,""),"")</f>
        <v/>
      </c>
      <c r="CD127" s="80" t="str">
        <f>IF(AND(BE127=1,D127="Malcolm",F127&amp;""&lt;&gt;""),IF(COUNTIFS($D$5:D126,"Malcolm",$F$5:F126,F127,$BE$5:BE126,1)=0,MAX($CD$5:CD126)+1,""),"")</f>
        <v/>
      </c>
      <c r="CE127" s="80" t="str">
        <f>IF(AND(BD127=1,D127="proMX",F127&amp;""&lt;&gt;""),IF(COUNTIFS($D$5:D126,"proMX",$F$5:F126,F127,$BD$5:BD126,1)=0,MAX($CE$5:CE126)+1,""),"")</f>
        <v/>
      </c>
      <c r="CF127" s="80" t="str">
        <f>IF(AND(D127="proMX",BD127=1),IF(OR(BF127="Draft",BF127="Submitted",BF127="Returned",BF127="Recall Requested"),MAX($CF$5:CF126)+1,""),"")</f>
        <v/>
      </c>
      <c r="CG127" s="80">
        <f>IF(BD127=0,0,IF(D127="Malcolm",1,MATCH(BF127,{"Draft","Submitted","Approved","Returned","Recall Requested","Cancelled"},0)+1))</f>
        <v>0</v>
      </c>
      <c r="CH127" s="80">
        <f>IF(AND(BF127="Submitted",ISNUMBER(V127)),IF(V127&gt;CFG_MAXD,1,0),0)</f>
        <v>0</v>
      </c>
    </row>
    <row r="128">
      <c r="A128" s="71" t="str">
        <f>IF(Y128=1,ROW()-5,"")</f>
        <v/>
      </c>
      <c r="B128" s="72" t="n"/>
      <c r="C128" s="71" t="str">
        <f>IF(ISNUMBER(B128),CHOOSE(WEEKDAY(B128,2),"Lun","Mar","Mié","Jue","Vie","Sáb","Dom"),"")</f>
        <v/>
      </c>
      <c r="D128" s="73" t="n"/>
      <c r="E128" s="74" t="n"/>
      <c r="F128" s="74" t="n"/>
      <c r="G128" s="74" t="n"/>
      <c r="H128" s="75" t="n"/>
      <c r="I128" s="75" t="n"/>
      <c r="J128" s="76" t="n"/>
      <c r="K128" s="77" t="str">
        <f>IF(AB128=1,ROUND(AG128/60,4),"")</f>
        <v/>
      </c>
      <c r="L128" s="77" t="str">
        <f>IF(BD128=1,ROUND(AP128/60,4),"")</f>
        <v/>
      </c>
      <c r="M128" s="77" t="str">
        <f>IF(BD128=1,ROUND(AQ128/60,4),"")</f>
        <v/>
      </c>
      <c r="N128" s="71" t="str">
        <f>IF(AND(D128="proMX",AB128=1),ROUND(AG128/CFG_BLK,2),"")</f>
        <v/>
      </c>
      <c r="O128" s="77" t="str">
        <f>IF(D128="proMX",IF(BD128=1,ROUND(AG128/60,4),0),"")</f>
        <v/>
      </c>
      <c r="P128" s="78" t="str">
        <f>IF(Y128=0,"",IF(BD128=1,"OK",IF(D128="proMX","Revisar bloques: ","Revisar: ")&amp;BC128))</f>
        <v/>
      </c>
      <c r="Q128" s="78" t="str">
        <f>IF(NOT(ISNUMBER(B128)),"",IF(COUNTIFS(FER_F,INT(B128))&gt;0,"Feriado"&amp;IF(AH128=1," (laborable)"," (no laborable)"),IF(AH128=1,"Laborable",IF(WEEKDAY(B128,2)&gt;5,"Fin de semana","No laborable"))))</f>
        <v/>
      </c>
      <c r="R128" s="73" t="n"/>
      <c r="S128" s="72" t="n"/>
      <c r="T128" s="72" t="n"/>
      <c r="U128" s="74" t="n"/>
      <c r="V128" s="79" t="str">
        <f>IF(AND(D128="proMX",OR(R128="Submitted",R128="Recall Requested"),ISNUMBER(S128)),CFG_TODAY-INT(S128),"")</f>
        <v/>
      </c>
      <c r="W128" s="78" t="str">
        <f>IF(BD128=0,"",IF(BA128&gt;0,"⚠ Se superpone con un registro de la otra empresa",IF(D128="Malcolm",IF(COUNTA(R128,S128,T128)&gt;0,"Estado/fechas proMX se ignoran en Malcolm",""),IF(BF128="Cancelled","Cancelado: excluido de totales",IF(R128="","Sin estado: se trata como Draft",IF(BF128="Submitted",IF(ISNUMBER(V128),IF(V128&gt;CFG_MAXD,"⚠ "&amp;V128&amp;" días en Submitted (máx. "&amp;CFG_MAXD&amp;")",""),"Falta fecha de envío"),IF(BF128="Returned","⚠ Devuelto: corregir y reenviar",IF(BF128="Recall Requested","Retirada solicitada: pendiente",IF(AND(BF128="Approved",NOT(ISNUMBER(T128))),"Falta fecha de aprobación",IF(AND(ISNUMBER(S128),ISNUMBER(T128),T128&lt;S128),"Aprobación anterior al envío","")))))))))</f>
        <v/>
      </c>
      <c r="Y128" s="80">
        <f>IF(COUNTA(B128,D128,E128,F128,G128,H128,I128,J128,R128,S128,T128)&gt;0,1,0)</f>
        <v>0</v>
      </c>
      <c r="Z128" s="80" t="str">
        <f>IF(AND(ISNUMBER(H128),H128&gt;=0,H128&lt;1),ROUND(H128*1440,0),"")</f>
        <v/>
      </c>
      <c r="AA128" s="80" t="str">
        <f>IF(AND(ISNUMBER(I128),I128&gt;=0,I128&lt;1),ROUND(I128*1440,0),"")</f>
        <v/>
      </c>
      <c r="AB128" s="80">
        <f>IF(AND(ISNUMBER(B128),D128&lt;&gt;"",ISNUMBER(Z128),ISNUMBER(AA128)),IF(Z128=AA128,0,1),0)</f>
        <v>0</v>
      </c>
      <c r="AC128" s="80">
        <f>IF(AB128=1,IF(AA128&lt;Z128,1,0),0)</f>
        <v>0</v>
      </c>
      <c r="AD128" s="80">
        <f>IF(AB128=1,IF(AC128=1,1440-Z128+AA128,AA128-Z128),0)</f>
        <v>0</v>
      </c>
      <c r="AE128" s="80">
        <f>IF(J128="",0,IF(ISNUMBER(J128),J128,-1))</f>
        <v>0</v>
      </c>
      <c r="AF128" s="80">
        <f>MIN(MAX(0,AE128),AD128)</f>
        <v>0</v>
      </c>
      <c r="AG128" s="80">
        <f>MAX(0,AD128-MAX(0,AE128))</f>
        <v>0</v>
      </c>
      <c r="AH128" s="80">
        <f>IF(ISNUMBER(B128),IF(AND(INDEX(CFG_WDAYS,WEEKDAY(INT(B128),2))="Sí",IF(D128="proMX",COUNTIFS(FER_F,INT(B128),FER_NLP,"Sí"),COUNTIFS(FER_F,INT(B128),FER_NLM,"Sí"))=0),1,0),0)</f>
        <v>0</v>
      </c>
      <c r="AI128" s="80">
        <f>IF(AC128=1,IF(AND(INDEX(CFG_WDAYS,WEEKDAY(INT(B128)+1,2))="Sí",IF(D128="proMX",COUNTIFS(FER_F,INT(B128)+1,FER_NLP,"Sí"),COUNTIFS(FER_F,INT(B128)+1,FER_NLM,"Sí"))=0),1,0),0)</f>
        <v>0</v>
      </c>
      <c r="AJ128" s="80">
        <f>IF(AC128=1,1440-Z128,AD128)</f>
        <v>0</v>
      </c>
      <c r="AK128" s="80">
        <f>IF(AND(AB128=1,AH128=1),MAX(0,MIN(IF(AC128=1,1440,AA128),CFG_WEM)-MAX(Z128,CFG_WSM)),0)</f>
        <v>0</v>
      </c>
      <c r="AL128" s="80">
        <f>IF(AND(AC128=1,AI128=1),MAX(0,MIN(AA128,CFG_WEM)-CFG_WSM),0)</f>
        <v>0</v>
      </c>
      <c r="AM128" s="80">
        <f>AK128+AL128</f>
        <v>0</v>
      </c>
      <c r="AN128" s="80">
        <f>IF(CFG_BRK="Proporcional",IF(AD128=0,0,AF128*AM128/AD128),IF(CFG_BRK="Extras primero",MIN(AM128,MAX(0,AF128-(AD128-AM128))),MIN(AF128,AM128)))</f>
        <v>0</v>
      </c>
      <c r="AO128" s="80">
        <f>AF128-AN128</f>
        <v>0</v>
      </c>
      <c r="AP128" s="80">
        <f>AM128-AN128</f>
        <v>0</v>
      </c>
      <c r="AQ128" s="80">
        <f>AD128-AM128-AO128</f>
        <v>0</v>
      </c>
      <c r="AR128" s="80">
        <f>IF(AM128=0,0,AK128-AN128*AK128/AM128)</f>
        <v>0</v>
      </c>
      <c r="AS128" s="80">
        <f>IF(AD128-AM128=0,0,(AJ128-AK128)-AO128*(AJ128-AK128)/(AD128-AM128))</f>
        <v>0</v>
      </c>
      <c r="AT128" s="80" t="str">
        <f>IF(AC128=1,INT(B128)+1,"")</f>
        <v/>
      </c>
      <c r="AU128" s="80">
        <f>IF(AND(D128="proMX",R128="Cancelled"),0,1)</f>
        <v>1</v>
      </c>
      <c r="AV128" s="80">
        <f>IF(AND(AB128=1,AU128=1),IF(COUNTIFS($D$5:D127,D128,$B$5:B127,B128,$Z$5:Z127,Z128,$AA$5:AA127,AA128,$F$5:F127,F128&amp;"",$AU$5:AU127,1)&gt;0,1,0),0)</f>
        <v>0</v>
      </c>
      <c r="AW128" s="80" t="str">
        <f>IF(AB128=1,INT(B128)*1440+Z128,"")</f>
        <v/>
      </c>
      <c r="AX128" s="80" t="str">
        <f>IF(AB128=1,AW128+AD128,"")</f>
        <v/>
      </c>
      <c r="AY128" s="80">
        <f>IF(AND(AB128=1,AV128=0,AU128=1),1,0)</f>
        <v>0</v>
      </c>
      <c r="AZ128" s="80">
        <f>IF(AY128=1,COUNTIFS(R_Emp,D128,R_SAbs,"&lt;"&amp;AX128,R_EAbs,"&gt;"&amp;AW128,R_OKey,1)-1,0)</f>
        <v>0</v>
      </c>
      <c r="BA128" s="80">
        <f>IF(AY128=1,COUNTIFS(R_Emp,"&lt;&gt;"&amp;D128,R_SAbs,"&lt;"&amp;AX128,R_EAbs,"&gt;"&amp;AW128,R_OKey,1),0)</f>
        <v>0</v>
      </c>
      <c r="BB128" s="80">
        <f>IF(AND(AB128=1,D128="proMX"),IF(AND(MOD(Z128,CFG_BLK)=0,MOD(AA128,CFG_BLK)=0,MOD(AG128,CFG_BLK)=0,AG128&gt;0),1,0),1)</f>
        <v>1</v>
      </c>
      <c r="BC128" s="80" t="str">
        <f>IF(Y128=0,"",IF(NOT(ISNUMBER(B128)),"Falta fecha o fecha inválida",IF(D128="","Falta empresa",IF(AND(D128&lt;&gt;"Malcolm",D128&lt;&gt;"proMX"),"Empresa inválida",IF(OR(INT(B128)&lt;CFG_PSTART,INT(B128)&gt;CFG_PEND),"Fecha fuera del período",IF(OR(NOT(ISNUMBER(Z128)),NOT(ISNUMBER(AA128))),"Falta hora inicio/fin o formato inválido",IF(AB128=0,"Hora inicio = hora fin",IF(AE128&lt;0,"Descanso inválido",IF(AE128&gt;=AD128,"Descanso ≥ duración",IF(AV128=1,"Registro duplicado",IF(AZ128&gt;0,"Se superpone con otro registro "&amp;D128,IF(BB128=0,"inicio, fin y duración neta deben ser múltiplos de "&amp;CFG_BLK&amp;" min",""))))))))))))</f>
        <v/>
      </c>
      <c r="BD128" s="80">
        <f>IF(AND(Y128=1,BC128=""),1,0)</f>
        <v>0</v>
      </c>
      <c r="BE128" s="80">
        <f>IF(AND(BD128=1,AU128=1),1,0)</f>
        <v>0</v>
      </c>
      <c r="BF128" s="80" t="str">
        <f>IF(AND(D128="proMX",BD128=1),IF(R128="","Draft",R128),"")</f>
        <v/>
      </c>
      <c r="BG128" s="80">
        <f>IF(BD128=1,ROUND(AG128/60,6),0)</f>
        <v>0</v>
      </c>
      <c r="BH128" s="80">
        <f>IF(BE128=1,ROUND(AG128/60,6),0)</f>
        <v>0</v>
      </c>
      <c r="BI128" s="80">
        <f>IF(BE128=1,ROUND(AP128/60,6),0)</f>
        <v>0</v>
      </c>
      <c r="BJ128" s="80">
        <f>IF(BE128=1,ROUND(AQ128/60,6),0)</f>
        <v>0</v>
      </c>
      <c r="BK128" s="80">
        <f>IF(BE128=1,ROUND((AR128+AS128)/60,6),0)</f>
        <v>0</v>
      </c>
      <c r="BL128" s="80">
        <f>ROUND(BH128-BK128,6)</f>
        <v>0</v>
      </c>
      <c r="BM128" s="80">
        <f>IF(BE128=1,ROUND(AR128/60,6),0)</f>
        <v>0</v>
      </c>
      <c r="BN128" s="80">
        <f>ROUND(BI128-BM128,6)</f>
        <v>0</v>
      </c>
      <c r="BO128" s="80">
        <f>IF(BE128=1,ROUND(AS128/60,6),0)</f>
        <v>0</v>
      </c>
      <c r="BP128" s="80">
        <f>ROUND(BJ128-BO128,6)</f>
        <v>0</v>
      </c>
      <c r="BQ128" s="80">
        <f>IF(BE128=1,AW128,0)</f>
        <v>0</v>
      </c>
      <c r="BR128" s="80">
        <f>IF(BE128=1,AX128,0)</f>
        <v>0</v>
      </c>
      <c r="BS128" s="80">
        <f>IF(AND(BE128=1,D128="Malcolm",BA128&gt;0),MIN(BH128,SUMPRODUCT((R_Emp="proMX")*(R_EN&gt;0)*((R_EN-(R_EN&gt;BR128)*(R_EN-BR128))&gt;(R_SN+(R_SN&lt;BQ128)*(BQ128-R_SN)))*((R_EN-(R_EN&gt;BR128)*(R_EN-BR128))-(R_SN+(R_SN&lt;BQ128)*(BQ128-R_SN))))/60),0)</f>
        <v>0</v>
      </c>
      <c r="BT128" s="80">
        <f>IF(AND(BE128=1,D128="proMX"),ROUND(BI128*CFG_RATE+BJ128*CFG_OTRATE,6),0)</f>
        <v>0</v>
      </c>
      <c r="BU128" s="80">
        <f>IF(AND(BD128=1,D128="proMX"),ROUND(AG128/CFG_BLK,6),0)</f>
        <v>0</v>
      </c>
      <c r="BV128" s="80" t="str">
        <f>IF(BF128="Approved",IF(ISNUMBER(T128),INT(T128),INT(B128)),"")</f>
        <v/>
      </c>
      <c r="BW128" s="80">
        <f>IF(ISNUMBER(B128),IF(DB_MON="Todos",1,IF(AND(INT(B128)&gt;=DB_MS,INT(B128)&lt;=DB_ME),1,0)),0)</f>
        <v>0</v>
      </c>
      <c r="BX128" s="80">
        <f>IF(DB_PROJ="Todos",1,IF(E128&amp;""=DB_PROJ&amp;"",1,0))</f>
        <v>1</v>
      </c>
      <c r="BY128" s="80">
        <f>BW128*BX128</f>
        <v>0</v>
      </c>
      <c r="BZ128" s="80" t="str">
        <f>IF(Y128=1,F128&amp;IF(AND(F128&amp;""&lt;&gt;"",E128&amp;""&lt;&gt;"")," · ","")&amp;E128,"")</f>
        <v/>
      </c>
      <c r="CA128" s="80" t="str">
        <f>IF(AND(BD128=1,E128&amp;""&lt;&gt;""),IF(COUNTIFS($E$5:E127,E128,$BD$5:BD127,1)=0,MAX($CA$5:CA127)+1,""),"")</f>
        <v/>
      </c>
      <c r="CB128" s="80" t="str">
        <f>IF(AND(BE128=1,D128="Malcolm",E128&amp;""&lt;&gt;""),IF(COUNTIFS($D$5:D127,"Malcolm",$E$5:E127,E128,$BE$5:BE127,1)=0,MAX($CB$5:CB127)+1,""),"")</f>
        <v/>
      </c>
      <c r="CC128" s="80" t="str">
        <f>IF(AND(BD128=1,D128="proMX",E128&amp;""&lt;&gt;""),IF(COUNTIFS($D$5:D127,"proMX",$E$5:E127,E128,$BD$5:BD127,1)=0,MAX($CC$5:CC127)+1,""),"")</f>
        <v/>
      </c>
      <c r="CD128" s="80" t="str">
        <f>IF(AND(BE128=1,D128="Malcolm",F128&amp;""&lt;&gt;""),IF(COUNTIFS($D$5:D127,"Malcolm",$F$5:F127,F128,$BE$5:BE127,1)=0,MAX($CD$5:CD127)+1,""),"")</f>
        <v/>
      </c>
      <c r="CE128" s="80" t="str">
        <f>IF(AND(BD128=1,D128="proMX",F128&amp;""&lt;&gt;""),IF(COUNTIFS($D$5:D127,"proMX",$F$5:F127,F128,$BD$5:BD127,1)=0,MAX($CE$5:CE127)+1,""),"")</f>
        <v/>
      </c>
      <c r="CF128" s="80" t="str">
        <f>IF(AND(D128="proMX",BD128=1),IF(OR(BF128="Draft",BF128="Submitted",BF128="Returned",BF128="Recall Requested"),MAX($CF$5:CF127)+1,""),"")</f>
        <v/>
      </c>
      <c r="CG128" s="80">
        <f>IF(BD128=0,0,IF(D128="Malcolm",1,MATCH(BF128,{"Draft","Submitted","Approved","Returned","Recall Requested","Cancelled"},0)+1))</f>
        <v>0</v>
      </c>
      <c r="CH128" s="80">
        <f>IF(AND(BF128="Submitted",ISNUMBER(V128)),IF(V128&gt;CFG_MAXD,1,0),0)</f>
        <v>0</v>
      </c>
    </row>
    <row r="129">
      <c r="A129" s="71" t="str">
        <f>IF(Y129=1,ROW()-5,"")</f>
        <v/>
      </c>
      <c r="B129" s="72" t="n"/>
      <c r="C129" s="71" t="str">
        <f>IF(ISNUMBER(B129),CHOOSE(WEEKDAY(B129,2),"Lun","Mar","Mié","Jue","Vie","Sáb","Dom"),"")</f>
        <v/>
      </c>
      <c r="D129" s="73" t="n"/>
      <c r="E129" s="74" t="n"/>
      <c r="F129" s="74" t="n"/>
      <c r="G129" s="74" t="n"/>
      <c r="H129" s="75" t="n"/>
      <c r="I129" s="75" t="n"/>
      <c r="J129" s="76" t="n"/>
      <c r="K129" s="77" t="str">
        <f>IF(AB129=1,ROUND(AG129/60,4),"")</f>
        <v/>
      </c>
      <c r="L129" s="77" t="str">
        <f>IF(BD129=1,ROUND(AP129/60,4),"")</f>
        <v/>
      </c>
      <c r="M129" s="77" t="str">
        <f>IF(BD129=1,ROUND(AQ129/60,4),"")</f>
        <v/>
      </c>
      <c r="N129" s="71" t="str">
        <f>IF(AND(D129="proMX",AB129=1),ROUND(AG129/CFG_BLK,2),"")</f>
        <v/>
      </c>
      <c r="O129" s="77" t="str">
        <f>IF(D129="proMX",IF(BD129=1,ROUND(AG129/60,4),0),"")</f>
        <v/>
      </c>
      <c r="P129" s="78" t="str">
        <f>IF(Y129=0,"",IF(BD129=1,"OK",IF(D129="proMX","Revisar bloques: ","Revisar: ")&amp;BC129))</f>
        <v/>
      </c>
      <c r="Q129" s="78" t="str">
        <f>IF(NOT(ISNUMBER(B129)),"",IF(COUNTIFS(FER_F,INT(B129))&gt;0,"Feriado"&amp;IF(AH129=1," (laborable)"," (no laborable)"),IF(AH129=1,"Laborable",IF(WEEKDAY(B129,2)&gt;5,"Fin de semana","No laborable"))))</f>
        <v/>
      </c>
      <c r="R129" s="73" t="n"/>
      <c r="S129" s="72" t="n"/>
      <c r="T129" s="72" t="n"/>
      <c r="U129" s="74" t="n"/>
      <c r="V129" s="79" t="str">
        <f>IF(AND(D129="proMX",OR(R129="Submitted",R129="Recall Requested"),ISNUMBER(S129)),CFG_TODAY-INT(S129),"")</f>
        <v/>
      </c>
      <c r="W129" s="78" t="str">
        <f>IF(BD129=0,"",IF(BA129&gt;0,"⚠ Se superpone con un registro de la otra empresa",IF(D129="Malcolm",IF(COUNTA(R129,S129,T129)&gt;0,"Estado/fechas proMX se ignoran en Malcolm",""),IF(BF129="Cancelled","Cancelado: excluido de totales",IF(R129="","Sin estado: se trata como Draft",IF(BF129="Submitted",IF(ISNUMBER(V129),IF(V129&gt;CFG_MAXD,"⚠ "&amp;V129&amp;" días en Submitted (máx. "&amp;CFG_MAXD&amp;")",""),"Falta fecha de envío"),IF(BF129="Returned","⚠ Devuelto: corregir y reenviar",IF(BF129="Recall Requested","Retirada solicitada: pendiente",IF(AND(BF129="Approved",NOT(ISNUMBER(T129))),"Falta fecha de aprobación",IF(AND(ISNUMBER(S129),ISNUMBER(T129),T129&lt;S129),"Aprobación anterior al envío","")))))))))</f>
        <v/>
      </c>
      <c r="Y129" s="80">
        <f>IF(COUNTA(B129,D129,E129,F129,G129,H129,I129,J129,R129,S129,T129)&gt;0,1,0)</f>
        <v>0</v>
      </c>
      <c r="Z129" s="80" t="str">
        <f>IF(AND(ISNUMBER(H129),H129&gt;=0,H129&lt;1),ROUND(H129*1440,0),"")</f>
        <v/>
      </c>
      <c r="AA129" s="80" t="str">
        <f>IF(AND(ISNUMBER(I129),I129&gt;=0,I129&lt;1),ROUND(I129*1440,0),"")</f>
        <v/>
      </c>
      <c r="AB129" s="80">
        <f>IF(AND(ISNUMBER(B129),D129&lt;&gt;"",ISNUMBER(Z129),ISNUMBER(AA129)),IF(Z129=AA129,0,1),0)</f>
        <v>0</v>
      </c>
      <c r="AC129" s="80">
        <f>IF(AB129=1,IF(AA129&lt;Z129,1,0),0)</f>
        <v>0</v>
      </c>
      <c r="AD129" s="80">
        <f>IF(AB129=1,IF(AC129=1,1440-Z129+AA129,AA129-Z129),0)</f>
        <v>0</v>
      </c>
      <c r="AE129" s="80">
        <f>IF(J129="",0,IF(ISNUMBER(J129),J129,-1))</f>
        <v>0</v>
      </c>
      <c r="AF129" s="80">
        <f>MIN(MAX(0,AE129),AD129)</f>
        <v>0</v>
      </c>
      <c r="AG129" s="80">
        <f>MAX(0,AD129-MAX(0,AE129))</f>
        <v>0</v>
      </c>
      <c r="AH129" s="80">
        <f>IF(ISNUMBER(B129),IF(AND(INDEX(CFG_WDAYS,WEEKDAY(INT(B129),2))="Sí",IF(D129="proMX",COUNTIFS(FER_F,INT(B129),FER_NLP,"Sí"),COUNTIFS(FER_F,INT(B129),FER_NLM,"Sí"))=0),1,0),0)</f>
        <v>0</v>
      </c>
      <c r="AI129" s="80">
        <f>IF(AC129=1,IF(AND(INDEX(CFG_WDAYS,WEEKDAY(INT(B129)+1,2))="Sí",IF(D129="proMX",COUNTIFS(FER_F,INT(B129)+1,FER_NLP,"Sí"),COUNTIFS(FER_F,INT(B129)+1,FER_NLM,"Sí"))=0),1,0),0)</f>
        <v>0</v>
      </c>
      <c r="AJ129" s="80">
        <f>IF(AC129=1,1440-Z129,AD129)</f>
        <v>0</v>
      </c>
      <c r="AK129" s="80">
        <f>IF(AND(AB129=1,AH129=1),MAX(0,MIN(IF(AC129=1,1440,AA129),CFG_WEM)-MAX(Z129,CFG_WSM)),0)</f>
        <v>0</v>
      </c>
      <c r="AL129" s="80">
        <f>IF(AND(AC129=1,AI129=1),MAX(0,MIN(AA129,CFG_WEM)-CFG_WSM),0)</f>
        <v>0</v>
      </c>
      <c r="AM129" s="80">
        <f>AK129+AL129</f>
        <v>0</v>
      </c>
      <c r="AN129" s="80">
        <f>IF(CFG_BRK="Proporcional",IF(AD129=0,0,AF129*AM129/AD129),IF(CFG_BRK="Extras primero",MIN(AM129,MAX(0,AF129-(AD129-AM129))),MIN(AF129,AM129)))</f>
        <v>0</v>
      </c>
      <c r="AO129" s="80">
        <f>AF129-AN129</f>
        <v>0</v>
      </c>
      <c r="AP129" s="80">
        <f>AM129-AN129</f>
        <v>0</v>
      </c>
      <c r="AQ129" s="80">
        <f>AD129-AM129-AO129</f>
        <v>0</v>
      </c>
      <c r="AR129" s="80">
        <f>IF(AM129=0,0,AK129-AN129*AK129/AM129)</f>
        <v>0</v>
      </c>
      <c r="AS129" s="80">
        <f>IF(AD129-AM129=0,0,(AJ129-AK129)-AO129*(AJ129-AK129)/(AD129-AM129))</f>
        <v>0</v>
      </c>
      <c r="AT129" s="80" t="str">
        <f>IF(AC129=1,INT(B129)+1,"")</f>
        <v/>
      </c>
      <c r="AU129" s="80">
        <f>IF(AND(D129="proMX",R129="Cancelled"),0,1)</f>
        <v>1</v>
      </c>
      <c r="AV129" s="80">
        <f>IF(AND(AB129=1,AU129=1),IF(COUNTIFS($D$5:D128,D129,$B$5:B128,B129,$Z$5:Z128,Z129,$AA$5:AA128,AA129,$F$5:F128,F129&amp;"",$AU$5:AU128,1)&gt;0,1,0),0)</f>
        <v>0</v>
      </c>
      <c r="AW129" s="80" t="str">
        <f>IF(AB129=1,INT(B129)*1440+Z129,"")</f>
        <v/>
      </c>
      <c r="AX129" s="80" t="str">
        <f>IF(AB129=1,AW129+AD129,"")</f>
        <v/>
      </c>
      <c r="AY129" s="80">
        <f>IF(AND(AB129=1,AV129=0,AU129=1),1,0)</f>
        <v>0</v>
      </c>
      <c r="AZ129" s="80">
        <f>IF(AY129=1,COUNTIFS(R_Emp,D129,R_SAbs,"&lt;"&amp;AX129,R_EAbs,"&gt;"&amp;AW129,R_OKey,1)-1,0)</f>
        <v>0</v>
      </c>
      <c r="BA129" s="80">
        <f>IF(AY129=1,COUNTIFS(R_Emp,"&lt;&gt;"&amp;D129,R_SAbs,"&lt;"&amp;AX129,R_EAbs,"&gt;"&amp;AW129,R_OKey,1),0)</f>
        <v>0</v>
      </c>
      <c r="BB129" s="80">
        <f>IF(AND(AB129=1,D129="proMX"),IF(AND(MOD(Z129,CFG_BLK)=0,MOD(AA129,CFG_BLK)=0,MOD(AG129,CFG_BLK)=0,AG129&gt;0),1,0),1)</f>
        <v>1</v>
      </c>
      <c r="BC129" s="80" t="str">
        <f>IF(Y129=0,"",IF(NOT(ISNUMBER(B129)),"Falta fecha o fecha inválida",IF(D129="","Falta empresa",IF(AND(D129&lt;&gt;"Malcolm",D129&lt;&gt;"proMX"),"Empresa inválida",IF(OR(INT(B129)&lt;CFG_PSTART,INT(B129)&gt;CFG_PEND),"Fecha fuera del período",IF(OR(NOT(ISNUMBER(Z129)),NOT(ISNUMBER(AA129))),"Falta hora inicio/fin o formato inválido",IF(AB129=0,"Hora inicio = hora fin",IF(AE129&lt;0,"Descanso inválido",IF(AE129&gt;=AD129,"Descanso ≥ duración",IF(AV129=1,"Registro duplicado",IF(AZ129&gt;0,"Se superpone con otro registro "&amp;D129,IF(BB129=0,"inicio, fin y duración neta deben ser múltiplos de "&amp;CFG_BLK&amp;" min",""))))))))))))</f>
        <v/>
      </c>
      <c r="BD129" s="80">
        <f>IF(AND(Y129=1,BC129=""),1,0)</f>
        <v>0</v>
      </c>
      <c r="BE129" s="80">
        <f>IF(AND(BD129=1,AU129=1),1,0)</f>
        <v>0</v>
      </c>
      <c r="BF129" s="80" t="str">
        <f>IF(AND(D129="proMX",BD129=1),IF(R129="","Draft",R129),"")</f>
        <v/>
      </c>
      <c r="BG129" s="80">
        <f>IF(BD129=1,ROUND(AG129/60,6),0)</f>
        <v>0</v>
      </c>
      <c r="BH129" s="80">
        <f>IF(BE129=1,ROUND(AG129/60,6),0)</f>
        <v>0</v>
      </c>
      <c r="BI129" s="80">
        <f>IF(BE129=1,ROUND(AP129/60,6),0)</f>
        <v>0</v>
      </c>
      <c r="BJ129" s="80">
        <f>IF(BE129=1,ROUND(AQ129/60,6),0)</f>
        <v>0</v>
      </c>
      <c r="BK129" s="80">
        <f>IF(BE129=1,ROUND((AR129+AS129)/60,6),0)</f>
        <v>0</v>
      </c>
      <c r="BL129" s="80">
        <f>ROUND(BH129-BK129,6)</f>
        <v>0</v>
      </c>
      <c r="BM129" s="80">
        <f>IF(BE129=1,ROUND(AR129/60,6),0)</f>
        <v>0</v>
      </c>
      <c r="BN129" s="80">
        <f>ROUND(BI129-BM129,6)</f>
        <v>0</v>
      </c>
      <c r="BO129" s="80">
        <f>IF(BE129=1,ROUND(AS129/60,6),0)</f>
        <v>0</v>
      </c>
      <c r="BP129" s="80">
        <f>ROUND(BJ129-BO129,6)</f>
        <v>0</v>
      </c>
      <c r="BQ129" s="80">
        <f>IF(BE129=1,AW129,0)</f>
        <v>0</v>
      </c>
      <c r="BR129" s="80">
        <f>IF(BE129=1,AX129,0)</f>
        <v>0</v>
      </c>
      <c r="BS129" s="80">
        <f>IF(AND(BE129=1,D129="Malcolm",BA129&gt;0),MIN(BH129,SUMPRODUCT((R_Emp="proMX")*(R_EN&gt;0)*((R_EN-(R_EN&gt;BR129)*(R_EN-BR129))&gt;(R_SN+(R_SN&lt;BQ129)*(BQ129-R_SN)))*((R_EN-(R_EN&gt;BR129)*(R_EN-BR129))-(R_SN+(R_SN&lt;BQ129)*(BQ129-R_SN))))/60),0)</f>
        <v>0</v>
      </c>
      <c r="BT129" s="80">
        <f>IF(AND(BE129=1,D129="proMX"),ROUND(BI129*CFG_RATE+BJ129*CFG_OTRATE,6),0)</f>
        <v>0</v>
      </c>
      <c r="BU129" s="80">
        <f>IF(AND(BD129=1,D129="proMX"),ROUND(AG129/CFG_BLK,6),0)</f>
        <v>0</v>
      </c>
      <c r="BV129" s="80" t="str">
        <f>IF(BF129="Approved",IF(ISNUMBER(T129),INT(T129),INT(B129)),"")</f>
        <v/>
      </c>
      <c r="BW129" s="80">
        <f>IF(ISNUMBER(B129),IF(DB_MON="Todos",1,IF(AND(INT(B129)&gt;=DB_MS,INT(B129)&lt;=DB_ME),1,0)),0)</f>
        <v>0</v>
      </c>
      <c r="BX129" s="80">
        <f>IF(DB_PROJ="Todos",1,IF(E129&amp;""=DB_PROJ&amp;"",1,0))</f>
        <v>1</v>
      </c>
      <c r="BY129" s="80">
        <f>BW129*BX129</f>
        <v>0</v>
      </c>
      <c r="BZ129" s="80" t="str">
        <f>IF(Y129=1,F129&amp;IF(AND(F129&amp;""&lt;&gt;"",E129&amp;""&lt;&gt;"")," · ","")&amp;E129,"")</f>
        <v/>
      </c>
      <c r="CA129" s="80" t="str">
        <f>IF(AND(BD129=1,E129&amp;""&lt;&gt;""),IF(COUNTIFS($E$5:E128,E129,$BD$5:BD128,1)=0,MAX($CA$5:CA128)+1,""),"")</f>
        <v/>
      </c>
      <c r="CB129" s="80" t="str">
        <f>IF(AND(BE129=1,D129="Malcolm",E129&amp;""&lt;&gt;""),IF(COUNTIFS($D$5:D128,"Malcolm",$E$5:E128,E129,$BE$5:BE128,1)=0,MAX($CB$5:CB128)+1,""),"")</f>
        <v/>
      </c>
      <c r="CC129" s="80" t="str">
        <f>IF(AND(BD129=1,D129="proMX",E129&amp;""&lt;&gt;""),IF(COUNTIFS($D$5:D128,"proMX",$E$5:E128,E129,$BD$5:BD128,1)=0,MAX($CC$5:CC128)+1,""),"")</f>
        <v/>
      </c>
      <c r="CD129" s="80" t="str">
        <f>IF(AND(BE129=1,D129="Malcolm",F129&amp;""&lt;&gt;""),IF(COUNTIFS($D$5:D128,"Malcolm",$F$5:F128,F129,$BE$5:BE128,1)=0,MAX($CD$5:CD128)+1,""),"")</f>
        <v/>
      </c>
      <c r="CE129" s="80" t="str">
        <f>IF(AND(BD129=1,D129="proMX",F129&amp;""&lt;&gt;""),IF(COUNTIFS($D$5:D128,"proMX",$F$5:F128,F129,$BD$5:BD128,1)=0,MAX($CE$5:CE128)+1,""),"")</f>
        <v/>
      </c>
      <c r="CF129" s="80" t="str">
        <f>IF(AND(D129="proMX",BD129=1),IF(OR(BF129="Draft",BF129="Submitted",BF129="Returned",BF129="Recall Requested"),MAX($CF$5:CF128)+1,""),"")</f>
        <v/>
      </c>
      <c r="CG129" s="80">
        <f>IF(BD129=0,0,IF(D129="Malcolm",1,MATCH(BF129,{"Draft","Submitted","Approved","Returned","Recall Requested","Cancelled"},0)+1))</f>
        <v>0</v>
      </c>
      <c r="CH129" s="80">
        <f>IF(AND(BF129="Submitted",ISNUMBER(V129)),IF(V129&gt;CFG_MAXD,1,0),0)</f>
        <v>0</v>
      </c>
    </row>
    <row r="130">
      <c r="A130" s="71" t="str">
        <f>IF(Y130=1,ROW()-5,"")</f>
        <v/>
      </c>
      <c r="B130" s="72" t="n"/>
      <c r="C130" s="71" t="str">
        <f>IF(ISNUMBER(B130),CHOOSE(WEEKDAY(B130,2),"Lun","Mar","Mié","Jue","Vie","Sáb","Dom"),"")</f>
        <v/>
      </c>
      <c r="D130" s="73" t="n"/>
      <c r="E130" s="74" t="n"/>
      <c r="F130" s="74" t="n"/>
      <c r="G130" s="74" t="n"/>
      <c r="H130" s="75" t="n"/>
      <c r="I130" s="75" t="n"/>
      <c r="J130" s="76" t="n"/>
      <c r="K130" s="77" t="str">
        <f>IF(AB130=1,ROUND(AG130/60,4),"")</f>
        <v/>
      </c>
      <c r="L130" s="77" t="str">
        <f>IF(BD130=1,ROUND(AP130/60,4),"")</f>
        <v/>
      </c>
      <c r="M130" s="77" t="str">
        <f>IF(BD130=1,ROUND(AQ130/60,4),"")</f>
        <v/>
      </c>
      <c r="N130" s="71" t="str">
        <f>IF(AND(D130="proMX",AB130=1),ROUND(AG130/CFG_BLK,2),"")</f>
        <v/>
      </c>
      <c r="O130" s="77" t="str">
        <f>IF(D130="proMX",IF(BD130=1,ROUND(AG130/60,4),0),"")</f>
        <v/>
      </c>
      <c r="P130" s="78" t="str">
        <f>IF(Y130=0,"",IF(BD130=1,"OK",IF(D130="proMX","Revisar bloques: ","Revisar: ")&amp;BC130))</f>
        <v/>
      </c>
      <c r="Q130" s="78" t="str">
        <f>IF(NOT(ISNUMBER(B130)),"",IF(COUNTIFS(FER_F,INT(B130))&gt;0,"Feriado"&amp;IF(AH130=1," (laborable)"," (no laborable)"),IF(AH130=1,"Laborable",IF(WEEKDAY(B130,2)&gt;5,"Fin de semana","No laborable"))))</f>
        <v/>
      </c>
      <c r="R130" s="73" t="n"/>
      <c r="S130" s="72" t="n"/>
      <c r="T130" s="72" t="n"/>
      <c r="U130" s="74" t="n"/>
      <c r="V130" s="79" t="str">
        <f>IF(AND(D130="proMX",OR(R130="Submitted",R130="Recall Requested"),ISNUMBER(S130)),CFG_TODAY-INT(S130),"")</f>
        <v/>
      </c>
      <c r="W130" s="78" t="str">
        <f>IF(BD130=0,"",IF(BA130&gt;0,"⚠ Se superpone con un registro de la otra empresa",IF(D130="Malcolm",IF(COUNTA(R130,S130,T130)&gt;0,"Estado/fechas proMX se ignoran en Malcolm",""),IF(BF130="Cancelled","Cancelado: excluido de totales",IF(R130="","Sin estado: se trata como Draft",IF(BF130="Submitted",IF(ISNUMBER(V130),IF(V130&gt;CFG_MAXD,"⚠ "&amp;V130&amp;" días en Submitted (máx. "&amp;CFG_MAXD&amp;")",""),"Falta fecha de envío"),IF(BF130="Returned","⚠ Devuelto: corregir y reenviar",IF(BF130="Recall Requested","Retirada solicitada: pendiente",IF(AND(BF130="Approved",NOT(ISNUMBER(T130))),"Falta fecha de aprobación",IF(AND(ISNUMBER(S130),ISNUMBER(T130),T130&lt;S130),"Aprobación anterior al envío","")))))))))</f>
        <v/>
      </c>
      <c r="Y130" s="80">
        <f>IF(COUNTA(B130,D130,E130,F130,G130,H130,I130,J130,R130,S130,T130)&gt;0,1,0)</f>
        <v>0</v>
      </c>
      <c r="Z130" s="80" t="str">
        <f>IF(AND(ISNUMBER(H130),H130&gt;=0,H130&lt;1),ROUND(H130*1440,0),"")</f>
        <v/>
      </c>
      <c r="AA130" s="80" t="str">
        <f>IF(AND(ISNUMBER(I130),I130&gt;=0,I130&lt;1),ROUND(I130*1440,0),"")</f>
        <v/>
      </c>
      <c r="AB130" s="80">
        <f>IF(AND(ISNUMBER(B130),D130&lt;&gt;"",ISNUMBER(Z130),ISNUMBER(AA130)),IF(Z130=AA130,0,1),0)</f>
        <v>0</v>
      </c>
      <c r="AC130" s="80">
        <f>IF(AB130=1,IF(AA130&lt;Z130,1,0),0)</f>
        <v>0</v>
      </c>
      <c r="AD130" s="80">
        <f>IF(AB130=1,IF(AC130=1,1440-Z130+AA130,AA130-Z130),0)</f>
        <v>0</v>
      </c>
      <c r="AE130" s="80">
        <f>IF(J130="",0,IF(ISNUMBER(J130),J130,-1))</f>
        <v>0</v>
      </c>
      <c r="AF130" s="80">
        <f>MIN(MAX(0,AE130),AD130)</f>
        <v>0</v>
      </c>
      <c r="AG130" s="80">
        <f>MAX(0,AD130-MAX(0,AE130))</f>
        <v>0</v>
      </c>
      <c r="AH130" s="80">
        <f>IF(ISNUMBER(B130),IF(AND(INDEX(CFG_WDAYS,WEEKDAY(INT(B130),2))="Sí",IF(D130="proMX",COUNTIFS(FER_F,INT(B130),FER_NLP,"Sí"),COUNTIFS(FER_F,INT(B130),FER_NLM,"Sí"))=0),1,0),0)</f>
        <v>0</v>
      </c>
      <c r="AI130" s="80">
        <f>IF(AC130=1,IF(AND(INDEX(CFG_WDAYS,WEEKDAY(INT(B130)+1,2))="Sí",IF(D130="proMX",COUNTIFS(FER_F,INT(B130)+1,FER_NLP,"Sí"),COUNTIFS(FER_F,INT(B130)+1,FER_NLM,"Sí"))=0),1,0),0)</f>
        <v>0</v>
      </c>
      <c r="AJ130" s="80">
        <f>IF(AC130=1,1440-Z130,AD130)</f>
        <v>0</v>
      </c>
      <c r="AK130" s="80">
        <f>IF(AND(AB130=1,AH130=1),MAX(0,MIN(IF(AC130=1,1440,AA130),CFG_WEM)-MAX(Z130,CFG_WSM)),0)</f>
        <v>0</v>
      </c>
      <c r="AL130" s="80">
        <f>IF(AND(AC130=1,AI130=1),MAX(0,MIN(AA130,CFG_WEM)-CFG_WSM),0)</f>
        <v>0</v>
      </c>
      <c r="AM130" s="80">
        <f>AK130+AL130</f>
        <v>0</v>
      </c>
      <c r="AN130" s="80">
        <f>IF(CFG_BRK="Proporcional",IF(AD130=0,0,AF130*AM130/AD130),IF(CFG_BRK="Extras primero",MIN(AM130,MAX(0,AF130-(AD130-AM130))),MIN(AF130,AM130)))</f>
        <v>0</v>
      </c>
      <c r="AO130" s="80">
        <f>AF130-AN130</f>
        <v>0</v>
      </c>
      <c r="AP130" s="80">
        <f>AM130-AN130</f>
        <v>0</v>
      </c>
      <c r="AQ130" s="80">
        <f>AD130-AM130-AO130</f>
        <v>0</v>
      </c>
      <c r="AR130" s="80">
        <f>IF(AM130=0,0,AK130-AN130*AK130/AM130)</f>
        <v>0</v>
      </c>
      <c r="AS130" s="80">
        <f>IF(AD130-AM130=0,0,(AJ130-AK130)-AO130*(AJ130-AK130)/(AD130-AM130))</f>
        <v>0</v>
      </c>
      <c r="AT130" s="80" t="str">
        <f>IF(AC130=1,INT(B130)+1,"")</f>
        <v/>
      </c>
      <c r="AU130" s="80">
        <f>IF(AND(D130="proMX",R130="Cancelled"),0,1)</f>
        <v>1</v>
      </c>
      <c r="AV130" s="80">
        <f>IF(AND(AB130=1,AU130=1),IF(COUNTIFS($D$5:D129,D130,$B$5:B129,B130,$Z$5:Z129,Z130,$AA$5:AA129,AA130,$F$5:F129,F130&amp;"",$AU$5:AU129,1)&gt;0,1,0),0)</f>
        <v>0</v>
      </c>
      <c r="AW130" s="80" t="str">
        <f>IF(AB130=1,INT(B130)*1440+Z130,"")</f>
        <v/>
      </c>
      <c r="AX130" s="80" t="str">
        <f>IF(AB130=1,AW130+AD130,"")</f>
        <v/>
      </c>
      <c r="AY130" s="80">
        <f>IF(AND(AB130=1,AV130=0,AU130=1),1,0)</f>
        <v>0</v>
      </c>
      <c r="AZ130" s="80">
        <f>IF(AY130=1,COUNTIFS(R_Emp,D130,R_SAbs,"&lt;"&amp;AX130,R_EAbs,"&gt;"&amp;AW130,R_OKey,1)-1,0)</f>
        <v>0</v>
      </c>
      <c r="BA130" s="80">
        <f>IF(AY130=1,COUNTIFS(R_Emp,"&lt;&gt;"&amp;D130,R_SAbs,"&lt;"&amp;AX130,R_EAbs,"&gt;"&amp;AW130,R_OKey,1),0)</f>
        <v>0</v>
      </c>
      <c r="BB130" s="80">
        <f>IF(AND(AB130=1,D130="proMX"),IF(AND(MOD(Z130,CFG_BLK)=0,MOD(AA130,CFG_BLK)=0,MOD(AG130,CFG_BLK)=0,AG130&gt;0),1,0),1)</f>
        <v>1</v>
      </c>
      <c r="BC130" s="80" t="str">
        <f>IF(Y130=0,"",IF(NOT(ISNUMBER(B130)),"Falta fecha o fecha inválida",IF(D130="","Falta empresa",IF(AND(D130&lt;&gt;"Malcolm",D130&lt;&gt;"proMX"),"Empresa inválida",IF(OR(INT(B130)&lt;CFG_PSTART,INT(B130)&gt;CFG_PEND),"Fecha fuera del período",IF(OR(NOT(ISNUMBER(Z130)),NOT(ISNUMBER(AA130))),"Falta hora inicio/fin o formato inválido",IF(AB130=0,"Hora inicio = hora fin",IF(AE130&lt;0,"Descanso inválido",IF(AE130&gt;=AD130,"Descanso ≥ duración",IF(AV130=1,"Registro duplicado",IF(AZ130&gt;0,"Se superpone con otro registro "&amp;D130,IF(BB130=0,"inicio, fin y duración neta deben ser múltiplos de "&amp;CFG_BLK&amp;" min",""))))))))))))</f>
        <v/>
      </c>
      <c r="BD130" s="80">
        <f>IF(AND(Y130=1,BC130=""),1,0)</f>
        <v>0</v>
      </c>
      <c r="BE130" s="80">
        <f>IF(AND(BD130=1,AU130=1),1,0)</f>
        <v>0</v>
      </c>
      <c r="BF130" s="80" t="str">
        <f>IF(AND(D130="proMX",BD130=1),IF(R130="","Draft",R130),"")</f>
        <v/>
      </c>
      <c r="BG130" s="80">
        <f>IF(BD130=1,ROUND(AG130/60,6),0)</f>
        <v>0</v>
      </c>
      <c r="BH130" s="80">
        <f>IF(BE130=1,ROUND(AG130/60,6),0)</f>
        <v>0</v>
      </c>
      <c r="BI130" s="80">
        <f>IF(BE130=1,ROUND(AP130/60,6),0)</f>
        <v>0</v>
      </c>
      <c r="BJ130" s="80">
        <f>IF(BE130=1,ROUND(AQ130/60,6),0)</f>
        <v>0</v>
      </c>
      <c r="BK130" s="80">
        <f>IF(BE130=1,ROUND((AR130+AS130)/60,6),0)</f>
        <v>0</v>
      </c>
      <c r="BL130" s="80">
        <f>ROUND(BH130-BK130,6)</f>
        <v>0</v>
      </c>
      <c r="BM130" s="80">
        <f>IF(BE130=1,ROUND(AR130/60,6),0)</f>
        <v>0</v>
      </c>
      <c r="BN130" s="80">
        <f>ROUND(BI130-BM130,6)</f>
        <v>0</v>
      </c>
      <c r="BO130" s="80">
        <f>IF(BE130=1,ROUND(AS130/60,6),0)</f>
        <v>0</v>
      </c>
      <c r="BP130" s="80">
        <f>ROUND(BJ130-BO130,6)</f>
        <v>0</v>
      </c>
      <c r="BQ130" s="80">
        <f>IF(BE130=1,AW130,0)</f>
        <v>0</v>
      </c>
      <c r="BR130" s="80">
        <f>IF(BE130=1,AX130,0)</f>
        <v>0</v>
      </c>
      <c r="BS130" s="80">
        <f>IF(AND(BE130=1,D130="Malcolm",BA130&gt;0),MIN(BH130,SUMPRODUCT((R_Emp="proMX")*(R_EN&gt;0)*((R_EN-(R_EN&gt;BR130)*(R_EN-BR130))&gt;(R_SN+(R_SN&lt;BQ130)*(BQ130-R_SN)))*((R_EN-(R_EN&gt;BR130)*(R_EN-BR130))-(R_SN+(R_SN&lt;BQ130)*(BQ130-R_SN))))/60),0)</f>
        <v>0</v>
      </c>
      <c r="BT130" s="80">
        <f>IF(AND(BE130=1,D130="proMX"),ROUND(BI130*CFG_RATE+BJ130*CFG_OTRATE,6),0)</f>
        <v>0</v>
      </c>
      <c r="BU130" s="80">
        <f>IF(AND(BD130=1,D130="proMX"),ROUND(AG130/CFG_BLK,6),0)</f>
        <v>0</v>
      </c>
      <c r="BV130" s="80" t="str">
        <f>IF(BF130="Approved",IF(ISNUMBER(T130),INT(T130),INT(B130)),"")</f>
        <v/>
      </c>
      <c r="BW130" s="80">
        <f>IF(ISNUMBER(B130),IF(DB_MON="Todos",1,IF(AND(INT(B130)&gt;=DB_MS,INT(B130)&lt;=DB_ME),1,0)),0)</f>
        <v>0</v>
      </c>
      <c r="BX130" s="80">
        <f>IF(DB_PROJ="Todos",1,IF(E130&amp;""=DB_PROJ&amp;"",1,0))</f>
        <v>1</v>
      </c>
      <c r="BY130" s="80">
        <f>BW130*BX130</f>
        <v>0</v>
      </c>
      <c r="BZ130" s="80" t="str">
        <f>IF(Y130=1,F130&amp;IF(AND(F130&amp;""&lt;&gt;"",E130&amp;""&lt;&gt;"")," · ","")&amp;E130,"")</f>
        <v/>
      </c>
      <c r="CA130" s="80" t="str">
        <f>IF(AND(BD130=1,E130&amp;""&lt;&gt;""),IF(COUNTIFS($E$5:E129,E130,$BD$5:BD129,1)=0,MAX($CA$5:CA129)+1,""),"")</f>
        <v/>
      </c>
      <c r="CB130" s="80" t="str">
        <f>IF(AND(BE130=1,D130="Malcolm",E130&amp;""&lt;&gt;""),IF(COUNTIFS($D$5:D129,"Malcolm",$E$5:E129,E130,$BE$5:BE129,1)=0,MAX($CB$5:CB129)+1,""),"")</f>
        <v/>
      </c>
      <c r="CC130" s="80" t="str">
        <f>IF(AND(BD130=1,D130="proMX",E130&amp;""&lt;&gt;""),IF(COUNTIFS($D$5:D129,"proMX",$E$5:E129,E130,$BD$5:BD129,1)=0,MAX($CC$5:CC129)+1,""),"")</f>
        <v/>
      </c>
      <c r="CD130" s="80" t="str">
        <f>IF(AND(BE130=1,D130="Malcolm",F130&amp;""&lt;&gt;""),IF(COUNTIFS($D$5:D129,"Malcolm",$F$5:F129,F130,$BE$5:BE129,1)=0,MAX($CD$5:CD129)+1,""),"")</f>
        <v/>
      </c>
      <c r="CE130" s="80" t="str">
        <f>IF(AND(BD130=1,D130="proMX",F130&amp;""&lt;&gt;""),IF(COUNTIFS($D$5:D129,"proMX",$F$5:F129,F130,$BD$5:BD129,1)=0,MAX($CE$5:CE129)+1,""),"")</f>
        <v/>
      </c>
      <c r="CF130" s="80" t="str">
        <f>IF(AND(D130="proMX",BD130=1),IF(OR(BF130="Draft",BF130="Submitted",BF130="Returned",BF130="Recall Requested"),MAX($CF$5:CF129)+1,""),"")</f>
        <v/>
      </c>
      <c r="CG130" s="80">
        <f>IF(BD130=0,0,IF(D130="Malcolm",1,MATCH(BF130,{"Draft","Submitted","Approved","Returned","Recall Requested","Cancelled"},0)+1))</f>
        <v>0</v>
      </c>
      <c r="CH130" s="80">
        <f>IF(AND(BF130="Submitted",ISNUMBER(V130)),IF(V130&gt;CFG_MAXD,1,0),0)</f>
        <v>0</v>
      </c>
    </row>
    <row r="131">
      <c r="A131" s="71" t="str">
        <f>IF(Y131=1,ROW()-5,"")</f>
        <v/>
      </c>
      <c r="B131" s="72" t="n"/>
      <c r="C131" s="71" t="str">
        <f>IF(ISNUMBER(B131),CHOOSE(WEEKDAY(B131,2),"Lun","Mar","Mié","Jue","Vie","Sáb","Dom"),"")</f>
        <v/>
      </c>
      <c r="D131" s="73" t="n"/>
      <c r="E131" s="74" t="n"/>
      <c r="F131" s="74" t="n"/>
      <c r="G131" s="74" t="n"/>
      <c r="H131" s="75" t="n"/>
      <c r="I131" s="75" t="n"/>
      <c r="J131" s="76" t="n"/>
      <c r="K131" s="77" t="str">
        <f>IF(AB131=1,ROUND(AG131/60,4),"")</f>
        <v/>
      </c>
      <c r="L131" s="77" t="str">
        <f>IF(BD131=1,ROUND(AP131/60,4),"")</f>
        <v/>
      </c>
      <c r="M131" s="77" t="str">
        <f>IF(BD131=1,ROUND(AQ131/60,4),"")</f>
        <v/>
      </c>
      <c r="N131" s="71" t="str">
        <f>IF(AND(D131="proMX",AB131=1),ROUND(AG131/CFG_BLK,2),"")</f>
        <v/>
      </c>
      <c r="O131" s="77" t="str">
        <f>IF(D131="proMX",IF(BD131=1,ROUND(AG131/60,4),0),"")</f>
        <v/>
      </c>
      <c r="P131" s="78" t="str">
        <f>IF(Y131=0,"",IF(BD131=1,"OK",IF(D131="proMX","Revisar bloques: ","Revisar: ")&amp;BC131))</f>
        <v/>
      </c>
      <c r="Q131" s="78" t="str">
        <f>IF(NOT(ISNUMBER(B131)),"",IF(COUNTIFS(FER_F,INT(B131))&gt;0,"Feriado"&amp;IF(AH131=1," (laborable)"," (no laborable)"),IF(AH131=1,"Laborable",IF(WEEKDAY(B131,2)&gt;5,"Fin de semana","No laborable"))))</f>
        <v/>
      </c>
      <c r="R131" s="73" t="n"/>
      <c r="S131" s="72" t="n"/>
      <c r="T131" s="72" t="n"/>
      <c r="U131" s="74" t="n"/>
      <c r="V131" s="79" t="str">
        <f>IF(AND(D131="proMX",OR(R131="Submitted",R131="Recall Requested"),ISNUMBER(S131)),CFG_TODAY-INT(S131),"")</f>
        <v/>
      </c>
      <c r="W131" s="78" t="str">
        <f>IF(BD131=0,"",IF(BA131&gt;0,"⚠ Se superpone con un registro de la otra empresa",IF(D131="Malcolm",IF(COUNTA(R131,S131,T131)&gt;0,"Estado/fechas proMX se ignoran en Malcolm",""),IF(BF131="Cancelled","Cancelado: excluido de totales",IF(R131="","Sin estado: se trata como Draft",IF(BF131="Submitted",IF(ISNUMBER(V131),IF(V131&gt;CFG_MAXD,"⚠ "&amp;V131&amp;" días en Submitted (máx. "&amp;CFG_MAXD&amp;")",""),"Falta fecha de envío"),IF(BF131="Returned","⚠ Devuelto: corregir y reenviar",IF(BF131="Recall Requested","Retirada solicitada: pendiente",IF(AND(BF131="Approved",NOT(ISNUMBER(T131))),"Falta fecha de aprobación",IF(AND(ISNUMBER(S131),ISNUMBER(T131),T131&lt;S131),"Aprobación anterior al envío","")))))))))</f>
        <v/>
      </c>
      <c r="Y131" s="80">
        <f>IF(COUNTA(B131,D131,E131,F131,G131,H131,I131,J131,R131,S131,T131)&gt;0,1,0)</f>
        <v>0</v>
      </c>
      <c r="Z131" s="80" t="str">
        <f>IF(AND(ISNUMBER(H131),H131&gt;=0,H131&lt;1),ROUND(H131*1440,0),"")</f>
        <v/>
      </c>
      <c r="AA131" s="80" t="str">
        <f>IF(AND(ISNUMBER(I131),I131&gt;=0,I131&lt;1),ROUND(I131*1440,0),"")</f>
        <v/>
      </c>
      <c r="AB131" s="80">
        <f>IF(AND(ISNUMBER(B131),D131&lt;&gt;"",ISNUMBER(Z131),ISNUMBER(AA131)),IF(Z131=AA131,0,1),0)</f>
        <v>0</v>
      </c>
      <c r="AC131" s="80">
        <f>IF(AB131=1,IF(AA131&lt;Z131,1,0),0)</f>
        <v>0</v>
      </c>
      <c r="AD131" s="80">
        <f>IF(AB131=1,IF(AC131=1,1440-Z131+AA131,AA131-Z131),0)</f>
        <v>0</v>
      </c>
      <c r="AE131" s="80">
        <f>IF(J131="",0,IF(ISNUMBER(J131),J131,-1))</f>
        <v>0</v>
      </c>
      <c r="AF131" s="80">
        <f>MIN(MAX(0,AE131),AD131)</f>
        <v>0</v>
      </c>
      <c r="AG131" s="80">
        <f>MAX(0,AD131-MAX(0,AE131))</f>
        <v>0</v>
      </c>
      <c r="AH131" s="80">
        <f>IF(ISNUMBER(B131),IF(AND(INDEX(CFG_WDAYS,WEEKDAY(INT(B131),2))="Sí",IF(D131="proMX",COUNTIFS(FER_F,INT(B131),FER_NLP,"Sí"),COUNTIFS(FER_F,INT(B131),FER_NLM,"Sí"))=0),1,0),0)</f>
        <v>0</v>
      </c>
      <c r="AI131" s="80">
        <f>IF(AC131=1,IF(AND(INDEX(CFG_WDAYS,WEEKDAY(INT(B131)+1,2))="Sí",IF(D131="proMX",COUNTIFS(FER_F,INT(B131)+1,FER_NLP,"Sí"),COUNTIFS(FER_F,INT(B131)+1,FER_NLM,"Sí"))=0),1,0),0)</f>
        <v>0</v>
      </c>
      <c r="AJ131" s="80">
        <f>IF(AC131=1,1440-Z131,AD131)</f>
        <v>0</v>
      </c>
      <c r="AK131" s="80">
        <f>IF(AND(AB131=1,AH131=1),MAX(0,MIN(IF(AC131=1,1440,AA131),CFG_WEM)-MAX(Z131,CFG_WSM)),0)</f>
        <v>0</v>
      </c>
      <c r="AL131" s="80">
        <f>IF(AND(AC131=1,AI131=1),MAX(0,MIN(AA131,CFG_WEM)-CFG_WSM),0)</f>
        <v>0</v>
      </c>
      <c r="AM131" s="80">
        <f>AK131+AL131</f>
        <v>0</v>
      </c>
      <c r="AN131" s="80">
        <f>IF(CFG_BRK="Proporcional",IF(AD131=0,0,AF131*AM131/AD131),IF(CFG_BRK="Extras primero",MIN(AM131,MAX(0,AF131-(AD131-AM131))),MIN(AF131,AM131)))</f>
        <v>0</v>
      </c>
      <c r="AO131" s="80">
        <f>AF131-AN131</f>
        <v>0</v>
      </c>
      <c r="AP131" s="80">
        <f>AM131-AN131</f>
        <v>0</v>
      </c>
      <c r="AQ131" s="80">
        <f>AD131-AM131-AO131</f>
        <v>0</v>
      </c>
      <c r="AR131" s="80">
        <f>IF(AM131=0,0,AK131-AN131*AK131/AM131)</f>
        <v>0</v>
      </c>
      <c r="AS131" s="80">
        <f>IF(AD131-AM131=0,0,(AJ131-AK131)-AO131*(AJ131-AK131)/(AD131-AM131))</f>
        <v>0</v>
      </c>
      <c r="AT131" s="80" t="str">
        <f>IF(AC131=1,INT(B131)+1,"")</f>
        <v/>
      </c>
      <c r="AU131" s="80">
        <f>IF(AND(D131="proMX",R131="Cancelled"),0,1)</f>
        <v>1</v>
      </c>
      <c r="AV131" s="80">
        <f>IF(AND(AB131=1,AU131=1),IF(COUNTIFS($D$5:D130,D131,$B$5:B130,B131,$Z$5:Z130,Z131,$AA$5:AA130,AA131,$F$5:F130,F131&amp;"",$AU$5:AU130,1)&gt;0,1,0),0)</f>
        <v>0</v>
      </c>
      <c r="AW131" s="80" t="str">
        <f>IF(AB131=1,INT(B131)*1440+Z131,"")</f>
        <v/>
      </c>
      <c r="AX131" s="80" t="str">
        <f>IF(AB131=1,AW131+AD131,"")</f>
        <v/>
      </c>
      <c r="AY131" s="80">
        <f>IF(AND(AB131=1,AV131=0,AU131=1),1,0)</f>
        <v>0</v>
      </c>
      <c r="AZ131" s="80">
        <f>IF(AY131=1,COUNTIFS(R_Emp,D131,R_SAbs,"&lt;"&amp;AX131,R_EAbs,"&gt;"&amp;AW131,R_OKey,1)-1,0)</f>
        <v>0</v>
      </c>
      <c r="BA131" s="80">
        <f>IF(AY131=1,COUNTIFS(R_Emp,"&lt;&gt;"&amp;D131,R_SAbs,"&lt;"&amp;AX131,R_EAbs,"&gt;"&amp;AW131,R_OKey,1),0)</f>
        <v>0</v>
      </c>
      <c r="BB131" s="80">
        <f>IF(AND(AB131=1,D131="proMX"),IF(AND(MOD(Z131,CFG_BLK)=0,MOD(AA131,CFG_BLK)=0,MOD(AG131,CFG_BLK)=0,AG131&gt;0),1,0),1)</f>
        <v>1</v>
      </c>
      <c r="BC131" s="80" t="str">
        <f>IF(Y131=0,"",IF(NOT(ISNUMBER(B131)),"Falta fecha o fecha inválida",IF(D131="","Falta empresa",IF(AND(D131&lt;&gt;"Malcolm",D131&lt;&gt;"proMX"),"Empresa inválida",IF(OR(INT(B131)&lt;CFG_PSTART,INT(B131)&gt;CFG_PEND),"Fecha fuera del período",IF(OR(NOT(ISNUMBER(Z131)),NOT(ISNUMBER(AA131))),"Falta hora inicio/fin o formato inválido",IF(AB131=0,"Hora inicio = hora fin",IF(AE131&lt;0,"Descanso inválido",IF(AE131&gt;=AD131,"Descanso ≥ duración",IF(AV131=1,"Registro duplicado",IF(AZ131&gt;0,"Se superpone con otro registro "&amp;D131,IF(BB131=0,"inicio, fin y duración neta deben ser múltiplos de "&amp;CFG_BLK&amp;" min",""))))))))))))</f>
        <v/>
      </c>
      <c r="BD131" s="80">
        <f>IF(AND(Y131=1,BC131=""),1,0)</f>
        <v>0</v>
      </c>
      <c r="BE131" s="80">
        <f>IF(AND(BD131=1,AU131=1),1,0)</f>
        <v>0</v>
      </c>
      <c r="BF131" s="80" t="str">
        <f>IF(AND(D131="proMX",BD131=1),IF(R131="","Draft",R131),"")</f>
        <v/>
      </c>
      <c r="BG131" s="80">
        <f>IF(BD131=1,ROUND(AG131/60,6),0)</f>
        <v>0</v>
      </c>
      <c r="BH131" s="80">
        <f>IF(BE131=1,ROUND(AG131/60,6),0)</f>
        <v>0</v>
      </c>
      <c r="BI131" s="80">
        <f>IF(BE131=1,ROUND(AP131/60,6),0)</f>
        <v>0</v>
      </c>
      <c r="BJ131" s="80">
        <f>IF(BE131=1,ROUND(AQ131/60,6),0)</f>
        <v>0</v>
      </c>
      <c r="BK131" s="80">
        <f>IF(BE131=1,ROUND((AR131+AS131)/60,6),0)</f>
        <v>0</v>
      </c>
      <c r="BL131" s="80">
        <f>ROUND(BH131-BK131,6)</f>
        <v>0</v>
      </c>
      <c r="BM131" s="80">
        <f>IF(BE131=1,ROUND(AR131/60,6),0)</f>
        <v>0</v>
      </c>
      <c r="BN131" s="80">
        <f>ROUND(BI131-BM131,6)</f>
        <v>0</v>
      </c>
      <c r="BO131" s="80">
        <f>IF(BE131=1,ROUND(AS131/60,6),0)</f>
        <v>0</v>
      </c>
      <c r="BP131" s="80">
        <f>ROUND(BJ131-BO131,6)</f>
        <v>0</v>
      </c>
      <c r="BQ131" s="80">
        <f>IF(BE131=1,AW131,0)</f>
        <v>0</v>
      </c>
      <c r="BR131" s="80">
        <f>IF(BE131=1,AX131,0)</f>
        <v>0</v>
      </c>
      <c r="BS131" s="80">
        <f>IF(AND(BE131=1,D131="Malcolm",BA131&gt;0),MIN(BH131,SUMPRODUCT((R_Emp="proMX")*(R_EN&gt;0)*((R_EN-(R_EN&gt;BR131)*(R_EN-BR131))&gt;(R_SN+(R_SN&lt;BQ131)*(BQ131-R_SN)))*((R_EN-(R_EN&gt;BR131)*(R_EN-BR131))-(R_SN+(R_SN&lt;BQ131)*(BQ131-R_SN))))/60),0)</f>
        <v>0</v>
      </c>
      <c r="BT131" s="80">
        <f>IF(AND(BE131=1,D131="proMX"),ROUND(BI131*CFG_RATE+BJ131*CFG_OTRATE,6),0)</f>
        <v>0</v>
      </c>
      <c r="BU131" s="80">
        <f>IF(AND(BD131=1,D131="proMX"),ROUND(AG131/CFG_BLK,6),0)</f>
        <v>0</v>
      </c>
      <c r="BV131" s="80" t="str">
        <f>IF(BF131="Approved",IF(ISNUMBER(T131),INT(T131),INT(B131)),"")</f>
        <v/>
      </c>
      <c r="BW131" s="80">
        <f>IF(ISNUMBER(B131),IF(DB_MON="Todos",1,IF(AND(INT(B131)&gt;=DB_MS,INT(B131)&lt;=DB_ME),1,0)),0)</f>
        <v>0</v>
      </c>
      <c r="BX131" s="80">
        <f>IF(DB_PROJ="Todos",1,IF(E131&amp;""=DB_PROJ&amp;"",1,0))</f>
        <v>1</v>
      </c>
      <c r="BY131" s="80">
        <f>BW131*BX131</f>
        <v>0</v>
      </c>
      <c r="BZ131" s="80" t="str">
        <f>IF(Y131=1,F131&amp;IF(AND(F131&amp;""&lt;&gt;"",E131&amp;""&lt;&gt;"")," · ","")&amp;E131,"")</f>
        <v/>
      </c>
      <c r="CA131" s="80" t="str">
        <f>IF(AND(BD131=1,E131&amp;""&lt;&gt;""),IF(COUNTIFS($E$5:E130,E131,$BD$5:BD130,1)=0,MAX($CA$5:CA130)+1,""),"")</f>
        <v/>
      </c>
      <c r="CB131" s="80" t="str">
        <f>IF(AND(BE131=1,D131="Malcolm",E131&amp;""&lt;&gt;""),IF(COUNTIFS($D$5:D130,"Malcolm",$E$5:E130,E131,$BE$5:BE130,1)=0,MAX($CB$5:CB130)+1,""),"")</f>
        <v/>
      </c>
      <c r="CC131" s="80" t="str">
        <f>IF(AND(BD131=1,D131="proMX",E131&amp;""&lt;&gt;""),IF(COUNTIFS($D$5:D130,"proMX",$E$5:E130,E131,$BD$5:BD130,1)=0,MAX($CC$5:CC130)+1,""),"")</f>
        <v/>
      </c>
      <c r="CD131" s="80" t="str">
        <f>IF(AND(BE131=1,D131="Malcolm",F131&amp;""&lt;&gt;""),IF(COUNTIFS($D$5:D130,"Malcolm",$F$5:F130,F131,$BE$5:BE130,1)=0,MAX($CD$5:CD130)+1,""),"")</f>
        <v/>
      </c>
      <c r="CE131" s="80" t="str">
        <f>IF(AND(BD131=1,D131="proMX",F131&amp;""&lt;&gt;""),IF(COUNTIFS($D$5:D130,"proMX",$F$5:F130,F131,$BD$5:BD130,1)=0,MAX($CE$5:CE130)+1,""),"")</f>
        <v/>
      </c>
      <c r="CF131" s="80" t="str">
        <f>IF(AND(D131="proMX",BD131=1),IF(OR(BF131="Draft",BF131="Submitted",BF131="Returned",BF131="Recall Requested"),MAX($CF$5:CF130)+1,""),"")</f>
        <v/>
      </c>
      <c r="CG131" s="80">
        <f>IF(BD131=0,0,IF(D131="Malcolm",1,MATCH(BF131,{"Draft","Submitted","Approved","Returned","Recall Requested","Cancelled"},0)+1))</f>
        <v>0</v>
      </c>
      <c r="CH131" s="80">
        <f>IF(AND(BF131="Submitted",ISNUMBER(V131)),IF(V131&gt;CFG_MAXD,1,0),0)</f>
        <v>0</v>
      </c>
    </row>
    <row r="132">
      <c r="A132" s="71" t="str">
        <f>IF(Y132=1,ROW()-5,"")</f>
        <v/>
      </c>
      <c r="B132" s="72" t="n"/>
      <c r="C132" s="71" t="str">
        <f>IF(ISNUMBER(B132),CHOOSE(WEEKDAY(B132,2),"Lun","Mar","Mié","Jue","Vie","Sáb","Dom"),"")</f>
        <v/>
      </c>
      <c r="D132" s="73" t="n"/>
      <c r="E132" s="74" t="n"/>
      <c r="F132" s="74" t="n"/>
      <c r="G132" s="74" t="n"/>
      <c r="H132" s="75" t="n"/>
      <c r="I132" s="75" t="n"/>
      <c r="J132" s="76" t="n"/>
      <c r="K132" s="77" t="str">
        <f>IF(AB132=1,ROUND(AG132/60,4),"")</f>
        <v/>
      </c>
      <c r="L132" s="77" t="str">
        <f>IF(BD132=1,ROUND(AP132/60,4),"")</f>
        <v/>
      </c>
      <c r="M132" s="77" t="str">
        <f>IF(BD132=1,ROUND(AQ132/60,4),"")</f>
        <v/>
      </c>
      <c r="N132" s="71" t="str">
        <f>IF(AND(D132="proMX",AB132=1),ROUND(AG132/CFG_BLK,2),"")</f>
        <v/>
      </c>
      <c r="O132" s="77" t="str">
        <f>IF(D132="proMX",IF(BD132=1,ROUND(AG132/60,4),0),"")</f>
        <v/>
      </c>
      <c r="P132" s="78" t="str">
        <f>IF(Y132=0,"",IF(BD132=1,"OK",IF(D132="proMX","Revisar bloques: ","Revisar: ")&amp;BC132))</f>
        <v/>
      </c>
      <c r="Q132" s="78" t="str">
        <f>IF(NOT(ISNUMBER(B132)),"",IF(COUNTIFS(FER_F,INT(B132))&gt;0,"Feriado"&amp;IF(AH132=1," (laborable)"," (no laborable)"),IF(AH132=1,"Laborable",IF(WEEKDAY(B132,2)&gt;5,"Fin de semana","No laborable"))))</f>
        <v/>
      </c>
      <c r="R132" s="73" t="n"/>
      <c r="S132" s="72" t="n"/>
      <c r="T132" s="72" t="n"/>
      <c r="U132" s="74" t="n"/>
      <c r="V132" s="79" t="str">
        <f>IF(AND(D132="proMX",OR(R132="Submitted",R132="Recall Requested"),ISNUMBER(S132)),CFG_TODAY-INT(S132),"")</f>
        <v/>
      </c>
      <c r="W132" s="78" t="str">
        <f>IF(BD132=0,"",IF(BA132&gt;0,"⚠ Se superpone con un registro de la otra empresa",IF(D132="Malcolm",IF(COUNTA(R132,S132,T132)&gt;0,"Estado/fechas proMX se ignoran en Malcolm",""),IF(BF132="Cancelled","Cancelado: excluido de totales",IF(R132="","Sin estado: se trata como Draft",IF(BF132="Submitted",IF(ISNUMBER(V132),IF(V132&gt;CFG_MAXD,"⚠ "&amp;V132&amp;" días en Submitted (máx. "&amp;CFG_MAXD&amp;")",""),"Falta fecha de envío"),IF(BF132="Returned","⚠ Devuelto: corregir y reenviar",IF(BF132="Recall Requested","Retirada solicitada: pendiente",IF(AND(BF132="Approved",NOT(ISNUMBER(T132))),"Falta fecha de aprobación",IF(AND(ISNUMBER(S132),ISNUMBER(T132),T132&lt;S132),"Aprobación anterior al envío","")))))))))</f>
        <v/>
      </c>
      <c r="Y132" s="80">
        <f>IF(COUNTA(B132,D132,E132,F132,G132,H132,I132,J132,R132,S132,T132)&gt;0,1,0)</f>
        <v>0</v>
      </c>
      <c r="Z132" s="80" t="str">
        <f>IF(AND(ISNUMBER(H132),H132&gt;=0,H132&lt;1),ROUND(H132*1440,0),"")</f>
        <v/>
      </c>
      <c r="AA132" s="80" t="str">
        <f>IF(AND(ISNUMBER(I132),I132&gt;=0,I132&lt;1),ROUND(I132*1440,0),"")</f>
        <v/>
      </c>
      <c r="AB132" s="80">
        <f>IF(AND(ISNUMBER(B132),D132&lt;&gt;"",ISNUMBER(Z132),ISNUMBER(AA132)),IF(Z132=AA132,0,1),0)</f>
        <v>0</v>
      </c>
      <c r="AC132" s="80">
        <f>IF(AB132=1,IF(AA132&lt;Z132,1,0),0)</f>
        <v>0</v>
      </c>
      <c r="AD132" s="80">
        <f>IF(AB132=1,IF(AC132=1,1440-Z132+AA132,AA132-Z132),0)</f>
        <v>0</v>
      </c>
      <c r="AE132" s="80">
        <f>IF(J132="",0,IF(ISNUMBER(J132),J132,-1))</f>
        <v>0</v>
      </c>
      <c r="AF132" s="80">
        <f>MIN(MAX(0,AE132),AD132)</f>
        <v>0</v>
      </c>
      <c r="AG132" s="80">
        <f>MAX(0,AD132-MAX(0,AE132))</f>
        <v>0</v>
      </c>
      <c r="AH132" s="80">
        <f>IF(ISNUMBER(B132),IF(AND(INDEX(CFG_WDAYS,WEEKDAY(INT(B132),2))="Sí",IF(D132="proMX",COUNTIFS(FER_F,INT(B132),FER_NLP,"Sí"),COUNTIFS(FER_F,INT(B132),FER_NLM,"Sí"))=0),1,0),0)</f>
        <v>0</v>
      </c>
      <c r="AI132" s="80">
        <f>IF(AC132=1,IF(AND(INDEX(CFG_WDAYS,WEEKDAY(INT(B132)+1,2))="Sí",IF(D132="proMX",COUNTIFS(FER_F,INT(B132)+1,FER_NLP,"Sí"),COUNTIFS(FER_F,INT(B132)+1,FER_NLM,"Sí"))=0),1,0),0)</f>
        <v>0</v>
      </c>
      <c r="AJ132" s="80">
        <f>IF(AC132=1,1440-Z132,AD132)</f>
        <v>0</v>
      </c>
      <c r="AK132" s="80">
        <f>IF(AND(AB132=1,AH132=1),MAX(0,MIN(IF(AC132=1,1440,AA132),CFG_WEM)-MAX(Z132,CFG_WSM)),0)</f>
        <v>0</v>
      </c>
      <c r="AL132" s="80">
        <f>IF(AND(AC132=1,AI132=1),MAX(0,MIN(AA132,CFG_WEM)-CFG_WSM),0)</f>
        <v>0</v>
      </c>
      <c r="AM132" s="80">
        <f>AK132+AL132</f>
        <v>0</v>
      </c>
      <c r="AN132" s="80">
        <f>IF(CFG_BRK="Proporcional",IF(AD132=0,0,AF132*AM132/AD132),IF(CFG_BRK="Extras primero",MIN(AM132,MAX(0,AF132-(AD132-AM132))),MIN(AF132,AM132)))</f>
        <v>0</v>
      </c>
      <c r="AO132" s="80">
        <f>AF132-AN132</f>
        <v>0</v>
      </c>
      <c r="AP132" s="80">
        <f>AM132-AN132</f>
        <v>0</v>
      </c>
      <c r="AQ132" s="80">
        <f>AD132-AM132-AO132</f>
        <v>0</v>
      </c>
      <c r="AR132" s="80">
        <f>IF(AM132=0,0,AK132-AN132*AK132/AM132)</f>
        <v>0</v>
      </c>
      <c r="AS132" s="80">
        <f>IF(AD132-AM132=0,0,(AJ132-AK132)-AO132*(AJ132-AK132)/(AD132-AM132))</f>
        <v>0</v>
      </c>
      <c r="AT132" s="80" t="str">
        <f>IF(AC132=1,INT(B132)+1,"")</f>
        <v/>
      </c>
      <c r="AU132" s="80">
        <f>IF(AND(D132="proMX",R132="Cancelled"),0,1)</f>
        <v>1</v>
      </c>
      <c r="AV132" s="80">
        <f>IF(AND(AB132=1,AU132=1),IF(COUNTIFS($D$5:D131,D132,$B$5:B131,B132,$Z$5:Z131,Z132,$AA$5:AA131,AA132,$F$5:F131,F132&amp;"",$AU$5:AU131,1)&gt;0,1,0),0)</f>
        <v>0</v>
      </c>
      <c r="AW132" s="80" t="str">
        <f>IF(AB132=1,INT(B132)*1440+Z132,"")</f>
        <v/>
      </c>
      <c r="AX132" s="80" t="str">
        <f>IF(AB132=1,AW132+AD132,"")</f>
        <v/>
      </c>
      <c r="AY132" s="80">
        <f>IF(AND(AB132=1,AV132=0,AU132=1),1,0)</f>
        <v>0</v>
      </c>
      <c r="AZ132" s="80">
        <f>IF(AY132=1,COUNTIFS(R_Emp,D132,R_SAbs,"&lt;"&amp;AX132,R_EAbs,"&gt;"&amp;AW132,R_OKey,1)-1,0)</f>
        <v>0</v>
      </c>
      <c r="BA132" s="80">
        <f>IF(AY132=1,COUNTIFS(R_Emp,"&lt;&gt;"&amp;D132,R_SAbs,"&lt;"&amp;AX132,R_EAbs,"&gt;"&amp;AW132,R_OKey,1),0)</f>
        <v>0</v>
      </c>
      <c r="BB132" s="80">
        <f>IF(AND(AB132=1,D132="proMX"),IF(AND(MOD(Z132,CFG_BLK)=0,MOD(AA132,CFG_BLK)=0,MOD(AG132,CFG_BLK)=0,AG132&gt;0),1,0),1)</f>
        <v>1</v>
      </c>
      <c r="BC132" s="80" t="str">
        <f>IF(Y132=0,"",IF(NOT(ISNUMBER(B132)),"Falta fecha o fecha inválida",IF(D132="","Falta empresa",IF(AND(D132&lt;&gt;"Malcolm",D132&lt;&gt;"proMX"),"Empresa inválida",IF(OR(INT(B132)&lt;CFG_PSTART,INT(B132)&gt;CFG_PEND),"Fecha fuera del período",IF(OR(NOT(ISNUMBER(Z132)),NOT(ISNUMBER(AA132))),"Falta hora inicio/fin o formato inválido",IF(AB132=0,"Hora inicio = hora fin",IF(AE132&lt;0,"Descanso inválido",IF(AE132&gt;=AD132,"Descanso ≥ duración",IF(AV132=1,"Registro duplicado",IF(AZ132&gt;0,"Se superpone con otro registro "&amp;D132,IF(BB132=0,"inicio, fin y duración neta deben ser múltiplos de "&amp;CFG_BLK&amp;" min",""))))))))))))</f>
        <v/>
      </c>
      <c r="BD132" s="80">
        <f>IF(AND(Y132=1,BC132=""),1,0)</f>
        <v>0</v>
      </c>
      <c r="BE132" s="80">
        <f>IF(AND(BD132=1,AU132=1),1,0)</f>
        <v>0</v>
      </c>
      <c r="BF132" s="80" t="str">
        <f>IF(AND(D132="proMX",BD132=1),IF(R132="","Draft",R132),"")</f>
        <v/>
      </c>
      <c r="BG132" s="80">
        <f>IF(BD132=1,ROUND(AG132/60,6),0)</f>
        <v>0</v>
      </c>
      <c r="BH132" s="80">
        <f>IF(BE132=1,ROUND(AG132/60,6),0)</f>
        <v>0</v>
      </c>
      <c r="BI132" s="80">
        <f>IF(BE132=1,ROUND(AP132/60,6),0)</f>
        <v>0</v>
      </c>
      <c r="BJ132" s="80">
        <f>IF(BE132=1,ROUND(AQ132/60,6),0)</f>
        <v>0</v>
      </c>
      <c r="BK132" s="80">
        <f>IF(BE132=1,ROUND((AR132+AS132)/60,6),0)</f>
        <v>0</v>
      </c>
      <c r="BL132" s="80">
        <f>ROUND(BH132-BK132,6)</f>
        <v>0</v>
      </c>
      <c r="BM132" s="80">
        <f>IF(BE132=1,ROUND(AR132/60,6),0)</f>
        <v>0</v>
      </c>
      <c r="BN132" s="80">
        <f>ROUND(BI132-BM132,6)</f>
        <v>0</v>
      </c>
      <c r="BO132" s="80">
        <f>IF(BE132=1,ROUND(AS132/60,6),0)</f>
        <v>0</v>
      </c>
      <c r="BP132" s="80">
        <f>ROUND(BJ132-BO132,6)</f>
        <v>0</v>
      </c>
      <c r="BQ132" s="80">
        <f>IF(BE132=1,AW132,0)</f>
        <v>0</v>
      </c>
      <c r="BR132" s="80">
        <f>IF(BE132=1,AX132,0)</f>
        <v>0</v>
      </c>
      <c r="BS132" s="80">
        <f>IF(AND(BE132=1,D132="Malcolm",BA132&gt;0),MIN(BH132,SUMPRODUCT((R_Emp="proMX")*(R_EN&gt;0)*((R_EN-(R_EN&gt;BR132)*(R_EN-BR132))&gt;(R_SN+(R_SN&lt;BQ132)*(BQ132-R_SN)))*((R_EN-(R_EN&gt;BR132)*(R_EN-BR132))-(R_SN+(R_SN&lt;BQ132)*(BQ132-R_SN))))/60),0)</f>
        <v>0</v>
      </c>
      <c r="BT132" s="80">
        <f>IF(AND(BE132=1,D132="proMX"),ROUND(BI132*CFG_RATE+BJ132*CFG_OTRATE,6),0)</f>
        <v>0</v>
      </c>
      <c r="BU132" s="80">
        <f>IF(AND(BD132=1,D132="proMX"),ROUND(AG132/CFG_BLK,6),0)</f>
        <v>0</v>
      </c>
      <c r="BV132" s="80" t="str">
        <f>IF(BF132="Approved",IF(ISNUMBER(T132),INT(T132),INT(B132)),"")</f>
        <v/>
      </c>
      <c r="BW132" s="80">
        <f>IF(ISNUMBER(B132),IF(DB_MON="Todos",1,IF(AND(INT(B132)&gt;=DB_MS,INT(B132)&lt;=DB_ME),1,0)),0)</f>
        <v>0</v>
      </c>
      <c r="BX132" s="80">
        <f>IF(DB_PROJ="Todos",1,IF(E132&amp;""=DB_PROJ&amp;"",1,0))</f>
        <v>1</v>
      </c>
      <c r="BY132" s="80">
        <f>BW132*BX132</f>
        <v>0</v>
      </c>
      <c r="BZ132" s="80" t="str">
        <f>IF(Y132=1,F132&amp;IF(AND(F132&amp;""&lt;&gt;"",E132&amp;""&lt;&gt;"")," · ","")&amp;E132,"")</f>
        <v/>
      </c>
      <c r="CA132" s="80" t="str">
        <f>IF(AND(BD132=1,E132&amp;""&lt;&gt;""),IF(COUNTIFS($E$5:E131,E132,$BD$5:BD131,1)=0,MAX($CA$5:CA131)+1,""),"")</f>
        <v/>
      </c>
      <c r="CB132" s="80" t="str">
        <f>IF(AND(BE132=1,D132="Malcolm",E132&amp;""&lt;&gt;""),IF(COUNTIFS($D$5:D131,"Malcolm",$E$5:E131,E132,$BE$5:BE131,1)=0,MAX($CB$5:CB131)+1,""),"")</f>
        <v/>
      </c>
      <c r="CC132" s="80" t="str">
        <f>IF(AND(BD132=1,D132="proMX",E132&amp;""&lt;&gt;""),IF(COUNTIFS($D$5:D131,"proMX",$E$5:E131,E132,$BD$5:BD131,1)=0,MAX($CC$5:CC131)+1,""),"")</f>
        <v/>
      </c>
      <c r="CD132" s="80" t="str">
        <f>IF(AND(BE132=1,D132="Malcolm",F132&amp;""&lt;&gt;""),IF(COUNTIFS($D$5:D131,"Malcolm",$F$5:F131,F132,$BE$5:BE131,1)=0,MAX($CD$5:CD131)+1,""),"")</f>
        <v/>
      </c>
      <c r="CE132" s="80" t="str">
        <f>IF(AND(BD132=1,D132="proMX",F132&amp;""&lt;&gt;""),IF(COUNTIFS($D$5:D131,"proMX",$F$5:F131,F132,$BD$5:BD131,1)=0,MAX($CE$5:CE131)+1,""),"")</f>
        <v/>
      </c>
      <c r="CF132" s="80" t="str">
        <f>IF(AND(D132="proMX",BD132=1),IF(OR(BF132="Draft",BF132="Submitted",BF132="Returned",BF132="Recall Requested"),MAX($CF$5:CF131)+1,""),"")</f>
        <v/>
      </c>
      <c r="CG132" s="80">
        <f>IF(BD132=0,0,IF(D132="Malcolm",1,MATCH(BF132,{"Draft","Submitted","Approved","Returned","Recall Requested","Cancelled"},0)+1))</f>
        <v>0</v>
      </c>
      <c r="CH132" s="80">
        <f>IF(AND(BF132="Submitted",ISNUMBER(V132)),IF(V132&gt;CFG_MAXD,1,0),0)</f>
        <v>0</v>
      </c>
    </row>
    <row r="133">
      <c r="A133" s="71" t="str">
        <f>IF(Y133=1,ROW()-5,"")</f>
        <v/>
      </c>
      <c r="B133" s="72" t="n"/>
      <c r="C133" s="71" t="str">
        <f>IF(ISNUMBER(B133),CHOOSE(WEEKDAY(B133,2),"Lun","Mar","Mié","Jue","Vie","Sáb","Dom"),"")</f>
        <v/>
      </c>
      <c r="D133" s="73" t="n"/>
      <c r="E133" s="74" t="n"/>
      <c r="F133" s="74" t="n"/>
      <c r="G133" s="74" t="n"/>
      <c r="H133" s="75" t="n"/>
      <c r="I133" s="75" t="n"/>
      <c r="J133" s="76" t="n"/>
      <c r="K133" s="77" t="str">
        <f>IF(AB133=1,ROUND(AG133/60,4),"")</f>
        <v/>
      </c>
      <c r="L133" s="77" t="str">
        <f>IF(BD133=1,ROUND(AP133/60,4),"")</f>
        <v/>
      </c>
      <c r="M133" s="77" t="str">
        <f>IF(BD133=1,ROUND(AQ133/60,4),"")</f>
        <v/>
      </c>
      <c r="N133" s="71" t="str">
        <f>IF(AND(D133="proMX",AB133=1),ROUND(AG133/CFG_BLK,2),"")</f>
        <v/>
      </c>
      <c r="O133" s="77" t="str">
        <f>IF(D133="proMX",IF(BD133=1,ROUND(AG133/60,4),0),"")</f>
        <v/>
      </c>
      <c r="P133" s="78" t="str">
        <f>IF(Y133=0,"",IF(BD133=1,"OK",IF(D133="proMX","Revisar bloques: ","Revisar: ")&amp;BC133))</f>
        <v/>
      </c>
      <c r="Q133" s="78" t="str">
        <f>IF(NOT(ISNUMBER(B133)),"",IF(COUNTIFS(FER_F,INT(B133))&gt;0,"Feriado"&amp;IF(AH133=1," (laborable)"," (no laborable)"),IF(AH133=1,"Laborable",IF(WEEKDAY(B133,2)&gt;5,"Fin de semana","No laborable"))))</f>
        <v/>
      </c>
      <c r="R133" s="73" t="n"/>
      <c r="S133" s="72" t="n"/>
      <c r="T133" s="72" t="n"/>
      <c r="U133" s="74" t="n"/>
      <c r="V133" s="79" t="str">
        <f>IF(AND(D133="proMX",OR(R133="Submitted",R133="Recall Requested"),ISNUMBER(S133)),CFG_TODAY-INT(S133),"")</f>
        <v/>
      </c>
      <c r="W133" s="78" t="str">
        <f>IF(BD133=0,"",IF(BA133&gt;0,"⚠ Se superpone con un registro de la otra empresa",IF(D133="Malcolm",IF(COUNTA(R133,S133,T133)&gt;0,"Estado/fechas proMX se ignoran en Malcolm",""),IF(BF133="Cancelled","Cancelado: excluido de totales",IF(R133="","Sin estado: se trata como Draft",IF(BF133="Submitted",IF(ISNUMBER(V133),IF(V133&gt;CFG_MAXD,"⚠ "&amp;V133&amp;" días en Submitted (máx. "&amp;CFG_MAXD&amp;")",""),"Falta fecha de envío"),IF(BF133="Returned","⚠ Devuelto: corregir y reenviar",IF(BF133="Recall Requested","Retirada solicitada: pendiente",IF(AND(BF133="Approved",NOT(ISNUMBER(T133))),"Falta fecha de aprobación",IF(AND(ISNUMBER(S133),ISNUMBER(T133),T133&lt;S133),"Aprobación anterior al envío","")))))))))</f>
        <v/>
      </c>
      <c r="Y133" s="80">
        <f>IF(COUNTA(B133,D133,E133,F133,G133,H133,I133,J133,R133,S133,T133)&gt;0,1,0)</f>
        <v>0</v>
      </c>
      <c r="Z133" s="80" t="str">
        <f>IF(AND(ISNUMBER(H133),H133&gt;=0,H133&lt;1),ROUND(H133*1440,0),"")</f>
        <v/>
      </c>
      <c r="AA133" s="80" t="str">
        <f>IF(AND(ISNUMBER(I133),I133&gt;=0,I133&lt;1),ROUND(I133*1440,0),"")</f>
        <v/>
      </c>
      <c r="AB133" s="80">
        <f>IF(AND(ISNUMBER(B133),D133&lt;&gt;"",ISNUMBER(Z133),ISNUMBER(AA133)),IF(Z133=AA133,0,1),0)</f>
        <v>0</v>
      </c>
      <c r="AC133" s="80">
        <f>IF(AB133=1,IF(AA133&lt;Z133,1,0),0)</f>
        <v>0</v>
      </c>
      <c r="AD133" s="80">
        <f>IF(AB133=1,IF(AC133=1,1440-Z133+AA133,AA133-Z133),0)</f>
        <v>0</v>
      </c>
      <c r="AE133" s="80">
        <f>IF(J133="",0,IF(ISNUMBER(J133),J133,-1))</f>
        <v>0</v>
      </c>
      <c r="AF133" s="80">
        <f>MIN(MAX(0,AE133),AD133)</f>
        <v>0</v>
      </c>
      <c r="AG133" s="80">
        <f>MAX(0,AD133-MAX(0,AE133))</f>
        <v>0</v>
      </c>
      <c r="AH133" s="80">
        <f>IF(ISNUMBER(B133),IF(AND(INDEX(CFG_WDAYS,WEEKDAY(INT(B133),2))="Sí",IF(D133="proMX",COUNTIFS(FER_F,INT(B133),FER_NLP,"Sí"),COUNTIFS(FER_F,INT(B133),FER_NLM,"Sí"))=0),1,0),0)</f>
        <v>0</v>
      </c>
      <c r="AI133" s="80">
        <f>IF(AC133=1,IF(AND(INDEX(CFG_WDAYS,WEEKDAY(INT(B133)+1,2))="Sí",IF(D133="proMX",COUNTIFS(FER_F,INT(B133)+1,FER_NLP,"Sí"),COUNTIFS(FER_F,INT(B133)+1,FER_NLM,"Sí"))=0),1,0),0)</f>
        <v>0</v>
      </c>
      <c r="AJ133" s="80">
        <f>IF(AC133=1,1440-Z133,AD133)</f>
        <v>0</v>
      </c>
      <c r="AK133" s="80">
        <f>IF(AND(AB133=1,AH133=1),MAX(0,MIN(IF(AC133=1,1440,AA133),CFG_WEM)-MAX(Z133,CFG_WSM)),0)</f>
        <v>0</v>
      </c>
      <c r="AL133" s="80">
        <f>IF(AND(AC133=1,AI133=1),MAX(0,MIN(AA133,CFG_WEM)-CFG_WSM),0)</f>
        <v>0</v>
      </c>
      <c r="AM133" s="80">
        <f>AK133+AL133</f>
        <v>0</v>
      </c>
      <c r="AN133" s="80">
        <f>IF(CFG_BRK="Proporcional",IF(AD133=0,0,AF133*AM133/AD133),IF(CFG_BRK="Extras primero",MIN(AM133,MAX(0,AF133-(AD133-AM133))),MIN(AF133,AM133)))</f>
        <v>0</v>
      </c>
      <c r="AO133" s="80">
        <f>AF133-AN133</f>
        <v>0</v>
      </c>
      <c r="AP133" s="80">
        <f>AM133-AN133</f>
        <v>0</v>
      </c>
      <c r="AQ133" s="80">
        <f>AD133-AM133-AO133</f>
        <v>0</v>
      </c>
      <c r="AR133" s="80">
        <f>IF(AM133=0,0,AK133-AN133*AK133/AM133)</f>
        <v>0</v>
      </c>
      <c r="AS133" s="80">
        <f>IF(AD133-AM133=0,0,(AJ133-AK133)-AO133*(AJ133-AK133)/(AD133-AM133))</f>
        <v>0</v>
      </c>
      <c r="AT133" s="80" t="str">
        <f>IF(AC133=1,INT(B133)+1,"")</f>
        <v/>
      </c>
      <c r="AU133" s="80">
        <f>IF(AND(D133="proMX",R133="Cancelled"),0,1)</f>
        <v>1</v>
      </c>
      <c r="AV133" s="80">
        <f>IF(AND(AB133=1,AU133=1),IF(COUNTIFS($D$5:D132,D133,$B$5:B132,B133,$Z$5:Z132,Z133,$AA$5:AA132,AA133,$F$5:F132,F133&amp;"",$AU$5:AU132,1)&gt;0,1,0),0)</f>
        <v>0</v>
      </c>
      <c r="AW133" s="80" t="str">
        <f>IF(AB133=1,INT(B133)*1440+Z133,"")</f>
        <v/>
      </c>
      <c r="AX133" s="80" t="str">
        <f>IF(AB133=1,AW133+AD133,"")</f>
        <v/>
      </c>
      <c r="AY133" s="80">
        <f>IF(AND(AB133=1,AV133=0,AU133=1),1,0)</f>
        <v>0</v>
      </c>
      <c r="AZ133" s="80">
        <f>IF(AY133=1,COUNTIFS(R_Emp,D133,R_SAbs,"&lt;"&amp;AX133,R_EAbs,"&gt;"&amp;AW133,R_OKey,1)-1,0)</f>
        <v>0</v>
      </c>
      <c r="BA133" s="80">
        <f>IF(AY133=1,COUNTIFS(R_Emp,"&lt;&gt;"&amp;D133,R_SAbs,"&lt;"&amp;AX133,R_EAbs,"&gt;"&amp;AW133,R_OKey,1),0)</f>
        <v>0</v>
      </c>
      <c r="BB133" s="80">
        <f>IF(AND(AB133=1,D133="proMX"),IF(AND(MOD(Z133,CFG_BLK)=0,MOD(AA133,CFG_BLK)=0,MOD(AG133,CFG_BLK)=0,AG133&gt;0),1,0),1)</f>
        <v>1</v>
      </c>
      <c r="BC133" s="80" t="str">
        <f>IF(Y133=0,"",IF(NOT(ISNUMBER(B133)),"Falta fecha o fecha inválida",IF(D133="","Falta empresa",IF(AND(D133&lt;&gt;"Malcolm",D133&lt;&gt;"proMX"),"Empresa inválida",IF(OR(INT(B133)&lt;CFG_PSTART,INT(B133)&gt;CFG_PEND),"Fecha fuera del período",IF(OR(NOT(ISNUMBER(Z133)),NOT(ISNUMBER(AA133))),"Falta hora inicio/fin o formato inválido",IF(AB133=0,"Hora inicio = hora fin",IF(AE133&lt;0,"Descanso inválido",IF(AE133&gt;=AD133,"Descanso ≥ duración",IF(AV133=1,"Registro duplicado",IF(AZ133&gt;0,"Se superpone con otro registro "&amp;D133,IF(BB133=0,"inicio, fin y duración neta deben ser múltiplos de "&amp;CFG_BLK&amp;" min",""))))))))))))</f>
        <v/>
      </c>
      <c r="BD133" s="80">
        <f>IF(AND(Y133=1,BC133=""),1,0)</f>
        <v>0</v>
      </c>
      <c r="BE133" s="80">
        <f>IF(AND(BD133=1,AU133=1),1,0)</f>
        <v>0</v>
      </c>
      <c r="BF133" s="80" t="str">
        <f>IF(AND(D133="proMX",BD133=1),IF(R133="","Draft",R133),"")</f>
        <v/>
      </c>
      <c r="BG133" s="80">
        <f>IF(BD133=1,ROUND(AG133/60,6),0)</f>
        <v>0</v>
      </c>
      <c r="BH133" s="80">
        <f>IF(BE133=1,ROUND(AG133/60,6),0)</f>
        <v>0</v>
      </c>
      <c r="BI133" s="80">
        <f>IF(BE133=1,ROUND(AP133/60,6),0)</f>
        <v>0</v>
      </c>
      <c r="BJ133" s="80">
        <f>IF(BE133=1,ROUND(AQ133/60,6),0)</f>
        <v>0</v>
      </c>
      <c r="BK133" s="80">
        <f>IF(BE133=1,ROUND((AR133+AS133)/60,6),0)</f>
        <v>0</v>
      </c>
      <c r="BL133" s="80">
        <f>ROUND(BH133-BK133,6)</f>
        <v>0</v>
      </c>
      <c r="BM133" s="80">
        <f>IF(BE133=1,ROUND(AR133/60,6),0)</f>
        <v>0</v>
      </c>
      <c r="BN133" s="80">
        <f>ROUND(BI133-BM133,6)</f>
        <v>0</v>
      </c>
      <c r="BO133" s="80">
        <f>IF(BE133=1,ROUND(AS133/60,6),0)</f>
        <v>0</v>
      </c>
      <c r="BP133" s="80">
        <f>ROUND(BJ133-BO133,6)</f>
        <v>0</v>
      </c>
      <c r="BQ133" s="80">
        <f>IF(BE133=1,AW133,0)</f>
        <v>0</v>
      </c>
      <c r="BR133" s="80">
        <f>IF(BE133=1,AX133,0)</f>
        <v>0</v>
      </c>
      <c r="BS133" s="80">
        <f>IF(AND(BE133=1,D133="Malcolm",BA133&gt;0),MIN(BH133,SUMPRODUCT((R_Emp="proMX")*(R_EN&gt;0)*((R_EN-(R_EN&gt;BR133)*(R_EN-BR133))&gt;(R_SN+(R_SN&lt;BQ133)*(BQ133-R_SN)))*((R_EN-(R_EN&gt;BR133)*(R_EN-BR133))-(R_SN+(R_SN&lt;BQ133)*(BQ133-R_SN))))/60),0)</f>
        <v>0</v>
      </c>
      <c r="BT133" s="80">
        <f>IF(AND(BE133=1,D133="proMX"),ROUND(BI133*CFG_RATE+BJ133*CFG_OTRATE,6),0)</f>
        <v>0</v>
      </c>
      <c r="BU133" s="80">
        <f>IF(AND(BD133=1,D133="proMX"),ROUND(AG133/CFG_BLK,6),0)</f>
        <v>0</v>
      </c>
      <c r="BV133" s="80" t="str">
        <f>IF(BF133="Approved",IF(ISNUMBER(T133),INT(T133),INT(B133)),"")</f>
        <v/>
      </c>
      <c r="BW133" s="80">
        <f>IF(ISNUMBER(B133),IF(DB_MON="Todos",1,IF(AND(INT(B133)&gt;=DB_MS,INT(B133)&lt;=DB_ME),1,0)),0)</f>
        <v>0</v>
      </c>
      <c r="BX133" s="80">
        <f>IF(DB_PROJ="Todos",1,IF(E133&amp;""=DB_PROJ&amp;"",1,0))</f>
        <v>1</v>
      </c>
      <c r="BY133" s="80">
        <f>BW133*BX133</f>
        <v>0</v>
      </c>
      <c r="BZ133" s="80" t="str">
        <f>IF(Y133=1,F133&amp;IF(AND(F133&amp;""&lt;&gt;"",E133&amp;""&lt;&gt;"")," · ","")&amp;E133,"")</f>
        <v/>
      </c>
      <c r="CA133" s="80" t="str">
        <f>IF(AND(BD133=1,E133&amp;""&lt;&gt;""),IF(COUNTIFS($E$5:E132,E133,$BD$5:BD132,1)=0,MAX($CA$5:CA132)+1,""),"")</f>
        <v/>
      </c>
      <c r="CB133" s="80" t="str">
        <f>IF(AND(BE133=1,D133="Malcolm",E133&amp;""&lt;&gt;""),IF(COUNTIFS($D$5:D132,"Malcolm",$E$5:E132,E133,$BE$5:BE132,1)=0,MAX($CB$5:CB132)+1,""),"")</f>
        <v/>
      </c>
      <c r="CC133" s="80" t="str">
        <f>IF(AND(BD133=1,D133="proMX",E133&amp;""&lt;&gt;""),IF(COUNTIFS($D$5:D132,"proMX",$E$5:E132,E133,$BD$5:BD132,1)=0,MAX($CC$5:CC132)+1,""),"")</f>
        <v/>
      </c>
      <c r="CD133" s="80" t="str">
        <f>IF(AND(BE133=1,D133="Malcolm",F133&amp;""&lt;&gt;""),IF(COUNTIFS($D$5:D132,"Malcolm",$F$5:F132,F133,$BE$5:BE132,1)=0,MAX($CD$5:CD132)+1,""),"")</f>
        <v/>
      </c>
      <c r="CE133" s="80" t="str">
        <f>IF(AND(BD133=1,D133="proMX",F133&amp;""&lt;&gt;""),IF(COUNTIFS($D$5:D132,"proMX",$F$5:F132,F133,$BD$5:BD132,1)=0,MAX($CE$5:CE132)+1,""),"")</f>
        <v/>
      </c>
      <c r="CF133" s="80" t="str">
        <f>IF(AND(D133="proMX",BD133=1),IF(OR(BF133="Draft",BF133="Submitted",BF133="Returned",BF133="Recall Requested"),MAX($CF$5:CF132)+1,""),"")</f>
        <v/>
      </c>
      <c r="CG133" s="80">
        <f>IF(BD133=0,0,IF(D133="Malcolm",1,MATCH(BF133,{"Draft","Submitted","Approved","Returned","Recall Requested","Cancelled"},0)+1))</f>
        <v>0</v>
      </c>
      <c r="CH133" s="80">
        <f>IF(AND(BF133="Submitted",ISNUMBER(V133)),IF(V133&gt;CFG_MAXD,1,0),0)</f>
        <v>0</v>
      </c>
    </row>
    <row r="134">
      <c r="A134" s="71" t="str">
        <f>IF(Y134=1,ROW()-5,"")</f>
        <v/>
      </c>
      <c r="B134" s="72" t="n"/>
      <c r="C134" s="71" t="str">
        <f>IF(ISNUMBER(B134),CHOOSE(WEEKDAY(B134,2),"Lun","Mar","Mié","Jue","Vie","Sáb","Dom"),"")</f>
        <v/>
      </c>
      <c r="D134" s="73" t="n"/>
      <c r="E134" s="74" t="n"/>
      <c r="F134" s="74" t="n"/>
      <c r="G134" s="74" t="n"/>
      <c r="H134" s="75" t="n"/>
      <c r="I134" s="75" t="n"/>
      <c r="J134" s="76" t="n"/>
      <c r="K134" s="77" t="str">
        <f>IF(AB134=1,ROUND(AG134/60,4),"")</f>
        <v/>
      </c>
      <c r="L134" s="77" t="str">
        <f>IF(BD134=1,ROUND(AP134/60,4),"")</f>
        <v/>
      </c>
      <c r="M134" s="77" t="str">
        <f>IF(BD134=1,ROUND(AQ134/60,4),"")</f>
        <v/>
      </c>
      <c r="N134" s="71" t="str">
        <f>IF(AND(D134="proMX",AB134=1),ROUND(AG134/CFG_BLK,2),"")</f>
        <v/>
      </c>
      <c r="O134" s="77" t="str">
        <f>IF(D134="proMX",IF(BD134=1,ROUND(AG134/60,4),0),"")</f>
        <v/>
      </c>
      <c r="P134" s="78" t="str">
        <f>IF(Y134=0,"",IF(BD134=1,"OK",IF(D134="proMX","Revisar bloques: ","Revisar: ")&amp;BC134))</f>
        <v/>
      </c>
      <c r="Q134" s="78" t="str">
        <f>IF(NOT(ISNUMBER(B134)),"",IF(COUNTIFS(FER_F,INT(B134))&gt;0,"Feriado"&amp;IF(AH134=1," (laborable)"," (no laborable)"),IF(AH134=1,"Laborable",IF(WEEKDAY(B134,2)&gt;5,"Fin de semana","No laborable"))))</f>
        <v/>
      </c>
      <c r="R134" s="73" t="n"/>
      <c r="S134" s="72" t="n"/>
      <c r="T134" s="72" t="n"/>
      <c r="U134" s="74" t="n"/>
      <c r="V134" s="79" t="str">
        <f>IF(AND(D134="proMX",OR(R134="Submitted",R134="Recall Requested"),ISNUMBER(S134)),CFG_TODAY-INT(S134),"")</f>
        <v/>
      </c>
      <c r="W134" s="78" t="str">
        <f>IF(BD134=0,"",IF(BA134&gt;0,"⚠ Se superpone con un registro de la otra empresa",IF(D134="Malcolm",IF(COUNTA(R134,S134,T134)&gt;0,"Estado/fechas proMX se ignoran en Malcolm",""),IF(BF134="Cancelled","Cancelado: excluido de totales",IF(R134="","Sin estado: se trata como Draft",IF(BF134="Submitted",IF(ISNUMBER(V134),IF(V134&gt;CFG_MAXD,"⚠ "&amp;V134&amp;" días en Submitted (máx. "&amp;CFG_MAXD&amp;")",""),"Falta fecha de envío"),IF(BF134="Returned","⚠ Devuelto: corregir y reenviar",IF(BF134="Recall Requested","Retirada solicitada: pendiente",IF(AND(BF134="Approved",NOT(ISNUMBER(T134))),"Falta fecha de aprobación",IF(AND(ISNUMBER(S134),ISNUMBER(T134),T134&lt;S134),"Aprobación anterior al envío","")))))))))</f>
        <v/>
      </c>
      <c r="Y134" s="80">
        <f>IF(COUNTA(B134,D134,E134,F134,G134,H134,I134,J134,R134,S134,T134)&gt;0,1,0)</f>
        <v>0</v>
      </c>
      <c r="Z134" s="80" t="str">
        <f>IF(AND(ISNUMBER(H134),H134&gt;=0,H134&lt;1),ROUND(H134*1440,0),"")</f>
        <v/>
      </c>
      <c r="AA134" s="80" t="str">
        <f>IF(AND(ISNUMBER(I134),I134&gt;=0,I134&lt;1),ROUND(I134*1440,0),"")</f>
        <v/>
      </c>
      <c r="AB134" s="80">
        <f>IF(AND(ISNUMBER(B134),D134&lt;&gt;"",ISNUMBER(Z134),ISNUMBER(AA134)),IF(Z134=AA134,0,1),0)</f>
        <v>0</v>
      </c>
      <c r="AC134" s="80">
        <f>IF(AB134=1,IF(AA134&lt;Z134,1,0),0)</f>
        <v>0</v>
      </c>
      <c r="AD134" s="80">
        <f>IF(AB134=1,IF(AC134=1,1440-Z134+AA134,AA134-Z134),0)</f>
        <v>0</v>
      </c>
      <c r="AE134" s="80">
        <f>IF(J134="",0,IF(ISNUMBER(J134),J134,-1))</f>
        <v>0</v>
      </c>
      <c r="AF134" s="80">
        <f>MIN(MAX(0,AE134),AD134)</f>
        <v>0</v>
      </c>
      <c r="AG134" s="80">
        <f>MAX(0,AD134-MAX(0,AE134))</f>
        <v>0</v>
      </c>
      <c r="AH134" s="80">
        <f>IF(ISNUMBER(B134),IF(AND(INDEX(CFG_WDAYS,WEEKDAY(INT(B134),2))="Sí",IF(D134="proMX",COUNTIFS(FER_F,INT(B134),FER_NLP,"Sí"),COUNTIFS(FER_F,INT(B134),FER_NLM,"Sí"))=0),1,0),0)</f>
        <v>0</v>
      </c>
      <c r="AI134" s="80">
        <f>IF(AC134=1,IF(AND(INDEX(CFG_WDAYS,WEEKDAY(INT(B134)+1,2))="Sí",IF(D134="proMX",COUNTIFS(FER_F,INT(B134)+1,FER_NLP,"Sí"),COUNTIFS(FER_F,INT(B134)+1,FER_NLM,"Sí"))=0),1,0),0)</f>
        <v>0</v>
      </c>
      <c r="AJ134" s="80">
        <f>IF(AC134=1,1440-Z134,AD134)</f>
        <v>0</v>
      </c>
      <c r="AK134" s="80">
        <f>IF(AND(AB134=1,AH134=1),MAX(0,MIN(IF(AC134=1,1440,AA134),CFG_WEM)-MAX(Z134,CFG_WSM)),0)</f>
        <v>0</v>
      </c>
      <c r="AL134" s="80">
        <f>IF(AND(AC134=1,AI134=1),MAX(0,MIN(AA134,CFG_WEM)-CFG_WSM),0)</f>
        <v>0</v>
      </c>
      <c r="AM134" s="80">
        <f>AK134+AL134</f>
        <v>0</v>
      </c>
      <c r="AN134" s="80">
        <f>IF(CFG_BRK="Proporcional",IF(AD134=0,0,AF134*AM134/AD134),IF(CFG_BRK="Extras primero",MIN(AM134,MAX(0,AF134-(AD134-AM134))),MIN(AF134,AM134)))</f>
        <v>0</v>
      </c>
      <c r="AO134" s="80">
        <f>AF134-AN134</f>
        <v>0</v>
      </c>
      <c r="AP134" s="80">
        <f>AM134-AN134</f>
        <v>0</v>
      </c>
      <c r="AQ134" s="80">
        <f>AD134-AM134-AO134</f>
        <v>0</v>
      </c>
      <c r="AR134" s="80">
        <f>IF(AM134=0,0,AK134-AN134*AK134/AM134)</f>
        <v>0</v>
      </c>
      <c r="AS134" s="80">
        <f>IF(AD134-AM134=0,0,(AJ134-AK134)-AO134*(AJ134-AK134)/(AD134-AM134))</f>
        <v>0</v>
      </c>
      <c r="AT134" s="80" t="str">
        <f>IF(AC134=1,INT(B134)+1,"")</f>
        <v/>
      </c>
      <c r="AU134" s="80">
        <f>IF(AND(D134="proMX",R134="Cancelled"),0,1)</f>
        <v>1</v>
      </c>
      <c r="AV134" s="80">
        <f>IF(AND(AB134=1,AU134=1),IF(COUNTIFS($D$5:D133,D134,$B$5:B133,B134,$Z$5:Z133,Z134,$AA$5:AA133,AA134,$F$5:F133,F134&amp;"",$AU$5:AU133,1)&gt;0,1,0),0)</f>
        <v>0</v>
      </c>
      <c r="AW134" s="80" t="str">
        <f>IF(AB134=1,INT(B134)*1440+Z134,"")</f>
        <v/>
      </c>
      <c r="AX134" s="80" t="str">
        <f>IF(AB134=1,AW134+AD134,"")</f>
        <v/>
      </c>
      <c r="AY134" s="80">
        <f>IF(AND(AB134=1,AV134=0,AU134=1),1,0)</f>
        <v>0</v>
      </c>
      <c r="AZ134" s="80">
        <f>IF(AY134=1,COUNTIFS(R_Emp,D134,R_SAbs,"&lt;"&amp;AX134,R_EAbs,"&gt;"&amp;AW134,R_OKey,1)-1,0)</f>
        <v>0</v>
      </c>
      <c r="BA134" s="80">
        <f>IF(AY134=1,COUNTIFS(R_Emp,"&lt;&gt;"&amp;D134,R_SAbs,"&lt;"&amp;AX134,R_EAbs,"&gt;"&amp;AW134,R_OKey,1),0)</f>
        <v>0</v>
      </c>
      <c r="BB134" s="80">
        <f>IF(AND(AB134=1,D134="proMX"),IF(AND(MOD(Z134,CFG_BLK)=0,MOD(AA134,CFG_BLK)=0,MOD(AG134,CFG_BLK)=0,AG134&gt;0),1,0),1)</f>
        <v>1</v>
      </c>
      <c r="BC134" s="80" t="str">
        <f>IF(Y134=0,"",IF(NOT(ISNUMBER(B134)),"Falta fecha o fecha inválida",IF(D134="","Falta empresa",IF(AND(D134&lt;&gt;"Malcolm",D134&lt;&gt;"proMX"),"Empresa inválida",IF(OR(INT(B134)&lt;CFG_PSTART,INT(B134)&gt;CFG_PEND),"Fecha fuera del período",IF(OR(NOT(ISNUMBER(Z134)),NOT(ISNUMBER(AA134))),"Falta hora inicio/fin o formato inválido",IF(AB134=0,"Hora inicio = hora fin",IF(AE134&lt;0,"Descanso inválido",IF(AE134&gt;=AD134,"Descanso ≥ duración",IF(AV134=1,"Registro duplicado",IF(AZ134&gt;0,"Se superpone con otro registro "&amp;D134,IF(BB134=0,"inicio, fin y duración neta deben ser múltiplos de "&amp;CFG_BLK&amp;" min",""))))))))))))</f>
        <v/>
      </c>
      <c r="BD134" s="80">
        <f>IF(AND(Y134=1,BC134=""),1,0)</f>
        <v>0</v>
      </c>
      <c r="BE134" s="80">
        <f>IF(AND(BD134=1,AU134=1),1,0)</f>
        <v>0</v>
      </c>
      <c r="BF134" s="80" t="str">
        <f>IF(AND(D134="proMX",BD134=1),IF(R134="","Draft",R134),"")</f>
        <v/>
      </c>
      <c r="BG134" s="80">
        <f>IF(BD134=1,ROUND(AG134/60,6),0)</f>
        <v>0</v>
      </c>
      <c r="BH134" s="80">
        <f>IF(BE134=1,ROUND(AG134/60,6),0)</f>
        <v>0</v>
      </c>
      <c r="BI134" s="80">
        <f>IF(BE134=1,ROUND(AP134/60,6),0)</f>
        <v>0</v>
      </c>
      <c r="BJ134" s="80">
        <f>IF(BE134=1,ROUND(AQ134/60,6),0)</f>
        <v>0</v>
      </c>
      <c r="BK134" s="80">
        <f>IF(BE134=1,ROUND((AR134+AS134)/60,6),0)</f>
        <v>0</v>
      </c>
      <c r="BL134" s="80">
        <f>ROUND(BH134-BK134,6)</f>
        <v>0</v>
      </c>
      <c r="BM134" s="80">
        <f>IF(BE134=1,ROUND(AR134/60,6),0)</f>
        <v>0</v>
      </c>
      <c r="BN134" s="80">
        <f>ROUND(BI134-BM134,6)</f>
        <v>0</v>
      </c>
      <c r="BO134" s="80">
        <f>IF(BE134=1,ROUND(AS134/60,6),0)</f>
        <v>0</v>
      </c>
      <c r="BP134" s="80">
        <f>ROUND(BJ134-BO134,6)</f>
        <v>0</v>
      </c>
      <c r="BQ134" s="80">
        <f>IF(BE134=1,AW134,0)</f>
        <v>0</v>
      </c>
      <c r="BR134" s="80">
        <f>IF(BE134=1,AX134,0)</f>
        <v>0</v>
      </c>
      <c r="BS134" s="80">
        <f>IF(AND(BE134=1,D134="Malcolm",BA134&gt;0),MIN(BH134,SUMPRODUCT((R_Emp="proMX")*(R_EN&gt;0)*((R_EN-(R_EN&gt;BR134)*(R_EN-BR134))&gt;(R_SN+(R_SN&lt;BQ134)*(BQ134-R_SN)))*((R_EN-(R_EN&gt;BR134)*(R_EN-BR134))-(R_SN+(R_SN&lt;BQ134)*(BQ134-R_SN))))/60),0)</f>
        <v>0</v>
      </c>
      <c r="BT134" s="80">
        <f>IF(AND(BE134=1,D134="proMX"),ROUND(BI134*CFG_RATE+BJ134*CFG_OTRATE,6),0)</f>
        <v>0</v>
      </c>
      <c r="BU134" s="80">
        <f>IF(AND(BD134=1,D134="proMX"),ROUND(AG134/CFG_BLK,6),0)</f>
        <v>0</v>
      </c>
      <c r="BV134" s="80" t="str">
        <f>IF(BF134="Approved",IF(ISNUMBER(T134),INT(T134),INT(B134)),"")</f>
        <v/>
      </c>
      <c r="BW134" s="80">
        <f>IF(ISNUMBER(B134),IF(DB_MON="Todos",1,IF(AND(INT(B134)&gt;=DB_MS,INT(B134)&lt;=DB_ME),1,0)),0)</f>
        <v>0</v>
      </c>
      <c r="BX134" s="80">
        <f>IF(DB_PROJ="Todos",1,IF(E134&amp;""=DB_PROJ&amp;"",1,0))</f>
        <v>1</v>
      </c>
      <c r="BY134" s="80">
        <f>BW134*BX134</f>
        <v>0</v>
      </c>
      <c r="BZ134" s="80" t="str">
        <f>IF(Y134=1,F134&amp;IF(AND(F134&amp;""&lt;&gt;"",E134&amp;""&lt;&gt;"")," · ","")&amp;E134,"")</f>
        <v/>
      </c>
      <c r="CA134" s="80" t="str">
        <f>IF(AND(BD134=1,E134&amp;""&lt;&gt;""),IF(COUNTIFS($E$5:E133,E134,$BD$5:BD133,1)=0,MAX($CA$5:CA133)+1,""),"")</f>
        <v/>
      </c>
      <c r="CB134" s="80" t="str">
        <f>IF(AND(BE134=1,D134="Malcolm",E134&amp;""&lt;&gt;""),IF(COUNTIFS($D$5:D133,"Malcolm",$E$5:E133,E134,$BE$5:BE133,1)=0,MAX($CB$5:CB133)+1,""),"")</f>
        <v/>
      </c>
      <c r="CC134" s="80" t="str">
        <f>IF(AND(BD134=1,D134="proMX",E134&amp;""&lt;&gt;""),IF(COUNTIFS($D$5:D133,"proMX",$E$5:E133,E134,$BD$5:BD133,1)=0,MAX($CC$5:CC133)+1,""),"")</f>
        <v/>
      </c>
      <c r="CD134" s="80" t="str">
        <f>IF(AND(BE134=1,D134="Malcolm",F134&amp;""&lt;&gt;""),IF(COUNTIFS($D$5:D133,"Malcolm",$F$5:F133,F134,$BE$5:BE133,1)=0,MAX($CD$5:CD133)+1,""),"")</f>
        <v/>
      </c>
      <c r="CE134" s="80" t="str">
        <f>IF(AND(BD134=1,D134="proMX",F134&amp;""&lt;&gt;""),IF(COUNTIFS($D$5:D133,"proMX",$F$5:F133,F134,$BD$5:BD133,1)=0,MAX($CE$5:CE133)+1,""),"")</f>
        <v/>
      </c>
      <c r="CF134" s="80" t="str">
        <f>IF(AND(D134="proMX",BD134=1),IF(OR(BF134="Draft",BF134="Submitted",BF134="Returned",BF134="Recall Requested"),MAX($CF$5:CF133)+1,""),"")</f>
        <v/>
      </c>
      <c r="CG134" s="80">
        <f>IF(BD134=0,0,IF(D134="Malcolm",1,MATCH(BF134,{"Draft","Submitted","Approved","Returned","Recall Requested","Cancelled"},0)+1))</f>
        <v>0</v>
      </c>
      <c r="CH134" s="80">
        <f>IF(AND(BF134="Submitted",ISNUMBER(V134)),IF(V134&gt;CFG_MAXD,1,0),0)</f>
        <v>0</v>
      </c>
    </row>
    <row r="135">
      <c r="A135" s="71" t="str">
        <f>IF(Y135=1,ROW()-5,"")</f>
        <v/>
      </c>
      <c r="B135" s="72" t="n"/>
      <c r="C135" s="71" t="str">
        <f>IF(ISNUMBER(B135),CHOOSE(WEEKDAY(B135,2),"Lun","Mar","Mié","Jue","Vie","Sáb","Dom"),"")</f>
        <v/>
      </c>
      <c r="D135" s="73" t="n"/>
      <c r="E135" s="74" t="n"/>
      <c r="F135" s="74" t="n"/>
      <c r="G135" s="74" t="n"/>
      <c r="H135" s="75" t="n"/>
      <c r="I135" s="75" t="n"/>
      <c r="J135" s="76" t="n"/>
      <c r="K135" s="77" t="str">
        <f>IF(AB135=1,ROUND(AG135/60,4),"")</f>
        <v/>
      </c>
      <c r="L135" s="77" t="str">
        <f>IF(BD135=1,ROUND(AP135/60,4),"")</f>
        <v/>
      </c>
      <c r="M135" s="77" t="str">
        <f>IF(BD135=1,ROUND(AQ135/60,4),"")</f>
        <v/>
      </c>
      <c r="N135" s="71" t="str">
        <f>IF(AND(D135="proMX",AB135=1),ROUND(AG135/CFG_BLK,2),"")</f>
        <v/>
      </c>
      <c r="O135" s="77" t="str">
        <f>IF(D135="proMX",IF(BD135=1,ROUND(AG135/60,4),0),"")</f>
        <v/>
      </c>
      <c r="P135" s="78" t="str">
        <f>IF(Y135=0,"",IF(BD135=1,"OK",IF(D135="proMX","Revisar bloques: ","Revisar: ")&amp;BC135))</f>
        <v/>
      </c>
      <c r="Q135" s="78" t="str">
        <f>IF(NOT(ISNUMBER(B135)),"",IF(COUNTIFS(FER_F,INT(B135))&gt;0,"Feriado"&amp;IF(AH135=1," (laborable)"," (no laborable)"),IF(AH135=1,"Laborable",IF(WEEKDAY(B135,2)&gt;5,"Fin de semana","No laborable"))))</f>
        <v/>
      </c>
      <c r="R135" s="73" t="n"/>
      <c r="S135" s="72" t="n"/>
      <c r="T135" s="72" t="n"/>
      <c r="U135" s="74" t="n"/>
      <c r="V135" s="79" t="str">
        <f>IF(AND(D135="proMX",OR(R135="Submitted",R135="Recall Requested"),ISNUMBER(S135)),CFG_TODAY-INT(S135),"")</f>
        <v/>
      </c>
      <c r="W135" s="78" t="str">
        <f>IF(BD135=0,"",IF(BA135&gt;0,"⚠ Se superpone con un registro de la otra empresa",IF(D135="Malcolm",IF(COUNTA(R135,S135,T135)&gt;0,"Estado/fechas proMX se ignoran en Malcolm",""),IF(BF135="Cancelled","Cancelado: excluido de totales",IF(R135="","Sin estado: se trata como Draft",IF(BF135="Submitted",IF(ISNUMBER(V135),IF(V135&gt;CFG_MAXD,"⚠ "&amp;V135&amp;" días en Submitted (máx. "&amp;CFG_MAXD&amp;")",""),"Falta fecha de envío"),IF(BF135="Returned","⚠ Devuelto: corregir y reenviar",IF(BF135="Recall Requested","Retirada solicitada: pendiente",IF(AND(BF135="Approved",NOT(ISNUMBER(T135))),"Falta fecha de aprobación",IF(AND(ISNUMBER(S135),ISNUMBER(T135),T135&lt;S135),"Aprobación anterior al envío","")))))))))</f>
        <v/>
      </c>
      <c r="Y135" s="80">
        <f>IF(COUNTA(B135,D135,E135,F135,G135,H135,I135,J135,R135,S135,T135)&gt;0,1,0)</f>
        <v>0</v>
      </c>
      <c r="Z135" s="80" t="str">
        <f>IF(AND(ISNUMBER(H135),H135&gt;=0,H135&lt;1),ROUND(H135*1440,0),"")</f>
        <v/>
      </c>
      <c r="AA135" s="80" t="str">
        <f>IF(AND(ISNUMBER(I135),I135&gt;=0,I135&lt;1),ROUND(I135*1440,0),"")</f>
        <v/>
      </c>
      <c r="AB135" s="80">
        <f>IF(AND(ISNUMBER(B135),D135&lt;&gt;"",ISNUMBER(Z135),ISNUMBER(AA135)),IF(Z135=AA135,0,1),0)</f>
        <v>0</v>
      </c>
      <c r="AC135" s="80">
        <f>IF(AB135=1,IF(AA135&lt;Z135,1,0),0)</f>
        <v>0</v>
      </c>
      <c r="AD135" s="80">
        <f>IF(AB135=1,IF(AC135=1,1440-Z135+AA135,AA135-Z135),0)</f>
        <v>0</v>
      </c>
      <c r="AE135" s="80">
        <f>IF(J135="",0,IF(ISNUMBER(J135),J135,-1))</f>
        <v>0</v>
      </c>
      <c r="AF135" s="80">
        <f>MIN(MAX(0,AE135),AD135)</f>
        <v>0</v>
      </c>
      <c r="AG135" s="80">
        <f>MAX(0,AD135-MAX(0,AE135))</f>
        <v>0</v>
      </c>
      <c r="AH135" s="80">
        <f>IF(ISNUMBER(B135),IF(AND(INDEX(CFG_WDAYS,WEEKDAY(INT(B135),2))="Sí",IF(D135="proMX",COUNTIFS(FER_F,INT(B135),FER_NLP,"Sí"),COUNTIFS(FER_F,INT(B135),FER_NLM,"Sí"))=0),1,0),0)</f>
        <v>0</v>
      </c>
      <c r="AI135" s="80">
        <f>IF(AC135=1,IF(AND(INDEX(CFG_WDAYS,WEEKDAY(INT(B135)+1,2))="Sí",IF(D135="proMX",COUNTIFS(FER_F,INT(B135)+1,FER_NLP,"Sí"),COUNTIFS(FER_F,INT(B135)+1,FER_NLM,"Sí"))=0),1,0),0)</f>
        <v>0</v>
      </c>
      <c r="AJ135" s="80">
        <f>IF(AC135=1,1440-Z135,AD135)</f>
        <v>0</v>
      </c>
      <c r="AK135" s="80">
        <f>IF(AND(AB135=1,AH135=1),MAX(0,MIN(IF(AC135=1,1440,AA135),CFG_WEM)-MAX(Z135,CFG_WSM)),0)</f>
        <v>0</v>
      </c>
      <c r="AL135" s="80">
        <f>IF(AND(AC135=1,AI135=1),MAX(0,MIN(AA135,CFG_WEM)-CFG_WSM),0)</f>
        <v>0</v>
      </c>
      <c r="AM135" s="80">
        <f>AK135+AL135</f>
        <v>0</v>
      </c>
      <c r="AN135" s="80">
        <f>IF(CFG_BRK="Proporcional",IF(AD135=0,0,AF135*AM135/AD135),IF(CFG_BRK="Extras primero",MIN(AM135,MAX(0,AF135-(AD135-AM135))),MIN(AF135,AM135)))</f>
        <v>0</v>
      </c>
      <c r="AO135" s="80">
        <f>AF135-AN135</f>
        <v>0</v>
      </c>
      <c r="AP135" s="80">
        <f>AM135-AN135</f>
        <v>0</v>
      </c>
      <c r="AQ135" s="80">
        <f>AD135-AM135-AO135</f>
        <v>0</v>
      </c>
      <c r="AR135" s="80">
        <f>IF(AM135=0,0,AK135-AN135*AK135/AM135)</f>
        <v>0</v>
      </c>
      <c r="AS135" s="80">
        <f>IF(AD135-AM135=0,0,(AJ135-AK135)-AO135*(AJ135-AK135)/(AD135-AM135))</f>
        <v>0</v>
      </c>
      <c r="AT135" s="80" t="str">
        <f>IF(AC135=1,INT(B135)+1,"")</f>
        <v/>
      </c>
      <c r="AU135" s="80">
        <f>IF(AND(D135="proMX",R135="Cancelled"),0,1)</f>
        <v>1</v>
      </c>
      <c r="AV135" s="80">
        <f>IF(AND(AB135=1,AU135=1),IF(COUNTIFS($D$5:D134,D135,$B$5:B134,B135,$Z$5:Z134,Z135,$AA$5:AA134,AA135,$F$5:F134,F135&amp;"",$AU$5:AU134,1)&gt;0,1,0),0)</f>
        <v>0</v>
      </c>
      <c r="AW135" s="80" t="str">
        <f>IF(AB135=1,INT(B135)*1440+Z135,"")</f>
        <v/>
      </c>
      <c r="AX135" s="80" t="str">
        <f>IF(AB135=1,AW135+AD135,"")</f>
        <v/>
      </c>
      <c r="AY135" s="80">
        <f>IF(AND(AB135=1,AV135=0,AU135=1),1,0)</f>
        <v>0</v>
      </c>
      <c r="AZ135" s="80">
        <f>IF(AY135=1,COUNTIFS(R_Emp,D135,R_SAbs,"&lt;"&amp;AX135,R_EAbs,"&gt;"&amp;AW135,R_OKey,1)-1,0)</f>
        <v>0</v>
      </c>
      <c r="BA135" s="80">
        <f>IF(AY135=1,COUNTIFS(R_Emp,"&lt;&gt;"&amp;D135,R_SAbs,"&lt;"&amp;AX135,R_EAbs,"&gt;"&amp;AW135,R_OKey,1),0)</f>
        <v>0</v>
      </c>
      <c r="BB135" s="80">
        <f>IF(AND(AB135=1,D135="proMX"),IF(AND(MOD(Z135,CFG_BLK)=0,MOD(AA135,CFG_BLK)=0,MOD(AG135,CFG_BLK)=0,AG135&gt;0),1,0),1)</f>
        <v>1</v>
      </c>
      <c r="BC135" s="80" t="str">
        <f>IF(Y135=0,"",IF(NOT(ISNUMBER(B135)),"Falta fecha o fecha inválida",IF(D135="","Falta empresa",IF(AND(D135&lt;&gt;"Malcolm",D135&lt;&gt;"proMX"),"Empresa inválida",IF(OR(INT(B135)&lt;CFG_PSTART,INT(B135)&gt;CFG_PEND),"Fecha fuera del período",IF(OR(NOT(ISNUMBER(Z135)),NOT(ISNUMBER(AA135))),"Falta hora inicio/fin o formato inválido",IF(AB135=0,"Hora inicio = hora fin",IF(AE135&lt;0,"Descanso inválido",IF(AE135&gt;=AD135,"Descanso ≥ duración",IF(AV135=1,"Registro duplicado",IF(AZ135&gt;0,"Se superpone con otro registro "&amp;D135,IF(BB135=0,"inicio, fin y duración neta deben ser múltiplos de "&amp;CFG_BLK&amp;" min",""))))))))))))</f>
        <v/>
      </c>
      <c r="BD135" s="80">
        <f>IF(AND(Y135=1,BC135=""),1,0)</f>
        <v>0</v>
      </c>
      <c r="BE135" s="80">
        <f>IF(AND(BD135=1,AU135=1),1,0)</f>
        <v>0</v>
      </c>
      <c r="BF135" s="80" t="str">
        <f>IF(AND(D135="proMX",BD135=1),IF(R135="","Draft",R135),"")</f>
        <v/>
      </c>
      <c r="BG135" s="80">
        <f>IF(BD135=1,ROUND(AG135/60,6),0)</f>
        <v>0</v>
      </c>
      <c r="BH135" s="80">
        <f>IF(BE135=1,ROUND(AG135/60,6),0)</f>
        <v>0</v>
      </c>
      <c r="BI135" s="80">
        <f>IF(BE135=1,ROUND(AP135/60,6),0)</f>
        <v>0</v>
      </c>
      <c r="BJ135" s="80">
        <f>IF(BE135=1,ROUND(AQ135/60,6),0)</f>
        <v>0</v>
      </c>
      <c r="BK135" s="80">
        <f>IF(BE135=1,ROUND((AR135+AS135)/60,6),0)</f>
        <v>0</v>
      </c>
      <c r="BL135" s="80">
        <f>ROUND(BH135-BK135,6)</f>
        <v>0</v>
      </c>
      <c r="BM135" s="80">
        <f>IF(BE135=1,ROUND(AR135/60,6),0)</f>
        <v>0</v>
      </c>
      <c r="BN135" s="80">
        <f>ROUND(BI135-BM135,6)</f>
        <v>0</v>
      </c>
      <c r="BO135" s="80">
        <f>IF(BE135=1,ROUND(AS135/60,6),0)</f>
        <v>0</v>
      </c>
      <c r="BP135" s="80">
        <f>ROUND(BJ135-BO135,6)</f>
        <v>0</v>
      </c>
      <c r="BQ135" s="80">
        <f>IF(BE135=1,AW135,0)</f>
        <v>0</v>
      </c>
      <c r="BR135" s="80">
        <f>IF(BE135=1,AX135,0)</f>
        <v>0</v>
      </c>
      <c r="BS135" s="80">
        <f>IF(AND(BE135=1,D135="Malcolm",BA135&gt;0),MIN(BH135,SUMPRODUCT((R_Emp="proMX")*(R_EN&gt;0)*((R_EN-(R_EN&gt;BR135)*(R_EN-BR135))&gt;(R_SN+(R_SN&lt;BQ135)*(BQ135-R_SN)))*((R_EN-(R_EN&gt;BR135)*(R_EN-BR135))-(R_SN+(R_SN&lt;BQ135)*(BQ135-R_SN))))/60),0)</f>
        <v>0</v>
      </c>
      <c r="BT135" s="80">
        <f>IF(AND(BE135=1,D135="proMX"),ROUND(BI135*CFG_RATE+BJ135*CFG_OTRATE,6),0)</f>
        <v>0</v>
      </c>
      <c r="BU135" s="80">
        <f>IF(AND(BD135=1,D135="proMX"),ROUND(AG135/CFG_BLK,6),0)</f>
        <v>0</v>
      </c>
      <c r="BV135" s="80" t="str">
        <f>IF(BF135="Approved",IF(ISNUMBER(T135),INT(T135),INT(B135)),"")</f>
        <v/>
      </c>
      <c r="BW135" s="80">
        <f>IF(ISNUMBER(B135),IF(DB_MON="Todos",1,IF(AND(INT(B135)&gt;=DB_MS,INT(B135)&lt;=DB_ME),1,0)),0)</f>
        <v>0</v>
      </c>
      <c r="BX135" s="80">
        <f>IF(DB_PROJ="Todos",1,IF(E135&amp;""=DB_PROJ&amp;"",1,0))</f>
        <v>1</v>
      </c>
      <c r="BY135" s="80">
        <f>BW135*BX135</f>
        <v>0</v>
      </c>
      <c r="BZ135" s="80" t="str">
        <f>IF(Y135=1,F135&amp;IF(AND(F135&amp;""&lt;&gt;"",E135&amp;""&lt;&gt;"")," · ","")&amp;E135,"")</f>
        <v/>
      </c>
      <c r="CA135" s="80" t="str">
        <f>IF(AND(BD135=1,E135&amp;""&lt;&gt;""),IF(COUNTIFS($E$5:E134,E135,$BD$5:BD134,1)=0,MAX($CA$5:CA134)+1,""),"")</f>
        <v/>
      </c>
      <c r="CB135" s="80" t="str">
        <f>IF(AND(BE135=1,D135="Malcolm",E135&amp;""&lt;&gt;""),IF(COUNTIFS($D$5:D134,"Malcolm",$E$5:E134,E135,$BE$5:BE134,1)=0,MAX($CB$5:CB134)+1,""),"")</f>
        <v/>
      </c>
      <c r="CC135" s="80" t="str">
        <f>IF(AND(BD135=1,D135="proMX",E135&amp;""&lt;&gt;""),IF(COUNTIFS($D$5:D134,"proMX",$E$5:E134,E135,$BD$5:BD134,1)=0,MAX($CC$5:CC134)+1,""),"")</f>
        <v/>
      </c>
      <c r="CD135" s="80" t="str">
        <f>IF(AND(BE135=1,D135="Malcolm",F135&amp;""&lt;&gt;""),IF(COUNTIFS($D$5:D134,"Malcolm",$F$5:F134,F135,$BE$5:BE134,1)=0,MAX($CD$5:CD134)+1,""),"")</f>
        <v/>
      </c>
      <c r="CE135" s="80" t="str">
        <f>IF(AND(BD135=1,D135="proMX",F135&amp;""&lt;&gt;""),IF(COUNTIFS($D$5:D134,"proMX",$F$5:F134,F135,$BD$5:BD134,1)=0,MAX($CE$5:CE134)+1,""),"")</f>
        <v/>
      </c>
      <c r="CF135" s="80" t="str">
        <f>IF(AND(D135="proMX",BD135=1),IF(OR(BF135="Draft",BF135="Submitted",BF135="Returned",BF135="Recall Requested"),MAX($CF$5:CF134)+1,""),"")</f>
        <v/>
      </c>
      <c r="CG135" s="80">
        <f>IF(BD135=0,0,IF(D135="Malcolm",1,MATCH(BF135,{"Draft","Submitted","Approved","Returned","Recall Requested","Cancelled"},0)+1))</f>
        <v>0</v>
      </c>
      <c r="CH135" s="80">
        <f>IF(AND(BF135="Submitted",ISNUMBER(V135)),IF(V135&gt;CFG_MAXD,1,0),0)</f>
        <v>0</v>
      </c>
    </row>
    <row r="136">
      <c r="A136" s="71" t="str">
        <f>IF(Y136=1,ROW()-5,"")</f>
        <v/>
      </c>
      <c r="B136" s="72" t="n"/>
      <c r="C136" s="71" t="str">
        <f>IF(ISNUMBER(B136),CHOOSE(WEEKDAY(B136,2),"Lun","Mar","Mié","Jue","Vie","Sáb","Dom"),"")</f>
        <v/>
      </c>
      <c r="D136" s="73" t="n"/>
      <c r="E136" s="74" t="n"/>
      <c r="F136" s="74" t="n"/>
      <c r="G136" s="74" t="n"/>
      <c r="H136" s="75" t="n"/>
      <c r="I136" s="75" t="n"/>
      <c r="J136" s="76" t="n"/>
      <c r="K136" s="77" t="str">
        <f>IF(AB136=1,ROUND(AG136/60,4),"")</f>
        <v/>
      </c>
      <c r="L136" s="77" t="str">
        <f>IF(BD136=1,ROUND(AP136/60,4),"")</f>
        <v/>
      </c>
      <c r="M136" s="77" t="str">
        <f>IF(BD136=1,ROUND(AQ136/60,4),"")</f>
        <v/>
      </c>
      <c r="N136" s="71" t="str">
        <f>IF(AND(D136="proMX",AB136=1),ROUND(AG136/CFG_BLK,2),"")</f>
        <v/>
      </c>
      <c r="O136" s="77" t="str">
        <f>IF(D136="proMX",IF(BD136=1,ROUND(AG136/60,4),0),"")</f>
        <v/>
      </c>
      <c r="P136" s="78" t="str">
        <f>IF(Y136=0,"",IF(BD136=1,"OK",IF(D136="proMX","Revisar bloques: ","Revisar: ")&amp;BC136))</f>
        <v/>
      </c>
      <c r="Q136" s="78" t="str">
        <f>IF(NOT(ISNUMBER(B136)),"",IF(COUNTIFS(FER_F,INT(B136))&gt;0,"Feriado"&amp;IF(AH136=1," (laborable)"," (no laborable)"),IF(AH136=1,"Laborable",IF(WEEKDAY(B136,2)&gt;5,"Fin de semana","No laborable"))))</f>
        <v/>
      </c>
      <c r="R136" s="73" t="n"/>
      <c r="S136" s="72" t="n"/>
      <c r="T136" s="72" t="n"/>
      <c r="U136" s="74" t="n"/>
      <c r="V136" s="79" t="str">
        <f>IF(AND(D136="proMX",OR(R136="Submitted",R136="Recall Requested"),ISNUMBER(S136)),CFG_TODAY-INT(S136),"")</f>
        <v/>
      </c>
      <c r="W136" s="78" t="str">
        <f>IF(BD136=0,"",IF(BA136&gt;0,"⚠ Se superpone con un registro de la otra empresa",IF(D136="Malcolm",IF(COUNTA(R136,S136,T136)&gt;0,"Estado/fechas proMX se ignoran en Malcolm",""),IF(BF136="Cancelled","Cancelado: excluido de totales",IF(R136="","Sin estado: se trata como Draft",IF(BF136="Submitted",IF(ISNUMBER(V136),IF(V136&gt;CFG_MAXD,"⚠ "&amp;V136&amp;" días en Submitted (máx. "&amp;CFG_MAXD&amp;")",""),"Falta fecha de envío"),IF(BF136="Returned","⚠ Devuelto: corregir y reenviar",IF(BF136="Recall Requested","Retirada solicitada: pendiente",IF(AND(BF136="Approved",NOT(ISNUMBER(T136))),"Falta fecha de aprobación",IF(AND(ISNUMBER(S136),ISNUMBER(T136),T136&lt;S136),"Aprobación anterior al envío","")))))))))</f>
        <v/>
      </c>
      <c r="Y136" s="80">
        <f>IF(COUNTA(B136,D136,E136,F136,G136,H136,I136,J136,R136,S136,T136)&gt;0,1,0)</f>
        <v>0</v>
      </c>
      <c r="Z136" s="80" t="str">
        <f>IF(AND(ISNUMBER(H136),H136&gt;=0,H136&lt;1),ROUND(H136*1440,0),"")</f>
        <v/>
      </c>
      <c r="AA136" s="80" t="str">
        <f>IF(AND(ISNUMBER(I136),I136&gt;=0,I136&lt;1),ROUND(I136*1440,0),"")</f>
        <v/>
      </c>
      <c r="AB136" s="80">
        <f>IF(AND(ISNUMBER(B136),D136&lt;&gt;"",ISNUMBER(Z136),ISNUMBER(AA136)),IF(Z136=AA136,0,1),0)</f>
        <v>0</v>
      </c>
      <c r="AC136" s="80">
        <f>IF(AB136=1,IF(AA136&lt;Z136,1,0),0)</f>
        <v>0</v>
      </c>
      <c r="AD136" s="80">
        <f>IF(AB136=1,IF(AC136=1,1440-Z136+AA136,AA136-Z136),0)</f>
        <v>0</v>
      </c>
      <c r="AE136" s="80">
        <f>IF(J136="",0,IF(ISNUMBER(J136),J136,-1))</f>
        <v>0</v>
      </c>
      <c r="AF136" s="80">
        <f>MIN(MAX(0,AE136),AD136)</f>
        <v>0</v>
      </c>
      <c r="AG136" s="80">
        <f>MAX(0,AD136-MAX(0,AE136))</f>
        <v>0</v>
      </c>
      <c r="AH136" s="80">
        <f>IF(ISNUMBER(B136),IF(AND(INDEX(CFG_WDAYS,WEEKDAY(INT(B136),2))="Sí",IF(D136="proMX",COUNTIFS(FER_F,INT(B136),FER_NLP,"Sí"),COUNTIFS(FER_F,INT(B136),FER_NLM,"Sí"))=0),1,0),0)</f>
        <v>0</v>
      </c>
      <c r="AI136" s="80">
        <f>IF(AC136=1,IF(AND(INDEX(CFG_WDAYS,WEEKDAY(INT(B136)+1,2))="Sí",IF(D136="proMX",COUNTIFS(FER_F,INT(B136)+1,FER_NLP,"Sí"),COUNTIFS(FER_F,INT(B136)+1,FER_NLM,"Sí"))=0),1,0),0)</f>
        <v>0</v>
      </c>
      <c r="AJ136" s="80">
        <f>IF(AC136=1,1440-Z136,AD136)</f>
        <v>0</v>
      </c>
      <c r="AK136" s="80">
        <f>IF(AND(AB136=1,AH136=1),MAX(0,MIN(IF(AC136=1,1440,AA136),CFG_WEM)-MAX(Z136,CFG_WSM)),0)</f>
        <v>0</v>
      </c>
      <c r="AL136" s="80">
        <f>IF(AND(AC136=1,AI136=1),MAX(0,MIN(AA136,CFG_WEM)-CFG_WSM),0)</f>
        <v>0</v>
      </c>
      <c r="AM136" s="80">
        <f>AK136+AL136</f>
        <v>0</v>
      </c>
      <c r="AN136" s="80">
        <f>IF(CFG_BRK="Proporcional",IF(AD136=0,0,AF136*AM136/AD136),IF(CFG_BRK="Extras primero",MIN(AM136,MAX(0,AF136-(AD136-AM136))),MIN(AF136,AM136)))</f>
        <v>0</v>
      </c>
      <c r="AO136" s="80">
        <f>AF136-AN136</f>
        <v>0</v>
      </c>
      <c r="AP136" s="80">
        <f>AM136-AN136</f>
        <v>0</v>
      </c>
      <c r="AQ136" s="80">
        <f>AD136-AM136-AO136</f>
        <v>0</v>
      </c>
      <c r="AR136" s="80">
        <f>IF(AM136=0,0,AK136-AN136*AK136/AM136)</f>
        <v>0</v>
      </c>
      <c r="AS136" s="80">
        <f>IF(AD136-AM136=0,0,(AJ136-AK136)-AO136*(AJ136-AK136)/(AD136-AM136))</f>
        <v>0</v>
      </c>
      <c r="AT136" s="80" t="str">
        <f>IF(AC136=1,INT(B136)+1,"")</f>
        <v/>
      </c>
      <c r="AU136" s="80">
        <f>IF(AND(D136="proMX",R136="Cancelled"),0,1)</f>
        <v>1</v>
      </c>
      <c r="AV136" s="80">
        <f>IF(AND(AB136=1,AU136=1),IF(COUNTIFS($D$5:D135,D136,$B$5:B135,B136,$Z$5:Z135,Z136,$AA$5:AA135,AA136,$F$5:F135,F136&amp;"",$AU$5:AU135,1)&gt;0,1,0),0)</f>
        <v>0</v>
      </c>
      <c r="AW136" s="80" t="str">
        <f>IF(AB136=1,INT(B136)*1440+Z136,"")</f>
        <v/>
      </c>
      <c r="AX136" s="80" t="str">
        <f>IF(AB136=1,AW136+AD136,"")</f>
        <v/>
      </c>
      <c r="AY136" s="80">
        <f>IF(AND(AB136=1,AV136=0,AU136=1),1,0)</f>
        <v>0</v>
      </c>
      <c r="AZ136" s="80">
        <f>IF(AY136=1,COUNTIFS(R_Emp,D136,R_SAbs,"&lt;"&amp;AX136,R_EAbs,"&gt;"&amp;AW136,R_OKey,1)-1,0)</f>
        <v>0</v>
      </c>
      <c r="BA136" s="80">
        <f>IF(AY136=1,COUNTIFS(R_Emp,"&lt;&gt;"&amp;D136,R_SAbs,"&lt;"&amp;AX136,R_EAbs,"&gt;"&amp;AW136,R_OKey,1),0)</f>
        <v>0</v>
      </c>
      <c r="BB136" s="80">
        <f>IF(AND(AB136=1,D136="proMX"),IF(AND(MOD(Z136,CFG_BLK)=0,MOD(AA136,CFG_BLK)=0,MOD(AG136,CFG_BLK)=0,AG136&gt;0),1,0),1)</f>
        <v>1</v>
      </c>
      <c r="BC136" s="80" t="str">
        <f>IF(Y136=0,"",IF(NOT(ISNUMBER(B136)),"Falta fecha o fecha inválida",IF(D136="","Falta empresa",IF(AND(D136&lt;&gt;"Malcolm",D136&lt;&gt;"proMX"),"Empresa inválida",IF(OR(INT(B136)&lt;CFG_PSTART,INT(B136)&gt;CFG_PEND),"Fecha fuera del período",IF(OR(NOT(ISNUMBER(Z136)),NOT(ISNUMBER(AA136))),"Falta hora inicio/fin o formato inválido",IF(AB136=0,"Hora inicio = hora fin",IF(AE136&lt;0,"Descanso inválido",IF(AE136&gt;=AD136,"Descanso ≥ duración",IF(AV136=1,"Registro duplicado",IF(AZ136&gt;0,"Se superpone con otro registro "&amp;D136,IF(BB136=0,"inicio, fin y duración neta deben ser múltiplos de "&amp;CFG_BLK&amp;" min",""))))))))))))</f>
        <v/>
      </c>
      <c r="BD136" s="80">
        <f>IF(AND(Y136=1,BC136=""),1,0)</f>
        <v>0</v>
      </c>
      <c r="BE136" s="80">
        <f>IF(AND(BD136=1,AU136=1),1,0)</f>
        <v>0</v>
      </c>
      <c r="BF136" s="80" t="str">
        <f>IF(AND(D136="proMX",BD136=1),IF(R136="","Draft",R136),"")</f>
        <v/>
      </c>
      <c r="BG136" s="80">
        <f>IF(BD136=1,ROUND(AG136/60,6),0)</f>
        <v>0</v>
      </c>
      <c r="BH136" s="80">
        <f>IF(BE136=1,ROUND(AG136/60,6),0)</f>
        <v>0</v>
      </c>
      <c r="BI136" s="80">
        <f>IF(BE136=1,ROUND(AP136/60,6),0)</f>
        <v>0</v>
      </c>
      <c r="BJ136" s="80">
        <f>IF(BE136=1,ROUND(AQ136/60,6),0)</f>
        <v>0</v>
      </c>
      <c r="BK136" s="80">
        <f>IF(BE136=1,ROUND((AR136+AS136)/60,6),0)</f>
        <v>0</v>
      </c>
      <c r="BL136" s="80">
        <f>ROUND(BH136-BK136,6)</f>
        <v>0</v>
      </c>
      <c r="BM136" s="80">
        <f>IF(BE136=1,ROUND(AR136/60,6),0)</f>
        <v>0</v>
      </c>
      <c r="BN136" s="80">
        <f>ROUND(BI136-BM136,6)</f>
        <v>0</v>
      </c>
      <c r="BO136" s="80">
        <f>IF(BE136=1,ROUND(AS136/60,6),0)</f>
        <v>0</v>
      </c>
      <c r="BP136" s="80">
        <f>ROUND(BJ136-BO136,6)</f>
        <v>0</v>
      </c>
      <c r="BQ136" s="80">
        <f>IF(BE136=1,AW136,0)</f>
        <v>0</v>
      </c>
      <c r="BR136" s="80">
        <f>IF(BE136=1,AX136,0)</f>
        <v>0</v>
      </c>
      <c r="BS136" s="80">
        <f>IF(AND(BE136=1,D136="Malcolm",BA136&gt;0),MIN(BH136,SUMPRODUCT((R_Emp="proMX")*(R_EN&gt;0)*((R_EN-(R_EN&gt;BR136)*(R_EN-BR136))&gt;(R_SN+(R_SN&lt;BQ136)*(BQ136-R_SN)))*((R_EN-(R_EN&gt;BR136)*(R_EN-BR136))-(R_SN+(R_SN&lt;BQ136)*(BQ136-R_SN))))/60),0)</f>
        <v>0</v>
      </c>
      <c r="BT136" s="80">
        <f>IF(AND(BE136=1,D136="proMX"),ROUND(BI136*CFG_RATE+BJ136*CFG_OTRATE,6),0)</f>
        <v>0</v>
      </c>
      <c r="BU136" s="80">
        <f>IF(AND(BD136=1,D136="proMX"),ROUND(AG136/CFG_BLK,6),0)</f>
        <v>0</v>
      </c>
      <c r="BV136" s="80" t="str">
        <f>IF(BF136="Approved",IF(ISNUMBER(T136),INT(T136),INT(B136)),"")</f>
        <v/>
      </c>
      <c r="BW136" s="80">
        <f>IF(ISNUMBER(B136),IF(DB_MON="Todos",1,IF(AND(INT(B136)&gt;=DB_MS,INT(B136)&lt;=DB_ME),1,0)),0)</f>
        <v>0</v>
      </c>
      <c r="BX136" s="80">
        <f>IF(DB_PROJ="Todos",1,IF(E136&amp;""=DB_PROJ&amp;"",1,0))</f>
        <v>1</v>
      </c>
      <c r="BY136" s="80">
        <f>BW136*BX136</f>
        <v>0</v>
      </c>
      <c r="BZ136" s="80" t="str">
        <f>IF(Y136=1,F136&amp;IF(AND(F136&amp;""&lt;&gt;"",E136&amp;""&lt;&gt;"")," · ","")&amp;E136,"")</f>
        <v/>
      </c>
      <c r="CA136" s="80" t="str">
        <f>IF(AND(BD136=1,E136&amp;""&lt;&gt;""),IF(COUNTIFS($E$5:E135,E136,$BD$5:BD135,1)=0,MAX($CA$5:CA135)+1,""),"")</f>
        <v/>
      </c>
      <c r="CB136" s="80" t="str">
        <f>IF(AND(BE136=1,D136="Malcolm",E136&amp;""&lt;&gt;""),IF(COUNTIFS($D$5:D135,"Malcolm",$E$5:E135,E136,$BE$5:BE135,1)=0,MAX($CB$5:CB135)+1,""),"")</f>
        <v/>
      </c>
      <c r="CC136" s="80" t="str">
        <f>IF(AND(BD136=1,D136="proMX",E136&amp;""&lt;&gt;""),IF(COUNTIFS($D$5:D135,"proMX",$E$5:E135,E136,$BD$5:BD135,1)=0,MAX($CC$5:CC135)+1,""),"")</f>
        <v/>
      </c>
      <c r="CD136" s="80" t="str">
        <f>IF(AND(BE136=1,D136="Malcolm",F136&amp;""&lt;&gt;""),IF(COUNTIFS($D$5:D135,"Malcolm",$F$5:F135,F136,$BE$5:BE135,1)=0,MAX($CD$5:CD135)+1,""),"")</f>
        <v/>
      </c>
      <c r="CE136" s="80" t="str">
        <f>IF(AND(BD136=1,D136="proMX",F136&amp;""&lt;&gt;""),IF(COUNTIFS($D$5:D135,"proMX",$F$5:F135,F136,$BD$5:BD135,1)=0,MAX($CE$5:CE135)+1,""),"")</f>
        <v/>
      </c>
      <c r="CF136" s="80" t="str">
        <f>IF(AND(D136="proMX",BD136=1),IF(OR(BF136="Draft",BF136="Submitted",BF136="Returned",BF136="Recall Requested"),MAX($CF$5:CF135)+1,""),"")</f>
        <v/>
      </c>
      <c r="CG136" s="80">
        <f>IF(BD136=0,0,IF(D136="Malcolm",1,MATCH(BF136,{"Draft","Submitted","Approved","Returned","Recall Requested","Cancelled"},0)+1))</f>
        <v>0</v>
      </c>
      <c r="CH136" s="80">
        <f>IF(AND(BF136="Submitted",ISNUMBER(V136)),IF(V136&gt;CFG_MAXD,1,0),0)</f>
        <v>0</v>
      </c>
    </row>
    <row r="137">
      <c r="A137" s="71" t="str">
        <f>IF(Y137=1,ROW()-5,"")</f>
        <v/>
      </c>
      <c r="B137" s="72" t="n"/>
      <c r="C137" s="71" t="str">
        <f>IF(ISNUMBER(B137),CHOOSE(WEEKDAY(B137,2),"Lun","Mar","Mié","Jue","Vie","Sáb","Dom"),"")</f>
        <v/>
      </c>
      <c r="D137" s="73" t="n"/>
      <c r="E137" s="74" t="n"/>
      <c r="F137" s="74" t="n"/>
      <c r="G137" s="74" t="n"/>
      <c r="H137" s="75" t="n"/>
      <c r="I137" s="75" t="n"/>
      <c r="J137" s="76" t="n"/>
      <c r="K137" s="77" t="str">
        <f>IF(AB137=1,ROUND(AG137/60,4),"")</f>
        <v/>
      </c>
      <c r="L137" s="77" t="str">
        <f>IF(BD137=1,ROUND(AP137/60,4),"")</f>
        <v/>
      </c>
      <c r="M137" s="77" t="str">
        <f>IF(BD137=1,ROUND(AQ137/60,4),"")</f>
        <v/>
      </c>
      <c r="N137" s="71" t="str">
        <f>IF(AND(D137="proMX",AB137=1),ROUND(AG137/CFG_BLK,2),"")</f>
        <v/>
      </c>
      <c r="O137" s="77" t="str">
        <f>IF(D137="proMX",IF(BD137=1,ROUND(AG137/60,4),0),"")</f>
        <v/>
      </c>
      <c r="P137" s="78" t="str">
        <f>IF(Y137=0,"",IF(BD137=1,"OK",IF(D137="proMX","Revisar bloques: ","Revisar: ")&amp;BC137))</f>
        <v/>
      </c>
      <c r="Q137" s="78" t="str">
        <f>IF(NOT(ISNUMBER(B137)),"",IF(COUNTIFS(FER_F,INT(B137))&gt;0,"Feriado"&amp;IF(AH137=1," (laborable)"," (no laborable)"),IF(AH137=1,"Laborable",IF(WEEKDAY(B137,2)&gt;5,"Fin de semana","No laborable"))))</f>
        <v/>
      </c>
      <c r="R137" s="73" t="n"/>
      <c r="S137" s="72" t="n"/>
      <c r="T137" s="72" t="n"/>
      <c r="U137" s="74" t="n"/>
      <c r="V137" s="79" t="str">
        <f>IF(AND(D137="proMX",OR(R137="Submitted",R137="Recall Requested"),ISNUMBER(S137)),CFG_TODAY-INT(S137),"")</f>
        <v/>
      </c>
      <c r="W137" s="78" t="str">
        <f>IF(BD137=0,"",IF(BA137&gt;0,"⚠ Se superpone con un registro de la otra empresa",IF(D137="Malcolm",IF(COUNTA(R137,S137,T137)&gt;0,"Estado/fechas proMX se ignoran en Malcolm",""),IF(BF137="Cancelled","Cancelado: excluido de totales",IF(R137="","Sin estado: se trata como Draft",IF(BF137="Submitted",IF(ISNUMBER(V137),IF(V137&gt;CFG_MAXD,"⚠ "&amp;V137&amp;" días en Submitted (máx. "&amp;CFG_MAXD&amp;")",""),"Falta fecha de envío"),IF(BF137="Returned","⚠ Devuelto: corregir y reenviar",IF(BF137="Recall Requested","Retirada solicitada: pendiente",IF(AND(BF137="Approved",NOT(ISNUMBER(T137))),"Falta fecha de aprobación",IF(AND(ISNUMBER(S137),ISNUMBER(T137),T137&lt;S137),"Aprobación anterior al envío","")))))))))</f>
        <v/>
      </c>
      <c r="Y137" s="80">
        <f>IF(COUNTA(B137,D137,E137,F137,G137,H137,I137,J137,R137,S137,T137)&gt;0,1,0)</f>
        <v>0</v>
      </c>
      <c r="Z137" s="80" t="str">
        <f>IF(AND(ISNUMBER(H137),H137&gt;=0,H137&lt;1),ROUND(H137*1440,0),"")</f>
        <v/>
      </c>
      <c r="AA137" s="80" t="str">
        <f>IF(AND(ISNUMBER(I137),I137&gt;=0,I137&lt;1),ROUND(I137*1440,0),"")</f>
        <v/>
      </c>
      <c r="AB137" s="80">
        <f>IF(AND(ISNUMBER(B137),D137&lt;&gt;"",ISNUMBER(Z137),ISNUMBER(AA137)),IF(Z137=AA137,0,1),0)</f>
        <v>0</v>
      </c>
      <c r="AC137" s="80">
        <f>IF(AB137=1,IF(AA137&lt;Z137,1,0),0)</f>
        <v>0</v>
      </c>
      <c r="AD137" s="80">
        <f>IF(AB137=1,IF(AC137=1,1440-Z137+AA137,AA137-Z137),0)</f>
        <v>0</v>
      </c>
      <c r="AE137" s="80">
        <f>IF(J137="",0,IF(ISNUMBER(J137),J137,-1))</f>
        <v>0</v>
      </c>
      <c r="AF137" s="80">
        <f>MIN(MAX(0,AE137),AD137)</f>
        <v>0</v>
      </c>
      <c r="AG137" s="80">
        <f>MAX(0,AD137-MAX(0,AE137))</f>
        <v>0</v>
      </c>
      <c r="AH137" s="80">
        <f>IF(ISNUMBER(B137),IF(AND(INDEX(CFG_WDAYS,WEEKDAY(INT(B137),2))="Sí",IF(D137="proMX",COUNTIFS(FER_F,INT(B137),FER_NLP,"Sí"),COUNTIFS(FER_F,INT(B137),FER_NLM,"Sí"))=0),1,0),0)</f>
        <v>0</v>
      </c>
      <c r="AI137" s="80">
        <f>IF(AC137=1,IF(AND(INDEX(CFG_WDAYS,WEEKDAY(INT(B137)+1,2))="Sí",IF(D137="proMX",COUNTIFS(FER_F,INT(B137)+1,FER_NLP,"Sí"),COUNTIFS(FER_F,INT(B137)+1,FER_NLM,"Sí"))=0),1,0),0)</f>
        <v>0</v>
      </c>
      <c r="AJ137" s="80">
        <f>IF(AC137=1,1440-Z137,AD137)</f>
        <v>0</v>
      </c>
      <c r="AK137" s="80">
        <f>IF(AND(AB137=1,AH137=1),MAX(0,MIN(IF(AC137=1,1440,AA137),CFG_WEM)-MAX(Z137,CFG_WSM)),0)</f>
        <v>0</v>
      </c>
      <c r="AL137" s="80">
        <f>IF(AND(AC137=1,AI137=1),MAX(0,MIN(AA137,CFG_WEM)-CFG_WSM),0)</f>
        <v>0</v>
      </c>
      <c r="AM137" s="80">
        <f>AK137+AL137</f>
        <v>0</v>
      </c>
      <c r="AN137" s="80">
        <f>IF(CFG_BRK="Proporcional",IF(AD137=0,0,AF137*AM137/AD137),IF(CFG_BRK="Extras primero",MIN(AM137,MAX(0,AF137-(AD137-AM137))),MIN(AF137,AM137)))</f>
        <v>0</v>
      </c>
      <c r="AO137" s="80">
        <f>AF137-AN137</f>
        <v>0</v>
      </c>
      <c r="AP137" s="80">
        <f>AM137-AN137</f>
        <v>0</v>
      </c>
      <c r="AQ137" s="80">
        <f>AD137-AM137-AO137</f>
        <v>0</v>
      </c>
      <c r="AR137" s="80">
        <f>IF(AM137=0,0,AK137-AN137*AK137/AM137)</f>
        <v>0</v>
      </c>
      <c r="AS137" s="80">
        <f>IF(AD137-AM137=0,0,(AJ137-AK137)-AO137*(AJ137-AK137)/(AD137-AM137))</f>
        <v>0</v>
      </c>
      <c r="AT137" s="80" t="str">
        <f>IF(AC137=1,INT(B137)+1,"")</f>
        <v/>
      </c>
      <c r="AU137" s="80">
        <f>IF(AND(D137="proMX",R137="Cancelled"),0,1)</f>
        <v>1</v>
      </c>
      <c r="AV137" s="80">
        <f>IF(AND(AB137=1,AU137=1),IF(COUNTIFS($D$5:D136,D137,$B$5:B136,B137,$Z$5:Z136,Z137,$AA$5:AA136,AA137,$F$5:F136,F137&amp;"",$AU$5:AU136,1)&gt;0,1,0),0)</f>
        <v>0</v>
      </c>
      <c r="AW137" s="80" t="str">
        <f>IF(AB137=1,INT(B137)*1440+Z137,"")</f>
        <v/>
      </c>
      <c r="AX137" s="80" t="str">
        <f>IF(AB137=1,AW137+AD137,"")</f>
        <v/>
      </c>
      <c r="AY137" s="80">
        <f>IF(AND(AB137=1,AV137=0,AU137=1),1,0)</f>
        <v>0</v>
      </c>
      <c r="AZ137" s="80">
        <f>IF(AY137=1,COUNTIFS(R_Emp,D137,R_SAbs,"&lt;"&amp;AX137,R_EAbs,"&gt;"&amp;AW137,R_OKey,1)-1,0)</f>
        <v>0</v>
      </c>
      <c r="BA137" s="80">
        <f>IF(AY137=1,COUNTIFS(R_Emp,"&lt;&gt;"&amp;D137,R_SAbs,"&lt;"&amp;AX137,R_EAbs,"&gt;"&amp;AW137,R_OKey,1),0)</f>
        <v>0</v>
      </c>
      <c r="BB137" s="80">
        <f>IF(AND(AB137=1,D137="proMX"),IF(AND(MOD(Z137,CFG_BLK)=0,MOD(AA137,CFG_BLK)=0,MOD(AG137,CFG_BLK)=0,AG137&gt;0),1,0),1)</f>
        <v>1</v>
      </c>
      <c r="BC137" s="80" t="str">
        <f>IF(Y137=0,"",IF(NOT(ISNUMBER(B137)),"Falta fecha o fecha inválida",IF(D137="","Falta empresa",IF(AND(D137&lt;&gt;"Malcolm",D137&lt;&gt;"proMX"),"Empresa inválida",IF(OR(INT(B137)&lt;CFG_PSTART,INT(B137)&gt;CFG_PEND),"Fecha fuera del período",IF(OR(NOT(ISNUMBER(Z137)),NOT(ISNUMBER(AA137))),"Falta hora inicio/fin o formato inválido",IF(AB137=0,"Hora inicio = hora fin",IF(AE137&lt;0,"Descanso inválido",IF(AE137&gt;=AD137,"Descanso ≥ duración",IF(AV137=1,"Registro duplicado",IF(AZ137&gt;0,"Se superpone con otro registro "&amp;D137,IF(BB137=0,"inicio, fin y duración neta deben ser múltiplos de "&amp;CFG_BLK&amp;" min",""))))))))))))</f>
        <v/>
      </c>
      <c r="BD137" s="80">
        <f>IF(AND(Y137=1,BC137=""),1,0)</f>
        <v>0</v>
      </c>
      <c r="BE137" s="80">
        <f>IF(AND(BD137=1,AU137=1),1,0)</f>
        <v>0</v>
      </c>
      <c r="BF137" s="80" t="str">
        <f>IF(AND(D137="proMX",BD137=1),IF(R137="","Draft",R137),"")</f>
        <v/>
      </c>
      <c r="BG137" s="80">
        <f>IF(BD137=1,ROUND(AG137/60,6),0)</f>
        <v>0</v>
      </c>
      <c r="BH137" s="80">
        <f>IF(BE137=1,ROUND(AG137/60,6),0)</f>
        <v>0</v>
      </c>
      <c r="BI137" s="80">
        <f>IF(BE137=1,ROUND(AP137/60,6),0)</f>
        <v>0</v>
      </c>
      <c r="BJ137" s="80">
        <f>IF(BE137=1,ROUND(AQ137/60,6),0)</f>
        <v>0</v>
      </c>
      <c r="BK137" s="80">
        <f>IF(BE137=1,ROUND((AR137+AS137)/60,6),0)</f>
        <v>0</v>
      </c>
      <c r="BL137" s="80">
        <f>ROUND(BH137-BK137,6)</f>
        <v>0</v>
      </c>
      <c r="BM137" s="80">
        <f>IF(BE137=1,ROUND(AR137/60,6),0)</f>
        <v>0</v>
      </c>
      <c r="BN137" s="80">
        <f>ROUND(BI137-BM137,6)</f>
        <v>0</v>
      </c>
      <c r="BO137" s="80">
        <f>IF(BE137=1,ROUND(AS137/60,6),0)</f>
        <v>0</v>
      </c>
      <c r="BP137" s="80">
        <f>ROUND(BJ137-BO137,6)</f>
        <v>0</v>
      </c>
      <c r="BQ137" s="80">
        <f>IF(BE137=1,AW137,0)</f>
        <v>0</v>
      </c>
      <c r="BR137" s="80">
        <f>IF(BE137=1,AX137,0)</f>
        <v>0</v>
      </c>
      <c r="BS137" s="80">
        <f>IF(AND(BE137=1,D137="Malcolm",BA137&gt;0),MIN(BH137,SUMPRODUCT((R_Emp="proMX")*(R_EN&gt;0)*((R_EN-(R_EN&gt;BR137)*(R_EN-BR137))&gt;(R_SN+(R_SN&lt;BQ137)*(BQ137-R_SN)))*((R_EN-(R_EN&gt;BR137)*(R_EN-BR137))-(R_SN+(R_SN&lt;BQ137)*(BQ137-R_SN))))/60),0)</f>
        <v>0</v>
      </c>
      <c r="BT137" s="80">
        <f>IF(AND(BE137=1,D137="proMX"),ROUND(BI137*CFG_RATE+BJ137*CFG_OTRATE,6),0)</f>
        <v>0</v>
      </c>
      <c r="BU137" s="80">
        <f>IF(AND(BD137=1,D137="proMX"),ROUND(AG137/CFG_BLK,6),0)</f>
        <v>0</v>
      </c>
      <c r="BV137" s="80" t="str">
        <f>IF(BF137="Approved",IF(ISNUMBER(T137),INT(T137),INT(B137)),"")</f>
        <v/>
      </c>
      <c r="BW137" s="80">
        <f>IF(ISNUMBER(B137),IF(DB_MON="Todos",1,IF(AND(INT(B137)&gt;=DB_MS,INT(B137)&lt;=DB_ME),1,0)),0)</f>
        <v>0</v>
      </c>
      <c r="BX137" s="80">
        <f>IF(DB_PROJ="Todos",1,IF(E137&amp;""=DB_PROJ&amp;"",1,0))</f>
        <v>1</v>
      </c>
      <c r="BY137" s="80">
        <f>BW137*BX137</f>
        <v>0</v>
      </c>
      <c r="BZ137" s="80" t="str">
        <f>IF(Y137=1,F137&amp;IF(AND(F137&amp;""&lt;&gt;"",E137&amp;""&lt;&gt;"")," · ","")&amp;E137,"")</f>
        <v/>
      </c>
      <c r="CA137" s="80" t="str">
        <f>IF(AND(BD137=1,E137&amp;""&lt;&gt;""),IF(COUNTIFS($E$5:E136,E137,$BD$5:BD136,1)=0,MAX($CA$5:CA136)+1,""),"")</f>
        <v/>
      </c>
      <c r="CB137" s="80" t="str">
        <f>IF(AND(BE137=1,D137="Malcolm",E137&amp;""&lt;&gt;""),IF(COUNTIFS($D$5:D136,"Malcolm",$E$5:E136,E137,$BE$5:BE136,1)=0,MAX($CB$5:CB136)+1,""),"")</f>
        <v/>
      </c>
      <c r="CC137" s="80" t="str">
        <f>IF(AND(BD137=1,D137="proMX",E137&amp;""&lt;&gt;""),IF(COUNTIFS($D$5:D136,"proMX",$E$5:E136,E137,$BD$5:BD136,1)=0,MAX($CC$5:CC136)+1,""),"")</f>
        <v/>
      </c>
      <c r="CD137" s="80" t="str">
        <f>IF(AND(BE137=1,D137="Malcolm",F137&amp;""&lt;&gt;""),IF(COUNTIFS($D$5:D136,"Malcolm",$F$5:F136,F137,$BE$5:BE136,1)=0,MAX($CD$5:CD136)+1,""),"")</f>
        <v/>
      </c>
      <c r="CE137" s="80" t="str">
        <f>IF(AND(BD137=1,D137="proMX",F137&amp;""&lt;&gt;""),IF(COUNTIFS($D$5:D136,"proMX",$F$5:F136,F137,$BD$5:BD136,1)=0,MAX($CE$5:CE136)+1,""),"")</f>
        <v/>
      </c>
      <c r="CF137" s="80" t="str">
        <f>IF(AND(D137="proMX",BD137=1),IF(OR(BF137="Draft",BF137="Submitted",BF137="Returned",BF137="Recall Requested"),MAX($CF$5:CF136)+1,""),"")</f>
        <v/>
      </c>
      <c r="CG137" s="80">
        <f>IF(BD137=0,0,IF(D137="Malcolm",1,MATCH(BF137,{"Draft","Submitted","Approved","Returned","Recall Requested","Cancelled"},0)+1))</f>
        <v>0</v>
      </c>
      <c r="CH137" s="80">
        <f>IF(AND(BF137="Submitted",ISNUMBER(V137)),IF(V137&gt;CFG_MAXD,1,0),0)</f>
        <v>0</v>
      </c>
    </row>
    <row r="138">
      <c r="A138" s="71" t="str">
        <f>IF(Y138=1,ROW()-5,"")</f>
        <v/>
      </c>
      <c r="B138" s="72" t="n"/>
      <c r="C138" s="71" t="str">
        <f>IF(ISNUMBER(B138),CHOOSE(WEEKDAY(B138,2),"Lun","Mar","Mié","Jue","Vie","Sáb","Dom"),"")</f>
        <v/>
      </c>
      <c r="D138" s="73" t="n"/>
      <c r="E138" s="74" t="n"/>
      <c r="F138" s="74" t="n"/>
      <c r="G138" s="74" t="n"/>
      <c r="H138" s="75" t="n"/>
      <c r="I138" s="75" t="n"/>
      <c r="J138" s="76" t="n"/>
      <c r="K138" s="77" t="str">
        <f>IF(AB138=1,ROUND(AG138/60,4),"")</f>
        <v/>
      </c>
      <c r="L138" s="77" t="str">
        <f>IF(BD138=1,ROUND(AP138/60,4),"")</f>
        <v/>
      </c>
      <c r="M138" s="77" t="str">
        <f>IF(BD138=1,ROUND(AQ138/60,4),"")</f>
        <v/>
      </c>
      <c r="N138" s="71" t="str">
        <f>IF(AND(D138="proMX",AB138=1),ROUND(AG138/CFG_BLK,2),"")</f>
        <v/>
      </c>
      <c r="O138" s="77" t="str">
        <f>IF(D138="proMX",IF(BD138=1,ROUND(AG138/60,4),0),"")</f>
        <v/>
      </c>
      <c r="P138" s="78" t="str">
        <f>IF(Y138=0,"",IF(BD138=1,"OK",IF(D138="proMX","Revisar bloques: ","Revisar: ")&amp;BC138))</f>
        <v/>
      </c>
      <c r="Q138" s="78" t="str">
        <f>IF(NOT(ISNUMBER(B138)),"",IF(COUNTIFS(FER_F,INT(B138))&gt;0,"Feriado"&amp;IF(AH138=1," (laborable)"," (no laborable)"),IF(AH138=1,"Laborable",IF(WEEKDAY(B138,2)&gt;5,"Fin de semana","No laborable"))))</f>
        <v/>
      </c>
      <c r="R138" s="73" t="n"/>
      <c r="S138" s="72" t="n"/>
      <c r="T138" s="72" t="n"/>
      <c r="U138" s="74" t="n"/>
      <c r="V138" s="79" t="str">
        <f>IF(AND(D138="proMX",OR(R138="Submitted",R138="Recall Requested"),ISNUMBER(S138)),CFG_TODAY-INT(S138),"")</f>
        <v/>
      </c>
      <c r="W138" s="78" t="str">
        <f>IF(BD138=0,"",IF(BA138&gt;0,"⚠ Se superpone con un registro de la otra empresa",IF(D138="Malcolm",IF(COUNTA(R138,S138,T138)&gt;0,"Estado/fechas proMX se ignoran en Malcolm",""),IF(BF138="Cancelled","Cancelado: excluido de totales",IF(R138="","Sin estado: se trata como Draft",IF(BF138="Submitted",IF(ISNUMBER(V138),IF(V138&gt;CFG_MAXD,"⚠ "&amp;V138&amp;" días en Submitted (máx. "&amp;CFG_MAXD&amp;")",""),"Falta fecha de envío"),IF(BF138="Returned","⚠ Devuelto: corregir y reenviar",IF(BF138="Recall Requested","Retirada solicitada: pendiente",IF(AND(BF138="Approved",NOT(ISNUMBER(T138))),"Falta fecha de aprobación",IF(AND(ISNUMBER(S138),ISNUMBER(T138),T138&lt;S138),"Aprobación anterior al envío","")))))))))</f>
        <v/>
      </c>
      <c r="Y138" s="80">
        <f>IF(COUNTA(B138,D138,E138,F138,G138,H138,I138,J138,R138,S138,T138)&gt;0,1,0)</f>
        <v>0</v>
      </c>
      <c r="Z138" s="80" t="str">
        <f>IF(AND(ISNUMBER(H138),H138&gt;=0,H138&lt;1),ROUND(H138*1440,0),"")</f>
        <v/>
      </c>
      <c r="AA138" s="80" t="str">
        <f>IF(AND(ISNUMBER(I138),I138&gt;=0,I138&lt;1),ROUND(I138*1440,0),"")</f>
        <v/>
      </c>
      <c r="AB138" s="80">
        <f>IF(AND(ISNUMBER(B138),D138&lt;&gt;"",ISNUMBER(Z138),ISNUMBER(AA138)),IF(Z138=AA138,0,1),0)</f>
        <v>0</v>
      </c>
      <c r="AC138" s="80">
        <f>IF(AB138=1,IF(AA138&lt;Z138,1,0),0)</f>
        <v>0</v>
      </c>
      <c r="AD138" s="80">
        <f>IF(AB138=1,IF(AC138=1,1440-Z138+AA138,AA138-Z138),0)</f>
        <v>0</v>
      </c>
      <c r="AE138" s="80">
        <f>IF(J138="",0,IF(ISNUMBER(J138),J138,-1))</f>
        <v>0</v>
      </c>
      <c r="AF138" s="80">
        <f>MIN(MAX(0,AE138),AD138)</f>
        <v>0</v>
      </c>
      <c r="AG138" s="80">
        <f>MAX(0,AD138-MAX(0,AE138))</f>
        <v>0</v>
      </c>
      <c r="AH138" s="80">
        <f>IF(ISNUMBER(B138),IF(AND(INDEX(CFG_WDAYS,WEEKDAY(INT(B138),2))="Sí",IF(D138="proMX",COUNTIFS(FER_F,INT(B138),FER_NLP,"Sí"),COUNTIFS(FER_F,INT(B138),FER_NLM,"Sí"))=0),1,0),0)</f>
        <v>0</v>
      </c>
      <c r="AI138" s="80">
        <f>IF(AC138=1,IF(AND(INDEX(CFG_WDAYS,WEEKDAY(INT(B138)+1,2))="Sí",IF(D138="proMX",COUNTIFS(FER_F,INT(B138)+1,FER_NLP,"Sí"),COUNTIFS(FER_F,INT(B138)+1,FER_NLM,"Sí"))=0),1,0),0)</f>
        <v>0</v>
      </c>
      <c r="AJ138" s="80">
        <f>IF(AC138=1,1440-Z138,AD138)</f>
        <v>0</v>
      </c>
      <c r="AK138" s="80">
        <f>IF(AND(AB138=1,AH138=1),MAX(0,MIN(IF(AC138=1,1440,AA138),CFG_WEM)-MAX(Z138,CFG_WSM)),0)</f>
        <v>0</v>
      </c>
      <c r="AL138" s="80">
        <f>IF(AND(AC138=1,AI138=1),MAX(0,MIN(AA138,CFG_WEM)-CFG_WSM),0)</f>
        <v>0</v>
      </c>
      <c r="AM138" s="80">
        <f>AK138+AL138</f>
        <v>0</v>
      </c>
      <c r="AN138" s="80">
        <f>IF(CFG_BRK="Proporcional",IF(AD138=0,0,AF138*AM138/AD138),IF(CFG_BRK="Extras primero",MIN(AM138,MAX(0,AF138-(AD138-AM138))),MIN(AF138,AM138)))</f>
        <v>0</v>
      </c>
      <c r="AO138" s="80">
        <f>AF138-AN138</f>
        <v>0</v>
      </c>
      <c r="AP138" s="80">
        <f>AM138-AN138</f>
        <v>0</v>
      </c>
      <c r="AQ138" s="80">
        <f>AD138-AM138-AO138</f>
        <v>0</v>
      </c>
      <c r="AR138" s="80">
        <f>IF(AM138=0,0,AK138-AN138*AK138/AM138)</f>
        <v>0</v>
      </c>
      <c r="AS138" s="80">
        <f>IF(AD138-AM138=0,0,(AJ138-AK138)-AO138*(AJ138-AK138)/(AD138-AM138))</f>
        <v>0</v>
      </c>
      <c r="AT138" s="80" t="str">
        <f>IF(AC138=1,INT(B138)+1,"")</f>
        <v/>
      </c>
      <c r="AU138" s="80">
        <f>IF(AND(D138="proMX",R138="Cancelled"),0,1)</f>
        <v>1</v>
      </c>
      <c r="AV138" s="80">
        <f>IF(AND(AB138=1,AU138=1),IF(COUNTIFS($D$5:D137,D138,$B$5:B137,B138,$Z$5:Z137,Z138,$AA$5:AA137,AA138,$F$5:F137,F138&amp;"",$AU$5:AU137,1)&gt;0,1,0),0)</f>
        <v>0</v>
      </c>
      <c r="AW138" s="80" t="str">
        <f>IF(AB138=1,INT(B138)*1440+Z138,"")</f>
        <v/>
      </c>
      <c r="AX138" s="80" t="str">
        <f>IF(AB138=1,AW138+AD138,"")</f>
        <v/>
      </c>
      <c r="AY138" s="80">
        <f>IF(AND(AB138=1,AV138=0,AU138=1),1,0)</f>
        <v>0</v>
      </c>
      <c r="AZ138" s="80">
        <f>IF(AY138=1,COUNTIFS(R_Emp,D138,R_SAbs,"&lt;"&amp;AX138,R_EAbs,"&gt;"&amp;AW138,R_OKey,1)-1,0)</f>
        <v>0</v>
      </c>
      <c r="BA138" s="80">
        <f>IF(AY138=1,COUNTIFS(R_Emp,"&lt;&gt;"&amp;D138,R_SAbs,"&lt;"&amp;AX138,R_EAbs,"&gt;"&amp;AW138,R_OKey,1),0)</f>
        <v>0</v>
      </c>
      <c r="BB138" s="80">
        <f>IF(AND(AB138=1,D138="proMX"),IF(AND(MOD(Z138,CFG_BLK)=0,MOD(AA138,CFG_BLK)=0,MOD(AG138,CFG_BLK)=0,AG138&gt;0),1,0),1)</f>
        <v>1</v>
      </c>
      <c r="BC138" s="80" t="str">
        <f>IF(Y138=0,"",IF(NOT(ISNUMBER(B138)),"Falta fecha o fecha inválida",IF(D138="","Falta empresa",IF(AND(D138&lt;&gt;"Malcolm",D138&lt;&gt;"proMX"),"Empresa inválida",IF(OR(INT(B138)&lt;CFG_PSTART,INT(B138)&gt;CFG_PEND),"Fecha fuera del período",IF(OR(NOT(ISNUMBER(Z138)),NOT(ISNUMBER(AA138))),"Falta hora inicio/fin o formato inválido",IF(AB138=0,"Hora inicio = hora fin",IF(AE138&lt;0,"Descanso inválido",IF(AE138&gt;=AD138,"Descanso ≥ duración",IF(AV138=1,"Registro duplicado",IF(AZ138&gt;0,"Se superpone con otro registro "&amp;D138,IF(BB138=0,"inicio, fin y duración neta deben ser múltiplos de "&amp;CFG_BLK&amp;" min",""))))))))))))</f>
        <v/>
      </c>
      <c r="BD138" s="80">
        <f>IF(AND(Y138=1,BC138=""),1,0)</f>
        <v>0</v>
      </c>
      <c r="BE138" s="80">
        <f>IF(AND(BD138=1,AU138=1),1,0)</f>
        <v>0</v>
      </c>
      <c r="BF138" s="80" t="str">
        <f>IF(AND(D138="proMX",BD138=1),IF(R138="","Draft",R138),"")</f>
        <v/>
      </c>
      <c r="BG138" s="80">
        <f>IF(BD138=1,ROUND(AG138/60,6),0)</f>
        <v>0</v>
      </c>
      <c r="BH138" s="80">
        <f>IF(BE138=1,ROUND(AG138/60,6),0)</f>
        <v>0</v>
      </c>
      <c r="BI138" s="80">
        <f>IF(BE138=1,ROUND(AP138/60,6),0)</f>
        <v>0</v>
      </c>
      <c r="BJ138" s="80">
        <f>IF(BE138=1,ROUND(AQ138/60,6),0)</f>
        <v>0</v>
      </c>
      <c r="BK138" s="80">
        <f>IF(BE138=1,ROUND((AR138+AS138)/60,6),0)</f>
        <v>0</v>
      </c>
      <c r="BL138" s="80">
        <f>ROUND(BH138-BK138,6)</f>
        <v>0</v>
      </c>
      <c r="BM138" s="80">
        <f>IF(BE138=1,ROUND(AR138/60,6),0)</f>
        <v>0</v>
      </c>
      <c r="BN138" s="80">
        <f>ROUND(BI138-BM138,6)</f>
        <v>0</v>
      </c>
      <c r="BO138" s="80">
        <f>IF(BE138=1,ROUND(AS138/60,6),0)</f>
        <v>0</v>
      </c>
      <c r="BP138" s="80">
        <f>ROUND(BJ138-BO138,6)</f>
        <v>0</v>
      </c>
      <c r="BQ138" s="80">
        <f>IF(BE138=1,AW138,0)</f>
        <v>0</v>
      </c>
      <c r="BR138" s="80">
        <f>IF(BE138=1,AX138,0)</f>
        <v>0</v>
      </c>
      <c r="BS138" s="80">
        <f>IF(AND(BE138=1,D138="Malcolm",BA138&gt;0),MIN(BH138,SUMPRODUCT((R_Emp="proMX")*(R_EN&gt;0)*((R_EN-(R_EN&gt;BR138)*(R_EN-BR138))&gt;(R_SN+(R_SN&lt;BQ138)*(BQ138-R_SN)))*((R_EN-(R_EN&gt;BR138)*(R_EN-BR138))-(R_SN+(R_SN&lt;BQ138)*(BQ138-R_SN))))/60),0)</f>
        <v>0</v>
      </c>
      <c r="BT138" s="80">
        <f>IF(AND(BE138=1,D138="proMX"),ROUND(BI138*CFG_RATE+BJ138*CFG_OTRATE,6),0)</f>
        <v>0</v>
      </c>
      <c r="BU138" s="80">
        <f>IF(AND(BD138=1,D138="proMX"),ROUND(AG138/CFG_BLK,6),0)</f>
        <v>0</v>
      </c>
      <c r="BV138" s="80" t="str">
        <f>IF(BF138="Approved",IF(ISNUMBER(T138),INT(T138),INT(B138)),"")</f>
        <v/>
      </c>
      <c r="BW138" s="80">
        <f>IF(ISNUMBER(B138),IF(DB_MON="Todos",1,IF(AND(INT(B138)&gt;=DB_MS,INT(B138)&lt;=DB_ME),1,0)),0)</f>
        <v>0</v>
      </c>
      <c r="BX138" s="80">
        <f>IF(DB_PROJ="Todos",1,IF(E138&amp;""=DB_PROJ&amp;"",1,0))</f>
        <v>1</v>
      </c>
      <c r="BY138" s="80">
        <f>BW138*BX138</f>
        <v>0</v>
      </c>
      <c r="BZ138" s="80" t="str">
        <f>IF(Y138=1,F138&amp;IF(AND(F138&amp;""&lt;&gt;"",E138&amp;""&lt;&gt;"")," · ","")&amp;E138,"")</f>
        <v/>
      </c>
      <c r="CA138" s="80" t="str">
        <f>IF(AND(BD138=1,E138&amp;""&lt;&gt;""),IF(COUNTIFS($E$5:E137,E138,$BD$5:BD137,1)=0,MAX($CA$5:CA137)+1,""),"")</f>
        <v/>
      </c>
      <c r="CB138" s="80" t="str">
        <f>IF(AND(BE138=1,D138="Malcolm",E138&amp;""&lt;&gt;""),IF(COUNTIFS($D$5:D137,"Malcolm",$E$5:E137,E138,$BE$5:BE137,1)=0,MAX($CB$5:CB137)+1,""),"")</f>
        <v/>
      </c>
      <c r="CC138" s="80" t="str">
        <f>IF(AND(BD138=1,D138="proMX",E138&amp;""&lt;&gt;""),IF(COUNTIFS($D$5:D137,"proMX",$E$5:E137,E138,$BD$5:BD137,1)=0,MAX($CC$5:CC137)+1,""),"")</f>
        <v/>
      </c>
      <c r="CD138" s="80" t="str">
        <f>IF(AND(BE138=1,D138="Malcolm",F138&amp;""&lt;&gt;""),IF(COUNTIFS($D$5:D137,"Malcolm",$F$5:F137,F138,$BE$5:BE137,1)=0,MAX($CD$5:CD137)+1,""),"")</f>
        <v/>
      </c>
      <c r="CE138" s="80" t="str">
        <f>IF(AND(BD138=1,D138="proMX",F138&amp;""&lt;&gt;""),IF(COUNTIFS($D$5:D137,"proMX",$F$5:F137,F138,$BD$5:BD137,1)=0,MAX($CE$5:CE137)+1,""),"")</f>
        <v/>
      </c>
      <c r="CF138" s="80" t="str">
        <f>IF(AND(D138="proMX",BD138=1),IF(OR(BF138="Draft",BF138="Submitted",BF138="Returned",BF138="Recall Requested"),MAX($CF$5:CF137)+1,""),"")</f>
        <v/>
      </c>
      <c r="CG138" s="80">
        <f>IF(BD138=0,0,IF(D138="Malcolm",1,MATCH(BF138,{"Draft","Submitted","Approved","Returned","Recall Requested","Cancelled"},0)+1))</f>
        <v>0</v>
      </c>
      <c r="CH138" s="80">
        <f>IF(AND(BF138="Submitted",ISNUMBER(V138)),IF(V138&gt;CFG_MAXD,1,0),0)</f>
        <v>0</v>
      </c>
    </row>
    <row r="139">
      <c r="A139" s="71" t="str">
        <f>IF(Y139=1,ROW()-5,"")</f>
        <v/>
      </c>
      <c r="B139" s="72" t="n"/>
      <c r="C139" s="71" t="str">
        <f>IF(ISNUMBER(B139),CHOOSE(WEEKDAY(B139,2),"Lun","Mar","Mié","Jue","Vie","Sáb","Dom"),"")</f>
        <v/>
      </c>
      <c r="D139" s="73" t="n"/>
      <c r="E139" s="74" t="n"/>
      <c r="F139" s="74" t="n"/>
      <c r="G139" s="74" t="n"/>
      <c r="H139" s="75" t="n"/>
      <c r="I139" s="75" t="n"/>
      <c r="J139" s="76" t="n"/>
      <c r="K139" s="77" t="str">
        <f>IF(AB139=1,ROUND(AG139/60,4),"")</f>
        <v/>
      </c>
      <c r="L139" s="77" t="str">
        <f>IF(BD139=1,ROUND(AP139/60,4),"")</f>
        <v/>
      </c>
      <c r="M139" s="77" t="str">
        <f>IF(BD139=1,ROUND(AQ139/60,4),"")</f>
        <v/>
      </c>
      <c r="N139" s="71" t="str">
        <f>IF(AND(D139="proMX",AB139=1),ROUND(AG139/CFG_BLK,2),"")</f>
        <v/>
      </c>
      <c r="O139" s="77" t="str">
        <f>IF(D139="proMX",IF(BD139=1,ROUND(AG139/60,4),0),"")</f>
        <v/>
      </c>
      <c r="P139" s="78" t="str">
        <f>IF(Y139=0,"",IF(BD139=1,"OK",IF(D139="proMX","Revisar bloques: ","Revisar: ")&amp;BC139))</f>
        <v/>
      </c>
      <c r="Q139" s="78" t="str">
        <f>IF(NOT(ISNUMBER(B139)),"",IF(COUNTIFS(FER_F,INT(B139))&gt;0,"Feriado"&amp;IF(AH139=1," (laborable)"," (no laborable)"),IF(AH139=1,"Laborable",IF(WEEKDAY(B139,2)&gt;5,"Fin de semana","No laborable"))))</f>
        <v/>
      </c>
      <c r="R139" s="73" t="n"/>
      <c r="S139" s="72" t="n"/>
      <c r="T139" s="72" t="n"/>
      <c r="U139" s="74" t="n"/>
      <c r="V139" s="79" t="str">
        <f>IF(AND(D139="proMX",OR(R139="Submitted",R139="Recall Requested"),ISNUMBER(S139)),CFG_TODAY-INT(S139),"")</f>
        <v/>
      </c>
      <c r="W139" s="78" t="str">
        <f>IF(BD139=0,"",IF(BA139&gt;0,"⚠ Se superpone con un registro de la otra empresa",IF(D139="Malcolm",IF(COUNTA(R139,S139,T139)&gt;0,"Estado/fechas proMX se ignoran en Malcolm",""),IF(BF139="Cancelled","Cancelado: excluido de totales",IF(R139="","Sin estado: se trata como Draft",IF(BF139="Submitted",IF(ISNUMBER(V139),IF(V139&gt;CFG_MAXD,"⚠ "&amp;V139&amp;" días en Submitted (máx. "&amp;CFG_MAXD&amp;")",""),"Falta fecha de envío"),IF(BF139="Returned","⚠ Devuelto: corregir y reenviar",IF(BF139="Recall Requested","Retirada solicitada: pendiente",IF(AND(BF139="Approved",NOT(ISNUMBER(T139))),"Falta fecha de aprobación",IF(AND(ISNUMBER(S139),ISNUMBER(T139),T139&lt;S139),"Aprobación anterior al envío","")))))))))</f>
        <v/>
      </c>
      <c r="Y139" s="80">
        <f>IF(COUNTA(B139,D139,E139,F139,G139,H139,I139,J139,R139,S139,T139)&gt;0,1,0)</f>
        <v>0</v>
      </c>
      <c r="Z139" s="80" t="str">
        <f>IF(AND(ISNUMBER(H139),H139&gt;=0,H139&lt;1),ROUND(H139*1440,0),"")</f>
        <v/>
      </c>
      <c r="AA139" s="80" t="str">
        <f>IF(AND(ISNUMBER(I139),I139&gt;=0,I139&lt;1),ROUND(I139*1440,0),"")</f>
        <v/>
      </c>
      <c r="AB139" s="80">
        <f>IF(AND(ISNUMBER(B139),D139&lt;&gt;"",ISNUMBER(Z139),ISNUMBER(AA139)),IF(Z139=AA139,0,1),0)</f>
        <v>0</v>
      </c>
      <c r="AC139" s="80">
        <f>IF(AB139=1,IF(AA139&lt;Z139,1,0),0)</f>
        <v>0</v>
      </c>
      <c r="AD139" s="80">
        <f>IF(AB139=1,IF(AC139=1,1440-Z139+AA139,AA139-Z139),0)</f>
        <v>0</v>
      </c>
      <c r="AE139" s="80">
        <f>IF(J139="",0,IF(ISNUMBER(J139),J139,-1))</f>
        <v>0</v>
      </c>
      <c r="AF139" s="80">
        <f>MIN(MAX(0,AE139),AD139)</f>
        <v>0</v>
      </c>
      <c r="AG139" s="80">
        <f>MAX(0,AD139-MAX(0,AE139))</f>
        <v>0</v>
      </c>
      <c r="AH139" s="80">
        <f>IF(ISNUMBER(B139),IF(AND(INDEX(CFG_WDAYS,WEEKDAY(INT(B139),2))="Sí",IF(D139="proMX",COUNTIFS(FER_F,INT(B139),FER_NLP,"Sí"),COUNTIFS(FER_F,INT(B139),FER_NLM,"Sí"))=0),1,0),0)</f>
        <v>0</v>
      </c>
      <c r="AI139" s="80">
        <f>IF(AC139=1,IF(AND(INDEX(CFG_WDAYS,WEEKDAY(INT(B139)+1,2))="Sí",IF(D139="proMX",COUNTIFS(FER_F,INT(B139)+1,FER_NLP,"Sí"),COUNTIFS(FER_F,INT(B139)+1,FER_NLM,"Sí"))=0),1,0),0)</f>
        <v>0</v>
      </c>
      <c r="AJ139" s="80">
        <f>IF(AC139=1,1440-Z139,AD139)</f>
        <v>0</v>
      </c>
      <c r="AK139" s="80">
        <f>IF(AND(AB139=1,AH139=1),MAX(0,MIN(IF(AC139=1,1440,AA139),CFG_WEM)-MAX(Z139,CFG_WSM)),0)</f>
        <v>0</v>
      </c>
      <c r="AL139" s="80">
        <f>IF(AND(AC139=1,AI139=1),MAX(0,MIN(AA139,CFG_WEM)-CFG_WSM),0)</f>
        <v>0</v>
      </c>
      <c r="AM139" s="80">
        <f>AK139+AL139</f>
        <v>0</v>
      </c>
      <c r="AN139" s="80">
        <f>IF(CFG_BRK="Proporcional",IF(AD139=0,0,AF139*AM139/AD139),IF(CFG_BRK="Extras primero",MIN(AM139,MAX(0,AF139-(AD139-AM139))),MIN(AF139,AM139)))</f>
        <v>0</v>
      </c>
      <c r="AO139" s="80">
        <f>AF139-AN139</f>
        <v>0</v>
      </c>
      <c r="AP139" s="80">
        <f>AM139-AN139</f>
        <v>0</v>
      </c>
      <c r="AQ139" s="80">
        <f>AD139-AM139-AO139</f>
        <v>0</v>
      </c>
      <c r="AR139" s="80">
        <f>IF(AM139=0,0,AK139-AN139*AK139/AM139)</f>
        <v>0</v>
      </c>
      <c r="AS139" s="80">
        <f>IF(AD139-AM139=0,0,(AJ139-AK139)-AO139*(AJ139-AK139)/(AD139-AM139))</f>
        <v>0</v>
      </c>
      <c r="AT139" s="80" t="str">
        <f>IF(AC139=1,INT(B139)+1,"")</f>
        <v/>
      </c>
      <c r="AU139" s="80">
        <f>IF(AND(D139="proMX",R139="Cancelled"),0,1)</f>
        <v>1</v>
      </c>
      <c r="AV139" s="80">
        <f>IF(AND(AB139=1,AU139=1),IF(COUNTIFS($D$5:D138,D139,$B$5:B138,B139,$Z$5:Z138,Z139,$AA$5:AA138,AA139,$F$5:F138,F139&amp;"",$AU$5:AU138,1)&gt;0,1,0),0)</f>
        <v>0</v>
      </c>
      <c r="AW139" s="80" t="str">
        <f>IF(AB139=1,INT(B139)*1440+Z139,"")</f>
        <v/>
      </c>
      <c r="AX139" s="80" t="str">
        <f>IF(AB139=1,AW139+AD139,"")</f>
        <v/>
      </c>
      <c r="AY139" s="80">
        <f>IF(AND(AB139=1,AV139=0,AU139=1),1,0)</f>
        <v>0</v>
      </c>
      <c r="AZ139" s="80">
        <f>IF(AY139=1,COUNTIFS(R_Emp,D139,R_SAbs,"&lt;"&amp;AX139,R_EAbs,"&gt;"&amp;AW139,R_OKey,1)-1,0)</f>
        <v>0</v>
      </c>
      <c r="BA139" s="80">
        <f>IF(AY139=1,COUNTIFS(R_Emp,"&lt;&gt;"&amp;D139,R_SAbs,"&lt;"&amp;AX139,R_EAbs,"&gt;"&amp;AW139,R_OKey,1),0)</f>
        <v>0</v>
      </c>
      <c r="BB139" s="80">
        <f>IF(AND(AB139=1,D139="proMX"),IF(AND(MOD(Z139,CFG_BLK)=0,MOD(AA139,CFG_BLK)=0,MOD(AG139,CFG_BLK)=0,AG139&gt;0),1,0),1)</f>
        <v>1</v>
      </c>
      <c r="BC139" s="80" t="str">
        <f>IF(Y139=0,"",IF(NOT(ISNUMBER(B139)),"Falta fecha o fecha inválida",IF(D139="","Falta empresa",IF(AND(D139&lt;&gt;"Malcolm",D139&lt;&gt;"proMX"),"Empresa inválida",IF(OR(INT(B139)&lt;CFG_PSTART,INT(B139)&gt;CFG_PEND),"Fecha fuera del período",IF(OR(NOT(ISNUMBER(Z139)),NOT(ISNUMBER(AA139))),"Falta hora inicio/fin o formato inválido",IF(AB139=0,"Hora inicio = hora fin",IF(AE139&lt;0,"Descanso inválido",IF(AE139&gt;=AD139,"Descanso ≥ duración",IF(AV139=1,"Registro duplicado",IF(AZ139&gt;0,"Se superpone con otro registro "&amp;D139,IF(BB139=0,"inicio, fin y duración neta deben ser múltiplos de "&amp;CFG_BLK&amp;" min",""))))))))))))</f>
        <v/>
      </c>
      <c r="BD139" s="80">
        <f>IF(AND(Y139=1,BC139=""),1,0)</f>
        <v>0</v>
      </c>
      <c r="BE139" s="80">
        <f>IF(AND(BD139=1,AU139=1),1,0)</f>
        <v>0</v>
      </c>
      <c r="BF139" s="80" t="str">
        <f>IF(AND(D139="proMX",BD139=1),IF(R139="","Draft",R139),"")</f>
        <v/>
      </c>
      <c r="BG139" s="80">
        <f>IF(BD139=1,ROUND(AG139/60,6),0)</f>
        <v>0</v>
      </c>
      <c r="BH139" s="80">
        <f>IF(BE139=1,ROUND(AG139/60,6),0)</f>
        <v>0</v>
      </c>
      <c r="BI139" s="80">
        <f>IF(BE139=1,ROUND(AP139/60,6),0)</f>
        <v>0</v>
      </c>
      <c r="BJ139" s="80">
        <f>IF(BE139=1,ROUND(AQ139/60,6),0)</f>
        <v>0</v>
      </c>
      <c r="BK139" s="80">
        <f>IF(BE139=1,ROUND((AR139+AS139)/60,6),0)</f>
        <v>0</v>
      </c>
      <c r="BL139" s="80">
        <f>ROUND(BH139-BK139,6)</f>
        <v>0</v>
      </c>
      <c r="BM139" s="80">
        <f>IF(BE139=1,ROUND(AR139/60,6),0)</f>
        <v>0</v>
      </c>
      <c r="BN139" s="80">
        <f>ROUND(BI139-BM139,6)</f>
        <v>0</v>
      </c>
      <c r="BO139" s="80">
        <f>IF(BE139=1,ROUND(AS139/60,6),0)</f>
        <v>0</v>
      </c>
      <c r="BP139" s="80">
        <f>ROUND(BJ139-BO139,6)</f>
        <v>0</v>
      </c>
      <c r="BQ139" s="80">
        <f>IF(BE139=1,AW139,0)</f>
        <v>0</v>
      </c>
      <c r="BR139" s="80">
        <f>IF(BE139=1,AX139,0)</f>
        <v>0</v>
      </c>
      <c r="BS139" s="80">
        <f>IF(AND(BE139=1,D139="Malcolm",BA139&gt;0),MIN(BH139,SUMPRODUCT((R_Emp="proMX")*(R_EN&gt;0)*((R_EN-(R_EN&gt;BR139)*(R_EN-BR139))&gt;(R_SN+(R_SN&lt;BQ139)*(BQ139-R_SN)))*((R_EN-(R_EN&gt;BR139)*(R_EN-BR139))-(R_SN+(R_SN&lt;BQ139)*(BQ139-R_SN))))/60),0)</f>
        <v>0</v>
      </c>
      <c r="BT139" s="80">
        <f>IF(AND(BE139=1,D139="proMX"),ROUND(BI139*CFG_RATE+BJ139*CFG_OTRATE,6),0)</f>
        <v>0</v>
      </c>
      <c r="BU139" s="80">
        <f>IF(AND(BD139=1,D139="proMX"),ROUND(AG139/CFG_BLK,6),0)</f>
        <v>0</v>
      </c>
      <c r="BV139" s="80" t="str">
        <f>IF(BF139="Approved",IF(ISNUMBER(T139),INT(T139),INT(B139)),"")</f>
        <v/>
      </c>
      <c r="BW139" s="80">
        <f>IF(ISNUMBER(B139),IF(DB_MON="Todos",1,IF(AND(INT(B139)&gt;=DB_MS,INT(B139)&lt;=DB_ME),1,0)),0)</f>
        <v>0</v>
      </c>
      <c r="BX139" s="80">
        <f>IF(DB_PROJ="Todos",1,IF(E139&amp;""=DB_PROJ&amp;"",1,0))</f>
        <v>1</v>
      </c>
      <c r="BY139" s="80">
        <f>BW139*BX139</f>
        <v>0</v>
      </c>
      <c r="BZ139" s="80" t="str">
        <f>IF(Y139=1,F139&amp;IF(AND(F139&amp;""&lt;&gt;"",E139&amp;""&lt;&gt;"")," · ","")&amp;E139,"")</f>
        <v/>
      </c>
      <c r="CA139" s="80" t="str">
        <f>IF(AND(BD139=1,E139&amp;""&lt;&gt;""),IF(COUNTIFS($E$5:E138,E139,$BD$5:BD138,1)=0,MAX($CA$5:CA138)+1,""),"")</f>
        <v/>
      </c>
      <c r="CB139" s="80" t="str">
        <f>IF(AND(BE139=1,D139="Malcolm",E139&amp;""&lt;&gt;""),IF(COUNTIFS($D$5:D138,"Malcolm",$E$5:E138,E139,$BE$5:BE138,1)=0,MAX($CB$5:CB138)+1,""),"")</f>
        <v/>
      </c>
      <c r="CC139" s="80" t="str">
        <f>IF(AND(BD139=1,D139="proMX",E139&amp;""&lt;&gt;""),IF(COUNTIFS($D$5:D138,"proMX",$E$5:E138,E139,$BD$5:BD138,1)=0,MAX($CC$5:CC138)+1,""),"")</f>
        <v/>
      </c>
      <c r="CD139" s="80" t="str">
        <f>IF(AND(BE139=1,D139="Malcolm",F139&amp;""&lt;&gt;""),IF(COUNTIFS($D$5:D138,"Malcolm",$F$5:F138,F139,$BE$5:BE138,1)=0,MAX($CD$5:CD138)+1,""),"")</f>
        <v/>
      </c>
      <c r="CE139" s="80" t="str">
        <f>IF(AND(BD139=1,D139="proMX",F139&amp;""&lt;&gt;""),IF(COUNTIFS($D$5:D138,"proMX",$F$5:F138,F139,$BD$5:BD138,1)=0,MAX($CE$5:CE138)+1,""),"")</f>
        <v/>
      </c>
      <c r="CF139" s="80" t="str">
        <f>IF(AND(D139="proMX",BD139=1),IF(OR(BF139="Draft",BF139="Submitted",BF139="Returned",BF139="Recall Requested"),MAX($CF$5:CF138)+1,""),"")</f>
        <v/>
      </c>
      <c r="CG139" s="80">
        <f>IF(BD139=0,0,IF(D139="Malcolm",1,MATCH(BF139,{"Draft","Submitted","Approved","Returned","Recall Requested","Cancelled"},0)+1))</f>
        <v>0</v>
      </c>
      <c r="CH139" s="80">
        <f>IF(AND(BF139="Submitted",ISNUMBER(V139)),IF(V139&gt;CFG_MAXD,1,0),0)</f>
        <v>0</v>
      </c>
    </row>
    <row r="140">
      <c r="A140" s="71" t="str">
        <f>IF(Y140=1,ROW()-5,"")</f>
        <v/>
      </c>
      <c r="B140" s="72" t="n"/>
      <c r="C140" s="71" t="str">
        <f>IF(ISNUMBER(B140),CHOOSE(WEEKDAY(B140,2),"Lun","Mar","Mié","Jue","Vie","Sáb","Dom"),"")</f>
        <v/>
      </c>
      <c r="D140" s="73" t="n"/>
      <c r="E140" s="74" t="n"/>
      <c r="F140" s="74" t="n"/>
      <c r="G140" s="74" t="n"/>
      <c r="H140" s="75" t="n"/>
      <c r="I140" s="75" t="n"/>
      <c r="J140" s="76" t="n"/>
      <c r="K140" s="77" t="str">
        <f>IF(AB140=1,ROUND(AG140/60,4),"")</f>
        <v/>
      </c>
      <c r="L140" s="77" t="str">
        <f>IF(BD140=1,ROUND(AP140/60,4),"")</f>
        <v/>
      </c>
      <c r="M140" s="77" t="str">
        <f>IF(BD140=1,ROUND(AQ140/60,4),"")</f>
        <v/>
      </c>
      <c r="N140" s="71" t="str">
        <f>IF(AND(D140="proMX",AB140=1),ROUND(AG140/CFG_BLK,2),"")</f>
        <v/>
      </c>
      <c r="O140" s="77" t="str">
        <f>IF(D140="proMX",IF(BD140=1,ROUND(AG140/60,4),0),"")</f>
        <v/>
      </c>
      <c r="P140" s="78" t="str">
        <f>IF(Y140=0,"",IF(BD140=1,"OK",IF(D140="proMX","Revisar bloques: ","Revisar: ")&amp;BC140))</f>
        <v/>
      </c>
      <c r="Q140" s="78" t="str">
        <f>IF(NOT(ISNUMBER(B140)),"",IF(COUNTIFS(FER_F,INT(B140))&gt;0,"Feriado"&amp;IF(AH140=1," (laborable)"," (no laborable)"),IF(AH140=1,"Laborable",IF(WEEKDAY(B140,2)&gt;5,"Fin de semana","No laborable"))))</f>
        <v/>
      </c>
      <c r="R140" s="73" t="n"/>
      <c r="S140" s="72" t="n"/>
      <c r="T140" s="72" t="n"/>
      <c r="U140" s="74" t="n"/>
      <c r="V140" s="79" t="str">
        <f>IF(AND(D140="proMX",OR(R140="Submitted",R140="Recall Requested"),ISNUMBER(S140)),CFG_TODAY-INT(S140),"")</f>
        <v/>
      </c>
      <c r="W140" s="78" t="str">
        <f>IF(BD140=0,"",IF(BA140&gt;0,"⚠ Se superpone con un registro de la otra empresa",IF(D140="Malcolm",IF(COUNTA(R140,S140,T140)&gt;0,"Estado/fechas proMX se ignoran en Malcolm",""),IF(BF140="Cancelled","Cancelado: excluido de totales",IF(R140="","Sin estado: se trata como Draft",IF(BF140="Submitted",IF(ISNUMBER(V140),IF(V140&gt;CFG_MAXD,"⚠ "&amp;V140&amp;" días en Submitted (máx. "&amp;CFG_MAXD&amp;")",""),"Falta fecha de envío"),IF(BF140="Returned","⚠ Devuelto: corregir y reenviar",IF(BF140="Recall Requested","Retirada solicitada: pendiente",IF(AND(BF140="Approved",NOT(ISNUMBER(T140))),"Falta fecha de aprobación",IF(AND(ISNUMBER(S140),ISNUMBER(T140),T140&lt;S140),"Aprobación anterior al envío","")))))))))</f>
        <v/>
      </c>
      <c r="Y140" s="80">
        <f>IF(COUNTA(B140,D140,E140,F140,G140,H140,I140,J140,R140,S140,T140)&gt;0,1,0)</f>
        <v>0</v>
      </c>
      <c r="Z140" s="80" t="str">
        <f>IF(AND(ISNUMBER(H140),H140&gt;=0,H140&lt;1),ROUND(H140*1440,0),"")</f>
        <v/>
      </c>
      <c r="AA140" s="80" t="str">
        <f>IF(AND(ISNUMBER(I140),I140&gt;=0,I140&lt;1),ROUND(I140*1440,0),"")</f>
        <v/>
      </c>
      <c r="AB140" s="80">
        <f>IF(AND(ISNUMBER(B140),D140&lt;&gt;"",ISNUMBER(Z140),ISNUMBER(AA140)),IF(Z140=AA140,0,1),0)</f>
        <v>0</v>
      </c>
      <c r="AC140" s="80">
        <f>IF(AB140=1,IF(AA140&lt;Z140,1,0),0)</f>
        <v>0</v>
      </c>
      <c r="AD140" s="80">
        <f>IF(AB140=1,IF(AC140=1,1440-Z140+AA140,AA140-Z140),0)</f>
        <v>0</v>
      </c>
      <c r="AE140" s="80">
        <f>IF(J140="",0,IF(ISNUMBER(J140),J140,-1))</f>
        <v>0</v>
      </c>
      <c r="AF140" s="80">
        <f>MIN(MAX(0,AE140),AD140)</f>
        <v>0</v>
      </c>
      <c r="AG140" s="80">
        <f>MAX(0,AD140-MAX(0,AE140))</f>
        <v>0</v>
      </c>
      <c r="AH140" s="80">
        <f>IF(ISNUMBER(B140),IF(AND(INDEX(CFG_WDAYS,WEEKDAY(INT(B140),2))="Sí",IF(D140="proMX",COUNTIFS(FER_F,INT(B140),FER_NLP,"Sí"),COUNTIFS(FER_F,INT(B140),FER_NLM,"Sí"))=0),1,0),0)</f>
        <v>0</v>
      </c>
      <c r="AI140" s="80">
        <f>IF(AC140=1,IF(AND(INDEX(CFG_WDAYS,WEEKDAY(INT(B140)+1,2))="Sí",IF(D140="proMX",COUNTIFS(FER_F,INT(B140)+1,FER_NLP,"Sí"),COUNTIFS(FER_F,INT(B140)+1,FER_NLM,"Sí"))=0),1,0),0)</f>
        <v>0</v>
      </c>
      <c r="AJ140" s="80">
        <f>IF(AC140=1,1440-Z140,AD140)</f>
        <v>0</v>
      </c>
      <c r="AK140" s="80">
        <f>IF(AND(AB140=1,AH140=1),MAX(0,MIN(IF(AC140=1,1440,AA140),CFG_WEM)-MAX(Z140,CFG_WSM)),0)</f>
        <v>0</v>
      </c>
      <c r="AL140" s="80">
        <f>IF(AND(AC140=1,AI140=1),MAX(0,MIN(AA140,CFG_WEM)-CFG_WSM),0)</f>
        <v>0</v>
      </c>
      <c r="AM140" s="80">
        <f>AK140+AL140</f>
        <v>0</v>
      </c>
      <c r="AN140" s="80">
        <f>IF(CFG_BRK="Proporcional",IF(AD140=0,0,AF140*AM140/AD140),IF(CFG_BRK="Extras primero",MIN(AM140,MAX(0,AF140-(AD140-AM140))),MIN(AF140,AM140)))</f>
        <v>0</v>
      </c>
      <c r="AO140" s="80">
        <f>AF140-AN140</f>
        <v>0</v>
      </c>
      <c r="AP140" s="80">
        <f>AM140-AN140</f>
        <v>0</v>
      </c>
      <c r="AQ140" s="80">
        <f>AD140-AM140-AO140</f>
        <v>0</v>
      </c>
      <c r="AR140" s="80">
        <f>IF(AM140=0,0,AK140-AN140*AK140/AM140)</f>
        <v>0</v>
      </c>
      <c r="AS140" s="80">
        <f>IF(AD140-AM140=0,0,(AJ140-AK140)-AO140*(AJ140-AK140)/(AD140-AM140))</f>
        <v>0</v>
      </c>
      <c r="AT140" s="80" t="str">
        <f>IF(AC140=1,INT(B140)+1,"")</f>
        <v/>
      </c>
      <c r="AU140" s="80">
        <f>IF(AND(D140="proMX",R140="Cancelled"),0,1)</f>
        <v>1</v>
      </c>
      <c r="AV140" s="80">
        <f>IF(AND(AB140=1,AU140=1),IF(COUNTIFS($D$5:D139,D140,$B$5:B139,B140,$Z$5:Z139,Z140,$AA$5:AA139,AA140,$F$5:F139,F140&amp;"",$AU$5:AU139,1)&gt;0,1,0),0)</f>
        <v>0</v>
      </c>
      <c r="AW140" s="80" t="str">
        <f>IF(AB140=1,INT(B140)*1440+Z140,"")</f>
        <v/>
      </c>
      <c r="AX140" s="80" t="str">
        <f>IF(AB140=1,AW140+AD140,"")</f>
        <v/>
      </c>
      <c r="AY140" s="80">
        <f>IF(AND(AB140=1,AV140=0,AU140=1),1,0)</f>
        <v>0</v>
      </c>
      <c r="AZ140" s="80">
        <f>IF(AY140=1,COUNTIFS(R_Emp,D140,R_SAbs,"&lt;"&amp;AX140,R_EAbs,"&gt;"&amp;AW140,R_OKey,1)-1,0)</f>
        <v>0</v>
      </c>
      <c r="BA140" s="80">
        <f>IF(AY140=1,COUNTIFS(R_Emp,"&lt;&gt;"&amp;D140,R_SAbs,"&lt;"&amp;AX140,R_EAbs,"&gt;"&amp;AW140,R_OKey,1),0)</f>
        <v>0</v>
      </c>
      <c r="BB140" s="80">
        <f>IF(AND(AB140=1,D140="proMX"),IF(AND(MOD(Z140,CFG_BLK)=0,MOD(AA140,CFG_BLK)=0,MOD(AG140,CFG_BLK)=0,AG140&gt;0),1,0),1)</f>
        <v>1</v>
      </c>
      <c r="BC140" s="80" t="str">
        <f>IF(Y140=0,"",IF(NOT(ISNUMBER(B140)),"Falta fecha o fecha inválida",IF(D140="","Falta empresa",IF(AND(D140&lt;&gt;"Malcolm",D140&lt;&gt;"proMX"),"Empresa inválida",IF(OR(INT(B140)&lt;CFG_PSTART,INT(B140)&gt;CFG_PEND),"Fecha fuera del período",IF(OR(NOT(ISNUMBER(Z140)),NOT(ISNUMBER(AA140))),"Falta hora inicio/fin o formato inválido",IF(AB140=0,"Hora inicio = hora fin",IF(AE140&lt;0,"Descanso inválido",IF(AE140&gt;=AD140,"Descanso ≥ duración",IF(AV140=1,"Registro duplicado",IF(AZ140&gt;0,"Se superpone con otro registro "&amp;D140,IF(BB140=0,"inicio, fin y duración neta deben ser múltiplos de "&amp;CFG_BLK&amp;" min",""))))))))))))</f>
        <v/>
      </c>
      <c r="BD140" s="80">
        <f>IF(AND(Y140=1,BC140=""),1,0)</f>
        <v>0</v>
      </c>
      <c r="BE140" s="80">
        <f>IF(AND(BD140=1,AU140=1),1,0)</f>
        <v>0</v>
      </c>
      <c r="BF140" s="80" t="str">
        <f>IF(AND(D140="proMX",BD140=1),IF(R140="","Draft",R140),"")</f>
        <v/>
      </c>
      <c r="BG140" s="80">
        <f>IF(BD140=1,ROUND(AG140/60,6),0)</f>
        <v>0</v>
      </c>
      <c r="BH140" s="80">
        <f>IF(BE140=1,ROUND(AG140/60,6),0)</f>
        <v>0</v>
      </c>
      <c r="BI140" s="80">
        <f>IF(BE140=1,ROUND(AP140/60,6),0)</f>
        <v>0</v>
      </c>
      <c r="BJ140" s="80">
        <f>IF(BE140=1,ROUND(AQ140/60,6),0)</f>
        <v>0</v>
      </c>
      <c r="BK140" s="80">
        <f>IF(BE140=1,ROUND((AR140+AS140)/60,6),0)</f>
        <v>0</v>
      </c>
      <c r="BL140" s="80">
        <f>ROUND(BH140-BK140,6)</f>
        <v>0</v>
      </c>
      <c r="BM140" s="80">
        <f>IF(BE140=1,ROUND(AR140/60,6),0)</f>
        <v>0</v>
      </c>
      <c r="BN140" s="80">
        <f>ROUND(BI140-BM140,6)</f>
        <v>0</v>
      </c>
      <c r="BO140" s="80">
        <f>IF(BE140=1,ROUND(AS140/60,6),0)</f>
        <v>0</v>
      </c>
      <c r="BP140" s="80">
        <f>ROUND(BJ140-BO140,6)</f>
        <v>0</v>
      </c>
      <c r="BQ140" s="80">
        <f>IF(BE140=1,AW140,0)</f>
        <v>0</v>
      </c>
      <c r="BR140" s="80">
        <f>IF(BE140=1,AX140,0)</f>
        <v>0</v>
      </c>
      <c r="BS140" s="80">
        <f>IF(AND(BE140=1,D140="Malcolm",BA140&gt;0),MIN(BH140,SUMPRODUCT((R_Emp="proMX")*(R_EN&gt;0)*((R_EN-(R_EN&gt;BR140)*(R_EN-BR140))&gt;(R_SN+(R_SN&lt;BQ140)*(BQ140-R_SN)))*((R_EN-(R_EN&gt;BR140)*(R_EN-BR140))-(R_SN+(R_SN&lt;BQ140)*(BQ140-R_SN))))/60),0)</f>
        <v>0</v>
      </c>
      <c r="BT140" s="80">
        <f>IF(AND(BE140=1,D140="proMX"),ROUND(BI140*CFG_RATE+BJ140*CFG_OTRATE,6),0)</f>
        <v>0</v>
      </c>
      <c r="BU140" s="80">
        <f>IF(AND(BD140=1,D140="proMX"),ROUND(AG140/CFG_BLK,6),0)</f>
        <v>0</v>
      </c>
      <c r="BV140" s="80" t="str">
        <f>IF(BF140="Approved",IF(ISNUMBER(T140),INT(T140),INT(B140)),"")</f>
        <v/>
      </c>
      <c r="BW140" s="80">
        <f>IF(ISNUMBER(B140),IF(DB_MON="Todos",1,IF(AND(INT(B140)&gt;=DB_MS,INT(B140)&lt;=DB_ME),1,0)),0)</f>
        <v>0</v>
      </c>
      <c r="BX140" s="80">
        <f>IF(DB_PROJ="Todos",1,IF(E140&amp;""=DB_PROJ&amp;"",1,0))</f>
        <v>1</v>
      </c>
      <c r="BY140" s="80">
        <f>BW140*BX140</f>
        <v>0</v>
      </c>
      <c r="BZ140" s="80" t="str">
        <f>IF(Y140=1,F140&amp;IF(AND(F140&amp;""&lt;&gt;"",E140&amp;""&lt;&gt;"")," · ","")&amp;E140,"")</f>
        <v/>
      </c>
      <c r="CA140" s="80" t="str">
        <f>IF(AND(BD140=1,E140&amp;""&lt;&gt;""),IF(COUNTIFS($E$5:E139,E140,$BD$5:BD139,1)=0,MAX($CA$5:CA139)+1,""),"")</f>
        <v/>
      </c>
      <c r="CB140" s="80" t="str">
        <f>IF(AND(BE140=1,D140="Malcolm",E140&amp;""&lt;&gt;""),IF(COUNTIFS($D$5:D139,"Malcolm",$E$5:E139,E140,$BE$5:BE139,1)=0,MAX($CB$5:CB139)+1,""),"")</f>
        <v/>
      </c>
      <c r="CC140" s="80" t="str">
        <f>IF(AND(BD140=1,D140="proMX",E140&amp;""&lt;&gt;""),IF(COUNTIFS($D$5:D139,"proMX",$E$5:E139,E140,$BD$5:BD139,1)=0,MAX($CC$5:CC139)+1,""),"")</f>
        <v/>
      </c>
      <c r="CD140" s="80" t="str">
        <f>IF(AND(BE140=1,D140="Malcolm",F140&amp;""&lt;&gt;""),IF(COUNTIFS($D$5:D139,"Malcolm",$F$5:F139,F140,$BE$5:BE139,1)=0,MAX($CD$5:CD139)+1,""),"")</f>
        <v/>
      </c>
      <c r="CE140" s="80" t="str">
        <f>IF(AND(BD140=1,D140="proMX",F140&amp;""&lt;&gt;""),IF(COUNTIFS($D$5:D139,"proMX",$F$5:F139,F140,$BD$5:BD139,1)=0,MAX($CE$5:CE139)+1,""),"")</f>
        <v/>
      </c>
      <c r="CF140" s="80" t="str">
        <f>IF(AND(D140="proMX",BD140=1),IF(OR(BF140="Draft",BF140="Submitted",BF140="Returned",BF140="Recall Requested"),MAX($CF$5:CF139)+1,""),"")</f>
        <v/>
      </c>
      <c r="CG140" s="80">
        <f>IF(BD140=0,0,IF(D140="Malcolm",1,MATCH(BF140,{"Draft","Submitted","Approved","Returned","Recall Requested","Cancelled"},0)+1))</f>
        <v>0</v>
      </c>
      <c r="CH140" s="80">
        <f>IF(AND(BF140="Submitted",ISNUMBER(V140)),IF(V140&gt;CFG_MAXD,1,0),0)</f>
        <v>0</v>
      </c>
    </row>
    <row r="141">
      <c r="A141" s="71" t="str">
        <f>IF(Y141=1,ROW()-5,"")</f>
        <v/>
      </c>
      <c r="B141" s="72" t="n"/>
      <c r="C141" s="71" t="str">
        <f>IF(ISNUMBER(B141),CHOOSE(WEEKDAY(B141,2),"Lun","Mar","Mié","Jue","Vie","Sáb","Dom"),"")</f>
        <v/>
      </c>
      <c r="D141" s="73" t="n"/>
      <c r="E141" s="74" t="n"/>
      <c r="F141" s="74" t="n"/>
      <c r="G141" s="74" t="n"/>
      <c r="H141" s="75" t="n"/>
      <c r="I141" s="75" t="n"/>
      <c r="J141" s="76" t="n"/>
      <c r="K141" s="77" t="str">
        <f>IF(AB141=1,ROUND(AG141/60,4),"")</f>
        <v/>
      </c>
      <c r="L141" s="77" t="str">
        <f>IF(BD141=1,ROUND(AP141/60,4),"")</f>
        <v/>
      </c>
      <c r="M141" s="77" t="str">
        <f>IF(BD141=1,ROUND(AQ141/60,4),"")</f>
        <v/>
      </c>
      <c r="N141" s="71" t="str">
        <f>IF(AND(D141="proMX",AB141=1),ROUND(AG141/CFG_BLK,2),"")</f>
        <v/>
      </c>
      <c r="O141" s="77" t="str">
        <f>IF(D141="proMX",IF(BD141=1,ROUND(AG141/60,4),0),"")</f>
        <v/>
      </c>
      <c r="P141" s="78" t="str">
        <f>IF(Y141=0,"",IF(BD141=1,"OK",IF(D141="proMX","Revisar bloques: ","Revisar: ")&amp;BC141))</f>
        <v/>
      </c>
      <c r="Q141" s="78" t="str">
        <f>IF(NOT(ISNUMBER(B141)),"",IF(COUNTIFS(FER_F,INT(B141))&gt;0,"Feriado"&amp;IF(AH141=1," (laborable)"," (no laborable)"),IF(AH141=1,"Laborable",IF(WEEKDAY(B141,2)&gt;5,"Fin de semana","No laborable"))))</f>
        <v/>
      </c>
      <c r="R141" s="73" t="n"/>
      <c r="S141" s="72" t="n"/>
      <c r="T141" s="72" t="n"/>
      <c r="U141" s="74" t="n"/>
      <c r="V141" s="79" t="str">
        <f>IF(AND(D141="proMX",OR(R141="Submitted",R141="Recall Requested"),ISNUMBER(S141)),CFG_TODAY-INT(S141),"")</f>
        <v/>
      </c>
      <c r="W141" s="78" t="str">
        <f>IF(BD141=0,"",IF(BA141&gt;0,"⚠ Se superpone con un registro de la otra empresa",IF(D141="Malcolm",IF(COUNTA(R141,S141,T141)&gt;0,"Estado/fechas proMX se ignoran en Malcolm",""),IF(BF141="Cancelled","Cancelado: excluido de totales",IF(R141="","Sin estado: se trata como Draft",IF(BF141="Submitted",IF(ISNUMBER(V141),IF(V141&gt;CFG_MAXD,"⚠ "&amp;V141&amp;" días en Submitted (máx. "&amp;CFG_MAXD&amp;")",""),"Falta fecha de envío"),IF(BF141="Returned","⚠ Devuelto: corregir y reenviar",IF(BF141="Recall Requested","Retirada solicitada: pendiente",IF(AND(BF141="Approved",NOT(ISNUMBER(T141))),"Falta fecha de aprobación",IF(AND(ISNUMBER(S141),ISNUMBER(T141),T141&lt;S141),"Aprobación anterior al envío","")))))))))</f>
        <v/>
      </c>
      <c r="Y141" s="80">
        <f>IF(COUNTA(B141,D141,E141,F141,G141,H141,I141,J141,R141,S141,T141)&gt;0,1,0)</f>
        <v>0</v>
      </c>
      <c r="Z141" s="80" t="str">
        <f>IF(AND(ISNUMBER(H141),H141&gt;=0,H141&lt;1),ROUND(H141*1440,0),"")</f>
        <v/>
      </c>
      <c r="AA141" s="80" t="str">
        <f>IF(AND(ISNUMBER(I141),I141&gt;=0,I141&lt;1),ROUND(I141*1440,0),"")</f>
        <v/>
      </c>
      <c r="AB141" s="80">
        <f>IF(AND(ISNUMBER(B141),D141&lt;&gt;"",ISNUMBER(Z141),ISNUMBER(AA141)),IF(Z141=AA141,0,1),0)</f>
        <v>0</v>
      </c>
      <c r="AC141" s="80">
        <f>IF(AB141=1,IF(AA141&lt;Z141,1,0),0)</f>
        <v>0</v>
      </c>
      <c r="AD141" s="80">
        <f>IF(AB141=1,IF(AC141=1,1440-Z141+AA141,AA141-Z141),0)</f>
        <v>0</v>
      </c>
      <c r="AE141" s="80">
        <f>IF(J141="",0,IF(ISNUMBER(J141),J141,-1))</f>
        <v>0</v>
      </c>
      <c r="AF141" s="80">
        <f>MIN(MAX(0,AE141),AD141)</f>
        <v>0</v>
      </c>
      <c r="AG141" s="80">
        <f>MAX(0,AD141-MAX(0,AE141))</f>
        <v>0</v>
      </c>
      <c r="AH141" s="80">
        <f>IF(ISNUMBER(B141),IF(AND(INDEX(CFG_WDAYS,WEEKDAY(INT(B141),2))="Sí",IF(D141="proMX",COUNTIFS(FER_F,INT(B141),FER_NLP,"Sí"),COUNTIFS(FER_F,INT(B141),FER_NLM,"Sí"))=0),1,0),0)</f>
        <v>0</v>
      </c>
      <c r="AI141" s="80">
        <f>IF(AC141=1,IF(AND(INDEX(CFG_WDAYS,WEEKDAY(INT(B141)+1,2))="Sí",IF(D141="proMX",COUNTIFS(FER_F,INT(B141)+1,FER_NLP,"Sí"),COUNTIFS(FER_F,INT(B141)+1,FER_NLM,"Sí"))=0),1,0),0)</f>
        <v>0</v>
      </c>
      <c r="AJ141" s="80">
        <f>IF(AC141=1,1440-Z141,AD141)</f>
        <v>0</v>
      </c>
      <c r="AK141" s="80">
        <f>IF(AND(AB141=1,AH141=1),MAX(0,MIN(IF(AC141=1,1440,AA141),CFG_WEM)-MAX(Z141,CFG_WSM)),0)</f>
        <v>0</v>
      </c>
      <c r="AL141" s="80">
        <f>IF(AND(AC141=1,AI141=1),MAX(0,MIN(AA141,CFG_WEM)-CFG_WSM),0)</f>
        <v>0</v>
      </c>
      <c r="AM141" s="80">
        <f>AK141+AL141</f>
        <v>0</v>
      </c>
      <c r="AN141" s="80">
        <f>IF(CFG_BRK="Proporcional",IF(AD141=0,0,AF141*AM141/AD141),IF(CFG_BRK="Extras primero",MIN(AM141,MAX(0,AF141-(AD141-AM141))),MIN(AF141,AM141)))</f>
        <v>0</v>
      </c>
      <c r="AO141" s="80">
        <f>AF141-AN141</f>
        <v>0</v>
      </c>
      <c r="AP141" s="80">
        <f>AM141-AN141</f>
        <v>0</v>
      </c>
      <c r="AQ141" s="80">
        <f>AD141-AM141-AO141</f>
        <v>0</v>
      </c>
      <c r="AR141" s="80">
        <f>IF(AM141=0,0,AK141-AN141*AK141/AM141)</f>
        <v>0</v>
      </c>
      <c r="AS141" s="80">
        <f>IF(AD141-AM141=0,0,(AJ141-AK141)-AO141*(AJ141-AK141)/(AD141-AM141))</f>
        <v>0</v>
      </c>
      <c r="AT141" s="80" t="str">
        <f>IF(AC141=1,INT(B141)+1,"")</f>
        <v/>
      </c>
      <c r="AU141" s="80">
        <f>IF(AND(D141="proMX",R141="Cancelled"),0,1)</f>
        <v>1</v>
      </c>
      <c r="AV141" s="80">
        <f>IF(AND(AB141=1,AU141=1),IF(COUNTIFS($D$5:D140,D141,$B$5:B140,B141,$Z$5:Z140,Z141,$AA$5:AA140,AA141,$F$5:F140,F141&amp;"",$AU$5:AU140,1)&gt;0,1,0),0)</f>
        <v>0</v>
      </c>
      <c r="AW141" s="80" t="str">
        <f>IF(AB141=1,INT(B141)*1440+Z141,"")</f>
        <v/>
      </c>
      <c r="AX141" s="80" t="str">
        <f>IF(AB141=1,AW141+AD141,"")</f>
        <v/>
      </c>
      <c r="AY141" s="80">
        <f>IF(AND(AB141=1,AV141=0,AU141=1),1,0)</f>
        <v>0</v>
      </c>
      <c r="AZ141" s="80">
        <f>IF(AY141=1,COUNTIFS(R_Emp,D141,R_SAbs,"&lt;"&amp;AX141,R_EAbs,"&gt;"&amp;AW141,R_OKey,1)-1,0)</f>
        <v>0</v>
      </c>
      <c r="BA141" s="80">
        <f>IF(AY141=1,COUNTIFS(R_Emp,"&lt;&gt;"&amp;D141,R_SAbs,"&lt;"&amp;AX141,R_EAbs,"&gt;"&amp;AW141,R_OKey,1),0)</f>
        <v>0</v>
      </c>
      <c r="BB141" s="80">
        <f>IF(AND(AB141=1,D141="proMX"),IF(AND(MOD(Z141,CFG_BLK)=0,MOD(AA141,CFG_BLK)=0,MOD(AG141,CFG_BLK)=0,AG141&gt;0),1,0),1)</f>
        <v>1</v>
      </c>
      <c r="BC141" s="80" t="str">
        <f>IF(Y141=0,"",IF(NOT(ISNUMBER(B141)),"Falta fecha o fecha inválida",IF(D141="","Falta empresa",IF(AND(D141&lt;&gt;"Malcolm",D141&lt;&gt;"proMX"),"Empresa inválida",IF(OR(INT(B141)&lt;CFG_PSTART,INT(B141)&gt;CFG_PEND),"Fecha fuera del período",IF(OR(NOT(ISNUMBER(Z141)),NOT(ISNUMBER(AA141))),"Falta hora inicio/fin o formato inválido",IF(AB141=0,"Hora inicio = hora fin",IF(AE141&lt;0,"Descanso inválido",IF(AE141&gt;=AD141,"Descanso ≥ duración",IF(AV141=1,"Registro duplicado",IF(AZ141&gt;0,"Se superpone con otro registro "&amp;D141,IF(BB141=0,"inicio, fin y duración neta deben ser múltiplos de "&amp;CFG_BLK&amp;" min",""))))))))))))</f>
        <v/>
      </c>
      <c r="BD141" s="80">
        <f>IF(AND(Y141=1,BC141=""),1,0)</f>
        <v>0</v>
      </c>
      <c r="BE141" s="80">
        <f>IF(AND(BD141=1,AU141=1),1,0)</f>
        <v>0</v>
      </c>
      <c r="BF141" s="80" t="str">
        <f>IF(AND(D141="proMX",BD141=1),IF(R141="","Draft",R141),"")</f>
        <v/>
      </c>
      <c r="BG141" s="80">
        <f>IF(BD141=1,ROUND(AG141/60,6),0)</f>
        <v>0</v>
      </c>
      <c r="BH141" s="80">
        <f>IF(BE141=1,ROUND(AG141/60,6),0)</f>
        <v>0</v>
      </c>
      <c r="BI141" s="80">
        <f>IF(BE141=1,ROUND(AP141/60,6),0)</f>
        <v>0</v>
      </c>
      <c r="BJ141" s="80">
        <f>IF(BE141=1,ROUND(AQ141/60,6),0)</f>
        <v>0</v>
      </c>
      <c r="BK141" s="80">
        <f>IF(BE141=1,ROUND((AR141+AS141)/60,6),0)</f>
        <v>0</v>
      </c>
      <c r="BL141" s="80">
        <f>ROUND(BH141-BK141,6)</f>
        <v>0</v>
      </c>
      <c r="BM141" s="80">
        <f>IF(BE141=1,ROUND(AR141/60,6),0)</f>
        <v>0</v>
      </c>
      <c r="BN141" s="80">
        <f>ROUND(BI141-BM141,6)</f>
        <v>0</v>
      </c>
      <c r="BO141" s="80">
        <f>IF(BE141=1,ROUND(AS141/60,6),0)</f>
        <v>0</v>
      </c>
      <c r="BP141" s="80">
        <f>ROUND(BJ141-BO141,6)</f>
        <v>0</v>
      </c>
      <c r="BQ141" s="80">
        <f>IF(BE141=1,AW141,0)</f>
        <v>0</v>
      </c>
      <c r="BR141" s="80">
        <f>IF(BE141=1,AX141,0)</f>
        <v>0</v>
      </c>
      <c r="BS141" s="80">
        <f>IF(AND(BE141=1,D141="Malcolm",BA141&gt;0),MIN(BH141,SUMPRODUCT((R_Emp="proMX")*(R_EN&gt;0)*((R_EN-(R_EN&gt;BR141)*(R_EN-BR141))&gt;(R_SN+(R_SN&lt;BQ141)*(BQ141-R_SN)))*((R_EN-(R_EN&gt;BR141)*(R_EN-BR141))-(R_SN+(R_SN&lt;BQ141)*(BQ141-R_SN))))/60),0)</f>
        <v>0</v>
      </c>
      <c r="BT141" s="80">
        <f>IF(AND(BE141=1,D141="proMX"),ROUND(BI141*CFG_RATE+BJ141*CFG_OTRATE,6),0)</f>
        <v>0</v>
      </c>
      <c r="BU141" s="80">
        <f>IF(AND(BD141=1,D141="proMX"),ROUND(AG141/CFG_BLK,6),0)</f>
        <v>0</v>
      </c>
      <c r="BV141" s="80" t="str">
        <f>IF(BF141="Approved",IF(ISNUMBER(T141),INT(T141),INT(B141)),"")</f>
        <v/>
      </c>
      <c r="BW141" s="80">
        <f>IF(ISNUMBER(B141),IF(DB_MON="Todos",1,IF(AND(INT(B141)&gt;=DB_MS,INT(B141)&lt;=DB_ME),1,0)),0)</f>
        <v>0</v>
      </c>
      <c r="BX141" s="80">
        <f>IF(DB_PROJ="Todos",1,IF(E141&amp;""=DB_PROJ&amp;"",1,0))</f>
        <v>1</v>
      </c>
      <c r="BY141" s="80">
        <f>BW141*BX141</f>
        <v>0</v>
      </c>
      <c r="BZ141" s="80" t="str">
        <f>IF(Y141=1,F141&amp;IF(AND(F141&amp;""&lt;&gt;"",E141&amp;""&lt;&gt;"")," · ","")&amp;E141,"")</f>
        <v/>
      </c>
      <c r="CA141" s="80" t="str">
        <f>IF(AND(BD141=1,E141&amp;""&lt;&gt;""),IF(COUNTIFS($E$5:E140,E141,$BD$5:BD140,1)=0,MAX($CA$5:CA140)+1,""),"")</f>
        <v/>
      </c>
      <c r="CB141" s="80" t="str">
        <f>IF(AND(BE141=1,D141="Malcolm",E141&amp;""&lt;&gt;""),IF(COUNTIFS($D$5:D140,"Malcolm",$E$5:E140,E141,$BE$5:BE140,1)=0,MAX($CB$5:CB140)+1,""),"")</f>
        <v/>
      </c>
      <c r="CC141" s="80" t="str">
        <f>IF(AND(BD141=1,D141="proMX",E141&amp;""&lt;&gt;""),IF(COUNTIFS($D$5:D140,"proMX",$E$5:E140,E141,$BD$5:BD140,1)=0,MAX($CC$5:CC140)+1,""),"")</f>
        <v/>
      </c>
      <c r="CD141" s="80" t="str">
        <f>IF(AND(BE141=1,D141="Malcolm",F141&amp;""&lt;&gt;""),IF(COUNTIFS($D$5:D140,"Malcolm",$F$5:F140,F141,$BE$5:BE140,1)=0,MAX($CD$5:CD140)+1,""),"")</f>
        <v/>
      </c>
      <c r="CE141" s="80" t="str">
        <f>IF(AND(BD141=1,D141="proMX",F141&amp;""&lt;&gt;""),IF(COUNTIFS($D$5:D140,"proMX",$F$5:F140,F141,$BD$5:BD140,1)=0,MAX($CE$5:CE140)+1,""),"")</f>
        <v/>
      </c>
      <c r="CF141" s="80" t="str">
        <f>IF(AND(D141="proMX",BD141=1),IF(OR(BF141="Draft",BF141="Submitted",BF141="Returned",BF141="Recall Requested"),MAX($CF$5:CF140)+1,""),"")</f>
        <v/>
      </c>
      <c r="CG141" s="80">
        <f>IF(BD141=0,0,IF(D141="Malcolm",1,MATCH(BF141,{"Draft","Submitted","Approved","Returned","Recall Requested","Cancelled"},0)+1))</f>
        <v>0</v>
      </c>
      <c r="CH141" s="80">
        <f>IF(AND(BF141="Submitted",ISNUMBER(V141)),IF(V141&gt;CFG_MAXD,1,0),0)</f>
        <v>0</v>
      </c>
    </row>
    <row r="142">
      <c r="A142" s="71" t="str">
        <f>IF(Y142=1,ROW()-5,"")</f>
        <v/>
      </c>
      <c r="B142" s="72" t="n"/>
      <c r="C142" s="71" t="str">
        <f>IF(ISNUMBER(B142),CHOOSE(WEEKDAY(B142,2),"Lun","Mar","Mié","Jue","Vie","Sáb","Dom"),"")</f>
        <v/>
      </c>
      <c r="D142" s="73" t="n"/>
      <c r="E142" s="74" t="n"/>
      <c r="F142" s="74" t="n"/>
      <c r="G142" s="74" t="n"/>
      <c r="H142" s="75" t="n"/>
      <c r="I142" s="75" t="n"/>
      <c r="J142" s="76" t="n"/>
      <c r="K142" s="77" t="str">
        <f>IF(AB142=1,ROUND(AG142/60,4),"")</f>
        <v/>
      </c>
      <c r="L142" s="77" t="str">
        <f>IF(BD142=1,ROUND(AP142/60,4),"")</f>
        <v/>
      </c>
      <c r="M142" s="77" t="str">
        <f>IF(BD142=1,ROUND(AQ142/60,4),"")</f>
        <v/>
      </c>
      <c r="N142" s="71" t="str">
        <f>IF(AND(D142="proMX",AB142=1),ROUND(AG142/CFG_BLK,2),"")</f>
        <v/>
      </c>
      <c r="O142" s="77" t="str">
        <f>IF(D142="proMX",IF(BD142=1,ROUND(AG142/60,4),0),"")</f>
        <v/>
      </c>
      <c r="P142" s="78" t="str">
        <f>IF(Y142=0,"",IF(BD142=1,"OK",IF(D142="proMX","Revisar bloques: ","Revisar: ")&amp;BC142))</f>
        <v/>
      </c>
      <c r="Q142" s="78" t="str">
        <f>IF(NOT(ISNUMBER(B142)),"",IF(COUNTIFS(FER_F,INT(B142))&gt;0,"Feriado"&amp;IF(AH142=1," (laborable)"," (no laborable)"),IF(AH142=1,"Laborable",IF(WEEKDAY(B142,2)&gt;5,"Fin de semana","No laborable"))))</f>
        <v/>
      </c>
      <c r="R142" s="73" t="n"/>
      <c r="S142" s="72" t="n"/>
      <c r="T142" s="72" t="n"/>
      <c r="U142" s="74" t="n"/>
      <c r="V142" s="79" t="str">
        <f>IF(AND(D142="proMX",OR(R142="Submitted",R142="Recall Requested"),ISNUMBER(S142)),CFG_TODAY-INT(S142),"")</f>
        <v/>
      </c>
      <c r="W142" s="78" t="str">
        <f>IF(BD142=0,"",IF(BA142&gt;0,"⚠ Se superpone con un registro de la otra empresa",IF(D142="Malcolm",IF(COUNTA(R142,S142,T142)&gt;0,"Estado/fechas proMX se ignoran en Malcolm",""),IF(BF142="Cancelled","Cancelado: excluido de totales",IF(R142="","Sin estado: se trata como Draft",IF(BF142="Submitted",IF(ISNUMBER(V142),IF(V142&gt;CFG_MAXD,"⚠ "&amp;V142&amp;" días en Submitted (máx. "&amp;CFG_MAXD&amp;")",""),"Falta fecha de envío"),IF(BF142="Returned","⚠ Devuelto: corregir y reenviar",IF(BF142="Recall Requested","Retirada solicitada: pendiente",IF(AND(BF142="Approved",NOT(ISNUMBER(T142))),"Falta fecha de aprobación",IF(AND(ISNUMBER(S142),ISNUMBER(T142),T142&lt;S142),"Aprobación anterior al envío","")))))))))</f>
        <v/>
      </c>
      <c r="Y142" s="80">
        <f>IF(COUNTA(B142,D142,E142,F142,G142,H142,I142,J142,R142,S142,T142)&gt;0,1,0)</f>
        <v>0</v>
      </c>
      <c r="Z142" s="80" t="str">
        <f>IF(AND(ISNUMBER(H142),H142&gt;=0,H142&lt;1),ROUND(H142*1440,0),"")</f>
        <v/>
      </c>
      <c r="AA142" s="80" t="str">
        <f>IF(AND(ISNUMBER(I142),I142&gt;=0,I142&lt;1),ROUND(I142*1440,0),"")</f>
        <v/>
      </c>
      <c r="AB142" s="80">
        <f>IF(AND(ISNUMBER(B142),D142&lt;&gt;"",ISNUMBER(Z142),ISNUMBER(AA142)),IF(Z142=AA142,0,1),0)</f>
        <v>0</v>
      </c>
      <c r="AC142" s="80">
        <f>IF(AB142=1,IF(AA142&lt;Z142,1,0),0)</f>
        <v>0</v>
      </c>
      <c r="AD142" s="80">
        <f>IF(AB142=1,IF(AC142=1,1440-Z142+AA142,AA142-Z142),0)</f>
        <v>0</v>
      </c>
      <c r="AE142" s="80">
        <f>IF(J142="",0,IF(ISNUMBER(J142),J142,-1))</f>
        <v>0</v>
      </c>
      <c r="AF142" s="80">
        <f>MIN(MAX(0,AE142),AD142)</f>
        <v>0</v>
      </c>
      <c r="AG142" s="80">
        <f>MAX(0,AD142-MAX(0,AE142))</f>
        <v>0</v>
      </c>
      <c r="AH142" s="80">
        <f>IF(ISNUMBER(B142),IF(AND(INDEX(CFG_WDAYS,WEEKDAY(INT(B142),2))="Sí",IF(D142="proMX",COUNTIFS(FER_F,INT(B142),FER_NLP,"Sí"),COUNTIFS(FER_F,INT(B142),FER_NLM,"Sí"))=0),1,0),0)</f>
        <v>0</v>
      </c>
      <c r="AI142" s="80">
        <f>IF(AC142=1,IF(AND(INDEX(CFG_WDAYS,WEEKDAY(INT(B142)+1,2))="Sí",IF(D142="proMX",COUNTIFS(FER_F,INT(B142)+1,FER_NLP,"Sí"),COUNTIFS(FER_F,INT(B142)+1,FER_NLM,"Sí"))=0),1,0),0)</f>
        <v>0</v>
      </c>
      <c r="AJ142" s="80">
        <f>IF(AC142=1,1440-Z142,AD142)</f>
        <v>0</v>
      </c>
      <c r="AK142" s="80">
        <f>IF(AND(AB142=1,AH142=1),MAX(0,MIN(IF(AC142=1,1440,AA142),CFG_WEM)-MAX(Z142,CFG_WSM)),0)</f>
        <v>0</v>
      </c>
      <c r="AL142" s="80">
        <f>IF(AND(AC142=1,AI142=1),MAX(0,MIN(AA142,CFG_WEM)-CFG_WSM),0)</f>
        <v>0</v>
      </c>
      <c r="AM142" s="80">
        <f>AK142+AL142</f>
        <v>0</v>
      </c>
      <c r="AN142" s="80">
        <f>IF(CFG_BRK="Proporcional",IF(AD142=0,0,AF142*AM142/AD142),IF(CFG_BRK="Extras primero",MIN(AM142,MAX(0,AF142-(AD142-AM142))),MIN(AF142,AM142)))</f>
        <v>0</v>
      </c>
      <c r="AO142" s="80">
        <f>AF142-AN142</f>
        <v>0</v>
      </c>
      <c r="AP142" s="80">
        <f>AM142-AN142</f>
        <v>0</v>
      </c>
      <c r="AQ142" s="80">
        <f>AD142-AM142-AO142</f>
        <v>0</v>
      </c>
      <c r="AR142" s="80">
        <f>IF(AM142=0,0,AK142-AN142*AK142/AM142)</f>
        <v>0</v>
      </c>
      <c r="AS142" s="80">
        <f>IF(AD142-AM142=0,0,(AJ142-AK142)-AO142*(AJ142-AK142)/(AD142-AM142))</f>
        <v>0</v>
      </c>
      <c r="AT142" s="80" t="str">
        <f>IF(AC142=1,INT(B142)+1,"")</f>
        <v/>
      </c>
      <c r="AU142" s="80">
        <f>IF(AND(D142="proMX",R142="Cancelled"),0,1)</f>
        <v>1</v>
      </c>
      <c r="AV142" s="80">
        <f>IF(AND(AB142=1,AU142=1),IF(COUNTIFS($D$5:D141,D142,$B$5:B141,B142,$Z$5:Z141,Z142,$AA$5:AA141,AA142,$F$5:F141,F142&amp;"",$AU$5:AU141,1)&gt;0,1,0),0)</f>
        <v>0</v>
      </c>
      <c r="AW142" s="80" t="str">
        <f>IF(AB142=1,INT(B142)*1440+Z142,"")</f>
        <v/>
      </c>
      <c r="AX142" s="80" t="str">
        <f>IF(AB142=1,AW142+AD142,"")</f>
        <v/>
      </c>
      <c r="AY142" s="80">
        <f>IF(AND(AB142=1,AV142=0,AU142=1),1,0)</f>
        <v>0</v>
      </c>
      <c r="AZ142" s="80">
        <f>IF(AY142=1,COUNTIFS(R_Emp,D142,R_SAbs,"&lt;"&amp;AX142,R_EAbs,"&gt;"&amp;AW142,R_OKey,1)-1,0)</f>
        <v>0</v>
      </c>
      <c r="BA142" s="80">
        <f>IF(AY142=1,COUNTIFS(R_Emp,"&lt;&gt;"&amp;D142,R_SAbs,"&lt;"&amp;AX142,R_EAbs,"&gt;"&amp;AW142,R_OKey,1),0)</f>
        <v>0</v>
      </c>
      <c r="BB142" s="80">
        <f>IF(AND(AB142=1,D142="proMX"),IF(AND(MOD(Z142,CFG_BLK)=0,MOD(AA142,CFG_BLK)=0,MOD(AG142,CFG_BLK)=0,AG142&gt;0),1,0),1)</f>
        <v>1</v>
      </c>
      <c r="BC142" s="80" t="str">
        <f>IF(Y142=0,"",IF(NOT(ISNUMBER(B142)),"Falta fecha o fecha inválida",IF(D142="","Falta empresa",IF(AND(D142&lt;&gt;"Malcolm",D142&lt;&gt;"proMX"),"Empresa inválida",IF(OR(INT(B142)&lt;CFG_PSTART,INT(B142)&gt;CFG_PEND),"Fecha fuera del período",IF(OR(NOT(ISNUMBER(Z142)),NOT(ISNUMBER(AA142))),"Falta hora inicio/fin o formato inválido",IF(AB142=0,"Hora inicio = hora fin",IF(AE142&lt;0,"Descanso inválido",IF(AE142&gt;=AD142,"Descanso ≥ duración",IF(AV142=1,"Registro duplicado",IF(AZ142&gt;0,"Se superpone con otro registro "&amp;D142,IF(BB142=0,"inicio, fin y duración neta deben ser múltiplos de "&amp;CFG_BLK&amp;" min",""))))))))))))</f>
        <v/>
      </c>
      <c r="BD142" s="80">
        <f>IF(AND(Y142=1,BC142=""),1,0)</f>
        <v>0</v>
      </c>
      <c r="BE142" s="80">
        <f>IF(AND(BD142=1,AU142=1),1,0)</f>
        <v>0</v>
      </c>
      <c r="BF142" s="80" t="str">
        <f>IF(AND(D142="proMX",BD142=1),IF(R142="","Draft",R142),"")</f>
        <v/>
      </c>
      <c r="BG142" s="80">
        <f>IF(BD142=1,ROUND(AG142/60,6),0)</f>
        <v>0</v>
      </c>
      <c r="BH142" s="80">
        <f>IF(BE142=1,ROUND(AG142/60,6),0)</f>
        <v>0</v>
      </c>
      <c r="BI142" s="80">
        <f>IF(BE142=1,ROUND(AP142/60,6),0)</f>
        <v>0</v>
      </c>
      <c r="BJ142" s="80">
        <f>IF(BE142=1,ROUND(AQ142/60,6),0)</f>
        <v>0</v>
      </c>
      <c r="BK142" s="80">
        <f>IF(BE142=1,ROUND((AR142+AS142)/60,6),0)</f>
        <v>0</v>
      </c>
      <c r="BL142" s="80">
        <f>ROUND(BH142-BK142,6)</f>
        <v>0</v>
      </c>
      <c r="BM142" s="80">
        <f>IF(BE142=1,ROUND(AR142/60,6),0)</f>
        <v>0</v>
      </c>
      <c r="BN142" s="80">
        <f>ROUND(BI142-BM142,6)</f>
        <v>0</v>
      </c>
      <c r="BO142" s="80">
        <f>IF(BE142=1,ROUND(AS142/60,6),0)</f>
        <v>0</v>
      </c>
      <c r="BP142" s="80">
        <f>ROUND(BJ142-BO142,6)</f>
        <v>0</v>
      </c>
      <c r="BQ142" s="80">
        <f>IF(BE142=1,AW142,0)</f>
        <v>0</v>
      </c>
      <c r="BR142" s="80">
        <f>IF(BE142=1,AX142,0)</f>
        <v>0</v>
      </c>
      <c r="BS142" s="80">
        <f>IF(AND(BE142=1,D142="Malcolm",BA142&gt;0),MIN(BH142,SUMPRODUCT((R_Emp="proMX")*(R_EN&gt;0)*((R_EN-(R_EN&gt;BR142)*(R_EN-BR142))&gt;(R_SN+(R_SN&lt;BQ142)*(BQ142-R_SN)))*((R_EN-(R_EN&gt;BR142)*(R_EN-BR142))-(R_SN+(R_SN&lt;BQ142)*(BQ142-R_SN))))/60),0)</f>
        <v>0</v>
      </c>
      <c r="BT142" s="80">
        <f>IF(AND(BE142=1,D142="proMX"),ROUND(BI142*CFG_RATE+BJ142*CFG_OTRATE,6),0)</f>
        <v>0</v>
      </c>
      <c r="BU142" s="80">
        <f>IF(AND(BD142=1,D142="proMX"),ROUND(AG142/CFG_BLK,6),0)</f>
        <v>0</v>
      </c>
      <c r="BV142" s="80" t="str">
        <f>IF(BF142="Approved",IF(ISNUMBER(T142),INT(T142),INT(B142)),"")</f>
        <v/>
      </c>
      <c r="BW142" s="80">
        <f>IF(ISNUMBER(B142),IF(DB_MON="Todos",1,IF(AND(INT(B142)&gt;=DB_MS,INT(B142)&lt;=DB_ME),1,0)),0)</f>
        <v>0</v>
      </c>
      <c r="BX142" s="80">
        <f>IF(DB_PROJ="Todos",1,IF(E142&amp;""=DB_PROJ&amp;"",1,0))</f>
        <v>1</v>
      </c>
      <c r="BY142" s="80">
        <f>BW142*BX142</f>
        <v>0</v>
      </c>
      <c r="BZ142" s="80" t="str">
        <f>IF(Y142=1,F142&amp;IF(AND(F142&amp;""&lt;&gt;"",E142&amp;""&lt;&gt;"")," · ","")&amp;E142,"")</f>
        <v/>
      </c>
      <c r="CA142" s="80" t="str">
        <f>IF(AND(BD142=1,E142&amp;""&lt;&gt;""),IF(COUNTIFS($E$5:E141,E142,$BD$5:BD141,1)=0,MAX($CA$5:CA141)+1,""),"")</f>
        <v/>
      </c>
      <c r="CB142" s="80" t="str">
        <f>IF(AND(BE142=1,D142="Malcolm",E142&amp;""&lt;&gt;""),IF(COUNTIFS($D$5:D141,"Malcolm",$E$5:E141,E142,$BE$5:BE141,1)=0,MAX($CB$5:CB141)+1,""),"")</f>
        <v/>
      </c>
      <c r="CC142" s="80" t="str">
        <f>IF(AND(BD142=1,D142="proMX",E142&amp;""&lt;&gt;""),IF(COUNTIFS($D$5:D141,"proMX",$E$5:E141,E142,$BD$5:BD141,1)=0,MAX($CC$5:CC141)+1,""),"")</f>
        <v/>
      </c>
      <c r="CD142" s="80" t="str">
        <f>IF(AND(BE142=1,D142="Malcolm",F142&amp;""&lt;&gt;""),IF(COUNTIFS($D$5:D141,"Malcolm",$F$5:F141,F142,$BE$5:BE141,1)=0,MAX($CD$5:CD141)+1,""),"")</f>
        <v/>
      </c>
      <c r="CE142" s="80" t="str">
        <f>IF(AND(BD142=1,D142="proMX",F142&amp;""&lt;&gt;""),IF(COUNTIFS($D$5:D141,"proMX",$F$5:F141,F142,$BD$5:BD141,1)=0,MAX($CE$5:CE141)+1,""),"")</f>
        <v/>
      </c>
      <c r="CF142" s="80" t="str">
        <f>IF(AND(D142="proMX",BD142=1),IF(OR(BF142="Draft",BF142="Submitted",BF142="Returned",BF142="Recall Requested"),MAX($CF$5:CF141)+1,""),"")</f>
        <v/>
      </c>
      <c r="CG142" s="80">
        <f>IF(BD142=0,0,IF(D142="Malcolm",1,MATCH(BF142,{"Draft","Submitted","Approved","Returned","Recall Requested","Cancelled"},0)+1))</f>
        <v>0</v>
      </c>
      <c r="CH142" s="80">
        <f>IF(AND(BF142="Submitted",ISNUMBER(V142)),IF(V142&gt;CFG_MAXD,1,0),0)</f>
        <v>0</v>
      </c>
    </row>
    <row r="143">
      <c r="A143" s="71" t="str">
        <f>IF(Y143=1,ROW()-5,"")</f>
        <v/>
      </c>
      <c r="B143" s="72" t="n"/>
      <c r="C143" s="71" t="str">
        <f>IF(ISNUMBER(B143),CHOOSE(WEEKDAY(B143,2),"Lun","Mar","Mié","Jue","Vie","Sáb","Dom"),"")</f>
        <v/>
      </c>
      <c r="D143" s="73" t="n"/>
      <c r="E143" s="74" t="n"/>
      <c r="F143" s="74" t="n"/>
      <c r="G143" s="74" t="n"/>
      <c r="H143" s="75" t="n"/>
      <c r="I143" s="75" t="n"/>
      <c r="J143" s="76" t="n"/>
      <c r="K143" s="77" t="str">
        <f>IF(AB143=1,ROUND(AG143/60,4),"")</f>
        <v/>
      </c>
      <c r="L143" s="77" t="str">
        <f>IF(BD143=1,ROUND(AP143/60,4),"")</f>
        <v/>
      </c>
      <c r="M143" s="77" t="str">
        <f>IF(BD143=1,ROUND(AQ143/60,4),"")</f>
        <v/>
      </c>
      <c r="N143" s="71" t="str">
        <f>IF(AND(D143="proMX",AB143=1),ROUND(AG143/CFG_BLK,2),"")</f>
        <v/>
      </c>
      <c r="O143" s="77" t="str">
        <f>IF(D143="proMX",IF(BD143=1,ROUND(AG143/60,4),0),"")</f>
        <v/>
      </c>
      <c r="P143" s="78" t="str">
        <f>IF(Y143=0,"",IF(BD143=1,"OK",IF(D143="proMX","Revisar bloques: ","Revisar: ")&amp;BC143))</f>
        <v/>
      </c>
      <c r="Q143" s="78" t="str">
        <f>IF(NOT(ISNUMBER(B143)),"",IF(COUNTIFS(FER_F,INT(B143))&gt;0,"Feriado"&amp;IF(AH143=1," (laborable)"," (no laborable)"),IF(AH143=1,"Laborable",IF(WEEKDAY(B143,2)&gt;5,"Fin de semana","No laborable"))))</f>
        <v/>
      </c>
      <c r="R143" s="73" t="n"/>
      <c r="S143" s="72" t="n"/>
      <c r="T143" s="72" t="n"/>
      <c r="U143" s="74" t="n"/>
      <c r="V143" s="79" t="str">
        <f>IF(AND(D143="proMX",OR(R143="Submitted",R143="Recall Requested"),ISNUMBER(S143)),CFG_TODAY-INT(S143),"")</f>
        <v/>
      </c>
      <c r="W143" s="78" t="str">
        <f>IF(BD143=0,"",IF(BA143&gt;0,"⚠ Se superpone con un registro de la otra empresa",IF(D143="Malcolm",IF(COUNTA(R143,S143,T143)&gt;0,"Estado/fechas proMX se ignoran en Malcolm",""),IF(BF143="Cancelled","Cancelado: excluido de totales",IF(R143="","Sin estado: se trata como Draft",IF(BF143="Submitted",IF(ISNUMBER(V143),IF(V143&gt;CFG_MAXD,"⚠ "&amp;V143&amp;" días en Submitted (máx. "&amp;CFG_MAXD&amp;")",""),"Falta fecha de envío"),IF(BF143="Returned","⚠ Devuelto: corregir y reenviar",IF(BF143="Recall Requested","Retirada solicitada: pendiente",IF(AND(BF143="Approved",NOT(ISNUMBER(T143))),"Falta fecha de aprobación",IF(AND(ISNUMBER(S143),ISNUMBER(T143),T143&lt;S143),"Aprobación anterior al envío","")))))))))</f>
        <v/>
      </c>
      <c r="Y143" s="80">
        <f>IF(COUNTA(B143,D143,E143,F143,G143,H143,I143,J143,R143,S143,T143)&gt;0,1,0)</f>
        <v>0</v>
      </c>
      <c r="Z143" s="80" t="str">
        <f>IF(AND(ISNUMBER(H143),H143&gt;=0,H143&lt;1),ROUND(H143*1440,0),"")</f>
        <v/>
      </c>
      <c r="AA143" s="80" t="str">
        <f>IF(AND(ISNUMBER(I143),I143&gt;=0,I143&lt;1),ROUND(I143*1440,0),"")</f>
        <v/>
      </c>
      <c r="AB143" s="80">
        <f>IF(AND(ISNUMBER(B143),D143&lt;&gt;"",ISNUMBER(Z143),ISNUMBER(AA143)),IF(Z143=AA143,0,1),0)</f>
        <v>0</v>
      </c>
      <c r="AC143" s="80">
        <f>IF(AB143=1,IF(AA143&lt;Z143,1,0),0)</f>
        <v>0</v>
      </c>
      <c r="AD143" s="80">
        <f>IF(AB143=1,IF(AC143=1,1440-Z143+AA143,AA143-Z143),0)</f>
        <v>0</v>
      </c>
      <c r="AE143" s="80">
        <f>IF(J143="",0,IF(ISNUMBER(J143),J143,-1))</f>
        <v>0</v>
      </c>
      <c r="AF143" s="80">
        <f>MIN(MAX(0,AE143),AD143)</f>
        <v>0</v>
      </c>
      <c r="AG143" s="80">
        <f>MAX(0,AD143-MAX(0,AE143))</f>
        <v>0</v>
      </c>
      <c r="AH143" s="80">
        <f>IF(ISNUMBER(B143),IF(AND(INDEX(CFG_WDAYS,WEEKDAY(INT(B143),2))="Sí",IF(D143="proMX",COUNTIFS(FER_F,INT(B143),FER_NLP,"Sí"),COUNTIFS(FER_F,INT(B143),FER_NLM,"Sí"))=0),1,0),0)</f>
        <v>0</v>
      </c>
      <c r="AI143" s="80">
        <f>IF(AC143=1,IF(AND(INDEX(CFG_WDAYS,WEEKDAY(INT(B143)+1,2))="Sí",IF(D143="proMX",COUNTIFS(FER_F,INT(B143)+1,FER_NLP,"Sí"),COUNTIFS(FER_F,INT(B143)+1,FER_NLM,"Sí"))=0),1,0),0)</f>
        <v>0</v>
      </c>
      <c r="AJ143" s="80">
        <f>IF(AC143=1,1440-Z143,AD143)</f>
        <v>0</v>
      </c>
      <c r="AK143" s="80">
        <f>IF(AND(AB143=1,AH143=1),MAX(0,MIN(IF(AC143=1,1440,AA143),CFG_WEM)-MAX(Z143,CFG_WSM)),0)</f>
        <v>0</v>
      </c>
      <c r="AL143" s="80">
        <f>IF(AND(AC143=1,AI143=1),MAX(0,MIN(AA143,CFG_WEM)-CFG_WSM),0)</f>
        <v>0</v>
      </c>
      <c r="AM143" s="80">
        <f>AK143+AL143</f>
        <v>0</v>
      </c>
      <c r="AN143" s="80">
        <f>IF(CFG_BRK="Proporcional",IF(AD143=0,0,AF143*AM143/AD143),IF(CFG_BRK="Extras primero",MIN(AM143,MAX(0,AF143-(AD143-AM143))),MIN(AF143,AM143)))</f>
        <v>0</v>
      </c>
      <c r="AO143" s="80">
        <f>AF143-AN143</f>
        <v>0</v>
      </c>
      <c r="AP143" s="80">
        <f>AM143-AN143</f>
        <v>0</v>
      </c>
      <c r="AQ143" s="80">
        <f>AD143-AM143-AO143</f>
        <v>0</v>
      </c>
      <c r="AR143" s="80">
        <f>IF(AM143=0,0,AK143-AN143*AK143/AM143)</f>
        <v>0</v>
      </c>
      <c r="AS143" s="80">
        <f>IF(AD143-AM143=0,0,(AJ143-AK143)-AO143*(AJ143-AK143)/(AD143-AM143))</f>
        <v>0</v>
      </c>
      <c r="AT143" s="80" t="str">
        <f>IF(AC143=1,INT(B143)+1,"")</f>
        <v/>
      </c>
      <c r="AU143" s="80">
        <f>IF(AND(D143="proMX",R143="Cancelled"),0,1)</f>
        <v>1</v>
      </c>
      <c r="AV143" s="80">
        <f>IF(AND(AB143=1,AU143=1),IF(COUNTIFS($D$5:D142,D143,$B$5:B142,B143,$Z$5:Z142,Z143,$AA$5:AA142,AA143,$F$5:F142,F143&amp;"",$AU$5:AU142,1)&gt;0,1,0),0)</f>
        <v>0</v>
      </c>
      <c r="AW143" s="80" t="str">
        <f>IF(AB143=1,INT(B143)*1440+Z143,"")</f>
        <v/>
      </c>
      <c r="AX143" s="80" t="str">
        <f>IF(AB143=1,AW143+AD143,"")</f>
        <v/>
      </c>
      <c r="AY143" s="80">
        <f>IF(AND(AB143=1,AV143=0,AU143=1),1,0)</f>
        <v>0</v>
      </c>
      <c r="AZ143" s="80">
        <f>IF(AY143=1,COUNTIFS(R_Emp,D143,R_SAbs,"&lt;"&amp;AX143,R_EAbs,"&gt;"&amp;AW143,R_OKey,1)-1,0)</f>
        <v>0</v>
      </c>
      <c r="BA143" s="80">
        <f>IF(AY143=1,COUNTIFS(R_Emp,"&lt;&gt;"&amp;D143,R_SAbs,"&lt;"&amp;AX143,R_EAbs,"&gt;"&amp;AW143,R_OKey,1),0)</f>
        <v>0</v>
      </c>
      <c r="BB143" s="80">
        <f>IF(AND(AB143=1,D143="proMX"),IF(AND(MOD(Z143,CFG_BLK)=0,MOD(AA143,CFG_BLK)=0,MOD(AG143,CFG_BLK)=0,AG143&gt;0),1,0),1)</f>
        <v>1</v>
      </c>
      <c r="BC143" s="80" t="str">
        <f>IF(Y143=0,"",IF(NOT(ISNUMBER(B143)),"Falta fecha o fecha inválida",IF(D143="","Falta empresa",IF(AND(D143&lt;&gt;"Malcolm",D143&lt;&gt;"proMX"),"Empresa inválida",IF(OR(INT(B143)&lt;CFG_PSTART,INT(B143)&gt;CFG_PEND),"Fecha fuera del período",IF(OR(NOT(ISNUMBER(Z143)),NOT(ISNUMBER(AA143))),"Falta hora inicio/fin o formato inválido",IF(AB143=0,"Hora inicio = hora fin",IF(AE143&lt;0,"Descanso inválido",IF(AE143&gt;=AD143,"Descanso ≥ duración",IF(AV143=1,"Registro duplicado",IF(AZ143&gt;0,"Se superpone con otro registro "&amp;D143,IF(BB143=0,"inicio, fin y duración neta deben ser múltiplos de "&amp;CFG_BLK&amp;" min",""))))))))))))</f>
        <v/>
      </c>
      <c r="BD143" s="80">
        <f>IF(AND(Y143=1,BC143=""),1,0)</f>
        <v>0</v>
      </c>
      <c r="BE143" s="80">
        <f>IF(AND(BD143=1,AU143=1),1,0)</f>
        <v>0</v>
      </c>
      <c r="BF143" s="80" t="str">
        <f>IF(AND(D143="proMX",BD143=1),IF(R143="","Draft",R143),"")</f>
        <v/>
      </c>
      <c r="BG143" s="80">
        <f>IF(BD143=1,ROUND(AG143/60,6),0)</f>
        <v>0</v>
      </c>
      <c r="BH143" s="80">
        <f>IF(BE143=1,ROUND(AG143/60,6),0)</f>
        <v>0</v>
      </c>
      <c r="BI143" s="80">
        <f>IF(BE143=1,ROUND(AP143/60,6),0)</f>
        <v>0</v>
      </c>
      <c r="BJ143" s="80">
        <f>IF(BE143=1,ROUND(AQ143/60,6),0)</f>
        <v>0</v>
      </c>
      <c r="BK143" s="80">
        <f>IF(BE143=1,ROUND((AR143+AS143)/60,6),0)</f>
        <v>0</v>
      </c>
      <c r="BL143" s="80">
        <f>ROUND(BH143-BK143,6)</f>
        <v>0</v>
      </c>
      <c r="BM143" s="80">
        <f>IF(BE143=1,ROUND(AR143/60,6),0)</f>
        <v>0</v>
      </c>
      <c r="BN143" s="80">
        <f>ROUND(BI143-BM143,6)</f>
        <v>0</v>
      </c>
      <c r="BO143" s="80">
        <f>IF(BE143=1,ROUND(AS143/60,6),0)</f>
        <v>0</v>
      </c>
      <c r="BP143" s="80">
        <f>ROUND(BJ143-BO143,6)</f>
        <v>0</v>
      </c>
      <c r="BQ143" s="80">
        <f>IF(BE143=1,AW143,0)</f>
        <v>0</v>
      </c>
      <c r="BR143" s="80">
        <f>IF(BE143=1,AX143,0)</f>
        <v>0</v>
      </c>
      <c r="BS143" s="80">
        <f>IF(AND(BE143=1,D143="Malcolm",BA143&gt;0),MIN(BH143,SUMPRODUCT((R_Emp="proMX")*(R_EN&gt;0)*((R_EN-(R_EN&gt;BR143)*(R_EN-BR143))&gt;(R_SN+(R_SN&lt;BQ143)*(BQ143-R_SN)))*((R_EN-(R_EN&gt;BR143)*(R_EN-BR143))-(R_SN+(R_SN&lt;BQ143)*(BQ143-R_SN))))/60),0)</f>
        <v>0</v>
      </c>
      <c r="BT143" s="80">
        <f>IF(AND(BE143=1,D143="proMX"),ROUND(BI143*CFG_RATE+BJ143*CFG_OTRATE,6),0)</f>
        <v>0</v>
      </c>
      <c r="BU143" s="80">
        <f>IF(AND(BD143=1,D143="proMX"),ROUND(AG143/CFG_BLK,6),0)</f>
        <v>0</v>
      </c>
      <c r="BV143" s="80" t="str">
        <f>IF(BF143="Approved",IF(ISNUMBER(T143),INT(T143),INT(B143)),"")</f>
        <v/>
      </c>
      <c r="BW143" s="80">
        <f>IF(ISNUMBER(B143),IF(DB_MON="Todos",1,IF(AND(INT(B143)&gt;=DB_MS,INT(B143)&lt;=DB_ME),1,0)),0)</f>
        <v>0</v>
      </c>
      <c r="BX143" s="80">
        <f>IF(DB_PROJ="Todos",1,IF(E143&amp;""=DB_PROJ&amp;"",1,0))</f>
        <v>1</v>
      </c>
      <c r="BY143" s="80">
        <f>BW143*BX143</f>
        <v>0</v>
      </c>
      <c r="BZ143" s="80" t="str">
        <f>IF(Y143=1,F143&amp;IF(AND(F143&amp;""&lt;&gt;"",E143&amp;""&lt;&gt;"")," · ","")&amp;E143,"")</f>
        <v/>
      </c>
      <c r="CA143" s="80" t="str">
        <f>IF(AND(BD143=1,E143&amp;""&lt;&gt;""),IF(COUNTIFS($E$5:E142,E143,$BD$5:BD142,1)=0,MAX($CA$5:CA142)+1,""),"")</f>
        <v/>
      </c>
      <c r="CB143" s="80" t="str">
        <f>IF(AND(BE143=1,D143="Malcolm",E143&amp;""&lt;&gt;""),IF(COUNTIFS($D$5:D142,"Malcolm",$E$5:E142,E143,$BE$5:BE142,1)=0,MAX($CB$5:CB142)+1,""),"")</f>
        <v/>
      </c>
      <c r="CC143" s="80" t="str">
        <f>IF(AND(BD143=1,D143="proMX",E143&amp;""&lt;&gt;""),IF(COUNTIFS($D$5:D142,"proMX",$E$5:E142,E143,$BD$5:BD142,1)=0,MAX($CC$5:CC142)+1,""),"")</f>
        <v/>
      </c>
      <c r="CD143" s="80" t="str">
        <f>IF(AND(BE143=1,D143="Malcolm",F143&amp;""&lt;&gt;""),IF(COUNTIFS($D$5:D142,"Malcolm",$F$5:F142,F143,$BE$5:BE142,1)=0,MAX($CD$5:CD142)+1,""),"")</f>
        <v/>
      </c>
      <c r="CE143" s="80" t="str">
        <f>IF(AND(BD143=1,D143="proMX",F143&amp;""&lt;&gt;""),IF(COUNTIFS($D$5:D142,"proMX",$F$5:F142,F143,$BD$5:BD142,1)=0,MAX($CE$5:CE142)+1,""),"")</f>
        <v/>
      </c>
      <c r="CF143" s="80" t="str">
        <f>IF(AND(D143="proMX",BD143=1),IF(OR(BF143="Draft",BF143="Submitted",BF143="Returned",BF143="Recall Requested"),MAX($CF$5:CF142)+1,""),"")</f>
        <v/>
      </c>
      <c r="CG143" s="80">
        <f>IF(BD143=0,0,IF(D143="Malcolm",1,MATCH(BF143,{"Draft","Submitted","Approved","Returned","Recall Requested","Cancelled"},0)+1))</f>
        <v>0</v>
      </c>
      <c r="CH143" s="80">
        <f>IF(AND(BF143="Submitted",ISNUMBER(V143)),IF(V143&gt;CFG_MAXD,1,0),0)</f>
        <v>0</v>
      </c>
    </row>
    <row r="144">
      <c r="A144" s="71" t="str">
        <f>IF(Y144=1,ROW()-5,"")</f>
        <v/>
      </c>
      <c r="B144" s="72" t="n"/>
      <c r="C144" s="71" t="str">
        <f>IF(ISNUMBER(B144),CHOOSE(WEEKDAY(B144,2),"Lun","Mar","Mié","Jue","Vie","Sáb","Dom"),"")</f>
        <v/>
      </c>
      <c r="D144" s="73" t="n"/>
      <c r="E144" s="74" t="n"/>
      <c r="F144" s="74" t="n"/>
      <c r="G144" s="74" t="n"/>
      <c r="H144" s="75" t="n"/>
      <c r="I144" s="75" t="n"/>
      <c r="J144" s="76" t="n"/>
      <c r="K144" s="77" t="str">
        <f>IF(AB144=1,ROUND(AG144/60,4),"")</f>
        <v/>
      </c>
      <c r="L144" s="77" t="str">
        <f>IF(BD144=1,ROUND(AP144/60,4),"")</f>
        <v/>
      </c>
      <c r="M144" s="77" t="str">
        <f>IF(BD144=1,ROUND(AQ144/60,4),"")</f>
        <v/>
      </c>
      <c r="N144" s="71" t="str">
        <f>IF(AND(D144="proMX",AB144=1),ROUND(AG144/CFG_BLK,2),"")</f>
        <v/>
      </c>
      <c r="O144" s="77" t="str">
        <f>IF(D144="proMX",IF(BD144=1,ROUND(AG144/60,4),0),"")</f>
        <v/>
      </c>
      <c r="P144" s="78" t="str">
        <f>IF(Y144=0,"",IF(BD144=1,"OK",IF(D144="proMX","Revisar bloques: ","Revisar: ")&amp;BC144))</f>
        <v/>
      </c>
      <c r="Q144" s="78" t="str">
        <f>IF(NOT(ISNUMBER(B144)),"",IF(COUNTIFS(FER_F,INT(B144))&gt;0,"Feriado"&amp;IF(AH144=1," (laborable)"," (no laborable)"),IF(AH144=1,"Laborable",IF(WEEKDAY(B144,2)&gt;5,"Fin de semana","No laborable"))))</f>
        <v/>
      </c>
      <c r="R144" s="73" t="n"/>
      <c r="S144" s="72" t="n"/>
      <c r="T144" s="72" t="n"/>
      <c r="U144" s="74" t="n"/>
      <c r="V144" s="79" t="str">
        <f>IF(AND(D144="proMX",OR(R144="Submitted",R144="Recall Requested"),ISNUMBER(S144)),CFG_TODAY-INT(S144),"")</f>
        <v/>
      </c>
      <c r="W144" s="78" t="str">
        <f>IF(BD144=0,"",IF(BA144&gt;0,"⚠ Se superpone con un registro de la otra empresa",IF(D144="Malcolm",IF(COUNTA(R144,S144,T144)&gt;0,"Estado/fechas proMX se ignoran en Malcolm",""),IF(BF144="Cancelled","Cancelado: excluido de totales",IF(R144="","Sin estado: se trata como Draft",IF(BF144="Submitted",IF(ISNUMBER(V144),IF(V144&gt;CFG_MAXD,"⚠ "&amp;V144&amp;" días en Submitted (máx. "&amp;CFG_MAXD&amp;")",""),"Falta fecha de envío"),IF(BF144="Returned","⚠ Devuelto: corregir y reenviar",IF(BF144="Recall Requested","Retirada solicitada: pendiente",IF(AND(BF144="Approved",NOT(ISNUMBER(T144))),"Falta fecha de aprobación",IF(AND(ISNUMBER(S144),ISNUMBER(T144),T144&lt;S144),"Aprobación anterior al envío","")))))))))</f>
        <v/>
      </c>
      <c r="Y144" s="80">
        <f>IF(COUNTA(B144,D144,E144,F144,G144,H144,I144,J144,R144,S144,T144)&gt;0,1,0)</f>
        <v>0</v>
      </c>
      <c r="Z144" s="80" t="str">
        <f>IF(AND(ISNUMBER(H144),H144&gt;=0,H144&lt;1),ROUND(H144*1440,0),"")</f>
        <v/>
      </c>
      <c r="AA144" s="80" t="str">
        <f>IF(AND(ISNUMBER(I144),I144&gt;=0,I144&lt;1),ROUND(I144*1440,0),"")</f>
        <v/>
      </c>
      <c r="AB144" s="80">
        <f>IF(AND(ISNUMBER(B144),D144&lt;&gt;"",ISNUMBER(Z144),ISNUMBER(AA144)),IF(Z144=AA144,0,1),0)</f>
        <v>0</v>
      </c>
      <c r="AC144" s="80">
        <f>IF(AB144=1,IF(AA144&lt;Z144,1,0),0)</f>
        <v>0</v>
      </c>
      <c r="AD144" s="80">
        <f>IF(AB144=1,IF(AC144=1,1440-Z144+AA144,AA144-Z144),0)</f>
        <v>0</v>
      </c>
      <c r="AE144" s="80">
        <f>IF(J144="",0,IF(ISNUMBER(J144),J144,-1))</f>
        <v>0</v>
      </c>
      <c r="AF144" s="80">
        <f>MIN(MAX(0,AE144),AD144)</f>
        <v>0</v>
      </c>
      <c r="AG144" s="80">
        <f>MAX(0,AD144-MAX(0,AE144))</f>
        <v>0</v>
      </c>
      <c r="AH144" s="80">
        <f>IF(ISNUMBER(B144),IF(AND(INDEX(CFG_WDAYS,WEEKDAY(INT(B144),2))="Sí",IF(D144="proMX",COUNTIFS(FER_F,INT(B144),FER_NLP,"Sí"),COUNTIFS(FER_F,INT(B144),FER_NLM,"Sí"))=0),1,0),0)</f>
        <v>0</v>
      </c>
      <c r="AI144" s="80">
        <f>IF(AC144=1,IF(AND(INDEX(CFG_WDAYS,WEEKDAY(INT(B144)+1,2))="Sí",IF(D144="proMX",COUNTIFS(FER_F,INT(B144)+1,FER_NLP,"Sí"),COUNTIFS(FER_F,INT(B144)+1,FER_NLM,"Sí"))=0),1,0),0)</f>
        <v>0</v>
      </c>
      <c r="AJ144" s="80">
        <f>IF(AC144=1,1440-Z144,AD144)</f>
        <v>0</v>
      </c>
      <c r="AK144" s="80">
        <f>IF(AND(AB144=1,AH144=1),MAX(0,MIN(IF(AC144=1,1440,AA144),CFG_WEM)-MAX(Z144,CFG_WSM)),0)</f>
        <v>0</v>
      </c>
      <c r="AL144" s="80">
        <f>IF(AND(AC144=1,AI144=1),MAX(0,MIN(AA144,CFG_WEM)-CFG_WSM),0)</f>
        <v>0</v>
      </c>
      <c r="AM144" s="80">
        <f>AK144+AL144</f>
        <v>0</v>
      </c>
      <c r="AN144" s="80">
        <f>IF(CFG_BRK="Proporcional",IF(AD144=0,0,AF144*AM144/AD144),IF(CFG_BRK="Extras primero",MIN(AM144,MAX(0,AF144-(AD144-AM144))),MIN(AF144,AM144)))</f>
        <v>0</v>
      </c>
      <c r="AO144" s="80">
        <f>AF144-AN144</f>
        <v>0</v>
      </c>
      <c r="AP144" s="80">
        <f>AM144-AN144</f>
        <v>0</v>
      </c>
      <c r="AQ144" s="80">
        <f>AD144-AM144-AO144</f>
        <v>0</v>
      </c>
      <c r="AR144" s="80">
        <f>IF(AM144=0,0,AK144-AN144*AK144/AM144)</f>
        <v>0</v>
      </c>
      <c r="AS144" s="80">
        <f>IF(AD144-AM144=0,0,(AJ144-AK144)-AO144*(AJ144-AK144)/(AD144-AM144))</f>
        <v>0</v>
      </c>
      <c r="AT144" s="80" t="str">
        <f>IF(AC144=1,INT(B144)+1,"")</f>
        <v/>
      </c>
      <c r="AU144" s="80">
        <f>IF(AND(D144="proMX",R144="Cancelled"),0,1)</f>
        <v>1</v>
      </c>
      <c r="AV144" s="80">
        <f>IF(AND(AB144=1,AU144=1),IF(COUNTIFS($D$5:D143,D144,$B$5:B143,B144,$Z$5:Z143,Z144,$AA$5:AA143,AA144,$F$5:F143,F144&amp;"",$AU$5:AU143,1)&gt;0,1,0),0)</f>
        <v>0</v>
      </c>
      <c r="AW144" s="80" t="str">
        <f>IF(AB144=1,INT(B144)*1440+Z144,"")</f>
        <v/>
      </c>
      <c r="AX144" s="80" t="str">
        <f>IF(AB144=1,AW144+AD144,"")</f>
        <v/>
      </c>
      <c r="AY144" s="80">
        <f>IF(AND(AB144=1,AV144=0,AU144=1),1,0)</f>
        <v>0</v>
      </c>
      <c r="AZ144" s="80">
        <f>IF(AY144=1,COUNTIFS(R_Emp,D144,R_SAbs,"&lt;"&amp;AX144,R_EAbs,"&gt;"&amp;AW144,R_OKey,1)-1,0)</f>
        <v>0</v>
      </c>
      <c r="BA144" s="80">
        <f>IF(AY144=1,COUNTIFS(R_Emp,"&lt;&gt;"&amp;D144,R_SAbs,"&lt;"&amp;AX144,R_EAbs,"&gt;"&amp;AW144,R_OKey,1),0)</f>
        <v>0</v>
      </c>
      <c r="BB144" s="80">
        <f>IF(AND(AB144=1,D144="proMX"),IF(AND(MOD(Z144,CFG_BLK)=0,MOD(AA144,CFG_BLK)=0,MOD(AG144,CFG_BLK)=0,AG144&gt;0),1,0),1)</f>
        <v>1</v>
      </c>
      <c r="BC144" s="80" t="str">
        <f>IF(Y144=0,"",IF(NOT(ISNUMBER(B144)),"Falta fecha o fecha inválida",IF(D144="","Falta empresa",IF(AND(D144&lt;&gt;"Malcolm",D144&lt;&gt;"proMX"),"Empresa inválida",IF(OR(INT(B144)&lt;CFG_PSTART,INT(B144)&gt;CFG_PEND),"Fecha fuera del período",IF(OR(NOT(ISNUMBER(Z144)),NOT(ISNUMBER(AA144))),"Falta hora inicio/fin o formato inválido",IF(AB144=0,"Hora inicio = hora fin",IF(AE144&lt;0,"Descanso inválido",IF(AE144&gt;=AD144,"Descanso ≥ duración",IF(AV144=1,"Registro duplicado",IF(AZ144&gt;0,"Se superpone con otro registro "&amp;D144,IF(BB144=0,"inicio, fin y duración neta deben ser múltiplos de "&amp;CFG_BLK&amp;" min",""))))))))))))</f>
        <v/>
      </c>
      <c r="BD144" s="80">
        <f>IF(AND(Y144=1,BC144=""),1,0)</f>
        <v>0</v>
      </c>
      <c r="BE144" s="80">
        <f>IF(AND(BD144=1,AU144=1),1,0)</f>
        <v>0</v>
      </c>
      <c r="BF144" s="80" t="str">
        <f>IF(AND(D144="proMX",BD144=1),IF(R144="","Draft",R144),"")</f>
        <v/>
      </c>
      <c r="BG144" s="80">
        <f>IF(BD144=1,ROUND(AG144/60,6),0)</f>
        <v>0</v>
      </c>
      <c r="BH144" s="80">
        <f>IF(BE144=1,ROUND(AG144/60,6),0)</f>
        <v>0</v>
      </c>
      <c r="BI144" s="80">
        <f>IF(BE144=1,ROUND(AP144/60,6),0)</f>
        <v>0</v>
      </c>
      <c r="BJ144" s="80">
        <f>IF(BE144=1,ROUND(AQ144/60,6),0)</f>
        <v>0</v>
      </c>
      <c r="BK144" s="80">
        <f>IF(BE144=1,ROUND((AR144+AS144)/60,6),0)</f>
        <v>0</v>
      </c>
      <c r="BL144" s="80">
        <f>ROUND(BH144-BK144,6)</f>
        <v>0</v>
      </c>
      <c r="BM144" s="80">
        <f>IF(BE144=1,ROUND(AR144/60,6),0)</f>
        <v>0</v>
      </c>
      <c r="BN144" s="80">
        <f>ROUND(BI144-BM144,6)</f>
        <v>0</v>
      </c>
      <c r="BO144" s="80">
        <f>IF(BE144=1,ROUND(AS144/60,6),0)</f>
        <v>0</v>
      </c>
      <c r="BP144" s="80">
        <f>ROUND(BJ144-BO144,6)</f>
        <v>0</v>
      </c>
      <c r="BQ144" s="80">
        <f>IF(BE144=1,AW144,0)</f>
        <v>0</v>
      </c>
      <c r="BR144" s="80">
        <f>IF(BE144=1,AX144,0)</f>
        <v>0</v>
      </c>
      <c r="BS144" s="80">
        <f>IF(AND(BE144=1,D144="Malcolm",BA144&gt;0),MIN(BH144,SUMPRODUCT((R_Emp="proMX")*(R_EN&gt;0)*((R_EN-(R_EN&gt;BR144)*(R_EN-BR144))&gt;(R_SN+(R_SN&lt;BQ144)*(BQ144-R_SN)))*((R_EN-(R_EN&gt;BR144)*(R_EN-BR144))-(R_SN+(R_SN&lt;BQ144)*(BQ144-R_SN))))/60),0)</f>
        <v>0</v>
      </c>
      <c r="BT144" s="80">
        <f>IF(AND(BE144=1,D144="proMX"),ROUND(BI144*CFG_RATE+BJ144*CFG_OTRATE,6),0)</f>
        <v>0</v>
      </c>
      <c r="BU144" s="80">
        <f>IF(AND(BD144=1,D144="proMX"),ROUND(AG144/CFG_BLK,6),0)</f>
        <v>0</v>
      </c>
      <c r="BV144" s="80" t="str">
        <f>IF(BF144="Approved",IF(ISNUMBER(T144),INT(T144),INT(B144)),"")</f>
        <v/>
      </c>
      <c r="BW144" s="80">
        <f>IF(ISNUMBER(B144),IF(DB_MON="Todos",1,IF(AND(INT(B144)&gt;=DB_MS,INT(B144)&lt;=DB_ME),1,0)),0)</f>
        <v>0</v>
      </c>
      <c r="BX144" s="80">
        <f>IF(DB_PROJ="Todos",1,IF(E144&amp;""=DB_PROJ&amp;"",1,0))</f>
        <v>1</v>
      </c>
      <c r="BY144" s="80">
        <f>BW144*BX144</f>
        <v>0</v>
      </c>
      <c r="BZ144" s="80" t="str">
        <f>IF(Y144=1,F144&amp;IF(AND(F144&amp;""&lt;&gt;"",E144&amp;""&lt;&gt;"")," · ","")&amp;E144,"")</f>
        <v/>
      </c>
      <c r="CA144" s="80" t="str">
        <f>IF(AND(BD144=1,E144&amp;""&lt;&gt;""),IF(COUNTIFS($E$5:E143,E144,$BD$5:BD143,1)=0,MAX($CA$5:CA143)+1,""),"")</f>
        <v/>
      </c>
      <c r="CB144" s="80" t="str">
        <f>IF(AND(BE144=1,D144="Malcolm",E144&amp;""&lt;&gt;""),IF(COUNTIFS($D$5:D143,"Malcolm",$E$5:E143,E144,$BE$5:BE143,1)=0,MAX($CB$5:CB143)+1,""),"")</f>
        <v/>
      </c>
      <c r="CC144" s="80" t="str">
        <f>IF(AND(BD144=1,D144="proMX",E144&amp;""&lt;&gt;""),IF(COUNTIFS($D$5:D143,"proMX",$E$5:E143,E144,$BD$5:BD143,1)=0,MAX($CC$5:CC143)+1,""),"")</f>
        <v/>
      </c>
      <c r="CD144" s="80" t="str">
        <f>IF(AND(BE144=1,D144="Malcolm",F144&amp;""&lt;&gt;""),IF(COUNTIFS($D$5:D143,"Malcolm",$F$5:F143,F144,$BE$5:BE143,1)=0,MAX($CD$5:CD143)+1,""),"")</f>
        <v/>
      </c>
      <c r="CE144" s="80" t="str">
        <f>IF(AND(BD144=1,D144="proMX",F144&amp;""&lt;&gt;""),IF(COUNTIFS($D$5:D143,"proMX",$F$5:F143,F144,$BD$5:BD143,1)=0,MAX($CE$5:CE143)+1,""),"")</f>
        <v/>
      </c>
      <c r="CF144" s="80" t="str">
        <f>IF(AND(D144="proMX",BD144=1),IF(OR(BF144="Draft",BF144="Submitted",BF144="Returned",BF144="Recall Requested"),MAX($CF$5:CF143)+1,""),"")</f>
        <v/>
      </c>
      <c r="CG144" s="80">
        <f>IF(BD144=0,0,IF(D144="Malcolm",1,MATCH(BF144,{"Draft","Submitted","Approved","Returned","Recall Requested","Cancelled"},0)+1))</f>
        <v>0</v>
      </c>
      <c r="CH144" s="80">
        <f>IF(AND(BF144="Submitted",ISNUMBER(V144)),IF(V144&gt;CFG_MAXD,1,0),0)</f>
        <v>0</v>
      </c>
    </row>
    <row r="145">
      <c r="A145" s="71" t="str">
        <f>IF(Y145=1,ROW()-5,"")</f>
        <v/>
      </c>
      <c r="B145" s="72" t="n"/>
      <c r="C145" s="71" t="str">
        <f>IF(ISNUMBER(B145),CHOOSE(WEEKDAY(B145,2),"Lun","Mar","Mié","Jue","Vie","Sáb","Dom"),"")</f>
        <v/>
      </c>
      <c r="D145" s="73" t="n"/>
      <c r="E145" s="74" t="n"/>
      <c r="F145" s="74" t="n"/>
      <c r="G145" s="74" t="n"/>
      <c r="H145" s="75" t="n"/>
      <c r="I145" s="75" t="n"/>
      <c r="J145" s="76" t="n"/>
      <c r="K145" s="77" t="str">
        <f>IF(AB145=1,ROUND(AG145/60,4),"")</f>
        <v/>
      </c>
      <c r="L145" s="77" t="str">
        <f>IF(BD145=1,ROUND(AP145/60,4),"")</f>
        <v/>
      </c>
      <c r="M145" s="77" t="str">
        <f>IF(BD145=1,ROUND(AQ145/60,4),"")</f>
        <v/>
      </c>
      <c r="N145" s="71" t="str">
        <f>IF(AND(D145="proMX",AB145=1),ROUND(AG145/CFG_BLK,2),"")</f>
        <v/>
      </c>
      <c r="O145" s="77" t="str">
        <f>IF(D145="proMX",IF(BD145=1,ROUND(AG145/60,4),0),"")</f>
        <v/>
      </c>
      <c r="P145" s="78" t="str">
        <f>IF(Y145=0,"",IF(BD145=1,"OK",IF(D145="proMX","Revisar bloques: ","Revisar: ")&amp;BC145))</f>
        <v/>
      </c>
      <c r="Q145" s="78" t="str">
        <f>IF(NOT(ISNUMBER(B145)),"",IF(COUNTIFS(FER_F,INT(B145))&gt;0,"Feriado"&amp;IF(AH145=1," (laborable)"," (no laborable)"),IF(AH145=1,"Laborable",IF(WEEKDAY(B145,2)&gt;5,"Fin de semana","No laborable"))))</f>
        <v/>
      </c>
      <c r="R145" s="73" t="n"/>
      <c r="S145" s="72" t="n"/>
      <c r="T145" s="72" t="n"/>
      <c r="U145" s="74" t="n"/>
      <c r="V145" s="79" t="str">
        <f>IF(AND(D145="proMX",OR(R145="Submitted",R145="Recall Requested"),ISNUMBER(S145)),CFG_TODAY-INT(S145),"")</f>
        <v/>
      </c>
      <c r="W145" s="78" t="str">
        <f>IF(BD145=0,"",IF(BA145&gt;0,"⚠ Se superpone con un registro de la otra empresa",IF(D145="Malcolm",IF(COUNTA(R145,S145,T145)&gt;0,"Estado/fechas proMX se ignoran en Malcolm",""),IF(BF145="Cancelled","Cancelado: excluido de totales",IF(R145="","Sin estado: se trata como Draft",IF(BF145="Submitted",IF(ISNUMBER(V145),IF(V145&gt;CFG_MAXD,"⚠ "&amp;V145&amp;" días en Submitted (máx. "&amp;CFG_MAXD&amp;")",""),"Falta fecha de envío"),IF(BF145="Returned","⚠ Devuelto: corregir y reenviar",IF(BF145="Recall Requested","Retirada solicitada: pendiente",IF(AND(BF145="Approved",NOT(ISNUMBER(T145))),"Falta fecha de aprobación",IF(AND(ISNUMBER(S145),ISNUMBER(T145),T145&lt;S145),"Aprobación anterior al envío","")))))))))</f>
        <v/>
      </c>
      <c r="Y145" s="80">
        <f>IF(COUNTA(B145,D145,E145,F145,G145,H145,I145,J145,R145,S145,T145)&gt;0,1,0)</f>
        <v>0</v>
      </c>
      <c r="Z145" s="80" t="str">
        <f>IF(AND(ISNUMBER(H145),H145&gt;=0,H145&lt;1),ROUND(H145*1440,0),"")</f>
        <v/>
      </c>
      <c r="AA145" s="80" t="str">
        <f>IF(AND(ISNUMBER(I145),I145&gt;=0,I145&lt;1),ROUND(I145*1440,0),"")</f>
        <v/>
      </c>
      <c r="AB145" s="80">
        <f>IF(AND(ISNUMBER(B145),D145&lt;&gt;"",ISNUMBER(Z145),ISNUMBER(AA145)),IF(Z145=AA145,0,1),0)</f>
        <v>0</v>
      </c>
      <c r="AC145" s="80">
        <f>IF(AB145=1,IF(AA145&lt;Z145,1,0),0)</f>
        <v>0</v>
      </c>
      <c r="AD145" s="80">
        <f>IF(AB145=1,IF(AC145=1,1440-Z145+AA145,AA145-Z145),0)</f>
        <v>0</v>
      </c>
      <c r="AE145" s="80">
        <f>IF(J145="",0,IF(ISNUMBER(J145),J145,-1))</f>
        <v>0</v>
      </c>
      <c r="AF145" s="80">
        <f>MIN(MAX(0,AE145),AD145)</f>
        <v>0</v>
      </c>
      <c r="AG145" s="80">
        <f>MAX(0,AD145-MAX(0,AE145))</f>
        <v>0</v>
      </c>
      <c r="AH145" s="80">
        <f>IF(ISNUMBER(B145),IF(AND(INDEX(CFG_WDAYS,WEEKDAY(INT(B145),2))="Sí",IF(D145="proMX",COUNTIFS(FER_F,INT(B145),FER_NLP,"Sí"),COUNTIFS(FER_F,INT(B145),FER_NLM,"Sí"))=0),1,0),0)</f>
        <v>0</v>
      </c>
      <c r="AI145" s="80">
        <f>IF(AC145=1,IF(AND(INDEX(CFG_WDAYS,WEEKDAY(INT(B145)+1,2))="Sí",IF(D145="proMX",COUNTIFS(FER_F,INT(B145)+1,FER_NLP,"Sí"),COUNTIFS(FER_F,INT(B145)+1,FER_NLM,"Sí"))=0),1,0),0)</f>
        <v>0</v>
      </c>
      <c r="AJ145" s="80">
        <f>IF(AC145=1,1440-Z145,AD145)</f>
        <v>0</v>
      </c>
      <c r="AK145" s="80">
        <f>IF(AND(AB145=1,AH145=1),MAX(0,MIN(IF(AC145=1,1440,AA145),CFG_WEM)-MAX(Z145,CFG_WSM)),0)</f>
        <v>0</v>
      </c>
      <c r="AL145" s="80">
        <f>IF(AND(AC145=1,AI145=1),MAX(0,MIN(AA145,CFG_WEM)-CFG_WSM),0)</f>
        <v>0</v>
      </c>
      <c r="AM145" s="80">
        <f>AK145+AL145</f>
        <v>0</v>
      </c>
      <c r="AN145" s="80">
        <f>IF(CFG_BRK="Proporcional",IF(AD145=0,0,AF145*AM145/AD145),IF(CFG_BRK="Extras primero",MIN(AM145,MAX(0,AF145-(AD145-AM145))),MIN(AF145,AM145)))</f>
        <v>0</v>
      </c>
      <c r="AO145" s="80">
        <f>AF145-AN145</f>
        <v>0</v>
      </c>
      <c r="AP145" s="80">
        <f>AM145-AN145</f>
        <v>0</v>
      </c>
      <c r="AQ145" s="80">
        <f>AD145-AM145-AO145</f>
        <v>0</v>
      </c>
      <c r="AR145" s="80">
        <f>IF(AM145=0,0,AK145-AN145*AK145/AM145)</f>
        <v>0</v>
      </c>
      <c r="AS145" s="80">
        <f>IF(AD145-AM145=0,0,(AJ145-AK145)-AO145*(AJ145-AK145)/(AD145-AM145))</f>
        <v>0</v>
      </c>
      <c r="AT145" s="80" t="str">
        <f>IF(AC145=1,INT(B145)+1,"")</f>
        <v/>
      </c>
      <c r="AU145" s="80">
        <f>IF(AND(D145="proMX",R145="Cancelled"),0,1)</f>
        <v>1</v>
      </c>
      <c r="AV145" s="80">
        <f>IF(AND(AB145=1,AU145=1),IF(COUNTIFS($D$5:D144,D145,$B$5:B144,B145,$Z$5:Z144,Z145,$AA$5:AA144,AA145,$F$5:F144,F145&amp;"",$AU$5:AU144,1)&gt;0,1,0),0)</f>
        <v>0</v>
      </c>
      <c r="AW145" s="80" t="str">
        <f>IF(AB145=1,INT(B145)*1440+Z145,"")</f>
        <v/>
      </c>
      <c r="AX145" s="80" t="str">
        <f>IF(AB145=1,AW145+AD145,"")</f>
        <v/>
      </c>
      <c r="AY145" s="80">
        <f>IF(AND(AB145=1,AV145=0,AU145=1),1,0)</f>
        <v>0</v>
      </c>
      <c r="AZ145" s="80">
        <f>IF(AY145=1,COUNTIFS(R_Emp,D145,R_SAbs,"&lt;"&amp;AX145,R_EAbs,"&gt;"&amp;AW145,R_OKey,1)-1,0)</f>
        <v>0</v>
      </c>
      <c r="BA145" s="80">
        <f>IF(AY145=1,COUNTIFS(R_Emp,"&lt;&gt;"&amp;D145,R_SAbs,"&lt;"&amp;AX145,R_EAbs,"&gt;"&amp;AW145,R_OKey,1),0)</f>
        <v>0</v>
      </c>
      <c r="BB145" s="80">
        <f>IF(AND(AB145=1,D145="proMX"),IF(AND(MOD(Z145,CFG_BLK)=0,MOD(AA145,CFG_BLK)=0,MOD(AG145,CFG_BLK)=0,AG145&gt;0),1,0),1)</f>
        <v>1</v>
      </c>
      <c r="BC145" s="80" t="str">
        <f>IF(Y145=0,"",IF(NOT(ISNUMBER(B145)),"Falta fecha o fecha inválida",IF(D145="","Falta empresa",IF(AND(D145&lt;&gt;"Malcolm",D145&lt;&gt;"proMX"),"Empresa inválida",IF(OR(INT(B145)&lt;CFG_PSTART,INT(B145)&gt;CFG_PEND),"Fecha fuera del período",IF(OR(NOT(ISNUMBER(Z145)),NOT(ISNUMBER(AA145))),"Falta hora inicio/fin o formato inválido",IF(AB145=0,"Hora inicio = hora fin",IF(AE145&lt;0,"Descanso inválido",IF(AE145&gt;=AD145,"Descanso ≥ duración",IF(AV145=1,"Registro duplicado",IF(AZ145&gt;0,"Se superpone con otro registro "&amp;D145,IF(BB145=0,"inicio, fin y duración neta deben ser múltiplos de "&amp;CFG_BLK&amp;" min",""))))))))))))</f>
        <v/>
      </c>
      <c r="BD145" s="80">
        <f>IF(AND(Y145=1,BC145=""),1,0)</f>
        <v>0</v>
      </c>
      <c r="BE145" s="80">
        <f>IF(AND(BD145=1,AU145=1),1,0)</f>
        <v>0</v>
      </c>
      <c r="BF145" s="80" t="str">
        <f>IF(AND(D145="proMX",BD145=1),IF(R145="","Draft",R145),"")</f>
        <v/>
      </c>
      <c r="BG145" s="80">
        <f>IF(BD145=1,ROUND(AG145/60,6),0)</f>
        <v>0</v>
      </c>
      <c r="BH145" s="80">
        <f>IF(BE145=1,ROUND(AG145/60,6),0)</f>
        <v>0</v>
      </c>
      <c r="BI145" s="80">
        <f>IF(BE145=1,ROUND(AP145/60,6),0)</f>
        <v>0</v>
      </c>
      <c r="BJ145" s="80">
        <f>IF(BE145=1,ROUND(AQ145/60,6),0)</f>
        <v>0</v>
      </c>
      <c r="BK145" s="80">
        <f>IF(BE145=1,ROUND((AR145+AS145)/60,6),0)</f>
        <v>0</v>
      </c>
      <c r="BL145" s="80">
        <f>ROUND(BH145-BK145,6)</f>
        <v>0</v>
      </c>
      <c r="BM145" s="80">
        <f>IF(BE145=1,ROUND(AR145/60,6),0)</f>
        <v>0</v>
      </c>
      <c r="BN145" s="80">
        <f>ROUND(BI145-BM145,6)</f>
        <v>0</v>
      </c>
      <c r="BO145" s="80">
        <f>IF(BE145=1,ROUND(AS145/60,6),0)</f>
        <v>0</v>
      </c>
      <c r="BP145" s="80">
        <f>ROUND(BJ145-BO145,6)</f>
        <v>0</v>
      </c>
      <c r="BQ145" s="80">
        <f>IF(BE145=1,AW145,0)</f>
        <v>0</v>
      </c>
      <c r="BR145" s="80">
        <f>IF(BE145=1,AX145,0)</f>
        <v>0</v>
      </c>
      <c r="BS145" s="80">
        <f>IF(AND(BE145=1,D145="Malcolm",BA145&gt;0),MIN(BH145,SUMPRODUCT((R_Emp="proMX")*(R_EN&gt;0)*((R_EN-(R_EN&gt;BR145)*(R_EN-BR145))&gt;(R_SN+(R_SN&lt;BQ145)*(BQ145-R_SN)))*((R_EN-(R_EN&gt;BR145)*(R_EN-BR145))-(R_SN+(R_SN&lt;BQ145)*(BQ145-R_SN))))/60),0)</f>
        <v>0</v>
      </c>
      <c r="BT145" s="80">
        <f>IF(AND(BE145=1,D145="proMX"),ROUND(BI145*CFG_RATE+BJ145*CFG_OTRATE,6),0)</f>
        <v>0</v>
      </c>
      <c r="BU145" s="80">
        <f>IF(AND(BD145=1,D145="proMX"),ROUND(AG145/CFG_BLK,6),0)</f>
        <v>0</v>
      </c>
      <c r="BV145" s="80" t="str">
        <f>IF(BF145="Approved",IF(ISNUMBER(T145),INT(T145),INT(B145)),"")</f>
        <v/>
      </c>
      <c r="BW145" s="80">
        <f>IF(ISNUMBER(B145),IF(DB_MON="Todos",1,IF(AND(INT(B145)&gt;=DB_MS,INT(B145)&lt;=DB_ME),1,0)),0)</f>
        <v>0</v>
      </c>
      <c r="BX145" s="80">
        <f>IF(DB_PROJ="Todos",1,IF(E145&amp;""=DB_PROJ&amp;"",1,0))</f>
        <v>1</v>
      </c>
      <c r="BY145" s="80">
        <f>BW145*BX145</f>
        <v>0</v>
      </c>
      <c r="BZ145" s="80" t="str">
        <f>IF(Y145=1,F145&amp;IF(AND(F145&amp;""&lt;&gt;"",E145&amp;""&lt;&gt;"")," · ","")&amp;E145,"")</f>
        <v/>
      </c>
      <c r="CA145" s="80" t="str">
        <f>IF(AND(BD145=1,E145&amp;""&lt;&gt;""),IF(COUNTIFS($E$5:E144,E145,$BD$5:BD144,1)=0,MAX($CA$5:CA144)+1,""),"")</f>
        <v/>
      </c>
      <c r="CB145" s="80" t="str">
        <f>IF(AND(BE145=1,D145="Malcolm",E145&amp;""&lt;&gt;""),IF(COUNTIFS($D$5:D144,"Malcolm",$E$5:E144,E145,$BE$5:BE144,1)=0,MAX($CB$5:CB144)+1,""),"")</f>
        <v/>
      </c>
      <c r="CC145" s="80" t="str">
        <f>IF(AND(BD145=1,D145="proMX",E145&amp;""&lt;&gt;""),IF(COUNTIFS($D$5:D144,"proMX",$E$5:E144,E145,$BD$5:BD144,1)=0,MAX($CC$5:CC144)+1,""),"")</f>
        <v/>
      </c>
      <c r="CD145" s="80" t="str">
        <f>IF(AND(BE145=1,D145="Malcolm",F145&amp;""&lt;&gt;""),IF(COUNTIFS($D$5:D144,"Malcolm",$F$5:F144,F145,$BE$5:BE144,1)=0,MAX($CD$5:CD144)+1,""),"")</f>
        <v/>
      </c>
      <c r="CE145" s="80" t="str">
        <f>IF(AND(BD145=1,D145="proMX",F145&amp;""&lt;&gt;""),IF(COUNTIFS($D$5:D144,"proMX",$F$5:F144,F145,$BD$5:BD144,1)=0,MAX($CE$5:CE144)+1,""),"")</f>
        <v/>
      </c>
      <c r="CF145" s="80" t="str">
        <f>IF(AND(D145="proMX",BD145=1),IF(OR(BF145="Draft",BF145="Submitted",BF145="Returned",BF145="Recall Requested"),MAX($CF$5:CF144)+1,""),"")</f>
        <v/>
      </c>
      <c r="CG145" s="80">
        <f>IF(BD145=0,0,IF(D145="Malcolm",1,MATCH(BF145,{"Draft","Submitted","Approved","Returned","Recall Requested","Cancelled"},0)+1))</f>
        <v>0</v>
      </c>
      <c r="CH145" s="80">
        <f>IF(AND(BF145="Submitted",ISNUMBER(V145)),IF(V145&gt;CFG_MAXD,1,0),0)</f>
        <v>0</v>
      </c>
    </row>
    <row r="146">
      <c r="A146" s="71" t="str">
        <f>IF(Y146=1,ROW()-5,"")</f>
        <v/>
      </c>
      <c r="B146" s="72" t="n"/>
      <c r="C146" s="71" t="str">
        <f>IF(ISNUMBER(B146),CHOOSE(WEEKDAY(B146,2),"Lun","Mar","Mié","Jue","Vie","Sáb","Dom"),"")</f>
        <v/>
      </c>
      <c r="D146" s="73" t="n"/>
      <c r="E146" s="74" t="n"/>
      <c r="F146" s="74" t="n"/>
      <c r="G146" s="74" t="n"/>
      <c r="H146" s="75" t="n"/>
      <c r="I146" s="75" t="n"/>
      <c r="J146" s="76" t="n"/>
      <c r="K146" s="77" t="str">
        <f>IF(AB146=1,ROUND(AG146/60,4),"")</f>
        <v/>
      </c>
      <c r="L146" s="77" t="str">
        <f>IF(BD146=1,ROUND(AP146/60,4),"")</f>
        <v/>
      </c>
      <c r="M146" s="77" t="str">
        <f>IF(BD146=1,ROUND(AQ146/60,4),"")</f>
        <v/>
      </c>
      <c r="N146" s="71" t="str">
        <f>IF(AND(D146="proMX",AB146=1),ROUND(AG146/CFG_BLK,2),"")</f>
        <v/>
      </c>
      <c r="O146" s="77" t="str">
        <f>IF(D146="proMX",IF(BD146=1,ROUND(AG146/60,4),0),"")</f>
        <v/>
      </c>
      <c r="P146" s="78" t="str">
        <f>IF(Y146=0,"",IF(BD146=1,"OK",IF(D146="proMX","Revisar bloques: ","Revisar: ")&amp;BC146))</f>
        <v/>
      </c>
      <c r="Q146" s="78" t="str">
        <f>IF(NOT(ISNUMBER(B146)),"",IF(COUNTIFS(FER_F,INT(B146))&gt;0,"Feriado"&amp;IF(AH146=1," (laborable)"," (no laborable)"),IF(AH146=1,"Laborable",IF(WEEKDAY(B146,2)&gt;5,"Fin de semana","No laborable"))))</f>
        <v/>
      </c>
      <c r="R146" s="73" t="n"/>
      <c r="S146" s="72" t="n"/>
      <c r="T146" s="72" t="n"/>
      <c r="U146" s="74" t="n"/>
      <c r="V146" s="79" t="str">
        <f>IF(AND(D146="proMX",OR(R146="Submitted",R146="Recall Requested"),ISNUMBER(S146)),CFG_TODAY-INT(S146),"")</f>
        <v/>
      </c>
      <c r="W146" s="78" t="str">
        <f>IF(BD146=0,"",IF(BA146&gt;0,"⚠ Se superpone con un registro de la otra empresa",IF(D146="Malcolm",IF(COUNTA(R146,S146,T146)&gt;0,"Estado/fechas proMX se ignoran en Malcolm",""),IF(BF146="Cancelled","Cancelado: excluido de totales",IF(R146="","Sin estado: se trata como Draft",IF(BF146="Submitted",IF(ISNUMBER(V146),IF(V146&gt;CFG_MAXD,"⚠ "&amp;V146&amp;" días en Submitted (máx. "&amp;CFG_MAXD&amp;")",""),"Falta fecha de envío"),IF(BF146="Returned","⚠ Devuelto: corregir y reenviar",IF(BF146="Recall Requested","Retirada solicitada: pendiente",IF(AND(BF146="Approved",NOT(ISNUMBER(T146))),"Falta fecha de aprobación",IF(AND(ISNUMBER(S146),ISNUMBER(T146),T146&lt;S146),"Aprobación anterior al envío","")))))))))</f>
        <v/>
      </c>
      <c r="Y146" s="80">
        <f>IF(COUNTA(B146,D146,E146,F146,G146,H146,I146,J146,R146,S146,T146)&gt;0,1,0)</f>
        <v>0</v>
      </c>
      <c r="Z146" s="80" t="str">
        <f>IF(AND(ISNUMBER(H146),H146&gt;=0,H146&lt;1),ROUND(H146*1440,0),"")</f>
        <v/>
      </c>
      <c r="AA146" s="80" t="str">
        <f>IF(AND(ISNUMBER(I146),I146&gt;=0,I146&lt;1),ROUND(I146*1440,0),"")</f>
        <v/>
      </c>
      <c r="AB146" s="80">
        <f>IF(AND(ISNUMBER(B146),D146&lt;&gt;"",ISNUMBER(Z146),ISNUMBER(AA146)),IF(Z146=AA146,0,1),0)</f>
        <v>0</v>
      </c>
      <c r="AC146" s="80">
        <f>IF(AB146=1,IF(AA146&lt;Z146,1,0),0)</f>
        <v>0</v>
      </c>
      <c r="AD146" s="80">
        <f>IF(AB146=1,IF(AC146=1,1440-Z146+AA146,AA146-Z146),0)</f>
        <v>0</v>
      </c>
      <c r="AE146" s="80">
        <f>IF(J146="",0,IF(ISNUMBER(J146),J146,-1))</f>
        <v>0</v>
      </c>
      <c r="AF146" s="80">
        <f>MIN(MAX(0,AE146),AD146)</f>
        <v>0</v>
      </c>
      <c r="AG146" s="80">
        <f>MAX(0,AD146-MAX(0,AE146))</f>
        <v>0</v>
      </c>
      <c r="AH146" s="80">
        <f>IF(ISNUMBER(B146),IF(AND(INDEX(CFG_WDAYS,WEEKDAY(INT(B146),2))="Sí",IF(D146="proMX",COUNTIFS(FER_F,INT(B146),FER_NLP,"Sí"),COUNTIFS(FER_F,INT(B146),FER_NLM,"Sí"))=0),1,0),0)</f>
        <v>0</v>
      </c>
      <c r="AI146" s="80">
        <f>IF(AC146=1,IF(AND(INDEX(CFG_WDAYS,WEEKDAY(INT(B146)+1,2))="Sí",IF(D146="proMX",COUNTIFS(FER_F,INT(B146)+1,FER_NLP,"Sí"),COUNTIFS(FER_F,INT(B146)+1,FER_NLM,"Sí"))=0),1,0),0)</f>
        <v>0</v>
      </c>
      <c r="AJ146" s="80">
        <f>IF(AC146=1,1440-Z146,AD146)</f>
        <v>0</v>
      </c>
      <c r="AK146" s="80">
        <f>IF(AND(AB146=1,AH146=1),MAX(0,MIN(IF(AC146=1,1440,AA146),CFG_WEM)-MAX(Z146,CFG_WSM)),0)</f>
        <v>0</v>
      </c>
      <c r="AL146" s="80">
        <f>IF(AND(AC146=1,AI146=1),MAX(0,MIN(AA146,CFG_WEM)-CFG_WSM),0)</f>
        <v>0</v>
      </c>
      <c r="AM146" s="80">
        <f>AK146+AL146</f>
        <v>0</v>
      </c>
      <c r="AN146" s="80">
        <f>IF(CFG_BRK="Proporcional",IF(AD146=0,0,AF146*AM146/AD146),IF(CFG_BRK="Extras primero",MIN(AM146,MAX(0,AF146-(AD146-AM146))),MIN(AF146,AM146)))</f>
        <v>0</v>
      </c>
      <c r="AO146" s="80">
        <f>AF146-AN146</f>
        <v>0</v>
      </c>
      <c r="AP146" s="80">
        <f>AM146-AN146</f>
        <v>0</v>
      </c>
      <c r="AQ146" s="80">
        <f>AD146-AM146-AO146</f>
        <v>0</v>
      </c>
      <c r="AR146" s="80">
        <f>IF(AM146=0,0,AK146-AN146*AK146/AM146)</f>
        <v>0</v>
      </c>
      <c r="AS146" s="80">
        <f>IF(AD146-AM146=0,0,(AJ146-AK146)-AO146*(AJ146-AK146)/(AD146-AM146))</f>
        <v>0</v>
      </c>
      <c r="AT146" s="80" t="str">
        <f>IF(AC146=1,INT(B146)+1,"")</f>
        <v/>
      </c>
      <c r="AU146" s="80">
        <f>IF(AND(D146="proMX",R146="Cancelled"),0,1)</f>
        <v>1</v>
      </c>
      <c r="AV146" s="80">
        <f>IF(AND(AB146=1,AU146=1),IF(COUNTIFS($D$5:D145,D146,$B$5:B145,B146,$Z$5:Z145,Z146,$AA$5:AA145,AA146,$F$5:F145,F146&amp;"",$AU$5:AU145,1)&gt;0,1,0),0)</f>
        <v>0</v>
      </c>
      <c r="AW146" s="80" t="str">
        <f>IF(AB146=1,INT(B146)*1440+Z146,"")</f>
        <v/>
      </c>
      <c r="AX146" s="80" t="str">
        <f>IF(AB146=1,AW146+AD146,"")</f>
        <v/>
      </c>
      <c r="AY146" s="80">
        <f>IF(AND(AB146=1,AV146=0,AU146=1),1,0)</f>
        <v>0</v>
      </c>
      <c r="AZ146" s="80">
        <f>IF(AY146=1,COUNTIFS(R_Emp,D146,R_SAbs,"&lt;"&amp;AX146,R_EAbs,"&gt;"&amp;AW146,R_OKey,1)-1,0)</f>
        <v>0</v>
      </c>
      <c r="BA146" s="80">
        <f>IF(AY146=1,COUNTIFS(R_Emp,"&lt;&gt;"&amp;D146,R_SAbs,"&lt;"&amp;AX146,R_EAbs,"&gt;"&amp;AW146,R_OKey,1),0)</f>
        <v>0</v>
      </c>
      <c r="BB146" s="80">
        <f>IF(AND(AB146=1,D146="proMX"),IF(AND(MOD(Z146,CFG_BLK)=0,MOD(AA146,CFG_BLK)=0,MOD(AG146,CFG_BLK)=0,AG146&gt;0),1,0),1)</f>
        <v>1</v>
      </c>
      <c r="BC146" s="80" t="str">
        <f>IF(Y146=0,"",IF(NOT(ISNUMBER(B146)),"Falta fecha o fecha inválida",IF(D146="","Falta empresa",IF(AND(D146&lt;&gt;"Malcolm",D146&lt;&gt;"proMX"),"Empresa inválida",IF(OR(INT(B146)&lt;CFG_PSTART,INT(B146)&gt;CFG_PEND),"Fecha fuera del período",IF(OR(NOT(ISNUMBER(Z146)),NOT(ISNUMBER(AA146))),"Falta hora inicio/fin o formato inválido",IF(AB146=0,"Hora inicio = hora fin",IF(AE146&lt;0,"Descanso inválido",IF(AE146&gt;=AD146,"Descanso ≥ duración",IF(AV146=1,"Registro duplicado",IF(AZ146&gt;0,"Se superpone con otro registro "&amp;D146,IF(BB146=0,"inicio, fin y duración neta deben ser múltiplos de "&amp;CFG_BLK&amp;" min",""))))))))))))</f>
        <v/>
      </c>
      <c r="BD146" s="80">
        <f>IF(AND(Y146=1,BC146=""),1,0)</f>
        <v>0</v>
      </c>
      <c r="BE146" s="80">
        <f>IF(AND(BD146=1,AU146=1),1,0)</f>
        <v>0</v>
      </c>
      <c r="BF146" s="80" t="str">
        <f>IF(AND(D146="proMX",BD146=1),IF(R146="","Draft",R146),"")</f>
        <v/>
      </c>
      <c r="BG146" s="80">
        <f>IF(BD146=1,ROUND(AG146/60,6),0)</f>
        <v>0</v>
      </c>
      <c r="BH146" s="80">
        <f>IF(BE146=1,ROUND(AG146/60,6),0)</f>
        <v>0</v>
      </c>
      <c r="BI146" s="80">
        <f>IF(BE146=1,ROUND(AP146/60,6),0)</f>
        <v>0</v>
      </c>
      <c r="BJ146" s="80">
        <f>IF(BE146=1,ROUND(AQ146/60,6),0)</f>
        <v>0</v>
      </c>
      <c r="BK146" s="80">
        <f>IF(BE146=1,ROUND((AR146+AS146)/60,6),0)</f>
        <v>0</v>
      </c>
      <c r="BL146" s="80">
        <f>ROUND(BH146-BK146,6)</f>
        <v>0</v>
      </c>
      <c r="BM146" s="80">
        <f>IF(BE146=1,ROUND(AR146/60,6),0)</f>
        <v>0</v>
      </c>
      <c r="BN146" s="80">
        <f>ROUND(BI146-BM146,6)</f>
        <v>0</v>
      </c>
      <c r="BO146" s="80">
        <f>IF(BE146=1,ROUND(AS146/60,6),0)</f>
        <v>0</v>
      </c>
      <c r="BP146" s="80">
        <f>ROUND(BJ146-BO146,6)</f>
        <v>0</v>
      </c>
      <c r="BQ146" s="80">
        <f>IF(BE146=1,AW146,0)</f>
        <v>0</v>
      </c>
      <c r="BR146" s="80">
        <f>IF(BE146=1,AX146,0)</f>
        <v>0</v>
      </c>
      <c r="BS146" s="80">
        <f>IF(AND(BE146=1,D146="Malcolm",BA146&gt;0),MIN(BH146,SUMPRODUCT((R_Emp="proMX")*(R_EN&gt;0)*((R_EN-(R_EN&gt;BR146)*(R_EN-BR146))&gt;(R_SN+(R_SN&lt;BQ146)*(BQ146-R_SN)))*((R_EN-(R_EN&gt;BR146)*(R_EN-BR146))-(R_SN+(R_SN&lt;BQ146)*(BQ146-R_SN))))/60),0)</f>
        <v>0</v>
      </c>
      <c r="BT146" s="80">
        <f>IF(AND(BE146=1,D146="proMX"),ROUND(BI146*CFG_RATE+BJ146*CFG_OTRATE,6),0)</f>
        <v>0</v>
      </c>
      <c r="BU146" s="80">
        <f>IF(AND(BD146=1,D146="proMX"),ROUND(AG146/CFG_BLK,6),0)</f>
        <v>0</v>
      </c>
      <c r="BV146" s="80" t="str">
        <f>IF(BF146="Approved",IF(ISNUMBER(T146),INT(T146),INT(B146)),"")</f>
        <v/>
      </c>
      <c r="BW146" s="80">
        <f>IF(ISNUMBER(B146),IF(DB_MON="Todos",1,IF(AND(INT(B146)&gt;=DB_MS,INT(B146)&lt;=DB_ME),1,0)),0)</f>
        <v>0</v>
      </c>
      <c r="BX146" s="80">
        <f>IF(DB_PROJ="Todos",1,IF(E146&amp;""=DB_PROJ&amp;"",1,0))</f>
        <v>1</v>
      </c>
      <c r="BY146" s="80">
        <f>BW146*BX146</f>
        <v>0</v>
      </c>
      <c r="BZ146" s="80" t="str">
        <f>IF(Y146=1,F146&amp;IF(AND(F146&amp;""&lt;&gt;"",E146&amp;""&lt;&gt;"")," · ","")&amp;E146,"")</f>
        <v/>
      </c>
      <c r="CA146" s="80" t="str">
        <f>IF(AND(BD146=1,E146&amp;""&lt;&gt;""),IF(COUNTIFS($E$5:E145,E146,$BD$5:BD145,1)=0,MAX($CA$5:CA145)+1,""),"")</f>
        <v/>
      </c>
      <c r="CB146" s="80" t="str">
        <f>IF(AND(BE146=1,D146="Malcolm",E146&amp;""&lt;&gt;""),IF(COUNTIFS($D$5:D145,"Malcolm",$E$5:E145,E146,$BE$5:BE145,1)=0,MAX($CB$5:CB145)+1,""),"")</f>
        <v/>
      </c>
      <c r="CC146" s="80" t="str">
        <f>IF(AND(BD146=1,D146="proMX",E146&amp;""&lt;&gt;""),IF(COUNTIFS($D$5:D145,"proMX",$E$5:E145,E146,$BD$5:BD145,1)=0,MAX($CC$5:CC145)+1,""),"")</f>
        <v/>
      </c>
      <c r="CD146" s="80" t="str">
        <f>IF(AND(BE146=1,D146="Malcolm",F146&amp;""&lt;&gt;""),IF(COUNTIFS($D$5:D145,"Malcolm",$F$5:F145,F146,$BE$5:BE145,1)=0,MAX($CD$5:CD145)+1,""),"")</f>
        <v/>
      </c>
      <c r="CE146" s="80" t="str">
        <f>IF(AND(BD146=1,D146="proMX",F146&amp;""&lt;&gt;""),IF(COUNTIFS($D$5:D145,"proMX",$F$5:F145,F146,$BD$5:BD145,1)=0,MAX($CE$5:CE145)+1,""),"")</f>
        <v/>
      </c>
      <c r="CF146" s="80" t="str">
        <f>IF(AND(D146="proMX",BD146=1),IF(OR(BF146="Draft",BF146="Submitted",BF146="Returned",BF146="Recall Requested"),MAX($CF$5:CF145)+1,""),"")</f>
        <v/>
      </c>
      <c r="CG146" s="80">
        <f>IF(BD146=0,0,IF(D146="Malcolm",1,MATCH(BF146,{"Draft","Submitted","Approved","Returned","Recall Requested","Cancelled"},0)+1))</f>
        <v>0</v>
      </c>
      <c r="CH146" s="80">
        <f>IF(AND(BF146="Submitted",ISNUMBER(V146)),IF(V146&gt;CFG_MAXD,1,0),0)</f>
        <v>0</v>
      </c>
    </row>
    <row r="147">
      <c r="A147" s="71" t="str">
        <f>IF(Y147=1,ROW()-5,"")</f>
        <v/>
      </c>
      <c r="B147" s="72" t="n"/>
      <c r="C147" s="71" t="str">
        <f>IF(ISNUMBER(B147),CHOOSE(WEEKDAY(B147,2),"Lun","Mar","Mié","Jue","Vie","Sáb","Dom"),"")</f>
        <v/>
      </c>
      <c r="D147" s="73" t="n"/>
      <c r="E147" s="74" t="n"/>
      <c r="F147" s="74" t="n"/>
      <c r="G147" s="74" t="n"/>
      <c r="H147" s="75" t="n"/>
      <c r="I147" s="75" t="n"/>
      <c r="J147" s="76" t="n"/>
      <c r="K147" s="77" t="str">
        <f>IF(AB147=1,ROUND(AG147/60,4),"")</f>
        <v/>
      </c>
      <c r="L147" s="77" t="str">
        <f>IF(BD147=1,ROUND(AP147/60,4),"")</f>
        <v/>
      </c>
      <c r="M147" s="77" t="str">
        <f>IF(BD147=1,ROUND(AQ147/60,4),"")</f>
        <v/>
      </c>
      <c r="N147" s="71" t="str">
        <f>IF(AND(D147="proMX",AB147=1),ROUND(AG147/CFG_BLK,2),"")</f>
        <v/>
      </c>
      <c r="O147" s="77" t="str">
        <f>IF(D147="proMX",IF(BD147=1,ROUND(AG147/60,4),0),"")</f>
        <v/>
      </c>
      <c r="P147" s="78" t="str">
        <f>IF(Y147=0,"",IF(BD147=1,"OK",IF(D147="proMX","Revisar bloques: ","Revisar: ")&amp;BC147))</f>
        <v/>
      </c>
      <c r="Q147" s="78" t="str">
        <f>IF(NOT(ISNUMBER(B147)),"",IF(COUNTIFS(FER_F,INT(B147))&gt;0,"Feriado"&amp;IF(AH147=1," (laborable)"," (no laborable)"),IF(AH147=1,"Laborable",IF(WEEKDAY(B147,2)&gt;5,"Fin de semana","No laborable"))))</f>
        <v/>
      </c>
      <c r="R147" s="73" t="n"/>
      <c r="S147" s="72" t="n"/>
      <c r="T147" s="72" t="n"/>
      <c r="U147" s="74" t="n"/>
      <c r="V147" s="79" t="str">
        <f>IF(AND(D147="proMX",OR(R147="Submitted",R147="Recall Requested"),ISNUMBER(S147)),CFG_TODAY-INT(S147),"")</f>
        <v/>
      </c>
      <c r="W147" s="78" t="str">
        <f>IF(BD147=0,"",IF(BA147&gt;0,"⚠ Se superpone con un registro de la otra empresa",IF(D147="Malcolm",IF(COUNTA(R147,S147,T147)&gt;0,"Estado/fechas proMX se ignoran en Malcolm",""),IF(BF147="Cancelled","Cancelado: excluido de totales",IF(R147="","Sin estado: se trata como Draft",IF(BF147="Submitted",IF(ISNUMBER(V147),IF(V147&gt;CFG_MAXD,"⚠ "&amp;V147&amp;" días en Submitted (máx. "&amp;CFG_MAXD&amp;")",""),"Falta fecha de envío"),IF(BF147="Returned","⚠ Devuelto: corregir y reenviar",IF(BF147="Recall Requested","Retirada solicitada: pendiente",IF(AND(BF147="Approved",NOT(ISNUMBER(T147))),"Falta fecha de aprobación",IF(AND(ISNUMBER(S147),ISNUMBER(T147),T147&lt;S147),"Aprobación anterior al envío","")))))))))</f>
        <v/>
      </c>
      <c r="Y147" s="80">
        <f>IF(COUNTA(B147,D147,E147,F147,G147,H147,I147,J147,R147,S147,T147)&gt;0,1,0)</f>
        <v>0</v>
      </c>
      <c r="Z147" s="80" t="str">
        <f>IF(AND(ISNUMBER(H147),H147&gt;=0,H147&lt;1),ROUND(H147*1440,0),"")</f>
        <v/>
      </c>
      <c r="AA147" s="80" t="str">
        <f>IF(AND(ISNUMBER(I147),I147&gt;=0,I147&lt;1),ROUND(I147*1440,0),"")</f>
        <v/>
      </c>
      <c r="AB147" s="80">
        <f>IF(AND(ISNUMBER(B147),D147&lt;&gt;"",ISNUMBER(Z147),ISNUMBER(AA147)),IF(Z147=AA147,0,1),0)</f>
        <v>0</v>
      </c>
      <c r="AC147" s="80">
        <f>IF(AB147=1,IF(AA147&lt;Z147,1,0),0)</f>
        <v>0</v>
      </c>
      <c r="AD147" s="80">
        <f>IF(AB147=1,IF(AC147=1,1440-Z147+AA147,AA147-Z147),0)</f>
        <v>0</v>
      </c>
      <c r="AE147" s="80">
        <f>IF(J147="",0,IF(ISNUMBER(J147),J147,-1))</f>
        <v>0</v>
      </c>
      <c r="AF147" s="80">
        <f>MIN(MAX(0,AE147),AD147)</f>
        <v>0</v>
      </c>
      <c r="AG147" s="80">
        <f>MAX(0,AD147-MAX(0,AE147))</f>
        <v>0</v>
      </c>
      <c r="AH147" s="80">
        <f>IF(ISNUMBER(B147),IF(AND(INDEX(CFG_WDAYS,WEEKDAY(INT(B147),2))="Sí",IF(D147="proMX",COUNTIFS(FER_F,INT(B147),FER_NLP,"Sí"),COUNTIFS(FER_F,INT(B147),FER_NLM,"Sí"))=0),1,0),0)</f>
        <v>0</v>
      </c>
      <c r="AI147" s="80">
        <f>IF(AC147=1,IF(AND(INDEX(CFG_WDAYS,WEEKDAY(INT(B147)+1,2))="Sí",IF(D147="proMX",COUNTIFS(FER_F,INT(B147)+1,FER_NLP,"Sí"),COUNTIFS(FER_F,INT(B147)+1,FER_NLM,"Sí"))=0),1,0),0)</f>
        <v>0</v>
      </c>
      <c r="AJ147" s="80">
        <f>IF(AC147=1,1440-Z147,AD147)</f>
        <v>0</v>
      </c>
      <c r="AK147" s="80">
        <f>IF(AND(AB147=1,AH147=1),MAX(0,MIN(IF(AC147=1,1440,AA147),CFG_WEM)-MAX(Z147,CFG_WSM)),0)</f>
        <v>0</v>
      </c>
      <c r="AL147" s="80">
        <f>IF(AND(AC147=1,AI147=1),MAX(0,MIN(AA147,CFG_WEM)-CFG_WSM),0)</f>
        <v>0</v>
      </c>
      <c r="AM147" s="80">
        <f>AK147+AL147</f>
        <v>0</v>
      </c>
      <c r="AN147" s="80">
        <f>IF(CFG_BRK="Proporcional",IF(AD147=0,0,AF147*AM147/AD147),IF(CFG_BRK="Extras primero",MIN(AM147,MAX(0,AF147-(AD147-AM147))),MIN(AF147,AM147)))</f>
        <v>0</v>
      </c>
      <c r="AO147" s="80">
        <f>AF147-AN147</f>
        <v>0</v>
      </c>
      <c r="AP147" s="80">
        <f>AM147-AN147</f>
        <v>0</v>
      </c>
      <c r="AQ147" s="80">
        <f>AD147-AM147-AO147</f>
        <v>0</v>
      </c>
      <c r="AR147" s="80">
        <f>IF(AM147=0,0,AK147-AN147*AK147/AM147)</f>
        <v>0</v>
      </c>
      <c r="AS147" s="80">
        <f>IF(AD147-AM147=0,0,(AJ147-AK147)-AO147*(AJ147-AK147)/(AD147-AM147))</f>
        <v>0</v>
      </c>
      <c r="AT147" s="80" t="str">
        <f>IF(AC147=1,INT(B147)+1,"")</f>
        <v/>
      </c>
      <c r="AU147" s="80">
        <f>IF(AND(D147="proMX",R147="Cancelled"),0,1)</f>
        <v>1</v>
      </c>
      <c r="AV147" s="80">
        <f>IF(AND(AB147=1,AU147=1),IF(COUNTIFS($D$5:D146,D147,$B$5:B146,B147,$Z$5:Z146,Z147,$AA$5:AA146,AA147,$F$5:F146,F147&amp;"",$AU$5:AU146,1)&gt;0,1,0),0)</f>
        <v>0</v>
      </c>
      <c r="AW147" s="80" t="str">
        <f>IF(AB147=1,INT(B147)*1440+Z147,"")</f>
        <v/>
      </c>
      <c r="AX147" s="80" t="str">
        <f>IF(AB147=1,AW147+AD147,"")</f>
        <v/>
      </c>
      <c r="AY147" s="80">
        <f>IF(AND(AB147=1,AV147=0,AU147=1),1,0)</f>
        <v>0</v>
      </c>
      <c r="AZ147" s="80">
        <f>IF(AY147=1,COUNTIFS(R_Emp,D147,R_SAbs,"&lt;"&amp;AX147,R_EAbs,"&gt;"&amp;AW147,R_OKey,1)-1,0)</f>
        <v>0</v>
      </c>
      <c r="BA147" s="80">
        <f>IF(AY147=1,COUNTIFS(R_Emp,"&lt;&gt;"&amp;D147,R_SAbs,"&lt;"&amp;AX147,R_EAbs,"&gt;"&amp;AW147,R_OKey,1),0)</f>
        <v>0</v>
      </c>
      <c r="BB147" s="80">
        <f>IF(AND(AB147=1,D147="proMX"),IF(AND(MOD(Z147,CFG_BLK)=0,MOD(AA147,CFG_BLK)=0,MOD(AG147,CFG_BLK)=0,AG147&gt;0),1,0),1)</f>
        <v>1</v>
      </c>
      <c r="BC147" s="80" t="str">
        <f>IF(Y147=0,"",IF(NOT(ISNUMBER(B147)),"Falta fecha o fecha inválida",IF(D147="","Falta empresa",IF(AND(D147&lt;&gt;"Malcolm",D147&lt;&gt;"proMX"),"Empresa inválida",IF(OR(INT(B147)&lt;CFG_PSTART,INT(B147)&gt;CFG_PEND),"Fecha fuera del período",IF(OR(NOT(ISNUMBER(Z147)),NOT(ISNUMBER(AA147))),"Falta hora inicio/fin o formato inválido",IF(AB147=0,"Hora inicio = hora fin",IF(AE147&lt;0,"Descanso inválido",IF(AE147&gt;=AD147,"Descanso ≥ duración",IF(AV147=1,"Registro duplicado",IF(AZ147&gt;0,"Se superpone con otro registro "&amp;D147,IF(BB147=0,"inicio, fin y duración neta deben ser múltiplos de "&amp;CFG_BLK&amp;" min",""))))))))))))</f>
        <v/>
      </c>
      <c r="BD147" s="80">
        <f>IF(AND(Y147=1,BC147=""),1,0)</f>
        <v>0</v>
      </c>
      <c r="BE147" s="80">
        <f>IF(AND(BD147=1,AU147=1),1,0)</f>
        <v>0</v>
      </c>
      <c r="BF147" s="80" t="str">
        <f>IF(AND(D147="proMX",BD147=1),IF(R147="","Draft",R147),"")</f>
        <v/>
      </c>
      <c r="BG147" s="80">
        <f>IF(BD147=1,ROUND(AG147/60,6),0)</f>
        <v>0</v>
      </c>
      <c r="BH147" s="80">
        <f>IF(BE147=1,ROUND(AG147/60,6),0)</f>
        <v>0</v>
      </c>
      <c r="BI147" s="80">
        <f>IF(BE147=1,ROUND(AP147/60,6),0)</f>
        <v>0</v>
      </c>
      <c r="BJ147" s="80">
        <f>IF(BE147=1,ROUND(AQ147/60,6),0)</f>
        <v>0</v>
      </c>
      <c r="BK147" s="80">
        <f>IF(BE147=1,ROUND((AR147+AS147)/60,6),0)</f>
        <v>0</v>
      </c>
      <c r="BL147" s="80">
        <f>ROUND(BH147-BK147,6)</f>
        <v>0</v>
      </c>
      <c r="BM147" s="80">
        <f>IF(BE147=1,ROUND(AR147/60,6),0)</f>
        <v>0</v>
      </c>
      <c r="BN147" s="80">
        <f>ROUND(BI147-BM147,6)</f>
        <v>0</v>
      </c>
      <c r="BO147" s="80">
        <f>IF(BE147=1,ROUND(AS147/60,6),0)</f>
        <v>0</v>
      </c>
      <c r="BP147" s="80">
        <f>ROUND(BJ147-BO147,6)</f>
        <v>0</v>
      </c>
      <c r="BQ147" s="80">
        <f>IF(BE147=1,AW147,0)</f>
        <v>0</v>
      </c>
      <c r="BR147" s="80">
        <f>IF(BE147=1,AX147,0)</f>
        <v>0</v>
      </c>
      <c r="BS147" s="80">
        <f>IF(AND(BE147=1,D147="Malcolm",BA147&gt;0),MIN(BH147,SUMPRODUCT((R_Emp="proMX")*(R_EN&gt;0)*((R_EN-(R_EN&gt;BR147)*(R_EN-BR147))&gt;(R_SN+(R_SN&lt;BQ147)*(BQ147-R_SN)))*((R_EN-(R_EN&gt;BR147)*(R_EN-BR147))-(R_SN+(R_SN&lt;BQ147)*(BQ147-R_SN))))/60),0)</f>
        <v>0</v>
      </c>
      <c r="BT147" s="80">
        <f>IF(AND(BE147=1,D147="proMX"),ROUND(BI147*CFG_RATE+BJ147*CFG_OTRATE,6),0)</f>
        <v>0</v>
      </c>
      <c r="BU147" s="80">
        <f>IF(AND(BD147=1,D147="proMX"),ROUND(AG147/CFG_BLK,6),0)</f>
        <v>0</v>
      </c>
      <c r="BV147" s="80" t="str">
        <f>IF(BF147="Approved",IF(ISNUMBER(T147),INT(T147),INT(B147)),"")</f>
        <v/>
      </c>
      <c r="BW147" s="80">
        <f>IF(ISNUMBER(B147),IF(DB_MON="Todos",1,IF(AND(INT(B147)&gt;=DB_MS,INT(B147)&lt;=DB_ME),1,0)),0)</f>
        <v>0</v>
      </c>
      <c r="BX147" s="80">
        <f>IF(DB_PROJ="Todos",1,IF(E147&amp;""=DB_PROJ&amp;"",1,0))</f>
        <v>1</v>
      </c>
      <c r="BY147" s="80">
        <f>BW147*BX147</f>
        <v>0</v>
      </c>
      <c r="BZ147" s="80" t="str">
        <f>IF(Y147=1,F147&amp;IF(AND(F147&amp;""&lt;&gt;"",E147&amp;""&lt;&gt;"")," · ","")&amp;E147,"")</f>
        <v/>
      </c>
      <c r="CA147" s="80" t="str">
        <f>IF(AND(BD147=1,E147&amp;""&lt;&gt;""),IF(COUNTIFS($E$5:E146,E147,$BD$5:BD146,1)=0,MAX($CA$5:CA146)+1,""),"")</f>
        <v/>
      </c>
      <c r="CB147" s="80" t="str">
        <f>IF(AND(BE147=1,D147="Malcolm",E147&amp;""&lt;&gt;""),IF(COUNTIFS($D$5:D146,"Malcolm",$E$5:E146,E147,$BE$5:BE146,1)=0,MAX($CB$5:CB146)+1,""),"")</f>
        <v/>
      </c>
      <c r="CC147" s="80" t="str">
        <f>IF(AND(BD147=1,D147="proMX",E147&amp;""&lt;&gt;""),IF(COUNTIFS($D$5:D146,"proMX",$E$5:E146,E147,$BD$5:BD146,1)=0,MAX($CC$5:CC146)+1,""),"")</f>
        <v/>
      </c>
      <c r="CD147" s="80" t="str">
        <f>IF(AND(BE147=1,D147="Malcolm",F147&amp;""&lt;&gt;""),IF(COUNTIFS($D$5:D146,"Malcolm",$F$5:F146,F147,$BE$5:BE146,1)=0,MAX($CD$5:CD146)+1,""),"")</f>
        <v/>
      </c>
      <c r="CE147" s="80" t="str">
        <f>IF(AND(BD147=1,D147="proMX",F147&amp;""&lt;&gt;""),IF(COUNTIFS($D$5:D146,"proMX",$F$5:F146,F147,$BD$5:BD146,1)=0,MAX($CE$5:CE146)+1,""),"")</f>
        <v/>
      </c>
      <c r="CF147" s="80" t="str">
        <f>IF(AND(D147="proMX",BD147=1),IF(OR(BF147="Draft",BF147="Submitted",BF147="Returned",BF147="Recall Requested"),MAX($CF$5:CF146)+1,""),"")</f>
        <v/>
      </c>
      <c r="CG147" s="80">
        <f>IF(BD147=0,0,IF(D147="Malcolm",1,MATCH(BF147,{"Draft","Submitted","Approved","Returned","Recall Requested","Cancelled"},0)+1))</f>
        <v>0</v>
      </c>
      <c r="CH147" s="80">
        <f>IF(AND(BF147="Submitted",ISNUMBER(V147)),IF(V147&gt;CFG_MAXD,1,0),0)</f>
        <v>0</v>
      </c>
    </row>
    <row r="148">
      <c r="A148" s="71" t="str">
        <f>IF(Y148=1,ROW()-5,"")</f>
        <v/>
      </c>
      <c r="B148" s="72" t="n"/>
      <c r="C148" s="71" t="str">
        <f>IF(ISNUMBER(B148),CHOOSE(WEEKDAY(B148,2),"Lun","Mar","Mié","Jue","Vie","Sáb","Dom"),"")</f>
        <v/>
      </c>
      <c r="D148" s="73" t="n"/>
      <c r="E148" s="74" t="n"/>
      <c r="F148" s="74" t="n"/>
      <c r="G148" s="74" t="n"/>
      <c r="H148" s="75" t="n"/>
      <c r="I148" s="75" t="n"/>
      <c r="J148" s="76" t="n"/>
      <c r="K148" s="77" t="str">
        <f>IF(AB148=1,ROUND(AG148/60,4),"")</f>
        <v/>
      </c>
      <c r="L148" s="77" t="str">
        <f>IF(BD148=1,ROUND(AP148/60,4),"")</f>
        <v/>
      </c>
      <c r="M148" s="77" t="str">
        <f>IF(BD148=1,ROUND(AQ148/60,4),"")</f>
        <v/>
      </c>
      <c r="N148" s="71" t="str">
        <f>IF(AND(D148="proMX",AB148=1),ROUND(AG148/CFG_BLK,2),"")</f>
        <v/>
      </c>
      <c r="O148" s="77" t="str">
        <f>IF(D148="proMX",IF(BD148=1,ROUND(AG148/60,4),0),"")</f>
        <v/>
      </c>
      <c r="P148" s="78" t="str">
        <f>IF(Y148=0,"",IF(BD148=1,"OK",IF(D148="proMX","Revisar bloques: ","Revisar: ")&amp;BC148))</f>
        <v/>
      </c>
      <c r="Q148" s="78" t="str">
        <f>IF(NOT(ISNUMBER(B148)),"",IF(COUNTIFS(FER_F,INT(B148))&gt;0,"Feriado"&amp;IF(AH148=1," (laborable)"," (no laborable)"),IF(AH148=1,"Laborable",IF(WEEKDAY(B148,2)&gt;5,"Fin de semana","No laborable"))))</f>
        <v/>
      </c>
      <c r="R148" s="73" t="n"/>
      <c r="S148" s="72" t="n"/>
      <c r="T148" s="72" t="n"/>
      <c r="U148" s="74" t="n"/>
      <c r="V148" s="79" t="str">
        <f>IF(AND(D148="proMX",OR(R148="Submitted",R148="Recall Requested"),ISNUMBER(S148)),CFG_TODAY-INT(S148),"")</f>
        <v/>
      </c>
      <c r="W148" s="78" t="str">
        <f>IF(BD148=0,"",IF(BA148&gt;0,"⚠ Se superpone con un registro de la otra empresa",IF(D148="Malcolm",IF(COUNTA(R148,S148,T148)&gt;0,"Estado/fechas proMX se ignoran en Malcolm",""),IF(BF148="Cancelled","Cancelado: excluido de totales",IF(R148="","Sin estado: se trata como Draft",IF(BF148="Submitted",IF(ISNUMBER(V148),IF(V148&gt;CFG_MAXD,"⚠ "&amp;V148&amp;" días en Submitted (máx. "&amp;CFG_MAXD&amp;")",""),"Falta fecha de envío"),IF(BF148="Returned","⚠ Devuelto: corregir y reenviar",IF(BF148="Recall Requested","Retirada solicitada: pendiente",IF(AND(BF148="Approved",NOT(ISNUMBER(T148))),"Falta fecha de aprobación",IF(AND(ISNUMBER(S148),ISNUMBER(T148),T148&lt;S148),"Aprobación anterior al envío","")))))))))</f>
        <v/>
      </c>
      <c r="Y148" s="80">
        <f>IF(COUNTA(B148,D148,E148,F148,G148,H148,I148,J148,R148,S148,T148)&gt;0,1,0)</f>
        <v>0</v>
      </c>
      <c r="Z148" s="80" t="str">
        <f>IF(AND(ISNUMBER(H148),H148&gt;=0,H148&lt;1),ROUND(H148*1440,0),"")</f>
        <v/>
      </c>
      <c r="AA148" s="80" t="str">
        <f>IF(AND(ISNUMBER(I148),I148&gt;=0,I148&lt;1),ROUND(I148*1440,0),"")</f>
        <v/>
      </c>
      <c r="AB148" s="80">
        <f>IF(AND(ISNUMBER(B148),D148&lt;&gt;"",ISNUMBER(Z148),ISNUMBER(AA148)),IF(Z148=AA148,0,1),0)</f>
        <v>0</v>
      </c>
      <c r="AC148" s="80">
        <f>IF(AB148=1,IF(AA148&lt;Z148,1,0),0)</f>
        <v>0</v>
      </c>
      <c r="AD148" s="80">
        <f>IF(AB148=1,IF(AC148=1,1440-Z148+AA148,AA148-Z148),0)</f>
        <v>0</v>
      </c>
      <c r="AE148" s="80">
        <f>IF(J148="",0,IF(ISNUMBER(J148),J148,-1))</f>
        <v>0</v>
      </c>
      <c r="AF148" s="80">
        <f>MIN(MAX(0,AE148),AD148)</f>
        <v>0</v>
      </c>
      <c r="AG148" s="80">
        <f>MAX(0,AD148-MAX(0,AE148))</f>
        <v>0</v>
      </c>
      <c r="AH148" s="80">
        <f>IF(ISNUMBER(B148),IF(AND(INDEX(CFG_WDAYS,WEEKDAY(INT(B148),2))="Sí",IF(D148="proMX",COUNTIFS(FER_F,INT(B148),FER_NLP,"Sí"),COUNTIFS(FER_F,INT(B148),FER_NLM,"Sí"))=0),1,0),0)</f>
        <v>0</v>
      </c>
      <c r="AI148" s="80">
        <f>IF(AC148=1,IF(AND(INDEX(CFG_WDAYS,WEEKDAY(INT(B148)+1,2))="Sí",IF(D148="proMX",COUNTIFS(FER_F,INT(B148)+1,FER_NLP,"Sí"),COUNTIFS(FER_F,INT(B148)+1,FER_NLM,"Sí"))=0),1,0),0)</f>
        <v>0</v>
      </c>
      <c r="AJ148" s="80">
        <f>IF(AC148=1,1440-Z148,AD148)</f>
        <v>0</v>
      </c>
      <c r="AK148" s="80">
        <f>IF(AND(AB148=1,AH148=1),MAX(0,MIN(IF(AC148=1,1440,AA148),CFG_WEM)-MAX(Z148,CFG_WSM)),0)</f>
        <v>0</v>
      </c>
      <c r="AL148" s="80">
        <f>IF(AND(AC148=1,AI148=1),MAX(0,MIN(AA148,CFG_WEM)-CFG_WSM),0)</f>
        <v>0</v>
      </c>
      <c r="AM148" s="80">
        <f>AK148+AL148</f>
        <v>0</v>
      </c>
      <c r="AN148" s="80">
        <f>IF(CFG_BRK="Proporcional",IF(AD148=0,0,AF148*AM148/AD148),IF(CFG_BRK="Extras primero",MIN(AM148,MAX(0,AF148-(AD148-AM148))),MIN(AF148,AM148)))</f>
        <v>0</v>
      </c>
      <c r="AO148" s="80">
        <f>AF148-AN148</f>
        <v>0</v>
      </c>
      <c r="AP148" s="80">
        <f>AM148-AN148</f>
        <v>0</v>
      </c>
      <c r="AQ148" s="80">
        <f>AD148-AM148-AO148</f>
        <v>0</v>
      </c>
      <c r="AR148" s="80">
        <f>IF(AM148=0,0,AK148-AN148*AK148/AM148)</f>
        <v>0</v>
      </c>
      <c r="AS148" s="80">
        <f>IF(AD148-AM148=0,0,(AJ148-AK148)-AO148*(AJ148-AK148)/(AD148-AM148))</f>
        <v>0</v>
      </c>
      <c r="AT148" s="80" t="str">
        <f>IF(AC148=1,INT(B148)+1,"")</f>
        <v/>
      </c>
      <c r="AU148" s="80">
        <f>IF(AND(D148="proMX",R148="Cancelled"),0,1)</f>
        <v>1</v>
      </c>
      <c r="AV148" s="80">
        <f>IF(AND(AB148=1,AU148=1),IF(COUNTIFS($D$5:D147,D148,$B$5:B147,B148,$Z$5:Z147,Z148,$AA$5:AA147,AA148,$F$5:F147,F148&amp;"",$AU$5:AU147,1)&gt;0,1,0),0)</f>
        <v>0</v>
      </c>
      <c r="AW148" s="80" t="str">
        <f>IF(AB148=1,INT(B148)*1440+Z148,"")</f>
        <v/>
      </c>
      <c r="AX148" s="80" t="str">
        <f>IF(AB148=1,AW148+AD148,"")</f>
        <v/>
      </c>
      <c r="AY148" s="80">
        <f>IF(AND(AB148=1,AV148=0,AU148=1),1,0)</f>
        <v>0</v>
      </c>
      <c r="AZ148" s="80">
        <f>IF(AY148=1,COUNTIFS(R_Emp,D148,R_SAbs,"&lt;"&amp;AX148,R_EAbs,"&gt;"&amp;AW148,R_OKey,1)-1,0)</f>
        <v>0</v>
      </c>
      <c r="BA148" s="80">
        <f>IF(AY148=1,COUNTIFS(R_Emp,"&lt;&gt;"&amp;D148,R_SAbs,"&lt;"&amp;AX148,R_EAbs,"&gt;"&amp;AW148,R_OKey,1),0)</f>
        <v>0</v>
      </c>
      <c r="BB148" s="80">
        <f>IF(AND(AB148=1,D148="proMX"),IF(AND(MOD(Z148,CFG_BLK)=0,MOD(AA148,CFG_BLK)=0,MOD(AG148,CFG_BLK)=0,AG148&gt;0),1,0),1)</f>
        <v>1</v>
      </c>
      <c r="BC148" s="80" t="str">
        <f>IF(Y148=0,"",IF(NOT(ISNUMBER(B148)),"Falta fecha o fecha inválida",IF(D148="","Falta empresa",IF(AND(D148&lt;&gt;"Malcolm",D148&lt;&gt;"proMX"),"Empresa inválida",IF(OR(INT(B148)&lt;CFG_PSTART,INT(B148)&gt;CFG_PEND),"Fecha fuera del período",IF(OR(NOT(ISNUMBER(Z148)),NOT(ISNUMBER(AA148))),"Falta hora inicio/fin o formato inválido",IF(AB148=0,"Hora inicio = hora fin",IF(AE148&lt;0,"Descanso inválido",IF(AE148&gt;=AD148,"Descanso ≥ duración",IF(AV148=1,"Registro duplicado",IF(AZ148&gt;0,"Se superpone con otro registro "&amp;D148,IF(BB148=0,"inicio, fin y duración neta deben ser múltiplos de "&amp;CFG_BLK&amp;" min",""))))))))))))</f>
        <v/>
      </c>
      <c r="BD148" s="80">
        <f>IF(AND(Y148=1,BC148=""),1,0)</f>
        <v>0</v>
      </c>
      <c r="BE148" s="80">
        <f>IF(AND(BD148=1,AU148=1),1,0)</f>
        <v>0</v>
      </c>
      <c r="BF148" s="80" t="str">
        <f>IF(AND(D148="proMX",BD148=1),IF(R148="","Draft",R148),"")</f>
        <v/>
      </c>
      <c r="BG148" s="80">
        <f>IF(BD148=1,ROUND(AG148/60,6),0)</f>
        <v>0</v>
      </c>
      <c r="BH148" s="80">
        <f>IF(BE148=1,ROUND(AG148/60,6),0)</f>
        <v>0</v>
      </c>
      <c r="BI148" s="80">
        <f>IF(BE148=1,ROUND(AP148/60,6),0)</f>
        <v>0</v>
      </c>
      <c r="BJ148" s="80">
        <f>IF(BE148=1,ROUND(AQ148/60,6),0)</f>
        <v>0</v>
      </c>
      <c r="BK148" s="80">
        <f>IF(BE148=1,ROUND((AR148+AS148)/60,6),0)</f>
        <v>0</v>
      </c>
      <c r="BL148" s="80">
        <f>ROUND(BH148-BK148,6)</f>
        <v>0</v>
      </c>
      <c r="BM148" s="80">
        <f>IF(BE148=1,ROUND(AR148/60,6),0)</f>
        <v>0</v>
      </c>
      <c r="BN148" s="80">
        <f>ROUND(BI148-BM148,6)</f>
        <v>0</v>
      </c>
      <c r="BO148" s="80">
        <f>IF(BE148=1,ROUND(AS148/60,6),0)</f>
        <v>0</v>
      </c>
      <c r="BP148" s="80">
        <f>ROUND(BJ148-BO148,6)</f>
        <v>0</v>
      </c>
      <c r="BQ148" s="80">
        <f>IF(BE148=1,AW148,0)</f>
        <v>0</v>
      </c>
      <c r="BR148" s="80">
        <f>IF(BE148=1,AX148,0)</f>
        <v>0</v>
      </c>
      <c r="BS148" s="80">
        <f>IF(AND(BE148=1,D148="Malcolm",BA148&gt;0),MIN(BH148,SUMPRODUCT((R_Emp="proMX")*(R_EN&gt;0)*((R_EN-(R_EN&gt;BR148)*(R_EN-BR148))&gt;(R_SN+(R_SN&lt;BQ148)*(BQ148-R_SN)))*((R_EN-(R_EN&gt;BR148)*(R_EN-BR148))-(R_SN+(R_SN&lt;BQ148)*(BQ148-R_SN))))/60),0)</f>
        <v>0</v>
      </c>
      <c r="BT148" s="80">
        <f>IF(AND(BE148=1,D148="proMX"),ROUND(BI148*CFG_RATE+BJ148*CFG_OTRATE,6),0)</f>
        <v>0</v>
      </c>
      <c r="BU148" s="80">
        <f>IF(AND(BD148=1,D148="proMX"),ROUND(AG148/CFG_BLK,6),0)</f>
        <v>0</v>
      </c>
      <c r="BV148" s="80" t="str">
        <f>IF(BF148="Approved",IF(ISNUMBER(T148),INT(T148),INT(B148)),"")</f>
        <v/>
      </c>
      <c r="BW148" s="80">
        <f>IF(ISNUMBER(B148),IF(DB_MON="Todos",1,IF(AND(INT(B148)&gt;=DB_MS,INT(B148)&lt;=DB_ME),1,0)),0)</f>
        <v>0</v>
      </c>
      <c r="BX148" s="80">
        <f>IF(DB_PROJ="Todos",1,IF(E148&amp;""=DB_PROJ&amp;"",1,0))</f>
        <v>1</v>
      </c>
      <c r="BY148" s="80">
        <f>BW148*BX148</f>
        <v>0</v>
      </c>
      <c r="BZ148" s="80" t="str">
        <f>IF(Y148=1,F148&amp;IF(AND(F148&amp;""&lt;&gt;"",E148&amp;""&lt;&gt;"")," · ","")&amp;E148,"")</f>
        <v/>
      </c>
      <c r="CA148" s="80" t="str">
        <f>IF(AND(BD148=1,E148&amp;""&lt;&gt;""),IF(COUNTIFS($E$5:E147,E148,$BD$5:BD147,1)=0,MAX($CA$5:CA147)+1,""),"")</f>
        <v/>
      </c>
      <c r="CB148" s="80" t="str">
        <f>IF(AND(BE148=1,D148="Malcolm",E148&amp;""&lt;&gt;""),IF(COUNTIFS($D$5:D147,"Malcolm",$E$5:E147,E148,$BE$5:BE147,1)=0,MAX($CB$5:CB147)+1,""),"")</f>
        <v/>
      </c>
      <c r="CC148" s="80" t="str">
        <f>IF(AND(BD148=1,D148="proMX",E148&amp;""&lt;&gt;""),IF(COUNTIFS($D$5:D147,"proMX",$E$5:E147,E148,$BD$5:BD147,1)=0,MAX($CC$5:CC147)+1,""),"")</f>
        <v/>
      </c>
      <c r="CD148" s="80" t="str">
        <f>IF(AND(BE148=1,D148="Malcolm",F148&amp;""&lt;&gt;""),IF(COUNTIFS($D$5:D147,"Malcolm",$F$5:F147,F148,$BE$5:BE147,1)=0,MAX($CD$5:CD147)+1,""),"")</f>
        <v/>
      </c>
      <c r="CE148" s="80" t="str">
        <f>IF(AND(BD148=1,D148="proMX",F148&amp;""&lt;&gt;""),IF(COUNTIFS($D$5:D147,"proMX",$F$5:F147,F148,$BD$5:BD147,1)=0,MAX($CE$5:CE147)+1,""),"")</f>
        <v/>
      </c>
      <c r="CF148" s="80" t="str">
        <f>IF(AND(D148="proMX",BD148=1),IF(OR(BF148="Draft",BF148="Submitted",BF148="Returned",BF148="Recall Requested"),MAX($CF$5:CF147)+1,""),"")</f>
        <v/>
      </c>
      <c r="CG148" s="80">
        <f>IF(BD148=0,0,IF(D148="Malcolm",1,MATCH(BF148,{"Draft","Submitted","Approved","Returned","Recall Requested","Cancelled"},0)+1))</f>
        <v>0</v>
      </c>
      <c r="CH148" s="80">
        <f>IF(AND(BF148="Submitted",ISNUMBER(V148)),IF(V148&gt;CFG_MAXD,1,0),0)</f>
        <v>0</v>
      </c>
    </row>
    <row r="149">
      <c r="A149" s="71" t="str">
        <f>IF(Y149=1,ROW()-5,"")</f>
        <v/>
      </c>
      <c r="B149" s="72" t="n"/>
      <c r="C149" s="71" t="str">
        <f>IF(ISNUMBER(B149),CHOOSE(WEEKDAY(B149,2),"Lun","Mar","Mié","Jue","Vie","Sáb","Dom"),"")</f>
        <v/>
      </c>
      <c r="D149" s="73" t="n"/>
      <c r="E149" s="74" t="n"/>
      <c r="F149" s="74" t="n"/>
      <c r="G149" s="74" t="n"/>
      <c r="H149" s="75" t="n"/>
      <c r="I149" s="75" t="n"/>
      <c r="J149" s="76" t="n"/>
      <c r="K149" s="77" t="str">
        <f>IF(AB149=1,ROUND(AG149/60,4),"")</f>
        <v/>
      </c>
      <c r="L149" s="77" t="str">
        <f>IF(BD149=1,ROUND(AP149/60,4),"")</f>
        <v/>
      </c>
      <c r="M149" s="77" t="str">
        <f>IF(BD149=1,ROUND(AQ149/60,4),"")</f>
        <v/>
      </c>
      <c r="N149" s="71" t="str">
        <f>IF(AND(D149="proMX",AB149=1),ROUND(AG149/CFG_BLK,2),"")</f>
        <v/>
      </c>
      <c r="O149" s="77" t="str">
        <f>IF(D149="proMX",IF(BD149=1,ROUND(AG149/60,4),0),"")</f>
        <v/>
      </c>
      <c r="P149" s="78" t="str">
        <f>IF(Y149=0,"",IF(BD149=1,"OK",IF(D149="proMX","Revisar bloques: ","Revisar: ")&amp;BC149))</f>
        <v/>
      </c>
      <c r="Q149" s="78" t="str">
        <f>IF(NOT(ISNUMBER(B149)),"",IF(COUNTIFS(FER_F,INT(B149))&gt;0,"Feriado"&amp;IF(AH149=1," (laborable)"," (no laborable)"),IF(AH149=1,"Laborable",IF(WEEKDAY(B149,2)&gt;5,"Fin de semana","No laborable"))))</f>
        <v/>
      </c>
      <c r="R149" s="73" t="n"/>
      <c r="S149" s="72" t="n"/>
      <c r="T149" s="72" t="n"/>
      <c r="U149" s="74" t="n"/>
      <c r="V149" s="79" t="str">
        <f>IF(AND(D149="proMX",OR(R149="Submitted",R149="Recall Requested"),ISNUMBER(S149)),CFG_TODAY-INT(S149),"")</f>
        <v/>
      </c>
      <c r="W149" s="78" t="str">
        <f>IF(BD149=0,"",IF(BA149&gt;0,"⚠ Se superpone con un registro de la otra empresa",IF(D149="Malcolm",IF(COUNTA(R149,S149,T149)&gt;0,"Estado/fechas proMX se ignoran en Malcolm",""),IF(BF149="Cancelled","Cancelado: excluido de totales",IF(R149="","Sin estado: se trata como Draft",IF(BF149="Submitted",IF(ISNUMBER(V149),IF(V149&gt;CFG_MAXD,"⚠ "&amp;V149&amp;" días en Submitted (máx. "&amp;CFG_MAXD&amp;")",""),"Falta fecha de envío"),IF(BF149="Returned","⚠ Devuelto: corregir y reenviar",IF(BF149="Recall Requested","Retirada solicitada: pendiente",IF(AND(BF149="Approved",NOT(ISNUMBER(T149))),"Falta fecha de aprobación",IF(AND(ISNUMBER(S149),ISNUMBER(T149),T149&lt;S149),"Aprobación anterior al envío","")))))))))</f>
        <v/>
      </c>
      <c r="Y149" s="80">
        <f>IF(COUNTA(B149,D149,E149,F149,G149,H149,I149,J149,R149,S149,T149)&gt;0,1,0)</f>
        <v>0</v>
      </c>
      <c r="Z149" s="80" t="str">
        <f>IF(AND(ISNUMBER(H149),H149&gt;=0,H149&lt;1),ROUND(H149*1440,0),"")</f>
        <v/>
      </c>
      <c r="AA149" s="80" t="str">
        <f>IF(AND(ISNUMBER(I149),I149&gt;=0,I149&lt;1),ROUND(I149*1440,0),"")</f>
        <v/>
      </c>
      <c r="AB149" s="80">
        <f>IF(AND(ISNUMBER(B149),D149&lt;&gt;"",ISNUMBER(Z149),ISNUMBER(AA149)),IF(Z149=AA149,0,1),0)</f>
        <v>0</v>
      </c>
      <c r="AC149" s="80">
        <f>IF(AB149=1,IF(AA149&lt;Z149,1,0),0)</f>
        <v>0</v>
      </c>
      <c r="AD149" s="80">
        <f>IF(AB149=1,IF(AC149=1,1440-Z149+AA149,AA149-Z149),0)</f>
        <v>0</v>
      </c>
      <c r="AE149" s="80">
        <f>IF(J149="",0,IF(ISNUMBER(J149),J149,-1))</f>
        <v>0</v>
      </c>
      <c r="AF149" s="80">
        <f>MIN(MAX(0,AE149),AD149)</f>
        <v>0</v>
      </c>
      <c r="AG149" s="80">
        <f>MAX(0,AD149-MAX(0,AE149))</f>
        <v>0</v>
      </c>
      <c r="AH149" s="80">
        <f>IF(ISNUMBER(B149),IF(AND(INDEX(CFG_WDAYS,WEEKDAY(INT(B149),2))="Sí",IF(D149="proMX",COUNTIFS(FER_F,INT(B149),FER_NLP,"Sí"),COUNTIFS(FER_F,INT(B149),FER_NLM,"Sí"))=0),1,0),0)</f>
        <v>0</v>
      </c>
      <c r="AI149" s="80">
        <f>IF(AC149=1,IF(AND(INDEX(CFG_WDAYS,WEEKDAY(INT(B149)+1,2))="Sí",IF(D149="proMX",COUNTIFS(FER_F,INT(B149)+1,FER_NLP,"Sí"),COUNTIFS(FER_F,INT(B149)+1,FER_NLM,"Sí"))=0),1,0),0)</f>
        <v>0</v>
      </c>
      <c r="AJ149" s="80">
        <f>IF(AC149=1,1440-Z149,AD149)</f>
        <v>0</v>
      </c>
      <c r="AK149" s="80">
        <f>IF(AND(AB149=1,AH149=1),MAX(0,MIN(IF(AC149=1,1440,AA149),CFG_WEM)-MAX(Z149,CFG_WSM)),0)</f>
        <v>0</v>
      </c>
      <c r="AL149" s="80">
        <f>IF(AND(AC149=1,AI149=1),MAX(0,MIN(AA149,CFG_WEM)-CFG_WSM),0)</f>
        <v>0</v>
      </c>
      <c r="AM149" s="80">
        <f>AK149+AL149</f>
        <v>0</v>
      </c>
      <c r="AN149" s="80">
        <f>IF(CFG_BRK="Proporcional",IF(AD149=0,0,AF149*AM149/AD149),IF(CFG_BRK="Extras primero",MIN(AM149,MAX(0,AF149-(AD149-AM149))),MIN(AF149,AM149)))</f>
        <v>0</v>
      </c>
      <c r="AO149" s="80">
        <f>AF149-AN149</f>
        <v>0</v>
      </c>
      <c r="AP149" s="80">
        <f>AM149-AN149</f>
        <v>0</v>
      </c>
      <c r="AQ149" s="80">
        <f>AD149-AM149-AO149</f>
        <v>0</v>
      </c>
      <c r="AR149" s="80">
        <f>IF(AM149=0,0,AK149-AN149*AK149/AM149)</f>
        <v>0</v>
      </c>
      <c r="AS149" s="80">
        <f>IF(AD149-AM149=0,0,(AJ149-AK149)-AO149*(AJ149-AK149)/(AD149-AM149))</f>
        <v>0</v>
      </c>
      <c r="AT149" s="80" t="str">
        <f>IF(AC149=1,INT(B149)+1,"")</f>
        <v/>
      </c>
      <c r="AU149" s="80">
        <f>IF(AND(D149="proMX",R149="Cancelled"),0,1)</f>
        <v>1</v>
      </c>
      <c r="AV149" s="80">
        <f>IF(AND(AB149=1,AU149=1),IF(COUNTIFS($D$5:D148,D149,$B$5:B148,B149,$Z$5:Z148,Z149,$AA$5:AA148,AA149,$F$5:F148,F149&amp;"",$AU$5:AU148,1)&gt;0,1,0),0)</f>
        <v>0</v>
      </c>
      <c r="AW149" s="80" t="str">
        <f>IF(AB149=1,INT(B149)*1440+Z149,"")</f>
        <v/>
      </c>
      <c r="AX149" s="80" t="str">
        <f>IF(AB149=1,AW149+AD149,"")</f>
        <v/>
      </c>
      <c r="AY149" s="80">
        <f>IF(AND(AB149=1,AV149=0,AU149=1),1,0)</f>
        <v>0</v>
      </c>
      <c r="AZ149" s="80">
        <f>IF(AY149=1,COUNTIFS(R_Emp,D149,R_SAbs,"&lt;"&amp;AX149,R_EAbs,"&gt;"&amp;AW149,R_OKey,1)-1,0)</f>
        <v>0</v>
      </c>
      <c r="BA149" s="80">
        <f>IF(AY149=1,COUNTIFS(R_Emp,"&lt;&gt;"&amp;D149,R_SAbs,"&lt;"&amp;AX149,R_EAbs,"&gt;"&amp;AW149,R_OKey,1),0)</f>
        <v>0</v>
      </c>
      <c r="BB149" s="80">
        <f>IF(AND(AB149=1,D149="proMX"),IF(AND(MOD(Z149,CFG_BLK)=0,MOD(AA149,CFG_BLK)=0,MOD(AG149,CFG_BLK)=0,AG149&gt;0),1,0),1)</f>
        <v>1</v>
      </c>
      <c r="BC149" s="80" t="str">
        <f>IF(Y149=0,"",IF(NOT(ISNUMBER(B149)),"Falta fecha o fecha inválida",IF(D149="","Falta empresa",IF(AND(D149&lt;&gt;"Malcolm",D149&lt;&gt;"proMX"),"Empresa inválida",IF(OR(INT(B149)&lt;CFG_PSTART,INT(B149)&gt;CFG_PEND),"Fecha fuera del período",IF(OR(NOT(ISNUMBER(Z149)),NOT(ISNUMBER(AA149))),"Falta hora inicio/fin o formato inválido",IF(AB149=0,"Hora inicio = hora fin",IF(AE149&lt;0,"Descanso inválido",IF(AE149&gt;=AD149,"Descanso ≥ duración",IF(AV149=1,"Registro duplicado",IF(AZ149&gt;0,"Se superpone con otro registro "&amp;D149,IF(BB149=0,"inicio, fin y duración neta deben ser múltiplos de "&amp;CFG_BLK&amp;" min",""))))))))))))</f>
        <v/>
      </c>
      <c r="BD149" s="80">
        <f>IF(AND(Y149=1,BC149=""),1,0)</f>
        <v>0</v>
      </c>
      <c r="BE149" s="80">
        <f>IF(AND(BD149=1,AU149=1),1,0)</f>
        <v>0</v>
      </c>
      <c r="BF149" s="80" t="str">
        <f>IF(AND(D149="proMX",BD149=1),IF(R149="","Draft",R149),"")</f>
        <v/>
      </c>
      <c r="BG149" s="80">
        <f>IF(BD149=1,ROUND(AG149/60,6),0)</f>
        <v>0</v>
      </c>
      <c r="BH149" s="80">
        <f>IF(BE149=1,ROUND(AG149/60,6),0)</f>
        <v>0</v>
      </c>
      <c r="BI149" s="80">
        <f>IF(BE149=1,ROUND(AP149/60,6),0)</f>
        <v>0</v>
      </c>
      <c r="BJ149" s="80">
        <f>IF(BE149=1,ROUND(AQ149/60,6),0)</f>
        <v>0</v>
      </c>
      <c r="BK149" s="80">
        <f>IF(BE149=1,ROUND((AR149+AS149)/60,6),0)</f>
        <v>0</v>
      </c>
      <c r="BL149" s="80">
        <f>ROUND(BH149-BK149,6)</f>
        <v>0</v>
      </c>
      <c r="BM149" s="80">
        <f>IF(BE149=1,ROUND(AR149/60,6),0)</f>
        <v>0</v>
      </c>
      <c r="BN149" s="80">
        <f>ROUND(BI149-BM149,6)</f>
        <v>0</v>
      </c>
      <c r="BO149" s="80">
        <f>IF(BE149=1,ROUND(AS149/60,6),0)</f>
        <v>0</v>
      </c>
      <c r="BP149" s="80">
        <f>ROUND(BJ149-BO149,6)</f>
        <v>0</v>
      </c>
      <c r="BQ149" s="80">
        <f>IF(BE149=1,AW149,0)</f>
        <v>0</v>
      </c>
      <c r="BR149" s="80">
        <f>IF(BE149=1,AX149,0)</f>
        <v>0</v>
      </c>
      <c r="BS149" s="80">
        <f>IF(AND(BE149=1,D149="Malcolm",BA149&gt;0),MIN(BH149,SUMPRODUCT((R_Emp="proMX")*(R_EN&gt;0)*((R_EN-(R_EN&gt;BR149)*(R_EN-BR149))&gt;(R_SN+(R_SN&lt;BQ149)*(BQ149-R_SN)))*((R_EN-(R_EN&gt;BR149)*(R_EN-BR149))-(R_SN+(R_SN&lt;BQ149)*(BQ149-R_SN))))/60),0)</f>
        <v>0</v>
      </c>
      <c r="BT149" s="80">
        <f>IF(AND(BE149=1,D149="proMX"),ROUND(BI149*CFG_RATE+BJ149*CFG_OTRATE,6),0)</f>
        <v>0</v>
      </c>
      <c r="BU149" s="80">
        <f>IF(AND(BD149=1,D149="proMX"),ROUND(AG149/CFG_BLK,6),0)</f>
        <v>0</v>
      </c>
      <c r="BV149" s="80" t="str">
        <f>IF(BF149="Approved",IF(ISNUMBER(T149),INT(T149),INT(B149)),"")</f>
        <v/>
      </c>
      <c r="BW149" s="80">
        <f>IF(ISNUMBER(B149),IF(DB_MON="Todos",1,IF(AND(INT(B149)&gt;=DB_MS,INT(B149)&lt;=DB_ME),1,0)),0)</f>
        <v>0</v>
      </c>
      <c r="BX149" s="80">
        <f>IF(DB_PROJ="Todos",1,IF(E149&amp;""=DB_PROJ&amp;"",1,0))</f>
        <v>1</v>
      </c>
      <c r="BY149" s="80">
        <f>BW149*BX149</f>
        <v>0</v>
      </c>
      <c r="BZ149" s="80" t="str">
        <f>IF(Y149=1,F149&amp;IF(AND(F149&amp;""&lt;&gt;"",E149&amp;""&lt;&gt;"")," · ","")&amp;E149,"")</f>
        <v/>
      </c>
      <c r="CA149" s="80" t="str">
        <f>IF(AND(BD149=1,E149&amp;""&lt;&gt;""),IF(COUNTIFS($E$5:E148,E149,$BD$5:BD148,1)=0,MAX($CA$5:CA148)+1,""),"")</f>
        <v/>
      </c>
      <c r="CB149" s="80" t="str">
        <f>IF(AND(BE149=1,D149="Malcolm",E149&amp;""&lt;&gt;""),IF(COUNTIFS($D$5:D148,"Malcolm",$E$5:E148,E149,$BE$5:BE148,1)=0,MAX($CB$5:CB148)+1,""),"")</f>
        <v/>
      </c>
      <c r="CC149" s="80" t="str">
        <f>IF(AND(BD149=1,D149="proMX",E149&amp;""&lt;&gt;""),IF(COUNTIFS($D$5:D148,"proMX",$E$5:E148,E149,$BD$5:BD148,1)=0,MAX($CC$5:CC148)+1,""),"")</f>
        <v/>
      </c>
      <c r="CD149" s="80" t="str">
        <f>IF(AND(BE149=1,D149="Malcolm",F149&amp;""&lt;&gt;""),IF(COUNTIFS($D$5:D148,"Malcolm",$F$5:F148,F149,$BE$5:BE148,1)=0,MAX($CD$5:CD148)+1,""),"")</f>
        <v/>
      </c>
      <c r="CE149" s="80" t="str">
        <f>IF(AND(BD149=1,D149="proMX",F149&amp;""&lt;&gt;""),IF(COUNTIFS($D$5:D148,"proMX",$F$5:F148,F149,$BD$5:BD148,1)=0,MAX($CE$5:CE148)+1,""),"")</f>
        <v/>
      </c>
      <c r="CF149" s="80" t="str">
        <f>IF(AND(D149="proMX",BD149=1),IF(OR(BF149="Draft",BF149="Submitted",BF149="Returned",BF149="Recall Requested"),MAX($CF$5:CF148)+1,""),"")</f>
        <v/>
      </c>
      <c r="CG149" s="80">
        <f>IF(BD149=0,0,IF(D149="Malcolm",1,MATCH(BF149,{"Draft","Submitted","Approved","Returned","Recall Requested","Cancelled"},0)+1))</f>
        <v>0</v>
      </c>
      <c r="CH149" s="80">
        <f>IF(AND(BF149="Submitted",ISNUMBER(V149)),IF(V149&gt;CFG_MAXD,1,0),0)</f>
        <v>0</v>
      </c>
    </row>
    <row r="150">
      <c r="A150" s="71" t="str">
        <f>IF(Y150=1,ROW()-5,"")</f>
        <v/>
      </c>
      <c r="B150" s="72" t="n"/>
      <c r="C150" s="71" t="str">
        <f>IF(ISNUMBER(B150),CHOOSE(WEEKDAY(B150,2),"Lun","Mar","Mié","Jue","Vie","Sáb","Dom"),"")</f>
        <v/>
      </c>
      <c r="D150" s="73" t="n"/>
      <c r="E150" s="74" t="n"/>
      <c r="F150" s="74" t="n"/>
      <c r="G150" s="74" t="n"/>
      <c r="H150" s="75" t="n"/>
      <c r="I150" s="75" t="n"/>
      <c r="J150" s="76" t="n"/>
      <c r="K150" s="77" t="str">
        <f>IF(AB150=1,ROUND(AG150/60,4),"")</f>
        <v/>
      </c>
      <c r="L150" s="77" t="str">
        <f>IF(BD150=1,ROUND(AP150/60,4),"")</f>
        <v/>
      </c>
      <c r="M150" s="77" t="str">
        <f>IF(BD150=1,ROUND(AQ150/60,4),"")</f>
        <v/>
      </c>
      <c r="N150" s="71" t="str">
        <f>IF(AND(D150="proMX",AB150=1),ROUND(AG150/CFG_BLK,2),"")</f>
        <v/>
      </c>
      <c r="O150" s="77" t="str">
        <f>IF(D150="proMX",IF(BD150=1,ROUND(AG150/60,4),0),"")</f>
        <v/>
      </c>
      <c r="P150" s="78" t="str">
        <f>IF(Y150=0,"",IF(BD150=1,"OK",IF(D150="proMX","Revisar bloques: ","Revisar: ")&amp;BC150))</f>
        <v/>
      </c>
      <c r="Q150" s="78" t="str">
        <f>IF(NOT(ISNUMBER(B150)),"",IF(COUNTIFS(FER_F,INT(B150))&gt;0,"Feriado"&amp;IF(AH150=1," (laborable)"," (no laborable)"),IF(AH150=1,"Laborable",IF(WEEKDAY(B150,2)&gt;5,"Fin de semana","No laborable"))))</f>
        <v/>
      </c>
      <c r="R150" s="73" t="n"/>
      <c r="S150" s="72" t="n"/>
      <c r="T150" s="72" t="n"/>
      <c r="U150" s="74" t="n"/>
      <c r="V150" s="79" t="str">
        <f>IF(AND(D150="proMX",OR(R150="Submitted",R150="Recall Requested"),ISNUMBER(S150)),CFG_TODAY-INT(S150),"")</f>
        <v/>
      </c>
      <c r="W150" s="78" t="str">
        <f>IF(BD150=0,"",IF(BA150&gt;0,"⚠ Se superpone con un registro de la otra empresa",IF(D150="Malcolm",IF(COUNTA(R150,S150,T150)&gt;0,"Estado/fechas proMX se ignoran en Malcolm",""),IF(BF150="Cancelled","Cancelado: excluido de totales",IF(R150="","Sin estado: se trata como Draft",IF(BF150="Submitted",IF(ISNUMBER(V150),IF(V150&gt;CFG_MAXD,"⚠ "&amp;V150&amp;" días en Submitted (máx. "&amp;CFG_MAXD&amp;")",""),"Falta fecha de envío"),IF(BF150="Returned","⚠ Devuelto: corregir y reenviar",IF(BF150="Recall Requested","Retirada solicitada: pendiente",IF(AND(BF150="Approved",NOT(ISNUMBER(T150))),"Falta fecha de aprobación",IF(AND(ISNUMBER(S150),ISNUMBER(T150),T150&lt;S150),"Aprobación anterior al envío","")))))))))</f>
        <v/>
      </c>
      <c r="Y150" s="80">
        <f>IF(COUNTA(B150,D150,E150,F150,G150,H150,I150,J150,R150,S150,T150)&gt;0,1,0)</f>
        <v>0</v>
      </c>
      <c r="Z150" s="80" t="str">
        <f>IF(AND(ISNUMBER(H150),H150&gt;=0,H150&lt;1),ROUND(H150*1440,0),"")</f>
        <v/>
      </c>
      <c r="AA150" s="80" t="str">
        <f>IF(AND(ISNUMBER(I150),I150&gt;=0,I150&lt;1),ROUND(I150*1440,0),"")</f>
        <v/>
      </c>
      <c r="AB150" s="80">
        <f>IF(AND(ISNUMBER(B150),D150&lt;&gt;"",ISNUMBER(Z150),ISNUMBER(AA150)),IF(Z150=AA150,0,1),0)</f>
        <v>0</v>
      </c>
      <c r="AC150" s="80">
        <f>IF(AB150=1,IF(AA150&lt;Z150,1,0),0)</f>
        <v>0</v>
      </c>
      <c r="AD150" s="80">
        <f>IF(AB150=1,IF(AC150=1,1440-Z150+AA150,AA150-Z150),0)</f>
        <v>0</v>
      </c>
      <c r="AE150" s="80">
        <f>IF(J150="",0,IF(ISNUMBER(J150),J150,-1))</f>
        <v>0</v>
      </c>
      <c r="AF150" s="80">
        <f>MIN(MAX(0,AE150),AD150)</f>
        <v>0</v>
      </c>
      <c r="AG150" s="80">
        <f>MAX(0,AD150-MAX(0,AE150))</f>
        <v>0</v>
      </c>
      <c r="AH150" s="80">
        <f>IF(ISNUMBER(B150),IF(AND(INDEX(CFG_WDAYS,WEEKDAY(INT(B150),2))="Sí",IF(D150="proMX",COUNTIFS(FER_F,INT(B150),FER_NLP,"Sí"),COUNTIFS(FER_F,INT(B150),FER_NLM,"Sí"))=0),1,0),0)</f>
        <v>0</v>
      </c>
      <c r="AI150" s="80">
        <f>IF(AC150=1,IF(AND(INDEX(CFG_WDAYS,WEEKDAY(INT(B150)+1,2))="Sí",IF(D150="proMX",COUNTIFS(FER_F,INT(B150)+1,FER_NLP,"Sí"),COUNTIFS(FER_F,INT(B150)+1,FER_NLM,"Sí"))=0),1,0),0)</f>
        <v>0</v>
      </c>
      <c r="AJ150" s="80">
        <f>IF(AC150=1,1440-Z150,AD150)</f>
        <v>0</v>
      </c>
      <c r="AK150" s="80">
        <f>IF(AND(AB150=1,AH150=1),MAX(0,MIN(IF(AC150=1,1440,AA150),CFG_WEM)-MAX(Z150,CFG_WSM)),0)</f>
        <v>0</v>
      </c>
      <c r="AL150" s="80">
        <f>IF(AND(AC150=1,AI150=1),MAX(0,MIN(AA150,CFG_WEM)-CFG_WSM),0)</f>
        <v>0</v>
      </c>
      <c r="AM150" s="80">
        <f>AK150+AL150</f>
        <v>0</v>
      </c>
      <c r="AN150" s="80">
        <f>IF(CFG_BRK="Proporcional",IF(AD150=0,0,AF150*AM150/AD150),IF(CFG_BRK="Extras primero",MIN(AM150,MAX(0,AF150-(AD150-AM150))),MIN(AF150,AM150)))</f>
        <v>0</v>
      </c>
      <c r="AO150" s="80">
        <f>AF150-AN150</f>
        <v>0</v>
      </c>
      <c r="AP150" s="80">
        <f>AM150-AN150</f>
        <v>0</v>
      </c>
      <c r="AQ150" s="80">
        <f>AD150-AM150-AO150</f>
        <v>0</v>
      </c>
      <c r="AR150" s="80">
        <f>IF(AM150=0,0,AK150-AN150*AK150/AM150)</f>
        <v>0</v>
      </c>
      <c r="AS150" s="80">
        <f>IF(AD150-AM150=0,0,(AJ150-AK150)-AO150*(AJ150-AK150)/(AD150-AM150))</f>
        <v>0</v>
      </c>
      <c r="AT150" s="80" t="str">
        <f>IF(AC150=1,INT(B150)+1,"")</f>
        <v/>
      </c>
      <c r="AU150" s="80">
        <f>IF(AND(D150="proMX",R150="Cancelled"),0,1)</f>
        <v>1</v>
      </c>
      <c r="AV150" s="80">
        <f>IF(AND(AB150=1,AU150=1),IF(COUNTIFS($D$5:D149,D150,$B$5:B149,B150,$Z$5:Z149,Z150,$AA$5:AA149,AA150,$F$5:F149,F150&amp;"",$AU$5:AU149,1)&gt;0,1,0),0)</f>
        <v>0</v>
      </c>
      <c r="AW150" s="80" t="str">
        <f>IF(AB150=1,INT(B150)*1440+Z150,"")</f>
        <v/>
      </c>
      <c r="AX150" s="80" t="str">
        <f>IF(AB150=1,AW150+AD150,"")</f>
        <v/>
      </c>
      <c r="AY150" s="80">
        <f>IF(AND(AB150=1,AV150=0,AU150=1),1,0)</f>
        <v>0</v>
      </c>
      <c r="AZ150" s="80">
        <f>IF(AY150=1,COUNTIFS(R_Emp,D150,R_SAbs,"&lt;"&amp;AX150,R_EAbs,"&gt;"&amp;AW150,R_OKey,1)-1,0)</f>
        <v>0</v>
      </c>
      <c r="BA150" s="80">
        <f>IF(AY150=1,COUNTIFS(R_Emp,"&lt;&gt;"&amp;D150,R_SAbs,"&lt;"&amp;AX150,R_EAbs,"&gt;"&amp;AW150,R_OKey,1),0)</f>
        <v>0</v>
      </c>
      <c r="BB150" s="80">
        <f>IF(AND(AB150=1,D150="proMX"),IF(AND(MOD(Z150,CFG_BLK)=0,MOD(AA150,CFG_BLK)=0,MOD(AG150,CFG_BLK)=0,AG150&gt;0),1,0),1)</f>
        <v>1</v>
      </c>
      <c r="BC150" s="80" t="str">
        <f>IF(Y150=0,"",IF(NOT(ISNUMBER(B150)),"Falta fecha o fecha inválida",IF(D150="","Falta empresa",IF(AND(D150&lt;&gt;"Malcolm",D150&lt;&gt;"proMX"),"Empresa inválida",IF(OR(INT(B150)&lt;CFG_PSTART,INT(B150)&gt;CFG_PEND),"Fecha fuera del período",IF(OR(NOT(ISNUMBER(Z150)),NOT(ISNUMBER(AA150))),"Falta hora inicio/fin o formato inválido",IF(AB150=0,"Hora inicio = hora fin",IF(AE150&lt;0,"Descanso inválido",IF(AE150&gt;=AD150,"Descanso ≥ duración",IF(AV150=1,"Registro duplicado",IF(AZ150&gt;0,"Se superpone con otro registro "&amp;D150,IF(BB150=0,"inicio, fin y duración neta deben ser múltiplos de "&amp;CFG_BLK&amp;" min",""))))))))))))</f>
        <v/>
      </c>
      <c r="BD150" s="80">
        <f>IF(AND(Y150=1,BC150=""),1,0)</f>
        <v>0</v>
      </c>
      <c r="BE150" s="80">
        <f>IF(AND(BD150=1,AU150=1),1,0)</f>
        <v>0</v>
      </c>
      <c r="BF150" s="80" t="str">
        <f>IF(AND(D150="proMX",BD150=1),IF(R150="","Draft",R150),"")</f>
        <v/>
      </c>
      <c r="BG150" s="80">
        <f>IF(BD150=1,ROUND(AG150/60,6),0)</f>
        <v>0</v>
      </c>
      <c r="BH150" s="80">
        <f>IF(BE150=1,ROUND(AG150/60,6),0)</f>
        <v>0</v>
      </c>
      <c r="BI150" s="80">
        <f>IF(BE150=1,ROUND(AP150/60,6),0)</f>
        <v>0</v>
      </c>
      <c r="BJ150" s="80">
        <f>IF(BE150=1,ROUND(AQ150/60,6),0)</f>
        <v>0</v>
      </c>
      <c r="BK150" s="80">
        <f>IF(BE150=1,ROUND((AR150+AS150)/60,6),0)</f>
        <v>0</v>
      </c>
      <c r="BL150" s="80">
        <f>ROUND(BH150-BK150,6)</f>
        <v>0</v>
      </c>
      <c r="BM150" s="80">
        <f>IF(BE150=1,ROUND(AR150/60,6),0)</f>
        <v>0</v>
      </c>
      <c r="BN150" s="80">
        <f>ROUND(BI150-BM150,6)</f>
        <v>0</v>
      </c>
      <c r="BO150" s="80">
        <f>IF(BE150=1,ROUND(AS150/60,6),0)</f>
        <v>0</v>
      </c>
      <c r="BP150" s="80">
        <f>ROUND(BJ150-BO150,6)</f>
        <v>0</v>
      </c>
      <c r="BQ150" s="80">
        <f>IF(BE150=1,AW150,0)</f>
        <v>0</v>
      </c>
      <c r="BR150" s="80">
        <f>IF(BE150=1,AX150,0)</f>
        <v>0</v>
      </c>
      <c r="BS150" s="80">
        <f>IF(AND(BE150=1,D150="Malcolm",BA150&gt;0),MIN(BH150,SUMPRODUCT((R_Emp="proMX")*(R_EN&gt;0)*((R_EN-(R_EN&gt;BR150)*(R_EN-BR150))&gt;(R_SN+(R_SN&lt;BQ150)*(BQ150-R_SN)))*((R_EN-(R_EN&gt;BR150)*(R_EN-BR150))-(R_SN+(R_SN&lt;BQ150)*(BQ150-R_SN))))/60),0)</f>
        <v>0</v>
      </c>
      <c r="BT150" s="80">
        <f>IF(AND(BE150=1,D150="proMX"),ROUND(BI150*CFG_RATE+BJ150*CFG_OTRATE,6),0)</f>
        <v>0</v>
      </c>
      <c r="BU150" s="80">
        <f>IF(AND(BD150=1,D150="proMX"),ROUND(AG150/CFG_BLK,6),0)</f>
        <v>0</v>
      </c>
      <c r="BV150" s="80" t="str">
        <f>IF(BF150="Approved",IF(ISNUMBER(T150),INT(T150),INT(B150)),"")</f>
        <v/>
      </c>
      <c r="BW150" s="80">
        <f>IF(ISNUMBER(B150),IF(DB_MON="Todos",1,IF(AND(INT(B150)&gt;=DB_MS,INT(B150)&lt;=DB_ME),1,0)),0)</f>
        <v>0</v>
      </c>
      <c r="BX150" s="80">
        <f>IF(DB_PROJ="Todos",1,IF(E150&amp;""=DB_PROJ&amp;"",1,0))</f>
        <v>1</v>
      </c>
      <c r="BY150" s="80">
        <f>BW150*BX150</f>
        <v>0</v>
      </c>
      <c r="BZ150" s="80" t="str">
        <f>IF(Y150=1,F150&amp;IF(AND(F150&amp;""&lt;&gt;"",E150&amp;""&lt;&gt;"")," · ","")&amp;E150,"")</f>
        <v/>
      </c>
      <c r="CA150" s="80" t="str">
        <f>IF(AND(BD150=1,E150&amp;""&lt;&gt;""),IF(COUNTIFS($E$5:E149,E150,$BD$5:BD149,1)=0,MAX($CA$5:CA149)+1,""),"")</f>
        <v/>
      </c>
      <c r="CB150" s="80" t="str">
        <f>IF(AND(BE150=1,D150="Malcolm",E150&amp;""&lt;&gt;""),IF(COUNTIFS($D$5:D149,"Malcolm",$E$5:E149,E150,$BE$5:BE149,1)=0,MAX($CB$5:CB149)+1,""),"")</f>
        <v/>
      </c>
      <c r="CC150" s="80" t="str">
        <f>IF(AND(BD150=1,D150="proMX",E150&amp;""&lt;&gt;""),IF(COUNTIFS($D$5:D149,"proMX",$E$5:E149,E150,$BD$5:BD149,1)=0,MAX($CC$5:CC149)+1,""),"")</f>
        <v/>
      </c>
      <c r="CD150" s="80" t="str">
        <f>IF(AND(BE150=1,D150="Malcolm",F150&amp;""&lt;&gt;""),IF(COUNTIFS($D$5:D149,"Malcolm",$F$5:F149,F150,$BE$5:BE149,1)=0,MAX($CD$5:CD149)+1,""),"")</f>
        <v/>
      </c>
      <c r="CE150" s="80" t="str">
        <f>IF(AND(BD150=1,D150="proMX",F150&amp;""&lt;&gt;""),IF(COUNTIFS($D$5:D149,"proMX",$F$5:F149,F150,$BD$5:BD149,1)=0,MAX($CE$5:CE149)+1,""),"")</f>
        <v/>
      </c>
      <c r="CF150" s="80" t="str">
        <f>IF(AND(D150="proMX",BD150=1),IF(OR(BF150="Draft",BF150="Submitted",BF150="Returned",BF150="Recall Requested"),MAX($CF$5:CF149)+1,""),"")</f>
        <v/>
      </c>
      <c r="CG150" s="80">
        <f>IF(BD150=0,0,IF(D150="Malcolm",1,MATCH(BF150,{"Draft","Submitted","Approved","Returned","Recall Requested","Cancelled"},0)+1))</f>
        <v>0</v>
      </c>
      <c r="CH150" s="80">
        <f>IF(AND(BF150="Submitted",ISNUMBER(V150)),IF(V150&gt;CFG_MAXD,1,0),0)</f>
        <v>0</v>
      </c>
    </row>
    <row r="151">
      <c r="A151" s="71" t="str">
        <f>IF(Y151=1,ROW()-5,"")</f>
        <v/>
      </c>
      <c r="B151" s="72" t="n"/>
      <c r="C151" s="71" t="str">
        <f>IF(ISNUMBER(B151),CHOOSE(WEEKDAY(B151,2),"Lun","Mar","Mié","Jue","Vie","Sáb","Dom"),"")</f>
        <v/>
      </c>
      <c r="D151" s="73" t="n"/>
      <c r="E151" s="74" t="n"/>
      <c r="F151" s="74" t="n"/>
      <c r="G151" s="74" t="n"/>
      <c r="H151" s="75" t="n"/>
      <c r="I151" s="75" t="n"/>
      <c r="J151" s="76" t="n"/>
      <c r="K151" s="77" t="str">
        <f>IF(AB151=1,ROUND(AG151/60,4),"")</f>
        <v/>
      </c>
      <c r="L151" s="77" t="str">
        <f>IF(BD151=1,ROUND(AP151/60,4),"")</f>
        <v/>
      </c>
      <c r="M151" s="77" t="str">
        <f>IF(BD151=1,ROUND(AQ151/60,4),"")</f>
        <v/>
      </c>
      <c r="N151" s="71" t="str">
        <f>IF(AND(D151="proMX",AB151=1),ROUND(AG151/CFG_BLK,2),"")</f>
        <v/>
      </c>
      <c r="O151" s="77" t="str">
        <f>IF(D151="proMX",IF(BD151=1,ROUND(AG151/60,4),0),"")</f>
        <v/>
      </c>
      <c r="P151" s="78" t="str">
        <f>IF(Y151=0,"",IF(BD151=1,"OK",IF(D151="proMX","Revisar bloques: ","Revisar: ")&amp;BC151))</f>
        <v/>
      </c>
      <c r="Q151" s="78" t="str">
        <f>IF(NOT(ISNUMBER(B151)),"",IF(COUNTIFS(FER_F,INT(B151))&gt;0,"Feriado"&amp;IF(AH151=1," (laborable)"," (no laborable)"),IF(AH151=1,"Laborable",IF(WEEKDAY(B151,2)&gt;5,"Fin de semana","No laborable"))))</f>
        <v/>
      </c>
      <c r="R151" s="73" t="n"/>
      <c r="S151" s="72" t="n"/>
      <c r="T151" s="72" t="n"/>
      <c r="U151" s="74" t="n"/>
      <c r="V151" s="79" t="str">
        <f>IF(AND(D151="proMX",OR(R151="Submitted",R151="Recall Requested"),ISNUMBER(S151)),CFG_TODAY-INT(S151),"")</f>
        <v/>
      </c>
      <c r="W151" s="78" t="str">
        <f>IF(BD151=0,"",IF(BA151&gt;0,"⚠ Se superpone con un registro de la otra empresa",IF(D151="Malcolm",IF(COUNTA(R151,S151,T151)&gt;0,"Estado/fechas proMX se ignoran en Malcolm",""),IF(BF151="Cancelled","Cancelado: excluido de totales",IF(R151="","Sin estado: se trata como Draft",IF(BF151="Submitted",IF(ISNUMBER(V151),IF(V151&gt;CFG_MAXD,"⚠ "&amp;V151&amp;" días en Submitted (máx. "&amp;CFG_MAXD&amp;")",""),"Falta fecha de envío"),IF(BF151="Returned","⚠ Devuelto: corregir y reenviar",IF(BF151="Recall Requested","Retirada solicitada: pendiente",IF(AND(BF151="Approved",NOT(ISNUMBER(T151))),"Falta fecha de aprobación",IF(AND(ISNUMBER(S151),ISNUMBER(T151),T151&lt;S151),"Aprobación anterior al envío","")))))))))</f>
        <v/>
      </c>
      <c r="Y151" s="80">
        <f>IF(COUNTA(B151,D151,E151,F151,G151,H151,I151,J151,R151,S151,T151)&gt;0,1,0)</f>
        <v>0</v>
      </c>
      <c r="Z151" s="80" t="str">
        <f>IF(AND(ISNUMBER(H151),H151&gt;=0,H151&lt;1),ROUND(H151*1440,0),"")</f>
        <v/>
      </c>
      <c r="AA151" s="80" t="str">
        <f>IF(AND(ISNUMBER(I151),I151&gt;=0,I151&lt;1),ROUND(I151*1440,0),"")</f>
        <v/>
      </c>
      <c r="AB151" s="80">
        <f>IF(AND(ISNUMBER(B151),D151&lt;&gt;"",ISNUMBER(Z151),ISNUMBER(AA151)),IF(Z151=AA151,0,1),0)</f>
        <v>0</v>
      </c>
      <c r="AC151" s="80">
        <f>IF(AB151=1,IF(AA151&lt;Z151,1,0),0)</f>
        <v>0</v>
      </c>
      <c r="AD151" s="80">
        <f>IF(AB151=1,IF(AC151=1,1440-Z151+AA151,AA151-Z151),0)</f>
        <v>0</v>
      </c>
      <c r="AE151" s="80">
        <f>IF(J151="",0,IF(ISNUMBER(J151),J151,-1))</f>
        <v>0</v>
      </c>
      <c r="AF151" s="80">
        <f>MIN(MAX(0,AE151),AD151)</f>
        <v>0</v>
      </c>
      <c r="AG151" s="80">
        <f>MAX(0,AD151-MAX(0,AE151))</f>
        <v>0</v>
      </c>
      <c r="AH151" s="80">
        <f>IF(ISNUMBER(B151),IF(AND(INDEX(CFG_WDAYS,WEEKDAY(INT(B151),2))="Sí",IF(D151="proMX",COUNTIFS(FER_F,INT(B151),FER_NLP,"Sí"),COUNTIFS(FER_F,INT(B151),FER_NLM,"Sí"))=0),1,0),0)</f>
        <v>0</v>
      </c>
      <c r="AI151" s="80">
        <f>IF(AC151=1,IF(AND(INDEX(CFG_WDAYS,WEEKDAY(INT(B151)+1,2))="Sí",IF(D151="proMX",COUNTIFS(FER_F,INT(B151)+1,FER_NLP,"Sí"),COUNTIFS(FER_F,INT(B151)+1,FER_NLM,"Sí"))=0),1,0),0)</f>
        <v>0</v>
      </c>
      <c r="AJ151" s="80">
        <f>IF(AC151=1,1440-Z151,AD151)</f>
        <v>0</v>
      </c>
      <c r="AK151" s="80">
        <f>IF(AND(AB151=1,AH151=1),MAX(0,MIN(IF(AC151=1,1440,AA151),CFG_WEM)-MAX(Z151,CFG_WSM)),0)</f>
        <v>0</v>
      </c>
      <c r="AL151" s="80">
        <f>IF(AND(AC151=1,AI151=1),MAX(0,MIN(AA151,CFG_WEM)-CFG_WSM),0)</f>
        <v>0</v>
      </c>
      <c r="AM151" s="80">
        <f>AK151+AL151</f>
        <v>0</v>
      </c>
      <c r="AN151" s="80">
        <f>IF(CFG_BRK="Proporcional",IF(AD151=0,0,AF151*AM151/AD151),IF(CFG_BRK="Extras primero",MIN(AM151,MAX(0,AF151-(AD151-AM151))),MIN(AF151,AM151)))</f>
        <v>0</v>
      </c>
      <c r="AO151" s="80">
        <f>AF151-AN151</f>
        <v>0</v>
      </c>
      <c r="AP151" s="80">
        <f>AM151-AN151</f>
        <v>0</v>
      </c>
      <c r="AQ151" s="80">
        <f>AD151-AM151-AO151</f>
        <v>0</v>
      </c>
      <c r="AR151" s="80">
        <f>IF(AM151=0,0,AK151-AN151*AK151/AM151)</f>
        <v>0</v>
      </c>
      <c r="AS151" s="80">
        <f>IF(AD151-AM151=0,0,(AJ151-AK151)-AO151*(AJ151-AK151)/(AD151-AM151))</f>
        <v>0</v>
      </c>
      <c r="AT151" s="80" t="str">
        <f>IF(AC151=1,INT(B151)+1,"")</f>
        <v/>
      </c>
      <c r="AU151" s="80">
        <f>IF(AND(D151="proMX",R151="Cancelled"),0,1)</f>
        <v>1</v>
      </c>
      <c r="AV151" s="80">
        <f>IF(AND(AB151=1,AU151=1),IF(COUNTIFS($D$5:D150,D151,$B$5:B150,B151,$Z$5:Z150,Z151,$AA$5:AA150,AA151,$F$5:F150,F151&amp;"",$AU$5:AU150,1)&gt;0,1,0),0)</f>
        <v>0</v>
      </c>
      <c r="AW151" s="80" t="str">
        <f>IF(AB151=1,INT(B151)*1440+Z151,"")</f>
        <v/>
      </c>
      <c r="AX151" s="80" t="str">
        <f>IF(AB151=1,AW151+AD151,"")</f>
        <v/>
      </c>
      <c r="AY151" s="80">
        <f>IF(AND(AB151=1,AV151=0,AU151=1),1,0)</f>
        <v>0</v>
      </c>
      <c r="AZ151" s="80">
        <f>IF(AY151=1,COUNTIFS(R_Emp,D151,R_SAbs,"&lt;"&amp;AX151,R_EAbs,"&gt;"&amp;AW151,R_OKey,1)-1,0)</f>
        <v>0</v>
      </c>
      <c r="BA151" s="80">
        <f>IF(AY151=1,COUNTIFS(R_Emp,"&lt;&gt;"&amp;D151,R_SAbs,"&lt;"&amp;AX151,R_EAbs,"&gt;"&amp;AW151,R_OKey,1),0)</f>
        <v>0</v>
      </c>
      <c r="BB151" s="80">
        <f>IF(AND(AB151=1,D151="proMX"),IF(AND(MOD(Z151,CFG_BLK)=0,MOD(AA151,CFG_BLK)=0,MOD(AG151,CFG_BLK)=0,AG151&gt;0),1,0),1)</f>
        <v>1</v>
      </c>
      <c r="BC151" s="80" t="str">
        <f>IF(Y151=0,"",IF(NOT(ISNUMBER(B151)),"Falta fecha o fecha inválida",IF(D151="","Falta empresa",IF(AND(D151&lt;&gt;"Malcolm",D151&lt;&gt;"proMX"),"Empresa inválida",IF(OR(INT(B151)&lt;CFG_PSTART,INT(B151)&gt;CFG_PEND),"Fecha fuera del período",IF(OR(NOT(ISNUMBER(Z151)),NOT(ISNUMBER(AA151))),"Falta hora inicio/fin o formato inválido",IF(AB151=0,"Hora inicio = hora fin",IF(AE151&lt;0,"Descanso inválido",IF(AE151&gt;=AD151,"Descanso ≥ duración",IF(AV151=1,"Registro duplicado",IF(AZ151&gt;0,"Se superpone con otro registro "&amp;D151,IF(BB151=0,"inicio, fin y duración neta deben ser múltiplos de "&amp;CFG_BLK&amp;" min",""))))))))))))</f>
        <v/>
      </c>
      <c r="BD151" s="80">
        <f>IF(AND(Y151=1,BC151=""),1,0)</f>
        <v>0</v>
      </c>
      <c r="BE151" s="80">
        <f>IF(AND(BD151=1,AU151=1),1,0)</f>
        <v>0</v>
      </c>
      <c r="BF151" s="80" t="str">
        <f>IF(AND(D151="proMX",BD151=1),IF(R151="","Draft",R151),"")</f>
        <v/>
      </c>
      <c r="BG151" s="80">
        <f>IF(BD151=1,ROUND(AG151/60,6),0)</f>
        <v>0</v>
      </c>
      <c r="BH151" s="80">
        <f>IF(BE151=1,ROUND(AG151/60,6),0)</f>
        <v>0</v>
      </c>
      <c r="BI151" s="80">
        <f>IF(BE151=1,ROUND(AP151/60,6),0)</f>
        <v>0</v>
      </c>
      <c r="BJ151" s="80">
        <f>IF(BE151=1,ROUND(AQ151/60,6),0)</f>
        <v>0</v>
      </c>
      <c r="BK151" s="80">
        <f>IF(BE151=1,ROUND((AR151+AS151)/60,6),0)</f>
        <v>0</v>
      </c>
      <c r="BL151" s="80">
        <f>ROUND(BH151-BK151,6)</f>
        <v>0</v>
      </c>
      <c r="BM151" s="80">
        <f>IF(BE151=1,ROUND(AR151/60,6),0)</f>
        <v>0</v>
      </c>
      <c r="BN151" s="80">
        <f>ROUND(BI151-BM151,6)</f>
        <v>0</v>
      </c>
      <c r="BO151" s="80">
        <f>IF(BE151=1,ROUND(AS151/60,6),0)</f>
        <v>0</v>
      </c>
      <c r="BP151" s="80">
        <f>ROUND(BJ151-BO151,6)</f>
        <v>0</v>
      </c>
      <c r="BQ151" s="80">
        <f>IF(BE151=1,AW151,0)</f>
        <v>0</v>
      </c>
      <c r="BR151" s="80">
        <f>IF(BE151=1,AX151,0)</f>
        <v>0</v>
      </c>
      <c r="BS151" s="80">
        <f>IF(AND(BE151=1,D151="Malcolm",BA151&gt;0),MIN(BH151,SUMPRODUCT((R_Emp="proMX")*(R_EN&gt;0)*((R_EN-(R_EN&gt;BR151)*(R_EN-BR151))&gt;(R_SN+(R_SN&lt;BQ151)*(BQ151-R_SN)))*((R_EN-(R_EN&gt;BR151)*(R_EN-BR151))-(R_SN+(R_SN&lt;BQ151)*(BQ151-R_SN))))/60),0)</f>
        <v>0</v>
      </c>
      <c r="BT151" s="80">
        <f>IF(AND(BE151=1,D151="proMX"),ROUND(BI151*CFG_RATE+BJ151*CFG_OTRATE,6),0)</f>
        <v>0</v>
      </c>
      <c r="BU151" s="80">
        <f>IF(AND(BD151=1,D151="proMX"),ROUND(AG151/CFG_BLK,6),0)</f>
        <v>0</v>
      </c>
      <c r="BV151" s="80" t="str">
        <f>IF(BF151="Approved",IF(ISNUMBER(T151),INT(T151),INT(B151)),"")</f>
        <v/>
      </c>
      <c r="BW151" s="80">
        <f>IF(ISNUMBER(B151),IF(DB_MON="Todos",1,IF(AND(INT(B151)&gt;=DB_MS,INT(B151)&lt;=DB_ME),1,0)),0)</f>
        <v>0</v>
      </c>
      <c r="BX151" s="80">
        <f>IF(DB_PROJ="Todos",1,IF(E151&amp;""=DB_PROJ&amp;"",1,0))</f>
        <v>1</v>
      </c>
      <c r="BY151" s="80">
        <f>BW151*BX151</f>
        <v>0</v>
      </c>
      <c r="BZ151" s="80" t="str">
        <f>IF(Y151=1,F151&amp;IF(AND(F151&amp;""&lt;&gt;"",E151&amp;""&lt;&gt;"")," · ","")&amp;E151,"")</f>
        <v/>
      </c>
      <c r="CA151" s="80" t="str">
        <f>IF(AND(BD151=1,E151&amp;""&lt;&gt;""),IF(COUNTIFS($E$5:E150,E151,$BD$5:BD150,1)=0,MAX($CA$5:CA150)+1,""),"")</f>
        <v/>
      </c>
      <c r="CB151" s="80" t="str">
        <f>IF(AND(BE151=1,D151="Malcolm",E151&amp;""&lt;&gt;""),IF(COUNTIFS($D$5:D150,"Malcolm",$E$5:E150,E151,$BE$5:BE150,1)=0,MAX($CB$5:CB150)+1,""),"")</f>
        <v/>
      </c>
      <c r="CC151" s="80" t="str">
        <f>IF(AND(BD151=1,D151="proMX",E151&amp;""&lt;&gt;""),IF(COUNTIFS($D$5:D150,"proMX",$E$5:E150,E151,$BD$5:BD150,1)=0,MAX($CC$5:CC150)+1,""),"")</f>
        <v/>
      </c>
      <c r="CD151" s="80" t="str">
        <f>IF(AND(BE151=1,D151="Malcolm",F151&amp;""&lt;&gt;""),IF(COUNTIFS($D$5:D150,"Malcolm",$F$5:F150,F151,$BE$5:BE150,1)=0,MAX($CD$5:CD150)+1,""),"")</f>
        <v/>
      </c>
      <c r="CE151" s="80" t="str">
        <f>IF(AND(BD151=1,D151="proMX",F151&amp;""&lt;&gt;""),IF(COUNTIFS($D$5:D150,"proMX",$F$5:F150,F151,$BD$5:BD150,1)=0,MAX($CE$5:CE150)+1,""),"")</f>
        <v/>
      </c>
      <c r="CF151" s="80" t="str">
        <f>IF(AND(D151="proMX",BD151=1),IF(OR(BF151="Draft",BF151="Submitted",BF151="Returned",BF151="Recall Requested"),MAX($CF$5:CF150)+1,""),"")</f>
        <v/>
      </c>
      <c r="CG151" s="80">
        <f>IF(BD151=0,0,IF(D151="Malcolm",1,MATCH(BF151,{"Draft","Submitted","Approved","Returned","Recall Requested","Cancelled"},0)+1))</f>
        <v>0</v>
      </c>
      <c r="CH151" s="80">
        <f>IF(AND(BF151="Submitted",ISNUMBER(V151)),IF(V151&gt;CFG_MAXD,1,0),0)</f>
        <v>0</v>
      </c>
    </row>
    <row r="152">
      <c r="A152" s="71" t="str">
        <f>IF(Y152=1,ROW()-5,"")</f>
        <v/>
      </c>
      <c r="B152" s="72" t="n"/>
      <c r="C152" s="71" t="str">
        <f>IF(ISNUMBER(B152),CHOOSE(WEEKDAY(B152,2),"Lun","Mar","Mié","Jue","Vie","Sáb","Dom"),"")</f>
        <v/>
      </c>
      <c r="D152" s="73" t="n"/>
      <c r="E152" s="74" t="n"/>
      <c r="F152" s="74" t="n"/>
      <c r="G152" s="74" t="n"/>
      <c r="H152" s="75" t="n"/>
      <c r="I152" s="75" t="n"/>
      <c r="J152" s="76" t="n"/>
      <c r="K152" s="77" t="str">
        <f>IF(AB152=1,ROUND(AG152/60,4),"")</f>
        <v/>
      </c>
      <c r="L152" s="77" t="str">
        <f>IF(BD152=1,ROUND(AP152/60,4),"")</f>
        <v/>
      </c>
      <c r="M152" s="77" t="str">
        <f>IF(BD152=1,ROUND(AQ152/60,4),"")</f>
        <v/>
      </c>
      <c r="N152" s="71" t="str">
        <f>IF(AND(D152="proMX",AB152=1),ROUND(AG152/CFG_BLK,2),"")</f>
        <v/>
      </c>
      <c r="O152" s="77" t="str">
        <f>IF(D152="proMX",IF(BD152=1,ROUND(AG152/60,4),0),"")</f>
        <v/>
      </c>
      <c r="P152" s="78" t="str">
        <f>IF(Y152=0,"",IF(BD152=1,"OK",IF(D152="proMX","Revisar bloques: ","Revisar: ")&amp;BC152))</f>
        <v/>
      </c>
      <c r="Q152" s="78" t="str">
        <f>IF(NOT(ISNUMBER(B152)),"",IF(COUNTIFS(FER_F,INT(B152))&gt;0,"Feriado"&amp;IF(AH152=1," (laborable)"," (no laborable)"),IF(AH152=1,"Laborable",IF(WEEKDAY(B152,2)&gt;5,"Fin de semana","No laborable"))))</f>
        <v/>
      </c>
      <c r="R152" s="73" t="n"/>
      <c r="S152" s="72" t="n"/>
      <c r="T152" s="72" t="n"/>
      <c r="U152" s="74" t="n"/>
      <c r="V152" s="79" t="str">
        <f>IF(AND(D152="proMX",OR(R152="Submitted",R152="Recall Requested"),ISNUMBER(S152)),CFG_TODAY-INT(S152),"")</f>
        <v/>
      </c>
      <c r="W152" s="78" t="str">
        <f>IF(BD152=0,"",IF(BA152&gt;0,"⚠ Se superpone con un registro de la otra empresa",IF(D152="Malcolm",IF(COUNTA(R152,S152,T152)&gt;0,"Estado/fechas proMX se ignoran en Malcolm",""),IF(BF152="Cancelled","Cancelado: excluido de totales",IF(R152="","Sin estado: se trata como Draft",IF(BF152="Submitted",IF(ISNUMBER(V152),IF(V152&gt;CFG_MAXD,"⚠ "&amp;V152&amp;" días en Submitted (máx. "&amp;CFG_MAXD&amp;")",""),"Falta fecha de envío"),IF(BF152="Returned","⚠ Devuelto: corregir y reenviar",IF(BF152="Recall Requested","Retirada solicitada: pendiente",IF(AND(BF152="Approved",NOT(ISNUMBER(T152))),"Falta fecha de aprobación",IF(AND(ISNUMBER(S152),ISNUMBER(T152),T152&lt;S152),"Aprobación anterior al envío","")))))))))</f>
        <v/>
      </c>
      <c r="Y152" s="80">
        <f>IF(COUNTA(B152,D152,E152,F152,G152,H152,I152,J152,R152,S152,T152)&gt;0,1,0)</f>
        <v>0</v>
      </c>
      <c r="Z152" s="80" t="str">
        <f>IF(AND(ISNUMBER(H152),H152&gt;=0,H152&lt;1),ROUND(H152*1440,0),"")</f>
        <v/>
      </c>
      <c r="AA152" s="80" t="str">
        <f>IF(AND(ISNUMBER(I152),I152&gt;=0,I152&lt;1),ROUND(I152*1440,0),"")</f>
        <v/>
      </c>
      <c r="AB152" s="80">
        <f>IF(AND(ISNUMBER(B152),D152&lt;&gt;"",ISNUMBER(Z152),ISNUMBER(AA152)),IF(Z152=AA152,0,1),0)</f>
        <v>0</v>
      </c>
      <c r="AC152" s="80">
        <f>IF(AB152=1,IF(AA152&lt;Z152,1,0),0)</f>
        <v>0</v>
      </c>
      <c r="AD152" s="80">
        <f>IF(AB152=1,IF(AC152=1,1440-Z152+AA152,AA152-Z152),0)</f>
        <v>0</v>
      </c>
      <c r="AE152" s="80">
        <f>IF(J152="",0,IF(ISNUMBER(J152),J152,-1))</f>
        <v>0</v>
      </c>
      <c r="AF152" s="80">
        <f>MIN(MAX(0,AE152),AD152)</f>
        <v>0</v>
      </c>
      <c r="AG152" s="80">
        <f>MAX(0,AD152-MAX(0,AE152))</f>
        <v>0</v>
      </c>
      <c r="AH152" s="80">
        <f>IF(ISNUMBER(B152),IF(AND(INDEX(CFG_WDAYS,WEEKDAY(INT(B152),2))="Sí",IF(D152="proMX",COUNTIFS(FER_F,INT(B152),FER_NLP,"Sí"),COUNTIFS(FER_F,INT(B152),FER_NLM,"Sí"))=0),1,0),0)</f>
        <v>0</v>
      </c>
      <c r="AI152" s="80">
        <f>IF(AC152=1,IF(AND(INDEX(CFG_WDAYS,WEEKDAY(INT(B152)+1,2))="Sí",IF(D152="proMX",COUNTIFS(FER_F,INT(B152)+1,FER_NLP,"Sí"),COUNTIFS(FER_F,INT(B152)+1,FER_NLM,"Sí"))=0),1,0),0)</f>
        <v>0</v>
      </c>
      <c r="AJ152" s="80">
        <f>IF(AC152=1,1440-Z152,AD152)</f>
        <v>0</v>
      </c>
      <c r="AK152" s="80">
        <f>IF(AND(AB152=1,AH152=1),MAX(0,MIN(IF(AC152=1,1440,AA152),CFG_WEM)-MAX(Z152,CFG_WSM)),0)</f>
        <v>0</v>
      </c>
      <c r="AL152" s="80">
        <f>IF(AND(AC152=1,AI152=1),MAX(0,MIN(AA152,CFG_WEM)-CFG_WSM),0)</f>
        <v>0</v>
      </c>
      <c r="AM152" s="80">
        <f>AK152+AL152</f>
        <v>0</v>
      </c>
      <c r="AN152" s="80">
        <f>IF(CFG_BRK="Proporcional",IF(AD152=0,0,AF152*AM152/AD152),IF(CFG_BRK="Extras primero",MIN(AM152,MAX(0,AF152-(AD152-AM152))),MIN(AF152,AM152)))</f>
        <v>0</v>
      </c>
      <c r="AO152" s="80">
        <f>AF152-AN152</f>
        <v>0</v>
      </c>
      <c r="AP152" s="80">
        <f>AM152-AN152</f>
        <v>0</v>
      </c>
      <c r="AQ152" s="80">
        <f>AD152-AM152-AO152</f>
        <v>0</v>
      </c>
      <c r="AR152" s="80">
        <f>IF(AM152=0,0,AK152-AN152*AK152/AM152)</f>
        <v>0</v>
      </c>
      <c r="AS152" s="80">
        <f>IF(AD152-AM152=0,0,(AJ152-AK152)-AO152*(AJ152-AK152)/(AD152-AM152))</f>
        <v>0</v>
      </c>
      <c r="AT152" s="80" t="str">
        <f>IF(AC152=1,INT(B152)+1,"")</f>
        <v/>
      </c>
      <c r="AU152" s="80">
        <f>IF(AND(D152="proMX",R152="Cancelled"),0,1)</f>
        <v>1</v>
      </c>
      <c r="AV152" s="80">
        <f>IF(AND(AB152=1,AU152=1),IF(COUNTIFS($D$5:D151,D152,$B$5:B151,B152,$Z$5:Z151,Z152,$AA$5:AA151,AA152,$F$5:F151,F152&amp;"",$AU$5:AU151,1)&gt;0,1,0),0)</f>
        <v>0</v>
      </c>
      <c r="AW152" s="80" t="str">
        <f>IF(AB152=1,INT(B152)*1440+Z152,"")</f>
        <v/>
      </c>
      <c r="AX152" s="80" t="str">
        <f>IF(AB152=1,AW152+AD152,"")</f>
        <v/>
      </c>
      <c r="AY152" s="80">
        <f>IF(AND(AB152=1,AV152=0,AU152=1),1,0)</f>
        <v>0</v>
      </c>
      <c r="AZ152" s="80">
        <f>IF(AY152=1,COUNTIFS(R_Emp,D152,R_SAbs,"&lt;"&amp;AX152,R_EAbs,"&gt;"&amp;AW152,R_OKey,1)-1,0)</f>
        <v>0</v>
      </c>
      <c r="BA152" s="80">
        <f>IF(AY152=1,COUNTIFS(R_Emp,"&lt;&gt;"&amp;D152,R_SAbs,"&lt;"&amp;AX152,R_EAbs,"&gt;"&amp;AW152,R_OKey,1),0)</f>
        <v>0</v>
      </c>
      <c r="BB152" s="80">
        <f>IF(AND(AB152=1,D152="proMX"),IF(AND(MOD(Z152,CFG_BLK)=0,MOD(AA152,CFG_BLK)=0,MOD(AG152,CFG_BLK)=0,AG152&gt;0),1,0),1)</f>
        <v>1</v>
      </c>
      <c r="BC152" s="80" t="str">
        <f>IF(Y152=0,"",IF(NOT(ISNUMBER(B152)),"Falta fecha o fecha inválida",IF(D152="","Falta empresa",IF(AND(D152&lt;&gt;"Malcolm",D152&lt;&gt;"proMX"),"Empresa inválida",IF(OR(INT(B152)&lt;CFG_PSTART,INT(B152)&gt;CFG_PEND),"Fecha fuera del período",IF(OR(NOT(ISNUMBER(Z152)),NOT(ISNUMBER(AA152))),"Falta hora inicio/fin o formato inválido",IF(AB152=0,"Hora inicio = hora fin",IF(AE152&lt;0,"Descanso inválido",IF(AE152&gt;=AD152,"Descanso ≥ duración",IF(AV152=1,"Registro duplicado",IF(AZ152&gt;0,"Se superpone con otro registro "&amp;D152,IF(BB152=0,"inicio, fin y duración neta deben ser múltiplos de "&amp;CFG_BLK&amp;" min",""))))))))))))</f>
        <v/>
      </c>
      <c r="BD152" s="80">
        <f>IF(AND(Y152=1,BC152=""),1,0)</f>
        <v>0</v>
      </c>
      <c r="BE152" s="80">
        <f>IF(AND(BD152=1,AU152=1),1,0)</f>
        <v>0</v>
      </c>
      <c r="BF152" s="80" t="str">
        <f>IF(AND(D152="proMX",BD152=1),IF(R152="","Draft",R152),"")</f>
        <v/>
      </c>
      <c r="BG152" s="80">
        <f>IF(BD152=1,ROUND(AG152/60,6),0)</f>
        <v>0</v>
      </c>
      <c r="BH152" s="80">
        <f>IF(BE152=1,ROUND(AG152/60,6),0)</f>
        <v>0</v>
      </c>
      <c r="BI152" s="80">
        <f>IF(BE152=1,ROUND(AP152/60,6),0)</f>
        <v>0</v>
      </c>
      <c r="BJ152" s="80">
        <f>IF(BE152=1,ROUND(AQ152/60,6),0)</f>
        <v>0</v>
      </c>
      <c r="BK152" s="80">
        <f>IF(BE152=1,ROUND((AR152+AS152)/60,6),0)</f>
        <v>0</v>
      </c>
      <c r="BL152" s="80">
        <f>ROUND(BH152-BK152,6)</f>
        <v>0</v>
      </c>
      <c r="BM152" s="80">
        <f>IF(BE152=1,ROUND(AR152/60,6),0)</f>
        <v>0</v>
      </c>
      <c r="BN152" s="80">
        <f>ROUND(BI152-BM152,6)</f>
        <v>0</v>
      </c>
      <c r="BO152" s="80">
        <f>IF(BE152=1,ROUND(AS152/60,6),0)</f>
        <v>0</v>
      </c>
      <c r="BP152" s="80">
        <f>ROUND(BJ152-BO152,6)</f>
        <v>0</v>
      </c>
      <c r="BQ152" s="80">
        <f>IF(BE152=1,AW152,0)</f>
        <v>0</v>
      </c>
      <c r="BR152" s="80">
        <f>IF(BE152=1,AX152,0)</f>
        <v>0</v>
      </c>
      <c r="BS152" s="80">
        <f>IF(AND(BE152=1,D152="Malcolm",BA152&gt;0),MIN(BH152,SUMPRODUCT((R_Emp="proMX")*(R_EN&gt;0)*((R_EN-(R_EN&gt;BR152)*(R_EN-BR152))&gt;(R_SN+(R_SN&lt;BQ152)*(BQ152-R_SN)))*((R_EN-(R_EN&gt;BR152)*(R_EN-BR152))-(R_SN+(R_SN&lt;BQ152)*(BQ152-R_SN))))/60),0)</f>
        <v>0</v>
      </c>
      <c r="BT152" s="80">
        <f>IF(AND(BE152=1,D152="proMX"),ROUND(BI152*CFG_RATE+BJ152*CFG_OTRATE,6),0)</f>
        <v>0</v>
      </c>
      <c r="BU152" s="80">
        <f>IF(AND(BD152=1,D152="proMX"),ROUND(AG152/CFG_BLK,6),0)</f>
        <v>0</v>
      </c>
      <c r="BV152" s="80" t="str">
        <f>IF(BF152="Approved",IF(ISNUMBER(T152),INT(T152),INT(B152)),"")</f>
        <v/>
      </c>
      <c r="BW152" s="80">
        <f>IF(ISNUMBER(B152),IF(DB_MON="Todos",1,IF(AND(INT(B152)&gt;=DB_MS,INT(B152)&lt;=DB_ME),1,0)),0)</f>
        <v>0</v>
      </c>
      <c r="BX152" s="80">
        <f>IF(DB_PROJ="Todos",1,IF(E152&amp;""=DB_PROJ&amp;"",1,0))</f>
        <v>1</v>
      </c>
      <c r="BY152" s="80">
        <f>BW152*BX152</f>
        <v>0</v>
      </c>
      <c r="BZ152" s="80" t="str">
        <f>IF(Y152=1,F152&amp;IF(AND(F152&amp;""&lt;&gt;"",E152&amp;""&lt;&gt;"")," · ","")&amp;E152,"")</f>
        <v/>
      </c>
      <c r="CA152" s="80" t="str">
        <f>IF(AND(BD152=1,E152&amp;""&lt;&gt;""),IF(COUNTIFS($E$5:E151,E152,$BD$5:BD151,1)=0,MAX($CA$5:CA151)+1,""),"")</f>
        <v/>
      </c>
      <c r="CB152" s="80" t="str">
        <f>IF(AND(BE152=1,D152="Malcolm",E152&amp;""&lt;&gt;""),IF(COUNTIFS($D$5:D151,"Malcolm",$E$5:E151,E152,$BE$5:BE151,1)=0,MAX($CB$5:CB151)+1,""),"")</f>
        <v/>
      </c>
      <c r="CC152" s="80" t="str">
        <f>IF(AND(BD152=1,D152="proMX",E152&amp;""&lt;&gt;""),IF(COUNTIFS($D$5:D151,"proMX",$E$5:E151,E152,$BD$5:BD151,1)=0,MAX($CC$5:CC151)+1,""),"")</f>
        <v/>
      </c>
      <c r="CD152" s="80" t="str">
        <f>IF(AND(BE152=1,D152="Malcolm",F152&amp;""&lt;&gt;""),IF(COUNTIFS($D$5:D151,"Malcolm",$F$5:F151,F152,$BE$5:BE151,1)=0,MAX($CD$5:CD151)+1,""),"")</f>
        <v/>
      </c>
      <c r="CE152" s="80" t="str">
        <f>IF(AND(BD152=1,D152="proMX",F152&amp;""&lt;&gt;""),IF(COUNTIFS($D$5:D151,"proMX",$F$5:F151,F152,$BD$5:BD151,1)=0,MAX($CE$5:CE151)+1,""),"")</f>
        <v/>
      </c>
      <c r="CF152" s="80" t="str">
        <f>IF(AND(D152="proMX",BD152=1),IF(OR(BF152="Draft",BF152="Submitted",BF152="Returned",BF152="Recall Requested"),MAX($CF$5:CF151)+1,""),"")</f>
        <v/>
      </c>
      <c r="CG152" s="80">
        <f>IF(BD152=0,0,IF(D152="Malcolm",1,MATCH(BF152,{"Draft","Submitted","Approved","Returned","Recall Requested","Cancelled"},0)+1))</f>
        <v>0</v>
      </c>
      <c r="CH152" s="80">
        <f>IF(AND(BF152="Submitted",ISNUMBER(V152)),IF(V152&gt;CFG_MAXD,1,0),0)</f>
        <v>0</v>
      </c>
    </row>
    <row r="153">
      <c r="A153" s="71" t="str">
        <f>IF(Y153=1,ROW()-5,"")</f>
        <v/>
      </c>
      <c r="B153" s="72" t="n"/>
      <c r="C153" s="71" t="str">
        <f>IF(ISNUMBER(B153),CHOOSE(WEEKDAY(B153,2),"Lun","Mar","Mié","Jue","Vie","Sáb","Dom"),"")</f>
        <v/>
      </c>
      <c r="D153" s="73" t="n"/>
      <c r="E153" s="74" t="n"/>
      <c r="F153" s="74" t="n"/>
      <c r="G153" s="74" t="n"/>
      <c r="H153" s="75" t="n"/>
      <c r="I153" s="75" t="n"/>
      <c r="J153" s="76" t="n"/>
      <c r="K153" s="77" t="str">
        <f>IF(AB153=1,ROUND(AG153/60,4),"")</f>
        <v/>
      </c>
      <c r="L153" s="77" t="str">
        <f>IF(BD153=1,ROUND(AP153/60,4),"")</f>
        <v/>
      </c>
      <c r="M153" s="77" t="str">
        <f>IF(BD153=1,ROUND(AQ153/60,4),"")</f>
        <v/>
      </c>
      <c r="N153" s="71" t="str">
        <f>IF(AND(D153="proMX",AB153=1),ROUND(AG153/CFG_BLK,2),"")</f>
        <v/>
      </c>
      <c r="O153" s="77" t="str">
        <f>IF(D153="proMX",IF(BD153=1,ROUND(AG153/60,4),0),"")</f>
        <v/>
      </c>
      <c r="P153" s="78" t="str">
        <f>IF(Y153=0,"",IF(BD153=1,"OK",IF(D153="proMX","Revisar bloques: ","Revisar: ")&amp;BC153))</f>
        <v/>
      </c>
      <c r="Q153" s="78" t="str">
        <f>IF(NOT(ISNUMBER(B153)),"",IF(COUNTIFS(FER_F,INT(B153))&gt;0,"Feriado"&amp;IF(AH153=1," (laborable)"," (no laborable)"),IF(AH153=1,"Laborable",IF(WEEKDAY(B153,2)&gt;5,"Fin de semana","No laborable"))))</f>
        <v/>
      </c>
      <c r="R153" s="73" t="n"/>
      <c r="S153" s="72" t="n"/>
      <c r="T153" s="72" t="n"/>
      <c r="U153" s="74" t="n"/>
      <c r="V153" s="79" t="str">
        <f>IF(AND(D153="proMX",OR(R153="Submitted",R153="Recall Requested"),ISNUMBER(S153)),CFG_TODAY-INT(S153),"")</f>
        <v/>
      </c>
      <c r="W153" s="78" t="str">
        <f>IF(BD153=0,"",IF(BA153&gt;0,"⚠ Se superpone con un registro de la otra empresa",IF(D153="Malcolm",IF(COUNTA(R153,S153,T153)&gt;0,"Estado/fechas proMX se ignoran en Malcolm",""),IF(BF153="Cancelled","Cancelado: excluido de totales",IF(R153="","Sin estado: se trata como Draft",IF(BF153="Submitted",IF(ISNUMBER(V153),IF(V153&gt;CFG_MAXD,"⚠ "&amp;V153&amp;" días en Submitted (máx. "&amp;CFG_MAXD&amp;")",""),"Falta fecha de envío"),IF(BF153="Returned","⚠ Devuelto: corregir y reenviar",IF(BF153="Recall Requested","Retirada solicitada: pendiente",IF(AND(BF153="Approved",NOT(ISNUMBER(T153))),"Falta fecha de aprobación",IF(AND(ISNUMBER(S153),ISNUMBER(T153),T153&lt;S153),"Aprobación anterior al envío","")))))))))</f>
        <v/>
      </c>
      <c r="Y153" s="80">
        <f>IF(COUNTA(B153,D153,E153,F153,G153,H153,I153,J153,R153,S153,T153)&gt;0,1,0)</f>
        <v>0</v>
      </c>
      <c r="Z153" s="80" t="str">
        <f>IF(AND(ISNUMBER(H153),H153&gt;=0,H153&lt;1),ROUND(H153*1440,0),"")</f>
        <v/>
      </c>
      <c r="AA153" s="80" t="str">
        <f>IF(AND(ISNUMBER(I153),I153&gt;=0,I153&lt;1),ROUND(I153*1440,0),"")</f>
        <v/>
      </c>
      <c r="AB153" s="80">
        <f>IF(AND(ISNUMBER(B153),D153&lt;&gt;"",ISNUMBER(Z153),ISNUMBER(AA153)),IF(Z153=AA153,0,1),0)</f>
        <v>0</v>
      </c>
      <c r="AC153" s="80">
        <f>IF(AB153=1,IF(AA153&lt;Z153,1,0),0)</f>
        <v>0</v>
      </c>
      <c r="AD153" s="80">
        <f>IF(AB153=1,IF(AC153=1,1440-Z153+AA153,AA153-Z153),0)</f>
        <v>0</v>
      </c>
      <c r="AE153" s="80">
        <f>IF(J153="",0,IF(ISNUMBER(J153),J153,-1))</f>
        <v>0</v>
      </c>
      <c r="AF153" s="80">
        <f>MIN(MAX(0,AE153),AD153)</f>
        <v>0</v>
      </c>
      <c r="AG153" s="80">
        <f>MAX(0,AD153-MAX(0,AE153))</f>
        <v>0</v>
      </c>
      <c r="AH153" s="80">
        <f>IF(ISNUMBER(B153),IF(AND(INDEX(CFG_WDAYS,WEEKDAY(INT(B153),2))="Sí",IF(D153="proMX",COUNTIFS(FER_F,INT(B153),FER_NLP,"Sí"),COUNTIFS(FER_F,INT(B153),FER_NLM,"Sí"))=0),1,0),0)</f>
        <v>0</v>
      </c>
      <c r="AI153" s="80">
        <f>IF(AC153=1,IF(AND(INDEX(CFG_WDAYS,WEEKDAY(INT(B153)+1,2))="Sí",IF(D153="proMX",COUNTIFS(FER_F,INT(B153)+1,FER_NLP,"Sí"),COUNTIFS(FER_F,INT(B153)+1,FER_NLM,"Sí"))=0),1,0),0)</f>
        <v>0</v>
      </c>
      <c r="AJ153" s="80">
        <f>IF(AC153=1,1440-Z153,AD153)</f>
        <v>0</v>
      </c>
      <c r="AK153" s="80">
        <f>IF(AND(AB153=1,AH153=1),MAX(0,MIN(IF(AC153=1,1440,AA153),CFG_WEM)-MAX(Z153,CFG_WSM)),0)</f>
        <v>0</v>
      </c>
      <c r="AL153" s="80">
        <f>IF(AND(AC153=1,AI153=1),MAX(0,MIN(AA153,CFG_WEM)-CFG_WSM),0)</f>
        <v>0</v>
      </c>
      <c r="AM153" s="80">
        <f>AK153+AL153</f>
        <v>0</v>
      </c>
      <c r="AN153" s="80">
        <f>IF(CFG_BRK="Proporcional",IF(AD153=0,0,AF153*AM153/AD153),IF(CFG_BRK="Extras primero",MIN(AM153,MAX(0,AF153-(AD153-AM153))),MIN(AF153,AM153)))</f>
        <v>0</v>
      </c>
      <c r="AO153" s="80">
        <f>AF153-AN153</f>
        <v>0</v>
      </c>
      <c r="AP153" s="80">
        <f>AM153-AN153</f>
        <v>0</v>
      </c>
      <c r="AQ153" s="80">
        <f>AD153-AM153-AO153</f>
        <v>0</v>
      </c>
      <c r="AR153" s="80">
        <f>IF(AM153=0,0,AK153-AN153*AK153/AM153)</f>
        <v>0</v>
      </c>
      <c r="AS153" s="80">
        <f>IF(AD153-AM153=0,0,(AJ153-AK153)-AO153*(AJ153-AK153)/(AD153-AM153))</f>
        <v>0</v>
      </c>
      <c r="AT153" s="80" t="str">
        <f>IF(AC153=1,INT(B153)+1,"")</f>
        <v/>
      </c>
      <c r="AU153" s="80">
        <f>IF(AND(D153="proMX",R153="Cancelled"),0,1)</f>
        <v>1</v>
      </c>
      <c r="AV153" s="80">
        <f>IF(AND(AB153=1,AU153=1),IF(COUNTIFS($D$5:D152,D153,$B$5:B152,B153,$Z$5:Z152,Z153,$AA$5:AA152,AA153,$F$5:F152,F153&amp;"",$AU$5:AU152,1)&gt;0,1,0),0)</f>
        <v>0</v>
      </c>
      <c r="AW153" s="80" t="str">
        <f>IF(AB153=1,INT(B153)*1440+Z153,"")</f>
        <v/>
      </c>
      <c r="AX153" s="80" t="str">
        <f>IF(AB153=1,AW153+AD153,"")</f>
        <v/>
      </c>
      <c r="AY153" s="80">
        <f>IF(AND(AB153=1,AV153=0,AU153=1),1,0)</f>
        <v>0</v>
      </c>
      <c r="AZ153" s="80">
        <f>IF(AY153=1,COUNTIFS(R_Emp,D153,R_SAbs,"&lt;"&amp;AX153,R_EAbs,"&gt;"&amp;AW153,R_OKey,1)-1,0)</f>
        <v>0</v>
      </c>
      <c r="BA153" s="80">
        <f>IF(AY153=1,COUNTIFS(R_Emp,"&lt;&gt;"&amp;D153,R_SAbs,"&lt;"&amp;AX153,R_EAbs,"&gt;"&amp;AW153,R_OKey,1),0)</f>
        <v>0</v>
      </c>
      <c r="BB153" s="80">
        <f>IF(AND(AB153=1,D153="proMX"),IF(AND(MOD(Z153,CFG_BLK)=0,MOD(AA153,CFG_BLK)=0,MOD(AG153,CFG_BLK)=0,AG153&gt;0),1,0),1)</f>
        <v>1</v>
      </c>
      <c r="BC153" s="80" t="str">
        <f>IF(Y153=0,"",IF(NOT(ISNUMBER(B153)),"Falta fecha o fecha inválida",IF(D153="","Falta empresa",IF(AND(D153&lt;&gt;"Malcolm",D153&lt;&gt;"proMX"),"Empresa inválida",IF(OR(INT(B153)&lt;CFG_PSTART,INT(B153)&gt;CFG_PEND),"Fecha fuera del período",IF(OR(NOT(ISNUMBER(Z153)),NOT(ISNUMBER(AA153))),"Falta hora inicio/fin o formato inválido",IF(AB153=0,"Hora inicio = hora fin",IF(AE153&lt;0,"Descanso inválido",IF(AE153&gt;=AD153,"Descanso ≥ duración",IF(AV153=1,"Registro duplicado",IF(AZ153&gt;0,"Se superpone con otro registro "&amp;D153,IF(BB153=0,"inicio, fin y duración neta deben ser múltiplos de "&amp;CFG_BLK&amp;" min",""))))))))))))</f>
        <v/>
      </c>
      <c r="BD153" s="80">
        <f>IF(AND(Y153=1,BC153=""),1,0)</f>
        <v>0</v>
      </c>
      <c r="BE153" s="80">
        <f>IF(AND(BD153=1,AU153=1),1,0)</f>
        <v>0</v>
      </c>
      <c r="BF153" s="80" t="str">
        <f>IF(AND(D153="proMX",BD153=1),IF(R153="","Draft",R153),"")</f>
        <v/>
      </c>
      <c r="BG153" s="80">
        <f>IF(BD153=1,ROUND(AG153/60,6),0)</f>
        <v>0</v>
      </c>
      <c r="BH153" s="80">
        <f>IF(BE153=1,ROUND(AG153/60,6),0)</f>
        <v>0</v>
      </c>
      <c r="BI153" s="80">
        <f>IF(BE153=1,ROUND(AP153/60,6),0)</f>
        <v>0</v>
      </c>
      <c r="BJ153" s="80">
        <f>IF(BE153=1,ROUND(AQ153/60,6),0)</f>
        <v>0</v>
      </c>
      <c r="BK153" s="80">
        <f>IF(BE153=1,ROUND((AR153+AS153)/60,6),0)</f>
        <v>0</v>
      </c>
      <c r="BL153" s="80">
        <f>ROUND(BH153-BK153,6)</f>
        <v>0</v>
      </c>
      <c r="BM153" s="80">
        <f>IF(BE153=1,ROUND(AR153/60,6),0)</f>
        <v>0</v>
      </c>
      <c r="BN153" s="80">
        <f>ROUND(BI153-BM153,6)</f>
        <v>0</v>
      </c>
      <c r="BO153" s="80">
        <f>IF(BE153=1,ROUND(AS153/60,6),0)</f>
        <v>0</v>
      </c>
      <c r="BP153" s="80">
        <f>ROUND(BJ153-BO153,6)</f>
        <v>0</v>
      </c>
      <c r="BQ153" s="80">
        <f>IF(BE153=1,AW153,0)</f>
        <v>0</v>
      </c>
      <c r="BR153" s="80">
        <f>IF(BE153=1,AX153,0)</f>
        <v>0</v>
      </c>
      <c r="BS153" s="80">
        <f>IF(AND(BE153=1,D153="Malcolm",BA153&gt;0),MIN(BH153,SUMPRODUCT((R_Emp="proMX")*(R_EN&gt;0)*((R_EN-(R_EN&gt;BR153)*(R_EN-BR153))&gt;(R_SN+(R_SN&lt;BQ153)*(BQ153-R_SN)))*((R_EN-(R_EN&gt;BR153)*(R_EN-BR153))-(R_SN+(R_SN&lt;BQ153)*(BQ153-R_SN))))/60),0)</f>
        <v>0</v>
      </c>
      <c r="BT153" s="80">
        <f>IF(AND(BE153=1,D153="proMX"),ROUND(BI153*CFG_RATE+BJ153*CFG_OTRATE,6),0)</f>
        <v>0</v>
      </c>
      <c r="BU153" s="80">
        <f>IF(AND(BD153=1,D153="proMX"),ROUND(AG153/CFG_BLK,6),0)</f>
        <v>0</v>
      </c>
      <c r="BV153" s="80" t="str">
        <f>IF(BF153="Approved",IF(ISNUMBER(T153),INT(T153),INT(B153)),"")</f>
        <v/>
      </c>
      <c r="BW153" s="80">
        <f>IF(ISNUMBER(B153),IF(DB_MON="Todos",1,IF(AND(INT(B153)&gt;=DB_MS,INT(B153)&lt;=DB_ME),1,0)),0)</f>
        <v>0</v>
      </c>
      <c r="BX153" s="80">
        <f>IF(DB_PROJ="Todos",1,IF(E153&amp;""=DB_PROJ&amp;"",1,0))</f>
        <v>1</v>
      </c>
      <c r="BY153" s="80">
        <f>BW153*BX153</f>
        <v>0</v>
      </c>
      <c r="BZ153" s="80" t="str">
        <f>IF(Y153=1,F153&amp;IF(AND(F153&amp;""&lt;&gt;"",E153&amp;""&lt;&gt;"")," · ","")&amp;E153,"")</f>
        <v/>
      </c>
      <c r="CA153" s="80" t="str">
        <f>IF(AND(BD153=1,E153&amp;""&lt;&gt;""),IF(COUNTIFS($E$5:E152,E153,$BD$5:BD152,1)=0,MAX($CA$5:CA152)+1,""),"")</f>
        <v/>
      </c>
      <c r="CB153" s="80" t="str">
        <f>IF(AND(BE153=1,D153="Malcolm",E153&amp;""&lt;&gt;""),IF(COUNTIFS($D$5:D152,"Malcolm",$E$5:E152,E153,$BE$5:BE152,1)=0,MAX($CB$5:CB152)+1,""),"")</f>
        <v/>
      </c>
      <c r="CC153" s="80" t="str">
        <f>IF(AND(BD153=1,D153="proMX",E153&amp;""&lt;&gt;""),IF(COUNTIFS($D$5:D152,"proMX",$E$5:E152,E153,$BD$5:BD152,1)=0,MAX($CC$5:CC152)+1,""),"")</f>
        <v/>
      </c>
      <c r="CD153" s="80" t="str">
        <f>IF(AND(BE153=1,D153="Malcolm",F153&amp;""&lt;&gt;""),IF(COUNTIFS($D$5:D152,"Malcolm",$F$5:F152,F153,$BE$5:BE152,1)=0,MAX($CD$5:CD152)+1,""),"")</f>
        <v/>
      </c>
      <c r="CE153" s="80" t="str">
        <f>IF(AND(BD153=1,D153="proMX",F153&amp;""&lt;&gt;""),IF(COUNTIFS($D$5:D152,"proMX",$F$5:F152,F153,$BD$5:BD152,1)=0,MAX($CE$5:CE152)+1,""),"")</f>
        <v/>
      </c>
      <c r="CF153" s="80" t="str">
        <f>IF(AND(D153="proMX",BD153=1),IF(OR(BF153="Draft",BF153="Submitted",BF153="Returned",BF153="Recall Requested"),MAX($CF$5:CF152)+1,""),"")</f>
        <v/>
      </c>
      <c r="CG153" s="80">
        <f>IF(BD153=0,0,IF(D153="Malcolm",1,MATCH(BF153,{"Draft","Submitted","Approved","Returned","Recall Requested","Cancelled"},0)+1))</f>
        <v>0</v>
      </c>
      <c r="CH153" s="80">
        <f>IF(AND(BF153="Submitted",ISNUMBER(V153)),IF(V153&gt;CFG_MAXD,1,0),0)</f>
        <v>0</v>
      </c>
    </row>
    <row r="154">
      <c r="A154" s="71" t="str">
        <f>IF(Y154=1,ROW()-5,"")</f>
        <v/>
      </c>
      <c r="B154" s="72" t="n"/>
      <c r="C154" s="71" t="str">
        <f>IF(ISNUMBER(B154),CHOOSE(WEEKDAY(B154,2),"Lun","Mar","Mié","Jue","Vie","Sáb","Dom"),"")</f>
        <v/>
      </c>
      <c r="D154" s="73" t="n"/>
      <c r="E154" s="74" t="n"/>
      <c r="F154" s="74" t="n"/>
      <c r="G154" s="74" t="n"/>
      <c r="H154" s="75" t="n"/>
      <c r="I154" s="75" t="n"/>
      <c r="J154" s="76" t="n"/>
      <c r="K154" s="77" t="str">
        <f>IF(AB154=1,ROUND(AG154/60,4),"")</f>
        <v/>
      </c>
      <c r="L154" s="77" t="str">
        <f>IF(BD154=1,ROUND(AP154/60,4),"")</f>
        <v/>
      </c>
      <c r="M154" s="77" t="str">
        <f>IF(BD154=1,ROUND(AQ154/60,4),"")</f>
        <v/>
      </c>
      <c r="N154" s="71" t="str">
        <f>IF(AND(D154="proMX",AB154=1),ROUND(AG154/CFG_BLK,2),"")</f>
        <v/>
      </c>
      <c r="O154" s="77" t="str">
        <f>IF(D154="proMX",IF(BD154=1,ROUND(AG154/60,4),0),"")</f>
        <v/>
      </c>
      <c r="P154" s="78" t="str">
        <f>IF(Y154=0,"",IF(BD154=1,"OK",IF(D154="proMX","Revisar bloques: ","Revisar: ")&amp;BC154))</f>
        <v/>
      </c>
      <c r="Q154" s="78" t="str">
        <f>IF(NOT(ISNUMBER(B154)),"",IF(COUNTIFS(FER_F,INT(B154))&gt;0,"Feriado"&amp;IF(AH154=1," (laborable)"," (no laborable)"),IF(AH154=1,"Laborable",IF(WEEKDAY(B154,2)&gt;5,"Fin de semana","No laborable"))))</f>
        <v/>
      </c>
      <c r="R154" s="73" t="n"/>
      <c r="S154" s="72" t="n"/>
      <c r="T154" s="72" t="n"/>
      <c r="U154" s="74" t="n"/>
      <c r="V154" s="79" t="str">
        <f>IF(AND(D154="proMX",OR(R154="Submitted",R154="Recall Requested"),ISNUMBER(S154)),CFG_TODAY-INT(S154),"")</f>
        <v/>
      </c>
      <c r="W154" s="78" t="str">
        <f>IF(BD154=0,"",IF(BA154&gt;0,"⚠ Se superpone con un registro de la otra empresa",IF(D154="Malcolm",IF(COUNTA(R154,S154,T154)&gt;0,"Estado/fechas proMX se ignoran en Malcolm",""),IF(BF154="Cancelled","Cancelado: excluido de totales",IF(R154="","Sin estado: se trata como Draft",IF(BF154="Submitted",IF(ISNUMBER(V154),IF(V154&gt;CFG_MAXD,"⚠ "&amp;V154&amp;" días en Submitted (máx. "&amp;CFG_MAXD&amp;")",""),"Falta fecha de envío"),IF(BF154="Returned","⚠ Devuelto: corregir y reenviar",IF(BF154="Recall Requested","Retirada solicitada: pendiente",IF(AND(BF154="Approved",NOT(ISNUMBER(T154))),"Falta fecha de aprobación",IF(AND(ISNUMBER(S154),ISNUMBER(T154),T154&lt;S154),"Aprobación anterior al envío","")))))))))</f>
        <v/>
      </c>
      <c r="Y154" s="80">
        <f>IF(COUNTA(B154,D154,E154,F154,G154,H154,I154,J154,R154,S154,T154)&gt;0,1,0)</f>
        <v>0</v>
      </c>
      <c r="Z154" s="80" t="str">
        <f>IF(AND(ISNUMBER(H154),H154&gt;=0,H154&lt;1),ROUND(H154*1440,0),"")</f>
        <v/>
      </c>
      <c r="AA154" s="80" t="str">
        <f>IF(AND(ISNUMBER(I154),I154&gt;=0,I154&lt;1),ROUND(I154*1440,0),"")</f>
        <v/>
      </c>
      <c r="AB154" s="80">
        <f>IF(AND(ISNUMBER(B154),D154&lt;&gt;"",ISNUMBER(Z154),ISNUMBER(AA154)),IF(Z154=AA154,0,1),0)</f>
        <v>0</v>
      </c>
      <c r="AC154" s="80">
        <f>IF(AB154=1,IF(AA154&lt;Z154,1,0),0)</f>
        <v>0</v>
      </c>
      <c r="AD154" s="80">
        <f>IF(AB154=1,IF(AC154=1,1440-Z154+AA154,AA154-Z154),0)</f>
        <v>0</v>
      </c>
      <c r="AE154" s="80">
        <f>IF(J154="",0,IF(ISNUMBER(J154),J154,-1))</f>
        <v>0</v>
      </c>
      <c r="AF154" s="80">
        <f>MIN(MAX(0,AE154),AD154)</f>
        <v>0</v>
      </c>
      <c r="AG154" s="80">
        <f>MAX(0,AD154-MAX(0,AE154))</f>
        <v>0</v>
      </c>
      <c r="AH154" s="80">
        <f>IF(ISNUMBER(B154),IF(AND(INDEX(CFG_WDAYS,WEEKDAY(INT(B154),2))="Sí",IF(D154="proMX",COUNTIFS(FER_F,INT(B154),FER_NLP,"Sí"),COUNTIFS(FER_F,INT(B154),FER_NLM,"Sí"))=0),1,0),0)</f>
        <v>0</v>
      </c>
      <c r="AI154" s="80">
        <f>IF(AC154=1,IF(AND(INDEX(CFG_WDAYS,WEEKDAY(INT(B154)+1,2))="Sí",IF(D154="proMX",COUNTIFS(FER_F,INT(B154)+1,FER_NLP,"Sí"),COUNTIFS(FER_F,INT(B154)+1,FER_NLM,"Sí"))=0),1,0),0)</f>
        <v>0</v>
      </c>
      <c r="AJ154" s="80">
        <f>IF(AC154=1,1440-Z154,AD154)</f>
        <v>0</v>
      </c>
      <c r="AK154" s="80">
        <f>IF(AND(AB154=1,AH154=1),MAX(0,MIN(IF(AC154=1,1440,AA154),CFG_WEM)-MAX(Z154,CFG_WSM)),0)</f>
        <v>0</v>
      </c>
      <c r="AL154" s="80">
        <f>IF(AND(AC154=1,AI154=1),MAX(0,MIN(AA154,CFG_WEM)-CFG_WSM),0)</f>
        <v>0</v>
      </c>
      <c r="AM154" s="80">
        <f>AK154+AL154</f>
        <v>0</v>
      </c>
      <c r="AN154" s="80">
        <f>IF(CFG_BRK="Proporcional",IF(AD154=0,0,AF154*AM154/AD154),IF(CFG_BRK="Extras primero",MIN(AM154,MAX(0,AF154-(AD154-AM154))),MIN(AF154,AM154)))</f>
        <v>0</v>
      </c>
      <c r="AO154" s="80">
        <f>AF154-AN154</f>
        <v>0</v>
      </c>
      <c r="AP154" s="80">
        <f>AM154-AN154</f>
        <v>0</v>
      </c>
      <c r="AQ154" s="80">
        <f>AD154-AM154-AO154</f>
        <v>0</v>
      </c>
      <c r="AR154" s="80">
        <f>IF(AM154=0,0,AK154-AN154*AK154/AM154)</f>
        <v>0</v>
      </c>
      <c r="AS154" s="80">
        <f>IF(AD154-AM154=0,0,(AJ154-AK154)-AO154*(AJ154-AK154)/(AD154-AM154))</f>
        <v>0</v>
      </c>
      <c r="AT154" s="80" t="str">
        <f>IF(AC154=1,INT(B154)+1,"")</f>
        <v/>
      </c>
      <c r="AU154" s="80">
        <f>IF(AND(D154="proMX",R154="Cancelled"),0,1)</f>
        <v>1</v>
      </c>
      <c r="AV154" s="80">
        <f>IF(AND(AB154=1,AU154=1),IF(COUNTIFS($D$5:D153,D154,$B$5:B153,B154,$Z$5:Z153,Z154,$AA$5:AA153,AA154,$F$5:F153,F154&amp;"",$AU$5:AU153,1)&gt;0,1,0),0)</f>
        <v>0</v>
      </c>
      <c r="AW154" s="80" t="str">
        <f>IF(AB154=1,INT(B154)*1440+Z154,"")</f>
        <v/>
      </c>
      <c r="AX154" s="80" t="str">
        <f>IF(AB154=1,AW154+AD154,"")</f>
        <v/>
      </c>
      <c r="AY154" s="80">
        <f>IF(AND(AB154=1,AV154=0,AU154=1),1,0)</f>
        <v>0</v>
      </c>
      <c r="AZ154" s="80">
        <f>IF(AY154=1,COUNTIFS(R_Emp,D154,R_SAbs,"&lt;"&amp;AX154,R_EAbs,"&gt;"&amp;AW154,R_OKey,1)-1,0)</f>
        <v>0</v>
      </c>
      <c r="BA154" s="80">
        <f>IF(AY154=1,COUNTIFS(R_Emp,"&lt;&gt;"&amp;D154,R_SAbs,"&lt;"&amp;AX154,R_EAbs,"&gt;"&amp;AW154,R_OKey,1),0)</f>
        <v>0</v>
      </c>
      <c r="BB154" s="80">
        <f>IF(AND(AB154=1,D154="proMX"),IF(AND(MOD(Z154,CFG_BLK)=0,MOD(AA154,CFG_BLK)=0,MOD(AG154,CFG_BLK)=0,AG154&gt;0),1,0),1)</f>
        <v>1</v>
      </c>
      <c r="BC154" s="80" t="str">
        <f>IF(Y154=0,"",IF(NOT(ISNUMBER(B154)),"Falta fecha o fecha inválida",IF(D154="","Falta empresa",IF(AND(D154&lt;&gt;"Malcolm",D154&lt;&gt;"proMX"),"Empresa inválida",IF(OR(INT(B154)&lt;CFG_PSTART,INT(B154)&gt;CFG_PEND),"Fecha fuera del período",IF(OR(NOT(ISNUMBER(Z154)),NOT(ISNUMBER(AA154))),"Falta hora inicio/fin o formato inválido",IF(AB154=0,"Hora inicio = hora fin",IF(AE154&lt;0,"Descanso inválido",IF(AE154&gt;=AD154,"Descanso ≥ duración",IF(AV154=1,"Registro duplicado",IF(AZ154&gt;0,"Se superpone con otro registro "&amp;D154,IF(BB154=0,"inicio, fin y duración neta deben ser múltiplos de "&amp;CFG_BLK&amp;" min",""))))))))))))</f>
        <v/>
      </c>
      <c r="BD154" s="80">
        <f>IF(AND(Y154=1,BC154=""),1,0)</f>
        <v>0</v>
      </c>
      <c r="BE154" s="80">
        <f>IF(AND(BD154=1,AU154=1),1,0)</f>
        <v>0</v>
      </c>
      <c r="BF154" s="80" t="str">
        <f>IF(AND(D154="proMX",BD154=1),IF(R154="","Draft",R154),"")</f>
        <v/>
      </c>
      <c r="BG154" s="80">
        <f>IF(BD154=1,ROUND(AG154/60,6),0)</f>
        <v>0</v>
      </c>
      <c r="BH154" s="80">
        <f>IF(BE154=1,ROUND(AG154/60,6),0)</f>
        <v>0</v>
      </c>
      <c r="BI154" s="80">
        <f>IF(BE154=1,ROUND(AP154/60,6),0)</f>
        <v>0</v>
      </c>
      <c r="BJ154" s="80">
        <f>IF(BE154=1,ROUND(AQ154/60,6),0)</f>
        <v>0</v>
      </c>
      <c r="BK154" s="80">
        <f>IF(BE154=1,ROUND((AR154+AS154)/60,6),0)</f>
        <v>0</v>
      </c>
      <c r="BL154" s="80">
        <f>ROUND(BH154-BK154,6)</f>
        <v>0</v>
      </c>
      <c r="BM154" s="80">
        <f>IF(BE154=1,ROUND(AR154/60,6),0)</f>
        <v>0</v>
      </c>
      <c r="BN154" s="80">
        <f>ROUND(BI154-BM154,6)</f>
        <v>0</v>
      </c>
      <c r="BO154" s="80">
        <f>IF(BE154=1,ROUND(AS154/60,6),0)</f>
        <v>0</v>
      </c>
      <c r="BP154" s="80">
        <f>ROUND(BJ154-BO154,6)</f>
        <v>0</v>
      </c>
      <c r="BQ154" s="80">
        <f>IF(BE154=1,AW154,0)</f>
        <v>0</v>
      </c>
      <c r="BR154" s="80">
        <f>IF(BE154=1,AX154,0)</f>
        <v>0</v>
      </c>
      <c r="BS154" s="80">
        <f>IF(AND(BE154=1,D154="Malcolm",BA154&gt;0),MIN(BH154,SUMPRODUCT((R_Emp="proMX")*(R_EN&gt;0)*((R_EN-(R_EN&gt;BR154)*(R_EN-BR154))&gt;(R_SN+(R_SN&lt;BQ154)*(BQ154-R_SN)))*((R_EN-(R_EN&gt;BR154)*(R_EN-BR154))-(R_SN+(R_SN&lt;BQ154)*(BQ154-R_SN))))/60),0)</f>
        <v>0</v>
      </c>
      <c r="BT154" s="80">
        <f>IF(AND(BE154=1,D154="proMX"),ROUND(BI154*CFG_RATE+BJ154*CFG_OTRATE,6),0)</f>
        <v>0</v>
      </c>
      <c r="BU154" s="80">
        <f>IF(AND(BD154=1,D154="proMX"),ROUND(AG154/CFG_BLK,6),0)</f>
        <v>0</v>
      </c>
      <c r="BV154" s="80" t="str">
        <f>IF(BF154="Approved",IF(ISNUMBER(T154),INT(T154),INT(B154)),"")</f>
        <v/>
      </c>
      <c r="BW154" s="80">
        <f>IF(ISNUMBER(B154),IF(DB_MON="Todos",1,IF(AND(INT(B154)&gt;=DB_MS,INT(B154)&lt;=DB_ME),1,0)),0)</f>
        <v>0</v>
      </c>
      <c r="BX154" s="80">
        <f>IF(DB_PROJ="Todos",1,IF(E154&amp;""=DB_PROJ&amp;"",1,0))</f>
        <v>1</v>
      </c>
      <c r="BY154" s="80">
        <f>BW154*BX154</f>
        <v>0</v>
      </c>
      <c r="BZ154" s="80" t="str">
        <f>IF(Y154=1,F154&amp;IF(AND(F154&amp;""&lt;&gt;"",E154&amp;""&lt;&gt;"")," · ","")&amp;E154,"")</f>
        <v/>
      </c>
      <c r="CA154" s="80" t="str">
        <f>IF(AND(BD154=1,E154&amp;""&lt;&gt;""),IF(COUNTIFS($E$5:E153,E154,$BD$5:BD153,1)=0,MAX($CA$5:CA153)+1,""),"")</f>
        <v/>
      </c>
      <c r="CB154" s="80" t="str">
        <f>IF(AND(BE154=1,D154="Malcolm",E154&amp;""&lt;&gt;""),IF(COUNTIFS($D$5:D153,"Malcolm",$E$5:E153,E154,$BE$5:BE153,1)=0,MAX($CB$5:CB153)+1,""),"")</f>
        <v/>
      </c>
      <c r="CC154" s="80" t="str">
        <f>IF(AND(BD154=1,D154="proMX",E154&amp;""&lt;&gt;""),IF(COUNTIFS($D$5:D153,"proMX",$E$5:E153,E154,$BD$5:BD153,1)=0,MAX($CC$5:CC153)+1,""),"")</f>
        <v/>
      </c>
      <c r="CD154" s="80" t="str">
        <f>IF(AND(BE154=1,D154="Malcolm",F154&amp;""&lt;&gt;""),IF(COUNTIFS($D$5:D153,"Malcolm",$F$5:F153,F154,$BE$5:BE153,1)=0,MAX($CD$5:CD153)+1,""),"")</f>
        <v/>
      </c>
      <c r="CE154" s="80" t="str">
        <f>IF(AND(BD154=1,D154="proMX",F154&amp;""&lt;&gt;""),IF(COUNTIFS($D$5:D153,"proMX",$F$5:F153,F154,$BD$5:BD153,1)=0,MAX($CE$5:CE153)+1,""),"")</f>
        <v/>
      </c>
      <c r="CF154" s="80" t="str">
        <f>IF(AND(D154="proMX",BD154=1),IF(OR(BF154="Draft",BF154="Submitted",BF154="Returned",BF154="Recall Requested"),MAX($CF$5:CF153)+1,""),"")</f>
        <v/>
      </c>
      <c r="CG154" s="80">
        <f>IF(BD154=0,0,IF(D154="Malcolm",1,MATCH(BF154,{"Draft","Submitted","Approved","Returned","Recall Requested","Cancelled"},0)+1))</f>
        <v>0</v>
      </c>
      <c r="CH154" s="80">
        <f>IF(AND(BF154="Submitted",ISNUMBER(V154)),IF(V154&gt;CFG_MAXD,1,0),0)</f>
        <v>0</v>
      </c>
    </row>
    <row r="155">
      <c r="A155" s="71" t="str">
        <f>IF(Y155=1,ROW()-5,"")</f>
        <v/>
      </c>
      <c r="B155" s="72" t="n"/>
      <c r="C155" s="71" t="str">
        <f>IF(ISNUMBER(B155),CHOOSE(WEEKDAY(B155,2),"Lun","Mar","Mié","Jue","Vie","Sáb","Dom"),"")</f>
        <v/>
      </c>
      <c r="D155" s="73" t="n"/>
      <c r="E155" s="74" t="n"/>
      <c r="F155" s="74" t="n"/>
      <c r="G155" s="74" t="n"/>
      <c r="H155" s="75" t="n"/>
      <c r="I155" s="75" t="n"/>
      <c r="J155" s="76" t="n"/>
      <c r="K155" s="77" t="str">
        <f>IF(AB155=1,ROUND(AG155/60,4),"")</f>
        <v/>
      </c>
      <c r="L155" s="77" t="str">
        <f>IF(BD155=1,ROUND(AP155/60,4),"")</f>
        <v/>
      </c>
      <c r="M155" s="77" t="str">
        <f>IF(BD155=1,ROUND(AQ155/60,4),"")</f>
        <v/>
      </c>
      <c r="N155" s="71" t="str">
        <f>IF(AND(D155="proMX",AB155=1),ROUND(AG155/CFG_BLK,2),"")</f>
        <v/>
      </c>
      <c r="O155" s="77" t="str">
        <f>IF(D155="proMX",IF(BD155=1,ROUND(AG155/60,4),0),"")</f>
        <v/>
      </c>
      <c r="P155" s="78" t="str">
        <f>IF(Y155=0,"",IF(BD155=1,"OK",IF(D155="proMX","Revisar bloques: ","Revisar: ")&amp;BC155))</f>
        <v/>
      </c>
      <c r="Q155" s="78" t="str">
        <f>IF(NOT(ISNUMBER(B155)),"",IF(COUNTIFS(FER_F,INT(B155))&gt;0,"Feriado"&amp;IF(AH155=1," (laborable)"," (no laborable)"),IF(AH155=1,"Laborable",IF(WEEKDAY(B155,2)&gt;5,"Fin de semana","No laborable"))))</f>
        <v/>
      </c>
      <c r="R155" s="73" t="n"/>
      <c r="S155" s="72" t="n"/>
      <c r="T155" s="72" t="n"/>
      <c r="U155" s="74" t="n"/>
      <c r="V155" s="79" t="str">
        <f>IF(AND(D155="proMX",OR(R155="Submitted",R155="Recall Requested"),ISNUMBER(S155)),CFG_TODAY-INT(S155),"")</f>
        <v/>
      </c>
      <c r="W155" s="78" t="str">
        <f>IF(BD155=0,"",IF(BA155&gt;0,"⚠ Se superpone con un registro de la otra empresa",IF(D155="Malcolm",IF(COUNTA(R155,S155,T155)&gt;0,"Estado/fechas proMX se ignoran en Malcolm",""),IF(BF155="Cancelled","Cancelado: excluido de totales",IF(R155="","Sin estado: se trata como Draft",IF(BF155="Submitted",IF(ISNUMBER(V155),IF(V155&gt;CFG_MAXD,"⚠ "&amp;V155&amp;" días en Submitted (máx. "&amp;CFG_MAXD&amp;")",""),"Falta fecha de envío"),IF(BF155="Returned","⚠ Devuelto: corregir y reenviar",IF(BF155="Recall Requested","Retirada solicitada: pendiente",IF(AND(BF155="Approved",NOT(ISNUMBER(T155))),"Falta fecha de aprobación",IF(AND(ISNUMBER(S155),ISNUMBER(T155),T155&lt;S155),"Aprobación anterior al envío","")))))))))</f>
        <v/>
      </c>
      <c r="Y155" s="80">
        <f>IF(COUNTA(B155,D155,E155,F155,G155,H155,I155,J155,R155,S155,T155)&gt;0,1,0)</f>
        <v>0</v>
      </c>
      <c r="Z155" s="80" t="str">
        <f>IF(AND(ISNUMBER(H155),H155&gt;=0,H155&lt;1),ROUND(H155*1440,0),"")</f>
        <v/>
      </c>
      <c r="AA155" s="80" t="str">
        <f>IF(AND(ISNUMBER(I155),I155&gt;=0,I155&lt;1),ROUND(I155*1440,0),"")</f>
        <v/>
      </c>
      <c r="AB155" s="80">
        <f>IF(AND(ISNUMBER(B155),D155&lt;&gt;"",ISNUMBER(Z155),ISNUMBER(AA155)),IF(Z155=AA155,0,1),0)</f>
        <v>0</v>
      </c>
      <c r="AC155" s="80">
        <f>IF(AB155=1,IF(AA155&lt;Z155,1,0),0)</f>
        <v>0</v>
      </c>
      <c r="AD155" s="80">
        <f>IF(AB155=1,IF(AC155=1,1440-Z155+AA155,AA155-Z155),0)</f>
        <v>0</v>
      </c>
      <c r="AE155" s="80">
        <f>IF(J155="",0,IF(ISNUMBER(J155),J155,-1))</f>
        <v>0</v>
      </c>
      <c r="AF155" s="80">
        <f>MIN(MAX(0,AE155),AD155)</f>
        <v>0</v>
      </c>
      <c r="AG155" s="80">
        <f>MAX(0,AD155-MAX(0,AE155))</f>
        <v>0</v>
      </c>
      <c r="AH155" s="80">
        <f>IF(ISNUMBER(B155),IF(AND(INDEX(CFG_WDAYS,WEEKDAY(INT(B155),2))="Sí",IF(D155="proMX",COUNTIFS(FER_F,INT(B155),FER_NLP,"Sí"),COUNTIFS(FER_F,INT(B155),FER_NLM,"Sí"))=0),1,0),0)</f>
        <v>0</v>
      </c>
      <c r="AI155" s="80">
        <f>IF(AC155=1,IF(AND(INDEX(CFG_WDAYS,WEEKDAY(INT(B155)+1,2))="Sí",IF(D155="proMX",COUNTIFS(FER_F,INT(B155)+1,FER_NLP,"Sí"),COUNTIFS(FER_F,INT(B155)+1,FER_NLM,"Sí"))=0),1,0),0)</f>
        <v>0</v>
      </c>
      <c r="AJ155" s="80">
        <f>IF(AC155=1,1440-Z155,AD155)</f>
        <v>0</v>
      </c>
      <c r="AK155" s="80">
        <f>IF(AND(AB155=1,AH155=1),MAX(0,MIN(IF(AC155=1,1440,AA155),CFG_WEM)-MAX(Z155,CFG_WSM)),0)</f>
        <v>0</v>
      </c>
      <c r="AL155" s="80">
        <f>IF(AND(AC155=1,AI155=1),MAX(0,MIN(AA155,CFG_WEM)-CFG_WSM),0)</f>
        <v>0</v>
      </c>
      <c r="AM155" s="80">
        <f>AK155+AL155</f>
        <v>0</v>
      </c>
      <c r="AN155" s="80">
        <f>IF(CFG_BRK="Proporcional",IF(AD155=0,0,AF155*AM155/AD155),IF(CFG_BRK="Extras primero",MIN(AM155,MAX(0,AF155-(AD155-AM155))),MIN(AF155,AM155)))</f>
        <v>0</v>
      </c>
      <c r="AO155" s="80">
        <f>AF155-AN155</f>
        <v>0</v>
      </c>
      <c r="AP155" s="80">
        <f>AM155-AN155</f>
        <v>0</v>
      </c>
      <c r="AQ155" s="80">
        <f>AD155-AM155-AO155</f>
        <v>0</v>
      </c>
      <c r="AR155" s="80">
        <f>IF(AM155=0,0,AK155-AN155*AK155/AM155)</f>
        <v>0</v>
      </c>
      <c r="AS155" s="80">
        <f>IF(AD155-AM155=0,0,(AJ155-AK155)-AO155*(AJ155-AK155)/(AD155-AM155))</f>
        <v>0</v>
      </c>
      <c r="AT155" s="80" t="str">
        <f>IF(AC155=1,INT(B155)+1,"")</f>
        <v/>
      </c>
      <c r="AU155" s="80">
        <f>IF(AND(D155="proMX",R155="Cancelled"),0,1)</f>
        <v>1</v>
      </c>
      <c r="AV155" s="80">
        <f>IF(AND(AB155=1,AU155=1),IF(COUNTIFS($D$5:D154,D155,$B$5:B154,B155,$Z$5:Z154,Z155,$AA$5:AA154,AA155,$F$5:F154,F155&amp;"",$AU$5:AU154,1)&gt;0,1,0),0)</f>
        <v>0</v>
      </c>
      <c r="AW155" s="80" t="str">
        <f>IF(AB155=1,INT(B155)*1440+Z155,"")</f>
        <v/>
      </c>
      <c r="AX155" s="80" t="str">
        <f>IF(AB155=1,AW155+AD155,"")</f>
        <v/>
      </c>
      <c r="AY155" s="80">
        <f>IF(AND(AB155=1,AV155=0,AU155=1),1,0)</f>
        <v>0</v>
      </c>
      <c r="AZ155" s="80">
        <f>IF(AY155=1,COUNTIFS(R_Emp,D155,R_SAbs,"&lt;"&amp;AX155,R_EAbs,"&gt;"&amp;AW155,R_OKey,1)-1,0)</f>
        <v>0</v>
      </c>
      <c r="BA155" s="80">
        <f>IF(AY155=1,COUNTIFS(R_Emp,"&lt;&gt;"&amp;D155,R_SAbs,"&lt;"&amp;AX155,R_EAbs,"&gt;"&amp;AW155,R_OKey,1),0)</f>
        <v>0</v>
      </c>
      <c r="BB155" s="80">
        <f>IF(AND(AB155=1,D155="proMX"),IF(AND(MOD(Z155,CFG_BLK)=0,MOD(AA155,CFG_BLK)=0,MOD(AG155,CFG_BLK)=0,AG155&gt;0),1,0),1)</f>
        <v>1</v>
      </c>
      <c r="BC155" s="80" t="str">
        <f>IF(Y155=0,"",IF(NOT(ISNUMBER(B155)),"Falta fecha o fecha inválida",IF(D155="","Falta empresa",IF(AND(D155&lt;&gt;"Malcolm",D155&lt;&gt;"proMX"),"Empresa inválida",IF(OR(INT(B155)&lt;CFG_PSTART,INT(B155)&gt;CFG_PEND),"Fecha fuera del período",IF(OR(NOT(ISNUMBER(Z155)),NOT(ISNUMBER(AA155))),"Falta hora inicio/fin o formato inválido",IF(AB155=0,"Hora inicio = hora fin",IF(AE155&lt;0,"Descanso inválido",IF(AE155&gt;=AD155,"Descanso ≥ duración",IF(AV155=1,"Registro duplicado",IF(AZ155&gt;0,"Se superpone con otro registro "&amp;D155,IF(BB155=0,"inicio, fin y duración neta deben ser múltiplos de "&amp;CFG_BLK&amp;" min",""))))))))))))</f>
        <v/>
      </c>
      <c r="BD155" s="80">
        <f>IF(AND(Y155=1,BC155=""),1,0)</f>
        <v>0</v>
      </c>
      <c r="BE155" s="80">
        <f>IF(AND(BD155=1,AU155=1),1,0)</f>
        <v>0</v>
      </c>
      <c r="BF155" s="80" t="str">
        <f>IF(AND(D155="proMX",BD155=1),IF(R155="","Draft",R155),"")</f>
        <v/>
      </c>
      <c r="BG155" s="80">
        <f>IF(BD155=1,ROUND(AG155/60,6),0)</f>
        <v>0</v>
      </c>
      <c r="BH155" s="80">
        <f>IF(BE155=1,ROUND(AG155/60,6),0)</f>
        <v>0</v>
      </c>
      <c r="BI155" s="80">
        <f>IF(BE155=1,ROUND(AP155/60,6),0)</f>
        <v>0</v>
      </c>
      <c r="BJ155" s="80">
        <f>IF(BE155=1,ROUND(AQ155/60,6),0)</f>
        <v>0</v>
      </c>
      <c r="BK155" s="80">
        <f>IF(BE155=1,ROUND((AR155+AS155)/60,6),0)</f>
        <v>0</v>
      </c>
      <c r="BL155" s="80">
        <f>ROUND(BH155-BK155,6)</f>
        <v>0</v>
      </c>
      <c r="BM155" s="80">
        <f>IF(BE155=1,ROUND(AR155/60,6),0)</f>
        <v>0</v>
      </c>
      <c r="BN155" s="80">
        <f>ROUND(BI155-BM155,6)</f>
        <v>0</v>
      </c>
      <c r="BO155" s="80">
        <f>IF(BE155=1,ROUND(AS155/60,6),0)</f>
        <v>0</v>
      </c>
      <c r="BP155" s="80">
        <f>ROUND(BJ155-BO155,6)</f>
        <v>0</v>
      </c>
      <c r="BQ155" s="80">
        <f>IF(BE155=1,AW155,0)</f>
        <v>0</v>
      </c>
      <c r="BR155" s="80">
        <f>IF(BE155=1,AX155,0)</f>
        <v>0</v>
      </c>
      <c r="BS155" s="80">
        <f>IF(AND(BE155=1,D155="Malcolm",BA155&gt;0),MIN(BH155,SUMPRODUCT((R_Emp="proMX")*(R_EN&gt;0)*((R_EN-(R_EN&gt;BR155)*(R_EN-BR155))&gt;(R_SN+(R_SN&lt;BQ155)*(BQ155-R_SN)))*((R_EN-(R_EN&gt;BR155)*(R_EN-BR155))-(R_SN+(R_SN&lt;BQ155)*(BQ155-R_SN))))/60),0)</f>
        <v>0</v>
      </c>
      <c r="BT155" s="80">
        <f>IF(AND(BE155=1,D155="proMX"),ROUND(BI155*CFG_RATE+BJ155*CFG_OTRATE,6),0)</f>
        <v>0</v>
      </c>
      <c r="BU155" s="80">
        <f>IF(AND(BD155=1,D155="proMX"),ROUND(AG155/CFG_BLK,6),0)</f>
        <v>0</v>
      </c>
      <c r="BV155" s="80" t="str">
        <f>IF(BF155="Approved",IF(ISNUMBER(T155),INT(T155),INT(B155)),"")</f>
        <v/>
      </c>
      <c r="BW155" s="80">
        <f>IF(ISNUMBER(B155),IF(DB_MON="Todos",1,IF(AND(INT(B155)&gt;=DB_MS,INT(B155)&lt;=DB_ME),1,0)),0)</f>
        <v>0</v>
      </c>
      <c r="BX155" s="80">
        <f>IF(DB_PROJ="Todos",1,IF(E155&amp;""=DB_PROJ&amp;"",1,0))</f>
        <v>1</v>
      </c>
      <c r="BY155" s="80">
        <f>BW155*BX155</f>
        <v>0</v>
      </c>
      <c r="BZ155" s="80" t="str">
        <f>IF(Y155=1,F155&amp;IF(AND(F155&amp;""&lt;&gt;"",E155&amp;""&lt;&gt;"")," · ","")&amp;E155,"")</f>
        <v/>
      </c>
      <c r="CA155" s="80" t="str">
        <f>IF(AND(BD155=1,E155&amp;""&lt;&gt;""),IF(COUNTIFS($E$5:E154,E155,$BD$5:BD154,1)=0,MAX($CA$5:CA154)+1,""),"")</f>
        <v/>
      </c>
      <c r="CB155" s="80" t="str">
        <f>IF(AND(BE155=1,D155="Malcolm",E155&amp;""&lt;&gt;""),IF(COUNTIFS($D$5:D154,"Malcolm",$E$5:E154,E155,$BE$5:BE154,1)=0,MAX($CB$5:CB154)+1,""),"")</f>
        <v/>
      </c>
      <c r="CC155" s="80" t="str">
        <f>IF(AND(BD155=1,D155="proMX",E155&amp;""&lt;&gt;""),IF(COUNTIFS($D$5:D154,"proMX",$E$5:E154,E155,$BD$5:BD154,1)=0,MAX($CC$5:CC154)+1,""),"")</f>
        <v/>
      </c>
      <c r="CD155" s="80" t="str">
        <f>IF(AND(BE155=1,D155="Malcolm",F155&amp;""&lt;&gt;""),IF(COUNTIFS($D$5:D154,"Malcolm",$F$5:F154,F155,$BE$5:BE154,1)=0,MAX($CD$5:CD154)+1,""),"")</f>
        <v/>
      </c>
      <c r="CE155" s="80" t="str">
        <f>IF(AND(BD155=1,D155="proMX",F155&amp;""&lt;&gt;""),IF(COUNTIFS($D$5:D154,"proMX",$F$5:F154,F155,$BD$5:BD154,1)=0,MAX($CE$5:CE154)+1,""),"")</f>
        <v/>
      </c>
      <c r="CF155" s="80" t="str">
        <f>IF(AND(D155="proMX",BD155=1),IF(OR(BF155="Draft",BF155="Submitted",BF155="Returned",BF155="Recall Requested"),MAX($CF$5:CF154)+1,""),"")</f>
        <v/>
      </c>
      <c r="CG155" s="80">
        <f>IF(BD155=0,0,IF(D155="Malcolm",1,MATCH(BF155,{"Draft","Submitted","Approved","Returned","Recall Requested","Cancelled"},0)+1))</f>
        <v>0</v>
      </c>
      <c r="CH155" s="80">
        <f>IF(AND(BF155="Submitted",ISNUMBER(V155)),IF(V155&gt;CFG_MAXD,1,0),0)</f>
        <v>0</v>
      </c>
    </row>
    <row r="156">
      <c r="A156" s="71" t="str">
        <f>IF(Y156=1,ROW()-5,"")</f>
        <v/>
      </c>
      <c r="B156" s="72" t="n"/>
      <c r="C156" s="71" t="str">
        <f>IF(ISNUMBER(B156),CHOOSE(WEEKDAY(B156,2),"Lun","Mar","Mié","Jue","Vie","Sáb","Dom"),"")</f>
        <v/>
      </c>
      <c r="D156" s="73" t="n"/>
      <c r="E156" s="74" t="n"/>
      <c r="F156" s="74" t="n"/>
      <c r="G156" s="74" t="n"/>
      <c r="H156" s="75" t="n"/>
      <c r="I156" s="75" t="n"/>
      <c r="J156" s="76" t="n"/>
      <c r="K156" s="77" t="str">
        <f>IF(AB156=1,ROUND(AG156/60,4),"")</f>
        <v/>
      </c>
      <c r="L156" s="77" t="str">
        <f>IF(BD156=1,ROUND(AP156/60,4),"")</f>
        <v/>
      </c>
      <c r="M156" s="77" t="str">
        <f>IF(BD156=1,ROUND(AQ156/60,4),"")</f>
        <v/>
      </c>
      <c r="N156" s="71" t="str">
        <f>IF(AND(D156="proMX",AB156=1),ROUND(AG156/CFG_BLK,2),"")</f>
        <v/>
      </c>
      <c r="O156" s="77" t="str">
        <f>IF(D156="proMX",IF(BD156=1,ROUND(AG156/60,4),0),"")</f>
        <v/>
      </c>
      <c r="P156" s="78" t="str">
        <f>IF(Y156=0,"",IF(BD156=1,"OK",IF(D156="proMX","Revisar bloques: ","Revisar: ")&amp;BC156))</f>
        <v/>
      </c>
      <c r="Q156" s="78" t="str">
        <f>IF(NOT(ISNUMBER(B156)),"",IF(COUNTIFS(FER_F,INT(B156))&gt;0,"Feriado"&amp;IF(AH156=1," (laborable)"," (no laborable)"),IF(AH156=1,"Laborable",IF(WEEKDAY(B156,2)&gt;5,"Fin de semana","No laborable"))))</f>
        <v/>
      </c>
      <c r="R156" s="73" t="n"/>
      <c r="S156" s="72" t="n"/>
      <c r="T156" s="72" t="n"/>
      <c r="U156" s="74" t="n"/>
      <c r="V156" s="79" t="str">
        <f>IF(AND(D156="proMX",OR(R156="Submitted",R156="Recall Requested"),ISNUMBER(S156)),CFG_TODAY-INT(S156),"")</f>
        <v/>
      </c>
      <c r="W156" s="78" t="str">
        <f>IF(BD156=0,"",IF(BA156&gt;0,"⚠ Se superpone con un registro de la otra empresa",IF(D156="Malcolm",IF(COUNTA(R156,S156,T156)&gt;0,"Estado/fechas proMX se ignoran en Malcolm",""),IF(BF156="Cancelled","Cancelado: excluido de totales",IF(R156="","Sin estado: se trata como Draft",IF(BF156="Submitted",IF(ISNUMBER(V156),IF(V156&gt;CFG_MAXD,"⚠ "&amp;V156&amp;" días en Submitted (máx. "&amp;CFG_MAXD&amp;")",""),"Falta fecha de envío"),IF(BF156="Returned","⚠ Devuelto: corregir y reenviar",IF(BF156="Recall Requested","Retirada solicitada: pendiente",IF(AND(BF156="Approved",NOT(ISNUMBER(T156))),"Falta fecha de aprobación",IF(AND(ISNUMBER(S156),ISNUMBER(T156),T156&lt;S156),"Aprobación anterior al envío","")))))))))</f>
        <v/>
      </c>
      <c r="Y156" s="80">
        <f>IF(COUNTA(B156,D156,E156,F156,G156,H156,I156,J156,R156,S156,T156)&gt;0,1,0)</f>
        <v>0</v>
      </c>
      <c r="Z156" s="80" t="str">
        <f>IF(AND(ISNUMBER(H156),H156&gt;=0,H156&lt;1),ROUND(H156*1440,0),"")</f>
        <v/>
      </c>
      <c r="AA156" s="80" t="str">
        <f>IF(AND(ISNUMBER(I156),I156&gt;=0,I156&lt;1),ROUND(I156*1440,0),"")</f>
        <v/>
      </c>
      <c r="AB156" s="80">
        <f>IF(AND(ISNUMBER(B156),D156&lt;&gt;"",ISNUMBER(Z156),ISNUMBER(AA156)),IF(Z156=AA156,0,1),0)</f>
        <v>0</v>
      </c>
      <c r="AC156" s="80">
        <f>IF(AB156=1,IF(AA156&lt;Z156,1,0),0)</f>
        <v>0</v>
      </c>
      <c r="AD156" s="80">
        <f>IF(AB156=1,IF(AC156=1,1440-Z156+AA156,AA156-Z156),0)</f>
        <v>0</v>
      </c>
      <c r="AE156" s="80">
        <f>IF(J156="",0,IF(ISNUMBER(J156),J156,-1))</f>
        <v>0</v>
      </c>
      <c r="AF156" s="80">
        <f>MIN(MAX(0,AE156),AD156)</f>
        <v>0</v>
      </c>
      <c r="AG156" s="80">
        <f>MAX(0,AD156-MAX(0,AE156))</f>
        <v>0</v>
      </c>
      <c r="AH156" s="80">
        <f>IF(ISNUMBER(B156),IF(AND(INDEX(CFG_WDAYS,WEEKDAY(INT(B156),2))="Sí",IF(D156="proMX",COUNTIFS(FER_F,INT(B156),FER_NLP,"Sí"),COUNTIFS(FER_F,INT(B156),FER_NLM,"Sí"))=0),1,0),0)</f>
        <v>0</v>
      </c>
      <c r="AI156" s="80">
        <f>IF(AC156=1,IF(AND(INDEX(CFG_WDAYS,WEEKDAY(INT(B156)+1,2))="Sí",IF(D156="proMX",COUNTIFS(FER_F,INT(B156)+1,FER_NLP,"Sí"),COUNTIFS(FER_F,INT(B156)+1,FER_NLM,"Sí"))=0),1,0),0)</f>
        <v>0</v>
      </c>
      <c r="AJ156" s="80">
        <f>IF(AC156=1,1440-Z156,AD156)</f>
        <v>0</v>
      </c>
      <c r="AK156" s="80">
        <f>IF(AND(AB156=1,AH156=1),MAX(0,MIN(IF(AC156=1,1440,AA156),CFG_WEM)-MAX(Z156,CFG_WSM)),0)</f>
        <v>0</v>
      </c>
      <c r="AL156" s="80">
        <f>IF(AND(AC156=1,AI156=1),MAX(0,MIN(AA156,CFG_WEM)-CFG_WSM),0)</f>
        <v>0</v>
      </c>
      <c r="AM156" s="80">
        <f>AK156+AL156</f>
        <v>0</v>
      </c>
      <c r="AN156" s="80">
        <f>IF(CFG_BRK="Proporcional",IF(AD156=0,0,AF156*AM156/AD156),IF(CFG_BRK="Extras primero",MIN(AM156,MAX(0,AF156-(AD156-AM156))),MIN(AF156,AM156)))</f>
        <v>0</v>
      </c>
      <c r="AO156" s="80">
        <f>AF156-AN156</f>
        <v>0</v>
      </c>
      <c r="AP156" s="80">
        <f>AM156-AN156</f>
        <v>0</v>
      </c>
      <c r="AQ156" s="80">
        <f>AD156-AM156-AO156</f>
        <v>0</v>
      </c>
      <c r="AR156" s="80">
        <f>IF(AM156=0,0,AK156-AN156*AK156/AM156)</f>
        <v>0</v>
      </c>
      <c r="AS156" s="80">
        <f>IF(AD156-AM156=0,0,(AJ156-AK156)-AO156*(AJ156-AK156)/(AD156-AM156))</f>
        <v>0</v>
      </c>
      <c r="AT156" s="80" t="str">
        <f>IF(AC156=1,INT(B156)+1,"")</f>
        <v/>
      </c>
      <c r="AU156" s="80">
        <f>IF(AND(D156="proMX",R156="Cancelled"),0,1)</f>
        <v>1</v>
      </c>
      <c r="AV156" s="80">
        <f>IF(AND(AB156=1,AU156=1),IF(COUNTIFS($D$5:D155,D156,$B$5:B155,B156,$Z$5:Z155,Z156,$AA$5:AA155,AA156,$F$5:F155,F156&amp;"",$AU$5:AU155,1)&gt;0,1,0),0)</f>
        <v>0</v>
      </c>
      <c r="AW156" s="80" t="str">
        <f>IF(AB156=1,INT(B156)*1440+Z156,"")</f>
        <v/>
      </c>
      <c r="AX156" s="80" t="str">
        <f>IF(AB156=1,AW156+AD156,"")</f>
        <v/>
      </c>
      <c r="AY156" s="80">
        <f>IF(AND(AB156=1,AV156=0,AU156=1),1,0)</f>
        <v>0</v>
      </c>
      <c r="AZ156" s="80">
        <f>IF(AY156=1,COUNTIFS(R_Emp,D156,R_SAbs,"&lt;"&amp;AX156,R_EAbs,"&gt;"&amp;AW156,R_OKey,1)-1,0)</f>
        <v>0</v>
      </c>
      <c r="BA156" s="80">
        <f>IF(AY156=1,COUNTIFS(R_Emp,"&lt;&gt;"&amp;D156,R_SAbs,"&lt;"&amp;AX156,R_EAbs,"&gt;"&amp;AW156,R_OKey,1),0)</f>
        <v>0</v>
      </c>
      <c r="BB156" s="80">
        <f>IF(AND(AB156=1,D156="proMX"),IF(AND(MOD(Z156,CFG_BLK)=0,MOD(AA156,CFG_BLK)=0,MOD(AG156,CFG_BLK)=0,AG156&gt;0),1,0),1)</f>
        <v>1</v>
      </c>
      <c r="BC156" s="80" t="str">
        <f>IF(Y156=0,"",IF(NOT(ISNUMBER(B156)),"Falta fecha o fecha inválida",IF(D156="","Falta empresa",IF(AND(D156&lt;&gt;"Malcolm",D156&lt;&gt;"proMX"),"Empresa inválida",IF(OR(INT(B156)&lt;CFG_PSTART,INT(B156)&gt;CFG_PEND),"Fecha fuera del período",IF(OR(NOT(ISNUMBER(Z156)),NOT(ISNUMBER(AA156))),"Falta hora inicio/fin o formato inválido",IF(AB156=0,"Hora inicio = hora fin",IF(AE156&lt;0,"Descanso inválido",IF(AE156&gt;=AD156,"Descanso ≥ duración",IF(AV156=1,"Registro duplicado",IF(AZ156&gt;0,"Se superpone con otro registro "&amp;D156,IF(BB156=0,"inicio, fin y duración neta deben ser múltiplos de "&amp;CFG_BLK&amp;" min",""))))))))))))</f>
        <v/>
      </c>
      <c r="BD156" s="80">
        <f>IF(AND(Y156=1,BC156=""),1,0)</f>
        <v>0</v>
      </c>
      <c r="BE156" s="80">
        <f>IF(AND(BD156=1,AU156=1),1,0)</f>
        <v>0</v>
      </c>
      <c r="BF156" s="80" t="str">
        <f>IF(AND(D156="proMX",BD156=1),IF(R156="","Draft",R156),"")</f>
        <v/>
      </c>
      <c r="BG156" s="80">
        <f>IF(BD156=1,ROUND(AG156/60,6),0)</f>
        <v>0</v>
      </c>
      <c r="BH156" s="80">
        <f>IF(BE156=1,ROUND(AG156/60,6),0)</f>
        <v>0</v>
      </c>
      <c r="BI156" s="80">
        <f>IF(BE156=1,ROUND(AP156/60,6),0)</f>
        <v>0</v>
      </c>
      <c r="BJ156" s="80">
        <f>IF(BE156=1,ROUND(AQ156/60,6),0)</f>
        <v>0</v>
      </c>
      <c r="BK156" s="80">
        <f>IF(BE156=1,ROUND((AR156+AS156)/60,6),0)</f>
        <v>0</v>
      </c>
      <c r="BL156" s="80">
        <f>ROUND(BH156-BK156,6)</f>
        <v>0</v>
      </c>
      <c r="BM156" s="80">
        <f>IF(BE156=1,ROUND(AR156/60,6),0)</f>
        <v>0</v>
      </c>
      <c r="BN156" s="80">
        <f>ROUND(BI156-BM156,6)</f>
        <v>0</v>
      </c>
      <c r="BO156" s="80">
        <f>IF(BE156=1,ROUND(AS156/60,6),0)</f>
        <v>0</v>
      </c>
      <c r="BP156" s="80">
        <f>ROUND(BJ156-BO156,6)</f>
        <v>0</v>
      </c>
      <c r="BQ156" s="80">
        <f>IF(BE156=1,AW156,0)</f>
        <v>0</v>
      </c>
      <c r="BR156" s="80">
        <f>IF(BE156=1,AX156,0)</f>
        <v>0</v>
      </c>
      <c r="BS156" s="80">
        <f>IF(AND(BE156=1,D156="Malcolm",BA156&gt;0),MIN(BH156,SUMPRODUCT((R_Emp="proMX")*(R_EN&gt;0)*((R_EN-(R_EN&gt;BR156)*(R_EN-BR156))&gt;(R_SN+(R_SN&lt;BQ156)*(BQ156-R_SN)))*((R_EN-(R_EN&gt;BR156)*(R_EN-BR156))-(R_SN+(R_SN&lt;BQ156)*(BQ156-R_SN))))/60),0)</f>
        <v>0</v>
      </c>
      <c r="BT156" s="80">
        <f>IF(AND(BE156=1,D156="proMX"),ROUND(BI156*CFG_RATE+BJ156*CFG_OTRATE,6),0)</f>
        <v>0</v>
      </c>
      <c r="BU156" s="80">
        <f>IF(AND(BD156=1,D156="proMX"),ROUND(AG156/CFG_BLK,6),0)</f>
        <v>0</v>
      </c>
      <c r="BV156" s="80" t="str">
        <f>IF(BF156="Approved",IF(ISNUMBER(T156),INT(T156),INT(B156)),"")</f>
        <v/>
      </c>
      <c r="BW156" s="80">
        <f>IF(ISNUMBER(B156),IF(DB_MON="Todos",1,IF(AND(INT(B156)&gt;=DB_MS,INT(B156)&lt;=DB_ME),1,0)),0)</f>
        <v>0</v>
      </c>
      <c r="BX156" s="80">
        <f>IF(DB_PROJ="Todos",1,IF(E156&amp;""=DB_PROJ&amp;"",1,0))</f>
        <v>1</v>
      </c>
      <c r="BY156" s="80">
        <f>BW156*BX156</f>
        <v>0</v>
      </c>
      <c r="BZ156" s="80" t="str">
        <f>IF(Y156=1,F156&amp;IF(AND(F156&amp;""&lt;&gt;"",E156&amp;""&lt;&gt;"")," · ","")&amp;E156,"")</f>
        <v/>
      </c>
      <c r="CA156" s="80" t="str">
        <f>IF(AND(BD156=1,E156&amp;""&lt;&gt;""),IF(COUNTIFS($E$5:E155,E156,$BD$5:BD155,1)=0,MAX($CA$5:CA155)+1,""),"")</f>
        <v/>
      </c>
      <c r="CB156" s="80" t="str">
        <f>IF(AND(BE156=1,D156="Malcolm",E156&amp;""&lt;&gt;""),IF(COUNTIFS($D$5:D155,"Malcolm",$E$5:E155,E156,$BE$5:BE155,1)=0,MAX($CB$5:CB155)+1,""),"")</f>
        <v/>
      </c>
      <c r="CC156" s="80" t="str">
        <f>IF(AND(BD156=1,D156="proMX",E156&amp;""&lt;&gt;""),IF(COUNTIFS($D$5:D155,"proMX",$E$5:E155,E156,$BD$5:BD155,1)=0,MAX($CC$5:CC155)+1,""),"")</f>
        <v/>
      </c>
      <c r="CD156" s="80" t="str">
        <f>IF(AND(BE156=1,D156="Malcolm",F156&amp;""&lt;&gt;""),IF(COUNTIFS($D$5:D155,"Malcolm",$F$5:F155,F156,$BE$5:BE155,1)=0,MAX($CD$5:CD155)+1,""),"")</f>
        <v/>
      </c>
      <c r="CE156" s="80" t="str">
        <f>IF(AND(BD156=1,D156="proMX",F156&amp;""&lt;&gt;""),IF(COUNTIFS($D$5:D155,"proMX",$F$5:F155,F156,$BD$5:BD155,1)=0,MAX($CE$5:CE155)+1,""),"")</f>
        <v/>
      </c>
      <c r="CF156" s="80" t="str">
        <f>IF(AND(D156="proMX",BD156=1),IF(OR(BF156="Draft",BF156="Submitted",BF156="Returned",BF156="Recall Requested"),MAX($CF$5:CF155)+1,""),"")</f>
        <v/>
      </c>
      <c r="CG156" s="80">
        <f>IF(BD156=0,0,IF(D156="Malcolm",1,MATCH(BF156,{"Draft","Submitted","Approved","Returned","Recall Requested","Cancelled"},0)+1))</f>
        <v>0</v>
      </c>
      <c r="CH156" s="80">
        <f>IF(AND(BF156="Submitted",ISNUMBER(V156)),IF(V156&gt;CFG_MAXD,1,0),0)</f>
        <v>0</v>
      </c>
    </row>
    <row r="157">
      <c r="A157" s="71" t="str">
        <f>IF(Y157=1,ROW()-5,"")</f>
        <v/>
      </c>
      <c r="B157" s="72" t="n"/>
      <c r="C157" s="71" t="str">
        <f>IF(ISNUMBER(B157),CHOOSE(WEEKDAY(B157,2),"Lun","Mar","Mié","Jue","Vie","Sáb","Dom"),"")</f>
        <v/>
      </c>
      <c r="D157" s="73" t="n"/>
      <c r="E157" s="74" t="n"/>
      <c r="F157" s="74" t="n"/>
      <c r="G157" s="74" t="n"/>
      <c r="H157" s="75" t="n"/>
      <c r="I157" s="75" t="n"/>
      <c r="J157" s="76" t="n"/>
      <c r="K157" s="77" t="str">
        <f>IF(AB157=1,ROUND(AG157/60,4),"")</f>
        <v/>
      </c>
      <c r="L157" s="77" t="str">
        <f>IF(BD157=1,ROUND(AP157/60,4),"")</f>
        <v/>
      </c>
      <c r="M157" s="77" t="str">
        <f>IF(BD157=1,ROUND(AQ157/60,4),"")</f>
        <v/>
      </c>
      <c r="N157" s="71" t="str">
        <f>IF(AND(D157="proMX",AB157=1),ROUND(AG157/CFG_BLK,2),"")</f>
        <v/>
      </c>
      <c r="O157" s="77" t="str">
        <f>IF(D157="proMX",IF(BD157=1,ROUND(AG157/60,4),0),"")</f>
        <v/>
      </c>
      <c r="P157" s="78" t="str">
        <f>IF(Y157=0,"",IF(BD157=1,"OK",IF(D157="proMX","Revisar bloques: ","Revisar: ")&amp;BC157))</f>
        <v/>
      </c>
      <c r="Q157" s="78" t="str">
        <f>IF(NOT(ISNUMBER(B157)),"",IF(COUNTIFS(FER_F,INT(B157))&gt;0,"Feriado"&amp;IF(AH157=1," (laborable)"," (no laborable)"),IF(AH157=1,"Laborable",IF(WEEKDAY(B157,2)&gt;5,"Fin de semana","No laborable"))))</f>
        <v/>
      </c>
      <c r="R157" s="73" t="n"/>
      <c r="S157" s="72" t="n"/>
      <c r="T157" s="72" t="n"/>
      <c r="U157" s="74" t="n"/>
      <c r="V157" s="79" t="str">
        <f>IF(AND(D157="proMX",OR(R157="Submitted",R157="Recall Requested"),ISNUMBER(S157)),CFG_TODAY-INT(S157),"")</f>
        <v/>
      </c>
      <c r="W157" s="78" t="str">
        <f>IF(BD157=0,"",IF(BA157&gt;0,"⚠ Se superpone con un registro de la otra empresa",IF(D157="Malcolm",IF(COUNTA(R157,S157,T157)&gt;0,"Estado/fechas proMX se ignoran en Malcolm",""),IF(BF157="Cancelled","Cancelado: excluido de totales",IF(R157="","Sin estado: se trata como Draft",IF(BF157="Submitted",IF(ISNUMBER(V157),IF(V157&gt;CFG_MAXD,"⚠ "&amp;V157&amp;" días en Submitted (máx. "&amp;CFG_MAXD&amp;")",""),"Falta fecha de envío"),IF(BF157="Returned","⚠ Devuelto: corregir y reenviar",IF(BF157="Recall Requested","Retirada solicitada: pendiente",IF(AND(BF157="Approved",NOT(ISNUMBER(T157))),"Falta fecha de aprobación",IF(AND(ISNUMBER(S157),ISNUMBER(T157),T157&lt;S157),"Aprobación anterior al envío","")))))))))</f>
        <v/>
      </c>
      <c r="Y157" s="80">
        <f>IF(COUNTA(B157,D157,E157,F157,G157,H157,I157,J157,R157,S157,T157)&gt;0,1,0)</f>
        <v>0</v>
      </c>
      <c r="Z157" s="80" t="str">
        <f>IF(AND(ISNUMBER(H157),H157&gt;=0,H157&lt;1),ROUND(H157*1440,0),"")</f>
        <v/>
      </c>
      <c r="AA157" s="80" t="str">
        <f>IF(AND(ISNUMBER(I157),I157&gt;=0,I157&lt;1),ROUND(I157*1440,0),"")</f>
        <v/>
      </c>
      <c r="AB157" s="80">
        <f>IF(AND(ISNUMBER(B157),D157&lt;&gt;"",ISNUMBER(Z157),ISNUMBER(AA157)),IF(Z157=AA157,0,1),0)</f>
        <v>0</v>
      </c>
      <c r="AC157" s="80">
        <f>IF(AB157=1,IF(AA157&lt;Z157,1,0),0)</f>
        <v>0</v>
      </c>
      <c r="AD157" s="80">
        <f>IF(AB157=1,IF(AC157=1,1440-Z157+AA157,AA157-Z157),0)</f>
        <v>0</v>
      </c>
      <c r="AE157" s="80">
        <f>IF(J157="",0,IF(ISNUMBER(J157),J157,-1))</f>
        <v>0</v>
      </c>
      <c r="AF157" s="80">
        <f>MIN(MAX(0,AE157),AD157)</f>
        <v>0</v>
      </c>
      <c r="AG157" s="80">
        <f>MAX(0,AD157-MAX(0,AE157))</f>
        <v>0</v>
      </c>
      <c r="AH157" s="80">
        <f>IF(ISNUMBER(B157),IF(AND(INDEX(CFG_WDAYS,WEEKDAY(INT(B157),2))="Sí",IF(D157="proMX",COUNTIFS(FER_F,INT(B157),FER_NLP,"Sí"),COUNTIFS(FER_F,INT(B157),FER_NLM,"Sí"))=0),1,0),0)</f>
        <v>0</v>
      </c>
      <c r="AI157" s="80">
        <f>IF(AC157=1,IF(AND(INDEX(CFG_WDAYS,WEEKDAY(INT(B157)+1,2))="Sí",IF(D157="proMX",COUNTIFS(FER_F,INT(B157)+1,FER_NLP,"Sí"),COUNTIFS(FER_F,INT(B157)+1,FER_NLM,"Sí"))=0),1,0),0)</f>
        <v>0</v>
      </c>
      <c r="AJ157" s="80">
        <f>IF(AC157=1,1440-Z157,AD157)</f>
        <v>0</v>
      </c>
      <c r="AK157" s="80">
        <f>IF(AND(AB157=1,AH157=1),MAX(0,MIN(IF(AC157=1,1440,AA157),CFG_WEM)-MAX(Z157,CFG_WSM)),0)</f>
        <v>0</v>
      </c>
      <c r="AL157" s="80">
        <f>IF(AND(AC157=1,AI157=1),MAX(0,MIN(AA157,CFG_WEM)-CFG_WSM),0)</f>
        <v>0</v>
      </c>
      <c r="AM157" s="80">
        <f>AK157+AL157</f>
        <v>0</v>
      </c>
      <c r="AN157" s="80">
        <f>IF(CFG_BRK="Proporcional",IF(AD157=0,0,AF157*AM157/AD157),IF(CFG_BRK="Extras primero",MIN(AM157,MAX(0,AF157-(AD157-AM157))),MIN(AF157,AM157)))</f>
        <v>0</v>
      </c>
      <c r="AO157" s="80">
        <f>AF157-AN157</f>
        <v>0</v>
      </c>
      <c r="AP157" s="80">
        <f>AM157-AN157</f>
        <v>0</v>
      </c>
      <c r="AQ157" s="80">
        <f>AD157-AM157-AO157</f>
        <v>0</v>
      </c>
      <c r="AR157" s="80">
        <f>IF(AM157=0,0,AK157-AN157*AK157/AM157)</f>
        <v>0</v>
      </c>
      <c r="AS157" s="80">
        <f>IF(AD157-AM157=0,0,(AJ157-AK157)-AO157*(AJ157-AK157)/(AD157-AM157))</f>
        <v>0</v>
      </c>
      <c r="AT157" s="80" t="str">
        <f>IF(AC157=1,INT(B157)+1,"")</f>
        <v/>
      </c>
      <c r="AU157" s="80">
        <f>IF(AND(D157="proMX",R157="Cancelled"),0,1)</f>
        <v>1</v>
      </c>
      <c r="AV157" s="80">
        <f>IF(AND(AB157=1,AU157=1),IF(COUNTIFS($D$5:D156,D157,$B$5:B156,B157,$Z$5:Z156,Z157,$AA$5:AA156,AA157,$F$5:F156,F157&amp;"",$AU$5:AU156,1)&gt;0,1,0),0)</f>
        <v>0</v>
      </c>
      <c r="AW157" s="80" t="str">
        <f>IF(AB157=1,INT(B157)*1440+Z157,"")</f>
        <v/>
      </c>
      <c r="AX157" s="80" t="str">
        <f>IF(AB157=1,AW157+AD157,"")</f>
        <v/>
      </c>
      <c r="AY157" s="80">
        <f>IF(AND(AB157=1,AV157=0,AU157=1),1,0)</f>
        <v>0</v>
      </c>
      <c r="AZ157" s="80">
        <f>IF(AY157=1,COUNTIFS(R_Emp,D157,R_SAbs,"&lt;"&amp;AX157,R_EAbs,"&gt;"&amp;AW157,R_OKey,1)-1,0)</f>
        <v>0</v>
      </c>
      <c r="BA157" s="80">
        <f>IF(AY157=1,COUNTIFS(R_Emp,"&lt;&gt;"&amp;D157,R_SAbs,"&lt;"&amp;AX157,R_EAbs,"&gt;"&amp;AW157,R_OKey,1),0)</f>
        <v>0</v>
      </c>
      <c r="BB157" s="80">
        <f>IF(AND(AB157=1,D157="proMX"),IF(AND(MOD(Z157,CFG_BLK)=0,MOD(AA157,CFG_BLK)=0,MOD(AG157,CFG_BLK)=0,AG157&gt;0),1,0),1)</f>
        <v>1</v>
      </c>
      <c r="BC157" s="80" t="str">
        <f>IF(Y157=0,"",IF(NOT(ISNUMBER(B157)),"Falta fecha o fecha inválida",IF(D157="","Falta empresa",IF(AND(D157&lt;&gt;"Malcolm",D157&lt;&gt;"proMX"),"Empresa inválida",IF(OR(INT(B157)&lt;CFG_PSTART,INT(B157)&gt;CFG_PEND),"Fecha fuera del período",IF(OR(NOT(ISNUMBER(Z157)),NOT(ISNUMBER(AA157))),"Falta hora inicio/fin o formato inválido",IF(AB157=0,"Hora inicio = hora fin",IF(AE157&lt;0,"Descanso inválido",IF(AE157&gt;=AD157,"Descanso ≥ duración",IF(AV157=1,"Registro duplicado",IF(AZ157&gt;0,"Se superpone con otro registro "&amp;D157,IF(BB157=0,"inicio, fin y duración neta deben ser múltiplos de "&amp;CFG_BLK&amp;" min",""))))))))))))</f>
        <v/>
      </c>
      <c r="BD157" s="80">
        <f>IF(AND(Y157=1,BC157=""),1,0)</f>
        <v>0</v>
      </c>
      <c r="BE157" s="80">
        <f>IF(AND(BD157=1,AU157=1),1,0)</f>
        <v>0</v>
      </c>
      <c r="BF157" s="80" t="str">
        <f>IF(AND(D157="proMX",BD157=1),IF(R157="","Draft",R157),"")</f>
        <v/>
      </c>
      <c r="BG157" s="80">
        <f>IF(BD157=1,ROUND(AG157/60,6),0)</f>
        <v>0</v>
      </c>
      <c r="BH157" s="80">
        <f>IF(BE157=1,ROUND(AG157/60,6),0)</f>
        <v>0</v>
      </c>
      <c r="BI157" s="80">
        <f>IF(BE157=1,ROUND(AP157/60,6),0)</f>
        <v>0</v>
      </c>
      <c r="BJ157" s="80">
        <f>IF(BE157=1,ROUND(AQ157/60,6),0)</f>
        <v>0</v>
      </c>
      <c r="BK157" s="80">
        <f>IF(BE157=1,ROUND((AR157+AS157)/60,6),0)</f>
        <v>0</v>
      </c>
      <c r="BL157" s="80">
        <f>ROUND(BH157-BK157,6)</f>
        <v>0</v>
      </c>
      <c r="BM157" s="80">
        <f>IF(BE157=1,ROUND(AR157/60,6),0)</f>
        <v>0</v>
      </c>
      <c r="BN157" s="80">
        <f>ROUND(BI157-BM157,6)</f>
        <v>0</v>
      </c>
      <c r="BO157" s="80">
        <f>IF(BE157=1,ROUND(AS157/60,6),0)</f>
        <v>0</v>
      </c>
      <c r="BP157" s="80">
        <f>ROUND(BJ157-BO157,6)</f>
        <v>0</v>
      </c>
      <c r="BQ157" s="80">
        <f>IF(BE157=1,AW157,0)</f>
        <v>0</v>
      </c>
      <c r="BR157" s="80">
        <f>IF(BE157=1,AX157,0)</f>
        <v>0</v>
      </c>
      <c r="BS157" s="80">
        <f>IF(AND(BE157=1,D157="Malcolm",BA157&gt;0),MIN(BH157,SUMPRODUCT((R_Emp="proMX")*(R_EN&gt;0)*((R_EN-(R_EN&gt;BR157)*(R_EN-BR157))&gt;(R_SN+(R_SN&lt;BQ157)*(BQ157-R_SN)))*((R_EN-(R_EN&gt;BR157)*(R_EN-BR157))-(R_SN+(R_SN&lt;BQ157)*(BQ157-R_SN))))/60),0)</f>
        <v>0</v>
      </c>
      <c r="BT157" s="80">
        <f>IF(AND(BE157=1,D157="proMX"),ROUND(BI157*CFG_RATE+BJ157*CFG_OTRATE,6),0)</f>
        <v>0</v>
      </c>
      <c r="BU157" s="80">
        <f>IF(AND(BD157=1,D157="proMX"),ROUND(AG157/CFG_BLK,6),0)</f>
        <v>0</v>
      </c>
      <c r="BV157" s="80" t="str">
        <f>IF(BF157="Approved",IF(ISNUMBER(T157),INT(T157),INT(B157)),"")</f>
        <v/>
      </c>
      <c r="BW157" s="80">
        <f>IF(ISNUMBER(B157),IF(DB_MON="Todos",1,IF(AND(INT(B157)&gt;=DB_MS,INT(B157)&lt;=DB_ME),1,0)),0)</f>
        <v>0</v>
      </c>
      <c r="BX157" s="80">
        <f>IF(DB_PROJ="Todos",1,IF(E157&amp;""=DB_PROJ&amp;"",1,0))</f>
        <v>1</v>
      </c>
      <c r="BY157" s="80">
        <f>BW157*BX157</f>
        <v>0</v>
      </c>
      <c r="BZ157" s="80" t="str">
        <f>IF(Y157=1,F157&amp;IF(AND(F157&amp;""&lt;&gt;"",E157&amp;""&lt;&gt;"")," · ","")&amp;E157,"")</f>
        <v/>
      </c>
      <c r="CA157" s="80" t="str">
        <f>IF(AND(BD157=1,E157&amp;""&lt;&gt;""),IF(COUNTIFS($E$5:E156,E157,$BD$5:BD156,1)=0,MAX($CA$5:CA156)+1,""),"")</f>
        <v/>
      </c>
      <c r="CB157" s="80" t="str">
        <f>IF(AND(BE157=1,D157="Malcolm",E157&amp;""&lt;&gt;""),IF(COUNTIFS($D$5:D156,"Malcolm",$E$5:E156,E157,$BE$5:BE156,1)=0,MAX($CB$5:CB156)+1,""),"")</f>
        <v/>
      </c>
      <c r="CC157" s="80" t="str">
        <f>IF(AND(BD157=1,D157="proMX",E157&amp;""&lt;&gt;""),IF(COUNTIFS($D$5:D156,"proMX",$E$5:E156,E157,$BD$5:BD156,1)=0,MAX($CC$5:CC156)+1,""),"")</f>
        <v/>
      </c>
      <c r="CD157" s="80" t="str">
        <f>IF(AND(BE157=1,D157="Malcolm",F157&amp;""&lt;&gt;""),IF(COUNTIFS($D$5:D156,"Malcolm",$F$5:F156,F157,$BE$5:BE156,1)=0,MAX($CD$5:CD156)+1,""),"")</f>
        <v/>
      </c>
      <c r="CE157" s="80" t="str">
        <f>IF(AND(BD157=1,D157="proMX",F157&amp;""&lt;&gt;""),IF(COUNTIFS($D$5:D156,"proMX",$F$5:F156,F157,$BD$5:BD156,1)=0,MAX($CE$5:CE156)+1,""),"")</f>
        <v/>
      </c>
      <c r="CF157" s="80" t="str">
        <f>IF(AND(D157="proMX",BD157=1),IF(OR(BF157="Draft",BF157="Submitted",BF157="Returned",BF157="Recall Requested"),MAX($CF$5:CF156)+1,""),"")</f>
        <v/>
      </c>
      <c r="CG157" s="80">
        <f>IF(BD157=0,0,IF(D157="Malcolm",1,MATCH(BF157,{"Draft","Submitted","Approved","Returned","Recall Requested","Cancelled"},0)+1))</f>
        <v>0</v>
      </c>
      <c r="CH157" s="80">
        <f>IF(AND(BF157="Submitted",ISNUMBER(V157)),IF(V157&gt;CFG_MAXD,1,0),0)</f>
        <v>0</v>
      </c>
    </row>
    <row r="158">
      <c r="A158" s="71" t="str">
        <f>IF(Y158=1,ROW()-5,"")</f>
        <v/>
      </c>
      <c r="B158" s="72" t="n"/>
      <c r="C158" s="71" t="str">
        <f>IF(ISNUMBER(B158),CHOOSE(WEEKDAY(B158,2),"Lun","Mar","Mié","Jue","Vie","Sáb","Dom"),"")</f>
        <v/>
      </c>
      <c r="D158" s="73" t="n"/>
      <c r="E158" s="74" t="n"/>
      <c r="F158" s="74" t="n"/>
      <c r="G158" s="74" t="n"/>
      <c r="H158" s="75" t="n"/>
      <c r="I158" s="75" t="n"/>
      <c r="J158" s="76" t="n"/>
      <c r="K158" s="77" t="str">
        <f>IF(AB158=1,ROUND(AG158/60,4),"")</f>
        <v/>
      </c>
      <c r="L158" s="77" t="str">
        <f>IF(BD158=1,ROUND(AP158/60,4),"")</f>
        <v/>
      </c>
      <c r="M158" s="77" t="str">
        <f>IF(BD158=1,ROUND(AQ158/60,4),"")</f>
        <v/>
      </c>
      <c r="N158" s="71" t="str">
        <f>IF(AND(D158="proMX",AB158=1),ROUND(AG158/CFG_BLK,2),"")</f>
        <v/>
      </c>
      <c r="O158" s="77" t="str">
        <f>IF(D158="proMX",IF(BD158=1,ROUND(AG158/60,4),0),"")</f>
        <v/>
      </c>
      <c r="P158" s="78" t="str">
        <f>IF(Y158=0,"",IF(BD158=1,"OK",IF(D158="proMX","Revisar bloques: ","Revisar: ")&amp;BC158))</f>
        <v/>
      </c>
      <c r="Q158" s="78" t="str">
        <f>IF(NOT(ISNUMBER(B158)),"",IF(COUNTIFS(FER_F,INT(B158))&gt;0,"Feriado"&amp;IF(AH158=1," (laborable)"," (no laborable)"),IF(AH158=1,"Laborable",IF(WEEKDAY(B158,2)&gt;5,"Fin de semana","No laborable"))))</f>
        <v/>
      </c>
      <c r="R158" s="73" t="n"/>
      <c r="S158" s="72" t="n"/>
      <c r="T158" s="72" t="n"/>
      <c r="U158" s="74" t="n"/>
      <c r="V158" s="79" t="str">
        <f>IF(AND(D158="proMX",OR(R158="Submitted",R158="Recall Requested"),ISNUMBER(S158)),CFG_TODAY-INT(S158),"")</f>
        <v/>
      </c>
      <c r="W158" s="78" t="str">
        <f>IF(BD158=0,"",IF(BA158&gt;0,"⚠ Se superpone con un registro de la otra empresa",IF(D158="Malcolm",IF(COUNTA(R158,S158,T158)&gt;0,"Estado/fechas proMX se ignoran en Malcolm",""),IF(BF158="Cancelled","Cancelado: excluido de totales",IF(R158="","Sin estado: se trata como Draft",IF(BF158="Submitted",IF(ISNUMBER(V158),IF(V158&gt;CFG_MAXD,"⚠ "&amp;V158&amp;" días en Submitted (máx. "&amp;CFG_MAXD&amp;")",""),"Falta fecha de envío"),IF(BF158="Returned","⚠ Devuelto: corregir y reenviar",IF(BF158="Recall Requested","Retirada solicitada: pendiente",IF(AND(BF158="Approved",NOT(ISNUMBER(T158))),"Falta fecha de aprobación",IF(AND(ISNUMBER(S158),ISNUMBER(T158),T158&lt;S158),"Aprobación anterior al envío","")))))))))</f>
        <v/>
      </c>
      <c r="Y158" s="80">
        <f>IF(COUNTA(B158,D158,E158,F158,G158,H158,I158,J158,R158,S158,T158)&gt;0,1,0)</f>
        <v>0</v>
      </c>
      <c r="Z158" s="80" t="str">
        <f>IF(AND(ISNUMBER(H158),H158&gt;=0,H158&lt;1),ROUND(H158*1440,0),"")</f>
        <v/>
      </c>
      <c r="AA158" s="80" t="str">
        <f>IF(AND(ISNUMBER(I158),I158&gt;=0,I158&lt;1),ROUND(I158*1440,0),"")</f>
        <v/>
      </c>
      <c r="AB158" s="80">
        <f>IF(AND(ISNUMBER(B158),D158&lt;&gt;"",ISNUMBER(Z158),ISNUMBER(AA158)),IF(Z158=AA158,0,1),0)</f>
        <v>0</v>
      </c>
      <c r="AC158" s="80">
        <f>IF(AB158=1,IF(AA158&lt;Z158,1,0),0)</f>
        <v>0</v>
      </c>
      <c r="AD158" s="80">
        <f>IF(AB158=1,IF(AC158=1,1440-Z158+AA158,AA158-Z158),0)</f>
        <v>0</v>
      </c>
      <c r="AE158" s="80">
        <f>IF(J158="",0,IF(ISNUMBER(J158),J158,-1))</f>
        <v>0</v>
      </c>
      <c r="AF158" s="80">
        <f>MIN(MAX(0,AE158),AD158)</f>
        <v>0</v>
      </c>
      <c r="AG158" s="80">
        <f>MAX(0,AD158-MAX(0,AE158))</f>
        <v>0</v>
      </c>
      <c r="AH158" s="80">
        <f>IF(ISNUMBER(B158),IF(AND(INDEX(CFG_WDAYS,WEEKDAY(INT(B158),2))="Sí",IF(D158="proMX",COUNTIFS(FER_F,INT(B158),FER_NLP,"Sí"),COUNTIFS(FER_F,INT(B158),FER_NLM,"Sí"))=0),1,0),0)</f>
        <v>0</v>
      </c>
      <c r="AI158" s="80">
        <f>IF(AC158=1,IF(AND(INDEX(CFG_WDAYS,WEEKDAY(INT(B158)+1,2))="Sí",IF(D158="proMX",COUNTIFS(FER_F,INT(B158)+1,FER_NLP,"Sí"),COUNTIFS(FER_F,INT(B158)+1,FER_NLM,"Sí"))=0),1,0),0)</f>
        <v>0</v>
      </c>
      <c r="AJ158" s="80">
        <f>IF(AC158=1,1440-Z158,AD158)</f>
        <v>0</v>
      </c>
      <c r="AK158" s="80">
        <f>IF(AND(AB158=1,AH158=1),MAX(0,MIN(IF(AC158=1,1440,AA158),CFG_WEM)-MAX(Z158,CFG_WSM)),0)</f>
        <v>0</v>
      </c>
      <c r="AL158" s="80">
        <f>IF(AND(AC158=1,AI158=1),MAX(0,MIN(AA158,CFG_WEM)-CFG_WSM),0)</f>
        <v>0</v>
      </c>
      <c r="AM158" s="80">
        <f>AK158+AL158</f>
        <v>0</v>
      </c>
      <c r="AN158" s="80">
        <f>IF(CFG_BRK="Proporcional",IF(AD158=0,0,AF158*AM158/AD158),IF(CFG_BRK="Extras primero",MIN(AM158,MAX(0,AF158-(AD158-AM158))),MIN(AF158,AM158)))</f>
        <v>0</v>
      </c>
      <c r="AO158" s="80">
        <f>AF158-AN158</f>
        <v>0</v>
      </c>
      <c r="AP158" s="80">
        <f>AM158-AN158</f>
        <v>0</v>
      </c>
      <c r="AQ158" s="80">
        <f>AD158-AM158-AO158</f>
        <v>0</v>
      </c>
      <c r="AR158" s="80">
        <f>IF(AM158=0,0,AK158-AN158*AK158/AM158)</f>
        <v>0</v>
      </c>
      <c r="AS158" s="80">
        <f>IF(AD158-AM158=0,0,(AJ158-AK158)-AO158*(AJ158-AK158)/(AD158-AM158))</f>
        <v>0</v>
      </c>
      <c r="AT158" s="80" t="str">
        <f>IF(AC158=1,INT(B158)+1,"")</f>
        <v/>
      </c>
      <c r="AU158" s="80">
        <f>IF(AND(D158="proMX",R158="Cancelled"),0,1)</f>
        <v>1</v>
      </c>
      <c r="AV158" s="80">
        <f>IF(AND(AB158=1,AU158=1),IF(COUNTIFS($D$5:D157,D158,$B$5:B157,B158,$Z$5:Z157,Z158,$AA$5:AA157,AA158,$F$5:F157,F158&amp;"",$AU$5:AU157,1)&gt;0,1,0),0)</f>
        <v>0</v>
      </c>
      <c r="AW158" s="80" t="str">
        <f>IF(AB158=1,INT(B158)*1440+Z158,"")</f>
        <v/>
      </c>
      <c r="AX158" s="80" t="str">
        <f>IF(AB158=1,AW158+AD158,"")</f>
        <v/>
      </c>
      <c r="AY158" s="80">
        <f>IF(AND(AB158=1,AV158=0,AU158=1),1,0)</f>
        <v>0</v>
      </c>
      <c r="AZ158" s="80">
        <f>IF(AY158=1,COUNTIFS(R_Emp,D158,R_SAbs,"&lt;"&amp;AX158,R_EAbs,"&gt;"&amp;AW158,R_OKey,1)-1,0)</f>
        <v>0</v>
      </c>
      <c r="BA158" s="80">
        <f>IF(AY158=1,COUNTIFS(R_Emp,"&lt;&gt;"&amp;D158,R_SAbs,"&lt;"&amp;AX158,R_EAbs,"&gt;"&amp;AW158,R_OKey,1),0)</f>
        <v>0</v>
      </c>
      <c r="BB158" s="80">
        <f>IF(AND(AB158=1,D158="proMX"),IF(AND(MOD(Z158,CFG_BLK)=0,MOD(AA158,CFG_BLK)=0,MOD(AG158,CFG_BLK)=0,AG158&gt;0),1,0),1)</f>
        <v>1</v>
      </c>
      <c r="BC158" s="80" t="str">
        <f>IF(Y158=0,"",IF(NOT(ISNUMBER(B158)),"Falta fecha o fecha inválida",IF(D158="","Falta empresa",IF(AND(D158&lt;&gt;"Malcolm",D158&lt;&gt;"proMX"),"Empresa inválida",IF(OR(INT(B158)&lt;CFG_PSTART,INT(B158)&gt;CFG_PEND),"Fecha fuera del período",IF(OR(NOT(ISNUMBER(Z158)),NOT(ISNUMBER(AA158))),"Falta hora inicio/fin o formato inválido",IF(AB158=0,"Hora inicio = hora fin",IF(AE158&lt;0,"Descanso inválido",IF(AE158&gt;=AD158,"Descanso ≥ duración",IF(AV158=1,"Registro duplicado",IF(AZ158&gt;0,"Se superpone con otro registro "&amp;D158,IF(BB158=0,"inicio, fin y duración neta deben ser múltiplos de "&amp;CFG_BLK&amp;" min",""))))))))))))</f>
        <v/>
      </c>
      <c r="BD158" s="80">
        <f>IF(AND(Y158=1,BC158=""),1,0)</f>
        <v>0</v>
      </c>
      <c r="BE158" s="80">
        <f>IF(AND(BD158=1,AU158=1),1,0)</f>
        <v>0</v>
      </c>
      <c r="BF158" s="80" t="str">
        <f>IF(AND(D158="proMX",BD158=1),IF(R158="","Draft",R158),"")</f>
        <v/>
      </c>
      <c r="BG158" s="80">
        <f>IF(BD158=1,ROUND(AG158/60,6),0)</f>
        <v>0</v>
      </c>
      <c r="BH158" s="80">
        <f>IF(BE158=1,ROUND(AG158/60,6),0)</f>
        <v>0</v>
      </c>
      <c r="BI158" s="80">
        <f>IF(BE158=1,ROUND(AP158/60,6),0)</f>
        <v>0</v>
      </c>
      <c r="BJ158" s="80">
        <f>IF(BE158=1,ROUND(AQ158/60,6),0)</f>
        <v>0</v>
      </c>
      <c r="BK158" s="80">
        <f>IF(BE158=1,ROUND((AR158+AS158)/60,6),0)</f>
        <v>0</v>
      </c>
      <c r="BL158" s="80">
        <f>ROUND(BH158-BK158,6)</f>
        <v>0</v>
      </c>
      <c r="BM158" s="80">
        <f>IF(BE158=1,ROUND(AR158/60,6),0)</f>
        <v>0</v>
      </c>
      <c r="BN158" s="80">
        <f>ROUND(BI158-BM158,6)</f>
        <v>0</v>
      </c>
      <c r="BO158" s="80">
        <f>IF(BE158=1,ROUND(AS158/60,6),0)</f>
        <v>0</v>
      </c>
      <c r="BP158" s="80">
        <f>ROUND(BJ158-BO158,6)</f>
        <v>0</v>
      </c>
      <c r="BQ158" s="80">
        <f>IF(BE158=1,AW158,0)</f>
        <v>0</v>
      </c>
      <c r="BR158" s="80">
        <f>IF(BE158=1,AX158,0)</f>
        <v>0</v>
      </c>
      <c r="BS158" s="80">
        <f>IF(AND(BE158=1,D158="Malcolm",BA158&gt;0),MIN(BH158,SUMPRODUCT((R_Emp="proMX")*(R_EN&gt;0)*((R_EN-(R_EN&gt;BR158)*(R_EN-BR158))&gt;(R_SN+(R_SN&lt;BQ158)*(BQ158-R_SN)))*((R_EN-(R_EN&gt;BR158)*(R_EN-BR158))-(R_SN+(R_SN&lt;BQ158)*(BQ158-R_SN))))/60),0)</f>
        <v>0</v>
      </c>
      <c r="BT158" s="80">
        <f>IF(AND(BE158=1,D158="proMX"),ROUND(BI158*CFG_RATE+BJ158*CFG_OTRATE,6),0)</f>
        <v>0</v>
      </c>
      <c r="BU158" s="80">
        <f>IF(AND(BD158=1,D158="proMX"),ROUND(AG158/CFG_BLK,6),0)</f>
        <v>0</v>
      </c>
      <c r="BV158" s="80" t="str">
        <f>IF(BF158="Approved",IF(ISNUMBER(T158),INT(T158),INT(B158)),"")</f>
        <v/>
      </c>
      <c r="BW158" s="80">
        <f>IF(ISNUMBER(B158),IF(DB_MON="Todos",1,IF(AND(INT(B158)&gt;=DB_MS,INT(B158)&lt;=DB_ME),1,0)),0)</f>
        <v>0</v>
      </c>
      <c r="BX158" s="80">
        <f>IF(DB_PROJ="Todos",1,IF(E158&amp;""=DB_PROJ&amp;"",1,0))</f>
        <v>1</v>
      </c>
      <c r="BY158" s="80">
        <f>BW158*BX158</f>
        <v>0</v>
      </c>
      <c r="BZ158" s="80" t="str">
        <f>IF(Y158=1,F158&amp;IF(AND(F158&amp;""&lt;&gt;"",E158&amp;""&lt;&gt;"")," · ","")&amp;E158,"")</f>
        <v/>
      </c>
      <c r="CA158" s="80" t="str">
        <f>IF(AND(BD158=1,E158&amp;""&lt;&gt;""),IF(COUNTIFS($E$5:E157,E158,$BD$5:BD157,1)=0,MAX($CA$5:CA157)+1,""),"")</f>
        <v/>
      </c>
      <c r="CB158" s="80" t="str">
        <f>IF(AND(BE158=1,D158="Malcolm",E158&amp;""&lt;&gt;""),IF(COUNTIFS($D$5:D157,"Malcolm",$E$5:E157,E158,$BE$5:BE157,1)=0,MAX($CB$5:CB157)+1,""),"")</f>
        <v/>
      </c>
      <c r="CC158" s="80" t="str">
        <f>IF(AND(BD158=1,D158="proMX",E158&amp;""&lt;&gt;""),IF(COUNTIFS($D$5:D157,"proMX",$E$5:E157,E158,$BD$5:BD157,1)=0,MAX($CC$5:CC157)+1,""),"")</f>
        <v/>
      </c>
      <c r="CD158" s="80" t="str">
        <f>IF(AND(BE158=1,D158="Malcolm",F158&amp;""&lt;&gt;""),IF(COUNTIFS($D$5:D157,"Malcolm",$F$5:F157,F158,$BE$5:BE157,1)=0,MAX($CD$5:CD157)+1,""),"")</f>
        <v/>
      </c>
      <c r="CE158" s="80" t="str">
        <f>IF(AND(BD158=1,D158="proMX",F158&amp;""&lt;&gt;""),IF(COUNTIFS($D$5:D157,"proMX",$F$5:F157,F158,$BD$5:BD157,1)=0,MAX($CE$5:CE157)+1,""),"")</f>
        <v/>
      </c>
      <c r="CF158" s="80" t="str">
        <f>IF(AND(D158="proMX",BD158=1),IF(OR(BF158="Draft",BF158="Submitted",BF158="Returned",BF158="Recall Requested"),MAX($CF$5:CF157)+1,""),"")</f>
        <v/>
      </c>
      <c r="CG158" s="80">
        <f>IF(BD158=0,0,IF(D158="Malcolm",1,MATCH(BF158,{"Draft","Submitted","Approved","Returned","Recall Requested","Cancelled"},0)+1))</f>
        <v>0</v>
      </c>
      <c r="CH158" s="80">
        <f>IF(AND(BF158="Submitted",ISNUMBER(V158)),IF(V158&gt;CFG_MAXD,1,0),0)</f>
        <v>0</v>
      </c>
    </row>
    <row r="159">
      <c r="A159" s="71" t="str">
        <f>IF(Y159=1,ROW()-5,"")</f>
        <v/>
      </c>
      <c r="B159" s="72" t="n"/>
      <c r="C159" s="71" t="str">
        <f>IF(ISNUMBER(B159),CHOOSE(WEEKDAY(B159,2),"Lun","Mar","Mié","Jue","Vie","Sáb","Dom"),"")</f>
        <v/>
      </c>
      <c r="D159" s="73" t="n"/>
      <c r="E159" s="74" t="n"/>
      <c r="F159" s="74" t="n"/>
      <c r="G159" s="74" t="n"/>
      <c r="H159" s="75" t="n"/>
      <c r="I159" s="75" t="n"/>
      <c r="J159" s="76" t="n"/>
      <c r="K159" s="77" t="str">
        <f>IF(AB159=1,ROUND(AG159/60,4),"")</f>
        <v/>
      </c>
      <c r="L159" s="77" t="str">
        <f>IF(BD159=1,ROUND(AP159/60,4),"")</f>
        <v/>
      </c>
      <c r="M159" s="77" t="str">
        <f>IF(BD159=1,ROUND(AQ159/60,4),"")</f>
        <v/>
      </c>
      <c r="N159" s="71" t="str">
        <f>IF(AND(D159="proMX",AB159=1),ROUND(AG159/CFG_BLK,2),"")</f>
        <v/>
      </c>
      <c r="O159" s="77" t="str">
        <f>IF(D159="proMX",IF(BD159=1,ROUND(AG159/60,4),0),"")</f>
        <v/>
      </c>
      <c r="P159" s="78" t="str">
        <f>IF(Y159=0,"",IF(BD159=1,"OK",IF(D159="proMX","Revisar bloques: ","Revisar: ")&amp;BC159))</f>
        <v/>
      </c>
      <c r="Q159" s="78" t="str">
        <f>IF(NOT(ISNUMBER(B159)),"",IF(COUNTIFS(FER_F,INT(B159))&gt;0,"Feriado"&amp;IF(AH159=1," (laborable)"," (no laborable)"),IF(AH159=1,"Laborable",IF(WEEKDAY(B159,2)&gt;5,"Fin de semana","No laborable"))))</f>
        <v/>
      </c>
      <c r="R159" s="73" t="n"/>
      <c r="S159" s="72" t="n"/>
      <c r="T159" s="72" t="n"/>
      <c r="U159" s="74" t="n"/>
      <c r="V159" s="79" t="str">
        <f>IF(AND(D159="proMX",OR(R159="Submitted",R159="Recall Requested"),ISNUMBER(S159)),CFG_TODAY-INT(S159),"")</f>
        <v/>
      </c>
      <c r="W159" s="78" t="str">
        <f>IF(BD159=0,"",IF(BA159&gt;0,"⚠ Se superpone con un registro de la otra empresa",IF(D159="Malcolm",IF(COUNTA(R159,S159,T159)&gt;0,"Estado/fechas proMX se ignoran en Malcolm",""),IF(BF159="Cancelled","Cancelado: excluido de totales",IF(R159="","Sin estado: se trata como Draft",IF(BF159="Submitted",IF(ISNUMBER(V159),IF(V159&gt;CFG_MAXD,"⚠ "&amp;V159&amp;" días en Submitted (máx. "&amp;CFG_MAXD&amp;")",""),"Falta fecha de envío"),IF(BF159="Returned","⚠ Devuelto: corregir y reenviar",IF(BF159="Recall Requested","Retirada solicitada: pendiente",IF(AND(BF159="Approved",NOT(ISNUMBER(T159))),"Falta fecha de aprobación",IF(AND(ISNUMBER(S159),ISNUMBER(T159),T159&lt;S159),"Aprobación anterior al envío","")))))))))</f>
        <v/>
      </c>
      <c r="Y159" s="80">
        <f>IF(COUNTA(B159,D159,E159,F159,G159,H159,I159,J159,R159,S159,T159)&gt;0,1,0)</f>
        <v>0</v>
      </c>
      <c r="Z159" s="80" t="str">
        <f>IF(AND(ISNUMBER(H159),H159&gt;=0,H159&lt;1),ROUND(H159*1440,0),"")</f>
        <v/>
      </c>
      <c r="AA159" s="80" t="str">
        <f>IF(AND(ISNUMBER(I159),I159&gt;=0,I159&lt;1),ROUND(I159*1440,0),"")</f>
        <v/>
      </c>
      <c r="AB159" s="80">
        <f>IF(AND(ISNUMBER(B159),D159&lt;&gt;"",ISNUMBER(Z159),ISNUMBER(AA159)),IF(Z159=AA159,0,1),0)</f>
        <v>0</v>
      </c>
      <c r="AC159" s="80">
        <f>IF(AB159=1,IF(AA159&lt;Z159,1,0),0)</f>
        <v>0</v>
      </c>
      <c r="AD159" s="80">
        <f>IF(AB159=1,IF(AC159=1,1440-Z159+AA159,AA159-Z159),0)</f>
        <v>0</v>
      </c>
      <c r="AE159" s="80">
        <f>IF(J159="",0,IF(ISNUMBER(J159),J159,-1))</f>
        <v>0</v>
      </c>
      <c r="AF159" s="80">
        <f>MIN(MAX(0,AE159),AD159)</f>
        <v>0</v>
      </c>
      <c r="AG159" s="80">
        <f>MAX(0,AD159-MAX(0,AE159))</f>
        <v>0</v>
      </c>
      <c r="AH159" s="80">
        <f>IF(ISNUMBER(B159),IF(AND(INDEX(CFG_WDAYS,WEEKDAY(INT(B159),2))="Sí",IF(D159="proMX",COUNTIFS(FER_F,INT(B159),FER_NLP,"Sí"),COUNTIFS(FER_F,INT(B159),FER_NLM,"Sí"))=0),1,0),0)</f>
        <v>0</v>
      </c>
      <c r="AI159" s="80">
        <f>IF(AC159=1,IF(AND(INDEX(CFG_WDAYS,WEEKDAY(INT(B159)+1,2))="Sí",IF(D159="proMX",COUNTIFS(FER_F,INT(B159)+1,FER_NLP,"Sí"),COUNTIFS(FER_F,INT(B159)+1,FER_NLM,"Sí"))=0),1,0),0)</f>
        <v>0</v>
      </c>
      <c r="AJ159" s="80">
        <f>IF(AC159=1,1440-Z159,AD159)</f>
        <v>0</v>
      </c>
      <c r="AK159" s="80">
        <f>IF(AND(AB159=1,AH159=1),MAX(0,MIN(IF(AC159=1,1440,AA159),CFG_WEM)-MAX(Z159,CFG_WSM)),0)</f>
        <v>0</v>
      </c>
      <c r="AL159" s="80">
        <f>IF(AND(AC159=1,AI159=1),MAX(0,MIN(AA159,CFG_WEM)-CFG_WSM),0)</f>
        <v>0</v>
      </c>
      <c r="AM159" s="80">
        <f>AK159+AL159</f>
        <v>0</v>
      </c>
      <c r="AN159" s="80">
        <f>IF(CFG_BRK="Proporcional",IF(AD159=0,0,AF159*AM159/AD159),IF(CFG_BRK="Extras primero",MIN(AM159,MAX(0,AF159-(AD159-AM159))),MIN(AF159,AM159)))</f>
        <v>0</v>
      </c>
      <c r="AO159" s="80">
        <f>AF159-AN159</f>
        <v>0</v>
      </c>
      <c r="AP159" s="80">
        <f>AM159-AN159</f>
        <v>0</v>
      </c>
      <c r="AQ159" s="80">
        <f>AD159-AM159-AO159</f>
        <v>0</v>
      </c>
      <c r="AR159" s="80">
        <f>IF(AM159=0,0,AK159-AN159*AK159/AM159)</f>
        <v>0</v>
      </c>
      <c r="AS159" s="80">
        <f>IF(AD159-AM159=0,0,(AJ159-AK159)-AO159*(AJ159-AK159)/(AD159-AM159))</f>
        <v>0</v>
      </c>
      <c r="AT159" s="80" t="str">
        <f>IF(AC159=1,INT(B159)+1,"")</f>
        <v/>
      </c>
      <c r="AU159" s="80">
        <f>IF(AND(D159="proMX",R159="Cancelled"),0,1)</f>
        <v>1</v>
      </c>
      <c r="AV159" s="80">
        <f>IF(AND(AB159=1,AU159=1),IF(COUNTIFS($D$5:D158,D159,$B$5:B158,B159,$Z$5:Z158,Z159,$AA$5:AA158,AA159,$F$5:F158,F159&amp;"",$AU$5:AU158,1)&gt;0,1,0),0)</f>
        <v>0</v>
      </c>
      <c r="AW159" s="80" t="str">
        <f>IF(AB159=1,INT(B159)*1440+Z159,"")</f>
        <v/>
      </c>
      <c r="AX159" s="80" t="str">
        <f>IF(AB159=1,AW159+AD159,"")</f>
        <v/>
      </c>
      <c r="AY159" s="80">
        <f>IF(AND(AB159=1,AV159=0,AU159=1),1,0)</f>
        <v>0</v>
      </c>
      <c r="AZ159" s="80">
        <f>IF(AY159=1,COUNTIFS(R_Emp,D159,R_SAbs,"&lt;"&amp;AX159,R_EAbs,"&gt;"&amp;AW159,R_OKey,1)-1,0)</f>
        <v>0</v>
      </c>
      <c r="BA159" s="80">
        <f>IF(AY159=1,COUNTIFS(R_Emp,"&lt;&gt;"&amp;D159,R_SAbs,"&lt;"&amp;AX159,R_EAbs,"&gt;"&amp;AW159,R_OKey,1),0)</f>
        <v>0</v>
      </c>
      <c r="BB159" s="80">
        <f>IF(AND(AB159=1,D159="proMX"),IF(AND(MOD(Z159,CFG_BLK)=0,MOD(AA159,CFG_BLK)=0,MOD(AG159,CFG_BLK)=0,AG159&gt;0),1,0),1)</f>
        <v>1</v>
      </c>
      <c r="BC159" s="80" t="str">
        <f>IF(Y159=0,"",IF(NOT(ISNUMBER(B159)),"Falta fecha o fecha inválida",IF(D159="","Falta empresa",IF(AND(D159&lt;&gt;"Malcolm",D159&lt;&gt;"proMX"),"Empresa inválida",IF(OR(INT(B159)&lt;CFG_PSTART,INT(B159)&gt;CFG_PEND),"Fecha fuera del período",IF(OR(NOT(ISNUMBER(Z159)),NOT(ISNUMBER(AA159))),"Falta hora inicio/fin o formato inválido",IF(AB159=0,"Hora inicio = hora fin",IF(AE159&lt;0,"Descanso inválido",IF(AE159&gt;=AD159,"Descanso ≥ duración",IF(AV159=1,"Registro duplicado",IF(AZ159&gt;0,"Se superpone con otro registro "&amp;D159,IF(BB159=0,"inicio, fin y duración neta deben ser múltiplos de "&amp;CFG_BLK&amp;" min",""))))))))))))</f>
        <v/>
      </c>
      <c r="BD159" s="80">
        <f>IF(AND(Y159=1,BC159=""),1,0)</f>
        <v>0</v>
      </c>
      <c r="BE159" s="80">
        <f>IF(AND(BD159=1,AU159=1),1,0)</f>
        <v>0</v>
      </c>
      <c r="BF159" s="80" t="str">
        <f>IF(AND(D159="proMX",BD159=1),IF(R159="","Draft",R159),"")</f>
        <v/>
      </c>
      <c r="BG159" s="80">
        <f>IF(BD159=1,ROUND(AG159/60,6),0)</f>
        <v>0</v>
      </c>
      <c r="BH159" s="80">
        <f>IF(BE159=1,ROUND(AG159/60,6),0)</f>
        <v>0</v>
      </c>
      <c r="BI159" s="80">
        <f>IF(BE159=1,ROUND(AP159/60,6),0)</f>
        <v>0</v>
      </c>
      <c r="BJ159" s="80">
        <f>IF(BE159=1,ROUND(AQ159/60,6),0)</f>
        <v>0</v>
      </c>
      <c r="BK159" s="80">
        <f>IF(BE159=1,ROUND((AR159+AS159)/60,6),0)</f>
        <v>0</v>
      </c>
      <c r="BL159" s="80">
        <f>ROUND(BH159-BK159,6)</f>
        <v>0</v>
      </c>
      <c r="BM159" s="80">
        <f>IF(BE159=1,ROUND(AR159/60,6),0)</f>
        <v>0</v>
      </c>
      <c r="BN159" s="80">
        <f>ROUND(BI159-BM159,6)</f>
        <v>0</v>
      </c>
      <c r="BO159" s="80">
        <f>IF(BE159=1,ROUND(AS159/60,6),0)</f>
        <v>0</v>
      </c>
      <c r="BP159" s="80">
        <f>ROUND(BJ159-BO159,6)</f>
        <v>0</v>
      </c>
      <c r="BQ159" s="80">
        <f>IF(BE159=1,AW159,0)</f>
        <v>0</v>
      </c>
      <c r="BR159" s="80">
        <f>IF(BE159=1,AX159,0)</f>
        <v>0</v>
      </c>
      <c r="BS159" s="80">
        <f>IF(AND(BE159=1,D159="Malcolm",BA159&gt;0),MIN(BH159,SUMPRODUCT((R_Emp="proMX")*(R_EN&gt;0)*((R_EN-(R_EN&gt;BR159)*(R_EN-BR159))&gt;(R_SN+(R_SN&lt;BQ159)*(BQ159-R_SN)))*((R_EN-(R_EN&gt;BR159)*(R_EN-BR159))-(R_SN+(R_SN&lt;BQ159)*(BQ159-R_SN))))/60),0)</f>
        <v>0</v>
      </c>
      <c r="BT159" s="80">
        <f>IF(AND(BE159=1,D159="proMX"),ROUND(BI159*CFG_RATE+BJ159*CFG_OTRATE,6),0)</f>
        <v>0</v>
      </c>
      <c r="BU159" s="80">
        <f>IF(AND(BD159=1,D159="proMX"),ROUND(AG159/CFG_BLK,6),0)</f>
        <v>0</v>
      </c>
      <c r="BV159" s="80" t="str">
        <f>IF(BF159="Approved",IF(ISNUMBER(T159),INT(T159),INT(B159)),"")</f>
        <v/>
      </c>
      <c r="BW159" s="80">
        <f>IF(ISNUMBER(B159),IF(DB_MON="Todos",1,IF(AND(INT(B159)&gt;=DB_MS,INT(B159)&lt;=DB_ME),1,0)),0)</f>
        <v>0</v>
      </c>
      <c r="BX159" s="80">
        <f>IF(DB_PROJ="Todos",1,IF(E159&amp;""=DB_PROJ&amp;"",1,0))</f>
        <v>1</v>
      </c>
      <c r="BY159" s="80">
        <f>BW159*BX159</f>
        <v>0</v>
      </c>
      <c r="BZ159" s="80" t="str">
        <f>IF(Y159=1,F159&amp;IF(AND(F159&amp;""&lt;&gt;"",E159&amp;""&lt;&gt;"")," · ","")&amp;E159,"")</f>
        <v/>
      </c>
      <c r="CA159" s="80" t="str">
        <f>IF(AND(BD159=1,E159&amp;""&lt;&gt;""),IF(COUNTIFS($E$5:E158,E159,$BD$5:BD158,1)=0,MAX($CA$5:CA158)+1,""),"")</f>
        <v/>
      </c>
      <c r="CB159" s="80" t="str">
        <f>IF(AND(BE159=1,D159="Malcolm",E159&amp;""&lt;&gt;""),IF(COUNTIFS($D$5:D158,"Malcolm",$E$5:E158,E159,$BE$5:BE158,1)=0,MAX($CB$5:CB158)+1,""),"")</f>
        <v/>
      </c>
      <c r="CC159" s="80" t="str">
        <f>IF(AND(BD159=1,D159="proMX",E159&amp;""&lt;&gt;""),IF(COUNTIFS($D$5:D158,"proMX",$E$5:E158,E159,$BD$5:BD158,1)=0,MAX($CC$5:CC158)+1,""),"")</f>
        <v/>
      </c>
      <c r="CD159" s="80" t="str">
        <f>IF(AND(BE159=1,D159="Malcolm",F159&amp;""&lt;&gt;""),IF(COUNTIFS($D$5:D158,"Malcolm",$F$5:F158,F159,$BE$5:BE158,1)=0,MAX($CD$5:CD158)+1,""),"")</f>
        <v/>
      </c>
      <c r="CE159" s="80" t="str">
        <f>IF(AND(BD159=1,D159="proMX",F159&amp;""&lt;&gt;""),IF(COUNTIFS($D$5:D158,"proMX",$F$5:F158,F159,$BD$5:BD158,1)=0,MAX($CE$5:CE158)+1,""),"")</f>
        <v/>
      </c>
      <c r="CF159" s="80" t="str">
        <f>IF(AND(D159="proMX",BD159=1),IF(OR(BF159="Draft",BF159="Submitted",BF159="Returned",BF159="Recall Requested"),MAX($CF$5:CF158)+1,""),"")</f>
        <v/>
      </c>
      <c r="CG159" s="80">
        <f>IF(BD159=0,0,IF(D159="Malcolm",1,MATCH(BF159,{"Draft","Submitted","Approved","Returned","Recall Requested","Cancelled"},0)+1))</f>
        <v>0</v>
      </c>
      <c r="CH159" s="80">
        <f>IF(AND(BF159="Submitted",ISNUMBER(V159)),IF(V159&gt;CFG_MAXD,1,0),0)</f>
        <v>0</v>
      </c>
    </row>
    <row r="160">
      <c r="A160" s="71" t="str">
        <f>IF(Y160=1,ROW()-5,"")</f>
        <v/>
      </c>
      <c r="B160" s="72" t="n"/>
      <c r="C160" s="71" t="str">
        <f>IF(ISNUMBER(B160),CHOOSE(WEEKDAY(B160,2),"Lun","Mar","Mié","Jue","Vie","Sáb","Dom"),"")</f>
        <v/>
      </c>
      <c r="D160" s="73" t="n"/>
      <c r="E160" s="74" t="n"/>
      <c r="F160" s="74" t="n"/>
      <c r="G160" s="74" t="n"/>
      <c r="H160" s="75" t="n"/>
      <c r="I160" s="75" t="n"/>
      <c r="J160" s="76" t="n"/>
      <c r="K160" s="77" t="str">
        <f>IF(AB160=1,ROUND(AG160/60,4),"")</f>
        <v/>
      </c>
      <c r="L160" s="77" t="str">
        <f>IF(BD160=1,ROUND(AP160/60,4),"")</f>
        <v/>
      </c>
      <c r="M160" s="77" t="str">
        <f>IF(BD160=1,ROUND(AQ160/60,4),"")</f>
        <v/>
      </c>
      <c r="N160" s="71" t="str">
        <f>IF(AND(D160="proMX",AB160=1),ROUND(AG160/CFG_BLK,2),"")</f>
        <v/>
      </c>
      <c r="O160" s="77" t="str">
        <f>IF(D160="proMX",IF(BD160=1,ROUND(AG160/60,4),0),"")</f>
        <v/>
      </c>
      <c r="P160" s="78" t="str">
        <f>IF(Y160=0,"",IF(BD160=1,"OK",IF(D160="proMX","Revisar bloques: ","Revisar: ")&amp;BC160))</f>
        <v/>
      </c>
      <c r="Q160" s="78" t="str">
        <f>IF(NOT(ISNUMBER(B160)),"",IF(COUNTIFS(FER_F,INT(B160))&gt;0,"Feriado"&amp;IF(AH160=1," (laborable)"," (no laborable)"),IF(AH160=1,"Laborable",IF(WEEKDAY(B160,2)&gt;5,"Fin de semana","No laborable"))))</f>
        <v/>
      </c>
      <c r="R160" s="73" t="n"/>
      <c r="S160" s="72" t="n"/>
      <c r="T160" s="72" t="n"/>
      <c r="U160" s="74" t="n"/>
      <c r="V160" s="79" t="str">
        <f>IF(AND(D160="proMX",OR(R160="Submitted",R160="Recall Requested"),ISNUMBER(S160)),CFG_TODAY-INT(S160),"")</f>
        <v/>
      </c>
      <c r="W160" s="78" t="str">
        <f>IF(BD160=0,"",IF(BA160&gt;0,"⚠ Se superpone con un registro de la otra empresa",IF(D160="Malcolm",IF(COUNTA(R160,S160,T160)&gt;0,"Estado/fechas proMX se ignoran en Malcolm",""),IF(BF160="Cancelled","Cancelado: excluido de totales",IF(R160="","Sin estado: se trata como Draft",IF(BF160="Submitted",IF(ISNUMBER(V160),IF(V160&gt;CFG_MAXD,"⚠ "&amp;V160&amp;" días en Submitted (máx. "&amp;CFG_MAXD&amp;")",""),"Falta fecha de envío"),IF(BF160="Returned","⚠ Devuelto: corregir y reenviar",IF(BF160="Recall Requested","Retirada solicitada: pendiente",IF(AND(BF160="Approved",NOT(ISNUMBER(T160))),"Falta fecha de aprobación",IF(AND(ISNUMBER(S160),ISNUMBER(T160),T160&lt;S160),"Aprobación anterior al envío","")))))))))</f>
        <v/>
      </c>
      <c r="Y160" s="80">
        <f>IF(COUNTA(B160,D160,E160,F160,G160,H160,I160,J160,R160,S160,T160)&gt;0,1,0)</f>
        <v>0</v>
      </c>
      <c r="Z160" s="80" t="str">
        <f>IF(AND(ISNUMBER(H160),H160&gt;=0,H160&lt;1),ROUND(H160*1440,0),"")</f>
        <v/>
      </c>
      <c r="AA160" s="80" t="str">
        <f>IF(AND(ISNUMBER(I160),I160&gt;=0,I160&lt;1),ROUND(I160*1440,0),"")</f>
        <v/>
      </c>
      <c r="AB160" s="80">
        <f>IF(AND(ISNUMBER(B160),D160&lt;&gt;"",ISNUMBER(Z160),ISNUMBER(AA160)),IF(Z160=AA160,0,1),0)</f>
        <v>0</v>
      </c>
      <c r="AC160" s="80">
        <f>IF(AB160=1,IF(AA160&lt;Z160,1,0),0)</f>
        <v>0</v>
      </c>
      <c r="AD160" s="80">
        <f>IF(AB160=1,IF(AC160=1,1440-Z160+AA160,AA160-Z160),0)</f>
        <v>0</v>
      </c>
      <c r="AE160" s="80">
        <f>IF(J160="",0,IF(ISNUMBER(J160),J160,-1))</f>
        <v>0</v>
      </c>
      <c r="AF160" s="80">
        <f>MIN(MAX(0,AE160),AD160)</f>
        <v>0</v>
      </c>
      <c r="AG160" s="80">
        <f>MAX(0,AD160-MAX(0,AE160))</f>
        <v>0</v>
      </c>
      <c r="AH160" s="80">
        <f>IF(ISNUMBER(B160),IF(AND(INDEX(CFG_WDAYS,WEEKDAY(INT(B160),2))="Sí",IF(D160="proMX",COUNTIFS(FER_F,INT(B160),FER_NLP,"Sí"),COUNTIFS(FER_F,INT(B160),FER_NLM,"Sí"))=0),1,0),0)</f>
        <v>0</v>
      </c>
      <c r="AI160" s="80">
        <f>IF(AC160=1,IF(AND(INDEX(CFG_WDAYS,WEEKDAY(INT(B160)+1,2))="Sí",IF(D160="proMX",COUNTIFS(FER_F,INT(B160)+1,FER_NLP,"Sí"),COUNTIFS(FER_F,INT(B160)+1,FER_NLM,"Sí"))=0),1,0),0)</f>
        <v>0</v>
      </c>
      <c r="AJ160" s="80">
        <f>IF(AC160=1,1440-Z160,AD160)</f>
        <v>0</v>
      </c>
      <c r="AK160" s="80">
        <f>IF(AND(AB160=1,AH160=1),MAX(0,MIN(IF(AC160=1,1440,AA160),CFG_WEM)-MAX(Z160,CFG_WSM)),0)</f>
        <v>0</v>
      </c>
      <c r="AL160" s="80">
        <f>IF(AND(AC160=1,AI160=1),MAX(0,MIN(AA160,CFG_WEM)-CFG_WSM),0)</f>
        <v>0</v>
      </c>
      <c r="AM160" s="80">
        <f>AK160+AL160</f>
        <v>0</v>
      </c>
      <c r="AN160" s="80">
        <f>IF(CFG_BRK="Proporcional",IF(AD160=0,0,AF160*AM160/AD160),IF(CFG_BRK="Extras primero",MIN(AM160,MAX(0,AF160-(AD160-AM160))),MIN(AF160,AM160)))</f>
        <v>0</v>
      </c>
      <c r="AO160" s="80">
        <f>AF160-AN160</f>
        <v>0</v>
      </c>
      <c r="AP160" s="80">
        <f>AM160-AN160</f>
        <v>0</v>
      </c>
      <c r="AQ160" s="80">
        <f>AD160-AM160-AO160</f>
        <v>0</v>
      </c>
      <c r="AR160" s="80">
        <f>IF(AM160=0,0,AK160-AN160*AK160/AM160)</f>
        <v>0</v>
      </c>
      <c r="AS160" s="80">
        <f>IF(AD160-AM160=0,0,(AJ160-AK160)-AO160*(AJ160-AK160)/(AD160-AM160))</f>
        <v>0</v>
      </c>
      <c r="AT160" s="80" t="str">
        <f>IF(AC160=1,INT(B160)+1,"")</f>
        <v/>
      </c>
      <c r="AU160" s="80">
        <f>IF(AND(D160="proMX",R160="Cancelled"),0,1)</f>
        <v>1</v>
      </c>
      <c r="AV160" s="80">
        <f>IF(AND(AB160=1,AU160=1),IF(COUNTIFS($D$5:D159,D160,$B$5:B159,B160,$Z$5:Z159,Z160,$AA$5:AA159,AA160,$F$5:F159,F160&amp;"",$AU$5:AU159,1)&gt;0,1,0),0)</f>
        <v>0</v>
      </c>
      <c r="AW160" s="80" t="str">
        <f>IF(AB160=1,INT(B160)*1440+Z160,"")</f>
        <v/>
      </c>
      <c r="AX160" s="80" t="str">
        <f>IF(AB160=1,AW160+AD160,"")</f>
        <v/>
      </c>
      <c r="AY160" s="80">
        <f>IF(AND(AB160=1,AV160=0,AU160=1),1,0)</f>
        <v>0</v>
      </c>
      <c r="AZ160" s="80">
        <f>IF(AY160=1,COUNTIFS(R_Emp,D160,R_SAbs,"&lt;"&amp;AX160,R_EAbs,"&gt;"&amp;AW160,R_OKey,1)-1,0)</f>
        <v>0</v>
      </c>
      <c r="BA160" s="80">
        <f>IF(AY160=1,COUNTIFS(R_Emp,"&lt;&gt;"&amp;D160,R_SAbs,"&lt;"&amp;AX160,R_EAbs,"&gt;"&amp;AW160,R_OKey,1),0)</f>
        <v>0</v>
      </c>
      <c r="BB160" s="80">
        <f>IF(AND(AB160=1,D160="proMX"),IF(AND(MOD(Z160,CFG_BLK)=0,MOD(AA160,CFG_BLK)=0,MOD(AG160,CFG_BLK)=0,AG160&gt;0),1,0),1)</f>
        <v>1</v>
      </c>
      <c r="BC160" s="80" t="str">
        <f>IF(Y160=0,"",IF(NOT(ISNUMBER(B160)),"Falta fecha o fecha inválida",IF(D160="","Falta empresa",IF(AND(D160&lt;&gt;"Malcolm",D160&lt;&gt;"proMX"),"Empresa inválida",IF(OR(INT(B160)&lt;CFG_PSTART,INT(B160)&gt;CFG_PEND),"Fecha fuera del período",IF(OR(NOT(ISNUMBER(Z160)),NOT(ISNUMBER(AA160))),"Falta hora inicio/fin o formato inválido",IF(AB160=0,"Hora inicio = hora fin",IF(AE160&lt;0,"Descanso inválido",IF(AE160&gt;=AD160,"Descanso ≥ duración",IF(AV160=1,"Registro duplicado",IF(AZ160&gt;0,"Se superpone con otro registro "&amp;D160,IF(BB160=0,"inicio, fin y duración neta deben ser múltiplos de "&amp;CFG_BLK&amp;" min",""))))))))))))</f>
        <v/>
      </c>
      <c r="BD160" s="80">
        <f>IF(AND(Y160=1,BC160=""),1,0)</f>
        <v>0</v>
      </c>
      <c r="BE160" s="80">
        <f>IF(AND(BD160=1,AU160=1),1,0)</f>
        <v>0</v>
      </c>
      <c r="BF160" s="80" t="str">
        <f>IF(AND(D160="proMX",BD160=1),IF(R160="","Draft",R160),"")</f>
        <v/>
      </c>
      <c r="BG160" s="80">
        <f>IF(BD160=1,ROUND(AG160/60,6),0)</f>
        <v>0</v>
      </c>
      <c r="BH160" s="80">
        <f>IF(BE160=1,ROUND(AG160/60,6),0)</f>
        <v>0</v>
      </c>
      <c r="BI160" s="80">
        <f>IF(BE160=1,ROUND(AP160/60,6),0)</f>
        <v>0</v>
      </c>
      <c r="BJ160" s="80">
        <f>IF(BE160=1,ROUND(AQ160/60,6),0)</f>
        <v>0</v>
      </c>
      <c r="BK160" s="80">
        <f>IF(BE160=1,ROUND((AR160+AS160)/60,6),0)</f>
        <v>0</v>
      </c>
      <c r="BL160" s="80">
        <f>ROUND(BH160-BK160,6)</f>
        <v>0</v>
      </c>
      <c r="BM160" s="80">
        <f>IF(BE160=1,ROUND(AR160/60,6),0)</f>
        <v>0</v>
      </c>
      <c r="BN160" s="80">
        <f>ROUND(BI160-BM160,6)</f>
        <v>0</v>
      </c>
      <c r="BO160" s="80">
        <f>IF(BE160=1,ROUND(AS160/60,6),0)</f>
        <v>0</v>
      </c>
      <c r="BP160" s="80">
        <f>ROUND(BJ160-BO160,6)</f>
        <v>0</v>
      </c>
      <c r="BQ160" s="80">
        <f>IF(BE160=1,AW160,0)</f>
        <v>0</v>
      </c>
      <c r="BR160" s="80">
        <f>IF(BE160=1,AX160,0)</f>
        <v>0</v>
      </c>
      <c r="BS160" s="80">
        <f>IF(AND(BE160=1,D160="Malcolm",BA160&gt;0),MIN(BH160,SUMPRODUCT((R_Emp="proMX")*(R_EN&gt;0)*((R_EN-(R_EN&gt;BR160)*(R_EN-BR160))&gt;(R_SN+(R_SN&lt;BQ160)*(BQ160-R_SN)))*((R_EN-(R_EN&gt;BR160)*(R_EN-BR160))-(R_SN+(R_SN&lt;BQ160)*(BQ160-R_SN))))/60),0)</f>
        <v>0</v>
      </c>
      <c r="BT160" s="80">
        <f>IF(AND(BE160=1,D160="proMX"),ROUND(BI160*CFG_RATE+BJ160*CFG_OTRATE,6),0)</f>
        <v>0</v>
      </c>
      <c r="BU160" s="80">
        <f>IF(AND(BD160=1,D160="proMX"),ROUND(AG160/CFG_BLK,6),0)</f>
        <v>0</v>
      </c>
      <c r="BV160" s="80" t="str">
        <f>IF(BF160="Approved",IF(ISNUMBER(T160),INT(T160),INT(B160)),"")</f>
        <v/>
      </c>
      <c r="BW160" s="80">
        <f>IF(ISNUMBER(B160),IF(DB_MON="Todos",1,IF(AND(INT(B160)&gt;=DB_MS,INT(B160)&lt;=DB_ME),1,0)),0)</f>
        <v>0</v>
      </c>
      <c r="BX160" s="80">
        <f>IF(DB_PROJ="Todos",1,IF(E160&amp;""=DB_PROJ&amp;"",1,0))</f>
        <v>1</v>
      </c>
      <c r="BY160" s="80">
        <f>BW160*BX160</f>
        <v>0</v>
      </c>
      <c r="BZ160" s="80" t="str">
        <f>IF(Y160=1,F160&amp;IF(AND(F160&amp;""&lt;&gt;"",E160&amp;""&lt;&gt;"")," · ","")&amp;E160,"")</f>
        <v/>
      </c>
      <c r="CA160" s="80" t="str">
        <f>IF(AND(BD160=1,E160&amp;""&lt;&gt;""),IF(COUNTIFS($E$5:E159,E160,$BD$5:BD159,1)=0,MAX($CA$5:CA159)+1,""),"")</f>
        <v/>
      </c>
      <c r="CB160" s="80" t="str">
        <f>IF(AND(BE160=1,D160="Malcolm",E160&amp;""&lt;&gt;""),IF(COUNTIFS($D$5:D159,"Malcolm",$E$5:E159,E160,$BE$5:BE159,1)=0,MAX($CB$5:CB159)+1,""),"")</f>
        <v/>
      </c>
      <c r="CC160" s="80" t="str">
        <f>IF(AND(BD160=1,D160="proMX",E160&amp;""&lt;&gt;""),IF(COUNTIFS($D$5:D159,"proMX",$E$5:E159,E160,$BD$5:BD159,1)=0,MAX($CC$5:CC159)+1,""),"")</f>
        <v/>
      </c>
      <c r="CD160" s="80" t="str">
        <f>IF(AND(BE160=1,D160="Malcolm",F160&amp;""&lt;&gt;""),IF(COUNTIFS($D$5:D159,"Malcolm",$F$5:F159,F160,$BE$5:BE159,1)=0,MAX($CD$5:CD159)+1,""),"")</f>
        <v/>
      </c>
      <c r="CE160" s="80" t="str">
        <f>IF(AND(BD160=1,D160="proMX",F160&amp;""&lt;&gt;""),IF(COUNTIFS($D$5:D159,"proMX",$F$5:F159,F160,$BD$5:BD159,1)=0,MAX($CE$5:CE159)+1,""),"")</f>
        <v/>
      </c>
      <c r="CF160" s="80" t="str">
        <f>IF(AND(D160="proMX",BD160=1),IF(OR(BF160="Draft",BF160="Submitted",BF160="Returned",BF160="Recall Requested"),MAX($CF$5:CF159)+1,""),"")</f>
        <v/>
      </c>
      <c r="CG160" s="80">
        <f>IF(BD160=0,0,IF(D160="Malcolm",1,MATCH(BF160,{"Draft","Submitted","Approved","Returned","Recall Requested","Cancelled"},0)+1))</f>
        <v>0</v>
      </c>
      <c r="CH160" s="80">
        <f>IF(AND(BF160="Submitted",ISNUMBER(V160)),IF(V160&gt;CFG_MAXD,1,0),0)</f>
        <v>0</v>
      </c>
    </row>
    <row r="161">
      <c r="A161" s="71" t="str">
        <f>IF(Y161=1,ROW()-5,"")</f>
        <v/>
      </c>
      <c r="B161" s="72" t="n"/>
      <c r="C161" s="71" t="str">
        <f>IF(ISNUMBER(B161),CHOOSE(WEEKDAY(B161,2),"Lun","Mar","Mié","Jue","Vie","Sáb","Dom"),"")</f>
        <v/>
      </c>
      <c r="D161" s="73" t="n"/>
      <c r="E161" s="74" t="n"/>
      <c r="F161" s="74" t="n"/>
      <c r="G161" s="74" t="n"/>
      <c r="H161" s="75" t="n"/>
      <c r="I161" s="75" t="n"/>
      <c r="J161" s="76" t="n"/>
      <c r="K161" s="77" t="str">
        <f>IF(AB161=1,ROUND(AG161/60,4),"")</f>
        <v/>
      </c>
      <c r="L161" s="77" t="str">
        <f>IF(BD161=1,ROUND(AP161/60,4),"")</f>
        <v/>
      </c>
      <c r="M161" s="77" t="str">
        <f>IF(BD161=1,ROUND(AQ161/60,4),"")</f>
        <v/>
      </c>
      <c r="N161" s="71" t="str">
        <f>IF(AND(D161="proMX",AB161=1),ROUND(AG161/CFG_BLK,2),"")</f>
        <v/>
      </c>
      <c r="O161" s="77" t="str">
        <f>IF(D161="proMX",IF(BD161=1,ROUND(AG161/60,4),0),"")</f>
        <v/>
      </c>
      <c r="P161" s="78" t="str">
        <f>IF(Y161=0,"",IF(BD161=1,"OK",IF(D161="proMX","Revisar bloques: ","Revisar: ")&amp;BC161))</f>
        <v/>
      </c>
      <c r="Q161" s="78" t="str">
        <f>IF(NOT(ISNUMBER(B161)),"",IF(COUNTIFS(FER_F,INT(B161))&gt;0,"Feriado"&amp;IF(AH161=1," (laborable)"," (no laborable)"),IF(AH161=1,"Laborable",IF(WEEKDAY(B161,2)&gt;5,"Fin de semana","No laborable"))))</f>
        <v/>
      </c>
      <c r="R161" s="73" t="n"/>
      <c r="S161" s="72" t="n"/>
      <c r="T161" s="72" t="n"/>
      <c r="U161" s="74" t="n"/>
      <c r="V161" s="79" t="str">
        <f>IF(AND(D161="proMX",OR(R161="Submitted",R161="Recall Requested"),ISNUMBER(S161)),CFG_TODAY-INT(S161),"")</f>
        <v/>
      </c>
      <c r="W161" s="78" t="str">
        <f>IF(BD161=0,"",IF(BA161&gt;0,"⚠ Se superpone con un registro de la otra empresa",IF(D161="Malcolm",IF(COUNTA(R161,S161,T161)&gt;0,"Estado/fechas proMX se ignoran en Malcolm",""),IF(BF161="Cancelled","Cancelado: excluido de totales",IF(R161="","Sin estado: se trata como Draft",IF(BF161="Submitted",IF(ISNUMBER(V161),IF(V161&gt;CFG_MAXD,"⚠ "&amp;V161&amp;" días en Submitted (máx. "&amp;CFG_MAXD&amp;")",""),"Falta fecha de envío"),IF(BF161="Returned","⚠ Devuelto: corregir y reenviar",IF(BF161="Recall Requested","Retirada solicitada: pendiente",IF(AND(BF161="Approved",NOT(ISNUMBER(T161))),"Falta fecha de aprobación",IF(AND(ISNUMBER(S161),ISNUMBER(T161),T161&lt;S161),"Aprobación anterior al envío","")))))))))</f>
        <v/>
      </c>
      <c r="Y161" s="80">
        <f>IF(COUNTA(B161,D161,E161,F161,G161,H161,I161,J161,R161,S161,T161)&gt;0,1,0)</f>
        <v>0</v>
      </c>
      <c r="Z161" s="80" t="str">
        <f>IF(AND(ISNUMBER(H161),H161&gt;=0,H161&lt;1),ROUND(H161*1440,0),"")</f>
        <v/>
      </c>
      <c r="AA161" s="80" t="str">
        <f>IF(AND(ISNUMBER(I161),I161&gt;=0,I161&lt;1),ROUND(I161*1440,0),"")</f>
        <v/>
      </c>
      <c r="AB161" s="80">
        <f>IF(AND(ISNUMBER(B161),D161&lt;&gt;"",ISNUMBER(Z161),ISNUMBER(AA161)),IF(Z161=AA161,0,1),0)</f>
        <v>0</v>
      </c>
      <c r="AC161" s="80">
        <f>IF(AB161=1,IF(AA161&lt;Z161,1,0),0)</f>
        <v>0</v>
      </c>
      <c r="AD161" s="80">
        <f>IF(AB161=1,IF(AC161=1,1440-Z161+AA161,AA161-Z161),0)</f>
        <v>0</v>
      </c>
      <c r="AE161" s="80">
        <f>IF(J161="",0,IF(ISNUMBER(J161),J161,-1))</f>
        <v>0</v>
      </c>
      <c r="AF161" s="80">
        <f>MIN(MAX(0,AE161),AD161)</f>
        <v>0</v>
      </c>
      <c r="AG161" s="80">
        <f>MAX(0,AD161-MAX(0,AE161))</f>
        <v>0</v>
      </c>
      <c r="AH161" s="80">
        <f>IF(ISNUMBER(B161),IF(AND(INDEX(CFG_WDAYS,WEEKDAY(INT(B161),2))="Sí",IF(D161="proMX",COUNTIFS(FER_F,INT(B161),FER_NLP,"Sí"),COUNTIFS(FER_F,INT(B161),FER_NLM,"Sí"))=0),1,0),0)</f>
        <v>0</v>
      </c>
      <c r="AI161" s="80">
        <f>IF(AC161=1,IF(AND(INDEX(CFG_WDAYS,WEEKDAY(INT(B161)+1,2))="Sí",IF(D161="proMX",COUNTIFS(FER_F,INT(B161)+1,FER_NLP,"Sí"),COUNTIFS(FER_F,INT(B161)+1,FER_NLM,"Sí"))=0),1,0),0)</f>
        <v>0</v>
      </c>
      <c r="AJ161" s="80">
        <f>IF(AC161=1,1440-Z161,AD161)</f>
        <v>0</v>
      </c>
      <c r="AK161" s="80">
        <f>IF(AND(AB161=1,AH161=1),MAX(0,MIN(IF(AC161=1,1440,AA161),CFG_WEM)-MAX(Z161,CFG_WSM)),0)</f>
        <v>0</v>
      </c>
      <c r="AL161" s="80">
        <f>IF(AND(AC161=1,AI161=1),MAX(0,MIN(AA161,CFG_WEM)-CFG_WSM),0)</f>
        <v>0</v>
      </c>
      <c r="AM161" s="80">
        <f>AK161+AL161</f>
        <v>0</v>
      </c>
      <c r="AN161" s="80">
        <f>IF(CFG_BRK="Proporcional",IF(AD161=0,0,AF161*AM161/AD161),IF(CFG_BRK="Extras primero",MIN(AM161,MAX(0,AF161-(AD161-AM161))),MIN(AF161,AM161)))</f>
        <v>0</v>
      </c>
      <c r="AO161" s="80">
        <f>AF161-AN161</f>
        <v>0</v>
      </c>
      <c r="AP161" s="80">
        <f>AM161-AN161</f>
        <v>0</v>
      </c>
      <c r="AQ161" s="80">
        <f>AD161-AM161-AO161</f>
        <v>0</v>
      </c>
      <c r="AR161" s="80">
        <f>IF(AM161=0,0,AK161-AN161*AK161/AM161)</f>
        <v>0</v>
      </c>
      <c r="AS161" s="80">
        <f>IF(AD161-AM161=0,0,(AJ161-AK161)-AO161*(AJ161-AK161)/(AD161-AM161))</f>
        <v>0</v>
      </c>
      <c r="AT161" s="80" t="str">
        <f>IF(AC161=1,INT(B161)+1,"")</f>
        <v/>
      </c>
      <c r="AU161" s="80">
        <f>IF(AND(D161="proMX",R161="Cancelled"),0,1)</f>
        <v>1</v>
      </c>
      <c r="AV161" s="80">
        <f>IF(AND(AB161=1,AU161=1),IF(COUNTIFS($D$5:D160,D161,$B$5:B160,B161,$Z$5:Z160,Z161,$AA$5:AA160,AA161,$F$5:F160,F161&amp;"",$AU$5:AU160,1)&gt;0,1,0),0)</f>
        <v>0</v>
      </c>
      <c r="AW161" s="80" t="str">
        <f>IF(AB161=1,INT(B161)*1440+Z161,"")</f>
        <v/>
      </c>
      <c r="AX161" s="80" t="str">
        <f>IF(AB161=1,AW161+AD161,"")</f>
        <v/>
      </c>
      <c r="AY161" s="80">
        <f>IF(AND(AB161=1,AV161=0,AU161=1),1,0)</f>
        <v>0</v>
      </c>
      <c r="AZ161" s="80">
        <f>IF(AY161=1,COUNTIFS(R_Emp,D161,R_SAbs,"&lt;"&amp;AX161,R_EAbs,"&gt;"&amp;AW161,R_OKey,1)-1,0)</f>
        <v>0</v>
      </c>
      <c r="BA161" s="80">
        <f>IF(AY161=1,COUNTIFS(R_Emp,"&lt;&gt;"&amp;D161,R_SAbs,"&lt;"&amp;AX161,R_EAbs,"&gt;"&amp;AW161,R_OKey,1),0)</f>
        <v>0</v>
      </c>
      <c r="BB161" s="80">
        <f>IF(AND(AB161=1,D161="proMX"),IF(AND(MOD(Z161,CFG_BLK)=0,MOD(AA161,CFG_BLK)=0,MOD(AG161,CFG_BLK)=0,AG161&gt;0),1,0),1)</f>
        <v>1</v>
      </c>
      <c r="BC161" s="80" t="str">
        <f>IF(Y161=0,"",IF(NOT(ISNUMBER(B161)),"Falta fecha o fecha inválida",IF(D161="","Falta empresa",IF(AND(D161&lt;&gt;"Malcolm",D161&lt;&gt;"proMX"),"Empresa inválida",IF(OR(INT(B161)&lt;CFG_PSTART,INT(B161)&gt;CFG_PEND),"Fecha fuera del período",IF(OR(NOT(ISNUMBER(Z161)),NOT(ISNUMBER(AA161))),"Falta hora inicio/fin o formato inválido",IF(AB161=0,"Hora inicio = hora fin",IF(AE161&lt;0,"Descanso inválido",IF(AE161&gt;=AD161,"Descanso ≥ duración",IF(AV161=1,"Registro duplicado",IF(AZ161&gt;0,"Se superpone con otro registro "&amp;D161,IF(BB161=0,"inicio, fin y duración neta deben ser múltiplos de "&amp;CFG_BLK&amp;" min",""))))))))))))</f>
        <v/>
      </c>
      <c r="BD161" s="80">
        <f>IF(AND(Y161=1,BC161=""),1,0)</f>
        <v>0</v>
      </c>
      <c r="BE161" s="80">
        <f>IF(AND(BD161=1,AU161=1),1,0)</f>
        <v>0</v>
      </c>
      <c r="BF161" s="80" t="str">
        <f>IF(AND(D161="proMX",BD161=1),IF(R161="","Draft",R161),"")</f>
        <v/>
      </c>
      <c r="BG161" s="80">
        <f>IF(BD161=1,ROUND(AG161/60,6),0)</f>
        <v>0</v>
      </c>
      <c r="BH161" s="80">
        <f>IF(BE161=1,ROUND(AG161/60,6),0)</f>
        <v>0</v>
      </c>
      <c r="BI161" s="80">
        <f>IF(BE161=1,ROUND(AP161/60,6),0)</f>
        <v>0</v>
      </c>
      <c r="BJ161" s="80">
        <f>IF(BE161=1,ROUND(AQ161/60,6),0)</f>
        <v>0</v>
      </c>
      <c r="BK161" s="80">
        <f>IF(BE161=1,ROUND((AR161+AS161)/60,6),0)</f>
        <v>0</v>
      </c>
      <c r="BL161" s="80">
        <f>ROUND(BH161-BK161,6)</f>
        <v>0</v>
      </c>
      <c r="BM161" s="80">
        <f>IF(BE161=1,ROUND(AR161/60,6),0)</f>
        <v>0</v>
      </c>
      <c r="BN161" s="80">
        <f>ROUND(BI161-BM161,6)</f>
        <v>0</v>
      </c>
      <c r="BO161" s="80">
        <f>IF(BE161=1,ROUND(AS161/60,6),0)</f>
        <v>0</v>
      </c>
      <c r="BP161" s="80">
        <f>ROUND(BJ161-BO161,6)</f>
        <v>0</v>
      </c>
      <c r="BQ161" s="80">
        <f>IF(BE161=1,AW161,0)</f>
        <v>0</v>
      </c>
      <c r="BR161" s="80">
        <f>IF(BE161=1,AX161,0)</f>
        <v>0</v>
      </c>
      <c r="BS161" s="80">
        <f>IF(AND(BE161=1,D161="Malcolm",BA161&gt;0),MIN(BH161,SUMPRODUCT((R_Emp="proMX")*(R_EN&gt;0)*((R_EN-(R_EN&gt;BR161)*(R_EN-BR161))&gt;(R_SN+(R_SN&lt;BQ161)*(BQ161-R_SN)))*((R_EN-(R_EN&gt;BR161)*(R_EN-BR161))-(R_SN+(R_SN&lt;BQ161)*(BQ161-R_SN))))/60),0)</f>
        <v>0</v>
      </c>
      <c r="BT161" s="80">
        <f>IF(AND(BE161=1,D161="proMX"),ROUND(BI161*CFG_RATE+BJ161*CFG_OTRATE,6),0)</f>
        <v>0</v>
      </c>
      <c r="BU161" s="80">
        <f>IF(AND(BD161=1,D161="proMX"),ROUND(AG161/CFG_BLK,6),0)</f>
        <v>0</v>
      </c>
      <c r="BV161" s="80" t="str">
        <f>IF(BF161="Approved",IF(ISNUMBER(T161),INT(T161),INT(B161)),"")</f>
        <v/>
      </c>
      <c r="BW161" s="80">
        <f>IF(ISNUMBER(B161),IF(DB_MON="Todos",1,IF(AND(INT(B161)&gt;=DB_MS,INT(B161)&lt;=DB_ME),1,0)),0)</f>
        <v>0</v>
      </c>
      <c r="BX161" s="80">
        <f>IF(DB_PROJ="Todos",1,IF(E161&amp;""=DB_PROJ&amp;"",1,0))</f>
        <v>1</v>
      </c>
      <c r="BY161" s="80">
        <f>BW161*BX161</f>
        <v>0</v>
      </c>
      <c r="BZ161" s="80" t="str">
        <f>IF(Y161=1,F161&amp;IF(AND(F161&amp;""&lt;&gt;"",E161&amp;""&lt;&gt;"")," · ","")&amp;E161,"")</f>
        <v/>
      </c>
      <c r="CA161" s="80" t="str">
        <f>IF(AND(BD161=1,E161&amp;""&lt;&gt;""),IF(COUNTIFS($E$5:E160,E161,$BD$5:BD160,1)=0,MAX($CA$5:CA160)+1,""),"")</f>
        <v/>
      </c>
      <c r="CB161" s="80" t="str">
        <f>IF(AND(BE161=1,D161="Malcolm",E161&amp;""&lt;&gt;""),IF(COUNTIFS($D$5:D160,"Malcolm",$E$5:E160,E161,$BE$5:BE160,1)=0,MAX($CB$5:CB160)+1,""),"")</f>
        <v/>
      </c>
      <c r="CC161" s="80" t="str">
        <f>IF(AND(BD161=1,D161="proMX",E161&amp;""&lt;&gt;""),IF(COUNTIFS($D$5:D160,"proMX",$E$5:E160,E161,$BD$5:BD160,1)=0,MAX($CC$5:CC160)+1,""),"")</f>
        <v/>
      </c>
      <c r="CD161" s="80" t="str">
        <f>IF(AND(BE161=1,D161="Malcolm",F161&amp;""&lt;&gt;""),IF(COUNTIFS($D$5:D160,"Malcolm",$F$5:F160,F161,$BE$5:BE160,1)=0,MAX($CD$5:CD160)+1,""),"")</f>
        <v/>
      </c>
      <c r="CE161" s="80" t="str">
        <f>IF(AND(BD161=1,D161="proMX",F161&amp;""&lt;&gt;""),IF(COUNTIFS($D$5:D160,"proMX",$F$5:F160,F161,$BD$5:BD160,1)=0,MAX($CE$5:CE160)+1,""),"")</f>
        <v/>
      </c>
      <c r="CF161" s="80" t="str">
        <f>IF(AND(D161="proMX",BD161=1),IF(OR(BF161="Draft",BF161="Submitted",BF161="Returned",BF161="Recall Requested"),MAX($CF$5:CF160)+1,""),"")</f>
        <v/>
      </c>
      <c r="CG161" s="80">
        <f>IF(BD161=0,0,IF(D161="Malcolm",1,MATCH(BF161,{"Draft","Submitted","Approved","Returned","Recall Requested","Cancelled"},0)+1))</f>
        <v>0</v>
      </c>
      <c r="CH161" s="80">
        <f>IF(AND(BF161="Submitted",ISNUMBER(V161)),IF(V161&gt;CFG_MAXD,1,0),0)</f>
        <v>0</v>
      </c>
    </row>
    <row r="162">
      <c r="A162" s="71" t="str">
        <f>IF(Y162=1,ROW()-5,"")</f>
        <v/>
      </c>
      <c r="B162" s="72" t="n"/>
      <c r="C162" s="71" t="str">
        <f>IF(ISNUMBER(B162),CHOOSE(WEEKDAY(B162,2),"Lun","Mar","Mié","Jue","Vie","Sáb","Dom"),"")</f>
        <v/>
      </c>
      <c r="D162" s="73" t="n"/>
      <c r="E162" s="74" t="n"/>
      <c r="F162" s="74" t="n"/>
      <c r="G162" s="74" t="n"/>
      <c r="H162" s="75" t="n"/>
      <c r="I162" s="75" t="n"/>
      <c r="J162" s="76" t="n"/>
      <c r="K162" s="77" t="str">
        <f>IF(AB162=1,ROUND(AG162/60,4),"")</f>
        <v/>
      </c>
      <c r="L162" s="77" t="str">
        <f>IF(BD162=1,ROUND(AP162/60,4),"")</f>
        <v/>
      </c>
      <c r="M162" s="77" t="str">
        <f>IF(BD162=1,ROUND(AQ162/60,4),"")</f>
        <v/>
      </c>
      <c r="N162" s="71" t="str">
        <f>IF(AND(D162="proMX",AB162=1),ROUND(AG162/CFG_BLK,2),"")</f>
        <v/>
      </c>
      <c r="O162" s="77" t="str">
        <f>IF(D162="proMX",IF(BD162=1,ROUND(AG162/60,4),0),"")</f>
        <v/>
      </c>
      <c r="P162" s="78" t="str">
        <f>IF(Y162=0,"",IF(BD162=1,"OK",IF(D162="proMX","Revisar bloques: ","Revisar: ")&amp;BC162))</f>
        <v/>
      </c>
      <c r="Q162" s="78" t="str">
        <f>IF(NOT(ISNUMBER(B162)),"",IF(COUNTIFS(FER_F,INT(B162))&gt;0,"Feriado"&amp;IF(AH162=1," (laborable)"," (no laborable)"),IF(AH162=1,"Laborable",IF(WEEKDAY(B162,2)&gt;5,"Fin de semana","No laborable"))))</f>
        <v/>
      </c>
      <c r="R162" s="73" t="n"/>
      <c r="S162" s="72" t="n"/>
      <c r="T162" s="72" t="n"/>
      <c r="U162" s="74" t="n"/>
      <c r="V162" s="79" t="str">
        <f>IF(AND(D162="proMX",OR(R162="Submitted",R162="Recall Requested"),ISNUMBER(S162)),CFG_TODAY-INT(S162),"")</f>
        <v/>
      </c>
      <c r="W162" s="78" t="str">
        <f>IF(BD162=0,"",IF(BA162&gt;0,"⚠ Se superpone con un registro de la otra empresa",IF(D162="Malcolm",IF(COUNTA(R162,S162,T162)&gt;0,"Estado/fechas proMX se ignoran en Malcolm",""),IF(BF162="Cancelled","Cancelado: excluido de totales",IF(R162="","Sin estado: se trata como Draft",IF(BF162="Submitted",IF(ISNUMBER(V162),IF(V162&gt;CFG_MAXD,"⚠ "&amp;V162&amp;" días en Submitted (máx. "&amp;CFG_MAXD&amp;")",""),"Falta fecha de envío"),IF(BF162="Returned","⚠ Devuelto: corregir y reenviar",IF(BF162="Recall Requested","Retirada solicitada: pendiente",IF(AND(BF162="Approved",NOT(ISNUMBER(T162))),"Falta fecha de aprobación",IF(AND(ISNUMBER(S162),ISNUMBER(T162),T162&lt;S162),"Aprobación anterior al envío","")))))))))</f>
        <v/>
      </c>
      <c r="Y162" s="80">
        <f>IF(COUNTA(B162,D162,E162,F162,G162,H162,I162,J162,R162,S162,T162)&gt;0,1,0)</f>
        <v>0</v>
      </c>
      <c r="Z162" s="80" t="str">
        <f>IF(AND(ISNUMBER(H162),H162&gt;=0,H162&lt;1),ROUND(H162*1440,0),"")</f>
        <v/>
      </c>
      <c r="AA162" s="80" t="str">
        <f>IF(AND(ISNUMBER(I162),I162&gt;=0,I162&lt;1),ROUND(I162*1440,0),"")</f>
        <v/>
      </c>
      <c r="AB162" s="80">
        <f>IF(AND(ISNUMBER(B162),D162&lt;&gt;"",ISNUMBER(Z162),ISNUMBER(AA162)),IF(Z162=AA162,0,1),0)</f>
        <v>0</v>
      </c>
      <c r="AC162" s="80">
        <f>IF(AB162=1,IF(AA162&lt;Z162,1,0),0)</f>
        <v>0</v>
      </c>
      <c r="AD162" s="80">
        <f>IF(AB162=1,IF(AC162=1,1440-Z162+AA162,AA162-Z162),0)</f>
        <v>0</v>
      </c>
      <c r="AE162" s="80">
        <f>IF(J162="",0,IF(ISNUMBER(J162),J162,-1))</f>
        <v>0</v>
      </c>
      <c r="AF162" s="80">
        <f>MIN(MAX(0,AE162),AD162)</f>
        <v>0</v>
      </c>
      <c r="AG162" s="80">
        <f>MAX(0,AD162-MAX(0,AE162))</f>
        <v>0</v>
      </c>
      <c r="AH162" s="80">
        <f>IF(ISNUMBER(B162),IF(AND(INDEX(CFG_WDAYS,WEEKDAY(INT(B162),2))="Sí",IF(D162="proMX",COUNTIFS(FER_F,INT(B162),FER_NLP,"Sí"),COUNTIFS(FER_F,INT(B162),FER_NLM,"Sí"))=0),1,0),0)</f>
        <v>0</v>
      </c>
      <c r="AI162" s="80">
        <f>IF(AC162=1,IF(AND(INDEX(CFG_WDAYS,WEEKDAY(INT(B162)+1,2))="Sí",IF(D162="proMX",COUNTIFS(FER_F,INT(B162)+1,FER_NLP,"Sí"),COUNTIFS(FER_F,INT(B162)+1,FER_NLM,"Sí"))=0),1,0),0)</f>
        <v>0</v>
      </c>
      <c r="AJ162" s="80">
        <f>IF(AC162=1,1440-Z162,AD162)</f>
        <v>0</v>
      </c>
      <c r="AK162" s="80">
        <f>IF(AND(AB162=1,AH162=1),MAX(0,MIN(IF(AC162=1,1440,AA162),CFG_WEM)-MAX(Z162,CFG_WSM)),0)</f>
        <v>0</v>
      </c>
      <c r="AL162" s="80">
        <f>IF(AND(AC162=1,AI162=1),MAX(0,MIN(AA162,CFG_WEM)-CFG_WSM),0)</f>
        <v>0</v>
      </c>
      <c r="AM162" s="80">
        <f>AK162+AL162</f>
        <v>0</v>
      </c>
      <c r="AN162" s="80">
        <f>IF(CFG_BRK="Proporcional",IF(AD162=0,0,AF162*AM162/AD162),IF(CFG_BRK="Extras primero",MIN(AM162,MAX(0,AF162-(AD162-AM162))),MIN(AF162,AM162)))</f>
        <v>0</v>
      </c>
      <c r="AO162" s="80">
        <f>AF162-AN162</f>
        <v>0</v>
      </c>
      <c r="AP162" s="80">
        <f>AM162-AN162</f>
        <v>0</v>
      </c>
      <c r="AQ162" s="80">
        <f>AD162-AM162-AO162</f>
        <v>0</v>
      </c>
      <c r="AR162" s="80">
        <f>IF(AM162=0,0,AK162-AN162*AK162/AM162)</f>
        <v>0</v>
      </c>
      <c r="AS162" s="80">
        <f>IF(AD162-AM162=0,0,(AJ162-AK162)-AO162*(AJ162-AK162)/(AD162-AM162))</f>
        <v>0</v>
      </c>
      <c r="AT162" s="80" t="str">
        <f>IF(AC162=1,INT(B162)+1,"")</f>
        <v/>
      </c>
      <c r="AU162" s="80">
        <f>IF(AND(D162="proMX",R162="Cancelled"),0,1)</f>
        <v>1</v>
      </c>
      <c r="AV162" s="80">
        <f>IF(AND(AB162=1,AU162=1),IF(COUNTIFS($D$5:D161,D162,$B$5:B161,B162,$Z$5:Z161,Z162,$AA$5:AA161,AA162,$F$5:F161,F162&amp;"",$AU$5:AU161,1)&gt;0,1,0),0)</f>
        <v>0</v>
      </c>
      <c r="AW162" s="80" t="str">
        <f>IF(AB162=1,INT(B162)*1440+Z162,"")</f>
        <v/>
      </c>
      <c r="AX162" s="80" t="str">
        <f>IF(AB162=1,AW162+AD162,"")</f>
        <v/>
      </c>
      <c r="AY162" s="80">
        <f>IF(AND(AB162=1,AV162=0,AU162=1),1,0)</f>
        <v>0</v>
      </c>
      <c r="AZ162" s="80">
        <f>IF(AY162=1,COUNTIFS(R_Emp,D162,R_SAbs,"&lt;"&amp;AX162,R_EAbs,"&gt;"&amp;AW162,R_OKey,1)-1,0)</f>
        <v>0</v>
      </c>
      <c r="BA162" s="80">
        <f>IF(AY162=1,COUNTIFS(R_Emp,"&lt;&gt;"&amp;D162,R_SAbs,"&lt;"&amp;AX162,R_EAbs,"&gt;"&amp;AW162,R_OKey,1),0)</f>
        <v>0</v>
      </c>
      <c r="BB162" s="80">
        <f>IF(AND(AB162=1,D162="proMX"),IF(AND(MOD(Z162,CFG_BLK)=0,MOD(AA162,CFG_BLK)=0,MOD(AG162,CFG_BLK)=0,AG162&gt;0),1,0),1)</f>
        <v>1</v>
      </c>
      <c r="BC162" s="80" t="str">
        <f>IF(Y162=0,"",IF(NOT(ISNUMBER(B162)),"Falta fecha o fecha inválida",IF(D162="","Falta empresa",IF(AND(D162&lt;&gt;"Malcolm",D162&lt;&gt;"proMX"),"Empresa inválida",IF(OR(INT(B162)&lt;CFG_PSTART,INT(B162)&gt;CFG_PEND),"Fecha fuera del período",IF(OR(NOT(ISNUMBER(Z162)),NOT(ISNUMBER(AA162))),"Falta hora inicio/fin o formato inválido",IF(AB162=0,"Hora inicio = hora fin",IF(AE162&lt;0,"Descanso inválido",IF(AE162&gt;=AD162,"Descanso ≥ duración",IF(AV162=1,"Registro duplicado",IF(AZ162&gt;0,"Se superpone con otro registro "&amp;D162,IF(BB162=0,"inicio, fin y duración neta deben ser múltiplos de "&amp;CFG_BLK&amp;" min",""))))))))))))</f>
        <v/>
      </c>
      <c r="BD162" s="80">
        <f>IF(AND(Y162=1,BC162=""),1,0)</f>
        <v>0</v>
      </c>
      <c r="BE162" s="80">
        <f>IF(AND(BD162=1,AU162=1),1,0)</f>
        <v>0</v>
      </c>
      <c r="BF162" s="80" t="str">
        <f>IF(AND(D162="proMX",BD162=1),IF(R162="","Draft",R162),"")</f>
        <v/>
      </c>
      <c r="BG162" s="80">
        <f>IF(BD162=1,ROUND(AG162/60,6),0)</f>
        <v>0</v>
      </c>
      <c r="BH162" s="80">
        <f>IF(BE162=1,ROUND(AG162/60,6),0)</f>
        <v>0</v>
      </c>
      <c r="BI162" s="80">
        <f>IF(BE162=1,ROUND(AP162/60,6),0)</f>
        <v>0</v>
      </c>
      <c r="BJ162" s="80">
        <f>IF(BE162=1,ROUND(AQ162/60,6),0)</f>
        <v>0</v>
      </c>
      <c r="BK162" s="80">
        <f>IF(BE162=1,ROUND((AR162+AS162)/60,6),0)</f>
        <v>0</v>
      </c>
      <c r="BL162" s="80">
        <f>ROUND(BH162-BK162,6)</f>
        <v>0</v>
      </c>
      <c r="BM162" s="80">
        <f>IF(BE162=1,ROUND(AR162/60,6),0)</f>
        <v>0</v>
      </c>
      <c r="BN162" s="80">
        <f>ROUND(BI162-BM162,6)</f>
        <v>0</v>
      </c>
      <c r="BO162" s="80">
        <f>IF(BE162=1,ROUND(AS162/60,6),0)</f>
        <v>0</v>
      </c>
      <c r="BP162" s="80">
        <f>ROUND(BJ162-BO162,6)</f>
        <v>0</v>
      </c>
      <c r="BQ162" s="80">
        <f>IF(BE162=1,AW162,0)</f>
        <v>0</v>
      </c>
      <c r="BR162" s="80">
        <f>IF(BE162=1,AX162,0)</f>
        <v>0</v>
      </c>
      <c r="BS162" s="80">
        <f>IF(AND(BE162=1,D162="Malcolm",BA162&gt;0),MIN(BH162,SUMPRODUCT((R_Emp="proMX")*(R_EN&gt;0)*((R_EN-(R_EN&gt;BR162)*(R_EN-BR162))&gt;(R_SN+(R_SN&lt;BQ162)*(BQ162-R_SN)))*((R_EN-(R_EN&gt;BR162)*(R_EN-BR162))-(R_SN+(R_SN&lt;BQ162)*(BQ162-R_SN))))/60),0)</f>
        <v>0</v>
      </c>
      <c r="BT162" s="80">
        <f>IF(AND(BE162=1,D162="proMX"),ROUND(BI162*CFG_RATE+BJ162*CFG_OTRATE,6),0)</f>
        <v>0</v>
      </c>
      <c r="BU162" s="80">
        <f>IF(AND(BD162=1,D162="proMX"),ROUND(AG162/CFG_BLK,6),0)</f>
        <v>0</v>
      </c>
      <c r="BV162" s="80" t="str">
        <f>IF(BF162="Approved",IF(ISNUMBER(T162),INT(T162),INT(B162)),"")</f>
        <v/>
      </c>
      <c r="BW162" s="80">
        <f>IF(ISNUMBER(B162),IF(DB_MON="Todos",1,IF(AND(INT(B162)&gt;=DB_MS,INT(B162)&lt;=DB_ME),1,0)),0)</f>
        <v>0</v>
      </c>
      <c r="BX162" s="80">
        <f>IF(DB_PROJ="Todos",1,IF(E162&amp;""=DB_PROJ&amp;"",1,0))</f>
        <v>1</v>
      </c>
      <c r="BY162" s="80">
        <f>BW162*BX162</f>
        <v>0</v>
      </c>
      <c r="BZ162" s="80" t="str">
        <f>IF(Y162=1,F162&amp;IF(AND(F162&amp;""&lt;&gt;"",E162&amp;""&lt;&gt;"")," · ","")&amp;E162,"")</f>
        <v/>
      </c>
      <c r="CA162" s="80" t="str">
        <f>IF(AND(BD162=1,E162&amp;""&lt;&gt;""),IF(COUNTIFS($E$5:E161,E162,$BD$5:BD161,1)=0,MAX($CA$5:CA161)+1,""),"")</f>
        <v/>
      </c>
      <c r="CB162" s="80" t="str">
        <f>IF(AND(BE162=1,D162="Malcolm",E162&amp;""&lt;&gt;""),IF(COUNTIFS($D$5:D161,"Malcolm",$E$5:E161,E162,$BE$5:BE161,1)=0,MAX($CB$5:CB161)+1,""),"")</f>
        <v/>
      </c>
      <c r="CC162" s="80" t="str">
        <f>IF(AND(BD162=1,D162="proMX",E162&amp;""&lt;&gt;""),IF(COUNTIFS($D$5:D161,"proMX",$E$5:E161,E162,$BD$5:BD161,1)=0,MAX($CC$5:CC161)+1,""),"")</f>
        <v/>
      </c>
      <c r="CD162" s="80" t="str">
        <f>IF(AND(BE162=1,D162="Malcolm",F162&amp;""&lt;&gt;""),IF(COUNTIFS($D$5:D161,"Malcolm",$F$5:F161,F162,$BE$5:BE161,1)=0,MAX($CD$5:CD161)+1,""),"")</f>
        <v/>
      </c>
      <c r="CE162" s="80" t="str">
        <f>IF(AND(BD162=1,D162="proMX",F162&amp;""&lt;&gt;""),IF(COUNTIFS($D$5:D161,"proMX",$F$5:F161,F162,$BD$5:BD161,1)=0,MAX($CE$5:CE161)+1,""),"")</f>
        <v/>
      </c>
      <c r="CF162" s="80" t="str">
        <f>IF(AND(D162="proMX",BD162=1),IF(OR(BF162="Draft",BF162="Submitted",BF162="Returned",BF162="Recall Requested"),MAX($CF$5:CF161)+1,""),"")</f>
        <v/>
      </c>
      <c r="CG162" s="80">
        <f>IF(BD162=0,0,IF(D162="Malcolm",1,MATCH(BF162,{"Draft","Submitted","Approved","Returned","Recall Requested","Cancelled"},0)+1))</f>
        <v>0</v>
      </c>
      <c r="CH162" s="80">
        <f>IF(AND(BF162="Submitted",ISNUMBER(V162)),IF(V162&gt;CFG_MAXD,1,0),0)</f>
        <v>0</v>
      </c>
    </row>
    <row r="163">
      <c r="A163" s="71" t="str">
        <f>IF(Y163=1,ROW()-5,"")</f>
        <v/>
      </c>
      <c r="B163" s="72" t="n"/>
      <c r="C163" s="71" t="str">
        <f>IF(ISNUMBER(B163),CHOOSE(WEEKDAY(B163,2),"Lun","Mar","Mié","Jue","Vie","Sáb","Dom"),"")</f>
        <v/>
      </c>
      <c r="D163" s="73" t="n"/>
      <c r="E163" s="74" t="n"/>
      <c r="F163" s="74" t="n"/>
      <c r="G163" s="74" t="n"/>
      <c r="H163" s="75" t="n"/>
      <c r="I163" s="75" t="n"/>
      <c r="J163" s="76" t="n"/>
      <c r="K163" s="77" t="str">
        <f>IF(AB163=1,ROUND(AG163/60,4),"")</f>
        <v/>
      </c>
      <c r="L163" s="77" t="str">
        <f>IF(BD163=1,ROUND(AP163/60,4),"")</f>
        <v/>
      </c>
      <c r="M163" s="77" t="str">
        <f>IF(BD163=1,ROUND(AQ163/60,4),"")</f>
        <v/>
      </c>
      <c r="N163" s="71" t="str">
        <f>IF(AND(D163="proMX",AB163=1),ROUND(AG163/CFG_BLK,2),"")</f>
        <v/>
      </c>
      <c r="O163" s="77" t="str">
        <f>IF(D163="proMX",IF(BD163=1,ROUND(AG163/60,4),0),"")</f>
        <v/>
      </c>
      <c r="P163" s="78" t="str">
        <f>IF(Y163=0,"",IF(BD163=1,"OK",IF(D163="proMX","Revisar bloques: ","Revisar: ")&amp;BC163))</f>
        <v/>
      </c>
      <c r="Q163" s="78" t="str">
        <f>IF(NOT(ISNUMBER(B163)),"",IF(COUNTIFS(FER_F,INT(B163))&gt;0,"Feriado"&amp;IF(AH163=1," (laborable)"," (no laborable)"),IF(AH163=1,"Laborable",IF(WEEKDAY(B163,2)&gt;5,"Fin de semana","No laborable"))))</f>
        <v/>
      </c>
      <c r="R163" s="73" t="n"/>
      <c r="S163" s="72" t="n"/>
      <c r="T163" s="72" t="n"/>
      <c r="U163" s="74" t="n"/>
      <c r="V163" s="79" t="str">
        <f>IF(AND(D163="proMX",OR(R163="Submitted",R163="Recall Requested"),ISNUMBER(S163)),CFG_TODAY-INT(S163),"")</f>
        <v/>
      </c>
      <c r="W163" s="78" t="str">
        <f>IF(BD163=0,"",IF(BA163&gt;0,"⚠ Se superpone con un registro de la otra empresa",IF(D163="Malcolm",IF(COUNTA(R163,S163,T163)&gt;0,"Estado/fechas proMX se ignoran en Malcolm",""),IF(BF163="Cancelled","Cancelado: excluido de totales",IF(R163="","Sin estado: se trata como Draft",IF(BF163="Submitted",IF(ISNUMBER(V163),IF(V163&gt;CFG_MAXD,"⚠ "&amp;V163&amp;" días en Submitted (máx. "&amp;CFG_MAXD&amp;")",""),"Falta fecha de envío"),IF(BF163="Returned","⚠ Devuelto: corregir y reenviar",IF(BF163="Recall Requested","Retirada solicitada: pendiente",IF(AND(BF163="Approved",NOT(ISNUMBER(T163))),"Falta fecha de aprobación",IF(AND(ISNUMBER(S163),ISNUMBER(T163),T163&lt;S163),"Aprobación anterior al envío","")))))))))</f>
        <v/>
      </c>
      <c r="Y163" s="80">
        <f>IF(COUNTA(B163,D163,E163,F163,G163,H163,I163,J163,R163,S163,T163)&gt;0,1,0)</f>
        <v>0</v>
      </c>
      <c r="Z163" s="80" t="str">
        <f>IF(AND(ISNUMBER(H163),H163&gt;=0,H163&lt;1),ROUND(H163*1440,0),"")</f>
        <v/>
      </c>
      <c r="AA163" s="80" t="str">
        <f>IF(AND(ISNUMBER(I163),I163&gt;=0,I163&lt;1),ROUND(I163*1440,0),"")</f>
        <v/>
      </c>
      <c r="AB163" s="80">
        <f>IF(AND(ISNUMBER(B163),D163&lt;&gt;"",ISNUMBER(Z163),ISNUMBER(AA163)),IF(Z163=AA163,0,1),0)</f>
        <v>0</v>
      </c>
      <c r="AC163" s="80">
        <f>IF(AB163=1,IF(AA163&lt;Z163,1,0),0)</f>
        <v>0</v>
      </c>
      <c r="AD163" s="80">
        <f>IF(AB163=1,IF(AC163=1,1440-Z163+AA163,AA163-Z163),0)</f>
        <v>0</v>
      </c>
      <c r="AE163" s="80">
        <f>IF(J163="",0,IF(ISNUMBER(J163),J163,-1))</f>
        <v>0</v>
      </c>
      <c r="AF163" s="80">
        <f>MIN(MAX(0,AE163),AD163)</f>
        <v>0</v>
      </c>
      <c r="AG163" s="80">
        <f>MAX(0,AD163-MAX(0,AE163))</f>
        <v>0</v>
      </c>
      <c r="AH163" s="80">
        <f>IF(ISNUMBER(B163),IF(AND(INDEX(CFG_WDAYS,WEEKDAY(INT(B163),2))="Sí",IF(D163="proMX",COUNTIFS(FER_F,INT(B163),FER_NLP,"Sí"),COUNTIFS(FER_F,INT(B163),FER_NLM,"Sí"))=0),1,0),0)</f>
        <v>0</v>
      </c>
      <c r="AI163" s="80">
        <f>IF(AC163=1,IF(AND(INDEX(CFG_WDAYS,WEEKDAY(INT(B163)+1,2))="Sí",IF(D163="proMX",COUNTIFS(FER_F,INT(B163)+1,FER_NLP,"Sí"),COUNTIFS(FER_F,INT(B163)+1,FER_NLM,"Sí"))=0),1,0),0)</f>
        <v>0</v>
      </c>
      <c r="AJ163" s="80">
        <f>IF(AC163=1,1440-Z163,AD163)</f>
        <v>0</v>
      </c>
      <c r="AK163" s="80">
        <f>IF(AND(AB163=1,AH163=1),MAX(0,MIN(IF(AC163=1,1440,AA163),CFG_WEM)-MAX(Z163,CFG_WSM)),0)</f>
        <v>0</v>
      </c>
      <c r="AL163" s="80">
        <f>IF(AND(AC163=1,AI163=1),MAX(0,MIN(AA163,CFG_WEM)-CFG_WSM),0)</f>
        <v>0</v>
      </c>
      <c r="AM163" s="80">
        <f>AK163+AL163</f>
        <v>0</v>
      </c>
      <c r="AN163" s="80">
        <f>IF(CFG_BRK="Proporcional",IF(AD163=0,0,AF163*AM163/AD163),IF(CFG_BRK="Extras primero",MIN(AM163,MAX(0,AF163-(AD163-AM163))),MIN(AF163,AM163)))</f>
        <v>0</v>
      </c>
      <c r="AO163" s="80">
        <f>AF163-AN163</f>
        <v>0</v>
      </c>
      <c r="AP163" s="80">
        <f>AM163-AN163</f>
        <v>0</v>
      </c>
      <c r="AQ163" s="80">
        <f>AD163-AM163-AO163</f>
        <v>0</v>
      </c>
      <c r="AR163" s="80">
        <f>IF(AM163=0,0,AK163-AN163*AK163/AM163)</f>
        <v>0</v>
      </c>
      <c r="AS163" s="80">
        <f>IF(AD163-AM163=0,0,(AJ163-AK163)-AO163*(AJ163-AK163)/(AD163-AM163))</f>
        <v>0</v>
      </c>
      <c r="AT163" s="80" t="str">
        <f>IF(AC163=1,INT(B163)+1,"")</f>
        <v/>
      </c>
      <c r="AU163" s="80">
        <f>IF(AND(D163="proMX",R163="Cancelled"),0,1)</f>
        <v>1</v>
      </c>
      <c r="AV163" s="80">
        <f>IF(AND(AB163=1,AU163=1),IF(COUNTIFS($D$5:D162,D163,$B$5:B162,B163,$Z$5:Z162,Z163,$AA$5:AA162,AA163,$F$5:F162,F163&amp;"",$AU$5:AU162,1)&gt;0,1,0),0)</f>
        <v>0</v>
      </c>
      <c r="AW163" s="80" t="str">
        <f>IF(AB163=1,INT(B163)*1440+Z163,"")</f>
        <v/>
      </c>
      <c r="AX163" s="80" t="str">
        <f>IF(AB163=1,AW163+AD163,"")</f>
        <v/>
      </c>
      <c r="AY163" s="80">
        <f>IF(AND(AB163=1,AV163=0,AU163=1),1,0)</f>
        <v>0</v>
      </c>
      <c r="AZ163" s="80">
        <f>IF(AY163=1,COUNTIFS(R_Emp,D163,R_SAbs,"&lt;"&amp;AX163,R_EAbs,"&gt;"&amp;AW163,R_OKey,1)-1,0)</f>
        <v>0</v>
      </c>
      <c r="BA163" s="80">
        <f>IF(AY163=1,COUNTIFS(R_Emp,"&lt;&gt;"&amp;D163,R_SAbs,"&lt;"&amp;AX163,R_EAbs,"&gt;"&amp;AW163,R_OKey,1),0)</f>
        <v>0</v>
      </c>
      <c r="BB163" s="80">
        <f>IF(AND(AB163=1,D163="proMX"),IF(AND(MOD(Z163,CFG_BLK)=0,MOD(AA163,CFG_BLK)=0,MOD(AG163,CFG_BLK)=0,AG163&gt;0),1,0),1)</f>
        <v>1</v>
      </c>
      <c r="BC163" s="80" t="str">
        <f>IF(Y163=0,"",IF(NOT(ISNUMBER(B163)),"Falta fecha o fecha inválida",IF(D163="","Falta empresa",IF(AND(D163&lt;&gt;"Malcolm",D163&lt;&gt;"proMX"),"Empresa inválida",IF(OR(INT(B163)&lt;CFG_PSTART,INT(B163)&gt;CFG_PEND),"Fecha fuera del período",IF(OR(NOT(ISNUMBER(Z163)),NOT(ISNUMBER(AA163))),"Falta hora inicio/fin o formato inválido",IF(AB163=0,"Hora inicio = hora fin",IF(AE163&lt;0,"Descanso inválido",IF(AE163&gt;=AD163,"Descanso ≥ duración",IF(AV163=1,"Registro duplicado",IF(AZ163&gt;0,"Se superpone con otro registro "&amp;D163,IF(BB163=0,"inicio, fin y duración neta deben ser múltiplos de "&amp;CFG_BLK&amp;" min",""))))))))))))</f>
        <v/>
      </c>
      <c r="BD163" s="80">
        <f>IF(AND(Y163=1,BC163=""),1,0)</f>
        <v>0</v>
      </c>
      <c r="BE163" s="80">
        <f>IF(AND(BD163=1,AU163=1),1,0)</f>
        <v>0</v>
      </c>
      <c r="BF163" s="80" t="str">
        <f>IF(AND(D163="proMX",BD163=1),IF(R163="","Draft",R163),"")</f>
        <v/>
      </c>
      <c r="BG163" s="80">
        <f>IF(BD163=1,ROUND(AG163/60,6),0)</f>
        <v>0</v>
      </c>
      <c r="BH163" s="80">
        <f>IF(BE163=1,ROUND(AG163/60,6),0)</f>
        <v>0</v>
      </c>
      <c r="BI163" s="80">
        <f>IF(BE163=1,ROUND(AP163/60,6),0)</f>
        <v>0</v>
      </c>
      <c r="BJ163" s="80">
        <f>IF(BE163=1,ROUND(AQ163/60,6),0)</f>
        <v>0</v>
      </c>
      <c r="BK163" s="80">
        <f>IF(BE163=1,ROUND((AR163+AS163)/60,6),0)</f>
        <v>0</v>
      </c>
      <c r="BL163" s="80">
        <f>ROUND(BH163-BK163,6)</f>
        <v>0</v>
      </c>
      <c r="BM163" s="80">
        <f>IF(BE163=1,ROUND(AR163/60,6),0)</f>
        <v>0</v>
      </c>
      <c r="BN163" s="80">
        <f>ROUND(BI163-BM163,6)</f>
        <v>0</v>
      </c>
      <c r="BO163" s="80">
        <f>IF(BE163=1,ROUND(AS163/60,6),0)</f>
        <v>0</v>
      </c>
      <c r="BP163" s="80">
        <f>ROUND(BJ163-BO163,6)</f>
        <v>0</v>
      </c>
      <c r="BQ163" s="80">
        <f>IF(BE163=1,AW163,0)</f>
        <v>0</v>
      </c>
      <c r="BR163" s="80">
        <f>IF(BE163=1,AX163,0)</f>
        <v>0</v>
      </c>
      <c r="BS163" s="80">
        <f>IF(AND(BE163=1,D163="Malcolm",BA163&gt;0),MIN(BH163,SUMPRODUCT((R_Emp="proMX")*(R_EN&gt;0)*((R_EN-(R_EN&gt;BR163)*(R_EN-BR163))&gt;(R_SN+(R_SN&lt;BQ163)*(BQ163-R_SN)))*((R_EN-(R_EN&gt;BR163)*(R_EN-BR163))-(R_SN+(R_SN&lt;BQ163)*(BQ163-R_SN))))/60),0)</f>
        <v>0</v>
      </c>
      <c r="BT163" s="80">
        <f>IF(AND(BE163=1,D163="proMX"),ROUND(BI163*CFG_RATE+BJ163*CFG_OTRATE,6),0)</f>
        <v>0</v>
      </c>
      <c r="BU163" s="80">
        <f>IF(AND(BD163=1,D163="proMX"),ROUND(AG163/CFG_BLK,6),0)</f>
        <v>0</v>
      </c>
      <c r="BV163" s="80" t="str">
        <f>IF(BF163="Approved",IF(ISNUMBER(T163),INT(T163),INT(B163)),"")</f>
        <v/>
      </c>
      <c r="BW163" s="80">
        <f>IF(ISNUMBER(B163),IF(DB_MON="Todos",1,IF(AND(INT(B163)&gt;=DB_MS,INT(B163)&lt;=DB_ME),1,0)),0)</f>
        <v>0</v>
      </c>
      <c r="BX163" s="80">
        <f>IF(DB_PROJ="Todos",1,IF(E163&amp;""=DB_PROJ&amp;"",1,0))</f>
        <v>1</v>
      </c>
      <c r="BY163" s="80">
        <f>BW163*BX163</f>
        <v>0</v>
      </c>
      <c r="BZ163" s="80" t="str">
        <f>IF(Y163=1,F163&amp;IF(AND(F163&amp;""&lt;&gt;"",E163&amp;""&lt;&gt;"")," · ","")&amp;E163,"")</f>
        <v/>
      </c>
      <c r="CA163" s="80" t="str">
        <f>IF(AND(BD163=1,E163&amp;""&lt;&gt;""),IF(COUNTIFS($E$5:E162,E163,$BD$5:BD162,1)=0,MAX($CA$5:CA162)+1,""),"")</f>
        <v/>
      </c>
      <c r="CB163" s="80" t="str">
        <f>IF(AND(BE163=1,D163="Malcolm",E163&amp;""&lt;&gt;""),IF(COUNTIFS($D$5:D162,"Malcolm",$E$5:E162,E163,$BE$5:BE162,1)=0,MAX($CB$5:CB162)+1,""),"")</f>
        <v/>
      </c>
      <c r="CC163" s="80" t="str">
        <f>IF(AND(BD163=1,D163="proMX",E163&amp;""&lt;&gt;""),IF(COUNTIFS($D$5:D162,"proMX",$E$5:E162,E163,$BD$5:BD162,1)=0,MAX($CC$5:CC162)+1,""),"")</f>
        <v/>
      </c>
      <c r="CD163" s="80" t="str">
        <f>IF(AND(BE163=1,D163="Malcolm",F163&amp;""&lt;&gt;""),IF(COUNTIFS($D$5:D162,"Malcolm",$F$5:F162,F163,$BE$5:BE162,1)=0,MAX($CD$5:CD162)+1,""),"")</f>
        <v/>
      </c>
      <c r="CE163" s="80" t="str">
        <f>IF(AND(BD163=1,D163="proMX",F163&amp;""&lt;&gt;""),IF(COUNTIFS($D$5:D162,"proMX",$F$5:F162,F163,$BD$5:BD162,1)=0,MAX($CE$5:CE162)+1,""),"")</f>
        <v/>
      </c>
      <c r="CF163" s="80" t="str">
        <f>IF(AND(D163="proMX",BD163=1),IF(OR(BF163="Draft",BF163="Submitted",BF163="Returned",BF163="Recall Requested"),MAX($CF$5:CF162)+1,""),"")</f>
        <v/>
      </c>
      <c r="CG163" s="80">
        <f>IF(BD163=0,0,IF(D163="Malcolm",1,MATCH(BF163,{"Draft","Submitted","Approved","Returned","Recall Requested","Cancelled"},0)+1))</f>
        <v>0</v>
      </c>
      <c r="CH163" s="80">
        <f>IF(AND(BF163="Submitted",ISNUMBER(V163)),IF(V163&gt;CFG_MAXD,1,0),0)</f>
        <v>0</v>
      </c>
    </row>
    <row r="164">
      <c r="A164" s="71" t="str">
        <f>IF(Y164=1,ROW()-5,"")</f>
        <v/>
      </c>
      <c r="B164" s="72" t="n"/>
      <c r="C164" s="71" t="str">
        <f>IF(ISNUMBER(B164),CHOOSE(WEEKDAY(B164,2),"Lun","Mar","Mié","Jue","Vie","Sáb","Dom"),"")</f>
        <v/>
      </c>
      <c r="D164" s="73" t="n"/>
      <c r="E164" s="74" t="n"/>
      <c r="F164" s="74" t="n"/>
      <c r="G164" s="74" t="n"/>
      <c r="H164" s="75" t="n"/>
      <c r="I164" s="75" t="n"/>
      <c r="J164" s="76" t="n"/>
      <c r="K164" s="77" t="str">
        <f>IF(AB164=1,ROUND(AG164/60,4),"")</f>
        <v/>
      </c>
      <c r="L164" s="77" t="str">
        <f>IF(BD164=1,ROUND(AP164/60,4),"")</f>
        <v/>
      </c>
      <c r="M164" s="77" t="str">
        <f>IF(BD164=1,ROUND(AQ164/60,4),"")</f>
        <v/>
      </c>
      <c r="N164" s="71" t="str">
        <f>IF(AND(D164="proMX",AB164=1),ROUND(AG164/CFG_BLK,2),"")</f>
        <v/>
      </c>
      <c r="O164" s="77" t="str">
        <f>IF(D164="proMX",IF(BD164=1,ROUND(AG164/60,4),0),"")</f>
        <v/>
      </c>
      <c r="P164" s="78" t="str">
        <f>IF(Y164=0,"",IF(BD164=1,"OK",IF(D164="proMX","Revisar bloques: ","Revisar: ")&amp;BC164))</f>
        <v/>
      </c>
      <c r="Q164" s="78" t="str">
        <f>IF(NOT(ISNUMBER(B164)),"",IF(COUNTIFS(FER_F,INT(B164))&gt;0,"Feriado"&amp;IF(AH164=1," (laborable)"," (no laborable)"),IF(AH164=1,"Laborable",IF(WEEKDAY(B164,2)&gt;5,"Fin de semana","No laborable"))))</f>
        <v/>
      </c>
      <c r="R164" s="73" t="n"/>
      <c r="S164" s="72" t="n"/>
      <c r="T164" s="72" t="n"/>
      <c r="U164" s="74" t="n"/>
      <c r="V164" s="79" t="str">
        <f>IF(AND(D164="proMX",OR(R164="Submitted",R164="Recall Requested"),ISNUMBER(S164)),CFG_TODAY-INT(S164),"")</f>
        <v/>
      </c>
      <c r="W164" s="78" t="str">
        <f>IF(BD164=0,"",IF(BA164&gt;0,"⚠ Se superpone con un registro de la otra empresa",IF(D164="Malcolm",IF(COUNTA(R164,S164,T164)&gt;0,"Estado/fechas proMX se ignoran en Malcolm",""),IF(BF164="Cancelled","Cancelado: excluido de totales",IF(R164="","Sin estado: se trata como Draft",IF(BF164="Submitted",IF(ISNUMBER(V164),IF(V164&gt;CFG_MAXD,"⚠ "&amp;V164&amp;" días en Submitted (máx. "&amp;CFG_MAXD&amp;")",""),"Falta fecha de envío"),IF(BF164="Returned","⚠ Devuelto: corregir y reenviar",IF(BF164="Recall Requested","Retirada solicitada: pendiente",IF(AND(BF164="Approved",NOT(ISNUMBER(T164))),"Falta fecha de aprobación",IF(AND(ISNUMBER(S164),ISNUMBER(T164),T164&lt;S164),"Aprobación anterior al envío","")))))))))</f>
        <v/>
      </c>
      <c r="Y164" s="80">
        <f>IF(COUNTA(B164,D164,E164,F164,G164,H164,I164,J164,R164,S164,T164)&gt;0,1,0)</f>
        <v>0</v>
      </c>
      <c r="Z164" s="80" t="str">
        <f>IF(AND(ISNUMBER(H164),H164&gt;=0,H164&lt;1),ROUND(H164*1440,0),"")</f>
        <v/>
      </c>
      <c r="AA164" s="80" t="str">
        <f>IF(AND(ISNUMBER(I164),I164&gt;=0,I164&lt;1),ROUND(I164*1440,0),"")</f>
        <v/>
      </c>
      <c r="AB164" s="80">
        <f>IF(AND(ISNUMBER(B164),D164&lt;&gt;"",ISNUMBER(Z164),ISNUMBER(AA164)),IF(Z164=AA164,0,1),0)</f>
        <v>0</v>
      </c>
      <c r="AC164" s="80">
        <f>IF(AB164=1,IF(AA164&lt;Z164,1,0),0)</f>
        <v>0</v>
      </c>
      <c r="AD164" s="80">
        <f>IF(AB164=1,IF(AC164=1,1440-Z164+AA164,AA164-Z164),0)</f>
        <v>0</v>
      </c>
      <c r="AE164" s="80">
        <f>IF(J164="",0,IF(ISNUMBER(J164),J164,-1))</f>
        <v>0</v>
      </c>
      <c r="AF164" s="80">
        <f>MIN(MAX(0,AE164),AD164)</f>
        <v>0</v>
      </c>
      <c r="AG164" s="80">
        <f>MAX(0,AD164-MAX(0,AE164))</f>
        <v>0</v>
      </c>
      <c r="AH164" s="80">
        <f>IF(ISNUMBER(B164),IF(AND(INDEX(CFG_WDAYS,WEEKDAY(INT(B164),2))="Sí",IF(D164="proMX",COUNTIFS(FER_F,INT(B164),FER_NLP,"Sí"),COUNTIFS(FER_F,INT(B164),FER_NLM,"Sí"))=0),1,0),0)</f>
        <v>0</v>
      </c>
      <c r="AI164" s="80">
        <f>IF(AC164=1,IF(AND(INDEX(CFG_WDAYS,WEEKDAY(INT(B164)+1,2))="Sí",IF(D164="proMX",COUNTIFS(FER_F,INT(B164)+1,FER_NLP,"Sí"),COUNTIFS(FER_F,INT(B164)+1,FER_NLM,"Sí"))=0),1,0),0)</f>
        <v>0</v>
      </c>
      <c r="AJ164" s="80">
        <f>IF(AC164=1,1440-Z164,AD164)</f>
        <v>0</v>
      </c>
      <c r="AK164" s="80">
        <f>IF(AND(AB164=1,AH164=1),MAX(0,MIN(IF(AC164=1,1440,AA164),CFG_WEM)-MAX(Z164,CFG_WSM)),0)</f>
        <v>0</v>
      </c>
      <c r="AL164" s="80">
        <f>IF(AND(AC164=1,AI164=1),MAX(0,MIN(AA164,CFG_WEM)-CFG_WSM),0)</f>
        <v>0</v>
      </c>
      <c r="AM164" s="80">
        <f>AK164+AL164</f>
        <v>0</v>
      </c>
      <c r="AN164" s="80">
        <f>IF(CFG_BRK="Proporcional",IF(AD164=0,0,AF164*AM164/AD164),IF(CFG_BRK="Extras primero",MIN(AM164,MAX(0,AF164-(AD164-AM164))),MIN(AF164,AM164)))</f>
        <v>0</v>
      </c>
      <c r="AO164" s="80">
        <f>AF164-AN164</f>
        <v>0</v>
      </c>
      <c r="AP164" s="80">
        <f>AM164-AN164</f>
        <v>0</v>
      </c>
      <c r="AQ164" s="80">
        <f>AD164-AM164-AO164</f>
        <v>0</v>
      </c>
      <c r="AR164" s="80">
        <f>IF(AM164=0,0,AK164-AN164*AK164/AM164)</f>
        <v>0</v>
      </c>
      <c r="AS164" s="80">
        <f>IF(AD164-AM164=0,0,(AJ164-AK164)-AO164*(AJ164-AK164)/(AD164-AM164))</f>
        <v>0</v>
      </c>
      <c r="AT164" s="80" t="str">
        <f>IF(AC164=1,INT(B164)+1,"")</f>
        <v/>
      </c>
      <c r="AU164" s="80">
        <f>IF(AND(D164="proMX",R164="Cancelled"),0,1)</f>
        <v>1</v>
      </c>
      <c r="AV164" s="80">
        <f>IF(AND(AB164=1,AU164=1),IF(COUNTIFS($D$5:D163,D164,$B$5:B163,B164,$Z$5:Z163,Z164,$AA$5:AA163,AA164,$F$5:F163,F164&amp;"",$AU$5:AU163,1)&gt;0,1,0),0)</f>
        <v>0</v>
      </c>
      <c r="AW164" s="80" t="str">
        <f>IF(AB164=1,INT(B164)*1440+Z164,"")</f>
        <v/>
      </c>
      <c r="AX164" s="80" t="str">
        <f>IF(AB164=1,AW164+AD164,"")</f>
        <v/>
      </c>
      <c r="AY164" s="80">
        <f>IF(AND(AB164=1,AV164=0,AU164=1),1,0)</f>
        <v>0</v>
      </c>
      <c r="AZ164" s="80">
        <f>IF(AY164=1,COUNTIFS(R_Emp,D164,R_SAbs,"&lt;"&amp;AX164,R_EAbs,"&gt;"&amp;AW164,R_OKey,1)-1,0)</f>
        <v>0</v>
      </c>
      <c r="BA164" s="80">
        <f>IF(AY164=1,COUNTIFS(R_Emp,"&lt;&gt;"&amp;D164,R_SAbs,"&lt;"&amp;AX164,R_EAbs,"&gt;"&amp;AW164,R_OKey,1),0)</f>
        <v>0</v>
      </c>
      <c r="BB164" s="80">
        <f>IF(AND(AB164=1,D164="proMX"),IF(AND(MOD(Z164,CFG_BLK)=0,MOD(AA164,CFG_BLK)=0,MOD(AG164,CFG_BLK)=0,AG164&gt;0),1,0),1)</f>
        <v>1</v>
      </c>
      <c r="BC164" s="80" t="str">
        <f>IF(Y164=0,"",IF(NOT(ISNUMBER(B164)),"Falta fecha o fecha inválida",IF(D164="","Falta empresa",IF(AND(D164&lt;&gt;"Malcolm",D164&lt;&gt;"proMX"),"Empresa inválida",IF(OR(INT(B164)&lt;CFG_PSTART,INT(B164)&gt;CFG_PEND),"Fecha fuera del período",IF(OR(NOT(ISNUMBER(Z164)),NOT(ISNUMBER(AA164))),"Falta hora inicio/fin o formato inválido",IF(AB164=0,"Hora inicio = hora fin",IF(AE164&lt;0,"Descanso inválido",IF(AE164&gt;=AD164,"Descanso ≥ duración",IF(AV164=1,"Registro duplicado",IF(AZ164&gt;0,"Se superpone con otro registro "&amp;D164,IF(BB164=0,"inicio, fin y duración neta deben ser múltiplos de "&amp;CFG_BLK&amp;" min",""))))))))))))</f>
        <v/>
      </c>
      <c r="BD164" s="80">
        <f>IF(AND(Y164=1,BC164=""),1,0)</f>
        <v>0</v>
      </c>
      <c r="BE164" s="80">
        <f>IF(AND(BD164=1,AU164=1),1,0)</f>
        <v>0</v>
      </c>
      <c r="BF164" s="80" t="str">
        <f>IF(AND(D164="proMX",BD164=1),IF(R164="","Draft",R164),"")</f>
        <v/>
      </c>
      <c r="BG164" s="80">
        <f>IF(BD164=1,ROUND(AG164/60,6),0)</f>
        <v>0</v>
      </c>
      <c r="BH164" s="80">
        <f>IF(BE164=1,ROUND(AG164/60,6),0)</f>
        <v>0</v>
      </c>
      <c r="BI164" s="80">
        <f>IF(BE164=1,ROUND(AP164/60,6),0)</f>
        <v>0</v>
      </c>
      <c r="BJ164" s="80">
        <f>IF(BE164=1,ROUND(AQ164/60,6),0)</f>
        <v>0</v>
      </c>
      <c r="BK164" s="80">
        <f>IF(BE164=1,ROUND((AR164+AS164)/60,6),0)</f>
        <v>0</v>
      </c>
      <c r="BL164" s="80">
        <f>ROUND(BH164-BK164,6)</f>
        <v>0</v>
      </c>
      <c r="BM164" s="80">
        <f>IF(BE164=1,ROUND(AR164/60,6),0)</f>
        <v>0</v>
      </c>
      <c r="BN164" s="80">
        <f>ROUND(BI164-BM164,6)</f>
        <v>0</v>
      </c>
      <c r="BO164" s="80">
        <f>IF(BE164=1,ROUND(AS164/60,6),0)</f>
        <v>0</v>
      </c>
      <c r="BP164" s="80">
        <f>ROUND(BJ164-BO164,6)</f>
        <v>0</v>
      </c>
      <c r="BQ164" s="80">
        <f>IF(BE164=1,AW164,0)</f>
        <v>0</v>
      </c>
      <c r="BR164" s="80">
        <f>IF(BE164=1,AX164,0)</f>
        <v>0</v>
      </c>
      <c r="BS164" s="80">
        <f>IF(AND(BE164=1,D164="Malcolm",BA164&gt;0),MIN(BH164,SUMPRODUCT((R_Emp="proMX")*(R_EN&gt;0)*((R_EN-(R_EN&gt;BR164)*(R_EN-BR164))&gt;(R_SN+(R_SN&lt;BQ164)*(BQ164-R_SN)))*((R_EN-(R_EN&gt;BR164)*(R_EN-BR164))-(R_SN+(R_SN&lt;BQ164)*(BQ164-R_SN))))/60),0)</f>
        <v>0</v>
      </c>
      <c r="BT164" s="80">
        <f>IF(AND(BE164=1,D164="proMX"),ROUND(BI164*CFG_RATE+BJ164*CFG_OTRATE,6),0)</f>
        <v>0</v>
      </c>
      <c r="BU164" s="80">
        <f>IF(AND(BD164=1,D164="proMX"),ROUND(AG164/CFG_BLK,6),0)</f>
        <v>0</v>
      </c>
      <c r="BV164" s="80" t="str">
        <f>IF(BF164="Approved",IF(ISNUMBER(T164),INT(T164),INT(B164)),"")</f>
        <v/>
      </c>
      <c r="BW164" s="80">
        <f>IF(ISNUMBER(B164),IF(DB_MON="Todos",1,IF(AND(INT(B164)&gt;=DB_MS,INT(B164)&lt;=DB_ME),1,0)),0)</f>
        <v>0</v>
      </c>
      <c r="BX164" s="80">
        <f>IF(DB_PROJ="Todos",1,IF(E164&amp;""=DB_PROJ&amp;"",1,0))</f>
        <v>1</v>
      </c>
      <c r="BY164" s="80">
        <f>BW164*BX164</f>
        <v>0</v>
      </c>
      <c r="BZ164" s="80" t="str">
        <f>IF(Y164=1,F164&amp;IF(AND(F164&amp;""&lt;&gt;"",E164&amp;""&lt;&gt;"")," · ","")&amp;E164,"")</f>
        <v/>
      </c>
      <c r="CA164" s="80" t="str">
        <f>IF(AND(BD164=1,E164&amp;""&lt;&gt;""),IF(COUNTIFS($E$5:E163,E164,$BD$5:BD163,1)=0,MAX($CA$5:CA163)+1,""),"")</f>
        <v/>
      </c>
      <c r="CB164" s="80" t="str">
        <f>IF(AND(BE164=1,D164="Malcolm",E164&amp;""&lt;&gt;""),IF(COUNTIFS($D$5:D163,"Malcolm",$E$5:E163,E164,$BE$5:BE163,1)=0,MAX($CB$5:CB163)+1,""),"")</f>
        <v/>
      </c>
      <c r="CC164" s="80" t="str">
        <f>IF(AND(BD164=1,D164="proMX",E164&amp;""&lt;&gt;""),IF(COUNTIFS($D$5:D163,"proMX",$E$5:E163,E164,$BD$5:BD163,1)=0,MAX($CC$5:CC163)+1,""),"")</f>
        <v/>
      </c>
      <c r="CD164" s="80" t="str">
        <f>IF(AND(BE164=1,D164="Malcolm",F164&amp;""&lt;&gt;""),IF(COUNTIFS($D$5:D163,"Malcolm",$F$5:F163,F164,$BE$5:BE163,1)=0,MAX($CD$5:CD163)+1,""),"")</f>
        <v/>
      </c>
      <c r="CE164" s="80" t="str">
        <f>IF(AND(BD164=1,D164="proMX",F164&amp;""&lt;&gt;""),IF(COUNTIFS($D$5:D163,"proMX",$F$5:F163,F164,$BD$5:BD163,1)=0,MAX($CE$5:CE163)+1,""),"")</f>
        <v/>
      </c>
      <c r="CF164" s="80" t="str">
        <f>IF(AND(D164="proMX",BD164=1),IF(OR(BF164="Draft",BF164="Submitted",BF164="Returned",BF164="Recall Requested"),MAX($CF$5:CF163)+1,""),"")</f>
        <v/>
      </c>
      <c r="CG164" s="80">
        <f>IF(BD164=0,0,IF(D164="Malcolm",1,MATCH(BF164,{"Draft","Submitted","Approved","Returned","Recall Requested","Cancelled"},0)+1))</f>
        <v>0</v>
      </c>
      <c r="CH164" s="80">
        <f>IF(AND(BF164="Submitted",ISNUMBER(V164)),IF(V164&gt;CFG_MAXD,1,0),0)</f>
        <v>0</v>
      </c>
    </row>
    <row r="165">
      <c r="A165" s="71" t="str">
        <f>IF(Y165=1,ROW()-5,"")</f>
        <v/>
      </c>
      <c r="B165" s="72" t="n"/>
      <c r="C165" s="71" t="str">
        <f>IF(ISNUMBER(B165),CHOOSE(WEEKDAY(B165,2),"Lun","Mar","Mié","Jue","Vie","Sáb","Dom"),"")</f>
        <v/>
      </c>
      <c r="D165" s="73" t="n"/>
      <c r="E165" s="74" t="n"/>
      <c r="F165" s="74" t="n"/>
      <c r="G165" s="74" t="n"/>
      <c r="H165" s="75" t="n"/>
      <c r="I165" s="75" t="n"/>
      <c r="J165" s="76" t="n"/>
      <c r="K165" s="77" t="str">
        <f>IF(AB165=1,ROUND(AG165/60,4),"")</f>
        <v/>
      </c>
      <c r="L165" s="77" t="str">
        <f>IF(BD165=1,ROUND(AP165/60,4),"")</f>
        <v/>
      </c>
      <c r="M165" s="77" t="str">
        <f>IF(BD165=1,ROUND(AQ165/60,4),"")</f>
        <v/>
      </c>
      <c r="N165" s="71" t="str">
        <f>IF(AND(D165="proMX",AB165=1),ROUND(AG165/CFG_BLK,2),"")</f>
        <v/>
      </c>
      <c r="O165" s="77" t="str">
        <f>IF(D165="proMX",IF(BD165=1,ROUND(AG165/60,4),0),"")</f>
        <v/>
      </c>
      <c r="P165" s="78" t="str">
        <f>IF(Y165=0,"",IF(BD165=1,"OK",IF(D165="proMX","Revisar bloques: ","Revisar: ")&amp;BC165))</f>
        <v/>
      </c>
      <c r="Q165" s="78" t="str">
        <f>IF(NOT(ISNUMBER(B165)),"",IF(COUNTIFS(FER_F,INT(B165))&gt;0,"Feriado"&amp;IF(AH165=1," (laborable)"," (no laborable)"),IF(AH165=1,"Laborable",IF(WEEKDAY(B165,2)&gt;5,"Fin de semana","No laborable"))))</f>
        <v/>
      </c>
      <c r="R165" s="73" t="n"/>
      <c r="S165" s="72" t="n"/>
      <c r="T165" s="72" t="n"/>
      <c r="U165" s="74" t="n"/>
      <c r="V165" s="79" t="str">
        <f>IF(AND(D165="proMX",OR(R165="Submitted",R165="Recall Requested"),ISNUMBER(S165)),CFG_TODAY-INT(S165),"")</f>
        <v/>
      </c>
      <c r="W165" s="78" t="str">
        <f>IF(BD165=0,"",IF(BA165&gt;0,"⚠ Se superpone con un registro de la otra empresa",IF(D165="Malcolm",IF(COUNTA(R165,S165,T165)&gt;0,"Estado/fechas proMX se ignoran en Malcolm",""),IF(BF165="Cancelled","Cancelado: excluido de totales",IF(R165="","Sin estado: se trata como Draft",IF(BF165="Submitted",IF(ISNUMBER(V165),IF(V165&gt;CFG_MAXD,"⚠ "&amp;V165&amp;" días en Submitted (máx. "&amp;CFG_MAXD&amp;")",""),"Falta fecha de envío"),IF(BF165="Returned","⚠ Devuelto: corregir y reenviar",IF(BF165="Recall Requested","Retirada solicitada: pendiente",IF(AND(BF165="Approved",NOT(ISNUMBER(T165))),"Falta fecha de aprobación",IF(AND(ISNUMBER(S165),ISNUMBER(T165),T165&lt;S165),"Aprobación anterior al envío","")))))))))</f>
        <v/>
      </c>
      <c r="Y165" s="80">
        <f>IF(COUNTA(B165,D165,E165,F165,G165,H165,I165,J165,R165,S165,T165)&gt;0,1,0)</f>
        <v>0</v>
      </c>
      <c r="Z165" s="80" t="str">
        <f>IF(AND(ISNUMBER(H165),H165&gt;=0,H165&lt;1),ROUND(H165*1440,0),"")</f>
        <v/>
      </c>
      <c r="AA165" s="80" t="str">
        <f>IF(AND(ISNUMBER(I165),I165&gt;=0,I165&lt;1),ROUND(I165*1440,0),"")</f>
        <v/>
      </c>
      <c r="AB165" s="80">
        <f>IF(AND(ISNUMBER(B165),D165&lt;&gt;"",ISNUMBER(Z165),ISNUMBER(AA165)),IF(Z165=AA165,0,1),0)</f>
        <v>0</v>
      </c>
      <c r="AC165" s="80">
        <f>IF(AB165=1,IF(AA165&lt;Z165,1,0),0)</f>
        <v>0</v>
      </c>
      <c r="AD165" s="80">
        <f>IF(AB165=1,IF(AC165=1,1440-Z165+AA165,AA165-Z165),0)</f>
        <v>0</v>
      </c>
      <c r="AE165" s="80">
        <f>IF(J165="",0,IF(ISNUMBER(J165),J165,-1))</f>
        <v>0</v>
      </c>
      <c r="AF165" s="80">
        <f>MIN(MAX(0,AE165),AD165)</f>
        <v>0</v>
      </c>
      <c r="AG165" s="80">
        <f>MAX(0,AD165-MAX(0,AE165))</f>
        <v>0</v>
      </c>
      <c r="AH165" s="80">
        <f>IF(ISNUMBER(B165),IF(AND(INDEX(CFG_WDAYS,WEEKDAY(INT(B165),2))="Sí",IF(D165="proMX",COUNTIFS(FER_F,INT(B165),FER_NLP,"Sí"),COUNTIFS(FER_F,INT(B165),FER_NLM,"Sí"))=0),1,0),0)</f>
        <v>0</v>
      </c>
      <c r="AI165" s="80">
        <f>IF(AC165=1,IF(AND(INDEX(CFG_WDAYS,WEEKDAY(INT(B165)+1,2))="Sí",IF(D165="proMX",COUNTIFS(FER_F,INT(B165)+1,FER_NLP,"Sí"),COUNTIFS(FER_F,INT(B165)+1,FER_NLM,"Sí"))=0),1,0),0)</f>
        <v>0</v>
      </c>
      <c r="AJ165" s="80">
        <f>IF(AC165=1,1440-Z165,AD165)</f>
        <v>0</v>
      </c>
      <c r="AK165" s="80">
        <f>IF(AND(AB165=1,AH165=1),MAX(0,MIN(IF(AC165=1,1440,AA165),CFG_WEM)-MAX(Z165,CFG_WSM)),0)</f>
        <v>0</v>
      </c>
      <c r="AL165" s="80">
        <f>IF(AND(AC165=1,AI165=1),MAX(0,MIN(AA165,CFG_WEM)-CFG_WSM),0)</f>
        <v>0</v>
      </c>
      <c r="AM165" s="80">
        <f>AK165+AL165</f>
        <v>0</v>
      </c>
      <c r="AN165" s="80">
        <f>IF(CFG_BRK="Proporcional",IF(AD165=0,0,AF165*AM165/AD165),IF(CFG_BRK="Extras primero",MIN(AM165,MAX(0,AF165-(AD165-AM165))),MIN(AF165,AM165)))</f>
        <v>0</v>
      </c>
      <c r="AO165" s="80">
        <f>AF165-AN165</f>
        <v>0</v>
      </c>
      <c r="AP165" s="80">
        <f>AM165-AN165</f>
        <v>0</v>
      </c>
      <c r="AQ165" s="80">
        <f>AD165-AM165-AO165</f>
        <v>0</v>
      </c>
      <c r="AR165" s="80">
        <f>IF(AM165=0,0,AK165-AN165*AK165/AM165)</f>
        <v>0</v>
      </c>
      <c r="AS165" s="80">
        <f>IF(AD165-AM165=0,0,(AJ165-AK165)-AO165*(AJ165-AK165)/(AD165-AM165))</f>
        <v>0</v>
      </c>
      <c r="AT165" s="80" t="str">
        <f>IF(AC165=1,INT(B165)+1,"")</f>
        <v/>
      </c>
      <c r="AU165" s="80">
        <f>IF(AND(D165="proMX",R165="Cancelled"),0,1)</f>
        <v>1</v>
      </c>
      <c r="AV165" s="80">
        <f>IF(AND(AB165=1,AU165=1),IF(COUNTIFS($D$5:D164,D165,$B$5:B164,B165,$Z$5:Z164,Z165,$AA$5:AA164,AA165,$F$5:F164,F165&amp;"",$AU$5:AU164,1)&gt;0,1,0),0)</f>
        <v>0</v>
      </c>
      <c r="AW165" s="80" t="str">
        <f>IF(AB165=1,INT(B165)*1440+Z165,"")</f>
        <v/>
      </c>
      <c r="AX165" s="80" t="str">
        <f>IF(AB165=1,AW165+AD165,"")</f>
        <v/>
      </c>
      <c r="AY165" s="80">
        <f>IF(AND(AB165=1,AV165=0,AU165=1),1,0)</f>
        <v>0</v>
      </c>
      <c r="AZ165" s="80">
        <f>IF(AY165=1,COUNTIFS(R_Emp,D165,R_SAbs,"&lt;"&amp;AX165,R_EAbs,"&gt;"&amp;AW165,R_OKey,1)-1,0)</f>
        <v>0</v>
      </c>
      <c r="BA165" s="80">
        <f>IF(AY165=1,COUNTIFS(R_Emp,"&lt;&gt;"&amp;D165,R_SAbs,"&lt;"&amp;AX165,R_EAbs,"&gt;"&amp;AW165,R_OKey,1),0)</f>
        <v>0</v>
      </c>
      <c r="BB165" s="80">
        <f>IF(AND(AB165=1,D165="proMX"),IF(AND(MOD(Z165,CFG_BLK)=0,MOD(AA165,CFG_BLK)=0,MOD(AG165,CFG_BLK)=0,AG165&gt;0),1,0),1)</f>
        <v>1</v>
      </c>
      <c r="BC165" s="80" t="str">
        <f>IF(Y165=0,"",IF(NOT(ISNUMBER(B165)),"Falta fecha o fecha inválida",IF(D165="","Falta empresa",IF(AND(D165&lt;&gt;"Malcolm",D165&lt;&gt;"proMX"),"Empresa inválida",IF(OR(INT(B165)&lt;CFG_PSTART,INT(B165)&gt;CFG_PEND),"Fecha fuera del período",IF(OR(NOT(ISNUMBER(Z165)),NOT(ISNUMBER(AA165))),"Falta hora inicio/fin o formato inválido",IF(AB165=0,"Hora inicio = hora fin",IF(AE165&lt;0,"Descanso inválido",IF(AE165&gt;=AD165,"Descanso ≥ duración",IF(AV165=1,"Registro duplicado",IF(AZ165&gt;0,"Se superpone con otro registro "&amp;D165,IF(BB165=0,"inicio, fin y duración neta deben ser múltiplos de "&amp;CFG_BLK&amp;" min",""))))))))))))</f>
        <v/>
      </c>
      <c r="BD165" s="80">
        <f>IF(AND(Y165=1,BC165=""),1,0)</f>
        <v>0</v>
      </c>
      <c r="BE165" s="80">
        <f>IF(AND(BD165=1,AU165=1),1,0)</f>
        <v>0</v>
      </c>
      <c r="BF165" s="80" t="str">
        <f>IF(AND(D165="proMX",BD165=1),IF(R165="","Draft",R165),"")</f>
        <v/>
      </c>
      <c r="BG165" s="80">
        <f>IF(BD165=1,ROUND(AG165/60,6),0)</f>
        <v>0</v>
      </c>
      <c r="BH165" s="80">
        <f>IF(BE165=1,ROUND(AG165/60,6),0)</f>
        <v>0</v>
      </c>
      <c r="BI165" s="80">
        <f>IF(BE165=1,ROUND(AP165/60,6),0)</f>
        <v>0</v>
      </c>
      <c r="BJ165" s="80">
        <f>IF(BE165=1,ROUND(AQ165/60,6),0)</f>
        <v>0</v>
      </c>
      <c r="BK165" s="80">
        <f>IF(BE165=1,ROUND((AR165+AS165)/60,6),0)</f>
        <v>0</v>
      </c>
      <c r="BL165" s="80">
        <f>ROUND(BH165-BK165,6)</f>
        <v>0</v>
      </c>
      <c r="BM165" s="80">
        <f>IF(BE165=1,ROUND(AR165/60,6),0)</f>
        <v>0</v>
      </c>
      <c r="BN165" s="80">
        <f>ROUND(BI165-BM165,6)</f>
        <v>0</v>
      </c>
      <c r="BO165" s="80">
        <f>IF(BE165=1,ROUND(AS165/60,6),0)</f>
        <v>0</v>
      </c>
      <c r="BP165" s="80">
        <f>ROUND(BJ165-BO165,6)</f>
        <v>0</v>
      </c>
      <c r="BQ165" s="80">
        <f>IF(BE165=1,AW165,0)</f>
        <v>0</v>
      </c>
      <c r="BR165" s="80">
        <f>IF(BE165=1,AX165,0)</f>
        <v>0</v>
      </c>
      <c r="BS165" s="80">
        <f>IF(AND(BE165=1,D165="Malcolm",BA165&gt;0),MIN(BH165,SUMPRODUCT((R_Emp="proMX")*(R_EN&gt;0)*((R_EN-(R_EN&gt;BR165)*(R_EN-BR165))&gt;(R_SN+(R_SN&lt;BQ165)*(BQ165-R_SN)))*((R_EN-(R_EN&gt;BR165)*(R_EN-BR165))-(R_SN+(R_SN&lt;BQ165)*(BQ165-R_SN))))/60),0)</f>
        <v>0</v>
      </c>
      <c r="BT165" s="80">
        <f>IF(AND(BE165=1,D165="proMX"),ROUND(BI165*CFG_RATE+BJ165*CFG_OTRATE,6),0)</f>
        <v>0</v>
      </c>
      <c r="BU165" s="80">
        <f>IF(AND(BD165=1,D165="proMX"),ROUND(AG165/CFG_BLK,6),0)</f>
        <v>0</v>
      </c>
      <c r="BV165" s="80" t="str">
        <f>IF(BF165="Approved",IF(ISNUMBER(T165),INT(T165),INT(B165)),"")</f>
        <v/>
      </c>
      <c r="BW165" s="80">
        <f>IF(ISNUMBER(B165),IF(DB_MON="Todos",1,IF(AND(INT(B165)&gt;=DB_MS,INT(B165)&lt;=DB_ME),1,0)),0)</f>
        <v>0</v>
      </c>
      <c r="BX165" s="80">
        <f>IF(DB_PROJ="Todos",1,IF(E165&amp;""=DB_PROJ&amp;"",1,0))</f>
        <v>1</v>
      </c>
      <c r="BY165" s="80">
        <f>BW165*BX165</f>
        <v>0</v>
      </c>
      <c r="BZ165" s="80" t="str">
        <f>IF(Y165=1,F165&amp;IF(AND(F165&amp;""&lt;&gt;"",E165&amp;""&lt;&gt;"")," · ","")&amp;E165,"")</f>
        <v/>
      </c>
      <c r="CA165" s="80" t="str">
        <f>IF(AND(BD165=1,E165&amp;""&lt;&gt;""),IF(COUNTIFS($E$5:E164,E165,$BD$5:BD164,1)=0,MAX($CA$5:CA164)+1,""),"")</f>
        <v/>
      </c>
      <c r="CB165" s="80" t="str">
        <f>IF(AND(BE165=1,D165="Malcolm",E165&amp;""&lt;&gt;""),IF(COUNTIFS($D$5:D164,"Malcolm",$E$5:E164,E165,$BE$5:BE164,1)=0,MAX($CB$5:CB164)+1,""),"")</f>
        <v/>
      </c>
      <c r="CC165" s="80" t="str">
        <f>IF(AND(BD165=1,D165="proMX",E165&amp;""&lt;&gt;""),IF(COUNTIFS($D$5:D164,"proMX",$E$5:E164,E165,$BD$5:BD164,1)=0,MAX($CC$5:CC164)+1,""),"")</f>
        <v/>
      </c>
      <c r="CD165" s="80" t="str">
        <f>IF(AND(BE165=1,D165="Malcolm",F165&amp;""&lt;&gt;""),IF(COUNTIFS($D$5:D164,"Malcolm",$F$5:F164,F165,$BE$5:BE164,1)=0,MAX($CD$5:CD164)+1,""),"")</f>
        <v/>
      </c>
      <c r="CE165" s="80" t="str">
        <f>IF(AND(BD165=1,D165="proMX",F165&amp;""&lt;&gt;""),IF(COUNTIFS($D$5:D164,"proMX",$F$5:F164,F165,$BD$5:BD164,1)=0,MAX($CE$5:CE164)+1,""),"")</f>
        <v/>
      </c>
      <c r="CF165" s="80" t="str">
        <f>IF(AND(D165="proMX",BD165=1),IF(OR(BF165="Draft",BF165="Submitted",BF165="Returned",BF165="Recall Requested"),MAX($CF$5:CF164)+1,""),"")</f>
        <v/>
      </c>
      <c r="CG165" s="80">
        <f>IF(BD165=0,0,IF(D165="Malcolm",1,MATCH(BF165,{"Draft","Submitted","Approved","Returned","Recall Requested","Cancelled"},0)+1))</f>
        <v>0</v>
      </c>
      <c r="CH165" s="80">
        <f>IF(AND(BF165="Submitted",ISNUMBER(V165)),IF(V165&gt;CFG_MAXD,1,0),0)</f>
        <v>0</v>
      </c>
    </row>
    <row r="166">
      <c r="A166" s="71" t="str">
        <f>IF(Y166=1,ROW()-5,"")</f>
        <v/>
      </c>
      <c r="B166" s="72" t="n"/>
      <c r="C166" s="71" t="str">
        <f>IF(ISNUMBER(B166),CHOOSE(WEEKDAY(B166,2),"Lun","Mar","Mié","Jue","Vie","Sáb","Dom"),"")</f>
        <v/>
      </c>
      <c r="D166" s="73" t="n"/>
      <c r="E166" s="74" t="n"/>
      <c r="F166" s="74" t="n"/>
      <c r="G166" s="74" t="n"/>
      <c r="H166" s="75" t="n"/>
      <c r="I166" s="75" t="n"/>
      <c r="J166" s="76" t="n"/>
      <c r="K166" s="77" t="str">
        <f>IF(AB166=1,ROUND(AG166/60,4),"")</f>
        <v/>
      </c>
      <c r="L166" s="77" t="str">
        <f>IF(BD166=1,ROUND(AP166/60,4),"")</f>
        <v/>
      </c>
      <c r="M166" s="77" t="str">
        <f>IF(BD166=1,ROUND(AQ166/60,4),"")</f>
        <v/>
      </c>
      <c r="N166" s="71" t="str">
        <f>IF(AND(D166="proMX",AB166=1),ROUND(AG166/CFG_BLK,2),"")</f>
        <v/>
      </c>
      <c r="O166" s="77" t="str">
        <f>IF(D166="proMX",IF(BD166=1,ROUND(AG166/60,4),0),"")</f>
        <v/>
      </c>
      <c r="P166" s="78" t="str">
        <f>IF(Y166=0,"",IF(BD166=1,"OK",IF(D166="proMX","Revisar bloques: ","Revisar: ")&amp;BC166))</f>
        <v/>
      </c>
      <c r="Q166" s="78" t="str">
        <f>IF(NOT(ISNUMBER(B166)),"",IF(COUNTIFS(FER_F,INT(B166))&gt;0,"Feriado"&amp;IF(AH166=1," (laborable)"," (no laborable)"),IF(AH166=1,"Laborable",IF(WEEKDAY(B166,2)&gt;5,"Fin de semana","No laborable"))))</f>
        <v/>
      </c>
      <c r="R166" s="73" t="n"/>
      <c r="S166" s="72" t="n"/>
      <c r="T166" s="72" t="n"/>
      <c r="U166" s="74" t="n"/>
      <c r="V166" s="79" t="str">
        <f>IF(AND(D166="proMX",OR(R166="Submitted",R166="Recall Requested"),ISNUMBER(S166)),CFG_TODAY-INT(S166),"")</f>
        <v/>
      </c>
      <c r="W166" s="78" t="str">
        <f>IF(BD166=0,"",IF(BA166&gt;0,"⚠ Se superpone con un registro de la otra empresa",IF(D166="Malcolm",IF(COUNTA(R166,S166,T166)&gt;0,"Estado/fechas proMX se ignoran en Malcolm",""),IF(BF166="Cancelled","Cancelado: excluido de totales",IF(R166="","Sin estado: se trata como Draft",IF(BF166="Submitted",IF(ISNUMBER(V166),IF(V166&gt;CFG_MAXD,"⚠ "&amp;V166&amp;" días en Submitted (máx. "&amp;CFG_MAXD&amp;")",""),"Falta fecha de envío"),IF(BF166="Returned","⚠ Devuelto: corregir y reenviar",IF(BF166="Recall Requested","Retirada solicitada: pendiente",IF(AND(BF166="Approved",NOT(ISNUMBER(T166))),"Falta fecha de aprobación",IF(AND(ISNUMBER(S166),ISNUMBER(T166),T166&lt;S166),"Aprobación anterior al envío","")))))))))</f>
        <v/>
      </c>
      <c r="Y166" s="80">
        <f>IF(COUNTA(B166,D166,E166,F166,G166,H166,I166,J166,R166,S166,T166)&gt;0,1,0)</f>
        <v>0</v>
      </c>
      <c r="Z166" s="80" t="str">
        <f>IF(AND(ISNUMBER(H166),H166&gt;=0,H166&lt;1),ROUND(H166*1440,0),"")</f>
        <v/>
      </c>
      <c r="AA166" s="80" t="str">
        <f>IF(AND(ISNUMBER(I166),I166&gt;=0,I166&lt;1),ROUND(I166*1440,0),"")</f>
        <v/>
      </c>
      <c r="AB166" s="80">
        <f>IF(AND(ISNUMBER(B166),D166&lt;&gt;"",ISNUMBER(Z166),ISNUMBER(AA166)),IF(Z166=AA166,0,1),0)</f>
        <v>0</v>
      </c>
      <c r="AC166" s="80">
        <f>IF(AB166=1,IF(AA166&lt;Z166,1,0),0)</f>
        <v>0</v>
      </c>
      <c r="AD166" s="80">
        <f>IF(AB166=1,IF(AC166=1,1440-Z166+AA166,AA166-Z166),0)</f>
        <v>0</v>
      </c>
      <c r="AE166" s="80">
        <f>IF(J166="",0,IF(ISNUMBER(J166),J166,-1))</f>
        <v>0</v>
      </c>
      <c r="AF166" s="80">
        <f>MIN(MAX(0,AE166),AD166)</f>
        <v>0</v>
      </c>
      <c r="AG166" s="80">
        <f>MAX(0,AD166-MAX(0,AE166))</f>
        <v>0</v>
      </c>
      <c r="AH166" s="80">
        <f>IF(ISNUMBER(B166),IF(AND(INDEX(CFG_WDAYS,WEEKDAY(INT(B166),2))="Sí",IF(D166="proMX",COUNTIFS(FER_F,INT(B166),FER_NLP,"Sí"),COUNTIFS(FER_F,INT(B166),FER_NLM,"Sí"))=0),1,0),0)</f>
        <v>0</v>
      </c>
      <c r="AI166" s="80">
        <f>IF(AC166=1,IF(AND(INDEX(CFG_WDAYS,WEEKDAY(INT(B166)+1,2))="Sí",IF(D166="proMX",COUNTIFS(FER_F,INT(B166)+1,FER_NLP,"Sí"),COUNTIFS(FER_F,INT(B166)+1,FER_NLM,"Sí"))=0),1,0),0)</f>
        <v>0</v>
      </c>
      <c r="AJ166" s="80">
        <f>IF(AC166=1,1440-Z166,AD166)</f>
        <v>0</v>
      </c>
      <c r="AK166" s="80">
        <f>IF(AND(AB166=1,AH166=1),MAX(0,MIN(IF(AC166=1,1440,AA166),CFG_WEM)-MAX(Z166,CFG_WSM)),0)</f>
        <v>0</v>
      </c>
      <c r="AL166" s="80">
        <f>IF(AND(AC166=1,AI166=1),MAX(0,MIN(AA166,CFG_WEM)-CFG_WSM),0)</f>
        <v>0</v>
      </c>
      <c r="AM166" s="80">
        <f>AK166+AL166</f>
        <v>0</v>
      </c>
      <c r="AN166" s="80">
        <f>IF(CFG_BRK="Proporcional",IF(AD166=0,0,AF166*AM166/AD166),IF(CFG_BRK="Extras primero",MIN(AM166,MAX(0,AF166-(AD166-AM166))),MIN(AF166,AM166)))</f>
        <v>0</v>
      </c>
      <c r="AO166" s="80">
        <f>AF166-AN166</f>
        <v>0</v>
      </c>
      <c r="AP166" s="80">
        <f>AM166-AN166</f>
        <v>0</v>
      </c>
      <c r="AQ166" s="80">
        <f>AD166-AM166-AO166</f>
        <v>0</v>
      </c>
      <c r="AR166" s="80">
        <f>IF(AM166=0,0,AK166-AN166*AK166/AM166)</f>
        <v>0</v>
      </c>
      <c r="AS166" s="80">
        <f>IF(AD166-AM166=0,0,(AJ166-AK166)-AO166*(AJ166-AK166)/(AD166-AM166))</f>
        <v>0</v>
      </c>
      <c r="AT166" s="80" t="str">
        <f>IF(AC166=1,INT(B166)+1,"")</f>
        <v/>
      </c>
      <c r="AU166" s="80">
        <f>IF(AND(D166="proMX",R166="Cancelled"),0,1)</f>
        <v>1</v>
      </c>
      <c r="AV166" s="80">
        <f>IF(AND(AB166=1,AU166=1),IF(COUNTIFS($D$5:D165,D166,$B$5:B165,B166,$Z$5:Z165,Z166,$AA$5:AA165,AA166,$F$5:F165,F166&amp;"",$AU$5:AU165,1)&gt;0,1,0),0)</f>
        <v>0</v>
      </c>
      <c r="AW166" s="80" t="str">
        <f>IF(AB166=1,INT(B166)*1440+Z166,"")</f>
        <v/>
      </c>
      <c r="AX166" s="80" t="str">
        <f>IF(AB166=1,AW166+AD166,"")</f>
        <v/>
      </c>
      <c r="AY166" s="80">
        <f>IF(AND(AB166=1,AV166=0,AU166=1),1,0)</f>
        <v>0</v>
      </c>
      <c r="AZ166" s="80">
        <f>IF(AY166=1,COUNTIFS(R_Emp,D166,R_SAbs,"&lt;"&amp;AX166,R_EAbs,"&gt;"&amp;AW166,R_OKey,1)-1,0)</f>
        <v>0</v>
      </c>
      <c r="BA166" s="80">
        <f>IF(AY166=1,COUNTIFS(R_Emp,"&lt;&gt;"&amp;D166,R_SAbs,"&lt;"&amp;AX166,R_EAbs,"&gt;"&amp;AW166,R_OKey,1),0)</f>
        <v>0</v>
      </c>
      <c r="BB166" s="80">
        <f>IF(AND(AB166=1,D166="proMX"),IF(AND(MOD(Z166,CFG_BLK)=0,MOD(AA166,CFG_BLK)=0,MOD(AG166,CFG_BLK)=0,AG166&gt;0),1,0),1)</f>
        <v>1</v>
      </c>
      <c r="BC166" s="80" t="str">
        <f>IF(Y166=0,"",IF(NOT(ISNUMBER(B166)),"Falta fecha o fecha inválida",IF(D166="","Falta empresa",IF(AND(D166&lt;&gt;"Malcolm",D166&lt;&gt;"proMX"),"Empresa inválida",IF(OR(INT(B166)&lt;CFG_PSTART,INT(B166)&gt;CFG_PEND),"Fecha fuera del período",IF(OR(NOT(ISNUMBER(Z166)),NOT(ISNUMBER(AA166))),"Falta hora inicio/fin o formato inválido",IF(AB166=0,"Hora inicio = hora fin",IF(AE166&lt;0,"Descanso inválido",IF(AE166&gt;=AD166,"Descanso ≥ duración",IF(AV166=1,"Registro duplicado",IF(AZ166&gt;0,"Se superpone con otro registro "&amp;D166,IF(BB166=0,"inicio, fin y duración neta deben ser múltiplos de "&amp;CFG_BLK&amp;" min",""))))))))))))</f>
        <v/>
      </c>
      <c r="BD166" s="80">
        <f>IF(AND(Y166=1,BC166=""),1,0)</f>
        <v>0</v>
      </c>
      <c r="BE166" s="80">
        <f>IF(AND(BD166=1,AU166=1),1,0)</f>
        <v>0</v>
      </c>
      <c r="BF166" s="80" t="str">
        <f>IF(AND(D166="proMX",BD166=1),IF(R166="","Draft",R166),"")</f>
        <v/>
      </c>
      <c r="BG166" s="80">
        <f>IF(BD166=1,ROUND(AG166/60,6),0)</f>
        <v>0</v>
      </c>
      <c r="BH166" s="80">
        <f>IF(BE166=1,ROUND(AG166/60,6),0)</f>
        <v>0</v>
      </c>
      <c r="BI166" s="80">
        <f>IF(BE166=1,ROUND(AP166/60,6),0)</f>
        <v>0</v>
      </c>
      <c r="BJ166" s="80">
        <f>IF(BE166=1,ROUND(AQ166/60,6),0)</f>
        <v>0</v>
      </c>
      <c r="BK166" s="80">
        <f>IF(BE166=1,ROUND((AR166+AS166)/60,6),0)</f>
        <v>0</v>
      </c>
      <c r="BL166" s="80">
        <f>ROUND(BH166-BK166,6)</f>
        <v>0</v>
      </c>
      <c r="BM166" s="80">
        <f>IF(BE166=1,ROUND(AR166/60,6),0)</f>
        <v>0</v>
      </c>
      <c r="BN166" s="80">
        <f>ROUND(BI166-BM166,6)</f>
        <v>0</v>
      </c>
      <c r="BO166" s="80">
        <f>IF(BE166=1,ROUND(AS166/60,6),0)</f>
        <v>0</v>
      </c>
      <c r="BP166" s="80">
        <f>ROUND(BJ166-BO166,6)</f>
        <v>0</v>
      </c>
      <c r="BQ166" s="80">
        <f>IF(BE166=1,AW166,0)</f>
        <v>0</v>
      </c>
      <c r="BR166" s="80">
        <f>IF(BE166=1,AX166,0)</f>
        <v>0</v>
      </c>
      <c r="BS166" s="80">
        <f>IF(AND(BE166=1,D166="Malcolm",BA166&gt;0),MIN(BH166,SUMPRODUCT((R_Emp="proMX")*(R_EN&gt;0)*((R_EN-(R_EN&gt;BR166)*(R_EN-BR166))&gt;(R_SN+(R_SN&lt;BQ166)*(BQ166-R_SN)))*((R_EN-(R_EN&gt;BR166)*(R_EN-BR166))-(R_SN+(R_SN&lt;BQ166)*(BQ166-R_SN))))/60),0)</f>
        <v>0</v>
      </c>
      <c r="BT166" s="80">
        <f>IF(AND(BE166=1,D166="proMX"),ROUND(BI166*CFG_RATE+BJ166*CFG_OTRATE,6),0)</f>
        <v>0</v>
      </c>
      <c r="BU166" s="80">
        <f>IF(AND(BD166=1,D166="proMX"),ROUND(AG166/CFG_BLK,6),0)</f>
        <v>0</v>
      </c>
      <c r="BV166" s="80" t="str">
        <f>IF(BF166="Approved",IF(ISNUMBER(T166),INT(T166),INT(B166)),"")</f>
        <v/>
      </c>
      <c r="BW166" s="80">
        <f>IF(ISNUMBER(B166),IF(DB_MON="Todos",1,IF(AND(INT(B166)&gt;=DB_MS,INT(B166)&lt;=DB_ME),1,0)),0)</f>
        <v>0</v>
      </c>
      <c r="BX166" s="80">
        <f>IF(DB_PROJ="Todos",1,IF(E166&amp;""=DB_PROJ&amp;"",1,0))</f>
        <v>1</v>
      </c>
      <c r="BY166" s="80">
        <f>BW166*BX166</f>
        <v>0</v>
      </c>
      <c r="BZ166" s="80" t="str">
        <f>IF(Y166=1,F166&amp;IF(AND(F166&amp;""&lt;&gt;"",E166&amp;""&lt;&gt;"")," · ","")&amp;E166,"")</f>
        <v/>
      </c>
      <c r="CA166" s="80" t="str">
        <f>IF(AND(BD166=1,E166&amp;""&lt;&gt;""),IF(COUNTIFS($E$5:E165,E166,$BD$5:BD165,1)=0,MAX($CA$5:CA165)+1,""),"")</f>
        <v/>
      </c>
      <c r="CB166" s="80" t="str">
        <f>IF(AND(BE166=1,D166="Malcolm",E166&amp;""&lt;&gt;""),IF(COUNTIFS($D$5:D165,"Malcolm",$E$5:E165,E166,$BE$5:BE165,1)=0,MAX($CB$5:CB165)+1,""),"")</f>
        <v/>
      </c>
      <c r="CC166" s="80" t="str">
        <f>IF(AND(BD166=1,D166="proMX",E166&amp;""&lt;&gt;""),IF(COUNTIFS($D$5:D165,"proMX",$E$5:E165,E166,$BD$5:BD165,1)=0,MAX($CC$5:CC165)+1,""),"")</f>
        <v/>
      </c>
      <c r="CD166" s="80" t="str">
        <f>IF(AND(BE166=1,D166="Malcolm",F166&amp;""&lt;&gt;""),IF(COUNTIFS($D$5:D165,"Malcolm",$F$5:F165,F166,$BE$5:BE165,1)=0,MAX($CD$5:CD165)+1,""),"")</f>
        <v/>
      </c>
      <c r="CE166" s="80" t="str">
        <f>IF(AND(BD166=1,D166="proMX",F166&amp;""&lt;&gt;""),IF(COUNTIFS($D$5:D165,"proMX",$F$5:F165,F166,$BD$5:BD165,1)=0,MAX($CE$5:CE165)+1,""),"")</f>
        <v/>
      </c>
      <c r="CF166" s="80" t="str">
        <f>IF(AND(D166="proMX",BD166=1),IF(OR(BF166="Draft",BF166="Submitted",BF166="Returned",BF166="Recall Requested"),MAX($CF$5:CF165)+1,""),"")</f>
        <v/>
      </c>
      <c r="CG166" s="80">
        <f>IF(BD166=0,0,IF(D166="Malcolm",1,MATCH(BF166,{"Draft","Submitted","Approved","Returned","Recall Requested","Cancelled"},0)+1))</f>
        <v>0</v>
      </c>
      <c r="CH166" s="80">
        <f>IF(AND(BF166="Submitted",ISNUMBER(V166)),IF(V166&gt;CFG_MAXD,1,0),0)</f>
        <v>0</v>
      </c>
    </row>
    <row r="167">
      <c r="A167" s="71" t="str">
        <f>IF(Y167=1,ROW()-5,"")</f>
        <v/>
      </c>
      <c r="B167" s="72" t="n"/>
      <c r="C167" s="71" t="str">
        <f>IF(ISNUMBER(B167),CHOOSE(WEEKDAY(B167,2),"Lun","Mar","Mié","Jue","Vie","Sáb","Dom"),"")</f>
        <v/>
      </c>
      <c r="D167" s="73" t="n"/>
      <c r="E167" s="74" t="n"/>
      <c r="F167" s="74" t="n"/>
      <c r="G167" s="74" t="n"/>
      <c r="H167" s="75" t="n"/>
      <c r="I167" s="75" t="n"/>
      <c r="J167" s="76" t="n"/>
      <c r="K167" s="77" t="str">
        <f>IF(AB167=1,ROUND(AG167/60,4),"")</f>
        <v/>
      </c>
      <c r="L167" s="77" t="str">
        <f>IF(BD167=1,ROUND(AP167/60,4),"")</f>
        <v/>
      </c>
      <c r="M167" s="77" t="str">
        <f>IF(BD167=1,ROUND(AQ167/60,4),"")</f>
        <v/>
      </c>
      <c r="N167" s="71" t="str">
        <f>IF(AND(D167="proMX",AB167=1),ROUND(AG167/CFG_BLK,2),"")</f>
        <v/>
      </c>
      <c r="O167" s="77" t="str">
        <f>IF(D167="proMX",IF(BD167=1,ROUND(AG167/60,4),0),"")</f>
        <v/>
      </c>
      <c r="P167" s="78" t="str">
        <f>IF(Y167=0,"",IF(BD167=1,"OK",IF(D167="proMX","Revisar bloques: ","Revisar: ")&amp;BC167))</f>
        <v/>
      </c>
      <c r="Q167" s="78" t="str">
        <f>IF(NOT(ISNUMBER(B167)),"",IF(COUNTIFS(FER_F,INT(B167))&gt;0,"Feriado"&amp;IF(AH167=1," (laborable)"," (no laborable)"),IF(AH167=1,"Laborable",IF(WEEKDAY(B167,2)&gt;5,"Fin de semana","No laborable"))))</f>
        <v/>
      </c>
      <c r="R167" s="73" t="n"/>
      <c r="S167" s="72" t="n"/>
      <c r="T167" s="72" t="n"/>
      <c r="U167" s="74" t="n"/>
      <c r="V167" s="79" t="str">
        <f>IF(AND(D167="proMX",OR(R167="Submitted",R167="Recall Requested"),ISNUMBER(S167)),CFG_TODAY-INT(S167),"")</f>
        <v/>
      </c>
      <c r="W167" s="78" t="str">
        <f>IF(BD167=0,"",IF(BA167&gt;0,"⚠ Se superpone con un registro de la otra empresa",IF(D167="Malcolm",IF(COUNTA(R167,S167,T167)&gt;0,"Estado/fechas proMX se ignoran en Malcolm",""),IF(BF167="Cancelled","Cancelado: excluido de totales",IF(R167="","Sin estado: se trata como Draft",IF(BF167="Submitted",IF(ISNUMBER(V167),IF(V167&gt;CFG_MAXD,"⚠ "&amp;V167&amp;" días en Submitted (máx. "&amp;CFG_MAXD&amp;")",""),"Falta fecha de envío"),IF(BF167="Returned","⚠ Devuelto: corregir y reenviar",IF(BF167="Recall Requested","Retirada solicitada: pendiente",IF(AND(BF167="Approved",NOT(ISNUMBER(T167))),"Falta fecha de aprobación",IF(AND(ISNUMBER(S167),ISNUMBER(T167),T167&lt;S167),"Aprobación anterior al envío","")))))))))</f>
        <v/>
      </c>
      <c r="Y167" s="80">
        <f>IF(COUNTA(B167,D167,E167,F167,G167,H167,I167,J167,R167,S167,T167)&gt;0,1,0)</f>
        <v>0</v>
      </c>
      <c r="Z167" s="80" t="str">
        <f>IF(AND(ISNUMBER(H167),H167&gt;=0,H167&lt;1),ROUND(H167*1440,0),"")</f>
        <v/>
      </c>
      <c r="AA167" s="80" t="str">
        <f>IF(AND(ISNUMBER(I167),I167&gt;=0,I167&lt;1),ROUND(I167*1440,0),"")</f>
        <v/>
      </c>
      <c r="AB167" s="80">
        <f>IF(AND(ISNUMBER(B167),D167&lt;&gt;"",ISNUMBER(Z167),ISNUMBER(AA167)),IF(Z167=AA167,0,1),0)</f>
        <v>0</v>
      </c>
      <c r="AC167" s="80">
        <f>IF(AB167=1,IF(AA167&lt;Z167,1,0),0)</f>
        <v>0</v>
      </c>
      <c r="AD167" s="80">
        <f>IF(AB167=1,IF(AC167=1,1440-Z167+AA167,AA167-Z167),0)</f>
        <v>0</v>
      </c>
      <c r="AE167" s="80">
        <f>IF(J167="",0,IF(ISNUMBER(J167),J167,-1))</f>
        <v>0</v>
      </c>
      <c r="AF167" s="80">
        <f>MIN(MAX(0,AE167),AD167)</f>
        <v>0</v>
      </c>
      <c r="AG167" s="80">
        <f>MAX(0,AD167-MAX(0,AE167))</f>
        <v>0</v>
      </c>
      <c r="AH167" s="80">
        <f>IF(ISNUMBER(B167),IF(AND(INDEX(CFG_WDAYS,WEEKDAY(INT(B167),2))="Sí",IF(D167="proMX",COUNTIFS(FER_F,INT(B167),FER_NLP,"Sí"),COUNTIFS(FER_F,INT(B167),FER_NLM,"Sí"))=0),1,0),0)</f>
        <v>0</v>
      </c>
      <c r="AI167" s="80">
        <f>IF(AC167=1,IF(AND(INDEX(CFG_WDAYS,WEEKDAY(INT(B167)+1,2))="Sí",IF(D167="proMX",COUNTIFS(FER_F,INT(B167)+1,FER_NLP,"Sí"),COUNTIFS(FER_F,INT(B167)+1,FER_NLM,"Sí"))=0),1,0),0)</f>
        <v>0</v>
      </c>
      <c r="AJ167" s="80">
        <f>IF(AC167=1,1440-Z167,AD167)</f>
        <v>0</v>
      </c>
      <c r="AK167" s="80">
        <f>IF(AND(AB167=1,AH167=1),MAX(0,MIN(IF(AC167=1,1440,AA167),CFG_WEM)-MAX(Z167,CFG_WSM)),0)</f>
        <v>0</v>
      </c>
      <c r="AL167" s="80">
        <f>IF(AND(AC167=1,AI167=1),MAX(0,MIN(AA167,CFG_WEM)-CFG_WSM),0)</f>
        <v>0</v>
      </c>
      <c r="AM167" s="80">
        <f>AK167+AL167</f>
        <v>0</v>
      </c>
      <c r="AN167" s="80">
        <f>IF(CFG_BRK="Proporcional",IF(AD167=0,0,AF167*AM167/AD167),IF(CFG_BRK="Extras primero",MIN(AM167,MAX(0,AF167-(AD167-AM167))),MIN(AF167,AM167)))</f>
        <v>0</v>
      </c>
      <c r="AO167" s="80">
        <f>AF167-AN167</f>
        <v>0</v>
      </c>
      <c r="AP167" s="80">
        <f>AM167-AN167</f>
        <v>0</v>
      </c>
      <c r="AQ167" s="80">
        <f>AD167-AM167-AO167</f>
        <v>0</v>
      </c>
      <c r="AR167" s="80">
        <f>IF(AM167=0,0,AK167-AN167*AK167/AM167)</f>
        <v>0</v>
      </c>
      <c r="AS167" s="80">
        <f>IF(AD167-AM167=0,0,(AJ167-AK167)-AO167*(AJ167-AK167)/(AD167-AM167))</f>
        <v>0</v>
      </c>
      <c r="AT167" s="80" t="str">
        <f>IF(AC167=1,INT(B167)+1,"")</f>
        <v/>
      </c>
      <c r="AU167" s="80">
        <f>IF(AND(D167="proMX",R167="Cancelled"),0,1)</f>
        <v>1</v>
      </c>
      <c r="AV167" s="80">
        <f>IF(AND(AB167=1,AU167=1),IF(COUNTIFS($D$5:D166,D167,$B$5:B166,B167,$Z$5:Z166,Z167,$AA$5:AA166,AA167,$F$5:F166,F167&amp;"",$AU$5:AU166,1)&gt;0,1,0),0)</f>
        <v>0</v>
      </c>
      <c r="AW167" s="80" t="str">
        <f>IF(AB167=1,INT(B167)*1440+Z167,"")</f>
        <v/>
      </c>
      <c r="AX167" s="80" t="str">
        <f>IF(AB167=1,AW167+AD167,"")</f>
        <v/>
      </c>
      <c r="AY167" s="80">
        <f>IF(AND(AB167=1,AV167=0,AU167=1),1,0)</f>
        <v>0</v>
      </c>
      <c r="AZ167" s="80">
        <f>IF(AY167=1,COUNTIFS(R_Emp,D167,R_SAbs,"&lt;"&amp;AX167,R_EAbs,"&gt;"&amp;AW167,R_OKey,1)-1,0)</f>
        <v>0</v>
      </c>
      <c r="BA167" s="80">
        <f>IF(AY167=1,COUNTIFS(R_Emp,"&lt;&gt;"&amp;D167,R_SAbs,"&lt;"&amp;AX167,R_EAbs,"&gt;"&amp;AW167,R_OKey,1),0)</f>
        <v>0</v>
      </c>
      <c r="BB167" s="80">
        <f>IF(AND(AB167=1,D167="proMX"),IF(AND(MOD(Z167,CFG_BLK)=0,MOD(AA167,CFG_BLK)=0,MOD(AG167,CFG_BLK)=0,AG167&gt;0),1,0),1)</f>
        <v>1</v>
      </c>
      <c r="BC167" s="80" t="str">
        <f>IF(Y167=0,"",IF(NOT(ISNUMBER(B167)),"Falta fecha o fecha inválida",IF(D167="","Falta empresa",IF(AND(D167&lt;&gt;"Malcolm",D167&lt;&gt;"proMX"),"Empresa inválida",IF(OR(INT(B167)&lt;CFG_PSTART,INT(B167)&gt;CFG_PEND),"Fecha fuera del período",IF(OR(NOT(ISNUMBER(Z167)),NOT(ISNUMBER(AA167))),"Falta hora inicio/fin o formato inválido",IF(AB167=0,"Hora inicio = hora fin",IF(AE167&lt;0,"Descanso inválido",IF(AE167&gt;=AD167,"Descanso ≥ duración",IF(AV167=1,"Registro duplicado",IF(AZ167&gt;0,"Se superpone con otro registro "&amp;D167,IF(BB167=0,"inicio, fin y duración neta deben ser múltiplos de "&amp;CFG_BLK&amp;" min",""))))))))))))</f>
        <v/>
      </c>
      <c r="BD167" s="80">
        <f>IF(AND(Y167=1,BC167=""),1,0)</f>
        <v>0</v>
      </c>
      <c r="BE167" s="80">
        <f>IF(AND(BD167=1,AU167=1),1,0)</f>
        <v>0</v>
      </c>
      <c r="BF167" s="80" t="str">
        <f>IF(AND(D167="proMX",BD167=1),IF(R167="","Draft",R167),"")</f>
        <v/>
      </c>
      <c r="BG167" s="80">
        <f>IF(BD167=1,ROUND(AG167/60,6),0)</f>
        <v>0</v>
      </c>
      <c r="BH167" s="80">
        <f>IF(BE167=1,ROUND(AG167/60,6),0)</f>
        <v>0</v>
      </c>
      <c r="BI167" s="80">
        <f>IF(BE167=1,ROUND(AP167/60,6),0)</f>
        <v>0</v>
      </c>
      <c r="BJ167" s="80">
        <f>IF(BE167=1,ROUND(AQ167/60,6),0)</f>
        <v>0</v>
      </c>
      <c r="BK167" s="80">
        <f>IF(BE167=1,ROUND((AR167+AS167)/60,6),0)</f>
        <v>0</v>
      </c>
      <c r="BL167" s="80">
        <f>ROUND(BH167-BK167,6)</f>
        <v>0</v>
      </c>
      <c r="BM167" s="80">
        <f>IF(BE167=1,ROUND(AR167/60,6),0)</f>
        <v>0</v>
      </c>
      <c r="BN167" s="80">
        <f>ROUND(BI167-BM167,6)</f>
        <v>0</v>
      </c>
      <c r="BO167" s="80">
        <f>IF(BE167=1,ROUND(AS167/60,6),0)</f>
        <v>0</v>
      </c>
      <c r="BP167" s="80">
        <f>ROUND(BJ167-BO167,6)</f>
        <v>0</v>
      </c>
      <c r="BQ167" s="80">
        <f>IF(BE167=1,AW167,0)</f>
        <v>0</v>
      </c>
      <c r="BR167" s="80">
        <f>IF(BE167=1,AX167,0)</f>
        <v>0</v>
      </c>
      <c r="BS167" s="80">
        <f>IF(AND(BE167=1,D167="Malcolm",BA167&gt;0),MIN(BH167,SUMPRODUCT((R_Emp="proMX")*(R_EN&gt;0)*((R_EN-(R_EN&gt;BR167)*(R_EN-BR167))&gt;(R_SN+(R_SN&lt;BQ167)*(BQ167-R_SN)))*((R_EN-(R_EN&gt;BR167)*(R_EN-BR167))-(R_SN+(R_SN&lt;BQ167)*(BQ167-R_SN))))/60),0)</f>
        <v>0</v>
      </c>
      <c r="BT167" s="80">
        <f>IF(AND(BE167=1,D167="proMX"),ROUND(BI167*CFG_RATE+BJ167*CFG_OTRATE,6),0)</f>
        <v>0</v>
      </c>
      <c r="BU167" s="80">
        <f>IF(AND(BD167=1,D167="proMX"),ROUND(AG167/CFG_BLK,6),0)</f>
        <v>0</v>
      </c>
      <c r="BV167" s="80" t="str">
        <f>IF(BF167="Approved",IF(ISNUMBER(T167),INT(T167),INT(B167)),"")</f>
        <v/>
      </c>
      <c r="BW167" s="80">
        <f>IF(ISNUMBER(B167),IF(DB_MON="Todos",1,IF(AND(INT(B167)&gt;=DB_MS,INT(B167)&lt;=DB_ME),1,0)),0)</f>
        <v>0</v>
      </c>
      <c r="BX167" s="80">
        <f>IF(DB_PROJ="Todos",1,IF(E167&amp;""=DB_PROJ&amp;"",1,0))</f>
        <v>1</v>
      </c>
      <c r="BY167" s="80">
        <f>BW167*BX167</f>
        <v>0</v>
      </c>
      <c r="BZ167" s="80" t="str">
        <f>IF(Y167=1,F167&amp;IF(AND(F167&amp;""&lt;&gt;"",E167&amp;""&lt;&gt;"")," · ","")&amp;E167,"")</f>
        <v/>
      </c>
      <c r="CA167" s="80" t="str">
        <f>IF(AND(BD167=1,E167&amp;""&lt;&gt;""),IF(COUNTIFS($E$5:E166,E167,$BD$5:BD166,1)=0,MAX($CA$5:CA166)+1,""),"")</f>
        <v/>
      </c>
      <c r="CB167" s="80" t="str">
        <f>IF(AND(BE167=1,D167="Malcolm",E167&amp;""&lt;&gt;""),IF(COUNTIFS($D$5:D166,"Malcolm",$E$5:E166,E167,$BE$5:BE166,1)=0,MAX($CB$5:CB166)+1,""),"")</f>
        <v/>
      </c>
      <c r="CC167" s="80" t="str">
        <f>IF(AND(BD167=1,D167="proMX",E167&amp;""&lt;&gt;""),IF(COUNTIFS($D$5:D166,"proMX",$E$5:E166,E167,$BD$5:BD166,1)=0,MAX($CC$5:CC166)+1,""),"")</f>
        <v/>
      </c>
      <c r="CD167" s="80" t="str">
        <f>IF(AND(BE167=1,D167="Malcolm",F167&amp;""&lt;&gt;""),IF(COUNTIFS($D$5:D166,"Malcolm",$F$5:F166,F167,$BE$5:BE166,1)=0,MAX($CD$5:CD166)+1,""),"")</f>
        <v/>
      </c>
      <c r="CE167" s="80" t="str">
        <f>IF(AND(BD167=1,D167="proMX",F167&amp;""&lt;&gt;""),IF(COUNTIFS($D$5:D166,"proMX",$F$5:F166,F167,$BD$5:BD166,1)=0,MAX($CE$5:CE166)+1,""),"")</f>
        <v/>
      </c>
      <c r="CF167" s="80" t="str">
        <f>IF(AND(D167="proMX",BD167=1),IF(OR(BF167="Draft",BF167="Submitted",BF167="Returned",BF167="Recall Requested"),MAX($CF$5:CF166)+1,""),"")</f>
        <v/>
      </c>
      <c r="CG167" s="80">
        <f>IF(BD167=0,0,IF(D167="Malcolm",1,MATCH(BF167,{"Draft","Submitted","Approved","Returned","Recall Requested","Cancelled"},0)+1))</f>
        <v>0</v>
      </c>
      <c r="CH167" s="80">
        <f>IF(AND(BF167="Submitted",ISNUMBER(V167)),IF(V167&gt;CFG_MAXD,1,0),0)</f>
        <v>0</v>
      </c>
    </row>
    <row r="168">
      <c r="A168" s="71" t="str">
        <f>IF(Y168=1,ROW()-5,"")</f>
        <v/>
      </c>
      <c r="B168" s="72" t="n"/>
      <c r="C168" s="71" t="str">
        <f>IF(ISNUMBER(B168),CHOOSE(WEEKDAY(B168,2),"Lun","Mar","Mié","Jue","Vie","Sáb","Dom"),"")</f>
        <v/>
      </c>
      <c r="D168" s="73" t="n"/>
      <c r="E168" s="74" t="n"/>
      <c r="F168" s="74" t="n"/>
      <c r="G168" s="74" t="n"/>
      <c r="H168" s="75" t="n"/>
      <c r="I168" s="75" t="n"/>
      <c r="J168" s="76" t="n"/>
      <c r="K168" s="77" t="str">
        <f>IF(AB168=1,ROUND(AG168/60,4),"")</f>
        <v/>
      </c>
      <c r="L168" s="77" t="str">
        <f>IF(BD168=1,ROUND(AP168/60,4),"")</f>
        <v/>
      </c>
      <c r="M168" s="77" t="str">
        <f>IF(BD168=1,ROUND(AQ168/60,4),"")</f>
        <v/>
      </c>
      <c r="N168" s="71" t="str">
        <f>IF(AND(D168="proMX",AB168=1),ROUND(AG168/CFG_BLK,2),"")</f>
        <v/>
      </c>
      <c r="O168" s="77" t="str">
        <f>IF(D168="proMX",IF(BD168=1,ROUND(AG168/60,4),0),"")</f>
        <v/>
      </c>
      <c r="P168" s="78" t="str">
        <f>IF(Y168=0,"",IF(BD168=1,"OK",IF(D168="proMX","Revisar bloques: ","Revisar: ")&amp;BC168))</f>
        <v/>
      </c>
      <c r="Q168" s="78" t="str">
        <f>IF(NOT(ISNUMBER(B168)),"",IF(COUNTIFS(FER_F,INT(B168))&gt;0,"Feriado"&amp;IF(AH168=1," (laborable)"," (no laborable)"),IF(AH168=1,"Laborable",IF(WEEKDAY(B168,2)&gt;5,"Fin de semana","No laborable"))))</f>
        <v/>
      </c>
      <c r="R168" s="73" t="n"/>
      <c r="S168" s="72" t="n"/>
      <c r="T168" s="72" t="n"/>
      <c r="U168" s="74" t="n"/>
      <c r="V168" s="79" t="str">
        <f>IF(AND(D168="proMX",OR(R168="Submitted",R168="Recall Requested"),ISNUMBER(S168)),CFG_TODAY-INT(S168),"")</f>
        <v/>
      </c>
      <c r="W168" s="78" t="str">
        <f>IF(BD168=0,"",IF(BA168&gt;0,"⚠ Se superpone con un registro de la otra empresa",IF(D168="Malcolm",IF(COUNTA(R168,S168,T168)&gt;0,"Estado/fechas proMX se ignoran en Malcolm",""),IF(BF168="Cancelled","Cancelado: excluido de totales",IF(R168="","Sin estado: se trata como Draft",IF(BF168="Submitted",IF(ISNUMBER(V168),IF(V168&gt;CFG_MAXD,"⚠ "&amp;V168&amp;" días en Submitted (máx. "&amp;CFG_MAXD&amp;")",""),"Falta fecha de envío"),IF(BF168="Returned","⚠ Devuelto: corregir y reenviar",IF(BF168="Recall Requested","Retirada solicitada: pendiente",IF(AND(BF168="Approved",NOT(ISNUMBER(T168))),"Falta fecha de aprobación",IF(AND(ISNUMBER(S168),ISNUMBER(T168),T168&lt;S168),"Aprobación anterior al envío","")))))))))</f>
        <v/>
      </c>
      <c r="Y168" s="80">
        <f>IF(COUNTA(B168,D168,E168,F168,G168,H168,I168,J168,R168,S168,T168)&gt;0,1,0)</f>
        <v>0</v>
      </c>
      <c r="Z168" s="80" t="str">
        <f>IF(AND(ISNUMBER(H168),H168&gt;=0,H168&lt;1),ROUND(H168*1440,0),"")</f>
        <v/>
      </c>
      <c r="AA168" s="80" t="str">
        <f>IF(AND(ISNUMBER(I168),I168&gt;=0,I168&lt;1),ROUND(I168*1440,0),"")</f>
        <v/>
      </c>
      <c r="AB168" s="80">
        <f>IF(AND(ISNUMBER(B168),D168&lt;&gt;"",ISNUMBER(Z168),ISNUMBER(AA168)),IF(Z168=AA168,0,1),0)</f>
        <v>0</v>
      </c>
      <c r="AC168" s="80">
        <f>IF(AB168=1,IF(AA168&lt;Z168,1,0),0)</f>
        <v>0</v>
      </c>
      <c r="AD168" s="80">
        <f>IF(AB168=1,IF(AC168=1,1440-Z168+AA168,AA168-Z168),0)</f>
        <v>0</v>
      </c>
      <c r="AE168" s="80">
        <f>IF(J168="",0,IF(ISNUMBER(J168),J168,-1))</f>
        <v>0</v>
      </c>
      <c r="AF168" s="80">
        <f>MIN(MAX(0,AE168),AD168)</f>
        <v>0</v>
      </c>
      <c r="AG168" s="80">
        <f>MAX(0,AD168-MAX(0,AE168))</f>
        <v>0</v>
      </c>
      <c r="AH168" s="80">
        <f>IF(ISNUMBER(B168),IF(AND(INDEX(CFG_WDAYS,WEEKDAY(INT(B168),2))="Sí",IF(D168="proMX",COUNTIFS(FER_F,INT(B168),FER_NLP,"Sí"),COUNTIFS(FER_F,INT(B168),FER_NLM,"Sí"))=0),1,0),0)</f>
        <v>0</v>
      </c>
      <c r="AI168" s="80">
        <f>IF(AC168=1,IF(AND(INDEX(CFG_WDAYS,WEEKDAY(INT(B168)+1,2))="Sí",IF(D168="proMX",COUNTIFS(FER_F,INT(B168)+1,FER_NLP,"Sí"),COUNTIFS(FER_F,INT(B168)+1,FER_NLM,"Sí"))=0),1,0),0)</f>
        <v>0</v>
      </c>
      <c r="AJ168" s="80">
        <f>IF(AC168=1,1440-Z168,AD168)</f>
        <v>0</v>
      </c>
      <c r="AK168" s="80">
        <f>IF(AND(AB168=1,AH168=1),MAX(0,MIN(IF(AC168=1,1440,AA168),CFG_WEM)-MAX(Z168,CFG_WSM)),0)</f>
        <v>0</v>
      </c>
      <c r="AL168" s="80">
        <f>IF(AND(AC168=1,AI168=1),MAX(0,MIN(AA168,CFG_WEM)-CFG_WSM),0)</f>
        <v>0</v>
      </c>
      <c r="AM168" s="80">
        <f>AK168+AL168</f>
        <v>0</v>
      </c>
      <c r="AN168" s="80">
        <f>IF(CFG_BRK="Proporcional",IF(AD168=0,0,AF168*AM168/AD168),IF(CFG_BRK="Extras primero",MIN(AM168,MAX(0,AF168-(AD168-AM168))),MIN(AF168,AM168)))</f>
        <v>0</v>
      </c>
      <c r="AO168" s="80">
        <f>AF168-AN168</f>
        <v>0</v>
      </c>
      <c r="AP168" s="80">
        <f>AM168-AN168</f>
        <v>0</v>
      </c>
      <c r="AQ168" s="80">
        <f>AD168-AM168-AO168</f>
        <v>0</v>
      </c>
      <c r="AR168" s="80">
        <f>IF(AM168=0,0,AK168-AN168*AK168/AM168)</f>
        <v>0</v>
      </c>
      <c r="AS168" s="80">
        <f>IF(AD168-AM168=0,0,(AJ168-AK168)-AO168*(AJ168-AK168)/(AD168-AM168))</f>
        <v>0</v>
      </c>
      <c r="AT168" s="80" t="str">
        <f>IF(AC168=1,INT(B168)+1,"")</f>
        <v/>
      </c>
      <c r="AU168" s="80">
        <f>IF(AND(D168="proMX",R168="Cancelled"),0,1)</f>
        <v>1</v>
      </c>
      <c r="AV168" s="80">
        <f>IF(AND(AB168=1,AU168=1),IF(COUNTIFS($D$5:D167,D168,$B$5:B167,B168,$Z$5:Z167,Z168,$AA$5:AA167,AA168,$F$5:F167,F168&amp;"",$AU$5:AU167,1)&gt;0,1,0),0)</f>
        <v>0</v>
      </c>
      <c r="AW168" s="80" t="str">
        <f>IF(AB168=1,INT(B168)*1440+Z168,"")</f>
        <v/>
      </c>
      <c r="AX168" s="80" t="str">
        <f>IF(AB168=1,AW168+AD168,"")</f>
        <v/>
      </c>
      <c r="AY168" s="80">
        <f>IF(AND(AB168=1,AV168=0,AU168=1),1,0)</f>
        <v>0</v>
      </c>
      <c r="AZ168" s="80">
        <f>IF(AY168=1,COUNTIFS(R_Emp,D168,R_SAbs,"&lt;"&amp;AX168,R_EAbs,"&gt;"&amp;AW168,R_OKey,1)-1,0)</f>
        <v>0</v>
      </c>
      <c r="BA168" s="80">
        <f>IF(AY168=1,COUNTIFS(R_Emp,"&lt;&gt;"&amp;D168,R_SAbs,"&lt;"&amp;AX168,R_EAbs,"&gt;"&amp;AW168,R_OKey,1),0)</f>
        <v>0</v>
      </c>
      <c r="BB168" s="80">
        <f>IF(AND(AB168=1,D168="proMX"),IF(AND(MOD(Z168,CFG_BLK)=0,MOD(AA168,CFG_BLK)=0,MOD(AG168,CFG_BLK)=0,AG168&gt;0),1,0),1)</f>
        <v>1</v>
      </c>
      <c r="BC168" s="80" t="str">
        <f>IF(Y168=0,"",IF(NOT(ISNUMBER(B168)),"Falta fecha o fecha inválida",IF(D168="","Falta empresa",IF(AND(D168&lt;&gt;"Malcolm",D168&lt;&gt;"proMX"),"Empresa inválida",IF(OR(INT(B168)&lt;CFG_PSTART,INT(B168)&gt;CFG_PEND),"Fecha fuera del período",IF(OR(NOT(ISNUMBER(Z168)),NOT(ISNUMBER(AA168))),"Falta hora inicio/fin o formato inválido",IF(AB168=0,"Hora inicio = hora fin",IF(AE168&lt;0,"Descanso inválido",IF(AE168&gt;=AD168,"Descanso ≥ duración",IF(AV168=1,"Registro duplicado",IF(AZ168&gt;0,"Se superpone con otro registro "&amp;D168,IF(BB168=0,"inicio, fin y duración neta deben ser múltiplos de "&amp;CFG_BLK&amp;" min",""))))))))))))</f>
        <v/>
      </c>
      <c r="BD168" s="80">
        <f>IF(AND(Y168=1,BC168=""),1,0)</f>
        <v>0</v>
      </c>
      <c r="BE168" s="80">
        <f>IF(AND(BD168=1,AU168=1),1,0)</f>
        <v>0</v>
      </c>
      <c r="BF168" s="80" t="str">
        <f>IF(AND(D168="proMX",BD168=1),IF(R168="","Draft",R168),"")</f>
        <v/>
      </c>
      <c r="BG168" s="80">
        <f>IF(BD168=1,ROUND(AG168/60,6),0)</f>
        <v>0</v>
      </c>
      <c r="BH168" s="80">
        <f>IF(BE168=1,ROUND(AG168/60,6),0)</f>
        <v>0</v>
      </c>
      <c r="BI168" s="80">
        <f>IF(BE168=1,ROUND(AP168/60,6),0)</f>
        <v>0</v>
      </c>
      <c r="BJ168" s="80">
        <f>IF(BE168=1,ROUND(AQ168/60,6),0)</f>
        <v>0</v>
      </c>
      <c r="BK168" s="80">
        <f>IF(BE168=1,ROUND((AR168+AS168)/60,6),0)</f>
        <v>0</v>
      </c>
      <c r="BL168" s="80">
        <f>ROUND(BH168-BK168,6)</f>
        <v>0</v>
      </c>
      <c r="BM168" s="80">
        <f>IF(BE168=1,ROUND(AR168/60,6),0)</f>
        <v>0</v>
      </c>
      <c r="BN168" s="80">
        <f>ROUND(BI168-BM168,6)</f>
        <v>0</v>
      </c>
      <c r="BO168" s="80">
        <f>IF(BE168=1,ROUND(AS168/60,6),0)</f>
        <v>0</v>
      </c>
      <c r="BP168" s="80">
        <f>ROUND(BJ168-BO168,6)</f>
        <v>0</v>
      </c>
      <c r="BQ168" s="80">
        <f>IF(BE168=1,AW168,0)</f>
        <v>0</v>
      </c>
      <c r="BR168" s="80">
        <f>IF(BE168=1,AX168,0)</f>
        <v>0</v>
      </c>
      <c r="BS168" s="80">
        <f>IF(AND(BE168=1,D168="Malcolm",BA168&gt;0),MIN(BH168,SUMPRODUCT((R_Emp="proMX")*(R_EN&gt;0)*((R_EN-(R_EN&gt;BR168)*(R_EN-BR168))&gt;(R_SN+(R_SN&lt;BQ168)*(BQ168-R_SN)))*((R_EN-(R_EN&gt;BR168)*(R_EN-BR168))-(R_SN+(R_SN&lt;BQ168)*(BQ168-R_SN))))/60),0)</f>
        <v>0</v>
      </c>
      <c r="BT168" s="80">
        <f>IF(AND(BE168=1,D168="proMX"),ROUND(BI168*CFG_RATE+BJ168*CFG_OTRATE,6),0)</f>
        <v>0</v>
      </c>
      <c r="BU168" s="80">
        <f>IF(AND(BD168=1,D168="proMX"),ROUND(AG168/CFG_BLK,6),0)</f>
        <v>0</v>
      </c>
      <c r="BV168" s="80" t="str">
        <f>IF(BF168="Approved",IF(ISNUMBER(T168),INT(T168),INT(B168)),"")</f>
        <v/>
      </c>
      <c r="BW168" s="80">
        <f>IF(ISNUMBER(B168),IF(DB_MON="Todos",1,IF(AND(INT(B168)&gt;=DB_MS,INT(B168)&lt;=DB_ME),1,0)),0)</f>
        <v>0</v>
      </c>
      <c r="BX168" s="80">
        <f>IF(DB_PROJ="Todos",1,IF(E168&amp;""=DB_PROJ&amp;"",1,0))</f>
        <v>1</v>
      </c>
      <c r="BY168" s="80">
        <f>BW168*BX168</f>
        <v>0</v>
      </c>
      <c r="BZ168" s="80" t="str">
        <f>IF(Y168=1,F168&amp;IF(AND(F168&amp;""&lt;&gt;"",E168&amp;""&lt;&gt;"")," · ","")&amp;E168,"")</f>
        <v/>
      </c>
      <c r="CA168" s="80" t="str">
        <f>IF(AND(BD168=1,E168&amp;""&lt;&gt;""),IF(COUNTIFS($E$5:E167,E168,$BD$5:BD167,1)=0,MAX($CA$5:CA167)+1,""),"")</f>
        <v/>
      </c>
      <c r="CB168" s="80" t="str">
        <f>IF(AND(BE168=1,D168="Malcolm",E168&amp;""&lt;&gt;""),IF(COUNTIFS($D$5:D167,"Malcolm",$E$5:E167,E168,$BE$5:BE167,1)=0,MAX($CB$5:CB167)+1,""),"")</f>
        <v/>
      </c>
      <c r="CC168" s="80" t="str">
        <f>IF(AND(BD168=1,D168="proMX",E168&amp;""&lt;&gt;""),IF(COUNTIFS($D$5:D167,"proMX",$E$5:E167,E168,$BD$5:BD167,1)=0,MAX($CC$5:CC167)+1,""),"")</f>
        <v/>
      </c>
      <c r="CD168" s="80" t="str">
        <f>IF(AND(BE168=1,D168="Malcolm",F168&amp;""&lt;&gt;""),IF(COUNTIFS($D$5:D167,"Malcolm",$F$5:F167,F168,$BE$5:BE167,1)=0,MAX($CD$5:CD167)+1,""),"")</f>
        <v/>
      </c>
      <c r="CE168" s="80" t="str">
        <f>IF(AND(BD168=1,D168="proMX",F168&amp;""&lt;&gt;""),IF(COUNTIFS($D$5:D167,"proMX",$F$5:F167,F168,$BD$5:BD167,1)=0,MAX($CE$5:CE167)+1,""),"")</f>
        <v/>
      </c>
      <c r="CF168" s="80" t="str">
        <f>IF(AND(D168="proMX",BD168=1),IF(OR(BF168="Draft",BF168="Submitted",BF168="Returned",BF168="Recall Requested"),MAX($CF$5:CF167)+1,""),"")</f>
        <v/>
      </c>
      <c r="CG168" s="80">
        <f>IF(BD168=0,0,IF(D168="Malcolm",1,MATCH(BF168,{"Draft","Submitted","Approved","Returned","Recall Requested","Cancelled"},0)+1))</f>
        <v>0</v>
      </c>
      <c r="CH168" s="80">
        <f>IF(AND(BF168="Submitted",ISNUMBER(V168)),IF(V168&gt;CFG_MAXD,1,0),0)</f>
        <v>0</v>
      </c>
    </row>
    <row r="169">
      <c r="A169" s="71" t="str">
        <f>IF(Y169=1,ROW()-5,"")</f>
        <v/>
      </c>
      <c r="B169" s="72" t="n"/>
      <c r="C169" s="71" t="str">
        <f>IF(ISNUMBER(B169),CHOOSE(WEEKDAY(B169,2),"Lun","Mar","Mié","Jue","Vie","Sáb","Dom"),"")</f>
        <v/>
      </c>
      <c r="D169" s="73" t="n"/>
      <c r="E169" s="74" t="n"/>
      <c r="F169" s="74" t="n"/>
      <c r="G169" s="74" t="n"/>
      <c r="H169" s="75" t="n"/>
      <c r="I169" s="75" t="n"/>
      <c r="J169" s="76" t="n"/>
      <c r="K169" s="77" t="str">
        <f>IF(AB169=1,ROUND(AG169/60,4),"")</f>
        <v/>
      </c>
      <c r="L169" s="77" t="str">
        <f>IF(BD169=1,ROUND(AP169/60,4),"")</f>
        <v/>
      </c>
      <c r="M169" s="77" t="str">
        <f>IF(BD169=1,ROUND(AQ169/60,4),"")</f>
        <v/>
      </c>
      <c r="N169" s="71" t="str">
        <f>IF(AND(D169="proMX",AB169=1),ROUND(AG169/CFG_BLK,2),"")</f>
        <v/>
      </c>
      <c r="O169" s="77" t="str">
        <f>IF(D169="proMX",IF(BD169=1,ROUND(AG169/60,4),0),"")</f>
        <v/>
      </c>
      <c r="P169" s="78" t="str">
        <f>IF(Y169=0,"",IF(BD169=1,"OK",IF(D169="proMX","Revisar bloques: ","Revisar: ")&amp;BC169))</f>
        <v/>
      </c>
      <c r="Q169" s="78" t="str">
        <f>IF(NOT(ISNUMBER(B169)),"",IF(COUNTIFS(FER_F,INT(B169))&gt;0,"Feriado"&amp;IF(AH169=1," (laborable)"," (no laborable)"),IF(AH169=1,"Laborable",IF(WEEKDAY(B169,2)&gt;5,"Fin de semana","No laborable"))))</f>
        <v/>
      </c>
      <c r="R169" s="73" t="n"/>
      <c r="S169" s="72" t="n"/>
      <c r="T169" s="72" t="n"/>
      <c r="U169" s="74" t="n"/>
      <c r="V169" s="79" t="str">
        <f>IF(AND(D169="proMX",OR(R169="Submitted",R169="Recall Requested"),ISNUMBER(S169)),CFG_TODAY-INT(S169),"")</f>
        <v/>
      </c>
      <c r="W169" s="78" t="str">
        <f>IF(BD169=0,"",IF(BA169&gt;0,"⚠ Se superpone con un registro de la otra empresa",IF(D169="Malcolm",IF(COUNTA(R169,S169,T169)&gt;0,"Estado/fechas proMX se ignoran en Malcolm",""),IF(BF169="Cancelled","Cancelado: excluido de totales",IF(R169="","Sin estado: se trata como Draft",IF(BF169="Submitted",IF(ISNUMBER(V169),IF(V169&gt;CFG_MAXD,"⚠ "&amp;V169&amp;" días en Submitted (máx. "&amp;CFG_MAXD&amp;")",""),"Falta fecha de envío"),IF(BF169="Returned","⚠ Devuelto: corregir y reenviar",IF(BF169="Recall Requested","Retirada solicitada: pendiente",IF(AND(BF169="Approved",NOT(ISNUMBER(T169))),"Falta fecha de aprobación",IF(AND(ISNUMBER(S169),ISNUMBER(T169),T169&lt;S169),"Aprobación anterior al envío","")))))))))</f>
        <v/>
      </c>
      <c r="Y169" s="80">
        <f>IF(COUNTA(B169,D169,E169,F169,G169,H169,I169,J169,R169,S169,T169)&gt;0,1,0)</f>
        <v>0</v>
      </c>
      <c r="Z169" s="80" t="str">
        <f>IF(AND(ISNUMBER(H169),H169&gt;=0,H169&lt;1),ROUND(H169*1440,0),"")</f>
        <v/>
      </c>
      <c r="AA169" s="80" t="str">
        <f>IF(AND(ISNUMBER(I169),I169&gt;=0,I169&lt;1),ROUND(I169*1440,0),"")</f>
        <v/>
      </c>
      <c r="AB169" s="80">
        <f>IF(AND(ISNUMBER(B169),D169&lt;&gt;"",ISNUMBER(Z169),ISNUMBER(AA169)),IF(Z169=AA169,0,1),0)</f>
        <v>0</v>
      </c>
      <c r="AC169" s="80">
        <f>IF(AB169=1,IF(AA169&lt;Z169,1,0),0)</f>
        <v>0</v>
      </c>
      <c r="AD169" s="80">
        <f>IF(AB169=1,IF(AC169=1,1440-Z169+AA169,AA169-Z169),0)</f>
        <v>0</v>
      </c>
      <c r="AE169" s="80">
        <f>IF(J169="",0,IF(ISNUMBER(J169),J169,-1))</f>
        <v>0</v>
      </c>
      <c r="AF169" s="80">
        <f>MIN(MAX(0,AE169),AD169)</f>
        <v>0</v>
      </c>
      <c r="AG169" s="80">
        <f>MAX(0,AD169-MAX(0,AE169))</f>
        <v>0</v>
      </c>
      <c r="AH169" s="80">
        <f>IF(ISNUMBER(B169),IF(AND(INDEX(CFG_WDAYS,WEEKDAY(INT(B169),2))="Sí",IF(D169="proMX",COUNTIFS(FER_F,INT(B169),FER_NLP,"Sí"),COUNTIFS(FER_F,INT(B169),FER_NLM,"Sí"))=0),1,0),0)</f>
        <v>0</v>
      </c>
      <c r="AI169" s="80">
        <f>IF(AC169=1,IF(AND(INDEX(CFG_WDAYS,WEEKDAY(INT(B169)+1,2))="Sí",IF(D169="proMX",COUNTIFS(FER_F,INT(B169)+1,FER_NLP,"Sí"),COUNTIFS(FER_F,INT(B169)+1,FER_NLM,"Sí"))=0),1,0),0)</f>
        <v>0</v>
      </c>
      <c r="AJ169" s="80">
        <f>IF(AC169=1,1440-Z169,AD169)</f>
        <v>0</v>
      </c>
      <c r="AK169" s="80">
        <f>IF(AND(AB169=1,AH169=1),MAX(0,MIN(IF(AC169=1,1440,AA169),CFG_WEM)-MAX(Z169,CFG_WSM)),0)</f>
        <v>0</v>
      </c>
      <c r="AL169" s="80">
        <f>IF(AND(AC169=1,AI169=1),MAX(0,MIN(AA169,CFG_WEM)-CFG_WSM),0)</f>
        <v>0</v>
      </c>
      <c r="AM169" s="80">
        <f>AK169+AL169</f>
        <v>0</v>
      </c>
      <c r="AN169" s="80">
        <f>IF(CFG_BRK="Proporcional",IF(AD169=0,0,AF169*AM169/AD169),IF(CFG_BRK="Extras primero",MIN(AM169,MAX(0,AF169-(AD169-AM169))),MIN(AF169,AM169)))</f>
        <v>0</v>
      </c>
      <c r="AO169" s="80">
        <f>AF169-AN169</f>
        <v>0</v>
      </c>
      <c r="AP169" s="80">
        <f>AM169-AN169</f>
        <v>0</v>
      </c>
      <c r="AQ169" s="80">
        <f>AD169-AM169-AO169</f>
        <v>0</v>
      </c>
      <c r="AR169" s="80">
        <f>IF(AM169=0,0,AK169-AN169*AK169/AM169)</f>
        <v>0</v>
      </c>
      <c r="AS169" s="80">
        <f>IF(AD169-AM169=0,0,(AJ169-AK169)-AO169*(AJ169-AK169)/(AD169-AM169))</f>
        <v>0</v>
      </c>
      <c r="AT169" s="80" t="str">
        <f>IF(AC169=1,INT(B169)+1,"")</f>
        <v/>
      </c>
      <c r="AU169" s="80">
        <f>IF(AND(D169="proMX",R169="Cancelled"),0,1)</f>
        <v>1</v>
      </c>
      <c r="AV169" s="80">
        <f>IF(AND(AB169=1,AU169=1),IF(COUNTIFS($D$5:D168,D169,$B$5:B168,B169,$Z$5:Z168,Z169,$AA$5:AA168,AA169,$F$5:F168,F169&amp;"",$AU$5:AU168,1)&gt;0,1,0),0)</f>
        <v>0</v>
      </c>
      <c r="AW169" s="80" t="str">
        <f>IF(AB169=1,INT(B169)*1440+Z169,"")</f>
        <v/>
      </c>
      <c r="AX169" s="80" t="str">
        <f>IF(AB169=1,AW169+AD169,"")</f>
        <v/>
      </c>
      <c r="AY169" s="80">
        <f>IF(AND(AB169=1,AV169=0,AU169=1),1,0)</f>
        <v>0</v>
      </c>
      <c r="AZ169" s="80">
        <f>IF(AY169=1,COUNTIFS(R_Emp,D169,R_SAbs,"&lt;"&amp;AX169,R_EAbs,"&gt;"&amp;AW169,R_OKey,1)-1,0)</f>
        <v>0</v>
      </c>
      <c r="BA169" s="80">
        <f>IF(AY169=1,COUNTIFS(R_Emp,"&lt;&gt;"&amp;D169,R_SAbs,"&lt;"&amp;AX169,R_EAbs,"&gt;"&amp;AW169,R_OKey,1),0)</f>
        <v>0</v>
      </c>
      <c r="BB169" s="80">
        <f>IF(AND(AB169=1,D169="proMX"),IF(AND(MOD(Z169,CFG_BLK)=0,MOD(AA169,CFG_BLK)=0,MOD(AG169,CFG_BLK)=0,AG169&gt;0),1,0),1)</f>
        <v>1</v>
      </c>
      <c r="BC169" s="80" t="str">
        <f>IF(Y169=0,"",IF(NOT(ISNUMBER(B169)),"Falta fecha o fecha inválida",IF(D169="","Falta empresa",IF(AND(D169&lt;&gt;"Malcolm",D169&lt;&gt;"proMX"),"Empresa inválida",IF(OR(INT(B169)&lt;CFG_PSTART,INT(B169)&gt;CFG_PEND),"Fecha fuera del período",IF(OR(NOT(ISNUMBER(Z169)),NOT(ISNUMBER(AA169))),"Falta hora inicio/fin o formato inválido",IF(AB169=0,"Hora inicio = hora fin",IF(AE169&lt;0,"Descanso inválido",IF(AE169&gt;=AD169,"Descanso ≥ duración",IF(AV169=1,"Registro duplicado",IF(AZ169&gt;0,"Se superpone con otro registro "&amp;D169,IF(BB169=0,"inicio, fin y duración neta deben ser múltiplos de "&amp;CFG_BLK&amp;" min",""))))))))))))</f>
        <v/>
      </c>
      <c r="BD169" s="80">
        <f>IF(AND(Y169=1,BC169=""),1,0)</f>
        <v>0</v>
      </c>
      <c r="BE169" s="80">
        <f>IF(AND(BD169=1,AU169=1),1,0)</f>
        <v>0</v>
      </c>
      <c r="BF169" s="80" t="str">
        <f>IF(AND(D169="proMX",BD169=1),IF(R169="","Draft",R169),"")</f>
        <v/>
      </c>
      <c r="BG169" s="80">
        <f>IF(BD169=1,ROUND(AG169/60,6),0)</f>
        <v>0</v>
      </c>
      <c r="BH169" s="80">
        <f>IF(BE169=1,ROUND(AG169/60,6),0)</f>
        <v>0</v>
      </c>
      <c r="BI169" s="80">
        <f>IF(BE169=1,ROUND(AP169/60,6),0)</f>
        <v>0</v>
      </c>
      <c r="BJ169" s="80">
        <f>IF(BE169=1,ROUND(AQ169/60,6),0)</f>
        <v>0</v>
      </c>
      <c r="BK169" s="80">
        <f>IF(BE169=1,ROUND((AR169+AS169)/60,6),0)</f>
        <v>0</v>
      </c>
      <c r="BL169" s="80">
        <f>ROUND(BH169-BK169,6)</f>
        <v>0</v>
      </c>
      <c r="BM169" s="80">
        <f>IF(BE169=1,ROUND(AR169/60,6),0)</f>
        <v>0</v>
      </c>
      <c r="BN169" s="80">
        <f>ROUND(BI169-BM169,6)</f>
        <v>0</v>
      </c>
      <c r="BO169" s="80">
        <f>IF(BE169=1,ROUND(AS169/60,6),0)</f>
        <v>0</v>
      </c>
      <c r="BP169" s="80">
        <f>ROUND(BJ169-BO169,6)</f>
        <v>0</v>
      </c>
      <c r="BQ169" s="80">
        <f>IF(BE169=1,AW169,0)</f>
        <v>0</v>
      </c>
      <c r="BR169" s="80">
        <f>IF(BE169=1,AX169,0)</f>
        <v>0</v>
      </c>
      <c r="BS169" s="80">
        <f>IF(AND(BE169=1,D169="Malcolm",BA169&gt;0),MIN(BH169,SUMPRODUCT((R_Emp="proMX")*(R_EN&gt;0)*((R_EN-(R_EN&gt;BR169)*(R_EN-BR169))&gt;(R_SN+(R_SN&lt;BQ169)*(BQ169-R_SN)))*((R_EN-(R_EN&gt;BR169)*(R_EN-BR169))-(R_SN+(R_SN&lt;BQ169)*(BQ169-R_SN))))/60),0)</f>
        <v>0</v>
      </c>
      <c r="BT169" s="80">
        <f>IF(AND(BE169=1,D169="proMX"),ROUND(BI169*CFG_RATE+BJ169*CFG_OTRATE,6),0)</f>
        <v>0</v>
      </c>
      <c r="BU169" s="80">
        <f>IF(AND(BD169=1,D169="proMX"),ROUND(AG169/CFG_BLK,6),0)</f>
        <v>0</v>
      </c>
      <c r="BV169" s="80" t="str">
        <f>IF(BF169="Approved",IF(ISNUMBER(T169),INT(T169),INT(B169)),"")</f>
        <v/>
      </c>
      <c r="BW169" s="80">
        <f>IF(ISNUMBER(B169),IF(DB_MON="Todos",1,IF(AND(INT(B169)&gt;=DB_MS,INT(B169)&lt;=DB_ME),1,0)),0)</f>
        <v>0</v>
      </c>
      <c r="BX169" s="80">
        <f>IF(DB_PROJ="Todos",1,IF(E169&amp;""=DB_PROJ&amp;"",1,0))</f>
        <v>1</v>
      </c>
      <c r="BY169" s="80">
        <f>BW169*BX169</f>
        <v>0</v>
      </c>
      <c r="BZ169" s="80" t="str">
        <f>IF(Y169=1,F169&amp;IF(AND(F169&amp;""&lt;&gt;"",E169&amp;""&lt;&gt;"")," · ","")&amp;E169,"")</f>
        <v/>
      </c>
      <c r="CA169" s="80" t="str">
        <f>IF(AND(BD169=1,E169&amp;""&lt;&gt;""),IF(COUNTIFS($E$5:E168,E169,$BD$5:BD168,1)=0,MAX($CA$5:CA168)+1,""),"")</f>
        <v/>
      </c>
      <c r="CB169" s="80" t="str">
        <f>IF(AND(BE169=1,D169="Malcolm",E169&amp;""&lt;&gt;""),IF(COUNTIFS($D$5:D168,"Malcolm",$E$5:E168,E169,$BE$5:BE168,1)=0,MAX($CB$5:CB168)+1,""),"")</f>
        <v/>
      </c>
      <c r="CC169" s="80" t="str">
        <f>IF(AND(BD169=1,D169="proMX",E169&amp;""&lt;&gt;""),IF(COUNTIFS($D$5:D168,"proMX",$E$5:E168,E169,$BD$5:BD168,1)=0,MAX($CC$5:CC168)+1,""),"")</f>
        <v/>
      </c>
      <c r="CD169" s="80" t="str">
        <f>IF(AND(BE169=1,D169="Malcolm",F169&amp;""&lt;&gt;""),IF(COUNTIFS($D$5:D168,"Malcolm",$F$5:F168,F169,$BE$5:BE168,1)=0,MAX($CD$5:CD168)+1,""),"")</f>
        <v/>
      </c>
      <c r="CE169" s="80" t="str">
        <f>IF(AND(BD169=1,D169="proMX",F169&amp;""&lt;&gt;""),IF(COUNTIFS($D$5:D168,"proMX",$F$5:F168,F169,$BD$5:BD168,1)=0,MAX($CE$5:CE168)+1,""),"")</f>
        <v/>
      </c>
      <c r="CF169" s="80" t="str">
        <f>IF(AND(D169="proMX",BD169=1),IF(OR(BF169="Draft",BF169="Submitted",BF169="Returned",BF169="Recall Requested"),MAX($CF$5:CF168)+1,""),"")</f>
        <v/>
      </c>
      <c r="CG169" s="80">
        <f>IF(BD169=0,0,IF(D169="Malcolm",1,MATCH(BF169,{"Draft","Submitted","Approved","Returned","Recall Requested","Cancelled"},0)+1))</f>
        <v>0</v>
      </c>
      <c r="CH169" s="80">
        <f>IF(AND(BF169="Submitted",ISNUMBER(V169)),IF(V169&gt;CFG_MAXD,1,0),0)</f>
        <v>0</v>
      </c>
    </row>
    <row r="170">
      <c r="A170" s="71" t="str">
        <f>IF(Y170=1,ROW()-5,"")</f>
        <v/>
      </c>
      <c r="B170" s="72" t="n"/>
      <c r="C170" s="71" t="str">
        <f>IF(ISNUMBER(B170),CHOOSE(WEEKDAY(B170,2),"Lun","Mar","Mié","Jue","Vie","Sáb","Dom"),"")</f>
        <v/>
      </c>
      <c r="D170" s="73" t="n"/>
      <c r="E170" s="74" t="n"/>
      <c r="F170" s="74" t="n"/>
      <c r="G170" s="74" t="n"/>
      <c r="H170" s="75" t="n"/>
      <c r="I170" s="75" t="n"/>
      <c r="J170" s="76" t="n"/>
      <c r="K170" s="77" t="str">
        <f>IF(AB170=1,ROUND(AG170/60,4),"")</f>
        <v/>
      </c>
      <c r="L170" s="77" t="str">
        <f>IF(BD170=1,ROUND(AP170/60,4),"")</f>
        <v/>
      </c>
      <c r="M170" s="77" t="str">
        <f>IF(BD170=1,ROUND(AQ170/60,4),"")</f>
        <v/>
      </c>
      <c r="N170" s="71" t="str">
        <f>IF(AND(D170="proMX",AB170=1),ROUND(AG170/CFG_BLK,2),"")</f>
        <v/>
      </c>
      <c r="O170" s="77" t="str">
        <f>IF(D170="proMX",IF(BD170=1,ROUND(AG170/60,4),0),"")</f>
        <v/>
      </c>
      <c r="P170" s="78" t="str">
        <f>IF(Y170=0,"",IF(BD170=1,"OK",IF(D170="proMX","Revisar bloques: ","Revisar: ")&amp;BC170))</f>
        <v/>
      </c>
      <c r="Q170" s="78" t="str">
        <f>IF(NOT(ISNUMBER(B170)),"",IF(COUNTIFS(FER_F,INT(B170))&gt;0,"Feriado"&amp;IF(AH170=1," (laborable)"," (no laborable)"),IF(AH170=1,"Laborable",IF(WEEKDAY(B170,2)&gt;5,"Fin de semana","No laborable"))))</f>
        <v/>
      </c>
      <c r="R170" s="73" t="n"/>
      <c r="S170" s="72" t="n"/>
      <c r="T170" s="72" t="n"/>
      <c r="U170" s="74" t="n"/>
      <c r="V170" s="79" t="str">
        <f>IF(AND(D170="proMX",OR(R170="Submitted",R170="Recall Requested"),ISNUMBER(S170)),CFG_TODAY-INT(S170),"")</f>
        <v/>
      </c>
      <c r="W170" s="78" t="str">
        <f>IF(BD170=0,"",IF(BA170&gt;0,"⚠ Se superpone con un registro de la otra empresa",IF(D170="Malcolm",IF(COUNTA(R170,S170,T170)&gt;0,"Estado/fechas proMX se ignoran en Malcolm",""),IF(BF170="Cancelled","Cancelado: excluido de totales",IF(R170="","Sin estado: se trata como Draft",IF(BF170="Submitted",IF(ISNUMBER(V170),IF(V170&gt;CFG_MAXD,"⚠ "&amp;V170&amp;" días en Submitted (máx. "&amp;CFG_MAXD&amp;")",""),"Falta fecha de envío"),IF(BF170="Returned","⚠ Devuelto: corregir y reenviar",IF(BF170="Recall Requested","Retirada solicitada: pendiente",IF(AND(BF170="Approved",NOT(ISNUMBER(T170))),"Falta fecha de aprobación",IF(AND(ISNUMBER(S170),ISNUMBER(T170),T170&lt;S170),"Aprobación anterior al envío","")))))))))</f>
        <v/>
      </c>
      <c r="Y170" s="80">
        <f>IF(COUNTA(B170,D170,E170,F170,G170,H170,I170,J170,R170,S170,T170)&gt;0,1,0)</f>
        <v>0</v>
      </c>
      <c r="Z170" s="80" t="str">
        <f>IF(AND(ISNUMBER(H170),H170&gt;=0,H170&lt;1),ROUND(H170*1440,0),"")</f>
        <v/>
      </c>
      <c r="AA170" s="80" t="str">
        <f>IF(AND(ISNUMBER(I170),I170&gt;=0,I170&lt;1),ROUND(I170*1440,0),"")</f>
        <v/>
      </c>
      <c r="AB170" s="80">
        <f>IF(AND(ISNUMBER(B170),D170&lt;&gt;"",ISNUMBER(Z170),ISNUMBER(AA170)),IF(Z170=AA170,0,1),0)</f>
        <v>0</v>
      </c>
      <c r="AC170" s="80">
        <f>IF(AB170=1,IF(AA170&lt;Z170,1,0),0)</f>
        <v>0</v>
      </c>
      <c r="AD170" s="80">
        <f>IF(AB170=1,IF(AC170=1,1440-Z170+AA170,AA170-Z170),0)</f>
        <v>0</v>
      </c>
      <c r="AE170" s="80">
        <f>IF(J170="",0,IF(ISNUMBER(J170),J170,-1))</f>
        <v>0</v>
      </c>
      <c r="AF170" s="80">
        <f>MIN(MAX(0,AE170),AD170)</f>
        <v>0</v>
      </c>
      <c r="AG170" s="80">
        <f>MAX(0,AD170-MAX(0,AE170))</f>
        <v>0</v>
      </c>
      <c r="AH170" s="80">
        <f>IF(ISNUMBER(B170),IF(AND(INDEX(CFG_WDAYS,WEEKDAY(INT(B170),2))="Sí",IF(D170="proMX",COUNTIFS(FER_F,INT(B170),FER_NLP,"Sí"),COUNTIFS(FER_F,INT(B170),FER_NLM,"Sí"))=0),1,0),0)</f>
        <v>0</v>
      </c>
      <c r="AI170" s="80">
        <f>IF(AC170=1,IF(AND(INDEX(CFG_WDAYS,WEEKDAY(INT(B170)+1,2))="Sí",IF(D170="proMX",COUNTIFS(FER_F,INT(B170)+1,FER_NLP,"Sí"),COUNTIFS(FER_F,INT(B170)+1,FER_NLM,"Sí"))=0),1,0),0)</f>
        <v>0</v>
      </c>
      <c r="AJ170" s="80">
        <f>IF(AC170=1,1440-Z170,AD170)</f>
        <v>0</v>
      </c>
      <c r="AK170" s="80">
        <f>IF(AND(AB170=1,AH170=1),MAX(0,MIN(IF(AC170=1,1440,AA170),CFG_WEM)-MAX(Z170,CFG_WSM)),0)</f>
        <v>0</v>
      </c>
      <c r="AL170" s="80">
        <f>IF(AND(AC170=1,AI170=1),MAX(0,MIN(AA170,CFG_WEM)-CFG_WSM),0)</f>
        <v>0</v>
      </c>
      <c r="AM170" s="80">
        <f>AK170+AL170</f>
        <v>0</v>
      </c>
      <c r="AN170" s="80">
        <f>IF(CFG_BRK="Proporcional",IF(AD170=0,0,AF170*AM170/AD170),IF(CFG_BRK="Extras primero",MIN(AM170,MAX(0,AF170-(AD170-AM170))),MIN(AF170,AM170)))</f>
        <v>0</v>
      </c>
      <c r="AO170" s="80">
        <f>AF170-AN170</f>
        <v>0</v>
      </c>
      <c r="AP170" s="80">
        <f>AM170-AN170</f>
        <v>0</v>
      </c>
      <c r="AQ170" s="80">
        <f>AD170-AM170-AO170</f>
        <v>0</v>
      </c>
      <c r="AR170" s="80">
        <f>IF(AM170=0,0,AK170-AN170*AK170/AM170)</f>
        <v>0</v>
      </c>
      <c r="AS170" s="80">
        <f>IF(AD170-AM170=0,0,(AJ170-AK170)-AO170*(AJ170-AK170)/(AD170-AM170))</f>
        <v>0</v>
      </c>
      <c r="AT170" s="80" t="str">
        <f>IF(AC170=1,INT(B170)+1,"")</f>
        <v/>
      </c>
      <c r="AU170" s="80">
        <f>IF(AND(D170="proMX",R170="Cancelled"),0,1)</f>
        <v>1</v>
      </c>
      <c r="AV170" s="80">
        <f>IF(AND(AB170=1,AU170=1),IF(COUNTIFS($D$5:D169,D170,$B$5:B169,B170,$Z$5:Z169,Z170,$AA$5:AA169,AA170,$F$5:F169,F170&amp;"",$AU$5:AU169,1)&gt;0,1,0),0)</f>
        <v>0</v>
      </c>
      <c r="AW170" s="80" t="str">
        <f>IF(AB170=1,INT(B170)*1440+Z170,"")</f>
        <v/>
      </c>
      <c r="AX170" s="80" t="str">
        <f>IF(AB170=1,AW170+AD170,"")</f>
        <v/>
      </c>
      <c r="AY170" s="80">
        <f>IF(AND(AB170=1,AV170=0,AU170=1),1,0)</f>
        <v>0</v>
      </c>
      <c r="AZ170" s="80">
        <f>IF(AY170=1,COUNTIFS(R_Emp,D170,R_SAbs,"&lt;"&amp;AX170,R_EAbs,"&gt;"&amp;AW170,R_OKey,1)-1,0)</f>
        <v>0</v>
      </c>
      <c r="BA170" s="80">
        <f>IF(AY170=1,COUNTIFS(R_Emp,"&lt;&gt;"&amp;D170,R_SAbs,"&lt;"&amp;AX170,R_EAbs,"&gt;"&amp;AW170,R_OKey,1),0)</f>
        <v>0</v>
      </c>
      <c r="BB170" s="80">
        <f>IF(AND(AB170=1,D170="proMX"),IF(AND(MOD(Z170,CFG_BLK)=0,MOD(AA170,CFG_BLK)=0,MOD(AG170,CFG_BLK)=0,AG170&gt;0),1,0),1)</f>
        <v>1</v>
      </c>
      <c r="BC170" s="80" t="str">
        <f>IF(Y170=0,"",IF(NOT(ISNUMBER(B170)),"Falta fecha o fecha inválida",IF(D170="","Falta empresa",IF(AND(D170&lt;&gt;"Malcolm",D170&lt;&gt;"proMX"),"Empresa inválida",IF(OR(INT(B170)&lt;CFG_PSTART,INT(B170)&gt;CFG_PEND),"Fecha fuera del período",IF(OR(NOT(ISNUMBER(Z170)),NOT(ISNUMBER(AA170))),"Falta hora inicio/fin o formato inválido",IF(AB170=0,"Hora inicio = hora fin",IF(AE170&lt;0,"Descanso inválido",IF(AE170&gt;=AD170,"Descanso ≥ duración",IF(AV170=1,"Registro duplicado",IF(AZ170&gt;0,"Se superpone con otro registro "&amp;D170,IF(BB170=0,"inicio, fin y duración neta deben ser múltiplos de "&amp;CFG_BLK&amp;" min",""))))))))))))</f>
        <v/>
      </c>
      <c r="BD170" s="80">
        <f>IF(AND(Y170=1,BC170=""),1,0)</f>
        <v>0</v>
      </c>
      <c r="BE170" s="80">
        <f>IF(AND(BD170=1,AU170=1),1,0)</f>
        <v>0</v>
      </c>
      <c r="BF170" s="80" t="str">
        <f>IF(AND(D170="proMX",BD170=1),IF(R170="","Draft",R170),"")</f>
        <v/>
      </c>
      <c r="BG170" s="80">
        <f>IF(BD170=1,ROUND(AG170/60,6),0)</f>
        <v>0</v>
      </c>
      <c r="BH170" s="80">
        <f>IF(BE170=1,ROUND(AG170/60,6),0)</f>
        <v>0</v>
      </c>
      <c r="BI170" s="80">
        <f>IF(BE170=1,ROUND(AP170/60,6),0)</f>
        <v>0</v>
      </c>
      <c r="BJ170" s="80">
        <f>IF(BE170=1,ROUND(AQ170/60,6),0)</f>
        <v>0</v>
      </c>
      <c r="BK170" s="80">
        <f>IF(BE170=1,ROUND((AR170+AS170)/60,6),0)</f>
        <v>0</v>
      </c>
      <c r="BL170" s="80">
        <f>ROUND(BH170-BK170,6)</f>
        <v>0</v>
      </c>
      <c r="BM170" s="80">
        <f>IF(BE170=1,ROUND(AR170/60,6),0)</f>
        <v>0</v>
      </c>
      <c r="BN170" s="80">
        <f>ROUND(BI170-BM170,6)</f>
        <v>0</v>
      </c>
      <c r="BO170" s="80">
        <f>IF(BE170=1,ROUND(AS170/60,6),0)</f>
        <v>0</v>
      </c>
      <c r="BP170" s="80">
        <f>ROUND(BJ170-BO170,6)</f>
        <v>0</v>
      </c>
      <c r="BQ170" s="80">
        <f>IF(BE170=1,AW170,0)</f>
        <v>0</v>
      </c>
      <c r="BR170" s="80">
        <f>IF(BE170=1,AX170,0)</f>
        <v>0</v>
      </c>
      <c r="BS170" s="80">
        <f>IF(AND(BE170=1,D170="Malcolm",BA170&gt;0),MIN(BH170,SUMPRODUCT((R_Emp="proMX")*(R_EN&gt;0)*((R_EN-(R_EN&gt;BR170)*(R_EN-BR170))&gt;(R_SN+(R_SN&lt;BQ170)*(BQ170-R_SN)))*((R_EN-(R_EN&gt;BR170)*(R_EN-BR170))-(R_SN+(R_SN&lt;BQ170)*(BQ170-R_SN))))/60),0)</f>
        <v>0</v>
      </c>
      <c r="BT170" s="80">
        <f>IF(AND(BE170=1,D170="proMX"),ROUND(BI170*CFG_RATE+BJ170*CFG_OTRATE,6),0)</f>
        <v>0</v>
      </c>
      <c r="BU170" s="80">
        <f>IF(AND(BD170=1,D170="proMX"),ROUND(AG170/CFG_BLK,6),0)</f>
        <v>0</v>
      </c>
      <c r="BV170" s="80" t="str">
        <f>IF(BF170="Approved",IF(ISNUMBER(T170),INT(T170),INT(B170)),"")</f>
        <v/>
      </c>
      <c r="BW170" s="80">
        <f>IF(ISNUMBER(B170),IF(DB_MON="Todos",1,IF(AND(INT(B170)&gt;=DB_MS,INT(B170)&lt;=DB_ME),1,0)),0)</f>
        <v>0</v>
      </c>
      <c r="BX170" s="80">
        <f>IF(DB_PROJ="Todos",1,IF(E170&amp;""=DB_PROJ&amp;"",1,0))</f>
        <v>1</v>
      </c>
      <c r="BY170" s="80">
        <f>BW170*BX170</f>
        <v>0</v>
      </c>
      <c r="BZ170" s="80" t="str">
        <f>IF(Y170=1,F170&amp;IF(AND(F170&amp;""&lt;&gt;"",E170&amp;""&lt;&gt;"")," · ","")&amp;E170,"")</f>
        <v/>
      </c>
      <c r="CA170" s="80" t="str">
        <f>IF(AND(BD170=1,E170&amp;""&lt;&gt;""),IF(COUNTIFS($E$5:E169,E170,$BD$5:BD169,1)=0,MAX($CA$5:CA169)+1,""),"")</f>
        <v/>
      </c>
      <c r="CB170" s="80" t="str">
        <f>IF(AND(BE170=1,D170="Malcolm",E170&amp;""&lt;&gt;""),IF(COUNTIFS($D$5:D169,"Malcolm",$E$5:E169,E170,$BE$5:BE169,1)=0,MAX($CB$5:CB169)+1,""),"")</f>
        <v/>
      </c>
      <c r="CC170" s="80" t="str">
        <f>IF(AND(BD170=1,D170="proMX",E170&amp;""&lt;&gt;""),IF(COUNTIFS($D$5:D169,"proMX",$E$5:E169,E170,$BD$5:BD169,1)=0,MAX($CC$5:CC169)+1,""),"")</f>
        <v/>
      </c>
      <c r="CD170" s="80" t="str">
        <f>IF(AND(BE170=1,D170="Malcolm",F170&amp;""&lt;&gt;""),IF(COUNTIFS($D$5:D169,"Malcolm",$F$5:F169,F170,$BE$5:BE169,1)=0,MAX($CD$5:CD169)+1,""),"")</f>
        <v/>
      </c>
      <c r="CE170" s="80" t="str">
        <f>IF(AND(BD170=1,D170="proMX",F170&amp;""&lt;&gt;""),IF(COUNTIFS($D$5:D169,"proMX",$F$5:F169,F170,$BD$5:BD169,1)=0,MAX($CE$5:CE169)+1,""),"")</f>
        <v/>
      </c>
      <c r="CF170" s="80" t="str">
        <f>IF(AND(D170="proMX",BD170=1),IF(OR(BF170="Draft",BF170="Submitted",BF170="Returned",BF170="Recall Requested"),MAX($CF$5:CF169)+1,""),"")</f>
        <v/>
      </c>
      <c r="CG170" s="80">
        <f>IF(BD170=0,0,IF(D170="Malcolm",1,MATCH(BF170,{"Draft","Submitted","Approved","Returned","Recall Requested","Cancelled"},0)+1))</f>
        <v>0</v>
      </c>
      <c r="CH170" s="80">
        <f>IF(AND(BF170="Submitted",ISNUMBER(V170)),IF(V170&gt;CFG_MAXD,1,0),0)</f>
        <v>0</v>
      </c>
    </row>
    <row r="171">
      <c r="A171" s="71" t="str">
        <f>IF(Y171=1,ROW()-5,"")</f>
        <v/>
      </c>
      <c r="B171" s="72" t="n"/>
      <c r="C171" s="71" t="str">
        <f>IF(ISNUMBER(B171),CHOOSE(WEEKDAY(B171,2),"Lun","Mar","Mié","Jue","Vie","Sáb","Dom"),"")</f>
        <v/>
      </c>
      <c r="D171" s="73" t="n"/>
      <c r="E171" s="74" t="n"/>
      <c r="F171" s="74" t="n"/>
      <c r="G171" s="74" t="n"/>
      <c r="H171" s="75" t="n"/>
      <c r="I171" s="75" t="n"/>
      <c r="J171" s="76" t="n"/>
      <c r="K171" s="77" t="str">
        <f>IF(AB171=1,ROUND(AG171/60,4),"")</f>
        <v/>
      </c>
      <c r="L171" s="77" t="str">
        <f>IF(BD171=1,ROUND(AP171/60,4),"")</f>
        <v/>
      </c>
      <c r="M171" s="77" t="str">
        <f>IF(BD171=1,ROUND(AQ171/60,4),"")</f>
        <v/>
      </c>
      <c r="N171" s="71" t="str">
        <f>IF(AND(D171="proMX",AB171=1),ROUND(AG171/CFG_BLK,2),"")</f>
        <v/>
      </c>
      <c r="O171" s="77" t="str">
        <f>IF(D171="proMX",IF(BD171=1,ROUND(AG171/60,4),0),"")</f>
        <v/>
      </c>
      <c r="P171" s="78" t="str">
        <f>IF(Y171=0,"",IF(BD171=1,"OK",IF(D171="proMX","Revisar bloques: ","Revisar: ")&amp;BC171))</f>
        <v/>
      </c>
      <c r="Q171" s="78" t="str">
        <f>IF(NOT(ISNUMBER(B171)),"",IF(COUNTIFS(FER_F,INT(B171))&gt;0,"Feriado"&amp;IF(AH171=1," (laborable)"," (no laborable)"),IF(AH171=1,"Laborable",IF(WEEKDAY(B171,2)&gt;5,"Fin de semana","No laborable"))))</f>
        <v/>
      </c>
      <c r="R171" s="73" t="n"/>
      <c r="S171" s="72" t="n"/>
      <c r="T171" s="72" t="n"/>
      <c r="U171" s="74" t="n"/>
      <c r="V171" s="79" t="str">
        <f>IF(AND(D171="proMX",OR(R171="Submitted",R171="Recall Requested"),ISNUMBER(S171)),CFG_TODAY-INT(S171),"")</f>
        <v/>
      </c>
      <c r="W171" s="78" t="str">
        <f>IF(BD171=0,"",IF(BA171&gt;0,"⚠ Se superpone con un registro de la otra empresa",IF(D171="Malcolm",IF(COUNTA(R171,S171,T171)&gt;0,"Estado/fechas proMX se ignoran en Malcolm",""),IF(BF171="Cancelled","Cancelado: excluido de totales",IF(R171="","Sin estado: se trata como Draft",IF(BF171="Submitted",IF(ISNUMBER(V171),IF(V171&gt;CFG_MAXD,"⚠ "&amp;V171&amp;" días en Submitted (máx. "&amp;CFG_MAXD&amp;")",""),"Falta fecha de envío"),IF(BF171="Returned","⚠ Devuelto: corregir y reenviar",IF(BF171="Recall Requested","Retirada solicitada: pendiente",IF(AND(BF171="Approved",NOT(ISNUMBER(T171))),"Falta fecha de aprobación",IF(AND(ISNUMBER(S171),ISNUMBER(T171),T171&lt;S171),"Aprobación anterior al envío","")))))))))</f>
        <v/>
      </c>
      <c r="Y171" s="80">
        <f>IF(COUNTA(B171,D171,E171,F171,G171,H171,I171,J171,R171,S171,T171)&gt;0,1,0)</f>
        <v>0</v>
      </c>
      <c r="Z171" s="80" t="str">
        <f>IF(AND(ISNUMBER(H171),H171&gt;=0,H171&lt;1),ROUND(H171*1440,0),"")</f>
        <v/>
      </c>
      <c r="AA171" s="80" t="str">
        <f>IF(AND(ISNUMBER(I171),I171&gt;=0,I171&lt;1),ROUND(I171*1440,0),"")</f>
        <v/>
      </c>
      <c r="AB171" s="80">
        <f>IF(AND(ISNUMBER(B171),D171&lt;&gt;"",ISNUMBER(Z171),ISNUMBER(AA171)),IF(Z171=AA171,0,1),0)</f>
        <v>0</v>
      </c>
      <c r="AC171" s="80">
        <f>IF(AB171=1,IF(AA171&lt;Z171,1,0),0)</f>
        <v>0</v>
      </c>
      <c r="AD171" s="80">
        <f>IF(AB171=1,IF(AC171=1,1440-Z171+AA171,AA171-Z171),0)</f>
        <v>0</v>
      </c>
      <c r="AE171" s="80">
        <f>IF(J171="",0,IF(ISNUMBER(J171),J171,-1))</f>
        <v>0</v>
      </c>
      <c r="AF171" s="80">
        <f>MIN(MAX(0,AE171),AD171)</f>
        <v>0</v>
      </c>
      <c r="AG171" s="80">
        <f>MAX(0,AD171-MAX(0,AE171))</f>
        <v>0</v>
      </c>
      <c r="AH171" s="80">
        <f>IF(ISNUMBER(B171),IF(AND(INDEX(CFG_WDAYS,WEEKDAY(INT(B171),2))="Sí",IF(D171="proMX",COUNTIFS(FER_F,INT(B171),FER_NLP,"Sí"),COUNTIFS(FER_F,INT(B171),FER_NLM,"Sí"))=0),1,0),0)</f>
        <v>0</v>
      </c>
      <c r="AI171" s="80">
        <f>IF(AC171=1,IF(AND(INDEX(CFG_WDAYS,WEEKDAY(INT(B171)+1,2))="Sí",IF(D171="proMX",COUNTIFS(FER_F,INT(B171)+1,FER_NLP,"Sí"),COUNTIFS(FER_F,INT(B171)+1,FER_NLM,"Sí"))=0),1,0),0)</f>
        <v>0</v>
      </c>
      <c r="AJ171" s="80">
        <f>IF(AC171=1,1440-Z171,AD171)</f>
        <v>0</v>
      </c>
      <c r="AK171" s="80">
        <f>IF(AND(AB171=1,AH171=1),MAX(0,MIN(IF(AC171=1,1440,AA171),CFG_WEM)-MAX(Z171,CFG_WSM)),0)</f>
        <v>0</v>
      </c>
      <c r="AL171" s="80">
        <f>IF(AND(AC171=1,AI171=1),MAX(0,MIN(AA171,CFG_WEM)-CFG_WSM),0)</f>
        <v>0</v>
      </c>
      <c r="AM171" s="80">
        <f>AK171+AL171</f>
        <v>0</v>
      </c>
      <c r="AN171" s="80">
        <f>IF(CFG_BRK="Proporcional",IF(AD171=0,0,AF171*AM171/AD171),IF(CFG_BRK="Extras primero",MIN(AM171,MAX(0,AF171-(AD171-AM171))),MIN(AF171,AM171)))</f>
        <v>0</v>
      </c>
      <c r="AO171" s="80">
        <f>AF171-AN171</f>
        <v>0</v>
      </c>
      <c r="AP171" s="80">
        <f>AM171-AN171</f>
        <v>0</v>
      </c>
      <c r="AQ171" s="80">
        <f>AD171-AM171-AO171</f>
        <v>0</v>
      </c>
      <c r="AR171" s="80">
        <f>IF(AM171=0,0,AK171-AN171*AK171/AM171)</f>
        <v>0</v>
      </c>
      <c r="AS171" s="80">
        <f>IF(AD171-AM171=0,0,(AJ171-AK171)-AO171*(AJ171-AK171)/(AD171-AM171))</f>
        <v>0</v>
      </c>
      <c r="AT171" s="80" t="str">
        <f>IF(AC171=1,INT(B171)+1,"")</f>
        <v/>
      </c>
      <c r="AU171" s="80">
        <f>IF(AND(D171="proMX",R171="Cancelled"),0,1)</f>
        <v>1</v>
      </c>
      <c r="AV171" s="80">
        <f>IF(AND(AB171=1,AU171=1),IF(COUNTIFS($D$5:D170,D171,$B$5:B170,B171,$Z$5:Z170,Z171,$AA$5:AA170,AA171,$F$5:F170,F171&amp;"",$AU$5:AU170,1)&gt;0,1,0),0)</f>
        <v>0</v>
      </c>
      <c r="AW171" s="80" t="str">
        <f>IF(AB171=1,INT(B171)*1440+Z171,"")</f>
        <v/>
      </c>
      <c r="AX171" s="80" t="str">
        <f>IF(AB171=1,AW171+AD171,"")</f>
        <v/>
      </c>
      <c r="AY171" s="80">
        <f>IF(AND(AB171=1,AV171=0,AU171=1),1,0)</f>
        <v>0</v>
      </c>
      <c r="AZ171" s="80">
        <f>IF(AY171=1,COUNTIFS(R_Emp,D171,R_SAbs,"&lt;"&amp;AX171,R_EAbs,"&gt;"&amp;AW171,R_OKey,1)-1,0)</f>
        <v>0</v>
      </c>
      <c r="BA171" s="80">
        <f>IF(AY171=1,COUNTIFS(R_Emp,"&lt;&gt;"&amp;D171,R_SAbs,"&lt;"&amp;AX171,R_EAbs,"&gt;"&amp;AW171,R_OKey,1),0)</f>
        <v>0</v>
      </c>
      <c r="BB171" s="80">
        <f>IF(AND(AB171=1,D171="proMX"),IF(AND(MOD(Z171,CFG_BLK)=0,MOD(AA171,CFG_BLK)=0,MOD(AG171,CFG_BLK)=0,AG171&gt;0),1,0),1)</f>
        <v>1</v>
      </c>
      <c r="BC171" s="80" t="str">
        <f>IF(Y171=0,"",IF(NOT(ISNUMBER(B171)),"Falta fecha o fecha inválida",IF(D171="","Falta empresa",IF(AND(D171&lt;&gt;"Malcolm",D171&lt;&gt;"proMX"),"Empresa inválida",IF(OR(INT(B171)&lt;CFG_PSTART,INT(B171)&gt;CFG_PEND),"Fecha fuera del período",IF(OR(NOT(ISNUMBER(Z171)),NOT(ISNUMBER(AA171))),"Falta hora inicio/fin o formato inválido",IF(AB171=0,"Hora inicio = hora fin",IF(AE171&lt;0,"Descanso inválido",IF(AE171&gt;=AD171,"Descanso ≥ duración",IF(AV171=1,"Registro duplicado",IF(AZ171&gt;0,"Se superpone con otro registro "&amp;D171,IF(BB171=0,"inicio, fin y duración neta deben ser múltiplos de "&amp;CFG_BLK&amp;" min",""))))))))))))</f>
        <v/>
      </c>
      <c r="BD171" s="80">
        <f>IF(AND(Y171=1,BC171=""),1,0)</f>
        <v>0</v>
      </c>
      <c r="BE171" s="80">
        <f>IF(AND(BD171=1,AU171=1),1,0)</f>
        <v>0</v>
      </c>
      <c r="BF171" s="80" t="str">
        <f>IF(AND(D171="proMX",BD171=1),IF(R171="","Draft",R171),"")</f>
        <v/>
      </c>
      <c r="BG171" s="80">
        <f>IF(BD171=1,ROUND(AG171/60,6),0)</f>
        <v>0</v>
      </c>
      <c r="BH171" s="80">
        <f>IF(BE171=1,ROUND(AG171/60,6),0)</f>
        <v>0</v>
      </c>
      <c r="BI171" s="80">
        <f>IF(BE171=1,ROUND(AP171/60,6),0)</f>
        <v>0</v>
      </c>
      <c r="BJ171" s="80">
        <f>IF(BE171=1,ROUND(AQ171/60,6),0)</f>
        <v>0</v>
      </c>
      <c r="BK171" s="80">
        <f>IF(BE171=1,ROUND((AR171+AS171)/60,6),0)</f>
        <v>0</v>
      </c>
      <c r="BL171" s="80">
        <f>ROUND(BH171-BK171,6)</f>
        <v>0</v>
      </c>
      <c r="BM171" s="80">
        <f>IF(BE171=1,ROUND(AR171/60,6),0)</f>
        <v>0</v>
      </c>
      <c r="BN171" s="80">
        <f>ROUND(BI171-BM171,6)</f>
        <v>0</v>
      </c>
      <c r="BO171" s="80">
        <f>IF(BE171=1,ROUND(AS171/60,6),0)</f>
        <v>0</v>
      </c>
      <c r="BP171" s="80">
        <f>ROUND(BJ171-BO171,6)</f>
        <v>0</v>
      </c>
      <c r="BQ171" s="80">
        <f>IF(BE171=1,AW171,0)</f>
        <v>0</v>
      </c>
      <c r="BR171" s="80">
        <f>IF(BE171=1,AX171,0)</f>
        <v>0</v>
      </c>
      <c r="BS171" s="80">
        <f>IF(AND(BE171=1,D171="Malcolm",BA171&gt;0),MIN(BH171,SUMPRODUCT((R_Emp="proMX")*(R_EN&gt;0)*((R_EN-(R_EN&gt;BR171)*(R_EN-BR171))&gt;(R_SN+(R_SN&lt;BQ171)*(BQ171-R_SN)))*((R_EN-(R_EN&gt;BR171)*(R_EN-BR171))-(R_SN+(R_SN&lt;BQ171)*(BQ171-R_SN))))/60),0)</f>
        <v>0</v>
      </c>
      <c r="BT171" s="80">
        <f>IF(AND(BE171=1,D171="proMX"),ROUND(BI171*CFG_RATE+BJ171*CFG_OTRATE,6),0)</f>
        <v>0</v>
      </c>
      <c r="BU171" s="80">
        <f>IF(AND(BD171=1,D171="proMX"),ROUND(AG171/CFG_BLK,6),0)</f>
        <v>0</v>
      </c>
      <c r="BV171" s="80" t="str">
        <f>IF(BF171="Approved",IF(ISNUMBER(T171),INT(T171),INT(B171)),"")</f>
        <v/>
      </c>
      <c r="BW171" s="80">
        <f>IF(ISNUMBER(B171),IF(DB_MON="Todos",1,IF(AND(INT(B171)&gt;=DB_MS,INT(B171)&lt;=DB_ME),1,0)),0)</f>
        <v>0</v>
      </c>
      <c r="BX171" s="80">
        <f>IF(DB_PROJ="Todos",1,IF(E171&amp;""=DB_PROJ&amp;"",1,0))</f>
        <v>1</v>
      </c>
      <c r="BY171" s="80">
        <f>BW171*BX171</f>
        <v>0</v>
      </c>
      <c r="BZ171" s="80" t="str">
        <f>IF(Y171=1,F171&amp;IF(AND(F171&amp;""&lt;&gt;"",E171&amp;""&lt;&gt;"")," · ","")&amp;E171,"")</f>
        <v/>
      </c>
      <c r="CA171" s="80" t="str">
        <f>IF(AND(BD171=1,E171&amp;""&lt;&gt;""),IF(COUNTIFS($E$5:E170,E171,$BD$5:BD170,1)=0,MAX($CA$5:CA170)+1,""),"")</f>
        <v/>
      </c>
      <c r="CB171" s="80" t="str">
        <f>IF(AND(BE171=1,D171="Malcolm",E171&amp;""&lt;&gt;""),IF(COUNTIFS($D$5:D170,"Malcolm",$E$5:E170,E171,$BE$5:BE170,1)=0,MAX($CB$5:CB170)+1,""),"")</f>
        <v/>
      </c>
      <c r="CC171" s="80" t="str">
        <f>IF(AND(BD171=1,D171="proMX",E171&amp;""&lt;&gt;""),IF(COUNTIFS($D$5:D170,"proMX",$E$5:E170,E171,$BD$5:BD170,1)=0,MAX($CC$5:CC170)+1,""),"")</f>
        <v/>
      </c>
      <c r="CD171" s="80" t="str">
        <f>IF(AND(BE171=1,D171="Malcolm",F171&amp;""&lt;&gt;""),IF(COUNTIFS($D$5:D170,"Malcolm",$F$5:F170,F171,$BE$5:BE170,1)=0,MAX($CD$5:CD170)+1,""),"")</f>
        <v/>
      </c>
      <c r="CE171" s="80" t="str">
        <f>IF(AND(BD171=1,D171="proMX",F171&amp;""&lt;&gt;""),IF(COUNTIFS($D$5:D170,"proMX",$F$5:F170,F171,$BD$5:BD170,1)=0,MAX($CE$5:CE170)+1,""),"")</f>
        <v/>
      </c>
      <c r="CF171" s="80" t="str">
        <f>IF(AND(D171="proMX",BD171=1),IF(OR(BF171="Draft",BF171="Submitted",BF171="Returned",BF171="Recall Requested"),MAX($CF$5:CF170)+1,""),"")</f>
        <v/>
      </c>
      <c r="CG171" s="80">
        <f>IF(BD171=0,0,IF(D171="Malcolm",1,MATCH(BF171,{"Draft","Submitted","Approved","Returned","Recall Requested","Cancelled"},0)+1))</f>
        <v>0</v>
      </c>
      <c r="CH171" s="80">
        <f>IF(AND(BF171="Submitted",ISNUMBER(V171)),IF(V171&gt;CFG_MAXD,1,0),0)</f>
        <v>0</v>
      </c>
    </row>
    <row r="172">
      <c r="A172" s="71" t="str">
        <f>IF(Y172=1,ROW()-5,"")</f>
        <v/>
      </c>
      <c r="B172" s="72" t="n"/>
      <c r="C172" s="71" t="str">
        <f>IF(ISNUMBER(B172),CHOOSE(WEEKDAY(B172,2),"Lun","Mar","Mié","Jue","Vie","Sáb","Dom"),"")</f>
        <v/>
      </c>
      <c r="D172" s="73" t="n"/>
      <c r="E172" s="74" t="n"/>
      <c r="F172" s="74" t="n"/>
      <c r="G172" s="74" t="n"/>
      <c r="H172" s="75" t="n"/>
      <c r="I172" s="75" t="n"/>
      <c r="J172" s="76" t="n"/>
      <c r="K172" s="77" t="str">
        <f>IF(AB172=1,ROUND(AG172/60,4),"")</f>
        <v/>
      </c>
      <c r="L172" s="77" t="str">
        <f>IF(BD172=1,ROUND(AP172/60,4),"")</f>
        <v/>
      </c>
      <c r="M172" s="77" t="str">
        <f>IF(BD172=1,ROUND(AQ172/60,4),"")</f>
        <v/>
      </c>
      <c r="N172" s="71" t="str">
        <f>IF(AND(D172="proMX",AB172=1),ROUND(AG172/CFG_BLK,2),"")</f>
        <v/>
      </c>
      <c r="O172" s="77" t="str">
        <f>IF(D172="proMX",IF(BD172=1,ROUND(AG172/60,4),0),"")</f>
        <v/>
      </c>
      <c r="P172" s="78" t="str">
        <f>IF(Y172=0,"",IF(BD172=1,"OK",IF(D172="proMX","Revisar bloques: ","Revisar: ")&amp;BC172))</f>
        <v/>
      </c>
      <c r="Q172" s="78" t="str">
        <f>IF(NOT(ISNUMBER(B172)),"",IF(COUNTIFS(FER_F,INT(B172))&gt;0,"Feriado"&amp;IF(AH172=1," (laborable)"," (no laborable)"),IF(AH172=1,"Laborable",IF(WEEKDAY(B172,2)&gt;5,"Fin de semana","No laborable"))))</f>
        <v/>
      </c>
      <c r="R172" s="73" t="n"/>
      <c r="S172" s="72" t="n"/>
      <c r="T172" s="72" t="n"/>
      <c r="U172" s="74" t="n"/>
      <c r="V172" s="79" t="str">
        <f>IF(AND(D172="proMX",OR(R172="Submitted",R172="Recall Requested"),ISNUMBER(S172)),CFG_TODAY-INT(S172),"")</f>
        <v/>
      </c>
      <c r="W172" s="78" t="str">
        <f>IF(BD172=0,"",IF(BA172&gt;0,"⚠ Se superpone con un registro de la otra empresa",IF(D172="Malcolm",IF(COUNTA(R172,S172,T172)&gt;0,"Estado/fechas proMX se ignoran en Malcolm",""),IF(BF172="Cancelled","Cancelado: excluido de totales",IF(R172="","Sin estado: se trata como Draft",IF(BF172="Submitted",IF(ISNUMBER(V172),IF(V172&gt;CFG_MAXD,"⚠ "&amp;V172&amp;" días en Submitted (máx. "&amp;CFG_MAXD&amp;")",""),"Falta fecha de envío"),IF(BF172="Returned","⚠ Devuelto: corregir y reenviar",IF(BF172="Recall Requested","Retirada solicitada: pendiente",IF(AND(BF172="Approved",NOT(ISNUMBER(T172))),"Falta fecha de aprobación",IF(AND(ISNUMBER(S172),ISNUMBER(T172),T172&lt;S172),"Aprobación anterior al envío","")))))))))</f>
        <v/>
      </c>
      <c r="Y172" s="80">
        <f>IF(COUNTA(B172,D172,E172,F172,G172,H172,I172,J172,R172,S172,T172)&gt;0,1,0)</f>
        <v>0</v>
      </c>
      <c r="Z172" s="80" t="str">
        <f>IF(AND(ISNUMBER(H172),H172&gt;=0,H172&lt;1),ROUND(H172*1440,0),"")</f>
        <v/>
      </c>
      <c r="AA172" s="80" t="str">
        <f>IF(AND(ISNUMBER(I172),I172&gt;=0,I172&lt;1),ROUND(I172*1440,0),"")</f>
        <v/>
      </c>
      <c r="AB172" s="80">
        <f>IF(AND(ISNUMBER(B172),D172&lt;&gt;"",ISNUMBER(Z172),ISNUMBER(AA172)),IF(Z172=AA172,0,1),0)</f>
        <v>0</v>
      </c>
      <c r="AC172" s="80">
        <f>IF(AB172=1,IF(AA172&lt;Z172,1,0),0)</f>
        <v>0</v>
      </c>
      <c r="AD172" s="80">
        <f>IF(AB172=1,IF(AC172=1,1440-Z172+AA172,AA172-Z172),0)</f>
        <v>0</v>
      </c>
      <c r="AE172" s="80">
        <f>IF(J172="",0,IF(ISNUMBER(J172),J172,-1))</f>
        <v>0</v>
      </c>
      <c r="AF172" s="80">
        <f>MIN(MAX(0,AE172),AD172)</f>
        <v>0</v>
      </c>
      <c r="AG172" s="80">
        <f>MAX(0,AD172-MAX(0,AE172))</f>
        <v>0</v>
      </c>
      <c r="AH172" s="80">
        <f>IF(ISNUMBER(B172),IF(AND(INDEX(CFG_WDAYS,WEEKDAY(INT(B172),2))="Sí",IF(D172="proMX",COUNTIFS(FER_F,INT(B172),FER_NLP,"Sí"),COUNTIFS(FER_F,INT(B172),FER_NLM,"Sí"))=0),1,0),0)</f>
        <v>0</v>
      </c>
      <c r="AI172" s="80">
        <f>IF(AC172=1,IF(AND(INDEX(CFG_WDAYS,WEEKDAY(INT(B172)+1,2))="Sí",IF(D172="proMX",COUNTIFS(FER_F,INT(B172)+1,FER_NLP,"Sí"),COUNTIFS(FER_F,INT(B172)+1,FER_NLM,"Sí"))=0),1,0),0)</f>
        <v>0</v>
      </c>
      <c r="AJ172" s="80">
        <f>IF(AC172=1,1440-Z172,AD172)</f>
        <v>0</v>
      </c>
      <c r="AK172" s="80">
        <f>IF(AND(AB172=1,AH172=1),MAX(0,MIN(IF(AC172=1,1440,AA172),CFG_WEM)-MAX(Z172,CFG_WSM)),0)</f>
        <v>0</v>
      </c>
      <c r="AL172" s="80">
        <f>IF(AND(AC172=1,AI172=1),MAX(0,MIN(AA172,CFG_WEM)-CFG_WSM),0)</f>
        <v>0</v>
      </c>
      <c r="AM172" s="80">
        <f>AK172+AL172</f>
        <v>0</v>
      </c>
      <c r="AN172" s="80">
        <f>IF(CFG_BRK="Proporcional",IF(AD172=0,0,AF172*AM172/AD172),IF(CFG_BRK="Extras primero",MIN(AM172,MAX(0,AF172-(AD172-AM172))),MIN(AF172,AM172)))</f>
        <v>0</v>
      </c>
      <c r="AO172" s="80">
        <f>AF172-AN172</f>
        <v>0</v>
      </c>
      <c r="AP172" s="80">
        <f>AM172-AN172</f>
        <v>0</v>
      </c>
      <c r="AQ172" s="80">
        <f>AD172-AM172-AO172</f>
        <v>0</v>
      </c>
      <c r="AR172" s="80">
        <f>IF(AM172=0,0,AK172-AN172*AK172/AM172)</f>
        <v>0</v>
      </c>
      <c r="AS172" s="80">
        <f>IF(AD172-AM172=0,0,(AJ172-AK172)-AO172*(AJ172-AK172)/(AD172-AM172))</f>
        <v>0</v>
      </c>
      <c r="AT172" s="80" t="str">
        <f>IF(AC172=1,INT(B172)+1,"")</f>
        <v/>
      </c>
      <c r="AU172" s="80">
        <f>IF(AND(D172="proMX",R172="Cancelled"),0,1)</f>
        <v>1</v>
      </c>
      <c r="AV172" s="80">
        <f>IF(AND(AB172=1,AU172=1),IF(COUNTIFS($D$5:D171,D172,$B$5:B171,B172,$Z$5:Z171,Z172,$AA$5:AA171,AA172,$F$5:F171,F172&amp;"",$AU$5:AU171,1)&gt;0,1,0),0)</f>
        <v>0</v>
      </c>
      <c r="AW172" s="80" t="str">
        <f>IF(AB172=1,INT(B172)*1440+Z172,"")</f>
        <v/>
      </c>
      <c r="AX172" s="80" t="str">
        <f>IF(AB172=1,AW172+AD172,"")</f>
        <v/>
      </c>
      <c r="AY172" s="80">
        <f>IF(AND(AB172=1,AV172=0,AU172=1),1,0)</f>
        <v>0</v>
      </c>
      <c r="AZ172" s="80">
        <f>IF(AY172=1,COUNTIFS(R_Emp,D172,R_SAbs,"&lt;"&amp;AX172,R_EAbs,"&gt;"&amp;AW172,R_OKey,1)-1,0)</f>
        <v>0</v>
      </c>
      <c r="BA172" s="80">
        <f>IF(AY172=1,COUNTIFS(R_Emp,"&lt;&gt;"&amp;D172,R_SAbs,"&lt;"&amp;AX172,R_EAbs,"&gt;"&amp;AW172,R_OKey,1),0)</f>
        <v>0</v>
      </c>
      <c r="BB172" s="80">
        <f>IF(AND(AB172=1,D172="proMX"),IF(AND(MOD(Z172,CFG_BLK)=0,MOD(AA172,CFG_BLK)=0,MOD(AG172,CFG_BLK)=0,AG172&gt;0),1,0),1)</f>
        <v>1</v>
      </c>
      <c r="BC172" s="80" t="str">
        <f>IF(Y172=0,"",IF(NOT(ISNUMBER(B172)),"Falta fecha o fecha inválida",IF(D172="","Falta empresa",IF(AND(D172&lt;&gt;"Malcolm",D172&lt;&gt;"proMX"),"Empresa inválida",IF(OR(INT(B172)&lt;CFG_PSTART,INT(B172)&gt;CFG_PEND),"Fecha fuera del período",IF(OR(NOT(ISNUMBER(Z172)),NOT(ISNUMBER(AA172))),"Falta hora inicio/fin o formato inválido",IF(AB172=0,"Hora inicio = hora fin",IF(AE172&lt;0,"Descanso inválido",IF(AE172&gt;=AD172,"Descanso ≥ duración",IF(AV172=1,"Registro duplicado",IF(AZ172&gt;0,"Se superpone con otro registro "&amp;D172,IF(BB172=0,"inicio, fin y duración neta deben ser múltiplos de "&amp;CFG_BLK&amp;" min",""))))))))))))</f>
        <v/>
      </c>
      <c r="BD172" s="80">
        <f>IF(AND(Y172=1,BC172=""),1,0)</f>
        <v>0</v>
      </c>
      <c r="BE172" s="80">
        <f>IF(AND(BD172=1,AU172=1),1,0)</f>
        <v>0</v>
      </c>
      <c r="BF172" s="80" t="str">
        <f>IF(AND(D172="proMX",BD172=1),IF(R172="","Draft",R172),"")</f>
        <v/>
      </c>
      <c r="BG172" s="80">
        <f>IF(BD172=1,ROUND(AG172/60,6),0)</f>
        <v>0</v>
      </c>
      <c r="BH172" s="80">
        <f>IF(BE172=1,ROUND(AG172/60,6),0)</f>
        <v>0</v>
      </c>
      <c r="BI172" s="80">
        <f>IF(BE172=1,ROUND(AP172/60,6),0)</f>
        <v>0</v>
      </c>
      <c r="BJ172" s="80">
        <f>IF(BE172=1,ROUND(AQ172/60,6),0)</f>
        <v>0</v>
      </c>
      <c r="BK172" s="80">
        <f>IF(BE172=1,ROUND((AR172+AS172)/60,6),0)</f>
        <v>0</v>
      </c>
      <c r="BL172" s="80">
        <f>ROUND(BH172-BK172,6)</f>
        <v>0</v>
      </c>
      <c r="BM172" s="80">
        <f>IF(BE172=1,ROUND(AR172/60,6),0)</f>
        <v>0</v>
      </c>
      <c r="BN172" s="80">
        <f>ROUND(BI172-BM172,6)</f>
        <v>0</v>
      </c>
      <c r="BO172" s="80">
        <f>IF(BE172=1,ROUND(AS172/60,6),0)</f>
        <v>0</v>
      </c>
      <c r="BP172" s="80">
        <f>ROUND(BJ172-BO172,6)</f>
        <v>0</v>
      </c>
      <c r="BQ172" s="80">
        <f>IF(BE172=1,AW172,0)</f>
        <v>0</v>
      </c>
      <c r="BR172" s="80">
        <f>IF(BE172=1,AX172,0)</f>
        <v>0</v>
      </c>
      <c r="BS172" s="80">
        <f>IF(AND(BE172=1,D172="Malcolm",BA172&gt;0),MIN(BH172,SUMPRODUCT((R_Emp="proMX")*(R_EN&gt;0)*((R_EN-(R_EN&gt;BR172)*(R_EN-BR172))&gt;(R_SN+(R_SN&lt;BQ172)*(BQ172-R_SN)))*((R_EN-(R_EN&gt;BR172)*(R_EN-BR172))-(R_SN+(R_SN&lt;BQ172)*(BQ172-R_SN))))/60),0)</f>
        <v>0</v>
      </c>
      <c r="BT172" s="80">
        <f>IF(AND(BE172=1,D172="proMX"),ROUND(BI172*CFG_RATE+BJ172*CFG_OTRATE,6),0)</f>
        <v>0</v>
      </c>
      <c r="BU172" s="80">
        <f>IF(AND(BD172=1,D172="proMX"),ROUND(AG172/CFG_BLK,6),0)</f>
        <v>0</v>
      </c>
      <c r="BV172" s="80" t="str">
        <f>IF(BF172="Approved",IF(ISNUMBER(T172),INT(T172),INT(B172)),"")</f>
        <v/>
      </c>
      <c r="BW172" s="80">
        <f>IF(ISNUMBER(B172),IF(DB_MON="Todos",1,IF(AND(INT(B172)&gt;=DB_MS,INT(B172)&lt;=DB_ME),1,0)),0)</f>
        <v>0</v>
      </c>
      <c r="BX172" s="80">
        <f>IF(DB_PROJ="Todos",1,IF(E172&amp;""=DB_PROJ&amp;"",1,0))</f>
        <v>1</v>
      </c>
      <c r="BY172" s="80">
        <f>BW172*BX172</f>
        <v>0</v>
      </c>
      <c r="BZ172" s="80" t="str">
        <f>IF(Y172=1,F172&amp;IF(AND(F172&amp;""&lt;&gt;"",E172&amp;""&lt;&gt;"")," · ","")&amp;E172,"")</f>
        <v/>
      </c>
      <c r="CA172" s="80" t="str">
        <f>IF(AND(BD172=1,E172&amp;""&lt;&gt;""),IF(COUNTIFS($E$5:E171,E172,$BD$5:BD171,1)=0,MAX($CA$5:CA171)+1,""),"")</f>
        <v/>
      </c>
      <c r="CB172" s="80" t="str">
        <f>IF(AND(BE172=1,D172="Malcolm",E172&amp;""&lt;&gt;""),IF(COUNTIFS($D$5:D171,"Malcolm",$E$5:E171,E172,$BE$5:BE171,1)=0,MAX($CB$5:CB171)+1,""),"")</f>
        <v/>
      </c>
      <c r="CC172" s="80" t="str">
        <f>IF(AND(BD172=1,D172="proMX",E172&amp;""&lt;&gt;""),IF(COUNTIFS($D$5:D171,"proMX",$E$5:E171,E172,$BD$5:BD171,1)=0,MAX($CC$5:CC171)+1,""),"")</f>
        <v/>
      </c>
      <c r="CD172" s="80" t="str">
        <f>IF(AND(BE172=1,D172="Malcolm",F172&amp;""&lt;&gt;""),IF(COUNTIFS($D$5:D171,"Malcolm",$F$5:F171,F172,$BE$5:BE171,1)=0,MAX($CD$5:CD171)+1,""),"")</f>
        <v/>
      </c>
      <c r="CE172" s="80" t="str">
        <f>IF(AND(BD172=1,D172="proMX",F172&amp;""&lt;&gt;""),IF(COUNTIFS($D$5:D171,"proMX",$F$5:F171,F172,$BD$5:BD171,1)=0,MAX($CE$5:CE171)+1,""),"")</f>
        <v/>
      </c>
      <c r="CF172" s="80" t="str">
        <f>IF(AND(D172="proMX",BD172=1),IF(OR(BF172="Draft",BF172="Submitted",BF172="Returned",BF172="Recall Requested"),MAX($CF$5:CF171)+1,""),"")</f>
        <v/>
      </c>
      <c r="CG172" s="80">
        <f>IF(BD172=0,0,IF(D172="Malcolm",1,MATCH(BF172,{"Draft","Submitted","Approved","Returned","Recall Requested","Cancelled"},0)+1))</f>
        <v>0</v>
      </c>
      <c r="CH172" s="80">
        <f>IF(AND(BF172="Submitted",ISNUMBER(V172)),IF(V172&gt;CFG_MAXD,1,0),0)</f>
        <v>0</v>
      </c>
    </row>
    <row r="173">
      <c r="A173" s="71" t="str">
        <f>IF(Y173=1,ROW()-5,"")</f>
        <v/>
      </c>
      <c r="B173" s="72" t="n"/>
      <c r="C173" s="71" t="str">
        <f>IF(ISNUMBER(B173),CHOOSE(WEEKDAY(B173,2),"Lun","Mar","Mié","Jue","Vie","Sáb","Dom"),"")</f>
        <v/>
      </c>
      <c r="D173" s="73" t="n"/>
      <c r="E173" s="74" t="n"/>
      <c r="F173" s="74" t="n"/>
      <c r="G173" s="74" t="n"/>
      <c r="H173" s="75" t="n"/>
      <c r="I173" s="75" t="n"/>
      <c r="J173" s="76" t="n"/>
      <c r="K173" s="77" t="str">
        <f>IF(AB173=1,ROUND(AG173/60,4),"")</f>
        <v/>
      </c>
      <c r="L173" s="77" t="str">
        <f>IF(BD173=1,ROUND(AP173/60,4),"")</f>
        <v/>
      </c>
      <c r="M173" s="77" t="str">
        <f>IF(BD173=1,ROUND(AQ173/60,4),"")</f>
        <v/>
      </c>
      <c r="N173" s="71" t="str">
        <f>IF(AND(D173="proMX",AB173=1),ROUND(AG173/CFG_BLK,2),"")</f>
        <v/>
      </c>
      <c r="O173" s="77" t="str">
        <f>IF(D173="proMX",IF(BD173=1,ROUND(AG173/60,4),0),"")</f>
        <v/>
      </c>
      <c r="P173" s="78" t="str">
        <f>IF(Y173=0,"",IF(BD173=1,"OK",IF(D173="proMX","Revisar bloques: ","Revisar: ")&amp;BC173))</f>
        <v/>
      </c>
      <c r="Q173" s="78" t="str">
        <f>IF(NOT(ISNUMBER(B173)),"",IF(COUNTIFS(FER_F,INT(B173))&gt;0,"Feriado"&amp;IF(AH173=1," (laborable)"," (no laborable)"),IF(AH173=1,"Laborable",IF(WEEKDAY(B173,2)&gt;5,"Fin de semana","No laborable"))))</f>
        <v/>
      </c>
      <c r="R173" s="73" t="n"/>
      <c r="S173" s="72" t="n"/>
      <c r="T173" s="72" t="n"/>
      <c r="U173" s="74" t="n"/>
      <c r="V173" s="79" t="str">
        <f>IF(AND(D173="proMX",OR(R173="Submitted",R173="Recall Requested"),ISNUMBER(S173)),CFG_TODAY-INT(S173),"")</f>
        <v/>
      </c>
      <c r="W173" s="78" t="str">
        <f>IF(BD173=0,"",IF(BA173&gt;0,"⚠ Se superpone con un registro de la otra empresa",IF(D173="Malcolm",IF(COUNTA(R173,S173,T173)&gt;0,"Estado/fechas proMX se ignoran en Malcolm",""),IF(BF173="Cancelled","Cancelado: excluido de totales",IF(R173="","Sin estado: se trata como Draft",IF(BF173="Submitted",IF(ISNUMBER(V173),IF(V173&gt;CFG_MAXD,"⚠ "&amp;V173&amp;" días en Submitted (máx. "&amp;CFG_MAXD&amp;")",""),"Falta fecha de envío"),IF(BF173="Returned","⚠ Devuelto: corregir y reenviar",IF(BF173="Recall Requested","Retirada solicitada: pendiente",IF(AND(BF173="Approved",NOT(ISNUMBER(T173))),"Falta fecha de aprobación",IF(AND(ISNUMBER(S173),ISNUMBER(T173),T173&lt;S173),"Aprobación anterior al envío","")))))))))</f>
        <v/>
      </c>
      <c r="Y173" s="80">
        <f>IF(COUNTA(B173,D173,E173,F173,G173,H173,I173,J173,R173,S173,T173)&gt;0,1,0)</f>
        <v>0</v>
      </c>
      <c r="Z173" s="80" t="str">
        <f>IF(AND(ISNUMBER(H173),H173&gt;=0,H173&lt;1),ROUND(H173*1440,0),"")</f>
        <v/>
      </c>
      <c r="AA173" s="80" t="str">
        <f>IF(AND(ISNUMBER(I173),I173&gt;=0,I173&lt;1),ROUND(I173*1440,0),"")</f>
        <v/>
      </c>
      <c r="AB173" s="80">
        <f>IF(AND(ISNUMBER(B173),D173&lt;&gt;"",ISNUMBER(Z173),ISNUMBER(AA173)),IF(Z173=AA173,0,1),0)</f>
        <v>0</v>
      </c>
      <c r="AC173" s="80">
        <f>IF(AB173=1,IF(AA173&lt;Z173,1,0),0)</f>
        <v>0</v>
      </c>
      <c r="AD173" s="80">
        <f>IF(AB173=1,IF(AC173=1,1440-Z173+AA173,AA173-Z173),0)</f>
        <v>0</v>
      </c>
      <c r="AE173" s="80">
        <f>IF(J173="",0,IF(ISNUMBER(J173),J173,-1))</f>
        <v>0</v>
      </c>
      <c r="AF173" s="80">
        <f>MIN(MAX(0,AE173),AD173)</f>
        <v>0</v>
      </c>
      <c r="AG173" s="80">
        <f>MAX(0,AD173-MAX(0,AE173))</f>
        <v>0</v>
      </c>
      <c r="AH173" s="80">
        <f>IF(ISNUMBER(B173),IF(AND(INDEX(CFG_WDAYS,WEEKDAY(INT(B173),2))="Sí",IF(D173="proMX",COUNTIFS(FER_F,INT(B173),FER_NLP,"Sí"),COUNTIFS(FER_F,INT(B173),FER_NLM,"Sí"))=0),1,0),0)</f>
        <v>0</v>
      </c>
      <c r="AI173" s="80">
        <f>IF(AC173=1,IF(AND(INDEX(CFG_WDAYS,WEEKDAY(INT(B173)+1,2))="Sí",IF(D173="proMX",COUNTIFS(FER_F,INT(B173)+1,FER_NLP,"Sí"),COUNTIFS(FER_F,INT(B173)+1,FER_NLM,"Sí"))=0),1,0),0)</f>
        <v>0</v>
      </c>
      <c r="AJ173" s="80">
        <f>IF(AC173=1,1440-Z173,AD173)</f>
        <v>0</v>
      </c>
      <c r="AK173" s="80">
        <f>IF(AND(AB173=1,AH173=1),MAX(0,MIN(IF(AC173=1,1440,AA173),CFG_WEM)-MAX(Z173,CFG_WSM)),0)</f>
        <v>0</v>
      </c>
      <c r="AL173" s="80">
        <f>IF(AND(AC173=1,AI173=1),MAX(0,MIN(AA173,CFG_WEM)-CFG_WSM),0)</f>
        <v>0</v>
      </c>
      <c r="AM173" s="80">
        <f>AK173+AL173</f>
        <v>0</v>
      </c>
      <c r="AN173" s="80">
        <f>IF(CFG_BRK="Proporcional",IF(AD173=0,0,AF173*AM173/AD173),IF(CFG_BRK="Extras primero",MIN(AM173,MAX(0,AF173-(AD173-AM173))),MIN(AF173,AM173)))</f>
        <v>0</v>
      </c>
      <c r="AO173" s="80">
        <f>AF173-AN173</f>
        <v>0</v>
      </c>
      <c r="AP173" s="80">
        <f>AM173-AN173</f>
        <v>0</v>
      </c>
      <c r="AQ173" s="80">
        <f>AD173-AM173-AO173</f>
        <v>0</v>
      </c>
      <c r="AR173" s="80">
        <f>IF(AM173=0,0,AK173-AN173*AK173/AM173)</f>
        <v>0</v>
      </c>
      <c r="AS173" s="80">
        <f>IF(AD173-AM173=0,0,(AJ173-AK173)-AO173*(AJ173-AK173)/(AD173-AM173))</f>
        <v>0</v>
      </c>
      <c r="AT173" s="80" t="str">
        <f>IF(AC173=1,INT(B173)+1,"")</f>
        <v/>
      </c>
      <c r="AU173" s="80">
        <f>IF(AND(D173="proMX",R173="Cancelled"),0,1)</f>
        <v>1</v>
      </c>
      <c r="AV173" s="80">
        <f>IF(AND(AB173=1,AU173=1),IF(COUNTIFS($D$5:D172,D173,$B$5:B172,B173,$Z$5:Z172,Z173,$AA$5:AA172,AA173,$F$5:F172,F173&amp;"",$AU$5:AU172,1)&gt;0,1,0),0)</f>
        <v>0</v>
      </c>
      <c r="AW173" s="80" t="str">
        <f>IF(AB173=1,INT(B173)*1440+Z173,"")</f>
        <v/>
      </c>
      <c r="AX173" s="80" t="str">
        <f>IF(AB173=1,AW173+AD173,"")</f>
        <v/>
      </c>
      <c r="AY173" s="80">
        <f>IF(AND(AB173=1,AV173=0,AU173=1),1,0)</f>
        <v>0</v>
      </c>
      <c r="AZ173" s="80">
        <f>IF(AY173=1,COUNTIFS(R_Emp,D173,R_SAbs,"&lt;"&amp;AX173,R_EAbs,"&gt;"&amp;AW173,R_OKey,1)-1,0)</f>
        <v>0</v>
      </c>
      <c r="BA173" s="80">
        <f>IF(AY173=1,COUNTIFS(R_Emp,"&lt;&gt;"&amp;D173,R_SAbs,"&lt;"&amp;AX173,R_EAbs,"&gt;"&amp;AW173,R_OKey,1),0)</f>
        <v>0</v>
      </c>
      <c r="BB173" s="80">
        <f>IF(AND(AB173=1,D173="proMX"),IF(AND(MOD(Z173,CFG_BLK)=0,MOD(AA173,CFG_BLK)=0,MOD(AG173,CFG_BLK)=0,AG173&gt;0),1,0),1)</f>
        <v>1</v>
      </c>
      <c r="BC173" s="80" t="str">
        <f>IF(Y173=0,"",IF(NOT(ISNUMBER(B173)),"Falta fecha o fecha inválida",IF(D173="","Falta empresa",IF(AND(D173&lt;&gt;"Malcolm",D173&lt;&gt;"proMX"),"Empresa inválida",IF(OR(INT(B173)&lt;CFG_PSTART,INT(B173)&gt;CFG_PEND),"Fecha fuera del período",IF(OR(NOT(ISNUMBER(Z173)),NOT(ISNUMBER(AA173))),"Falta hora inicio/fin o formato inválido",IF(AB173=0,"Hora inicio = hora fin",IF(AE173&lt;0,"Descanso inválido",IF(AE173&gt;=AD173,"Descanso ≥ duración",IF(AV173=1,"Registro duplicado",IF(AZ173&gt;0,"Se superpone con otro registro "&amp;D173,IF(BB173=0,"inicio, fin y duración neta deben ser múltiplos de "&amp;CFG_BLK&amp;" min",""))))))))))))</f>
        <v/>
      </c>
      <c r="BD173" s="80">
        <f>IF(AND(Y173=1,BC173=""),1,0)</f>
        <v>0</v>
      </c>
      <c r="BE173" s="80">
        <f>IF(AND(BD173=1,AU173=1),1,0)</f>
        <v>0</v>
      </c>
      <c r="BF173" s="80" t="str">
        <f>IF(AND(D173="proMX",BD173=1),IF(R173="","Draft",R173),"")</f>
        <v/>
      </c>
      <c r="BG173" s="80">
        <f>IF(BD173=1,ROUND(AG173/60,6),0)</f>
        <v>0</v>
      </c>
      <c r="BH173" s="80">
        <f>IF(BE173=1,ROUND(AG173/60,6),0)</f>
        <v>0</v>
      </c>
      <c r="BI173" s="80">
        <f>IF(BE173=1,ROUND(AP173/60,6),0)</f>
        <v>0</v>
      </c>
      <c r="BJ173" s="80">
        <f>IF(BE173=1,ROUND(AQ173/60,6),0)</f>
        <v>0</v>
      </c>
      <c r="BK173" s="80">
        <f>IF(BE173=1,ROUND((AR173+AS173)/60,6),0)</f>
        <v>0</v>
      </c>
      <c r="BL173" s="80">
        <f>ROUND(BH173-BK173,6)</f>
        <v>0</v>
      </c>
      <c r="BM173" s="80">
        <f>IF(BE173=1,ROUND(AR173/60,6),0)</f>
        <v>0</v>
      </c>
      <c r="BN173" s="80">
        <f>ROUND(BI173-BM173,6)</f>
        <v>0</v>
      </c>
      <c r="BO173" s="80">
        <f>IF(BE173=1,ROUND(AS173/60,6),0)</f>
        <v>0</v>
      </c>
      <c r="BP173" s="80">
        <f>ROUND(BJ173-BO173,6)</f>
        <v>0</v>
      </c>
      <c r="BQ173" s="80">
        <f>IF(BE173=1,AW173,0)</f>
        <v>0</v>
      </c>
      <c r="BR173" s="80">
        <f>IF(BE173=1,AX173,0)</f>
        <v>0</v>
      </c>
      <c r="BS173" s="80">
        <f>IF(AND(BE173=1,D173="Malcolm",BA173&gt;0),MIN(BH173,SUMPRODUCT((R_Emp="proMX")*(R_EN&gt;0)*((R_EN-(R_EN&gt;BR173)*(R_EN-BR173))&gt;(R_SN+(R_SN&lt;BQ173)*(BQ173-R_SN)))*((R_EN-(R_EN&gt;BR173)*(R_EN-BR173))-(R_SN+(R_SN&lt;BQ173)*(BQ173-R_SN))))/60),0)</f>
        <v>0</v>
      </c>
      <c r="BT173" s="80">
        <f>IF(AND(BE173=1,D173="proMX"),ROUND(BI173*CFG_RATE+BJ173*CFG_OTRATE,6),0)</f>
        <v>0</v>
      </c>
      <c r="BU173" s="80">
        <f>IF(AND(BD173=1,D173="proMX"),ROUND(AG173/CFG_BLK,6),0)</f>
        <v>0</v>
      </c>
      <c r="BV173" s="80" t="str">
        <f>IF(BF173="Approved",IF(ISNUMBER(T173),INT(T173),INT(B173)),"")</f>
        <v/>
      </c>
      <c r="BW173" s="80">
        <f>IF(ISNUMBER(B173),IF(DB_MON="Todos",1,IF(AND(INT(B173)&gt;=DB_MS,INT(B173)&lt;=DB_ME),1,0)),0)</f>
        <v>0</v>
      </c>
      <c r="BX173" s="80">
        <f>IF(DB_PROJ="Todos",1,IF(E173&amp;""=DB_PROJ&amp;"",1,0))</f>
        <v>1</v>
      </c>
      <c r="BY173" s="80">
        <f>BW173*BX173</f>
        <v>0</v>
      </c>
      <c r="BZ173" s="80" t="str">
        <f>IF(Y173=1,F173&amp;IF(AND(F173&amp;""&lt;&gt;"",E173&amp;""&lt;&gt;"")," · ","")&amp;E173,"")</f>
        <v/>
      </c>
      <c r="CA173" s="80" t="str">
        <f>IF(AND(BD173=1,E173&amp;""&lt;&gt;""),IF(COUNTIFS($E$5:E172,E173,$BD$5:BD172,1)=0,MAX($CA$5:CA172)+1,""),"")</f>
        <v/>
      </c>
      <c r="CB173" s="80" t="str">
        <f>IF(AND(BE173=1,D173="Malcolm",E173&amp;""&lt;&gt;""),IF(COUNTIFS($D$5:D172,"Malcolm",$E$5:E172,E173,$BE$5:BE172,1)=0,MAX($CB$5:CB172)+1,""),"")</f>
        <v/>
      </c>
      <c r="CC173" s="80" t="str">
        <f>IF(AND(BD173=1,D173="proMX",E173&amp;""&lt;&gt;""),IF(COUNTIFS($D$5:D172,"proMX",$E$5:E172,E173,$BD$5:BD172,1)=0,MAX($CC$5:CC172)+1,""),"")</f>
        <v/>
      </c>
      <c r="CD173" s="80" t="str">
        <f>IF(AND(BE173=1,D173="Malcolm",F173&amp;""&lt;&gt;""),IF(COUNTIFS($D$5:D172,"Malcolm",$F$5:F172,F173,$BE$5:BE172,1)=0,MAX($CD$5:CD172)+1,""),"")</f>
        <v/>
      </c>
      <c r="CE173" s="80" t="str">
        <f>IF(AND(BD173=1,D173="proMX",F173&amp;""&lt;&gt;""),IF(COUNTIFS($D$5:D172,"proMX",$F$5:F172,F173,$BD$5:BD172,1)=0,MAX($CE$5:CE172)+1,""),"")</f>
        <v/>
      </c>
      <c r="CF173" s="80" t="str">
        <f>IF(AND(D173="proMX",BD173=1),IF(OR(BF173="Draft",BF173="Submitted",BF173="Returned",BF173="Recall Requested"),MAX($CF$5:CF172)+1,""),"")</f>
        <v/>
      </c>
      <c r="CG173" s="80">
        <f>IF(BD173=0,0,IF(D173="Malcolm",1,MATCH(BF173,{"Draft","Submitted","Approved","Returned","Recall Requested","Cancelled"},0)+1))</f>
        <v>0</v>
      </c>
      <c r="CH173" s="80">
        <f>IF(AND(BF173="Submitted",ISNUMBER(V173)),IF(V173&gt;CFG_MAXD,1,0),0)</f>
        <v>0</v>
      </c>
    </row>
    <row r="174">
      <c r="A174" s="71" t="str">
        <f>IF(Y174=1,ROW()-5,"")</f>
        <v/>
      </c>
      <c r="B174" s="72" t="n"/>
      <c r="C174" s="71" t="str">
        <f>IF(ISNUMBER(B174),CHOOSE(WEEKDAY(B174,2),"Lun","Mar","Mié","Jue","Vie","Sáb","Dom"),"")</f>
        <v/>
      </c>
      <c r="D174" s="73" t="n"/>
      <c r="E174" s="74" t="n"/>
      <c r="F174" s="74" t="n"/>
      <c r="G174" s="74" t="n"/>
      <c r="H174" s="75" t="n"/>
      <c r="I174" s="75" t="n"/>
      <c r="J174" s="76" t="n"/>
      <c r="K174" s="77" t="str">
        <f>IF(AB174=1,ROUND(AG174/60,4),"")</f>
        <v/>
      </c>
      <c r="L174" s="77" t="str">
        <f>IF(BD174=1,ROUND(AP174/60,4),"")</f>
        <v/>
      </c>
      <c r="M174" s="77" t="str">
        <f>IF(BD174=1,ROUND(AQ174/60,4),"")</f>
        <v/>
      </c>
      <c r="N174" s="71" t="str">
        <f>IF(AND(D174="proMX",AB174=1),ROUND(AG174/CFG_BLK,2),"")</f>
        <v/>
      </c>
      <c r="O174" s="77" t="str">
        <f>IF(D174="proMX",IF(BD174=1,ROUND(AG174/60,4),0),"")</f>
        <v/>
      </c>
      <c r="P174" s="78" t="str">
        <f>IF(Y174=0,"",IF(BD174=1,"OK",IF(D174="proMX","Revisar bloques: ","Revisar: ")&amp;BC174))</f>
        <v/>
      </c>
      <c r="Q174" s="78" t="str">
        <f>IF(NOT(ISNUMBER(B174)),"",IF(COUNTIFS(FER_F,INT(B174))&gt;0,"Feriado"&amp;IF(AH174=1," (laborable)"," (no laborable)"),IF(AH174=1,"Laborable",IF(WEEKDAY(B174,2)&gt;5,"Fin de semana","No laborable"))))</f>
        <v/>
      </c>
      <c r="R174" s="73" t="n"/>
      <c r="S174" s="72" t="n"/>
      <c r="T174" s="72" t="n"/>
      <c r="U174" s="74" t="n"/>
      <c r="V174" s="79" t="str">
        <f>IF(AND(D174="proMX",OR(R174="Submitted",R174="Recall Requested"),ISNUMBER(S174)),CFG_TODAY-INT(S174),"")</f>
        <v/>
      </c>
      <c r="W174" s="78" t="str">
        <f>IF(BD174=0,"",IF(BA174&gt;0,"⚠ Se superpone con un registro de la otra empresa",IF(D174="Malcolm",IF(COUNTA(R174,S174,T174)&gt;0,"Estado/fechas proMX se ignoran en Malcolm",""),IF(BF174="Cancelled","Cancelado: excluido de totales",IF(R174="","Sin estado: se trata como Draft",IF(BF174="Submitted",IF(ISNUMBER(V174),IF(V174&gt;CFG_MAXD,"⚠ "&amp;V174&amp;" días en Submitted (máx. "&amp;CFG_MAXD&amp;")",""),"Falta fecha de envío"),IF(BF174="Returned","⚠ Devuelto: corregir y reenviar",IF(BF174="Recall Requested","Retirada solicitada: pendiente",IF(AND(BF174="Approved",NOT(ISNUMBER(T174))),"Falta fecha de aprobación",IF(AND(ISNUMBER(S174),ISNUMBER(T174),T174&lt;S174),"Aprobación anterior al envío","")))))))))</f>
        <v/>
      </c>
      <c r="Y174" s="80">
        <f>IF(COUNTA(B174,D174,E174,F174,G174,H174,I174,J174,R174,S174,T174)&gt;0,1,0)</f>
        <v>0</v>
      </c>
      <c r="Z174" s="80" t="str">
        <f>IF(AND(ISNUMBER(H174),H174&gt;=0,H174&lt;1),ROUND(H174*1440,0),"")</f>
        <v/>
      </c>
      <c r="AA174" s="80" t="str">
        <f>IF(AND(ISNUMBER(I174),I174&gt;=0,I174&lt;1),ROUND(I174*1440,0),"")</f>
        <v/>
      </c>
      <c r="AB174" s="80">
        <f>IF(AND(ISNUMBER(B174),D174&lt;&gt;"",ISNUMBER(Z174),ISNUMBER(AA174)),IF(Z174=AA174,0,1),0)</f>
        <v>0</v>
      </c>
      <c r="AC174" s="80">
        <f>IF(AB174=1,IF(AA174&lt;Z174,1,0),0)</f>
        <v>0</v>
      </c>
      <c r="AD174" s="80">
        <f>IF(AB174=1,IF(AC174=1,1440-Z174+AA174,AA174-Z174),0)</f>
        <v>0</v>
      </c>
      <c r="AE174" s="80">
        <f>IF(J174="",0,IF(ISNUMBER(J174),J174,-1))</f>
        <v>0</v>
      </c>
      <c r="AF174" s="80">
        <f>MIN(MAX(0,AE174),AD174)</f>
        <v>0</v>
      </c>
      <c r="AG174" s="80">
        <f>MAX(0,AD174-MAX(0,AE174))</f>
        <v>0</v>
      </c>
      <c r="AH174" s="80">
        <f>IF(ISNUMBER(B174),IF(AND(INDEX(CFG_WDAYS,WEEKDAY(INT(B174),2))="Sí",IF(D174="proMX",COUNTIFS(FER_F,INT(B174),FER_NLP,"Sí"),COUNTIFS(FER_F,INT(B174),FER_NLM,"Sí"))=0),1,0),0)</f>
        <v>0</v>
      </c>
      <c r="AI174" s="80">
        <f>IF(AC174=1,IF(AND(INDEX(CFG_WDAYS,WEEKDAY(INT(B174)+1,2))="Sí",IF(D174="proMX",COUNTIFS(FER_F,INT(B174)+1,FER_NLP,"Sí"),COUNTIFS(FER_F,INT(B174)+1,FER_NLM,"Sí"))=0),1,0),0)</f>
        <v>0</v>
      </c>
      <c r="AJ174" s="80">
        <f>IF(AC174=1,1440-Z174,AD174)</f>
        <v>0</v>
      </c>
      <c r="AK174" s="80">
        <f>IF(AND(AB174=1,AH174=1),MAX(0,MIN(IF(AC174=1,1440,AA174),CFG_WEM)-MAX(Z174,CFG_WSM)),0)</f>
        <v>0</v>
      </c>
      <c r="AL174" s="80">
        <f>IF(AND(AC174=1,AI174=1),MAX(0,MIN(AA174,CFG_WEM)-CFG_WSM),0)</f>
        <v>0</v>
      </c>
      <c r="AM174" s="80">
        <f>AK174+AL174</f>
        <v>0</v>
      </c>
      <c r="AN174" s="80">
        <f>IF(CFG_BRK="Proporcional",IF(AD174=0,0,AF174*AM174/AD174),IF(CFG_BRK="Extras primero",MIN(AM174,MAX(0,AF174-(AD174-AM174))),MIN(AF174,AM174)))</f>
        <v>0</v>
      </c>
      <c r="AO174" s="80">
        <f>AF174-AN174</f>
        <v>0</v>
      </c>
      <c r="AP174" s="80">
        <f>AM174-AN174</f>
        <v>0</v>
      </c>
      <c r="AQ174" s="80">
        <f>AD174-AM174-AO174</f>
        <v>0</v>
      </c>
      <c r="AR174" s="80">
        <f>IF(AM174=0,0,AK174-AN174*AK174/AM174)</f>
        <v>0</v>
      </c>
      <c r="AS174" s="80">
        <f>IF(AD174-AM174=0,0,(AJ174-AK174)-AO174*(AJ174-AK174)/(AD174-AM174))</f>
        <v>0</v>
      </c>
      <c r="AT174" s="80" t="str">
        <f>IF(AC174=1,INT(B174)+1,"")</f>
        <v/>
      </c>
      <c r="AU174" s="80">
        <f>IF(AND(D174="proMX",R174="Cancelled"),0,1)</f>
        <v>1</v>
      </c>
      <c r="AV174" s="80">
        <f>IF(AND(AB174=1,AU174=1),IF(COUNTIFS($D$5:D173,D174,$B$5:B173,B174,$Z$5:Z173,Z174,$AA$5:AA173,AA174,$F$5:F173,F174&amp;"",$AU$5:AU173,1)&gt;0,1,0),0)</f>
        <v>0</v>
      </c>
      <c r="AW174" s="80" t="str">
        <f>IF(AB174=1,INT(B174)*1440+Z174,"")</f>
        <v/>
      </c>
      <c r="AX174" s="80" t="str">
        <f>IF(AB174=1,AW174+AD174,"")</f>
        <v/>
      </c>
      <c r="AY174" s="80">
        <f>IF(AND(AB174=1,AV174=0,AU174=1),1,0)</f>
        <v>0</v>
      </c>
      <c r="AZ174" s="80">
        <f>IF(AY174=1,COUNTIFS(R_Emp,D174,R_SAbs,"&lt;"&amp;AX174,R_EAbs,"&gt;"&amp;AW174,R_OKey,1)-1,0)</f>
        <v>0</v>
      </c>
      <c r="BA174" s="80">
        <f>IF(AY174=1,COUNTIFS(R_Emp,"&lt;&gt;"&amp;D174,R_SAbs,"&lt;"&amp;AX174,R_EAbs,"&gt;"&amp;AW174,R_OKey,1),0)</f>
        <v>0</v>
      </c>
      <c r="BB174" s="80">
        <f>IF(AND(AB174=1,D174="proMX"),IF(AND(MOD(Z174,CFG_BLK)=0,MOD(AA174,CFG_BLK)=0,MOD(AG174,CFG_BLK)=0,AG174&gt;0),1,0),1)</f>
        <v>1</v>
      </c>
      <c r="BC174" s="80" t="str">
        <f>IF(Y174=0,"",IF(NOT(ISNUMBER(B174)),"Falta fecha o fecha inválida",IF(D174="","Falta empresa",IF(AND(D174&lt;&gt;"Malcolm",D174&lt;&gt;"proMX"),"Empresa inválida",IF(OR(INT(B174)&lt;CFG_PSTART,INT(B174)&gt;CFG_PEND),"Fecha fuera del período",IF(OR(NOT(ISNUMBER(Z174)),NOT(ISNUMBER(AA174))),"Falta hora inicio/fin o formato inválido",IF(AB174=0,"Hora inicio = hora fin",IF(AE174&lt;0,"Descanso inválido",IF(AE174&gt;=AD174,"Descanso ≥ duración",IF(AV174=1,"Registro duplicado",IF(AZ174&gt;0,"Se superpone con otro registro "&amp;D174,IF(BB174=0,"inicio, fin y duración neta deben ser múltiplos de "&amp;CFG_BLK&amp;" min",""))))))))))))</f>
        <v/>
      </c>
      <c r="BD174" s="80">
        <f>IF(AND(Y174=1,BC174=""),1,0)</f>
        <v>0</v>
      </c>
      <c r="BE174" s="80">
        <f>IF(AND(BD174=1,AU174=1),1,0)</f>
        <v>0</v>
      </c>
      <c r="BF174" s="80" t="str">
        <f>IF(AND(D174="proMX",BD174=1),IF(R174="","Draft",R174),"")</f>
        <v/>
      </c>
      <c r="BG174" s="80">
        <f>IF(BD174=1,ROUND(AG174/60,6),0)</f>
        <v>0</v>
      </c>
      <c r="BH174" s="80">
        <f>IF(BE174=1,ROUND(AG174/60,6),0)</f>
        <v>0</v>
      </c>
      <c r="BI174" s="80">
        <f>IF(BE174=1,ROUND(AP174/60,6),0)</f>
        <v>0</v>
      </c>
      <c r="BJ174" s="80">
        <f>IF(BE174=1,ROUND(AQ174/60,6),0)</f>
        <v>0</v>
      </c>
      <c r="BK174" s="80">
        <f>IF(BE174=1,ROUND((AR174+AS174)/60,6),0)</f>
        <v>0</v>
      </c>
      <c r="BL174" s="80">
        <f>ROUND(BH174-BK174,6)</f>
        <v>0</v>
      </c>
      <c r="BM174" s="80">
        <f>IF(BE174=1,ROUND(AR174/60,6),0)</f>
        <v>0</v>
      </c>
      <c r="BN174" s="80">
        <f>ROUND(BI174-BM174,6)</f>
        <v>0</v>
      </c>
      <c r="BO174" s="80">
        <f>IF(BE174=1,ROUND(AS174/60,6),0)</f>
        <v>0</v>
      </c>
      <c r="BP174" s="80">
        <f>ROUND(BJ174-BO174,6)</f>
        <v>0</v>
      </c>
      <c r="BQ174" s="80">
        <f>IF(BE174=1,AW174,0)</f>
        <v>0</v>
      </c>
      <c r="BR174" s="80">
        <f>IF(BE174=1,AX174,0)</f>
        <v>0</v>
      </c>
      <c r="BS174" s="80">
        <f>IF(AND(BE174=1,D174="Malcolm",BA174&gt;0),MIN(BH174,SUMPRODUCT((R_Emp="proMX")*(R_EN&gt;0)*((R_EN-(R_EN&gt;BR174)*(R_EN-BR174))&gt;(R_SN+(R_SN&lt;BQ174)*(BQ174-R_SN)))*((R_EN-(R_EN&gt;BR174)*(R_EN-BR174))-(R_SN+(R_SN&lt;BQ174)*(BQ174-R_SN))))/60),0)</f>
        <v>0</v>
      </c>
      <c r="BT174" s="80">
        <f>IF(AND(BE174=1,D174="proMX"),ROUND(BI174*CFG_RATE+BJ174*CFG_OTRATE,6),0)</f>
        <v>0</v>
      </c>
      <c r="BU174" s="80">
        <f>IF(AND(BD174=1,D174="proMX"),ROUND(AG174/CFG_BLK,6),0)</f>
        <v>0</v>
      </c>
      <c r="BV174" s="80" t="str">
        <f>IF(BF174="Approved",IF(ISNUMBER(T174),INT(T174),INT(B174)),"")</f>
        <v/>
      </c>
      <c r="BW174" s="80">
        <f>IF(ISNUMBER(B174),IF(DB_MON="Todos",1,IF(AND(INT(B174)&gt;=DB_MS,INT(B174)&lt;=DB_ME),1,0)),0)</f>
        <v>0</v>
      </c>
      <c r="BX174" s="80">
        <f>IF(DB_PROJ="Todos",1,IF(E174&amp;""=DB_PROJ&amp;"",1,0))</f>
        <v>1</v>
      </c>
      <c r="BY174" s="80">
        <f>BW174*BX174</f>
        <v>0</v>
      </c>
      <c r="BZ174" s="80" t="str">
        <f>IF(Y174=1,F174&amp;IF(AND(F174&amp;""&lt;&gt;"",E174&amp;""&lt;&gt;"")," · ","")&amp;E174,"")</f>
        <v/>
      </c>
      <c r="CA174" s="80" t="str">
        <f>IF(AND(BD174=1,E174&amp;""&lt;&gt;""),IF(COUNTIFS($E$5:E173,E174,$BD$5:BD173,1)=0,MAX($CA$5:CA173)+1,""),"")</f>
        <v/>
      </c>
      <c r="CB174" s="80" t="str">
        <f>IF(AND(BE174=1,D174="Malcolm",E174&amp;""&lt;&gt;""),IF(COUNTIFS($D$5:D173,"Malcolm",$E$5:E173,E174,$BE$5:BE173,1)=0,MAX($CB$5:CB173)+1,""),"")</f>
        <v/>
      </c>
      <c r="CC174" s="80" t="str">
        <f>IF(AND(BD174=1,D174="proMX",E174&amp;""&lt;&gt;""),IF(COUNTIFS($D$5:D173,"proMX",$E$5:E173,E174,$BD$5:BD173,1)=0,MAX($CC$5:CC173)+1,""),"")</f>
        <v/>
      </c>
      <c r="CD174" s="80" t="str">
        <f>IF(AND(BE174=1,D174="Malcolm",F174&amp;""&lt;&gt;""),IF(COUNTIFS($D$5:D173,"Malcolm",$F$5:F173,F174,$BE$5:BE173,1)=0,MAX($CD$5:CD173)+1,""),"")</f>
        <v/>
      </c>
      <c r="CE174" s="80" t="str">
        <f>IF(AND(BD174=1,D174="proMX",F174&amp;""&lt;&gt;""),IF(COUNTIFS($D$5:D173,"proMX",$F$5:F173,F174,$BD$5:BD173,1)=0,MAX($CE$5:CE173)+1,""),"")</f>
        <v/>
      </c>
      <c r="CF174" s="80" t="str">
        <f>IF(AND(D174="proMX",BD174=1),IF(OR(BF174="Draft",BF174="Submitted",BF174="Returned",BF174="Recall Requested"),MAX($CF$5:CF173)+1,""),"")</f>
        <v/>
      </c>
      <c r="CG174" s="80">
        <f>IF(BD174=0,0,IF(D174="Malcolm",1,MATCH(BF174,{"Draft","Submitted","Approved","Returned","Recall Requested","Cancelled"},0)+1))</f>
        <v>0</v>
      </c>
      <c r="CH174" s="80">
        <f>IF(AND(BF174="Submitted",ISNUMBER(V174)),IF(V174&gt;CFG_MAXD,1,0),0)</f>
        <v>0</v>
      </c>
    </row>
    <row r="175">
      <c r="A175" s="71" t="str">
        <f>IF(Y175=1,ROW()-5,"")</f>
        <v/>
      </c>
      <c r="B175" s="72" t="n"/>
      <c r="C175" s="71" t="str">
        <f>IF(ISNUMBER(B175),CHOOSE(WEEKDAY(B175,2),"Lun","Mar","Mié","Jue","Vie","Sáb","Dom"),"")</f>
        <v/>
      </c>
      <c r="D175" s="73" t="n"/>
      <c r="E175" s="74" t="n"/>
      <c r="F175" s="74" t="n"/>
      <c r="G175" s="74" t="n"/>
      <c r="H175" s="75" t="n"/>
      <c r="I175" s="75" t="n"/>
      <c r="J175" s="76" t="n"/>
      <c r="K175" s="77" t="str">
        <f>IF(AB175=1,ROUND(AG175/60,4),"")</f>
        <v/>
      </c>
      <c r="L175" s="77" t="str">
        <f>IF(BD175=1,ROUND(AP175/60,4),"")</f>
        <v/>
      </c>
      <c r="M175" s="77" t="str">
        <f>IF(BD175=1,ROUND(AQ175/60,4),"")</f>
        <v/>
      </c>
      <c r="N175" s="71" t="str">
        <f>IF(AND(D175="proMX",AB175=1),ROUND(AG175/CFG_BLK,2),"")</f>
        <v/>
      </c>
      <c r="O175" s="77" t="str">
        <f>IF(D175="proMX",IF(BD175=1,ROUND(AG175/60,4),0),"")</f>
        <v/>
      </c>
      <c r="P175" s="78" t="str">
        <f>IF(Y175=0,"",IF(BD175=1,"OK",IF(D175="proMX","Revisar bloques: ","Revisar: ")&amp;BC175))</f>
        <v/>
      </c>
      <c r="Q175" s="78" t="str">
        <f>IF(NOT(ISNUMBER(B175)),"",IF(COUNTIFS(FER_F,INT(B175))&gt;0,"Feriado"&amp;IF(AH175=1," (laborable)"," (no laborable)"),IF(AH175=1,"Laborable",IF(WEEKDAY(B175,2)&gt;5,"Fin de semana","No laborable"))))</f>
        <v/>
      </c>
      <c r="R175" s="73" t="n"/>
      <c r="S175" s="72" t="n"/>
      <c r="T175" s="72" t="n"/>
      <c r="U175" s="74" t="n"/>
      <c r="V175" s="79" t="str">
        <f>IF(AND(D175="proMX",OR(R175="Submitted",R175="Recall Requested"),ISNUMBER(S175)),CFG_TODAY-INT(S175),"")</f>
        <v/>
      </c>
      <c r="W175" s="78" t="str">
        <f>IF(BD175=0,"",IF(BA175&gt;0,"⚠ Se superpone con un registro de la otra empresa",IF(D175="Malcolm",IF(COUNTA(R175,S175,T175)&gt;0,"Estado/fechas proMX se ignoran en Malcolm",""),IF(BF175="Cancelled","Cancelado: excluido de totales",IF(R175="","Sin estado: se trata como Draft",IF(BF175="Submitted",IF(ISNUMBER(V175),IF(V175&gt;CFG_MAXD,"⚠ "&amp;V175&amp;" días en Submitted (máx. "&amp;CFG_MAXD&amp;")",""),"Falta fecha de envío"),IF(BF175="Returned","⚠ Devuelto: corregir y reenviar",IF(BF175="Recall Requested","Retirada solicitada: pendiente",IF(AND(BF175="Approved",NOT(ISNUMBER(T175))),"Falta fecha de aprobación",IF(AND(ISNUMBER(S175),ISNUMBER(T175),T175&lt;S175),"Aprobación anterior al envío","")))))))))</f>
        <v/>
      </c>
      <c r="Y175" s="80">
        <f>IF(COUNTA(B175,D175,E175,F175,G175,H175,I175,J175,R175,S175,T175)&gt;0,1,0)</f>
        <v>0</v>
      </c>
      <c r="Z175" s="80" t="str">
        <f>IF(AND(ISNUMBER(H175),H175&gt;=0,H175&lt;1),ROUND(H175*1440,0),"")</f>
        <v/>
      </c>
      <c r="AA175" s="80" t="str">
        <f>IF(AND(ISNUMBER(I175),I175&gt;=0,I175&lt;1),ROUND(I175*1440,0),"")</f>
        <v/>
      </c>
      <c r="AB175" s="80">
        <f>IF(AND(ISNUMBER(B175),D175&lt;&gt;"",ISNUMBER(Z175),ISNUMBER(AA175)),IF(Z175=AA175,0,1),0)</f>
        <v>0</v>
      </c>
      <c r="AC175" s="80">
        <f>IF(AB175=1,IF(AA175&lt;Z175,1,0),0)</f>
        <v>0</v>
      </c>
      <c r="AD175" s="80">
        <f>IF(AB175=1,IF(AC175=1,1440-Z175+AA175,AA175-Z175),0)</f>
        <v>0</v>
      </c>
      <c r="AE175" s="80">
        <f>IF(J175="",0,IF(ISNUMBER(J175),J175,-1))</f>
        <v>0</v>
      </c>
      <c r="AF175" s="80">
        <f>MIN(MAX(0,AE175),AD175)</f>
        <v>0</v>
      </c>
      <c r="AG175" s="80">
        <f>MAX(0,AD175-MAX(0,AE175))</f>
        <v>0</v>
      </c>
      <c r="AH175" s="80">
        <f>IF(ISNUMBER(B175),IF(AND(INDEX(CFG_WDAYS,WEEKDAY(INT(B175),2))="Sí",IF(D175="proMX",COUNTIFS(FER_F,INT(B175),FER_NLP,"Sí"),COUNTIFS(FER_F,INT(B175),FER_NLM,"Sí"))=0),1,0),0)</f>
        <v>0</v>
      </c>
      <c r="AI175" s="80">
        <f>IF(AC175=1,IF(AND(INDEX(CFG_WDAYS,WEEKDAY(INT(B175)+1,2))="Sí",IF(D175="proMX",COUNTIFS(FER_F,INT(B175)+1,FER_NLP,"Sí"),COUNTIFS(FER_F,INT(B175)+1,FER_NLM,"Sí"))=0),1,0),0)</f>
        <v>0</v>
      </c>
      <c r="AJ175" s="80">
        <f>IF(AC175=1,1440-Z175,AD175)</f>
        <v>0</v>
      </c>
      <c r="AK175" s="80">
        <f>IF(AND(AB175=1,AH175=1),MAX(0,MIN(IF(AC175=1,1440,AA175),CFG_WEM)-MAX(Z175,CFG_WSM)),0)</f>
        <v>0</v>
      </c>
      <c r="AL175" s="80">
        <f>IF(AND(AC175=1,AI175=1),MAX(0,MIN(AA175,CFG_WEM)-CFG_WSM),0)</f>
        <v>0</v>
      </c>
      <c r="AM175" s="80">
        <f>AK175+AL175</f>
        <v>0</v>
      </c>
      <c r="AN175" s="80">
        <f>IF(CFG_BRK="Proporcional",IF(AD175=0,0,AF175*AM175/AD175),IF(CFG_BRK="Extras primero",MIN(AM175,MAX(0,AF175-(AD175-AM175))),MIN(AF175,AM175)))</f>
        <v>0</v>
      </c>
      <c r="AO175" s="80">
        <f>AF175-AN175</f>
        <v>0</v>
      </c>
      <c r="AP175" s="80">
        <f>AM175-AN175</f>
        <v>0</v>
      </c>
      <c r="AQ175" s="80">
        <f>AD175-AM175-AO175</f>
        <v>0</v>
      </c>
      <c r="AR175" s="80">
        <f>IF(AM175=0,0,AK175-AN175*AK175/AM175)</f>
        <v>0</v>
      </c>
      <c r="AS175" s="80">
        <f>IF(AD175-AM175=0,0,(AJ175-AK175)-AO175*(AJ175-AK175)/(AD175-AM175))</f>
        <v>0</v>
      </c>
      <c r="AT175" s="80" t="str">
        <f>IF(AC175=1,INT(B175)+1,"")</f>
        <v/>
      </c>
      <c r="AU175" s="80">
        <f>IF(AND(D175="proMX",R175="Cancelled"),0,1)</f>
        <v>1</v>
      </c>
      <c r="AV175" s="80">
        <f>IF(AND(AB175=1,AU175=1),IF(COUNTIFS($D$5:D174,D175,$B$5:B174,B175,$Z$5:Z174,Z175,$AA$5:AA174,AA175,$F$5:F174,F175&amp;"",$AU$5:AU174,1)&gt;0,1,0),0)</f>
        <v>0</v>
      </c>
      <c r="AW175" s="80" t="str">
        <f>IF(AB175=1,INT(B175)*1440+Z175,"")</f>
        <v/>
      </c>
      <c r="AX175" s="80" t="str">
        <f>IF(AB175=1,AW175+AD175,"")</f>
        <v/>
      </c>
      <c r="AY175" s="80">
        <f>IF(AND(AB175=1,AV175=0,AU175=1),1,0)</f>
        <v>0</v>
      </c>
      <c r="AZ175" s="80">
        <f>IF(AY175=1,COUNTIFS(R_Emp,D175,R_SAbs,"&lt;"&amp;AX175,R_EAbs,"&gt;"&amp;AW175,R_OKey,1)-1,0)</f>
        <v>0</v>
      </c>
      <c r="BA175" s="80">
        <f>IF(AY175=1,COUNTIFS(R_Emp,"&lt;&gt;"&amp;D175,R_SAbs,"&lt;"&amp;AX175,R_EAbs,"&gt;"&amp;AW175,R_OKey,1),0)</f>
        <v>0</v>
      </c>
      <c r="BB175" s="80">
        <f>IF(AND(AB175=1,D175="proMX"),IF(AND(MOD(Z175,CFG_BLK)=0,MOD(AA175,CFG_BLK)=0,MOD(AG175,CFG_BLK)=0,AG175&gt;0),1,0),1)</f>
        <v>1</v>
      </c>
      <c r="BC175" s="80" t="str">
        <f>IF(Y175=0,"",IF(NOT(ISNUMBER(B175)),"Falta fecha o fecha inválida",IF(D175="","Falta empresa",IF(AND(D175&lt;&gt;"Malcolm",D175&lt;&gt;"proMX"),"Empresa inválida",IF(OR(INT(B175)&lt;CFG_PSTART,INT(B175)&gt;CFG_PEND),"Fecha fuera del período",IF(OR(NOT(ISNUMBER(Z175)),NOT(ISNUMBER(AA175))),"Falta hora inicio/fin o formato inválido",IF(AB175=0,"Hora inicio = hora fin",IF(AE175&lt;0,"Descanso inválido",IF(AE175&gt;=AD175,"Descanso ≥ duración",IF(AV175=1,"Registro duplicado",IF(AZ175&gt;0,"Se superpone con otro registro "&amp;D175,IF(BB175=0,"inicio, fin y duración neta deben ser múltiplos de "&amp;CFG_BLK&amp;" min",""))))))))))))</f>
        <v/>
      </c>
      <c r="BD175" s="80">
        <f>IF(AND(Y175=1,BC175=""),1,0)</f>
        <v>0</v>
      </c>
      <c r="BE175" s="80">
        <f>IF(AND(BD175=1,AU175=1),1,0)</f>
        <v>0</v>
      </c>
      <c r="BF175" s="80" t="str">
        <f>IF(AND(D175="proMX",BD175=1),IF(R175="","Draft",R175),"")</f>
        <v/>
      </c>
      <c r="BG175" s="80">
        <f>IF(BD175=1,ROUND(AG175/60,6),0)</f>
        <v>0</v>
      </c>
      <c r="BH175" s="80">
        <f>IF(BE175=1,ROUND(AG175/60,6),0)</f>
        <v>0</v>
      </c>
      <c r="BI175" s="80">
        <f>IF(BE175=1,ROUND(AP175/60,6),0)</f>
        <v>0</v>
      </c>
      <c r="BJ175" s="80">
        <f>IF(BE175=1,ROUND(AQ175/60,6),0)</f>
        <v>0</v>
      </c>
      <c r="BK175" s="80">
        <f>IF(BE175=1,ROUND((AR175+AS175)/60,6),0)</f>
        <v>0</v>
      </c>
      <c r="BL175" s="80">
        <f>ROUND(BH175-BK175,6)</f>
        <v>0</v>
      </c>
      <c r="BM175" s="80">
        <f>IF(BE175=1,ROUND(AR175/60,6),0)</f>
        <v>0</v>
      </c>
      <c r="BN175" s="80">
        <f>ROUND(BI175-BM175,6)</f>
        <v>0</v>
      </c>
      <c r="BO175" s="80">
        <f>IF(BE175=1,ROUND(AS175/60,6),0)</f>
        <v>0</v>
      </c>
      <c r="BP175" s="80">
        <f>ROUND(BJ175-BO175,6)</f>
        <v>0</v>
      </c>
      <c r="BQ175" s="80">
        <f>IF(BE175=1,AW175,0)</f>
        <v>0</v>
      </c>
      <c r="BR175" s="80">
        <f>IF(BE175=1,AX175,0)</f>
        <v>0</v>
      </c>
      <c r="BS175" s="80">
        <f>IF(AND(BE175=1,D175="Malcolm",BA175&gt;0),MIN(BH175,SUMPRODUCT((R_Emp="proMX")*(R_EN&gt;0)*((R_EN-(R_EN&gt;BR175)*(R_EN-BR175))&gt;(R_SN+(R_SN&lt;BQ175)*(BQ175-R_SN)))*((R_EN-(R_EN&gt;BR175)*(R_EN-BR175))-(R_SN+(R_SN&lt;BQ175)*(BQ175-R_SN))))/60),0)</f>
        <v>0</v>
      </c>
      <c r="BT175" s="80">
        <f>IF(AND(BE175=1,D175="proMX"),ROUND(BI175*CFG_RATE+BJ175*CFG_OTRATE,6),0)</f>
        <v>0</v>
      </c>
      <c r="BU175" s="80">
        <f>IF(AND(BD175=1,D175="proMX"),ROUND(AG175/CFG_BLK,6),0)</f>
        <v>0</v>
      </c>
      <c r="BV175" s="80" t="str">
        <f>IF(BF175="Approved",IF(ISNUMBER(T175),INT(T175),INT(B175)),"")</f>
        <v/>
      </c>
      <c r="BW175" s="80">
        <f>IF(ISNUMBER(B175),IF(DB_MON="Todos",1,IF(AND(INT(B175)&gt;=DB_MS,INT(B175)&lt;=DB_ME),1,0)),0)</f>
        <v>0</v>
      </c>
      <c r="BX175" s="80">
        <f>IF(DB_PROJ="Todos",1,IF(E175&amp;""=DB_PROJ&amp;"",1,0))</f>
        <v>1</v>
      </c>
      <c r="BY175" s="80">
        <f>BW175*BX175</f>
        <v>0</v>
      </c>
      <c r="BZ175" s="80" t="str">
        <f>IF(Y175=1,F175&amp;IF(AND(F175&amp;""&lt;&gt;"",E175&amp;""&lt;&gt;"")," · ","")&amp;E175,"")</f>
        <v/>
      </c>
      <c r="CA175" s="80" t="str">
        <f>IF(AND(BD175=1,E175&amp;""&lt;&gt;""),IF(COUNTIFS($E$5:E174,E175,$BD$5:BD174,1)=0,MAX($CA$5:CA174)+1,""),"")</f>
        <v/>
      </c>
      <c r="CB175" s="80" t="str">
        <f>IF(AND(BE175=1,D175="Malcolm",E175&amp;""&lt;&gt;""),IF(COUNTIFS($D$5:D174,"Malcolm",$E$5:E174,E175,$BE$5:BE174,1)=0,MAX($CB$5:CB174)+1,""),"")</f>
        <v/>
      </c>
      <c r="CC175" s="80" t="str">
        <f>IF(AND(BD175=1,D175="proMX",E175&amp;""&lt;&gt;""),IF(COUNTIFS($D$5:D174,"proMX",$E$5:E174,E175,$BD$5:BD174,1)=0,MAX($CC$5:CC174)+1,""),"")</f>
        <v/>
      </c>
      <c r="CD175" s="80" t="str">
        <f>IF(AND(BE175=1,D175="Malcolm",F175&amp;""&lt;&gt;""),IF(COUNTIFS($D$5:D174,"Malcolm",$F$5:F174,F175,$BE$5:BE174,1)=0,MAX($CD$5:CD174)+1,""),"")</f>
        <v/>
      </c>
      <c r="CE175" s="80" t="str">
        <f>IF(AND(BD175=1,D175="proMX",F175&amp;""&lt;&gt;""),IF(COUNTIFS($D$5:D174,"proMX",$F$5:F174,F175,$BD$5:BD174,1)=0,MAX($CE$5:CE174)+1,""),"")</f>
        <v/>
      </c>
      <c r="CF175" s="80" t="str">
        <f>IF(AND(D175="proMX",BD175=1),IF(OR(BF175="Draft",BF175="Submitted",BF175="Returned",BF175="Recall Requested"),MAX($CF$5:CF174)+1,""),"")</f>
        <v/>
      </c>
      <c r="CG175" s="80">
        <f>IF(BD175=0,0,IF(D175="Malcolm",1,MATCH(BF175,{"Draft","Submitted","Approved","Returned","Recall Requested","Cancelled"},0)+1))</f>
        <v>0</v>
      </c>
      <c r="CH175" s="80">
        <f>IF(AND(BF175="Submitted",ISNUMBER(V175)),IF(V175&gt;CFG_MAXD,1,0),0)</f>
        <v>0</v>
      </c>
    </row>
    <row r="176">
      <c r="A176" s="71" t="str">
        <f>IF(Y176=1,ROW()-5,"")</f>
        <v/>
      </c>
      <c r="B176" s="72" t="n"/>
      <c r="C176" s="71" t="str">
        <f>IF(ISNUMBER(B176),CHOOSE(WEEKDAY(B176,2),"Lun","Mar","Mié","Jue","Vie","Sáb","Dom"),"")</f>
        <v/>
      </c>
      <c r="D176" s="73" t="n"/>
      <c r="E176" s="74" t="n"/>
      <c r="F176" s="74" t="n"/>
      <c r="G176" s="74" t="n"/>
      <c r="H176" s="75" t="n"/>
      <c r="I176" s="75" t="n"/>
      <c r="J176" s="76" t="n"/>
      <c r="K176" s="77" t="str">
        <f>IF(AB176=1,ROUND(AG176/60,4),"")</f>
        <v/>
      </c>
      <c r="L176" s="77" t="str">
        <f>IF(BD176=1,ROUND(AP176/60,4),"")</f>
        <v/>
      </c>
      <c r="M176" s="77" t="str">
        <f>IF(BD176=1,ROUND(AQ176/60,4),"")</f>
        <v/>
      </c>
      <c r="N176" s="71" t="str">
        <f>IF(AND(D176="proMX",AB176=1),ROUND(AG176/CFG_BLK,2),"")</f>
        <v/>
      </c>
      <c r="O176" s="77" t="str">
        <f>IF(D176="proMX",IF(BD176=1,ROUND(AG176/60,4),0),"")</f>
        <v/>
      </c>
      <c r="P176" s="78" t="str">
        <f>IF(Y176=0,"",IF(BD176=1,"OK",IF(D176="proMX","Revisar bloques: ","Revisar: ")&amp;BC176))</f>
        <v/>
      </c>
      <c r="Q176" s="78" t="str">
        <f>IF(NOT(ISNUMBER(B176)),"",IF(COUNTIFS(FER_F,INT(B176))&gt;0,"Feriado"&amp;IF(AH176=1," (laborable)"," (no laborable)"),IF(AH176=1,"Laborable",IF(WEEKDAY(B176,2)&gt;5,"Fin de semana","No laborable"))))</f>
        <v/>
      </c>
      <c r="R176" s="73" t="n"/>
      <c r="S176" s="72" t="n"/>
      <c r="T176" s="72" t="n"/>
      <c r="U176" s="74" t="n"/>
      <c r="V176" s="79" t="str">
        <f>IF(AND(D176="proMX",OR(R176="Submitted",R176="Recall Requested"),ISNUMBER(S176)),CFG_TODAY-INT(S176),"")</f>
        <v/>
      </c>
      <c r="W176" s="78" t="str">
        <f>IF(BD176=0,"",IF(BA176&gt;0,"⚠ Se superpone con un registro de la otra empresa",IF(D176="Malcolm",IF(COUNTA(R176,S176,T176)&gt;0,"Estado/fechas proMX se ignoran en Malcolm",""),IF(BF176="Cancelled","Cancelado: excluido de totales",IF(R176="","Sin estado: se trata como Draft",IF(BF176="Submitted",IF(ISNUMBER(V176),IF(V176&gt;CFG_MAXD,"⚠ "&amp;V176&amp;" días en Submitted (máx. "&amp;CFG_MAXD&amp;")",""),"Falta fecha de envío"),IF(BF176="Returned","⚠ Devuelto: corregir y reenviar",IF(BF176="Recall Requested","Retirada solicitada: pendiente",IF(AND(BF176="Approved",NOT(ISNUMBER(T176))),"Falta fecha de aprobación",IF(AND(ISNUMBER(S176),ISNUMBER(T176),T176&lt;S176),"Aprobación anterior al envío","")))))))))</f>
        <v/>
      </c>
      <c r="Y176" s="80">
        <f>IF(COUNTA(B176,D176,E176,F176,G176,H176,I176,J176,R176,S176,T176)&gt;0,1,0)</f>
        <v>0</v>
      </c>
      <c r="Z176" s="80" t="str">
        <f>IF(AND(ISNUMBER(H176),H176&gt;=0,H176&lt;1),ROUND(H176*1440,0),"")</f>
        <v/>
      </c>
      <c r="AA176" s="80" t="str">
        <f>IF(AND(ISNUMBER(I176),I176&gt;=0,I176&lt;1),ROUND(I176*1440,0),"")</f>
        <v/>
      </c>
      <c r="AB176" s="80">
        <f>IF(AND(ISNUMBER(B176),D176&lt;&gt;"",ISNUMBER(Z176),ISNUMBER(AA176)),IF(Z176=AA176,0,1),0)</f>
        <v>0</v>
      </c>
      <c r="AC176" s="80">
        <f>IF(AB176=1,IF(AA176&lt;Z176,1,0),0)</f>
        <v>0</v>
      </c>
      <c r="AD176" s="80">
        <f>IF(AB176=1,IF(AC176=1,1440-Z176+AA176,AA176-Z176),0)</f>
        <v>0</v>
      </c>
      <c r="AE176" s="80">
        <f>IF(J176="",0,IF(ISNUMBER(J176),J176,-1))</f>
        <v>0</v>
      </c>
      <c r="AF176" s="80">
        <f>MIN(MAX(0,AE176),AD176)</f>
        <v>0</v>
      </c>
      <c r="AG176" s="80">
        <f>MAX(0,AD176-MAX(0,AE176))</f>
        <v>0</v>
      </c>
      <c r="AH176" s="80">
        <f>IF(ISNUMBER(B176),IF(AND(INDEX(CFG_WDAYS,WEEKDAY(INT(B176),2))="Sí",IF(D176="proMX",COUNTIFS(FER_F,INT(B176),FER_NLP,"Sí"),COUNTIFS(FER_F,INT(B176),FER_NLM,"Sí"))=0),1,0),0)</f>
        <v>0</v>
      </c>
      <c r="AI176" s="80">
        <f>IF(AC176=1,IF(AND(INDEX(CFG_WDAYS,WEEKDAY(INT(B176)+1,2))="Sí",IF(D176="proMX",COUNTIFS(FER_F,INT(B176)+1,FER_NLP,"Sí"),COUNTIFS(FER_F,INT(B176)+1,FER_NLM,"Sí"))=0),1,0),0)</f>
        <v>0</v>
      </c>
      <c r="AJ176" s="80">
        <f>IF(AC176=1,1440-Z176,AD176)</f>
        <v>0</v>
      </c>
      <c r="AK176" s="80">
        <f>IF(AND(AB176=1,AH176=1),MAX(0,MIN(IF(AC176=1,1440,AA176),CFG_WEM)-MAX(Z176,CFG_WSM)),0)</f>
        <v>0</v>
      </c>
      <c r="AL176" s="80">
        <f>IF(AND(AC176=1,AI176=1),MAX(0,MIN(AA176,CFG_WEM)-CFG_WSM),0)</f>
        <v>0</v>
      </c>
      <c r="AM176" s="80">
        <f>AK176+AL176</f>
        <v>0</v>
      </c>
      <c r="AN176" s="80">
        <f>IF(CFG_BRK="Proporcional",IF(AD176=0,0,AF176*AM176/AD176),IF(CFG_BRK="Extras primero",MIN(AM176,MAX(0,AF176-(AD176-AM176))),MIN(AF176,AM176)))</f>
        <v>0</v>
      </c>
      <c r="AO176" s="80">
        <f>AF176-AN176</f>
        <v>0</v>
      </c>
      <c r="AP176" s="80">
        <f>AM176-AN176</f>
        <v>0</v>
      </c>
      <c r="AQ176" s="80">
        <f>AD176-AM176-AO176</f>
        <v>0</v>
      </c>
      <c r="AR176" s="80">
        <f>IF(AM176=0,0,AK176-AN176*AK176/AM176)</f>
        <v>0</v>
      </c>
      <c r="AS176" s="80">
        <f>IF(AD176-AM176=0,0,(AJ176-AK176)-AO176*(AJ176-AK176)/(AD176-AM176))</f>
        <v>0</v>
      </c>
      <c r="AT176" s="80" t="str">
        <f>IF(AC176=1,INT(B176)+1,"")</f>
        <v/>
      </c>
      <c r="AU176" s="80">
        <f>IF(AND(D176="proMX",R176="Cancelled"),0,1)</f>
        <v>1</v>
      </c>
      <c r="AV176" s="80">
        <f>IF(AND(AB176=1,AU176=1),IF(COUNTIFS($D$5:D175,D176,$B$5:B175,B176,$Z$5:Z175,Z176,$AA$5:AA175,AA176,$F$5:F175,F176&amp;"",$AU$5:AU175,1)&gt;0,1,0),0)</f>
        <v>0</v>
      </c>
      <c r="AW176" s="80" t="str">
        <f>IF(AB176=1,INT(B176)*1440+Z176,"")</f>
        <v/>
      </c>
      <c r="AX176" s="80" t="str">
        <f>IF(AB176=1,AW176+AD176,"")</f>
        <v/>
      </c>
      <c r="AY176" s="80">
        <f>IF(AND(AB176=1,AV176=0,AU176=1),1,0)</f>
        <v>0</v>
      </c>
      <c r="AZ176" s="80">
        <f>IF(AY176=1,COUNTIFS(R_Emp,D176,R_SAbs,"&lt;"&amp;AX176,R_EAbs,"&gt;"&amp;AW176,R_OKey,1)-1,0)</f>
        <v>0</v>
      </c>
      <c r="BA176" s="80">
        <f>IF(AY176=1,COUNTIFS(R_Emp,"&lt;&gt;"&amp;D176,R_SAbs,"&lt;"&amp;AX176,R_EAbs,"&gt;"&amp;AW176,R_OKey,1),0)</f>
        <v>0</v>
      </c>
      <c r="BB176" s="80">
        <f>IF(AND(AB176=1,D176="proMX"),IF(AND(MOD(Z176,CFG_BLK)=0,MOD(AA176,CFG_BLK)=0,MOD(AG176,CFG_BLK)=0,AG176&gt;0),1,0),1)</f>
        <v>1</v>
      </c>
      <c r="BC176" s="80" t="str">
        <f>IF(Y176=0,"",IF(NOT(ISNUMBER(B176)),"Falta fecha o fecha inválida",IF(D176="","Falta empresa",IF(AND(D176&lt;&gt;"Malcolm",D176&lt;&gt;"proMX"),"Empresa inválida",IF(OR(INT(B176)&lt;CFG_PSTART,INT(B176)&gt;CFG_PEND),"Fecha fuera del período",IF(OR(NOT(ISNUMBER(Z176)),NOT(ISNUMBER(AA176))),"Falta hora inicio/fin o formato inválido",IF(AB176=0,"Hora inicio = hora fin",IF(AE176&lt;0,"Descanso inválido",IF(AE176&gt;=AD176,"Descanso ≥ duración",IF(AV176=1,"Registro duplicado",IF(AZ176&gt;0,"Se superpone con otro registro "&amp;D176,IF(BB176=0,"inicio, fin y duración neta deben ser múltiplos de "&amp;CFG_BLK&amp;" min",""))))))))))))</f>
        <v/>
      </c>
      <c r="BD176" s="80">
        <f>IF(AND(Y176=1,BC176=""),1,0)</f>
        <v>0</v>
      </c>
      <c r="BE176" s="80">
        <f>IF(AND(BD176=1,AU176=1),1,0)</f>
        <v>0</v>
      </c>
      <c r="BF176" s="80" t="str">
        <f>IF(AND(D176="proMX",BD176=1),IF(R176="","Draft",R176),"")</f>
        <v/>
      </c>
      <c r="BG176" s="80">
        <f>IF(BD176=1,ROUND(AG176/60,6),0)</f>
        <v>0</v>
      </c>
      <c r="BH176" s="80">
        <f>IF(BE176=1,ROUND(AG176/60,6),0)</f>
        <v>0</v>
      </c>
      <c r="BI176" s="80">
        <f>IF(BE176=1,ROUND(AP176/60,6),0)</f>
        <v>0</v>
      </c>
      <c r="BJ176" s="80">
        <f>IF(BE176=1,ROUND(AQ176/60,6),0)</f>
        <v>0</v>
      </c>
      <c r="BK176" s="80">
        <f>IF(BE176=1,ROUND((AR176+AS176)/60,6),0)</f>
        <v>0</v>
      </c>
      <c r="BL176" s="80">
        <f>ROUND(BH176-BK176,6)</f>
        <v>0</v>
      </c>
      <c r="BM176" s="80">
        <f>IF(BE176=1,ROUND(AR176/60,6),0)</f>
        <v>0</v>
      </c>
      <c r="BN176" s="80">
        <f>ROUND(BI176-BM176,6)</f>
        <v>0</v>
      </c>
      <c r="BO176" s="80">
        <f>IF(BE176=1,ROUND(AS176/60,6),0)</f>
        <v>0</v>
      </c>
      <c r="BP176" s="80">
        <f>ROUND(BJ176-BO176,6)</f>
        <v>0</v>
      </c>
      <c r="BQ176" s="80">
        <f>IF(BE176=1,AW176,0)</f>
        <v>0</v>
      </c>
      <c r="BR176" s="80">
        <f>IF(BE176=1,AX176,0)</f>
        <v>0</v>
      </c>
      <c r="BS176" s="80">
        <f>IF(AND(BE176=1,D176="Malcolm",BA176&gt;0),MIN(BH176,SUMPRODUCT((R_Emp="proMX")*(R_EN&gt;0)*((R_EN-(R_EN&gt;BR176)*(R_EN-BR176))&gt;(R_SN+(R_SN&lt;BQ176)*(BQ176-R_SN)))*((R_EN-(R_EN&gt;BR176)*(R_EN-BR176))-(R_SN+(R_SN&lt;BQ176)*(BQ176-R_SN))))/60),0)</f>
        <v>0</v>
      </c>
      <c r="BT176" s="80">
        <f>IF(AND(BE176=1,D176="proMX"),ROUND(BI176*CFG_RATE+BJ176*CFG_OTRATE,6),0)</f>
        <v>0</v>
      </c>
      <c r="BU176" s="80">
        <f>IF(AND(BD176=1,D176="proMX"),ROUND(AG176/CFG_BLK,6),0)</f>
        <v>0</v>
      </c>
      <c r="BV176" s="80" t="str">
        <f>IF(BF176="Approved",IF(ISNUMBER(T176),INT(T176),INT(B176)),"")</f>
        <v/>
      </c>
      <c r="BW176" s="80">
        <f>IF(ISNUMBER(B176),IF(DB_MON="Todos",1,IF(AND(INT(B176)&gt;=DB_MS,INT(B176)&lt;=DB_ME),1,0)),0)</f>
        <v>0</v>
      </c>
      <c r="BX176" s="80">
        <f>IF(DB_PROJ="Todos",1,IF(E176&amp;""=DB_PROJ&amp;"",1,0))</f>
        <v>1</v>
      </c>
      <c r="BY176" s="80">
        <f>BW176*BX176</f>
        <v>0</v>
      </c>
      <c r="BZ176" s="80" t="str">
        <f>IF(Y176=1,F176&amp;IF(AND(F176&amp;""&lt;&gt;"",E176&amp;""&lt;&gt;"")," · ","")&amp;E176,"")</f>
        <v/>
      </c>
      <c r="CA176" s="80" t="str">
        <f>IF(AND(BD176=1,E176&amp;""&lt;&gt;""),IF(COUNTIFS($E$5:E175,E176,$BD$5:BD175,1)=0,MAX($CA$5:CA175)+1,""),"")</f>
        <v/>
      </c>
      <c r="CB176" s="80" t="str">
        <f>IF(AND(BE176=1,D176="Malcolm",E176&amp;""&lt;&gt;""),IF(COUNTIFS($D$5:D175,"Malcolm",$E$5:E175,E176,$BE$5:BE175,1)=0,MAX($CB$5:CB175)+1,""),"")</f>
        <v/>
      </c>
      <c r="CC176" s="80" t="str">
        <f>IF(AND(BD176=1,D176="proMX",E176&amp;""&lt;&gt;""),IF(COUNTIFS($D$5:D175,"proMX",$E$5:E175,E176,$BD$5:BD175,1)=0,MAX($CC$5:CC175)+1,""),"")</f>
        <v/>
      </c>
      <c r="CD176" s="80" t="str">
        <f>IF(AND(BE176=1,D176="Malcolm",F176&amp;""&lt;&gt;""),IF(COUNTIFS($D$5:D175,"Malcolm",$F$5:F175,F176,$BE$5:BE175,1)=0,MAX($CD$5:CD175)+1,""),"")</f>
        <v/>
      </c>
      <c r="CE176" s="80" t="str">
        <f>IF(AND(BD176=1,D176="proMX",F176&amp;""&lt;&gt;""),IF(COUNTIFS($D$5:D175,"proMX",$F$5:F175,F176,$BD$5:BD175,1)=0,MAX($CE$5:CE175)+1,""),"")</f>
        <v/>
      </c>
      <c r="CF176" s="80" t="str">
        <f>IF(AND(D176="proMX",BD176=1),IF(OR(BF176="Draft",BF176="Submitted",BF176="Returned",BF176="Recall Requested"),MAX($CF$5:CF175)+1,""),"")</f>
        <v/>
      </c>
      <c r="CG176" s="80">
        <f>IF(BD176=0,0,IF(D176="Malcolm",1,MATCH(BF176,{"Draft","Submitted","Approved","Returned","Recall Requested","Cancelled"},0)+1))</f>
        <v>0</v>
      </c>
      <c r="CH176" s="80">
        <f>IF(AND(BF176="Submitted",ISNUMBER(V176)),IF(V176&gt;CFG_MAXD,1,0),0)</f>
        <v>0</v>
      </c>
    </row>
    <row r="177">
      <c r="A177" s="71" t="str">
        <f>IF(Y177=1,ROW()-5,"")</f>
        <v/>
      </c>
      <c r="B177" s="72" t="n"/>
      <c r="C177" s="71" t="str">
        <f>IF(ISNUMBER(B177),CHOOSE(WEEKDAY(B177,2),"Lun","Mar","Mié","Jue","Vie","Sáb","Dom"),"")</f>
        <v/>
      </c>
      <c r="D177" s="73" t="n"/>
      <c r="E177" s="74" t="n"/>
      <c r="F177" s="74" t="n"/>
      <c r="G177" s="74" t="n"/>
      <c r="H177" s="75" t="n"/>
      <c r="I177" s="75" t="n"/>
      <c r="J177" s="76" t="n"/>
      <c r="K177" s="77" t="str">
        <f>IF(AB177=1,ROUND(AG177/60,4),"")</f>
        <v/>
      </c>
      <c r="L177" s="77" t="str">
        <f>IF(BD177=1,ROUND(AP177/60,4),"")</f>
        <v/>
      </c>
      <c r="M177" s="77" t="str">
        <f>IF(BD177=1,ROUND(AQ177/60,4),"")</f>
        <v/>
      </c>
      <c r="N177" s="71" t="str">
        <f>IF(AND(D177="proMX",AB177=1),ROUND(AG177/CFG_BLK,2),"")</f>
        <v/>
      </c>
      <c r="O177" s="77" t="str">
        <f>IF(D177="proMX",IF(BD177=1,ROUND(AG177/60,4),0),"")</f>
        <v/>
      </c>
      <c r="P177" s="78" t="str">
        <f>IF(Y177=0,"",IF(BD177=1,"OK",IF(D177="proMX","Revisar bloques: ","Revisar: ")&amp;BC177))</f>
        <v/>
      </c>
      <c r="Q177" s="78" t="str">
        <f>IF(NOT(ISNUMBER(B177)),"",IF(COUNTIFS(FER_F,INT(B177))&gt;0,"Feriado"&amp;IF(AH177=1," (laborable)"," (no laborable)"),IF(AH177=1,"Laborable",IF(WEEKDAY(B177,2)&gt;5,"Fin de semana","No laborable"))))</f>
        <v/>
      </c>
      <c r="R177" s="73" t="n"/>
      <c r="S177" s="72" t="n"/>
      <c r="T177" s="72" t="n"/>
      <c r="U177" s="74" t="n"/>
      <c r="V177" s="79" t="str">
        <f>IF(AND(D177="proMX",OR(R177="Submitted",R177="Recall Requested"),ISNUMBER(S177)),CFG_TODAY-INT(S177),"")</f>
        <v/>
      </c>
      <c r="W177" s="78" t="str">
        <f>IF(BD177=0,"",IF(BA177&gt;0,"⚠ Se superpone con un registro de la otra empresa",IF(D177="Malcolm",IF(COUNTA(R177,S177,T177)&gt;0,"Estado/fechas proMX se ignoran en Malcolm",""),IF(BF177="Cancelled","Cancelado: excluido de totales",IF(R177="","Sin estado: se trata como Draft",IF(BF177="Submitted",IF(ISNUMBER(V177),IF(V177&gt;CFG_MAXD,"⚠ "&amp;V177&amp;" días en Submitted (máx. "&amp;CFG_MAXD&amp;")",""),"Falta fecha de envío"),IF(BF177="Returned","⚠ Devuelto: corregir y reenviar",IF(BF177="Recall Requested","Retirada solicitada: pendiente",IF(AND(BF177="Approved",NOT(ISNUMBER(T177))),"Falta fecha de aprobación",IF(AND(ISNUMBER(S177),ISNUMBER(T177),T177&lt;S177),"Aprobación anterior al envío","")))))))))</f>
        <v/>
      </c>
      <c r="Y177" s="80">
        <f>IF(COUNTA(B177,D177,E177,F177,G177,H177,I177,J177,R177,S177,T177)&gt;0,1,0)</f>
        <v>0</v>
      </c>
      <c r="Z177" s="80" t="str">
        <f>IF(AND(ISNUMBER(H177),H177&gt;=0,H177&lt;1),ROUND(H177*1440,0),"")</f>
        <v/>
      </c>
      <c r="AA177" s="80" t="str">
        <f>IF(AND(ISNUMBER(I177),I177&gt;=0,I177&lt;1),ROUND(I177*1440,0),"")</f>
        <v/>
      </c>
      <c r="AB177" s="80">
        <f>IF(AND(ISNUMBER(B177),D177&lt;&gt;"",ISNUMBER(Z177),ISNUMBER(AA177)),IF(Z177=AA177,0,1),0)</f>
        <v>0</v>
      </c>
      <c r="AC177" s="80">
        <f>IF(AB177=1,IF(AA177&lt;Z177,1,0),0)</f>
        <v>0</v>
      </c>
      <c r="AD177" s="80">
        <f>IF(AB177=1,IF(AC177=1,1440-Z177+AA177,AA177-Z177),0)</f>
        <v>0</v>
      </c>
      <c r="AE177" s="80">
        <f>IF(J177="",0,IF(ISNUMBER(J177),J177,-1))</f>
        <v>0</v>
      </c>
      <c r="AF177" s="80">
        <f>MIN(MAX(0,AE177),AD177)</f>
        <v>0</v>
      </c>
      <c r="AG177" s="80">
        <f>MAX(0,AD177-MAX(0,AE177))</f>
        <v>0</v>
      </c>
      <c r="AH177" s="80">
        <f>IF(ISNUMBER(B177),IF(AND(INDEX(CFG_WDAYS,WEEKDAY(INT(B177),2))="Sí",IF(D177="proMX",COUNTIFS(FER_F,INT(B177),FER_NLP,"Sí"),COUNTIFS(FER_F,INT(B177),FER_NLM,"Sí"))=0),1,0),0)</f>
        <v>0</v>
      </c>
      <c r="AI177" s="80">
        <f>IF(AC177=1,IF(AND(INDEX(CFG_WDAYS,WEEKDAY(INT(B177)+1,2))="Sí",IF(D177="proMX",COUNTIFS(FER_F,INT(B177)+1,FER_NLP,"Sí"),COUNTIFS(FER_F,INT(B177)+1,FER_NLM,"Sí"))=0),1,0),0)</f>
        <v>0</v>
      </c>
      <c r="AJ177" s="80">
        <f>IF(AC177=1,1440-Z177,AD177)</f>
        <v>0</v>
      </c>
      <c r="AK177" s="80">
        <f>IF(AND(AB177=1,AH177=1),MAX(0,MIN(IF(AC177=1,1440,AA177),CFG_WEM)-MAX(Z177,CFG_WSM)),0)</f>
        <v>0</v>
      </c>
      <c r="AL177" s="80">
        <f>IF(AND(AC177=1,AI177=1),MAX(0,MIN(AA177,CFG_WEM)-CFG_WSM),0)</f>
        <v>0</v>
      </c>
      <c r="AM177" s="80">
        <f>AK177+AL177</f>
        <v>0</v>
      </c>
      <c r="AN177" s="80">
        <f>IF(CFG_BRK="Proporcional",IF(AD177=0,0,AF177*AM177/AD177),IF(CFG_BRK="Extras primero",MIN(AM177,MAX(0,AF177-(AD177-AM177))),MIN(AF177,AM177)))</f>
        <v>0</v>
      </c>
      <c r="AO177" s="80">
        <f>AF177-AN177</f>
        <v>0</v>
      </c>
      <c r="AP177" s="80">
        <f>AM177-AN177</f>
        <v>0</v>
      </c>
      <c r="AQ177" s="80">
        <f>AD177-AM177-AO177</f>
        <v>0</v>
      </c>
      <c r="AR177" s="80">
        <f>IF(AM177=0,0,AK177-AN177*AK177/AM177)</f>
        <v>0</v>
      </c>
      <c r="AS177" s="80">
        <f>IF(AD177-AM177=0,0,(AJ177-AK177)-AO177*(AJ177-AK177)/(AD177-AM177))</f>
        <v>0</v>
      </c>
      <c r="AT177" s="80" t="str">
        <f>IF(AC177=1,INT(B177)+1,"")</f>
        <v/>
      </c>
      <c r="AU177" s="80">
        <f>IF(AND(D177="proMX",R177="Cancelled"),0,1)</f>
        <v>1</v>
      </c>
      <c r="AV177" s="80">
        <f>IF(AND(AB177=1,AU177=1),IF(COUNTIFS($D$5:D176,D177,$B$5:B176,B177,$Z$5:Z176,Z177,$AA$5:AA176,AA177,$F$5:F176,F177&amp;"",$AU$5:AU176,1)&gt;0,1,0),0)</f>
        <v>0</v>
      </c>
      <c r="AW177" s="80" t="str">
        <f>IF(AB177=1,INT(B177)*1440+Z177,"")</f>
        <v/>
      </c>
      <c r="AX177" s="80" t="str">
        <f>IF(AB177=1,AW177+AD177,"")</f>
        <v/>
      </c>
      <c r="AY177" s="80">
        <f>IF(AND(AB177=1,AV177=0,AU177=1),1,0)</f>
        <v>0</v>
      </c>
      <c r="AZ177" s="80">
        <f>IF(AY177=1,COUNTIFS(R_Emp,D177,R_SAbs,"&lt;"&amp;AX177,R_EAbs,"&gt;"&amp;AW177,R_OKey,1)-1,0)</f>
        <v>0</v>
      </c>
      <c r="BA177" s="80">
        <f>IF(AY177=1,COUNTIFS(R_Emp,"&lt;&gt;"&amp;D177,R_SAbs,"&lt;"&amp;AX177,R_EAbs,"&gt;"&amp;AW177,R_OKey,1),0)</f>
        <v>0</v>
      </c>
      <c r="BB177" s="80">
        <f>IF(AND(AB177=1,D177="proMX"),IF(AND(MOD(Z177,CFG_BLK)=0,MOD(AA177,CFG_BLK)=0,MOD(AG177,CFG_BLK)=0,AG177&gt;0),1,0),1)</f>
        <v>1</v>
      </c>
      <c r="BC177" s="80" t="str">
        <f>IF(Y177=0,"",IF(NOT(ISNUMBER(B177)),"Falta fecha o fecha inválida",IF(D177="","Falta empresa",IF(AND(D177&lt;&gt;"Malcolm",D177&lt;&gt;"proMX"),"Empresa inválida",IF(OR(INT(B177)&lt;CFG_PSTART,INT(B177)&gt;CFG_PEND),"Fecha fuera del período",IF(OR(NOT(ISNUMBER(Z177)),NOT(ISNUMBER(AA177))),"Falta hora inicio/fin o formato inválido",IF(AB177=0,"Hora inicio = hora fin",IF(AE177&lt;0,"Descanso inválido",IF(AE177&gt;=AD177,"Descanso ≥ duración",IF(AV177=1,"Registro duplicado",IF(AZ177&gt;0,"Se superpone con otro registro "&amp;D177,IF(BB177=0,"inicio, fin y duración neta deben ser múltiplos de "&amp;CFG_BLK&amp;" min",""))))))))))))</f>
        <v/>
      </c>
      <c r="BD177" s="80">
        <f>IF(AND(Y177=1,BC177=""),1,0)</f>
        <v>0</v>
      </c>
      <c r="BE177" s="80">
        <f>IF(AND(BD177=1,AU177=1),1,0)</f>
        <v>0</v>
      </c>
      <c r="BF177" s="80" t="str">
        <f>IF(AND(D177="proMX",BD177=1),IF(R177="","Draft",R177),"")</f>
        <v/>
      </c>
      <c r="BG177" s="80">
        <f>IF(BD177=1,ROUND(AG177/60,6),0)</f>
        <v>0</v>
      </c>
      <c r="BH177" s="80">
        <f>IF(BE177=1,ROUND(AG177/60,6),0)</f>
        <v>0</v>
      </c>
      <c r="BI177" s="80">
        <f>IF(BE177=1,ROUND(AP177/60,6),0)</f>
        <v>0</v>
      </c>
      <c r="BJ177" s="80">
        <f>IF(BE177=1,ROUND(AQ177/60,6),0)</f>
        <v>0</v>
      </c>
      <c r="BK177" s="80">
        <f>IF(BE177=1,ROUND((AR177+AS177)/60,6),0)</f>
        <v>0</v>
      </c>
      <c r="BL177" s="80">
        <f>ROUND(BH177-BK177,6)</f>
        <v>0</v>
      </c>
      <c r="BM177" s="80">
        <f>IF(BE177=1,ROUND(AR177/60,6),0)</f>
        <v>0</v>
      </c>
      <c r="BN177" s="80">
        <f>ROUND(BI177-BM177,6)</f>
        <v>0</v>
      </c>
      <c r="BO177" s="80">
        <f>IF(BE177=1,ROUND(AS177/60,6),0)</f>
        <v>0</v>
      </c>
      <c r="BP177" s="80">
        <f>ROUND(BJ177-BO177,6)</f>
        <v>0</v>
      </c>
      <c r="BQ177" s="80">
        <f>IF(BE177=1,AW177,0)</f>
        <v>0</v>
      </c>
      <c r="BR177" s="80">
        <f>IF(BE177=1,AX177,0)</f>
        <v>0</v>
      </c>
      <c r="BS177" s="80">
        <f>IF(AND(BE177=1,D177="Malcolm",BA177&gt;0),MIN(BH177,SUMPRODUCT((R_Emp="proMX")*(R_EN&gt;0)*((R_EN-(R_EN&gt;BR177)*(R_EN-BR177))&gt;(R_SN+(R_SN&lt;BQ177)*(BQ177-R_SN)))*((R_EN-(R_EN&gt;BR177)*(R_EN-BR177))-(R_SN+(R_SN&lt;BQ177)*(BQ177-R_SN))))/60),0)</f>
        <v>0</v>
      </c>
      <c r="BT177" s="80">
        <f>IF(AND(BE177=1,D177="proMX"),ROUND(BI177*CFG_RATE+BJ177*CFG_OTRATE,6),0)</f>
        <v>0</v>
      </c>
      <c r="BU177" s="80">
        <f>IF(AND(BD177=1,D177="proMX"),ROUND(AG177/CFG_BLK,6),0)</f>
        <v>0</v>
      </c>
      <c r="BV177" s="80" t="str">
        <f>IF(BF177="Approved",IF(ISNUMBER(T177),INT(T177),INT(B177)),"")</f>
        <v/>
      </c>
      <c r="BW177" s="80">
        <f>IF(ISNUMBER(B177),IF(DB_MON="Todos",1,IF(AND(INT(B177)&gt;=DB_MS,INT(B177)&lt;=DB_ME),1,0)),0)</f>
        <v>0</v>
      </c>
      <c r="BX177" s="80">
        <f>IF(DB_PROJ="Todos",1,IF(E177&amp;""=DB_PROJ&amp;"",1,0))</f>
        <v>1</v>
      </c>
      <c r="BY177" s="80">
        <f>BW177*BX177</f>
        <v>0</v>
      </c>
      <c r="BZ177" s="80" t="str">
        <f>IF(Y177=1,F177&amp;IF(AND(F177&amp;""&lt;&gt;"",E177&amp;""&lt;&gt;"")," · ","")&amp;E177,"")</f>
        <v/>
      </c>
      <c r="CA177" s="80" t="str">
        <f>IF(AND(BD177=1,E177&amp;""&lt;&gt;""),IF(COUNTIFS($E$5:E176,E177,$BD$5:BD176,1)=0,MAX($CA$5:CA176)+1,""),"")</f>
        <v/>
      </c>
      <c r="CB177" s="80" t="str">
        <f>IF(AND(BE177=1,D177="Malcolm",E177&amp;""&lt;&gt;""),IF(COUNTIFS($D$5:D176,"Malcolm",$E$5:E176,E177,$BE$5:BE176,1)=0,MAX($CB$5:CB176)+1,""),"")</f>
        <v/>
      </c>
      <c r="CC177" s="80" t="str">
        <f>IF(AND(BD177=1,D177="proMX",E177&amp;""&lt;&gt;""),IF(COUNTIFS($D$5:D176,"proMX",$E$5:E176,E177,$BD$5:BD176,1)=0,MAX($CC$5:CC176)+1,""),"")</f>
        <v/>
      </c>
      <c r="CD177" s="80" t="str">
        <f>IF(AND(BE177=1,D177="Malcolm",F177&amp;""&lt;&gt;""),IF(COUNTIFS($D$5:D176,"Malcolm",$F$5:F176,F177,$BE$5:BE176,1)=0,MAX($CD$5:CD176)+1,""),"")</f>
        <v/>
      </c>
      <c r="CE177" s="80" t="str">
        <f>IF(AND(BD177=1,D177="proMX",F177&amp;""&lt;&gt;""),IF(COUNTIFS($D$5:D176,"proMX",$F$5:F176,F177,$BD$5:BD176,1)=0,MAX($CE$5:CE176)+1,""),"")</f>
        <v/>
      </c>
      <c r="CF177" s="80" t="str">
        <f>IF(AND(D177="proMX",BD177=1),IF(OR(BF177="Draft",BF177="Submitted",BF177="Returned",BF177="Recall Requested"),MAX($CF$5:CF176)+1,""),"")</f>
        <v/>
      </c>
      <c r="CG177" s="80">
        <f>IF(BD177=0,0,IF(D177="Malcolm",1,MATCH(BF177,{"Draft","Submitted","Approved","Returned","Recall Requested","Cancelled"},0)+1))</f>
        <v>0</v>
      </c>
      <c r="CH177" s="80">
        <f>IF(AND(BF177="Submitted",ISNUMBER(V177)),IF(V177&gt;CFG_MAXD,1,0),0)</f>
        <v>0</v>
      </c>
    </row>
    <row r="178">
      <c r="A178" s="71" t="str">
        <f>IF(Y178=1,ROW()-5,"")</f>
        <v/>
      </c>
      <c r="B178" s="72" t="n"/>
      <c r="C178" s="71" t="str">
        <f>IF(ISNUMBER(B178),CHOOSE(WEEKDAY(B178,2),"Lun","Mar","Mié","Jue","Vie","Sáb","Dom"),"")</f>
        <v/>
      </c>
      <c r="D178" s="73" t="n"/>
      <c r="E178" s="74" t="n"/>
      <c r="F178" s="74" t="n"/>
      <c r="G178" s="74" t="n"/>
      <c r="H178" s="75" t="n"/>
      <c r="I178" s="75" t="n"/>
      <c r="J178" s="76" t="n"/>
      <c r="K178" s="77" t="str">
        <f>IF(AB178=1,ROUND(AG178/60,4),"")</f>
        <v/>
      </c>
      <c r="L178" s="77" t="str">
        <f>IF(BD178=1,ROUND(AP178/60,4),"")</f>
        <v/>
      </c>
      <c r="M178" s="77" t="str">
        <f>IF(BD178=1,ROUND(AQ178/60,4),"")</f>
        <v/>
      </c>
      <c r="N178" s="71" t="str">
        <f>IF(AND(D178="proMX",AB178=1),ROUND(AG178/CFG_BLK,2),"")</f>
        <v/>
      </c>
      <c r="O178" s="77" t="str">
        <f>IF(D178="proMX",IF(BD178=1,ROUND(AG178/60,4),0),"")</f>
        <v/>
      </c>
      <c r="P178" s="78" t="str">
        <f>IF(Y178=0,"",IF(BD178=1,"OK",IF(D178="proMX","Revisar bloques: ","Revisar: ")&amp;BC178))</f>
        <v/>
      </c>
      <c r="Q178" s="78" t="str">
        <f>IF(NOT(ISNUMBER(B178)),"",IF(COUNTIFS(FER_F,INT(B178))&gt;0,"Feriado"&amp;IF(AH178=1," (laborable)"," (no laborable)"),IF(AH178=1,"Laborable",IF(WEEKDAY(B178,2)&gt;5,"Fin de semana","No laborable"))))</f>
        <v/>
      </c>
      <c r="R178" s="73" t="n"/>
      <c r="S178" s="72" t="n"/>
      <c r="T178" s="72" t="n"/>
      <c r="U178" s="74" t="n"/>
      <c r="V178" s="79" t="str">
        <f>IF(AND(D178="proMX",OR(R178="Submitted",R178="Recall Requested"),ISNUMBER(S178)),CFG_TODAY-INT(S178),"")</f>
        <v/>
      </c>
      <c r="W178" s="78" t="str">
        <f>IF(BD178=0,"",IF(BA178&gt;0,"⚠ Se superpone con un registro de la otra empresa",IF(D178="Malcolm",IF(COUNTA(R178,S178,T178)&gt;0,"Estado/fechas proMX se ignoran en Malcolm",""),IF(BF178="Cancelled","Cancelado: excluido de totales",IF(R178="","Sin estado: se trata como Draft",IF(BF178="Submitted",IF(ISNUMBER(V178),IF(V178&gt;CFG_MAXD,"⚠ "&amp;V178&amp;" días en Submitted (máx. "&amp;CFG_MAXD&amp;")",""),"Falta fecha de envío"),IF(BF178="Returned","⚠ Devuelto: corregir y reenviar",IF(BF178="Recall Requested","Retirada solicitada: pendiente",IF(AND(BF178="Approved",NOT(ISNUMBER(T178))),"Falta fecha de aprobación",IF(AND(ISNUMBER(S178),ISNUMBER(T178),T178&lt;S178),"Aprobación anterior al envío","")))))))))</f>
        <v/>
      </c>
      <c r="Y178" s="80">
        <f>IF(COUNTA(B178,D178,E178,F178,G178,H178,I178,J178,R178,S178,T178)&gt;0,1,0)</f>
        <v>0</v>
      </c>
      <c r="Z178" s="80" t="str">
        <f>IF(AND(ISNUMBER(H178),H178&gt;=0,H178&lt;1),ROUND(H178*1440,0),"")</f>
        <v/>
      </c>
      <c r="AA178" s="80" t="str">
        <f>IF(AND(ISNUMBER(I178),I178&gt;=0,I178&lt;1),ROUND(I178*1440,0),"")</f>
        <v/>
      </c>
      <c r="AB178" s="80">
        <f>IF(AND(ISNUMBER(B178),D178&lt;&gt;"",ISNUMBER(Z178),ISNUMBER(AA178)),IF(Z178=AA178,0,1),0)</f>
        <v>0</v>
      </c>
      <c r="AC178" s="80">
        <f>IF(AB178=1,IF(AA178&lt;Z178,1,0),0)</f>
        <v>0</v>
      </c>
      <c r="AD178" s="80">
        <f>IF(AB178=1,IF(AC178=1,1440-Z178+AA178,AA178-Z178),0)</f>
        <v>0</v>
      </c>
      <c r="AE178" s="80">
        <f>IF(J178="",0,IF(ISNUMBER(J178),J178,-1))</f>
        <v>0</v>
      </c>
      <c r="AF178" s="80">
        <f>MIN(MAX(0,AE178),AD178)</f>
        <v>0</v>
      </c>
      <c r="AG178" s="80">
        <f>MAX(0,AD178-MAX(0,AE178))</f>
        <v>0</v>
      </c>
      <c r="AH178" s="80">
        <f>IF(ISNUMBER(B178),IF(AND(INDEX(CFG_WDAYS,WEEKDAY(INT(B178),2))="Sí",IF(D178="proMX",COUNTIFS(FER_F,INT(B178),FER_NLP,"Sí"),COUNTIFS(FER_F,INT(B178),FER_NLM,"Sí"))=0),1,0),0)</f>
        <v>0</v>
      </c>
      <c r="AI178" s="80">
        <f>IF(AC178=1,IF(AND(INDEX(CFG_WDAYS,WEEKDAY(INT(B178)+1,2))="Sí",IF(D178="proMX",COUNTIFS(FER_F,INT(B178)+1,FER_NLP,"Sí"),COUNTIFS(FER_F,INT(B178)+1,FER_NLM,"Sí"))=0),1,0),0)</f>
        <v>0</v>
      </c>
      <c r="AJ178" s="80">
        <f>IF(AC178=1,1440-Z178,AD178)</f>
        <v>0</v>
      </c>
      <c r="AK178" s="80">
        <f>IF(AND(AB178=1,AH178=1),MAX(0,MIN(IF(AC178=1,1440,AA178),CFG_WEM)-MAX(Z178,CFG_WSM)),0)</f>
        <v>0</v>
      </c>
      <c r="AL178" s="80">
        <f>IF(AND(AC178=1,AI178=1),MAX(0,MIN(AA178,CFG_WEM)-CFG_WSM),0)</f>
        <v>0</v>
      </c>
      <c r="AM178" s="80">
        <f>AK178+AL178</f>
        <v>0</v>
      </c>
      <c r="AN178" s="80">
        <f>IF(CFG_BRK="Proporcional",IF(AD178=0,0,AF178*AM178/AD178),IF(CFG_BRK="Extras primero",MIN(AM178,MAX(0,AF178-(AD178-AM178))),MIN(AF178,AM178)))</f>
        <v>0</v>
      </c>
      <c r="AO178" s="80">
        <f>AF178-AN178</f>
        <v>0</v>
      </c>
      <c r="AP178" s="80">
        <f>AM178-AN178</f>
        <v>0</v>
      </c>
      <c r="AQ178" s="80">
        <f>AD178-AM178-AO178</f>
        <v>0</v>
      </c>
      <c r="AR178" s="80">
        <f>IF(AM178=0,0,AK178-AN178*AK178/AM178)</f>
        <v>0</v>
      </c>
      <c r="AS178" s="80">
        <f>IF(AD178-AM178=0,0,(AJ178-AK178)-AO178*(AJ178-AK178)/(AD178-AM178))</f>
        <v>0</v>
      </c>
      <c r="AT178" s="80" t="str">
        <f>IF(AC178=1,INT(B178)+1,"")</f>
        <v/>
      </c>
      <c r="AU178" s="80">
        <f>IF(AND(D178="proMX",R178="Cancelled"),0,1)</f>
        <v>1</v>
      </c>
      <c r="AV178" s="80">
        <f>IF(AND(AB178=1,AU178=1),IF(COUNTIFS($D$5:D177,D178,$B$5:B177,B178,$Z$5:Z177,Z178,$AA$5:AA177,AA178,$F$5:F177,F178&amp;"",$AU$5:AU177,1)&gt;0,1,0),0)</f>
        <v>0</v>
      </c>
      <c r="AW178" s="80" t="str">
        <f>IF(AB178=1,INT(B178)*1440+Z178,"")</f>
        <v/>
      </c>
      <c r="AX178" s="80" t="str">
        <f>IF(AB178=1,AW178+AD178,"")</f>
        <v/>
      </c>
      <c r="AY178" s="80">
        <f>IF(AND(AB178=1,AV178=0,AU178=1),1,0)</f>
        <v>0</v>
      </c>
      <c r="AZ178" s="80">
        <f>IF(AY178=1,COUNTIFS(R_Emp,D178,R_SAbs,"&lt;"&amp;AX178,R_EAbs,"&gt;"&amp;AW178,R_OKey,1)-1,0)</f>
        <v>0</v>
      </c>
      <c r="BA178" s="80">
        <f>IF(AY178=1,COUNTIFS(R_Emp,"&lt;&gt;"&amp;D178,R_SAbs,"&lt;"&amp;AX178,R_EAbs,"&gt;"&amp;AW178,R_OKey,1),0)</f>
        <v>0</v>
      </c>
      <c r="BB178" s="80">
        <f>IF(AND(AB178=1,D178="proMX"),IF(AND(MOD(Z178,CFG_BLK)=0,MOD(AA178,CFG_BLK)=0,MOD(AG178,CFG_BLK)=0,AG178&gt;0),1,0),1)</f>
        <v>1</v>
      </c>
      <c r="BC178" s="80" t="str">
        <f>IF(Y178=0,"",IF(NOT(ISNUMBER(B178)),"Falta fecha o fecha inválida",IF(D178="","Falta empresa",IF(AND(D178&lt;&gt;"Malcolm",D178&lt;&gt;"proMX"),"Empresa inválida",IF(OR(INT(B178)&lt;CFG_PSTART,INT(B178)&gt;CFG_PEND),"Fecha fuera del período",IF(OR(NOT(ISNUMBER(Z178)),NOT(ISNUMBER(AA178))),"Falta hora inicio/fin o formato inválido",IF(AB178=0,"Hora inicio = hora fin",IF(AE178&lt;0,"Descanso inválido",IF(AE178&gt;=AD178,"Descanso ≥ duración",IF(AV178=1,"Registro duplicado",IF(AZ178&gt;0,"Se superpone con otro registro "&amp;D178,IF(BB178=0,"inicio, fin y duración neta deben ser múltiplos de "&amp;CFG_BLK&amp;" min",""))))))))))))</f>
        <v/>
      </c>
      <c r="BD178" s="80">
        <f>IF(AND(Y178=1,BC178=""),1,0)</f>
        <v>0</v>
      </c>
      <c r="BE178" s="80">
        <f>IF(AND(BD178=1,AU178=1),1,0)</f>
        <v>0</v>
      </c>
      <c r="BF178" s="80" t="str">
        <f>IF(AND(D178="proMX",BD178=1),IF(R178="","Draft",R178),"")</f>
        <v/>
      </c>
      <c r="BG178" s="80">
        <f>IF(BD178=1,ROUND(AG178/60,6),0)</f>
        <v>0</v>
      </c>
      <c r="BH178" s="80">
        <f>IF(BE178=1,ROUND(AG178/60,6),0)</f>
        <v>0</v>
      </c>
      <c r="BI178" s="80">
        <f>IF(BE178=1,ROUND(AP178/60,6),0)</f>
        <v>0</v>
      </c>
      <c r="BJ178" s="80">
        <f>IF(BE178=1,ROUND(AQ178/60,6),0)</f>
        <v>0</v>
      </c>
      <c r="BK178" s="80">
        <f>IF(BE178=1,ROUND((AR178+AS178)/60,6),0)</f>
        <v>0</v>
      </c>
      <c r="BL178" s="80">
        <f>ROUND(BH178-BK178,6)</f>
        <v>0</v>
      </c>
      <c r="BM178" s="80">
        <f>IF(BE178=1,ROUND(AR178/60,6),0)</f>
        <v>0</v>
      </c>
      <c r="BN178" s="80">
        <f>ROUND(BI178-BM178,6)</f>
        <v>0</v>
      </c>
      <c r="BO178" s="80">
        <f>IF(BE178=1,ROUND(AS178/60,6),0)</f>
        <v>0</v>
      </c>
      <c r="BP178" s="80">
        <f>ROUND(BJ178-BO178,6)</f>
        <v>0</v>
      </c>
      <c r="BQ178" s="80">
        <f>IF(BE178=1,AW178,0)</f>
        <v>0</v>
      </c>
      <c r="BR178" s="80">
        <f>IF(BE178=1,AX178,0)</f>
        <v>0</v>
      </c>
      <c r="BS178" s="80">
        <f>IF(AND(BE178=1,D178="Malcolm",BA178&gt;0),MIN(BH178,SUMPRODUCT((R_Emp="proMX")*(R_EN&gt;0)*((R_EN-(R_EN&gt;BR178)*(R_EN-BR178))&gt;(R_SN+(R_SN&lt;BQ178)*(BQ178-R_SN)))*((R_EN-(R_EN&gt;BR178)*(R_EN-BR178))-(R_SN+(R_SN&lt;BQ178)*(BQ178-R_SN))))/60),0)</f>
        <v>0</v>
      </c>
      <c r="BT178" s="80">
        <f>IF(AND(BE178=1,D178="proMX"),ROUND(BI178*CFG_RATE+BJ178*CFG_OTRATE,6),0)</f>
        <v>0</v>
      </c>
      <c r="BU178" s="80">
        <f>IF(AND(BD178=1,D178="proMX"),ROUND(AG178/CFG_BLK,6),0)</f>
        <v>0</v>
      </c>
      <c r="BV178" s="80" t="str">
        <f>IF(BF178="Approved",IF(ISNUMBER(T178),INT(T178),INT(B178)),"")</f>
        <v/>
      </c>
      <c r="BW178" s="80">
        <f>IF(ISNUMBER(B178),IF(DB_MON="Todos",1,IF(AND(INT(B178)&gt;=DB_MS,INT(B178)&lt;=DB_ME),1,0)),0)</f>
        <v>0</v>
      </c>
      <c r="BX178" s="80">
        <f>IF(DB_PROJ="Todos",1,IF(E178&amp;""=DB_PROJ&amp;"",1,0))</f>
        <v>1</v>
      </c>
      <c r="BY178" s="80">
        <f>BW178*BX178</f>
        <v>0</v>
      </c>
      <c r="BZ178" s="80" t="str">
        <f>IF(Y178=1,F178&amp;IF(AND(F178&amp;""&lt;&gt;"",E178&amp;""&lt;&gt;"")," · ","")&amp;E178,"")</f>
        <v/>
      </c>
      <c r="CA178" s="80" t="str">
        <f>IF(AND(BD178=1,E178&amp;""&lt;&gt;""),IF(COUNTIFS($E$5:E177,E178,$BD$5:BD177,1)=0,MAX($CA$5:CA177)+1,""),"")</f>
        <v/>
      </c>
      <c r="CB178" s="80" t="str">
        <f>IF(AND(BE178=1,D178="Malcolm",E178&amp;""&lt;&gt;""),IF(COUNTIFS($D$5:D177,"Malcolm",$E$5:E177,E178,$BE$5:BE177,1)=0,MAX($CB$5:CB177)+1,""),"")</f>
        <v/>
      </c>
      <c r="CC178" s="80" t="str">
        <f>IF(AND(BD178=1,D178="proMX",E178&amp;""&lt;&gt;""),IF(COUNTIFS($D$5:D177,"proMX",$E$5:E177,E178,$BD$5:BD177,1)=0,MAX($CC$5:CC177)+1,""),"")</f>
        <v/>
      </c>
      <c r="CD178" s="80" t="str">
        <f>IF(AND(BE178=1,D178="Malcolm",F178&amp;""&lt;&gt;""),IF(COUNTIFS($D$5:D177,"Malcolm",$F$5:F177,F178,$BE$5:BE177,1)=0,MAX($CD$5:CD177)+1,""),"")</f>
        <v/>
      </c>
      <c r="CE178" s="80" t="str">
        <f>IF(AND(BD178=1,D178="proMX",F178&amp;""&lt;&gt;""),IF(COUNTIFS($D$5:D177,"proMX",$F$5:F177,F178,$BD$5:BD177,1)=0,MAX($CE$5:CE177)+1,""),"")</f>
        <v/>
      </c>
      <c r="CF178" s="80" t="str">
        <f>IF(AND(D178="proMX",BD178=1),IF(OR(BF178="Draft",BF178="Submitted",BF178="Returned",BF178="Recall Requested"),MAX($CF$5:CF177)+1,""),"")</f>
        <v/>
      </c>
      <c r="CG178" s="80">
        <f>IF(BD178=0,0,IF(D178="Malcolm",1,MATCH(BF178,{"Draft","Submitted","Approved","Returned","Recall Requested","Cancelled"},0)+1))</f>
        <v>0</v>
      </c>
      <c r="CH178" s="80">
        <f>IF(AND(BF178="Submitted",ISNUMBER(V178)),IF(V178&gt;CFG_MAXD,1,0),0)</f>
        <v>0</v>
      </c>
    </row>
    <row r="179">
      <c r="A179" s="71" t="str">
        <f>IF(Y179=1,ROW()-5,"")</f>
        <v/>
      </c>
      <c r="B179" s="72" t="n"/>
      <c r="C179" s="71" t="str">
        <f>IF(ISNUMBER(B179),CHOOSE(WEEKDAY(B179,2),"Lun","Mar","Mié","Jue","Vie","Sáb","Dom"),"")</f>
        <v/>
      </c>
      <c r="D179" s="73" t="n"/>
      <c r="E179" s="74" t="n"/>
      <c r="F179" s="74" t="n"/>
      <c r="G179" s="74" t="n"/>
      <c r="H179" s="75" t="n"/>
      <c r="I179" s="75" t="n"/>
      <c r="J179" s="76" t="n"/>
      <c r="K179" s="77" t="str">
        <f>IF(AB179=1,ROUND(AG179/60,4),"")</f>
        <v/>
      </c>
      <c r="L179" s="77" t="str">
        <f>IF(BD179=1,ROUND(AP179/60,4),"")</f>
        <v/>
      </c>
      <c r="M179" s="77" t="str">
        <f>IF(BD179=1,ROUND(AQ179/60,4),"")</f>
        <v/>
      </c>
      <c r="N179" s="71" t="str">
        <f>IF(AND(D179="proMX",AB179=1),ROUND(AG179/CFG_BLK,2),"")</f>
        <v/>
      </c>
      <c r="O179" s="77" t="str">
        <f>IF(D179="proMX",IF(BD179=1,ROUND(AG179/60,4),0),"")</f>
        <v/>
      </c>
      <c r="P179" s="78" t="str">
        <f>IF(Y179=0,"",IF(BD179=1,"OK",IF(D179="proMX","Revisar bloques: ","Revisar: ")&amp;BC179))</f>
        <v/>
      </c>
      <c r="Q179" s="78" t="str">
        <f>IF(NOT(ISNUMBER(B179)),"",IF(COUNTIFS(FER_F,INT(B179))&gt;0,"Feriado"&amp;IF(AH179=1," (laborable)"," (no laborable)"),IF(AH179=1,"Laborable",IF(WEEKDAY(B179,2)&gt;5,"Fin de semana","No laborable"))))</f>
        <v/>
      </c>
      <c r="R179" s="73" t="n"/>
      <c r="S179" s="72" t="n"/>
      <c r="T179" s="72" t="n"/>
      <c r="U179" s="74" t="n"/>
      <c r="V179" s="79" t="str">
        <f>IF(AND(D179="proMX",OR(R179="Submitted",R179="Recall Requested"),ISNUMBER(S179)),CFG_TODAY-INT(S179),"")</f>
        <v/>
      </c>
      <c r="W179" s="78" t="str">
        <f>IF(BD179=0,"",IF(BA179&gt;0,"⚠ Se superpone con un registro de la otra empresa",IF(D179="Malcolm",IF(COUNTA(R179,S179,T179)&gt;0,"Estado/fechas proMX se ignoran en Malcolm",""),IF(BF179="Cancelled","Cancelado: excluido de totales",IF(R179="","Sin estado: se trata como Draft",IF(BF179="Submitted",IF(ISNUMBER(V179),IF(V179&gt;CFG_MAXD,"⚠ "&amp;V179&amp;" días en Submitted (máx. "&amp;CFG_MAXD&amp;")",""),"Falta fecha de envío"),IF(BF179="Returned","⚠ Devuelto: corregir y reenviar",IF(BF179="Recall Requested","Retirada solicitada: pendiente",IF(AND(BF179="Approved",NOT(ISNUMBER(T179))),"Falta fecha de aprobación",IF(AND(ISNUMBER(S179),ISNUMBER(T179),T179&lt;S179),"Aprobación anterior al envío","")))))))))</f>
        <v/>
      </c>
      <c r="Y179" s="80">
        <f>IF(COUNTA(B179,D179,E179,F179,G179,H179,I179,J179,R179,S179,T179)&gt;0,1,0)</f>
        <v>0</v>
      </c>
      <c r="Z179" s="80" t="str">
        <f>IF(AND(ISNUMBER(H179),H179&gt;=0,H179&lt;1),ROUND(H179*1440,0),"")</f>
        <v/>
      </c>
      <c r="AA179" s="80" t="str">
        <f>IF(AND(ISNUMBER(I179),I179&gt;=0,I179&lt;1),ROUND(I179*1440,0),"")</f>
        <v/>
      </c>
      <c r="AB179" s="80">
        <f>IF(AND(ISNUMBER(B179),D179&lt;&gt;"",ISNUMBER(Z179),ISNUMBER(AA179)),IF(Z179=AA179,0,1),0)</f>
        <v>0</v>
      </c>
      <c r="AC179" s="80">
        <f>IF(AB179=1,IF(AA179&lt;Z179,1,0),0)</f>
        <v>0</v>
      </c>
      <c r="AD179" s="80">
        <f>IF(AB179=1,IF(AC179=1,1440-Z179+AA179,AA179-Z179),0)</f>
        <v>0</v>
      </c>
      <c r="AE179" s="80">
        <f>IF(J179="",0,IF(ISNUMBER(J179),J179,-1))</f>
        <v>0</v>
      </c>
      <c r="AF179" s="80">
        <f>MIN(MAX(0,AE179),AD179)</f>
        <v>0</v>
      </c>
      <c r="AG179" s="80">
        <f>MAX(0,AD179-MAX(0,AE179))</f>
        <v>0</v>
      </c>
      <c r="AH179" s="80">
        <f>IF(ISNUMBER(B179),IF(AND(INDEX(CFG_WDAYS,WEEKDAY(INT(B179),2))="Sí",IF(D179="proMX",COUNTIFS(FER_F,INT(B179),FER_NLP,"Sí"),COUNTIFS(FER_F,INT(B179),FER_NLM,"Sí"))=0),1,0),0)</f>
        <v>0</v>
      </c>
      <c r="AI179" s="80">
        <f>IF(AC179=1,IF(AND(INDEX(CFG_WDAYS,WEEKDAY(INT(B179)+1,2))="Sí",IF(D179="proMX",COUNTIFS(FER_F,INT(B179)+1,FER_NLP,"Sí"),COUNTIFS(FER_F,INT(B179)+1,FER_NLM,"Sí"))=0),1,0),0)</f>
        <v>0</v>
      </c>
      <c r="AJ179" s="80">
        <f>IF(AC179=1,1440-Z179,AD179)</f>
        <v>0</v>
      </c>
      <c r="AK179" s="80">
        <f>IF(AND(AB179=1,AH179=1),MAX(0,MIN(IF(AC179=1,1440,AA179),CFG_WEM)-MAX(Z179,CFG_WSM)),0)</f>
        <v>0</v>
      </c>
      <c r="AL179" s="80">
        <f>IF(AND(AC179=1,AI179=1),MAX(0,MIN(AA179,CFG_WEM)-CFG_WSM),0)</f>
        <v>0</v>
      </c>
      <c r="AM179" s="80">
        <f>AK179+AL179</f>
        <v>0</v>
      </c>
      <c r="AN179" s="80">
        <f>IF(CFG_BRK="Proporcional",IF(AD179=0,0,AF179*AM179/AD179),IF(CFG_BRK="Extras primero",MIN(AM179,MAX(0,AF179-(AD179-AM179))),MIN(AF179,AM179)))</f>
        <v>0</v>
      </c>
      <c r="AO179" s="80">
        <f>AF179-AN179</f>
        <v>0</v>
      </c>
      <c r="AP179" s="80">
        <f>AM179-AN179</f>
        <v>0</v>
      </c>
      <c r="AQ179" s="80">
        <f>AD179-AM179-AO179</f>
        <v>0</v>
      </c>
      <c r="AR179" s="80">
        <f>IF(AM179=0,0,AK179-AN179*AK179/AM179)</f>
        <v>0</v>
      </c>
      <c r="AS179" s="80">
        <f>IF(AD179-AM179=0,0,(AJ179-AK179)-AO179*(AJ179-AK179)/(AD179-AM179))</f>
        <v>0</v>
      </c>
      <c r="AT179" s="80" t="str">
        <f>IF(AC179=1,INT(B179)+1,"")</f>
        <v/>
      </c>
      <c r="AU179" s="80">
        <f>IF(AND(D179="proMX",R179="Cancelled"),0,1)</f>
        <v>1</v>
      </c>
      <c r="AV179" s="80">
        <f>IF(AND(AB179=1,AU179=1),IF(COUNTIFS($D$5:D178,D179,$B$5:B178,B179,$Z$5:Z178,Z179,$AA$5:AA178,AA179,$F$5:F178,F179&amp;"",$AU$5:AU178,1)&gt;0,1,0),0)</f>
        <v>0</v>
      </c>
      <c r="AW179" s="80" t="str">
        <f>IF(AB179=1,INT(B179)*1440+Z179,"")</f>
        <v/>
      </c>
      <c r="AX179" s="80" t="str">
        <f>IF(AB179=1,AW179+AD179,"")</f>
        <v/>
      </c>
      <c r="AY179" s="80">
        <f>IF(AND(AB179=1,AV179=0,AU179=1),1,0)</f>
        <v>0</v>
      </c>
      <c r="AZ179" s="80">
        <f>IF(AY179=1,COUNTIFS(R_Emp,D179,R_SAbs,"&lt;"&amp;AX179,R_EAbs,"&gt;"&amp;AW179,R_OKey,1)-1,0)</f>
        <v>0</v>
      </c>
      <c r="BA179" s="80">
        <f>IF(AY179=1,COUNTIFS(R_Emp,"&lt;&gt;"&amp;D179,R_SAbs,"&lt;"&amp;AX179,R_EAbs,"&gt;"&amp;AW179,R_OKey,1),0)</f>
        <v>0</v>
      </c>
      <c r="BB179" s="80">
        <f>IF(AND(AB179=1,D179="proMX"),IF(AND(MOD(Z179,CFG_BLK)=0,MOD(AA179,CFG_BLK)=0,MOD(AG179,CFG_BLK)=0,AG179&gt;0),1,0),1)</f>
        <v>1</v>
      </c>
      <c r="BC179" s="80" t="str">
        <f>IF(Y179=0,"",IF(NOT(ISNUMBER(B179)),"Falta fecha o fecha inválida",IF(D179="","Falta empresa",IF(AND(D179&lt;&gt;"Malcolm",D179&lt;&gt;"proMX"),"Empresa inválida",IF(OR(INT(B179)&lt;CFG_PSTART,INT(B179)&gt;CFG_PEND),"Fecha fuera del período",IF(OR(NOT(ISNUMBER(Z179)),NOT(ISNUMBER(AA179))),"Falta hora inicio/fin o formato inválido",IF(AB179=0,"Hora inicio = hora fin",IF(AE179&lt;0,"Descanso inválido",IF(AE179&gt;=AD179,"Descanso ≥ duración",IF(AV179=1,"Registro duplicado",IF(AZ179&gt;0,"Se superpone con otro registro "&amp;D179,IF(BB179=0,"inicio, fin y duración neta deben ser múltiplos de "&amp;CFG_BLK&amp;" min",""))))))))))))</f>
        <v/>
      </c>
      <c r="BD179" s="80">
        <f>IF(AND(Y179=1,BC179=""),1,0)</f>
        <v>0</v>
      </c>
      <c r="BE179" s="80">
        <f>IF(AND(BD179=1,AU179=1),1,0)</f>
        <v>0</v>
      </c>
      <c r="BF179" s="80" t="str">
        <f>IF(AND(D179="proMX",BD179=1),IF(R179="","Draft",R179),"")</f>
        <v/>
      </c>
      <c r="BG179" s="80">
        <f>IF(BD179=1,ROUND(AG179/60,6),0)</f>
        <v>0</v>
      </c>
      <c r="BH179" s="80">
        <f>IF(BE179=1,ROUND(AG179/60,6),0)</f>
        <v>0</v>
      </c>
      <c r="BI179" s="80">
        <f>IF(BE179=1,ROUND(AP179/60,6),0)</f>
        <v>0</v>
      </c>
      <c r="BJ179" s="80">
        <f>IF(BE179=1,ROUND(AQ179/60,6),0)</f>
        <v>0</v>
      </c>
      <c r="BK179" s="80">
        <f>IF(BE179=1,ROUND((AR179+AS179)/60,6),0)</f>
        <v>0</v>
      </c>
      <c r="BL179" s="80">
        <f>ROUND(BH179-BK179,6)</f>
        <v>0</v>
      </c>
      <c r="BM179" s="80">
        <f>IF(BE179=1,ROUND(AR179/60,6),0)</f>
        <v>0</v>
      </c>
      <c r="BN179" s="80">
        <f>ROUND(BI179-BM179,6)</f>
        <v>0</v>
      </c>
      <c r="BO179" s="80">
        <f>IF(BE179=1,ROUND(AS179/60,6),0)</f>
        <v>0</v>
      </c>
      <c r="BP179" s="80">
        <f>ROUND(BJ179-BO179,6)</f>
        <v>0</v>
      </c>
      <c r="BQ179" s="80">
        <f>IF(BE179=1,AW179,0)</f>
        <v>0</v>
      </c>
      <c r="BR179" s="80">
        <f>IF(BE179=1,AX179,0)</f>
        <v>0</v>
      </c>
      <c r="BS179" s="80">
        <f>IF(AND(BE179=1,D179="Malcolm",BA179&gt;0),MIN(BH179,SUMPRODUCT((R_Emp="proMX")*(R_EN&gt;0)*((R_EN-(R_EN&gt;BR179)*(R_EN-BR179))&gt;(R_SN+(R_SN&lt;BQ179)*(BQ179-R_SN)))*((R_EN-(R_EN&gt;BR179)*(R_EN-BR179))-(R_SN+(R_SN&lt;BQ179)*(BQ179-R_SN))))/60),0)</f>
        <v>0</v>
      </c>
      <c r="BT179" s="80">
        <f>IF(AND(BE179=1,D179="proMX"),ROUND(BI179*CFG_RATE+BJ179*CFG_OTRATE,6),0)</f>
        <v>0</v>
      </c>
      <c r="BU179" s="80">
        <f>IF(AND(BD179=1,D179="proMX"),ROUND(AG179/CFG_BLK,6),0)</f>
        <v>0</v>
      </c>
      <c r="BV179" s="80" t="str">
        <f>IF(BF179="Approved",IF(ISNUMBER(T179),INT(T179),INT(B179)),"")</f>
        <v/>
      </c>
      <c r="BW179" s="80">
        <f>IF(ISNUMBER(B179),IF(DB_MON="Todos",1,IF(AND(INT(B179)&gt;=DB_MS,INT(B179)&lt;=DB_ME),1,0)),0)</f>
        <v>0</v>
      </c>
      <c r="BX179" s="80">
        <f>IF(DB_PROJ="Todos",1,IF(E179&amp;""=DB_PROJ&amp;"",1,0))</f>
        <v>1</v>
      </c>
      <c r="BY179" s="80">
        <f>BW179*BX179</f>
        <v>0</v>
      </c>
      <c r="BZ179" s="80" t="str">
        <f>IF(Y179=1,F179&amp;IF(AND(F179&amp;""&lt;&gt;"",E179&amp;""&lt;&gt;"")," · ","")&amp;E179,"")</f>
        <v/>
      </c>
      <c r="CA179" s="80" t="str">
        <f>IF(AND(BD179=1,E179&amp;""&lt;&gt;""),IF(COUNTIFS($E$5:E178,E179,$BD$5:BD178,1)=0,MAX($CA$5:CA178)+1,""),"")</f>
        <v/>
      </c>
      <c r="CB179" s="80" t="str">
        <f>IF(AND(BE179=1,D179="Malcolm",E179&amp;""&lt;&gt;""),IF(COUNTIFS($D$5:D178,"Malcolm",$E$5:E178,E179,$BE$5:BE178,1)=0,MAX($CB$5:CB178)+1,""),"")</f>
        <v/>
      </c>
      <c r="CC179" s="80" t="str">
        <f>IF(AND(BD179=1,D179="proMX",E179&amp;""&lt;&gt;""),IF(COUNTIFS($D$5:D178,"proMX",$E$5:E178,E179,$BD$5:BD178,1)=0,MAX($CC$5:CC178)+1,""),"")</f>
        <v/>
      </c>
      <c r="CD179" s="80" t="str">
        <f>IF(AND(BE179=1,D179="Malcolm",F179&amp;""&lt;&gt;""),IF(COUNTIFS($D$5:D178,"Malcolm",$F$5:F178,F179,$BE$5:BE178,1)=0,MAX($CD$5:CD178)+1,""),"")</f>
        <v/>
      </c>
      <c r="CE179" s="80" t="str">
        <f>IF(AND(BD179=1,D179="proMX",F179&amp;""&lt;&gt;""),IF(COUNTIFS($D$5:D178,"proMX",$F$5:F178,F179,$BD$5:BD178,1)=0,MAX($CE$5:CE178)+1,""),"")</f>
        <v/>
      </c>
      <c r="CF179" s="80" t="str">
        <f>IF(AND(D179="proMX",BD179=1),IF(OR(BF179="Draft",BF179="Submitted",BF179="Returned",BF179="Recall Requested"),MAX($CF$5:CF178)+1,""),"")</f>
        <v/>
      </c>
      <c r="CG179" s="80">
        <f>IF(BD179=0,0,IF(D179="Malcolm",1,MATCH(BF179,{"Draft","Submitted","Approved","Returned","Recall Requested","Cancelled"},0)+1))</f>
        <v>0</v>
      </c>
      <c r="CH179" s="80">
        <f>IF(AND(BF179="Submitted",ISNUMBER(V179)),IF(V179&gt;CFG_MAXD,1,0),0)</f>
        <v>0</v>
      </c>
    </row>
    <row r="180">
      <c r="A180" s="71" t="str">
        <f>IF(Y180=1,ROW()-5,"")</f>
        <v/>
      </c>
      <c r="B180" s="72" t="n"/>
      <c r="C180" s="71" t="str">
        <f>IF(ISNUMBER(B180),CHOOSE(WEEKDAY(B180,2),"Lun","Mar","Mié","Jue","Vie","Sáb","Dom"),"")</f>
        <v/>
      </c>
      <c r="D180" s="73" t="n"/>
      <c r="E180" s="74" t="n"/>
      <c r="F180" s="74" t="n"/>
      <c r="G180" s="74" t="n"/>
      <c r="H180" s="75" t="n"/>
      <c r="I180" s="75" t="n"/>
      <c r="J180" s="76" t="n"/>
      <c r="K180" s="77" t="str">
        <f>IF(AB180=1,ROUND(AG180/60,4),"")</f>
        <v/>
      </c>
      <c r="L180" s="77" t="str">
        <f>IF(BD180=1,ROUND(AP180/60,4),"")</f>
        <v/>
      </c>
      <c r="M180" s="77" t="str">
        <f>IF(BD180=1,ROUND(AQ180/60,4),"")</f>
        <v/>
      </c>
      <c r="N180" s="71" t="str">
        <f>IF(AND(D180="proMX",AB180=1),ROUND(AG180/CFG_BLK,2),"")</f>
        <v/>
      </c>
      <c r="O180" s="77" t="str">
        <f>IF(D180="proMX",IF(BD180=1,ROUND(AG180/60,4),0),"")</f>
        <v/>
      </c>
      <c r="P180" s="78" t="str">
        <f>IF(Y180=0,"",IF(BD180=1,"OK",IF(D180="proMX","Revisar bloques: ","Revisar: ")&amp;BC180))</f>
        <v/>
      </c>
      <c r="Q180" s="78" t="str">
        <f>IF(NOT(ISNUMBER(B180)),"",IF(COUNTIFS(FER_F,INT(B180))&gt;0,"Feriado"&amp;IF(AH180=1," (laborable)"," (no laborable)"),IF(AH180=1,"Laborable",IF(WEEKDAY(B180,2)&gt;5,"Fin de semana","No laborable"))))</f>
        <v/>
      </c>
      <c r="R180" s="73" t="n"/>
      <c r="S180" s="72" t="n"/>
      <c r="T180" s="72" t="n"/>
      <c r="U180" s="74" t="n"/>
      <c r="V180" s="79" t="str">
        <f>IF(AND(D180="proMX",OR(R180="Submitted",R180="Recall Requested"),ISNUMBER(S180)),CFG_TODAY-INT(S180),"")</f>
        <v/>
      </c>
      <c r="W180" s="78" t="str">
        <f>IF(BD180=0,"",IF(BA180&gt;0,"⚠ Se superpone con un registro de la otra empresa",IF(D180="Malcolm",IF(COUNTA(R180,S180,T180)&gt;0,"Estado/fechas proMX se ignoran en Malcolm",""),IF(BF180="Cancelled","Cancelado: excluido de totales",IF(R180="","Sin estado: se trata como Draft",IF(BF180="Submitted",IF(ISNUMBER(V180),IF(V180&gt;CFG_MAXD,"⚠ "&amp;V180&amp;" días en Submitted (máx. "&amp;CFG_MAXD&amp;")",""),"Falta fecha de envío"),IF(BF180="Returned","⚠ Devuelto: corregir y reenviar",IF(BF180="Recall Requested","Retirada solicitada: pendiente",IF(AND(BF180="Approved",NOT(ISNUMBER(T180))),"Falta fecha de aprobación",IF(AND(ISNUMBER(S180),ISNUMBER(T180),T180&lt;S180),"Aprobación anterior al envío","")))))))))</f>
        <v/>
      </c>
      <c r="Y180" s="80">
        <f>IF(COUNTA(B180,D180,E180,F180,G180,H180,I180,J180,R180,S180,T180)&gt;0,1,0)</f>
        <v>0</v>
      </c>
      <c r="Z180" s="80" t="str">
        <f>IF(AND(ISNUMBER(H180),H180&gt;=0,H180&lt;1),ROUND(H180*1440,0),"")</f>
        <v/>
      </c>
      <c r="AA180" s="80" t="str">
        <f>IF(AND(ISNUMBER(I180),I180&gt;=0,I180&lt;1),ROUND(I180*1440,0),"")</f>
        <v/>
      </c>
      <c r="AB180" s="80">
        <f>IF(AND(ISNUMBER(B180),D180&lt;&gt;"",ISNUMBER(Z180),ISNUMBER(AA180)),IF(Z180=AA180,0,1),0)</f>
        <v>0</v>
      </c>
      <c r="AC180" s="80">
        <f>IF(AB180=1,IF(AA180&lt;Z180,1,0),0)</f>
        <v>0</v>
      </c>
      <c r="AD180" s="80">
        <f>IF(AB180=1,IF(AC180=1,1440-Z180+AA180,AA180-Z180),0)</f>
        <v>0</v>
      </c>
      <c r="AE180" s="80">
        <f>IF(J180="",0,IF(ISNUMBER(J180),J180,-1))</f>
        <v>0</v>
      </c>
      <c r="AF180" s="80">
        <f>MIN(MAX(0,AE180),AD180)</f>
        <v>0</v>
      </c>
      <c r="AG180" s="80">
        <f>MAX(0,AD180-MAX(0,AE180))</f>
        <v>0</v>
      </c>
      <c r="AH180" s="80">
        <f>IF(ISNUMBER(B180),IF(AND(INDEX(CFG_WDAYS,WEEKDAY(INT(B180),2))="Sí",IF(D180="proMX",COUNTIFS(FER_F,INT(B180),FER_NLP,"Sí"),COUNTIFS(FER_F,INT(B180),FER_NLM,"Sí"))=0),1,0),0)</f>
        <v>0</v>
      </c>
      <c r="AI180" s="80">
        <f>IF(AC180=1,IF(AND(INDEX(CFG_WDAYS,WEEKDAY(INT(B180)+1,2))="Sí",IF(D180="proMX",COUNTIFS(FER_F,INT(B180)+1,FER_NLP,"Sí"),COUNTIFS(FER_F,INT(B180)+1,FER_NLM,"Sí"))=0),1,0),0)</f>
        <v>0</v>
      </c>
      <c r="AJ180" s="80">
        <f>IF(AC180=1,1440-Z180,AD180)</f>
        <v>0</v>
      </c>
      <c r="AK180" s="80">
        <f>IF(AND(AB180=1,AH180=1),MAX(0,MIN(IF(AC180=1,1440,AA180),CFG_WEM)-MAX(Z180,CFG_WSM)),0)</f>
        <v>0</v>
      </c>
      <c r="AL180" s="80">
        <f>IF(AND(AC180=1,AI180=1),MAX(0,MIN(AA180,CFG_WEM)-CFG_WSM),0)</f>
        <v>0</v>
      </c>
      <c r="AM180" s="80">
        <f>AK180+AL180</f>
        <v>0</v>
      </c>
      <c r="AN180" s="80">
        <f>IF(CFG_BRK="Proporcional",IF(AD180=0,0,AF180*AM180/AD180),IF(CFG_BRK="Extras primero",MIN(AM180,MAX(0,AF180-(AD180-AM180))),MIN(AF180,AM180)))</f>
        <v>0</v>
      </c>
      <c r="AO180" s="80">
        <f>AF180-AN180</f>
        <v>0</v>
      </c>
      <c r="AP180" s="80">
        <f>AM180-AN180</f>
        <v>0</v>
      </c>
      <c r="AQ180" s="80">
        <f>AD180-AM180-AO180</f>
        <v>0</v>
      </c>
      <c r="AR180" s="80">
        <f>IF(AM180=0,0,AK180-AN180*AK180/AM180)</f>
        <v>0</v>
      </c>
      <c r="AS180" s="80">
        <f>IF(AD180-AM180=0,0,(AJ180-AK180)-AO180*(AJ180-AK180)/(AD180-AM180))</f>
        <v>0</v>
      </c>
      <c r="AT180" s="80" t="str">
        <f>IF(AC180=1,INT(B180)+1,"")</f>
        <v/>
      </c>
      <c r="AU180" s="80">
        <f>IF(AND(D180="proMX",R180="Cancelled"),0,1)</f>
        <v>1</v>
      </c>
      <c r="AV180" s="80">
        <f>IF(AND(AB180=1,AU180=1),IF(COUNTIFS($D$5:D179,D180,$B$5:B179,B180,$Z$5:Z179,Z180,$AA$5:AA179,AA180,$F$5:F179,F180&amp;"",$AU$5:AU179,1)&gt;0,1,0),0)</f>
        <v>0</v>
      </c>
      <c r="AW180" s="80" t="str">
        <f>IF(AB180=1,INT(B180)*1440+Z180,"")</f>
        <v/>
      </c>
      <c r="AX180" s="80" t="str">
        <f>IF(AB180=1,AW180+AD180,"")</f>
        <v/>
      </c>
      <c r="AY180" s="80">
        <f>IF(AND(AB180=1,AV180=0,AU180=1),1,0)</f>
        <v>0</v>
      </c>
      <c r="AZ180" s="80">
        <f>IF(AY180=1,COUNTIFS(R_Emp,D180,R_SAbs,"&lt;"&amp;AX180,R_EAbs,"&gt;"&amp;AW180,R_OKey,1)-1,0)</f>
        <v>0</v>
      </c>
      <c r="BA180" s="80">
        <f>IF(AY180=1,COUNTIFS(R_Emp,"&lt;&gt;"&amp;D180,R_SAbs,"&lt;"&amp;AX180,R_EAbs,"&gt;"&amp;AW180,R_OKey,1),0)</f>
        <v>0</v>
      </c>
      <c r="BB180" s="80">
        <f>IF(AND(AB180=1,D180="proMX"),IF(AND(MOD(Z180,CFG_BLK)=0,MOD(AA180,CFG_BLK)=0,MOD(AG180,CFG_BLK)=0,AG180&gt;0),1,0),1)</f>
        <v>1</v>
      </c>
      <c r="BC180" s="80" t="str">
        <f>IF(Y180=0,"",IF(NOT(ISNUMBER(B180)),"Falta fecha o fecha inválida",IF(D180="","Falta empresa",IF(AND(D180&lt;&gt;"Malcolm",D180&lt;&gt;"proMX"),"Empresa inválida",IF(OR(INT(B180)&lt;CFG_PSTART,INT(B180)&gt;CFG_PEND),"Fecha fuera del período",IF(OR(NOT(ISNUMBER(Z180)),NOT(ISNUMBER(AA180))),"Falta hora inicio/fin o formato inválido",IF(AB180=0,"Hora inicio = hora fin",IF(AE180&lt;0,"Descanso inválido",IF(AE180&gt;=AD180,"Descanso ≥ duración",IF(AV180=1,"Registro duplicado",IF(AZ180&gt;0,"Se superpone con otro registro "&amp;D180,IF(BB180=0,"inicio, fin y duración neta deben ser múltiplos de "&amp;CFG_BLK&amp;" min",""))))))))))))</f>
        <v/>
      </c>
      <c r="BD180" s="80">
        <f>IF(AND(Y180=1,BC180=""),1,0)</f>
        <v>0</v>
      </c>
      <c r="BE180" s="80">
        <f>IF(AND(BD180=1,AU180=1),1,0)</f>
        <v>0</v>
      </c>
      <c r="BF180" s="80" t="str">
        <f>IF(AND(D180="proMX",BD180=1),IF(R180="","Draft",R180),"")</f>
        <v/>
      </c>
      <c r="BG180" s="80">
        <f>IF(BD180=1,ROUND(AG180/60,6),0)</f>
        <v>0</v>
      </c>
      <c r="BH180" s="80">
        <f>IF(BE180=1,ROUND(AG180/60,6),0)</f>
        <v>0</v>
      </c>
      <c r="BI180" s="80">
        <f>IF(BE180=1,ROUND(AP180/60,6),0)</f>
        <v>0</v>
      </c>
      <c r="BJ180" s="80">
        <f>IF(BE180=1,ROUND(AQ180/60,6),0)</f>
        <v>0</v>
      </c>
      <c r="BK180" s="80">
        <f>IF(BE180=1,ROUND((AR180+AS180)/60,6),0)</f>
        <v>0</v>
      </c>
      <c r="BL180" s="80">
        <f>ROUND(BH180-BK180,6)</f>
        <v>0</v>
      </c>
      <c r="BM180" s="80">
        <f>IF(BE180=1,ROUND(AR180/60,6),0)</f>
        <v>0</v>
      </c>
      <c r="BN180" s="80">
        <f>ROUND(BI180-BM180,6)</f>
        <v>0</v>
      </c>
      <c r="BO180" s="80">
        <f>IF(BE180=1,ROUND(AS180/60,6),0)</f>
        <v>0</v>
      </c>
      <c r="BP180" s="80">
        <f>ROUND(BJ180-BO180,6)</f>
        <v>0</v>
      </c>
      <c r="BQ180" s="80">
        <f>IF(BE180=1,AW180,0)</f>
        <v>0</v>
      </c>
      <c r="BR180" s="80">
        <f>IF(BE180=1,AX180,0)</f>
        <v>0</v>
      </c>
      <c r="BS180" s="80">
        <f>IF(AND(BE180=1,D180="Malcolm",BA180&gt;0),MIN(BH180,SUMPRODUCT((R_Emp="proMX")*(R_EN&gt;0)*((R_EN-(R_EN&gt;BR180)*(R_EN-BR180))&gt;(R_SN+(R_SN&lt;BQ180)*(BQ180-R_SN)))*((R_EN-(R_EN&gt;BR180)*(R_EN-BR180))-(R_SN+(R_SN&lt;BQ180)*(BQ180-R_SN))))/60),0)</f>
        <v>0</v>
      </c>
      <c r="BT180" s="80">
        <f>IF(AND(BE180=1,D180="proMX"),ROUND(BI180*CFG_RATE+BJ180*CFG_OTRATE,6),0)</f>
        <v>0</v>
      </c>
      <c r="BU180" s="80">
        <f>IF(AND(BD180=1,D180="proMX"),ROUND(AG180/CFG_BLK,6),0)</f>
        <v>0</v>
      </c>
      <c r="BV180" s="80" t="str">
        <f>IF(BF180="Approved",IF(ISNUMBER(T180),INT(T180),INT(B180)),"")</f>
        <v/>
      </c>
      <c r="BW180" s="80">
        <f>IF(ISNUMBER(B180),IF(DB_MON="Todos",1,IF(AND(INT(B180)&gt;=DB_MS,INT(B180)&lt;=DB_ME),1,0)),0)</f>
        <v>0</v>
      </c>
      <c r="BX180" s="80">
        <f>IF(DB_PROJ="Todos",1,IF(E180&amp;""=DB_PROJ&amp;"",1,0))</f>
        <v>1</v>
      </c>
      <c r="BY180" s="80">
        <f>BW180*BX180</f>
        <v>0</v>
      </c>
      <c r="BZ180" s="80" t="str">
        <f>IF(Y180=1,F180&amp;IF(AND(F180&amp;""&lt;&gt;"",E180&amp;""&lt;&gt;"")," · ","")&amp;E180,"")</f>
        <v/>
      </c>
      <c r="CA180" s="80" t="str">
        <f>IF(AND(BD180=1,E180&amp;""&lt;&gt;""),IF(COUNTIFS($E$5:E179,E180,$BD$5:BD179,1)=0,MAX($CA$5:CA179)+1,""),"")</f>
        <v/>
      </c>
      <c r="CB180" s="80" t="str">
        <f>IF(AND(BE180=1,D180="Malcolm",E180&amp;""&lt;&gt;""),IF(COUNTIFS($D$5:D179,"Malcolm",$E$5:E179,E180,$BE$5:BE179,1)=0,MAX($CB$5:CB179)+1,""),"")</f>
        <v/>
      </c>
      <c r="CC180" s="80" t="str">
        <f>IF(AND(BD180=1,D180="proMX",E180&amp;""&lt;&gt;""),IF(COUNTIFS($D$5:D179,"proMX",$E$5:E179,E180,$BD$5:BD179,1)=0,MAX($CC$5:CC179)+1,""),"")</f>
        <v/>
      </c>
      <c r="CD180" s="80" t="str">
        <f>IF(AND(BE180=1,D180="Malcolm",F180&amp;""&lt;&gt;""),IF(COUNTIFS($D$5:D179,"Malcolm",$F$5:F179,F180,$BE$5:BE179,1)=0,MAX($CD$5:CD179)+1,""),"")</f>
        <v/>
      </c>
      <c r="CE180" s="80" t="str">
        <f>IF(AND(BD180=1,D180="proMX",F180&amp;""&lt;&gt;""),IF(COUNTIFS($D$5:D179,"proMX",$F$5:F179,F180,$BD$5:BD179,1)=0,MAX($CE$5:CE179)+1,""),"")</f>
        <v/>
      </c>
      <c r="CF180" s="80" t="str">
        <f>IF(AND(D180="proMX",BD180=1),IF(OR(BF180="Draft",BF180="Submitted",BF180="Returned",BF180="Recall Requested"),MAX($CF$5:CF179)+1,""),"")</f>
        <v/>
      </c>
      <c r="CG180" s="80">
        <f>IF(BD180=0,0,IF(D180="Malcolm",1,MATCH(BF180,{"Draft","Submitted","Approved","Returned","Recall Requested","Cancelled"},0)+1))</f>
        <v>0</v>
      </c>
      <c r="CH180" s="80">
        <f>IF(AND(BF180="Submitted",ISNUMBER(V180)),IF(V180&gt;CFG_MAXD,1,0),0)</f>
        <v>0</v>
      </c>
    </row>
    <row r="181">
      <c r="A181" s="71" t="str">
        <f>IF(Y181=1,ROW()-5,"")</f>
        <v/>
      </c>
      <c r="B181" s="72" t="n"/>
      <c r="C181" s="71" t="str">
        <f>IF(ISNUMBER(B181),CHOOSE(WEEKDAY(B181,2),"Lun","Mar","Mié","Jue","Vie","Sáb","Dom"),"")</f>
        <v/>
      </c>
      <c r="D181" s="73" t="n"/>
      <c r="E181" s="74" t="n"/>
      <c r="F181" s="74" t="n"/>
      <c r="G181" s="74" t="n"/>
      <c r="H181" s="75" t="n"/>
      <c r="I181" s="75" t="n"/>
      <c r="J181" s="76" t="n"/>
      <c r="K181" s="77" t="str">
        <f>IF(AB181=1,ROUND(AG181/60,4),"")</f>
        <v/>
      </c>
      <c r="L181" s="77" t="str">
        <f>IF(BD181=1,ROUND(AP181/60,4),"")</f>
        <v/>
      </c>
      <c r="M181" s="77" t="str">
        <f>IF(BD181=1,ROUND(AQ181/60,4),"")</f>
        <v/>
      </c>
      <c r="N181" s="71" t="str">
        <f>IF(AND(D181="proMX",AB181=1),ROUND(AG181/CFG_BLK,2),"")</f>
        <v/>
      </c>
      <c r="O181" s="77" t="str">
        <f>IF(D181="proMX",IF(BD181=1,ROUND(AG181/60,4),0),"")</f>
        <v/>
      </c>
      <c r="P181" s="78" t="str">
        <f>IF(Y181=0,"",IF(BD181=1,"OK",IF(D181="proMX","Revisar bloques: ","Revisar: ")&amp;BC181))</f>
        <v/>
      </c>
      <c r="Q181" s="78" t="str">
        <f>IF(NOT(ISNUMBER(B181)),"",IF(COUNTIFS(FER_F,INT(B181))&gt;0,"Feriado"&amp;IF(AH181=1," (laborable)"," (no laborable)"),IF(AH181=1,"Laborable",IF(WEEKDAY(B181,2)&gt;5,"Fin de semana","No laborable"))))</f>
        <v/>
      </c>
      <c r="R181" s="73" t="n"/>
      <c r="S181" s="72" t="n"/>
      <c r="T181" s="72" t="n"/>
      <c r="U181" s="74" t="n"/>
      <c r="V181" s="79" t="str">
        <f>IF(AND(D181="proMX",OR(R181="Submitted",R181="Recall Requested"),ISNUMBER(S181)),CFG_TODAY-INT(S181),"")</f>
        <v/>
      </c>
      <c r="W181" s="78" t="str">
        <f>IF(BD181=0,"",IF(BA181&gt;0,"⚠ Se superpone con un registro de la otra empresa",IF(D181="Malcolm",IF(COUNTA(R181,S181,T181)&gt;0,"Estado/fechas proMX se ignoran en Malcolm",""),IF(BF181="Cancelled","Cancelado: excluido de totales",IF(R181="","Sin estado: se trata como Draft",IF(BF181="Submitted",IF(ISNUMBER(V181),IF(V181&gt;CFG_MAXD,"⚠ "&amp;V181&amp;" días en Submitted (máx. "&amp;CFG_MAXD&amp;")",""),"Falta fecha de envío"),IF(BF181="Returned","⚠ Devuelto: corregir y reenviar",IF(BF181="Recall Requested","Retirada solicitada: pendiente",IF(AND(BF181="Approved",NOT(ISNUMBER(T181))),"Falta fecha de aprobación",IF(AND(ISNUMBER(S181),ISNUMBER(T181),T181&lt;S181),"Aprobación anterior al envío","")))))))))</f>
        <v/>
      </c>
      <c r="Y181" s="80">
        <f>IF(COUNTA(B181,D181,E181,F181,G181,H181,I181,J181,R181,S181,T181)&gt;0,1,0)</f>
        <v>0</v>
      </c>
      <c r="Z181" s="80" t="str">
        <f>IF(AND(ISNUMBER(H181),H181&gt;=0,H181&lt;1),ROUND(H181*1440,0),"")</f>
        <v/>
      </c>
      <c r="AA181" s="80" t="str">
        <f>IF(AND(ISNUMBER(I181),I181&gt;=0,I181&lt;1),ROUND(I181*1440,0),"")</f>
        <v/>
      </c>
      <c r="AB181" s="80">
        <f>IF(AND(ISNUMBER(B181),D181&lt;&gt;"",ISNUMBER(Z181),ISNUMBER(AA181)),IF(Z181=AA181,0,1),0)</f>
        <v>0</v>
      </c>
      <c r="AC181" s="80">
        <f>IF(AB181=1,IF(AA181&lt;Z181,1,0),0)</f>
        <v>0</v>
      </c>
      <c r="AD181" s="80">
        <f>IF(AB181=1,IF(AC181=1,1440-Z181+AA181,AA181-Z181),0)</f>
        <v>0</v>
      </c>
      <c r="AE181" s="80">
        <f>IF(J181="",0,IF(ISNUMBER(J181),J181,-1))</f>
        <v>0</v>
      </c>
      <c r="AF181" s="80">
        <f>MIN(MAX(0,AE181),AD181)</f>
        <v>0</v>
      </c>
      <c r="AG181" s="80">
        <f>MAX(0,AD181-MAX(0,AE181))</f>
        <v>0</v>
      </c>
      <c r="AH181" s="80">
        <f>IF(ISNUMBER(B181),IF(AND(INDEX(CFG_WDAYS,WEEKDAY(INT(B181),2))="Sí",IF(D181="proMX",COUNTIFS(FER_F,INT(B181),FER_NLP,"Sí"),COUNTIFS(FER_F,INT(B181),FER_NLM,"Sí"))=0),1,0),0)</f>
        <v>0</v>
      </c>
      <c r="AI181" s="80">
        <f>IF(AC181=1,IF(AND(INDEX(CFG_WDAYS,WEEKDAY(INT(B181)+1,2))="Sí",IF(D181="proMX",COUNTIFS(FER_F,INT(B181)+1,FER_NLP,"Sí"),COUNTIFS(FER_F,INT(B181)+1,FER_NLM,"Sí"))=0),1,0),0)</f>
        <v>0</v>
      </c>
      <c r="AJ181" s="80">
        <f>IF(AC181=1,1440-Z181,AD181)</f>
        <v>0</v>
      </c>
      <c r="AK181" s="80">
        <f>IF(AND(AB181=1,AH181=1),MAX(0,MIN(IF(AC181=1,1440,AA181),CFG_WEM)-MAX(Z181,CFG_WSM)),0)</f>
        <v>0</v>
      </c>
      <c r="AL181" s="80">
        <f>IF(AND(AC181=1,AI181=1),MAX(0,MIN(AA181,CFG_WEM)-CFG_WSM),0)</f>
        <v>0</v>
      </c>
      <c r="AM181" s="80">
        <f>AK181+AL181</f>
        <v>0</v>
      </c>
      <c r="AN181" s="80">
        <f>IF(CFG_BRK="Proporcional",IF(AD181=0,0,AF181*AM181/AD181),IF(CFG_BRK="Extras primero",MIN(AM181,MAX(0,AF181-(AD181-AM181))),MIN(AF181,AM181)))</f>
        <v>0</v>
      </c>
      <c r="AO181" s="80">
        <f>AF181-AN181</f>
        <v>0</v>
      </c>
      <c r="AP181" s="80">
        <f>AM181-AN181</f>
        <v>0</v>
      </c>
      <c r="AQ181" s="80">
        <f>AD181-AM181-AO181</f>
        <v>0</v>
      </c>
      <c r="AR181" s="80">
        <f>IF(AM181=0,0,AK181-AN181*AK181/AM181)</f>
        <v>0</v>
      </c>
      <c r="AS181" s="80">
        <f>IF(AD181-AM181=0,0,(AJ181-AK181)-AO181*(AJ181-AK181)/(AD181-AM181))</f>
        <v>0</v>
      </c>
      <c r="AT181" s="80" t="str">
        <f>IF(AC181=1,INT(B181)+1,"")</f>
        <v/>
      </c>
      <c r="AU181" s="80">
        <f>IF(AND(D181="proMX",R181="Cancelled"),0,1)</f>
        <v>1</v>
      </c>
      <c r="AV181" s="80">
        <f>IF(AND(AB181=1,AU181=1),IF(COUNTIFS($D$5:D180,D181,$B$5:B180,B181,$Z$5:Z180,Z181,$AA$5:AA180,AA181,$F$5:F180,F181&amp;"",$AU$5:AU180,1)&gt;0,1,0),0)</f>
        <v>0</v>
      </c>
      <c r="AW181" s="80" t="str">
        <f>IF(AB181=1,INT(B181)*1440+Z181,"")</f>
        <v/>
      </c>
      <c r="AX181" s="80" t="str">
        <f>IF(AB181=1,AW181+AD181,"")</f>
        <v/>
      </c>
      <c r="AY181" s="80">
        <f>IF(AND(AB181=1,AV181=0,AU181=1),1,0)</f>
        <v>0</v>
      </c>
      <c r="AZ181" s="80">
        <f>IF(AY181=1,COUNTIFS(R_Emp,D181,R_SAbs,"&lt;"&amp;AX181,R_EAbs,"&gt;"&amp;AW181,R_OKey,1)-1,0)</f>
        <v>0</v>
      </c>
      <c r="BA181" s="80">
        <f>IF(AY181=1,COUNTIFS(R_Emp,"&lt;&gt;"&amp;D181,R_SAbs,"&lt;"&amp;AX181,R_EAbs,"&gt;"&amp;AW181,R_OKey,1),0)</f>
        <v>0</v>
      </c>
      <c r="BB181" s="80">
        <f>IF(AND(AB181=1,D181="proMX"),IF(AND(MOD(Z181,CFG_BLK)=0,MOD(AA181,CFG_BLK)=0,MOD(AG181,CFG_BLK)=0,AG181&gt;0),1,0),1)</f>
        <v>1</v>
      </c>
      <c r="BC181" s="80" t="str">
        <f>IF(Y181=0,"",IF(NOT(ISNUMBER(B181)),"Falta fecha o fecha inválida",IF(D181="","Falta empresa",IF(AND(D181&lt;&gt;"Malcolm",D181&lt;&gt;"proMX"),"Empresa inválida",IF(OR(INT(B181)&lt;CFG_PSTART,INT(B181)&gt;CFG_PEND),"Fecha fuera del período",IF(OR(NOT(ISNUMBER(Z181)),NOT(ISNUMBER(AA181))),"Falta hora inicio/fin o formato inválido",IF(AB181=0,"Hora inicio = hora fin",IF(AE181&lt;0,"Descanso inválido",IF(AE181&gt;=AD181,"Descanso ≥ duración",IF(AV181=1,"Registro duplicado",IF(AZ181&gt;0,"Se superpone con otro registro "&amp;D181,IF(BB181=0,"inicio, fin y duración neta deben ser múltiplos de "&amp;CFG_BLK&amp;" min",""))))))))))))</f>
        <v/>
      </c>
      <c r="BD181" s="80">
        <f>IF(AND(Y181=1,BC181=""),1,0)</f>
        <v>0</v>
      </c>
      <c r="BE181" s="80">
        <f>IF(AND(BD181=1,AU181=1),1,0)</f>
        <v>0</v>
      </c>
      <c r="BF181" s="80" t="str">
        <f>IF(AND(D181="proMX",BD181=1),IF(R181="","Draft",R181),"")</f>
        <v/>
      </c>
      <c r="BG181" s="80">
        <f>IF(BD181=1,ROUND(AG181/60,6),0)</f>
        <v>0</v>
      </c>
      <c r="BH181" s="80">
        <f>IF(BE181=1,ROUND(AG181/60,6),0)</f>
        <v>0</v>
      </c>
      <c r="BI181" s="80">
        <f>IF(BE181=1,ROUND(AP181/60,6),0)</f>
        <v>0</v>
      </c>
      <c r="BJ181" s="80">
        <f>IF(BE181=1,ROUND(AQ181/60,6),0)</f>
        <v>0</v>
      </c>
      <c r="BK181" s="80">
        <f>IF(BE181=1,ROUND((AR181+AS181)/60,6),0)</f>
        <v>0</v>
      </c>
      <c r="BL181" s="80">
        <f>ROUND(BH181-BK181,6)</f>
        <v>0</v>
      </c>
      <c r="BM181" s="80">
        <f>IF(BE181=1,ROUND(AR181/60,6),0)</f>
        <v>0</v>
      </c>
      <c r="BN181" s="80">
        <f>ROUND(BI181-BM181,6)</f>
        <v>0</v>
      </c>
      <c r="BO181" s="80">
        <f>IF(BE181=1,ROUND(AS181/60,6),0)</f>
        <v>0</v>
      </c>
      <c r="BP181" s="80">
        <f>ROUND(BJ181-BO181,6)</f>
        <v>0</v>
      </c>
      <c r="BQ181" s="80">
        <f>IF(BE181=1,AW181,0)</f>
        <v>0</v>
      </c>
      <c r="BR181" s="80">
        <f>IF(BE181=1,AX181,0)</f>
        <v>0</v>
      </c>
      <c r="BS181" s="80">
        <f>IF(AND(BE181=1,D181="Malcolm",BA181&gt;0),MIN(BH181,SUMPRODUCT((R_Emp="proMX")*(R_EN&gt;0)*((R_EN-(R_EN&gt;BR181)*(R_EN-BR181))&gt;(R_SN+(R_SN&lt;BQ181)*(BQ181-R_SN)))*((R_EN-(R_EN&gt;BR181)*(R_EN-BR181))-(R_SN+(R_SN&lt;BQ181)*(BQ181-R_SN))))/60),0)</f>
        <v>0</v>
      </c>
      <c r="BT181" s="80">
        <f>IF(AND(BE181=1,D181="proMX"),ROUND(BI181*CFG_RATE+BJ181*CFG_OTRATE,6),0)</f>
        <v>0</v>
      </c>
      <c r="BU181" s="80">
        <f>IF(AND(BD181=1,D181="proMX"),ROUND(AG181/CFG_BLK,6),0)</f>
        <v>0</v>
      </c>
      <c r="BV181" s="80" t="str">
        <f>IF(BF181="Approved",IF(ISNUMBER(T181),INT(T181),INT(B181)),"")</f>
        <v/>
      </c>
      <c r="BW181" s="80">
        <f>IF(ISNUMBER(B181),IF(DB_MON="Todos",1,IF(AND(INT(B181)&gt;=DB_MS,INT(B181)&lt;=DB_ME),1,0)),0)</f>
        <v>0</v>
      </c>
      <c r="BX181" s="80">
        <f>IF(DB_PROJ="Todos",1,IF(E181&amp;""=DB_PROJ&amp;"",1,0))</f>
        <v>1</v>
      </c>
      <c r="BY181" s="80">
        <f>BW181*BX181</f>
        <v>0</v>
      </c>
      <c r="BZ181" s="80" t="str">
        <f>IF(Y181=1,F181&amp;IF(AND(F181&amp;""&lt;&gt;"",E181&amp;""&lt;&gt;"")," · ","")&amp;E181,"")</f>
        <v/>
      </c>
      <c r="CA181" s="80" t="str">
        <f>IF(AND(BD181=1,E181&amp;""&lt;&gt;""),IF(COUNTIFS($E$5:E180,E181,$BD$5:BD180,1)=0,MAX($CA$5:CA180)+1,""),"")</f>
        <v/>
      </c>
      <c r="CB181" s="80" t="str">
        <f>IF(AND(BE181=1,D181="Malcolm",E181&amp;""&lt;&gt;""),IF(COUNTIFS($D$5:D180,"Malcolm",$E$5:E180,E181,$BE$5:BE180,1)=0,MAX($CB$5:CB180)+1,""),"")</f>
        <v/>
      </c>
      <c r="CC181" s="80" t="str">
        <f>IF(AND(BD181=1,D181="proMX",E181&amp;""&lt;&gt;""),IF(COUNTIFS($D$5:D180,"proMX",$E$5:E180,E181,$BD$5:BD180,1)=0,MAX($CC$5:CC180)+1,""),"")</f>
        <v/>
      </c>
      <c r="CD181" s="80" t="str">
        <f>IF(AND(BE181=1,D181="Malcolm",F181&amp;""&lt;&gt;""),IF(COUNTIFS($D$5:D180,"Malcolm",$F$5:F180,F181,$BE$5:BE180,1)=0,MAX($CD$5:CD180)+1,""),"")</f>
        <v/>
      </c>
      <c r="CE181" s="80" t="str">
        <f>IF(AND(BD181=1,D181="proMX",F181&amp;""&lt;&gt;""),IF(COUNTIFS($D$5:D180,"proMX",$F$5:F180,F181,$BD$5:BD180,1)=0,MAX($CE$5:CE180)+1,""),"")</f>
        <v/>
      </c>
      <c r="CF181" s="80" t="str">
        <f>IF(AND(D181="proMX",BD181=1),IF(OR(BF181="Draft",BF181="Submitted",BF181="Returned",BF181="Recall Requested"),MAX($CF$5:CF180)+1,""),"")</f>
        <v/>
      </c>
      <c r="CG181" s="80">
        <f>IF(BD181=0,0,IF(D181="Malcolm",1,MATCH(BF181,{"Draft","Submitted","Approved","Returned","Recall Requested","Cancelled"},0)+1))</f>
        <v>0</v>
      </c>
      <c r="CH181" s="80">
        <f>IF(AND(BF181="Submitted",ISNUMBER(V181)),IF(V181&gt;CFG_MAXD,1,0),0)</f>
        <v>0</v>
      </c>
    </row>
    <row r="182">
      <c r="A182" s="71" t="str">
        <f>IF(Y182=1,ROW()-5,"")</f>
        <v/>
      </c>
      <c r="B182" s="72" t="n"/>
      <c r="C182" s="71" t="str">
        <f>IF(ISNUMBER(B182),CHOOSE(WEEKDAY(B182,2),"Lun","Mar","Mié","Jue","Vie","Sáb","Dom"),"")</f>
        <v/>
      </c>
      <c r="D182" s="73" t="n"/>
      <c r="E182" s="74" t="n"/>
      <c r="F182" s="74" t="n"/>
      <c r="G182" s="74" t="n"/>
      <c r="H182" s="75" t="n"/>
      <c r="I182" s="75" t="n"/>
      <c r="J182" s="76" t="n"/>
      <c r="K182" s="77" t="str">
        <f>IF(AB182=1,ROUND(AG182/60,4),"")</f>
        <v/>
      </c>
      <c r="L182" s="77" t="str">
        <f>IF(BD182=1,ROUND(AP182/60,4),"")</f>
        <v/>
      </c>
      <c r="M182" s="77" t="str">
        <f>IF(BD182=1,ROUND(AQ182/60,4),"")</f>
        <v/>
      </c>
      <c r="N182" s="71" t="str">
        <f>IF(AND(D182="proMX",AB182=1),ROUND(AG182/CFG_BLK,2),"")</f>
        <v/>
      </c>
      <c r="O182" s="77" t="str">
        <f>IF(D182="proMX",IF(BD182=1,ROUND(AG182/60,4),0),"")</f>
        <v/>
      </c>
      <c r="P182" s="78" t="str">
        <f>IF(Y182=0,"",IF(BD182=1,"OK",IF(D182="proMX","Revisar bloques: ","Revisar: ")&amp;BC182))</f>
        <v/>
      </c>
      <c r="Q182" s="78" t="str">
        <f>IF(NOT(ISNUMBER(B182)),"",IF(COUNTIFS(FER_F,INT(B182))&gt;0,"Feriado"&amp;IF(AH182=1," (laborable)"," (no laborable)"),IF(AH182=1,"Laborable",IF(WEEKDAY(B182,2)&gt;5,"Fin de semana","No laborable"))))</f>
        <v/>
      </c>
      <c r="R182" s="73" t="n"/>
      <c r="S182" s="72" t="n"/>
      <c r="T182" s="72" t="n"/>
      <c r="U182" s="74" t="n"/>
      <c r="V182" s="79" t="str">
        <f>IF(AND(D182="proMX",OR(R182="Submitted",R182="Recall Requested"),ISNUMBER(S182)),CFG_TODAY-INT(S182),"")</f>
        <v/>
      </c>
      <c r="W182" s="78" t="str">
        <f>IF(BD182=0,"",IF(BA182&gt;0,"⚠ Se superpone con un registro de la otra empresa",IF(D182="Malcolm",IF(COUNTA(R182,S182,T182)&gt;0,"Estado/fechas proMX se ignoran en Malcolm",""),IF(BF182="Cancelled","Cancelado: excluido de totales",IF(R182="","Sin estado: se trata como Draft",IF(BF182="Submitted",IF(ISNUMBER(V182),IF(V182&gt;CFG_MAXD,"⚠ "&amp;V182&amp;" días en Submitted (máx. "&amp;CFG_MAXD&amp;")",""),"Falta fecha de envío"),IF(BF182="Returned","⚠ Devuelto: corregir y reenviar",IF(BF182="Recall Requested","Retirada solicitada: pendiente",IF(AND(BF182="Approved",NOT(ISNUMBER(T182))),"Falta fecha de aprobación",IF(AND(ISNUMBER(S182),ISNUMBER(T182),T182&lt;S182),"Aprobación anterior al envío","")))))))))</f>
        <v/>
      </c>
      <c r="Y182" s="80">
        <f>IF(COUNTA(B182,D182,E182,F182,G182,H182,I182,J182,R182,S182,T182)&gt;0,1,0)</f>
        <v>0</v>
      </c>
      <c r="Z182" s="80" t="str">
        <f>IF(AND(ISNUMBER(H182),H182&gt;=0,H182&lt;1),ROUND(H182*1440,0),"")</f>
        <v/>
      </c>
      <c r="AA182" s="80" t="str">
        <f>IF(AND(ISNUMBER(I182),I182&gt;=0,I182&lt;1),ROUND(I182*1440,0),"")</f>
        <v/>
      </c>
      <c r="AB182" s="80">
        <f>IF(AND(ISNUMBER(B182),D182&lt;&gt;"",ISNUMBER(Z182),ISNUMBER(AA182)),IF(Z182=AA182,0,1),0)</f>
        <v>0</v>
      </c>
      <c r="AC182" s="80">
        <f>IF(AB182=1,IF(AA182&lt;Z182,1,0),0)</f>
        <v>0</v>
      </c>
      <c r="AD182" s="80">
        <f>IF(AB182=1,IF(AC182=1,1440-Z182+AA182,AA182-Z182),0)</f>
        <v>0</v>
      </c>
      <c r="AE182" s="80">
        <f>IF(J182="",0,IF(ISNUMBER(J182),J182,-1))</f>
        <v>0</v>
      </c>
      <c r="AF182" s="80">
        <f>MIN(MAX(0,AE182),AD182)</f>
        <v>0</v>
      </c>
      <c r="AG182" s="80">
        <f>MAX(0,AD182-MAX(0,AE182))</f>
        <v>0</v>
      </c>
      <c r="AH182" s="80">
        <f>IF(ISNUMBER(B182),IF(AND(INDEX(CFG_WDAYS,WEEKDAY(INT(B182),2))="Sí",IF(D182="proMX",COUNTIFS(FER_F,INT(B182),FER_NLP,"Sí"),COUNTIFS(FER_F,INT(B182),FER_NLM,"Sí"))=0),1,0),0)</f>
        <v>0</v>
      </c>
      <c r="AI182" s="80">
        <f>IF(AC182=1,IF(AND(INDEX(CFG_WDAYS,WEEKDAY(INT(B182)+1,2))="Sí",IF(D182="proMX",COUNTIFS(FER_F,INT(B182)+1,FER_NLP,"Sí"),COUNTIFS(FER_F,INT(B182)+1,FER_NLM,"Sí"))=0),1,0),0)</f>
        <v>0</v>
      </c>
      <c r="AJ182" s="80">
        <f>IF(AC182=1,1440-Z182,AD182)</f>
        <v>0</v>
      </c>
      <c r="AK182" s="80">
        <f>IF(AND(AB182=1,AH182=1),MAX(0,MIN(IF(AC182=1,1440,AA182),CFG_WEM)-MAX(Z182,CFG_WSM)),0)</f>
        <v>0</v>
      </c>
      <c r="AL182" s="80">
        <f>IF(AND(AC182=1,AI182=1),MAX(0,MIN(AA182,CFG_WEM)-CFG_WSM),0)</f>
        <v>0</v>
      </c>
      <c r="AM182" s="80">
        <f>AK182+AL182</f>
        <v>0</v>
      </c>
      <c r="AN182" s="80">
        <f>IF(CFG_BRK="Proporcional",IF(AD182=0,0,AF182*AM182/AD182),IF(CFG_BRK="Extras primero",MIN(AM182,MAX(0,AF182-(AD182-AM182))),MIN(AF182,AM182)))</f>
        <v>0</v>
      </c>
      <c r="AO182" s="80">
        <f>AF182-AN182</f>
        <v>0</v>
      </c>
      <c r="AP182" s="80">
        <f>AM182-AN182</f>
        <v>0</v>
      </c>
      <c r="AQ182" s="80">
        <f>AD182-AM182-AO182</f>
        <v>0</v>
      </c>
      <c r="AR182" s="80">
        <f>IF(AM182=0,0,AK182-AN182*AK182/AM182)</f>
        <v>0</v>
      </c>
      <c r="AS182" s="80">
        <f>IF(AD182-AM182=0,0,(AJ182-AK182)-AO182*(AJ182-AK182)/(AD182-AM182))</f>
        <v>0</v>
      </c>
      <c r="AT182" s="80" t="str">
        <f>IF(AC182=1,INT(B182)+1,"")</f>
        <v/>
      </c>
      <c r="AU182" s="80">
        <f>IF(AND(D182="proMX",R182="Cancelled"),0,1)</f>
        <v>1</v>
      </c>
      <c r="AV182" s="80">
        <f>IF(AND(AB182=1,AU182=1),IF(COUNTIFS($D$5:D181,D182,$B$5:B181,B182,$Z$5:Z181,Z182,$AA$5:AA181,AA182,$F$5:F181,F182&amp;"",$AU$5:AU181,1)&gt;0,1,0),0)</f>
        <v>0</v>
      </c>
      <c r="AW182" s="80" t="str">
        <f>IF(AB182=1,INT(B182)*1440+Z182,"")</f>
        <v/>
      </c>
      <c r="AX182" s="80" t="str">
        <f>IF(AB182=1,AW182+AD182,"")</f>
        <v/>
      </c>
      <c r="AY182" s="80">
        <f>IF(AND(AB182=1,AV182=0,AU182=1),1,0)</f>
        <v>0</v>
      </c>
      <c r="AZ182" s="80">
        <f>IF(AY182=1,COUNTIFS(R_Emp,D182,R_SAbs,"&lt;"&amp;AX182,R_EAbs,"&gt;"&amp;AW182,R_OKey,1)-1,0)</f>
        <v>0</v>
      </c>
      <c r="BA182" s="80">
        <f>IF(AY182=1,COUNTIFS(R_Emp,"&lt;&gt;"&amp;D182,R_SAbs,"&lt;"&amp;AX182,R_EAbs,"&gt;"&amp;AW182,R_OKey,1),0)</f>
        <v>0</v>
      </c>
      <c r="BB182" s="80">
        <f>IF(AND(AB182=1,D182="proMX"),IF(AND(MOD(Z182,CFG_BLK)=0,MOD(AA182,CFG_BLK)=0,MOD(AG182,CFG_BLK)=0,AG182&gt;0),1,0),1)</f>
        <v>1</v>
      </c>
      <c r="BC182" s="80" t="str">
        <f>IF(Y182=0,"",IF(NOT(ISNUMBER(B182)),"Falta fecha o fecha inválida",IF(D182="","Falta empresa",IF(AND(D182&lt;&gt;"Malcolm",D182&lt;&gt;"proMX"),"Empresa inválida",IF(OR(INT(B182)&lt;CFG_PSTART,INT(B182)&gt;CFG_PEND),"Fecha fuera del período",IF(OR(NOT(ISNUMBER(Z182)),NOT(ISNUMBER(AA182))),"Falta hora inicio/fin o formato inválido",IF(AB182=0,"Hora inicio = hora fin",IF(AE182&lt;0,"Descanso inválido",IF(AE182&gt;=AD182,"Descanso ≥ duración",IF(AV182=1,"Registro duplicado",IF(AZ182&gt;0,"Se superpone con otro registro "&amp;D182,IF(BB182=0,"inicio, fin y duración neta deben ser múltiplos de "&amp;CFG_BLK&amp;" min",""))))))))))))</f>
        <v/>
      </c>
      <c r="BD182" s="80">
        <f>IF(AND(Y182=1,BC182=""),1,0)</f>
        <v>0</v>
      </c>
      <c r="BE182" s="80">
        <f>IF(AND(BD182=1,AU182=1),1,0)</f>
        <v>0</v>
      </c>
      <c r="BF182" s="80" t="str">
        <f>IF(AND(D182="proMX",BD182=1),IF(R182="","Draft",R182),"")</f>
        <v/>
      </c>
      <c r="BG182" s="80">
        <f>IF(BD182=1,ROUND(AG182/60,6),0)</f>
        <v>0</v>
      </c>
      <c r="BH182" s="80">
        <f>IF(BE182=1,ROUND(AG182/60,6),0)</f>
        <v>0</v>
      </c>
      <c r="BI182" s="80">
        <f>IF(BE182=1,ROUND(AP182/60,6),0)</f>
        <v>0</v>
      </c>
      <c r="BJ182" s="80">
        <f>IF(BE182=1,ROUND(AQ182/60,6),0)</f>
        <v>0</v>
      </c>
      <c r="BK182" s="80">
        <f>IF(BE182=1,ROUND((AR182+AS182)/60,6),0)</f>
        <v>0</v>
      </c>
      <c r="BL182" s="80">
        <f>ROUND(BH182-BK182,6)</f>
        <v>0</v>
      </c>
      <c r="BM182" s="80">
        <f>IF(BE182=1,ROUND(AR182/60,6),0)</f>
        <v>0</v>
      </c>
      <c r="BN182" s="80">
        <f>ROUND(BI182-BM182,6)</f>
        <v>0</v>
      </c>
      <c r="BO182" s="80">
        <f>IF(BE182=1,ROUND(AS182/60,6),0)</f>
        <v>0</v>
      </c>
      <c r="BP182" s="80">
        <f>ROUND(BJ182-BO182,6)</f>
        <v>0</v>
      </c>
      <c r="BQ182" s="80">
        <f>IF(BE182=1,AW182,0)</f>
        <v>0</v>
      </c>
      <c r="BR182" s="80">
        <f>IF(BE182=1,AX182,0)</f>
        <v>0</v>
      </c>
      <c r="BS182" s="80">
        <f>IF(AND(BE182=1,D182="Malcolm",BA182&gt;0),MIN(BH182,SUMPRODUCT((R_Emp="proMX")*(R_EN&gt;0)*((R_EN-(R_EN&gt;BR182)*(R_EN-BR182))&gt;(R_SN+(R_SN&lt;BQ182)*(BQ182-R_SN)))*((R_EN-(R_EN&gt;BR182)*(R_EN-BR182))-(R_SN+(R_SN&lt;BQ182)*(BQ182-R_SN))))/60),0)</f>
        <v>0</v>
      </c>
      <c r="BT182" s="80">
        <f>IF(AND(BE182=1,D182="proMX"),ROUND(BI182*CFG_RATE+BJ182*CFG_OTRATE,6),0)</f>
        <v>0</v>
      </c>
      <c r="BU182" s="80">
        <f>IF(AND(BD182=1,D182="proMX"),ROUND(AG182/CFG_BLK,6),0)</f>
        <v>0</v>
      </c>
      <c r="BV182" s="80" t="str">
        <f>IF(BF182="Approved",IF(ISNUMBER(T182),INT(T182),INT(B182)),"")</f>
        <v/>
      </c>
      <c r="BW182" s="80">
        <f>IF(ISNUMBER(B182),IF(DB_MON="Todos",1,IF(AND(INT(B182)&gt;=DB_MS,INT(B182)&lt;=DB_ME),1,0)),0)</f>
        <v>0</v>
      </c>
      <c r="BX182" s="80">
        <f>IF(DB_PROJ="Todos",1,IF(E182&amp;""=DB_PROJ&amp;"",1,0))</f>
        <v>1</v>
      </c>
      <c r="BY182" s="80">
        <f>BW182*BX182</f>
        <v>0</v>
      </c>
      <c r="BZ182" s="80" t="str">
        <f>IF(Y182=1,F182&amp;IF(AND(F182&amp;""&lt;&gt;"",E182&amp;""&lt;&gt;"")," · ","")&amp;E182,"")</f>
        <v/>
      </c>
      <c r="CA182" s="80" t="str">
        <f>IF(AND(BD182=1,E182&amp;""&lt;&gt;""),IF(COUNTIFS($E$5:E181,E182,$BD$5:BD181,1)=0,MAX($CA$5:CA181)+1,""),"")</f>
        <v/>
      </c>
      <c r="CB182" s="80" t="str">
        <f>IF(AND(BE182=1,D182="Malcolm",E182&amp;""&lt;&gt;""),IF(COUNTIFS($D$5:D181,"Malcolm",$E$5:E181,E182,$BE$5:BE181,1)=0,MAX($CB$5:CB181)+1,""),"")</f>
        <v/>
      </c>
      <c r="CC182" s="80" t="str">
        <f>IF(AND(BD182=1,D182="proMX",E182&amp;""&lt;&gt;""),IF(COUNTIFS($D$5:D181,"proMX",$E$5:E181,E182,$BD$5:BD181,1)=0,MAX($CC$5:CC181)+1,""),"")</f>
        <v/>
      </c>
      <c r="CD182" s="80" t="str">
        <f>IF(AND(BE182=1,D182="Malcolm",F182&amp;""&lt;&gt;""),IF(COUNTIFS($D$5:D181,"Malcolm",$F$5:F181,F182,$BE$5:BE181,1)=0,MAX($CD$5:CD181)+1,""),"")</f>
        <v/>
      </c>
      <c r="CE182" s="80" t="str">
        <f>IF(AND(BD182=1,D182="proMX",F182&amp;""&lt;&gt;""),IF(COUNTIFS($D$5:D181,"proMX",$F$5:F181,F182,$BD$5:BD181,1)=0,MAX($CE$5:CE181)+1,""),"")</f>
        <v/>
      </c>
      <c r="CF182" s="80" t="str">
        <f>IF(AND(D182="proMX",BD182=1),IF(OR(BF182="Draft",BF182="Submitted",BF182="Returned",BF182="Recall Requested"),MAX($CF$5:CF181)+1,""),"")</f>
        <v/>
      </c>
      <c r="CG182" s="80">
        <f>IF(BD182=0,0,IF(D182="Malcolm",1,MATCH(BF182,{"Draft","Submitted","Approved","Returned","Recall Requested","Cancelled"},0)+1))</f>
        <v>0</v>
      </c>
      <c r="CH182" s="80">
        <f>IF(AND(BF182="Submitted",ISNUMBER(V182)),IF(V182&gt;CFG_MAXD,1,0),0)</f>
        <v>0</v>
      </c>
    </row>
    <row r="183">
      <c r="A183" s="71" t="str">
        <f>IF(Y183=1,ROW()-5,"")</f>
        <v/>
      </c>
      <c r="B183" s="72" t="n"/>
      <c r="C183" s="71" t="str">
        <f>IF(ISNUMBER(B183),CHOOSE(WEEKDAY(B183,2),"Lun","Mar","Mié","Jue","Vie","Sáb","Dom"),"")</f>
        <v/>
      </c>
      <c r="D183" s="73" t="n"/>
      <c r="E183" s="74" t="n"/>
      <c r="F183" s="74" t="n"/>
      <c r="G183" s="74" t="n"/>
      <c r="H183" s="75" t="n"/>
      <c r="I183" s="75" t="n"/>
      <c r="J183" s="76" t="n"/>
      <c r="K183" s="77" t="str">
        <f>IF(AB183=1,ROUND(AG183/60,4),"")</f>
        <v/>
      </c>
      <c r="L183" s="77" t="str">
        <f>IF(BD183=1,ROUND(AP183/60,4),"")</f>
        <v/>
      </c>
      <c r="M183" s="77" t="str">
        <f>IF(BD183=1,ROUND(AQ183/60,4),"")</f>
        <v/>
      </c>
      <c r="N183" s="71" t="str">
        <f>IF(AND(D183="proMX",AB183=1),ROUND(AG183/CFG_BLK,2),"")</f>
        <v/>
      </c>
      <c r="O183" s="77" t="str">
        <f>IF(D183="proMX",IF(BD183=1,ROUND(AG183/60,4),0),"")</f>
        <v/>
      </c>
      <c r="P183" s="78" t="str">
        <f>IF(Y183=0,"",IF(BD183=1,"OK",IF(D183="proMX","Revisar bloques: ","Revisar: ")&amp;BC183))</f>
        <v/>
      </c>
      <c r="Q183" s="78" t="str">
        <f>IF(NOT(ISNUMBER(B183)),"",IF(COUNTIFS(FER_F,INT(B183))&gt;0,"Feriado"&amp;IF(AH183=1," (laborable)"," (no laborable)"),IF(AH183=1,"Laborable",IF(WEEKDAY(B183,2)&gt;5,"Fin de semana","No laborable"))))</f>
        <v/>
      </c>
      <c r="R183" s="73" t="n"/>
      <c r="S183" s="72" t="n"/>
      <c r="T183" s="72" t="n"/>
      <c r="U183" s="74" t="n"/>
      <c r="V183" s="79" t="str">
        <f>IF(AND(D183="proMX",OR(R183="Submitted",R183="Recall Requested"),ISNUMBER(S183)),CFG_TODAY-INT(S183),"")</f>
        <v/>
      </c>
      <c r="W183" s="78" t="str">
        <f>IF(BD183=0,"",IF(BA183&gt;0,"⚠ Se superpone con un registro de la otra empresa",IF(D183="Malcolm",IF(COUNTA(R183,S183,T183)&gt;0,"Estado/fechas proMX se ignoran en Malcolm",""),IF(BF183="Cancelled","Cancelado: excluido de totales",IF(R183="","Sin estado: se trata como Draft",IF(BF183="Submitted",IF(ISNUMBER(V183),IF(V183&gt;CFG_MAXD,"⚠ "&amp;V183&amp;" días en Submitted (máx. "&amp;CFG_MAXD&amp;")",""),"Falta fecha de envío"),IF(BF183="Returned","⚠ Devuelto: corregir y reenviar",IF(BF183="Recall Requested","Retirada solicitada: pendiente",IF(AND(BF183="Approved",NOT(ISNUMBER(T183))),"Falta fecha de aprobación",IF(AND(ISNUMBER(S183),ISNUMBER(T183),T183&lt;S183),"Aprobación anterior al envío","")))))))))</f>
        <v/>
      </c>
      <c r="Y183" s="80">
        <f>IF(COUNTA(B183,D183,E183,F183,G183,H183,I183,J183,R183,S183,T183)&gt;0,1,0)</f>
        <v>0</v>
      </c>
      <c r="Z183" s="80" t="str">
        <f>IF(AND(ISNUMBER(H183),H183&gt;=0,H183&lt;1),ROUND(H183*1440,0),"")</f>
        <v/>
      </c>
      <c r="AA183" s="80" t="str">
        <f>IF(AND(ISNUMBER(I183),I183&gt;=0,I183&lt;1),ROUND(I183*1440,0),"")</f>
        <v/>
      </c>
      <c r="AB183" s="80">
        <f>IF(AND(ISNUMBER(B183),D183&lt;&gt;"",ISNUMBER(Z183),ISNUMBER(AA183)),IF(Z183=AA183,0,1),0)</f>
        <v>0</v>
      </c>
      <c r="AC183" s="80">
        <f>IF(AB183=1,IF(AA183&lt;Z183,1,0),0)</f>
        <v>0</v>
      </c>
      <c r="AD183" s="80">
        <f>IF(AB183=1,IF(AC183=1,1440-Z183+AA183,AA183-Z183),0)</f>
        <v>0</v>
      </c>
      <c r="AE183" s="80">
        <f>IF(J183="",0,IF(ISNUMBER(J183),J183,-1))</f>
        <v>0</v>
      </c>
      <c r="AF183" s="80">
        <f>MIN(MAX(0,AE183),AD183)</f>
        <v>0</v>
      </c>
      <c r="AG183" s="80">
        <f>MAX(0,AD183-MAX(0,AE183))</f>
        <v>0</v>
      </c>
      <c r="AH183" s="80">
        <f>IF(ISNUMBER(B183),IF(AND(INDEX(CFG_WDAYS,WEEKDAY(INT(B183),2))="Sí",IF(D183="proMX",COUNTIFS(FER_F,INT(B183),FER_NLP,"Sí"),COUNTIFS(FER_F,INT(B183),FER_NLM,"Sí"))=0),1,0),0)</f>
        <v>0</v>
      </c>
      <c r="AI183" s="80">
        <f>IF(AC183=1,IF(AND(INDEX(CFG_WDAYS,WEEKDAY(INT(B183)+1,2))="Sí",IF(D183="proMX",COUNTIFS(FER_F,INT(B183)+1,FER_NLP,"Sí"),COUNTIFS(FER_F,INT(B183)+1,FER_NLM,"Sí"))=0),1,0),0)</f>
        <v>0</v>
      </c>
      <c r="AJ183" s="80">
        <f>IF(AC183=1,1440-Z183,AD183)</f>
        <v>0</v>
      </c>
      <c r="AK183" s="80">
        <f>IF(AND(AB183=1,AH183=1),MAX(0,MIN(IF(AC183=1,1440,AA183),CFG_WEM)-MAX(Z183,CFG_WSM)),0)</f>
        <v>0</v>
      </c>
      <c r="AL183" s="80">
        <f>IF(AND(AC183=1,AI183=1),MAX(0,MIN(AA183,CFG_WEM)-CFG_WSM),0)</f>
        <v>0</v>
      </c>
      <c r="AM183" s="80">
        <f>AK183+AL183</f>
        <v>0</v>
      </c>
      <c r="AN183" s="80">
        <f>IF(CFG_BRK="Proporcional",IF(AD183=0,0,AF183*AM183/AD183),IF(CFG_BRK="Extras primero",MIN(AM183,MAX(0,AF183-(AD183-AM183))),MIN(AF183,AM183)))</f>
        <v>0</v>
      </c>
      <c r="AO183" s="80">
        <f>AF183-AN183</f>
        <v>0</v>
      </c>
      <c r="AP183" s="80">
        <f>AM183-AN183</f>
        <v>0</v>
      </c>
      <c r="AQ183" s="80">
        <f>AD183-AM183-AO183</f>
        <v>0</v>
      </c>
      <c r="AR183" s="80">
        <f>IF(AM183=0,0,AK183-AN183*AK183/AM183)</f>
        <v>0</v>
      </c>
      <c r="AS183" s="80">
        <f>IF(AD183-AM183=0,0,(AJ183-AK183)-AO183*(AJ183-AK183)/(AD183-AM183))</f>
        <v>0</v>
      </c>
      <c r="AT183" s="80" t="str">
        <f>IF(AC183=1,INT(B183)+1,"")</f>
        <v/>
      </c>
      <c r="AU183" s="80">
        <f>IF(AND(D183="proMX",R183="Cancelled"),0,1)</f>
        <v>1</v>
      </c>
      <c r="AV183" s="80">
        <f>IF(AND(AB183=1,AU183=1),IF(COUNTIFS($D$5:D182,D183,$B$5:B182,B183,$Z$5:Z182,Z183,$AA$5:AA182,AA183,$F$5:F182,F183&amp;"",$AU$5:AU182,1)&gt;0,1,0),0)</f>
        <v>0</v>
      </c>
      <c r="AW183" s="80" t="str">
        <f>IF(AB183=1,INT(B183)*1440+Z183,"")</f>
        <v/>
      </c>
      <c r="AX183" s="80" t="str">
        <f>IF(AB183=1,AW183+AD183,"")</f>
        <v/>
      </c>
      <c r="AY183" s="80">
        <f>IF(AND(AB183=1,AV183=0,AU183=1),1,0)</f>
        <v>0</v>
      </c>
      <c r="AZ183" s="80">
        <f>IF(AY183=1,COUNTIFS(R_Emp,D183,R_SAbs,"&lt;"&amp;AX183,R_EAbs,"&gt;"&amp;AW183,R_OKey,1)-1,0)</f>
        <v>0</v>
      </c>
      <c r="BA183" s="80">
        <f>IF(AY183=1,COUNTIFS(R_Emp,"&lt;&gt;"&amp;D183,R_SAbs,"&lt;"&amp;AX183,R_EAbs,"&gt;"&amp;AW183,R_OKey,1),0)</f>
        <v>0</v>
      </c>
      <c r="BB183" s="80">
        <f>IF(AND(AB183=1,D183="proMX"),IF(AND(MOD(Z183,CFG_BLK)=0,MOD(AA183,CFG_BLK)=0,MOD(AG183,CFG_BLK)=0,AG183&gt;0),1,0),1)</f>
        <v>1</v>
      </c>
      <c r="BC183" s="80" t="str">
        <f>IF(Y183=0,"",IF(NOT(ISNUMBER(B183)),"Falta fecha o fecha inválida",IF(D183="","Falta empresa",IF(AND(D183&lt;&gt;"Malcolm",D183&lt;&gt;"proMX"),"Empresa inválida",IF(OR(INT(B183)&lt;CFG_PSTART,INT(B183)&gt;CFG_PEND),"Fecha fuera del período",IF(OR(NOT(ISNUMBER(Z183)),NOT(ISNUMBER(AA183))),"Falta hora inicio/fin o formato inválido",IF(AB183=0,"Hora inicio = hora fin",IF(AE183&lt;0,"Descanso inválido",IF(AE183&gt;=AD183,"Descanso ≥ duración",IF(AV183=1,"Registro duplicado",IF(AZ183&gt;0,"Se superpone con otro registro "&amp;D183,IF(BB183=0,"inicio, fin y duración neta deben ser múltiplos de "&amp;CFG_BLK&amp;" min",""))))))))))))</f>
        <v/>
      </c>
      <c r="BD183" s="80">
        <f>IF(AND(Y183=1,BC183=""),1,0)</f>
        <v>0</v>
      </c>
      <c r="BE183" s="80">
        <f>IF(AND(BD183=1,AU183=1),1,0)</f>
        <v>0</v>
      </c>
      <c r="BF183" s="80" t="str">
        <f>IF(AND(D183="proMX",BD183=1),IF(R183="","Draft",R183),"")</f>
        <v/>
      </c>
      <c r="BG183" s="80">
        <f>IF(BD183=1,ROUND(AG183/60,6),0)</f>
        <v>0</v>
      </c>
      <c r="BH183" s="80">
        <f>IF(BE183=1,ROUND(AG183/60,6),0)</f>
        <v>0</v>
      </c>
      <c r="BI183" s="80">
        <f>IF(BE183=1,ROUND(AP183/60,6),0)</f>
        <v>0</v>
      </c>
      <c r="BJ183" s="80">
        <f>IF(BE183=1,ROUND(AQ183/60,6),0)</f>
        <v>0</v>
      </c>
      <c r="BK183" s="80">
        <f>IF(BE183=1,ROUND((AR183+AS183)/60,6),0)</f>
        <v>0</v>
      </c>
      <c r="BL183" s="80">
        <f>ROUND(BH183-BK183,6)</f>
        <v>0</v>
      </c>
      <c r="BM183" s="80">
        <f>IF(BE183=1,ROUND(AR183/60,6),0)</f>
        <v>0</v>
      </c>
      <c r="BN183" s="80">
        <f>ROUND(BI183-BM183,6)</f>
        <v>0</v>
      </c>
      <c r="BO183" s="80">
        <f>IF(BE183=1,ROUND(AS183/60,6),0)</f>
        <v>0</v>
      </c>
      <c r="BP183" s="80">
        <f>ROUND(BJ183-BO183,6)</f>
        <v>0</v>
      </c>
      <c r="BQ183" s="80">
        <f>IF(BE183=1,AW183,0)</f>
        <v>0</v>
      </c>
      <c r="BR183" s="80">
        <f>IF(BE183=1,AX183,0)</f>
        <v>0</v>
      </c>
      <c r="BS183" s="80">
        <f>IF(AND(BE183=1,D183="Malcolm",BA183&gt;0),MIN(BH183,SUMPRODUCT((R_Emp="proMX")*(R_EN&gt;0)*((R_EN-(R_EN&gt;BR183)*(R_EN-BR183))&gt;(R_SN+(R_SN&lt;BQ183)*(BQ183-R_SN)))*((R_EN-(R_EN&gt;BR183)*(R_EN-BR183))-(R_SN+(R_SN&lt;BQ183)*(BQ183-R_SN))))/60),0)</f>
        <v>0</v>
      </c>
      <c r="BT183" s="80">
        <f>IF(AND(BE183=1,D183="proMX"),ROUND(BI183*CFG_RATE+BJ183*CFG_OTRATE,6),0)</f>
        <v>0</v>
      </c>
      <c r="BU183" s="80">
        <f>IF(AND(BD183=1,D183="proMX"),ROUND(AG183/CFG_BLK,6),0)</f>
        <v>0</v>
      </c>
      <c r="BV183" s="80" t="str">
        <f>IF(BF183="Approved",IF(ISNUMBER(T183),INT(T183),INT(B183)),"")</f>
        <v/>
      </c>
      <c r="BW183" s="80">
        <f>IF(ISNUMBER(B183),IF(DB_MON="Todos",1,IF(AND(INT(B183)&gt;=DB_MS,INT(B183)&lt;=DB_ME),1,0)),0)</f>
        <v>0</v>
      </c>
      <c r="BX183" s="80">
        <f>IF(DB_PROJ="Todos",1,IF(E183&amp;""=DB_PROJ&amp;"",1,0))</f>
        <v>1</v>
      </c>
      <c r="BY183" s="80">
        <f>BW183*BX183</f>
        <v>0</v>
      </c>
      <c r="BZ183" s="80" t="str">
        <f>IF(Y183=1,F183&amp;IF(AND(F183&amp;""&lt;&gt;"",E183&amp;""&lt;&gt;"")," · ","")&amp;E183,"")</f>
        <v/>
      </c>
      <c r="CA183" s="80" t="str">
        <f>IF(AND(BD183=1,E183&amp;""&lt;&gt;""),IF(COUNTIFS($E$5:E182,E183,$BD$5:BD182,1)=0,MAX($CA$5:CA182)+1,""),"")</f>
        <v/>
      </c>
      <c r="CB183" s="80" t="str">
        <f>IF(AND(BE183=1,D183="Malcolm",E183&amp;""&lt;&gt;""),IF(COUNTIFS($D$5:D182,"Malcolm",$E$5:E182,E183,$BE$5:BE182,1)=0,MAX($CB$5:CB182)+1,""),"")</f>
        <v/>
      </c>
      <c r="CC183" s="80" t="str">
        <f>IF(AND(BD183=1,D183="proMX",E183&amp;""&lt;&gt;""),IF(COUNTIFS($D$5:D182,"proMX",$E$5:E182,E183,$BD$5:BD182,1)=0,MAX($CC$5:CC182)+1,""),"")</f>
        <v/>
      </c>
      <c r="CD183" s="80" t="str">
        <f>IF(AND(BE183=1,D183="Malcolm",F183&amp;""&lt;&gt;""),IF(COUNTIFS($D$5:D182,"Malcolm",$F$5:F182,F183,$BE$5:BE182,1)=0,MAX($CD$5:CD182)+1,""),"")</f>
        <v/>
      </c>
      <c r="CE183" s="80" t="str">
        <f>IF(AND(BD183=1,D183="proMX",F183&amp;""&lt;&gt;""),IF(COUNTIFS($D$5:D182,"proMX",$F$5:F182,F183,$BD$5:BD182,1)=0,MAX($CE$5:CE182)+1,""),"")</f>
        <v/>
      </c>
      <c r="CF183" s="80" t="str">
        <f>IF(AND(D183="proMX",BD183=1),IF(OR(BF183="Draft",BF183="Submitted",BF183="Returned",BF183="Recall Requested"),MAX($CF$5:CF182)+1,""),"")</f>
        <v/>
      </c>
      <c r="CG183" s="80">
        <f>IF(BD183=0,0,IF(D183="Malcolm",1,MATCH(BF183,{"Draft","Submitted","Approved","Returned","Recall Requested","Cancelled"},0)+1))</f>
        <v>0</v>
      </c>
      <c r="CH183" s="80">
        <f>IF(AND(BF183="Submitted",ISNUMBER(V183)),IF(V183&gt;CFG_MAXD,1,0),0)</f>
        <v>0</v>
      </c>
    </row>
    <row r="184">
      <c r="A184" s="71" t="str">
        <f>IF(Y184=1,ROW()-5,"")</f>
        <v/>
      </c>
      <c r="B184" s="72" t="n"/>
      <c r="C184" s="71" t="str">
        <f>IF(ISNUMBER(B184),CHOOSE(WEEKDAY(B184,2),"Lun","Mar","Mié","Jue","Vie","Sáb","Dom"),"")</f>
        <v/>
      </c>
      <c r="D184" s="73" t="n"/>
      <c r="E184" s="74" t="n"/>
      <c r="F184" s="74" t="n"/>
      <c r="G184" s="74" t="n"/>
      <c r="H184" s="75" t="n"/>
      <c r="I184" s="75" t="n"/>
      <c r="J184" s="76" t="n"/>
      <c r="K184" s="77" t="str">
        <f>IF(AB184=1,ROUND(AG184/60,4),"")</f>
        <v/>
      </c>
      <c r="L184" s="77" t="str">
        <f>IF(BD184=1,ROUND(AP184/60,4),"")</f>
        <v/>
      </c>
      <c r="M184" s="77" t="str">
        <f>IF(BD184=1,ROUND(AQ184/60,4),"")</f>
        <v/>
      </c>
      <c r="N184" s="71" t="str">
        <f>IF(AND(D184="proMX",AB184=1),ROUND(AG184/CFG_BLK,2),"")</f>
        <v/>
      </c>
      <c r="O184" s="77" t="str">
        <f>IF(D184="proMX",IF(BD184=1,ROUND(AG184/60,4),0),"")</f>
        <v/>
      </c>
      <c r="P184" s="78" t="str">
        <f>IF(Y184=0,"",IF(BD184=1,"OK",IF(D184="proMX","Revisar bloques: ","Revisar: ")&amp;BC184))</f>
        <v/>
      </c>
      <c r="Q184" s="78" t="str">
        <f>IF(NOT(ISNUMBER(B184)),"",IF(COUNTIFS(FER_F,INT(B184))&gt;0,"Feriado"&amp;IF(AH184=1," (laborable)"," (no laborable)"),IF(AH184=1,"Laborable",IF(WEEKDAY(B184,2)&gt;5,"Fin de semana","No laborable"))))</f>
        <v/>
      </c>
      <c r="R184" s="73" t="n"/>
      <c r="S184" s="72" t="n"/>
      <c r="T184" s="72" t="n"/>
      <c r="U184" s="74" t="n"/>
      <c r="V184" s="79" t="str">
        <f>IF(AND(D184="proMX",OR(R184="Submitted",R184="Recall Requested"),ISNUMBER(S184)),CFG_TODAY-INT(S184),"")</f>
        <v/>
      </c>
      <c r="W184" s="78" t="str">
        <f>IF(BD184=0,"",IF(BA184&gt;0,"⚠ Se superpone con un registro de la otra empresa",IF(D184="Malcolm",IF(COUNTA(R184,S184,T184)&gt;0,"Estado/fechas proMX se ignoran en Malcolm",""),IF(BF184="Cancelled","Cancelado: excluido de totales",IF(R184="","Sin estado: se trata como Draft",IF(BF184="Submitted",IF(ISNUMBER(V184),IF(V184&gt;CFG_MAXD,"⚠ "&amp;V184&amp;" días en Submitted (máx. "&amp;CFG_MAXD&amp;")",""),"Falta fecha de envío"),IF(BF184="Returned","⚠ Devuelto: corregir y reenviar",IF(BF184="Recall Requested","Retirada solicitada: pendiente",IF(AND(BF184="Approved",NOT(ISNUMBER(T184))),"Falta fecha de aprobación",IF(AND(ISNUMBER(S184),ISNUMBER(T184),T184&lt;S184),"Aprobación anterior al envío","")))))))))</f>
        <v/>
      </c>
      <c r="Y184" s="80">
        <f>IF(COUNTA(B184,D184,E184,F184,G184,H184,I184,J184,R184,S184,T184)&gt;0,1,0)</f>
        <v>0</v>
      </c>
      <c r="Z184" s="80" t="str">
        <f>IF(AND(ISNUMBER(H184),H184&gt;=0,H184&lt;1),ROUND(H184*1440,0),"")</f>
        <v/>
      </c>
      <c r="AA184" s="80" t="str">
        <f>IF(AND(ISNUMBER(I184),I184&gt;=0,I184&lt;1),ROUND(I184*1440,0),"")</f>
        <v/>
      </c>
      <c r="AB184" s="80">
        <f>IF(AND(ISNUMBER(B184),D184&lt;&gt;"",ISNUMBER(Z184),ISNUMBER(AA184)),IF(Z184=AA184,0,1),0)</f>
        <v>0</v>
      </c>
      <c r="AC184" s="80">
        <f>IF(AB184=1,IF(AA184&lt;Z184,1,0),0)</f>
        <v>0</v>
      </c>
      <c r="AD184" s="80">
        <f>IF(AB184=1,IF(AC184=1,1440-Z184+AA184,AA184-Z184),0)</f>
        <v>0</v>
      </c>
      <c r="AE184" s="80">
        <f>IF(J184="",0,IF(ISNUMBER(J184),J184,-1))</f>
        <v>0</v>
      </c>
      <c r="AF184" s="80">
        <f>MIN(MAX(0,AE184),AD184)</f>
        <v>0</v>
      </c>
      <c r="AG184" s="80">
        <f>MAX(0,AD184-MAX(0,AE184))</f>
        <v>0</v>
      </c>
      <c r="AH184" s="80">
        <f>IF(ISNUMBER(B184),IF(AND(INDEX(CFG_WDAYS,WEEKDAY(INT(B184),2))="Sí",IF(D184="proMX",COUNTIFS(FER_F,INT(B184),FER_NLP,"Sí"),COUNTIFS(FER_F,INT(B184),FER_NLM,"Sí"))=0),1,0),0)</f>
        <v>0</v>
      </c>
      <c r="AI184" s="80">
        <f>IF(AC184=1,IF(AND(INDEX(CFG_WDAYS,WEEKDAY(INT(B184)+1,2))="Sí",IF(D184="proMX",COUNTIFS(FER_F,INT(B184)+1,FER_NLP,"Sí"),COUNTIFS(FER_F,INT(B184)+1,FER_NLM,"Sí"))=0),1,0),0)</f>
        <v>0</v>
      </c>
      <c r="AJ184" s="80">
        <f>IF(AC184=1,1440-Z184,AD184)</f>
        <v>0</v>
      </c>
      <c r="AK184" s="80">
        <f>IF(AND(AB184=1,AH184=1),MAX(0,MIN(IF(AC184=1,1440,AA184),CFG_WEM)-MAX(Z184,CFG_WSM)),0)</f>
        <v>0</v>
      </c>
      <c r="AL184" s="80">
        <f>IF(AND(AC184=1,AI184=1),MAX(0,MIN(AA184,CFG_WEM)-CFG_WSM),0)</f>
        <v>0</v>
      </c>
      <c r="AM184" s="80">
        <f>AK184+AL184</f>
        <v>0</v>
      </c>
      <c r="AN184" s="80">
        <f>IF(CFG_BRK="Proporcional",IF(AD184=0,0,AF184*AM184/AD184),IF(CFG_BRK="Extras primero",MIN(AM184,MAX(0,AF184-(AD184-AM184))),MIN(AF184,AM184)))</f>
        <v>0</v>
      </c>
      <c r="AO184" s="80">
        <f>AF184-AN184</f>
        <v>0</v>
      </c>
      <c r="AP184" s="80">
        <f>AM184-AN184</f>
        <v>0</v>
      </c>
      <c r="AQ184" s="80">
        <f>AD184-AM184-AO184</f>
        <v>0</v>
      </c>
      <c r="AR184" s="80">
        <f>IF(AM184=0,0,AK184-AN184*AK184/AM184)</f>
        <v>0</v>
      </c>
      <c r="AS184" s="80">
        <f>IF(AD184-AM184=0,0,(AJ184-AK184)-AO184*(AJ184-AK184)/(AD184-AM184))</f>
        <v>0</v>
      </c>
      <c r="AT184" s="80" t="str">
        <f>IF(AC184=1,INT(B184)+1,"")</f>
        <v/>
      </c>
      <c r="AU184" s="80">
        <f>IF(AND(D184="proMX",R184="Cancelled"),0,1)</f>
        <v>1</v>
      </c>
      <c r="AV184" s="80">
        <f>IF(AND(AB184=1,AU184=1),IF(COUNTIFS($D$5:D183,D184,$B$5:B183,B184,$Z$5:Z183,Z184,$AA$5:AA183,AA184,$F$5:F183,F184&amp;"",$AU$5:AU183,1)&gt;0,1,0),0)</f>
        <v>0</v>
      </c>
      <c r="AW184" s="80" t="str">
        <f>IF(AB184=1,INT(B184)*1440+Z184,"")</f>
        <v/>
      </c>
      <c r="AX184" s="80" t="str">
        <f>IF(AB184=1,AW184+AD184,"")</f>
        <v/>
      </c>
      <c r="AY184" s="80">
        <f>IF(AND(AB184=1,AV184=0,AU184=1),1,0)</f>
        <v>0</v>
      </c>
      <c r="AZ184" s="80">
        <f>IF(AY184=1,COUNTIFS(R_Emp,D184,R_SAbs,"&lt;"&amp;AX184,R_EAbs,"&gt;"&amp;AW184,R_OKey,1)-1,0)</f>
        <v>0</v>
      </c>
      <c r="BA184" s="80">
        <f>IF(AY184=1,COUNTIFS(R_Emp,"&lt;&gt;"&amp;D184,R_SAbs,"&lt;"&amp;AX184,R_EAbs,"&gt;"&amp;AW184,R_OKey,1),0)</f>
        <v>0</v>
      </c>
      <c r="BB184" s="80">
        <f>IF(AND(AB184=1,D184="proMX"),IF(AND(MOD(Z184,CFG_BLK)=0,MOD(AA184,CFG_BLK)=0,MOD(AG184,CFG_BLK)=0,AG184&gt;0),1,0),1)</f>
        <v>1</v>
      </c>
      <c r="BC184" s="80" t="str">
        <f>IF(Y184=0,"",IF(NOT(ISNUMBER(B184)),"Falta fecha o fecha inválida",IF(D184="","Falta empresa",IF(AND(D184&lt;&gt;"Malcolm",D184&lt;&gt;"proMX"),"Empresa inválida",IF(OR(INT(B184)&lt;CFG_PSTART,INT(B184)&gt;CFG_PEND),"Fecha fuera del período",IF(OR(NOT(ISNUMBER(Z184)),NOT(ISNUMBER(AA184))),"Falta hora inicio/fin o formato inválido",IF(AB184=0,"Hora inicio = hora fin",IF(AE184&lt;0,"Descanso inválido",IF(AE184&gt;=AD184,"Descanso ≥ duración",IF(AV184=1,"Registro duplicado",IF(AZ184&gt;0,"Se superpone con otro registro "&amp;D184,IF(BB184=0,"inicio, fin y duración neta deben ser múltiplos de "&amp;CFG_BLK&amp;" min",""))))))))))))</f>
        <v/>
      </c>
      <c r="BD184" s="80">
        <f>IF(AND(Y184=1,BC184=""),1,0)</f>
        <v>0</v>
      </c>
      <c r="BE184" s="80">
        <f>IF(AND(BD184=1,AU184=1),1,0)</f>
        <v>0</v>
      </c>
      <c r="BF184" s="80" t="str">
        <f>IF(AND(D184="proMX",BD184=1),IF(R184="","Draft",R184),"")</f>
        <v/>
      </c>
      <c r="BG184" s="80">
        <f>IF(BD184=1,ROUND(AG184/60,6),0)</f>
        <v>0</v>
      </c>
      <c r="BH184" s="80">
        <f>IF(BE184=1,ROUND(AG184/60,6),0)</f>
        <v>0</v>
      </c>
      <c r="BI184" s="80">
        <f>IF(BE184=1,ROUND(AP184/60,6),0)</f>
        <v>0</v>
      </c>
      <c r="BJ184" s="80">
        <f>IF(BE184=1,ROUND(AQ184/60,6),0)</f>
        <v>0</v>
      </c>
      <c r="BK184" s="80">
        <f>IF(BE184=1,ROUND((AR184+AS184)/60,6),0)</f>
        <v>0</v>
      </c>
      <c r="BL184" s="80">
        <f>ROUND(BH184-BK184,6)</f>
        <v>0</v>
      </c>
      <c r="BM184" s="80">
        <f>IF(BE184=1,ROUND(AR184/60,6),0)</f>
        <v>0</v>
      </c>
      <c r="BN184" s="80">
        <f>ROUND(BI184-BM184,6)</f>
        <v>0</v>
      </c>
      <c r="BO184" s="80">
        <f>IF(BE184=1,ROUND(AS184/60,6),0)</f>
        <v>0</v>
      </c>
      <c r="BP184" s="80">
        <f>ROUND(BJ184-BO184,6)</f>
        <v>0</v>
      </c>
      <c r="BQ184" s="80">
        <f>IF(BE184=1,AW184,0)</f>
        <v>0</v>
      </c>
      <c r="BR184" s="80">
        <f>IF(BE184=1,AX184,0)</f>
        <v>0</v>
      </c>
      <c r="BS184" s="80">
        <f>IF(AND(BE184=1,D184="Malcolm",BA184&gt;0),MIN(BH184,SUMPRODUCT((R_Emp="proMX")*(R_EN&gt;0)*((R_EN-(R_EN&gt;BR184)*(R_EN-BR184))&gt;(R_SN+(R_SN&lt;BQ184)*(BQ184-R_SN)))*((R_EN-(R_EN&gt;BR184)*(R_EN-BR184))-(R_SN+(R_SN&lt;BQ184)*(BQ184-R_SN))))/60),0)</f>
        <v>0</v>
      </c>
      <c r="BT184" s="80">
        <f>IF(AND(BE184=1,D184="proMX"),ROUND(BI184*CFG_RATE+BJ184*CFG_OTRATE,6),0)</f>
        <v>0</v>
      </c>
      <c r="BU184" s="80">
        <f>IF(AND(BD184=1,D184="proMX"),ROUND(AG184/CFG_BLK,6),0)</f>
        <v>0</v>
      </c>
      <c r="BV184" s="80" t="str">
        <f>IF(BF184="Approved",IF(ISNUMBER(T184),INT(T184),INT(B184)),"")</f>
        <v/>
      </c>
      <c r="BW184" s="80">
        <f>IF(ISNUMBER(B184),IF(DB_MON="Todos",1,IF(AND(INT(B184)&gt;=DB_MS,INT(B184)&lt;=DB_ME),1,0)),0)</f>
        <v>0</v>
      </c>
      <c r="BX184" s="80">
        <f>IF(DB_PROJ="Todos",1,IF(E184&amp;""=DB_PROJ&amp;"",1,0))</f>
        <v>1</v>
      </c>
      <c r="BY184" s="80">
        <f>BW184*BX184</f>
        <v>0</v>
      </c>
      <c r="BZ184" s="80" t="str">
        <f>IF(Y184=1,F184&amp;IF(AND(F184&amp;""&lt;&gt;"",E184&amp;""&lt;&gt;"")," · ","")&amp;E184,"")</f>
        <v/>
      </c>
      <c r="CA184" s="80" t="str">
        <f>IF(AND(BD184=1,E184&amp;""&lt;&gt;""),IF(COUNTIFS($E$5:E183,E184,$BD$5:BD183,1)=0,MAX($CA$5:CA183)+1,""),"")</f>
        <v/>
      </c>
      <c r="CB184" s="80" t="str">
        <f>IF(AND(BE184=1,D184="Malcolm",E184&amp;""&lt;&gt;""),IF(COUNTIFS($D$5:D183,"Malcolm",$E$5:E183,E184,$BE$5:BE183,1)=0,MAX($CB$5:CB183)+1,""),"")</f>
        <v/>
      </c>
      <c r="CC184" s="80" t="str">
        <f>IF(AND(BD184=1,D184="proMX",E184&amp;""&lt;&gt;""),IF(COUNTIFS($D$5:D183,"proMX",$E$5:E183,E184,$BD$5:BD183,1)=0,MAX($CC$5:CC183)+1,""),"")</f>
        <v/>
      </c>
      <c r="CD184" s="80" t="str">
        <f>IF(AND(BE184=1,D184="Malcolm",F184&amp;""&lt;&gt;""),IF(COUNTIFS($D$5:D183,"Malcolm",$F$5:F183,F184,$BE$5:BE183,1)=0,MAX($CD$5:CD183)+1,""),"")</f>
        <v/>
      </c>
      <c r="CE184" s="80" t="str">
        <f>IF(AND(BD184=1,D184="proMX",F184&amp;""&lt;&gt;""),IF(COUNTIFS($D$5:D183,"proMX",$F$5:F183,F184,$BD$5:BD183,1)=0,MAX($CE$5:CE183)+1,""),"")</f>
        <v/>
      </c>
      <c r="CF184" s="80" t="str">
        <f>IF(AND(D184="proMX",BD184=1),IF(OR(BF184="Draft",BF184="Submitted",BF184="Returned",BF184="Recall Requested"),MAX($CF$5:CF183)+1,""),"")</f>
        <v/>
      </c>
      <c r="CG184" s="80">
        <f>IF(BD184=0,0,IF(D184="Malcolm",1,MATCH(BF184,{"Draft","Submitted","Approved","Returned","Recall Requested","Cancelled"},0)+1))</f>
        <v>0</v>
      </c>
      <c r="CH184" s="80">
        <f>IF(AND(BF184="Submitted",ISNUMBER(V184)),IF(V184&gt;CFG_MAXD,1,0),0)</f>
        <v>0</v>
      </c>
    </row>
    <row r="185">
      <c r="A185" s="71" t="str">
        <f>IF(Y185=1,ROW()-5,"")</f>
        <v/>
      </c>
      <c r="B185" s="72" t="n"/>
      <c r="C185" s="71" t="str">
        <f>IF(ISNUMBER(B185),CHOOSE(WEEKDAY(B185,2),"Lun","Mar","Mié","Jue","Vie","Sáb","Dom"),"")</f>
        <v/>
      </c>
      <c r="D185" s="73" t="n"/>
      <c r="E185" s="74" t="n"/>
      <c r="F185" s="74" t="n"/>
      <c r="G185" s="74" t="n"/>
      <c r="H185" s="75" t="n"/>
      <c r="I185" s="75" t="n"/>
      <c r="J185" s="76" t="n"/>
      <c r="K185" s="77" t="str">
        <f>IF(AB185=1,ROUND(AG185/60,4),"")</f>
        <v/>
      </c>
      <c r="L185" s="77" t="str">
        <f>IF(BD185=1,ROUND(AP185/60,4),"")</f>
        <v/>
      </c>
      <c r="M185" s="77" t="str">
        <f>IF(BD185=1,ROUND(AQ185/60,4),"")</f>
        <v/>
      </c>
      <c r="N185" s="71" t="str">
        <f>IF(AND(D185="proMX",AB185=1),ROUND(AG185/CFG_BLK,2),"")</f>
        <v/>
      </c>
      <c r="O185" s="77" t="str">
        <f>IF(D185="proMX",IF(BD185=1,ROUND(AG185/60,4),0),"")</f>
        <v/>
      </c>
      <c r="P185" s="78" t="str">
        <f>IF(Y185=0,"",IF(BD185=1,"OK",IF(D185="proMX","Revisar bloques: ","Revisar: ")&amp;BC185))</f>
        <v/>
      </c>
      <c r="Q185" s="78" t="str">
        <f>IF(NOT(ISNUMBER(B185)),"",IF(COUNTIFS(FER_F,INT(B185))&gt;0,"Feriado"&amp;IF(AH185=1," (laborable)"," (no laborable)"),IF(AH185=1,"Laborable",IF(WEEKDAY(B185,2)&gt;5,"Fin de semana","No laborable"))))</f>
        <v/>
      </c>
      <c r="R185" s="73" t="n"/>
      <c r="S185" s="72" t="n"/>
      <c r="T185" s="72" t="n"/>
      <c r="U185" s="74" t="n"/>
      <c r="V185" s="79" t="str">
        <f>IF(AND(D185="proMX",OR(R185="Submitted",R185="Recall Requested"),ISNUMBER(S185)),CFG_TODAY-INT(S185),"")</f>
        <v/>
      </c>
      <c r="W185" s="78" t="str">
        <f>IF(BD185=0,"",IF(BA185&gt;0,"⚠ Se superpone con un registro de la otra empresa",IF(D185="Malcolm",IF(COUNTA(R185,S185,T185)&gt;0,"Estado/fechas proMX se ignoran en Malcolm",""),IF(BF185="Cancelled","Cancelado: excluido de totales",IF(R185="","Sin estado: se trata como Draft",IF(BF185="Submitted",IF(ISNUMBER(V185),IF(V185&gt;CFG_MAXD,"⚠ "&amp;V185&amp;" días en Submitted (máx. "&amp;CFG_MAXD&amp;")",""),"Falta fecha de envío"),IF(BF185="Returned","⚠ Devuelto: corregir y reenviar",IF(BF185="Recall Requested","Retirada solicitada: pendiente",IF(AND(BF185="Approved",NOT(ISNUMBER(T185))),"Falta fecha de aprobación",IF(AND(ISNUMBER(S185),ISNUMBER(T185),T185&lt;S185),"Aprobación anterior al envío","")))))))))</f>
        <v/>
      </c>
      <c r="Y185" s="80">
        <f>IF(COUNTA(B185,D185,E185,F185,G185,H185,I185,J185,R185,S185,T185)&gt;0,1,0)</f>
        <v>0</v>
      </c>
      <c r="Z185" s="80" t="str">
        <f>IF(AND(ISNUMBER(H185),H185&gt;=0,H185&lt;1),ROUND(H185*1440,0),"")</f>
        <v/>
      </c>
      <c r="AA185" s="80" t="str">
        <f>IF(AND(ISNUMBER(I185),I185&gt;=0,I185&lt;1),ROUND(I185*1440,0),"")</f>
        <v/>
      </c>
      <c r="AB185" s="80">
        <f>IF(AND(ISNUMBER(B185),D185&lt;&gt;"",ISNUMBER(Z185),ISNUMBER(AA185)),IF(Z185=AA185,0,1),0)</f>
        <v>0</v>
      </c>
      <c r="AC185" s="80">
        <f>IF(AB185=1,IF(AA185&lt;Z185,1,0),0)</f>
        <v>0</v>
      </c>
      <c r="AD185" s="80">
        <f>IF(AB185=1,IF(AC185=1,1440-Z185+AA185,AA185-Z185),0)</f>
        <v>0</v>
      </c>
      <c r="AE185" s="80">
        <f>IF(J185="",0,IF(ISNUMBER(J185),J185,-1))</f>
        <v>0</v>
      </c>
      <c r="AF185" s="80">
        <f>MIN(MAX(0,AE185),AD185)</f>
        <v>0</v>
      </c>
      <c r="AG185" s="80">
        <f>MAX(0,AD185-MAX(0,AE185))</f>
        <v>0</v>
      </c>
      <c r="AH185" s="80">
        <f>IF(ISNUMBER(B185),IF(AND(INDEX(CFG_WDAYS,WEEKDAY(INT(B185),2))="Sí",IF(D185="proMX",COUNTIFS(FER_F,INT(B185),FER_NLP,"Sí"),COUNTIFS(FER_F,INT(B185),FER_NLM,"Sí"))=0),1,0),0)</f>
        <v>0</v>
      </c>
      <c r="AI185" s="80">
        <f>IF(AC185=1,IF(AND(INDEX(CFG_WDAYS,WEEKDAY(INT(B185)+1,2))="Sí",IF(D185="proMX",COUNTIFS(FER_F,INT(B185)+1,FER_NLP,"Sí"),COUNTIFS(FER_F,INT(B185)+1,FER_NLM,"Sí"))=0),1,0),0)</f>
        <v>0</v>
      </c>
      <c r="AJ185" s="80">
        <f>IF(AC185=1,1440-Z185,AD185)</f>
        <v>0</v>
      </c>
      <c r="AK185" s="80">
        <f>IF(AND(AB185=1,AH185=1),MAX(0,MIN(IF(AC185=1,1440,AA185),CFG_WEM)-MAX(Z185,CFG_WSM)),0)</f>
        <v>0</v>
      </c>
      <c r="AL185" s="80">
        <f>IF(AND(AC185=1,AI185=1),MAX(0,MIN(AA185,CFG_WEM)-CFG_WSM),0)</f>
        <v>0</v>
      </c>
      <c r="AM185" s="80">
        <f>AK185+AL185</f>
        <v>0</v>
      </c>
      <c r="AN185" s="80">
        <f>IF(CFG_BRK="Proporcional",IF(AD185=0,0,AF185*AM185/AD185),IF(CFG_BRK="Extras primero",MIN(AM185,MAX(0,AF185-(AD185-AM185))),MIN(AF185,AM185)))</f>
        <v>0</v>
      </c>
      <c r="AO185" s="80">
        <f>AF185-AN185</f>
        <v>0</v>
      </c>
      <c r="AP185" s="80">
        <f>AM185-AN185</f>
        <v>0</v>
      </c>
      <c r="AQ185" s="80">
        <f>AD185-AM185-AO185</f>
        <v>0</v>
      </c>
      <c r="AR185" s="80">
        <f>IF(AM185=0,0,AK185-AN185*AK185/AM185)</f>
        <v>0</v>
      </c>
      <c r="AS185" s="80">
        <f>IF(AD185-AM185=0,0,(AJ185-AK185)-AO185*(AJ185-AK185)/(AD185-AM185))</f>
        <v>0</v>
      </c>
      <c r="AT185" s="80" t="str">
        <f>IF(AC185=1,INT(B185)+1,"")</f>
        <v/>
      </c>
      <c r="AU185" s="80">
        <f>IF(AND(D185="proMX",R185="Cancelled"),0,1)</f>
        <v>1</v>
      </c>
      <c r="AV185" s="80">
        <f>IF(AND(AB185=1,AU185=1),IF(COUNTIFS($D$5:D184,D185,$B$5:B184,B185,$Z$5:Z184,Z185,$AA$5:AA184,AA185,$F$5:F184,F185&amp;"",$AU$5:AU184,1)&gt;0,1,0),0)</f>
        <v>0</v>
      </c>
      <c r="AW185" s="80" t="str">
        <f>IF(AB185=1,INT(B185)*1440+Z185,"")</f>
        <v/>
      </c>
      <c r="AX185" s="80" t="str">
        <f>IF(AB185=1,AW185+AD185,"")</f>
        <v/>
      </c>
      <c r="AY185" s="80">
        <f>IF(AND(AB185=1,AV185=0,AU185=1),1,0)</f>
        <v>0</v>
      </c>
      <c r="AZ185" s="80">
        <f>IF(AY185=1,COUNTIFS(R_Emp,D185,R_SAbs,"&lt;"&amp;AX185,R_EAbs,"&gt;"&amp;AW185,R_OKey,1)-1,0)</f>
        <v>0</v>
      </c>
      <c r="BA185" s="80">
        <f>IF(AY185=1,COUNTIFS(R_Emp,"&lt;&gt;"&amp;D185,R_SAbs,"&lt;"&amp;AX185,R_EAbs,"&gt;"&amp;AW185,R_OKey,1),0)</f>
        <v>0</v>
      </c>
      <c r="BB185" s="80">
        <f>IF(AND(AB185=1,D185="proMX"),IF(AND(MOD(Z185,CFG_BLK)=0,MOD(AA185,CFG_BLK)=0,MOD(AG185,CFG_BLK)=0,AG185&gt;0),1,0),1)</f>
        <v>1</v>
      </c>
      <c r="BC185" s="80" t="str">
        <f>IF(Y185=0,"",IF(NOT(ISNUMBER(B185)),"Falta fecha o fecha inválida",IF(D185="","Falta empresa",IF(AND(D185&lt;&gt;"Malcolm",D185&lt;&gt;"proMX"),"Empresa inválida",IF(OR(INT(B185)&lt;CFG_PSTART,INT(B185)&gt;CFG_PEND),"Fecha fuera del período",IF(OR(NOT(ISNUMBER(Z185)),NOT(ISNUMBER(AA185))),"Falta hora inicio/fin o formato inválido",IF(AB185=0,"Hora inicio = hora fin",IF(AE185&lt;0,"Descanso inválido",IF(AE185&gt;=AD185,"Descanso ≥ duración",IF(AV185=1,"Registro duplicado",IF(AZ185&gt;0,"Se superpone con otro registro "&amp;D185,IF(BB185=0,"inicio, fin y duración neta deben ser múltiplos de "&amp;CFG_BLK&amp;" min",""))))))))))))</f>
        <v/>
      </c>
      <c r="BD185" s="80">
        <f>IF(AND(Y185=1,BC185=""),1,0)</f>
        <v>0</v>
      </c>
      <c r="BE185" s="80">
        <f>IF(AND(BD185=1,AU185=1),1,0)</f>
        <v>0</v>
      </c>
      <c r="BF185" s="80" t="str">
        <f>IF(AND(D185="proMX",BD185=1),IF(R185="","Draft",R185),"")</f>
        <v/>
      </c>
      <c r="BG185" s="80">
        <f>IF(BD185=1,ROUND(AG185/60,6),0)</f>
        <v>0</v>
      </c>
      <c r="BH185" s="80">
        <f>IF(BE185=1,ROUND(AG185/60,6),0)</f>
        <v>0</v>
      </c>
      <c r="BI185" s="80">
        <f>IF(BE185=1,ROUND(AP185/60,6),0)</f>
        <v>0</v>
      </c>
      <c r="BJ185" s="80">
        <f>IF(BE185=1,ROUND(AQ185/60,6),0)</f>
        <v>0</v>
      </c>
      <c r="BK185" s="80">
        <f>IF(BE185=1,ROUND((AR185+AS185)/60,6),0)</f>
        <v>0</v>
      </c>
      <c r="BL185" s="80">
        <f>ROUND(BH185-BK185,6)</f>
        <v>0</v>
      </c>
      <c r="BM185" s="80">
        <f>IF(BE185=1,ROUND(AR185/60,6),0)</f>
        <v>0</v>
      </c>
      <c r="BN185" s="80">
        <f>ROUND(BI185-BM185,6)</f>
        <v>0</v>
      </c>
      <c r="BO185" s="80">
        <f>IF(BE185=1,ROUND(AS185/60,6),0)</f>
        <v>0</v>
      </c>
      <c r="BP185" s="80">
        <f>ROUND(BJ185-BO185,6)</f>
        <v>0</v>
      </c>
      <c r="BQ185" s="80">
        <f>IF(BE185=1,AW185,0)</f>
        <v>0</v>
      </c>
      <c r="BR185" s="80">
        <f>IF(BE185=1,AX185,0)</f>
        <v>0</v>
      </c>
      <c r="BS185" s="80">
        <f>IF(AND(BE185=1,D185="Malcolm",BA185&gt;0),MIN(BH185,SUMPRODUCT((R_Emp="proMX")*(R_EN&gt;0)*((R_EN-(R_EN&gt;BR185)*(R_EN-BR185))&gt;(R_SN+(R_SN&lt;BQ185)*(BQ185-R_SN)))*((R_EN-(R_EN&gt;BR185)*(R_EN-BR185))-(R_SN+(R_SN&lt;BQ185)*(BQ185-R_SN))))/60),0)</f>
        <v>0</v>
      </c>
      <c r="BT185" s="80">
        <f>IF(AND(BE185=1,D185="proMX"),ROUND(BI185*CFG_RATE+BJ185*CFG_OTRATE,6),0)</f>
        <v>0</v>
      </c>
      <c r="BU185" s="80">
        <f>IF(AND(BD185=1,D185="proMX"),ROUND(AG185/CFG_BLK,6),0)</f>
        <v>0</v>
      </c>
      <c r="BV185" s="80" t="str">
        <f>IF(BF185="Approved",IF(ISNUMBER(T185),INT(T185),INT(B185)),"")</f>
        <v/>
      </c>
      <c r="BW185" s="80">
        <f>IF(ISNUMBER(B185),IF(DB_MON="Todos",1,IF(AND(INT(B185)&gt;=DB_MS,INT(B185)&lt;=DB_ME),1,0)),0)</f>
        <v>0</v>
      </c>
      <c r="BX185" s="80">
        <f>IF(DB_PROJ="Todos",1,IF(E185&amp;""=DB_PROJ&amp;"",1,0))</f>
        <v>1</v>
      </c>
      <c r="BY185" s="80">
        <f>BW185*BX185</f>
        <v>0</v>
      </c>
      <c r="BZ185" s="80" t="str">
        <f>IF(Y185=1,F185&amp;IF(AND(F185&amp;""&lt;&gt;"",E185&amp;""&lt;&gt;"")," · ","")&amp;E185,"")</f>
        <v/>
      </c>
      <c r="CA185" s="80" t="str">
        <f>IF(AND(BD185=1,E185&amp;""&lt;&gt;""),IF(COUNTIFS($E$5:E184,E185,$BD$5:BD184,1)=0,MAX($CA$5:CA184)+1,""),"")</f>
        <v/>
      </c>
      <c r="CB185" s="80" t="str">
        <f>IF(AND(BE185=1,D185="Malcolm",E185&amp;""&lt;&gt;""),IF(COUNTIFS($D$5:D184,"Malcolm",$E$5:E184,E185,$BE$5:BE184,1)=0,MAX($CB$5:CB184)+1,""),"")</f>
        <v/>
      </c>
      <c r="CC185" s="80" t="str">
        <f>IF(AND(BD185=1,D185="proMX",E185&amp;""&lt;&gt;""),IF(COUNTIFS($D$5:D184,"proMX",$E$5:E184,E185,$BD$5:BD184,1)=0,MAX($CC$5:CC184)+1,""),"")</f>
        <v/>
      </c>
      <c r="CD185" s="80" t="str">
        <f>IF(AND(BE185=1,D185="Malcolm",F185&amp;""&lt;&gt;""),IF(COUNTIFS($D$5:D184,"Malcolm",$F$5:F184,F185,$BE$5:BE184,1)=0,MAX($CD$5:CD184)+1,""),"")</f>
        <v/>
      </c>
      <c r="CE185" s="80" t="str">
        <f>IF(AND(BD185=1,D185="proMX",F185&amp;""&lt;&gt;""),IF(COUNTIFS($D$5:D184,"proMX",$F$5:F184,F185,$BD$5:BD184,1)=0,MAX($CE$5:CE184)+1,""),"")</f>
        <v/>
      </c>
      <c r="CF185" s="80" t="str">
        <f>IF(AND(D185="proMX",BD185=1),IF(OR(BF185="Draft",BF185="Submitted",BF185="Returned",BF185="Recall Requested"),MAX($CF$5:CF184)+1,""),"")</f>
        <v/>
      </c>
      <c r="CG185" s="80">
        <f>IF(BD185=0,0,IF(D185="Malcolm",1,MATCH(BF185,{"Draft","Submitted","Approved","Returned","Recall Requested","Cancelled"},0)+1))</f>
        <v>0</v>
      </c>
      <c r="CH185" s="80">
        <f>IF(AND(BF185="Submitted",ISNUMBER(V185)),IF(V185&gt;CFG_MAXD,1,0),0)</f>
        <v>0</v>
      </c>
    </row>
    <row r="186">
      <c r="A186" s="71" t="str">
        <f>IF(Y186=1,ROW()-5,"")</f>
        <v/>
      </c>
      <c r="B186" s="72" t="n"/>
      <c r="C186" s="71" t="str">
        <f>IF(ISNUMBER(B186),CHOOSE(WEEKDAY(B186,2),"Lun","Mar","Mié","Jue","Vie","Sáb","Dom"),"")</f>
        <v/>
      </c>
      <c r="D186" s="73" t="n"/>
      <c r="E186" s="74" t="n"/>
      <c r="F186" s="74" t="n"/>
      <c r="G186" s="74" t="n"/>
      <c r="H186" s="75" t="n"/>
      <c r="I186" s="75" t="n"/>
      <c r="J186" s="76" t="n"/>
      <c r="K186" s="77" t="str">
        <f>IF(AB186=1,ROUND(AG186/60,4),"")</f>
        <v/>
      </c>
      <c r="L186" s="77" t="str">
        <f>IF(BD186=1,ROUND(AP186/60,4),"")</f>
        <v/>
      </c>
      <c r="M186" s="77" t="str">
        <f>IF(BD186=1,ROUND(AQ186/60,4),"")</f>
        <v/>
      </c>
      <c r="N186" s="71" t="str">
        <f>IF(AND(D186="proMX",AB186=1),ROUND(AG186/CFG_BLK,2),"")</f>
        <v/>
      </c>
      <c r="O186" s="77" t="str">
        <f>IF(D186="proMX",IF(BD186=1,ROUND(AG186/60,4),0),"")</f>
        <v/>
      </c>
      <c r="P186" s="78" t="str">
        <f>IF(Y186=0,"",IF(BD186=1,"OK",IF(D186="proMX","Revisar bloques: ","Revisar: ")&amp;BC186))</f>
        <v/>
      </c>
      <c r="Q186" s="78" t="str">
        <f>IF(NOT(ISNUMBER(B186)),"",IF(COUNTIFS(FER_F,INT(B186))&gt;0,"Feriado"&amp;IF(AH186=1," (laborable)"," (no laborable)"),IF(AH186=1,"Laborable",IF(WEEKDAY(B186,2)&gt;5,"Fin de semana","No laborable"))))</f>
        <v/>
      </c>
      <c r="R186" s="73" t="n"/>
      <c r="S186" s="72" t="n"/>
      <c r="T186" s="72" t="n"/>
      <c r="U186" s="74" t="n"/>
      <c r="V186" s="79" t="str">
        <f>IF(AND(D186="proMX",OR(R186="Submitted",R186="Recall Requested"),ISNUMBER(S186)),CFG_TODAY-INT(S186),"")</f>
        <v/>
      </c>
      <c r="W186" s="78" t="str">
        <f>IF(BD186=0,"",IF(BA186&gt;0,"⚠ Se superpone con un registro de la otra empresa",IF(D186="Malcolm",IF(COUNTA(R186,S186,T186)&gt;0,"Estado/fechas proMX se ignoran en Malcolm",""),IF(BF186="Cancelled","Cancelado: excluido de totales",IF(R186="","Sin estado: se trata como Draft",IF(BF186="Submitted",IF(ISNUMBER(V186),IF(V186&gt;CFG_MAXD,"⚠ "&amp;V186&amp;" días en Submitted (máx. "&amp;CFG_MAXD&amp;")",""),"Falta fecha de envío"),IF(BF186="Returned","⚠ Devuelto: corregir y reenviar",IF(BF186="Recall Requested","Retirada solicitada: pendiente",IF(AND(BF186="Approved",NOT(ISNUMBER(T186))),"Falta fecha de aprobación",IF(AND(ISNUMBER(S186),ISNUMBER(T186),T186&lt;S186),"Aprobación anterior al envío","")))))))))</f>
        <v/>
      </c>
      <c r="Y186" s="80">
        <f>IF(COUNTA(B186,D186,E186,F186,G186,H186,I186,J186,R186,S186,T186)&gt;0,1,0)</f>
        <v>0</v>
      </c>
      <c r="Z186" s="80" t="str">
        <f>IF(AND(ISNUMBER(H186),H186&gt;=0,H186&lt;1),ROUND(H186*1440,0),"")</f>
        <v/>
      </c>
      <c r="AA186" s="80" t="str">
        <f>IF(AND(ISNUMBER(I186),I186&gt;=0,I186&lt;1),ROUND(I186*1440,0),"")</f>
        <v/>
      </c>
      <c r="AB186" s="80">
        <f>IF(AND(ISNUMBER(B186),D186&lt;&gt;"",ISNUMBER(Z186),ISNUMBER(AA186)),IF(Z186=AA186,0,1),0)</f>
        <v>0</v>
      </c>
      <c r="AC186" s="80">
        <f>IF(AB186=1,IF(AA186&lt;Z186,1,0),0)</f>
        <v>0</v>
      </c>
      <c r="AD186" s="80">
        <f>IF(AB186=1,IF(AC186=1,1440-Z186+AA186,AA186-Z186),0)</f>
        <v>0</v>
      </c>
      <c r="AE186" s="80">
        <f>IF(J186="",0,IF(ISNUMBER(J186),J186,-1))</f>
        <v>0</v>
      </c>
      <c r="AF186" s="80">
        <f>MIN(MAX(0,AE186),AD186)</f>
        <v>0</v>
      </c>
      <c r="AG186" s="80">
        <f>MAX(0,AD186-MAX(0,AE186))</f>
        <v>0</v>
      </c>
      <c r="AH186" s="80">
        <f>IF(ISNUMBER(B186),IF(AND(INDEX(CFG_WDAYS,WEEKDAY(INT(B186),2))="Sí",IF(D186="proMX",COUNTIFS(FER_F,INT(B186),FER_NLP,"Sí"),COUNTIFS(FER_F,INT(B186),FER_NLM,"Sí"))=0),1,0),0)</f>
        <v>0</v>
      </c>
      <c r="AI186" s="80">
        <f>IF(AC186=1,IF(AND(INDEX(CFG_WDAYS,WEEKDAY(INT(B186)+1,2))="Sí",IF(D186="proMX",COUNTIFS(FER_F,INT(B186)+1,FER_NLP,"Sí"),COUNTIFS(FER_F,INT(B186)+1,FER_NLM,"Sí"))=0),1,0),0)</f>
        <v>0</v>
      </c>
      <c r="AJ186" s="80">
        <f>IF(AC186=1,1440-Z186,AD186)</f>
        <v>0</v>
      </c>
      <c r="AK186" s="80">
        <f>IF(AND(AB186=1,AH186=1),MAX(0,MIN(IF(AC186=1,1440,AA186),CFG_WEM)-MAX(Z186,CFG_WSM)),0)</f>
        <v>0</v>
      </c>
      <c r="AL186" s="80">
        <f>IF(AND(AC186=1,AI186=1),MAX(0,MIN(AA186,CFG_WEM)-CFG_WSM),0)</f>
        <v>0</v>
      </c>
      <c r="AM186" s="80">
        <f>AK186+AL186</f>
        <v>0</v>
      </c>
      <c r="AN186" s="80">
        <f>IF(CFG_BRK="Proporcional",IF(AD186=0,0,AF186*AM186/AD186),IF(CFG_BRK="Extras primero",MIN(AM186,MAX(0,AF186-(AD186-AM186))),MIN(AF186,AM186)))</f>
        <v>0</v>
      </c>
      <c r="AO186" s="80">
        <f>AF186-AN186</f>
        <v>0</v>
      </c>
      <c r="AP186" s="80">
        <f>AM186-AN186</f>
        <v>0</v>
      </c>
      <c r="AQ186" s="80">
        <f>AD186-AM186-AO186</f>
        <v>0</v>
      </c>
      <c r="AR186" s="80">
        <f>IF(AM186=0,0,AK186-AN186*AK186/AM186)</f>
        <v>0</v>
      </c>
      <c r="AS186" s="80">
        <f>IF(AD186-AM186=0,0,(AJ186-AK186)-AO186*(AJ186-AK186)/(AD186-AM186))</f>
        <v>0</v>
      </c>
      <c r="AT186" s="80" t="str">
        <f>IF(AC186=1,INT(B186)+1,"")</f>
        <v/>
      </c>
      <c r="AU186" s="80">
        <f>IF(AND(D186="proMX",R186="Cancelled"),0,1)</f>
        <v>1</v>
      </c>
      <c r="AV186" s="80">
        <f>IF(AND(AB186=1,AU186=1),IF(COUNTIFS($D$5:D185,D186,$B$5:B185,B186,$Z$5:Z185,Z186,$AA$5:AA185,AA186,$F$5:F185,F186&amp;"",$AU$5:AU185,1)&gt;0,1,0),0)</f>
        <v>0</v>
      </c>
      <c r="AW186" s="80" t="str">
        <f>IF(AB186=1,INT(B186)*1440+Z186,"")</f>
        <v/>
      </c>
      <c r="AX186" s="80" t="str">
        <f>IF(AB186=1,AW186+AD186,"")</f>
        <v/>
      </c>
      <c r="AY186" s="80">
        <f>IF(AND(AB186=1,AV186=0,AU186=1),1,0)</f>
        <v>0</v>
      </c>
      <c r="AZ186" s="80">
        <f>IF(AY186=1,COUNTIFS(R_Emp,D186,R_SAbs,"&lt;"&amp;AX186,R_EAbs,"&gt;"&amp;AW186,R_OKey,1)-1,0)</f>
        <v>0</v>
      </c>
      <c r="BA186" s="80">
        <f>IF(AY186=1,COUNTIFS(R_Emp,"&lt;&gt;"&amp;D186,R_SAbs,"&lt;"&amp;AX186,R_EAbs,"&gt;"&amp;AW186,R_OKey,1),0)</f>
        <v>0</v>
      </c>
      <c r="BB186" s="80">
        <f>IF(AND(AB186=1,D186="proMX"),IF(AND(MOD(Z186,CFG_BLK)=0,MOD(AA186,CFG_BLK)=0,MOD(AG186,CFG_BLK)=0,AG186&gt;0),1,0),1)</f>
        <v>1</v>
      </c>
      <c r="BC186" s="80" t="str">
        <f>IF(Y186=0,"",IF(NOT(ISNUMBER(B186)),"Falta fecha o fecha inválida",IF(D186="","Falta empresa",IF(AND(D186&lt;&gt;"Malcolm",D186&lt;&gt;"proMX"),"Empresa inválida",IF(OR(INT(B186)&lt;CFG_PSTART,INT(B186)&gt;CFG_PEND),"Fecha fuera del período",IF(OR(NOT(ISNUMBER(Z186)),NOT(ISNUMBER(AA186))),"Falta hora inicio/fin o formato inválido",IF(AB186=0,"Hora inicio = hora fin",IF(AE186&lt;0,"Descanso inválido",IF(AE186&gt;=AD186,"Descanso ≥ duración",IF(AV186=1,"Registro duplicado",IF(AZ186&gt;0,"Se superpone con otro registro "&amp;D186,IF(BB186=0,"inicio, fin y duración neta deben ser múltiplos de "&amp;CFG_BLK&amp;" min",""))))))))))))</f>
        <v/>
      </c>
      <c r="BD186" s="80">
        <f>IF(AND(Y186=1,BC186=""),1,0)</f>
        <v>0</v>
      </c>
      <c r="BE186" s="80">
        <f>IF(AND(BD186=1,AU186=1),1,0)</f>
        <v>0</v>
      </c>
      <c r="BF186" s="80" t="str">
        <f>IF(AND(D186="proMX",BD186=1),IF(R186="","Draft",R186),"")</f>
        <v/>
      </c>
      <c r="BG186" s="80">
        <f>IF(BD186=1,ROUND(AG186/60,6),0)</f>
        <v>0</v>
      </c>
      <c r="BH186" s="80">
        <f>IF(BE186=1,ROUND(AG186/60,6),0)</f>
        <v>0</v>
      </c>
      <c r="BI186" s="80">
        <f>IF(BE186=1,ROUND(AP186/60,6),0)</f>
        <v>0</v>
      </c>
      <c r="BJ186" s="80">
        <f>IF(BE186=1,ROUND(AQ186/60,6),0)</f>
        <v>0</v>
      </c>
      <c r="BK186" s="80">
        <f>IF(BE186=1,ROUND((AR186+AS186)/60,6),0)</f>
        <v>0</v>
      </c>
      <c r="BL186" s="80">
        <f>ROUND(BH186-BK186,6)</f>
        <v>0</v>
      </c>
      <c r="BM186" s="80">
        <f>IF(BE186=1,ROUND(AR186/60,6),0)</f>
        <v>0</v>
      </c>
      <c r="BN186" s="80">
        <f>ROUND(BI186-BM186,6)</f>
        <v>0</v>
      </c>
      <c r="BO186" s="80">
        <f>IF(BE186=1,ROUND(AS186/60,6),0)</f>
        <v>0</v>
      </c>
      <c r="BP186" s="80">
        <f>ROUND(BJ186-BO186,6)</f>
        <v>0</v>
      </c>
      <c r="BQ186" s="80">
        <f>IF(BE186=1,AW186,0)</f>
        <v>0</v>
      </c>
      <c r="BR186" s="80">
        <f>IF(BE186=1,AX186,0)</f>
        <v>0</v>
      </c>
      <c r="BS186" s="80">
        <f>IF(AND(BE186=1,D186="Malcolm",BA186&gt;0),MIN(BH186,SUMPRODUCT((R_Emp="proMX")*(R_EN&gt;0)*((R_EN-(R_EN&gt;BR186)*(R_EN-BR186))&gt;(R_SN+(R_SN&lt;BQ186)*(BQ186-R_SN)))*((R_EN-(R_EN&gt;BR186)*(R_EN-BR186))-(R_SN+(R_SN&lt;BQ186)*(BQ186-R_SN))))/60),0)</f>
        <v>0</v>
      </c>
      <c r="BT186" s="80">
        <f>IF(AND(BE186=1,D186="proMX"),ROUND(BI186*CFG_RATE+BJ186*CFG_OTRATE,6),0)</f>
        <v>0</v>
      </c>
      <c r="BU186" s="80">
        <f>IF(AND(BD186=1,D186="proMX"),ROUND(AG186/CFG_BLK,6),0)</f>
        <v>0</v>
      </c>
      <c r="BV186" s="80" t="str">
        <f>IF(BF186="Approved",IF(ISNUMBER(T186),INT(T186),INT(B186)),"")</f>
        <v/>
      </c>
      <c r="BW186" s="80">
        <f>IF(ISNUMBER(B186),IF(DB_MON="Todos",1,IF(AND(INT(B186)&gt;=DB_MS,INT(B186)&lt;=DB_ME),1,0)),0)</f>
        <v>0</v>
      </c>
      <c r="BX186" s="80">
        <f>IF(DB_PROJ="Todos",1,IF(E186&amp;""=DB_PROJ&amp;"",1,0))</f>
        <v>1</v>
      </c>
      <c r="BY186" s="80">
        <f>BW186*BX186</f>
        <v>0</v>
      </c>
      <c r="BZ186" s="80" t="str">
        <f>IF(Y186=1,F186&amp;IF(AND(F186&amp;""&lt;&gt;"",E186&amp;""&lt;&gt;"")," · ","")&amp;E186,"")</f>
        <v/>
      </c>
      <c r="CA186" s="80" t="str">
        <f>IF(AND(BD186=1,E186&amp;""&lt;&gt;""),IF(COUNTIFS($E$5:E185,E186,$BD$5:BD185,1)=0,MAX($CA$5:CA185)+1,""),"")</f>
        <v/>
      </c>
      <c r="CB186" s="80" t="str">
        <f>IF(AND(BE186=1,D186="Malcolm",E186&amp;""&lt;&gt;""),IF(COUNTIFS($D$5:D185,"Malcolm",$E$5:E185,E186,$BE$5:BE185,1)=0,MAX($CB$5:CB185)+1,""),"")</f>
        <v/>
      </c>
      <c r="CC186" s="80" t="str">
        <f>IF(AND(BD186=1,D186="proMX",E186&amp;""&lt;&gt;""),IF(COUNTIFS($D$5:D185,"proMX",$E$5:E185,E186,$BD$5:BD185,1)=0,MAX($CC$5:CC185)+1,""),"")</f>
        <v/>
      </c>
      <c r="CD186" s="80" t="str">
        <f>IF(AND(BE186=1,D186="Malcolm",F186&amp;""&lt;&gt;""),IF(COUNTIFS($D$5:D185,"Malcolm",$F$5:F185,F186,$BE$5:BE185,1)=0,MAX($CD$5:CD185)+1,""),"")</f>
        <v/>
      </c>
      <c r="CE186" s="80" t="str">
        <f>IF(AND(BD186=1,D186="proMX",F186&amp;""&lt;&gt;""),IF(COUNTIFS($D$5:D185,"proMX",$F$5:F185,F186,$BD$5:BD185,1)=0,MAX($CE$5:CE185)+1,""),"")</f>
        <v/>
      </c>
      <c r="CF186" s="80" t="str">
        <f>IF(AND(D186="proMX",BD186=1),IF(OR(BF186="Draft",BF186="Submitted",BF186="Returned",BF186="Recall Requested"),MAX($CF$5:CF185)+1,""),"")</f>
        <v/>
      </c>
      <c r="CG186" s="80">
        <f>IF(BD186=0,0,IF(D186="Malcolm",1,MATCH(BF186,{"Draft","Submitted","Approved","Returned","Recall Requested","Cancelled"},0)+1))</f>
        <v>0</v>
      </c>
      <c r="CH186" s="80">
        <f>IF(AND(BF186="Submitted",ISNUMBER(V186)),IF(V186&gt;CFG_MAXD,1,0),0)</f>
        <v>0</v>
      </c>
    </row>
    <row r="187">
      <c r="A187" s="71" t="str">
        <f>IF(Y187=1,ROW()-5,"")</f>
        <v/>
      </c>
      <c r="B187" s="72" t="n"/>
      <c r="C187" s="71" t="str">
        <f>IF(ISNUMBER(B187),CHOOSE(WEEKDAY(B187,2),"Lun","Mar","Mié","Jue","Vie","Sáb","Dom"),"")</f>
        <v/>
      </c>
      <c r="D187" s="73" t="n"/>
      <c r="E187" s="74" t="n"/>
      <c r="F187" s="74" t="n"/>
      <c r="G187" s="74" t="n"/>
      <c r="H187" s="75" t="n"/>
      <c r="I187" s="75" t="n"/>
      <c r="J187" s="76" t="n"/>
      <c r="K187" s="77" t="str">
        <f>IF(AB187=1,ROUND(AG187/60,4),"")</f>
        <v/>
      </c>
      <c r="L187" s="77" t="str">
        <f>IF(BD187=1,ROUND(AP187/60,4),"")</f>
        <v/>
      </c>
      <c r="M187" s="77" t="str">
        <f>IF(BD187=1,ROUND(AQ187/60,4),"")</f>
        <v/>
      </c>
      <c r="N187" s="71" t="str">
        <f>IF(AND(D187="proMX",AB187=1),ROUND(AG187/CFG_BLK,2),"")</f>
        <v/>
      </c>
      <c r="O187" s="77" t="str">
        <f>IF(D187="proMX",IF(BD187=1,ROUND(AG187/60,4),0),"")</f>
        <v/>
      </c>
      <c r="P187" s="78" t="str">
        <f>IF(Y187=0,"",IF(BD187=1,"OK",IF(D187="proMX","Revisar bloques: ","Revisar: ")&amp;BC187))</f>
        <v/>
      </c>
      <c r="Q187" s="78" t="str">
        <f>IF(NOT(ISNUMBER(B187)),"",IF(COUNTIFS(FER_F,INT(B187))&gt;0,"Feriado"&amp;IF(AH187=1," (laborable)"," (no laborable)"),IF(AH187=1,"Laborable",IF(WEEKDAY(B187,2)&gt;5,"Fin de semana","No laborable"))))</f>
        <v/>
      </c>
      <c r="R187" s="73" t="n"/>
      <c r="S187" s="72" t="n"/>
      <c r="T187" s="72" t="n"/>
      <c r="U187" s="74" t="n"/>
      <c r="V187" s="79" t="str">
        <f>IF(AND(D187="proMX",OR(R187="Submitted",R187="Recall Requested"),ISNUMBER(S187)),CFG_TODAY-INT(S187),"")</f>
        <v/>
      </c>
      <c r="W187" s="78" t="str">
        <f>IF(BD187=0,"",IF(BA187&gt;0,"⚠ Se superpone con un registro de la otra empresa",IF(D187="Malcolm",IF(COUNTA(R187,S187,T187)&gt;0,"Estado/fechas proMX se ignoran en Malcolm",""),IF(BF187="Cancelled","Cancelado: excluido de totales",IF(R187="","Sin estado: se trata como Draft",IF(BF187="Submitted",IF(ISNUMBER(V187),IF(V187&gt;CFG_MAXD,"⚠ "&amp;V187&amp;" días en Submitted (máx. "&amp;CFG_MAXD&amp;")",""),"Falta fecha de envío"),IF(BF187="Returned","⚠ Devuelto: corregir y reenviar",IF(BF187="Recall Requested","Retirada solicitada: pendiente",IF(AND(BF187="Approved",NOT(ISNUMBER(T187))),"Falta fecha de aprobación",IF(AND(ISNUMBER(S187),ISNUMBER(T187),T187&lt;S187),"Aprobación anterior al envío","")))))))))</f>
        <v/>
      </c>
      <c r="Y187" s="80">
        <f>IF(COUNTA(B187,D187,E187,F187,G187,H187,I187,J187,R187,S187,T187)&gt;0,1,0)</f>
        <v>0</v>
      </c>
      <c r="Z187" s="80" t="str">
        <f>IF(AND(ISNUMBER(H187),H187&gt;=0,H187&lt;1),ROUND(H187*1440,0),"")</f>
        <v/>
      </c>
      <c r="AA187" s="80" t="str">
        <f>IF(AND(ISNUMBER(I187),I187&gt;=0,I187&lt;1),ROUND(I187*1440,0),"")</f>
        <v/>
      </c>
      <c r="AB187" s="80">
        <f>IF(AND(ISNUMBER(B187),D187&lt;&gt;"",ISNUMBER(Z187),ISNUMBER(AA187)),IF(Z187=AA187,0,1),0)</f>
        <v>0</v>
      </c>
      <c r="AC187" s="80">
        <f>IF(AB187=1,IF(AA187&lt;Z187,1,0),0)</f>
        <v>0</v>
      </c>
      <c r="AD187" s="80">
        <f>IF(AB187=1,IF(AC187=1,1440-Z187+AA187,AA187-Z187),0)</f>
        <v>0</v>
      </c>
      <c r="AE187" s="80">
        <f>IF(J187="",0,IF(ISNUMBER(J187),J187,-1))</f>
        <v>0</v>
      </c>
      <c r="AF187" s="80">
        <f>MIN(MAX(0,AE187),AD187)</f>
        <v>0</v>
      </c>
      <c r="AG187" s="80">
        <f>MAX(0,AD187-MAX(0,AE187))</f>
        <v>0</v>
      </c>
      <c r="AH187" s="80">
        <f>IF(ISNUMBER(B187),IF(AND(INDEX(CFG_WDAYS,WEEKDAY(INT(B187),2))="Sí",IF(D187="proMX",COUNTIFS(FER_F,INT(B187),FER_NLP,"Sí"),COUNTIFS(FER_F,INT(B187),FER_NLM,"Sí"))=0),1,0),0)</f>
        <v>0</v>
      </c>
      <c r="AI187" s="80">
        <f>IF(AC187=1,IF(AND(INDEX(CFG_WDAYS,WEEKDAY(INT(B187)+1,2))="Sí",IF(D187="proMX",COUNTIFS(FER_F,INT(B187)+1,FER_NLP,"Sí"),COUNTIFS(FER_F,INT(B187)+1,FER_NLM,"Sí"))=0),1,0),0)</f>
        <v>0</v>
      </c>
      <c r="AJ187" s="80">
        <f>IF(AC187=1,1440-Z187,AD187)</f>
        <v>0</v>
      </c>
      <c r="AK187" s="80">
        <f>IF(AND(AB187=1,AH187=1),MAX(0,MIN(IF(AC187=1,1440,AA187),CFG_WEM)-MAX(Z187,CFG_WSM)),0)</f>
        <v>0</v>
      </c>
      <c r="AL187" s="80">
        <f>IF(AND(AC187=1,AI187=1),MAX(0,MIN(AA187,CFG_WEM)-CFG_WSM),0)</f>
        <v>0</v>
      </c>
      <c r="AM187" s="80">
        <f>AK187+AL187</f>
        <v>0</v>
      </c>
      <c r="AN187" s="80">
        <f>IF(CFG_BRK="Proporcional",IF(AD187=0,0,AF187*AM187/AD187),IF(CFG_BRK="Extras primero",MIN(AM187,MAX(0,AF187-(AD187-AM187))),MIN(AF187,AM187)))</f>
        <v>0</v>
      </c>
      <c r="AO187" s="80">
        <f>AF187-AN187</f>
        <v>0</v>
      </c>
      <c r="AP187" s="80">
        <f>AM187-AN187</f>
        <v>0</v>
      </c>
      <c r="AQ187" s="80">
        <f>AD187-AM187-AO187</f>
        <v>0</v>
      </c>
      <c r="AR187" s="80">
        <f>IF(AM187=0,0,AK187-AN187*AK187/AM187)</f>
        <v>0</v>
      </c>
      <c r="AS187" s="80">
        <f>IF(AD187-AM187=0,0,(AJ187-AK187)-AO187*(AJ187-AK187)/(AD187-AM187))</f>
        <v>0</v>
      </c>
      <c r="AT187" s="80" t="str">
        <f>IF(AC187=1,INT(B187)+1,"")</f>
        <v/>
      </c>
      <c r="AU187" s="80">
        <f>IF(AND(D187="proMX",R187="Cancelled"),0,1)</f>
        <v>1</v>
      </c>
      <c r="AV187" s="80">
        <f>IF(AND(AB187=1,AU187=1),IF(COUNTIFS($D$5:D186,D187,$B$5:B186,B187,$Z$5:Z186,Z187,$AA$5:AA186,AA187,$F$5:F186,F187&amp;"",$AU$5:AU186,1)&gt;0,1,0),0)</f>
        <v>0</v>
      </c>
      <c r="AW187" s="80" t="str">
        <f>IF(AB187=1,INT(B187)*1440+Z187,"")</f>
        <v/>
      </c>
      <c r="AX187" s="80" t="str">
        <f>IF(AB187=1,AW187+AD187,"")</f>
        <v/>
      </c>
      <c r="AY187" s="80">
        <f>IF(AND(AB187=1,AV187=0,AU187=1),1,0)</f>
        <v>0</v>
      </c>
      <c r="AZ187" s="80">
        <f>IF(AY187=1,COUNTIFS(R_Emp,D187,R_SAbs,"&lt;"&amp;AX187,R_EAbs,"&gt;"&amp;AW187,R_OKey,1)-1,0)</f>
        <v>0</v>
      </c>
      <c r="BA187" s="80">
        <f>IF(AY187=1,COUNTIFS(R_Emp,"&lt;&gt;"&amp;D187,R_SAbs,"&lt;"&amp;AX187,R_EAbs,"&gt;"&amp;AW187,R_OKey,1),0)</f>
        <v>0</v>
      </c>
      <c r="BB187" s="80">
        <f>IF(AND(AB187=1,D187="proMX"),IF(AND(MOD(Z187,CFG_BLK)=0,MOD(AA187,CFG_BLK)=0,MOD(AG187,CFG_BLK)=0,AG187&gt;0),1,0),1)</f>
        <v>1</v>
      </c>
      <c r="BC187" s="80" t="str">
        <f>IF(Y187=0,"",IF(NOT(ISNUMBER(B187)),"Falta fecha o fecha inválida",IF(D187="","Falta empresa",IF(AND(D187&lt;&gt;"Malcolm",D187&lt;&gt;"proMX"),"Empresa inválida",IF(OR(INT(B187)&lt;CFG_PSTART,INT(B187)&gt;CFG_PEND),"Fecha fuera del período",IF(OR(NOT(ISNUMBER(Z187)),NOT(ISNUMBER(AA187))),"Falta hora inicio/fin o formato inválido",IF(AB187=0,"Hora inicio = hora fin",IF(AE187&lt;0,"Descanso inválido",IF(AE187&gt;=AD187,"Descanso ≥ duración",IF(AV187=1,"Registro duplicado",IF(AZ187&gt;0,"Se superpone con otro registro "&amp;D187,IF(BB187=0,"inicio, fin y duración neta deben ser múltiplos de "&amp;CFG_BLK&amp;" min",""))))))))))))</f>
        <v/>
      </c>
      <c r="BD187" s="80">
        <f>IF(AND(Y187=1,BC187=""),1,0)</f>
        <v>0</v>
      </c>
      <c r="BE187" s="80">
        <f>IF(AND(BD187=1,AU187=1),1,0)</f>
        <v>0</v>
      </c>
      <c r="BF187" s="80" t="str">
        <f>IF(AND(D187="proMX",BD187=1),IF(R187="","Draft",R187),"")</f>
        <v/>
      </c>
      <c r="BG187" s="80">
        <f>IF(BD187=1,ROUND(AG187/60,6),0)</f>
        <v>0</v>
      </c>
      <c r="BH187" s="80">
        <f>IF(BE187=1,ROUND(AG187/60,6),0)</f>
        <v>0</v>
      </c>
      <c r="BI187" s="80">
        <f>IF(BE187=1,ROUND(AP187/60,6),0)</f>
        <v>0</v>
      </c>
      <c r="BJ187" s="80">
        <f>IF(BE187=1,ROUND(AQ187/60,6),0)</f>
        <v>0</v>
      </c>
      <c r="BK187" s="80">
        <f>IF(BE187=1,ROUND((AR187+AS187)/60,6),0)</f>
        <v>0</v>
      </c>
      <c r="BL187" s="80">
        <f>ROUND(BH187-BK187,6)</f>
        <v>0</v>
      </c>
      <c r="BM187" s="80">
        <f>IF(BE187=1,ROUND(AR187/60,6),0)</f>
        <v>0</v>
      </c>
      <c r="BN187" s="80">
        <f>ROUND(BI187-BM187,6)</f>
        <v>0</v>
      </c>
      <c r="BO187" s="80">
        <f>IF(BE187=1,ROUND(AS187/60,6),0)</f>
        <v>0</v>
      </c>
      <c r="BP187" s="80">
        <f>ROUND(BJ187-BO187,6)</f>
        <v>0</v>
      </c>
      <c r="BQ187" s="80">
        <f>IF(BE187=1,AW187,0)</f>
        <v>0</v>
      </c>
      <c r="BR187" s="80">
        <f>IF(BE187=1,AX187,0)</f>
        <v>0</v>
      </c>
      <c r="BS187" s="80">
        <f>IF(AND(BE187=1,D187="Malcolm",BA187&gt;0),MIN(BH187,SUMPRODUCT((R_Emp="proMX")*(R_EN&gt;0)*((R_EN-(R_EN&gt;BR187)*(R_EN-BR187))&gt;(R_SN+(R_SN&lt;BQ187)*(BQ187-R_SN)))*((R_EN-(R_EN&gt;BR187)*(R_EN-BR187))-(R_SN+(R_SN&lt;BQ187)*(BQ187-R_SN))))/60),0)</f>
        <v>0</v>
      </c>
      <c r="BT187" s="80">
        <f>IF(AND(BE187=1,D187="proMX"),ROUND(BI187*CFG_RATE+BJ187*CFG_OTRATE,6),0)</f>
        <v>0</v>
      </c>
      <c r="BU187" s="80">
        <f>IF(AND(BD187=1,D187="proMX"),ROUND(AG187/CFG_BLK,6),0)</f>
        <v>0</v>
      </c>
      <c r="BV187" s="80" t="str">
        <f>IF(BF187="Approved",IF(ISNUMBER(T187),INT(T187),INT(B187)),"")</f>
        <v/>
      </c>
      <c r="BW187" s="80">
        <f>IF(ISNUMBER(B187),IF(DB_MON="Todos",1,IF(AND(INT(B187)&gt;=DB_MS,INT(B187)&lt;=DB_ME),1,0)),0)</f>
        <v>0</v>
      </c>
      <c r="BX187" s="80">
        <f>IF(DB_PROJ="Todos",1,IF(E187&amp;""=DB_PROJ&amp;"",1,0))</f>
        <v>1</v>
      </c>
      <c r="BY187" s="80">
        <f>BW187*BX187</f>
        <v>0</v>
      </c>
      <c r="BZ187" s="80" t="str">
        <f>IF(Y187=1,F187&amp;IF(AND(F187&amp;""&lt;&gt;"",E187&amp;""&lt;&gt;"")," · ","")&amp;E187,"")</f>
        <v/>
      </c>
      <c r="CA187" s="80" t="str">
        <f>IF(AND(BD187=1,E187&amp;""&lt;&gt;""),IF(COUNTIFS($E$5:E186,E187,$BD$5:BD186,1)=0,MAX($CA$5:CA186)+1,""),"")</f>
        <v/>
      </c>
      <c r="CB187" s="80" t="str">
        <f>IF(AND(BE187=1,D187="Malcolm",E187&amp;""&lt;&gt;""),IF(COUNTIFS($D$5:D186,"Malcolm",$E$5:E186,E187,$BE$5:BE186,1)=0,MAX($CB$5:CB186)+1,""),"")</f>
        <v/>
      </c>
      <c r="CC187" s="80" t="str">
        <f>IF(AND(BD187=1,D187="proMX",E187&amp;""&lt;&gt;""),IF(COUNTIFS($D$5:D186,"proMX",$E$5:E186,E187,$BD$5:BD186,1)=0,MAX($CC$5:CC186)+1,""),"")</f>
        <v/>
      </c>
      <c r="CD187" s="80" t="str">
        <f>IF(AND(BE187=1,D187="Malcolm",F187&amp;""&lt;&gt;""),IF(COUNTIFS($D$5:D186,"Malcolm",$F$5:F186,F187,$BE$5:BE186,1)=0,MAX($CD$5:CD186)+1,""),"")</f>
        <v/>
      </c>
      <c r="CE187" s="80" t="str">
        <f>IF(AND(BD187=1,D187="proMX",F187&amp;""&lt;&gt;""),IF(COUNTIFS($D$5:D186,"proMX",$F$5:F186,F187,$BD$5:BD186,1)=0,MAX($CE$5:CE186)+1,""),"")</f>
        <v/>
      </c>
      <c r="CF187" s="80" t="str">
        <f>IF(AND(D187="proMX",BD187=1),IF(OR(BF187="Draft",BF187="Submitted",BF187="Returned",BF187="Recall Requested"),MAX($CF$5:CF186)+1,""),"")</f>
        <v/>
      </c>
      <c r="CG187" s="80">
        <f>IF(BD187=0,0,IF(D187="Malcolm",1,MATCH(BF187,{"Draft","Submitted","Approved","Returned","Recall Requested","Cancelled"},0)+1))</f>
        <v>0</v>
      </c>
      <c r="CH187" s="80">
        <f>IF(AND(BF187="Submitted",ISNUMBER(V187)),IF(V187&gt;CFG_MAXD,1,0),0)</f>
        <v>0</v>
      </c>
    </row>
    <row r="188">
      <c r="A188" s="71" t="str">
        <f>IF(Y188=1,ROW()-5,"")</f>
        <v/>
      </c>
      <c r="B188" s="72" t="n"/>
      <c r="C188" s="71" t="str">
        <f>IF(ISNUMBER(B188),CHOOSE(WEEKDAY(B188,2),"Lun","Mar","Mié","Jue","Vie","Sáb","Dom"),"")</f>
        <v/>
      </c>
      <c r="D188" s="73" t="n"/>
      <c r="E188" s="74" t="n"/>
      <c r="F188" s="74" t="n"/>
      <c r="G188" s="74" t="n"/>
      <c r="H188" s="75" t="n"/>
      <c r="I188" s="75" t="n"/>
      <c r="J188" s="76" t="n"/>
      <c r="K188" s="77" t="str">
        <f>IF(AB188=1,ROUND(AG188/60,4),"")</f>
        <v/>
      </c>
      <c r="L188" s="77" t="str">
        <f>IF(BD188=1,ROUND(AP188/60,4),"")</f>
        <v/>
      </c>
      <c r="M188" s="77" t="str">
        <f>IF(BD188=1,ROUND(AQ188/60,4),"")</f>
        <v/>
      </c>
      <c r="N188" s="71" t="str">
        <f>IF(AND(D188="proMX",AB188=1),ROUND(AG188/CFG_BLK,2),"")</f>
        <v/>
      </c>
      <c r="O188" s="77" t="str">
        <f>IF(D188="proMX",IF(BD188=1,ROUND(AG188/60,4),0),"")</f>
        <v/>
      </c>
      <c r="P188" s="78" t="str">
        <f>IF(Y188=0,"",IF(BD188=1,"OK",IF(D188="proMX","Revisar bloques: ","Revisar: ")&amp;BC188))</f>
        <v/>
      </c>
      <c r="Q188" s="78" t="str">
        <f>IF(NOT(ISNUMBER(B188)),"",IF(COUNTIFS(FER_F,INT(B188))&gt;0,"Feriado"&amp;IF(AH188=1," (laborable)"," (no laborable)"),IF(AH188=1,"Laborable",IF(WEEKDAY(B188,2)&gt;5,"Fin de semana","No laborable"))))</f>
        <v/>
      </c>
      <c r="R188" s="73" t="n"/>
      <c r="S188" s="72" t="n"/>
      <c r="T188" s="72" t="n"/>
      <c r="U188" s="74" t="n"/>
      <c r="V188" s="79" t="str">
        <f>IF(AND(D188="proMX",OR(R188="Submitted",R188="Recall Requested"),ISNUMBER(S188)),CFG_TODAY-INT(S188),"")</f>
        <v/>
      </c>
      <c r="W188" s="78" t="str">
        <f>IF(BD188=0,"",IF(BA188&gt;0,"⚠ Se superpone con un registro de la otra empresa",IF(D188="Malcolm",IF(COUNTA(R188,S188,T188)&gt;0,"Estado/fechas proMX se ignoran en Malcolm",""),IF(BF188="Cancelled","Cancelado: excluido de totales",IF(R188="","Sin estado: se trata como Draft",IF(BF188="Submitted",IF(ISNUMBER(V188),IF(V188&gt;CFG_MAXD,"⚠ "&amp;V188&amp;" días en Submitted (máx. "&amp;CFG_MAXD&amp;")",""),"Falta fecha de envío"),IF(BF188="Returned","⚠ Devuelto: corregir y reenviar",IF(BF188="Recall Requested","Retirada solicitada: pendiente",IF(AND(BF188="Approved",NOT(ISNUMBER(T188))),"Falta fecha de aprobación",IF(AND(ISNUMBER(S188),ISNUMBER(T188),T188&lt;S188),"Aprobación anterior al envío","")))))))))</f>
        <v/>
      </c>
      <c r="Y188" s="80">
        <f>IF(COUNTA(B188,D188,E188,F188,G188,H188,I188,J188,R188,S188,T188)&gt;0,1,0)</f>
        <v>0</v>
      </c>
      <c r="Z188" s="80" t="str">
        <f>IF(AND(ISNUMBER(H188),H188&gt;=0,H188&lt;1),ROUND(H188*1440,0),"")</f>
        <v/>
      </c>
      <c r="AA188" s="80" t="str">
        <f>IF(AND(ISNUMBER(I188),I188&gt;=0,I188&lt;1),ROUND(I188*1440,0),"")</f>
        <v/>
      </c>
      <c r="AB188" s="80">
        <f>IF(AND(ISNUMBER(B188),D188&lt;&gt;"",ISNUMBER(Z188),ISNUMBER(AA188)),IF(Z188=AA188,0,1),0)</f>
        <v>0</v>
      </c>
      <c r="AC188" s="80">
        <f>IF(AB188=1,IF(AA188&lt;Z188,1,0),0)</f>
        <v>0</v>
      </c>
      <c r="AD188" s="80">
        <f>IF(AB188=1,IF(AC188=1,1440-Z188+AA188,AA188-Z188),0)</f>
        <v>0</v>
      </c>
      <c r="AE188" s="80">
        <f>IF(J188="",0,IF(ISNUMBER(J188),J188,-1))</f>
        <v>0</v>
      </c>
      <c r="AF188" s="80">
        <f>MIN(MAX(0,AE188),AD188)</f>
        <v>0</v>
      </c>
      <c r="AG188" s="80">
        <f>MAX(0,AD188-MAX(0,AE188))</f>
        <v>0</v>
      </c>
      <c r="AH188" s="80">
        <f>IF(ISNUMBER(B188),IF(AND(INDEX(CFG_WDAYS,WEEKDAY(INT(B188),2))="Sí",IF(D188="proMX",COUNTIFS(FER_F,INT(B188),FER_NLP,"Sí"),COUNTIFS(FER_F,INT(B188),FER_NLM,"Sí"))=0),1,0),0)</f>
        <v>0</v>
      </c>
      <c r="AI188" s="80">
        <f>IF(AC188=1,IF(AND(INDEX(CFG_WDAYS,WEEKDAY(INT(B188)+1,2))="Sí",IF(D188="proMX",COUNTIFS(FER_F,INT(B188)+1,FER_NLP,"Sí"),COUNTIFS(FER_F,INT(B188)+1,FER_NLM,"Sí"))=0),1,0),0)</f>
        <v>0</v>
      </c>
      <c r="AJ188" s="80">
        <f>IF(AC188=1,1440-Z188,AD188)</f>
        <v>0</v>
      </c>
      <c r="AK188" s="80">
        <f>IF(AND(AB188=1,AH188=1),MAX(0,MIN(IF(AC188=1,1440,AA188),CFG_WEM)-MAX(Z188,CFG_WSM)),0)</f>
        <v>0</v>
      </c>
      <c r="AL188" s="80">
        <f>IF(AND(AC188=1,AI188=1),MAX(0,MIN(AA188,CFG_WEM)-CFG_WSM),0)</f>
        <v>0</v>
      </c>
      <c r="AM188" s="80">
        <f>AK188+AL188</f>
        <v>0</v>
      </c>
      <c r="AN188" s="80">
        <f>IF(CFG_BRK="Proporcional",IF(AD188=0,0,AF188*AM188/AD188),IF(CFG_BRK="Extras primero",MIN(AM188,MAX(0,AF188-(AD188-AM188))),MIN(AF188,AM188)))</f>
        <v>0</v>
      </c>
      <c r="AO188" s="80">
        <f>AF188-AN188</f>
        <v>0</v>
      </c>
      <c r="AP188" s="80">
        <f>AM188-AN188</f>
        <v>0</v>
      </c>
      <c r="AQ188" s="80">
        <f>AD188-AM188-AO188</f>
        <v>0</v>
      </c>
      <c r="AR188" s="80">
        <f>IF(AM188=0,0,AK188-AN188*AK188/AM188)</f>
        <v>0</v>
      </c>
      <c r="AS188" s="80">
        <f>IF(AD188-AM188=0,0,(AJ188-AK188)-AO188*(AJ188-AK188)/(AD188-AM188))</f>
        <v>0</v>
      </c>
      <c r="AT188" s="80" t="str">
        <f>IF(AC188=1,INT(B188)+1,"")</f>
        <v/>
      </c>
      <c r="AU188" s="80">
        <f>IF(AND(D188="proMX",R188="Cancelled"),0,1)</f>
        <v>1</v>
      </c>
      <c r="AV188" s="80">
        <f>IF(AND(AB188=1,AU188=1),IF(COUNTIFS($D$5:D187,D188,$B$5:B187,B188,$Z$5:Z187,Z188,$AA$5:AA187,AA188,$F$5:F187,F188&amp;"",$AU$5:AU187,1)&gt;0,1,0),0)</f>
        <v>0</v>
      </c>
      <c r="AW188" s="80" t="str">
        <f>IF(AB188=1,INT(B188)*1440+Z188,"")</f>
        <v/>
      </c>
      <c r="AX188" s="80" t="str">
        <f>IF(AB188=1,AW188+AD188,"")</f>
        <v/>
      </c>
      <c r="AY188" s="80">
        <f>IF(AND(AB188=1,AV188=0,AU188=1),1,0)</f>
        <v>0</v>
      </c>
      <c r="AZ188" s="80">
        <f>IF(AY188=1,COUNTIFS(R_Emp,D188,R_SAbs,"&lt;"&amp;AX188,R_EAbs,"&gt;"&amp;AW188,R_OKey,1)-1,0)</f>
        <v>0</v>
      </c>
      <c r="BA188" s="80">
        <f>IF(AY188=1,COUNTIFS(R_Emp,"&lt;&gt;"&amp;D188,R_SAbs,"&lt;"&amp;AX188,R_EAbs,"&gt;"&amp;AW188,R_OKey,1),0)</f>
        <v>0</v>
      </c>
      <c r="BB188" s="80">
        <f>IF(AND(AB188=1,D188="proMX"),IF(AND(MOD(Z188,CFG_BLK)=0,MOD(AA188,CFG_BLK)=0,MOD(AG188,CFG_BLK)=0,AG188&gt;0),1,0),1)</f>
        <v>1</v>
      </c>
      <c r="BC188" s="80" t="str">
        <f>IF(Y188=0,"",IF(NOT(ISNUMBER(B188)),"Falta fecha o fecha inválida",IF(D188="","Falta empresa",IF(AND(D188&lt;&gt;"Malcolm",D188&lt;&gt;"proMX"),"Empresa inválida",IF(OR(INT(B188)&lt;CFG_PSTART,INT(B188)&gt;CFG_PEND),"Fecha fuera del período",IF(OR(NOT(ISNUMBER(Z188)),NOT(ISNUMBER(AA188))),"Falta hora inicio/fin o formato inválido",IF(AB188=0,"Hora inicio = hora fin",IF(AE188&lt;0,"Descanso inválido",IF(AE188&gt;=AD188,"Descanso ≥ duración",IF(AV188=1,"Registro duplicado",IF(AZ188&gt;0,"Se superpone con otro registro "&amp;D188,IF(BB188=0,"inicio, fin y duración neta deben ser múltiplos de "&amp;CFG_BLK&amp;" min",""))))))))))))</f>
        <v/>
      </c>
      <c r="BD188" s="80">
        <f>IF(AND(Y188=1,BC188=""),1,0)</f>
        <v>0</v>
      </c>
      <c r="BE188" s="80">
        <f>IF(AND(BD188=1,AU188=1),1,0)</f>
        <v>0</v>
      </c>
      <c r="BF188" s="80" t="str">
        <f>IF(AND(D188="proMX",BD188=1),IF(R188="","Draft",R188),"")</f>
        <v/>
      </c>
      <c r="BG188" s="80">
        <f>IF(BD188=1,ROUND(AG188/60,6),0)</f>
        <v>0</v>
      </c>
      <c r="BH188" s="80">
        <f>IF(BE188=1,ROUND(AG188/60,6),0)</f>
        <v>0</v>
      </c>
      <c r="BI188" s="80">
        <f>IF(BE188=1,ROUND(AP188/60,6),0)</f>
        <v>0</v>
      </c>
      <c r="BJ188" s="80">
        <f>IF(BE188=1,ROUND(AQ188/60,6),0)</f>
        <v>0</v>
      </c>
      <c r="BK188" s="80">
        <f>IF(BE188=1,ROUND((AR188+AS188)/60,6),0)</f>
        <v>0</v>
      </c>
      <c r="BL188" s="80">
        <f>ROUND(BH188-BK188,6)</f>
        <v>0</v>
      </c>
      <c r="BM188" s="80">
        <f>IF(BE188=1,ROUND(AR188/60,6),0)</f>
        <v>0</v>
      </c>
      <c r="BN188" s="80">
        <f>ROUND(BI188-BM188,6)</f>
        <v>0</v>
      </c>
      <c r="BO188" s="80">
        <f>IF(BE188=1,ROUND(AS188/60,6),0)</f>
        <v>0</v>
      </c>
      <c r="BP188" s="80">
        <f>ROUND(BJ188-BO188,6)</f>
        <v>0</v>
      </c>
      <c r="BQ188" s="80">
        <f>IF(BE188=1,AW188,0)</f>
        <v>0</v>
      </c>
      <c r="BR188" s="80">
        <f>IF(BE188=1,AX188,0)</f>
        <v>0</v>
      </c>
      <c r="BS188" s="80">
        <f>IF(AND(BE188=1,D188="Malcolm",BA188&gt;0),MIN(BH188,SUMPRODUCT((R_Emp="proMX")*(R_EN&gt;0)*((R_EN-(R_EN&gt;BR188)*(R_EN-BR188))&gt;(R_SN+(R_SN&lt;BQ188)*(BQ188-R_SN)))*((R_EN-(R_EN&gt;BR188)*(R_EN-BR188))-(R_SN+(R_SN&lt;BQ188)*(BQ188-R_SN))))/60),0)</f>
        <v>0</v>
      </c>
      <c r="BT188" s="80">
        <f>IF(AND(BE188=1,D188="proMX"),ROUND(BI188*CFG_RATE+BJ188*CFG_OTRATE,6),0)</f>
        <v>0</v>
      </c>
      <c r="BU188" s="80">
        <f>IF(AND(BD188=1,D188="proMX"),ROUND(AG188/CFG_BLK,6),0)</f>
        <v>0</v>
      </c>
      <c r="BV188" s="80" t="str">
        <f>IF(BF188="Approved",IF(ISNUMBER(T188),INT(T188),INT(B188)),"")</f>
        <v/>
      </c>
      <c r="BW188" s="80">
        <f>IF(ISNUMBER(B188),IF(DB_MON="Todos",1,IF(AND(INT(B188)&gt;=DB_MS,INT(B188)&lt;=DB_ME),1,0)),0)</f>
        <v>0</v>
      </c>
      <c r="BX188" s="80">
        <f>IF(DB_PROJ="Todos",1,IF(E188&amp;""=DB_PROJ&amp;"",1,0))</f>
        <v>1</v>
      </c>
      <c r="BY188" s="80">
        <f>BW188*BX188</f>
        <v>0</v>
      </c>
      <c r="BZ188" s="80" t="str">
        <f>IF(Y188=1,F188&amp;IF(AND(F188&amp;""&lt;&gt;"",E188&amp;""&lt;&gt;"")," · ","")&amp;E188,"")</f>
        <v/>
      </c>
      <c r="CA188" s="80" t="str">
        <f>IF(AND(BD188=1,E188&amp;""&lt;&gt;""),IF(COUNTIFS($E$5:E187,E188,$BD$5:BD187,1)=0,MAX($CA$5:CA187)+1,""),"")</f>
        <v/>
      </c>
      <c r="CB188" s="80" t="str">
        <f>IF(AND(BE188=1,D188="Malcolm",E188&amp;""&lt;&gt;""),IF(COUNTIFS($D$5:D187,"Malcolm",$E$5:E187,E188,$BE$5:BE187,1)=0,MAX($CB$5:CB187)+1,""),"")</f>
        <v/>
      </c>
      <c r="CC188" s="80" t="str">
        <f>IF(AND(BD188=1,D188="proMX",E188&amp;""&lt;&gt;""),IF(COUNTIFS($D$5:D187,"proMX",$E$5:E187,E188,$BD$5:BD187,1)=0,MAX($CC$5:CC187)+1,""),"")</f>
        <v/>
      </c>
      <c r="CD188" s="80" t="str">
        <f>IF(AND(BE188=1,D188="Malcolm",F188&amp;""&lt;&gt;""),IF(COUNTIFS($D$5:D187,"Malcolm",$F$5:F187,F188,$BE$5:BE187,1)=0,MAX($CD$5:CD187)+1,""),"")</f>
        <v/>
      </c>
      <c r="CE188" s="80" t="str">
        <f>IF(AND(BD188=1,D188="proMX",F188&amp;""&lt;&gt;""),IF(COUNTIFS($D$5:D187,"proMX",$F$5:F187,F188,$BD$5:BD187,1)=0,MAX($CE$5:CE187)+1,""),"")</f>
        <v/>
      </c>
      <c r="CF188" s="80" t="str">
        <f>IF(AND(D188="proMX",BD188=1),IF(OR(BF188="Draft",BF188="Submitted",BF188="Returned",BF188="Recall Requested"),MAX($CF$5:CF187)+1,""),"")</f>
        <v/>
      </c>
      <c r="CG188" s="80">
        <f>IF(BD188=0,0,IF(D188="Malcolm",1,MATCH(BF188,{"Draft","Submitted","Approved","Returned","Recall Requested","Cancelled"},0)+1))</f>
        <v>0</v>
      </c>
      <c r="CH188" s="80">
        <f>IF(AND(BF188="Submitted",ISNUMBER(V188)),IF(V188&gt;CFG_MAXD,1,0),0)</f>
        <v>0</v>
      </c>
    </row>
    <row r="189">
      <c r="A189" s="71" t="str">
        <f>IF(Y189=1,ROW()-5,"")</f>
        <v/>
      </c>
      <c r="B189" s="72" t="n"/>
      <c r="C189" s="71" t="str">
        <f>IF(ISNUMBER(B189),CHOOSE(WEEKDAY(B189,2),"Lun","Mar","Mié","Jue","Vie","Sáb","Dom"),"")</f>
        <v/>
      </c>
      <c r="D189" s="73" t="n"/>
      <c r="E189" s="74" t="n"/>
      <c r="F189" s="74" t="n"/>
      <c r="G189" s="74" t="n"/>
      <c r="H189" s="75" t="n"/>
      <c r="I189" s="75" t="n"/>
      <c r="J189" s="76" t="n"/>
      <c r="K189" s="77" t="str">
        <f>IF(AB189=1,ROUND(AG189/60,4),"")</f>
        <v/>
      </c>
      <c r="L189" s="77" t="str">
        <f>IF(BD189=1,ROUND(AP189/60,4),"")</f>
        <v/>
      </c>
      <c r="M189" s="77" t="str">
        <f>IF(BD189=1,ROUND(AQ189/60,4),"")</f>
        <v/>
      </c>
      <c r="N189" s="71" t="str">
        <f>IF(AND(D189="proMX",AB189=1),ROUND(AG189/CFG_BLK,2),"")</f>
        <v/>
      </c>
      <c r="O189" s="77" t="str">
        <f>IF(D189="proMX",IF(BD189=1,ROUND(AG189/60,4),0),"")</f>
        <v/>
      </c>
      <c r="P189" s="78" t="str">
        <f>IF(Y189=0,"",IF(BD189=1,"OK",IF(D189="proMX","Revisar bloques: ","Revisar: ")&amp;BC189))</f>
        <v/>
      </c>
      <c r="Q189" s="78" t="str">
        <f>IF(NOT(ISNUMBER(B189)),"",IF(COUNTIFS(FER_F,INT(B189))&gt;0,"Feriado"&amp;IF(AH189=1," (laborable)"," (no laborable)"),IF(AH189=1,"Laborable",IF(WEEKDAY(B189,2)&gt;5,"Fin de semana","No laborable"))))</f>
        <v/>
      </c>
      <c r="R189" s="73" t="n"/>
      <c r="S189" s="72" t="n"/>
      <c r="T189" s="72" t="n"/>
      <c r="U189" s="74" t="n"/>
      <c r="V189" s="79" t="str">
        <f>IF(AND(D189="proMX",OR(R189="Submitted",R189="Recall Requested"),ISNUMBER(S189)),CFG_TODAY-INT(S189),"")</f>
        <v/>
      </c>
      <c r="W189" s="78" t="str">
        <f>IF(BD189=0,"",IF(BA189&gt;0,"⚠ Se superpone con un registro de la otra empresa",IF(D189="Malcolm",IF(COUNTA(R189,S189,T189)&gt;0,"Estado/fechas proMX se ignoran en Malcolm",""),IF(BF189="Cancelled","Cancelado: excluido de totales",IF(R189="","Sin estado: se trata como Draft",IF(BF189="Submitted",IF(ISNUMBER(V189),IF(V189&gt;CFG_MAXD,"⚠ "&amp;V189&amp;" días en Submitted (máx. "&amp;CFG_MAXD&amp;")",""),"Falta fecha de envío"),IF(BF189="Returned","⚠ Devuelto: corregir y reenviar",IF(BF189="Recall Requested","Retirada solicitada: pendiente",IF(AND(BF189="Approved",NOT(ISNUMBER(T189))),"Falta fecha de aprobación",IF(AND(ISNUMBER(S189),ISNUMBER(T189),T189&lt;S189),"Aprobación anterior al envío","")))))))))</f>
        <v/>
      </c>
      <c r="Y189" s="80">
        <f>IF(COUNTA(B189,D189,E189,F189,G189,H189,I189,J189,R189,S189,T189)&gt;0,1,0)</f>
        <v>0</v>
      </c>
      <c r="Z189" s="80" t="str">
        <f>IF(AND(ISNUMBER(H189),H189&gt;=0,H189&lt;1),ROUND(H189*1440,0),"")</f>
        <v/>
      </c>
      <c r="AA189" s="80" t="str">
        <f>IF(AND(ISNUMBER(I189),I189&gt;=0,I189&lt;1),ROUND(I189*1440,0),"")</f>
        <v/>
      </c>
      <c r="AB189" s="80">
        <f>IF(AND(ISNUMBER(B189),D189&lt;&gt;"",ISNUMBER(Z189),ISNUMBER(AA189)),IF(Z189=AA189,0,1),0)</f>
        <v>0</v>
      </c>
      <c r="AC189" s="80">
        <f>IF(AB189=1,IF(AA189&lt;Z189,1,0),0)</f>
        <v>0</v>
      </c>
      <c r="AD189" s="80">
        <f>IF(AB189=1,IF(AC189=1,1440-Z189+AA189,AA189-Z189),0)</f>
        <v>0</v>
      </c>
      <c r="AE189" s="80">
        <f>IF(J189="",0,IF(ISNUMBER(J189),J189,-1))</f>
        <v>0</v>
      </c>
      <c r="AF189" s="80">
        <f>MIN(MAX(0,AE189),AD189)</f>
        <v>0</v>
      </c>
      <c r="AG189" s="80">
        <f>MAX(0,AD189-MAX(0,AE189))</f>
        <v>0</v>
      </c>
      <c r="AH189" s="80">
        <f>IF(ISNUMBER(B189),IF(AND(INDEX(CFG_WDAYS,WEEKDAY(INT(B189),2))="Sí",IF(D189="proMX",COUNTIFS(FER_F,INT(B189),FER_NLP,"Sí"),COUNTIFS(FER_F,INT(B189),FER_NLM,"Sí"))=0),1,0),0)</f>
        <v>0</v>
      </c>
      <c r="AI189" s="80">
        <f>IF(AC189=1,IF(AND(INDEX(CFG_WDAYS,WEEKDAY(INT(B189)+1,2))="Sí",IF(D189="proMX",COUNTIFS(FER_F,INT(B189)+1,FER_NLP,"Sí"),COUNTIFS(FER_F,INT(B189)+1,FER_NLM,"Sí"))=0),1,0),0)</f>
        <v>0</v>
      </c>
      <c r="AJ189" s="80">
        <f>IF(AC189=1,1440-Z189,AD189)</f>
        <v>0</v>
      </c>
      <c r="AK189" s="80">
        <f>IF(AND(AB189=1,AH189=1),MAX(0,MIN(IF(AC189=1,1440,AA189),CFG_WEM)-MAX(Z189,CFG_WSM)),0)</f>
        <v>0</v>
      </c>
      <c r="AL189" s="80">
        <f>IF(AND(AC189=1,AI189=1),MAX(0,MIN(AA189,CFG_WEM)-CFG_WSM),0)</f>
        <v>0</v>
      </c>
      <c r="AM189" s="80">
        <f>AK189+AL189</f>
        <v>0</v>
      </c>
      <c r="AN189" s="80">
        <f>IF(CFG_BRK="Proporcional",IF(AD189=0,0,AF189*AM189/AD189),IF(CFG_BRK="Extras primero",MIN(AM189,MAX(0,AF189-(AD189-AM189))),MIN(AF189,AM189)))</f>
        <v>0</v>
      </c>
      <c r="AO189" s="80">
        <f>AF189-AN189</f>
        <v>0</v>
      </c>
      <c r="AP189" s="80">
        <f>AM189-AN189</f>
        <v>0</v>
      </c>
      <c r="AQ189" s="80">
        <f>AD189-AM189-AO189</f>
        <v>0</v>
      </c>
      <c r="AR189" s="80">
        <f>IF(AM189=0,0,AK189-AN189*AK189/AM189)</f>
        <v>0</v>
      </c>
      <c r="AS189" s="80">
        <f>IF(AD189-AM189=0,0,(AJ189-AK189)-AO189*(AJ189-AK189)/(AD189-AM189))</f>
        <v>0</v>
      </c>
      <c r="AT189" s="80" t="str">
        <f>IF(AC189=1,INT(B189)+1,"")</f>
        <v/>
      </c>
      <c r="AU189" s="80">
        <f>IF(AND(D189="proMX",R189="Cancelled"),0,1)</f>
        <v>1</v>
      </c>
      <c r="AV189" s="80">
        <f>IF(AND(AB189=1,AU189=1),IF(COUNTIFS($D$5:D188,D189,$B$5:B188,B189,$Z$5:Z188,Z189,$AA$5:AA188,AA189,$F$5:F188,F189&amp;"",$AU$5:AU188,1)&gt;0,1,0),0)</f>
        <v>0</v>
      </c>
      <c r="AW189" s="80" t="str">
        <f>IF(AB189=1,INT(B189)*1440+Z189,"")</f>
        <v/>
      </c>
      <c r="AX189" s="80" t="str">
        <f>IF(AB189=1,AW189+AD189,"")</f>
        <v/>
      </c>
      <c r="AY189" s="80">
        <f>IF(AND(AB189=1,AV189=0,AU189=1),1,0)</f>
        <v>0</v>
      </c>
      <c r="AZ189" s="80">
        <f>IF(AY189=1,COUNTIFS(R_Emp,D189,R_SAbs,"&lt;"&amp;AX189,R_EAbs,"&gt;"&amp;AW189,R_OKey,1)-1,0)</f>
        <v>0</v>
      </c>
      <c r="BA189" s="80">
        <f>IF(AY189=1,COUNTIFS(R_Emp,"&lt;&gt;"&amp;D189,R_SAbs,"&lt;"&amp;AX189,R_EAbs,"&gt;"&amp;AW189,R_OKey,1),0)</f>
        <v>0</v>
      </c>
      <c r="BB189" s="80">
        <f>IF(AND(AB189=1,D189="proMX"),IF(AND(MOD(Z189,CFG_BLK)=0,MOD(AA189,CFG_BLK)=0,MOD(AG189,CFG_BLK)=0,AG189&gt;0),1,0),1)</f>
        <v>1</v>
      </c>
      <c r="BC189" s="80" t="str">
        <f>IF(Y189=0,"",IF(NOT(ISNUMBER(B189)),"Falta fecha o fecha inválida",IF(D189="","Falta empresa",IF(AND(D189&lt;&gt;"Malcolm",D189&lt;&gt;"proMX"),"Empresa inválida",IF(OR(INT(B189)&lt;CFG_PSTART,INT(B189)&gt;CFG_PEND),"Fecha fuera del período",IF(OR(NOT(ISNUMBER(Z189)),NOT(ISNUMBER(AA189))),"Falta hora inicio/fin o formato inválido",IF(AB189=0,"Hora inicio = hora fin",IF(AE189&lt;0,"Descanso inválido",IF(AE189&gt;=AD189,"Descanso ≥ duración",IF(AV189=1,"Registro duplicado",IF(AZ189&gt;0,"Se superpone con otro registro "&amp;D189,IF(BB189=0,"inicio, fin y duración neta deben ser múltiplos de "&amp;CFG_BLK&amp;" min",""))))))))))))</f>
        <v/>
      </c>
      <c r="BD189" s="80">
        <f>IF(AND(Y189=1,BC189=""),1,0)</f>
        <v>0</v>
      </c>
      <c r="BE189" s="80">
        <f>IF(AND(BD189=1,AU189=1),1,0)</f>
        <v>0</v>
      </c>
      <c r="BF189" s="80" t="str">
        <f>IF(AND(D189="proMX",BD189=1),IF(R189="","Draft",R189),"")</f>
        <v/>
      </c>
      <c r="BG189" s="80">
        <f>IF(BD189=1,ROUND(AG189/60,6),0)</f>
        <v>0</v>
      </c>
      <c r="BH189" s="80">
        <f>IF(BE189=1,ROUND(AG189/60,6),0)</f>
        <v>0</v>
      </c>
      <c r="BI189" s="80">
        <f>IF(BE189=1,ROUND(AP189/60,6),0)</f>
        <v>0</v>
      </c>
      <c r="BJ189" s="80">
        <f>IF(BE189=1,ROUND(AQ189/60,6),0)</f>
        <v>0</v>
      </c>
      <c r="BK189" s="80">
        <f>IF(BE189=1,ROUND((AR189+AS189)/60,6),0)</f>
        <v>0</v>
      </c>
      <c r="BL189" s="80">
        <f>ROUND(BH189-BK189,6)</f>
        <v>0</v>
      </c>
      <c r="BM189" s="80">
        <f>IF(BE189=1,ROUND(AR189/60,6),0)</f>
        <v>0</v>
      </c>
      <c r="BN189" s="80">
        <f>ROUND(BI189-BM189,6)</f>
        <v>0</v>
      </c>
      <c r="BO189" s="80">
        <f>IF(BE189=1,ROUND(AS189/60,6),0)</f>
        <v>0</v>
      </c>
      <c r="BP189" s="80">
        <f>ROUND(BJ189-BO189,6)</f>
        <v>0</v>
      </c>
      <c r="BQ189" s="80">
        <f>IF(BE189=1,AW189,0)</f>
        <v>0</v>
      </c>
      <c r="BR189" s="80">
        <f>IF(BE189=1,AX189,0)</f>
        <v>0</v>
      </c>
      <c r="BS189" s="80">
        <f>IF(AND(BE189=1,D189="Malcolm",BA189&gt;0),MIN(BH189,SUMPRODUCT((R_Emp="proMX")*(R_EN&gt;0)*((R_EN-(R_EN&gt;BR189)*(R_EN-BR189))&gt;(R_SN+(R_SN&lt;BQ189)*(BQ189-R_SN)))*((R_EN-(R_EN&gt;BR189)*(R_EN-BR189))-(R_SN+(R_SN&lt;BQ189)*(BQ189-R_SN))))/60),0)</f>
        <v>0</v>
      </c>
      <c r="BT189" s="80">
        <f>IF(AND(BE189=1,D189="proMX"),ROUND(BI189*CFG_RATE+BJ189*CFG_OTRATE,6),0)</f>
        <v>0</v>
      </c>
      <c r="BU189" s="80">
        <f>IF(AND(BD189=1,D189="proMX"),ROUND(AG189/CFG_BLK,6),0)</f>
        <v>0</v>
      </c>
      <c r="BV189" s="80" t="str">
        <f>IF(BF189="Approved",IF(ISNUMBER(T189),INT(T189),INT(B189)),"")</f>
        <v/>
      </c>
      <c r="BW189" s="80">
        <f>IF(ISNUMBER(B189),IF(DB_MON="Todos",1,IF(AND(INT(B189)&gt;=DB_MS,INT(B189)&lt;=DB_ME),1,0)),0)</f>
        <v>0</v>
      </c>
      <c r="BX189" s="80">
        <f>IF(DB_PROJ="Todos",1,IF(E189&amp;""=DB_PROJ&amp;"",1,0))</f>
        <v>1</v>
      </c>
      <c r="BY189" s="80">
        <f>BW189*BX189</f>
        <v>0</v>
      </c>
      <c r="BZ189" s="80" t="str">
        <f>IF(Y189=1,F189&amp;IF(AND(F189&amp;""&lt;&gt;"",E189&amp;""&lt;&gt;"")," · ","")&amp;E189,"")</f>
        <v/>
      </c>
      <c r="CA189" s="80" t="str">
        <f>IF(AND(BD189=1,E189&amp;""&lt;&gt;""),IF(COUNTIFS($E$5:E188,E189,$BD$5:BD188,1)=0,MAX($CA$5:CA188)+1,""),"")</f>
        <v/>
      </c>
      <c r="CB189" s="80" t="str">
        <f>IF(AND(BE189=1,D189="Malcolm",E189&amp;""&lt;&gt;""),IF(COUNTIFS($D$5:D188,"Malcolm",$E$5:E188,E189,$BE$5:BE188,1)=0,MAX($CB$5:CB188)+1,""),"")</f>
        <v/>
      </c>
      <c r="CC189" s="80" t="str">
        <f>IF(AND(BD189=1,D189="proMX",E189&amp;""&lt;&gt;""),IF(COUNTIFS($D$5:D188,"proMX",$E$5:E188,E189,$BD$5:BD188,1)=0,MAX($CC$5:CC188)+1,""),"")</f>
        <v/>
      </c>
      <c r="CD189" s="80" t="str">
        <f>IF(AND(BE189=1,D189="Malcolm",F189&amp;""&lt;&gt;""),IF(COUNTIFS($D$5:D188,"Malcolm",$F$5:F188,F189,$BE$5:BE188,1)=0,MAX($CD$5:CD188)+1,""),"")</f>
        <v/>
      </c>
      <c r="CE189" s="80" t="str">
        <f>IF(AND(BD189=1,D189="proMX",F189&amp;""&lt;&gt;""),IF(COUNTIFS($D$5:D188,"proMX",$F$5:F188,F189,$BD$5:BD188,1)=0,MAX($CE$5:CE188)+1,""),"")</f>
        <v/>
      </c>
      <c r="CF189" s="80" t="str">
        <f>IF(AND(D189="proMX",BD189=1),IF(OR(BF189="Draft",BF189="Submitted",BF189="Returned",BF189="Recall Requested"),MAX($CF$5:CF188)+1,""),"")</f>
        <v/>
      </c>
      <c r="CG189" s="80">
        <f>IF(BD189=0,0,IF(D189="Malcolm",1,MATCH(BF189,{"Draft","Submitted","Approved","Returned","Recall Requested","Cancelled"},0)+1))</f>
        <v>0</v>
      </c>
      <c r="CH189" s="80">
        <f>IF(AND(BF189="Submitted",ISNUMBER(V189)),IF(V189&gt;CFG_MAXD,1,0),0)</f>
        <v>0</v>
      </c>
    </row>
    <row r="190">
      <c r="A190" s="71" t="str">
        <f>IF(Y190=1,ROW()-5,"")</f>
        <v/>
      </c>
      <c r="B190" s="72" t="n"/>
      <c r="C190" s="71" t="str">
        <f>IF(ISNUMBER(B190),CHOOSE(WEEKDAY(B190,2),"Lun","Mar","Mié","Jue","Vie","Sáb","Dom"),"")</f>
        <v/>
      </c>
      <c r="D190" s="73" t="n"/>
      <c r="E190" s="74" t="n"/>
      <c r="F190" s="74" t="n"/>
      <c r="G190" s="74" t="n"/>
      <c r="H190" s="75" t="n"/>
      <c r="I190" s="75" t="n"/>
      <c r="J190" s="76" t="n"/>
      <c r="K190" s="77" t="str">
        <f>IF(AB190=1,ROUND(AG190/60,4),"")</f>
        <v/>
      </c>
      <c r="L190" s="77" t="str">
        <f>IF(BD190=1,ROUND(AP190/60,4),"")</f>
        <v/>
      </c>
      <c r="M190" s="77" t="str">
        <f>IF(BD190=1,ROUND(AQ190/60,4),"")</f>
        <v/>
      </c>
      <c r="N190" s="71" t="str">
        <f>IF(AND(D190="proMX",AB190=1),ROUND(AG190/CFG_BLK,2),"")</f>
        <v/>
      </c>
      <c r="O190" s="77" t="str">
        <f>IF(D190="proMX",IF(BD190=1,ROUND(AG190/60,4),0),"")</f>
        <v/>
      </c>
      <c r="P190" s="78" t="str">
        <f>IF(Y190=0,"",IF(BD190=1,"OK",IF(D190="proMX","Revisar bloques: ","Revisar: ")&amp;BC190))</f>
        <v/>
      </c>
      <c r="Q190" s="78" t="str">
        <f>IF(NOT(ISNUMBER(B190)),"",IF(COUNTIFS(FER_F,INT(B190))&gt;0,"Feriado"&amp;IF(AH190=1," (laborable)"," (no laborable)"),IF(AH190=1,"Laborable",IF(WEEKDAY(B190,2)&gt;5,"Fin de semana","No laborable"))))</f>
        <v/>
      </c>
      <c r="R190" s="73" t="n"/>
      <c r="S190" s="72" t="n"/>
      <c r="T190" s="72" t="n"/>
      <c r="U190" s="74" t="n"/>
      <c r="V190" s="79" t="str">
        <f>IF(AND(D190="proMX",OR(R190="Submitted",R190="Recall Requested"),ISNUMBER(S190)),CFG_TODAY-INT(S190),"")</f>
        <v/>
      </c>
      <c r="W190" s="78" t="str">
        <f>IF(BD190=0,"",IF(BA190&gt;0,"⚠ Se superpone con un registro de la otra empresa",IF(D190="Malcolm",IF(COUNTA(R190,S190,T190)&gt;0,"Estado/fechas proMX se ignoran en Malcolm",""),IF(BF190="Cancelled","Cancelado: excluido de totales",IF(R190="","Sin estado: se trata como Draft",IF(BF190="Submitted",IF(ISNUMBER(V190),IF(V190&gt;CFG_MAXD,"⚠ "&amp;V190&amp;" días en Submitted (máx. "&amp;CFG_MAXD&amp;")",""),"Falta fecha de envío"),IF(BF190="Returned","⚠ Devuelto: corregir y reenviar",IF(BF190="Recall Requested","Retirada solicitada: pendiente",IF(AND(BF190="Approved",NOT(ISNUMBER(T190))),"Falta fecha de aprobación",IF(AND(ISNUMBER(S190),ISNUMBER(T190),T190&lt;S190),"Aprobación anterior al envío","")))))))))</f>
        <v/>
      </c>
      <c r="Y190" s="80">
        <f>IF(COUNTA(B190,D190,E190,F190,G190,H190,I190,J190,R190,S190,T190)&gt;0,1,0)</f>
        <v>0</v>
      </c>
      <c r="Z190" s="80" t="str">
        <f>IF(AND(ISNUMBER(H190),H190&gt;=0,H190&lt;1),ROUND(H190*1440,0),"")</f>
        <v/>
      </c>
      <c r="AA190" s="80" t="str">
        <f>IF(AND(ISNUMBER(I190),I190&gt;=0,I190&lt;1),ROUND(I190*1440,0),"")</f>
        <v/>
      </c>
      <c r="AB190" s="80">
        <f>IF(AND(ISNUMBER(B190),D190&lt;&gt;"",ISNUMBER(Z190),ISNUMBER(AA190)),IF(Z190=AA190,0,1),0)</f>
        <v>0</v>
      </c>
      <c r="AC190" s="80">
        <f>IF(AB190=1,IF(AA190&lt;Z190,1,0),0)</f>
        <v>0</v>
      </c>
      <c r="AD190" s="80">
        <f>IF(AB190=1,IF(AC190=1,1440-Z190+AA190,AA190-Z190),0)</f>
        <v>0</v>
      </c>
      <c r="AE190" s="80">
        <f>IF(J190="",0,IF(ISNUMBER(J190),J190,-1))</f>
        <v>0</v>
      </c>
      <c r="AF190" s="80">
        <f>MIN(MAX(0,AE190),AD190)</f>
        <v>0</v>
      </c>
      <c r="AG190" s="80">
        <f>MAX(0,AD190-MAX(0,AE190))</f>
        <v>0</v>
      </c>
      <c r="AH190" s="80">
        <f>IF(ISNUMBER(B190),IF(AND(INDEX(CFG_WDAYS,WEEKDAY(INT(B190),2))="Sí",IF(D190="proMX",COUNTIFS(FER_F,INT(B190),FER_NLP,"Sí"),COUNTIFS(FER_F,INT(B190),FER_NLM,"Sí"))=0),1,0),0)</f>
        <v>0</v>
      </c>
      <c r="AI190" s="80">
        <f>IF(AC190=1,IF(AND(INDEX(CFG_WDAYS,WEEKDAY(INT(B190)+1,2))="Sí",IF(D190="proMX",COUNTIFS(FER_F,INT(B190)+1,FER_NLP,"Sí"),COUNTIFS(FER_F,INT(B190)+1,FER_NLM,"Sí"))=0),1,0),0)</f>
        <v>0</v>
      </c>
      <c r="AJ190" s="80">
        <f>IF(AC190=1,1440-Z190,AD190)</f>
        <v>0</v>
      </c>
      <c r="AK190" s="80">
        <f>IF(AND(AB190=1,AH190=1),MAX(0,MIN(IF(AC190=1,1440,AA190),CFG_WEM)-MAX(Z190,CFG_WSM)),0)</f>
        <v>0</v>
      </c>
      <c r="AL190" s="80">
        <f>IF(AND(AC190=1,AI190=1),MAX(0,MIN(AA190,CFG_WEM)-CFG_WSM),0)</f>
        <v>0</v>
      </c>
      <c r="AM190" s="80">
        <f>AK190+AL190</f>
        <v>0</v>
      </c>
      <c r="AN190" s="80">
        <f>IF(CFG_BRK="Proporcional",IF(AD190=0,0,AF190*AM190/AD190),IF(CFG_BRK="Extras primero",MIN(AM190,MAX(0,AF190-(AD190-AM190))),MIN(AF190,AM190)))</f>
        <v>0</v>
      </c>
      <c r="AO190" s="80">
        <f>AF190-AN190</f>
        <v>0</v>
      </c>
      <c r="AP190" s="80">
        <f>AM190-AN190</f>
        <v>0</v>
      </c>
      <c r="AQ190" s="80">
        <f>AD190-AM190-AO190</f>
        <v>0</v>
      </c>
      <c r="AR190" s="80">
        <f>IF(AM190=0,0,AK190-AN190*AK190/AM190)</f>
        <v>0</v>
      </c>
      <c r="AS190" s="80">
        <f>IF(AD190-AM190=0,0,(AJ190-AK190)-AO190*(AJ190-AK190)/(AD190-AM190))</f>
        <v>0</v>
      </c>
      <c r="AT190" s="80" t="str">
        <f>IF(AC190=1,INT(B190)+1,"")</f>
        <v/>
      </c>
      <c r="AU190" s="80">
        <f>IF(AND(D190="proMX",R190="Cancelled"),0,1)</f>
        <v>1</v>
      </c>
      <c r="AV190" s="80">
        <f>IF(AND(AB190=1,AU190=1),IF(COUNTIFS($D$5:D189,D190,$B$5:B189,B190,$Z$5:Z189,Z190,$AA$5:AA189,AA190,$F$5:F189,F190&amp;"",$AU$5:AU189,1)&gt;0,1,0),0)</f>
        <v>0</v>
      </c>
      <c r="AW190" s="80" t="str">
        <f>IF(AB190=1,INT(B190)*1440+Z190,"")</f>
        <v/>
      </c>
      <c r="AX190" s="80" t="str">
        <f>IF(AB190=1,AW190+AD190,"")</f>
        <v/>
      </c>
      <c r="AY190" s="80">
        <f>IF(AND(AB190=1,AV190=0,AU190=1),1,0)</f>
        <v>0</v>
      </c>
      <c r="AZ190" s="80">
        <f>IF(AY190=1,COUNTIFS(R_Emp,D190,R_SAbs,"&lt;"&amp;AX190,R_EAbs,"&gt;"&amp;AW190,R_OKey,1)-1,0)</f>
        <v>0</v>
      </c>
      <c r="BA190" s="80">
        <f>IF(AY190=1,COUNTIFS(R_Emp,"&lt;&gt;"&amp;D190,R_SAbs,"&lt;"&amp;AX190,R_EAbs,"&gt;"&amp;AW190,R_OKey,1),0)</f>
        <v>0</v>
      </c>
      <c r="BB190" s="80">
        <f>IF(AND(AB190=1,D190="proMX"),IF(AND(MOD(Z190,CFG_BLK)=0,MOD(AA190,CFG_BLK)=0,MOD(AG190,CFG_BLK)=0,AG190&gt;0),1,0),1)</f>
        <v>1</v>
      </c>
      <c r="BC190" s="80" t="str">
        <f>IF(Y190=0,"",IF(NOT(ISNUMBER(B190)),"Falta fecha o fecha inválida",IF(D190="","Falta empresa",IF(AND(D190&lt;&gt;"Malcolm",D190&lt;&gt;"proMX"),"Empresa inválida",IF(OR(INT(B190)&lt;CFG_PSTART,INT(B190)&gt;CFG_PEND),"Fecha fuera del período",IF(OR(NOT(ISNUMBER(Z190)),NOT(ISNUMBER(AA190))),"Falta hora inicio/fin o formato inválido",IF(AB190=0,"Hora inicio = hora fin",IF(AE190&lt;0,"Descanso inválido",IF(AE190&gt;=AD190,"Descanso ≥ duración",IF(AV190=1,"Registro duplicado",IF(AZ190&gt;0,"Se superpone con otro registro "&amp;D190,IF(BB190=0,"inicio, fin y duración neta deben ser múltiplos de "&amp;CFG_BLK&amp;" min",""))))))))))))</f>
        <v/>
      </c>
      <c r="BD190" s="80">
        <f>IF(AND(Y190=1,BC190=""),1,0)</f>
        <v>0</v>
      </c>
      <c r="BE190" s="80">
        <f>IF(AND(BD190=1,AU190=1),1,0)</f>
        <v>0</v>
      </c>
      <c r="BF190" s="80" t="str">
        <f>IF(AND(D190="proMX",BD190=1),IF(R190="","Draft",R190),"")</f>
        <v/>
      </c>
      <c r="BG190" s="80">
        <f>IF(BD190=1,ROUND(AG190/60,6),0)</f>
        <v>0</v>
      </c>
      <c r="BH190" s="80">
        <f>IF(BE190=1,ROUND(AG190/60,6),0)</f>
        <v>0</v>
      </c>
      <c r="BI190" s="80">
        <f>IF(BE190=1,ROUND(AP190/60,6),0)</f>
        <v>0</v>
      </c>
      <c r="BJ190" s="80">
        <f>IF(BE190=1,ROUND(AQ190/60,6),0)</f>
        <v>0</v>
      </c>
      <c r="BK190" s="80">
        <f>IF(BE190=1,ROUND((AR190+AS190)/60,6),0)</f>
        <v>0</v>
      </c>
      <c r="BL190" s="80">
        <f>ROUND(BH190-BK190,6)</f>
        <v>0</v>
      </c>
      <c r="BM190" s="80">
        <f>IF(BE190=1,ROUND(AR190/60,6),0)</f>
        <v>0</v>
      </c>
      <c r="BN190" s="80">
        <f>ROUND(BI190-BM190,6)</f>
        <v>0</v>
      </c>
      <c r="BO190" s="80">
        <f>IF(BE190=1,ROUND(AS190/60,6),0)</f>
        <v>0</v>
      </c>
      <c r="BP190" s="80">
        <f>ROUND(BJ190-BO190,6)</f>
        <v>0</v>
      </c>
      <c r="BQ190" s="80">
        <f>IF(BE190=1,AW190,0)</f>
        <v>0</v>
      </c>
      <c r="BR190" s="80">
        <f>IF(BE190=1,AX190,0)</f>
        <v>0</v>
      </c>
      <c r="BS190" s="80">
        <f>IF(AND(BE190=1,D190="Malcolm",BA190&gt;0),MIN(BH190,SUMPRODUCT((R_Emp="proMX")*(R_EN&gt;0)*((R_EN-(R_EN&gt;BR190)*(R_EN-BR190))&gt;(R_SN+(R_SN&lt;BQ190)*(BQ190-R_SN)))*((R_EN-(R_EN&gt;BR190)*(R_EN-BR190))-(R_SN+(R_SN&lt;BQ190)*(BQ190-R_SN))))/60),0)</f>
        <v>0</v>
      </c>
      <c r="BT190" s="80">
        <f>IF(AND(BE190=1,D190="proMX"),ROUND(BI190*CFG_RATE+BJ190*CFG_OTRATE,6),0)</f>
        <v>0</v>
      </c>
      <c r="BU190" s="80">
        <f>IF(AND(BD190=1,D190="proMX"),ROUND(AG190/CFG_BLK,6),0)</f>
        <v>0</v>
      </c>
      <c r="BV190" s="80" t="str">
        <f>IF(BF190="Approved",IF(ISNUMBER(T190),INT(T190),INT(B190)),"")</f>
        <v/>
      </c>
      <c r="BW190" s="80">
        <f>IF(ISNUMBER(B190),IF(DB_MON="Todos",1,IF(AND(INT(B190)&gt;=DB_MS,INT(B190)&lt;=DB_ME),1,0)),0)</f>
        <v>0</v>
      </c>
      <c r="BX190" s="80">
        <f>IF(DB_PROJ="Todos",1,IF(E190&amp;""=DB_PROJ&amp;"",1,0))</f>
        <v>1</v>
      </c>
      <c r="BY190" s="80">
        <f>BW190*BX190</f>
        <v>0</v>
      </c>
      <c r="BZ190" s="80" t="str">
        <f>IF(Y190=1,F190&amp;IF(AND(F190&amp;""&lt;&gt;"",E190&amp;""&lt;&gt;"")," · ","")&amp;E190,"")</f>
        <v/>
      </c>
      <c r="CA190" s="80" t="str">
        <f>IF(AND(BD190=1,E190&amp;""&lt;&gt;""),IF(COUNTIFS($E$5:E189,E190,$BD$5:BD189,1)=0,MAX($CA$5:CA189)+1,""),"")</f>
        <v/>
      </c>
      <c r="CB190" s="80" t="str">
        <f>IF(AND(BE190=1,D190="Malcolm",E190&amp;""&lt;&gt;""),IF(COUNTIFS($D$5:D189,"Malcolm",$E$5:E189,E190,$BE$5:BE189,1)=0,MAX($CB$5:CB189)+1,""),"")</f>
        <v/>
      </c>
      <c r="CC190" s="80" t="str">
        <f>IF(AND(BD190=1,D190="proMX",E190&amp;""&lt;&gt;""),IF(COUNTIFS($D$5:D189,"proMX",$E$5:E189,E190,$BD$5:BD189,1)=0,MAX($CC$5:CC189)+1,""),"")</f>
        <v/>
      </c>
      <c r="CD190" s="80" t="str">
        <f>IF(AND(BE190=1,D190="Malcolm",F190&amp;""&lt;&gt;""),IF(COUNTIFS($D$5:D189,"Malcolm",$F$5:F189,F190,$BE$5:BE189,1)=0,MAX($CD$5:CD189)+1,""),"")</f>
        <v/>
      </c>
      <c r="CE190" s="80" t="str">
        <f>IF(AND(BD190=1,D190="proMX",F190&amp;""&lt;&gt;""),IF(COUNTIFS($D$5:D189,"proMX",$F$5:F189,F190,$BD$5:BD189,1)=0,MAX($CE$5:CE189)+1,""),"")</f>
        <v/>
      </c>
      <c r="CF190" s="80" t="str">
        <f>IF(AND(D190="proMX",BD190=1),IF(OR(BF190="Draft",BF190="Submitted",BF190="Returned",BF190="Recall Requested"),MAX($CF$5:CF189)+1,""),"")</f>
        <v/>
      </c>
      <c r="CG190" s="80">
        <f>IF(BD190=0,0,IF(D190="Malcolm",1,MATCH(BF190,{"Draft","Submitted","Approved","Returned","Recall Requested","Cancelled"},0)+1))</f>
        <v>0</v>
      </c>
      <c r="CH190" s="80">
        <f>IF(AND(BF190="Submitted",ISNUMBER(V190)),IF(V190&gt;CFG_MAXD,1,0),0)</f>
        <v>0</v>
      </c>
    </row>
    <row r="191">
      <c r="A191" s="71" t="str">
        <f>IF(Y191=1,ROW()-5,"")</f>
        <v/>
      </c>
      <c r="B191" s="72" t="n"/>
      <c r="C191" s="71" t="str">
        <f>IF(ISNUMBER(B191),CHOOSE(WEEKDAY(B191,2),"Lun","Mar","Mié","Jue","Vie","Sáb","Dom"),"")</f>
        <v/>
      </c>
      <c r="D191" s="73" t="n"/>
      <c r="E191" s="74" t="n"/>
      <c r="F191" s="74" t="n"/>
      <c r="G191" s="74" t="n"/>
      <c r="H191" s="75" t="n"/>
      <c r="I191" s="75" t="n"/>
      <c r="J191" s="76" t="n"/>
      <c r="K191" s="77" t="str">
        <f>IF(AB191=1,ROUND(AG191/60,4),"")</f>
        <v/>
      </c>
      <c r="L191" s="77" t="str">
        <f>IF(BD191=1,ROUND(AP191/60,4),"")</f>
        <v/>
      </c>
      <c r="M191" s="77" t="str">
        <f>IF(BD191=1,ROUND(AQ191/60,4),"")</f>
        <v/>
      </c>
      <c r="N191" s="71" t="str">
        <f>IF(AND(D191="proMX",AB191=1),ROUND(AG191/CFG_BLK,2),"")</f>
        <v/>
      </c>
      <c r="O191" s="77" t="str">
        <f>IF(D191="proMX",IF(BD191=1,ROUND(AG191/60,4),0),"")</f>
        <v/>
      </c>
      <c r="P191" s="78" t="str">
        <f>IF(Y191=0,"",IF(BD191=1,"OK",IF(D191="proMX","Revisar bloques: ","Revisar: ")&amp;BC191))</f>
        <v/>
      </c>
      <c r="Q191" s="78" t="str">
        <f>IF(NOT(ISNUMBER(B191)),"",IF(COUNTIFS(FER_F,INT(B191))&gt;0,"Feriado"&amp;IF(AH191=1," (laborable)"," (no laborable)"),IF(AH191=1,"Laborable",IF(WEEKDAY(B191,2)&gt;5,"Fin de semana","No laborable"))))</f>
        <v/>
      </c>
      <c r="R191" s="73" t="n"/>
      <c r="S191" s="72" t="n"/>
      <c r="T191" s="72" t="n"/>
      <c r="U191" s="74" t="n"/>
      <c r="V191" s="79" t="str">
        <f>IF(AND(D191="proMX",OR(R191="Submitted",R191="Recall Requested"),ISNUMBER(S191)),CFG_TODAY-INT(S191),"")</f>
        <v/>
      </c>
      <c r="W191" s="78" t="str">
        <f>IF(BD191=0,"",IF(BA191&gt;0,"⚠ Se superpone con un registro de la otra empresa",IF(D191="Malcolm",IF(COUNTA(R191,S191,T191)&gt;0,"Estado/fechas proMX se ignoran en Malcolm",""),IF(BF191="Cancelled","Cancelado: excluido de totales",IF(R191="","Sin estado: se trata como Draft",IF(BF191="Submitted",IF(ISNUMBER(V191),IF(V191&gt;CFG_MAXD,"⚠ "&amp;V191&amp;" días en Submitted (máx. "&amp;CFG_MAXD&amp;")",""),"Falta fecha de envío"),IF(BF191="Returned","⚠ Devuelto: corregir y reenviar",IF(BF191="Recall Requested","Retirada solicitada: pendiente",IF(AND(BF191="Approved",NOT(ISNUMBER(T191))),"Falta fecha de aprobación",IF(AND(ISNUMBER(S191),ISNUMBER(T191),T191&lt;S191),"Aprobación anterior al envío","")))))))))</f>
        <v/>
      </c>
      <c r="Y191" s="80">
        <f>IF(COUNTA(B191,D191,E191,F191,G191,H191,I191,J191,R191,S191,T191)&gt;0,1,0)</f>
        <v>0</v>
      </c>
      <c r="Z191" s="80" t="str">
        <f>IF(AND(ISNUMBER(H191),H191&gt;=0,H191&lt;1),ROUND(H191*1440,0),"")</f>
        <v/>
      </c>
      <c r="AA191" s="80" t="str">
        <f>IF(AND(ISNUMBER(I191),I191&gt;=0,I191&lt;1),ROUND(I191*1440,0),"")</f>
        <v/>
      </c>
      <c r="AB191" s="80">
        <f>IF(AND(ISNUMBER(B191),D191&lt;&gt;"",ISNUMBER(Z191),ISNUMBER(AA191)),IF(Z191=AA191,0,1),0)</f>
        <v>0</v>
      </c>
      <c r="AC191" s="80">
        <f>IF(AB191=1,IF(AA191&lt;Z191,1,0),0)</f>
        <v>0</v>
      </c>
      <c r="AD191" s="80">
        <f>IF(AB191=1,IF(AC191=1,1440-Z191+AA191,AA191-Z191),0)</f>
        <v>0</v>
      </c>
      <c r="AE191" s="80">
        <f>IF(J191="",0,IF(ISNUMBER(J191),J191,-1))</f>
        <v>0</v>
      </c>
      <c r="AF191" s="80">
        <f>MIN(MAX(0,AE191),AD191)</f>
        <v>0</v>
      </c>
      <c r="AG191" s="80">
        <f>MAX(0,AD191-MAX(0,AE191))</f>
        <v>0</v>
      </c>
      <c r="AH191" s="80">
        <f>IF(ISNUMBER(B191),IF(AND(INDEX(CFG_WDAYS,WEEKDAY(INT(B191),2))="Sí",IF(D191="proMX",COUNTIFS(FER_F,INT(B191),FER_NLP,"Sí"),COUNTIFS(FER_F,INT(B191),FER_NLM,"Sí"))=0),1,0),0)</f>
        <v>0</v>
      </c>
      <c r="AI191" s="80">
        <f>IF(AC191=1,IF(AND(INDEX(CFG_WDAYS,WEEKDAY(INT(B191)+1,2))="Sí",IF(D191="proMX",COUNTIFS(FER_F,INT(B191)+1,FER_NLP,"Sí"),COUNTIFS(FER_F,INT(B191)+1,FER_NLM,"Sí"))=0),1,0),0)</f>
        <v>0</v>
      </c>
      <c r="AJ191" s="80">
        <f>IF(AC191=1,1440-Z191,AD191)</f>
        <v>0</v>
      </c>
      <c r="AK191" s="80">
        <f>IF(AND(AB191=1,AH191=1),MAX(0,MIN(IF(AC191=1,1440,AA191),CFG_WEM)-MAX(Z191,CFG_WSM)),0)</f>
        <v>0</v>
      </c>
      <c r="AL191" s="80">
        <f>IF(AND(AC191=1,AI191=1),MAX(0,MIN(AA191,CFG_WEM)-CFG_WSM),0)</f>
        <v>0</v>
      </c>
      <c r="AM191" s="80">
        <f>AK191+AL191</f>
        <v>0</v>
      </c>
      <c r="AN191" s="80">
        <f>IF(CFG_BRK="Proporcional",IF(AD191=0,0,AF191*AM191/AD191),IF(CFG_BRK="Extras primero",MIN(AM191,MAX(0,AF191-(AD191-AM191))),MIN(AF191,AM191)))</f>
        <v>0</v>
      </c>
      <c r="AO191" s="80">
        <f>AF191-AN191</f>
        <v>0</v>
      </c>
      <c r="AP191" s="80">
        <f>AM191-AN191</f>
        <v>0</v>
      </c>
      <c r="AQ191" s="80">
        <f>AD191-AM191-AO191</f>
        <v>0</v>
      </c>
      <c r="AR191" s="80">
        <f>IF(AM191=0,0,AK191-AN191*AK191/AM191)</f>
        <v>0</v>
      </c>
      <c r="AS191" s="80">
        <f>IF(AD191-AM191=0,0,(AJ191-AK191)-AO191*(AJ191-AK191)/(AD191-AM191))</f>
        <v>0</v>
      </c>
      <c r="AT191" s="80" t="str">
        <f>IF(AC191=1,INT(B191)+1,"")</f>
        <v/>
      </c>
      <c r="AU191" s="80">
        <f>IF(AND(D191="proMX",R191="Cancelled"),0,1)</f>
        <v>1</v>
      </c>
      <c r="AV191" s="80">
        <f>IF(AND(AB191=1,AU191=1),IF(COUNTIFS($D$5:D190,D191,$B$5:B190,B191,$Z$5:Z190,Z191,$AA$5:AA190,AA191,$F$5:F190,F191&amp;"",$AU$5:AU190,1)&gt;0,1,0),0)</f>
        <v>0</v>
      </c>
      <c r="AW191" s="80" t="str">
        <f>IF(AB191=1,INT(B191)*1440+Z191,"")</f>
        <v/>
      </c>
      <c r="AX191" s="80" t="str">
        <f>IF(AB191=1,AW191+AD191,"")</f>
        <v/>
      </c>
      <c r="AY191" s="80">
        <f>IF(AND(AB191=1,AV191=0,AU191=1),1,0)</f>
        <v>0</v>
      </c>
      <c r="AZ191" s="80">
        <f>IF(AY191=1,COUNTIFS(R_Emp,D191,R_SAbs,"&lt;"&amp;AX191,R_EAbs,"&gt;"&amp;AW191,R_OKey,1)-1,0)</f>
        <v>0</v>
      </c>
      <c r="BA191" s="80">
        <f>IF(AY191=1,COUNTIFS(R_Emp,"&lt;&gt;"&amp;D191,R_SAbs,"&lt;"&amp;AX191,R_EAbs,"&gt;"&amp;AW191,R_OKey,1),0)</f>
        <v>0</v>
      </c>
      <c r="BB191" s="80">
        <f>IF(AND(AB191=1,D191="proMX"),IF(AND(MOD(Z191,CFG_BLK)=0,MOD(AA191,CFG_BLK)=0,MOD(AG191,CFG_BLK)=0,AG191&gt;0),1,0),1)</f>
        <v>1</v>
      </c>
      <c r="BC191" s="80" t="str">
        <f>IF(Y191=0,"",IF(NOT(ISNUMBER(B191)),"Falta fecha o fecha inválida",IF(D191="","Falta empresa",IF(AND(D191&lt;&gt;"Malcolm",D191&lt;&gt;"proMX"),"Empresa inválida",IF(OR(INT(B191)&lt;CFG_PSTART,INT(B191)&gt;CFG_PEND),"Fecha fuera del período",IF(OR(NOT(ISNUMBER(Z191)),NOT(ISNUMBER(AA191))),"Falta hora inicio/fin o formato inválido",IF(AB191=0,"Hora inicio = hora fin",IF(AE191&lt;0,"Descanso inválido",IF(AE191&gt;=AD191,"Descanso ≥ duración",IF(AV191=1,"Registro duplicado",IF(AZ191&gt;0,"Se superpone con otro registro "&amp;D191,IF(BB191=0,"inicio, fin y duración neta deben ser múltiplos de "&amp;CFG_BLK&amp;" min",""))))))))))))</f>
        <v/>
      </c>
      <c r="BD191" s="80">
        <f>IF(AND(Y191=1,BC191=""),1,0)</f>
        <v>0</v>
      </c>
      <c r="BE191" s="80">
        <f>IF(AND(BD191=1,AU191=1),1,0)</f>
        <v>0</v>
      </c>
      <c r="BF191" s="80" t="str">
        <f>IF(AND(D191="proMX",BD191=1),IF(R191="","Draft",R191),"")</f>
        <v/>
      </c>
      <c r="BG191" s="80">
        <f>IF(BD191=1,ROUND(AG191/60,6),0)</f>
        <v>0</v>
      </c>
      <c r="BH191" s="80">
        <f>IF(BE191=1,ROUND(AG191/60,6),0)</f>
        <v>0</v>
      </c>
      <c r="BI191" s="80">
        <f>IF(BE191=1,ROUND(AP191/60,6),0)</f>
        <v>0</v>
      </c>
      <c r="BJ191" s="80">
        <f>IF(BE191=1,ROUND(AQ191/60,6),0)</f>
        <v>0</v>
      </c>
      <c r="BK191" s="80">
        <f>IF(BE191=1,ROUND((AR191+AS191)/60,6),0)</f>
        <v>0</v>
      </c>
      <c r="BL191" s="80">
        <f>ROUND(BH191-BK191,6)</f>
        <v>0</v>
      </c>
      <c r="BM191" s="80">
        <f>IF(BE191=1,ROUND(AR191/60,6),0)</f>
        <v>0</v>
      </c>
      <c r="BN191" s="80">
        <f>ROUND(BI191-BM191,6)</f>
        <v>0</v>
      </c>
      <c r="BO191" s="80">
        <f>IF(BE191=1,ROUND(AS191/60,6),0)</f>
        <v>0</v>
      </c>
      <c r="BP191" s="80">
        <f>ROUND(BJ191-BO191,6)</f>
        <v>0</v>
      </c>
      <c r="BQ191" s="80">
        <f>IF(BE191=1,AW191,0)</f>
        <v>0</v>
      </c>
      <c r="BR191" s="80">
        <f>IF(BE191=1,AX191,0)</f>
        <v>0</v>
      </c>
      <c r="BS191" s="80">
        <f>IF(AND(BE191=1,D191="Malcolm",BA191&gt;0),MIN(BH191,SUMPRODUCT((R_Emp="proMX")*(R_EN&gt;0)*((R_EN-(R_EN&gt;BR191)*(R_EN-BR191))&gt;(R_SN+(R_SN&lt;BQ191)*(BQ191-R_SN)))*((R_EN-(R_EN&gt;BR191)*(R_EN-BR191))-(R_SN+(R_SN&lt;BQ191)*(BQ191-R_SN))))/60),0)</f>
        <v>0</v>
      </c>
      <c r="BT191" s="80">
        <f>IF(AND(BE191=1,D191="proMX"),ROUND(BI191*CFG_RATE+BJ191*CFG_OTRATE,6),0)</f>
        <v>0</v>
      </c>
      <c r="BU191" s="80">
        <f>IF(AND(BD191=1,D191="proMX"),ROUND(AG191/CFG_BLK,6),0)</f>
        <v>0</v>
      </c>
      <c r="BV191" s="80" t="str">
        <f>IF(BF191="Approved",IF(ISNUMBER(T191),INT(T191),INT(B191)),"")</f>
        <v/>
      </c>
      <c r="BW191" s="80">
        <f>IF(ISNUMBER(B191),IF(DB_MON="Todos",1,IF(AND(INT(B191)&gt;=DB_MS,INT(B191)&lt;=DB_ME),1,0)),0)</f>
        <v>0</v>
      </c>
      <c r="BX191" s="80">
        <f>IF(DB_PROJ="Todos",1,IF(E191&amp;""=DB_PROJ&amp;"",1,0))</f>
        <v>1</v>
      </c>
      <c r="BY191" s="80">
        <f>BW191*BX191</f>
        <v>0</v>
      </c>
      <c r="BZ191" s="80" t="str">
        <f>IF(Y191=1,F191&amp;IF(AND(F191&amp;""&lt;&gt;"",E191&amp;""&lt;&gt;"")," · ","")&amp;E191,"")</f>
        <v/>
      </c>
      <c r="CA191" s="80" t="str">
        <f>IF(AND(BD191=1,E191&amp;""&lt;&gt;""),IF(COUNTIFS($E$5:E190,E191,$BD$5:BD190,1)=0,MAX($CA$5:CA190)+1,""),"")</f>
        <v/>
      </c>
      <c r="CB191" s="80" t="str">
        <f>IF(AND(BE191=1,D191="Malcolm",E191&amp;""&lt;&gt;""),IF(COUNTIFS($D$5:D190,"Malcolm",$E$5:E190,E191,$BE$5:BE190,1)=0,MAX($CB$5:CB190)+1,""),"")</f>
        <v/>
      </c>
      <c r="CC191" s="80" t="str">
        <f>IF(AND(BD191=1,D191="proMX",E191&amp;""&lt;&gt;""),IF(COUNTIFS($D$5:D190,"proMX",$E$5:E190,E191,$BD$5:BD190,1)=0,MAX($CC$5:CC190)+1,""),"")</f>
        <v/>
      </c>
      <c r="CD191" s="80" t="str">
        <f>IF(AND(BE191=1,D191="Malcolm",F191&amp;""&lt;&gt;""),IF(COUNTIFS($D$5:D190,"Malcolm",$F$5:F190,F191,$BE$5:BE190,1)=0,MAX($CD$5:CD190)+1,""),"")</f>
        <v/>
      </c>
      <c r="CE191" s="80" t="str">
        <f>IF(AND(BD191=1,D191="proMX",F191&amp;""&lt;&gt;""),IF(COUNTIFS($D$5:D190,"proMX",$F$5:F190,F191,$BD$5:BD190,1)=0,MAX($CE$5:CE190)+1,""),"")</f>
        <v/>
      </c>
      <c r="CF191" s="80" t="str">
        <f>IF(AND(D191="proMX",BD191=1),IF(OR(BF191="Draft",BF191="Submitted",BF191="Returned",BF191="Recall Requested"),MAX($CF$5:CF190)+1,""),"")</f>
        <v/>
      </c>
      <c r="CG191" s="80">
        <f>IF(BD191=0,0,IF(D191="Malcolm",1,MATCH(BF191,{"Draft","Submitted","Approved","Returned","Recall Requested","Cancelled"},0)+1))</f>
        <v>0</v>
      </c>
      <c r="CH191" s="80">
        <f>IF(AND(BF191="Submitted",ISNUMBER(V191)),IF(V191&gt;CFG_MAXD,1,0),0)</f>
        <v>0</v>
      </c>
    </row>
    <row r="192">
      <c r="A192" s="71" t="str">
        <f>IF(Y192=1,ROW()-5,"")</f>
        <v/>
      </c>
      <c r="B192" s="72" t="n"/>
      <c r="C192" s="71" t="str">
        <f>IF(ISNUMBER(B192),CHOOSE(WEEKDAY(B192,2),"Lun","Mar","Mié","Jue","Vie","Sáb","Dom"),"")</f>
        <v/>
      </c>
      <c r="D192" s="73" t="n"/>
      <c r="E192" s="74" t="n"/>
      <c r="F192" s="74" t="n"/>
      <c r="G192" s="74" t="n"/>
      <c r="H192" s="75" t="n"/>
      <c r="I192" s="75" t="n"/>
      <c r="J192" s="76" t="n"/>
      <c r="K192" s="77" t="str">
        <f>IF(AB192=1,ROUND(AG192/60,4),"")</f>
        <v/>
      </c>
      <c r="L192" s="77" t="str">
        <f>IF(BD192=1,ROUND(AP192/60,4),"")</f>
        <v/>
      </c>
      <c r="M192" s="77" t="str">
        <f>IF(BD192=1,ROUND(AQ192/60,4),"")</f>
        <v/>
      </c>
      <c r="N192" s="71" t="str">
        <f>IF(AND(D192="proMX",AB192=1),ROUND(AG192/CFG_BLK,2),"")</f>
        <v/>
      </c>
      <c r="O192" s="77" t="str">
        <f>IF(D192="proMX",IF(BD192=1,ROUND(AG192/60,4),0),"")</f>
        <v/>
      </c>
      <c r="P192" s="78" t="str">
        <f>IF(Y192=0,"",IF(BD192=1,"OK",IF(D192="proMX","Revisar bloques: ","Revisar: ")&amp;BC192))</f>
        <v/>
      </c>
      <c r="Q192" s="78" t="str">
        <f>IF(NOT(ISNUMBER(B192)),"",IF(COUNTIFS(FER_F,INT(B192))&gt;0,"Feriado"&amp;IF(AH192=1," (laborable)"," (no laborable)"),IF(AH192=1,"Laborable",IF(WEEKDAY(B192,2)&gt;5,"Fin de semana","No laborable"))))</f>
        <v/>
      </c>
      <c r="R192" s="73" t="n"/>
      <c r="S192" s="72" t="n"/>
      <c r="T192" s="72" t="n"/>
      <c r="U192" s="74" t="n"/>
      <c r="V192" s="79" t="str">
        <f>IF(AND(D192="proMX",OR(R192="Submitted",R192="Recall Requested"),ISNUMBER(S192)),CFG_TODAY-INT(S192),"")</f>
        <v/>
      </c>
      <c r="W192" s="78" t="str">
        <f>IF(BD192=0,"",IF(BA192&gt;0,"⚠ Se superpone con un registro de la otra empresa",IF(D192="Malcolm",IF(COUNTA(R192,S192,T192)&gt;0,"Estado/fechas proMX se ignoran en Malcolm",""),IF(BF192="Cancelled","Cancelado: excluido de totales",IF(R192="","Sin estado: se trata como Draft",IF(BF192="Submitted",IF(ISNUMBER(V192),IF(V192&gt;CFG_MAXD,"⚠ "&amp;V192&amp;" días en Submitted (máx. "&amp;CFG_MAXD&amp;")",""),"Falta fecha de envío"),IF(BF192="Returned","⚠ Devuelto: corregir y reenviar",IF(BF192="Recall Requested","Retirada solicitada: pendiente",IF(AND(BF192="Approved",NOT(ISNUMBER(T192))),"Falta fecha de aprobación",IF(AND(ISNUMBER(S192),ISNUMBER(T192),T192&lt;S192),"Aprobación anterior al envío","")))))))))</f>
        <v/>
      </c>
      <c r="Y192" s="80">
        <f>IF(COUNTA(B192,D192,E192,F192,G192,H192,I192,J192,R192,S192,T192)&gt;0,1,0)</f>
        <v>0</v>
      </c>
      <c r="Z192" s="80" t="str">
        <f>IF(AND(ISNUMBER(H192),H192&gt;=0,H192&lt;1),ROUND(H192*1440,0),"")</f>
        <v/>
      </c>
      <c r="AA192" s="80" t="str">
        <f>IF(AND(ISNUMBER(I192),I192&gt;=0,I192&lt;1),ROUND(I192*1440,0),"")</f>
        <v/>
      </c>
      <c r="AB192" s="80">
        <f>IF(AND(ISNUMBER(B192),D192&lt;&gt;"",ISNUMBER(Z192),ISNUMBER(AA192)),IF(Z192=AA192,0,1),0)</f>
        <v>0</v>
      </c>
      <c r="AC192" s="80">
        <f>IF(AB192=1,IF(AA192&lt;Z192,1,0),0)</f>
        <v>0</v>
      </c>
      <c r="AD192" s="80">
        <f>IF(AB192=1,IF(AC192=1,1440-Z192+AA192,AA192-Z192),0)</f>
        <v>0</v>
      </c>
      <c r="AE192" s="80">
        <f>IF(J192="",0,IF(ISNUMBER(J192),J192,-1))</f>
        <v>0</v>
      </c>
      <c r="AF192" s="80">
        <f>MIN(MAX(0,AE192),AD192)</f>
        <v>0</v>
      </c>
      <c r="AG192" s="80">
        <f>MAX(0,AD192-MAX(0,AE192))</f>
        <v>0</v>
      </c>
      <c r="AH192" s="80">
        <f>IF(ISNUMBER(B192),IF(AND(INDEX(CFG_WDAYS,WEEKDAY(INT(B192),2))="Sí",IF(D192="proMX",COUNTIFS(FER_F,INT(B192),FER_NLP,"Sí"),COUNTIFS(FER_F,INT(B192),FER_NLM,"Sí"))=0),1,0),0)</f>
        <v>0</v>
      </c>
      <c r="AI192" s="80">
        <f>IF(AC192=1,IF(AND(INDEX(CFG_WDAYS,WEEKDAY(INT(B192)+1,2))="Sí",IF(D192="proMX",COUNTIFS(FER_F,INT(B192)+1,FER_NLP,"Sí"),COUNTIFS(FER_F,INT(B192)+1,FER_NLM,"Sí"))=0),1,0),0)</f>
        <v>0</v>
      </c>
      <c r="AJ192" s="80">
        <f>IF(AC192=1,1440-Z192,AD192)</f>
        <v>0</v>
      </c>
      <c r="AK192" s="80">
        <f>IF(AND(AB192=1,AH192=1),MAX(0,MIN(IF(AC192=1,1440,AA192),CFG_WEM)-MAX(Z192,CFG_WSM)),0)</f>
        <v>0</v>
      </c>
      <c r="AL192" s="80">
        <f>IF(AND(AC192=1,AI192=1),MAX(0,MIN(AA192,CFG_WEM)-CFG_WSM),0)</f>
        <v>0</v>
      </c>
      <c r="AM192" s="80">
        <f>AK192+AL192</f>
        <v>0</v>
      </c>
      <c r="AN192" s="80">
        <f>IF(CFG_BRK="Proporcional",IF(AD192=0,0,AF192*AM192/AD192),IF(CFG_BRK="Extras primero",MIN(AM192,MAX(0,AF192-(AD192-AM192))),MIN(AF192,AM192)))</f>
        <v>0</v>
      </c>
      <c r="AO192" s="80">
        <f>AF192-AN192</f>
        <v>0</v>
      </c>
      <c r="AP192" s="80">
        <f>AM192-AN192</f>
        <v>0</v>
      </c>
      <c r="AQ192" s="80">
        <f>AD192-AM192-AO192</f>
        <v>0</v>
      </c>
      <c r="AR192" s="80">
        <f>IF(AM192=0,0,AK192-AN192*AK192/AM192)</f>
        <v>0</v>
      </c>
      <c r="AS192" s="80">
        <f>IF(AD192-AM192=0,0,(AJ192-AK192)-AO192*(AJ192-AK192)/(AD192-AM192))</f>
        <v>0</v>
      </c>
      <c r="AT192" s="80" t="str">
        <f>IF(AC192=1,INT(B192)+1,"")</f>
        <v/>
      </c>
      <c r="AU192" s="80">
        <f>IF(AND(D192="proMX",R192="Cancelled"),0,1)</f>
        <v>1</v>
      </c>
      <c r="AV192" s="80">
        <f>IF(AND(AB192=1,AU192=1),IF(COUNTIFS($D$5:D191,D192,$B$5:B191,B192,$Z$5:Z191,Z192,$AA$5:AA191,AA192,$F$5:F191,F192&amp;"",$AU$5:AU191,1)&gt;0,1,0),0)</f>
        <v>0</v>
      </c>
      <c r="AW192" s="80" t="str">
        <f>IF(AB192=1,INT(B192)*1440+Z192,"")</f>
        <v/>
      </c>
      <c r="AX192" s="80" t="str">
        <f>IF(AB192=1,AW192+AD192,"")</f>
        <v/>
      </c>
      <c r="AY192" s="80">
        <f>IF(AND(AB192=1,AV192=0,AU192=1),1,0)</f>
        <v>0</v>
      </c>
      <c r="AZ192" s="80">
        <f>IF(AY192=1,COUNTIFS(R_Emp,D192,R_SAbs,"&lt;"&amp;AX192,R_EAbs,"&gt;"&amp;AW192,R_OKey,1)-1,0)</f>
        <v>0</v>
      </c>
      <c r="BA192" s="80">
        <f>IF(AY192=1,COUNTIFS(R_Emp,"&lt;&gt;"&amp;D192,R_SAbs,"&lt;"&amp;AX192,R_EAbs,"&gt;"&amp;AW192,R_OKey,1),0)</f>
        <v>0</v>
      </c>
      <c r="BB192" s="80">
        <f>IF(AND(AB192=1,D192="proMX"),IF(AND(MOD(Z192,CFG_BLK)=0,MOD(AA192,CFG_BLK)=0,MOD(AG192,CFG_BLK)=0,AG192&gt;0),1,0),1)</f>
        <v>1</v>
      </c>
      <c r="BC192" s="80" t="str">
        <f>IF(Y192=0,"",IF(NOT(ISNUMBER(B192)),"Falta fecha o fecha inválida",IF(D192="","Falta empresa",IF(AND(D192&lt;&gt;"Malcolm",D192&lt;&gt;"proMX"),"Empresa inválida",IF(OR(INT(B192)&lt;CFG_PSTART,INT(B192)&gt;CFG_PEND),"Fecha fuera del período",IF(OR(NOT(ISNUMBER(Z192)),NOT(ISNUMBER(AA192))),"Falta hora inicio/fin o formato inválido",IF(AB192=0,"Hora inicio = hora fin",IF(AE192&lt;0,"Descanso inválido",IF(AE192&gt;=AD192,"Descanso ≥ duración",IF(AV192=1,"Registro duplicado",IF(AZ192&gt;0,"Se superpone con otro registro "&amp;D192,IF(BB192=0,"inicio, fin y duración neta deben ser múltiplos de "&amp;CFG_BLK&amp;" min",""))))))))))))</f>
        <v/>
      </c>
      <c r="BD192" s="80">
        <f>IF(AND(Y192=1,BC192=""),1,0)</f>
        <v>0</v>
      </c>
      <c r="BE192" s="80">
        <f>IF(AND(BD192=1,AU192=1),1,0)</f>
        <v>0</v>
      </c>
      <c r="BF192" s="80" t="str">
        <f>IF(AND(D192="proMX",BD192=1),IF(R192="","Draft",R192),"")</f>
        <v/>
      </c>
      <c r="BG192" s="80">
        <f>IF(BD192=1,ROUND(AG192/60,6),0)</f>
        <v>0</v>
      </c>
      <c r="BH192" s="80">
        <f>IF(BE192=1,ROUND(AG192/60,6),0)</f>
        <v>0</v>
      </c>
      <c r="BI192" s="80">
        <f>IF(BE192=1,ROUND(AP192/60,6),0)</f>
        <v>0</v>
      </c>
      <c r="BJ192" s="80">
        <f>IF(BE192=1,ROUND(AQ192/60,6),0)</f>
        <v>0</v>
      </c>
      <c r="BK192" s="80">
        <f>IF(BE192=1,ROUND((AR192+AS192)/60,6),0)</f>
        <v>0</v>
      </c>
      <c r="BL192" s="80">
        <f>ROUND(BH192-BK192,6)</f>
        <v>0</v>
      </c>
      <c r="BM192" s="80">
        <f>IF(BE192=1,ROUND(AR192/60,6),0)</f>
        <v>0</v>
      </c>
      <c r="BN192" s="80">
        <f>ROUND(BI192-BM192,6)</f>
        <v>0</v>
      </c>
      <c r="BO192" s="80">
        <f>IF(BE192=1,ROUND(AS192/60,6),0)</f>
        <v>0</v>
      </c>
      <c r="BP192" s="80">
        <f>ROUND(BJ192-BO192,6)</f>
        <v>0</v>
      </c>
      <c r="BQ192" s="80">
        <f>IF(BE192=1,AW192,0)</f>
        <v>0</v>
      </c>
      <c r="BR192" s="80">
        <f>IF(BE192=1,AX192,0)</f>
        <v>0</v>
      </c>
      <c r="BS192" s="80">
        <f>IF(AND(BE192=1,D192="Malcolm",BA192&gt;0),MIN(BH192,SUMPRODUCT((R_Emp="proMX")*(R_EN&gt;0)*((R_EN-(R_EN&gt;BR192)*(R_EN-BR192))&gt;(R_SN+(R_SN&lt;BQ192)*(BQ192-R_SN)))*((R_EN-(R_EN&gt;BR192)*(R_EN-BR192))-(R_SN+(R_SN&lt;BQ192)*(BQ192-R_SN))))/60),0)</f>
        <v>0</v>
      </c>
      <c r="BT192" s="80">
        <f>IF(AND(BE192=1,D192="proMX"),ROUND(BI192*CFG_RATE+BJ192*CFG_OTRATE,6),0)</f>
        <v>0</v>
      </c>
      <c r="BU192" s="80">
        <f>IF(AND(BD192=1,D192="proMX"),ROUND(AG192/CFG_BLK,6),0)</f>
        <v>0</v>
      </c>
      <c r="BV192" s="80" t="str">
        <f>IF(BF192="Approved",IF(ISNUMBER(T192),INT(T192),INT(B192)),"")</f>
        <v/>
      </c>
      <c r="BW192" s="80">
        <f>IF(ISNUMBER(B192),IF(DB_MON="Todos",1,IF(AND(INT(B192)&gt;=DB_MS,INT(B192)&lt;=DB_ME),1,0)),0)</f>
        <v>0</v>
      </c>
      <c r="BX192" s="80">
        <f>IF(DB_PROJ="Todos",1,IF(E192&amp;""=DB_PROJ&amp;"",1,0))</f>
        <v>1</v>
      </c>
      <c r="BY192" s="80">
        <f>BW192*BX192</f>
        <v>0</v>
      </c>
      <c r="BZ192" s="80" t="str">
        <f>IF(Y192=1,F192&amp;IF(AND(F192&amp;""&lt;&gt;"",E192&amp;""&lt;&gt;"")," · ","")&amp;E192,"")</f>
        <v/>
      </c>
      <c r="CA192" s="80" t="str">
        <f>IF(AND(BD192=1,E192&amp;""&lt;&gt;""),IF(COUNTIFS($E$5:E191,E192,$BD$5:BD191,1)=0,MAX($CA$5:CA191)+1,""),"")</f>
        <v/>
      </c>
      <c r="CB192" s="80" t="str">
        <f>IF(AND(BE192=1,D192="Malcolm",E192&amp;""&lt;&gt;""),IF(COUNTIFS($D$5:D191,"Malcolm",$E$5:E191,E192,$BE$5:BE191,1)=0,MAX($CB$5:CB191)+1,""),"")</f>
        <v/>
      </c>
      <c r="CC192" s="80" t="str">
        <f>IF(AND(BD192=1,D192="proMX",E192&amp;""&lt;&gt;""),IF(COUNTIFS($D$5:D191,"proMX",$E$5:E191,E192,$BD$5:BD191,1)=0,MAX($CC$5:CC191)+1,""),"")</f>
        <v/>
      </c>
      <c r="CD192" s="80" t="str">
        <f>IF(AND(BE192=1,D192="Malcolm",F192&amp;""&lt;&gt;""),IF(COUNTIFS($D$5:D191,"Malcolm",$F$5:F191,F192,$BE$5:BE191,1)=0,MAX($CD$5:CD191)+1,""),"")</f>
        <v/>
      </c>
      <c r="CE192" s="80" t="str">
        <f>IF(AND(BD192=1,D192="proMX",F192&amp;""&lt;&gt;""),IF(COUNTIFS($D$5:D191,"proMX",$F$5:F191,F192,$BD$5:BD191,1)=0,MAX($CE$5:CE191)+1,""),"")</f>
        <v/>
      </c>
      <c r="CF192" s="80" t="str">
        <f>IF(AND(D192="proMX",BD192=1),IF(OR(BF192="Draft",BF192="Submitted",BF192="Returned",BF192="Recall Requested"),MAX($CF$5:CF191)+1,""),"")</f>
        <v/>
      </c>
      <c r="CG192" s="80">
        <f>IF(BD192=0,0,IF(D192="Malcolm",1,MATCH(BF192,{"Draft","Submitted","Approved","Returned","Recall Requested","Cancelled"},0)+1))</f>
        <v>0</v>
      </c>
      <c r="CH192" s="80">
        <f>IF(AND(BF192="Submitted",ISNUMBER(V192)),IF(V192&gt;CFG_MAXD,1,0),0)</f>
        <v>0</v>
      </c>
    </row>
    <row r="193">
      <c r="A193" s="71" t="str">
        <f>IF(Y193=1,ROW()-5,"")</f>
        <v/>
      </c>
      <c r="B193" s="72" t="n"/>
      <c r="C193" s="71" t="str">
        <f>IF(ISNUMBER(B193),CHOOSE(WEEKDAY(B193,2),"Lun","Mar","Mié","Jue","Vie","Sáb","Dom"),"")</f>
        <v/>
      </c>
      <c r="D193" s="73" t="n"/>
      <c r="E193" s="74" t="n"/>
      <c r="F193" s="74" t="n"/>
      <c r="G193" s="74" t="n"/>
      <c r="H193" s="75" t="n"/>
      <c r="I193" s="75" t="n"/>
      <c r="J193" s="76" t="n"/>
      <c r="K193" s="77" t="str">
        <f>IF(AB193=1,ROUND(AG193/60,4),"")</f>
        <v/>
      </c>
      <c r="L193" s="77" t="str">
        <f>IF(BD193=1,ROUND(AP193/60,4),"")</f>
        <v/>
      </c>
      <c r="M193" s="77" t="str">
        <f>IF(BD193=1,ROUND(AQ193/60,4),"")</f>
        <v/>
      </c>
      <c r="N193" s="71" t="str">
        <f>IF(AND(D193="proMX",AB193=1),ROUND(AG193/CFG_BLK,2),"")</f>
        <v/>
      </c>
      <c r="O193" s="77" t="str">
        <f>IF(D193="proMX",IF(BD193=1,ROUND(AG193/60,4),0),"")</f>
        <v/>
      </c>
      <c r="P193" s="78" t="str">
        <f>IF(Y193=0,"",IF(BD193=1,"OK",IF(D193="proMX","Revisar bloques: ","Revisar: ")&amp;BC193))</f>
        <v/>
      </c>
      <c r="Q193" s="78" t="str">
        <f>IF(NOT(ISNUMBER(B193)),"",IF(COUNTIFS(FER_F,INT(B193))&gt;0,"Feriado"&amp;IF(AH193=1," (laborable)"," (no laborable)"),IF(AH193=1,"Laborable",IF(WEEKDAY(B193,2)&gt;5,"Fin de semana","No laborable"))))</f>
        <v/>
      </c>
      <c r="R193" s="73" t="n"/>
      <c r="S193" s="72" t="n"/>
      <c r="T193" s="72" t="n"/>
      <c r="U193" s="74" t="n"/>
      <c r="V193" s="79" t="str">
        <f>IF(AND(D193="proMX",OR(R193="Submitted",R193="Recall Requested"),ISNUMBER(S193)),CFG_TODAY-INT(S193),"")</f>
        <v/>
      </c>
      <c r="W193" s="78" t="str">
        <f>IF(BD193=0,"",IF(BA193&gt;0,"⚠ Se superpone con un registro de la otra empresa",IF(D193="Malcolm",IF(COUNTA(R193,S193,T193)&gt;0,"Estado/fechas proMX se ignoran en Malcolm",""),IF(BF193="Cancelled","Cancelado: excluido de totales",IF(R193="","Sin estado: se trata como Draft",IF(BF193="Submitted",IF(ISNUMBER(V193),IF(V193&gt;CFG_MAXD,"⚠ "&amp;V193&amp;" días en Submitted (máx. "&amp;CFG_MAXD&amp;")",""),"Falta fecha de envío"),IF(BF193="Returned","⚠ Devuelto: corregir y reenviar",IF(BF193="Recall Requested","Retirada solicitada: pendiente",IF(AND(BF193="Approved",NOT(ISNUMBER(T193))),"Falta fecha de aprobación",IF(AND(ISNUMBER(S193),ISNUMBER(T193),T193&lt;S193),"Aprobación anterior al envío","")))))))))</f>
        <v/>
      </c>
      <c r="Y193" s="80">
        <f>IF(COUNTA(B193,D193,E193,F193,G193,H193,I193,J193,R193,S193,T193)&gt;0,1,0)</f>
        <v>0</v>
      </c>
      <c r="Z193" s="80" t="str">
        <f>IF(AND(ISNUMBER(H193),H193&gt;=0,H193&lt;1),ROUND(H193*1440,0),"")</f>
        <v/>
      </c>
      <c r="AA193" s="80" t="str">
        <f>IF(AND(ISNUMBER(I193),I193&gt;=0,I193&lt;1),ROUND(I193*1440,0),"")</f>
        <v/>
      </c>
      <c r="AB193" s="80">
        <f>IF(AND(ISNUMBER(B193),D193&lt;&gt;"",ISNUMBER(Z193),ISNUMBER(AA193)),IF(Z193=AA193,0,1),0)</f>
        <v>0</v>
      </c>
      <c r="AC193" s="80">
        <f>IF(AB193=1,IF(AA193&lt;Z193,1,0),0)</f>
        <v>0</v>
      </c>
      <c r="AD193" s="80">
        <f>IF(AB193=1,IF(AC193=1,1440-Z193+AA193,AA193-Z193),0)</f>
        <v>0</v>
      </c>
      <c r="AE193" s="80">
        <f>IF(J193="",0,IF(ISNUMBER(J193),J193,-1))</f>
        <v>0</v>
      </c>
      <c r="AF193" s="80">
        <f>MIN(MAX(0,AE193),AD193)</f>
        <v>0</v>
      </c>
      <c r="AG193" s="80">
        <f>MAX(0,AD193-MAX(0,AE193))</f>
        <v>0</v>
      </c>
      <c r="AH193" s="80">
        <f>IF(ISNUMBER(B193),IF(AND(INDEX(CFG_WDAYS,WEEKDAY(INT(B193),2))="Sí",IF(D193="proMX",COUNTIFS(FER_F,INT(B193),FER_NLP,"Sí"),COUNTIFS(FER_F,INT(B193),FER_NLM,"Sí"))=0),1,0),0)</f>
        <v>0</v>
      </c>
      <c r="AI193" s="80">
        <f>IF(AC193=1,IF(AND(INDEX(CFG_WDAYS,WEEKDAY(INT(B193)+1,2))="Sí",IF(D193="proMX",COUNTIFS(FER_F,INT(B193)+1,FER_NLP,"Sí"),COUNTIFS(FER_F,INT(B193)+1,FER_NLM,"Sí"))=0),1,0),0)</f>
        <v>0</v>
      </c>
      <c r="AJ193" s="80">
        <f>IF(AC193=1,1440-Z193,AD193)</f>
        <v>0</v>
      </c>
      <c r="AK193" s="80">
        <f>IF(AND(AB193=1,AH193=1),MAX(0,MIN(IF(AC193=1,1440,AA193),CFG_WEM)-MAX(Z193,CFG_WSM)),0)</f>
        <v>0</v>
      </c>
      <c r="AL193" s="80">
        <f>IF(AND(AC193=1,AI193=1),MAX(0,MIN(AA193,CFG_WEM)-CFG_WSM),0)</f>
        <v>0</v>
      </c>
      <c r="AM193" s="80">
        <f>AK193+AL193</f>
        <v>0</v>
      </c>
      <c r="AN193" s="80">
        <f>IF(CFG_BRK="Proporcional",IF(AD193=0,0,AF193*AM193/AD193),IF(CFG_BRK="Extras primero",MIN(AM193,MAX(0,AF193-(AD193-AM193))),MIN(AF193,AM193)))</f>
        <v>0</v>
      </c>
      <c r="AO193" s="80">
        <f>AF193-AN193</f>
        <v>0</v>
      </c>
      <c r="AP193" s="80">
        <f>AM193-AN193</f>
        <v>0</v>
      </c>
      <c r="AQ193" s="80">
        <f>AD193-AM193-AO193</f>
        <v>0</v>
      </c>
      <c r="AR193" s="80">
        <f>IF(AM193=0,0,AK193-AN193*AK193/AM193)</f>
        <v>0</v>
      </c>
      <c r="AS193" s="80">
        <f>IF(AD193-AM193=0,0,(AJ193-AK193)-AO193*(AJ193-AK193)/(AD193-AM193))</f>
        <v>0</v>
      </c>
      <c r="AT193" s="80" t="str">
        <f>IF(AC193=1,INT(B193)+1,"")</f>
        <v/>
      </c>
      <c r="AU193" s="80">
        <f>IF(AND(D193="proMX",R193="Cancelled"),0,1)</f>
        <v>1</v>
      </c>
      <c r="AV193" s="80">
        <f>IF(AND(AB193=1,AU193=1),IF(COUNTIFS($D$5:D192,D193,$B$5:B192,B193,$Z$5:Z192,Z193,$AA$5:AA192,AA193,$F$5:F192,F193&amp;"",$AU$5:AU192,1)&gt;0,1,0),0)</f>
        <v>0</v>
      </c>
      <c r="AW193" s="80" t="str">
        <f>IF(AB193=1,INT(B193)*1440+Z193,"")</f>
        <v/>
      </c>
      <c r="AX193" s="80" t="str">
        <f>IF(AB193=1,AW193+AD193,"")</f>
        <v/>
      </c>
      <c r="AY193" s="80">
        <f>IF(AND(AB193=1,AV193=0,AU193=1),1,0)</f>
        <v>0</v>
      </c>
      <c r="AZ193" s="80">
        <f>IF(AY193=1,COUNTIFS(R_Emp,D193,R_SAbs,"&lt;"&amp;AX193,R_EAbs,"&gt;"&amp;AW193,R_OKey,1)-1,0)</f>
        <v>0</v>
      </c>
      <c r="BA193" s="80">
        <f>IF(AY193=1,COUNTIFS(R_Emp,"&lt;&gt;"&amp;D193,R_SAbs,"&lt;"&amp;AX193,R_EAbs,"&gt;"&amp;AW193,R_OKey,1),0)</f>
        <v>0</v>
      </c>
      <c r="BB193" s="80">
        <f>IF(AND(AB193=1,D193="proMX"),IF(AND(MOD(Z193,CFG_BLK)=0,MOD(AA193,CFG_BLK)=0,MOD(AG193,CFG_BLK)=0,AG193&gt;0),1,0),1)</f>
        <v>1</v>
      </c>
      <c r="BC193" s="80" t="str">
        <f>IF(Y193=0,"",IF(NOT(ISNUMBER(B193)),"Falta fecha o fecha inválida",IF(D193="","Falta empresa",IF(AND(D193&lt;&gt;"Malcolm",D193&lt;&gt;"proMX"),"Empresa inválida",IF(OR(INT(B193)&lt;CFG_PSTART,INT(B193)&gt;CFG_PEND),"Fecha fuera del período",IF(OR(NOT(ISNUMBER(Z193)),NOT(ISNUMBER(AA193))),"Falta hora inicio/fin o formato inválido",IF(AB193=0,"Hora inicio = hora fin",IF(AE193&lt;0,"Descanso inválido",IF(AE193&gt;=AD193,"Descanso ≥ duración",IF(AV193=1,"Registro duplicado",IF(AZ193&gt;0,"Se superpone con otro registro "&amp;D193,IF(BB193=0,"inicio, fin y duración neta deben ser múltiplos de "&amp;CFG_BLK&amp;" min",""))))))))))))</f>
        <v/>
      </c>
      <c r="BD193" s="80">
        <f>IF(AND(Y193=1,BC193=""),1,0)</f>
        <v>0</v>
      </c>
      <c r="BE193" s="80">
        <f>IF(AND(BD193=1,AU193=1),1,0)</f>
        <v>0</v>
      </c>
      <c r="BF193" s="80" t="str">
        <f>IF(AND(D193="proMX",BD193=1),IF(R193="","Draft",R193),"")</f>
        <v/>
      </c>
      <c r="BG193" s="80">
        <f>IF(BD193=1,ROUND(AG193/60,6),0)</f>
        <v>0</v>
      </c>
      <c r="BH193" s="80">
        <f>IF(BE193=1,ROUND(AG193/60,6),0)</f>
        <v>0</v>
      </c>
      <c r="BI193" s="80">
        <f>IF(BE193=1,ROUND(AP193/60,6),0)</f>
        <v>0</v>
      </c>
      <c r="BJ193" s="80">
        <f>IF(BE193=1,ROUND(AQ193/60,6),0)</f>
        <v>0</v>
      </c>
      <c r="BK193" s="80">
        <f>IF(BE193=1,ROUND((AR193+AS193)/60,6),0)</f>
        <v>0</v>
      </c>
      <c r="BL193" s="80">
        <f>ROUND(BH193-BK193,6)</f>
        <v>0</v>
      </c>
      <c r="BM193" s="80">
        <f>IF(BE193=1,ROUND(AR193/60,6),0)</f>
        <v>0</v>
      </c>
      <c r="BN193" s="80">
        <f>ROUND(BI193-BM193,6)</f>
        <v>0</v>
      </c>
      <c r="BO193" s="80">
        <f>IF(BE193=1,ROUND(AS193/60,6),0)</f>
        <v>0</v>
      </c>
      <c r="BP193" s="80">
        <f>ROUND(BJ193-BO193,6)</f>
        <v>0</v>
      </c>
      <c r="BQ193" s="80">
        <f>IF(BE193=1,AW193,0)</f>
        <v>0</v>
      </c>
      <c r="BR193" s="80">
        <f>IF(BE193=1,AX193,0)</f>
        <v>0</v>
      </c>
      <c r="BS193" s="80">
        <f>IF(AND(BE193=1,D193="Malcolm",BA193&gt;0),MIN(BH193,SUMPRODUCT((R_Emp="proMX")*(R_EN&gt;0)*((R_EN-(R_EN&gt;BR193)*(R_EN-BR193))&gt;(R_SN+(R_SN&lt;BQ193)*(BQ193-R_SN)))*((R_EN-(R_EN&gt;BR193)*(R_EN-BR193))-(R_SN+(R_SN&lt;BQ193)*(BQ193-R_SN))))/60),0)</f>
        <v>0</v>
      </c>
      <c r="BT193" s="80">
        <f>IF(AND(BE193=1,D193="proMX"),ROUND(BI193*CFG_RATE+BJ193*CFG_OTRATE,6),0)</f>
        <v>0</v>
      </c>
      <c r="BU193" s="80">
        <f>IF(AND(BD193=1,D193="proMX"),ROUND(AG193/CFG_BLK,6),0)</f>
        <v>0</v>
      </c>
      <c r="BV193" s="80" t="str">
        <f>IF(BF193="Approved",IF(ISNUMBER(T193),INT(T193),INT(B193)),"")</f>
        <v/>
      </c>
      <c r="BW193" s="80">
        <f>IF(ISNUMBER(B193),IF(DB_MON="Todos",1,IF(AND(INT(B193)&gt;=DB_MS,INT(B193)&lt;=DB_ME),1,0)),0)</f>
        <v>0</v>
      </c>
      <c r="BX193" s="80">
        <f>IF(DB_PROJ="Todos",1,IF(E193&amp;""=DB_PROJ&amp;"",1,0))</f>
        <v>1</v>
      </c>
      <c r="BY193" s="80">
        <f>BW193*BX193</f>
        <v>0</v>
      </c>
      <c r="BZ193" s="80" t="str">
        <f>IF(Y193=1,F193&amp;IF(AND(F193&amp;""&lt;&gt;"",E193&amp;""&lt;&gt;"")," · ","")&amp;E193,"")</f>
        <v/>
      </c>
      <c r="CA193" s="80" t="str">
        <f>IF(AND(BD193=1,E193&amp;""&lt;&gt;""),IF(COUNTIFS($E$5:E192,E193,$BD$5:BD192,1)=0,MAX($CA$5:CA192)+1,""),"")</f>
        <v/>
      </c>
      <c r="CB193" s="80" t="str">
        <f>IF(AND(BE193=1,D193="Malcolm",E193&amp;""&lt;&gt;""),IF(COUNTIFS($D$5:D192,"Malcolm",$E$5:E192,E193,$BE$5:BE192,1)=0,MAX($CB$5:CB192)+1,""),"")</f>
        <v/>
      </c>
      <c r="CC193" s="80" t="str">
        <f>IF(AND(BD193=1,D193="proMX",E193&amp;""&lt;&gt;""),IF(COUNTIFS($D$5:D192,"proMX",$E$5:E192,E193,$BD$5:BD192,1)=0,MAX($CC$5:CC192)+1,""),"")</f>
        <v/>
      </c>
      <c r="CD193" s="80" t="str">
        <f>IF(AND(BE193=1,D193="Malcolm",F193&amp;""&lt;&gt;""),IF(COUNTIFS($D$5:D192,"Malcolm",$F$5:F192,F193,$BE$5:BE192,1)=0,MAX($CD$5:CD192)+1,""),"")</f>
        <v/>
      </c>
      <c r="CE193" s="80" t="str">
        <f>IF(AND(BD193=1,D193="proMX",F193&amp;""&lt;&gt;""),IF(COUNTIFS($D$5:D192,"proMX",$F$5:F192,F193,$BD$5:BD192,1)=0,MAX($CE$5:CE192)+1,""),"")</f>
        <v/>
      </c>
      <c r="CF193" s="80" t="str">
        <f>IF(AND(D193="proMX",BD193=1),IF(OR(BF193="Draft",BF193="Submitted",BF193="Returned",BF193="Recall Requested"),MAX($CF$5:CF192)+1,""),"")</f>
        <v/>
      </c>
      <c r="CG193" s="80">
        <f>IF(BD193=0,0,IF(D193="Malcolm",1,MATCH(BF193,{"Draft","Submitted","Approved","Returned","Recall Requested","Cancelled"},0)+1))</f>
        <v>0</v>
      </c>
      <c r="CH193" s="80">
        <f>IF(AND(BF193="Submitted",ISNUMBER(V193)),IF(V193&gt;CFG_MAXD,1,0),0)</f>
        <v>0</v>
      </c>
    </row>
    <row r="194">
      <c r="A194" s="71" t="str">
        <f>IF(Y194=1,ROW()-5,"")</f>
        <v/>
      </c>
      <c r="B194" s="72" t="n"/>
      <c r="C194" s="71" t="str">
        <f>IF(ISNUMBER(B194),CHOOSE(WEEKDAY(B194,2),"Lun","Mar","Mié","Jue","Vie","Sáb","Dom"),"")</f>
        <v/>
      </c>
      <c r="D194" s="73" t="n"/>
      <c r="E194" s="74" t="n"/>
      <c r="F194" s="74" t="n"/>
      <c r="G194" s="74" t="n"/>
      <c r="H194" s="75" t="n"/>
      <c r="I194" s="75" t="n"/>
      <c r="J194" s="76" t="n"/>
      <c r="K194" s="77" t="str">
        <f>IF(AB194=1,ROUND(AG194/60,4),"")</f>
        <v/>
      </c>
      <c r="L194" s="77" t="str">
        <f>IF(BD194=1,ROUND(AP194/60,4),"")</f>
        <v/>
      </c>
      <c r="M194" s="77" t="str">
        <f>IF(BD194=1,ROUND(AQ194/60,4),"")</f>
        <v/>
      </c>
      <c r="N194" s="71" t="str">
        <f>IF(AND(D194="proMX",AB194=1),ROUND(AG194/CFG_BLK,2),"")</f>
        <v/>
      </c>
      <c r="O194" s="77" t="str">
        <f>IF(D194="proMX",IF(BD194=1,ROUND(AG194/60,4),0),"")</f>
        <v/>
      </c>
      <c r="P194" s="78" t="str">
        <f>IF(Y194=0,"",IF(BD194=1,"OK",IF(D194="proMX","Revisar bloques: ","Revisar: ")&amp;BC194))</f>
        <v/>
      </c>
      <c r="Q194" s="78" t="str">
        <f>IF(NOT(ISNUMBER(B194)),"",IF(COUNTIFS(FER_F,INT(B194))&gt;0,"Feriado"&amp;IF(AH194=1," (laborable)"," (no laborable)"),IF(AH194=1,"Laborable",IF(WEEKDAY(B194,2)&gt;5,"Fin de semana","No laborable"))))</f>
        <v/>
      </c>
      <c r="R194" s="73" t="n"/>
      <c r="S194" s="72" t="n"/>
      <c r="T194" s="72" t="n"/>
      <c r="U194" s="74" t="n"/>
      <c r="V194" s="79" t="str">
        <f>IF(AND(D194="proMX",OR(R194="Submitted",R194="Recall Requested"),ISNUMBER(S194)),CFG_TODAY-INT(S194),"")</f>
        <v/>
      </c>
      <c r="W194" s="78" t="str">
        <f>IF(BD194=0,"",IF(BA194&gt;0,"⚠ Se superpone con un registro de la otra empresa",IF(D194="Malcolm",IF(COUNTA(R194,S194,T194)&gt;0,"Estado/fechas proMX se ignoran en Malcolm",""),IF(BF194="Cancelled","Cancelado: excluido de totales",IF(R194="","Sin estado: se trata como Draft",IF(BF194="Submitted",IF(ISNUMBER(V194),IF(V194&gt;CFG_MAXD,"⚠ "&amp;V194&amp;" días en Submitted (máx. "&amp;CFG_MAXD&amp;")",""),"Falta fecha de envío"),IF(BF194="Returned","⚠ Devuelto: corregir y reenviar",IF(BF194="Recall Requested","Retirada solicitada: pendiente",IF(AND(BF194="Approved",NOT(ISNUMBER(T194))),"Falta fecha de aprobación",IF(AND(ISNUMBER(S194),ISNUMBER(T194),T194&lt;S194),"Aprobación anterior al envío","")))))))))</f>
        <v/>
      </c>
      <c r="Y194" s="80">
        <f>IF(COUNTA(B194,D194,E194,F194,G194,H194,I194,J194,R194,S194,T194)&gt;0,1,0)</f>
        <v>0</v>
      </c>
      <c r="Z194" s="80" t="str">
        <f>IF(AND(ISNUMBER(H194),H194&gt;=0,H194&lt;1),ROUND(H194*1440,0),"")</f>
        <v/>
      </c>
      <c r="AA194" s="80" t="str">
        <f>IF(AND(ISNUMBER(I194),I194&gt;=0,I194&lt;1),ROUND(I194*1440,0),"")</f>
        <v/>
      </c>
      <c r="AB194" s="80">
        <f>IF(AND(ISNUMBER(B194),D194&lt;&gt;"",ISNUMBER(Z194),ISNUMBER(AA194)),IF(Z194=AA194,0,1),0)</f>
        <v>0</v>
      </c>
      <c r="AC194" s="80">
        <f>IF(AB194=1,IF(AA194&lt;Z194,1,0),0)</f>
        <v>0</v>
      </c>
      <c r="AD194" s="80">
        <f>IF(AB194=1,IF(AC194=1,1440-Z194+AA194,AA194-Z194),0)</f>
        <v>0</v>
      </c>
      <c r="AE194" s="80">
        <f>IF(J194="",0,IF(ISNUMBER(J194),J194,-1))</f>
        <v>0</v>
      </c>
      <c r="AF194" s="80">
        <f>MIN(MAX(0,AE194),AD194)</f>
        <v>0</v>
      </c>
      <c r="AG194" s="80">
        <f>MAX(0,AD194-MAX(0,AE194))</f>
        <v>0</v>
      </c>
      <c r="AH194" s="80">
        <f>IF(ISNUMBER(B194),IF(AND(INDEX(CFG_WDAYS,WEEKDAY(INT(B194),2))="Sí",IF(D194="proMX",COUNTIFS(FER_F,INT(B194),FER_NLP,"Sí"),COUNTIFS(FER_F,INT(B194),FER_NLM,"Sí"))=0),1,0),0)</f>
        <v>0</v>
      </c>
      <c r="AI194" s="80">
        <f>IF(AC194=1,IF(AND(INDEX(CFG_WDAYS,WEEKDAY(INT(B194)+1,2))="Sí",IF(D194="proMX",COUNTIFS(FER_F,INT(B194)+1,FER_NLP,"Sí"),COUNTIFS(FER_F,INT(B194)+1,FER_NLM,"Sí"))=0),1,0),0)</f>
        <v>0</v>
      </c>
      <c r="AJ194" s="80">
        <f>IF(AC194=1,1440-Z194,AD194)</f>
        <v>0</v>
      </c>
      <c r="AK194" s="80">
        <f>IF(AND(AB194=1,AH194=1),MAX(0,MIN(IF(AC194=1,1440,AA194),CFG_WEM)-MAX(Z194,CFG_WSM)),0)</f>
        <v>0</v>
      </c>
      <c r="AL194" s="80">
        <f>IF(AND(AC194=1,AI194=1),MAX(0,MIN(AA194,CFG_WEM)-CFG_WSM),0)</f>
        <v>0</v>
      </c>
      <c r="AM194" s="80">
        <f>AK194+AL194</f>
        <v>0</v>
      </c>
      <c r="AN194" s="80">
        <f>IF(CFG_BRK="Proporcional",IF(AD194=0,0,AF194*AM194/AD194),IF(CFG_BRK="Extras primero",MIN(AM194,MAX(0,AF194-(AD194-AM194))),MIN(AF194,AM194)))</f>
        <v>0</v>
      </c>
      <c r="AO194" s="80">
        <f>AF194-AN194</f>
        <v>0</v>
      </c>
      <c r="AP194" s="80">
        <f>AM194-AN194</f>
        <v>0</v>
      </c>
      <c r="AQ194" s="80">
        <f>AD194-AM194-AO194</f>
        <v>0</v>
      </c>
      <c r="AR194" s="80">
        <f>IF(AM194=0,0,AK194-AN194*AK194/AM194)</f>
        <v>0</v>
      </c>
      <c r="AS194" s="80">
        <f>IF(AD194-AM194=0,0,(AJ194-AK194)-AO194*(AJ194-AK194)/(AD194-AM194))</f>
        <v>0</v>
      </c>
      <c r="AT194" s="80" t="str">
        <f>IF(AC194=1,INT(B194)+1,"")</f>
        <v/>
      </c>
      <c r="AU194" s="80">
        <f>IF(AND(D194="proMX",R194="Cancelled"),0,1)</f>
        <v>1</v>
      </c>
      <c r="AV194" s="80">
        <f>IF(AND(AB194=1,AU194=1),IF(COUNTIFS($D$5:D193,D194,$B$5:B193,B194,$Z$5:Z193,Z194,$AA$5:AA193,AA194,$F$5:F193,F194&amp;"",$AU$5:AU193,1)&gt;0,1,0),0)</f>
        <v>0</v>
      </c>
      <c r="AW194" s="80" t="str">
        <f>IF(AB194=1,INT(B194)*1440+Z194,"")</f>
        <v/>
      </c>
      <c r="AX194" s="80" t="str">
        <f>IF(AB194=1,AW194+AD194,"")</f>
        <v/>
      </c>
      <c r="AY194" s="80">
        <f>IF(AND(AB194=1,AV194=0,AU194=1),1,0)</f>
        <v>0</v>
      </c>
      <c r="AZ194" s="80">
        <f>IF(AY194=1,COUNTIFS(R_Emp,D194,R_SAbs,"&lt;"&amp;AX194,R_EAbs,"&gt;"&amp;AW194,R_OKey,1)-1,0)</f>
        <v>0</v>
      </c>
      <c r="BA194" s="80">
        <f>IF(AY194=1,COUNTIFS(R_Emp,"&lt;&gt;"&amp;D194,R_SAbs,"&lt;"&amp;AX194,R_EAbs,"&gt;"&amp;AW194,R_OKey,1),0)</f>
        <v>0</v>
      </c>
      <c r="BB194" s="80">
        <f>IF(AND(AB194=1,D194="proMX"),IF(AND(MOD(Z194,CFG_BLK)=0,MOD(AA194,CFG_BLK)=0,MOD(AG194,CFG_BLK)=0,AG194&gt;0),1,0),1)</f>
        <v>1</v>
      </c>
      <c r="BC194" s="80" t="str">
        <f>IF(Y194=0,"",IF(NOT(ISNUMBER(B194)),"Falta fecha o fecha inválida",IF(D194="","Falta empresa",IF(AND(D194&lt;&gt;"Malcolm",D194&lt;&gt;"proMX"),"Empresa inválida",IF(OR(INT(B194)&lt;CFG_PSTART,INT(B194)&gt;CFG_PEND),"Fecha fuera del período",IF(OR(NOT(ISNUMBER(Z194)),NOT(ISNUMBER(AA194))),"Falta hora inicio/fin o formato inválido",IF(AB194=0,"Hora inicio = hora fin",IF(AE194&lt;0,"Descanso inválido",IF(AE194&gt;=AD194,"Descanso ≥ duración",IF(AV194=1,"Registro duplicado",IF(AZ194&gt;0,"Se superpone con otro registro "&amp;D194,IF(BB194=0,"inicio, fin y duración neta deben ser múltiplos de "&amp;CFG_BLK&amp;" min",""))))))))))))</f>
        <v/>
      </c>
      <c r="BD194" s="80">
        <f>IF(AND(Y194=1,BC194=""),1,0)</f>
        <v>0</v>
      </c>
      <c r="BE194" s="80">
        <f>IF(AND(BD194=1,AU194=1),1,0)</f>
        <v>0</v>
      </c>
      <c r="BF194" s="80" t="str">
        <f>IF(AND(D194="proMX",BD194=1),IF(R194="","Draft",R194),"")</f>
        <v/>
      </c>
      <c r="BG194" s="80">
        <f>IF(BD194=1,ROUND(AG194/60,6),0)</f>
        <v>0</v>
      </c>
      <c r="BH194" s="80">
        <f>IF(BE194=1,ROUND(AG194/60,6),0)</f>
        <v>0</v>
      </c>
      <c r="BI194" s="80">
        <f>IF(BE194=1,ROUND(AP194/60,6),0)</f>
        <v>0</v>
      </c>
      <c r="BJ194" s="80">
        <f>IF(BE194=1,ROUND(AQ194/60,6),0)</f>
        <v>0</v>
      </c>
      <c r="BK194" s="80">
        <f>IF(BE194=1,ROUND((AR194+AS194)/60,6),0)</f>
        <v>0</v>
      </c>
      <c r="BL194" s="80">
        <f>ROUND(BH194-BK194,6)</f>
        <v>0</v>
      </c>
      <c r="BM194" s="80">
        <f>IF(BE194=1,ROUND(AR194/60,6),0)</f>
        <v>0</v>
      </c>
      <c r="BN194" s="80">
        <f>ROUND(BI194-BM194,6)</f>
        <v>0</v>
      </c>
      <c r="BO194" s="80">
        <f>IF(BE194=1,ROUND(AS194/60,6),0)</f>
        <v>0</v>
      </c>
      <c r="BP194" s="80">
        <f>ROUND(BJ194-BO194,6)</f>
        <v>0</v>
      </c>
      <c r="BQ194" s="80">
        <f>IF(BE194=1,AW194,0)</f>
        <v>0</v>
      </c>
      <c r="BR194" s="80">
        <f>IF(BE194=1,AX194,0)</f>
        <v>0</v>
      </c>
      <c r="BS194" s="80">
        <f>IF(AND(BE194=1,D194="Malcolm",BA194&gt;0),MIN(BH194,SUMPRODUCT((R_Emp="proMX")*(R_EN&gt;0)*((R_EN-(R_EN&gt;BR194)*(R_EN-BR194))&gt;(R_SN+(R_SN&lt;BQ194)*(BQ194-R_SN)))*((R_EN-(R_EN&gt;BR194)*(R_EN-BR194))-(R_SN+(R_SN&lt;BQ194)*(BQ194-R_SN))))/60),0)</f>
        <v>0</v>
      </c>
      <c r="BT194" s="80">
        <f>IF(AND(BE194=1,D194="proMX"),ROUND(BI194*CFG_RATE+BJ194*CFG_OTRATE,6),0)</f>
        <v>0</v>
      </c>
      <c r="BU194" s="80">
        <f>IF(AND(BD194=1,D194="proMX"),ROUND(AG194/CFG_BLK,6),0)</f>
        <v>0</v>
      </c>
      <c r="BV194" s="80" t="str">
        <f>IF(BF194="Approved",IF(ISNUMBER(T194),INT(T194),INT(B194)),"")</f>
        <v/>
      </c>
      <c r="BW194" s="80">
        <f>IF(ISNUMBER(B194),IF(DB_MON="Todos",1,IF(AND(INT(B194)&gt;=DB_MS,INT(B194)&lt;=DB_ME),1,0)),0)</f>
        <v>0</v>
      </c>
      <c r="BX194" s="80">
        <f>IF(DB_PROJ="Todos",1,IF(E194&amp;""=DB_PROJ&amp;"",1,0))</f>
        <v>1</v>
      </c>
      <c r="BY194" s="80">
        <f>BW194*BX194</f>
        <v>0</v>
      </c>
      <c r="BZ194" s="80" t="str">
        <f>IF(Y194=1,F194&amp;IF(AND(F194&amp;""&lt;&gt;"",E194&amp;""&lt;&gt;"")," · ","")&amp;E194,"")</f>
        <v/>
      </c>
      <c r="CA194" s="80" t="str">
        <f>IF(AND(BD194=1,E194&amp;""&lt;&gt;""),IF(COUNTIFS($E$5:E193,E194,$BD$5:BD193,1)=0,MAX($CA$5:CA193)+1,""),"")</f>
        <v/>
      </c>
      <c r="CB194" s="80" t="str">
        <f>IF(AND(BE194=1,D194="Malcolm",E194&amp;""&lt;&gt;""),IF(COUNTIFS($D$5:D193,"Malcolm",$E$5:E193,E194,$BE$5:BE193,1)=0,MAX($CB$5:CB193)+1,""),"")</f>
        <v/>
      </c>
      <c r="CC194" s="80" t="str">
        <f>IF(AND(BD194=1,D194="proMX",E194&amp;""&lt;&gt;""),IF(COUNTIFS($D$5:D193,"proMX",$E$5:E193,E194,$BD$5:BD193,1)=0,MAX($CC$5:CC193)+1,""),"")</f>
        <v/>
      </c>
      <c r="CD194" s="80" t="str">
        <f>IF(AND(BE194=1,D194="Malcolm",F194&amp;""&lt;&gt;""),IF(COUNTIFS($D$5:D193,"Malcolm",$F$5:F193,F194,$BE$5:BE193,1)=0,MAX($CD$5:CD193)+1,""),"")</f>
        <v/>
      </c>
      <c r="CE194" s="80" t="str">
        <f>IF(AND(BD194=1,D194="proMX",F194&amp;""&lt;&gt;""),IF(COUNTIFS($D$5:D193,"proMX",$F$5:F193,F194,$BD$5:BD193,1)=0,MAX($CE$5:CE193)+1,""),"")</f>
        <v/>
      </c>
      <c r="CF194" s="80" t="str">
        <f>IF(AND(D194="proMX",BD194=1),IF(OR(BF194="Draft",BF194="Submitted",BF194="Returned",BF194="Recall Requested"),MAX($CF$5:CF193)+1,""),"")</f>
        <v/>
      </c>
      <c r="CG194" s="80">
        <f>IF(BD194=0,0,IF(D194="Malcolm",1,MATCH(BF194,{"Draft","Submitted","Approved","Returned","Recall Requested","Cancelled"},0)+1))</f>
        <v>0</v>
      </c>
      <c r="CH194" s="80">
        <f>IF(AND(BF194="Submitted",ISNUMBER(V194)),IF(V194&gt;CFG_MAXD,1,0),0)</f>
        <v>0</v>
      </c>
    </row>
    <row r="195">
      <c r="A195" s="71" t="str">
        <f>IF(Y195=1,ROW()-5,"")</f>
        <v/>
      </c>
      <c r="B195" s="72" t="n"/>
      <c r="C195" s="71" t="str">
        <f>IF(ISNUMBER(B195),CHOOSE(WEEKDAY(B195,2),"Lun","Mar","Mié","Jue","Vie","Sáb","Dom"),"")</f>
        <v/>
      </c>
      <c r="D195" s="73" t="n"/>
      <c r="E195" s="74" t="n"/>
      <c r="F195" s="74" t="n"/>
      <c r="G195" s="74" t="n"/>
      <c r="H195" s="75" t="n"/>
      <c r="I195" s="75" t="n"/>
      <c r="J195" s="76" t="n"/>
      <c r="K195" s="77" t="str">
        <f>IF(AB195=1,ROUND(AG195/60,4),"")</f>
        <v/>
      </c>
      <c r="L195" s="77" t="str">
        <f>IF(BD195=1,ROUND(AP195/60,4),"")</f>
        <v/>
      </c>
      <c r="M195" s="77" t="str">
        <f>IF(BD195=1,ROUND(AQ195/60,4),"")</f>
        <v/>
      </c>
      <c r="N195" s="71" t="str">
        <f>IF(AND(D195="proMX",AB195=1),ROUND(AG195/CFG_BLK,2),"")</f>
        <v/>
      </c>
      <c r="O195" s="77" t="str">
        <f>IF(D195="proMX",IF(BD195=1,ROUND(AG195/60,4),0),"")</f>
        <v/>
      </c>
      <c r="P195" s="78" t="str">
        <f>IF(Y195=0,"",IF(BD195=1,"OK",IF(D195="proMX","Revisar bloques: ","Revisar: ")&amp;BC195))</f>
        <v/>
      </c>
      <c r="Q195" s="78" t="str">
        <f>IF(NOT(ISNUMBER(B195)),"",IF(COUNTIFS(FER_F,INT(B195))&gt;0,"Feriado"&amp;IF(AH195=1," (laborable)"," (no laborable)"),IF(AH195=1,"Laborable",IF(WEEKDAY(B195,2)&gt;5,"Fin de semana","No laborable"))))</f>
        <v/>
      </c>
      <c r="R195" s="73" t="n"/>
      <c r="S195" s="72" t="n"/>
      <c r="T195" s="72" t="n"/>
      <c r="U195" s="74" t="n"/>
      <c r="V195" s="79" t="str">
        <f>IF(AND(D195="proMX",OR(R195="Submitted",R195="Recall Requested"),ISNUMBER(S195)),CFG_TODAY-INT(S195),"")</f>
        <v/>
      </c>
      <c r="W195" s="78" t="str">
        <f>IF(BD195=0,"",IF(BA195&gt;0,"⚠ Se superpone con un registro de la otra empresa",IF(D195="Malcolm",IF(COUNTA(R195,S195,T195)&gt;0,"Estado/fechas proMX se ignoran en Malcolm",""),IF(BF195="Cancelled","Cancelado: excluido de totales",IF(R195="","Sin estado: se trata como Draft",IF(BF195="Submitted",IF(ISNUMBER(V195),IF(V195&gt;CFG_MAXD,"⚠ "&amp;V195&amp;" días en Submitted (máx. "&amp;CFG_MAXD&amp;")",""),"Falta fecha de envío"),IF(BF195="Returned","⚠ Devuelto: corregir y reenviar",IF(BF195="Recall Requested","Retirada solicitada: pendiente",IF(AND(BF195="Approved",NOT(ISNUMBER(T195))),"Falta fecha de aprobación",IF(AND(ISNUMBER(S195),ISNUMBER(T195),T195&lt;S195),"Aprobación anterior al envío","")))))))))</f>
        <v/>
      </c>
      <c r="Y195" s="80">
        <f>IF(COUNTA(B195,D195,E195,F195,G195,H195,I195,J195,R195,S195,T195)&gt;0,1,0)</f>
        <v>0</v>
      </c>
      <c r="Z195" s="80" t="str">
        <f>IF(AND(ISNUMBER(H195),H195&gt;=0,H195&lt;1),ROUND(H195*1440,0),"")</f>
        <v/>
      </c>
      <c r="AA195" s="80" t="str">
        <f>IF(AND(ISNUMBER(I195),I195&gt;=0,I195&lt;1),ROUND(I195*1440,0),"")</f>
        <v/>
      </c>
      <c r="AB195" s="80">
        <f>IF(AND(ISNUMBER(B195),D195&lt;&gt;"",ISNUMBER(Z195),ISNUMBER(AA195)),IF(Z195=AA195,0,1),0)</f>
        <v>0</v>
      </c>
      <c r="AC195" s="80">
        <f>IF(AB195=1,IF(AA195&lt;Z195,1,0),0)</f>
        <v>0</v>
      </c>
      <c r="AD195" s="80">
        <f>IF(AB195=1,IF(AC195=1,1440-Z195+AA195,AA195-Z195),0)</f>
        <v>0</v>
      </c>
      <c r="AE195" s="80">
        <f>IF(J195="",0,IF(ISNUMBER(J195),J195,-1))</f>
        <v>0</v>
      </c>
      <c r="AF195" s="80">
        <f>MIN(MAX(0,AE195),AD195)</f>
        <v>0</v>
      </c>
      <c r="AG195" s="80">
        <f>MAX(0,AD195-MAX(0,AE195))</f>
        <v>0</v>
      </c>
      <c r="AH195" s="80">
        <f>IF(ISNUMBER(B195),IF(AND(INDEX(CFG_WDAYS,WEEKDAY(INT(B195),2))="Sí",IF(D195="proMX",COUNTIFS(FER_F,INT(B195),FER_NLP,"Sí"),COUNTIFS(FER_F,INT(B195),FER_NLM,"Sí"))=0),1,0),0)</f>
        <v>0</v>
      </c>
      <c r="AI195" s="80">
        <f>IF(AC195=1,IF(AND(INDEX(CFG_WDAYS,WEEKDAY(INT(B195)+1,2))="Sí",IF(D195="proMX",COUNTIFS(FER_F,INT(B195)+1,FER_NLP,"Sí"),COUNTIFS(FER_F,INT(B195)+1,FER_NLM,"Sí"))=0),1,0),0)</f>
        <v>0</v>
      </c>
      <c r="AJ195" s="80">
        <f>IF(AC195=1,1440-Z195,AD195)</f>
        <v>0</v>
      </c>
      <c r="AK195" s="80">
        <f>IF(AND(AB195=1,AH195=1),MAX(0,MIN(IF(AC195=1,1440,AA195),CFG_WEM)-MAX(Z195,CFG_WSM)),0)</f>
        <v>0</v>
      </c>
      <c r="AL195" s="80">
        <f>IF(AND(AC195=1,AI195=1),MAX(0,MIN(AA195,CFG_WEM)-CFG_WSM),0)</f>
        <v>0</v>
      </c>
      <c r="AM195" s="80">
        <f>AK195+AL195</f>
        <v>0</v>
      </c>
      <c r="AN195" s="80">
        <f>IF(CFG_BRK="Proporcional",IF(AD195=0,0,AF195*AM195/AD195),IF(CFG_BRK="Extras primero",MIN(AM195,MAX(0,AF195-(AD195-AM195))),MIN(AF195,AM195)))</f>
        <v>0</v>
      </c>
      <c r="AO195" s="80">
        <f>AF195-AN195</f>
        <v>0</v>
      </c>
      <c r="AP195" s="80">
        <f>AM195-AN195</f>
        <v>0</v>
      </c>
      <c r="AQ195" s="80">
        <f>AD195-AM195-AO195</f>
        <v>0</v>
      </c>
      <c r="AR195" s="80">
        <f>IF(AM195=0,0,AK195-AN195*AK195/AM195)</f>
        <v>0</v>
      </c>
      <c r="AS195" s="80">
        <f>IF(AD195-AM195=0,0,(AJ195-AK195)-AO195*(AJ195-AK195)/(AD195-AM195))</f>
        <v>0</v>
      </c>
      <c r="AT195" s="80" t="str">
        <f>IF(AC195=1,INT(B195)+1,"")</f>
        <v/>
      </c>
      <c r="AU195" s="80">
        <f>IF(AND(D195="proMX",R195="Cancelled"),0,1)</f>
        <v>1</v>
      </c>
      <c r="AV195" s="80">
        <f>IF(AND(AB195=1,AU195=1),IF(COUNTIFS($D$5:D194,D195,$B$5:B194,B195,$Z$5:Z194,Z195,$AA$5:AA194,AA195,$F$5:F194,F195&amp;"",$AU$5:AU194,1)&gt;0,1,0),0)</f>
        <v>0</v>
      </c>
      <c r="AW195" s="80" t="str">
        <f>IF(AB195=1,INT(B195)*1440+Z195,"")</f>
        <v/>
      </c>
      <c r="AX195" s="80" t="str">
        <f>IF(AB195=1,AW195+AD195,"")</f>
        <v/>
      </c>
      <c r="AY195" s="80">
        <f>IF(AND(AB195=1,AV195=0,AU195=1),1,0)</f>
        <v>0</v>
      </c>
      <c r="AZ195" s="80">
        <f>IF(AY195=1,COUNTIFS(R_Emp,D195,R_SAbs,"&lt;"&amp;AX195,R_EAbs,"&gt;"&amp;AW195,R_OKey,1)-1,0)</f>
        <v>0</v>
      </c>
      <c r="BA195" s="80">
        <f>IF(AY195=1,COUNTIFS(R_Emp,"&lt;&gt;"&amp;D195,R_SAbs,"&lt;"&amp;AX195,R_EAbs,"&gt;"&amp;AW195,R_OKey,1),0)</f>
        <v>0</v>
      </c>
      <c r="BB195" s="80">
        <f>IF(AND(AB195=1,D195="proMX"),IF(AND(MOD(Z195,CFG_BLK)=0,MOD(AA195,CFG_BLK)=0,MOD(AG195,CFG_BLK)=0,AG195&gt;0),1,0),1)</f>
        <v>1</v>
      </c>
      <c r="BC195" s="80" t="str">
        <f>IF(Y195=0,"",IF(NOT(ISNUMBER(B195)),"Falta fecha o fecha inválida",IF(D195="","Falta empresa",IF(AND(D195&lt;&gt;"Malcolm",D195&lt;&gt;"proMX"),"Empresa inválida",IF(OR(INT(B195)&lt;CFG_PSTART,INT(B195)&gt;CFG_PEND),"Fecha fuera del período",IF(OR(NOT(ISNUMBER(Z195)),NOT(ISNUMBER(AA195))),"Falta hora inicio/fin o formato inválido",IF(AB195=0,"Hora inicio = hora fin",IF(AE195&lt;0,"Descanso inválido",IF(AE195&gt;=AD195,"Descanso ≥ duración",IF(AV195=1,"Registro duplicado",IF(AZ195&gt;0,"Se superpone con otro registro "&amp;D195,IF(BB195=0,"inicio, fin y duración neta deben ser múltiplos de "&amp;CFG_BLK&amp;" min",""))))))))))))</f>
        <v/>
      </c>
      <c r="BD195" s="80">
        <f>IF(AND(Y195=1,BC195=""),1,0)</f>
        <v>0</v>
      </c>
      <c r="BE195" s="80">
        <f>IF(AND(BD195=1,AU195=1),1,0)</f>
        <v>0</v>
      </c>
      <c r="BF195" s="80" t="str">
        <f>IF(AND(D195="proMX",BD195=1),IF(R195="","Draft",R195),"")</f>
        <v/>
      </c>
      <c r="BG195" s="80">
        <f>IF(BD195=1,ROUND(AG195/60,6),0)</f>
        <v>0</v>
      </c>
      <c r="BH195" s="80">
        <f>IF(BE195=1,ROUND(AG195/60,6),0)</f>
        <v>0</v>
      </c>
      <c r="BI195" s="80">
        <f>IF(BE195=1,ROUND(AP195/60,6),0)</f>
        <v>0</v>
      </c>
      <c r="BJ195" s="80">
        <f>IF(BE195=1,ROUND(AQ195/60,6),0)</f>
        <v>0</v>
      </c>
      <c r="BK195" s="80">
        <f>IF(BE195=1,ROUND((AR195+AS195)/60,6),0)</f>
        <v>0</v>
      </c>
      <c r="BL195" s="80">
        <f>ROUND(BH195-BK195,6)</f>
        <v>0</v>
      </c>
      <c r="BM195" s="80">
        <f>IF(BE195=1,ROUND(AR195/60,6),0)</f>
        <v>0</v>
      </c>
      <c r="BN195" s="80">
        <f>ROUND(BI195-BM195,6)</f>
        <v>0</v>
      </c>
      <c r="BO195" s="80">
        <f>IF(BE195=1,ROUND(AS195/60,6),0)</f>
        <v>0</v>
      </c>
      <c r="BP195" s="80">
        <f>ROUND(BJ195-BO195,6)</f>
        <v>0</v>
      </c>
      <c r="BQ195" s="80">
        <f>IF(BE195=1,AW195,0)</f>
        <v>0</v>
      </c>
      <c r="BR195" s="80">
        <f>IF(BE195=1,AX195,0)</f>
        <v>0</v>
      </c>
      <c r="BS195" s="80">
        <f>IF(AND(BE195=1,D195="Malcolm",BA195&gt;0),MIN(BH195,SUMPRODUCT((R_Emp="proMX")*(R_EN&gt;0)*((R_EN-(R_EN&gt;BR195)*(R_EN-BR195))&gt;(R_SN+(R_SN&lt;BQ195)*(BQ195-R_SN)))*((R_EN-(R_EN&gt;BR195)*(R_EN-BR195))-(R_SN+(R_SN&lt;BQ195)*(BQ195-R_SN))))/60),0)</f>
        <v>0</v>
      </c>
      <c r="BT195" s="80">
        <f>IF(AND(BE195=1,D195="proMX"),ROUND(BI195*CFG_RATE+BJ195*CFG_OTRATE,6),0)</f>
        <v>0</v>
      </c>
      <c r="BU195" s="80">
        <f>IF(AND(BD195=1,D195="proMX"),ROUND(AG195/CFG_BLK,6),0)</f>
        <v>0</v>
      </c>
      <c r="BV195" s="80" t="str">
        <f>IF(BF195="Approved",IF(ISNUMBER(T195),INT(T195),INT(B195)),"")</f>
        <v/>
      </c>
      <c r="BW195" s="80">
        <f>IF(ISNUMBER(B195),IF(DB_MON="Todos",1,IF(AND(INT(B195)&gt;=DB_MS,INT(B195)&lt;=DB_ME),1,0)),0)</f>
        <v>0</v>
      </c>
      <c r="BX195" s="80">
        <f>IF(DB_PROJ="Todos",1,IF(E195&amp;""=DB_PROJ&amp;"",1,0))</f>
        <v>1</v>
      </c>
      <c r="BY195" s="80">
        <f>BW195*BX195</f>
        <v>0</v>
      </c>
      <c r="BZ195" s="80" t="str">
        <f>IF(Y195=1,F195&amp;IF(AND(F195&amp;""&lt;&gt;"",E195&amp;""&lt;&gt;"")," · ","")&amp;E195,"")</f>
        <v/>
      </c>
      <c r="CA195" s="80" t="str">
        <f>IF(AND(BD195=1,E195&amp;""&lt;&gt;""),IF(COUNTIFS($E$5:E194,E195,$BD$5:BD194,1)=0,MAX($CA$5:CA194)+1,""),"")</f>
        <v/>
      </c>
      <c r="CB195" s="80" t="str">
        <f>IF(AND(BE195=1,D195="Malcolm",E195&amp;""&lt;&gt;""),IF(COUNTIFS($D$5:D194,"Malcolm",$E$5:E194,E195,$BE$5:BE194,1)=0,MAX($CB$5:CB194)+1,""),"")</f>
        <v/>
      </c>
      <c r="CC195" s="80" t="str">
        <f>IF(AND(BD195=1,D195="proMX",E195&amp;""&lt;&gt;""),IF(COUNTIFS($D$5:D194,"proMX",$E$5:E194,E195,$BD$5:BD194,1)=0,MAX($CC$5:CC194)+1,""),"")</f>
        <v/>
      </c>
      <c r="CD195" s="80" t="str">
        <f>IF(AND(BE195=1,D195="Malcolm",F195&amp;""&lt;&gt;""),IF(COUNTIFS($D$5:D194,"Malcolm",$F$5:F194,F195,$BE$5:BE194,1)=0,MAX($CD$5:CD194)+1,""),"")</f>
        <v/>
      </c>
      <c r="CE195" s="80" t="str">
        <f>IF(AND(BD195=1,D195="proMX",F195&amp;""&lt;&gt;""),IF(COUNTIFS($D$5:D194,"proMX",$F$5:F194,F195,$BD$5:BD194,1)=0,MAX($CE$5:CE194)+1,""),"")</f>
        <v/>
      </c>
      <c r="CF195" s="80" t="str">
        <f>IF(AND(D195="proMX",BD195=1),IF(OR(BF195="Draft",BF195="Submitted",BF195="Returned",BF195="Recall Requested"),MAX($CF$5:CF194)+1,""),"")</f>
        <v/>
      </c>
      <c r="CG195" s="80">
        <f>IF(BD195=0,0,IF(D195="Malcolm",1,MATCH(BF195,{"Draft","Submitted","Approved","Returned","Recall Requested","Cancelled"},0)+1))</f>
        <v>0</v>
      </c>
      <c r="CH195" s="80">
        <f>IF(AND(BF195="Submitted",ISNUMBER(V195)),IF(V195&gt;CFG_MAXD,1,0),0)</f>
        <v>0</v>
      </c>
    </row>
    <row r="196">
      <c r="A196" s="71" t="str">
        <f>IF(Y196=1,ROW()-5,"")</f>
        <v/>
      </c>
      <c r="B196" s="72" t="n"/>
      <c r="C196" s="71" t="str">
        <f>IF(ISNUMBER(B196),CHOOSE(WEEKDAY(B196,2),"Lun","Mar","Mié","Jue","Vie","Sáb","Dom"),"")</f>
        <v/>
      </c>
      <c r="D196" s="73" t="n"/>
      <c r="E196" s="74" t="n"/>
      <c r="F196" s="74" t="n"/>
      <c r="G196" s="74" t="n"/>
      <c r="H196" s="75" t="n"/>
      <c r="I196" s="75" t="n"/>
      <c r="J196" s="76" t="n"/>
      <c r="K196" s="77" t="str">
        <f>IF(AB196=1,ROUND(AG196/60,4),"")</f>
        <v/>
      </c>
      <c r="L196" s="77" t="str">
        <f>IF(BD196=1,ROUND(AP196/60,4),"")</f>
        <v/>
      </c>
      <c r="M196" s="77" t="str">
        <f>IF(BD196=1,ROUND(AQ196/60,4),"")</f>
        <v/>
      </c>
      <c r="N196" s="71" t="str">
        <f>IF(AND(D196="proMX",AB196=1),ROUND(AG196/CFG_BLK,2),"")</f>
        <v/>
      </c>
      <c r="O196" s="77" t="str">
        <f>IF(D196="proMX",IF(BD196=1,ROUND(AG196/60,4),0),"")</f>
        <v/>
      </c>
      <c r="P196" s="78" t="str">
        <f>IF(Y196=0,"",IF(BD196=1,"OK",IF(D196="proMX","Revisar bloques: ","Revisar: ")&amp;BC196))</f>
        <v/>
      </c>
      <c r="Q196" s="78" t="str">
        <f>IF(NOT(ISNUMBER(B196)),"",IF(COUNTIFS(FER_F,INT(B196))&gt;0,"Feriado"&amp;IF(AH196=1," (laborable)"," (no laborable)"),IF(AH196=1,"Laborable",IF(WEEKDAY(B196,2)&gt;5,"Fin de semana","No laborable"))))</f>
        <v/>
      </c>
      <c r="R196" s="73" t="n"/>
      <c r="S196" s="72" t="n"/>
      <c r="T196" s="72" t="n"/>
      <c r="U196" s="74" t="n"/>
      <c r="V196" s="79" t="str">
        <f>IF(AND(D196="proMX",OR(R196="Submitted",R196="Recall Requested"),ISNUMBER(S196)),CFG_TODAY-INT(S196),"")</f>
        <v/>
      </c>
      <c r="W196" s="78" t="str">
        <f>IF(BD196=0,"",IF(BA196&gt;0,"⚠ Se superpone con un registro de la otra empresa",IF(D196="Malcolm",IF(COUNTA(R196,S196,T196)&gt;0,"Estado/fechas proMX se ignoran en Malcolm",""),IF(BF196="Cancelled","Cancelado: excluido de totales",IF(R196="","Sin estado: se trata como Draft",IF(BF196="Submitted",IF(ISNUMBER(V196),IF(V196&gt;CFG_MAXD,"⚠ "&amp;V196&amp;" días en Submitted (máx. "&amp;CFG_MAXD&amp;")",""),"Falta fecha de envío"),IF(BF196="Returned","⚠ Devuelto: corregir y reenviar",IF(BF196="Recall Requested","Retirada solicitada: pendiente",IF(AND(BF196="Approved",NOT(ISNUMBER(T196))),"Falta fecha de aprobación",IF(AND(ISNUMBER(S196),ISNUMBER(T196),T196&lt;S196),"Aprobación anterior al envío","")))))))))</f>
        <v/>
      </c>
      <c r="Y196" s="80">
        <f>IF(COUNTA(B196,D196,E196,F196,G196,H196,I196,J196,R196,S196,T196)&gt;0,1,0)</f>
        <v>0</v>
      </c>
      <c r="Z196" s="80" t="str">
        <f>IF(AND(ISNUMBER(H196),H196&gt;=0,H196&lt;1),ROUND(H196*1440,0),"")</f>
        <v/>
      </c>
      <c r="AA196" s="80" t="str">
        <f>IF(AND(ISNUMBER(I196),I196&gt;=0,I196&lt;1),ROUND(I196*1440,0),"")</f>
        <v/>
      </c>
      <c r="AB196" s="80">
        <f>IF(AND(ISNUMBER(B196),D196&lt;&gt;"",ISNUMBER(Z196),ISNUMBER(AA196)),IF(Z196=AA196,0,1),0)</f>
        <v>0</v>
      </c>
      <c r="AC196" s="80">
        <f>IF(AB196=1,IF(AA196&lt;Z196,1,0),0)</f>
        <v>0</v>
      </c>
      <c r="AD196" s="80">
        <f>IF(AB196=1,IF(AC196=1,1440-Z196+AA196,AA196-Z196),0)</f>
        <v>0</v>
      </c>
      <c r="AE196" s="80">
        <f>IF(J196="",0,IF(ISNUMBER(J196),J196,-1))</f>
        <v>0</v>
      </c>
      <c r="AF196" s="80">
        <f>MIN(MAX(0,AE196),AD196)</f>
        <v>0</v>
      </c>
      <c r="AG196" s="80">
        <f>MAX(0,AD196-MAX(0,AE196))</f>
        <v>0</v>
      </c>
      <c r="AH196" s="80">
        <f>IF(ISNUMBER(B196),IF(AND(INDEX(CFG_WDAYS,WEEKDAY(INT(B196),2))="Sí",IF(D196="proMX",COUNTIFS(FER_F,INT(B196),FER_NLP,"Sí"),COUNTIFS(FER_F,INT(B196),FER_NLM,"Sí"))=0),1,0),0)</f>
        <v>0</v>
      </c>
      <c r="AI196" s="80">
        <f>IF(AC196=1,IF(AND(INDEX(CFG_WDAYS,WEEKDAY(INT(B196)+1,2))="Sí",IF(D196="proMX",COUNTIFS(FER_F,INT(B196)+1,FER_NLP,"Sí"),COUNTIFS(FER_F,INT(B196)+1,FER_NLM,"Sí"))=0),1,0),0)</f>
        <v>0</v>
      </c>
      <c r="AJ196" s="80">
        <f>IF(AC196=1,1440-Z196,AD196)</f>
        <v>0</v>
      </c>
      <c r="AK196" s="80">
        <f>IF(AND(AB196=1,AH196=1),MAX(0,MIN(IF(AC196=1,1440,AA196),CFG_WEM)-MAX(Z196,CFG_WSM)),0)</f>
        <v>0</v>
      </c>
      <c r="AL196" s="80">
        <f>IF(AND(AC196=1,AI196=1),MAX(0,MIN(AA196,CFG_WEM)-CFG_WSM),0)</f>
        <v>0</v>
      </c>
      <c r="AM196" s="80">
        <f>AK196+AL196</f>
        <v>0</v>
      </c>
      <c r="AN196" s="80">
        <f>IF(CFG_BRK="Proporcional",IF(AD196=0,0,AF196*AM196/AD196),IF(CFG_BRK="Extras primero",MIN(AM196,MAX(0,AF196-(AD196-AM196))),MIN(AF196,AM196)))</f>
        <v>0</v>
      </c>
      <c r="AO196" s="80">
        <f>AF196-AN196</f>
        <v>0</v>
      </c>
      <c r="AP196" s="80">
        <f>AM196-AN196</f>
        <v>0</v>
      </c>
      <c r="AQ196" s="80">
        <f>AD196-AM196-AO196</f>
        <v>0</v>
      </c>
      <c r="AR196" s="80">
        <f>IF(AM196=0,0,AK196-AN196*AK196/AM196)</f>
        <v>0</v>
      </c>
      <c r="AS196" s="80">
        <f>IF(AD196-AM196=0,0,(AJ196-AK196)-AO196*(AJ196-AK196)/(AD196-AM196))</f>
        <v>0</v>
      </c>
      <c r="AT196" s="80" t="str">
        <f>IF(AC196=1,INT(B196)+1,"")</f>
        <v/>
      </c>
      <c r="AU196" s="80">
        <f>IF(AND(D196="proMX",R196="Cancelled"),0,1)</f>
        <v>1</v>
      </c>
      <c r="AV196" s="80">
        <f>IF(AND(AB196=1,AU196=1),IF(COUNTIFS($D$5:D195,D196,$B$5:B195,B196,$Z$5:Z195,Z196,$AA$5:AA195,AA196,$F$5:F195,F196&amp;"",$AU$5:AU195,1)&gt;0,1,0),0)</f>
        <v>0</v>
      </c>
      <c r="AW196" s="80" t="str">
        <f>IF(AB196=1,INT(B196)*1440+Z196,"")</f>
        <v/>
      </c>
      <c r="AX196" s="80" t="str">
        <f>IF(AB196=1,AW196+AD196,"")</f>
        <v/>
      </c>
      <c r="AY196" s="80">
        <f>IF(AND(AB196=1,AV196=0,AU196=1),1,0)</f>
        <v>0</v>
      </c>
      <c r="AZ196" s="80">
        <f>IF(AY196=1,COUNTIFS(R_Emp,D196,R_SAbs,"&lt;"&amp;AX196,R_EAbs,"&gt;"&amp;AW196,R_OKey,1)-1,0)</f>
        <v>0</v>
      </c>
      <c r="BA196" s="80">
        <f>IF(AY196=1,COUNTIFS(R_Emp,"&lt;&gt;"&amp;D196,R_SAbs,"&lt;"&amp;AX196,R_EAbs,"&gt;"&amp;AW196,R_OKey,1),0)</f>
        <v>0</v>
      </c>
      <c r="BB196" s="80">
        <f>IF(AND(AB196=1,D196="proMX"),IF(AND(MOD(Z196,CFG_BLK)=0,MOD(AA196,CFG_BLK)=0,MOD(AG196,CFG_BLK)=0,AG196&gt;0),1,0),1)</f>
        <v>1</v>
      </c>
      <c r="BC196" s="80" t="str">
        <f>IF(Y196=0,"",IF(NOT(ISNUMBER(B196)),"Falta fecha o fecha inválida",IF(D196="","Falta empresa",IF(AND(D196&lt;&gt;"Malcolm",D196&lt;&gt;"proMX"),"Empresa inválida",IF(OR(INT(B196)&lt;CFG_PSTART,INT(B196)&gt;CFG_PEND),"Fecha fuera del período",IF(OR(NOT(ISNUMBER(Z196)),NOT(ISNUMBER(AA196))),"Falta hora inicio/fin o formato inválido",IF(AB196=0,"Hora inicio = hora fin",IF(AE196&lt;0,"Descanso inválido",IF(AE196&gt;=AD196,"Descanso ≥ duración",IF(AV196=1,"Registro duplicado",IF(AZ196&gt;0,"Se superpone con otro registro "&amp;D196,IF(BB196=0,"inicio, fin y duración neta deben ser múltiplos de "&amp;CFG_BLK&amp;" min",""))))))))))))</f>
        <v/>
      </c>
      <c r="BD196" s="80">
        <f>IF(AND(Y196=1,BC196=""),1,0)</f>
        <v>0</v>
      </c>
      <c r="BE196" s="80">
        <f>IF(AND(BD196=1,AU196=1),1,0)</f>
        <v>0</v>
      </c>
      <c r="BF196" s="80" t="str">
        <f>IF(AND(D196="proMX",BD196=1),IF(R196="","Draft",R196),"")</f>
        <v/>
      </c>
      <c r="BG196" s="80">
        <f>IF(BD196=1,ROUND(AG196/60,6),0)</f>
        <v>0</v>
      </c>
      <c r="BH196" s="80">
        <f>IF(BE196=1,ROUND(AG196/60,6),0)</f>
        <v>0</v>
      </c>
      <c r="BI196" s="80">
        <f>IF(BE196=1,ROUND(AP196/60,6),0)</f>
        <v>0</v>
      </c>
      <c r="BJ196" s="80">
        <f>IF(BE196=1,ROUND(AQ196/60,6),0)</f>
        <v>0</v>
      </c>
      <c r="BK196" s="80">
        <f>IF(BE196=1,ROUND((AR196+AS196)/60,6),0)</f>
        <v>0</v>
      </c>
      <c r="BL196" s="80">
        <f>ROUND(BH196-BK196,6)</f>
        <v>0</v>
      </c>
      <c r="BM196" s="80">
        <f>IF(BE196=1,ROUND(AR196/60,6),0)</f>
        <v>0</v>
      </c>
      <c r="BN196" s="80">
        <f>ROUND(BI196-BM196,6)</f>
        <v>0</v>
      </c>
      <c r="BO196" s="80">
        <f>IF(BE196=1,ROUND(AS196/60,6),0)</f>
        <v>0</v>
      </c>
      <c r="BP196" s="80">
        <f>ROUND(BJ196-BO196,6)</f>
        <v>0</v>
      </c>
      <c r="BQ196" s="80">
        <f>IF(BE196=1,AW196,0)</f>
        <v>0</v>
      </c>
      <c r="BR196" s="80">
        <f>IF(BE196=1,AX196,0)</f>
        <v>0</v>
      </c>
      <c r="BS196" s="80">
        <f>IF(AND(BE196=1,D196="Malcolm",BA196&gt;0),MIN(BH196,SUMPRODUCT((R_Emp="proMX")*(R_EN&gt;0)*((R_EN-(R_EN&gt;BR196)*(R_EN-BR196))&gt;(R_SN+(R_SN&lt;BQ196)*(BQ196-R_SN)))*((R_EN-(R_EN&gt;BR196)*(R_EN-BR196))-(R_SN+(R_SN&lt;BQ196)*(BQ196-R_SN))))/60),0)</f>
        <v>0</v>
      </c>
      <c r="BT196" s="80">
        <f>IF(AND(BE196=1,D196="proMX"),ROUND(BI196*CFG_RATE+BJ196*CFG_OTRATE,6),0)</f>
        <v>0</v>
      </c>
      <c r="BU196" s="80">
        <f>IF(AND(BD196=1,D196="proMX"),ROUND(AG196/CFG_BLK,6),0)</f>
        <v>0</v>
      </c>
      <c r="BV196" s="80" t="str">
        <f>IF(BF196="Approved",IF(ISNUMBER(T196),INT(T196),INT(B196)),"")</f>
        <v/>
      </c>
      <c r="BW196" s="80">
        <f>IF(ISNUMBER(B196),IF(DB_MON="Todos",1,IF(AND(INT(B196)&gt;=DB_MS,INT(B196)&lt;=DB_ME),1,0)),0)</f>
        <v>0</v>
      </c>
      <c r="BX196" s="80">
        <f>IF(DB_PROJ="Todos",1,IF(E196&amp;""=DB_PROJ&amp;"",1,0))</f>
        <v>1</v>
      </c>
      <c r="BY196" s="80">
        <f>BW196*BX196</f>
        <v>0</v>
      </c>
      <c r="BZ196" s="80" t="str">
        <f>IF(Y196=1,F196&amp;IF(AND(F196&amp;""&lt;&gt;"",E196&amp;""&lt;&gt;"")," · ","")&amp;E196,"")</f>
        <v/>
      </c>
      <c r="CA196" s="80" t="str">
        <f>IF(AND(BD196=1,E196&amp;""&lt;&gt;""),IF(COUNTIFS($E$5:E195,E196,$BD$5:BD195,1)=0,MAX($CA$5:CA195)+1,""),"")</f>
        <v/>
      </c>
      <c r="CB196" s="80" t="str">
        <f>IF(AND(BE196=1,D196="Malcolm",E196&amp;""&lt;&gt;""),IF(COUNTIFS($D$5:D195,"Malcolm",$E$5:E195,E196,$BE$5:BE195,1)=0,MAX($CB$5:CB195)+1,""),"")</f>
        <v/>
      </c>
      <c r="CC196" s="80" t="str">
        <f>IF(AND(BD196=1,D196="proMX",E196&amp;""&lt;&gt;""),IF(COUNTIFS($D$5:D195,"proMX",$E$5:E195,E196,$BD$5:BD195,1)=0,MAX($CC$5:CC195)+1,""),"")</f>
        <v/>
      </c>
      <c r="CD196" s="80" t="str">
        <f>IF(AND(BE196=1,D196="Malcolm",F196&amp;""&lt;&gt;""),IF(COUNTIFS($D$5:D195,"Malcolm",$F$5:F195,F196,$BE$5:BE195,1)=0,MAX($CD$5:CD195)+1,""),"")</f>
        <v/>
      </c>
      <c r="CE196" s="80" t="str">
        <f>IF(AND(BD196=1,D196="proMX",F196&amp;""&lt;&gt;""),IF(COUNTIFS($D$5:D195,"proMX",$F$5:F195,F196,$BD$5:BD195,1)=0,MAX($CE$5:CE195)+1,""),"")</f>
        <v/>
      </c>
      <c r="CF196" s="80" t="str">
        <f>IF(AND(D196="proMX",BD196=1),IF(OR(BF196="Draft",BF196="Submitted",BF196="Returned",BF196="Recall Requested"),MAX($CF$5:CF195)+1,""),"")</f>
        <v/>
      </c>
      <c r="CG196" s="80">
        <f>IF(BD196=0,0,IF(D196="Malcolm",1,MATCH(BF196,{"Draft","Submitted","Approved","Returned","Recall Requested","Cancelled"},0)+1))</f>
        <v>0</v>
      </c>
      <c r="CH196" s="80">
        <f>IF(AND(BF196="Submitted",ISNUMBER(V196)),IF(V196&gt;CFG_MAXD,1,0),0)</f>
        <v>0</v>
      </c>
    </row>
    <row r="197">
      <c r="A197" s="71" t="str">
        <f>IF(Y197=1,ROW()-5,"")</f>
        <v/>
      </c>
      <c r="B197" s="72" t="n"/>
      <c r="C197" s="71" t="str">
        <f>IF(ISNUMBER(B197),CHOOSE(WEEKDAY(B197,2),"Lun","Mar","Mié","Jue","Vie","Sáb","Dom"),"")</f>
        <v/>
      </c>
      <c r="D197" s="73" t="n"/>
      <c r="E197" s="74" t="n"/>
      <c r="F197" s="74" t="n"/>
      <c r="G197" s="74" t="n"/>
      <c r="H197" s="75" t="n"/>
      <c r="I197" s="75" t="n"/>
      <c r="J197" s="76" t="n"/>
      <c r="K197" s="77" t="str">
        <f>IF(AB197=1,ROUND(AG197/60,4),"")</f>
        <v/>
      </c>
      <c r="L197" s="77" t="str">
        <f>IF(BD197=1,ROUND(AP197/60,4),"")</f>
        <v/>
      </c>
      <c r="M197" s="77" t="str">
        <f>IF(BD197=1,ROUND(AQ197/60,4),"")</f>
        <v/>
      </c>
      <c r="N197" s="71" t="str">
        <f>IF(AND(D197="proMX",AB197=1),ROUND(AG197/CFG_BLK,2),"")</f>
        <v/>
      </c>
      <c r="O197" s="77" t="str">
        <f>IF(D197="proMX",IF(BD197=1,ROUND(AG197/60,4),0),"")</f>
        <v/>
      </c>
      <c r="P197" s="78" t="str">
        <f>IF(Y197=0,"",IF(BD197=1,"OK",IF(D197="proMX","Revisar bloques: ","Revisar: ")&amp;BC197))</f>
        <v/>
      </c>
      <c r="Q197" s="78" t="str">
        <f>IF(NOT(ISNUMBER(B197)),"",IF(COUNTIFS(FER_F,INT(B197))&gt;0,"Feriado"&amp;IF(AH197=1," (laborable)"," (no laborable)"),IF(AH197=1,"Laborable",IF(WEEKDAY(B197,2)&gt;5,"Fin de semana","No laborable"))))</f>
        <v/>
      </c>
      <c r="R197" s="73" t="n"/>
      <c r="S197" s="72" t="n"/>
      <c r="T197" s="72" t="n"/>
      <c r="U197" s="74" t="n"/>
      <c r="V197" s="79" t="str">
        <f>IF(AND(D197="proMX",OR(R197="Submitted",R197="Recall Requested"),ISNUMBER(S197)),CFG_TODAY-INT(S197),"")</f>
        <v/>
      </c>
      <c r="W197" s="78" t="str">
        <f>IF(BD197=0,"",IF(BA197&gt;0,"⚠ Se superpone con un registro de la otra empresa",IF(D197="Malcolm",IF(COUNTA(R197,S197,T197)&gt;0,"Estado/fechas proMX se ignoran en Malcolm",""),IF(BF197="Cancelled","Cancelado: excluido de totales",IF(R197="","Sin estado: se trata como Draft",IF(BF197="Submitted",IF(ISNUMBER(V197),IF(V197&gt;CFG_MAXD,"⚠ "&amp;V197&amp;" días en Submitted (máx. "&amp;CFG_MAXD&amp;")",""),"Falta fecha de envío"),IF(BF197="Returned","⚠ Devuelto: corregir y reenviar",IF(BF197="Recall Requested","Retirada solicitada: pendiente",IF(AND(BF197="Approved",NOT(ISNUMBER(T197))),"Falta fecha de aprobación",IF(AND(ISNUMBER(S197),ISNUMBER(T197),T197&lt;S197),"Aprobación anterior al envío","")))))))))</f>
        <v/>
      </c>
      <c r="Y197" s="80">
        <f>IF(COUNTA(B197,D197,E197,F197,G197,H197,I197,J197,R197,S197,T197)&gt;0,1,0)</f>
        <v>0</v>
      </c>
      <c r="Z197" s="80" t="str">
        <f>IF(AND(ISNUMBER(H197),H197&gt;=0,H197&lt;1),ROUND(H197*1440,0),"")</f>
        <v/>
      </c>
      <c r="AA197" s="80" t="str">
        <f>IF(AND(ISNUMBER(I197),I197&gt;=0,I197&lt;1),ROUND(I197*1440,0),"")</f>
        <v/>
      </c>
      <c r="AB197" s="80">
        <f>IF(AND(ISNUMBER(B197),D197&lt;&gt;"",ISNUMBER(Z197),ISNUMBER(AA197)),IF(Z197=AA197,0,1),0)</f>
        <v>0</v>
      </c>
      <c r="AC197" s="80">
        <f>IF(AB197=1,IF(AA197&lt;Z197,1,0),0)</f>
        <v>0</v>
      </c>
      <c r="AD197" s="80">
        <f>IF(AB197=1,IF(AC197=1,1440-Z197+AA197,AA197-Z197),0)</f>
        <v>0</v>
      </c>
      <c r="AE197" s="80">
        <f>IF(J197="",0,IF(ISNUMBER(J197),J197,-1))</f>
        <v>0</v>
      </c>
      <c r="AF197" s="80">
        <f>MIN(MAX(0,AE197),AD197)</f>
        <v>0</v>
      </c>
      <c r="AG197" s="80">
        <f>MAX(0,AD197-MAX(0,AE197))</f>
        <v>0</v>
      </c>
      <c r="AH197" s="80">
        <f>IF(ISNUMBER(B197),IF(AND(INDEX(CFG_WDAYS,WEEKDAY(INT(B197),2))="Sí",IF(D197="proMX",COUNTIFS(FER_F,INT(B197),FER_NLP,"Sí"),COUNTIFS(FER_F,INT(B197),FER_NLM,"Sí"))=0),1,0),0)</f>
        <v>0</v>
      </c>
      <c r="AI197" s="80">
        <f>IF(AC197=1,IF(AND(INDEX(CFG_WDAYS,WEEKDAY(INT(B197)+1,2))="Sí",IF(D197="proMX",COUNTIFS(FER_F,INT(B197)+1,FER_NLP,"Sí"),COUNTIFS(FER_F,INT(B197)+1,FER_NLM,"Sí"))=0),1,0),0)</f>
        <v>0</v>
      </c>
      <c r="AJ197" s="80">
        <f>IF(AC197=1,1440-Z197,AD197)</f>
        <v>0</v>
      </c>
      <c r="AK197" s="80">
        <f>IF(AND(AB197=1,AH197=1),MAX(0,MIN(IF(AC197=1,1440,AA197),CFG_WEM)-MAX(Z197,CFG_WSM)),0)</f>
        <v>0</v>
      </c>
      <c r="AL197" s="80">
        <f>IF(AND(AC197=1,AI197=1),MAX(0,MIN(AA197,CFG_WEM)-CFG_WSM),0)</f>
        <v>0</v>
      </c>
      <c r="AM197" s="80">
        <f>AK197+AL197</f>
        <v>0</v>
      </c>
      <c r="AN197" s="80">
        <f>IF(CFG_BRK="Proporcional",IF(AD197=0,0,AF197*AM197/AD197),IF(CFG_BRK="Extras primero",MIN(AM197,MAX(0,AF197-(AD197-AM197))),MIN(AF197,AM197)))</f>
        <v>0</v>
      </c>
      <c r="AO197" s="80">
        <f>AF197-AN197</f>
        <v>0</v>
      </c>
      <c r="AP197" s="80">
        <f>AM197-AN197</f>
        <v>0</v>
      </c>
      <c r="AQ197" s="80">
        <f>AD197-AM197-AO197</f>
        <v>0</v>
      </c>
      <c r="AR197" s="80">
        <f>IF(AM197=0,0,AK197-AN197*AK197/AM197)</f>
        <v>0</v>
      </c>
      <c r="AS197" s="80">
        <f>IF(AD197-AM197=0,0,(AJ197-AK197)-AO197*(AJ197-AK197)/(AD197-AM197))</f>
        <v>0</v>
      </c>
      <c r="AT197" s="80" t="str">
        <f>IF(AC197=1,INT(B197)+1,"")</f>
        <v/>
      </c>
      <c r="AU197" s="80">
        <f>IF(AND(D197="proMX",R197="Cancelled"),0,1)</f>
        <v>1</v>
      </c>
      <c r="AV197" s="80">
        <f>IF(AND(AB197=1,AU197=1),IF(COUNTIFS($D$5:D196,D197,$B$5:B196,B197,$Z$5:Z196,Z197,$AA$5:AA196,AA197,$F$5:F196,F197&amp;"",$AU$5:AU196,1)&gt;0,1,0),0)</f>
        <v>0</v>
      </c>
      <c r="AW197" s="80" t="str">
        <f>IF(AB197=1,INT(B197)*1440+Z197,"")</f>
        <v/>
      </c>
      <c r="AX197" s="80" t="str">
        <f>IF(AB197=1,AW197+AD197,"")</f>
        <v/>
      </c>
      <c r="AY197" s="80">
        <f>IF(AND(AB197=1,AV197=0,AU197=1),1,0)</f>
        <v>0</v>
      </c>
      <c r="AZ197" s="80">
        <f>IF(AY197=1,COUNTIFS(R_Emp,D197,R_SAbs,"&lt;"&amp;AX197,R_EAbs,"&gt;"&amp;AW197,R_OKey,1)-1,0)</f>
        <v>0</v>
      </c>
      <c r="BA197" s="80">
        <f>IF(AY197=1,COUNTIFS(R_Emp,"&lt;&gt;"&amp;D197,R_SAbs,"&lt;"&amp;AX197,R_EAbs,"&gt;"&amp;AW197,R_OKey,1),0)</f>
        <v>0</v>
      </c>
      <c r="BB197" s="80">
        <f>IF(AND(AB197=1,D197="proMX"),IF(AND(MOD(Z197,CFG_BLK)=0,MOD(AA197,CFG_BLK)=0,MOD(AG197,CFG_BLK)=0,AG197&gt;0),1,0),1)</f>
        <v>1</v>
      </c>
      <c r="BC197" s="80" t="str">
        <f>IF(Y197=0,"",IF(NOT(ISNUMBER(B197)),"Falta fecha o fecha inválida",IF(D197="","Falta empresa",IF(AND(D197&lt;&gt;"Malcolm",D197&lt;&gt;"proMX"),"Empresa inválida",IF(OR(INT(B197)&lt;CFG_PSTART,INT(B197)&gt;CFG_PEND),"Fecha fuera del período",IF(OR(NOT(ISNUMBER(Z197)),NOT(ISNUMBER(AA197))),"Falta hora inicio/fin o formato inválido",IF(AB197=0,"Hora inicio = hora fin",IF(AE197&lt;0,"Descanso inválido",IF(AE197&gt;=AD197,"Descanso ≥ duración",IF(AV197=1,"Registro duplicado",IF(AZ197&gt;0,"Se superpone con otro registro "&amp;D197,IF(BB197=0,"inicio, fin y duración neta deben ser múltiplos de "&amp;CFG_BLK&amp;" min",""))))))))))))</f>
        <v/>
      </c>
      <c r="BD197" s="80">
        <f>IF(AND(Y197=1,BC197=""),1,0)</f>
        <v>0</v>
      </c>
      <c r="BE197" s="80">
        <f>IF(AND(BD197=1,AU197=1),1,0)</f>
        <v>0</v>
      </c>
      <c r="BF197" s="80" t="str">
        <f>IF(AND(D197="proMX",BD197=1),IF(R197="","Draft",R197),"")</f>
        <v/>
      </c>
      <c r="BG197" s="80">
        <f>IF(BD197=1,ROUND(AG197/60,6),0)</f>
        <v>0</v>
      </c>
      <c r="BH197" s="80">
        <f>IF(BE197=1,ROUND(AG197/60,6),0)</f>
        <v>0</v>
      </c>
      <c r="BI197" s="80">
        <f>IF(BE197=1,ROUND(AP197/60,6),0)</f>
        <v>0</v>
      </c>
      <c r="BJ197" s="80">
        <f>IF(BE197=1,ROUND(AQ197/60,6),0)</f>
        <v>0</v>
      </c>
      <c r="BK197" s="80">
        <f>IF(BE197=1,ROUND((AR197+AS197)/60,6),0)</f>
        <v>0</v>
      </c>
      <c r="BL197" s="80">
        <f>ROUND(BH197-BK197,6)</f>
        <v>0</v>
      </c>
      <c r="BM197" s="80">
        <f>IF(BE197=1,ROUND(AR197/60,6),0)</f>
        <v>0</v>
      </c>
      <c r="BN197" s="80">
        <f>ROUND(BI197-BM197,6)</f>
        <v>0</v>
      </c>
      <c r="BO197" s="80">
        <f>IF(BE197=1,ROUND(AS197/60,6),0)</f>
        <v>0</v>
      </c>
      <c r="BP197" s="80">
        <f>ROUND(BJ197-BO197,6)</f>
        <v>0</v>
      </c>
      <c r="BQ197" s="80">
        <f>IF(BE197=1,AW197,0)</f>
        <v>0</v>
      </c>
      <c r="BR197" s="80">
        <f>IF(BE197=1,AX197,0)</f>
        <v>0</v>
      </c>
      <c r="BS197" s="80">
        <f>IF(AND(BE197=1,D197="Malcolm",BA197&gt;0),MIN(BH197,SUMPRODUCT((R_Emp="proMX")*(R_EN&gt;0)*((R_EN-(R_EN&gt;BR197)*(R_EN-BR197))&gt;(R_SN+(R_SN&lt;BQ197)*(BQ197-R_SN)))*((R_EN-(R_EN&gt;BR197)*(R_EN-BR197))-(R_SN+(R_SN&lt;BQ197)*(BQ197-R_SN))))/60),0)</f>
        <v>0</v>
      </c>
      <c r="BT197" s="80">
        <f>IF(AND(BE197=1,D197="proMX"),ROUND(BI197*CFG_RATE+BJ197*CFG_OTRATE,6),0)</f>
        <v>0</v>
      </c>
      <c r="BU197" s="80">
        <f>IF(AND(BD197=1,D197="proMX"),ROUND(AG197/CFG_BLK,6),0)</f>
        <v>0</v>
      </c>
      <c r="BV197" s="80" t="str">
        <f>IF(BF197="Approved",IF(ISNUMBER(T197),INT(T197),INT(B197)),"")</f>
        <v/>
      </c>
      <c r="BW197" s="80">
        <f>IF(ISNUMBER(B197),IF(DB_MON="Todos",1,IF(AND(INT(B197)&gt;=DB_MS,INT(B197)&lt;=DB_ME),1,0)),0)</f>
        <v>0</v>
      </c>
      <c r="BX197" s="80">
        <f>IF(DB_PROJ="Todos",1,IF(E197&amp;""=DB_PROJ&amp;"",1,0))</f>
        <v>1</v>
      </c>
      <c r="BY197" s="80">
        <f>BW197*BX197</f>
        <v>0</v>
      </c>
      <c r="BZ197" s="80" t="str">
        <f>IF(Y197=1,F197&amp;IF(AND(F197&amp;""&lt;&gt;"",E197&amp;""&lt;&gt;"")," · ","")&amp;E197,"")</f>
        <v/>
      </c>
      <c r="CA197" s="80" t="str">
        <f>IF(AND(BD197=1,E197&amp;""&lt;&gt;""),IF(COUNTIFS($E$5:E196,E197,$BD$5:BD196,1)=0,MAX($CA$5:CA196)+1,""),"")</f>
        <v/>
      </c>
      <c r="CB197" s="80" t="str">
        <f>IF(AND(BE197=1,D197="Malcolm",E197&amp;""&lt;&gt;""),IF(COUNTIFS($D$5:D196,"Malcolm",$E$5:E196,E197,$BE$5:BE196,1)=0,MAX($CB$5:CB196)+1,""),"")</f>
        <v/>
      </c>
      <c r="CC197" s="80" t="str">
        <f>IF(AND(BD197=1,D197="proMX",E197&amp;""&lt;&gt;""),IF(COUNTIFS($D$5:D196,"proMX",$E$5:E196,E197,$BD$5:BD196,1)=0,MAX($CC$5:CC196)+1,""),"")</f>
        <v/>
      </c>
      <c r="CD197" s="80" t="str">
        <f>IF(AND(BE197=1,D197="Malcolm",F197&amp;""&lt;&gt;""),IF(COUNTIFS($D$5:D196,"Malcolm",$F$5:F196,F197,$BE$5:BE196,1)=0,MAX($CD$5:CD196)+1,""),"")</f>
        <v/>
      </c>
      <c r="CE197" s="80" t="str">
        <f>IF(AND(BD197=1,D197="proMX",F197&amp;""&lt;&gt;""),IF(COUNTIFS($D$5:D196,"proMX",$F$5:F196,F197,$BD$5:BD196,1)=0,MAX($CE$5:CE196)+1,""),"")</f>
        <v/>
      </c>
      <c r="CF197" s="80" t="str">
        <f>IF(AND(D197="proMX",BD197=1),IF(OR(BF197="Draft",BF197="Submitted",BF197="Returned",BF197="Recall Requested"),MAX($CF$5:CF196)+1,""),"")</f>
        <v/>
      </c>
      <c r="CG197" s="80">
        <f>IF(BD197=0,0,IF(D197="Malcolm",1,MATCH(BF197,{"Draft","Submitted","Approved","Returned","Recall Requested","Cancelled"},0)+1))</f>
        <v>0</v>
      </c>
      <c r="CH197" s="80">
        <f>IF(AND(BF197="Submitted",ISNUMBER(V197)),IF(V197&gt;CFG_MAXD,1,0),0)</f>
        <v>0</v>
      </c>
    </row>
    <row r="198">
      <c r="A198" s="71" t="str">
        <f>IF(Y198=1,ROW()-5,"")</f>
        <v/>
      </c>
      <c r="B198" s="72" t="n"/>
      <c r="C198" s="71" t="str">
        <f>IF(ISNUMBER(B198),CHOOSE(WEEKDAY(B198,2),"Lun","Mar","Mié","Jue","Vie","Sáb","Dom"),"")</f>
        <v/>
      </c>
      <c r="D198" s="73" t="n"/>
      <c r="E198" s="74" t="n"/>
      <c r="F198" s="74" t="n"/>
      <c r="G198" s="74" t="n"/>
      <c r="H198" s="75" t="n"/>
      <c r="I198" s="75" t="n"/>
      <c r="J198" s="76" t="n"/>
      <c r="K198" s="77" t="str">
        <f>IF(AB198=1,ROUND(AG198/60,4),"")</f>
        <v/>
      </c>
      <c r="L198" s="77" t="str">
        <f>IF(BD198=1,ROUND(AP198/60,4),"")</f>
        <v/>
      </c>
      <c r="M198" s="77" t="str">
        <f>IF(BD198=1,ROUND(AQ198/60,4),"")</f>
        <v/>
      </c>
      <c r="N198" s="71" t="str">
        <f>IF(AND(D198="proMX",AB198=1),ROUND(AG198/CFG_BLK,2),"")</f>
        <v/>
      </c>
      <c r="O198" s="77" t="str">
        <f>IF(D198="proMX",IF(BD198=1,ROUND(AG198/60,4),0),"")</f>
        <v/>
      </c>
      <c r="P198" s="78" t="str">
        <f>IF(Y198=0,"",IF(BD198=1,"OK",IF(D198="proMX","Revisar bloques: ","Revisar: ")&amp;BC198))</f>
        <v/>
      </c>
      <c r="Q198" s="78" t="str">
        <f>IF(NOT(ISNUMBER(B198)),"",IF(COUNTIFS(FER_F,INT(B198))&gt;0,"Feriado"&amp;IF(AH198=1," (laborable)"," (no laborable)"),IF(AH198=1,"Laborable",IF(WEEKDAY(B198,2)&gt;5,"Fin de semana","No laborable"))))</f>
        <v/>
      </c>
      <c r="R198" s="73" t="n"/>
      <c r="S198" s="72" t="n"/>
      <c r="T198" s="72" t="n"/>
      <c r="U198" s="74" t="n"/>
      <c r="V198" s="79" t="str">
        <f>IF(AND(D198="proMX",OR(R198="Submitted",R198="Recall Requested"),ISNUMBER(S198)),CFG_TODAY-INT(S198),"")</f>
        <v/>
      </c>
      <c r="W198" s="78" t="str">
        <f>IF(BD198=0,"",IF(BA198&gt;0,"⚠ Se superpone con un registro de la otra empresa",IF(D198="Malcolm",IF(COUNTA(R198,S198,T198)&gt;0,"Estado/fechas proMX se ignoran en Malcolm",""),IF(BF198="Cancelled","Cancelado: excluido de totales",IF(R198="","Sin estado: se trata como Draft",IF(BF198="Submitted",IF(ISNUMBER(V198),IF(V198&gt;CFG_MAXD,"⚠ "&amp;V198&amp;" días en Submitted (máx. "&amp;CFG_MAXD&amp;")",""),"Falta fecha de envío"),IF(BF198="Returned","⚠ Devuelto: corregir y reenviar",IF(BF198="Recall Requested","Retirada solicitada: pendiente",IF(AND(BF198="Approved",NOT(ISNUMBER(T198))),"Falta fecha de aprobación",IF(AND(ISNUMBER(S198),ISNUMBER(T198),T198&lt;S198),"Aprobación anterior al envío","")))))))))</f>
        <v/>
      </c>
      <c r="Y198" s="80">
        <f>IF(COUNTA(B198,D198,E198,F198,G198,H198,I198,J198,R198,S198,T198)&gt;0,1,0)</f>
        <v>0</v>
      </c>
      <c r="Z198" s="80" t="str">
        <f>IF(AND(ISNUMBER(H198),H198&gt;=0,H198&lt;1),ROUND(H198*1440,0),"")</f>
        <v/>
      </c>
      <c r="AA198" s="80" t="str">
        <f>IF(AND(ISNUMBER(I198),I198&gt;=0,I198&lt;1),ROUND(I198*1440,0),"")</f>
        <v/>
      </c>
      <c r="AB198" s="80">
        <f>IF(AND(ISNUMBER(B198),D198&lt;&gt;"",ISNUMBER(Z198),ISNUMBER(AA198)),IF(Z198=AA198,0,1),0)</f>
        <v>0</v>
      </c>
      <c r="AC198" s="80">
        <f>IF(AB198=1,IF(AA198&lt;Z198,1,0),0)</f>
        <v>0</v>
      </c>
      <c r="AD198" s="80">
        <f>IF(AB198=1,IF(AC198=1,1440-Z198+AA198,AA198-Z198),0)</f>
        <v>0</v>
      </c>
      <c r="AE198" s="80">
        <f>IF(J198="",0,IF(ISNUMBER(J198),J198,-1))</f>
        <v>0</v>
      </c>
      <c r="AF198" s="80">
        <f>MIN(MAX(0,AE198),AD198)</f>
        <v>0</v>
      </c>
      <c r="AG198" s="80">
        <f>MAX(0,AD198-MAX(0,AE198))</f>
        <v>0</v>
      </c>
      <c r="AH198" s="80">
        <f>IF(ISNUMBER(B198),IF(AND(INDEX(CFG_WDAYS,WEEKDAY(INT(B198),2))="Sí",IF(D198="proMX",COUNTIFS(FER_F,INT(B198),FER_NLP,"Sí"),COUNTIFS(FER_F,INT(B198),FER_NLM,"Sí"))=0),1,0),0)</f>
        <v>0</v>
      </c>
      <c r="AI198" s="80">
        <f>IF(AC198=1,IF(AND(INDEX(CFG_WDAYS,WEEKDAY(INT(B198)+1,2))="Sí",IF(D198="proMX",COUNTIFS(FER_F,INT(B198)+1,FER_NLP,"Sí"),COUNTIFS(FER_F,INT(B198)+1,FER_NLM,"Sí"))=0),1,0),0)</f>
        <v>0</v>
      </c>
      <c r="AJ198" s="80">
        <f>IF(AC198=1,1440-Z198,AD198)</f>
        <v>0</v>
      </c>
      <c r="AK198" s="80">
        <f>IF(AND(AB198=1,AH198=1),MAX(0,MIN(IF(AC198=1,1440,AA198),CFG_WEM)-MAX(Z198,CFG_WSM)),0)</f>
        <v>0</v>
      </c>
      <c r="AL198" s="80">
        <f>IF(AND(AC198=1,AI198=1),MAX(0,MIN(AA198,CFG_WEM)-CFG_WSM),0)</f>
        <v>0</v>
      </c>
      <c r="AM198" s="80">
        <f>AK198+AL198</f>
        <v>0</v>
      </c>
      <c r="AN198" s="80">
        <f>IF(CFG_BRK="Proporcional",IF(AD198=0,0,AF198*AM198/AD198),IF(CFG_BRK="Extras primero",MIN(AM198,MAX(0,AF198-(AD198-AM198))),MIN(AF198,AM198)))</f>
        <v>0</v>
      </c>
      <c r="AO198" s="80">
        <f>AF198-AN198</f>
        <v>0</v>
      </c>
      <c r="AP198" s="80">
        <f>AM198-AN198</f>
        <v>0</v>
      </c>
      <c r="AQ198" s="80">
        <f>AD198-AM198-AO198</f>
        <v>0</v>
      </c>
      <c r="AR198" s="80">
        <f>IF(AM198=0,0,AK198-AN198*AK198/AM198)</f>
        <v>0</v>
      </c>
      <c r="AS198" s="80">
        <f>IF(AD198-AM198=0,0,(AJ198-AK198)-AO198*(AJ198-AK198)/(AD198-AM198))</f>
        <v>0</v>
      </c>
      <c r="AT198" s="80" t="str">
        <f>IF(AC198=1,INT(B198)+1,"")</f>
        <v/>
      </c>
      <c r="AU198" s="80">
        <f>IF(AND(D198="proMX",R198="Cancelled"),0,1)</f>
        <v>1</v>
      </c>
      <c r="AV198" s="80">
        <f>IF(AND(AB198=1,AU198=1),IF(COUNTIFS($D$5:D197,D198,$B$5:B197,B198,$Z$5:Z197,Z198,$AA$5:AA197,AA198,$F$5:F197,F198&amp;"",$AU$5:AU197,1)&gt;0,1,0),0)</f>
        <v>0</v>
      </c>
      <c r="AW198" s="80" t="str">
        <f>IF(AB198=1,INT(B198)*1440+Z198,"")</f>
        <v/>
      </c>
      <c r="AX198" s="80" t="str">
        <f>IF(AB198=1,AW198+AD198,"")</f>
        <v/>
      </c>
      <c r="AY198" s="80">
        <f>IF(AND(AB198=1,AV198=0,AU198=1),1,0)</f>
        <v>0</v>
      </c>
      <c r="AZ198" s="80">
        <f>IF(AY198=1,COUNTIFS(R_Emp,D198,R_SAbs,"&lt;"&amp;AX198,R_EAbs,"&gt;"&amp;AW198,R_OKey,1)-1,0)</f>
        <v>0</v>
      </c>
      <c r="BA198" s="80">
        <f>IF(AY198=1,COUNTIFS(R_Emp,"&lt;&gt;"&amp;D198,R_SAbs,"&lt;"&amp;AX198,R_EAbs,"&gt;"&amp;AW198,R_OKey,1),0)</f>
        <v>0</v>
      </c>
      <c r="BB198" s="80">
        <f>IF(AND(AB198=1,D198="proMX"),IF(AND(MOD(Z198,CFG_BLK)=0,MOD(AA198,CFG_BLK)=0,MOD(AG198,CFG_BLK)=0,AG198&gt;0),1,0),1)</f>
        <v>1</v>
      </c>
      <c r="BC198" s="80" t="str">
        <f>IF(Y198=0,"",IF(NOT(ISNUMBER(B198)),"Falta fecha o fecha inválida",IF(D198="","Falta empresa",IF(AND(D198&lt;&gt;"Malcolm",D198&lt;&gt;"proMX"),"Empresa inválida",IF(OR(INT(B198)&lt;CFG_PSTART,INT(B198)&gt;CFG_PEND),"Fecha fuera del período",IF(OR(NOT(ISNUMBER(Z198)),NOT(ISNUMBER(AA198))),"Falta hora inicio/fin o formato inválido",IF(AB198=0,"Hora inicio = hora fin",IF(AE198&lt;0,"Descanso inválido",IF(AE198&gt;=AD198,"Descanso ≥ duración",IF(AV198=1,"Registro duplicado",IF(AZ198&gt;0,"Se superpone con otro registro "&amp;D198,IF(BB198=0,"inicio, fin y duración neta deben ser múltiplos de "&amp;CFG_BLK&amp;" min",""))))))))))))</f>
        <v/>
      </c>
      <c r="BD198" s="80">
        <f>IF(AND(Y198=1,BC198=""),1,0)</f>
        <v>0</v>
      </c>
      <c r="BE198" s="80">
        <f>IF(AND(BD198=1,AU198=1),1,0)</f>
        <v>0</v>
      </c>
      <c r="BF198" s="80" t="str">
        <f>IF(AND(D198="proMX",BD198=1),IF(R198="","Draft",R198),"")</f>
        <v/>
      </c>
      <c r="BG198" s="80">
        <f>IF(BD198=1,ROUND(AG198/60,6),0)</f>
        <v>0</v>
      </c>
      <c r="BH198" s="80">
        <f>IF(BE198=1,ROUND(AG198/60,6),0)</f>
        <v>0</v>
      </c>
      <c r="BI198" s="80">
        <f>IF(BE198=1,ROUND(AP198/60,6),0)</f>
        <v>0</v>
      </c>
      <c r="BJ198" s="80">
        <f>IF(BE198=1,ROUND(AQ198/60,6),0)</f>
        <v>0</v>
      </c>
      <c r="BK198" s="80">
        <f>IF(BE198=1,ROUND((AR198+AS198)/60,6),0)</f>
        <v>0</v>
      </c>
      <c r="BL198" s="80">
        <f>ROUND(BH198-BK198,6)</f>
        <v>0</v>
      </c>
      <c r="BM198" s="80">
        <f>IF(BE198=1,ROUND(AR198/60,6),0)</f>
        <v>0</v>
      </c>
      <c r="BN198" s="80">
        <f>ROUND(BI198-BM198,6)</f>
        <v>0</v>
      </c>
      <c r="BO198" s="80">
        <f>IF(BE198=1,ROUND(AS198/60,6),0)</f>
        <v>0</v>
      </c>
      <c r="BP198" s="80">
        <f>ROUND(BJ198-BO198,6)</f>
        <v>0</v>
      </c>
      <c r="BQ198" s="80">
        <f>IF(BE198=1,AW198,0)</f>
        <v>0</v>
      </c>
      <c r="BR198" s="80">
        <f>IF(BE198=1,AX198,0)</f>
        <v>0</v>
      </c>
      <c r="BS198" s="80">
        <f>IF(AND(BE198=1,D198="Malcolm",BA198&gt;0),MIN(BH198,SUMPRODUCT((R_Emp="proMX")*(R_EN&gt;0)*((R_EN-(R_EN&gt;BR198)*(R_EN-BR198))&gt;(R_SN+(R_SN&lt;BQ198)*(BQ198-R_SN)))*((R_EN-(R_EN&gt;BR198)*(R_EN-BR198))-(R_SN+(R_SN&lt;BQ198)*(BQ198-R_SN))))/60),0)</f>
        <v>0</v>
      </c>
      <c r="BT198" s="80">
        <f>IF(AND(BE198=1,D198="proMX"),ROUND(BI198*CFG_RATE+BJ198*CFG_OTRATE,6),0)</f>
        <v>0</v>
      </c>
      <c r="BU198" s="80">
        <f>IF(AND(BD198=1,D198="proMX"),ROUND(AG198/CFG_BLK,6),0)</f>
        <v>0</v>
      </c>
      <c r="BV198" s="80" t="str">
        <f>IF(BF198="Approved",IF(ISNUMBER(T198),INT(T198),INT(B198)),"")</f>
        <v/>
      </c>
      <c r="BW198" s="80">
        <f>IF(ISNUMBER(B198),IF(DB_MON="Todos",1,IF(AND(INT(B198)&gt;=DB_MS,INT(B198)&lt;=DB_ME),1,0)),0)</f>
        <v>0</v>
      </c>
      <c r="BX198" s="80">
        <f>IF(DB_PROJ="Todos",1,IF(E198&amp;""=DB_PROJ&amp;"",1,0))</f>
        <v>1</v>
      </c>
      <c r="BY198" s="80">
        <f>BW198*BX198</f>
        <v>0</v>
      </c>
      <c r="BZ198" s="80" t="str">
        <f>IF(Y198=1,F198&amp;IF(AND(F198&amp;""&lt;&gt;"",E198&amp;""&lt;&gt;"")," · ","")&amp;E198,"")</f>
        <v/>
      </c>
      <c r="CA198" s="80" t="str">
        <f>IF(AND(BD198=1,E198&amp;""&lt;&gt;""),IF(COUNTIFS($E$5:E197,E198,$BD$5:BD197,1)=0,MAX($CA$5:CA197)+1,""),"")</f>
        <v/>
      </c>
      <c r="CB198" s="80" t="str">
        <f>IF(AND(BE198=1,D198="Malcolm",E198&amp;""&lt;&gt;""),IF(COUNTIFS($D$5:D197,"Malcolm",$E$5:E197,E198,$BE$5:BE197,1)=0,MAX($CB$5:CB197)+1,""),"")</f>
        <v/>
      </c>
      <c r="CC198" s="80" t="str">
        <f>IF(AND(BD198=1,D198="proMX",E198&amp;""&lt;&gt;""),IF(COUNTIFS($D$5:D197,"proMX",$E$5:E197,E198,$BD$5:BD197,1)=0,MAX($CC$5:CC197)+1,""),"")</f>
        <v/>
      </c>
      <c r="CD198" s="80" t="str">
        <f>IF(AND(BE198=1,D198="Malcolm",F198&amp;""&lt;&gt;""),IF(COUNTIFS($D$5:D197,"Malcolm",$F$5:F197,F198,$BE$5:BE197,1)=0,MAX($CD$5:CD197)+1,""),"")</f>
        <v/>
      </c>
      <c r="CE198" s="80" t="str">
        <f>IF(AND(BD198=1,D198="proMX",F198&amp;""&lt;&gt;""),IF(COUNTIFS($D$5:D197,"proMX",$F$5:F197,F198,$BD$5:BD197,1)=0,MAX($CE$5:CE197)+1,""),"")</f>
        <v/>
      </c>
      <c r="CF198" s="80" t="str">
        <f>IF(AND(D198="proMX",BD198=1),IF(OR(BF198="Draft",BF198="Submitted",BF198="Returned",BF198="Recall Requested"),MAX($CF$5:CF197)+1,""),"")</f>
        <v/>
      </c>
      <c r="CG198" s="80">
        <f>IF(BD198=0,0,IF(D198="Malcolm",1,MATCH(BF198,{"Draft","Submitted","Approved","Returned","Recall Requested","Cancelled"},0)+1))</f>
        <v>0</v>
      </c>
      <c r="CH198" s="80">
        <f>IF(AND(BF198="Submitted",ISNUMBER(V198)),IF(V198&gt;CFG_MAXD,1,0),0)</f>
        <v>0</v>
      </c>
    </row>
    <row r="199">
      <c r="A199" s="71" t="str">
        <f>IF(Y199=1,ROW()-5,"")</f>
        <v/>
      </c>
      <c r="B199" s="72" t="n"/>
      <c r="C199" s="71" t="str">
        <f>IF(ISNUMBER(B199),CHOOSE(WEEKDAY(B199,2),"Lun","Mar","Mié","Jue","Vie","Sáb","Dom"),"")</f>
        <v/>
      </c>
      <c r="D199" s="73" t="n"/>
      <c r="E199" s="74" t="n"/>
      <c r="F199" s="74" t="n"/>
      <c r="G199" s="74" t="n"/>
      <c r="H199" s="75" t="n"/>
      <c r="I199" s="75" t="n"/>
      <c r="J199" s="76" t="n"/>
      <c r="K199" s="77" t="str">
        <f>IF(AB199=1,ROUND(AG199/60,4),"")</f>
        <v/>
      </c>
      <c r="L199" s="77" t="str">
        <f>IF(BD199=1,ROUND(AP199/60,4),"")</f>
        <v/>
      </c>
      <c r="M199" s="77" t="str">
        <f>IF(BD199=1,ROUND(AQ199/60,4),"")</f>
        <v/>
      </c>
      <c r="N199" s="71" t="str">
        <f>IF(AND(D199="proMX",AB199=1),ROUND(AG199/CFG_BLK,2),"")</f>
        <v/>
      </c>
      <c r="O199" s="77" t="str">
        <f>IF(D199="proMX",IF(BD199=1,ROUND(AG199/60,4),0),"")</f>
        <v/>
      </c>
      <c r="P199" s="78" t="str">
        <f>IF(Y199=0,"",IF(BD199=1,"OK",IF(D199="proMX","Revisar bloques: ","Revisar: ")&amp;BC199))</f>
        <v/>
      </c>
      <c r="Q199" s="78" t="str">
        <f>IF(NOT(ISNUMBER(B199)),"",IF(COUNTIFS(FER_F,INT(B199))&gt;0,"Feriado"&amp;IF(AH199=1," (laborable)"," (no laborable)"),IF(AH199=1,"Laborable",IF(WEEKDAY(B199,2)&gt;5,"Fin de semana","No laborable"))))</f>
        <v/>
      </c>
      <c r="R199" s="73" t="n"/>
      <c r="S199" s="72" t="n"/>
      <c r="T199" s="72" t="n"/>
      <c r="U199" s="74" t="n"/>
      <c r="V199" s="79" t="str">
        <f>IF(AND(D199="proMX",OR(R199="Submitted",R199="Recall Requested"),ISNUMBER(S199)),CFG_TODAY-INT(S199),"")</f>
        <v/>
      </c>
      <c r="W199" s="78" t="str">
        <f>IF(BD199=0,"",IF(BA199&gt;0,"⚠ Se superpone con un registro de la otra empresa",IF(D199="Malcolm",IF(COUNTA(R199,S199,T199)&gt;0,"Estado/fechas proMX se ignoran en Malcolm",""),IF(BF199="Cancelled","Cancelado: excluido de totales",IF(R199="","Sin estado: se trata como Draft",IF(BF199="Submitted",IF(ISNUMBER(V199),IF(V199&gt;CFG_MAXD,"⚠ "&amp;V199&amp;" días en Submitted (máx. "&amp;CFG_MAXD&amp;")",""),"Falta fecha de envío"),IF(BF199="Returned","⚠ Devuelto: corregir y reenviar",IF(BF199="Recall Requested","Retirada solicitada: pendiente",IF(AND(BF199="Approved",NOT(ISNUMBER(T199))),"Falta fecha de aprobación",IF(AND(ISNUMBER(S199),ISNUMBER(T199),T199&lt;S199),"Aprobación anterior al envío","")))))))))</f>
        <v/>
      </c>
      <c r="Y199" s="80">
        <f>IF(COUNTA(B199,D199,E199,F199,G199,H199,I199,J199,R199,S199,T199)&gt;0,1,0)</f>
        <v>0</v>
      </c>
      <c r="Z199" s="80" t="str">
        <f>IF(AND(ISNUMBER(H199),H199&gt;=0,H199&lt;1),ROUND(H199*1440,0),"")</f>
        <v/>
      </c>
      <c r="AA199" s="80" t="str">
        <f>IF(AND(ISNUMBER(I199),I199&gt;=0,I199&lt;1),ROUND(I199*1440,0),"")</f>
        <v/>
      </c>
      <c r="AB199" s="80">
        <f>IF(AND(ISNUMBER(B199),D199&lt;&gt;"",ISNUMBER(Z199),ISNUMBER(AA199)),IF(Z199=AA199,0,1),0)</f>
        <v>0</v>
      </c>
      <c r="AC199" s="80">
        <f>IF(AB199=1,IF(AA199&lt;Z199,1,0),0)</f>
        <v>0</v>
      </c>
      <c r="AD199" s="80">
        <f>IF(AB199=1,IF(AC199=1,1440-Z199+AA199,AA199-Z199),0)</f>
        <v>0</v>
      </c>
      <c r="AE199" s="80">
        <f>IF(J199="",0,IF(ISNUMBER(J199),J199,-1))</f>
        <v>0</v>
      </c>
      <c r="AF199" s="80">
        <f>MIN(MAX(0,AE199),AD199)</f>
        <v>0</v>
      </c>
      <c r="AG199" s="80">
        <f>MAX(0,AD199-MAX(0,AE199))</f>
        <v>0</v>
      </c>
      <c r="AH199" s="80">
        <f>IF(ISNUMBER(B199),IF(AND(INDEX(CFG_WDAYS,WEEKDAY(INT(B199),2))="Sí",IF(D199="proMX",COUNTIFS(FER_F,INT(B199),FER_NLP,"Sí"),COUNTIFS(FER_F,INT(B199),FER_NLM,"Sí"))=0),1,0),0)</f>
        <v>0</v>
      </c>
      <c r="AI199" s="80">
        <f>IF(AC199=1,IF(AND(INDEX(CFG_WDAYS,WEEKDAY(INT(B199)+1,2))="Sí",IF(D199="proMX",COUNTIFS(FER_F,INT(B199)+1,FER_NLP,"Sí"),COUNTIFS(FER_F,INT(B199)+1,FER_NLM,"Sí"))=0),1,0),0)</f>
        <v>0</v>
      </c>
      <c r="AJ199" s="80">
        <f>IF(AC199=1,1440-Z199,AD199)</f>
        <v>0</v>
      </c>
      <c r="AK199" s="80">
        <f>IF(AND(AB199=1,AH199=1),MAX(0,MIN(IF(AC199=1,1440,AA199),CFG_WEM)-MAX(Z199,CFG_WSM)),0)</f>
        <v>0</v>
      </c>
      <c r="AL199" s="80">
        <f>IF(AND(AC199=1,AI199=1),MAX(0,MIN(AA199,CFG_WEM)-CFG_WSM),0)</f>
        <v>0</v>
      </c>
      <c r="AM199" s="80">
        <f>AK199+AL199</f>
        <v>0</v>
      </c>
      <c r="AN199" s="80">
        <f>IF(CFG_BRK="Proporcional",IF(AD199=0,0,AF199*AM199/AD199),IF(CFG_BRK="Extras primero",MIN(AM199,MAX(0,AF199-(AD199-AM199))),MIN(AF199,AM199)))</f>
        <v>0</v>
      </c>
      <c r="AO199" s="80">
        <f>AF199-AN199</f>
        <v>0</v>
      </c>
      <c r="AP199" s="80">
        <f>AM199-AN199</f>
        <v>0</v>
      </c>
      <c r="AQ199" s="80">
        <f>AD199-AM199-AO199</f>
        <v>0</v>
      </c>
      <c r="AR199" s="80">
        <f>IF(AM199=0,0,AK199-AN199*AK199/AM199)</f>
        <v>0</v>
      </c>
      <c r="AS199" s="80">
        <f>IF(AD199-AM199=0,0,(AJ199-AK199)-AO199*(AJ199-AK199)/(AD199-AM199))</f>
        <v>0</v>
      </c>
      <c r="AT199" s="80" t="str">
        <f>IF(AC199=1,INT(B199)+1,"")</f>
        <v/>
      </c>
      <c r="AU199" s="80">
        <f>IF(AND(D199="proMX",R199="Cancelled"),0,1)</f>
        <v>1</v>
      </c>
      <c r="AV199" s="80">
        <f>IF(AND(AB199=1,AU199=1),IF(COUNTIFS($D$5:D198,D199,$B$5:B198,B199,$Z$5:Z198,Z199,$AA$5:AA198,AA199,$F$5:F198,F199&amp;"",$AU$5:AU198,1)&gt;0,1,0),0)</f>
        <v>0</v>
      </c>
      <c r="AW199" s="80" t="str">
        <f>IF(AB199=1,INT(B199)*1440+Z199,"")</f>
        <v/>
      </c>
      <c r="AX199" s="80" t="str">
        <f>IF(AB199=1,AW199+AD199,"")</f>
        <v/>
      </c>
      <c r="AY199" s="80">
        <f>IF(AND(AB199=1,AV199=0,AU199=1),1,0)</f>
        <v>0</v>
      </c>
      <c r="AZ199" s="80">
        <f>IF(AY199=1,COUNTIFS(R_Emp,D199,R_SAbs,"&lt;"&amp;AX199,R_EAbs,"&gt;"&amp;AW199,R_OKey,1)-1,0)</f>
        <v>0</v>
      </c>
      <c r="BA199" s="80">
        <f>IF(AY199=1,COUNTIFS(R_Emp,"&lt;&gt;"&amp;D199,R_SAbs,"&lt;"&amp;AX199,R_EAbs,"&gt;"&amp;AW199,R_OKey,1),0)</f>
        <v>0</v>
      </c>
      <c r="BB199" s="80">
        <f>IF(AND(AB199=1,D199="proMX"),IF(AND(MOD(Z199,CFG_BLK)=0,MOD(AA199,CFG_BLK)=0,MOD(AG199,CFG_BLK)=0,AG199&gt;0),1,0),1)</f>
        <v>1</v>
      </c>
      <c r="BC199" s="80" t="str">
        <f>IF(Y199=0,"",IF(NOT(ISNUMBER(B199)),"Falta fecha o fecha inválida",IF(D199="","Falta empresa",IF(AND(D199&lt;&gt;"Malcolm",D199&lt;&gt;"proMX"),"Empresa inválida",IF(OR(INT(B199)&lt;CFG_PSTART,INT(B199)&gt;CFG_PEND),"Fecha fuera del período",IF(OR(NOT(ISNUMBER(Z199)),NOT(ISNUMBER(AA199))),"Falta hora inicio/fin o formato inválido",IF(AB199=0,"Hora inicio = hora fin",IF(AE199&lt;0,"Descanso inválido",IF(AE199&gt;=AD199,"Descanso ≥ duración",IF(AV199=1,"Registro duplicado",IF(AZ199&gt;0,"Se superpone con otro registro "&amp;D199,IF(BB199=0,"inicio, fin y duración neta deben ser múltiplos de "&amp;CFG_BLK&amp;" min",""))))))))))))</f>
        <v/>
      </c>
      <c r="BD199" s="80">
        <f>IF(AND(Y199=1,BC199=""),1,0)</f>
        <v>0</v>
      </c>
      <c r="BE199" s="80">
        <f>IF(AND(BD199=1,AU199=1),1,0)</f>
        <v>0</v>
      </c>
      <c r="BF199" s="80" t="str">
        <f>IF(AND(D199="proMX",BD199=1),IF(R199="","Draft",R199),"")</f>
        <v/>
      </c>
      <c r="BG199" s="80">
        <f>IF(BD199=1,ROUND(AG199/60,6),0)</f>
        <v>0</v>
      </c>
      <c r="BH199" s="80">
        <f>IF(BE199=1,ROUND(AG199/60,6),0)</f>
        <v>0</v>
      </c>
      <c r="BI199" s="80">
        <f>IF(BE199=1,ROUND(AP199/60,6),0)</f>
        <v>0</v>
      </c>
      <c r="BJ199" s="80">
        <f>IF(BE199=1,ROUND(AQ199/60,6),0)</f>
        <v>0</v>
      </c>
      <c r="BK199" s="80">
        <f>IF(BE199=1,ROUND((AR199+AS199)/60,6),0)</f>
        <v>0</v>
      </c>
      <c r="BL199" s="80">
        <f>ROUND(BH199-BK199,6)</f>
        <v>0</v>
      </c>
      <c r="BM199" s="80">
        <f>IF(BE199=1,ROUND(AR199/60,6),0)</f>
        <v>0</v>
      </c>
      <c r="BN199" s="80">
        <f>ROUND(BI199-BM199,6)</f>
        <v>0</v>
      </c>
      <c r="BO199" s="80">
        <f>IF(BE199=1,ROUND(AS199/60,6),0)</f>
        <v>0</v>
      </c>
      <c r="BP199" s="80">
        <f>ROUND(BJ199-BO199,6)</f>
        <v>0</v>
      </c>
      <c r="BQ199" s="80">
        <f>IF(BE199=1,AW199,0)</f>
        <v>0</v>
      </c>
      <c r="BR199" s="80">
        <f>IF(BE199=1,AX199,0)</f>
        <v>0</v>
      </c>
      <c r="BS199" s="80">
        <f>IF(AND(BE199=1,D199="Malcolm",BA199&gt;0),MIN(BH199,SUMPRODUCT((R_Emp="proMX")*(R_EN&gt;0)*((R_EN-(R_EN&gt;BR199)*(R_EN-BR199))&gt;(R_SN+(R_SN&lt;BQ199)*(BQ199-R_SN)))*((R_EN-(R_EN&gt;BR199)*(R_EN-BR199))-(R_SN+(R_SN&lt;BQ199)*(BQ199-R_SN))))/60),0)</f>
        <v>0</v>
      </c>
      <c r="BT199" s="80">
        <f>IF(AND(BE199=1,D199="proMX"),ROUND(BI199*CFG_RATE+BJ199*CFG_OTRATE,6),0)</f>
        <v>0</v>
      </c>
      <c r="BU199" s="80">
        <f>IF(AND(BD199=1,D199="proMX"),ROUND(AG199/CFG_BLK,6),0)</f>
        <v>0</v>
      </c>
      <c r="BV199" s="80" t="str">
        <f>IF(BF199="Approved",IF(ISNUMBER(T199),INT(T199),INT(B199)),"")</f>
        <v/>
      </c>
      <c r="BW199" s="80">
        <f>IF(ISNUMBER(B199),IF(DB_MON="Todos",1,IF(AND(INT(B199)&gt;=DB_MS,INT(B199)&lt;=DB_ME),1,0)),0)</f>
        <v>0</v>
      </c>
      <c r="BX199" s="80">
        <f>IF(DB_PROJ="Todos",1,IF(E199&amp;""=DB_PROJ&amp;"",1,0))</f>
        <v>1</v>
      </c>
      <c r="BY199" s="80">
        <f>BW199*BX199</f>
        <v>0</v>
      </c>
      <c r="BZ199" s="80" t="str">
        <f>IF(Y199=1,F199&amp;IF(AND(F199&amp;""&lt;&gt;"",E199&amp;""&lt;&gt;"")," · ","")&amp;E199,"")</f>
        <v/>
      </c>
      <c r="CA199" s="80" t="str">
        <f>IF(AND(BD199=1,E199&amp;""&lt;&gt;""),IF(COUNTIFS($E$5:E198,E199,$BD$5:BD198,1)=0,MAX($CA$5:CA198)+1,""),"")</f>
        <v/>
      </c>
      <c r="CB199" s="80" t="str">
        <f>IF(AND(BE199=1,D199="Malcolm",E199&amp;""&lt;&gt;""),IF(COUNTIFS($D$5:D198,"Malcolm",$E$5:E198,E199,$BE$5:BE198,1)=0,MAX($CB$5:CB198)+1,""),"")</f>
        <v/>
      </c>
      <c r="CC199" s="80" t="str">
        <f>IF(AND(BD199=1,D199="proMX",E199&amp;""&lt;&gt;""),IF(COUNTIFS($D$5:D198,"proMX",$E$5:E198,E199,$BD$5:BD198,1)=0,MAX($CC$5:CC198)+1,""),"")</f>
        <v/>
      </c>
      <c r="CD199" s="80" t="str">
        <f>IF(AND(BE199=1,D199="Malcolm",F199&amp;""&lt;&gt;""),IF(COUNTIFS($D$5:D198,"Malcolm",$F$5:F198,F199,$BE$5:BE198,1)=0,MAX($CD$5:CD198)+1,""),"")</f>
        <v/>
      </c>
      <c r="CE199" s="80" t="str">
        <f>IF(AND(BD199=1,D199="proMX",F199&amp;""&lt;&gt;""),IF(COUNTIFS($D$5:D198,"proMX",$F$5:F198,F199,$BD$5:BD198,1)=0,MAX($CE$5:CE198)+1,""),"")</f>
        <v/>
      </c>
      <c r="CF199" s="80" t="str">
        <f>IF(AND(D199="proMX",BD199=1),IF(OR(BF199="Draft",BF199="Submitted",BF199="Returned",BF199="Recall Requested"),MAX($CF$5:CF198)+1,""),"")</f>
        <v/>
      </c>
      <c r="CG199" s="80">
        <f>IF(BD199=0,0,IF(D199="Malcolm",1,MATCH(BF199,{"Draft","Submitted","Approved","Returned","Recall Requested","Cancelled"},0)+1))</f>
        <v>0</v>
      </c>
      <c r="CH199" s="80">
        <f>IF(AND(BF199="Submitted",ISNUMBER(V199)),IF(V199&gt;CFG_MAXD,1,0),0)</f>
        <v>0</v>
      </c>
    </row>
    <row r="200">
      <c r="A200" s="71" t="str">
        <f>IF(Y200=1,ROW()-5,"")</f>
        <v/>
      </c>
      <c r="B200" s="72" t="n"/>
      <c r="C200" s="71" t="str">
        <f>IF(ISNUMBER(B200),CHOOSE(WEEKDAY(B200,2),"Lun","Mar","Mié","Jue","Vie","Sáb","Dom"),"")</f>
        <v/>
      </c>
      <c r="D200" s="73" t="n"/>
      <c r="E200" s="74" t="n"/>
      <c r="F200" s="74" t="n"/>
      <c r="G200" s="74" t="n"/>
      <c r="H200" s="75" t="n"/>
      <c r="I200" s="75" t="n"/>
      <c r="J200" s="76" t="n"/>
      <c r="K200" s="77" t="str">
        <f>IF(AB200=1,ROUND(AG200/60,4),"")</f>
        <v/>
      </c>
      <c r="L200" s="77" t="str">
        <f>IF(BD200=1,ROUND(AP200/60,4),"")</f>
        <v/>
      </c>
      <c r="M200" s="77" t="str">
        <f>IF(BD200=1,ROUND(AQ200/60,4),"")</f>
        <v/>
      </c>
      <c r="N200" s="71" t="str">
        <f>IF(AND(D200="proMX",AB200=1),ROUND(AG200/CFG_BLK,2),"")</f>
        <v/>
      </c>
      <c r="O200" s="77" t="str">
        <f>IF(D200="proMX",IF(BD200=1,ROUND(AG200/60,4),0),"")</f>
        <v/>
      </c>
      <c r="P200" s="78" t="str">
        <f>IF(Y200=0,"",IF(BD200=1,"OK",IF(D200="proMX","Revisar bloques: ","Revisar: ")&amp;BC200))</f>
        <v/>
      </c>
      <c r="Q200" s="78" t="str">
        <f>IF(NOT(ISNUMBER(B200)),"",IF(COUNTIFS(FER_F,INT(B200))&gt;0,"Feriado"&amp;IF(AH200=1," (laborable)"," (no laborable)"),IF(AH200=1,"Laborable",IF(WEEKDAY(B200,2)&gt;5,"Fin de semana","No laborable"))))</f>
        <v/>
      </c>
      <c r="R200" s="73" t="n"/>
      <c r="S200" s="72" t="n"/>
      <c r="T200" s="72" t="n"/>
      <c r="U200" s="74" t="n"/>
      <c r="V200" s="79" t="str">
        <f>IF(AND(D200="proMX",OR(R200="Submitted",R200="Recall Requested"),ISNUMBER(S200)),CFG_TODAY-INT(S200),"")</f>
        <v/>
      </c>
      <c r="W200" s="78" t="str">
        <f>IF(BD200=0,"",IF(BA200&gt;0,"⚠ Se superpone con un registro de la otra empresa",IF(D200="Malcolm",IF(COUNTA(R200,S200,T200)&gt;0,"Estado/fechas proMX se ignoran en Malcolm",""),IF(BF200="Cancelled","Cancelado: excluido de totales",IF(R200="","Sin estado: se trata como Draft",IF(BF200="Submitted",IF(ISNUMBER(V200),IF(V200&gt;CFG_MAXD,"⚠ "&amp;V200&amp;" días en Submitted (máx. "&amp;CFG_MAXD&amp;")",""),"Falta fecha de envío"),IF(BF200="Returned","⚠ Devuelto: corregir y reenviar",IF(BF200="Recall Requested","Retirada solicitada: pendiente",IF(AND(BF200="Approved",NOT(ISNUMBER(T200))),"Falta fecha de aprobación",IF(AND(ISNUMBER(S200),ISNUMBER(T200),T200&lt;S200),"Aprobación anterior al envío","")))))))))</f>
        <v/>
      </c>
      <c r="Y200" s="80">
        <f>IF(COUNTA(B200,D200,E200,F200,G200,H200,I200,J200,R200,S200,T200)&gt;0,1,0)</f>
        <v>0</v>
      </c>
      <c r="Z200" s="80" t="str">
        <f>IF(AND(ISNUMBER(H200),H200&gt;=0,H200&lt;1),ROUND(H200*1440,0),"")</f>
        <v/>
      </c>
      <c r="AA200" s="80" t="str">
        <f>IF(AND(ISNUMBER(I200),I200&gt;=0,I200&lt;1),ROUND(I200*1440,0),"")</f>
        <v/>
      </c>
      <c r="AB200" s="80">
        <f>IF(AND(ISNUMBER(B200),D200&lt;&gt;"",ISNUMBER(Z200),ISNUMBER(AA200)),IF(Z200=AA200,0,1),0)</f>
        <v>0</v>
      </c>
      <c r="AC200" s="80">
        <f>IF(AB200=1,IF(AA200&lt;Z200,1,0),0)</f>
        <v>0</v>
      </c>
      <c r="AD200" s="80">
        <f>IF(AB200=1,IF(AC200=1,1440-Z200+AA200,AA200-Z200),0)</f>
        <v>0</v>
      </c>
      <c r="AE200" s="80">
        <f>IF(J200="",0,IF(ISNUMBER(J200),J200,-1))</f>
        <v>0</v>
      </c>
      <c r="AF200" s="80">
        <f>MIN(MAX(0,AE200),AD200)</f>
        <v>0</v>
      </c>
      <c r="AG200" s="80">
        <f>MAX(0,AD200-MAX(0,AE200))</f>
        <v>0</v>
      </c>
      <c r="AH200" s="80">
        <f>IF(ISNUMBER(B200),IF(AND(INDEX(CFG_WDAYS,WEEKDAY(INT(B200),2))="Sí",IF(D200="proMX",COUNTIFS(FER_F,INT(B200),FER_NLP,"Sí"),COUNTIFS(FER_F,INT(B200),FER_NLM,"Sí"))=0),1,0),0)</f>
        <v>0</v>
      </c>
      <c r="AI200" s="80">
        <f>IF(AC200=1,IF(AND(INDEX(CFG_WDAYS,WEEKDAY(INT(B200)+1,2))="Sí",IF(D200="proMX",COUNTIFS(FER_F,INT(B200)+1,FER_NLP,"Sí"),COUNTIFS(FER_F,INT(B200)+1,FER_NLM,"Sí"))=0),1,0),0)</f>
        <v>0</v>
      </c>
      <c r="AJ200" s="80">
        <f>IF(AC200=1,1440-Z200,AD200)</f>
        <v>0</v>
      </c>
      <c r="AK200" s="80">
        <f>IF(AND(AB200=1,AH200=1),MAX(0,MIN(IF(AC200=1,1440,AA200),CFG_WEM)-MAX(Z200,CFG_WSM)),0)</f>
        <v>0</v>
      </c>
      <c r="AL200" s="80">
        <f>IF(AND(AC200=1,AI200=1),MAX(0,MIN(AA200,CFG_WEM)-CFG_WSM),0)</f>
        <v>0</v>
      </c>
      <c r="AM200" s="80">
        <f>AK200+AL200</f>
        <v>0</v>
      </c>
      <c r="AN200" s="80">
        <f>IF(CFG_BRK="Proporcional",IF(AD200=0,0,AF200*AM200/AD200),IF(CFG_BRK="Extras primero",MIN(AM200,MAX(0,AF200-(AD200-AM200))),MIN(AF200,AM200)))</f>
        <v>0</v>
      </c>
      <c r="AO200" s="80">
        <f>AF200-AN200</f>
        <v>0</v>
      </c>
      <c r="AP200" s="80">
        <f>AM200-AN200</f>
        <v>0</v>
      </c>
      <c r="AQ200" s="80">
        <f>AD200-AM200-AO200</f>
        <v>0</v>
      </c>
      <c r="AR200" s="80">
        <f>IF(AM200=0,0,AK200-AN200*AK200/AM200)</f>
        <v>0</v>
      </c>
      <c r="AS200" s="80">
        <f>IF(AD200-AM200=0,0,(AJ200-AK200)-AO200*(AJ200-AK200)/(AD200-AM200))</f>
        <v>0</v>
      </c>
      <c r="AT200" s="80" t="str">
        <f>IF(AC200=1,INT(B200)+1,"")</f>
        <v/>
      </c>
      <c r="AU200" s="80">
        <f>IF(AND(D200="proMX",R200="Cancelled"),0,1)</f>
        <v>1</v>
      </c>
      <c r="AV200" s="80">
        <f>IF(AND(AB200=1,AU200=1),IF(COUNTIFS($D$5:D199,D200,$B$5:B199,B200,$Z$5:Z199,Z200,$AA$5:AA199,AA200,$F$5:F199,F200&amp;"",$AU$5:AU199,1)&gt;0,1,0),0)</f>
        <v>0</v>
      </c>
      <c r="AW200" s="80" t="str">
        <f>IF(AB200=1,INT(B200)*1440+Z200,"")</f>
        <v/>
      </c>
      <c r="AX200" s="80" t="str">
        <f>IF(AB200=1,AW200+AD200,"")</f>
        <v/>
      </c>
      <c r="AY200" s="80">
        <f>IF(AND(AB200=1,AV200=0,AU200=1),1,0)</f>
        <v>0</v>
      </c>
      <c r="AZ200" s="80">
        <f>IF(AY200=1,COUNTIFS(R_Emp,D200,R_SAbs,"&lt;"&amp;AX200,R_EAbs,"&gt;"&amp;AW200,R_OKey,1)-1,0)</f>
        <v>0</v>
      </c>
      <c r="BA200" s="80">
        <f>IF(AY200=1,COUNTIFS(R_Emp,"&lt;&gt;"&amp;D200,R_SAbs,"&lt;"&amp;AX200,R_EAbs,"&gt;"&amp;AW200,R_OKey,1),0)</f>
        <v>0</v>
      </c>
      <c r="BB200" s="80">
        <f>IF(AND(AB200=1,D200="proMX"),IF(AND(MOD(Z200,CFG_BLK)=0,MOD(AA200,CFG_BLK)=0,MOD(AG200,CFG_BLK)=0,AG200&gt;0),1,0),1)</f>
        <v>1</v>
      </c>
      <c r="BC200" s="80" t="str">
        <f>IF(Y200=0,"",IF(NOT(ISNUMBER(B200)),"Falta fecha o fecha inválida",IF(D200="","Falta empresa",IF(AND(D200&lt;&gt;"Malcolm",D200&lt;&gt;"proMX"),"Empresa inválida",IF(OR(INT(B200)&lt;CFG_PSTART,INT(B200)&gt;CFG_PEND),"Fecha fuera del período",IF(OR(NOT(ISNUMBER(Z200)),NOT(ISNUMBER(AA200))),"Falta hora inicio/fin o formato inválido",IF(AB200=0,"Hora inicio = hora fin",IF(AE200&lt;0,"Descanso inválido",IF(AE200&gt;=AD200,"Descanso ≥ duración",IF(AV200=1,"Registro duplicado",IF(AZ200&gt;0,"Se superpone con otro registro "&amp;D200,IF(BB200=0,"inicio, fin y duración neta deben ser múltiplos de "&amp;CFG_BLK&amp;" min",""))))))))))))</f>
        <v/>
      </c>
      <c r="BD200" s="80">
        <f>IF(AND(Y200=1,BC200=""),1,0)</f>
        <v>0</v>
      </c>
      <c r="BE200" s="80">
        <f>IF(AND(BD200=1,AU200=1),1,0)</f>
        <v>0</v>
      </c>
      <c r="BF200" s="80" t="str">
        <f>IF(AND(D200="proMX",BD200=1),IF(R200="","Draft",R200),"")</f>
        <v/>
      </c>
      <c r="BG200" s="80">
        <f>IF(BD200=1,ROUND(AG200/60,6),0)</f>
        <v>0</v>
      </c>
      <c r="BH200" s="80">
        <f>IF(BE200=1,ROUND(AG200/60,6),0)</f>
        <v>0</v>
      </c>
      <c r="BI200" s="80">
        <f>IF(BE200=1,ROUND(AP200/60,6),0)</f>
        <v>0</v>
      </c>
      <c r="BJ200" s="80">
        <f>IF(BE200=1,ROUND(AQ200/60,6),0)</f>
        <v>0</v>
      </c>
      <c r="BK200" s="80">
        <f>IF(BE200=1,ROUND((AR200+AS200)/60,6),0)</f>
        <v>0</v>
      </c>
      <c r="BL200" s="80">
        <f>ROUND(BH200-BK200,6)</f>
        <v>0</v>
      </c>
      <c r="BM200" s="80">
        <f>IF(BE200=1,ROUND(AR200/60,6),0)</f>
        <v>0</v>
      </c>
      <c r="BN200" s="80">
        <f>ROUND(BI200-BM200,6)</f>
        <v>0</v>
      </c>
      <c r="BO200" s="80">
        <f>IF(BE200=1,ROUND(AS200/60,6),0)</f>
        <v>0</v>
      </c>
      <c r="BP200" s="80">
        <f>ROUND(BJ200-BO200,6)</f>
        <v>0</v>
      </c>
      <c r="BQ200" s="80">
        <f>IF(BE200=1,AW200,0)</f>
        <v>0</v>
      </c>
      <c r="BR200" s="80">
        <f>IF(BE200=1,AX200,0)</f>
        <v>0</v>
      </c>
      <c r="BS200" s="80">
        <f>IF(AND(BE200=1,D200="Malcolm",BA200&gt;0),MIN(BH200,SUMPRODUCT((R_Emp="proMX")*(R_EN&gt;0)*((R_EN-(R_EN&gt;BR200)*(R_EN-BR200))&gt;(R_SN+(R_SN&lt;BQ200)*(BQ200-R_SN)))*((R_EN-(R_EN&gt;BR200)*(R_EN-BR200))-(R_SN+(R_SN&lt;BQ200)*(BQ200-R_SN))))/60),0)</f>
        <v>0</v>
      </c>
      <c r="BT200" s="80">
        <f>IF(AND(BE200=1,D200="proMX"),ROUND(BI200*CFG_RATE+BJ200*CFG_OTRATE,6),0)</f>
        <v>0</v>
      </c>
      <c r="BU200" s="80">
        <f>IF(AND(BD200=1,D200="proMX"),ROUND(AG200/CFG_BLK,6),0)</f>
        <v>0</v>
      </c>
      <c r="BV200" s="80" t="str">
        <f>IF(BF200="Approved",IF(ISNUMBER(T200),INT(T200),INT(B200)),"")</f>
        <v/>
      </c>
      <c r="BW200" s="80">
        <f>IF(ISNUMBER(B200),IF(DB_MON="Todos",1,IF(AND(INT(B200)&gt;=DB_MS,INT(B200)&lt;=DB_ME),1,0)),0)</f>
        <v>0</v>
      </c>
      <c r="BX200" s="80">
        <f>IF(DB_PROJ="Todos",1,IF(E200&amp;""=DB_PROJ&amp;"",1,0))</f>
        <v>1</v>
      </c>
      <c r="BY200" s="80">
        <f>BW200*BX200</f>
        <v>0</v>
      </c>
      <c r="BZ200" s="80" t="str">
        <f>IF(Y200=1,F200&amp;IF(AND(F200&amp;""&lt;&gt;"",E200&amp;""&lt;&gt;"")," · ","")&amp;E200,"")</f>
        <v/>
      </c>
      <c r="CA200" s="80" t="str">
        <f>IF(AND(BD200=1,E200&amp;""&lt;&gt;""),IF(COUNTIFS($E$5:E199,E200,$BD$5:BD199,1)=0,MAX($CA$5:CA199)+1,""),"")</f>
        <v/>
      </c>
      <c r="CB200" s="80" t="str">
        <f>IF(AND(BE200=1,D200="Malcolm",E200&amp;""&lt;&gt;""),IF(COUNTIFS($D$5:D199,"Malcolm",$E$5:E199,E200,$BE$5:BE199,1)=0,MAX($CB$5:CB199)+1,""),"")</f>
        <v/>
      </c>
      <c r="CC200" s="80" t="str">
        <f>IF(AND(BD200=1,D200="proMX",E200&amp;""&lt;&gt;""),IF(COUNTIFS($D$5:D199,"proMX",$E$5:E199,E200,$BD$5:BD199,1)=0,MAX($CC$5:CC199)+1,""),"")</f>
        <v/>
      </c>
      <c r="CD200" s="80" t="str">
        <f>IF(AND(BE200=1,D200="Malcolm",F200&amp;""&lt;&gt;""),IF(COUNTIFS($D$5:D199,"Malcolm",$F$5:F199,F200,$BE$5:BE199,1)=0,MAX($CD$5:CD199)+1,""),"")</f>
        <v/>
      </c>
      <c r="CE200" s="80" t="str">
        <f>IF(AND(BD200=1,D200="proMX",F200&amp;""&lt;&gt;""),IF(COUNTIFS($D$5:D199,"proMX",$F$5:F199,F200,$BD$5:BD199,1)=0,MAX($CE$5:CE199)+1,""),"")</f>
        <v/>
      </c>
      <c r="CF200" s="80" t="str">
        <f>IF(AND(D200="proMX",BD200=1),IF(OR(BF200="Draft",BF200="Submitted",BF200="Returned",BF200="Recall Requested"),MAX($CF$5:CF199)+1,""),"")</f>
        <v/>
      </c>
      <c r="CG200" s="80">
        <f>IF(BD200=0,0,IF(D200="Malcolm",1,MATCH(BF200,{"Draft","Submitted","Approved","Returned","Recall Requested","Cancelled"},0)+1))</f>
        <v>0</v>
      </c>
      <c r="CH200" s="80">
        <f>IF(AND(BF200="Submitted",ISNUMBER(V200)),IF(V200&gt;CFG_MAXD,1,0),0)</f>
        <v>0</v>
      </c>
    </row>
    <row r="201">
      <c r="A201" s="71" t="str">
        <f>IF(Y201=1,ROW()-5,"")</f>
        <v/>
      </c>
      <c r="B201" s="72" t="n"/>
      <c r="C201" s="71" t="str">
        <f>IF(ISNUMBER(B201),CHOOSE(WEEKDAY(B201,2),"Lun","Mar","Mié","Jue","Vie","Sáb","Dom"),"")</f>
        <v/>
      </c>
      <c r="D201" s="73" t="n"/>
      <c r="E201" s="74" t="n"/>
      <c r="F201" s="74" t="n"/>
      <c r="G201" s="74" t="n"/>
      <c r="H201" s="75" t="n"/>
      <c r="I201" s="75" t="n"/>
      <c r="J201" s="76" t="n"/>
      <c r="K201" s="77" t="str">
        <f>IF(AB201=1,ROUND(AG201/60,4),"")</f>
        <v/>
      </c>
      <c r="L201" s="77" t="str">
        <f>IF(BD201=1,ROUND(AP201/60,4),"")</f>
        <v/>
      </c>
      <c r="M201" s="77" t="str">
        <f>IF(BD201=1,ROUND(AQ201/60,4),"")</f>
        <v/>
      </c>
      <c r="N201" s="71" t="str">
        <f>IF(AND(D201="proMX",AB201=1),ROUND(AG201/CFG_BLK,2),"")</f>
        <v/>
      </c>
      <c r="O201" s="77" t="str">
        <f>IF(D201="proMX",IF(BD201=1,ROUND(AG201/60,4),0),"")</f>
        <v/>
      </c>
      <c r="P201" s="78" t="str">
        <f>IF(Y201=0,"",IF(BD201=1,"OK",IF(D201="proMX","Revisar bloques: ","Revisar: ")&amp;BC201))</f>
        <v/>
      </c>
      <c r="Q201" s="78" t="str">
        <f>IF(NOT(ISNUMBER(B201)),"",IF(COUNTIFS(FER_F,INT(B201))&gt;0,"Feriado"&amp;IF(AH201=1," (laborable)"," (no laborable)"),IF(AH201=1,"Laborable",IF(WEEKDAY(B201,2)&gt;5,"Fin de semana","No laborable"))))</f>
        <v/>
      </c>
      <c r="R201" s="73" t="n"/>
      <c r="S201" s="72" t="n"/>
      <c r="T201" s="72" t="n"/>
      <c r="U201" s="74" t="n"/>
      <c r="V201" s="79" t="str">
        <f>IF(AND(D201="proMX",OR(R201="Submitted",R201="Recall Requested"),ISNUMBER(S201)),CFG_TODAY-INT(S201),"")</f>
        <v/>
      </c>
      <c r="W201" s="78" t="str">
        <f>IF(BD201=0,"",IF(BA201&gt;0,"⚠ Se superpone con un registro de la otra empresa",IF(D201="Malcolm",IF(COUNTA(R201,S201,T201)&gt;0,"Estado/fechas proMX se ignoran en Malcolm",""),IF(BF201="Cancelled","Cancelado: excluido de totales",IF(R201="","Sin estado: se trata como Draft",IF(BF201="Submitted",IF(ISNUMBER(V201),IF(V201&gt;CFG_MAXD,"⚠ "&amp;V201&amp;" días en Submitted (máx. "&amp;CFG_MAXD&amp;")",""),"Falta fecha de envío"),IF(BF201="Returned","⚠ Devuelto: corregir y reenviar",IF(BF201="Recall Requested","Retirada solicitada: pendiente",IF(AND(BF201="Approved",NOT(ISNUMBER(T201))),"Falta fecha de aprobación",IF(AND(ISNUMBER(S201),ISNUMBER(T201),T201&lt;S201),"Aprobación anterior al envío","")))))))))</f>
        <v/>
      </c>
      <c r="Y201" s="80">
        <f>IF(COUNTA(B201,D201,E201,F201,G201,H201,I201,J201,R201,S201,T201)&gt;0,1,0)</f>
        <v>0</v>
      </c>
      <c r="Z201" s="80" t="str">
        <f>IF(AND(ISNUMBER(H201),H201&gt;=0,H201&lt;1),ROUND(H201*1440,0),"")</f>
        <v/>
      </c>
      <c r="AA201" s="80" t="str">
        <f>IF(AND(ISNUMBER(I201),I201&gt;=0,I201&lt;1),ROUND(I201*1440,0),"")</f>
        <v/>
      </c>
      <c r="AB201" s="80">
        <f>IF(AND(ISNUMBER(B201),D201&lt;&gt;"",ISNUMBER(Z201),ISNUMBER(AA201)),IF(Z201=AA201,0,1),0)</f>
        <v>0</v>
      </c>
      <c r="AC201" s="80">
        <f>IF(AB201=1,IF(AA201&lt;Z201,1,0),0)</f>
        <v>0</v>
      </c>
      <c r="AD201" s="80">
        <f>IF(AB201=1,IF(AC201=1,1440-Z201+AA201,AA201-Z201),0)</f>
        <v>0</v>
      </c>
      <c r="AE201" s="80">
        <f>IF(J201="",0,IF(ISNUMBER(J201),J201,-1))</f>
        <v>0</v>
      </c>
      <c r="AF201" s="80">
        <f>MIN(MAX(0,AE201),AD201)</f>
        <v>0</v>
      </c>
      <c r="AG201" s="80">
        <f>MAX(0,AD201-MAX(0,AE201))</f>
        <v>0</v>
      </c>
      <c r="AH201" s="80">
        <f>IF(ISNUMBER(B201),IF(AND(INDEX(CFG_WDAYS,WEEKDAY(INT(B201),2))="Sí",IF(D201="proMX",COUNTIFS(FER_F,INT(B201),FER_NLP,"Sí"),COUNTIFS(FER_F,INT(B201),FER_NLM,"Sí"))=0),1,0),0)</f>
        <v>0</v>
      </c>
      <c r="AI201" s="80">
        <f>IF(AC201=1,IF(AND(INDEX(CFG_WDAYS,WEEKDAY(INT(B201)+1,2))="Sí",IF(D201="proMX",COUNTIFS(FER_F,INT(B201)+1,FER_NLP,"Sí"),COUNTIFS(FER_F,INT(B201)+1,FER_NLM,"Sí"))=0),1,0),0)</f>
        <v>0</v>
      </c>
      <c r="AJ201" s="80">
        <f>IF(AC201=1,1440-Z201,AD201)</f>
        <v>0</v>
      </c>
      <c r="AK201" s="80">
        <f>IF(AND(AB201=1,AH201=1),MAX(0,MIN(IF(AC201=1,1440,AA201),CFG_WEM)-MAX(Z201,CFG_WSM)),0)</f>
        <v>0</v>
      </c>
      <c r="AL201" s="80">
        <f>IF(AND(AC201=1,AI201=1),MAX(0,MIN(AA201,CFG_WEM)-CFG_WSM),0)</f>
        <v>0</v>
      </c>
      <c r="AM201" s="80">
        <f>AK201+AL201</f>
        <v>0</v>
      </c>
      <c r="AN201" s="80">
        <f>IF(CFG_BRK="Proporcional",IF(AD201=0,0,AF201*AM201/AD201),IF(CFG_BRK="Extras primero",MIN(AM201,MAX(0,AF201-(AD201-AM201))),MIN(AF201,AM201)))</f>
        <v>0</v>
      </c>
      <c r="AO201" s="80">
        <f>AF201-AN201</f>
        <v>0</v>
      </c>
      <c r="AP201" s="80">
        <f>AM201-AN201</f>
        <v>0</v>
      </c>
      <c r="AQ201" s="80">
        <f>AD201-AM201-AO201</f>
        <v>0</v>
      </c>
      <c r="AR201" s="80">
        <f>IF(AM201=0,0,AK201-AN201*AK201/AM201)</f>
        <v>0</v>
      </c>
      <c r="AS201" s="80">
        <f>IF(AD201-AM201=0,0,(AJ201-AK201)-AO201*(AJ201-AK201)/(AD201-AM201))</f>
        <v>0</v>
      </c>
      <c r="AT201" s="80" t="str">
        <f>IF(AC201=1,INT(B201)+1,"")</f>
        <v/>
      </c>
      <c r="AU201" s="80">
        <f>IF(AND(D201="proMX",R201="Cancelled"),0,1)</f>
        <v>1</v>
      </c>
      <c r="AV201" s="80">
        <f>IF(AND(AB201=1,AU201=1),IF(COUNTIFS($D$5:D200,D201,$B$5:B200,B201,$Z$5:Z200,Z201,$AA$5:AA200,AA201,$F$5:F200,F201&amp;"",$AU$5:AU200,1)&gt;0,1,0),0)</f>
        <v>0</v>
      </c>
      <c r="AW201" s="80" t="str">
        <f>IF(AB201=1,INT(B201)*1440+Z201,"")</f>
        <v/>
      </c>
      <c r="AX201" s="80" t="str">
        <f>IF(AB201=1,AW201+AD201,"")</f>
        <v/>
      </c>
      <c r="AY201" s="80">
        <f>IF(AND(AB201=1,AV201=0,AU201=1),1,0)</f>
        <v>0</v>
      </c>
      <c r="AZ201" s="80">
        <f>IF(AY201=1,COUNTIFS(R_Emp,D201,R_SAbs,"&lt;"&amp;AX201,R_EAbs,"&gt;"&amp;AW201,R_OKey,1)-1,0)</f>
        <v>0</v>
      </c>
      <c r="BA201" s="80">
        <f>IF(AY201=1,COUNTIFS(R_Emp,"&lt;&gt;"&amp;D201,R_SAbs,"&lt;"&amp;AX201,R_EAbs,"&gt;"&amp;AW201,R_OKey,1),0)</f>
        <v>0</v>
      </c>
      <c r="BB201" s="80">
        <f>IF(AND(AB201=1,D201="proMX"),IF(AND(MOD(Z201,CFG_BLK)=0,MOD(AA201,CFG_BLK)=0,MOD(AG201,CFG_BLK)=0,AG201&gt;0),1,0),1)</f>
        <v>1</v>
      </c>
      <c r="BC201" s="80" t="str">
        <f>IF(Y201=0,"",IF(NOT(ISNUMBER(B201)),"Falta fecha o fecha inválida",IF(D201="","Falta empresa",IF(AND(D201&lt;&gt;"Malcolm",D201&lt;&gt;"proMX"),"Empresa inválida",IF(OR(INT(B201)&lt;CFG_PSTART,INT(B201)&gt;CFG_PEND),"Fecha fuera del período",IF(OR(NOT(ISNUMBER(Z201)),NOT(ISNUMBER(AA201))),"Falta hora inicio/fin o formato inválido",IF(AB201=0,"Hora inicio = hora fin",IF(AE201&lt;0,"Descanso inválido",IF(AE201&gt;=AD201,"Descanso ≥ duración",IF(AV201=1,"Registro duplicado",IF(AZ201&gt;0,"Se superpone con otro registro "&amp;D201,IF(BB201=0,"inicio, fin y duración neta deben ser múltiplos de "&amp;CFG_BLK&amp;" min",""))))))))))))</f>
        <v/>
      </c>
      <c r="BD201" s="80">
        <f>IF(AND(Y201=1,BC201=""),1,0)</f>
        <v>0</v>
      </c>
      <c r="BE201" s="80">
        <f>IF(AND(BD201=1,AU201=1),1,0)</f>
        <v>0</v>
      </c>
      <c r="BF201" s="80" t="str">
        <f>IF(AND(D201="proMX",BD201=1),IF(R201="","Draft",R201),"")</f>
        <v/>
      </c>
      <c r="BG201" s="80">
        <f>IF(BD201=1,ROUND(AG201/60,6),0)</f>
        <v>0</v>
      </c>
      <c r="BH201" s="80">
        <f>IF(BE201=1,ROUND(AG201/60,6),0)</f>
        <v>0</v>
      </c>
      <c r="BI201" s="80">
        <f>IF(BE201=1,ROUND(AP201/60,6),0)</f>
        <v>0</v>
      </c>
      <c r="BJ201" s="80">
        <f>IF(BE201=1,ROUND(AQ201/60,6),0)</f>
        <v>0</v>
      </c>
      <c r="BK201" s="80">
        <f>IF(BE201=1,ROUND((AR201+AS201)/60,6),0)</f>
        <v>0</v>
      </c>
      <c r="BL201" s="80">
        <f>ROUND(BH201-BK201,6)</f>
        <v>0</v>
      </c>
      <c r="BM201" s="80">
        <f>IF(BE201=1,ROUND(AR201/60,6),0)</f>
        <v>0</v>
      </c>
      <c r="BN201" s="80">
        <f>ROUND(BI201-BM201,6)</f>
        <v>0</v>
      </c>
      <c r="BO201" s="80">
        <f>IF(BE201=1,ROUND(AS201/60,6),0)</f>
        <v>0</v>
      </c>
      <c r="BP201" s="80">
        <f>ROUND(BJ201-BO201,6)</f>
        <v>0</v>
      </c>
      <c r="BQ201" s="80">
        <f>IF(BE201=1,AW201,0)</f>
        <v>0</v>
      </c>
      <c r="BR201" s="80">
        <f>IF(BE201=1,AX201,0)</f>
        <v>0</v>
      </c>
      <c r="BS201" s="80">
        <f>IF(AND(BE201=1,D201="Malcolm",BA201&gt;0),MIN(BH201,SUMPRODUCT((R_Emp="proMX")*(R_EN&gt;0)*((R_EN-(R_EN&gt;BR201)*(R_EN-BR201))&gt;(R_SN+(R_SN&lt;BQ201)*(BQ201-R_SN)))*((R_EN-(R_EN&gt;BR201)*(R_EN-BR201))-(R_SN+(R_SN&lt;BQ201)*(BQ201-R_SN))))/60),0)</f>
        <v>0</v>
      </c>
      <c r="BT201" s="80">
        <f>IF(AND(BE201=1,D201="proMX"),ROUND(BI201*CFG_RATE+BJ201*CFG_OTRATE,6),0)</f>
        <v>0</v>
      </c>
      <c r="BU201" s="80">
        <f>IF(AND(BD201=1,D201="proMX"),ROUND(AG201/CFG_BLK,6),0)</f>
        <v>0</v>
      </c>
      <c r="BV201" s="80" t="str">
        <f>IF(BF201="Approved",IF(ISNUMBER(T201),INT(T201),INT(B201)),"")</f>
        <v/>
      </c>
      <c r="BW201" s="80">
        <f>IF(ISNUMBER(B201),IF(DB_MON="Todos",1,IF(AND(INT(B201)&gt;=DB_MS,INT(B201)&lt;=DB_ME),1,0)),0)</f>
        <v>0</v>
      </c>
      <c r="BX201" s="80">
        <f>IF(DB_PROJ="Todos",1,IF(E201&amp;""=DB_PROJ&amp;"",1,0))</f>
        <v>1</v>
      </c>
      <c r="BY201" s="80">
        <f>BW201*BX201</f>
        <v>0</v>
      </c>
      <c r="BZ201" s="80" t="str">
        <f>IF(Y201=1,F201&amp;IF(AND(F201&amp;""&lt;&gt;"",E201&amp;""&lt;&gt;"")," · ","")&amp;E201,"")</f>
        <v/>
      </c>
      <c r="CA201" s="80" t="str">
        <f>IF(AND(BD201=1,E201&amp;""&lt;&gt;""),IF(COUNTIFS($E$5:E200,E201,$BD$5:BD200,1)=0,MAX($CA$5:CA200)+1,""),"")</f>
        <v/>
      </c>
      <c r="CB201" s="80" t="str">
        <f>IF(AND(BE201=1,D201="Malcolm",E201&amp;""&lt;&gt;""),IF(COUNTIFS($D$5:D200,"Malcolm",$E$5:E200,E201,$BE$5:BE200,1)=0,MAX($CB$5:CB200)+1,""),"")</f>
        <v/>
      </c>
      <c r="CC201" s="80" t="str">
        <f>IF(AND(BD201=1,D201="proMX",E201&amp;""&lt;&gt;""),IF(COUNTIFS($D$5:D200,"proMX",$E$5:E200,E201,$BD$5:BD200,1)=0,MAX($CC$5:CC200)+1,""),"")</f>
        <v/>
      </c>
      <c r="CD201" s="80" t="str">
        <f>IF(AND(BE201=1,D201="Malcolm",F201&amp;""&lt;&gt;""),IF(COUNTIFS($D$5:D200,"Malcolm",$F$5:F200,F201,$BE$5:BE200,1)=0,MAX($CD$5:CD200)+1,""),"")</f>
        <v/>
      </c>
      <c r="CE201" s="80" t="str">
        <f>IF(AND(BD201=1,D201="proMX",F201&amp;""&lt;&gt;""),IF(COUNTIFS($D$5:D200,"proMX",$F$5:F200,F201,$BD$5:BD200,1)=0,MAX($CE$5:CE200)+1,""),"")</f>
        <v/>
      </c>
      <c r="CF201" s="80" t="str">
        <f>IF(AND(D201="proMX",BD201=1),IF(OR(BF201="Draft",BF201="Submitted",BF201="Returned",BF201="Recall Requested"),MAX($CF$5:CF200)+1,""),"")</f>
        <v/>
      </c>
      <c r="CG201" s="80">
        <f>IF(BD201=0,0,IF(D201="Malcolm",1,MATCH(BF201,{"Draft","Submitted","Approved","Returned","Recall Requested","Cancelled"},0)+1))</f>
        <v>0</v>
      </c>
      <c r="CH201" s="80">
        <f>IF(AND(BF201="Submitted",ISNUMBER(V201)),IF(V201&gt;CFG_MAXD,1,0),0)</f>
        <v>0</v>
      </c>
    </row>
    <row r="202">
      <c r="A202" s="71" t="str">
        <f>IF(Y202=1,ROW()-5,"")</f>
        <v/>
      </c>
      <c r="B202" s="72" t="n"/>
      <c r="C202" s="71" t="str">
        <f>IF(ISNUMBER(B202),CHOOSE(WEEKDAY(B202,2),"Lun","Mar","Mié","Jue","Vie","Sáb","Dom"),"")</f>
        <v/>
      </c>
      <c r="D202" s="73" t="n"/>
      <c r="E202" s="74" t="n"/>
      <c r="F202" s="74" t="n"/>
      <c r="G202" s="74" t="n"/>
      <c r="H202" s="75" t="n"/>
      <c r="I202" s="75" t="n"/>
      <c r="J202" s="76" t="n"/>
      <c r="K202" s="77" t="str">
        <f>IF(AB202=1,ROUND(AG202/60,4),"")</f>
        <v/>
      </c>
      <c r="L202" s="77" t="str">
        <f>IF(BD202=1,ROUND(AP202/60,4),"")</f>
        <v/>
      </c>
      <c r="M202" s="77" t="str">
        <f>IF(BD202=1,ROUND(AQ202/60,4),"")</f>
        <v/>
      </c>
      <c r="N202" s="71" t="str">
        <f>IF(AND(D202="proMX",AB202=1),ROUND(AG202/CFG_BLK,2),"")</f>
        <v/>
      </c>
      <c r="O202" s="77" t="str">
        <f>IF(D202="proMX",IF(BD202=1,ROUND(AG202/60,4),0),"")</f>
        <v/>
      </c>
      <c r="P202" s="78" t="str">
        <f>IF(Y202=0,"",IF(BD202=1,"OK",IF(D202="proMX","Revisar bloques: ","Revisar: ")&amp;BC202))</f>
        <v/>
      </c>
      <c r="Q202" s="78" t="str">
        <f>IF(NOT(ISNUMBER(B202)),"",IF(COUNTIFS(FER_F,INT(B202))&gt;0,"Feriado"&amp;IF(AH202=1," (laborable)"," (no laborable)"),IF(AH202=1,"Laborable",IF(WEEKDAY(B202,2)&gt;5,"Fin de semana","No laborable"))))</f>
        <v/>
      </c>
      <c r="R202" s="73" t="n"/>
      <c r="S202" s="72" t="n"/>
      <c r="T202" s="72" t="n"/>
      <c r="U202" s="74" t="n"/>
      <c r="V202" s="79" t="str">
        <f>IF(AND(D202="proMX",OR(R202="Submitted",R202="Recall Requested"),ISNUMBER(S202)),CFG_TODAY-INT(S202),"")</f>
        <v/>
      </c>
      <c r="W202" s="78" t="str">
        <f>IF(BD202=0,"",IF(BA202&gt;0,"⚠ Se superpone con un registro de la otra empresa",IF(D202="Malcolm",IF(COUNTA(R202,S202,T202)&gt;0,"Estado/fechas proMX se ignoran en Malcolm",""),IF(BF202="Cancelled","Cancelado: excluido de totales",IF(R202="","Sin estado: se trata como Draft",IF(BF202="Submitted",IF(ISNUMBER(V202),IF(V202&gt;CFG_MAXD,"⚠ "&amp;V202&amp;" días en Submitted (máx. "&amp;CFG_MAXD&amp;")",""),"Falta fecha de envío"),IF(BF202="Returned","⚠ Devuelto: corregir y reenviar",IF(BF202="Recall Requested","Retirada solicitada: pendiente",IF(AND(BF202="Approved",NOT(ISNUMBER(T202))),"Falta fecha de aprobación",IF(AND(ISNUMBER(S202),ISNUMBER(T202),T202&lt;S202),"Aprobación anterior al envío","")))))))))</f>
        <v/>
      </c>
      <c r="Y202" s="80">
        <f>IF(COUNTA(B202,D202,E202,F202,G202,H202,I202,J202,R202,S202,T202)&gt;0,1,0)</f>
        <v>0</v>
      </c>
      <c r="Z202" s="80" t="str">
        <f>IF(AND(ISNUMBER(H202),H202&gt;=0,H202&lt;1),ROUND(H202*1440,0),"")</f>
        <v/>
      </c>
      <c r="AA202" s="80" t="str">
        <f>IF(AND(ISNUMBER(I202),I202&gt;=0,I202&lt;1),ROUND(I202*1440,0),"")</f>
        <v/>
      </c>
      <c r="AB202" s="80">
        <f>IF(AND(ISNUMBER(B202),D202&lt;&gt;"",ISNUMBER(Z202),ISNUMBER(AA202)),IF(Z202=AA202,0,1),0)</f>
        <v>0</v>
      </c>
      <c r="AC202" s="80">
        <f>IF(AB202=1,IF(AA202&lt;Z202,1,0),0)</f>
        <v>0</v>
      </c>
      <c r="AD202" s="80">
        <f>IF(AB202=1,IF(AC202=1,1440-Z202+AA202,AA202-Z202),0)</f>
        <v>0</v>
      </c>
      <c r="AE202" s="80">
        <f>IF(J202="",0,IF(ISNUMBER(J202),J202,-1))</f>
        <v>0</v>
      </c>
      <c r="AF202" s="80">
        <f>MIN(MAX(0,AE202),AD202)</f>
        <v>0</v>
      </c>
      <c r="AG202" s="80">
        <f>MAX(0,AD202-MAX(0,AE202))</f>
        <v>0</v>
      </c>
      <c r="AH202" s="80">
        <f>IF(ISNUMBER(B202),IF(AND(INDEX(CFG_WDAYS,WEEKDAY(INT(B202),2))="Sí",IF(D202="proMX",COUNTIFS(FER_F,INT(B202),FER_NLP,"Sí"),COUNTIFS(FER_F,INT(B202),FER_NLM,"Sí"))=0),1,0),0)</f>
        <v>0</v>
      </c>
      <c r="AI202" s="80">
        <f>IF(AC202=1,IF(AND(INDEX(CFG_WDAYS,WEEKDAY(INT(B202)+1,2))="Sí",IF(D202="proMX",COUNTIFS(FER_F,INT(B202)+1,FER_NLP,"Sí"),COUNTIFS(FER_F,INT(B202)+1,FER_NLM,"Sí"))=0),1,0),0)</f>
        <v>0</v>
      </c>
      <c r="AJ202" s="80">
        <f>IF(AC202=1,1440-Z202,AD202)</f>
        <v>0</v>
      </c>
      <c r="AK202" s="80">
        <f>IF(AND(AB202=1,AH202=1),MAX(0,MIN(IF(AC202=1,1440,AA202),CFG_WEM)-MAX(Z202,CFG_WSM)),0)</f>
        <v>0</v>
      </c>
      <c r="AL202" s="80">
        <f>IF(AND(AC202=1,AI202=1),MAX(0,MIN(AA202,CFG_WEM)-CFG_WSM),0)</f>
        <v>0</v>
      </c>
      <c r="AM202" s="80">
        <f>AK202+AL202</f>
        <v>0</v>
      </c>
      <c r="AN202" s="80">
        <f>IF(CFG_BRK="Proporcional",IF(AD202=0,0,AF202*AM202/AD202),IF(CFG_BRK="Extras primero",MIN(AM202,MAX(0,AF202-(AD202-AM202))),MIN(AF202,AM202)))</f>
        <v>0</v>
      </c>
      <c r="AO202" s="80">
        <f>AF202-AN202</f>
        <v>0</v>
      </c>
      <c r="AP202" s="80">
        <f>AM202-AN202</f>
        <v>0</v>
      </c>
      <c r="AQ202" s="80">
        <f>AD202-AM202-AO202</f>
        <v>0</v>
      </c>
      <c r="AR202" s="80">
        <f>IF(AM202=0,0,AK202-AN202*AK202/AM202)</f>
        <v>0</v>
      </c>
      <c r="AS202" s="80">
        <f>IF(AD202-AM202=0,0,(AJ202-AK202)-AO202*(AJ202-AK202)/(AD202-AM202))</f>
        <v>0</v>
      </c>
      <c r="AT202" s="80" t="str">
        <f>IF(AC202=1,INT(B202)+1,"")</f>
        <v/>
      </c>
      <c r="AU202" s="80">
        <f>IF(AND(D202="proMX",R202="Cancelled"),0,1)</f>
        <v>1</v>
      </c>
      <c r="AV202" s="80">
        <f>IF(AND(AB202=1,AU202=1),IF(COUNTIFS($D$5:D201,D202,$B$5:B201,B202,$Z$5:Z201,Z202,$AA$5:AA201,AA202,$F$5:F201,F202&amp;"",$AU$5:AU201,1)&gt;0,1,0),0)</f>
        <v>0</v>
      </c>
      <c r="AW202" s="80" t="str">
        <f>IF(AB202=1,INT(B202)*1440+Z202,"")</f>
        <v/>
      </c>
      <c r="AX202" s="80" t="str">
        <f>IF(AB202=1,AW202+AD202,"")</f>
        <v/>
      </c>
      <c r="AY202" s="80">
        <f>IF(AND(AB202=1,AV202=0,AU202=1),1,0)</f>
        <v>0</v>
      </c>
      <c r="AZ202" s="80">
        <f>IF(AY202=1,COUNTIFS(R_Emp,D202,R_SAbs,"&lt;"&amp;AX202,R_EAbs,"&gt;"&amp;AW202,R_OKey,1)-1,0)</f>
        <v>0</v>
      </c>
      <c r="BA202" s="80">
        <f>IF(AY202=1,COUNTIFS(R_Emp,"&lt;&gt;"&amp;D202,R_SAbs,"&lt;"&amp;AX202,R_EAbs,"&gt;"&amp;AW202,R_OKey,1),0)</f>
        <v>0</v>
      </c>
      <c r="BB202" s="80">
        <f>IF(AND(AB202=1,D202="proMX"),IF(AND(MOD(Z202,CFG_BLK)=0,MOD(AA202,CFG_BLK)=0,MOD(AG202,CFG_BLK)=0,AG202&gt;0),1,0),1)</f>
        <v>1</v>
      </c>
      <c r="BC202" s="80" t="str">
        <f>IF(Y202=0,"",IF(NOT(ISNUMBER(B202)),"Falta fecha o fecha inválida",IF(D202="","Falta empresa",IF(AND(D202&lt;&gt;"Malcolm",D202&lt;&gt;"proMX"),"Empresa inválida",IF(OR(INT(B202)&lt;CFG_PSTART,INT(B202)&gt;CFG_PEND),"Fecha fuera del período",IF(OR(NOT(ISNUMBER(Z202)),NOT(ISNUMBER(AA202))),"Falta hora inicio/fin o formato inválido",IF(AB202=0,"Hora inicio = hora fin",IF(AE202&lt;0,"Descanso inválido",IF(AE202&gt;=AD202,"Descanso ≥ duración",IF(AV202=1,"Registro duplicado",IF(AZ202&gt;0,"Se superpone con otro registro "&amp;D202,IF(BB202=0,"inicio, fin y duración neta deben ser múltiplos de "&amp;CFG_BLK&amp;" min",""))))))))))))</f>
        <v/>
      </c>
      <c r="BD202" s="80">
        <f>IF(AND(Y202=1,BC202=""),1,0)</f>
        <v>0</v>
      </c>
      <c r="BE202" s="80">
        <f>IF(AND(BD202=1,AU202=1),1,0)</f>
        <v>0</v>
      </c>
      <c r="BF202" s="80" t="str">
        <f>IF(AND(D202="proMX",BD202=1),IF(R202="","Draft",R202),"")</f>
        <v/>
      </c>
      <c r="BG202" s="80">
        <f>IF(BD202=1,ROUND(AG202/60,6),0)</f>
        <v>0</v>
      </c>
      <c r="BH202" s="80">
        <f>IF(BE202=1,ROUND(AG202/60,6),0)</f>
        <v>0</v>
      </c>
      <c r="BI202" s="80">
        <f>IF(BE202=1,ROUND(AP202/60,6),0)</f>
        <v>0</v>
      </c>
      <c r="BJ202" s="80">
        <f>IF(BE202=1,ROUND(AQ202/60,6),0)</f>
        <v>0</v>
      </c>
      <c r="BK202" s="80">
        <f>IF(BE202=1,ROUND((AR202+AS202)/60,6),0)</f>
        <v>0</v>
      </c>
      <c r="BL202" s="80">
        <f>ROUND(BH202-BK202,6)</f>
        <v>0</v>
      </c>
      <c r="BM202" s="80">
        <f>IF(BE202=1,ROUND(AR202/60,6),0)</f>
        <v>0</v>
      </c>
      <c r="BN202" s="80">
        <f>ROUND(BI202-BM202,6)</f>
        <v>0</v>
      </c>
      <c r="BO202" s="80">
        <f>IF(BE202=1,ROUND(AS202/60,6),0)</f>
        <v>0</v>
      </c>
      <c r="BP202" s="80">
        <f>ROUND(BJ202-BO202,6)</f>
        <v>0</v>
      </c>
      <c r="BQ202" s="80">
        <f>IF(BE202=1,AW202,0)</f>
        <v>0</v>
      </c>
      <c r="BR202" s="80">
        <f>IF(BE202=1,AX202,0)</f>
        <v>0</v>
      </c>
      <c r="BS202" s="80">
        <f>IF(AND(BE202=1,D202="Malcolm",BA202&gt;0),MIN(BH202,SUMPRODUCT((R_Emp="proMX")*(R_EN&gt;0)*((R_EN-(R_EN&gt;BR202)*(R_EN-BR202))&gt;(R_SN+(R_SN&lt;BQ202)*(BQ202-R_SN)))*((R_EN-(R_EN&gt;BR202)*(R_EN-BR202))-(R_SN+(R_SN&lt;BQ202)*(BQ202-R_SN))))/60),0)</f>
        <v>0</v>
      </c>
      <c r="BT202" s="80">
        <f>IF(AND(BE202=1,D202="proMX"),ROUND(BI202*CFG_RATE+BJ202*CFG_OTRATE,6),0)</f>
        <v>0</v>
      </c>
      <c r="BU202" s="80">
        <f>IF(AND(BD202=1,D202="proMX"),ROUND(AG202/CFG_BLK,6),0)</f>
        <v>0</v>
      </c>
      <c r="BV202" s="80" t="str">
        <f>IF(BF202="Approved",IF(ISNUMBER(T202),INT(T202),INT(B202)),"")</f>
        <v/>
      </c>
      <c r="BW202" s="80">
        <f>IF(ISNUMBER(B202),IF(DB_MON="Todos",1,IF(AND(INT(B202)&gt;=DB_MS,INT(B202)&lt;=DB_ME),1,0)),0)</f>
        <v>0</v>
      </c>
      <c r="BX202" s="80">
        <f>IF(DB_PROJ="Todos",1,IF(E202&amp;""=DB_PROJ&amp;"",1,0))</f>
        <v>1</v>
      </c>
      <c r="BY202" s="80">
        <f>BW202*BX202</f>
        <v>0</v>
      </c>
      <c r="BZ202" s="80" t="str">
        <f>IF(Y202=1,F202&amp;IF(AND(F202&amp;""&lt;&gt;"",E202&amp;""&lt;&gt;"")," · ","")&amp;E202,"")</f>
        <v/>
      </c>
      <c r="CA202" s="80" t="str">
        <f>IF(AND(BD202=1,E202&amp;""&lt;&gt;""),IF(COUNTIFS($E$5:E201,E202,$BD$5:BD201,1)=0,MAX($CA$5:CA201)+1,""),"")</f>
        <v/>
      </c>
      <c r="CB202" s="80" t="str">
        <f>IF(AND(BE202=1,D202="Malcolm",E202&amp;""&lt;&gt;""),IF(COUNTIFS($D$5:D201,"Malcolm",$E$5:E201,E202,$BE$5:BE201,1)=0,MAX($CB$5:CB201)+1,""),"")</f>
        <v/>
      </c>
      <c r="CC202" s="80" t="str">
        <f>IF(AND(BD202=1,D202="proMX",E202&amp;""&lt;&gt;""),IF(COUNTIFS($D$5:D201,"proMX",$E$5:E201,E202,$BD$5:BD201,1)=0,MAX($CC$5:CC201)+1,""),"")</f>
        <v/>
      </c>
      <c r="CD202" s="80" t="str">
        <f>IF(AND(BE202=1,D202="Malcolm",F202&amp;""&lt;&gt;""),IF(COUNTIFS($D$5:D201,"Malcolm",$F$5:F201,F202,$BE$5:BE201,1)=0,MAX($CD$5:CD201)+1,""),"")</f>
        <v/>
      </c>
      <c r="CE202" s="80" t="str">
        <f>IF(AND(BD202=1,D202="proMX",F202&amp;""&lt;&gt;""),IF(COUNTIFS($D$5:D201,"proMX",$F$5:F201,F202,$BD$5:BD201,1)=0,MAX($CE$5:CE201)+1,""),"")</f>
        <v/>
      </c>
      <c r="CF202" s="80" t="str">
        <f>IF(AND(D202="proMX",BD202=1),IF(OR(BF202="Draft",BF202="Submitted",BF202="Returned",BF202="Recall Requested"),MAX($CF$5:CF201)+1,""),"")</f>
        <v/>
      </c>
      <c r="CG202" s="80">
        <f>IF(BD202=0,0,IF(D202="Malcolm",1,MATCH(BF202,{"Draft","Submitted","Approved","Returned","Recall Requested","Cancelled"},0)+1))</f>
        <v>0</v>
      </c>
      <c r="CH202" s="80">
        <f>IF(AND(BF202="Submitted",ISNUMBER(V202)),IF(V202&gt;CFG_MAXD,1,0),0)</f>
        <v>0</v>
      </c>
    </row>
    <row r="203">
      <c r="A203" s="71" t="str">
        <f>IF(Y203=1,ROW()-5,"")</f>
        <v/>
      </c>
      <c r="B203" s="72" t="n"/>
      <c r="C203" s="71" t="str">
        <f>IF(ISNUMBER(B203),CHOOSE(WEEKDAY(B203,2),"Lun","Mar","Mié","Jue","Vie","Sáb","Dom"),"")</f>
        <v/>
      </c>
      <c r="D203" s="73" t="n"/>
      <c r="E203" s="74" t="n"/>
      <c r="F203" s="74" t="n"/>
      <c r="G203" s="74" t="n"/>
      <c r="H203" s="75" t="n"/>
      <c r="I203" s="75" t="n"/>
      <c r="J203" s="76" t="n"/>
      <c r="K203" s="77" t="str">
        <f>IF(AB203=1,ROUND(AG203/60,4),"")</f>
        <v/>
      </c>
      <c r="L203" s="77" t="str">
        <f>IF(BD203=1,ROUND(AP203/60,4),"")</f>
        <v/>
      </c>
      <c r="M203" s="77" t="str">
        <f>IF(BD203=1,ROUND(AQ203/60,4),"")</f>
        <v/>
      </c>
      <c r="N203" s="71" t="str">
        <f>IF(AND(D203="proMX",AB203=1),ROUND(AG203/CFG_BLK,2),"")</f>
        <v/>
      </c>
      <c r="O203" s="77" t="str">
        <f>IF(D203="proMX",IF(BD203=1,ROUND(AG203/60,4),0),"")</f>
        <v/>
      </c>
      <c r="P203" s="78" t="str">
        <f>IF(Y203=0,"",IF(BD203=1,"OK",IF(D203="proMX","Revisar bloques: ","Revisar: ")&amp;BC203))</f>
        <v/>
      </c>
      <c r="Q203" s="78" t="str">
        <f>IF(NOT(ISNUMBER(B203)),"",IF(COUNTIFS(FER_F,INT(B203))&gt;0,"Feriado"&amp;IF(AH203=1," (laborable)"," (no laborable)"),IF(AH203=1,"Laborable",IF(WEEKDAY(B203,2)&gt;5,"Fin de semana","No laborable"))))</f>
        <v/>
      </c>
      <c r="R203" s="73" t="n"/>
      <c r="S203" s="72" t="n"/>
      <c r="T203" s="72" t="n"/>
      <c r="U203" s="74" t="n"/>
      <c r="V203" s="79" t="str">
        <f>IF(AND(D203="proMX",OR(R203="Submitted",R203="Recall Requested"),ISNUMBER(S203)),CFG_TODAY-INT(S203),"")</f>
        <v/>
      </c>
      <c r="W203" s="78" t="str">
        <f>IF(BD203=0,"",IF(BA203&gt;0,"⚠ Se superpone con un registro de la otra empresa",IF(D203="Malcolm",IF(COUNTA(R203,S203,T203)&gt;0,"Estado/fechas proMX se ignoran en Malcolm",""),IF(BF203="Cancelled","Cancelado: excluido de totales",IF(R203="","Sin estado: se trata como Draft",IF(BF203="Submitted",IF(ISNUMBER(V203),IF(V203&gt;CFG_MAXD,"⚠ "&amp;V203&amp;" días en Submitted (máx. "&amp;CFG_MAXD&amp;")",""),"Falta fecha de envío"),IF(BF203="Returned","⚠ Devuelto: corregir y reenviar",IF(BF203="Recall Requested","Retirada solicitada: pendiente",IF(AND(BF203="Approved",NOT(ISNUMBER(T203))),"Falta fecha de aprobación",IF(AND(ISNUMBER(S203),ISNUMBER(T203),T203&lt;S203),"Aprobación anterior al envío","")))))))))</f>
        <v/>
      </c>
      <c r="Y203" s="80">
        <f>IF(COUNTA(B203,D203,E203,F203,G203,H203,I203,J203,R203,S203,T203)&gt;0,1,0)</f>
        <v>0</v>
      </c>
      <c r="Z203" s="80" t="str">
        <f>IF(AND(ISNUMBER(H203),H203&gt;=0,H203&lt;1),ROUND(H203*1440,0),"")</f>
        <v/>
      </c>
      <c r="AA203" s="80" t="str">
        <f>IF(AND(ISNUMBER(I203),I203&gt;=0,I203&lt;1),ROUND(I203*1440,0),"")</f>
        <v/>
      </c>
      <c r="AB203" s="80">
        <f>IF(AND(ISNUMBER(B203),D203&lt;&gt;"",ISNUMBER(Z203),ISNUMBER(AA203)),IF(Z203=AA203,0,1),0)</f>
        <v>0</v>
      </c>
      <c r="AC203" s="80">
        <f>IF(AB203=1,IF(AA203&lt;Z203,1,0),0)</f>
        <v>0</v>
      </c>
      <c r="AD203" s="80">
        <f>IF(AB203=1,IF(AC203=1,1440-Z203+AA203,AA203-Z203),0)</f>
        <v>0</v>
      </c>
      <c r="AE203" s="80">
        <f>IF(J203="",0,IF(ISNUMBER(J203),J203,-1))</f>
        <v>0</v>
      </c>
      <c r="AF203" s="80">
        <f>MIN(MAX(0,AE203),AD203)</f>
        <v>0</v>
      </c>
      <c r="AG203" s="80">
        <f>MAX(0,AD203-MAX(0,AE203))</f>
        <v>0</v>
      </c>
      <c r="AH203" s="80">
        <f>IF(ISNUMBER(B203),IF(AND(INDEX(CFG_WDAYS,WEEKDAY(INT(B203),2))="Sí",IF(D203="proMX",COUNTIFS(FER_F,INT(B203),FER_NLP,"Sí"),COUNTIFS(FER_F,INT(B203),FER_NLM,"Sí"))=0),1,0),0)</f>
        <v>0</v>
      </c>
      <c r="AI203" s="80">
        <f>IF(AC203=1,IF(AND(INDEX(CFG_WDAYS,WEEKDAY(INT(B203)+1,2))="Sí",IF(D203="proMX",COUNTIFS(FER_F,INT(B203)+1,FER_NLP,"Sí"),COUNTIFS(FER_F,INT(B203)+1,FER_NLM,"Sí"))=0),1,0),0)</f>
        <v>0</v>
      </c>
      <c r="AJ203" s="80">
        <f>IF(AC203=1,1440-Z203,AD203)</f>
        <v>0</v>
      </c>
      <c r="AK203" s="80">
        <f>IF(AND(AB203=1,AH203=1),MAX(0,MIN(IF(AC203=1,1440,AA203),CFG_WEM)-MAX(Z203,CFG_WSM)),0)</f>
        <v>0</v>
      </c>
      <c r="AL203" s="80">
        <f>IF(AND(AC203=1,AI203=1),MAX(0,MIN(AA203,CFG_WEM)-CFG_WSM),0)</f>
        <v>0</v>
      </c>
      <c r="AM203" s="80">
        <f>AK203+AL203</f>
        <v>0</v>
      </c>
      <c r="AN203" s="80">
        <f>IF(CFG_BRK="Proporcional",IF(AD203=0,0,AF203*AM203/AD203),IF(CFG_BRK="Extras primero",MIN(AM203,MAX(0,AF203-(AD203-AM203))),MIN(AF203,AM203)))</f>
        <v>0</v>
      </c>
      <c r="AO203" s="80">
        <f>AF203-AN203</f>
        <v>0</v>
      </c>
      <c r="AP203" s="80">
        <f>AM203-AN203</f>
        <v>0</v>
      </c>
      <c r="AQ203" s="80">
        <f>AD203-AM203-AO203</f>
        <v>0</v>
      </c>
      <c r="AR203" s="80">
        <f>IF(AM203=0,0,AK203-AN203*AK203/AM203)</f>
        <v>0</v>
      </c>
      <c r="AS203" s="80">
        <f>IF(AD203-AM203=0,0,(AJ203-AK203)-AO203*(AJ203-AK203)/(AD203-AM203))</f>
        <v>0</v>
      </c>
      <c r="AT203" s="80" t="str">
        <f>IF(AC203=1,INT(B203)+1,"")</f>
        <v/>
      </c>
      <c r="AU203" s="80">
        <f>IF(AND(D203="proMX",R203="Cancelled"),0,1)</f>
        <v>1</v>
      </c>
      <c r="AV203" s="80">
        <f>IF(AND(AB203=1,AU203=1),IF(COUNTIFS($D$5:D202,D203,$B$5:B202,B203,$Z$5:Z202,Z203,$AA$5:AA202,AA203,$F$5:F202,F203&amp;"",$AU$5:AU202,1)&gt;0,1,0),0)</f>
        <v>0</v>
      </c>
      <c r="AW203" s="80" t="str">
        <f>IF(AB203=1,INT(B203)*1440+Z203,"")</f>
        <v/>
      </c>
      <c r="AX203" s="80" t="str">
        <f>IF(AB203=1,AW203+AD203,"")</f>
        <v/>
      </c>
      <c r="AY203" s="80">
        <f>IF(AND(AB203=1,AV203=0,AU203=1),1,0)</f>
        <v>0</v>
      </c>
      <c r="AZ203" s="80">
        <f>IF(AY203=1,COUNTIFS(R_Emp,D203,R_SAbs,"&lt;"&amp;AX203,R_EAbs,"&gt;"&amp;AW203,R_OKey,1)-1,0)</f>
        <v>0</v>
      </c>
      <c r="BA203" s="80">
        <f>IF(AY203=1,COUNTIFS(R_Emp,"&lt;&gt;"&amp;D203,R_SAbs,"&lt;"&amp;AX203,R_EAbs,"&gt;"&amp;AW203,R_OKey,1),0)</f>
        <v>0</v>
      </c>
      <c r="BB203" s="80">
        <f>IF(AND(AB203=1,D203="proMX"),IF(AND(MOD(Z203,CFG_BLK)=0,MOD(AA203,CFG_BLK)=0,MOD(AG203,CFG_BLK)=0,AG203&gt;0),1,0),1)</f>
        <v>1</v>
      </c>
      <c r="BC203" s="80" t="str">
        <f>IF(Y203=0,"",IF(NOT(ISNUMBER(B203)),"Falta fecha o fecha inválida",IF(D203="","Falta empresa",IF(AND(D203&lt;&gt;"Malcolm",D203&lt;&gt;"proMX"),"Empresa inválida",IF(OR(INT(B203)&lt;CFG_PSTART,INT(B203)&gt;CFG_PEND),"Fecha fuera del período",IF(OR(NOT(ISNUMBER(Z203)),NOT(ISNUMBER(AA203))),"Falta hora inicio/fin o formato inválido",IF(AB203=0,"Hora inicio = hora fin",IF(AE203&lt;0,"Descanso inválido",IF(AE203&gt;=AD203,"Descanso ≥ duración",IF(AV203=1,"Registro duplicado",IF(AZ203&gt;0,"Se superpone con otro registro "&amp;D203,IF(BB203=0,"inicio, fin y duración neta deben ser múltiplos de "&amp;CFG_BLK&amp;" min",""))))))))))))</f>
        <v/>
      </c>
      <c r="BD203" s="80">
        <f>IF(AND(Y203=1,BC203=""),1,0)</f>
        <v>0</v>
      </c>
      <c r="BE203" s="80">
        <f>IF(AND(BD203=1,AU203=1),1,0)</f>
        <v>0</v>
      </c>
      <c r="BF203" s="80" t="str">
        <f>IF(AND(D203="proMX",BD203=1),IF(R203="","Draft",R203),"")</f>
        <v/>
      </c>
      <c r="BG203" s="80">
        <f>IF(BD203=1,ROUND(AG203/60,6),0)</f>
        <v>0</v>
      </c>
      <c r="BH203" s="80">
        <f>IF(BE203=1,ROUND(AG203/60,6),0)</f>
        <v>0</v>
      </c>
      <c r="BI203" s="80">
        <f>IF(BE203=1,ROUND(AP203/60,6),0)</f>
        <v>0</v>
      </c>
      <c r="BJ203" s="80">
        <f>IF(BE203=1,ROUND(AQ203/60,6),0)</f>
        <v>0</v>
      </c>
      <c r="BK203" s="80">
        <f>IF(BE203=1,ROUND((AR203+AS203)/60,6),0)</f>
        <v>0</v>
      </c>
      <c r="BL203" s="80">
        <f>ROUND(BH203-BK203,6)</f>
        <v>0</v>
      </c>
      <c r="BM203" s="80">
        <f>IF(BE203=1,ROUND(AR203/60,6),0)</f>
        <v>0</v>
      </c>
      <c r="BN203" s="80">
        <f>ROUND(BI203-BM203,6)</f>
        <v>0</v>
      </c>
      <c r="BO203" s="80">
        <f>IF(BE203=1,ROUND(AS203/60,6),0)</f>
        <v>0</v>
      </c>
      <c r="BP203" s="80">
        <f>ROUND(BJ203-BO203,6)</f>
        <v>0</v>
      </c>
      <c r="BQ203" s="80">
        <f>IF(BE203=1,AW203,0)</f>
        <v>0</v>
      </c>
      <c r="BR203" s="80">
        <f>IF(BE203=1,AX203,0)</f>
        <v>0</v>
      </c>
      <c r="BS203" s="80">
        <f>IF(AND(BE203=1,D203="Malcolm",BA203&gt;0),MIN(BH203,SUMPRODUCT((R_Emp="proMX")*(R_EN&gt;0)*((R_EN-(R_EN&gt;BR203)*(R_EN-BR203))&gt;(R_SN+(R_SN&lt;BQ203)*(BQ203-R_SN)))*((R_EN-(R_EN&gt;BR203)*(R_EN-BR203))-(R_SN+(R_SN&lt;BQ203)*(BQ203-R_SN))))/60),0)</f>
        <v>0</v>
      </c>
      <c r="BT203" s="80">
        <f>IF(AND(BE203=1,D203="proMX"),ROUND(BI203*CFG_RATE+BJ203*CFG_OTRATE,6),0)</f>
        <v>0</v>
      </c>
      <c r="BU203" s="80">
        <f>IF(AND(BD203=1,D203="proMX"),ROUND(AG203/CFG_BLK,6),0)</f>
        <v>0</v>
      </c>
      <c r="BV203" s="80" t="str">
        <f>IF(BF203="Approved",IF(ISNUMBER(T203),INT(T203),INT(B203)),"")</f>
        <v/>
      </c>
      <c r="BW203" s="80">
        <f>IF(ISNUMBER(B203),IF(DB_MON="Todos",1,IF(AND(INT(B203)&gt;=DB_MS,INT(B203)&lt;=DB_ME),1,0)),0)</f>
        <v>0</v>
      </c>
      <c r="BX203" s="80">
        <f>IF(DB_PROJ="Todos",1,IF(E203&amp;""=DB_PROJ&amp;"",1,0))</f>
        <v>1</v>
      </c>
      <c r="BY203" s="80">
        <f>BW203*BX203</f>
        <v>0</v>
      </c>
      <c r="BZ203" s="80" t="str">
        <f>IF(Y203=1,F203&amp;IF(AND(F203&amp;""&lt;&gt;"",E203&amp;""&lt;&gt;"")," · ","")&amp;E203,"")</f>
        <v/>
      </c>
      <c r="CA203" s="80" t="str">
        <f>IF(AND(BD203=1,E203&amp;""&lt;&gt;""),IF(COUNTIFS($E$5:E202,E203,$BD$5:BD202,1)=0,MAX($CA$5:CA202)+1,""),"")</f>
        <v/>
      </c>
      <c r="CB203" s="80" t="str">
        <f>IF(AND(BE203=1,D203="Malcolm",E203&amp;""&lt;&gt;""),IF(COUNTIFS($D$5:D202,"Malcolm",$E$5:E202,E203,$BE$5:BE202,1)=0,MAX($CB$5:CB202)+1,""),"")</f>
        <v/>
      </c>
      <c r="CC203" s="80" t="str">
        <f>IF(AND(BD203=1,D203="proMX",E203&amp;""&lt;&gt;""),IF(COUNTIFS($D$5:D202,"proMX",$E$5:E202,E203,$BD$5:BD202,1)=0,MAX($CC$5:CC202)+1,""),"")</f>
        <v/>
      </c>
      <c r="CD203" s="80" t="str">
        <f>IF(AND(BE203=1,D203="Malcolm",F203&amp;""&lt;&gt;""),IF(COUNTIFS($D$5:D202,"Malcolm",$F$5:F202,F203,$BE$5:BE202,1)=0,MAX($CD$5:CD202)+1,""),"")</f>
        <v/>
      </c>
      <c r="CE203" s="80" t="str">
        <f>IF(AND(BD203=1,D203="proMX",F203&amp;""&lt;&gt;""),IF(COUNTIFS($D$5:D202,"proMX",$F$5:F202,F203,$BD$5:BD202,1)=0,MAX($CE$5:CE202)+1,""),"")</f>
        <v/>
      </c>
      <c r="CF203" s="80" t="str">
        <f>IF(AND(D203="proMX",BD203=1),IF(OR(BF203="Draft",BF203="Submitted",BF203="Returned",BF203="Recall Requested"),MAX($CF$5:CF202)+1,""),"")</f>
        <v/>
      </c>
      <c r="CG203" s="80">
        <f>IF(BD203=0,0,IF(D203="Malcolm",1,MATCH(BF203,{"Draft","Submitted","Approved","Returned","Recall Requested","Cancelled"},0)+1))</f>
        <v>0</v>
      </c>
      <c r="CH203" s="80">
        <f>IF(AND(BF203="Submitted",ISNUMBER(V203)),IF(V203&gt;CFG_MAXD,1,0),0)</f>
        <v>0</v>
      </c>
    </row>
    <row r="204">
      <c r="A204" s="71" t="str">
        <f>IF(Y204=1,ROW()-5,"")</f>
        <v/>
      </c>
      <c r="B204" s="72" t="n"/>
      <c r="C204" s="71" t="str">
        <f>IF(ISNUMBER(B204),CHOOSE(WEEKDAY(B204,2),"Lun","Mar","Mié","Jue","Vie","Sáb","Dom"),"")</f>
        <v/>
      </c>
      <c r="D204" s="73" t="n"/>
      <c r="E204" s="74" t="n"/>
      <c r="F204" s="74" t="n"/>
      <c r="G204" s="74" t="n"/>
      <c r="H204" s="75" t="n"/>
      <c r="I204" s="75" t="n"/>
      <c r="J204" s="76" t="n"/>
      <c r="K204" s="77" t="str">
        <f>IF(AB204=1,ROUND(AG204/60,4),"")</f>
        <v/>
      </c>
      <c r="L204" s="77" t="str">
        <f>IF(BD204=1,ROUND(AP204/60,4),"")</f>
        <v/>
      </c>
      <c r="M204" s="77" t="str">
        <f>IF(BD204=1,ROUND(AQ204/60,4),"")</f>
        <v/>
      </c>
      <c r="N204" s="71" t="str">
        <f>IF(AND(D204="proMX",AB204=1),ROUND(AG204/CFG_BLK,2),"")</f>
        <v/>
      </c>
      <c r="O204" s="77" t="str">
        <f>IF(D204="proMX",IF(BD204=1,ROUND(AG204/60,4),0),"")</f>
        <v/>
      </c>
      <c r="P204" s="78" t="str">
        <f>IF(Y204=0,"",IF(BD204=1,"OK",IF(D204="proMX","Revisar bloques: ","Revisar: ")&amp;BC204))</f>
        <v/>
      </c>
      <c r="Q204" s="78" t="str">
        <f>IF(NOT(ISNUMBER(B204)),"",IF(COUNTIFS(FER_F,INT(B204))&gt;0,"Feriado"&amp;IF(AH204=1," (laborable)"," (no laborable)"),IF(AH204=1,"Laborable",IF(WEEKDAY(B204,2)&gt;5,"Fin de semana","No laborable"))))</f>
        <v/>
      </c>
      <c r="R204" s="73" t="n"/>
      <c r="S204" s="72" t="n"/>
      <c r="T204" s="72" t="n"/>
      <c r="U204" s="74" t="n"/>
      <c r="V204" s="79" t="str">
        <f>IF(AND(D204="proMX",OR(R204="Submitted",R204="Recall Requested"),ISNUMBER(S204)),CFG_TODAY-INT(S204),"")</f>
        <v/>
      </c>
      <c r="W204" s="78" t="str">
        <f>IF(BD204=0,"",IF(BA204&gt;0,"⚠ Se superpone con un registro de la otra empresa",IF(D204="Malcolm",IF(COUNTA(R204,S204,T204)&gt;0,"Estado/fechas proMX se ignoran en Malcolm",""),IF(BF204="Cancelled","Cancelado: excluido de totales",IF(R204="","Sin estado: se trata como Draft",IF(BF204="Submitted",IF(ISNUMBER(V204),IF(V204&gt;CFG_MAXD,"⚠ "&amp;V204&amp;" días en Submitted (máx. "&amp;CFG_MAXD&amp;")",""),"Falta fecha de envío"),IF(BF204="Returned","⚠ Devuelto: corregir y reenviar",IF(BF204="Recall Requested","Retirada solicitada: pendiente",IF(AND(BF204="Approved",NOT(ISNUMBER(T204))),"Falta fecha de aprobación",IF(AND(ISNUMBER(S204),ISNUMBER(T204),T204&lt;S204),"Aprobación anterior al envío","")))))))))</f>
        <v/>
      </c>
      <c r="Y204" s="80">
        <f>IF(COUNTA(B204,D204,E204,F204,G204,H204,I204,J204,R204,S204,T204)&gt;0,1,0)</f>
        <v>0</v>
      </c>
      <c r="Z204" s="80" t="str">
        <f>IF(AND(ISNUMBER(H204),H204&gt;=0,H204&lt;1),ROUND(H204*1440,0),"")</f>
        <v/>
      </c>
      <c r="AA204" s="80" t="str">
        <f>IF(AND(ISNUMBER(I204),I204&gt;=0,I204&lt;1),ROUND(I204*1440,0),"")</f>
        <v/>
      </c>
      <c r="AB204" s="80">
        <f>IF(AND(ISNUMBER(B204),D204&lt;&gt;"",ISNUMBER(Z204),ISNUMBER(AA204)),IF(Z204=AA204,0,1),0)</f>
        <v>0</v>
      </c>
      <c r="AC204" s="80">
        <f>IF(AB204=1,IF(AA204&lt;Z204,1,0),0)</f>
        <v>0</v>
      </c>
      <c r="AD204" s="80">
        <f>IF(AB204=1,IF(AC204=1,1440-Z204+AA204,AA204-Z204),0)</f>
        <v>0</v>
      </c>
      <c r="AE204" s="80">
        <f>IF(J204="",0,IF(ISNUMBER(J204),J204,-1))</f>
        <v>0</v>
      </c>
      <c r="AF204" s="80">
        <f>MIN(MAX(0,AE204),AD204)</f>
        <v>0</v>
      </c>
      <c r="AG204" s="80">
        <f>MAX(0,AD204-MAX(0,AE204))</f>
        <v>0</v>
      </c>
      <c r="AH204" s="80">
        <f>IF(ISNUMBER(B204),IF(AND(INDEX(CFG_WDAYS,WEEKDAY(INT(B204),2))="Sí",IF(D204="proMX",COUNTIFS(FER_F,INT(B204),FER_NLP,"Sí"),COUNTIFS(FER_F,INT(B204),FER_NLM,"Sí"))=0),1,0),0)</f>
        <v>0</v>
      </c>
      <c r="AI204" s="80">
        <f>IF(AC204=1,IF(AND(INDEX(CFG_WDAYS,WEEKDAY(INT(B204)+1,2))="Sí",IF(D204="proMX",COUNTIFS(FER_F,INT(B204)+1,FER_NLP,"Sí"),COUNTIFS(FER_F,INT(B204)+1,FER_NLM,"Sí"))=0),1,0),0)</f>
        <v>0</v>
      </c>
      <c r="AJ204" s="80">
        <f>IF(AC204=1,1440-Z204,AD204)</f>
        <v>0</v>
      </c>
      <c r="AK204" s="80">
        <f>IF(AND(AB204=1,AH204=1),MAX(0,MIN(IF(AC204=1,1440,AA204),CFG_WEM)-MAX(Z204,CFG_WSM)),0)</f>
        <v>0</v>
      </c>
      <c r="AL204" s="80">
        <f>IF(AND(AC204=1,AI204=1),MAX(0,MIN(AA204,CFG_WEM)-CFG_WSM),0)</f>
        <v>0</v>
      </c>
      <c r="AM204" s="80">
        <f>AK204+AL204</f>
        <v>0</v>
      </c>
      <c r="AN204" s="80">
        <f>IF(CFG_BRK="Proporcional",IF(AD204=0,0,AF204*AM204/AD204),IF(CFG_BRK="Extras primero",MIN(AM204,MAX(0,AF204-(AD204-AM204))),MIN(AF204,AM204)))</f>
        <v>0</v>
      </c>
      <c r="AO204" s="80">
        <f>AF204-AN204</f>
        <v>0</v>
      </c>
      <c r="AP204" s="80">
        <f>AM204-AN204</f>
        <v>0</v>
      </c>
      <c r="AQ204" s="80">
        <f>AD204-AM204-AO204</f>
        <v>0</v>
      </c>
      <c r="AR204" s="80">
        <f>IF(AM204=0,0,AK204-AN204*AK204/AM204)</f>
        <v>0</v>
      </c>
      <c r="AS204" s="80">
        <f>IF(AD204-AM204=0,0,(AJ204-AK204)-AO204*(AJ204-AK204)/(AD204-AM204))</f>
        <v>0</v>
      </c>
      <c r="AT204" s="80" t="str">
        <f>IF(AC204=1,INT(B204)+1,"")</f>
        <v/>
      </c>
      <c r="AU204" s="80">
        <f>IF(AND(D204="proMX",R204="Cancelled"),0,1)</f>
        <v>1</v>
      </c>
      <c r="AV204" s="80">
        <f>IF(AND(AB204=1,AU204=1),IF(COUNTIFS($D$5:D203,D204,$B$5:B203,B204,$Z$5:Z203,Z204,$AA$5:AA203,AA204,$F$5:F203,F204&amp;"",$AU$5:AU203,1)&gt;0,1,0),0)</f>
        <v>0</v>
      </c>
      <c r="AW204" s="80" t="str">
        <f>IF(AB204=1,INT(B204)*1440+Z204,"")</f>
        <v/>
      </c>
      <c r="AX204" s="80" t="str">
        <f>IF(AB204=1,AW204+AD204,"")</f>
        <v/>
      </c>
      <c r="AY204" s="80">
        <f>IF(AND(AB204=1,AV204=0,AU204=1),1,0)</f>
        <v>0</v>
      </c>
      <c r="AZ204" s="80">
        <f>IF(AY204=1,COUNTIFS(R_Emp,D204,R_SAbs,"&lt;"&amp;AX204,R_EAbs,"&gt;"&amp;AW204,R_OKey,1)-1,0)</f>
        <v>0</v>
      </c>
      <c r="BA204" s="80">
        <f>IF(AY204=1,COUNTIFS(R_Emp,"&lt;&gt;"&amp;D204,R_SAbs,"&lt;"&amp;AX204,R_EAbs,"&gt;"&amp;AW204,R_OKey,1),0)</f>
        <v>0</v>
      </c>
      <c r="BB204" s="80">
        <f>IF(AND(AB204=1,D204="proMX"),IF(AND(MOD(Z204,CFG_BLK)=0,MOD(AA204,CFG_BLK)=0,MOD(AG204,CFG_BLK)=0,AG204&gt;0),1,0),1)</f>
        <v>1</v>
      </c>
      <c r="BC204" s="80" t="str">
        <f>IF(Y204=0,"",IF(NOT(ISNUMBER(B204)),"Falta fecha o fecha inválida",IF(D204="","Falta empresa",IF(AND(D204&lt;&gt;"Malcolm",D204&lt;&gt;"proMX"),"Empresa inválida",IF(OR(INT(B204)&lt;CFG_PSTART,INT(B204)&gt;CFG_PEND),"Fecha fuera del período",IF(OR(NOT(ISNUMBER(Z204)),NOT(ISNUMBER(AA204))),"Falta hora inicio/fin o formato inválido",IF(AB204=0,"Hora inicio = hora fin",IF(AE204&lt;0,"Descanso inválido",IF(AE204&gt;=AD204,"Descanso ≥ duración",IF(AV204=1,"Registro duplicado",IF(AZ204&gt;0,"Se superpone con otro registro "&amp;D204,IF(BB204=0,"inicio, fin y duración neta deben ser múltiplos de "&amp;CFG_BLK&amp;" min",""))))))))))))</f>
        <v/>
      </c>
      <c r="BD204" s="80">
        <f>IF(AND(Y204=1,BC204=""),1,0)</f>
        <v>0</v>
      </c>
      <c r="BE204" s="80">
        <f>IF(AND(BD204=1,AU204=1),1,0)</f>
        <v>0</v>
      </c>
      <c r="BF204" s="80" t="str">
        <f>IF(AND(D204="proMX",BD204=1),IF(R204="","Draft",R204),"")</f>
        <v/>
      </c>
      <c r="BG204" s="80">
        <f>IF(BD204=1,ROUND(AG204/60,6),0)</f>
        <v>0</v>
      </c>
      <c r="BH204" s="80">
        <f>IF(BE204=1,ROUND(AG204/60,6),0)</f>
        <v>0</v>
      </c>
      <c r="BI204" s="80">
        <f>IF(BE204=1,ROUND(AP204/60,6),0)</f>
        <v>0</v>
      </c>
      <c r="BJ204" s="80">
        <f>IF(BE204=1,ROUND(AQ204/60,6),0)</f>
        <v>0</v>
      </c>
      <c r="BK204" s="80">
        <f>IF(BE204=1,ROUND((AR204+AS204)/60,6),0)</f>
        <v>0</v>
      </c>
      <c r="BL204" s="80">
        <f>ROUND(BH204-BK204,6)</f>
        <v>0</v>
      </c>
      <c r="BM204" s="80">
        <f>IF(BE204=1,ROUND(AR204/60,6),0)</f>
        <v>0</v>
      </c>
      <c r="BN204" s="80">
        <f>ROUND(BI204-BM204,6)</f>
        <v>0</v>
      </c>
      <c r="BO204" s="80">
        <f>IF(BE204=1,ROUND(AS204/60,6),0)</f>
        <v>0</v>
      </c>
      <c r="BP204" s="80">
        <f>ROUND(BJ204-BO204,6)</f>
        <v>0</v>
      </c>
      <c r="BQ204" s="80">
        <f>IF(BE204=1,AW204,0)</f>
        <v>0</v>
      </c>
      <c r="BR204" s="80">
        <f>IF(BE204=1,AX204,0)</f>
        <v>0</v>
      </c>
      <c r="BS204" s="80">
        <f>IF(AND(BE204=1,D204="Malcolm",BA204&gt;0),MIN(BH204,SUMPRODUCT((R_Emp="proMX")*(R_EN&gt;0)*((R_EN-(R_EN&gt;BR204)*(R_EN-BR204))&gt;(R_SN+(R_SN&lt;BQ204)*(BQ204-R_SN)))*((R_EN-(R_EN&gt;BR204)*(R_EN-BR204))-(R_SN+(R_SN&lt;BQ204)*(BQ204-R_SN))))/60),0)</f>
        <v>0</v>
      </c>
      <c r="BT204" s="80">
        <f>IF(AND(BE204=1,D204="proMX"),ROUND(BI204*CFG_RATE+BJ204*CFG_OTRATE,6),0)</f>
        <v>0</v>
      </c>
      <c r="BU204" s="80">
        <f>IF(AND(BD204=1,D204="proMX"),ROUND(AG204/CFG_BLK,6),0)</f>
        <v>0</v>
      </c>
      <c r="BV204" s="80" t="str">
        <f>IF(BF204="Approved",IF(ISNUMBER(T204),INT(T204),INT(B204)),"")</f>
        <v/>
      </c>
      <c r="BW204" s="80">
        <f>IF(ISNUMBER(B204),IF(DB_MON="Todos",1,IF(AND(INT(B204)&gt;=DB_MS,INT(B204)&lt;=DB_ME),1,0)),0)</f>
        <v>0</v>
      </c>
      <c r="BX204" s="80">
        <f>IF(DB_PROJ="Todos",1,IF(E204&amp;""=DB_PROJ&amp;"",1,0))</f>
        <v>1</v>
      </c>
      <c r="BY204" s="80">
        <f>BW204*BX204</f>
        <v>0</v>
      </c>
      <c r="BZ204" s="80" t="str">
        <f>IF(Y204=1,F204&amp;IF(AND(F204&amp;""&lt;&gt;"",E204&amp;""&lt;&gt;"")," · ","")&amp;E204,"")</f>
        <v/>
      </c>
      <c r="CA204" s="80" t="str">
        <f>IF(AND(BD204=1,E204&amp;""&lt;&gt;""),IF(COUNTIFS($E$5:E203,E204,$BD$5:BD203,1)=0,MAX($CA$5:CA203)+1,""),"")</f>
        <v/>
      </c>
      <c r="CB204" s="80" t="str">
        <f>IF(AND(BE204=1,D204="Malcolm",E204&amp;""&lt;&gt;""),IF(COUNTIFS($D$5:D203,"Malcolm",$E$5:E203,E204,$BE$5:BE203,1)=0,MAX($CB$5:CB203)+1,""),"")</f>
        <v/>
      </c>
      <c r="CC204" s="80" t="str">
        <f>IF(AND(BD204=1,D204="proMX",E204&amp;""&lt;&gt;""),IF(COUNTIFS($D$5:D203,"proMX",$E$5:E203,E204,$BD$5:BD203,1)=0,MAX($CC$5:CC203)+1,""),"")</f>
        <v/>
      </c>
      <c r="CD204" s="80" t="str">
        <f>IF(AND(BE204=1,D204="Malcolm",F204&amp;""&lt;&gt;""),IF(COUNTIFS($D$5:D203,"Malcolm",$F$5:F203,F204,$BE$5:BE203,1)=0,MAX($CD$5:CD203)+1,""),"")</f>
        <v/>
      </c>
      <c r="CE204" s="80" t="str">
        <f>IF(AND(BD204=1,D204="proMX",F204&amp;""&lt;&gt;""),IF(COUNTIFS($D$5:D203,"proMX",$F$5:F203,F204,$BD$5:BD203,1)=0,MAX($CE$5:CE203)+1,""),"")</f>
        <v/>
      </c>
      <c r="CF204" s="80" t="str">
        <f>IF(AND(D204="proMX",BD204=1),IF(OR(BF204="Draft",BF204="Submitted",BF204="Returned",BF204="Recall Requested"),MAX($CF$5:CF203)+1,""),"")</f>
        <v/>
      </c>
      <c r="CG204" s="80">
        <f>IF(BD204=0,0,IF(D204="Malcolm",1,MATCH(BF204,{"Draft","Submitted","Approved","Returned","Recall Requested","Cancelled"},0)+1))</f>
        <v>0</v>
      </c>
      <c r="CH204" s="80">
        <f>IF(AND(BF204="Submitted",ISNUMBER(V204)),IF(V204&gt;CFG_MAXD,1,0),0)</f>
        <v>0</v>
      </c>
    </row>
    <row r="205">
      <c r="A205" s="71" t="str">
        <f>IF(Y205=1,ROW()-5,"")</f>
        <v/>
      </c>
      <c r="B205" s="72" t="n"/>
      <c r="C205" s="71" t="str">
        <f>IF(ISNUMBER(B205),CHOOSE(WEEKDAY(B205,2),"Lun","Mar","Mié","Jue","Vie","Sáb","Dom"),"")</f>
        <v/>
      </c>
      <c r="D205" s="73" t="n"/>
      <c r="E205" s="74" t="n"/>
      <c r="F205" s="74" t="n"/>
      <c r="G205" s="74" t="n"/>
      <c r="H205" s="75" t="n"/>
      <c r="I205" s="75" t="n"/>
      <c r="J205" s="76" t="n"/>
      <c r="K205" s="77" t="str">
        <f>IF(AB205=1,ROUND(AG205/60,4),"")</f>
        <v/>
      </c>
      <c r="L205" s="77" t="str">
        <f>IF(BD205=1,ROUND(AP205/60,4),"")</f>
        <v/>
      </c>
      <c r="M205" s="77" t="str">
        <f>IF(BD205=1,ROUND(AQ205/60,4),"")</f>
        <v/>
      </c>
      <c r="N205" s="71" t="str">
        <f>IF(AND(D205="proMX",AB205=1),ROUND(AG205/CFG_BLK,2),"")</f>
        <v/>
      </c>
      <c r="O205" s="77" t="str">
        <f>IF(D205="proMX",IF(BD205=1,ROUND(AG205/60,4),0),"")</f>
        <v/>
      </c>
      <c r="P205" s="78" t="str">
        <f>IF(Y205=0,"",IF(BD205=1,"OK",IF(D205="proMX","Revisar bloques: ","Revisar: ")&amp;BC205))</f>
        <v/>
      </c>
      <c r="Q205" s="78" t="str">
        <f>IF(NOT(ISNUMBER(B205)),"",IF(COUNTIFS(FER_F,INT(B205))&gt;0,"Feriado"&amp;IF(AH205=1," (laborable)"," (no laborable)"),IF(AH205=1,"Laborable",IF(WEEKDAY(B205,2)&gt;5,"Fin de semana","No laborable"))))</f>
        <v/>
      </c>
      <c r="R205" s="73" t="n"/>
      <c r="S205" s="72" t="n"/>
      <c r="T205" s="72" t="n"/>
      <c r="U205" s="74" t="n"/>
      <c r="V205" s="79" t="str">
        <f>IF(AND(D205="proMX",OR(R205="Submitted",R205="Recall Requested"),ISNUMBER(S205)),CFG_TODAY-INT(S205),"")</f>
        <v/>
      </c>
      <c r="W205" s="78" t="str">
        <f>IF(BD205=0,"",IF(BA205&gt;0,"⚠ Se superpone con un registro de la otra empresa",IF(D205="Malcolm",IF(COUNTA(R205,S205,T205)&gt;0,"Estado/fechas proMX se ignoran en Malcolm",""),IF(BF205="Cancelled","Cancelado: excluido de totales",IF(R205="","Sin estado: se trata como Draft",IF(BF205="Submitted",IF(ISNUMBER(V205),IF(V205&gt;CFG_MAXD,"⚠ "&amp;V205&amp;" días en Submitted (máx. "&amp;CFG_MAXD&amp;")",""),"Falta fecha de envío"),IF(BF205="Returned","⚠ Devuelto: corregir y reenviar",IF(BF205="Recall Requested","Retirada solicitada: pendiente",IF(AND(BF205="Approved",NOT(ISNUMBER(T205))),"Falta fecha de aprobación",IF(AND(ISNUMBER(S205),ISNUMBER(T205),T205&lt;S205),"Aprobación anterior al envío","")))))))))</f>
        <v/>
      </c>
      <c r="Y205" s="80">
        <f>IF(COUNTA(B205,D205,E205,F205,G205,H205,I205,J205,R205,S205,T205)&gt;0,1,0)</f>
        <v>0</v>
      </c>
      <c r="Z205" s="80" t="str">
        <f>IF(AND(ISNUMBER(H205),H205&gt;=0,H205&lt;1),ROUND(H205*1440,0),"")</f>
        <v/>
      </c>
      <c r="AA205" s="80" t="str">
        <f>IF(AND(ISNUMBER(I205),I205&gt;=0,I205&lt;1),ROUND(I205*1440,0),"")</f>
        <v/>
      </c>
      <c r="AB205" s="80">
        <f>IF(AND(ISNUMBER(B205),D205&lt;&gt;"",ISNUMBER(Z205),ISNUMBER(AA205)),IF(Z205=AA205,0,1),0)</f>
        <v>0</v>
      </c>
      <c r="AC205" s="80">
        <f>IF(AB205=1,IF(AA205&lt;Z205,1,0),0)</f>
        <v>0</v>
      </c>
      <c r="AD205" s="80">
        <f>IF(AB205=1,IF(AC205=1,1440-Z205+AA205,AA205-Z205),0)</f>
        <v>0</v>
      </c>
      <c r="AE205" s="80">
        <f>IF(J205="",0,IF(ISNUMBER(J205),J205,-1))</f>
        <v>0</v>
      </c>
      <c r="AF205" s="80">
        <f>MIN(MAX(0,AE205),AD205)</f>
        <v>0</v>
      </c>
      <c r="AG205" s="80">
        <f>MAX(0,AD205-MAX(0,AE205))</f>
        <v>0</v>
      </c>
      <c r="AH205" s="80">
        <f>IF(ISNUMBER(B205),IF(AND(INDEX(CFG_WDAYS,WEEKDAY(INT(B205),2))="Sí",IF(D205="proMX",COUNTIFS(FER_F,INT(B205),FER_NLP,"Sí"),COUNTIFS(FER_F,INT(B205),FER_NLM,"Sí"))=0),1,0),0)</f>
        <v>0</v>
      </c>
      <c r="AI205" s="80">
        <f>IF(AC205=1,IF(AND(INDEX(CFG_WDAYS,WEEKDAY(INT(B205)+1,2))="Sí",IF(D205="proMX",COUNTIFS(FER_F,INT(B205)+1,FER_NLP,"Sí"),COUNTIFS(FER_F,INT(B205)+1,FER_NLM,"Sí"))=0),1,0),0)</f>
        <v>0</v>
      </c>
      <c r="AJ205" s="80">
        <f>IF(AC205=1,1440-Z205,AD205)</f>
        <v>0</v>
      </c>
      <c r="AK205" s="80">
        <f>IF(AND(AB205=1,AH205=1),MAX(0,MIN(IF(AC205=1,1440,AA205),CFG_WEM)-MAX(Z205,CFG_WSM)),0)</f>
        <v>0</v>
      </c>
      <c r="AL205" s="80">
        <f>IF(AND(AC205=1,AI205=1),MAX(0,MIN(AA205,CFG_WEM)-CFG_WSM),0)</f>
        <v>0</v>
      </c>
      <c r="AM205" s="80">
        <f>AK205+AL205</f>
        <v>0</v>
      </c>
      <c r="AN205" s="80">
        <f>IF(CFG_BRK="Proporcional",IF(AD205=0,0,AF205*AM205/AD205),IF(CFG_BRK="Extras primero",MIN(AM205,MAX(0,AF205-(AD205-AM205))),MIN(AF205,AM205)))</f>
        <v>0</v>
      </c>
      <c r="AO205" s="80">
        <f>AF205-AN205</f>
        <v>0</v>
      </c>
      <c r="AP205" s="80">
        <f>AM205-AN205</f>
        <v>0</v>
      </c>
      <c r="AQ205" s="80">
        <f>AD205-AM205-AO205</f>
        <v>0</v>
      </c>
      <c r="AR205" s="80">
        <f>IF(AM205=0,0,AK205-AN205*AK205/AM205)</f>
        <v>0</v>
      </c>
      <c r="AS205" s="80">
        <f>IF(AD205-AM205=0,0,(AJ205-AK205)-AO205*(AJ205-AK205)/(AD205-AM205))</f>
        <v>0</v>
      </c>
      <c r="AT205" s="80" t="str">
        <f>IF(AC205=1,INT(B205)+1,"")</f>
        <v/>
      </c>
      <c r="AU205" s="80">
        <f>IF(AND(D205="proMX",R205="Cancelled"),0,1)</f>
        <v>1</v>
      </c>
      <c r="AV205" s="80">
        <f>IF(AND(AB205=1,AU205=1),IF(COUNTIFS($D$5:D204,D205,$B$5:B204,B205,$Z$5:Z204,Z205,$AA$5:AA204,AA205,$F$5:F204,F205&amp;"",$AU$5:AU204,1)&gt;0,1,0),0)</f>
        <v>0</v>
      </c>
      <c r="AW205" s="80" t="str">
        <f>IF(AB205=1,INT(B205)*1440+Z205,"")</f>
        <v/>
      </c>
      <c r="AX205" s="80" t="str">
        <f>IF(AB205=1,AW205+AD205,"")</f>
        <v/>
      </c>
      <c r="AY205" s="80">
        <f>IF(AND(AB205=1,AV205=0,AU205=1),1,0)</f>
        <v>0</v>
      </c>
      <c r="AZ205" s="80">
        <f>IF(AY205=1,COUNTIFS(R_Emp,D205,R_SAbs,"&lt;"&amp;AX205,R_EAbs,"&gt;"&amp;AW205,R_OKey,1)-1,0)</f>
        <v>0</v>
      </c>
      <c r="BA205" s="80">
        <f>IF(AY205=1,COUNTIFS(R_Emp,"&lt;&gt;"&amp;D205,R_SAbs,"&lt;"&amp;AX205,R_EAbs,"&gt;"&amp;AW205,R_OKey,1),0)</f>
        <v>0</v>
      </c>
      <c r="BB205" s="80">
        <f>IF(AND(AB205=1,D205="proMX"),IF(AND(MOD(Z205,CFG_BLK)=0,MOD(AA205,CFG_BLK)=0,MOD(AG205,CFG_BLK)=0,AG205&gt;0),1,0),1)</f>
        <v>1</v>
      </c>
      <c r="BC205" s="80" t="str">
        <f>IF(Y205=0,"",IF(NOT(ISNUMBER(B205)),"Falta fecha o fecha inválida",IF(D205="","Falta empresa",IF(AND(D205&lt;&gt;"Malcolm",D205&lt;&gt;"proMX"),"Empresa inválida",IF(OR(INT(B205)&lt;CFG_PSTART,INT(B205)&gt;CFG_PEND),"Fecha fuera del período",IF(OR(NOT(ISNUMBER(Z205)),NOT(ISNUMBER(AA205))),"Falta hora inicio/fin o formato inválido",IF(AB205=0,"Hora inicio = hora fin",IF(AE205&lt;0,"Descanso inválido",IF(AE205&gt;=AD205,"Descanso ≥ duración",IF(AV205=1,"Registro duplicado",IF(AZ205&gt;0,"Se superpone con otro registro "&amp;D205,IF(BB205=0,"inicio, fin y duración neta deben ser múltiplos de "&amp;CFG_BLK&amp;" min",""))))))))))))</f>
        <v/>
      </c>
      <c r="BD205" s="80">
        <f>IF(AND(Y205=1,BC205=""),1,0)</f>
        <v>0</v>
      </c>
      <c r="BE205" s="80">
        <f>IF(AND(BD205=1,AU205=1),1,0)</f>
        <v>0</v>
      </c>
      <c r="BF205" s="80" t="str">
        <f>IF(AND(D205="proMX",BD205=1),IF(R205="","Draft",R205),"")</f>
        <v/>
      </c>
      <c r="BG205" s="80">
        <f>IF(BD205=1,ROUND(AG205/60,6),0)</f>
        <v>0</v>
      </c>
      <c r="BH205" s="80">
        <f>IF(BE205=1,ROUND(AG205/60,6),0)</f>
        <v>0</v>
      </c>
      <c r="BI205" s="80">
        <f>IF(BE205=1,ROUND(AP205/60,6),0)</f>
        <v>0</v>
      </c>
      <c r="BJ205" s="80">
        <f>IF(BE205=1,ROUND(AQ205/60,6),0)</f>
        <v>0</v>
      </c>
      <c r="BK205" s="80">
        <f>IF(BE205=1,ROUND((AR205+AS205)/60,6),0)</f>
        <v>0</v>
      </c>
      <c r="BL205" s="80">
        <f>ROUND(BH205-BK205,6)</f>
        <v>0</v>
      </c>
      <c r="BM205" s="80">
        <f>IF(BE205=1,ROUND(AR205/60,6),0)</f>
        <v>0</v>
      </c>
      <c r="BN205" s="80">
        <f>ROUND(BI205-BM205,6)</f>
        <v>0</v>
      </c>
      <c r="BO205" s="80">
        <f>IF(BE205=1,ROUND(AS205/60,6),0)</f>
        <v>0</v>
      </c>
      <c r="BP205" s="80">
        <f>ROUND(BJ205-BO205,6)</f>
        <v>0</v>
      </c>
      <c r="BQ205" s="80">
        <f>IF(BE205=1,AW205,0)</f>
        <v>0</v>
      </c>
      <c r="BR205" s="80">
        <f>IF(BE205=1,AX205,0)</f>
        <v>0</v>
      </c>
      <c r="BS205" s="80">
        <f>IF(AND(BE205=1,D205="Malcolm",BA205&gt;0),MIN(BH205,SUMPRODUCT((R_Emp="proMX")*(R_EN&gt;0)*((R_EN-(R_EN&gt;BR205)*(R_EN-BR205))&gt;(R_SN+(R_SN&lt;BQ205)*(BQ205-R_SN)))*((R_EN-(R_EN&gt;BR205)*(R_EN-BR205))-(R_SN+(R_SN&lt;BQ205)*(BQ205-R_SN))))/60),0)</f>
        <v>0</v>
      </c>
      <c r="BT205" s="80">
        <f>IF(AND(BE205=1,D205="proMX"),ROUND(BI205*CFG_RATE+BJ205*CFG_OTRATE,6),0)</f>
        <v>0</v>
      </c>
      <c r="BU205" s="80">
        <f>IF(AND(BD205=1,D205="proMX"),ROUND(AG205/CFG_BLK,6),0)</f>
        <v>0</v>
      </c>
      <c r="BV205" s="80" t="str">
        <f>IF(BF205="Approved",IF(ISNUMBER(T205),INT(T205),INT(B205)),"")</f>
        <v/>
      </c>
      <c r="BW205" s="80">
        <f>IF(ISNUMBER(B205),IF(DB_MON="Todos",1,IF(AND(INT(B205)&gt;=DB_MS,INT(B205)&lt;=DB_ME),1,0)),0)</f>
        <v>0</v>
      </c>
      <c r="BX205" s="80">
        <f>IF(DB_PROJ="Todos",1,IF(E205&amp;""=DB_PROJ&amp;"",1,0))</f>
        <v>1</v>
      </c>
      <c r="BY205" s="80">
        <f>BW205*BX205</f>
        <v>0</v>
      </c>
      <c r="BZ205" s="80" t="str">
        <f>IF(Y205=1,F205&amp;IF(AND(F205&amp;""&lt;&gt;"",E205&amp;""&lt;&gt;"")," · ","")&amp;E205,"")</f>
        <v/>
      </c>
      <c r="CA205" s="80" t="str">
        <f>IF(AND(BD205=1,E205&amp;""&lt;&gt;""),IF(COUNTIFS($E$5:E204,E205,$BD$5:BD204,1)=0,MAX($CA$5:CA204)+1,""),"")</f>
        <v/>
      </c>
      <c r="CB205" s="80" t="str">
        <f>IF(AND(BE205=1,D205="Malcolm",E205&amp;""&lt;&gt;""),IF(COUNTIFS($D$5:D204,"Malcolm",$E$5:E204,E205,$BE$5:BE204,1)=0,MAX($CB$5:CB204)+1,""),"")</f>
        <v/>
      </c>
      <c r="CC205" s="80" t="str">
        <f>IF(AND(BD205=1,D205="proMX",E205&amp;""&lt;&gt;""),IF(COUNTIFS($D$5:D204,"proMX",$E$5:E204,E205,$BD$5:BD204,1)=0,MAX($CC$5:CC204)+1,""),"")</f>
        <v/>
      </c>
      <c r="CD205" s="80" t="str">
        <f>IF(AND(BE205=1,D205="Malcolm",F205&amp;""&lt;&gt;""),IF(COUNTIFS($D$5:D204,"Malcolm",$F$5:F204,F205,$BE$5:BE204,1)=0,MAX($CD$5:CD204)+1,""),"")</f>
        <v/>
      </c>
      <c r="CE205" s="80" t="str">
        <f>IF(AND(BD205=1,D205="proMX",F205&amp;""&lt;&gt;""),IF(COUNTIFS($D$5:D204,"proMX",$F$5:F204,F205,$BD$5:BD204,1)=0,MAX($CE$5:CE204)+1,""),"")</f>
        <v/>
      </c>
      <c r="CF205" s="80" t="str">
        <f>IF(AND(D205="proMX",BD205=1),IF(OR(BF205="Draft",BF205="Submitted",BF205="Returned",BF205="Recall Requested"),MAX($CF$5:CF204)+1,""),"")</f>
        <v/>
      </c>
      <c r="CG205" s="80">
        <f>IF(BD205=0,0,IF(D205="Malcolm",1,MATCH(BF205,{"Draft","Submitted","Approved","Returned","Recall Requested","Cancelled"},0)+1))</f>
        <v>0</v>
      </c>
      <c r="CH205" s="80">
        <f>IF(AND(BF205="Submitted",ISNUMBER(V205)),IF(V205&gt;CFG_MAXD,1,0),0)</f>
        <v>0</v>
      </c>
    </row>
    <row r="206">
      <c r="A206" s="71" t="str">
        <f>IF(Y206=1,ROW()-5,"")</f>
        <v/>
      </c>
      <c r="B206" s="72" t="n"/>
      <c r="C206" s="71" t="str">
        <f>IF(ISNUMBER(B206),CHOOSE(WEEKDAY(B206,2),"Lun","Mar","Mié","Jue","Vie","Sáb","Dom"),"")</f>
        <v/>
      </c>
      <c r="D206" s="73" t="n"/>
      <c r="E206" s="74" t="n"/>
      <c r="F206" s="74" t="n"/>
      <c r="G206" s="74" t="n"/>
      <c r="H206" s="75" t="n"/>
      <c r="I206" s="75" t="n"/>
      <c r="J206" s="76" t="n"/>
      <c r="K206" s="77" t="str">
        <f>IF(AB206=1,ROUND(AG206/60,4),"")</f>
        <v/>
      </c>
      <c r="L206" s="77" t="str">
        <f>IF(BD206=1,ROUND(AP206/60,4),"")</f>
        <v/>
      </c>
      <c r="M206" s="77" t="str">
        <f>IF(BD206=1,ROUND(AQ206/60,4),"")</f>
        <v/>
      </c>
      <c r="N206" s="71" t="str">
        <f>IF(AND(D206="proMX",AB206=1),ROUND(AG206/CFG_BLK,2),"")</f>
        <v/>
      </c>
      <c r="O206" s="77" t="str">
        <f>IF(D206="proMX",IF(BD206=1,ROUND(AG206/60,4),0),"")</f>
        <v/>
      </c>
      <c r="P206" s="78" t="str">
        <f>IF(Y206=0,"",IF(BD206=1,"OK",IF(D206="proMX","Revisar bloques: ","Revisar: ")&amp;BC206))</f>
        <v/>
      </c>
      <c r="Q206" s="78" t="str">
        <f>IF(NOT(ISNUMBER(B206)),"",IF(COUNTIFS(FER_F,INT(B206))&gt;0,"Feriado"&amp;IF(AH206=1," (laborable)"," (no laborable)"),IF(AH206=1,"Laborable",IF(WEEKDAY(B206,2)&gt;5,"Fin de semana","No laborable"))))</f>
        <v/>
      </c>
      <c r="R206" s="73" t="n"/>
      <c r="S206" s="72" t="n"/>
      <c r="T206" s="72" t="n"/>
      <c r="U206" s="74" t="n"/>
      <c r="V206" s="79" t="str">
        <f>IF(AND(D206="proMX",OR(R206="Submitted",R206="Recall Requested"),ISNUMBER(S206)),CFG_TODAY-INT(S206),"")</f>
        <v/>
      </c>
      <c r="W206" s="78" t="str">
        <f>IF(BD206=0,"",IF(BA206&gt;0,"⚠ Se superpone con un registro de la otra empresa",IF(D206="Malcolm",IF(COUNTA(R206,S206,T206)&gt;0,"Estado/fechas proMX se ignoran en Malcolm",""),IF(BF206="Cancelled","Cancelado: excluido de totales",IF(R206="","Sin estado: se trata como Draft",IF(BF206="Submitted",IF(ISNUMBER(V206),IF(V206&gt;CFG_MAXD,"⚠ "&amp;V206&amp;" días en Submitted (máx. "&amp;CFG_MAXD&amp;")",""),"Falta fecha de envío"),IF(BF206="Returned","⚠ Devuelto: corregir y reenviar",IF(BF206="Recall Requested","Retirada solicitada: pendiente",IF(AND(BF206="Approved",NOT(ISNUMBER(T206))),"Falta fecha de aprobación",IF(AND(ISNUMBER(S206),ISNUMBER(T206),T206&lt;S206),"Aprobación anterior al envío","")))))))))</f>
        <v/>
      </c>
      <c r="Y206" s="80">
        <f>IF(COUNTA(B206,D206,E206,F206,G206,H206,I206,J206,R206,S206,T206)&gt;0,1,0)</f>
        <v>0</v>
      </c>
      <c r="Z206" s="80" t="str">
        <f>IF(AND(ISNUMBER(H206),H206&gt;=0,H206&lt;1),ROUND(H206*1440,0),"")</f>
        <v/>
      </c>
      <c r="AA206" s="80" t="str">
        <f>IF(AND(ISNUMBER(I206),I206&gt;=0,I206&lt;1),ROUND(I206*1440,0),"")</f>
        <v/>
      </c>
      <c r="AB206" s="80">
        <f>IF(AND(ISNUMBER(B206),D206&lt;&gt;"",ISNUMBER(Z206),ISNUMBER(AA206)),IF(Z206=AA206,0,1),0)</f>
        <v>0</v>
      </c>
      <c r="AC206" s="80">
        <f>IF(AB206=1,IF(AA206&lt;Z206,1,0),0)</f>
        <v>0</v>
      </c>
      <c r="AD206" s="80">
        <f>IF(AB206=1,IF(AC206=1,1440-Z206+AA206,AA206-Z206),0)</f>
        <v>0</v>
      </c>
      <c r="AE206" s="80">
        <f>IF(J206="",0,IF(ISNUMBER(J206),J206,-1))</f>
        <v>0</v>
      </c>
      <c r="AF206" s="80">
        <f>MIN(MAX(0,AE206),AD206)</f>
        <v>0</v>
      </c>
      <c r="AG206" s="80">
        <f>MAX(0,AD206-MAX(0,AE206))</f>
        <v>0</v>
      </c>
      <c r="AH206" s="80">
        <f>IF(ISNUMBER(B206),IF(AND(INDEX(CFG_WDAYS,WEEKDAY(INT(B206),2))="Sí",IF(D206="proMX",COUNTIFS(FER_F,INT(B206),FER_NLP,"Sí"),COUNTIFS(FER_F,INT(B206),FER_NLM,"Sí"))=0),1,0),0)</f>
        <v>0</v>
      </c>
      <c r="AI206" s="80">
        <f>IF(AC206=1,IF(AND(INDEX(CFG_WDAYS,WEEKDAY(INT(B206)+1,2))="Sí",IF(D206="proMX",COUNTIFS(FER_F,INT(B206)+1,FER_NLP,"Sí"),COUNTIFS(FER_F,INT(B206)+1,FER_NLM,"Sí"))=0),1,0),0)</f>
        <v>0</v>
      </c>
      <c r="AJ206" s="80">
        <f>IF(AC206=1,1440-Z206,AD206)</f>
        <v>0</v>
      </c>
      <c r="AK206" s="80">
        <f>IF(AND(AB206=1,AH206=1),MAX(0,MIN(IF(AC206=1,1440,AA206),CFG_WEM)-MAX(Z206,CFG_WSM)),0)</f>
        <v>0</v>
      </c>
      <c r="AL206" s="80">
        <f>IF(AND(AC206=1,AI206=1),MAX(0,MIN(AA206,CFG_WEM)-CFG_WSM),0)</f>
        <v>0</v>
      </c>
      <c r="AM206" s="80">
        <f>AK206+AL206</f>
        <v>0</v>
      </c>
      <c r="AN206" s="80">
        <f>IF(CFG_BRK="Proporcional",IF(AD206=0,0,AF206*AM206/AD206),IF(CFG_BRK="Extras primero",MIN(AM206,MAX(0,AF206-(AD206-AM206))),MIN(AF206,AM206)))</f>
        <v>0</v>
      </c>
      <c r="AO206" s="80">
        <f>AF206-AN206</f>
        <v>0</v>
      </c>
      <c r="AP206" s="80">
        <f>AM206-AN206</f>
        <v>0</v>
      </c>
      <c r="AQ206" s="80">
        <f>AD206-AM206-AO206</f>
        <v>0</v>
      </c>
      <c r="AR206" s="80">
        <f>IF(AM206=0,0,AK206-AN206*AK206/AM206)</f>
        <v>0</v>
      </c>
      <c r="AS206" s="80">
        <f>IF(AD206-AM206=0,0,(AJ206-AK206)-AO206*(AJ206-AK206)/(AD206-AM206))</f>
        <v>0</v>
      </c>
      <c r="AT206" s="80" t="str">
        <f>IF(AC206=1,INT(B206)+1,"")</f>
        <v/>
      </c>
      <c r="AU206" s="80">
        <f>IF(AND(D206="proMX",R206="Cancelled"),0,1)</f>
        <v>1</v>
      </c>
      <c r="AV206" s="80">
        <f>IF(AND(AB206=1,AU206=1),IF(COUNTIFS($D$5:D205,D206,$B$5:B205,B206,$Z$5:Z205,Z206,$AA$5:AA205,AA206,$F$5:F205,F206&amp;"",$AU$5:AU205,1)&gt;0,1,0),0)</f>
        <v>0</v>
      </c>
      <c r="AW206" s="80" t="str">
        <f>IF(AB206=1,INT(B206)*1440+Z206,"")</f>
        <v/>
      </c>
      <c r="AX206" s="80" t="str">
        <f>IF(AB206=1,AW206+AD206,"")</f>
        <v/>
      </c>
      <c r="AY206" s="80">
        <f>IF(AND(AB206=1,AV206=0,AU206=1),1,0)</f>
        <v>0</v>
      </c>
      <c r="AZ206" s="80">
        <f>IF(AY206=1,COUNTIFS(R_Emp,D206,R_SAbs,"&lt;"&amp;AX206,R_EAbs,"&gt;"&amp;AW206,R_OKey,1)-1,0)</f>
        <v>0</v>
      </c>
      <c r="BA206" s="80">
        <f>IF(AY206=1,COUNTIFS(R_Emp,"&lt;&gt;"&amp;D206,R_SAbs,"&lt;"&amp;AX206,R_EAbs,"&gt;"&amp;AW206,R_OKey,1),0)</f>
        <v>0</v>
      </c>
      <c r="BB206" s="80">
        <f>IF(AND(AB206=1,D206="proMX"),IF(AND(MOD(Z206,CFG_BLK)=0,MOD(AA206,CFG_BLK)=0,MOD(AG206,CFG_BLK)=0,AG206&gt;0),1,0),1)</f>
        <v>1</v>
      </c>
      <c r="BC206" s="80" t="str">
        <f>IF(Y206=0,"",IF(NOT(ISNUMBER(B206)),"Falta fecha o fecha inválida",IF(D206="","Falta empresa",IF(AND(D206&lt;&gt;"Malcolm",D206&lt;&gt;"proMX"),"Empresa inválida",IF(OR(INT(B206)&lt;CFG_PSTART,INT(B206)&gt;CFG_PEND),"Fecha fuera del período",IF(OR(NOT(ISNUMBER(Z206)),NOT(ISNUMBER(AA206))),"Falta hora inicio/fin o formato inválido",IF(AB206=0,"Hora inicio = hora fin",IF(AE206&lt;0,"Descanso inválido",IF(AE206&gt;=AD206,"Descanso ≥ duración",IF(AV206=1,"Registro duplicado",IF(AZ206&gt;0,"Se superpone con otro registro "&amp;D206,IF(BB206=0,"inicio, fin y duración neta deben ser múltiplos de "&amp;CFG_BLK&amp;" min",""))))))))))))</f>
        <v/>
      </c>
      <c r="BD206" s="80">
        <f>IF(AND(Y206=1,BC206=""),1,0)</f>
        <v>0</v>
      </c>
      <c r="BE206" s="80">
        <f>IF(AND(BD206=1,AU206=1),1,0)</f>
        <v>0</v>
      </c>
      <c r="BF206" s="80" t="str">
        <f>IF(AND(D206="proMX",BD206=1),IF(R206="","Draft",R206),"")</f>
        <v/>
      </c>
      <c r="BG206" s="80">
        <f>IF(BD206=1,ROUND(AG206/60,6),0)</f>
        <v>0</v>
      </c>
      <c r="BH206" s="80">
        <f>IF(BE206=1,ROUND(AG206/60,6),0)</f>
        <v>0</v>
      </c>
      <c r="BI206" s="80">
        <f>IF(BE206=1,ROUND(AP206/60,6),0)</f>
        <v>0</v>
      </c>
      <c r="BJ206" s="80">
        <f>IF(BE206=1,ROUND(AQ206/60,6),0)</f>
        <v>0</v>
      </c>
      <c r="BK206" s="80">
        <f>IF(BE206=1,ROUND((AR206+AS206)/60,6),0)</f>
        <v>0</v>
      </c>
      <c r="BL206" s="80">
        <f>ROUND(BH206-BK206,6)</f>
        <v>0</v>
      </c>
      <c r="BM206" s="80">
        <f>IF(BE206=1,ROUND(AR206/60,6),0)</f>
        <v>0</v>
      </c>
      <c r="BN206" s="80">
        <f>ROUND(BI206-BM206,6)</f>
        <v>0</v>
      </c>
      <c r="BO206" s="80">
        <f>IF(BE206=1,ROUND(AS206/60,6),0)</f>
        <v>0</v>
      </c>
      <c r="BP206" s="80">
        <f>ROUND(BJ206-BO206,6)</f>
        <v>0</v>
      </c>
      <c r="BQ206" s="80">
        <f>IF(BE206=1,AW206,0)</f>
        <v>0</v>
      </c>
      <c r="BR206" s="80">
        <f>IF(BE206=1,AX206,0)</f>
        <v>0</v>
      </c>
      <c r="BS206" s="80">
        <f>IF(AND(BE206=1,D206="Malcolm",BA206&gt;0),MIN(BH206,SUMPRODUCT((R_Emp="proMX")*(R_EN&gt;0)*((R_EN-(R_EN&gt;BR206)*(R_EN-BR206))&gt;(R_SN+(R_SN&lt;BQ206)*(BQ206-R_SN)))*((R_EN-(R_EN&gt;BR206)*(R_EN-BR206))-(R_SN+(R_SN&lt;BQ206)*(BQ206-R_SN))))/60),0)</f>
        <v>0</v>
      </c>
      <c r="BT206" s="80">
        <f>IF(AND(BE206=1,D206="proMX"),ROUND(BI206*CFG_RATE+BJ206*CFG_OTRATE,6),0)</f>
        <v>0</v>
      </c>
      <c r="BU206" s="80">
        <f>IF(AND(BD206=1,D206="proMX"),ROUND(AG206/CFG_BLK,6),0)</f>
        <v>0</v>
      </c>
      <c r="BV206" s="80" t="str">
        <f>IF(BF206="Approved",IF(ISNUMBER(T206),INT(T206),INT(B206)),"")</f>
        <v/>
      </c>
      <c r="BW206" s="80">
        <f>IF(ISNUMBER(B206),IF(DB_MON="Todos",1,IF(AND(INT(B206)&gt;=DB_MS,INT(B206)&lt;=DB_ME),1,0)),0)</f>
        <v>0</v>
      </c>
      <c r="BX206" s="80">
        <f>IF(DB_PROJ="Todos",1,IF(E206&amp;""=DB_PROJ&amp;"",1,0))</f>
        <v>1</v>
      </c>
      <c r="BY206" s="80">
        <f>BW206*BX206</f>
        <v>0</v>
      </c>
      <c r="BZ206" s="80" t="str">
        <f>IF(Y206=1,F206&amp;IF(AND(F206&amp;""&lt;&gt;"",E206&amp;""&lt;&gt;"")," · ","")&amp;E206,"")</f>
        <v/>
      </c>
      <c r="CA206" s="80" t="str">
        <f>IF(AND(BD206=1,E206&amp;""&lt;&gt;""),IF(COUNTIFS($E$5:E205,E206,$BD$5:BD205,1)=0,MAX($CA$5:CA205)+1,""),"")</f>
        <v/>
      </c>
      <c r="CB206" s="80" t="str">
        <f>IF(AND(BE206=1,D206="Malcolm",E206&amp;""&lt;&gt;""),IF(COUNTIFS($D$5:D205,"Malcolm",$E$5:E205,E206,$BE$5:BE205,1)=0,MAX($CB$5:CB205)+1,""),"")</f>
        <v/>
      </c>
      <c r="CC206" s="80" t="str">
        <f>IF(AND(BD206=1,D206="proMX",E206&amp;""&lt;&gt;""),IF(COUNTIFS($D$5:D205,"proMX",$E$5:E205,E206,$BD$5:BD205,1)=0,MAX($CC$5:CC205)+1,""),"")</f>
        <v/>
      </c>
      <c r="CD206" s="80" t="str">
        <f>IF(AND(BE206=1,D206="Malcolm",F206&amp;""&lt;&gt;""),IF(COUNTIFS($D$5:D205,"Malcolm",$F$5:F205,F206,$BE$5:BE205,1)=0,MAX($CD$5:CD205)+1,""),"")</f>
        <v/>
      </c>
      <c r="CE206" s="80" t="str">
        <f>IF(AND(BD206=1,D206="proMX",F206&amp;""&lt;&gt;""),IF(COUNTIFS($D$5:D205,"proMX",$F$5:F205,F206,$BD$5:BD205,1)=0,MAX($CE$5:CE205)+1,""),"")</f>
        <v/>
      </c>
      <c r="CF206" s="80" t="str">
        <f>IF(AND(D206="proMX",BD206=1),IF(OR(BF206="Draft",BF206="Submitted",BF206="Returned",BF206="Recall Requested"),MAX($CF$5:CF205)+1,""),"")</f>
        <v/>
      </c>
      <c r="CG206" s="80">
        <f>IF(BD206=0,0,IF(D206="Malcolm",1,MATCH(BF206,{"Draft","Submitted","Approved","Returned","Recall Requested","Cancelled"},0)+1))</f>
        <v>0</v>
      </c>
      <c r="CH206" s="80">
        <f>IF(AND(BF206="Submitted",ISNUMBER(V206)),IF(V206&gt;CFG_MAXD,1,0),0)</f>
        <v>0</v>
      </c>
    </row>
    <row r="207">
      <c r="A207" s="71" t="str">
        <f>IF(Y207=1,ROW()-5,"")</f>
        <v/>
      </c>
      <c r="B207" s="72" t="n"/>
      <c r="C207" s="71" t="str">
        <f>IF(ISNUMBER(B207),CHOOSE(WEEKDAY(B207,2),"Lun","Mar","Mié","Jue","Vie","Sáb","Dom"),"")</f>
        <v/>
      </c>
      <c r="D207" s="73" t="n"/>
      <c r="E207" s="74" t="n"/>
      <c r="F207" s="74" t="n"/>
      <c r="G207" s="74" t="n"/>
      <c r="H207" s="75" t="n"/>
      <c r="I207" s="75" t="n"/>
      <c r="J207" s="76" t="n"/>
      <c r="K207" s="77" t="str">
        <f>IF(AB207=1,ROUND(AG207/60,4),"")</f>
        <v/>
      </c>
      <c r="L207" s="77" t="str">
        <f>IF(BD207=1,ROUND(AP207/60,4),"")</f>
        <v/>
      </c>
      <c r="M207" s="77" t="str">
        <f>IF(BD207=1,ROUND(AQ207/60,4),"")</f>
        <v/>
      </c>
      <c r="N207" s="71" t="str">
        <f>IF(AND(D207="proMX",AB207=1),ROUND(AG207/CFG_BLK,2),"")</f>
        <v/>
      </c>
      <c r="O207" s="77" t="str">
        <f>IF(D207="proMX",IF(BD207=1,ROUND(AG207/60,4),0),"")</f>
        <v/>
      </c>
      <c r="P207" s="78" t="str">
        <f>IF(Y207=0,"",IF(BD207=1,"OK",IF(D207="proMX","Revisar bloques: ","Revisar: ")&amp;BC207))</f>
        <v/>
      </c>
      <c r="Q207" s="78" t="str">
        <f>IF(NOT(ISNUMBER(B207)),"",IF(COUNTIFS(FER_F,INT(B207))&gt;0,"Feriado"&amp;IF(AH207=1," (laborable)"," (no laborable)"),IF(AH207=1,"Laborable",IF(WEEKDAY(B207,2)&gt;5,"Fin de semana","No laborable"))))</f>
        <v/>
      </c>
      <c r="R207" s="73" t="n"/>
      <c r="S207" s="72" t="n"/>
      <c r="T207" s="72" t="n"/>
      <c r="U207" s="74" t="n"/>
      <c r="V207" s="79" t="str">
        <f>IF(AND(D207="proMX",OR(R207="Submitted",R207="Recall Requested"),ISNUMBER(S207)),CFG_TODAY-INT(S207),"")</f>
        <v/>
      </c>
      <c r="W207" s="78" t="str">
        <f>IF(BD207=0,"",IF(BA207&gt;0,"⚠ Se superpone con un registro de la otra empresa",IF(D207="Malcolm",IF(COUNTA(R207,S207,T207)&gt;0,"Estado/fechas proMX se ignoran en Malcolm",""),IF(BF207="Cancelled","Cancelado: excluido de totales",IF(R207="","Sin estado: se trata como Draft",IF(BF207="Submitted",IF(ISNUMBER(V207),IF(V207&gt;CFG_MAXD,"⚠ "&amp;V207&amp;" días en Submitted (máx. "&amp;CFG_MAXD&amp;")",""),"Falta fecha de envío"),IF(BF207="Returned","⚠ Devuelto: corregir y reenviar",IF(BF207="Recall Requested","Retirada solicitada: pendiente",IF(AND(BF207="Approved",NOT(ISNUMBER(T207))),"Falta fecha de aprobación",IF(AND(ISNUMBER(S207),ISNUMBER(T207),T207&lt;S207),"Aprobación anterior al envío","")))))))))</f>
        <v/>
      </c>
      <c r="Y207" s="80">
        <f>IF(COUNTA(B207,D207,E207,F207,G207,H207,I207,J207,R207,S207,T207)&gt;0,1,0)</f>
        <v>0</v>
      </c>
      <c r="Z207" s="80" t="str">
        <f>IF(AND(ISNUMBER(H207),H207&gt;=0,H207&lt;1),ROUND(H207*1440,0),"")</f>
        <v/>
      </c>
      <c r="AA207" s="80" t="str">
        <f>IF(AND(ISNUMBER(I207),I207&gt;=0,I207&lt;1),ROUND(I207*1440,0),"")</f>
        <v/>
      </c>
      <c r="AB207" s="80">
        <f>IF(AND(ISNUMBER(B207),D207&lt;&gt;"",ISNUMBER(Z207),ISNUMBER(AA207)),IF(Z207=AA207,0,1),0)</f>
        <v>0</v>
      </c>
      <c r="AC207" s="80">
        <f>IF(AB207=1,IF(AA207&lt;Z207,1,0),0)</f>
        <v>0</v>
      </c>
      <c r="AD207" s="80">
        <f>IF(AB207=1,IF(AC207=1,1440-Z207+AA207,AA207-Z207),0)</f>
        <v>0</v>
      </c>
      <c r="AE207" s="80">
        <f>IF(J207="",0,IF(ISNUMBER(J207),J207,-1))</f>
        <v>0</v>
      </c>
      <c r="AF207" s="80">
        <f>MIN(MAX(0,AE207),AD207)</f>
        <v>0</v>
      </c>
      <c r="AG207" s="80">
        <f>MAX(0,AD207-MAX(0,AE207))</f>
        <v>0</v>
      </c>
      <c r="AH207" s="80">
        <f>IF(ISNUMBER(B207),IF(AND(INDEX(CFG_WDAYS,WEEKDAY(INT(B207),2))="Sí",IF(D207="proMX",COUNTIFS(FER_F,INT(B207),FER_NLP,"Sí"),COUNTIFS(FER_F,INT(B207),FER_NLM,"Sí"))=0),1,0),0)</f>
        <v>0</v>
      </c>
      <c r="AI207" s="80">
        <f>IF(AC207=1,IF(AND(INDEX(CFG_WDAYS,WEEKDAY(INT(B207)+1,2))="Sí",IF(D207="proMX",COUNTIFS(FER_F,INT(B207)+1,FER_NLP,"Sí"),COUNTIFS(FER_F,INT(B207)+1,FER_NLM,"Sí"))=0),1,0),0)</f>
        <v>0</v>
      </c>
      <c r="AJ207" s="80">
        <f>IF(AC207=1,1440-Z207,AD207)</f>
        <v>0</v>
      </c>
      <c r="AK207" s="80">
        <f>IF(AND(AB207=1,AH207=1),MAX(0,MIN(IF(AC207=1,1440,AA207),CFG_WEM)-MAX(Z207,CFG_WSM)),0)</f>
        <v>0</v>
      </c>
      <c r="AL207" s="80">
        <f>IF(AND(AC207=1,AI207=1),MAX(0,MIN(AA207,CFG_WEM)-CFG_WSM),0)</f>
        <v>0</v>
      </c>
      <c r="AM207" s="80">
        <f>AK207+AL207</f>
        <v>0</v>
      </c>
      <c r="AN207" s="80">
        <f>IF(CFG_BRK="Proporcional",IF(AD207=0,0,AF207*AM207/AD207),IF(CFG_BRK="Extras primero",MIN(AM207,MAX(0,AF207-(AD207-AM207))),MIN(AF207,AM207)))</f>
        <v>0</v>
      </c>
      <c r="AO207" s="80">
        <f>AF207-AN207</f>
        <v>0</v>
      </c>
      <c r="AP207" s="80">
        <f>AM207-AN207</f>
        <v>0</v>
      </c>
      <c r="AQ207" s="80">
        <f>AD207-AM207-AO207</f>
        <v>0</v>
      </c>
      <c r="AR207" s="80">
        <f>IF(AM207=0,0,AK207-AN207*AK207/AM207)</f>
        <v>0</v>
      </c>
      <c r="AS207" s="80">
        <f>IF(AD207-AM207=0,0,(AJ207-AK207)-AO207*(AJ207-AK207)/(AD207-AM207))</f>
        <v>0</v>
      </c>
      <c r="AT207" s="80" t="str">
        <f>IF(AC207=1,INT(B207)+1,"")</f>
        <v/>
      </c>
      <c r="AU207" s="80">
        <f>IF(AND(D207="proMX",R207="Cancelled"),0,1)</f>
        <v>1</v>
      </c>
      <c r="AV207" s="80">
        <f>IF(AND(AB207=1,AU207=1),IF(COUNTIFS($D$5:D206,D207,$B$5:B206,B207,$Z$5:Z206,Z207,$AA$5:AA206,AA207,$F$5:F206,F207&amp;"",$AU$5:AU206,1)&gt;0,1,0),0)</f>
        <v>0</v>
      </c>
      <c r="AW207" s="80" t="str">
        <f>IF(AB207=1,INT(B207)*1440+Z207,"")</f>
        <v/>
      </c>
      <c r="AX207" s="80" t="str">
        <f>IF(AB207=1,AW207+AD207,"")</f>
        <v/>
      </c>
      <c r="AY207" s="80">
        <f>IF(AND(AB207=1,AV207=0,AU207=1),1,0)</f>
        <v>0</v>
      </c>
      <c r="AZ207" s="80">
        <f>IF(AY207=1,COUNTIFS(R_Emp,D207,R_SAbs,"&lt;"&amp;AX207,R_EAbs,"&gt;"&amp;AW207,R_OKey,1)-1,0)</f>
        <v>0</v>
      </c>
      <c r="BA207" s="80">
        <f>IF(AY207=1,COUNTIFS(R_Emp,"&lt;&gt;"&amp;D207,R_SAbs,"&lt;"&amp;AX207,R_EAbs,"&gt;"&amp;AW207,R_OKey,1),0)</f>
        <v>0</v>
      </c>
      <c r="BB207" s="80">
        <f>IF(AND(AB207=1,D207="proMX"),IF(AND(MOD(Z207,CFG_BLK)=0,MOD(AA207,CFG_BLK)=0,MOD(AG207,CFG_BLK)=0,AG207&gt;0),1,0),1)</f>
        <v>1</v>
      </c>
      <c r="BC207" s="80" t="str">
        <f>IF(Y207=0,"",IF(NOT(ISNUMBER(B207)),"Falta fecha o fecha inválida",IF(D207="","Falta empresa",IF(AND(D207&lt;&gt;"Malcolm",D207&lt;&gt;"proMX"),"Empresa inválida",IF(OR(INT(B207)&lt;CFG_PSTART,INT(B207)&gt;CFG_PEND),"Fecha fuera del período",IF(OR(NOT(ISNUMBER(Z207)),NOT(ISNUMBER(AA207))),"Falta hora inicio/fin o formato inválido",IF(AB207=0,"Hora inicio = hora fin",IF(AE207&lt;0,"Descanso inválido",IF(AE207&gt;=AD207,"Descanso ≥ duración",IF(AV207=1,"Registro duplicado",IF(AZ207&gt;0,"Se superpone con otro registro "&amp;D207,IF(BB207=0,"inicio, fin y duración neta deben ser múltiplos de "&amp;CFG_BLK&amp;" min",""))))))))))))</f>
        <v/>
      </c>
      <c r="BD207" s="80">
        <f>IF(AND(Y207=1,BC207=""),1,0)</f>
        <v>0</v>
      </c>
      <c r="BE207" s="80">
        <f>IF(AND(BD207=1,AU207=1),1,0)</f>
        <v>0</v>
      </c>
      <c r="BF207" s="80" t="str">
        <f>IF(AND(D207="proMX",BD207=1),IF(R207="","Draft",R207),"")</f>
        <v/>
      </c>
      <c r="BG207" s="80">
        <f>IF(BD207=1,ROUND(AG207/60,6),0)</f>
        <v>0</v>
      </c>
      <c r="BH207" s="80">
        <f>IF(BE207=1,ROUND(AG207/60,6),0)</f>
        <v>0</v>
      </c>
      <c r="BI207" s="80">
        <f>IF(BE207=1,ROUND(AP207/60,6),0)</f>
        <v>0</v>
      </c>
      <c r="BJ207" s="80">
        <f>IF(BE207=1,ROUND(AQ207/60,6),0)</f>
        <v>0</v>
      </c>
      <c r="BK207" s="80">
        <f>IF(BE207=1,ROUND((AR207+AS207)/60,6),0)</f>
        <v>0</v>
      </c>
      <c r="BL207" s="80">
        <f>ROUND(BH207-BK207,6)</f>
        <v>0</v>
      </c>
      <c r="BM207" s="80">
        <f>IF(BE207=1,ROUND(AR207/60,6),0)</f>
        <v>0</v>
      </c>
      <c r="BN207" s="80">
        <f>ROUND(BI207-BM207,6)</f>
        <v>0</v>
      </c>
      <c r="BO207" s="80">
        <f>IF(BE207=1,ROUND(AS207/60,6),0)</f>
        <v>0</v>
      </c>
      <c r="BP207" s="80">
        <f>ROUND(BJ207-BO207,6)</f>
        <v>0</v>
      </c>
      <c r="BQ207" s="80">
        <f>IF(BE207=1,AW207,0)</f>
        <v>0</v>
      </c>
      <c r="BR207" s="80">
        <f>IF(BE207=1,AX207,0)</f>
        <v>0</v>
      </c>
      <c r="BS207" s="80">
        <f>IF(AND(BE207=1,D207="Malcolm",BA207&gt;0),MIN(BH207,SUMPRODUCT((R_Emp="proMX")*(R_EN&gt;0)*((R_EN-(R_EN&gt;BR207)*(R_EN-BR207))&gt;(R_SN+(R_SN&lt;BQ207)*(BQ207-R_SN)))*((R_EN-(R_EN&gt;BR207)*(R_EN-BR207))-(R_SN+(R_SN&lt;BQ207)*(BQ207-R_SN))))/60),0)</f>
        <v>0</v>
      </c>
      <c r="BT207" s="80">
        <f>IF(AND(BE207=1,D207="proMX"),ROUND(BI207*CFG_RATE+BJ207*CFG_OTRATE,6),0)</f>
        <v>0</v>
      </c>
      <c r="BU207" s="80">
        <f>IF(AND(BD207=1,D207="proMX"),ROUND(AG207/CFG_BLK,6),0)</f>
        <v>0</v>
      </c>
      <c r="BV207" s="80" t="str">
        <f>IF(BF207="Approved",IF(ISNUMBER(T207),INT(T207),INT(B207)),"")</f>
        <v/>
      </c>
      <c r="BW207" s="80">
        <f>IF(ISNUMBER(B207),IF(DB_MON="Todos",1,IF(AND(INT(B207)&gt;=DB_MS,INT(B207)&lt;=DB_ME),1,0)),0)</f>
        <v>0</v>
      </c>
      <c r="BX207" s="80">
        <f>IF(DB_PROJ="Todos",1,IF(E207&amp;""=DB_PROJ&amp;"",1,0))</f>
        <v>1</v>
      </c>
      <c r="BY207" s="80">
        <f>BW207*BX207</f>
        <v>0</v>
      </c>
      <c r="BZ207" s="80" t="str">
        <f>IF(Y207=1,F207&amp;IF(AND(F207&amp;""&lt;&gt;"",E207&amp;""&lt;&gt;"")," · ","")&amp;E207,"")</f>
        <v/>
      </c>
      <c r="CA207" s="80" t="str">
        <f>IF(AND(BD207=1,E207&amp;""&lt;&gt;""),IF(COUNTIFS($E$5:E206,E207,$BD$5:BD206,1)=0,MAX($CA$5:CA206)+1,""),"")</f>
        <v/>
      </c>
      <c r="CB207" s="80" t="str">
        <f>IF(AND(BE207=1,D207="Malcolm",E207&amp;""&lt;&gt;""),IF(COUNTIFS($D$5:D206,"Malcolm",$E$5:E206,E207,$BE$5:BE206,1)=0,MAX($CB$5:CB206)+1,""),"")</f>
        <v/>
      </c>
      <c r="CC207" s="80" t="str">
        <f>IF(AND(BD207=1,D207="proMX",E207&amp;""&lt;&gt;""),IF(COUNTIFS($D$5:D206,"proMX",$E$5:E206,E207,$BD$5:BD206,1)=0,MAX($CC$5:CC206)+1,""),"")</f>
        <v/>
      </c>
      <c r="CD207" s="80" t="str">
        <f>IF(AND(BE207=1,D207="Malcolm",F207&amp;""&lt;&gt;""),IF(COUNTIFS($D$5:D206,"Malcolm",$F$5:F206,F207,$BE$5:BE206,1)=0,MAX($CD$5:CD206)+1,""),"")</f>
        <v/>
      </c>
      <c r="CE207" s="80" t="str">
        <f>IF(AND(BD207=1,D207="proMX",F207&amp;""&lt;&gt;""),IF(COUNTIFS($D$5:D206,"proMX",$F$5:F206,F207,$BD$5:BD206,1)=0,MAX($CE$5:CE206)+1,""),"")</f>
        <v/>
      </c>
      <c r="CF207" s="80" t="str">
        <f>IF(AND(D207="proMX",BD207=1),IF(OR(BF207="Draft",BF207="Submitted",BF207="Returned",BF207="Recall Requested"),MAX($CF$5:CF206)+1,""),"")</f>
        <v/>
      </c>
      <c r="CG207" s="80">
        <f>IF(BD207=0,0,IF(D207="Malcolm",1,MATCH(BF207,{"Draft","Submitted","Approved","Returned","Recall Requested","Cancelled"},0)+1))</f>
        <v>0</v>
      </c>
      <c r="CH207" s="80">
        <f>IF(AND(BF207="Submitted",ISNUMBER(V207)),IF(V207&gt;CFG_MAXD,1,0),0)</f>
        <v>0</v>
      </c>
    </row>
    <row r="208">
      <c r="A208" s="71" t="str">
        <f>IF(Y208=1,ROW()-5,"")</f>
        <v/>
      </c>
      <c r="B208" s="72" t="n"/>
      <c r="C208" s="71" t="str">
        <f>IF(ISNUMBER(B208),CHOOSE(WEEKDAY(B208,2),"Lun","Mar","Mié","Jue","Vie","Sáb","Dom"),"")</f>
        <v/>
      </c>
      <c r="D208" s="73" t="n"/>
      <c r="E208" s="74" t="n"/>
      <c r="F208" s="74" t="n"/>
      <c r="G208" s="74" t="n"/>
      <c r="H208" s="75" t="n"/>
      <c r="I208" s="75" t="n"/>
      <c r="J208" s="76" t="n"/>
      <c r="K208" s="77" t="str">
        <f>IF(AB208=1,ROUND(AG208/60,4),"")</f>
        <v/>
      </c>
      <c r="L208" s="77" t="str">
        <f>IF(BD208=1,ROUND(AP208/60,4),"")</f>
        <v/>
      </c>
      <c r="M208" s="77" t="str">
        <f>IF(BD208=1,ROUND(AQ208/60,4),"")</f>
        <v/>
      </c>
      <c r="N208" s="71" t="str">
        <f>IF(AND(D208="proMX",AB208=1),ROUND(AG208/CFG_BLK,2),"")</f>
        <v/>
      </c>
      <c r="O208" s="77" t="str">
        <f>IF(D208="proMX",IF(BD208=1,ROUND(AG208/60,4),0),"")</f>
        <v/>
      </c>
      <c r="P208" s="78" t="str">
        <f>IF(Y208=0,"",IF(BD208=1,"OK",IF(D208="proMX","Revisar bloques: ","Revisar: ")&amp;BC208))</f>
        <v/>
      </c>
      <c r="Q208" s="78" t="str">
        <f>IF(NOT(ISNUMBER(B208)),"",IF(COUNTIFS(FER_F,INT(B208))&gt;0,"Feriado"&amp;IF(AH208=1," (laborable)"," (no laborable)"),IF(AH208=1,"Laborable",IF(WEEKDAY(B208,2)&gt;5,"Fin de semana","No laborable"))))</f>
        <v/>
      </c>
      <c r="R208" s="73" t="n"/>
      <c r="S208" s="72" t="n"/>
      <c r="T208" s="72" t="n"/>
      <c r="U208" s="74" t="n"/>
      <c r="V208" s="79" t="str">
        <f>IF(AND(D208="proMX",OR(R208="Submitted",R208="Recall Requested"),ISNUMBER(S208)),CFG_TODAY-INT(S208),"")</f>
        <v/>
      </c>
      <c r="W208" s="78" t="str">
        <f>IF(BD208=0,"",IF(BA208&gt;0,"⚠ Se superpone con un registro de la otra empresa",IF(D208="Malcolm",IF(COUNTA(R208,S208,T208)&gt;0,"Estado/fechas proMX se ignoran en Malcolm",""),IF(BF208="Cancelled","Cancelado: excluido de totales",IF(R208="","Sin estado: se trata como Draft",IF(BF208="Submitted",IF(ISNUMBER(V208),IF(V208&gt;CFG_MAXD,"⚠ "&amp;V208&amp;" días en Submitted (máx. "&amp;CFG_MAXD&amp;")",""),"Falta fecha de envío"),IF(BF208="Returned","⚠ Devuelto: corregir y reenviar",IF(BF208="Recall Requested","Retirada solicitada: pendiente",IF(AND(BF208="Approved",NOT(ISNUMBER(T208))),"Falta fecha de aprobación",IF(AND(ISNUMBER(S208),ISNUMBER(T208),T208&lt;S208),"Aprobación anterior al envío","")))))))))</f>
        <v/>
      </c>
      <c r="Y208" s="80">
        <f>IF(COUNTA(B208,D208,E208,F208,G208,H208,I208,J208,R208,S208,T208)&gt;0,1,0)</f>
        <v>0</v>
      </c>
      <c r="Z208" s="80" t="str">
        <f>IF(AND(ISNUMBER(H208),H208&gt;=0,H208&lt;1),ROUND(H208*1440,0),"")</f>
        <v/>
      </c>
      <c r="AA208" s="80" t="str">
        <f>IF(AND(ISNUMBER(I208),I208&gt;=0,I208&lt;1),ROUND(I208*1440,0),"")</f>
        <v/>
      </c>
      <c r="AB208" s="80">
        <f>IF(AND(ISNUMBER(B208),D208&lt;&gt;"",ISNUMBER(Z208),ISNUMBER(AA208)),IF(Z208=AA208,0,1),0)</f>
        <v>0</v>
      </c>
      <c r="AC208" s="80">
        <f>IF(AB208=1,IF(AA208&lt;Z208,1,0),0)</f>
        <v>0</v>
      </c>
      <c r="AD208" s="80">
        <f>IF(AB208=1,IF(AC208=1,1440-Z208+AA208,AA208-Z208),0)</f>
        <v>0</v>
      </c>
      <c r="AE208" s="80">
        <f>IF(J208="",0,IF(ISNUMBER(J208),J208,-1))</f>
        <v>0</v>
      </c>
      <c r="AF208" s="80">
        <f>MIN(MAX(0,AE208),AD208)</f>
        <v>0</v>
      </c>
      <c r="AG208" s="80">
        <f>MAX(0,AD208-MAX(0,AE208))</f>
        <v>0</v>
      </c>
      <c r="AH208" s="80">
        <f>IF(ISNUMBER(B208),IF(AND(INDEX(CFG_WDAYS,WEEKDAY(INT(B208),2))="Sí",IF(D208="proMX",COUNTIFS(FER_F,INT(B208),FER_NLP,"Sí"),COUNTIFS(FER_F,INT(B208),FER_NLM,"Sí"))=0),1,0),0)</f>
        <v>0</v>
      </c>
      <c r="AI208" s="80">
        <f>IF(AC208=1,IF(AND(INDEX(CFG_WDAYS,WEEKDAY(INT(B208)+1,2))="Sí",IF(D208="proMX",COUNTIFS(FER_F,INT(B208)+1,FER_NLP,"Sí"),COUNTIFS(FER_F,INT(B208)+1,FER_NLM,"Sí"))=0),1,0),0)</f>
        <v>0</v>
      </c>
      <c r="AJ208" s="80">
        <f>IF(AC208=1,1440-Z208,AD208)</f>
        <v>0</v>
      </c>
      <c r="AK208" s="80">
        <f>IF(AND(AB208=1,AH208=1),MAX(0,MIN(IF(AC208=1,1440,AA208),CFG_WEM)-MAX(Z208,CFG_WSM)),0)</f>
        <v>0</v>
      </c>
      <c r="AL208" s="80">
        <f>IF(AND(AC208=1,AI208=1),MAX(0,MIN(AA208,CFG_WEM)-CFG_WSM),0)</f>
        <v>0</v>
      </c>
      <c r="AM208" s="80">
        <f>AK208+AL208</f>
        <v>0</v>
      </c>
      <c r="AN208" s="80">
        <f>IF(CFG_BRK="Proporcional",IF(AD208=0,0,AF208*AM208/AD208),IF(CFG_BRK="Extras primero",MIN(AM208,MAX(0,AF208-(AD208-AM208))),MIN(AF208,AM208)))</f>
        <v>0</v>
      </c>
      <c r="AO208" s="80">
        <f>AF208-AN208</f>
        <v>0</v>
      </c>
      <c r="AP208" s="80">
        <f>AM208-AN208</f>
        <v>0</v>
      </c>
      <c r="AQ208" s="80">
        <f>AD208-AM208-AO208</f>
        <v>0</v>
      </c>
      <c r="AR208" s="80">
        <f>IF(AM208=0,0,AK208-AN208*AK208/AM208)</f>
        <v>0</v>
      </c>
      <c r="AS208" s="80">
        <f>IF(AD208-AM208=0,0,(AJ208-AK208)-AO208*(AJ208-AK208)/(AD208-AM208))</f>
        <v>0</v>
      </c>
      <c r="AT208" s="80" t="str">
        <f>IF(AC208=1,INT(B208)+1,"")</f>
        <v/>
      </c>
      <c r="AU208" s="80">
        <f>IF(AND(D208="proMX",R208="Cancelled"),0,1)</f>
        <v>1</v>
      </c>
      <c r="AV208" s="80">
        <f>IF(AND(AB208=1,AU208=1),IF(COUNTIFS($D$5:D207,D208,$B$5:B207,B208,$Z$5:Z207,Z208,$AA$5:AA207,AA208,$F$5:F207,F208&amp;"",$AU$5:AU207,1)&gt;0,1,0),0)</f>
        <v>0</v>
      </c>
      <c r="AW208" s="80" t="str">
        <f>IF(AB208=1,INT(B208)*1440+Z208,"")</f>
        <v/>
      </c>
      <c r="AX208" s="80" t="str">
        <f>IF(AB208=1,AW208+AD208,"")</f>
        <v/>
      </c>
      <c r="AY208" s="80">
        <f>IF(AND(AB208=1,AV208=0,AU208=1),1,0)</f>
        <v>0</v>
      </c>
      <c r="AZ208" s="80">
        <f>IF(AY208=1,COUNTIFS(R_Emp,D208,R_SAbs,"&lt;"&amp;AX208,R_EAbs,"&gt;"&amp;AW208,R_OKey,1)-1,0)</f>
        <v>0</v>
      </c>
      <c r="BA208" s="80">
        <f>IF(AY208=1,COUNTIFS(R_Emp,"&lt;&gt;"&amp;D208,R_SAbs,"&lt;"&amp;AX208,R_EAbs,"&gt;"&amp;AW208,R_OKey,1),0)</f>
        <v>0</v>
      </c>
      <c r="BB208" s="80">
        <f>IF(AND(AB208=1,D208="proMX"),IF(AND(MOD(Z208,CFG_BLK)=0,MOD(AA208,CFG_BLK)=0,MOD(AG208,CFG_BLK)=0,AG208&gt;0),1,0),1)</f>
        <v>1</v>
      </c>
      <c r="BC208" s="80" t="str">
        <f>IF(Y208=0,"",IF(NOT(ISNUMBER(B208)),"Falta fecha o fecha inválida",IF(D208="","Falta empresa",IF(AND(D208&lt;&gt;"Malcolm",D208&lt;&gt;"proMX"),"Empresa inválida",IF(OR(INT(B208)&lt;CFG_PSTART,INT(B208)&gt;CFG_PEND),"Fecha fuera del período",IF(OR(NOT(ISNUMBER(Z208)),NOT(ISNUMBER(AA208))),"Falta hora inicio/fin o formato inválido",IF(AB208=0,"Hora inicio = hora fin",IF(AE208&lt;0,"Descanso inválido",IF(AE208&gt;=AD208,"Descanso ≥ duración",IF(AV208=1,"Registro duplicado",IF(AZ208&gt;0,"Se superpone con otro registro "&amp;D208,IF(BB208=0,"inicio, fin y duración neta deben ser múltiplos de "&amp;CFG_BLK&amp;" min",""))))))))))))</f>
        <v/>
      </c>
      <c r="BD208" s="80">
        <f>IF(AND(Y208=1,BC208=""),1,0)</f>
        <v>0</v>
      </c>
      <c r="BE208" s="80">
        <f>IF(AND(BD208=1,AU208=1),1,0)</f>
        <v>0</v>
      </c>
      <c r="BF208" s="80" t="str">
        <f>IF(AND(D208="proMX",BD208=1),IF(R208="","Draft",R208),"")</f>
        <v/>
      </c>
      <c r="BG208" s="80">
        <f>IF(BD208=1,ROUND(AG208/60,6),0)</f>
        <v>0</v>
      </c>
      <c r="BH208" s="80">
        <f>IF(BE208=1,ROUND(AG208/60,6),0)</f>
        <v>0</v>
      </c>
      <c r="BI208" s="80">
        <f>IF(BE208=1,ROUND(AP208/60,6),0)</f>
        <v>0</v>
      </c>
      <c r="BJ208" s="80">
        <f>IF(BE208=1,ROUND(AQ208/60,6),0)</f>
        <v>0</v>
      </c>
      <c r="BK208" s="80">
        <f>IF(BE208=1,ROUND((AR208+AS208)/60,6),0)</f>
        <v>0</v>
      </c>
      <c r="BL208" s="80">
        <f>ROUND(BH208-BK208,6)</f>
        <v>0</v>
      </c>
      <c r="BM208" s="80">
        <f>IF(BE208=1,ROUND(AR208/60,6),0)</f>
        <v>0</v>
      </c>
      <c r="BN208" s="80">
        <f>ROUND(BI208-BM208,6)</f>
        <v>0</v>
      </c>
      <c r="BO208" s="80">
        <f>IF(BE208=1,ROUND(AS208/60,6),0)</f>
        <v>0</v>
      </c>
      <c r="BP208" s="80">
        <f>ROUND(BJ208-BO208,6)</f>
        <v>0</v>
      </c>
      <c r="BQ208" s="80">
        <f>IF(BE208=1,AW208,0)</f>
        <v>0</v>
      </c>
      <c r="BR208" s="80">
        <f>IF(BE208=1,AX208,0)</f>
        <v>0</v>
      </c>
      <c r="BS208" s="80">
        <f>IF(AND(BE208=1,D208="Malcolm",BA208&gt;0),MIN(BH208,SUMPRODUCT((R_Emp="proMX")*(R_EN&gt;0)*((R_EN-(R_EN&gt;BR208)*(R_EN-BR208))&gt;(R_SN+(R_SN&lt;BQ208)*(BQ208-R_SN)))*((R_EN-(R_EN&gt;BR208)*(R_EN-BR208))-(R_SN+(R_SN&lt;BQ208)*(BQ208-R_SN))))/60),0)</f>
        <v>0</v>
      </c>
      <c r="BT208" s="80">
        <f>IF(AND(BE208=1,D208="proMX"),ROUND(BI208*CFG_RATE+BJ208*CFG_OTRATE,6),0)</f>
        <v>0</v>
      </c>
      <c r="BU208" s="80">
        <f>IF(AND(BD208=1,D208="proMX"),ROUND(AG208/CFG_BLK,6),0)</f>
        <v>0</v>
      </c>
      <c r="BV208" s="80" t="str">
        <f>IF(BF208="Approved",IF(ISNUMBER(T208),INT(T208),INT(B208)),"")</f>
        <v/>
      </c>
      <c r="BW208" s="80">
        <f>IF(ISNUMBER(B208),IF(DB_MON="Todos",1,IF(AND(INT(B208)&gt;=DB_MS,INT(B208)&lt;=DB_ME),1,0)),0)</f>
        <v>0</v>
      </c>
      <c r="BX208" s="80">
        <f>IF(DB_PROJ="Todos",1,IF(E208&amp;""=DB_PROJ&amp;"",1,0))</f>
        <v>1</v>
      </c>
      <c r="BY208" s="80">
        <f>BW208*BX208</f>
        <v>0</v>
      </c>
      <c r="BZ208" s="80" t="str">
        <f>IF(Y208=1,F208&amp;IF(AND(F208&amp;""&lt;&gt;"",E208&amp;""&lt;&gt;"")," · ","")&amp;E208,"")</f>
        <v/>
      </c>
      <c r="CA208" s="80" t="str">
        <f>IF(AND(BD208=1,E208&amp;""&lt;&gt;""),IF(COUNTIFS($E$5:E207,E208,$BD$5:BD207,1)=0,MAX($CA$5:CA207)+1,""),"")</f>
        <v/>
      </c>
      <c r="CB208" s="80" t="str">
        <f>IF(AND(BE208=1,D208="Malcolm",E208&amp;""&lt;&gt;""),IF(COUNTIFS($D$5:D207,"Malcolm",$E$5:E207,E208,$BE$5:BE207,1)=0,MAX($CB$5:CB207)+1,""),"")</f>
        <v/>
      </c>
      <c r="CC208" s="80" t="str">
        <f>IF(AND(BD208=1,D208="proMX",E208&amp;""&lt;&gt;""),IF(COUNTIFS($D$5:D207,"proMX",$E$5:E207,E208,$BD$5:BD207,1)=0,MAX($CC$5:CC207)+1,""),"")</f>
        <v/>
      </c>
      <c r="CD208" s="80" t="str">
        <f>IF(AND(BE208=1,D208="Malcolm",F208&amp;""&lt;&gt;""),IF(COUNTIFS($D$5:D207,"Malcolm",$F$5:F207,F208,$BE$5:BE207,1)=0,MAX($CD$5:CD207)+1,""),"")</f>
        <v/>
      </c>
      <c r="CE208" s="80" t="str">
        <f>IF(AND(BD208=1,D208="proMX",F208&amp;""&lt;&gt;""),IF(COUNTIFS($D$5:D207,"proMX",$F$5:F207,F208,$BD$5:BD207,1)=0,MAX($CE$5:CE207)+1,""),"")</f>
        <v/>
      </c>
      <c r="CF208" s="80" t="str">
        <f>IF(AND(D208="proMX",BD208=1),IF(OR(BF208="Draft",BF208="Submitted",BF208="Returned",BF208="Recall Requested"),MAX($CF$5:CF207)+1,""),"")</f>
        <v/>
      </c>
      <c r="CG208" s="80">
        <f>IF(BD208=0,0,IF(D208="Malcolm",1,MATCH(BF208,{"Draft","Submitted","Approved","Returned","Recall Requested","Cancelled"},0)+1))</f>
        <v>0</v>
      </c>
      <c r="CH208" s="80">
        <f>IF(AND(BF208="Submitted",ISNUMBER(V208)),IF(V208&gt;CFG_MAXD,1,0),0)</f>
        <v>0</v>
      </c>
    </row>
    <row r="209">
      <c r="A209" s="71" t="str">
        <f>IF(Y209=1,ROW()-5,"")</f>
        <v/>
      </c>
      <c r="B209" s="72" t="n"/>
      <c r="C209" s="71" t="str">
        <f>IF(ISNUMBER(B209),CHOOSE(WEEKDAY(B209,2),"Lun","Mar","Mié","Jue","Vie","Sáb","Dom"),"")</f>
        <v/>
      </c>
      <c r="D209" s="73" t="n"/>
      <c r="E209" s="74" t="n"/>
      <c r="F209" s="74" t="n"/>
      <c r="G209" s="74" t="n"/>
      <c r="H209" s="75" t="n"/>
      <c r="I209" s="75" t="n"/>
      <c r="J209" s="76" t="n"/>
      <c r="K209" s="77" t="str">
        <f>IF(AB209=1,ROUND(AG209/60,4),"")</f>
        <v/>
      </c>
      <c r="L209" s="77" t="str">
        <f>IF(BD209=1,ROUND(AP209/60,4),"")</f>
        <v/>
      </c>
      <c r="M209" s="77" t="str">
        <f>IF(BD209=1,ROUND(AQ209/60,4),"")</f>
        <v/>
      </c>
      <c r="N209" s="71" t="str">
        <f>IF(AND(D209="proMX",AB209=1),ROUND(AG209/CFG_BLK,2),"")</f>
        <v/>
      </c>
      <c r="O209" s="77" t="str">
        <f>IF(D209="proMX",IF(BD209=1,ROUND(AG209/60,4),0),"")</f>
        <v/>
      </c>
      <c r="P209" s="78" t="str">
        <f>IF(Y209=0,"",IF(BD209=1,"OK",IF(D209="proMX","Revisar bloques: ","Revisar: ")&amp;BC209))</f>
        <v/>
      </c>
      <c r="Q209" s="78" t="str">
        <f>IF(NOT(ISNUMBER(B209)),"",IF(COUNTIFS(FER_F,INT(B209))&gt;0,"Feriado"&amp;IF(AH209=1," (laborable)"," (no laborable)"),IF(AH209=1,"Laborable",IF(WEEKDAY(B209,2)&gt;5,"Fin de semana","No laborable"))))</f>
        <v/>
      </c>
      <c r="R209" s="73" t="n"/>
      <c r="S209" s="72" t="n"/>
      <c r="T209" s="72" t="n"/>
      <c r="U209" s="74" t="n"/>
      <c r="V209" s="79" t="str">
        <f>IF(AND(D209="proMX",OR(R209="Submitted",R209="Recall Requested"),ISNUMBER(S209)),CFG_TODAY-INT(S209),"")</f>
        <v/>
      </c>
      <c r="W209" s="78" t="str">
        <f>IF(BD209=0,"",IF(BA209&gt;0,"⚠ Se superpone con un registro de la otra empresa",IF(D209="Malcolm",IF(COUNTA(R209,S209,T209)&gt;0,"Estado/fechas proMX se ignoran en Malcolm",""),IF(BF209="Cancelled","Cancelado: excluido de totales",IF(R209="","Sin estado: se trata como Draft",IF(BF209="Submitted",IF(ISNUMBER(V209),IF(V209&gt;CFG_MAXD,"⚠ "&amp;V209&amp;" días en Submitted (máx. "&amp;CFG_MAXD&amp;")",""),"Falta fecha de envío"),IF(BF209="Returned","⚠ Devuelto: corregir y reenviar",IF(BF209="Recall Requested","Retirada solicitada: pendiente",IF(AND(BF209="Approved",NOT(ISNUMBER(T209))),"Falta fecha de aprobación",IF(AND(ISNUMBER(S209),ISNUMBER(T209),T209&lt;S209),"Aprobación anterior al envío","")))))))))</f>
        <v/>
      </c>
      <c r="Y209" s="80">
        <f>IF(COUNTA(B209,D209,E209,F209,G209,H209,I209,J209,R209,S209,T209)&gt;0,1,0)</f>
        <v>0</v>
      </c>
      <c r="Z209" s="80" t="str">
        <f>IF(AND(ISNUMBER(H209),H209&gt;=0,H209&lt;1),ROUND(H209*1440,0),"")</f>
        <v/>
      </c>
      <c r="AA209" s="80" t="str">
        <f>IF(AND(ISNUMBER(I209),I209&gt;=0,I209&lt;1),ROUND(I209*1440,0),"")</f>
        <v/>
      </c>
      <c r="AB209" s="80">
        <f>IF(AND(ISNUMBER(B209),D209&lt;&gt;"",ISNUMBER(Z209),ISNUMBER(AA209)),IF(Z209=AA209,0,1),0)</f>
        <v>0</v>
      </c>
      <c r="AC209" s="80">
        <f>IF(AB209=1,IF(AA209&lt;Z209,1,0),0)</f>
        <v>0</v>
      </c>
      <c r="AD209" s="80">
        <f>IF(AB209=1,IF(AC209=1,1440-Z209+AA209,AA209-Z209),0)</f>
        <v>0</v>
      </c>
      <c r="AE209" s="80">
        <f>IF(J209="",0,IF(ISNUMBER(J209),J209,-1))</f>
        <v>0</v>
      </c>
      <c r="AF209" s="80">
        <f>MIN(MAX(0,AE209),AD209)</f>
        <v>0</v>
      </c>
      <c r="AG209" s="80">
        <f>MAX(0,AD209-MAX(0,AE209))</f>
        <v>0</v>
      </c>
      <c r="AH209" s="80">
        <f>IF(ISNUMBER(B209),IF(AND(INDEX(CFG_WDAYS,WEEKDAY(INT(B209),2))="Sí",IF(D209="proMX",COUNTIFS(FER_F,INT(B209),FER_NLP,"Sí"),COUNTIFS(FER_F,INT(B209),FER_NLM,"Sí"))=0),1,0),0)</f>
        <v>0</v>
      </c>
      <c r="AI209" s="80">
        <f>IF(AC209=1,IF(AND(INDEX(CFG_WDAYS,WEEKDAY(INT(B209)+1,2))="Sí",IF(D209="proMX",COUNTIFS(FER_F,INT(B209)+1,FER_NLP,"Sí"),COUNTIFS(FER_F,INT(B209)+1,FER_NLM,"Sí"))=0),1,0),0)</f>
        <v>0</v>
      </c>
      <c r="AJ209" s="80">
        <f>IF(AC209=1,1440-Z209,AD209)</f>
        <v>0</v>
      </c>
      <c r="AK209" s="80">
        <f>IF(AND(AB209=1,AH209=1),MAX(0,MIN(IF(AC209=1,1440,AA209),CFG_WEM)-MAX(Z209,CFG_WSM)),0)</f>
        <v>0</v>
      </c>
      <c r="AL209" s="80">
        <f>IF(AND(AC209=1,AI209=1),MAX(0,MIN(AA209,CFG_WEM)-CFG_WSM),0)</f>
        <v>0</v>
      </c>
      <c r="AM209" s="80">
        <f>AK209+AL209</f>
        <v>0</v>
      </c>
      <c r="AN209" s="80">
        <f>IF(CFG_BRK="Proporcional",IF(AD209=0,0,AF209*AM209/AD209),IF(CFG_BRK="Extras primero",MIN(AM209,MAX(0,AF209-(AD209-AM209))),MIN(AF209,AM209)))</f>
        <v>0</v>
      </c>
      <c r="AO209" s="80">
        <f>AF209-AN209</f>
        <v>0</v>
      </c>
      <c r="AP209" s="80">
        <f>AM209-AN209</f>
        <v>0</v>
      </c>
      <c r="AQ209" s="80">
        <f>AD209-AM209-AO209</f>
        <v>0</v>
      </c>
      <c r="AR209" s="80">
        <f>IF(AM209=0,0,AK209-AN209*AK209/AM209)</f>
        <v>0</v>
      </c>
      <c r="AS209" s="80">
        <f>IF(AD209-AM209=0,0,(AJ209-AK209)-AO209*(AJ209-AK209)/(AD209-AM209))</f>
        <v>0</v>
      </c>
      <c r="AT209" s="80" t="str">
        <f>IF(AC209=1,INT(B209)+1,"")</f>
        <v/>
      </c>
      <c r="AU209" s="80">
        <f>IF(AND(D209="proMX",R209="Cancelled"),0,1)</f>
        <v>1</v>
      </c>
      <c r="AV209" s="80">
        <f>IF(AND(AB209=1,AU209=1),IF(COUNTIFS($D$5:D208,D209,$B$5:B208,B209,$Z$5:Z208,Z209,$AA$5:AA208,AA209,$F$5:F208,F209&amp;"",$AU$5:AU208,1)&gt;0,1,0),0)</f>
        <v>0</v>
      </c>
      <c r="AW209" s="80" t="str">
        <f>IF(AB209=1,INT(B209)*1440+Z209,"")</f>
        <v/>
      </c>
      <c r="AX209" s="80" t="str">
        <f>IF(AB209=1,AW209+AD209,"")</f>
        <v/>
      </c>
      <c r="AY209" s="80">
        <f>IF(AND(AB209=1,AV209=0,AU209=1),1,0)</f>
        <v>0</v>
      </c>
      <c r="AZ209" s="80">
        <f>IF(AY209=1,COUNTIFS(R_Emp,D209,R_SAbs,"&lt;"&amp;AX209,R_EAbs,"&gt;"&amp;AW209,R_OKey,1)-1,0)</f>
        <v>0</v>
      </c>
      <c r="BA209" s="80">
        <f>IF(AY209=1,COUNTIFS(R_Emp,"&lt;&gt;"&amp;D209,R_SAbs,"&lt;"&amp;AX209,R_EAbs,"&gt;"&amp;AW209,R_OKey,1),0)</f>
        <v>0</v>
      </c>
      <c r="BB209" s="80">
        <f>IF(AND(AB209=1,D209="proMX"),IF(AND(MOD(Z209,CFG_BLK)=0,MOD(AA209,CFG_BLK)=0,MOD(AG209,CFG_BLK)=0,AG209&gt;0),1,0),1)</f>
        <v>1</v>
      </c>
      <c r="BC209" s="80" t="str">
        <f>IF(Y209=0,"",IF(NOT(ISNUMBER(B209)),"Falta fecha o fecha inválida",IF(D209="","Falta empresa",IF(AND(D209&lt;&gt;"Malcolm",D209&lt;&gt;"proMX"),"Empresa inválida",IF(OR(INT(B209)&lt;CFG_PSTART,INT(B209)&gt;CFG_PEND),"Fecha fuera del período",IF(OR(NOT(ISNUMBER(Z209)),NOT(ISNUMBER(AA209))),"Falta hora inicio/fin o formato inválido",IF(AB209=0,"Hora inicio = hora fin",IF(AE209&lt;0,"Descanso inválido",IF(AE209&gt;=AD209,"Descanso ≥ duración",IF(AV209=1,"Registro duplicado",IF(AZ209&gt;0,"Se superpone con otro registro "&amp;D209,IF(BB209=0,"inicio, fin y duración neta deben ser múltiplos de "&amp;CFG_BLK&amp;" min",""))))))))))))</f>
        <v/>
      </c>
      <c r="BD209" s="80">
        <f>IF(AND(Y209=1,BC209=""),1,0)</f>
        <v>0</v>
      </c>
      <c r="BE209" s="80">
        <f>IF(AND(BD209=1,AU209=1),1,0)</f>
        <v>0</v>
      </c>
      <c r="BF209" s="80" t="str">
        <f>IF(AND(D209="proMX",BD209=1),IF(R209="","Draft",R209),"")</f>
        <v/>
      </c>
      <c r="BG209" s="80">
        <f>IF(BD209=1,ROUND(AG209/60,6),0)</f>
        <v>0</v>
      </c>
      <c r="BH209" s="80">
        <f>IF(BE209=1,ROUND(AG209/60,6),0)</f>
        <v>0</v>
      </c>
      <c r="BI209" s="80">
        <f>IF(BE209=1,ROUND(AP209/60,6),0)</f>
        <v>0</v>
      </c>
      <c r="BJ209" s="80">
        <f>IF(BE209=1,ROUND(AQ209/60,6),0)</f>
        <v>0</v>
      </c>
      <c r="BK209" s="80">
        <f>IF(BE209=1,ROUND((AR209+AS209)/60,6),0)</f>
        <v>0</v>
      </c>
      <c r="BL209" s="80">
        <f>ROUND(BH209-BK209,6)</f>
        <v>0</v>
      </c>
      <c r="BM209" s="80">
        <f>IF(BE209=1,ROUND(AR209/60,6),0)</f>
        <v>0</v>
      </c>
      <c r="BN209" s="80">
        <f>ROUND(BI209-BM209,6)</f>
        <v>0</v>
      </c>
      <c r="BO209" s="80">
        <f>IF(BE209=1,ROUND(AS209/60,6),0)</f>
        <v>0</v>
      </c>
      <c r="BP209" s="80">
        <f>ROUND(BJ209-BO209,6)</f>
        <v>0</v>
      </c>
      <c r="BQ209" s="80">
        <f>IF(BE209=1,AW209,0)</f>
        <v>0</v>
      </c>
      <c r="BR209" s="80">
        <f>IF(BE209=1,AX209,0)</f>
        <v>0</v>
      </c>
      <c r="BS209" s="80">
        <f>IF(AND(BE209=1,D209="Malcolm",BA209&gt;0),MIN(BH209,SUMPRODUCT((R_Emp="proMX")*(R_EN&gt;0)*((R_EN-(R_EN&gt;BR209)*(R_EN-BR209))&gt;(R_SN+(R_SN&lt;BQ209)*(BQ209-R_SN)))*((R_EN-(R_EN&gt;BR209)*(R_EN-BR209))-(R_SN+(R_SN&lt;BQ209)*(BQ209-R_SN))))/60),0)</f>
        <v>0</v>
      </c>
      <c r="BT209" s="80">
        <f>IF(AND(BE209=1,D209="proMX"),ROUND(BI209*CFG_RATE+BJ209*CFG_OTRATE,6),0)</f>
        <v>0</v>
      </c>
      <c r="BU209" s="80">
        <f>IF(AND(BD209=1,D209="proMX"),ROUND(AG209/CFG_BLK,6),0)</f>
        <v>0</v>
      </c>
      <c r="BV209" s="80" t="str">
        <f>IF(BF209="Approved",IF(ISNUMBER(T209),INT(T209),INT(B209)),"")</f>
        <v/>
      </c>
      <c r="BW209" s="80">
        <f>IF(ISNUMBER(B209),IF(DB_MON="Todos",1,IF(AND(INT(B209)&gt;=DB_MS,INT(B209)&lt;=DB_ME),1,0)),0)</f>
        <v>0</v>
      </c>
      <c r="BX209" s="80">
        <f>IF(DB_PROJ="Todos",1,IF(E209&amp;""=DB_PROJ&amp;"",1,0))</f>
        <v>1</v>
      </c>
      <c r="BY209" s="80">
        <f>BW209*BX209</f>
        <v>0</v>
      </c>
      <c r="BZ209" s="80" t="str">
        <f>IF(Y209=1,F209&amp;IF(AND(F209&amp;""&lt;&gt;"",E209&amp;""&lt;&gt;"")," · ","")&amp;E209,"")</f>
        <v/>
      </c>
      <c r="CA209" s="80" t="str">
        <f>IF(AND(BD209=1,E209&amp;""&lt;&gt;""),IF(COUNTIFS($E$5:E208,E209,$BD$5:BD208,1)=0,MAX($CA$5:CA208)+1,""),"")</f>
        <v/>
      </c>
      <c r="CB209" s="80" t="str">
        <f>IF(AND(BE209=1,D209="Malcolm",E209&amp;""&lt;&gt;""),IF(COUNTIFS($D$5:D208,"Malcolm",$E$5:E208,E209,$BE$5:BE208,1)=0,MAX($CB$5:CB208)+1,""),"")</f>
        <v/>
      </c>
      <c r="CC209" s="80" t="str">
        <f>IF(AND(BD209=1,D209="proMX",E209&amp;""&lt;&gt;""),IF(COUNTIFS($D$5:D208,"proMX",$E$5:E208,E209,$BD$5:BD208,1)=0,MAX($CC$5:CC208)+1,""),"")</f>
        <v/>
      </c>
      <c r="CD209" s="80" t="str">
        <f>IF(AND(BE209=1,D209="Malcolm",F209&amp;""&lt;&gt;""),IF(COUNTIFS($D$5:D208,"Malcolm",$F$5:F208,F209,$BE$5:BE208,1)=0,MAX($CD$5:CD208)+1,""),"")</f>
        <v/>
      </c>
      <c r="CE209" s="80" t="str">
        <f>IF(AND(BD209=1,D209="proMX",F209&amp;""&lt;&gt;""),IF(COUNTIFS($D$5:D208,"proMX",$F$5:F208,F209,$BD$5:BD208,1)=0,MAX($CE$5:CE208)+1,""),"")</f>
        <v/>
      </c>
      <c r="CF209" s="80" t="str">
        <f>IF(AND(D209="proMX",BD209=1),IF(OR(BF209="Draft",BF209="Submitted",BF209="Returned",BF209="Recall Requested"),MAX($CF$5:CF208)+1,""),"")</f>
        <v/>
      </c>
      <c r="CG209" s="80">
        <f>IF(BD209=0,0,IF(D209="Malcolm",1,MATCH(BF209,{"Draft","Submitted","Approved","Returned","Recall Requested","Cancelled"},0)+1))</f>
        <v>0</v>
      </c>
      <c r="CH209" s="80">
        <f>IF(AND(BF209="Submitted",ISNUMBER(V209)),IF(V209&gt;CFG_MAXD,1,0),0)</f>
        <v>0</v>
      </c>
    </row>
    <row r="210">
      <c r="A210" s="71" t="str">
        <f>IF(Y210=1,ROW()-5,"")</f>
        <v/>
      </c>
      <c r="B210" s="72" t="n"/>
      <c r="C210" s="71" t="str">
        <f>IF(ISNUMBER(B210),CHOOSE(WEEKDAY(B210,2),"Lun","Mar","Mié","Jue","Vie","Sáb","Dom"),"")</f>
        <v/>
      </c>
      <c r="D210" s="73" t="n"/>
      <c r="E210" s="74" t="n"/>
      <c r="F210" s="74" t="n"/>
      <c r="G210" s="74" t="n"/>
      <c r="H210" s="75" t="n"/>
      <c r="I210" s="75" t="n"/>
      <c r="J210" s="76" t="n"/>
      <c r="K210" s="77" t="str">
        <f>IF(AB210=1,ROUND(AG210/60,4),"")</f>
        <v/>
      </c>
      <c r="L210" s="77" t="str">
        <f>IF(BD210=1,ROUND(AP210/60,4),"")</f>
        <v/>
      </c>
      <c r="M210" s="77" t="str">
        <f>IF(BD210=1,ROUND(AQ210/60,4),"")</f>
        <v/>
      </c>
      <c r="N210" s="71" t="str">
        <f>IF(AND(D210="proMX",AB210=1),ROUND(AG210/CFG_BLK,2),"")</f>
        <v/>
      </c>
      <c r="O210" s="77" t="str">
        <f>IF(D210="proMX",IF(BD210=1,ROUND(AG210/60,4),0),"")</f>
        <v/>
      </c>
      <c r="P210" s="78" t="str">
        <f>IF(Y210=0,"",IF(BD210=1,"OK",IF(D210="proMX","Revisar bloques: ","Revisar: ")&amp;BC210))</f>
        <v/>
      </c>
      <c r="Q210" s="78" t="str">
        <f>IF(NOT(ISNUMBER(B210)),"",IF(COUNTIFS(FER_F,INT(B210))&gt;0,"Feriado"&amp;IF(AH210=1," (laborable)"," (no laborable)"),IF(AH210=1,"Laborable",IF(WEEKDAY(B210,2)&gt;5,"Fin de semana","No laborable"))))</f>
        <v/>
      </c>
      <c r="R210" s="73" t="n"/>
      <c r="S210" s="72" t="n"/>
      <c r="T210" s="72" t="n"/>
      <c r="U210" s="74" t="n"/>
      <c r="V210" s="79" t="str">
        <f>IF(AND(D210="proMX",OR(R210="Submitted",R210="Recall Requested"),ISNUMBER(S210)),CFG_TODAY-INT(S210),"")</f>
        <v/>
      </c>
      <c r="W210" s="78" t="str">
        <f>IF(BD210=0,"",IF(BA210&gt;0,"⚠ Se superpone con un registro de la otra empresa",IF(D210="Malcolm",IF(COUNTA(R210,S210,T210)&gt;0,"Estado/fechas proMX se ignoran en Malcolm",""),IF(BF210="Cancelled","Cancelado: excluido de totales",IF(R210="","Sin estado: se trata como Draft",IF(BF210="Submitted",IF(ISNUMBER(V210),IF(V210&gt;CFG_MAXD,"⚠ "&amp;V210&amp;" días en Submitted (máx. "&amp;CFG_MAXD&amp;")",""),"Falta fecha de envío"),IF(BF210="Returned","⚠ Devuelto: corregir y reenviar",IF(BF210="Recall Requested","Retirada solicitada: pendiente",IF(AND(BF210="Approved",NOT(ISNUMBER(T210))),"Falta fecha de aprobación",IF(AND(ISNUMBER(S210),ISNUMBER(T210),T210&lt;S210),"Aprobación anterior al envío","")))))))))</f>
        <v/>
      </c>
      <c r="Y210" s="80">
        <f>IF(COUNTA(B210,D210,E210,F210,G210,H210,I210,J210,R210,S210,T210)&gt;0,1,0)</f>
        <v>0</v>
      </c>
      <c r="Z210" s="80" t="str">
        <f>IF(AND(ISNUMBER(H210),H210&gt;=0,H210&lt;1),ROUND(H210*1440,0),"")</f>
        <v/>
      </c>
      <c r="AA210" s="80" t="str">
        <f>IF(AND(ISNUMBER(I210),I210&gt;=0,I210&lt;1),ROUND(I210*1440,0),"")</f>
        <v/>
      </c>
      <c r="AB210" s="80">
        <f>IF(AND(ISNUMBER(B210),D210&lt;&gt;"",ISNUMBER(Z210),ISNUMBER(AA210)),IF(Z210=AA210,0,1),0)</f>
        <v>0</v>
      </c>
      <c r="AC210" s="80">
        <f>IF(AB210=1,IF(AA210&lt;Z210,1,0),0)</f>
        <v>0</v>
      </c>
      <c r="AD210" s="80">
        <f>IF(AB210=1,IF(AC210=1,1440-Z210+AA210,AA210-Z210),0)</f>
        <v>0</v>
      </c>
      <c r="AE210" s="80">
        <f>IF(J210="",0,IF(ISNUMBER(J210),J210,-1))</f>
        <v>0</v>
      </c>
      <c r="AF210" s="80">
        <f>MIN(MAX(0,AE210),AD210)</f>
        <v>0</v>
      </c>
      <c r="AG210" s="80">
        <f>MAX(0,AD210-MAX(0,AE210))</f>
        <v>0</v>
      </c>
      <c r="AH210" s="80">
        <f>IF(ISNUMBER(B210),IF(AND(INDEX(CFG_WDAYS,WEEKDAY(INT(B210),2))="Sí",IF(D210="proMX",COUNTIFS(FER_F,INT(B210),FER_NLP,"Sí"),COUNTIFS(FER_F,INT(B210),FER_NLM,"Sí"))=0),1,0),0)</f>
        <v>0</v>
      </c>
      <c r="AI210" s="80">
        <f>IF(AC210=1,IF(AND(INDEX(CFG_WDAYS,WEEKDAY(INT(B210)+1,2))="Sí",IF(D210="proMX",COUNTIFS(FER_F,INT(B210)+1,FER_NLP,"Sí"),COUNTIFS(FER_F,INT(B210)+1,FER_NLM,"Sí"))=0),1,0),0)</f>
        <v>0</v>
      </c>
      <c r="AJ210" s="80">
        <f>IF(AC210=1,1440-Z210,AD210)</f>
        <v>0</v>
      </c>
      <c r="AK210" s="80">
        <f>IF(AND(AB210=1,AH210=1),MAX(0,MIN(IF(AC210=1,1440,AA210),CFG_WEM)-MAX(Z210,CFG_WSM)),0)</f>
        <v>0</v>
      </c>
      <c r="AL210" s="80">
        <f>IF(AND(AC210=1,AI210=1),MAX(0,MIN(AA210,CFG_WEM)-CFG_WSM),0)</f>
        <v>0</v>
      </c>
      <c r="AM210" s="80">
        <f>AK210+AL210</f>
        <v>0</v>
      </c>
      <c r="AN210" s="80">
        <f>IF(CFG_BRK="Proporcional",IF(AD210=0,0,AF210*AM210/AD210),IF(CFG_BRK="Extras primero",MIN(AM210,MAX(0,AF210-(AD210-AM210))),MIN(AF210,AM210)))</f>
        <v>0</v>
      </c>
      <c r="AO210" s="80">
        <f>AF210-AN210</f>
        <v>0</v>
      </c>
      <c r="AP210" s="80">
        <f>AM210-AN210</f>
        <v>0</v>
      </c>
      <c r="AQ210" s="80">
        <f>AD210-AM210-AO210</f>
        <v>0</v>
      </c>
      <c r="AR210" s="80">
        <f>IF(AM210=0,0,AK210-AN210*AK210/AM210)</f>
        <v>0</v>
      </c>
      <c r="AS210" s="80">
        <f>IF(AD210-AM210=0,0,(AJ210-AK210)-AO210*(AJ210-AK210)/(AD210-AM210))</f>
        <v>0</v>
      </c>
      <c r="AT210" s="80" t="str">
        <f>IF(AC210=1,INT(B210)+1,"")</f>
        <v/>
      </c>
      <c r="AU210" s="80">
        <f>IF(AND(D210="proMX",R210="Cancelled"),0,1)</f>
        <v>1</v>
      </c>
      <c r="AV210" s="80">
        <f>IF(AND(AB210=1,AU210=1),IF(COUNTIFS($D$5:D209,D210,$B$5:B209,B210,$Z$5:Z209,Z210,$AA$5:AA209,AA210,$F$5:F209,F210&amp;"",$AU$5:AU209,1)&gt;0,1,0),0)</f>
        <v>0</v>
      </c>
      <c r="AW210" s="80" t="str">
        <f>IF(AB210=1,INT(B210)*1440+Z210,"")</f>
        <v/>
      </c>
      <c r="AX210" s="80" t="str">
        <f>IF(AB210=1,AW210+AD210,"")</f>
        <v/>
      </c>
      <c r="AY210" s="80">
        <f>IF(AND(AB210=1,AV210=0,AU210=1),1,0)</f>
        <v>0</v>
      </c>
      <c r="AZ210" s="80">
        <f>IF(AY210=1,COUNTIFS(R_Emp,D210,R_SAbs,"&lt;"&amp;AX210,R_EAbs,"&gt;"&amp;AW210,R_OKey,1)-1,0)</f>
        <v>0</v>
      </c>
      <c r="BA210" s="80">
        <f>IF(AY210=1,COUNTIFS(R_Emp,"&lt;&gt;"&amp;D210,R_SAbs,"&lt;"&amp;AX210,R_EAbs,"&gt;"&amp;AW210,R_OKey,1),0)</f>
        <v>0</v>
      </c>
      <c r="BB210" s="80">
        <f>IF(AND(AB210=1,D210="proMX"),IF(AND(MOD(Z210,CFG_BLK)=0,MOD(AA210,CFG_BLK)=0,MOD(AG210,CFG_BLK)=0,AG210&gt;0),1,0),1)</f>
        <v>1</v>
      </c>
      <c r="BC210" s="80" t="str">
        <f>IF(Y210=0,"",IF(NOT(ISNUMBER(B210)),"Falta fecha o fecha inválida",IF(D210="","Falta empresa",IF(AND(D210&lt;&gt;"Malcolm",D210&lt;&gt;"proMX"),"Empresa inválida",IF(OR(INT(B210)&lt;CFG_PSTART,INT(B210)&gt;CFG_PEND),"Fecha fuera del período",IF(OR(NOT(ISNUMBER(Z210)),NOT(ISNUMBER(AA210))),"Falta hora inicio/fin o formato inválido",IF(AB210=0,"Hora inicio = hora fin",IF(AE210&lt;0,"Descanso inválido",IF(AE210&gt;=AD210,"Descanso ≥ duración",IF(AV210=1,"Registro duplicado",IF(AZ210&gt;0,"Se superpone con otro registro "&amp;D210,IF(BB210=0,"inicio, fin y duración neta deben ser múltiplos de "&amp;CFG_BLK&amp;" min",""))))))))))))</f>
        <v/>
      </c>
      <c r="BD210" s="80">
        <f>IF(AND(Y210=1,BC210=""),1,0)</f>
        <v>0</v>
      </c>
      <c r="BE210" s="80">
        <f>IF(AND(BD210=1,AU210=1),1,0)</f>
        <v>0</v>
      </c>
      <c r="BF210" s="80" t="str">
        <f>IF(AND(D210="proMX",BD210=1),IF(R210="","Draft",R210),"")</f>
        <v/>
      </c>
      <c r="BG210" s="80">
        <f>IF(BD210=1,ROUND(AG210/60,6),0)</f>
        <v>0</v>
      </c>
      <c r="BH210" s="80">
        <f>IF(BE210=1,ROUND(AG210/60,6),0)</f>
        <v>0</v>
      </c>
      <c r="BI210" s="80">
        <f>IF(BE210=1,ROUND(AP210/60,6),0)</f>
        <v>0</v>
      </c>
      <c r="BJ210" s="80">
        <f>IF(BE210=1,ROUND(AQ210/60,6),0)</f>
        <v>0</v>
      </c>
      <c r="BK210" s="80">
        <f>IF(BE210=1,ROUND((AR210+AS210)/60,6),0)</f>
        <v>0</v>
      </c>
      <c r="BL210" s="80">
        <f>ROUND(BH210-BK210,6)</f>
        <v>0</v>
      </c>
      <c r="BM210" s="80">
        <f>IF(BE210=1,ROUND(AR210/60,6),0)</f>
        <v>0</v>
      </c>
      <c r="BN210" s="80">
        <f>ROUND(BI210-BM210,6)</f>
        <v>0</v>
      </c>
      <c r="BO210" s="80">
        <f>IF(BE210=1,ROUND(AS210/60,6),0)</f>
        <v>0</v>
      </c>
      <c r="BP210" s="80">
        <f>ROUND(BJ210-BO210,6)</f>
        <v>0</v>
      </c>
      <c r="BQ210" s="80">
        <f>IF(BE210=1,AW210,0)</f>
        <v>0</v>
      </c>
      <c r="BR210" s="80">
        <f>IF(BE210=1,AX210,0)</f>
        <v>0</v>
      </c>
      <c r="BS210" s="80">
        <f>IF(AND(BE210=1,D210="Malcolm",BA210&gt;0),MIN(BH210,SUMPRODUCT((R_Emp="proMX")*(R_EN&gt;0)*((R_EN-(R_EN&gt;BR210)*(R_EN-BR210))&gt;(R_SN+(R_SN&lt;BQ210)*(BQ210-R_SN)))*((R_EN-(R_EN&gt;BR210)*(R_EN-BR210))-(R_SN+(R_SN&lt;BQ210)*(BQ210-R_SN))))/60),0)</f>
        <v>0</v>
      </c>
      <c r="BT210" s="80">
        <f>IF(AND(BE210=1,D210="proMX"),ROUND(BI210*CFG_RATE+BJ210*CFG_OTRATE,6),0)</f>
        <v>0</v>
      </c>
      <c r="BU210" s="80">
        <f>IF(AND(BD210=1,D210="proMX"),ROUND(AG210/CFG_BLK,6),0)</f>
        <v>0</v>
      </c>
      <c r="BV210" s="80" t="str">
        <f>IF(BF210="Approved",IF(ISNUMBER(T210),INT(T210),INT(B210)),"")</f>
        <v/>
      </c>
      <c r="BW210" s="80">
        <f>IF(ISNUMBER(B210),IF(DB_MON="Todos",1,IF(AND(INT(B210)&gt;=DB_MS,INT(B210)&lt;=DB_ME),1,0)),0)</f>
        <v>0</v>
      </c>
      <c r="BX210" s="80">
        <f>IF(DB_PROJ="Todos",1,IF(E210&amp;""=DB_PROJ&amp;"",1,0))</f>
        <v>1</v>
      </c>
      <c r="BY210" s="80">
        <f>BW210*BX210</f>
        <v>0</v>
      </c>
      <c r="BZ210" s="80" t="str">
        <f>IF(Y210=1,F210&amp;IF(AND(F210&amp;""&lt;&gt;"",E210&amp;""&lt;&gt;"")," · ","")&amp;E210,"")</f>
        <v/>
      </c>
      <c r="CA210" s="80" t="str">
        <f>IF(AND(BD210=1,E210&amp;""&lt;&gt;""),IF(COUNTIFS($E$5:E209,E210,$BD$5:BD209,1)=0,MAX($CA$5:CA209)+1,""),"")</f>
        <v/>
      </c>
      <c r="CB210" s="80" t="str">
        <f>IF(AND(BE210=1,D210="Malcolm",E210&amp;""&lt;&gt;""),IF(COUNTIFS($D$5:D209,"Malcolm",$E$5:E209,E210,$BE$5:BE209,1)=0,MAX($CB$5:CB209)+1,""),"")</f>
        <v/>
      </c>
      <c r="CC210" s="80" t="str">
        <f>IF(AND(BD210=1,D210="proMX",E210&amp;""&lt;&gt;""),IF(COUNTIFS($D$5:D209,"proMX",$E$5:E209,E210,$BD$5:BD209,1)=0,MAX($CC$5:CC209)+1,""),"")</f>
        <v/>
      </c>
      <c r="CD210" s="80" t="str">
        <f>IF(AND(BE210=1,D210="Malcolm",F210&amp;""&lt;&gt;""),IF(COUNTIFS($D$5:D209,"Malcolm",$F$5:F209,F210,$BE$5:BE209,1)=0,MAX($CD$5:CD209)+1,""),"")</f>
        <v/>
      </c>
      <c r="CE210" s="80" t="str">
        <f>IF(AND(BD210=1,D210="proMX",F210&amp;""&lt;&gt;""),IF(COUNTIFS($D$5:D209,"proMX",$F$5:F209,F210,$BD$5:BD209,1)=0,MAX($CE$5:CE209)+1,""),"")</f>
        <v/>
      </c>
      <c r="CF210" s="80" t="str">
        <f>IF(AND(D210="proMX",BD210=1),IF(OR(BF210="Draft",BF210="Submitted",BF210="Returned",BF210="Recall Requested"),MAX($CF$5:CF209)+1,""),"")</f>
        <v/>
      </c>
      <c r="CG210" s="80">
        <f>IF(BD210=0,0,IF(D210="Malcolm",1,MATCH(BF210,{"Draft","Submitted","Approved","Returned","Recall Requested","Cancelled"},0)+1))</f>
        <v>0</v>
      </c>
      <c r="CH210" s="80">
        <f>IF(AND(BF210="Submitted",ISNUMBER(V210)),IF(V210&gt;CFG_MAXD,1,0),0)</f>
        <v>0</v>
      </c>
    </row>
    <row r="211">
      <c r="A211" s="71" t="str">
        <f>IF(Y211=1,ROW()-5,"")</f>
        <v/>
      </c>
      <c r="B211" s="72" t="n"/>
      <c r="C211" s="71" t="str">
        <f>IF(ISNUMBER(B211),CHOOSE(WEEKDAY(B211,2),"Lun","Mar","Mié","Jue","Vie","Sáb","Dom"),"")</f>
        <v/>
      </c>
      <c r="D211" s="73" t="n"/>
      <c r="E211" s="74" t="n"/>
      <c r="F211" s="74" t="n"/>
      <c r="G211" s="74" t="n"/>
      <c r="H211" s="75" t="n"/>
      <c r="I211" s="75" t="n"/>
      <c r="J211" s="76" t="n"/>
      <c r="K211" s="77" t="str">
        <f>IF(AB211=1,ROUND(AG211/60,4),"")</f>
        <v/>
      </c>
      <c r="L211" s="77" t="str">
        <f>IF(BD211=1,ROUND(AP211/60,4),"")</f>
        <v/>
      </c>
      <c r="M211" s="77" t="str">
        <f>IF(BD211=1,ROUND(AQ211/60,4),"")</f>
        <v/>
      </c>
      <c r="N211" s="71" t="str">
        <f>IF(AND(D211="proMX",AB211=1),ROUND(AG211/CFG_BLK,2),"")</f>
        <v/>
      </c>
      <c r="O211" s="77" t="str">
        <f>IF(D211="proMX",IF(BD211=1,ROUND(AG211/60,4),0),"")</f>
        <v/>
      </c>
      <c r="P211" s="78" t="str">
        <f>IF(Y211=0,"",IF(BD211=1,"OK",IF(D211="proMX","Revisar bloques: ","Revisar: ")&amp;BC211))</f>
        <v/>
      </c>
      <c r="Q211" s="78" t="str">
        <f>IF(NOT(ISNUMBER(B211)),"",IF(COUNTIFS(FER_F,INT(B211))&gt;0,"Feriado"&amp;IF(AH211=1," (laborable)"," (no laborable)"),IF(AH211=1,"Laborable",IF(WEEKDAY(B211,2)&gt;5,"Fin de semana","No laborable"))))</f>
        <v/>
      </c>
      <c r="R211" s="73" t="n"/>
      <c r="S211" s="72" t="n"/>
      <c r="T211" s="72" t="n"/>
      <c r="U211" s="74" t="n"/>
      <c r="V211" s="79" t="str">
        <f>IF(AND(D211="proMX",OR(R211="Submitted",R211="Recall Requested"),ISNUMBER(S211)),CFG_TODAY-INT(S211),"")</f>
        <v/>
      </c>
      <c r="W211" s="78" t="str">
        <f>IF(BD211=0,"",IF(BA211&gt;0,"⚠ Se superpone con un registro de la otra empresa",IF(D211="Malcolm",IF(COUNTA(R211,S211,T211)&gt;0,"Estado/fechas proMX se ignoran en Malcolm",""),IF(BF211="Cancelled","Cancelado: excluido de totales",IF(R211="","Sin estado: se trata como Draft",IF(BF211="Submitted",IF(ISNUMBER(V211),IF(V211&gt;CFG_MAXD,"⚠ "&amp;V211&amp;" días en Submitted (máx. "&amp;CFG_MAXD&amp;")",""),"Falta fecha de envío"),IF(BF211="Returned","⚠ Devuelto: corregir y reenviar",IF(BF211="Recall Requested","Retirada solicitada: pendiente",IF(AND(BF211="Approved",NOT(ISNUMBER(T211))),"Falta fecha de aprobación",IF(AND(ISNUMBER(S211),ISNUMBER(T211),T211&lt;S211),"Aprobación anterior al envío","")))))))))</f>
        <v/>
      </c>
      <c r="Y211" s="80">
        <f>IF(COUNTA(B211,D211,E211,F211,G211,H211,I211,J211,R211,S211,T211)&gt;0,1,0)</f>
        <v>0</v>
      </c>
      <c r="Z211" s="80" t="str">
        <f>IF(AND(ISNUMBER(H211),H211&gt;=0,H211&lt;1),ROUND(H211*1440,0),"")</f>
        <v/>
      </c>
      <c r="AA211" s="80" t="str">
        <f>IF(AND(ISNUMBER(I211),I211&gt;=0,I211&lt;1),ROUND(I211*1440,0),"")</f>
        <v/>
      </c>
      <c r="AB211" s="80">
        <f>IF(AND(ISNUMBER(B211),D211&lt;&gt;"",ISNUMBER(Z211),ISNUMBER(AA211)),IF(Z211=AA211,0,1),0)</f>
        <v>0</v>
      </c>
      <c r="AC211" s="80">
        <f>IF(AB211=1,IF(AA211&lt;Z211,1,0),0)</f>
        <v>0</v>
      </c>
      <c r="AD211" s="80">
        <f>IF(AB211=1,IF(AC211=1,1440-Z211+AA211,AA211-Z211),0)</f>
        <v>0</v>
      </c>
      <c r="AE211" s="80">
        <f>IF(J211="",0,IF(ISNUMBER(J211),J211,-1))</f>
        <v>0</v>
      </c>
      <c r="AF211" s="80">
        <f>MIN(MAX(0,AE211),AD211)</f>
        <v>0</v>
      </c>
      <c r="AG211" s="80">
        <f>MAX(0,AD211-MAX(0,AE211))</f>
        <v>0</v>
      </c>
      <c r="AH211" s="80">
        <f>IF(ISNUMBER(B211),IF(AND(INDEX(CFG_WDAYS,WEEKDAY(INT(B211),2))="Sí",IF(D211="proMX",COUNTIFS(FER_F,INT(B211),FER_NLP,"Sí"),COUNTIFS(FER_F,INT(B211),FER_NLM,"Sí"))=0),1,0),0)</f>
        <v>0</v>
      </c>
      <c r="AI211" s="80">
        <f>IF(AC211=1,IF(AND(INDEX(CFG_WDAYS,WEEKDAY(INT(B211)+1,2))="Sí",IF(D211="proMX",COUNTIFS(FER_F,INT(B211)+1,FER_NLP,"Sí"),COUNTIFS(FER_F,INT(B211)+1,FER_NLM,"Sí"))=0),1,0),0)</f>
        <v>0</v>
      </c>
      <c r="AJ211" s="80">
        <f>IF(AC211=1,1440-Z211,AD211)</f>
        <v>0</v>
      </c>
      <c r="AK211" s="80">
        <f>IF(AND(AB211=1,AH211=1),MAX(0,MIN(IF(AC211=1,1440,AA211),CFG_WEM)-MAX(Z211,CFG_WSM)),0)</f>
        <v>0</v>
      </c>
      <c r="AL211" s="80">
        <f>IF(AND(AC211=1,AI211=1),MAX(0,MIN(AA211,CFG_WEM)-CFG_WSM),0)</f>
        <v>0</v>
      </c>
      <c r="AM211" s="80">
        <f>AK211+AL211</f>
        <v>0</v>
      </c>
      <c r="AN211" s="80">
        <f>IF(CFG_BRK="Proporcional",IF(AD211=0,0,AF211*AM211/AD211),IF(CFG_BRK="Extras primero",MIN(AM211,MAX(0,AF211-(AD211-AM211))),MIN(AF211,AM211)))</f>
        <v>0</v>
      </c>
      <c r="AO211" s="80">
        <f>AF211-AN211</f>
        <v>0</v>
      </c>
      <c r="AP211" s="80">
        <f>AM211-AN211</f>
        <v>0</v>
      </c>
      <c r="AQ211" s="80">
        <f>AD211-AM211-AO211</f>
        <v>0</v>
      </c>
      <c r="AR211" s="80">
        <f>IF(AM211=0,0,AK211-AN211*AK211/AM211)</f>
        <v>0</v>
      </c>
      <c r="AS211" s="80">
        <f>IF(AD211-AM211=0,0,(AJ211-AK211)-AO211*(AJ211-AK211)/(AD211-AM211))</f>
        <v>0</v>
      </c>
      <c r="AT211" s="80" t="str">
        <f>IF(AC211=1,INT(B211)+1,"")</f>
        <v/>
      </c>
      <c r="AU211" s="80">
        <f>IF(AND(D211="proMX",R211="Cancelled"),0,1)</f>
        <v>1</v>
      </c>
      <c r="AV211" s="80">
        <f>IF(AND(AB211=1,AU211=1),IF(COUNTIFS($D$5:D210,D211,$B$5:B210,B211,$Z$5:Z210,Z211,$AA$5:AA210,AA211,$F$5:F210,F211&amp;"",$AU$5:AU210,1)&gt;0,1,0),0)</f>
        <v>0</v>
      </c>
      <c r="AW211" s="80" t="str">
        <f>IF(AB211=1,INT(B211)*1440+Z211,"")</f>
        <v/>
      </c>
      <c r="AX211" s="80" t="str">
        <f>IF(AB211=1,AW211+AD211,"")</f>
        <v/>
      </c>
      <c r="AY211" s="80">
        <f>IF(AND(AB211=1,AV211=0,AU211=1),1,0)</f>
        <v>0</v>
      </c>
      <c r="AZ211" s="80">
        <f>IF(AY211=1,COUNTIFS(R_Emp,D211,R_SAbs,"&lt;"&amp;AX211,R_EAbs,"&gt;"&amp;AW211,R_OKey,1)-1,0)</f>
        <v>0</v>
      </c>
      <c r="BA211" s="80">
        <f>IF(AY211=1,COUNTIFS(R_Emp,"&lt;&gt;"&amp;D211,R_SAbs,"&lt;"&amp;AX211,R_EAbs,"&gt;"&amp;AW211,R_OKey,1),0)</f>
        <v>0</v>
      </c>
      <c r="BB211" s="80">
        <f>IF(AND(AB211=1,D211="proMX"),IF(AND(MOD(Z211,CFG_BLK)=0,MOD(AA211,CFG_BLK)=0,MOD(AG211,CFG_BLK)=0,AG211&gt;0),1,0),1)</f>
        <v>1</v>
      </c>
      <c r="BC211" s="80" t="str">
        <f>IF(Y211=0,"",IF(NOT(ISNUMBER(B211)),"Falta fecha o fecha inválida",IF(D211="","Falta empresa",IF(AND(D211&lt;&gt;"Malcolm",D211&lt;&gt;"proMX"),"Empresa inválida",IF(OR(INT(B211)&lt;CFG_PSTART,INT(B211)&gt;CFG_PEND),"Fecha fuera del período",IF(OR(NOT(ISNUMBER(Z211)),NOT(ISNUMBER(AA211))),"Falta hora inicio/fin o formato inválido",IF(AB211=0,"Hora inicio = hora fin",IF(AE211&lt;0,"Descanso inválido",IF(AE211&gt;=AD211,"Descanso ≥ duración",IF(AV211=1,"Registro duplicado",IF(AZ211&gt;0,"Se superpone con otro registro "&amp;D211,IF(BB211=0,"inicio, fin y duración neta deben ser múltiplos de "&amp;CFG_BLK&amp;" min",""))))))))))))</f>
        <v/>
      </c>
      <c r="BD211" s="80">
        <f>IF(AND(Y211=1,BC211=""),1,0)</f>
        <v>0</v>
      </c>
      <c r="BE211" s="80">
        <f>IF(AND(BD211=1,AU211=1),1,0)</f>
        <v>0</v>
      </c>
      <c r="BF211" s="80" t="str">
        <f>IF(AND(D211="proMX",BD211=1),IF(R211="","Draft",R211),"")</f>
        <v/>
      </c>
      <c r="BG211" s="80">
        <f>IF(BD211=1,ROUND(AG211/60,6),0)</f>
        <v>0</v>
      </c>
      <c r="BH211" s="80">
        <f>IF(BE211=1,ROUND(AG211/60,6),0)</f>
        <v>0</v>
      </c>
      <c r="BI211" s="80">
        <f>IF(BE211=1,ROUND(AP211/60,6),0)</f>
        <v>0</v>
      </c>
      <c r="BJ211" s="80">
        <f>IF(BE211=1,ROUND(AQ211/60,6),0)</f>
        <v>0</v>
      </c>
      <c r="BK211" s="80">
        <f>IF(BE211=1,ROUND((AR211+AS211)/60,6),0)</f>
        <v>0</v>
      </c>
      <c r="BL211" s="80">
        <f>ROUND(BH211-BK211,6)</f>
        <v>0</v>
      </c>
      <c r="BM211" s="80">
        <f>IF(BE211=1,ROUND(AR211/60,6),0)</f>
        <v>0</v>
      </c>
      <c r="BN211" s="80">
        <f>ROUND(BI211-BM211,6)</f>
        <v>0</v>
      </c>
      <c r="BO211" s="80">
        <f>IF(BE211=1,ROUND(AS211/60,6),0)</f>
        <v>0</v>
      </c>
      <c r="BP211" s="80">
        <f>ROUND(BJ211-BO211,6)</f>
        <v>0</v>
      </c>
      <c r="BQ211" s="80">
        <f>IF(BE211=1,AW211,0)</f>
        <v>0</v>
      </c>
      <c r="BR211" s="80">
        <f>IF(BE211=1,AX211,0)</f>
        <v>0</v>
      </c>
      <c r="BS211" s="80">
        <f>IF(AND(BE211=1,D211="Malcolm",BA211&gt;0),MIN(BH211,SUMPRODUCT((R_Emp="proMX")*(R_EN&gt;0)*((R_EN-(R_EN&gt;BR211)*(R_EN-BR211))&gt;(R_SN+(R_SN&lt;BQ211)*(BQ211-R_SN)))*((R_EN-(R_EN&gt;BR211)*(R_EN-BR211))-(R_SN+(R_SN&lt;BQ211)*(BQ211-R_SN))))/60),0)</f>
        <v>0</v>
      </c>
      <c r="BT211" s="80">
        <f>IF(AND(BE211=1,D211="proMX"),ROUND(BI211*CFG_RATE+BJ211*CFG_OTRATE,6),0)</f>
        <v>0</v>
      </c>
      <c r="BU211" s="80">
        <f>IF(AND(BD211=1,D211="proMX"),ROUND(AG211/CFG_BLK,6),0)</f>
        <v>0</v>
      </c>
      <c r="BV211" s="80" t="str">
        <f>IF(BF211="Approved",IF(ISNUMBER(T211),INT(T211),INT(B211)),"")</f>
        <v/>
      </c>
      <c r="BW211" s="80">
        <f>IF(ISNUMBER(B211),IF(DB_MON="Todos",1,IF(AND(INT(B211)&gt;=DB_MS,INT(B211)&lt;=DB_ME),1,0)),0)</f>
        <v>0</v>
      </c>
      <c r="BX211" s="80">
        <f>IF(DB_PROJ="Todos",1,IF(E211&amp;""=DB_PROJ&amp;"",1,0))</f>
        <v>1</v>
      </c>
      <c r="BY211" s="80">
        <f>BW211*BX211</f>
        <v>0</v>
      </c>
      <c r="BZ211" s="80" t="str">
        <f>IF(Y211=1,F211&amp;IF(AND(F211&amp;""&lt;&gt;"",E211&amp;""&lt;&gt;"")," · ","")&amp;E211,"")</f>
        <v/>
      </c>
      <c r="CA211" s="80" t="str">
        <f>IF(AND(BD211=1,E211&amp;""&lt;&gt;""),IF(COUNTIFS($E$5:E210,E211,$BD$5:BD210,1)=0,MAX($CA$5:CA210)+1,""),"")</f>
        <v/>
      </c>
      <c r="CB211" s="80" t="str">
        <f>IF(AND(BE211=1,D211="Malcolm",E211&amp;""&lt;&gt;""),IF(COUNTIFS($D$5:D210,"Malcolm",$E$5:E210,E211,$BE$5:BE210,1)=0,MAX($CB$5:CB210)+1,""),"")</f>
        <v/>
      </c>
      <c r="CC211" s="80" t="str">
        <f>IF(AND(BD211=1,D211="proMX",E211&amp;""&lt;&gt;""),IF(COUNTIFS($D$5:D210,"proMX",$E$5:E210,E211,$BD$5:BD210,1)=0,MAX($CC$5:CC210)+1,""),"")</f>
        <v/>
      </c>
      <c r="CD211" s="80" t="str">
        <f>IF(AND(BE211=1,D211="Malcolm",F211&amp;""&lt;&gt;""),IF(COUNTIFS($D$5:D210,"Malcolm",$F$5:F210,F211,$BE$5:BE210,1)=0,MAX($CD$5:CD210)+1,""),"")</f>
        <v/>
      </c>
      <c r="CE211" s="80" t="str">
        <f>IF(AND(BD211=1,D211="proMX",F211&amp;""&lt;&gt;""),IF(COUNTIFS($D$5:D210,"proMX",$F$5:F210,F211,$BD$5:BD210,1)=0,MAX($CE$5:CE210)+1,""),"")</f>
        <v/>
      </c>
      <c r="CF211" s="80" t="str">
        <f>IF(AND(D211="proMX",BD211=1),IF(OR(BF211="Draft",BF211="Submitted",BF211="Returned",BF211="Recall Requested"),MAX($CF$5:CF210)+1,""),"")</f>
        <v/>
      </c>
      <c r="CG211" s="80">
        <f>IF(BD211=0,0,IF(D211="Malcolm",1,MATCH(BF211,{"Draft","Submitted","Approved","Returned","Recall Requested","Cancelled"},0)+1))</f>
        <v>0</v>
      </c>
      <c r="CH211" s="80">
        <f>IF(AND(BF211="Submitted",ISNUMBER(V211)),IF(V211&gt;CFG_MAXD,1,0),0)</f>
        <v>0</v>
      </c>
    </row>
    <row r="212">
      <c r="A212" s="71" t="str">
        <f>IF(Y212=1,ROW()-5,"")</f>
        <v/>
      </c>
      <c r="B212" s="72" t="n"/>
      <c r="C212" s="71" t="str">
        <f>IF(ISNUMBER(B212),CHOOSE(WEEKDAY(B212,2),"Lun","Mar","Mié","Jue","Vie","Sáb","Dom"),"")</f>
        <v/>
      </c>
      <c r="D212" s="73" t="n"/>
      <c r="E212" s="74" t="n"/>
      <c r="F212" s="74" t="n"/>
      <c r="G212" s="74" t="n"/>
      <c r="H212" s="75" t="n"/>
      <c r="I212" s="75" t="n"/>
      <c r="J212" s="76" t="n"/>
      <c r="K212" s="77" t="str">
        <f>IF(AB212=1,ROUND(AG212/60,4),"")</f>
        <v/>
      </c>
      <c r="L212" s="77" t="str">
        <f>IF(BD212=1,ROUND(AP212/60,4),"")</f>
        <v/>
      </c>
      <c r="M212" s="77" t="str">
        <f>IF(BD212=1,ROUND(AQ212/60,4),"")</f>
        <v/>
      </c>
      <c r="N212" s="71" t="str">
        <f>IF(AND(D212="proMX",AB212=1),ROUND(AG212/CFG_BLK,2),"")</f>
        <v/>
      </c>
      <c r="O212" s="77" t="str">
        <f>IF(D212="proMX",IF(BD212=1,ROUND(AG212/60,4),0),"")</f>
        <v/>
      </c>
      <c r="P212" s="78" t="str">
        <f>IF(Y212=0,"",IF(BD212=1,"OK",IF(D212="proMX","Revisar bloques: ","Revisar: ")&amp;BC212))</f>
        <v/>
      </c>
      <c r="Q212" s="78" t="str">
        <f>IF(NOT(ISNUMBER(B212)),"",IF(COUNTIFS(FER_F,INT(B212))&gt;0,"Feriado"&amp;IF(AH212=1," (laborable)"," (no laborable)"),IF(AH212=1,"Laborable",IF(WEEKDAY(B212,2)&gt;5,"Fin de semana","No laborable"))))</f>
        <v/>
      </c>
      <c r="R212" s="73" t="n"/>
      <c r="S212" s="72" t="n"/>
      <c r="T212" s="72" t="n"/>
      <c r="U212" s="74" t="n"/>
      <c r="V212" s="79" t="str">
        <f>IF(AND(D212="proMX",OR(R212="Submitted",R212="Recall Requested"),ISNUMBER(S212)),CFG_TODAY-INT(S212),"")</f>
        <v/>
      </c>
      <c r="W212" s="78" t="str">
        <f>IF(BD212=0,"",IF(BA212&gt;0,"⚠ Se superpone con un registro de la otra empresa",IF(D212="Malcolm",IF(COUNTA(R212,S212,T212)&gt;0,"Estado/fechas proMX se ignoran en Malcolm",""),IF(BF212="Cancelled","Cancelado: excluido de totales",IF(R212="","Sin estado: se trata como Draft",IF(BF212="Submitted",IF(ISNUMBER(V212),IF(V212&gt;CFG_MAXD,"⚠ "&amp;V212&amp;" días en Submitted (máx. "&amp;CFG_MAXD&amp;")",""),"Falta fecha de envío"),IF(BF212="Returned","⚠ Devuelto: corregir y reenviar",IF(BF212="Recall Requested","Retirada solicitada: pendiente",IF(AND(BF212="Approved",NOT(ISNUMBER(T212))),"Falta fecha de aprobación",IF(AND(ISNUMBER(S212),ISNUMBER(T212),T212&lt;S212),"Aprobación anterior al envío","")))))))))</f>
        <v/>
      </c>
      <c r="Y212" s="80">
        <f>IF(COUNTA(B212,D212,E212,F212,G212,H212,I212,J212,R212,S212,T212)&gt;0,1,0)</f>
        <v>0</v>
      </c>
      <c r="Z212" s="80" t="str">
        <f>IF(AND(ISNUMBER(H212),H212&gt;=0,H212&lt;1),ROUND(H212*1440,0),"")</f>
        <v/>
      </c>
      <c r="AA212" s="80" t="str">
        <f>IF(AND(ISNUMBER(I212),I212&gt;=0,I212&lt;1),ROUND(I212*1440,0),"")</f>
        <v/>
      </c>
      <c r="AB212" s="80">
        <f>IF(AND(ISNUMBER(B212),D212&lt;&gt;"",ISNUMBER(Z212),ISNUMBER(AA212)),IF(Z212=AA212,0,1),0)</f>
        <v>0</v>
      </c>
      <c r="AC212" s="80">
        <f>IF(AB212=1,IF(AA212&lt;Z212,1,0),0)</f>
        <v>0</v>
      </c>
      <c r="AD212" s="80">
        <f>IF(AB212=1,IF(AC212=1,1440-Z212+AA212,AA212-Z212),0)</f>
        <v>0</v>
      </c>
      <c r="AE212" s="80">
        <f>IF(J212="",0,IF(ISNUMBER(J212),J212,-1))</f>
        <v>0</v>
      </c>
      <c r="AF212" s="80">
        <f>MIN(MAX(0,AE212),AD212)</f>
        <v>0</v>
      </c>
      <c r="AG212" s="80">
        <f>MAX(0,AD212-MAX(0,AE212))</f>
        <v>0</v>
      </c>
      <c r="AH212" s="80">
        <f>IF(ISNUMBER(B212),IF(AND(INDEX(CFG_WDAYS,WEEKDAY(INT(B212),2))="Sí",IF(D212="proMX",COUNTIFS(FER_F,INT(B212),FER_NLP,"Sí"),COUNTIFS(FER_F,INT(B212),FER_NLM,"Sí"))=0),1,0),0)</f>
        <v>0</v>
      </c>
      <c r="AI212" s="80">
        <f>IF(AC212=1,IF(AND(INDEX(CFG_WDAYS,WEEKDAY(INT(B212)+1,2))="Sí",IF(D212="proMX",COUNTIFS(FER_F,INT(B212)+1,FER_NLP,"Sí"),COUNTIFS(FER_F,INT(B212)+1,FER_NLM,"Sí"))=0),1,0),0)</f>
        <v>0</v>
      </c>
      <c r="AJ212" s="80">
        <f>IF(AC212=1,1440-Z212,AD212)</f>
        <v>0</v>
      </c>
      <c r="AK212" s="80">
        <f>IF(AND(AB212=1,AH212=1),MAX(0,MIN(IF(AC212=1,1440,AA212),CFG_WEM)-MAX(Z212,CFG_WSM)),0)</f>
        <v>0</v>
      </c>
      <c r="AL212" s="80">
        <f>IF(AND(AC212=1,AI212=1),MAX(0,MIN(AA212,CFG_WEM)-CFG_WSM),0)</f>
        <v>0</v>
      </c>
      <c r="AM212" s="80">
        <f>AK212+AL212</f>
        <v>0</v>
      </c>
      <c r="AN212" s="80">
        <f>IF(CFG_BRK="Proporcional",IF(AD212=0,0,AF212*AM212/AD212),IF(CFG_BRK="Extras primero",MIN(AM212,MAX(0,AF212-(AD212-AM212))),MIN(AF212,AM212)))</f>
        <v>0</v>
      </c>
      <c r="AO212" s="80">
        <f>AF212-AN212</f>
        <v>0</v>
      </c>
      <c r="AP212" s="80">
        <f>AM212-AN212</f>
        <v>0</v>
      </c>
      <c r="AQ212" s="80">
        <f>AD212-AM212-AO212</f>
        <v>0</v>
      </c>
      <c r="AR212" s="80">
        <f>IF(AM212=0,0,AK212-AN212*AK212/AM212)</f>
        <v>0</v>
      </c>
      <c r="AS212" s="80">
        <f>IF(AD212-AM212=0,0,(AJ212-AK212)-AO212*(AJ212-AK212)/(AD212-AM212))</f>
        <v>0</v>
      </c>
      <c r="AT212" s="80" t="str">
        <f>IF(AC212=1,INT(B212)+1,"")</f>
        <v/>
      </c>
      <c r="AU212" s="80">
        <f>IF(AND(D212="proMX",R212="Cancelled"),0,1)</f>
        <v>1</v>
      </c>
      <c r="AV212" s="80">
        <f>IF(AND(AB212=1,AU212=1),IF(COUNTIFS($D$5:D211,D212,$B$5:B211,B212,$Z$5:Z211,Z212,$AA$5:AA211,AA212,$F$5:F211,F212&amp;"",$AU$5:AU211,1)&gt;0,1,0),0)</f>
        <v>0</v>
      </c>
      <c r="AW212" s="80" t="str">
        <f>IF(AB212=1,INT(B212)*1440+Z212,"")</f>
        <v/>
      </c>
      <c r="AX212" s="80" t="str">
        <f>IF(AB212=1,AW212+AD212,"")</f>
        <v/>
      </c>
      <c r="AY212" s="80">
        <f>IF(AND(AB212=1,AV212=0,AU212=1),1,0)</f>
        <v>0</v>
      </c>
      <c r="AZ212" s="80">
        <f>IF(AY212=1,COUNTIFS(R_Emp,D212,R_SAbs,"&lt;"&amp;AX212,R_EAbs,"&gt;"&amp;AW212,R_OKey,1)-1,0)</f>
        <v>0</v>
      </c>
      <c r="BA212" s="80">
        <f>IF(AY212=1,COUNTIFS(R_Emp,"&lt;&gt;"&amp;D212,R_SAbs,"&lt;"&amp;AX212,R_EAbs,"&gt;"&amp;AW212,R_OKey,1),0)</f>
        <v>0</v>
      </c>
      <c r="BB212" s="80">
        <f>IF(AND(AB212=1,D212="proMX"),IF(AND(MOD(Z212,CFG_BLK)=0,MOD(AA212,CFG_BLK)=0,MOD(AG212,CFG_BLK)=0,AG212&gt;0),1,0),1)</f>
        <v>1</v>
      </c>
      <c r="BC212" s="80" t="str">
        <f>IF(Y212=0,"",IF(NOT(ISNUMBER(B212)),"Falta fecha o fecha inválida",IF(D212="","Falta empresa",IF(AND(D212&lt;&gt;"Malcolm",D212&lt;&gt;"proMX"),"Empresa inválida",IF(OR(INT(B212)&lt;CFG_PSTART,INT(B212)&gt;CFG_PEND),"Fecha fuera del período",IF(OR(NOT(ISNUMBER(Z212)),NOT(ISNUMBER(AA212))),"Falta hora inicio/fin o formato inválido",IF(AB212=0,"Hora inicio = hora fin",IF(AE212&lt;0,"Descanso inválido",IF(AE212&gt;=AD212,"Descanso ≥ duración",IF(AV212=1,"Registro duplicado",IF(AZ212&gt;0,"Se superpone con otro registro "&amp;D212,IF(BB212=0,"inicio, fin y duración neta deben ser múltiplos de "&amp;CFG_BLK&amp;" min",""))))))))))))</f>
        <v/>
      </c>
      <c r="BD212" s="80">
        <f>IF(AND(Y212=1,BC212=""),1,0)</f>
        <v>0</v>
      </c>
      <c r="BE212" s="80">
        <f>IF(AND(BD212=1,AU212=1),1,0)</f>
        <v>0</v>
      </c>
      <c r="BF212" s="80" t="str">
        <f>IF(AND(D212="proMX",BD212=1),IF(R212="","Draft",R212),"")</f>
        <v/>
      </c>
      <c r="BG212" s="80">
        <f>IF(BD212=1,ROUND(AG212/60,6),0)</f>
        <v>0</v>
      </c>
      <c r="BH212" s="80">
        <f>IF(BE212=1,ROUND(AG212/60,6),0)</f>
        <v>0</v>
      </c>
      <c r="BI212" s="80">
        <f>IF(BE212=1,ROUND(AP212/60,6),0)</f>
        <v>0</v>
      </c>
      <c r="BJ212" s="80">
        <f>IF(BE212=1,ROUND(AQ212/60,6),0)</f>
        <v>0</v>
      </c>
      <c r="BK212" s="80">
        <f>IF(BE212=1,ROUND((AR212+AS212)/60,6),0)</f>
        <v>0</v>
      </c>
      <c r="BL212" s="80">
        <f>ROUND(BH212-BK212,6)</f>
        <v>0</v>
      </c>
      <c r="BM212" s="80">
        <f>IF(BE212=1,ROUND(AR212/60,6),0)</f>
        <v>0</v>
      </c>
      <c r="BN212" s="80">
        <f>ROUND(BI212-BM212,6)</f>
        <v>0</v>
      </c>
      <c r="BO212" s="80">
        <f>IF(BE212=1,ROUND(AS212/60,6),0)</f>
        <v>0</v>
      </c>
      <c r="BP212" s="80">
        <f>ROUND(BJ212-BO212,6)</f>
        <v>0</v>
      </c>
      <c r="BQ212" s="80">
        <f>IF(BE212=1,AW212,0)</f>
        <v>0</v>
      </c>
      <c r="BR212" s="80">
        <f>IF(BE212=1,AX212,0)</f>
        <v>0</v>
      </c>
      <c r="BS212" s="80">
        <f>IF(AND(BE212=1,D212="Malcolm",BA212&gt;0),MIN(BH212,SUMPRODUCT((R_Emp="proMX")*(R_EN&gt;0)*((R_EN-(R_EN&gt;BR212)*(R_EN-BR212))&gt;(R_SN+(R_SN&lt;BQ212)*(BQ212-R_SN)))*((R_EN-(R_EN&gt;BR212)*(R_EN-BR212))-(R_SN+(R_SN&lt;BQ212)*(BQ212-R_SN))))/60),0)</f>
        <v>0</v>
      </c>
      <c r="BT212" s="80">
        <f>IF(AND(BE212=1,D212="proMX"),ROUND(BI212*CFG_RATE+BJ212*CFG_OTRATE,6),0)</f>
        <v>0</v>
      </c>
      <c r="BU212" s="80">
        <f>IF(AND(BD212=1,D212="proMX"),ROUND(AG212/CFG_BLK,6),0)</f>
        <v>0</v>
      </c>
      <c r="BV212" s="80" t="str">
        <f>IF(BF212="Approved",IF(ISNUMBER(T212),INT(T212),INT(B212)),"")</f>
        <v/>
      </c>
      <c r="BW212" s="80">
        <f>IF(ISNUMBER(B212),IF(DB_MON="Todos",1,IF(AND(INT(B212)&gt;=DB_MS,INT(B212)&lt;=DB_ME),1,0)),0)</f>
        <v>0</v>
      </c>
      <c r="BX212" s="80">
        <f>IF(DB_PROJ="Todos",1,IF(E212&amp;""=DB_PROJ&amp;"",1,0))</f>
        <v>1</v>
      </c>
      <c r="BY212" s="80">
        <f>BW212*BX212</f>
        <v>0</v>
      </c>
      <c r="BZ212" s="80" t="str">
        <f>IF(Y212=1,F212&amp;IF(AND(F212&amp;""&lt;&gt;"",E212&amp;""&lt;&gt;"")," · ","")&amp;E212,"")</f>
        <v/>
      </c>
      <c r="CA212" s="80" t="str">
        <f>IF(AND(BD212=1,E212&amp;""&lt;&gt;""),IF(COUNTIFS($E$5:E211,E212,$BD$5:BD211,1)=0,MAX($CA$5:CA211)+1,""),"")</f>
        <v/>
      </c>
      <c r="CB212" s="80" t="str">
        <f>IF(AND(BE212=1,D212="Malcolm",E212&amp;""&lt;&gt;""),IF(COUNTIFS($D$5:D211,"Malcolm",$E$5:E211,E212,$BE$5:BE211,1)=0,MAX($CB$5:CB211)+1,""),"")</f>
        <v/>
      </c>
      <c r="CC212" s="80" t="str">
        <f>IF(AND(BD212=1,D212="proMX",E212&amp;""&lt;&gt;""),IF(COUNTIFS($D$5:D211,"proMX",$E$5:E211,E212,$BD$5:BD211,1)=0,MAX($CC$5:CC211)+1,""),"")</f>
        <v/>
      </c>
      <c r="CD212" s="80" t="str">
        <f>IF(AND(BE212=1,D212="Malcolm",F212&amp;""&lt;&gt;""),IF(COUNTIFS($D$5:D211,"Malcolm",$F$5:F211,F212,$BE$5:BE211,1)=0,MAX($CD$5:CD211)+1,""),"")</f>
        <v/>
      </c>
      <c r="CE212" s="80" t="str">
        <f>IF(AND(BD212=1,D212="proMX",F212&amp;""&lt;&gt;""),IF(COUNTIFS($D$5:D211,"proMX",$F$5:F211,F212,$BD$5:BD211,1)=0,MAX($CE$5:CE211)+1,""),"")</f>
        <v/>
      </c>
      <c r="CF212" s="80" t="str">
        <f>IF(AND(D212="proMX",BD212=1),IF(OR(BF212="Draft",BF212="Submitted",BF212="Returned",BF212="Recall Requested"),MAX($CF$5:CF211)+1,""),"")</f>
        <v/>
      </c>
      <c r="CG212" s="80">
        <f>IF(BD212=0,0,IF(D212="Malcolm",1,MATCH(BF212,{"Draft","Submitted","Approved","Returned","Recall Requested","Cancelled"},0)+1))</f>
        <v>0</v>
      </c>
      <c r="CH212" s="80">
        <f>IF(AND(BF212="Submitted",ISNUMBER(V212)),IF(V212&gt;CFG_MAXD,1,0),0)</f>
        <v>0</v>
      </c>
    </row>
    <row r="213">
      <c r="A213" s="71" t="str">
        <f>IF(Y213=1,ROW()-5,"")</f>
        <v/>
      </c>
      <c r="B213" s="72" t="n"/>
      <c r="C213" s="71" t="str">
        <f>IF(ISNUMBER(B213),CHOOSE(WEEKDAY(B213,2),"Lun","Mar","Mié","Jue","Vie","Sáb","Dom"),"")</f>
        <v/>
      </c>
      <c r="D213" s="73" t="n"/>
      <c r="E213" s="74" t="n"/>
      <c r="F213" s="74" t="n"/>
      <c r="G213" s="74" t="n"/>
      <c r="H213" s="75" t="n"/>
      <c r="I213" s="75" t="n"/>
      <c r="J213" s="76" t="n"/>
      <c r="K213" s="77" t="str">
        <f>IF(AB213=1,ROUND(AG213/60,4),"")</f>
        <v/>
      </c>
      <c r="L213" s="77" t="str">
        <f>IF(BD213=1,ROUND(AP213/60,4),"")</f>
        <v/>
      </c>
      <c r="M213" s="77" t="str">
        <f>IF(BD213=1,ROUND(AQ213/60,4),"")</f>
        <v/>
      </c>
      <c r="N213" s="71" t="str">
        <f>IF(AND(D213="proMX",AB213=1),ROUND(AG213/CFG_BLK,2),"")</f>
        <v/>
      </c>
      <c r="O213" s="77" t="str">
        <f>IF(D213="proMX",IF(BD213=1,ROUND(AG213/60,4),0),"")</f>
        <v/>
      </c>
      <c r="P213" s="78" t="str">
        <f>IF(Y213=0,"",IF(BD213=1,"OK",IF(D213="proMX","Revisar bloques: ","Revisar: ")&amp;BC213))</f>
        <v/>
      </c>
      <c r="Q213" s="78" t="str">
        <f>IF(NOT(ISNUMBER(B213)),"",IF(COUNTIFS(FER_F,INT(B213))&gt;0,"Feriado"&amp;IF(AH213=1," (laborable)"," (no laborable)"),IF(AH213=1,"Laborable",IF(WEEKDAY(B213,2)&gt;5,"Fin de semana","No laborable"))))</f>
        <v/>
      </c>
      <c r="R213" s="73" t="n"/>
      <c r="S213" s="72" t="n"/>
      <c r="T213" s="72" t="n"/>
      <c r="U213" s="74" t="n"/>
      <c r="V213" s="79" t="str">
        <f>IF(AND(D213="proMX",OR(R213="Submitted",R213="Recall Requested"),ISNUMBER(S213)),CFG_TODAY-INT(S213),"")</f>
        <v/>
      </c>
      <c r="W213" s="78" t="str">
        <f>IF(BD213=0,"",IF(BA213&gt;0,"⚠ Se superpone con un registro de la otra empresa",IF(D213="Malcolm",IF(COUNTA(R213,S213,T213)&gt;0,"Estado/fechas proMX se ignoran en Malcolm",""),IF(BF213="Cancelled","Cancelado: excluido de totales",IF(R213="","Sin estado: se trata como Draft",IF(BF213="Submitted",IF(ISNUMBER(V213),IF(V213&gt;CFG_MAXD,"⚠ "&amp;V213&amp;" días en Submitted (máx. "&amp;CFG_MAXD&amp;")",""),"Falta fecha de envío"),IF(BF213="Returned","⚠ Devuelto: corregir y reenviar",IF(BF213="Recall Requested","Retirada solicitada: pendiente",IF(AND(BF213="Approved",NOT(ISNUMBER(T213))),"Falta fecha de aprobación",IF(AND(ISNUMBER(S213),ISNUMBER(T213),T213&lt;S213),"Aprobación anterior al envío","")))))))))</f>
        <v/>
      </c>
      <c r="Y213" s="80">
        <f>IF(COUNTA(B213,D213,E213,F213,G213,H213,I213,J213,R213,S213,T213)&gt;0,1,0)</f>
        <v>0</v>
      </c>
      <c r="Z213" s="80" t="str">
        <f>IF(AND(ISNUMBER(H213),H213&gt;=0,H213&lt;1),ROUND(H213*1440,0),"")</f>
        <v/>
      </c>
      <c r="AA213" s="80" t="str">
        <f>IF(AND(ISNUMBER(I213),I213&gt;=0,I213&lt;1),ROUND(I213*1440,0),"")</f>
        <v/>
      </c>
      <c r="AB213" s="80">
        <f>IF(AND(ISNUMBER(B213),D213&lt;&gt;"",ISNUMBER(Z213),ISNUMBER(AA213)),IF(Z213=AA213,0,1),0)</f>
        <v>0</v>
      </c>
      <c r="AC213" s="80">
        <f>IF(AB213=1,IF(AA213&lt;Z213,1,0),0)</f>
        <v>0</v>
      </c>
      <c r="AD213" s="80">
        <f>IF(AB213=1,IF(AC213=1,1440-Z213+AA213,AA213-Z213),0)</f>
        <v>0</v>
      </c>
      <c r="AE213" s="80">
        <f>IF(J213="",0,IF(ISNUMBER(J213),J213,-1))</f>
        <v>0</v>
      </c>
      <c r="AF213" s="80">
        <f>MIN(MAX(0,AE213),AD213)</f>
        <v>0</v>
      </c>
      <c r="AG213" s="80">
        <f>MAX(0,AD213-MAX(0,AE213))</f>
        <v>0</v>
      </c>
      <c r="AH213" s="80">
        <f>IF(ISNUMBER(B213),IF(AND(INDEX(CFG_WDAYS,WEEKDAY(INT(B213),2))="Sí",IF(D213="proMX",COUNTIFS(FER_F,INT(B213),FER_NLP,"Sí"),COUNTIFS(FER_F,INT(B213),FER_NLM,"Sí"))=0),1,0),0)</f>
        <v>0</v>
      </c>
      <c r="AI213" s="80">
        <f>IF(AC213=1,IF(AND(INDEX(CFG_WDAYS,WEEKDAY(INT(B213)+1,2))="Sí",IF(D213="proMX",COUNTIFS(FER_F,INT(B213)+1,FER_NLP,"Sí"),COUNTIFS(FER_F,INT(B213)+1,FER_NLM,"Sí"))=0),1,0),0)</f>
        <v>0</v>
      </c>
      <c r="AJ213" s="80">
        <f>IF(AC213=1,1440-Z213,AD213)</f>
        <v>0</v>
      </c>
      <c r="AK213" s="80">
        <f>IF(AND(AB213=1,AH213=1),MAX(0,MIN(IF(AC213=1,1440,AA213),CFG_WEM)-MAX(Z213,CFG_WSM)),0)</f>
        <v>0</v>
      </c>
      <c r="AL213" s="80">
        <f>IF(AND(AC213=1,AI213=1),MAX(0,MIN(AA213,CFG_WEM)-CFG_WSM),0)</f>
        <v>0</v>
      </c>
      <c r="AM213" s="80">
        <f>AK213+AL213</f>
        <v>0</v>
      </c>
      <c r="AN213" s="80">
        <f>IF(CFG_BRK="Proporcional",IF(AD213=0,0,AF213*AM213/AD213),IF(CFG_BRK="Extras primero",MIN(AM213,MAX(0,AF213-(AD213-AM213))),MIN(AF213,AM213)))</f>
        <v>0</v>
      </c>
      <c r="AO213" s="80">
        <f>AF213-AN213</f>
        <v>0</v>
      </c>
      <c r="AP213" s="80">
        <f>AM213-AN213</f>
        <v>0</v>
      </c>
      <c r="AQ213" s="80">
        <f>AD213-AM213-AO213</f>
        <v>0</v>
      </c>
      <c r="AR213" s="80">
        <f>IF(AM213=0,0,AK213-AN213*AK213/AM213)</f>
        <v>0</v>
      </c>
      <c r="AS213" s="80">
        <f>IF(AD213-AM213=0,0,(AJ213-AK213)-AO213*(AJ213-AK213)/(AD213-AM213))</f>
        <v>0</v>
      </c>
      <c r="AT213" s="80" t="str">
        <f>IF(AC213=1,INT(B213)+1,"")</f>
        <v/>
      </c>
      <c r="AU213" s="80">
        <f>IF(AND(D213="proMX",R213="Cancelled"),0,1)</f>
        <v>1</v>
      </c>
      <c r="AV213" s="80">
        <f>IF(AND(AB213=1,AU213=1),IF(COUNTIFS($D$5:D212,D213,$B$5:B212,B213,$Z$5:Z212,Z213,$AA$5:AA212,AA213,$F$5:F212,F213&amp;"",$AU$5:AU212,1)&gt;0,1,0),0)</f>
        <v>0</v>
      </c>
      <c r="AW213" s="80" t="str">
        <f>IF(AB213=1,INT(B213)*1440+Z213,"")</f>
        <v/>
      </c>
      <c r="AX213" s="80" t="str">
        <f>IF(AB213=1,AW213+AD213,"")</f>
        <v/>
      </c>
      <c r="AY213" s="80">
        <f>IF(AND(AB213=1,AV213=0,AU213=1),1,0)</f>
        <v>0</v>
      </c>
      <c r="AZ213" s="80">
        <f>IF(AY213=1,COUNTIFS(R_Emp,D213,R_SAbs,"&lt;"&amp;AX213,R_EAbs,"&gt;"&amp;AW213,R_OKey,1)-1,0)</f>
        <v>0</v>
      </c>
      <c r="BA213" s="80">
        <f>IF(AY213=1,COUNTIFS(R_Emp,"&lt;&gt;"&amp;D213,R_SAbs,"&lt;"&amp;AX213,R_EAbs,"&gt;"&amp;AW213,R_OKey,1),0)</f>
        <v>0</v>
      </c>
      <c r="BB213" s="80">
        <f>IF(AND(AB213=1,D213="proMX"),IF(AND(MOD(Z213,CFG_BLK)=0,MOD(AA213,CFG_BLK)=0,MOD(AG213,CFG_BLK)=0,AG213&gt;0),1,0),1)</f>
        <v>1</v>
      </c>
      <c r="BC213" s="80" t="str">
        <f>IF(Y213=0,"",IF(NOT(ISNUMBER(B213)),"Falta fecha o fecha inválida",IF(D213="","Falta empresa",IF(AND(D213&lt;&gt;"Malcolm",D213&lt;&gt;"proMX"),"Empresa inválida",IF(OR(INT(B213)&lt;CFG_PSTART,INT(B213)&gt;CFG_PEND),"Fecha fuera del período",IF(OR(NOT(ISNUMBER(Z213)),NOT(ISNUMBER(AA213))),"Falta hora inicio/fin o formato inválido",IF(AB213=0,"Hora inicio = hora fin",IF(AE213&lt;0,"Descanso inválido",IF(AE213&gt;=AD213,"Descanso ≥ duración",IF(AV213=1,"Registro duplicado",IF(AZ213&gt;0,"Se superpone con otro registro "&amp;D213,IF(BB213=0,"inicio, fin y duración neta deben ser múltiplos de "&amp;CFG_BLK&amp;" min",""))))))))))))</f>
        <v/>
      </c>
      <c r="BD213" s="80">
        <f>IF(AND(Y213=1,BC213=""),1,0)</f>
        <v>0</v>
      </c>
      <c r="BE213" s="80">
        <f>IF(AND(BD213=1,AU213=1),1,0)</f>
        <v>0</v>
      </c>
      <c r="BF213" s="80" t="str">
        <f>IF(AND(D213="proMX",BD213=1),IF(R213="","Draft",R213),"")</f>
        <v/>
      </c>
      <c r="BG213" s="80">
        <f>IF(BD213=1,ROUND(AG213/60,6),0)</f>
        <v>0</v>
      </c>
      <c r="BH213" s="80">
        <f>IF(BE213=1,ROUND(AG213/60,6),0)</f>
        <v>0</v>
      </c>
      <c r="BI213" s="80">
        <f>IF(BE213=1,ROUND(AP213/60,6),0)</f>
        <v>0</v>
      </c>
      <c r="BJ213" s="80">
        <f>IF(BE213=1,ROUND(AQ213/60,6),0)</f>
        <v>0</v>
      </c>
      <c r="BK213" s="80">
        <f>IF(BE213=1,ROUND((AR213+AS213)/60,6),0)</f>
        <v>0</v>
      </c>
      <c r="BL213" s="80">
        <f>ROUND(BH213-BK213,6)</f>
        <v>0</v>
      </c>
      <c r="BM213" s="80">
        <f>IF(BE213=1,ROUND(AR213/60,6),0)</f>
        <v>0</v>
      </c>
      <c r="BN213" s="80">
        <f>ROUND(BI213-BM213,6)</f>
        <v>0</v>
      </c>
      <c r="BO213" s="80">
        <f>IF(BE213=1,ROUND(AS213/60,6),0)</f>
        <v>0</v>
      </c>
      <c r="BP213" s="80">
        <f>ROUND(BJ213-BO213,6)</f>
        <v>0</v>
      </c>
      <c r="BQ213" s="80">
        <f>IF(BE213=1,AW213,0)</f>
        <v>0</v>
      </c>
      <c r="BR213" s="80">
        <f>IF(BE213=1,AX213,0)</f>
        <v>0</v>
      </c>
      <c r="BS213" s="80">
        <f>IF(AND(BE213=1,D213="Malcolm",BA213&gt;0),MIN(BH213,SUMPRODUCT((R_Emp="proMX")*(R_EN&gt;0)*((R_EN-(R_EN&gt;BR213)*(R_EN-BR213))&gt;(R_SN+(R_SN&lt;BQ213)*(BQ213-R_SN)))*((R_EN-(R_EN&gt;BR213)*(R_EN-BR213))-(R_SN+(R_SN&lt;BQ213)*(BQ213-R_SN))))/60),0)</f>
        <v>0</v>
      </c>
      <c r="BT213" s="80">
        <f>IF(AND(BE213=1,D213="proMX"),ROUND(BI213*CFG_RATE+BJ213*CFG_OTRATE,6),0)</f>
        <v>0</v>
      </c>
      <c r="BU213" s="80">
        <f>IF(AND(BD213=1,D213="proMX"),ROUND(AG213/CFG_BLK,6),0)</f>
        <v>0</v>
      </c>
      <c r="BV213" s="80" t="str">
        <f>IF(BF213="Approved",IF(ISNUMBER(T213),INT(T213),INT(B213)),"")</f>
        <v/>
      </c>
      <c r="BW213" s="80">
        <f>IF(ISNUMBER(B213),IF(DB_MON="Todos",1,IF(AND(INT(B213)&gt;=DB_MS,INT(B213)&lt;=DB_ME),1,0)),0)</f>
        <v>0</v>
      </c>
      <c r="BX213" s="80">
        <f>IF(DB_PROJ="Todos",1,IF(E213&amp;""=DB_PROJ&amp;"",1,0))</f>
        <v>1</v>
      </c>
      <c r="BY213" s="80">
        <f>BW213*BX213</f>
        <v>0</v>
      </c>
      <c r="BZ213" s="80" t="str">
        <f>IF(Y213=1,F213&amp;IF(AND(F213&amp;""&lt;&gt;"",E213&amp;""&lt;&gt;"")," · ","")&amp;E213,"")</f>
        <v/>
      </c>
      <c r="CA213" s="80" t="str">
        <f>IF(AND(BD213=1,E213&amp;""&lt;&gt;""),IF(COUNTIFS($E$5:E212,E213,$BD$5:BD212,1)=0,MAX($CA$5:CA212)+1,""),"")</f>
        <v/>
      </c>
      <c r="CB213" s="80" t="str">
        <f>IF(AND(BE213=1,D213="Malcolm",E213&amp;""&lt;&gt;""),IF(COUNTIFS($D$5:D212,"Malcolm",$E$5:E212,E213,$BE$5:BE212,1)=0,MAX($CB$5:CB212)+1,""),"")</f>
        <v/>
      </c>
      <c r="CC213" s="80" t="str">
        <f>IF(AND(BD213=1,D213="proMX",E213&amp;""&lt;&gt;""),IF(COUNTIFS($D$5:D212,"proMX",$E$5:E212,E213,$BD$5:BD212,1)=0,MAX($CC$5:CC212)+1,""),"")</f>
        <v/>
      </c>
      <c r="CD213" s="80" t="str">
        <f>IF(AND(BE213=1,D213="Malcolm",F213&amp;""&lt;&gt;""),IF(COUNTIFS($D$5:D212,"Malcolm",$F$5:F212,F213,$BE$5:BE212,1)=0,MAX($CD$5:CD212)+1,""),"")</f>
        <v/>
      </c>
      <c r="CE213" s="80" t="str">
        <f>IF(AND(BD213=1,D213="proMX",F213&amp;""&lt;&gt;""),IF(COUNTIFS($D$5:D212,"proMX",$F$5:F212,F213,$BD$5:BD212,1)=0,MAX($CE$5:CE212)+1,""),"")</f>
        <v/>
      </c>
      <c r="CF213" s="80" t="str">
        <f>IF(AND(D213="proMX",BD213=1),IF(OR(BF213="Draft",BF213="Submitted",BF213="Returned",BF213="Recall Requested"),MAX($CF$5:CF212)+1,""),"")</f>
        <v/>
      </c>
      <c r="CG213" s="80">
        <f>IF(BD213=0,0,IF(D213="Malcolm",1,MATCH(BF213,{"Draft","Submitted","Approved","Returned","Recall Requested","Cancelled"},0)+1))</f>
        <v>0</v>
      </c>
      <c r="CH213" s="80">
        <f>IF(AND(BF213="Submitted",ISNUMBER(V213)),IF(V213&gt;CFG_MAXD,1,0),0)</f>
        <v>0</v>
      </c>
    </row>
    <row r="214">
      <c r="A214" s="71" t="str">
        <f>IF(Y214=1,ROW()-5,"")</f>
        <v/>
      </c>
      <c r="B214" s="72" t="n"/>
      <c r="C214" s="71" t="str">
        <f>IF(ISNUMBER(B214),CHOOSE(WEEKDAY(B214,2),"Lun","Mar","Mié","Jue","Vie","Sáb","Dom"),"")</f>
        <v/>
      </c>
      <c r="D214" s="73" t="n"/>
      <c r="E214" s="74" t="n"/>
      <c r="F214" s="74" t="n"/>
      <c r="G214" s="74" t="n"/>
      <c r="H214" s="75" t="n"/>
      <c r="I214" s="75" t="n"/>
      <c r="J214" s="76" t="n"/>
      <c r="K214" s="77" t="str">
        <f>IF(AB214=1,ROUND(AG214/60,4),"")</f>
        <v/>
      </c>
      <c r="L214" s="77" t="str">
        <f>IF(BD214=1,ROUND(AP214/60,4),"")</f>
        <v/>
      </c>
      <c r="M214" s="77" t="str">
        <f>IF(BD214=1,ROUND(AQ214/60,4),"")</f>
        <v/>
      </c>
      <c r="N214" s="71" t="str">
        <f>IF(AND(D214="proMX",AB214=1),ROUND(AG214/CFG_BLK,2),"")</f>
        <v/>
      </c>
      <c r="O214" s="77" t="str">
        <f>IF(D214="proMX",IF(BD214=1,ROUND(AG214/60,4),0),"")</f>
        <v/>
      </c>
      <c r="P214" s="78" t="str">
        <f>IF(Y214=0,"",IF(BD214=1,"OK",IF(D214="proMX","Revisar bloques: ","Revisar: ")&amp;BC214))</f>
        <v/>
      </c>
      <c r="Q214" s="78" t="str">
        <f>IF(NOT(ISNUMBER(B214)),"",IF(COUNTIFS(FER_F,INT(B214))&gt;0,"Feriado"&amp;IF(AH214=1," (laborable)"," (no laborable)"),IF(AH214=1,"Laborable",IF(WEEKDAY(B214,2)&gt;5,"Fin de semana","No laborable"))))</f>
        <v/>
      </c>
      <c r="R214" s="73" t="n"/>
      <c r="S214" s="72" t="n"/>
      <c r="T214" s="72" t="n"/>
      <c r="U214" s="74" t="n"/>
      <c r="V214" s="79" t="str">
        <f>IF(AND(D214="proMX",OR(R214="Submitted",R214="Recall Requested"),ISNUMBER(S214)),CFG_TODAY-INT(S214),"")</f>
        <v/>
      </c>
      <c r="W214" s="78" t="str">
        <f>IF(BD214=0,"",IF(BA214&gt;0,"⚠ Se superpone con un registro de la otra empresa",IF(D214="Malcolm",IF(COUNTA(R214,S214,T214)&gt;0,"Estado/fechas proMX se ignoran en Malcolm",""),IF(BF214="Cancelled","Cancelado: excluido de totales",IF(R214="","Sin estado: se trata como Draft",IF(BF214="Submitted",IF(ISNUMBER(V214),IF(V214&gt;CFG_MAXD,"⚠ "&amp;V214&amp;" días en Submitted (máx. "&amp;CFG_MAXD&amp;")",""),"Falta fecha de envío"),IF(BF214="Returned","⚠ Devuelto: corregir y reenviar",IF(BF214="Recall Requested","Retirada solicitada: pendiente",IF(AND(BF214="Approved",NOT(ISNUMBER(T214))),"Falta fecha de aprobación",IF(AND(ISNUMBER(S214),ISNUMBER(T214),T214&lt;S214),"Aprobación anterior al envío","")))))))))</f>
        <v/>
      </c>
      <c r="Y214" s="80">
        <f>IF(COUNTA(B214,D214,E214,F214,G214,H214,I214,J214,R214,S214,T214)&gt;0,1,0)</f>
        <v>0</v>
      </c>
      <c r="Z214" s="80" t="str">
        <f>IF(AND(ISNUMBER(H214),H214&gt;=0,H214&lt;1),ROUND(H214*1440,0),"")</f>
        <v/>
      </c>
      <c r="AA214" s="80" t="str">
        <f>IF(AND(ISNUMBER(I214),I214&gt;=0,I214&lt;1),ROUND(I214*1440,0),"")</f>
        <v/>
      </c>
      <c r="AB214" s="80">
        <f>IF(AND(ISNUMBER(B214),D214&lt;&gt;"",ISNUMBER(Z214),ISNUMBER(AA214)),IF(Z214=AA214,0,1),0)</f>
        <v>0</v>
      </c>
      <c r="AC214" s="80">
        <f>IF(AB214=1,IF(AA214&lt;Z214,1,0),0)</f>
        <v>0</v>
      </c>
      <c r="AD214" s="80">
        <f>IF(AB214=1,IF(AC214=1,1440-Z214+AA214,AA214-Z214),0)</f>
        <v>0</v>
      </c>
      <c r="AE214" s="80">
        <f>IF(J214="",0,IF(ISNUMBER(J214),J214,-1))</f>
        <v>0</v>
      </c>
      <c r="AF214" s="80">
        <f>MIN(MAX(0,AE214),AD214)</f>
        <v>0</v>
      </c>
      <c r="AG214" s="80">
        <f>MAX(0,AD214-MAX(0,AE214))</f>
        <v>0</v>
      </c>
      <c r="AH214" s="80">
        <f>IF(ISNUMBER(B214),IF(AND(INDEX(CFG_WDAYS,WEEKDAY(INT(B214),2))="Sí",IF(D214="proMX",COUNTIFS(FER_F,INT(B214),FER_NLP,"Sí"),COUNTIFS(FER_F,INT(B214),FER_NLM,"Sí"))=0),1,0),0)</f>
        <v>0</v>
      </c>
      <c r="AI214" s="80">
        <f>IF(AC214=1,IF(AND(INDEX(CFG_WDAYS,WEEKDAY(INT(B214)+1,2))="Sí",IF(D214="proMX",COUNTIFS(FER_F,INT(B214)+1,FER_NLP,"Sí"),COUNTIFS(FER_F,INT(B214)+1,FER_NLM,"Sí"))=0),1,0),0)</f>
        <v>0</v>
      </c>
      <c r="AJ214" s="80">
        <f>IF(AC214=1,1440-Z214,AD214)</f>
        <v>0</v>
      </c>
      <c r="AK214" s="80">
        <f>IF(AND(AB214=1,AH214=1),MAX(0,MIN(IF(AC214=1,1440,AA214),CFG_WEM)-MAX(Z214,CFG_WSM)),0)</f>
        <v>0</v>
      </c>
      <c r="AL214" s="80">
        <f>IF(AND(AC214=1,AI214=1),MAX(0,MIN(AA214,CFG_WEM)-CFG_WSM),0)</f>
        <v>0</v>
      </c>
      <c r="AM214" s="80">
        <f>AK214+AL214</f>
        <v>0</v>
      </c>
      <c r="AN214" s="80">
        <f>IF(CFG_BRK="Proporcional",IF(AD214=0,0,AF214*AM214/AD214),IF(CFG_BRK="Extras primero",MIN(AM214,MAX(0,AF214-(AD214-AM214))),MIN(AF214,AM214)))</f>
        <v>0</v>
      </c>
      <c r="AO214" s="80">
        <f>AF214-AN214</f>
        <v>0</v>
      </c>
      <c r="AP214" s="80">
        <f>AM214-AN214</f>
        <v>0</v>
      </c>
      <c r="AQ214" s="80">
        <f>AD214-AM214-AO214</f>
        <v>0</v>
      </c>
      <c r="AR214" s="80">
        <f>IF(AM214=0,0,AK214-AN214*AK214/AM214)</f>
        <v>0</v>
      </c>
      <c r="AS214" s="80">
        <f>IF(AD214-AM214=0,0,(AJ214-AK214)-AO214*(AJ214-AK214)/(AD214-AM214))</f>
        <v>0</v>
      </c>
      <c r="AT214" s="80" t="str">
        <f>IF(AC214=1,INT(B214)+1,"")</f>
        <v/>
      </c>
      <c r="AU214" s="80">
        <f>IF(AND(D214="proMX",R214="Cancelled"),0,1)</f>
        <v>1</v>
      </c>
      <c r="AV214" s="80">
        <f>IF(AND(AB214=1,AU214=1),IF(COUNTIFS($D$5:D213,D214,$B$5:B213,B214,$Z$5:Z213,Z214,$AA$5:AA213,AA214,$F$5:F213,F214&amp;"",$AU$5:AU213,1)&gt;0,1,0),0)</f>
        <v>0</v>
      </c>
      <c r="AW214" s="80" t="str">
        <f>IF(AB214=1,INT(B214)*1440+Z214,"")</f>
        <v/>
      </c>
      <c r="AX214" s="80" t="str">
        <f>IF(AB214=1,AW214+AD214,"")</f>
        <v/>
      </c>
      <c r="AY214" s="80">
        <f>IF(AND(AB214=1,AV214=0,AU214=1),1,0)</f>
        <v>0</v>
      </c>
      <c r="AZ214" s="80">
        <f>IF(AY214=1,COUNTIFS(R_Emp,D214,R_SAbs,"&lt;"&amp;AX214,R_EAbs,"&gt;"&amp;AW214,R_OKey,1)-1,0)</f>
        <v>0</v>
      </c>
      <c r="BA214" s="80">
        <f>IF(AY214=1,COUNTIFS(R_Emp,"&lt;&gt;"&amp;D214,R_SAbs,"&lt;"&amp;AX214,R_EAbs,"&gt;"&amp;AW214,R_OKey,1),0)</f>
        <v>0</v>
      </c>
      <c r="BB214" s="80">
        <f>IF(AND(AB214=1,D214="proMX"),IF(AND(MOD(Z214,CFG_BLK)=0,MOD(AA214,CFG_BLK)=0,MOD(AG214,CFG_BLK)=0,AG214&gt;0),1,0),1)</f>
        <v>1</v>
      </c>
      <c r="BC214" s="80" t="str">
        <f>IF(Y214=0,"",IF(NOT(ISNUMBER(B214)),"Falta fecha o fecha inválida",IF(D214="","Falta empresa",IF(AND(D214&lt;&gt;"Malcolm",D214&lt;&gt;"proMX"),"Empresa inválida",IF(OR(INT(B214)&lt;CFG_PSTART,INT(B214)&gt;CFG_PEND),"Fecha fuera del período",IF(OR(NOT(ISNUMBER(Z214)),NOT(ISNUMBER(AA214))),"Falta hora inicio/fin o formato inválido",IF(AB214=0,"Hora inicio = hora fin",IF(AE214&lt;0,"Descanso inválido",IF(AE214&gt;=AD214,"Descanso ≥ duración",IF(AV214=1,"Registro duplicado",IF(AZ214&gt;0,"Se superpone con otro registro "&amp;D214,IF(BB214=0,"inicio, fin y duración neta deben ser múltiplos de "&amp;CFG_BLK&amp;" min",""))))))))))))</f>
        <v/>
      </c>
      <c r="BD214" s="80">
        <f>IF(AND(Y214=1,BC214=""),1,0)</f>
        <v>0</v>
      </c>
      <c r="BE214" s="80">
        <f>IF(AND(BD214=1,AU214=1),1,0)</f>
        <v>0</v>
      </c>
      <c r="BF214" s="80" t="str">
        <f>IF(AND(D214="proMX",BD214=1),IF(R214="","Draft",R214),"")</f>
        <v/>
      </c>
      <c r="BG214" s="80">
        <f>IF(BD214=1,ROUND(AG214/60,6),0)</f>
        <v>0</v>
      </c>
      <c r="BH214" s="80">
        <f>IF(BE214=1,ROUND(AG214/60,6),0)</f>
        <v>0</v>
      </c>
      <c r="BI214" s="80">
        <f>IF(BE214=1,ROUND(AP214/60,6),0)</f>
        <v>0</v>
      </c>
      <c r="BJ214" s="80">
        <f>IF(BE214=1,ROUND(AQ214/60,6),0)</f>
        <v>0</v>
      </c>
      <c r="BK214" s="80">
        <f>IF(BE214=1,ROUND((AR214+AS214)/60,6),0)</f>
        <v>0</v>
      </c>
      <c r="BL214" s="80">
        <f>ROUND(BH214-BK214,6)</f>
        <v>0</v>
      </c>
      <c r="BM214" s="80">
        <f>IF(BE214=1,ROUND(AR214/60,6),0)</f>
        <v>0</v>
      </c>
      <c r="BN214" s="80">
        <f>ROUND(BI214-BM214,6)</f>
        <v>0</v>
      </c>
      <c r="BO214" s="80">
        <f>IF(BE214=1,ROUND(AS214/60,6),0)</f>
        <v>0</v>
      </c>
      <c r="BP214" s="80">
        <f>ROUND(BJ214-BO214,6)</f>
        <v>0</v>
      </c>
      <c r="BQ214" s="80">
        <f>IF(BE214=1,AW214,0)</f>
        <v>0</v>
      </c>
      <c r="BR214" s="80">
        <f>IF(BE214=1,AX214,0)</f>
        <v>0</v>
      </c>
      <c r="BS214" s="80">
        <f>IF(AND(BE214=1,D214="Malcolm",BA214&gt;0),MIN(BH214,SUMPRODUCT((R_Emp="proMX")*(R_EN&gt;0)*((R_EN-(R_EN&gt;BR214)*(R_EN-BR214))&gt;(R_SN+(R_SN&lt;BQ214)*(BQ214-R_SN)))*((R_EN-(R_EN&gt;BR214)*(R_EN-BR214))-(R_SN+(R_SN&lt;BQ214)*(BQ214-R_SN))))/60),0)</f>
        <v>0</v>
      </c>
      <c r="BT214" s="80">
        <f>IF(AND(BE214=1,D214="proMX"),ROUND(BI214*CFG_RATE+BJ214*CFG_OTRATE,6),0)</f>
        <v>0</v>
      </c>
      <c r="BU214" s="80">
        <f>IF(AND(BD214=1,D214="proMX"),ROUND(AG214/CFG_BLK,6),0)</f>
        <v>0</v>
      </c>
      <c r="BV214" s="80" t="str">
        <f>IF(BF214="Approved",IF(ISNUMBER(T214),INT(T214),INT(B214)),"")</f>
        <v/>
      </c>
      <c r="BW214" s="80">
        <f>IF(ISNUMBER(B214),IF(DB_MON="Todos",1,IF(AND(INT(B214)&gt;=DB_MS,INT(B214)&lt;=DB_ME),1,0)),0)</f>
        <v>0</v>
      </c>
      <c r="BX214" s="80">
        <f>IF(DB_PROJ="Todos",1,IF(E214&amp;""=DB_PROJ&amp;"",1,0))</f>
        <v>1</v>
      </c>
      <c r="BY214" s="80">
        <f>BW214*BX214</f>
        <v>0</v>
      </c>
      <c r="BZ214" s="80" t="str">
        <f>IF(Y214=1,F214&amp;IF(AND(F214&amp;""&lt;&gt;"",E214&amp;""&lt;&gt;"")," · ","")&amp;E214,"")</f>
        <v/>
      </c>
      <c r="CA214" s="80" t="str">
        <f>IF(AND(BD214=1,E214&amp;""&lt;&gt;""),IF(COUNTIFS($E$5:E213,E214,$BD$5:BD213,1)=0,MAX($CA$5:CA213)+1,""),"")</f>
        <v/>
      </c>
      <c r="CB214" s="80" t="str">
        <f>IF(AND(BE214=1,D214="Malcolm",E214&amp;""&lt;&gt;""),IF(COUNTIFS($D$5:D213,"Malcolm",$E$5:E213,E214,$BE$5:BE213,1)=0,MAX($CB$5:CB213)+1,""),"")</f>
        <v/>
      </c>
      <c r="CC214" s="80" t="str">
        <f>IF(AND(BD214=1,D214="proMX",E214&amp;""&lt;&gt;""),IF(COUNTIFS($D$5:D213,"proMX",$E$5:E213,E214,$BD$5:BD213,1)=0,MAX($CC$5:CC213)+1,""),"")</f>
        <v/>
      </c>
      <c r="CD214" s="80" t="str">
        <f>IF(AND(BE214=1,D214="Malcolm",F214&amp;""&lt;&gt;""),IF(COUNTIFS($D$5:D213,"Malcolm",$F$5:F213,F214,$BE$5:BE213,1)=0,MAX($CD$5:CD213)+1,""),"")</f>
        <v/>
      </c>
      <c r="CE214" s="80" t="str">
        <f>IF(AND(BD214=1,D214="proMX",F214&amp;""&lt;&gt;""),IF(COUNTIFS($D$5:D213,"proMX",$F$5:F213,F214,$BD$5:BD213,1)=0,MAX($CE$5:CE213)+1,""),"")</f>
        <v/>
      </c>
      <c r="CF214" s="80" t="str">
        <f>IF(AND(D214="proMX",BD214=1),IF(OR(BF214="Draft",BF214="Submitted",BF214="Returned",BF214="Recall Requested"),MAX($CF$5:CF213)+1,""),"")</f>
        <v/>
      </c>
      <c r="CG214" s="80">
        <f>IF(BD214=0,0,IF(D214="Malcolm",1,MATCH(BF214,{"Draft","Submitted","Approved","Returned","Recall Requested","Cancelled"},0)+1))</f>
        <v>0</v>
      </c>
      <c r="CH214" s="80">
        <f>IF(AND(BF214="Submitted",ISNUMBER(V214)),IF(V214&gt;CFG_MAXD,1,0),0)</f>
        <v>0</v>
      </c>
    </row>
    <row r="215">
      <c r="A215" s="71" t="str">
        <f>IF(Y215=1,ROW()-5,"")</f>
        <v/>
      </c>
      <c r="B215" s="72" t="n"/>
      <c r="C215" s="71" t="str">
        <f>IF(ISNUMBER(B215),CHOOSE(WEEKDAY(B215,2),"Lun","Mar","Mié","Jue","Vie","Sáb","Dom"),"")</f>
        <v/>
      </c>
      <c r="D215" s="73" t="n"/>
      <c r="E215" s="74" t="n"/>
      <c r="F215" s="74" t="n"/>
      <c r="G215" s="74" t="n"/>
      <c r="H215" s="75" t="n"/>
      <c r="I215" s="75" t="n"/>
      <c r="J215" s="76" t="n"/>
      <c r="K215" s="77" t="str">
        <f>IF(AB215=1,ROUND(AG215/60,4),"")</f>
        <v/>
      </c>
      <c r="L215" s="77" t="str">
        <f>IF(BD215=1,ROUND(AP215/60,4),"")</f>
        <v/>
      </c>
      <c r="M215" s="77" t="str">
        <f>IF(BD215=1,ROUND(AQ215/60,4),"")</f>
        <v/>
      </c>
      <c r="N215" s="71" t="str">
        <f>IF(AND(D215="proMX",AB215=1),ROUND(AG215/CFG_BLK,2),"")</f>
        <v/>
      </c>
      <c r="O215" s="77" t="str">
        <f>IF(D215="proMX",IF(BD215=1,ROUND(AG215/60,4),0),"")</f>
        <v/>
      </c>
      <c r="P215" s="78" t="str">
        <f>IF(Y215=0,"",IF(BD215=1,"OK",IF(D215="proMX","Revisar bloques: ","Revisar: ")&amp;BC215))</f>
        <v/>
      </c>
      <c r="Q215" s="78" t="str">
        <f>IF(NOT(ISNUMBER(B215)),"",IF(COUNTIFS(FER_F,INT(B215))&gt;0,"Feriado"&amp;IF(AH215=1," (laborable)"," (no laborable)"),IF(AH215=1,"Laborable",IF(WEEKDAY(B215,2)&gt;5,"Fin de semana","No laborable"))))</f>
        <v/>
      </c>
      <c r="R215" s="73" t="n"/>
      <c r="S215" s="72" t="n"/>
      <c r="T215" s="72" t="n"/>
      <c r="U215" s="74" t="n"/>
      <c r="V215" s="79" t="str">
        <f>IF(AND(D215="proMX",OR(R215="Submitted",R215="Recall Requested"),ISNUMBER(S215)),CFG_TODAY-INT(S215),"")</f>
        <v/>
      </c>
      <c r="W215" s="78" t="str">
        <f>IF(BD215=0,"",IF(BA215&gt;0,"⚠ Se superpone con un registro de la otra empresa",IF(D215="Malcolm",IF(COUNTA(R215,S215,T215)&gt;0,"Estado/fechas proMX se ignoran en Malcolm",""),IF(BF215="Cancelled","Cancelado: excluido de totales",IF(R215="","Sin estado: se trata como Draft",IF(BF215="Submitted",IF(ISNUMBER(V215),IF(V215&gt;CFG_MAXD,"⚠ "&amp;V215&amp;" días en Submitted (máx. "&amp;CFG_MAXD&amp;")",""),"Falta fecha de envío"),IF(BF215="Returned","⚠ Devuelto: corregir y reenviar",IF(BF215="Recall Requested","Retirada solicitada: pendiente",IF(AND(BF215="Approved",NOT(ISNUMBER(T215))),"Falta fecha de aprobación",IF(AND(ISNUMBER(S215),ISNUMBER(T215),T215&lt;S215),"Aprobación anterior al envío","")))))))))</f>
        <v/>
      </c>
      <c r="Y215" s="80">
        <f>IF(COUNTA(B215,D215,E215,F215,G215,H215,I215,J215,R215,S215,T215)&gt;0,1,0)</f>
        <v>0</v>
      </c>
      <c r="Z215" s="80" t="str">
        <f>IF(AND(ISNUMBER(H215),H215&gt;=0,H215&lt;1),ROUND(H215*1440,0),"")</f>
        <v/>
      </c>
      <c r="AA215" s="80" t="str">
        <f>IF(AND(ISNUMBER(I215),I215&gt;=0,I215&lt;1),ROUND(I215*1440,0),"")</f>
        <v/>
      </c>
      <c r="AB215" s="80">
        <f>IF(AND(ISNUMBER(B215),D215&lt;&gt;"",ISNUMBER(Z215),ISNUMBER(AA215)),IF(Z215=AA215,0,1),0)</f>
        <v>0</v>
      </c>
      <c r="AC215" s="80">
        <f>IF(AB215=1,IF(AA215&lt;Z215,1,0),0)</f>
        <v>0</v>
      </c>
      <c r="AD215" s="80">
        <f>IF(AB215=1,IF(AC215=1,1440-Z215+AA215,AA215-Z215),0)</f>
        <v>0</v>
      </c>
      <c r="AE215" s="80">
        <f>IF(J215="",0,IF(ISNUMBER(J215),J215,-1))</f>
        <v>0</v>
      </c>
      <c r="AF215" s="80">
        <f>MIN(MAX(0,AE215),AD215)</f>
        <v>0</v>
      </c>
      <c r="AG215" s="80">
        <f>MAX(0,AD215-MAX(0,AE215))</f>
        <v>0</v>
      </c>
      <c r="AH215" s="80">
        <f>IF(ISNUMBER(B215),IF(AND(INDEX(CFG_WDAYS,WEEKDAY(INT(B215),2))="Sí",IF(D215="proMX",COUNTIFS(FER_F,INT(B215),FER_NLP,"Sí"),COUNTIFS(FER_F,INT(B215),FER_NLM,"Sí"))=0),1,0),0)</f>
        <v>0</v>
      </c>
      <c r="AI215" s="80">
        <f>IF(AC215=1,IF(AND(INDEX(CFG_WDAYS,WEEKDAY(INT(B215)+1,2))="Sí",IF(D215="proMX",COUNTIFS(FER_F,INT(B215)+1,FER_NLP,"Sí"),COUNTIFS(FER_F,INT(B215)+1,FER_NLM,"Sí"))=0),1,0),0)</f>
        <v>0</v>
      </c>
      <c r="AJ215" s="80">
        <f>IF(AC215=1,1440-Z215,AD215)</f>
        <v>0</v>
      </c>
      <c r="AK215" s="80">
        <f>IF(AND(AB215=1,AH215=1),MAX(0,MIN(IF(AC215=1,1440,AA215),CFG_WEM)-MAX(Z215,CFG_WSM)),0)</f>
        <v>0</v>
      </c>
      <c r="AL215" s="80">
        <f>IF(AND(AC215=1,AI215=1),MAX(0,MIN(AA215,CFG_WEM)-CFG_WSM),0)</f>
        <v>0</v>
      </c>
      <c r="AM215" s="80">
        <f>AK215+AL215</f>
        <v>0</v>
      </c>
      <c r="AN215" s="80">
        <f>IF(CFG_BRK="Proporcional",IF(AD215=0,0,AF215*AM215/AD215),IF(CFG_BRK="Extras primero",MIN(AM215,MAX(0,AF215-(AD215-AM215))),MIN(AF215,AM215)))</f>
        <v>0</v>
      </c>
      <c r="AO215" s="80">
        <f>AF215-AN215</f>
        <v>0</v>
      </c>
      <c r="AP215" s="80">
        <f>AM215-AN215</f>
        <v>0</v>
      </c>
      <c r="AQ215" s="80">
        <f>AD215-AM215-AO215</f>
        <v>0</v>
      </c>
      <c r="AR215" s="80">
        <f>IF(AM215=0,0,AK215-AN215*AK215/AM215)</f>
        <v>0</v>
      </c>
      <c r="AS215" s="80">
        <f>IF(AD215-AM215=0,0,(AJ215-AK215)-AO215*(AJ215-AK215)/(AD215-AM215))</f>
        <v>0</v>
      </c>
      <c r="AT215" s="80" t="str">
        <f>IF(AC215=1,INT(B215)+1,"")</f>
        <v/>
      </c>
      <c r="AU215" s="80">
        <f>IF(AND(D215="proMX",R215="Cancelled"),0,1)</f>
        <v>1</v>
      </c>
      <c r="AV215" s="80">
        <f>IF(AND(AB215=1,AU215=1),IF(COUNTIFS($D$5:D214,D215,$B$5:B214,B215,$Z$5:Z214,Z215,$AA$5:AA214,AA215,$F$5:F214,F215&amp;"",$AU$5:AU214,1)&gt;0,1,0),0)</f>
        <v>0</v>
      </c>
      <c r="AW215" s="80" t="str">
        <f>IF(AB215=1,INT(B215)*1440+Z215,"")</f>
        <v/>
      </c>
      <c r="AX215" s="80" t="str">
        <f>IF(AB215=1,AW215+AD215,"")</f>
        <v/>
      </c>
      <c r="AY215" s="80">
        <f>IF(AND(AB215=1,AV215=0,AU215=1),1,0)</f>
        <v>0</v>
      </c>
      <c r="AZ215" s="80">
        <f>IF(AY215=1,COUNTIFS(R_Emp,D215,R_SAbs,"&lt;"&amp;AX215,R_EAbs,"&gt;"&amp;AW215,R_OKey,1)-1,0)</f>
        <v>0</v>
      </c>
      <c r="BA215" s="80">
        <f>IF(AY215=1,COUNTIFS(R_Emp,"&lt;&gt;"&amp;D215,R_SAbs,"&lt;"&amp;AX215,R_EAbs,"&gt;"&amp;AW215,R_OKey,1),0)</f>
        <v>0</v>
      </c>
      <c r="BB215" s="80">
        <f>IF(AND(AB215=1,D215="proMX"),IF(AND(MOD(Z215,CFG_BLK)=0,MOD(AA215,CFG_BLK)=0,MOD(AG215,CFG_BLK)=0,AG215&gt;0),1,0),1)</f>
        <v>1</v>
      </c>
      <c r="BC215" s="80" t="str">
        <f>IF(Y215=0,"",IF(NOT(ISNUMBER(B215)),"Falta fecha o fecha inválida",IF(D215="","Falta empresa",IF(AND(D215&lt;&gt;"Malcolm",D215&lt;&gt;"proMX"),"Empresa inválida",IF(OR(INT(B215)&lt;CFG_PSTART,INT(B215)&gt;CFG_PEND),"Fecha fuera del período",IF(OR(NOT(ISNUMBER(Z215)),NOT(ISNUMBER(AA215))),"Falta hora inicio/fin o formato inválido",IF(AB215=0,"Hora inicio = hora fin",IF(AE215&lt;0,"Descanso inválido",IF(AE215&gt;=AD215,"Descanso ≥ duración",IF(AV215=1,"Registro duplicado",IF(AZ215&gt;0,"Se superpone con otro registro "&amp;D215,IF(BB215=0,"inicio, fin y duración neta deben ser múltiplos de "&amp;CFG_BLK&amp;" min",""))))))))))))</f>
        <v/>
      </c>
      <c r="BD215" s="80">
        <f>IF(AND(Y215=1,BC215=""),1,0)</f>
        <v>0</v>
      </c>
      <c r="BE215" s="80">
        <f>IF(AND(BD215=1,AU215=1),1,0)</f>
        <v>0</v>
      </c>
      <c r="BF215" s="80" t="str">
        <f>IF(AND(D215="proMX",BD215=1),IF(R215="","Draft",R215),"")</f>
        <v/>
      </c>
      <c r="BG215" s="80">
        <f>IF(BD215=1,ROUND(AG215/60,6),0)</f>
        <v>0</v>
      </c>
      <c r="BH215" s="80">
        <f>IF(BE215=1,ROUND(AG215/60,6),0)</f>
        <v>0</v>
      </c>
      <c r="BI215" s="80">
        <f>IF(BE215=1,ROUND(AP215/60,6),0)</f>
        <v>0</v>
      </c>
      <c r="BJ215" s="80">
        <f>IF(BE215=1,ROUND(AQ215/60,6),0)</f>
        <v>0</v>
      </c>
      <c r="BK215" s="80">
        <f>IF(BE215=1,ROUND((AR215+AS215)/60,6),0)</f>
        <v>0</v>
      </c>
      <c r="BL215" s="80">
        <f>ROUND(BH215-BK215,6)</f>
        <v>0</v>
      </c>
      <c r="BM215" s="80">
        <f>IF(BE215=1,ROUND(AR215/60,6),0)</f>
        <v>0</v>
      </c>
      <c r="BN215" s="80">
        <f>ROUND(BI215-BM215,6)</f>
        <v>0</v>
      </c>
      <c r="BO215" s="80">
        <f>IF(BE215=1,ROUND(AS215/60,6),0)</f>
        <v>0</v>
      </c>
      <c r="BP215" s="80">
        <f>ROUND(BJ215-BO215,6)</f>
        <v>0</v>
      </c>
      <c r="BQ215" s="80">
        <f>IF(BE215=1,AW215,0)</f>
        <v>0</v>
      </c>
      <c r="BR215" s="80">
        <f>IF(BE215=1,AX215,0)</f>
        <v>0</v>
      </c>
      <c r="BS215" s="80">
        <f>IF(AND(BE215=1,D215="Malcolm",BA215&gt;0),MIN(BH215,SUMPRODUCT((R_Emp="proMX")*(R_EN&gt;0)*((R_EN-(R_EN&gt;BR215)*(R_EN-BR215))&gt;(R_SN+(R_SN&lt;BQ215)*(BQ215-R_SN)))*((R_EN-(R_EN&gt;BR215)*(R_EN-BR215))-(R_SN+(R_SN&lt;BQ215)*(BQ215-R_SN))))/60),0)</f>
        <v>0</v>
      </c>
      <c r="BT215" s="80">
        <f>IF(AND(BE215=1,D215="proMX"),ROUND(BI215*CFG_RATE+BJ215*CFG_OTRATE,6),0)</f>
        <v>0</v>
      </c>
      <c r="BU215" s="80">
        <f>IF(AND(BD215=1,D215="proMX"),ROUND(AG215/CFG_BLK,6),0)</f>
        <v>0</v>
      </c>
      <c r="BV215" s="80" t="str">
        <f>IF(BF215="Approved",IF(ISNUMBER(T215),INT(T215),INT(B215)),"")</f>
        <v/>
      </c>
      <c r="BW215" s="80">
        <f>IF(ISNUMBER(B215),IF(DB_MON="Todos",1,IF(AND(INT(B215)&gt;=DB_MS,INT(B215)&lt;=DB_ME),1,0)),0)</f>
        <v>0</v>
      </c>
      <c r="BX215" s="80">
        <f>IF(DB_PROJ="Todos",1,IF(E215&amp;""=DB_PROJ&amp;"",1,0))</f>
        <v>1</v>
      </c>
      <c r="BY215" s="80">
        <f>BW215*BX215</f>
        <v>0</v>
      </c>
      <c r="BZ215" s="80" t="str">
        <f>IF(Y215=1,F215&amp;IF(AND(F215&amp;""&lt;&gt;"",E215&amp;""&lt;&gt;"")," · ","")&amp;E215,"")</f>
        <v/>
      </c>
      <c r="CA215" s="80" t="str">
        <f>IF(AND(BD215=1,E215&amp;""&lt;&gt;""),IF(COUNTIFS($E$5:E214,E215,$BD$5:BD214,1)=0,MAX($CA$5:CA214)+1,""),"")</f>
        <v/>
      </c>
      <c r="CB215" s="80" t="str">
        <f>IF(AND(BE215=1,D215="Malcolm",E215&amp;""&lt;&gt;""),IF(COUNTIFS($D$5:D214,"Malcolm",$E$5:E214,E215,$BE$5:BE214,1)=0,MAX($CB$5:CB214)+1,""),"")</f>
        <v/>
      </c>
      <c r="CC215" s="80" t="str">
        <f>IF(AND(BD215=1,D215="proMX",E215&amp;""&lt;&gt;""),IF(COUNTIFS($D$5:D214,"proMX",$E$5:E214,E215,$BD$5:BD214,1)=0,MAX($CC$5:CC214)+1,""),"")</f>
        <v/>
      </c>
      <c r="CD215" s="80" t="str">
        <f>IF(AND(BE215=1,D215="Malcolm",F215&amp;""&lt;&gt;""),IF(COUNTIFS($D$5:D214,"Malcolm",$F$5:F214,F215,$BE$5:BE214,1)=0,MAX($CD$5:CD214)+1,""),"")</f>
        <v/>
      </c>
      <c r="CE215" s="80" t="str">
        <f>IF(AND(BD215=1,D215="proMX",F215&amp;""&lt;&gt;""),IF(COUNTIFS($D$5:D214,"proMX",$F$5:F214,F215,$BD$5:BD214,1)=0,MAX($CE$5:CE214)+1,""),"")</f>
        <v/>
      </c>
      <c r="CF215" s="80" t="str">
        <f>IF(AND(D215="proMX",BD215=1),IF(OR(BF215="Draft",BF215="Submitted",BF215="Returned",BF215="Recall Requested"),MAX($CF$5:CF214)+1,""),"")</f>
        <v/>
      </c>
      <c r="CG215" s="80">
        <f>IF(BD215=0,0,IF(D215="Malcolm",1,MATCH(BF215,{"Draft","Submitted","Approved","Returned","Recall Requested","Cancelled"},0)+1))</f>
        <v>0</v>
      </c>
      <c r="CH215" s="80">
        <f>IF(AND(BF215="Submitted",ISNUMBER(V215)),IF(V215&gt;CFG_MAXD,1,0),0)</f>
        <v>0</v>
      </c>
    </row>
    <row r="216">
      <c r="A216" s="71" t="str">
        <f>IF(Y216=1,ROW()-5,"")</f>
        <v/>
      </c>
      <c r="B216" s="72" t="n"/>
      <c r="C216" s="71" t="str">
        <f>IF(ISNUMBER(B216),CHOOSE(WEEKDAY(B216,2),"Lun","Mar","Mié","Jue","Vie","Sáb","Dom"),"")</f>
        <v/>
      </c>
      <c r="D216" s="73" t="n"/>
      <c r="E216" s="74" t="n"/>
      <c r="F216" s="74" t="n"/>
      <c r="G216" s="74" t="n"/>
      <c r="H216" s="75" t="n"/>
      <c r="I216" s="75" t="n"/>
      <c r="J216" s="76" t="n"/>
      <c r="K216" s="77" t="str">
        <f>IF(AB216=1,ROUND(AG216/60,4),"")</f>
        <v/>
      </c>
      <c r="L216" s="77" t="str">
        <f>IF(BD216=1,ROUND(AP216/60,4),"")</f>
        <v/>
      </c>
      <c r="M216" s="77" t="str">
        <f>IF(BD216=1,ROUND(AQ216/60,4),"")</f>
        <v/>
      </c>
      <c r="N216" s="71" t="str">
        <f>IF(AND(D216="proMX",AB216=1),ROUND(AG216/CFG_BLK,2),"")</f>
        <v/>
      </c>
      <c r="O216" s="77" t="str">
        <f>IF(D216="proMX",IF(BD216=1,ROUND(AG216/60,4),0),"")</f>
        <v/>
      </c>
      <c r="P216" s="78" t="str">
        <f>IF(Y216=0,"",IF(BD216=1,"OK",IF(D216="proMX","Revisar bloques: ","Revisar: ")&amp;BC216))</f>
        <v/>
      </c>
      <c r="Q216" s="78" t="str">
        <f>IF(NOT(ISNUMBER(B216)),"",IF(COUNTIFS(FER_F,INT(B216))&gt;0,"Feriado"&amp;IF(AH216=1," (laborable)"," (no laborable)"),IF(AH216=1,"Laborable",IF(WEEKDAY(B216,2)&gt;5,"Fin de semana","No laborable"))))</f>
        <v/>
      </c>
      <c r="R216" s="73" t="n"/>
      <c r="S216" s="72" t="n"/>
      <c r="T216" s="72" t="n"/>
      <c r="U216" s="74" t="n"/>
      <c r="V216" s="79" t="str">
        <f>IF(AND(D216="proMX",OR(R216="Submitted",R216="Recall Requested"),ISNUMBER(S216)),CFG_TODAY-INT(S216),"")</f>
        <v/>
      </c>
      <c r="W216" s="78" t="str">
        <f>IF(BD216=0,"",IF(BA216&gt;0,"⚠ Se superpone con un registro de la otra empresa",IF(D216="Malcolm",IF(COUNTA(R216,S216,T216)&gt;0,"Estado/fechas proMX se ignoran en Malcolm",""),IF(BF216="Cancelled","Cancelado: excluido de totales",IF(R216="","Sin estado: se trata como Draft",IF(BF216="Submitted",IF(ISNUMBER(V216),IF(V216&gt;CFG_MAXD,"⚠ "&amp;V216&amp;" días en Submitted (máx. "&amp;CFG_MAXD&amp;")",""),"Falta fecha de envío"),IF(BF216="Returned","⚠ Devuelto: corregir y reenviar",IF(BF216="Recall Requested","Retirada solicitada: pendiente",IF(AND(BF216="Approved",NOT(ISNUMBER(T216))),"Falta fecha de aprobación",IF(AND(ISNUMBER(S216),ISNUMBER(T216),T216&lt;S216),"Aprobación anterior al envío","")))))))))</f>
        <v/>
      </c>
      <c r="Y216" s="80">
        <f>IF(COUNTA(B216,D216,E216,F216,G216,H216,I216,J216,R216,S216,T216)&gt;0,1,0)</f>
        <v>0</v>
      </c>
      <c r="Z216" s="80" t="str">
        <f>IF(AND(ISNUMBER(H216),H216&gt;=0,H216&lt;1),ROUND(H216*1440,0),"")</f>
        <v/>
      </c>
      <c r="AA216" s="80" t="str">
        <f>IF(AND(ISNUMBER(I216),I216&gt;=0,I216&lt;1),ROUND(I216*1440,0),"")</f>
        <v/>
      </c>
      <c r="AB216" s="80">
        <f>IF(AND(ISNUMBER(B216),D216&lt;&gt;"",ISNUMBER(Z216),ISNUMBER(AA216)),IF(Z216=AA216,0,1),0)</f>
        <v>0</v>
      </c>
      <c r="AC216" s="80">
        <f>IF(AB216=1,IF(AA216&lt;Z216,1,0),0)</f>
        <v>0</v>
      </c>
      <c r="AD216" s="80">
        <f>IF(AB216=1,IF(AC216=1,1440-Z216+AA216,AA216-Z216),0)</f>
        <v>0</v>
      </c>
      <c r="AE216" s="80">
        <f>IF(J216="",0,IF(ISNUMBER(J216),J216,-1))</f>
        <v>0</v>
      </c>
      <c r="AF216" s="80">
        <f>MIN(MAX(0,AE216),AD216)</f>
        <v>0</v>
      </c>
      <c r="AG216" s="80">
        <f>MAX(0,AD216-MAX(0,AE216))</f>
        <v>0</v>
      </c>
      <c r="AH216" s="80">
        <f>IF(ISNUMBER(B216),IF(AND(INDEX(CFG_WDAYS,WEEKDAY(INT(B216),2))="Sí",IF(D216="proMX",COUNTIFS(FER_F,INT(B216),FER_NLP,"Sí"),COUNTIFS(FER_F,INT(B216),FER_NLM,"Sí"))=0),1,0),0)</f>
        <v>0</v>
      </c>
      <c r="AI216" s="80">
        <f>IF(AC216=1,IF(AND(INDEX(CFG_WDAYS,WEEKDAY(INT(B216)+1,2))="Sí",IF(D216="proMX",COUNTIFS(FER_F,INT(B216)+1,FER_NLP,"Sí"),COUNTIFS(FER_F,INT(B216)+1,FER_NLM,"Sí"))=0),1,0),0)</f>
        <v>0</v>
      </c>
      <c r="AJ216" s="80">
        <f>IF(AC216=1,1440-Z216,AD216)</f>
        <v>0</v>
      </c>
      <c r="AK216" s="80">
        <f>IF(AND(AB216=1,AH216=1),MAX(0,MIN(IF(AC216=1,1440,AA216),CFG_WEM)-MAX(Z216,CFG_WSM)),0)</f>
        <v>0</v>
      </c>
      <c r="AL216" s="80">
        <f>IF(AND(AC216=1,AI216=1),MAX(0,MIN(AA216,CFG_WEM)-CFG_WSM),0)</f>
        <v>0</v>
      </c>
      <c r="AM216" s="80">
        <f>AK216+AL216</f>
        <v>0</v>
      </c>
      <c r="AN216" s="80">
        <f>IF(CFG_BRK="Proporcional",IF(AD216=0,0,AF216*AM216/AD216),IF(CFG_BRK="Extras primero",MIN(AM216,MAX(0,AF216-(AD216-AM216))),MIN(AF216,AM216)))</f>
        <v>0</v>
      </c>
      <c r="AO216" s="80">
        <f>AF216-AN216</f>
        <v>0</v>
      </c>
      <c r="AP216" s="80">
        <f>AM216-AN216</f>
        <v>0</v>
      </c>
      <c r="AQ216" s="80">
        <f>AD216-AM216-AO216</f>
        <v>0</v>
      </c>
      <c r="AR216" s="80">
        <f>IF(AM216=0,0,AK216-AN216*AK216/AM216)</f>
        <v>0</v>
      </c>
      <c r="AS216" s="80">
        <f>IF(AD216-AM216=0,0,(AJ216-AK216)-AO216*(AJ216-AK216)/(AD216-AM216))</f>
        <v>0</v>
      </c>
      <c r="AT216" s="80" t="str">
        <f>IF(AC216=1,INT(B216)+1,"")</f>
        <v/>
      </c>
      <c r="AU216" s="80">
        <f>IF(AND(D216="proMX",R216="Cancelled"),0,1)</f>
        <v>1</v>
      </c>
      <c r="AV216" s="80">
        <f>IF(AND(AB216=1,AU216=1),IF(COUNTIFS($D$5:D215,D216,$B$5:B215,B216,$Z$5:Z215,Z216,$AA$5:AA215,AA216,$F$5:F215,F216&amp;"",$AU$5:AU215,1)&gt;0,1,0),0)</f>
        <v>0</v>
      </c>
      <c r="AW216" s="80" t="str">
        <f>IF(AB216=1,INT(B216)*1440+Z216,"")</f>
        <v/>
      </c>
      <c r="AX216" s="80" t="str">
        <f>IF(AB216=1,AW216+AD216,"")</f>
        <v/>
      </c>
      <c r="AY216" s="80">
        <f>IF(AND(AB216=1,AV216=0,AU216=1),1,0)</f>
        <v>0</v>
      </c>
      <c r="AZ216" s="80">
        <f>IF(AY216=1,COUNTIFS(R_Emp,D216,R_SAbs,"&lt;"&amp;AX216,R_EAbs,"&gt;"&amp;AW216,R_OKey,1)-1,0)</f>
        <v>0</v>
      </c>
      <c r="BA216" s="80">
        <f>IF(AY216=1,COUNTIFS(R_Emp,"&lt;&gt;"&amp;D216,R_SAbs,"&lt;"&amp;AX216,R_EAbs,"&gt;"&amp;AW216,R_OKey,1),0)</f>
        <v>0</v>
      </c>
      <c r="BB216" s="80">
        <f>IF(AND(AB216=1,D216="proMX"),IF(AND(MOD(Z216,CFG_BLK)=0,MOD(AA216,CFG_BLK)=0,MOD(AG216,CFG_BLK)=0,AG216&gt;0),1,0),1)</f>
        <v>1</v>
      </c>
      <c r="BC216" s="80" t="str">
        <f>IF(Y216=0,"",IF(NOT(ISNUMBER(B216)),"Falta fecha o fecha inválida",IF(D216="","Falta empresa",IF(AND(D216&lt;&gt;"Malcolm",D216&lt;&gt;"proMX"),"Empresa inválida",IF(OR(INT(B216)&lt;CFG_PSTART,INT(B216)&gt;CFG_PEND),"Fecha fuera del período",IF(OR(NOT(ISNUMBER(Z216)),NOT(ISNUMBER(AA216))),"Falta hora inicio/fin o formato inválido",IF(AB216=0,"Hora inicio = hora fin",IF(AE216&lt;0,"Descanso inválido",IF(AE216&gt;=AD216,"Descanso ≥ duración",IF(AV216=1,"Registro duplicado",IF(AZ216&gt;0,"Se superpone con otro registro "&amp;D216,IF(BB216=0,"inicio, fin y duración neta deben ser múltiplos de "&amp;CFG_BLK&amp;" min",""))))))))))))</f>
        <v/>
      </c>
      <c r="BD216" s="80">
        <f>IF(AND(Y216=1,BC216=""),1,0)</f>
        <v>0</v>
      </c>
      <c r="BE216" s="80">
        <f>IF(AND(BD216=1,AU216=1),1,0)</f>
        <v>0</v>
      </c>
      <c r="BF216" s="80" t="str">
        <f>IF(AND(D216="proMX",BD216=1),IF(R216="","Draft",R216),"")</f>
        <v/>
      </c>
      <c r="BG216" s="80">
        <f>IF(BD216=1,ROUND(AG216/60,6),0)</f>
        <v>0</v>
      </c>
      <c r="BH216" s="80">
        <f>IF(BE216=1,ROUND(AG216/60,6),0)</f>
        <v>0</v>
      </c>
      <c r="BI216" s="80">
        <f>IF(BE216=1,ROUND(AP216/60,6),0)</f>
        <v>0</v>
      </c>
      <c r="BJ216" s="80">
        <f>IF(BE216=1,ROUND(AQ216/60,6),0)</f>
        <v>0</v>
      </c>
      <c r="BK216" s="80">
        <f>IF(BE216=1,ROUND((AR216+AS216)/60,6),0)</f>
        <v>0</v>
      </c>
      <c r="BL216" s="80">
        <f>ROUND(BH216-BK216,6)</f>
        <v>0</v>
      </c>
      <c r="BM216" s="80">
        <f>IF(BE216=1,ROUND(AR216/60,6),0)</f>
        <v>0</v>
      </c>
      <c r="BN216" s="80">
        <f>ROUND(BI216-BM216,6)</f>
        <v>0</v>
      </c>
      <c r="BO216" s="80">
        <f>IF(BE216=1,ROUND(AS216/60,6),0)</f>
        <v>0</v>
      </c>
      <c r="BP216" s="80">
        <f>ROUND(BJ216-BO216,6)</f>
        <v>0</v>
      </c>
      <c r="BQ216" s="80">
        <f>IF(BE216=1,AW216,0)</f>
        <v>0</v>
      </c>
      <c r="BR216" s="80">
        <f>IF(BE216=1,AX216,0)</f>
        <v>0</v>
      </c>
      <c r="BS216" s="80">
        <f>IF(AND(BE216=1,D216="Malcolm",BA216&gt;0),MIN(BH216,SUMPRODUCT((R_Emp="proMX")*(R_EN&gt;0)*((R_EN-(R_EN&gt;BR216)*(R_EN-BR216))&gt;(R_SN+(R_SN&lt;BQ216)*(BQ216-R_SN)))*((R_EN-(R_EN&gt;BR216)*(R_EN-BR216))-(R_SN+(R_SN&lt;BQ216)*(BQ216-R_SN))))/60),0)</f>
        <v>0</v>
      </c>
      <c r="BT216" s="80">
        <f>IF(AND(BE216=1,D216="proMX"),ROUND(BI216*CFG_RATE+BJ216*CFG_OTRATE,6),0)</f>
        <v>0</v>
      </c>
      <c r="BU216" s="80">
        <f>IF(AND(BD216=1,D216="proMX"),ROUND(AG216/CFG_BLK,6),0)</f>
        <v>0</v>
      </c>
      <c r="BV216" s="80" t="str">
        <f>IF(BF216="Approved",IF(ISNUMBER(T216),INT(T216),INT(B216)),"")</f>
        <v/>
      </c>
      <c r="BW216" s="80">
        <f>IF(ISNUMBER(B216),IF(DB_MON="Todos",1,IF(AND(INT(B216)&gt;=DB_MS,INT(B216)&lt;=DB_ME),1,0)),0)</f>
        <v>0</v>
      </c>
      <c r="BX216" s="80">
        <f>IF(DB_PROJ="Todos",1,IF(E216&amp;""=DB_PROJ&amp;"",1,0))</f>
        <v>1</v>
      </c>
      <c r="BY216" s="80">
        <f>BW216*BX216</f>
        <v>0</v>
      </c>
      <c r="BZ216" s="80" t="str">
        <f>IF(Y216=1,F216&amp;IF(AND(F216&amp;""&lt;&gt;"",E216&amp;""&lt;&gt;"")," · ","")&amp;E216,"")</f>
        <v/>
      </c>
      <c r="CA216" s="80" t="str">
        <f>IF(AND(BD216=1,E216&amp;""&lt;&gt;""),IF(COUNTIFS($E$5:E215,E216,$BD$5:BD215,1)=0,MAX($CA$5:CA215)+1,""),"")</f>
        <v/>
      </c>
      <c r="CB216" s="80" t="str">
        <f>IF(AND(BE216=1,D216="Malcolm",E216&amp;""&lt;&gt;""),IF(COUNTIFS($D$5:D215,"Malcolm",$E$5:E215,E216,$BE$5:BE215,1)=0,MAX($CB$5:CB215)+1,""),"")</f>
        <v/>
      </c>
      <c r="CC216" s="80" t="str">
        <f>IF(AND(BD216=1,D216="proMX",E216&amp;""&lt;&gt;""),IF(COUNTIFS($D$5:D215,"proMX",$E$5:E215,E216,$BD$5:BD215,1)=0,MAX($CC$5:CC215)+1,""),"")</f>
        <v/>
      </c>
      <c r="CD216" s="80" t="str">
        <f>IF(AND(BE216=1,D216="Malcolm",F216&amp;""&lt;&gt;""),IF(COUNTIFS($D$5:D215,"Malcolm",$F$5:F215,F216,$BE$5:BE215,1)=0,MAX($CD$5:CD215)+1,""),"")</f>
        <v/>
      </c>
      <c r="CE216" s="80" t="str">
        <f>IF(AND(BD216=1,D216="proMX",F216&amp;""&lt;&gt;""),IF(COUNTIFS($D$5:D215,"proMX",$F$5:F215,F216,$BD$5:BD215,1)=0,MAX($CE$5:CE215)+1,""),"")</f>
        <v/>
      </c>
      <c r="CF216" s="80" t="str">
        <f>IF(AND(D216="proMX",BD216=1),IF(OR(BF216="Draft",BF216="Submitted",BF216="Returned",BF216="Recall Requested"),MAX($CF$5:CF215)+1,""),"")</f>
        <v/>
      </c>
      <c r="CG216" s="80">
        <f>IF(BD216=0,0,IF(D216="Malcolm",1,MATCH(BF216,{"Draft","Submitted","Approved","Returned","Recall Requested","Cancelled"},0)+1))</f>
        <v>0</v>
      </c>
      <c r="CH216" s="80">
        <f>IF(AND(BF216="Submitted",ISNUMBER(V216)),IF(V216&gt;CFG_MAXD,1,0),0)</f>
        <v>0</v>
      </c>
    </row>
    <row r="217">
      <c r="A217" s="71" t="str">
        <f>IF(Y217=1,ROW()-5,"")</f>
        <v/>
      </c>
      <c r="B217" s="72" t="n"/>
      <c r="C217" s="71" t="str">
        <f>IF(ISNUMBER(B217),CHOOSE(WEEKDAY(B217,2),"Lun","Mar","Mié","Jue","Vie","Sáb","Dom"),"")</f>
        <v/>
      </c>
      <c r="D217" s="73" t="n"/>
      <c r="E217" s="74" t="n"/>
      <c r="F217" s="74" t="n"/>
      <c r="G217" s="74" t="n"/>
      <c r="H217" s="75" t="n"/>
      <c r="I217" s="75" t="n"/>
      <c r="J217" s="76" t="n"/>
      <c r="K217" s="77" t="str">
        <f>IF(AB217=1,ROUND(AG217/60,4),"")</f>
        <v/>
      </c>
      <c r="L217" s="77" t="str">
        <f>IF(BD217=1,ROUND(AP217/60,4),"")</f>
        <v/>
      </c>
      <c r="M217" s="77" t="str">
        <f>IF(BD217=1,ROUND(AQ217/60,4),"")</f>
        <v/>
      </c>
      <c r="N217" s="71" t="str">
        <f>IF(AND(D217="proMX",AB217=1),ROUND(AG217/CFG_BLK,2),"")</f>
        <v/>
      </c>
      <c r="O217" s="77" t="str">
        <f>IF(D217="proMX",IF(BD217=1,ROUND(AG217/60,4),0),"")</f>
        <v/>
      </c>
      <c r="P217" s="78" t="str">
        <f>IF(Y217=0,"",IF(BD217=1,"OK",IF(D217="proMX","Revisar bloques: ","Revisar: ")&amp;BC217))</f>
        <v/>
      </c>
      <c r="Q217" s="78" t="str">
        <f>IF(NOT(ISNUMBER(B217)),"",IF(COUNTIFS(FER_F,INT(B217))&gt;0,"Feriado"&amp;IF(AH217=1," (laborable)"," (no laborable)"),IF(AH217=1,"Laborable",IF(WEEKDAY(B217,2)&gt;5,"Fin de semana","No laborable"))))</f>
        <v/>
      </c>
      <c r="R217" s="73" t="n"/>
      <c r="S217" s="72" t="n"/>
      <c r="T217" s="72" t="n"/>
      <c r="U217" s="74" t="n"/>
      <c r="V217" s="79" t="str">
        <f>IF(AND(D217="proMX",OR(R217="Submitted",R217="Recall Requested"),ISNUMBER(S217)),CFG_TODAY-INT(S217),"")</f>
        <v/>
      </c>
      <c r="W217" s="78" t="str">
        <f>IF(BD217=0,"",IF(BA217&gt;0,"⚠ Se superpone con un registro de la otra empresa",IF(D217="Malcolm",IF(COUNTA(R217,S217,T217)&gt;0,"Estado/fechas proMX se ignoran en Malcolm",""),IF(BF217="Cancelled","Cancelado: excluido de totales",IF(R217="","Sin estado: se trata como Draft",IF(BF217="Submitted",IF(ISNUMBER(V217),IF(V217&gt;CFG_MAXD,"⚠ "&amp;V217&amp;" días en Submitted (máx. "&amp;CFG_MAXD&amp;")",""),"Falta fecha de envío"),IF(BF217="Returned","⚠ Devuelto: corregir y reenviar",IF(BF217="Recall Requested","Retirada solicitada: pendiente",IF(AND(BF217="Approved",NOT(ISNUMBER(T217))),"Falta fecha de aprobación",IF(AND(ISNUMBER(S217),ISNUMBER(T217),T217&lt;S217),"Aprobación anterior al envío","")))))))))</f>
        <v/>
      </c>
      <c r="Y217" s="80">
        <f>IF(COUNTA(B217,D217,E217,F217,G217,H217,I217,J217,R217,S217,T217)&gt;0,1,0)</f>
        <v>0</v>
      </c>
      <c r="Z217" s="80" t="str">
        <f>IF(AND(ISNUMBER(H217),H217&gt;=0,H217&lt;1),ROUND(H217*1440,0),"")</f>
        <v/>
      </c>
      <c r="AA217" s="80" t="str">
        <f>IF(AND(ISNUMBER(I217),I217&gt;=0,I217&lt;1),ROUND(I217*1440,0),"")</f>
        <v/>
      </c>
      <c r="AB217" s="80">
        <f>IF(AND(ISNUMBER(B217),D217&lt;&gt;"",ISNUMBER(Z217),ISNUMBER(AA217)),IF(Z217=AA217,0,1),0)</f>
        <v>0</v>
      </c>
      <c r="AC217" s="80">
        <f>IF(AB217=1,IF(AA217&lt;Z217,1,0),0)</f>
        <v>0</v>
      </c>
      <c r="AD217" s="80">
        <f>IF(AB217=1,IF(AC217=1,1440-Z217+AA217,AA217-Z217),0)</f>
        <v>0</v>
      </c>
      <c r="AE217" s="80">
        <f>IF(J217="",0,IF(ISNUMBER(J217),J217,-1))</f>
        <v>0</v>
      </c>
      <c r="AF217" s="80">
        <f>MIN(MAX(0,AE217),AD217)</f>
        <v>0</v>
      </c>
      <c r="AG217" s="80">
        <f>MAX(0,AD217-MAX(0,AE217))</f>
        <v>0</v>
      </c>
      <c r="AH217" s="80">
        <f>IF(ISNUMBER(B217),IF(AND(INDEX(CFG_WDAYS,WEEKDAY(INT(B217),2))="Sí",IF(D217="proMX",COUNTIFS(FER_F,INT(B217),FER_NLP,"Sí"),COUNTIFS(FER_F,INT(B217),FER_NLM,"Sí"))=0),1,0),0)</f>
        <v>0</v>
      </c>
      <c r="AI217" s="80">
        <f>IF(AC217=1,IF(AND(INDEX(CFG_WDAYS,WEEKDAY(INT(B217)+1,2))="Sí",IF(D217="proMX",COUNTIFS(FER_F,INT(B217)+1,FER_NLP,"Sí"),COUNTIFS(FER_F,INT(B217)+1,FER_NLM,"Sí"))=0),1,0),0)</f>
        <v>0</v>
      </c>
      <c r="AJ217" s="80">
        <f>IF(AC217=1,1440-Z217,AD217)</f>
        <v>0</v>
      </c>
      <c r="AK217" s="80">
        <f>IF(AND(AB217=1,AH217=1),MAX(0,MIN(IF(AC217=1,1440,AA217),CFG_WEM)-MAX(Z217,CFG_WSM)),0)</f>
        <v>0</v>
      </c>
      <c r="AL217" s="80">
        <f>IF(AND(AC217=1,AI217=1),MAX(0,MIN(AA217,CFG_WEM)-CFG_WSM),0)</f>
        <v>0</v>
      </c>
      <c r="AM217" s="80">
        <f>AK217+AL217</f>
        <v>0</v>
      </c>
      <c r="AN217" s="80">
        <f>IF(CFG_BRK="Proporcional",IF(AD217=0,0,AF217*AM217/AD217),IF(CFG_BRK="Extras primero",MIN(AM217,MAX(0,AF217-(AD217-AM217))),MIN(AF217,AM217)))</f>
        <v>0</v>
      </c>
      <c r="AO217" s="80">
        <f>AF217-AN217</f>
        <v>0</v>
      </c>
      <c r="AP217" s="80">
        <f>AM217-AN217</f>
        <v>0</v>
      </c>
      <c r="AQ217" s="80">
        <f>AD217-AM217-AO217</f>
        <v>0</v>
      </c>
      <c r="AR217" s="80">
        <f>IF(AM217=0,0,AK217-AN217*AK217/AM217)</f>
        <v>0</v>
      </c>
      <c r="AS217" s="80">
        <f>IF(AD217-AM217=0,0,(AJ217-AK217)-AO217*(AJ217-AK217)/(AD217-AM217))</f>
        <v>0</v>
      </c>
      <c r="AT217" s="80" t="str">
        <f>IF(AC217=1,INT(B217)+1,"")</f>
        <v/>
      </c>
      <c r="AU217" s="80">
        <f>IF(AND(D217="proMX",R217="Cancelled"),0,1)</f>
        <v>1</v>
      </c>
      <c r="AV217" s="80">
        <f>IF(AND(AB217=1,AU217=1),IF(COUNTIFS($D$5:D216,D217,$B$5:B216,B217,$Z$5:Z216,Z217,$AA$5:AA216,AA217,$F$5:F216,F217&amp;"",$AU$5:AU216,1)&gt;0,1,0),0)</f>
        <v>0</v>
      </c>
      <c r="AW217" s="80" t="str">
        <f>IF(AB217=1,INT(B217)*1440+Z217,"")</f>
        <v/>
      </c>
      <c r="AX217" s="80" t="str">
        <f>IF(AB217=1,AW217+AD217,"")</f>
        <v/>
      </c>
      <c r="AY217" s="80">
        <f>IF(AND(AB217=1,AV217=0,AU217=1),1,0)</f>
        <v>0</v>
      </c>
      <c r="AZ217" s="80">
        <f>IF(AY217=1,COUNTIFS(R_Emp,D217,R_SAbs,"&lt;"&amp;AX217,R_EAbs,"&gt;"&amp;AW217,R_OKey,1)-1,0)</f>
        <v>0</v>
      </c>
      <c r="BA217" s="80">
        <f>IF(AY217=1,COUNTIFS(R_Emp,"&lt;&gt;"&amp;D217,R_SAbs,"&lt;"&amp;AX217,R_EAbs,"&gt;"&amp;AW217,R_OKey,1),0)</f>
        <v>0</v>
      </c>
      <c r="BB217" s="80">
        <f>IF(AND(AB217=1,D217="proMX"),IF(AND(MOD(Z217,CFG_BLK)=0,MOD(AA217,CFG_BLK)=0,MOD(AG217,CFG_BLK)=0,AG217&gt;0),1,0),1)</f>
        <v>1</v>
      </c>
      <c r="BC217" s="80" t="str">
        <f>IF(Y217=0,"",IF(NOT(ISNUMBER(B217)),"Falta fecha o fecha inválida",IF(D217="","Falta empresa",IF(AND(D217&lt;&gt;"Malcolm",D217&lt;&gt;"proMX"),"Empresa inválida",IF(OR(INT(B217)&lt;CFG_PSTART,INT(B217)&gt;CFG_PEND),"Fecha fuera del período",IF(OR(NOT(ISNUMBER(Z217)),NOT(ISNUMBER(AA217))),"Falta hora inicio/fin o formato inválido",IF(AB217=0,"Hora inicio = hora fin",IF(AE217&lt;0,"Descanso inválido",IF(AE217&gt;=AD217,"Descanso ≥ duración",IF(AV217=1,"Registro duplicado",IF(AZ217&gt;0,"Se superpone con otro registro "&amp;D217,IF(BB217=0,"inicio, fin y duración neta deben ser múltiplos de "&amp;CFG_BLK&amp;" min",""))))))))))))</f>
        <v/>
      </c>
      <c r="BD217" s="80">
        <f>IF(AND(Y217=1,BC217=""),1,0)</f>
        <v>0</v>
      </c>
      <c r="BE217" s="80">
        <f>IF(AND(BD217=1,AU217=1),1,0)</f>
        <v>0</v>
      </c>
      <c r="BF217" s="80" t="str">
        <f>IF(AND(D217="proMX",BD217=1),IF(R217="","Draft",R217),"")</f>
        <v/>
      </c>
      <c r="BG217" s="80">
        <f>IF(BD217=1,ROUND(AG217/60,6),0)</f>
        <v>0</v>
      </c>
      <c r="BH217" s="80">
        <f>IF(BE217=1,ROUND(AG217/60,6),0)</f>
        <v>0</v>
      </c>
      <c r="BI217" s="80">
        <f>IF(BE217=1,ROUND(AP217/60,6),0)</f>
        <v>0</v>
      </c>
      <c r="BJ217" s="80">
        <f>IF(BE217=1,ROUND(AQ217/60,6),0)</f>
        <v>0</v>
      </c>
      <c r="BK217" s="80">
        <f>IF(BE217=1,ROUND((AR217+AS217)/60,6),0)</f>
        <v>0</v>
      </c>
      <c r="BL217" s="80">
        <f>ROUND(BH217-BK217,6)</f>
        <v>0</v>
      </c>
      <c r="BM217" s="80">
        <f>IF(BE217=1,ROUND(AR217/60,6),0)</f>
        <v>0</v>
      </c>
      <c r="BN217" s="80">
        <f>ROUND(BI217-BM217,6)</f>
        <v>0</v>
      </c>
      <c r="BO217" s="80">
        <f>IF(BE217=1,ROUND(AS217/60,6),0)</f>
        <v>0</v>
      </c>
      <c r="BP217" s="80">
        <f>ROUND(BJ217-BO217,6)</f>
        <v>0</v>
      </c>
      <c r="BQ217" s="80">
        <f>IF(BE217=1,AW217,0)</f>
        <v>0</v>
      </c>
      <c r="BR217" s="80">
        <f>IF(BE217=1,AX217,0)</f>
        <v>0</v>
      </c>
      <c r="BS217" s="80">
        <f>IF(AND(BE217=1,D217="Malcolm",BA217&gt;0),MIN(BH217,SUMPRODUCT((R_Emp="proMX")*(R_EN&gt;0)*((R_EN-(R_EN&gt;BR217)*(R_EN-BR217))&gt;(R_SN+(R_SN&lt;BQ217)*(BQ217-R_SN)))*((R_EN-(R_EN&gt;BR217)*(R_EN-BR217))-(R_SN+(R_SN&lt;BQ217)*(BQ217-R_SN))))/60),0)</f>
        <v>0</v>
      </c>
      <c r="BT217" s="80">
        <f>IF(AND(BE217=1,D217="proMX"),ROUND(BI217*CFG_RATE+BJ217*CFG_OTRATE,6),0)</f>
        <v>0</v>
      </c>
      <c r="BU217" s="80">
        <f>IF(AND(BD217=1,D217="proMX"),ROUND(AG217/CFG_BLK,6),0)</f>
        <v>0</v>
      </c>
      <c r="BV217" s="80" t="str">
        <f>IF(BF217="Approved",IF(ISNUMBER(T217),INT(T217),INT(B217)),"")</f>
        <v/>
      </c>
      <c r="BW217" s="80">
        <f>IF(ISNUMBER(B217),IF(DB_MON="Todos",1,IF(AND(INT(B217)&gt;=DB_MS,INT(B217)&lt;=DB_ME),1,0)),0)</f>
        <v>0</v>
      </c>
      <c r="BX217" s="80">
        <f>IF(DB_PROJ="Todos",1,IF(E217&amp;""=DB_PROJ&amp;"",1,0))</f>
        <v>1</v>
      </c>
      <c r="BY217" s="80">
        <f>BW217*BX217</f>
        <v>0</v>
      </c>
      <c r="BZ217" s="80" t="str">
        <f>IF(Y217=1,F217&amp;IF(AND(F217&amp;""&lt;&gt;"",E217&amp;""&lt;&gt;"")," · ","")&amp;E217,"")</f>
        <v/>
      </c>
      <c r="CA217" s="80" t="str">
        <f>IF(AND(BD217=1,E217&amp;""&lt;&gt;""),IF(COUNTIFS($E$5:E216,E217,$BD$5:BD216,1)=0,MAX($CA$5:CA216)+1,""),"")</f>
        <v/>
      </c>
      <c r="CB217" s="80" t="str">
        <f>IF(AND(BE217=1,D217="Malcolm",E217&amp;""&lt;&gt;""),IF(COUNTIFS($D$5:D216,"Malcolm",$E$5:E216,E217,$BE$5:BE216,1)=0,MAX($CB$5:CB216)+1,""),"")</f>
        <v/>
      </c>
      <c r="CC217" s="80" t="str">
        <f>IF(AND(BD217=1,D217="proMX",E217&amp;""&lt;&gt;""),IF(COUNTIFS($D$5:D216,"proMX",$E$5:E216,E217,$BD$5:BD216,1)=0,MAX($CC$5:CC216)+1,""),"")</f>
        <v/>
      </c>
      <c r="CD217" s="80" t="str">
        <f>IF(AND(BE217=1,D217="Malcolm",F217&amp;""&lt;&gt;""),IF(COUNTIFS($D$5:D216,"Malcolm",$F$5:F216,F217,$BE$5:BE216,1)=0,MAX($CD$5:CD216)+1,""),"")</f>
        <v/>
      </c>
      <c r="CE217" s="80" t="str">
        <f>IF(AND(BD217=1,D217="proMX",F217&amp;""&lt;&gt;""),IF(COUNTIFS($D$5:D216,"proMX",$F$5:F216,F217,$BD$5:BD216,1)=0,MAX($CE$5:CE216)+1,""),"")</f>
        <v/>
      </c>
      <c r="CF217" s="80" t="str">
        <f>IF(AND(D217="proMX",BD217=1),IF(OR(BF217="Draft",BF217="Submitted",BF217="Returned",BF217="Recall Requested"),MAX($CF$5:CF216)+1,""),"")</f>
        <v/>
      </c>
      <c r="CG217" s="80">
        <f>IF(BD217=0,0,IF(D217="Malcolm",1,MATCH(BF217,{"Draft","Submitted","Approved","Returned","Recall Requested","Cancelled"},0)+1))</f>
        <v>0</v>
      </c>
      <c r="CH217" s="80">
        <f>IF(AND(BF217="Submitted",ISNUMBER(V217)),IF(V217&gt;CFG_MAXD,1,0),0)</f>
        <v>0</v>
      </c>
    </row>
    <row r="218">
      <c r="A218" s="71" t="str">
        <f>IF(Y218=1,ROW()-5,"")</f>
        <v/>
      </c>
      <c r="B218" s="72" t="n"/>
      <c r="C218" s="71" t="str">
        <f>IF(ISNUMBER(B218),CHOOSE(WEEKDAY(B218,2),"Lun","Mar","Mié","Jue","Vie","Sáb","Dom"),"")</f>
        <v/>
      </c>
      <c r="D218" s="73" t="n"/>
      <c r="E218" s="74" t="n"/>
      <c r="F218" s="74" t="n"/>
      <c r="G218" s="74" t="n"/>
      <c r="H218" s="75" t="n"/>
      <c r="I218" s="75" t="n"/>
      <c r="J218" s="76" t="n"/>
      <c r="K218" s="77" t="str">
        <f>IF(AB218=1,ROUND(AG218/60,4),"")</f>
        <v/>
      </c>
      <c r="L218" s="77" t="str">
        <f>IF(BD218=1,ROUND(AP218/60,4),"")</f>
        <v/>
      </c>
      <c r="M218" s="77" t="str">
        <f>IF(BD218=1,ROUND(AQ218/60,4),"")</f>
        <v/>
      </c>
      <c r="N218" s="71" t="str">
        <f>IF(AND(D218="proMX",AB218=1),ROUND(AG218/CFG_BLK,2),"")</f>
        <v/>
      </c>
      <c r="O218" s="77" t="str">
        <f>IF(D218="proMX",IF(BD218=1,ROUND(AG218/60,4),0),"")</f>
        <v/>
      </c>
      <c r="P218" s="78" t="str">
        <f>IF(Y218=0,"",IF(BD218=1,"OK",IF(D218="proMX","Revisar bloques: ","Revisar: ")&amp;BC218))</f>
        <v/>
      </c>
      <c r="Q218" s="78" t="str">
        <f>IF(NOT(ISNUMBER(B218)),"",IF(COUNTIFS(FER_F,INT(B218))&gt;0,"Feriado"&amp;IF(AH218=1," (laborable)"," (no laborable)"),IF(AH218=1,"Laborable",IF(WEEKDAY(B218,2)&gt;5,"Fin de semana","No laborable"))))</f>
        <v/>
      </c>
      <c r="R218" s="73" t="n"/>
      <c r="S218" s="72" t="n"/>
      <c r="T218" s="72" t="n"/>
      <c r="U218" s="74" t="n"/>
      <c r="V218" s="79" t="str">
        <f>IF(AND(D218="proMX",OR(R218="Submitted",R218="Recall Requested"),ISNUMBER(S218)),CFG_TODAY-INT(S218),"")</f>
        <v/>
      </c>
      <c r="W218" s="78" t="str">
        <f>IF(BD218=0,"",IF(BA218&gt;0,"⚠ Se superpone con un registro de la otra empresa",IF(D218="Malcolm",IF(COUNTA(R218,S218,T218)&gt;0,"Estado/fechas proMX se ignoran en Malcolm",""),IF(BF218="Cancelled","Cancelado: excluido de totales",IF(R218="","Sin estado: se trata como Draft",IF(BF218="Submitted",IF(ISNUMBER(V218),IF(V218&gt;CFG_MAXD,"⚠ "&amp;V218&amp;" días en Submitted (máx. "&amp;CFG_MAXD&amp;")",""),"Falta fecha de envío"),IF(BF218="Returned","⚠ Devuelto: corregir y reenviar",IF(BF218="Recall Requested","Retirada solicitada: pendiente",IF(AND(BF218="Approved",NOT(ISNUMBER(T218))),"Falta fecha de aprobación",IF(AND(ISNUMBER(S218),ISNUMBER(T218),T218&lt;S218),"Aprobación anterior al envío","")))))))))</f>
        <v/>
      </c>
      <c r="Y218" s="80">
        <f>IF(COUNTA(B218,D218,E218,F218,G218,H218,I218,J218,R218,S218,T218)&gt;0,1,0)</f>
        <v>0</v>
      </c>
      <c r="Z218" s="80" t="str">
        <f>IF(AND(ISNUMBER(H218),H218&gt;=0,H218&lt;1),ROUND(H218*1440,0),"")</f>
        <v/>
      </c>
      <c r="AA218" s="80" t="str">
        <f>IF(AND(ISNUMBER(I218),I218&gt;=0,I218&lt;1),ROUND(I218*1440,0),"")</f>
        <v/>
      </c>
      <c r="AB218" s="80">
        <f>IF(AND(ISNUMBER(B218),D218&lt;&gt;"",ISNUMBER(Z218),ISNUMBER(AA218)),IF(Z218=AA218,0,1),0)</f>
        <v>0</v>
      </c>
      <c r="AC218" s="80">
        <f>IF(AB218=1,IF(AA218&lt;Z218,1,0),0)</f>
        <v>0</v>
      </c>
      <c r="AD218" s="80">
        <f>IF(AB218=1,IF(AC218=1,1440-Z218+AA218,AA218-Z218),0)</f>
        <v>0</v>
      </c>
      <c r="AE218" s="80">
        <f>IF(J218="",0,IF(ISNUMBER(J218),J218,-1))</f>
        <v>0</v>
      </c>
      <c r="AF218" s="80">
        <f>MIN(MAX(0,AE218),AD218)</f>
        <v>0</v>
      </c>
      <c r="AG218" s="80">
        <f>MAX(0,AD218-MAX(0,AE218))</f>
        <v>0</v>
      </c>
      <c r="AH218" s="80">
        <f>IF(ISNUMBER(B218),IF(AND(INDEX(CFG_WDAYS,WEEKDAY(INT(B218),2))="Sí",IF(D218="proMX",COUNTIFS(FER_F,INT(B218),FER_NLP,"Sí"),COUNTIFS(FER_F,INT(B218),FER_NLM,"Sí"))=0),1,0),0)</f>
        <v>0</v>
      </c>
      <c r="AI218" s="80">
        <f>IF(AC218=1,IF(AND(INDEX(CFG_WDAYS,WEEKDAY(INT(B218)+1,2))="Sí",IF(D218="proMX",COUNTIFS(FER_F,INT(B218)+1,FER_NLP,"Sí"),COUNTIFS(FER_F,INT(B218)+1,FER_NLM,"Sí"))=0),1,0),0)</f>
        <v>0</v>
      </c>
      <c r="AJ218" s="80">
        <f>IF(AC218=1,1440-Z218,AD218)</f>
        <v>0</v>
      </c>
      <c r="AK218" s="80">
        <f>IF(AND(AB218=1,AH218=1),MAX(0,MIN(IF(AC218=1,1440,AA218),CFG_WEM)-MAX(Z218,CFG_WSM)),0)</f>
        <v>0</v>
      </c>
      <c r="AL218" s="80">
        <f>IF(AND(AC218=1,AI218=1),MAX(0,MIN(AA218,CFG_WEM)-CFG_WSM),0)</f>
        <v>0</v>
      </c>
      <c r="AM218" s="80">
        <f>AK218+AL218</f>
        <v>0</v>
      </c>
      <c r="AN218" s="80">
        <f>IF(CFG_BRK="Proporcional",IF(AD218=0,0,AF218*AM218/AD218),IF(CFG_BRK="Extras primero",MIN(AM218,MAX(0,AF218-(AD218-AM218))),MIN(AF218,AM218)))</f>
        <v>0</v>
      </c>
      <c r="AO218" s="80">
        <f>AF218-AN218</f>
        <v>0</v>
      </c>
      <c r="AP218" s="80">
        <f>AM218-AN218</f>
        <v>0</v>
      </c>
      <c r="AQ218" s="80">
        <f>AD218-AM218-AO218</f>
        <v>0</v>
      </c>
      <c r="AR218" s="80">
        <f>IF(AM218=0,0,AK218-AN218*AK218/AM218)</f>
        <v>0</v>
      </c>
      <c r="AS218" s="80">
        <f>IF(AD218-AM218=0,0,(AJ218-AK218)-AO218*(AJ218-AK218)/(AD218-AM218))</f>
        <v>0</v>
      </c>
      <c r="AT218" s="80" t="str">
        <f>IF(AC218=1,INT(B218)+1,"")</f>
        <v/>
      </c>
      <c r="AU218" s="80">
        <f>IF(AND(D218="proMX",R218="Cancelled"),0,1)</f>
        <v>1</v>
      </c>
      <c r="AV218" s="80">
        <f>IF(AND(AB218=1,AU218=1),IF(COUNTIFS($D$5:D217,D218,$B$5:B217,B218,$Z$5:Z217,Z218,$AA$5:AA217,AA218,$F$5:F217,F218&amp;"",$AU$5:AU217,1)&gt;0,1,0),0)</f>
        <v>0</v>
      </c>
      <c r="AW218" s="80" t="str">
        <f>IF(AB218=1,INT(B218)*1440+Z218,"")</f>
        <v/>
      </c>
      <c r="AX218" s="80" t="str">
        <f>IF(AB218=1,AW218+AD218,"")</f>
        <v/>
      </c>
      <c r="AY218" s="80">
        <f>IF(AND(AB218=1,AV218=0,AU218=1),1,0)</f>
        <v>0</v>
      </c>
      <c r="AZ218" s="80">
        <f>IF(AY218=1,COUNTIFS(R_Emp,D218,R_SAbs,"&lt;"&amp;AX218,R_EAbs,"&gt;"&amp;AW218,R_OKey,1)-1,0)</f>
        <v>0</v>
      </c>
      <c r="BA218" s="80">
        <f>IF(AY218=1,COUNTIFS(R_Emp,"&lt;&gt;"&amp;D218,R_SAbs,"&lt;"&amp;AX218,R_EAbs,"&gt;"&amp;AW218,R_OKey,1),0)</f>
        <v>0</v>
      </c>
      <c r="BB218" s="80">
        <f>IF(AND(AB218=1,D218="proMX"),IF(AND(MOD(Z218,CFG_BLK)=0,MOD(AA218,CFG_BLK)=0,MOD(AG218,CFG_BLK)=0,AG218&gt;0),1,0),1)</f>
        <v>1</v>
      </c>
      <c r="BC218" s="80" t="str">
        <f>IF(Y218=0,"",IF(NOT(ISNUMBER(B218)),"Falta fecha o fecha inválida",IF(D218="","Falta empresa",IF(AND(D218&lt;&gt;"Malcolm",D218&lt;&gt;"proMX"),"Empresa inválida",IF(OR(INT(B218)&lt;CFG_PSTART,INT(B218)&gt;CFG_PEND),"Fecha fuera del período",IF(OR(NOT(ISNUMBER(Z218)),NOT(ISNUMBER(AA218))),"Falta hora inicio/fin o formato inválido",IF(AB218=0,"Hora inicio = hora fin",IF(AE218&lt;0,"Descanso inválido",IF(AE218&gt;=AD218,"Descanso ≥ duración",IF(AV218=1,"Registro duplicado",IF(AZ218&gt;0,"Se superpone con otro registro "&amp;D218,IF(BB218=0,"inicio, fin y duración neta deben ser múltiplos de "&amp;CFG_BLK&amp;" min",""))))))))))))</f>
        <v/>
      </c>
      <c r="BD218" s="80">
        <f>IF(AND(Y218=1,BC218=""),1,0)</f>
        <v>0</v>
      </c>
      <c r="BE218" s="80">
        <f>IF(AND(BD218=1,AU218=1),1,0)</f>
        <v>0</v>
      </c>
      <c r="BF218" s="80" t="str">
        <f>IF(AND(D218="proMX",BD218=1),IF(R218="","Draft",R218),"")</f>
        <v/>
      </c>
      <c r="BG218" s="80">
        <f>IF(BD218=1,ROUND(AG218/60,6),0)</f>
        <v>0</v>
      </c>
      <c r="BH218" s="80">
        <f>IF(BE218=1,ROUND(AG218/60,6),0)</f>
        <v>0</v>
      </c>
      <c r="BI218" s="80">
        <f>IF(BE218=1,ROUND(AP218/60,6),0)</f>
        <v>0</v>
      </c>
      <c r="BJ218" s="80">
        <f>IF(BE218=1,ROUND(AQ218/60,6),0)</f>
        <v>0</v>
      </c>
      <c r="BK218" s="80">
        <f>IF(BE218=1,ROUND((AR218+AS218)/60,6),0)</f>
        <v>0</v>
      </c>
      <c r="BL218" s="80">
        <f>ROUND(BH218-BK218,6)</f>
        <v>0</v>
      </c>
      <c r="BM218" s="80">
        <f>IF(BE218=1,ROUND(AR218/60,6),0)</f>
        <v>0</v>
      </c>
      <c r="BN218" s="80">
        <f>ROUND(BI218-BM218,6)</f>
        <v>0</v>
      </c>
      <c r="BO218" s="80">
        <f>IF(BE218=1,ROUND(AS218/60,6),0)</f>
        <v>0</v>
      </c>
      <c r="BP218" s="80">
        <f>ROUND(BJ218-BO218,6)</f>
        <v>0</v>
      </c>
      <c r="BQ218" s="80">
        <f>IF(BE218=1,AW218,0)</f>
        <v>0</v>
      </c>
      <c r="BR218" s="80">
        <f>IF(BE218=1,AX218,0)</f>
        <v>0</v>
      </c>
      <c r="BS218" s="80">
        <f>IF(AND(BE218=1,D218="Malcolm",BA218&gt;0),MIN(BH218,SUMPRODUCT((R_Emp="proMX")*(R_EN&gt;0)*((R_EN-(R_EN&gt;BR218)*(R_EN-BR218))&gt;(R_SN+(R_SN&lt;BQ218)*(BQ218-R_SN)))*((R_EN-(R_EN&gt;BR218)*(R_EN-BR218))-(R_SN+(R_SN&lt;BQ218)*(BQ218-R_SN))))/60),0)</f>
        <v>0</v>
      </c>
      <c r="BT218" s="80">
        <f>IF(AND(BE218=1,D218="proMX"),ROUND(BI218*CFG_RATE+BJ218*CFG_OTRATE,6),0)</f>
        <v>0</v>
      </c>
      <c r="BU218" s="80">
        <f>IF(AND(BD218=1,D218="proMX"),ROUND(AG218/CFG_BLK,6),0)</f>
        <v>0</v>
      </c>
      <c r="BV218" s="80" t="str">
        <f>IF(BF218="Approved",IF(ISNUMBER(T218),INT(T218),INT(B218)),"")</f>
        <v/>
      </c>
      <c r="BW218" s="80">
        <f>IF(ISNUMBER(B218),IF(DB_MON="Todos",1,IF(AND(INT(B218)&gt;=DB_MS,INT(B218)&lt;=DB_ME),1,0)),0)</f>
        <v>0</v>
      </c>
      <c r="BX218" s="80">
        <f>IF(DB_PROJ="Todos",1,IF(E218&amp;""=DB_PROJ&amp;"",1,0))</f>
        <v>1</v>
      </c>
      <c r="BY218" s="80">
        <f>BW218*BX218</f>
        <v>0</v>
      </c>
      <c r="BZ218" s="80" t="str">
        <f>IF(Y218=1,F218&amp;IF(AND(F218&amp;""&lt;&gt;"",E218&amp;""&lt;&gt;"")," · ","")&amp;E218,"")</f>
        <v/>
      </c>
      <c r="CA218" s="80" t="str">
        <f>IF(AND(BD218=1,E218&amp;""&lt;&gt;""),IF(COUNTIFS($E$5:E217,E218,$BD$5:BD217,1)=0,MAX($CA$5:CA217)+1,""),"")</f>
        <v/>
      </c>
      <c r="CB218" s="80" t="str">
        <f>IF(AND(BE218=1,D218="Malcolm",E218&amp;""&lt;&gt;""),IF(COUNTIFS($D$5:D217,"Malcolm",$E$5:E217,E218,$BE$5:BE217,1)=0,MAX($CB$5:CB217)+1,""),"")</f>
        <v/>
      </c>
      <c r="CC218" s="80" t="str">
        <f>IF(AND(BD218=1,D218="proMX",E218&amp;""&lt;&gt;""),IF(COUNTIFS($D$5:D217,"proMX",$E$5:E217,E218,$BD$5:BD217,1)=0,MAX($CC$5:CC217)+1,""),"")</f>
        <v/>
      </c>
      <c r="CD218" s="80" t="str">
        <f>IF(AND(BE218=1,D218="Malcolm",F218&amp;""&lt;&gt;""),IF(COUNTIFS($D$5:D217,"Malcolm",$F$5:F217,F218,$BE$5:BE217,1)=0,MAX($CD$5:CD217)+1,""),"")</f>
        <v/>
      </c>
      <c r="CE218" s="80" t="str">
        <f>IF(AND(BD218=1,D218="proMX",F218&amp;""&lt;&gt;""),IF(COUNTIFS($D$5:D217,"proMX",$F$5:F217,F218,$BD$5:BD217,1)=0,MAX($CE$5:CE217)+1,""),"")</f>
        <v/>
      </c>
      <c r="CF218" s="80" t="str">
        <f>IF(AND(D218="proMX",BD218=1),IF(OR(BF218="Draft",BF218="Submitted",BF218="Returned",BF218="Recall Requested"),MAX($CF$5:CF217)+1,""),"")</f>
        <v/>
      </c>
      <c r="CG218" s="80">
        <f>IF(BD218=0,0,IF(D218="Malcolm",1,MATCH(BF218,{"Draft","Submitted","Approved","Returned","Recall Requested","Cancelled"},0)+1))</f>
        <v>0</v>
      </c>
      <c r="CH218" s="80">
        <f>IF(AND(BF218="Submitted",ISNUMBER(V218)),IF(V218&gt;CFG_MAXD,1,0),0)</f>
        <v>0</v>
      </c>
    </row>
    <row r="219">
      <c r="A219" s="71" t="str">
        <f>IF(Y219=1,ROW()-5,"")</f>
        <v/>
      </c>
      <c r="B219" s="72" t="n"/>
      <c r="C219" s="71" t="str">
        <f>IF(ISNUMBER(B219),CHOOSE(WEEKDAY(B219,2),"Lun","Mar","Mié","Jue","Vie","Sáb","Dom"),"")</f>
        <v/>
      </c>
      <c r="D219" s="73" t="n"/>
      <c r="E219" s="74" t="n"/>
      <c r="F219" s="74" t="n"/>
      <c r="G219" s="74" t="n"/>
      <c r="H219" s="75" t="n"/>
      <c r="I219" s="75" t="n"/>
      <c r="J219" s="76" t="n"/>
      <c r="K219" s="77" t="str">
        <f>IF(AB219=1,ROUND(AG219/60,4),"")</f>
        <v/>
      </c>
      <c r="L219" s="77" t="str">
        <f>IF(BD219=1,ROUND(AP219/60,4),"")</f>
        <v/>
      </c>
      <c r="M219" s="77" t="str">
        <f>IF(BD219=1,ROUND(AQ219/60,4),"")</f>
        <v/>
      </c>
      <c r="N219" s="71" t="str">
        <f>IF(AND(D219="proMX",AB219=1),ROUND(AG219/CFG_BLK,2),"")</f>
        <v/>
      </c>
      <c r="O219" s="77" t="str">
        <f>IF(D219="proMX",IF(BD219=1,ROUND(AG219/60,4),0),"")</f>
        <v/>
      </c>
      <c r="P219" s="78" t="str">
        <f>IF(Y219=0,"",IF(BD219=1,"OK",IF(D219="proMX","Revisar bloques: ","Revisar: ")&amp;BC219))</f>
        <v/>
      </c>
      <c r="Q219" s="78" t="str">
        <f>IF(NOT(ISNUMBER(B219)),"",IF(COUNTIFS(FER_F,INT(B219))&gt;0,"Feriado"&amp;IF(AH219=1," (laborable)"," (no laborable)"),IF(AH219=1,"Laborable",IF(WEEKDAY(B219,2)&gt;5,"Fin de semana","No laborable"))))</f>
        <v/>
      </c>
      <c r="R219" s="73" t="n"/>
      <c r="S219" s="72" t="n"/>
      <c r="T219" s="72" t="n"/>
      <c r="U219" s="74" t="n"/>
      <c r="V219" s="79" t="str">
        <f>IF(AND(D219="proMX",OR(R219="Submitted",R219="Recall Requested"),ISNUMBER(S219)),CFG_TODAY-INT(S219),"")</f>
        <v/>
      </c>
      <c r="W219" s="78" t="str">
        <f>IF(BD219=0,"",IF(BA219&gt;0,"⚠ Se superpone con un registro de la otra empresa",IF(D219="Malcolm",IF(COUNTA(R219,S219,T219)&gt;0,"Estado/fechas proMX se ignoran en Malcolm",""),IF(BF219="Cancelled","Cancelado: excluido de totales",IF(R219="","Sin estado: se trata como Draft",IF(BF219="Submitted",IF(ISNUMBER(V219),IF(V219&gt;CFG_MAXD,"⚠ "&amp;V219&amp;" días en Submitted (máx. "&amp;CFG_MAXD&amp;")",""),"Falta fecha de envío"),IF(BF219="Returned","⚠ Devuelto: corregir y reenviar",IF(BF219="Recall Requested","Retirada solicitada: pendiente",IF(AND(BF219="Approved",NOT(ISNUMBER(T219))),"Falta fecha de aprobación",IF(AND(ISNUMBER(S219),ISNUMBER(T219),T219&lt;S219),"Aprobación anterior al envío","")))))))))</f>
        <v/>
      </c>
      <c r="Y219" s="80">
        <f>IF(COUNTA(B219,D219,E219,F219,G219,H219,I219,J219,R219,S219,T219)&gt;0,1,0)</f>
        <v>0</v>
      </c>
      <c r="Z219" s="80" t="str">
        <f>IF(AND(ISNUMBER(H219),H219&gt;=0,H219&lt;1),ROUND(H219*1440,0),"")</f>
        <v/>
      </c>
      <c r="AA219" s="80" t="str">
        <f>IF(AND(ISNUMBER(I219),I219&gt;=0,I219&lt;1),ROUND(I219*1440,0),"")</f>
        <v/>
      </c>
      <c r="AB219" s="80">
        <f>IF(AND(ISNUMBER(B219),D219&lt;&gt;"",ISNUMBER(Z219),ISNUMBER(AA219)),IF(Z219=AA219,0,1),0)</f>
        <v>0</v>
      </c>
      <c r="AC219" s="80">
        <f>IF(AB219=1,IF(AA219&lt;Z219,1,0),0)</f>
        <v>0</v>
      </c>
      <c r="AD219" s="80">
        <f>IF(AB219=1,IF(AC219=1,1440-Z219+AA219,AA219-Z219),0)</f>
        <v>0</v>
      </c>
      <c r="AE219" s="80">
        <f>IF(J219="",0,IF(ISNUMBER(J219),J219,-1))</f>
        <v>0</v>
      </c>
      <c r="AF219" s="80">
        <f>MIN(MAX(0,AE219),AD219)</f>
        <v>0</v>
      </c>
      <c r="AG219" s="80">
        <f>MAX(0,AD219-MAX(0,AE219))</f>
        <v>0</v>
      </c>
      <c r="AH219" s="80">
        <f>IF(ISNUMBER(B219),IF(AND(INDEX(CFG_WDAYS,WEEKDAY(INT(B219),2))="Sí",IF(D219="proMX",COUNTIFS(FER_F,INT(B219),FER_NLP,"Sí"),COUNTIFS(FER_F,INT(B219),FER_NLM,"Sí"))=0),1,0),0)</f>
        <v>0</v>
      </c>
      <c r="AI219" s="80">
        <f>IF(AC219=1,IF(AND(INDEX(CFG_WDAYS,WEEKDAY(INT(B219)+1,2))="Sí",IF(D219="proMX",COUNTIFS(FER_F,INT(B219)+1,FER_NLP,"Sí"),COUNTIFS(FER_F,INT(B219)+1,FER_NLM,"Sí"))=0),1,0),0)</f>
        <v>0</v>
      </c>
      <c r="AJ219" s="80">
        <f>IF(AC219=1,1440-Z219,AD219)</f>
        <v>0</v>
      </c>
      <c r="AK219" s="80">
        <f>IF(AND(AB219=1,AH219=1),MAX(0,MIN(IF(AC219=1,1440,AA219),CFG_WEM)-MAX(Z219,CFG_WSM)),0)</f>
        <v>0</v>
      </c>
      <c r="AL219" s="80">
        <f>IF(AND(AC219=1,AI219=1),MAX(0,MIN(AA219,CFG_WEM)-CFG_WSM),0)</f>
        <v>0</v>
      </c>
      <c r="AM219" s="80">
        <f>AK219+AL219</f>
        <v>0</v>
      </c>
      <c r="AN219" s="80">
        <f>IF(CFG_BRK="Proporcional",IF(AD219=0,0,AF219*AM219/AD219),IF(CFG_BRK="Extras primero",MIN(AM219,MAX(0,AF219-(AD219-AM219))),MIN(AF219,AM219)))</f>
        <v>0</v>
      </c>
      <c r="AO219" s="80">
        <f>AF219-AN219</f>
        <v>0</v>
      </c>
      <c r="AP219" s="80">
        <f>AM219-AN219</f>
        <v>0</v>
      </c>
      <c r="AQ219" s="80">
        <f>AD219-AM219-AO219</f>
        <v>0</v>
      </c>
      <c r="AR219" s="80">
        <f>IF(AM219=0,0,AK219-AN219*AK219/AM219)</f>
        <v>0</v>
      </c>
      <c r="AS219" s="80">
        <f>IF(AD219-AM219=0,0,(AJ219-AK219)-AO219*(AJ219-AK219)/(AD219-AM219))</f>
        <v>0</v>
      </c>
      <c r="AT219" s="80" t="str">
        <f>IF(AC219=1,INT(B219)+1,"")</f>
        <v/>
      </c>
      <c r="AU219" s="80">
        <f>IF(AND(D219="proMX",R219="Cancelled"),0,1)</f>
        <v>1</v>
      </c>
      <c r="AV219" s="80">
        <f>IF(AND(AB219=1,AU219=1),IF(COUNTIFS($D$5:D218,D219,$B$5:B218,B219,$Z$5:Z218,Z219,$AA$5:AA218,AA219,$F$5:F218,F219&amp;"",$AU$5:AU218,1)&gt;0,1,0),0)</f>
        <v>0</v>
      </c>
      <c r="AW219" s="80" t="str">
        <f>IF(AB219=1,INT(B219)*1440+Z219,"")</f>
        <v/>
      </c>
      <c r="AX219" s="80" t="str">
        <f>IF(AB219=1,AW219+AD219,"")</f>
        <v/>
      </c>
      <c r="AY219" s="80">
        <f>IF(AND(AB219=1,AV219=0,AU219=1),1,0)</f>
        <v>0</v>
      </c>
      <c r="AZ219" s="80">
        <f>IF(AY219=1,COUNTIFS(R_Emp,D219,R_SAbs,"&lt;"&amp;AX219,R_EAbs,"&gt;"&amp;AW219,R_OKey,1)-1,0)</f>
        <v>0</v>
      </c>
      <c r="BA219" s="80">
        <f>IF(AY219=1,COUNTIFS(R_Emp,"&lt;&gt;"&amp;D219,R_SAbs,"&lt;"&amp;AX219,R_EAbs,"&gt;"&amp;AW219,R_OKey,1),0)</f>
        <v>0</v>
      </c>
      <c r="BB219" s="80">
        <f>IF(AND(AB219=1,D219="proMX"),IF(AND(MOD(Z219,CFG_BLK)=0,MOD(AA219,CFG_BLK)=0,MOD(AG219,CFG_BLK)=0,AG219&gt;0),1,0),1)</f>
        <v>1</v>
      </c>
      <c r="BC219" s="80" t="str">
        <f>IF(Y219=0,"",IF(NOT(ISNUMBER(B219)),"Falta fecha o fecha inválida",IF(D219="","Falta empresa",IF(AND(D219&lt;&gt;"Malcolm",D219&lt;&gt;"proMX"),"Empresa inválida",IF(OR(INT(B219)&lt;CFG_PSTART,INT(B219)&gt;CFG_PEND),"Fecha fuera del período",IF(OR(NOT(ISNUMBER(Z219)),NOT(ISNUMBER(AA219))),"Falta hora inicio/fin o formato inválido",IF(AB219=0,"Hora inicio = hora fin",IF(AE219&lt;0,"Descanso inválido",IF(AE219&gt;=AD219,"Descanso ≥ duración",IF(AV219=1,"Registro duplicado",IF(AZ219&gt;0,"Se superpone con otro registro "&amp;D219,IF(BB219=0,"inicio, fin y duración neta deben ser múltiplos de "&amp;CFG_BLK&amp;" min",""))))))))))))</f>
        <v/>
      </c>
      <c r="BD219" s="80">
        <f>IF(AND(Y219=1,BC219=""),1,0)</f>
        <v>0</v>
      </c>
      <c r="BE219" s="80">
        <f>IF(AND(BD219=1,AU219=1),1,0)</f>
        <v>0</v>
      </c>
      <c r="BF219" s="80" t="str">
        <f>IF(AND(D219="proMX",BD219=1),IF(R219="","Draft",R219),"")</f>
        <v/>
      </c>
      <c r="BG219" s="80">
        <f>IF(BD219=1,ROUND(AG219/60,6),0)</f>
        <v>0</v>
      </c>
      <c r="BH219" s="80">
        <f>IF(BE219=1,ROUND(AG219/60,6),0)</f>
        <v>0</v>
      </c>
      <c r="BI219" s="80">
        <f>IF(BE219=1,ROUND(AP219/60,6),0)</f>
        <v>0</v>
      </c>
      <c r="BJ219" s="80">
        <f>IF(BE219=1,ROUND(AQ219/60,6),0)</f>
        <v>0</v>
      </c>
      <c r="BK219" s="80">
        <f>IF(BE219=1,ROUND((AR219+AS219)/60,6),0)</f>
        <v>0</v>
      </c>
      <c r="BL219" s="80">
        <f>ROUND(BH219-BK219,6)</f>
        <v>0</v>
      </c>
      <c r="BM219" s="80">
        <f>IF(BE219=1,ROUND(AR219/60,6),0)</f>
        <v>0</v>
      </c>
      <c r="BN219" s="80">
        <f>ROUND(BI219-BM219,6)</f>
        <v>0</v>
      </c>
      <c r="BO219" s="80">
        <f>IF(BE219=1,ROUND(AS219/60,6),0)</f>
        <v>0</v>
      </c>
      <c r="BP219" s="80">
        <f>ROUND(BJ219-BO219,6)</f>
        <v>0</v>
      </c>
      <c r="BQ219" s="80">
        <f>IF(BE219=1,AW219,0)</f>
        <v>0</v>
      </c>
      <c r="BR219" s="80">
        <f>IF(BE219=1,AX219,0)</f>
        <v>0</v>
      </c>
      <c r="BS219" s="80">
        <f>IF(AND(BE219=1,D219="Malcolm",BA219&gt;0),MIN(BH219,SUMPRODUCT((R_Emp="proMX")*(R_EN&gt;0)*((R_EN-(R_EN&gt;BR219)*(R_EN-BR219))&gt;(R_SN+(R_SN&lt;BQ219)*(BQ219-R_SN)))*((R_EN-(R_EN&gt;BR219)*(R_EN-BR219))-(R_SN+(R_SN&lt;BQ219)*(BQ219-R_SN))))/60),0)</f>
        <v>0</v>
      </c>
      <c r="BT219" s="80">
        <f>IF(AND(BE219=1,D219="proMX"),ROUND(BI219*CFG_RATE+BJ219*CFG_OTRATE,6),0)</f>
        <v>0</v>
      </c>
      <c r="BU219" s="80">
        <f>IF(AND(BD219=1,D219="proMX"),ROUND(AG219/CFG_BLK,6),0)</f>
        <v>0</v>
      </c>
      <c r="BV219" s="80" t="str">
        <f>IF(BF219="Approved",IF(ISNUMBER(T219),INT(T219),INT(B219)),"")</f>
        <v/>
      </c>
      <c r="BW219" s="80">
        <f>IF(ISNUMBER(B219),IF(DB_MON="Todos",1,IF(AND(INT(B219)&gt;=DB_MS,INT(B219)&lt;=DB_ME),1,0)),0)</f>
        <v>0</v>
      </c>
      <c r="BX219" s="80">
        <f>IF(DB_PROJ="Todos",1,IF(E219&amp;""=DB_PROJ&amp;"",1,0))</f>
        <v>1</v>
      </c>
      <c r="BY219" s="80">
        <f>BW219*BX219</f>
        <v>0</v>
      </c>
      <c r="BZ219" s="80" t="str">
        <f>IF(Y219=1,F219&amp;IF(AND(F219&amp;""&lt;&gt;"",E219&amp;""&lt;&gt;"")," · ","")&amp;E219,"")</f>
        <v/>
      </c>
      <c r="CA219" s="80" t="str">
        <f>IF(AND(BD219=1,E219&amp;""&lt;&gt;""),IF(COUNTIFS($E$5:E218,E219,$BD$5:BD218,1)=0,MAX($CA$5:CA218)+1,""),"")</f>
        <v/>
      </c>
      <c r="CB219" s="80" t="str">
        <f>IF(AND(BE219=1,D219="Malcolm",E219&amp;""&lt;&gt;""),IF(COUNTIFS($D$5:D218,"Malcolm",$E$5:E218,E219,$BE$5:BE218,1)=0,MAX($CB$5:CB218)+1,""),"")</f>
        <v/>
      </c>
      <c r="CC219" s="80" t="str">
        <f>IF(AND(BD219=1,D219="proMX",E219&amp;""&lt;&gt;""),IF(COUNTIFS($D$5:D218,"proMX",$E$5:E218,E219,$BD$5:BD218,1)=0,MAX($CC$5:CC218)+1,""),"")</f>
        <v/>
      </c>
      <c r="CD219" s="80" t="str">
        <f>IF(AND(BE219=1,D219="Malcolm",F219&amp;""&lt;&gt;""),IF(COUNTIFS($D$5:D218,"Malcolm",$F$5:F218,F219,$BE$5:BE218,1)=0,MAX($CD$5:CD218)+1,""),"")</f>
        <v/>
      </c>
      <c r="CE219" s="80" t="str">
        <f>IF(AND(BD219=1,D219="proMX",F219&amp;""&lt;&gt;""),IF(COUNTIFS($D$5:D218,"proMX",$F$5:F218,F219,$BD$5:BD218,1)=0,MAX($CE$5:CE218)+1,""),"")</f>
        <v/>
      </c>
      <c r="CF219" s="80" t="str">
        <f>IF(AND(D219="proMX",BD219=1),IF(OR(BF219="Draft",BF219="Submitted",BF219="Returned",BF219="Recall Requested"),MAX($CF$5:CF218)+1,""),"")</f>
        <v/>
      </c>
      <c r="CG219" s="80">
        <f>IF(BD219=0,0,IF(D219="Malcolm",1,MATCH(BF219,{"Draft","Submitted","Approved","Returned","Recall Requested","Cancelled"},0)+1))</f>
        <v>0</v>
      </c>
      <c r="CH219" s="80">
        <f>IF(AND(BF219="Submitted",ISNUMBER(V219)),IF(V219&gt;CFG_MAXD,1,0),0)</f>
        <v>0</v>
      </c>
    </row>
    <row r="220">
      <c r="A220" s="71" t="str">
        <f>IF(Y220=1,ROW()-5,"")</f>
        <v/>
      </c>
      <c r="B220" s="72" t="n"/>
      <c r="C220" s="71" t="str">
        <f>IF(ISNUMBER(B220),CHOOSE(WEEKDAY(B220,2),"Lun","Mar","Mié","Jue","Vie","Sáb","Dom"),"")</f>
        <v/>
      </c>
      <c r="D220" s="73" t="n"/>
      <c r="E220" s="74" t="n"/>
      <c r="F220" s="74" t="n"/>
      <c r="G220" s="74" t="n"/>
      <c r="H220" s="75" t="n"/>
      <c r="I220" s="75" t="n"/>
      <c r="J220" s="76" t="n"/>
      <c r="K220" s="77" t="str">
        <f>IF(AB220=1,ROUND(AG220/60,4),"")</f>
        <v/>
      </c>
      <c r="L220" s="77" t="str">
        <f>IF(BD220=1,ROUND(AP220/60,4),"")</f>
        <v/>
      </c>
      <c r="M220" s="77" t="str">
        <f>IF(BD220=1,ROUND(AQ220/60,4),"")</f>
        <v/>
      </c>
      <c r="N220" s="71" t="str">
        <f>IF(AND(D220="proMX",AB220=1),ROUND(AG220/CFG_BLK,2),"")</f>
        <v/>
      </c>
      <c r="O220" s="77" t="str">
        <f>IF(D220="proMX",IF(BD220=1,ROUND(AG220/60,4),0),"")</f>
        <v/>
      </c>
      <c r="P220" s="78" t="str">
        <f>IF(Y220=0,"",IF(BD220=1,"OK",IF(D220="proMX","Revisar bloques: ","Revisar: ")&amp;BC220))</f>
        <v/>
      </c>
      <c r="Q220" s="78" t="str">
        <f>IF(NOT(ISNUMBER(B220)),"",IF(COUNTIFS(FER_F,INT(B220))&gt;0,"Feriado"&amp;IF(AH220=1," (laborable)"," (no laborable)"),IF(AH220=1,"Laborable",IF(WEEKDAY(B220,2)&gt;5,"Fin de semana","No laborable"))))</f>
        <v/>
      </c>
      <c r="R220" s="73" t="n"/>
      <c r="S220" s="72" t="n"/>
      <c r="T220" s="72" t="n"/>
      <c r="U220" s="74" t="n"/>
      <c r="V220" s="79" t="str">
        <f>IF(AND(D220="proMX",OR(R220="Submitted",R220="Recall Requested"),ISNUMBER(S220)),CFG_TODAY-INT(S220),"")</f>
        <v/>
      </c>
      <c r="W220" s="78" t="str">
        <f>IF(BD220=0,"",IF(BA220&gt;0,"⚠ Se superpone con un registro de la otra empresa",IF(D220="Malcolm",IF(COUNTA(R220,S220,T220)&gt;0,"Estado/fechas proMX se ignoran en Malcolm",""),IF(BF220="Cancelled","Cancelado: excluido de totales",IF(R220="","Sin estado: se trata como Draft",IF(BF220="Submitted",IF(ISNUMBER(V220),IF(V220&gt;CFG_MAXD,"⚠ "&amp;V220&amp;" días en Submitted (máx. "&amp;CFG_MAXD&amp;")",""),"Falta fecha de envío"),IF(BF220="Returned","⚠ Devuelto: corregir y reenviar",IF(BF220="Recall Requested","Retirada solicitada: pendiente",IF(AND(BF220="Approved",NOT(ISNUMBER(T220))),"Falta fecha de aprobación",IF(AND(ISNUMBER(S220),ISNUMBER(T220),T220&lt;S220),"Aprobación anterior al envío","")))))))))</f>
        <v/>
      </c>
      <c r="Y220" s="80">
        <f>IF(COUNTA(B220,D220,E220,F220,G220,H220,I220,J220,R220,S220,T220)&gt;0,1,0)</f>
        <v>0</v>
      </c>
      <c r="Z220" s="80" t="str">
        <f>IF(AND(ISNUMBER(H220),H220&gt;=0,H220&lt;1),ROUND(H220*1440,0),"")</f>
        <v/>
      </c>
      <c r="AA220" s="80" t="str">
        <f>IF(AND(ISNUMBER(I220),I220&gt;=0,I220&lt;1),ROUND(I220*1440,0),"")</f>
        <v/>
      </c>
      <c r="AB220" s="80">
        <f>IF(AND(ISNUMBER(B220),D220&lt;&gt;"",ISNUMBER(Z220),ISNUMBER(AA220)),IF(Z220=AA220,0,1),0)</f>
        <v>0</v>
      </c>
      <c r="AC220" s="80">
        <f>IF(AB220=1,IF(AA220&lt;Z220,1,0),0)</f>
        <v>0</v>
      </c>
      <c r="AD220" s="80">
        <f>IF(AB220=1,IF(AC220=1,1440-Z220+AA220,AA220-Z220),0)</f>
        <v>0</v>
      </c>
      <c r="AE220" s="80">
        <f>IF(J220="",0,IF(ISNUMBER(J220),J220,-1))</f>
        <v>0</v>
      </c>
      <c r="AF220" s="80">
        <f>MIN(MAX(0,AE220),AD220)</f>
        <v>0</v>
      </c>
      <c r="AG220" s="80">
        <f>MAX(0,AD220-MAX(0,AE220))</f>
        <v>0</v>
      </c>
      <c r="AH220" s="80">
        <f>IF(ISNUMBER(B220),IF(AND(INDEX(CFG_WDAYS,WEEKDAY(INT(B220),2))="Sí",IF(D220="proMX",COUNTIFS(FER_F,INT(B220),FER_NLP,"Sí"),COUNTIFS(FER_F,INT(B220),FER_NLM,"Sí"))=0),1,0),0)</f>
        <v>0</v>
      </c>
      <c r="AI220" s="80">
        <f>IF(AC220=1,IF(AND(INDEX(CFG_WDAYS,WEEKDAY(INT(B220)+1,2))="Sí",IF(D220="proMX",COUNTIFS(FER_F,INT(B220)+1,FER_NLP,"Sí"),COUNTIFS(FER_F,INT(B220)+1,FER_NLM,"Sí"))=0),1,0),0)</f>
        <v>0</v>
      </c>
      <c r="AJ220" s="80">
        <f>IF(AC220=1,1440-Z220,AD220)</f>
        <v>0</v>
      </c>
      <c r="AK220" s="80">
        <f>IF(AND(AB220=1,AH220=1),MAX(0,MIN(IF(AC220=1,1440,AA220),CFG_WEM)-MAX(Z220,CFG_WSM)),0)</f>
        <v>0</v>
      </c>
      <c r="AL220" s="80">
        <f>IF(AND(AC220=1,AI220=1),MAX(0,MIN(AA220,CFG_WEM)-CFG_WSM),0)</f>
        <v>0</v>
      </c>
      <c r="AM220" s="80">
        <f>AK220+AL220</f>
        <v>0</v>
      </c>
      <c r="AN220" s="80">
        <f>IF(CFG_BRK="Proporcional",IF(AD220=0,0,AF220*AM220/AD220),IF(CFG_BRK="Extras primero",MIN(AM220,MAX(0,AF220-(AD220-AM220))),MIN(AF220,AM220)))</f>
        <v>0</v>
      </c>
      <c r="AO220" s="80">
        <f>AF220-AN220</f>
        <v>0</v>
      </c>
      <c r="AP220" s="80">
        <f>AM220-AN220</f>
        <v>0</v>
      </c>
      <c r="AQ220" s="80">
        <f>AD220-AM220-AO220</f>
        <v>0</v>
      </c>
      <c r="AR220" s="80">
        <f>IF(AM220=0,0,AK220-AN220*AK220/AM220)</f>
        <v>0</v>
      </c>
      <c r="AS220" s="80">
        <f>IF(AD220-AM220=0,0,(AJ220-AK220)-AO220*(AJ220-AK220)/(AD220-AM220))</f>
        <v>0</v>
      </c>
      <c r="AT220" s="80" t="str">
        <f>IF(AC220=1,INT(B220)+1,"")</f>
        <v/>
      </c>
      <c r="AU220" s="80">
        <f>IF(AND(D220="proMX",R220="Cancelled"),0,1)</f>
        <v>1</v>
      </c>
      <c r="AV220" s="80">
        <f>IF(AND(AB220=1,AU220=1),IF(COUNTIFS($D$5:D219,D220,$B$5:B219,B220,$Z$5:Z219,Z220,$AA$5:AA219,AA220,$F$5:F219,F220&amp;"",$AU$5:AU219,1)&gt;0,1,0),0)</f>
        <v>0</v>
      </c>
      <c r="AW220" s="80" t="str">
        <f>IF(AB220=1,INT(B220)*1440+Z220,"")</f>
        <v/>
      </c>
      <c r="AX220" s="80" t="str">
        <f>IF(AB220=1,AW220+AD220,"")</f>
        <v/>
      </c>
      <c r="AY220" s="80">
        <f>IF(AND(AB220=1,AV220=0,AU220=1),1,0)</f>
        <v>0</v>
      </c>
      <c r="AZ220" s="80">
        <f>IF(AY220=1,COUNTIFS(R_Emp,D220,R_SAbs,"&lt;"&amp;AX220,R_EAbs,"&gt;"&amp;AW220,R_OKey,1)-1,0)</f>
        <v>0</v>
      </c>
      <c r="BA220" s="80">
        <f>IF(AY220=1,COUNTIFS(R_Emp,"&lt;&gt;"&amp;D220,R_SAbs,"&lt;"&amp;AX220,R_EAbs,"&gt;"&amp;AW220,R_OKey,1),0)</f>
        <v>0</v>
      </c>
      <c r="BB220" s="80">
        <f>IF(AND(AB220=1,D220="proMX"),IF(AND(MOD(Z220,CFG_BLK)=0,MOD(AA220,CFG_BLK)=0,MOD(AG220,CFG_BLK)=0,AG220&gt;0),1,0),1)</f>
        <v>1</v>
      </c>
      <c r="BC220" s="80" t="str">
        <f>IF(Y220=0,"",IF(NOT(ISNUMBER(B220)),"Falta fecha o fecha inválida",IF(D220="","Falta empresa",IF(AND(D220&lt;&gt;"Malcolm",D220&lt;&gt;"proMX"),"Empresa inválida",IF(OR(INT(B220)&lt;CFG_PSTART,INT(B220)&gt;CFG_PEND),"Fecha fuera del período",IF(OR(NOT(ISNUMBER(Z220)),NOT(ISNUMBER(AA220))),"Falta hora inicio/fin o formato inválido",IF(AB220=0,"Hora inicio = hora fin",IF(AE220&lt;0,"Descanso inválido",IF(AE220&gt;=AD220,"Descanso ≥ duración",IF(AV220=1,"Registro duplicado",IF(AZ220&gt;0,"Se superpone con otro registro "&amp;D220,IF(BB220=0,"inicio, fin y duración neta deben ser múltiplos de "&amp;CFG_BLK&amp;" min",""))))))))))))</f>
        <v/>
      </c>
      <c r="BD220" s="80">
        <f>IF(AND(Y220=1,BC220=""),1,0)</f>
        <v>0</v>
      </c>
      <c r="BE220" s="80">
        <f>IF(AND(BD220=1,AU220=1),1,0)</f>
        <v>0</v>
      </c>
      <c r="BF220" s="80" t="str">
        <f>IF(AND(D220="proMX",BD220=1),IF(R220="","Draft",R220),"")</f>
        <v/>
      </c>
      <c r="BG220" s="80">
        <f>IF(BD220=1,ROUND(AG220/60,6),0)</f>
        <v>0</v>
      </c>
      <c r="BH220" s="80">
        <f>IF(BE220=1,ROUND(AG220/60,6),0)</f>
        <v>0</v>
      </c>
      <c r="BI220" s="80">
        <f>IF(BE220=1,ROUND(AP220/60,6),0)</f>
        <v>0</v>
      </c>
      <c r="BJ220" s="80">
        <f>IF(BE220=1,ROUND(AQ220/60,6),0)</f>
        <v>0</v>
      </c>
      <c r="BK220" s="80">
        <f>IF(BE220=1,ROUND((AR220+AS220)/60,6),0)</f>
        <v>0</v>
      </c>
      <c r="BL220" s="80">
        <f>ROUND(BH220-BK220,6)</f>
        <v>0</v>
      </c>
      <c r="BM220" s="80">
        <f>IF(BE220=1,ROUND(AR220/60,6),0)</f>
        <v>0</v>
      </c>
      <c r="BN220" s="80">
        <f>ROUND(BI220-BM220,6)</f>
        <v>0</v>
      </c>
      <c r="BO220" s="80">
        <f>IF(BE220=1,ROUND(AS220/60,6),0)</f>
        <v>0</v>
      </c>
      <c r="BP220" s="80">
        <f>ROUND(BJ220-BO220,6)</f>
        <v>0</v>
      </c>
      <c r="BQ220" s="80">
        <f>IF(BE220=1,AW220,0)</f>
        <v>0</v>
      </c>
      <c r="BR220" s="80">
        <f>IF(BE220=1,AX220,0)</f>
        <v>0</v>
      </c>
      <c r="BS220" s="80">
        <f>IF(AND(BE220=1,D220="Malcolm",BA220&gt;0),MIN(BH220,SUMPRODUCT((R_Emp="proMX")*(R_EN&gt;0)*((R_EN-(R_EN&gt;BR220)*(R_EN-BR220))&gt;(R_SN+(R_SN&lt;BQ220)*(BQ220-R_SN)))*((R_EN-(R_EN&gt;BR220)*(R_EN-BR220))-(R_SN+(R_SN&lt;BQ220)*(BQ220-R_SN))))/60),0)</f>
        <v>0</v>
      </c>
      <c r="BT220" s="80">
        <f>IF(AND(BE220=1,D220="proMX"),ROUND(BI220*CFG_RATE+BJ220*CFG_OTRATE,6),0)</f>
        <v>0</v>
      </c>
      <c r="BU220" s="80">
        <f>IF(AND(BD220=1,D220="proMX"),ROUND(AG220/CFG_BLK,6),0)</f>
        <v>0</v>
      </c>
      <c r="BV220" s="80" t="str">
        <f>IF(BF220="Approved",IF(ISNUMBER(T220),INT(T220),INT(B220)),"")</f>
        <v/>
      </c>
      <c r="BW220" s="80">
        <f>IF(ISNUMBER(B220),IF(DB_MON="Todos",1,IF(AND(INT(B220)&gt;=DB_MS,INT(B220)&lt;=DB_ME),1,0)),0)</f>
        <v>0</v>
      </c>
      <c r="BX220" s="80">
        <f>IF(DB_PROJ="Todos",1,IF(E220&amp;""=DB_PROJ&amp;"",1,0))</f>
        <v>1</v>
      </c>
      <c r="BY220" s="80">
        <f>BW220*BX220</f>
        <v>0</v>
      </c>
      <c r="BZ220" s="80" t="str">
        <f>IF(Y220=1,F220&amp;IF(AND(F220&amp;""&lt;&gt;"",E220&amp;""&lt;&gt;"")," · ","")&amp;E220,"")</f>
        <v/>
      </c>
      <c r="CA220" s="80" t="str">
        <f>IF(AND(BD220=1,E220&amp;""&lt;&gt;""),IF(COUNTIFS($E$5:E219,E220,$BD$5:BD219,1)=0,MAX($CA$5:CA219)+1,""),"")</f>
        <v/>
      </c>
      <c r="CB220" s="80" t="str">
        <f>IF(AND(BE220=1,D220="Malcolm",E220&amp;""&lt;&gt;""),IF(COUNTIFS($D$5:D219,"Malcolm",$E$5:E219,E220,$BE$5:BE219,1)=0,MAX($CB$5:CB219)+1,""),"")</f>
        <v/>
      </c>
      <c r="CC220" s="80" t="str">
        <f>IF(AND(BD220=1,D220="proMX",E220&amp;""&lt;&gt;""),IF(COUNTIFS($D$5:D219,"proMX",$E$5:E219,E220,$BD$5:BD219,1)=0,MAX($CC$5:CC219)+1,""),"")</f>
        <v/>
      </c>
      <c r="CD220" s="80" t="str">
        <f>IF(AND(BE220=1,D220="Malcolm",F220&amp;""&lt;&gt;""),IF(COUNTIFS($D$5:D219,"Malcolm",$F$5:F219,F220,$BE$5:BE219,1)=0,MAX($CD$5:CD219)+1,""),"")</f>
        <v/>
      </c>
      <c r="CE220" s="80" t="str">
        <f>IF(AND(BD220=1,D220="proMX",F220&amp;""&lt;&gt;""),IF(COUNTIFS($D$5:D219,"proMX",$F$5:F219,F220,$BD$5:BD219,1)=0,MAX($CE$5:CE219)+1,""),"")</f>
        <v/>
      </c>
      <c r="CF220" s="80" t="str">
        <f>IF(AND(D220="proMX",BD220=1),IF(OR(BF220="Draft",BF220="Submitted",BF220="Returned",BF220="Recall Requested"),MAX($CF$5:CF219)+1,""),"")</f>
        <v/>
      </c>
      <c r="CG220" s="80">
        <f>IF(BD220=0,0,IF(D220="Malcolm",1,MATCH(BF220,{"Draft","Submitted","Approved","Returned","Recall Requested","Cancelled"},0)+1))</f>
        <v>0</v>
      </c>
      <c r="CH220" s="80">
        <f>IF(AND(BF220="Submitted",ISNUMBER(V220)),IF(V220&gt;CFG_MAXD,1,0),0)</f>
        <v>0</v>
      </c>
    </row>
    <row r="221">
      <c r="A221" s="71" t="str">
        <f>IF(Y221=1,ROW()-5,"")</f>
        <v/>
      </c>
      <c r="B221" s="72" t="n"/>
      <c r="C221" s="71" t="str">
        <f>IF(ISNUMBER(B221),CHOOSE(WEEKDAY(B221,2),"Lun","Mar","Mié","Jue","Vie","Sáb","Dom"),"")</f>
        <v/>
      </c>
      <c r="D221" s="73" t="n"/>
      <c r="E221" s="74" t="n"/>
      <c r="F221" s="74" t="n"/>
      <c r="G221" s="74" t="n"/>
      <c r="H221" s="75" t="n"/>
      <c r="I221" s="75" t="n"/>
      <c r="J221" s="76" t="n"/>
      <c r="K221" s="77" t="str">
        <f>IF(AB221=1,ROUND(AG221/60,4),"")</f>
        <v/>
      </c>
      <c r="L221" s="77" t="str">
        <f>IF(BD221=1,ROUND(AP221/60,4),"")</f>
        <v/>
      </c>
      <c r="M221" s="77" t="str">
        <f>IF(BD221=1,ROUND(AQ221/60,4),"")</f>
        <v/>
      </c>
      <c r="N221" s="71" t="str">
        <f>IF(AND(D221="proMX",AB221=1),ROUND(AG221/CFG_BLK,2),"")</f>
        <v/>
      </c>
      <c r="O221" s="77" t="str">
        <f>IF(D221="proMX",IF(BD221=1,ROUND(AG221/60,4),0),"")</f>
        <v/>
      </c>
      <c r="P221" s="78" t="str">
        <f>IF(Y221=0,"",IF(BD221=1,"OK",IF(D221="proMX","Revisar bloques: ","Revisar: ")&amp;BC221))</f>
        <v/>
      </c>
      <c r="Q221" s="78" t="str">
        <f>IF(NOT(ISNUMBER(B221)),"",IF(COUNTIFS(FER_F,INT(B221))&gt;0,"Feriado"&amp;IF(AH221=1," (laborable)"," (no laborable)"),IF(AH221=1,"Laborable",IF(WEEKDAY(B221,2)&gt;5,"Fin de semana","No laborable"))))</f>
        <v/>
      </c>
      <c r="R221" s="73" t="n"/>
      <c r="S221" s="72" t="n"/>
      <c r="T221" s="72" t="n"/>
      <c r="U221" s="74" t="n"/>
      <c r="V221" s="79" t="str">
        <f>IF(AND(D221="proMX",OR(R221="Submitted",R221="Recall Requested"),ISNUMBER(S221)),CFG_TODAY-INT(S221),"")</f>
        <v/>
      </c>
      <c r="W221" s="78" t="str">
        <f>IF(BD221=0,"",IF(BA221&gt;0,"⚠ Se superpone con un registro de la otra empresa",IF(D221="Malcolm",IF(COUNTA(R221,S221,T221)&gt;0,"Estado/fechas proMX se ignoran en Malcolm",""),IF(BF221="Cancelled","Cancelado: excluido de totales",IF(R221="","Sin estado: se trata como Draft",IF(BF221="Submitted",IF(ISNUMBER(V221),IF(V221&gt;CFG_MAXD,"⚠ "&amp;V221&amp;" días en Submitted (máx. "&amp;CFG_MAXD&amp;")",""),"Falta fecha de envío"),IF(BF221="Returned","⚠ Devuelto: corregir y reenviar",IF(BF221="Recall Requested","Retirada solicitada: pendiente",IF(AND(BF221="Approved",NOT(ISNUMBER(T221))),"Falta fecha de aprobación",IF(AND(ISNUMBER(S221),ISNUMBER(T221),T221&lt;S221),"Aprobación anterior al envío","")))))))))</f>
        <v/>
      </c>
      <c r="Y221" s="80">
        <f>IF(COUNTA(B221,D221,E221,F221,G221,H221,I221,J221,R221,S221,T221)&gt;0,1,0)</f>
        <v>0</v>
      </c>
      <c r="Z221" s="80" t="str">
        <f>IF(AND(ISNUMBER(H221),H221&gt;=0,H221&lt;1),ROUND(H221*1440,0),"")</f>
        <v/>
      </c>
      <c r="AA221" s="80" t="str">
        <f>IF(AND(ISNUMBER(I221),I221&gt;=0,I221&lt;1),ROUND(I221*1440,0),"")</f>
        <v/>
      </c>
      <c r="AB221" s="80">
        <f>IF(AND(ISNUMBER(B221),D221&lt;&gt;"",ISNUMBER(Z221),ISNUMBER(AA221)),IF(Z221=AA221,0,1),0)</f>
        <v>0</v>
      </c>
      <c r="AC221" s="80">
        <f>IF(AB221=1,IF(AA221&lt;Z221,1,0),0)</f>
        <v>0</v>
      </c>
      <c r="AD221" s="80">
        <f>IF(AB221=1,IF(AC221=1,1440-Z221+AA221,AA221-Z221),0)</f>
        <v>0</v>
      </c>
      <c r="AE221" s="80">
        <f>IF(J221="",0,IF(ISNUMBER(J221),J221,-1))</f>
        <v>0</v>
      </c>
      <c r="AF221" s="80">
        <f>MIN(MAX(0,AE221),AD221)</f>
        <v>0</v>
      </c>
      <c r="AG221" s="80">
        <f>MAX(0,AD221-MAX(0,AE221))</f>
        <v>0</v>
      </c>
      <c r="AH221" s="80">
        <f>IF(ISNUMBER(B221),IF(AND(INDEX(CFG_WDAYS,WEEKDAY(INT(B221),2))="Sí",IF(D221="proMX",COUNTIFS(FER_F,INT(B221),FER_NLP,"Sí"),COUNTIFS(FER_F,INT(B221),FER_NLM,"Sí"))=0),1,0),0)</f>
        <v>0</v>
      </c>
      <c r="AI221" s="80">
        <f>IF(AC221=1,IF(AND(INDEX(CFG_WDAYS,WEEKDAY(INT(B221)+1,2))="Sí",IF(D221="proMX",COUNTIFS(FER_F,INT(B221)+1,FER_NLP,"Sí"),COUNTIFS(FER_F,INT(B221)+1,FER_NLM,"Sí"))=0),1,0),0)</f>
        <v>0</v>
      </c>
      <c r="AJ221" s="80">
        <f>IF(AC221=1,1440-Z221,AD221)</f>
        <v>0</v>
      </c>
      <c r="AK221" s="80">
        <f>IF(AND(AB221=1,AH221=1),MAX(0,MIN(IF(AC221=1,1440,AA221),CFG_WEM)-MAX(Z221,CFG_WSM)),0)</f>
        <v>0</v>
      </c>
      <c r="AL221" s="80">
        <f>IF(AND(AC221=1,AI221=1),MAX(0,MIN(AA221,CFG_WEM)-CFG_WSM),0)</f>
        <v>0</v>
      </c>
      <c r="AM221" s="80">
        <f>AK221+AL221</f>
        <v>0</v>
      </c>
      <c r="AN221" s="80">
        <f>IF(CFG_BRK="Proporcional",IF(AD221=0,0,AF221*AM221/AD221),IF(CFG_BRK="Extras primero",MIN(AM221,MAX(0,AF221-(AD221-AM221))),MIN(AF221,AM221)))</f>
        <v>0</v>
      </c>
      <c r="AO221" s="80">
        <f>AF221-AN221</f>
        <v>0</v>
      </c>
      <c r="AP221" s="80">
        <f>AM221-AN221</f>
        <v>0</v>
      </c>
      <c r="AQ221" s="80">
        <f>AD221-AM221-AO221</f>
        <v>0</v>
      </c>
      <c r="AR221" s="80">
        <f>IF(AM221=0,0,AK221-AN221*AK221/AM221)</f>
        <v>0</v>
      </c>
      <c r="AS221" s="80">
        <f>IF(AD221-AM221=0,0,(AJ221-AK221)-AO221*(AJ221-AK221)/(AD221-AM221))</f>
        <v>0</v>
      </c>
      <c r="AT221" s="80" t="str">
        <f>IF(AC221=1,INT(B221)+1,"")</f>
        <v/>
      </c>
      <c r="AU221" s="80">
        <f>IF(AND(D221="proMX",R221="Cancelled"),0,1)</f>
        <v>1</v>
      </c>
      <c r="AV221" s="80">
        <f>IF(AND(AB221=1,AU221=1),IF(COUNTIFS($D$5:D220,D221,$B$5:B220,B221,$Z$5:Z220,Z221,$AA$5:AA220,AA221,$F$5:F220,F221&amp;"",$AU$5:AU220,1)&gt;0,1,0),0)</f>
        <v>0</v>
      </c>
      <c r="AW221" s="80" t="str">
        <f>IF(AB221=1,INT(B221)*1440+Z221,"")</f>
        <v/>
      </c>
      <c r="AX221" s="80" t="str">
        <f>IF(AB221=1,AW221+AD221,"")</f>
        <v/>
      </c>
      <c r="AY221" s="80">
        <f>IF(AND(AB221=1,AV221=0,AU221=1),1,0)</f>
        <v>0</v>
      </c>
      <c r="AZ221" s="80">
        <f>IF(AY221=1,COUNTIFS(R_Emp,D221,R_SAbs,"&lt;"&amp;AX221,R_EAbs,"&gt;"&amp;AW221,R_OKey,1)-1,0)</f>
        <v>0</v>
      </c>
      <c r="BA221" s="80">
        <f>IF(AY221=1,COUNTIFS(R_Emp,"&lt;&gt;"&amp;D221,R_SAbs,"&lt;"&amp;AX221,R_EAbs,"&gt;"&amp;AW221,R_OKey,1),0)</f>
        <v>0</v>
      </c>
      <c r="BB221" s="80">
        <f>IF(AND(AB221=1,D221="proMX"),IF(AND(MOD(Z221,CFG_BLK)=0,MOD(AA221,CFG_BLK)=0,MOD(AG221,CFG_BLK)=0,AG221&gt;0),1,0),1)</f>
        <v>1</v>
      </c>
      <c r="BC221" s="80" t="str">
        <f>IF(Y221=0,"",IF(NOT(ISNUMBER(B221)),"Falta fecha o fecha inválida",IF(D221="","Falta empresa",IF(AND(D221&lt;&gt;"Malcolm",D221&lt;&gt;"proMX"),"Empresa inválida",IF(OR(INT(B221)&lt;CFG_PSTART,INT(B221)&gt;CFG_PEND),"Fecha fuera del período",IF(OR(NOT(ISNUMBER(Z221)),NOT(ISNUMBER(AA221))),"Falta hora inicio/fin o formato inválido",IF(AB221=0,"Hora inicio = hora fin",IF(AE221&lt;0,"Descanso inválido",IF(AE221&gt;=AD221,"Descanso ≥ duración",IF(AV221=1,"Registro duplicado",IF(AZ221&gt;0,"Se superpone con otro registro "&amp;D221,IF(BB221=0,"inicio, fin y duración neta deben ser múltiplos de "&amp;CFG_BLK&amp;" min",""))))))))))))</f>
        <v/>
      </c>
      <c r="BD221" s="80">
        <f>IF(AND(Y221=1,BC221=""),1,0)</f>
        <v>0</v>
      </c>
      <c r="BE221" s="80">
        <f>IF(AND(BD221=1,AU221=1),1,0)</f>
        <v>0</v>
      </c>
      <c r="BF221" s="80" t="str">
        <f>IF(AND(D221="proMX",BD221=1),IF(R221="","Draft",R221),"")</f>
        <v/>
      </c>
      <c r="BG221" s="80">
        <f>IF(BD221=1,ROUND(AG221/60,6),0)</f>
        <v>0</v>
      </c>
      <c r="BH221" s="80">
        <f>IF(BE221=1,ROUND(AG221/60,6),0)</f>
        <v>0</v>
      </c>
      <c r="BI221" s="80">
        <f>IF(BE221=1,ROUND(AP221/60,6),0)</f>
        <v>0</v>
      </c>
      <c r="BJ221" s="80">
        <f>IF(BE221=1,ROUND(AQ221/60,6),0)</f>
        <v>0</v>
      </c>
      <c r="BK221" s="80">
        <f>IF(BE221=1,ROUND((AR221+AS221)/60,6),0)</f>
        <v>0</v>
      </c>
      <c r="BL221" s="80">
        <f>ROUND(BH221-BK221,6)</f>
        <v>0</v>
      </c>
      <c r="BM221" s="80">
        <f>IF(BE221=1,ROUND(AR221/60,6),0)</f>
        <v>0</v>
      </c>
      <c r="BN221" s="80">
        <f>ROUND(BI221-BM221,6)</f>
        <v>0</v>
      </c>
      <c r="BO221" s="80">
        <f>IF(BE221=1,ROUND(AS221/60,6),0)</f>
        <v>0</v>
      </c>
      <c r="BP221" s="80">
        <f>ROUND(BJ221-BO221,6)</f>
        <v>0</v>
      </c>
      <c r="BQ221" s="80">
        <f>IF(BE221=1,AW221,0)</f>
        <v>0</v>
      </c>
      <c r="BR221" s="80">
        <f>IF(BE221=1,AX221,0)</f>
        <v>0</v>
      </c>
      <c r="BS221" s="80">
        <f>IF(AND(BE221=1,D221="Malcolm",BA221&gt;0),MIN(BH221,SUMPRODUCT((R_Emp="proMX")*(R_EN&gt;0)*((R_EN-(R_EN&gt;BR221)*(R_EN-BR221))&gt;(R_SN+(R_SN&lt;BQ221)*(BQ221-R_SN)))*((R_EN-(R_EN&gt;BR221)*(R_EN-BR221))-(R_SN+(R_SN&lt;BQ221)*(BQ221-R_SN))))/60),0)</f>
        <v>0</v>
      </c>
      <c r="BT221" s="80">
        <f>IF(AND(BE221=1,D221="proMX"),ROUND(BI221*CFG_RATE+BJ221*CFG_OTRATE,6),0)</f>
        <v>0</v>
      </c>
      <c r="BU221" s="80">
        <f>IF(AND(BD221=1,D221="proMX"),ROUND(AG221/CFG_BLK,6),0)</f>
        <v>0</v>
      </c>
      <c r="BV221" s="80" t="str">
        <f>IF(BF221="Approved",IF(ISNUMBER(T221),INT(T221),INT(B221)),"")</f>
        <v/>
      </c>
      <c r="BW221" s="80">
        <f>IF(ISNUMBER(B221),IF(DB_MON="Todos",1,IF(AND(INT(B221)&gt;=DB_MS,INT(B221)&lt;=DB_ME),1,0)),0)</f>
        <v>0</v>
      </c>
      <c r="BX221" s="80">
        <f>IF(DB_PROJ="Todos",1,IF(E221&amp;""=DB_PROJ&amp;"",1,0))</f>
        <v>1</v>
      </c>
      <c r="BY221" s="80">
        <f>BW221*BX221</f>
        <v>0</v>
      </c>
      <c r="BZ221" s="80" t="str">
        <f>IF(Y221=1,F221&amp;IF(AND(F221&amp;""&lt;&gt;"",E221&amp;""&lt;&gt;"")," · ","")&amp;E221,"")</f>
        <v/>
      </c>
      <c r="CA221" s="80" t="str">
        <f>IF(AND(BD221=1,E221&amp;""&lt;&gt;""),IF(COUNTIFS($E$5:E220,E221,$BD$5:BD220,1)=0,MAX($CA$5:CA220)+1,""),"")</f>
        <v/>
      </c>
      <c r="CB221" s="80" t="str">
        <f>IF(AND(BE221=1,D221="Malcolm",E221&amp;""&lt;&gt;""),IF(COUNTIFS($D$5:D220,"Malcolm",$E$5:E220,E221,$BE$5:BE220,1)=0,MAX($CB$5:CB220)+1,""),"")</f>
        <v/>
      </c>
      <c r="CC221" s="80" t="str">
        <f>IF(AND(BD221=1,D221="proMX",E221&amp;""&lt;&gt;""),IF(COUNTIFS($D$5:D220,"proMX",$E$5:E220,E221,$BD$5:BD220,1)=0,MAX($CC$5:CC220)+1,""),"")</f>
        <v/>
      </c>
      <c r="CD221" s="80" t="str">
        <f>IF(AND(BE221=1,D221="Malcolm",F221&amp;""&lt;&gt;""),IF(COUNTIFS($D$5:D220,"Malcolm",$F$5:F220,F221,$BE$5:BE220,1)=0,MAX($CD$5:CD220)+1,""),"")</f>
        <v/>
      </c>
      <c r="CE221" s="80" t="str">
        <f>IF(AND(BD221=1,D221="proMX",F221&amp;""&lt;&gt;""),IF(COUNTIFS($D$5:D220,"proMX",$F$5:F220,F221,$BD$5:BD220,1)=0,MAX($CE$5:CE220)+1,""),"")</f>
        <v/>
      </c>
      <c r="CF221" s="80" t="str">
        <f>IF(AND(D221="proMX",BD221=1),IF(OR(BF221="Draft",BF221="Submitted",BF221="Returned",BF221="Recall Requested"),MAX($CF$5:CF220)+1,""),"")</f>
        <v/>
      </c>
      <c r="CG221" s="80">
        <f>IF(BD221=0,0,IF(D221="Malcolm",1,MATCH(BF221,{"Draft","Submitted","Approved","Returned","Recall Requested","Cancelled"},0)+1))</f>
        <v>0</v>
      </c>
      <c r="CH221" s="80">
        <f>IF(AND(BF221="Submitted",ISNUMBER(V221)),IF(V221&gt;CFG_MAXD,1,0),0)</f>
        <v>0</v>
      </c>
    </row>
    <row r="222">
      <c r="A222" s="71" t="str">
        <f>IF(Y222=1,ROW()-5,"")</f>
        <v/>
      </c>
      <c r="B222" s="72" t="n"/>
      <c r="C222" s="71" t="str">
        <f>IF(ISNUMBER(B222),CHOOSE(WEEKDAY(B222,2),"Lun","Mar","Mié","Jue","Vie","Sáb","Dom"),"")</f>
        <v/>
      </c>
      <c r="D222" s="73" t="n"/>
      <c r="E222" s="74" t="n"/>
      <c r="F222" s="74" t="n"/>
      <c r="G222" s="74" t="n"/>
      <c r="H222" s="75" t="n"/>
      <c r="I222" s="75" t="n"/>
      <c r="J222" s="76" t="n"/>
      <c r="K222" s="77" t="str">
        <f>IF(AB222=1,ROUND(AG222/60,4),"")</f>
        <v/>
      </c>
      <c r="L222" s="77" t="str">
        <f>IF(BD222=1,ROUND(AP222/60,4),"")</f>
        <v/>
      </c>
      <c r="M222" s="77" t="str">
        <f>IF(BD222=1,ROUND(AQ222/60,4),"")</f>
        <v/>
      </c>
      <c r="N222" s="71" t="str">
        <f>IF(AND(D222="proMX",AB222=1),ROUND(AG222/CFG_BLK,2),"")</f>
        <v/>
      </c>
      <c r="O222" s="77" t="str">
        <f>IF(D222="proMX",IF(BD222=1,ROUND(AG222/60,4),0),"")</f>
        <v/>
      </c>
      <c r="P222" s="78" t="str">
        <f>IF(Y222=0,"",IF(BD222=1,"OK",IF(D222="proMX","Revisar bloques: ","Revisar: ")&amp;BC222))</f>
        <v/>
      </c>
      <c r="Q222" s="78" t="str">
        <f>IF(NOT(ISNUMBER(B222)),"",IF(COUNTIFS(FER_F,INT(B222))&gt;0,"Feriado"&amp;IF(AH222=1," (laborable)"," (no laborable)"),IF(AH222=1,"Laborable",IF(WEEKDAY(B222,2)&gt;5,"Fin de semana","No laborable"))))</f>
        <v/>
      </c>
      <c r="R222" s="73" t="n"/>
      <c r="S222" s="72" t="n"/>
      <c r="T222" s="72" t="n"/>
      <c r="U222" s="74" t="n"/>
      <c r="V222" s="79" t="str">
        <f>IF(AND(D222="proMX",OR(R222="Submitted",R222="Recall Requested"),ISNUMBER(S222)),CFG_TODAY-INT(S222),"")</f>
        <v/>
      </c>
      <c r="W222" s="78" t="str">
        <f>IF(BD222=0,"",IF(BA222&gt;0,"⚠ Se superpone con un registro de la otra empresa",IF(D222="Malcolm",IF(COUNTA(R222,S222,T222)&gt;0,"Estado/fechas proMX se ignoran en Malcolm",""),IF(BF222="Cancelled","Cancelado: excluido de totales",IF(R222="","Sin estado: se trata como Draft",IF(BF222="Submitted",IF(ISNUMBER(V222),IF(V222&gt;CFG_MAXD,"⚠ "&amp;V222&amp;" días en Submitted (máx. "&amp;CFG_MAXD&amp;")",""),"Falta fecha de envío"),IF(BF222="Returned","⚠ Devuelto: corregir y reenviar",IF(BF222="Recall Requested","Retirada solicitada: pendiente",IF(AND(BF222="Approved",NOT(ISNUMBER(T222))),"Falta fecha de aprobación",IF(AND(ISNUMBER(S222),ISNUMBER(T222),T222&lt;S222),"Aprobación anterior al envío","")))))))))</f>
        <v/>
      </c>
      <c r="Y222" s="80">
        <f>IF(COUNTA(B222,D222,E222,F222,G222,H222,I222,J222,R222,S222,T222)&gt;0,1,0)</f>
        <v>0</v>
      </c>
      <c r="Z222" s="80" t="str">
        <f>IF(AND(ISNUMBER(H222),H222&gt;=0,H222&lt;1),ROUND(H222*1440,0),"")</f>
        <v/>
      </c>
      <c r="AA222" s="80" t="str">
        <f>IF(AND(ISNUMBER(I222),I222&gt;=0,I222&lt;1),ROUND(I222*1440,0),"")</f>
        <v/>
      </c>
      <c r="AB222" s="80">
        <f>IF(AND(ISNUMBER(B222),D222&lt;&gt;"",ISNUMBER(Z222),ISNUMBER(AA222)),IF(Z222=AA222,0,1),0)</f>
        <v>0</v>
      </c>
      <c r="AC222" s="80">
        <f>IF(AB222=1,IF(AA222&lt;Z222,1,0),0)</f>
        <v>0</v>
      </c>
      <c r="AD222" s="80">
        <f>IF(AB222=1,IF(AC222=1,1440-Z222+AA222,AA222-Z222),0)</f>
        <v>0</v>
      </c>
      <c r="AE222" s="80">
        <f>IF(J222="",0,IF(ISNUMBER(J222),J222,-1))</f>
        <v>0</v>
      </c>
      <c r="AF222" s="80">
        <f>MIN(MAX(0,AE222),AD222)</f>
        <v>0</v>
      </c>
      <c r="AG222" s="80">
        <f>MAX(0,AD222-MAX(0,AE222))</f>
        <v>0</v>
      </c>
      <c r="AH222" s="80">
        <f>IF(ISNUMBER(B222),IF(AND(INDEX(CFG_WDAYS,WEEKDAY(INT(B222),2))="Sí",IF(D222="proMX",COUNTIFS(FER_F,INT(B222),FER_NLP,"Sí"),COUNTIFS(FER_F,INT(B222),FER_NLM,"Sí"))=0),1,0),0)</f>
        <v>0</v>
      </c>
      <c r="AI222" s="80">
        <f>IF(AC222=1,IF(AND(INDEX(CFG_WDAYS,WEEKDAY(INT(B222)+1,2))="Sí",IF(D222="proMX",COUNTIFS(FER_F,INT(B222)+1,FER_NLP,"Sí"),COUNTIFS(FER_F,INT(B222)+1,FER_NLM,"Sí"))=0),1,0),0)</f>
        <v>0</v>
      </c>
      <c r="AJ222" s="80">
        <f>IF(AC222=1,1440-Z222,AD222)</f>
        <v>0</v>
      </c>
      <c r="AK222" s="80">
        <f>IF(AND(AB222=1,AH222=1),MAX(0,MIN(IF(AC222=1,1440,AA222),CFG_WEM)-MAX(Z222,CFG_WSM)),0)</f>
        <v>0</v>
      </c>
      <c r="AL222" s="80">
        <f>IF(AND(AC222=1,AI222=1),MAX(0,MIN(AA222,CFG_WEM)-CFG_WSM),0)</f>
        <v>0</v>
      </c>
      <c r="AM222" s="80">
        <f>AK222+AL222</f>
        <v>0</v>
      </c>
      <c r="AN222" s="80">
        <f>IF(CFG_BRK="Proporcional",IF(AD222=0,0,AF222*AM222/AD222),IF(CFG_BRK="Extras primero",MIN(AM222,MAX(0,AF222-(AD222-AM222))),MIN(AF222,AM222)))</f>
        <v>0</v>
      </c>
      <c r="AO222" s="80">
        <f>AF222-AN222</f>
        <v>0</v>
      </c>
      <c r="AP222" s="80">
        <f>AM222-AN222</f>
        <v>0</v>
      </c>
      <c r="AQ222" s="80">
        <f>AD222-AM222-AO222</f>
        <v>0</v>
      </c>
      <c r="AR222" s="80">
        <f>IF(AM222=0,0,AK222-AN222*AK222/AM222)</f>
        <v>0</v>
      </c>
      <c r="AS222" s="80">
        <f>IF(AD222-AM222=0,0,(AJ222-AK222)-AO222*(AJ222-AK222)/(AD222-AM222))</f>
        <v>0</v>
      </c>
      <c r="AT222" s="80" t="str">
        <f>IF(AC222=1,INT(B222)+1,"")</f>
        <v/>
      </c>
      <c r="AU222" s="80">
        <f>IF(AND(D222="proMX",R222="Cancelled"),0,1)</f>
        <v>1</v>
      </c>
      <c r="AV222" s="80">
        <f>IF(AND(AB222=1,AU222=1),IF(COUNTIFS($D$5:D221,D222,$B$5:B221,B222,$Z$5:Z221,Z222,$AA$5:AA221,AA222,$F$5:F221,F222&amp;"",$AU$5:AU221,1)&gt;0,1,0),0)</f>
        <v>0</v>
      </c>
      <c r="AW222" s="80" t="str">
        <f>IF(AB222=1,INT(B222)*1440+Z222,"")</f>
        <v/>
      </c>
      <c r="AX222" s="80" t="str">
        <f>IF(AB222=1,AW222+AD222,"")</f>
        <v/>
      </c>
      <c r="AY222" s="80">
        <f>IF(AND(AB222=1,AV222=0,AU222=1),1,0)</f>
        <v>0</v>
      </c>
      <c r="AZ222" s="80">
        <f>IF(AY222=1,COUNTIFS(R_Emp,D222,R_SAbs,"&lt;"&amp;AX222,R_EAbs,"&gt;"&amp;AW222,R_OKey,1)-1,0)</f>
        <v>0</v>
      </c>
      <c r="BA222" s="80">
        <f>IF(AY222=1,COUNTIFS(R_Emp,"&lt;&gt;"&amp;D222,R_SAbs,"&lt;"&amp;AX222,R_EAbs,"&gt;"&amp;AW222,R_OKey,1),0)</f>
        <v>0</v>
      </c>
      <c r="BB222" s="80">
        <f>IF(AND(AB222=1,D222="proMX"),IF(AND(MOD(Z222,CFG_BLK)=0,MOD(AA222,CFG_BLK)=0,MOD(AG222,CFG_BLK)=0,AG222&gt;0),1,0),1)</f>
        <v>1</v>
      </c>
      <c r="BC222" s="80" t="str">
        <f>IF(Y222=0,"",IF(NOT(ISNUMBER(B222)),"Falta fecha o fecha inválida",IF(D222="","Falta empresa",IF(AND(D222&lt;&gt;"Malcolm",D222&lt;&gt;"proMX"),"Empresa inválida",IF(OR(INT(B222)&lt;CFG_PSTART,INT(B222)&gt;CFG_PEND),"Fecha fuera del período",IF(OR(NOT(ISNUMBER(Z222)),NOT(ISNUMBER(AA222))),"Falta hora inicio/fin o formato inválido",IF(AB222=0,"Hora inicio = hora fin",IF(AE222&lt;0,"Descanso inválido",IF(AE222&gt;=AD222,"Descanso ≥ duración",IF(AV222=1,"Registro duplicado",IF(AZ222&gt;0,"Se superpone con otro registro "&amp;D222,IF(BB222=0,"inicio, fin y duración neta deben ser múltiplos de "&amp;CFG_BLK&amp;" min",""))))))))))))</f>
        <v/>
      </c>
      <c r="BD222" s="80">
        <f>IF(AND(Y222=1,BC222=""),1,0)</f>
        <v>0</v>
      </c>
      <c r="BE222" s="80">
        <f>IF(AND(BD222=1,AU222=1),1,0)</f>
        <v>0</v>
      </c>
      <c r="BF222" s="80" t="str">
        <f>IF(AND(D222="proMX",BD222=1),IF(R222="","Draft",R222),"")</f>
        <v/>
      </c>
      <c r="BG222" s="80">
        <f>IF(BD222=1,ROUND(AG222/60,6),0)</f>
        <v>0</v>
      </c>
      <c r="BH222" s="80">
        <f>IF(BE222=1,ROUND(AG222/60,6),0)</f>
        <v>0</v>
      </c>
      <c r="BI222" s="80">
        <f>IF(BE222=1,ROUND(AP222/60,6),0)</f>
        <v>0</v>
      </c>
      <c r="BJ222" s="80">
        <f>IF(BE222=1,ROUND(AQ222/60,6),0)</f>
        <v>0</v>
      </c>
      <c r="BK222" s="80">
        <f>IF(BE222=1,ROUND((AR222+AS222)/60,6),0)</f>
        <v>0</v>
      </c>
      <c r="BL222" s="80">
        <f>ROUND(BH222-BK222,6)</f>
        <v>0</v>
      </c>
      <c r="BM222" s="80">
        <f>IF(BE222=1,ROUND(AR222/60,6),0)</f>
        <v>0</v>
      </c>
      <c r="BN222" s="80">
        <f>ROUND(BI222-BM222,6)</f>
        <v>0</v>
      </c>
      <c r="BO222" s="80">
        <f>IF(BE222=1,ROUND(AS222/60,6),0)</f>
        <v>0</v>
      </c>
      <c r="BP222" s="80">
        <f>ROUND(BJ222-BO222,6)</f>
        <v>0</v>
      </c>
      <c r="BQ222" s="80">
        <f>IF(BE222=1,AW222,0)</f>
        <v>0</v>
      </c>
      <c r="BR222" s="80">
        <f>IF(BE222=1,AX222,0)</f>
        <v>0</v>
      </c>
      <c r="BS222" s="80">
        <f>IF(AND(BE222=1,D222="Malcolm",BA222&gt;0),MIN(BH222,SUMPRODUCT((R_Emp="proMX")*(R_EN&gt;0)*((R_EN-(R_EN&gt;BR222)*(R_EN-BR222))&gt;(R_SN+(R_SN&lt;BQ222)*(BQ222-R_SN)))*((R_EN-(R_EN&gt;BR222)*(R_EN-BR222))-(R_SN+(R_SN&lt;BQ222)*(BQ222-R_SN))))/60),0)</f>
        <v>0</v>
      </c>
      <c r="BT222" s="80">
        <f>IF(AND(BE222=1,D222="proMX"),ROUND(BI222*CFG_RATE+BJ222*CFG_OTRATE,6),0)</f>
        <v>0</v>
      </c>
      <c r="BU222" s="80">
        <f>IF(AND(BD222=1,D222="proMX"),ROUND(AG222/CFG_BLK,6),0)</f>
        <v>0</v>
      </c>
      <c r="BV222" s="80" t="str">
        <f>IF(BF222="Approved",IF(ISNUMBER(T222),INT(T222),INT(B222)),"")</f>
        <v/>
      </c>
      <c r="BW222" s="80">
        <f>IF(ISNUMBER(B222),IF(DB_MON="Todos",1,IF(AND(INT(B222)&gt;=DB_MS,INT(B222)&lt;=DB_ME),1,0)),0)</f>
        <v>0</v>
      </c>
      <c r="BX222" s="80">
        <f>IF(DB_PROJ="Todos",1,IF(E222&amp;""=DB_PROJ&amp;"",1,0))</f>
        <v>1</v>
      </c>
      <c r="BY222" s="80">
        <f>BW222*BX222</f>
        <v>0</v>
      </c>
      <c r="BZ222" s="80" t="str">
        <f>IF(Y222=1,F222&amp;IF(AND(F222&amp;""&lt;&gt;"",E222&amp;""&lt;&gt;"")," · ","")&amp;E222,"")</f>
        <v/>
      </c>
      <c r="CA222" s="80" t="str">
        <f>IF(AND(BD222=1,E222&amp;""&lt;&gt;""),IF(COUNTIFS($E$5:E221,E222,$BD$5:BD221,1)=0,MAX($CA$5:CA221)+1,""),"")</f>
        <v/>
      </c>
      <c r="CB222" s="80" t="str">
        <f>IF(AND(BE222=1,D222="Malcolm",E222&amp;""&lt;&gt;""),IF(COUNTIFS($D$5:D221,"Malcolm",$E$5:E221,E222,$BE$5:BE221,1)=0,MAX($CB$5:CB221)+1,""),"")</f>
        <v/>
      </c>
      <c r="CC222" s="80" t="str">
        <f>IF(AND(BD222=1,D222="proMX",E222&amp;""&lt;&gt;""),IF(COUNTIFS($D$5:D221,"proMX",$E$5:E221,E222,$BD$5:BD221,1)=0,MAX($CC$5:CC221)+1,""),"")</f>
        <v/>
      </c>
      <c r="CD222" s="80" t="str">
        <f>IF(AND(BE222=1,D222="Malcolm",F222&amp;""&lt;&gt;""),IF(COUNTIFS($D$5:D221,"Malcolm",$F$5:F221,F222,$BE$5:BE221,1)=0,MAX($CD$5:CD221)+1,""),"")</f>
        <v/>
      </c>
      <c r="CE222" s="80" t="str">
        <f>IF(AND(BD222=1,D222="proMX",F222&amp;""&lt;&gt;""),IF(COUNTIFS($D$5:D221,"proMX",$F$5:F221,F222,$BD$5:BD221,1)=0,MAX($CE$5:CE221)+1,""),"")</f>
        <v/>
      </c>
      <c r="CF222" s="80" t="str">
        <f>IF(AND(D222="proMX",BD222=1),IF(OR(BF222="Draft",BF222="Submitted",BF222="Returned",BF222="Recall Requested"),MAX($CF$5:CF221)+1,""),"")</f>
        <v/>
      </c>
      <c r="CG222" s="80">
        <f>IF(BD222=0,0,IF(D222="Malcolm",1,MATCH(BF222,{"Draft","Submitted","Approved","Returned","Recall Requested","Cancelled"},0)+1))</f>
        <v>0</v>
      </c>
      <c r="CH222" s="80">
        <f>IF(AND(BF222="Submitted",ISNUMBER(V222)),IF(V222&gt;CFG_MAXD,1,0),0)</f>
        <v>0</v>
      </c>
    </row>
    <row r="223">
      <c r="A223" s="71" t="str">
        <f>IF(Y223=1,ROW()-5,"")</f>
        <v/>
      </c>
      <c r="B223" s="72" t="n"/>
      <c r="C223" s="71" t="str">
        <f>IF(ISNUMBER(B223),CHOOSE(WEEKDAY(B223,2),"Lun","Mar","Mié","Jue","Vie","Sáb","Dom"),"")</f>
        <v/>
      </c>
      <c r="D223" s="73" t="n"/>
      <c r="E223" s="74" t="n"/>
      <c r="F223" s="74" t="n"/>
      <c r="G223" s="74" t="n"/>
      <c r="H223" s="75" t="n"/>
      <c r="I223" s="75" t="n"/>
      <c r="J223" s="76" t="n"/>
      <c r="K223" s="77" t="str">
        <f>IF(AB223=1,ROUND(AG223/60,4),"")</f>
        <v/>
      </c>
      <c r="L223" s="77" t="str">
        <f>IF(BD223=1,ROUND(AP223/60,4),"")</f>
        <v/>
      </c>
      <c r="M223" s="77" t="str">
        <f>IF(BD223=1,ROUND(AQ223/60,4),"")</f>
        <v/>
      </c>
      <c r="N223" s="71" t="str">
        <f>IF(AND(D223="proMX",AB223=1),ROUND(AG223/CFG_BLK,2),"")</f>
        <v/>
      </c>
      <c r="O223" s="77" t="str">
        <f>IF(D223="proMX",IF(BD223=1,ROUND(AG223/60,4),0),"")</f>
        <v/>
      </c>
      <c r="P223" s="78" t="str">
        <f>IF(Y223=0,"",IF(BD223=1,"OK",IF(D223="proMX","Revisar bloques: ","Revisar: ")&amp;BC223))</f>
        <v/>
      </c>
      <c r="Q223" s="78" t="str">
        <f>IF(NOT(ISNUMBER(B223)),"",IF(COUNTIFS(FER_F,INT(B223))&gt;0,"Feriado"&amp;IF(AH223=1," (laborable)"," (no laborable)"),IF(AH223=1,"Laborable",IF(WEEKDAY(B223,2)&gt;5,"Fin de semana","No laborable"))))</f>
        <v/>
      </c>
      <c r="R223" s="73" t="n"/>
      <c r="S223" s="72" t="n"/>
      <c r="T223" s="72" t="n"/>
      <c r="U223" s="74" t="n"/>
      <c r="V223" s="79" t="str">
        <f>IF(AND(D223="proMX",OR(R223="Submitted",R223="Recall Requested"),ISNUMBER(S223)),CFG_TODAY-INT(S223),"")</f>
        <v/>
      </c>
      <c r="W223" s="78" t="str">
        <f>IF(BD223=0,"",IF(BA223&gt;0,"⚠ Se superpone con un registro de la otra empresa",IF(D223="Malcolm",IF(COUNTA(R223,S223,T223)&gt;0,"Estado/fechas proMX se ignoran en Malcolm",""),IF(BF223="Cancelled","Cancelado: excluido de totales",IF(R223="","Sin estado: se trata como Draft",IF(BF223="Submitted",IF(ISNUMBER(V223),IF(V223&gt;CFG_MAXD,"⚠ "&amp;V223&amp;" días en Submitted (máx. "&amp;CFG_MAXD&amp;")",""),"Falta fecha de envío"),IF(BF223="Returned","⚠ Devuelto: corregir y reenviar",IF(BF223="Recall Requested","Retirada solicitada: pendiente",IF(AND(BF223="Approved",NOT(ISNUMBER(T223))),"Falta fecha de aprobación",IF(AND(ISNUMBER(S223),ISNUMBER(T223),T223&lt;S223),"Aprobación anterior al envío","")))))))))</f>
        <v/>
      </c>
      <c r="Y223" s="80">
        <f>IF(COUNTA(B223,D223,E223,F223,G223,H223,I223,J223,R223,S223,T223)&gt;0,1,0)</f>
        <v>0</v>
      </c>
      <c r="Z223" s="80" t="str">
        <f>IF(AND(ISNUMBER(H223),H223&gt;=0,H223&lt;1),ROUND(H223*1440,0),"")</f>
        <v/>
      </c>
      <c r="AA223" s="80" t="str">
        <f>IF(AND(ISNUMBER(I223),I223&gt;=0,I223&lt;1),ROUND(I223*1440,0),"")</f>
        <v/>
      </c>
      <c r="AB223" s="80">
        <f>IF(AND(ISNUMBER(B223),D223&lt;&gt;"",ISNUMBER(Z223),ISNUMBER(AA223)),IF(Z223=AA223,0,1),0)</f>
        <v>0</v>
      </c>
      <c r="AC223" s="80">
        <f>IF(AB223=1,IF(AA223&lt;Z223,1,0),0)</f>
        <v>0</v>
      </c>
      <c r="AD223" s="80">
        <f>IF(AB223=1,IF(AC223=1,1440-Z223+AA223,AA223-Z223),0)</f>
        <v>0</v>
      </c>
      <c r="AE223" s="80">
        <f>IF(J223="",0,IF(ISNUMBER(J223),J223,-1))</f>
        <v>0</v>
      </c>
      <c r="AF223" s="80">
        <f>MIN(MAX(0,AE223),AD223)</f>
        <v>0</v>
      </c>
      <c r="AG223" s="80">
        <f>MAX(0,AD223-MAX(0,AE223))</f>
        <v>0</v>
      </c>
      <c r="AH223" s="80">
        <f>IF(ISNUMBER(B223),IF(AND(INDEX(CFG_WDAYS,WEEKDAY(INT(B223),2))="Sí",IF(D223="proMX",COUNTIFS(FER_F,INT(B223),FER_NLP,"Sí"),COUNTIFS(FER_F,INT(B223),FER_NLM,"Sí"))=0),1,0),0)</f>
        <v>0</v>
      </c>
      <c r="AI223" s="80">
        <f>IF(AC223=1,IF(AND(INDEX(CFG_WDAYS,WEEKDAY(INT(B223)+1,2))="Sí",IF(D223="proMX",COUNTIFS(FER_F,INT(B223)+1,FER_NLP,"Sí"),COUNTIFS(FER_F,INT(B223)+1,FER_NLM,"Sí"))=0),1,0),0)</f>
        <v>0</v>
      </c>
      <c r="AJ223" s="80">
        <f>IF(AC223=1,1440-Z223,AD223)</f>
        <v>0</v>
      </c>
      <c r="AK223" s="80">
        <f>IF(AND(AB223=1,AH223=1),MAX(0,MIN(IF(AC223=1,1440,AA223),CFG_WEM)-MAX(Z223,CFG_WSM)),0)</f>
        <v>0</v>
      </c>
      <c r="AL223" s="80">
        <f>IF(AND(AC223=1,AI223=1),MAX(0,MIN(AA223,CFG_WEM)-CFG_WSM),0)</f>
        <v>0</v>
      </c>
      <c r="AM223" s="80">
        <f>AK223+AL223</f>
        <v>0</v>
      </c>
      <c r="AN223" s="80">
        <f>IF(CFG_BRK="Proporcional",IF(AD223=0,0,AF223*AM223/AD223),IF(CFG_BRK="Extras primero",MIN(AM223,MAX(0,AF223-(AD223-AM223))),MIN(AF223,AM223)))</f>
        <v>0</v>
      </c>
      <c r="AO223" s="80">
        <f>AF223-AN223</f>
        <v>0</v>
      </c>
      <c r="AP223" s="80">
        <f>AM223-AN223</f>
        <v>0</v>
      </c>
      <c r="AQ223" s="80">
        <f>AD223-AM223-AO223</f>
        <v>0</v>
      </c>
      <c r="AR223" s="80">
        <f>IF(AM223=0,0,AK223-AN223*AK223/AM223)</f>
        <v>0</v>
      </c>
      <c r="AS223" s="80">
        <f>IF(AD223-AM223=0,0,(AJ223-AK223)-AO223*(AJ223-AK223)/(AD223-AM223))</f>
        <v>0</v>
      </c>
      <c r="AT223" s="80" t="str">
        <f>IF(AC223=1,INT(B223)+1,"")</f>
        <v/>
      </c>
      <c r="AU223" s="80">
        <f>IF(AND(D223="proMX",R223="Cancelled"),0,1)</f>
        <v>1</v>
      </c>
      <c r="AV223" s="80">
        <f>IF(AND(AB223=1,AU223=1),IF(COUNTIFS($D$5:D222,D223,$B$5:B222,B223,$Z$5:Z222,Z223,$AA$5:AA222,AA223,$F$5:F222,F223&amp;"",$AU$5:AU222,1)&gt;0,1,0),0)</f>
        <v>0</v>
      </c>
      <c r="AW223" s="80" t="str">
        <f>IF(AB223=1,INT(B223)*1440+Z223,"")</f>
        <v/>
      </c>
      <c r="AX223" s="80" t="str">
        <f>IF(AB223=1,AW223+AD223,"")</f>
        <v/>
      </c>
      <c r="AY223" s="80">
        <f>IF(AND(AB223=1,AV223=0,AU223=1),1,0)</f>
        <v>0</v>
      </c>
      <c r="AZ223" s="80">
        <f>IF(AY223=1,COUNTIFS(R_Emp,D223,R_SAbs,"&lt;"&amp;AX223,R_EAbs,"&gt;"&amp;AW223,R_OKey,1)-1,0)</f>
        <v>0</v>
      </c>
      <c r="BA223" s="80">
        <f>IF(AY223=1,COUNTIFS(R_Emp,"&lt;&gt;"&amp;D223,R_SAbs,"&lt;"&amp;AX223,R_EAbs,"&gt;"&amp;AW223,R_OKey,1),0)</f>
        <v>0</v>
      </c>
      <c r="BB223" s="80">
        <f>IF(AND(AB223=1,D223="proMX"),IF(AND(MOD(Z223,CFG_BLK)=0,MOD(AA223,CFG_BLK)=0,MOD(AG223,CFG_BLK)=0,AG223&gt;0),1,0),1)</f>
        <v>1</v>
      </c>
      <c r="BC223" s="80" t="str">
        <f>IF(Y223=0,"",IF(NOT(ISNUMBER(B223)),"Falta fecha o fecha inválida",IF(D223="","Falta empresa",IF(AND(D223&lt;&gt;"Malcolm",D223&lt;&gt;"proMX"),"Empresa inválida",IF(OR(INT(B223)&lt;CFG_PSTART,INT(B223)&gt;CFG_PEND),"Fecha fuera del período",IF(OR(NOT(ISNUMBER(Z223)),NOT(ISNUMBER(AA223))),"Falta hora inicio/fin o formato inválido",IF(AB223=0,"Hora inicio = hora fin",IF(AE223&lt;0,"Descanso inválido",IF(AE223&gt;=AD223,"Descanso ≥ duración",IF(AV223=1,"Registro duplicado",IF(AZ223&gt;0,"Se superpone con otro registro "&amp;D223,IF(BB223=0,"inicio, fin y duración neta deben ser múltiplos de "&amp;CFG_BLK&amp;" min",""))))))))))))</f>
        <v/>
      </c>
      <c r="BD223" s="80">
        <f>IF(AND(Y223=1,BC223=""),1,0)</f>
        <v>0</v>
      </c>
      <c r="BE223" s="80">
        <f>IF(AND(BD223=1,AU223=1),1,0)</f>
        <v>0</v>
      </c>
      <c r="BF223" s="80" t="str">
        <f>IF(AND(D223="proMX",BD223=1),IF(R223="","Draft",R223),"")</f>
        <v/>
      </c>
      <c r="BG223" s="80">
        <f>IF(BD223=1,ROUND(AG223/60,6),0)</f>
        <v>0</v>
      </c>
      <c r="BH223" s="80">
        <f>IF(BE223=1,ROUND(AG223/60,6),0)</f>
        <v>0</v>
      </c>
      <c r="BI223" s="80">
        <f>IF(BE223=1,ROUND(AP223/60,6),0)</f>
        <v>0</v>
      </c>
      <c r="BJ223" s="80">
        <f>IF(BE223=1,ROUND(AQ223/60,6),0)</f>
        <v>0</v>
      </c>
      <c r="BK223" s="80">
        <f>IF(BE223=1,ROUND((AR223+AS223)/60,6),0)</f>
        <v>0</v>
      </c>
      <c r="BL223" s="80">
        <f>ROUND(BH223-BK223,6)</f>
        <v>0</v>
      </c>
      <c r="BM223" s="80">
        <f>IF(BE223=1,ROUND(AR223/60,6),0)</f>
        <v>0</v>
      </c>
      <c r="BN223" s="80">
        <f>ROUND(BI223-BM223,6)</f>
        <v>0</v>
      </c>
      <c r="BO223" s="80">
        <f>IF(BE223=1,ROUND(AS223/60,6),0)</f>
        <v>0</v>
      </c>
      <c r="BP223" s="80">
        <f>ROUND(BJ223-BO223,6)</f>
        <v>0</v>
      </c>
      <c r="BQ223" s="80">
        <f>IF(BE223=1,AW223,0)</f>
        <v>0</v>
      </c>
      <c r="BR223" s="80">
        <f>IF(BE223=1,AX223,0)</f>
        <v>0</v>
      </c>
      <c r="BS223" s="80">
        <f>IF(AND(BE223=1,D223="Malcolm",BA223&gt;0),MIN(BH223,SUMPRODUCT((R_Emp="proMX")*(R_EN&gt;0)*((R_EN-(R_EN&gt;BR223)*(R_EN-BR223))&gt;(R_SN+(R_SN&lt;BQ223)*(BQ223-R_SN)))*((R_EN-(R_EN&gt;BR223)*(R_EN-BR223))-(R_SN+(R_SN&lt;BQ223)*(BQ223-R_SN))))/60),0)</f>
        <v>0</v>
      </c>
      <c r="BT223" s="80">
        <f>IF(AND(BE223=1,D223="proMX"),ROUND(BI223*CFG_RATE+BJ223*CFG_OTRATE,6),0)</f>
        <v>0</v>
      </c>
      <c r="BU223" s="80">
        <f>IF(AND(BD223=1,D223="proMX"),ROUND(AG223/CFG_BLK,6),0)</f>
        <v>0</v>
      </c>
      <c r="BV223" s="80" t="str">
        <f>IF(BF223="Approved",IF(ISNUMBER(T223),INT(T223),INT(B223)),"")</f>
        <v/>
      </c>
      <c r="BW223" s="80">
        <f>IF(ISNUMBER(B223),IF(DB_MON="Todos",1,IF(AND(INT(B223)&gt;=DB_MS,INT(B223)&lt;=DB_ME),1,0)),0)</f>
        <v>0</v>
      </c>
      <c r="BX223" s="80">
        <f>IF(DB_PROJ="Todos",1,IF(E223&amp;""=DB_PROJ&amp;"",1,0))</f>
        <v>1</v>
      </c>
      <c r="BY223" s="80">
        <f>BW223*BX223</f>
        <v>0</v>
      </c>
      <c r="BZ223" s="80" t="str">
        <f>IF(Y223=1,F223&amp;IF(AND(F223&amp;""&lt;&gt;"",E223&amp;""&lt;&gt;"")," · ","")&amp;E223,"")</f>
        <v/>
      </c>
      <c r="CA223" s="80" t="str">
        <f>IF(AND(BD223=1,E223&amp;""&lt;&gt;""),IF(COUNTIFS($E$5:E222,E223,$BD$5:BD222,1)=0,MAX($CA$5:CA222)+1,""),"")</f>
        <v/>
      </c>
      <c r="CB223" s="80" t="str">
        <f>IF(AND(BE223=1,D223="Malcolm",E223&amp;""&lt;&gt;""),IF(COUNTIFS($D$5:D222,"Malcolm",$E$5:E222,E223,$BE$5:BE222,1)=0,MAX($CB$5:CB222)+1,""),"")</f>
        <v/>
      </c>
      <c r="CC223" s="80" t="str">
        <f>IF(AND(BD223=1,D223="proMX",E223&amp;""&lt;&gt;""),IF(COUNTIFS($D$5:D222,"proMX",$E$5:E222,E223,$BD$5:BD222,1)=0,MAX($CC$5:CC222)+1,""),"")</f>
        <v/>
      </c>
      <c r="CD223" s="80" t="str">
        <f>IF(AND(BE223=1,D223="Malcolm",F223&amp;""&lt;&gt;""),IF(COUNTIFS($D$5:D222,"Malcolm",$F$5:F222,F223,$BE$5:BE222,1)=0,MAX($CD$5:CD222)+1,""),"")</f>
        <v/>
      </c>
      <c r="CE223" s="80" t="str">
        <f>IF(AND(BD223=1,D223="proMX",F223&amp;""&lt;&gt;""),IF(COUNTIFS($D$5:D222,"proMX",$F$5:F222,F223,$BD$5:BD222,1)=0,MAX($CE$5:CE222)+1,""),"")</f>
        <v/>
      </c>
      <c r="CF223" s="80" t="str">
        <f>IF(AND(D223="proMX",BD223=1),IF(OR(BF223="Draft",BF223="Submitted",BF223="Returned",BF223="Recall Requested"),MAX($CF$5:CF222)+1,""),"")</f>
        <v/>
      </c>
      <c r="CG223" s="80">
        <f>IF(BD223=0,0,IF(D223="Malcolm",1,MATCH(BF223,{"Draft","Submitted","Approved","Returned","Recall Requested","Cancelled"},0)+1))</f>
        <v>0</v>
      </c>
      <c r="CH223" s="80">
        <f>IF(AND(BF223="Submitted",ISNUMBER(V223)),IF(V223&gt;CFG_MAXD,1,0),0)</f>
        <v>0</v>
      </c>
    </row>
    <row r="224">
      <c r="A224" s="71" t="str">
        <f>IF(Y224=1,ROW()-5,"")</f>
        <v/>
      </c>
      <c r="B224" s="72" t="n"/>
      <c r="C224" s="71" t="str">
        <f>IF(ISNUMBER(B224),CHOOSE(WEEKDAY(B224,2),"Lun","Mar","Mié","Jue","Vie","Sáb","Dom"),"")</f>
        <v/>
      </c>
      <c r="D224" s="73" t="n"/>
      <c r="E224" s="74" t="n"/>
      <c r="F224" s="74" t="n"/>
      <c r="G224" s="74" t="n"/>
      <c r="H224" s="75" t="n"/>
      <c r="I224" s="75" t="n"/>
      <c r="J224" s="76" t="n"/>
      <c r="K224" s="77" t="str">
        <f>IF(AB224=1,ROUND(AG224/60,4),"")</f>
        <v/>
      </c>
      <c r="L224" s="77" t="str">
        <f>IF(BD224=1,ROUND(AP224/60,4),"")</f>
        <v/>
      </c>
      <c r="M224" s="77" t="str">
        <f>IF(BD224=1,ROUND(AQ224/60,4),"")</f>
        <v/>
      </c>
      <c r="N224" s="71" t="str">
        <f>IF(AND(D224="proMX",AB224=1),ROUND(AG224/CFG_BLK,2),"")</f>
        <v/>
      </c>
      <c r="O224" s="77" t="str">
        <f>IF(D224="proMX",IF(BD224=1,ROUND(AG224/60,4),0),"")</f>
        <v/>
      </c>
      <c r="P224" s="78" t="str">
        <f>IF(Y224=0,"",IF(BD224=1,"OK",IF(D224="proMX","Revisar bloques: ","Revisar: ")&amp;BC224))</f>
        <v/>
      </c>
      <c r="Q224" s="78" t="str">
        <f>IF(NOT(ISNUMBER(B224)),"",IF(COUNTIFS(FER_F,INT(B224))&gt;0,"Feriado"&amp;IF(AH224=1," (laborable)"," (no laborable)"),IF(AH224=1,"Laborable",IF(WEEKDAY(B224,2)&gt;5,"Fin de semana","No laborable"))))</f>
        <v/>
      </c>
      <c r="R224" s="73" t="n"/>
      <c r="S224" s="72" t="n"/>
      <c r="T224" s="72" t="n"/>
      <c r="U224" s="74" t="n"/>
      <c r="V224" s="79" t="str">
        <f>IF(AND(D224="proMX",OR(R224="Submitted",R224="Recall Requested"),ISNUMBER(S224)),CFG_TODAY-INT(S224),"")</f>
        <v/>
      </c>
      <c r="W224" s="78" t="str">
        <f>IF(BD224=0,"",IF(BA224&gt;0,"⚠ Se superpone con un registro de la otra empresa",IF(D224="Malcolm",IF(COUNTA(R224,S224,T224)&gt;0,"Estado/fechas proMX se ignoran en Malcolm",""),IF(BF224="Cancelled","Cancelado: excluido de totales",IF(R224="","Sin estado: se trata como Draft",IF(BF224="Submitted",IF(ISNUMBER(V224),IF(V224&gt;CFG_MAXD,"⚠ "&amp;V224&amp;" días en Submitted (máx. "&amp;CFG_MAXD&amp;")",""),"Falta fecha de envío"),IF(BF224="Returned","⚠ Devuelto: corregir y reenviar",IF(BF224="Recall Requested","Retirada solicitada: pendiente",IF(AND(BF224="Approved",NOT(ISNUMBER(T224))),"Falta fecha de aprobación",IF(AND(ISNUMBER(S224),ISNUMBER(T224),T224&lt;S224),"Aprobación anterior al envío","")))))))))</f>
        <v/>
      </c>
      <c r="Y224" s="80">
        <f>IF(COUNTA(B224,D224,E224,F224,G224,H224,I224,J224,R224,S224,T224)&gt;0,1,0)</f>
        <v>0</v>
      </c>
      <c r="Z224" s="80" t="str">
        <f>IF(AND(ISNUMBER(H224),H224&gt;=0,H224&lt;1),ROUND(H224*1440,0),"")</f>
        <v/>
      </c>
      <c r="AA224" s="80" t="str">
        <f>IF(AND(ISNUMBER(I224),I224&gt;=0,I224&lt;1),ROUND(I224*1440,0),"")</f>
        <v/>
      </c>
      <c r="AB224" s="80">
        <f>IF(AND(ISNUMBER(B224),D224&lt;&gt;"",ISNUMBER(Z224),ISNUMBER(AA224)),IF(Z224=AA224,0,1),0)</f>
        <v>0</v>
      </c>
      <c r="AC224" s="80">
        <f>IF(AB224=1,IF(AA224&lt;Z224,1,0),0)</f>
        <v>0</v>
      </c>
      <c r="AD224" s="80">
        <f>IF(AB224=1,IF(AC224=1,1440-Z224+AA224,AA224-Z224),0)</f>
        <v>0</v>
      </c>
      <c r="AE224" s="80">
        <f>IF(J224="",0,IF(ISNUMBER(J224),J224,-1))</f>
        <v>0</v>
      </c>
      <c r="AF224" s="80">
        <f>MIN(MAX(0,AE224),AD224)</f>
        <v>0</v>
      </c>
      <c r="AG224" s="80">
        <f>MAX(0,AD224-MAX(0,AE224))</f>
        <v>0</v>
      </c>
      <c r="AH224" s="80">
        <f>IF(ISNUMBER(B224),IF(AND(INDEX(CFG_WDAYS,WEEKDAY(INT(B224),2))="Sí",IF(D224="proMX",COUNTIFS(FER_F,INT(B224),FER_NLP,"Sí"),COUNTIFS(FER_F,INT(B224),FER_NLM,"Sí"))=0),1,0),0)</f>
        <v>0</v>
      </c>
      <c r="AI224" s="80">
        <f>IF(AC224=1,IF(AND(INDEX(CFG_WDAYS,WEEKDAY(INT(B224)+1,2))="Sí",IF(D224="proMX",COUNTIFS(FER_F,INT(B224)+1,FER_NLP,"Sí"),COUNTIFS(FER_F,INT(B224)+1,FER_NLM,"Sí"))=0),1,0),0)</f>
        <v>0</v>
      </c>
      <c r="AJ224" s="80">
        <f>IF(AC224=1,1440-Z224,AD224)</f>
        <v>0</v>
      </c>
      <c r="AK224" s="80">
        <f>IF(AND(AB224=1,AH224=1),MAX(0,MIN(IF(AC224=1,1440,AA224),CFG_WEM)-MAX(Z224,CFG_WSM)),0)</f>
        <v>0</v>
      </c>
      <c r="AL224" s="80">
        <f>IF(AND(AC224=1,AI224=1),MAX(0,MIN(AA224,CFG_WEM)-CFG_WSM),0)</f>
        <v>0</v>
      </c>
      <c r="AM224" s="80">
        <f>AK224+AL224</f>
        <v>0</v>
      </c>
      <c r="AN224" s="80">
        <f>IF(CFG_BRK="Proporcional",IF(AD224=0,0,AF224*AM224/AD224),IF(CFG_BRK="Extras primero",MIN(AM224,MAX(0,AF224-(AD224-AM224))),MIN(AF224,AM224)))</f>
        <v>0</v>
      </c>
      <c r="AO224" s="80">
        <f>AF224-AN224</f>
        <v>0</v>
      </c>
      <c r="AP224" s="80">
        <f>AM224-AN224</f>
        <v>0</v>
      </c>
      <c r="AQ224" s="80">
        <f>AD224-AM224-AO224</f>
        <v>0</v>
      </c>
      <c r="AR224" s="80">
        <f>IF(AM224=0,0,AK224-AN224*AK224/AM224)</f>
        <v>0</v>
      </c>
      <c r="AS224" s="80">
        <f>IF(AD224-AM224=0,0,(AJ224-AK224)-AO224*(AJ224-AK224)/(AD224-AM224))</f>
        <v>0</v>
      </c>
      <c r="AT224" s="80" t="str">
        <f>IF(AC224=1,INT(B224)+1,"")</f>
        <v/>
      </c>
      <c r="AU224" s="80">
        <f>IF(AND(D224="proMX",R224="Cancelled"),0,1)</f>
        <v>1</v>
      </c>
      <c r="AV224" s="80">
        <f>IF(AND(AB224=1,AU224=1),IF(COUNTIFS($D$5:D223,D224,$B$5:B223,B224,$Z$5:Z223,Z224,$AA$5:AA223,AA224,$F$5:F223,F224&amp;"",$AU$5:AU223,1)&gt;0,1,0),0)</f>
        <v>0</v>
      </c>
      <c r="AW224" s="80" t="str">
        <f>IF(AB224=1,INT(B224)*1440+Z224,"")</f>
        <v/>
      </c>
      <c r="AX224" s="80" t="str">
        <f>IF(AB224=1,AW224+AD224,"")</f>
        <v/>
      </c>
      <c r="AY224" s="80">
        <f>IF(AND(AB224=1,AV224=0,AU224=1),1,0)</f>
        <v>0</v>
      </c>
      <c r="AZ224" s="80">
        <f>IF(AY224=1,COUNTIFS(R_Emp,D224,R_SAbs,"&lt;"&amp;AX224,R_EAbs,"&gt;"&amp;AW224,R_OKey,1)-1,0)</f>
        <v>0</v>
      </c>
      <c r="BA224" s="80">
        <f>IF(AY224=1,COUNTIFS(R_Emp,"&lt;&gt;"&amp;D224,R_SAbs,"&lt;"&amp;AX224,R_EAbs,"&gt;"&amp;AW224,R_OKey,1),0)</f>
        <v>0</v>
      </c>
      <c r="BB224" s="80">
        <f>IF(AND(AB224=1,D224="proMX"),IF(AND(MOD(Z224,CFG_BLK)=0,MOD(AA224,CFG_BLK)=0,MOD(AG224,CFG_BLK)=0,AG224&gt;0),1,0),1)</f>
        <v>1</v>
      </c>
      <c r="BC224" s="80" t="str">
        <f>IF(Y224=0,"",IF(NOT(ISNUMBER(B224)),"Falta fecha o fecha inválida",IF(D224="","Falta empresa",IF(AND(D224&lt;&gt;"Malcolm",D224&lt;&gt;"proMX"),"Empresa inválida",IF(OR(INT(B224)&lt;CFG_PSTART,INT(B224)&gt;CFG_PEND),"Fecha fuera del período",IF(OR(NOT(ISNUMBER(Z224)),NOT(ISNUMBER(AA224))),"Falta hora inicio/fin o formato inválido",IF(AB224=0,"Hora inicio = hora fin",IF(AE224&lt;0,"Descanso inválido",IF(AE224&gt;=AD224,"Descanso ≥ duración",IF(AV224=1,"Registro duplicado",IF(AZ224&gt;0,"Se superpone con otro registro "&amp;D224,IF(BB224=0,"inicio, fin y duración neta deben ser múltiplos de "&amp;CFG_BLK&amp;" min",""))))))))))))</f>
        <v/>
      </c>
      <c r="BD224" s="80">
        <f>IF(AND(Y224=1,BC224=""),1,0)</f>
        <v>0</v>
      </c>
      <c r="BE224" s="80">
        <f>IF(AND(BD224=1,AU224=1),1,0)</f>
        <v>0</v>
      </c>
      <c r="BF224" s="80" t="str">
        <f>IF(AND(D224="proMX",BD224=1),IF(R224="","Draft",R224),"")</f>
        <v/>
      </c>
      <c r="BG224" s="80">
        <f>IF(BD224=1,ROUND(AG224/60,6),0)</f>
        <v>0</v>
      </c>
      <c r="BH224" s="80">
        <f>IF(BE224=1,ROUND(AG224/60,6),0)</f>
        <v>0</v>
      </c>
      <c r="BI224" s="80">
        <f>IF(BE224=1,ROUND(AP224/60,6),0)</f>
        <v>0</v>
      </c>
      <c r="BJ224" s="80">
        <f>IF(BE224=1,ROUND(AQ224/60,6),0)</f>
        <v>0</v>
      </c>
      <c r="BK224" s="80">
        <f>IF(BE224=1,ROUND((AR224+AS224)/60,6),0)</f>
        <v>0</v>
      </c>
      <c r="BL224" s="80">
        <f>ROUND(BH224-BK224,6)</f>
        <v>0</v>
      </c>
      <c r="BM224" s="80">
        <f>IF(BE224=1,ROUND(AR224/60,6),0)</f>
        <v>0</v>
      </c>
      <c r="BN224" s="80">
        <f>ROUND(BI224-BM224,6)</f>
        <v>0</v>
      </c>
      <c r="BO224" s="80">
        <f>IF(BE224=1,ROUND(AS224/60,6),0)</f>
        <v>0</v>
      </c>
      <c r="BP224" s="80">
        <f>ROUND(BJ224-BO224,6)</f>
        <v>0</v>
      </c>
      <c r="BQ224" s="80">
        <f>IF(BE224=1,AW224,0)</f>
        <v>0</v>
      </c>
      <c r="BR224" s="80">
        <f>IF(BE224=1,AX224,0)</f>
        <v>0</v>
      </c>
      <c r="BS224" s="80">
        <f>IF(AND(BE224=1,D224="Malcolm",BA224&gt;0),MIN(BH224,SUMPRODUCT((R_Emp="proMX")*(R_EN&gt;0)*((R_EN-(R_EN&gt;BR224)*(R_EN-BR224))&gt;(R_SN+(R_SN&lt;BQ224)*(BQ224-R_SN)))*((R_EN-(R_EN&gt;BR224)*(R_EN-BR224))-(R_SN+(R_SN&lt;BQ224)*(BQ224-R_SN))))/60),0)</f>
        <v>0</v>
      </c>
      <c r="BT224" s="80">
        <f>IF(AND(BE224=1,D224="proMX"),ROUND(BI224*CFG_RATE+BJ224*CFG_OTRATE,6),0)</f>
        <v>0</v>
      </c>
      <c r="BU224" s="80">
        <f>IF(AND(BD224=1,D224="proMX"),ROUND(AG224/CFG_BLK,6),0)</f>
        <v>0</v>
      </c>
      <c r="BV224" s="80" t="str">
        <f>IF(BF224="Approved",IF(ISNUMBER(T224),INT(T224),INT(B224)),"")</f>
        <v/>
      </c>
      <c r="BW224" s="80">
        <f>IF(ISNUMBER(B224),IF(DB_MON="Todos",1,IF(AND(INT(B224)&gt;=DB_MS,INT(B224)&lt;=DB_ME),1,0)),0)</f>
        <v>0</v>
      </c>
      <c r="BX224" s="80">
        <f>IF(DB_PROJ="Todos",1,IF(E224&amp;""=DB_PROJ&amp;"",1,0))</f>
        <v>1</v>
      </c>
      <c r="BY224" s="80">
        <f>BW224*BX224</f>
        <v>0</v>
      </c>
      <c r="BZ224" s="80" t="str">
        <f>IF(Y224=1,F224&amp;IF(AND(F224&amp;""&lt;&gt;"",E224&amp;""&lt;&gt;"")," · ","")&amp;E224,"")</f>
        <v/>
      </c>
      <c r="CA224" s="80" t="str">
        <f>IF(AND(BD224=1,E224&amp;""&lt;&gt;""),IF(COUNTIFS($E$5:E223,E224,$BD$5:BD223,1)=0,MAX($CA$5:CA223)+1,""),"")</f>
        <v/>
      </c>
      <c r="CB224" s="80" t="str">
        <f>IF(AND(BE224=1,D224="Malcolm",E224&amp;""&lt;&gt;""),IF(COUNTIFS($D$5:D223,"Malcolm",$E$5:E223,E224,$BE$5:BE223,1)=0,MAX($CB$5:CB223)+1,""),"")</f>
        <v/>
      </c>
      <c r="CC224" s="80" t="str">
        <f>IF(AND(BD224=1,D224="proMX",E224&amp;""&lt;&gt;""),IF(COUNTIFS($D$5:D223,"proMX",$E$5:E223,E224,$BD$5:BD223,1)=0,MAX($CC$5:CC223)+1,""),"")</f>
        <v/>
      </c>
      <c r="CD224" s="80" t="str">
        <f>IF(AND(BE224=1,D224="Malcolm",F224&amp;""&lt;&gt;""),IF(COUNTIFS($D$5:D223,"Malcolm",$F$5:F223,F224,$BE$5:BE223,1)=0,MAX($CD$5:CD223)+1,""),"")</f>
        <v/>
      </c>
      <c r="CE224" s="80" t="str">
        <f>IF(AND(BD224=1,D224="proMX",F224&amp;""&lt;&gt;""),IF(COUNTIFS($D$5:D223,"proMX",$F$5:F223,F224,$BD$5:BD223,1)=0,MAX($CE$5:CE223)+1,""),"")</f>
        <v/>
      </c>
      <c r="CF224" s="80" t="str">
        <f>IF(AND(D224="proMX",BD224=1),IF(OR(BF224="Draft",BF224="Submitted",BF224="Returned",BF224="Recall Requested"),MAX($CF$5:CF223)+1,""),"")</f>
        <v/>
      </c>
      <c r="CG224" s="80">
        <f>IF(BD224=0,0,IF(D224="Malcolm",1,MATCH(BF224,{"Draft","Submitted","Approved","Returned","Recall Requested","Cancelled"},0)+1))</f>
        <v>0</v>
      </c>
      <c r="CH224" s="80">
        <f>IF(AND(BF224="Submitted",ISNUMBER(V224)),IF(V224&gt;CFG_MAXD,1,0),0)</f>
        <v>0</v>
      </c>
    </row>
    <row r="225">
      <c r="A225" s="71" t="str">
        <f>IF(Y225=1,ROW()-5,"")</f>
        <v/>
      </c>
      <c r="B225" s="72" t="n"/>
      <c r="C225" s="71" t="str">
        <f>IF(ISNUMBER(B225),CHOOSE(WEEKDAY(B225,2),"Lun","Mar","Mié","Jue","Vie","Sáb","Dom"),"")</f>
        <v/>
      </c>
      <c r="D225" s="73" t="n"/>
      <c r="E225" s="74" t="n"/>
      <c r="F225" s="74" t="n"/>
      <c r="G225" s="74" t="n"/>
      <c r="H225" s="75" t="n"/>
      <c r="I225" s="75" t="n"/>
      <c r="J225" s="76" t="n"/>
      <c r="K225" s="77" t="str">
        <f>IF(AB225=1,ROUND(AG225/60,4),"")</f>
        <v/>
      </c>
      <c r="L225" s="77" t="str">
        <f>IF(BD225=1,ROUND(AP225/60,4),"")</f>
        <v/>
      </c>
      <c r="M225" s="77" t="str">
        <f>IF(BD225=1,ROUND(AQ225/60,4),"")</f>
        <v/>
      </c>
      <c r="N225" s="71" t="str">
        <f>IF(AND(D225="proMX",AB225=1),ROUND(AG225/CFG_BLK,2),"")</f>
        <v/>
      </c>
      <c r="O225" s="77" t="str">
        <f>IF(D225="proMX",IF(BD225=1,ROUND(AG225/60,4),0),"")</f>
        <v/>
      </c>
      <c r="P225" s="78" t="str">
        <f>IF(Y225=0,"",IF(BD225=1,"OK",IF(D225="proMX","Revisar bloques: ","Revisar: ")&amp;BC225))</f>
        <v/>
      </c>
      <c r="Q225" s="78" t="str">
        <f>IF(NOT(ISNUMBER(B225)),"",IF(COUNTIFS(FER_F,INT(B225))&gt;0,"Feriado"&amp;IF(AH225=1," (laborable)"," (no laborable)"),IF(AH225=1,"Laborable",IF(WEEKDAY(B225,2)&gt;5,"Fin de semana","No laborable"))))</f>
        <v/>
      </c>
      <c r="R225" s="73" t="n"/>
      <c r="S225" s="72" t="n"/>
      <c r="T225" s="72" t="n"/>
      <c r="U225" s="74" t="n"/>
      <c r="V225" s="79" t="str">
        <f>IF(AND(D225="proMX",OR(R225="Submitted",R225="Recall Requested"),ISNUMBER(S225)),CFG_TODAY-INT(S225),"")</f>
        <v/>
      </c>
      <c r="W225" s="78" t="str">
        <f>IF(BD225=0,"",IF(BA225&gt;0,"⚠ Se superpone con un registro de la otra empresa",IF(D225="Malcolm",IF(COUNTA(R225,S225,T225)&gt;0,"Estado/fechas proMX se ignoran en Malcolm",""),IF(BF225="Cancelled","Cancelado: excluido de totales",IF(R225="","Sin estado: se trata como Draft",IF(BF225="Submitted",IF(ISNUMBER(V225),IF(V225&gt;CFG_MAXD,"⚠ "&amp;V225&amp;" días en Submitted (máx. "&amp;CFG_MAXD&amp;")",""),"Falta fecha de envío"),IF(BF225="Returned","⚠ Devuelto: corregir y reenviar",IF(BF225="Recall Requested","Retirada solicitada: pendiente",IF(AND(BF225="Approved",NOT(ISNUMBER(T225))),"Falta fecha de aprobación",IF(AND(ISNUMBER(S225),ISNUMBER(T225),T225&lt;S225),"Aprobación anterior al envío","")))))))))</f>
        <v/>
      </c>
      <c r="Y225" s="80">
        <f>IF(COUNTA(B225,D225,E225,F225,G225,H225,I225,J225,R225,S225,T225)&gt;0,1,0)</f>
        <v>0</v>
      </c>
      <c r="Z225" s="80" t="str">
        <f>IF(AND(ISNUMBER(H225),H225&gt;=0,H225&lt;1),ROUND(H225*1440,0),"")</f>
        <v/>
      </c>
      <c r="AA225" s="80" t="str">
        <f>IF(AND(ISNUMBER(I225),I225&gt;=0,I225&lt;1),ROUND(I225*1440,0),"")</f>
        <v/>
      </c>
      <c r="AB225" s="80">
        <f>IF(AND(ISNUMBER(B225),D225&lt;&gt;"",ISNUMBER(Z225),ISNUMBER(AA225)),IF(Z225=AA225,0,1),0)</f>
        <v>0</v>
      </c>
      <c r="AC225" s="80">
        <f>IF(AB225=1,IF(AA225&lt;Z225,1,0),0)</f>
        <v>0</v>
      </c>
      <c r="AD225" s="80">
        <f>IF(AB225=1,IF(AC225=1,1440-Z225+AA225,AA225-Z225),0)</f>
        <v>0</v>
      </c>
      <c r="AE225" s="80">
        <f>IF(J225="",0,IF(ISNUMBER(J225),J225,-1))</f>
        <v>0</v>
      </c>
      <c r="AF225" s="80">
        <f>MIN(MAX(0,AE225),AD225)</f>
        <v>0</v>
      </c>
      <c r="AG225" s="80">
        <f>MAX(0,AD225-MAX(0,AE225))</f>
        <v>0</v>
      </c>
      <c r="AH225" s="80">
        <f>IF(ISNUMBER(B225),IF(AND(INDEX(CFG_WDAYS,WEEKDAY(INT(B225),2))="Sí",IF(D225="proMX",COUNTIFS(FER_F,INT(B225),FER_NLP,"Sí"),COUNTIFS(FER_F,INT(B225),FER_NLM,"Sí"))=0),1,0),0)</f>
        <v>0</v>
      </c>
      <c r="AI225" s="80">
        <f>IF(AC225=1,IF(AND(INDEX(CFG_WDAYS,WEEKDAY(INT(B225)+1,2))="Sí",IF(D225="proMX",COUNTIFS(FER_F,INT(B225)+1,FER_NLP,"Sí"),COUNTIFS(FER_F,INT(B225)+1,FER_NLM,"Sí"))=0),1,0),0)</f>
        <v>0</v>
      </c>
      <c r="AJ225" s="80">
        <f>IF(AC225=1,1440-Z225,AD225)</f>
        <v>0</v>
      </c>
      <c r="AK225" s="80">
        <f>IF(AND(AB225=1,AH225=1),MAX(0,MIN(IF(AC225=1,1440,AA225),CFG_WEM)-MAX(Z225,CFG_WSM)),0)</f>
        <v>0</v>
      </c>
      <c r="AL225" s="80">
        <f>IF(AND(AC225=1,AI225=1),MAX(0,MIN(AA225,CFG_WEM)-CFG_WSM),0)</f>
        <v>0</v>
      </c>
      <c r="AM225" s="80">
        <f>AK225+AL225</f>
        <v>0</v>
      </c>
      <c r="AN225" s="80">
        <f>IF(CFG_BRK="Proporcional",IF(AD225=0,0,AF225*AM225/AD225),IF(CFG_BRK="Extras primero",MIN(AM225,MAX(0,AF225-(AD225-AM225))),MIN(AF225,AM225)))</f>
        <v>0</v>
      </c>
      <c r="AO225" s="80">
        <f>AF225-AN225</f>
        <v>0</v>
      </c>
      <c r="AP225" s="80">
        <f>AM225-AN225</f>
        <v>0</v>
      </c>
      <c r="AQ225" s="80">
        <f>AD225-AM225-AO225</f>
        <v>0</v>
      </c>
      <c r="AR225" s="80">
        <f>IF(AM225=0,0,AK225-AN225*AK225/AM225)</f>
        <v>0</v>
      </c>
      <c r="AS225" s="80">
        <f>IF(AD225-AM225=0,0,(AJ225-AK225)-AO225*(AJ225-AK225)/(AD225-AM225))</f>
        <v>0</v>
      </c>
      <c r="AT225" s="80" t="str">
        <f>IF(AC225=1,INT(B225)+1,"")</f>
        <v/>
      </c>
      <c r="AU225" s="80">
        <f>IF(AND(D225="proMX",R225="Cancelled"),0,1)</f>
        <v>1</v>
      </c>
      <c r="AV225" s="80">
        <f>IF(AND(AB225=1,AU225=1),IF(COUNTIFS($D$5:D224,D225,$B$5:B224,B225,$Z$5:Z224,Z225,$AA$5:AA224,AA225,$F$5:F224,F225&amp;"",$AU$5:AU224,1)&gt;0,1,0),0)</f>
        <v>0</v>
      </c>
      <c r="AW225" s="80" t="str">
        <f>IF(AB225=1,INT(B225)*1440+Z225,"")</f>
        <v/>
      </c>
      <c r="AX225" s="80" t="str">
        <f>IF(AB225=1,AW225+AD225,"")</f>
        <v/>
      </c>
      <c r="AY225" s="80">
        <f>IF(AND(AB225=1,AV225=0,AU225=1),1,0)</f>
        <v>0</v>
      </c>
      <c r="AZ225" s="80">
        <f>IF(AY225=1,COUNTIFS(R_Emp,D225,R_SAbs,"&lt;"&amp;AX225,R_EAbs,"&gt;"&amp;AW225,R_OKey,1)-1,0)</f>
        <v>0</v>
      </c>
      <c r="BA225" s="80">
        <f>IF(AY225=1,COUNTIFS(R_Emp,"&lt;&gt;"&amp;D225,R_SAbs,"&lt;"&amp;AX225,R_EAbs,"&gt;"&amp;AW225,R_OKey,1),0)</f>
        <v>0</v>
      </c>
      <c r="BB225" s="80">
        <f>IF(AND(AB225=1,D225="proMX"),IF(AND(MOD(Z225,CFG_BLK)=0,MOD(AA225,CFG_BLK)=0,MOD(AG225,CFG_BLK)=0,AG225&gt;0),1,0),1)</f>
        <v>1</v>
      </c>
      <c r="BC225" s="80" t="str">
        <f>IF(Y225=0,"",IF(NOT(ISNUMBER(B225)),"Falta fecha o fecha inválida",IF(D225="","Falta empresa",IF(AND(D225&lt;&gt;"Malcolm",D225&lt;&gt;"proMX"),"Empresa inválida",IF(OR(INT(B225)&lt;CFG_PSTART,INT(B225)&gt;CFG_PEND),"Fecha fuera del período",IF(OR(NOT(ISNUMBER(Z225)),NOT(ISNUMBER(AA225))),"Falta hora inicio/fin o formato inválido",IF(AB225=0,"Hora inicio = hora fin",IF(AE225&lt;0,"Descanso inválido",IF(AE225&gt;=AD225,"Descanso ≥ duración",IF(AV225=1,"Registro duplicado",IF(AZ225&gt;0,"Se superpone con otro registro "&amp;D225,IF(BB225=0,"inicio, fin y duración neta deben ser múltiplos de "&amp;CFG_BLK&amp;" min",""))))))))))))</f>
        <v/>
      </c>
      <c r="BD225" s="80">
        <f>IF(AND(Y225=1,BC225=""),1,0)</f>
        <v>0</v>
      </c>
      <c r="BE225" s="80">
        <f>IF(AND(BD225=1,AU225=1),1,0)</f>
        <v>0</v>
      </c>
      <c r="BF225" s="80" t="str">
        <f>IF(AND(D225="proMX",BD225=1),IF(R225="","Draft",R225),"")</f>
        <v/>
      </c>
      <c r="BG225" s="80">
        <f>IF(BD225=1,ROUND(AG225/60,6),0)</f>
        <v>0</v>
      </c>
      <c r="BH225" s="80">
        <f>IF(BE225=1,ROUND(AG225/60,6),0)</f>
        <v>0</v>
      </c>
      <c r="BI225" s="80">
        <f>IF(BE225=1,ROUND(AP225/60,6),0)</f>
        <v>0</v>
      </c>
      <c r="BJ225" s="80">
        <f>IF(BE225=1,ROUND(AQ225/60,6),0)</f>
        <v>0</v>
      </c>
      <c r="BK225" s="80">
        <f>IF(BE225=1,ROUND((AR225+AS225)/60,6),0)</f>
        <v>0</v>
      </c>
      <c r="BL225" s="80">
        <f>ROUND(BH225-BK225,6)</f>
        <v>0</v>
      </c>
      <c r="BM225" s="80">
        <f>IF(BE225=1,ROUND(AR225/60,6),0)</f>
        <v>0</v>
      </c>
      <c r="BN225" s="80">
        <f>ROUND(BI225-BM225,6)</f>
        <v>0</v>
      </c>
      <c r="BO225" s="80">
        <f>IF(BE225=1,ROUND(AS225/60,6),0)</f>
        <v>0</v>
      </c>
      <c r="BP225" s="80">
        <f>ROUND(BJ225-BO225,6)</f>
        <v>0</v>
      </c>
      <c r="BQ225" s="80">
        <f>IF(BE225=1,AW225,0)</f>
        <v>0</v>
      </c>
      <c r="BR225" s="80">
        <f>IF(BE225=1,AX225,0)</f>
        <v>0</v>
      </c>
      <c r="BS225" s="80">
        <f>IF(AND(BE225=1,D225="Malcolm",BA225&gt;0),MIN(BH225,SUMPRODUCT((R_Emp="proMX")*(R_EN&gt;0)*((R_EN-(R_EN&gt;BR225)*(R_EN-BR225))&gt;(R_SN+(R_SN&lt;BQ225)*(BQ225-R_SN)))*((R_EN-(R_EN&gt;BR225)*(R_EN-BR225))-(R_SN+(R_SN&lt;BQ225)*(BQ225-R_SN))))/60),0)</f>
        <v>0</v>
      </c>
      <c r="BT225" s="80">
        <f>IF(AND(BE225=1,D225="proMX"),ROUND(BI225*CFG_RATE+BJ225*CFG_OTRATE,6),0)</f>
        <v>0</v>
      </c>
      <c r="BU225" s="80">
        <f>IF(AND(BD225=1,D225="proMX"),ROUND(AG225/CFG_BLK,6),0)</f>
        <v>0</v>
      </c>
      <c r="BV225" s="80" t="str">
        <f>IF(BF225="Approved",IF(ISNUMBER(T225),INT(T225),INT(B225)),"")</f>
        <v/>
      </c>
      <c r="BW225" s="80">
        <f>IF(ISNUMBER(B225),IF(DB_MON="Todos",1,IF(AND(INT(B225)&gt;=DB_MS,INT(B225)&lt;=DB_ME),1,0)),0)</f>
        <v>0</v>
      </c>
      <c r="BX225" s="80">
        <f>IF(DB_PROJ="Todos",1,IF(E225&amp;""=DB_PROJ&amp;"",1,0))</f>
        <v>1</v>
      </c>
      <c r="BY225" s="80">
        <f>BW225*BX225</f>
        <v>0</v>
      </c>
      <c r="BZ225" s="80" t="str">
        <f>IF(Y225=1,F225&amp;IF(AND(F225&amp;""&lt;&gt;"",E225&amp;""&lt;&gt;"")," · ","")&amp;E225,"")</f>
        <v/>
      </c>
      <c r="CA225" s="80" t="str">
        <f>IF(AND(BD225=1,E225&amp;""&lt;&gt;""),IF(COUNTIFS($E$5:E224,E225,$BD$5:BD224,1)=0,MAX($CA$5:CA224)+1,""),"")</f>
        <v/>
      </c>
      <c r="CB225" s="80" t="str">
        <f>IF(AND(BE225=1,D225="Malcolm",E225&amp;""&lt;&gt;""),IF(COUNTIFS($D$5:D224,"Malcolm",$E$5:E224,E225,$BE$5:BE224,1)=0,MAX($CB$5:CB224)+1,""),"")</f>
        <v/>
      </c>
      <c r="CC225" s="80" t="str">
        <f>IF(AND(BD225=1,D225="proMX",E225&amp;""&lt;&gt;""),IF(COUNTIFS($D$5:D224,"proMX",$E$5:E224,E225,$BD$5:BD224,1)=0,MAX($CC$5:CC224)+1,""),"")</f>
        <v/>
      </c>
      <c r="CD225" s="80" t="str">
        <f>IF(AND(BE225=1,D225="Malcolm",F225&amp;""&lt;&gt;""),IF(COUNTIFS($D$5:D224,"Malcolm",$F$5:F224,F225,$BE$5:BE224,1)=0,MAX($CD$5:CD224)+1,""),"")</f>
        <v/>
      </c>
      <c r="CE225" s="80" t="str">
        <f>IF(AND(BD225=1,D225="proMX",F225&amp;""&lt;&gt;""),IF(COUNTIFS($D$5:D224,"proMX",$F$5:F224,F225,$BD$5:BD224,1)=0,MAX($CE$5:CE224)+1,""),"")</f>
        <v/>
      </c>
      <c r="CF225" s="80" t="str">
        <f>IF(AND(D225="proMX",BD225=1),IF(OR(BF225="Draft",BF225="Submitted",BF225="Returned",BF225="Recall Requested"),MAX($CF$5:CF224)+1,""),"")</f>
        <v/>
      </c>
      <c r="CG225" s="80">
        <f>IF(BD225=0,0,IF(D225="Malcolm",1,MATCH(BF225,{"Draft","Submitted","Approved","Returned","Recall Requested","Cancelled"},0)+1))</f>
        <v>0</v>
      </c>
      <c r="CH225" s="80">
        <f>IF(AND(BF225="Submitted",ISNUMBER(V225)),IF(V225&gt;CFG_MAXD,1,0),0)</f>
        <v>0</v>
      </c>
    </row>
    <row r="226">
      <c r="A226" s="71" t="str">
        <f>IF(Y226=1,ROW()-5,"")</f>
        <v/>
      </c>
      <c r="B226" s="72" t="n"/>
      <c r="C226" s="71" t="str">
        <f>IF(ISNUMBER(B226),CHOOSE(WEEKDAY(B226,2),"Lun","Mar","Mié","Jue","Vie","Sáb","Dom"),"")</f>
        <v/>
      </c>
      <c r="D226" s="73" t="n"/>
      <c r="E226" s="74" t="n"/>
      <c r="F226" s="74" t="n"/>
      <c r="G226" s="74" t="n"/>
      <c r="H226" s="75" t="n"/>
      <c r="I226" s="75" t="n"/>
      <c r="J226" s="76" t="n"/>
      <c r="K226" s="77" t="str">
        <f>IF(AB226=1,ROUND(AG226/60,4),"")</f>
        <v/>
      </c>
      <c r="L226" s="77" t="str">
        <f>IF(BD226=1,ROUND(AP226/60,4),"")</f>
        <v/>
      </c>
      <c r="M226" s="77" t="str">
        <f>IF(BD226=1,ROUND(AQ226/60,4),"")</f>
        <v/>
      </c>
      <c r="N226" s="71" t="str">
        <f>IF(AND(D226="proMX",AB226=1),ROUND(AG226/CFG_BLK,2),"")</f>
        <v/>
      </c>
      <c r="O226" s="77" t="str">
        <f>IF(D226="proMX",IF(BD226=1,ROUND(AG226/60,4),0),"")</f>
        <v/>
      </c>
      <c r="P226" s="78" t="str">
        <f>IF(Y226=0,"",IF(BD226=1,"OK",IF(D226="proMX","Revisar bloques: ","Revisar: ")&amp;BC226))</f>
        <v/>
      </c>
      <c r="Q226" s="78" t="str">
        <f>IF(NOT(ISNUMBER(B226)),"",IF(COUNTIFS(FER_F,INT(B226))&gt;0,"Feriado"&amp;IF(AH226=1," (laborable)"," (no laborable)"),IF(AH226=1,"Laborable",IF(WEEKDAY(B226,2)&gt;5,"Fin de semana","No laborable"))))</f>
        <v/>
      </c>
      <c r="R226" s="73" t="n"/>
      <c r="S226" s="72" t="n"/>
      <c r="T226" s="72" t="n"/>
      <c r="U226" s="74" t="n"/>
      <c r="V226" s="79" t="str">
        <f>IF(AND(D226="proMX",OR(R226="Submitted",R226="Recall Requested"),ISNUMBER(S226)),CFG_TODAY-INT(S226),"")</f>
        <v/>
      </c>
      <c r="W226" s="78" t="str">
        <f>IF(BD226=0,"",IF(BA226&gt;0,"⚠ Se superpone con un registro de la otra empresa",IF(D226="Malcolm",IF(COUNTA(R226,S226,T226)&gt;0,"Estado/fechas proMX se ignoran en Malcolm",""),IF(BF226="Cancelled","Cancelado: excluido de totales",IF(R226="","Sin estado: se trata como Draft",IF(BF226="Submitted",IF(ISNUMBER(V226),IF(V226&gt;CFG_MAXD,"⚠ "&amp;V226&amp;" días en Submitted (máx. "&amp;CFG_MAXD&amp;")",""),"Falta fecha de envío"),IF(BF226="Returned","⚠ Devuelto: corregir y reenviar",IF(BF226="Recall Requested","Retirada solicitada: pendiente",IF(AND(BF226="Approved",NOT(ISNUMBER(T226))),"Falta fecha de aprobación",IF(AND(ISNUMBER(S226),ISNUMBER(T226),T226&lt;S226),"Aprobación anterior al envío","")))))))))</f>
        <v/>
      </c>
      <c r="Y226" s="80">
        <f>IF(COUNTA(B226,D226,E226,F226,G226,H226,I226,J226,R226,S226,T226)&gt;0,1,0)</f>
        <v>0</v>
      </c>
      <c r="Z226" s="80" t="str">
        <f>IF(AND(ISNUMBER(H226),H226&gt;=0,H226&lt;1),ROUND(H226*1440,0),"")</f>
        <v/>
      </c>
      <c r="AA226" s="80" t="str">
        <f>IF(AND(ISNUMBER(I226),I226&gt;=0,I226&lt;1),ROUND(I226*1440,0),"")</f>
        <v/>
      </c>
      <c r="AB226" s="80">
        <f>IF(AND(ISNUMBER(B226),D226&lt;&gt;"",ISNUMBER(Z226),ISNUMBER(AA226)),IF(Z226=AA226,0,1),0)</f>
        <v>0</v>
      </c>
      <c r="AC226" s="80">
        <f>IF(AB226=1,IF(AA226&lt;Z226,1,0),0)</f>
        <v>0</v>
      </c>
      <c r="AD226" s="80">
        <f>IF(AB226=1,IF(AC226=1,1440-Z226+AA226,AA226-Z226),0)</f>
        <v>0</v>
      </c>
      <c r="AE226" s="80">
        <f>IF(J226="",0,IF(ISNUMBER(J226),J226,-1))</f>
        <v>0</v>
      </c>
      <c r="AF226" s="80">
        <f>MIN(MAX(0,AE226),AD226)</f>
        <v>0</v>
      </c>
      <c r="AG226" s="80">
        <f>MAX(0,AD226-MAX(0,AE226))</f>
        <v>0</v>
      </c>
      <c r="AH226" s="80">
        <f>IF(ISNUMBER(B226),IF(AND(INDEX(CFG_WDAYS,WEEKDAY(INT(B226),2))="Sí",IF(D226="proMX",COUNTIFS(FER_F,INT(B226),FER_NLP,"Sí"),COUNTIFS(FER_F,INT(B226),FER_NLM,"Sí"))=0),1,0),0)</f>
        <v>0</v>
      </c>
      <c r="AI226" s="80">
        <f>IF(AC226=1,IF(AND(INDEX(CFG_WDAYS,WEEKDAY(INT(B226)+1,2))="Sí",IF(D226="proMX",COUNTIFS(FER_F,INT(B226)+1,FER_NLP,"Sí"),COUNTIFS(FER_F,INT(B226)+1,FER_NLM,"Sí"))=0),1,0),0)</f>
        <v>0</v>
      </c>
      <c r="AJ226" s="80">
        <f>IF(AC226=1,1440-Z226,AD226)</f>
        <v>0</v>
      </c>
      <c r="AK226" s="80">
        <f>IF(AND(AB226=1,AH226=1),MAX(0,MIN(IF(AC226=1,1440,AA226),CFG_WEM)-MAX(Z226,CFG_WSM)),0)</f>
        <v>0</v>
      </c>
      <c r="AL226" s="80">
        <f>IF(AND(AC226=1,AI226=1),MAX(0,MIN(AA226,CFG_WEM)-CFG_WSM),0)</f>
        <v>0</v>
      </c>
      <c r="AM226" s="80">
        <f>AK226+AL226</f>
        <v>0</v>
      </c>
      <c r="AN226" s="80">
        <f>IF(CFG_BRK="Proporcional",IF(AD226=0,0,AF226*AM226/AD226),IF(CFG_BRK="Extras primero",MIN(AM226,MAX(0,AF226-(AD226-AM226))),MIN(AF226,AM226)))</f>
        <v>0</v>
      </c>
      <c r="AO226" s="80">
        <f>AF226-AN226</f>
        <v>0</v>
      </c>
      <c r="AP226" s="80">
        <f>AM226-AN226</f>
        <v>0</v>
      </c>
      <c r="AQ226" s="80">
        <f>AD226-AM226-AO226</f>
        <v>0</v>
      </c>
      <c r="AR226" s="80">
        <f>IF(AM226=0,0,AK226-AN226*AK226/AM226)</f>
        <v>0</v>
      </c>
      <c r="AS226" s="80">
        <f>IF(AD226-AM226=0,0,(AJ226-AK226)-AO226*(AJ226-AK226)/(AD226-AM226))</f>
        <v>0</v>
      </c>
      <c r="AT226" s="80" t="str">
        <f>IF(AC226=1,INT(B226)+1,"")</f>
        <v/>
      </c>
      <c r="AU226" s="80">
        <f>IF(AND(D226="proMX",R226="Cancelled"),0,1)</f>
        <v>1</v>
      </c>
      <c r="AV226" s="80">
        <f>IF(AND(AB226=1,AU226=1),IF(COUNTIFS($D$5:D225,D226,$B$5:B225,B226,$Z$5:Z225,Z226,$AA$5:AA225,AA226,$F$5:F225,F226&amp;"",$AU$5:AU225,1)&gt;0,1,0),0)</f>
        <v>0</v>
      </c>
      <c r="AW226" s="80" t="str">
        <f>IF(AB226=1,INT(B226)*1440+Z226,"")</f>
        <v/>
      </c>
      <c r="AX226" s="80" t="str">
        <f>IF(AB226=1,AW226+AD226,"")</f>
        <v/>
      </c>
      <c r="AY226" s="80">
        <f>IF(AND(AB226=1,AV226=0,AU226=1),1,0)</f>
        <v>0</v>
      </c>
      <c r="AZ226" s="80">
        <f>IF(AY226=1,COUNTIFS(R_Emp,D226,R_SAbs,"&lt;"&amp;AX226,R_EAbs,"&gt;"&amp;AW226,R_OKey,1)-1,0)</f>
        <v>0</v>
      </c>
      <c r="BA226" s="80">
        <f>IF(AY226=1,COUNTIFS(R_Emp,"&lt;&gt;"&amp;D226,R_SAbs,"&lt;"&amp;AX226,R_EAbs,"&gt;"&amp;AW226,R_OKey,1),0)</f>
        <v>0</v>
      </c>
      <c r="BB226" s="80">
        <f>IF(AND(AB226=1,D226="proMX"),IF(AND(MOD(Z226,CFG_BLK)=0,MOD(AA226,CFG_BLK)=0,MOD(AG226,CFG_BLK)=0,AG226&gt;0),1,0),1)</f>
        <v>1</v>
      </c>
      <c r="BC226" s="80" t="str">
        <f>IF(Y226=0,"",IF(NOT(ISNUMBER(B226)),"Falta fecha o fecha inválida",IF(D226="","Falta empresa",IF(AND(D226&lt;&gt;"Malcolm",D226&lt;&gt;"proMX"),"Empresa inválida",IF(OR(INT(B226)&lt;CFG_PSTART,INT(B226)&gt;CFG_PEND),"Fecha fuera del período",IF(OR(NOT(ISNUMBER(Z226)),NOT(ISNUMBER(AA226))),"Falta hora inicio/fin o formato inválido",IF(AB226=0,"Hora inicio = hora fin",IF(AE226&lt;0,"Descanso inválido",IF(AE226&gt;=AD226,"Descanso ≥ duración",IF(AV226=1,"Registro duplicado",IF(AZ226&gt;0,"Se superpone con otro registro "&amp;D226,IF(BB226=0,"inicio, fin y duración neta deben ser múltiplos de "&amp;CFG_BLK&amp;" min",""))))))))))))</f>
        <v/>
      </c>
      <c r="BD226" s="80">
        <f>IF(AND(Y226=1,BC226=""),1,0)</f>
        <v>0</v>
      </c>
      <c r="BE226" s="80">
        <f>IF(AND(BD226=1,AU226=1),1,0)</f>
        <v>0</v>
      </c>
      <c r="BF226" s="80" t="str">
        <f>IF(AND(D226="proMX",BD226=1),IF(R226="","Draft",R226),"")</f>
        <v/>
      </c>
      <c r="BG226" s="80">
        <f>IF(BD226=1,ROUND(AG226/60,6),0)</f>
        <v>0</v>
      </c>
      <c r="BH226" s="80">
        <f>IF(BE226=1,ROUND(AG226/60,6),0)</f>
        <v>0</v>
      </c>
      <c r="BI226" s="80">
        <f>IF(BE226=1,ROUND(AP226/60,6),0)</f>
        <v>0</v>
      </c>
      <c r="BJ226" s="80">
        <f>IF(BE226=1,ROUND(AQ226/60,6),0)</f>
        <v>0</v>
      </c>
      <c r="BK226" s="80">
        <f>IF(BE226=1,ROUND((AR226+AS226)/60,6),0)</f>
        <v>0</v>
      </c>
      <c r="BL226" s="80">
        <f>ROUND(BH226-BK226,6)</f>
        <v>0</v>
      </c>
      <c r="BM226" s="80">
        <f>IF(BE226=1,ROUND(AR226/60,6),0)</f>
        <v>0</v>
      </c>
      <c r="BN226" s="80">
        <f>ROUND(BI226-BM226,6)</f>
        <v>0</v>
      </c>
      <c r="BO226" s="80">
        <f>IF(BE226=1,ROUND(AS226/60,6),0)</f>
        <v>0</v>
      </c>
      <c r="BP226" s="80">
        <f>ROUND(BJ226-BO226,6)</f>
        <v>0</v>
      </c>
      <c r="BQ226" s="80">
        <f>IF(BE226=1,AW226,0)</f>
        <v>0</v>
      </c>
      <c r="BR226" s="80">
        <f>IF(BE226=1,AX226,0)</f>
        <v>0</v>
      </c>
      <c r="BS226" s="80">
        <f>IF(AND(BE226=1,D226="Malcolm",BA226&gt;0),MIN(BH226,SUMPRODUCT((R_Emp="proMX")*(R_EN&gt;0)*((R_EN-(R_EN&gt;BR226)*(R_EN-BR226))&gt;(R_SN+(R_SN&lt;BQ226)*(BQ226-R_SN)))*((R_EN-(R_EN&gt;BR226)*(R_EN-BR226))-(R_SN+(R_SN&lt;BQ226)*(BQ226-R_SN))))/60),0)</f>
        <v>0</v>
      </c>
      <c r="BT226" s="80">
        <f>IF(AND(BE226=1,D226="proMX"),ROUND(BI226*CFG_RATE+BJ226*CFG_OTRATE,6),0)</f>
        <v>0</v>
      </c>
      <c r="BU226" s="80">
        <f>IF(AND(BD226=1,D226="proMX"),ROUND(AG226/CFG_BLK,6),0)</f>
        <v>0</v>
      </c>
      <c r="BV226" s="80" t="str">
        <f>IF(BF226="Approved",IF(ISNUMBER(T226),INT(T226),INT(B226)),"")</f>
        <v/>
      </c>
      <c r="BW226" s="80">
        <f>IF(ISNUMBER(B226),IF(DB_MON="Todos",1,IF(AND(INT(B226)&gt;=DB_MS,INT(B226)&lt;=DB_ME),1,0)),0)</f>
        <v>0</v>
      </c>
      <c r="BX226" s="80">
        <f>IF(DB_PROJ="Todos",1,IF(E226&amp;""=DB_PROJ&amp;"",1,0))</f>
        <v>1</v>
      </c>
      <c r="BY226" s="80">
        <f>BW226*BX226</f>
        <v>0</v>
      </c>
      <c r="BZ226" s="80" t="str">
        <f>IF(Y226=1,F226&amp;IF(AND(F226&amp;""&lt;&gt;"",E226&amp;""&lt;&gt;"")," · ","")&amp;E226,"")</f>
        <v/>
      </c>
      <c r="CA226" s="80" t="str">
        <f>IF(AND(BD226=1,E226&amp;""&lt;&gt;""),IF(COUNTIFS($E$5:E225,E226,$BD$5:BD225,1)=0,MAX($CA$5:CA225)+1,""),"")</f>
        <v/>
      </c>
      <c r="CB226" s="80" t="str">
        <f>IF(AND(BE226=1,D226="Malcolm",E226&amp;""&lt;&gt;""),IF(COUNTIFS($D$5:D225,"Malcolm",$E$5:E225,E226,$BE$5:BE225,1)=0,MAX($CB$5:CB225)+1,""),"")</f>
        <v/>
      </c>
      <c r="CC226" s="80" t="str">
        <f>IF(AND(BD226=1,D226="proMX",E226&amp;""&lt;&gt;""),IF(COUNTIFS($D$5:D225,"proMX",$E$5:E225,E226,$BD$5:BD225,1)=0,MAX($CC$5:CC225)+1,""),"")</f>
        <v/>
      </c>
      <c r="CD226" s="80" t="str">
        <f>IF(AND(BE226=1,D226="Malcolm",F226&amp;""&lt;&gt;""),IF(COUNTIFS($D$5:D225,"Malcolm",$F$5:F225,F226,$BE$5:BE225,1)=0,MAX($CD$5:CD225)+1,""),"")</f>
        <v/>
      </c>
      <c r="CE226" s="80" t="str">
        <f>IF(AND(BD226=1,D226="proMX",F226&amp;""&lt;&gt;""),IF(COUNTIFS($D$5:D225,"proMX",$F$5:F225,F226,$BD$5:BD225,1)=0,MAX($CE$5:CE225)+1,""),"")</f>
        <v/>
      </c>
      <c r="CF226" s="80" t="str">
        <f>IF(AND(D226="proMX",BD226=1),IF(OR(BF226="Draft",BF226="Submitted",BF226="Returned",BF226="Recall Requested"),MAX($CF$5:CF225)+1,""),"")</f>
        <v/>
      </c>
      <c r="CG226" s="80">
        <f>IF(BD226=0,0,IF(D226="Malcolm",1,MATCH(BF226,{"Draft","Submitted","Approved","Returned","Recall Requested","Cancelled"},0)+1))</f>
        <v>0</v>
      </c>
      <c r="CH226" s="80">
        <f>IF(AND(BF226="Submitted",ISNUMBER(V226)),IF(V226&gt;CFG_MAXD,1,0),0)</f>
        <v>0</v>
      </c>
    </row>
    <row r="227">
      <c r="A227" s="71" t="str">
        <f>IF(Y227=1,ROW()-5,"")</f>
        <v/>
      </c>
      <c r="B227" s="72" t="n"/>
      <c r="C227" s="71" t="str">
        <f>IF(ISNUMBER(B227),CHOOSE(WEEKDAY(B227,2),"Lun","Mar","Mié","Jue","Vie","Sáb","Dom"),"")</f>
        <v/>
      </c>
      <c r="D227" s="73" t="n"/>
      <c r="E227" s="74" t="n"/>
      <c r="F227" s="74" t="n"/>
      <c r="G227" s="74" t="n"/>
      <c r="H227" s="75" t="n"/>
      <c r="I227" s="75" t="n"/>
      <c r="J227" s="76" t="n"/>
      <c r="K227" s="77" t="str">
        <f>IF(AB227=1,ROUND(AG227/60,4),"")</f>
        <v/>
      </c>
      <c r="L227" s="77" t="str">
        <f>IF(BD227=1,ROUND(AP227/60,4),"")</f>
        <v/>
      </c>
      <c r="M227" s="77" t="str">
        <f>IF(BD227=1,ROUND(AQ227/60,4),"")</f>
        <v/>
      </c>
      <c r="N227" s="71" t="str">
        <f>IF(AND(D227="proMX",AB227=1),ROUND(AG227/CFG_BLK,2),"")</f>
        <v/>
      </c>
      <c r="O227" s="77" t="str">
        <f>IF(D227="proMX",IF(BD227=1,ROUND(AG227/60,4),0),"")</f>
        <v/>
      </c>
      <c r="P227" s="78" t="str">
        <f>IF(Y227=0,"",IF(BD227=1,"OK",IF(D227="proMX","Revisar bloques: ","Revisar: ")&amp;BC227))</f>
        <v/>
      </c>
      <c r="Q227" s="78" t="str">
        <f>IF(NOT(ISNUMBER(B227)),"",IF(COUNTIFS(FER_F,INT(B227))&gt;0,"Feriado"&amp;IF(AH227=1," (laborable)"," (no laborable)"),IF(AH227=1,"Laborable",IF(WEEKDAY(B227,2)&gt;5,"Fin de semana","No laborable"))))</f>
        <v/>
      </c>
      <c r="R227" s="73" t="n"/>
      <c r="S227" s="72" t="n"/>
      <c r="T227" s="72" t="n"/>
      <c r="U227" s="74" t="n"/>
      <c r="V227" s="79" t="str">
        <f>IF(AND(D227="proMX",OR(R227="Submitted",R227="Recall Requested"),ISNUMBER(S227)),CFG_TODAY-INT(S227),"")</f>
        <v/>
      </c>
      <c r="W227" s="78" t="str">
        <f>IF(BD227=0,"",IF(BA227&gt;0,"⚠ Se superpone con un registro de la otra empresa",IF(D227="Malcolm",IF(COUNTA(R227,S227,T227)&gt;0,"Estado/fechas proMX se ignoran en Malcolm",""),IF(BF227="Cancelled","Cancelado: excluido de totales",IF(R227="","Sin estado: se trata como Draft",IF(BF227="Submitted",IF(ISNUMBER(V227),IF(V227&gt;CFG_MAXD,"⚠ "&amp;V227&amp;" días en Submitted (máx. "&amp;CFG_MAXD&amp;")",""),"Falta fecha de envío"),IF(BF227="Returned","⚠ Devuelto: corregir y reenviar",IF(BF227="Recall Requested","Retirada solicitada: pendiente",IF(AND(BF227="Approved",NOT(ISNUMBER(T227))),"Falta fecha de aprobación",IF(AND(ISNUMBER(S227),ISNUMBER(T227),T227&lt;S227),"Aprobación anterior al envío","")))))))))</f>
        <v/>
      </c>
      <c r="Y227" s="80">
        <f>IF(COUNTA(B227,D227,E227,F227,G227,H227,I227,J227,R227,S227,T227)&gt;0,1,0)</f>
        <v>0</v>
      </c>
      <c r="Z227" s="80" t="str">
        <f>IF(AND(ISNUMBER(H227),H227&gt;=0,H227&lt;1),ROUND(H227*1440,0),"")</f>
        <v/>
      </c>
      <c r="AA227" s="80" t="str">
        <f>IF(AND(ISNUMBER(I227),I227&gt;=0,I227&lt;1),ROUND(I227*1440,0),"")</f>
        <v/>
      </c>
      <c r="AB227" s="80">
        <f>IF(AND(ISNUMBER(B227),D227&lt;&gt;"",ISNUMBER(Z227),ISNUMBER(AA227)),IF(Z227=AA227,0,1),0)</f>
        <v>0</v>
      </c>
      <c r="AC227" s="80">
        <f>IF(AB227=1,IF(AA227&lt;Z227,1,0),0)</f>
        <v>0</v>
      </c>
      <c r="AD227" s="80">
        <f>IF(AB227=1,IF(AC227=1,1440-Z227+AA227,AA227-Z227),0)</f>
        <v>0</v>
      </c>
      <c r="AE227" s="80">
        <f>IF(J227="",0,IF(ISNUMBER(J227),J227,-1))</f>
        <v>0</v>
      </c>
      <c r="AF227" s="80">
        <f>MIN(MAX(0,AE227),AD227)</f>
        <v>0</v>
      </c>
      <c r="AG227" s="80">
        <f>MAX(0,AD227-MAX(0,AE227))</f>
        <v>0</v>
      </c>
      <c r="AH227" s="80">
        <f>IF(ISNUMBER(B227),IF(AND(INDEX(CFG_WDAYS,WEEKDAY(INT(B227),2))="Sí",IF(D227="proMX",COUNTIFS(FER_F,INT(B227),FER_NLP,"Sí"),COUNTIFS(FER_F,INT(B227),FER_NLM,"Sí"))=0),1,0),0)</f>
        <v>0</v>
      </c>
      <c r="AI227" s="80">
        <f>IF(AC227=1,IF(AND(INDEX(CFG_WDAYS,WEEKDAY(INT(B227)+1,2))="Sí",IF(D227="proMX",COUNTIFS(FER_F,INT(B227)+1,FER_NLP,"Sí"),COUNTIFS(FER_F,INT(B227)+1,FER_NLM,"Sí"))=0),1,0),0)</f>
        <v>0</v>
      </c>
      <c r="AJ227" s="80">
        <f>IF(AC227=1,1440-Z227,AD227)</f>
        <v>0</v>
      </c>
      <c r="AK227" s="80">
        <f>IF(AND(AB227=1,AH227=1),MAX(0,MIN(IF(AC227=1,1440,AA227),CFG_WEM)-MAX(Z227,CFG_WSM)),0)</f>
        <v>0</v>
      </c>
      <c r="AL227" s="80">
        <f>IF(AND(AC227=1,AI227=1),MAX(0,MIN(AA227,CFG_WEM)-CFG_WSM),0)</f>
        <v>0</v>
      </c>
      <c r="AM227" s="80">
        <f>AK227+AL227</f>
        <v>0</v>
      </c>
      <c r="AN227" s="80">
        <f>IF(CFG_BRK="Proporcional",IF(AD227=0,0,AF227*AM227/AD227),IF(CFG_BRK="Extras primero",MIN(AM227,MAX(0,AF227-(AD227-AM227))),MIN(AF227,AM227)))</f>
        <v>0</v>
      </c>
      <c r="AO227" s="80">
        <f>AF227-AN227</f>
        <v>0</v>
      </c>
      <c r="AP227" s="80">
        <f>AM227-AN227</f>
        <v>0</v>
      </c>
      <c r="AQ227" s="80">
        <f>AD227-AM227-AO227</f>
        <v>0</v>
      </c>
      <c r="AR227" s="80">
        <f>IF(AM227=0,0,AK227-AN227*AK227/AM227)</f>
        <v>0</v>
      </c>
      <c r="AS227" s="80">
        <f>IF(AD227-AM227=0,0,(AJ227-AK227)-AO227*(AJ227-AK227)/(AD227-AM227))</f>
        <v>0</v>
      </c>
      <c r="AT227" s="80" t="str">
        <f>IF(AC227=1,INT(B227)+1,"")</f>
        <v/>
      </c>
      <c r="AU227" s="80">
        <f>IF(AND(D227="proMX",R227="Cancelled"),0,1)</f>
        <v>1</v>
      </c>
      <c r="AV227" s="80">
        <f>IF(AND(AB227=1,AU227=1),IF(COUNTIFS($D$5:D226,D227,$B$5:B226,B227,$Z$5:Z226,Z227,$AA$5:AA226,AA227,$F$5:F226,F227&amp;"",$AU$5:AU226,1)&gt;0,1,0),0)</f>
        <v>0</v>
      </c>
      <c r="AW227" s="80" t="str">
        <f>IF(AB227=1,INT(B227)*1440+Z227,"")</f>
        <v/>
      </c>
      <c r="AX227" s="80" t="str">
        <f>IF(AB227=1,AW227+AD227,"")</f>
        <v/>
      </c>
      <c r="AY227" s="80">
        <f>IF(AND(AB227=1,AV227=0,AU227=1),1,0)</f>
        <v>0</v>
      </c>
      <c r="AZ227" s="80">
        <f>IF(AY227=1,COUNTIFS(R_Emp,D227,R_SAbs,"&lt;"&amp;AX227,R_EAbs,"&gt;"&amp;AW227,R_OKey,1)-1,0)</f>
        <v>0</v>
      </c>
      <c r="BA227" s="80">
        <f>IF(AY227=1,COUNTIFS(R_Emp,"&lt;&gt;"&amp;D227,R_SAbs,"&lt;"&amp;AX227,R_EAbs,"&gt;"&amp;AW227,R_OKey,1),0)</f>
        <v>0</v>
      </c>
      <c r="BB227" s="80">
        <f>IF(AND(AB227=1,D227="proMX"),IF(AND(MOD(Z227,CFG_BLK)=0,MOD(AA227,CFG_BLK)=0,MOD(AG227,CFG_BLK)=0,AG227&gt;0),1,0),1)</f>
        <v>1</v>
      </c>
      <c r="BC227" s="80" t="str">
        <f>IF(Y227=0,"",IF(NOT(ISNUMBER(B227)),"Falta fecha o fecha inválida",IF(D227="","Falta empresa",IF(AND(D227&lt;&gt;"Malcolm",D227&lt;&gt;"proMX"),"Empresa inválida",IF(OR(INT(B227)&lt;CFG_PSTART,INT(B227)&gt;CFG_PEND),"Fecha fuera del período",IF(OR(NOT(ISNUMBER(Z227)),NOT(ISNUMBER(AA227))),"Falta hora inicio/fin o formato inválido",IF(AB227=0,"Hora inicio = hora fin",IF(AE227&lt;0,"Descanso inválido",IF(AE227&gt;=AD227,"Descanso ≥ duración",IF(AV227=1,"Registro duplicado",IF(AZ227&gt;0,"Se superpone con otro registro "&amp;D227,IF(BB227=0,"inicio, fin y duración neta deben ser múltiplos de "&amp;CFG_BLK&amp;" min",""))))))))))))</f>
        <v/>
      </c>
      <c r="BD227" s="80">
        <f>IF(AND(Y227=1,BC227=""),1,0)</f>
        <v>0</v>
      </c>
      <c r="BE227" s="80">
        <f>IF(AND(BD227=1,AU227=1),1,0)</f>
        <v>0</v>
      </c>
      <c r="BF227" s="80" t="str">
        <f>IF(AND(D227="proMX",BD227=1),IF(R227="","Draft",R227),"")</f>
        <v/>
      </c>
      <c r="BG227" s="80">
        <f>IF(BD227=1,ROUND(AG227/60,6),0)</f>
        <v>0</v>
      </c>
      <c r="BH227" s="80">
        <f>IF(BE227=1,ROUND(AG227/60,6),0)</f>
        <v>0</v>
      </c>
      <c r="BI227" s="80">
        <f>IF(BE227=1,ROUND(AP227/60,6),0)</f>
        <v>0</v>
      </c>
      <c r="BJ227" s="80">
        <f>IF(BE227=1,ROUND(AQ227/60,6),0)</f>
        <v>0</v>
      </c>
      <c r="BK227" s="80">
        <f>IF(BE227=1,ROUND((AR227+AS227)/60,6),0)</f>
        <v>0</v>
      </c>
      <c r="BL227" s="80">
        <f>ROUND(BH227-BK227,6)</f>
        <v>0</v>
      </c>
      <c r="BM227" s="80">
        <f>IF(BE227=1,ROUND(AR227/60,6),0)</f>
        <v>0</v>
      </c>
      <c r="BN227" s="80">
        <f>ROUND(BI227-BM227,6)</f>
        <v>0</v>
      </c>
      <c r="BO227" s="80">
        <f>IF(BE227=1,ROUND(AS227/60,6),0)</f>
        <v>0</v>
      </c>
      <c r="BP227" s="80">
        <f>ROUND(BJ227-BO227,6)</f>
        <v>0</v>
      </c>
      <c r="BQ227" s="80">
        <f>IF(BE227=1,AW227,0)</f>
        <v>0</v>
      </c>
      <c r="BR227" s="80">
        <f>IF(BE227=1,AX227,0)</f>
        <v>0</v>
      </c>
      <c r="BS227" s="80">
        <f>IF(AND(BE227=1,D227="Malcolm",BA227&gt;0),MIN(BH227,SUMPRODUCT((R_Emp="proMX")*(R_EN&gt;0)*((R_EN-(R_EN&gt;BR227)*(R_EN-BR227))&gt;(R_SN+(R_SN&lt;BQ227)*(BQ227-R_SN)))*((R_EN-(R_EN&gt;BR227)*(R_EN-BR227))-(R_SN+(R_SN&lt;BQ227)*(BQ227-R_SN))))/60),0)</f>
        <v>0</v>
      </c>
      <c r="BT227" s="80">
        <f>IF(AND(BE227=1,D227="proMX"),ROUND(BI227*CFG_RATE+BJ227*CFG_OTRATE,6),0)</f>
        <v>0</v>
      </c>
      <c r="BU227" s="80">
        <f>IF(AND(BD227=1,D227="proMX"),ROUND(AG227/CFG_BLK,6),0)</f>
        <v>0</v>
      </c>
      <c r="BV227" s="80" t="str">
        <f>IF(BF227="Approved",IF(ISNUMBER(T227),INT(T227),INT(B227)),"")</f>
        <v/>
      </c>
      <c r="BW227" s="80">
        <f>IF(ISNUMBER(B227),IF(DB_MON="Todos",1,IF(AND(INT(B227)&gt;=DB_MS,INT(B227)&lt;=DB_ME),1,0)),0)</f>
        <v>0</v>
      </c>
      <c r="BX227" s="80">
        <f>IF(DB_PROJ="Todos",1,IF(E227&amp;""=DB_PROJ&amp;"",1,0))</f>
        <v>1</v>
      </c>
      <c r="BY227" s="80">
        <f>BW227*BX227</f>
        <v>0</v>
      </c>
      <c r="BZ227" s="80" t="str">
        <f>IF(Y227=1,F227&amp;IF(AND(F227&amp;""&lt;&gt;"",E227&amp;""&lt;&gt;"")," · ","")&amp;E227,"")</f>
        <v/>
      </c>
      <c r="CA227" s="80" t="str">
        <f>IF(AND(BD227=1,E227&amp;""&lt;&gt;""),IF(COUNTIFS($E$5:E226,E227,$BD$5:BD226,1)=0,MAX($CA$5:CA226)+1,""),"")</f>
        <v/>
      </c>
      <c r="CB227" s="80" t="str">
        <f>IF(AND(BE227=1,D227="Malcolm",E227&amp;""&lt;&gt;""),IF(COUNTIFS($D$5:D226,"Malcolm",$E$5:E226,E227,$BE$5:BE226,1)=0,MAX($CB$5:CB226)+1,""),"")</f>
        <v/>
      </c>
      <c r="CC227" s="80" t="str">
        <f>IF(AND(BD227=1,D227="proMX",E227&amp;""&lt;&gt;""),IF(COUNTIFS($D$5:D226,"proMX",$E$5:E226,E227,$BD$5:BD226,1)=0,MAX($CC$5:CC226)+1,""),"")</f>
        <v/>
      </c>
      <c r="CD227" s="80" t="str">
        <f>IF(AND(BE227=1,D227="Malcolm",F227&amp;""&lt;&gt;""),IF(COUNTIFS($D$5:D226,"Malcolm",$F$5:F226,F227,$BE$5:BE226,1)=0,MAX($CD$5:CD226)+1,""),"")</f>
        <v/>
      </c>
      <c r="CE227" s="80" t="str">
        <f>IF(AND(BD227=1,D227="proMX",F227&amp;""&lt;&gt;""),IF(COUNTIFS($D$5:D226,"proMX",$F$5:F226,F227,$BD$5:BD226,1)=0,MAX($CE$5:CE226)+1,""),"")</f>
        <v/>
      </c>
      <c r="CF227" s="80" t="str">
        <f>IF(AND(D227="proMX",BD227=1),IF(OR(BF227="Draft",BF227="Submitted",BF227="Returned",BF227="Recall Requested"),MAX($CF$5:CF226)+1,""),"")</f>
        <v/>
      </c>
      <c r="CG227" s="80">
        <f>IF(BD227=0,0,IF(D227="Malcolm",1,MATCH(BF227,{"Draft","Submitted","Approved","Returned","Recall Requested","Cancelled"},0)+1))</f>
        <v>0</v>
      </c>
      <c r="CH227" s="80">
        <f>IF(AND(BF227="Submitted",ISNUMBER(V227)),IF(V227&gt;CFG_MAXD,1,0),0)</f>
        <v>0</v>
      </c>
    </row>
    <row r="228">
      <c r="A228" s="71" t="str">
        <f>IF(Y228=1,ROW()-5,"")</f>
        <v/>
      </c>
      <c r="B228" s="72" t="n"/>
      <c r="C228" s="71" t="str">
        <f>IF(ISNUMBER(B228),CHOOSE(WEEKDAY(B228,2),"Lun","Mar","Mié","Jue","Vie","Sáb","Dom"),"")</f>
        <v/>
      </c>
      <c r="D228" s="73" t="n"/>
      <c r="E228" s="74" t="n"/>
      <c r="F228" s="74" t="n"/>
      <c r="G228" s="74" t="n"/>
      <c r="H228" s="75" t="n"/>
      <c r="I228" s="75" t="n"/>
      <c r="J228" s="76" t="n"/>
      <c r="K228" s="77" t="str">
        <f>IF(AB228=1,ROUND(AG228/60,4),"")</f>
        <v/>
      </c>
      <c r="L228" s="77" t="str">
        <f>IF(BD228=1,ROUND(AP228/60,4),"")</f>
        <v/>
      </c>
      <c r="M228" s="77" t="str">
        <f>IF(BD228=1,ROUND(AQ228/60,4),"")</f>
        <v/>
      </c>
      <c r="N228" s="71" t="str">
        <f>IF(AND(D228="proMX",AB228=1),ROUND(AG228/CFG_BLK,2),"")</f>
        <v/>
      </c>
      <c r="O228" s="77" t="str">
        <f>IF(D228="proMX",IF(BD228=1,ROUND(AG228/60,4),0),"")</f>
        <v/>
      </c>
      <c r="P228" s="78" t="str">
        <f>IF(Y228=0,"",IF(BD228=1,"OK",IF(D228="proMX","Revisar bloques: ","Revisar: ")&amp;BC228))</f>
        <v/>
      </c>
      <c r="Q228" s="78" t="str">
        <f>IF(NOT(ISNUMBER(B228)),"",IF(COUNTIFS(FER_F,INT(B228))&gt;0,"Feriado"&amp;IF(AH228=1," (laborable)"," (no laborable)"),IF(AH228=1,"Laborable",IF(WEEKDAY(B228,2)&gt;5,"Fin de semana","No laborable"))))</f>
        <v/>
      </c>
      <c r="R228" s="73" t="n"/>
      <c r="S228" s="72" t="n"/>
      <c r="T228" s="72" t="n"/>
      <c r="U228" s="74" t="n"/>
      <c r="V228" s="79" t="str">
        <f>IF(AND(D228="proMX",OR(R228="Submitted",R228="Recall Requested"),ISNUMBER(S228)),CFG_TODAY-INT(S228),"")</f>
        <v/>
      </c>
      <c r="W228" s="78" t="str">
        <f>IF(BD228=0,"",IF(BA228&gt;0,"⚠ Se superpone con un registro de la otra empresa",IF(D228="Malcolm",IF(COUNTA(R228,S228,T228)&gt;0,"Estado/fechas proMX se ignoran en Malcolm",""),IF(BF228="Cancelled","Cancelado: excluido de totales",IF(R228="","Sin estado: se trata como Draft",IF(BF228="Submitted",IF(ISNUMBER(V228),IF(V228&gt;CFG_MAXD,"⚠ "&amp;V228&amp;" días en Submitted (máx. "&amp;CFG_MAXD&amp;")",""),"Falta fecha de envío"),IF(BF228="Returned","⚠ Devuelto: corregir y reenviar",IF(BF228="Recall Requested","Retirada solicitada: pendiente",IF(AND(BF228="Approved",NOT(ISNUMBER(T228))),"Falta fecha de aprobación",IF(AND(ISNUMBER(S228),ISNUMBER(T228),T228&lt;S228),"Aprobación anterior al envío","")))))))))</f>
        <v/>
      </c>
      <c r="Y228" s="80">
        <f>IF(COUNTA(B228,D228,E228,F228,G228,H228,I228,J228,R228,S228,T228)&gt;0,1,0)</f>
        <v>0</v>
      </c>
      <c r="Z228" s="80" t="str">
        <f>IF(AND(ISNUMBER(H228),H228&gt;=0,H228&lt;1),ROUND(H228*1440,0),"")</f>
        <v/>
      </c>
      <c r="AA228" s="80" t="str">
        <f>IF(AND(ISNUMBER(I228),I228&gt;=0,I228&lt;1),ROUND(I228*1440,0),"")</f>
        <v/>
      </c>
      <c r="AB228" s="80">
        <f>IF(AND(ISNUMBER(B228),D228&lt;&gt;"",ISNUMBER(Z228),ISNUMBER(AA228)),IF(Z228=AA228,0,1),0)</f>
        <v>0</v>
      </c>
      <c r="AC228" s="80">
        <f>IF(AB228=1,IF(AA228&lt;Z228,1,0),0)</f>
        <v>0</v>
      </c>
      <c r="AD228" s="80">
        <f>IF(AB228=1,IF(AC228=1,1440-Z228+AA228,AA228-Z228),0)</f>
        <v>0</v>
      </c>
      <c r="AE228" s="80">
        <f>IF(J228="",0,IF(ISNUMBER(J228),J228,-1))</f>
        <v>0</v>
      </c>
      <c r="AF228" s="80">
        <f>MIN(MAX(0,AE228),AD228)</f>
        <v>0</v>
      </c>
      <c r="AG228" s="80">
        <f>MAX(0,AD228-MAX(0,AE228))</f>
        <v>0</v>
      </c>
      <c r="AH228" s="80">
        <f>IF(ISNUMBER(B228),IF(AND(INDEX(CFG_WDAYS,WEEKDAY(INT(B228),2))="Sí",IF(D228="proMX",COUNTIFS(FER_F,INT(B228),FER_NLP,"Sí"),COUNTIFS(FER_F,INT(B228),FER_NLM,"Sí"))=0),1,0),0)</f>
        <v>0</v>
      </c>
      <c r="AI228" s="80">
        <f>IF(AC228=1,IF(AND(INDEX(CFG_WDAYS,WEEKDAY(INT(B228)+1,2))="Sí",IF(D228="proMX",COUNTIFS(FER_F,INT(B228)+1,FER_NLP,"Sí"),COUNTIFS(FER_F,INT(B228)+1,FER_NLM,"Sí"))=0),1,0),0)</f>
        <v>0</v>
      </c>
      <c r="AJ228" s="80">
        <f>IF(AC228=1,1440-Z228,AD228)</f>
        <v>0</v>
      </c>
      <c r="AK228" s="80">
        <f>IF(AND(AB228=1,AH228=1),MAX(0,MIN(IF(AC228=1,1440,AA228),CFG_WEM)-MAX(Z228,CFG_WSM)),0)</f>
        <v>0</v>
      </c>
      <c r="AL228" s="80">
        <f>IF(AND(AC228=1,AI228=1),MAX(0,MIN(AA228,CFG_WEM)-CFG_WSM),0)</f>
        <v>0</v>
      </c>
      <c r="AM228" s="80">
        <f>AK228+AL228</f>
        <v>0</v>
      </c>
      <c r="AN228" s="80">
        <f>IF(CFG_BRK="Proporcional",IF(AD228=0,0,AF228*AM228/AD228),IF(CFG_BRK="Extras primero",MIN(AM228,MAX(0,AF228-(AD228-AM228))),MIN(AF228,AM228)))</f>
        <v>0</v>
      </c>
      <c r="AO228" s="80">
        <f>AF228-AN228</f>
        <v>0</v>
      </c>
      <c r="AP228" s="80">
        <f>AM228-AN228</f>
        <v>0</v>
      </c>
      <c r="AQ228" s="80">
        <f>AD228-AM228-AO228</f>
        <v>0</v>
      </c>
      <c r="AR228" s="80">
        <f>IF(AM228=0,0,AK228-AN228*AK228/AM228)</f>
        <v>0</v>
      </c>
      <c r="AS228" s="80">
        <f>IF(AD228-AM228=0,0,(AJ228-AK228)-AO228*(AJ228-AK228)/(AD228-AM228))</f>
        <v>0</v>
      </c>
      <c r="AT228" s="80" t="str">
        <f>IF(AC228=1,INT(B228)+1,"")</f>
        <v/>
      </c>
      <c r="AU228" s="80">
        <f>IF(AND(D228="proMX",R228="Cancelled"),0,1)</f>
        <v>1</v>
      </c>
      <c r="AV228" s="80">
        <f>IF(AND(AB228=1,AU228=1),IF(COUNTIFS($D$5:D227,D228,$B$5:B227,B228,$Z$5:Z227,Z228,$AA$5:AA227,AA228,$F$5:F227,F228&amp;"",$AU$5:AU227,1)&gt;0,1,0),0)</f>
        <v>0</v>
      </c>
      <c r="AW228" s="80" t="str">
        <f>IF(AB228=1,INT(B228)*1440+Z228,"")</f>
        <v/>
      </c>
      <c r="AX228" s="80" t="str">
        <f>IF(AB228=1,AW228+AD228,"")</f>
        <v/>
      </c>
      <c r="AY228" s="80">
        <f>IF(AND(AB228=1,AV228=0,AU228=1),1,0)</f>
        <v>0</v>
      </c>
      <c r="AZ228" s="80">
        <f>IF(AY228=1,COUNTIFS(R_Emp,D228,R_SAbs,"&lt;"&amp;AX228,R_EAbs,"&gt;"&amp;AW228,R_OKey,1)-1,0)</f>
        <v>0</v>
      </c>
      <c r="BA228" s="80">
        <f>IF(AY228=1,COUNTIFS(R_Emp,"&lt;&gt;"&amp;D228,R_SAbs,"&lt;"&amp;AX228,R_EAbs,"&gt;"&amp;AW228,R_OKey,1),0)</f>
        <v>0</v>
      </c>
      <c r="BB228" s="80">
        <f>IF(AND(AB228=1,D228="proMX"),IF(AND(MOD(Z228,CFG_BLK)=0,MOD(AA228,CFG_BLK)=0,MOD(AG228,CFG_BLK)=0,AG228&gt;0),1,0),1)</f>
        <v>1</v>
      </c>
      <c r="BC228" s="80" t="str">
        <f>IF(Y228=0,"",IF(NOT(ISNUMBER(B228)),"Falta fecha o fecha inválida",IF(D228="","Falta empresa",IF(AND(D228&lt;&gt;"Malcolm",D228&lt;&gt;"proMX"),"Empresa inválida",IF(OR(INT(B228)&lt;CFG_PSTART,INT(B228)&gt;CFG_PEND),"Fecha fuera del período",IF(OR(NOT(ISNUMBER(Z228)),NOT(ISNUMBER(AA228))),"Falta hora inicio/fin o formato inválido",IF(AB228=0,"Hora inicio = hora fin",IF(AE228&lt;0,"Descanso inválido",IF(AE228&gt;=AD228,"Descanso ≥ duración",IF(AV228=1,"Registro duplicado",IF(AZ228&gt;0,"Se superpone con otro registro "&amp;D228,IF(BB228=0,"inicio, fin y duración neta deben ser múltiplos de "&amp;CFG_BLK&amp;" min",""))))))))))))</f>
        <v/>
      </c>
      <c r="BD228" s="80">
        <f>IF(AND(Y228=1,BC228=""),1,0)</f>
        <v>0</v>
      </c>
      <c r="BE228" s="80">
        <f>IF(AND(BD228=1,AU228=1),1,0)</f>
        <v>0</v>
      </c>
      <c r="BF228" s="80" t="str">
        <f>IF(AND(D228="proMX",BD228=1),IF(R228="","Draft",R228),"")</f>
        <v/>
      </c>
      <c r="BG228" s="80">
        <f>IF(BD228=1,ROUND(AG228/60,6),0)</f>
        <v>0</v>
      </c>
      <c r="BH228" s="80">
        <f>IF(BE228=1,ROUND(AG228/60,6),0)</f>
        <v>0</v>
      </c>
      <c r="BI228" s="80">
        <f>IF(BE228=1,ROUND(AP228/60,6),0)</f>
        <v>0</v>
      </c>
      <c r="BJ228" s="80">
        <f>IF(BE228=1,ROUND(AQ228/60,6),0)</f>
        <v>0</v>
      </c>
      <c r="BK228" s="80">
        <f>IF(BE228=1,ROUND((AR228+AS228)/60,6),0)</f>
        <v>0</v>
      </c>
      <c r="BL228" s="80">
        <f>ROUND(BH228-BK228,6)</f>
        <v>0</v>
      </c>
      <c r="BM228" s="80">
        <f>IF(BE228=1,ROUND(AR228/60,6),0)</f>
        <v>0</v>
      </c>
      <c r="BN228" s="80">
        <f>ROUND(BI228-BM228,6)</f>
        <v>0</v>
      </c>
      <c r="BO228" s="80">
        <f>IF(BE228=1,ROUND(AS228/60,6),0)</f>
        <v>0</v>
      </c>
      <c r="BP228" s="80">
        <f>ROUND(BJ228-BO228,6)</f>
        <v>0</v>
      </c>
      <c r="BQ228" s="80">
        <f>IF(BE228=1,AW228,0)</f>
        <v>0</v>
      </c>
      <c r="BR228" s="80">
        <f>IF(BE228=1,AX228,0)</f>
        <v>0</v>
      </c>
      <c r="BS228" s="80">
        <f>IF(AND(BE228=1,D228="Malcolm",BA228&gt;0),MIN(BH228,SUMPRODUCT((R_Emp="proMX")*(R_EN&gt;0)*((R_EN-(R_EN&gt;BR228)*(R_EN-BR228))&gt;(R_SN+(R_SN&lt;BQ228)*(BQ228-R_SN)))*((R_EN-(R_EN&gt;BR228)*(R_EN-BR228))-(R_SN+(R_SN&lt;BQ228)*(BQ228-R_SN))))/60),0)</f>
        <v>0</v>
      </c>
      <c r="BT228" s="80">
        <f>IF(AND(BE228=1,D228="proMX"),ROUND(BI228*CFG_RATE+BJ228*CFG_OTRATE,6),0)</f>
        <v>0</v>
      </c>
      <c r="BU228" s="80">
        <f>IF(AND(BD228=1,D228="proMX"),ROUND(AG228/CFG_BLK,6),0)</f>
        <v>0</v>
      </c>
      <c r="BV228" s="80" t="str">
        <f>IF(BF228="Approved",IF(ISNUMBER(T228),INT(T228),INT(B228)),"")</f>
        <v/>
      </c>
      <c r="BW228" s="80">
        <f>IF(ISNUMBER(B228),IF(DB_MON="Todos",1,IF(AND(INT(B228)&gt;=DB_MS,INT(B228)&lt;=DB_ME),1,0)),0)</f>
        <v>0</v>
      </c>
      <c r="BX228" s="80">
        <f>IF(DB_PROJ="Todos",1,IF(E228&amp;""=DB_PROJ&amp;"",1,0))</f>
        <v>1</v>
      </c>
      <c r="BY228" s="80">
        <f>BW228*BX228</f>
        <v>0</v>
      </c>
      <c r="BZ228" s="80" t="str">
        <f>IF(Y228=1,F228&amp;IF(AND(F228&amp;""&lt;&gt;"",E228&amp;""&lt;&gt;"")," · ","")&amp;E228,"")</f>
        <v/>
      </c>
      <c r="CA228" s="80" t="str">
        <f>IF(AND(BD228=1,E228&amp;""&lt;&gt;""),IF(COUNTIFS($E$5:E227,E228,$BD$5:BD227,1)=0,MAX($CA$5:CA227)+1,""),"")</f>
        <v/>
      </c>
      <c r="CB228" s="80" t="str">
        <f>IF(AND(BE228=1,D228="Malcolm",E228&amp;""&lt;&gt;""),IF(COUNTIFS($D$5:D227,"Malcolm",$E$5:E227,E228,$BE$5:BE227,1)=0,MAX($CB$5:CB227)+1,""),"")</f>
        <v/>
      </c>
      <c r="CC228" s="80" t="str">
        <f>IF(AND(BD228=1,D228="proMX",E228&amp;""&lt;&gt;""),IF(COUNTIFS($D$5:D227,"proMX",$E$5:E227,E228,$BD$5:BD227,1)=0,MAX($CC$5:CC227)+1,""),"")</f>
        <v/>
      </c>
      <c r="CD228" s="80" t="str">
        <f>IF(AND(BE228=1,D228="Malcolm",F228&amp;""&lt;&gt;""),IF(COUNTIFS($D$5:D227,"Malcolm",$F$5:F227,F228,$BE$5:BE227,1)=0,MAX($CD$5:CD227)+1,""),"")</f>
        <v/>
      </c>
      <c r="CE228" s="80" t="str">
        <f>IF(AND(BD228=1,D228="proMX",F228&amp;""&lt;&gt;""),IF(COUNTIFS($D$5:D227,"proMX",$F$5:F227,F228,$BD$5:BD227,1)=0,MAX($CE$5:CE227)+1,""),"")</f>
        <v/>
      </c>
      <c r="CF228" s="80" t="str">
        <f>IF(AND(D228="proMX",BD228=1),IF(OR(BF228="Draft",BF228="Submitted",BF228="Returned",BF228="Recall Requested"),MAX($CF$5:CF227)+1,""),"")</f>
        <v/>
      </c>
      <c r="CG228" s="80">
        <f>IF(BD228=0,0,IF(D228="Malcolm",1,MATCH(BF228,{"Draft","Submitted","Approved","Returned","Recall Requested","Cancelled"},0)+1))</f>
        <v>0</v>
      </c>
      <c r="CH228" s="80">
        <f>IF(AND(BF228="Submitted",ISNUMBER(V228)),IF(V228&gt;CFG_MAXD,1,0),0)</f>
        <v>0</v>
      </c>
    </row>
    <row r="229">
      <c r="A229" s="71" t="str">
        <f>IF(Y229=1,ROW()-5,"")</f>
        <v/>
      </c>
      <c r="B229" s="72" t="n"/>
      <c r="C229" s="71" t="str">
        <f>IF(ISNUMBER(B229),CHOOSE(WEEKDAY(B229,2),"Lun","Mar","Mié","Jue","Vie","Sáb","Dom"),"")</f>
        <v/>
      </c>
      <c r="D229" s="73" t="n"/>
      <c r="E229" s="74" t="n"/>
      <c r="F229" s="74" t="n"/>
      <c r="G229" s="74" t="n"/>
      <c r="H229" s="75" t="n"/>
      <c r="I229" s="75" t="n"/>
      <c r="J229" s="76" t="n"/>
      <c r="K229" s="77" t="str">
        <f>IF(AB229=1,ROUND(AG229/60,4),"")</f>
        <v/>
      </c>
      <c r="L229" s="77" t="str">
        <f>IF(BD229=1,ROUND(AP229/60,4),"")</f>
        <v/>
      </c>
      <c r="M229" s="77" t="str">
        <f>IF(BD229=1,ROUND(AQ229/60,4),"")</f>
        <v/>
      </c>
      <c r="N229" s="71" t="str">
        <f>IF(AND(D229="proMX",AB229=1),ROUND(AG229/CFG_BLK,2),"")</f>
        <v/>
      </c>
      <c r="O229" s="77" t="str">
        <f>IF(D229="proMX",IF(BD229=1,ROUND(AG229/60,4),0),"")</f>
        <v/>
      </c>
      <c r="P229" s="78" t="str">
        <f>IF(Y229=0,"",IF(BD229=1,"OK",IF(D229="proMX","Revisar bloques: ","Revisar: ")&amp;BC229))</f>
        <v/>
      </c>
      <c r="Q229" s="78" t="str">
        <f>IF(NOT(ISNUMBER(B229)),"",IF(COUNTIFS(FER_F,INT(B229))&gt;0,"Feriado"&amp;IF(AH229=1," (laborable)"," (no laborable)"),IF(AH229=1,"Laborable",IF(WEEKDAY(B229,2)&gt;5,"Fin de semana","No laborable"))))</f>
        <v/>
      </c>
      <c r="R229" s="73" t="n"/>
      <c r="S229" s="72" t="n"/>
      <c r="T229" s="72" t="n"/>
      <c r="U229" s="74" t="n"/>
      <c r="V229" s="79" t="str">
        <f>IF(AND(D229="proMX",OR(R229="Submitted",R229="Recall Requested"),ISNUMBER(S229)),CFG_TODAY-INT(S229),"")</f>
        <v/>
      </c>
      <c r="W229" s="78" t="str">
        <f>IF(BD229=0,"",IF(BA229&gt;0,"⚠ Se superpone con un registro de la otra empresa",IF(D229="Malcolm",IF(COUNTA(R229,S229,T229)&gt;0,"Estado/fechas proMX se ignoran en Malcolm",""),IF(BF229="Cancelled","Cancelado: excluido de totales",IF(R229="","Sin estado: se trata como Draft",IF(BF229="Submitted",IF(ISNUMBER(V229),IF(V229&gt;CFG_MAXD,"⚠ "&amp;V229&amp;" días en Submitted (máx. "&amp;CFG_MAXD&amp;")",""),"Falta fecha de envío"),IF(BF229="Returned","⚠ Devuelto: corregir y reenviar",IF(BF229="Recall Requested","Retirada solicitada: pendiente",IF(AND(BF229="Approved",NOT(ISNUMBER(T229))),"Falta fecha de aprobación",IF(AND(ISNUMBER(S229),ISNUMBER(T229),T229&lt;S229),"Aprobación anterior al envío","")))))))))</f>
        <v/>
      </c>
      <c r="Y229" s="80">
        <f>IF(COUNTA(B229,D229,E229,F229,G229,H229,I229,J229,R229,S229,T229)&gt;0,1,0)</f>
        <v>0</v>
      </c>
      <c r="Z229" s="80" t="str">
        <f>IF(AND(ISNUMBER(H229),H229&gt;=0,H229&lt;1),ROUND(H229*1440,0),"")</f>
        <v/>
      </c>
      <c r="AA229" s="80" t="str">
        <f>IF(AND(ISNUMBER(I229),I229&gt;=0,I229&lt;1),ROUND(I229*1440,0),"")</f>
        <v/>
      </c>
      <c r="AB229" s="80">
        <f>IF(AND(ISNUMBER(B229),D229&lt;&gt;"",ISNUMBER(Z229),ISNUMBER(AA229)),IF(Z229=AA229,0,1),0)</f>
        <v>0</v>
      </c>
      <c r="AC229" s="80">
        <f>IF(AB229=1,IF(AA229&lt;Z229,1,0),0)</f>
        <v>0</v>
      </c>
      <c r="AD229" s="80">
        <f>IF(AB229=1,IF(AC229=1,1440-Z229+AA229,AA229-Z229),0)</f>
        <v>0</v>
      </c>
      <c r="AE229" s="80">
        <f>IF(J229="",0,IF(ISNUMBER(J229),J229,-1))</f>
        <v>0</v>
      </c>
      <c r="AF229" s="80">
        <f>MIN(MAX(0,AE229),AD229)</f>
        <v>0</v>
      </c>
      <c r="AG229" s="80">
        <f>MAX(0,AD229-MAX(0,AE229))</f>
        <v>0</v>
      </c>
      <c r="AH229" s="80">
        <f>IF(ISNUMBER(B229),IF(AND(INDEX(CFG_WDAYS,WEEKDAY(INT(B229),2))="Sí",IF(D229="proMX",COUNTIFS(FER_F,INT(B229),FER_NLP,"Sí"),COUNTIFS(FER_F,INT(B229),FER_NLM,"Sí"))=0),1,0),0)</f>
        <v>0</v>
      </c>
      <c r="AI229" s="80">
        <f>IF(AC229=1,IF(AND(INDEX(CFG_WDAYS,WEEKDAY(INT(B229)+1,2))="Sí",IF(D229="proMX",COUNTIFS(FER_F,INT(B229)+1,FER_NLP,"Sí"),COUNTIFS(FER_F,INT(B229)+1,FER_NLM,"Sí"))=0),1,0),0)</f>
        <v>0</v>
      </c>
      <c r="AJ229" s="80">
        <f>IF(AC229=1,1440-Z229,AD229)</f>
        <v>0</v>
      </c>
      <c r="AK229" s="80">
        <f>IF(AND(AB229=1,AH229=1),MAX(0,MIN(IF(AC229=1,1440,AA229),CFG_WEM)-MAX(Z229,CFG_WSM)),0)</f>
        <v>0</v>
      </c>
      <c r="AL229" s="80">
        <f>IF(AND(AC229=1,AI229=1),MAX(0,MIN(AA229,CFG_WEM)-CFG_WSM),0)</f>
        <v>0</v>
      </c>
      <c r="AM229" s="80">
        <f>AK229+AL229</f>
        <v>0</v>
      </c>
      <c r="AN229" s="80">
        <f>IF(CFG_BRK="Proporcional",IF(AD229=0,0,AF229*AM229/AD229),IF(CFG_BRK="Extras primero",MIN(AM229,MAX(0,AF229-(AD229-AM229))),MIN(AF229,AM229)))</f>
        <v>0</v>
      </c>
      <c r="AO229" s="80">
        <f>AF229-AN229</f>
        <v>0</v>
      </c>
      <c r="AP229" s="80">
        <f>AM229-AN229</f>
        <v>0</v>
      </c>
      <c r="AQ229" s="80">
        <f>AD229-AM229-AO229</f>
        <v>0</v>
      </c>
      <c r="AR229" s="80">
        <f>IF(AM229=0,0,AK229-AN229*AK229/AM229)</f>
        <v>0</v>
      </c>
      <c r="AS229" s="80">
        <f>IF(AD229-AM229=0,0,(AJ229-AK229)-AO229*(AJ229-AK229)/(AD229-AM229))</f>
        <v>0</v>
      </c>
      <c r="AT229" s="80" t="str">
        <f>IF(AC229=1,INT(B229)+1,"")</f>
        <v/>
      </c>
      <c r="AU229" s="80">
        <f>IF(AND(D229="proMX",R229="Cancelled"),0,1)</f>
        <v>1</v>
      </c>
      <c r="AV229" s="80">
        <f>IF(AND(AB229=1,AU229=1),IF(COUNTIFS($D$5:D228,D229,$B$5:B228,B229,$Z$5:Z228,Z229,$AA$5:AA228,AA229,$F$5:F228,F229&amp;"",$AU$5:AU228,1)&gt;0,1,0),0)</f>
        <v>0</v>
      </c>
      <c r="AW229" s="80" t="str">
        <f>IF(AB229=1,INT(B229)*1440+Z229,"")</f>
        <v/>
      </c>
      <c r="AX229" s="80" t="str">
        <f>IF(AB229=1,AW229+AD229,"")</f>
        <v/>
      </c>
      <c r="AY229" s="80">
        <f>IF(AND(AB229=1,AV229=0,AU229=1),1,0)</f>
        <v>0</v>
      </c>
      <c r="AZ229" s="80">
        <f>IF(AY229=1,COUNTIFS(R_Emp,D229,R_SAbs,"&lt;"&amp;AX229,R_EAbs,"&gt;"&amp;AW229,R_OKey,1)-1,0)</f>
        <v>0</v>
      </c>
      <c r="BA229" s="80">
        <f>IF(AY229=1,COUNTIFS(R_Emp,"&lt;&gt;"&amp;D229,R_SAbs,"&lt;"&amp;AX229,R_EAbs,"&gt;"&amp;AW229,R_OKey,1),0)</f>
        <v>0</v>
      </c>
      <c r="BB229" s="80">
        <f>IF(AND(AB229=1,D229="proMX"),IF(AND(MOD(Z229,CFG_BLK)=0,MOD(AA229,CFG_BLK)=0,MOD(AG229,CFG_BLK)=0,AG229&gt;0),1,0),1)</f>
        <v>1</v>
      </c>
      <c r="BC229" s="80" t="str">
        <f>IF(Y229=0,"",IF(NOT(ISNUMBER(B229)),"Falta fecha o fecha inválida",IF(D229="","Falta empresa",IF(AND(D229&lt;&gt;"Malcolm",D229&lt;&gt;"proMX"),"Empresa inválida",IF(OR(INT(B229)&lt;CFG_PSTART,INT(B229)&gt;CFG_PEND),"Fecha fuera del período",IF(OR(NOT(ISNUMBER(Z229)),NOT(ISNUMBER(AA229))),"Falta hora inicio/fin o formato inválido",IF(AB229=0,"Hora inicio = hora fin",IF(AE229&lt;0,"Descanso inválido",IF(AE229&gt;=AD229,"Descanso ≥ duración",IF(AV229=1,"Registro duplicado",IF(AZ229&gt;0,"Se superpone con otro registro "&amp;D229,IF(BB229=0,"inicio, fin y duración neta deben ser múltiplos de "&amp;CFG_BLK&amp;" min",""))))))))))))</f>
        <v/>
      </c>
      <c r="BD229" s="80">
        <f>IF(AND(Y229=1,BC229=""),1,0)</f>
        <v>0</v>
      </c>
      <c r="BE229" s="80">
        <f>IF(AND(BD229=1,AU229=1),1,0)</f>
        <v>0</v>
      </c>
      <c r="BF229" s="80" t="str">
        <f>IF(AND(D229="proMX",BD229=1),IF(R229="","Draft",R229),"")</f>
        <v/>
      </c>
      <c r="BG229" s="80">
        <f>IF(BD229=1,ROUND(AG229/60,6),0)</f>
        <v>0</v>
      </c>
      <c r="BH229" s="80">
        <f>IF(BE229=1,ROUND(AG229/60,6),0)</f>
        <v>0</v>
      </c>
      <c r="BI229" s="80">
        <f>IF(BE229=1,ROUND(AP229/60,6),0)</f>
        <v>0</v>
      </c>
      <c r="BJ229" s="80">
        <f>IF(BE229=1,ROUND(AQ229/60,6),0)</f>
        <v>0</v>
      </c>
      <c r="BK229" s="80">
        <f>IF(BE229=1,ROUND((AR229+AS229)/60,6),0)</f>
        <v>0</v>
      </c>
      <c r="BL229" s="80">
        <f>ROUND(BH229-BK229,6)</f>
        <v>0</v>
      </c>
      <c r="BM229" s="80">
        <f>IF(BE229=1,ROUND(AR229/60,6),0)</f>
        <v>0</v>
      </c>
      <c r="BN229" s="80">
        <f>ROUND(BI229-BM229,6)</f>
        <v>0</v>
      </c>
      <c r="BO229" s="80">
        <f>IF(BE229=1,ROUND(AS229/60,6),0)</f>
        <v>0</v>
      </c>
      <c r="BP229" s="80">
        <f>ROUND(BJ229-BO229,6)</f>
        <v>0</v>
      </c>
      <c r="BQ229" s="80">
        <f>IF(BE229=1,AW229,0)</f>
        <v>0</v>
      </c>
      <c r="BR229" s="80">
        <f>IF(BE229=1,AX229,0)</f>
        <v>0</v>
      </c>
      <c r="BS229" s="80">
        <f>IF(AND(BE229=1,D229="Malcolm",BA229&gt;0),MIN(BH229,SUMPRODUCT((R_Emp="proMX")*(R_EN&gt;0)*((R_EN-(R_EN&gt;BR229)*(R_EN-BR229))&gt;(R_SN+(R_SN&lt;BQ229)*(BQ229-R_SN)))*((R_EN-(R_EN&gt;BR229)*(R_EN-BR229))-(R_SN+(R_SN&lt;BQ229)*(BQ229-R_SN))))/60),0)</f>
        <v>0</v>
      </c>
      <c r="BT229" s="80">
        <f>IF(AND(BE229=1,D229="proMX"),ROUND(BI229*CFG_RATE+BJ229*CFG_OTRATE,6),0)</f>
        <v>0</v>
      </c>
      <c r="BU229" s="80">
        <f>IF(AND(BD229=1,D229="proMX"),ROUND(AG229/CFG_BLK,6),0)</f>
        <v>0</v>
      </c>
      <c r="BV229" s="80" t="str">
        <f>IF(BF229="Approved",IF(ISNUMBER(T229),INT(T229),INT(B229)),"")</f>
        <v/>
      </c>
      <c r="BW229" s="80">
        <f>IF(ISNUMBER(B229),IF(DB_MON="Todos",1,IF(AND(INT(B229)&gt;=DB_MS,INT(B229)&lt;=DB_ME),1,0)),0)</f>
        <v>0</v>
      </c>
      <c r="BX229" s="80">
        <f>IF(DB_PROJ="Todos",1,IF(E229&amp;""=DB_PROJ&amp;"",1,0))</f>
        <v>1</v>
      </c>
      <c r="BY229" s="80">
        <f>BW229*BX229</f>
        <v>0</v>
      </c>
      <c r="BZ229" s="80" t="str">
        <f>IF(Y229=1,F229&amp;IF(AND(F229&amp;""&lt;&gt;"",E229&amp;""&lt;&gt;"")," · ","")&amp;E229,"")</f>
        <v/>
      </c>
      <c r="CA229" s="80" t="str">
        <f>IF(AND(BD229=1,E229&amp;""&lt;&gt;""),IF(COUNTIFS($E$5:E228,E229,$BD$5:BD228,1)=0,MAX($CA$5:CA228)+1,""),"")</f>
        <v/>
      </c>
      <c r="CB229" s="80" t="str">
        <f>IF(AND(BE229=1,D229="Malcolm",E229&amp;""&lt;&gt;""),IF(COUNTIFS($D$5:D228,"Malcolm",$E$5:E228,E229,$BE$5:BE228,1)=0,MAX($CB$5:CB228)+1,""),"")</f>
        <v/>
      </c>
      <c r="CC229" s="80" t="str">
        <f>IF(AND(BD229=1,D229="proMX",E229&amp;""&lt;&gt;""),IF(COUNTIFS($D$5:D228,"proMX",$E$5:E228,E229,$BD$5:BD228,1)=0,MAX($CC$5:CC228)+1,""),"")</f>
        <v/>
      </c>
      <c r="CD229" s="80" t="str">
        <f>IF(AND(BE229=1,D229="Malcolm",F229&amp;""&lt;&gt;""),IF(COUNTIFS($D$5:D228,"Malcolm",$F$5:F228,F229,$BE$5:BE228,1)=0,MAX($CD$5:CD228)+1,""),"")</f>
        <v/>
      </c>
      <c r="CE229" s="80" t="str">
        <f>IF(AND(BD229=1,D229="proMX",F229&amp;""&lt;&gt;""),IF(COUNTIFS($D$5:D228,"proMX",$F$5:F228,F229,$BD$5:BD228,1)=0,MAX($CE$5:CE228)+1,""),"")</f>
        <v/>
      </c>
      <c r="CF229" s="80" t="str">
        <f>IF(AND(D229="proMX",BD229=1),IF(OR(BF229="Draft",BF229="Submitted",BF229="Returned",BF229="Recall Requested"),MAX($CF$5:CF228)+1,""),"")</f>
        <v/>
      </c>
      <c r="CG229" s="80">
        <f>IF(BD229=0,0,IF(D229="Malcolm",1,MATCH(BF229,{"Draft","Submitted","Approved","Returned","Recall Requested","Cancelled"},0)+1))</f>
        <v>0</v>
      </c>
      <c r="CH229" s="80">
        <f>IF(AND(BF229="Submitted",ISNUMBER(V229)),IF(V229&gt;CFG_MAXD,1,0),0)</f>
        <v>0</v>
      </c>
    </row>
    <row r="230">
      <c r="A230" s="71" t="str">
        <f>IF(Y230=1,ROW()-5,"")</f>
        <v/>
      </c>
      <c r="B230" s="72" t="n"/>
      <c r="C230" s="71" t="str">
        <f>IF(ISNUMBER(B230),CHOOSE(WEEKDAY(B230,2),"Lun","Mar","Mié","Jue","Vie","Sáb","Dom"),"")</f>
        <v/>
      </c>
      <c r="D230" s="73" t="n"/>
      <c r="E230" s="74" t="n"/>
      <c r="F230" s="74" t="n"/>
      <c r="G230" s="74" t="n"/>
      <c r="H230" s="75" t="n"/>
      <c r="I230" s="75" t="n"/>
      <c r="J230" s="76" t="n"/>
      <c r="K230" s="77" t="str">
        <f>IF(AB230=1,ROUND(AG230/60,4),"")</f>
        <v/>
      </c>
      <c r="L230" s="77" t="str">
        <f>IF(BD230=1,ROUND(AP230/60,4),"")</f>
        <v/>
      </c>
      <c r="M230" s="77" t="str">
        <f>IF(BD230=1,ROUND(AQ230/60,4),"")</f>
        <v/>
      </c>
      <c r="N230" s="71" t="str">
        <f>IF(AND(D230="proMX",AB230=1),ROUND(AG230/CFG_BLK,2),"")</f>
        <v/>
      </c>
      <c r="O230" s="77" t="str">
        <f>IF(D230="proMX",IF(BD230=1,ROUND(AG230/60,4),0),"")</f>
        <v/>
      </c>
      <c r="P230" s="78" t="str">
        <f>IF(Y230=0,"",IF(BD230=1,"OK",IF(D230="proMX","Revisar bloques: ","Revisar: ")&amp;BC230))</f>
        <v/>
      </c>
      <c r="Q230" s="78" t="str">
        <f>IF(NOT(ISNUMBER(B230)),"",IF(COUNTIFS(FER_F,INT(B230))&gt;0,"Feriado"&amp;IF(AH230=1," (laborable)"," (no laborable)"),IF(AH230=1,"Laborable",IF(WEEKDAY(B230,2)&gt;5,"Fin de semana","No laborable"))))</f>
        <v/>
      </c>
      <c r="R230" s="73" t="n"/>
      <c r="S230" s="72" t="n"/>
      <c r="T230" s="72" t="n"/>
      <c r="U230" s="74" t="n"/>
      <c r="V230" s="79" t="str">
        <f>IF(AND(D230="proMX",OR(R230="Submitted",R230="Recall Requested"),ISNUMBER(S230)),CFG_TODAY-INT(S230),"")</f>
        <v/>
      </c>
      <c r="W230" s="78" t="str">
        <f>IF(BD230=0,"",IF(BA230&gt;0,"⚠ Se superpone con un registro de la otra empresa",IF(D230="Malcolm",IF(COUNTA(R230,S230,T230)&gt;0,"Estado/fechas proMX se ignoran en Malcolm",""),IF(BF230="Cancelled","Cancelado: excluido de totales",IF(R230="","Sin estado: se trata como Draft",IF(BF230="Submitted",IF(ISNUMBER(V230),IF(V230&gt;CFG_MAXD,"⚠ "&amp;V230&amp;" días en Submitted (máx. "&amp;CFG_MAXD&amp;")",""),"Falta fecha de envío"),IF(BF230="Returned","⚠ Devuelto: corregir y reenviar",IF(BF230="Recall Requested","Retirada solicitada: pendiente",IF(AND(BF230="Approved",NOT(ISNUMBER(T230))),"Falta fecha de aprobación",IF(AND(ISNUMBER(S230),ISNUMBER(T230),T230&lt;S230),"Aprobación anterior al envío","")))))))))</f>
        <v/>
      </c>
      <c r="Y230" s="80">
        <f>IF(COUNTA(B230,D230,E230,F230,G230,H230,I230,J230,R230,S230,T230)&gt;0,1,0)</f>
        <v>0</v>
      </c>
      <c r="Z230" s="80" t="str">
        <f>IF(AND(ISNUMBER(H230),H230&gt;=0,H230&lt;1),ROUND(H230*1440,0),"")</f>
        <v/>
      </c>
      <c r="AA230" s="80" t="str">
        <f>IF(AND(ISNUMBER(I230),I230&gt;=0,I230&lt;1),ROUND(I230*1440,0),"")</f>
        <v/>
      </c>
      <c r="AB230" s="80">
        <f>IF(AND(ISNUMBER(B230),D230&lt;&gt;"",ISNUMBER(Z230),ISNUMBER(AA230)),IF(Z230=AA230,0,1),0)</f>
        <v>0</v>
      </c>
      <c r="AC230" s="80">
        <f>IF(AB230=1,IF(AA230&lt;Z230,1,0),0)</f>
        <v>0</v>
      </c>
      <c r="AD230" s="80">
        <f>IF(AB230=1,IF(AC230=1,1440-Z230+AA230,AA230-Z230),0)</f>
        <v>0</v>
      </c>
      <c r="AE230" s="80">
        <f>IF(J230="",0,IF(ISNUMBER(J230),J230,-1))</f>
        <v>0</v>
      </c>
      <c r="AF230" s="80">
        <f>MIN(MAX(0,AE230),AD230)</f>
        <v>0</v>
      </c>
      <c r="AG230" s="80">
        <f>MAX(0,AD230-MAX(0,AE230))</f>
        <v>0</v>
      </c>
      <c r="AH230" s="80">
        <f>IF(ISNUMBER(B230),IF(AND(INDEX(CFG_WDAYS,WEEKDAY(INT(B230),2))="Sí",IF(D230="proMX",COUNTIFS(FER_F,INT(B230),FER_NLP,"Sí"),COUNTIFS(FER_F,INT(B230),FER_NLM,"Sí"))=0),1,0),0)</f>
        <v>0</v>
      </c>
      <c r="AI230" s="80">
        <f>IF(AC230=1,IF(AND(INDEX(CFG_WDAYS,WEEKDAY(INT(B230)+1,2))="Sí",IF(D230="proMX",COUNTIFS(FER_F,INT(B230)+1,FER_NLP,"Sí"),COUNTIFS(FER_F,INT(B230)+1,FER_NLM,"Sí"))=0),1,0),0)</f>
        <v>0</v>
      </c>
      <c r="AJ230" s="80">
        <f>IF(AC230=1,1440-Z230,AD230)</f>
        <v>0</v>
      </c>
      <c r="AK230" s="80">
        <f>IF(AND(AB230=1,AH230=1),MAX(0,MIN(IF(AC230=1,1440,AA230),CFG_WEM)-MAX(Z230,CFG_WSM)),0)</f>
        <v>0</v>
      </c>
      <c r="AL230" s="80">
        <f>IF(AND(AC230=1,AI230=1),MAX(0,MIN(AA230,CFG_WEM)-CFG_WSM),0)</f>
        <v>0</v>
      </c>
      <c r="AM230" s="80">
        <f>AK230+AL230</f>
        <v>0</v>
      </c>
      <c r="AN230" s="80">
        <f>IF(CFG_BRK="Proporcional",IF(AD230=0,0,AF230*AM230/AD230),IF(CFG_BRK="Extras primero",MIN(AM230,MAX(0,AF230-(AD230-AM230))),MIN(AF230,AM230)))</f>
        <v>0</v>
      </c>
      <c r="AO230" s="80">
        <f>AF230-AN230</f>
        <v>0</v>
      </c>
      <c r="AP230" s="80">
        <f>AM230-AN230</f>
        <v>0</v>
      </c>
      <c r="AQ230" s="80">
        <f>AD230-AM230-AO230</f>
        <v>0</v>
      </c>
      <c r="AR230" s="80">
        <f>IF(AM230=0,0,AK230-AN230*AK230/AM230)</f>
        <v>0</v>
      </c>
      <c r="AS230" s="80">
        <f>IF(AD230-AM230=0,0,(AJ230-AK230)-AO230*(AJ230-AK230)/(AD230-AM230))</f>
        <v>0</v>
      </c>
      <c r="AT230" s="80" t="str">
        <f>IF(AC230=1,INT(B230)+1,"")</f>
        <v/>
      </c>
      <c r="AU230" s="80">
        <f>IF(AND(D230="proMX",R230="Cancelled"),0,1)</f>
        <v>1</v>
      </c>
      <c r="AV230" s="80">
        <f>IF(AND(AB230=1,AU230=1),IF(COUNTIFS($D$5:D229,D230,$B$5:B229,B230,$Z$5:Z229,Z230,$AA$5:AA229,AA230,$F$5:F229,F230&amp;"",$AU$5:AU229,1)&gt;0,1,0),0)</f>
        <v>0</v>
      </c>
      <c r="AW230" s="80" t="str">
        <f>IF(AB230=1,INT(B230)*1440+Z230,"")</f>
        <v/>
      </c>
      <c r="AX230" s="80" t="str">
        <f>IF(AB230=1,AW230+AD230,"")</f>
        <v/>
      </c>
      <c r="AY230" s="80">
        <f>IF(AND(AB230=1,AV230=0,AU230=1),1,0)</f>
        <v>0</v>
      </c>
      <c r="AZ230" s="80">
        <f>IF(AY230=1,COUNTIFS(R_Emp,D230,R_SAbs,"&lt;"&amp;AX230,R_EAbs,"&gt;"&amp;AW230,R_OKey,1)-1,0)</f>
        <v>0</v>
      </c>
      <c r="BA230" s="80">
        <f>IF(AY230=1,COUNTIFS(R_Emp,"&lt;&gt;"&amp;D230,R_SAbs,"&lt;"&amp;AX230,R_EAbs,"&gt;"&amp;AW230,R_OKey,1),0)</f>
        <v>0</v>
      </c>
      <c r="BB230" s="80">
        <f>IF(AND(AB230=1,D230="proMX"),IF(AND(MOD(Z230,CFG_BLK)=0,MOD(AA230,CFG_BLK)=0,MOD(AG230,CFG_BLK)=0,AG230&gt;0),1,0),1)</f>
        <v>1</v>
      </c>
      <c r="BC230" s="80" t="str">
        <f>IF(Y230=0,"",IF(NOT(ISNUMBER(B230)),"Falta fecha o fecha inválida",IF(D230="","Falta empresa",IF(AND(D230&lt;&gt;"Malcolm",D230&lt;&gt;"proMX"),"Empresa inválida",IF(OR(INT(B230)&lt;CFG_PSTART,INT(B230)&gt;CFG_PEND),"Fecha fuera del período",IF(OR(NOT(ISNUMBER(Z230)),NOT(ISNUMBER(AA230))),"Falta hora inicio/fin o formato inválido",IF(AB230=0,"Hora inicio = hora fin",IF(AE230&lt;0,"Descanso inválido",IF(AE230&gt;=AD230,"Descanso ≥ duración",IF(AV230=1,"Registro duplicado",IF(AZ230&gt;0,"Se superpone con otro registro "&amp;D230,IF(BB230=0,"inicio, fin y duración neta deben ser múltiplos de "&amp;CFG_BLK&amp;" min",""))))))))))))</f>
        <v/>
      </c>
      <c r="BD230" s="80">
        <f>IF(AND(Y230=1,BC230=""),1,0)</f>
        <v>0</v>
      </c>
      <c r="BE230" s="80">
        <f>IF(AND(BD230=1,AU230=1),1,0)</f>
        <v>0</v>
      </c>
      <c r="BF230" s="80" t="str">
        <f>IF(AND(D230="proMX",BD230=1),IF(R230="","Draft",R230),"")</f>
        <v/>
      </c>
      <c r="BG230" s="80">
        <f>IF(BD230=1,ROUND(AG230/60,6),0)</f>
        <v>0</v>
      </c>
      <c r="BH230" s="80">
        <f>IF(BE230=1,ROUND(AG230/60,6),0)</f>
        <v>0</v>
      </c>
      <c r="BI230" s="80">
        <f>IF(BE230=1,ROUND(AP230/60,6),0)</f>
        <v>0</v>
      </c>
      <c r="BJ230" s="80">
        <f>IF(BE230=1,ROUND(AQ230/60,6),0)</f>
        <v>0</v>
      </c>
      <c r="BK230" s="80">
        <f>IF(BE230=1,ROUND((AR230+AS230)/60,6),0)</f>
        <v>0</v>
      </c>
      <c r="BL230" s="80">
        <f>ROUND(BH230-BK230,6)</f>
        <v>0</v>
      </c>
      <c r="BM230" s="80">
        <f>IF(BE230=1,ROUND(AR230/60,6),0)</f>
        <v>0</v>
      </c>
      <c r="BN230" s="80">
        <f>ROUND(BI230-BM230,6)</f>
        <v>0</v>
      </c>
      <c r="BO230" s="80">
        <f>IF(BE230=1,ROUND(AS230/60,6),0)</f>
        <v>0</v>
      </c>
      <c r="BP230" s="80">
        <f>ROUND(BJ230-BO230,6)</f>
        <v>0</v>
      </c>
      <c r="BQ230" s="80">
        <f>IF(BE230=1,AW230,0)</f>
        <v>0</v>
      </c>
      <c r="BR230" s="80">
        <f>IF(BE230=1,AX230,0)</f>
        <v>0</v>
      </c>
      <c r="BS230" s="80">
        <f>IF(AND(BE230=1,D230="Malcolm",BA230&gt;0),MIN(BH230,SUMPRODUCT((R_Emp="proMX")*(R_EN&gt;0)*((R_EN-(R_EN&gt;BR230)*(R_EN-BR230))&gt;(R_SN+(R_SN&lt;BQ230)*(BQ230-R_SN)))*((R_EN-(R_EN&gt;BR230)*(R_EN-BR230))-(R_SN+(R_SN&lt;BQ230)*(BQ230-R_SN))))/60),0)</f>
        <v>0</v>
      </c>
      <c r="BT230" s="80">
        <f>IF(AND(BE230=1,D230="proMX"),ROUND(BI230*CFG_RATE+BJ230*CFG_OTRATE,6),0)</f>
        <v>0</v>
      </c>
      <c r="BU230" s="80">
        <f>IF(AND(BD230=1,D230="proMX"),ROUND(AG230/CFG_BLK,6),0)</f>
        <v>0</v>
      </c>
      <c r="BV230" s="80" t="str">
        <f>IF(BF230="Approved",IF(ISNUMBER(T230),INT(T230),INT(B230)),"")</f>
        <v/>
      </c>
      <c r="BW230" s="80">
        <f>IF(ISNUMBER(B230),IF(DB_MON="Todos",1,IF(AND(INT(B230)&gt;=DB_MS,INT(B230)&lt;=DB_ME),1,0)),0)</f>
        <v>0</v>
      </c>
      <c r="BX230" s="80">
        <f>IF(DB_PROJ="Todos",1,IF(E230&amp;""=DB_PROJ&amp;"",1,0))</f>
        <v>1</v>
      </c>
      <c r="BY230" s="80">
        <f>BW230*BX230</f>
        <v>0</v>
      </c>
      <c r="BZ230" s="80" t="str">
        <f>IF(Y230=1,F230&amp;IF(AND(F230&amp;""&lt;&gt;"",E230&amp;""&lt;&gt;"")," · ","")&amp;E230,"")</f>
        <v/>
      </c>
      <c r="CA230" s="80" t="str">
        <f>IF(AND(BD230=1,E230&amp;""&lt;&gt;""),IF(COUNTIFS($E$5:E229,E230,$BD$5:BD229,1)=0,MAX($CA$5:CA229)+1,""),"")</f>
        <v/>
      </c>
      <c r="CB230" s="80" t="str">
        <f>IF(AND(BE230=1,D230="Malcolm",E230&amp;""&lt;&gt;""),IF(COUNTIFS($D$5:D229,"Malcolm",$E$5:E229,E230,$BE$5:BE229,1)=0,MAX($CB$5:CB229)+1,""),"")</f>
        <v/>
      </c>
      <c r="CC230" s="80" t="str">
        <f>IF(AND(BD230=1,D230="proMX",E230&amp;""&lt;&gt;""),IF(COUNTIFS($D$5:D229,"proMX",$E$5:E229,E230,$BD$5:BD229,1)=0,MAX($CC$5:CC229)+1,""),"")</f>
        <v/>
      </c>
      <c r="CD230" s="80" t="str">
        <f>IF(AND(BE230=1,D230="Malcolm",F230&amp;""&lt;&gt;""),IF(COUNTIFS($D$5:D229,"Malcolm",$F$5:F229,F230,$BE$5:BE229,1)=0,MAX($CD$5:CD229)+1,""),"")</f>
        <v/>
      </c>
      <c r="CE230" s="80" t="str">
        <f>IF(AND(BD230=1,D230="proMX",F230&amp;""&lt;&gt;""),IF(COUNTIFS($D$5:D229,"proMX",$F$5:F229,F230,$BD$5:BD229,1)=0,MAX($CE$5:CE229)+1,""),"")</f>
        <v/>
      </c>
      <c r="CF230" s="80" t="str">
        <f>IF(AND(D230="proMX",BD230=1),IF(OR(BF230="Draft",BF230="Submitted",BF230="Returned",BF230="Recall Requested"),MAX($CF$5:CF229)+1,""),"")</f>
        <v/>
      </c>
      <c r="CG230" s="80">
        <f>IF(BD230=0,0,IF(D230="Malcolm",1,MATCH(BF230,{"Draft","Submitted","Approved","Returned","Recall Requested","Cancelled"},0)+1))</f>
        <v>0</v>
      </c>
      <c r="CH230" s="80">
        <f>IF(AND(BF230="Submitted",ISNUMBER(V230)),IF(V230&gt;CFG_MAXD,1,0),0)</f>
        <v>0</v>
      </c>
    </row>
    <row r="231">
      <c r="A231" s="71" t="str">
        <f>IF(Y231=1,ROW()-5,"")</f>
        <v/>
      </c>
      <c r="B231" s="72" t="n"/>
      <c r="C231" s="71" t="str">
        <f>IF(ISNUMBER(B231),CHOOSE(WEEKDAY(B231,2),"Lun","Mar","Mié","Jue","Vie","Sáb","Dom"),"")</f>
        <v/>
      </c>
      <c r="D231" s="73" t="n"/>
      <c r="E231" s="74" t="n"/>
      <c r="F231" s="74" t="n"/>
      <c r="G231" s="74" t="n"/>
      <c r="H231" s="75" t="n"/>
      <c r="I231" s="75" t="n"/>
      <c r="J231" s="76" t="n"/>
      <c r="K231" s="77" t="str">
        <f>IF(AB231=1,ROUND(AG231/60,4),"")</f>
        <v/>
      </c>
      <c r="L231" s="77" t="str">
        <f>IF(BD231=1,ROUND(AP231/60,4),"")</f>
        <v/>
      </c>
      <c r="M231" s="77" t="str">
        <f>IF(BD231=1,ROUND(AQ231/60,4),"")</f>
        <v/>
      </c>
      <c r="N231" s="71" t="str">
        <f>IF(AND(D231="proMX",AB231=1),ROUND(AG231/CFG_BLK,2),"")</f>
        <v/>
      </c>
      <c r="O231" s="77" t="str">
        <f>IF(D231="proMX",IF(BD231=1,ROUND(AG231/60,4),0),"")</f>
        <v/>
      </c>
      <c r="P231" s="78" t="str">
        <f>IF(Y231=0,"",IF(BD231=1,"OK",IF(D231="proMX","Revisar bloques: ","Revisar: ")&amp;BC231))</f>
        <v/>
      </c>
      <c r="Q231" s="78" t="str">
        <f>IF(NOT(ISNUMBER(B231)),"",IF(COUNTIFS(FER_F,INT(B231))&gt;0,"Feriado"&amp;IF(AH231=1," (laborable)"," (no laborable)"),IF(AH231=1,"Laborable",IF(WEEKDAY(B231,2)&gt;5,"Fin de semana","No laborable"))))</f>
        <v/>
      </c>
      <c r="R231" s="73" t="n"/>
      <c r="S231" s="72" t="n"/>
      <c r="T231" s="72" t="n"/>
      <c r="U231" s="74" t="n"/>
      <c r="V231" s="79" t="str">
        <f>IF(AND(D231="proMX",OR(R231="Submitted",R231="Recall Requested"),ISNUMBER(S231)),CFG_TODAY-INT(S231),"")</f>
        <v/>
      </c>
      <c r="W231" s="78" t="str">
        <f>IF(BD231=0,"",IF(BA231&gt;0,"⚠ Se superpone con un registro de la otra empresa",IF(D231="Malcolm",IF(COUNTA(R231,S231,T231)&gt;0,"Estado/fechas proMX se ignoran en Malcolm",""),IF(BF231="Cancelled","Cancelado: excluido de totales",IF(R231="","Sin estado: se trata como Draft",IF(BF231="Submitted",IF(ISNUMBER(V231),IF(V231&gt;CFG_MAXD,"⚠ "&amp;V231&amp;" días en Submitted (máx. "&amp;CFG_MAXD&amp;")",""),"Falta fecha de envío"),IF(BF231="Returned","⚠ Devuelto: corregir y reenviar",IF(BF231="Recall Requested","Retirada solicitada: pendiente",IF(AND(BF231="Approved",NOT(ISNUMBER(T231))),"Falta fecha de aprobación",IF(AND(ISNUMBER(S231),ISNUMBER(T231),T231&lt;S231),"Aprobación anterior al envío","")))))))))</f>
        <v/>
      </c>
      <c r="Y231" s="80">
        <f>IF(COUNTA(B231,D231,E231,F231,G231,H231,I231,J231,R231,S231,T231)&gt;0,1,0)</f>
        <v>0</v>
      </c>
      <c r="Z231" s="80" t="str">
        <f>IF(AND(ISNUMBER(H231),H231&gt;=0,H231&lt;1),ROUND(H231*1440,0),"")</f>
        <v/>
      </c>
      <c r="AA231" s="80" t="str">
        <f>IF(AND(ISNUMBER(I231),I231&gt;=0,I231&lt;1),ROUND(I231*1440,0),"")</f>
        <v/>
      </c>
      <c r="AB231" s="80">
        <f>IF(AND(ISNUMBER(B231),D231&lt;&gt;"",ISNUMBER(Z231),ISNUMBER(AA231)),IF(Z231=AA231,0,1),0)</f>
        <v>0</v>
      </c>
      <c r="AC231" s="80">
        <f>IF(AB231=1,IF(AA231&lt;Z231,1,0),0)</f>
        <v>0</v>
      </c>
      <c r="AD231" s="80">
        <f>IF(AB231=1,IF(AC231=1,1440-Z231+AA231,AA231-Z231),0)</f>
        <v>0</v>
      </c>
      <c r="AE231" s="80">
        <f>IF(J231="",0,IF(ISNUMBER(J231),J231,-1))</f>
        <v>0</v>
      </c>
      <c r="AF231" s="80">
        <f>MIN(MAX(0,AE231),AD231)</f>
        <v>0</v>
      </c>
      <c r="AG231" s="80">
        <f>MAX(0,AD231-MAX(0,AE231))</f>
        <v>0</v>
      </c>
      <c r="AH231" s="80">
        <f>IF(ISNUMBER(B231),IF(AND(INDEX(CFG_WDAYS,WEEKDAY(INT(B231),2))="Sí",IF(D231="proMX",COUNTIFS(FER_F,INT(B231),FER_NLP,"Sí"),COUNTIFS(FER_F,INT(B231),FER_NLM,"Sí"))=0),1,0),0)</f>
        <v>0</v>
      </c>
      <c r="AI231" s="80">
        <f>IF(AC231=1,IF(AND(INDEX(CFG_WDAYS,WEEKDAY(INT(B231)+1,2))="Sí",IF(D231="proMX",COUNTIFS(FER_F,INT(B231)+1,FER_NLP,"Sí"),COUNTIFS(FER_F,INT(B231)+1,FER_NLM,"Sí"))=0),1,0),0)</f>
        <v>0</v>
      </c>
      <c r="AJ231" s="80">
        <f>IF(AC231=1,1440-Z231,AD231)</f>
        <v>0</v>
      </c>
      <c r="AK231" s="80">
        <f>IF(AND(AB231=1,AH231=1),MAX(0,MIN(IF(AC231=1,1440,AA231),CFG_WEM)-MAX(Z231,CFG_WSM)),0)</f>
        <v>0</v>
      </c>
      <c r="AL231" s="80">
        <f>IF(AND(AC231=1,AI231=1),MAX(0,MIN(AA231,CFG_WEM)-CFG_WSM),0)</f>
        <v>0</v>
      </c>
      <c r="AM231" s="80">
        <f>AK231+AL231</f>
        <v>0</v>
      </c>
      <c r="AN231" s="80">
        <f>IF(CFG_BRK="Proporcional",IF(AD231=0,0,AF231*AM231/AD231),IF(CFG_BRK="Extras primero",MIN(AM231,MAX(0,AF231-(AD231-AM231))),MIN(AF231,AM231)))</f>
        <v>0</v>
      </c>
      <c r="AO231" s="80">
        <f>AF231-AN231</f>
        <v>0</v>
      </c>
      <c r="AP231" s="80">
        <f>AM231-AN231</f>
        <v>0</v>
      </c>
      <c r="AQ231" s="80">
        <f>AD231-AM231-AO231</f>
        <v>0</v>
      </c>
      <c r="AR231" s="80">
        <f>IF(AM231=0,0,AK231-AN231*AK231/AM231)</f>
        <v>0</v>
      </c>
      <c r="AS231" s="80">
        <f>IF(AD231-AM231=0,0,(AJ231-AK231)-AO231*(AJ231-AK231)/(AD231-AM231))</f>
        <v>0</v>
      </c>
      <c r="AT231" s="80" t="str">
        <f>IF(AC231=1,INT(B231)+1,"")</f>
        <v/>
      </c>
      <c r="AU231" s="80">
        <f>IF(AND(D231="proMX",R231="Cancelled"),0,1)</f>
        <v>1</v>
      </c>
      <c r="AV231" s="80">
        <f>IF(AND(AB231=1,AU231=1),IF(COUNTIFS($D$5:D230,D231,$B$5:B230,B231,$Z$5:Z230,Z231,$AA$5:AA230,AA231,$F$5:F230,F231&amp;"",$AU$5:AU230,1)&gt;0,1,0),0)</f>
        <v>0</v>
      </c>
      <c r="AW231" s="80" t="str">
        <f>IF(AB231=1,INT(B231)*1440+Z231,"")</f>
        <v/>
      </c>
      <c r="AX231" s="80" t="str">
        <f>IF(AB231=1,AW231+AD231,"")</f>
        <v/>
      </c>
      <c r="AY231" s="80">
        <f>IF(AND(AB231=1,AV231=0,AU231=1),1,0)</f>
        <v>0</v>
      </c>
      <c r="AZ231" s="80">
        <f>IF(AY231=1,COUNTIFS(R_Emp,D231,R_SAbs,"&lt;"&amp;AX231,R_EAbs,"&gt;"&amp;AW231,R_OKey,1)-1,0)</f>
        <v>0</v>
      </c>
      <c r="BA231" s="80">
        <f>IF(AY231=1,COUNTIFS(R_Emp,"&lt;&gt;"&amp;D231,R_SAbs,"&lt;"&amp;AX231,R_EAbs,"&gt;"&amp;AW231,R_OKey,1),0)</f>
        <v>0</v>
      </c>
      <c r="BB231" s="80">
        <f>IF(AND(AB231=1,D231="proMX"),IF(AND(MOD(Z231,CFG_BLK)=0,MOD(AA231,CFG_BLK)=0,MOD(AG231,CFG_BLK)=0,AG231&gt;0),1,0),1)</f>
        <v>1</v>
      </c>
      <c r="BC231" s="80" t="str">
        <f>IF(Y231=0,"",IF(NOT(ISNUMBER(B231)),"Falta fecha o fecha inválida",IF(D231="","Falta empresa",IF(AND(D231&lt;&gt;"Malcolm",D231&lt;&gt;"proMX"),"Empresa inválida",IF(OR(INT(B231)&lt;CFG_PSTART,INT(B231)&gt;CFG_PEND),"Fecha fuera del período",IF(OR(NOT(ISNUMBER(Z231)),NOT(ISNUMBER(AA231))),"Falta hora inicio/fin o formato inválido",IF(AB231=0,"Hora inicio = hora fin",IF(AE231&lt;0,"Descanso inválido",IF(AE231&gt;=AD231,"Descanso ≥ duración",IF(AV231=1,"Registro duplicado",IF(AZ231&gt;0,"Se superpone con otro registro "&amp;D231,IF(BB231=0,"inicio, fin y duración neta deben ser múltiplos de "&amp;CFG_BLK&amp;" min",""))))))))))))</f>
        <v/>
      </c>
      <c r="BD231" s="80">
        <f>IF(AND(Y231=1,BC231=""),1,0)</f>
        <v>0</v>
      </c>
      <c r="BE231" s="80">
        <f>IF(AND(BD231=1,AU231=1),1,0)</f>
        <v>0</v>
      </c>
      <c r="BF231" s="80" t="str">
        <f>IF(AND(D231="proMX",BD231=1),IF(R231="","Draft",R231),"")</f>
        <v/>
      </c>
      <c r="BG231" s="80">
        <f>IF(BD231=1,ROUND(AG231/60,6),0)</f>
        <v>0</v>
      </c>
      <c r="BH231" s="80">
        <f>IF(BE231=1,ROUND(AG231/60,6),0)</f>
        <v>0</v>
      </c>
      <c r="BI231" s="80">
        <f>IF(BE231=1,ROUND(AP231/60,6),0)</f>
        <v>0</v>
      </c>
      <c r="BJ231" s="80">
        <f>IF(BE231=1,ROUND(AQ231/60,6),0)</f>
        <v>0</v>
      </c>
      <c r="BK231" s="80">
        <f>IF(BE231=1,ROUND((AR231+AS231)/60,6),0)</f>
        <v>0</v>
      </c>
      <c r="BL231" s="80">
        <f>ROUND(BH231-BK231,6)</f>
        <v>0</v>
      </c>
      <c r="BM231" s="80">
        <f>IF(BE231=1,ROUND(AR231/60,6),0)</f>
        <v>0</v>
      </c>
      <c r="BN231" s="80">
        <f>ROUND(BI231-BM231,6)</f>
        <v>0</v>
      </c>
      <c r="BO231" s="80">
        <f>IF(BE231=1,ROUND(AS231/60,6),0)</f>
        <v>0</v>
      </c>
      <c r="BP231" s="80">
        <f>ROUND(BJ231-BO231,6)</f>
        <v>0</v>
      </c>
      <c r="BQ231" s="80">
        <f>IF(BE231=1,AW231,0)</f>
        <v>0</v>
      </c>
      <c r="BR231" s="80">
        <f>IF(BE231=1,AX231,0)</f>
        <v>0</v>
      </c>
      <c r="BS231" s="80">
        <f>IF(AND(BE231=1,D231="Malcolm",BA231&gt;0),MIN(BH231,SUMPRODUCT((R_Emp="proMX")*(R_EN&gt;0)*((R_EN-(R_EN&gt;BR231)*(R_EN-BR231))&gt;(R_SN+(R_SN&lt;BQ231)*(BQ231-R_SN)))*((R_EN-(R_EN&gt;BR231)*(R_EN-BR231))-(R_SN+(R_SN&lt;BQ231)*(BQ231-R_SN))))/60),0)</f>
        <v>0</v>
      </c>
      <c r="BT231" s="80">
        <f>IF(AND(BE231=1,D231="proMX"),ROUND(BI231*CFG_RATE+BJ231*CFG_OTRATE,6),0)</f>
        <v>0</v>
      </c>
      <c r="BU231" s="80">
        <f>IF(AND(BD231=1,D231="proMX"),ROUND(AG231/CFG_BLK,6),0)</f>
        <v>0</v>
      </c>
      <c r="BV231" s="80" t="str">
        <f>IF(BF231="Approved",IF(ISNUMBER(T231),INT(T231),INT(B231)),"")</f>
        <v/>
      </c>
      <c r="BW231" s="80">
        <f>IF(ISNUMBER(B231),IF(DB_MON="Todos",1,IF(AND(INT(B231)&gt;=DB_MS,INT(B231)&lt;=DB_ME),1,0)),0)</f>
        <v>0</v>
      </c>
      <c r="BX231" s="80">
        <f>IF(DB_PROJ="Todos",1,IF(E231&amp;""=DB_PROJ&amp;"",1,0))</f>
        <v>1</v>
      </c>
      <c r="BY231" s="80">
        <f>BW231*BX231</f>
        <v>0</v>
      </c>
      <c r="BZ231" s="80" t="str">
        <f>IF(Y231=1,F231&amp;IF(AND(F231&amp;""&lt;&gt;"",E231&amp;""&lt;&gt;"")," · ","")&amp;E231,"")</f>
        <v/>
      </c>
      <c r="CA231" s="80" t="str">
        <f>IF(AND(BD231=1,E231&amp;""&lt;&gt;""),IF(COUNTIFS($E$5:E230,E231,$BD$5:BD230,1)=0,MAX($CA$5:CA230)+1,""),"")</f>
        <v/>
      </c>
      <c r="CB231" s="80" t="str">
        <f>IF(AND(BE231=1,D231="Malcolm",E231&amp;""&lt;&gt;""),IF(COUNTIFS($D$5:D230,"Malcolm",$E$5:E230,E231,$BE$5:BE230,1)=0,MAX($CB$5:CB230)+1,""),"")</f>
        <v/>
      </c>
      <c r="CC231" s="80" t="str">
        <f>IF(AND(BD231=1,D231="proMX",E231&amp;""&lt;&gt;""),IF(COUNTIFS($D$5:D230,"proMX",$E$5:E230,E231,$BD$5:BD230,1)=0,MAX($CC$5:CC230)+1,""),"")</f>
        <v/>
      </c>
      <c r="CD231" s="80" t="str">
        <f>IF(AND(BE231=1,D231="Malcolm",F231&amp;""&lt;&gt;""),IF(COUNTIFS($D$5:D230,"Malcolm",$F$5:F230,F231,$BE$5:BE230,1)=0,MAX($CD$5:CD230)+1,""),"")</f>
        <v/>
      </c>
      <c r="CE231" s="80" t="str">
        <f>IF(AND(BD231=1,D231="proMX",F231&amp;""&lt;&gt;""),IF(COUNTIFS($D$5:D230,"proMX",$F$5:F230,F231,$BD$5:BD230,1)=0,MAX($CE$5:CE230)+1,""),"")</f>
        <v/>
      </c>
      <c r="CF231" s="80" t="str">
        <f>IF(AND(D231="proMX",BD231=1),IF(OR(BF231="Draft",BF231="Submitted",BF231="Returned",BF231="Recall Requested"),MAX($CF$5:CF230)+1,""),"")</f>
        <v/>
      </c>
      <c r="CG231" s="80">
        <f>IF(BD231=0,0,IF(D231="Malcolm",1,MATCH(BF231,{"Draft","Submitted","Approved","Returned","Recall Requested","Cancelled"},0)+1))</f>
        <v>0</v>
      </c>
      <c r="CH231" s="80">
        <f>IF(AND(BF231="Submitted",ISNUMBER(V231)),IF(V231&gt;CFG_MAXD,1,0),0)</f>
        <v>0</v>
      </c>
    </row>
    <row r="232">
      <c r="A232" s="71" t="str">
        <f>IF(Y232=1,ROW()-5,"")</f>
        <v/>
      </c>
      <c r="B232" s="72" t="n"/>
      <c r="C232" s="71" t="str">
        <f>IF(ISNUMBER(B232),CHOOSE(WEEKDAY(B232,2),"Lun","Mar","Mié","Jue","Vie","Sáb","Dom"),"")</f>
        <v/>
      </c>
      <c r="D232" s="73" t="n"/>
      <c r="E232" s="74" t="n"/>
      <c r="F232" s="74" t="n"/>
      <c r="G232" s="74" t="n"/>
      <c r="H232" s="75" t="n"/>
      <c r="I232" s="75" t="n"/>
      <c r="J232" s="76" t="n"/>
      <c r="K232" s="77" t="str">
        <f>IF(AB232=1,ROUND(AG232/60,4),"")</f>
        <v/>
      </c>
      <c r="L232" s="77" t="str">
        <f>IF(BD232=1,ROUND(AP232/60,4),"")</f>
        <v/>
      </c>
      <c r="M232" s="77" t="str">
        <f>IF(BD232=1,ROUND(AQ232/60,4),"")</f>
        <v/>
      </c>
      <c r="N232" s="71" t="str">
        <f>IF(AND(D232="proMX",AB232=1),ROUND(AG232/CFG_BLK,2),"")</f>
        <v/>
      </c>
      <c r="O232" s="77" t="str">
        <f>IF(D232="proMX",IF(BD232=1,ROUND(AG232/60,4),0),"")</f>
        <v/>
      </c>
      <c r="P232" s="78" t="str">
        <f>IF(Y232=0,"",IF(BD232=1,"OK",IF(D232="proMX","Revisar bloques: ","Revisar: ")&amp;BC232))</f>
        <v/>
      </c>
      <c r="Q232" s="78" t="str">
        <f>IF(NOT(ISNUMBER(B232)),"",IF(COUNTIFS(FER_F,INT(B232))&gt;0,"Feriado"&amp;IF(AH232=1," (laborable)"," (no laborable)"),IF(AH232=1,"Laborable",IF(WEEKDAY(B232,2)&gt;5,"Fin de semana","No laborable"))))</f>
        <v/>
      </c>
      <c r="R232" s="73" t="n"/>
      <c r="S232" s="72" t="n"/>
      <c r="T232" s="72" t="n"/>
      <c r="U232" s="74" t="n"/>
      <c r="V232" s="79" t="str">
        <f>IF(AND(D232="proMX",OR(R232="Submitted",R232="Recall Requested"),ISNUMBER(S232)),CFG_TODAY-INT(S232),"")</f>
        <v/>
      </c>
      <c r="W232" s="78" t="str">
        <f>IF(BD232=0,"",IF(BA232&gt;0,"⚠ Se superpone con un registro de la otra empresa",IF(D232="Malcolm",IF(COUNTA(R232,S232,T232)&gt;0,"Estado/fechas proMX se ignoran en Malcolm",""),IF(BF232="Cancelled","Cancelado: excluido de totales",IF(R232="","Sin estado: se trata como Draft",IF(BF232="Submitted",IF(ISNUMBER(V232),IF(V232&gt;CFG_MAXD,"⚠ "&amp;V232&amp;" días en Submitted (máx. "&amp;CFG_MAXD&amp;")",""),"Falta fecha de envío"),IF(BF232="Returned","⚠ Devuelto: corregir y reenviar",IF(BF232="Recall Requested","Retirada solicitada: pendiente",IF(AND(BF232="Approved",NOT(ISNUMBER(T232))),"Falta fecha de aprobación",IF(AND(ISNUMBER(S232),ISNUMBER(T232),T232&lt;S232),"Aprobación anterior al envío","")))))))))</f>
        <v/>
      </c>
      <c r="Y232" s="80">
        <f>IF(COUNTA(B232,D232,E232,F232,G232,H232,I232,J232,R232,S232,T232)&gt;0,1,0)</f>
        <v>0</v>
      </c>
      <c r="Z232" s="80" t="str">
        <f>IF(AND(ISNUMBER(H232),H232&gt;=0,H232&lt;1),ROUND(H232*1440,0),"")</f>
        <v/>
      </c>
      <c r="AA232" s="80" t="str">
        <f>IF(AND(ISNUMBER(I232),I232&gt;=0,I232&lt;1),ROUND(I232*1440,0),"")</f>
        <v/>
      </c>
      <c r="AB232" s="80">
        <f>IF(AND(ISNUMBER(B232),D232&lt;&gt;"",ISNUMBER(Z232),ISNUMBER(AA232)),IF(Z232=AA232,0,1),0)</f>
        <v>0</v>
      </c>
      <c r="AC232" s="80">
        <f>IF(AB232=1,IF(AA232&lt;Z232,1,0),0)</f>
        <v>0</v>
      </c>
      <c r="AD232" s="80">
        <f>IF(AB232=1,IF(AC232=1,1440-Z232+AA232,AA232-Z232),0)</f>
        <v>0</v>
      </c>
      <c r="AE232" s="80">
        <f>IF(J232="",0,IF(ISNUMBER(J232),J232,-1))</f>
        <v>0</v>
      </c>
      <c r="AF232" s="80">
        <f>MIN(MAX(0,AE232),AD232)</f>
        <v>0</v>
      </c>
      <c r="AG232" s="80">
        <f>MAX(0,AD232-MAX(0,AE232))</f>
        <v>0</v>
      </c>
      <c r="AH232" s="80">
        <f>IF(ISNUMBER(B232),IF(AND(INDEX(CFG_WDAYS,WEEKDAY(INT(B232),2))="Sí",IF(D232="proMX",COUNTIFS(FER_F,INT(B232),FER_NLP,"Sí"),COUNTIFS(FER_F,INT(B232),FER_NLM,"Sí"))=0),1,0),0)</f>
        <v>0</v>
      </c>
      <c r="AI232" s="80">
        <f>IF(AC232=1,IF(AND(INDEX(CFG_WDAYS,WEEKDAY(INT(B232)+1,2))="Sí",IF(D232="proMX",COUNTIFS(FER_F,INT(B232)+1,FER_NLP,"Sí"),COUNTIFS(FER_F,INT(B232)+1,FER_NLM,"Sí"))=0),1,0),0)</f>
        <v>0</v>
      </c>
      <c r="AJ232" s="80">
        <f>IF(AC232=1,1440-Z232,AD232)</f>
        <v>0</v>
      </c>
      <c r="AK232" s="80">
        <f>IF(AND(AB232=1,AH232=1),MAX(0,MIN(IF(AC232=1,1440,AA232),CFG_WEM)-MAX(Z232,CFG_WSM)),0)</f>
        <v>0</v>
      </c>
      <c r="AL232" s="80">
        <f>IF(AND(AC232=1,AI232=1),MAX(0,MIN(AA232,CFG_WEM)-CFG_WSM),0)</f>
        <v>0</v>
      </c>
      <c r="AM232" s="80">
        <f>AK232+AL232</f>
        <v>0</v>
      </c>
      <c r="AN232" s="80">
        <f>IF(CFG_BRK="Proporcional",IF(AD232=0,0,AF232*AM232/AD232),IF(CFG_BRK="Extras primero",MIN(AM232,MAX(0,AF232-(AD232-AM232))),MIN(AF232,AM232)))</f>
        <v>0</v>
      </c>
      <c r="AO232" s="80">
        <f>AF232-AN232</f>
        <v>0</v>
      </c>
      <c r="AP232" s="80">
        <f>AM232-AN232</f>
        <v>0</v>
      </c>
      <c r="AQ232" s="80">
        <f>AD232-AM232-AO232</f>
        <v>0</v>
      </c>
      <c r="AR232" s="80">
        <f>IF(AM232=0,0,AK232-AN232*AK232/AM232)</f>
        <v>0</v>
      </c>
      <c r="AS232" s="80">
        <f>IF(AD232-AM232=0,0,(AJ232-AK232)-AO232*(AJ232-AK232)/(AD232-AM232))</f>
        <v>0</v>
      </c>
      <c r="AT232" s="80" t="str">
        <f>IF(AC232=1,INT(B232)+1,"")</f>
        <v/>
      </c>
      <c r="AU232" s="80">
        <f>IF(AND(D232="proMX",R232="Cancelled"),0,1)</f>
        <v>1</v>
      </c>
      <c r="AV232" s="80">
        <f>IF(AND(AB232=1,AU232=1),IF(COUNTIFS($D$5:D231,D232,$B$5:B231,B232,$Z$5:Z231,Z232,$AA$5:AA231,AA232,$F$5:F231,F232&amp;"",$AU$5:AU231,1)&gt;0,1,0),0)</f>
        <v>0</v>
      </c>
      <c r="AW232" s="80" t="str">
        <f>IF(AB232=1,INT(B232)*1440+Z232,"")</f>
        <v/>
      </c>
      <c r="AX232" s="80" t="str">
        <f>IF(AB232=1,AW232+AD232,"")</f>
        <v/>
      </c>
      <c r="AY232" s="80">
        <f>IF(AND(AB232=1,AV232=0,AU232=1),1,0)</f>
        <v>0</v>
      </c>
      <c r="AZ232" s="80">
        <f>IF(AY232=1,COUNTIFS(R_Emp,D232,R_SAbs,"&lt;"&amp;AX232,R_EAbs,"&gt;"&amp;AW232,R_OKey,1)-1,0)</f>
        <v>0</v>
      </c>
      <c r="BA232" s="80">
        <f>IF(AY232=1,COUNTIFS(R_Emp,"&lt;&gt;"&amp;D232,R_SAbs,"&lt;"&amp;AX232,R_EAbs,"&gt;"&amp;AW232,R_OKey,1),0)</f>
        <v>0</v>
      </c>
      <c r="BB232" s="80">
        <f>IF(AND(AB232=1,D232="proMX"),IF(AND(MOD(Z232,CFG_BLK)=0,MOD(AA232,CFG_BLK)=0,MOD(AG232,CFG_BLK)=0,AG232&gt;0),1,0),1)</f>
        <v>1</v>
      </c>
      <c r="BC232" s="80" t="str">
        <f>IF(Y232=0,"",IF(NOT(ISNUMBER(B232)),"Falta fecha o fecha inválida",IF(D232="","Falta empresa",IF(AND(D232&lt;&gt;"Malcolm",D232&lt;&gt;"proMX"),"Empresa inválida",IF(OR(INT(B232)&lt;CFG_PSTART,INT(B232)&gt;CFG_PEND),"Fecha fuera del período",IF(OR(NOT(ISNUMBER(Z232)),NOT(ISNUMBER(AA232))),"Falta hora inicio/fin o formato inválido",IF(AB232=0,"Hora inicio = hora fin",IF(AE232&lt;0,"Descanso inválido",IF(AE232&gt;=AD232,"Descanso ≥ duración",IF(AV232=1,"Registro duplicado",IF(AZ232&gt;0,"Se superpone con otro registro "&amp;D232,IF(BB232=0,"inicio, fin y duración neta deben ser múltiplos de "&amp;CFG_BLK&amp;" min",""))))))))))))</f>
        <v/>
      </c>
      <c r="BD232" s="80">
        <f>IF(AND(Y232=1,BC232=""),1,0)</f>
        <v>0</v>
      </c>
      <c r="BE232" s="80">
        <f>IF(AND(BD232=1,AU232=1),1,0)</f>
        <v>0</v>
      </c>
      <c r="BF232" s="80" t="str">
        <f>IF(AND(D232="proMX",BD232=1),IF(R232="","Draft",R232),"")</f>
        <v/>
      </c>
      <c r="BG232" s="80">
        <f>IF(BD232=1,ROUND(AG232/60,6),0)</f>
        <v>0</v>
      </c>
      <c r="BH232" s="80">
        <f>IF(BE232=1,ROUND(AG232/60,6),0)</f>
        <v>0</v>
      </c>
      <c r="BI232" s="80">
        <f>IF(BE232=1,ROUND(AP232/60,6),0)</f>
        <v>0</v>
      </c>
      <c r="BJ232" s="80">
        <f>IF(BE232=1,ROUND(AQ232/60,6),0)</f>
        <v>0</v>
      </c>
      <c r="BK232" s="80">
        <f>IF(BE232=1,ROUND((AR232+AS232)/60,6),0)</f>
        <v>0</v>
      </c>
      <c r="BL232" s="80">
        <f>ROUND(BH232-BK232,6)</f>
        <v>0</v>
      </c>
      <c r="BM232" s="80">
        <f>IF(BE232=1,ROUND(AR232/60,6),0)</f>
        <v>0</v>
      </c>
      <c r="BN232" s="80">
        <f>ROUND(BI232-BM232,6)</f>
        <v>0</v>
      </c>
      <c r="BO232" s="80">
        <f>IF(BE232=1,ROUND(AS232/60,6),0)</f>
        <v>0</v>
      </c>
      <c r="BP232" s="80">
        <f>ROUND(BJ232-BO232,6)</f>
        <v>0</v>
      </c>
      <c r="BQ232" s="80">
        <f>IF(BE232=1,AW232,0)</f>
        <v>0</v>
      </c>
      <c r="BR232" s="80">
        <f>IF(BE232=1,AX232,0)</f>
        <v>0</v>
      </c>
      <c r="BS232" s="80">
        <f>IF(AND(BE232=1,D232="Malcolm",BA232&gt;0),MIN(BH232,SUMPRODUCT((R_Emp="proMX")*(R_EN&gt;0)*((R_EN-(R_EN&gt;BR232)*(R_EN-BR232))&gt;(R_SN+(R_SN&lt;BQ232)*(BQ232-R_SN)))*((R_EN-(R_EN&gt;BR232)*(R_EN-BR232))-(R_SN+(R_SN&lt;BQ232)*(BQ232-R_SN))))/60),0)</f>
        <v>0</v>
      </c>
      <c r="BT232" s="80">
        <f>IF(AND(BE232=1,D232="proMX"),ROUND(BI232*CFG_RATE+BJ232*CFG_OTRATE,6),0)</f>
        <v>0</v>
      </c>
      <c r="BU232" s="80">
        <f>IF(AND(BD232=1,D232="proMX"),ROUND(AG232/CFG_BLK,6),0)</f>
        <v>0</v>
      </c>
      <c r="BV232" s="80" t="str">
        <f>IF(BF232="Approved",IF(ISNUMBER(T232),INT(T232),INT(B232)),"")</f>
        <v/>
      </c>
      <c r="BW232" s="80">
        <f>IF(ISNUMBER(B232),IF(DB_MON="Todos",1,IF(AND(INT(B232)&gt;=DB_MS,INT(B232)&lt;=DB_ME),1,0)),0)</f>
        <v>0</v>
      </c>
      <c r="BX232" s="80">
        <f>IF(DB_PROJ="Todos",1,IF(E232&amp;""=DB_PROJ&amp;"",1,0))</f>
        <v>1</v>
      </c>
      <c r="BY232" s="80">
        <f>BW232*BX232</f>
        <v>0</v>
      </c>
      <c r="BZ232" s="80" t="str">
        <f>IF(Y232=1,F232&amp;IF(AND(F232&amp;""&lt;&gt;"",E232&amp;""&lt;&gt;"")," · ","")&amp;E232,"")</f>
        <v/>
      </c>
      <c r="CA232" s="80" t="str">
        <f>IF(AND(BD232=1,E232&amp;""&lt;&gt;""),IF(COUNTIFS($E$5:E231,E232,$BD$5:BD231,1)=0,MAX($CA$5:CA231)+1,""),"")</f>
        <v/>
      </c>
      <c r="CB232" s="80" t="str">
        <f>IF(AND(BE232=1,D232="Malcolm",E232&amp;""&lt;&gt;""),IF(COUNTIFS($D$5:D231,"Malcolm",$E$5:E231,E232,$BE$5:BE231,1)=0,MAX($CB$5:CB231)+1,""),"")</f>
        <v/>
      </c>
      <c r="CC232" s="80" t="str">
        <f>IF(AND(BD232=1,D232="proMX",E232&amp;""&lt;&gt;""),IF(COUNTIFS($D$5:D231,"proMX",$E$5:E231,E232,$BD$5:BD231,1)=0,MAX($CC$5:CC231)+1,""),"")</f>
        <v/>
      </c>
      <c r="CD232" s="80" t="str">
        <f>IF(AND(BE232=1,D232="Malcolm",F232&amp;""&lt;&gt;""),IF(COUNTIFS($D$5:D231,"Malcolm",$F$5:F231,F232,$BE$5:BE231,1)=0,MAX($CD$5:CD231)+1,""),"")</f>
        <v/>
      </c>
      <c r="CE232" s="80" t="str">
        <f>IF(AND(BD232=1,D232="proMX",F232&amp;""&lt;&gt;""),IF(COUNTIFS($D$5:D231,"proMX",$F$5:F231,F232,$BD$5:BD231,1)=0,MAX($CE$5:CE231)+1,""),"")</f>
        <v/>
      </c>
      <c r="CF232" s="80" t="str">
        <f>IF(AND(D232="proMX",BD232=1),IF(OR(BF232="Draft",BF232="Submitted",BF232="Returned",BF232="Recall Requested"),MAX($CF$5:CF231)+1,""),"")</f>
        <v/>
      </c>
      <c r="CG232" s="80">
        <f>IF(BD232=0,0,IF(D232="Malcolm",1,MATCH(BF232,{"Draft","Submitted","Approved","Returned","Recall Requested","Cancelled"},0)+1))</f>
        <v>0</v>
      </c>
      <c r="CH232" s="80">
        <f>IF(AND(BF232="Submitted",ISNUMBER(V232)),IF(V232&gt;CFG_MAXD,1,0),0)</f>
        <v>0</v>
      </c>
    </row>
    <row r="233">
      <c r="A233" s="71" t="str">
        <f>IF(Y233=1,ROW()-5,"")</f>
        <v/>
      </c>
      <c r="B233" s="72" t="n"/>
      <c r="C233" s="71" t="str">
        <f>IF(ISNUMBER(B233),CHOOSE(WEEKDAY(B233,2),"Lun","Mar","Mié","Jue","Vie","Sáb","Dom"),"")</f>
        <v/>
      </c>
      <c r="D233" s="73" t="n"/>
      <c r="E233" s="74" t="n"/>
      <c r="F233" s="74" t="n"/>
      <c r="G233" s="74" t="n"/>
      <c r="H233" s="75" t="n"/>
      <c r="I233" s="75" t="n"/>
      <c r="J233" s="76" t="n"/>
      <c r="K233" s="77" t="str">
        <f>IF(AB233=1,ROUND(AG233/60,4),"")</f>
        <v/>
      </c>
      <c r="L233" s="77" t="str">
        <f>IF(BD233=1,ROUND(AP233/60,4),"")</f>
        <v/>
      </c>
      <c r="M233" s="77" t="str">
        <f>IF(BD233=1,ROUND(AQ233/60,4),"")</f>
        <v/>
      </c>
      <c r="N233" s="71" t="str">
        <f>IF(AND(D233="proMX",AB233=1),ROUND(AG233/CFG_BLK,2),"")</f>
        <v/>
      </c>
      <c r="O233" s="77" t="str">
        <f>IF(D233="proMX",IF(BD233=1,ROUND(AG233/60,4),0),"")</f>
        <v/>
      </c>
      <c r="P233" s="78" t="str">
        <f>IF(Y233=0,"",IF(BD233=1,"OK",IF(D233="proMX","Revisar bloques: ","Revisar: ")&amp;BC233))</f>
        <v/>
      </c>
      <c r="Q233" s="78" t="str">
        <f>IF(NOT(ISNUMBER(B233)),"",IF(COUNTIFS(FER_F,INT(B233))&gt;0,"Feriado"&amp;IF(AH233=1," (laborable)"," (no laborable)"),IF(AH233=1,"Laborable",IF(WEEKDAY(B233,2)&gt;5,"Fin de semana","No laborable"))))</f>
        <v/>
      </c>
      <c r="R233" s="73" t="n"/>
      <c r="S233" s="72" t="n"/>
      <c r="T233" s="72" t="n"/>
      <c r="U233" s="74" t="n"/>
      <c r="V233" s="79" t="str">
        <f>IF(AND(D233="proMX",OR(R233="Submitted",R233="Recall Requested"),ISNUMBER(S233)),CFG_TODAY-INT(S233),"")</f>
        <v/>
      </c>
      <c r="W233" s="78" t="str">
        <f>IF(BD233=0,"",IF(BA233&gt;0,"⚠ Se superpone con un registro de la otra empresa",IF(D233="Malcolm",IF(COUNTA(R233,S233,T233)&gt;0,"Estado/fechas proMX se ignoran en Malcolm",""),IF(BF233="Cancelled","Cancelado: excluido de totales",IF(R233="","Sin estado: se trata como Draft",IF(BF233="Submitted",IF(ISNUMBER(V233),IF(V233&gt;CFG_MAXD,"⚠ "&amp;V233&amp;" días en Submitted (máx. "&amp;CFG_MAXD&amp;")",""),"Falta fecha de envío"),IF(BF233="Returned","⚠ Devuelto: corregir y reenviar",IF(BF233="Recall Requested","Retirada solicitada: pendiente",IF(AND(BF233="Approved",NOT(ISNUMBER(T233))),"Falta fecha de aprobación",IF(AND(ISNUMBER(S233),ISNUMBER(T233),T233&lt;S233),"Aprobación anterior al envío","")))))))))</f>
        <v/>
      </c>
      <c r="Y233" s="80">
        <f>IF(COUNTA(B233,D233,E233,F233,G233,H233,I233,J233,R233,S233,T233)&gt;0,1,0)</f>
        <v>0</v>
      </c>
      <c r="Z233" s="80" t="str">
        <f>IF(AND(ISNUMBER(H233),H233&gt;=0,H233&lt;1),ROUND(H233*1440,0),"")</f>
        <v/>
      </c>
      <c r="AA233" s="80" t="str">
        <f>IF(AND(ISNUMBER(I233),I233&gt;=0,I233&lt;1),ROUND(I233*1440,0),"")</f>
        <v/>
      </c>
      <c r="AB233" s="80">
        <f>IF(AND(ISNUMBER(B233),D233&lt;&gt;"",ISNUMBER(Z233),ISNUMBER(AA233)),IF(Z233=AA233,0,1),0)</f>
        <v>0</v>
      </c>
      <c r="AC233" s="80">
        <f>IF(AB233=1,IF(AA233&lt;Z233,1,0),0)</f>
        <v>0</v>
      </c>
      <c r="AD233" s="80">
        <f>IF(AB233=1,IF(AC233=1,1440-Z233+AA233,AA233-Z233),0)</f>
        <v>0</v>
      </c>
      <c r="AE233" s="80">
        <f>IF(J233="",0,IF(ISNUMBER(J233),J233,-1))</f>
        <v>0</v>
      </c>
      <c r="AF233" s="80">
        <f>MIN(MAX(0,AE233),AD233)</f>
        <v>0</v>
      </c>
      <c r="AG233" s="80">
        <f>MAX(0,AD233-MAX(0,AE233))</f>
        <v>0</v>
      </c>
      <c r="AH233" s="80">
        <f>IF(ISNUMBER(B233),IF(AND(INDEX(CFG_WDAYS,WEEKDAY(INT(B233),2))="Sí",IF(D233="proMX",COUNTIFS(FER_F,INT(B233),FER_NLP,"Sí"),COUNTIFS(FER_F,INT(B233),FER_NLM,"Sí"))=0),1,0),0)</f>
        <v>0</v>
      </c>
      <c r="AI233" s="80">
        <f>IF(AC233=1,IF(AND(INDEX(CFG_WDAYS,WEEKDAY(INT(B233)+1,2))="Sí",IF(D233="proMX",COUNTIFS(FER_F,INT(B233)+1,FER_NLP,"Sí"),COUNTIFS(FER_F,INT(B233)+1,FER_NLM,"Sí"))=0),1,0),0)</f>
        <v>0</v>
      </c>
      <c r="AJ233" s="80">
        <f>IF(AC233=1,1440-Z233,AD233)</f>
        <v>0</v>
      </c>
      <c r="AK233" s="80">
        <f>IF(AND(AB233=1,AH233=1),MAX(0,MIN(IF(AC233=1,1440,AA233),CFG_WEM)-MAX(Z233,CFG_WSM)),0)</f>
        <v>0</v>
      </c>
      <c r="AL233" s="80">
        <f>IF(AND(AC233=1,AI233=1),MAX(0,MIN(AA233,CFG_WEM)-CFG_WSM),0)</f>
        <v>0</v>
      </c>
      <c r="AM233" s="80">
        <f>AK233+AL233</f>
        <v>0</v>
      </c>
      <c r="AN233" s="80">
        <f>IF(CFG_BRK="Proporcional",IF(AD233=0,0,AF233*AM233/AD233),IF(CFG_BRK="Extras primero",MIN(AM233,MAX(0,AF233-(AD233-AM233))),MIN(AF233,AM233)))</f>
        <v>0</v>
      </c>
      <c r="AO233" s="80">
        <f>AF233-AN233</f>
        <v>0</v>
      </c>
      <c r="AP233" s="80">
        <f>AM233-AN233</f>
        <v>0</v>
      </c>
      <c r="AQ233" s="80">
        <f>AD233-AM233-AO233</f>
        <v>0</v>
      </c>
      <c r="AR233" s="80">
        <f>IF(AM233=0,0,AK233-AN233*AK233/AM233)</f>
        <v>0</v>
      </c>
      <c r="AS233" s="80">
        <f>IF(AD233-AM233=0,0,(AJ233-AK233)-AO233*(AJ233-AK233)/(AD233-AM233))</f>
        <v>0</v>
      </c>
      <c r="AT233" s="80" t="str">
        <f>IF(AC233=1,INT(B233)+1,"")</f>
        <v/>
      </c>
      <c r="AU233" s="80">
        <f>IF(AND(D233="proMX",R233="Cancelled"),0,1)</f>
        <v>1</v>
      </c>
      <c r="AV233" s="80">
        <f>IF(AND(AB233=1,AU233=1),IF(COUNTIFS($D$5:D232,D233,$B$5:B232,B233,$Z$5:Z232,Z233,$AA$5:AA232,AA233,$F$5:F232,F233&amp;"",$AU$5:AU232,1)&gt;0,1,0),0)</f>
        <v>0</v>
      </c>
      <c r="AW233" s="80" t="str">
        <f>IF(AB233=1,INT(B233)*1440+Z233,"")</f>
        <v/>
      </c>
      <c r="AX233" s="80" t="str">
        <f>IF(AB233=1,AW233+AD233,"")</f>
        <v/>
      </c>
      <c r="AY233" s="80">
        <f>IF(AND(AB233=1,AV233=0,AU233=1),1,0)</f>
        <v>0</v>
      </c>
      <c r="AZ233" s="80">
        <f>IF(AY233=1,COUNTIFS(R_Emp,D233,R_SAbs,"&lt;"&amp;AX233,R_EAbs,"&gt;"&amp;AW233,R_OKey,1)-1,0)</f>
        <v>0</v>
      </c>
      <c r="BA233" s="80">
        <f>IF(AY233=1,COUNTIFS(R_Emp,"&lt;&gt;"&amp;D233,R_SAbs,"&lt;"&amp;AX233,R_EAbs,"&gt;"&amp;AW233,R_OKey,1),0)</f>
        <v>0</v>
      </c>
      <c r="BB233" s="80">
        <f>IF(AND(AB233=1,D233="proMX"),IF(AND(MOD(Z233,CFG_BLK)=0,MOD(AA233,CFG_BLK)=0,MOD(AG233,CFG_BLK)=0,AG233&gt;0),1,0),1)</f>
        <v>1</v>
      </c>
      <c r="BC233" s="80" t="str">
        <f>IF(Y233=0,"",IF(NOT(ISNUMBER(B233)),"Falta fecha o fecha inválida",IF(D233="","Falta empresa",IF(AND(D233&lt;&gt;"Malcolm",D233&lt;&gt;"proMX"),"Empresa inválida",IF(OR(INT(B233)&lt;CFG_PSTART,INT(B233)&gt;CFG_PEND),"Fecha fuera del período",IF(OR(NOT(ISNUMBER(Z233)),NOT(ISNUMBER(AA233))),"Falta hora inicio/fin o formato inválido",IF(AB233=0,"Hora inicio = hora fin",IF(AE233&lt;0,"Descanso inválido",IF(AE233&gt;=AD233,"Descanso ≥ duración",IF(AV233=1,"Registro duplicado",IF(AZ233&gt;0,"Se superpone con otro registro "&amp;D233,IF(BB233=0,"inicio, fin y duración neta deben ser múltiplos de "&amp;CFG_BLK&amp;" min",""))))))))))))</f>
        <v/>
      </c>
      <c r="BD233" s="80">
        <f>IF(AND(Y233=1,BC233=""),1,0)</f>
        <v>0</v>
      </c>
      <c r="BE233" s="80">
        <f>IF(AND(BD233=1,AU233=1),1,0)</f>
        <v>0</v>
      </c>
      <c r="BF233" s="80" t="str">
        <f>IF(AND(D233="proMX",BD233=1),IF(R233="","Draft",R233),"")</f>
        <v/>
      </c>
      <c r="BG233" s="80">
        <f>IF(BD233=1,ROUND(AG233/60,6),0)</f>
        <v>0</v>
      </c>
      <c r="BH233" s="80">
        <f>IF(BE233=1,ROUND(AG233/60,6),0)</f>
        <v>0</v>
      </c>
      <c r="BI233" s="80">
        <f>IF(BE233=1,ROUND(AP233/60,6),0)</f>
        <v>0</v>
      </c>
      <c r="BJ233" s="80">
        <f>IF(BE233=1,ROUND(AQ233/60,6),0)</f>
        <v>0</v>
      </c>
      <c r="BK233" s="80">
        <f>IF(BE233=1,ROUND((AR233+AS233)/60,6),0)</f>
        <v>0</v>
      </c>
      <c r="BL233" s="80">
        <f>ROUND(BH233-BK233,6)</f>
        <v>0</v>
      </c>
      <c r="BM233" s="80">
        <f>IF(BE233=1,ROUND(AR233/60,6),0)</f>
        <v>0</v>
      </c>
      <c r="BN233" s="80">
        <f>ROUND(BI233-BM233,6)</f>
        <v>0</v>
      </c>
      <c r="BO233" s="80">
        <f>IF(BE233=1,ROUND(AS233/60,6),0)</f>
        <v>0</v>
      </c>
      <c r="BP233" s="80">
        <f>ROUND(BJ233-BO233,6)</f>
        <v>0</v>
      </c>
      <c r="BQ233" s="80">
        <f>IF(BE233=1,AW233,0)</f>
        <v>0</v>
      </c>
      <c r="BR233" s="80">
        <f>IF(BE233=1,AX233,0)</f>
        <v>0</v>
      </c>
      <c r="BS233" s="80">
        <f>IF(AND(BE233=1,D233="Malcolm",BA233&gt;0),MIN(BH233,SUMPRODUCT((R_Emp="proMX")*(R_EN&gt;0)*((R_EN-(R_EN&gt;BR233)*(R_EN-BR233))&gt;(R_SN+(R_SN&lt;BQ233)*(BQ233-R_SN)))*((R_EN-(R_EN&gt;BR233)*(R_EN-BR233))-(R_SN+(R_SN&lt;BQ233)*(BQ233-R_SN))))/60),0)</f>
        <v>0</v>
      </c>
      <c r="BT233" s="80">
        <f>IF(AND(BE233=1,D233="proMX"),ROUND(BI233*CFG_RATE+BJ233*CFG_OTRATE,6),0)</f>
        <v>0</v>
      </c>
      <c r="BU233" s="80">
        <f>IF(AND(BD233=1,D233="proMX"),ROUND(AG233/CFG_BLK,6),0)</f>
        <v>0</v>
      </c>
      <c r="BV233" s="80" t="str">
        <f>IF(BF233="Approved",IF(ISNUMBER(T233),INT(T233),INT(B233)),"")</f>
        <v/>
      </c>
      <c r="BW233" s="80">
        <f>IF(ISNUMBER(B233),IF(DB_MON="Todos",1,IF(AND(INT(B233)&gt;=DB_MS,INT(B233)&lt;=DB_ME),1,0)),0)</f>
        <v>0</v>
      </c>
      <c r="BX233" s="80">
        <f>IF(DB_PROJ="Todos",1,IF(E233&amp;""=DB_PROJ&amp;"",1,0))</f>
        <v>1</v>
      </c>
      <c r="BY233" s="80">
        <f>BW233*BX233</f>
        <v>0</v>
      </c>
      <c r="BZ233" s="80" t="str">
        <f>IF(Y233=1,F233&amp;IF(AND(F233&amp;""&lt;&gt;"",E233&amp;""&lt;&gt;"")," · ","")&amp;E233,"")</f>
        <v/>
      </c>
      <c r="CA233" s="80" t="str">
        <f>IF(AND(BD233=1,E233&amp;""&lt;&gt;""),IF(COUNTIFS($E$5:E232,E233,$BD$5:BD232,1)=0,MAX($CA$5:CA232)+1,""),"")</f>
        <v/>
      </c>
      <c r="CB233" s="80" t="str">
        <f>IF(AND(BE233=1,D233="Malcolm",E233&amp;""&lt;&gt;""),IF(COUNTIFS($D$5:D232,"Malcolm",$E$5:E232,E233,$BE$5:BE232,1)=0,MAX($CB$5:CB232)+1,""),"")</f>
        <v/>
      </c>
      <c r="CC233" s="80" t="str">
        <f>IF(AND(BD233=1,D233="proMX",E233&amp;""&lt;&gt;""),IF(COUNTIFS($D$5:D232,"proMX",$E$5:E232,E233,$BD$5:BD232,1)=0,MAX($CC$5:CC232)+1,""),"")</f>
        <v/>
      </c>
      <c r="CD233" s="80" t="str">
        <f>IF(AND(BE233=1,D233="Malcolm",F233&amp;""&lt;&gt;""),IF(COUNTIFS($D$5:D232,"Malcolm",$F$5:F232,F233,$BE$5:BE232,1)=0,MAX($CD$5:CD232)+1,""),"")</f>
        <v/>
      </c>
      <c r="CE233" s="80" t="str">
        <f>IF(AND(BD233=1,D233="proMX",F233&amp;""&lt;&gt;""),IF(COUNTIFS($D$5:D232,"proMX",$F$5:F232,F233,$BD$5:BD232,1)=0,MAX($CE$5:CE232)+1,""),"")</f>
        <v/>
      </c>
      <c r="CF233" s="80" t="str">
        <f>IF(AND(D233="proMX",BD233=1),IF(OR(BF233="Draft",BF233="Submitted",BF233="Returned",BF233="Recall Requested"),MAX($CF$5:CF232)+1,""),"")</f>
        <v/>
      </c>
      <c r="CG233" s="80">
        <f>IF(BD233=0,0,IF(D233="Malcolm",1,MATCH(BF233,{"Draft","Submitted","Approved","Returned","Recall Requested","Cancelled"},0)+1))</f>
        <v>0</v>
      </c>
      <c r="CH233" s="80">
        <f>IF(AND(BF233="Submitted",ISNUMBER(V233)),IF(V233&gt;CFG_MAXD,1,0),0)</f>
        <v>0</v>
      </c>
    </row>
    <row r="234">
      <c r="A234" s="71" t="str">
        <f>IF(Y234=1,ROW()-5,"")</f>
        <v/>
      </c>
      <c r="B234" s="72" t="n"/>
      <c r="C234" s="71" t="str">
        <f>IF(ISNUMBER(B234),CHOOSE(WEEKDAY(B234,2),"Lun","Mar","Mié","Jue","Vie","Sáb","Dom"),"")</f>
        <v/>
      </c>
      <c r="D234" s="73" t="n"/>
      <c r="E234" s="74" t="n"/>
      <c r="F234" s="74" t="n"/>
      <c r="G234" s="74" t="n"/>
      <c r="H234" s="75" t="n"/>
      <c r="I234" s="75" t="n"/>
      <c r="J234" s="76" t="n"/>
      <c r="K234" s="77" t="str">
        <f>IF(AB234=1,ROUND(AG234/60,4),"")</f>
        <v/>
      </c>
      <c r="L234" s="77" t="str">
        <f>IF(BD234=1,ROUND(AP234/60,4),"")</f>
        <v/>
      </c>
      <c r="M234" s="77" t="str">
        <f>IF(BD234=1,ROUND(AQ234/60,4),"")</f>
        <v/>
      </c>
      <c r="N234" s="71" t="str">
        <f>IF(AND(D234="proMX",AB234=1),ROUND(AG234/CFG_BLK,2),"")</f>
        <v/>
      </c>
      <c r="O234" s="77" t="str">
        <f>IF(D234="proMX",IF(BD234=1,ROUND(AG234/60,4),0),"")</f>
        <v/>
      </c>
      <c r="P234" s="78" t="str">
        <f>IF(Y234=0,"",IF(BD234=1,"OK",IF(D234="proMX","Revisar bloques: ","Revisar: ")&amp;BC234))</f>
        <v/>
      </c>
      <c r="Q234" s="78" t="str">
        <f>IF(NOT(ISNUMBER(B234)),"",IF(COUNTIFS(FER_F,INT(B234))&gt;0,"Feriado"&amp;IF(AH234=1," (laborable)"," (no laborable)"),IF(AH234=1,"Laborable",IF(WEEKDAY(B234,2)&gt;5,"Fin de semana","No laborable"))))</f>
        <v/>
      </c>
      <c r="R234" s="73" t="n"/>
      <c r="S234" s="72" t="n"/>
      <c r="T234" s="72" t="n"/>
      <c r="U234" s="74" t="n"/>
      <c r="V234" s="79" t="str">
        <f>IF(AND(D234="proMX",OR(R234="Submitted",R234="Recall Requested"),ISNUMBER(S234)),CFG_TODAY-INT(S234),"")</f>
        <v/>
      </c>
      <c r="W234" s="78" t="str">
        <f>IF(BD234=0,"",IF(BA234&gt;0,"⚠ Se superpone con un registro de la otra empresa",IF(D234="Malcolm",IF(COUNTA(R234,S234,T234)&gt;0,"Estado/fechas proMX se ignoran en Malcolm",""),IF(BF234="Cancelled","Cancelado: excluido de totales",IF(R234="","Sin estado: se trata como Draft",IF(BF234="Submitted",IF(ISNUMBER(V234),IF(V234&gt;CFG_MAXD,"⚠ "&amp;V234&amp;" días en Submitted (máx. "&amp;CFG_MAXD&amp;")",""),"Falta fecha de envío"),IF(BF234="Returned","⚠ Devuelto: corregir y reenviar",IF(BF234="Recall Requested","Retirada solicitada: pendiente",IF(AND(BF234="Approved",NOT(ISNUMBER(T234))),"Falta fecha de aprobación",IF(AND(ISNUMBER(S234),ISNUMBER(T234),T234&lt;S234),"Aprobación anterior al envío","")))))))))</f>
        <v/>
      </c>
      <c r="Y234" s="80">
        <f>IF(COUNTA(B234,D234,E234,F234,G234,H234,I234,J234,R234,S234,T234)&gt;0,1,0)</f>
        <v>0</v>
      </c>
      <c r="Z234" s="80" t="str">
        <f>IF(AND(ISNUMBER(H234),H234&gt;=0,H234&lt;1),ROUND(H234*1440,0),"")</f>
        <v/>
      </c>
      <c r="AA234" s="80" t="str">
        <f>IF(AND(ISNUMBER(I234),I234&gt;=0,I234&lt;1),ROUND(I234*1440,0),"")</f>
        <v/>
      </c>
      <c r="AB234" s="80">
        <f>IF(AND(ISNUMBER(B234),D234&lt;&gt;"",ISNUMBER(Z234),ISNUMBER(AA234)),IF(Z234=AA234,0,1),0)</f>
        <v>0</v>
      </c>
      <c r="AC234" s="80">
        <f>IF(AB234=1,IF(AA234&lt;Z234,1,0),0)</f>
        <v>0</v>
      </c>
      <c r="AD234" s="80">
        <f>IF(AB234=1,IF(AC234=1,1440-Z234+AA234,AA234-Z234),0)</f>
        <v>0</v>
      </c>
      <c r="AE234" s="80">
        <f>IF(J234="",0,IF(ISNUMBER(J234),J234,-1))</f>
        <v>0</v>
      </c>
      <c r="AF234" s="80">
        <f>MIN(MAX(0,AE234),AD234)</f>
        <v>0</v>
      </c>
      <c r="AG234" s="80">
        <f>MAX(0,AD234-MAX(0,AE234))</f>
        <v>0</v>
      </c>
      <c r="AH234" s="80">
        <f>IF(ISNUMBER(B234),IF(AND(INDEX(CFG_WDAYS,WEEKDAY(INT(B234),2))="Sí",IF(D234="proMX",COUNTIFS(FER_F,INT(B234),FER_NLP,"Sí"),COUNTIFS(FER_F,INT(B234),FER_NLM,"Sí"))=0),1,0),0)</f>
        <v>0</v>
      </c>
      <c r="AI234" s="80">
        <f>IF(AC234=1,IF(AND(INDEX(CFG_WDAYS,WEEKDAY(INT(B234)+1,2))="Sí",IF(D234="proMX",COUNTIFS(FER_F,INT(B234)+1,FER_NLP,"Sí"),COUNTIFS(FER_F,INT(B234)+1,FER_NLM,"Sí"))=0),1,0),0)</f>
        <v>0</v>
      </c>
      <c r="AJ234" s="80">
        <f>IF(AC234=1,1440-Z234,AD234)</f>
        <v>0</v>
      </c>
      <c r="AK234" s="80">
        <f>IF(AND(AB234=1,AH234=1),MAX(0,MIN(IF(AC234=1,1440,AA234),CFG_WEM)-MAX(Z234,CFG_WSM)),0)</f>
        <v>0</v>
      </c>
      <c r="AL234" s="80">
        <f>IF(AND(AC234=1,AI234=1),MAX(0,MIN(AA234,CFG_WEM)-CFG_WSM),0)</f>
        <v>0</v>
      </c>
      <c r="AM234" s="80">
        <f>AK234+AL234</f>
        <v>0</v>
      </c>
      <c r="AN234" s="80">
        <f>IF(CFG_BRK="Proporcional",IF(AD234=0,0,AF234*AM234/AD234),IF(CFG_BRK="Extras primero",MIN(AM234,MAX(0,AF234-(AD234-AM234))),MIN(AF234,AM234)))</f>
        <v>0</v>
      </c>
      <c r="AO234" s="80">
        <f>AF234-AN234</f>
        <v>0</v>
      </c>
      <c r="AP234" s="80">
        <f>AM234-AN234</f>
        <v>0</v>
      </c>
      <c r="AQ234" s="80">
        <f>AD234-AM234-AO234</f>
        <v>0</v>
      </c>
      <c r="AR234" s="80">
        <f>IF(AM234=0,0,AK234-AN234*AK234/AM234)</f>
        <v>0</v>
      </c>
      <c r="AS234" s="80">
        <f>IF(AD234-AM234=0,0,(AJ234-AK234)-AO234*(AJ234-AK234)/(AD234-AM234))</f>
        <v>0</v>
      </c>
      <c r="AT234" s="80" t="str">
        <f>IF(AC234=1,INT(B234)+1,"")</f>
        <v/>
      </c>
      <c r="AU234" s="80">
        <f>IF(AND(D234="proMX",R234="Cancelled"),0,1)</f>
        <v>1</v>
      </c>
      <c r="AV234" s="80">
        <f>IF(AND(AB234=1,AU234=1),IF(COUNTIFS($D$5:D233,D234,$B$5:B233,B234,$Z$5:Z233,Z234,$AA$5:AA233,AA234,$F$5:F233,F234&amp;"",$AU$5:AU233,1)&gt;0,1,0),0)</f>
        <v>0</v>
      </c>
      <c r="AW234" s="80" t="str">
        <f>IF(AB234=1,INT(B234)*1440+Z234,"")</f>
        <v/>
      </c>
      <c r="AX234" s="80" t="str">
        <f>IF(AB234=1,AW234+AD234,"")</f>
        <v/>
      </c>
      <c r="AY234" s="80">
        <f>IF(AND(AB234=1,AV234=0,AU234=1),1,0)</f>
        <v>0</v>
      </c>
      <c r="AZ234" s="80">
        <f>IF(AY234=1,COUNTIFS(R_Emp,D234,R_SAbs,"&lt;"&amp;AX234,R_EAbs,"&gt;"&amp;AW234,R_OKey,1)-1,0)</f>
        <v>0</v>
      </c>
      <c r="BA234" s="80">
        <f>IF(AY234=1,COUNTIFS(R_Emp,"&lt;&gt;"&amp;D234,R_SAbs,"&lt;"&amp;AX234,R_EAbs,"&gt;"&amp;AW234,R_OKey,1),0)</f>
        <v>0</v>
      </c>
      <c r="BB234" s="80">
        <f>IF(AND(AB234=1,D234="proMX"),IF(AND(MOD(Z234,CFG_BLK)=0,MOD(AA234,CFG_BLK)=0,MOD(AG234,CFG_BLK)=0,AG234&gt;0),1,0),1)</f>
        <v>1</v>
      </c>
      <c r="BC234" s="80" t="str">
        <f>IF(Y234=0,"",IF(NOT(ISNUMBER(B234)),"Falta fecha o fecha inválida",IF(D234="","Falta empresa",IF(AND(D234&lt;&gt;"Malcolm",D234&lt;&gt;"proMX"),"Empresa inválida",IF(OR(INT(B234)&lt;CFG_PSTART,INT(B234)&gt;CFG_PEND),"Fecha fuera del período",IF(OR(NOT(ISNUMBER(Z234)),NOT(ISNUMBER(AA234))),"Falta hora inicio/fin o formato inválido",IF(AB234=0,"Hora inicio = hora fin",IF(AE234&lt;0,"Descanso inválido",IF(AE234&gt;=AD234,"Descanso ≥ duración",IF(AV234=1,"Registro duplicado",IF(AZ234&gt;0,"Se superpone con otro registro "&amp;D234,IF(BB234=0,"inicio, fin y duración neta deben ser múltiplos de "&amp;CFG_BLK&amp;" min",""))))))))))))</f>
        <v/>
      </c>
      <c r="BD234" s="80">
        <f>IF(AND(Y234=1,BC234=""),1,0)</f>
        <v>0</v>
      </c>
      <c r="BE234" s="80">
        <f>IF(AND(BD234=1,AU234=1),1,0)</f>
        <v>0</v>
      </c>
      <c r="BF234" s="80" t="str">
        <f>IF(AND(D234="proMX",BD234=1),IF(R234="","Draft",R234),"")</f>
        <v/>
      </c>
      <c r="BG234" s="80">
        <f>IF(BD234=1,ROUND(AG234/60,6),0)</f>
        <v>0</v>
      </c>
      <c r="BH234" s="80">
        <f>IF(BE234=1,ROUND(AG234/60,6),0)</f>
        <v>0</v>
      </c>
      <c r="BI234" s="80">
        <f>IF(BE234=1,ROUND(AP234/60,6),0)</f>
        <v>0</v>
      </c>
      <c r="BJ234" s="80">
        <f>IF(BE234=1,ROUND(AQ234/60,6),0)</f>
        <v>0</v>
      </c>
      <c r="BK234" s="80">
        <f>IF(BE234=1,ROUND((AR234+AS234)/60,6),0)</f>
        <v>0</v>
      </c>
      <c r="BL234" s="80">
        <f>ROUND(BH234-BK234,6)</f>
        <v>0</v>
      </c>
      <c r="BM234" s="80">
        <f>IF(BE234=1,ROUND(AR234/60,6),0)</f>
        <v>0</v>
      </c>
      <c r="BN234" s="80">
        <f>ROUND(BI234-BM234,6)</f>
        <v>0</v>
      </c>
      <c r="BO234" s="80">
        <f>IF(BE234=1,ROUND(AS234/60,6),0)</f>
        <v>0</v>
      </c>
      <c r="BP234" s="80">
        <f>ROUND(BJ234-BO234,6)</f>
        <v>0</v>
      </c>
      <c r="BQ234" s="80">
        <f>IF(BE234=1,AW234,0)</f>
        <v>0</v>
      </c>
      <c r="BR234" s="80">
        <f>IF(BE234=1,AX234,0)</f>
        <v>0</v>
      </c>
      <c r="BS234" s="80">
        <f>IF(AND(BE234=1,D234="Malcolm",BA234&gt;0),MIN(BH234,SUMPRODUCT((R_Emp="proMX")*(R_EN&gt;0)*((R_EN-(R_EN&gt;BR234)*(R_EN-BR234))&gt;(R_SN+(R_SN&lt;BQ234)*(BQ234-R_SN)))*((R_EN-(R_EN&gt;BR234)*(R_EN-BR234))-(R_SN+(R_SN&lt;BQ234)*(BQ234-R_SN))))/60),0)</f>
        <v>0</v>
      </c>
      <c r="BT234" s="80">
        <f>IF(AND(BE234=1,D234="proMX"),ROUND(BI234*CFG_RATE+BJ234*CFG_OTRATE,6),0)</f>
        <v>0</v>
      </c>
      <c r="BU234" s="80">
        <f>IF(AND(BD234=1,D234="proMX"),ROUND(AG234/CFG_BLK,6),0)</f>
        <v>0</v>
      </c>
      <c r="BV234" s="80" t="str">
        <f>IF(BF234="Approved",IF(ISNUMBER(T234),INT(T234),INT(B234)),"")</f>
        <v/>
      </c>
      <c r="BW234" s="80">
        <f>IF(ISNUMBER(B234),IF(DB_MON="Todos",1,IF(AND(INT(B234)&gt;=DB_MS,INT(B234)&lt;=DB_ME),1,0)),0)</f>
        <v>0</v>
      </c>
      <c r="BX234" s="80">
        <f>IF(DB_PROJ="Todos",1,IF(E234&amp;""=DB_PROJ&amp;"",1,0))</f>
        <v>1</v>
      </c>
      <c r="BY234" s="80">
        <f>BW234*BX234</f>
        <v>0</v>
      </c>
      <c r="BZ234" s="80" t="str">
        <f>IF(Y234=1,F234&amp;IF(AND(F234&amp;""&lt;&gt;"",E234&amp;""&lt;&gt;"")," · ","")&amp;E234,"")</f>
        <v/>
      </c>
      <c r="CA234" s="80" t="str">
        <f>IF(AND(BD234=1,E234&amp;""&lt;&gt;""),IF(COUNTIFS($E$5:E233,E234,$BD$5:BD233,1)=0,MAX($CA$5:CA233)+1,""),"")</f>
        <v/>
      </c>
      <c r="CB234" s="80" t="str">
        <f>IF(AND(BE234=1,D234="Malcolm",E234&amp;""&lt;&gt;""),IF(COUNTIFS($D$5:D233,"Malcolm",$E$5:E233,E234,$BE$5:BE233,1)=0,MAX($CB$5:CB233)+1,""),"")</f>
        <v/>
      </c>
      <c r="CC234" s="80" t="str">
        <f>IF(AND(BD234=1,D234="proMX",E234&amp;""&lt;&gt;""),IF(COUNTIFS($D$5:D233,"proMX",$E$5:E233,E234,$BD$5:BD233,1)=0,MAX($CC$5:CC233)+1,""),"")</f>
        <v/>
      </c>
      <c r="CD234" s="80" t="str">
        <f>IF(AND(BE234=1,D234="Malcolm",F234&amp;""&lt;&gt;""),IF(COUNTIFS($D$5:D233,"Malcolm",$F$5:F233,F234,$BE$5:BE233,1)=0,MAX($CD$5:CD233)+1,""),"")</f>
        <v/>
      </c>
      <c r="CE234" s="80" t="str">
        <f>IF(AND(BD234=1,D234="proMX",F234&amp;""&lt;&gt;""),IF(COUNTIFS($D$5:D233,"proMX",$F$5:F233,F234,$BD$5:BD233,1)=0,MAX($CE$5:CE233)+1,""),"")</f>
        <v/>
      </c>
      <c r="CF234" s="80" t="str">
        <f>IF(AND(D234="proMX",BD234=1),IF(OR(BF234="Draft",BF234="Submitted",BF234="Returned",BF234="Recall Requested"),MAX($CF$5:CF233)+1,""),"")</f>
        <v/>
      </c>
      <c r="CG234" s="80">
        <f>IF(BD234=0,0,IF(D234="Malcolm",1,MATCH(BF234,{"Draft","Submitted","Approved","Returned","Recall Requested","Cancelled"},0)+1))</f>
        <v>0</v>
      </c>
      <c r="CH234" s="80">
        <f>IF(AND(BF234="Submitted",ISNUMBER(V234)),IF(V234&gt;CFG_MAXD,1,0),0)</f>
        <v>0</v>
      </c>
    </row>
    <row r="235">
      <c r="A235" s="71" t="str">
        <f>IF(Y235=1,ROW()-5,"")</f>
        <v/>
      </c>
      <c r="B235" s="72" t="n"/>
      <c r="C235" s="71" t="str">
        <f>IF(ISNUMBER(B235),CHOOSE(WEEKDAY(B235,2),"Lun","Mar","Mié","Jue","Vie","Sáb","Dom"),"")</f>
        <v/>
      </c>
      <c r="D235" s="73" t="n"/>
      <c r="E235" s="74" t="n"/>
      <c r="F235" s="74" t="n"/>
      <c r="G235" s="74" t="n"/>
      <c r="H235" s="75" t="n"/>
      <c r="I235" s="75" t="n"/>
      <c r="J235" s="76" t="n"/>
      <c r="K235" s="77" t="str">
        <f>IF(AB235=1,ROUND(AG235/60,4),"")</f>
        <v/>
      </c>
      <c r="L235" s="77" t="str">
        <f>IF(BD235=1,ROUND(AP235/60,4),"")</f>
        <v/>
      </c>
      <c r="M235" s="77" t="str">
        <f>IF(BD235=1,ROUND(AQ235/60,4),"")</f>
        <v/>
      </c>
      <c r="N235" s="71" t="str">
        <f>IF(AND(D235="proMX",AB235=1),ROUND(AG235/CFG_BLK,2),"")</f>
        <v/>
      </c>
      <c r="O235" s="77" t="str">
        <f>IF(D235="proMX",IF(BD235=1,ROUND(AG235/60,4),0),"")</f>
        <v/>
      </c>
      <c r="P235" s="78" t="str">
        <f>IF(Y235=0,"",IF(BD235=1,"OK",IF(D235="proMX","Revisar bloques: ","Revisar: ")&amp;BC235))</f>
        <v/>
      </c>
      <c r="Q235" s="78" t="str">
        <f>IF(NOT(ISNUMBER(B235)),"",IF(COUNTIFS(FER_F,INT(B235))&gt;0,"Feriado"&amp;IF(AH235=1," (laborable)"," (no laborable)"),IF(AH235=1,"Laborable",IF(WEEKDAY(B235,2)&gt;5,"Fin de semana","No laborable"))))</f>
        <v/>
      </c>
      <c r="R235" s="73" t="n"/>
      <c r="S235" s="72" t="n"/>
      <c r="T235" s="72" t="n"/>
      <c r="U235" s="74" t="n"/>
      <c r="V235" s="79" t="str">
        <f>IF(AND(D235="proMX",OR(R235="Submitted",R235="Recall Requested"),ISNUMBER(S235)),CFG_TODAY-INT(S235),"")</f>
        <v/>
      </c>
      <c r="W235" s="78" t="str">
        <f>IF(BD235=0,"",IF(BA235&gt;0,"⚠ Se superpone con un registro de la otra empresa",IF(D235="Malcolm",IF(COUNTA(R235,S235,T235)&gt;0,"Estado/fechas proMX se ignoran en Malcolm",""),IF(BF235="Cancelled","Cancelado: excluido de totales",IF(R235="","Sin estado: se trata como Draft",IF(BF235="Submitted",IF(ISNUMBER(V235),IF(V235&gt;CFG_MAXD,"⚠ "&amp;V235&amp;" días en Submitted (máx. "&amp;CFG_MAXD&amp;")",""),"Falta fecha de envío"),IF(BF235="Returned","⚠ Devuelto: corregir y reenviar",IF(BF235="Recall Requested","Retirada solicitada: pendiente",IF(AND(BF235="Approved",NOT(ISNUMBER(T235))),"Falta fecha de aprobación",IF(AND(ISNUMBER(S235),ISNUMBER(T235),T235&lt;S235),"Aprobación anterior al envío","")))))))))</f>
        <v/>
      </c>
      <c r="Y235" s="80">
        <f>IF(COUNTA(B235,D235,E235,F235,G235,H235,I235,J235,R235,S235,T235)&gt;0,1,0)</f>
        <v>0</v>
      </c>
      <c r="Z235" s="80" t="str">
        <f>IF(AND(ISNUMBER(H235),H235&gt;=0,H235&lt;1),ROUND(H235*1440,0),"")</f>
        <v/>
      </c>
      <c r="AA235" s="80" t="str">
        <f>IF(AND(ISNUMBER(I235),I235&gt;=0,I235&lt;1),ROUND(I235*1440,0),"")</f>
        <v/>
      </c>
      <c r="AB235" s="80">
        <f>IF(AND(ISNUMBER(B235),D235&lt;&gt;"",ISNUMBER(Z235),ISNUMBER(AA235)),IF(Z235=AA235,0,1),0)</f>
        <v>0</v>
      </c>
      <c r="AC235" s="80">
        <f>IF(AB235=1,IF(AA235&lt;Z235,1,0),0)</f>
        <v>0</v>
      </c>
      <c r="AD235" s="80">
        <f>IF(AB235=1,IF(AC235=1,1440-Z235+AA235,AA235-Z235),0)</f>
        <v>0</v>
      </c>
      <c r="AE235" s="80">
        <f>IF(J235="",0,IF(ISNUMBER(J235),J235,-1))</f>
        <v>0</v>
      </c>
      <c r="AF235" s="80">
        <f>MIN(MAX(0,AE235),AD235)</f>
        <v>0</v>
      </c>
      <c r="AG235" s="80">
        <f>MAX(0,AD235-MAX(0,AE235))</f>
        <v>0</v>
      </c>
      <c r="AH235" s="80">
        <f>IF(ISNUMBER(B235),IF(AND(INDEX(CFG_WDAYS,WEEKDAY(INT(B235),2))="Sí",IF(D235="proMX",COUNTIFS(FER_F,INT(B235),FER_NLP,"Sí"),COUNTIFS(FER_F,INT(B235),FER_NLM,"Sí"))=0),1,0),0)</f>
        <v>0</v>
      </c>
      <c r="AI235" s="80">
        <f>IF(AC235=1,IF(AND(INDEX(CFG_WDAYS,WEEKDAY(INT(B235)+1,2))="Sí",IF(D235="proMX",COUNTIFS(FER_F,INT(B235)+1,FER_NLP,"Sí"),COUNTIFS(FER_F,INT(B235)+1,FER_NLM,"Sí"))=0),1,0),0)</f>
        <v>0</v>
      </c>
      <c r="AJ235" s="80">
        <f>IF(AC235=1,1440-Z235,AD235)</f>
        <v>0</v>
      </c>
      <c r="AK235" s="80">
        <f>IF(AND(AB235=1,AH235=1),MAX(0,MIN(IF(AC235=1,1440,AA235),CFG_WEM)-MAX(Z235,CFG_WSM)),0)</f>
        <v>0</v>
      </c>
      <c r="AL235" s="80">
        <f>IF(AND(AC235=1,AI235=1),MAX(0,MIN(AA235,CFG_WEM)-CFG_WSM),0)</f>
        <v>0</v>
      </c>
      <c r="AM235" s="80">
        <f>AK235+AL235</f>
        <v>0</v>
      </c>
      <c r="AN235" s="80">
        <f>IF(CFG_BRK="Proporcional",IF(AD235=0,0,AF235*AM235/AD235),IF(CFG_BRK="Extras primero",MIN(AM235,MAX(0,AF235-(AD235-AM235))),MIN(AF235,AM235)))</f>
        <v>0</v>
      </c>
      <c r="AO235" s="80">
        <f>AF235-AN235</f>
        <v>0</v>
      </c>
      <c r="AP235" s="80">
        <f>AM235-AN235</f>
        <v>0</v>
      </c>
      <c r="AQ235" s="80">
        <f>AD235-AM235-AO235</f>
        <v>0</v>
      </c>
      <c r="AR235" s="80">
        <f>IF(AM235=0,0,AK235-AN235*AK235/AM235)</f>
        <v>0</v>
      </c>
      <c r="AS235" s="80">
        <f>IF(AD235-AM235=0,0,(AJ235-AK235)-AO235*(AJ235-AK235)/(AD235-AM235))</f>
        <v>0</v>
      </c>
      <c r="AT235" s="80" t="str">
        <f>IF(AC235=1,INT(B235)+1,"")</f>
        <v/>
      </c>
      <c r="AU235" s="80">
        <f>IF(AND(D235="proMX",R235="Cancelled"),0,1)</f>
        <v>1</v>
      </c>
      <c r="AV235" s="80">
        <f>IF(AND(AB235=1,AU235=1),IF(COUNTIFS($D$5:D234,D235,$B$5:B234,B235,$Z$5:Z234,Z235,$AA$5:AA234,AA235,$F$5:F234,F235&amp;"",$AU$5:AU234,1)&gt;0,1,0),0)</f>
        <v>0</v>
      </c>
      <c r="AW235" s="80" t="str">
        <f>IF(AB235=1,INT(B235)*1440+Z235,"")</f>
        <v/>
      </c>
      <c r="AX235" s="80" t="str">
        <f>IF(AB235=1,AW235+AD235,"")</f>
        <v/>
      </c>
      <c r="AY235" s="80">
        <f>IF(AND(AB235=1,AV235=0,AU235=1),1,0)</f>
        <v>0</v>
      </c>
      <c r="AZ235" s="80">
        <f>IF(AY235=1,COUNTIFS(R_Emp,D235,R_SAbs,"&lt;"&amp;AX235,R_EAbs,"&gt;"&amp;AW235,R_OKey,1)-1,0)</f>
        <v>0</v>
      </c>
      <c r="BA235" s="80">
        <f>IF(AY235=1,COUNTIFS(R_Emp,"&lt;&gt;"&amp;D235,R_SAbs,"&lt;"&amp;AX235,R_EAbs,"&gt;"&amp;AW235,R_OKey,1),0)</f>
        <v>0</v>
      </c>
      <c r="BB235" s="80">
        <f>IF(AND(AB235=1,D235="proMX"),IF(AND(MOD(Z235,CFG_BLK)=0,MOD(AA235,CFG_BLK)=0,MOD(AG235,CFG_BLK)=0,AG235&gt;0),1,0),1)</f>
        <v>1</v>
      </c>
      <c r="BC235" s="80" t="str">
        <f>IF(Y235=0,"",IF(NOT(ISNUMBER(B235)),"Falta fecha o fecha inválida",IF(D235="","Falta empresa",IF(AND(D235&lt;&gt;"Malcolm",D235&lt;&gt;"proMX"),"Empresa inválida",IF(OR(INT(B235)&lt;CFG_PSTART,INT(B235)&gt;CFG_PEND),"Fecha fuera del período",IF(OR(NOT(ISNUMBER(Z235)),NOT(ISNUMBER(AA235))),"Falta hora inicio/fin o formato inválido",IF(AB235=0,"Hora inicio = hora fin",IF(AE235&lt;0,"Descanso inválido",IF(AE235&gt;=AD235,"Descanso ≥ duración",IF(AV235=1,"Registro duplicado",IF(AZ235&gt;0,"Se superpone con otro registro "&amp;D235,IF(BB235=0,"inicio, fin y duración neta deben ser múltiplos de "&amp;CFG_BLK&amp;" min",""))))))))))))</f>
        <v/>
      </c>
      <c r="BD235" s="80">
        <f>IF(AND(Y235=1,BC235=""),1,0)</f>
        <v>0</v>
      </c>
      <c r="BE235" s="80">
        <f>IF(AND(BD235=1,AU235=1),1,0)</f>
        <v>0</v>
      </c>
      <c r="BF235" s="80" t="str">
        <f>IF(AND(D235="proMX",BD235=1),IF(R235="","Draft",R235),"")</f>
        <v/>
      </c>
      <c r="BG235" s="80">
        <f>IF(BD235=1,ROUND(AG235/60,6),0)</f>
        <v>0</v>
      </c>
      <c r="BH235" s="80">
        <f>IF(BE235=1,ROUND(AG235/60,6),0)</f>
        <v>0</v>
      </c>
      <c r="BI235" s="80">
        <f>IF(BE235=1,ROUND(AP235/60,6),0)</f>
        <v>0</v>
      </c>
      <c r="BJ235" s="80">
        <f>IF(BE235=1,ROUND(AQ235/60,6),0)</f>
        <v>0</v>
      </c>
      <c r="BK235" s="80">
        <f>IF(BE235=1,ROUND((AR235+AS235)/60,6),0)</f>
        <v>0</v>
      </c>
      <c r="BL235" s="80">
        <f>ROUND(BH235-BK235,6)</f>
        <v>0</v>
      </c>
      <c r="BM235" s="80">
        <f>IF(BE235=1,ROUND(AR235/60,6),0)</f>
        <v>0</v>
      </c>
      <c r="BN235" s="80">
        <f>ROUND(BI235-BM235,6)</f>
        <v>0</v>
      </c>
      <c r="BO235" s="80">
        <f>IF(BE235=1,ROUND(AS235/60,6),0)</f>
        <v>0</v>
      </c>
      <c r="BP235" s="80">
        <f>ROUND(BJ235-BO235,6)</f>
        <v>0</v>
      </c>
      <c r="BQ235" s="80">
        <f>IF(BE235=1,AW235,0)</f>
        <v>0</v>
      </c>
      <c r="BR235" s="80">
        <f>IF(BE235=1,AX235,0)</f>
        <v>0</v>
      </c>
      <c r="BS235" s="80">
        <f>IF(AND(BE235=1,D235="Malcolm",BA235&gt;0),MIN(BH235,SUMPRODUCT((R_Emp="proMX")*(R_EN&gt;0)*((R_EN-(R_EN&gt;BR235)*(R_EN-BR235))&gt;(R_SN+(R_SN&lt;BQ235)*(BQ235-R_SN)))*((R_EN-(R_EN&gt;BR235)*(R_EN-BR235))-(R_SN+(R_SN&lt;BQ235)*(BQ235-R_SN))))/60),0)</f>
        <v>0</v>
      </c>
      <c r="BT235" s="80">
        <f>IF(AND(BE235=1,D235="proMX"),ROUND(BI235*CFG_RATE+BJ235*CFG_OTRATE,6),0)</f>
        <v>0</v>
      </c>
      <c r="BU235" s="80">
        <f>IF(AND(BD235=1,D235="proMX"),ROUND(AG235/CFG_BLK,6),0)</f>
        <v>0</v>
      </c>
      <c r="BV235" s="80" t="str">
        <f>IF(BF235="Approved",IF(ISNUMBER(T235),INT(T235),INT(B235)),"")</f>
        <v/>
      </c>
      <c r="BW235" s="80">
        <f>IF(ISNUMBER(B235),IF(DB_MON="Todos",1,IF(AND(INT(B235)&gt;=DB_MS,INT(B235)&lt;=DB_ME),1,0)),0)</f>
        <v>0</v>
      </c>
      <c r="BX235" s="80">
        <f>IF(DB_PROJ="Todos",1,IF(E235&amp;""=DB_PROJ&amp;"",1,0))</f>
        <v>1</v>
      </c>
      <c r="BY235" s="80">
        <f>BW235*BX235</f>
        <v>0</v>
      </c>
      <c r="BZ235" s="80" t="str">
        <f>IF(Y235=1,F235&amp;IF(AND(F235&amp;""&lt;&gt;"",E235&amp;""&lt;&gt;"")," · ","")&amp;E235,"")</f>
        <v/>
      </c>
      <c r="CA235" s="80" t="str">
        <f>IF(AND(BD235=1,E235&amp;""&lt;&gt;""),IF(COUNTIFS($E$5:E234,E235,$BD$5:BD234,1)=0,MAX($CA$5:CA234)+1,""),"")</f>
        <v/>
      </c>
      <c r="CB235" s="80" t="str">
        <f>IF(AND(BE235=1,D235="Malcolm",E235&amp;""&lt;&gt;""),IF(COUNTIFS($D$5:D234,"Malcolm",$E$5:E234,E235,$BE$5:BE234,1)=0,MAX($CB$5:CB234)+1,""),"")</f>
        <v/>
      </c>
      <c r="CC235" s="80" t="str">
        <f>IF(AND(BD235=1,D235="proMX",E235&amp;""&lt;&gt;""),IF(COUNTIFS($D$5:D234,"proMX",$E$5:E234,E235,$BD$5:BD234,1)=0,MAX($CC$5:CC234)+1,""),"")</f>
        <v/>
      </c>
      <c r="CD235" s="80" t="str">
        <f>IF(AND(BE235=1,D235="Malcolm",F235&amp;""&lt;&gt;""),IF(COUNTIFS($D$5:D234,"Malcolm",$F$5:F234,F235,$BE$5:BE234,1)=0,MAX($CD$5:CD234)+1,""),"")</f>
        <v/>
      </c>
      <c r="CE235" s="80" t="str">
        <f>IF(AND(BD235=1,D235="proMX",F235&amp;""&lt;&gt;""),IF(COUNTIFS($D$5:D234,"proMX",$F$5:F234,F235,$BD$5:BD234,1)=0,MAX($CE$5:CE234)+1,""),"")</f>
        <v/>
      </c>
      <c r="CF235" s="80" t="str">
        <f>IF(AND(D235="proMX",BD235=1),IF(OR(BF235="Draft",BF235="Submitted",BF235="Returned",BF235="Recall Requested"),MAX($CF$5:CF234)+1,""),"")</f>
        <v/>
      </c>
      <c r="CG235" s="80">
        <f>IF(BD235=0,0,IF(D235="Malcolm",1,MATCH(BF235,{"Draft","Submitted","Approved","Returned","Recall Requested","Cancelled"},0)+1))</f>
        <v>0</v>
      </c>
      <c r="CH235" s="80">
        <f>IF(AND(BF235="Submitted",ISNUMBER(V235)),IF(V235&gt;CFG_MAXD,1,0),0)</f>
        <v>0</v>
      </c>
    </row>
    <row r="236">
      <c r="A236" s="71" t="str">
        <f>IF(Y236=1,ROW()-5,"")</f>
        <v/>
      </c>
      <c r="B236" s="72" t="n"/>
      <c r="C236" s="71" t="str">
        <f>IF(ISNUMBER(B236),CHOOSE(WEEKDAY(B236,2),"Lun","Mar","Mié","Jue","Vie","Sáb","Dom"),"")</f>
        <v/>
      </c>
      <c r="D236" s="73" t="n"/>
      <c r="E236" s="74" t="n"/>
      <c r="F236" s="74" t="n"/>
      <c r="G236" s="74" t="n"/>
      <c r="H236" s="75" t="n"/>
      <c r="I236" s="75" t="n"/>
      <c r="J236" s="76" t="n"/>
      <c r="K236" s="77" t="str">
        <f>IF(AB236=1,ROUND(AG236/60,4),"")</f>
        <v/>
      </c>
      <c r="L236" s="77" t="str">
        <f>IF(BD236=1,ROUND(AP236/60,4),"")</f>
        <v/>
      </c>
      <c r="M236" s="77" t="str">
        <f>IF(BD236=1,ROUND(AQ236/60,4),"")</f>
        <v/>
      </c>
      <c r="N236" s="71" t="str">
        <f>IF(AND(D236="proMX",AB236=1),ROUND(AG236/CFG_BLK,2),"")</f>
        <v/>
      </c>
      <c r="O236" s="77" t="str">
        <f>IF(D236="proMX",IF(BD236=1,ROUND(AG236/60,4),0),"")</f>
        <v/>
      </c>
      <c r="P236" s="78" t="str">
        <f>IF(Y236=0,"",IF(BD236=1,"OK",IF(D236="proMX","Revisar bloques: ","Revisar: ")&amp;BC236))</f>
        <v/>
      </c>
      <c r="Q236" s="78" t="str">
        <f>IF(NOT(ISNUMBER(B236)),"",IF(COUNTIFS(FER_F,INT(B236))&gt;0,"Feriado"&amp;IF(AH236=1," (laborable)"," (no laborable)"),IF(AH236=1,"Laborable",IF(WEEKDAY(B236,2)&gt;5,"Fin de semana","No laborable"))))</f>
        <v/>
      </c>
      <c r="R236" s="73" t="n"/>
      <c r="S236" s="72" t="n"/>
      <c r="T236" s="72" t="n"/>
      <c r="U236" s="74" t="n"/>
      <c r="V236" s="79" t="str">
        <f>IF(AND(D236="proMX",OR(R236="Submitted",R236="Recall Requested"),ISNUMBER(S236)),CFG_TODAY-INT(S236),"")</f>
        <v/>
      </c>
      <c r="W236" s="78" t="str">
        <f>IF(BD236=0,"",IF(BA236&gt;0,"⚠ Se superpone con un registro de la otra empresa",IF(D236="Malcolm",IF(COUNTA(R236,S236,T236)&gt;0,"Estado/fechas proMX se ignoran en Malcolm",""),IF(BF236="Cancelled","Cancelado: excluido de totales",IF(R236="","Sin estado: se trata como Draft",IF(BF236="Submitted",IF(ISNUMBER(V236),IF(V236&gt;CFG_MAXD,"⚠ "&amp;V236&amp;" días en Submitted (máx. "&amp;CFG_MAXD&amp;")",""),"Falta fecha de envío"),IF(BF236="Returned","⚠ Devuelto: corregir y reenviar",IF(BF236="Recall Requested","Retirada solicitada: pendiente",IF(AND(BF236="Approved",NOT(ISNUMBER(T236))),"Falta fecha de aprobación",IF(AND(ISNUMBER(S236),ISNUMBER(T236),T236&lt;S236),"Aprobación anterior al envío","")))))))))</f>
        <v/>
      </c>
      <c r="Y236" s="80">
        <f>IF(COUNTA(B236,D236,E236,F236,G236,H236,I236,J236,R236,S236,T236)&gt;0,1,0)</f>
        <v>0</v>
      </c>
      <c r="Z236" s="80" t="str">
        <f>IF(AND(ISNUMBER(H236),H236&gt;=0,H236&lt;1),ROUND(H236*1440,0),"")</f>
        <v/>
      </c>
      <c r="AA236" s="80" t="str">
        <f>IF(AND(ISNUMBER(I236),I236&gt;=0,I236&lt;1),ROUND(I236*1440,0),"")</f>
        <v/>
      </c>
      <c r="AB236" s="80">
        <f>IF(AND(ISNUMBER(B236),D236&lt;&gt;"",ISNUMBER(Z236),ISNUMBER(AA236)),IF(Z236=AA236,0,1),0)</f>
        <v>0</v>
      </c>
      <c r="AC236" s="80">
        <f>IF(AB236=1,IF(AA236&lt;Z236,1,0),0)</f>
        <v>0</v>
      </c>
      <c r="AD236" s="80">
        <f>IF(AB236=1,IF(AC236=1,1440-Z236+AA236,AA236-Z236),0)</f>
        <v>0</v>
      </c>
      <c r="AE236" s="80">
        <f>IF(J236="",0,IF(ISNUMBER(J236),J236,-1))</f>
        <v>0</v>
      </c>
      <c r="AF236" s="80">
        <f>MIN(MAX(0,AE236),AD236)</f>
        <v>0</v>
      </c>
      <c r="AG236" s="80">
        <f>MAX(0,AD236-MAX(0,AE236))</f>
        <v>0</v>
      </c>
      <c r="AH236" s="80">
        <f>IF(ISNUMBER(B236),IF(AND(INDEX(CFG_WDAYS,WEEKDAY(INT(B236),2))="Sí",IF(D236="proMX",COUNTIFS(FER_F,INT(B236),FER_NLP,"Sí"),COUNTIFS(FER_F,INT(B236),FER_NLM,"Sí"))=0),1,0),0)</f>
        <v>0</v>
      </c>
      <c r="AI236" s="80">
        <f>IF(AC236=1,IF(AND(INDEX(CFG_WDAYS,WEEKDAY(INT(B236)+1,2))="Sí",IF(D236="proMX",COUNTIFS(FER_F,INT(B236)+1,FER_NLP,"Sí"),COUNTIFS(FER_F,INT(B236)+1,FER_NLM,"Sí"))=0),1,0),0)</f>
        <v>0</v>
      </c>
      <c r="AJ236" s="80">
        <f>IF(AC236=1,1440-Z236,AD236)</f>
        <v>0</v>
      </c>
      <c r="AK236" s="80">
        <f>IF(AND(AB236=1,AH236=1),MAX(0,MIN(IF(AC236=1,1440,AA236),CFG_WEM)-MAX(Z236,CFG_WSM)),0)</f>
        <v>0</v>
      </c>
      <c r="AL236" s="80">
        <f>IF(AND(AC236=1,AI236=1),MAX(0,MIN(AA236,CFG_WEM)-CFG_WSM),0)</f>
        <v>0</v>
      </c>
      <c r="AM236" s="80">
        <f>AK236+AL236</f>
        <v>0</v>
      </c>
      <c r="AN236" s="80">
        <f>IF(CFG_BRK="Proporcional",IF(AD236=0,0,AF236*AM236/AD236),IF(CFG_BRK="Extras primero",MIN(AM236,MAX(0,AF236-(AD236-AM236))),MIN(AF236,AM236)))</f>
        <v>0</v>
      </c>
      <c r="AO236" s="80">
        <f>AF236-AN236</f>
        <v>0</v>
      </c>
      <c r="AP236" s="80">
        <f>AM236-AN236</f>
        <v>0</v>
      </c>
      <c r="AQ236" s="80">
        <f>AD236-AM236-AO236</f>
        <v>0</v>
      </c>
      <c r="AR236" s="80">
        <f>IF(AM236=0,0,AK236-AN236*AK236/AM236)</f>
        <v>0</v>
      </c>
      <c r="AS236" s="80">
        <f>IF(AD236-AM236=0,0,(AJ236-AK236)-AO236*(AJ236-AK236)/(AD236-AM236))</f>
        <v>0</v>
      </c>
      <c r="AT236" s="80" t="str">
        <f>IF(AC236=1,INT(B236)+1,"")</f>
        <v/>
      </c>
      <c r="AU236" s="80">
        <f>IF(AND(D236="proMX",R236="Cancelled"),0,1)</f>
        <v>1</v>
      </c>
      <c r="AV236" s="80">
        <f>IF(AND(AB236=1,AU236=1),IF(COUNTIFS($D$5:D235,D236,$B$5:B235,B236,$Z$5:Z235,Z236,$AA$5:AA235,AA236,$F$5:F235,F236&amp;"",$AU$5:AU235,1)&gt;0,1,0),0)</f>
        <v>0</v>
      </c>
      <c r="AW236" s="80" t="str">
        <f>IF(AB236=1,INT(B236)*1440+Z236,"")</f>
        <v/>
      </c>
      <c r="AX236" s="80" t="str">
        <f>IF(AB236=1,AW236+AD236,"")</f>
        <v/>
      </c>
      <c r="AY236" s="80">
        <f>IF(AND(AB236=1,AV236=0,AU236=1),1,0)</f>
        <v>0</v>
      </c>
      <c r="AZ236" s="80">
        <f>IF(AY236=1,COUNTIFS(R_Emp,D236,R_SAbs,"&lt;"&amp;AX236,R_EAbs,"&gt;"&amp;AW236,R_OKey,1)-1,0)</f>
        <v>0</v>
      </c>
      <c r="BA236" s="80">
        <f>IF(AY236=1,COUNTIFS(R_Emp,"&lt;&gt;"&amp;D236,R_SAbs,"&lt;"&amp;AX236,R_EAbs,"&gt;"&amp;AW236,R_OKey,1),0)</f>
        <v>0</v>
      </c>
      <c r="BB236" s="80">
        <f>IF(AND(AB236=1,D236="proMX"),IF(AND(MOD(Z236,CFG_BLK)=0,MOD(AA236,CFG_BLK)=0,MOD(AG236,CFG_BLK)=0,AG236&gt;0),1,0),1)</f>
        <v>1</v>
      </c>
      <c r="BC236" s="80" t="str">
        <f>IF(Y236=0,"",IF(NOT(ISNUMBER(B236)),"Falta fecha o fecha inválida",IF(D236="","Falta empresa",IF(AND(D236&lt;&gt;"Malcolm",D236&lt;&gt;"proMX"),"Empresa inválida",IF(OR(INT(B236)&lt;CFG_PSTART,INT(B236)&gt;CFG_PEND),"Fecha fuera del período",IF(OR(NOT(ISNUMBER(Z236)),NOT(ISNUMBER(AA236))),"Falta hora inicio/fin o formato inválido",IF(AB236=0,"Hora inicio = hora fin",IF(AE236&lt;0,"Descanso inválido",IF(AE236&gt;=AD236,"Descanso ≥ duración",IF(AV236=1,"Registro duplicado",IF(AZ236&gt;0,"Se superpone con otro registro "&amp;D236,IF(BB236=0,"inicio, fin y duración neta deben ser múltiplos de "&amp;CFG_BLK&amp;" min",""))))))))))))</f>
        <v/>
      </c>
      <c r="BD236" s="80">
        <f>IF(AND(Y236=1,BC236=""),1,0)</f>
        <v>0</v>
      </c>
      <c r="BE236" s="80">
        <f>IF(AND(BD236=1,AU236=1),1,0)</f>
        <v>0</v>
      </c>
      <c r="BF236" s="80" t="str">
        <f>IF(AND(D236="proMX",BD236=1),IF(R236="","Draft",R236),"")</f>
        <v/>
      </c>
      <c r="BG236" s="80">
        <f>IF(BD236=1,ROUND(AG236/60,6),0)</f>
        <v>0</v>
      </c>
      <c r="BH236" s="80">
        <f>IF(BE236=1,ROUND(AG236/60,6),0)</f>
        <v>0</v>
      </c>
      <c r="BI236" s="80">
        <f>IF(BE236=1,ROUND(AP236/60,6),0)</f>
        <v>0</v>
      </c>
      <c r="BJ236" s="80">
        <f>IF(BE236=1,ROUND(AQ236/60,6),0)</f>
        <v>0</v>
      </c>
      <c r="BK236" s="80">
        <f>IF(BE236=1,ROUND((AR236+AS236)/60,6),0)</f>
        <v>0</v>
      </c>
      <c r="BL236" s="80">
        <f>ROUND(BH236-BK236,6)</f>
        <v>0</v>
      </c>
      <c r="BM236" s="80">
        <f>IF(BE236=1,ROUND(AR236/60,6),0)</f>
        <v>0</v>
      </c>
      <c r="BN236" s="80">
        <f>ROUND(BI236-BM236,6)</f>
        <v>0</v>
      </c>
      <c r="BO236" s="80">
        <f>IF(BE236=1,ROUND(AS236/60,6),0)</f>
        <v>0</v>
      </c>
      <c r="BP236" s="80">
        <f>ROUND(BJ236-BO236,6)</f>
        <v>0</v>
      </c>
      <c r="BQ236" s="80">
        <f>IF(BE236=1,AW236,0)</f>
        <v>0</v>
      </c>
      <c r="BR236" s="80">
        <f>IF(BE236=1,AX236,0)</f>
        <v>0</v>
      </c>
      <c r="BS236" s="80">
        <f>IF(AND(BE236=1,D236="Malcolm",BA236&gt;0),MIN(BH236,SUMPRODUCT((R_Emp="proMX")*(R_EN&gt;0)*((R_EN-(R_EN&gt;BR236)*(R_EN-BR236))&gt;(R_SN+(R_SN&lt;BQ236)*(BQ236-R_SN)))*((R_EN-(R_EN&gt;BR236)*(R_EN-BR236))-(R_SN+(R_SN&lt;BQ236)*(BQ236-R_SN))))/60),0)</f>
        <v>0</v>
      </c>
      <c r="BT236" s="80">
        <f>IF(AND(BE236=1,D236="proMX"),ROUND(BI236*CFG_RATE+BJ236*CFG_OTRATE,6),0)</f>
        <v>0</v>
      </c>
      <c r="BU236" s="80">
        <f>IF(AND(BD236=1,D236="proMX"),ROUND(AG236/CFG_BLK,6),0)</f>
        <v>0</v>
      </c>
      <c r="BV236" s="80" t="str">
        <f>IF(BF236="Approved",IF(ISNUMBER(T236),INT(T236),INT(B236)),"")</f>
        <v/>
      </c>
      <c r="BW236" s="80">
        <f>IF(ISNUMBER(B236),IF(DB_MON="Todos",1,IF(AND(INT(B236)&gt;=DB_MS,INT(B236)&lt;=DB_ME),1,0)),0)</f>
        <v>0</v>
      </c>
      <c r="BX236" s="80">
        <f>IF(DB_PROJ="Todos",1,IF(E236&amp;""=DB_PROJ&amp;"",1,0))</f>
        <v>1</v>
      </c>
      <c r="BY236" s="80">
        <f>BW236*BX236</f>
        <v>0</v>
      </c>
      <c r="BZ236" s="80" t="str">
        <f>IF(Y236=1,F236&amp;IF(AND(F236&amp;""&lt;&gt;"",E236&amp;""&lt;&gt;"")," · ","")&amp;E236,"")</f>
        <v/>
      </c>
      <c r="CA236" s="80" t="str">
        <f>IF(AND(BD236=1,E236&amp;""&lt;&gt;""),IF(COUNTIFS($E$5:E235,E236,$BD$5:BD235,1)=0,MAX($CA$5:CA235)+1,""),"")</f>
        <v/>
      </c>
      <c r="CB236" s="80" t="str">
        <f>IF(AND(BE236=1,D236="Malcolm",E236&amp;""&lt;&gt;""),IF(COUNTIFS($D$5:D235,"Malcolm",$E$5:E235,E236,$BE$5:BE235,1)=0,MAX($CB$5:CB235)+1,""),"")</f>
        <v/>
      </c>
      <c r="CC236" s="80" t="str">
        <f>IF(AND(BD236=1,D236="proMX",E236&amp;""&lt;&gt;""),IF(COUNTIFS($D$5:D235,"proMX",$E$5:E235,E236,$BD$5:BD235,1)=0,MAX($CC$5:CC235)+1,""),"")</f>
        <v/>
      </c>
      <c r="CD236" s="80" t="str">
        <f>IF(AND(BE236=1,D236="Malcolm",F236&amp;""&lt;&gt;""),IF(COUNTIFS($D$5:D235,"Malcolm",$F$5:F235,F236,$BE$5:BE235,1)=0,MAX($CD$5:CD235)+1,""),"")</f>
        <v/>
      </c>
      <c r="CE236" s="80" t="str">
        <f>IF(AND(BD236=1,D236="proMX",F236&amp;""&lt;&gt;""),IF(COUNTIFS($D$5:D235,"proMX",$F$5:F235,F236,$BD$5:BD235,1)=0,MAX($CE$5:CE235)+1,""),"")</f>
        <v/>
      </c>
      <c r="CF236" s="80" t="str">
        <f>IF(AND(D236="proMX",BD236=1),IF(OR(BF236="Draft",BF236="Submitted",BF236="Returned",BF236="Recall Requested"),MAX($CF$5:CF235)+1,""),"")</f>
        <v/>
      </c>
      <c r="CG236" s="80">
        <f>IF(BD236=0,0,IF(D236="Malcolm",1,MATCH(BF236,{"Draft","Submitted","Approved","Returned","Recall Requested","Cancelled"},0)+1))</f>
        <v>0</v>
      </c>
      <c r="CH236" s="80">
        <f>IF(AND(BF236="Submitted",ISNUMBER(V236)),IF(V236&gt;CFG_MAXD,1,0),0)</f>
        <v>0</v>
      </c>
    </row>
    <row r="237">
      <c r="A237" s="71" t="str">
        <f>IF(Y237=1,ROW()-5,"")</f>
        <v/>
      </c>
      <c r="B237" s="72" t="n"/>
      <c r="C237" s="71" t="str">
        <f>IF(ISNUMBER(B237),CHOOSE(WEEKDAY(B237,2),"Lun","Mar","Mié","Jue","Vie","Sáb","Dom"),"")</f>
        <v/>
      </c>
      <c r="D237" s="73" t="n"/>
      <c r="E237" s="74" t="n"/>
      <c r="F237" s="74" t="n"/>
      <c r="G237" s="74" t="n"/>
      <c r="H237" s="75" t="n"/>
      <c r="I237" s="75" t="n"/>
      <c r="J237" s="76" t="n"/>
      <c r="K237" s="77" t="str">
        <f>IF(AB237=1,ROUND(AG237/60,4),"")</f>
        <v/>
      </c>
      <c r="L237" s="77" t="str">
        <f>IF(BD237=1,ROUND(AP237/60,4),"")</f>
        <v/>
      </c>
      <c r="M237" s="77" t="str">
        <f>IF(BD237=1,ROUND(AQ237/60,4),"")</f>
        <v/>
      </c>
      <c r="N237" s="71" t="str">
        <f>IF(AND(D237="proMX",AB237=1),ROUND(AG237/CFG_BLK,2),"")</f>
        <v/>
      </c>
      <c r="O237" s="77" t="str">
        <f>IF(D237="proMX",IF(BD237=1,ROUND(AG237/60,4),0),"")</f>
        <v/>
      </c>
      <c r="P237" s="78" t="str">
        <f>IF(Y237=0,"",IF(BD237=1,"OK",IF(D237="proMX","Revisar bloques: ","Revisar: ")&amp;BC237))</f>
        <v/>
      </c>
      <c r="Q237" s="78" t="str">
        <f>IF(NOT(ISNUMBER(B237)),"",IF(COUNTIFS(FER_F,INT(B237))&gt;0,"Feriado"&amp;IF(AH237=1," (laborable)"," (no laborable)"),IF(AH237=1,"Laborable",IF(WEEKDAY(B237,2)&gt;5,"Fin de semana","No laborable"))))</f>
        <v/>
      </c>
      <c r="R237" s="73" t="n"/>
      <c r="S237" s="72" t="n"/>
      <c r="T237" s="72" t="n"/>
      <c r="U237" s="74" t="n"/>
      <c r="V237" s="79" t="str">
        <f>IF(AND(D237="proMX",OR(R237="Submitted",R237="Recall Requested"),ISNUMBER(S237)),CFG_TODAY-INT(S237),"")</f>
        <v/>
      </c>
      <c r="W237" s="78" t="str">
        <f>IF(BD237=0,"",IF(BA237&gt;0,"⚠ Se superpone con un registro de la otra empresa",IF(D237="Malcolm",IF(COUNTA(R237,S237,T237)&gt;0,"Estado/fechas proMX se ignoran en Malcolm",""),IF(BF237="Cancelled","Cancelado: excluido de totales",IF(R237="","Sin estado: se trata como Draft",IF(BF237="Submitted",IF(ISNUMBER(V237),IF(V237&gt;CFG_MAXD,"⚠ "&amp;V237&amp;" días en Submitted (máx. "&amp;CFG_MAXD&amp;")",""),"Falta fecha de envío"),IF(BF237="Returned","⚠ Devuelto: corregir y reenviar",IF(BF237="Recall Requested","Retirada solicitada: pendiente",IF(AND(BF237="Approved",NOT(ISNUMBER(T237))),"Falta fecha de aprobación",IF(AND(ISNUMBER(S237),ISNUMBER(T237),T237&lt;S237),"Aprobación anterior al envío","")))))))))</f>
        <v/>
      </c>
      <c r="Y237" s="80">
        <f>IF(COUNTA(B237,D237,E237,F237,G237,H237,I237,J237,R237,S237,T237)&gt;0,1,0)</f>
        <v>0</v>
      </c>
      <c r="Z237" s="80" t="str">
        <f>IF(AND(ISNUMBER(H237),H237&gt;=0,H237&lt;1),ROUND(H237*1440,0),"")</f>
        <v/>
      </c>
      <c r="AA237" s="80" t="str">
        <f>IF(AND(ISNUMBER(I237),I237&gt;=0,I237&lt;1),ROUND(I237*1440,0),"")</f>
        <v/>
      </c>
      <c r="AB237" s="80">
        <f>IF(AND(ISNUMBER(B237),D237&lt;&gt;"",ISNUMBER(Z237),ISNUMBER(AA237)),IF(Z237=AA237,0,1),0)</f>
        <v>0</v>
      </c>
      <c r="AC237" s="80">
        <f>IF(AB237=1,IF(AA237&lt;Z237,1,0),0)</f>
        <v>0</v>
      </c>
      <c r="AD237" s="80">
        <f>IF(AB237=1,IF(AC237=1,1440-Z237+AA237,AA237-Z237),0)</f>
        <v>0</v>
      </c>
      <c r="AE237" s="80">
        <f>IF(J237="",0,IF(ISNUMBER(J237),J237,-1))</f>
        <v>0</v>
      </c>
      <c r="AF237" s="80">
        <f>MIN(MAX(0,AE237),AD237)</f>
        <v>0</v>
      </c>
      <c r="AG237" s="80">
        <f>MAX(0,AD237-MAX(0,AE237))</f>
        <v>0</v>
      </c>
      <c r="AH237" s="80">
        <f>IF(ISNUMBER(B237),IF(AND(INDEX(CFG_WDAYS,WEEKDAY(INT(B237),2))="Sí",IF(D237="proMX",COUNTIFS(FER_F,INT(B237),FER_NLP,"Sí"),COUNTIFS(FER_F,INT(B237),FER_NLM,"Sí"))=0),1,0),0)</f>
        <v>0</v>
      </c>
      <c r="AI237" s="80">
        <f>IF(AC237=1,IF(AND(INDEX(CFG_WDAYS,WEEKDAY(INT(B237)+1,2))="Sí",IF(D237="proMX",COUNTIFS(FER_F,INT(B237)+1,FER_NLP,"Sí"),COUNTIFS(FER_F,INT(B237)+1,FER_NLM,"Sí"))=0),1,0),0)</f>
        <v>0</v>
      </c>
      <c r="AJ237" s="80">
        <f>IF(AC237=1,1440-Z237,AD237)</f>
        <v>0</v>
      </c>
      <c r="AK237" s="80">
        <f>IF(AND(AB237=1,AH237=1),MAX(0,MIN(IF(AC237=1,1440,AA237),CFG_WEM)-MAX(Z237,CFG_WSM)),0)</f>
        <v>0</v>
      </c>
      <c r="AL237" s="80">
        <f>IF(AND(AC237=1,AI237=1),MAX(0,MIN(AA237,CFG_WEM)-CFG_WSM),0)</f>
        <v>0</v>
      </c>
      <c r="AM237" s="80">
        <f>AK237+AL237</f>
        <v>0</v>
      </c>
      <c r="AN237" s="80">
        <f>IF(CFG_BRK="Proporcional",IF(AD237=0,0,AF237*AM237/AD237),IF(CFG_BRK="Extras primero",MIN(AM237,MAX(0,AF237-(AD237-AM237))),MIN(AF237,AM237)))</f>
        <v>0</v>
      </c>
      <c r="AO237" s="80">
        <f>AF237-AN237</f>
        <v>0</v>
      </c>
      <c r="AP237" s="80">
        <f>AM237-AN237</f>
        <v>0</v>
      </c>
      <c r="AQ237" s="80">
        <f>AD237-AM237-AO237</f>
        <v>0</v>
      </c>
      <c r="AR237" s="80">
        <f>IF(AM237=0,0,AK237-AN237*AK237/AM237)</f>
        <v>0</v>
      </c>
      <c r="AS237" s="80">
        <f>IF(AD237-AM237=0,0,(AJ237-AK237)-AO237*(AJ237-AK237)/(AD237-AM237))</f>
        <v>0</v>
      </c>
      <c r="AT237" s="80" t="str">
        <f>IF(AC237=1,INT(B237)+1,"")</f>
        <v/>
      </c>
      <c r="AU237" s="80">
        <f>IF(AND(D237="proMX",R237="Cancelled"),0,1)</f>
        <v>1</v>
      </c>
      <c r="AV237" s="80">
        <f>IF(AND(AB237=1,AU237=1),IF(COUNTIFS($D$5:D236,D237,$B$5:B236,B237,$Z$5:Z236,Z237,$AA$5:AA236,AA237,$F$5:F236,F237&amp;"",$AU$5:AU236,1)&gt;0,1,0),0)</f>
        <v>0</v>
      </c>
      <c r="AW237" s="80" t="str">
        <f>IF(AB237=1,INT(B237)*1440+Z237,"")</f>
        <v/>
      </c>
      <c r="AX237" s="80" t="str">
        <f>IF(AB237=1,AW237+AD237,"")</f>
        <v/>
      </c>
      <c r="AY237" s="80">
        <f>IF(AND(AB237=1,AV237=0,AU237=1),1,0)</f>
        <v>0</v>
      </c>
      <c r="AZ237" s="80">
        <f>IF(AY237=1,COUNTIFS(R_Emp,D237,R_SAbs,"&lt;"&amp;AX237,R_EAbs,"&gt;"&amp;AW237,R_OKey,1)-1,0)</f>
        <v>0</v>
      </c>
      <c r="BA237" s="80">
        <f>IF(AY237=1,COUNTIFS(R_Emp,"&lt;&gt;"&amp;D237,R_SAbs,"&lt;"&amp;AX237,R_EAbs,"&gt;"&amp;AW237,R_OKey,1),0)</f>
        <v>0</v>
      </c>
      <c r="BB237" s="80">
        <f>IF(AND(AB237=1,D237="proMX"),IF(AND(MOD(Z237,CFG_BLK)=0,MOD(AA237,CFG_BLK)=0,MOD(AG237,CFG_BLK)=0,AG237&gt;0),1,0),1)</f>
        <v>1</v>
      </c>
      <c r="BC237" s="80" t="str">
        <f>IF(Y237=0,"",IF(NOT(ISNUMBER(B237)),"Falta fecha o fecha inválida",IF(D237="","Falta empresa",IF(AND(D237&lt;&gt;"Malcolm",D237&lt;&gt;"proMX"),"Empresa inválida",IF(OR(INT(B237)&lt;CFG_PSTART,INT(B237)&gt;CFG_PEND),"Fecha fuera del período",IF(OR(NOT(ISNUMBER(Z237)),NOT(ISNUMBER(AA237))),"Falta hora inicio/fin o formato inválido",IF(AB237=0,"Hora inicio = hora fin",IF(AE237&lt;0,"Descanso inválido",IF(AE237&gt;=AD237,"Descanso ≥ duración",IF(AV237=1,"Registro duplicado",IF(AZ237&gt;0,"Se superpone con otro registro "&amp;D237,IF(BB237=0,"inicio, fin y duración neta deben ser múltiplos de "&amp;CFG_BLK&amp;" min",""))))))))))))</f>
        <v/>
      </c>
      <c r="BD237" s="80">
        <f>IF(AND(Y237=1,BC237=""),1,0)</f>
        <v>0</v>
      </c>
      <c r="BE237" s="80">
        <f>IF(AND(BD237=1,AU237=1),1,0)</f>
        <v>0</v>
      </c>
      <c r="BF237" s="80" t="str">
        <f>IF(AND(D237="proMX",BD237=1),IF(R237="","Draft",R237),"")</f>
        <v/>
      </c>
      <c r="BG237" s="80">
        <f>IF(BD237=1,ROUND(AG237/60,6),0)</f>
        <v>0</v>
      </c>
      <c r="BH237" s="80">
        <f>IF(BE237=1,ROUND(AG237/60,6),0)</f>
        <v>0</v>
      </c>
      <c r="BI237" s="80">
        <f>IF(BE237=1,ROUND(AP237/60,6),0)</f>
        <v>0</v>
      </c>
      <c r="BJ237" s="80">
        <f>IF(BE237=1,ROUND(AQ237/60,6),0)</f>
        <v>0</v>
      </c>
      <c r="BK237" s="80">
        <f>IF(BE237=1,ROUND((AR237+AS237)/60,6),0)</f>
        <v>0</v>
      </c>
      <c r="BL237" s="80">
        <f>ROUND(BH237-BK237,6)</f>
        <v>0</v>
      </c>
      <c r="BM237" s="80">
        <f>IF(BE237=1,ROUND(AR237/60,6),0)</f>
        <v>0</v>
      </c>
      <c r="BN237" s="80">
        <f>ROUND(BI237-BM237,6)</f>
        <v>0</v>
      </c>
      <c r="BO237" s="80">
        <f>IF(BE237=1,ROUND(AS237/60,6),0)</f>
        <v>0</v>
      </c>
      <c r="BP237" s="80">
        <f>ROUND(BJ237-BO237,6)</f>
        <v>0</v>
      </c>
      <c r="BQ237" s="80">
        <f>IF(BE237=1,AW237,0)</f>
        <v>0</v>
      </c>
      <c r="BR237" s="80">
        <f>IF(BE237=1,AX237,0)</f>
        <v>0</v>
      </c>
      <c r="BS237" s="80">
        <f>IF(AND(BE237=1,D237="Malcolm",BA237&gt;0),MIN(BH237,SUMPRODUCT((R_Emp="proMX")*(R_EN&gt;0)*((R_EN-(R_EN&gt;BR237)*(R_EN-BR237))&gt;(R_SN+(R_SN&lt;BQ237)*(BQ237-R_SN)))*((R_EN-(R_EN&gt;BR237)*(R_EN-BR237))-(R_SN+(R_SN&lt;BQ237)*(BQ237-R_SN))))/60),0)</f>
        <v>0</v>
      </c>
      <c r="BT237" s="80">
        <f>IF(AND(BE237=1,D237="proMX"),ROUND(BI237*CFG_RATE+BJ237*CFG_OTRATE,6),0)</f>
        <v>0</v>
      </c>
      <c r="BU237" s="80">
        <f>IF(AND(BD237=1,D237="proMX"),ROUND(AG237/CFG_BLK,6),0)</f>
        <v>0</v>
      </c>
      <c r="BV237" s="80" t="str">
        <f>IF(BF237="Approved",IF(ISNUMBER(T237),INT(T237),INT(B237)),"")</f>
        <v/>
      </c>
      <c r="BW237" s="80">
        <f>IF(ISNUMBER(B237),IF(DB_MON="Todos",1,IF(AND(INT(B237)&gt;=DB_MS,INT(B237)&lt;=DB_ME),1,0)),0)</f>
        <v>0</v>
      </c>
      <c r="BX237" s="80">
        <f>IF(DB_PROJ="Todos",1,IF(E237&amp;""=DB_PROJ&amp;"",1,0))</f>
        <v>1</v>
      </c>
      <c r="BY237" s="80">
        <f>BW237*BX237</f>
        <v>0</v>
      </c>
      <c r="BZ237" s="80" t="str">
        <f>IF(Y237=1,F237&amp;IF(AND(F237&amp;""&lt;&gt;"",E237&amp;""&lt;&gt;"")," · ","")&amp;E237,"")</f>
        <v/>
      </c>
      <c r="CA237" s="80" t="str">
        <f>IF(AND(BD237=1,E237&amp;""&lt;&gt;""),IF(COUNTIFS($E$5:E236,E237,$BD$5:BD236,1)=0,MAX($CA$5:CA236)+1,""),"")</f>
        <v/>
      </c>
      <c r="CB237" s="80" t="str">
        <f>IF(AND(BE237=1,D237="Malcolm",E237&amp;""&lt;&gt;""),IF(COUNTIFS($D$5:D236,"Malcolm",$E$5:E236,E237,$BE$5:BE236,1)=0,MAX($CB$5:CB236)+1,""),"")</f>
        <v/>
      </c>
      <c r="CC237" s="80" t="str">
        <f>IF(AND(BD237=1,D237="proMX",E237&amp;""&lt;&gt;""),IF(COUNTIFS($D$5:D236,"proMX",$E$5:E236,E237,$BD$5:BD236,1)=0,MAX($CC$5:CC236)+1,""),"")</f>
        <v/>
      </c>
      <c r="CD237" s="80" t="str">
        <f>IF(AND(BE237=1,D237="Malcolm",F237&amp;""&lt;&gt;""),IF(COUNTIFS($D$5:D236,"Malcolm",$F$5:F236,F237,$BE$5:BE236,1)=0,MAX($CD$5:CD236)+1,""),"")</f>
        <v/>
      </c>
      <c r="CE237" s="80" t="str">
        <f>IF(AND(BD237=1,D237="proMX",F237&amp;""&lt;&gt;""),IF(COUNTIFS($D$5:D236,"proMX",$F$5:F236,F237,$BD$5:BD236,1)=0,MAX($CE$5:CE236)+1,""),"")</f>
        <v/>
      </c>
      <c r="CF237" s="80" t="str">
        <f>IF(AND(D237="proMX",BD237=1),IF(OR(BF237="Draft",BF237="Submitted",BF237="Returned",BF237="Recall Requested"),MAX($CF$5:CF236)+1,""),"")</f>
        <v/>
      </c>
      <c r="CG237" s="80">
        <f>IF(BD237=0,0,IF(D237="Malcolm",1,MATCH(BF237,{"Draft","Submitted","Approved","Returned","Recall Requested","Cancelled"},0)+1))</f>
        <v>0</v>
      </c>
      <c r="CH237" s="80">
        <f>IF(AND(BF237="Submitted",ISNUMBER(V237)),IF(V237&gt;CFG_MAXD,1,0),0)</f>
        <v>0</v>
      </c>
    </row>
    <row r="238">
      <c r="A238" s="71" t="str">
        <f>IF(Y238=1,ROW()-5,"")</f>
        <v/>
      </c>
      <c r="B238" s="72" t="n"/>
      <c r="C238" s="71" t="str">
        <f>IF(ISNUMBER(B238),CHOOSE(WEEKDAY(B238,2),"Lun","Mar","Mié","Jue","Vie","Sáb","Dom"),"")</f>
        <v/>
      </c>
      <c r="D238" s="73" t="n"/>
      <c r="E238" s="74" t="n"/>
      <c r="F238" s="74" t="n"/>
      <c r="G238" s="74" t="n"/>
      <c r="H238" s="75" t="n"/>
      <c r="I238" s="75" t="n"/>
      <c r="J238" s="76" t="n"/>
      <c r="K238" s="77" t="str">
        <f>IF(AB238=1,ROUND(AG238/60,4),"")</f>
        <v/>
      </c>
      <c r="L238" s="77" t="str">
        <f>IF(BD238=1,ROUND(AP238/60,4),"")</f>
        <v/>
      </c>
      <c r="M238" s="77" t="str">
        <f>IF(BD238=1,ROUND(AQ238/60,4),"")</f>
        <v/>
      </c>
      <c r="N238" s="71" t="str">
        <f>IF(AND(D238="proMX",AB238=1),ROUND(AG238/CFG_BLK,2),"")</f>
        <v/>
      </c>
      <c r="O238" s="77" t="str">
        <f>IF(D238="proMX",IF(BD238=1,ROUND(AG238/60,4),0),"")</f>
        <v/>
      </c>
      <c r="P238" s="78" t="str">
        <f>IF(Y238=0,"",IF(BD238=1,"OK",IF(D238="proMX","Revisar bloques: ","Revisar: ")&amp;BC238))</f>
        <v/>
      </c>
      <c r="Q238" s="78" t="str">
        <f>IF(NOT(ISNUMBER(B238)),"",IF(COUNTIFS(FER_F,INT(B238))&gt;0,"Feriado"&amp;IF(AH238=1," (laborable)"," (no laborable)"),IF(AH238=1,"Laborable",IF(WEEKDAY(B238,2)&gt;5,"Fin de semana","No laborable"))))</f>
        <v/>
      </c>
      <c r="R238" s="73" t="n"/>
      <c r="S238" s="72" t="n"/>
      <c r="T238" s="72" t="n"/>
      <c r="U238" s="74" t="n"/>
      <c r="V238" s="79" t="str">
        <f>IF(AND(D238="proMX",OR(R238="Submitted",R238="Recall Requested"),ISNUMBER(S238)),CFG_TODAY-INT(S238),"")</f>
        <v/>
      </c>
      <c r="W238" s="78" t="str">
        <f>IF(BD238=0,"",IF(BA238&gt;0,"⚠ Se superpone con un registro de la otra empresa",IF(D238="Malcolm",IF(COUNTA(R238,S238,T238)&gt;0,"Estado/fechas proMX se ignoran en Malcolm",""),IF(BF238="Cancelled","Cancelado: excluido de totales",IF(R238="","Sin estado: se trata como Draft",IF(BF238="Submitted",IF(ISNUMBER(V238),IF(V238&gt;CFG_MAXD,"⚠ "&amp;V238&amp;" días en Submitted (máx. "&amp;CFG_MAXD&amp;")",""),"Falta fecha de envío"),IF(BF238="Returned","⚠ Devuelto: corregir y reenviar",IF(BF238="Recall Requested","Retirada solicitada: pendiente",IF(AND(BF238="Approved",NOT(ISNUMBER(T238))),"Falta fecha de aprobación",IF(AND(ISNUMBER(S238),ISNUMBER(T238),T238&lt;S238),"Aprobación anterior al envío","")))))))))</f>
        <v/>
      </c>
      <c r="Y238" s="80">
        <f>IF(COUNTA(B238,D238,E238,F238,G238,H238,I238,J238,R238,S238,T238)&gt;0,1,0)</f>
        <v>0</v>
      </c>
      <c r="Z238" s="80" t="str">
        <f>IF(AND(ISNUMBER(H238),H238&gt;=0,H238&lt;1),ROUND(H238*1440,0),"")</f>
        <v/>
      </c>
      <c r="AA238" s="80" t="str">
        <f>IF(AND(ISNUMBER(I238),I238&gt;=0,I238&lt;1),ROUND(I238*1440,0),"")</f>
        <v/>
      </c>
      <c r="AB238" s="80">
        <f>IF(AND(ISNUMBER(B238),D238&lt;&gt;"",ISNUMBER(Z238),ISNUMBER(AA238)),IF(Z238=AA238,0,1),0)</f>
        <v>0</v>
      </c>
      <c r="AC238" s="80">
        <f>IF(AB238=1,IF(AA238&lt;Z238,1,0),0)</f>
        <v>0</v>
      </c>
      <c r="AD238" s="80">
        <f>IF(AB238=1,IF(AC238=1,1440-Z238+AA238,AA238-Z238),0)</f>
        <v>0</v>
      </c>
      <c r="AE238" s="80">
        <f>IF(J238="",0,IF(ISNUMBER(J238),J238,-1))</f>
        <v>0</v>
      </c>
      <c r="AF238" s="80">
        <f>MIN(MAX(0,AE238),AD238)</f>
        <v>0</v>
      </c>
      <c r="AG238" s="80">
        <f>MAX(0,AD238-MAX(0,AE238))</f>
        <v>0</v>
      </c>
      <c r="AH238" s="80">
        <f>IF(ISNUMBER(B238),IF(AND(INDEX(CFG_WDAYS,WEEKDAY(INT(B238),2))="Sí",IF(D238="proMX",COUNTIFS(FER_F,INT(B238),FER_NLP,"Sí"),COUNTIFS(FER_F,INT(B238),FER_NLM,"Sí"))=0),1,0),0)</f>
        <v>0</v>
      </c>
      <c r="AI238" s="80">
        <f>IF(AC238=1,IF(AND(INDEX(CFG_WDAYS,WEEKDAY(INT(B238)+1,2))="Sí",IF(D238="proMX",COUNTIFS(FER_F,INT(B238)+1,FER_NLP,"Sí"),COUNTIFS(FER_F,INT(B238)+1,FER_NLM,"Sí"))=0),1,0),0)</f>
        <v>0</v>
      </c>
      <c r="AJ238" s="80">
        <f>IF(AC238=1,1440-Z238,AD238)</f>
        <v>0</v>
      </c>
      <c r="AK238" s="80">
        <f>IF(AND(AB238=1,AH238=1),MAX(0,MIN(IF(AC238=1,1440,AA238),CFG_WEM)-MAX(Z238,CFG_WSM)),0)</f>
        <v>0</v>
      </c>
      <c r="AL238" s="80">
        <f>IF(AND(AC238=1,AI238=1),MAX(0,MIN(AA238,CFG_WEM)-CFG_WSM),0)</f>
        <v>0</v>
      </c>
      <c r="AM238" s="80">
        <f>AK238+AL238</f>
        <v>0</v>
      </c>
      <c r="AN238" s="80">
        <f>IF(CFG_BRK="Proporcional",IF(AD238=0,0,AF238*AM238/AD238),IF(CFG_BRK="Extras primero",MIN(AM238,MAX(0,AF238-(AD238-AM238))),MIN(AF238,AM238)))</f>
        <v>0</v>
      </c>
      <c r="AO238" s="80">
        <f>AF238-AN238</f>
        <v>0</v>
      </c>
      <c r="AP238" s="80">
        <f>AM238-AN238</f>
        <v>0</v>
      </c>
      <c r="AQ238" s="80">
        <f>AD238-AM238-AO238</f>
        <v>0</v>
      </c>
      <c r="AR238" s="80">
        <f>IF(AM238=0,0,AK238-AN238*AK238/AM238)</f>
        <v>0</v>
      </c>
      <c r="AS238" s="80">
        <f>IF(AD238-AM238=0,0,(AJ238-AK238)-AO238*(AJ238-AK238)/(AD238-AM238))</f>
        <v>0</v>
      </c>
      <c r="AT238" s="80" t="str">
        <f>IF(AC238=1,INT(B238)+1,"")</f>
        <v/>
      </c>
      <c r="AU238" s="80">
        <f>IF(AND(D238="proMX",R238="Cancelled"),0,1)</f>
        <v>1</v>
      </c>
      <c r="AV238" s="80">
        <f>IF(AND(AB238=1,AU238=1),IF(COUNTIFS($D$5:D237,D238,$B$5:B237,B238,$Z$5:Z237,Z238,$AA$5:AA237,AA238,$F$5:F237,F238&amp;"",$AU$5:AU237,1)&gt;0,1,0),0)</f>
        <v>0</v>
      </c>
      <c r="AW238" s="80" t="str">
        <f>IF(AB238=1,INT(B238)*1440+Z238,"")</f>
        <v/>
      </c>
      <c r="AX238" s="80" t="str">
        <f>IF(AB238=1,AW238+AD238,"")</f>
        <v/>
      </c>
      <c r="AY238" s="80">
        <f>IF(AND(AB238=1,AV238=0,AU238=1),1,0)</f>
        <v>0</v>
      </c>
      <c r="AZ238" s="80">
        <f>IF(AY238=1,COUNTIFS(R_Emp,D238,R_SAbs,"&lt;"&amp;AX238,R_EAbs,"&gt;"&amp;AW238,R_OKey,1)-1,0)</f>
        <v>0</v>
      </c>
      <c r="BA238" s="80">
        <f>IF(AY238=1,COUNTIFS(R_Emp,"&lt;&gt;"&amp;D238,R_SAbs,"&lt;"&amp;AX238,R_EAbs,"&gt;"&amp;AW238,R_OKey,1),0)</f>
        <v>0</v>
      </c>
      <c r="BB238" s="80">
        <f>IF(AND(AB238=1,D238="proMX"),IF(AND(MOD(Z238,CFG_BLK)=0,MOD(AA238,CFG_BLK)=0,MOD(AG238,CFG_BLK)=0,AG238&gt;0),1,0),1)</f>
        <v>1</v>
      </c>
      <c r="BC238" s="80" t="str">
        <f>IF(Y238=0,"",IF(NOT(ISNUMBER(B238)),"Falta fecha o fecha inválida",IF(D238="","Falta empresa",IF(AND(D238&lt;&gt;"Malcolm",D238&lt;&gt;"proMX"),"Empresa inválida",IF(OR(INT(B238)&lt;CFG_PSTART,INT(B238)&gt;CFG_PEND),"Fecha fuera del período",IF(OR(NOT(ISNUMBER(Z238)),NOT(ISNUMBER(AA238))),"Falta hora inicio/fin o formato inválido",IF(AB238=0,"Hora inicio = hora fin",IF(AE238&lt;0,"Descanso inválido",IF(AE238&gt;=AD238,"Descanso ≥ duración",IF(AV238=1,"Registro duplicado",IF(AZ238&gt;0,"Se superpone con otro registro "&amp;D238,IF(BB238=0,"inicio, fin y duración neta deben ser múltiplos de "&amp;CFG_BLK&amp;" min",""))))))))))))</f>
        <v/>
      </c>
      <c r="BD238" s="80">
        <f>IF(AND(Y238=1,BC238=""),1,0)</f>
        <v>0</v>
      </c>
      <c r="BE238" s="80">
        <f>IF(AND(BD238=1,AU238=1),1,0)</f>
        <v>0</v>
      </c>
      <c r="BF238" s="80" t="str">
        <f>IF(AND(D238="proMX",BD238=1),IF(R238="","Draft",R238),"")</f>
        <v/>
      </c>
      <c r="BG238" s="80">
        <f>IF(BD238=1,ROUND(AG238/60,6),0)</f>
        <v>0</v>
      </c>
      <c r="BH238" s="80">
        <f>IF(BE238=1,ROUND(AG238/60,6),0)</f>
        <v>0</v>
      </c>
      <c r="BI238" s="80">
        <f>IF(BE238=1,ROUND(AP238/60,6),0)</f>
        <v>0</v>
      </c>
      <c r="BJ238" s="80">
        <f>IF(BE238=1,ROUND(AQ238/60,6),0)</f>
        <v>0</v>
      </c>
      <c r="BK238" s="80">
        <f>IF(BE238=1,ROUND((AR238+AS238)/60,6),0)</f>
        <v>0</v>
      </c>
      <c r="BL238" s="80">
        <f>ROUND(BH238-BK238,6)</f>
        <v>0</v>
      </c>
      <c r="BM238" s="80">
        <f>IF(BE238=1,ROUND(AR238/60,6),0)</f>
        <v>0</v>
      </c>
      <c r="BN238" s="80">
        <f>ROUND(BI238-BM238,6)</f>
        <v>0</v>
      </c>
      <c r="BO238" s="80">
        <f>IF(BE238=1,ROUND(AS238/60,6),0)</f>
        <v>0</v>
      </c>
      <c r="BP238" s="80">
        <f>ROUND(BJ238-BO238,6)</f>
        <v>0</v>
      </c>
      <c r="BQ238" s="80">
        <f>IF(BE238=1,AW238,0)</f>
        <v>0</v>
      </c>
      <c r="BR238" s="80">
        <f>IF(BE238=1,AX238,0)</f>
        <v>0</v>
      </c>
      <c r="BS238" s="80">
        <f>IF(AND(BE238=1,D238="Malcolm",BA238&gt;0),MIN(BH238,SUMPRODUCT((R_Emp="proMX")*(R_EN&gt;0)*((R_EN-(R_EN&gt;BR238)*(R_EN-BR238))&gt;(R_SN+(R_SN&lt;BQ238)*(BQ238-R_SN)))*((R_EN-(R_EN&gt;BR238)*(R_EN-BR238))-(R_SN+(R_SN&lt;BQ238)*(BQ238-R_SN))))/60),0)</f>
        <v>0</v>
      </c>
      <c r="BT238" s="80">
        <f>IF(AND(BE238=1,D238="proMX"),ROUND(BI238*CFG_RATE+BJ238*CFG_OTRATE,6),0)</f>
        <v>0</v>
      </c>
      <c r="BU238" s="80">
        <f>IF(AND(BD238=1,D238="proMX"),ROUND(AG238/CFG_BLK,6),0)</f>
        <v>0</v>
      </c>
      <c r="BV238" s="80" t="str">
        <f>IF(BF238="Approved",IF(ISNUMBER(T238),INT(T238),INT(B238)),"")</f>
        <v/>
      </c>
      <c r="BW238" s="80">
        <f>IF(ISNUMBER(B238),IF(DB_MON="Todos",1,IF(AND(INT(B238)&gt;=DB_MS,INT(B238)&lt;=DB_ME),1,0)),0)</f>
        <v>0</v>
      </c>
      <c r="BX238" s="80">
        <f>IF(DB_PROJ="Todos",1,IF(E238&amp;""=DB_PROJ&amp;"",1,0))</f>
        <v>1</v>
      </c>
      <c r="BY238" s="80">
        <f>BW238*BX238</f>
        <v>0</v>
      </c>
      <c r="BZ238" s="80" t="str">
        <f>IF(Y238=1,F238&amp;IF(AND(F238&amp;""&lt;&gt;"",E238&amp;""&lt;&gt;"")," · ","")&amp;E238,"")</f>
        <v/>
      </c>
      <c r="CA238" s="80" t="str">
        <f>IF(AND(BD238=1,E238&amp;""&lt;&gt;""),IF(COUNTIFS($E$5:E237,E238,$BD$5:BD237,1)=0,MAX($CA$5:CA237)+1,""),"")</f>
        <v/>
      </c>
      <c r="CB238" s="80" t="str">
        <f>IF(AND(BE238=1,D238="Malcolm",E238&amp;""&lt;&gt;""),IF(COUNTIFS($D$5:D237,"Malcolm",$E$5:E237,E238,$BE$5:BE237,1)=0,MAX($CB$5:CB237)+1,""),"")</f>
        <v/>
      </c>
      <c r="CC238" s="80" t="str">
        <f>IF(AND(BD238=1,D238="proMX",E238&amp;""&lt;&gt;""),IF(COUNTIFS($D$5:D237,"proMX",$E$5:E237,E238,$BD$5:BD237,1)=0,MAX($CC$5:CC237)+1,""),"")</f>
        <v/>
      </c>
      <c r="CD238" s="80" t="str">
        <f>IF(AND(BE238=1,D238="Malcolm",F238&amp;""&lt;&gt;""),IF(COUNTIFS($D$5:D237,"Malcolm",$F$5:F237,F238,$BE$5:BE237,1)=0,MAX($CD$5:CD237)+1,""),"")</f>
        <v/>
      </c>
      <c r="CE238" s="80" t="str">
        <f>IF(AND(BD238=1,D238="proMX",F238&amp;""&lt;&gt;""),IF(COUNTIFS($D$5:D237,"proMX",$F$5:F237,F238,$BD$5:BD237,1)=0,MAX($CE$5:CE237)+1,""),"")</f>
        <v/>
      </c>
      <c r="CF238" s="80" t="str">
        <f>IF(AND(D238="proMX",BD238=1),IF(OR(BF238="Draft",BF238="Submitted",BF238="Returned",BF238="Recall Requested"),MAX($CF$5:CF237)+1,""),"")</f>
        <v/>
      </c>
      <c r="CG238" s="80">
        <f>IF(BD238=0,0,IF(D238="Malcolm",1,MATCH(BF238,{"Draft","Submitted","Approved","Returned","Recall Requested","Cancelled"},0)+1))</f>
        <v>0</v>
      </c>
      <c r="CH238" s="80">
        <f>IF(AND(BF238="Submitted",ISNUMBER(V238)),IF(V238&gt;CFG_MAXD,1,0),0)</f>
        <v>0</v>
      </c>
    </row>
    <row r="239">
      <c r="A239" s="71" t="str">
        <f>IF(Y239=1,ROW()-5,"")</f>
        <v/>
      </c>
      <c r="B239" s="72" t="n"/>
      <c r="C239" s="71" t="str">
        <f>IF(ISNUMBER(B239),CHOOSE(WEEKDAY(B239,2),"Lun","Mar","Mié","Jue","Vie","Sáb","Dom"),"")</f>
        <v/>
      </c>
      <c r="D239" s="73" t="n"/>
      <c r="E239" s="74" t="n"/>
      <c r="F239" s="74" t="n"/>
      <c r="G239" s="74" t="n"/>
      <c r="H239" s="75" t="n"/>
      <c r="I239" s="75" t="n"/>
      <c r="J239" s="76" t="n"/>
      <c r="K239" s="77" t="str">
        <f>IF(AB239=1,ROUND(AG239/60,4),"")</f>
        <v/>
      </c>
      <c r="L239" s="77" t="str">
        <f>IF(BD239=1,ROUND(AP239/60,4),"")</f>
        <v/>
      </c>
      <c r="M239" s="77" t="str">
        <f>IF(BD239=1,ROUND(AQ239/60,4),"")</f>
        <v/>
      </c>
      <c r="N239" s="71" t="str">
        <f>IF(AND(D239="proMX",AB239=1),ROUND(AG239/CFG_BLK,2),"")</f>
        <v/>
      </c>
      <c r="O239" s="77" t="str">
        <f>IF(D239="proMX",IF(BD239=1,ROUND(AG239/60,4),0),"")</f>
        <v/>
      </c>
      <c r="P239" s="78" t="str">
        <f>IF(Y239=0,"",IF(BD239=1,"OK",IF(D239="proMX","Revisar bloques: ","Revisar: ")&amp;BC239))</f>
        <v/>
      </c>
      <c r="Q239" s="78" t="str">
        <f>IF(NOT(ISNUMBER(B239)),"",IF(COUNTIFS(FER_F,INT(B239))&gt;0,"Feriado"&amp;IF(AH239=1," (laborable)"," (no laborable)"),IF(AH239=1,"Laborable",IF(WEEKDAY(B239,2)&gt;5,"Fin de semana","No laborable"))))</f>
        <v/>
      </c>
      <c r="R239" s="73" t="n"/>
      <c r="S239" s="72" t="n"/>
      <c r="T239" s="72" t="n"/>
      <c r="U239" s="74" t="n"/>
      <c r="V239" s="79" t="str">
        <f>IF(AND(D239="proMX",OR(R239="Submitted",R239="Recall Requested"),ISNUMBER(S239)),CFG_TODAY-INT(S239),"")</f>
        <v/>
      </c>
      <c r="W239" s="78" t="str">
        <f>IF(BD239=0,"",IF(BA239&gt;0,"⚠ Se superpone con un registro de la otra empresa",IF(D239="Malcolm",IF(COUNTA(R239,S239,T239)&gt;0,"Estado/fechas proMX se ignoran en Malcolm",""),IF(BF239="Cancelled","Cancelado: excluido de totales",IF(R239="","Sin estado: se trata como Draft",IF(BF239="Submitted",IF(ISNUMBER(V239),IF(V239&gt;CFG_MAXD,"⚠ "&amp;V239&amp;" días en Submitted (máx. "&amp;CFG_MAXD&amp;")",""),"Falta fecha de envío"),IF(BF239="Returned","⚠ Devuelto: corregir y reenviar",IF(BF239="Recall Requested","Retirada solicitada: pendiente",IF(AND(BF239="Approved",NOT(ISNUMBER(T239))),"Falta fecha de aprobación",IF(AND(ISNUMBER(S239),ISNUMBER(T239),T239&lt;S239),"Aprobación anterior al envío","")))))))))</f>
        <v/>
      </c>
      <c r="Y239" s="80">
        <f>IF(COUNTA(B239,D239,E239,F239,G239,H239,I239,J239,R239,S239,T239)&gt;0,1,0)</f>
        <v>0</v>
      </c>
      <c r="Z239" s="80" t="str">
        <f>IF(AND(ISNUMBER(H239),H239&gt;=0,H239&lt;1),ROUND(H239*1440,0),"")</f>
        <v/>
      </c>
      <c r="AA239" s="80" t="str">
        <f>IF(AND(ISNUMBER(I239),I239&gt;=0,I239&lt;1),ROUND(I239*1440,0),"")</f>
        <v/>
      </c>
      <c r="AB239" s="80">
        <f>IF(AND(ISNUMBER(B239),D239&lt;&gt;"",ISNUMBER(Z239),ISNUMBER(AA239)),IF(Z239=AA239,0,1),0)</f>
        <v>0</v>
      </c>
      <c r="AC239" s="80">
        <f>IF(AB239=1,IF(AA239&lt;Z239,1,0),0)</f>
        <v>0</v>
      </c>
      <c r="AD239" s="80">
        <f>IF(AB239=1,IF(AC239=1,1440-Z239+AA239,AA239-Z239),0)</f>
        <v>0</v>
      </c>
      <c r="AE239" s="80">
        <f>IF(J239="",0,IF(ISNUMBER(J239),J239,-1))</f>
        <v>0</v>
      </c>
      <c r="AF239" s="80">
        <f>MIN(MAX(0,AE239),AD239)</f>
        <v>0</v>
      </c>
      <c r="AG239" s="80">
        <f>MAX(0,AD239-MAX(0,AE239))</f>
        <v>0</v>
      </c>
      <c r="AH239" s="80">
        <f>IF(ISNUMBER(B239),IF(AND(INDEX(CFG_WDAYS,WEEKDAY(INT(B239),2))="Sí",IF(D239="proMX",COUNTIFS(FER_F,INT(B239),FER_NLP,"Sí"),COUNTIFS(FER_F,INT(B239),FER_NLM,"Sí"))=0),1,0),0)</f>
        <v>0</v>
      </c>
      <c r="AI239" s="80">
        <f>IF(AC239=1,IF(AND(INDEX(CFG_WDAYS,WEEKDAY(INT(B239)+1,2))="Sí",IF(D239="proMX",COUNTIFS(FER_F,INT(B239)+1,FER_NLP,"Sí"),COUNTIFS(FER_F,INT(B239)+1,FER_NLM,"Sí"))=0),1,0),0)</f>
        <v>0</v>
      </c>
      <c r="AJ239" s="80">
        <f>IF(AC239=1,1440-Z239,AD239)</f>
        <v>0</v>
      </c>
      <c r="AK239" s="80">
        <f>IF(AND(AB239=1,AH239=1),MAX(0,MIN(IF(AC239=1,1440,AA239),CFG_WEM)-MAX(Z239,CFG_WSM)),0)</f>
        <v>0</v>
      </c>
      <c r="AL239" s="80">
        <f>IF(AND(AC239=1,AI239=1),MAX(0,MIN(AA239,CFG_WEM)-CFG_WSM),0)</f>
        <v>0</v>
      </c>
      <c r="AM239" s="80">
        <f>AK239+AL239</f>
        <v>0</v>
      </c>
      <c r="AN239" s="80">
        <f>IF(CFG_BRK="Proporcional",IF(AD239=0,0,AF239*AM239/AD239),IF(CFG_BRK="Extras primero",MIN(AM239,MAX(0,AF239-(AD239-AM239))),MIN(AF239,AM239)))</f>
        <v>0</v>
      </c>
      <c r="AO239" s="80">
        <f>AF239-AN239</f>
        <v>0</v>
      </c>
      <c r="AP239" s="80">
        <f>AM239-AN239</f>
        <v>0</v>
      </c>
      <c r="AQ239" s="80">
        <f>AD239-AM239-AO239</f>
        <v>0</v>
      </c>
      <c r="AR239" s="80">
        <f>IF(AM239=0,0,AK239-AN239*AK239/AM239)</f>
        <v>0</v>
      </c>
      <c r="AS239" s="80">
        <f>IF(AD239-AM239=0,0,(AJ239-AK239)-AO239*(AJ239-AK239)/(AD239-AM239))</f>
        <v>0</v>
      </c>
      <c r="AT239" s="80" t="str">
        <f>IF(AC239=1,INT(B239)+1,"")</f>
        <v/>
      </c>
      <c r="AU239" s="80">
        <f>IF(AND(D239="proMX",R239="Cancelled"),0,1)</f>
        <v>1</v>
      </c>
      <c r="AV239" s="80">
        <f>IF(AND(AB239=1,AU239=1),IF(COUNTIFS($D$5:D238,D239,$B$5:B238,B239,$Z$5:Z238,Z239,$AA$5:AA238,AA239,$F$5:F238,F239&amp;"",$AU$5:AU238,1)&gt;0,1,0),0)</f>
        <v>0</v>
      </c>
      <c r="AW239" s="80" t="str">
        <f>IF(AB239=1,INT(B239)*1440+Z239,"")</f>
        <v/>
      </c>
      <c r="AX239" s="80" t="str">
        <f>IF(AB239=1,AW239+AD239,"")</f>
        <v/>
      </c>
      <c r="AY239" s="80">
        <f>IF(AND(AB239=1,AV239=0,AU239=1),1,0)</f>
        <v>0</v>
      </c>
      <c r="AZ239" s="80">
        <f>IF(AY239=1,COUNTIFS(R_Emp,D239,R_SAbs,"&lt;"&amp;AX239,R_EAbs,"&gt;"&amp;AW239,R_OKey,1)-1,0)</f>
        <v>0</v>
      </c>
      <c r="BA239" s="80">
        <f>IF(AY239=1,COUNTIFS(R_Emp,"&lt;&gt;"&amp;D239,R_SAbs,"&lt;"&amp;AX239,R_EAbs,"&gt;"&amp;AW239,R_OKey,1),0)</f>
        <v>0</v>
      </c>
      <c r="BB239" s="80">
        <f>IF(AND(AB239=1,D239="proMX"),IF(AND(MOD(Z239,CFG_BLK)=0,MOD(AA239,CFG_BLK)=0,MOD(AG239,CFG_BLK)=0,AG239&gt;0),1,0),1)</f>
        <v>1</v>
      </c>
      <c r="BC239" s="80" t="str">
        <f>IF(Y239=0,"",IF(NOT(ISNUMBER(B239)),"Falta fecha o fecha inválida",IF(D239="","Falta empresa",IF(AND(D239&lt;&gt;"Malcolm",D239&lt;&gt;"proMX"),"Empresa inválida",IF(OR(INT(B239)&lt;CFG_PSTART,INT(B239)&gt;CFG_PEND),"Fecha fuera del período",IF(OR(NOT(ISNUMBER(Z239)),NOT(ISNUMBER(AA239))),"Falta hora inicio/fin o formato inválido",IF(AB239=0,"Hora inicio = hora fin",IF(AE239&lt;0,"Descanso inválido",IF(AE239&gt;=AD239,"Descanso ≥ duración",IF(AV239=1,"Registro duplicado",IF(AZ239&gt;0,"Se superpone con otro registro "&amp;D239,IF(BB239=0,"inicio, fin y duración neta deben ser múltiplos de "&amp;CFG_BLK&amp;" min",""))))))))))))</f>
        <v/>
      </c>
      <c r="BD239" s="80">
        <f>IF(AND(Y239=1,BC239=""),1,0)</f>
        <v>0</v>
      </c>
      <c r="BE239" s="80">
        <f>IF(AND(BD239=1,AU239=1),1,0)</f>
        <v>0</v>
      </c>
      <c r="BF239" s="80" t="str">
        <f>IF(AND(D239="proMX",BD239=1),IF(R239="","Draft",R239),"")</f>
        <v/>
      </c>
      <c r="BG239" s="80">
        <f>IF(BD239=1,ROUND(AG239/60,6),0)</f>
        <v>0</v>
      </c>
      <c r="BH239" s="80">
        <f>IF(BE239=1,ROUND(AG239/60,6),0)</f>
        <v>0</v>
      </c>
      <c r="BI239" s="80">
        <f>IF(BE239=1,ROUND(AP239/60,6),0)</f>
        <v>0</v>
      </c>
      <c r="BJ239" s="80">
        <f>IF(BE239=1,ROUND(AQ239/60,6),0)</f>
        <v>0</v>
      </c>
      <c r="BK239" s="80">
        <f>IF(BE239=1,ROUND((AR239+AS239)/60,6),0)</f>
        <v>0</v>
      </c>
      <c r="BL239" s="80">
        <f>ROUND(BH239-BK239,6)</f>
        <v>0</v>
      </c>
      <c r="BM239" s="80">
        <f>IF(BE239=1,ROUND(AR239/60,6),0)</f>
        <v>0</v>
      </c>
      <c r="BN239" s="80">
        <f>ROUND(BI239-BM239,6)</f>
        <v>0</v>
      </c>
      <c r="BO239" s="80">
        <f>IF(BE239=1,ROUND(AS239/60,6),0)</f>
        <v>0</v>
      </c>
      <c r="BP239" s="80">
        <f>ROUND(BJ239-BO239,6)</f>
        <v>0</v>
      </c>
      <c r="BQ239" s="80">
        <f>IF(BE239=1,AW239,0)</f>
        <v>0</v>
      </c>
      <c r="BR239" s="80">
        <f>IF(BE239=1,AX239,0)</f>
        <v>0</v>
      </c>
      <c r="BS239" s="80">
        <f>IF(AND(BE239=1,D239="Malcolm",BA239&gt;0),MIN(BH239,SUMPRODUCT((R_Emp="proMX")*(R_EN&gt;0)*((R_EN-(R_EN&gt;BR239)*(R_EN-BR239))&gt;(R_SN+(R_SN&lt;BQ239)*(BQ239-R_SN)))*((R_EN-(R_EN&gt;BR239)*(R_EN-BR239))-(R_SN+(R_SN&lt;BQ239)*(BQ239-R_SN))))/60),0)</f>
        <v>0</v>
      </c>
      <c r="BT239" s="80">
        <f>IF(AND(BE239=1,D239="proMX"),ROUND(BI239*CFG_RATE+BJ239*CFG_OTRATE,6),0)</f>
        <v>0</v>
      </c>
      <c r="BU239" s="80">
        <f>IF(AND(BD239=1,D239="proMX"),ROUND(AG239/CFG_BLK,6),0)</f>
        <v>0</v>
      </c>
      <c r="BV239" s="80" t="str">
        <f>IF(BF239="Approved",IF(ISNUMBER(T239),INT(T239),INT(B239)),"")</f>
        <v/>
      </c>
      <c r="BW239" s="80">
        <f>IF(ISNUMBER(B239),IF(DB_MON="Todos",1,IF(AND(INT(B239)&gt;=DB_MS,INT(B239)&lt;=DB_ME),1,0)),0)</f>
        <v>0</v>
      </c>
      <c r="BX239" s="80">
        <f>IF(DB_PROJ="Todos",1,IF(E239&amp;""=DB_PROJ&amp;"",1,0))</f>
        <v>1</v>
      </c>
      <c r="BY239" s="80">
        <f>BW239*BX239</f>
        <v>0</v>
      </c>
      <c r="BZ239" s="80" t="str">
        <f>IF(Y239=1,F239&amp;IF(AND(F239&amp;""&lt;&gt;"",E239&amp;""&lt;&gt;"")," · ","")&amp;E239,"")</f>
        <v/>
      </c>
      <c r="CA239" s="80" t="str">
        <f>IF(AND(BD239=1,E239&amp;""&lt;&gt;""),IF(COUNTIFS($E$5:E238,E239,$BD$5:BD238,1)=0,MAX($CA$5:CA238)+1,""),"")</f>
        <v/>
      </c>
      <c r="CB239" s="80" t="str">
        <f>IF(AND(BE239=1,D239="Malcolm",E239&amp;""&lt;&gt;""),IF(COUNTIFS($D$5:D238,"Malcolm",$E$5:E238,E239,$BE$5:BE238,1)=0,MAX($CB$5:CB238)+1,""),"")</f>
        <v/>
      </c>
      <c r="CC239" s="80" t="str">
        <f>IF(AND(BD239=1,D239="proMX",E239&amp;""&lt;&gt;""),IF(COUNTIFS($D$5:D238,"proMX",$E$5:E238,E239,$BD$5:BD238,1)=0,MAX($CC$5:CC238)+1,""),"")</f>
        <v/>
      </c>
      <c r="CD239" s="80" t="str">
        <f>IF(AND(BE239=1,D239="Malcolm",F239&amp;""&lt;&gt;""),IF(COUNTIFS($D$5:D238,"Malcolm",$F$5:F238,F239,$BE$5:BE238,1)=0,MAX($CD$5:CD238)+1,""),"")</f>
        <v/>
      </c>
      <c r="CE239" s="80" t="str">
        <f>IF(AND(BD239=1,D239="proMX",F239&amp;""&lt;&gt;""),IF(COUNTIFS($D$5:D238,"proMX",$F$5:F238,F239,$BD$5:BD238,1)=0,MAX($CE$5:CE238)+1,""),"")</f>
        <v/>
      </c>
      <c r="CF239" s="80" t="str">
        <f>IF(AND(D239="proMX",BD239=1),IF(OR(BF239="Draft",BF239="Submitted",BF239="Returned",BF239="Recall Requested"),MAX($CF$5:CF238)+1,""),"")</f>
        <v/>
      </c>
      <c r="CG239" s="80">
        <f>IF(BD239=0,0,IF(D239="Malcolm",1,MATCH(BF239,{"Draft","Submitted","Approved","Returned","Recall Requested","Cancelled"},0)+1))</f>
        <v>0</v>
      </c>
      <c r="CH239" s="80">
        <f>IF(AND(BF239="Submitted",ISNUMBER(V239)),IF(V239&gt;CFG_MAXD,1,0),0)</f>
        <v>0</v>
      </c>
    </row>
    <row r="240">
      <c r="A240" s="71" t="str">
        <f>IF(Y240=1,ROW()-5,"")</f>
        <v/>
      </c>
      <c r="B240" s="72" t="n"/>
      <c r="C240" s="71" t="str">
        <f>IF(ISNUMBER(B240),CHOOSE(WEEKDAY(B240,2),"Lun","Mar","Mié","Jue","Vie","Sáb","Dom"),"")</f>
        <v/>
      </c>
      <c r="D240" s="73" t="n"/>
      <c r="E240" s="74" t="n"/>
      <c r="F240" s="74" t="n"/>
      <c r="G240" s="74" t="n"/>
      <c r="H240" s="75" t="n"/>
      <c r="I240" s="75" t="n"/>
      <c r="J240" s="76" t="n"/>
      <c r="K240" s="77" t="str">
        <f>IF(AB240=1,ROUND(AG240/60,4),"")</f>
        <v/>
      </c>
      <c r="L240" s="77" t="str">
        <f>IF(BD240=1,ROUND(AP240/60,4),"")</f>
        <v/>
      </c>
      <c r="M240" s="77" t="str">
        <f>IF(BD240=1,ROUND(AQ240/60,4),"")</f>
        <v/>
      </c>
      <c r="N240" s="71" t="str">
        <f>IF(AND(D240="proMX",AB240=1),ROUND(AG240/CFG_BLK,2),"")</f>
        <v/>
      </c>
      <c r="O240" s="77" t="str">
        <f>IF(D240="proMX",IF(BD240=1,ROUND(AG240/60,4),0),"")</f>
        <v/>
      </c>
      <c r="P240" s="78" t="str">
        <f>IF(Y240=0,"",IF(BD240=1,"OK",IF(D240="proMX","Revisar bloques: ","Revisar: ")&amp;BC240))</f>
        <v/>
      </c>
      <c r="Q240" s="78" t="str">
        <f>IF(NOT(ISNUMBER(B240)),"",IF(COUNTIFS(FER_F,INT(B240))&gt;0,"Feriado"&amp;IF(AH240=1," (laborable)"," (no laborable)"),IF(AH240=1,"Laborable",IF(WEEKDAY(B240,2)&gt;5,"Fin de semana","No laborable"))))</f>
        <v/>
      </c>
      <c r="R240" s="73" t="n"/>
      <c r="S240" s="72" t="n"/>
      <c r="T240" s="72" t="n"/>
      <c r="U240" s="74" t="n"/>
      <c r="V240" s="79" t="str">
        <f>IF(AND(D240="proMX",OR(R240="Submitted",R240="Recall Requested"),ISNUMBER(S240)),CFG_TODAY-INT(S240),"")</f>
        <v/>
      </c>
      <c r="W240" s="78" t="str">
        <f>IF(BD240=0,"",IF(BA240&gt;0,"⚠ Se superpone con un registro de la otra empresa",IF(D240="Malcolm",IF(COUNTA(R240,S240,T240)&gt;0,"Estado/fechas proMX se ignoran en Malcolm",""),IF(BF240="Cancelled","Cancelado: excluido de totales",IF(R240="","Sin estado: se trata como Draft",IF(BF240="Submitted",IF(ISNUMBER(V240),IF(V240&gt;CFG_MAXD,"⚠ "&amp;V240&amp;" días en Submitted (máx. "&amp;CFG_MAXD&amp;")",""),"Falta fecha de envío"),IF(BF240="Returned","⚠ Devuelto: corregir y reenviar",IF(BF240="Recall Requested","Retirada solicitada: pendiente",IF(AND(BF240="Approved",NOT(ISNUMBER(T240))),"Falta fecha de aprobación",IF(AND(ISNUMBER(S240),ISNUMBER(T240),T240&lt;S240),"Aprobación anterior al envío","")))))))))</f>
        <v/>
      </c>
      <c r="Y240" s="80">
        <f>IF(COUNTA(B240,D240,E240,F240,G240,H240,I240,J240,R240,S240,T240)&gt;0,1,0)</f>
        <v>0</v>
      </c>
      <c r="Z240" s="80" t="str">
        <f>IF(AND(ISNUMBER(H240),H240&gt;=0,H240&lt;1),ROUND(H240*1440,0),"")</f>
        <v/>
      </c>
      <c r="AA240" s="80" t="str">
        <f>IF(AND(ISNUMBER(I240),I240&gt;=0,I240&lt;1),ROUND(I240*1440,0),"")</f>
        <v/>
      </c>
      <c r="AB240" s="80">
        <f>IF(AND(ISNUMBER(B240),D240&lt;&gt;"",ISNUMBER(Z240),ISNUMBER(AA240)),IF(Z240=AA240,0,1),0)</f>
        <v>0</v>
      </c>
      <c r="AC240" s="80">
        <f>IF(AB240=1,IF(AA240&lt;Z240,1,0),0)</f>
        <v>0</v>
      </c>
      <c r="AD240" s="80">
        <f>IF(AB240=1,IF(AC240=1,1440-Z240+AA240,AA240-Z240),0)</f>
        <v>0</v>
      </c>
      <c r="AE240" s="80">
        <f>IF(J240="",0,IF(ISNUMBER(J240),J240,-1))</f>
        <v>0</v>
      </c>
      <c r="AF240" s="80">
        <f>MIN(MAX(0,AE240),AD240)</f>
        <v>0</v>
      </c>
      <c r="AG240" s="80">
        <f>MAX(0,AD240-MAX(0,AE240))</f>
        <v>0</v>
      </c>
      <c r="AH240" s="80">
        <f>IF(ISNUMBER(B240),IF(AND(INDEX(CFG_WDAYS,WEEKDAY(INT(B240),2))="Sí",IF(D240="proMX",COUNTIFS(FER_F,INT(B240),FER_NLP,"Sí"),COUNTIFS(FER_F,INT(B240),FER_NLM,"Sí"))=0),1,0),0)</f>
        <v>0</v>
      </c>
      <c r="AI240" s="80">
        <f>IF(AC240=1,IF(AND(INDEX(CFG_WDAYS,WEEKDAY(INT(B240)+1,2))="Sí",IF(D240="proMX",COUNTIFS(FER_F,INT(B240)+1,FER_NLP,"Sí"),COUNTIFS(FER_F,INT(B240)+1,FER_NLM,"Sí"))=0),1,0),0)</f>
        <v>0</v>
      </c>
      <c r="AJ240" s="80">
        <f>IF(AC240=1,1440-Z240,AD240)</f>
        <v>0</v>
      </c>
      <c r="AK240" s="80">
        <f>IF(AND(AB240=1,AH240=1),MAX(0,MIN(IF(AC240=1,1440,AA240),CFG_WEM)-MAX(Z240,CFG_WSM)),0)</f>
        <v>0</v>
      </c>
      <c r="AL240" s="80">
        <f>IF(AND(AC240=1,AI240=1),MAX(0,MIN(AA240,CFG_WEM)-CFG_WSM),0)</f>
        <v>0</v>
      </c>
      <c r="AM240" s="80">
        <f>AK240+AL240</f>
        <v>0</v>
      </c>
      <c r="AN240" s="80">
        <f>IF(CFG_BRK="Proporcional",IF(AD240=0,0,AF240*AM240/AD240),IF(CFG_BRK="Extras primero",MIN(AM240,MAX(0,AF240-(AD240-AM240))),MIN(AF240,AM240)))</f>
        <v>0</v>
      </c>
      <c r="AO240" s="80">
        <f>AF240-AN240</f>
        <v>0</v>
      </c>
      <c r="AP240" s="80">
        <f>AM240-AN240</f>
        <v>0</v>
      </c>
      <c r="AQ240" s="80">
        <f>AD240-AM240-AO240</f>
        <v>0</v>
      </c>
      <c r="AR240" s="80">
        <f>IF(AM240=0,0,AK240-AN240*AK240/AM240)</f>
        <v>0</v>
      </c>
      <c r="AS240" s="80">
        <f>IF(AD240-AM240=0,0,(AJ240-AK240)-AO240*(AJ240-AK240)/(AD240-AM240))</f>
        <v>0</v>
      </c>
      <c r="AT240" s="80" t="str">
        <f>IF(AC240=1,INT(B240)+1,"")</f>
        <v/>
      </c>
      <c r="AU240" s="80">
        <f>IF(AND(D240="proMX",R240="Cancelled"),0,1)</f>
        <v>1</v>
      </c>
      <c r="AV240" s="80">
        <f>IF(AND(AB240=1,AU240=1),IF(COUNTIFS($D$5:D239,D240,$B$5:B239,B240,$Z$5:Z239,Z240,$AA$5:AA239,AA240,$F$5:F239,F240&amp;"",$AU$5:AU239,1)&gt;0,1,0),0)</f>
        <v>0</v>
      </c>
      <c r="AW240" s="80" t="str">
        <f>IF(AB240=1,INT(B240)*1440+Z240,"")</f>
        <v/>
      </c>
      <c r="AX240" s="80" t="str">
        <f>IF(AB240=1,AW240+AD240,"")</f>
        <v/>
      </c>
      <c r="AY240" s="80">
        <f>IF(AND(AB240=1,AV240=0,AU240=1),1,0)</f>
        <v>0</v>
      </c>
      <c r="AZ240" s="80">
        <f>IF(AY240=1,COUNTIFS(R_Emp,D240,R_SAbs,"&lt;"&amp;AX240,R_EAbs,"&gt;"&amp;AW240,R_OKey,1)-1,0)</f>
        <v>0</v>
      </c>
      <c r="BA240" s="80">
        <f>IF(AY240=1,COUNTIFS(R_Emp,"&lt;&gt;"&amp;D240,R_SAbs,"&lt;"&amp;AX240,R_EAbs,"&gt;"&amp;AW240,R_OKey,1),0)</f>
        <v>0</v>
      </c>
      <c r="BB240" s="80">
        <f>IF(AND(AB240=1,D240="proMX"),IF(AND(MOD(Z240,CFG_BLK)=0,MOD(AA240,CFG_BLK)=0,MOD(AG240,CFG_BLK)=0,AG240&gt;0),1,0),1)</f>
        <v>1</v>
      </c>
      <c r="BC240" s="80" t="str">
        <f>IF(Y240=0,"",IF(NOT(ISNUMBER(B240)),"Falta fecha o fecha inválida",IF(D240="","Falta empresa",IF(AND(D240&lt;&gt;"Malcolm",D240&lt;&gt;"proMX"),"Empresa inválida",IF(OR(INT(B240)&lt;CFG_PSTART,INT(B240)&gt;CFG_PEND),"Fecha fuera del período",IF(OR(NOT(ISNUMBER(Z240)),NOT(ISNUMBER(AA240))),"Falta hora inicio/fin o formato inválido",IF(AB240=0,"Hora inicio = hora fin",IF(AE240&lt;0,"Descanso inválido",IF(AE240&gt;=AD240,"Descanso ≥ duración",IF(AV240=1,"Registro duplicado",IF(AZ240&gt;0,"Se superpone con otro registro "&amp;D240,IF(BB240=0,"inicio, fin y duración neta deben ser múltiplos de "&amp;CFG_BLK&amp;" min",""))))))))))))</f>
        <v/>
      </c>
      <c r="BD240" s="80">
        <f>IF(AND(Y240=1,BC240=""),1,0)</f>
        <v>0</v>
      </c>
      <c r="BE240" s="80">
        <f>IF(AND(BD240=1,AU240=1),1,0)</f>
        <v>0</v>
      </c>
      <c r="BF240" s="80" t="str">
        <f>IF(AND(D240="proMX",BD240=1),IF(R240="","Draft",R240),"")</f>
        <v/>
      </c>
      <c r="BG240" s="80">
        <f>IF(BD240=1,ROUND(AG240/60,6),0)</f>
        <v>0</v>
      </c>
      <c r="BH240" s="80">
        <f>IF(BE240=1,ROUND(AG240/60,6),0)</f>
        <v>0</v>
      </c>
      <c r="BI240" s="80">
        <f>IF(BE240=1,ROUND(AP240/60,6),0)</f>
        <v>0</v>
      </c>
      <c r="BJ240" s="80">
        <f>IF(BE240=1,ROUND(AQ240/60,6),0)</f>
        <v>0</v>
      </c>
      <c r="BK240" s="80">
        <f>IF(BE240=1,ROUND((AR240+AS240)/60,6),0)</f>
        <v>0</v>
      </c>
      <c r="BL240" s="80">
        <f>ROUND(BH240-BK240,6)</f>
        <v>0</v>
      </c>
      <c r="BM240" s="80">
        <f>IF(BE240=1,ROUND(AR240/60,6),0)</f>
        <v>0</v>
      </c>
      <c r="BN240" s="80">
        <f>ROUND(BI240-BM240,6)</f>
        <v>0</v>
      </c>
      <c r="BO240" s="80">
        <f>IF(BE240=1,ROUND(AS240/60,6),0)</f>
        <v>0</v>
      </c>
      <c r="BP240" s="80">
        <f>ROUND(BJ240-BO240,6)</f>
        <v>0</v>
      </c>
      <c r="BQ240" s="80">
        <f>IF(BE240=1,AW240,0)</f>
        <v>0</v>
      </c>
      <c r="BR240" s="80">
        <f>IF(BE240=1,AX240,0)</f>
        <v>0</v>
      </c>
      <c r="BS240" s="80">
        <f>IF(AND(BE240=1,D240="Malcolm",BA240&gt;0),MIN(BH240,SUMPRODUCT((R_Emp="proMX")*(R_EN&gt;0)*((R_EN-(R_EN&gt;BR240)*(R_EN-BR240))&gt;(R_SN+(R_SN&lt;BQ240)*(BQ240-R_SN)))*((R_EN-(R_EN&gt;BR240)*(R_EN-BR240))-(R_SN+(R_SN&lt;BQ240)*(BQ240-R_SN))))/60),0)</f>
        <v>0</v>
      </c>
      <c r="BT240" s="80">
        <f>IF(AND(BE240=1,D240="proMX"),ROUND(BI240*CFG_RATE+BJ240*CFG_OTRATE,6),0)</f>
        <v>0</v>
      </c>
      <c r="BU240" s="80">
        <f>IF(AND(BD240=1,D240="proMX"),ROUND(AG240/CFG_BLK,6),0)</f>
        <v>0</v>
      </c>
      <c r="BV240" s="80" t="str">
        <f>IF(BF240="Approved",IF(ISNUMBER(T240),INT(T240),INT(B240)),"")</f>
        <v/>
      </c>
      <c r="BW240" s="80">
        <f>IF(ISNUMBER(B240),IF(DB_MON="Todos",1,IF(AND(INT(B240)&gt;=DB_MS,INT(B240)&lt;=DB_ME),1,0)),0)</f>
        <v>0</v>
      </c>
      <c r="BX240" s="80">
        <f>IF(DB_PROJ="Todos",1,IF(E240&amp;""=DB_PROJ&amp;"",1,0))</f>
        <v>1</v>
      </c>
      <c r="BY240" s="80">
        <f>BW240*BX240</f>
        <v>0</v>
      </c>
      <c r="BZ240" s="80" t="str">
        <f>IF(Y240=1,F240&amp;IF(AND(F240&amp;""&lt;&gt;"",E240&amp;""&lt;&gt;"")," · ","")&amp;E240,"")</f>
        <v/>
      </c>
      <c r="CA240" s="80" t="str">
        <f>IF(AND(BD240=1,E240&amp;""&lt;&gt;""),IF(COUNTIFS($E$5:E239,E240,$BD$5:BD239,1)=0,MAX($CA$5:CA239)+1,""),"")</f>
        <v/>
      </c>
      <c r="CB240" s="80" t="str">
        <f>IF(AND(BE240=1,D240="Malcolm",E240&amp;""&lt;&gt;""),IF(COUNTIFS($D$5:D239,"Malcolm",$E$5:E239,E240,$BE$5:BE239,1)=0,MAX($CB$5:CB239)+1,""),"")</f>
        <v/>
      </c>
      <c r="CC240" s="80" t="str">
        <f>IF(AND(BD240=1,D240="proMX",E240&amp;""&lt;&gt;""),IF(COUNTIFS($D$5:D239,"proMX",$E$5:E239,E240,$BD$5:BD239,1)=0,MAX($CC$5:CC239)+1,""),"")</f>
        <v/>
      </c>
      <c r="CD240" s="80" t="str">
        <f>IF(AND(BE240=1,D240="Malcolm",F240&amp;""&lt;&gt;""),IF(COUNTIFS($D$5:D239,"Malcolm",$F$5:F239,F240,$BE$5:BE239,1)=0,MAX($CD$5:CD239)+1,""),"")</f>
        <v/>
      </c>
      <c r="CE240" s="80" t="str">
        <f>IF(AND(BD240=1,D240="proMX",F240&amp;""&lt;&gt;""),IF(COUNTIFS($D$5:D239,"proMX",$F$5:F239,F240,$BD$5:BD239,1)=0,MAX($CE$5:CE239)+1,""),"")</f>
        <v/>
      </c>
      <c r="CF240" s="80" t="str">
        <f>IF(AND(D240="proMX",BD240=1),IF(OR(BF240="Draft",BF240="Submitted",BF240="Returned",BF240="Recall Requested"),MAX($CF$5:CF239)+1,""),"")</f>
        <v/>
      </c>
      <c r="CG240" s="80">
        <f>IF(BD240=0,0,IF(D240="Malcolm",1,MATCH(BF240,{"Draft","Submitted","Approved","Returned","Recall Requested","Cancelled"},0)+1))</f>
        <v>0</v>
      </c>
      <c r="CH240" s="80">
        <f>IF(AND(BF240="Submitted",ISNUMBER(V240)),IF(V240&gt;CFG_MAXD,1,0),0)</f>
        <v>0</v>
      </c>
    </row>
    <row r="241">
      <c r="A241" s="71" t="str">
        <f>IF(Y241=1,ROW()-5,"")</f>
        <v/>
      </c>
      <c r="B241" s="72" t="n"/>
      <c r="C241" s="71" t="str">
        <f>IF(ISNUMBER(B241),CHOOSE(WEEKDAY(B241,2),"Lun","Mar","Mié","Jue","Vie","Sáb","Dom"),"")</f>
        <v/>
      </c>
      <c r="D241" s="73" t="n"/>
      <c r="E241" s="74" t="n"/>
      <c r="F241" s="74" t="n"/>
      <c r="G241" s="74" t="n"/>
      <c r="H241" s="75" t="n"/>
      <c r="I241" s="75" t="n"/>
      <c r="J241" s="76" t="n"/>
      <c r="K241" s="77" t="str">
        <f>IF(AB241=1,ROUND(AG241/60,4),"")</f>
        <v/>
      </c>
      <c r="L241" s="77" t="str">
        <f>IF(BD241=1,ROUND(AP241/60,4),"")</f>
        <v/>
      </c>
      <c r="M241" s="77" t="str">
        <f>IF(BD241=1,ROUND(AQ241/60,4),"")</f>
        <v/>
      </c>
      <c r="N241" s="71" t="str">
        <f>IF(AND(D241="proMX",AB241=1),ROUND(AG241/CFG_BLK,2),"")</f>
        <v/>
      </c>
      <c r="O241" s="77" t="str">
        <f>IF(D241="proMX",IF(BD241=1,ROUND(AG241/60,4),0),"")</f>
        <v/>
      </c>
      <c r="P241" s="78" t="str">
        <f>IF(Y241=0,"",IF(BD241=1,"OK",IF(D241="proMX","Revisar bloques: ","Revisar: ")&amp;BC241))</f>
        <v/>
      </c>
      <c r="Q241" s="78" t="str">
        <f>IF(NOT(ISNUMBER(B241)),"",IF(COUNTIFS(FER_F,INT(B241))&gt;0,"Feriado"&amp;IF(AH241=1," (laborable)"," (no laborable)"),IF(AH241=1,"Laborable",IF(WEEKDAY(B241,2)&gt;5,"Fin de semana","No laborable"))))</f>
        <v/>
      </c>
      <c r="R241" s="73" t="n"/>
      <c r="S241" s="72" t="n"/>
      <c r="T241" s="72" t="n"/>
      <c r="U241" s="74" t="n"/>
      <c r="V241" s="79" t="str">
        <f>IF(AND(D241="proMX",OR(R241="Submitted",R241="Recall Requested"),ISNUMBER(S241)),CFG_TODAY-INT(S241),"")</f>
        <v/>
      </c>
      <c r="W241" s="78" t="str">
        <f>IF(BD241=0,"",IF(BA241&gt;0,"⚠ Se superpone con un registro de la otra empresa",IF(D241="Malcolm",IF(COUNTA(R241,S241,T241)&gt;0,"Estado/fechas proMX se ignoran en Malcolm",""),IF(BF241="Cancelled","Cancelado: excluido de totales",IF(R241="","Sin estado: se trata como Draft",IF(BF241="Submitted",IF(ISNUMBER(V241),IF(V241&gt;CFG_MAXD,"⚠ "&amp;V241&amp;" días en Submitted (máx. "&amp;CFG_MAXD&amp;")",""),"Falta fecha de envío"),IF(BF241="Returned","⚠ Devuelto: corregir y reenviar",IF(BF241="Recall Requested","Retirada solicitada: pendiente",IF(AND(BF241="Approved",NOT(ISNUMBER(T241))),"Falta fecha de aprobación",IF(AND(ISNUMBER(S241),ISNUMBER(T241),T241&lt;S241),"Aprobación anterior al envío","")))))))))</f>
        <v/>
      </c>
      <c r="Y241" s="80">
        <f>IF(COUNTA(B241,D241,E241,F241,G241,H241,I241,J241,R241,S241,T241)&gt;0,1,0)</f>
        <v>0</v>
      </c>
      <c r="Z241" s="80" t="str">
        <f>IF(AND(ISNUMBER(H241),H241&gt;=0,H241&lt;1),ROUND(H241*1440,0),"")</f>
        <v/>
      </c>
      <c r="AA241" s="80" t="str">
        <f>IF(AND(ISNUMBER(I241),I241&gt;=0,I241&lt;1),ROUND(I241*1440,0),"")</f>
        <v/>
      </c>
      <c r="AB241" s="80">
        <f>IF(AND(ISNUMBER(B241),D241&lt;&gt;"",ISNUMBER(Z241),ISNUMBER(AA241)),IF(Z241=AA241,0,1),0)</f>
        <v>0</v>
      </c>
      <c r="AC241" s="80">
        <f>IF(AB241=1,IF(AA241&lt;Z241,1,0),0)</f>
        <v>0</v>
      </c>
      <c r="AD241" s="80">
        <f>IF(AB241=1,IF(AC241=1,1440-Z241+AA241,AA241-Z241),0)</f>
        <v>0</v>
      </c>
      <c r="AE241" s="80">
        <f>IF(J241="",0,IF(ISNUMBER(J241),J241,-1))</f>
        <v>0</v>
      </c>
      <c r="AF241" s="80">
        <f>MIN(MAX(0,AE241),AD241)</f>
        <v>0</v>
      </c>
      <c r="AG241" s="80">
        <f>MAX(0,AD241-MAX(0,AE241))</f>
        <v>0</v>
      </c>
      <c r="AH241" s="80">
        <f>IF(ISNUMBER(B241),IF(AND(INDEX(CFG_WDAYS,WEEKDAY(INT(B241),2))="Sí",IF(D241="proMX",COUNTIFS(FER_F,INT(B241),FER_NLP,"Sí"),COUNTIFS(FER_F,INT(B241),FER_NLM,"Sí"))=0),1,0),0)</f>
        <v>0</v>
      </c>
      <c r="AI241" s="80">
        <f>IF(AC241=1,IF(AND(INDEX(CFG_WDAYS,WEEKDAY(INT(B241)+1,2))="Sí",IF(D241="proMX",COUNTIFS(FER_F,INT(B241)+1,FER_NLP,"Sí"),COUNTIFS(FER_F,INT(B241)+1,FER_NLM,"Sí"))=0),1,0),0)</f>
        <v>0</v>
      </c>
      <c r="AJ241" s="80">
        <f>IF(AC241=1,1440-Z241,AD241)</f>
        <v>0</v>
      </c>
      <c r="AK241" s="80">
        <f>IF(AND(AB241=1,AH241=1),MAX(0,MIN(IF(AC241=1,1440,AA241),CFG_WEM)-MAX(Z241,CFG_WSM)),0)</f>
        <v>0</v>
      </c>
      <c r="AL241" s="80">
        <f>IF(AND(AC241=1,AI241=1),MAX(0,MIN(AA241,CFG_WEM)-CFG_WSM),0)</f>
        <v>0</v>
      </c>
      <c r="AM241" s="80">
        <f>AK241+AL241</f>
        <v>0</v>
      </c>
      <c r="AN241" s="80">
        <f>IF(CFG_BRK="Proporcional",IF(AD241=0,0,AF241*AM241/AD241),IF(CFG_BRK="Extras primero",MIN(AM241,MAX(0,AF241-(AD241-AM241))),MIN(AF241,AM241)))</f>
        <v>0</v>
      </c>
      <c r="AO241" s="80">
        <f>AF241-AN241</f>
        <v>0</v>
      </c>
      <c r="AP241" s="80">
        <f>AM241-AN241</f>
        <v>0</v>
      </c>
      <c r="AQ241" s="80">
        <f>AD241-AM241-AO241</f>
        <v>0</v>
      </c>
      <c r="AR241" s="80">
        <f>IF(AM241=0,0,AK241-AN241*AK241/AM241)</f>
        <v>0</v>
      </c>
      <c r="AS241" s="80">
        <f>IF(AD241-AM241=0,0,(AJ241-AK241)-AO241*(AJ241-AK241)/(AD241-AM241))</f>
        <v>0</v>
      </c>
      <c r="AT241" s="80" t="str">
        <f>IF(AC241=1,INT(B241)+1,"")</f>
        <v/>
      </c>
      <c r="AU241" s="80">
        <f>IF(AND(D241="proMX",R241="Cancelled"),0,1)</f>
        <v>1</v>
      </c>
      <c r="AV241" s="80">
        <f>IF(AND(AB241=1,AU241=1),IF(COUNTIFS($D$5:D240,D241,$B$5:B240,B241,$Z$5:Z240,Z241,$AA$5:AA240,AA241,$F$5:F240,F241&amp;"",$AU$5:AU240,1)&gt;0,1,0),0)</f>
        <v>0</v>
      </c>
      <c r="AW241" s="80" t="str">
        <f>IF(AB241=1,INT(B241)*1440+Z241,"")</f>
        <v/>
      </c>
      <c r="AX241" s="80" t="str">
        <f>IF(AB241=1,AW241+AD241,"")</f>
        <v/>
      </c>
      <c r="AY241" s="80">
        <f>IF(AND(AB241=1,AV241=0,AU241=1),1,0)</f>
        <v>0</v>
      </c>
      <c r="AZ241" s="80">
        <f>IF(AY241=1,COUNTIFS(R_Emp,D241,R_SAbs,"&lt;"&amp;AX241,R_EAbs,"&gt;"&amp;AW241,R_OKey,1)-1,0)</f>
        <v>0</v>
      </c>
      <c r="BA241" s="80">
        <f>IF(AY241=1,COUNTIFS(R_Emp,"&lt;&gt;"&amp;D241,R_SAbs,"&lt;"&amp;AX241,R_EAbs,"&gt;"&amp;AW241,R_OKey,1),0)</f>
        <v>0</v>
      </c>
      <c r="BB241" s="80">
        <f>IF(AND(AB241=1,D241="proMX"),IF(AND(MOD(Z241,CFG_BLK)=0,MOD(AA241,CFG_BLK)=0,MOD(AG241,CFG_BLK)=0,AG241&gt;0),1,0),1)</f>
        <v>1</v>
      </c>
      <c r="BC241" s="80" t="str">
        <f>IF(Y241=0,"",IF(NOT(ISNUMBER(B241)),"Falta fecha o fecha inválida",IF(D241="","Falta empresa",IF(AND(D241&lt;&gt;"Malcolm",D241&lt;&gt;"proMX"),"Empresa inválida",IF(OR(INT(B241)&lt;CFG_PSTART,INT(B241)&gt;CFG_PEND),"Fecha fuera del período",IF(OR(NOT(ISNUMBER(Z241)),NOT(ISNUMBER(AA241))),"Falta hora inicio/fin o formato inválido",IF(AB241=0,"Hora inicio = hora fin",IF(AE241&lt;0,"Descanso inválido",IF(AE241&gt;=AD241,"Descanso ≥ duración",IF(AV241=1,"Registro duplicado",IF(AZ241&gt;0,"Se superpone con otro registro "&amp;D241,IF(BB241=0,"inicio, fin y duración neta deben ser múltiplos de "&amp;CFG_BLK&amp;" min",""))))))))))))</f>
        <v/>
      </c>
      <c r="BD241" s="80">
        <f>IF(AND(Y241=1,BC241=""),1,0)</f>
        <v>0</v>
      </c>
      <c r="BE241" s="80">
        <f>IF(AND(BD241=1,AU241=1),1,0)</f>
        <v>0</v>
      </c>
      <c r="BF241" s="80" t="str">
        <f>IF(AND(D241="proMX",BD241=1),IF(R241="","Draft",R241),"")</f>
        <v/>
      </c>
      <c r="BG241" s="80">
        <f>IF(BD241=1,ROUND(AG241/60,6),0)</f>
        <v>0</v>
      </c>
      <c r="BH241" s="80">
        <f>IF(BE241=1,ROUND(AG241/60,6),0)</f>
        <v>0</v>
      </c>
      <c r="BI241" s="80">
        <f>IF(BE241=1,ROUND(AP241/60,6),0)</f>
        <v>0</v>
      </c>
      <c r="BJ241" s="80">
        <f>IF(BE241=1,ROUND(AQ241/60,6),0)</f>
        <v>0</v>
      </c>
      <c r="BK241" s="80">
        <f>IF(BE241=1,ROUND((AR241+AS241)/60,6),0)</f>
        <v>0</v>
      </c>
      <c r="BL241" s="80">
        <f>ROUND(BH241-BK241,6)</f>
        <v>0</v>
      </c>
      <c r="BM241" s="80">
        <f>IF(BE241=1,ROUND(AR241/60,6),0)</f>
        <v>0</v>
      </c>
      <c r="BN241" s="80">
        <f>ROUND(BI241-BM241,6)</f>
        <v>0</v>
      </c>
      <c r="BO241" s="80">
        <f>IF(BE241=1,ROUND(AS241/60,6),0)</f>
        <v>0</v>
      </c>
      <c r="BP241" s="80">
        <f>ROUND(BJ241-BO241,6)</f>
        <v>0</v>
      </c>
      <c r="BQ241" s="80">
        <f>IF(BE241=1,AW241,0)</f>
        <v>0</v>
      </c>
      <c r="BR241" s="80">
        <f>IF(BE241=1,AX241,0)</f>
        <v>0</v>
      </c>
      <c r="BS241" s="80">
        <f>IF(AND(BE241=1,D241="Malcolm",BA241&gt;0),MIN(BH241,SUMPRODUCT((R_Emp="proMX")*(R_EN&gt;0)*((R_EN-(R_EN&gt;BR241)*(R_EN-BR241))&gt;(R_SN+(R_SN&lt;BQ241)*(BQ241-R_SN)))*((R_EN-(R_EN&gt;BR241)*(R_EN-BR241))-(R_SN+(R_SN&lt;BQ241)*(BQ241-R_SN))))/60),0)</f>
        <v>0</v>
      </c>
      <c r="BT241" s="80">
        <f>IF(AND(BE241=1,D241="proMX"),ROUND(BI241*CFG_RATE+BJ241*CFG_OTRATE,6),0)</f>
        <v>0</v>
      </c>
      <c r="BU241" s="80">
        <f>IF(AND(BD241=1,D241="proMX"),ROUND(AG241/CFG_BLK,6),0)</f>
        <v>0</v>
      </c>
      <c r="BV241" s="80" t="str">
        <f>IF(BF241="Approved",IF(ISNUMBER(T241),INT(T241),INT(B241)),"")</f>
        <v/>
      </c>
      <c r="BW241" s="80">
        <f>IF(ISNUMBER(B241),IF(DB_MON="Todos",1,IF(AND(INT(B241)&gt;=DB_MS,INT(B241)&lt;=DB_ME),1,0)),0)</f>
        <v>0</v>
      </c>
      <c r="BX241" s="80">
        <f>IF(DB_PROJ="Todos",1,IF(E241&amp;""=DB_PROJ&amp;"",1,0))</f>
        <v>1</v>
      </c>
      <c r="BY241" s="80">
        <f>BW241*BX241</f>
        <v>0</v>
      </c>
      <c r="BZ241" s="80" t="str">
        <f>IF(Y241=1,F241&amp;IF(AND(F241&amp;""&lt;&gt;"",E241&amp;""&lt;&gt;"")," · ","")&amp;E241,"")</f>
        <v/>
      </c>
      <c r="CA241" s="80" t="str">
        <f>IF(AND(BD241=1,E241&amp;""&lt;&gt;""),IF(COUNTIFS($E$5:E240,E241,$BD$5:BD240,1)=0,MAX($CA$5:CA240)+1,""),"")</f>
        <v/>
      </c>
      <c r="CB241" s="80" t="str">
        <f>IF(AND(BE241=1,D241="Malcolm",E241&amp;""&lt;&gt;""),IF(COUNTIFS($D$5:D240,"Malcolm",$E$5:E240,E241,$BE$5:BE240,1)=0,MAX($CB$5:CB240)+1,""),"")</f>
        <v/>
      </c>
      <c r="CC241" s="80" t="str">
        <f>IF(AND(BD241=1,D241="proMX",E241&amp;""&lt;&gt;""),IF(COUNTIFS($D$5:D240,"proMX",$E$5:E240,E241,$BD$5:BD240,1)=0,MAX($CC$5:CC240)+1,""),"")</f>
        <v/>
      </c>
      <c r="CD241" s="80" t="str">
        <f>IF(AND(BE241=1,D241="Malcolm",F241&amp;""&lt;&gt;""),IF(COUNTIFS($D$5:D240,"Malcolm",$F$5:F240,F241,$BE$5:BE240,1)=0,MAX($CD$5:CD240)+1,""),"")</f>
        <v/>
      </c>
      <c r="CE241" s="80" t="str">
        <f>IF(AND(BD241=1,D241="proMX",F241&amp;""&lt;&gt;""),IF(COUNTIFS($D$5:D240,"proMX",$F$5:F240,F241,$BD$5:BD240,1)=0,MAX($CE$5:CE240)+1,""),"")</f>
        <v/>
      </c>
      <c r="CF241" s="80" t="str">
        <f>IF(AND(D241="proMX",BD241=1),IF(OR(BF241="Draft",BF241="Submitted",BF241="Returned",BF241="Recall Requested"),MAX($CF$5:CF240)+1,""),"")</f>
        <v/>
      </c>
      <c r="CG241" s="80">
        <f>IF(BD241=0,0,IF(D241="Malcolm",1,MATCH(BF241,{"Draft","Submitted","Approved","Returned","Recall Requested","Cancelled"},0)+1))</f>
        <v>0</v>
      </c>
      <c r="CH241" s="80">
        <f>IF(AND(BF241="Submitted",ISNUMBER(V241)),IF(V241&gt;CFG_MAXD,1,0),0)</f>
        <v>0</v>
      </c>
    </row>
    <row r="242">
      <c r="A242" s="71" t="str">
        <f>IF(Y242=1,ROW()-5,"")</f>
        <v/>
      </c>
      <c r="B242" s="72" t="n"/>
      <c r="C242" s="71" t="str">
        <f>IF(ISNUMBER(B242),CHOOSE(WEEKDAY(B242,2),"Lun","Mar","Mié","Jue","Vie","Sáb","Dom"),"")</f>
        <v/>
      </c>
      <c r="D242" s="73" t="n"/>
      <c r="E242" s="74" t="n"/>
      <c r="F242" s="74" t="n"/>
      <c r="G242" s="74" t="n"/>
      <c r="H242" s="75" t="n"/>
      <c r="I242" s="75" t="n"/>
      <c r="J242" s="76" t="n"/>
      <c r="K242" s="77" t="str">
        <f>IF(AB242=1,ROUND(AG242/60,4),"")</f>
        <v/>
      </c>
      <c r="L242" s="77" t="str">
        <f>IF(BD242=1,ROUND(AP242/60,4),"")</f>
        <v/>
      </c>
      <c r="M242" s="77" t="str">
        <f>IF(BD242=1,ROUND(AQ242/60,4),"")</f>
        <v/>
      </c>
      <c r="N242" s="71" t="str">
        <f>IF(AND(D242="proMX",AB242=1),ROUND(AG242/CFG_BLK,2),"")</f>
        <v/>
      </c>
      <c r="O242" s="77" t="str">
        <f>IF(D242="proMX",IF(BD242=1,ROUND(AG242/60,4),0),"")</f>
        <v/>
      </c>
      <c r="P242" s="78" t="str">
        <f>IF(Y242=0,"",IF(BD242=1,"OK",IF(D242="proMX","Revisar bloques: ","Revisar: ")&amp;BC242))</f>
        <v/>
      </c>
      <c r="Q242" s="78" t="str">
        <f>IF(NOT(ISNUMBER(B242)),"",IF(COUNTIFS(FER_F,INT(B242))&gt;0,"Feriado"&amp;IF(AH242=1," (laborable)"," (no laborable)"),IF(AH242=1,"Laborable",IF(WEEKDAY(B242,2)&gt;5,"Fin de semana","No laborable"))))</f>
        <v/>
      </c>
      <c r="R242" s="73" t="n"/>
      <c r="S242" s="72" t="n"/>
      <c r="T242" s="72" t="n"/>
      <c r="U242" s="74" t="n"/>
      <c r="V242" s="79" t="str">
        <f>IF(AND(D242="proMX",OR(R242="Submitted",R242="Recall Requested"),ISNUMBER(S242)),CFG_TODAY-INT(S242),"")</f>
        <v/>
      </c>
      <c r="W242" s="78" t="str">
        <f>IF(BD242=0,"",IF(BA242&gt;0,"⚠ Se superpone con un registro de la otra empresa",IF(D242="Malcolm",IF(COUNTA(R242,S242,T242)&gt;0,"Estado/fechas proMX se ignoran en Malcolm",""),IF(BF242="Cancelled","Cancelado: excluido de totales",IF(R242="","Sin estado: se trata como Draft",IF(BF242="Submitted",IF(ISNUMBER(V242),IF(V242&gt;CFG_MAXD,"⚠ "&amp;V242&amp;" días en Submitted (máx. "&amp;CFG_MAXD&amp;")",""),"Falta fecha de envío"),IF(BF242="Returned","⚠ Devuelto: corregir y reenviar",IF(BF242="Recall Requested","Retirada solicitada: pendiente",IF(AND(BF242="Approved",NOT(ISNUMBER(T242))),"Falta fecha de aprobación",IF(AND(ISNUMBER(S242),ISNUMBER(T242),T242&lt;S242),"Aprobación anterior al envío","")))))))))</f>
        <v/>
      </c>
      <c r="Y242" s="80">
        <f>IF(COUNTA(B242,D242,E242,F242,G242,H242,I242,J242,R242,S242,T242)&gt;0,1,0)</f>
        <v>0</v>
      </c>
      <c r="Z242" s="80" t="str">
        <f>IF(AND(ISNUMBER(H242),H242&gt;=0,H242&lt;1),ROUND(H242*1440,0),"")</f>
        <v/>
      </c>
      <c r="AA242" s="80" t="str">
        <f>IF(AND(ISNUMBER(I242),I242&gt;=0,I242&lt;1),ROUND(I242*1440,0),"")</f>
        <v/>
      </c>
      <c r="AB242" s="80">
        <f>IF(AND(ISNUMBER(B242),D242&lt;&gt;"",ISNUMBER(Z242),ISNUMBER(AA242)),IF(Z242=AA242,0,1),0)</f>
        <v>0</v>
      </c>
      <c r="AC242" s="80">
        <f>IF(AB242=1,IF(AA242&lt;Z242,1,0),0)</f>
        <v>0</v>
      </c>
      <c r="AD242" s="80">
        <f>IF(AB242=1,IF(AC242=1,1440-Z242+AA242,AA242-Z242),0)</f>
        <v>0</v>
      </c>
      <c r="AE242" s="80">
        <f>IF(J242="",0,IF(ISNUMBER(J242),J242,-1))</f>
        <v>0</v>
      </c>
      <c r="AF242" s="80">
        <f>MIN(MAX(0,AE242),AD242)</f>
        <v>0</v>
      </c>
      <c r="AG242" s="80">
        <f>MAX(0,AD242-MAX(0,AE242))</f>
        <v>0</v>
      </c>
      <c r="AH242" s="80">
        <f>IF(ISNUMBER(B242),IF(AND(INDEX(CFG_WDAYS,WEEKDAY(INT(B242),2))="Sí",IF(D242="proMX",COUNTIFS(FER_F,INT(B242),FER_NLP,"Sí"),COUNTIFS(FER_F,INT(B242),FER_NLM,"Sí"))=0),1,0),0)</f>
        <v>0</v>
      </c>
      <c r="AI242" s="80">
        <f>IF(AC242=1,IF(AND(INDEX(CFG_WDAYS,WEEKDAY(INT(B242)+1,2))="Sí",IF(D242="proMX",COUNTIFS(FER_F,INT(B242)+1,FER_NLP,"Sí"),COUNTIFS(FER_F,INT(B242)+1,FER_NLM,"Sí"))=0),1,0),0)</f>
        <v>0</v>
      </c>
      <c r="AJ242" s="80">
        <f>IF(AC242=1,1440-Z242,AD242)</f>
        <v>0</v>
      </c>
      <c r="AK242" s="80">
        <f>IF(AND(AB242=1,AH242=1),MAX(0,MIN(IF(AC242=1,1440,AA242),CFG_WEM)-MAX(Z242,CFG_WSM)),0)</f>
        <v>0</v>
      </c>
      <c r="AL242" s="80">
        <f>IF(AND(AC242=1,AI242=1),MAX(0,MIN(AA242,CFG_WEM)-CFG_WSM),0)</f>
        <v>0</v>
      </c>
      <c r="AM242" s="80">
        <f>AK242+AL242</f>
        <v>0</v>
      </c>
      <c r="AN242" s="80">
        <f>IF(CFG_BRK="Proporcional",IF(AD242=0,0,AF242*AM242/AD242),IF(CFG_BRK="Extras primero",MIN(AM242,MAX(0,AF242-(AD242-AM242))),MIN(AF242,AM242)))</f>
        <v>0</v>
      </c>
      <c r="AO242" s="80">
        <f>AF242-AN242</f>
        <v>0</v>
      </c>
      <c r="AP242" s="80">
        <f>AM242-AN242</f>
        <v>0</v>
      </c>
      <c r="AQ242" s="80">
        <f>AD242-AM242-AO242</f>
        <v>0</v>
      </c>
      <c r="AR242" s="80">
        <f>IF(AM242=0,0,AK242-AN242*AK242/AM242)</f>
        <v>0</v>
      </c>
      <c r="AS242" s="80">
        <f>IF(AD242-AM242=0,0,(AJ242-AK242)-AO242*(AJ242-AK242)/(AD242-AM242))</f>
        <v>0</v>
      </c>
      <c r="AT242" s="80" t="str">
        <f>IF(AC242=1,INT(B242)+1,"")</f>
        <v/>
      </c>
      <c r="AU242" s="80">
        <f>IF(AND(D242="proMX",R242="Cancelled"),0,1)</f>
        <v>1</v>
      </c>
      <c r="AV242" s="80">
        <f>IF(AND(AB242=1,AU242=1),IF(COUNTIFS($D$5:D241,D242,$B$5:B241,B242,$Z$5:Z241,Z242,$AA$5:AA241,AA242,$F$5:F241,F242&amp;"",$AU$5:AU241,1)&gt;0,1,0),0)</f>
        <v>0</v>
      </c>
      <c r="AW242" s="80" t="str">
        <f>IF(AB242=1,INT(B242)*1440+Z242,"")</f>
        <v/>
      </c>
      <c r="AX242" s="80" t="str">
        <f>IF(AB242=1,AW242+AD242,"")</f>
        <v/>
      </c>
      <c r="AY242" s="80">
        <f>IF(AND(AB242=1,AV242=0,AU242=1),1,0)</f>
        <v>0</v>
      </c>
      <c r="AZ242" s="80">
        <f>IF(AY242=1,COUNTIFS(R_Emp,D242,R_SAbs,"&lt;"&amp;AX242,R_EAbs,"&gt;"&amp;AW242,R_OKey,1)-1,0)</f>
        <v>0</v>
      </c>
      <c r="BA242" s="80">
        <f>IF(AY242=1,COUNTIFS(R_Emp,"&lt;&gt;"&amp;D242,R_SAbs,"&lt;"&amp;AX242,R_EAbs,"&gt;"&amp;AW242,R_OKey,1),0)</f>
        <v>0</v>
      </c>
      <c r="BB242" s="80">
        <f>IF(AND(AB242=1,D242="proMX"),IF(AND(MOD(Z242,CFG_BLK)=0,MOD(AA242,CFG_BLK)=0,MOD(AG242,CFG_BLK)=0,AG242&gt;0),1,0),1)</f>
        <v>1</v>
      </c>
      <c r="BC242" s="80" t="str">
        <f>IF(Y242=0,"",IF(NOT(ISNUMBER(B242)),"Falta fecha o fecha inválida",IF(D242="","Falta empresa",IF(AND(D242&lt;&gt;"Malcolm",D242&lt;&gt;"proMX"),"Empresa inválida",IF(OR(INT(B242)&lt;CFG_PSTART,INT(B242)&gt;CFG_PEND),"Fecha fuera del período",IF(OR(NOT(ISNUMBER(Z242)),NOT(ISNUMBER(AA242))),"Falta hora inicio/fin o formato inválido",IF(AB242=0,"Hora inicio = hora fin",IF(AE242&lt;0,"Descanso inválido",IF(AE242&gt;=AD242,"Descanso ≥ duración",IF(AV242=1,"Registro duplicado",IF(AZ242&gt;0,"Se superpone con otro registro "&amp;D242,IF(BB242=0,"inicio, fin y duración neta deben ser múltiplos de "&amp;CFG_BLK&amp;" min",""))))))))))))</f>
        <v/>
      </c>
      <c r="BD242" s="80">
        <f>IF(AND(Y242=1,BC242=""),1,0)</f>
        <v>0</v>
      </c>
      <c r="BE242" s="80">
        <f>IF(AND(BD242=1,AU242=1),1,0)</f>
        <v>0</v>
      </c>
      <c r="BF242" s="80" t="str">
        <f>IF(AND(D242="proMX",BD242=1),IF(R242="","Draft",R242),"")</f>
        <v/>
      </c>
      <c r="BG242" s="80">
        <f>IF(BD242=1,ROUND(AG242/60,6),0)</f>
        <v>0</v>
      </c>
      <c r="BH242" s="80">
        <f>IF(BE242=1,ROUND(AG242/60,6),0)</f>
        <v>0</v>
      </c>
      <c r="BI242" s="80">
        <f>IF(BE242=1,ROUND(AP242/60,6),0)</f>
        <v>0</v>
      </c>
      <c r="BJ242" s="80">
        <f>IF(BE242=1,ROUND(AQ242/60,6),0)</f>
        <v>0</v>
      </c>
      <c r="BK242" s="80">
        <f>IF(BE242=1,ROUND((AR242+AS242)/60,6),0)</f>
        <v>0</v>
      </c>
      <c r="BL242" s="80">
        <f>ROUND(BH242-BK242,6)</f>
        <v>0</v>
      </c>
      <c r="BM242" s="80">
        <f>IF(BE242=1,ROUND(AR242/60,6),0)</f>
        <v>0</v>
      </c>
      <c r="BN242" s="80">
        <f>ROUND(BI242-BM242,6)</f>
        <v>0</v>
      </c>
      <c r="BO242" s="80">
        <f>IF(BE242=1,ROUND(AS242/60,6),0)</f>
        <v>0</v>
      </c>
      <c r="BP242" s="80">
        <f>ROUND(BJ242-BO242,6)</f>
        <v>0</v>
      </c>
      <c r="BQ242" s="80">
        <f>IF(BE242=1,AW242,0)</f>
        <v>0</v>
      </c>
      <c r="BR242" s="80">
        <f>IF(BE242=1,AX242,0)</f>
        <v>0</v>
      </c>
      <c r="BS242" s="80">
        <f>IF(AND(BE242=1,D242="Malcolm",BA242&gt;0),MIN(BH242,SUMPRODUCT((R_Emp="proMX")*(R_EN&gt;0)*((R_EN-(R_EN&gt;BR242)*(R_EN-BR242))&gt;(R_SN+(R_SN&lt;BQ242)*(BQ242-R_SN)))*((R_EN-(R_EN&gt;BR242)*(R_EN-BR242))-(R_SN+(R_SN&lt;BQ242)*(BQ242-R_SN))))/60),0)</f>
        <v>0</v>
      </c>
      <c r="BT242" s="80">
        <f>IF(AND(BE242=1,D242="proMX"),ROUND(BI242*CFG_RATE+BJ242*CFG_OTRATE,6),0)</f>
        <v>0</v>
      </c>
      <c r="BU242" s="80">
        <f>IF(AND(BD242=1,D242="proMX"),ROUND(AG242/CFG_BLK,6),0)</f>
        <v>0</v>
      </c>
      <c r="BV242" s="80" t="str">
        <f>IF(BF242="Approved",IF(ISNUMBER(T242),INT(T242),INT(B242)),"")</f>
        <v/>
      </c>
      <c r="BW242" s="80">
        <f>IF(ISNUMBER(B242),IF(DB_MON="Todos",1,IF(AND(INT(B242)&gt;=DB_MS,INT(B242)&lt;=DB_ME),1,0)),0)</f>
        <v>0</v>
      </c>
      <c r="BX242" s="80">
        <f>IF(DB_PROJ="Todos",1,IF(E242&amp;""=DB_PROJ&amp;"",1,0))</f>
        <v>1</v>
      </c>
      <c r="BY242" s="80">
        <f>BW242*BX242</f>
        <v>0</v>
      </c>
      <c r="BZ242" s="80" t="str">
        <f>IF(Y242=1,F242&amp;IF(AND(F242&amp;""&lt;&gt;"",E242&amp;""&lt;&gt;"")," · ","")&amp;E242,"")</f>
        <v/>
      </c>
      <c r="CA242" s="80" t="str">
        <f>IF(AND(BD242=1,E242&amp;""&lt;&gt;""),IF(COUNTIFS($E$5:E241,E242,$BD$5:BD241,1)=0,MAX($CA$5:CA241)+1,""),"")</f>
        <v/>
      </c>
      <c r="CB242" s="80" t="str">
        <f>IF(AND(BE242=1,D242="Malcolm",E242&amp;""&lt;&gt;""),IF(COUNTIFS($D$5:D241,"Malcolm",$E$5:E241,E242,$BE$5:BE241,1)=0,MAX($CB$5:CB241)+1,""),"")</f>
        <v/>
      </c>
      <c r="CC242" s="80" t="str">
        <f>IF(AND(BD242=1,D242="proMX",E242&amp;""&lt;&gt;""),IF(COUNTIFS($D$5:D241,"proMX",$E$5:E241,E242,$BD$5:BD241,1)=0,MAX($CC$5:CC241)+1,""),"")</f>
        <v/>
      </c>
      <c r="CD242" s="80" t="str">
        <f>IF(AND(BE242=1,D242="Malcolm",F242&amp;""&lt;&gt;""),IF(COUNTIFS($D$5:D241,"Malcolm",$F$5:F241,F242,$BE$5:BE241,1)=0,MAX($CD$5:CD241)+1,""),"")</f>
        <v/>
      </c>
      <c r="CE242" s="80" t="str">
        <f>IF(AND(BD242=1,D242="proMX",F242&amp;""&lt;&gt;""),IF(COUNTIFS($D$5:D241,"proMX",$F$5:F241,F242,$BD$5:BD241,1)=0,MAX($CE$5:CE241)+1,""),"")</f>
        <v/>
      </c>
      <c r="CF242" s="80" t="str">
        <f>IF(AND(D242="proMX",BD242=1),IF(OR(BF242="Draft",BF242="Submitted",BF242="Returned",BF242="Recall Requested"),MAX($CF$5:CF241)+1,""),"")</f>
        <v/>
      </c>
      <c r="CG242" s="80">
        <f>IF(BD242=0,0,IF(D242="Malcolm",1,MATCH(BF242,{"Draft","Submitted","Approved","Returned","Recall Requested","Cancelled"},0)+1))</f>
        <v>0</v>
      </c>
      <c r="CH242" s="80">
        <f>IF(AND(BF242="Submitted",ISNUMBER(V242)),IF(V242&gt;CFG_MAXD,1,0),0)</f>
        <v>0</v>
      </c>
    </row>
    <row r="243">
      <c r="A243" s="71" t="str">
        <f>IF(Y243=1,ROW()-5,"")</f>
        <v/>
      </c>
      <c r="B243" s="72" t="n"/>
      <c r="C243" s="71" t="str">
        <f>IF(ISNUMBER(B243),CHOOSE(WEEKDAY(B243,2),"Lun","Mar","Mié","Jue","Vie","Sáb","Dom"),"")</f>
        <v/>
      </c>
      <c r="D243" s="73" t="n"/>
      <c r="E243" s="74" t="n"/>
      <c r="F243" s="74" t="n"/>
      <c r="G243" s="74" t="n"/>
      <c r="H243" s="75" t="n"/>
      <c r="I243" s="75" t="n"/>
      <c r="J243" s="76" t="n"/>
      <c r="K243" s="77" t="str">
        <f>IF(AB243=1,ROUND(AG243/60,4),"")</f>
        <v/>
      </c>
      <c r="L243" s="77" t="str">
        <f>IF(BD243=1,ROUND(AP243/60,4),"")</f>
        <v/>
      </c>
      <c r="M243" s="77" t="str">
        <f>IF(BD243=1,ROUND(AQ243/60,4),"")</f>
        <v/>
      </c>
      <c r="N243" s="71" t="str">
        <f>IF(AND(D243="proMX",AB243=1),ROUND(AG243/CFG_BLK,2),"")</f>
        <v/>
      </c>
      <c r="O243" s="77" t="str">
        <f>IF(D243="proMX",IF(BD243=1,ROUND(AG243/60,4),0),"")</f>
        <v/>
      </c>
      <c r="P243" s="78" t="str">
        <f>IF(Y243=0,"",IF(BD243=1,"OK",IF(D243="proMX","Revisar bloques: ","Revisar: ")&amp;BC243))</f>
        <v/>
      </c>
      <c r="Q243" s="78" t="str">
        <f>IF(NOT(ISNUMBER(B243)),"",IF(COUNTIFS(FER_F,INT(B243))&gt;0,"Feriado"&amp;IF(AH243=1," (laborable)"," (no laborable)"),IF(AH243=1,"Laborable",IF(WEEKDAY(B243,2)&gt;5,"Fin de semana","No laborable"))))</f>
        <v/>
      </c>
      <c r="R243" s="73" t="n"/>
      <c r="S243" s="72" t="n"/>
      <c r="T243" s="72" t="n"/>
      <c r="U243" s="74" t="n"/>
      <c r="V243" s="79" t="str">
        <f>IF(AND(D243="proMX",OR(R243="Submitted",R243="Recall Requested"),ISNUMBER(S243)),CFG_TODAY-INT(S243),"")</f>
        <v/>
      </c>
      <c r="W243" s="78" t="str">
        <f>IF(BD243=0,"",IF(BA243&gt;0,"⚠ Se superpone con un registro de la otra empresa",IF(D243="Malcolm",IF(COUNTA(R243,S243,T243)&gt;0,"Estado/fechas proMX se ignoran en Malcolm",""),IF(BF243="Cancelled","Cancelado: excluido de totales",IF(R243="","Sin estado: se trata como Draft",IF(BF243="Submitted",IF(ISNUMBER(V243),IF(V243&gt;CFG_MAXD,"⚠ "&amp;V243&amp;" días en Submitted (máx. "&amp;CFG_MAXD&amp;")",""),"Falta fecha de envío"),IF(BF243="Returned","⚠ Devuelto: corregir y reenviar",IF(BF243="Recall Requested","Retirada solicitada: pendiente",IF(AND(BF243="Approved",NOT(ISNUMBER(T243))),"Falta fecha de aprobación",IF(AND(ISNUMBER(S243),ISNUMBER(T243),T243&lt;S243),"Aprobación anterior al envío","")))))))))</f>
        <v/>
      </c>
      <c r="Y243" s="80">
        <f>IF(COUNTA(B243,D243,E243,F243,G243,H243,I243,J243,R243,S243,T243)&gt;0,1,0)</f>
        <v>0</v>
      </c>
      <c r="Z243" s="80" t="str">
        <f>IF(AND(ISNUMBER(H243),H243&gt;=0,H243&lt;1),ROUND(H243*1440,0),"")</f>
        <v/>
      </c>
      <c r="AA243" s="80" t="str">
        <f>IF(AND(ISNUMBER(I243),I243&gt;=0,I243&lt;1),ROUND(I243*1440,0),"")</f>
        <v/>
      </c>
      <c r="AB243" s="80">
        <f>IF(AND(ISNUMBER(B243),D243&lt;&gt;"",ISNUMBER(Z243),ISNUMBER(AA243)),IF(Z243=AA243,0,1),0)</f>
        <v>0</v>
      </c>
      <c r="AC243" s="80">
        <f>IF(AB243=1,IF(AA243&lt;Z243,1,0),0)</f>
        <v>0</v>
      </c>
      <c r="AD243" s="80">
        <f>IF(AB243=1,IF(AC243=1,1440-Z243+AA243,AA243-Z243),0)</f>
        <v>0</v>
      </c>
      <c r="AE243" s="80">
        <f>IF(J243="",0,IF(ISNUMBER(J243),J243,-1))</f>
        <v>0</v>
      </c>
      <c r="AF243" s="80">
        <f>MIN(MAX(0,AE243),AD243)</f>
        <v>0</v>
      </c>
      <c r="AG243" s="80">
        <f>MAX(0,AD243-MAX(0,AE243))</f>
        <v>0</v>
      </c>
      <c r="AH243" s="80">
        <f>IF(ISNUMBER(B243),IF(AND(INDEX(CFG_WDAYS,WEEKDAY(INT(B243),2))="Sí",IF(D243="proMX",COUNTIFS(FER_F,INT(B243),FER_NLP,"Sí"),COUNTIFS(FER_F,INT(B243),FER_NLM,"Sí"))=0),1,0),0)</f>
        <v>0</v>
      </c>
      <c r="AI243" s="80">
        <f>IF(AC243=1,IF(AND(INDEX(CFG_WDAYS,WEEKDAY(INT(B243)+1,2))="Sí",IF(D243="proMX",COUNTIFS(FER_F,INT(B243)+1,FER_NLP,"Sí"),COUNTIFS(FER_F,INT(B243)+1,FER_NLM,"Sí"))=0),1,0),0)</f>
        <v>0</v>
      </c>
      <c r="AJ243" s="80">
        <f>IF(AC243=1,1440-Z243,AD243)</f>
        <v>0</v>
      </c>
      <c r="AK243" s="80">
        <f>IF(AND(AB243=1,AH243=1),MAX(0,MIN(IF(AC243=1,1440,AA243),CFG_WEM)-MAX(Z243,CFG_WSM)),0)</f>
        <v>0</v>
      </c>
      <c r="AL243" s="80">
        <f>IF(AND(AC243=1,AI243=1),MAX(0,MIN(AA243,CFG_WEM)-CFG_WSM),0)</f>
        <v>0</v>
      </c>
      <c r="AM243" s="80">
        <f>AK243+AL243</f>
        <v>0</v>
      </c>
      <c r="AN243" s="80">
        <f>IF(CFG_BRK="Proporcional",IF(AD243=0,0,AF243*AM243/AD243),IF(CFG_BRK="Extras primero",MIN(AM243,MAX(0,AF243-(AD243-AM243))),MIN(AF243,AM243)))</f>
        <v>0</v>
      </c>
      <c r="AO243" s="80">
        <f>AF243-AN243</f>
        <v>0</v>
      </c>
      <c r="AP243" s="80">
        <f>AM243-AN243</f>
        <v>0</v>
      </c>
      <c r="AQ243" s="80">
        <f>AD243-AM243-AO243</f>
        <v>0</v>
      </c>
      <c r="AR243" s="80">
        <f>IF(AM243=0,0,AK243-AN243*AK243/AM243)</f>
        <v>0</v>
      </c>
      <c r="AS243" s="80">
        <f>IF(AD243-AM243=0,0,(AJ243-AK243)-AO243*(AJ243-AK243)/(AD243-AM243))</f>
        <v>0</v>
      </c>
      <c r="AT243" s="80" t="str">
        <f>IF(AC243=1,INT(B243)+1,"")</f>
        <v/>
      </c>
      <c r="AU243" s="80">
        <f>IF(AND(D243="proMX",R243="Cancelled"),0,1)</f>
        <v>1</v>
      </c>
      <c r="AV243" s="80">
        <f>IF(AND(AB243=1,AU243=1),IF(COUNTIFS($D$5:D242,D243,$B$5:B242,B243,$Z$5:Z242,Z243,$AA$5:AA242,AA243,$F$5:F242,F243&amp;"",$AU$5:AU242,1)&gt;0,1,0),0)</f>
        <v>0</v>
      </c>
      <c r="AW243" s="80" t="str">
        <f>IF(AB243=1,INT(B243)*1440+Z243,"")</f>
        <v/>
      </c>
      <c r="AX243" s="80" t="str">
        <f>IF(AB243=1,AW243+AD243,"")</f>
        <v/>
      </c>
      <c r="AY243" s="80">
        <f>IF(AND(AB243=1,AV243=0,AU243=1),1,0)</f>
        <v>0</v>
      </c>
      <c r="AZ243" s="80">
        <f>IF(AY243=1,COUNTIFS(R_Emp,D243,R_SAbs,"&lt;"&amp;AX243,R_EAbs,"&gt;"&amp;AW243,R_OKey,1)-1,0)</f>
        <v>0</v>
      </c>
      <c r="BA243" s="80">
        <f>IF(AY243=1,COUNTIFS(R_Emp,"&lt;&gt;"&amp;D243,R_SAbs,"&lt;"&amp;AX243,R_EAbs,"&gt;"&amp;AW243,R_OKey,1),0)</f>
        <v>0</v>
      </c>
      <c r="BB243" s="80">
        <f>IF(AND(AB243=1,D243="proMX"),IF(AND(MOD(Z243,CFG_BLK)=0,MOD(AA243,CFG_BLK)=0,MOD(AG243,CFG_BLK)=0,AG243&gt;0),1,0),1)</f>
        <v>1</v>
      </c>
      <c r="BC243" s="80" t="str">
        <f>IF(Y243=0,"",IF(NOT(ISNUMBER(B243)),"Falta fecha o fecha inválida",IF(D243="","Falta empresa",IF(AND(D243&lt;&gt;"Malcolm",D243&lt;&gt;"proMX"),"Empresa inválida",IF(OR(INT(B243)&lt;CFG_PSTART,INT(B243)&gt;CFG_PEND),"Fecha fuera del período",IF(OR(NOT(ISNUMBER(Z243)),NOT(ISNUMBER(AA243))),"Falta hora inicio/fin o formato inválido",IF(AB243=0,"Hora inicio = hora fin",IF(AE243&lt;0,"Descanso inválido",IF(AE243&gt;=AD243,"Descanso ≥ duración",IF(AV243=1,"Registro duplicado",IF(AZ243&gt;0,"Se superpone con otro registro "&amp;D243,IF(BB243=0,"inicio, fin y duración neta deben ser múltiplos de "&amp;CFG_BLK&amp;" min",""))))))))))))</f>
        <v/>
      </c>
      <c r="BD243" s="80">
        <f>IF(AND(Y243=1,BC243=""),1,0)</f>
        <v>0</v>
      </c>
      <c r="BE243" s="80">
        <f>IF(AND(BD243=1,AU243=1),1,0)</f>
        <v>0</v>
      </c>
      <c r="BF243" s="80" t="str">
        <f>IF(AND(D243="proMX",BD243=1),IF(R243="","Draft",R243),"")</f>
        <v/>
      </c>
      <c r="BG243" s="80">
        <f>IF(BD243=1,ROUND(AG243/60,6),0)</f>
        <v>0</v>
      </c>
      <c r="BH243" s="80">
        <f>IF(BE243=1,ROUND(AG243/60,6),0)</f>
        <v>0</v>
      </c>
      <c r="BI243" s="80">
        <f>IF(BE243=1,ROUND(AP243/60,6),0)</f>
        <v>0</v>
      </c>
      <c r="BJ243" s="80">
        <f>IF(BE243=1,ROUND(AQ243/60,6),0)</f>
        <v>0</v>
      </c>
      <c r="BK243" s="80">
        <f>IF(BE243=1,ROUND((AR243+AS243)/60,6),0)</f>
        <v>0</v>
      </c>
      <c r="BL243" s="80">
        <f>ROUND(BH243-BK243,6)</f>
        <v>0</v>
      </c>
      <c r="BM243" s="80">
        <f>IF(BE243=1,ROUND(AR243/60,6),0)</f>
        <v>0</v>
      </c>
      <c r="BN243" s="80">
        <f>ROUND(BI243-BM243,6)</f>
        <v>0</v>
      </c>
      <c r="BO243" s="80">
        <f>IF(BE243=1,ROUND(AS243/60,6),0)</f>
        <v>0</v>
      </c>
      <c r="BP243" s="80">
        <f>ROUND(BJ243-BO243,6)</f>
        <v>0</v>
      </c>
      <c r="BQ243" s="80">
        <f>IF(BE243=1,AW243,0)</f>
        <v>0</v>
      </c>
      <c r="BR243" s="80">
        <f>IF(BE243=1,AX243,0)</f>
        <v>0</v>
      </c>
      <c r="BS243" s="80">
        <f>IF(AND(BE243=1,D243="Malcolm",BA243&gt;0),MIN(BH243,SUMPRODUCT((R_Emp="proMX")*(R_EN&gt;0)*((R_EN-(R_EN&gt;BR243)*(R_EN-BR243))&gt;(R_SN+(R_SN&lt;BQ243)*(BQ243-R_SN)))*((R_EN-(R_EN&gt;BR243)*(R_EN-BR243))-(R_SN+(R_SN&lt;BQ243)*(BQ243-R_SN))))/60),0)</f>
        <v>0</v>
      </c>
      <c r="BT243" s="80">
        <f>IF(AND(BE243=1,D243="proMX"),ROUND(BI243*CFG_RATE+BJ243*CFG_OTRATE,6),0)</f>
        <v>0</v>
      </c>
      <c r="BU243" s="80">
        <f>IF(AND(BD243=1,D243="proMX"),ROUND(AG243/CFG_BLK,6),0)</f>
        <v>0</v>
      </c>
      <c r="BV243" s="80" t="str">
        <f>IF(BF243="Approved",IF(ISNUMBER(T243),INT(T243),INT(B243)),"")</f>
        <v/>
      </c>
      <c r="BW243" s="80">
        <f>IF(ISNUMBER(B243),IF(DB_MON="Todos",1,IF(AND(INT(B243)&gt;=DB_MS,INT(B243)&lt;=DB_ME),1,0)),0)</f>
        <v>0</v>
      </c>
      <c r="BX243" s="80">
        <f>IF(DB_PROJ="Todos",1,IF(E243&amp;""=DB_PROJ&amp;"",1,0))</f>
        <v>1</v>
      </c>
      <c r="BY243" s="80">
        <f>BW243*BX243</f>
        <v>0</v>
      </c>
      <c r="BZ243" s="80" t="str">
        <f>IF(Y243=1,F243&amp;IF(AND(F243&amp;""&lt;&gt;"",E243&amp;""&lt;&gt;"")," · ","")&amp;E243,"")</f>
        <v/>
      </c>
      <c r="CA243" s="80" t="str">
        <f>IF(AND(BD243=1,E243&amp;""&lt;&gt;""),IF(COUNTIFS($E$5:E242,E243,$BD$5:BD242,1)=0,MAX($CA$5:CA242)+1,""),"")</f>
        <v/>
      </c>
      <c r="CB243" s="80" t="str">
        <f>IF(AND(BE243=1,D243="Malcolm",E243&amp;""&lt;&gt;""),IF(COUNTIFS($D$5:D242,"Malcolm",$E$5:E242,E243,$BE$5:BE242,1)=0,MAX($CB$5:CB242)+1,""),"")</f>
        <v/>
      </c>
      <c r="CC243" s="80" t="str">
        <f>IF(AND(BD243=1,D243="proMX",E243&amp;""&lt;&gt;""),IF(COUNTIFS($D$5:D242,"proMX",$E$5:E242,E243,$BD$5:BD242,1)=0,MAX($CC$5:CC242)+1,""),"")</f>
        <v/>
      </c>
      <c r="CD243" s="80" t="str">
        <f>IF(AND(BE243=1,D243="Malcolm",F243&amp;""&lt;&gt;""),IF(COUNTIFS($D$5:D242,"Malcolm",$F$5:F242,F243,$BE$5:BE242,1)=0,MAX($CD$5:CD242)+1,""),"")</f>
        <v/>
      </c>
      <c r="CE243" s="80" t="str">
        <f>IF(AND(BD243=1,D243="proMX",F243&amp;""&lt;&gt;""),IF(COUNTIFS($D$5:D242,"proMX",$F$5:F242,F243,$BD$5:BD242,1)=0,MAX($CE$5:CE242)+1,""),"")</f>
        <v/>
      </c>
      <c r="CF243" s="80" t="str">
        <f>IF(AND(D243="proMX",BD243=1),IF(OR(BF243="Draft",BF243="Submitted",BF243="Returned",BF243="Recall Requested"),MAX($CF$5:CF242)+1,""),"")</f>
        <v/>
      </c>
      <c r="CG243" s="80">
        <f>IF(BD243=0,0,IF(D243="Malcolm",1,MATCH(BF243,{"Draft","Submitted","Approved","Returned","Recall Requested","Cancelled"},0)+1))</f>
        <v>0</v>
      </c>
      <c r="CH243" s="80">
        <f>IF(AND(BF243="Submitted",ISNUMBER(V243)),IF(V243&gt;CFG_MAXD,1,0),0)</f>
        <v>0</v>
      </c>
    </row>
    <row r="244">
      <c r="A244" s="71" t="str">
        <f>IF(Y244=1,ROW()-5,"")</f>
        <v/>
      </c>
      <c r="B244" s="72" t="n"/>
      <c r="C244" s="71" t="str">
        <f>IF(ISNUMBER(B244),CHOOSE(WEEKDAY(B244,2),"Lun","Mar","Mié","Jue","Vie","Sáb","Dom"),"")</f>
        <v/>
      </c>
      <c r="D244" s="73" t="n"/>
      <c r="E244" s="74" t="n"/>
      <c r="F244" s="74" t="n"/>
      <c r="G244" s="74" t="n"/>
      <c r="H244" s="75" t="n"/>
      <c r="I244" s="75" t="n"/>
      <c r="J244" s="76" t="n"/>
      <c r="K244" s="77" t="str">
        <f>IF(AB244=1,ROUND(AG244/60,4),"")</f>
        <v/>
      </c>
      <c r="L244" s="77" t="str">
        <f>IF(BD244=1,ROUND(AP244/60,4),"")</f>
        <v/>
      </c>
      <c r="M244" s="77" t="str">
        <f>IF(BD244=1,ROUND(AQ244/60,4),"")</f>
        <v/>
      </c>
      <c r="N244" s="71" t="str">
        <f>IF(AND(D244="proMX",AB244=1),ROUND(AG244/CFG_BLK,2),"")</f>
        <v/>
      </c>
      <c r="O244" s="77" t="str">
        <f>IF(D244="proMX",IF(BD244=1,ROUND(AG244/60,4),0),"")</f>
        <v/>
      </c>
      <c r="P244" s="78" t="str">
        <f>IF(Y244=0,"",IF(BD244=1,"OK",IF(D244="proMX","Revisar bloques: ","Revisar: ")&amp;BC244))</f>
        <v/>
      </c>
      <c r="Q244" s="78" t="str">
        <f>IF(NOT(ISNUMBER(B244)),"",IF(COUNTIFS(FER_F,INT(B244))&gt;0,"Feriado"&amp;IF(AH244=1," (laborable)"," (no laborable)"),IF(AH244=1,"Laborable",IF(WEEKDAY(B244,2)&gt;5,"Fin de semana","No laborable"))))</f>
        <v/>
      </c>
      <c r="R244" s="73" t="n"/>
      <c r="S244" s="72" t="n"/>
      <c r="T244" s="72" t="n"/>
      <c r="U244" s="74" t="n"/>
      <c r="V244" s="79" t="str">
        <f>IF(AND(D244="proMX",OR(R244="Submitted",R244="Recall Requested"),ISNUMBER(S244)),CFG_TODAY-INT(S244),"")</f>
        <v/>
      </c>
      <c r="W244" s="78" t="str">
        <f>IF(BD244=0,"",IF(BA244&gt;0,"⚠ Se superpone con un registro de la otra empresa",IF(D244="Malcolm",IF(COUNTA(R244,S244,T244)&gt;0,"Estado/fechas proMX se ignoran en Malcolm",""),IF(BF244="Cancelled","Cancelado: excluido de totales",IF(R244="","Sin estado: se trata como Draft",IF(BF244="Submitted",IF(ISNUMBER(V244),IF(V244&gt;CFG_MAXD,"⚠ "&amp;V244&amp;" días en Submitted (máx. "&amp;CFG_MAXD&amp;")",""),"Falta fecha de envío"),IF(BF244="Returned","⚠ Devuelto: corregir y reenviar",IF(BF244="Recall Requested","Retirada solicitada: pendiente",IF(AND(BF244="Approved",NOT(ISNUMBER(T244))),"Falta fecha de aprobación",IF(AND(ISNUMBER(S244),ISNUMBER(T244),T244&lt;S244),"Aprobación anterior al envío","")))))))))</f>
        <v/>
      </c>
      <c r="Y244" s="80">
        <f>IF(COUNTA(B244,D244,E244,F244,G244,H244,I244,J244,R244,S244,T244)&gt;0,1,0)</f>
        <v>0</v>
      </c>
      <c r="Z244" s="80" t="str">
        <f>IF(AND(ISNUMBER(H244),H244&gt;=0,H244&lt;1),ROUND(H244*1440,0),"")</f>
        <v/>
      </c>
      <c r="AA244" s="80" t="str">
        <f>IF(AND(ISNUMBER(I244),I244&gt;=0,I244&lt;1),ROUND(I244*1440,0),"")</f>
        <v/>
      </c>
      <c r="AB244" s="80">
        <f>IF(AND(ISNUMBER(B244),D244&lt;&gt;"",ISNUMBER(Z244),ISNUMBER(AA244)),IF(Z244=AA244,0,1),0)</f>
        <v>0</v>
      </c>
      <c r="AC244" s="80">
        <f>IF(AB244=1,IF(AA244&lt;Z244,1,0),0)</f>
        <v>0</v>
      </c>
      <c r="AD244" s="80">
        <f>IF(AB244=1,IF(AC244=1,1440-Z244+AA244,AA244-Z244),0)</f>
        <v>0</v>
      </c>
      <c r="AE244" s="80">
        <f>IF(J244="",0,IF(ISNUMBER(J244),J244,-1))</f>
        <v>0</v>
      </c>
      <c r="AF244" s="80">
        <f>MIN(MAX(0,AE244),AD244)</f>
        <v>0</v>
      </c>
      <c r="AG244" s="80">
        <f>MAX(0,AD244-MAX(0,AE244))</f>
        <v>0</v>
      </c>
      <c r="AH244" s="80">
        <f>IF(ISNUMBER(B244),IF(AND(INDEX(CFG_WDAYS,WEEKDAY(INT(B244),2))="Sí",IF(D244="proMX",COUNTIFS(FER_F,INT(B244),FER_NLP,"Sí"),COUNTIFS(FER_F,INT(B244),FER_NLM,"Sí"))=0),1,0),0)</f>
        <v>0</v>
      </c>
      <c r="AI244" s="80">
        <f>IF(AC244=1,IF(AND(INDEX(CFG_WDAYS,WEEKDAY(INT(B244)+1,2))="Sí",IF(D244="proMX",COUNTIFS(FER_F,INT(B244)+1,FER_NLP,"Sí"),COUNTIFS(FER_F,INT(B244)+1,FER_NLM,"Sí"))=0),1,0),0)</f>
        <v>0</v>
      </c>
      <c r="AJ244" s="80">
        <f>IF(AC244=1,1440-Z244,AD244)</f>
        <v>0</v>
      </c>
      <c r="AK244" s="80">
        <f>IF(AND(AB244=1,AH244=1),MAX(0,MIN(IF(AC244=1,1440,AA244),CFG_WEM)-MAX(Z244,CFG_WSM)),0)</f>
        <v>0</v>
      </c>
      <c r="AL244" s="80">
        <f>IF(AND(AC244=1,AI244=1),MAX(0,MIN(AA244,CFG_WEM)-CFG_WSM),0)</f>
        <v>0</v>
      </c>
      <c r="AM244" s="80">
        <f>AK244+AL244</f>
        <v>0</v>
      </c>
      <c r="AN244" s="80">
        <f>IF(CFG_BRK="Proporcional",IF(AD244=0,0,AF244*AM244/AD244),IF(CFG_BRK="Extras primero",MIN(AM244,MAX(0,AF244-(AD244-AM244))),MIN(AF244,AM244)))</f>
        <v>0</v>
      </c>
      <c r="AO244" s="80">
        <f>AF244-AN244</f>
        <v>0</v>
      </c>
      <c r="AP244" s="80">
        <f>AM244-AN244</f>
        <v>0</v>
      </c>
      <c r="AQ244" s="80">
        <f>AD244-AM244-AO244</f>
        <v>0</v>
      </c>
      <c r="AR244" s="80">
        <f>IF(AM244=0,0,AK244-AN244*AK244/AM244)</f>
        <v>0</v>
      </c>
      <c r="AS244" s="80">
        <f>IF(AD244-AM244=0,0,(AJ244-AK244)-AO244*(AJ244-AK244)/(AD244-AM244))</f>
        <v>0</v>
      </c>
      <c r="AT244" s="80" t="str">
        <f>IF(AC244=1,INT(B244)+1,"")</f>
        <v/>
      </c>
      <c r="AU244" s="80">
        <f>IF(AND(D244="proMX",R244="Cancelled"),0,1)</f>
        <v>1</v>
      </c>
      <c r="AV244" s="80">
        <f>IF(AND(AB244=1,AU244=1),IF(COUNTIFS($D$5:D243,D244,$B$5:B243,B244,$Z$5:Z243,Z244,$AA$5:AA243,AA244,$F$5:F243,F244&amp;"",$AU$5:AU243,1)&gt;0,1,0),0)</f>
        <v>0</v>
      </c>
      <c r="AW244" s="80" t="str">
        <f>IF(AB244=1,INT(B244)*1440+Z244,"")</f>
        <v/>
      </c>
      <c r="AX244" s="80" t="str">
        <f>IF(AB244=1,AW244+AD244,"")</f>
        <v/>
      </c>
      <c r="AY244" s="80">
        <f>IF(AND(AB244=1,AV244=0,AU244=1),1,0)</f>
        <v>0</v>
      </c>
      <c r="AZ244" s="80">
        <f>IF(AY244=1,COUNTIFS(R_Emp,D244,R_SAbs,"&lt;"&amp;AX244,R_EAbs,"&gt;"&amp;AW244,R_OKey,1)-1,0)</f>
        <v>0</v>
      </c>
      <c r="BA244" s="80">
        <f>IF(AY244=1,COUNTIFS(R_Emp,"&lt;&gt;"&amp;D244,R_SAbs,"&lt;"&amp;AX244,R_EAbs,"&gt;"&amp;AW244,R_OKey,1),0)</f>
        <v>0</v>
      </c>
      <c r="BB244" s="80">
        <f>IF(AND(AB244=1,D244="proMX"),IF(AND(MOD(Z244,CFG_BLK)=0,MOD(AA244,CFG_BLK)=0,MOD(AG244,CFG_BLK)=0,AG244&gt;0),1,0),1)</f>
        <v>1</v>
      </c>
      <c r="BC244" s="80" t="str">
        <f>IF(Y244=0,"",IF(NOT(ISNUMBER(B244)),"Falta fecha o fecha inválida",IF(D244="","Falta empresa",IF(AND(D244&lt;&gt;"Malcolm",D244&lt;&gt;"proMX"),"Empresa inválida",IF(OR(INT(B244)&lt;CFG_PSTART,INT(B244)&gt;CFG_PEND),"Fecha fuera del período",IF(OR(NOT(ISNUMBER(Z244)),NOT(ISNUMBER(AA244))),"Falta hora inicio/fin o formato inválido",IF(AB244=0,"Hora inicio = hora fin",IF(AE244&lt;0,"Descanso inválido",IF(AE244&gt;=AD244,"Descanso ≥ duración",IF(AV244=1,"Registro duplicado",IF(AZ244&gt;0,"Se superpone con otro registro "&amp;D244,IF(BB244=0,"inicio, fin y duración neta deben ser múltiplos de "&amp;CFG_BLK&amp;" min",""))))))))))))</f>
        <v/>
      </c>
      <c r="BD244" s="80">
        <f>IF(AND(Y244=1,BC244=""),1,0)</f>
        <v>0</v>
      </c>
      <c r="BE244" s="80">
        <f>IF(AND(BD244=1,AU244=1),1,0)</f>
        <v>0</v>
      </c>
      <c r="BF244" s="80" t="str">
        <f>IF(AND(D244="proMX",BD244=1),IF(R244="","Draft",R244),"")</f>
        <v/>
      </c>
      <c r="BG244" s="80">
        <f>IF(BD244=1,ROUND(AG244/60,6),0)</f>
        <v>0</v>
      </c>
      <c r="BH244" s="80">
        <f>IF(BE244=1,ROUND(AG244/60,6),0)</f>
        <v>0</v>
      </c>
      <c r="BI244" s="80">
        <f>IF(BE244=1,ROUND(AP244/60,6),0)</f>
        <v>0</v>
      </c>
      <c r="BJ244" s="80">
        <f>IF(BE244=1,ROUND(AQ244/60,6),0)</f>
        <v>0</v>
      </c>
      <c r="BK244" s="80">
        <f>IF(BE244=1,ROUND((AR244+AS244)/60,6),0)</f>
        <v>0</v>
      </c>
      <c r="BL244" s="80">
        <f>ROUND(BH244-BK244,6)</f>
        <v>0</v>
      </c>
      <c r="BM244" s="80">
        <f>IF(BE244=1,ROUND(AR244/60,6),0)</f>
        <v>0</v>
      </c>
      <c r="BN244" s="80">
        <f>ROUND(BI244-BM244,6)</f>
        <v>0</v>
      </c>
      <c r="BO244" s="80">
        <f>IF(BE244=1,ROUND(AS244/60,6),0)</f>
        <v>0</v>
      </c>
      <c r="BP244" s="80">
        <f>ROUND(BJ244-BO244,6)</f>
        <v>0</v>
      </c>
      <c r="BQ244" s="80">
        <f>IF(BE244=1,AW244,0)</f>
        <v>0</v>
      </c>
      <c r="BR244" s="80">
        <f>IF(BE244=1,AX244,0)</f>
        <v>0</v>
      </c>
      <c r="BS244" s="80">
        <f>IF(AND(BE244=1,D244="Malcolm",BA244&gt;0),MIN(BH244,SUMPRODUCT((R_Emp="proMX")*(R_EN&gt;0)*((R_EN-(R_EN&gt;BR244)*(R_EN-BR244))&gt;(R_SN+(R_SN&lt;BQ244)*(BQ244-R_SN)))*((R_EN-(R_EN&gt;BR244)*(R_EN-BR244))-(R_SN+(R_SN&lt;BQ244)*(BQ244-R_SN))))/60),0)</f>
        <v>0</v>
      </c>
      <c r="BT244" s="80">
        <f>IF(AND(BE244=1,D244="proMX"),ROUND(BI244*CFG_RATE+BJ244*CFG_OTRATE,6),0)</f>
        <v>0</v>
      </c>
      <c r="BU244" s="80">
        <f>IF(AND(BD244=1,D244="proMX"),ROUND(AG244/CFG_BLK,6),0)</f>
        <v>0</v>
      </c>
      <c r="BV244" s="80" t="str">
        <f>IF(BF244="Approved",IF(ISNUMBER(T244),INT(T244),INT(B244)),"")</f>
        <v/>
      </c>
      <c r="BW244" s="80">
        <f>IF(ISNUMBER(B244),IF(DB_MON="Todos",1,IF(AND(INT(B244)&gt;=DB_MS,INT(B244)&lt;=DB_ME),1,0)),0)</f>
        <v>0</v>
      </c>
      <c r="BX244" s="80">
        <f>IF(DB_PROJ="Todos",1,IF(E244&amp;""=DB_PROJ&amp;"",1,0))</f>
        <v>1</v>
      </c>
      <c r="BY244" s="80">
        <f>BW244*BX244</f>
        <v>0</v>
      </c>
      <c r="BZ244" s="80" t="str">
        <f>IF(Y244=1,F244&amp;IF(AND(F244&amp;""&lt;&gt;"",E244&amp;""&lt;&gt;"")," · ","")&amp;E244,"")</f>
        <v/>
      </c>
      <c r="CA244" s="80" t="str">
        <f>IF(AND(BD244=1,E244&amp;""&lt;&gt;""),IF(COUNTIFS($E$5:E243,E244,$BD$5:BD243,1)=0,MAX($CA$5:CA243)+1,""),"")</f>
        <v/>
      </c>
      <c r="CB244" s="80" t="str">
        <f>IF(AND(BE244=1,D244="Malcolm",E244&amp;""&lt;&gt;""),IF(COUNTIFS($D$5:D243,"Malcolm",$E$5:E243,E244,$BE$5:BE243,1)=0,MAX($CB$5:CB243)+1,""),"")</f>
        <v/>
      </c>
      <c r="CC244" s="80" t="str">
        <f>IF(AND(BD244=1,D244="proMX",E244&amp;""&lt;&gt;""),IF(COUNTIFS($D$5:D243,"proMX",$E$5:E243,E244,$BD$5:BD243,1)=0,MAX($CC$5:CC243)+1,""),"")</f>
        <v/>
      </c>
      <c r="CD244" s="80" t="str">
        <f>IF(AND(BE244=1,D244="Malcolm",F244&amp;""&lt;&gt;""),IF(COUNTIFS($D$5:D243,"Malcolm",$F$5:F243,F244,$BE$5:BE243,1)=0,MAX($CD$5:CD243)+1,""),"")</f>
        <v/>
      </c>
      <c r="CE244" s="80" t="str">
        <f>IF(AND(BD244=1,D244="proMX",F244&amp;""&lt;&gt;""),IF(COUNTIFS($D$5:D243,"proMX",$F$5:F243,F244,$BD$5:BD243,1)=0,MAX($CE$5:CE243)+1,""),"")</f>
        <v/>
      </c>
      <c r="CF244" s="80" t="str">
        <f>IF(AND(D244="proMX",BD244=1),IF(OR(BF244="Draft",BF244="Submitted",BF244="Returned",BF244="Recall Requested"),MAX($CF$5:CF243)+1,""),"")</f>
        <v/>
      </c>
      <c r="CG244" s="80">
        <f>IF(BD244=0,0,IF(D244="Malcolm",1,MATCH(BF244,{"Draft","Submitted","Approved","Returned","Recall Requested","Cancelled"},0)+1))</f>
        <v>0</v>
      </c>
      <c r="CH244" s="80">
        <f>IF(AND(BF244="Submitted",ISNUMBER(V244)),IF(V244&gt;CFG_MAXD,1,0),0)</f>
        <v>0</v>
      </c>
    </row>
    <row r="245">
      <c r="A245" s="71" t="str">
        <f>IF(Y245=1,ROW()-5,"")</f>
        <v/>
      </c>
      <c r="B245" s="72" t="n"/>
      <c r="C245" s="71" t="str">
        <f>IF(ISNUMBER(B245),CHOOSE(WEEKDAY(B245,2),"Lun","Mar","Mié","Jue","Vie","Sáb","Dom"),"")</f>
        <v/>
      </c>
      <c r="D245" s="73" t="n"/>
      <c r="E245" s="74" t="n"/>
      <c r="F245" s="74" t="n"/>
      <c r="G245" s="74" t="n"/>
      <c r="H245" s="75" t="n"/>
      <c r="I245" s="75" t="n"/>
      <c r="J245" s="76" t="n"/>
      <c r="K245" s="77" t="str">
        <f>IF(AB245=1,ROUND(AG245/60,4),"")</f>
        <v/>
      </c>
      <c r="L245" s="77" t="str">
        <f>IF(BD245=1,ROUND(AP245/60,4),"")</f>
        <v/>
      </c>
      <c r="M245" s="77" t="str">
        <f>IF(BD245=1,ROUND(AQ245/60,4),"")</f>
        <v/>
      </c>
      <c r="N245" s="71" t="str">
        <f>IF(AND(D245="proMX",AB245=1),ROUND(AG245/CFG_BLK,2),"")</f>
        <v/>
      </c>
      <c r="O245" s="77" t="str">
        <f>IF(D245="proMX",IF(BD245=1,ROUND(AG245/60,4),0),"")</f>
        <v/>
      </c>
      <c r="P245" s="78" t="str">
        <f>IF(Y245=0,"",IF(BD245=1,"OK",IF(D245="proMX","Revisar bloques: ","Revisar: ")&amp;BC245))</f>
        <v/>
      </c>
      <c r="Q245" s="78" t="str">
        <f>IF(NOT(ISNUMBER(B245)),"",IF(COUNTIFS(FER_F,INT(B245))&gt;0,"Feriado"&amp;IF(AH245=1," (laborable)"," (no laborable)"),IF(AH245=1,"Laborable",IF(WEEKDAY(B245,2)&gt;5,"Fin de semana","No laborable"))))</f>
        <v/>
      </c>
      <c r="R245" s="73" t="n"/>
      <c r="S245" s="72" t="n"/>
      <c r="T245" s="72" t="n"/>
      <c r="U245" s="74" t="n"/>
      <c r="V245" s="79" t="str">
        <f>IF(AND(D245="proMX",OR(R245="Submitted",R245="Recall Requested"),ISNUMBER(S245)),CFG_TODAY-INT(S245),"")</f>
        <v/>
      </c>
      <c r="W245" s="78" t="str">
        <f>IF(BD245=0,"",IF(BA245&gt;0,"⚠ Se superpone con un registro de la otra empresa",IF(D245="Malcolm",IF(COUNTA(R245,S245,T245)&gt;0,"Estado/fechas proMX se ignoran en Malcolm",""),IF(BF245="Cancelled","Cancelado: excluido de totales",IF(R245="","Sin estado: se trata como Draft",IF(BF245="Submitted",IF(ISNUMBER(V245),IF(V245&gt;CFG_MAXD,"⚠ "&amp;V245&amp;" días en Submitted (máx. "&amp;CFG_MAXD&amp;")",""),"Falta fecha de envío"),IF(BF245="Returned","⚠ Devuelto: corregir y reenviar",IF(BF245="Recall Requested","Retirada solicitada: pendiente",IF(AND(BF245="Approved",NOT(ISNUMBER(T245))),"Falta fecha de aprobación",IF(AND(ISNUMBER(S245),ISNUMBER(T245),T245&lt;S245),"Aprobación anterior al envío","")))))))))</f>
        <v/>
      </c>
      <c r="Y245" s="80">
        <f>IF(COUNTA(B245,D245,E245,F245,G245,H245,I245,J245,R245,S245,T245)&gt;0,1,0)</f>
        <v>0</v>
      </c>
      <c r="Z245" s="80" t="str">
        <f>IF(AND(ISNUMBER(H245),H245&gt;=0,H245&lt;1),ROUND(H245*1440,0),"")</f>
        <v/>
      </c>
      <c r="AA245" s="80" t="str">
        <f>IF(AND(ISNUMBER(I245),I245&gt;=0,I245&lt;1),ROUND(I245*1440,0),"")</f>
        <v/>
      </c>
      <c r="AB245" s="80">
        <f>IF(AND(ISNUMBER(B245),D245&lt;&gt;"",ISNUMBER(Z245),ISNUMBER(AA245)),IF(Z245=AA245,0,1),0)</f>
        <v>0</v>
      </c>
      <c r="AC245" s="80">
        <f>IF(AB245=1,IF(AA245&lt;Z245,1,0),0)</f>
        <v>0</v>
      </c>
      <c r="AD245" s="80">
        <f>IF(AB245=1,IF(AC245=1,1440-Z245+AA245,AA245-Z245),0)</f>
        <v>0</v>
      </c>
      <c r="AE245" s="80">
        <f>IF(J245="",0,IF(ISNUMBER(J245),J245,-1))</f>
        <v>0</v>
      </c>
      <c r="AF245" s="80">
        <f>MIN(MAX(0,AE245),AD245)</f>
        <v>0</v>
      </c>
      <c r="AG245" s="80">
        <f>MAX(0,AD245-MAX(0,AE245))</f>
        <v>0</v>
      </c>
      <c r="AH245" s="80">
        <f>IF(ISNUMBER(B245),IF(AND(INDEX(CFG_WDAYS,WEEKDAY(INT(B245),2))="Sí",IF(D245="proMX",COUNTIFS(FER_F,INT(B245),FER_NLP,"Sí"),COUNTIFS(FER_F,INT(B245),FER_NLM,"Sí"))=0),1,0),0)</f>
        <v>0</v>
      </c>
      <c r="AI245" s="80">
        <f>IF(AC245=1,IF(AND(INDEX(CFG_WDAYS,WEEKDAY(INT(B245)+1,2))="Sí",IF(D245="proMX",COUNTIFS(FER_F,INT(B245)+1,FER_NLP,"Sí"),COUNTIFS(FER_F,INT(B245)+1,FER_NLM,"Sí"))=0),1,0),0)</f>
        <v>0</v>
      </c>
      <c r="AJ245" s="80">
        <f>IF(AC245=1,1440-Z245,AD245)</f>
        <v>0</v>
      </c>
      <c r="AK245" s="80">
        <f>IF(AND(AB245=1,AH245=1),MAX(0,MIN(IF(AC245=1,1440,AA245),CFG_WEM)-MAX(Z245,CFG_WSM)),0)</f>
        <v>0</v>
      </c>
      <c r="AL245" s="80">
        <f>IF(AND(AC245=1,AI245=1),MAX(0,MIN(AA245,CFG_WEM)-CFG_WSM),0)</f>
        <v>0</v>
      </c>
      <c r="AM245" s="80">
        <f>AK245+AL245</f>
        <v>0</v>
      </c>
      <c r="AN245" s="80">
        <f>IF(CFG_BRK="Proporcional",IF(AD245=0,0,AF245*AM245/AD245),IF(CFG_BRK="Extras primero",MIN(AM245,MAX(0,AF245-(AD245-AM245))),MIN(AF245,AM245)))</f>
        <v>0</v>
      </c>
      <c r="AO245" s="80">
        <f>AF245-AN245</f>
        <v>0</v>
      </c>
      <c r="AP245" s="80">
        <f>AM245-AN245</f>
        <v>0</v>
      </c>
      <c r="AQ245" s="80">
        <f>AD245-AM245-AO245</f>
        <v>0</v>
      </c>
      <c r="AR245" s="80">
        <f>IF(AM245=0,0,AK245-AN245*AK245/AM245)</f>
        <v>0</v>
      </c>
      <c r="AS245" s="80">
        <f>IF(AD245-AM245=0,0,(AJ245-AK245)-AO245*(AJ245-AK245)/(AD245-AM245))</f>
        <v>0</v>
      </c>
      <c r="AT245" s="80" t="str">
        <f>IF(AC245=1,INT(B245)+1,"")</f>
        <v/>
      </c>
      <c r="AU245" s="80">
        <f>IF(AND(D245="proMX",R245="Cancelled"),0,1)</f>
        <v>1</v>
      </c>
      <c r="AV245" s="80">
        <f>IF(AND(AB245=1,AU245=1),IF(COUNTIFS($D$5:D244,D245,$B$5:B244,B245,$Z$5:Z244,Z245,$AA$5:AA244,AA245,$F$5:F244,F245&amp;"",$AU$5:AU244,1)&gt;0,1,0),0)</f>
        <v>0</v>
      </c>
      <c r="AW245" s="80" t="str">
        <f>IF(AB245=1,INT(B245)*1440+Z245,"")</f>
        <v/>
      </c>
      <c r="AX245" s="80" t="str">
        <f>IF(AB245=1,AW245+AD245,"")</f>
        <v/>
      </c>
      <c r="AY245" s="80">
        <f>IF(AND(AB245=1,AV245=0,AU245=1),1,0)</f>
        <v>0</v>
      </c>
      <c r="AZ245" s="80">
        <f>IF(AY245=1,COUNTIFS(R_Emp,D245,R_SAbs,"&lt;"&amp;AX245,R_EAbs,"&gt;"&amp;AW245,R_OKey,1)-1,0)</f>
        <v>0</v>
      </c>
      <c r="BA245" s="80">
        <f>IF(AY245=1,COUNTIFS(R_Emp,"&lt;&gt;"&amp;D245,R_SAbs,"&lt;"&amp;AX245,R_EAbs,"&gt;"&amp;AW245,R_OKey,1),0)</f>
        <v>0</v>
      </c>
      <c r="BB245" s="80">
        <f>IF(AND(AB245=1,D245="proMX"),IF(AND(MOD(Z245,CFG_BLK)=0,MOD(AA245,CFG_BLK)=0,MOD(AG245,CFG_BLK)=0,AG245&gt;0),1,0),1)</f>
        <v>1</v>
      </c>
      <c r="BC245" s="80" t="str">
        <f>IF(Y245=0,"",IF(NOT(ISNUMBER(B245)),"Falta fecha o fecha inválida",IF(D245="","Falta empresa",IF(AND(D245&lt;&gt;"Malcolm",D245&lt;&gt;"proMX"),"Empresa inválida",IF(OR(INT(B245)&lt;CFG_PSTART,INT(B245)&gt;CFG_PEND),"Fecha fuera del período",IF(OR(NOT(ISNUMBER(Z245)),NOT(ISNUMBER(AA245))),"Falta hora inicio/fin o formato inválido",IF(AB245=0,"Hora inicio = hora fin",IF(AE245&lt;0,"Descanso inválido",IF(AE245&gt;=AD245,"Descanso ≥ duración",IF(AV245=1,"Registro duplicado",IF(AZ245&gt;0,"Se superpone con otro registro "&amp;D245,IF(BB245=0,"inicio, fin y duración neta deben ser múltiplos de "&amp;CFG_BLK&amp;" min",""))))))))))))</f>
        <v/>
      </c>
      <c r="BD245" s="80">
        <f>IF(AND(Y245=1,BC245=""),1,0)</f>
        <v>0</v>
      </c>
      <c r="BE245" s="80">
        <f>IF(AND(BD245=1,AU245=1),1,0)</f>
        <v>0</v>
      </c>
      <c r="BF245" s="80" t="str">
        <f>IF(AND(D245="proMX",BD245=1),IF(R245="","Draft",R245),"")</f>
        <v/>
      </c>
      <c r="BG245" s="80">
        <f>IF(BD245=1,ROUND(AG245/60,6),0)</f>
        <v>0</v>
      </c>
      <c r="BH245" s="80">
        <f>IF(BE245=1,ROUND(AG245/60,6),0)</f>
        <v>0</v>
      </c>
      <c r="BI245" s="80">
        <f>IF(BE245=1,ROUND(AP245/60,6),0)</f>
        <v>0</v>
      </c>
      <c r="BJ245" s="80">
        <f>IF(BE245=1,ROUND(AQ245/60,6),0)</f>
        <v>0</v>
      </c>
      <c r="BK245" s="80">
        <f>IF(BE245=1,ROUND((AR245+AS245)/60,6),0)</f>
        <v>0</v>
      </c>
      <c r="BL245" s="80">
        <f>ROUND(BH245-BK245,6)</f>
        <v>0</v>
      </c>
      <c r="BM245" s="80">
        <f>IF(BE245=1,ROUND(AR245/60,6),0)</f>
        <v>0</v>
      </c>
      <c r="BN245" s="80">
        <f>ROUND(BI245-BM245,6)</f>
        <v>0</v>
      </c>
      <c r="BO245" s="80">
        <f>IF(BE245=1,ROUND(AS245/60,6),0)</f>
        <v>0</v>
      </c>
      <c r="BP245" s="80">
        <f>ROUND(BJ245-BO245,6)</f>
        <v>0</v>
      </c>
      <c r="BQ245" s="80">
        <f>IF(BE245=1,AW245,0)</f>
        <v>0</v>
      </c>
      <c r="BR245" s="80">
        <f>IF(BE245=1,AX245,0)</f>
        <v>0</v>
      </c>
      <c r="BS245" s="80">
        <f>IF(AND(BE245=1,D245="Malcolm",BA245&gt;0),MIN(BH245,SUMPRODUCT((R_Emp="proMX")*(R_EN&gt;0)*((R_EN-(R_EN&gt;BR245)*(R_EN-BR245))&gt;(R_SN+(R_SN&lt;BQ245)*(BQ245-R_SN)))*((R_EN-(R_EN&gt;BR245)*(R_EN-BR245))-(R_SN+(R_SN&lt;BQ245)*(BQ245-R_SN))))/60),0)</f>
        <v>0</v>
      </c>
      <c r="BT245" s="80">
        <f>IF(AND(BE245=1,D245="proMX"),ROUND(BI245*CFG_RATE+BJ245*CFG_OTRATE,6),0)</f>
        <v>0</v>
      </c>
      <c r="BU245" s="80">
        <f>IF(AND(BD245=1,D245="proMX"),ROUND(AG245/CFG_BLK,6),0)</f>
        <v>0</v>
      </c>
      <c r="BV245" s="80" t="str">
        <f>IF(BF245="Approved",IF(ISNUMBER(T245),INT(T245),INT(B245)),"")</f>
        <v/>
      </c>
      <c r="BW245" s="80">
        <f>IF(ISNUMBER(B245),IF(DB_MON="Todos",1,IF(AND(INT(B245)&gt;=DB_MS,INT(B245)&lt;=DB_ME),1,0)),0)</f>
        <v>0</v>
      </c>
      <c r="BX245" s="80">
        <f>IF(DB_PROJ="Todos",1,IF(E245&amp;""=DB_PROJ&amp;"",1,0))</f>
        <v>1</v>
      </c>
      <c r="BY245" s="80">
        <f>BW245*BX245</f>
        <v>0</v>
      </c>
      <c r="BZ245" s="80" t="str">
        <f>IF(Y245=1,F245&amp;IF(AND(F245&amp;""&lt;&gt;"",E245&amp;""&lt;&gt;"")," · ","")&amp;E245,"")</f>
        <v/>
      </c>
      <c r="CA245" s="80" t="str">
        <f>IF(AND(BD245=1,E245&amp;""&lt;&gt;""),IF(COUNTIFS($E$5:E244,E245,$BD$5:BD244,1)=0,MAX($CA$5:CA244)+1,""),"")</f>
        <v/>
      </c>
      <c r="CB245" s="80" t="str">
        <f>IF(AND(BE245=1,D245="Malcolm",E245&amp;""&lt;&gt;""),IF(COUNTIFS($D$5:D244,"Malcolm",$E$5:E244,E245,$BE$5:BE244,1)=0,MAX($CB$5:CB244)+1,""),"")</f>
        <v/>
      </c>
      <c r="CC245" s="80" t="str">
        <f>IF(AND(BD245=1,D245="proMX",E245&amp;""&lt;&gt;""),IF(COUNTIFS($D$5:D244,"proMX",$E$5:E244,E245,$BD$5:BD244,1)=0,MAX($CC$5:CC244)+1,""),"")</f>
        <v/>
      </c>
      <c r="CD245" s="80" t="str">
        <f>IF(AND(BE245=1,D245="Malcolm",F245&amp;""&lt;&gt;""),IF(COUNTIFS($D$5:D244,"Malcolm",$F$5:F244,F245,$BE$5:BE244,1)=0,MAX($CD$5:CD244)+1,""),"")</f>
        <v/>
      </c>
      <c r="CE245" s="80" t="str">
        <f>IF(AND(BD245=1,D245="proMX",F245&amp;""&lt;&gt;""),IF(COUNTIFS($D$5:D244,"proMX",$F$5:F244,F245,$BD$5:BD244,1)=0,MAX($CE$5:CE244)+1,""),"")</f>
        <v/>
      </c>
      <c r="CF245" s="80" t="str">
        <f>IF(AND(D245="proMX",BD245=1),IF(OR(BF245="Draft",BF245="Submitted",BF245="Returned",BF245="Recall Requested"),MAX($CF$5:CF244)+1,""),"")</f>
        <v/>
      </c>
      <c r="CG245" s="80">
        <f>IF(BD245=0,0,IF(D245="Malcolm",1,MATCH(BF245,{"Draft","Submitted","Approved","Returned","Recall Requested","Cancelled"},0)+1))</f>
        <v>0</v>
      </c>
      <c r="CH245" s="80">
        <f>IF(AND(BF245="Submitted",ISNUMBER(V245)),IF(V245&gt;CFG_MAXD,1,0),0)</f>
        <v>0</v>
      </c>
    </row>
    <row r="246">
      <c r="A246" s="71" t="str">
        <f>IF(Y246=1,ROW()-5,"")</f>
        <v/>
      </c>
      <c r="B246" s="72" t="n"/>
      <c r="C246" s="71" t="str">
        <f>IF(ISNUMBER(B246),CHOOSE(WEEKDAY(B246,2),"Lun","Mar","Mié","Jue","Vie","Sáb","Dom"),"")</f>
        <v/>
      </c>
      <c r="D246" s="73" t="n"/>
      <c r="E246" s="74" t="n"/>
      <c r="F246" s="74" t="n"/>
      <c r="G246" s="74" t="n"/>
      <c r="H246" s="75" t="n"/>
      <c r="I246" s="75" t="n"/>
      <c r="J246" s="76" t="n"/>
      <c r="K246" s="77" t="str">
        <f>IF(AB246=1,ROUND(AG246/60,4),"")</f>
        <v/>
      </c>
      <c r="L246" s="77" t="str">
        <f>IF(BD246=1,ROUND(AP246/60,4),"")</f>
        <v/>
      </c>
      <c r="M246" s="77" t="str">
        <f>IF(BD246=1,ROUND(AQ246/60,4),"")</f>
        <v/>
      </c>
      <c r="N246" s="71" t="str">
        <f>IF(AND(D246="proMX",AB246=1),ROUND(AG246/CFG_BLK,2),"")</f>
        <v/>
      </c>
      <c r="O246" s="77" t="str">
        <f>IF(D246="proMX",IF(BD246=1,ROUND(AG246/60,4),0),"")</f>
        <v/>
      </c>
      <c r="P246" s="78" t="str">
        <f>IF(Y246=0,"",IF(BD246=1,"OK",IF(D246="proMX","Revisar bloques: ","Revisar: ")&amp;BC246))</f>
        <v/>
      </c>
      <c r="Q246" s="78" t="str">
        <f>IF(NOT(ISNUMBER(B246)),"",IF(COUNTIFS(FER_F,INT(B246))&gt;0,"Feriado"&amp;IF(AH246=1," (laborable)"," (no laborable)"),IF(AH246=1,"Laborable",IF(WEEKDAY(B246,2)&gt;5,"Fin de semana","No laborable"))))</f>
        <v/>
      </c>
      <c r="R246" s="73" t="n"/>
      <c r="S246" s="72" t="n"/>
      <c r="T246" s="72" t="n"/>
      <c r="U246" s="74" t="n"/>
      <c r="V246" s="79" t="str">
        <f>IF(AND(D246="proMX",OR(R246="Submitted",R246="Recall Requested"),ISNUMBER(S246)),CFG_TODAY-INT(S246),"")</f>
        <v/>
      </c>
      <c r="W246" s="78" t="str">
        <f>IF(BD246=0,"",IF(BA246&gt;0,"⚠ Se superpone con un registro de la otra empresa",IF(D246="Malcolm",IF(COUNTA(R246,S246,T246)&gt;0,"Estado/fechas proMX se ignoran en Malcolm",""),IF(BF246="Cancelled","Cancelado: excluido de totales",IF(R246="","Sin estado: se trata como Draft",IF(BF246="Submitted",IF(ISNUMBER(V246),IF(V246&gt;CFG_MAXD,"⚠ "&amp;V246&amp;" días en Submitted (máx. "&amp;CFG_MAXD&amp;")",""),"Falta fecha de envío"),IF(BF246="Returned","⚠ Devuelto: corregir y reenviar",IF(BF246="Recall Requested","Retirada solicitada: pendiente",IF(AND(BF246="Approved",NOT(ISNUMBER(T246))),"Falta fecha de aprobación",IF(AND(ISNUMBER(S246),ISNUMBER(T246),T246&lt;S246),"Aprobación anterior al envío","")))))))))</f>
        <v/>
      </c>
      <c r="Y246" s="80">
        <f>IF(COUNTA(B246,D246,E246,F246,G246,H246,I246,J246,R246,S246,T246)&gt;0,1,0)</f>
        <v>0</v>
      </c>
      <c r="Z246" s="80" t="str">
        <f>IF(AND(ISNUMBER(H246),H246&gt;=0,H246&lt;1),ROUND(H246*1440,0),"")</f>
        <v/>
      </c>
      <c r="AA246" s="80" t="str">
        <f>IF(AND(ISNUMBER(I246),I246&gt;=0,I246&lt;1),ROUND(I246*1440,0),"")</f>
        <v/>
      </c>
      <c r="AB246" s="80">
        <f>IF(AND(ISNUMBER(B246),D246&lt;&gt;"",ISNUMBER(Z246),ISNUMBER(AA246)),IF(Z246=AA246,0,1),0)</f>
        <v>0</v>
      </c>
      <c r="AC246" s="80">
        <f>IF(AB246=1,IF(AA246&lt;Z246,1,0),0)</f>
        <v>0</v>
      </c>
      <c r="AD246" s="80">
        <f>IF(AB246=1,IF(AC246=1,1440-Z246+AA246,AA246-Z246),0)</f>
        <v>0</v>
      </c>
      <c r="AE246" s="80">
        <f>IF(J246="",0,IF(ISNUMBER(J246),J246,-1))</f>
        <v>0</v>
      </c>
      <c r="AF246" s="80">
        <f>MIN(MAX(0,AE246),AD246)</f>
        <v>0</v>
      </c>
      <c r="AG246" s="80">
        <f>MAX(0,AD246-MAX(0,AE246))</f>
        <v>0</v>
      </c>
      <c r="AH246" s="80">
        <f>IF(ISNUMBER(B246),IF(AND(INDEX(CFG_WDAYS,WEEKDAY(INT(B246),2))="Sí",IF(D246="proMX",COUNTIFS(FER_F,INT(B246),FER_NLP,"Sí"),COUNTIFS(FER_F,INT(B246),FER_NLM,"Sí"))=0),1,0),0)</f>
        <v>0</v>
      </c>
      <c r="AI246" s="80">
        <f>IF(AC246=1,IF(AND(INDEX(CFG_WDAYS,WEEKDAY(INT(B246)+1,2))="Sí",IF(D246="proMX",COUNTIFS(FER_F,INT(B246)+1,FER_NLP,"Sí"),COUNTIFS(FER_F,INT(B246)+1,FER_NLM,"Sí"))=0),1,0),0)</f>
        <v>0</v>
      </c>
      <c r="AJ246" s="80">
        <f>IF(AC246=1,1440-Z246,AD246)</f>
        <v>0</v>
      </c>
      <c r="AK246" s="80">
        <f>IF(AND(AB246=1,AH246=1),MAX(0,MIN(IF(AC246=1,1440,AA246),CFG_WEM)-MAX(Z246,CFG_WSM)),0)</f>
        <v>0</v>
      </c>
      <c r="AL246" s="80">
        <f>IF(AND(AC246=1,AI246=1),MAX(0,MIN(AA246,CFG_WEM)-CFG_WSM),0)</f>
        <v>0</v>
      </c>
      <c r="AM246" s="80">
        <f>AK246+AL246</f>
        <v>0</v>
      </c>
      <c r="AN246" s="80">
        <f>IF(CFG_BRK="Proporcional",IF(AD246=0,0,AF246*AM246/AD246),IF(CFG_BRK="Extras primero",MIN(AM246,MAX(0,AF246-(AD246-AM246))),MIN(AF246,AM246)))</f>
        <v>0</v>
      </c>
      <c r="AO246" s="80">
        <f>AF246-AN246</f>
        <v>0</v>
      </c>
      <c r="AP246" s="80">
        <f>AM246-AN246</f>
        <v>0</v>
      </c>
      <c r="AQ246" s="80">
        <f>AD246-AM246-AO246</f>
        <v>0</v>
      </c>
      <c r="AR246" s="80">
        <f>IF(AM246=0,0,AK246-AN246*AK246/AM246)</f>
        <v>0</v>
      </c>
      <c r="AS246" s="80">
        <f>IF(AD246-AM246=0,0,(AJ246-AK246)-AO246*(AJ246-AK246)/(AD246-AM246))</f>
        <v>0</v>
      </c>
      <c r="AT246" s="80" t="str">
        <f>IF(AC246=1,INT(B246)+1,"")</f>
        <v/>
      </c>
      <c r="AU246" s="80">
        <f>IF(AND(D246="proMX",R246="Cancelled"),0,1)</f>
        <v>1</v>
      </c>
      <c r="AV246" s="80">
        <f>IF(AND(AB246=1,AU246=1),IF(COUNTIFS($D$5:D245,D246,$B$5:B245,B246,$Z$5:Z245,Z246,$AA$5:AA245,AA246,$F$5:F245,F246&amp;"",$AU$5:AU245,1)&gt;0,1,0),0)</f>
        <v>0</v>
      </c>
      <c r="AW246" s="80" t="str">
        <f>IF(AB246=1,INT(B246)*1440+Z246,"")</f>
        <v/>
      </c>
      <c r="AX246" s="80" t="str">
        <f>IF(AB246=1,AW246+AD246,"")</f>
        <v/>
      </c>
      <c r="AY246" s="80">
        <f>IF(AND(AB246=1,AV246=0,AU246=1),1,0)</f>
        <v>0</v>
      </c>
      <c r="AZ246" s="80">
        <f>IF(AY246=1,COUNTIFS(R_Emp,D246,R_SAbs,"&lt;"&amp;AX246,R_EAbs,"&gt;"&amp;AW246,R_OKey,1)-1,0)</f>
        <v>0</v>
      </c>
      <c r="BA246" s="80">
        <f>IF(AY246=1,COUNTIFS(R_Emp,"&lt;&gt;"&amp;D246,R_SAbs,"&lt;"&amp;AX246,R_EAbs,"&gt;"&amp;AW246,R_OKey,1),0)</f>
        <v>0</v>
      </c>
      <c r="BB246" s="80">
        <f>IF(AND(AB246=1,D246="proMX"),IF(AND(MOD(Z246,CFG_BLK)=0,MOD(AA246,CFG_BLK)=0,MOD(AG246,CFG_BLK)=0,AG246&gt;0),1,0),1)</f>
        <v>1</v>
      </c>
      <c r="BC246" s="80" t="str">
        <f>IF(Y246=0,"",IF(NOT(ISNUMBER(B246)),"Falta fecha o fecha inválida",IF(D246="","Falta empresa",IF(AND(D246&lt;&gt;"Malcolm",D246&lt;&gt;"proMX"),"Empresa inválida",IF(OR(INT(B246)&lt;CFG_PSTART,INT(B246)&gt;CFG_PEND),"Fecha fuera del período",IF(OR(NOT(ISNUMBER(Z246)),NOT(ISNUMBER(AA246))),"Falta hora inicio/fin o formato inválido",IF(AB246=0,"Hora inicio = hora fin",IF(AE246&lt;0,"Descanso inválido",IF(AE246&gt;=AD246,"Descanso ≥ duración",IF(AV246=1,"Registro duplicado",IF(AZ246&gt;0,"Se superpone con otro registro "&amp;D246,IF(BB246=0,"inicio, fin y duración neta deben ser múltiplos de "&amp;CFG_BLK&amp;" min",""))))))))))))</f>
        <v/>
      </c>
      <c r="BD246" s="80">
        <f>IF(AND(Y246=1,BC246=""),1,0)</f>
        <v>0</v>
      </c>
      <c r="BE246" s="80">
        <f>IF(AND(BD246=1,AU246=1),1,0)</f>
        <v>0</v>
      </c>
      <c r="BF246" s="80" t="str">
        <f>IF(AND(D246="proMX",BD246=1),IF(R246="","Draft",R246),"")</f>
        <v/>
      </c>
      <c r="BG246" s="80">
        <f>IF(BD246=1,ROUND(AG246/60,6),0)</f>
        <v>0</v>
      </c>
      <c r="BH246" s="80">
        <f>IF(BE246=1,ROUND(AG246/60,6),0)</f>
        <v>0</v>
      </c>
      <c r="BI246" s="80">
        <f>IF(BE246=1,ROUND(AP246/60,6),0)</f>
        <v>0</v>
      </c>
      <c r="BJ246" s="80">
        <f>IF(BE246=1,ROUND(AQ246/60,6),0)</f>
        <v>0</v>
      </c>
      <c r="BK246" s="80">
        <f>IF(BE246=1,ROUND((AR246+AS246)/60,6),0)</f>
        <v>0</v>
      </c>
      <c r="BL246" s="80">
        <f>ROUND(BH246-BK246,6)</f>
        <v>0</v>
      </c>
      <c r="BM246" s="80">
        <f>IF(BE246=1,ROUND(AR246/60,6),0)</f>
        <v>0</v>
      </c>
      <c r="BN246" s="80">
        <f>ROUND(BI246-BM246,6)</f>
        <v>0</v>
      </c>
      <c r="BO246" s="80">
        <f>IF(BE246=1,ROUND(AS246/60,6),0)</f>
        <v>0</v>
      </c>
      <c r="BP246" s="80">
        <f>ROUND(BJ246-BO246,6)</f>
        <v>0</v>
      </c>
      <c r="BQ246" s="80">
        <f>IF(BE246=1,AW246,0)</f>
        <v>0</v>
      </c>
      <c r="BR246" s="80">
        <f>IF(BE246=1,AX246,0)</f>
        <v>0</v>
      </c>
      <c r="BS246" s="80">
        <f>IF(AND(BE246=1,D246="Malcolm",BA246&gt;0),MIN(BH246,SUMPRODUCT((R_Emp="proMX")*(R_EN&gt;0)*((R_EN-(R_EN&gt;BR246)*(R_EN-BR246))&gt;(R_SN+(R_SN&lt;BQ246)*(BQ246-R_SN)))*((R_EN-(R_EN&gt;BR246)*(R_EN-BR246))-(R_SN+(R_SN&lt;BQ246)*(BQ246-R_SN))))/60),0)</f>
        <v>0</v>
      </c>
      <c r="BT246" s="80">
        <f>IF(AND(BE246=1,D246="proMX"),ROUND(BI246*CFG_RATE+BJ246*CFG_OTRATE,6),0)</f>
        <v>0</v>
      </c>
      <c r="BU246" s="80">
        <f>IF(AND(BD246=1,D246="proMX"),ROUND(AG246/CFG_BLK,6),0)</f>
        <v>0</v>
      </c>
      <c r="BV246" s="80" t="str">
        <f>IF(BF246="Approved",IF(ISNUMBER(T246),INT(T246),INT(B246)),"")</f>
        <v/>
      </c>
      <c r="BW246" s="80">
        <f>IF(ISNUMBER(B246),IF(DB_MON="Todos",1,IF(AND(INT(B246)&gt;=DB_MS,INT(B246)&lt;=DB_ME),1,0)),0)</f>
        <v>0</v>
      </c>
      <c r="BX246" s="80">
        <f>IF(DB_PROJ="Todos",1,IF(E246&amp;""=DB_PROJ&amp;"",1,0))</f>
        <v>1</v>
      </c>
      <c r="BY246" s="80">
        <f>BW246*BX246</f>
        <v>0</v>
      </c>
      <c r="BZ246" s="80" t="str">
        <f>IF(Y246=1,F246&amp;IF(AND(F246&amp;""&lt;&gt;"",E246&amp;""&lt;&gt;"")," · ","")&amp;E246,"")</f>
        <v/>
      </c>
      <c r="CA246" s="80" t="str">
        <f>IF(AND(BD246=1,E246&amp;""&lt;&gt;""),IF(COUNTIFS($E$5:E245,E246,$BD$5:BD245,1)=0,MAX($CA$5:CA245)+1,""),"")</f>
        <v/>
      </c>
      <c r="CB246" s="80" t="str">
        <f>IF(AND(BE246=1,D246="Malcolm",E246&amp;""&lt;&gt;""),IF(COUNTIFS($D$5:D245,"Malcolm",$E$5:E245,E246,$BE$5:BE245,1)=0,MAX($CB$5:CB245)+1,""),"")</f>
        <v/>
      </c>
      <c r="CC246" s="80" t="str">
        <f>IF(AND(BD246=1,D246="proMX",E246&amp;""&lt;&gt;""),IF(COUNTIFS($D$5:D245,"proMX",$E$5:E245,E246,$BD$5:BD245,1)=0,MAX($CC$5:CC245)+1,""),"")</f>
        <v/>
      </c>
      <c r="CD246" s="80" t="str">
        <f>IF(AND(BE246=1,D246="Malcolm",F246&amp;""&lt;&gt;""),IF(COUNTIFS($D$5:D245,"Malcolm",$F$5:F245,F246,$BE$5:BE245,1)=0,MAX($CD$5:CD245)+1,""),"")</f>
        <v/>
      </c>
      <c r="CE246" s="80" t="str">
        <f>IF(AND(BD246=1,D246="proMX",F246&amp;""&lt;&gt;""),IF(COUNTIFS($D$5:D245,"proMX",$F$5:F245,F246,$BD$5:BD245,1)=0,MAX($CE$5:CE245)+1,""),"")</f>
        <v/>
      </c>
      <c r="CF246" s="80" t="str">
        <f>IF(AND(D246="proMX",BD246=1),IF(OR(BF246="Draft",BF246="Submitted",BF246="Returned",BF246="Recall Requested"),MAX($CF$5:CF245)+1,""),"")</f>
        <v/>
      </c>
      <c r="CG246" s="80">
        <f>IF(BD246=0,0,IF(D246="Malcolm",1,MATCH(BF246,{"Draft","Submitted","Approved","Returned","Recall Requested","Cancelled"},0)+1))</f>
        <v>0</v>
      </c>
      <c r="CH246" s="80">
        <f>IF(AND(BF246="Submitted",ISNUMBER(V246)),IF(V246&gt;CFG_MAXD,1,0),0)</f>
        <v>0</v>
      </c>
    </row>
    <row r="247">
      <c r="A247" s="71" t="str">
        <f>IF(Y247=1,ROW()-5,"")</f>
        <v/>
      </c>
      <c r="B247" s="72" t="n"/>
      <c r="C247" s="71" t="str">
        <f>IF(ISNUMBER(B247),CHOOSE(WEEKDAY(B247,2),"Lun","Mar","Mié","Jue","Vie","Sáb","Dom"),"")</f>
        <v/>
      </c>
      <c r="D247" s="73" t="n"/>
      <c r="E247" s="74" t="n"/>
      <c r="F247" s="74" t="n"/>
      <c r="G247" s="74" t="n"/>
      <c r="H247" s="75" t="n"/>
      <c r="I247" s="75" t="n"/>
      <c r="J247" s="76" t="n"/>
      <c r="K247" s="77" t="str">
        <f>IF(AB247=1,ROUND(AG247/60,4),"")</f>
        <v/>
      </c>
      <c r="L247" s="77" t="str">
        <f>IF(BD247=1,ROUND(AP247/60,4),"")</f>
        <v/>
      </c>
      <c r="M247" s="77" t="str">
        <f>IF(BD247=1,ROUND(AQ247/60,4),"")</f>
        <v/>
      </c>
      <c r="N247" s="71" t="str">
        <f>IF(AND(D247="proMX",AB247=1),ROUND(AG247/CFG_BLK,2),"")</f>
        <v/>
      </c>
      <c r="O247" s="77" t="str">
        <f>IF(D247="proMX",IF(BD247=1,ROUND(AG247/60,4),0),"")</f>
        <v/>
      </c>
      <c r="P247" s="78" t="str">
        <f>IF(Y247=0,"",IF(BD247=1,"OK",IF(D247="proMX","Revisar bloques: ","Revisar: ")&amp;BC247))</f>
        <v/>
      </c>
      <c r="Q247" s="78" t="str">
        <f>IF(NOT(ISNUMBER(B247)),"",IF(COUNTIFS(FER_F,INT(B247))&gt;0,"Feriado"&amp;IF(AH247=1," (laborable)"," (no laborable)"),IF(AH247=1,"Laborable",IF(WEEKDAY(B247,2)&gt;5,"Fin de semana","No laborable"))))</f>
        <v/>
      </c>
      <c r="R247" s="73" t="n"/>
      <c r="S247" s="72" t="n"/>
      <c r="T247" s="72" t="n"/>
      <c r="U247" s="74" t="n"/>
      <c r="V247" s="79" t="str">
        <f>IF(AND(D247="proMX",OR(R247="Submitted",R247="Recall Requested"),ISNUMBER(S247)),CFG_TODAY-INT(S247),"")</f>
        <v/>
      </c>
      <c r="W247" s="78" t="str">
        <f>IF(BD247=0,"",IF(BA247&gt;0,"⚠ Se superpone con un registro de la otra empresa",IF(D247="Malcolm",IF(COUNTA(R247,S247,T247)&gt;0,"Estado/fechas proMX se ignoran en Malcolm",""),IF(BF247="Cancelled","Cancelado: excluido de totales",IF(R247="","Sin estado: se trata como Draft",IF(BF247="Submitted",IF(ISNUMBER(V247),IF(V247&gt;CFG_MAXD,"⚠ "&amp;V247&amp;" días en Submitted (máx. "&amp;CFG_MAXD&amp;")",""),"Falta fecha de envío"),IF(BF247="Returned","⚠ Devuelto: corregir y reenviar",IF(BF247="Recall Requested","Retirada solicitada: pendiente",IF(AND(BF247="Approved",NOT(ISNUMBER(T247))),"Falta fecha de aprobación",IF(AND(ISNUMBER(S247),ISNUMBER(T247),T247&lt;S247),"Aprobación anterior al envío","")))))))))</f>
        <v/>
      </c>
      <c r="Y247" s="80">
        <f>IF(COUNTA(B247,D247,E247,F247,G247,H247,I247,J247,R247,S247,T247)&gt;0,1,0)</f>
        <v>0</v>
      </c>
      <c r="Z247" s="80" t="str">
        <f>IF(AND(ISNUMBER(H247),H247&gt;=0,H247&lt;1),ROUND(H247*1440,0),"")</f>
        <v/>
      </c>
      <c r="AA247" s="80" t="str">
        <f>IF(AND(ISNUMBER(I247),I247&gt;=0,I247&lt;1),ROUND(I247*1440,0),"")</f>
        <v/>
      </c>
      <c r="AB247" s="80">
        <f>IF(AND(ISNUMBER(B247),D247&lt;&gt;"",ISNUMBER(Z247),ISNUMBER(AA247)),IF(Z247=AA247,0,1),0)</f>
        <v>0</v>
      </c>
      <c r="AC247" s="80">
        <f>IF(AB247=1,IF(AA247&lt;Z247,1,0),0)</f>
        <v>0</v>
      </c>
      <c r="AD247" s="80">
        <f>IF(AB247=1,IF(AC247=1,1440-Z247+AA247,AA247-Z247),0)</f>
        <v>0</v>
      </c>
      <c r="AE247" s="80">
        <f>IF(J247="",0,IF(ISNUMBER(J247),J247,-1))</f>
        <v>0</v>
      </c>
      <c r="AF247" s="80">
        <f>MIN(MAX(0,AE247),AD247)</f>
        <v>0</v>
      </c>
      <c r="AG247" s="80">
        <f>MAX(0,AD247-MAX(0,AE247))</f>
        <v>0</v>
      </c>
      <c r="AH247" s="80">
        <f>IF(ISNUMBER(B247),IF(AND(INDEX(CFG_WDAYS,WEEKDAY(INT(B247),2))="Sí",IF(D247="proMX",COUNTIFS(FER_F,INT(B247),FER_NLP,"Sí"),COUNTIFS(FER_F,INT(B247),FER_NLM,"Sí"))=0),1,0),0)</f>
        <v>0</v>
      </c>
      <c r="AI247" s="80">
        <f>IF(AC247=1,IF(AND(INDEX(CFG_WDAYS,WEEKDAY(INT(B247)+1,2))="Sí",IF(D247="proMX",COUNTIFS(FER_F,INT(B247)+1,FER_NLP,"Sí"),COUNTIFS(FER_F,INT(B247)+1,FER_NLM,"Sí"))=0),1,0),0)</f>
        <v>0</v>
      </c>
      <c r="AJ247" s="80">
        <f>IF(AC247=1,1440-Z247,AD247)</f>
        <v>0</v>
      </c>
      <c r="AK247" s="80">
        <f>IF(AND(AB247=1,AH247=1),MAX(0,MIN(IF(AC247=1,1440,AA247),CFG_WEM)-MAX(Z247,CFG_WSM)),0)</f>
        <v>0</v>
      </c>
      <c r="AL247" s="80">
        <f>IF(AND(AC247=1,AI247=1),MAX(0,MIN(AA247,CFG_WEM)-CFG_WSM),0)</f>
        <v>0</v>
      </c>
      <c r="AM247" s="80">
        <f>AK247+AL247</f>
        <v>0</v>
      </c>
      <c r="AN247" s="80">
        <f>IF(CFG_BRK="Proporcional",IF(AD247=0,0,AF247*AM247/AD247),IF(CFG_BRK="Extras primero",MIN(AM247,MAX(0,AF247-(AD247-AM247))),MIN(AF247,AM247)))</f>
        <v>0</v>
      </c>
      <c r="AO247" s="80">
        <f>AF247-AN247</f>
        <v>0</v>
      </c>
      <c r="AP247" s="80">
        <f>AM247-AN247</f>
        <v>0</v>
      </c>
      <c r="AQ247" s="80">
        <f>AD247-AM247-AO247</f>
        <v>0</v>
      </c>
      <c r="AR247" s="80">
        <f>IF(AM247=0,0,AK247-AN247*AK247/AM247)</f>
        <v>0</v>
      </c>
      <c r="AS247" s="80">
        <f>IF(AD247-AM247=0,0,(AJ247-AK247)-AO247*(AJ247-AK247)/(AD247-AM247))</f>
        <v>0</v>
      </c>
      <c r="AT247" s="80" t="str">
        <f>IF(AC247=1,INT(B247)+1,"")</f>
        <v/>
      </c>
      <c r="AU247" s="80">
        <f>IF(AND(D247="proMX",R247="Cancelled"),0,1)</f>
        <v>1</v>
      </c>
      <c r="AV247" s="80">
        <f>IF(AND(AB247=1,AU247=1),IF(COUNTIFS($D$5:D246,D247,$B$5:B246,B247,$Z$5:Z246,Z247,$AA$5:AA246,AA247,$F$5:F246,F247&amp;"",$AU$5:AU246,1)&gt;0,1,0),0)</f>
        <v>0</v>
      </c>
      <c r="AW247" s="80" t="str">
        <f>IF(AB247=1,INT(B247)*1440+Z247,"")</f>
        <v/>
      </c>
      <c r="AX247" s="80" t="str">
        <f>IF(AB247=1,AW247+AD247,"")</f>
        <v/>
      </c>
      <c r="AY247" s="80">
        <f>IF(AND(AB247=1,AV247=0,AU247=1),1,0)</f>
        <v>0</v>
      </c>
      <c r="AZ247" s="80">
        <f>IF(AY247=1,COUNTIFS(R_Emp,D247,R_SAbs,"&lt;"&amp;AX247,R_EAbs,"&gt;"&amp;AW247,R_OKey,1)-1,0)</f>
        <v>0</v>
      </c>
      <c r="BA247" s="80">
        <f>IF(AY247=1,COUNTIFS(R_Emp,"&lt;&gt;"&amp;D247,R_SAbs,"&lt;"&amp;AX247,R_EAbs,"&gt;"&amp;AW247,R_OKey,1),0)</f>
        <v>0</v>
      </c>
      <c r="BB247" s="80">
        <f>IF(AND(AB247=1,D247="proMX"),IF(AND(MOD(Z247,CFG_BLK)=0,MOD(AA247,CFG_BLK)=0,MOD(AG247,CFG_BLK)=0,AG247&gt;0),1,0),1)</f>
        <v>1</v>
      </c>
      <c r="BC247" s="80" t="str">
        <f>IF(Y247=0,"",IF(NOT(ISNUMBER(B247)),"Falta fecha o fecha inválida",IF(D247="","Falta empresa",IF(AND(D247&lt;&gt;"Malcolm",D247&lt;&gt;"proMX"),"Empresa inválida",IF(OR(INT(B247)&lt;CFG_PSTART,INT(B247)&gt;CFG_PEND),"Fecha fuera del período",IF(OR(NOT(ISNUMBER(Z247)),NOT(ISNUMBER(AA247))),"Falta hora inicio/fin o formato inválido",IF(AB247=0,"Hora inicio = hora fin",IF(AE247&lt;0,"Descanso inválido",IF(AE247&gt;=AD247,"Descanso ≥ duración",IF(AV247=1,"Registro duplicado",IF(AZ247&gt;0,"Se superpone con otro registro "&amp;D247,IF(BB247=0,"inicio, fin y duración neta deben ser múltiplos de "&amp;CFG_BLK&amp;" min",""))))))))))))</f>
        <v/>
      </c>
      <c r="BD247" s="80">
        <f>IF(AND(Y247=1,BC247=""),1,0)</f>
        <v>0</v>
      </c>
      <c r="BE247" s="80">
        <f>IF(AND(BD247=1,AU247=1),1,0)</f>
        <v>0</v>
      </c>
      <c r="BF247" s="80" t="str">
        <f>IF(AND(D247="proMX",BD247=1),IF(R247="","Draft",R247),"")</f>
        <v/>
      </c>
      <c r="BG247" s="80">
        <f>IF(BD247=1,ROUND(AG247/60,6),0)</f>
        <v>0</v>
      </c>
      <c r="BH247" s="80">
        <f>IF(BE247=1,ROUND(AG247/60,6),0)</f>
        <v>0</v>
      </c>
      <c r="BI247" s="80">
        <f>IF(BE247=1,ROUND(AP247/60,6),0)</f>
        <v>0</v>
      </c>
      <c r="BJ247" s="80">
        <f>IF(BE247=1,ROUND(AQ247/60,6),0)</f>
        <v>0</v>
      </c>
      <c r="BK247" s="80">
        <f>IF(BE247=1,ROUND((AR247+AS247)/60,6),0)</f>
        <v>0</v>
      </c>
      <c r="BL247" s="80">
        <f>ROUND(BH247-BK247,6)</f>
        <v>0</v>
      </c>
      <c r="BM247" s="80">
        <f>IF(BE247=1,ROUND(AR247/60,6),0)</f>
        <v>0</v>
      </c>
      <c r="BN247" s="80">
        <f>ROUND(BI247-BM247,6)</f>
        <v>0</v>
      </c>
      <c r="BO247" s="80">
        <f>IF(BE247=1,ROUND(AS247/60,6),0)</f>
        <v>0</v>
      </c>
      <c r="BP247" s="80">
        <f>ROUND(BJ247-BO247,6)</f>
        <v>0</v>
      </c>
      <c r="BQ247" s="80">
        <f>IF(BE247=1,AW247,0)</f>
        <v>0</v>
      </c>
      <c r="BR247" s="80">
        <f>IF(BE247=1,AX247,0)</f>
        <v>0</v>
      </c>
      <c r="BS247" s="80">
        <f>IF(AND(BE247=1,D247="Malcolm",BA247&gt;0),MIN(BH247,SUMPRODUCT((R_Emp="proMX")*(R_EN&gt;0)*((R_EN-(R_EN&gt;BR247)*(R_EN-BR247))&gt;(R_SN+(R_SN&lt;BQ247)*(BQ247-R_SN)))*((R_EN-(R_EN&gt;BR247)*(R_EN-BR247))-(R_SN+(R_SN&lt;BQ247)*(BQ247-R_SN))))/60),0)</f>
        <v>0</v>
      </c>
      <c r="BT247" s="80">
        <f>IF(AND(BE247=1,D247="proMX"),ROUND(BI247*CFG_RATE+BJ247*CFG_OTRATE,6),0)</f>
        <v>0</v>
      </c>
      <c r="BU247" s="80">
        <f>IF(AND(BD247=1,D247="proMX"),ROUND(AG247/CFG_BLK,6),0)</f>
        <v>0</v>
      </c>
      <c r="BV247" s="80" t="str">
        <f>IF(BF247="Approved",IF(ISNUMBER(T247),INT(T247),INT(B247)),"")</f>
        <v/>
      </c>
      <c r="BW247" s="80">
        <f>IF(ISNUMBER(B247),IF(DB_MON="Todos",1,IF(AND(INT(B247)&gt;=DB_MS,INT(B247)&lt;=DB_ME),1,0)),0)</f>
        <v>0</v>
      </c>
      <c r="BX247" s="80">
        <f>IF(DB_PROJ="Todos",1,IF(E247&amp;""=DB_PROJ&amp;"",1,0))</f>
        <v>1</v>
      </c>
      <c r="BY247" s="80">
        <f>BW247*BX247</f>
        <v>0</v>
      </c>
      <c r="BZ247" s="80" t="str">
        <f>IF(Y247=1,F247&amp;IF(AND(F247&amp;""&lt;&gt;"",E247&amp;""&lt;&gt;"")," · ","")&amp;E247,"")</f>
        <v/>
      </c>
      <c r="CA247" s="80" t="str">
        <f>IF(AND(BD247=1,E247&amp;""&lt;&gt;""),IF(COUNTIFS($E$5:E246,E247,$BD$5:BD246,1)=0,MAX($CA$5:CA246)+1,""),"")</f>
        <v/>
      </c>
      <c r="CB247" s="80" t="str">
        <f>IF(AND(BE247=1,D247="Malcolm",E247&amp;""&lt;&gt;""),IF(COUNTIFS($D$5:D246,"Malcolm",$E$5:E246,E247,$BE$5:BE246,1)=0,MAX($CB$5:CB246)+1,""),"")</f>
        <v/>
      </c>
      <c r="CC247" s="80" t="str">
        <f>IF(AND(BD247=1,D247="proMX",E247&amp;""&lt;&gt;""),IF(COUNTIFS($D$5:D246,"proMX",$E$5:E246,E247,$BD$5:BD246,1)=0,MAX($CC$5:CC246)+1,""),"")</f>
        <v/>
      </c>
      <c r="CD247" s="80" t="str">
        <f>IF(AND(BE247=1,D247="Malcolm",F247&amp;""&lt;&gt;""),IF(COUNTIFS($D$5:D246,"Malcolm",$F$5:F246,F247,$BE$5:BE246,1)=0,MAX($CD$5:CD246)+1,""),"")</f>
        <v/>
      </c>
      <c r="CE247" s="80" t="str">
        <f>IF(AND(BD247=1,D247="proMX",F247&amp;""&lt;&gt;""),IF(COUNTIFS($D$5:D246,"proMX",$F$5:F246,F247,$BD$5:BD246,1)=0,MAX($CE$5:CE246)+1,""),"")</f>
        <v/>
      </c>
      <c r="CF247" s="80" t="str">
        <f>IF(AND(D247="proMX",BD247=1),IF(OR(BF247="Draft",BF247="Submitted",BF247="Returned",BF247="Recall Requested"),MAX($CF$5:CF246)+1,""),"")</f>
        <v/>
      </c>
      <c r="CG247" s="80">
        <f>IF(BD247=0,0,IF(D247="Malcolm",1,MATCH(BF247,{"Draft","Submitted","Approved","Returned","Recall Requested","Cancelled"},0)+1))</f>
        <v>0</v>
      </c>
      <c r="CH247" s="80">
        <f>IF(AND(BF247="Submitted",ISNUMBER(V247)),IF(V247&gt;CFG_MAXD,1,0),0)</f>
        <v>0</v>
      </c>
    </row>
    <row r="248">
      <c r="A248" s="71" t="str">
        <f>IF(Y248=1,ROW()-5,"")</f>
        <v/>
      </c>
      <c r="B248" s="72" t="n"/>
      <c r="C248" s="71" t="str">
        <f>IF(ISNUMBER(B248),CHOOSE(WEEKDAY(B248,2),"Lun","Mar","Mié","Jue","Vie","Sáb","Dom"),"")</f>
        <v/>
      </c>
      <c r="D248" s="73" t="n"/>
      <c r="E248" s="74" t="n"/>
      <c r="F248" s="74" t="n"/>
      <c r="G248" s="74" t="n"/>
      <c r="H248" s="75" t="n"/>
      <c r="I248" s="75" t="n"/>
      <c r="J248" s="76" t="n"/>
      <c r="K248" s="77" t="str">
        <f>IF(AB248=1,ROUND(AG248/60,4),"")</f>
        <v/>
      </c>
      <c r="L248" s="77" t="str">
        <f>IF(BD248=1,ROUND(AP248/60,4),"")</f>
        <v/>
      </c>
      <c r="M248" s="77" t="str">
        <f>IF(BD248=1,ROUND(AQ248/60,4),"")</f>
        <v/>
      </c>
      <c r="N248" s="71" t="str">
        <f>IF(AND(D248="proMX",AB248=1),ROUND(AG248/CFG_BLK,2),"")</f>
        <v/>
      </c>
      <c r="O248" s="77" t="str">
        <f>IF(D248="proMX",IF(BD248=1,ROUND(AG248/60,4),0),"")</f>
        <v/>
      </c>
      <c r="P248" s="78" t="str">
        <f>IF(Y248=0,"",IF(BD248=1,"OK",IF(D248="proMX","Revisar bloques: ","Revisar: ")&amp;BC248))</f>
        <v/>
      </c>
      <c r="Q248" s="78" t="str">
        <f>IF(NOT(ISNUMBER(B248)),"",IF(COUNTIFS(FER_F,INT(B248))&gt;0,"Feriado"&amp;IF(AH248=1," (laborable)"," (no laborable)"),IF(AH248=1,"Laborable",IF(WEEKDAY(B248,2)&gt;5,"Fin de semana","No laborable"))))</f>
        <v/>
      </c>
      <c r="R248" s="73" t="n"/>
      <c r="S248" s="72" t="n"/>
      <c r="T248" s="72" t="n"/>
      <c r="U248" s="74" t="n"/>
      <c r="V248" s="79" t="str">
        <f>IF(AND(D248="proMX",OR(R248="Submitted",R248="Recall Requested"),ISNUMBER(S248)),CFG_TODAY-INT(S248),"")</f>
        <v/>
      </c>
      <c r="W248" s="78" t="str">
        <f>IF(BD248=0,"",IF(BA248&gt;0,"⚠ Se superpone con un registro de la otra empresa",IF(D248="Malcolm",IF(COUNTA(R248,S248,T248)&gt;0,"Estado/fechas proMX se ignoran en Malcolm",""),IF(BF248="Cancelled","Cancelado: excluido de totales",IF(R248="","Sin estado: se trata como Draft",IF(BF248="Submitted",IF(ISNUMBER(V248),IF(V248&gt;CFG_MAXD,"⚠ "&amp;V248&amp;" días en Submitted (máx. "&amp;CFG_MAXD&amp;")",""),"Falta fecha de envío"),IF(BF248="Returned","⚠ Devuelto: corregir y reenviar",IF(BF248="Recall Requested","Retirada solicitada: pendiente",IF(AND(BF248="Approved",NOT(ISNUMBER(T248))),"Falta fecha de aprobación",IF(AND(ISNUMBER(S248),ISNUMBER(T248),T248&lt;S248),"Aprobación anterior al envío","")))))))))</f>
        <v/>
      </c>
      <c r="Y248" s="80">
        <f>IF(COUNTA(B248,D248,E248,F248,G248,H248,I248,J248,R248,S248,T248)&gt;0,1,0)</f>
        <v>0</v>
      </c>
      <c r="Z248" s="80" t="str">
        <f>IF(AND(ISNUMBER(H248),H248&gt;=0,H248&lt;1),ROUND(H248*1440,0),"")</f>
        <v/>
      </c>
      <c r="AA248" s="80" t="str">
        <f>IF(AND(ISNUMBER(I248),I248&gt;=0,I248&lt;1),ROUND(I248*1440,0),"")</f>
        <v/>
      </c>
      <c r="AB248" s="80">
        <f>IF(AND(ISNUMBER(B248),D248&lt;&gt;"",ISNUMBER(Z248),ISNUMBER(AA248)),IF(Z248=AA248,0,1),0)</f>
        <v>0</v>
      </c>
      <c r="AC248" s="80">
        <f>IF(AB248=1,IF(AA248&lt;Z248,1,0),0)</f>
        <v>0</v>
      </c>
      <c r="AD248" s="80">
        <f>IF(AB248=1,IF(AC248=1,1440-Z248+AA248,AA248-Z248),0)</f>
        <v>0</v>
      </c>
      <c r="AE248" s="80">
        <f>IF(J248="",0,IF(ISNUMBER(J248),J248,-1))</f>
        <v>0</v>
      </c>
      <c r="AF248" s="80">
        <f>MIN(MAX(0,AE248),AD248)</f>
        <v>0</v>
      </c>
      <c r="AG248" s="80">
        <f>MAX(0,AD248-MAX(0,AE248))</f>
        <v>0</v>
      </c>
      <c r="AH248" s="80">
        <f>IF(ISNUMBER(B248),IF(AND(INDEX(CFG_WDAYS,WEEKDAY(INT(B248),2))="Sí",IF(D248="proMX",COUNTIFS(FER_F,INT(B248),FER_NLP,"Sí"),COUNTIFS(FER_F,INT(B248),FER_NLM,"Sí"))=0),1,0),0)</f>
        <v>0</v>
      </c>
      <c r="AI248" s="80">
        <f>IF(AC248=1,IF(AND(INDEX(CFG_WDAYS,WEEKDAY(INT(B248)+1,2))="Sí",IF(D248="proMX",COUNTIFS(FER_F,INT(B248)+1,FER_NLP,"Sí"),COUNTIFS(FER_F,INT(B248)+1,FER_NLM,"Sí"))=0),1,0),0)</f>
        <v>0</v>
      </c>
      <c r="AJ248" s="80">
        <f>IF(AC248=1,1440-Z248,AD248)</f>
        <v>0</v>
      </c>
      <c r="AK248" s="80">
        <f>IF(AND(AB248=1,AH248=1),MAX(0,MIN(IF(AC248=1,1440,AA248),CFG_WEM)-MAX(Z248,CFG_WSM)),0)</f>
        <v>0</v>
      </c>
      <c r="AL248" s="80">
        <f>IF(AND(AC248=1,AI248=1),MAX(0,MIN(AA248,CFG_WEM)-CFG_WSM),0)</f>
        <v>0</v>
      </c>
      <c r="AM248" s="80">
        <f>AK248+AL248</f>
        <v>0</v>
      </c>
      <c r="AN248" s="80">
        <f>IF(CFG_BRK="Proporcional",IF(AD248=0,0,AF248*AM248/AD248),IF(CFG_BRK="Extras primero",MIN(AM248,MAX(0,AF248-(AD248-AM248))),MIN(AF248,AM248)))</f>
        <v>0</v>
      </c>
      <c r="AO248" s="80">
        <f>AF248-AN248</f>
        <v>0</v>
      </c>
      <c r="AP248" s="80">
        <f>AM248-AN248</f>
        <v>0</v>
      </c>
      <c r="AQ248" s="80">
        <f>AD248-AM248-AO248</f>
        <v>0</v>
      </c>
      <c r="AR248" s="80">
        <f>IF(AM248=0,0,AK248-AN248*AK248/AM248)</f>
        <v>0</v>
      </c>
      <c r="AS248" s="80">
        <f>IF(AD248-AM248=0,0,(AJ248-AK248)-AO248*(AJ248-AK248)/(AD248-AM248))</f>
        <v>0</v>
      </c>
      <c r="AT248" s="80" t="str">
        <f>IF(AC248=1,INT(B248)+1,"")</f>
        <v/>
      </c>
      <c r="AU248" s="80">
        <f>IF(AND(D248="proMX",R248="Cancelled"),0,1)</f>
        <v>1</v>
      </c>
      <c r="AV248" s="80">
        <f>IF(AND(AB248=1,AU248=1),IF(COUNTIFS($D$5:D247,D248,$B$5:B247,B248,$Z$5:Z247,Z248,$AA$5:AA247,AA248,$F$5:F247,F248&amp;"",$AU$5:AU247,1)&gt;0,1,0),0)</f>
        <v>0</v>
      </c>
      <c r="AW248" s="80" t="str">
        <f>IF(AB248=1,INT(B248)*1440+Z248,"")</f>
        <v/>
      </c>
      <c r="AX248" s="80" t="str">
        <f>IF(AB248=1,AW248+AD248,"")</f>
        <v/>
      </c>
      <c r="AY248" s="80">
        <f>IF(AND(AB248=1,AV248=0,AU248=1),1,0)</f>
        <v>0</v>
      </c>
      <c r="AZ248" s="80">
        <f>IF(AY248=1,COUNTIFS(R_Emp,D248,R_SAbs,"&lt;"&amp;AX248,R_EAbs,"&gt;"&amp;AW248,R_OKey,1)-1,0)</f>
        <v>0</v>
      </c>
      <c r="BA248" s="80">
        <f>IF(AY248=1,COUNTIFS(R_Emp,"&lt;&gt;"&amp;D248,R_SAbs,"&lt;"&amp;AX248,R_EAbs,"&gt;"&amp;AW248,R_OKey,1),0)</f>
        <v>0</v>
      </c>
      <c r="BB248" s="80">
        <f>IF(AND(AB248=1,D248="proMX"),IF(AND(MOD(Z248,CFG_BLK)=0,MOD(AA248,CFG_BLK)=0,MOD(AG248,CFG_BLK)=0,AG248&gt;0),1,0),1)</f>
        <v>1</v>
      </c>
      <c r="BC248" s="80" t="str">
        <f>IF(Y248=0,"",IF(NOT(ISNUMBER(B248)),"Falta fecha o fecha inválida",IF(D248="","Falta empresa",IF(AND(D248&lt;&gt;"Malcolm",D248&lt;&gt;"proMX"),"Empresa inválida",IF(OR(INT(B248)&lt;CFG_PSTART,INT(B248)&gt;CFG_PEND),"Fecha fuera del período",IF(OR(NOT(ISNUMBER(Z248)),NOT(ISNUMBER(AA248))),"Falta hora inicio/fin o formato inválido",IF(AB248=0,"Hora inicio = hora fin",IF(AE248&lt;0,"Descanso inválido",IF(AE248&gt;=AD248,"Descanso ≥ duración",IF(AV248=1,"Registro duplicado",IF(AZ248&gt;0,"Se superpone con otro registro "&amp;D248,IF(BB248=0,"inicio, fin y duración neta deben ser múltiplos de "&amp;CFG_BLK&amp;" min",""))))))))))))</f>
        <v/>
      </c>
      <c r="BD248" s="80">
        <f>IF(AND(Y248=1,BC248=""),1,0)</f>
        <v>0</v>
      </c>
      <c r="BE248" s="80">
        <f>IF(AND(BD248=1,AU248=1),1,0)</f>
        <v>0</v>
      </c>
      <c r="BF248" s="80" t="str">
        <f>IF(AND(D248="proMX",BD248=1),IF(R248="","Draft",R248),"")</f>
        <v/>
      </c>
      <c r="BG248" s="80">
        <f>IF(BD248=1,ROUND(AG248/60,6),0)</f>
        <v>0</v>
      </c>
      <c r="BH248" s="80">
        <f>IF(BE248=1,ROUND(AG248/60,6),0)</f>
        <v>0</v>
      </c>
      <c r="BI248" s="80">
        <f>IF(BE248=1,ROUND(AP248/60,6),0)</f>
        <v>0</v>
      </c>
      <c r="BJ248" s="80">
        <f>IF(BE248=1,ROUND(AQ248/60,6),0)</f>
        <v>0</v>
      </c>
      <c r="BK248" s="80">
        <f>IF(BE248=1,ROUND((AR248+AS248)/60,6),0)</f>
        <v>0</v>
      </c>
      <c r="BL248" s="80">
        <f>ROUND(BH248-BK248,6)</f>
        <v>0</v>
      </c>
      <c r="BM248" s="80">
        <f>IF(BE248=1,ROUND(AR248/60,6),0)</f>
        <v>0</v>
      </c>
      <c r="BN248" s="80">
        <f>ROUND(BI248-BM248,6)</f>
        <v>0</v>
      </c>
      <c r="BO248" s="80">
        <f>IF(BE248=1,ROUND(AS248/60,6),0)</f>
        <v>0</v>
      </c>
      <c r="BP248" s="80">
        <f>ROUND(BJ248-BO248,6)</f>
        <v>0</v>
      </c>
      <c r="BQ248" s="80">
        <f>IF(BE248=1,AW248,0)</f>
        <v>0</v>
      </c>
      <c r="BR248" s="80">
        <f>IF(BE248=1,AX248,0)</f>
        <v>0</v>
      </c>
      <c r="BS248" s="80">
        <f>IF(AND(BE248=1,D248="Malcolm",BA248&gt;0),MIN(BH248,SUMPRODUCT((R_Emp="proMX")*(R_EN&gt;0)*((R_EN-(R_EN&gt;BR248)*(R_EN-BR248))&gt;(R_SN+(R_SN&lt;BQ248)*(BQ248-R_SN)))*((R_EN-(R_EN&gt;BR248)*(R_EN-BR248))-(R_SN+(R_SN&lt;BQ248)*(BQ248-R_SN))))/60),0)</f>
        <v>0</v>
      </c>
      <c r="BT248" s="80">
        <f>IF(AND(BE248=1,D248="proMX"),ROUND(BI248*CFG_RATE+BJ248*CFG_OTRATE,6),0)</f>
        <v>0</v>
      </c>
      <c r="BU248" s="80">
        <f>IF(AND(BD248=1,D248="proMX"),ROUND(AG248/CFG_BLK,6),0)</f>
        <v>0</v>
      </c>
      <c r="BV248" s="80" t="str">
        <f>IF(BF248="Approved",IF(ISNUMBER(T248),INT(T248),INT(B248)),"")</f>
        <v/>
      </c>
      <c r="BW248" s="80">
        <f>IF(ISNUMBER(B248),IF(DB_MON="Todos",1,IF(AND(INT(B248)&gt;=DB_MS,INT(B248)&lt;=DB_ME),1,0)),0)</f>
        <v>0</v>
      </c>
      <c r="BX248" s="80">
        <f>IF(DB_PROJ="Todos",1,IF(E248&amp;""=DB_PROJ&amp;"",1,0))</f>
        <v>1</v>
      </c>
      <c r="BY248" s="80">
        <f>BW248*BX248</f>
        <v>0</v>
      </c>
      <c r="BZ248" s="80" t="str">
        <f>IF(Y248=1,F248&amp;IF(AND(F248&amp;""&lt;&gt;"",E248&amp;""&lt;&gt;"")," · ","")&amp;E248,"")</f>
        <v/>
      </c>
      <c r="CA248" s="80" t="str">
        <f>IF(AND(BD248=1,E248&amp;""&lt;&gt;""),IF(COUNTIFS($E$5:E247,E248,$BD$5:BD247,1)=0,MAX($CA$5:CA247)+1,""),"")</f>
        <v/>
      </c>
      <c r="CB248" s="80" t="str">
        <f>IF(AND(BE248=1,D248="Malcolm",E248&amp;""&lt;&gt;""),IF(COUNTIFS($D$5:D247,"Malcolm",$E$5:E247,E248,$BE$5:BE247,1)=0,MAX($CB$5:CB247)+1,""),"")</f>
        <v/>
      </c>
      <c r="CC248" s="80" t="str">
        <f>IF(AND(BD248=1,D248="proMX",E248&amp;""&lt;&gt;""),IF(COUNTIFS($D$5:D247,"proMX",$E$5:E247,E248,$BD$5:BD247,1)=0,MAX($CC$5:CC247)+1,""),"")</f>
        <v/>
      </c>
      <c r="CD248" s="80" t="str">
        <f>IF(AND(BE248=1,D248="Malcolm",F248&amp;""&lt;&gt;""),IF(COUNTIFS($D$5:D247,"Malcolm",$F$5:F247,F248,$BE$5:BE247,1)=0,MAX($CD$5:CD247)+1,""),"")</f>
        <v/>
      </c>
      <c r="CE248" s="80" t="str">
        <f>IF(AND(BD248=1,D248="proMX",F248&amp;""&lt;&gt;""),IF(COUNTIFS($D$5:D247,"proMX",$F$5:F247,F248,$BD$5:BD247,1)=0,MAX($CE$5:CE247)+1,""),"")</f>
        <v/>
      </c>
      <c r="CF248" s="80" t="str">
        <f>IF(AND(D248="proMX",BD248=1),IF(OR(BF248="Draft",BF248="Submitted",BF248="Returned",BF248="Recall Requested"),MAX($CF$5:CF247)+1,""),"")</f>
        <v/>
      </c>
      <c r="CG248" s="80">
        <f>IF(BD248=0,0,IF(D248="Malcolm",1,MATCH(BF248,{"Draft","Submitted","Approved","Returned","Recall Requested","Cancelled"},0)+1))</f>
        <v>0</v>
      </c>
      <c r="CH248" s="80">
        <f>IF(AND(BF248="Submitted",ISNUMBER(V248)),IF(V248&gt;CFG_MAXD,1,0),0)</f>
        <v>0</v>
      </c>
    </row>
    <row r="249">
      <c r="A249" s="71" t="str">
        <f>IF(Y249=1,ROW()-5,"")</f>
        <v/>
      </c>
      <c r="B249" s="72" t="n"/>
      <c r="C249" s="71" t="str">
        <f>IF(ISNUMBER(B249),CHOOSE(WEEKDAY(B249,2),"Lun","Mar","Mié","Jue","Vie","Sáb","Dom"),"")</f>
        <v/>
      </c>
      <c r="D249" s="73" t="n"/>
      <c r="E249" s="74" t="n"/>
      <c r="F249" s="74" t="n"/>
      <c r="G249" s="74" t="n"/>
      <c r="H249" s="75" t="n"/>
      <c r="I249" s="75" t="n"/>
      <c r="J249" s="76" t="n"/>
      <c r="K249" s="77" t="str">
        <f>IF(AB249=1,ROUND(AG249/60,4),"")</f>
        <v/>
      </c>
      <c r="L249" s="77" t="str">
        <f>IF(BD249=1,ROUND(AP249/60,4),"")</f>
        <v/>
      </c>
      <c r="M249" s="77" t="str">
        <f>IF(BD249=1,ROUND(AQ249/60,4),"")</f>
        <v/>
      </c>
      <c r="N249" s="71" t="str">
        <f>IF(AND(D249="proMX",AB249=1),ROUND(AG249/CFG_BLK,2),"")</f>
        <v/>
      </c>
      <c r="O249" s="77" t="str">
        <f>IF(D249="proMX",IF(BD249=1,ROUND(AG249/60,4),0),"")</f>
        <v/>
      </c>
      <c r="P249" s="78" t="str">
        <f>IF(Y249=0,"",IF(BD249=1,"OK",IF(D249="proMX","Revisar bloques: ","Revisar: ")&amp;BC249))</f>
        <v/>
      </c>
      <c r="Q249" s="78" t="str">
        <f>IF(NOT(ISNUMBER(B249)),"",IF(COUNTIFS(FER_F,INT(B249))&gt;0,"Feriado"&amp;IF(AH249=1," (laborable)"," (no laborable)"),IF(AH249=1,"Laborable",IF(WEEKDAY(B249,2)&gt;5,"Fin de semana","No laborable"))))</f>
        <v/>
      </c>
      <c r="R249" s="73" t="n"/>
      <c r="S249" s="72" t="n"/>
      <c r="T249" s="72" t="n"/>
      <c r="U249" s="74" t="n"/>
      <c r="V249" s="79" t="str">
        <f>IF(AND(D249="proMX",OR(R249="Submitted",R249="Recall Requested"),ISNUMBER(S249)),CFG_TODAY-INT(S249),"")</f>
        <v/>
      </c>
      <c r="W249" s="78" t="str">
        <f>IF(BD249=0,"",IF(BA249&gt;0,"⚠ Se superpone con un registro de la otra empresa",IF(D249="Malcolm",IF(COUNTA(R249,S249,T249)&gt;0,"Estado/fechas proMX se ignoran en Malcolm",""),IF(BF249="Cancelled","Cancelado: excluido de totales",IF(R249="","Sin estado: se trata como Draft",IF(BF249="Submitted",IF(ISNUMBER(V249),IF(V249&gt;CFG_MAXD,"⚠ "&amp;V249&amp;" días en Submitted (máx. "&amp;CFG_MAXD&amp;")",""),"Falta fecha de envío"),IF(BF249="Returned","⚠ Devuelto: corregir y reenviar",IF(BF249="Recall Requested","Retirada solicitada: pendiente",IF(AND(BF249="Approved",NOT(ISNUMBER(T249))),"Falta fecha de aprobación",IF(AND(ISNUMBER(S249),ISNUMBER(T249),T249&lt;S249),"Aprobación anterior al envío","")))))))))</f>
        <v/>
      </c>
      <c r="Y249" s="80">
        <f>IF(COUNTA(B249,D249,E249,F249,G249,H249,I249,J249,R249,S249,T249)&gt;0,1,0)</f>
        <v>0</v>
      </c>
      <c r="Z249" s="80" t="str">
        <f>IF(AND(ISNUMBER(H249),H249&gt;=0,H249&lt;1),ROUND(H249*1440,0),"")</f>
        <v/>
      </c>
      <c r="AA249" s="80" t="str">
        <f>IF(AND(ISNUMBER(I249),I249&gt;=0,I249&lt;1),ROUND(I249*1440,0),"")</f>
        <v/>
      </c>
      <c r="AB249" s="80">
        <f>IF(AND(ISNUMBER(B249),D249&lt;&gt;"",ISNUMBER(Z249),ISNUMBER(AA249)),IF(Z249=AA249,0,1),0)</f>
        <v>0</v>
      </c>
      <c r="AC249" s="80">
        <f>IF(AB249=1,IF(AA249&lt;Z249,1,0),0)</f>
        <v>0</v>
      </c>
      <c r="AD249" s="80">
        <f>IF(AB249=1,IF(AC249=1,1440-Z249+AA249,AA249-Z249),0)</f>
        <v>0</v>
      </c>
      <c r="AE249" s="80">
        <f>IF(J249="",0,IF(ISNUMBER(J249),J249,-1))</f>
        <v>0</v>
      </c>
      <c r="AF249" s="80">
        <f>MIN(MAX(0,AE249),AD249)</f>
        <v>0</v>
      </c>
      <c r="AG249" s="80">
        <f>MAX(0,AD249-MAX(0,AE249))</f>
        <v>0</v>
      </c>
      <c r="AH249" s="80">
        <f>IF(ISNUMBER(B249),IF(AND(INDEX(CFG_WDAYS,WEEKDAY(INT(B249),2))="Sí",IF(D249="proMX",COUNTIFS(FER_F,INT(B249),FER_NLP,"Sí"),COUNTIFS(FER_F,INT(B249),FER_NLM,"Sí"))=0),1,0),0)</f>
        <v>0</v>
      </c>
      <c r="AI249" s="80">
        <f>IF(AC249=1,IF(AND(INDEX(CFG_WDAYS,WEEKDAY(INT(B249)+1,2))="Sí",IF(D249="proMX",COUNTIFS(FER_F,INT(B249)+1,FER_NLP,"Sí"),COUNTIFS(FER_F,INT(B249)+1,FER_NLM,"Sí"))=0),1,0),0)</f>
        <v>0</v>
      </c>
      <c r="AJ249" s="80">
        <f>IF(AC249=1,1440-Z249,AD249)</f>
        <v>0</v>
      </c>
      <c r="AK249" s="80">
        <f>IF(AND(AB249=1,AH249=1),MAX(0,MIN(IF(AC249=1,1440,AA249),CFG_WEM)-MAX(Z249,CFG_WSM)),0)</f>
        <v>0</v>
      </c>
      <c r="AL249" s="80">
        <f>IF(AND(AC249=1,AI249=1),MAX(0,MIN(AA249,CFG_WEM)-CFG_WSM),0)</f>
        <v>0</v>
      </c>
      <c r="AM249" s="80">
        <f>AK249+AL249</f>
        <v>0</v>
      </c>
      <c r="AN249" s="80">
        <f>IF(CFG_BRK="Proporcional",IF(AD249=0,0,AF249*AM249/AD249),IF(CFG_BRK="Extras primero",MIN(AM249,MAX(0,AF249-(AD249-AM249))),MIN(AF249,AM249)))</f>
        <v>0</v>
      </c>
      <c r="AO249" s="80">
        <f>AF249-AN249</f>
        <v>0</v>
      </c>
      <c r="AP249" s="80">
        <f>AM249-AN249</f>
        <v>0</v>
      </c>
      <c r="AQ249" s="80">
        <f>AD249-AM249-AO249</f>
        <v>0</v>
      </c>
      <c r="AR249" s="80">
        <f>IF(AM249=0,0,AK249-AN249*AK249/AM249)</f>
        <v>0</v>
      </c>
      <c r="AS249" s="80">
        <f>IF(AD249-AM249=0,0,(AJ249-AK249)-AO249*(AJ249-AK249)/(AD249-AM249))</f>
        <v>0</v>
      </c>
      <c r="AT249" s="80" t="str">
        <f>IF(AC249=1,INT(B249)+1,"")</f>
        <v/>
      </c>
      <c r="AU249" s="80">
        <f>IF(AND(D249="proMX",R249="Cancelled"),0,1)</f>
        <v>1</v>
      </c>
      <c r="AV249" s="80">
        <f>IF(AND(AB249=1,AU249=1),IF(COUNTIFS($D$5:D248,D249,$B$5:B248,B249,$Z$5:Z248,Z249,$AA$5:AA248,AA249,$F$5:F248,F249&amp;"",$AU$5:AU248,1)&gt;0,1,0),0)</f>
        <v>0</v>
      </c>
      <c r="AW249" s="80" t="str">
        <f>IF(AB249=1,INT(B249)*1440+Z249,"")</f>
        <v/>
      </c>
      <c r="AX249" s="80" t="str">
        <f>IF(AB249=1,AW249+AD249,"")</f>
        <v/>
      </c>
      <c r="AY249" s="80">
        <f>IF(AND(AB249=1,AV249=0,AU249=1),1,0)</f>
        <v>0</v>
      </c>
      <c r="AZ249" s="80">
        <f>IF(AY249=1,COUNTIFS(R_Emp,D249,R_SAbs,"&lt;"&amp;AX249,R_EAbs,"&gt;"&amp;AW249,R_OKey,1)-1,0)</f>
        <v>0</v>
      </c>
      <c r="BA249" s="80">
        <f>IF(AY249=1,COUNTIFS(R_Emp,"&lt;&gt;"&amp;D249,R_SAbs,"&lt;"&amp;AX249,R_EAbs,"&gt;"&amp;AW249,R_OKey,1),0)</f>
        <v>0</v>
      </c>
      <c r="BB249" s="80">
        <f>IF(AND(AB249=1,D249="proMX"),IF(AND(MOD(Z249,CFG_BLK)=0,MOD(AA249,CFG_BLK)=0,MOD(AG249,CFG_BLK)=0,AG249&gt;0),1,0),1)</f>
        <v>1</v>
      </c>
      <c r="BC249" s="80" t="str">
        <f>IF(Y249=0,"",IF(NOT(ISNUMBER(B249)),"Falta fecha o fecha inválida",IF(D249="","Falta empresa",IF(AND(D249&lt;&gt;"Malcolm",D249&lt;&gt;"proMX"),"Empresa inválida",IF(OR(INT(B249)&lt;CFG_PSTART,INT(B249)&gt;CFG_PEND),"Fecha fuera del período",IF(OR(NOT(ISNUMBER(Z249)),NOT(ISNUMBER(AA249))),"Falta hora inicio/fin o formato inválido",IF(AB249=0,"Hora inicio = hora fin",IF(AE249&lt;0,"Descanso inválido",IF(AE249&gt;=AD249,"Descanso ≥ duración",IF(AV249=1,"Registro duplicado",IF(AZ249&gt;0,"Se superpone con otro registro "&amp;D249,IF(BB249=0,"inicio, fin y duración neta deben ser múltiplos de "&amp;CFG_BLK&amp;" min",""))))))))))))</f>
        <v/>
      </c>
      <c r="BD249" s="80">
        <f>IF(AND(Y249=1,BC249=""),1,0)</f>
        <v>0</v>
      </c>
      <c r="BE249" s="80">
        <f>IF(AND(BD249=1,AU249=1),1,0)</f>
        <v>0</v>
      </c>
      <c r="BF249" s="80" t="str">
        <f>IF(AND(D249="proMX",BD249=1),IF(R249="","Draft",R249),"")</f>
        <v/>
      </c>
      <c r="BG249" s="80">
        <f>IF(BD249=1,ROUND(AG249/60,6),0)</f>
        <v>0</v>
      </c>
      <c r="BH249" s="80">
        <f>IF(BE249=1,ROUND(AG249/60,6),0)</f>
        <v>0</v>
      </c>
      <c r="BI249" s="80">
        <f>IF(BE249=1,ROUND(AP249/60,6),0)</f>
        <v>0</v>
      </c>
      <c r="BJ249" s="80">
        <f>IF(BE249=1,ROUND(AQ249/60,6),0)</f>
        <v>0</v>
      </c>
      <c r="BK249" s="80">
        <f>IF(BE249=1,ROUND((AR249+AS249)/60,6),0)</f>
        <v>0</v>
      </c>
      <c r="BL249" s="80">
        <f>ROUND(BH249-BK249,6)</f>
        <v>0</v>
      </c>
      <c r="BM249" s="80">
        <f>IF(BE249=1,ROUND(AR249/60,6),0)</f>
        <v>0</v>
      </c>
      <c r="BN249" s="80">
        <f>ROUND(BI249-BM249,6)</f>
        <v>0</v>
      </c>
      <c r="BO249" s="80">
        <f>IF(BE249=1,ROUND(AS249/60,6),0)</f>
        <v>0</v>
      </c>
      <c r="BP249" s="80">
        <f>ROUND(BJ249-BO249,6)</f>
        <v>0</v>
      </c>
      <c r="BQ249" s="80">
        <f>IF(BE249=1,AW249,0)</f>
        <v>0</v>
      </c>
      <c r="BR249" s="80">
        <f>IF(BE249=1,AX249,0)</f>
        <v>0</v>
      </c>
      <c r="BS249" s="80">
        <f>IF(AND(BE249=1,D249="Malcolm",BA249&gt;0),MIN(BH249,SUMPRODUCT((R_Emp="proMX")*(R_EN&gt;0)*((R_EN-(R_EN&gt;BR249)*(R_EN-BR249))&gt;(R_SN+(R_SN&lt;BQ249)*(BQ249-R_SN)))*((R_EN-(R_EN&gt;BR249)*(R_EN-BR249))-(R_SN+(R_SN&lt;BQ249)*(BQ249-R_SN))))/60),0)</f>
        <v>0</v>
      </c>
      <c r="BT249" s="80">
        <f>IF(AND(BE249=1,D249="proMX"),ROUND(BI249*CFG_RATE+BJ249*CFG_OTRATE,6),0)</f>
        <v>0</v>
      </c>
      <c r="BU249" s="80">
        <f>IF(AND(BD249=1,D249="proMX"),ROUND(AG249/CFG_BLK,6),0)</f>
        <v>0</v>
      </c>
      <c r="BV249" s="80" t="str">
        <f>IF(BF249="Approved",IF(ISNUMBER(T249),INT(T249),INT(B249)),"")</f>
        <v/>
      </c>
      <c r="BW249" s="80">
        <f>IF(ISNUMBER(B249),IF(DB_MON="Todos",1,IF(AND(INT(B249)&gt;=DB_MS,INT(B249)&lt;=DB_ME),1,0)),0)</f>
        <v>0</v>
      </c>
      <c r="BX249" s="80">
        <f>IF(DB_PROJ="Todos",1,IF(E249&amp;""=DB_PROJ&amp;"",1,0))</f>
        <v>1</v>
      </c>
      <c r="BY249" s="80">
        <f>BW249*BX249</f>
        <v>0</v>
      </c>
      <c r="BZ249" s="80" t="str">
        <f>IF(Y249=1,F249&amp;IF(AND(F249&amp;""&lt;&gt;"",E249&amp;""&lt;&gt;"")," · ","")&amp;E249,"")</f>
        <v/>
      </c>
      <c r="CA249" s="80" t="str">
        <f>IF(AND(BD249=1,E249&amp;""&lt;&gt;""),IF(COUNTIFS($E$5:E248,E249,$BD$5:BD248,1)=0,MAX($CA$5:CA248)+1,""),"")</f>
        <v/>
      </c>
      <c r="CB249" s="80" t="str">
        <f>IF(AND(BE249=1,D249="Malcolm",E249&amp;""&lt;&gt;""),IF(COUNTIFS($D$5:D248,"Malcolm",$E$5:E248,E249,$BE$5:BE248,1)=0,MAX($CB$5:CB248)+1,""),"")</f>
        <v/>
      </c>
      <c r="CC249" s="80" t="str">
        <f>IF(AND(BD249=1,D249="proMX",E249&amp;""&lt;&gt;""),IF(COUNTIFS($D$5:D248,"proMX",$E$5:E248,E249,$BD$5:BD248,1)=0,MAX($CC$5:CC248)+1,""),"")</f>
        <v/>
      </c>
      <c r="CD249" s="80" t="str">
        <f>IF(AND(BE249=1,D249="Malcolm",F249&amp;""&lt;&gt;""),IF(COUNTIFS($D$5:D248,"Malcolm",$F$5:F248,F249,$BE$5:BE248,1)=0,MAX($CD$5:CD248)+1,""),"")</f>
        <v/>
      </c>
      <c r="CE249" s="80" t="str">
        <f>IF(AND(BD249=1,D249="proMX",F249&amp;""&lt;&gt;""),IF(COUNTIFS($D$5:D248,"proMX",$F$5:F248,F249,$BD$5:BD248,1)=0,MAX($CE$5:CE248)+1,""),"")</f>
        <v/>
      </c>
      <c r="CF249" s="80" t="str">
        <f>IF(AND(D249="proMX",BD249=1),IF(OR(BF249="Draft",BF249="Submitted",BF249="Returned",BF249="Recall Requested"),MAX($CF$5:CF248)+1,""),"")</f>
        <v/>
      </c>
      <c r="CG249" s="80">
        <f>IF(BD249=0,0,IF(D249="Malcolm",1,MATCH(BF249,{"Draft","Submitted","Approved","Returned","Recall Requested","Cancelled"},0)+1))</f>
        <v>0</v>
      </c>
      <c r="CH249" s="80">
        <f>IF(AND(BF249="Submitted",ISNUMBER(V249)),IF(V249&gt;CFG_MAXD,1,0),0)</f>
        <v>0</v>
      </c>
    </row>
    <row r="250">
      <c r="A250" s="71" t="str">
        <f>IF(Y250=1,ROW()-5,"")</f>
        <v/>
      </c>
      <c r="B250" s="72" t="n"/>
      <c r="C250" s="71" t="str">
        <f>IF(ISNUMBER(B250),CHOOSE(WEEKDAY(B250,2),"Lun","Mar","Mié","Jue","Vie","Sáb","Dom"),"")</f>
        <v/>
      </c>
      <c r="D250" s="73" t="n"/>
      <c r="E250" s="74" t="n"/>
      <c r="F250" s="74" t="n"/>
      <c r="G250" s="74" t="n"/>
      <c r="H250" s="75" t="n"/>
      <c r="I250" s="75" t="n"/>
      <c r="J250" s="76" t="n"/>
      <c r="K250" s="77" t="str">
        <f>IF(AB250=1,ROUND(AG250/60,4),"")</f>
        <v/>
      </c>
      <c r="L250" s="77" t="str">
        <f>IF(BD250=1,ROUND(AP250/60,4),"")</f>
        <v/>
      </c>
      <c r="M250" s="77" t="str">
        <f>IF(BD250=1,ROUND(AQ250/60,4),"")</f>
        <v/>
      </c>
      <c r="N250" s="71" t="str">
        <f>IF(AND(D250="proMX",AB250=1),ROUND(AG250/CFG_BLK,2),"")</f>
        <v/>
      </c>
      <c r="O250" s="77" t="str">
        <f>IF(D250="proMX",IF(BD250=1,ROUND(AG250/60,4),0),"")</f>
        <v/>
      </c>
      <c r="P250" s="78" t="str">
        <f>IF(Y250=0,"",IF(BD250=1,"OK",IF(D250="proMX","Revisar bloques: ","Revisar: ")&amp;BC250))</f>
        <v/>
      </c>
      <c r="Q250" s="78" t="str">
        <f>IF(NOT(ISNUMBER(B250)),"",IF(COUNTIFS(FER_F,INT(B250))&gt;0,"Feriado"&amp;IF(AH250=1," (laborable)"," (no laborable)"),IF(AH250=1,"Laborable",IF(WEEKDAY(B250,2)&gt;5,"Fin de semana","No laborable"))))</f>
        <v/>
      </c>
      <c r="R250" s="73" t="n"/>
      <c r="S250" s="72" t="n"/>
      <c r="T250" s="72" t="n"/>
      <c r="U250" s="74" t="n"/>
      <c r="V250" s="79" t="str">
        <f>IF(AND(D250="proMX",OR(R250="Submitted",R250="Recall Requested"),ISNUMBER(S250)),CFG_TODAY-INT(S250),"")</f>
        <v/>
      </c>
      <c r="W250" s="78" t="str">
        <f>IF(BD250=0,"",IF(BA250&gt;0,"⚠ Se superpone con un registro de la otra empresa",IF(D250="Malcolm",IF(COUNTA(R250,S250,T250)&gt;0,"Estado/fechas proMX se ignoran en Malcolm",""),IF(BF250="Cancelled","Cancelado: excluido de totales",IF(R250="","Sin estado: se trata como Draft",IF(BF250="Submitted",IF(ISNUMBER(V250),IF(V250&gt;CFG_MAXD,"⚠ "&amp;V250&amp;" días en Submitted (máx. "&amp;CFG_MAXD&amp;")",""),"Falta fecha de envío"),IF(BF250="Returned","⚠ Devuelto: corregir y reenviar",IF(BF250="Recall Requested","Retirada solicitada: pendiente",IF(AND(BF250="Approved",NOT(ISNUMBER(T250))),"Falta fecha de aprobación",IF(AND(ISNUMBER(S250),ISNUMBER(T250),T250&lt;S250),"Aprobación anterior al envío","")))))))))</f>
        <v/>
      </c>
      <c r="Y250" s="80">
        <f>IF(COUNTA(B250,D250,E250,F250,G250,H250,I250,J250,R250,S250,T250)&gt;0,1,0)</f>
        <v>0</v>
      </c>
      <c r="Z250" s="80" t="str">
        <f>IF(AND(ISNUMBER(H250),H250&gt;=0,H250&lt;1),ROUND(H250*1440,0),"")</f>
        <v/>
      </c>
      <c r="AA250" s="80" t="str">
        <f>IF(AND(ISNUMBER(I250),I250&gt;=0,I250&lt;1),ROUND(I250*1440,0),"")</f>
        <v/>
      </c>
      <c r="AB250" s="80">
        <f>IF(AND(ISNUMBER(B250),D250&lt;&gt;"",ISNUMBER(Z250),ISNUMBER(AA250)),IF(Z250=AA250,0,1),0)</f>
        <v>0</v>
      </c>
      <c r="AC250" s="80">
        <f>IF(AB250=1,IF(AA250&lt;Z250,1,0),0)</f>
        <v>0</v>
      </c>
      <c r="AD250" s="80">
        <f>IF(AB250=1,IF(AC250=1,1440-Z250+AA250,AA250-Z250),0)</f>
        <v>0</v>
      </c>
      <c r="AE250" s="80">
        <f>IF(J250="",0,IF(ISNUMBER(J250),J250,-1))</f>
        <v>0</v>
      </c>
      <c r="AF250" s="80">
        <f>MIN(MAX(0,AE250),AD250)</f>
        <v>0</v>
      </c>
      <c r="AG250" s="80">
        <f>MAX(0,AD250-MAX(0,AE250))</f>
        <v>0</v>
      </c>
      <c r="AH250" s="80">
        <f>IF(ISNUMBER(B250),IF(AND(INDEX(CFG_WDAYS,WEEKDAY(INT(B250),2))="Sí",IF(D250="proMX",COUNTIFS(FER_F,INT(B250),FER_NLP,"Sí"),COUNTIFS(FER_F,INT(B250),FER_NLM,"Sí"))=0),1,0),0)</f>
        <v>0</v>
      </c>
      <c r="AI250" s="80">
        <f>IF(AC250=1,IF(AND(INDEX(CFG_WDAYS,WEEKDAY(INT(B250)+1,2))="Sí",IF(D250="proMX",COUNTIFS(FER_F,INT(B250)+1,FER_NLP,"Sí"),COUNTIFS(FER_F,INT(B250)+1,FER_NLM,"Sí"))=0),1,0),0)</f>
        <v>0</v>
      </c>
      <c r="AJ250" s="80">
        <f>IF(AC250=1,1440-Z250,AD250)</f>
        <v>0</v>
      </c>
      <c r="AK250" s="80">
        <f>IF(AND(AB250=1,AH250=1),MAX(0,MIN(IF(AC250=1,1440,AA250),CFG_WEM)-MAX(Z250,CFG_WSM)),0)</f>
        <v>0</v>
      </c>
      <c r="AL250" s="80">
        <f>IF(AND(AC250=1,AI250=1),MAX(0,MIN(AA250,CFG_WEM)-CFG_WSM),0)</f>
        <v>0</v>
      </c>
      <c r="AM250" s="80">
        <f>AK250+AL250</f>
        <v>0</v>
      </c>
      <c r="AN250" s="80">
        <f>IF(CFG_BRK="Proporcional",IF(AD250=0,0,AF250*AM250/AD250),IF(CFG_BRK="Extras primero",MIN(AM250,MAX(0,AF250-(AD250-AM250))),MIN(AF250,AM250)))</f>
        <v>0</v>
      </c>
      <c r="AO250" s="80">
        <f>AF250-AN250</f>
        <v>0</v>
      </c>
      <c r="AP250" s="80">
        <f>AM250-AN250</f>
        <v>0</v>
      </c>
      <c r="AQ250" s="80">
        <f>AD250-AM250-AO250</f>
        <v>0</v>
      </c>
      <c r="AR250" s="80">
        <f>IF(AM250=0,0,AK250-AN250*AK250/AM250)</f>
        <v>0</v>
      </c>
      <c r="AS250" s="80">
        <f>IF(AD250-AM250=0,0,(AJ250-AK250)-AO250*(AJ250-AK250)/(AD250-AM250))</f>
        <v>0</v>
      </c>
      <c r="AT250" s="80" t="str">
        <f>IF(AC250=1,INT(B250)+1,"")</f>
        <v/>
      </c>
      <c r="AU250" s="80">
        <f>IF(AND(D250="proMX",R250="Cancelled"),0,1)</f>
        <v>1</v>
      </c>
      <c r="AV250" s="80">
        <f>IF(AND(AB250=1,AU250=1),IF(COUNTIFS($D$5:D249,D250,$B$5:B249,B250,$Z$5:Z249,Z250,$AA$5:AA249,AA250,$F$5:F249,F250&amp;"",$AU$5:AU249,1)&gt;0,1,0),0)</f>
        <v>0</v>
      </c>
      <c r="AW250" s="80" t="str">
        <f>IF(AB250=1,INT(B250)*1440+Z250,"")</f>
        <v/>
      </c>
      <c r="AX250" s="80" t="str">
        <f>IF(AB250=1,AW250+AD250,"")</f>
        <v/>
      </c>
      <c r="AY250" s="80">
        <f>IF(AND(AB250=1,AV250=0,AU250=1),1,0)</f>
        <v>0</v>
      </c>
      <c r="AZ250" s="80">
        <f>IF(AY250=1,COUNTIFS(R_Emp,D250,R_SAbs,"&lt;"&amp;AX250,R_EAbs,"&gt;"&amp;AW250,R_OKey,1)-1,0)</f>
        <v>0</v>
      </c>
      <c r="BA250" s="80">
        <f>IF(AY250=1,COUNTIFS(R_Emp,"&lt;&gt;"&amp;D250,R_SAbs,"&lt;"&amp;AX250,R_EAbs,"&gt;"&amp;AW250,R_OKey,1),0)</f>
        <v>0</v>
      </c>
      <c r="BB250" s="80">
        <f>IF(AND(AB250=1,D250="proMX"),IF(AND(MOD(Z250,CFG_BLK)=0,MOD(AA250,CFG_BLK)=0,MOD(AG250,CFG_BLK)=0,AG250&gt;0),1,0),1)</f>
        <v>1</v>
      </c>
      <c r="BC250" s="80" t="str">
        <f>IF(Y250=0,"",IF(NOT(ISNUMBER(B250)),"Falta fecha o fecha inválida",IF(D250="","Falta empresa",IF(AND(D250&lt;&gt;"Malcolm",D250&lt;&gt;"proMX"),"Empresa inválida",IF(OR(INT(B250)&lt;CFG_PSTART,INT(B250)&gt;CFG_PEND),"Fecha fuera del período",IF(OR(NOT(ISNUMBER(Z250)),NOT(ISNUMBER(AA250))),"Falta hora inicio/fin o formato inválido",IF(AB250=0,"Hora inicio = hora fin",IF(AE250&lt;0,"Descanso inválido",IF(AE250&gt;=AD250,"Descanso ≥ duración",IF(AV250=1,"Registro duplicado",IF(AZ250&gt;0,"Se superpone con otro registro "&amp;D250,IF(BB250=0,"inicio, fin y duración neta deben ser múltiplos de "&amp;CFG_BLK&amp;" min",""))))))))))))</f>
        <v/>
      </c>
      <c r="BD250" s="80">
        <f>IF(AND(Y250=1,BC250=""),1,0)</f>
        <v>0</v>
      </c>
      <c r="BE250" s="80">
        <f>IF(AND(BD250=1,AU250=1),1,0)</f>
        <v>0</v>
      </c>
      <c r="BF250" s="80" t="str">
        <f>IF(AND(D250="proMX",BD250=1),IF(R250="","Draft",R250),"")</f>
        <v/>
      </c>
      <c r="BG250" s="80">
        <f>IF(BD250=1,ROUND(AG250/60,6),0)</f>
        <v>0</v>
      </c>
      <c r="BH250" s="80">
        <f>IF(BE250=1,ROUND(AG250/60,6),0)</f>
        <v>0</v>
      </c>
      <c r="BI250" s="80">
        <f>IF(BE250=1,ROUND(AP250/60,6),0)</f>
        <v>0</v>
      </c>
      <c r="BJ250" s="80">
        <f>IF(BE250=1,ROUND(AQ250/60,6),0)</f>
        <v>0</v>
      </c>
      <c r="BK250" s="80">
        <f>IF(BE250=1,ROUND((AR250+AS250)/60,6),0)</f>
        <v>0</v>
      </c>
      <c r="BL250" s="80">
        <f>ROUND(BH250-BK250,6)</f>
        <v>0</v>
      </c>
      <c r="BM250" s="80">
        <f>IF(BE250=1,ROUND(AR250/60,6),0)</f>
        <v>0</v>
      </c>
      <c r="BN250" s="80">
        <f>ROUND(BI250-BM250,6)</f>
        <v>0</v>
      </c>
      <c r="BO250" s="80">
        <f>IF(BE250=1,ROUND(AS250/60,6),0)</f>
        <v>0</v>
      </c>
      <c r="BP250" s="80">
        <f>ROUND(BJ250-BO250,6)</f>
        <v>0</v>
      </c>
      <c r="BQ250" s="80">
        <f>IF(BE250=1,AW250,0)</f>
        <v>0</v>
      </c>
      <c r="BR250" s="80">
        <f>IF(BE250=1,AX250,0)</f>
        <v>0</v>
      </c>
      <c r="BS250" s="80">
        <f>IF(AND(BE250=1,D250="Malcolm",BA250&gt;0),MIN(BH250,SUMPRODUCT((R_Emp="proMX")*(R_EN&gt;0)*((R_EN-(R_EN&gt;BR250)*(R_EN-BR250))&gt;(R_SN+(R_SN&lt;BQ250)*(BQ250-R_SN)))*((R_EN-(R_EN&gt;BR250)*(R_EN-BR250))-(R_SN+(R_SN&lt;BQ250)*(BQ250-R_SN))))/60),0)</f>
        <v>0</v>
      </c>
      <c r="BT250" s="80">
        <f>IF(AND(BE250=1,D250="proMX"),ROUND(BI250*CFG_RATE+BJ250*CFG_OTRATE,6),0)</f>
        <v>0</v>
      </c>
      <c r="BU250" s="80">
        <f>IF(AND(BD250=1,D250="proMX"),ROUND(AG250/CFG_BLK,6),0)</f>
        <v>0</v>
      </c>
      <c r="BV250" s="80" t="str">
        <f>IF(BF250="Approved",IF(ISNUMBER(T250),INT(T250),INT(B250)),"")</f>
        <v/>
      </c>
      <c r="BW250" s="80">
        <f>IF(ISNUMBER(B250),IF(DB_MON="Todos",1,IF(AND(INT(B250)&gt;=DB_MS,INT(B250)&lt;=DB_ME),1,0)),0)</f>
        <v>0</v>
      </c>
      <c r="BX250" s="80">
        <f>IF(DB_PROJ="Todos",1,IF(E250&amp;""=DB_PROJ&amp;"",1,0))</f>
        <v>1</v>
      </c>
      <c r="BY250" s="80">
        <f>BW250*BX250</f>
        <v>0</v>
      </c>
      <c r="BZ250" s="80" t="str">
        <f>IF(Y250=1,F250&amp;IF(AND(F250&amp;""&lt;&gt;"",E250&amp;""&lt;&gt;"")," · ","")&amp;E250,"")</f>
        <v/>
      </c>
      <c r="CA250" s="80" t="str">
        <f>IF(AND(BD250=1,E250&amp;""&lt;&gt;""),IF(COUNTIFS($E$5:E249,E250,$BD$5:BD249,1)=0,MAX($CA$5:CA249)+1,""),"")</f>
        <v/>
      </c>
      <c r="CB250" s="80" t="str">
        <f>IF(AND(BE250=1,D250="Malcolm",E250&amp;""&lt;&gt;""),IF(COUNTIFS($D$5:D249,"Malcolm",$E$5:E249,E250,$BE$5:BE249,1)=0,MAX($CB$5:CB249)+1,""),"")</f>
        <v/>
      </c>
      <c r="CC250" s="80" t="str">
        <f>IF(AND(BD250=1,D250="proMX",E250&amp;""&lt;&gt;""),IF(COUNTIFS($D$5:D249,"proMX",$E$5:E249,E250,$BD$5:BD249,1)=0,MAX($CC$5:CC249)+1,""),"")</f>
        <v/>
      </c>
      <c r="CD250" s="80" t="str">
        <f>IF(AND(BE250=1,D250="Malcolm",F250&amp;""&lt;&gt;""),IF(COUNTIFS($D$5:D249,"Malcolm",$F$5:F249,F250,$BE$5:BE249,1)=0,MAX($CD$5:CD249)+1,""),"")</f>
        <v/>
      </c>
      <c r="CE250" s="80" t="str">
        <f>IF(AND(BD250=1,D250="proMX",F250&amp;""&lt;&gt;""),IF(COUNTIFS($D$5:D249,"proMX",$F$5:F249,F250,$BD$5:BD249,1)=0,MAX($CE$5:CE249)+1,""),"")</f>
        <v/>
      </c>
      <c r="CF250" s="80" t="str">
        <f>IF(AND(D250="proMX",BD250=1),IF(OR(BF250="Draft",BF250="Submitted",BF250="Returned",BF250="Recall Requested"),MAX($CF$5:CF249)+1,""),"")</f>
        <v/>
      </c>
      <c r="CG250" s="80">
        <f>IF(BD250=0,0,IF(D250="Malcolm",1,MATCH(BF250,{"Draft","Submitted","Approved","Returned","Recall Requested","Cancelled"},0)+1))</f>
        <v>0</v>
      </c>
      <c r="CH250" s="80">
        <f>IF(AND(BF250="Submitted",ISNUMBER(V250)),IF(V250&gt;CFG_MAXD,1,0),0)</f>
        <v>0</v>
      </c>
    </row>
    <row r="251">
      <c r="A251" s="71" t="str">
        <f>IF(Y251=1,ROW()-5,"")</f>
        <v/>
      </c>
      <c r="B251" s="72" t="n"/>
      <c r="C251" s="71" t="str">
        <f>IF(ISNUMBER(B251),CHOOSE(WEEKDAY(B251,2),"Lun","Mar","Mié","Jue","Vie","Sáb","Dom"),"")</f>
        <v/>
      </c>
      <c r="D251" s="73" t="n"/>
      <c r="E251" s="74" t="n"/>
      <c r="F251" s="74" t="n"/>
      <c r="G251" s="74" t="n"/>
      <c r="H251" s="75" t="n"/>
      <c r="I251" s="75" t="n"/>
      <c r="J251" s="76" t="n"/>
      <c r="K251" s="77" t="str">
        <f>IF(AB251=1,ROUND(AG251/60,4),"")</f>
        <v/>
      </c>
      <c r="L251" s="77" t="str">
        <f>IF(BD251=1,ROUND(AP251/60,4),"")</f>
        <v/>
      </c>
      <c r="M251" s="77" t="str">
        <f>IF(BD251=1,ROUND(AQ251/60,4),"")</f>
        <v/>
      </c>
      <c r="N251" s="71" t="str">
        <f>IF(AND(D251="proMX",AB251=1),ROUND(AG251/CFG_BLK,2),"")</f>
        <v/>
      </c>
      <c r="O251" s="77" t="str">
        <f>IF(D251="proMX",IF(BD251=1,ROUND(AG251/60,4),0),"")</f>
        <v/>
      </c>
      <c r="P251" s="78" t="str">
        <f>IF(Y251=0,"",IF(BD251=1,"OK",IF(D251="proMX","Revisar bloques: ","Revisar: ")&amp;BC251))</f>
        <v/>
      </c>
      <c r="Q251" s="78" t="str">
        <f>IF(NOT(ISNUMBER(B251)),"",IF(COUNTIFS(FER_F,INT(B251))&gt;0,"Feriado"&amp;IF(AH251=1," (laborable)"," (no laborable)"),IF(AH251=1,"Laborable",IF(WEEKDAY(B251,2)&gt;5,"Fin de semana","No laborable"))))</f>
        <v/>
      </c>
      <c r="R251" s="73" t="n"/>
      <c r="S251" s="72" t="n"/>
      <c r="T251" s="72" t="n"/>
      <c r="U251" s="74" t="n"/>
      <c r="V251" s="79" t="str">
        <f>IF(AND(D251="proMX",OR(R251="Submitted",R251="Recall Requested"),ISNUMBER(S251)),CFG_TODAY-INT(S251),"")</f>
        <v/>
      </c>
      <c r="W251" s="78" t="str">
        <f>IF(BD251=0,"",IF(BA251&gt;0,"⚠ Se superpone con un registro de la otra empresa",IF(D251="Malcolm",IF(COUNTA(R251,S251,T251)&gt;0,"Estado/fechas proMX se ignoran en Malcolm",""),IF(BF251="Cancelled","Cancelado: excluido de totales",IF(R251="","Sin estado: se trata como Draft",IF(BF251="Submitted",IF(ISNUMBER(V251),IF(V251&gt;CFG_MAXD,"⚠ "&amp;V251&amp;" días en Submitted (máx. "&amp;CFG_MAXD&amp;")",""),"Falta fecha de envío"),IF(BF251="Returned","⚠ Devuelto: corregir y reenviar",IF(BF251="Recall Requested","Retirada solicitada: pendiente",IF(AND(BF251="Approved",NOT(ISNUMBER(T251))),"Falta fecha de aprobación",IF(AND(ISNUMBER(S251),ISNUMBER(T251),T251&lt;S251),"Aprobación anterior al envío","")))))))))</f>
        <v/>
      </c>
      <c r="Y251" s="80">
        <f>IF(COUNTA(B251,D251,E251,F251,G251,H251,I251,J251,R251,S251,T251)&gt;0,1,0)</f>
        <v>0</v>
      </c>
      <c r="Z251" s="80" t="str">
        <f>IF(AND(ISNUMBER(H251),H251&gt;=0,H251&lt;1),ROUND(H251*1440,0),"")</f>
        <v/>
      </c>
      <c r="AA251" s="80" t="str">
        <f>IF(AND(ISNUMBER(I251),I251&gt;=0,I251&lt;1),ROUND(I251*1440,0),"")</f>
        <v/>
      </c>
      <c r="AB251" s="80">
        <f>IF(AND(ISNUMBER(B251),D251&lt;&gt;"",ISNUMBER(Z251),ISNUMBER(AA251)),IF(Z251=AA251,0,1),0)</f>
        <v>0</v>
      </c>
      <c r="AC251" s="80">
        <f>IF(AB251=1,IF(AA251&lt;Z251,1,0),0)</f>
        <v>0</v>
      </c>
      <c r="AD251" s="80">
        <f>IF(AB251=1,IF(AC251=1,1440-Z251+AA251,AA251-Z251),0)</f>
        <v>0</v>
      </c>
      <c r="AE251" s="80">
        <f>IF(J251="",0,IF(ISNUMBER(J251),J251,-1))</f>
        <v>0</v>
      </c>
      <c r="AF251" s="80">
        <f>MIN(MAX(0,AE251),AD251)</f>
        <v>0</v>
      </c>
      <c r="AG251" s="80">
        <f>MAX(0,AD251-MAX(0,AE251))</f>
        <v>0</v>
      </c>
      <c r="AH251" s="80">
        <f>IF(ISNUMBER(B251),IF(AND(INDEX(CFG_WDAYS,WEEKDAY(INT(B251),2))="Sí",IF(D251="proMX",COUNTIFS(FER_F,INT(B251),FER_NLP,"Sí"),COUNTIFS(FER_F,INT(B251),FER_NLM,"Sí"))=0),1,0),0)</f>
        <v>0</v>
      </c>
      <c r="AI251" s="80">
        <f>IF(AC251=1,IF(AND(INDEX(CFG_WDAYS,WEEKDAY(INT(B251)+1,2))="Sí",IF(D251="proMX",COUNTIFS(FER_F,INT(B251)+1,FER_NLP,"Sí"),COUNTIFS(FER_F,INT(B251)+1,FER_NLM,"Sí"))=0),1,0),0)</f>
        <v>0</v>
      </c>
      <c r="AJ251" s="80">
        <f>IF(AC251=1,1440-Z251,AD251)</f>
        <v>0</v>
      </c>
      <c r="AK251" s="80">
        <f>IF(AND(AB251=1,AH251=1),MAX(0,MIN(IF(AC251=1,1440,AA251),CFG_WEM)-MAX(Z251,CFG_WSM)),0)</f>
        <v>0</v>
      </c>
      <c r="AL251" s="80">
        <f>IF(AND(AC251=1,AI251=1),MAX(0,MIN(AA251,CFG_WEM)-CFG_WSM),0)</f>
        <v>0</v>
      </c>
      <c r="AM251" s="80">
        <f>AK251+AL251</f>
        <v>0</v>
      </c>
      <c r="AN251" s="80">
        <f>IF(CFG_BRK="Proporcional",IF(AD251=0,0,AF251*AM251/AD251),IF(CFG_BRK="Extras primero",MIN(AM251,MAX(0,AF251-(AD251-AM251))),MIN(AF251,AM251)))</f>
        <v>0</v>
      </c>
      <c r="AO251" s="80">
        <f>AF251-AN251</f>
        <v>0</v>
      </c>
      <c r="AP251" s="80">
        <f>AM251-AN251</f>
        <v>0</v>
      </c>
      <c r="AQ251" s="80">
        <f>AD251-AM251-AO251</f>
        <v>0</v>
      </c>
      <c r="AR251" s="80">
        <f>IF(AM251=0,0,AK251-AN251*AK251/AM251)</f>
        <v>0</v>
      </c>
      <c r="AS251" s="80">
        <f>IF(AD251-AM251=0,0,(AJ251-AK251)-AO251*(AJ251-AK251)/(AD251-AM251))</f>
        <v>0</v>
      </c>
      <c r="AT251" s="80" t="str">
        <f>IF(AC251=1,INT(B251)+1,"")</f>
        <v/>
      </c>
      <c r="AU251" s="80">
        <f>IF(AND(D251="proMX",R251="Cancelled"),0,1)</f>
        <v>1</v>
      </c>
      <c r="AV251" s="80">
        <f>IF(AND(AB251=1,AU251=1),IF(COUNTIFS($D$5:D250,D251,$B$5:B250,B251,$Z$5:Z250,Z251,$AA$5:AA250,AA251,$F$5:F250,F251&amp;"",$AU$5:AU250,1)&gt;0,1,0),0)</f>
        <v>0</v>
      </c>
      <c r="AW251" s="80" t="str">
        <f>IF(AB251=1,INT(B251)*1440+Z251,"")</f>
        <v/>
      </c>
      <c r="AX251" s="80" t="str">
        <f>IF(AB251=1,AW251+AD251,"")</f>
        <v/>
      </c>
      <c r="AY251" s="80">
        <f>IF(AND(AB251=1,AV251=0,AU251=1),1,0)</f>
        <v>0</v>
      </c>
      <c r="AZ251" s="80">
        <f>IF(AY251=1,COUNTIFS(R_Emp,D251,R_SAbs,"&lt;"&amp;AX251,R_EAbs,"&gt;"&amp;AW251,R_OKey,1)-1,0)</f>
        <v>0</v>
      </c>
      <c r="BA251" s="80">
        <f>IF(AY251=1,COUNTIFS(R_Emp,"&lt;&gt;"&amp;D251,R_SAbs,"&lt;"&amp;AX251,R_EAbs,"&gt;"&amp;AW251,R_OKey,1),0)</f>
        <v>0</v>
      </c>
      <c r="BB251" s="80">
        <f>IF(AND(AB251=1,D251="proMX"),IF(AND(MOD(Z251,CFG_BLK)=0,MOD(AA251,CFG_BLK)=0,MOD(AG251,CFG_BLK)=0,AG251&gt;0),1,0),1)</f>
        <v>1</v>
      </c>
      <c r="BC251" s="80" t="str">
        <f>IF(Y251=0,"",IF(NOT(ISNUMBER(B251)),"Falta fecha o fecha inválida",IF(D251="","Falta empresa",IF(AND(D251&lt;&gt;"Malcolm",D251&lt;&gt;"proMX"),"Empresa inválida",IF(OR(INT(B251)&lt;CFG_PSTART,INT(B251)&gt;CFG_PEND),"Fecha fuera del período",IF(OR(NOT(ISNUMBER(Z251)),NOT(ISNUMBER(AA251))),"Falta hora inicio/fin o formato inválido",IF(AB251=0,"Hora inicio = hora fin",IF(AE251&lt;0,"Descanso inválido",IF(AE251&gt;=AD251,"Descanso ≥ duración",IF(AV251=1,"Registro duplicado",IF(AZ251&gt;0,"Se superpone con otro registro "&amp;D251,IF(BB251=0,"inicio, fin y duración neta deben ser múltiplos de "&amp;CFG_BLK&amp;" min",""))))))))))))</f>
        <v/>
      </c>
      <c r="BD251" s="80">
        <f>IF(AND(Y251=1,BC251=""),1,0)</f>
        <v>0</v>
      </c>
      <c r="BE251" s="80">
        <f>IF(AND(BD251=1,AU251=1),1,0)</f>
        <v>0</v>
      </c>
      <c r="BF251" s="80" t="str">
        <f>IF(AND(D251="proMX",BD251=1),IF(R251="","Draft",R251),"")</f>
        <v/>
      </c>
      <c r="BG251" s="80">
        <f>IF(BD251=1,ROUND(AG251/60,6),0)</f>
        <v>0</v>
      </c>
      <c r="BH251" s="80">
        <f>IF(BE251=1,ROUND(AG251/60,6),0)</f>
        <v>0</v>
      </c>
      <c r="BI251" s="80">
        <f>IF(BE251=1,ROUND(AP251/60,6),0)</f>
        <v>0</v>
      </c>
      <c r="BJ251" s="80">
        <f>IF(BE251=1,ROUND(AQ251/60,6),0)</f>
        <v>0</v>
      </c>
      <c r="BK251" s="80">
        <f>IF(BE251=1,ROUND((AR251+AS251)/60,6),0)</f>
        <v>0</v>
      </c>
      <c r="BL251" s="80">
        <f>ROUND(BH251-BK251,6)</f>
        <v>0</v>
      </c>
      <c r="BM251" s="80">
        <f>IF(BE251=1,ROUND(AR251/60,6),0)</f>
        <v>0</v>
      </c>
      <c r="BN251" s="80">
        <f>ROUND(BI251-BM251,6)</f>
        <v>0</v>
      </c>
      <c r="BO251" s="80">
        <f>IF(BE251=1,ROUND(AS251/60,6),0)</f>
        <v>0</v>
      </c>
      <c r="BP251" s="80">
        <f>ROUND(BJ251-BO251,6)</f>
        <v>0</v>
      </c>
      <c r="BQ251" s="80">
        <f>IF(BE251=1,AW251,0)</f>
        <v>0</v>
      </c>
      <c r="BR251" s="80">
        <f>IF(BE251=1,AX251,0)</f>
        <v>0</v>
      </c>
      <c r="BS251" s="80">
        <f>IF(AND(BE251=1,D251="Malcolm",BA251&gt;0),MIN(BH251,SUMPRODUCT((R_Emp="proMX")*(R_EN&gt;0)*((R_EN-(R_EN&gt;BR251)*(R_EN-BR251))&gt;(R_SN+(R_SN&lt;BQ251)*(BQ251-R_SN)))*((R_EN-(R_EN&gt;BR251)*(R_EN-BR251))-(R_SN+(R_SN&lt;BQ251)*(BQ251-R_SN))))/60),0)</f>
        <v>0</v>
      </c>
      <c r="BT251" s="80">
        <f>IF(AND(BE251=1,D251="proMX"),ROUND(BI251*CFG_RATE+BJ251*CFG_OTRATE,6),0)</f>
        <v>0</v>
      </c>
      <c r="BU251" s="80">
        <f>IF(AND(BD251=1,D251="proMX"),ROUND(AG251/CFG_BLK,6),0)</f>
        <v>0</v>
      </c>
      <c r="BV251" s="80" t="str">
        <f>IF(BF251="Approved",IF(ISNUMBER(T251),INT(T251),INT(B251)),"")</f>
        <v/>
      </c>
      <c r="BW251" s="80">
        <f>IF(ISNUMBER(B251),IF(DB_MON="Todos",1,IF(AND(INT(B251)&gt;=DB_MS,INT(B251)&lt;=DB_ME),1,0)),0)</f>
        <v>0</v>
      </c>
      <c r="BX251" s="80">
        <f>IF(DB_PROJ="Todos",1,IF(E251&amp;""=DB_PROJ&amp;"",1,0))</f>
        <v>1</v>
      </c>
      <c r="BY251" s="80">
        <f>BW251*BX251</f>
        <v>0</v>
      </c>
      <c r="BZ251" s="80" t="str">
        <f>IF(Y251=1,F251&amp;IF(AND(F251&amp;""&lt;&gt;"",E251&amp;""&lt;&gt;"")," · ","")&amp;E251,"")</f>
        <v/>
      </c>
      <c r="CA251" s="80" t="str">
        <f>IF(AND(BD251=1,E251&amp;""&lt;&gt;""),IF(COUNTIFS($E$5:E250,E251,$BD$5:BD250,1)=0,MAX($CA$5:CA250)+1,""),"")</f>
        <v/>
      </c>
      <c r="CB251" s="80" t="str">
        <f>IF(AND(BE251=1,D251="Malcolm",E251&amp;""&lt;&gt;""),IF(COUNTIFS($D$5:D250,"Malcolm",$E$5:E250,E251,$BE$5:BE250,1)=0,MAX($CB$5:CB250)+1,""),"")</f>
        <v/>
      </c>
      <c r="CC251" s="80" t="str">
        <f>IF(AND(BD251=1,D251="proMX",E251&amp;""&lt;&gt;""),IF(COUNTIFS($D$5:D250,"proMX",$E$5:E250,E251,$BD$5:BD250,1)=0,MAX($CC$5:CC250)+1,""),"")</f>
        <v/>
      </c>
      <c r="CD251" s="80" t="str">
        <f>IF(AND(BE251=1,D251="Malcolm",F251&amp;""&lt;&gt;""),IF(COUNTIFS($D$5:D250,"Malcolm",$F$5:F250,F251,$BE$5:BE250,1)=0,MAX($CD$5:CD250)+1,""),"")</f>
        <v/>
      </c>
      <c r="CE251" s="80" t="str">
        <f>IF(AND(BD251=1,D251="proMX",F251&amp;""&lt;&gt;""),IF(COUNTIFS($D$5:D250,"proMX",$F$5:F250,F251,$BD$5:BD250,1)=0,MAX($CE$5:CE250)+1,""),"")</f>
        <v/>
      </c>
      <c r="CF251" s="80" t="str">
        <f>IF(AND(D251="proMX",BD251=1),IF(OR(BF251="Draft",BF251="Submitted",BF251="Returned",BF251="Recall Requested"),MAX($CF$5:CF250)+1,""),"")</f>
        <v/>
      </c>
      <c r="CG251" s="80">
        <f>IF(BD251=0,0,IF(D251="Malcolm",1,MATCH(BF251,{"Draft","Submitted","Approved","Returned","Recall Requested","Cancelled"},0)+1))</f>
        <v>0</v>
      </c>
      <c r="CH251" s="80">
        <f>IF(AND(BF251="Submitted",ISNUMBER(V251)),IF(V251&gt;CFG_MAXD,1,0),0)</f>
        <v>0</v>
      </c>
    </row>
    <row r="252">
      <c r="A252" s="71" t="str">
        <f>IF(Y252=1,ROW()-5,"")</f>
        <v/>
      </c>
      <c r="B252" s="72" t="n"/>
      <c r="C252" s="71" t="str">
        <f>IF(ISNUMBER(B252),CHOOSE(WEEKDAY(B252,2),"Lun","Mar","Mié","Jue","Vie","Sáb","Dom"),"")</f>
        <v/>
      </c>
      <c r="D252" s="73" t="n"/>
      <c r="E252" s="74" t="n"/>
      <c r="F252" s="74" t="n"/>
      <c r="G252" s="74" t="n"/>
      <c r="H252" s="75" t="n"/>
      <c r="I252" s="75" t="n"/>
      <c r="J252" s="76" t="n"/>
      <c r="K252" s="77" t="str">
        <f>IF(AB252=1,ROUND(AG252/60,4),"")</f>
        <v/>
      </c>
      <c r="L252" s="77" t="str">
        <f>IF(BD252=1,ROUND(AP252/60,4),"")</f>
        <v/>
      </c>
      <c r="M252" s="77" t="str">
        <f>IF(BD252=1,ROUND(AQ252/60,4),"")</f>
        <v/>
      </c>
      <c r="N252" s="71" t="str">
        <f>IF(AND(D252="proMX",AB252=1),ROUND(AG252/CFG_BLK,2),"")</f>
        <v/>
      </c>
      <c r="O252" s="77" t="str">
        <f>IF(D252="proMX",IF(BD252=1,ROUND(AG252/60,4),0),"")</f>
        <v/>
      </c>
      <c r="P252" s="78" t="str">
        <f>IF(Y252=0,"",IF(BD252=1,"OK",IF(D252="proMX","Revisar bloques: ","Revisar: ")&amp;BC252))</f>
        <v/>
      </c>
      <c r="Q252" s="78" t="str">
        <f>IF(NOT(ISNUMBER(B252)),"",IF(COUNTIFS(FER_F,INT(B252))&gt;0,"Feriado"&amp;IF(AH252=1," (laborable)"," (no laborable)"),IF(AH252=1,"Laborable",IF(WEEKDAY(B252,2)&gt;5,"Fin de semana","No laborable"))))</f>
        <v/>
      </c>
      <c r="R252" s="73" t="n"/>
      <c r="S252" s="72" t="n"/>
      <c r="T252" s="72" t="n"/>
      <c r="U252" s="74" t="n"/>
      <c r="V252" s="79" t="str">
        <f>IF(AND(D252="proMX",OR(R252="Submitted",R252="Recall Requested"),ISNUMBER(S252)),CFG_TODAY-INT(S252),"")</f>
        <v/>
      </c>
      <c r="W252" s="78" t="str">
        <f>IF(BD252=0,"",IF(BA252&gt;0,"⚠ Se superpone con un registro de la otra empresa",IF(D252="Malcolm",IF(COUNTA(R252,S252,T252)&gt;0,"Estado/fechas proMX se ignoran en Malcolm",""),IF(BF252="Cancelled","Cancelado: excluido de totales",IF(R252="","Sin estado: se trata como Draft",IF(BF252="Submitted",IF(ISNUMBER(V252),IF(V252&gt;CFG_MAXD,"⚠ "&amp;V252&amp;" días en Submitted (máx. "&amp;CFG_MAXD&amp;")",""),"Falta fecha de envío"),IF(BF252="Returned","⚠ Devuelto: corregir y reenviar",IF(BF252="Recall Requested","Retirada solicitada: pendiente",IF(AND(BF252="Approved",NOT(ISNUMBER(T252))),"Falta fecha de aprobación",IF(AND(ISNUMBER(S252),ISNUMBER(T252),T252&lt;S252),"Aprobación anterior al envío","")))))))))</f>
        <v/>
      </c>
      <c r="Y252" s="80">
        <f>IF(COUNTA(B252,D252,E252,F252,G252,H252,I252,J252,R252,S252,T252)&gt;0,1,0)</f>
        <v>0</v>
      </c>
      <c r="Z252" s="80" t="str">
        <f>IF(AND(ISNUMBER(H252),H252&gt;=0,H252&lt;1),ROUND(H252*1440,0),"")</f>
        <v/>
      </c>
      <c r="AA252" s="80" t="str">
        <f>IF(AND(ISNUMBER(I252),I252&gt;=0,I252&lt;1),ROUND(I252*1440,0),"")</f>
        <v/>
      </c>
      <c r="AB252" s="80">
        <f>IF(AND(ISNUMBER(B252),D252&lt;&gt;"",ISNUMBER(Z252),ISNUMBER(AA252)),IF(Z252=AA252,0,1),0)</f>
        <v>0</v>
      </c>
      <c r="AC252" s="80">
        <f>IF(AB252=1,IF(AA252&lt;Z252,1,0),0)</f>
        <v>0</v>
      </c>
      <c r="AD252" s="80">
        <f>IF(AB252=1,IF(AC252=1,1440-Z252+AA252,AA252-Z252),0)</f>
        <v>0</v>
      </c>
      <c r="AE252" s="80">
        <f>IF(J252="",0,IF(ISNUMBER(J252),J252,-1))</f>
        <v>0</v>
      </c>
      <c r="AF252" s="80">
        <f>MIN(MAX(0,AE252),AD252)</f>
        <v>0</v>
      </c>
      <c r="AG252" s="80">
        <f>MAX(0,AD252-MAX(0,AE252))</f>
        <v>0</v>
      </c>
      <c r="AH252" s="80">
        <f>IF(ISNUMBER(B252),IF(AND(INDEX(CFG_WDAYS,WEEKDAY(INT(B252),2))="Sí",IF(D252="proMX",COUNTIFS(FER_F,INT(B252),FER_NLP,"Sí"),COUNTIFS(FER_F,INT(B252),FER_NLM,"Sí"))=0),1,0),0)</f>
        <v>0</v>
      </c>
      <c r="AI252" s="80">
        <f>IF(AC252=1,IF(AND(INDEX(CFG_WDAYS,WEEKDAY(INT(B252)+1,2))="Sí",IF(D252="proMX",COUNTIFS(FER_F,INT(B252)+1,FER_NLP,"Sí"),COUNTIFS(FER_F,INT(B252)+1,FER_NLM,"Sí"))=0),1,0),0)</f>
        <v>0</v>
      </c>
      <c r="AJ252" s="80">
        <f>IF(AC252=1,1440-Z252,AD252)</f>
        <v>0</v>
      </c>
      <c r="AK252" s="80">
        <f>IF(AND(AB252=1,AH252=1),MAX(0,MIN(IF(AC252=1,1440,AA252),CFG_WEM)-MAX(Z252,CFG_WSM)),0)</f>
        <v>0</v>
      </c>
      <c r="AL252" s="80">
        <f>IF(AND(AC252=1,AI252=1),MAX(0,MIN(AA252,CFG_WEM)-CFG_WSM),0)</f>
        <v>0</v>
      </c>
      <c r="AM252" s="80">
        <f>AK252+AL252</f>
        <v>0</v>
      </c>
      <c r="AN252" s="80">
        <f>IF(CFG_BRK="Proporcional",IF(AD252=0,0,AF252*AM252/AD252),IF(CFG_BRK="Extras primero",MIN(AM252,MAX(0,AF252-(AD252-AM252))),MIN(AF252,AM252)))</f>
        <v>0</v>
      </c>
      <c r="AO252" s="80">
        <f>AF252-AN252</f>
        <v>0</v>
      </c>
      <c r="AP252" s="80">
        <f>AM252-AN252</f>
        <v>0</v>
      </c>
      <c r="AQ252" s="80">
        <f>AD252-AM252-AO252</f>
        <v>0</v>
      </c>
      <c r="AR252" s="80">
        <f>IF(AM252=0,0,AK252-AN252*AK252/AM252)</f>
        <v>0</v>
      </c>
      <c r="AS252" s="80">
        <f>IF(AD252-AM252=0,0,(AJ252-AK252)-AO252*(AJ252-AK252)/(AD252-AM252))</f>
        <v>0</v>
      </c>
      <c r="AT252" s="80" t="str">
        <f>IF(AC252=1,INT(B252)+1,"")</f>
        <v/>
      </c>
      <c r="AU252" s="80">
        <f>IF(AND(D252="proMX",R252="Cancelled"),0,1)</f>
        <v>1</v>
      </c>
      <c r="AV252" s="80">
        <f>IF(AND(AB252=1,AU252=1),IF(COUNTIFS($D$5:D251,D252,$B$5:B251,B252,$Z$5:Z251,Z252,$AA$5:AA251,AA252,$F$5:F251,F252&amp;"",$AU$5:AU251,1)&gt;0,1,0),0)</f>
        <v>0</v>
      </c>
      <c r="AW252" s="80" t="str">
        <f>IF(AB252=1,INT(B252)*1440+Z252,"")</f>
        <v/>
      </c>
      <c r="AX252" s="80" t="str">
        <f>IF(AB252=1,AW252+AD252,"")</f>
        <v/>
      </c>
      <c r="AY252" s="80">
        <f>IF(AND(AB252=1,AV252=0,AU252=1),1,0)</f>
        <v>0</v>
      </c>
      <c r="AZ252" s="80">
        <f>IF(AY252=1,COUNTIFS(R_Emp,D252,R_SAbs,"&lt;"&amp;AX252,R_EAbs,"&gt;"&amp;AW252,R_OKey,1)-1,0)</f>
        <v>0</v>
      </c>
      <c r="BA252" s="80">
        <f>IF(AY252=1,COUNTIFS(R_Emp,"&lt;&gt;"&amp;D252,R_SAbs,"&lt;"&amp;AX252,R_EAbs,"&gt;"&amp;AW252,R_OKey,1),0)</f>
        <v>0</v>
      </c>
      <c r="BB252" s="80">
        <f>IF(AND(AB252=1,D252="proMX"),IF(AND(MOD(Z252,CFG_BLK)=0,MOD(AA252,CFG_BLK)=0,MOD(AG252,CFG_BLK)=0,AG252&gt;0),1,0),1)</f>
        <v>1</v>
      </c>
      <c r="BC252" s="80" t="str">
        <f>IF(Y252=0,"",IF(NOT(ISNUMBER(B252)),"Falta fecha o fecha inválida",IF(D252="","Falta empresa",IF(AND(D252&lt;&gt;"Malcolm",D252&lt;&gt;"proMX"),"Empresa inválida",IF(OR(INT(B252)&lt;CFG_PSTART,INT(B252)&gt;CFG_PEND),"Fecha fuera del período",IF(OR(NOT(ISNUMBER(Z252)),NOT(ISNUMBER(AA252))),"Falta hora inicio/fin o formato inválido",IF(AB252=0,"Hora inicio = hora fin",IF(AE252&lt;0,"Descanso inválido",IF(AE252&gt;=AD252,"Descanso ≥ duración",IF(AV252=1,"Registro duplicado",IF(AZ252&gt;0,"Se superpone con otro registro "&amp;D252,IF(BB252=0,"inicio, fin y duración neta deben ser múltiplos de "&amp;CFG_BLK&amp;" min",""))))))))))))</f>
        <v/>
      </c>
      <c r="BD252" s="80">
        <f>IF(AND(Y252=1,BC252=""),1,0)</f>
        <v>0</v>
      </c>
      <c r="BE252" s="80">
        <f>IF(AND(BD252=1,AU252=1),1,0)</f>
        <v>0</v>
      </c>
      <c r="BF252" s="80" t="str">
        <f>IF(AND(D252="proMX",BD252=1),IF(R252="","Draft",R252),"")</f>
        <v/>
      </c>
      <c r="BG252" s="80">
        <f>IF(BD252=1,ROUND(AG252/60,6),0)</f>
        <v>0</v>
      </c>
      <c r="BH252" s="80">
        <f>IF(BE252=1,ROUND(AG252/60,6),0)</f>
        <v>0</v>
      </c>
      <c r="BI252" s="80">
        <f>IF(BE252=1,ROUND(AP252/60,6),0)</f>
        <v>0</v>
      </c>
      <c r="BJ252" s="80">
        <f>IF(BE252=1,ROUND(AQ252/60,6),0)</f>
        <v>0</v>
      </c>
      <c r="BK252" s="80">
        <f>IF(BE252=1,ROUND((AR252+AS252)/60,6),0)</f>
        <v>0</v>
      </c>
      <c r="BL252" s="80">
        <f>ROUND(BH252-BK252,6)</f>
        <v>0</v>
      </c>
      <c r="BM252" s="80">
        <f>IF(BE252=1,ROUND(AR252/60,6),0)</f>
        <v>0</v>
      </c>
      <c r="BN252" s="80">
        <f>ROUND(BI252-BM252,6)</f>
        <v>0</v>
      </c>
      <c r="BO252" s="80">
        <f>IF(BE252=1,ROUND(AS252/60,6),0)</f>
        <v>0</v>
      </c>
      <c r="BP252" s="80">
        <f>ROUND(BJ252-BO252,6)</f>
        <v>0</v>
      </c>
      <c r="BQ252" s="80">
        <f>IF(BE252=1,AW252,0)</f>
        <v>0</v>
      </c>
      <c r="BR252" s="80">
        <f>IF(BE252=1,AX252,0)</f>
        <v>0</v>
      </c>
      <c r="BS252" s="80">
        <f>IF(AND(BE252=1,D252="Malcolm",BA252&gt;0),MIN(BH252,SUMPRODUCT((R_Emp="proMX")*(R_EN&gt;0)*((R_EN-(R_EN&gt;BR252)*(R_EN-BR252))&gt;(R_SN+(R_SN&lt;BQ252)*(BQ252-R_SN)))*((R_EN-(R_EN&gt;BR252)*(R_EN-BR252))-(R_SN+(R_SN&lt;BQ252)*(BQ252-R_SN))))/60),0)</f>
        <v>0</v>
      </c>
      <c r="BT252" s="80">
        <f>IF(AND(BE252=1,D252="proMX"),ROUND(BI252*CFG_RATE+BJ252*CFG_OTRATE,6),0)</f>
        <v>0</v>
      </c>
      <c r="BU252" s="80">
        <f>IF(AND(BD252=1,D252="proMX"),ROUND(AG252/CFG_BLK,6),0)</f>
        <v>0</v>
      </c>
      <c r="BV252" s="80" t="str">
        <f>IF(BF252="Approved",IF(ISNUMBER(T252),INT(T252),INT(B252)),"")</f>
        <v/>
      </c>
      <c r="BW252" s="80">
        <f>IF(ISNUMBER(B252),IF(DB_MON="Todos",1,IF(AND(INT(B252)&gt;=DB_MS,INT(B252)&lt;=DB_ME),1,0)),0)</f>
        <v>0</v>
      </c>
      <c r="BX252" s="80">
        <f>IF(DB_PROJ="Todos",1,IF(E252&amp;""=DB_PROJ&amp;"",1,0))</f>
        <v>1</v>
      </c>
      <c r="BY252" s="80">
        <f>BW252*BX252</f>
        <v>0</v>
      </c>
      <c r="BZ252" s="80" t="str">
        <f>IF(Y252=1,F252&amp;IF(AND(F252&amp;""&lt;&gt;"",E252&amp;""&lt;&gt;"")," · ","")&amp;E252,"")</f>
        <v/>
      </c>
      <c r="CA252" s="80" t="str">
        <f>IF(AND(BD252=1,E252&amp;""&lt;&gt;""),IF(COUNTIFS($E$5:E251,E252,$BD$5:BD251,1)=0,MAX($CA$5:CA251)+1,""),"")</f>
        <v/>
      </c>
      <c r="CB252" s="80" t="str">
        <f>IF(AND(BE252=1,D252="Malcolm",E252&amp;""&lt;&gt;""),IF(COUNTIFS($D$5:D251,"Malcolm",$E$5:E251,E252,$BE$5:BE251,1)=0,MAX($CB$5:CB251)+1,""),"")</f>
        <v/>
      </c>
      <c r="CC252" s="80" t="str">
        <f>IF(AND(BD252=1,D252="proMX",E252&amp;""&lt;&gt;""),IF(COUNTIFS($D$5:D251,"proMX",$E$5:E251,E252,$BD$5:BD251,1)=0,MAX($CC$5:CC251)+1,""),"")</f>
        <v/>
      </c>
      <c r="CD252" s="80" t="str">
        <f>IF(AND(BE252=1,D252="Malcolm",F252&amp;""&lt;&gt;""),IF(COUNTIFS($D$5:D251,"Malcolm",$F$5:F251,F252,$BE$5:BE251,1)=0,MAX($CD$5:CD251)+1,""),"")</f>
        <v/>
      </c>
      <c r="CE252" s="80" t="str">
        <f>IF(AND(BD252=1,D252="proMX",F252&amp;""&lt;&gt;""),IF(COUNTIFS($D$5:D251,"proMX",$F$5:F251,F252,$BD$5:BD251,1)=0,MAX($CE$5:CE251)+1,""),"")</f>
        <v/>
      </c>
      <c r="CF252" s="80" t="str">
        <f>IF(AND(D252="proMX",BD252=1),IF(OR(BF252="Draft",BF252="Submitted",BF252="Returned",BF252="Recall Requested"),MAX($CF$5:CF251)+1,""),"")</f>
        <v/>
      </c>
      <c r="CG252" s="80">
        <f>IF(BD252=0,0,IF(D252="Malcolm",1,MATCH(BF252,{"Draft","Submitted","Approved","Returned","Recall Requested","Cancelled"},0)+1))</f>
        <v>0</v>
      </c>
      <c r="CH252" s="80">
        <f>IF(AND(BF252="Submitted",ISNUMBER(V252)),IF(V252&gt;CFG_MAXD,1,0),0)</f>
        <v>0</v>
      </c>
    </row>
    <row r="253">
      <c r="A253" s="71" t="str">
        <f>IF(Y253=1,ROW()-5,"")</f>
        <v/>
      </c>
      <c r="B253" s="72" t="n"/>
      <c r="C253" s="71" t="str">
        <f>IF(ISNUMBER(B253),CHOOSE(WEEKDAY(B253,2),"Lun","Mar","Mié","Jue","Vie","Sáb","Dom"),"")</f>
        <v/>
      </c>
      <c r="D253" s="73" t="n"/>
      <c r="E253" s="74" t="n"/>
      <c r="F253" s="74" t="n"/>
      <c r="G253" s="74" t="n"/>
      <c r="H253" s="75" t="n"/>
      <c r="I253" s="75" t="n"/>
      <c r="J253" s="76" t="n"/>
      <c r="K253" s="77" t="str">
        <f>IF(AB253=1,ROUND(AG253/60,4),"")</f>
        <v/>
      </c>
      <c r="L253" s="77" t="str">
        <f>IF(BD253=1,ROUND(AP253/60,4),"")</f>
        <v/>
      </c>
      <c r="M253" s="77" t="str">
        <f>IF(BD253=1,ROUND(AQ253/60,4),"")</f>
        <v/>
      </c>
      <c r="N253" s="71" t="str">
        <f>IF(AND(D253="proMX",AB253=1),ROUND(AG253/CFG_BLK,2),"")</f>
        <v/>
      </c>
      <c r="O253" s="77" t="str">
        <f>IF(D253="proMX",IF(BD253=1,ROUND(AG253/60,4),0),"")</f>
        <v/>
      </c>
      <c r="P253" s="78" t="str">
        <f>IF(Y253=0,"",IF(BD253=1,"OK",IF(D253="proMX","Revisar bloques: ","Revisar: ")&amp;BC253))</f>
        <v/>
      </c>
      <c r="Q253" s="78" t="str">
        <f>IF(NOT(ISNUMBER(B253)),"",IF(COUNTIFS(FER_F,INT(B253))&gt;0,"Feriado"&amp;IF(AH253=1," (laborable)"," (no laborable)"),IF(AH253=1,"Laborable",IF(WEEKDAY(B253,2)&gt;5,"Fin de semana","No laborable"))))</f>
        <v/>
      </c>
      <c r="R253" s="73" t="n"/>
      <c r="S253" s="72" t="n"/>
      <c r="T253" s="72" t="n"/>
      <c r="U253" s="74" t="n"/>
      <c r="V253" s="79" t="str">
        <f>IF(AND(D253="proMX",OR(R253="Submitted",R253="Recall Requested"),ISNUMBER(S253)),CFG_TODAY-INT(S253),"")</f>
        <v/>
      </c>
      <c r="W253" s="78" t="str">
        <f>IF(BD253=0,"",IF(BA253&gt;0,"⚠ Se superpone con un registro de la otra empresa",IF(D253="Malcolm",IF(COUNTA(R253,S253,T253)&gt;0,"Estado/fechas proMX se ignoran en Malcolm",""),IF(BF253="Cancelled","Cancelado: excluido de totales",IF(R253="","Sin estado: se trata como Draft",IF(BF253="Submitted",IF(ISNUMBER(V253),IF(V253&gt;CFG_MAXD,"⚠ "&amp;V253&amp;" días en Submitted (máx. "&amp;CFG_MAXD&amp;")",""),"Falta fecha de envío"),IF(BF253="Returned","⚠ Devuelto: corregir y reenviar",IF(BF253="Recall Requested","Retirada solicitada: pendiente",IF(AND(BF253="Approved",NOT(ISNUMBER(T253))),"Falta fecha de aprobación",IF(AND(ISNUMBER(S253),ISNUMBER(T253),T253&lt;S253),"Aprobación anterior al envío","")))))))))</f>
        <v/>
      </c>
      <c r="Y253" s="80">
        <f>IF(COUNTA(B253,D253,E253,F253,G253,H253,I253,J253,R253,S253,T253)&gt;0,1,0)</f>
        <v>0</v>
      </c>
      <c r="Z253" s="80" t="str">
        <f>IF(AND(ISNUMBER(H253),H253&gt;=0,H253&lt;1),ROUND(H253*1440,0),"")</f>
        <v/>
      </c>
      <c r="AA253" s="80" t="str">
        <f>IF(AND(ISNUMBER(I253),I253&gt;=0,I253&lt;1),ROUND(I253*1440,0),"")</f>
        <v/>
      </c>
      <c r="AB253" s="80">
        <f>IF(AND(ISNUMBER(B253),D253&lt;&gt;"",ISNUMBER(Z253),ISNUMBER(AA253)),IF(Z253=AA253,0,1),0)</f>
        <v>0</v>
      </c>
      <c r="AC253" s="80">
        <f>IF(AB253=1,IF(AA253&lt;Z253,1,0),0)</f>
        <v>0</v>
      </c>
      <c r="AD253" s="80">
        <f>IF(AB253=1,IF(AC253=1,1440-Z253+AA253,AA253-Z253),0)</f>
        <v>0</v>
      </c>
      <c r="AE253" s="80">
        <f>IF(J253="",0,IF(ISNUMBER(J253),J253,-1))</f>
        <v>0</v>
      </c>
      <c r="AF253" s="80">
        <f>MIN(MAX(0,AE253),AD253)</f>
        <v>0</v>
      </c>
      <c r="AG253" s="80">
        <f>MAX(0,AD253-MAX(0,AE253))</f>
        <v>0</v>
      </c>
      <c r="AH253" s="80">
        <f>IF(ISNUMBER(B253),IF(AND(INDEX(CFG_WDAYS,WEEKDAY(INT(B253),2))="Sí",IF(D253="proMX",COUNTIFS(FER_F,INT(B253),FER_NLP,"Sí"),COUNTIFS(FER_F,INT(B253),FER_NLM,"Sí"))=0),1,0),0)</f>
        <v>0</v>
      </c>
      <c r="AI253" s="80">
        <f>IF(AC253=1,IF(AND(INDEX(CFG_WDAYS,WEEKDAY(INT(B253)+1,2))="Sí",IF(D253="proMX",COUNTIFS(FER_F,INT(B253)+1,FER_NLP,"Sí"),COUNTIFS(FER_F,INT(B253)+1,FER_NLM,"Sí"))=0),1,0),0)</f>
        <v>0</v>
      </c>
      <c r="AJ253" s="80">
        <f>IF(AC253=1,1440-Z253,AD253)</f>
        <v>0</v>
      </c>
      <c r="AK253" s="80">
        <f>IF(AND(AB253=1,AH253=1),MAX(0,MIN(IF(AC253=1,1440,AA253),CFG_WEM)-MAX(Z253,CFG_WSM)),0)</f>
        <v>0</v>
      </c>
      <c r="AL253" s="80">
        <f>IF(AND(AC253=1,AI253=1),MAX(0,MIN(AA253,CFG_WEM)-CFG_WSM),0)</f>
        <v>0</v>
      </c>
      <c r="AM253" s="80">
        <f>AK253+AL253</f>
        <v>0</v>
      </c>
      <c r="AN253" s="80">
        <f>IF(CFG_BRK="Proporcional",IF(AD253=0,0,AF253*AM253/AD253),IF(CFG_BRK="Extras primero",MIN(AM253,MAX(0,AF253-(AD253-AM253))),MIN(AF253,AM253)))</f>
        <v>0</v>
      </c>
      <c r="AO253" s="80">
        <f>AF253-AN253</f>
        <v>0</v>
      </c>
      <c r="AP253" s="80">
        <f>AM253-AN253</f>
        <v>0</v>
      </c>
      <c r="AQ253" s="80">
        <f>AD253-AM253-AO253</f>
        <v>0</v>
      </c>
      <c r="AR253" s="80">
        <f>IF(AM253=0,0,AK253-AN253*AK253/AM253)</f>
        <v>0</v>
      </c>
      <c r="AS253" s="80">
        <f>IF(AD253-AM253=0,0,(AJ253-AK253)-AO253*(AJ253-AK253)/(AD253-AM253))</f>
        <v>0</v>
      </c>
      <c r="AT253" s="80" t="str">
        <f>IF(AC253=1,INT(B253)+1,"")</f>
        <v/>
      </c>
      <c r="AU253" s="80">
        <f>IF(AND(D253="proMX",R253="Cancelled"),0,1)</f>
        <v>1</v>
      </c>
      <c r="AV253" s="80">
        <f>IF(AND(AB253=1,AU253=1),IF(COUNTIFS($D$5:D252,D253,$B$5:B252,B253,$Z$5:Z252,Z253,$AA$5:AA252,AA253,$F$5:F252,F253&amp;"",$AU$5:AU252,1)&gt;0,1,0),0)</f>
        <v>0</v>
      </c>
      <c r="AW253" s="80" t="str">
        <f>IF(AB253=1,INT(B253)*1440+Z253,"")</f>
        <v/>
      </c>
      <c r="AX253" s="80" t="str">
        <f>IF(AB253=1,AW253+AD253,"")</f>
        <v/>
      </c>
      <c r="AY253" s="80">
        <f>IF(AND(AB253=1,AV253=0,AU253=1),1,0)</f>
        <v>0</v>
      </c>
      <c r="AZ253" s="80">
        <f>IF(AY253=1,COUNTIFS(R_Emp,D253,R_SAbs,"&lt;"&amp;AX253,R_EAbs,"&gt;"&amp;AW253,R_OKey,1)-1,0)</f>
        <v>0</v>
      </c>
      <c r="BA253" s="80">
        <f>IF(AY253=1,COUNTIFS(R_Emp,"&lt;&gt;"&amp;D253,R_SAbs,"&lt;"&amp;AX253,R_EAbs,"&gt;"&amp;AW253,R_OKey,1),0)</f>
        <v>0</v>
      </c>
      <c r="BB253" s="80">
        <f>IF(AND(AB253=1,D253="proMX"),IF(AND(MOD(Z253,CFG_BLK)=0,MOD(AA253,CFG_BLK)=0,MOD(AG253,CFG_BLK)=0,AG253&gt;0),1,0),1)</f>
        <v>1</v>
      </c>
      <c r="BC253" s="80" t="str">
        <f>IF(Y253=0,"",IF(NOT(ISNUMBER(B253)),"Falta fecha o fecha inválida",IF(D253="","Falta empresa",IF(AND(D253&lt;&gt;"Malcolm",D253&lt;&gt;"proMX"),"Empresa inválida",IF(OR(INT(B253)&lt;CFG_PSTART,INT(B253)&gt;CFG_PEND),"Fecha fuera del período",IF(OR(NOT(ISNUMBER(Z253)),NOT(ISNUMBER(AA253))),"Falta hora inicio/fin o formato inválido",IF(AB253=0,"Hora inicio = hora fin",IF(AE253&lt;0,"Descanso inválido",IF(AE253&gt;=AD253,"Descanso ≥ duración",IF(AV253=1,"Registro duplicado",IF(AZ253&gt;0,"Se superpone con otro registro "&amp;D253,IF(BB253=0,"inicio, fin y duración neta deben ser múltiplos de "&amp;CFG_BLK&amp;" min",""))))))))))))</f>
        <v/>
      </c>
      <c r="BD253" s="80">
        <f>IF(AND(Y253=1,BC253=""),1,0)</f>
        <v>0</v>
      </c>
      <c r="BE253" s="80">
        <f>IF(AND(BD253=1,AU253=1),1,0)</f>
        <v>0</v>
      </c>
      <c r="BF253" s="80" t="str">
        <f>IF(AND(D253="proMX",BD253=1),IF(R253="","Draft",R253),"")</f>
        <v/>
      </c>
      <c r="BG253" s="80">
        <f>IF(BD253=1,ROUND(AG253/60,6),0)</f>
        <v>0</v>
      </c>
      <c r="BH253" s="80">
        <f>IF(BE253=1,ROUND(AG253/60,6),0)</f>
        <v>0</v>
      </c>
      <c r="BI253" s="80">
        <f>IF(BE253=1,ROUND(AP253/60,6),0)</f>
        <v>0</v>
      </c>
      <c r="BJ253" s="80">
        <f>IF(BE253=1,ROUND(AQ253/60,6),0)</f>
        <v>0</v>
      </c>
      <c r="BK253" s="80">
        <f>IF(BE253=1,ROUND((AR253+AS253)/60,6),0)</f>
        <v>0</v>
      </c>
      <c r="BL253" s="80">
        <f>ROUND(BH253-BK253,6)</f>
        <v>0</v>
      </c>
      <c r="BM253" s="80">
        <f>IF(BE253=1,ROUND(AR253/60,6),0)</f>
        <v>0</v>
      </c>
      <c r="BN253" s="80">
        <f>ROUND(BI253-BM253,6)</f>
        <v>0</v>
      </c>
      <c r="BO253" s="80">
        <f>IF(BE253=1,ROUND(AS253/60,6),0)</f>
        <v>0</v>
      </c>
      <c r="BP253" s="80">
        <f>ROUND(BJ253-BO253,6)</f>
        <v>0</v>
      </c>
      <c r="BQ253" s="80">
        <f>IF(BE253=1,AW253,0)</f>
        <v>0</v>
      </c>
      <c r="BR253" s="80">
        <f>IF(BE253=1,AX253,0)</f>
        <v>0</v>
      </c>
      <c r="BS253" s="80">
        <f>IF(AND(BE253=1,D253="Malcolm",BA253&gt;0),MIN(BH253,SUMPRODUCT((R_Emp="proMX")*(R_EN&gt;0)*((R_EN-(R_EN&gt;BR253)*(R_EN-BR253))&gt;(R_SN+(R_SN&lt;BQ253)*(BQ253-R_SN)))*((R_EN-(R_EN&gt;BR253)*(R_EN-BR253))-(R_SN+(R_SN&lt;BQ253)*(BQ253-R_SN))))/60),0)</f>
        <v>0</v>
      </c>
      <c r="BT253" s="80">
        <f>IF(AND(BE253=1,D253="proMX"),ROUND(BI253*CFG_RATE+BJ253*CFG_OTRATE,6),0)</f>
        <v>0</v>
      </c>
      <c r="BU253" s="80">
        <f>IF(AND(BD253=1,D253="proMX"),ROUND(AG253/CFG_BLK,6),0)</f>
        <v>0</v>
      </c>
      <c r="BV253" s="80" t="str">
        <f>IF(BF253="Approved",IF(ISNUMBER(T253),INT(T253),INT(B253)),"")</f>
        <v/>
      </c>
      <c r="BW253" s="80">
        <f>IF(ISNUMBER(B253),IF(DB_MON="Todos",1,IF(AND(INT(B253)&gt;=DB_MS,INT(B253)&lt;=DB_ME),1,0)),0)</f>
        <v>0</v>
      </c>
      <c r="BX253" s="80">
        <f>IF(DB_PROJ="Todos",1,IF(E253&amp;""=DB_PROJ&amp;"",1,0))</f>
        <v>1</v>
      </c>
      <c r="BY253" s="80">
        <f>BW253*BX253</f>
        <v>0</v>
      </c>
      <c r="BZ253" s="80" t="str">
        <f>IF(Y253=1,F253&amp;IF(AND(F253&amp;""&lt;&gt;"",E253&amp;""&lt;&gt;"")," · ","")&amp;E253,"")</f>
        <v/>
      </c>
      <c r="CA253" s="80" t="str">
        <f>IF(AND(BD253=1,E253&amp;""&lt;&gt;""),IF(COUNTIFS($E$5:E252,E253,$BD$5:BD252,1)=0,MAX($CA$5:CA252)+1,""),"")</f>
        <v/>
      </c>
      <c r="CB253" s="80" t="str">
        <f>IF(AND(BE253=1,D253="Malcolm",E253&amp;""&lt;&gt;""),IF(COUNTIFS($D$5:D252,"Malcolm",$E$5:E252,E253,$BE$5:BE252,1)=0,MAX($CB$5:CB252)+1,""),"")</f>
        <v/>
      </c>
      <c r="CC253" s="80" t="str">
        <f>IF(AND(BD253=1,D253="proMX",E253&amp;""&lt;&gt;""),IF(COUNTIFS($D$5:D252,"proMX",$E$5:E252,E253,$BD$5:BD252,1)=0,MAX($CC$5:CC252)+1,""),"")</f>
        <v/>
      </c>
      <c r="CD253" s="80" t="str">
        <f>IF(AND(BE253=1,D253="Malcolm",F253&amp;""&lt;&gt;""),IF(COUNTIFS($D$5:D252,"Malcolm",$F$5:F252,F253,$BE$5:BE252,1)=0,MAX($CD$5:CD252)+1,""),"")</f>
        <v/>
      </c>
      <c r="CE253" s="80" t="str">
        <f>IF(AND(BD253=1,D253="proMX",F253&amp;""&lt;&gt;""),IF(COUNTIFS($D$5:D252,"proMX",$F$5:F252,F253,$BD$5:BD252,1)=0,MAX($CE$5:CE252)+1,""),"")</f>
        <v/>
      </c>
      <c r="CF253" s="80" t="str">
        <f>IF(AND(D253="proMX",BD253=1),IF(OR(BF253="Draft",BF253="Submitted",BF253="Returned",BF253="Recall Requested"),MAX($CF$5:CF252)+1,""),"")</f>
        <v/>
      </c>
      <c r="CG253" s="80">
        <f>IF(BD253=0,0,IF(D253="Malcolm",1,MATCH(BF253,{"Draft","Submitted","Approved","Returned","Recall Requested","Cancelled"},0)+1))</f>
        <v>0</v>
      </c>
      <c r="CH253" s="80">
        <f>IF(AND(BF253="Submitted",ISNUMBER(V253)),IF(V253&gt;CFG_MAXD,1,0),0)</f>
        <v>0</v>
      </c>
    </row>
    <row r="254">
      <c r="A254" s="71" t="str">
        <f>IF(Y254=1,ROW()-5,"")</f>
        <v/>
      </c>
      <c r="B254" s="72" t="n"/>
      <c r="C254" s="71" t="str">
        <f>IF(ISNUMBER(B254),CHOOSE(WEEKDAY(B254,2),"Lun","Mar","Mié","Jue","Vie","Sáb","Dom"),"")</f>
        <v/>
      </c>
      <c r="D254" s="73" t="n"/>
      <c r="E254" s="74" t="n"/>
      <c r="F254" s="74" t="n"/>
      <c r="G254" s="74" t="n"/>
      <c r="H254" s="75" t="n"/>
      <c r="I254" s="75" t="n"/>
      <c r="J254" s="76" t="n"/>
      <c r="K254" s="77" t="str">
        <f>IF(AB254=1,ROUND(AG254/60,4),"")</f>
        <v/>
      </c>
      <c r="L254" s="77" t="str">
        <f>IF(BD254=1,ROUND(AP254/60,4),"")</f>
        <v/>
      </c>
      <c r="M254" s="77" t="str">
        <f>IF(BD254=1,ROUND(AQ254/60,4),"")</f>
        <v/>
      </c>
      <c r="N254" s="71" t="str">
        <f>IF(AND(D254="proMX",AB254=1),ROUND(AG254/CFG_BLK,2),"")</f>
        <v/>
      </c>
      <c r="O254" s="77" t="str">
        <f>IF(D254="proMX",IF(BD254=1,ROUND(AG254/60,4),0),"")</f>
        <v/>
      </c>
      <c r="P254" s="78" t="str">
        <f>IF(Y254=0,"",IF(BD254=1,"OK",IF(D254="proMX","Revisar bloques: ","Revisar: ")&amp;BC254))</f>
        <v/>
      </c>
      <c r="Q254" s="78" t="str">
        <f>IF(NOT(ISNUMBER(B254)),"",IF(COUNTIFS(FER_F,INT(B254))&gt;0,"Feriado"&amp;IF(AH254=1," (laborable)"," (no laborable)"),IF(AH254=1,"Laborable",IF(WEEKDAY(B254,2)&gt;5,"Fin de semana","No laborable"))))</f>
        <v/>
      </c>
      <c r="R254" s="73" t="n"/>
      <c r="S254" s="72" t="n"/>
      <c r="T254" s="72" t="n"/>
      <c r="U254" s="74" t="n"/>
      <c r="V254" s="79" t="str">
        <f>IF(AND(D254="proMX",OR(R254="Submitted",R254="Recall Requested"),ISNUMBER(S254)),CFG_TODAY-INT(S254),"")</f>
        <v/>
      </c>
      <c r="W254" s="78" t="str">
        <f>IF(BD254=0,"",IF(BA254&gt;0,"⚠ Se superpone con un registro de la otra empresa",IF(D254="Malcolm",IF(COUNTA(R254,S254,T254)&gt;0,"Estado/fechas proMX se ignoran en Malcolm",""),IF(BF254="Cancelled","Cancelado: excluido de totales",IF(R254="","Sin estado: se trata como Draft",IF(BF254="Submitted",IF(ISNUMBER(V254),IF(V254&gt;CFG_MAXD,"⚠ "&amp;V254&amp;" días en Submitted (máx. "&amp;CFG_MAXD&amp;")",""),"Falta fecha de envío"),IF(BF254="Returned","⚠ Devuelto: corregir y reenviar",IF(BF254="Recall Requested","Retirada solicitada: pendiente",IF(AND(BF254="Approved",NOT(ISNUMBER(T254))),"Falta fecha de aprobación",IF(AND(ISNUMBER(S254),ISNUMBER(T254),T254&lt;S254),"Aprobación anterior al envío","")))))))))</f>
        <v/>
      </c>
      <c r="Y254" s="80">
        <f>IF(COUNTA(B254,D254,E254,F254,G254,H254,I254,J254,R254,S254,T254)&gt;0,1,0)</f>
        <v>0</v>
      </c>
      <c r="Z254" s="80" t="str">
        <f>IF(AND(ISNUMBER(H254),H254&gt;=0,H254&lt;1),ROUND(H254*1440,0),"")</f>
        <v/>
      </c>
      <c r="AA254" s="80" t="str">
        <f>IF(AND(ISNUMBER(I254),I254&gt;=0,I254&lt;1),ROUND(I254*1440,0),"")</f>
        <v/>
      </c>
      <c r="AB254" s="80">
        <f>IF(AND(ISNUMBER(B254),D254&lt;&gt;"",ISNUMBER(Z254),ISNUMBER(AA254)),IF(Z254=AA254,0,1),0)</f>
        <v>0</v>
      </c>
      <c r="AC254" s="80">
        <f>IF(AB254=1,IF(AA254&lt;Z254,1,0),0)</f>
        <v>0</v>
      </c>
      <c r="AD254" s="80">
        <f>IF(AB254=1,IF(AC254=1,1440-Z254+AA254,AA254-Z254),0)</f>
        <v>0</v>
      </c>
      <c r="AE254" s="80">
        <f>IF(J254="",0,IF(ISNUMBER(J254),J254,-1))</f>
        <v>0</v>
      </c>
      <c r="AF254" s="80">
        <f>MIN(MAX(0,AE254),AD254)</f>
        <v>0</v>
      </c>
      <c r="AG254" s="80">
        <f>MAX(0,AD254-MAX(0,AE254))</f>
        <v>0</v>
      </c>
      <c r="AH254" s="80">
        <f>IF(ISNUMBER(B254),IF(AND(INDEX(CFG_WDAYS,WEEKDAY(INT(B254),2))="Sí",IF(D254="proMX",COUNTIFS(FER_F,INT(B254),FER_NLP,"Sí"),COUNTIFS(FER_F,INT(B254),FER_NLM,"Sí"))=0),1,0),0)</f>
        <v>0</v>
      </c>
      <c r="AI254" s="80">
        <f>IF(AC254=1,IF(AND(INDEX(CFG_WDAYS,WEEKDAY(INT(B254)+1,2))="Sí",IF(D254="proMX",COUNTIFS(FER_F,INT(B254)+1,FER_NLP,"Sí"),COUNTIFS(FER_F,INT(B254)+1,FER_NLM,"Sí"))=0),1,0),0)</f>
        <v>0</v>
      </c>
      <c r="AJ254" s="80">
        <f>IF(AC254=1,1440-Z254,AD254)</f>
        <v>0</v>
      </c>
      <c r="AK254" s="80">
        <f>IF(AND(AB254=1,AH254=1),MAX(0,MIN(IF(AC254=1,1440,AA254),CFG_WEM)-MAX(Z254,CFG_WSM)),0)</f>
        <v>0</v>
      </c>
      <c r="AL254" s="80">
        <f>IF(AND(AC254=1,AI254=1),MAX(0,MIN(AA254,CFG_WEM)-CFG_WSM),0)</f>
        <v>0</v>
      </c>
      <c r="AM254" s="80">
        <f>AK254+AL254</f>
        <v>0</v>
      </c>
      <c r="AN254" s="80">
        <f>IF(CFG_BRK="Proporcional",IF(AD254=0,0,AF254*AM254/AD254),IF(CFG_BRK="Extras primero",MIN(AM254,MAX(0,AF254-(AD254-AM254))),MIN(AF254,AM254)))</f>
        <v>0</v>
      </c>
      <c r="AO254" s="80">
        <f>AF254-AN254</f>
        <v>0</v>
      </c>
      <c r="AP254" s="80">
        <f>AM254-AN254</f>
        <v>0</v>
      </c>
      <c r="AQ254" s="80">
        <f>AD254-AM254-AO254</f>
        <v>0</v>
      </c>
      <c r="AR254" s="80">
        <f>IF(AM254=0,0,AK254-AN254*AK254/AM254)</f>
        <v>0</v>
      </c>
      <c r="AS254" s="80">
        <f>IF(AD254-AM254=0,0,(AJ254-AK254)-AO254*(AJ254-AK254)/(AD254-AM254))</f>
        <v>0</v>
      </c>
      <c r="AT254" s="80" t="str">
        <f>IF(AC254=1,INT(B254)+1,"")</f>
        <v/>
      </c>
      <c r="AU254" s="80">
        <f>IF(AND(D254="proMX",R254="Cancelled"),0,1)</f>
        <v>1</v>
      </c>
      <c r="AV254" s="80">
        <f>IF(AND(AB254=1,AU254=1),IF(COUNTIFS($D$5:D253,D254,$B$5:B253,B254,$Z$5:Z253,Z254,$AA$5:AA253,AA254,$F$5:F253,F254&amp;"",$AU$5:AU253,1)&gt;0,1,0),0)</f>
        <v>0</v>
      </c>
      <c r="AW254" s="80" t="str">
        <f>IF(AB254=1,INT(B254)*1440+Z254,"")</f>
        <v/>
      </c>
      <c r="AX254" s="80" t="str">
        <f>IF(AB254=1,AW254+AD254,"")</f>
        <v/>
      </c>
      <c r="AY254" s="80">
        <f>IF(AND(AB254=1,AV254=0,AU254=1),1,0)</f>
        <v>0</v>
      </c>
      <c r="AZ254" s="80">
        <f>IF(AY254=1,COUNTIFS(R_Emp,D254,R_SAbs,"&lt;"&amp;AX254,R_EAbs,"&gt;"&amp;AW254,R_OKey,1)-1,0)</f>
        <v>0</v>
      </c>
      <c r="BA254" s="80">
        <f>IF(AY254=1,COUNTIFS(R_Emp,"&lt;&gt;"&amp;D254,R_SAbs,"&lt;"&amp;AX254,R_EAbs,"&gt;"&amp;AW254,R_OKey,1),0)</f>
        <v>0</v>
      </c>
      <c r="BB254" s="80">
        <f>IF(AND(AB254=1,D254="proMX"),IF(AND(MOD(Z254,CFG_BLK)=0,MOD(AA254,CFG_BLK)=0,MOD(AG254,CFG_BLK)=0,AG254&gt;0),1,0),1)</f>
        <v>1</v>
      </c>
      <c r="BC254" s="80" t="str">
        <f>IF(Y254=0,"",IF(NOT(ISNUMBER(B254)),"Falta fecha o fecha inválida",IF(D254="","Falta empresa",IF(AND(D254&lt;&gt;"Malcolm",D254&lt;&gt;"proMX"),"Empresa inválida",IF(OR(INT(B254)&lt;CFG_PSTART,INT(B254)&gt;CFG_PEND),"Fecha fuera del período",IF(OR(NOT(ISNUMBER(Z254)),NOT(ISNUMBER(AA254))),"Falta hora inicio/fin o formato inválido",IF(AB254=0,"Hora inicio = hora fin",IF(AE254&lt;0,"Descanso inválido",IF(AE254&gt;=AD254,"Descanso ≥ duración",IF(AV254=1,"Registro duplicado",IF(AZ254&gt;0,"Se superpone con otro registro "&amp;D254,IF(BB254=0,"inicio, fin y duración neta deben ser múltiplos de "&amp;CFG_BLK&amp;" min",""))))))))))))</f>
        <v/>
      </c>
      <c r="BD254" s="80">
        <f>IF(AND(Y254=1,BC254=""),1,0)</f>
        <v>0</v>
      </c>
      <c r="BE254" s="80">
        <f>IF(AND(BD254=1,AU254=1),1,0)</f>
        <v>0</v>
      </c>
      <c r="BF254" s="80" t="str">
        <f>IF(AND(D254="proMX",BD254=1),IF(R254="","Draft",R254),"")</f>
        <v/>
      </c>
      <c r="BG254" s="80">
        <f>IF(BD254=1,ROUND(AG254/60,6),0)</f>
        <v>0</v>
      </c>
      <c r="BH254" s="80">
        <f>IF(BE254=1,ROUND(AG254/60,6),0)</f>
        <v>0</v>
      </c>
      <c r="BI254" s="80">
        <f>IF(BE254=1,ROUND(AP254/60,6),0)</f>
        <v>0</v>
      </c>
      <c r="BJ254" s="80">
        <f>IF(BE254=1,ROUND(AQ254/60,6),0)</f>
        <v>0</v>
      </c>
      <c r="BK254" s="80">
        <f>IF(BE254=1,ROUND((AR254+AS254)/60,6),0)</f>
        <v>0</v>
      </c>
      <c r="BL254" s="80">
        <f>ROUND(BH254-BK254,6)</f>
        <v>0</v>
      </c>
      <c r="BM254" s="80">
        <f>IF(BE254=1,ROUND(AR254/60,6),0)</f>
        <v>0</v>
      </c>
      <c r="BN254" s="80">
        <f>ROUND(BI254-BM254,6)</f>
        <v>0</v>
      </c>
      <c r="BO254" s="80">
        <f>IF(BE254=1,ROUND(AS254/60,6),0)</f>
        <v>0</v>
      </c>
      <c r="BP254" s="80">
        <f>ROUND(BJ254-BO254,6)</f>
        <v>0</v>
      </c>
      <c r="BQ254" s="80">
        <f>IF(BE254=1,AW254,0)</f>
        <v>0</v>
      </c>
      <c r="BR254" s="80">
        <f>IF(BE254=1,AX254,0)</f>
        <v>0</v>
      </c>
      <c r="BS254" s="80">
        <f>IF(AND(BE254=1,D254="Malcolm",BA254&gt;0),MIN(BH254,SUMPRODUCT((R_Emp="proMX")*(R_EN&gt;0)*((R_EN-(R_EN&gt;BR254)*(R_EN-BR254))&gt;(R_SN+(R_SN&lt;BQ254)*(BQ254-R_SN)))*((R_EN-(R_EN&gt;BR254)*(R_EN-BR254))-(R_SN+(R_SN&lt;BQ254)*(BQ254-R_SN))))/60),0)</f>
        <v>0</v>
      </c>
      <c r="BT254" s="80">
        <f>IF(AND(BE254=1,D254="proMX"),ROUND(BI254*CFG_RATE+BJ254*CFG_OTRATE,6),0)</f>
        <v>0</v>
      </c>
      <c r="BU254" s="80">
        <f>IF(AND(BD254=1,D254="proMX"),ROUND(AG254/CFG_BLK,6),0)</f>
        <v>0</v>
      </c>
      <c r="BV254" s="80" t="str">
        <f>IF(BF254="Approved",IF(ISNUMBER(T254),INT(T254),INT(B254)),"")</f>
        <v/>
      </c>
      <c r="BW254" s="80">
        <f>IF(ISNUMBER(B254),IF(DB_MON="Todos",1,IF(AND(INT(B254)&gt;=DB_MS,INT(B254)&lt;=DB_ME),1,0)),0)</f>
        <v>0</v>
      </c>
      <c r="BX254" s="80">
        <f>IF(DB_PROJ="Todos",1,IF(E254&amp;""=DB_PROJ&amp;"",1,0))</f>
        <v>1</v>
      </c>
      <c r="BY254" s="80">
        <f>BW254*BX254</f>
        <v>0</v>
      </c>
      <c r="BZ254" s="80" t="str">
        <f>IF(Y254=1,F254&amp;IF(AND(F254&amp;""&lt;&gt;"",E254&amp;""&lt;&gt;"")," · ","")&amp;E254,"")</f>
        <v/>
      </c>
      <c r="CA254" s="80" t="str">
        <f>IF(AND(BD254=1,E254&amp;""&lt;&gt;""),IF(COUNTIFS($E$5:E253,E254,$BD$5:BD253,1)=0,MAX($CA$5:CA253)+1,""),"")</f>
        <v/>
      </c>
      <c r="CB254" s="80" t="str">
        <f>IF(AND(BE254=1,D254="Malcolm",E254&amp;""&lt;&gt;""),IF(COUNTIFS($D$5:D253,"Malcolm",$E$5:E253,E254,$BE$5:BE253,1)=0,MAX($CB$5:CB253)+1,""),"")</f>
        <v/>
      </c>
      <c r="CC254" s="80" t="str">
        <f>IF(AND(BD254=1,D254="proMX",E254&amp;""&lt;&gt;""),IF(COUNTIFS($D$5:D253,"proMX",$E$5:E253,E254,$BD$5:BD253,1)=0,MAX($CC$5:CC253)+1,""),"")</f>
        <v/>
      </c>
      <c r="CD254" s="80" t="str">
        <f>IF(AND(BE254=1,D254="Malcolm",F254&amp;""&lt;&gt;""),IF(COUNTIFS($D$5:D253,"Malcolm",$F$5:F253,F254,$BE$5:BE253,1)=0,MAX($CD$5:CD253)+1,""),"")</f>
        <v/>
      </c>
      <c r="CE254" s="80" t="str">
        <f>IF(AND(BD254=1,D254="proMX",F254&amp;""&lt;&gt;""),IF(COUNTIFS($D$5:D253,"proMX",$F$5:F253,F254,$BD$5:BD253,1)=0,MAX($CE$5:CE253)+1,""),"")</f>
        <v/>
      </c>
      <c r="CF254" s="80" t="str">
        <f>IF(AND(D254="proMX",BD254=1),IF(OR(BF254="Draft",BF254="Submitted",BF254="Returned",BF254="Recall Requested"),MAX($CF$5:CF253)+1,""),"")</f>
        <v/>
      </c>
      <c r="CG254" s="80">
        <f>IF(BD254=0,0,IF(D254="Malcolm",1,MATCH(BF254,{"Draft","Submitted","Approved","Returned","Recall Requested","Cancelled"},0)+1))</f>
        <v>0</v>
      </c>
      <c r="CH254" s="80">
        <f>IF(AND(BF254="Submitted",ISNUMBER(V254)),IF(V254&gt;CFG_MAXD,1,0),0)</f>
        <v>0</v>
      </c>
    </row>
    <row r="255">
      <c r="A255" s="71" t="str">
        <f>IF(Y255=1,ROW()-5,"")</f>
        <v/>
      </c>
      <c r="B255" s="72" t="n"/>
      <c r="C255" s="71" t="str">
        <f>IF(ISNUMBER(B255),CHOOSE(WEEKDAY(B255,2),"Lun","Mar","Mié","Jue","Vie","Sáb","Dom"),"")</f>
        <v/>
      </c>
      <c r="D255" s="73" t="n"/>
      <c r="E255" s="74" t="n"/>
      <c r="F255" s="74" t="n"/>
      <c r="G255" s="74" t="n"/>
      <c r="H255" s="75" t="n"/>
      <c r="I255" s="75" t="n"/>
      <c r="J255" s="76" t="n"/>
      <c r="K255" s="77" t="str">
        <f>IF(AB255=1,ROUND(AG255/60,4),"")</f>
        <v/>
      </c>
      <c r="L255" s="77" t="str">
        <f>IF(BD255=1,ROUND(AP255/60,4),"")</f>
        <v/>
      </c>
      <c r="M255" s="77" t="str">
        <f>IF(BD255=1,ROUND(AQ255/60,4),"")</f>
        <v/>
      </c>
      <c r="N255" s="71" t="str">
        <f>IF(AND(D255="proMX",AB255=1),ROUND(AG255/CFG_BLK,2),"")</f>
        <v/>
      </c>
      <c r="O255" s="77" t="str">
        <f>IF(D255="proMX",IF(BD255=1,ROUND(AG255/60,4),0),"")</f>
        <v/>
      </c>
      <c r="P255" s="78" t="str">
        <f>IF(Y255=0,"",IF(BD255=1,"OK",IF(D255="proMX","Revisar bloques: ","Revisar: ")&amp;BC255))</f>
        <v/>
      </c>
      <c r="Q255" s="78" t="str">
        <f>IF(NOT(ISNUMBER(B255)),"",IF(COUNTIFS(FER_F,INT(B255))&gt;0,"Feriado"&amp;IF(AH255=1," (laborable)"," (no laborable)"),IF(AH255=1,"Laborable",IF(WEEKDAY(B255,2)&gt;5,"Fin de semana","No laborable"))))</f>
        <v/>
      </c>
      <c r="R255" s="73" t="n"/>
      <c r="S255" s="72" t="n"/>
      <c r="T255" s="72" t="n"/>
      <c r="U255" s="74" t="n"/>
      <c r="V255" s="79" t="str">
        <f>IF(AND(D255="proMX",OR(R255="Submitted",R255="Recall Requested"),ISNUMBER(S255)),CFG_TODAY-INT(S255),"")</f>
        <v/>
      </c>
      <c r="W255" s="78" t="str">
        <f>IF(BD255=0,"",IF(BA255&gt;0,"⚠ Se superpone con un registro de la otra empresa",IF(D255="Malcolm",IF(COUNTA(R255,S255,T255)&gt;0,"Estado/fechas proMX se ignoran en Malcolm",""),IF(BF255="Cancelled","Cancelado: excluido de totales",IF(R255="","Sin estado: se trata como Draft",IF(BF255="Submitted",IF(ISNUMBER(V255),IF(V255&gt;CFG_MAXD,"⚠ "&amp;V255&amp;" días en Submitted (máx. "&amp;CFG_MAXD&amp;")",""),"Falta fecha de envío"),IF(BF255="Returned","⚠ Devuelto: corregir y reenviar",IF(BF255="Recall Requested","Retirada solicitada: pendiente",IF(AND(BF255="Approved",NOT(ISNUMBER(T255))),"Falta fecha de aprobación",IF(AND(ISNUMBER(S255),ISNUMBER(T255),T255&lt;S255),"Aprobación anterior al envío","")))))))))</f>
        <v/>
      </c>
      <c r="Y255" s="80">
        <f>IF(COUNTA(B255,D255,E255,F255,G255,H255,I255,J255,R255,S255,T255)&gt;0,1,0)</f>
        <v>0</v>
      </c>
      <c r="Z255" s="80" t="str">
        <f>IF(AND(ISNUMBER(H255),H255&gt;=0,H255&lt;1),ROUND(H255*1440,0),"")</f>
        <v/>
      </c>
      <c r="AA255" s="80" t="str">
        <f>IF(AND(ISNUMBER(I255),I255&gt;=0,I255&lt;1),ROUND(I255*1440,0),"")</f>
        <v/>
      </c>
      <c r="AB255" s="80">
        <f>IF(AND(ISNUMBER(B255),D255&lt;&gt;"",ISNUMBER(Z255),ISNUMBER(AA255)),IF(Z255=AA255,0,1),0)</f>
        <v>0</v>
      </c>
      <c r="AC255" s="80">
        <f>IF(AB255=1,IF(AA255&lt;Z255,1,0),0)</f>
        <v>0</v>
      </c>
      <c r="AD255" s="80">
        <f>IF(AB255=1,IF(AC255=1,1440-Z255+AA255,AA255-Z255),0)</f>
        <v>0</v>
      </c>
      <c r="AE255" s="80">
        <f>IF(J255="",0,IF(ISNUMBER(J255),J255,-1))</f>
        <v>0</v>
      </c>
      <c r="AF255" s="80">
        <f>MIN(MAX(0,AE255),AD255)</f>
        <v>0</v>
      </c>
      <c r="AG255" s="80">
        <f>MAX(0,AD255-MAX(0,AE255))</f>
        <v>0</v>
      </c>
      <c r="AH255" s="80">
        <f>IF(ISNUMBER(B255),IF(AND(INDEX(CFG_WDAYS,WEEKDAY(INT(B255),2))="Sí",IF(D255="proMX",COUNTIFS(FER_F,INT(B255),FER_NLP,"Sí"),COUNTIFS(FER_F,INT(B255),FER_NLM,"Sí"))=0),1,0),0)</f>
        <v>0</v>
      </c>
      <c r="AI255" s="80">
        <f>IF(AC255=1,IF(AND(INDEX(CFG_WDAYS,WEEKDAY(INT(B255)+1,2))="Sí",IF(D255="proMX",COUNTIFS(FER_F,INT(B255)+1,FER_NLP,"Sí"),COUNTIFS(FER_F,INT(B255)+1,FER_NLM,"Sí"))=0),1,0),0)</f>
        <v>0</v>
      </c>
      <c r="AJ255" s="80">
        <f>IF(AC255=1,1440-Z255,AD255)</f>
        <v>0</v>
      </c>
      <c r="AK255" s="80">
        <f>IF(AND(AB255=1,AH255=1),MAX(0,MIN(IF(AC255=1,1440,AA255),CFG_WEM)-MAX(Z255,CFG_WSM)),0)</f>
        <v>0</v>
      </c>
      <c r="AL255" s="80">
        <f>IF(AND(AC255=1,AI255=1),MAX(0,MIN(AA255,CFG_WEM)-CFG_WSM),0)</f>
        <v>0</v>
      </c>
      <c r="AM255" s="80">
        <f>AK255+AL255</f>
        <v>0</v>
      </c>
      <c r="AN255" s="80">
        <f>IF(CFG_BRK="Proporcional",IF(AD255=0,0,AF255*AM255/AD255),IF(CFG_BRK="Extras primero",MIN(AM255,MAX(0,AF255-(AD255-AM255))),MIN(AF255,AM255)))</f>
        <v>0</v>
      </c>
      <c r="AO255" s="80">
        <f>AF255-AN255</f>
        <v>0</v>
      </c>
      <c r="AP255" s="80">
        <f>AM255-AN255</f>
        <v>0</v>
      </c>
      <c r="AQ255" s="80">
        <f>AD255-AM255-AO255</f>
        <v>0</v>
      </c>
      <c r="AR255" s="80">
        <f>IF(AM255=0,0,AK255-AN255*AK255/AM255)</f>
        <v>0</v>
      </c>
      <c r="AS255" s="80">
        <f>IF(AD255-AM255=0,0,(AJ255-AK255)-AO255*(AJ255-AK255)/(AD255-AM255))</f>
        <v>0</v>
      </c>
      <c r="AT255" s="80" t="str">
        <f>IF(AC255=1,INT(B255)+1,"")</f>
        <v/>
      </c>
      <c r="AU255" s="80">
        <f>IF(AND(D255="proMX",R255="Cancelled"),0,1)</f>
        <v>1</v>
      </c>
      <c r="AV255" s="80">
        <f>IF(AND(AB255=1,AU255=1),IF(COUNTIFS($D$5:D254,D255,$B$5:B254,B255,$Z$5:Z254,Z255,$AA$5:AA254,AA255,$F$5:F254,F255&amp;"",$AU$5:AU254,1)&gt;0,1,0),0)</f>
        <v>0</v>
      </c>
      <c r="AW255" s="80" t="str">
        <f>IF(AB255=1,INT(B255)*1440+Z255,"")</f>
        <v/>
      </c>
      <c r="AX255" s="80" t="str">
        <f>IF(AB255=1,AW255+AD255,"")</f>
        <v/>
      </c>
      <c r="AY255" s="80">
        <f>IF(AND(AB255=1,AV255=0,AU255=1),1,0)</f>
        <v>0</v>
      </c>
      <c r="AZ255" s="80">
        <f>IF(AY255=1,COUNTIFS(R_Emp,D255,R_SAbs,"&lt;"&amp;AX255,R_EAbs,"&gt;"&amp;AW255,R_OKey,1)-1,0)</f>
        <v>0</v>
      </c>
      <c r="BA255" s="80">
        <f>IF(AY255=1,COUNTIFS(R_Emp,"&lt;&gt;"&amp;D255,R_SAbs,"&lt;"&amp;AX255,R_EAbs,"&gt;"&amp;AW255,R_OKey,1),0)</f>
        <v>0</v>
      </c>
      <c r="BB255" s="80">
        <f>IF(AND(AB255=1,D255="proMX"),IF(AND(MOD(Z255,CFG_BLK)=0,MOD(AA255,CFG_BLK)=0,MOD(AG255,CFG_BLK)=0,AG255&gt;0),1,0),1)</f>
        <v>1</v>
      </c>
      <c r="BC255" s="80" t="str">
        <f>IF(Y255=0,"",IF(NOT(ISNUMBER(B255)),"Falta fecha o fecha inválida",IF(D255="","Falta empresa",IF(AND(D255&lt;&gt;"Malcolm",D255&lt;&gt;"proMX"),"Empresa inválida",IF(OR(INT(B255)&lt;CFG_PSTART,INT(B255)&gt;CFG_PEND),"Fecha fuera del período",IF(OR(NOT(ISNUMBER(Z255)),NOT(ISNUMBER(AA255))),"Falta hora inicio/fin o formato inválido",IF(AB255=0,"Hora inicio = hora fin",IF(AE255&lt;0,"Descanso inválido",IF(AE255&gt;=AD255,"Descanso ≥ duración",IF(AV255=1,"Registro duplicado",IF(AZ255&gt;0,"Se superpone con otro registro "&amp;D255,IF(BB255=0,"inicio, fin y duración neta deben ser múltiplos de "&amp;CFG_BLK&amp;" min",""))))))))))))</f>
        <v/>
      </c>
      <c r="BD255" s="80">
        <f>IF(AND(Y255=1,BC255=""),1,0)</f>
        <v>0</v>
      </c>
      <c r="BE255" s="80">
        <f>IF(AND(BD255=1,AU255=1),1,0)</f>
        <v>0</v>
      </c>
      <c r="BF255" s="80" t="str">
        <f>IF(AND(D255="proMX",BD255=1),IF(R255="","Draft",R255),"")</f>
        <v/>
      </c>
      <c r="BG255" s="80">
        <f>IF(BD255=1,ROUND(AG255/60,6),0)</f>
        <v>0</v>
      </c>
      <c r="BH255" s="80">
        <f>IF(BE255=1,ROUND(AG255/60,6),0)</f>
        <v>0</v>
      </c>
      <c r="BI255" s="80">
        <f>IF(BE255=1,ROUND(AP255/60,6),0)</f>
        <v>0</v>
      </c>
      <c r="BJ255" s="80">
        <f>IF(BE255=1,ROUND(AQ255/60,6),0)</f>
        <v>0</v>
      </c>
      <c r="BK255" s="80">
        <f>IF(BE255=1,ROUND((AR255+AS255)/60,6),0)</f>
        <v>0</v>
      </c>
      <c r="BL255" s="80">
        <f>ROUND(BH255-BK255,6)</f>
        <v>0</v>
      </c>
      <c r="BM255" s="80">
        <f>IF(BE255=1,ROUND(AR255/60,6),0)</f>
        <v>0</v>
      </c>
      <c r="BN255" s="80">
        <f>ROUND(BI255-BM255,6)</f>
        <v>0</v>
      </c>
      <c r="BO255" s="80">
        <f>IF(BE255=1,ROUND(AS255/60,6),0)</f>
        <v>0</v>
      </c>
      <c r="BP255" s="80">
        <f>ROUND(BJ255-BO255,6)</f>
        <v>0</v>
      </c>
      <c r="BQ255" s="80">
        <f>IF(BE255=1,AW255,0)</f>
        <v>0</v>
      </c>
      <c r="BR255" s="80">
        <f>IF(BE255=1,AX255,0)</f>
        <v>0</v>
      </c>
      <c r="BS255" s="80">
        <f>IF(AND(BE255=1,D255="Malcolm",BA255&gt;0),MIN(BH255,SUMPRODUCT((R_Emp="proMX")*(R_EN&gt;0)*((R_EN-(R_EN&gt;BR255)*(R_EN-BR255))&gt;(R_SN+(R_SN&lt;BQ255)*(BQ255-R_SN)))*((R_EN-(R_EN&gt;BR255)*(R_EN-BR255))-(R_SN+(R_SN&lt;BQ255)*(BQ255-R_SN))))/60),0)</f>
        <v>0</v>
      </c>
      <c r="BT255" s="80">
        <f>IF(AND(BE255=1,D255="proMX"),ROUND(BI255*CFG_RATE+BJ255*CFG_OTRATE,6),0)</f>
        <v>0</v>
      </c>
      <c r="BU255" s="80">
        <f>IF(AND(BD255=1,D255="proMX"),ROUND(AG255/CFG_BLK,6),0)</f>
        <v>0</v>
      </c>
      <c r="BV255" s="80" t="str">
        <f>IF(BF255="Approved",IF(ISNUMBER(T255),INT(T255),INT(B255)),"")</f>
        <v/>
      </c>
      <c r="BW255" s="80">
        <f>IF(ISNUMBER(B255),IF(DB_MON="Todos",1,IF(AND(INT(B255)&gt;=DB_MS,INT(B255)&lt;=DB_ME),1,0)),0)</f>
        <v>0</v>
      </c>
      <c r="BX255" s="80">
        <f>IF(DB_PROJ="Todos",1,IF(E255&amp;""=DB_PROJ&amp;"",1,0))</f>
        <v>1</v>
      </c>
      <c r="BY255" s="80">
        <f>BW255*BX255</f>
        <v>0</v>
      </c>
      <c r="BZ255" s="80" t="str">
        <f>IF(Y255=1,F255&amp;IF(AND(F255&amp;""&lt;&gt;"",E255&amp;""&lt;&gt;"")," · ","")&amp;E255,"")</f>
        <v/>
      </c>
      <c r="CA255" s="80" t="str">
        <f>IF(AND(BD255=1,E255&amp;""&lt;&gt;""),IF(COUNTIFS($E$5:E254,E255,$BD$5:BD254,1)=0,MAX($CA$5:CA254)+1,""),"")</f>
        <v/>
      </c>
      <c r="CB255" s="80" t="str">
        <f>IF(AND(BE255=1,D255="Malcolm",E255&amp;""&lt;&gt;""),IF(COUNTIFS($D$5:D254,"Malcolm",$E$5:E254,E255,$BE$5:BE254,1)=0,MAX($CB$5:CB254)+1,""),"")</f>
        <v/>
      </c>
      <c r="CC255" s="80" t="str">
        <f>IF(AND(BD255=1,D255="proMX",E255&amp;""&lt;&gt;""),IF(COUNTIFS($D$5:D254,"proMX",$E$5:E254,E255,$BD$5:BD254,1)=0,MAX($CC$5:CC254)+1,""),"")</f>
        <v/>
      </c>
      <c r="CD255" s="80" t="str">
        <f>IF(AND(BE255=1,D255="Malcolm",F255&amp;""&lt;&gt;""),IF(COUNTIFS($D$5:D254,"Malcolm",$F$5:F254,F255,$BE$5:BE254,1)=0,MAX($CD$5:CD254)+1,""),"")</f>
        <v/>
      </c>
      <c r="CE255" s="80" t="str">
        <f>IF(AND(BD255=1,D255="proMX",F255&amp;""&lt;&gt;""),IF(COUNTIFS($D$5:D254,"proMX",$F$5:F254,F255,$BD$5:BD254,1)=0,MAX($CE$5:CE254)+1,""),"")</f>
        <v/>
      </c>
      <c r="CF255" s="80" t="str">
        <f>IF(AND(D255="proMX",BD255=1),IF(OR(BF255="Draft",BF255="Submitted",BF255="Returned",BF255="Recall Requested"),MAX($CF$5:CF254)+1,""),"")</f>
        <v/>
      </c>
      <c r="CG255" s="80">
        <f>IF(BD255=0,0,IF(D255="Malcolm",1,MATCH(BF255,{"Draft","Submitted","Approved","Returned","Recall Requested","Cancelled"},0)+1))</f>
        <v>0</v>
      </c>
      <c r="CH255" s="80">
        <f>IF(AND(BF255="Submitted",ISNUMBER(V255)),IF(V255&gt;CFG_MAXD,1,0),0)</f>
        <v>0</v>
      </c>
    </row>
    <row r="256">
      <c r="A256" s="71" t="str">
        <f>IF(Y256=1,ROW()-5,"")</f>
        <v/>
      </c>
      <c r="B256" s="72" t="n"/>
      <c r="C256" s="71" t="str">
        <f>IF(ISNUMBER(B256),CHOOSE(WEEKDAY(B256,2),"Lun","Mar","Mié","Jue","Vie","Sáb","Dom"),"")</f>
        <v/>
      </c>
      <c r="D256" s="73" t="n"/>
      <c r="E256" s="74" t="n"/>
      <c r="F256" s="74" t="n"/>
      <c r="G256" s="74" t="n"/>
      <c r="H256" s="75" t="n"/>
      <c r="I256" s="75" t="n"/>
      <c r="J256" s="76" t="n"/>
      <c r="K256" s="77" t="str">
        <f>IF(AB256=1,ROUND(AG256/60,4),"")</f>
        <v/>
      </c>
      <c r="L256" s="77" t="str">
        <f>IF(BD256=1,ROUND(AP256/60,4),"")</f>
        <v/>
      </c>
      <c r="M256" s="77" t="str">
        <f>IF(BD256=1,ROUND(AQ256/60,4),"")</f>
        <v/>
      </c>
      <c r="N256" s="71" t="str">
        <f>IF(AND(D256="proMX",AB256=1),ROUND(AG256/CFG_BLK,2),"")</f>
        <v/>
      </c>
      <c r="O256" s="77" t="str">
        <f>IF(D256="proMX",IF(BD256=1,ROUND(AG256/60,4),0),"")</f>
        <v/>
      </c>
      <c r="P256" s="78" t="str">
        <f>IF(Y256=0,"",IF(BD256=1,"OK",IF(D256="proMX","Revisar bloques: ","Revisar: ")&amp;BC256))</f>
        <v/>
      </c>
      <c r="Q256" s="78" t="str">
        <f>IF(NOT(ISNUMBER(B256)),"",IF(COUNTIFS(FER_F,INT(B256))&gt;0,"Feriado"&amp;IF(AH256=1," (laborable)"," (no laborable)"),IF(AH256=1,"Laborable",IF(WEEKDAY(B256,2)&gt;5,"Fin de semana","No laborable"))))</f>
        <v/>
      </c>
      <c r="R256" s="73" t="n"/>
      <c r="S256" s="72" t="n"/>
      <c r="T256" s="72" t="n"/>
      <c r="U256" s="74" t="n"/>
      <c r="V256" s="79" t="str">
        <f>IF(AND(D256="proMX",OR(R256="Submitted",R256="Recall Requested"),ISNUMBER(S256)),CFG_TODAY-INT(S256),"")</f>
        <v/>
      </c>
      <c r="W256" s="78" t="str">
        <f>IF(BD256=0,"",IF(BA256&gt;0,"⚠ Se superpone con un registro de la otra empresa",IF(D256="Malcolm",IF(COUNTA(R256,S256,T256)&gt;0,"Estado/fechas proMX se ignoran en Malcolm",""),IF(BF256="Cancelled","Cancelado: excluido de totales",IF(R256="","Sin estado: se trata como Draft",IF(BF256="Submitted",IF(ISNUMBER(V256),IF(V256&gt;CFG_MAXD,"⚠ "&amp;V256&amp;" días en Submitted (máx. "&amp;CFG_MAXD&amp;")",""),"Falta fecha de envío"),IF(BF256="Returned","⚠ Devuelto: corregir y reenviar",IF(BF256="Recall Requested","Retirada solicitada: pendiente",IF(AND(BF256="Approved",NOT(ISNUMBER(T256))),"Falta fecha de aprobación",IF(AND(ISNUMBER(S256),ISNUMBER(T256),T256&lt;S256),"Aprobación anterior al envío","")))))))))</f>
        <v/>
      </c>
      <c r="Y256" s="80">
        <f>IF(COUNTA(B256,D256,E256,F256,G256,H256,I256,J256,R256,S256,T256)&gt;0,1,0)</f>
        <v>0</v>
      </c>
      <c r="Z256" s="80" t="str">
        <f>IF(AND(ISNUMBER(H256),H256&gt;=0,H256&lt;1),ROUND(H256*1440,0),"")</f>
        <v/>
      </c>
      <c r="AA256" s="80" t="str">
        <f>IF(AND(ISNUMBER(I256),I256&gt;=0,I256&lt;1),ROUND(I256*1440,0),"")</f>
        <v/>
      </c>
      <c r="AB256" s="80">
        <f>IF(AND(ISNUMBER(B256),D256&lt;&gt;"",ISNUMBER(Z256),ISNUMBER(AA256)),IF(Z256=AA256,0,1),0)</f>
        <v>0</v>
      </c>
      <c r="AC256" s="80">
        <f>IF(AB256=1,IF(AA256&lt;Z256,1,0),0)</f>
        <v>0</v>
      </c>
      <c r="AD256" s="80">
        <f>IF(AB256=1,IF(AC256=1,1440-Z256+AA256,AA256-Z256),0)</f>
        <v>0</v>
      </c>
      <c r="AE256" s="80">
        <f>IF(J256="",0,IF(ISNUMBER(J256),J256,-1))</f>
        <v>0</v>
      </c>
      <c r="AF256" s="80">
        <f>MIN(MAX(0,AE256),AD256)</f>
        <v>0</v>
      </c>
      <c r="AG256" s="80">
        <f>MAX(0,AD256-MAX(0,AE256))</f>
        <v>0</v>
      </c>
      <c r="AH256" s="80">
        <f>IF(ISNUMBER(B256),IF(AND(INDEX(CFG_WDAYS,WEEKDAY(INT(B256),2))="Sí",IF(D256="proMX",COUNTIFS(FER_F,INT(B256),FER_NLP,"Sí"),COUNTIFS(FER_F,INT(B256),FER_NLM,"Sí"))=0),1,0),0)</f>
        <v>0</v>
      </c>
      <c r="AI256" s="80">
        <f>IF(AC256=1,IF(AND(INDEX(CFG_WDAYS,WEEKDAY(INT(B256)+1,2))="Sí",IF(D256="proMX",COUNTIFS(FER_F,INT(B256)+1,FER_NLP,"Sí"),COUNTIFS(FER_F,INT(B256)+1,FER_NLM,"Sí"))=0),1,0),0)</f>
        <v>0</v>
      </c>
      <c r="AJ256" s="80">
        <f>IF(AC256=1,1440-Z256,AD256)</f>
        <v>0</v>
      </c>
      <c r="AK256" s="80">
        <f>IF(AND(AB256=1,AH256=1),MAX(0,MIN(IF(AC256=1,1440,AA256),CFG_WEM)-MAX(Z256,CFG_WSM)),0)</f>
        <v>0</v>
      </c>
      <c r="AL256" s="80">
        <f>IF(AND(AC256=1,AI256=1),MAX(0,MIN(AA256,CFG_WEM)-CFG_WSM),0)</f>
        <v>0</v>
      </c>
      <c r="AM256" s="80">
        <f>AK256+AL256</f>
        <v>0</v>
      </c>
      <c r="AN256" s="80">
        <f>IF(CFG_BRK="Proporcional",IF(AD256=0,0,AF256*AM256/AD256),IF(CFG_BRK="Extras primero",MIN(AM256,MAX(0,AF256-(AD256-AM256))),MIN(AF256,AM256)))</f>
        <v>0</v>
      </c>
      <c r="AO256" s="80">
        <f>AF256-AN256</f>
        <v>0</v>
      </c>
      <c r="AP256" s="80">
        <f>AM256-AN256</f>
        <v>0</v>
      </c>
      <c r="AQ256" s="80">
        <f>AD256-AM256-AO256</f>
        <v>0</v>
      </c>
      <c r="AR256" s="80">
        <f>IF(AM256=0,0,AK256-AN256*AK256/AM256)</f>
        <v>0</v>
      </c>
      <c r="AS256" s="80">
        <f>IF(AD256-AM256=0,0,(AJ256-AK256)-AO256*(AJ256-AK256)/(AD256-AM256))</f>
        <v>0</v>
      </c>
      <c r="AT256" s="80" t="str">
        <f>IF(AC256=1,INT(B256)+1,"")</f>
        <v/>
      </c>
      <c r="AU256" s="80">
        <f>IF(AND(D256="proMX",R256="Cancelled"),0,1)</f>
        <v>1</v>
      </c>
      <c r="AV256" s="80">
        <f>IF(AND(AB256=1,AU256=1),IF(COUNTIFS($D$5:D255,D256,$B$5:B255,B256,$Z$5:Z255,Z256,$AA$5:AA255,AA256,$F$5:F255,F256&amp;"",$AU$5:AU255,1)&gt;0,1,0),0)</f>
        <v>0</v>
      </c>
      <c r="AW256" s="80" t="str">
        <f>IF(AB256=1,INT(B256)*1440+Z256,"")</f>
        <v/>
      </c>
      <c r="AX256" s="80" t="str">
        <f>IF(AB256=1,AW256+AD256,"")</f>
        <v/>
      </c>
      <c r="AY256" s="80">
        <f>IF(AND(AB256=1,AV256=0,AU256=1),1,0)</f>
        <v>0</v>
      </c>
      <c r="AZ256" s="80">
        <f>IF(AY256=1,COUNTIFS(R_Emp,D256,R_SAbs,"&lt;"&amp;AX256,R_EAbs,"&gt;"&amp;AW256,R_OKey,1)-1,0)</f>
        <v>0</v>
      </c>
      <c r="BA256" s="80">
        <f>IF(AY256=1,COUNTIFS(R_Emp,"&lt;&gt;"&amp;D256,R_SAbs,"&lt;"&amp;AX256,R_EAbs,"&gt;"&amp;AW256,R_OKey,1),0)</f>
        <v>0</v>
      </c>
      <c r="BB256" s="80">
        <f>IF(AND(AB256=1,D256="proMX"),IF(AND(MOD(Z256,CFG_BLK)=0,MOD(AA256,CFG_BLK)=0,MOD(AG256,CFG_BLK)=0,AG256&gt;0),1,0),1)</f>
        <v>1</v>
      </c>
      <c r="BC256" s="80" t="str">
        <f>IF(Y256=0,"",IF(NOT(ISNUMBER(B256)),"Falta fecha o fecha inválida",IF(D256="","Falta empresa",IF(AND(D256&lt;&gt;"Malcolm",D256&lt;&gt;"proMX"),"Empresa inválida",IF(OR(INT(B256)&lt;CFG_PSTART,INT(B256)&gt;CFG_PEND),"Fecha fuera del período",IF(OR(NOT(ISNUMBER(Z256)),NOT(ISNUMBER(AA256))),"Falta hora inicio/fin o formato inválido",IF(AB256=0,"Hora inicio = hora fin",IF(AE256&lt;0,"Descanso inválido",IF(AE256&gt;=AD256,"Descanso ≥ duración",IF(AV256=1,"Registro duplicado",IF(AZ256&gt;0,"Se superpone con otro registro "&amp;D256,IF(BB256=0,"inicio, fin y duración neta deben ser múltiplos de "&amp;CFG_BLK&amp;" min",""))))))))))))</f>
        <v/>
      </c>
      <c r="BD256" s="80">
        <f>IF(AND(Y256=1,BC256=""),1,0)</f>
        <v>0</v>
      </c>
      <c r="BE256" s="80">
        <f>IF(AND(BD256=1,AU256=1),1,0)</f>
        <v>0</v>
      </c>
      <c r="BF256" s="80" t="str">
        <f>IF(AND(D256="proMX",BD256=1),IF(R256="","Draft",R256),"")</f>
        <v/>
      </c>
      <c r="BG256" s="80">
        <f>IF(BD256=1,ROUND(AG256/60,6),0)</f>
        <v>0</v>
      </c>
      <c r="BH256" s="80">
        <f>IF(BE256=1,ROUND(AG256/60,6),0)</f>
        <v>0</v>
      </c>
      <c r="BI256" s="80">
        <f>IF(BE256=1,ROUND(AP256/60,6),0)</f>
        <v>0</v>
      </c>
      <c r="BJ256" s="80">
        <f>IF(BE256=1,ROUND(AQ256/60,6),0)</f>
        <v>0</v>
      </c>
      <c r="BK256" s="80">
        <f>IF(BE256=1,ROUND((AR256+AS256)/60,6),0)</f>
        <v>0</v>
      </c>
      <c r="BL256" s="80">
        <f>ROUND(BH256-BK256,6)</f>
        <v>0</v>
      </c>
      <c r="BM256" s="80">
        <f>IF(BE256=1,ROUND(AR256/60,6),0)</f>
        <v>0</v>
      </c>
      <c r="BN256" s="80">
        <f>ROUND(BI256-BM256,6)</f>
        <v>0</v>
      </c>
      <c r="BO256" s="80">
        <f>IF(BE256=1,ROUND(AS256/60,6),0)</f>
        <v>0</v>
      </c>
      <c r="BP256" s="80">
        <f>ROUND(BJ256-BO256,6)</f>
        <v>0</v>
      </c>
      <c r="BQ256" s="80">
        <f>IF(BE256=1,AW256,0)</f>
        <v>0</v>
      </c>
      <c r="BR256" s="80">
        <f>IF(BE256=1,AX256,0)</f>
        <v>0</v>
      </c>
      <c r="BS256" s="80">
        <f>IF(AND(BE256=1,D256="Malcolm",BA256&gt;0),MIN(BH256,SUMPRODUCT((R_Emp="proMX")*(R_EN&gt;0)*((R_EN-(R_EN&gt;BR256)*(R_EN-BR256))&gt;(R_SN+(R_SN&lt;BQ256)*(BQ256-R_SN)))*((R_EN-(R_EN&gt;BR256)*(R_EN-BR256))-(R_SN+(R_SN&lt;BQ256)*(BQ256-R_SN))))/60),0)</f>
        <v>0</v>
      </c>
      <c r="BT256" s="80">
        <f>IF(AND(BE256=1,D256="proMX"),ROUND(BI256*CFG_RATE+BJ256*CFG_OTRATE,6),0)</f>
        <v>0</v>
      </c>
      <c r="BU256" s="80">
        <f>IF(AND(BD256=1,D256="proMX"),ROUND(AG256/CFG_BLK,6),0)</f>
        <v>0</v>
      </c>
      <c r="BV256" s="80" t="str">
        <f>IF(BF256="Approved",IF(ISNUMBER(T256),INT(T256),INT(B256)),"")</f>
        <v/>
      </c>
      <c r="BW256" s="80">
        <f>IF(ISNUMBER(B256),IF(DB_MON="Todos",1,IF(AND(INT(B256)&gt;=DB_MS,INT(B256)&lt;=DB_ME),1,0)),0)</f>
        <v>0</v>
      </c>
      <c r="BX256" s="80">
        <f>IF(DB_PROJ="Todos",1,IF(E256&amp;""=DB_PROJ&amp;"",1,0))</f>
        <v>1</v>
      </c>
      <c r="BY256" s="80">
        <f>BW256*BX256</f>
        <v>0</v>
      </c>
      <c r="BZ256" s="80" t="str">
        <f>IF(Y256=1,F256&amp;IF(AND(F256&amp;""&lt;&gt;"",E256&amp;""&lt;&gt;"")," · ","")&amp;E256,"")</f>
        <v/>
      </c>
      <c r="CA256" s="80" t="str">
        <f>IF(AND(BD256=1,E256&amp;""&lt;&gt;""),IF(COUNTIFS($E$5:E255,E256,$BD$5:BD255,1)=0,MAX($CA$5:CA255)+1,""),"")</f>
        <v/>
      </c>
      <c r="CB256" s="80" t="str">
        <f>IF(AND(BE256=1,D256="Malcolm",E256&amp;""&lt;&gt;""),IF(COUNTIFS($D$5:D255,"Malcolm",$E$5:E255,E256,$BE$5:BE255,1)=0,MAX($CB$5:CB255)+1,""),"")</f>
        <v/>
      </c>
      <c r="CC256" s="80" t="str">
        <f>IF(AND(BD256=1,D256="proMX",E256&amp;""&lt;&gt;""),IF(COUNTIFS($D$5:D255,"proMX",$E$5:E255,E256,$BD$5:BD255,1)=0,MAX($CC$5:CC255)+1,""),"")</f>
        <v/>
      </c>
      <c r="CD256" s="80" t="str">
        <f>IF(AND(BE256=1,D256="Malcolm",F256&amp;""&lt;&gt;""),IF(COUNTIFS($D$5:D255,"Malcolm",$F$5:F255,F256,$BE$5:BE255,1)=0,MAX($CD$5:CD255)+1,""),"")</f>
        <v/>
      </c>
      <c r="CE256" s="80" t="str">
        <f>IF(AND(BD256=1,D256="proMX",F256&amp;""&lt;&gt;""),IF(COUNTIFS($D$5:D255,"proMX",$F$5:F255,F256,$BD$5:BD255,1)=0,MAX($CE$5:CE255)+1,""),"")</f>
        <v/>
      </c>
      <c r="CF256" s="80" t="str">
        <f>IF(AND(D256="proMX",BD256=1),IF(OR(BF256="Draft",BF256="Submitted",BF256="Returned",BF256="Recall Requested"),MAX($CF$5:CF255)+1,""),"")</f>
        <v/>
      </c>
      <c r="CG256" s="80">
        <f>IF(BD256=0,0,IF(D256="Malcolm",1,MATCH(BF256,{"Draft","Submitted","Approved","Returned","Recall Requested","Cancelled"},0)+1))</f>
        <v>0</v>
      </c>
      <c r="CH256" s="80">
        <f>IF(AND(BF256="Submitted",ISNUMBER(V256)),IF(V256&gt;CFG_MAXD,1,0),0)</f>
        <v>0</v>
      </c>
    </row>
    <row r="257">
      <c r="A257" s="71" t="str">
        <f>IF(Y257=1,ROW()-5,"")</f>
        <v/>
      </c>
      <c r="B257" s="72" t="n"/>
      <c r="C257" s="71" t="str">
        <f>IF(ISNUMBER(B257),CHOOSE(WEEKDAY(B257,2),"Lun","Mar","Mié","Jue","Vie","Sáb","Dom"),"")</f>
        <v/>
      </c>
      <c r="D257" s="73" t="n"/>
      <c r="E257" s="74" t="n"/>
      <c r="F257" s="74" t="n"/>
      <c r="G257" s="74" t="n"/>
      <c r="H257" s="75" t="n"/>
      <c r="I257" s="75" t="n"/>
      <c r="J257" s="76" t="n"/>
      <c r="K257" s="77" t="str">
        <f>IF(AB257=1,ROUND(AG257/60,4),"")</f>
        <v/>
      </c>
      <c r="L257" s="77" t="str">
        <f>IF(BD257=1,ROUND(AP257/60,4),"")</f>
        <v/>
      </c>
      <c r="M257" s="77" t="str">
        <f>IF(BD257=1,ROUND(AQ257/60,4),"")</f>
        <v/>
      </c>
      <c r="N257" s="71" t="str">
        <f>IF(AND(D257="proMX",AB257=1),ROUND(AG257/CFG_BLK,2),"")</f>
        <v/>
      </c>
      <c r="O257" s="77" t="str">
        <f>IF(D257="proMX",IF(BD257=1,ROUND(AG257/60,4),0),"")</f>
        <v/>
      </c>
      <c r="P257" s="78" t="str">
        <f>IF(Y257=0,"",IF(BD257=1,"OK",IF(D257="proMX","Revisar bloques: ","Revisar: ")&amp;BC257))</f>
        <v/>
      </c>
      <c r="Q257" s="78" t="str">
        <f>IF(NOT(ISNUMBER(B257)),"",IF(COUNTIFS(FER_F,INT(B257))&gt;0,"Feriado"&amp;IF(AH257=1," (laborable)"," (no laborable)"),IF(AH257=1,"Laborable",IF(WEEKDAY(B257,2)&gt;5,"Fin de semana","No laborable"))))</f>
        <v/>
      </c>
      <c r="R257" s="73" t="n"/>
      <c r="S257" s="72" t="n"/>
      <c r="T257" s="72" t="n"/>
      <c r="U257" s="74" t="n"/>
      <c r="V257" s="79" t="str">
        <f>IF(AND(D257="proMX",OR(R257="Submitted",R257="Recall Requested"),ISNUMBER(S257)),CFG_TODAY-INT(S257),"")</f>
        <v/>
      </c>
      <c r="W257" s="78" t="str">
        <f>IF(BD257=0,"",IF(BA257&gt;0,"⚠ Se superpone con un registro de la otra empresa",IF(D257="Malcolm",IF(COUNTA(R257,S257,T257)&gt;0,"Estado/fechas proMX se ignoran en Malcolm",""),IF(BF257="Cancelled","Cancelado: excluido de totales",IF(R257="","Sin estado: se trata como Draft",IF(BF257="Submitted",IF(ISNUMBER(V257),IF(V257&gt;CFG_MAXD,"⚠ "&amp;V257&amp;" días en Submitted (máx. "&amp;CFG_MAXD&amp;")",""),"Falta fecha de envío"),IF(BF257="Returned","⚠ Devuelto: corregir y reenviar",IF(BF257="Recall Requested","Retirada solicitada: pendiente",IF(AND(BF257="Approved",NOT(ISNUMBER(T257))),"Falta fecha de aprobación",IF(AND(ISNUMBER(S257),ISNUMBER(T257),T257&lt;S257),"Aprobación anterior al envío","")))))))))</f>
        <v/>
      </c>
      <c r="Y257" s="80">
        <f>IF(COUNTA(B257,D257,E257,F257,G257,H257,I257,J257,R257,S257,T257)&gt;0,1,0)</f>
        <v>0</v>
      </c>
      <c r="Z257" s="80" t="str">
        <f>IF(AND(ISNUMBER(H257),H257&gt;=0,H257&lt;1),ROUND(H257*1440,0),"")</f>
        <v/>
      </c>
      <c r="AA257" s="80" t="str">
        <f>IF(AND(ISNUMBER(I257),I257&gt;=0,I257&lt;1),ROUND(I257*1440,0),"")</f>
        <v/>
      </c>
      <c r="AB257" s="80">
        <f>IF(AND(ISNUMBER(B257),D257&lt;&gt;"",ISNUMBER(Z257),ISNUMBER(AA257)),IF(Z257=AA257,0,1),0)</f>
        <v>0</v>
      </c>
      <c r="AC257" s="80">
        <f>IF(AB257=1,IF(AA257&lt;Z257,1,0),0)</f>
        <v>0</v>
      </c>
      <c r="AD257" s="80">
        <f>IF(AB257=1,IF(AC257=1,1440-Z257+AA257,AA257-Z257),0)</f>
        <v>0</v>
      </c>
      <c r="AE257" s="80">
        <f>IF(J257="",0,IF(ISNUMBER(J257),J257,-1))</f>
        <v>0</v>
      </c>
      <c r="AF257" s="80">
        <f>MIN(MAX(0,AE257),AD257)</f>
        <v>0</v>
      </c>
      <c r="AG257" s="80">
        <f>MAX(0,AD257-MAX(0,AE257))</f>
        <v>0</v>
      </c>
      <c r="AH257" s="80">
        <f>IF(ISNUMBER(B257),IF(AND(INDEX(CFG_WDAYS,WEEKDAY(INT(B257),2))="Sí",IF(D257="proMX",COUNTIFS(FER_F,INT(B257),FER_NLP,"Sí"),COUNTIFS(FER_F,INT(B257),FER_NLM,"Sí"))=0),1,0),0)</f>
        <v>0</v>
      </c>
      <c r="AI257" s="80">
        <f>IF(AC257=1,IF(AND(INDEX(CFG_WDAYS,WEEKDAY(INT(B257)+1,2))="Sí",IF(D257="proMX",COUNTIFS(FER_F,INT(B257)+1,FER_NLP,"Sí"),COUNTIFS(FER_F,INT(B257)+1,FER_NLM,"Sí"))=0),1,0),0)</f>
        <v>0</v>
      </c>
      <c r="AJ257" s="80">
        <f>IF(AC257=1,1440-Z257,AD257)</f>
        <v>0</v>
      </c>
      <c r="AK257" s="80">
        <f>IF(AND(AB257=1,AH257=1),MAX(0,MIN(IF(AC257=1,1440,AA257),CFG_WEM)-MAX(Z257,CFG_WSM)),0)</f>
        <v>0</v>
      </c>
      <c r="AL257" s="80">
        <f>IF(AND(AC257=1,AI257=1),MAX(0,MIN(AA257,CFG_WEM)-CFG_WSM),0)</f>
        <v>0</v>
      </c>
      <c r="AM257" s="80">
        <f>AK257+AL257</f>
        <v>0</v>
      </c>
      <c r="AN257" s="80">
        <f>IF(CFG_BRK="Proporcional",IF(AD257=0,0,AF257*AM257/AD257),IF(CFG_BRK="Extras primero",MIN(AM257,MAX(0,AF257-(AD257-AM257))),MIN(AF257,AM257)))</f>
        <v>0</v>
      </c>
      <c r="AO257" s="80">
        <f>AF257-AN257</f>
        <v>0</v>
      </c>
      <c r="AP257" s="80">
        <f>AM257-AN257</f>
        <v>0</v>
      </c>
      <c r="AQ257" s="80">
        <f>AD257-AM257-AO257</f>
        <v>0</v>
      </c>
      <c r="AR257" s="80">
        <f>IF(AM257=0,0,AK257-AN257*AK257/AM257)</f>
        <v>0</v>
      </c>
      <c r="AS257" s="80">
        <f>IF(AD257-AM257=0,0,(AJ257-AK257)-AO257*(AJ257-AK257)/(AD257-AM257))</f>
        <v>0</v>
      </c>
      <c r="AT257" s="80" t="str">
        <f>IF(AC257=1,INT(B257)+1,"")</f>
        <v/>
      </c>
      <c r="AU257" s="80">
        <f>IF(AND(D257="proMX",R257="Cancelled"),0,1)</f>
        <v>1</v>
      </c>
      <c r="AV257" s="80">
        <f>IF(AND(AB257=1,AU257=1),IF(COUNTIFS($D$5:D256,D257,$B$5:B256,B257,$Z$5:Z256,Z257,$AA$5:AA256,AA257,$F$5:F256,F257&amp;"",$AU$5:AU256,1)&gt;0,1,0),0)</f>
        <v>0</v>
      </c>
      <c r="AW257" s="80" t="str">
        <f>IF(AB257=1,INT(B257)*1440+Z257,"")</f>
        <v/>
      </c>
      <c r="AX257" s="80" t="str">
        <f>IF(AB257=1,AW257+AD257,"")</f>
        <v/>
      </c>
      <c r="AY257" s="80">
        <f>IF(AND(AB257=1,AV257=0,AU257=1),1,0)</f>
        <v>0</v>
      </c>
      <c r="AZ257" s="80">
        <f>IF(AY257=1,COUNTIFS(R_Emp,D257,R_SAbs,"&lt;"&amp;AX257,R_EAbs,"&gt;"&amp;AW257,R_OKey,1)-1,0)</f>
        <v>0</v>
      </c>
      <c r="BA257" s="80">
        <f>IF(AY257=1,COUNTIFS(R_Emp,"&lt;&gt;"&amp;D257,R_SAbs,"&lt;"&amp;AX257,R_EAbs,"&gt;"&amp;AW257,R_OKey,1),0)</f>
        <v>0</v>
      </c>
      <c r="BB257" s="80">
        <f>IF(AND(AB257=1,D257="proMX"),IF(AND(MOD(Z257,CFG_BLK)=0,MOD(AA257,CFG_BLK)=0,MOD(AG257,CFG_BLK)=0,AG257&gt;0),1,0),1)</f>
        <v>1</v>
      </c>
      <c r="BC257" s="80" t="str">
        <f>IF(Y257=0,"",IF(NOT(ISNUMBER(B257)),"Falta fecha o fecha inválida",IF(D257="","Falta empresa",IF(AND(D257&lt;&gt;"Malcolm",D257&lt;&gt;"proMX"),"Empresa inválida",IF(OR(INT(B257)&lt;CFG_PSTART,INT(B257)&gt;CFG_PEND),"Fecha fuera del período",IF(OR(NOT(ISNUMBER(Z257)),NOT(ISNUMBER(AA257))),"Falta hora inicio/fin o formato inválido",IF(AB257=0,"Hora inicio = hora fin",IF(AE257&lt;0,"Descanso inválido",IF(AE257&gt;=AD257,"Descanso ≥ duración",IF(AV257=1,"Registro duplicado",IF(AZ257&gt;0,"Se superpone con otro registro "&amp;D257,IF(BB257=0,"inicio, fin y duración neta deben ser múltiplos de "&amp;CFG_BLK&amp;" min",""))))))))))))</f>
        <v/>
      </c>
      <c r="BD257" s="80">
        <f>IF(AND(Y257=1,BC257=""),1,0)</f>
        <v>0</v>
      </c>
      <c r="BE257" s="80">
        <f>IF(AND(BD257=1,AU257=1),1,0)</f>
        <v>0</v>
      </c>
      <c r="BF257" s="80" t="str">
        <f>IF(AND(D257="proMX",BD257=1),IF(R257="","Draft",R257),"")</f>
        <v/>
      </c>
      <c r="BG257" s="80">
        <f>IF(BD257=1,ROUND(AG257/60,6),0)</f>
        <v>0</v>
      </c>
      <c r="BH257" s="80">
        <f>IF(BE257=1,ROUND(AG257/60,6),0)</f>
        <v>0</v>
      </c>
      <c r="BI257" s="80">
        <f>IF(BE257=1,ROUND(AP257/60,6),0)</f>
        <v>0</v>
      </c>
      <c r="BJ257" s="80">
        <f>IF(BE257=1,ROUND(AQ257/60,6),0)</f>
        <v>0</v>
      </c>
      <c r="BK257" s="80">
        <f>IF(BE257=1,ROUND((AR257+AS257)/60,6),0)</f>
        <v>0</v>
      </c>
      <c r="BL257" s="80">
        <f>ROUND(BH257-BK257,6)</f>
        <v>0</v>
      </c>
      <c r="BM257" s="80">
        <f>IF(BE257=1,ROUND(AR257/60,6),0)</f>
        <v>0</v>
      </c>
      <c r="BN257" s="80">
        <f>ROUND(BI257-BM257,6)</f>
        <v>0</v>
      </c>
      <c r="BO257" s="80">
        <f>IF(BE257=1,ROUND(AS257/60,6),0)</f>
        <v>0</v>
      </c>
      <c r="BP257" s="80">
        <f>ROUND(BJ257-BO257,6)</f>
        <v>0</v>
      </c>
      <c r="BQ257" s="80">
        <f>IF(BE257=1,AW257,0)</f>
        <v>0</v>
      </c>
      <c r="BR257" s="80">
        <f>IF(BE257=1,AX257,0)</f>
        <v>0</v>
      </c>
      <c r="BS257" s="80">
        <f>IF(AND(BE257=1,D257="Malcolm",BA257&gt;0),MIN(BH257,SUMPRODUCT((R_Emp="proMX")*(R_EN&gt;0)*((R_EN-(R_EN&gt;BR257)*(R_EN-BR257))&gt;(R_SN+(R_SN&lt;BQ257)*(BQ257-R_SN)))*((R_EN-(R_EN&gt;BR257)*(R_EN-BR257))-(R_SN+(R_SN&lt;BQ257)*(BQ257-R_SN))))/60),0)</f>
        <v>0</v>
      </c>
      <c r="BT257" s="80">
        <f>IF(AND(BE257=1,D257="proMX"),ROUND(BI257*CFG_RATE+BJ257*CFG_OTRATE,6),0)</f>
        <v>0</v>
      </c>
      <c r="BU257" s="80">
        <f>IF(AND(BD257=1,D257="proMX"),ROUND(AG257/CFG_BLK,6),0)</f>
        <v>0</v>
      </c>
      <c r="BV257" s="80" t="str">
        <f>IF(BF257="Approved",IF(ISNUMBER(T257),INT(T257),INT(B257)),"")</f>
        <v/>
      </c>
      <c r="BW257" s="80">
        <f>IF(ISNUMBER(B257),IF(DB_MON="Todos",1,IF(AND(INT(B257)&gt;=DB_MS,INT(B257)&lt;=DB_ME),1,0)),0)</f>
        <v>0</v>
      </c>
      <c r="BX257" s="80">
        <f>IF(DB_PROJ="Todos",1,IF(E257&amp;""=DB_PROJ&amp;"",1,0))</f>
        <v>1</v>
      </c>
      <c r="BY257" s="80">
        <f>BW257*BX257</f>
        <v>0</v>
      </c>
      <c r="BZ257" s="80" t="str">
        <f>IF(Y257=1,F257&amp;IF(AND(F257&amp;""&lt;&gt;"",E257&amp;""&lt;&gt;"")," · ","")&amp;E257,"")</f>
        <v/>
      </c>
      <c r="CA257" s="80" t="str">
        <f>IF(AND(BD257=1,E257&amp;""&lt;&gt;""),IF(COUNTIFS($E$5:E256,E257,$BD$5:BD256,1)=0,MAX($CA$5:CA256)+1,""),"")</f>
        <v/>
      </c>
      <c r="CB257" s="80" t="str">
        <f>IF(AND(BE257=1,D257="Malcolm",E257&amp;""&lt;&gt;""),IF(COUNTIFS($D$5:D256,"Malcolm",$E$5:E256,E257,$BE$5:BE256,1)=0,MAX($CB$5:CB256)+1,""),"")</f>
        <v/>
      </c>
      <c r="CC257" s="80" t="str">
        <f>IF(AND(BD257=1,D257="proMX",E257&amp;""&lt;&gt;""),IF(COUNTIFS($D$5:D256,"proMX",$E$5:E256,E257,$BD$5:BD256,1)=0,MAX($CC$5:CC256)+1,""),"")</f>
        <v/>
      </c>
      <c r="CD257" s="80" t="str">
        <f>IF(AND(BE257=1,D257="Malcolm",F257&amp;""&lt;&gt;""),IF(COUNTIFS($D$5:D256,"Malcolm",$F$5:F256,F257,$BE$5:BE256,1)=0,MAX($CD$5:CD256)+1,""),"")</f>
        <v/>
      </c>
      <c r="CE257" s="80" t="str">
        <f>IF(AND(BD257=1,D257="proMX",F257&amp;""&lt;&gt;""),IF(COUNTIFS($D$5:D256,"proMX",$F$5:F256,F257,$BD$5:BD256,1)=0,MAX($CE$5:CE256)+1,""),"")</f>
        <v/>
      </c>
      <c r="CF257" s="80" t="str">
        <f>IF(AND(D257="proMX",BD257=1),IF(OR(BF257="Draft",BF257="Submitted",BF257="Returned",BF257="Recall Requested"),MAX($CF$5:CF256)+1,""),"")</f>
        <v/>
      </c>
      <c r="CG257" s="80">
        <f>IF(BD257=0,0,IF(D257="Malcolm",1,MATCH(BF257,{"Draft","Submitted","Approved","Returned","Recall Requested","Cancelled"},0)+1))</f>
        <v>0</v>
      </c>
      <c r="CH257" s="80">
        <f>IF(AND(BF257="Submitted",ISNUMBER(V257)),IF(V257&gt;CFG_MAXD,1,0),0)</f>
        <v>0</v>
      </c>
    </row>
    <row r="258">
      <c r="A258" s="71" t="str">
        <f>IF(Y258=1,ROW()-5,"")</f>
        <v/>
      </c>
      <c r="B258" s="72" t="n"/>
      <c r="C258" s="71" t="str">
        <f>IF(ISNUMBER(B258),CHOOSE(WEEKDAY(B258,2),"Lun","Mar","Mié","Jue","Vie","Sáb","Dom"),"")</f>
        <v/>
      </c>
      <c r="D258" s="73" t="n"/>
      <c r="E258" s="74" t="n"/>
      <c r="F258" s="74" t="n"/>
      <c r="G258" s="74" t="n"/>
      <c r="H258" s="75" t="n"/>
      <c r="I258" s="75" t="n"/>
      <c r="J258" s="76" t="n"/>
      <c r="K258" s="77" t="str">
        <f>IF(AB258=1,ROUND(AG258/60,4),"")</f>
        <v/>
      </c>
      <c r="L258" s="77" t="str">
        <f>IF(BD258=1,ROUND(AP258/60,4),"")</f>
        <v/>
      </c>
      <c r="M258" s="77" t="str">
        <f>IF(BD258=1,ROUND(AQ258/60,4),"")</f>
        <v/>
      </c>
      <c r="N258" s="71" t="str">
        <f>IF(AND(D258="proMX",AB258=1),ROUND(AG258/CFG_BLK,2),"")</f>
        <v/>
      </c>
      <c r="O258" s="77" t="str">
        <f>IF(D258="proMX",IF(BD258=1,ROUND(AG258/60,4),0),"")</f>
        <v/>
      </c>
      <c r="P258" s="78" t="str">
        <f>IF(Y258=0,"",IF(BD258=1,"OK",IF(D258="proMX","Revisar bloques: ","Revisar: ")&amp;BC258))</f>
        <v/>
      </c>
      <c r="Q258" s="78" t="str">
        <f>IF(NOT(ISNUMBER(B258)),"",IF(COUNTIFS(FER_F,INT(B258))&gt;0,"Feriado"&amp;IF(AH258=1," (laborable)"," (no laborable)"),IF(AH258=1,"Laborable",IF(WEEKDAY(B258,2)&gt;5,"Fin de semana","No laborable"))))</f>
        <v/>
      </c>
      <c r="R258" s="73" t="n"/>
      <c r="S258" s="72" t="n"/>
      <c r="T258" s="72" t="n"/>
      <c r="U258" s="74" t="n"/>
      <c r="V258" s="79" t="str">
        <f>IF(AND(D258="proMX",OR(R258="Submitted",R258="Recall Requested"),ISNUMBER(S258)),CFG_TODAY-INT(S258),"")</f>
        <v/>
      </c>
      <c r="W258" s="78" t="str">
        <f>IF(BD258=0,"",IF(BA258&gt;0,"⚠ Se superpone con un registro de la otra empresa",IF(D258="Malcolm",IF(COUNTA(R258,S258,T258)&gt;0,"Estado/fechas proMX se ignoran en Malcolm",""),IF(BF258="Cancelled","Cancelado: excluido de totales",IF(R258="","Sin estado: se trata como Draft",IF(BF258="Submitted",IF(ISNUMBER(V258),IF(V258&gt;CFG_MAXD,"⚠ "&amp;V258&amp;" días en Submitted (máx. "&amp;CFG_MAXD&amp;")",""),"Falta fecha de envío"),IF(BF258="Returned","⚠ Devuelto: corregir y reenviar",IF(BF258="Recall Requested","Retirada solicitada: pendiente",IF(AND(BF258="Approved",NOT(ISNUMBER(T258))),"Falta fecha de aprobación",IF(AND(ISNUMBER(S258),ISNUMBER(T258),T258&lt;S258),"Aprobación anterior al envío","")))))))))</f>
        <v/>
      </c>
      <c r="Y258" s="80">
        <f>IF(COUNTA(B258,D258,E258,F258,G258,H258,I258,J258,R258,S258,T258)&gt;0,1,0)</f>
        <v>0</v>
      </c>
      <c r="Z258" s="80" t="str">
        <f>IF(AND(ISNUMBER(H258),H258&gt;=0,H258&lt;1),ROUND(H258*1440,0),"")</f>
        <v/>
      </c>
      <c r="AA258" s="80" t="str">
        <f>IF(AND(ISNUMBER(I258),I258&gt;=0,I258&lt;1),ROUND(I258*1440,0),"")</f>
        <v/>
      </c>
      <c r="AB258" s="80">
        <f>IF(AND(ISNUMBER(B258),D258&lt;&gt;"",ISNUMBER(Z258),ISNUMBER(AA258)),IF(Z258=AA258,0,1),0)</f>
        <v>0</v>
      </c>
      <c r="AC258" s="80">
        <f>IF(AB258=1,IF(AA258&lt;Z258,1,0),0)</f>
        <v>0</v>
      </c>
      <c r="AD258" s="80">
        <f>IF(AB258=1,IF(AC258=1,1440-Z258+AA258,AA258-Z258),0)</f>
        <v>0</v>
      </c>
      <c r="AE258" s="80">
        <f>IF(J258="",0,IF(ISNUMBER(J258),J258,-1))</f>
        <v>0</v>
      </c>
      <c r="AF258" s="80">
        <f>MIN(MAX(0,AE258),AD258)</f>
        <v>0</v>
      </c>
      <c r="AG258" s="80">
        <f>MAX(0,AD258-MAX(0,AE258))</f>
        <v>0</v>
      </c>
      <c r="AH258" s="80">
        <f>IF(ISNUMBER(B258),IF(AND(INDEX(CFG_WDAYS,WEEKDAY(INT(B258),2))="Sí",IF(D258="proMX",COUNTIFS(FER_F,INT(B258),FER_NLP,"Sí"),COUNTIFS(FER_F,INT(B258),FER_NLM,"Sí"))=0),1,0),0)</f>
        <v>0</v>
      </c>
      <c r="AI258" s="80">
        <f>IF(AC258=1,IF(AND(INDEX(CFG_WDAYS,WEEKDAY(INT(B258)+1,2))="Sí",IF(D258="proMX",COUNTIFS(FER_F,INT(B258)+1,FER_NLP,"Sí"),COUNTIFS(FER_F,INT(B258)+1,FER_NLM,"Sí"))=0),1,0),0)</f>
        <v>0</v>
      </c>
      <c r="AJ258" s="80">
        <f>IF(AC258=1,1440-Z258,AD258)</f>
        <v>0</v>
      </c>
      <c r="AK258" s="80">
        <f>IF(AND(AB258=1,AH258=1),MAX(0,MIN(IF(AC258=1,1440,AA258),CFG_WEM)-MAX(Z258,CFG_WSM)),0)</f>
        <v>0</v>
      </c>
      <c r="AL258" s="80">
        <f>IF(AND(AC258=1,AI258=1),MAX(0,MIN(AA258,CFG_WEM)-CFG_WSM),0)</f>
        <v>0</v>
      </c>
      <c r="AM258" s="80">
        <f>AK258+AL258</f>
        <v>0</v>
      </c>
      <c r="AN258" s="80">
        <f>IF(CFG_BRK="Proporcional",IF(AD258=0,0,AF258*AM258/AD258),IF(CFG_BRK="Extras primero",MIN(AM258,MAX(0,AF258-(AD258-AM258))),MIN(AF258,AM258)))</f>
        <v>0</v>
      </c>
      <c r="AO258" s="80">
        <f>AF258-AN258</f>
        <v>0</v>
      </c>
      <c r="AP258" s="80">
        <f>AM258-AN258</f>
        <v>0</v>
      </c>
      <c r="AQ258" s="80">
        <f>AD258-AM258-AO258</f>
        <v>0</v>
      </c>
      <c r="AR258" s="80">
        <f>IF(AM258=0,0,AK258-AN258*AK258/AM258)</f>
        <v>0</v>
      </c>
      <c r="AS258" s="80">
        <f>IF(AD258-AM258=0,0,(AJ258-AK258)-AO258*(AJ258-AK258)/(AD258-AM258))</f>
        <v>0</v>
      </c>
      <c r="AT258" s="80" t="str">
        <f>IF(AC258=1,INT(B258)+1,"")</f>
        <v/>
      </c>
      <c r="AU258" s="80">
        <f>IF(AND(D258="proMX",R258="Cancelled"),0,1)</f>
        <v>1</v>
      </c>
      <c r="AV258" s="80">
        <f>IF(AND(AB258=1,AU258=1),IF(COUNTIFS($D$5:D257,D258,$B$5:B257,B258,$Z$5:Z257,Z258,$AA$5:AA257,AA258,$F$5:F257,F258&amp;"",$AU$5:AU257,1)&gt;0,1,0),0)</f>
        <v>0</v>
      </c>
      <c r="AW258" s="80" t="str">
        <f>IF(AB258=1,INT(B258)*1440+Z258,"")</f>
        <v/>
      </c>
      <c r="AX258" s="80" t="str">
        <f>IF(AB258=1,AW258+AD258,"")</f>
        <v/>
      </c>
      <c r="AY258" s="80">
        <f>IF(AND(AB258=1,AV258=0,AU258=1),1,0)</f>
        <v>0</v>
      </c>
      <c r="AZ258" s="80">
        <f>IF(AY258=1,COUNTIFS(R_Emp,D258,R_SAbs,"&lt;"&amp;AX258,R_EAbs,"&gt;"&amp;AW258,R_OKey,1)-1,0)</f>
        <v>0</v>
      </c>
      <c r="BA258" s="80">
        <f>IF(AY258=1,COUNTIFS(R_Emp,"&lt;&gt;"&amp;D258,R_SAbs,"&lt;"&amp;AX258,R_EAbs,"&gt;"&amp;AW258,R_OKey,1),0)</f>
        <v>0</v>
      </c>
      <c r="BB258" s="80">
        <f>IF(AND(AB258=1,D258="proMX"),IF(AND(MOD(Z258,CFG_BLK)=0,MOD(AA258,CFG_BLK)=0,MOD(AG258,CFG_BLK)=0,AG258&gt;0),1,0),1)</f>
        <v>1</v>
      </c>
      <c r="BC258" s="80" t="str">
        <f>IF(Y258=0,"",IF(NOT(ISNUMBER(B258)),"Falta fecha o fecha inválida",IF(D258="","Falta empresa",IF(AND(D258&lt;&gt;"Malcolm",D258&lt;&gt;"proMX"),"Empresa inválida",IF(OR(INT(B258)&lt;CFG_PSTART,INT(B258)&gt;CFG_PEND),"Fecha fuera del período",IF(OR(NOT(ISNUMBER(Z258)),NOT(ISNUMBER(AA258))),"Falta hora inicio/fin o formato inválido",IF(AB258=0,"Hora inicio = hora fin",IF(AE258&lt;0,"Descanso inválido",IF(AE258&gt;=AD258,"Descanso ≥ duración",IF(AV258=1,"Registro duplicado",IF(AZ258&gt;0,"Se superpone con otro registro "&amp;D258,IF(BB258=0,"inicio, fin y duración neta deben ser múltiplos de "&amp;CFG_BLK&amp;" min",""))))))))))))</f>
        <v/>
      </c>
      <c r="BD258" s="80">
        <f>IF(AND(Y258=1,BC258=""),1,0)</f>
        <v>0</v>
      </c>
      <c r="BE258" s="80">
        <f>IF(AND(BD258=1,AU258=1),1,0)</f>
        <v>0</v>
      </c>
      <c r="BF258" s="80" t="str">
        <f>IF(AND(D258="proMX",BD258=1),IF(R258="","Draft",R258),"")</f>
        <v/>
      </c>
      <c r="BG258" s="80">
        <f>IF(BD258=1,ROUND(AG258/60,6),0)</f>
        <v>0</v>
      </c>
      <c r="BH258" s="80">
        <f>IF(BE258=1,ROUND(AG258/60,6),0)</f>
        <v>0</v>
      </c>
      <c r="BI258" s="80">
        <f>IF(BE258=1,ROUND(AP258/60,6),0)</f>
        <v>0</v>
      </c>
      <c r="BJ258" s="80">
        <f>IF(BE258=1,ROUND(AQ258/60,6),0)</f>
        <v>0</v>
      </c>
      <c r="BK258" s="80">
        <f>IF(BE258=1,ROUND((AR258+AS258)/60,6),0)</f>
        <v>0</v>
      </c>
      <c r="BL258" s="80">
        <f>ROUND(BH258-BK258,6)</f>
        <v>0</v>
      </c>
      <c r="BM258" s="80">
        <f>IF(BE258=1,ROUND(AR258/60,6),0)</f>
        <v>0</v>
      </c>
      <c r="BN258" s="80">
        <f>ROUND(BI258-BM258,6)</f>
        <v>0</v>
      </c>
      <c r="BO258" s="80">
        <f>IF(BE258=1,ROUND(AS258/60,6),0)</f>
        <v>0</v>
      </c>
      <c r="BP258" s="80">
        <f>ROUND(BJ258-BO258,6)</f>
        <v>0</v>
      </c>
      <c r="BQ258" s="80">
        <f>IF(BE258=1,AW258,0)</f>
        <v>0</v>
      </c>
      <c r="BR258" s="80">
        <f>IF(BE258=1,AX258,0)</f>
        <v>0</v>
      </c>
      <c r="BS258" s="80">
        <f>IF(AND(BE258=1,D258="Malcolm",BA258&gt;0),MIN(BH258,SUMPRODUCT((R_Emp="proMX")*(R_EN&gt;0)*((R_EN-(R_EN&gt;BR258)*(R_EN-BR258))&gt;(R_SN+(R_SN&lt;BQ258)*(BQ258-R_SN)))*((R_EN-(R_EN&gt;BR258)*(R_EN-BR258))-(R_SN+(R_SN&lt;BQ258)*(BQ258-R_SN))))/60),0)</f>
        <v>0</v>
      </c>
      <c r="BT258" s="80">
        <f>IF(AND(BE258=1,D258="proMX"),ROUND(BI258*CFG_RATE+BJ258*CFG_OTRATE,6),0)</f>
        <v>0</v>
      </c>
      <c r="BU258" s="80">
        <f>IF(AND(BD258=1,D258="proMX"),ROUND(AG258/CFG_BLK,6),0)</f>
        <v>0</v>
      </c>
      <c r="BV258" s="80" t="str">
        <f>IF(BF258="Approved",IF(ISNUMBER(T258),INT(T258),INT(B258)),"")</f>
        <v/>
      </c>
      <c r="BW258" s="80">
        <f>IF(ISNUMBER(B258),IF(DB_MON="Todos",1,IF(AND(INT(B258)&gt;=DB_MS,INT(B258)&lt;=DB_ME),1,0)),0)</f>
        <v>0</v>
      </c>
      <c r="BX258" s="80">
        <f>IF(DB_PROJ="Todos",1,IF(E258&amp;""=DB_PROJ&amp;"",1,0))</f>
        <v>1</v>
      </c>
      <c r="BY258" s="80">
        <f>BW258*BX258</f>
        <v>0</v>
      </c>
      <c r="BZ258" s="80" t="str">
        <f>IF(Y258=1,F258&amp;IF(AND(F258&amp;""&lt;&gt;"",E258&amp;""&lt;&gt;"")," · ","")&amp;E258,"")</f>
        <v/>
      </c>
      <c r="CA258" s="80" t="str">
        <f>IF(AND(BD258=1,E258&amp;""&lt;&gt;""),IF(COUNTIFS($E$5:E257,E258,$BD$5:BD257,1)=0,MAX($CA$5:CA257)+1,""),"")</f>
        <v/>
      </c>
      <c r="CB258" s="80" t="str">
        <f>IF(AND(BE258=1,D258="Malcolm",E258&amp;""&lt;&gt;""),IF(COUNTIFS($D$5:D257,"Malcolm",$E$5:E257,E258,$BE$5:BE257,1)=0,MAX($CB$5:CB257)+1,""),"")</f>
        <v/>
      </c>
      <c r="CC258" s="80" t="str">
        <f>IF(AND(BD258=1,D258="proMX",E258&amp;""&lt;&gt;""),IF(COUNTIFS($D$5:D257,"proMX",$E$5:E257,E258,$BD$5:BD257,1)=0,MAX($CC$5:CC257)+1,""),"")</f>
        <v/>
      </c>
      <c r="CD258" s="80" t="str">
        <f>IF(AND(BE258=1,D258="Malcolm",F258&amp;""&lt;&gt;""),IF(COUNTIFS($D$5:D257,"Malcolm",$F$5:F257,F258,$BE$5:BE257,1)=0,MAX($CD$5:CD257)+1,""),"")</f>
        <v/>
      </c>
      <c r="CE258" s="80" t="str">
        <f>IF(AND(BD258=1,D258="proMX",F258&amp;""&lt;&gt;""),IF(COUNTIFS($D$5:D257,"proMX",$F$5:F257,F258,$BD$5:BD257,1)=0,MAX($CE$5:CE257)+1,""),"")</f>
        <v/>
      </c>
      <c r="CF258" s="80" t="str">
        <f>IF(AND(D258="proMX",BD258=1),IF(OR(BF258="Draft",BF258="Submitted",BF258="Returned",BF258="Recall Requested"),MAX($CF$5:CF257)+1,""),"")</f>
        <v/>
      </c>
      <c r="CG258" s="80">
        <f>IF(BD258=0,0,IF(D258="Malcolm",1,MATCH(BF258,{"Draft","Submitted","Approved","Returned","Recall Requested","Cancelled"},0)+1))</f>
        <v>0</v>
      </c>
      <c r="CH258" s="80">
        <f>IF(AND(BF258="Submitted",ISNUMBER(V258)),IF(V258&gt;CFG_MAXD,1,0),0)</f>
        <v>0</v>
      </c>
    </row>
    <row r="259">
      <c r="A259" s="71" t="str">
        <f>IF(Y259=1,ROW()-5,"")</f>
        <v/>
      </c>
      <c r="B259" s="72" t="n"/>
      <c r="C259" s="71" t="str">
        <f>IF(ISNUMBER(B259),CHOOSE(WEEKDAY(B259,2),"Lun","Mar","Mié","Jue","Vie","Sáb","Dom"),"")</f>
        <v/>
      </c>
      <c r="D259" s="73" t="n"/>
      <c r="E259" s="74" t="n"/>
      <c r="F259" s="74" t="n"/>
      <c r="G259" s="74" t="n"/>
      <c r="H259" s="75" t="n"/>
      <c r="I259" s="75" t="n"/>
      <c r="J259" s="76" t="n"/>
      <c r="K259" s="77" t="str">
        <f>IF(AB259=1,ROUND(AG259/60,4),"")</f>
        <v/>
      </c>
      <c r="L259" s="77" t="str">
        <f>IF(BD259=1,ROUND(AP259/60,4),"")</f>
        <v/>
      </c>
      <c r="M259" s="77" t="str">
        <f>IF(BD259=1,ROUND(AQ259/60,4),"")</f>
        <v/>
      </c>
      <c r="N259" s="71" t="str">
        <f>IF(AND(D259="proMX",AB259=1),ROUND(AG259/CFG_BLK,2),"")</f>
        <v/>
      </c>
      <c r="O259" s="77" t="str">
        <f>IF(D259="proMX",IF(BD259=1,ROUND(AG259/60,4),0),"")</f>
        <v/>
      </c>
      <c r="P259" s="78" t="str">
        <f>IF(Y259=0,"",IF(BD259=1,"OK",IF(D259="proMX","Revisar bloques: ","Revisar: ")&amp;BC259))</f>
        <v/>
      </c>
      <c r="Q259" s="78" t="str">
        <f>IF(NOT(ISNUMBER(B259)),"",IF(COUNTIFS(FER_F,INT(B259))&gt;0,"Feriado"&amp;IF(AH259=1," (laborable)"," (no laborable)"),IF(AH259=1,"Laborable",IF(WEEKDAY(B259,2)&gt;5,"Fin de semana","No laborable"))))</f>
        <v/>
      </c>
      <c r="R259" s="73" t="n"/>
      <c r="S259" s="72" t="n"/>
      <c r="T259" s="72" t="n"/>
      <c r="U259" s="74" t="n"/>
      <c r="V259" s="79" t="str">
        <f>IF(AND(D259="proMX",OR(R259="Submitted",R259="Recall Requested"),ISNUMBER(S259)),CFG_TODAY-INT(S259),"")</f>
        <v/>
      </c>
      <c r="W259" s="78" t="str">
        <f>IF(BD259=0,"",IF(BA259&gt;0,"⚠ Se superpone con un registro de la otra empresa",IF(D259="Malcolm",IF(COUNTA(R259,S259,T259)&gt;0,"Estado/fechas proMX se ignoran en Malcolm",""),IF(BF259="Cancelled","Cancelado: excluido de totales",IF(R259="","Sin estado: se trata como Draft",IF(BF259="Submitted",IF(ISNUMBER(V259),IF(V259&gt;CFG_MAXD,"⚠ "&amp;V259&amp;" días en Submitted (máx. "&amp;CFG_MAXD&amp;")",""),"Falta fecha de envío"),IF(BF259="Returned","⚠ Devuelto: corregir y reenviar",IF(BF259="Recall Requested","Retirada solicitada: pendiente",IF(AND(BF259="Approved",NOT(ISNUMBER(T259))),"Falta fecha de aprobación",IF(AND(ISNUMBER(S259),ISNUMBER(T259),T259&lt;S259),"Aprobación anterior al envío","")))))))))</f>
        <v/>
      </c>
      <c r="Y259" s="80">
        <f>IF(COUNTA(B259,D259,E259,F259,G259,H259,I259,J259,R259,S259,T259)&gt;0,1,0)</f>
        <v>0</v>
      </c>
      <c r="Z259" s="80" t="str">
        <f>IF(AND(ISNUMBER(H259),H259&gt;=0,H259&lt;1),ROUND(H259*1440,0),"")</f>
        <v/>
      </c>
      <c r="AA259" s="80" t="str">
        <f>IF(AND(ISNUMBER(I259),I259&gt;=0,I259&lt;1),ROUND(I259*1440,0),"")</f>
        <v/>
      </c>
      <c r="AB259" s="80">
        <f>IF(AND(ISNUMBER(B259),D259&lt;&gt;"",ISNUMBER(Z259),ISNUMBER(AA259)),IF(Z259=AA259,0,1),0)</f>
        <v>0</v>
      </c>
      <c r="AC259" s="80">
        <f>IF(AB259=1,IF(AA259&lt;Z259,1,0),0)</f>
        <v>0</v>
      </c>
      <c r="AD259" s="80">
        <f>IF(AB259=1,IF(AC259=1,1440-Z259+AA259,AA259-Z259),0)</f>
        <v>0</v>
      </c>
      <c r="AE259" s="80">
        <f>IF(J259="",0,IF(ISNUMBER(J259),J259,-1))</f>
        <v>0</v>
      </c>
      <c r="AF259" s="80">
        <f>MIN(MAX(0,AE259),AD259)</f>
        <v>0</v>
      </c>
      <c r="AG259" s="80">
        <f>MAX(0,AD259-MAX(0,AE259))</f>
        <v>0</v>
      </c>
      <c r="AH259" s="80">
        <f>IF(ISNUMBER(B259),IF(AND(INDEX(CFG_WDAYS,WEEKDAY(INT(B259),2))="Sí",IF(D259="proMX",COUNTIFS(FER_F,INT(B259),FER_NLP,"Sí"),COUNTIFS(FER_F,INT(B259),FER_NLM,"Sí"))=0),1,0),0)</f>
        <v>0</v>
      </c>
      <c r="AI259" s="80">
        <f>IF(AC259=1,IF(AND(INDEX(CFG_WDAYS,WEEKDAY(INT(B259)+1,2))="Sí",IF(D259="proMX",COUNTIFS(FER_F,INT(B259)+1,FER_NLP,"Sí"),COUNTIFS(FER_F,INT(B259)+1,FER_NLM,"Sí"))=0),1,0),0)</f>
        <v>0</v>
      </c>
      <c r="AJ259" s="80">
        <f>IF(AC259=1,1440-Z259,AD259)</f>
        <v>0</v>
      </c>
      <c r="AK259" s="80">
        <f>IF(AND(AB259=1,AH259=1),MAX(0,MIN(IF(AC259=1,1440,AA259),CFG_WEM)-MAX(Z259,CFG_WSM)),0)</f>
        <v>0</v>
      </c>
      <c r="AL259" s="80">
        <f>IF(AND(AC259=1,AI259=1),MAX(0,MIN(AA259,CFG_WEM)-CFG_WSM),0)</f>
        <v>0</v>
      </c>
      <c r="AM259" s="80">
        <f>AK259+AL259</f>
        <v>0</v>
      </c>
      <c r="AN259" s="80">
        <f>IF(CFG_BRK="Proporcional",IF(AD259=0,0,AF259*AM259/AD259),IF(CFG_BRK="Extras primero",MIN(AM259,MAX(0,AF259-(AD259-AM259))),MIN(AF259,AM259)))</f>
        <v>0</v>
      </c>
      <c r="AO259" s="80">
        <f>AF259-AN259</f>
        <v>0</v>
      </c>
      <c r="AP259" s="80">
        <f>AM259-AN259</f>
        <v>0</v>
      </c>
      <c r="AQ259" s="80">
        <f>AD259-AM259-AO259</f>
        <v>0</v>
      </c>
      <c r="AR259" s="80">
        <f>IF(AM259=0,0,AK259-AN259*AK259/AM259)</f>
        <v>0</v>
      </c>
      <c r="AS259" s="80">
        <f>IF(AD259-AM259=0,0,(AJ259-AK259)-AO259*(AJ259-AK259)/(AD259-AM259))</f>
        <v>0</v>
      </c>
      <c r="AT259" s="80" t="str">
        <f>IF(AC259=1,INT(B259)+1,"")</f>
        <v/>
      </c>
      <c r="AU259" s="80">
        <f>IF(AND(D259="proMX",R259="Cancelled"),0,1)</f>
        <v>1</v>
      </c>
      <c r="AV259" s="80">
        <f>IF(AND(AB259=1,AU259=1),IF(COUNTIFS($D$5:D258,D259,$B$5:B258,B259,$Z$5:Z258,Z259,$AA$5:AA258,AA259,$F$5:F258,F259&amp;"",$AU$5:AU258,1)&gt;0,1,0),0)</f>
        <v>0</v>
      </c>
      <c r="AW259" s="80" t="str">
        <f>IF(AB259=1,INT(B259)*1440+Z259,"")</f>
        <v/>
      </c>
      <c r="AX259" s="80" t="str">
        <f>IF(AB259=1,AW259+AD259,"")</f>
        <v/>
      </c>
      <c r="AY259" s="80">
        <f>IF(AND(AB259=1,AV259=0,AU259=1),1,0)</f>
        <v>0</v>
      </c>
      <c r="AZ259" s="80">
        <f>IF(AY259=1,COUNTIFS(R_Emp,D259,R_SAbs,"&lt;"&amp;AX259,R_EAbs,"&gt;"&amp;AW259,R_OKey,1)-1,0)</f>
        <v>0</v>
      </c>
      <c r="BA259" s="80">
        <f>IF(AY259=1,COUNTIFS(R_Emp,"&lt;&gt;"&amp;D259,R_SAbs,"&lt;"&amp;AX259,R_EAbs,"&gt;"&amp;AW259,R_OKey,1),0)</f>
        <v>0</v>
      </c>
      <c r="BB259" s="80">
        <f>IF(AND(AB259=1,D259="proMX"),IF(AND(MOD(Z259,CFG_BLK)=0,MOD(AA259,CFG_BLK)=0,MOD(AG259,CFG_BLK)=0,AG259&gt;0),1,0),1)</f>
        <v>1</v>
      </c>
      <c r="BC259" s="80" t="str">
        <f>IF(Y259=0,"",IF(NOT(ISNUMBER(B259)),"Falta fecha o fecha inválida",IF(D259="","Falta empresa",IF(AND(D259&lt;&gt;"Malcolm",D259&lt;&gt;"proMX"),"Empresa inválida",IF(OR(INT(B259)&lt;CFG_PSTART,INT(B259)&gt;CFG_PEND),"Fecha fuera del período",IF(OR(NOT(ISNUMBER(Z259)),NOT(ISNUMBER(AA259))),"Falta hora inicio/fin o formato inválido",IF(AB259=0,"Hora inicio = hora fin",IF(AE259&lt;0,"Descanso inválido",IF(AE259&gt;=AD259,"Descanso ≥ duración",IF(AV259=1,"Registro duplicado",IF(AZ259&gt;0,"Se superpone con otro registro "&amp;D259,IF(BB259=0,"inicio, fin y duración neta deben ser múltiplos de "&amp;CFG_BLK&amp;" min",""))))))))))))</f>
        <v/>
      </c>
      <c r="BD259" s="80">
        <f>IF(AND(Y259=1,BC259=""),1,0)</f>
        <v>0</v>
      </c>
      <c r="BE259" s="80">
        <f>IF(AND(BD259=1,AU259=1),1,0)</f>
        <v>0</v>
      </c>
      <c r="BF259" s="80" t="str">
        <f>IF(AND(D259="proMX",BD259=1),IF(R259="","Draft",R259),"")</f>
        <v/>
      </c>
      <c r="BG259" s="80">
        <f>IF(BD259=1,ROUND(AG259/60,6),0)</f>
        <v>0</v>
      </c>
      <c r="BH259" s="80">
        <f>IF(BE259=1,ROUND(AG259/60,6),0)</f>
        <v>0</v>
      </c>
      <c r="BI259" s="80">
        <f>IF(BE259=1,ROUND(AP259/60,6),0)</f>
        <v>0</v>
      </c>
      <c r="BJ259" s="80">
        <f>IF(BE259=1,ROUND(AQ259/60,6),0)</f>
        <v>0</v>
      </c>
      <c r="BK259" s="80">
        <f>IF(BE259=1,ROUND((AR259+AS259)/60,6),0)</f>
        <v>0</v>
      </c>
      <c r="BL259" s="80">
        <f>ROUND(BH259-BK259,6)</f>
        <v>0</v>
      </c>
      <c r="BM259" s="80">
        <f>IF(BE259=1,ROUND(AR259/60,6),0)</f>
        <v>0</v>
      </c>
      <c r="BN259" s="80">
        <f>ROUND(BI259-BM259,6)</f>
        <v>0</v>
      </c>
      <c r="BO259" s="80">
        <f>IF(BE259=1,ROUND(AS259/60,6),0)</f>
        <v>0</v>
      </c>
      <c r="BP259" s="80">
        <f>ROUND(BJ259-BO259,6)</f>
        <v>0</v>
      </c>
      <c r="BQ259" s="80">
        <f>IF(BE259=1,AW259,0)</f>
        <v>0</v>
      </c>
      <c r="BR259" s="80">
        <f>IF(BE259=1,AX259,0)</f>
        <v>0</v>
      </c>
      <c r="BS259" s="80">
        <f>IF(AND(BE259=1,D259="Malcolm",BA259&gt;0),MIN(BH259,SUMPRODUCT((R_Emp="proMX")*(R_EN&gt;0)*((R_EN-(R_EN&gt;BR259)*(R_EN-BR259))&gt;(R_SN+(R_SN&lt;BQ259)*(BQ259-R_SN)))*((R_EN-(R_EN&gt;BR259)*(R_EN-BR259))-(R_SN+(R_SN&lt;BQ259)*(BQ259-R_SN))))/60),0)</f>
        <v>0</v>
      </c>
      <c r="BT259" s="80">
        <f>IF(AND(BE259=1,D259="proMX"),ROUND(BI259*CFG_RATE+BJ259*CFG_OTRATE,6),0)</f>
        <v>0</v>
      </c>
      <c r="BU259" s="80">
        <f>IF(AND(BD259=1,D259="proMX"),ROUND(AG259/CFG_BLK,6),0)</f>
        <v>0</v>
      </c>
      <c r="BV259" s="80" t="str">
        <f>IF(BF259="Approved",IF(ISNUMBER(T259),INT(T259),INT(B259)),"")</f>
        <v/>
      </c>
      <c r="BW259" s="80">
        <f>IF(ISNUMBER(B259),IF(DB_MON="Todos",1,IF(AND(INT(B259)&gt;=DB_MS,INT(B259)&lt;=DB_ME),1,0)),0)</f>
        <v>0</v>
      </c>
      <c r="BX259" s="80">
        <f>IF(DB_PROJ="Todos",1,IF(E259&amp;""=DB_PROJ&amp;"",1,0))</f>
        <v>1</v>
      </c>
      <c r="BY259" s="80">
        <f>BW259*BX259</f>
        <v>0</v>
      </c>
      <c r="BZ259" s="80" t="str">
        <f>IF(Y259=1,F259&amp;IF(AND(F259&amp;""&lt;&gt;"",E259&amp;""&lt;&gt;"")," · ","")&amp;E259,"")</f>
        <v/>
      </c>
      <c r="CA259" s="80" t="str">
        <f>IF(AND(BD259=1,E259&amp;""&lt;&gt;""),IF(COUNTIFS($E$5:E258,E259,$BD$5:BD258,1)=0,MAX($CA$5:CA258)+1,""),"")</f>
        <v/>
      </c>
      <c r="CB259" s="80" t="str">
        <f>IF(AND(BE259=1,D259="Malcolm",E259&amp;""&lt;&gt;""),IF(COUNTIFS($D$5:D258,"Malcolm",$E$5:E258,E259,$BE$5:BE258,1)=0,MAX($CB$5:CB258)+1,""),"")</f>
        <v/>
      </c>
      <c r="CC259" s="80" t="str">
        <f>IF(AND(BD259=1,D259="proMX",E259&amp;""&lt;&gt;""),IF(COUNTIFS($D$5:D258,"proMX",$E$5:E258,E259,$BD$5:BD258,1)=0,MAX($CC$5:CC258)+1,""),"")</f>
        <v/>
      </c>
      <c r="CD259" s="80" t="str">
        <f>IF(AND(BE259=1,D259="Malcolm",F259&amp;""&lt;&gt;""),IF(COUNTIFS($D$5:D258,"Malcolm",$F$5:F258,F259,$BE$5:BE258,1)=0,MAX($CD$5:CD258)+1,""),"")</f>
        <v/>
      </c>
      <c r="CE259" s="80" t="str">
        <f>IF(AND(BD259=1,D259="proMX",F259&amp;""&lt;&gt;""),IF(COUNTIFS($D$5:D258,"proMX",$F$5:F258,F259,$BD$5:BD258,1)=0,MAX($CE$5:CE258)+1,""),"")</f>
        <v/>
      </c>
      <c r="CF259" s="80" t="str">
        <f>IF(AND(D259="proMX",BD259=1),IF(OR(BF259="Draft",BF259="Submitted",BF259="Returned",BF259="Recall Requested"),MAX($CF$5:CF258)+1,""),"")</f>
        <v/>
      </c>
      <c r="CG259" s="80">
        <f>IF(BD259=0,0,IF(D259="Malcolm",1,MATCH(BF259,{"Draft","Submitted","Approved","Returned","Recall Requested","Cancelled"},0)+1))</f>
        <v>0</v>
      </c>
      <c r="CH259" s="80">
        <f>IF(AND(BF259="Submitted",ISNUMBER(V259)),IF(V259&gt;CFG_MAXD,1,0),0)</f>
        <v>0</v>
      </c>
    </row>
    <row r="260">
      <c r="A260" s="71" t="str">
        <f>IF(Y260=1,ROW()-5,"")</f>
        <v/>
      </c>
      <c r="B260" s="72" t="n"/>
      <c r="C260" s="71" t="str">
        <f>IF(ISNUMBER(B260),CHOOSE(WEEKDAY(B260,2),"Lun","Mar","Mié","Jue","Vie","Sáb","Dom"),"")</f>
        <v/>
      </c>
      <c r="D260" s="73" t="n"/>
      <c r="E260" s="74" t="n"/>
      <c r="F260" s="74" t="n"/>
      <c r="G260" s="74" t="n"/>
      <c r="H260" s="75" t="n"/>
      <c r="I260" s="75" t="n"/>
      <c r="J260" s="76" t="n"/>
      <c r="K260" s="77" t="str">
        <f>IF(AB260=1,ROUND(AG260/60,4),"")</f>
        <v/>
      </c>
      <c r="L260" s="77" t="str">
        <f>IF(BD260=1,ROUND(AP260/60,4),"")</f>
        <v/>
      </c>
      <c r="M260" s="77" t="str">
        <f>IF(BD260=1,ROUND(AQ260/60,4),"")</f>
        <v/>
      </c>
      <c r="N260" s="71" t="str">
        <f>IF(AND(D260="proMX",AB260=1),ROUND(AG260/CFG_BLK,2),"")</f>
        <v/>
      </c>
      <c r="O260" s="77" t="str">
        <f>IF(D260="proMX",IF(BD260=1,ROUND(AG260/60,4),0),"")</f>
        <v/>
      </c>
      <c r="P260" s="78" t="str">
        <f>IF(Y260=0,"",IF(BD260=1,"OK",IF(D260="proMX","Revisar bloques: ","Revisar: ")&amp;BC260))</f>
        <v/>
      </c>
      <c r="Q260" s="78" t="str">
        <f>IF(NOT(ISNUMBER(B260)),"",IF(COUNTIFS(FER_F,INT(B260))&gt;0,"Feriado"&amp;IF(AH260=1," (laborable)"," (no laborable)"),IF(AH260=1,"Laborable",IF(WEEKDAY(B260,2)&gt;5,"Fin de semana","No laborable"))))</f>
        <v/>
      </c>
      <c r="R260" s="73" t="n"/>
      <c r="S260" s="72" t="n"/>
      <c r="T260" s="72" t="n"/>
      <c r="U260" s="74" t="n"/>
      <c r="V260" s="79" t="str">
        <f>IF(AND(D260="proMX",OR(R260="Submitted",R260="Recall Requested"),ISNUMBER(S260)),CFG_TODAY-INT(S260),"")</f>
        <v/>
      </c>
      <c r="W260" s="78" t="str">
        <f>IF(BD260=0,"",IF(BA260&gt;0,"⚠ Se superpone con un registro de la otra empresa",IF(D260="Malcolm",IF(COUNTA(R260,S260,T260)&gt;0,"Estado/fechas proMX se ignoran en Malcolm",""),IF(BF260="Cancelled","Cancelado: excluido de totales",IF(R260="","Sin estado: se trata como Draft",IF(BF260="Submitted",IF(ISNUMBER(V260),IF(V260&gt;CFG_MAXD,"⚠ "&amp;V260&amp;" días en Submitted (máx. "&amp;CFG_MAXD&amp;")",""),"Falta fecha de envío"),IF(BF260="Returned","⚠ Devuelto: corregir y reenviar",IF(BF260="Recall Requested","Retirada solicitada: pendiente",IF(AND(BF260="Approved",NOT(ISNUMBER(T260))),"Falta fecha de aprobación",IF(AND(ISNUMBER(S260),ISNUMBER(T260),T260&lt;S260),"Aprobación anterior al envío","")))))))))</f>
        <v/>
      </c>
      <c r="Y260" s="80">
        <f>IF(COUNTA(B260,D260,E260,F260,G260,H260,I260,J260,R260,S260,T260)&gt;0,1,0)</f>
        <v>0</v>
      </c>
      <c r="Z260" s="80" t="str">
        <f>IF(AND(ISNUMBER(H260),H260&gt;=0,H260&lt;1),ROUND(H260*1440,0),"")</f>
        <v/>
      </c>
      <c r="AA260" s="80" t="str">
        <f>IF(AND(ISNUMBER(I260),I260&gt;=0,I260&lt;1),ROUND(I260*1440,0),"")</f>
        <v/>
      </c>
      <c r="AB260" s="80">
        <f>IF(AND(ISNUMBER(B260),D260&lt;&gt;"",ISNUMBER(Z260),ISNUMBER(AA260)),IF(Z260=AA260,0,1),0)</f>
        <v>0</v>
      </c>
      <c r="AC260" s="80">
        <f>IF(AB260=1,IF(AA260&lt;Z260,1,0),0)</f>
        <v>0</v>
      </c>
      <c r="AD260" s="80">
        <f>IF(AB260=1,IF(AC260=1,1440-Z260+AA260,AA260-Z260),0)</f>
        <v>0</v>
      </c>
      <c r="AE260" s="80">
        <f>IF(J260="",0,IF(ISNUMBER(J260),J260,-1))</f>
        <v>0</v>
      </c>
      <c r="AF260" s="80">
        <f>MIN(MAX(0,AE260),AD260)</f>
        <v>0</v>
      </c>
      <c r="AG260" s="80">
        <f>MAX(0,AD260-MAX(0,AE260))</f>
        <v>0</v>
      </c>
      <c r="AH260" s="80">
        <f>IF(ISNUMBER(B260),IF(AND(INDEX(CFG_WDAYS,WEEKDAY(INT(B260),2))="Sí",IF(D260="proMX",COUNTIFS(FER_F,INT(B260),FER_NLP,"Sí"),COUNTIFS(FER_F,INT(B260),FER_NLM,"Sí"))=0),1,0),0)</f>
        <v>0</v>
      </c>
      <c r="AI260" s="80">
        <f>IF(AC260=1,IF(AND(INDEX(CFG_WDAYS,WEEKDAY(INT(B260)+1,2))="Sí",IF(D260="proMX",COUNTIFS(FER_F,INT(B260)+1,FER_NLP,"Sí"),COUNTIFS(FER_F,INT(B260)+1,FER_NLM,"Sí"))=0),1,0),0)</f>
        <v>0</v>
      </c>
      <c r="AJ260" s="80">
        <f>IF(AC260=1,1440-Z260,AD260)</f>
        <v>0</v>
      </c>
      <c r="AK260" s="80">
        <f>IF(AND(AB260=1,AH260=1),MAX(0,MIN(IF(AC260=1,1440,AA260),CFG_WEM)-MAX(Z260,CFG_WSM)),0)</f>
        <v>0</v>
      </c>
      <c r="AL260" s="80">
        <f>IF(AND(AC260=1,AI260=1),MAX(0,MIN(AA260,CFG_WEM)-CFG_WSM),0)</f>
        <v>0</v>
      </c>
      <c r="AM260" s="80">
        <f>AK260+AL260</f>
        <v>0</v>
      </c>
      <c r="AN260" s="80">
        <f>IF(CFG_BRK="Proporcional",IF(AD260=0,0,AF260*AM260/AD260),IF(CFG_BRK="Extras primero",MIN(AM260,MAX(0,AF260-(AD260-AM260))),MIN(AF260,AM260)))</f>
        <v>0</v>
      </c>
      <c r="AO260" s="80">
        <f>AF260-AN260</f>
        <v>0</v>
      </c>
      <c r="AP260" s="80">
        <f>AM260-AN260</f>
        <v>0</v>
      </c>
      <c r="AQ260" s="80">
        <f>AD260-AM260-AO260</f>
        <v>0</v>
      </c>
      <c r="AR260" s="80">
        <f>IF(AM260=0,0,AK260-AN260*AK260/AM260)</f>
        <v>0</v>
      </c>
      <c r="AS260" s="80">
        <f>IF(AD260-AM260=0,0,(AJ260-AK260)-AO260*(AJ260-AK260)/(AD260-AM260))</f>
        <v>0</v>
      </c>
      <c r="AT260" s="80" t="str">
        <f>IF(AC260=1,INT(B260)+1,"")</f>
        <v/>
      </c>
      <c r="AU260" s="80">
        <f>IF(AND(D260="proMX",R260="Cancelled"),0,1)</f>
        <v>1</v>
      </c>
      <c r="AV260" s="80">
        <f>IF(AND(AB260=1,AU260=1),IF(COUNTIFS($D$5:D259,D260,$B$5:B259,B260,$Z$5:Z259,Z260,$AA$5:AA259,AA260,$F$5:F259,F260&amp;"",$AU$5:AU259,1)&gt;0,1,0),0)</f>
        <v>0</v>
      </c>
      <c r="AW260" s="80" t="str">
        <f>IF(AB260=1,INT(B260)*1440+Z260,"")</f>
        <v/>
      </c>
      <c r="AX260" s="80" t="str">
        <f>IF(AB260=1,AW260+AD260,"")</f>
        <v/>
      </c>
      <c r="AY260" s="80">
        <f>IF(AND(AB260=1,AV260=0,AU260=1),1,0)</f>
        <v>0</v>
      </c>
      <c r="AZ260" s="80">
        <f>IF(AY260=1,COUNTIFS(R_Emp,D260,R_SAbs,"&lt;"&amp;AX260,R_EAbs,"&gt;"&amp;AW260,R_OKey,1)-1,0)</f>
        <v>0</v>
      </c>
      <c r="BA260" s="80">
        <f>IF(AY260=1,COUNTIFS(R_Emp,"&lt;&gt;"&amp;D260,R_SAbs,"&lt;"&amp;AX260,R_EAbs,"&gt;"&amp;AW260,R_OKey,1),0)</f>
        <v>0</v>
      </c>
      <c r="BB260" s="80">
        <f>IF(AND(AB260=1,D260="proMX"),IF(AND(MOD(Z260,CFG_BLK)=0,MOD(AA260,CFG_BLK)=0,MOD(AG260,CFG_BLK)=0,AG260&gt;0),1,0),1)</f>
        <v>1</v>
      </c>
      <c r="BC260" s="80" t="str">
        <f>IF(Y260=0,"",IF(NOT(ISNUMBER(B260)),"Falta fecha o fecha inválida",IF(D260="","Falta empresa",IF(AND(D260&lt;&gt;"Malcolm",D260&lt;&gt;"proMX"),"Empresa inválida",IF(OR(INT(B260)&lt;CFG_PSTART,INT(B260)&gt;CFG_PEND),"Fecha fuera del período",IF(OR(NOT(ISNUMBER(Z260)),NOT(ISNUMBER(AA260))),"Falta hora inicio/fin o formato inválido",IF(AB260=0,"Hora inicio = hora fin",IF(AE260&lt;0,"Descanso inválido",IF(AE260&gt;=AD260,"Descanso ≥ duración",IF(AV260=1,"Registro duplicado",IF(AZ260&gt;0,"Se superpone con otro registro "&amp;D260,IF(BB260=0,"inicio, fin y duración neta deben ser múltiplos de "&amp;CFG_BLK&amp;" min",""))))))))))))</f>
        <v/>
      </c>
      <c r="BD260" s="80">
        <f>IF(AND(Y260=1,BC260=""),1,0)</f>
        <v>0</v>
      </c>
      <c r="BE260" s="80">
        <f>IF(AND(BD260=1,AU260=1),1,0)</f>
        <v>0</v>
      </c>
      <c r="BF260" s="80" t="str">
        <f>IF(AND(D260="proMX",BD260=1),IF(R260="","Draft",R260),"")</f>
        <v/>
      </c>
      <c r="BG260" s="80">
        <f>IF(BD260=1,ROUND(AG260/60,6),0)</f>
        <v>0</v>
      </c>
      <c r="BH260" s="80">
        <f>IF(BE260=1,ROUND(AG260/60,6),0)</f>
        <v>0</v>
      </c>
      <c r="BI260" s="80">
        <f>IF(BE260=1,ROUND(AP260/60,6),0)</f>
        <v>0</v>
      </c>
      <c r="BJ260" s="80">
        <f>IF(BE260=1,ROUND(AQ260/60,6),0)</f>
        <v>0</v>
      </c>
      <c r="BK260" s="80">
        <f>IF(BE260=1,ROUND((AR260+AS260)/60,6),0)</f>
        <v>0</v>
      </c>
      <c r="BL260" s="80">
        <f>ROUND(BH260-BK260,6)</f>
        <v>0</v>
      </c>
      <c r="BM260" s="80">
        <f>IF(BE260=1,ROUND(AR260/60,6),0)</f>
        <v>0</v>
      </c>
      <c r="BN260" s="80">
        <f>ROUND(BI260-BM260,6)</f>
        <v>0</v>
      </c>
      <c r="BO260" s="80">
        <f>IF(BE260=1,ROUND(AS260/60,6),0)</f>
        <v>0</v>
      </c>
      <c r="BP260" s="80">
        <f>ROUND(BJ260-BO260,6)</f>
        <v>0</v>
      </c>
      <c r="BQ260" s="80">
        <f>IF(BE260=1,AW260,0)</f>
        <v>0</v>
      </c>
      <c r="BR260" s="80">
        <f>IF(BE260=1,AX260,0)</f>
        <v>0</v>
      </c>
      <c r="BS260" s="80">
        <f>IF(AND(BE260=1,D260="Malcolm",BA260&gt;0),MIN(BH260,SUMPRODUCT((R_Emp="proMX")*(R_EN&gt;0)*((R_EN-(R_EN&gt;BR260)*(R_EN-BR260))&gt;(R_SN+(R_SN&lt;BQ260)*(BQ260-R_SN)))*((R_EN-(R_EN&gt;BR260)*(R_EN-BR260))-(R_SN+(R_SN&lt;BQ260)*(BQ260-R_SN))))/60),0)</f>
        <v>0</v>
      </c>
      <c r="BT260" s="80">
        <f>IF(AND(BE260=1,D260="proMX"),ROUND(BI260*CFG_RATE+BJ260*CFG_OTRATE,6),0)</f>
        <v>0</v>
      </c>
      <c r="BU260" s="80">
        <f>IF(AND(BD260=1,D260="proMX"),ROUND(AG260/CFG_BLK,6),0)</f>
        <v>0</v>
      </c>
      <c r="BV260" s="80" t="str">
        <f>IF(BF260="Approved",IF(ISNUMBER(T260),INT(T260),INT(B260)),"")</f>
        <v/>
      </c>
      <c r="BW260" s="80">
        <f>IF(ISNUMBER(B260),IF(DB_MON="Todos",1,IF(AND(INT(B260)&gt;=DB_MS,INT(B260)&lt;=DB_ME),1,0)),0)</f>
        <v>0</v>
      </c>
      <c r="BX260" s="80">
        <f>IF(DB_PROJ="Todos",1,IF(E260&amp;""=DB_PROJ&amp;"",1,0))</f>
        <v>1</v>
      </c>
      <c r="BY260" s="80">
        <f>BW260*BX260</f>
        <v>0</v>
      </c>
      <c r="BZ260" s="80" t="str">
        <f>IF(Y260=1,F260&amp;IF(AND(F260&amp;""&lt;&gt;"",E260&amp;""&lt;&gt;"")," · ","")&amp;E260,"")</f>
        <v/>
      </c>
      <c r="CA260" s="80" t="str">
        <f>IF(AND(BD260=1,E260&amp;""&lt;&gt;""),IF(COUNTIFS($E$5:E259,E260,$BD$5:BD259,1)=0,MAX($CA$5:CA259)+1,""),"")</f>
        <v/>
      </c>
      <c r="CB260" s="80" t="str">
        <f>IF(AND(BE260=1,D260="Malcolm",E260&amp;""&lt;&gt;""),IF(COUNTIFS($D$5:D259,"Malcolm",$E$5:E259,E260,$BE$5:BE259,1)=0,MAX($CB$5:CB259)+1,""),"")</f>
        <v/>
      </c>
      <c r="CC260" s="80" t="str">
        <f>IF(AND(BD260=1,D260="proMX",E260&amp;""&lt;&gt;""),IF(COUNTIFS($D$5:D259,"proMX",$E$5:E259,E260,$BD$5:BD259,1)=0,MAX($CC$5:CC259)+1,""),"")</f>
        <v/>
      </c>
      <c r="CD260" s="80" t="str">
        <f>IF(AND(BE260=1,D260="Malcolm",F260&amp;""&lt;&gt;""),IF(COUNTIFS($D$5:D259,"Malcolm",$F$5:F259,F260,$BE$5:BE259,1)=0,MAX($CD$5:CD259)+1,""),"")</f>
        <v/>
      </c>
      <c r="CE260" s="80" t="str">
        <f>IF(AND(BD260=1,D260="proMX",F260&amp;""&lt;&gt;""),IF(COUNTIFS($D$5:D259,"proMX",$F$5:F259,F260,$BD$5:BD259,1)=0,MAX($CE$5:CE259)+1,""),"")</f>
        <v/>
      </c>
      <c r="CF260" s="80" t="str">
        <f>IF(AND(D260="proMX",BD260=1),IF(OR(BF260="Draft",BF260="Submitted",BF260="Returned",BF260="Recall Requested"),MAX($CF$5:CF259)+1,""),"")</f>
        <v/>
      </c>
      <c r="CG260" s="80">
        <f>IF(BD260=0,0,IF(D260="Malcolm",1,MATCH(BF260,{"Draft","Submitted","Approved","Returned","Recall Requested","Cancelled"},0)+1))</f>
        <v>0</v>
      </c>
      <c r="CH260" s="80">
        <f>IF(AND(BF260="Submitted",ISNUMBER(V260)),IF(V260&gt;CFG_MAXD,1,0),0)</f>
        <v>0</v>
      </c>
    </row>
    <row r="261">
      <c r="A261" s="71" t="str">
        <f>IF(Y261=1,ROW()-5,"")</f>
        <v/>
      </c>
      <c r="B261" s="72" t="n"/>
      <c r="C261" s="71" t="str">
        <f>IF(ISNUMBER(B261),CHOOSE(WEEKDAY(B261,2),"Lun","Mar","Mié","Jue","Vie","Sáb","Dom"),"")</f>
        <v/>
      </c>
      <c r="D261" s="73" t="n"/>
      <c r="E261" s="74" t="n"/>
      <c r="F261" s="74" t="n"/>
      <c r="G261" s="74" t="n"/>
      <c r="H261" s="75" t="n"/>
      <c r="I261" s="75" t="n"/>
      <c r="J261" s="76" t="n"/>
      <c r="K261" s="77" t="str">
        <f>IF(AB261=1,ROUND(AG261/60,4),"")</f>
        <v/>
      </c>
      <c r="L261" s="77" t="str">
        <f>IF(BD261=1,ROUND(AP261/60,4),"")</f>
        <v/>
      </c>
      <c r="M261" s="77" t="str">
        <f>IF(BD261=1,ROUND(AQ261/60,4),"")</f>
        <v/>
      </c>
      <c r="N261" s="71" t="str">
        <f>IF(AND(D261="proMX",AB261=1),ROUND(AG261/CFG_BLK,2),"")</f>
        <v/>
      </c>
      <c r="O261" s="77" t="str">
        <f>IF(D261="proMX",IF(BD261=1,ROUND(AG261/60,4),0),"")</f>
        <v/>
      </c>
      <c r="P261" s="78" t="str">
        <f>IF(Y261=0,"",IF(BD261=1,"OK",IF(D261="proMX","Revisar bloques: ","Revisar: ")&amp;BC261))</f>
        <v/>
      </c>
      <c r="Q261" s="78" t="str">
        <f>IF(NOT(ISNUMBER(B261)),"",IF(COUNTIFS(FER_F,INT(B261))&gt;0,"Feriado"&amp;IF(AH261=1," (laborable)"," (no laborable)"),IF(AH261=1,"Laborable",IF(WEEKDAY(B261,2)&gt;5,"Fin de semana","No laborable"))))</f>
        <v/>
      </c>
      <c r="R261" s="73" t="n"/>
      <c r="S261" s="72" t="n"/>
      <c r="T261" s="72" t="n"/>
      <c r="U261" s="74" t="n"/>
      <c r="V261" s="79" t="str">
        <f>IF(AND(D261="proMX",OR(R261="Submitted",R261="Recall Requested"),ISNUMBER(S261)),CFG_TODAY-INT(S261),"")</f>
        <v/>
      </c>
      <c r="W261" s="78" t="str">
        <f>IF(BD261=0,"",IF(BA261&gt;0,"⚠ Se superpone con un registro de la otra empresa",IF(D261="Malcolm",IF(COUNTA(R261,S261,T261)&gt;0,"Estado/fechas proMX se ignoran en Malcolm",""),IF(BF261="Cancelled","Cancelado: excluido de totales",IF(R261="","Sin estado: se trata como Draft",IF(BF261="Submitted",IF(ISNUMBER(V261),IF(V261&gt;CFG_MAXD,"⚠ "&amp;V261&amp;" días en Submitted (máx. "&amp;CFG_MAXD&amp;")",""),"Falta fecha de envío"),IF(BF261="Returned","⚠ Devuelto: corregir y reenviar",IF(BF261="Recall Requested","Retirada solicitada: pendiente",IF(AND(BF261="Approved",NOT(ISNUMBER(T261))),"Falta fecha de aprobación",IF(AND(ISNUMBER(S261),ISNUMBER(T261),T261&lt;S261),"Aprobación anterior al envío","")))))))))</f>
        <v/>
      </c>
      <c r="Y261" s="80">
        <f>IF(COUNTA(B261,D261,E261,F261,G261,H261,I261,J261,R261,S261,T261)&gt;0,1,0)</f>
        <v>0</v>
      </c>
      <c r="Z261" s="80" t="str">
        <f>IF(AND(ISNUMBER(H261),H261&gt;=0,H261&lt;1),ROUND(H261*1440,0),"")</f>
        <v/>
      </c>
      <c r="AA261" s="80" t="str">
        <f>IF(AND(ISNUMBER(I261),I261&gt;=0,I261&lt;1),ROUND(I261*1440,0),"")</f>
        <v/>
      </c>
      <c r="AB261" s="80">
        <f>IF(AND(ISNUMBER(B261),D261&lt;&gt;"",ISNUMBER(Z261),ISNUMBER(AA261)),IF(Z261=AA261,0,1),0)</f>
        <v>0</v>
      </c>
      <c r="AC261" s="80">
        <f>IF(AB261=1,IF(AA261&lt;Z261,1,0),0)</f>
        <v>0</v>
      </c>
      <c r="AD261" s="80">
        <f>IF(AB261=1,IF(AC261=1,1440-Z261+AA261,AA261-Z261),0)</f>
        <v>0</v>
      </c>
      <c r="AE261" s="80">
        <f>IF(J261="",0,IF(ISNUMBER(J261),J261,-1))</f>
        <v>0</v>
      </c>
      <c r="AF261" s="80">
        <f>MIN(MAX(0,AE261),AD261)</f>
        <v>0</v>
      </c>
      <c r="AG261" s="80">
        <f>MAX(0,AD261-MAX(0,AE261))</f>
        <v>0</v>
      </c>
      <c r="AH261" s="80">
        <f>IF(ISNUMBER(B261),IF(AND(INDEX(CFG_WDAYS,WEEKDAY(INT(B261),2))="Sí",IF(D261="proMX",COUNTIFS(FER_F,INT(B261),FER_NLP,"Sí"),COUNTIFS(FER_F,INT(B261),FER_NLM,"Sí"))=0),1,0),0)</f>
        <v>0</v>
      </c>
      <c r="AI261" s="80">
        <f>IF(AC261=1,IF(AND(INDEX(CFG_WDAYS,WEEKDAY(INT(B261)+1,2))="Sí",IF(D261="proMX",COUNTIFS(FER_F,INT(B261)+1,FER_NLP,"Sí"),COUNTIFS(FER_F,INT(B261)+1,FER_NLM,"Sí"))=0),1,0),0)</f>
        <v>0</v>
      </c>
      <c r="AJ261" s="80">
        <f>IF(AC261=1,1440-Z261,AD261)</f>
        <v>0</v>
      </c>
      <c r="AK261" s="80">
        <f>IF(AND(AB261=1,AH261=1),MAX(0,MIN(IF(AC261=1,1440,AA261),CFG_WEM)-MAX(Z261,CFG_WSM)),0)</f>
        <v>0</v>
      </c>
      <c r="AL261" s="80">
        <f>IF(AND(AC261=1,AI261=1),MAX(0,MIN(AA261,CFG_WEM)-CFG_WSM),0)</f>
        <v>0</v>
      </c>
      <c r="AM261" s="80">
        <f>AK261+AL261</f>
        <v>0</v>
      </c>
      <c r="AN261" s="80">
        <f>IF(CFG_BRK="Proporcional",IF(AD261=0,0,AF261*AM261/AD261),IF(CFG_BRK="Extras primero",MIN(AM261,MAX(0,AF261-(AD261-AM261))),MIN(AF261,AM261)))</f>
        <v>0</v>
      </c>
      <c r="AO261" s="80">
        <f>AF261-AN261</f>
        <v>0</v>
      </c>
      <c r="AP261" s="80">
        <f>AM261-AN261</f>
        <v>0</v>
      </c>
      <c r="AQ261" s="80">
        <f>AD261-AM261-AO261</f>
        <v>0</v>
      </c>
      <c r="AR261" s="80">
        <f>IF(AM261=0,0,AK261-AN261*AK261/AM261)</f>
        <v>0</v>
      </c>
      <c r="AS261" s="80">
        <f>IF(AD261-AM261=0,0,(AJ261-AK261)-AO261*(AJ261-AK261)/(AD261-AM261))</f>
        <v>0</v>
      </c>
      <c r="AT261" s="80" t="str">
        <f>IF(AC261=1,INT(B261)+1,"")</f>
        <v/>
      </c>
      <c r="AU261" s="80">
        <f>IF(AND(D261="proMX",R261="Cancelled"),0,1)</f>
        <v>1</v>
      </c>
      <c r="AV261" s="80">
        <f>IF(AND(AB261=1,AU261=1),IF(COUNTIFS($D$5:D260,D261,$B$5:B260,B261,$Z$5:Z260,Z261,$AA$5:AA260,AA261,$F$5:F260,F261&amp;"",$AU$5:AU260,1)&gt;0,1,0),0)</f>
        <v>0</v>
      </c>
      <c r="AW261" s="80" t="str">
        <f>IF(AB261=1,INT(B261)*1440+Z261,"")</f>
        <v/>
      </c>
      <c r="AX261" s="80" t="str">
        <f>IF(AB261=1,AW261+AD261,"")</f>
        <v/>
      </c>
      <c r="AY261" s="80">
        <f>IF(AND(AB261=1,AV261=0,AU261=1),1,0)</f>
        <v>0</v>
      </c>
      <c r="AZ261" s="80">
        <f>IF(AY261=1,COUNTIFS(R_Emp,D261,R_SAbs,"&lt;"&amp;AX261,R_EAbs,"&gt;"&amp;AW261,R_OKey,1)-1,0)</f>
        <v>0</v>
      </c>
      <c r="BA261" s="80">
        <f>IF(AY261=1,COUNTIFS(R_Emp,"&lt;&gt;"&amp;D261,R_SAbs,"&lt;"&amp;AX261,R_EAbs,"&gt;"&amp;AW261,R_OKey,1),0)</f>
        <v>0</v>
      </c>
      <c r="BB261" s="80">
        <f>IF(AND(AB261=1,D261="proMX"),IF(AND(MOD(Z261,CFG_BLK)=0,MOD(AA261,CFG_BLK)=0,MOD(AG261,CFG_BLK)=0,AG261&gt;0),1,0),1)</f>
        <v>1</v>
      </c>
      <c r="BC261" s="80" t="str">
        <f>IF(Y261=0,"",IF(NOT(ISNUMBER(B261)),"Falta fecha o fecha inválida",IF(D261="","Falta empresa",IF(AND(D261&lt;&gt;"Malcolm",D261&lt;&gt;"proMX"),"Empresa inválida",IF(OR(INT(B261)&lt;CFG_PSTART,INT(B261)&gt;CFG_PEND),"Fecha fuera del período",IF(OR(NOT(ISNUMBER(Z261)),NOT(ISNUMBER(AA261))),"Falta hora inicio/fin o formato inválido",IF(AB261=0,"Hora inicio = hora fin",IF(AE261&lt;0,"Descanso inválido",IF(AE261&gt;=AD261,"Descanso ≥ duración",IF(AV261=1,"Registro duplicado",IF(AZ261&gt;0,"Se superpone con otro registro "&amp;D261,IF(BB261=0,"inicio, fin y duración neta deben ser múltiplos de "&amp;CFG_BLK&amp;" min",""))))))))))))</f>
        <v/>
      </c>
      <c r="BD261" s="80">
        <f>IF(AND(Y261=1,BC261=""),1,0)</f>
        <v>0</v>
      </c>
      <c r="BE261" s="80">
        <f>IF(AND(BD261=1,AU261=1),1,0)</f>
        <v>0</v>
      </c>
      <c r="BF261" s="80" t="str">
        <f>IF(AND(D261="proMX",BD261=1),IF(R261="","Draft",R261),"")</f>
        <v/>
      </c>
      <c r="BG261" s="80">
        <f>IF(BD261=1,ROUND(AG261/60,6),0)</f>
        <v>0</v>
      </c>
      <c r="BH261" s="80">
        <f>IF(BE261=1,ROUND(AG261/60,6),0)</f>
        <v>0</v>
      </c>
      <c r="BI261" s="80">
        <f>IF(BE261=1,ROUND(AP261/60,6),0)</f>
        <v>0</v>
      </c>
      <c r="BJ261" s="80">
        <f>IF(BE261=1,ROUND(AQ261/60,6),0)</f>
        <v>0</v>
      </c>
      <c r="BK261" s="80">
        <f>IF(BE261=1,ROUND((AR261+AS261)/60,6),0)</f>
        <v>0</v>
      </c>
      <c r="BL261" s="80">
        <f>ROUND(BH261-BK261,6)</f>
        <v>0</v>
      </c>
      <c r="BM261" s="80">
        <f>IF(BE261=1,ROUND(AR261/60,6),0)</f>
        <v>0</v>
      </c>
      <c r="BN261" s="80">
        <f>ROUND(BI261-BM261,6)</f>
        <v>0</v>
      </c>
      <c r="BO261" s="80">
        <f>IF(BE261=1,ROUND(AS261/60,6),0)</f>
        <v>0</v>
      </c>
      <c r="BP261" s="80">
        <f>ROUND(BJ261-BO261,6)</f>
        <v>0</v>
      </c>
      <c r="BQ261" s="80">
        <f>IF(BE261=1,AW261,0)</f>
        <v>0</v>
      </c>
      <c r="BR261" s="80">
        <f>IF(BE261=1,AX261,0)</f>
        <v>0</v>
      </c>
      <c r="BS261" s="80">
        <f>IF(AND(BE261=1,D261="Malcolm",BA261&gt;0),MIN(BH261,SUMPRODUCT((R_Emp="proMX")*(R_EN&gt;0)*((R_EN-(R_EN&gt;BR261)*(R_EN-BR261))&gt;(R_SN+(R_SN&lt;BQ261)*(BQ261-R_SN)))*((R_EN-(R_EN&gt;BR261)*(R_EN-BR261))-(R_SN+(R_SN&lt;BQ261)*(BQ261-R_SN))))/60),0)</f>
        <v>0</v>
      </c>
      <c r="BT261" s="80">
        <f>IF(AND(BE261=1,D261="proMX"),ROUND(BI261*CFG_RATE+BJ261*CFG_OTRATE,6),0)</f>
        <v>0</v>
      </c>
      <c r="BU261" s="80">
        <f>IF(AND(BD261=1,D261="proMX"),ROUND(AG261/CFG_BLK,6),0)</f>
        <v>0</v>
      </c>
      <c r="BV261" s="80" t="str">
        <f>IF(BF261="Approved",IF(ISNUMBER(T261),INT(T261),INT(B261)),"")</f>
        <v/>
      </c>
      <c r="BW261" s="80">
        <f>IF(ISNUMBER(B261),IF(DB_MON="Todos",1,IF(AND(INT(B261)&gt;=DB_MS,INT(B261)&lt;=DB_ME),1,0)),0)</f>
        <v>0</v>
      </c>
      <c r="BX261" s="80">
        <f>IF(DB_PROJ="Todos",1,IF(E261&amp;""=DB_PROJ&amp;"",1,0))</f>
        <v>1</v>
      </c>
      <c r="BY261" s="80">
        <f>BW261*BX261</f>
        <v>0</v>
      </c>
      <c r="BZ261" s="80" t="str">
        <f>IF(Y261=1,F261&amp;IF(AND(F261&amp;""&lt;&gt;"",E261&amp;""&lt;&gt;"")," · ","")&amp;E261,"")</f>
        <v/>
      </c>
      <c r="CA261" s="80" t="str">
        <f>IF(AND(BD261=1,E261&amp;""&lt;&gt;""),IF(COUNTIFS($E$5:E260,E261,$BD$5:BD260,1)=0,MAX($CA$5:CA260)+1,""),"")</f>
        <v/>
      </c>
      <c r="CB261" s="80" t="str">
        <f>IF(AND(BE261=1,D261="Malcolm",E261&amp;""&lt;&gt;""),IF(COUNTIFS($D$5:D260,"Malcolm",$E$5:E260,E261,$BE$5:BE260,1)=0,MAX($CB$5:CB260)+1,""),"")</f>
        <v/>
      </c>
      <c r="CC261" s="80" t="str">
        <f>IF(AND(BD261=1,D261="proMX",E261&amp;""&lt;&gt;""),IF(COUNTIFS($D$5:D260,"proMX",$E$5:E260,E261,$BD$5:BD260,1)=0,MAX($CC$5:CC260)+1,""),"")</f>
        <v/>
      </c>
      <c r="CD261" s="80" t="str">
        <f>IF(AND(BE261=1,D261="Malcolm",F261&amp;""&lt;&gt;""),IF(COUNTIFS($D$5:D260,"Malcolm",$F$5:F260,F261,$BE$5:BE260,1)=0,MAX($CD$5:CD260)+1,""),"")</f>
        <v/>
      </c>
      <c r="CE261" s="80" t="str">
        <f>IF(AND(BD261=1,D261="proMX",F261&amp;""&lt;&gt;""),IF(COUNTIFS($D$5:D260,"proMX",$F$5:F260,F261,$BD$5:BD260,1)=0,MAX($CE$5:CE260)+1,""),"")</f>
        <v/>
      </c>
      <c r="CF261" s="80" t="str">
        <f>IF(AND(D261="proMX",BD261=1),IF(OR(BF261="Draft",BF261="Submitted",BF261="Returned",BF261="Recall Requested"),MAX($CF$5:CF260)+1,""),"")</f>
        <v/>
      </c>
      <c r="CG261" s="80">
        <f>IF(BD261=0,0,IF(D261="Malcolm",1,MATCH(BF261,{"Draft","Submitted","Approved","Returned","Recall Requested","Cancelled"},0)+1))</f>
        <v>0</v>
      </c>
      <c r="CH261" s="80">
        <f>IF(AND(BF261="Submitted",ISNUMBER(V261)),IF(V261&gt;CFG_MAXD,1,0),0)</f>
        <v>0</v>
      </c>
    </row>
    <row r="262">
      <c r="A262" s="71" t="str">
        <f>IF(Y262=1,ROW()-5,"")</f>
        <v/>
      </c>
      <c r="B262" s="72" t="n"/>
      <c r="C262" s="71" t="str">
        <f>IF(ISNUMBER(B262),CHOOSE(WEEKDAY(B262,2),"Lun","Mar","Mié","Jue","Vie","Sáb","Dom"),"")</f>
        <v/>
      </c>
      <c r="D262" s="73" t="n"/>
      <c r="E262" s="74" t="n"/>
      <c r="F262" s="74" t="n"/>
      <c r="G262" s="74" t="n"/>
      <c r="H262" s="75" t="n"/>
      <c r="I262" s="75" t="n"/>
      <c r="J262" s="76" t="n"/>
      <c r="K262" s="77" t="str">
        <f>IF(AB262=1,ROUND(AG262/60,4),"")</f>
        <v/>
      </c>
      <c r="L262" s="77" t="str">
        <f>IF(BD262=1,ROUND(AP262/60,4),"")</f>
        <v/>
      </c>
      <c r="M262" s="77" t="str">
        <f>IF(BD262=1,ROUND(AQ262/60,4),"")</f>
        <v/>
      </c>
      <c r="N262" s="71" t="str">
        <f>IF(AND(D262="proMX",AB262=1),ROUND(AG262/CFG_BLK,2),"")</f>
        <v/>
      </c>
      <c r="O262" s="77" t="str">
        <f>IF(D262="proMX",IF(BD262=1,ROUND(AG262/60,4),0),"")</f>
        <v/>
      </c>
      <c r="P262" s="78" t="str">
        <f>IF(Y262=0,"",IF(BD262=1,"OK",IF(D262="proMX","Revisar bloques: ","Revisar: ")&amp;BC262))</f>
        <v/>
      </c>
      <c r="Q262" s="78" t="str">
        <f>IF(NOT(ISNUMBER(B262)),"",IF(COUNTIFS(FER_F,INT(B262))&gt;0,"Feriado"&amp;IF(AH262=1," (laborable)"," (no laborable)"),IF(AH262=1,"Laborable",IF(WEEKDAY(B262,2)&gt;5,"Fin de semana","No laborable"))))</f>
        <v/>
      </c>
      <c r="R262" s="73" t="n"/>
      <c r="S262" s="72" t="n"/>
      <c r="T262" s="72" t="n"/>
      <c r="U262" s="74" t="n"/>
      <c r="V262" s="79" t="str">
        <f>IF(AND(D262="proMX",OR(R262="Submitted",R262="Recall Requested"),ISNUMBER(S262)),CFG_TODAY-INT(S262),"")</f>
        <v/>
      </c>
      <c r="W262" s="78" t="str">
        <f>IF(BD262=0,"",IF(BA262&gt;0,"⚠ Se superpone con un registro de la otra empresa",IF(D262="Malcolm",IF(COUNTA(R262,S262,T262)&gt;0,"Estado/fechas proMX se ignoran en Malcolm",""),IF(BF262="Cancelled","Cancelado: excluido de totales",IF(R262="","Sin estado: se trata como Draft",IF(BF262="Submitted",IF(ISNUMBER(V262),IF(V262&gt;CFG_MAXD,"⚠ "&amp;V262&amp;" días en Submitted (máx. "&amp;CFG_MAXD&amp;")",""),"Falta fecha de envío"),IF(BF262="Returned","⚠ Devuelto: corregir y reenviar",IF(BF262="Recall Requested","Retirada solicitada: pendiente",IF(AND(BF262="Approved",NOT(ISNUMBER(T262))),"Falta fecha de aprobación",IF(AND(ISNUMBER(S262),ISNUMBER(T262),T262&lt;S262),"Aprobación anterior al envío","")))))))))</f>
        <v/>
      </c>
      <c r="Y262" s="80">
        <f>IF(COUNTA(B262,D262,E262,F262,G262,H262,I262,J262,R262,S262,T262)&gt;0,1,0)</f>
        <v>0</v>
      </c>
      <c r="Z262" s="80" t="str">
        <f>IF(AND(ISNUMBER(H262),H262&gt;=0,H262&lt;1),ROUND(H262*1440,0),"")</f>
        <v/>
      </c>
      <c r="AA262" s="80" t="str">
        <f>IF(AND(ISNUMBER(I262),I262&gt;=0,I262&lt;1),ROUND(I262*1440,0),"")</f>
        <v/>
      </c>
      <c r="AB262" s="80">
        <f>IF(AND(ISNUMBER(B262),D262&lt;&gt;"",ISNUMBER(Z262),ISNUMBER(AA262)),IF(Z262=AA262,0,1),0)</f>
        <v>0</v>
      </c>
      <c r="AC262" s="80">
        <f>IF(AB262=1,IF(AA262&lt;Z262,1,0),0)</f>
        <v>0</v>
      </c>
      <c r="AD262" s="80">
        <f>IF(AB262=1,IF(AC262=1,1440-Z262+AA262,AA262-Z262),0)</f>
        <v>0</v>
      </c>
      <c r="AE262" s="80">
        <f>IF(J262="",0,IF(ISNUMBER(J262),J262,-1))</f>
        <v>0</v>
      </c>
      <c r="AF262" s="80">
        <f>MIN(MAX(0,AE262),AD262)</f>
        <v>0</v>
      </c>
      <c r="AG262" s="80">
        <f>MAX(0,AD262-MAX(0,AE262))</f>
        <v>0</v>
      </c>
      <c r="AH262" s="80">
        <f>IF(ISNUMBER(B262),IF(AND(INDEX(CFG_WDAYS,WEEKDAY(INT(B262),2))="Sí",IF(D262="proMX",COUNTIFS(FER_F,INT(B262),FER_NLP,"Sí"),COUNTIFS(FER_F,INT(B262),FER_NLM,"Sí"))=0),1,0),0)</f>
        <v>0</v>
      </c>
      <c r="AI262" s="80">
        <f>IF(AC262=1,IF(AND(INDEX(CFG_WDAYS,WEEKDAY(INT(B262)+1,2))="Sí",IF(D262="proMX",COUNTIFS(FER_F,INT(B262)+1,FER_NLP,"Sí"),COUNTIFS(FER_F,INT(B262)+1,FER_NLM,"Sí"))=0),1,0),0)</f>
        <v>0</v>
      </c>
      <c r="AJ262" s="80">
        <f>IF(AC262=1,1440-Z262,AD262)</f>
        <v>0</v>
      </c>
      <c r="AK262" s="80">
        <f>IF(AND(AB262=1,AH262=1),MAX(0,MIN(IF(AC262=1,1440,AA262),CFG_WEM)-MAX(Z262,CFG_WSM)),0)</f>
        <v>0</v>
      </c>
      <c r="AL262" s="80">
        <f>IF(AND(AC262=1,AI262=1),MAX(0,MIN(AA262,CFG_WEM)-CFG_WSM),0)</f>
        <v>0</v>
      </c>
      <c r="AM262" s="80">
        <f>AK262+AL262</f>
        <v>0</v>
      </c>
      <c r="AN262" s="80">
        <f>IF(CFG_BRK="Proporcional",IF(AD262=0,0,AF262*AM262/AD262),IF(CFG_BRK="Extras primero",MIN(AM262,MAX(0,AF262-(AD262-AM262))),MIN(AF262,AM262)))</f>
        <v>0</v>
      </c>
      <c r="AO262" s="80">
        <f>AF262-AN262</f>
        <v>0</v>
      </c>
      <c r="AP262" s="80">
        <f>AM262-AN262</f>
        <v>0</v>
      </c>
      <c r="AQ262" s="80">
        <f>AD262-AM262-AO262</f>
        <v>0</v>
      </c>
      <c r="AR262" s="80">
        <f>IF(AM262=0,0,AK262-AN262*AK262/AM262)</f>
        <v>0</v>
      </c>
      <c r="AS262" s="80">
        <f>IF(AD262-AM262=0,0,(AJ262-AK262)-AO262*(AJ262-AK262)/(AD262-AM262))</f>
        <v>0</v>
      </c>
      <c r="AT262" s="80" t="str">
        <f>IF(AC262=1,INT(B262)+1,"")</f>
        <v/>
      </c>
      <c r="AU262" s="80">
        <f>IF(AND(D262="proMX",R262="Cancelled"),0,1)</f>
        <v>1</v>
      </c>
      <c r="AV262" s="80">
        <f>IF(AND(AB262=1,AU262=1),IF(COUNTIFS($D$5:D261,D262,$B$5:B261,B262,$Z$5:Z261,Z262,$AA$5:AA261,AA262,$F$5:F261,F262&amp;"",$AU$5:AU261,1)&gt;0,1,0),0)</f>
        <v>0</v>
      </c>
      <c r="AW262" s="80" t="str">
        <f>IF(AB262=1,INT(B262)*1440+Z262,"")</f>
        <v/>
      </c>
      <c r="AX262" s="80" t="str">
        <f>IF(AB262=1,AW262+AD262,"")</f>
        <v/>
      </c>
      <c r="AY262" s="80">
        <f>IF(AND(AB262=1,AV262=0,AU262=1),1,0)</f>
        <v>0</v>
      </c>
      <c r="AZ262" s="80">
        <f>IF(AY262=1,COUNTIFS(R_Emp,D262,R_SAbs,"&lt;"&amp;AX262,R_EAbs,"&gt;"&amp;AW262,R_OKey,1)-1,0)</f>
        <v>0</v>
      </c>
      <c r="BA262" s="80">
        <f>IF(AY262=1,COUNTIFS(R_Emp,"&lt;&gt;"&amp;D262,R_SAbs,"&lt;"&amp;AX262,R_EAbs,"&gt;"&amp;AW262,R_OKey,1),0)</f>
        <v>0</v>
      </c>
      <c r="BB262" s="80">
        <f>IF(AND(AB262=1,D262="proMX"),IF(AND(MOD(Z262,CFG_BLK)=0,MOD(AA262,CFG_BLK)=0,MOD(AG262,CFG_BLK)=0,AG262&gt;0),1,0),1)</f>
        <v>1</v>
      </c>
      <c r="BC262" s="80" t="str">
        <f>IF(Y262=0,"",IF(NOT(ISNUMBER(B262)),"Falta fecha o fecha inválida",IF(D262="","Falta empresa",IF(AND(D262&lt;&gt;"Malcolm",D262&lt;&gt;"proMX"),"Empresa inválida",IF(OR(INT(B262)&lt;CFG_PSTART,INT(B262)&gt;CFG_PEND),"Fecha fuera del período",IF(OR(NOT(ISNUMBER(Z262)),NOT(ISNUMBER(AA262))),"Falta hora inicio/fin o formato inválido",IF(AB262=0,"Hora inicio = hora fin",IF(AE262&lt;0,"Descanso inválido",IF(AE262&gt;=AD262,"Descanso ≥ duración",IF(AV262=1,"Registro duplicado",IF(AZ262&gt;0,"Se superpone con otro registro "&amp;D262,IF(BB262=0,"inicio, fin y duración neta deben ser múltiplos de "&amp;CFG_BLK&amp;" min",""))))))))))))</f>
        <v/>
      </c>
      <c r="BD262" s="80">
        <f>IF(AND(Y262=1,BC262=""),1,0)</f>
        <v>0</v>
      </c>
      <c r="BE262" s="80">
        <f>IF(AND(BD262=1,AU262=1),1,0)</f>
        <v>0</v>
      </c>
      <c r="BF262" s="80" t="str">
        <f>IF(AND(D262="proMX",BD262=1),IF(R262="","Draft",R262),"")</f>
        <v/>
      </c>
      <c r="BG262" s="80">
        <f>IF(BD262=1,ROUND(AG262/60,6),0)</f>
        <v>0</v>
      </c>
      <c r="BH262" s="80">
        <f>IF(BE262=1,ROUND(AG262/60,6),0)</f>
        <v>0</v>
      </c>
      <c r="BI262" s="80">
        <f>IF(BE262=1,ROUND(AP262/60,6),0)</f>
        <v>0</v>
      </c>
      <c r="BJ262" s="80">
        <f>IF(BE262=1,ROUND(AQ262/60,6),0)</f>
        <v>0</v>
      </c>
      <c r="BK262" s="80">
        <f>IF(BE262=1,ROUND((AR262+AS262)/60,6),0)</f>
        <v>0</v>
      </c>
      <c r="BL262" s="80">
        <f>ROUND(BH262-BK262,6)</f>
        <v>0</v>
      </c>
      <c r="BM262" s="80">
        <f>IF(BE262=1,ROUND(AR262/60,6),0)</f>
        <v>0</v>
      </c>
      <c r="BN262" s="80">
        <f>ROUND(BI262-BM262,6)</f>
        <v>0</v>
      </c>
      <c r="BO262" s="80">
        <f>IF(BE262=1,ROUND(AS262/60,6),0)</f>
        <v>0</v>
      </c>
      <c r="BP262" s="80">
        <f>ROUND(BJ262-BO262,6)</f>
        <v>0</v>
      </c>
      <c r="BQ262" s="80">
        <f>IF(BE262=1,AW262,0)</f>
        <v>0</v>
      </c>
      <c r="BR262" s="80">
        <f>IF(BE262=1,AX262,0)</f>
        <v>0</v>
      </c>
      <c r="BS262" s="80">
        <f>IF(AND(BE262=1,D262="Malcolm",BA262&gt;0),MIN(BH262,SUMPRODUCT((R_Emp="proMX")*(R_EN&gt;0)*((R_EN-(R_EN&gt;BR262)*(R_EN-BR262))&gt;(R_SN+(R_SN&lt;BQ262)*(BQ262-R_SN)))*((R_EN-(R_EN&gt;BR262)*(R_EN-BR262))-(R_SN+(R_SN&lt;BQ262)*(BQ262-R_SN))))/60),0)</f>
        <v>0</v>
      </c>
      <c r="BT262" s="80">
        <f>IF(AND(BE262=1,D262="proMX"),ROUND(BI262*CFG_RATE+BJ262*CFG_OTRATE,6),0)</f>
        <v>0</v>
      </c>
      <c r="BU262" s="80">
        <f>IF(AND(BD262=1,D262="proMX"),ROUND(AG262/CFG_BLK,6),0)</f>
        <v>0</v>
      </c>
      <c r="BV262" s="80" t="str">
        <f>IF(BF262="Approved",IF(ISNUMBER(T262),INT(T262),INT(B262)),"")</f>
        <v/>
      </c>
      <c r="BW262" s="80">
        <f>IF(ISNUMBER(B262),IF(DB_MON="Todos",1,IF(AND(INT(B262)&gt;=DB_MS,INT(B262)&lt;=DB_ME),1,0)),0)</f>
        <v>0</v>
      </c>
      <c r="BX262" s="80">
        <f>IF(DB_PROJ="Todos",1,IF(E262&amp;""=DB_PROJ&amp;"",1,0))</f>
        <v>1</v>
      </c>
      <c r="BY262" s="80">
        <f>BW262*BX262</f>
        <v>0</v>
      </c>
      <c r="BZ262" s="80" t="str">
        <f>IF(Y262=1,F262&amp;IF(AND(F262&amp;""&lt;&gt;"",E262&amp;""&lt;&gt;"")," · ","")&amp;E262,"")</f>
        <v/>
      </c>
      <c r="CA262" s="80" t="str">
        <f>IF(AND(BD262=1,E262&amp;""&lt;&gt;""),IF(COUNTIFS($E$5:E261,E262,$BD$5:BD261,1)=0,MAX($CA$5:CA261)+1,""),"")</f>
        <v/>
      </c>
      <c r="CB262" s="80" t="str">
        <f>IF(AND(BE262=1,D262="Malcolm",E262&amp;""&lt;&gt;""),IF(COUNTIFS($D$5:D261,"Malcolm",$E$5:E261,E262,$BE$5:BE261,1)=0,MAX($CB$5:CB261)+1,""),"")</f>
        <v/>
      </c>
      <c r="CC262" s="80" t="str">
        <f>IF(AND(BD262=1,D262="proMX",E262&amp;""&lt;&gt;""),IF(COUNTIFS($D$5:D261,"proMX",$E$5:E261,E262,$BD$5:BD261,1)=0,MAX($CC$5:CC261)+1,""),"")</f>
        <v/>
      </c>
      <c r="CD262" s="80" t="str">
        <f>IF(AND(BE262=1,D262="Malcolm",F262&amp;""&lt;&gt;""),IF(COUNTIFS($D$5:D261,"Malcolm",$F$5:F261,F262,$BE$5:BE261,1)=0,MAX($CD$5:CD261)+1,""),"")</f>
        <v/>
      </c>
      <c r="CE262" s="80" t="str">
        <f>IF(AND(BD262=1,D262="proMX",F262&amp;""&lt;&gt;""),IF(COUNTIFS($D$5:D261,"proMX",$F$5:F261,F262,$BD$5:BD261,1)=0,MAX($CE$5:CE261)+1,""),"")</f>
        <v/>
      </c>
      <c r="CF262" s="80" t="str">
        <f>IF(AND(D262="proMX",BD262=1),IF(OR(BF262="Draft",BF262="Submitted",BF262="Returned",BF262="Recall Requested"),MAX($CF$5:CF261)+1,""),"")</f>
        <v/>
      </c>
      <c r="CG262" s="80">
        <f>IF(BD262=0,0,IF(D262="Malcolm",1,MATCH(BF262,{"Draft","Submitted","Approved","Returned","Recall Requested","Cancelled"},0)+1))</f>
        <v>0</v>
      </c>
      <c r="CH262" s="80">
        <f>IF(AND(BF262="Submitted",ISNUMBER(V262)),IF(V262&gt;CFG_MAXD,1,0),0)</f>
        <v>0</v>
      </c>
    </row>
    <row r="263">
      <c r="A263" s="71" t="str">
        <f>IF(Y263=1,ROW()-5,"")</f>
        <v/>
      </c>
      <c r="B263" s="72" t="n"/>
      <c r="C263" s="71" t="str">
        <f>IF(ISNUMBER(B263),CHOOSE(WEEKDAY(B263,2),"Lun","Mar","Mié","Jue","Vie","Sáb","Dom"),"")</f>
        <v/>
      </c>
      <c r="D263" s="73" t="n"/>
      <c r="E263" s="74" t="n"/>
      <c r="F263" s="74" t="n"/>
      <c r="G263" s="74" t="n"/>
      <c r="H263" s="75" t="n"/>
      <c r="I263" s="75" t="n"/>
      <c r="J263" s="76" t="n"/>
      <c r="K263" s="77" t="str">
        <f>IF(AB263=1,ROUND(AG263/60,4),"")</f>
        <v/>
      </c>
      <c r="L263" s="77" t="str">
        <f>IF(BD263=1,ROUND(AP263/60,4),"")</f>
        <v/>
      </c>
      <c r="M263" s="77" t="str">
        <f>IF(BD263=1,ROUND(AQ263/60,4),"")</f>
        <v/>
      </c>
      <c r="N263" s="71" t="str">
        <f>IF(AND(D263="proMX",AB263=1),ROUND(AG263/CFG_BLK,2),"")</f>
        <v/>
      </c>
      <c r="O263" s="77" t="str">
        <f>IF(D263="proMX",IF(BD263=1,ROUND(AG263/60,4),0),"")</f>
        <v/>
      </c>
      <c r="P263" s="78" t="str">
        <f>IF(Y263=0,"",IF(BD263=1,"OK",IF(D263="proMX","Revisar bloques: ","Revisar: ")&amp;BC263))</f>
        <v/>
      </c>
      <c r="Q263" s="78" t="str">
        <f>IF(NOT(ISNUMBER(B263)),"",IF(COUNTIFS(FER_F,INT(B263))&gt;0,"Feriado"&amp;IF(AH263=1," (laborable)"," (no laborable)"),IF(AH263=1,"Laborable",IF(WEEKDAY(B263,2)&gt;5,"Fin de semana","No laborable"))))</f>
        <v/>
      </c>
      <c r="R263" s="73" t="n"/>
      <c r="S263" s="72" t="n"/>
      <c r="T263" s="72" t="n"/>
      <c r="U263" s="74" t="n"/>
      <c r="V263" s="79" t="str">
        <f>IF(AND(D263="proMX",OR(R263="Submitted",R263="Recall Requested"),ISNUMBER(S263)),CFG_TODAY-INT(S263),"")</f>
        <v/>
      </c>
      <c r="W263" s="78" t="str">
        <f>IF(BD263=0,"",IF(BA263&gt;0,"⚠ Se superpone con un registro de la otra empresa",IF(D263="Malcolm",IF(COUNTA(R263,S263,T263)&gt;0,"Estado/fechas proMX se ignoran en Malcolm",""),IF(BF263="Cancelled","Cancelado: excluido de totales",IF(R263="","Sin estado: se trata como Draft",IF(BF263="Submitted",IF(ISNUMBER(V263),IF(V263&gt;CFG_MAXD,"⚠ "&amp;V263&amp;" días en Submitted (máx. "&amp;CFG_MAXD&amp;")",""),"Falta fecha de envío"),IF(BF263="Returned","⚠ Devuelto: corregir y reenviar",IF(BF263="Recall Requested","Retirada solicitada: pendiente",IF(AND(BF263="Approved",NOT(ISNUMBER(T263))),"Falta fecha de aprobación",IF(AND(ISNUMBER(S263),ISNUMBER(T263),T263&lt;S263),"Aprobación anterior al envío","")))))))))</f>
        <v/>
      </c>
      <c r="Y263" s="80">
        <f>IF(COUNTA(B263,D263,E263,F263,G263,H263,I263,J263,R263,S263,T263)&gt;0,1,0)</f>
        <v>0</v>
      </c>
      <c r="Z263" s="80" t="str">
        <f>IF(AND(ISNUMBER(H263),H263&gt;=0,H263&lt;1),ROUND(H263*1440,0),"")</f>
        <v/>
      </c>
      <c r="AA263" s="80" t="str">
        <f>IF(AND(ISNUMBER(I263),I263&gt;=0,I263&lt;1),ROUND(I263*1440,0),"")</f>
        <v/>
      </c>
      <c r="AB263" s="80">
        <f>IF(AND(ISNUMBER(B263),D263&lt;&gt;"",ISNUMBER(Z263),ISNUMBER(AA263)),IF(Z263=AA263,0,1),0)</f>
        <v>0</v>
      </c>
      <c r="AC263" s="80">
        <f>IF(AB263=1,IF(AA263&lt;Z263,1,0),0)</f>
        <v>0</v>
      </c>
      <c r="AD263" s="80">
        <f>IF(AB263=1,IF(AC263=1,1440-Z263+AA263,AA263-Z263),0)</f>
        <v>0</v>
      </c>
      <c r="AE263" s="80">
        <f>IF(J263="",0,IF(ISNUMBER(J263),J263,-1))</f>
        <v>0</v>
      </c>
      <c r="AF263" s="80">
        <f>MIN(MAX(0,AE263),AD263)</f>
        <v>0</v>
      </c>
      <c r="AG263" s="80">
        <f>MAX(0,AD263-MAX(0,AE263))</f>
        <v>0</v>
      </c>
      <c r="AH263" s="80">
        <f>IF(ISNUMBER(B263),IF(AND(INDEX(CFG_WDAYS,WEEKDAY(INT(B263),2))="Sí",IF(D263="proMX",COUNTIFS(FER_F,INT(B263),FER_NLP,"Sí"),COUNTIFS(FER_F,INT(B263),FER_NLM,"Sí"))=0),1,0),0)</f>
        <v>0</v>
      </c>
      <c r="AI263" s="80">
        <f>IF(AC263=1,IF(AND(INDEX(CFG_WDAYS,WEEKDAY(INT(B263)+1,2))="Sí",IF(D263="proMX",COUNTIFS(FER_F,INT(B263)+1,FER_NLP,"Sí"),COUNTIFS(FER_F,INT(B263)+1,FER_NLM,"Sí"))=0),1,0),0)</f>
        <v>0</v>
      </c>
      <c r="AJ263" s="80">
        <f>IF(AC263=1,1440-Z263,AD263)</f>
        <v>0</v>
      </c>
      <c r="AK263" s="80">
        <f>IF(AND(AB263=1,AH263=1),MAX(0,MIN(IF(AC263=1,1440,AA263),CFG_WEM)-MAX(Z263,CFG_WSM)),0)</f>
        <v>0</v>
      </c>
      <c r="AL263" s="80">
        <f>IF(AND(AC263=1,AI263=1),MAX(0,MIN(AA263,CFG_WEM)-CFG_WSM),0)</f>
        <v>0</v>
      </c>
      <c r="AM263" s="80">
        <f>AK263+AL263</f>
        <v>0</v>
      </c>
      <c r="AN263" s="80">
        <f>IF(CFG_BRK="Proporcional",IF(AD263=0,0,AF263*AM263/AD263),IF(CFG_BRK="Extras primero",MIN(AM263,MAX(0,AF263-(AD263-AM263))),MIN(AF263,AM263)))</f>
        <v>0</v>
      </c>
      <c r="AO263" s="80">
        <f>AF263-AN263</f>
        <v>0</v>
      </c>
      <c r="AP263" s="80">
        <f>AM263-AN263</f>
        <v>0</v>
      </c>
      <c r="AQ263" s="80">
        <f>AD263-AM263-AO263</f>
        <v>0</v>
      </c>
      <c r="AR263" s="80">
        <f>IF(AM263=0,0,AK263-AN263*AK263/AM263)</f>
        <v>0</v>
      </c>
      <c r="AS263" s="80">
        <f>IF(AD263-AM263=0,0,(AJ263-AK263)-AO263*(AJ263-AK263)/(AD263-AM263))</f>
        <v>0</v>
      </c>
      <c r="AT263" s="80" t="str">
        <f>IF(AC263=1,INT(B263)+1,"")</f>
        <v/>
      </c>
      <c r="AU263" s="80">
        <f>IF(AND(D263="proMX",R263="Cancelled"),0,1)</f>
        <v>1</v>
      </c>
      <c r="AV263" s="80">
        <f>IF(AND(AB263=1,AU263=1),IF(COUNTIFS($D$5:D262,D263,$B$5:B262,B263,$Z$5:Z262,Z263,$AA$5:AA262,AA263,$F$5:F262,F263&amp;"",$AU$5:AU262,1)&gt;0,1,0),0)</f>
        <v>0</v>
      </c>
      <c r="AW263" s="80" t="str">
        <f>IF(AB263=1,INT(B263)*1440+Z263,"")</f>
        <v/>
      </c>
      <c r="AX263" s="80" t="str">
        <f>IF(AB263=1,AW263+AD263,"")</f>
        <v/>
      </c>
      <c r="AY263" s="80">
        <f>IF(AND(AB263=1,AV263=0,AU263=1),1,0)</f>
        <v>0</v>
      </c>
      <c r="AZ263" s="80">
        <f>IF(AY263=1,COUNTIFS(R_Emp,D263,R_SAbs,"&lt;"&amp;AX263,R_EAbs,"&gt;"&amp;AW263,R_OKey,1)-1,0)</f>
        <v>0</v>
      </c>
      <c r="BA263" s="80">
        <f>IF(AY263=1,COUNTIFS(R_Emp,"&lt;&gt;"&amp;D263,R_SAbs,"&lt;"&amp;AX263,R_EAbs,"&gt;"&amp;AW263,R_OKey,1),0)</f>
        <v>0</v>
      </c>
      <c r="BB263" s="80">
        <f>IF(AND(AB263=1,D263="proMX"),IF(AND(MOD(Z263,CFG_BLK)=0,MOD(AA263,CFG_BLK)=0,MOD(AG263,CFG_BLK)=0,AG263&gt;0),1,0),1)</f>
        <v>1</v>
      </c>
      <c r="BC263" s="80" t="str">
        <f>IF(Y263=0,"",IF(NOT(ISNUMBER(B263)),"Falta fecha o fecha inválida",IF(D263="","Falta empresa",IF(AND(D263&lt;&gt;"Malcolm",D263&lt;&gt;"proMX"),"Empresa inválida",IF(OR(INT(B263)&lt;CFG_PSTART,INT(B263)&gt;CFG_PEND),"Fecha fuera del período",IF(OR(NOT(ISNUMBER(Z263)),NOT(ISNUMBER(AA263))),"Falta hora inicio/fin o formato inválido",IF(AB263=0,"Hora inicio = hora fin",IF(AE263&lt;0,"Descanso inválido",IF(AE263&gt;=AD263,"Descanso ≥ duración",IF(AV263=1,"Registro duplicado",IF(AZ263&gt;0,"Se superpone con otro registro "&amp;D263,IF(BB263=0,"inicio, fin y duración neta deben ser múltiplos de "&amp;CFG_BLK&amp;" min",""))))))))))))</f>
        <v/>
      </c>
      <c r="BD263" s="80">
        <f>IF(AND(Y263=1,BC263=""),1,0)</f>
        <v>0</v>
      </c>
      <c r="BE263" s="80">
        <f>IF(AND(BD263=1,AU263=1),1,0)</f>
        <v>0</v>
      </c>
      <c r="BF263" s="80" t="str">
        <f>IF(AND(D263="proMX",BD263=1),IF(R263="","Draft",R263),"")</f>
        <v/>
      </c>
      <c r="BG263" s="80">
        <f>IF(BD263=1,ROUND(AG263/60,6),0)</f>
        <v>0</v>
      </c>
      <c r="BH263" s="80">
        <f>IF(BE263=1,ROUND(AG263/60,6),0)</f>
        <v>0</v>
      </c>
      <c r="BI263" s="80">
        <f>IF(BE263=1,ROUND(AP263/60,6),0)</f>
        <v>0</v>
      </c>
      <c r="BJ263" s="80">
        <f>IF(BE263=1,ROUND(AQ263/60,6),0)</f>
        <v>0</v>
      </c>
      <c r="BK263" s="80">
        <f>IF(BE263=1,ROUND((AR263+AS263)/60,6),0)</f>
        <v>0</v>
      </c>
      <c r="BL263" s="80">
        <f>ROUND(BH263-BK263,6)</f>
        <v>0</v>
      </c>
      <c r="BM263" s="80">
        <f>IF(BE263=1,ROUND(AR263/60,6),0)</f>
        <v>0</v>
      </c>
      <c r="BN263" s="80">
        <f>ROUND(BI263-BM263,6)</f>
        <v>0</v>
      </c>
      <c r="BO263" s="80">
        <f>IF(BE263=1,ROUND(AS263/60,6),0)</f>
        <v>0</v>
      </c>
      <c r="BP263" s="80">
        <f>ROUND(BJ263-BO263,6)</f>
        <v>0</v>
      </c>
      <c r="BQ263" s="80">
        <f>IF(BE263=1,AW263,0)</f>
        <v>0</v>
      </c>
      <c r="BR263" s="80">
        <f>IF(BE263=1,AX263,0)</f>
        <v>0</v>
      </c>
      <c r="BS263" s="80">
        <f>IF(AND(BE263=1,D263="Malcolm",BA263&gt;0),MIN(BH263,SUMPRODUCT((R_Emp="proMX")*(R_EN&gt;0)*((R_EN-(R_EN&gt;BR263)*(R_EN-BR263))&gt;(R_SN+(R_SN&lt;BQ263)*(BQ263-R_SN)))*((R_EN-(R_EN&gt;BR263)*(R_EN-BR263))-(R_SN+(R_SN&lt;BQ263)*(BQ263-R_SN))))/60),0)</f>
        <v>0</v>
      </c>
      <c r="BT263" s="80">
        <f>IF(AND(BE263=1,D263="proMX"),ROUND(BI263*CFG_RATE+BJ263*CFG_OTRATE,6),0)</f>
        <v>0</v>
      </c>
      <c r="BU263" s="80">
        <f>IF(AND(BD263=1,D263="proMX"),ROUND(AG263/CFG_BLK,6),0)</f>
        <v>0</v>
      </c>
      <c r="BV263" s="80" t="str">
        <f>IF(BF263="Approved",IF(ISNUMBER(T263),INT(T263),INT(B263)),"")</f>
        <v/>
      </c>
      <c r="BW263" s="80">
        <f>IF(ISNUMBER(B263),IF(DB_MON="Todos",1,IF(AND(INT(B263)&gt;=DB_MS,INT(B263)&lt;=DB_ME),1,0)),0)</f>
        <v>0</v>
      </c>
      <c r="BX263" s="80">
        <f>IF(DB_PROJ="Todos",1,IF(E263&amp;""=DB_PROJ&amp;"",1,0))</f>
        <v>1</v>
      </c>
      <c r="BY263" s="80">
        <f>BW263*BX263</f>
        <v>0</v>
      </c>
      <c r="BZ263" s="80" t="str">
        <f>IF(Y263=1,F263&amp;IF(AND(F263&amp;""&lt;&gt;"",E263&amp;""&lt;&gt;"")," · ","")&amp;E263,"")</f>
        <v/>
      </c>
      <c r="CA263" s="80" t="str">
        <f>IF(AND(BD263=1,E263&amp;""&lt;&gt;""),IF(COUNTIFS($E$5:E262,E263,$BD$5:BD262,1)=0,MAX($CA$5:CA262)+1,""),"")</f>
        <v/>
      </c>
      <c r="CB263" s="80" t="str">
        <f>IF(AND(BE263=1,D263="Malcolm",E263&amp;""&lt;&gt;""),IF(COUNTIFS($D$5:D262,"Malcolm",$E$5:E262,E263,$BE$5:BE262,1)=0,MAX($CB$5:CB262)+1,""),"")</f>
        <v/>
      </c>
      <c r="CC263" s="80" t="str">
        <f>IF(AND(BD263=1,D263="proMX",E263&amp;""&lt;&gt;""),IF(COUNTIFS($D$5:D262,"proMX",$E$5:E262,E263,$BD$5:BD262,1)=0,MAX($CC$5:CC262)+1,""),"")</f>
        <v/>
      </c>
      <c r="CD263" s="80" t="str">
        <f>IF(AND(BE263=1,D263="Malcolm",F263&amp;""&lt;&gt;""),IF(COUNTIFS($D$5:D262,"Malcolm",$F$5:F262,F263,$BE$5:BE262,1)=0,MAX($CD$5:CD262)+1,""),"")</f>
        <v/>
      </c>
      <c r="CE263" s="80" t="str">
        <f>IF(AND(BD263=1,D263="proMX",F263&amp;""&lt;&gt;""),IF(COUNTIFS($D$5:D262,"proMX",$F$5:F262,F263,$BD$5:BD262,1)=0,MAX($CE$5:CE262)+1,""),"")</f>
        <v/>
      </c>
      <c r="CF263" s="80" t="str">
        <f>IF(AND(D263="proMX",BD263=1),IF(OR(BF263="Draft",BF263="Submitted",BF263="Returned",BF263="Recall Requested"),MAX($CF$5:CF262)+1,""),"")</f>
        <v/>
      </c>
      <c r="CG263" s="80">
        <f>IF(BD263=0,0,IF(D263="Malcolm",1,MATCH(BF263,{"Draft","Submitted","Approved","Returned","Recall Requested","Cancelled"},0)+1))</f>
        <v>0</v>
      </c>
      <c r="CH263" s="80">
        <f>IF(AND(BF263="Submitted",ISNUMBER(V263)),IF(V263&gt;CFG_MAXD,1,0),0)</f>
        <v>0</v>
      </c>
    </row>
    <row r="264">
      <c r="A264" s="71" t="str">
        <f>IF(Y264=1,ROW()-5,"")</f>
        <v/>
      </c>
      <c r="B264" s="72" t="n"/>
      <c r="C264" s="71" t="str">
        <f>IF(ISNUMBER(B264),CHOOSE(WEEKDAY(B264,2),"Lun","Mar","Mié","Jue","Vie","Sáb","Dom"),"")</f>
        <v/>
      </c>
      <c r="D264" s="73" t="n"/>
      <c r="E264" s="74" t="n"/>
      <c r="F264" s="74" t="n"/>
      <c r="G264" s="74" t="n"/>
      <c r="H264" s="75" t="n"/>
      <c r="I264" s="75" t="n"/>
      <c r="J264" s="76" t="n"/>
      <c r="K264" s="77" t="str">
        <f>IF(AB264=1,ROUND(AG264/60,4),"")</f>
        <v/>
      </c>
      <c r="L264" s="77" t="str">
        <f>IF(BD264=1,ROUND(AP264/60,4),"")</f>
        <v/>
      </c>
      <c r="M264" s="77" t="str">
        <f>IF(BD264=1,ROUND(AQ264/60,4),"")</f>
        <v/>
      </c>
      <c r="N264" s="71" t="str">
        <f>IF(AND(D264="proMX",AB264=1),ROUND(AG264/CFG_BLK,2),"")</f>
        <v/>
      </c>
      <c r="O264" s="77" t="str">
        <f>IF(D264="proMX",IF(BD264=1,ROUND(AG264/60,4),0),"")</f>
        <v/>
      </c>
      <c r="P264" s="78" t="str">
        <f>IF(Y264=0,"",IF(BD264=1,"OK",IF(D264="proMX","Revisar bloques: ","Revisar: ")&amp;BC264))</f>
        <v/>
      </c>
      <c r="Q264" s="78" t="str">
        <f>IF(NOT(ISNUMBER(B264)),"",IF(COUNTIFS(FER_F,INT(B264))&gt;0,"Feriado"&amp;IF(AH264=1," (laborable)"," (no laborable)"),IF(AH264=1,"Laborable",IF(WEEKDAY(B264,2)&gt;5,"Fin de semana","No laborable"))))</f>
        <v/>
      </c>
      <c r="R264" s="73" t="n"/>
      <c r="S264" s="72" t="n"/>
      <c r="T264" s="72" t="n"/>
      <c r="U264" s="74" t="n"/>
      <c r="V264" s="79" t="str">
        <f>IF(AND(D264="proMX",OR(R264="Submitted",R264="Recall Requested"),ISNUMBER(S264)),CFG_TODAY-INT(S264),"")</f>
        <v/>
      </c>
      <c r="W264" s="78" t="str">
        <f>IF(BD264=0,"",IF(BA264&gt;0,"⚠ Se superpone con un registro de la otra empresa",IF(D264="Malcolm",IF(COUNTA(R264,S264,T264)&gt;0,"Estado/fechas proMX se ignoran en Malcolm",""),IF(BF264="Cancelled","Cancelado: excluido de totales",IF(R264="","Sin estado: se trata como Draft",IF(BF264="Submitted",IF(ISNUMBER(V264),IF(V264&gt;CFG_MAXD,"⚠ "&amp;V264&amp;" días en Submitted (máx. "&amp;CFG_MAXD&amp;")",""),"Falta fecha de envío"),IF(BF264="Returned","⚠ Devuelto: corregir y reenviar",IF(BF264="Recall Requested","Retirada solicitada: pendiente",IF(AND(BF264="Approved",NOT(ISNUMBER(T264))),"Falta fecha de aprobación",IF(AND(ISNUMBER(S264),ISNUMBER(T264),T264&lt;S264),"Aprobación anterior al envío","")))))))))</f>
        <v/>
      </c>
      <c r="Y264" s="80">
        <f>IF(COUNTA(B264,D264,E264,F264,G264,H264,I264,J264,R264,S264,T264)&gt;0,1,0)</f>
        <v>0</v>
      </c>
      <c r="Z264" s="80" t="str">
        <f>IF(AND(ISNUMBER(H264),H264&gt;=0,H264&lt;1),ROUND(H264*1440,0),"")</f>
        <v/>
      </c>
      <c r="AA264" s="80" t="str">
        <f>IF(AND(ISNUMBER(I264),I264&gt;=0,I264&lt;1),ROUND(I264*1440,0),"")</f>
        <v/>
      </c>
      <c r="AB264" s="80">
        <f>IF(AND(ISNUMBER(B264),D264&lt;&gt;"",ISNUMBER(Z264),ISNUMBER(AA264)),IF(Z264=AA264,0,1),0)</f>
        <v>0</v>
      </c>
      <c r="AC264" s="80">
        <f>IF(AB264=1,IF(AA264&lt;Z264,1,0),0)</f>
        <v>0</v>
      </c>
      <c r="AD264" s="80">
        <f>IF(AB264=1,IF(AC264=1,1440-Z264+AA264,AA264-Z264),0)</f>
        <v>0</v>
      </c>
      <c r="AE264" s="80">
        <f>IF(J264="",0,IF(ISNUMBER(J264),J264,-1))</f>
        <v>0</v>
      </c>
      <c r="AF264" s="80">
        <f>MIN(MAX(0,AE264),AD264)</f>
        <v>0</v>
      </c>
      <c r="AG264" s="80">
        <f>MAX(0,AD264-MAX(0,AE264))</f>
        <v>0</v>
      </c>
      <c r="AH264" s="80">
        <f>IF(ISNUMBER(B264),IF(AND(INDEX(CFG_WDAYS,WEEKDAY(INT(B264),2))="Sí",IF(D264="proMX",COUNTIFS(FER_F,INT(B264),FER_NLP,"Sí"),COUNTIFS(FER_F,INT(B264),FER_NLM,"Sí"))=0),1,0),0)</f>
        <v>0</v>
      </c>
      <c r="AI264" s="80">
        <f>IF(AC264=1,IF(AND(INDEX(CFG_WDAYS,WEEKDAY(INT(B264)+1,2))="Sí",IF(D264="proMX",COUNTIFS(FER_F,INT(B264)+1,FER_NLP,"Sí"),COUNTIFS(FER_F,INT(B264)+1,FER_NLM,"Sí"))=0),1,0),0)</f>
        <v>0</v>
      </c>
      <c r="AJ264" s="80">
        <f>IF(AC264=1,1440-Z264,AD264)</f>
        <v>0</v>
      </c>
      <c r="AK264" s="80">
        <f>IF(AND(AB264=1,AH264=1),MAX(0,MIN(IF(AC264=1,1440,AA264),CFG_WEM)-MAX(Z264,CFG_WSM)),0)</f>
        <v>0</v>
      </c>
      <c r="AL264" s="80">
        <f>IF(AND(AC264=1,AI264=1),MAX(0,MIN(AA264,CFG_WEM)-CFG_WSM),0)</f>
        <v>0</v>
      </c>
      <c r="AM264" s="80">
        <f>AK264+AL264</f>
        <v>0</v>
      </c>
      <c r="AN264" s="80">
        <f>IF(CFG_BRK="Proporcional",IF(AD264=0,0,AF264*AM264/AD264),IF(CFG_BRK="Extras primero",MIN(AM264,MAX(0,AF264-(AD264-AM264))),MIN(AF264,AM264)))</f>
        <v>0</v>
      </c>
      <c r="AO264" s="80">
        <f>AF264-AN264</f>
        <v>0</v>
      </c>
      <c r="AP264" s="80">
        <f>AM264-AN264</f>
        <v>0</v>
      </c>
      <c r="AQ264" s="80">
        <f>AD264-AM264-AO264</f>
        <v>0</v>
      </c>
      <c r="AR264" s="80">
        <f>IF(AM264=0,0,AK264-AN264*AK264/AM264)</f>
        <v>0</v>
      </c>
      <c r="AS264" s="80">
        <f>IF(AD264-AM264=0,0,(AJ264-AK264)-AO264*(AJ264-AK264)/(AD264-AM264))</f>
        <v>0</v>
      </c>
      <c r="AT264" s="80" t="str">
        <f>IF(AC264=1,INT(B264)+1,"")</f>
        <v/>
      </c>
      <c r="AU264" s="80">
        <f>IF(AND(D264="proMX",R264="Cancelled"),0,1)</f>
        <v>1</v>
      </c>
      <c r="AV264" s="80">
        <f>IF(AND(AB264=1,AU264=1),IF(COUNTIFS($D$5:D263,D264,$B$5:B263,B264,$Z$5:Z263,Z264,$AA$5:AA263,AA264,$F$5:F263,F264&amp;"",$AU$5:AU263,1)&gt;0,1,0),0)</f>
        <v>0</v>
      </c>
      <c r="AW264" s="80" t="str">
        <f>IF(AB264=1,INT(B264)*1440+Z264,"")</f>
        <v/>
      </c>
      <c r="AX264" s="80" t="str">
        <f>IF(AB264=1,AW264+AD264,"")</f>
        <v/>
      </c>
      <c r="AY264" s="80">
        <f>IF(AND(AB264=1,AV264=0,AU264=1),1,0)</f>
        <v>0</v>
      </c>
      <c r="AZ264" s="80">
        <f>IF(AY264=1,COUNTIFS(R_Emp,D264,R_SAbs,"&lt;"&amp;AX264,R_EAbs,"&gt;"&amp;AW264,R_OKey,1)-1,0)</f>
        <v>0</v>
      </c>
      <c r="BA264" s="80">
        <f>IF(AY264=1,COUNTIFS(R_Emp,"&lt;&gt;"&amp;D264,R_SAbs,"&lt;"&amp;AX264,R_EAbs,"&gt;"&amp;AW264,R_OKey,1),0)</f>
        <v>0</v>
      </c>
      <c r="BB264" s="80">
        <f>IF(AND(AB264=1,D264="proMX"),IF(AND(MOD(Z264,CFG_BLK)=0,MOD(AA264,CFG_BLK)=0,MOD(AG264,CFG_BLK)=0,AG264&gt;0),1,0),1)</f>
        <v>1</v>
      </c>
      <c r="BC264" s="80" t="str">
        <f>IF(Y264=0,"",IF(NOT(ISNUMBER(B264)),"Falta fecha o fecha inválida",IF(D264="","Falta empresa",IF(AND(D264&lt;&gt;"Malcolm",D264&lt;&gt;"proMX"),"Empresa inválida",IF(OR(INT(B264)&lt;CFG_PSTART,INT(B264)&gt;CFG_PEND),"Fecha fuera del período",IF(OR(NOT(ISNUMBER(Z264)),NOT(ISNUMBER(AA264))),"Falta hora inicio/fin o formato inválido",IF(AB264=0,"Hora inicio = hora fin",IF(AE264&lt;0,"Descanso inválido",IF(AE264&gt;=AD264,"Descanso ≥ duración",IF(AV264=1,"Registro duplicado",IF(AZ264&gt;0,"Se superpone con otro registro "&amp;D264,IF(BB264=0,"inicio, fin y duración neta deben ser múltiplos de "&amp;CFG_BLK&amp;" min",""))))))))))))</f>
        <v/>
      </c>
      <c r="BD264" s="80">
        <f>IF(AND(Y264=1,BC264=""),1,0)</f>
        <v>0</v>
      </c>
      <c r="BE264" s="80">
        <f>IF(AND(BD264=1,AU264=1),1,0)</f>
        <v>0</v>
      </c>
      <c r="BF264" s="80" t="str">
        <f>IF(AND(D264="proMX",BD264=1),IF(R264="","Draft",R264),"")</f>
        <v/>
      </c>
      <c r="BG264" s="80">
        <f>IF(BD264=1,ROUND(AG264/60,6),0)</f>
        <v>0</v>
      </c>
      <c r="BH264" s="80">
        <f>IF(BE264=1,ROUND(AG264/60,6),0)</f>
        <v>0</v>
      </c>
      <c r="BI264" s="80">
        <f>IF(BE264=1,ROUND(AP264/60,6),0)</f>
        <v>0</v>
      </c>
      <c r="BJ264" s="80">
        <f>IF(BE264=1,ROUND(AQ264/60,6),0)</f>
        <v>0</v>
      </c>
      <c r="BK264" s="80">
        <f>IF(BE264=1,ROUND((AR264+AS264)/60,6),0)</f>
        <v>0</v>
      </c>
      <c r="BL264" s="80">
        <f>ROUND(BH264-BK264,6)</f>
        <v>0</v>
      </c>
      <c r="BM264" s="80">
        <f>IF(BE264=1,ROUND(AR264/60,6),0)</f>
        <v>0</v>
      </c>
      <c r="BN264" s="80">
        <f>ROUND(BI264-BM264,6)</f>
        <v>0</v>
      </c>
      <c r="BO264" s="80">
        <f>IF(BE264=1,ROUND(AS264/60,6),0)</f>
        <v>0</v>
      </c>
      <c r="BP264" s="80">
        <f>ROUND(BJ264-BO264,6)</f>
        <v>0</v>
      </c>
      <c r="BQ264" s="80">
        <f>IF(BE264=1,AW264,0)</f>
        <v>0</v>
      </c>
      <c r="BR264" s="80">
        <f>IF(BE264=1,AX264,0)</f>
        <v>0</v>
      </c>
      <c r="BS264" s="80">
        <f>IF(AND(BE264=1,D264="Malcolm",BA264&gt;0),MIN(BH264,SUMPRODUCT((R_Emp="proMX")*(R_EN&gt;0)*((R_EN-(R_EN&gt;BR264)*(R_EN-BR264))&gt;(R_SN+(R_SN&lt;BQ264)*(BQ264-R_SN)))*((R_EN-(R_EN&gt;BR264)*(R_EN-BR264))-(R_SN+(R_SN&lt;BQ264)*(BQ264-R_SN))))/60),0)</f>
        <v>0</v>
      </c>
      <c r="BT264" s="80">
        <f>IF(AND(BE264=1,D264="proMX"),ROUND(BI264*CFG_RATE+BJ264*CFG_OTRATE,6),0)</f>
        <v>0</v>
      </c>
      <c r="BU264" s="80">
        <f>IF(AND(BD264=1,D264="proMX"),ROUND(AG264/CFG_BLK,6),0)</f>
        <v>0</v>
      </c>
      <c r="BV264" s="80" t="str">
        <f>IF(BF264="Approved",IF(ISNUMBER(T264),INT(T264),INT(B264)),"")</f>
        <v/>
      </c>
      <c r="BW264" s="80">
        <f>IF(ISNUMBER(B264),IF(DB_MON="Todos",1,IF(AND(INT(B264)&gt;=DB_MS,INT(B264)&lt;=DB_ME),1,0)),0)</f>
        <v>0</v>
      </c>
      <c r="BX264" s="80">
        <f>IF(DB_PROJ="Todos",1,IF(E264&amp;""=DB_PROJ&amp;"",1,0))</f>
        <v>1</v>
      </c>
      <c r="BY264" s="80">
        <f>BW264*BX264</f>
        <v>0</v>
      </c>
      <c r="BZ264" s="80" t="str">
        <f>IF(Y264=1,F264&amp;IF(AND(F264&amp;""&lt;&gt;"",E264&amp;""&lt;&gt;"")," · ","")&amp;E264,"")</f>
        <v/>
      </c>
      <c r="CA264" s="80" t="str">
        <f>IF(AND(BD264=1,E264&amp;""&lt;&gt;""),IF(COUNTIFS($E$5:E263,E264,$BD$5:BD263,1)=0,MAX($CA$5:CA263)+1,""),"")</f>
        <v/>
      </c>
      <c r="CB264" s="80" t="str">
        <f>IF(AND(BE264=1,D264="Malcolm",E264&amp;""&lt;&gt;""),IF(COUNTIFS($D$5:D263,"Malcolm",$E$5:E263,E264,$BE$5:BE263,1)=0,MAX($CB$5:CB263)+1,""),"")</f>
        <v/>
      </c>
      <c r="CC264" s="80" t="str">
        <f>IF(AND(BD264=1,D264="proMX",E264&amp;""&lt;&gt;""),IF(COUNTIFS($D$5:D263,"proMX",$E$5:E263,E264,$BD$5:BD263,1)=0,MAX($CC$5:CC263)+1,""),"")</f>
        <v/>
      </c>
      <c r="CD264" s="80" t="str">
        <f>IF(AND(BE264=1,D264="Malcolm",F264&amp;""&lt;&gt;""),IF(COUNTIFS($D$5:D263,"Malcolm",$F$5:F263,F264,$BE$5:BE263,1)=0,MAX($CD$5:CD263)+1,""),"")</f>
        <v/>
      </c>
      <c r="CE264" s="80" t="str">
        <f>IF(AND(BD264=1,D264="proMX",F264&amp;""&lt;&gt;""),IF(COUNTIFS($D$5:D263,"proMX",$F$5:F263,F264,$BD$5:BD263,1)=0,MAX($CE$5:CE263)+1,""),"")</f>
        <v/>
      </c>
      <c r="CF264" s="80" t="str">
        <f>IF(AND(D264="proMX",BD264=1),IF(OR(BF264="Draft",BF264="Submitted",BF264="Returned",BF264="Recall Requested"),MAX($CF$5:CF263)+1,""),"")</f>
        <v/>
      </c>
      <c r="CG264" s="80">
        <f>IF(BD264=0,0,IF(D264="Malcolm",1,MATCH(BF264,{"Draft","Submitted","Approved","Returned","Recall Requested","Cancelled"},0)+1))</f>
        <v>0</v>
      </c>
      <c r="CH264" s="80">
        <f>IF(AND(BF264="Submitted",ISNUMBER(V264)),IF(V264&gt;CFG_MAXD,1,0),0)</f>
        <v>0</v>
      </c>
    </row>
    <row r="265">
      <c r="A265" s="71" t="str">
        <f>IF(Y265=1,ROW()-5,"")</f>
        <v/>
      </c>
      <c r="B265" s="72" t="n"/>
      <c r="C265" s="71" t="str">
        <f>IF(ISNUMBER(B265),CHOOSE(WEEKDAY(B265,2),"Lun","Mar","Mié","Jue","Vie","Sáb","Dom"),"")</f>
        <v/>
      </c>
      <c r="D265" s="73" t="n"/>
      <c r="E265" s="74" t="n"/>
      <c r="F265" s="74" t="n"/>
      <c r="G265" s="74" t="n"/>
      <c r="H265" s="75" t="n"/>
      <c r="I265" s="75" t="n"/>
      <c r="J265" s="76" t="n"/>
      <c r="K265" s="77" t="str">
        <f>IF(AB265=1,ROUND(AG265/60,4),"")</f>
        <v/>
      </c>
      <c r="L265" s="77" t="str">
        <f>IF(BD265=1,ROUND(AP265/60,4),"")</f>
        <v/>
      </c>
      <c r="M265" s="77" t="str">
        <f>IF(BD265=1,ROUND(AQ265/60,4),"")</f>
        <v/>
      </c>
      <c r="N265" s="71" t="str">
        <f>IF(AND(D265="proMX",AB265=1),ROUND(AG265/CFG_BLK,2),"")</f>
        <v/>
      </c>
      <c r="O265" s="77" t="str">
        <f>IF(D265="proMX",IF(BD265=1,ROUND(AG265/60,4),0),"")</f>
        <v/>
      </c>
      <c r="P265" s="78" t="str">
        <f>IF(Y265=0,"",IF(BD265=1,"OK",IF(D265="proMX","Revisar bloques: ","Revisar: ")&amp;BC265))</f>
        <v/>
      </c>
      <c r="Q265" s="78" t="str">
        <f>IF(NOT(ISNUMBER(B265)),"",IF(COUNTIFS(FER_F,INT(B265))&gt;0,"Feriado"&amp;IF(AH265=1," (laborable)"," (no laborable)"),IF(AH265=1,"Laborable",IF(WEEKDAY(B265,2)&gt;5,"Fin de semana","No laborable"))))</f>
        <v/>
      </c>
      <c r="R265" s="73" t="n"/>
      <c r="S265" s="72" t="n"/>
      <c r="T265" s="72" t="n"/>
      <c r="U265" s="74" t="n"/>
      <c r="V265" s="79" t="str">
        <f>IF(AND(D265="proMX",OR(R265="Submitted",R265="Recall Requested"),ISNUMBER(S265)),CFG_TODAY-INT(S265),"")</f>
        <v/>
      </c>
      <c r="W265" s="78" t="str">
        <f>IF(BD265=0,"",IF(BA265&gt;0,"⚠ Se superpone con un registro de la otra empresa",IF(D265="Malcolm",IF(COUNTA(R265,S265,T265)&gt;0,"Estado/fechas proMX se ignoran en Malcolm",""),IF(BF265="Cancelled","Cancelado: excluido de totales",IF(R265="","Sin estado: se trata como Draft",IF(BF265="Submitted",IF(ISNUMBER(V265),IF(V265&gt;CFG_MAXD,"⚠ "&amp;V265&amp;" días en Submitted (máx. "&amp;CFG_MAXD&amp;")",""),"Falta fecha de envío"),IF(BF265="Returned","⚠ Devuelto: corregir y reenviar",IF(BF265="Recall Requested","Retirada solicitada: pendiente",IF(AND(BF265="Approved",NOT(ISNUMBER(T265))),"Falta fecha de aprobación",IF(AND(ISNUMBER(S265),ISNUMBER(T265),T265&lt;S265),"Aprobación anterior al envío","")))))))))</f>
        <v/>
      </c>
      <c r="Y265" s="80">
        <f>IF(COUNTA(B265,D265,E265,F265,G265,H265,I265,J265,R265,S265,T265)&gt;0,1,0)</f>
        <v>0</v>
      </c>
      <c r="Z265" s="80" t="str">
        <f>IF(AND(ISNUMBER(H265),H265&gt;=0,H265&lt;1),ROUND(H265*1440,0),"")</f>
        <v/>
      </c>
      <c r="AA265" s="80" t="str">
        <f>IF(AND(ISNUMBER(I265),I265&gt;=0,I265&lt;1),ROUND(I265*1440,0),"")</f>
        <v/>
      </c>
      <c r="AB265" s="80">
        <f>IF(AND(ISNUMBER(B265),D265&lt;&gt;"",ISNUMBER(Z265),ISNUMBER(AA265)),IF(Z265=AA265,0,1),0)</f>
        <v>0</v>
      </c>
      <c r="AC265" s="80">
        <f>IF(AB265=1,IF(AA265&lt;Z265,1,0),0)</f>
        <v>0</v>
      </c>
      <c r="AD265" s="80">
        <f>IF(AB265=1,IF(AC265=1,1440-Z265+AA265,AA265-Z265),0)</f>
        <v>0</v>
      </c>
      <c r="AE265" s="80">
        <f>IF(J265="",0,IF(ISNUMBER(J265),J265,-1))</f>
        <v>0</v>
      </c>
      <c r="AF265" s="80">
        <f>MIN(MAX(0,AE265),AD265)</f>
        <v>0</v>
      </c>
      <c r="AG265" s="80">
        <f>MAX(0,AD265-MAX(0,AE265))</f>
        <v>0</v>
      </c>
      <c r="AH265" s="80">
        <f>IF(ISNUMBER(B265),IF(AND(INDEX(CFG_WDAYS,WEEKDAY(INT(B265),2))="Sí",IF(D265="proMX",COUNTIFS(FER_F,INT(B265),FER_NLP,"Sí"),COUNTIFS(FER_F,INT(B265),FER_NLM,"Sí"))=0),1,0),0)</f>
        <v>0</v>
      </c>
      <c r="AI265" s="80">
        <f>IF(AC265=1,IF(AND(INDEX(CFG_WDAYS,WEEKDAY(INT(B265)+1,2))="Sí",IF(D265="proMX",COUNTIFS(FER_F,INT(B265)+1,FER_NLP,"Sí"),COUNTIFS(FER_F,INT(B265)+1,FER_NLM,"Sí"))=0),1,0),0)</f>
        <v>0</v>
      </c>
      <c r="AJ265" s="80">
        <f>IF(AC265=1,1440-Z265,AD265)</f>
        <v>0</v>
      </c>
      <c r="AK265" s="80">
        <f>IF(AND(AB265=1,AH265=1),MAX(0,MIN(IF(AC265=1,1440,AA265),CFG_WEM)-MAX(Z265,CFG_WSM)),0)</f>
        <v>0</v>
      </c>
      <c r="AL265" s="80">
        <f>IF(AND(AC265=1,AI265=1),MAX(0,MIN(AA265,CFG_WEM)-CFG_WSM),0)</f>
        <v>0</v>
      </c>
      <c r="AM265" s="80">
        <f>AK265+AL265</f>
        <v>0</v>
      </c>
      <c r="AN265" s="80">
        <f>IF(CFG_BRK="Proporcional",IF(AD265=0,0,AF265*AM265/AD265),IF(CFG_BRK="Extras primero",MIN(AM265,MAX(0,AF265-(AD265-AM265))),MIN(AF265,AM265)))</f>
        <v>0</v>
      </c>
      <c r="AO265" s="80">
        <f>AF265-AN265</f>
        <v>0</v>
      </c>
      <c r="AP265" s="80">
        <f>AM265-AN265</f>
        <v>0</v>
      </c>
      <c r="AQ265" s="80">
        <f>AD265-AM265-AO265</f>
        <v>0</v>
      </c>
      <c r="AR265" s="80">
        <f>IF(AM265=0,0,AK265-AN265*AK265/AM265)</f>
        <v>0</v>
      </c>
      <c r="AS265" s="80">
        <f>IF(AD265-AM265=0,0,(AJ265-AK265)-AO265*(AJ265-AK265)/(AD265-AM265))</f>
        <v>0</v>
      </c>
      <c r="AT265" s="80" t="str">
        <f>IF(AC265=1,INT(B265)+1,"")</f>
        <v/>
      </c>
      <c r="AU265" s="80">
        <f>IF(AND(D265="proMX",R265="Cancelled"),0,1)</f>
        <v>1</v>
      </c>
      <c r="AV265" s="80">
        <f>IF(AND(AB265=1,AU265=1),IF(COUNTIFS($D$5:D264,D265,$B$5:B264,B265,$Z$5:Z264,Z265,$AA$5:AA264,AA265,$F$5:F264,F265&amp;"",$AU$5:AU264,1)&gt;0,1,0),0)</f>
        <v>0</v>
      </c>
      <c r="AW265" s="80" t="str">
        <f>IF(AB265=1,INT(B265)*1440+Z265,"")</f>
        <v/>
      </c>
      <c r="AX265" s="80" t="str">
        <f>IF(AB265=1,AW265+AD265,"")</f>
        <v/>
      </c>
      <c r="AY265" s="80">
        <f>IF(AND(AB265=1,AV265=0,AU265=1),1,0)</f>
        <v>0</v>
      </c>
      <c r="AZ265" s="80">
        <f>IF(AY265=1,COUNTIFS(R_Emp,D265,R_SAbs,"&lt;"&amp;AX265,R_EAbs,"&gt;"&amp;AW265,R_OKey,1)-1,0)</f>
        <v>0</v>
      </c>
      <c r="BA265" s="80">
        <f>IF(AY265=1,COUNTIFS(R_Emp,"&lt;&gt;"&amp;D265,R_SAbs,"&lt;"&amp;AX265,R_EAbs,"&gt;"&amp;AW265,R_OKey,1),0)</f>
        <v>0</v>
      </c>
      <c r="BB265" s="80">
        <f>IF(AND(AB265=1,D265="proMX"),IF(AND(MOD(Z265,CFG_BLK)=0,MOD(AA265,CFG_BLK)=0,MOD(AG265,CFG_BLK)=0,AG265&gt;0),1,0),1)</f>
        <v>1</v>
      </c>
      <c r="BC265" s="80" t="str">
        <f>IF(Y265=0,"",IF(NOT(ISNUMBER(B265)),"Falta fecha o fecha inválida",IF(D265="","Falta empresa",IF(AND(D265&lt;&gt;"Malcolm",D265&lt;&gt;"proMX"),"Empresa inválida",IF(OR(INT(B265)&lt;CFG_PSTART,INT(B265)&gt;CFG_PEND),"Fecha fuera del período",IF(OR(NOT(ISNUMBER(Z265)),NOT(ISNUMBER(AA265))),"Falta hora inicio/fin o formato inválido",IF(AB265=0,"Hora inicio = hora fin",IF(AE265&lt;0,"Descanso inválido",IF(AE265&gt;=AD265,"Descanso ≥ duración",IF(AV265=1,"Registro duplicado",IF(AZ265&gt;0,"Se superpone con otro registro "&amp;D265,IF(BB265=0,"inicio, fin y duración neta deben ser múltiplos de "&amp;CFG_BLK&amp;" min",""))))))))))))</f>
        <v/>
      </c>
      <c r="BD265" s="80">
        <f>IF(AND(Y265=1,BC265=""),1,0)</f>
        <v>0</v>
      </c>
      <c r="BE265" s="80">
        <f>IF(AND(BD265=1,AU265=1),1,0)</f>
        <v>0</v>
      </c>
      <c r="BF265" s="80" t="str">
        <f>IF(AND(D265="proMX",BD265=1),IF(R265="","Draft",R265),"")</f>
        <v/>
      </c>
      <c r="BG265" s="80">
        <f>IF(BD265=1,ROUND(AG265/60,6),0)</f>
        <v>0</v>
      </c>
      <c r="BH265" s="80">
        <f>IF(BE265=1,ROUND(AG265/60,6),0)</f>
        <v>0</v>
      </c>
      <c r="BI265" s="80">
        <f>IF(BE265=1,ROUND(AP265/60,6),0)</f>
        <v>0</v>
      </c>
      <c r="BJ265" s="80">
        <f>IF(BE265=1,ROUND(AQ265/60,6),0)</f>
        <v>0</v>
      </c>
      <c r="BK265" s="80">
        <f>IF(BE265=1,ROUND((AR265+AS265)/60,6),0)</f>
        <v>0</v>
      </c>
      <c r="BL265" s="80">
        <f>ROUND(BH265-BK265,6)</f>
        <v>0</v>
      </c>
      <c r="BM265" s="80">
        <f>IF(BE265=1,ROUND(AR265/60,6),0)</f>
        <v>0</v>
      </c>
      <c r="BN265" s="80">
        <f>ROUND(BI265-BM265,6)</f>
        <v>0</v>
      </c>
      <c r="BO265" s="80">
        <f>IF(BE265=1,ROUND(AS265/60,6),0)</f>
        <v>0</v>
      </c>
      <c r="BP265" s="80">
        <f>ROUND(BJ265-BO265,6)</f>
        <v>0</v>
      </c>
      <c r="BQ265" s="80">
        <f>IF(BE265=1,AW265,0)</f>
        <v>0</v>
      </c>
      <c r="BR265" s="80">
        <f>IF(BE265=1,AX265,0)</f>
        <v>0</v>
      </c>
      <c r="BS265" s="80">
        <f>IF(AND(BE265=1,D265="Malcolm",BA265&gt;0),MIN(BH265,SUMPRODUCT((R_Emp="proMX")*(R_EN&gt;0)*((R_EN-(R_EN&gt;BR265)*(R_EN-BR265))&gt;(R_SN+(R_SN&lt;BQ265)*(BQ265-R_SN)))*((R_EN-(R_EN&gt;BR265)*(R_EN-BR265))-(R_SN+(R_SN&lt;BQ265)*(BQ265-R_SN))))/60),0)</f>
        <v>0</v>
      </c>
      <c r="BT265" s="80">
        <f>IF(AND(BE265=1,D265="proMX"),ROUND(BI265*CFG_RATE+BJ265*CFG_OTRATE,6),0)</f>
        <v>0</v>
      </c>
      <c r="BU265" s="80">
        <f>IF(AND(BD265=1,D265="proMX"),ROUND(AG265/CFG_BLK,6),0)</f>
        <v>0</v>
      </c>
      <c r="BV265" s="80" t="str">
        <f>IF(BF265="Approved",IF(ISNUMBER(T265),INT(T265),INT(B265)),"")</f>
        <v/>
      </c>
      <c r="BW265" s="80">
        <f>IF(ISNUMBER(B265),IF(DB_MON="Todos",1,IF(AND(INT(B265)&gt;=DB_MS,INT(B265)&lt;=DB_ME),1,0)),0)</f>
        <v>0</v>
      </c>
      <c r="BX265" s="80">
        <f>IF(DB_PROJ="Todos",1,IF(E265&amp;""=DB_PROJ&amp;"",1,0))</f>
        <v>1</v>
      </c>
      <c r="BY265" s="80">
        <f>BW265*BX265</f>
        <v>0</v>
      </c>
      <c r="BZ265" s="80" t="str">
        <f>IF(Y265=1,F265&amp;IF(AND(F265&amp;""&lt;&gt;"",E265&amp;""&lt;&gt;"")," · ","")&amp;E265,"")</f>
        <v/>
      </c>
      <c r="CA265" s="80" t="str">
        <f>IF(AND(BD265=1,E265&amp;""&lt;&gt;""),IF(COUNTIFS($E$5:E264,E265,$BD$5:BD264,1)=0,MAX($CA$5:CA264)+1,""),"")</f>
        <v/>
      </c>
      <c r="CB265" s="80" t="str">
        <f>IF(AND(BE265=1,D265="Malcolm",E265&amp;""&lt;&gt;""),IF(COUNTIFS($D$5:D264,"Malcolm",$E$5:E264,E265,$BE$5:BE264,1)=0,MAX($CB$5:CB264)+1,""),"")</f>
        <v/>
      </c>
      <c r="CC265" s="80" t="str">
        <f>IF(AND(BD265=1,D265="proMX",E265&amp;""&lt;&gt;""),IF(COUNTIFS($D$5:D264,"proMX",$E$5:E264,E265,$BD$5:BD264,1)=0,MAX($CC$5:CC264)+1,""),"")</f>
        <v/>
      </c>
      <c r="CD265" s="80" t="str">
        <f>IF(AND(BE265=1,D265="Malcolm",F265&amp;""&lt;&gt;""),IF(COUNTIFS($D$5:D264,"Malcolm",$F$5:F264,F265,$BE$5:BE264,1)=0,MAX($CD$5:CD264)+1,""),"")</f>
        <v/>
      </c>
      <c r="CE265" s="80" t="str">
        <f>IF(AND(BD265=1,D265="proMX",F265&amp;""&lt;&gt;""),IF(COUNTIFS($D$5:D264,"proMX",$F$5:F264,F265,$BD$5:BD264,1)=0,MAX($CE$5:CE264)+1,""),"")</f>
        <v/>
      </c>
      <c r="CF265" s="80" t="str">
        <f>IF(AND(D265="proMX",BD265=1),IF(OR(BF265="Draft",BF265="Submitted",BF265="Returned",BF265="Recall Requested"),MAX($CF$5:CF264)+1,""),"")</f>
        <v/>
      </c>
      <c r="CG265" s="80">
        <f>IF(BD265=0,0,IF(D265="Malcolm",1,MATCH(BF265,{"Draft","Submitted","Approved","Returned","Recall Requested","Cancelled"},0)+1))</f>
        <v>0</v>
      </c>
      <c r="CH265" s="80">
        <f>IF(AND(BF265="Submitted",ISNUMBER(V265)),IF(V265&gt;CFG_MAXD,1,0),0)</f>
        <v>0</v>
      </c>
    </row>
    <row r="266">
      <c r="A266" s="71" t="str">
        <f>IF(Y266=1,ROW()-5,"")</f>
        <v/>
      </c>
      <c r="B266" s="72" t="n"/>
      <c r="C266" s="71" t="str">
        <f>IF(ISNUMBER(B266),CHOOSE(WEEKDAY(B266,2),"Lun","Mar","Mié","Jue","Vie","Sáb","Dom"),"")</f>
        <v/>
      </c>
      <c r="D266" s="73" t="n"/>
      <c r="E266" s="74" t="n"/>
      <c r="F266" s="74" t="n"/>
      <c r="G266" s="74" t="n"/>
      <c r="H266" s="75" t="n"/>
      <c r="I266" s="75" t="n"/>
      <c r="J266" s="76" t="n"/>
      <c r="K266" s="77" t="str">
        <f>IF(AB266=1,ROUND(AG266/60,4),"")</f>
        <v/>
      </c>
      <c r="L266" s="77" t="str">
        <f>IF(BD266=1,ROUND(AP266/60,4),"")</f>
        <v/>
      </c>
      <c r="M266" s="77" t="str">
        <f>IF(BD266=1,ROUND(AQ266/60,4),"")</f>
        <v/>
      </c>
      <c r="N266" s="71" t="str">
        <f>IF(AND(D266="proMX",AB266=1),ROUND(AG266/CFG_BLK,2),"")</f>
        <v/>
      </c>
      <c r="O266" s="77" t="str">
        <f>IF(D266="proMX",IF(BD266=1,ROUND(AG266/60,4),0),"")</f>
        <v/>
      </c>
      <c r="P266" s="78" t="str">
        <f>IF(Y266=0,"",IF(BD266=1,"OK",IF(D266="proMX","Revisar bloques: ","Revisar: ")&amp;BC266))</f>
        <v/>
      </c>
      <c r="Q266" s="78" t="str">
        <f>IF(NOT(ISNUMBER(B266)),"",IF(COUNTIFS(FER_F,INT(B266))&gt;0,"Feriado"&amp;IF(AH266=1," (laborable)"," (no laborable)"),IF(AH266=1,"Laborable",IF(WEEKDAY(B266,2)&gt;5,"Fin de semana","No laborable"))))</f>
        <v/>
      </c>
      <c r="R266" s="73" t="n"/>
      <c r="S266" s="72" t="n"/>
      <c r="T266" s="72" t="n"/>
      <c r="U266" s="74" t="n"/>
      <c r="V266" s="79" t="str">
        <f>IF(AND(D266="proMX",OR(R266="Submitted",R266="Recall Requested"),ISNUMBER(S266)),CFG_TODAY-INT(S266),"")</f>
        <v/>
      </c>
      <c r="W266" s="78" t="str">
        <f>IF(BD266=0,"",IF(BA266&gt;0,"⚠ Se superpone con un registro de la otra empresa",IF(D266="Malcolm",IF(COUNTA(R266,S266,T266)&gt;0,"Estado/fechas proMX se ignoran en Malcolm",""),IF(BF266="Cancelled","Cancelado: excluido de totales",IF(R266="","Sin estado: se trata como Draft",IF(BF266="Submitted",IF(ISNUMBER(V266),IF(V266&gt;CFG_MAXD,"⚠ "&amp;V266&amp;" días en Submitted (máx. "&amp;CFG_MAXD&amp;")",""),"Falta fecha de envío"),IF(BF266="Returned","⚠ Devuelto: corregir y reenviar",IF(BF266="Recall Requested","Retirada solicitada: pendiente",IF(AND(BF266="Approved",NOT(ISNUMBER(T266))),"Falta fecha de aprobación",IF(AND(ISNUMBER(S266),ISNUMBER(T266),T266&lt;S266),"Aprobación anterior al envío","")))))))))</f>
        <v/>
      </c>
      <c r="Y266" s="80">
        <f>IF(COUNTA(B266,D266,E266,F266,G266,H266,I266,J266,R266,S266,T266)&gt;0,1,0)</f>
        <v>0</v>
      </c>
      <c r="Z266" s="80" t="str">
        <f>IF(AND(ISNUMBER(H266),H266&gt;=0,H266&lt;1),ROUND(H266*1440,0),"")</f>
        <v/>
      </c>
      <c r="AA266" s="80" t="str">
        <f>IF(AND(ISNUMBER(I266),I266&gt;=0,I266&lt;1),ROUND(I266*1440,0),"")</f>
        <v/>
      </c>
      <c r="AB266" s="80">
        <f>IF(AND(ISNUMBER(B266),D266&lt;&gt;"",ISNUMBER(Z266),ISNUMBER(AA266)),IF(Z266=AA266,0,1),0)</f>
        <v>0</v>
      </c>
      <c r="AC266" s="80">
        <f>IF(AB266=1,IF(AA266&lt;Z266,1,0),0)</f>
        <v>0</v>
      </c>
      <c r="AD266" s="80">
        <f>IF(AB266=1,IF(AC266=1,1440-Z266+AA266,AA266-Z266),0)</f>
        <v>0</v>
      </c>
      <c r="AE266" s="80">
        <f>IF(J266="",0,IF(ISNUMBER(J266),J266,-1))</f>
        <v>0</v>
      </c>
      <c r="AF266" s="80">
        <f>MIN(MAX(0,AE266),AD266)</f>
        <v>0</v>
      </c>
      <c r="AG266" s="80">
        <f>MAX(0,AD266-MAX(0,AE266))</f>
        <v>0</v>
      </c>
      <c r="AH266" s="80">
        <f>IF(ISNUMBER(B266),IF(AND(INDEX(CFG_WDAYS,WEEKDAY(INT(B266),2))="Sí",IF(D266="proMX",COUNTIFS(FER_F,INT(B266),FER_NLP,"Sí"),COUNTIFS(FER_F,INT(B266),FER_NLM,"Sí"))=0),1,0),0)</f>
        <v>0</v>
      </c>
      <c r="AI266" s="80">
        <f>IF(AC266=1,IF(AND(INDEX(CFG_WDAYS,WEEKDAY(INT(B266)+1,2))="Sí",IF(D266="proMX",COUNTIFS(FER_F,INT(B266)+1,FER_NLP,"Sí"),COUNTIFS(FER_F,INT(B266)+1,FER_NLM,"Sí"))=0),1,0),0)</f>
        <v>0</v>
      </c>
      <c r="AJ266" s="80">
        <f>IF(AC266=1,1440-Z266,AD266)</f>
        <v>0</v>
      </c>
      <c r="AK266" s="80">
        <f>IF(AND(AB266=1,AH266=1),MAX(0,MIN(IF(AC266=1,1440,AA266),CFG_WEM)-MAX(Z266,CFG_WSM)),0)</f>
        <v>0</v>
      </c>
      <c r="AL266" s="80">
        <f>IF(AND(AC266=1,AI266=1),MAX(0,MIN(AA266,CFG_WEM)-CFG_WSM),0)</f>
        <v>0</v>
      </c>
      <c r="AM266" s="80">
        <f>AK266+AL266</f>
        <v>0</v>
      </c>
      <c r="AN266" s="80">
        <f>IF(CFG_BRK="Proporcional",IF(AD266=0,0,AF266*AM266/AD266),IF(CFG_BRK="Extras primero",MIN(AM266,MAX(0,AF266-(AD266-AM266))),MIN(AF266,AM266)))</f>
        <v>0</v>
      </c>
      <c r="AO266" s="80">
        <f>AF266-AN266</f>
        <v>0</v>
      </c>
      <c r="AP266" s="80">
        <f>AM266-AN266</f>
        <v>0</v>
      </c>
      <c r="AQ266" s="80">
        <f>AD266-AM266-AO266</f>
        <v>0</v>
      </c>
      <c r="AR266" s="80">
        <f>IF(AM266=0,0,AK266-AN266*AK266/AM266)</f>
        <v>0</v>
      </c>
      <c r="AS266" s="80">
        <f>IF(AD266-AM266=0,0,(AJ266-AK266)-AO266*(AJ266-AK266)/(AD266-AM266))</f>
        <v>0</v>
      </c>
      <c r="AT266" s="80" t="str">
        <f>IF(AC266=1,INT(B266)+1,"")</f>
        <v/>
      </c>
      <c r="AU266" s="80">
        <f>IF(AND(D266="proMX",R266="Cancelled"),0,1)</f>
        <v>1</v>
      </c>
      <c r="AV266" s="80">
        <f>IF(AND(AB266=1,AU266=1),IF(COUNTIFS($D$5:D265,D266,$B$5:B265,B266,$Z$5:Z265,Z266,$AA$5:AA265,AA266,$F$5:F265,F266&amp;"",$AU$5:AU265,1)&gt;0,1,0),0)</f>
        <v>0</v>
      </c>
      <c r="AW266" s="80" t="str">
        <f>IF(AB266=1,INT(B266)*1440+Z266,"")</f>
        <v/>
      </c>
      <c r="AX266" s="80" t="str">
        <f>IF(AB266=1,AW266+AD266,"")</f>
        <v/>
      </c>
      <c r="AY266" s="80">
        <f>IF(AND(AB266=1,AV266=0,AU266=1),1,0)</f>
        <v>0</v>
      </c>
      <c r="AZ266" s="80">
        <f>IF(AY266=1,COUNTIFS(R_Emp,D266,R_SAbs,"&lt;"&amp;AX266,R_EAbs,"&gt;"&amp;AW266,R_OKey,1)-1,0)</f>
        <v>0</v>
      </c>
      <c r="BA266" s="80">
        <f>IF(AY266=1,COUNTIFS(R_Emp,"&lt;&gt;"&amp;D266,R_SAbs,"&lt;"&amp;AX266,R_EAbs,"&gt;"&amp;AW266,R_OKey,1),0)</f>
        <v>0</v>
      </c>
      <c r="BB266" s="80">
        <f>IF(AND(AB266=1,D266="proMX"),IF(AND(MOD(Z266,CFG_BLK)=0,MOD(AA266,CFG_BLK)=0,MOD(AG266,CFG_BLK)=0,AG266&gt;0),1,0),1)</f>
        <v>1</v>
      </c>
      <c r="BC266" s="80" t="str">
        <f>IF(Y266=0,"",IF(NOT(ISNUMBER(B266)),"Falta fecha o fecha inválida",IF(D266="","Falta empresa",IF(AND(D266&lt;&gt;"Malcolm",D266&lt;&gt;"proMX"),"Empresa inválida",IF(OR(INT(B266)&lt;CFG_PSTART,INT(B266)&gt;CFG_PEND),"Fecha fuera del período",IF(OR(NOT(ISNUMBER(Z266)),NOT(ISNUMBER(AA266))),"Falta hora inicio/fin o formato inválido",IF(AB266=0,"Hora inicio = hora fin",IF(AE266&lt;0,"Descanso inválido",IF(AE266&gt;=AD266,"Descanso ≥ duración",IF(AV266=1,"Registro duplicado",IF(AZ266&gt;0,"Se superpone con otro registro "&amp;D266,IF(BB266=0,"inicio, fin y duración neta deben ser múltiplos de "&amp;CFG_BLK&amp;" min",""))))))))))))</f>
        <v/>
      </c>
      <c r="BD266" s="80">
        <f>IF(AND(Y266=1,BC266=""),1,0)</f>
        <v>0</v>
      </c>
      <c r="BE266" s="80">
        <f>IF(AND(BD266=1,AU266=1),1,0)</f>
        <v>0</v>
      </c>
      <c r="BF266" s="80" t="str">
        <f>IF(AND(D266="proMX",BD266=1),IF(R266="","Draft",R266),"")</f>
        <v/>
      </c>
      <c r="BG266" s="80">
        <f>IF(BD266=1,ROUND(AG266/60,6),0)</f>
        <v>0</v>
      </c>
      <c r="BH266" s="80">
        <f>IF(BE266=1,ROUND(AG266/60,6),0)</f>
        <v>0</v>
      </c>
      <c r="BI266" s="80">
        <f>IF(BE266=1,ROUND(AP266/60,6),0)</f>
        <v>0</v>
      </c>
      <c r="BJ266" s="80">
        <f>IF(BE266=1,ROUND(AQ266/60,6),0)</f>
        <v>0</v>
      </c>
      <c r="BK266" s="80">
        <f>IF(BE266=1,ROUND((AR266+AS266)/60,6),0)</f>
        <v>0</v>
      </c>
      <c r="BL266" s="80">
        <f>ROUND(BH266-BK266,6)</f>
        <v>0</v>
      </c>
      <c r="BM266" s="80">
        <f>IF(BE266=1,ROUND(AR266/60,6),0)</f>
        <v>0</v>
      </c>
      <c r="BN266" s="80">
        <f>ROUND(BI266-BM266,6)</f>
        <v>0</v>
      </c>
      <c r="BO266" s="80">
        <f>IF(BE266=1,ROUND(AS266/60,6),0)</f>
        <v>0</v>
      </c>
      <c r="BP266" s="80">
        <f>ROUND(BJ266-BO266,6)</f>
        <v>0</v>
      </c>
      <c r="BQ266" s="80">
        <f>IF(BE266=1,AW266,0)</f>
        <v>0</v>
      </c>
      <c r="BR266" s="80">
        <f>IF(BE266=1,AX266,0)</f>
        <v>0</v>
      </c>
      <c r="BS266" s="80">
        <f>IF(AND(BE266=1,D266="Malcolm",BA266&gt;0),MIN(BH266,SUMPRODUCT((R_Emp="proMX")*(R_EN&gt;0)*((R_EN-(R_EN&gt;BR266)*(R_EN-BR266))&gt;(R_SN+(R_SN&lt;BQ266)*(BQ266-R_SN)))*((R_EN-(R_EN&gt;BR266)*(R_EN-BR266))-(R_SN+(R_SN&lt;BQ266)*(BQ266-R_SN))))/60),0)</f>
        <v>0</v>
      </c>
      <c r="BT266" s="80">
        <f>IF(AND(BE266=1,D266="proMX"),ROUND(BI266*CFG_RATE+BJ266*CFG_OTRATE,6),0)</f>
        <v>0</v>
      </c>
      <c r="BU266" s="80">
        <f>IF(AND(BD266=1,D266="proMX"),ROUND(AG266/CFG_BLK,6),0)</f>
        <v>0</v>
      </c>
      <c r="BV266" s="80" t="str">
        <f>IF(BF266="Approved",IF(ISNUMBER(T266),INT(T266),INT(B266)),"")</f>
        <v/>
      </c>
      <c r="BW266" s="80">
        <f>IF(ISNUMBER(B266),IF(DB_MON="Todos",1,IF(AND(INT(B266)&gt;=DB_MS,INT(B266)&lt;=DB_ME),1,0)),0)</f>
        <v>0</v>
      </c>
      <c r="BX266" s="80">
        <f>IF(DB_PROJ="Todos",1,IF(E266&amp;""=DB_PROJ&amp;"",1,0))</f>
        <v>1</v>
      </c>
      <c r="BY266" s="80">
        <f>BW266*BX266</f>
        <v>0</v>
      </c>
      <c r="BZ266" s="80" t="str">
        <f>IF(Y266=1,F266&amp;IF(AND(F266&amp;""&lt;&gt;"",E266&amp;""&lt;&gt;"")," · ","")&amp;E266,"")</f>
        <v/>
      </c>
      <c r="CA266" s="80" t="str">
        <f>IF(AND(BD266=1,E266&amp;""&lt;&gt;""),IF(COUNTIFS($E$5:E265,E266,$BD$5:BD265,1)=0,MAX($CA$5:CA265)+1,""),"")</f>
        <v/>
      </c>
      <c r="CB266" s="80" t="str">
        <f>IF(AND(BE266=1,D266="Malcolm",E266&amp;""&lt;&gt;""),IF(COUNTIFS($D$5:D265,"Malcolm",$E$5:E265,E266,$BE$5:BE265,1)=0,MAX($CB$5:CB265)+1,""),"")</f>
        <v/>
      </c>
      <c r="CC266" s="80" t="str">
        <f>IF(AND(BD266=1,D266="proMX",E266&amp;""&lt;&gt;""),IF(COUNTIFS($D$5:D265,"proMX",$E$5:E265,E266,$BD$5:BD265,1)=0,MAX($CC$5:CC265)+1,""),"")</f>
        <v/>
      </c>
      <c r="CD266" s="80" t="str">
        <f>IF(AND(BE266=1,D266="Malcolm",F266&amp;""&lt;&gt;""),IF(COUNTIFS($D$5:D265,"Malcolm",$F$5:F265,F266,$BE$5:BE265,1)=0,MAX($CD$5:CD265)+1,""),"")</f>
        <v/>
      </c>
      <c r="CE266" s="80" t="str">
        <f>IF(AND(BD266=1,D266="proMX",F266&amp;""&lt;&gt;""),IF(COUNTIFS($D$5:D265,"proMX",$F$5:F265,F266,$BD$5:BD265,1)=0,MAX($CE$5:CE265)+1,""),"")</f>
        <v/>
      </c>
      <c r="CF266" s="80" t="str">
        <f>IF(AND(D266="proMX",BD266=1),IF(OR(BF266="Draft",BF266="Submitted",BF266="Returned",BF266="Recall Requested"),MAX($CF$5:CF265)+1,""),"")</f>
        <v/>
      </c>
      <c r="CG266" s="80">
        <f>IF(BD266=0,0,IF(D266="Malcolm",1,MATCH(BF266,{"Draft","Submitted","Approved","Returned","Recall Requested","Cancelled"},0)+1))</f>
        <v>0</v>
      </c>
      <c r="CH266" s="80">
        <f>IF(AND(BF266="Submitted",ISNUMBER(V266)),IF(V266&gt;CFG_MAXD,1,0),0)</f>
        <v>0</v>
      </c>
    </row>
    <row r="267">
      <c r="A267" s="71" t="str">
        <f>IF(Y267=1,ROW()-5,"")</f>
        <v/>
      </c>
      <c r="B267" s="72" t="n"/>
      <c r="C267" s="71" t="str">
        <f>IF(ISNUMBER(B267),CHOOSE(WEEKDAY(B267,2),"Lun","Mar","Mié","Jue","Vie","Sáb","Dom"),"")</f>
        <v/>
      </c>
      <c r="D267" s="73" t="n"/>
      <c r="E267" s="74" t="n"/>
      <c r="F267" s="74" t="n"/>
      <c r="G267" s="74" t="n"/>
      <c r="H267" s="75" t="n"/>
      <c r="I267" s="75" t="n"/>
      <c r="J267" s="76" t="n"/>
      <c r="K267" s="77" t="str">
        <f>IF(AB267=1,ROUND(AG267/60,4),"")</f>
        <v/>
      </c>
      <c r="L267" s="77" t="str">
        <f>IF(BD267=1,ROUND(AP267/60,4),"")</f>
        <v/>
      </c>
      <c r="M267" s="77" t="str">
        <f>IF(BD267=1,ROUND(AQ267/60,4),"")</f>
        <v/>
      </c>
      <c r="N267" s="71" t="str">
        <f>IF(AND(D267="proMX",AB267=1),ROUND(AG267/CFG_BLK,2),"")</f>
        <v/>
      </c>
      <c r="O267" s="77" t="str">
        <f>IF(D267="proMX",IF(BD267=1,ROUND(AG267/60,4),0),"")</f>
        <v/>
      </c>
      <c r="P267" s="78" t="str">
        <f>IF(Y267=0,"",IF(BD267=1,"OK",IF(D267="proMX","Revisar bloques: ","Revisar: ")&amp;BC267))</f>
        <v/>
      </c>
      <c r="Q267" s="78" t="str">
        <f>IF(NOT(ISNUMBER(B267)),"",IF(COUNTIFS(FER_F,INT(B267))&gt;0,"Feriado"&amp;IF(AH267=1," (laborable)"," (no laborable)"),IF(AH267=1,"Laborable",IF(WEEKDAY(B267,2)&gt;5,"Fin de semana","No laborable"))))</f>
        <v/>
      </c>
      <c r="R267" s="73" t="n"/>
      <c r="S267" s="72" t="n"/>
      <c r="T267" s="72" t="n"/>
      <c r="U267" s="74" t="n"/>
      <c r="V267" s="79" t="str">
        <f>IF(AND(D267="proMX",OR(R267="Submitted",R267="Recall Requested"),ISNUMBER(S267)),CFG_TODAY-INT(S267),"")</f>
        <v/>
      </c>
      <c r="W267" s="78" t="str">
        <f>IF(BD267=0,"",IF(BA267&gt;0,"⚠ Se superpone con un registro de la otra empresa",IF(D267="Malcolm",IF(COUNTA(R267,S267,T267)&gt;0,"Estado/fechas proMX se ignoran en Malcolm",""),IF(BF267="Cancelled","Cancelado: excluido de totales",IF(R267="","Sin estado: se trata como Draft",IF(BF267="Submitted",IF(ISNUMBER(V267),IF(V267&gt;CFG_MAXD,"⚠ "&amp;V267&amp;" días en Submitted (máx. "&amp;CFG_MAXD&amp;")",""),"Falta fecha de envío"),IF(BF267="Returned","⚠ Devuelto: corregir y reenviar",IF(BF267="Recall Requested","Retirada solicitada: pendiente",IF(AND(BF267="Approved",NOT(ISNUMBER(T267))),"Falta fecha de aprobación",IF(AND(ISNUMBER(S267),ISNUMBER(T267),T267&lt;S267),"Aprobación anterior al envío","")))))))))</f>
        <v/>
      </c>
      <c r="Y267" s="80">
        <f>IF(COUNTA(B267,D267,E267,F267,G267,H267,I267,J267,R267,S267,T267)&gt;0,1,0)</f>
        <v>0</v>
      </c>
      <c r="Z267" s="80" t="str">
        <f>IF(AND(ISNUMBER(H267),H267&gt;=0,H267&lt;1),ROUND(H267*1440,0),"")</f>
        <v/>
      </c>
      <c r="AA267" s="80" t="str">
        <f>IF(AND(ISNUMBER(I267),I267&gt;=0,I267&lt;1),ROUND(I267*1440,0),"")</f>
        <v/>
      </c>
      <c r="AB267" s="80">
        <f>IF(AND(ISNUMBER(B267),D267&lt;&gt;"",ISNUMBER(Z267),ISNUMBER(AA267)),IF(Z267=AA267,0,1),0)</f>
        <v>0</v>
      </c>
      <c r="AC267" s="80">
        <f>IF(AB267=1,IF(AA267&lt;Z267,1,0),0)</f>
        <v>0</v>
      </c>
      <c r="AD267" s="80">
        <f>IF(AB267=1,IF(AC267=1,1440-Z267+AA267,AA267-Z267),0)</f>
        <v>0</v>
      </c>
      <c r="AE267" s="80">
        <f>IF(J267="",0,IF(ISNUMBER(J267),J267,-1))</f>
        <v>0</v>
      </c>
      <c r="AF267" s="80">
        <f>MIN(MAX(0,AE267),AD267)</f>
        <v>0</v>
      </c>
      <c r="AG267" s="80">
        <f>MAX(0,AD267-MAX(0,AE267))</f>
        <v>0</v>
      </c>
      <c r="AH267" s="80">
        <f>IF(ISNUMBER(B267),IF(AND(INDEX(CFG_WDAYS,WEEKDAY(INT(B267),2))="Sí",IF(D267="proMX",COUNTIFS(FER_F,INT(B267),FER_NLP,"Sí"),COUNTIFS(FER_F,INT(B267),FER_NLM,"Sí"))=0),1,0),0)</f>
        <v>0</v>
      </c>
      <c r="AI267" s="80">
        <f>IF(AC267=1,IF(AND(INDEX(CFG_WDAYS,WEEKDAY(INT(B267)+1,2))="Sí",IF(D267="proMX",COUNTIFS(FER_F,INT(B267)+1,FER_NLP,"Sí"),COUNTIFS(FER_F,INT(B267)+1,FER_NLM,"Sí"))=0),1,0),0)</f>
        <v>0</v>
      </c>
      <c r="AJ267" s="80">
        <f>IF(AC267=1,1440-Z267,AD267)</f>
        <v>0</v>
      </c>
      <c r="AK267" s="80">
        <f>IF(AND(AB267=1,AH267=1),MAX(0,MIN(IF(AC267=1,1440,AA267),CFG_WEM)-MAX(Z267,CFG_WSM)),0)</f>
        <v>0</v>
      </c>
      <c r="AL267" s="80">
        <f>IF(AND(AC267=1,AI267=1),MAX(0,MIN(AA267,CFG_WEM)-CFG_WSM),0)</f>
        <v>0</v>
      </c>
      <c r="AM267" s="80">
        <f>AK267+AL267</f>
        <v>0</v>
      </c>
      <c r="AN267" s="80">
        <f>IF(CFG_BRK="Proporcional",IF(AD267=0,0,AF267*AM267/AD267),IF(CFG_BRK="Extras primero",MIN(AM267,MAX(0,AF267-(AD267-AM267))),MIN(AF267,AM267)))</f>
        <v>0</v>
      </c>
      <c r="AO267" s="80">
        <f>AF267-AN267</f>
        <v>0</v>
      </c>
      <c r="AP267" s="80">
        <f>AM267-AN267</f>
        <v>0</v>
      </c>
      <c r="AQ267" s="80">
        <f>AD267-AM267-AO267</f>
        <v>0</v>
      </c>
      <c r="AR267" s="80">
        <f>IF(AM267=0,0,AK267-AN267*AK267/AM267)</f>
        <v>0</v>
      </c>
      <c r="AS267" s="80">
        <f>IF(AD267-AM267=0,0,(AJ267-AK267)-AO267*(AJ267-AK267)/(AD267-AM267))</f>
        <v>0</v>
      </c>
      <c r="AT267" s="80" t="str">
        <f>IF(AC267=1,INT(B267)+1,"")</f>
        <v/>
      </c>
      <c r="AU267" s="80">
        <f>IF(AND(D267="proMX",R267="Cancelled"),0,1)</f>
        <v>1</v>
      </c>
      <c r="AV267" s="80">
        <f>IF(AND(AB267=1,AU267=1),IF(COUNTIFS($D$5:D266,D267,$B$5:B266,B267,$Z$5:Z266,Z267,$AA$5:AA266,AA267,$F$5:F266,F267&amp;"",$AU$5:AU266,1)&gt;0,1,0),0)</f>
        <v>0</v>
      </c>
      <c r="AW267" s="80" t="str">
        <f>IF(AB267=1,INT(B267)*1440+Z267,"")</f>
        <v/>
      </c>
      <c r="AX267" s="80" t="str">
        <f>IF(AB267=1,AW267+AD267,"")</f>
        <v/>
      </c>
      <c r="AY267" s="80">
        <f>IF(AND(AB267=1,AV267=0,AU267=1),1,0)</f>
        <v>0</v>
      </c>
      <c r="AZ267" s="80">
        <f>IF(AY267=1,COUNTIFS(R_Emp,D267,R_SAbs,"&lt;"&amp;AX267,R_EAbs,"&gt;"&amp;AW267,R_OKey,1)-1,0)</f>
        <v>0</v>
      </c>
      <c r="BA267" s="80">
        <f>IF(AY267=1,COUNTIFS(R_Emp,"&lt;&gt;"&amp;D267,R_SAbs,"&lt;"&amp;AX267,R_EAbs,"&gt;"&amp;AW267,R_OKey,1),0)</f>
        <v>0</v>
      </c>
      <c r="BB267" s="80">
        <f>IF(AND(AB267=1,D267="proMX"),IF(AND(MOD(Z267,CFG_BLK)=0,MOD(AA267,CFG_BLK)=0,MOD(AG267,CFG_BLK)=0,AG267&gt;0),1,0),1)</f>
        <v>1</v>
      </c>
      <c r="BC267" s="80" t="str">
        <f>IF(Y267=0,"",IF(NOT(ISNUMBER(B267)),"Falta fecha o fecha inválida",IF(D267="","Falta empresa",IF(AND(D267&lt;&gt;"Malcolm",D267&lt;&gt;"proMX"),"Empresa inválida",IF(OR(INT(B267)&lt;CFG_PSTART,INT(B267)&gt;CFG_PEND),"Fecha fuera del período",IF(OR(NOT(ISNUMBER(Z267)),NOT(ISNUMBER(AA267))),"Falta hora inicio/fin o formato inválido",IF(AB267=0,"Hora inicio = hora fin",IF(AE267&lt;0,"Descanso inválido",IF(AE267&gt;=AD267,"Descanso ≥ duración",IF(AV267=1,"Registro duplicado",IF(AZ267&gt;0,"Se superpone con otro registro "&amp;D267,IF(BB267=0,"inicio, fin y duración neta deben ser múltiplos de "&amp;CFG_BLK&amp;" min",""))))))))))))</f>
        <v/>
      </c>
      <c r="BD267" s="80">
        <f>IF(AND(Y267=1,BC267=""),1,0)</f>
        <v>0</v>
      </c>
      <c r="BE267" s="80">
        <f>IF(AND(BD267=1,AU267=1),1,0)</f>
        <v>0</v>
      </c>
      <c r="BF267" s="80" t="str">
        <f>IF(AND(D267="proMX",BD267=1),IF(R267="","Draft",R267),"")</f>
        <v/>
      </c>
      <c r="BG267" s="80">
        <f>IF(BD267=1,ROUND(AG267/60,6),0)</f>
        <v>0</v>
      </c>
      <c r="BH267" s="80">
        <f>IF(BE267=1,ROUND(AG267/60,6),0)</f>
        <v>0</v>
      </c>
      <c r="BI267" s="80">
        <f>IF(BE267=1,ROUND(AP267/60,6),0)</f>
        <v>0</v>
      </c>
      <c r="BJ267" s="80">
        <f>IF(BE267=1,ROUND(AQ267/60,6),0)</f>
        <v>0</v>
      </c>
      <c r="BK267" s="80">
        <f>IF(BE267=1,ROUND((AR267+AS267)/60,6),0)</f>
        <v>0</v>
      </c>
      <c r="BL267" s="80">
        <f>ROUND(BH267-BK267,6)</f>
        <v>0</v>
      </c>
      <c r="BM267" s="80">
        <f>IF(BE267=1,ROUND(AR267/60,6),0)</f>
        <v>0</v>
      </c>
      <c r="BN267" s="80">
        <f>ROUND(BI267-BM267,6)</f>
        <v>0</v>
      </c>
      <c r="BO267" s="80">
        <f>IF(BE267=1,ROUND(AS267/60,6),0)</f>
        <v>0</v>
      </c>
      <c r="BP267" s="80">
        <f>ROUND(BJ267-BO267,6)</f>
        <v>0</v>
      </c>
      <c r="BQ267" s="80">
        <f>IF(BE267=1,AW267,0)</f>
        <v>0</v>
      </c>
      <c r="BR267" s="80">
        <f>IF(BE267=1,AX267,0)</f>
        <v>0</v>
      </c>
      <c r="BS267" s="80">
        <f>IF(AND(BE267=1,D267="Malcolm",BA267&gt;0),MIN(BH267,SUMPRODUCT((R_Emp="proMX")*(R_EN&gt;0)*((R_EN-(R_EN&gt;BR267)*(R_EN-BR267))&gt;(R_SN+(R_SN&lt;BQ267)*(BQ267-R_SN)))*((R_EN-(R_EN&gt;BR267)*(R_EN-BR267))-(R_SN+(R_SN&lt;BQ267)*(BQ267-R_SN))))/60),0)</f>
        <v>0</v>
      </c>
      <c r="BT267" s="80">
        <f>IF(AND(BE267=1,D267="proMX"),ROUND(BI267*CFG_RATE+BJ267*CFG_OTRATE,6),0)</f>
        <v>0</v>
      </c>
      <c r="BU267" s="80">
        <f>IF(AND(BD267=1,D267="proMX"),ROUND(AG267/CFG_BLK,6),0)</f>
        <v>0</v>
      </c>
      <c r="BV267" s="80" t="str">
        <f>IF(BF267="Approved",IF(ISNUMBER(T267),INT(T267),INT(B267)),"")</f>
        <v/>
      </c>
      <c r="BW267" s="80">
        <f>IF(ISNUMBER(B267),IF(DB_MON="Todos",1,IF(AND(INT(B267)&gt;=DB_MS,INT(B267)&lt;=DB_ME),1,0)),0)</f>
        <v>0</v>
      </c>
      <c r="BX267" s="80">
        <f>IF(DB_PROJ="Todos",1,IF(E267&amp;""=DB_PROJ&amp;"",1,0))</f>
        <v>1</v>
      </c>
      <c r="BY267" s="80">
        <f>BW267*BX267</f>
        <v>0</v>
      </c>
      <c r="BZ267" s="80" t="str">
        <f>IF(Y267=1,F267&amp;IF(AND(F267&amp;""&lt;&gt;"",E267&amp;""&lt;&gt;"")," · ","")&amp;E267,"")</f>
        <v/>
      </c>
      <c r="CA267" s="80" t="str">
        <f>IF(AND(BD267=1,E267&amp;""&lt;&gt;""),IF(COUNTIFS($E$5:E266,E267,$BD$5:BD266,1)=0,MAX($CA$5:CA266)+1,""),"")</f>
        <v/>
      </c>
      <c r="CB267" s="80" t="str">
        <f>IF(AND(BE267=1,D267="Malcolm",E267&amp;""&lt;&gt;""),IF(COUNTIFS($D$5:D266,"Malcolm",$E$5:E266,E267,$BE$5:BE266,1)=0,MAX($CB$5:CB266)+1,""),"")</f>
        <v/>
      </c>
      <c r="CC267" s="80" t="str">
        <f>IF(AND(BD267=1,D267="proMX",E267&amp;""&lt;&gt;""),IF(COUNTIFS($D$5:D266,"proMX",$E$5:E266,E267,$BD$5:BD266,1)=0,MAX($CC$5:CC266)+1,""),"")</f>
        <v/>
      </c>
      <c r="CD267" s="80" t="str">
        <f>IF(AND(BE267=1,D267="Malcolm",F267&amp;""&lt;&gt;""),IF(COUNTIFS($D$5:D266,"Malcolm",$F$5:F266,F267,$BE$5:BE266,1)=0,MAX($CD$5:CD266)+1,""),"")</f>
        <v/>
      </c>
      <c r="CE267" s="80" t="str">
        <f>IF(AND(BD267=1,D267="proMX",F267&amp;""&lt;&gt;""),IF(COUNTIFS($D$5:D266,"proMX",$F$5:F266,F267,$BD$5:BD266,1)=0,MAX($CE$5:CE266)+1,""),"")</f>
        <v/>
      </c>
      <c r="CF267" s="80" t="str">
        <f>IF(AND(D267="proMX",BD267=1),IF(OR(BF267="Draft",BF267="Submitted",BF267="Returned",BF267="Recall Requested"),MAX($CF$5:CF266)+1,""),"")</f>
        <v/>
      </c>
      <c r="CG267" s="80">
        <f>IF(BD267=0,0,IF(D267="Malcolm",1,MATCH(BF267,{"Draft","Submitted","Approved","Returned","Recall Requested","Cancelled"},0)+1))</f>
        <v>0</v>
      </c>
      <c r="CH267" s="80">
        <f>IF(AND(BF267="Submitted",ISNUMBER(V267)),IF(V267&gt;CFG_MAXD,1,0),0)</f>
        <v>0</v>
      </c>
    </row>
    <row r="268">
      <c r="A268" s="71" t="str">
        <f>IF(Y268=1,ROW()-5,"")</f>
        <v/>
      </c>
      <c r="B268" s="72" t="n"/>
      <c r="C268" s="71" t="str">
        <f>IF(ISNUMBER(B268),CHOOSE(WEEKDAY(B268,2),"Lun","Mar","Mié","Jue","Vie","Sáb","Dom"),"")</f>
        <v/>
      </c>
      <c r="D268" s="73" t="n"/>
      <c r="E268" s="74" t="n"/>
      <c r="F268" s="74" t="n"/>
      <c r="G268" s="74" t="n"/>
      <c r="H268" s="75" t="n"/>
      <c r="I268" s="75" t="n"/>
      <c r="J268" s="76" t="n"/>
      <c r="K268" s="77" t="str">
        <f>IF(AB268=1,ROUND(AG268/60,4),"")</f>
        <v/>
      </c>
      <c r="L268" s="77" t="str">
        <f>IF(BD268=1,ROUND(AP268/60,4),"")</f>
        <v/>
      </c>
      <c r="M268" s="77" t="str">
        <f>IF(BD268=1,ROUND(AQ268/60,4),"")</f>
        <v/>
      </c>
      <c r="N268" s="71" t="str">
        <f>IF(AND(D268="proMX",AB268=1),ROUND(AG268/CFG_BLK,2),"")</f>
        <v/>
      </c>
      <c r="O268" s="77" t="str">
        <f>IF(D268="proMX",IF(BD268=1,ROUND(AG268/60,4),0),"")</f>
        <v/>
      </c>
      <c r="P268" s="78" t="str">
        <f>IF(Y268=0,"",IF(BD268=1,"OK",IF(D268="proMX","Revisar bloques: ","Revisar: ")&amp;BC268))</f>
        <v/>
      </c>
      <c r="Q268" s="78" t="str">
        <f>IF(NOT(ISNUMBER(B268)),"",IF(COUNTIFS(FER_F,INT(B268))&gt;0,"Feriado"&amp;IF(AH268=1," (laborable)"," (no laborable)"),IF(AH268=1,"Laborable",IF(WEEKDAY(B268,2)&gt;5,"Fin de semana","No laborable"))))</f>
        <v/>
      </c>
      <c r="R268" s="73" t="n"/>
      <c r="S268" s="72" t="n"/>
      <c r="T268" s="72" t="n"/>
      <c r="U268" s="74" t="n"/>
      <c r="V268" s="79" t="str">
        <f>IF(AND(D268="proMX",OR(R268="Submitted",R268="Recall Requested"),ISNUMBER(S268)),CFG_TODAY-INT(S268),"")</f>
        <v/>
      </c>
      <c r="W268" s="78" t="str">
        <f>IF(BD268=0,"",IF(BA268&gt;0,"⚠ Se superpone con un registro de la otra empresa",IF(D268="Malcolm",IF(COUNTA(R268,S268,T268)&gt;0,"Estado/fechas proMX se ignoran en Malcolm",""),IF(BF268="Cancelled","Cancelado: excluido de totales",IF(R268="","Sin estado: se trata como Draft",IF(BF268="Submitted",IF(ISNUMBER(V268),IF(V268&gt;CFG_MAXD,"⚠ "&amp;V268&amp;" días en Submitted (máx. "&amp;CFG_MAXD&amp;")",""),"Falta fecha de envío"),IF(BF268="Returned","⚠ Devuelto: corregir y reenviar",IF(BF268="Recall Requested","Retirada solicitada: pendiente",IF(AND(BF268="Approved",NOT(ISNUMBER(T268))),"Falta fecha de aprobación",IF(AND(ISNUMBER(S268),ISNUMBER(T268),T268&lt;S268),"Aprobación anterior al envío","")))))))))</f>
        <v/>
      </c>
      <c r="Y268" s="80">
        <f>IF(COUNTA(B268,D268,E268,F268,G268,H268,I268,J268,R268,S268,T268)&gt;0,1,0)</f>
        <v>0</v>
      </c>
      <c r="Z268" s="80" t="str">
        <f>IF(AND(ISNUMBER(H268),H268&gt;=0,H268&lt;1),ROUND(H268*1440,0),"")</f>
        <v/>
      </c>
      <c r="AA268" s="80" t="str">
        <f>IF(AND(ISNUMBER(I268),I268&gt;=0,I268&lt;1),ROUND(I268*1440,0),"")</f>
        <v/>
      </c>
      <c r="AB268" s="80">
        <f>IF(AND(ISNUMBER(B268),D268&lt;&gt;"",ISNUMBER(Z268),ISNUMBER(AA268)),IF(Z268=AA268,0,1),0)</f>
        <v>0</v>
      </c>
      <c r="AC268" s="80">
        <f>IF(AB268=1,IF(AA268&lt;Z268,1,0),0)</f>
        <v>0</v>
      </c>
      <c r="AD268" s="80">
        <f>IF(AB268=1,IF(AC268=1,1440-Z268+AA268,AA268-Z268),0)</f>
        <v>0</v>
      </c>
      <c r="AE268" s="80">
        <f>IF(J268="",0,IF(ISNUMBER(J268),J268,-1))</f>
        <v>0</v>
      </c>
      <c r="AF268" s="80">
        <f>MIN(MAX(0,AE268),AD268)</f>
        <v>0</v>
      </c>
      <c r="AG268" s="80">
        <f>MAX(0,AD268-MAX(0,AE268))</f>
        <v>0</v>
      </c>
      <c r="AH268" s="80">
        <f>IF(ISNUMBER(B268),IF(AND(INDEX(CFG_WDAYS,WEEKDAY(INT(B268),2))="Sí",IF(D268="proMX",COUNTIFS(FER_F,INT(B268),FER_NLP,"Sí"),COUNTIFS(FER_F,INT(B268),FER_NLM,"Sí"))=0),1,0),0)</f>
        <v>0</v>
      </c>
      <c r="AI268" s="80">
        <f>IF(AC268=1,IF(AND(INDEX(CFG_WDAYS,WEEKDAY(INT(B268)+1,2))="Sí",IF(D268="proMX",COUNTIFS(FER_F,INT(B268)+1,FER_NLP,"Sí"),COUNTIFS(FER_F,INT(B268)+1,FER_NLM,"Sí"))=0),1,0),0)</f>
        <v>0</v>
      </c>
      <c r="AJ268" s="80">
        <f>IF(AC268=1,1440-Z268,AD268)</f>
        <v>0</v>
      </c>
      <c r="AK268" s="80">
        <f>IF(AND(AB268=1,AH268=1),MAX(0,MIN(IF(AC268=1,1440,AA268),CFG_WEM)-MAX(Z268,CFG_WSM)),0)</f>
        <v>0</v>
      </c>
      <c r="AL268" s="80">
        <f>IF(AND(AC268=1,AI268=1),MAX(0,MIN(AA268,CFG_WEM)-CFG_WSM),0)</f>
        <v>0</v>
      </c>
      <c r="AM268" s="80">
        <f>AK268+AL268</f>
        <v>0</v>
      </c>
      <c r="AN268" s="80">
        <f>IF(CFG_BRK="Proporcional",IF(AD268=0,0,AF268*AM268/AD268),IF(CFG_BRK="Extras primero",MIN(AM268,MAX(0,AF268-(AD268-AM268))),MIN(AF268,AM268)))</f>
        <v>0</v>
      </c>
      <c r="AO268" s="80">
        <f>AF268-AN268</f>
        <v>0</v>
      </c>
      <c r="AP268" s="80">
        <f>AM268-AN268</f>
        <v>0</v>
      </c>
      <c r="AQ268" s="80">
        <f>AD268-AM268-AO268</f>
        <v>0</v>
      </c>
      <c r="AR268" s="80">
        <f>IF(AM268=0,0,AK268-AN268*AK268/AM268)</f>
        <v>0</v>
      </c>
      <c r="AS268" s="80">
        <f>IF(AD268-AM268=0,0,(AJ268-AK268)-AO268*(AJ268-AK268)/(AD268-AM268))</f>
        <v>0</v>
      </c>
      <c r="AT268" s="80" t="str">
        <f>IF(AC268=1,INT(B268)+1,"")</f>
        <v/>
      </c>
      <c r="AU268" s="80">
        <f>IF(AND(D268="proMX",R268="Cancelled"),0,1)</f>
        <v>1</v>
      </c>
      <c r="AV268" s="80">
        <f>IF(AND(AB268=1,AU268=1),IF(COUNTIFS($D$5:D267,D268,$B$5:B267,B268,$Z$5:Z267,Z268,$AA$5:AA267,AA268,$F$5:F267,F268&amp;"",$AU$5:AU267,1)&gt;0,1,0),0)</f>
        <v>0</v>
      </c>
      <c r="AW268" s="80" t="str">
        <f>IF(AB268=1,INT(B268)*1440+Z268,"")</f>
        <v/>
      </c>
      <c r="AX268" s="80" t="str">
        <f>IF(AB268=1,AW268+AD268,"")</f>
        <v/>
      </c>
      <c r="AY268" s="80">
        <f>IF(AND(AB268=1,AV268=0,AU268=1),1,0)</f>
        <v>0</v>
      </c>
      <c r="AZ268" s="80">
        <f>IF(AY268=1,COUNTIFS(R_Emp,D268,R_SAbs,"&lt;"&amp;AX268,R_EAbs,"&gt;"&amp;AW268,R_OKey,1)-1,0)</f>
        <v>0</v>
      </c>
      <c r="BA268" s="80">
        <f>IF(AY268=1,COUNTIFS(R_Emp,"&lt;&gt;"&amp;D268,R_SAbs,"&lt;"&amp;AX268,R_EAbs,"&gt;"&amp;AW268,R_OKey,1),0)</f>
        <v>0</v>
      </c>
      <c r="BB268" s="80">
        <f>IF(AND(AB268=1,D268="proMX"),IF(AND(MOD(Z268,CFG_BLK)=0,MOD(AA268,CFG_BLK)=0,MOD(AG268,CFG_BLK)=0,AG268&gt;0),1,0),1)</f>
        <v>1</v>
      </c>
      <c r="BC268" s="80" t="str">
        <f>IF(Y268=0,"",IF(NOT(ISNUMBER(B268)),"Falta fecha o fecha inválida",IF(D268="","Falta empresa",IF(AND(D268&lt;&gt;"Malcolm",D268&lt;&gt;"proMX"),"Empresa inválida",IF(OR(INT(B268)&lt;CFG_PSTART,INT(B268)&gt;CFG_PEND),"Fecha fuera del período",IF(OR(NOT(ISNUMBER(Z268)),NOT(ISNUMBER(AA268))),"Falta hora inicio/fin o formato inválido",IF(AB268=0,"Hora inicio = hora fin",IF(AE268&lt;0,"Descanso inválido",IF(AE268&gt;=AD268,"Descanso ≥ duración",IF(AV268=1,"Registro duplicado",IF(AZ268&gt;0,"Se superpone con otro registro "&amp;D268,IF(BB268=0,"inicio, fin y duración neta deben ser múltiplos de "&amp;CFG_BLK&amp;" min",""))))))))))))</f>
        <v/>
      </c>
      <c r="BD268" s="80">
        <f>IF(AND(Y268=1,BC268=""),1,0)</f>
        <v>0</v>
      </c>
      <c r="BE268" s="80">
        <f>IF(AND(BD268=1,AU268=1),1,0)</f>
        <v>0</v>
      </c>
      <c r="BF268" s="80" t="str">
        <f>IF(AND(D268="proMX",BD268=1),IF(R268="","Draft",R268),"")</f>
        <v/>
      </c>
      <c r="BG268" s="80">
        <f>IF(BD268=1,ROUND(AG268/60,6),0)</f>
        <v>0</v>
      </c>
      <c r="BH268" s="80">
        <f>IF(BE268=1,ROUND(AG268/60,6),0)</f>
        <v>0</v>
      </c>
      <c r="BI268" s="80">
        <f>IF(BE268=1,ROUND(AP268/60,6),0)</f>
        <v>0</v>
      </c>
      <c r="BJ268" s="80">
        <f>IF(BE268=1,ROUND(AQ268/60,6),0)</f>
        <v>0</v>
      </c>
      <c r="BK268" s="80">
        <f>IF(BE268=1,ROUND((AR268+AS268)/60,6),0)</f>
        <v>0</v>
      </c>
      <c r="BL268" s="80">
        <f>ROUND(BH268-BK268,6)</f>
        <v>0</v>
      </c>
      <c r="BM268" s="80">
        <f>IF(BE268=1,ROUND(AR268/60,6),0)</f>
        <v>0</v>
      </c>
      <c r="BN268" s="80">
        <f>ROUND(BI268-BM268,6)</f>
        <v>0</v>
      </c>
      <c r="BO268" s="80">
        <f>IF(BE268=1,ROUND(AS268/60,6),0)</f>
        <v>0</v>
      </c>
      <c r="BP268" s="80">
        <f>ROUND(BJ268-BO268,6)</f>
        <v>0</v>
      </c>
      <c r="BQ268" s="80">
        <f>IF(BE268=1,AW268,0)</f>
        <v>0</v>
      </c>
      <c r="BR268" s="80">
        <f>IF(BE268=1,AX268,0)</f>
        <v>0</v>
      </c>
      <c r="BS268" s="80">
        <f>IF(AND(BE268=1,D268="Malcolm",BA268&gt;0),MIN(BH268,SUMPRODUCT((R_Emp="proMX")*(R_EN&gt;0)*((R_EN-(R_EN&gt;BR268)*(R_EN-BR268))&gt;(R_SN+(R_SN&lt;BQ268)*(BQ268-R_SN)))*((R_EN-(R_EN&gt;BR268)*(R_EN-BR268))-(R_SN+(R_SN&lt;BQ268)*(BQ268-R_SN))))/60),0)</f>
        <v>0</v>
      </c>
      <c r="BT268" s="80">
        <f>IF(AND(BE268=1,D268="proMX"),ROUND(BI268*CFG_RATE+BJ268*CFG_OTRATE,6),0)</f>
        <v>0</v>
      </c>
      <c r="BU268" s="80">
        <f>IF(AND(BD268=1,D268="proMX"),ROUND(AG268/CFG_BLK,6),0)</f>
        <v>0</v>
      </c>
      <c r="BV268" s="80" t="str">
        <f>IF(BF268="Approved",IF(ISNUMBER(T268),INT(T268),INT(B268)),"")</f>
        <v/>
      </c>
      <c r="BW268" s="80">
        <f>IF(ISNUMBER(B268),IF(DB_MON="Todos",1,IF(AND(INT(B268)&gt;=DB_MS,INT(B268)&lt;=DB_ME),1,0)),0)</f>
        <v>0</v>
      </c>
      <c r="BX268" s="80">
        <f>IF(DB_PROJ="Todos",1,IF(E268&amp;""=DB_PROJ&amp;"",1,0))</f>
        <v>1</v>
      </c>
      <c r="BY268" s="80">
        <f>BW268*BX268</f>
        <v>0</v>
      </c>
      <c r="BZ268" s="80" t="str">
        <f>IF(Y268=1,F268&amp;IF(AND(F268&amp;""&lt;&gt;"",E268&amp;""&lt;&gt;"")," · ","")&amp;E268,"")</f>
        <v/>
      </c>
      <c r="CA268" s="80" t="str">
        <f>IF(AND(BD268=1,E268&amp;""&lt;&gt;""),IF(COUNTIFS($E$5:E267,E268,$BD$5:BD267,1)=0,MAX($CA$5:CA267)+1,""),"")</f>
        <v/>
      </c>
      <c r="CB268" s="80" t="str">
        <f>IF(AND(BE268=1,D268="Malcolm",E268&amp;""&lt;&gt;""),IF(COUNTIFS($D$5:D267,"Malcolm",$E$5:E267,E268,$BE$5:BE267,1)=0,MAX($CB$5:CB267)+1,""),"")</f>
        <v/>
      </c>
      <c r="CC268" s="80" t="str">
        <f>IF(AND(BD268=1,D268="proMX",E268&amp;""&lt;&gt;""),IF(COUNTIFS($D$5:D267,"proMX",$E$5:E267,E268,$BD$5:BD267,1)=0,MAX($CC$5:CC267)+1,""),"")</f>
        <v/>
      </c>
      <c r="CD268" s="80" t="str">
        <f>IF(AND(BE268=1,D268="Malcolm",F268&amp;""&lt;&gt;""),IF(COUNTIFS($D$5:D267,"Malcolm",$F$5:F267,F268,$BE$5:BE267,1)=0,MAX($CD$5:CD267)+1,""),"")</f>
        <v/>
      </c>
      <c r="CE268" s="80" t="str">
        <f>IF(AND(BD268=1,D268="proMX",F268&amp;""&lt;&gt;""),IF(COUNTIFS($D$5:D267,"proMX",$F$5:F267,F268,$BD$5:BD267,1)=0,MAX($CE$5:CE267)+1,""),"")</f>
        <v/>
      </c>
      <c r="CF268" s="80" t="str">
        <f>IF(AND(D268="proMX",BD268=1),IF(OR(BF268="Draft",BF268="Submitted",BF268="Returned",BF268="Recall Requested"),MAX($CF$5:CF267)+1,""),"")</f>
        <v/>
      </c>
      <c r="CG268" s="80">
        <f>IF(BD268=0,0,IF(D268="Malcolm",1,MATCH(BF268,{"Draft","Submitted","Approved","Returned","Recall Requested","Cancelled"},0)+1))</f>
        <v>0</v>
      </c>
      <c r="CH268" s="80">
        <f>IF(AND(BF268="Submitted",ISNUMBER(V268)),IF(V268&gt;CFG_MAXD,1,0),0)</f>
        <v>0</v>
      </c>
    </row>
    <row r="269">
      <c r="A269" s="71" t="str">
        <f>IF(Y269=1,ROW()-5,"")</f>
        <v/>
      </c>
      <c r="B269" s="72" t="n"/>
      <c r="C269" s="71" t="str">
        <f>IF(ISNUMBER(B269),CHOOSE(WEEKDAY(B269,2),"Lun","Mar","Mié","Jue","Vie","Sáb","Dom"),"")</f>
        <v/>
      </c>
      <c r="D269" s="73" t="n"/>
      <c r="E269" s="74" t="n"/>
      <c r="F269" s="74" t="n"/>
      <c r="G269" s="74" t="n"/>
      <c r="H269" s="75" t="n"/>
      <c r="I269" s="75" t="n"/>
      <c r="J269" s="76" t="n"/>
      <c r="K269" s="77" t="str">
        <f>IF(AB269=1,ROUND(AG269/60,4),"")</f>
        <v/>
      </c>
      <c r="L269" s="77" t="str">
        <f>IF(BD269=1,ROUND(AP269/60,4),"")</f>
        <v/>
      </c>
      <c r="M269" s="77" t="str">
        <f>IF(BD269=1,ROUND(AQ269/60,4),"")</f>
        <v/>
      </c>
      <c r="N269" s="71" t="str">
        <f>IF(AND(D269="proMX",AB269=1),ROUND(AG269/CFG_BLK,2),"")</f>
        <v/>
      </c>
      <c r="O269" s="77" t="str">
        <f>IF(D269="proMX",IF(BD269=1,ROUND(AG269/60,4),0),"")</f>
        <v/>
      </c>
      <c r="P269" s="78" t="str">
        <f>IF(Y269=0,"",IF(BD269=1,"OK",IF(D269="proMX","Revisar bloques: ","Revisar: ")&amp;BC269))</f>
        <v/>
      </c>
      <c r="Q269" s="78" t="str">
        <f>IF(NOT(ISNUMBER(B269)),"",IF(COUNTIFS(FER_F,INT(B269))&gt;0,"Feriado"&amp;IF(AH269=1," (laborable)"," (no laborable)"),IF(AH269=1,"Laborable",IF(WEEKDAY(B269,2)&gt;5,"Fin de semana","No laborable"))))</f>
        <v/>
      </c>
      <c r="R269" s="73" t="n"/>
      <c r="S269" s="72" t="n"/>
      <c r="T269" s="72" t="n"/>
      <c r="U269" s="74" t="n"/>
      <c r="V269" s="79" t="str">
        <f>IF(AND(D269="proMX",OR(R269="Submitted",R269="Recall Requested"),ISNUMBER(S269)),CFG_TODAY-INT(S269),"")</f>
        <v/>
      </c>
      <c r="W269" s="78" t="str">
        <f>IF(BD269=0,"",IF(BA269&gt;0,"⚠ Se superpone con un registro de la otra empresa",IF(D269="Malcolm",IF(COUNTA(R269,S269,T269)&gt;0,"Estado/fechas proMX se ignoran en Malcolm",""),IF(BF269="Cancelled","Cancelado: excluido de totales",IF(R269="","Sin estado: se trata como Draft",IF(BF269="Submitted",IF(ISNUMBER(V269),IF(V269&gt;CFG_MAXD,"⚠ "&amp;V269&amp;" días en Submitted (máx. "&amp;CFG_MAXD&amp;")",""),"Falta fecha de envío"),IF(BF269="Returned","⚠ Devuelto: corregir y reenviar",IF(BF269="Recall Requested","Retirada solicitada: pendiente",IF(AND(BF269="Approved",NOT(ISNUMBER(T269))),"Falta fecha de aprobación",IF(AND(ISNUMBER(S269),ISNUMBER(T269),T269&lt;S269),"Aprobación anterior al envío","")))))))))</f>
        <v/>
      </c>
      <c r="Y269" s="80">
        <f>IF(COUNTA(B269,D269,E269,F269,G269,H269,I269,J269,R269,S269,T269)&gt;0,1,0)</f>
        <v>0</v>
      </c>
      <c r="Z269" s="80" t="str">
        <f>IF(AND(ISNUMBER(H269),H269&gt;=0,H269&lt;1),ROUND(H269*1440,0),"")</f>
        <v/>
      </c>
      <c r="AA269" s="80" t="str">
        <f>IF(AND(ISNUMBER(I269),I269&gt;=0,I269&lt;1),ROUND(I269*1440,0),"")</f>
        <v/>
      </c>
      <c r="AB269" s="80">
        <f>IF(AND(ISNUMBER(B269),D269&lt;&gt;"",ISNUMBER(Z269),ISNUMBER(AA269)),IF(Z269=AA269,0,1),0)</f>
        <v>0</v>
      </c>
      <c r="AC269" s="80">
        <f>IF(AB269=1,IF(AA269&lt;Z269,1,0),0)</f>
        <v>0</v>
      </c>
      <c r="AD269" s="80">
        <f>IF(AB269=1,IF(AC269=1,1440-Z269+AA269,AA269-Z269),0)</f>
        <v>0</v>
      </c>
      <c r="AE269" s="80">
        <f>IF(J269="",0,IF(ISNUMBER(J269),J269,-1))</f>
        <v>0</v>
      </c>
      <c r="AF269" s="80">
        <f>MIN(MAX(0,AE269),AD269)</f>
        <v>0</v>
      </c>
      <c r="AG269" s="80">
        <f>MAX(0,AD269-MAX(0,AE269))</f>
        <v>0</v>
      </c>
      <c r="AH269" s="80">
        <f>IF(ISNUMBER(B269),IF(AND(INDEX(CFG_WDAYS,WEEKDAY(INT(B269),2))="Sí",IF(D269="proMX",COUNTIFS(FER_F,INT(B269),FER_NLP,"Sí"),COUNTIFS(FER_F,INT(B269),FER_NLM,"Sí"))=0),1,0),0)</f>
        <v>0</v>
      </c>
      <c r="AI269" s="80">
        <f>IF(AC269=1,IF(AND(INDEX(CFG_WDAYS,WEEKDAY(INT(B269)+1,2))="Sí",IF(D269="proMX",COUNTIFS(FER_F,INT(B269)+1,FER_NLP,"Sí"),COUNTIFS(FER_F,INT(B269)+1,FER_NLM,"Sí"))=0),1,0),0)</f>
        <v>0</v>
      </c>
      <c r="AJ269" s="80">
        <f>IF(AC269=1,1440-Z269,AD269)</f>
        <v>0</v>
      </c>
      <c r="AK269" s="80">
        <f>IF(AND(AB269=1,AH269=1),MAX(0,MIN(IF(AC269=1,1440,AA269),CFG_WEM)-MAX(Z269,CFG_WSM)),0)</f>
        <v>0</v>
      </c>
      <c r="AL269" s="80">
        <f>IF(AND(AC269=1,AI269=1),MAX(0,MIN(AA269,CFG_WEM)-CFG_WSM),0)</f>
        <v>0</v>
      </c>
      <c r="AM269" s="80">
        <f>AK269+AL269</f>
        <v>0</v>
      </c>
      <c r="AN269" s="80">
        <f>IF(CFG_BRK="Proporcional",IF(AD269=0,0,AF269*AM269/AD269),IF(CFG_BRK="Extras primero",MIN(AM269,MAX(0,AF269-(AD269-AM269))),MIN(AF269,AM269)))</f>
        <v>0</v>
      </c>
      <c r="AO269" s="80">
        <f>AF269-AN269</f>
        <v>0</v>
      </c>
      <c r="AP269" s="80">
        <f>AM269-AN269</f>
        <v>0</v>
      </c>
      <c r="AQ269" s="80">
        <f>AD269-AM269-AO269</f>
        <v>0</v>
      </c>
      <c r="AR269" s="80">
        <f>IF(AM269=0,0,AK269-AN269*AK269/AM269)</f>
        <v>0</v>
      </c>
      <c r="AS269" s="80">
        <f>IF(AD269-AM269=0,0,(AJ269-AK269)-AO269*(AJ269-AK269)/(AD269-AM269))</f>
        <v>0</v>
      </c>
      <c r="AT269" s="80" t="str">
        <f>IF(AC269=1,INT(B269)+1,"")</f>
        <v/>
      </c>
      <c r="AU269" s="80">
        <f>IF(AND(D269="proMX",R269="Cancelled"),0,1)</f>
        <v>1</v>
      </c>
      <c r="AV269" s="80">
        <f>IF(AND(AB269=1,AU269=1),IF(COUNTIFS($D$5:D268,D269,$B$5:B268,B269,$Z$5:Z268,Z269,$AA$5:AA268,AA269,$F$5:F268,F269&amp;"",$AU$5:AU268,1)&gt;0,1,0),0)</f>
        <v>0</v>
      </c>
      <c r="AW269" s="80" t="str">
        <f>IF(AB269=1,INT(B269)*1440+Z269,"")</f>
        <v/>
      </c>
      <c r="AX269" s="80" t="str">
        <f>IF(AB269=1,AW269+AD269,"")</f>
        <v/>
      </c>
      <c r="AY269" s="80">
        <f>IF(AND(AB269=1,AV269=0,AU269=1),1,0)</f>
        <v>0</v>
      </c>
      <c r="AZ269" s="80">
        <f>IF(AY269=1,COUNTIFS(R_Emp,D269,R_SAbs,"&lt;"&amp;AX269,R_EAbs,"&gt;"&amp;AW269,R_OKey,1)-1,0)</f>
        <v>0</v>
      </c>
      <c r="BA269" s="80">
        <f>IF(AY269=1,COUNTIFS(R_Emp,"&lt;&gt;"&amp;D269,R_SAbs,"&lt;"&amp;AX269,R_EAbs,"&gt;"&amp;AW269,R_OKey,1),0)</f>
        <v>0</v>
      </c>
      <c r="BB269" s="80">
        <f>IF(AND(AB269=1,D269="proMX"),IF(AND(MOD(Z269,CFG_BLK)=0,MOD(AA269,CFG_BLK)=0,MOD(AG269,CFG_BLK)=0,AG269&gt;0),1,0),1)</f>
        <v>1</v>
      </c>
      <c r="BC269" s="80" t="str">
        <f>IF(Y269=0,"",IF(NOT(ISNUMBER(B269)),"Falta fecha o fecha inválida",IF(D269="","Falta empresa",IF(AND(D269&lt;&gt;"Malcolm",D269&lt;&gt;"proMX"),"Empresa inválida",IF(OR(INT(B269)&lt;CFG_PSTART,INT(B269)&gt;CFG_PEND),"Fecha fuera del período",IF(OR(NOT(ISNUMBER(Z269)),NOT(ISNUMBER(AA269))),"Falta hora inicio/fin o formato inválido",IF(AB269=0,"Hora inicio = hora fin",IF(AE269&lt;0,"Descanso inválido",IF(AE269&gt;=AD269,"Descanso ≥ duración",IF(AV269=1,"Registro duplicado",IF(AZ269&gt;0,"Se superpone con otro registro "&amp;D269,IF(BB269=0,"inicio, fin y duración neta deben ser múltiplos de "&amp;CFG_BLK&amp;" min",""))))))))))))</f>
        <v/>
      </c>
      <c r="BD269" s="80">
        <f>IF(AND(Y269=1,BC269=""),1,0)</f>
        <v>0</v>
      </c>
      <c r="BE269" s="80">
        <f>IF(AND(BD269=1,AU269=1),1,0)</f>
        <v>0</v>
      </c>
      <c r="BF269" s="80" t="str">
        <f>IF(AND(D269="proMX",BD269=1),IF(R269="","Draft",R269),"")</f>
        <v/>
      </c>
      <c r="BG269" s="80">
        <f>IF(BD269=1,ROUND(AG269/60,6),0)</f>
        <v>0</v>
      </c>
      <c r="BH269" s="80">
        <f>IF(BE269=1,ROUND(AG269/60,6),0)</f>
        <v>0</v>
      </c>
      <c r="BI269" s="80">
        <f>IF(BE269=1,ROUND(AP269/60,6),0)</f>
        <v>0</v>
      </c>
      <c r="BJ269" s="80">
        <f>IF(BE269=1,ROUND(AQ269/60,6),0)</f>
        <v>0</v>
      </c>
      <c r="BK269" s="80">
        <f>IF(BE269=1,ROUND((AR269+AS269)/60,6),0)</f>
        <v>0</v>
      </c>
      <c r="BL269" s="80">
        <f>ROUND(BH269-BK269,6)</f>
        <v>0</v>
      </c>
      <c r="BM269" s="80">
        <f>IF(BE269=1,ROUND(AR269/60,6),0)</f>
        <v>0</v>
      </c>
      <c r="BN269" s="80">
        <f>ROUND(BI269-BM269,6)</f>
        <v>0</v>
      </c>
      <c r="BO269" s="80">
        <f>IF(BE269=1,ROUND(AS269/60,6),0)</f>
        <v>0</v>
      </c>
      <c r="BP269" s="80">
        <f>ROUND(BJ269-BO269,6)</f>
        <v>0</v>
      </c>
      <c r="BQ269" s="80">
        <f>IF(BE269=1,AW269,0)</f>
        <v>0</v>
      </c>
      <c r="BR269" s="80">
        <f>IF(BE269=1,AX269,0)</f>
        <v>0</v>
      </c>
      <c r="BS269" s="80">
        <f>IF(AND(BE269=1,D269="Malcolm",BA269&gt;0),MIN(BH269,SUMPRODUCT((R_Emp="proMX")*(R_EN&gt;0)*((R_EN-(R_EN&gt;BR269)*(R_EN-BR269))&gt;(R_SN+(R_SN&lt;BQ269)*(BQ269-R_SN)))*((R_EN-(R_EN&gt;BR269)*(R_EN-BR269))-(R_SN+(R_SN&lt;BQ269)*(BQ269-R_SN))))/60),0)</f>
        <v>0</v>
      </c>
      <c r="BT269" s="80">
        <f>IF(AND(BE269=1,D269="proMX"),ROUND(BI269*CFG_RATE+BJ269*CFG_OTRATE,6),0)</f>
        <v>0</v>
      </c>
      <c r="BU269" s="80">
        <f>IF(AND(BD269=1,D269="proMX"),ROUND(AG269/CFG_BLK,6),0)</f>
        <v>0</v>
      </c>
      <c r="BV269" s="80" t="str">
        <f>IF(BF269="Approved",IF(ISNUMBER(T269),INT(T269),INT(B269)),"")</f>
        <v/>
      </c>
      <c r="BW269" s="80">
        <f>IF(ISNUMBER(B269),IF(DB_MON="Todos",1,IF(AND(INT(B269)&gt;=DB_MS,INT(B269)&lt;=DB_ME),1,0)),0)</f>
        <v>0</v>
      </c>
      <c r="BX269" s="80">
        <f>IF(DB_PROJ="Todos",1,IF(E269&amp;""=DB_PROJ&amp;"",1,0))</f>
        <v>1</v>
      </c>
      <c r="BY269" s="80">
        <f>BW269*BX269</f>
        <v>0</v>
      </c>
      <c r="BZ269" s="80" t="str">
        <f>IF(Y269=1,F269&amp;IF(AND(F269&amp;""&lt;&gt;"",E269&amp;""&lt;&gt;"")," · ","")&amp;E269,"")</f>
        <v/>
      </c>
      <c r="CA269" s="80" t="str">
        <f>IF(AND(BD269=1,E269&amp;""&lt;&gt;""),IF(COUNTIFS($E$5:E268,E269,$BD$5:BD268,1)=0,MAX($CA$5:CA268)+1,""),"")</f>
        <v/>
      </c>
      <c r="CB269" s="80" t="str">
        <f>IF(AND(BE269=1,D269="Malcolm",E269&amp;""&lt;&gt;""),IF(COUNTIFS($D$5:D268,"Malcolm",$E$5:E268,E269,$BE$5:BE268,1)=0,MAX($CB$5:CB268)+1,""),"")</f>
        <v/>
      </c>
      <c r="CC269" s="80" t="str">
        <f>IF(AND(BD269=1,D269="proMX",E269&amp;""&lt;&gt;""),IF(COUNTIFS($D$5:D268,"proMX",$E$5:E268,E269,$BD$5:BD268,1)=0,MAX($CC$5:CC268)+1,""),"")</f>
        <v/>
      </c>
      <c r="CD269" s="80" t="str">
        <f>IF(AND(BE269=1,D269="Malcolm",F269&amp;""&lt;&gt;""),IF(COUNTIFS($D$5:D268,"Malcolm",$F$5:F268,F269,$BE$5:BE268,1)=0,MAX($CD$5:CD268)+1,""),"")</f>
        <v/>
      </c>
      <c r="CE269" s="80" t="str">
        <f>IF(AND(BD269=1,D269="proMX",F269&amp;""&lt;&gt;""),IF(COUNTIFS($D$5:D268,"proMX",$F$5:F268,F269,$BD$5:BD268,1)=0,MAX($CE$5:CE268)+1,""),"")</f>
        <v/>
      </c>
      <c r="CF269" s="80" t="str">
        <f>IF(AND(D269="proMX",BD269=1),IF(OR(BF269="Draft",BF269="Submitted",BF269="Returned",BF269="Recall Requested"),MAX($CF$5:CF268)+1,""),"")</f>
        <v/>
      </c>
      <c r="CG269" s="80">
        <f>IF(BD269=0,0,IF(D269="Malcolm",1,MATCH(BF269,{"Draft","Submitted","Approved","Returned","Recall Requested","Cancelled"},0)+1))</f>
        <v>0</v>
      </c>
      <c r="CH269" s="80">
        <f>IF(AND(BF269="Submitted",ISNUMBER(V269)),IF(V269&gt;CFG_MAXD,1,0),0)</f>
        <v>0</v>
      </c>
    </row>
    <row r="270">
      <c r="A270" s="71" t="str">
        <f>IF(Y270=1,ROW()-5,"")</f>
        <v/>
      </c>
      <c r="B270" s="72" t="n"/>
      <c r="C270" s="71" t="str">
        <f>IF(ISNUMBER(B270),CHOOSE(WEEKDAY(B270,2),"Lun","Mar","Mié","Jue","Vie","Sáb","Dom"),"")</f>
        <v/>
      </c>
      <c r="D270" s="73" t="n"/>
      <c r="E270" s="74" t="n"/>
      <c r="F270" s="74" t="n"/>
      <c r="G270" s="74" t="n"/>
      <c r="H270" s="75" t="n"/>
      <c r="I270" s="75" t="n"/>
      <c r="J270" s="76" t="n"/>
      <c r="K270" s="77" t="str">
        <f>IF(AB270=1,ROUND(AG270/60,4),"")</f>
        <v/>
      </c>
      <c r="L270" s="77" t="str">
        <f>IF(BD270=1,ROUND(AP270/60,4),"")</f>
        <v/>
      </c>
      <c r="M270" s="77" t="str">
        <f>IF(BD270=1,ROUND(AQ270/60,4),"")</f>
        <v/>
      </c>
      <c r="N270" s="71" t="str">
        <f>IF(AND(D270="proMX",AB270=1),ROUND(AG270/CFG_BLK,2),"")</f>
        <v/>
      </c>
      <c r="O270" s="77" t="str">
        <f>IF(D270="proMX",IF(BD270=1,ROUND(AG270/60,4),0),"")</f>
        <v/>
      </c>
      <c r="P270" s="78" t="str">
        <f>IF(Y270=0,"",IF(BD270=1,"OK",IF(D270="proMX","Revisar bloques: ","Revisar: ")&amp;BC270))</f>
        <v/>
      </c>
      <c r="Q270" s="78" t="str">
        <f>IF(NOT(ISNUMBER(B270)),"",IF(COUNTIFS(FER_F,INT(B270))&gt;0,"Feriado"&amp;IF(AH270=1," (laborable)"," (no laborable)"),IF(AH270=1,"Laborable",IF(WEEKDAY(B270,2)&gt;5,"Fin de semana","No laborable"))))</f>
        <v/>
      </c>
      <c r="R270" s="73" t="n"/>
      <c r="S270" s="72" t="n"/>
      <c r="T270" s="72" t="n"/>
      <c r="U270" s="74" t="n"/>
      <c r="V270" s="79" t="str">
        <f>IF(AND(D270="proMX",OR(R270="Submitted",R270="Recall Requested"),ISNUMBER(S270)),CFG_TODAY-INT(S270),"")</f>
        <v/>
      </c>
      <c r="W270" s="78" t="str">
        <f>IF(BD270=0,"",IF(BA270&gt;0,"⚠ Se superpone con un registro de la otra empresa",IF(D270="Malcolm",IF(COUNTA(R270,S270,T270)&gt;0,"Estado/fechas proMX se ignoran en Malcolm",""),IF(BF270="Cancelled","Cancelado: excluido de totales",IF(R270="","Sin estado: se trata como Draft",IF(BF270="Submitted",IF(ISNUMBER(V270),IF(V270&gt;CFG_MAXD,"⚠ "&amp;V270&amp;" días en Submitted (máx. "&amp;CFG_MAXD&amp;")",""),"Falta fecha de envío"),IF(BF270="Returned","⚠ Devuelto: corregir y reenviar",IF(BF270="Recall Requested","Retirada solicitada: pendiente",IF(AND(BF270="Approved",NOT(ISNUMBER(T270))),"Falta fecha de aprobación",IF(AND(ISNUMBER(S270),ISNUMBER(T270),T270&lt;S270),"Aprobación anterior al envío","")))))))))</f>
        <v/>
      </c>
      <c r="Y270" s="80">
        <f>IF(COUNTA(B270,D270,E270,F270,G270,H270,I270,J270,R270,S270,T270)&gt;0,1,0)</f>
        <v>0</v>
      </c>
      <c r="Z270" s="80" t="str">
        <f>IF(AND(ISNUMBER(H270),H270&gt;=0,H270&lt;1),ROUND(H270*1440,0),"")</f>
        <v/>
      </c>
      <c r="AA270" s="80" t="str">
        <f>IF(AND(ISNUMBER(I270),I270&gt;=0,I270&lt;1),ROUND(I270*1440,0),"")</f>
        <v/>
      </c>
      <c r="AB270" s="80">
        <f>IF(AND(ISNUMBER(B270),D270&lt;&gt;"",ISNUMBER(Z270),ISNUMBER(AA270)),IF(Z270=AA270,0,1),0)</f>
        <v>0</v>
      </c>
      <c r="AC270" s="80">
        <f>IF(AB270=1,IF(AA270&lt;Z270,1,0),0)</f>
        <v>0</v>
      </c>
      <c r="AD270" s="80">
        <f>IF(AB270=1,IF(AC270=1,1440-Z270+AA270,AA270-Z270),0)</f>
        <v>0</v>
      </c>
      <c r="AE270" s="80">
        <f>IF(J270="",0,IF(ISNUMBER(J270),J270,-1))</f>
        <v>0</v>
      </c>
      <c r="AF270" s="80">
        <f>MIN(MAX(0,AE270),AD270)</f>
        <v>0</v>
      </c>
      <c r="AG270" s="80">
        <f>MAX(0,AD270-MAX(0,AE270))</f>
        <v>0</v>
      </c>
      <c r="AH270" s="80">
        <f>IF(ISNUMBER(B270),IF(AND(INDEX(CFG_WDAYS,WEEKDAY(INT(B270),2))="Sí",IF(D270="proMX",COUNTIFS(FER_F,INT(B270),FER_NLP,"Sí"),COUNTIFS(FER_F,INT(B270),FER_NLM,"Sí"))=0),1,0),0)</f>
        <v>0</v>
      </c>
      <c r="AI270" s="80">
        <f>IF(AC270=1,IF(AND(INDEX(CFG_WDAYS,WEEKDAY(INT(B270)+1,2))="Sí",IF(D270="proMX",COUNTIFS(FER_F,INT(B270)+1,FER_NLP,"Sí"),COUNTIFS(FER_F,INT(B270)+1,FER_NLM,"Sí"))=0),1,0),0)</f>
        <v>0</v>
      </c>
      <c r="AJ270" s="80">
        <f>IF(AC270=1,1440-Z270,AD270)</f>
        <v>0</v>
      </c>
      <c r="AK270" s="80">
        <f>IF(AND(AB270=1,AH270=1),MAX(0,MIN(IF(AC270=1,1440,AA270),CFG_WEM)-MAX(Z270,CFG_WSM)),0)</f>
        <v>0</v>
      </c>
      <c r="AL270" s="80">
        <f>IF(AND(AC270=1,AI270=1),MAX(0,MIN(AA270,CFG_WEM)-CFG_WSM),0)</f>
        <v>0</v>
      </c>
      <c r="AM270" s="80">
        <f>AK270+AL270</f>
        <v>0</v>
      </c>
      <c r="AN270" s="80">
        <f>IF(CFG_BRK="Proporcional",IF(AD270=0,0,AF270*AM270/AD270),IF(CFG_BRK="Extras primero",MIN(AM270,MAX(0,AF270-(AD270-AM270))),MIN(AF270,AM270)))</f>
        <v>0</v>
      </c>
      <c r="AO270" s="80">
        <f>AF270-AN270</f>
        <v>0</v>
      </c>
      <c r="AP270" s="80">
        <f>AM270-AN270</f>
        <v>0</v>
      </c>
      <c r="AQ270" s="80">
        <f>AD270-AM270-AO270</f>
        <v>0</v>
      </c>
      <c r="AR270" s="80">
        <f>IF(AM270=0,0,AK270-AN270*AK270/AM270)</f>
        <v>0</v>
      </c>
      <c r="AS270" s="80">
        <f>IF(AD270-AM270=0,0,(AJ270-AK270)-AO270*(AJ270-AK270)/(AD270-AM270))</f>
        <v>0</v>
      </c>
      <c r="AT270" s="80" t="str">
        <f>IF(AC270=1,INT(B270)+1,"")</f>
        <v/>
      </c>
      <c r="AU270" s="80">
        <f>IF(AND(D270="proMX",R270="Cancelled"),0,1)</f>
        <v>1</v>
      </c>
      <c r="AV270" s="80">
        <f>IF(AND(AB270=1,AU270=1),IF(COUNTIFS($D$5:D269,D270,$B$5:B269,B270,$Z$5:Z269,Z270,$AA$5:AA269,AA270,$F$5:F269,F270&amp;"",$AU$5:AU269,1)&gt;0,1,0),0)</f>
        <v>0</v>
      </c>
      <c r="AW270" s="80" t="str">
        <f>IF(AB270=1,INT(B270)*1440+Z270,"")</f>
        <v/>
      </c>
      <c r="AX270" s="80" t="str">
        <f>IF(AB270=1,AW270+AD270,"")</f>
        <v/>
      </c>
      <c r="AY270" s="80">
        <f>IF(AND(AB270=1,AV270=0,AU270=1),1,0)</f>
        <v>0</v>
      </c>
      <c r="AZ270" s="80">
        <f>IF(AY270=1,COUNTIFS(R_Emp,D270,R_SAbs,"&lt;"&amp;AX270,R_EAbs,"&gt;"&amp;AW270,R_OKey,1)-1,0)</f>
        <v>0</v>
      </c>
      <c r="BA270" s="80">
        <f>IF(AY270=1,COUNTIFS(R_Emp,"&lt;&gt;"&amp;D270,R_SAbs,"&lt;"&amp;AX270,R_EAbs,"&gt;"&amp;AW270,R_OKey,1),0)</f>
        <v>0</v>
      </c>
      <c r="BB270" s="80">
        <f>IF(AND(AB270=1,D270="proMX"),IF(AND(MOD(Z270,CFG_BLK)=0,MOD(AA270,CFG_BLK)=0,MOD(AG270,CFG_BLK)=0,AG270&gt;0),1,0),1)</f>
        <v>1</v>
      </c>
      <c r="BC270" s="80" t="str">
        <f>IF(Y270=0,"",IF(NOT(ISNUMBER(B270)),"Falta fecha o fecha inválida",IF(D270="","Falta empresa",IF(AND(D270&lt;&gt;"Malcolm",D270&lt;&gt;"proMX"),"Empresa inválida",IF(OR(INT(B270)&lt;CFG_PSTART,INT(B270)&gt;CFG_PEND),"Fecha fuera del período",IF(OR(NOT(ISNUMBER(Z270)),NOT(ISNUMBER(AA270))),"Falta hora inicio/fin o formato inválido",IF(AB270=0,"Hora inicio = hora fin",IF(AE270&lt;0,"Descanso inválido",IF(AE270&gt;=AD270,"Descanso ≥ duración",IF(AV270=1,"Registro duplicado",IF(AZ270&gt;0,"Se superpone con otro registro "&amp;D270,IF(BB270=0,"inicio, fin y duración neta deben ser múltiplos de "&amp;CFG_BLK&amp;" min",""))))))))))))</f>
        <v/>
      </c>
      <c r="BD270" s="80">
        <f>IF(AND(Y270=1,BC270=""),1,0)</f>
        <v>0</v>
      </c>
      <c r="BE270" s="80">
        <f>IF(AND(BD270=1,AU270=1),1,0)</f>
        <v>0</v>
      </c>
      <c r="BF270" s="80" t="str">
        <f>IF(AND(D270="proMX",BD270=1),IF(R270="","Draft",R270),"")</f>
        <v/>
      </c>
      <c r="BG270" s="80">
        <f>IF(BD270=1,ROUND(AG270/60,6),0)</f>
        <v>0</v>
      </c>
      <c r="BH270" s="80">
        <f>IF(BE270=1,ROUND(AG270/60,6),0)</f>
        <v>0</v>
      </c>
      <c r="BI270" s="80">
        <f>IF(BE270=1,ROUND(AP270/60,6),0)</f>
        <v>0</v>
      </c>
      <c r="BJ270" s="80">
        <f>IF(BE270=1,ROUND(AQ270/60,6),0)</f>
        <v>0</v>
      </c>
      <c r="BK270" s="80">
        <f>IF(BE270=1,ROUND((AR270+AS270)/60,6),0)</f>
        <v>0</v>
      </c>
      <c r="BL270" s="80">
        <f>ROUND(BH270-BK270,6)</f>
        <v>0</v>
      </c>
      <c r="BM270" s="80">
        <f>IF(BE270=1,ROUND(AR270/60,6),0)</f>
        <v>0</v>
      </c>
      <c r="BN270" s="80">
        <f>ROUND(BI270-BM270,6)</f>
        <v>0</v>
      </c>
      <c r="BO270" s="80">
        <f>IF(BE270=1,ROUND(AS270/60,6),0)</f>
        <v>0</v>
      </c>
      <c r="BP270" s="80">
        <f>ROUND(BJ270-BO270,6)</f>
        <v>0</v>
      </c>
      <c r="BQ270" s="80">
        <f>IF(BE270=1,AW270,0)</f>
        <v>0</v>
      </c>
      <c r="BR270" s="80">
        <f>IF(BE270=1,AX270,0)</f>
        <v>0</v>
      </c>
      <c r="BS270" s="80">
        <f>IF(AND(BE270=1,D270="Malcolm",BA270&gt;0),MIN(BH270,SUMPRODUCT((R_Emp="proMX")*(R_EN&gt;0)*((R_EN-(R_EN&gt;BR270)*(R_EN-BR270))&gt;(R_SN+(R_SN&lt;BQ270)*(BQ270-R_SN)))*((R_EN-(R_EN&gt;BR270)*(R_EN-BR270))-(R_SN+(R_SN&lt;BQ270)*(BQ270-R_SN))))/60),0)</f>
        <v>0</v>
      </c>
      <c r="BT270" s="80">
        <f>IF(AND(BE270=1,D270="proMX"),ROUND(BI270*CFG_RATE+BJ270*CFG_OTRATE,6),0)</f>
        <v>0</v>
      </c>
      <c r="BU270" s="80">
        <f>IF(AND(BD270=1,D270="proMX"),ROUND(AG270/CFG_BLK,6),0)</f>
        <v>0</v>
      </c>
      <c r="BV270" s="80" t="str">
        <f>IF(BF270="Approved",IF(ISNUMBER(T270),INT(T270),INT(B270)),"")</f>
        <v/>
      </c>
      <c r="BW270" s="80">
        <f>IF(ISNUMBER(B270),IF(DB_MON="Todos",1,IF(AND(INT(B270)&gt;=DB_MS,INT(B270)&lt;=DB_ME),1,0)),0)</f>
        <v>0</v>
      </c>
      <c r="BX270" s="80">
        <f>IF(DB_PROJ="Todos",1,IF(E270&amp;""=DB_PROJ&amp;"",1,0))</f>
        <v>1</v>
      </c>
      <c r="BY270" s="80">
        <f>BW270*BX270</f>
        <v>0</v>
      </c>
      <c r="BZ270" s="80" t="str">
        <f>IF(Y270=1,F270&amp;IF(AND(F270&amp;""&lt;&gt;"",E270&amp;""&lt;&gt;"")," · ","")&amp;E270,"")</f>
        <v/>
      </c>
      <c r="CA270" s="80" t="str">
        <f>IF(AND(BD270=1,E270&amp;""&lt;&gt;""),IF(COUNTIFS($E$5:E269,E270,$BD$5:BD269,1)=0,MAX($CA$5:CA269)+1,""),"")</f>
        <v/>
      </c>
      <c r="CB270" s="80" t="str">
        <f>IF(AND(BE270=1,D270="Malcolm",E270&amp;""&lt;&gt;""),IF(COUNTIFS($D$5:D269,"Malcolm",$E$5:E269,E270,$BE$5:BE269,1)=0,MAX($CB$5:CB269)+1,""),"")</f>
        <v/>
      </c>
      <c r="CC270" s="80" t="str">
        <f>IF(AND(BD270=1,D270="proMX",E270&amp;""&lt;&gt;""),IF(COUNTIFS($D$5:D269,"proMX",$E$5:E269,E270,$BD$5:BD269,1)=0,MAX($CC$5:CC269)+1,""),"")</f>
        <v/>
      </c>
      <c r="CD270" s="80" t="str">
        <f>IF(AND(BE270=1,D270="Malcolm",F270&amp;""&lt;&gt;""),IF(COUNTIFS($D$5:D269,"Malcolm",$F$5:F269,F270,$BE$5:BE269,1)=0,MAX($CD$5:CD269)+1,""),"")</f>
        <v/>
      </c>
      <c r="CE270" s="80" t="str">
        <f>IF(AND(BD270=1,D270="proMX",F270&amp;""&lt;&gt;""),IF(COUNTIFS($D$5:D269,"proMX",$F$5:F269,F270,$BD$5:BD269,1)=0,MAX($CE$5:CE269)+1,""),"")</f>
        <v/>
      </c>
      <c r="CF270" s="80" t="str">
        <f>IF(AND(D270="proMX",BD270=1),IF(OR(BF270="Draft",BF270="Submitted",BF270="Returned",BF270="Recall Requested"),MAX($CF$5:CF269)+1,""),"")</f>
        <v/>
      </c>
      <c r="CG270" s="80">
        <f>IF(BD270=0,0,IF(D270="Malcolm",1,MATCH(BF270,{"Draft","Submitted","Approved","Returned","Recall Requested","Cancelled"},0)+1))</f>
        <v>0</v>
      </c>
      <c r="CH270" s="80">
        <f>IF(AND(BF270="Submitted",ISNUMBER(V270)),IF(V270&gt;CFG_MAXD,1,0),0)</f>
        <v>0</v>
      </c>
    </row>
    <row r="271">
      <c r="A271" s="71" t="str">
        <f>IF(Y271=1,ROW()-5,"")</f>
        <v/>
      </c>
      <c r="B271" s="72" t="n"/>
      <c r="C271" s="71" t="str">
        <f>IF(ISNUMBER(B271),CHOOSE(WEEKDAY(B271,2),"Lun","Mar","Mié","Jue","Vie","Sáb","Dom"),"")</f>
        <v/>
      </c>
      <c r="D271" s="73" t="n"/>
      <c r="E271" s="74" t="n"/>
      <c r="F271" s="74" t="n"/>
      <c r="G271" s="74" t="n"/>
      <c r="H271" s="75" t="n"/>
      <c r="I271" s="75" t="n"/>
      <c r="J271" s="76" t="n"/>
      <c r="K271" s="77" t="str">
        <f>IF(AB271=1,ROUND(AG271/60,4),"")</f>
        <v/>
      </c>
      <c r="L271" s="77" t="str">
        <f>IF(BD271=1,ROUND(AP271/60,4),"")</f>
        <v/>
      </c>
      <c r="M271" s="77" t="str">
        <f>IF(BD271=1,ROUND(AQ271/60,4),"")</f>
        <v/>
      </c>
      <c r="N271" s="71" t="str">
        <f>IF(AND(D271="proMX",AB271=1),ROUND(AG271/CFG_BLK,2),"")</f>
        <v/>
      </c>
      <c r="O271" s="77" t="str">
        <f>IF(D271="proMX",IF(BD271=1,ROUND(AG271/60,4),0),"")</f>
        <v/>
      </c>
      <c r="P271" s="78" t="str">
        <f>IF(Y271=0,"",IF(BD271=1,"OK",IF(D271="proMX","Revisar bloques: ","Revisar: ")&amp;BC271))</f>
        <v/>
      </c>
      <c r="Q271" s="78" t="str">
        <f>IF(NOT(ISNUMBER(B271)),"",IF(COUNTIFS(FER_F,INT(B271))&gt;0,"Feriado"&amp;IF(AH271=1," (laborable)"," (no laborable)"),IF(AH271=1,"Laborable",IF(WEEKDAY(B271,2)&gt;5,"Fin de semana","No laborable"))))</f>
        <v/>
      </c>
      <c r="R271" s="73" t="n"/>
      <c r="S271" s="72" t="n"/>
      <c r="T271" s="72" t="n"/>
      <c r="U271" s="74" t="n"/>
      <c r="V271" s="79" t="str">
        <f>IF(AND(D271="proMX",OR(R271="Submitted",R271="Recall Requested"),ISNUMBER(S271)),CFG_TODAY-INT(S271),"")</f>
        <v/>
      </c>
      <c r="W271" s="78" t="str">
        <f>IF(BD271=0,"",IF(BA271&gt;0,"⚠ Se superpone con un registro de la otra empresa",IF(D271="Malcolm",IF(COUNTA(R271,S271,T271)&gt;0,"Estado/fechas proMX se ignoran en Malcolm",""),IF(BF271="Cancelled","Cancelado: excluido de totales",IF(R271="","Sin estado: se trata como Draft",IF(BF271="Submitted",IF(ISNUMBER(V271),IF(V271&gt;CFG_MAXD,"⚠ "&amp;V271&amp;" días en Submitted (máx. "&amp;CFG_MAXD&amp;")",""),"Falta fecha de envío"),IF(BF271="Returned","⚠ Devuelto: corregir y reenviar",IF(BF271="Recall Requested","Retirada solicitada: pendiente",IF(AND(BF271="Approved",NOT(ISNUMBER(T271))),"Falta fecha de aprobación",IF(AND(ISNUMBER(S271),ISNUMBER(T271),T271&lt;S271),"Aprobación anterior al envío","")))))))))</f>
        <v/>
      </c>
      <c r="Y271" s="80">
        <f>IF(COUNTA(B271,D271,E271,F271,G271,H271,I271,J271,R271,S271,T271)&gt;0,1,0)</f>
        <v>0</v>
      </c>
      <c r="Z271" s="80" t="str">
        <f>IF(AND(ISNUMBER(H271),H271&gt;=0,H271&lt;1),ROUND(H271*1440,0),"")</f>
        <v/>
      </c>
      <c r="AA271" s="80" t="str">
        <f>IF(AND(ISNUMBER(I271),I271&gt;=0,I271&lt;1),ROUND(I271*1440,0),"")</f>
        <v/>
      </c>
      <c r="AB271" s="80">
        <f>IF(AND(ISNUMBER(B271),D271&lt;&gt;"",ISNUMBER(Z271),ISNUMBER(AA271)),IF(Z271=AA271,0,1),0)</f>
        <v>0</v>
      </c>
      <c r="AC271" s="80">
        <f>IF(AB271=1,IF(AA271&lt;Z271,1,0),0)</f>
        <v>0</v>
      </c>
      <c r="AD271" s="80">
        <f>IF(AB271=1,IF(AC271=1,1440-Z271+AA271,AA271-Z271),0)</f>
        <v>0</v>
      </c>
      <c r="AE271" s="80">
        <f>IF(J271="",0,IF(ISNUMBER(J271),J271,-1))</f>
        <v>0</v>
      </c>
      <c r="AF271" s="80">
        <f>MIN(MAX(0,AE271),AD271)</f>
        <v>0</v>
      </c>
      <c r="AG271" s="80">
        <f>MAX(0,AD271-MAX(0,AE271))</f>
        <v>0</v>
      </c>
      <c r="AH271" s="80">
        <f>IF(ISNUMBER(B271),IF(AND(INDEX(CFG_WDAYS,WEEKDAY(INT(B271),2))="Sí",IF(D271="proMX",COUNTIFS(FER_F,INT(B271),FER_NLP,"Sí"),COUNTIFS(FER_F,INT(B271),FER_NLM,"Sí"))=0),1,0),0)</f>
        <v>0</v>
      </c>
      <c r="AI271" s="80">
        <f>IF(AC271=1,IF(AND(INDEX(CFG_WDAYS,WEEKDAY(INT(B271)+1,2))="Sí",IF(D271="proMX",COUNTIFS(FER_F,INT(B271)+1,FER_NLP,"Sí"),COUNTIFS(FER_F,INT(B271)+1,FER_NLM,"Sí"))=0),1,0),0)</f>
        <v>0</v>
      </c>
      <c r="AJ271" s="80">
        <f>IF(AC271=1,1440-Z271,AD271)</f>
        <v>0</v>
      </c>
      <c r="AK271" s="80">
        <f>IF(AND(AB271=1,AH271=1),MAX(0,MIN(IF(AC271=1,1440,AA271),CFG_WEM)-MAX(Z271,CFG_WSM)),0)</f>
        <v>0</v>
      </c>
      <c r="AL271" s="80">
        <f>IF(AND(AC271=1,AI271=1),MAX(0,MIN(AA271,CFG_WEM)-CFG_WSM),0)</f>
        <v>0</v>
      </c>
      <c r="AM271" s="80">
        <f>AK271+AL271</f>
        <v>0</v>
      </c>
      <c r="AN271" s="80">
        <f>IF(CFG_BRK="Proporcional",IF(AD271=0,0,AF271*AM271/AD271),IF(CFG_BRK="Extras primero",MIN(AM271,MAX(0,AF271-(AD271-AM271))),MIN(AF271,AM271)))</f>
        <v>0</v>
      </c>
      <c r="AO271" s="80">
        <f>AF271-AN271</f>
        <v>0</v>
      </c>
      <c r="AP271" s="80">
        <f>AM271-AN271</f>
        <v>0</v>
      </c>
      <c r="AQ271" s="80">
        <f>AD271-AM271-AO271</f>
        <v>0</v>
      </c>
      <c r="AR271" s="80">
        <f>IF(AM271=0,0,AK271-AN271*AK271/AM271)</f>
        <v>0</v>
      </c>
      <c r="AS271" s="80">
        <f>IF(AD271-AM271=0,0,(AJ271-AK271)-AO271*(AJ271-AK271)/(AD271-AM271))</f>
        <v>0</v>
      </c>
      <c r="AT271" s="80" t="str">
        <f>IF(AC271=1,INT(B271)+1,"")</f>
        <v/>
      </c>
      <c r="AU271" s="80">
        <f>IF(AND(D271="proMX",R271="Cancelled"),0,1)</f>
        <v>1</v>
      </c>
      <c r="AV271" s="80">
        <f>IF(AND(AB271=1,AU271=1),IF(COUNTIFS($D$5:D270,D271,$B$5:B270,B271,$Z$5:Z270,Z271,$AA$5:AA270,AA271,$F$5:F270,F271&amp;"",$AU$5:AU270,1)&gt;0,1,0),0)</f>
        <v>0</v>
      </c>
      <c r="AW271" s="80" t="str">
        <f>IF(AB271=1,INT(B271)*1440+Z271,"")</f>
        <v/>
      </c>
      <c r="AX271" s="80" t="str">
        <f>IF(AB271=1,AW271+AD271,"")</f>
        <v/>
      </c>
      <c r="AY271" s="80">
        <f>IF(AND(AB271=1,AV271=0,AU271=1),1,0)</f>
        <v>0</v>
      </c>
      <c r="AZ271" s="80">
        <f>IF(AY271=1,COUNTIFS(R_Emp,D271,R_SAbs,"&lt;"&amp;AX271,R_EAbs,"&gt;"&amp;AW271,R_OKey,1)-1,0)</f>
        <v>0</v>
      </c>
      <c r="BA271" s="80">
        <f>IF(AY271=1,COUNTIFS(R_Emp,"&lt;&gt;"&amp;D271,R_SAbs,"&lt;"&amp;AX271,R_EAbs,"&gt;"&amp;AW271,R_OKey,1),0)</f>
        <v>0</v>
      </c>
      <c r="BB271" s="80">
        <f>IF(AND(AB271=1,D271="proMX"),IF(AND(MOD(Z271,CFG_BLK)=0,MOD(AA271,CFG_BLK)=0,MOD(AG271,CFG_BLK)=0,AG271&gt;0),1,0),1)</f>
        <v>1</v>
      </c>
      <c r="BC271" s="80" t="str">
        <f>IF(Y271=0,"",IF(NOT(ISNUMBER(B271)),"Falta fecha o fecha inválida",IF(D271="","Falta empresa",IF(AND(D271&lt;&gt;"Malcolm",D271&lt;&gt;"proMX"),"Empresa inválida",IF(OR(INT(B271)&lt;CFG_PSTART,INT(B271)&gt;CFG_PEND),"Fecha fuera del período",IF(OR(NOT(ISNUMBER(Z271)),NOT(ISNUMBER(AA271))),"Falta hora inicio/fin o formato inválido",IF(AB271=0,"Hora inicio = hora fin",IF(AE271&lt;0,"Descanso inválido",IF(AE271&gt;=AD271,"Descanso ≥ duración",IF(AV271=1,"Registro duplicado",IF(AZ271&gt;0,"Se superpone con otro registro "&amp;D271,IF(BB271=0,"inicio, fin y duración neta deben ser múltiplos de "&amp;CFG_BLK&amp;" min",""))))))))))))</f>
        <v/>
      </c>
      <c r="BD271" s="80">
        <f>IF(AND(Y271=1,BC271=""),1,0)</f>
        <v>0</v>
      </c>
      <c r="BE271" s="80">
        <f>IF(AND(BD271=1,AU271=1),1,0)</f>
        <v>0</v>
      </c>
      <c r="BF271" s="80" t="str">
        <f>IF(AND(D271="proMX",BD271=1),IF(R271="","Draft",R271),"")</f>
        <v/>
      </c>
      <c r="BG271" s="80">
        <f>IF(BD271=1,ROUND(AG271/60,6),0)</f>
        <v>0</v>
      </c>
      <c r="BH271" s="80">
        <f>IF(BE271=1,ROUND(AG271/60,6),0)</f>
        <v>0</v>
      </c>
      <c r="BI271" s="80">
        <f>IF(BE271=1,ROUND(AP271/60,6),0)</f>
        <v>0</v>
      </c>
      <c r="BJ271" s="80">
        <f>IF(BE271=1,ROUND(AQ271/60,6),0)</f>
        <v>0</v>
      </c>
      <c r="BK271" s="80">
        <f>IF(BE271=1,ROUND((AR271+AS271)/60,6),0)</f>
        <v>0</v>
      </c>
      <c r="BL271" s="80">
        <f>ROUND(BH271-BK271,6)</f>
        <v>0</v>
      </c>
      <c r="BM271" s="80">
        <f>IF(BE271=1,ROUND(AR271/60,6),0)</f>
        <v>0</v>
      </c>
      <c r="BN271" s="80">
        <f>ROUND(BI271-BM271,6)</f>
        <v>0</v>
      </c>
      <c r="BO271" s="80">
        <f>IF(BE271=1,ROUND(AS271/60,6),0)</f>
        <v>0</v>
      </c>
      <c r="BP271" s="80">
        <f>ROUND(BJ271-BO271,6)</f>
        <v>0</v>
      </c>
      <c r="BQ271" s="80">
        <f>IF(BE271=1,AW271,0)</f>
        <v>0</v>
      </c>
      <c r="BR271" s="80">
        <f>IF(BE271=1,AX271,0)</f>
        <v>0</v>
      </c>
      <c r="BS271" s="80">
        <f>IF(AND(BE271=1,D271="Malcolm",BA271&gt;0),MIN(BH271,SUMPRODUCT((R_Emp="proMX")*(R_EN&gt;0)*((R_EN-(R_EN&gt;BR271)*(R_EN-BR271))&gt;(R_SN+(R_SN&lt;BQ271)*(BQ271-R_SN)))*((R_EN-(R_EN&gt;BR271)*(R_EN-BR271))-(R_SN+(R_SN&lt;BQ271)*(BQ271-R_SN))))/60),0)</f>
        <v>0</v>
      </c>
      <c r="BT271" s="80">
        <f>IF(AND(BE271=1,D271="proMX"),ROUND(BI271*CFG_RATE+BJ271*CFG_OTRATE,6),0)</f>
        <v>0</v>
      </c>
      <c r="BU271" s="80">
        <f>IF(AND(BD271=1,D271="proMX"),ROUND(AG271/CFG_BLK,6),0)</f>
        <v>0</v>
      </c>
      <c r="BV271" s="80" t="str">
        <f>IF(BF271="Approved",IF(ISNUMBER(T271),INT(T271),INT(B271)),"")</f>
        <v/>
      </c>
      <c r="BW271" s="80">
        <f>IF(ISNUMBER(B271),IF(DB_MON="Todos",1,IF(AND(INT(B271)&gt;=DB_MS,INT(B271)&lt;=DB_ME),1,0)),0)</f>
        <v>0</v>
      </c>
      <c r="BX271" s="80">
        <f>IF(DB_PROJ="Todos",1,IF(E271&amp;""=DB_PROJ&amp;"",1,0))</f>
        <v>1</v>
      </c>
      <c r="BY271" s="80">
        <f>BW271*BX271</f>
        <v>0</v>
      </c>
      <c r="BZ271" s="80" t="str">
        <f>IF(Y271=1,F271&amp;IF(AND(F271&amp;""&lt;&gt;"",E271&amp;""&lt;&gt;"")," · ","")&amp;E271,"")</f>
        <v/>
      </c>
      <c r="CA271" s="80" t="str">
        <f>IF(AND(BD271=1,E271&amp;""&lt;&gt;""),IF(COUNTIFS($E$5:E270,E271,$BD$5:BD270,1)=0,MAX($CA$5:CA270)+1,""),"")</f>
        <v/>
      </c>
      <c r="CB271" s="80" t="str">
        <f>IF(AND(BE271=1,D271="Malcolm",E271&amp;""&lt;&gt;""),IF(COUNTIFS($D$5:D270,"Malcolm",$E$5:E270,E271,$BE$5:BE270,1)=0,MAX($CB$5:CB270)+1,""),"")</f>
        <v/>
      </c>
      <c r="CC271" s="80" t="str">
        <f>IF(AND(BD271=1,D271="proMX",E271&amp;""&lt;&gt;""),IF(COUNTIFS($D$5:D270,"proMX",$E$5:E270,E271,$BD$5:BD270,1)=0,MAX($CC$5:CC270)+1,""),"")</f>
        <v/>
      </c>
      <c r="CD271" s="80" t="str">
        <f>IF(AND(BE271=1,D271="Malcolm",F271&amp;""&lt;&gt;""),IF(COUNTIFS($D$5:D270,"Malcolm",$F$5:F270,F271,$BE$5:BE270,1)=0,MAX($CD$5:CD270)+1,""),"")</f>
        <v/>
      </c>
      <c r="CE271" s="80" t="str">
        <f>IF(AND(BD271=1,D271="proMX",F271&amp;""&lt;&gt;""),IF(COUNTIFS($D$5:D270,"proMX",$F$5:F270,F271,$BD$5:BD270,1)=0,MAX($CE$5:CE270)+1,""),"")</f>
        <v/>
      </c>
      <c r="CF271" s="80" t="str">
        <f>IF(AND(D271="proMX",BD271=1),IF(OR(BF271="Draft",BF271="Submitted",BF271="Returned",BF271="Recall Requested"),MAX($CF$5:CF270)+1,""),"")</f>
        <v/>
      </c>
      <c r="CG271" s="80">
        <f>IF(BD271=0,0,IF(D271="Malcolm",1,MATCH(BF271,{"Draft","Submitted","Approved","Returned","Recall Requested","Cancelled"},0)+1))</f>
        <v>0</v>
      </c>
      <c r="CH271" s="80">
        <f>IF(AND(BF271="Submitted",ISNUMBER(V271)),IF(V271&gt;CFG_MAXD,1,0),0)</f>
        <v>0</v>
      </c>
    </row>
    <row r="272">
      <c r="A272" s="71" t="str">
        <f>IF(Y272=1,ROW()-5,"")</f>
        <v/>
      </c>
      <c r="B272" s="72" t="n"/>
      <c r="C272" s="71" t="str">
        <f>IF(ISNUMBER(B272),CHOOSE(WEEKDAY(B272,2),"Lun","Mar","Mié","Jue","Vie","Sáb","Dom"),"")</f>
        <v/>
      </c>
      <c r="D272" s="73" t="n"/>
      <c r="E272" s="74" t="n"/>
      <c r="F272" s="74" t="n"/>
      <c r="G272" s="74" t="n"/>
      <c r="H272" s="75" t="n"/>
      <c r="I272" s="75" t="n"/>
      <c r="J272" s="76" t="n"/>
      <c r="K272" s="77" t="str">
        <f>IF(AB272=1,ROUND(AG272/60,4),"")</f>
        <v/>
      </c>
      <c r="L272" s="77" t="str">
        <f>IF(BD272=1,ROUND(AP272/60,4),"")</f>
        <v/>
      </c>
      <c r="M272" s="77" t="str">
        <f>IF(BD272=1,ROUND(AQ272/60,4),"")</f>
        <v/>
      </c>
      <c r="N272" s="71" t="str">
        <f>IF(AND(D272="proMX",AB272=1),ROUND(AG272/CFG_BLK,2),"")</f>
        <v/>
      </c>
      <c r="O272" s="77" t="str">
        <f>IF(D272="proMX",IF(BD272=1,ROUND(AG272/60,4),0),"")</f>
        <v/>
      </c>
      <c r="P272" s="78" t="str">
        <f>IF(Y272=0,"",IF(BD272=1,"OK",IF(D272="proMX","Revisar bloques: ","Revisar: ")&amp;BC272))</f>
        <v/>
      </c>
      <c r="Q272" s="78" t="str">
        <f>IF(NOT(ISNUMBER(B272)),"",IF(COUNTIFS(FER_F,INT(B272))&gt;0,"Feriado"&amp;IF(AH272=1," (laborable)"," (no laborable)"),IF(AH272=1,"Laborable",IF(WEEKDAY(B272,2)&gt;5,"Fin de semana","No laborable"))))</f>
        <v/>
      </c>
      <c r="R272" s="73" t="n"/>
      <c r="S272" s="72" t="n"/>
      <c r="T272" s="72" t="n"/>
      <c r="U272" s="74" t="n"/>
      <c r="V272" s="79" t="str">
        <f>IF(AND(D272="proMX",OR(R272="Submitted",R272="Recall Requested"),ISNUMBER(S272)),CFG_TODAY-INT(S272),"")</f>
        <v/>
      </c>
      <c r="W272" s="78" t="str">
        <f>IF(BD272=0,"",IF(BA272&gt;0,"⚠ Se superpone con un registro de la otra empresa",IF(D272="Malcolm",IF(COUNTA(R272,S272,T272)&gt;0,"Estado/fechas proMX se ignoran en Malcolm",""),IF(BF272="Cancelled","Cancelado: excluido de totales",IF(R272="","Sin estado: se trata como Draft",IF(BF272="Submitted",IF(ISNUMBER(V272),IF(V272&gt;CFG_MAXD,"⚠ "&amp;V272&amp;" días en Submitted (máx. "&amp;CFG_MAXD&amp;")",""),"Falta fecha de envío"),IF(BF272="Returned","⚠ Devuelto: corregir y reenviar",IF(BF272="Recall Requested","Retirada solicitada: pendiente",IF(AND(BF272="Approved",NOT(ISNUMBER(T272))),"Falta fecha de aprobación",IF(AND(ISNUMBER(S272),ISNUMBER(T272),T272&lt;S272),"Aprobación anterior al envío","")))))))))</f>
        <v/>
      </c>
      <c r="Y272" s="80">
        <f>IF(COUNTA(B272,D272,E272,F272,G272,H272,I272,J272,R272,S272,T272)&gt;0,1,0)</f>
        <v>0</v>
      </c>
      <c r="Z272" s="80" t="str">
        <f>IF(AND(ISNUMBER(H272),H272&gt;=0,H272&lt;1),ROUND(H272*1440,0),"")</f>
        <v/>
      </c>
      <c r="AA272" s="80" t="str">
        <f>IF(AND(ISNUMBER(I272),I272&gt;=0,I272&lt;1),ROUND(I272*1440,0),"")</f>
        <v/>
      </c>
      <c r="AB272" s="80">
        <f>IF(AND(ISNUMBER(B272),D272&lt;&gt;"",ISNUMBER(Z272),ISNUMBER(AA272)),IF(Z272=AA272,0,1),0)</f>
        <v>0</v>
      </c>
      <c r="AC272" s="80">
        <f>IF(AB272=1,IF(AA272&lt;Z272,1,0),0)</f>
        <v>0</v>
      </c>
      <c r="AD272" s="80">
        <f>IF(AB272=1,IF(AC272=1,1440-Z272+AA272,AA272-Z272),0)</f>
        <v>0</v>
      </c>
      <c r="AE272" s="80">
        <f>IF(J272="",0,IF(ISNUMBER(J272),J272,-1))</f>
        <v>0</v>
      </c>
      <c r="AF272" s="80">
        <f>MIN(MAX(0,AE272),AD272)</f>
        <v>0</v>
      </c>
      <c r="AG272" s="80">
        <f>MAX(0,AD272-MAX(0,AE272))</f>
        <v>0</v>
      </c>
      <c r="AH272" s="80">
        <f>IF(ISNUMBER(B272),IF(AND(INDEX(CFG_WDAYS,WEEKDAY(INT(B272),2))="Sí",IF(D272="proMX",COUNTIFS(FER_F,INT(B272),FER_NLP,"Sí"),COUNTIFS(FER_F,INT(B272),FER_NLM,"Sí"))=0),1,0),0)</f>
        <v>0</v>
      </c>
      <c r="AI272" s="80">
        <f>IF(AC272=1,IF(AND(INDEX(CFG_WDAYS,WEEKDAY(INT(B272)+1,2))="Sí",IF(D272="proMX",COUNTIFS(FER_F,INT(B272)+1,FER_NLP,"Sí"),COUNTIFS(FER_F,INT(B272)+1,FER_NLM,"Sí"))=0),1,0),0)</f>
        <v>0</v>
      </c>
      <c r="AJ272" s="80">
        <f>IF(AC272=1,1440-Z272,AD272)</f>
        <v>0</v>
      </c>
      <c r="AK272" s="80">
        <f>IF(AND(AB272=1,AH272=1),MAX(0,MIN(IF(AC272=1,1440,AA272),CFG_WEM)-MAX(Z272,CFG_WSM)),0)</f>
        <v>0</v>
      </c>
      <c r="AL272" s="80">
        <f>IF(AND(AC272=1,AI272=1),MAX(0,MIN(AA272,CFG_WEM)-CFG_WSM),0)</f>
        <v>0</v>
      </c>
      <c r="AM272" s="80">
        <f>AK272+AL272</f>
        <v>0</v>
      </c>
      <c r="AN272" s="80">
        <f>IF(CFG_BRK="Proporcional",IF(AD272=0,0,AF272*AM272/AD272),IF(CFG_BRK="Extras primero",MIN(AM272,MAX(0,AF272-(AD272-AM272))),MIN(AF272,AM272)))</f>
        <v>0</v>
      </c>
      <c r="AO272" s="80">
        <f>AF272-AN272</f>
        <v>0</v>
      </c>
      <c r="AP272" s="80">
        <f>AM272-AN272</f>
        <v>0</v>
      </c>
      <c r="AQ272" s="80">
        <f>AD272-AM272-AO272</f>
        <v>0</v>
      </c>
      <c r="AR272" s="80">
        <f>IF(AM272=0,0,AK272-AN272*AK272/AM272)</f>
        <v>0</v>
      </c>
      <c r="AS272" s="80">
        <f>IF(AD272-AM272=0,0,(AJ272-AK272)-AO272*(AJ272-AK272)/(AD272-AM272))</f>
        <v>0</v>
      </c>
      <c r="AT272" s="80" t="str">
        <f>IF(AC272=1,INT(B272)+1,"")</f>
        <v/>
      </c>
      <c r="AU272" s="80">
        <f>IF(AND(D272="proMX",R272="Cancelled"),0,1)</f>
        <v>1</v>
      </c>
      <c r="AV272" s="80">
        <f>IF(AND(AB272=1,AU272=1),IF(COUNTIFS($D$5:D271,D272,$B$5:B271,B272,$Z$5:Z271,Z272,$AA$5:AA271,AA272,$F$5:F271,F272&amp;"",$AU$5:AU271,1)&gt;0,1,0),0)</f>
        <v>0</v>
      </c>
      <c r="AW272" s="80" t="str">
        <f>IF(AB272=1,INT(B272)*1440+Z272,"")</f>
        <v/>
      </c>
      <c r="AX272" s="80" t="str">
        <f>IF(AB272=1,AW272+AD272,"")</f>
        <v/>
      </c>
      <c r="AY272" s="80">
        <f>IF(AND(AB272=1,AV272=0,AU272=1),1,0)</f>
        <v>0</v>
      </c>
      <c r="AZ272" s="80">
        <f>IF(AY272=1,COUNTIFS(R_Emp,D272,R_SAbs,"&lt;"&amp;AX272,R_EAbs,"&gt;"&amp;AW272,R_OKey,1)-1,0)</f>
        <v>0</v>
      </c>
      <c r="BA272" s="80">
        <f>IF(AY272=1,COUNTIFS(R_Emp,"&lt;&gt;"&amp;D272,R_SAbs,"&lt;"&amp;AX272,R_EAbs,"&gt;"&amp;AW272,R_OKey,1),0)</f>
        <v>0</v>
      </c>
      <c r="BB272" s="80">
        <f>IF(AND(AB272=1,D272="proMX"),IF(AND(MOD(Z272,CFG_BLK)=0,MOD(AA272,CFG_BLK)=0,MOD(AG272,CFG_BLK)=0,AG272&gt;0),1,0),1)</f>
        <v>1</v>
      </c>
      <c r="BC272" s="80" t="str">
        <f>IF(Y272=0,"",IF(NOT(ISNUMBER(B272)),"Falta fecha o fecha inválida",IF(D272="","Falta empresa",IF(AND(D272&lt;&gt;"Malcolm",D272&lt;&gt;"proMX"),"Empresa inválida",IF(OR(INT(B272)&lt;CFG_PSTART,INT(B272)&gt;CFG_PEND),"Fecha fuera del período",IF(OR(NOT(ISNUMBER(Z272)),NOT(ISNUMBER(AA272))),"Falta hora inicio/fin o formato inválido",IF(AB272=0,"Hora inicio = hora fin",IF(AE272&lt;0,"Descanso inválido",IF(AE272&gt;=AD272,"Descanso ≥ duración",IF(AV272=1,"Registro duplicado",IF(AZ272&gt;0,"Se superpone con otro registro "&amp;D272,IF(BB272=0,"inicio, fin y duración neta deben ser múltiplos de "&amp;CFG_BLK&amp;" min",""))))))))))))</f>
        <v/>
      </c>
      <c r="BD272" s="80">
        <f>IF(AND(Y272=1,BC272=""),1,0)</f>
        <v>0</v>
      </c>
      <c r="BE272" s="80">
        <f>IF(AND(BD272=1,AU272=1),1,0)</f>
        <v>0</v>
      </c>
      <c r="BF272" s="80" t="str">
        <f>IF(AND(D272="proMX",BD272=1),IF(R272="","Draft",R272),"")</f>
        <v/>
      </c>
      <c r="BG272" s="80">
        <f>IF(BD272=1,ROUND(AG272/60,6),0)</f>
        <v>0</v>
      </c>
      <c r="BH272" s="80">
        <f>IF(BE272=1,ROUND(AG272/60,6),0)</f>
        <v>0</v>
      </c>
      <c r="BI272" s="80">
        <f>IF(BE272=1,ROUND(AP272/60,6),0)</f>
        <v>0</v>
      </c>
      <c r="BJ272" s="80">
        <f>IF(BE272=1,ROUND(AQ272/60,6),0)</f>
        <v>0</v>
      </c>
      <c r="BK272" s="80">
        <f>IF(BE272=1,ROUND((AR272+AS272)/60,6),0)</f>
        <v>0</v>
      </c>
      <c r="BL272" s="80">
        <f>ROUND(BH272-BK272,6)</f>
        <v>0</v>
      </c>
      <c r="BM272" s="80">
        <f>IF(BE272=1,ROUND(AR272/60,6),0)</f>
        <v>0</v>
      </c>
      <c r="BN272" s="80">
        <f>ROUND(BI272-BM272,6)</f>
        <v>0</v>
      </c>
      <c r="BO272" s="80">
        <f>IF(BE272=1,ROUND(AS272/60,6),0)</f>
        <v>0</v>
      </c>
      <c r="BP272" s="80">
        <f>ROUND(BJ272-BO272,6)</f>
        <v>0</v>
      </c>
      <c r="BQ272" s="80">
        <f>IF(BE272=1,AW272,0)</f>
        <v>0</v>
      </c>
      <c r="BR272" s="80">
        <f>IF(BE272=1,AX272,0)</f>
        <v>0</v>
      </c>
      <c r="BS272" s="80">
        <f>IF(AND(BE272=1,D272="Malcolm",BA272&gt;0),MIN(BH272,SUMPRODUCT((R_Emp="proMX")*(R_EN&gt;0)*((R_EN-(R_EN&gt;BR272)*(R_EN-BR272))&gt;(R_SN+(R_SN&lt;BQ272)*(BQ272-R_SN)))*((R_EN-(R_EN&gt;BR272)*(R_EN-BR272))-(R_SN+(R_SN&lt;BQ272)*(BQ272-R_SN))))/60),0)</f>
        <v>0</v>
      </c>
      <c r="BT272" s="80">
        <f>IF(AND(BE272=1,D272="proMX"),ROUND(BI272*CFG_RATE+BJ272*CFG_OTRATE,6),0)</f>
        <v>0</v>
      </c>
      <c r="BU272" s="80">
        <f>IF(AND(BD272=1,D272="proMX"),ROUND(AG272/CFG_BLK,6),0)</f>
        <v>0</v>
      </c>
      <c r="BV272" s="80" t="str">
        <f>IF(BF272="Approved",IF(ISNUMBER(T272),INT(T272),INT(B272)),"")</f>
        <v/>
      </c>
      <c r="BW272" s="80">
        <f>IF(ISNUMBER(B272),IF(DB_MON="Todos",1,IF(AND(INT(B272)&gt;=DB_MS,INT(B272)&lt;=DB_ME),1,0)),0)</f>
        <v>0</v>
      </c>
      <c r="BX272" s="80">
        <f>IF(DB_PROJ="Todos",1,IF(E272&amp;""=DB_PROJ&amp;"",1,0))</f>
        <v>1</v>
      </c>
      <c r="BY272" s="80">
        <f>BW272*BX272</f>
        <v>0</v>
      </c>
      <c r="BZ272" s="80" t="str">
        <f>IF(Y272=1,F272&amp;IF(AND(F272&amp;""&lt;&gt;"",E272&amp;""&lt;&gt;"")," · ","")&amp;E272,"")</f>
        <v/>
      </c>
      <c r="CA272" s="80" t="str">
        <f>IF(AND(BD272=1,E272&amp;""&lt;&gt;""),IF(COUNTIFS($E$5:E271,E272,$BD$5:BD271,1)=0,MAX($CA$5:CA271)+1,""),"")</f>
        <v/>
      </c>
      <c r="CB272" s="80" t="str">
        <f>IF(AND(BE272=1,D272="Malcolm",E272&amp;""&lt;&gt;""),IF(COUNTIFS($D$5:D271,"Malcolm",$E$5:E271,E272,$BE$5:BE271,1)=0,MAX($CB$5:CB271)+1,""),"")</f>
        <v/>
      </c>
      <c r="CC272" s="80" t="str">
        <f>IF(AND(BD272=1,D272="proMX",E272&amp;""&lt;&gt;""),IF(COUNTIFS($D$5:D271,"proMX",$E$5:E271,E272,$BD$5:BD271,1)=0,MAX($CC$5:CC271)+1,""),"")</f>
        <v/>
      </c>
      <c r="CD272" s="80" t="str">
        <f>IF(AND(BE272=1,D272="Malcolm",F272&amp;""&lt;&gt;""),IF(COUNTIFS($D$5:D271,"Malcolm",$F$5:F271,F272,$BE$5:BE271,1)=0,MAX($CD$5:CD271)+1,""),"")</f>
        <v/>
      </c>
      <c r="CE272" s="80" t="str">
        <f>IF(AND(BD272=1,D272="proMX",F272&amp;""&lt;&gt;""),IF(COUNTIFS($D$5:D271,"proMX",$F$5:F271,F272,$BD$5:BD271,1)=0,MAX($CE$5:CE271)+1,""),"")</f>
        <v/>
      </c>
      <c r="CF272" s="80" t="str">
        <f>IF(AND(D272="proMX",BD272=1),IF(OR(BF272="Draft",BF272="Submitted",BF272="Returned",BF272="Recall Requested"),MAX($CF$5:CF271)+1,""),"")</f>
        <v/>
      </c>
      <c r="CG272" s="80">
        <f>IF(BD272=0,0,IF(D272="Malcolm",1,MATCH(BF272,{"Draft","Submitted","Approved","Returned","Recall Requested","Cancelled"},0)+1))</f>
        <v>0</v>
      </c>
      <c r="CH272" s="80">
        <f>IF(AND(BF272="Submitted",ISNUMBER(V272)),IF(V272&gt;CFG_MAXD,1,0),0)</f>
        <v>0</v>
      </c>
    </row>
    <row r="273">
      <c r="A273" s="71" t="str">
        <f>IF(Y273=1,ROW()-5,"")</f>
        <v/>
      </c>
      <c r="B273" s="72" t="n"/>
      <c r="C273" s="71" t="str">
        <f>IF(ISNUMBER(B273),CHOOSE(WEEKDAY(B273,2),"Lun","Mar","Mié","Jue","Vie","Sáb","Dom"),"")</f>
        <v/>
      </c>
      <c r="D273" s="73" t="n"/>
      <c r="E273" s="74" t="n"/>
      <c r="F273" s="74" t="n"/>
      <c r="G273" s="74" t="n"/>
      <c r="H273" s="75" t="n"/>
      <c r="I273" s="75" t="n"/>
      <c r="J273" s="76" t="n"/>
      <c r="K273" s="77" t="str">
        <f>IF(AB273=1,ROUND(AG273/60,4),"")</f>
        <v/>
      </c>
      <c r="L273" s="77" t="str">
        <f>IF(BD273=1,ROUND(AP273/60,4),"")</f>
        <v/>
      </c>
      <c r="M273" s="77" t="str">
        <f>IF(BD273=1,ROUND(AQ273/60,4),"")</f>
        <v/>
      </c>
      <c r="N273" s="71" t="str">
        <f>IF(AND(D273="proMX",AB273=1),ROUND(AG273/CFG_BLK,2),"")</f>
        <v/>
      </c>
      <c r="O273" s="77" t="str">
        <f>IF(D273="proMX",IF(BD273=1,ROUND(AG273/60,4),0),"")</f>
        <v/>
      </c>
      <c r="P273" s="78" t="str">
        <f>IF(Y273=0,"",IF(BD273=1,"OK",IF(D273="proMX","Revisar bloques: ","Revisar: ")&amp;BC273))</f>
        <v/>
      </c>
      <c r="Q273" s="78" t="str">
        <f>IF(NOT(ISNUMBER(B273)),"",IF(COUNTIFS(FER_F,INT(B273))&gt;0,"Feriado"&amp;IF(AH273=1," (laborable)"," (no laborable)"),IF(AH273=1,"Laborable",IF(WEEKDAY(B273,2)&gt;5,"Fin de semana","No laborable"))))</f>
        <v/>
      </c>
      <c r="R273" s="73" t="n"/>
      <c r="S273" s="72" t="n"/>
      <c r="T273" s="72" t="n"/>
      <c r="U273" s="74" t="n"/>
      <c r="V273" s="79" t="str">
        <f>IF(AND(D273="proMX",OR(R273="Submitted",R273="Recall Requested"),ISNUMBER(S273)),CFG_TODAY-INT(S273),"")</f>
        <v/>
      </c>
      <c r="W273" s="78" t="str">
        <f>IF(BD273=0,"",IF(BA273&gt;0,"⚠ Se superpone con un registro de la otra empresa",IF(D273="Malcolm",IF(COUNTA(R273,S273,T273)&gt;0,"Estado/fechas proMX se ignoran en Malcolm",""),IF(BF273="Cancelled","Cancelado: excluido de totales",IF(R273="","Sin estado: se trata como Draft",IF(BF273="Submitted",IF(ISNUMBER(V273),IF(V273&gt;CFG_MAXD,"⚠ "&amp;V273&amp;" días en Submitted (máx. "&amp;CFG_MAXD&amp;")",""),"Falta fecha de envío"),IF(BF273="Returned","⚠ Devuelto: corregir y reenviar",IF(BF273="Recall Requested","Retirada solicitada: pendiente",IF(AND(BF273="Approved",NOT(ISNUMBER(T273))),"Falta fecha de aprobación",IF(AND(ISNUMBER(S273),ISNUMBER(T273),T273&lt;S273),"Aprobación anterior al envío","")))))))))</f>
        <v/>
      </c>
      <c r="Y273" s="80">
        <f>IF(COUNTA(B273,D273,E273,F273,G273,H273,I273,J273,R273,S273,T273)&gt;0,1,0)</f>
        <v>0</v>
      </c>
      <c r="Z273" s="80" t="str">
        <f>IF(AND(ISNUMBER(H273),H273&gt;=0,H273&lt;1),ROUND(H273*1440,0),"")</f>
        <v/>
      </c>
      <c r="AA273" s="80" t="str">
        <f>IF(AND(ISNUMBER(I273),I273&gt;=0,I273&lt;1),ROUND(I273*1440,0),"")</f>
        <v/>
      </c>
      <c r="AB273" s="80">
        <f>IF(AND(ISNUMBER(B273),D273&lt;&gt;"",ISNUMBER(Z273),ISNUMBER(AA273)),IF(Z273=AA273,0,1),0)</f>
        <v>0</v>
      </c>
      <c r="AC273" s="80">
        <f>IF(AB273=1,IF(AA273&lt;Z273,1,0),0)</f>
        <v>0</v>
      </c>
      <c r="AD273" s="80">
        <f>IF(AB273=1,IF(AC273=1,1440-Z273+AA273,AA273-Z273),0)</f>
        <v>0</v>
      </c>
      <c r="AE273" s="80">
        <f>IF(J273="",0,IF(ISNUMBER(J273),J273,-1))</f>
        <v>0</v>
      </c>
      <c r="AF273" s="80">
        <f>MIN(MAX(0,AE273),AD273)</f>
        <v>0</v>
      </c>
      <c r="AG273" s="80">
        <f>MAX(0,AD273-MAX(0,AE273))</f>
        <v>0</v>
      </c>
      <c r="AH273" s="80">
        <f>IF(ISNUMBER(B273),IF(AND(INDEX(CFG_WDAYS,WEEKDAY(INT(B273),2))="Sí",IF(D273="proMX",COUNTIFS(FER_F,INT(B273),FER_NLP,"Sí"),COUNTIFS(FER_F,INT(B273),FER_NLM,"Sí"))=0),1,0),0)</f>
        <v>0</v>
      </c>
      <c r="AI273" s="80">
        <f>IF(AC273=1,IF(AND(INDEX(CFG_WDAYS,WEEKDAY(INT(B273)+1,2))="Sí",IF(D273="proMX",COUNTIFS(FER_F,INT(B273)+1,FER_NLP,"Sí"),COUNTIFS(FER_F,INT(B273)+1,FER_NLM,"Sí"))=0),1,0),0)</f>
        <v>0</v>
      </c>
      <c r="AJ273" s="80">
        <f>IF(AC273=1,1440-Z273,AD273)</f>
        <v>0</v>
      </c>
      <c r="AK273" s="80">
        <f>IF(AND(AB273=1,AH273=1),MAX(0,MIN(IF(AC273=1,1440,AA273),CFG_WEM)-MAX(Z273,CFG_WSM)),0)</f>
        <v>0</v>
      </c>
      <c r="AL273" s="80">
        <f>IF(AND(AC273=1,AI273=1),MAX(0,MIN(AA273,CFG_WEM)-CFG_WSM),0)</f>
        <v>0</v>
      </c>
      <c r="AM273" s="80">
        <f>AK273+AL273</f>
        <v>0</v>
      </c>
      <c r="AN273" s="80">
        <f>IF(CFG_BRK="Proporcional",IF(AD273=0,0,AF273*AM273/AD273),IF(CFG_BRK="Extras primero",MIN(AM273,MAX(0,AF273-(AD273-AM273))),MIN(AF273,AM273)))</f>
        <v>0</v>
      </c>
      <c r="AO273" s="80">
        <f>AF273-AN273</f>
        <v>0</v>
      </c>
      <c r="AP273" s="80">
        <f>AM273-AN273</f>
        <v>0</v>
      </c>
      <c r="AQ273" s="80">
        <f>AD273-AM273-AO273</f>
        <v>0</v>
      </c>
      <c r="AR273" s="80">
        <f>IF(AM273=0,0,AK273-AN273*AK273/AM273)</f>
        <v>0</v>
      </c>
      <c r="AS273" s="80">
        <f>IF(AD273-AM273=0,0,(AJ273-AK273)-AO273*(AJ273-AK273)/(AD273-AM273))</f>
        <v>0</v>
      </c>
      <c r="AT273" s="80" t="str">
        <f>IF(AC273=1,INT(B273)+1,"")</f>
        <v/>
      </c>
      <c r="AU273" s="80">
        <f>IF(AND(D273="proMX",R273="Cancelled"),0,1)</f>
        <v>1</v>
      </c>
      <c r="AV273" s="80">
        <f>IF(AND(AB273=1,AU273=1),IF(COUNTIFS($D$5:D272,D273,$B$5:B272,B273,$Z$5:Z272,Z273,$AA$5:AA272,AA273,$F$5:F272,F273&amp;"",$AU$5:AU272,1)&gt;0,1,0),0)</f>
        <v>0</v>
      </c>
      <c r="AW273" s="80" t="str">
        <f>IF(AB273=1,INT(B273)*1440+Z273,"")</f>
        <v/>
      </c>
      <c r="AX273" s="80" t="str">
        <f>IF(AB273=1,AW273+AD273,"")</f>
        <v/>
      </c>
      <c r="AY273" s="80">
        <f>IF(AND(AB273=1,AV273=0,AU273=1),1,0)</f>
        <v>0</v>
      </c>
      <c r="AZ273" s="80">
        <f>IF(AY273=1,COUNTIFS(R_Emp,D273,R_SAbs,"&lt;"&amp;AX273,R_EAbs,"&gt;"&amp;AW273,R_OKey,1)-1,0)</f>
        <v>0</v>
      </c>
      <c r="BA273" s="80">
        <f>IF(AY273=1,COUNTIFS(R_Emp,"&lt;&gt;"&amp;D273,R_SAbs,"&lt;"&amp;AX273,R_EAbs,"&gt;"&amp;AW273,R_OKey,1),0)</f>
        <v>0</v>
      </c>
      <c r="BB273" s="80">
        <f>IF(AND(AB273=1,D273="proMX"),IF(AND(MOD(Z273,CFG_BLK)=0,MOD(AA273,CFG_BLK)=0,MOD(AG273,CFG_BLK)=0,AG273&gt;0),1,0),1)</f>
        <v>1</v>
      </c>
      <c r="BC273" s="80" t="str">
        <f>IF(Y273=0,"",IF(NOT(ISNUMBER(B273)),"Falta fecha o fecha inválida",IF(D273="","Falta empresa",IF(AND(D273&lt;&gt;"Malcolm",D273&lt;&gt;"proMX"),"Empresa inválida",IF(OR(INT(B273)&lt;CFG_PSTART,INT(B273)&gt;CFG_PEND),"Fecha fuera del período",IF(OR(NOT(ISNUMBER(Z273)),NOT(ISNUMBER(AA273))),"Falta hora inicio/fin o formato inválido",IF(AB273=0,"Hora inicio = hora fin",IF(AE273&lt;0,"Descanso inválido",IF(AE273&gt;=AD273,"Descanso ≥ duración",IF(AV273=1,"Registro duplicado",IF(AZ273&gt;0,"Se superpone con otro registro "&amp;D273,IF(BB273=0,"inicio, fin y duración neta deben ser múltiplos de "&amp;CFG_BLK&amp;" min",""))))))))))))</f>
        <v/>
      </c>
      <c r="BD273" s="80">
        <f>IF(AND(Y273=1,BC273=""),1,0)</f>
        <v>0</v>
      </c>
      <c r="BE273" s="80">
        <f>IF(AND(BD273=1,AU273=1),1,0)</f>
        <v>0</v>
      </c>
      <c r="BF273" s="80" t="str">
        <f>IF(AND(D273="proMX",BD273=1),IF(R273="","Draft",R273),"")</f>
        <v/>
      </c>
      <c r="BG273" s="80">
        <f>IF(BD273=1,ROUND(AG273/60,6),0)</f>
        <v>0</v>
      </c>
      <c r="BH273" s="80">
        <f>IF(BE273=1,ROUND(AG273/60,6),0)</f>
        <v>0</v>
      </c>
      <c r="BI273" s="80">
        <f>IF(BE273=1,ROUND(AP273/60,6),0)</f>
        <v>0</v>
      </c>
      <c r="BJ273" s="80">
        <f>IF(BE273=1,ROUND(AQ273/60,6),0)</f>
        <v>0</v>
      </c>
      <c r="BK273" s="80">
        <f>IF(BE273=1,ROUND((AR273+AS273)/60,6),0)</f>
        <v>0</v>
      </c>
      <c r="BL273" s="80">
        <f>ROUND(BH273-BK273,6)</f>
        <v>0</v>
      </c>
      <c r="BM273" s="80">
        <f>IF(BE273=1,ROUND(AR273/60,6),0)</f>
        <v>0</v>
      </c>
      <c r="BN273" s="80">
        <f>ROUND(BI273-BM273,6)</f>
        <v>0</v>
      </c>
      <c r="BO273" s="80">
        <f>IF(BE273=1,ROUND(AS273/60,6),0)</f>
        <v>0</v>
      </c>
      <c r="BP273" s="80">
        <f>ROUND(BJ273-BO273,6)</f>
        <v>0</v>
      </c>
      <c r="BQ273" s="80">
        <f>IF(BE273=1,AW273,0)</f>
        <v>0</v>
      </c>
      <c r="BR273" s="80">
        <f>IF(BE273=1,AX273,0)</f>
        <v>0</v>
      </c>
      <c r="BS273" s="80">
        <f>IF(AND(BE273=1,D273="Malcolm",BA273&gt;0),MIN(BH273,SUMPRODUCT((R_Emp="proMX")*(R_EN&gt;0)*((R_EN-(R_EN&gt;BR273)*(R_EN-BR273))&gt;(R_SN+(R_SN&lt;BQ273)*(BQ273-R_SN)))*((R_EN-(R_EN&gt;BR273)*(R_EN-BR273))-(R_SN+(R_SN&lt;BQ273)*(BQ273-R_SN))))/60),0)</f>
        <v>0</v>
      </c>
      <c r="BT273" s="80">
        <f>IF(AND(BE273=1,D273="proMX"),ROUND(BI273*CFG_RATE+BJ273*CFG_OTRATE,6),0)</f>
        <v>0</v>
      </c>
      <c r="BU273" s="80">
        <f>IF(AND(BD273=1,D273="proMX"),ROUND(AG273/CFG_BLK,6),0)</f>
        <v>0</v>
      </c>
      <c r="BV273" s="80" t="str">
        <f>IF(BF273="Approved",IF(ISNUMBER(T273),INT(T273),INT(B273)),"")</f>
        <v/>
      </c>
      <c r="BW273" s="80">
        <f>IF(ISNUMBER(B273),IF(DB_MON="Todos",1,IF(AND(INT(B273)&gt;=DB_MS,INT(B273)&lt;=DB_ME),1,0)),0)</f>
        <v>0</v>
      </c>
      <c r="BX273" s="80">
        <f>IF(DB_PROJ="Todos",1,IF(E273&amp;""=DB_PROJ&amp;"",1,0))</f>
        <v>1</v>
      </c>
      <c r="BY273" s="80">
        <f>BW273*BX273</f>
        <v>0</v>
      </c>
      <c r="BZ273" s="80" t="str">
        <f>IF(Y273=1,F273&amp;IF(AND(F273&amp;""&lt;&gt;"",E273&amp;""&lt;&gt;"")," · ","")&amp;E273,"")</f>
        <v/>
      </c>
      <c r="CA273" s="80" t="str">
        <f>IF(AND(BD273=1,E273&amp;""&lt;&gt;""),IF(COUNTIFS($E$5:E272,E273,$BD$5:BD272,1)=0,MAX($CA$5:CA272)+1,""),"")</f>
        <v/>
      </c>
      <c r="CB273" s="80" t="str">
        <f>IF(AND(BE273=1,D273="Malcolm",E273&amp;""&lt;&gt;""),IF(COUNTIFS($D$5:D272,"Malcolm",$E$5:E272,E273,$BE$5:BE272,1)=0,MAX($CB$5:CB272)+1,""),"")</f>
        <v/>
      </c>
      <c r="CC273" s="80" t="str">
        <f>IF(AND(BD273=1,D273="proMX",E273&amp;""&lt;&gt;""),IF(COUNTIFS($D$5:D272,"proMX",$E$5:E272,E273,$BD$5:BD272,1)=0,MAX($CC$5:CC272)+1,""),"")</f>
        <v/>
      </c>
      <c r="CD273" s="80" t="str">
        <f>IF(AND(BE273=1,D273="Malcolm",F273&amp;""&lt;&gt;""),IF(COUNTIFS($D$5:D272,"Malcolm",$F$5:F272,F273,$BE$5:BE272,1)=0,MAX($CD$5:CD272)+1,""),"")</f>
        <v/>
      </c>
      <c r="CE273" s="80" t="str">
        <f>IF(AND(BD273=1,D273="proMX",F273&amp;""&lt;&gt;""),IF(COUNTIFS($D$5:D272,"proMX",$F$5:F272,F273,$BD$5:BD272,1)=0,MAX($CE$5:CE272)+1,""),"")</f>
        <v/>
      </c>
      <c r="CF273" s="80" t="str">
        <f>IF(AND(D273="proMX",BD273=1),IF(OR(BF273="Draft",BF273="Submitted",BF273="Returned",BF273="Recall Requested"),MAX($CF$5:CF272)+1,""),"")</f>
        <v/>
      </c>
      <c r="CG273" s="80">
        <f>IF(BD273=0,0,IF(D273="Malcolm",1,MATCH(BF273,{"Draft","Submitted","Approved","Returned","Recall Requested","Cancelled"},0)+1))</f>
        <v>0</v>
      </c>
      <c r="CH273" s="80">
        <f>IF(AND(BF273="Submitted",ISNUMBER(V273)),IF(V273&gt;CFG_MAXD,1,0),0)</f>
        <v>0</v>
      </c>
    </row>
    <row r="274">
      <c r="A274" s="71" t="str">
        <f>IF(Y274=1,ROW()-5,"")</f>
        <v/>
      </c>
      <c r="B274" s="72" t="n"/>
      <c r="C274" s="71" t="str">
        <f>IF(ISNUMBER(B274),CHOOSE(WEEKDAY(B274,2),"Lun","Mar","Mié","Jue","Vie","Sáb","Dom"),"")</f>
        <v/>
      </c>
      <c r="D274" s="73" t="n"/>
      <c r="E274" s="74" t="n"/>
      <c r="F274" s="74" t="n"/>
      <c r="G274" s="74" t="n"/>
      <c r="H274" s="75" t="n"/>
      <c r="I274" s="75" t="n"/>
      <c r="J274" s="76" t="n"/>
      <c r="K274" s="77" t="str">
        <f>IF(AB274=1,ROUND(AG274/60,4),"")</f>
        <v/>
      </c>
      <c r="L274" s="77" t="str">
        <f>IF(BD274=1,ROUND(AP274/60,4),"")</f>
        <v/>
      </c>
      <c r="M274" s="77" t="str">
        <f>IF(BD274=1,ROUND(AQ274/60,4),"")</f>
        <v/>
      </c>
      <c r="N274" s="71" t="str">
        <f>IF(AND(D274="proMX",AB274=1),ROUND(AG274/CFG_BLK,2),"")</f>
        <v/>
      </c>
      <c r="O274" s="77" t="str">
        <f>IF(D274="proMX",IF(BD274=1,ROUND(AG274/60,4),0),"")</f>
        <v/>
      </c>
      <c r="P274" s="78" t="str">
        <f>IF(Y274=0,"",IF(BD274=1,"OK",IF(D274="proMX","Revisar bloques: ","Revisar: ")&amp;BC274))</f>
        <v/>
      </c>
      <c r="Q274" s="78" t="str">
        <f>IF(NOT(ISNUMBER(B274)),"",IF(COUNTIFS(FER_F,INT(B274))&gt;0,"Feriado"&amp;IF(AH274=1," (laborable)"," (no laborable)"),IF(AH274=1,"Laborable",IF(WEEKDAY(B274,2)&gt;5,"Fin de semana","No laborable"))))</f>
        <v/>
      </c>
      <c r="R274" s="73" t="n"/>
      <c r="S274" s="72" t="n"/>
      <c r="T274" s="72" t="n"/>
      <c r="U274" s="74" t="n"/>
      <c r="V274" s="79" t="str">
        <f>IF(AND(D274="proMX",OR(R274="Submitted",R274="Recall Requested"),ISNUMBER(S274)),CFG_TODAY-INT(S274),"")</f>
        <v/>
      </c>
      <c r="W274" s="78" t="str">
        <f>IF(BD274=0,"",IF(BA274&gt;0,"⚠ Se superpone con un registro de la otra empresa",IF(D274="Malcolm",IF(COUNTA(R274,S274,T274)&gt;0,"Estado/fechas proMX se ignoran en Malcolm",""),IF(BF274="Cancelled","Cancelado: excluido de totales",IF(R274="","Sin estado: se trata como Draft",IF(BF274="Submitted",IF(ISNUMBER(V274),IF(V274&gt;CFG_MAXD,"⚠ "&amp;V274&amp;" días en Submitted (máx. "&amp;CFG_MAXD&amp;")",""),"Falta fecha de envío"),IF(BF274="Returned","⚠ Devuelto: corregir y reenviar",IF(BF274="Recall Requested","Retirada solicitada: pendiente",IF(AND(BF274="Approved",NOT(ISNUMBER(T274))),"Falta fecha de aprobación",IF(AND(ISNUMBER(S274),ISNUMBER(T274),T274&lt;S274),"Aprobación anterior al envío","")))))))))</f>
        <v/>
      </c>
      <c r="Y274" s="80">
        <f>IF(COUNTA(B274,D274,E274,F274,G274,H274,I274,J274,R274,S274,T274)&gt;0,1,0)</f>
        <v>0</v>
      </c>
      <c r="Z274" s="80" t="str">
        <f>IF(AND(ISNUMBER(H274),H274&gt;=0,H274&lt;1),ROUND(H274*1440,0),"")</f>
        <v/>
      </c>
      <c r="AA274" s="80" t="str">
        <f>IF(AND(ISNUMBER(I274),I274&gt;=0,I274&lt;1),ROUND(I274*1440,0),"")</f>
        <v/>
      </c>
      <c r="AB274" s="80">
        <f>IF(AND(ISNUMBER(B274),D274&lt;&gt;"",ISNUMBER(Z274),ISNUMBER(AA274)),IF(Z274=AA274,0,1),0)</f>
        <v>0</v>
      </c>
      <c r="AC274" s="80">
        <f>IF(AB274=1,IF(AA274&lt;Z274,1,0),0)</f>
        <v>0</v>
      </c>
      <c r="AD274" s="80">
        <f>IF(AB274=1,IF(AC274=1,1440-Z274+AA274,AA274-Z274),0)</f>
        <v>0</v>
      </c>
      <c r="AE274" s="80">
        <f>IF(J274="",0,IF(ISNUMBER(J274),J274,-1))</f>
        <v>0</v>
      </c>
      <c r="AF274" s="80">
        <f>MIN(MAX(0,AE274),AD274)</f>
        <v>0</v>
      </c>
      <c r="AG274" s="80">
        <f>MAX(0,AD274-MAX(0,AE274))</f>
        <v>0</v>
      </c>
      <c r="AH274" s="80">
        <f>IF(ISNUMBER(B274),IF(AND(INDEX(CFG_WDAYS,WEEKDAY(INT(B274),2))="Sí",IF(D274="proMX",COUNTIFS(FER_F,INT(B274),FER_NLP,"Sí"),COUNTIFS(FER_F,INT(B274),FER_NLM,"Sí"))=0),1,0),0)</f>
        <v>0</v>
      </c>
      <c r="AI274" s="80">
        <f>IF(AC274=1,IF(AND(INDEX(CFG_WDAYS,WEEKDAY(INT(B274)+1,2))="Sí",IF(D274="proMX",COUNTIFS(FER_F,INT(B274)+1,FER_NLP,"Sí"),COUNTIFS(FER_F,INT(B274)+1,FER_NLM,"Sí"))=0),1,0),0)</f>
        <v>0</v>
      </c>
      <c r="AJ274" s="80">
        <f>IF(AC274=1,1440-Z274,AD274)</f>
        <v>0</v>
      </c>
      <c r="AK274" s="80">
        <f>IF(AND(AB274=1,AH274=1),MAX(0,MIN(IF(AC274=1,1440,AA274),CFG_WEM)-MAX(Z274,CFG_WSM)),0)</f>
        <v>0</v>
      </c>
      <c r="AL274" s="80">
        <f>IF(AND(AC274=1,AI274=1),MAX(0,MIN(AA274,CFG_WEM)-CFG_WSM),0)</f>
        <v>0</v>
      </c>
      <c r="AM274" s="80">
        <f>AK274+AL274</f>
        <v>0</v>
      </c>
      <c r="AN274" s="80">
        <f>IF(CFG_BRK="Proporcional",IF(AD274=0,0,AF274*AM274/AD274),IF(CFG_BRK="Extras primero",MIN(AM274,MAX(0,AF274-(AD274-AM274))),MIN(AF274,AM274)))</f>
        <v>0</v>
      </c>
      <c r="AO274" s="80">
        <f>AF274-AN274</f>
        <v>0</v>
      </c>
      <c r="AP274" s="80">
        <f>AM274-AN274</f>
        <v>0</v>
      </c>
      <c r="AQ274" s="80">
        <f>AD274-AM274-AO274</f>
        <v>0</v>
      </c>
      <c r="AR274" s="80">
        <f>IF(AM274=0,0,AK274-AN274*AK274/AM274)</f>
        <v>0</v>
      </c>
      <c r="AS274" s="80">
        <f>IF(AD274-AM274=0,0,(AJ274-AK274)-AO274*(AJ274-AK274)/(AD274-AM274))</f>
        <v>0</v>
      </c>
      <c r="AT274" s="80" t="str">
        <f>IF(AC274=1,INT(B274)+1,"")</f>
        <v/>
      </c>
      <c r="AU274" s="80">
        <f>IF(AND(D274="proMX",R274="Cancelled"),0,1)</f>
        <v>1</v>
      </c>
      <c r="AV274" s="80">
        <f>IF(AND(AB274=1,AU274=1),IF(COUNTIFS($D$5:D273,D274,$B$5:B273,B274,$Z$5:Z273,Z274,$AA$5:AA273,AA274,$F$5:F273,F274&amp;"",$AU$5:AU273,1)&gt;0,1,0),0)</f>
        <v>0</v>
      </c>
      <c r="AW274" s="80" t="str">
        <f>IF(AB274=1,INT(B274)*1440+Z274,"")</f>
        <v/>
      </c>
      <c r="AX274" s="80" t="str">
        <f>IF(AB274=1,AW274+AD274,"")</f>
        <v/>
      </c>
      <c r="AY274" s="80">
        <f>IF(AND(AB274=1,AV274=0,AU274=1),1,0)</f>
        <v>0</v>
      </c>
      <c r="AZ274" s="80">
        <f>IF(AY274=1,COUNTIFS(R_Emp,D274,R_SAbs,"&lt;"&amp;AX274,R_EAbs,"&gt;"&amp;AW274,R_OKey,1)-1,0)</f>
        <v>0</v>
      </c>
      <c r="BA274" s="80">
        <f>IF(AY274=1,COUNTIFS(R_Emp,"&lt;&gt;"&amp;D274,R_SAbs,"&lt;"&amp;AX274,R_EAbs,"&gt;"&amp;AW274,R_OKey,1),0)</f>
        <v>0</v>
      </c>
      <c r="BB274" s="80">
        <f>IF(AND(AB274=1,D274="proMX"),IF(AND(MOD(Z274,CFG_BLK)=0,MOD(AA274,CFG_BLK)=0,MOD(AG274,CFG_BLK)=0,AG274&gt;0),1,0),1)</f>
        <v>1</v>
      </c>
      <c r="BC274" s="80" t="str">
        <f>IF(Y274=0,"",IF(NOT(ISNUMBER(B274)),"Falta fecha o fecha inválida",IF(D274="","Falta empresa",IF(AND(D274&lt;&gt;"Malcolm",D274&lt;&gt;"proMX"),"Empresa inválida",IF(OR(INT(B274)&lt;CFG_PSTART,INT(B274)&gt;CFG_PEND),"Fecha fuera del período",IF(OR(NOT(ISNUMBER(Z274)),NOT(ISNUMBER(AA274))),"Falta hora inicio/fin o formato inválido",IF(AB274=0,"Hora inicio = hora fin",IF(AE274&lt;0,"Descanso inválido",IF(AE274&gt;=AD274,"Descanso ≥ duración",IF(AV274=1,"Registro duplicado",IF(AZ274&gt;0,"Se superpone con otro registro "&amp;D274,IF(BB274=0,"inicio, fin y duración neta deben ser múltiplos de "&amp;CFG_BLK&amp;" min",""))))))))))))</f>
        <v/>
      </c>
      <c r="BD274" s="80">
        <f>IF(AND(Y274=1,BC274=""),1,0)</f>
        <v>0</v>
      </c>
      <c r="BE274" s="80">
        <f>IF(AND(BD274=1,AU274=1),1,0)</f>
        <v>0</v>
      </c>
      <c r="BF274" s="80" t="str">
        <f>IF(AND(D274="proMX",BD274=1),IF(R274="","Draft",R274),"")</f>
        <v/>
      </c>
      <c r="BG274" s="80">
        <f>IF(BD274=1,ROUND(AG274/60,6),0)</f>
        <v>0</v>
      </c>
      <c r="BH274" s="80">
        <f>IF(BE274=1,ROUND(AG274/60,6),0)</f>
        <v>0</v>
      </c>
      <c r="BI274" s="80">
        <f>IF(BE274=1,ROUND(AP274/60,6),0)</f>
        <v>0</v>
      </c>
      <c r="BJ274" s="80">
        <f>IF(BE274=1,ROUND(AQ274/60,6),0)</f>
        <v>0</v>
      </c>
      <c r="BK274" s="80">
        <f>IF(BE274=1,ROUND((AR274+AS274)/60,6),0)</f>
        <v>0</v>
      </c>
      <c r="BL274" s="80">
        <f>ROUND(BH274-BK274,6)</f>
        <v>0</v>
      </c>
      <c r="BM274" s="80">
        <f>IF(BE274=1,ROUND(AR274/60,6),0)</f>
        <v>0</v>
      </c>
      <c r="BN274" s="80">
        <f>ROUND(BI274-BM274,6)</f>
        <v>0</v>
      </c>
      <c r="BO274" s="80">
        <f>IF(BE274=1,ROUND(AS274/60,6),0)</f>
        <v>0</v>
      </c>
      <c r="BP274" s="80">
        <f>ROUND(BJ274-BO274,6)</f>
        <v>0</v>
      </c>
      <c r="BQ274" s="80">
        <f>IF(BE274=1,AW274,0)</f>
        <v>0</v>
      </c>
      <c r="BR274" s="80">
        <f>IF(BE274=1,AX274,0)</f>
        <v>0</v>
      </c>
      <c r="BS274" s="80">
        <f>IF(AND(BE274=1,D274="Malcolm",BA274&gt;0),MIN(BH274,SUMPRODUCT((R_Emp="proMX")*(R_EN&gt;0)*((R_EN-(R_EN&gt;BR274)*(R_EN-BR274))&gt;(R_SN+(R_SN&lt;BQ274)*(BQ274-R_SN)))*((R_EN-(R_EN&gt;BR274)*(R_EN-BR274))-(R_SN+(R_SN&lt;BQ274)*(BQ274-R_SN))))/60),0)</f>
        <v>0</v>
      </c>
      <c r="BT274" s="80">
        <f>IF(AND(BE274=1,D274="proMX"),ROUND(BI274*CFG_RATE+BJ274*CFG_OTRATE,6),0)</f>
        <v>0</v>
      </c>
      <c r="BU274" s="80">
        <f>IF(AND(BD274=1,D274="proMX"),ROUND(AG274/CFG_BLK,6),0)</f>
        <v>0</v>
      </c>
      <c r="BV274" s="80" t="str">
        <f>IF(BF274="Approved",IF(ISNUMBER(T274),INT(T274),INT(B274)),"")</f>
        <v/>
      </c>
      <c r="BW274" s="80">
        <f>IF(ISNUMBER(B274),IF(DB_MON="Todos",1,IF(AND(INT(B274)&gt;=DB_MS,INT(B274)&lt;=DB_ME),1,0)),0)</f>
        <v>0</v>
      </c>
      <c r="BX274" s="80">
        <f>IF(DB_PROJ="Todos",1,IF(E274&amp;""=DB_PROJ&amp;"",1,0))</f>
        <v>1</v>
      </c>
      <c r="BY274" s="80">
        <f>BW274*BX274</f>
        <v>0</v>
      </c>
      <c r="BZ274" s="80" t="str">
        <f>IF(Y274=1,F274&amp;IF(AND(F274&amp;""&lt;&gt;"",E274&amp;""&lt;&gt;"")," · ","")&amp;E274,"")</f>
        <v/>
      </c>
      <c r="CA274" s="80" t="str">
        <f>IF(AND(BD274=1,E274&amp;""&lt;&gt;""),IF(COUNTIFS($E$5:E273,E274,$BD$5:BD273,1)=0,MAX($CA$5:CA273)+1,""),"")</f>
        <v/>
      </c>
      <c r="CB274" s="80" t="str">
        <f>IF(AND(BE274=1,D274="Malcolm",E274&amp;""&lt;&gt;""),IF(COUNTIFS($D$5:D273,"Malcolm",$E$5:E273,E274,$BE$5:BE273,1)=0,MAX($CB$5:CB273)+1,""),"")</f>
        <v/>
      </c>
      <c r="CC274" s="80" t="str">
        <f>IF(AND(BD274=1,D274="proMX",E274&amp;""&lt;&gt;""),IF(COUNTIFS($D$5:D273,"proMX",$E$5:E273,E274,$BD$5:BD273,1)=0,MAX($CC$5:CC273)+1,""),"")</f>
        <v/>
      </c>
      <c r="CD274" s="80" t="str">
        <f>IF(AND(BE274=1,D274="Malcolm",F274&amp;""&lt;&gt;""),IF(COUNTIFS($D$5:D273,"Malcolm",$F$5:F273,F274,$BE$5:BE273,1)=0,MAX($CD$5:CD273)+1,""),"")</f>
        <v/>
      </c>
      <c r="CE274" s="80" t="str">
        <f>IF(AND(BD274=1,D274="proMX",F274&amp;""&lt;&gt;""),IF(COUNTIFS($D$5:D273,"proMX",$F$5:F273,F274,$BD$5:BD273,1)=0,MAX($CE$5:CE273)+1,""),"")</f>
        <v/>
      </c>
      <c r="CF274" s="80" t="str">
        <f>IF(AND(D274="proMX",BD274=1),IF(OR(BF274="Draft",BF274="Submitted",BF274="Returned",BF274="Recall Requested"),MAX($CF$5:CF273)+1,""),"")</f>
        <v/>
      </c>
      <c r="CG274" s="80">
        <f>IF(BD274=0,0,IF(D274="Malcolm",1,MATCH(BF274,{"Draft","Submitted","Approved","Returned","Recall Requested","Cancelled"},0)+1))</f>
        <v>0</v>
      </c>
      <c r="CH274" s="80">
        <f>IF(AND(BF274="Submitted",ISNUMBER(V274)),IF(V274&gt;CFG_MAXD,1,0),0)</f>
        <v>0</v>
      </c>
    </row>
    <row r="275">
      <c r="A275" s="71" t="str">
        <f>IF(Y275=1,ROW()-5,"")</f>
        <v/>
      </c>
      <c r="B275" s="72" t="n"/>
      <c r="C275" s="71" t="str">
        <f>IF(ISNUMBER(B275),CHOOSE(WEEKDAY(B275,2),"Lun","Mar","Mié","Jue","Vie","Sáb","Dom"),"")</f>
        <v/>
      </c>
      <c r="D275" s="73" t="n"/>
      <c r="E275" s="74" t="n"/>
      <c r="F275" s="74" t="n"/>
      <c r="G275" s="74" t="n"/>
      <c r="H275" s="75" t="n"/>
      <c r="I275" s="75" t="n"/>
      <c r="J275" s="76" t="n"/>
      <c r="K275" s="77" t="str">
        <f>IF(AB275=1,ROUND(AG275/60,4),"")</f>
        <v/>
      </c>
      <c r="L275" s="77" t="str">
        <f>IF(BD275=1,ROUND(AP275/60,4),"")</f>
        <v/>
      </c>
      <c r="M275" s="77" t="str">
        <f>IF(BD275=1,ROUND(AQ275/60,4),"")</f>
        <v/>
      </c>
      <c r="N275" s="71" t="str">
        <f>IF(AND(D275="proMX",AB275=1),ROUND(AG275/CFG_BLK,2),"")</f>
        <v/>
      </c>
      <c r="O275" s="77" t="str">
        <f>IF(D275="proMX",IF(BD275=1,ROUND(AG275/60,4),0),"")</f>
        <v/>
      </c>
      <c r="P275" s="78" t="str">
        <f>IF(Y275=0,"",IF(BD275=1,"OK",IF(D275="proMX","Revisar bloques: ","Revisar: ")&amp;BC275))</f>
        <v/>
      </c>
      <c r="Q275" s="78" t="str">
        <f>IF(NOT(ISNUMBER(B275)),"",IF(COUNTIFS(FER_F,INT(B275))&gt;0,"Feriado"&amp;IF(AH275=1," (laborable)"," (no laborable)"),IF(AH275=1,"Laborable",IF(WEEKDAY(B275,2)&gt;5,"Fin de semana","No laborable"))))</f>
        <v/>
      </c>
      <c r="R275" s="73" t="n"/>
      <c r="S275" s="72" t="n"/>
      <c r="T275" s="72" t="n"/>
      <c r="U275" s="74" t="n"/>
      <c r="V275" s="79" t="str">
        <f>IF(AND(D275="proMX",OR(R275="Submitted",R275="Recall Requested"),ISNUMBER(S275)),CFG_TODAY-INT(S275),"")</f>
        <v/>
      </c>
      <c r="W275" s="78" t="str">
        <f>IF(BD275=0,"",IF(BA275&gt;0,"⚠ Se superpone con un registro de la otra empresa",IF(D275="Malcolm",IF(COUNTA(R275,S275,T275)&gt;0,"Estado/fechas proMX se ignoran en Malcolm",""),IF(BF275="Cancelled","Cancelado: excluido de totales",IF(R275="","Sin estado: se trata como Draft",IF(BF275="Submitted",IF(ISNUMBER(V275),IF(V275&gt;CFG_MAXD,"⚠ "&amp;V275&amp;" días en Submitted (máx. "&amp;CFG_MAXD&amp;")",""),"Falta fecha de envío"),IF(BF275="Returned","⚠ Devuelto: corregir y reenviar",IF(BF275="Recall Requested","Retirada solicitada: pendiente",IF(AND(BF275="Approved",NOT(ISNUMBER(T275))),"Falta fecha de aprobación",IF(AND(ISNUMBER(S275),ISNUMBER(T275),T275&lt;S275),"Aprobación anterior al envío","")))))))))</f>
        <v/>
      </c>
      <c r="Y275" s="80">
        <f>IF(COUNTA(B275,D275,E275,F275,G275,H275,I275,J275,R275,S275,T275)&gt;0,1,0)</f>
        <v>0</v>
      </c>
      <c r="Z275" s="80" t="str">
        <f>IF(AND(ISNUMBER(H275),H275&gt;=0,H275&lt;1),ROUND(H275*1440,0),"")</f>
        <v/>
      </c>
      <c r="AA275" s="80" t="str">
        <f>IF(AND(ISNUMBER(I275),I275&gt;=0,I275&lt;1),ROUND(I275*1440,0),"")</f>
        <v/>
      </c>
      <c r="AB275" s="80">
        <f>IF(AND(ISNUMBER(B275),D275&lt;&gt;"",ISNUMBER(Z275),ISNUMBER(AA275)),IF(Z275=AA275,0,1),0)</f>
        <v>0</v>
      </c>
      <c r="AC275" s="80">
        <f>IF(AB275=1,IF(AA275&lt;Z275,1,0),0)</f>
        <v>0</v>
      </c>
      <c r="AD275" s="80">
        <f>IF(AB275=1,IF(AC275=1,1440-Z275+AA275,AA275-Z275),0)</f>
        <v>0</v>
      </c>
      <c r="AE275" s="80">
        <f>IF(J275="",0,IF(ISNUMBER(J275),J275,-1))</f>
        <v>0</v>
      </c>
      <c r="AF275" s="80">
        <f>MIN(MAX(0,AE275),AD275)</f>
        <v>0</v>
      </c>
      <c r="AG275" s="80">
        <f>MAX(0,AD275-MAX(0,AE275))</f>
        <v>0</v>
      </c>
      <c r="AH275" s="80">
        <f>IF(ISNUMBER(B275),IF(AND(INDEX(CFG_WDAYS,WEEKDAY(INT(B275),2))="Sí",IF(D275="proMX",COUNTIFS(FER_F,INT(B275),FER_NLP,"Sí"),COUNTIFS(FER_F,INT(B275),FER_NLM,"Sí"))=0),1,0),0)</f>
        <v>0</v>
      </c>
      <c r="AI275" s="80">
        <f>IF(AC275=1,IF(AND(INDEX(CFG_WDAYS,WEEKDAY(INT(B275)+1,2))="Sí",IF(D275="proMX",COUNTIFS(FER_F,INT(B275)+1,FER_NLP,"Sí"),COUNTIFS(FER_F,INT(B275)+1,FER_NLM,"Sí"))=0),1,0),0)</f>
        <v>0</v>
      </c>
      <c r="AJ275" s="80">
        <f>IF(AC275=1,1440-Z275,AD275)</f>
        <v>0</v>
      </c>
      <c r="AK275" s="80">
        <f>IF(AND(AB275=1,AH275=1),MAX(0,MIN(IF(AC275=1,1440,AA275),CFG_WEM)-MAX(Z275,CFG_WSM)),0)</f>
        <v>0</v>
      </c>
      <c r="AL275" s="80">
        <f>IF(AND(AC275=1,AI275=1),MAX(0,MIN(AA275,CFG_WEM)-CFG_WSM),0)</f>
        <v>0</v>
      </c>
      <c r="AM275" s="80">
        <f>AK275+AL275</f>
        <v>0</v>
      </c>
      <c r="AN275" s="80">
        <f>IF(CFG_BRK="Proporcional",IF(AD275=0,0,AF275*AM275/AD275),IF(CFG_BRK="Extras primero",MIN(AM275,MAX(0,AF275-(AD275-AM275))),MIN(AF275,AM275)))</f>
        <v>0</v>
      </c>
      <c r="AO275" s="80">
        <f>AF275-AN275</f>
        <v>0</v>
      </c>
      <c r="AP275" s="80">
        <f>AM275-AN275</f>
        <v>0</v>
      </c>
      <c r="AQ275" s="80">
        <f>AD275-AM275-AO275</f>
        <v>0</v>
      </c>
      <c r="AR275" s="80">
        <f>IF(AM275=0,0,AK275-AN275*AK275/AM275)</f>
        <v>0</v>
      </c>
      <c r="AS275" s="80">
        <f>IF(AD275-AM275=0,0,(AJ275-AK275)-AO275*(AJ275-AK275)/(AD275-AM275))</f>
        <v>0</v>
      </c>
      <c r="AT275" s="80" t="str">
        <f>IF(AC275=1,INT(B275)+1,"")</f>
        <v/>
      </c>
      <c r="AU275" s="80">
        <f>IF(AND(D275="proMX",R275="Cancelled"),0,1)</f>
        <v>1</v>
      </c>
      <c r="AV275" s="80">
        <f>IF(AND(AB275=1,AU275=1),IF(COUNTIFS($D$5:D274,D275,$B$5:B274,B275,$Z$5:Z274,Z275,$AA$5:AA274,AA275,$F$5:F274,F275&amp;"",$AU$5:AU274,1)&gt;0,1,0),0)</f>
        <v>0</v>
      </c>
      <c r="AW275" s="80" t="str">
        <f>IF(AB275=1,INT(B275)*1440+Z275,"")</f>
        <v/>
      </c>
      <c r="AX275" s="80" t="str">
        <f>IF(AB275=1,AW275+AD275,"")</f>
        <v/>
      </c>
      <c r="AY275" s="80">
        <f>IF(AND(AB275=1,AV275=0,AU275=1),1,0)</f>
        <v>0</v>
      </c>
      <c r="AZ275" s="80">
        <f>IF(AY275=1,COUNTIFS(R_Emp,D275,R_SAbs,"&lt;"&amp;AX275,R_EAbs,"&gt;"&amp;AW275,R_OKey,1)-1,0)</f>
        <v>0</v>
      </c>
      <c r="BA275" s="80">
        <f>IF(AY275=1,COUNTIFS(R_Emp,"&lt;&gt;"&amp;D275,R_SAbs,"&lt;"&amp;AX275,R_EAbs,"&gt;"&amp;AW275,R_OKey,1),0)</f>
        <v>0</v>
      </c>
      <c r="BB275" s="80">
        <f>IF(AND(AB275=1,D275="proMX"),IF(AND(MOD(Z275,CFG_BLK)=0,MOD(AA275,CFG_BLK)=0,MOD(AG275,CFG_BLK)=0,AG275&gt;0),1,0),1)</f>
        <v>1</v>
      </c>
      <c r="BC275" s="80" t="str">
        <f>IF(Y275=0,"",IF(NOT(ISNUMBER(B275)),"Falta fecha o fecha inválida",IF(D275="","Falta empresa",IF(AND(D275&lt;&gt;"Malcolm",D275&lt;&gt;"proMX"),"Empresa inválida",IF(OR(INT(B275)&lt;CFG_PSTART,INT(B275)&gt;CFG_PEND),"Fecha fuera del período",IF(OR(NOT(ISNUMBER(Z275)),NOT(ISNUMBER(AA275))),"Falta hora inicio/fin o formato inválido",IF(AB275=0,"Hora inicio = hora fin",IF(AE275&lt;0,"Descanso inválido",IF(AE275&gt;=AD275,"Descanso ≥ duración",IF(AV275=1,"Registro duplicado",IF(AZ275&gt;0,"Se superpone con otro registro "&amp;D275,IF(BB275=0,"inicio, fin y duración neta deben ser múltiplos de "&amp;CFG_BLK&amp;" min",""))))))))))))</f>
        <v/>
      </c>
      <c r="BD275" s="80">
        <f>IF(AND(Y275=1,BC275=""),1,0)</f>
        <v>0</v>
      </c>
      <c r="BE275" s="80">
        <f>IF(AND(BD275=1,AU275=1),1,0)</f>
        <v>0</v>
      </c>
      <c r="BF275" s="80" t="str">
        <f>IF(AND(D275="proMX",BD275=1),IF(R275="","Draft",R275),"")</f>
        <v/>
      </c>
      <c r="BG275" s="80">
        <f>IF(BD275=1,ROUND(AG275/60,6),0)</f>
        <v>0</v>
      </c>
      <c r="BH275" s="80">
        <f>IF(BE275=1,ROUND(AG275/60,6),0)</f>
        <v>0</v>
      </c>
      <c r="BI275" s="80">
        <f>IF(BE275=1,ROUND(AP275/60,6),0)</f>
        <v>0</v>
      </c>
      <c r="BJ275" s="80">
        <f>IF(BE275=1,ROUND(AQ275/60,6),0)</f>
        <v>0</v>
      </c>
      <c r="BK275" s="80">
        <f>IF(BE275=1,ROUND((AR275+AS275)/60,6),0)</f>
        <v>0</v>
      </c>
      <c r="BL275" s="80">
        <f>ROUND(BH275-BK275,6)</f>
        <v>0</v>
      </c>
      <c r="BM275" s="80">
        <f>IF(BE275=1,ROUND(AR275/60,6),0)</f>
        <v>0</v>
      </c>
      <c r="BN275" s="80">
        <f>ROUND(BI275-BM275,6)</f>
        <v>0</v>
      </c>
      <c r="BO275" s="80">
        <f>IF(BE275=1,ROUND(AS275/60,6),0)</f>
        <v>0</v>
      </c>
      <c r="BP275" s="80">
        <f>ROUND(BJ275-BO275,6)</f>
        <v>0</v>
      </c>
      <c r="BQ275" s="80">
        <f>IF(BE275=1,AW275,0)</f>
        <v>0</v>
      </c>
      <c r="BR275" s="80">
        <f>IF(BE275=1,AX275,0)</f>
        <v>0</v>
      </c>
      <c r="BS275" s="80">
        <f>IF(AND(BE275=1,D275="Malcolm",BA275&gt;0),MIN(BH275,SUMPRODUCT((R_Emp="proMX")*(R_EN&gt;0)*((R_EN-(R_EN&gt;BR275)*(R_EN-BR275))&gt;(R_SN+(R_SN&lt;BQ275)*(BQ275-R_SN)))*((R_EN-(R_EN&gt;BR275)*(R_EN-BR275))-(R_SN+(R_SN&lt;BQ275)*(BQ275-R_SN))))/60),0)</f>
        <v>0</v>
      </c>
      <c r="BT275" s="80">
        <f>IF(AND(BE275=1,D275="proMX"),ROUND(BI275*CFG_RATE+BJ275*CFG_OTRATE,6),0)</f>
        <v>0</v>
      </c>
      <c r="BU275" s="80">
        <f>IF(AND(BD275=1,D275="proMX"),ROUND(AG275/CFG_BLK,6),0)</f>
        <v>0</v>
      </c>
      <c r="BV275" s="80" t="str">
        <f>IF(BF275="Approved",IF(ISNUMBER(T275),INT(T275),INT(B275)),"")</f>
        <v/>
      </c>
      <c r="BW275" s="80">
        <f>IF(ISNUMBER(B275),IF(DB_MON="Todos",1,IF(AND(INT(B275)&gt;=DB_MS,INT(B275)&lt;=DB_ME),1,0)),0)</f>
        <v>0</v>
      </c>
      <c r="BX275" s="80">
        <f>IF(DB_PROJ="Todos",1,IF(E275&amp;""=DB_PROJ&amp;"",1,0))</f>
        <v>1</v>
      </c>
      <c r="BY275" s="80">
        <f>BW275*BX275</f>
        <v>0</v>
      </c>
      <c r="BZ275" s="80" t="str">
        <f>IF(Y275=1,F275&amp;IF(AND(F275&amp;""&lt;&gt;"",E275&amp;""&lt;&gt;"")," · ","")&amp;E275,"")</f>
        <v/>
      </c>
      <c r="CA275" s="80" t="str">
        <f>IF(AND(BD275=1,E275&amp;""&lt;&gt;""),IF(COUNTIFS($E$5:E274,E275,$BD$5:BD274,1)=0,MAX($CA$5:CA274)+1,""),"")</f>
        <v/>
      </c>
      <c r="CB275" s="80" t="str">
        <f>IF(AND(BE275=1,D275="Malcolm",E275&amp;""&lt;&gt;""),IF(COUNTIFS($D$5:D274,"Malcolm",$E$5:E274,E275,$BE$5:BE274,1)=0,MAX($CB$5:CB274)+1,""),"")</f>
        <v/>
      </c>
      <c r="CC275" s="80" t="str">
        <f>IF(AND(BD275=1,D275="proMX",E275&amp;""&lt;&gt;""),IF(COUNTIFS($D$5:D274,"proMX",$E$5:E274,E275,$BD$5:BD274,1)=0,MAX($CC$5:CC274)+1,""),"")</f>
        <v/>
      </c>
      <c r="CD275" s="80" t="str">
        <f>IF(AND(BE275=1,D275="Malcolm",F275&amp;""&lt;&gt;""),IF(COUNTIFS($D$5:D274,"Malcolm",$F$5:F274,F275,$BE$5:BE274,1)=0,MAX($CD$5:CD274)+1,""),"")</f>
        <v/>
      </c>
      <c r="CE275" s="80" t="str">
        <f>IF(AND(BD275=1,D275="proMX",F275&amp;""&lt;&gt;""),IF(COUNTIFS($D$5:D274,"proMX",$F$5:F274,F275,$BD$5:BD274,1)=0,MAX($CE$5:CE274)+1,""),"")</f>
        <v/>
      </c>
      <c r="CF275" s="80" t="str">
        <f>IF(AND(D275="proMX",BD275=1),IF(OR(BF275="Draft",BF275="Submitted",BF275="Returned",BF275="Recall Requested"),MAX($CF$5:CF274)+1,""),"")</f>
        <v/>
      </c>
      <c r="CG275" s="80">
        <f>IF(BD275=0,0,IF(D275="Malcolm",1,MATCH(BF275,{"Draft","Submitted","Approved","Returned","Recall Requested","Cancelled"},0)+1))</f>
        <v>0</v>
      </c>
      <c r="CH275" s="80">
        <f>IF(AND(BF275="Submitted",ISNUMBER(V275)),IF(V275&gt;CFG_MAXD,1,0),0)</f>
        <v>0</v>
      </c>
    </row>
    <row r="276">
      <c r="A276" s="71" t="str">
        <f>IF(Y276=1,ROW()-5,"")</f>
        <v/>
      </c>
      <c r="B276" s="72" t="n"/>
      <c r="C276" s="71" t="str">
        <f>IF(ISNUMBER(B276),CHOOSE(WEEKDAY(B276,2),"Lun","Mar","Mié","Jue","Vie","Sáb","Dom"),"")</f>
        <v/>
      </c>
      <c r="D276" s="73" t="n"/>
      <c r="E276" s="74" t="n"/>
      <c r="F276" s="74" t="n"/>
      <c r="G276" s="74" t="n"/>
      <c r="H276" s="75" t="n"/>
      <c r="I276" s="75" t="n"/>
      <c r="J276" s="76" t="n"/>
      <c r="K276" s="77" t="str">
        <f>IF(AB276=1,ROUND(AG276/60,4),"")</f>
        <v/>
      </c>
      <c r="L276" s="77" t="str">
        <f>IF(BD276=1,ROUND(AP276/60,4),"")</f>
        <v/>
      </c>
      <c r="M276" s="77" t="str">
        <f>IF(BD276=1,ROUND(AQ276/60,4),"")</f>
        <v/>
      </c>
      <c r="N276" s="71" t="str">
        <f>IF(AND(D276="proMX",AB276=1),ROUND(AG276/CFG_BLK,2),"")</f>
        <v/>
      </c>
      <c r="O276" s="77" t="str">
        <f>IF(D276="proMX",IF(BD276=1,ROUND(AG276/60,4),0),"")</f>
        <v/>
      </c>
      <c r="P276" s="78" t="str">
        <f>IF(Y276=0,"",IF(BD276=1,"OK",IF(D276="proMX","Revisar bloques: ","Revisar: ")&amp;BC276))</f>
        <v/>
      </c>
      <c r="Q276" s="78" t="str">
        <f>IF(NOT(ISNUMBER(B276)),"",IF(COUNTIFS(FER_F,INT(B276))&gt;0,"Feriado"&amp;IF(AH276=1," (laborable)"," (no laborable)"),IF(AH276=1,"Laborable",IF(WEEKDAY(B276,2)&gt;5,"Fin de semana","No laborable"))))</f>
        <v/>
      </c>
      <c r="R276" s="73" t="n"/>
      <c r="S276" s="72" t="n"/>
      <c r="T276" s="72" t="n"/>
      <c r="U276" s="74" t="n"/>
      <c r="V276" s="79" t="str">
        <f>IF(AND(D276="proMX",OR(R276="Submitted",R276="Recall Requested"),ISNUMBER(S276)),CFG_TODAY-INT(S276),"")</f>
        <v/>
      </c>
      <c r="W276" s="78" t="str">
        <f>IF(BD276=0,"",IF(BA276&gt;0,"⚠ Se superpone con un registro de la otra empresa",IF(D276="Malcolm",IF(COUNTA(R276,S276,T276)&gt;0,"Estado/fechas proMX se ignoran en Malcolm",""),IF(BF276="Cancelled","Cancelado: excluido de totales",IF(R276="","Sin estado: se trata como Draft",IF(BF276="Submitted",IF(ISNUMBER(V276),IF(V276&gt;CFG_MAXD,"⚠ "&amp;V276&amp;" días en Submitted (máx. "&amp;CFG_MAXD&amp;")",""),"Falta fecha de envío"),IF(BF276="Returned","⚠ Devuelto: corregir y reenviar",IF(BF276="Recall Requested","Retirada solicitada: pendiente",IF(AND(BF276="Approved",NOT(ISNUMBER(T276))),"Falta fecha de aprobación",IF(AND(ISNUMBER(S276),ISNUMBER(T276),T276&lt;S276),"Aprobación anterior al envío","")))))))))</f>
        <v/>
      </c>
      <c r="Y276" s="80">
        <f>IF(COUNTA(B276,D276,E276,F276,G276,H276,I276,J276,R276,S276,T276)&gt;0,1,0)</f>
        <v>0</v>
      </c>
      <c r="Z276" s="80" t="str">
        <f>IF(AND(ISNUMBER(H276),H276&gt;=0,H276&lt;1),ROUND(H276*1440,0),"")</f>
        <v/>
      </c>
      <c r="AA276" s="80" t="str">
        <f>IF(AND(ISNUMBER(I276),I276&gt;=0,I276&lt;1),ROUND(I276*1440,0),"")</f>
        <v/>
      </c>
      <c r="AB276" s="80">
        <f>IF(AND(ISNUMBER(B276),D276&lt;&gt;"",ISNUMBER(Z276),ISNUMBER(AA276)),IF(Z276=AA276,0,1),0)</f>
        <v>0</v>
      </c>
      <c r="AC276" s="80">
        <f>IF(AB276=1,IF(AA276&lt;Z276,1,0),0)</f>
        <v>0</v>
      </c>
      <c r="AD276" s="80">
        <f>IF(AB276=1,IF(AC276=1,1440-Z276+AA276,AA276-Z276),0)</f>
        <v>0</v>
      </c>
      <c r="AE276" s="80">
        <f>IF(J276="",0,IF(ISNUMBER(J276),J276,-1))</f>
        <v>0</v>
      </c>
      <c r="AF276" s="80">
        <f>MIN(MAX(0,AE276),AD276)</f>
        <v>0</v>
      </c>
      <c r="AG276" s="80">
        <f>MAX(0,AD276-MAX(0,AE276))</f>
        <v>0</v>
      </c>
      <c r="AH276" s="80">
        <f>IF(ISNUMBER(B276),IF(AND(INDEX(CFG_WDAYS,WEEKDAY(INT(B276),2))="Sí",IF(D276="proMX",COUNTIFS(FER_F,INT(B276),FER_NLP,"Sí"),COUNTIFS(FER_F,INT(B276),FER_NLM,"Sí"))=0),1,0),0)</f>
        <v>0</v>
      </c>
      <c r="AI276" s="80">
        <f>IF(AC276=1,IF(AND(INDEX(CFG_WDAYS,WEEKDAY(INT(B276)+1,2))="Sí",IF(D276="proMX",COUNTIFS(FER_F,INT(B276)+1,FER_NLP,"Sí"),COUNTIFS(FER_F,INT(B276)+1,FER_NLM,"Sí"))=0),1,0),0)</f>
        <v>0</v>
      </c>
      <c r="AJ276" s="80">
        <f>IF(AC276=1,1440-Z276,AD276)</f>
        <v>0</v>
      </c>
      <c r="AK276" s="80">
        <f>IF(AND(AB276=1,AH276=1),MAX(0,MIN(IF(AC276=1,1440,AA276),CFG_WEM)-MAX(Z276,CFG_WSM)),0)</f>
        <v>0</v>
      </c>
      <c r="AL276" s="80">
        <f>IF(AND(AC276=1,AI276=1),MAX(0,MIN(AA276,CFG_WEM)-CFG_WSM),0)</f>
        <v>0</v>
      </c>
      <c r="AM276" s="80">
        <f>AK276+AL276</f>
        <v>0</v>
      </c>
      <c r="AN276" s="80">
        <f>IF(CFG_BRK="Proporcional",IF(AD276=0,0,AF276*AM276/AD276),IF(CFG_BRK="Extras primero",MIN(AM276,MAX(0,AF276-(AD276-AM276))),MIN(AF276,AM276)))</f>
        <v>0</v>
      </c>
      <c r="AO276" s="80">
        <f>AF276-AN276</f>
        <v>0</v>
      </c>
      <c r="AP276" s="80">
        <f>AM276-AN276</f>
        <v>0</v>
      </c>
      <c r="AQ276" s="80">
        <f>AD276-AM276-AO276</f>
        <v>0</v>
      </c>
      <c r="AR276" s="80">
        <f>IF(AM276=0,0,AK276-AN276*AK276/AM276)</f>
        <v>0</v>
      </c>
      <c r="AS276" s="80">
        <f>IF(AD276-AM276=0,0,(AJ276-AK276)-AO276*(AJ276-AK276)/(AD276-AM276))</f>
        <v>0</v>
      </c>
      <c r="AT276" s="80" t="str">
        <f>IF(AC276=1,INT(B276)+1,"")</f>
        <v/>
      </c>
      <c r="AU276" s="80">
        <f>IF(AND(D276="proMX",R276="Cancelled"),0,1)</f>
        <v>1</v>
      </c>
      <c r="AV276" s="80">
        <f>IF(AND(AB276=1,AU276=1),IF(COUNTIFS($D$5:D275,D276,$B$5:B275,B276,$Z$5:Z275,Z276,$AA$5:AA275,AA276,$F$5:F275,F276&amp;"",$AU$5:AU275,1)&gt;0,1,0),0)</f>
        <v>0</v>
      </c>
      <c r="AW276" s="80" t="str">
        <f>IF(AB276=1,INT(B276)*1440+Z276,"")</f>
        <v/>
      </c>
      <c r="AX276" s="80" t="str">
        <f>IF(AB276=1,AW276+AD276,"")</f>
        <v/>
      </c>
      <c r="AY276" s="80">
        <f>IF(AND(AB276=1,AV276=0,AU276=1),1,0)</f>
        <v>0</v>
      </c>
      <c r="AZ276" s="80">
        <f>IF(AY276=1,COUNTIFS(R_Emp,D276,R_SAbs,"&lt;"&amp;AX276,R_EAbs,"&gt;"&amp;AW276,R_OKey,1)-1,0)</f>
        <v>0</v>
      </c>
      <c r="BA276" s="80">
        <f>IF(AY276=1,COUNTIFS(R_Emp,"&lt;&gt;"&amp;D276,R_SAbs,"&lt;"&amp;AX276,R_EAbs,"&gt;"&amp;AW276,R_OKey,1),0)</f>
        <v>0</v>
      </c>
      <c r="BB276" s="80">
        <f>IF(AND(AB276=1,D276="proMX"),IF(AND(MOD(Z276,CFG_BLK)=0,MOD(AA276,CFG_BLK)=0,MOD(AG276,CFG_BLK)=0,AG276&gt;0),1,0),1)</f>
        <v>1</v>
      </c>
      <c r="BC276" s="80" t="str">
        <f>IF(Y276=0,"",IF(NOT(ISNUMBER(B276)),"Falta fecha o fecha inválida",IF(D276="","Falta empresa",IF(AND(D276&lt;&gt;"Malcolm",D276&lt;&gt;"proMX"),"Empresa inválida",IF(OR(INT(B276)&lt;CFG_PSTART,INT(B276)&gt;CFG_PEND),"Fecha fuera del período",IF(OR(NOT(ISNUMBER(Z276)),NOT(ISNUMBER(AA276))),"Falta hora inicio/fin o formato inválido",IF(AB276=0,"Hora inicio = hora fin",IF(AE276&lt;0,"Descanso inválido",IF(AE276&gt;=AD276,"Descanso ≥ duración",IF(AV276=1,"Registro duplicado",IF(AZ276&gt;0,"Se superpone con otro registro "&amp;D276,IF(BB276=0,"inicio, fin y duración neta deben ser múltiplos de "&amp;CFG_BLK&amp;" min",""))))))))))))</f>
        <v/>
      </c>
      <c r="BD276" s="80">
        <f>IF(AND(Y276=1,BC276=""),1,0)</f>
        <v>0</v>
      </c>
      <c r="BE276" s="80">
        <f>IF(AND(BD276=1,AU276=1),1,0)</f>
        <v>0</v>
      </c>
      <c r="BF276" s="80" t="str">
        <f>IF(AND(D276="proMX",BD276=1),IF(R276="","Draft",R276),"")</f>
        <v/>
      </c>
      <c r="BG276" s="80">
        <f>IF(BD276=1,ROUND(AG276/60,6),0)</f>
        <v>0</v>
      </c>
      <c r="BH276" s="80">
        <f>IF(BE276=1,ROUND(AG276/60,6),0)</f>
        <v>0</v>
      </c>
      <c r="BI276" s="80">
        <f>IF(BE276=1,ROUND(AP276/60,6),0)</f>
        <v>0</v>
      </c>
      <c r="BJ276" s="80">
        <f>IF(BE276=1,ROUND(AQ276/60,6),0)</f>
        <v>0</v>
      </c>
      <c r="BK276" s="80">
        <f>IF(BE276=1,ROUND((AR276+AS276)/60,6),0)</f>
        <v>0</v>
      </c>
      <c r="BL276" s="80">
        <f>ROUND(BH276-BK276,6)</f>
        <v>0</v>
      </c>
      <c r="BM276" s="80">
        <f>IF(BE276=1,ROUND(AR276/60,6),0)</f>
        <v>0</v>
      </c>
      <c r="BN276" s="80">
        <f>ROUND(BI276-BM276,6)</f>
        <v>0</v>
      </c>
      <c r="BO276" s="80">
        <f>IF(BE276=1,ROUND(AS276/60,6),0)</f>
        <v>0</v>
      </c>
      <c r="BP276" s="80">
        <f>ROUND(BJ276-BO276,6)</f>
        <v>0</v>
      </c>
      <c r="BQ276" s="80">
        <f>IF(BE276=1,AW276,0)</f>
        <v>0</v>
      </c>
      <c r="BR276" s="80">
        <f>IF(BE276=1,AX276,0)</f>
        <v>0</v>
      </c>
      <c r="BS276" s="80">
        <f>IF(AND(BE276=1,D276="Malcolm",BA276&gt;0),MIN(BH276,SUMPRODUCT((R_Emp="proMX")*(R_EN&gt;0)*((R_EN-(R_EN&gt;BR276)*(R_EN-BR276))&gt;(R_SN+(R_SN&lt;BQ276)*(BQ276-R_SN)))*((R_EN-(R_EN&gt;BR276)*(R_EN-BR276))-(R_SN+(R_SN&lt;BQ276)*(BQ276-R_SN))))/60),0)</f>
        <v>0</v>
      </c>
      <c r="BT276" s="80">
        <f>IF(AND(BE276=1,D276="proMX"),ROUND(BI276*CFG_RATE+BJ276*CFG_OTRATE,6),0)</f>
        <v>0</v>
      </c>
      <c r="BU276" s="80">
        <f>IF(AND(BD276=1,D276="proMX"),ROUND(AG276/CFG_BLK,6),0)</f>
        <v>0</v>
      </c>
      <c r="BV276" s="80" t="str">
        <f>IF(BF276="Approved",IF(ISNUMBER(T276),INT(T276),INT(B276)),"")</f>
        <v/>
      </c>
      <c r="BW276" s="80">
        <f>IF(ISNUMBER(B276),IF(DB_MON="Todos",1,IF(AND(INT(B276)&gt;=DB_MS,INT(B276)&lt;=DB_ME),1,0)),0)</f>
        <v>0</v>
      </c>
      <c r="BX276" s="80">
        <f>IF(DB_PROJ="Todos",1,IF(E276&amp;""=DB_PROJ&amp;"",1,0))</f>
        <v>1</v>
      </c>
      <c r="BY276" s="80">
        <f>BW276*BX276</f>
        <v>0</v>
      </c>
      <c r="BZ276" s="80" t="str">
        <f>IF(Y276=1,F276&amp;IF(AND(F276&amp;""&lt;&gt;"",E276&amp;""&lt;&gt;"")," · ","")&amp;E276,"")</f>
        <v/>
      </c>
      <c r="CA276" s="80" t="str">
        <f>IF(AND(BD276=1,E276&amp;""&lt;&gt;""),IF(COUNTIFS($E$5:E275,E276,$BD$5:BD275,1)=0,MAX($CA$5:CA275)+1,""),"")</f>
        <v/>
      </c>
      <c r="CB276" s="80" t="str">
        <f>IF(AND(BE276=1,D276="Malcolm",E276&amp;""&lt;&gt;""),IF(COUNTIFS($D$5:D275,"Malcolm",$E$5:E275,E276,$BE$5:BE275,1)=0,MAX($CB$5:CB275)+1,""),"")</f>
        <v/>
      </c>
      <c r="CC276" s="80" t="str">
        <f>IF(AND(BD276=1,D276="proMX",E276&amp;""&lt;&gt;""),IF(COUNTIFS($D$5:D275,"proMX",$E$5:E275,E276,$BD$5:BD275,1)=0,MAX($CC$5:CC275)+1,""),"")</f>
        <v/>
      </c>
      <c r="CD276" s="80" t="str">
        <f>IF(AND(BE276=1,D276="Malcolm",F276&amp;""&lt;&gt;""),IF(COUNTIFS($D$5:D275,"Malcolm",$F$5:F275,F276,$BE$5:BE275,1)=0,MAX($CD$5:CD275)+1,""),"")</f>
        <v/>
      </c>
      <c r="CE276" s="80" t="str">
        <f>IF(AND(BD276=1,D276="proMX",F276&amp;""&lt;&gt;""),IF(COUNTIFS($D$5:D275,"proMX",$F$5:F275,F276,$BD$5:BD275,1)=0,MAX($CE$5:CE275)+1,""),"")</f>
        <v/>
      </c>
      <c r="CF276" s="80" t="str">
        <f>IF(AND(D276="proMX",BD276=1),IF(OR(BF276="Draft",BF276="Submitted",BF276="Returned",BF276="Recall Requested"),MAX($CF$5:CF275)+1,""),"")</f>
        <v/>
      </c>
      <c r="CG276" s="80">
        <f>IF(BD276=0,0,IF(D276="Malcolm",1,MATCH(BF276,{"Draft","Submitted","Approved","Returned","Recall Requested","Cancelled"},0)+1))</f>
        <v>0</v>
      </c>
      <c r="CH276" s="80">
        <f>IF(AND(BF276="Submitted",ISNUMBER(V276)),IF(V276&gt;CFG_MAXD,1,0),0)</f>
        <v>0</v>
      </c>
    </row>
    <row r="277">
      <c r="A277" s="71" t="str">
        <f>IF(Y277=1,ROW()-5,"")</f>
        <v/>
      </c>
      <c r="B277" s="72" t="n"/>
      <c r="C277" s="71" t="str">
        <f>IF(ISNUMBER(B277),CHOOSE(WEEKDAY(B277,2),"Lun","Mar","Mié","Jue","Vie","Sáb","Dom"),"")</f>
        <v/>
      </c>
      <c r="D277" s="73" t="n"/>
      <c r="E277" s="74" t="n"/>
      <c r="F277" s="74" t="n"/>
      <c r="G277" s="74" t="n"/>
      <c r="H277" s="75" t="n"/>
      <c r="I277" s="75" t="n"/>
      <c r="J277" s="76" t="n"/>
      <c r="K277" s="77" t="str">
        <f>IF(AB277=1,ROUND(AG277/60,4),"")</f>
        <v/>
      </c>
      <c r="L277" s="77" t="str">
        <f>IF(BD277=1,ROUND(AP277/60,4),"")</f>
        <v/>
      </c>
      <c r="M277" s="77" t="str">
        <f>IF(BD277=1,ROUND(AQ277/60,4),"")</f>
        <v/>
      </c>
      <c r="N277" s="71" t="str">
        <f>IF(AND(D277="proMX",AB277=1),ROUND(AG277/CFG_BLK,2),"")</f>
        <v/>
      </c>
      <c r="O277" s="77" t="str">
        <f>IF(D277="proMX",IF(BD277=1,ROUND(AG277/60,4),0),"")</f>
        <v/>
      </c>
      <c r="P277" s="78" t="str">
        <f>IF(Y277=0,"",IF(BD277=1,"OK",IF(D277="proMX","Revisar bloques: ","Revisar: ")&amp;BC277))</f>
        <v/>
      </c>
      <c r="Q277" s="78" t="str">
        <f>IF(NOT(ISNUMBER(B277)),"",IF(COUNTIFS(FER_F,INT(B277))&gt;0,"Feriado"&amp;IF(AH277=1," (laborable)"," (no laborable)"),IF(AH277=1,"Laborable",IF(WEEKDAY(B277,2)&gt;5,"Fin de semana","No laborable"))))</f>
        <v/>
      </c>
      <c r="R277" s="73" t="n"/>
      <c r="S277" s="72" t="n"/>
      <c r="T277" s="72" t="n"/>
      <c r="U277" s="74" t="n"/>
      <c r="V277" s="79" t="str">
        <f>IF(AND(D277="proMX",OR(R277="Submitted",R277="Recall Requested"),ISNUMBER(S277)),CFG_TODAY-INT(S277),"")</f>
        <v/>
      </c>
      <c r="W277" s="78" t="str">
        <f>IF(BD277=0,"",IF(BA277&gt;0,"⚠ Se superpone con un registro de la otra empresa",IF(D277="Malcolm",IF(COUNTA(R277,S277,T277)&gt;0,"Estado/fechas proMX se ignoran en Malcolm",""),IF(BF277="Cancelled","Cancelado: excluido de totales",IF(R277="","Sin estado: se trata como Draft",IF(BF277="Submitted",IF(ISNUMBER(V277),IF(V277&gt;CFG_MAXD,"⚠ "&amp;V277&amp;" días en Submitted (máx. "&amp;CFG_MAXD&amp;")",""),"Falta fecha de envío"),IF(BF277="Returned","⚠ Devuelto: corregir y reenviar",IF(BF277="Recall Requested","Retirada solicitada: pendiente",IF(AND(BF277="Approved",NOT(ISNUMBER(T277))),"Falta fecha de aprobación",IF(AND(ISNUMBER(S277),ISNUMBER(T277),T277&lt;S277),"Aprobación anterior al envío","")))))))))</f>
        <v/>
      </c>
      <c r="Y277" s="80">
        <f>IF(COUNTA(B277,D277,E277,F277,G277,H277,I277,J277,R277,S277,T277)&gt;0,1,0)</f>
        <v>0</v>
      </c>
      <c r="Z277" s="80" t="str">
        <f>IF(AND(ISNUMBER(H277),H277&gt;=0,H277&lt;1),ROUND(H277*1440,0),"")</f>
        <v/>
      </c>
      <c r="AA277" s="80" t="str">
        <f>IF(AND(ISNUMBER(I277),I277&gt;=0,I277&lt;1),ROUND(I277*1440,0),"")</f>
        <v/>
      </c>
      <c r="AB277" s="80">
        <f>IF(AND(ISNUMBER(B277),D277&lt;&gt;"",ISNUMBER(Z277),ISNUMBER(AA277)),IF(Z277=AA277,0,1),0)</f>
        <v>0</v>
      </c>
      <c r="AC277" s="80">
        <f>IF(AB277=1,IF(AA277&lt;Z277,1,0),0)</f>
        <v>0</v>
      </c>
      <c r="AD277" s="80">
        <f>IF(AB277=1,IF(AC277=1,1440-Z277+AA277,AA277-Z277),0)</f>
        <v>0</v>
      </c>
      <c r="AE277" s="80">
        <f>IF(J277="",0,IF(ISNUMBER(J277),J277,-1))</f>
        <v>0</v>
      </c>
      <c r="AF277" s="80">
        <f>MIN(MAX(0,AE277),AD277)</f>
        <v>0</v>
      </c>
      <c r="AG277" s="80">
        <f>MAX(0,AD277-MAX(0,AE277))</f>
        <v>0</v>
      </c>
      <c r="AH277" s="80">
        <f>IF(ISNUMBER(B277),IF(AND(INDEX(CFG_WDAYS,WEEKDAY(INT(B277),2))="Sí",IF(D277="proMX",COUNTIFS(FER_F,INT(B277),FER_NLP,"Sí"),COUNTIFS(FER_F,INT(B277),FER_NLM,"Sí"))=0),1,0),0)</f>
        <v>0</v>
      </c>
      <c r="AI277" s="80">
        <f>IF(AC277=1,IF(AND(INDEX(CFG_WDAYS,WEEKDAY(INT(B277)+1,2))="Sí",IF(D277="proMX",COUNTIFS(FER_F,INT(B277)+1,FER_NLP,"Sí"),COUNTIFS(FER_F,INT(B277)+1,FER_NLM,"Sí"))=0),1,0),0)</f>
        <v>0</v>
      </c>
      <c r="AJ277" s="80">
        <f>IF(AC277=1,1440-Z277,AD277)</f>
        <v>0</v>
      </c>
      <c r="AK277" s="80">
        <f>IF(AND(AB277=1,AH277=1),MAX(0,MIN(IF(AC277=1,1440,AA277),CFG_WEM)-MAX(Z277,CFG_WSM)),0)</f>
        <v>0</v>
      </c>
      <c r="AL277" s="80">
        <f>IF(AND(AC277=1,AI277=1),MAX(0,MIN(AA277,CFG_WEM)-CFG_WSM),0)</f>
        <v>0</v>
      </c>
      <c r="AM277" s="80">
        <f>AK277+AL277</f>
        <v>0</v>
      </c>
      <c r="AN277" s="80">
        <f>IF(CFG_BRK="Proporcional",IF(AD277=0,0,AF277*AM277/AD277),IF(CFG_BRK="Extras primero",MIN(AM277,MAX(0,AF277-(AD277-AM277))),MIN(AF277,AM277)))</f>
        <v>0</v>
      </c>
      <c r="AO277" s="80">
        <f>AF277-AN277</f>
        <v>0</v>
      </c>
      <c r="AP277" s="80">
        <f>AM277-AN277</f>
        <v>0</v>
      </c>
      <c r="AQ277" s="80">
        <f>AD277-AM277-AO277</f>
        <v>0</v>
      </c>
      <c r="AR277" s="80">
        <f>IF(AM277=0,0,AK277-AN277*AK277/AM277)</f>
        <v>0</v>
      </c>
      <c r="AS277" s="80">
        <f>IF(AD277-AM277=0,0,(AJ277-AK277)-AO277*(AJ277-AK277)/(AD277-AM277))</f>
        <v>0</v>
      </c>
      <c r="AT277" s="80" t="str">
        <f>IF(AC277=1,INT(B277)+1,"")</f>
        <v/>
      </c>
      <c r="AU277" s="80">
        <f>IF(AND(D277="proMX",R277="Cancelled"),0,1)</f>
        <v>1</v>
      </c>
      <c r="AV277" s="80">
        <f>IF(AND(AB277=1,AU277=1),IF(COUNTIFS($D$5:D276,D277,$B$5:B276,B277,$Z$5:Z276,Z277,$AA$5:AA276,AA277,$F$5:F276,F277&amp;"",$AU$5:AU276,1)&gt;0,1,0),0)</f>
        <v>0</v>
      </c>
      <c r="AW277" s="80" t="str">
        <f>IF(AB277=1,INT(B277)*1440+Z277,"")</f>
        <v/>
      </c>
      <c r="AX277" s="80" t="str">
        <f>IF(AB277=1,AW277+AD277,"")</f>
        <v/>
      </c>
      <c r="AY277" s="80">
        <f>IF(AND(AB277=1,AV277=0,AU277=1),1,0)</f>
        <v>0</v>
      </c>
      <c r="AZ277" s="80">
        <f>IF(AY277=1,COUNTIFS(R_Emp,D277,R_SAbs,"&lt;"&amp;AX277,R_EAbs,"&gt;"&amp;AW277,R_OKey,1)-1,0)</f>
        <v>0</v>
      </c>
      <c r="BA277" s="80">
        <f>IF(AY277=1,COUNTIFS(R_Emp,"&lt;&gt;"&amp;D277,R_SAbs,"&lt;"&amp;AX277,R_EAbs,"&gt;"&amp;AW277,R_OKey,1),0)</f>
        <v>0</v>
      </c>
      <c r="BB277" s="80">
        <f>IF(AND(AB277=1,D277="proMX"),IF(AND(MOD(Z277,CFG_BLK)=0,MOD(AA277,CFG_BLK)=0,MOD(AG277,CFG_BLK)=0,AG277&gt;0),1,0),1)</f>
        <v>1</v>
      </c>
      <c r="BC277" s="80" t="str">
        <f>IF(Y277=0,"",IF(NOT(ISNUMBER(B277)),"Falta fecha o fecha inválida",IF(D277="","Falta empresa",IF(AND(D277&lt;&gt;"Malcolm",D277&lt;&gt;"proMX"),"Empresa inválida",IF(OR(INT(B277)&lt;CFG_PSTART,INT(B277)&gt;CFG_PEND),"Fecha fuera del período",IF(OR(NOT(ISNUMBER(Z277)),NOT(ISNUMBER(AA277))),"Falta hora inicio/fin o formato inválido",IF(AB277=0,"Hora inicio = hora fin",IF(AE277&lt;0,"Descanso inválido",IF(AE277&gt;=AD277,"Descanso ≥ duración",IF(AV277=1,"Registro duplicado",IF(AZ277&gt;0,"Se superpone con otro registro "&amp;D277,IF(BB277=0,"inicio, fin y duración neta deben ser múltiplos de "&amp;CFG_BLK&amp;" min",""))))))))))))</f>
        <v/>
      </c>
      <c r="BD277" s="80">
        <f>IF(AND(Y277=1,BC277=""),1,0)</f>
        <v>0</v>
      </c>
      <c r="BE277" s="80">
        <f>IF(AND(BD277=1,AU277=1),1,0)</f>
        <v>0</v>
      </c>
      <c r="BF277" s="80" t="str">
        <f>IF(AND(D277="proMX",BD277=1),IF(R277="","Draft",R277),"")</f>
        <v/>
      </c>
      <c r="BG277" s="80">
        <f>IF(BD277=1,ROUND(AG277/60,6),0)</f>
        <v>0</v>
      </c>
      <c r="BH277" s="80">
        <f>IF(BE277=1,ROUND(AG277/60,6),0)</f>
        <v>0</v>
      </c>
      <c r="BI277" s="80">
        <f>IF(BE277=1,ROUND(AP277/60,6),0)</f>
        <v>0</v>
      </c>
      <c r="BJ277" s="80">
        <f>IF(BE277=1,ROUND(AQ277/60,6),0)</f>
        <v>0</v>
      </c>
      <c r="BK277" s="80">
        <f>IF(BE277=1,ROUND((AR277+AS277)/60,6),0)</f>
        <v>0</v>
      </c>
      <c r="BL277" s="80">
        <f>ROUND(BH277-BK277,6)</f>
        <v>0</v>
      </c>
      <c r="BM277" s="80">
        <f>IF(BE277=1,ROUND(AR277/60,6),0)</f>
        <v>0</v>
      </c>
      <c r="BN277" s="80">
        <f>ROUND(BI277-BM277,6)</f>
        <v>0</v>
      </c>
      <c r="BO277" s="80">
        <f>IF(BE277=1,ROUND(AS277/60,6),0)</f>
        <v>0</v>
      </c>
      <c r="BP277" s="80">
        <f>ROUND(BJ277-BO277,6)</f>
        <v>0</v>
      </c>
      <c r="BQ277" s="80">
        <f>IF(BE277=1,AW277,0)</f>
        <v>0</v>
      </c>
      <c r="BR277" s="80">
        <f>IF(BE277=1,AX277,0)</f>
        <v>0</v>
      </c>
      <c r="BS277" s="80">
        <f>IF(AND(BE277=1,D277="Malcolm",BA277&gt;0),MIN(BH277,SUMPRODUCT((R_Emp="proMX")*(R_EN&gt;0)*((R_EN-(R_EN&gt;BR277)*(R_EN-BR277))&gt;(R_SN+(R_SN&lt;BQ277)*(BQ277-R_SN)))*((R_EN-(R_EN&gt;BR277)*(R_EN-BR277))-(R_SN+(R_SN&lt;BQ277)*(BQ277-R_SN))))/60),0)</f>
        <v>0</v>
      </c>
      <c r="BT277" s="80">
        <f>IF(AND(BE277=1,D277="proMX"),ROUND(BI277*CFG_RATE+BJ277*CFG_OTRATE,6),0)</f>
        <v>0</v>
      </c>
      <c r="BU277" s="80">
        <f>IF(AND(BD277=1,D277="proMX"),ROUND(AG277/CFG_BLK,6),0)</f>
        <v>0</v>
      </c>
      <c r="BV277" s="80" t="str">
        <f>IF(BF277="Approved",IF(ISNUMBER(T277),INT(T277),INT(B277)),"")</f>
        <v/>
      </c>
      <c r="BW277" s="80">
        <f>IF(ISNUMBER(B277),IF(DB_MON="Todos",1,IF(AND(INT(B277)&gt;=DB_MS,INT(B277)&lt;=DB_ME),1,0)),0)</f>
        <v>0</v>
      </c>
      <c r="BX277" s="80">
        <f>IF(DB_PROJ="Todos",1,IF(E277&amp;""=DB_PROJ&amp;"",1,0))</f>
        <v>1</v>
      </c>
      <c r="BY277" s="80">
        <f>BW277*BX277</f>
        <v>0</v>
      </c>
      <c r="BZ277" s="80" t="str">
        <f>IF(Y277=1,F277&amp;IF(AND(F277&amp;""&lt;&gt;"",E277&amp;""&lt;&gt;"")," · ","")&amp;E277,"")</f>
        <v/>
      </c>
      <c r="CA277" s="80" t="str">
        <f>IF(AND(BD277=1,E277&amp;""&lt;&gt;""),IF(COUNTIFS($E$5:E276,E277,$BD$5:BD276,1)=0,MAX($CA$5:CA276)+1,""),"")</f>
        <v/>
      </c>
      <c r="CB277" s="80" t="str">
        <f>IF(AND(BE277=1,D277="Malcolm",E277&amp;""&lt;&gt;""),IF(COUNTIFS($D$5:D276,"Malcolm",$E$5:E276,E277,$BE$5:BE276,1)=0,MAX($CB$5:CB276)+1,""),"")</f>
        <v/>
      </c>
      <c r="CC277" s="80" t="str">
        <f>IF(AND(BD277=1,D277="proMX",E277&amp;""&lt;&gt;""),IF(COUNTIFS($D$5:D276,"proMX",$E$5:E276,E277,$BD$5:BD276,1)=0,MAX($CC$5:CC276)+1,""),"")</f>
        <v/>
      </c>
      <c r="CD277" s="80" t="str">
        <f>IF(AND(BE277=1,D277="Malcolm",F277&amp;""&lt;&gt;""),IF(COUNTIFS($D$5:D276,"Malcolm",$F$5:F276,F277,$BE$5:BE276,1)=0,MAX($CD$5:CD276)+1,""),"")</f>
        <v/>
      </c>
      <c r="CE277" s="80" t="str">
        <f>IF(AND(BD277=1,D277="proMX",F277&amp;""&lt;&gt;""),IF(COUNTIFS($D$5:D276,"proMX",$F$5:F276,F277,$BD$5:BD276,1)=0,MAX($CE$5:CE276)+1,""),"")</f>
        <v/>
      </c>
      <c r="CF277" s="80" t="str">
        <f>IF(AND(D277="proMX",BD277=1),IF(OR(BF277="Draft",BF277="Submitted",BF277="Returned",BF277="Recall Requested"),MAX($CF$5:CF276)+1,""),"")</f>
        <v/>
      </c>
      <c r="CG277" s="80">
        <f>IF(BD277=0,0,IF(D277="Malcolm",1,MATCH(BF277,{"Draft","Submitted","Approved","Returned","Recall Requested","Cancelled"},0)+1))</f>
        <v>0</v>
      </c>
      <c r="CH277" s="80">
        <f>IF(AND(BF277="Submitted",ISNUMBER(V277)),IF(V277&gt;CFG_MAXD,1,0),0)</f>
        <v>0</v>
      </c>
    </row>
    <row r="278">
      <c r="A278" s="71" t="str">
        <f>IF(Y278=1,ROW()-5,"")</f>
        <v/>
      </c>
      <c r="B278" s="72" t="n"/>
      <c r="C278" s="71" t="str">
        <f>IF(ISNUMBER(B278),CHOOSE(WEEKDAY(B278,2),"Lun","Mar","Mié","Jue","Vie","Sáb","Dom"),"")</f>
        <v/>
      </c>
      <c r="D278" s="73" t="n"/>
      <c r="E278" s="74" t="n"/>
      <c r="F278" s="74" t="n"/>
      <c r="G278" s="74" t="n"/>
      <c r="H278" s="75" t="n"/>
      <c r="I278" s="75" t="n"/>
      <c r="J278" s="76" t="n"/>
      <c r="K278" s="77" t="str">
        <f>IF(AB278=1,ROUND(AG278/60,4),"")</f>
        <v/>
      </c>
      <c r="L278" s="77" t="str">
        <f>IF(BD278=1,ROUND(AP278/60,4),"")</f>
        <v/>
      </c>
      <c r="M278" s="77" t="str">
        <f>IF(BD278=1,ROUND(AQ278/60,4),"")</f>
        <v/>
      </c>
      <c r="N278" s="71" t="str">
        <f>IF(AND(D278="proMX",AB278=1),ROUND(AG278/CFG_BLK,2),"")</f>
        <v/>
      </c>
      <c r="O278" s="77" t="str">
        <f>IF(D278="proMX",IF(BD278=1,ROUND(AG278/60,4),0),"")</f>
        <v/>
      </c>
      <c r="P278" s="78" t="str">
        <f>IF(Y278=0,"",IF(BD278=1,"OK",IF(D278="proMX","Revisar bloques: ","Revisar: ")&amp;BC278))</f>
        <v/>
      </c>
      <c r="Q278" s="78" t="str">
        <f>IF(NOT(ISNUMBER(B278)),"",IF(COUNTIFS(FER_F,INT(B278))&gt;0,"Feriado"&amp;IF(AH278=1," (laborable)"," (no laborable)"),IF(AH278=1,"Laborable",IF(WEEKDAY(B278,2)&gt;5,"Fin de semana","No laborable"))))</f>
        <v/>
      </c>
      <c r="R278" s="73" t="n"/>
      <c r="S278" s="72" t="n"/>
      <c r="T278" s="72" t="n"/>
      <c r="U278" s="74" t="n"/>
      <c r="V278" s="79" t="str">
        <f>IF(AND(D278="proMX",OR(R278="Submitted",R278="Recall Requested"),ISNUMBER(S278)),CFG_TODAY-INT(S278),"")</f>
        <v/>
      </c>
      <c r="W278" s="78" t="str">
        <f>IF(BD278=0,"",IF(BA278&gt;0,"⚠ Se superpone con un registro de la otra empresa",IF(D278="Malcolm",IF(COUNTA(R278,S278,T278)&gt;0,"Estado/fechas proMX se ignoran en Malcolm",""),IF(BF278="Cancelled","Cancelado: excluido de totales",IF(R278="","Sin estado: se trata como Draft",IF(BF278="Submitted",IF(ISNUMBER(V278),IF(V278&gt;CFG_MAXD,"⚠ "&amp;V278&amp;" días en Submitted (máx. "&amp;CFG_MAXD&amp;")",""),"Falta fecha de envío"),IF(BF278="Returned","⚠ Devuelto: corregir y reenviar",IF(BF278="Recall Requested","Retirada solicitada: pendiente",IF(AND(BF278="Approved",NOT(ISNUMBER(T278))),"Falta fecha de aprobación",IF(AND(ISNUMBER(S278),ISNUMBER(T278),T278&lt;S278),"Aprobación anterior al envío","")))))))))</f>
        <v/>
      </c>
      <c r="Y278" s="80">
        <f>IF(COUNTA(B278,D278,E278,F278,G278,H278,I278,J278,R278,S278,T278)&gt;0,1,0)</f>
        <v>0</v>
      </c>
      <c r="Z278" s="80" t="str">
        <f>IF(AND(ISNUMBER(H278),H278&gt;=0,H278&lt;1),ROUND(H278*1440,0),"")</f>
        <v/>
      </c>
      <c r="AA278" s="80" t="str">
        <f>IF(AND(ISNUMBER(I278),I278&gt;=0,I278&lt;1),ROUND(I278*1440,0),"")</f>
        <v/>
      </c>
      <c r="AB278" s="80">
        <f>IF(AND(ISNUMBER(B278),D278&lt;&gt;"",ISNUMBER(Z278),ISNUMBER(AA278)),IF(Z278=AA278,0,1),0)</f>
        <v>0</v>
      </c>
      <c r="AC278" s="80">
        <f>IF(AB278=1,IF(AA278&lt;Z278,1,0),0)</f>
        <v>0</v>
      </c>
      <c r="AD278" s="80">
        <f>IF(AB278=1,IF(AC278=1,1440-Z278+AA278,AA278-Z278),0)</f>
        <v>0</v>
      </c>
      <c r="AE278" s="80">
        <f>IF(J278="",0,IF(ISNUMBER(J278),J278,-1))</f>
        <v>0</v>
      </c>
      <c r="AF278" s="80">
        <f>MIN(MAX(0,AE278),AD278)</f>
        <v>0</v>
      </c>
      <c r="AG278" s="80">
        <f>MAX(0,AD278-MAX(0,AE278))</f>
        <v>0</v>
      </c>
      <c r="AH278" s="80">
        <f>IF(ISNUMBER(B278),IF(AND(INDEX(CFG_WDAYS,WEEKDAY(INT(B278),2))="Sí",IF(D278="proMX",COUNTIFS(FER_F,INT(B278),FER_NLP,"Sí"),COUNTIFS(FER_F,INT(B278),FER_NLM,"Sí"))=0),1,0),0)</f>
        <v>0</v>
      </c>
      <c r="AI278" s="80">
        <f>IF(AC278=1,IF(AND(INDEX(CFG_WDAYS,WEEKDAY(INT(B278)+1,2))="Sí",IF(D278="proMX",COUNTIFS(FER_F,INT(B278)+1,FER_NLP,"Sí"),COUNTIFS(FER_F,INT(B278)+1,FER_NLM,"Sí"))=0),1,0),0)</f>
        <v>0</v>
      </c>
      <c r="AJ278" s="80">
        <f>IF(AC278=1,1440-Z278,AD278)</f>
        <v>0</v>
      </c>
      <c r="AK278" s="80">
        <f>IF(AND(AB278=1,AH278=1),MAX(0,MIN(IF(AC278=1,1440,AA278),CFG_WEM)-MAX(Z278,CFG_WSM)),0)</f>
        <v>0</v>
      </c>
      <c r="AL278" s="80">
        <f>IF(AND(AC278=1,AI278=1),MAX(0,MIN(AA278,CFG_WEM)-CFG_WSM),0)</f>
        <v>0</v>
      </c>
      <c r="AM278" s="80">
        <f>AK278+AL278</f>
        <v>0</v>
      </c>
      <c r="AN278" s="80">
        <f>IF(CFG_BRK="Proporcional",IF(AD278=0,0,AF278*AM278/AD278),IF(CFG_BRK="Extras primero",MIN(AM278,MAX(0,AF278-(AD278-AM278))),MIN(AF278,AM278)))</f>
        <v>0</v>
      </c>
      <c r="AO278" s="80">
        <f>AF278-AN278</f>
        <v>0</v>
      </c>
      <c r="AP278" s="80">
        <f>AM278-AN278</f>
        <v>0</v>
      </c>
      <c r="AQ278" s="80">
        <f>AD278-AM278-AO278</f>
        <v>0</v>
      </c>
      <c r="AR278" s="80">
        <f>IF(AM278=0,0,AK278-AN278*AK278/AM278)</f>
        <v>0</v>
      </c>
      <c r="AS278" s="80">
        <f>IF(AD278-AM278=0,0,(AJ278-AK278)-AO278*(AJ278-AK278)/(AD278-AM278))</f>
        <v>0</v>
      </c>
      <c r="AT278" s="80" t="str">
        <f>IF(AC278=1,INT(B278)+1,"")</f>
        <v/>
      </c>
      <c r="AU278" s="80">
        <f>IF(AND(D278="proMX",R278="Cancelled"),0,1)</f>
        <v>1</v>
      </c>
      <c r="AV278" s="80">
        <f>IF(AND(AB278=1,AU278=1),IF(COUNTIFS($D$5:D277,D278,$B$5:B277,B278,$Z$5:Z277,Z278,$AA$5:AA277,AA278,$F$5:F277,F278&amp;"",$AU$5:AU277,1)&gt;0,1,0),0)</f>
        <v>0</v>
      </c>
      <c r="AW278" s="80" t="str">
        <f>IF(AB278=1,INT(B278)*1440+Z278,"")</f>
        <v/>
      </c>
      <c r="AX278" s="80" t="str">
        <f>IF(AB278=1,AW278+AD278,"")</f>
        <v/>
      </c>
      <c r="AY278" s="80">
        <f>IF(AND(AB278=1,AV278=0,AU278=1),1,0)</f>
        <v>0</v>
      </c>
      <c r="AZ278" s="80">
        <f>IF(AY278=1,COUNTIFS(R_Emp,D278,R_SAbs,"&lt;"&amp;AX278,R_EAbs,"&gt;"&amp;AW278,R_OKey,1)-1,0)</f>
        <v>0</v>
      </c>
      <c r="BA278" s="80">
        <f>IF(AY278=1,COUNTIFS(R_Emp,"&lt;&gt;"&amp;D278,R_SAbs,"&lt;"&amp;AX278,R_EAbs,"&gt;"&amp;AW278,R_OKey,1),0)</f>
        <v>0</v>
      </c>
      <c r="BB278" s="80">
        <f>IF(AND(AB278=1,D278="proMX"),IF(AND(MOD(Z278,CFG_BLK)=0,MOD(AA278,CFG_BLK)=0,MOD(AG278,CFG_BLK)=0,AG278&gt;0),1,0),1)</f>
        <v>1</v>
      </c>
      <c r="BC278" s="80" t="str">
        <f>IF(Y278=0,"",IF(NOT(ISNUMBER(B278)),"Falta fecha o fecha inválida",IF(D278="","Falta empresa",IF(AND(D278&lt;&gt;"Malcolm",D278&lt;&gt;"proMX"),"Empresa inválida",IF(OR(INT(B278)&lt;CFG_PSTART,INT(B278)&gt;CFG_PEND),"Fecha fuera del período",IF(OR(NOT(ISNUMBER(Z278)),NOT(ISNUMBER(AA278))),"Falta hora inicio/fin o formato inválido",IF(AB278=0,"Hora inicio = hora fin",IF(AE278&lt;0,"Descanso inválido",IF(AE278&gt;=AD278,"Descanso ≥ duración",IF(AV278=1,"Registro duplicado",IF(AZ278&gt;0,"Se superpone con otro registro "&amp;D278,IF(BB278=0,"inicio, fin y duración neta deben ser múltiplos de "&amp;CFG_BLK&amp;" min",""))))))))))))</f>
        <v/>
      </c>
      <c r="BD278" s="80">
        <f>IF(AND(Y278=1,BC278=""),1,0)</f>
        <v>0</v>
      </c>
      <c r="BE278" s="80">
        <f>IF(AND(BD278=1,AU278=1),1,0)</f>
        <v>0</v>
      </c>
      <c r="BF278" s="80" t="str">
        <f>IF(AND(D278="proMX",BD278=1),IF(R278="","Draft",R278),"")</f>
        <v/>
      </c>
      <c r="BG278" s="80">
        <f>IF(BD278=1,ROUND(AG278/60,6),0)</f>
        <v>0</v>
      </c>
      <c r="BH278" s="80">
        <f>IF(BE278=1,ROUND(AG278/60,6),0)</f>
        <v>0</v>
      </c>
      <c r="BI278" s="80">
        <f>IF(BE278=1,ROUND(AP278/60,6),0)</f>
        <v>0</v>
      </c>
      <c r="BJ278" s="80">
        <f>IF(BE278=1,ROUND(AQ278/60,6),0)</f>
        <v>0</v>
      </c>
      <c r="BK278" s="80">
        <f>IF(BE278=1,ROUND((AR278+AS278)/60,6),0)</f>
        <v>0</v>
      </c>
      <c r="BL278" s="80">
        <f>ROUND(BH278-BK278,6)</f>
        <v>0</v>
      </c>
      <c r="BM278" s="80">
        <f>IF(BE278=1,ROUND(AR278/60,6),0)</f>
        <v>0</v>
      </c>
      <c r="BN278" s="80">
        <f>ROUND(BI278-BM278,6)</f>
        <v>0</v>
      </c>
      <c r="BO278" s="80">
        <f>IF(BE278=1,ROUND(AS278/60,6),0)</f>
        <v>0</v>
      </c>
      <c r="BP278" s="80">
        <f>ROUND(BJ278-BO278,6)</f>
        <v>0</v>
      </c>
      <c r="BQ278" s="80">
        <f>IF(BE278=1,AW278,0)</f>
        <v>0</v>
      </c>
      <c r="BR278" s="80">
        <f>IF(BE278=1,AX278,0)</f>
        <v>0</v>
      </c>
      <c r="BS278" s="80">
        <f>IF(AND(BE278=1,D278="Malcolm",BA278&gt;0),MIN(BH278,SUMPRODUCT((R_Emp="proMX")*(R_EN&gt;0)*((R_EN-(R_EN&gt;BR278)*(R_EN-BR278))&gt;(R_SN+(R_SN&lt;BQ278)*(BQ278-R_SN)))*((R_EN-(R_EN&gt;BR278)*(R_EN-BR278))-(R_SN+(R_SN&lt;BQ278)*(BQ278-R_SN))))/60),0)</f>
        <v>0</v>
      </c>
      <c r="BT278" s="80">
        <f>IF(AND(BE278=1,D278="proMX"),ROUND(BI278*CFG_RATE+BJ278*CFG_OTRATE,6),0)</f>
        <v>0</v>
      </c>
      <c r="BU278" s="80">
        <f>IF(AND(BD278=1,D278="proMX"),ROUND(AG278/CFG_BLK,6),0)</f>
        <v>0</v>
      </c>
      <c r="BV278" s="80" t="str">
        <f>IF(BF278="Approved",IF(ISNUMBER(T278),INT(T278),INT(B278)),"")</f>
        <v/>
      </c>
      <c r="BW278" s="80">
        <f>IF(ISNUMBER(B278),IF(DB_MON="Todos",1,IF(AND(INT(B278)&gt;=DB_MS,INT(B278)&lt;=DB_ME),1,0)),0)</f>
        <v>0</v>
      </c>
      <c r="BX278" s="80">
        <f>IF(DB_PROJ="Todos",1,IF(E278&amp;""=DB_PROJ&amp;"",1,0))</f>
        <v>1</v>
      </c>
      <c r="BY278" s="80">
        <f>BW278*BX278</f>
        <v>0</v>
      </c>
      <c r="BZ278" s="80" t="str">
        <f>IF(Y278=1,F278&amp;IF(AND(F278&amp;""&lt;&gt;"",E278&amp;""&lt;&gt;"")," · ","")&amp;E278,"")</f>
        <v/>
      </c>
      <c r="CA278" s="80" t="str">
        <f>IF(AND(BD278=1,E278&amp;""&lt;&gt;""),IF(COUNTIFS($E$5:E277,E278,$BD$5:BD277,1)=0,MAX($CA$5:CA277)+1,""),"")</f>
        <v/>
      </c>
      <c r="CB278" s="80" t="str">
        <f>IF(AND(BE278=1,D278="Malcolm",E278&amp;""&lt;&gt;""),IF(COUNTIFS($D$5:D277,"Malcolm",$E$5:E277,E278,$BE$5:BE277,1)=0,MAX($CB$5:CB277)+1,""),"")</f>
        <v/>
      </c>
      <c r="CC278" s="80" t="str">
        <f>IF(AND(BD278=1,D278="proMX",E278&amp;""&lt;&gt;""),IF(COUNTIFS($D$5:D277,"proMX",$E$5:E277,E278,$BD$5:BD277,1)=0,MAX($CC$5:CC277)+1,""),"")</f>
        <v/>
      </c>
      <c r="CD278" s="80" t="str">
        <f>IF(AND(BE278=1,D278="Malcolm",F278&amp;""&lt;&gt;""),IF(COUNTIFS($D$5:D277,"Malcolm",$F$5:F277,F278,$BE$5:BE277,1)=0,MAX($CD$5:CD277)+1,""),"")</f>
        <v/>
      </c>
      <c r="CE278" s="80" t="str">
        <f>IF(AND(BD278=1,D278="proMX",F278&amp;""&lt;&gt;""),IF(COUNTIFS($D$5:D277,"proMX",$F$5:F277,F278,$BD$5:BD277,1)=0,MAX($CE$5:CE277)+1,""),"")</f>
        <v/>
      </c>
      <c r="CF278" s="80" t="str">
        <f>IF(AND(D278="proMX",BD278=1),IF(OR(BF278="Draft",BF278="Submitted",BF278="Returned",BF278="Recall Requested"),MAX($CF$5:CF277)+1,""),"")</f>
        <v/>
      </c>
      <c r="CG278" s="80">
        <f>IF(BD278=0,0,IF(D278="Malcolm",1,MATCH(BF278,{"Draft","Submitted","Approved","Returned","Recall Requested","Cancelled"},0)+1))</f>
        <v>0</v>
      </c>
      <c r="CH278" s="80">
        <f>IF(AND(BF278="Submitted",ISNUMBER(V278)),IF(V278&gt;CFG_MAXD,1,0),0)</f>
        <v>0</v>
      </c>
    </row>
    <row r="279">
      <c r="A279" s="71" t="str">
        <f>IF(Y279=1,ROW()-5,"")</f>
        <v/>
      </c>
      <c r="B279" s="72" t="n"/>
      <c r="C279" s="71" t="str">
        <f>IF(ISNUMBER(B279),CHOOSE(WEEKDAY(B279,2),"Lun","Mar","Mié","Jue","Vie","Sáb","Dom"),"")</f>
        <v/>
      </c>
      <c r="D279" s="73" t="n"/>
      <c r="E279" s="74" t="n"/>
      <c r="F279" s="74" t="n"/>
      <c r="G279" s="74" t="n"/>
      <c r="H279" s="75" t="n"/>
      <c r="I279" s="75" t="n"/>
      <c r="J279" s="76" t="n"/>
      <c r="K279" s="77" t="str">
        <f>IF(AB279=1,ROUND(AG279/60,4),"")</f>
        <v/>
      </c>
      <c r="L279" s="77" t="str">
        <f>IF(BD279=1,ROUND(AP279/60,4),"")</f>
        <v/>
      </c>
      <c r="M279" s="77" t="str">
        <f>IF(BD279=1,ROUND(AQ279/60,4),"")</f>
        <v/>
      </c>
      <c r="N279" s="71" t="str">
        <f>IF(AND(D279="proMX",AB279=1),ROUND(AG279/CFG_BLK,2),"")</f>
        <v/>
      </c>
      <c r="O279" s="77" t="str">
        <f>IF(D279="proMX",IF(BD279=1,ROUND(AG279/60,4),0),"")</f>
        <v/>
      </c>
      <c r="P279" s="78" t="str">
        <f>IF(Y279=0,"",IF(BD279=1,"OK",IF(D279="proMX","Revisar bloques: ","Revisar: ")&amp;BC279))</f>
        <v/>
      </c>
      <c r="Q279" s="78" t="str">
        <f>IF(NOT(ISNUMBER(B279)),"",IF(COUNTIFS(FER_F,INT(B279))&gt;0,"Feriado"&amp;IF(AH279=1," (laborable)"," (no laborable)"),IF(AH279=1,"Laborable",IF(WEEKDAY(B279,2)&gt;5,"Fin de semana","No laborable"))))</f>
        <v/>
      </c>
      <c r="R279" s="73" t="n"/>
      <c r="S279" s="72" t="n"/>
      <c r="T279" s="72" t="n"/>
      <c r="U279" s="74" t="n"/>
      <c r="V279" s="79" t="str">
        <f>IF(AND(D279="proMX",OR(R279="Submitted",R279="Recall Requested"),ISNUMBER(S279)),CFG_TODAY-INT(S279),"")</f>
        <v/>
      </c>
      <c r="W279" s="78" t="str">
        <f>IF(BD279=0,"",IF(BA279&gt;0,"⚠ Se superpone con un registro de la otra empresa",IF(D279="Malcolm",IF(COUNTA(R279,S279,T279)&gt;0,"Estado/fechas proMX se ignoran en Malcolm",""),IF(BF279="Cancelled","Cancelado: excluido de totales",IF(R279="","Sin estado: se trata como Draft",IF(BF279="Submitted",IF(ISNUMBER(V279),IF(V279&gt;CFG_MAXD,"⚠ "&amp;V279&amp;" días en Submitted (máx. "&amp;CFG_MAXD&amp;")",""),"Falta fecha de envío"),IF(BF279="Returned","⚠ Devuelto: corregir y reenviar",IF(BF279="Recall Requested","Retirada solicitada: pendiente",IF(AND(BF279="Approved",NOT(ISNUMBER(T279))),"Falta fecha de aprobación",IF(AND(ISNUMBER(S279),ISNUMBER(T279),T279&lt;S279),"Aprobación anterior al envío","")))))))))</f>
        <v/>
      </c>
      <c r="Y279" s="80">
        <f>IF(COUNTA(B279,D279,E279,F279,G279,H279,I279,J279,R279,S279,T279)&gt;0,1,0)</f>
        <v>0</v>
      </c>
      <c r="Z279" s="80" t="str">
        <f>IF(AND(ISNUMBER(H279),H279&gt;=0,H279&lt;1),ROUND(H279*1440,0),"")</f>
        <v/>
      </c>
      <c r="AA279" s="80" t="str">
        <f>IF(AND(ISNUMBER(I279),I279&gt;=0,I279&lt;1),ROUND(I279*1440,0),"")</f>
        <v/>
      </c>
      <c r="AB279" s="80">
        <f>IF(AND(ISNUMBER(B279),D279&lt;&gt;"",ISNUMBER(Z279),ISNUMBER(AA279)),IF(Z279=AA279,0,1),0)</f>
        <v>0</v>
      </c>
      <c r="AC279" s="80">
        <f>IF(AB279=1,IF(AA279&lt;Z279,1,0),0)</f>
        <v>0</v>
      </c>
      <c r="AD279" s="80">
        <f>IF(AB279=1,IF(AC279=1,1440-Z279+AA279,AA279-Z279),0)</f>
        <v>0</v>
      </c>
      <c r="AE279" s="80">
        <f>IF(J279="",0,IF(ISNUMBER(J279),J279,-1))</f>
        <v>0</v>
      </c>
      <c r="AF279" s="80">
        <f>MIN(MAX(0,AE279),AD279)</f>
        <v>0</v>
      </c>
      <c r="AG279" s="80">
        <f>MAX(0,AD279-MAX(0,AE279))</f>
        <v>0</v>
      </c>
      <c r="AH279" s="80">
        <f>IF(ISNUMBER(B279),IF(AND(INDEX(CFG_WDAYS,WEEKDAY(INT(B279),2))="Sí",IF(D279="proMX",COUNTIFS(FER_F,INT(B279),FER_NLP,"Sí"),COUNTIFS(FER_F,INT(B279),FER_NLM,"Sí"))=0),1,0),0)</f>
        <v>0</v>
      </c>
      <c r="AI279" s="80">
        <f>IF(AC279=1,IF(AND(INDEX(CFG_WDAYS,WEEKDAY(INT(B279)+1,2))="Sí",IF(D279="proMX",COUNTIFS(FER_F,INT(B279)+1,FER_NLP,"Sí"),COUNTIFS(FER_F,INT(B279)+1,FER_NLM,"Sí"))=0),1,0),0)</f>
        <v>0</v>
      </c>
      <c r="AJ279" s="80">
        <f>IF(AC279=1,1440-Z279,AD279)</f>
        <v>0</v>
      </c>
      <c r="AK279" s="80">
        <f>IF(AND(AB279=1,AH279=1),MAX(0,MIN(IF(AC279=1,1440,AA279),CFG_WEM)-MAX(Z279,CFG_WSM)),0)</f>
        <v>0</v>
      </c>
      <c r="AL279" s="80">
        <f>IF(AND(AC279=1,AI279=1),MAX(0,MIN(AA279,CFG_WEM)-CFG_WSM),0)</f>
        <v>0</v>
      </c>
      <c r="AM279" s="80">
        <f>AK279+AL279</f>
        <v>0</v>
      </c>
      <c r="AN279" s="80">
        <f>IF(CFG_BRK="Proporcional",IF(AD279=0,0,AF279*AM279/AD279),IF(CFG_BRK="Extras primero",MIN(AM279,MAX(0,AF279-(AD279-AM279))),MIN(AF279,AM279)))</f>
        <v>0</v>
      </c>
      <c r="AO279" s="80">
        <f>AF279-AN279</f>
        <v>0</v>
      </c>
      <c r="AP279" s="80">
        <f>AM279-AN279</f>
        <v>0</v>
      </c>
      <c r="AQ279" s="80">
        <f>AD279-AM279-AO279</f>
        <v>0</v>
      </c>
      <c r="AR279" s="80">
        <f>IF(AM279=0,0,AK279-AN279*AK279/AM279)</f>
        <v>0</v>
      </c>
      <c r="AS279" s="80">
        <f>IF(AD279-AM279=0,0,(AJ279-AK279)-AO279*(AJ279-AK279)/(AD279-AM279))</f>
        <v>0</v>
      </c>
      <c r="AT279" s="80" t="str">
        <f>IF(AC279=1,INT(B279)+1,"")</f>
        <v/>
      </c>
      <c r="AU279" s="80">
        <f>IF(AND(D279="proMX",R279="Cancelled"),0,1)</f>
        <v>1</v>
      </c>
      <c r="AV279" s="80">
        <f>IF(AND(AB279=1,AU279=1),IF(COUNTIFS($D$5:D278,D279,$B$5:B278,B279,$Z$5:Z278,Z279,$AA$5:AA278,AA279,$F$5:F278,F279&amp;"",$AU$5:AU278,1)&gt;0,1,0),0)</f>
        <v>0</v>
      </c>
      <c r="AW279" s="80" t="str">
        <f>IF(AB279=1,INT(B279)*1440+Z279,"")</f>
        <v/>
      </c>
      <c r="AX279" s="80" t="str">
        <f>IF(AB279=1,AW279+AD279,"")</f>
        <v/>
      </c>
      <c r="AY279" s="80">
        <f>IF(AND(AB279=1,AV279=0,AU279=1),1,0)</f>
        <v>0</v>
      </c>
      <c r="AZ279" s="80">
        <f>IF(AY279=1,COUNTIFS(R_Emp,D279,R_SAbs,"&lt;"&amp;AX279,R_EAbs,"&gt;"&amp;AW279,R_OKey,1)-1,0)</f>
        <v>0</v>
      </c>
      <c r="BA279" s="80">
        <f>IF(AY279=1,COUNTIFS(R_Emp,"&lt;&gt;"&amp;D279,R_SAbs,"&lt;"&amp;AX279,R_EAbs,"&gt;"&amp;AW279,R_OKey,1),0)</f>
        <v>0</v>
      </c>
      <c r="BB279" s="80">
        <f>IF(AND(AB279=1,D279="proMX"),IF(AND(MOD(Z279,CFG_BLK)=0,MOD(AA279,CFG_BLK)=0,MOD(AG279,CFG_BLK)=0,AG279&gt;0),1,0),1)</f>
        <v>1</v>
      </c>
      <c r="BC279" s="80" t="str">
        <f>IF(Y279=0,"",IF(NOT(ISNUMBER(B279)),"Falta fecha o fecha inválida",IF(D279="","Falta empresa",IF(AND(D279&lt;&gt;"Malcolm",D279&lt;&gt;"proMX"),"Empresa inválida",IF(OR(INT(B279)&lt;CFG_PSTART,INT(B279)&gt;CFG_PEND),"Fecha fuera del período",IF(OR(NOT(ISNUMBER(Z279)),NOT(ISNUMBER(AA279))),"Falta hora inicio/fin o formato inválido",IF(AB279=0,"Hora inicio = hora fin",IF(AE279&lt;0,"Descanso inválido",IF(AE279&gt;=AD279,"Descanso ≥ duración",IF(AV279=1,"Registro duplicado",IF(AZ279&gt;0,"Se superpone con otro registro "&amp;D279,IF(BB279=0,"inicio, fin y duración neta deben ser múltiplos de "&amp;CFG_BLK&amp;" min",""))))))))))))</f>
        <v/>
      </c>
      <c r="BD279" s="80">
        <f>IF(AND(Y279=1,BC279=""),1,0)</f>
        <v>0</v>
      </c>
      <c r="BE279" s="80">
        <f>IF(AND(BD279=1,AU279=1),1,0)</f>
        <v>0</v>
      </c>
      <c r="BF279" s="80" t="str">
        <f>IF(AND(D279="proMX",BD279=1),IF(R279="","Draft",R279),"")</f>
        <v/>
      </c>
      <c r="BG279" s="80">
        <f>IF(BD279=1,ROUND(AG279/60,6),0)</f>
        <v>0</v>
      </c>
      <c r="BH279" s="80">
        <f>IF(BE279=1,ROUND(AG279/60,6),0)</f>
        <v>0</v>
      </c>
      <c r="BI279" s="80">
        <f>IF(BE279=1,ROUND(AP279/60,6),0)</f>
        <v>0</v>
      </c>
      <c r="BJ279" s="80">
        <f>IF(BE279=1,ROUND(AQ279/60,6),0)</f>
        <v>0</v>
      </c>
      <c r="BK279" s="80">
        <f>IF(BE279=1,ROUND((AR279+AS279)/60,6),0)</f>
        <v>0</v>
      </c>
      <c r="BL279" s="80">
        <f>ROUND(BH279-BK279,6)</f>
        <v>0</v>
      </c>
      <c r="BM279" s="80">
        <f>IF(BE279=1,ROUND(AR279/60,6),0)</f>
        <v>0</v>
      </c>
      <c r="BN279" s="80">
        <f>ROUND(BI279-BM279,6)</f>
        <v>0</v>
      </c>
      <c r="BO279" s="80">
        <f>IF(BE279=1,ROUND(AS279/60,6),0)</f>
        <v>0</v>
      </c>
      <c r="BP279" s="80">
        <f>ROUND(BJ279-BO279,6)</f>
        <v>0</v>
      </c>
      <c r="BQ279" s="80">
        <f>IF(BE279=1,AW279,0)</f>
        <v>0</v>
      </c>
      <c r="BR279" s="80">
        <f>IF(BE279=1,AX279,0)</f>
        <v>0</v>
      </c>
      <c r="BS279" s="80">
        <f>IF(AND(BE279=1,D279="Malcolm",BA279&gt;0),MIN(BH279,SUMPRODUCT((R_Emp="proMX")*(R_EN&gt;0)*((R_EN-(R_EN&gt;BR279)*(R_EN-BR279))&gt;(R_SN+(R_SN&lt;BQ279)*(BQ279-R_SN)))*((R_EN-(R_EN&gt;BR279)*(R_EN-BR279))-(R_SN+(R_SN&lt;BQ279)*(BQ279-R_SN))))/60),0)</f>
        <v>0</v>
      </c>
      <c r="BT279" s="80">
        <f>IF(AND(BE279=1,D279="proMX"),ROUND(BI279*CFG_RATE+BJ279*CFG_OTRATE,6),0)</f>
        <v>0</v>
      </c>
      <c r="BU279" s="80">
        <f>IF(AND(BD279=1,D279="proMX"),ROUND(AG279/CFG_BLK,6),0)</f>
        <v>0</v>
      </c>
      <c r="BV279" s="80" t="str">
        <f>IF(BF279="Approved",IF(ISNUMBER(T279),INT(T279),INT(B279)),"")</f>
        <v/>
      </c>
      <c r="BW279" s="80">
        <f>IF(ISNUMBER(B279),IF(DB_MON="Todos",1,IF(AND(INT(B279)&gt;=DB_MS,INT(B279)&lt;=DB_ME),1,0)),0)</f>
        <v>0</v>
      </c>
      <c r="BX279" s="80">
        <f>IF(DB_PROJ="Todos",1,IF(E279&amp;""=DB_PROJ&amp;"",1,0))</f>
        <v>1</v>
      </c>
      <c r="BY279" s="80">
        <f>BW279*BX279</f>
        <v>0</v>
      </c>
      <c r="BZ279" s="80" t="str">
        <f>IF(Y279=1,F279&amp;IF(AND(F279&amp;""&lt;&gt;"",E279&amp;""&lt;&gt;"")," · ","")&amp;E279,"")</f>
        <v/>
      </c>
      <c r="CA279" s="80" t="str">
        <f>IF(AND(BD279=1,E279&amp;""&lt;&gt;""),IF(COUNTIFS($E$5:E278,E279,$BD$5:BD278,1)=0,MAX($CA$5:CA278)+1,""),"")</f>
        <v/>
      </c>
      <c r="CB279" s="80" t="str">
        <f>IF(AND(BE279=1,D279="Malcolm",E279&amp;""&lt;&gt;""),IF(COUNTIFS($D$5:D278,"Malcolm",$E$5:E278,E279,$BE$5:BE278,1)=0,MAX($CB$5:CB278)+1,""),"")</f>
        <v/>
      </c>
      <c r="CC279" s="80" t="str">
        <f>IF(AND(BD279=1,D279="proMX",E279&amp;""&lt;&gt;""),IF(COUNTIFS($D$5:D278,"proMX",$E$5:E278,E279,$BD$5:BD278,1)=0,MAX($CC$5:CC278)+1,""),"")</f>
        <v/>
      </c>
      <c r="CD279" s="80" t="str">
        <f>IF(AND(BE279=1,D279="Malcolm",F279&amp;""&lt;&gt;""),IF(COUNTIFS($D$5:D278,"Malcolm",$F$5:F278,F279,$BE$5:BE278,1)=0,MAX($CD$5:CD278)+1,""),"")</f>
        <v/>
      </c>
      <c r="CE279" s="80" t="str">
        <f>IF(AND(BD279=1,D279="proMX",F279&amp;""&lt;&gt;""),IF(COUNTIFS($D$5:D278,"proMX",$F$5:F278,F279,$BD$5:BD278,1)=0,MAX($CE$5:CE278)+1,""),"")</f>
        <v/>
      </c>
      <c r="CF279" s="80" t="str">
        <f>IF(AND(D279="proMX",BD279=1),IF(OR(BF279="Draft",BF279="Submitted",BF279="Returned",BF279="Recall Requested"),MAX($CF$5:CF278)+1,""),"")</f>
        <v/>
      </c>
      <c r="CG279" s="80">
        <f>IF(BD279=0,0,IF(D279="Malcolm",1,MATCH(BF279,{"Draft","Submitted","Approved","Returned","Recall Requested","Cancelled"},0)+1))</f>
        <v>0</v>
      </c>
      <c r="CH279" s="80">
        <f>IF(AND(BF279="Submitted",ISNUMBER(V279)),IF(V279&gt;CFG_MAXD,1,0),0)</f>
        <v>0</v>
      </c>
    </row>
    <row r="280">
      <c r="A280" s="71" t="str">
        <f>IF(Y280=1,ROW()-5,"")</f>
        <v/>
      </c>
      <c r="B280" s="72" t="n"/>
      <c r="C280" s="71" t="str">
        <f>IF(ISNUMBER(B280),CHOOSE(WEEKDAY(B280,2),"Lun","Mar","Mié","Jue","Vie","Sáb","Dom"),"")</f>
        <v/>
      </c>
      <c r="D280" s="73" t="n"/>
      <c r="E280" s="74" t="n"/>
      <c r="F280" s="74" t="n"/>
      <c r="G280" s="74" t="n"/>
      <c r="H280" s="75" t="n"/>
      <c r="I280" s="75" t="n"/>
      <c r="J280" s="76" t="n"/>
      <c r="K280" s="77" t="str">
        <f>IF(AB280=1,ROUND(AG280/60,4),"")</f>
        <v/>
      </c>
      <c r="L280" s="77" t="str">
        <f>IF(BD280=1,ROUND(AP280/60,4),"")</f>
        <v/>
      </c>
      <c r="M280" s="77" t="str">
        <f>IF(BD280=1,ROUND(AQ280/60,4),"")</f>
        <v/>
      </c>
      <c r="N280" s="71" t="str">
        <f>IF(AND(D280="proMX",AB280=1),ROUND(AG280/CFG_BLK,2),"")</f>
        <v/>
      </c>
      <c r="O280" s="77" t="str">
        <f>IF(D280="proMX",IF(BD280=1,ROUND(AG280/60,4),0),"")</f>
        <v/>
      </c>
      <c r="P280" s="78" t="str">
        <f>IF(Y280=0,"",IF(BD280=1,"OK",IF(D280="proMX","Revisar bloques: ","Revisar: ")&amp;BC280))</f>
        <v/>
      </c>
      <c r="Q280" s="78" t="str">
        <f>IF(NOT(ISNUMBER(B280)),"",IF(COUNTIFS(FER_F,INT(B280))&gt;0,"Feriado"&amp;IF(AH280=1," (laborable)"," (no laborable)"),IF(AH280=1,"Laborable",IF(WEEKDAY(B280,2)&gt;5,"Fin de semana","No laborable"))))</f>
        <v/>
      </c>
      <c r="R280" s="73" t="n"/>
      <c r="S280" s="72" t="n"/>
      <c r="T280" s="72" t="n"/>
      <c r="U280" s="74" t="n"/>
      <c r="V280" s="79" t="str">
        <f>IF(AND(D280="proMX",OR(R280="Submitted",R280="Recall Requested"),ISNUMBER(S280)),CFG_TODAY-INT(S280),"")</f>
        <v/>
      </c>
      <c r="W280" s="78" t="str">
        <f>IF(BD280=0,"",IF(BA280&gt;0,"⚠ Se superpone con un registro de la otra empresa",IF(D280="Malcolm",IF(COUNTA(R280,S280,T280)&gt;0,"Estado/fechas proMX se ignoran en Malcolm",""),IF(BF280="Cancelled","Cancelado: excluido de totales",IF(R280="","Sin estado: se trata como Draft",IF(BF280="Submitted",IF(ISNUMBER(V280),IF(V280&gt;CFG_MAXD,"⚠ "&amp;V280&amp;" días en Submitted (máx. "&amp;CFG_MAXD&amp;")",""),"Falta fecha de envío"),IF(BF280="Returned","⚠ Devuelto: corregir y reenviar",IF(BF280="Recall Requested","Retirada solicitada: pendiente",IF(AND(BF280="Approved",NOT(ISNUMBER(T280))),"Falta fecha de aprobación",IF(AND(ISNUMBER(S280),ISNUMBER(T280),T280&lt;S280),"Aprobación anterior al envío","")))))))))</f>
        <v/>
      </c>
      <c r="Y280" s="80">
        <f>IF(COUNTA(B280,D280,E280,F280,G280,H280,I280,J280,R280,S280,T280)&gt;0,1,0)</f>
        <v>0</v>
      </c>
      <c r="Z280" s="80" t="str">
        <f>IF(AND(ISNUMBER(H280),H280&gt;=0,H280&lt;1),ROUND(H280*1440,0),"")</f>
        <v/>
      </c>
      <c r="AA280" s="80" t="str">
        <f>IF(AND(ISNUMBER(I280),I280&gt;=0,I280&lt;1),ROUND(I280*1440,0),"")</f>
        <v/>
      </c>
      <c r="AB280" s="80">
        <f>IF(AND(ISNUMBER(B280),D280&lt;&gt;"",ISNUMBER(Z280),ISNUMBER(AA280)),IF(Z280=AA280,0,1),0)</f>
        <v>0</v>
      </c>
      <c r="AC280" s="80">
        <f>IF(AB280=1,IF(AA280&lt;Z280,1,0),0)</f>
        <v>0</v>
      </c>
      <c r="AD280" s="80">
        <f>IF(AB280=1,IF(AC280=1,1440-Z280+AA280,AA280-Z280),0)</f>
        <v>0</v>
      </c>
      <c r="AE280" s="80">
        <f>IF(J280="",0,IF(ISNUMBER(J280),J280,-1))</f>
        <v>0</v>
      </c>
      <c r="AF280" s="80">
        <f>MIN(MAX(0,AE280),AD280)</f>
        <v>0</v>
      </c>
      <c r="AG280" s="80">
        <f>MAX(0,AD280-MAX(0,AE280))</f>
        <v>0</v>
      </c>
      <c r="AH280" s="80">
        <f>IF(ISNUMBER(B280),IF(AND(INDEX(CFG_WDAYS,WEEKDAY(INT(B280),2))="Sí",IF(D280="proMX",COUNTIFS(FER_F,INT(B280),FER_NLP,"Sí"),COUNTIFS(FER_F,INT(B280),FER_NLM,"Sí"))=0),1,0),0)</f>
        <v>0</v>
      </c>
      <c r="AI280" s="80">
        <f>IF(AC280=1,IF(AND(INDEX(CFG_WDAYS,WEEKDAY(INT(B280)+1,2))="Sí",IF(D280="proMX",COUNTIFS(FER_F,INT(B280)+1,FER_NLP,"Sí"),COUNTIFS(FER_F,INT(B280)+1,FER_NLM,"Sí"))=0),1,0),0)</f>
        <v>0</v>
      </c>
      <c r="AJ280" s="80">
        <f>IF(AC280=1,1440-Z280,AD280)</f>
        <v>0</v>
      </c>
      <c r="AK280" s="80">
        <f>IF(AND(AB280=1,AH280=1),MAX(0,MIN(IF(AC280=1,1440,AA280),CFG_WEM)-MAX(Z280,CFG_WSM)),0)</f>
        <v>0</v>
      </c>
      <c r="AL280" s="80">
        <f>IF(AND(AC280=1,AI280=1),MAX(0,MIN(AA280,CFG_WEM)-CFG_WSM),0)</f>
        <v>0</v>
      </c>
      <c r="AM280" s="80">
        <f>AK280+AL280</f>
        <v>0</v>
      </c>
      <c r="AN280" s="80">
        <f>IF(CFG_BRK="Proporcional",IF(AD280=0,0,AF280*AM280/AD280),IF(CFG_BRK="Extras primero",MIN(AM280,MAX(0,AF280-(AD280-AM280))),MIN(AF280,AM280)))</f>
        <v>0</v>
      </c>
      <c r="AO280" s="80">
        <f>AF280-AN280</f>
        <v>0</v>
      </c>
      <c r="AP280" s="80">
        <f>AM280-AN280</f>
        <v>0</v>
      </c>
      <c r="AQ280" s="80">
        <f>AD280-AM280-AO280</f>
        <v>0</v>
      </c>
      <c r="AR280" s="80">
        <f>IF(AM280=0,0,AK280-AN280*AK280/AM280)</f>
        <v>0</v>
      </c>
      <c r="AS280" s="80">
        <f>IF(AD280-AM280=0,0,(AJ280-AK280)-AO280*(AJ280-AK280)/(AD280-AM280))</f>
        <v>0</v>
      </c>
      <c r="AT280" s="80" t="str">
        <f>IF(AC280=1,INT(B280)+1,"")</f>
        <v/>
      </c>
      <c r="AU280" s="80">
        <f>IF(AND(D280="proMX",R280="Cancelled"),0,1)</f>
        <v>1</v>
      </c>
      <c r="AV280" s="80">
        <f>IF(AND(AB280=1,AU280=1),IF(COUNTIFS($D$5:D279,D280,$B$5:B279,B280,$Z$5:Z279,Z280,$AA$5:AA279,AA280,$F$5:F279,F280&amp;"",$AU$5:AU279,1)&gt;0,1,0),0)</f>
        <v>0</v>
      </c>
      <c r="AW280" s="80" t="str">
        <f>IF(AB280=1,INT(B280)*1440+Z280,"")</f>
        <v/>
      </c>
      <c r="AX280" s="80" t="str">
        <f>IF(AB280=1,AW280+AD280,"")</f>
        <v/>
      </c>
      <c r="AY280" s="80">
        <f>IF(AND(AB280=1,AV280=0,AU280=1),1,0)</f>
        <v>0</v>
      </c>
      <c r="AZ280" s="80">
        <f>IF(AY280=1,COUNTIFS(R_Emp,D280,R_SAbs,"&lt;"&amp;AX280,R_EAbs,"&gt;"&amp;AW280,R_OKey,1)-1,0)</f>
        <v>0</v>
      </c>
      <c r="BA280" s="80">
        <f>IF(AY280=1,COUNTIFS(R_Emp,"&lt;&gt;"&amp;D280,R_SAbs,"&lt;"&amp;AX280,R_EAbs,"&gt;"&amp;AW280,R_OKey,1),0)</f>
        <v>0</v>
      </c>
      <c r="BB280" s="80">
        <f>IF(AND(AB280=1,D280="proMX"),IF(AND(MOD(Z280,CFG_BLK)=0,MOD(AA280,CFG_BLK)=0,MOD(AG280,CFG_BLK)=0,AG280&gt;0),1,0),1)</f>
        <v>1</v>
      </c>
      <c r="BC280" s="80" t="str">
        <f>IF(Y280=0,"",IF(NOT(ISNUMBER(B280)),"Falta fecha o fecha inválida",IF(D280="","Falta empresa",IF(AND(D280&lt;&gt;"Malcolm",D280&lt;&gt;"proMX"),"Empresa inválida",IF(OR(INT(B280)&lt;CFG_PSTART,INT(B280)&gt;CFG_PEND),"Fecha fuera del período",IF(OR(NOT(ISNUMBER(Z280)),NOT(ISNUMBER(AA280))),"Falta hora inicio/fin o formato inválido",IF(AB280=0,"Hora inicio = hora fin",IF(AE280&lt;0,"Descanso inválido",IF(AE280&gt;=AD280,"Descanso ≥ duración",IF(AV280=1,"Registro duplicado",IF(AZ280&gt;0,"Se superpone con otro registro "&amp;D280,IF(BB280=0,"inicio, fin y duración neta deben ser múltiplos de "&amp;CFG_BLK&amp;" min",""))))))))))))</f>
        <v/>
      </c>
      <c r="BD280" s="80">
        <f>IF(AND(Y280=1,BC280=""),1,0)</f>
        <v>0</v>
      </c>
      <c r="BE280" s="80">
        <f>IF(AND(BD280=1,AU280=1),1,0)</f>
        <v>0</v>
      </c>
      <c r="BF280" s="80" t="str">
        <f>IF(AND(D280="proMX",BD280=1),IF(R280="","Draft",R280),"")</f>
        <v/>
      </c>
      <c r="BG280" s="80">
        <f>IF(BD280=1,ROUND(AG280/60,6),0)</f>
        <v>0</v>
      </c>
      <c r="BH280" s="80">
        <f>IF(BE280=1,ROUND(AG280/60,6),0)</f>
        <v>0</v>
      </c>
      <c r="BI280" s="80">
        <f>IF(BE280=1,ROUND(AP280/60,6),0)</f>
        <v>0</v>
      </c>
      <c r="BJ280" s="80">
        <f>IF(BE280=1,ROUND(AQ280/60,6),0)</f>
        <v>0</v>
      </c>
      <c r="BK280" s="80">
        <f>IF(BE280=1,ROUND((AR280+AS280)/60,6),0)</f>
        <v>0</v>
      </c>
      <c r="BL280" s="80">
        <f>ROUND(BH280-BK280,6)</f>
        <v>0</v>
      </c>
      <c r="BM280" s="80">
        <f>IF(BE280=1,ROUND(AR280/60,6),0)</f>
        <v>0</v>
      </c>
      <c r="BN280" s="80">
        <f>ROUND(BI280-BM280,6)</f>
        <v>0</v>
      </c>
      <c r="BO280" s="80">
        <f>IF(BE280=1,ROUND(AS280/60,6),0)</f>
        <v>0</v>
      </c>
      <c r="BP280" s="80">
        <f>ROUND(BJ280-BO280,6)</f>
        <v>0</v>
      </c>
      <c r="BQ280" s="80">
        <f>IF(BE280=1,AW280,0)</f>
        <v>0</v>
      </c>
      <c r="BR280" s="80">
        <f>IF(BE280=1,AX280,0)</f>
        <v>0</v>
      </c>
      <c r="BS280" s="80">
        <f>IF(AND(BE280=1,D280="Malcolm",BA280&gt;0),MIN(BH280,SUMPRODUCT((R_Emp="proMX")*(R_EN&gt;0)*((R_EN-(R_EN&gt;BR280)*(R_EN-BR280))&gt;(R_SN+(R_SN&lt;BQ280)*(BQ280-R_SN)))*((R_EN-(R_EN&gt;BR280)*(R_EN-BR280))-(R_SN+(R_SN&lt;BQ280)*(BQ280-R_SN))))/60),0)</f>
        <v>0</v>
      </c>
      <c r="BT280" s="80">
        <f>IF(AND(BE280=1,D280="proMX"),ROUND(BI280*CFG_RATE+BJ280*CFG_OTRATE,6),0)</f>
        <v>0</v>
      </c>
      <c r="BU280" s="80">
        <f>IF(AND(BD280=1,D280="proMX"),ROUND(AG280/CFG_BLK,6),0)</f>
        <v>0</v>
      </c>
      <c r="BV280" s="80" t="str">
        <f>IF(BF280="Approved",IF(ISNUMBER(T280),INT(T280),INT(B280)),"")</f>
        <v/>
      </c>
      <c r="BW280" s="80">
        <f>IF(ISNUMBER(B280),IF(DB_MON="Todos",1,IF(AND(INT(B280)&gt;=DB_MS,INT(B280)&lt;=DB_ME),1,0)),0)</f>
        <v>0</v>
      </c>
      <c r="BX280" s="80">
        <f>IF(DB_PROJ="Todos",1,IF(E280&amp;""=DB_PROJ&amp;"",1,0))</f>
        <v>1</v>
      </c>
      <c r="BY280" s="80">
        <f>BW280*BX280</f>
        <v>0</v>
      </c>
      <c r="BZ280" s="80" t="str">
        <f>IF(Y280=1,F280&amp;IF(AND(F280&amp;""&lt;&gt;"",E280&amp;""&lt;&gt;"")," · ","")&amp;E280,"")</f>
        <v/>
      </c>
      <c r="CA280" s="80" t="str">
        <f>IF(AND(BD280=1,E280&amp;""&lt;&gt;""),IF(COUNTIFS($E$5:E279,E280,$BD$5:BD279,1)=0,MAX($CA$5:CA279)+1,""),"")</f>
        <v/>
      </c>
      <c r="CB280" s="80" t="str">
        <f>IF(AND(BE280=1,D280="Malcolm",E280&amp;""&lt;&gt;""),IF(COUNTIFS($D$5:D279,"Malcolm",$E$5:E279,E280,$BE$5:BE279,1)=0,MAX($CB$5:CB279)+1,""),"")</f>
        <v/>
      </c>
      <c r="CC280" s="80" t="str">
        <f>IF(AND(BD280=1,D280="proMX",E280&amp;""&lt;&gt;""),IF(COUNTIFS($D$5:D279,"proMX",$E$5:E279,E280,$BD$5:BD279,1)=0,MAX($CC$5:CC279)+1,""),"")</f>
        <v/>
      </c>
      <c r="CD280" s="80" t="str">
        <f>IF(AND(BE280=1,D280="Malcolm",F280&amp;""&lt;&gt;""),IF(COUNTIFS($D$5:D279,"Malcolm",$F$5:F279,F280,$BE$5:BE279,1)=0,MAX($CD$5:CD279)+1,""),"")</f>
        <v/>
      </c>
      <c r="CE280" s="80" t="str">
        <f>IF(AND(BD280=1,D280="proMX",F280&amp;""&lt;&gt;""),IF(COUNTIFS($D$5:D279,"proMX",$F$5:F279,F280,$BD$5:BD279,1)=0,MAX($CE$5:CE279)+1,""),"")</f>
        <v/>
      </c>
      <c r="CF280" s="80" t="str">
        <f>IF(AND(D280="proMX",BD280=1),IF(OR(BF280="Draft",BF280="Submitted",BF280="Returned",BF280="Recall Requested"),MAX($CF$5:CF279)+1,""),"")</f>
        <v/>
      </c>
      <c r="CG280" s="80">
        <f>IF(BD280=0,0,IF(D280="Malcolm",1,MATCH(BF280,{"Draft","Submitted","Approved","Returned","Recall Requested","Cancelled"},0)+1))</f>
        <v>0</v>
      </c>
      <c r="CH280" s="80">
        <f>IF(AND(BF280="Submitted",ISNUMBER(V280)),IF(V280&gt;CFG_MAXD,1,0),0)</f>
        <v>0</v>
      </c>
    </row>
    <row r="281">
      <c r="A281" s="71" t="str">
        <f>IF(Y281=1,ROW()-5,"")</f>
        <v/>
      </c>
      <c r="B281" s="72" t="n"/>
      <c r="C281" s="71" t="str">
        <f>IF(ISNUMBER(B281),CHOOSE(WEEKDAY(B281,2),"Lun","Mar","Mié","Jue","Vie","Sáb","Dom"),"")</f>
        <v/>
      </c>
      <c r="D281" s="73" t="n"/>
      <c r="E281" s="74" t="n"/>
      <c r="F281" s="74" t="n"/>
      <c r="G281" s="74" t="n"/>
      <c r="H281" s="75" t="n"/>
      <c r="I281" s="75" t="n"/>
      <c r="J281" s="76" t="n"/>
      <c r="K281" s="77" t="str">
        <f>IF(AB281=1,ROUND(AG281/60,4),"")</f>
        <v/>
      </c>
      <c r="L281" s="77" t="str">
        <f>IF(BD281=1,ROUND(AP281/60,4),"")</f>
        <v/>
      </c>
      <c r="M281" s="77" t="str">
        <f>IF(BD281=1,ROUND(AQ281/60,4),"")</f>
        <v/>
      </c>
      <c r="N281" s="71" t="str">
        <f>IF(AND(D281="proMX",AB281=1),ROUND(AG281/CFG_BLK,2),"")</f>
        <v/>
      </c>
      <c r="O281" s="77" t="str">
        <f>IF(D281="proMX",IF(BD281=1,ROUND(AG281/60,4),0),"")</f>
        <v/>
      </c>
      <c r="P281" s="78" t="str">
        <f>IF(Y281=0,"",IF(BD281=1,"OK",IF(D281="proMX","Revisar bloques: ","Revisar: ")&amp;BC281))</f>
        <v/>
      </c>
      <c r="Q281" s="78" t="str">
        <f>IF(NOT(ISNUMBER(B281)),"",IF(COUNTIFS(FER_F,INT(B281))&gt;0,"Feriado"&amp;IF(AH281=1," (laborable)"," (no laborable)"),IF(AH281=1,"Laborable",IF(WEEKDAY(B281,2)&gt;5,"Fin de semana","No laborable"))))</f>
        <v/>
      </c>
      <c r="R281" s="73" t="n"/>
      <c r="S281" s="72" t="n"/>
      <c r="T281" s="72" t="n"/>
      <c r="U281" s="74" t="n"/>
      <c r="V281" s="79" t="str">
        <f>IF(AND(D281="proMX",OR(R281="Submitted",R281="Recall Requested"),ISNUMBER(S281)),CFG_TODAY-INT(S281),"")</f>
        <v/>
      </c>
      <c r="W281" s="78" t="str">
        <f>IF(BD281=0,"",IF(BA281&gt;0,"⚠ Se superpone con un registro de la otra empresa",IF(D281="Malcolm",IF(COUNTA(R281,S281,T281)&gt;0,"Estado/fechas proMX se ignoran en Malcolm",""),IF(BF281="Cancelled","Cancelado: excluido de totales",IF(R281="","Sin estado: se trata como Draft",IF(BF281="Submitted",IF(ISNUMBER(V281),IF(V281&gt;CFG_MAXD,"⚠ "&amp;V281&amp;" días en Submitted (máx. "&amp;CFG_MAXD&amp;")",""),"Falta fecha de envío"),IF(BF281="Returned","⚠ Devuelto: corregir y reenviar",IF(BF281="Recall Requested","Retirada solicitada: pendiente",IF(AND(BF281="Approved",NOT(ISNUMBER(T281))),"Falta fecha de aprobación",IF(AND(ISNUMBER(S281),ISNUMBER(T281),T281&lt;S281),"Aprobación anterior al envío","")))))))))</f>
        <v/>
      </c>
      <c r="Y281" s="80">
        <f>IF(COUNTA(B281,D281,E281,F281,G281,H281,I281,J281,R281,S281,T281)&gt;0,1,0)</f>
        <v>0</v>
      </c>
      <c r="Z281" s="80" t="str">
        <f>IF(AND(ISNUMBER(H281),H281&gt;=0,H281&lt;1),ROUND(H281*1440,0),"")</f>
        <v/>
      </c>
      <c r="AA281" s="80" t="str">
        <f>IF(AND(ISNUMBER(I281),I281&gt;=0,I281&lt;1),ROUND(I281*1440,0),"")</f>
        <v/>
      </c>
      <c r="AB281" s="80">
        <f>IF(AND(ISNUMBER(B281),D281&lt;&gt;"",ISNUMBER(Z281),ISNUMBER(AA281)),IF(Z281=AA281,0,1),0)</f>
        <v>0</v>
      </c>
      <c r="AC281" s="80">
        <f>IF(AB281=1,IF(AA281&lt;Z281,1,0),0)</f>
        <v>0</v>
      </c>
      <c r="AD281" s="80">
        <f>IF(AB281=1,IF(AC281=1,1440-Z281+AA281,AA281-Z281),0)</f>
        <v>0</v>
      </c>
      <c r="AE281" s="80">
        <f>IF(J281="",0,IF(ISNUMBER(J281),J281,-1))</f>
        <v>0</v>
      </c>
      <c r="AF281" s="80">
        <f>MIN(MAX(0,AE281),AD281)</f>
        <v>0</v>
      </c>
      <c r="AG281" s="80">
        <f>MAX(0,AD281-MAX(0,AE281))</f>
        <v>0</v>
      </c>
      <c r="AH281" s="80">
        <f>IF(ISNUMBER(B281),IF(AND(INDEX(CFG_WDAYS,WEEKDAY(INT(B281),2))="Sí",IF(D281="proMX",COUNTIFS(FER_F,INT(B281),FER_NLP,"Sí"),COUNTIFS(FER_F,INT(B281),FER_NLM,"Sí"))=0),1,0),0)</f>
        <v>0</v>
      </c>
      <c r="AI281" s="80">
        <f>IF(AC281=1,IF(AND(INDEX(CFG_WDAYS,WEEKDAY(INT(B281)+1,2))="Sí",IF(D281="proMX",COUNTIFS(FER_F,INT(B281)+1,FER_NLP,"Sí"),COUNTIFS(FER_F,INT(B281)+1,FER_NLM,"Sí"))=0),1,0),0)</f>
        <v>0</v>
      </c>
      <c r="AJ281" s="80">
        <f>IF(AC281=1,1440-Z281,AD281)</f>
        <v>0</v>
      </c>
      <c r="AK281" s="80">
        <f>IF(AND(AB281=1,AH281=1),MAX(0,MIN(IF(AC281=1,1440,AA281),CFG_WEM)-MAX(Z281,CFG_WSM)),0)</f>
        <v>0</v>
      </c>
      <c r="AL281" s="80">
        <f>IF(AND(AC281=1,AI281=1),MAX(0,MIN(AA281,CFG_WEM)-CFG_WSM),0)</f>
        <v>0</v>
      </c>
      <c r="AM281" s="80">
        <f>AK281+AL281</f>
        <v>0</v>
      </c>
      <c r="AN281" s="80">
        <f>IF(CFG_BRK="Proporcional",IF(AD281=0,0,AF281*AM281/AD281),IF(CFG_BRK="Extras primero",MIN(AM281,MAX(0,AF281-(AD281-AM281))),MIN(AF281,AM281)))</f>
        <v>0</v>
      </c>
      <c r="AO281" s="80">
        <f>AF281-AN281</f>
        <v>0</v>
      </c>
      <c r="AP281" s="80">
        <f>AM281-AN281</f>
        <v>0</v>
      </c>
      <c r="AQ281" s="80">
        <f>AD281-AM281-AO281</f>
        <v>0</v>
      </c>
      <c r="AR281" s="80">
        <f>IF(AM281=0,0,AK281-AN281*AK281/AM281)</f>
        <v>0</v>
      </c>
      <c r="AS281" s="80">
        <f>IF(AD281-AM281=0,0,(AJ281-AK281)-AO281*(AJ281-AK281)/(AD281-AM281))</f>
        <v>0</v>
      </c>
      <c r="AT281" s="80" t="str">
        <f>IF(AC281=1,INT(B281)+1,"")</f>
        <v/>
      </c>
      <c r="AU281" s="80">
        <f>IF(AND(D281="proMX",R281="Cancelled"),0,1)</f>
        <v>1</v>
      </c>
      <c r="AV281" s="80">
        <f>IF(AND(AB281=1,AU281=1),IF(COUNTIFS($D$5:D280,D281,$B$5:B280,B281,$Z$5:Z280,Z281,$AA$5:AA280,AA281,$F$5:F280,F281&amp;"",$AU$5:AU280,1)&gt;0,1,0),0)</f>
        <v>0</v>
      </c>
      <c r="AW281" s="80" t="str">
        <f>IF(AB281=1,INT(B281)*1440+Z281,"")</f>
        <v/>
      </c>
      <c r="AX281" s="80" t="str">
        <f>IF(AB281=1,AW281+AD281,"")</f>
        <v/>
      </c>
      <c r="AY281" s="80">
        <f>IF(AND(AB281=1,AV281=0,AU281=1),1,0)</f>
        <v>0</v>
      </c>
      <c r="AZ281" s="80">
        <f>IF(AY281=1,COUNTIFS(R_Emp,D281,R_SAbs,"&lt;"&amp;AX281,R_EAbs,"&gt;"&amp;AW281,R_OKey,1)-1,0)</f>
        <v>0</v>
      </c>
      <c r="BA281" s="80">
        <f>IF(AY281=1,COUNTIFS(R_Emp,"&lt;&gt;"&amp;D281,R_SAbs,"&lt;"&amp;AX281,R_EAbs,"&gt;"&amp;AW281,R_OKey,1),0)</f>
        <v>0</v>
      </c>
      <c r="BB281" s="80">
        <f>IF(AND(AB281=1,D281="proMX"),IF(AND(MOD(Z281,CFG_BLK)=0,MOD(AA281,CFG_BLK)=0,MOD(AG281,CFG_BLK)=0,AG281&gt;0),1,0),1)</f>
        <v>1</v>
      </c>
      <c r="BC281" s="80" t="str">
        <f>IF(Y281=0,"",IF(NOT(ISNUMBER(B281)),"Falta fecha o fecha inválida",IF(D281="","Falta empresa",IF(AND(D281&lt;&gt;"Malcolm",D281&lt;&gt;"proMX"),"Empresa inválida",IF(OR(INT(B281)&lt;CFG_PSTART,INT(B281)&gt;CFG_PEND),"Fecha fuera del período",IF(OR(NOT(ISNUMBER(Z281)),NOT(ISNUMBER(AA281))),"Falta hora inicio/fin o formato inválido",IF(AB281=0,"Hora inicio = hora fin",IF(AE281&lt;0,"Descanso inválido",IF(AE281&gt;=AD281,"Descanso ≥ duración",IF(AV281=1,"Registro duplicado",IF(AZ281&gt;0,"Se superpone con otro registro "&amp;D281,IF(BB281=0,"inicio, fin y duración neta deben ser múltiplos de "&amp;CFG_BLK&amp;" min",""))))))))))))</f>
        <v/>
      </c>
      <c r="BD281" s="80">
        <f>IF(AND(Y281=1,BC281=""),1,0)</f>
        <v>0</v>
      </c>
      <c r="BE281" s="80">
        <f>IF(AND(BD281=1,AU281=1),1,0)</f>
        <v>0</v>
      </c>
      <c r="BF281" s="80" t="str">
        <f>IF(AND(D281="proMX",BD281=1),IF(R281="","Draft",R281),"")</f>
        <v/>
      </c>
      <c r="BG281" s="80">
        <f>IF(BD281=1,ROUND(AG281/60,6),0)</f>
        <v>0</v>
      </c>
      <c r="BH281" s="80">
        <f>IF(BE281=1,ROUND(AG281/60,6),0)</f>
        <v>0</v>
      </c>
      <c r="BI281" s="80">
        <f>IF(BE281=1,ROUND(AP281/60,6),0)</f>
        <v>0</v>
      </c>
      <c r="BJ281" s="80">
        <f>IF(BE281=1,ROUND(AQ281/60,6),0)</f>
        <v>0</v>
      </c>
      <c r="BK281" s="80">
        <f>IF(BE281=1,ROUND((AR281+AS281)/60,6),0)</f>
        <v>0</v>
      </c>
      <c r="BL281" s="80">
        <f>ROUND(BH281-BK281,6)</f>
        <v>0</v>
      </c>
      <c r="BM281" s="80">
        <f>IF(BE281=1,ROUND(AR281/60,6),0)</f>
        <v>0</v>
      </c>
      <c r="BN281" s="80">
        <f>ROUND(BI281-BM281,6)</f>
        <v>0</v>
      </c>
      <c r="BO281" s="80">
        <f>IF(BE281=1,ROUND(AS281/60,6),0)</f>
        <v>0</v>
      </c>
      <c r="BP281" s="80">
        <f>ROUND(BJ281-BO281,6)</f>
        <v>0</v>
      </c>
      <c r="BQ281" s="80">
        <f>IF(BE281=1,AW281,0)</f>
        <v>0</v>
      </c>
      <c r="BR281" s="80">
        <f>IF(BE281=1,AX281,0)</f>
        <v>0</v>
      </c>
      <c r="BS281" s="80">
        <f>IF(AND(BE281=1,D281="Malcolm",BA281&gt;0),MIN(BH281,SUMPRODUCT((R_Emp="proMX")*(R_EN&gt;0)*((R_EN-(R_EN&gt;BR281)*(R_EN-BR281))&gt;(R_SN+(R_SN&lt;BQ281)*(BQ281-R_SN)))*((R_EN-(R_EN&gt;BR281)*(R_EN-BR281))-(R_SN+(R_SN&lt;BQ281)*(BQ281-R_SN))))/60),0)</f>
        <v>0</v>
      </c>
      <c r="BT281" s="80">
        <f>IF(AND(BE281=1,D281="proMX"),ROUND(BI281*CFG_RATE+BJ281*CFG_OTRATE,6),0)</f>
        <v>0</v>
      </c>
      <c r="BU281" s="80">
        <f>IF(AND(BD281=1,D281="proMX"),ROUND(AG281/CFG_BLK,6),0)</f>
        <v>0</v>
      </c>
      <c r="BV281" s="80" t="str">
        <f>IF(BF281="Approved",IF(ISNUMBER(T281),INT(T281),INT(B281)),"")</f>
        <v/>
      </c>
      <c r="BW281" s="80">
        <f>IF(ISNUMBER(B281),IF(DB_MON="Todos",1,IF(AND(INT(B281)&gt;=DB_MS,INT(B281)&lt;=DB_ME),1,0)),0)</f>
        <v>0</v>
      </c>
      <c r="BX281" s="80">
        <f>IF(DB_PROJ="Todos",1,IF(E281&amp;""=DB_PROJ&amp;"",1,0))</f>
        <v>1</v>
      </c>
      <c r="BY281" s="80">
        <f>BW281*BX281</f>
        <v>0</v>
      </c>
      <c r="BZ281" s="80" t="str">
        <f>IF(Y281=1,F281&amp;IF(AND(F281&amp;""&lt;&gt;"",E281&amp;""&lt;&gt;"")," · ","")&amp;E281,"")</f>
        <v/>
      </c>
      <c r="CA281" s="80" t="str">
        <f>IF(AND(BD281=1,E281&amp;""&lt;&gt;""),IF(COUNTIFS($E$5:E280,E281,$BD$5:BD280,1)=0,MAX($CA$5:CA280)+1,""),"")</f>
        <v/>
      </c>
      <c r="CB281" s="80" t="str">
        <f>IF(AND(BE281=1,D281="Malcolm",E281&amp;""&lt;&gt;""),IF(COUNTIFS($D$5:D280,"Malcolm",$E$5:E280,E281,$BE$5:BE280,1)=0,MAX($CB$5:CB280)+1,""),"")</f>
        <v/>
      </c>
      <c r="CC281" s="80" t="str">
        <f>IF(AND(BD281=1,D281="proMX",E281&amp;""&lt;&gt;""),IF(COUNTIFS($D$5:D280,"proMX",$E$5:E280,E281,$BD$5:BD280,1)=0,MAX($CC$5:CC280)+1,""),"")</f>
        <v/>
      </c>
      <c r="CD281" s="80" t="str">
        <f>IF(AND(BE281=1,D281="Malcolm",F281&amp;""&lt;&gt;""),IF(COUNTIFS($D$5:D280,"Malcolm",$F$5:F280,F281,$BE$5:BE280,1)=0,MAX($CD$5:CD280)+1,""),"")</f>
        <v/>
      </c>
      <c r="CE281" s="80" t="str">
        <f>IF(AND(BD281=1,D281="proMX",F281&amp;""&lt;&gt;""),IF(COUNTIFS($D$5:D280,"proMX",$F$5:F280,F281,$BD$5:BD280,1)=0,MAX($CE$5:CE280)+1,""),"")</f>
        <v/>
      </c>
      <c r="CF281" s="80" t="str">
        <f>IF(AND(D281="proMX",BD281=1),IF(OR(BF281="Draft",BF281="Submitted",BF281="Returned",BF281="Recall Requested"),MAX($CF$5:CF280)+1,""),"")</f>
        <v/>
      </c>
      <c r="CG281" s="80">
        <f>IF(BD281=0,0,IF(D281="Malcolm",1,MATCH(BF281,{"Draft","Submitted","Approved","Returned","Recall Requested","Cancelled"},0)+1))</f>
        <v>0</v>
      </c>
      <c r="CH281" s="80">
        <f>IF(AND(BF281="Submitted",ISNUMBER(V281)),IF(V281&gt;CFG_MAXD,1,0),0)</f>
        <v>0</v>
      </c>
    </row>
    <row r="282">
      <c r="A282" s="71" t="str">
        <f>IF(Y282=1,ROW()-5,"")</f>
        <v/>
      </c>
      <c r="B282" s="72" t="n"/>
      <c r="C282" s="71" t="str">
        <f>IF(ISNUMBER(B282),CHOOSE(WEEKDAY(B282,2),"Lun","Mar","Mié","Jue","Vie","Sáb","Dom"),"")</f>
        <v/>
      </c>
      <c r="D282" s="73" t="n"/>
      <c r="E282" s="74" t="n"/>
      <c r="F282" s="74" t="n"/>
      <c r="G282" s="74" t="n"/>
      <c r="H282" s="75" t="n"/>
      <c r="I282" s="75" t="n"/>
      <c r="J282" s="76" t="n"/>
      <c r="K282" s="77" t="str">
        <f>IF(AB282=1,ROUND(AG282/60,4),"")</f>
        <v/>
      </c>
      <c r="L282" s="77" t="str">
        <f>IF(BD282=1,ROUND(AP282/60,4),"")</f>
        <v/>
      </c>
      <c r="M282" s="77" t="str">
        <f>IF(BD282=1,ROUND(AQ282/60,4),"")</f>
        <v/>
      </c>
      <c r="N282" s="71" t="str">
        <f>IF(AND(D282="proMX",AB282=1),ROUND(AG282/CFG_BLK,2),"")</f>
        <v/>
      </c>
      <c r="O282" s="77" t="str">
        <f>IF(D282="proMX",IF(BD282=1,ROUND(AG282/60,4),0),"")</f>
        <v/>
      </c>
      <c r="P282" s="78" t="str">
        <f>IF(Y282=0,"",IF(BD282=1,"OK",IF(D282="proMX","Revisar bloques: ","Revisar: ")&amp;BC282))</f>
        <v/>
      </c>
      <c r="Q282" s="78" t="str">
        <f>IF(NOT(ISNUMBER(B282)),"",IF(COUNTIFS(FER_F,INT(B282))&gt;0,"Feriado"&amp;IF(AH282=1," (laborable)"," (no laborable)"),IF(AH282=1,"Laborable",IF(WEEKDAY(B282,2)&gt;5,"Fin de semana","No laborable"))))</f>
        <v/>
      </c>
      <c r="R282" s="73" t="n"/>
      <c r="S282" s="72" t="n"/>
      <c r="T282" s="72" t="n"/>
      <c r="U282" s="74" t="n"/>
      <c r="V282" s="79" t="str">
        <f>IF(AND(D282="proMX",OR(R282="Submitted",R282="Recall Requested"),ISNUMBER(S282)),CFG_TODAY-INT(S282),"")</f>
        <v/>
      </c>
      <c r="W282" s="78" t="str">
        <f>IF(BD282=0,"",IF(BA282&gt;0,"⚠ Se superpone con un registro de la otra empresa",IF(D282="Malcolm",IF(COUNTA(R282,S282,T282)&gt;0,"Estado/fechas proMX se ignoran en Malcolm",""),IF(BF282="Cancelled","Cancelado: excluido de totales",IF(R282="","Sin estado: se trata como Draft",IF(BF282="Submitted",IF(ISNUMBER(V282),IF(V282&gt;CFG_MAXD,"⚠ "&amp;V282&amp;" días en Submitted (máx. "&amp;CFG_MAXD&amp;")",""),"Falta fecha de envío"),IF(BF282="Returned","⚠ Devuelto: corregir y reenviar",IF(BF282="Recall Requested","Retirada solicitada: pendiente",IF(AND(BF282="Approved",NOT(ISNUMBER(T282))),"Falta fecha de aprobación",IF(AND(ISNUMBER(S282),ISNUMBER(T282),T282&lt;S282),"Aprobación anterior al envío","")))))))))</f>
        <v/>
      </c>
      <c r="Y282" s="80">
        <f>IF(COUNTA(B282,D282,E282,F282,G282,H282,I282,J282,R282,S282,T282)&gt;0,1,0)</f>
        <v>0</v>
      </c>
      <c r="Z282" s="80" t="str">
        <f>IF(AND(ISNUMBER(H282),H282&gt;=0,H282&lt;1),ROUND(H282*1440,0),"")</f>
        <v/>
      </c>
      <c r="AA282" s="80" t="str">
        <f>IF(AND(ISNUMBER(I282),I282&gt;=0,I282&lt;1),ROUND(I282*1440,0),"")</f>
        <v/>
      </c>
      <c r="AB282" s="80">
        <f>IF(AND(ISNUMBER(B282),D282&lt;&gt;"",ISNUMBER(Z282),ISNUMBER(AA282)),IF(Z282=AA282,0,1),0)</f>
        <v>0</v>
      </c>
      <c r="AC282" s="80">
        <f>IF(AB282=1,IF(AA282&lt;Z282,1,0),0)</f>
        <v>0</v>
      </c>
      <c r="AD282" s="80">
        <f>IF(AB282=1,IF(AC282=1,1440-Z282+AA282,AA282-Z282),0)</f>
        <v>0</v>
      </c>
      <c r="AE282" s="80">
        <f>IF(J282="",0,IF(ISNUMBER(J282),J282,-1))</f>
        <v>0</v>
      </c>
      <c r="AF282" s="80">
        <f>MIN(MAX(0,AE282),AD282)</f>
        <v>0</v>
      </c>
      <c r="AG282" s="80">
        <f>MAX(0,AD282-MAX(0,AE282))</f>
        <v>0</v>
      </c>
      <c r="AH282" s="80">
        <f>IF(ISNUMBER(B282),IF(AND(INDEX(CFG_WDAYS,WEEKDAY(INT(B282),2))="Sí",IF(D282="proMX",COUNTIFS(FER_F,INT(B282),FER_NLP,"Sí"),COUNTIFS(FER_F,INT(B282),FER_NLM,"Sí"))=0),1,0),0)</f>
        <v>0</v>
      </c>
      <c r="AI282" s="80">
        <f>IF(AC282=1,IF(AND(INDEX(CFG_WDAYS,WEEKDAY(INT(B282)+1,2))="Sí",IF(D282="proMX",COUNTIFS(FER_F,INT(B282)+1,FER_NLP,"Sí"),COUNTIFS(FER_F,INT(B282)+1,FER_NLM,"Sí"))=0),1,0),0)</f>
        <v>0</v>
      </c>
      <c r="AJ282" s="80">
        <f>IF(AC282=1,1440-Z282,AD282)</f>
        <v>0</v>
      </c>
      <c r="AK282" s="80">
        <f>IF(AND(AB282=1,AH282=1),MAX(0,MIN(IF(AC282=1,1440,AA282),CFG_WEM)-MAX(Z282,CFG_WSM)),0)</f>
        <v>0</v>
      </c>
      <c r="AL282" s="80">
        <f>IF(AND(AC282=1,AI282=1),MAX(0,MIN(AA282,CFG_WEM)-CFG_WSM),0)</f>
        <v>0</v>
      </c>
      <c r="AM282" s="80">
        <f>AK282+AL282</f>
        <v>0</v>
      </c>
      <c r="AN282" s="80">
        <f>IF(CFG_BRK="Proporcional",IF(AD282=0,0,AF282*AM282/AD282),IF(CFG_BRK="Extras primero",MIN(AM282,MAX(0,AF282-(AD282-AM282))),MIN(AF282,AM282)))</f>
        <v>0</v>
      </c>
      <c r="AO282" s="80">
        <f>AF282-AN282</f>
        <v>0</v>
      </c>
      <c r="AP282" s="80">
        <f>AM282-AN282</f>
        <v>0</v>
      </c>
      <c r="AQ282" s="80">
        <f>AD282-AM282-AO282</f>
        <v>0</v>
      </c>
      <c r="AR282" s="80">
        <f>IF(AM282=0,0,AK282-AN282*AK282/AM282)</f>
        <v>0</v>
      </c>
      <c r="AS282" s="80">
        <f>IF(AD282-AM282=0,0,(AJ282-AK282)-AO282*(AJ282-AK282)/(AD282-AM282))</f>
        <v>0</v>
      </c>
      <c r="AT282" s="80" t="str">
        <f>IF(AC282=1,INT(B282)+1,"")</f>
        <v/>
      </c>
      <c r="AU282" s="80">
        <f>IF(AND(D282="proMX",R282="Cancelled"),0,1)</f>
        <v>1</v>
      </c>
      <c r="AV282" s="80">
        <f>IF(AND(AB282=1,AU282=1),IF(COUNTIFS($D$5:D281,D282,$B$5:B281,B282,$Z$5:Z281,Z282,$AA$5:AA281,AA282,$F$5:F281,F282&amp;"",$AU$5:AU281,1)&gt;0,1,0),0)</f>
        <v>0</v>
      </c>
      <c r="AW282" s="80" t="str">
        <f>IF(AB282=1,INT(B282)*1440+Z282,"")</f>
        <v/>
      </c>
      <c r="AX282" s="80" t="str">
        <f>IF(AB282=1,AW282+AD282,"")</f>
        <v/>
      </c>
      <c r="AY282" s="80">
        <f>IF(AND(AB282=1,AV282=0,AU282=1),1,0)</f>
        <v>0</v>
      </c>
      <c r="AZ282" s="80">
        <f>IF(AY282=1,COUNTIFS(R_Emp,D282,R_SAbs,"&lt;"&amp;AX282,R_EAbs,"&gt;"&amp;AW282,R_OKey,1)-1,0)</f>
        <v>0</v>
      </c>
      <c r="BA282" s="80">
        <f>IF(AY282=1,COUNTIFS(R_Emp,"&lt;&gt;"&amp;D282,R_SAbs,"&lt;"&amp;AX282,R_EAbs,"&gt;"&amp;AW282,R_OKey,1),0)</f>
        <v>0</v>
      </c>
      <c r="BB282" s="80">
        <f>IF(AND(AB282=1,D282="proMX"),IF(AND(MOD(Z282,CFG_BLK)=0,MOD(AA282,CFG_BLK)=0,MOD(AG282,CFG_BLK)=0,AG282&gt;0),1,0),1)</f>
        <v>1</v>
      </c>
      <c r="BC282" s="80" t="str">
        <f>IF(Y282=0,"",IF(NOT(ISNUMBER(B282)),"Falta fecha o fecha inválida",IF(D282="","Falta empresa",IF(AND(D282&lt;&gt;"Malcolm",D282&lt;&gt;"proMX"),"Empresa inválida",IF(OR(INT(B282)&lt;CFG_PSTART,INT(B282)&gt;CFG_PEND),"Fecha fuera del período",IF(OR(NOT(ISNUMBER(Z282)),NOT(ISNUMBER(AA282))),"Falta hora inicio/fin o formato inválido",IF(AB282=0,"Hora inicio = hora fin",IF(AE282&lt;0,"Descanso inválido",IF(AE282&gt;=AD282,"Descanso ≥ duración",IF(AV282=1,"Registro duplicado",IF(AZ282&gt;0,"Se superpone con otro registro "&amp;D282,IF(BB282=0,"inicio, fin y duración neta deben ser múltiplos de "&amp;CFG_BLK&amp;" min",""))))))))))))</f>
        <v/>
      </c>
      <c r="BD282" s="80">
        <f>IF(AND(Y282=1,BC282=""),1,0)</f>
        <v>0</v>
      </c>
      <c r="BE282" s="80">
        <f>IF(AND(BD282=1,AU282=1),1,0)</f>
        <v>0</v>
      </c>
      <c r="BF282" s="80" t="str">
        <f>IF(AND(D282="proMX",BD282=1),IF(R282="","Draft",R282),"")</f>
        <v/>
      </c>
      <c r="BG282" s="80">
        <f>IF(BD282=1,ROUND(AG282/60,6),0)</f>
        <v>0</v>
      </c>
      <c r="BH282" s="80">
        <f>IF(BE282=1,ROUND(AG282/60,6),0)</f>
        <v>0</v>
      </c>
      <c r="BI282" s="80">
        <f>IF(BE282=1,ROUND(AP282/60,6),0)</f>
        <v>0</v>
      </c>
      <c r="BJ282" s="80">
        <f>IF(BE282=1,ROUND(AQ282/60,6),0)</f>
        <v>0</v>
      </c>
      <c r="BK282" s="80">
        <f>IF(BE282=1,ROUND((AR282+AS282)/60,6),0)</f>
        <v>0</v>
      </c>
      <c r="BL282" s="80">
        <f>ROUND(BH282-BK282,6)</f>
        <v>0</v>
      </c>
      <c r="BM282" s="80">
        <f>IF(BE282=1,ROUND(AR282/60,6),0)</f>
        <v>0</v>
      </c>
      <c r="BN282" s="80">
        <f>ROUND(BI282-BM282,6)</f>
        <v>0</v>
      </c>
      <c r="BO282" s="80">
        <f>IF(BE282=1,ROUND(AS282/60,6),0)</f>
        <v>0</v>
      </c>
      <c r="BP282" s="80">
        <f>ROUND(BJ282-BO282,6)</f>
        <v>0</v>
      </c>
      <c r="BQ282" s="80">
        <f>IF(BE282=1,AW282,0)</f>
        <v>0</v>
      </c>
      <c r="BR282" s="80">
        <f>IF(BE282=1,AX282,0)</f>
        <v>0</v>
      </c>
      <c r="BS282" s="80">
        <f>IF(AND(BE282=1,D282="Malcolm",BA282&gt;0),MIN(BH282,SUMPRODUCT((R_Emp="proMX")*(R_EN&gt;0)*((R_EN-(R_EN&gt;BR282)*(R_EN-BR282))&gt;(R_SN+(R_SN&lt;BQ282)*(BQ282-R_SN)))*((R_EN-(R_EN&gt;BR282)*(R_EN-BR282))-(R_SN+(R_SN&lt;BQ282)*(BQ282-R_SN))))/60),0)</f>
        <v>0</v>
      </c>
      <c r="BT282" s="80">
        <f>IF(AND(BE282=1,D282="proMX"),ROUND(BI282*CFG_RATE+BJ282*CFG_OTRATE,6),0)</f>
        <v>0</v>
      </c>
      <c r="BU282" s="80">
        <f>IF(AND(BD282=1,D282="proMX"),ROUND(AG282/CFG_BLK,6),0)</f>
        <v>0</v>
      </c>
      <c r="BV282" s="80" t="str">
        <f>IF(BF282="Approved",IF(ISNUMBER(T282),INT(T282),INT(B282)),"")</f>
        <v/>
      </c>
      <c r="BW282" s="80">
        <f>IF(ISNUMBER(B282),IF(DB_MON="Todos",1,IF(AND(INT(B282)&gt;=DB_MS,INT(B282)&lt;=DB_ME),1,0)),0)</f>
        <v>0</v>
      </c>
      <c r="BX282" s="80">
        <f>IF(DB_PROJ="Todos",1,IF(E282&amp;""=DB_PROJ&amp;"",1,0))</f>
        <v>1</v>
      </c>
      <c r="BY282" s="80">
        <f>BW282*BX282</f>
        <v>0</v>
      </c>
      <c r="BZ282" s="80" t="str">
        <f>IF(Y282=1,F282&amp;IF(AND(F282&amp;""&lt;&gt;"",E282&amp;""&lt;&gt;"")," · ","")&amp;E282,"")</f>
        <v/>
      </c>
      <c r="CA282" s="80" t="str">
        <f>IF(AND(BD282=1,E282&amp;""&lt;&gt;""),IF(COUNTIFS($E$5:E281,E282,$BD$5:BD281,1)=0,MAX($CA$5:CA281)+1,""),"")</f>
        <v/>
      </c>
      <c r="CB282" s="80" t="str">
        <f>IF(AND(BE282=1,D282="Malcolm",E282&amp;""&lt;&gt;""),IF(COUNTIFS($D$5:D281,"Malcolm",$E$5:E281,E282,$BE$5:BE281,1)=0,MAX($CB$5:CB281)+1,""),"")</f>
        <v/>
      </c>
      <c r="CC282" s="80" t="str">
        <f>IF(AND(BD282=1,D282="proMX",E282&amp;""&lt;&gt;""),IF(COUNTIFS($D$5:D281,"proMX",$E$5:E281,E282,$BD$5:BD281,1)=0,MAX($CC$5:CC281)+1,""),"")</f>
        <v/>
      </c>
      <c r="CD282" s="80" t="str">
        <f>IF(AND(BE282=1,D282="Malcolm",F282&amp;""&lt;&gt;""),IF(COUNTIFS($D$5:D281,"Malcolm",$F$5:F281,F282,$BE$5:BE281,1)=0,MAX($CD$5:CD281)+1,""),"")</f>
        <v/>
      </c>
      <c r="CE282" s="80" t="str">
        <f>IF(AND(BD282=1,D282="proMX",F282&amp;""&lt;&gt;""),IF(COUNTIFS($D$5:D281,"proMX",$F$5:F281,F282,$BD$5:BD281,1)=0,MAX($CE$5:CE281)+1,""),"")</f>
        <v/>
      </c>
      <c r="CF282" s="80" t="str">
        <f>IF(AND(D282="proMX",BD282=1),IF(OR(BF282="Draft",BF282="Submitted",BF282="Returned",BF282="Recall Requested"),MAX($CF$5:CF281)+1,""),"")</f>
        <v/>
      </c>
      <c r="CG282" s="80">
        <f>IF(BD282=0,0,IF(D282="Malcolm",1,MATCH(BF282,{"Draft","Submitted","Approved","Returned","Recall Requested","Cancelled"},0)+1))</f>
        <v>0</v>
      </c>
      <c r="CH282" s="80">
        <f>IF(AND(BF282="Submitted",ISNUMBER(V282)),IF(V282&gt;CFG_MAXD,1,0),0)</f>
        <v>0</v>
      </c>
    </row>
    <row r="283">
      <c r="A283" s="71" t="str">
        <f>IF(Y283=1,ROW()-5,"")</f>
        <v/>
      </c>
      <c r="B283" s="72" t="n"/>
      <c r="C283" s="71" t="str">
        <f>IF(ISNUMBER(B283),CHOOSE(WEEKDAY(B283,2),"Lun","Mar","Mié","Jue","Vie","Sáb","Dom"),"")</f>
        <v/>
      </c>
      <c r="D283" s="73" t="n"/>
      <c r="E283" s="74" t="n"/>
      <c r="F283" s="74" t="n"/>
      <c r="G283" s="74" t="n"/>
      <c r="H283" s="75" t="n"/>
      <c r="I283" s="75" t="n"/>
      <c r="J283" s="76" t="n"/>
      <c r="K283" s="77" t="str">
        <f>IF(AB283=1,ROUND(AG283/60,4),"")</f>
        <v/>
      </c>
      <c r="L283" s="77" t="str">
        <f>IF(BD283=1,ROUND(AP283/60,4),"")</f>
        <v/>
      </c>
      <c r="M283" s="77" t="str">
        <f>IF(BD283=1,ROUND(AQ283/60,4),"")</f>
        <v/>
      </c>
      <c r="N283" s="71" t="str">
        <f>IF(AND(D283="proMX",AB283=1),ROUND(AG283/CFG_BLK,2),"")</f>
        <v/>
      </c>
      <c r="O283" s="77" t="str">
        <f>IF(D283="proMX",IF(BD283=1,ROUND(AG283/60,4),0),"")</f>
        <v/>
      </c>
      <c r="P283" s="78" t="str">
        <f>IF(Y283=0,"",IF(BD283=1,"OK",IF(D283="proMX","Revisar bloques: ","Revisar: ")&amp;BC283))</f>
        <v/>
      </c>
      <c r="Q283" s="78" t="str">
        <f>IF(NOT(ISNUMBER(B283)),"",IF(COUNTIFS(FER_F,INT(B283))&gt;0,"Feriado"&amp;IF(AH283=1," (laborable)"," (no laborable)"),IF(AH283=1,"Laborable",IF(WEEKDAY(B283,2)&gt;5,"Fin de semana","No laborable"))))</f>
        <v/>
      </c>
      <c r="R283" s="73" t="n"/>
      <c r="S283" s="72" t="n"/>
      <c r="T283" s="72" t="n"/>
      <c r="U283" s="74" t="n"/>
      <c r="V283" s="79" t="str">
        <f>IF(AND(D283="proMX",OR(R283="Submitted",R283="Recall Requested"),ISNUMBER(S283)),CFG_TODAY-INT(S283),"")</f>
        <v/>
      </c>
      <c r="W283" s="78" t="str">
        <f>IF(BD283=0,"",IF(BA283&gt;0,"⚠ Se superpone con un registro de la otra empresa",IF(D283="Malcolm",IF(COUNTA(R283,S283,T283)&gt;0,"Estado/fechas proMX se ignoran en Malcolm",""),IF(BF283="Cancelled","Cancelado: excluido de totales",IF(R283="","Sin estado: se trata como Draft",IF(BF283="Submitted",IF(ISNUMBER(V283),IF(V283&gt;CFG_MAXD,"⚠ "&amp;V283&amp;" días en Submitted (máx. "&amp;CFG_MAXD&amp;")",""),"Falta fecha de envío"),IF(BF283="Returned","⚠ Devuelto: corregir y reenviar",IF(BF283="Recall Requested","Retirada solicitada: pendiente",IF(AND(BF283="Approved",NOT(ISNUMBER(T283))),"Falta fecha de aprobación",IF(AND(ISNUMBER(S283),ISNUMBER(T283),T283&lt;S283),"Aprobación anterior al envío","")))))))))</f>
        <v/>
      </c>
      <c r="Y283" s="80">
        <f>IF(COUNTA(B283,D283,E283,F283,G283,H283,I283,J283,R283,S283,T283)&gt;0,1,0)</f>
        <v>0</v>
      </c>
      <c r="Z283" s="80" t="str">
        <f>IF(AND(ISNUMBER(H283),H283&gt;=0,H283&lt;1),ROUND(H283*1440,0),"")</f>
        <v/>
      </c>
      <c r="AA283" s="80" t="str">
        <f>IF(AND(ISNUMBER(I283),I283&gt;=0,I283&lt;1),ROUND(I283*1440,0),"")</f>
        <v/>
      </c>
      <c r="AB283" s="80">
        <f>IF(AND(ISNUMBER(B283),D283&lt;&gt;"",ISNUMBER(Z283),ISNUMBER(AA283)),IF(Z283=AA283,0,1),0)</f>
        <v>0</v>
      </c>
      <c r="AC283" s="80">
        <f>IF(AB283=1,IF(AA283&lt;Z283,1,0),0)</f>
        <v>0</v>
      </c>
      <c r="AD283" s="80">
        <f>IF(AB283=1,IF(AC283=1,1440-Z283+AA283,AA283-Z283),0)</f>
        <v>0</v>
      </c>
      <c r="AE283" s="80">
        <f>IF(J283="",0,IF(ISNUMBER(J283),J283,-1))</f>
        <v>0</v>
      </c>
      <c r="AF283" s="80">
        <f>MIN(MAX(0,AE283),AD283)</f>
        <v>0</v>
      </c>
      <c r="AG283" s="80">
        <f>MAX(0,AD283-MAX(0,AE283))</f>
        <v>0</v>
      </c>
      <c r="AH283" s="80">
        <f>IF(ISNUMBER(B283),IF(AND(INDEX(CFG_WDAYS,WEEKDAY(INT(B283),2))="Sí",IF(D283="proMX",COUNTIFS(FER_F,INT(B283),FER_NLP,"Sí"),COUNTIFS(FER_F,INT(B283),FER_NLM,"Sí"))=0),1,0),0)</f>
        <v>0</v>
      </c>
      <c r="AI283" s="80">
        <f>IF(AC283=1,IF(AND(INDEX(CFG_WDAYS,WEEKDAY(INT(B283)+1,2))="Sí",IF(D283="proMX",COUNTIFS(FER_F,INT(B283)+1,FER_NLP,"Sí"),COUNTIFS(FER_F,INT(B283)+1,FER_NLM,"Sí"))=0),1,0),0)</f>
        <v>0</v>
      </c>
      <c r="AJ283" s="80">
        <f>IF(AC283=1,1440-Z283,AD283)</f>
        <v>0</v>
      </c>
      <c r="AK283" s="80">
        <f>IF(AND(AB283=1,AH283=1),MAX(0,MIN(IF(AC283=1,1440,AA283),CFG_WEM)-MAX(Z283,CFG_WSM)),0)</f>
        <v>0</v>
      </c>
      <c r="AL283" s="80">
        <f>IF(AND(AC283=1,AI283=1),MAX(0,MIN(AA283,CFG_WEM)-CFG_WSM),0)</f>
        <v>0</v>
      </c>
      <c r="AM283" s="80">
        <f>AK283+AL283</f>
        <v>0</v>
      </c>
      <c r="AN283" s="80">
        <f>IF(CFG_BRK="Proporcional",IF(AD283=0,0,AF283*AM283/AD283),IF(CFG_BRK="Extras primero",MIN(AM283,MAX(0,AF283-(AD283-AM283))),MIN(AF283,AM283)))</f>
        <v>0</v>
      </c>
      <c r="AO283" s="80">
        <f>AF283-AN283</f>
        <v>0</v>
      </c>
      <c r="AP283" s="80">
        <f>AM283-AN283</f>
        <v>0</v>
      </c>
      <c r="AQ283" s="80">
        <f>AD283-AM283-AO283</f>
        <v>0</v>
      </c>
      <c r="AR283" s="80">
        <f>IF(AM283=0,0,AK283-AN283*AK283/AM283)</f>
        <v>0</v>
      </c>
      <c r="AS283" s="80">
        <f>IF(AD283-AM283=0,0,(AJ283-AK283)-AO283*(AJ283-AK283)/(AD283-AM283))</f>
        <v>0</v>
      </c>
      <c r="AT283" s="80" t="str">
        <f>IF(AC283=1,INT(B283)+1,"")</f>
        <v/>
      </c>
      <c r="AU283" s="80">
        <f>IF(AND(D283="proMX",R283="Cancelled"),0,1)</f>
        <v>1</v>
      </c>
      <c r="AV283" s="80">
        <f>IF(AND(AB283=1,AU283=1),IF(COUNTIFS($D$5:D282,D283,$B$5:B282,B283,$Z$5:Z282,Z283,$AA$5:AA282,AA283,$F$5:F282,F283&amp;"",$AU$5:AU282,1)&gt;0,1,0),0)</f>
        <v>0</v>
      </c>
      <c r="AW283" s="80" t="str">
        <f>IF(AB283=1,INT(B283)*1440+Z283,"")</f>
        <v/>
      </c>
      <c r="AX283" s="80" t="str">
        <f>IF(AB283=1,AW283+AD283,"")</f>
        <v/>
      </c>
      <c r="AY283" s="80">
        <f>IF(AND(AB283=1,AV283=0,AU283=1),1,0)</f>
        <v>0</v>
      </c>
      <c r="AZ283" s="80">
        <f>IF(AY283=1,COUNTIFS(R_Emp,D283,R_SAbs,"&lt;"&amp;AX283,R_EAbs,"&gt;"&amp;AW283,R_OKey,1)-1,0)</f>
        <v>0</v>
      </c>
      <c r="BA283" s="80">
        <f>IF(AY283=1,COUNTIFS(R_Emp,"&lt;&gt;"&amp;D283,R_SAbs,"&lt;"&amp;AX283,R_EAbs,"&gt;"&amp;AW283,R_OKey,1),0)</f>
        <v>0</v>
      </c>
      <c r="BB283" s="80">
        <f>IF(AND(AB283=1,D283="proMX"),IF(AND(MOD(Z283,CFG_BLK)=0,MOD(AA283,CFG_BLK)=0,MOD(AG283,CFG_BLK)=0,AG283&gt;0),1,0),1)</f>
        <v>1</v>
      </c>
      <c r="BC283" s="80" t="str">
        <f>IF(Y283=0,"",IF(NOT(ISNUMBER(B283)),"Falta fecha o fecha inválida",IF(D283="","Falta empresa",IF(AND(D283&lt;&gt;"Malcolm",D283&lt;&gt;"proMX"),"Empresa inválida",IF(OR(INT(B283)&lt;CFG_PSTART,INT(B283)&gt;CFG_PEND),"Fecha fuera del período",IF(OR(NOT(ISNUMBER(Z283)),NOT(ISNUMBER(AA283))),"Falta hora inicio/fin o formato inválido",IF(AB283=0,"Hora inicio = hora fin",IF(AE283&lt;0,"Descanso inválido",IF(AE283&gt;=AD283,"Descanso ≥ duración",IF(AV283=1,"Registro duplicado",IF(AZ283&gt;0,"Se superpone con otro registro "&amp;D283,IF(BB283=0,"inicio, fin y duración neta deben ser múltiplos de "&amp;CFG_BLK&amp;" min",""))))))))))))</f>
        <v/>
      </c>
      <c r="BD283" s="80">
        <f>IF(AND(Y283=1,BC283=""),1,0)</f>
        <v>0</v>
      </c>
      <c r="BE283" s="80">
        <f>IF(AND(BD283=1,AU283=1),1,0)</f>
        <v>0</v>
      </c>
      <c r="BF283" s="80" t="str">
        <f>IF(AND(D283="proMX",BD283=1),IF(R283="","Draft",R283),"")</f>
        <v/>
      </c>
      <c r="BG283" s="80">
        <f>IF(BD283=1,ROUND(AG283/60,6),0)</f>
        <v>0</v>
      </c>
      <c r="BH283" s="80">
        <f>IF(BE283=1,ROUND(AG283/60,6),0)</f>
        <v>0</v>
      </c>
      <c r="BI283" s="80">
        <f>IF(BE283=1,ROUND(AP283/60,6),0)</f>
        <v>0</v>
      </c>
      <c r="BJ283" s="80">
        <f>IF(BE283=1,ROUND(AQ283/60,6),0)</f>
        <v>0</v>
      </c>
      <c r="BK283" s="80">
        <f>IF(BE283=1,ROUND((AR283+AS283)/60,6),0)</f>
        <v>0</v>
      </c>
      <c r="BL283" s="80">
        <f>ROUND(BH283-BK283,6)</f>
        <v>0</v>
      </c>
      <c r="BM283" s="80">
        <f>IF(BE283=1,ROUND(AR283/60,6),0)</f>
        <v>0</v>
      </c>
      <c r="BN283" s="80">
        <f>ROUND(BI283-BM283,6)</f>
        <v>0</v>
      </c>
      <c r="BO283" s="80">
        <f>IF(BE283=1,ROUND(AS283/60,6),0)</f>
        <v>0</v>
      </c>
      <c r="BP283" s="80">
        <f>ROUND(BJ283-BO283,6)</f>
        <v>0</v>
      </c>
      <c r="BQ283" s="80">
        <f>IF(BE283=1,AW283,0)</f>
        <v>0</v>
      </c>
      <c r="BR283" s="80">
        <f>IF(BE283=1,AX283,0)</f>
        <v>0</v>
      </c>
      <c r="BS283" s="80">
        <f>IF(AND(BE283=1,D283="Malcolm",BA283&gt;0),MIN(BH283,SUMPRODUCT((R_Emp="proMX")*(R_EN&gt;0)*((R_EN-(R_EN&gt;BR283)*(R_EN-BR283))&gt;(R_SN+(R_SN&lt;BQ283)*(BQ283-R_SN)))*((R_EN-(R_EN&gt;BR283)*(R_EN-BR283))-(R_SN+(R_SN&lt;BQ283)*(BQ283-R_SN))))/60),0)</f>
        <v>0</v>
      </c>
      <c r="BT283" s="80">
        <f>IF(AND(BE283=1,D283="proMX"),ROUND(BI283*CFG_RATE+BJ283*CFG_OTRATE,6),0)</f>
        <v>0</v>
      </c>
      <c r="BU283" s="80">
        <f>IF(AND(BD283=1,D283="proMX"),ROUND(AG283/CFG_BLK,6),0)</f>
        <v>0</v>
      </c>
      <c r="BV283" s="80" t="str">
        <f>IF(BF283="Approved",IF(ISNUMBER(T283),INT(T283),INT(B283)),"")</f>
        <v/>
      </c>
      <c r="BW283" s="80">
        <f>IF(ISNUMBER(B283),IF(DB_MON="Todos",1,IF(AND(INT(B283)&gt;=DB_MS,INT(B283)&lt;=DB_ME),1,0)),0)</f>
        <v>0</v>
      </c>
      <c r="BX283" s="80">
        <f>IF(DB_PROJ="Todos",1,IF(E283&amp;""=DB_PROJ&amp;"",1,0))</f>
        <v>1</v>
      </c>
      <c r="BY283" s="80">
        <f>BW283*BX283</f>
        <v>0</v>
      </c>
      <c r="BZ283" s="80" t="str">
        <f>IF(Y283=1,F283&amp;IF(AND(F283&amp;""&lt;&gt;"",E283&amp;""&lt;&gt;"")," · ","")&amp;E283,"")</f>
        <v/>
      </c>
      <c r="CA283" s="80" t="str">
        <f>IF(AND(BD283=1,E283&amp;""&lt;&gt;""),IF(COUNTIFS($E$5:E282,E283,$BD$5:BD282,1)=0,MAX($CA$5:CA282)+1,""),"")</f>
        <v/>
      </c>
      <c r="CB283" s="80" t="str">
        <f>IF(AND(BE283=1,D283="Malcolm",E283&amp;""&lt;&gt;""),IF(COUNTIFS($D$5:D282,"Malcolm",$E$5:E282,E283,$BE$5:BE282,1)=0,MAX($CB$5:CB282)+1,""),"")</f>
        <v/>
      </c>
      <c r="CC283" s="80" t="str">
        <f>IF(AND(BD283=1,D283="proMX",E283&amp;""&lt;&gt;""),IF(COUNTIFS($D$5:D282,"proMX",$E$5:E282,E283,$BD$5:BD282,1)=0,MAX($CC$5:CC282)+1,""),"")</f>
        <v/>
      </c>
      <c r="CD283" s="80" t="str">
        <f>IF(AND(BE283=1,D283="Malcolm",F283&amp;""&lt;&gt;""),IF(COUNTIFS($D$5:D282,"Malcolm",$F$5:F282,F283,$BE$5:BE282,1)=0,MAX($CD$5:CD282)+1,""),"")</f>
        <v/>
      </c>
      <c r="CE283" s="80" t="str">
        <f>IF(AND(BD283=1,D283="proMX",F283&amp;""&lt;&gt;""),IF(COUNTIFS($D$5:D282,"proMX",$F$5:F282,F283,$BD$5:BD282,1)=0,MAX($CE$5:CE282)+1,""),"")</f>
        <v/>
      </c>
      <c r="CF283" s="80" t="str">
        <f>IF(AND(D283="proMX",BD283=1),IF(OR(BF283="Draft",BF283="Submitted",BF283="Returned",BF283="Recall Requested"),MAX($CF$5:CF282)+1,""),"")</f>
        <v/>
      </c>
      <c r="CG283" s="80">
        <f>IF(BD283=0,0,IF(D283="Malcolm",1,MATCH(BF283,{"Draft","Submitted","Approved","Returned","Recall Requested","Cancelled"},0)+1))</f>
        <v>0</v>
      </c>
      <c r="CH283" s="80">
        <f>IF(AND(BF283="Submitted",ISNUMBER(V283)),IF(V283&gt;CFG_MAXD,1,0),0)</f>
        <v>0</v>
      </c>
    </row>
    <row r="284">
      <c r="A284" s="71" t="str">
        <f>IF(Y284=1,ROW()-5,"")</f>
        <v/>
      </c>
      <c r="B284" s="72" t="n"/>
      <c r="C284" s="71" t="str">
        <f>IF(ISNUMBER(B284),CHOOSE(WEEKDAY(B284,2),"Lun","Mar","Mié","Jue","Vie","Sáb","Dom"),"")</f>
        <v/>
      </c>
      <c r="D284" s="73" t="n"/>
      <c r="E284" s="74" t="n"/>
      <c r="F284" s="74" t="n"/>
      <c r="G284" s="74" t="n"/>
      <c r="H284" s="75" t="n"/>
      <c r="I284" s="75" t="n"/>
      <c r="J284" s="76" t="n"/>
      <c r="K284" s="77" t="str">
        <f>IF(AB284=1,ROUND(AG284/60,4),"")</f>
        <v/>
      </c>
      <c r="L284" s="77" t="str">
        <f>IF(BD284=1,ROUND(AP284/60,4),"")</f>
        <v/>
      </c>
      <c r="M284" s="77" t="str">
        <f>IF(BD284=1,ROUND(AQ284/60,4),"")</f>
        <v/>
      </c>
      <c r="N284" s="71" t="str">
        <f>IF(AND(D284="proMX",AB284=1),ROUND(AG284/CFG_BLK,2),"")</f>
        <v/>
      </c>
      <c r="O284" s="77" t="str">
        <f>IF(D284="proMX",IF(BD284=1,ROUND(AG284/60,4),0),"")</f>
        <v/>
      </c>
      <c r="P284" s="78" t="str">
        <f>IF(Y284=0,"",IF(BD284=1,"OK",IF(D284="proMX","Revisar bloques: ","Revisar: ")&amp;BC284))</f>
        <v/>
      </c>
      <c r="Q284" s="78" t="str">
        <f>IF(NOT(ISNUMBER(B284)),"",IF(COUNTIFS(FER_F,INT(B284))&gt;0,"Feriado"&amp;IF(AH284=1," (laborable)"," (no laborable)"),IF(AH284=1,"Laborable",IF(WEEKDAY(B284,2)&gt;5,"Fin de semana","No laborable"))))</f>
        <v/>
      </c>
      <c r="R284" s="73" t="n"/>
      <c r="S284" s="72" t="n"/>
      <c r="T284" s="72" t="n"/>
      <c r="U284" s="74" t="n"/>
      <c r="V284" s="79" t="str">
        <f>IF(AND(D284="proMX",OR(R284="Submitted",R284="Recall Requested"),ISNUMBER(S284)),CFG_TODAY-INT(S284),"")</f>
        <v/>
      </c>
      <c r="W284" s="78" t="str">
        <f>IF(BD284=0,"",IF(BA284&gt;0,"⚠ Se superpone con un registro de la otra empresa",IF(D284="Malcolm",IF(COUNTA(R284,S284,T284)&gt;0,"Estado/fechas proMX se ignoran en Malcolm",""),IF(BF284="Cancelled","Cancelado: excluido de totales",IF(R284="","Sin estado: se trata como Draft",IF(BF284="Submitted",IF(ISNUMBER(V284),IF(V284&gt;CFG_MAXD,"⚠ "&amp;V284&amp;" días en Submitted (máx. "&amp;CFG_MAXD&amp;")",""),"Falta fecha de envío"),IF(BF284="Returned","⚠ Devuelto: corregir y reenviar",IF(BF284="Recall Requested","Retirada solicitada: pendiente",IF(AND(BF284="Approved",NOT(ISNUMBER(T284))),"Falta fecha de aprobación",IF(AND(ISNUMBER(S284),ISNUMBER(T284),T284&lt;S284),"Aprobación anterior al envío","")))))))))</f>
        <v/>
      </c>
      <c r="Y284" s="80">
        <f>IF(COUNTA(B284,D284,E284,F284,G284,H284,I284,J284,R284,S284,T284)&gt;0,1,0)</f>
        <v>0</v>
      </c>
      <c r="Z284" s="80" t="str">
        <f>IF(AND(ISNUMBER(H284),H284&gt;=0,H284&lt;1),ROUND(H284*1440,0),"")</f>
        <v/>
      </c>
      <c r="AA284" s="80" t="str">
        <f>IF(AND(ISNUMBER(I284),I284&gt;=0,I284&lt;1),ROUND(I284*1440,0),"")</f>
        <v/>
      </c>
      <c r="AB284" s="80">
        <f>IF(AND(ISNUMBER(B284),D284&lt;&gt;"",ISNUMBER(Z284),ISNUMBER(AA284)),IF(Z284=AA284,0,1),0)</f>
        <v>0</v>
      </c>
      <c r="AC284" s="80">
        <f>IF(AB284=1,IF(AA284&lt;Z284,1,0),0)</f>
        <v>0</v>
      </c>
      <c r="AD284" s="80">
        <f>IF(AB284=1,IF(AC284=1,1440-Z284+AA284,AA284-Z284),0)</f>
        <v>0</v>
      </c>
      <c r="AE284" s="80">
        <f>IF(J284="",0,IF(ISNUMBER(J284),J284,-1))</f>
        <v>0</v>
      </c>
      <c r="AF284" s="80">
        <f>MIN(MAX(0,AE284),AD284)</f>
        <v>0</v>
      </c>
      <c r="AG284" s="80">
        <f>MAX(0,AD284-MAX(0,AE284))</f>
        <v>0</v>
      </c>
      <c r="AH284" s="80">
        <f>IF(ISNUMBER(B284),IF(AND(INDEX(CFG_WDAYS,WEEKDAY(INT(B284),2))="Sí",IF(D284="proMX",COUNTIFS(FER_F,INT(B284),FER_NLP,"Sí"),COUNTIFS(FER_F,INT(B284),FER_NLM,"Sí"))=0),1,0),0)</f>
        <v>0</v>
      </c>
      <c r="AI284" s="80">
        <f>IF(AC284=1,IF(AND(INDEX(CFG_WDAYS,WEEKDAY(INT(B284)+1,2))="Sí",IF(D284="proMX",COUNTIFS(FER_F,INT(B284)+1,FER_NLP,"Sí"),COUNTIFS(FER_F,INT(B284)+1,FER_NLM,"Sí"))=0),1,0),0)</f>
        <v>0</v>
      </c>
      <c r="AJ284" s="80">
        <f>IF(AC284=1,1440-Z284,AD284)</f>
        <v>0</v>
      </c>
      <c r="AK284" s="80">
        <f>IF(AND(AB284=1,AH284=1),MAX(0,MIN(IF(AC284=1,1440,AA284),CFG_WEM)-MAX(Z284,CFG_WSM)),0)</f>
        <v>0</v>
      </c>
      <c r="AL284" s="80">
        <f>IF(AND(AC284=1,AI284=1),MAX(0,MIN(AA284,CFG_WEM)-CFG_WSM),0)</f>
        <v>0</v>
      </c>
      <c r="AM284" s="80">
        <f>AK284+AL284</f>
        <v>0</v>
      </c>
      <c r="AN284" s="80">
        <f>IF(CFG_BRK="Proporcional",IF(AD284=0,0,AF284*AM284/AD284),IF(CFG_BRK="Extras primero",MIN(AM284,MAX(0,AF284-(AD284-AM284))),MIN(AF284,AM284)))</f>
        <v>0</v>
      </c>
      <c r="AO284" s="80">
        <f>AF284-AN284</f>
        <v>0</v>
      </c>
      <c r="AP284" s="80">
        <f>AM284-AN284</f>
        <v>0</v>
      </c>
      <c r="AQ284" s="80">
        <f>AD284-AM284-AO284</f>
        <v>0</v>
      </c>
      <c r="AR284" s="80">
        <f>IF(AM284=0,0,AK284-AN284*AK284/AM284)</f>
        <v>0</v>
      </c>
      <c r="AS284" s="80">
        <f>IF(AD284-AM284=0,0,(AJ284-AK284)-AO284*(AJ284-AK284)/(AD284-AM284))</f>
        <v>0</v>
      </c>
      <c r="AT284" s="80" t="str">
        <f>IF(AC284=1,INT(B284)+1,"")</f>
        <v/>
      </c>
      <c r="AU284" s="80">
        <f>IF(AND(D284="proMX",R284="Cancelled"),0,1)</f>
        <v>1</v>
      </c>
      <c r="AV284" s="80">
        <f>IF(AND(AB284=1,AU284=1),IF(COUNTIFS($D$5:D283,D284,$B$5:B283,B284,$Z$5:Z283,Z284,$AA$5:AA283,AA284,$F$5:F283,F284&amp;"",$AU$5:AU283,1)&gt;0,1,0),0)</f>
        <v>0</v>
      </c>
      <c r="AW284" s="80" t="str">
        <f>IF(AB284=1,INT(B284)*1440+Z284,"")</f>
        <v/>
      </c>
      <c r="AX284" s="80" t="str">
        <f>IF(AB284=1,AW284+AD284,"")</f>
        <v/>
      </c>
      <c r="AY284" s="80">
        <f>IF(AND(AB284=1,AV284=0,AU284=1),1,0)</f>
        <v>0</v>
      </c>
      <c r="AZ284" s="80">
        <f>IF(AY284=1,COUNTIFS(R_Emp,D284,R_SAbs,"&lt;"&amp;AX284,R_EAbs,"&gt;"&amp;AW284,R_OKey,1)-1,0)</f>
        <v>0</v>
      </c>
      <c r="BA284" s="80">
        <f>IF(AY284=1,COUNTIFS(R_Emp,"&lt;&gt;"&amp;D284,R_SAbs,"&lt;"&amp;AX284,R_EAbs,"&gt;"&amp;AW284,R_OKey,1),0)</f>
        <v>0</v>
      </c>
      <c r="BB284" s="80">
        <f>IF(AND(AB284=1,D284="proMX"),IF(AND(MOD(Z284,CFG_BLK)=0,MOD(AA284,CFG_BLK)=0,MOD(AG284,CFG_BLK)=0,AG284&gt;0),1,0),1)</f>
        <v>1</v>
      </c>
      <c r="BC284" s="80" t="str">
        <f>IF(Y284=0,"",IF(NOT(ISNUMBER(B284)),"Falta fecha o fecha inválida",IF(D284="","Falta empresa",IF(AND(D284&lt;&gt;"Malcolm",D284&lt;&gt;"proMX"),"Empresa inválida",IF(OR(INT(B284)&lt;CFG_PSTART,INT(B284)&gt;CFG_PEND),"Fecha fuera del período",IF(OR(NOT(ISNUMBER(Z284)),NOT(ISNUMBER(AA284))),"Falta hora inicio/fin o formato inválido",IF(AB284=0,"Hora inicio = hora fin",IF(AE284&lt;0,"Descanso inválido",IF(AE284&gt;=AD284,"Descanso ≥ duración",IF(AV284=1,"Registro duplicado",IF(AZ284&gt;0,"Se superpone con otro registro "&amp;D284,IF(BB284=0,"inicio, fin y duración neta deben ser múltiplos de "&amp;CFG_BLK&amp;" min",""))))))))))))</f>
        <v/>
      </c>
      <c r="BD284" s="80">
        <f>IF(AND(Y284=1,BC284=""),1,0)</f>
        <v>0</v>
      </c>
      <c r="BE284" s="80">
        <f>IF(AND(BD284=1,AU284=1),1,0)</f>
        <v>0</v>
      </c>
      <c r="BF284" s="80" t="str">
        <f>IF(AND(D284="proMX",BD284=1),IF(R284="","Draft",R284),"")</f>
        <v/>
      </c>
      <c r="BG284" s="80">
        <f>IF(BD284=1,ROUND(AG284/60,6),0)</f>
        <v>0</v>
      </c>
      <c r="BH284" s="80">
        <f>IF(BE284=1,ROUND(AG284/60,6),0)</f>
        <v>0</v>
      </c>
      <c r="BI284" s="80">
        <f>IF(BE284=1,ROUND(AP284/60,6),0)</f>
        <v>0</v>
      </c>
      <c r="BJ284" s="80">
        <f>IF(BE284=1,ROUND(AQ284/60,6),0)</f>
        <v>0</v>
      </c>
      <c r="BK284" s="80">
        <f>IF(BE284=1,ROUND((AR284+AS284)/60,6),0)</f>
        <v>0</v>
      </c>
      <c r="BL284" s="80">
        <f>ROUND(BH284-BK284,6)</f>
        <v>0</v>
      </c>
      <c r="BM284" s="80">
        <f>IF(BE284=1,ROUND(AR284/60,6),0)</f>
        <v>0</v>
      </c>
      <c r="BN284" s="80">
        <f>ROUND(BI284-BM284,6)</f>
        <v>0</v>
      </c>
      <c r="BO284" s="80">
        <f>IF(BE284=1,ROUND(AS284/60,6),0)</f>
        <v>0</v>
      </c>
      <c r="BP284" s="80">
        <f>ROUND(BJ284-BO284,6)</f>
        <v>0</v>
      </c>
      <c r="BQ284" s="80">
        <f>IF(BE284=1,AW284,0)</f>
        <v>0</v>
      </c>
      <c r="BR284" s="80">
        <f>IF(BE284=1,AX284,0)</f>
        <v>0</v>
      </c>
      <c r="BS284" s="80">
        <f>IF(AND(BE284=1,D284="Malcolm",BA284&gt;0),MIN(BH284,SUMPRODUCT((R_Emp="proMX")*(R_EN&gt;0)*((R_EN-(R_EN&gt;BR284)*(R_EN-BR284))&gt;(R_SN+(R_SN&lt;BQ284)*(BQ284-R_SN)))*((R_EN-(R_EN&gt;BR284)*(R_EN-BR284))-(R_SN+(R_SN&lt;BQ284)*(BQ284-R_SN))))/60),0)</f>
        <v>0</v>
      </c>
      <c r="BT284" s="80">
        <f>IF(AND(BE284=1,D284="proMX"),ROUND(BI284*CFG_RATE+BJ284*CFG_OTRATE,6),0)</f>
        <v>0</v>
      </c>
      <c r="BU284" s="80">
        <f>IF(AND(BD284=1,D284="proMX"),ROUND(AG284/CFG_BLK,6),0)</f>
        <v>0</v>
      </c>
      <c r="BV284" s="80" t="str">
        <f>IF(BF284="Approved",IF(ISNUMBER(T284),INT(T284),INT(B284)),"")</f>
        <v/>
      </c>
      <c r="BW284" s="80">
        <f>IF(ISNUMBER(B284),IF(DB_MON="Todos",1,IF(AND(INT(B284)&gt;=DB_MS,INT(B284)&lt;=DB_ME),1,0)),0)</f>
        <v>0</v>
      </c>
      <c r="BX284" s="80">
        <f>IF(DB_PROJ="Todos",1,IF(E284&amp;""=DB_PROJ&amp;"",1,0))</f>
        <v>1</v>
      </c>
      <c r="BY284" s="80">
        <f>BW284*BX284</f>
        <v>0</v>
      </c>
      <c r="BZ284" s="80" t="str">
        <f>IF(Y284=1,F284&amp;IF(AND(F284&amp;""&lt;&gt;"",E284&amp;""&lt;&gt;"")," · ","")&amp;E284,"")</f>
        <v/>
      </c>
      <c r="CA284" s="80" t="str">
        <f>IF(AND(BD284=1,E284&amp;""&lt;&gt;""),IF(COUNTIFS($E$5:E283,E284,$BD$5:BD283,1)=0,MAX($CA$5:CA283)+1,""),"")</f>
        <v/>
      </c>
      <c r="CB284" s="80" t="str">
        <f>IF(AND(BE284=1,D284="Malcolm",E284&amp;""&lt;&gt;""),IF(COUNTIFS($D$5:D283,"Malcolm",$E$5:E283,E284,$BE$5:BE283,1)=0,MAX($CB$5:CB283)+1,""),"")</f>
        <v/>
      </c>
      <c r="CC284" s="80" t="str">
        <f>IF(AND(BD284=1,D284="proMX",E284&amp;""&lt;&gt;""),IF(COUNTIFS($D$5:D283,"proMX",$E$5:E283,E284,$BD$5:BD283,1)=0,MAX($CC$5:CC283)+1,""),"")</f>
        <v/>
      </c>
      <c r="CD284" s="80" t="str">
        <f>IF(AND(BE284=1,D284="Malcolm",F284&amp;""&lt;&gt;""),IF(COUNTIFS($D$5:D283,"Malcolm",$F$5:F283,F284,$BE$5:BE283,1)=0,MAX($CD$5:CD283)+1,""),"")</f>
        <v/>
      </c>
      <c r="CE284" s="80" t="str">
        <f>IF(AND(BD284=1,D284="proMX",F284&amp;""&lt;&gt;""),IF(COUNTIFS($D$5:D283,"proMX",$F$5:F283,F284,$BD$5:BD283,1)=0,MAX($CE$5:CE283)+1,""),"")</f>
        <v/>
      </c>
      <c r="CF284" s="80" t="str">
        <f>IF(AND(D284="proMX",BD284=1),IF(OR(BF284="Draft",BF284="Submitted",BF284="Returned",BF284="Recall Requested"),MAX($CF$5:CF283)+1,""),"")</f>
        <v/>
      </c>
      <c r="CG284" s="80">
        <f>IF(BD284=0,0,IF(D284="Malcolm",1,MATCH(BF284,{"Draft","Submitted","Approved","Returned","Recall Requested","Cancelled"},0)+1))</f>
        <v>0</v>
      </c>
      <c r="CH284" s="80">
        <f>IF(AND(BF284="Submitted",ISNUMBER(V284)),IF(V284&gt;CFG_MAXD,1,0),0)</f>
        <v>0</v>
      </c>
    </row>
    <row r="285">
      <c r="A285" s="71" t="str">
        <f>IF(Y285=1,ROW()-5,"")</f>
        <v/>
      </c>
      <c r="B285" s="72" t="n"/>
      <c r="C285" s="71" t="str">
        <f>IF(ISNUMBER(B285),CHOOSE(WEEKDAY(B285,2),"Lun","Mar","Mié","Jue","Vie","Sáb","Dom"),"")</f>
        <v/>
      </c>
      <c r="D285" s="73" t="n"/>
      <c r="E285" s="74" t="n"/>
      <c r="F285" s="74" t="n"/>
      <c r="G285" s="74" t="n"/>
      <c r="H285" s="75" t="n"/>
      <c r="I285" s="75" t="n"/>
      <c r="J285" s="76" t="n"/>
      <c r="K285" s="77" t="str">
        <f>IF(AB285=1,ROUND(AG285/60,4),"")</f>
        <v/>
      </c>
      <c r="L285" s="77" t="str">
        <f>IF(BD285=1,ROUND(AP285/60,4),"")</f>
        <v/>
      </c>
      <c r="M285" s="77" t="str">
        <f>IF(BD285=1,ROUND(AQ285/60,4),"")</f>
        <v/>
      </c>
      <c r="N285" s="71" t="str">
        <f>IF(AND(D285="proMX",AB285=1),ROUND(AG285/CFG_BLK,2),"")</f>
        <v/>
      </c>
      <c r="O285" s="77" t="str">
        <f>IF(D285="proMX",IF(BD285=1,ROUND(AG285/60,4),0),"")</f>
        <v/>
      </c>
      <c r="P285" s="78" t="str">
        <f>IF(Y285=0,"",IF(BD285=1,"OK",IF(D285="proMX","Revisar bloques: ","Revisar: ")&amp;BC285))</f>
        <v/>
      </c>
      <c r="Q285" s="78" t="str">
        <f>IF(NOT(ISNUMBER(B285)),"",IF(COUNTIFS(FER_F,INT(B285))&gt;0,"Feriado"&amp;IF(AH285=1," (laborable)"," (no laborable)"),IF(AH285=1,"Laborable",IF(WEEKDAY(B285,2)&gt;5,"Fin de semana","No laborable"))))</f>
        <v/>
      </c>
      <c r="R285" s="73" t="n"/>
      <c r="S285" s="72" t="n"/>
      <c r="T285" s="72" t="n"/>
      <c r="U285" s="74" t="n"/>
      <c r="V285" s="79" t="str">
        <f>IF(AND(D285="proMX",OR(R285="Submitted",R285="Recall Requested"),ISNUMBER(S285)),CFG_TODAY-INT(S285),"")</f>
        <v/>
      </c>
      <c r="W285" s="78" t="str">
        <f>IF(BD285=0,"",IF(BA285&gt;0,"⚠ Se superpone con un registro de la otra empresa",IF(D285="Malcolm",IF(COUNTA(R285,S285,T285)&gt;0,"Estado/fechas proMX se ignoran en Malcolm",""),IF(BF285="Cancelled","Cancelado: excluido de totales",IF(R285="","Sin estado: se trata como Draft",IF(BF285="Submitted",IF(ISNUMBER(V285),IF(V285&gt;CFG_MAXD,"⚠ "&amp;V285&amp;" días en Submitted (máx. "&amp;CFG_MAXD&amp;")",""),"Falta fecha de envío"),IF(BF285="Returned","⚠ Devuelto: corregir y reenviar",IF(BF285="Recall Requested","Retirada solicitada: pendiente",IF(AND(BF285="Approved",NOT(ISNUMBER(T285))),"Falta fecha de aprobación",IF(AND(ISNUMBER(S285),ISNUMBER(T285),T285&lt;S285),"Aprobación anterior al envío","")))))))))</f>
        <v/>
      </c>
      <c r="Y285" s="80">
        <f>IF(COUNTA(B285,D285,E285,F285,G285,H285,I285,J285,R285,S285,T285)&gt;0,1,0)</f>
        <v>0</v>
      </c>
      <c r="Z285" s="80" t="str">
        <f>IF(AND(ISNUMBER(H285),H285&gt;=0,H285&lt;1),ROUND(H285*1440,0),"")</f>
        <v/>
      </c>
      <c r="AA285" s="80" t="str">
        <f>IF(AND(ISNUMBER(I285),I285&gt;=0,I285&lt;1),ROUND(I285*1440,0),"")</f>
        <v/>
      </c>
      <c r="AB285" s="80">
        <f>IF(AND(ISNUMBER(B285),D285&lt;&gt;"",ISNUMBER(Z285),ISNUMBER(AA285)),IF(Z285=AA285,0,1),0)</f>
        <v>0</v>
      </c>
      <c r="AC285" s="80">
        <f>IF(AB285=1,IF(AA285&lt;Z285,1,0),0)</f>
        <v>0</v>
      </c>
      <c r="AD285" s="80">
        <f>IF(AB285=1,IF(AC285=1,1440-Z285+AA285,AA285-Z285),0)</f>
        <v>0</v>
      </c>
      <c r="AE285" s="80">
        <f>IF(J285="",0,IF(ISNUMBER(J285),J285,-1))</f>
        <v>0</v>
      </c>
      <c r="AF285" s="80">
        <f>MIN(MAX(0,AE285),AD285)</f>
        <v>0</v>
      </c>
      <c r="AG285" s="80">
        <f>MAX(0,AD285-MAX(0,AE285))</f>
        <v>0</v>
      </c>
      <c r="AH285" s="80">
        <f>IF(ISNUMBER(B285),IF(AND(INDEX(CFG_WDAYS,WEEKDAY(INT(B285),2))="Sí",IF(D285="proMX",COUNTIFS(FER_F,INT(B285),FER_NLP,"Sí"),COUNTIFS(FER_F,INT(B285),FER_NLM,"Sí"))=0),1,0),0)</f>
        <v>0</v>
      </c>
      <c r="AI285" s="80">
        <f>IF(AC285=1,IF(AND(INDEX(CFG_WDAYS,WEEKDAY(INT(B285)+1,2))="Sí",IF(D285="proMX",COUNTIFS(FER_F,INT(B285)+1,FER_NLP,"Sí"),COUNTIFS(FER_F,INT(B285)+1,FER_NLM,"Sí"))=0),1,0),0)</f>
        <v>0</v>
      </c>
      <c r="AJ285" s="80">
        <f>IF(AC285=1,1440-Z285,AD285)</f>
        <v>0</v>
      </c>
      <c r="AK285" s="80">
        <f>IF(AND(AB285=1,AH285=1),MAX(0,MIN(IF(AC285=1,1440,AA285),CFG_WEM)-MAX(Z285,CFG_WSM)),0)</f>
        <v>0</v>
      </c>
      <c r="AL285" s="80">
        <f>IF(AND(AC285=1,AI285=1),MAX(0,MIN(AA285,CFG_WEM)-CFG_WSM),0)</f>
        <v>0</v>
      </c>
      <c r="AM285" s="80">
        <f>AK285+AL285</f>
        <v>0</v>
      </c>
      <c r="AN285" s="80">
        <f>IF(CFG_BRK="Proporcional",IF(AD285=0,0,AF285*AM285/AD285),IF(CFG_BRK="Extras primero",MIN(AM285,MAX(0,AF285-(AD285-AM285))),MIN(AF285,AM285)))</f>
        <v>0</v>
      </c>
      <c r="AO285" s="80">
        <f>AF285-AN285</f>
        <v>0</v>
      </c>
      <c r="AP285" s="80">
        <f>AM285-AN285</f>
        <v>0</v>
      </c>
      <c r="AQ285" s="80">
        <f>AD285-AM285-AO285</f>
        <v>0</v>
      </c>
      <c r="AR285" s="80">
        <f>IF(AM285=0,0,AK285-AN285*AK285/AM285)</f>
        <v>0</v>
      </c>
      <c r="AS285" s="80">
        <f>IF(AD285-AM285=0,0,(AJ285-AK285)-AO285*(AJ285-AK285)/(AD285-AM285))</f>
        <v>0</v>
      </c>
      <c r="AT285" s="80" t="str">
        <f>IF(AC285=1,INT(B285)+1,"")</f>
        <v/>
      </c>
      <c r="AU285" s="80">
        <f>IF(AND(D285="proMX",R285="Cancelled"),0,1)</f>
        <v>1</v>
      </c>
      <c r="AV285" s="80">
        <f>IF(AND(AB285=1,AU285=1),IF(COUNTIFS($D$5:D284,D285,$B$5:B284,B285,$Z$5:Z284,Z285,$AA$5:AA284,AA285,$F$5:F284,F285&amp;"",$AU$5:AU284,1)&gt;0,1,0),0)</f>
        <v>0</v>
      </c>
      <c r="AW285" s="80" t="str">
        <f>IF(AB285=1,INT(B285)*1440+Z285,"")</f>
        <v/>
      </c>
      <c r="AX285" s="80" t="str">
        <f>IF(AB285=1,AW285+AD285,"")</f>
        <v/>
      </c>
      <c r="AY285" s="80">
        <f>IF(AND(AB285=1,AV285=0,AU285=1),1,0)</f>
        <v>0</v>
      </c>
      <c r="AZ285" s="80">
        <f>IF(AY285=1,COUNTIFS(R_Emp,D285,R_SAbs,"&lt;"&amp;AX285,R_EAbs,"&gt;"&amp;AW285,R_OKey,1)-1,0)</f>
        <v>0</v>
      </c>
      <c r="BA285" s="80">
        <f>IF(AY285=1,COUNTIFS(R_Emp,"&lt;&gt;"&amp;D285,R_SAbs,"&lt;"&amp;AX285,R_EAbs,"&gt;"&amp;AW285,R_OKey,1),0)</f>
        <v>0</v>
      </c>
      <c r="BB285" s="80">
        <f>IF(AND(AB285=1,D285="proMX"),IF(AND(MOD(Z285,CFG_BLK)=0,MOD(AA285,CFG_BLK)=0,MOD(AG285,CFG_BLK)=0,AG285&gt;0),1,0),1)</f>
        <v>1</v>
      </c>
      <c r="BC285" s="80" t="str">
        <f>IF(Y285=0,"",IF(NOT(ISNUMBER(B285)),"Falta fecha o fecha inválida",IF(D285="","Falta empresa",IF(AND(D285&lt;&gt;"Malcolm",D285&lt;&gt;"proMX"),"Empresa inválida",IF(OR(INT(B285)&lt;CFG_PSTART,INT(B285)&gt;CFG_PEND),"Fecha fuera del período",IF(OR(NOT(ISNUMBER(Z285)),NOT(ISNUMBER(AA285))),"Falta hora inicio/fin o formato inválido",IF(AB285=0,"Hora inicio = hora fin",IF(AE285&lt;0,"Descanso inválido",IF(AE285&gt;=AD285,"Descanso ≥ duración",IF(AV285=1,"Registro duplicado",IF(AZ285&gt;0,"Se superpone con otro registro "&amp;D285,IF(BB285=0,"inicio, fin y duración neta deben ser múltiplos de "&amp;CFG_BLK&amp;" min",""))))))))))))</f>
        <v/>
      </c>
      <c r="BD285" s="80">
        <f>IF(AND(Y285=1,BC285=""),1,0)</f>
        <v>0</v>
      </c>
      <c r="BE285" s="80">
        <f>IF(AND(BD285=1,AU285=1),1,0)</f>
        <v>0</v>
      </c>
      <c r="BF285" s="80" t="str">
        <f>IF(AND(D285="proMX",BD285=1),IF(R285="","Draft",R285),"")</f>
        <v/>
      </c>
      <c r="BG285" s="80">
        <f>IF(BD285=1,ROUND(AG285/60,6),0)</f>
        <v>0</v>
      </c>
      <c r="BH285" s="80">
        <f>IF(BE285=1,ROUND(AG285/60,6),0)</f>
        <v>0</v>
      </c>
      <c r="BI285" s="80">
        <f>IF(BE285=1,ROUND(AP285/60,6),0)</f>
        <v>0</v>
      </c>
      <c r="BJ285" s="80">
        <f>IF(BE285=1,ROUND(AQ285/60,6),0)</f>
        <v>0</v>
      </c>
      <c r="BK285" s="80">
        <f>IF(BE285=1,ROUND((AR285+AS285)/60,6),0)</f>
        <v>0</v>
      </c>
      <c r="BL285" s="80">
        <f>ROUND(BH285-BK285,6)</f>
        <v>0</v>
      </c>
      <c r="BM285" s="80">
        <f>IF(BE285=1,ROUND(AR285/60,6),0)</f>
        <v>0</v>
      </c>
      <c r="BN285" s="80">
        <f>ROUND(BI285-BM285,6)</f>
        <v>0</v>
      </c>
      <c r="BO285" s="80">
        <f>IF(BE285=1,ROUND(AS285/60,6),0)</f>
        <v>0</v>
      </c>
      <c r="BP285" s="80">
        <f>ROUND(BJ285-BO285,6)</f>
        <v>0</v>
      </c>
      <c r="BQ285" s="80">
        <f>IF(BE285=1,AW285,0)</f>
        <v>0</v>
      </c>
      <c r="BR285" s="80">
        <f>IF(BE285=1,AX285,0)</f>
        <v>0</v>
      </c>
      <c r="BS285" s="80">
        <f>IF(AND(BE285=1,D285="Malcolm",BA285&gt;0),MIN(BH285,SUMPRODUCT((R_Emp="proMX")*(R_EN&gt;0)*((R_EN-(R_EN&gt;BR285)*(R_EN-BR285))&gt;(R_SN+(R_SN&lt;BQ285)*(BQ285-R_SN)))*((R_EN-(R_EN&gt;BR285)*(R_EN-BR285))-(R_SN+(R_SN&lt;BQ285)*(BQ285-R_SN))))/60),0)</f>
        <v>0</v>
      </c>
      <c r="BT285" s="80">
        <f>IF(AND(BE285=1,D285="proMX"),ROUND(BI285*CFG_RATE+BJ285*CFG_OTRATE,6),0)</f>
        <v>0</v>
      </c>
      <c r="BU285" s="80">
        <f>IF(AND(BD285=1,D285="proMX"),ROUND(AG285/CFG_BLK,6),0)</f>
        <v>0</v>
      </c>
      <c r="BV285" s="80" t="str">
        <f>IF(BF285="Approved",IF(ISNUMBER(T285),INT(T285),INT(B285)),"")</f>
        <v/>
      </c>
      <c r="BW285" s="80">
        <f>IF(ISNUMBER(B285),IF(DB_MON="Todos",1,IF(AND(INT(B285)&gt;=DB_MS,INT(B285)&lt;=DB_ME),1,0)),0)</f>
        <v>0</v>
      </c>
      <c r="BX285" s="80">
        <f>IF(DB_PROJ="Todos",1,IF(E285&amp;""=DB_PROJ&amp;"",1,0))</f>
        <v>1</v>
      </c>
      <c r="BY285" s="80">
        <f>BW285*BX285</f>
        <v>0</v>
      </c>
      <c r="BZ285" s="80" t="str">
        <f>IF(Y285=1,F285&amp;IF(AND(F285&amp;""&lt;&gt;"",E285&amp;""&lt;&gt;"")," · ","")&amp;E285,"")</f>
        <v/>
      </c>
      <c r="CA285" s="80" t="str">
        <f>IF(AND(BD285=1,E285&amp;""&lt;&gt;""),IF(COUNTIFS($E$5:E284,E285,$BD$5:BD284,1)=0,MAX($CA$5:CA284)+1,""),"")</f>
        <v/>
      </c>
      <c r="CB285" s="80" t="str">
        <f>IF(AND(BE285=1,D285="Malcolm",E285&amp;""&lt;&gt;""),IF(COUNTIFS($D$5:D284,"Malcolm",$E$5:E284,E285,$BE$5:BE284,1)=0,MAX($CB$5:CB284)+1,""),"")</f>
        <v/>
      </c>
      <c r="CC285" s="80" t="str">
        <f>IF(AND(BD285=1,D285="proMX",E285&amp;""&lt;&gt;""),IF(COUNTIFS($D$5:D284,"proMX",$E$5:E284,E285,$BD$5:BD284,1)=0,MAX($CC$5:CC284)+1,""),"")</f>
        <v/>
      </c>
      <c r="CD285" s="80" t="str">
        <f>IF(AND(BE285=1,D285="Malcolm",F285&amp;""&lt;&gt;""),IF(COUNTIFS($D$5:D284,"Malcolm",$F$5:F284,F285,$BE$5:BE284,1)=0,MAX($CD$5:CD284)+1,""),"")</f>
        <v/>
      </c>
      <c r="CE285" s="80" t="str">
        <f>IF(AND(BD285=1,D285="proMX",F285&amp;""&lt;&gt;""),IF(COUNTIFS($D$5:D284,"proMX",$F$5:F284,F285,$BD$5:BD284,1)=0,MAX($CE$5:CE284)+1,""),"")</f>
        <v/>
      </c>
      <c r="CF285" s="80" t="str">
        <f>IF(AND(D285="proMX",BD285=1),IF(OR(BF285="Draft",BF285="Submitted",BF285="Returned",BF285="Recall Requested"),MAX($CF$5:CF284)+1,""),"")</f>
        <v/>
      </c>
      <c r="CG285" s="80">
        <f>IF(BD285=0,0,IF(D285="Malcolm",1,MATCH(BF285,{"Draft","Submitted","Approved","Returned","Recall Requested","Cancelled"},0)+1))</f>
        <v>0</v>
      </c>
      <c r="CH285" s="80">
        <f>IF(AND(BF285="Submitted",ISNUMBER(V285)),IF(V285&gt;CFG_MAXD,1,0),0)</f>
        <v>0</v>
      </c>
    </row>
    <row r="286">
      <c r="A286" s="71" t="str">
        <f>IF(Y286=1,ROW()-5,"")</f>
        <v/>
      </c>
      <c r="B286" s="72" t="n"/>
      <c r="C286" s="71" t="str">
        <f>IF(ISNUMBER(B286),CHOOSE(WEEKDAY(B286,2),"Lun","Mar","Mié","Jue","Vie","Sáb","Dom"),"")</f>
        <v/>
      </c>
      <c r="D286" s="73" t="n"/>
      <c r="E286" s="74" t="n"/>
      <c r="F286" s="74" t="n"/>
      <c r="G286" s="74" t="n"/>
      <c r="H286" s="75" t="n"/>
      <c r="I286" s="75" t="n"/>
      <c r="J286" s="76" t="n"/>
      <c r="K286" s="77" t="str">
        <f>IF(AB286=1,ROUND(AG286/60,4),"")</f>
        <v/>
      </c>
      <c r="L286" s="77" t="str">
        <f>IF(BD286=1,ROUND(AP286/60,4),"")</f>
        <v/>
      </c>
      <c r="M286" s="77" t="str">
        <f>IF(BD286=1,ROUND(AQ286/60,4),"")</f>
        <v/>
      </c>
      <c r="N286" s="71" t="str">
        <f>IF(AND(D286="proMX",AB286=1),ROUND(AG286/CFG_BLK,2),"")</f>
        <v/>
      </c>
      <c r="O286" s="77" t="str">
        <f>IF(D286="proMX",IF(BD286=1,ROUND(AG286/60,4),0),"")</f>
        <v/>
      </c>
      <c r="P286" s="78" t="str">
        <f>IF(Y286=0,"",IF(BD286=1,"OK",IF(D286="proMX","Revisar bloques: ","Revisar: ")&amp;BC286))</f>
        <v/>
      </c>
      <c r="Q286" s="78" t="str">
        <f>IF(NOT(ISNUMBER(B286)),"",IF(COUNTIFS(FER_F,INT(B286))&gt;0,"Feriado"&amp;IF(AH286=1," (laborable)"," (no laborable)"),IF(AH286=1,"Laborable",IF(WEEKDAY(B286,2)&gt;5,"Fin de semana","No laborable"))))</f>
        <v/>
      </c>
      <c r="R286" s="73" t="n"/>
      <c r="S286" s="72" t="n"/>
      <c r="T286" s="72" t="n"/>
      <c r="U286" s="74" t="n"/>
      <c r="V286" s="79" t="str">
        <f>IF(AND(D286="proMX",OR(R286="Submitted",R286="Recall Requested"),ISNUMBER(S286)),CFG_TODAY-INT(S286),"")</f>
        <v/>
      </c>
      <c r="W286" s="78" t="str">
        <f>IF(BD286=0,"",IF(BA286&gt;0,"⚠ Se superpone con un registro de la otra empresa",IF(D286="Malcolm",IF(COUNTA(R286,S286,T286)&gt;0,"Estado/fechas proMX se ignoran en Malcolm",""),IF(BF286="Cancelled","Cancelado: excluido de totales",IF(R286="","Sin estado: se trata como Draft",IF(BF286="Submitted",IF(ISNUMBER(V286),IF(V286&gt;CFG_MAXD,"⚠ "&amp;V286&amp;" días en Submitted (máx. "&amp;CFG_MAXD&amp;")",""),"Falta fecha de envío"),IF(BF286="Returned","⚠ Devuelto: corregir y reenviar",IF(BF286="Recall Requested","Retirada solicitada: pendiente",IF(AND(BF286="Approved",NOT(ISNUMBER(T286))),"Falta fecha de aprobación",IF(AND(ISNUMBER(S286),ISNUMBER(T286),T286&lt;S286),"Aprobación anterior al envío","")))))))))</f>
        <v/>
      </c>
      <c r="Y286" s="80">
        <f>IF(COUNTA(B286,D286,E286,F286,G286,H286,I286,J286,R286,S286,T286)&gt;0,1,0)</f>
        <v>0</v>
      </c>
      <c r="Z286" s="80" t="str">
        <f>IF(AND(ISNUMBER(H286),H286&gt;=0,H286&lt;1),ROUND(H286*1440,0),"")</f>
        <v/>
      </c>
      <c r="AA286" s="80" t="str">
        <f>IF(AND(ISNUMBER(I286),I286&gt;=0,I286&lt;1),ROUND(I286*1440,0),"")</f>
        <v/>
      </c>
      <c r="AB286" s="80">
        <f>IF(AND(ISNUMBER(B286),D286&lt;&gt;"",ISNUMBER(Z286),ISNUMBER(AA286)),IF(Z286=AA286,0,1),0)</f>
        <v>0</v>
      </c>
      <c r="AC286" s="80">
        <f>IF(AB286=1,IF(AA286&lt;Z286,1,0),0)</f>
        <v>0</v>
      </c>
      <c r="AD286" s="80">
        <f>IF(AB286=1,IF(AC286=1,1440-Z286+AA286,AA286-Z286),0)</f>
        <v>0</v>
      </c>
      <c r="AE286" s="80">
        <f>IF(J286="",0,IF(ISNUMBER(J286),J286,-1))</f>
        <v>0</v>
      </c>
      <c r="AF286" s="80">
        <f>MIN(MAX(0,AE286),AD286)</f>
        <v>0</v>
      </c>
      <c r="AG286" s="80">
        <f>MAX(0,AD286-MAX(0,AE286))</f>
        <v>0</v>
      </c>
      <c r="AH286" s="80">
        <f>IF(ISNUMBER(B286),IF(AND(INDEX(CFG_WDAYS,WEEKDAY(INT(B286),2))="Sí",IF(D286="proMX",COUNTIFS(FER_F,INT(B286),FER_NLP,"Sí"),COUNTIFS(FER_F,INT(B286),FER_NLM,"Sí"))=0),1,0),0)</f>
        <v>0</v>
      </c>
      <c r="AI286" s="80">
        <f>IF(AC286=1,IF(AND(INDEX(CFG_WDAYS,WEEKDAY(INT(B286)+1,2))="Sí",IF(D286="proMX",COUNTIFS(FER_F,INT(B286)+1,FER_NLP,"Sí"),COUNTIFS(FER_F,INT(B286)+1,FER_NLM,"Sí"))=0),1,0),0)</f>
        <v>0</v>
      </c>
      <c r="AJ286" s="80">
        <f>IF(AC286=1,1440-Z286,AD286)</f>
        <v>0</v>
      </c>
      <c r="AK286" s="80">
        <f>IF(AND(AB286=1,AH286=1),MAX(0,MIN(IF(AC286=1,1440,AA286),CFG_WEM)-MAX(Z286,CFG_WSM)),0)</f>
        <v>0</v>
      </c>
      <c r="AL286" s="80">
        <f>IF(AND(AC286=1,AI286=1),MAX(0,MIN(AA286,CFG_WEM)-CFG_WSM),0)</f>
        <v>0</v>
      </c>
      <c r="AM286" s="80">
        <f>AK286+AL286</f>
        <v>0</v>
      </c>
      <c r="AN286" s="80">
        <f>IF(CFG_BRK="Proporcional",IF(AD286=0,0,AF286*AM286/AD286),IF(CFG_BRK="Extras primero",MIN(AM286,MAX(0,AF286-(AD286-AM286))),MIN(AF286,AM286)))</f>
        <v>0</v>
      </c>
      <c r="AO286" s="80">
        <f>AF286-AN286</f>
        <v>0</v>
      </c>
      <c r="AP286" s="80">
        <f>AM286-AN286</f>
        <v>0</v>
      </c>
      <c r="AQ286" s="80">
        <f>AD286-AM286-AO286</f>
        <v>0</v>
      </c>
      <c r="AR286" s="80">
        <f>IF(AM286=0,0,AK286-AN286*AK286/AM286)</f>
        <v>0</v>
      </c>
      <c r="AS286" s="80">
        <f>IF(AD286-AM286=0,0,(AJ286-AK286)-AO286*(AJ286-AK286)/(AD286-AM286))</f>
        <v>0</v>
      </c>
      <c r="AT286" s="80" t="str">
        <f>IF(AC286=1,INT(B286)+1,"")</f>
        <v/>
      </c>
      <c r="AU286" s="80">
        <f>IF(AND(D286="proMX",R286="Cancelled"),0,1)</f>
        <v>1</v>
      </c>
      <c r="AV286" s="80">
        <f>IF(AND(AB286=1,AU286=1),IF(COUNTIFS($D$5:D285,D286,$B$5:B285,B286,$Z$5:Z285,Z286,$AA$5:AA285,AA286,$F$5:F285,F286&amp;"",$AU$5:AU285,1)&gt;0,1,0),0)</f>
        <v>0</v>
      </c>
      <c r="AW286" s="80" t="str">
        <f>IF(AB286=1,INT(B286)*1440+Z286,"")</f>
        <v/>
      </c>
      <c r="AX286" s="80" t="str">
        <f>IF(AB286=1,AW286+AD286,"")</f>
        <v/>
      </c>
      <c r="AY286" s="80">
        <f>IF(AND(AB286=1,AV286=0,AU286=1),1,0)</f>
        <v>0</v>
      </c>
      <c r="AZ286" s="80">
        <f>IF(AY286=1,COUNTIFS(R_Emp,D286,R_SAbs,"&lt;"&amp;AX286,R_EAbs,"&gt;"&amp;AW286,R_OKey,1)-1,0)</f>
        <v>0</v>
      </c>
      <c r="BA286" s="80">
        <f>IF(AY286=1,COUNTIFS(R_Emp,"&lt;&gt;"&amp;D286,R_SAbs,"&lt;"&amp;AX286,R_EAbs,"&gt;"&amp;AW286,R_OKey,1),0)</f>
        <v>0</v>
      </c>
      <c r="BB286" s="80">
        <f>IF(AND(AB286=1,D286="proMX"),IF(AND(MOD(Z286,CFG_BLK)=0,MOD(AA286,CFG_BLK)=0,MOD(AG286,CFG_BLK)=0,AG286&gt;0),1,0),1)</f>
        <v>1</v>
      </c>
      <c r="BC286" s="80" t="str">
        <f>IF(Y286=0,"",IF(NOT(ISNUMBER(B286)),"Falta fecha o fecha inválida",IF(D286="","Falta empresa",IF(AND(D286&lt;&gt;"Malcolm",D286&lt;&gt;"proMX"),"Empresa inválida",IF(OR(INT(B286)&lt;CFG_PSTART,INT(B286)&gt;CFG_PEND),"Fecha fuera del período",IF(OR(NOT(ISNUMBER(Z286)),NOT(ISNUMBER(AA286))),"Falta hora inicio/fin o formato inválido",IF(AB286=0,"Hora inicio = hora fin",IF(AE286&lt;0,"Descanso inválido",IF(AE286&gt;=AD286,"Descanso ≥ duración",IF(AV286=1,"Registro duplicado",IF(AZ286&gt;0,"Se superpone con otro registro "&amp;D286,IF(BB286=0,"inicio, fin y duración neta deben ser múltiplos de "&amp;CFG_BLK&amp;" min",""))))))))))))</f>
        <v/>
      </c>
      <c r="BD286" s="80">
        <f>IF(AND(Y286=1,BC286=""),1,0)</f>
        <v>0</v>
      </c>
      <c r="BE286" s="80">
        <f>IF(AND(BD286=1,AU286=1),1,0)</f>
        <v>0</v>
      </c>
      <c r="BF286" s="80" t="str">
        <f>IF(AND(D286="proMX",BD286=1),IF(R286="","Draft",R286),"")</f>
        <v/>
      </c>
      <c r="BG286" s="80">
        <f>IF(BD286=1,ROUND(AG286/60,6),0)</f>
        <v>0</v>
      </c>
      <c r="BH286" s="80">
        <f>IF(BE286=1,ROUND(AG286/60,6),0)</f>
        <v>0</v>
      </c>
      <c r="BI286" s="80">
        <f>IF(BE286=1,ROUND(AP286/60,6),0)</f>
        <v>0</v>
      </c>
      <c r="BJ286" s="80">
        <f>IF(BE286=1,ROUND(AQ286/60,6),0)</f>
        <v>0</v>
      </c>
      <c r="BK286" s="80">
        <f>IF(BE286=1,ROUND((AR286+AS286)/60,6),0)</f>
        <v>0</v>
      </c>
      <c r="BL286" s="80">
        <f>ROUND(BH286-BK286,6)</f>
        <v>0</v>
      </c>
      <c r="BM286" s="80">
        <f>IF(BE286=1,ROUND(AR286/60,6),0)</f>
        <v>0</v>
      </c>
      <c r="BN286" s="80">
        <f>ROUND(BI286-BM286,6)</f>
        <v>0</v>
      </c>
      <c r="BO286" s="80">
        <f>IF(BE286=1,ROUND(AS286/60,6),0)</f>
        <v>0</v>
      </c>
      <c r="BP286" s="80">
        <f>ROUND(BJ286-BO286,6)</f>
        <v>0</v>
      </c>
      <c r="BQ286" s="80">
        <f>IF(BE286=1,AW286,0)</f>
        <v>0</v>
      </c>
      <c r="BR286" s="80">
        <f>IF(BE286=1,AX286,0)</f>
        <v>0</v>
      </c>
      <c r="BS286" s="80">
        <f>IF(AND(BE286=1,D286="Malcolm",BA286&gt;0),MIN(BH286,SUMPRODUCT((R_Emp="proMX")*(R_EN&gt;0)*((R_EN-(R_EN&gt;BR286)*(R_EN-BR286))&gt;(R_SN+(R_SN&lt;BQ286)*(BQ286-R_SN)))*((R_EN-(R_EN&gt;BR286)*(R_EN-BR286))-(R_SN+(R_SN&lt;BQ286)*(BQ286-R_SN))))/60),0)</f>
        <v>0</v>
      </c>
      <c r="BT286" s="80">
        <f>IF(AND(BE286=1,D286="proMX"),ROUND(BI286*CFG_RATE+BJ286*CFG_OTRATE,6),0)</f>
        <v>0</v>
      </c>
      <c r="BU286" s="80">
        <f>IF(AND(BD286=1,D286="proMX"),ROUND(AG286/CFG_BLK,6),0)</f>
        <v>0</v>
      </c>
      <c r="BV286" s="80" t="str">
        <f>IF(BF286="Approved",IF(ISNUMBER(T286),INT(T286),INT(B286)),"")</f>
        <v/>
      </c>
      <c r="BW286" s="80">
        <f>IF(ISNUMBER(B286),IF(DB_MON="Todos",1,IF(AND(INT(B286)&gt;=DB_MS,INT(B286)&lt;=DB_ME),1,0)),0)</f>
        <v>0</v>
      </c>
      <c r="BX286" s="80">
        <f>IF(DB_PROJ="Todos",1,IF(E286&amp;""=DB_PROJ&amp;"",1,0))</f>
        <v>1</v>
      </c>
      <c r="BY286" s="80">
        <f>BW286*BX286</f>
        <v>0</v>
      </c>
      <c r="BZ286" s="80" t="str">
        <f>IF(Y286=1,F286&amp;IF(AND(F286&amp;""&lt;&gt;"",E286&amp;""&lt;&gt;"")," · ","")&amp;E286,"")</f>
        <v/>
      </c>
      <c r="CA286" s="80" t="str">
        <f>IF(AND(BD286=1,E286&amp;""&lt;&gt;""),IF(COUNTIFS($E$5:E285,E286,$BD$5:BD285,1)=0,MAX($CA$5:CA285)+1,""),"")</f>
        <v/>
      </c>
      <c r="CB286" s="80" t="str">
        <f>IF(AND(BE286=1,D286="Malcolm",E286&amp;""&lt;&gt;""),IF(COUNTIFS($D$5:D285,"Malcolm",$E$5:E285,E286,$BE$5:BE285,1)=0,MAX($CB$5:CB285)+1,""),"")</f>
        <v/>
      </c>
      <c r="CC286" s="80" t="str">
        <f>IF(AND(BD286=1,D286="proMX",E286&amp;""&lt;&gt;""),IF(COUNTIFS($D$5:D285,"proMX",$E$5:E285,E286,$BD$5:BD285,1)=0,MAX($CC$5:CC285)+1,""),"")</f>
        <v/>
      </c>
      <c r="CD286" s="80" t="str">
        <f>IF(AND(BE286=1,D286="Malcolm",F286&amp;""&lt;&gt;""),IF(COUNTIFS($D$5:D285,"Malcolm",$F$5:F285,F286,$BE$5:BE285,1)=0,MAX($CD$5:CD285)+1,""),"")</f>
        <v/>
      </c>
      <c r="CE286" s="80" t="str">
        <f>IF(AND(BD286=1,D286="proMX",F286&amp;""&lt;&gt;""),IF(COUNTIFS($D$5:D285,"proMX",$F$5:F285,F286,$BD$5:BD285,1)=0,MAX($CE$5:CE285)+1,""),"")</f>
        <v/>
      </c>
      <c r="CF286" s="80" t="str">
        <f>IF(AND(D286="proMX",BD286=1),IF(OR(BF286="Draft",BF286="Submitted",BF286="Returned",BF286="Recall Requested"),MAX($CF$5:CF285)+1,""),"")</f>
        <v/>
      </c>
      <c r="CG286" s="80">
        <f>IF(BD286=0,0,IF(D286="Malcolm",1,MATCH(BF286,{"Draft","Submitted","Approved","Returned","Recall Requested","Cancelled"},0)+1))</f>
        <v>0</v>
      </c>
      <c r="CH286" s="80">
        <f>IF(AND(BF286="Submitted",ISNUMBER(V286)),IF(V286&gt;CFG_MAXD,1,0),0)</f>
        <v>0</v>
      </c>
    </row>
    <row r="287">
      <c r="A287" s="71" t="str">
        <f>IF(Y287=1,ROW()-5,"")</f>
        <v/>
      </c>
      <c r="B287" s="72" t="n"/>
      <c r="C287" s="71" t="str">
        <f>IF(ISNUMBER(B287),CHOOSE(WEEKDAY(B287,2),"Lun","Mar","Mié","Jue","Vie","Sáb","Dom"),"")</f>
        <v/>
      </c>
      <c r="D287" s="73" t="n"/>
      <c r="E287" s="74" t="n"/>
      <c r="F287" s="74" t="n"/>
      <c r="G287" s="74" t="n"/>
      <c r="H287" s="75" t="n"/>
      <c r="I287" s="75" t="n"/>
      <c r="J287" s="76" t="n"/>
      <c r="K287" s="77" t="str">
        <f>IF(AB287=1,ROUND(AG287/60,4),"")</f>
        <v/>
      </c>
      <c r="L287" s="77" t="str">
        <f>IF(BD287=1,ROUND(AP287/60,4),"")</f>
        <v/>
      </c>
      <c r="M287" s="77" t="str">
        <f>IF(BD287=1,ROUND(AQ287/60,4),"")</f>
        <v/>
      </c>
      <c r="N287" s="71" t="str">
        <f>IF(AND(D287="proMX",AB287=1),ROUND(AG287/CFG_BLK,2),"")</f>
        <v/>
      </c>
      <c r="O287" s="77" t="str">
        <f>IF(D287="proMX",IF(BD287=1,ROUND(AG287/60,4),0),"")</f>
        <v/>
      </c>
      <c r="P287" s="78" t="str">
        <f>IF(Y287=0,"",IF(BD287=1,"OK",IF(D287="proMX","Revisar bloques: ","Revisar: ")&amp;BC287))</f>
        <v/>
      </c>
      <c r="Q287" s="78" t="str">
        <f>IF(NOT(ISNUMBER(B287)),"",IF(COUNTIFS(FER_F,INT(B287))&gt;0,"Feriado"&amp;IF(AH287=1," (laborable)"," (no laborable)"),IF(AH287=1,"Laborable",IF(WEEKDAY(B287,2)&gt;5,"Fin de semana","No laborable"))))</f>
        <v/>
      </c>
      <c r="R287" s="73" t="n"/>
      <c r="S287" s="72" t="n"/>
      <c r="T287" s="72" t="n"/>
      <c r="U287" s="74" t="n"/>
      <c r="V287" s="79" t="str">
        <f>IF(AND(D287="proMX",OR(R287="Submitted",R287="Recall Requested"),ISNUMBER(S287)),CFG_TODAY-INT(S287),"")</f>
        <v/>
      </c>
      <c r="W287" s="78" t="str">
        <f>IF(BD287=0,"",IF(BA287&gt;0,"⚠ Se superpone con un registro de la otra empresa",IF(D287="Malcolm",IF(COUNTA(R287,S287,T287)&gt;0,"Estado/fechas proMX se ignoran en Malcolm",""),IF(BF287="Cancelled","Cancelado: excluido de totales",IF(R287="","Sin estado: se trata como Draft",IF(BF287="Submitted",IF(ISNUMBER(V287),IF(V287&gt;CFG_MAXD,"⚠ "&amp;V287&amp;" días en Submitted (máx. "&amp;CFG_MAXD&amp;")",""),"Falta fecha de envío"),IF(BF287="Returned","⚠ Devuelto: corregir y reenviar",IF(BF287="Recall Requested","Retirada solicitada: pendiente",IF(AND(BF287="Approved",NOT(ISNUMBER(T287))),"Falta fecha de aprobación",IF(AND(ISNUMBER(S287),ISNUMBER(T287),T287&lt;S287),"Aprobación anterior al envío","")))))))))</f>
        <v/>
      </c>
      <c r="Y287" s="80">
        <f>IF(COUNTA(B287,D287,E287,F287,G287,H287,I287,J287,R287,S287,T287)&gt;0,1,0)</f>
        <v>0</v>
      </c>
      <c r="Z287" s="80" t="str">
        <f>IF(AND(ISNUMBER(H287),H287&gt;=0,H287&lt;1),ROUND(H287*1440,0),"")</f>
        <v/>
      </c>
      <c r="AA287" s="80" t="str">
        <f>IF(AND(ISNUMBER(I287),I287&gt;=0,I287&lt;1),ROUND(I287*1440,0),"")</f>
        <v/>
      </c>
      <c r="AB287" s="80">
        <f>IF(AND(ISNUMBER(B287),D287&lt;&gt;"",ISNUMBER(Z287),ISNUMBER(AA287)),IF(Z287=AA287,0,1),0)</f>
        <v>0</v>
      </c>
      <c r="AC287" s="80">
        <f>IF(AB287=1,IF(AA287&lt;Z287,1,0),0)</f>
        <v>0</v>
      </c>
      <c r="AD287" s="80">
        <f>IF(AB287=1,IF(AC287=1,1440-Z287+AA287,AA287-Z287),0)</f>
        <v>0</v>
      </c>
      <c r="AE287" s="80">
        <f>IF(J287="",0,IF(ISNUMBER(J287),J287,-1))</f>
        <v>0</v>
      </c>
      <c r="AF287" s="80">
        <f>MIN(MAX(0,AE287),AD287)</f>
        <v>0</v>
      </c>
      <c r="AG287" s="80">
        <f>MAX(0,AD287-MAX(0,AE287))</f>
        <v>0</v>
      </c>
      <c r="AH287" s="80">
        <f>IF(ISNUMBER(B287),IF(AND(INDEX(CFG_WDAYS,WEEKDAY(INT(B287),2))="Sí",IF(D287="proMX",COUNTIFS(FER_F,INT(B287),FER_NLP,"Sí"),COUNTIFS(FER_F,INT(B287),FER_NLM,"Sí"))=0),1,0),0)</f>
        <v>0</v>
      </c>
      <c r="AI287" s="80">
        <f>IF(AC287=1,IF(AND(INDEX(CFG_WDAYS,WEEKDAY(INT(B287)+1,2))="Sí",IF(D287="proMX",COUNTIFS(FER_F,INT(B287)+1,FER_NLP,"Sí"),COUNTIFS(FER_F,INT(B287)+1,FER_NLM,"Sí"))=0),1,0),0)</f>
        <v>0</v>
      </c>
      <c r="AJ287" s="80">
        <f>IF(AC287=1,1440-Z287,AD287)</f>
        <v>0</v>
      </c>
      <c r="AK287" s="80">
        <f>IF(AND(AB287=1,AH287=1),MAX(0,MIN(IF(AC287=1,1440,AA287),CFG_WEM)-MAX(Z287,CFG_WSM)),0)</f>
        <v>0</v>
      </c>
      <c r="AL287" s="80">
        <f>IF(AND(AC287=1,AI287=1),MAX(0,MIN(AA287,CFG_WEM)-CFG_WSM),0)</f>
        <v>0</v>
      </c>
      <c r="AM287" s="80">
        <f>AK287+AL287</f>
        <v>0</v>
      </c>
      <c r="AN287" s="80">
        <f>IF(CFG_BRK="Proporcional",IF(AD287=0,0,AF287*AM287/AD287),IF(CFG_BRK="Extras primero",MIN(AM287,MAX(0,AF287-(AD287-AM287))),MIN(AF287,AM287)))</f>
        <v>0</v>
      </c>
      <c r="AO287" s="80">
        <f>AF287-AN287</f>
        <v>0</v>
      </c>
      <c r="AP287" s="80">
        <f>AM287-AN287</f>
        <v>0</v>
      </c>
      <c r="AQ287" s="80">
        <f>AD287-AM287-AO287</f>
        <v>0</v>
      </c>
      <c r="AR287" s="80">
        <f>IF(AM287=0,0,AK287-AN287*AK287/AM287)</f>
        <v>0</v>
      </c>
      <c r="AS287" s="80">
        <f>IF(AD287-AM287=0,0,(AJ287-AK287)-AO287*(AJ287-AK287)/(AD287-AM287))</f>
        <v>0</v>
      </c>
      <c r="AT287" s="80" t="str">
        <f>IF(AC287=1,INT(B287)+1,"")</f>
        <v/>
      </c>
      <c r="AU287" s="80">
        <f>IF(AND(D287="proMX",R287="Cancelled"),0,1)</f>
        <v>1</v>
      </c>
      <c r="AV287" s="80">
        <f>IF(AND(AB287=1,AU287=1),IF(COUNTIFS($D$5:D286,D287,$B$5:B286,B287,$Z$5:Z286,Z287,$AA$5:AA286,AA287,$F$5:F286,F287&amp;"",$AU$5:AU286,1)&gt;0,1,0),0)</f>
        <v>0</v>
      </c>
      <c r="AW287" s="80" t="str">
        <f>IF(AB287=1,INT(B287)*1440+Z287,"")</f>
        <v/>
      </c>
      <c r="AX287" s="80" t="str">
        <f>IF(AB287=1,AW287+AD287,"")</f>
        <v/>
      </c>
      <c r="AY287" s="80">
        <f>IF(AND(AB287=1,AV287=0,AU287=1),1,0)</f>
        <v>0</v>
      </c>
      <c r="AZ287" s="80">
        <f>IF(AY287=1,COUNTIFS(R_Emp,D287,R_SAbs,"&lt;"&amp;AX287,R_EAbs,"&gt;"&amp;AW287,R_OKey,1)-1,0)</f>
        <v>0</v>
      </c>
      <c r="BA287" s="80">
        <f>IF(AY287=1,COUNTIFS(R_Emp,"&lt;&gt;"&amp;D287,R_SAbs,"&lt;"&amp;AX287,R_EAbs,"&gt;"&amp;AW287,R_OKey,1),0)</f>
        <v>0</v>
      </c>
      <c r="BB287" s="80">
        <f>IF(AND(AB287=1,D287="proMX"),IF(AND(MOD(Z287,CFG_BLK)=0,MOD(AA287,CFG_BLK)=0,MOD(AG287,CFG_BLK)=0,AG287&gt;0),1,0),1)</f>
        <v>1</v>
      </c>
      <c r="BC287" s="80" t="str">
        <f>IF(Y287=0,"",IF(NOT(ISNUMBER(B287)),"Falta fecha o fecha inválida",IF(D287="","Falta empresa",IF(AND(D287&lt;&gt;"Malcolm",D287&lt;&gt;"proMX"),"Empresa inválida",IF(OR(INT(B287)&lt;CFG_PSTART,INT(B287)&gt;CFG_PEND),"Fecha fuera del período",IF(OR(NOT(ISNUMBER(Z287)),NOT(ISNUMBER(AA287))),"Falta hora inicio/fin o formato inválido",IF(AB287=0,"Hora inicio = hora fin",IF(AE287&lt;0,"Descanso inválido",IF(AE287&gt;=AD287,"Descanso ≥ duración",IF(AV287=1,"Registro duplicado",IF(AZ287&gt;0,"Se superpone con otro registro "&amp;D287,IF(BB287=0,"inicio, fin y duración neta deben ser múltiplos de "&amp;CFG_BLK&amp;" min",""))))))))))))</f>
        <v/>
      </c>
      <c r="BD287" s="80">
        <f>IF(AND(Y287=1,BC287=""),1,0)</f>
        <v>0</v>
      </c>
      <c r="BE287" s="80">
        <f>IF(AND(BD287=1,AU287=1),1,0)</f>
        <v>0</v>
      </c>
      <c r="BF287" s="80" t="str">
        <f>IF(AND(D287="proMX",BD287=1),IF(R287="","Draft",R287),"")</f>
        <v/>
      </c>
      <c r="BG287" s="80">
        <f>IF(BD287=1,ROUND(AG287/60,6),0)</f>
        <v>0</v>
      </c>
      <c r="BH287" s="80">
        <f>IF(BE287=1,ROUND(AG287/60,6),0)</f>
        <v>0</v>
      </c>
      <c r="BI287" s="80">
        <f>IF(BE287=1,ROUND(AP287/60,6),0)</f>
        <v>0</v>
      </c>
      <c r="BJ287" s="80">
        <f>IF(BE287=1,ROUND(AQ287/60,6),0)</f>
        <v>0</v>
      </c>
      <c r="BK287" s="80">
        <f>IF(BE287=1,ROUND((AR287+AS287)/60,6),0)</f>
        <v>0</v>
      </c>
      <c r="BL287" s="80">
        <f>ROUND(BH287-BK287,6)</f>
        <v>0</v>
      </c>
      <c r="BM287" s="80">
        <f>IF(BE287=1,ROUND(AR287/60,6),0)</f>
        <v>0</v>
      </c>
      <c r="BN287" s="80">
        <f>ROUND(BI287-BM287,6)</f>
        <v>0</v>
      </c>
      <c r="BO287" s="80">
        <f>IF(BE287=1,ROUND(AS287/60,6),0)</f>
        <v>0</v>
      </c>
      <c r="BP287" s="80">
        <f>ROUND(BJ287-BO287,6)</f>
        <v>0</v>
      </c>
      <c r="BQ287" s="80">
        <f>IF(BE287=1,AW287,0)</f>
        <v>0</v>
      </c>
      <c r="BR287" s="80">
        <f>IF(BE287=1,AX287,0)</f>
        <v>0</v>
      </c>
      <c r="BS287" s="80">
        <f>IF(AND(BE287=1,D287="Malcolm",BA287&gt;0),MIN(BH287,SUMPRODUCT((R_Emp="proMX")*(R_EN&gt;0)*((R_EN-(R_EN&gt;BR287)*(R_EN-BR287))&gt;(R_SN+(R_SN&lt;BQ287)*(BQ287-R_SN)))*((R_EN-(R_EN&gt;BR287)*(R_EN-BR287))-(R_SN+(R_SN&lt;BQ287)*(BQ287-R_SN))))/60),0)</f>
        <v>0</v>
      </c>
      <c r="BT287" s="80">
        <f>IF(AND(BE287=1,D287="proMX"),ROUND(BI287*CFG_RATE+BJ287*CFG_OTRATE,6),0)</f>
        <v>0</v>
      </c>
      <c r="BU287" s="80">
        <f>IF(AND(BD287=1,D287="proMX"),ROUND(AG287/CFG_BLK,6),0)</f>
        <v>0</v>
      </c>
      <c r="BV287" s="80" t="str">
        <f>IF(BF287="Approved",IF(ISNUMBER(T287),INT(T287),INT(B287)),"")</f>
        <v/>
      </c>
      <c r="BW287" s="80">
        <f>IF(ISNUMBER(B287),IF(DB_MON="Todos",1,IF(AND(INT(B287)&gt;=DB_MS,INT(B287)&lt;=DB_ME),1,0)),0)</f>
        <v>0</v>
      </c>
      <c r="BX287" s="80">
        <f>IF(DB_PROJ="Todos",1,IF(E287&amp;""=DB_PROJ&amp;"",1,0))</f>
        <v>1</v>
      </c>
      <c r="BY287" s="80">
        <f>BW287*BX287</f>
        <v>0</v>
      </c>
      <c r="BZ287" s="80" t="str">
        <f>IF(Y287=1,F287&amp;IF(AND(F287&amp;""&lt;&gt;"",E287&amp;""&lt;&gt;"")," · ","")&amp;E287,"")</f>
        <v/>
      </c>
      <c r="CA287" s="80" t="str">
        <f>IF(AND(BD287=1,E287&amp;""&lt;&gt;""),IF(COUNTIFS($E$5:E286,E287,$BD$5:BD286,1)=0,MAX($CA$5:CA286)+1,""),"")</f>
        <v/>
      </c>
      <c r="CB287" s="80" t="str">
        <f>IF(AND(BE287=1,D287="Malcolm",E287&amp;""&lt;&gt;""),IF(COUNTIFS($D$5:D286,"Malcolm",$E$5:E286,E287,$BE$5:BE286,1)=0,MAX($CB$5:CB286)+1,""),"")</f>
        <v/>
      </c>
      <c r="CC287" s="80" t="str">
        <f>IF(AND(BD287=1,D287="proMX",E287&amp;""&lt;&gt;""),IF(COUNTIFS($D$5:D286,"proMX",$E$5:E286,E287,$BD$5:BD286,1)=0,MAX($CC$5:CC286)+1,""),"")</f>
        <v/>
      </c>
      <c r="CD287" s="80" t="str">
        <f>IF(AND(BE287=1,D287="Malcolm",F287&amp;""&lt;&gt;""),IF(COUNTIFS($D$5:D286,"Malcolm",$F$5:F286,F287,$BE$5:BE286,1)=0,MAX($CD$5:CD286)+1,""),"")</f>
        <v/>
      </c>
      <c r="CE287" s="80" t="str">
        <f>IF(AND(BD287=1,D287="proMX",F287&amp;""&lt;&gt;""),IF(COUNTIFS($D$5:D286,"proMX",$F$5:F286,F287,$BD$5:BD286,1)=0,MAX($CE$5:CE286)+1,""),"")</f>
        <v/>
      </c>
      <c r="CF287" s="80" t="str">
        <f>IF(AND(D287="proMX",BD287=1),IF(OR(BF287="Draft",BF287="Submitted",BF287="Returned",BF287="Recall Requested"),MAX($CF$5:CF286)+1,""),"")</f>
        <v/>
      </c>
      <c r="CG287" s="80">
        <f>IF(BD287=0,0,IF(D287="Malcolm",1,MATCH(BF287,{"Draft","Submitted","Approved","Returned","Recall Requested","Cancelled"},0)+1))</f>
        <v>0</v>
      </c>
      <c r="CH287" s="80">
        <f>IF(AND(BF287="Submitted",ISNUMBER(V287)),IF(V287&gt;CFG_MAXD,1,0),0)</f>
        <v>0</v>
      </c>
    </row>
    <row r="288">
      <c r="A288" s="71" t="str">
        <f>IF(Y288=1,ROW()-5,"")</f>
        <v/>
      </c>
      <c r="B288" s="72" t="n"/>
      <c r="C288" s="71" t="str">
        <f>IF(ISNUMBER(B288),CHOOSE(WEEKDAY(B288,2),"Lun","Mar","Mié","Jue","Vie","Sáb","Dom"),"")</f>
        <v/>
      </c>
      <c r="D288" s="73" t="n"/>
      <c r="E288" s="74" t="n"/>
      <c r="F288" s="74" t="n"/>
      <c r="G288" s="74" t="n"/>
      <c r="H288" s="75" t="n"/>
      <c r="I288" s="75" t="n"/>
      <c r="J288" s="76" t="n"/>
      <c r="K288" s="77" t="str">
        <f>IF(AB288=1,ROUND(AG288/60,4),"")</f>
        <v/>
      </c>
      <c r="L288" s="77" t="str">
        <f>IF(BD288=1,ROUND(AP288/60,4),"")</f>
        <v/>
      </c>
      <c r="M288" s="77" t="str">
        <f>IF(BD288=1,ROUND(AQ288/60,4),"")</f>
        <v/>
      </c>
      <c r="N288" s="71" t="str">
        <f>IF(AND(D288="proMX",AB288=1),ROUND(AG288/CFG_BLK,2),"")</f>
        <v/>
      </c>
      <c r="O288" s="77" t="str">
        <f>IF(D288="proMX",IF(BD288=1,ROUND(AG288/60,4),0),"")</f>
        <v/>
      </c>
      <c r="P288" s="78" t="str">
        <f>IF(Y288=0,"",IF(BD288=1,"OK",IF(D288="proMX","Revisar bloques: ","Revisar: ")&amp;BC288))</f>
        <v/>
      </c>
      <c r="Q288" s="78" t="str">
        <f>IF(NOT(ISNUMBER(B288)),"",IF(COUNTIFS(FER_F,INT(B288))&gt;0,"Feriado"&amp;IF(AH288=1," (laborable)"," (no laborable)"),IF(AH288=1,"Laborable",IF(WEEKDAY(B288,2)&gt;5,"Fin de semana","No laborable"))))</f>
        <v/>
      </c>
      <c r="R288" s="73" t="n"/>
      <c r="S288" s="72" t="n"/>
      <c r="T288" s="72" t="n"/>
      <c r="U288" s="74" t="n"/>
      <c r="V288" s="79" t="str">
        <f>IF(AND(D288="proMX",OR(R288="Submitted",R288="Recall Requested"),ISNUMBER(S288)),CFG_TODAY-INT(S288),"")</f>
        <v/>
      </c>
      <c r="W288" s="78" t="str">
        <f>IF(BD288=0,"",IF(BA288&gt;0,"⚠ Se superpone con un registro de la otra empresa",IF(D288="Malcolm",IF(COUNTA(R288,S288,T288)&gt;0,"Estado/fechas proMX se ignoran en Malcolm",""),IF(BF288="Cancelled","Cancelado: excluido de totales",IF(R288="","Sin estado: se trata como Draft",IF(BF288="Submitted",IF(ISNUMBER(V288),IF(V288&gt;CFG_MAXD,"⚠ "&amp;V288&amp;" días en Submitted (máx. "&amp;CFG_MAXD&amp;")",""),"Falta fecha de envío"),IF(BF288="Returned","⚠ Devuelto: corregir y reenviar",IF(BF288="Recall Requested","Retirada solicitada: pendiente",IF(AND(BF288="Approved",NOT(ISNUMBER(T288))),"Falta fecha de aprobación",IF(AND(ISNUMBER(S288),ISNUMBER(T288),T288&lt;S288),"Aprobación anterior al envío","")))))))))</f>
        <v/>
      </c>
      <c r="Y288" s="80">
        <f>IF(COUNTA(B288,D288,E288,F288,G288,H288,I288,J288,R288,S288,T288)&gt;0,1,0)</f>
        <v>0</v>
      </c>
      <c r="Z288" s="80" t="str">
        <f>IF(AND(ISNUMBER(H288),H288&gt;=0,H288&lt;1),ROUND(H288*1440,0),"")</f>
        <v/>
      </c>
      <c r="AA288" s="80" t="str">
        <f>IF(AND(ISNUMBER(I288),I288&gt;=0,I288&lt;1),ROUND(I288*1440,0),"")</f>
        <v/>
      </c>
      <c r="AB288" s="80">
        <f>IF(AND(ISNUMBER(B288),D288&lt;&gt;"",ISNUMBER(Z288),ISNUMBER(AA288)),IF(Z288=AA288,0,1),0)</f>
        <v>0</v>
      </c>
      <c r="AC288" s="80">
        <f>IF(AB288=1,IF(AA288&lt;Z288,1,0),0)</f>
        <v>0</v>
      </c>
      <c r="AD288" s="80">
        <f>IF(AB288=1,IF(AC288=1,1440-Z288+AA288,AA288-Z288),0)</f>
        <v>0</v>
      </c>
      <c r="AE288" s="80">
        <f>IF(J288="",0,IF(ISNUMBER(J288),J288,-1))</f>
        <v>0</v>
      </c>
      <c r="AF288" s="80">
        <f>MIN(MAX(0,AE288),AD288)</f>
        <v>0</v>
      </c>
      <c r="AG288" s="80">
        <f>MAX(0,AD288-MAX(0,AE288))</f>
        <v>0</v>
      </c>
      <c r="AH288" s="80">
        <f>IF(ISNUMBER(B288),IF(AND(INDEX(CFG_WDAYS,WEEKDAY(INT(B288),2))="Sí",IF(D288="proMX",COUNTIFS(FER_F,INT(B288),FER_NLP,"Sí"),COUNTIFS(FER_F,INT(B288),FER_NLM,"Sí"))=0),1,0),0)</f>
        <v>0</v>
      </c>
      <c r="AI288" s="80">
        <f>IF(AC288=1,IF(AND(INDEX(CFG_WDAYS,WEEKDAY(INT(B288)+1,2))="Sí",IF(D288="proMX",COUNTIFS(FER_F,INT(B288)+1,FER_NLP,"Sí"),COUNTIFS(FER_F,INT(B288)+1,FER_NLM,"Sí"))=0),1,0),0)</f>
        <v>0</v>
      </c>
      <c r="AJ288" s="80">
        <f>IF(AC288=1,1440-Z288,AD288)</f>
        <v>0</v>
      </c>
      <c r="AK288" s="80">
        <f>IF(AND(AB288=1,AH288=1),MAX(0,MIN(IF(AC288=1,1440,AA288),CFG_WEM)-MAX(Z288,CFG_WSM)),0)</f>
        <v>0</v>
      </c>
      <c r="AL288" s="80">
        <f>IF(AND(AC288=1,AI288=1),MAX(0,MIN(AA288,CFG_WEM)-CFG_WSM),0)</f>
        <v>0</v>
      </c>
      <c r="AM288" s="80">
        <f>AK288+AL288</f>
        <v>0</v>
      </c>
      <c r="AN288" s="80">
        <f>IF(CFG_BRK="Proporcional",IF(AD288=0,0,AF288*AM288/AD288),IF(CFG_BRK="Extras primero",MIN(AM288,MAX(0,AF288-(AD288-AM288))),MIN(AF288,AM288)))</f>
        <v>0</v>
      </c>
      <c r="AO288" s="80">
        <f>AF288-AN288</f>
        <v>0</v>
      </c>
      <c r="AP288" s="80">
        <f>AM288-AN288</f>
        <v>0</v>
      </c>
      <c r="AQ288" s="80">
        <f>AD288-AM288-AO288</f>
        <v>0</v>
      </c>
      <c r="AR288" s="80">
        <f>IF(AM288=0,0,AK288-AN288*AK288/AM288)</f>
        <v>0</v>
      </c>
      <c r="AS288" s="80">
        <f>IF(AD288-AM288=0,0,(AJ288-AK288)-AO288*(AJ288-AK288)/(AD288-AM288))</f>
        <v>0</v>
      </c>
      <c r="AT288" s="80" t="str">
        <f>IF(AC288=1,INT(B288)+1,"")</f>
        <v/>
      </c>
      <c r="AU288" s="80">
        <f>IF(AND(D288="proMX",R288="Cancelled"),0,1)</f>
        <v>1</v>
      </c>
      <c r="AV288" s="80">
        <f>IF(AND(AB288=1,AU288=1),IF(COUNTIFS($D$5:D287,D288,$B$5:B287,B288,$Z$5:Z287,Z288,$AA$5:AA287,AA288,$F$5:F287,F288&amp;"",$AU$5:AU287,1)&gt;0,1,0),0)</f>
        <v>0</v>
      </c>
      <c r="AW288" s="80" t="str">
        <f>IF(AB288=1,INT(B288)*1440+Z288,"")</f>
        <v/>
      </c>
      <c r="AX288" s="80" t="str">
        <f>IF(AB288=1,AW288+AD288,"")</f>
        <v/>
      </c>
      <c r="AY288" s="80">
        <f>IF(AND(AB288=1,AV288=0,AU288=1),1,0)</f>
        <v>0</v>
      </c>
      <c r="AZ288" s="80">
        <f>IF(AY288=1,COUNTIFS(R_Emp,D288,R_SAbs,"&lt;"&amp;AX288,R_EAbs,"&gt;"&amp;AW288,R_OKey,1)-1,0)</f>
        <v>0</v>
      </c>
      <c r="BA288" s="80">
        <f>IF(AY288=1,COUNTIFS(R_Emp,"&lt;&gt;"&amp;D288,R_SAbs,"&lt;"&amp;AX288,R_EAbs,"&gt;"&amp;AW288,R_OKey,1),0)</f>
        <v>0</v>
      </c>
      <c r="BB288" s="80">
        <f>IF(AND(AB288=1,D288="proMX"),IF(AND(MOD(Z288,CFG_BLK)=0,MOD(AA288,CFG_BLK)=0,MOD(AG288,CFG_BLK)=0,AG288&gt;0),1,0),1)</f>
        <v>1</v>
      </c>
      <c r="BC288" s="80" t="str">
        <f>IF(Y288=0,"",IF(NOT(ISNUMBER(B288)),"Falta fecha o fecha inválida",IF(D288="","Falta empresa",IF(AND(D288&lt;&gt;"Malcolm",D288&lt;&gt;"proMX"),"Empresa inválida",IF(OR(INT(B288)&lt;CFG_PSTART,INT(B288)&gt;CFG_PEND),"Fecha fuera del período",IF(OR(NOT(ISNUMBER(Z288)),NOT(ISNUMBER(AA288))),"Falta hora inicio/fin o formato inválido",IF(AB288=0,"Hora inicio = hora fin",IF(AE288&lt;0,"Descanso inválido",IF(AE288&gt;=AD288,"Descanso ≥ duración",IF(AV288=1,"Registro duplicado",IF(AZ288&gt;0,"Se superpone con otro registro "&amp;D288,IF(BB288=0,"inicio, fin y duración neta deben ser múltiplos de "&amp;CFG_BLK&amp;" min",""))))))))))))</f>
        <v/>
      </c>
      <c r="BD288" s="80">
        <f>IF(AND(Y288=1,BC288=""),1,0)</f>
        <v>0</v>
      </c>
      <c r="BE288" s="80">
        <f>IF(AND(BD288=1,AU288=1),1,0)</f>
        <v>0</v>
      </c>
      <c r="BF288" s="80" t="str">
        <f>IF(AND(D288="proMX",BD288=1),IF(R288="","Draft",R288),"")</f>
        <v/>
      </c>
      <c r="BG288" s="80">
        <f>IF(BD288=1,ROUND(AG288/60,6),0)</f>
        <v>0</v>
      </c>
      <c r="BH288" s="80">
        <f>IF(BE288=1,ROUND(AG288/60,6),0)</f>
        <v>0</v>
      </c>
      <c r="BI288" s="80">
        <f>IF(BE288=1,ROUND(AP288/60,6),0)</f>
        <v>0</v>
      </c>
      <c r="BJ288" s="80">
        <f>IF(BE288=1,ROUND(AQ288/60,6),0)</f>
        <v>0</v>
      </c>
      <c r="BK288" s="80">
        <f>IF(BE288=1,ROUND((AR288+AS288)/60,6),0)</f>
        <v>0</v>
      </c>
      <c r="BL288" s="80">
        <f>ROUND(BH288-BK288,6)</f>
        <v>0</v>
      </c>
      <c r="BM288" s="80">
        <f>IF(BE288=1,ROUND(AR288/60,6),0)</f>
        <v>0</v>
      </c>
      <c r="BN288" s="80">
        <f>ROUND(BI288-BM288,6)</f>
        <v>0</v>
      </c>
      <c r="BO288" s="80">
        <f>IF(BE288=1,ROUND(AS288/60,6),0)</f>
        <v>0</v>
      </c>
      <c r="BP288" s="80">
        <f>ROUND(BJ288-BO288,6)</f>
        <v>0</v>
      </c>
      <c r="BQ288" s="80">
        <f>IF(BE288=1,AW288,0)</f>
        <v>0</v>
      </c>
      <c r="BR288" s="80">
        <f>IF(BE288=1,AX288,0)</f>
        <v>0</v>
      </c>
      <c r="BS288" s="80">
        <f>IF(AND(BE288=1,D288="Malcolm",BA288&gt;0),MIN(BH288,SUMPRODUCT((R_Emp="proMX")*(R_EN&gt;0)*((R_EN-(R_EN&gt;BR288)*(R_EN-BR288))&gt;(R_SN+(R_SN&lt;BQ288)*(BQ288-R_SN)))*((R_EN-(R_EN&gt;BR288)*(R_EN-BR288))-(R_SN+(R_SN&lt;BQ288)*(BQ288-R_SN))))/60),0)</f>
        <v>0</v>
      </c>
      <c r="BT288" s="80">
        <f>IF(AND(BE288=1,D288="proMX"),ROUND(BI288*CFG_RATE+BJ288*CFG_OTRATE,6),0)</f>
        <v>0</v>
      </c>
      <c r="BU288" s="80">
        <f>IF(AND(BD288=1,D288="proMX"),ROUND(AG288/CFG_BLK,6),0)</f>
        <v>0</v>
      </c>
      <c r="BV288" s="80" t="str">
        <f>IF(BF288="Approved",IF(ISNUMBER(T288),INT(T288),INT(B288)),"")</f>
        <v/>
      </c>
      <c r="BW288" s="80">
        <f>IF(ISNUMBER(B288),IF(DB_MON="Todos",1,IF(AND(INT(B288)&gt;=DB_MS,INT(B288)&lt;=DB_ME),1,0)),0)</f>
        <v>0</v>
      </c>
      <c r="BX288" s="80">
        <f>IF(DB_PROJ="Todos",1,IF(E288&amp;""=DB_PROJ&amp;"",1,0))</f>
        <v>1</v>
      </c>
      <c r="BY288" s="80">
        <f>BW288*BX288</f>
        <v>0</v>
      </c>
      <c r="BZ288" s="80" t="str">
        <f>IF(Y288=1,F288&amp;IF(AND(F288&amp;""&lt;&gt;"",E288&amp;""&lt;&gt;"")," · ","")&amp;E288,"")</f>
        <v/>
      </c>
      <c r="CA288" s="80" t="str">
        <f>IF(AND(BD288=1,E288&amp;""&lt;&gt;""),IF(COUNTIFS($E$5:E287,E288,$BD$5:BD287,1)=0,MAX($CA$5:CA287)+1,""),"")</f>
        <v/>
      </c>
      <c r="CB288" s="80" t="str">
        <f>IF(AND(BE288=1,D288="Malcolm",E288&amp;""&lt;&gt;""),IF(COUNTIFS($D$5:D287,"Malcolm",$E$5:E287,E288,$BE$5:BE287,1)=0,MAX($CB$5:CB287)+1,""),"")</f>
        <v/>
      </c>
      <c r="CC288" s="80" t="str">
        <f>IF(AND(BD288=1,D288="proMX",E288&amp;""&lt;&gt;""),IF(COUNTIFS($D$5:D287,"proMX",$E$5:E287,E288,$BD$5:BD287,1)=0,MAX($CC$5:CC287)+1,""),"")</f>
        <v/>
      </c>
      <c r="CD288" s="80" t="str">
        <f>IF(AND(BE288=1,D288="Malcolm",F288&amp;""&lt;&gt;""),IF(COUNTIFS($D$5:D287,"Malcolm",$F$5:F287,F288,$BE$5:BE287,1)=0,MAX($CD$5:CD287)+1,""),"")</f>
        <v/>
      </c>
      <c r="CE288" s="80" t="str">
        <f>IF(AND(BD288=1,D288="proMX",F288&amp;""&lt;&gt;""),IF(COUNTIFS($D$5:D287,"proMX",$F$5:F287,F288,$BD$5:BD287,1)=0,MAX($CE$5:CE287)+1,""),"")</f>
        <v/>
      </c>
      <c r="CF288" s="80" t="str">
        <f>IF(AND(D288="proMX",BD288=1),IF(OR(BF288="Draft",BF288="Submitted",BF288="Returned",BF288="Recall Requested"),MAX($CF$5:CF287)+1,""),"")</f>
        <v/>
      </c>
      <c r="CG288" s="80">
        <f>IF(BD288=0,0,IF(D288="Malcolm",1,MATCH(BF288,{"Draft","Submitted","Approved","Returned","Recall Requested","Cancelled"},0)+1))</f>
        <v>0</v>
      </c>
      <c r="CH288" s="80">
        <f>IF(AND(BF288="Submitted",ISNUMBER(V288)),IF(V288&gt;CFG_MAXD,1,0),0)</f>
        <v>0</v>
      </c>
    </row>
    <row r="289">
      <c r="A289" s="71" t="str">
        <f>IF(Y289=1,ROW()-5,"")</f>
        <v/>
      </c>
      <c r="B289" s="72" t="n"/>
      <c r="C289" s="71" t="str">
        <f>IF(ISNUMBER(B289),CHOOSE(WEEKDAY(B289,2),"Lun","Mar","Mié","Jue","Vie","Sáb","Dom"),"")</f>
        <v/>
      </c>
      <c r="D289" s="73" t="n"/>
      <c r="E289" s="74" t="n"/>
      <c r="F289" s="74" t="n"/>
      <c r="G289" s="74" t="n"/>
      <c r="H289" s="75" t="n"/>
      <c r="I289" s="75" t="n"/>
      <c r="J289" s="76" t="n"/>
      <c r="K289" s="77" t="str">
        <f>IF(AB289=1,ROUND(AG289/60,4),"")</f>
        <v/>
      </c>
      <c r="L289" s="77" t="str">
        <f>IF(BD289=1,ROUND(AP289/60,4),"")</f>
        <v/>
      </c>
      <c r="M289" s="77" t="str">
        <f>IF(BD289=1,ROUND(AQ289/60,4),"")</f>
        <v/>
      </c>
      <c r="N289" s="71" t="str">
        <f>IF(AND(D289="proMX",AB289=1),ROUND(AG289/CFG_BLK,2),"")</f>
        <v/>
      </c>
      <c r="O289" s="77" t="str">
        <f>IF(D289="proMX",IF(BD289=1,ROUND(AG289/60,4),0),"")</f>
        <v/>
      </c>
      <c r="P289" s="78" t="str">
        <f>IF(Y289=0,"",IF(BD289=1,"OK",IF(D289="proMX","Revisar bloques: ","Revisar: ")&amp;BC289))</f>
        <v/>
      </c>
      <c r="Q289" s="78" t="str">
        <f>IF(NOT(ISNUMBER(B289)),"",IF(COUNTIFS(FER_F,INT(B289))&gt;0,"Feriado"&amp;IF(AH289=1," (laborable)"," (no laborable)"),IF(AH289=1,"Laborable",IF(WEEKDAY(B289,2)&gt;5,"Fin de semana","No laborable"))))</f>
        <v/>
      </c>
      <c r="R289" s="73" t="n"/>
      <c r="S289" s="72" t="n"/>
      <c r="T289" s="72" t="n"/>
      <c r="U289" s="74" t="n"/>
      <c r="V289" s="79" t="str">
        <f>IF(AND(D289="proMX",OR(R289="Submitted",R289="Recall Requested"),ISNUMBER(S289)),CFG_TODAY-INT(S289),"")</f>
        <v/>
      </c>
      <c r="W289" s="78" t="str">
        <f>IF(BD289=0,"",IF(BA289&gt;0,"⚠ Se superpone con un registro de la otra empresa",IF(D289="Malcolm",IF(COUNTA(R289,S289,T289)&gt;0,"Estado/fechas proMX se ignoran en Malcolm",""),IF(BF289="Cancelled","Cancelado: excluido de totales",IF(R289="","Sin estado: se trata como Draft",IF(BF289="Submitted",IF(ISNUMBER(V289),IF(V289&gt;CFG_MAXD,"⚠ "&amp;V289&amp;" días en Submitted (máx. "&amp;CFG_MAXD&amp;")",""),"Falta fecha de envío"),IF(BF289="Returned","⚠ Devuelto: corregir y reenviar",IF(BF289="Recall Requested","Retirada solicitada: pendiente",IF(AND(BF289="Approved",NOT(ISNUMBER(T289))),"Falta fecha de aprobación",IF(AND(ISNUMBER(S289),ISNUMBER(T289),T289&lt;S289),"Aprobación anterior al envío","")))))))))</f>
        <v/>
      </c>
      <c r="Y289" s="80">
        <f>IF(COUNTA(B289,D289,E289,F289,G289,H289,I289,J289,R289,S289,T289)&gt;0,1,0)</f>
        <v>0</v>
      </c>
      <c r="Z289" s="80" t="str">
        <f>IF(AND(ISNUMBER(H289),H289&gt;=0,H289&lt;1),ROUND(H289*1440,0),"")</f>
        <v/>
      </c>
      <c r="AA289" s="80" t="str">
        <f>IF(AND(ISNUMBER(I289),I289&gt;=0,I289&lt;1),ROUND(I289*1440,0),"")</f>
        <v/>
      </c>
      <c r="AB289" s="80">
        <f>IF(AND(ISNUMBER(B289),D289&lt;&gt;"",ISNUMBER(Z289),ISNUMBER(AA289)),IF(Z289=AA289,0,1),0)</f>
        <v>0</v>
      </c>
      <c r="AC289" s="80">
        <f>IF(AB289=1,IF(AA289&lt;Z289,1,0),0)</f>
        <v>0</v>
      </c>
      <c r="AD289" s="80">
        <f>IF(AB289=1,IF(AC289=1,1440-Z289+AA289,AA289-Z289),0)</f>
        <v>0</v>
      </c>
      <c r="AE289" s="80">
        <f>IF(J289="",0,IF(ISNUMBER(J289),J289,-1))</f>
        <v>0</v>
      </c>
      <c r="AF289" s="80">
        <f>MIN(MAX(0,AE289),AD289)</f>
        <v>0</v>
      </c>
      <c r="AG289" s="80">
        <f>MAX(0,AD289-MAX(0,AE289))</f>
        <v>0</v>
      </c>
      <c r="AH289" s="80">
        <f>IF(ISNUMBER(B289),IF(AND(INDEX(CFG_WDAYS,WEEKDAY(INT(B289),2))="Sí",IF(D289="proMX",COUNTIFS(FER_F,INT(B289),FER_NLP,"Sí"),COUNTIFS(FER_F,INT(B289),FER_NLM,"Sí"))=0),1,0),0)</f>
        <v>0</v>
      </c>
      <c r="AI289" s="80">
        <f>IF(AC289=1,IF(AND(INDEX(CFG_WDAYS,WEEKDAY(INT(B289)+1,2))="Sí",IF(D289="proMX",COUNTIFS(FER_F,INT(B289)+1,FER_NLP,"Sí"),COUNTIFS(FER_F,INT(B289)+1,FER_NLM,"Sí"))=0),1,0),0)</f>
        <v>0</v>
      </c>
      <c r="AJ289" s="80">
        <f>IF(AC289=1,1440-Z289,AD289)</f>
        <v>0</v>
      </c>
      <c r="AK289" s="80">
        <f>IF(AND(AB289=1,AH289=1),MAX(0,MIN(IF(AC289=1,1440,AA289),CFG_WEM)-MAX(Z289,CFG_WSM)),0)</f>
        <v>0</v>
      </c>
      <c r="AL289" s="80">
        <f>IF(AND(AC289=1,AI289=1),MAX(0,MIN(AA289,CFG_WEM)-CFG_WSM),0)</f>
        <v>0</v>
      </c>
      <c r="AM289" s="80">
        <f>AK289+AL289</f>
        <v>0</v>
      </c>
      <c r="AN289" s="80">
        <f>IF(CFG_BRK="Proporcional",IF(AD289=0,0,AF289*AM289/AD289),IF(CFG_BRK="Extras primero",MIN(AM289,MAX(0,AF289-(AD289-AM289))),MIN(AF289,AM289)))</f>
        <v>0</v>
      </c>
      <c r="AO289" s="80">
        <f>AF289-AN289</f>
        <v>0</v>
      </c>
      <c r="AP289" s="80">
        <f>AM289-AN289</f>
        <v>0</v>
      </c>
      <c r="AQ289" s="80">
        <f>AD289-AM289-AO289</f>
        <v>0</v>
      </c>
      <c r="AR289" s="80">
        <f>IF(AM289=0,0,AK289-AN289*AK289/AM289)</f>
        <v>0</v>
      </c>
      <c r="AS289" s="80">
        <f>IF(AD289-AM289=0,0,(AJ289-AK289)-AO289*(AJ289-AK289)/(AD289-AM289))</f>
        <v>0</v>
      </c>
      <c r="AT289" s="80" t="str">
        <f>IF(AC289=1,INT(B289)+1,"")</f>
        <v/>
      </c>
      <c r="AU289" s="80">
        <f>IF(AND(D289="proMX",R289="Cancelled"),0,1)</f>
        <v>1</v>
      </c>
      <c r="AV289" s="80">
        <f>IF(AND(AB289=1,AU289=1),IF(COUNTIFS($D$5:D288,D289,$B$5:B288,B289,$Z$5:Z288,Z289,$AA$5:AA288,AA289,$F$5:F288,F289&amp;"",$AU$5:AU288,1)&gt;0,1,0),0)</f>
        <v>0</v>
      </c>
      <c r="AW289" s="80" t="str">
        <f>IF(AB289=1,INT(B289)*1440+Z289,"")</f>
        <v/>
      </c>
      <c r="AX289" s="80" t="str">
        <f>IF(AB289=1,AW289+AD289,"")</f>
        <v/>
      </c>
      <c r="AY289" s="80">
        <f>IF(AND(AB289=1,AV289=0,AU289=1),1,0)</f>
        <v>0</v>
      </c>
      <c r="AZ289" s="80">
        <f>IF(AY289=1,COUNTIFS(R_Emp,D289,R_SAbs,"&lt;"&amp;AX289,R_EAbs,"&gt;"&amp;AW289,R_OKey,1)-1,0)</f>
        <v>0</v>
      </c>
      <c r="BA289" s="80">
        <f>IF(AY289=1,COUNTIFS(R_Emp,"&lt;&gt;"&amp;D289,R_SAbs,"&lt;"&amp;AX289,R_EAbs,"&gt;"&amp;AW289,R_OKey,1),0)</f>
        <v>0</v>
      </c>
      <c r="BB289" s="80">
        <f>IF(AND(AB289=1,D289="proMX"),IF(AND(MOD(Z289,CFG_BLK)=0,MOD(AA289,CFG_BLK)=0,MOD(AG289,CFG_BLK)=0,AG289&gt;0),1,0),1)</f>
        <v>1</v>
      </c>
      <c r="BC289" s="80" t="str">
        <f>IF(Y289=0,"",IF(NOT(ISNUMBER(B289)),"Falta fecha o fecha inválida",IF(D289="","Falta empresa",IF(AND(D289&lt;&gt;"Malcolm",D289&lt;&gt;"proMX"),"Empresa inválida",IF(OR(INT(B289)&lt;CFG_PSTART,INT(B289)&gt;CFG_PEND),"Fecha fuera del período",IF(OR(NOT(ISNUMBER(Z289)),NOT(ISNUMBER(AA289))),"Falta hora inicio/fin o formato inválido",IF(AB289=0,"Hora inicio = hora fin",IF(AE289&lt;0,"Descanso inválido",IF(AE289&gt;=AD289,"Descanso ≥ duración",IF(AV289=1,"Registro duplicado",IF(AZ289&gt;0,"Se superpone con otro registro "&amp;D289,IF(BB289=0,"inicio, fin y duración neta deben ser múltiplos de "&amp;CFG_BLK&amp;" min",""))))))))))))</f>
        <v/>
      </c>
      <c r="BD289" s="80">
        <f>IF(AND(Y289=1,BC289=""),1,0)</f>
        <v>0</v>
      </c>
      <c r="BE289" s="80">
        <f>IF(AND(BD289=1,AU289=1),1,0)</f>
        <v>0</v>
      </c>
      <c r="BF289" s="80" t="str">
        <f>IF(AND(D289="proMX",BD289=1),IF(R289="","Draft",R289),"")</f>
        <v/>
      </c>
      <c r="BG289" s="80">
        <f>IF(BD289=1,ROUND(AG289/60,6),0)</f>
        <v>0</v>
      </c>
      <c r="BH289" s="80">
        <f>IF(BE289=1,ROUND(AG289/60,6),0)</f>
        <v>0</v>
      </c>
      <c r="BI289" s="80">
        <f>IF(BE289=1,ROUND(AP289/60,6),0)</f>
        <v>0</v>
      </c>
      <c r="BJ289" s="80">
        <f>IF(BE289=1,ROUND(AQ289/60,6),0)</f>
        <v>0</v>
      </c>
      <c r="BK289" s="80">
        <f>IF(BE289=1,ROUND((AR289+AS289)/60,6),0)</f>
        <v>0</v>
      </c>
      <c r="BL289" s="80">
        <f>ROUND(BH289-BK289,6)</f>
        <v>0</v>
      </c>
      <c r="BM289" s="80">
        <f>IF(BE289=1,ROUND(AR289/60,6),0)</f>
        <v>0</v>
      </c>
      <c r="BN289" s="80">
        <f>ROUND(BI289-BM289,6)</f>
        <v>0</v>
      </c>
      <c r="BO289" s="80">
        <f>IF(BE289=1,ROUND(AS289/60,6),0)</f>
        <v>0</v>
      </c>
      <c r="BP289" s="80">
        <f>ROUND(BJ289-BO289,6)</f>
        <v>0</v>
      </c>
      <c r="BQ289" s="80">
        <f>IF(BE289=1,AW289,0)</f>
        <v>0</v>
      </c>
      <c r="BR289" s="80">
        <f>IF(BE289=1,AX289,0)</f>
        <v>0</v>
      </c>
      <c r="BS289" s="80">
        <f>IF(AND(BE289=1,D289="Malcolm",BA289&gt;0),MIN(BH289,SUMPRODUCT((R_Emp="proMX")*(R_EN&gt;0)*((R_EN-(R_EN&gt;BR289)*(R_EN-BR289))&gt;(R_SN+(R_SN&lt;BQ289)*(BQ289-R_SN)))*((R_EN-(R_EN&gt;BR289)*(R_EN-BR289))-(R_SN+(R_SN&lt;BQ289)*(BQ289-R_SN))))/60),0)</f>
        <v>0</v>
      </c>
      <c r="BT289" s="80">
        <f>IF(AND(BE289=1,D289="proMX"),ROUND(BI289*CFG_RATE+BJ289*CFG_OTRATE,6),0)</f>
        <v>0</v>
      </c>
      <c r="BU289" s="80">
        <f>IF(AND(BD289=1,D289="proMX"),ROUND(AG289/CFG_BLK,6),0)</f>
        <v>0</v>
      </c>
      <c r="BV289" s="80" t="str">
        <f>IF(BF289="Approved",IF(ISNUMBER(T289),INT(T289),INT(B289)),"")</f>
        <v/>
      </c>
      <c r="BW289" s="80">
        <f>IF(ISNUMBER(B289),IF(DB_MON="Todos",1,IF(AND(INT(B289)&gt;=DB_MS,INT(B289)&lt;=DB_ME),1,0)),0)</f>
        <v>0</v>
      </c>
      <c r="BX289" s="80">
        <f>IF(DB_PROJ="Todos",1,IF(E289&amp;""=DB_PROJ&amp;"",1,0))</f>
        <v>1</v>
      </c>
      <c r="BY289" s="80">
        <f>BW289*BX289</f>
        <v>0</v>
      </c>
      <c r="BZ289" s="80" t="str">
        <f>IF(Y289=1,F289&amp;IF(AND(F289&amp;""&lt;&gt;"",E289&amp;""&lt;&gt;"")," · ","")&amp;E289,"")</f>
        <v/>
      </c>
      <c r="CA289" s="80" t="str">
        <f>IF(AND(BD289=1,E289&amp;""&lt;&gt;""),IF(COUNTIFS($E$5:E288,E289,$BD$5:BD288,1)=0,MAX($CA$5:CA288)+1,""),"")</f>
        <v/>
      </c>
      <c r="CB289" s="80" t="str">
        <f>IF(AND(BE289=1,D289="Malcolm",E289&amp;""&lt;&gt;""),IF(COUNTIFS($D$5:D288,"Malcolm",$E$5:E288,E289,$BE$5:BE288,1)=0,MAX($CB$5:CB288)+1,""),"")</f>
        <v/>
      </c>
      <c r="CC289" s="80" t="str">
        <f>IF(AND(BD289=1,D289="proMX",E289&amp;""&lt;&gt;""),IF(COUNTIFS($D$5:D288,"proMX",$E$5:E288,E289,$BD$5:BD288,1)=0,MAX($CC$5:CC288)+1,""),"")</f>
        <v/>
      </c>
      <c r="CD289" s="80" t="str">
        <f>IF(AND(BE289=1,D289="Malcolm",F289&amp;""&lt;&gt;""),IF(COUNTIFS($D$5:D288,"Malcolm",$F$5:F288,F289,$BE$5:BE288,1)=0,MAX($CD$5:CD288)+1,""),"")</f>
        <v/>
      </c>
      <c r="CE289" s="80" t="str">
        <f>IF(AND(BD289=1,D289="proMX",F289&amp;""&lt;&gt;""),IF(COUNTIFS($D$5:D288,"proMX",$F$5:F288,F289,$BD$5:BD288,1)=0,MAX($CE$5:CE288)+1,""),"")</f>
        <v/>
      </c>
      <c r="CF289" s="80" t="str">
        <f>IF(AND(D289="proMX",BD289=1),IF(OR(BF289="Draft",BF289="Submitted",BF289="Returned",BF289="Recall Requested"),MAX($CF$5:CF288)+1,""),"")</f>
        <v/>
      </c>
      <c r="CG289" s="80">
        <f>IF(BD289=0,0,IF(D289="Malcolm",1,MATCH(BF289,{"Draft","Submitted","Approved","Returned","Recall Requested","Cancelled"},0)+1))</f>
        <v>0</v>
      </c>
      <c r="CH289" s="80">
        <f>IF(AND(BF289="Submitted",ISNUMBER(V289)),IF(V289&gt;CFG_MAXD,1,0),0)</f>
        <v>0</v>
      </c>
    </row>
    <row r="290">
      <c r="A290" s="71" t="str">
        <f>IF(Y290=1,ROW()-5,"")</f>
        <v/>
      </c>
      <c r="B290" s="72" t="n"/>
      <c r="C290" s="71" t="str">
        <f>IF(ISNUMBER(B290),CHOOSE(WEEKDAY(B290,2),"Lun","Mar","Mié","Jue","Vie","Sáb","Dom"),"")</f>
        <v/>
      </c>
      <c r="D290" s="73" t="n"/>
      <c r="E290" s="74" t="n"/>
      <c r="F290" s="74" t="n"/>
      <c r="G290" s="74" t="n"/>
      <c r="H290" s="75" t="n"/>
      <c r="I290" s="75" t="n"/>
      <c r="J290" s="76" t="n"/>
      <c r="K290" s="77" t="str">
        <f>IF(AB290=1,ROUND(AG290/60,4),"")</f>
        <v/>
      </c>
      <c r="L290" s="77" t="str">
        <f>IF(BD290=1,ROUND(AP290/60,4),"")</f>
        <v/>
      </c>
      <c r="M290" s="77" t="str">
        <f>IF(BD290=1,ROUND(AQ290/60,4),"")</f>
        <v/>
      </c>
      <c r="N290" s="71" t="str">
        <f>IF(AND(D290="proMX",AB290=1),ROUND(AG290/CFG_BLK,2),"")</f>
        <v/>
      </c>
      <c r="O290" s="77" t="str">
        <f>IF(D290="proMX",IF(BD290=1,ROUND(AG290/60,4),0),"")</f>
        <v/>
      </c>
      <c r="P290" s="78" t="str">
        <f>IF(Y290=0,"",IF(BD290=1,"OK",IF(D290="proMX","Revisar bloques: ","Revisar: ")&amp;BC290))</f>
        <v/>
      </c>
      <c r="Q290" s="78" t="str">
        <f>IF(NOT(ISNUMBER(B290)),"",IF(COUNTIFS(FER_F,INT(B290))&gt;0,"Feriado"&amp;IF(AH290=1," (laborable)"," (no laborable)"),IF(AH290=1,"Laborable",IF(WEEKDAY(B290,2)&gt;5,"Fin de semana","No laborable"))))</f>
        <v/>
      </c>
      <c r="R290" s="73" t="n"/>
      <c r="S290" s="72" t="n"/>
      <c r="T290" s="72" t="n"/>
      <c r="U290" s="74" t="n"/>
      <c r="V290" s="79" t="str">
        <f>IF(AND(D290="proMX",OR(R290="Submitted",R290="Recall Requested"),ISNUMBER(S290)),CFG_TODAY-INT(S290),"")</f>
        <v/>
      </c>
      <c r="W290" s="78" t="str">
        <f>IF(BD290=0,"",IF(BA290&gt;0,"⚠ Se superpone con un registro de la otra empresa",IF(D290="Malcolm",IF(COUNTA(R290,S290,T290)&gt;0,"Estado/fechas proMX se ignoran en Malcolm",""),IF(BF290="Cancelled","Cancelado: excluido de totales",IF(R290="","Sin estado: se trata como Draft",IF(BF290="Submitted",IF(ISNUMBER(V290),IF(V290&gt;CFG_MAXD,"⚠ "&amp;V290&amp;" días en Submitted (máx. "&amp;CFG_MAXD&amp;")",""),"Falta fecha de envío"),IF(BF290="Returned","⚠ Devuelto: corregir y reenviar",IF(BF290="Recall Requested","Retirada solicitada: pendiente",IF(AND(BF290="Approved",NOT(ISNUMBER(T290))),"Falta fecha de aprobación",IF(AND(ISNUMBER(S290),ISNUMBER(T290),T290&lt;S290),"Aprobación anterior al envío","")))))))))</f>
        <v/>
      </c>
      <c r="Y290" s="80">
        <f>IF(COUNTA(B290,D290,E290,F290,G290,H290,I290,J290,R290,S290,T290)&gt;0,1,0)</f>
        <v>0</v>
      </c>
      <c r="Z290" s="80" t="str">
        <f>IF(AND(ISNUMBER(H290),H290&gt;=0,H290&lt;1),ROUND(H290*1440,0),"")</f>
        <v/>
      </c>
      <c r="AA290" s="80" t="str">
        <f>IF(AND(ISNUMBER(I290),I290&gt;=0,I290&lt;1),ROUND(I290*1440,0),"")</f>
        <v/>
      </c>
      <c r="AB290" s="80">
        <f>IF(AND(ISNUMBER(B290),D290&lt;&gt;"",ISNUMBER(Z290),ISNUMBER(AA290)),IF(Z290=AA290,0,1),0)</f>
        <v>0</v>
      </c>
      <c r="AC290" s="80">
        <f>IF(AB290=1,IF(AA290&lt;Z290,1,0),0)</f>
        <v>0</v>
      </c>
      <c r="AD290" s="80">
        <f>IF(AB290=1,IF(AC290=1,1440-Z290+AA290,AA290-Z290),0)</f>
        <v>0</v>
      </c>
      <c r="AE290" s="80">
        <f>IF(J290="",0,IF(ISNUMBER(J290),J290,-1))</f>
        <v>0</v>
      </c>
      <c r="AF290" s="80">
        <f>MIN(MAX(0,AE290),AD290)</f>
        <v>0</v>
      </c>
      <c r="AG290" s="80">
        <f>MAX(0,AD290-MAX(0,AE290))</f>
        <v>0</v>
      </c>
      <c r="AH290" s="80">
        <f>IF(ISNUMBER(B290),IF(AND(INDEX(CFG_WDAYS,WEEKDAY(INT(B290),2))="Sí",IF(D290="proMX",COUNTIFS(FER_F,INT(B290),FER_NLP,"Sí"),COUNTIFS(FER_F,INT(B290),FER_NLM,"Sí"))=0),1,0),0)</f>
        <v>0</v>
      </c>
      <c r="AI290" s="80">
        <f>IF(AC290=1,IF(AND(INDEX(CFG_WDAYS,WEEKDAY(INT(B290)+1,2))="Sí",IF(D290="proMX",COUNTIFS(FER_F,INT(B290)+1,FER_NLP,"Sí"),COUNTIFS(FER_F,INT(B290)+1,FER_NLM,"Sí"))=0),1,0),0)</f>
        <v>0</v>
      </c>
      <c r="AJ290" s="80">
        <f>IF(AC290=1,1440-Z290,AD290)</f>
        <v>0</v>
      </c>
      <c r="AK290" s="80">
        <f>IF(AND(AB290=1,AH290=1),MAX(0,MIN(IF(AC290=1,1440,AA290),CFG_WEM)-MAX(Z290,CFG_WSM)),0)</f>
        <v>0</v>
      </c>
      <c r="AL290" s="80">
        <f>IF(AND(AC290=1,AI290=1),MAX(0,MIN(AA290,CFG_WEM)-CFG_WSM),0)</f>
        <v>0</v>
      </c>
      <c r="AM290" s="80">
        <f>AK290+AL290</f>
        <v>0</v>
      </c>
      <c r="AN290" s="80">
        <f>IF(CFG_BRK="Proporcional",IF(AD290=0,0,AF290*AM290/AD290),IF(CFG_BRK="Extras primero",MIN(AM290,MAX(0,AF290-(AD290-AM290))),MIN(AF290,AM290)))</f>
        <v>0</v>
      </c>
      <c r="AO290" s="80">
        <f>AF290-AN290</f>
        <v>0</v>
      </c>
      <c r="AP290" s="80">
        <f>AM290-AN290</f>
        <v>0</v>
      </c>
      <c r="AQ290" s="80">
        <f>AD290-AM290-AO290</f>
        <v>0</v>
      </c>
      <c r="AR290" s="80">
        <f>IF(AM290=0,0,AK290-AN290*AK290/AM290)</f>
        <v>0</v>
      </c>
      <c r="AS290" s="80">
        <f>IF(AD290-AM290=0,0,(AJ290-AK290)-AO290*(AJ290-AK290)/(AD290-AM290))</f>
        <v>0</v>
      </c>
      <c r="AT290" s="80" t="str">
        <f>IF(AC290=1,INT(B290)+1,"")</f>
        <v/>
      </c>
      <c r="AU290" s="80">
        <f>IF(AND(D290="proMX",R290="Cancelled"),0,1)</f>
        <v>1</v>
      </c>
      <c r="AV290" s="80">
        <f>IF(AND(AB290=1,AU290=1),IF(COUNTIFS($D$5:D289,D290,$B$5:B289,B290,$Z$5:Z289,Z290,$AA$5:AA289,AA290,$F$5:F289,F290&amp;"",$AU$5:AU289,1)&gt;0,1,0),0)</f>
        <v>0</v>
      </c>
      <c r="AW290" s="80" t="str">
        <f>IF(AB290=1,INT(B290)*1440+Z290,"")</f>
        <v/>
      </c>
      <c r="AX290" s="80" t="str">
        <f>IF(AB290=1,AW290+AD290,"")</f>
        <v/>
      </c>
      <c r="AY290" s="80">
        <f>IF(AND(AB290=1,AV290=0,AU290=1),1,0)</f>
        <v>0</v>
      </c>
      <c r="AZ290" s="80">
        <f>IF(AY290=1,COUNTIFS(R_Emp,D290,R_SAbs,"&lt;"&amp;AX290,R_EAbs,"&gt;"&amp;AW290,R_OKey,1)-1,0)</f>
        <v>0</v>
      </c>
      <c r="BA290" s="80">
        <f>IF(AY290=1,COUNTIFS(R_Emp,"&lt;&gt;"&amp;D290,R_SAbs,"&lt;"&amp;AX290,R_EAbs,"&gt;"&amp;AW290,R_OKey,1),0)</f>
        <v>0</v>
      </c>
      <c r="BB290" s="80">
        <f>IF(AND(AB290=1,D290="proMX"),IF(AND(MOD(Z290,CFG_BLK)=0,MOD(AA290,CFG_BLK)=0,MOD(AG290,CFG_BLK)=0,AG290&gt;0),1,0),1)</f>
        <v>1</v>
      </c>
      <c r="BC290" s="80" t="str">
        <f>IF(Y290=0,"",IF(NOT(ISNUMBER(B290)),"Falta fecha o fecha inválida",IF(D290="","Falta empresa",IF(AND(D290&lt;&gt;"Malcolm",D290&lt;&gt;"proMX"),"Empresa inválida",IF(OR(INT(B290)&lt;CFG_PSTART,INT(B290)&gt;CFG_PEND),"Fecha fuera del período",IF(OR(NOT(ISNUMBER(Z290)),NOT(ISNUMBER(AA290))),"Falta hora inicio/fin o formato inválido",IF(AB290=0,"Hora inicio = hora fin",IF(AE290&lt;0,"Descanso inválido",IF(AE290&gt;=AD290,"Descanso ≥ duración",IF(AV290=1,"Registro duplicado",IF(AZ290&gt;0,"Se superpone con otro registro "&amp;D290,IF(BB290=0,"inicio, fin y duración neta deben ser múltiplos de "&amp;CFG_BLK&amp;" min",""))))))))))))</f>
        <v/>
      </c>
      <c r="BD290" s="80">
        <f>IF(AND(Y290=1,BC290=""),1,0)</f>
        <v>0</v>
      </c>
      <c r="BE290" s="80">
        <f>IF(AND(BD290=1,AU290=1),1,0)</f>
        <v>0</v>
      </c>
      <c r="BF290" s="80" t="str">
        <f>IF(AND(D290="proMX",BD290=1),IF(R290="","Draft",R290),"")</f>
        <v/>
      </c>
      <c r="BG290" s="80">
        <f>IF(BD290=1,ROUND(AG290/60,6),0)</f>
        <v>0</v>
      </c>
      <c r="BH290" s="80">
        <f>IF(BE290=1,ROUND(AG290/60,6),0)</f>
        <v>0</v>
      </c>
      <c r="BI290" s="80">
        <f>IF(BE290=1,ROUND(AP290/60,6),0)</f>
        <v>0</v>
      </c>
      <c r="BJ290" s="80">
        <f>IF(BE290=1,ROUND(AQ290/60,6),0)</f>
        <v>0</v>
      </c>
      <c r="BK290" s="80">
        <f>IF(BE290=1,ROUND((AR290+AS290)/60,6),0)</f>
        <v>0</v>
      </c>
      <c r="BL290" s="80">
        <f>ROUND(BH290-BK290,6)</f>
        <v>0</v>
      </c>
      <c r="BM290" s="80">
        <f>IF(BE290=1,ROUND(AR290/60,6),0)</f>
        <v>0</v>
      </c>
      <c r="BN290" s="80">
        <f>ROUND(BI290-BM290,6)</f>
        <v>0</v>
      </c>
      <c r="BO290" s="80">
        <f>IF(BE290=1,ROUND(AS290/60,6),0)</f>
        <v>0</v>
      </c>
      <c r="BP290" s="80">
        <f>ROUND(BJ290-BO290,6)</f>
        <v>0</v>
      </c>
      <c r="BQ290" s="80">
        <f>IF(BE290=1,AW290,0)</f>
        <v>0</v>
      </c>
      <c r="BR290" s="80">
        <f>IF(BE290=1,AX290,0)</f>
        <v>0</v>
      </c>
      <c r="BS290" s="80">
        <f>IF(AND(BE290=1,D290="Malcolm",BA290&gt;0),MIN(BH290,SUMPRODUCT((R_Emp="proMX")*(R_EN&gt;0)*((R_EN-(R_EN&gt;BR290)*(R_EN-BR290))&gt;(R_SN+(R_SN&lt;BQ290)*(BQ290-R_SN)))*((R_EN-(R_EN&gt;BR290)*(R_EN-BR290))-(R_SN+(R_SN&lt;BQ290)*(BQ290-R_SN))))/60),0)</f>
        <v>0</v>
      </c>
      <c r="BT290" s="80">
        <f>IF(AND(BE290=1,D290="proMX"),ROUND(BI290*CFG_RATE+BJ290*CFG_OTRATE,6),0)</f>
        <v>0</v>
      </c>
      <c r="BU290" s="80">
        <f>IF(AND(BD290=1,D290="proMX"),ROUND(AG290/CFG_BLK,6),0)</f>
        <v>0</v>
      </c>
      <c r="BV290" s="80" t="str">
        <f>IF(BF290="Approved",IF(ISNUMBER(T290),INT(T290),INT(B290)),"")</f>
        <v/>
      </c>
      <c r="BW290" s="80">
        <f>IF(ISNUMBER(B290),IF(DB_MON="Todos",1,IF(AND(INT(B290)&gt;=DB_MS,INT(B290)&lt;=DB_ME),1,0)),0)</f>
        <v>0</v>
      </c>
      <c r="BX290" s="80">
        <f>IF(DB_PROJ="Todos",1,IF(E290&amp;""=DB_PROJ&amp;"",1,0))</f>
        <v>1</v>
      </c>
      <c r="BY290" s="80">
        <f>BW290*BX290</f>
        <v>0</v>
      </c>
      <c r="BZ290" s="80" t="str">
        <f>IF(Y290=1,F290&amp;IF(AND(F290&amp;""&lt;&gt;"",E290&amp;""&lt;&gt;"")," · ","")&amp;E290,"")</f>
        <v/>
      </c>
      <c r="CA290" s="80" t="str">
        <f>IF(AND(BD290=1,E290&amp;""&lt;&gt;""),IF(COUNTIFS($E$5:E289,E290,$BD$5:BD289,1)=0,MAX($CA$5:CA289)+1,""),"")</f>
        <v/>
      </c>
      <c r="CB290" s="80" t="str">
        <f>IF(AND(BE290=1,D290="Malcolm",E290&amp;""&lt;&gt;""),IF(COUNTIFS($D$5:D289,"Malcolm",$E$5:E289,E290,$BE$5:BE289,1)=0,MAX($CB$5:CB289)+1,""),"")</f>
        <v/>
      </c>
      <c r="CC290" s="80" t="str">
        <f>IF(AND(BD290=1,D290="proMX",E290&amp;""&lt;&gt;""),IF(COUNTIFS($D$5:D289,"proMX",$E$5:E289,E290,$BD$5:BD289,1)=0,MAX($CC$5:CC289)+1,""),"")</f>
        <v/>
      </c>
      <c r="CD290" s="80" t="str">
        <f>IF(AND(BE290=1,D290="Malcolm",F290&amp;""&lt;&gt;""),IF(COUNTIFS($D$5:D289,"Malcolm",$F$5:F289,F290,$BE$5:BE289,1)=0,MAX($CD$5:CD289)+1,""),"")</f>
        <v/>
      </c>
      <c r="CE290" s="80" t="str">
        <f>IF(AND(BD290=1,D290="proMX",F290&amp;""&lt;&gt;""),IF(COUNTIFS($D$5:D289,"proMX",$F$5:F289,F290,$BD$5:BD289,1)=0,MAX($CE$5:CE289)+1,""),"")</f>
        <v/>
      </c>
      <c r="CF290" s="80" t="str">
        <f>IF(AND(D290="proMX",BD290=1),IF(OR(BF290="Draft",BF290="Submitted",BF290="Returned",BF290="Recall Requested"),MAX($CF$5:CF289)+1,""),"")</f>
        <v/>
      </c>
      <c r="CG290" s="80">
        <f>IF(BD290=0,0,IF(D290="Malcolm",1,MATCH(BF290,{"Draft","Submitted","Approved","Returned","Recall Requested","Cancelled"},0)+1))</f>
        <v>0</v>
      </c>
      <c r="CH290" s="80">
        <f>IF(AND(BF290="Submitted",ISNUMBER(V290)),IF(V290&gt;CFG_MAXD,1,0),0)</f>
        <v>0</v>
      </c>
    </row>
    <row r="291">
      <c r="A291" s="71" t="str">
        <f>IF(Y291=1,ROW()-5,"")</f>
        <v/>
      </c>
      <c r="B291" s="72" t="n"/>
      <c r="C291" s="71" t="str">
        <f>IF(ISNUMBER(B291),CHOOSE(WEEKDAY(B291,2),"Lun","Mar","Mié","Jue","Vie","Sáb","Dom"),"")</f>
        <v/>
      </c>
      <c r="D291" s="73" t="n"/>
      <c r="E291" s="74" t="n"/>
      <c r="F291" s="74" t="n"/>
      <c r="G291" s="74" t="n"/>
      <c r="H291" s="75" t="n"/>
      <c r="I291" s="75" t="n"/>
      <c r="J291" s="76" t="n"/>
      <c r="K291" s="77" t="str">
        <f>IF(AB291=1,ROUND(AG291/60,4),"")</f>
        <v/>
      </c>
      <c r="L291" s="77" t="str">
        <f>IF(BD291=1,ROUND(AP291/60,4),"")</f>
        <v/>
      </c>
      <c r="M291" s="77" t="str">
        <f>IF(BD291=1,ROUND(AQ291/60,4),"")</f>
        <v/>
      </c>
      <c r="N291" s="71" t="str">
        <f>IF(AND(D291="proMX",AB291=1),ROUND(AG291/CFG_BLK,2),"")</f>
        <v/>
      </c>
      <c r="O291" s="77" t="str">
        <f>IF(D291="proMX",IF(BD291=1,ROUND(AG291/60,4),0),"")</f>
        <v/>
      </c>
      <c r="P291" s="78" t="str">
        <f>IF(Y291=0,"",IF(BD291=1,"OK",IF(D291="proMX","Revisar bloques: ","Revisar: ")&amp;BC291))</f>
        <v/>
      </c>
      <c r="Q291" s="78" t="str">
        <f>IF(NOT(ISNUMBER(B291)),"",IF(COUNTIFS(FER_F,INT(B291))&gt;0,"Feriado"&amp;IF(AH291=1," (laborable)"," (no laborable)"),IF(AH291=1,"Laborable",IF(WEEKDAY(B291,2)&gt;5,"Fin de semana","No laborable"))))</f>
        <v/>
      </c>
      <c r="R291" s="73" t="n"/>
      <c r="S291" s="72" t="n"/>
      <c r="T291" s="72" t="n"/>
      <c r="U291" s="74" t="n"/>
      <c r="V291" s="79" t="str">
        <f>IF(AND(D291="proMX",OR(R291="Submitted",R291="Recall Requested"),ISNUMBER(S291)),CFG_TODAY-INT(S291),"")</f>
        <v/>
      </c>
      <c r="W291" s="78" t="str">
        <f>IF(BD291=0,"",IF(BA291&gt;0,"⚠ Se superpone con un registro de la otra empresa",IF(D291="Malcolm",IF(COUNTA(R291,S291,T291)&gt;0,"Estado/fechas proMX se ignoran en Malcolm",""),IF(BF291="Cancelled","Cancelado: excluido de totales",IF(R291="","Sin estado: se trata como Draft",IF(BF291="Submitted",IF(ISNUMBER(V291),IF(V291&gt;CFG_MAXD,"⚠ "&amp;V291&amp;" días en Submitted (máx. "&amp;CFG_MAXD&amp;")",""),"Falta fecha de envío"),IF(BF291="Returned","⚠ Devuelto: corregir y reenviar",IF(BF291="Recall Requested","Retirada solicitada: pendiente",IF(AND(BF291="Approved",NOT(ISNUMBER(T291))),"Falta fecha de aprobación",IF(AND(ISNUMBER(S291),ISNUMBER(T291),T291&lt;S291),"Aprobación anterior al envío","")))))))))</f>
        <v/>
      </c>
      <c r="Y291" s="80">
        <f>IF(COUNTA(B291,D291,E291,F291,G291,H291,I291,J291,R291,S291,T291)&gt;0,1,0)</f>
        <v>0</v>
      </c>
      <c r="Z291" s="80" t="str">
        <f>IF(AND(ISNUMBER(H291),H291&gt;=0,H291&lt;1),ROUND(H291*1440,0),"")</f>
        <v/>
      </c>
      <c r="AA291" s="80" t="str">
        <f>IF(AND(ISNUMBER(I291),I291&gt;=0,I291&lt;1),ROUND(I291*1440,0),"")</f>
        <v/>
      </c>
      <c r="AB291" s="80">
        <f>IF(AND(ISNUMBER(B291),D291&lt;&gt;"",ISNUMBER(Z291),ISNUMBER(AA291)),IF(Z291=AA291,0,1),0)</f>
        <v>0</v>
      </c>
      <c r="AC291" s="80">
        <f>IF(AB291=1,IF(AA291&lt;Z291,1,0),0)</f>
        <v>0</v>
      </c>
      <c r="AD291" s="80">
        <f>IF(AB291=1,IF(AC291=1,1440-Z291+AA291,AA291-Z291),0)</f>
        <v>0</v>
      </c>
      <c r="AE291" s="80">
        <f>IF(J291="",0,IF(ISNUMBER(J291),J291,-1))</f>
        <v>0</v>
      </c>
      <c r="AF291" s="80">
        <f>MIN(MAX(0,AE291),AD291)</f>
        <v>0</v>
      </c>
      <c r="AG291" s="80">
        <f>MAX(0,AD291-MAX(0,AE291))</f>
        <v>0</v>
      </c>
      <c r="AH291" s="80">
        <f>IF(ISNUMBER(B291),IF(AND(INDEX(CFG_WDAYS,WEEKDAY(INT(B291),2))="Sí",IF(D291="proMX",COUNTIFS(FER_F,INT(B291),FER_NLP,"Sí"),COUNTIFS(FER_F,INT(B291),FER_NLM,"Sí"))=0),1,0),0)</f>
        <v>0</v>
      </c>
      <c r="AI291" s="80">
        <f>IF(AC291=1,IF(AND(INDEX(CFG_WDAYS,WEEKDAY(INT(B291)+1,2))="Sí",IF(D291="proMX",COUNTIFS(FER_F,INT(B291)+1,FER_NLP,"Sí"),COUNTIFS(FER_F,INT(B291)+1,FER_NLM,"Sí"))=0),1,0),0)</f>
        <v>0</v>
      </c>
      <c r="AJ291" s="80">
        <f>IF(AC291=1,1440-Z291,AD291)</f>
        <v>0</v>
      </c>
      <c r="AK291" s="80">
        <f>IF(AND(AB291=1,AH291=1),MAX(0,MIN(IF(AC291=1,1440,AA291),CFG_WEM)-MAX(Z291,CFG_WSM)),0)</f>
        <v>0</v>
      </c>
      <c r="AL291" s="80">
        <f>IF(AND(AC291=1,AI291=1),MAX(0,MIN(AA291,CFG_WEM)-CFG_WSM),0)</f>
        <v>0</v>
      </c>
      <c r="AM291" s="80">
        <f>AK291+AL291</f>
        <v>0</v>
      </c>
      <c r="AN291" s="80">
        <f>IF(CFG_BRK="Proporcional",IF(AD291=0,0,AF291*AM291/AD291),IF(CFG_BRK="Extras primero",MIN(AM291,MAX(0,AF291-(AD291-AM291))),MIN(AF291,AM291)))</f>
        <v>0</v>
      </c>
      <c r="AO291" s="80">
        <f>AF291-AN291</f>
        <v>0</v>
      </c>
      <c r="AP291" s="80">
        <f>AM291-AN291</f>
        <v>0</v>
      </c>
      <c r="AQ291" s="80">
        <f>AD291-AM291-AO291</f>
        <v>0</v>
      </c>
      <c r="AR291" s="80">
        <f>IF(AM291=0,0,AK291-AN291*AK291/AM291)</f>
        <v>0</v>
      </c>
      <c r="AS291" s="80">
        <f>IF(AD291-AM291=0,0,(AJ291-AK291)-AO291*(AJ291-AK291)/(AD291-AM291))</f>
        <v>0</v>
      </c>
      <c r="AT291" s="80" t="str">
        <f>IF(AC291=1,INT(B291)+1,"")</f>
        <v/>
      </c>
      <c r="AU291" s="80">
        <f>IF(AND(D291="proMX",R291="Cancelled"),0,1)</f>
        <v>1</v>
      </c>
      <c r="AV291" s="80">
        <f>IF(AND(AB291=1,AU291=1),IF(COUNTIFS($D$5:D290,D291,$B$5:B290,B291,$Z$5:Z290,Z291,$AA$5:AA290,AA291,$F$5:F290,F291&amp;"",$AU$5:AU290,1)&gt;0,1,0),0)</f>
        <v>0</v>
      </c>
      <c r="AW291" s="80" t="str">
        <f>IF(AB291=1,INT(B291)*1440+Z291,"")</f>
        <v/>
      </c>
      <c r="AX291" s="80" t="str">
        <f>IF(AB291=1,AW291+AD291,"")</f>
        <v/>
      </c>
      <c r="AY291" s="80">
        <f>IF(AND(AB291=1,AV291=0,AU291=1),1,0)</f>
        <v>0</v>
      </c>
      <c r="AZ291" s="80">
        <f>IF(AY291=1,COUNTIFS(R_Emp,D291,R_SAbs,"&lt;"&amp;AX291,R_EAbs,"&gt;"&amp;AW291,R_OKey,1)-1,0)</f>
        <v>0</v>
      </c>
      <c r="BA291" s="80">
        <f>IF(AY291=1,COUNTIFS(R_Emp,"&lt;&gt;"&amp;D291,R_SAbs,"&lt;"&amp;AX291,R_EAbs,"&gt;"&amp;AW291,R_OKey,1),0)</f>
        <v>0</v>
      </c>
      <c r="BB291" s="80">
        <f>IF(AND(AB291=1,D291="proMX"),IF(AND(MOD(Z291,CFG_BLK)=0,MOD(AA291,CFG_BLK)=0,MOD(AG291,CFG_BLK)=0,AG291&gt;0),1,0),1)</f>
        <v>1</v>
      </c>
      <c r="BC291" s="80" t="str">
        <f>IF(Y291=0,"",IF(NOT(ISNUMBER(B291)),"Falta fecha o fecha inválida",IF(D291="","Falta empresa",IF(AND(D291&lt;&gt;"Malcolm",D291&lt;&gt;"proMX"),"Empresa inválida",IF(OR(INT(B291)&lt;CFG_PSTART,INT(B291)&gt;CFG_PEND),"Fecha fuera del período",IF(OR(NOT(ISNUMBER(Z291)),NOT(ISNUMBER(AA291))),"Falta hora inicio/fin o formato inválido",IF(AB291=0,"Hora inicio = hora fin",IF(AE291&lt;0,"Descanso inválido",IF(AE291&gt;=AD291,"Descanso ≥ duración",IF(AV291=1,"Registro duplicado",IF(AZ291&gt;0,"Se superpone con otro registro "&amp;D291,IF(BB291=0,"inicio, fin y duración neta deben ser múltiplos de "&amp;CFG_BLK&amp;" min",""))))))))))))</f>
        <v/>
      </c>
      <c r="BD291" s="80">
        <f>IF(AND(Y291=1,BC291=""),1,0)</f>
        <v>0</v>
      </c>
      <c r="BE291" s="80">
        <f>IF(AND(BD291=1,AU291=1),1,0)</f>
        <v>0</v>
      </c>
      <c r="BF291" s="80" t="str">
        <f>IF(AND(D291="proMX",BD291=1),IF(R291="","Draft",R291),"")</f>
        <v/>
      </c>
      <c r="BG291" s="80">
        <f>IF(BD291=1,ROUND(AG291/60,6),0)</f>
        <v>0</v>
      </c>
      <c r="BH291" s="80">
        <f>IF(BE291=1,ROUND(AG291/60,6),0)</f>
        <v>0</v>
      </c>
      <c r="BI291" s="80">
        <f>IF(BE291=1,ROUND(AP291/60,6),0)</f>
        <v>0</v>
      </c>
      <c r="BJ291" s="80">
        <f>IF(BE291=1,ROUND(AQ291/60,6),0)</f>
        <v>0</v>
      </c>
      <c r="BK291" s="80">
        <f>IF(BE291=1,ROUND((AR291+AS291)/60,6),0)</f>
        <v>0</v>
      </c>
      <c r="BL291" s="80">
        <f>ROUND(BH291-BK291,6)</f>
        <v>0</v>
      </c>
      <c r="BM291" s="80">
        <f>IF(BE291=1,ROUND(AR291/60,6),0)</f>
        <v>0</v>
      </c>
      <c r="BN291" s="80">
        <f>ROUND(BI291-BM291,6)</f>
        <v>0</v>
      </c>
      <c r="BO291" s="80">
        <f>IF(BE291=1,ROUND(AS291/60,6),0)</f>
        <v>0</v>
      </c>
      <c r="BP291" s="80">
        <f>ROUND(BJ291-BO291,6)</f>
        <v>0</v>
      </c>
      <c r="BQ291" s="80">
        <f>IF(BE291=1,AW291,0)</f>
        <v>0</v>
      </c>
      <c r="BR291" s="80">
        <f>IF(BE291=1,AX291,0)</f>
        <v>0</v>
      </c>
      <c r="BS291" s="80">
        <f>IF(AND(BE291=1,D291="Malcolm",BA291&gt;0),MIN(BH291,SUMPRODUCT((R_Emp="proMX")*(R_EN&gt;0)*((R_EN-(R_EN&gt;BR291)*(R_EN-BR291))&gt;(R_SN+(R_SN&lt;BQ291)*(BQ291-R_SN)))*((R_EN-(R_EN&gt;BR291)*(R_EN-BR291))-(R_SN+(R_SN&lt;BQ291)*(BQ291-R_SN))))/60),0)</f>
        <v>0</v>
      </c>
      <c r="BT291" s="80">
        <f>IF(AND(BE291=1,D291="proMX"),ROUND(BI291*CFG_RATE+BJ291*CFG_OTRATE,6),0)</f>
        <v>0</v>
      </c>
      <c r="BU291" s="80">
        <f>IF(AND(BD291=1,D291="proMX"),ROUND(AG291/CFG_BLK,6),0)</f>
        <v>0</v>
      </c>
      <c r="BV291" s="80" t="str">
        <f>IF(BF291="Approved",IF(ISNUMBER(T291),INT(T291),INT(B291)),"")</f>
        <v/>
      </c>
      <c r="BW291" s="80">
        <f>IF(ISNUMBER(B291),IF(DB_MON="Todos",1,IF(AND(INT(B291)&gt;=DB_MS,INT(B291)&lt;=DB_ME),1,0)),0)</f>
        <v>0</v>
      </c>
      <c r="BX291" s="80">
        <f>IF(DB_PROJ="Todos",1,IF(E291&amp;""=DB_PROJ&amp;"",1,0))</f>
        <v>1</v>
      </c>
      <c r="BY291" s="80">
        <f>BW291*BX291</f>
        <v>0</v>
      </c>
      <c r="BZ291" s="80" t="str">
        <f>IF(Y291=1,F291&amp;IF(AND(F291&amp;""&lt;&gt;"",E291&amp;""&lt;&gt;"")," · ","")&amp;E291,"")</f>
        <v/>
      </c>
      <c r="CA291" s="80" t="str">
        <f>IF(AND(BD291=1,E291&amp;""&lt;&gt;""),IF(COUNTIFS($E$5:E290,E291,$BD$5:BD290,1)=0,MAX($CA$5:CA290)+1,""),"")</f>
        <v/>
      </c>
      <c r="CB291" s="80" t="str">
        <f>IF(AND(BE291=1,D291="Malcolm",E291&amp;""&lt;&gt;""),IF(COUNTIFS($D$5:D290,"Malcolm",$E$5:E290,E291,$BE$5:BE290,1)=0,MAX($CB$5:CB290)+1,""),"")</f>
        <v/>
      </c>
      <c r="CC291" s="80" t="str">
        <f>IF(AND(BD291=1,D291="proMX",E291&amp;""&lt;&gt;""),IF(COUNTIFS($D$5:D290,"proMX",$E$5:E290,E291,$BD$5:BD290,1)=0,MAX($CC$5:CC290)+1,""),"")</f>
        <v/>
      </c>
      <c r="CD291" s="80" t="str">
        <f>IF(AND(BE291=1,D291="Malcolm",F291&amp;""&lt;&gt;""),IF(COUNTIFS($D$5:D290,"Malcolm",$F$5:F290,F291,$BE$5:BE290,1)=0,MAX($CD$5:CD290)+1,""),"")</f>
        <v/>
      </c>
      <c r="CE291" s="80" t="str">
        <f>IF(AND(BD291=1,D291="proMX",F291&amp;""&lt;&gt;""),IF(COUNTIFS($D$5:D290,"proMX",$F$5:F290,F291,$BD$5:BD290,1)=0,MAX($CE$5:CE290)+1,""),"")</f>
        <v/>
      </c>
      <c r="CF291" s="80" t="str">
        <f>IF(AND(D291="proMX",BD291=1),IF(OR(BF291="Draft",BF291="Submitted",BF291="Returned",BF291="Recall Requested"),MAX($CF$5:CF290)+1,""),"")</f>
        <v/>
      </c>
      <c r="CG291" s="80">
        <f>IF(BD291=0,0,IF(D291="Malcolm",1,MATCH(BF291,{"Draft","Submitted","Approved","Returned","Recall Requested","Cancelled"},0)+1))</f>
        <v>0</v>
      </c>
      <c r="CH291" s="80">
        <f>IF(AND(BF291="Submitted",ISNUMBER(V291)),IF(V291&gt;CFG_MAXD,1,0),0)</f>
        <v>0</v>
      </c>
    </row>
    <row r="292">
      <c r="A292" s="71" t="str">
        <f>IF(Y292=1,ROW()-5,"")</f>
        <v/>
      </c>
      <c r="B292" s="72" t="n"/>
      <c r="C292" s="71" t="str">
        <f>IF(ISNUMBER(B292),CHOOSE(WEEKDAY(B292,2),"Lun","Mar","Mié","Jue","Vie","Sáb","Dom"),"")</f>
        <v/>
      </c>
      <c r="D292" s="73" t="n"/>
      <c r="E292" s="74" t="n"/>
      <c r="F292" s="74" t="n"/>
      <c r="G292" s="74" t="n"/>
      <c r="H292" s="75" t="n"/>
      <c r="I292" s="75" t="n"/>
      <c r="J292" s="76" t="n"/>
      <c r="K292" s="77" t="str">
        <f>IF(AB292=1,ROUND(AG292/60,4),"")</f>
        <v/>
      </c>
      <c r="L292" s="77" t="str">
        <f>IF(BD292=1,ROUND(AP292/60,4),"")</f>
        <v/>
      </c>
      <c r="M292" s="77" t="str">
        <f>IF(BD292=1,ROUND(AQ292/60,4),"")</f>
        <v/>
      </c>
      <c r="N292" s="71" t="str">
        <f>IF(AND(D292="proMX",AB292=1),ROUND(AG292/CFG_BLK,2),"")</f>
        <v/>
      </c>
      <c r="O292" s="77" t="str">
        <f>IF(D292="proMX",IF(BD292=1,ROUND(AG292/60,4),0),"")</f>
        <v/>
      </c>
      <c r="P292" s="78" t="str">
        <f>IF(Y292=0,"",IF(BD292=1,"OK",IF(D292="proMX","Revisar bloques: ","Revisar: ")&amp;BC292))</f>
        <v/>
      </c>
      <c r="Q292" s="78" t="str">
        <f>IF(NOT(ISNUMBER(B292)),"",IF(COUNTIFS(FER_F,INT(B292))&gt;0,"Feriado"&amp;IF(AH292=1," (laborable)"," (no laborable)"),IF(AH292=1,"Laborable",IF(WEEKDAY(B292,2)&gt;5,"Fin de semana","No laborable"))))</f>
        <v/>
      </c>
      <c r="R292" s="73" t="n"/>
      <c r="S292" s="72" t="n"/>
      <c r="T292" s="72" t="n"/>
      <c r="U292" s="74" t="n"/>
      <c r="V292" s="79" t="str">
        <f>IF(AND(D292="proMX",OR(R292="Submitted",R292="Recall Requested"),ISNUMBER(S292)),CFG_TODAY-INT(S292),"")</f>
        <v/>
      </c>
      <c r="W292" s="78" t="str">
        <f>IF(BD292=0,"",IF(BA292&gt;0,"⚠ Se superpone con un registro de la otra empresa",IF(D292="Malcolm",IF(COUNTA(R292,S292,T292)&gt;0,"Estado/fechas proMX se ignoran en Malcolm",""),IF(BF292="Cancelled","Cancelado: excluido de totales",IF(R292="","Sin estado: se trata como Draft",IF(BF292="Submitted",IF(ISNUMBER(V292),IF(V292&gt;CFG_MAXD,"⚠ "&amp;V292&amp;" días en Submitted (máx. "&amp;CFG_MAXD&amp;")",""),"Falta fecha de envío"),IF(BF292="Returned","⚠ Devuelto: corregir y reenviar",IF(BF292="Recall Requested","Retirada solicitada: pendiente",IF(AND(BF292="Approved",NOT(ISNUMBER(T292))),"Falta fecha de aprobación",IF(AND(ISNUMBER(S292),ISNUMBER(T292),T292&lt;S292),"Aprobación anterior al envío","")))))))))</f>
        <v/>
      </c>
      <c r="Y292" s="80">
        <f>IF(COUNTA(B292,D292,E292,F292,G292,H292,I292,J292,R292,S292,T292)&gt;0,1,0)</f>
        <v>0</v>
      </c>
      <c r="Z292" s="80" t="str">
        <f>IF(AND(ISNUMBER(H292),H292&gt;=0,H292&lt;1),ROUND(H292*1440,0),"")</f>
        <v/>
      </c>
      <c r="AA292" s="80" t="str">
        <f>IF(AND(ISNUMBER(I292),I292&gt;=0,I292&lt;1),ROUND(I292*1440,0),"")</f>
        <v/>
      </c>
      <c r="AB292" s="80">
        <f>IF(AND(ISNUMBER(B292),D292&lt;&gt;"",ISNUMBER(Z292),ISNUMBER(AA292)),IF(Z292=AA292,0,1),0)</f>
        <v>0</v>
      </c>
      <c r="AC292" s="80">
        <f>IF(AB292=1,IF(AA292&lt;Z292,1,0),0)</f>
        <v>0</v>
      </c>
      <c r="AD292" s="80">
        <f>IF(AB292=1,IF(AC292=1,1440-Z292+AA292,AA292-Z292),0)</f>
        <v>0</v>
      </c>
      <c r="AE292" s="80">
        <f>IF(J292="",0,IF(ISNUMBER(J292),J292,-1))</f>
        <v>0</v>
      </c>
      <c r="AF292" s="80">
        <f>MIN(MAX(0,AE292),AD292)</f>
        <v>0</v>
      </c>
      <c r="AG292" s="80">
        <f>MAX(0,AD292-MAX(0,AE292))</f>
        <v>0</v>
      </c>
      <c r="AH292" s="80">
        <f>IF(ISNUMBER(B292),IF(AND(INDEX(CFG_WDAYS,WEEKDAY(INT(B292),2))="Sí",IF(D292="proMX",COUNTIFS(FER_F,INT(B292),FER_NLP,"Sí"),COUNTIFS(FER_F,INT(B292),FER_NLM,"Sí"))=0),1,0),0)</f>
        <v>0</v>
      </c>
      <c r="AI292" s="80">
        <f>IF(AC292=1,IF(AND(INDEX(CFG_WDAYS,WEEKDAY(INT(B292)+1,2))="Sí",IF(D292="proMX",COUNTIFS(FER_F,INT(B292)+1,FER_NLP,"Sí"),COUNTIFS(FER_F,INT(B292)+1,FER_NLM,"Sí"))=0),1,0),0)</f>
        <v>0</v>
      </c>
      <c r="AJ292" s="80">
        <f>IF(AC292=1,1440-Z292,AD292)</f>
        <v>0</v>
      </c>
      <c r="AK292" s="80">
        <f>IF(AND(AB292=1,AH292=1),MAX(0,MIN(IF(AC292=1,1440,AA292),CFG_WEM)-MAX(Z292,CFG_WSM)),0)</f>
        <v>0</v>
      </c>
      <c r="AL292" s="80">
        <f>IF(AND(AC292=1,AI292=1),MAX(0,MIN(AA292,CFG_WEM)-CFG_WSM),0)</f>
        <v>0</v>
      </c>
      <c r="AM292" s="80">
        <f>AK292+AL292</f>
        <v>0</v>
      </c>
      <c r="AN292" s="80">
        <f>IF(CFG_BRK="Proporcional",IF(AD292=0,0,AF292*AM292/AD292),IF(CFG_BRK="Extras primero",MIN(AM292,MAX(0,AF292-(AD292-AM292))),MIN(AF292,AM292)))</f>
        <v>0</v>
      </c>
      <c r="AO292" s="80">
        <f>AF292-AN292</f>
        <v>0</v>
      </c>
      <c r="AP292" s="80">
        <f>AM292-AN292</f>
        <v>0</v>
      </c>
      <c r="AQ292" s="80">
        <f>AD292-AM292-AO292</f>
        <v>0</v>
      </c>
      <c r="AR292" s="80">
        <f>IF(AM292=0,0,AK292-AN292*AK292/AM292)</f>
        <v>0</v>
      </c>
      <c r="AS292" s="80">
        <f>IF(AD292-AM292=0,0,(AJ292-AK292)-AO292*(AJ292-AK292)/(AD292-AM292))</f>
        <v>0</v>
      </c>
      <c r="AT292" s="80" t="str">
        <f>IF(AC292=1,INT(B292)+1,"")</f>
        <v/>
      </c>
      <c r="AU292" s="80">
        <f>IF(AND(D292="proMX",R292="Cancelled"),0,1)</f>
        <v>1</v>
      </c>
      <c r="AV292" s="80">
        <f>IF(AND(AB292=1,AU292=1),IF(COUNTIFS($D$5:D291,D292,$B$5:B291,B292,$Z$5:Z291,Z292,$AA$5:AA291,AA292,$F$5:F291,F292&amp;"",$AU$5:AU291,1)&gt;0,1,0),0)</f>
        <v>0</v>
      </c>
      <c r="AW292" s="80" t="str">
        <f>IF(AB292=1,INT(B292)*1440+Z292,"")</f>
        <v/>
      </c>
      <c r="AX292" s="80" t="str">
        <f>IF(AB292=1,AW292+AD292,"")</f>
        <v/>
      </c>
      <c r="AY292" s="80">
        <f>IF(AND(AB292=1,AV292=0,AU292=1),1,0)</f>
        <v>0</v>
      </c>
      <c r="AZ292" s="80">
        <f>IF(AY292=1,COUNTIFS(R_Emp,D292,R_SAbs,"&lt;"&amp;AX292,R_EAbs,"&gt;"&amp;AW292,R_OKey,1)-1,0)</f>
        <v>0</v>
      </c>
      <c r="BA292" s="80">
        <f>IF(AY292=1,COUNTIFS(R_Emp,"&lt;&gt;"&amp;D292,R_SAbs,"&lt;"&amp;AX292,R_EAbs,"&gt;"&amp;AW292,R_OKey,1),0)</f>
        <v>0</v>
      </c>
      <c r="BB292" s="80">
        <f>IF(AND(AB292=1,D292="proMX"),IF(AND(MOD(Z292,CFG_BLK)=0,MOD(AA292,CFG_BLK)=0,MOD(AG292,CFG_BLK)=0,AG292&gt;0),1,0),1)</f>
        <v>1</v>
      </c>
      <c r="BC292" s="80" t="str">
        <f>IF(Y292=0,"",IF(NOT(ISNUMBER(B292)),"Falta fecha o fecha inválida",IF(D292="","Falta empresa",IF(AND(D292&lt;&gt;"Malcolm",D292&lt;&gt;"proMX"),"Empresa inválida",IF(OR(INT(B292)&lt;CFG_PSTART,INT(B292)&gt;CFG_PEND),"Fecha fuera del período",IF(OR(NOT(ISNUMBER(Z292)),NOT(ISNUMBER(AA292))),"Falta hora inicio/fin o formato inválido",IF(AB292=0,"Hora inicio = hora fin",IF(AE292&lt;0,"Descanso inválido",IF(AE292&gt;=AD292,"Descanso ≥ duración",IF(AV292=1,"Registro duplicado",IF(AZ292&gt;0,"Se superpone con otro registro "&amp;D292,IF(BB292=0,"inicio, fin y duración neta deben ser múltiplos de "&amp;CFG_BLK&amp;" min",""))))))))))))</f>
        <v/>
      </c>
      <c r="BD292" s="80">
        <f>IF(AND(Y292=1,BC292=""),1,0)</f>
        <v>0</v>
      </c>
      <c r="BE292" s="80">
        <f>IF(AND(BD292=1,AU292=1),1,0)</f>
        <v>0</v>
      </c>
      <c r="BF292" s="80" t="str">
        <f>IF(AND(D292="proMX",BD292=1),IF(R292="","Draft",R292),"")</f>
        <v/>
      </c>
      <c r="BG292" s="80">
        <f>IF(BD292=1,ROUND(AG292/60,6),0)</f>
        <v>0</v>
      </c>
      <c r="BH292" s="80">
        <f>IF(BE292=1,ROUND(AG292/60,6),0)</f>
        <v>0</v>
      </c>
      <c r="BI292" s="80">
        <f>IF(BE292=1,ROUND(AP292/60,6),0)</f>
        <v>0</v>
      </c>
      <c r="BJ292" s="80">
        <f>IF(BE292=1,ROUND(AQ292/60,6),0)</f>
        <v>0</v>
      </c>
      <c r="BK292" s="80">
        <f>IF(BE292=1,ROUND((AR292+AS292)/60,6),0)</f>
        <v>0</v>
      </c>
      <c r="BL292" s="80">
        <f>ROUND(BH292-BK292,6)</f>
        <v>0</v>
      </c>
      <c r="BM292" s="80">
        <f>IF(BE292=1,ROUND(AR292/60,6),0)</f>
        <v>0</v>
      </c>
      <c r="BN292" s="80">
        <f>ROUND(BI292-BM292,6)</f>
        <v>0</v>
      </c>
      <c r="BO292" s="80">
        <f>IF(BE292=1,ROUND(AS292/60,6),0)</f>
        <v>0</v>
      </c>
      <c r="BP292" s="80">
        <f>ROUND(BJ292-BO292,6)</f>
        <v>0</v>
      </c>
      <c r="BQ292" s="80">
        <f>IF(BE292=1,AW292,0)</f>
        <v>0</v>
      </c>
      <c r="BR292" s="80">
        <f>IF(BE292=1,AX292,0)</f>
        <v>0</v>
      </c>
      <c r="BS292" s="80">
        <f>IF(AND(BE292=1,D292="Malcolm",BA292&gt;0),MIN(BH292,SUMPRODUCT((R_Emp="proMX")*(R_EN&gt;0)*((R_EN-(R_EN&gt;BR292)*(R_EN-BR292))&gt;(R_SN+(R_SN&lt;BQ292)*(BQ292-R_SN)))*((R_EN-(R_EN&gt;BR292)*(R_EN-BR292))-(R_SN+(R_SN&lt;BQ292)*(BQ292-R_SN))))/60),0)</f>
        <v>0</v>
      </c>
      <c r="BT292" s="80">
        <f>IF(AND(BE292=1,D292="proMX"),ROUND(BI292*CFG_RATE+BJ292*CFG_OTRATE,6),0)</f>
        <v>0</v>
      </c>
      <c r="BU292" s="80">
        <f>IF(AND(BD292=1,D292="proMX"),ROUND(AG292/CFG_BLK,6),0)</f>
        <v>0</v>
      </c>
      <c r="BV292" s="80" t="str">
        <f>IF(BF292="Approved",IF(ISNUMBER(T292),INT(T292),INT(B292)),"")</f>
        <v/>
      </c>
      <c r="BW292" s="80">
        <f>IF(ISNUMBER(B292),IF(DB_MON="Todos",1,IF(AND(INT(B292)&gt;=DB_MS,INT(B292)&lt;=DB_ME),1,0)),0)</f>
        <v>0</v>
      </c>
      <c r="BX292" s="80">
        <f>IF(DB_PROJ="Todos",1,IF(E292&amp;""=DB_PROJ&amp;"",1,0))</f>
        <v>1</v>
      </c>
      <c r="BY292" s="80">
        <f>BW292*BX292</f>
        <v>0</v>
      </c>
      <c r="BZ292" s="80" t="str">
        <f>IF(Y292=1,F292&amp;IF(AND(F292&amp;""&lt;&gt;"",E292&amp;""&lt;&gt;"")," · ","")&amp;E292,"")</f>
        <v/>
      </c>
      <c r="CA292" s="80" t="str">
        <f>IF(AND(BD292=1,E292&amp;""&lt;&gt;""),IF(COUNTIFS($E$5:E291,E292,$BD$5:BD291,1)=0,MAX($CA$5:CA291)+1,""),"")</f>
        <v/>
      </c>
      <c r="CB292" s="80" t="str">
        <f>IF(AND(BE292=1,D292="Malcolm",E292&amp;""&lt;&gt;""),IF(COUNTIFS($D$5:D291,"Malcolm",$E$5:E291,E292,$BE$5:BE291,1)=0,MAX($CB$5:CB291)+1,""),"")</f>
        <v/>
      </c>
      <c r="CC292" s="80" t="str">
        <f>IF(AND(BD292=1,D292="proMX",E292&amp;""&lt;&gt;""),IF(COUNTIFS($D$5:D291,"proMX",$E$5:E291,E292,$BD$5:BD291,1)=0,MAX($CC$5:CC291)+1,""),"")</f>
        <v/>
      </c>
      <c r="CD292" s="80" t="str">
        <f>IF(AND(BE292=1,D292="Malcolm",F292&amp;""&lt;&gt;""),IF(COUNTIFS($D$5:D291,"Malcolm",$F$5:F291,F292,$BE$5:BE291,1)=0,MAX($CD$5:CD291)+1,""),"")</f>
        <v/>
      </c>
      <c r="CE292" s="80" t="str">
        <f>IF(AND(BD292=1,D292="proMX",F292&amp;""&lt;&gt;""),IF(COUNTIFS($D$5:D291,"proMX",$F$5:F291,F292,$BD$5:BD291,1)=0,MAX($CE$5:CE291)+1,""),"")</f>
        <v/>
      </c>
      <c r="CF292" s="80" t="str">
        <f>IF(AND(D292="proMX",BD292=1),IF(OR(BF292="Draft",BF292="Submitted",BF292="Returned",BF292="Recall Requested"),MAX($CF$5:CF291)+1,""),"")</f>
        <v/>
      </c>
      <c r="CG292" s="80">
        <f>IF(BD292=0,0,IF(D292="Malcolm",1,MATCH(BF292,{"Draft","Submitted","Approved","Returned","Recall Requested","Cancelled"},0)+1))</f>
        <v>0</v>
      </c>
      <c r="CH292" s="80">
        <f>IF(AND(BF292="Submitted",ISNUMBER(V292)),IF(V292&gt;CFG_MAXD,1,0),0)</f>
        <v>0</v>
      </c>
    </row>
    <row r="293">
      <c r="A293" s="71" t="str">
        <f>IF(Y293=1,ROW()-5,"")</f>
        <v/>
      </c>
      <c r="B293" s="72" t="n"/>
      <c r="C293" s="71" t="str">
        <f>IF(ISNUMBER(B293),CHOOSE(WEEKDAY(B293,2),"Lun","Mar","Mié","Jue","Vie","Sáb","Dom"),"")</f>
        <v/>
      </c>
      <c r="D293" s="73" t="n"/>
      <c r="E293" s="74" t="n"/>
      <c r="F293" s="74" t="n"/>
      <c r="G293" s="74" t="n"/>
      <c r="H293" s="75" t="n"/>
      <c r="I293" s="75" t="n"/>
      <c r="J293" s="76" t="n"/>
      <c r="K293" s="77" t="str">
        <f>IF(AB293=1,ROUND(AG293/60,4),"")</f>
        <v/>
      </c>
      <c r="L293" s="77" t="str">
        <f>IF(BD293=1,ROUND(AP293/60,4),"")</f>
        <v/>
      </c>
      <c r="M293" s="77" t="str">
        <f>IF(BD293=1,ROUND(AQ293/60,4),"")</f>
        <v/>
      </c>
      <c r="N293" s="71" t="str">
        <f>IF(AND(D293="proMX",AB293=1),ROUND(AG293/CFG_BLK,2),"")</f>
        <v/>
      </c>
      <c r="O293" s="77" t="str">
        <f>IF(D293="proMX",IF(BD293=1,ROUND(AG293/60,4),0),"")</f>
        <v/>
      </c>
      <c r="P293" s="78" t="str">
        <f>IF(Y293=0,"",IF(BD293=1,"OK",IF(D293="proMX","Revisar bloques: ","Revisar: ")&amp;BC293))</f>
        <v/>
      </c>
      <c r="Q293" s="78" t="str">
        <f>IF(NOT(ISNUMBER(B293)),"",IF(COUNTIFS(FER_F,INT(B293))&gt;0,"Feriado"&amp;IF(AH293=1," (laborable)"," (no laborable)"),IF(AH293=1,"Laborable",IF(WEEKDAY(B293,2)&gt;5,"Fin de semana","No laborable"))))</f>
        <v/>
      </c>
      <c r="R293" s="73" t="n"/>
      <c r="S293" s="72" t="n"/>
      <c r="T293" s="72" t="n"/>
      <c r="U293" s="74" t="n"/>
      <c r="V293" s="79" t="str">
        <f>IF(AND(D293="proMX",OR(R293="Submitted",R293="Recall Requested"),ISNUMBER(S293)),CFG_TODAY-INT(S293),"")</f>
        <v/>
      </c>
      <c r="W293" s="78" t="str">
        <f>IF(BD293=0,"",IF(BA293&gt;0,"⚠ Se superpone con un registro de la otra empresa",IF(D293="Malcolm",IF(COUNTA(R293,S293,T293)&gt;0,"Estado/fechas proMX se ignoran en Malcolm",""),IF(BF293="Cancelled","Cancelado: excluido de totales",IF(R293="","Sin estado: se trata como Draft",IF(BF293="Submitted",IF(ISNUMBER(V293),IF(V293&gt;CFG_MAXD,"⚠ "&amp;V293&amp;" días en Submitted (máx. "&amp;CFG_MAXD&amp;")",""),"Falta fecha de envío"),IF(BF293="Returned","⚠ Devuelto: corregir y reenviar",IF(BF293="Recall Requested","Retirada solicitada: pendiente",IF(AND(BF293="Approved",NOT(ISNUMBER(T293))),"Falta fecha de aprobación",IF(AND(ISNUMBER(S293),ISNUMBER(T293),T293&lt;S293),"Aprobación anterior al envío","")))))))))</f>
        <v/>
      </c>
      <c r="Y293" s="80">
        <f>IF(COUNTA(B293,D293,E293,F293,G293,H293,I293,J293,R293,S293,T293)&gt;0,1,0)</f>
        <v>0</v>
      </c>
      <c r="Z293" s="80" t="str">
        <f>IF(AND(ISNUMBER(H293),H293&gt;=0,H293&lt;1),ROUND(H293*1440,0),"")</f>
        <v/>
      </c>
      <c r="AA293" s="80" t="str">
        <f>IF(AND(ISNUMBER(I293),I293&gt;=0,I293&lt;1),ROUND(I293*1440,0),"")</f>
        <v/>
      </c>
      <c r="AB293" s="80">
        <f>IF(AND(ISNUMBER(B293),D293&lt;&gt;"",ISNUMBER(Z293),ISNUMBER(AA293)),IF(Z293=AA293,0,1),0)</f>
        <v>0</v>
      </c>
      <c r="AC293" s="80">
        <f>IF(AB293=1,IF(AA293&lt;Z293,1,0),0)</f>
        <v>0</v>
      </c>
      <c r="AD293" s="80">
        <f>IF(AB293=1,IF(AC293=1,1440-Z293+AA293,AA293-Z293),0)</f>
        <v>0</v>
      </c>
      <c r="AE293" s="80">
        <f>IF(J293="",0,IF(ISNUMBER(J293),J293,-1))</f>
        <v>0</v>
      </c>
      <c r="AF293" s="80">
        <f>MIN(MAX(0,AE293),AD293)</f>
        <v>0</v>
      </c>
      <c r="AG293" s="80">
        <f>MAX(0,AD293-MAX(0,AE293))</f>
        <v>0</v>
      </c>
      <c r="AH293" s="80">
        <f>IF(ISNUMBER(B293),IF(AND(INDEX(CFG_WDAYS,WEEKDAY(INT(B293),2))="Sí",IF(D293="proMX",COUNTIFS(FER_F,INT(B293),FER_NLP,"Sí"),COUNTIFS(FER_F,INT(B293),FER_NLM,"Sí"))=0),1,0),0)</f>
        <v>0</v>
      </c>
      <c r="AI293" s="80">
        <f>IF(AC293=1,IF(AND(INDEX(CFG_WDAYS,WEEKDAY(INT(B293)+1,2))="Sí",IF(D293="proMX",COUNTIFS(FER_F,INT(B293)+1,FER_NLP,"Sí"),COUNTIFS(FER_F,INT(B293)+1,FER_NLM,"Sí"))=0),1,0),0)</f>
        <v>0</v>
      </c>
      <c r="AJ293" s="80">
        <f>IF(AC293=1,1440-Z293,AD293)</f>
        <v>0</v>
      </c>
      <c r="AK293" s="80">
        <f>IF(AND(AB293=1,AH293=1),MAX(0,MIN(IF(AC293=1,1440,AA293),CFG_WEM)-MAX(Z293,CFG_WSM)),0)</f>
        <v>0</v>
      </c>
      <c r="AL293" s="80">
        <f>IF(AND(AC293=1,AI293=1),MAX(0,MIN(AA293,CFG_WEM)-CFG_WSM),0)</f>
        <v>0</v>
      </c>
      <c r="AM293" s="80">
        <f>AK293+AL293</f>
        <v>0</v>
      </c>
      <c r="AN293" s="80">
        <f>IF(CFG_BRK="Proporcional",IF(AD293=0,0,AF293*AM293/AD293),IF(CFG_BRK="Extras primero",MIN(AM293,MAX(0,AF293-(AD293-AM293))),MIN(AF293,AM293)))</f>
        <v>0</v>
      </c>
      <c r="AO293" s="80">
        <f>AF293-AN293</f>
        <v>0</v>
      </c>
      <c r="AP293" s="80">
        <f>AM293-AN293</f>
        <v>0</v>
      </c>
      <c r="AQ293" s="80">
        <f>AD293-AM293-AO293</f>
        <v>0</v>
      </c>
      <c r="AR293" s="80">
        <f>IF(AM293=0,0,AK293-AN293*AK293/AM293)</f>
        <v>0</v>
      </c>
      <c r="AS293" s="80">
        <f>IF(AD293-AM293=0,0,(AJ293-AK293)-AO293*(AJ293-AK293)/(AD293-AM293))</f>
        <v>0</v>
      </c>
      <c r="AT293" s="80" t="str">
        <f>IF(AC293=1,INT(B293)+1,"")</f>
        <v/>
      </c>
      <c r="AU293" s="80">
        <f>IF(AND(D293="proMX",R293="Cancelled"),0,1)</f>
        <v>1</v>
      </c>
      <c r="AV293" s="80">
        <f>IF(AND(AB293=1,AU293=1),IF(COUNTIFS($D$5:D292,D293,$B$5:B292,B293,$Z$5:Z292,Z293,$AA$5:AA292,AA293,$F$5:F292,F293&amp;"",$AU$5:AU292,1)&gt;0,1,0),0)</f>
        <v>0</v>
      </c>
      <c r="AW293" s="80" t="str">
        <f>IF(AB293=1,INT(B293)*1440+Z293,"")</f>
        <v/>
      </c>
      <c r="AX293" s="80" t="str">
        <f>IF(AB293=1,AW293+AD293,"")</f>
        <v/>
      </c>
      <c r="AY293" s="80">
        <f>IF(AND(AB293=1,AV293=0,AU293=1),1,0)</f>
        <v>0</v>
      </c>
      <c r="AZ293" s="80">
        <f>IF(AY293=1,COUNTIFS(R_Emp,D293,R_SAbs,"&lt;"&amp;AX293,R_EAbs,"&gt;"&amp;AW293,R_OKey,1)-1,0)</f>
        <v>0</v>
      </c>
      <c r="BA293" s="80">
        <f>IF(AY293=1,COUNTIFS(R_Emp,"&lt;&gt;"&amp;D293,R_SAbs,"&lt;"&amp;AX293,R_EAbs,"&gt;"&amp;AW293,R_OKey,1),0)</f>
        <v>0</v>
      </c>
      <c r="BB293" s="80">
        <f>IF(AND(AB293=1,D293="proMX"),IF(AND(MOD(Z293,CFG_BLK)=0,MOD(AA293,CFG_BLK)=0,MOD(AG293,CFG_BLK)=0,AG293&gt;0),1,0),1)</f>
        <v>1</v>
      </c>
      <c r="BC293" s="80" t="str">
        <f>IF(Y293=0,"",IF(NOT(ISNUMBER(B293)),"Falta fecha o fecha inválida",IF(D293="","Falta empresa",IF(AND(D293&lt;&gt;"Malcolm",D293&lt;&gt;"proMX"),"Empresa inválida",IF(OR(INT(B293)&lt;CFG_PSTART,INT(B293)&gt;CFG_PEND),"Fecha fuera del período",IF(OR(NOT(ISNUMBER(Z293)),NOT(ISNUMBER(AA293))),"Falta hora inicio/fin o formato inválido",IF(AB293=0,"Hora inicio = hora fin",IF(AE293&lt;0,"Descanso inválido",IF(AE293&gt;=AD293,"Descanso ≥ duración",IF(AV293=1,"Registro duplicado",IF(AZ293&gt;0,"Se superpone con otro registro "&amp;D293,IF(BB293=0,"inicio, fin y duración neta deben ser múltiplos de "&amp;CFG_BLK&amp;" min",""))))))))))))</f>
        <v/>
      </c>
      <c r="BD293" s="80">
        <f>IF(AND(Y293=1,BC293=""),1,0)</f>
        <v>0</v>
      </c>
      <c r="BE293" s="80">
        <f>IF(AND(BD293=1,AU293=1),1,0)</f>
        <v>0</v>
      </c>
      <c r="BF293" s="80" t="str">
        <f>IF(AND(D293="proMX",BD293=1),IF(R293="","Draft",R293),"")</f>
        <v/>
      </c>
      <c r="BG293" s="80">
        <f>IF(BD293=1,ROUND(AG293/60,6),0)</f>
        <v>0</v>
      </c>
      <c r="BH293" s="80">
        <f>IF(BE293=1,ROUND(AG293/60,6),0)</f>
        <v>0</v>
      </c>
      <c r="BI293" s="80">
        <f>IF(BE293=1,ROUND(AP293/60,6),0)</f>
        <v>0</v>
      </c>
      <c r="BJ293" s="80">
        <f>IF(BE293=1,ROUND(AQ293/60,6),0)</f>
        <v>0</v>
      </c>
      <c r="BK293" s="80">
        <f>IF(BE293=1,ROUND((AR293+AS293)/60,6),0)</f>
        <v>0</v>
      </c>
      <c r="BL293" s="80">
        <f>ROUND(BH293-BK293,6)</f>
        <v>0</v>
      </c>
      <c r="BM293" s="80">
        <f>IF(BE293=1,ROUND(AR293/60,6),0)</f>
        <v>0</v>
      </c>
      <c r="BN293" s="80">
        <f>ROUND(BI293-BM293,6)</f>
        <v>0</v>
      </c>
      <c r="BO293" s="80">
        <f>IF(BE293=1,ROUND(AS293/60,6),0)</f>
        <v>0</v>
      </c>
      <c r="BP293" s="80">
        <f>ROUND(BJ293-BO293,6)</f>
        <v>0</v>
      </c>
      <c r="BQ293" s="80">
        <f>IF(BE293=1,AW293,0)</f>
        <v>0</v>
      </c>
      <c r="BR293" s="80">
        <f>IF(BE293=1,AX293,0)</f>
        <v>0</v>
      </c>
      <c r="BS293" s="80">
        <f>IF(AND(BE293=1,D293="Malcolm",BA293&gt;0),MIN(BH293,SUMPRODUCT((R_Emp="proMX")*(R_EN&gt;0)*((R_EN-(R_EN&gt;BR293)*(R_EN-BR293))&gt;(R_SN+(R_SN&lt;BQ293)*(BQ293-R_SN)))*((R_EN-(R_EN&gt;BR293)*(R_EN-BR293))-(R_SN+(R_SN&lt;BQ293)*(BQ293-R_SN))))/60),0)</f>
        <v>0</v>
      </c>
      <c r="BT293" s="80">
        <f>IF(AND(BE293=1,D293="proMX"),ROUND(BI293*CFG_RATE+BJ293*CFG_OTRATE,6),0)</f>
        <v>0</v>
      </c>
      <c r="BU293" s="80">
        <f>IF(AND(BD293=1,D293="proMX"),ROUND(AG293/CFG_BLK,6),0)</f>
        <v>0</v>
      </c>
      <c r="BV293" s="80" t="str">
        <f>IF(BF293="Approved",IF(ISNUMBER(T293),INT(T293),INT(B293)),"")</f>
        <v/>
      </c>
      <c r="BW293" s="80">
        <f>IF(ISNUMBER(B293),IF(DB_MON="Todos",1,IF(AND(INT(B293)&gt;=DB_MS,INT(B293)&lt;=DB_ME),1,0)),0)</f>
        <v>0</v>
      </c>
      <c r="BX293" s="80">
        <f>IF(DB_PROJ="Todos",1,IF(E293&amp;""=DB_PROJ&amp;"",1,0))</f>
        <v>1</v>
      </c>
      <c r="BY293" s="80">
        <f>BW293*BX293</f>
        <v>0</v>
      </c>
      <c r="BZ293" s="80" t="str">
        <f>IF(Y293=1,F293&amp;IF(AND(F293&amp;""&lt;&gt;"",E293&amp;""&lt;&gt;"")," · ","")&amp;E293,"")</f>
        <v/>
      </c>
      <c r="CA293" s="80" t="str">
        <f>IF(AND(BD293=1,E293&amp;""&lt;&gt;""),IF(COUNTIFS($E$5:E292,E293,$BD$5:BD292,1)=0,MAX($CA$5:CA292)+1,""),"")</f>
        <v/>
      </c>
      <c r="CB293" s="80" t="str">
        <f>IF(AND(BE293=1,D293="Malcolm",E293&amp;""&lt;&gt;""),IF(COUNTIFS($D$5:D292,"Malcolm",$E$5:E292,E293,$BE$5:BE292,1)=0,MAX($CB$5:CB292)+1,""),"")</f>
        <v/>
      </c>
      <c r="CC293" s="80" t="str">
        <f>IF(AND(BD293=1,D293="proMX",E293&amp;""&lt;&gt;""),IF(COUNTIFS($D$5:D292,"proMX",$E$5:E292,E293,$BD$5:BD292,1)=0,MAX($CC$5:CC292)+1,""),"")</f>
        <v/>
      </c>
      <c r="CD293" s="80" t="str">
        <f>IF(AND(BE293=1,D293="Malcolm",F293&amp;""&lt;&gt;""),IF(COUNTIFS($D$5:D292,"Malcolm",$F$5:F292,F293,$BE$5:BE292,1)=0,MAX($CD$5:CD292)+1,""),"")</f>
        <v/>
      </c>
      <c r="CE293" s="80" t="str">
        <f>IF(AND(BD293=1,D293="proMX",F293&amp;""&lt;&gt;""),IF(COUNTIFS($D$5:D292,"proMX",$F$5:F292,F293,$BD$5:BD292,1)=0,MAX($CE$5:CE292)+1,""),"")</f>
        <v/>
      </c>
      <c r="CF293" s="80" t="str">
        <f>IF(AND(D293="proMX",BD293=1),IF(OR(BF293="Draft",BF293="Submitted",BF293="Returned",BF293="Recall Requested"),MAX($CF$5:CF292)+1,""),"")</f>
        <v/>
      </c>
      <c r="CG293" s="80">
        <f>IF(BD293=0,0,IF(D293="Malcolm",1,MATCH(BF293,{"Draft","Submitted","Approved","Returned","Recall Requested","Cancelled"},0)+1))</f>
        <v>0</v>
      </c>
      <c r="CH293" s="80">
        <f>IF(AND(BF293="Submitted",ISNUMBER(V293)),IF(V293&gt;CFG_MAXD,1,0),0)</f>
        <v>0</v>
      </c>
    </row>
    <row r="294">
      <c r="A294" s="71" t="str">
        <f>IF(Y294=1,ROW()-5,"")</f>
        <v/>
      </c>
      <c r="B294" s="72" t="n"/>
      <c r="C294" s="71" t="str">
        <f>IF(ISNUMBER(B294),CHOOSE(WEEKDAY(B294,2),"Lun","Mar","Mié","Jue","Vie","Sáb","Dom"),"")</f>
        <v/>
      </c>
      <c r="D294" s="73" t="n"/>
      <c r="E294" s="74" t="n"/>
      <c r="F294" s="74" t="n"/>
      <c r="G294" s="74" t="n"/>
      <c r="H294" s="75" t="n"/>
      <c r="I294" s="75" t="n"/>
      <c r="J294" s="76" t="n"/>
      <c r="K294" s="77" t="str">
        <f>IF(AB294=1,ROUND(AG294/60,4),"")</f>
        <v/>
      </c>
      <c r="L294" s="77" t="str">
        <f>IF(BD294=1,ROUND(AP294/60,4),"")</f>
        <v/>
      </c>
      <c r="M294" s="77" t="str">
        <f>IF(BD294=1,ROUND(AQ294/60,4),"")</f>
        <v/>
      </c>
      <c r="N294" s="71" t="str">
        <f>IF(AND(D294="proMX",AB294=1),ROUND(AG294/CFG_BLK,2),"")</f>
        <v/>
      </c>
      <c r="O294" s="77" t="str">
        <f>IF(D294="proMX",IF(BD294=1,ROUND(AG294/60,4),0),"")</f>
        <v/>
      </c>
      <c r="P294" s="78" t="str">
        <f>IF(Y294=0,"",IF(BD294=1,"OK",IF(D294="proMX","Revisar bloques: ","Revisar: ")&amp;BC294))</f>
        <v/>
      </c>
      <c r="Q294" s="78" t="str">
        <f>IF(NOT(ISNUMBER(B294)),"",IF(COUNTIFS(FER_F,INT(B294))&gt;0,"Feriado"&amp;IF(AH294=1," (laborable)"," (no laborable)"),IF(AH294=1,"Laborable",IF(WEEKDAY(B294,2)&gt;5,"Fin de semana","No laborable"))))</f>
        <v/>
      </c>
      <c r="R294" s="73" t="n"/>
      <c r="S294" s="72" t="n"/>
      <c r="T294" s="72" t="n"/>
      <c r="U294" s="74" t="n"/>
      <c r="V294" s="79" t="str">
        <f>IF(AND(D294="proMX",OR(R294="Submitted",R294="Recall Requested"),ISNUMBER(S294)),CFG_TODAY-INT(S294),"")</f>
        <v/>
      </c>
      <c r="W294" s="78" t="str">
        <f>IF(BD294=0,"",IF(BA294&gt;0,"⚠ Se superpone con un registro de la otra empresa",IF(D294="Malcolm",IF(COUNTA(R294,S294,T294)&gt;0,"Estado/fechas proMX se ignoran en Malcolm",""),IF(BF294="Cancelled","Cancelado: excluido de totales",IF(R294="","Sin estado: se trata como Draft",IF(BF294="Submitted",IF(ISNUMBER(V294),IF(V294&gt;CFG_MAXD,"⚠ "&amp;V294&amp;" días en Submitted (máx. "&amp;CFG_MAXD&amp;")",""),"Falta fecha de envío"),IF(BF294="Returned","⚠ Devuelto: corregir y reenviar",IF(BF294="Recall Requested","Retirada solicitada: pendiente",IF(AND(BF294="Approved",NOT(ISNUMBER(T294))),"Falta fecha de aprobación",IF(AND(ISNUMBER(S294),ISNUMBER(T294),T294&lt;S294),"Aprobación anterior al envío","")))))))))</f>
        <v/>
      </c>
      <c r="Y294" s="80">
        <f>IF(COUNTA(B294,D294,E294,F294,G294,H294,I294,J294,R294,S294,T294)&gt;0,1,0)</f>
        <v>0</v>
      </c>
      <c r="Z294" s="80" t="str">
        <f>IF(AND(ISNUMBER(H294),H294&gt;=0,H294&lt;1),ROUND(H294*1440,0),"")</f>
        <v/>
      </c>
      <c r="AA294" s="80" t="str">
        <f>IF(AND(ISNUMBER(I294),I294&gt;=0,I294&lt;1),ROUND(I294*1440,0),"")</f>
        <v/>
      </c>
      <c r="AB294" s="80">
        <f>IF(AND(ISNUMBER(B294),D294&lt;&gt;"",ISNUMBER(Z294),ISNUMBER(AA294)),IF(Z294=AA294,0,1),0)</f>
        <v>0</v>
      </c>
      <c r="AC294" s="80">
        <f>IF(AB294=1,IF(AA294&lt;Z294,1,0),0)</f>
        <v>0</v>
      </c>
      <c r="AD294" s="80">
        <f>IF(AB294=1,IF(AC294=1,1440-Z294+AA294,AA294-Z294),0)</f>
        <v>0</v>
      </c>
      <c r="AE294" s="80">
        <f>IF(J294="",0,IF(ISNUMBER(J294),J294,-1))</f>
        <v>0</v>
      </c>
      <c r="AF294" s="80">
        <f>MIN(MAX(0,AE294),AD294)</f>
        <v>0</v>
      </c>
      <c r="AG294" s="80">
        <f>MAX(0,AD294-MAX(0,AE294))</f>
        <v>0</v>
      </c>
      <c r="AH294" s="80">
        <f>IF(ISNUMBER(B294),IF(AND(INDEX(CFG_WDAYS,WEEKDAY(INT(B294),2))="Sí",IF(D294="proMX",COUNTIFS(FER_F,INT(B294),FER_NLP,"Sí"),COUNTIFS(FER_F,INT(B294),FER_NLM,"Sí"))=0),1,0),0)</f>
        <v>0</v>
      </c>
      <c r="AI294" s="80">
        <f>IF(AC294=1,IF(AND(INDEX(CFG_WDAYS,WEEKDAY(INT(B294)+1,2))="Sí",IF(D294="proMX",COUNTIFS(FER_F,INT(B294)+1,FER_NLP,"Sí"),COUNTIFS(FER_F,INT(B294)+1,FER_NLM,"Sí"))=0),1,0),0)</f>
        <v>0</v>
      </c>
      <c r="AJ294" s="80">
        <f>IF(AC294=1,1440-Z294,AD294)</f>
        <v>0</v>
      </c>
      <c r="AK294" s="80">
        <f>IF(AND(AB294=1,AH294=1),MAX(0,MIN(IF(AC294=1,1440,AA294),CFG_WEM)-MAX(Z294,CFG_WSM)),0)</f>
        <v>0</v>
      </c>
      <c r="AL294" s="80">
        <f>IF(AND(AC294=1,AI294=1),MAX(0,MIN(AA294,CFG_WEM)-CFG_WSM),0)</f>
        <v>0</v>
      </c>
      <c r="AM294" s="80">
        <f>AK294+AL294</f>
        <v>0</v>
      </c>
      <c r="AN294" s="80">
        <f>IF(CFG_BRK="Proporcional",IF(AD294=0,0,AF294*AM294/AD294),IF(CFG_BRK="Extras primero",MIN(AM294,MAX(0,AF294-(AD294-AM294))),MIN(AF294,AM294)))</f>
        <v>0</v>
      </c>
      <c r="AO294" s="80">
        <f>AF294-AN294</f>
        <v>0</v>
      </c>
      <c r="AP294" s="80">
        <f>AM294-AN294</f>
        <v>0</v>
      </c>
      <c r="AQ294" s="80">
        <f>AD294-AM294-AO294</f>
        <v>0</v>
      </c>
      <c r="AR294" s="80">
        <f>IF(AM294=0,0,AK294-AN294*AK294/AM294)</f>
        <v>0</v>
      </c>
      <c r="AS294" s="80">
        <f>IF(AD294-AM294=0,0,(AJ294-AK294)-AO294*(AJ294-AK294)/(AD294-AM294))</f>
        <v>0</v>
      </c>
      <c r="AT294" s="80" t="str">
        <f>IF(AC294=1,INT(B294)+1,"")</f>
        <v/>
      </c>
      <c r="AU294" s="80">
        <f>IF(AND(D294="proMX",R294="Cancelled"),0,1)</f>
        <v>1</v>
      </c>
      <c r="AV294" s="80">
        <f>IF(AND(AB294=1,AU294=1),IF(COUNTIFS($D$5:D293,D294,$B$5:B293,B294,$Z$5:Z293,Z294,$AA$5:AA293,AA294,$F$5:F293,F294&amp;"",$AU$5:AU293,1)&gt;0,1,0),0)</f>
        <v>0</v>
      </c>
      <c r="AW294" s="80" t="str">
        <f>IF(AB294=1,INT(B294)*1440+Z294,"")</f>
        <v/>
      </c>
      <c r="AX294" s="80" t="str">
        <f>IF(AB294=1,AW294+AD294,"")</f>
        <v/>
      </c>
      <c r="AY294" s="80">
        <f>IF(AND(AB294=1,AV294=0,AU294=1),1,0)</f>
        <v>0</v>
      </c>
      <c r="AZ294" s="80">
        <f>IF(AY294=1,COUNTIFS(R_Emp,D294,R_SAbs,"&lt;"&amp;AX294,R_EAbs,"&gt;"&amp;AW294,R_OKey,1)-1,0)</f>
        <v>0</v>
      </c>
      <c r="BA294" s="80">
        <f>IF(AY294=1,COUNTIFS(R_Emp,"&lt;&gt;"&amp;D294,R_SAbs,"&lt;"&amp;AX294,R_EAbs,"&gt;"&amp;AW294,R_OKey,1),0)</f>
        <v>0</v>
      </c>
      <c r="BB294" s="80">
        <f>IF(AND(AB294=1,D294="proMX"),IF(AND(MOD(Z294,CFG_BLK)=0,MOD(AA294,CFG_BLK)=0,MOD(AG294,CFG_BLK)=0,AG294&gt;0),1,0),1)</f>
        <v>1</v>
      </c>
      <c r="BC294" s="80" t="str">
        <f>IF(Y294=0,"",IF(NOT(ISNUMBER(B294)),"Falta fecha o fecha inválida",IF(D294="","Falta empresa",IF(AND(D294&lt;&gt;"Malcolm",D294&lt;&gt;"proMX"),"Empresa inválida",IF(OR(INT(B294)&lt;CFG_PSTART,INT(B294)&gt;CFG_PEND),"Fecha fuera del período",IF(OR(NOT(ISNUMBER(Z294)),NOT(ISNUMBER(AA294))),"Falta hora inicio/fin o formato inválido",IF(AB294=0,"Hora inicio = hora fin",IF(AE294&lt;0,"Descanso inválido",IF(AE294&gt;=AD294,"Descanso ≥ duración",IF(AV294=1,"Registro duplicado",IF(AZ294&gt;0,"Se superpone con otro registro "&amp;D294,IF(BB294=0,"inicio, fin y duración neta deben ser múltiplos de "&amp;CFG_BLK&amp;" min",""))))))))))))</f>
        <v/>
      </c>
      <c r="BD294" s="80">
        <f>IF(AND(Y294=1,BC294=""),1,0)</f>
        <v>0</v>
      </c>
      <c r="BE294" s="80">
        <f>IF(AND(BD294=1,AU294=1),1,0)</f>
        <v>0</v>
      </c>
      <c r="BF294" s="80" t="str">
        <f>IF(AND(D294="proMX",BD294=1),IF(R294="","Draft",R294),"")</f>
        <v/>
      </c>
      <c r="BG294" s="80">
        <f>IF(BD294=1,ROUND(AG294/60,6),0)</f>
        <v>0</v>
      </c>
      <c r="BH294" s="80">
        <f>IF(BE294=1,ROUND(AG294/60,6),0)</f>
        <v>0</v>
      </c>
      <c r="BI294" s="80">
        <f>IF(BE294=1,ROUND(AP294/60,6),0)</f>
        <v>0</v>
      </c>
      <c r="BJ294" s="80">
        <f>IF(BE294=1,ROUND(AQ294/60,6),0)</f>
        <v>0</v>
      </c>
      <c r="BK294" s="80">
        <f>IF(BE294=1,ROUND((AR294+AS294)/60,6),0)</f>
        <v>0</v>
      </c>
      <c r="BL294" s="80">
        <f>ROUND(BH294-BK294,6)</f>
        <v>0</v>
      </c>
      <c r="BM294" s="80">
        <f>IF(BE294=1,ROUND(AR294/60,6),0)</f>
        <v>0</v>
      </c>
      <c r="BN294" s="80">
        <f>ROUND(BI294-BM294,6)</f>
        <v>0</v>
      </c>
      <c r="BO294" s="80">
        <f>IF(BE294=1,ROUND(AS294/60,6),0)</f>
        <v>0</v>
      </c>
      <c r="BP294" s="80">
        <f>ROUND(BJ294-BO294,6)</f>
        <v>0</v>
      </c>
      <c r="BQ294" s="80">
        <f>IF(BE294=1,AW294,0)</f>
        <v>0</v>
      </c>
      <c r="BR294" s="80">
        <f>IF(BE294=1,AX294,0)</f>
        <v>0</v>
      </c>
      <c r="BS294" s="80">
        <f>IF(AND(BE294=1,D294="Malcolm",BA294&gt;0),MIN(BH294,SUMPRODUCT((R_Emp="proMX")*(R_EN&gt;0)*((R_EN-(R_EN&gt;BR294)*(R_EN-BR294))&gt;(R_SN+(R_SN&lt;BQ294)*(BQ294-R_SN)))*((R_EN-(R_EN&gt;BR294)*(R_EN-BR294))-(R_SN+(R_SN&lt;BQ294)*(BQ294-R_SN))))/60),0)</f>
        <v>0</v>
      </c>
      <c r="BT294" s="80">
        <f>IF(AND(BE294=1,D294="proMX"),ROUND(BI294*CFG_RATE+BJ294*CFG_OTRATE,6),0)</f>
        <v>0</v>
      </c>
      <c r="BU294" s="80">
        <f>IF(AND(BD294=1,D294="proMX"),ROUND(AG294/CFG_BLK,6),0)</f>
        <v>0</v>
      </c>
      <c r="BV294" s="80" t="str">
        <f>IF(BF294="Approved",IF(ISNUMBER(T294),INT(T294),INT(B294)),"")</f>
        <v/>
      </c>
      <c r="BW294" s="80">
        <f>IF(ISNUMBER(B294),IF(DB_MON="Todos",1,IF(AND(INT(B294)&gt;=DB_MS,INT(B294)&lt;=DB_ME),1,0)),0)</f>
        <v>0</v>
      </c>
      <c r="BX294" s="80">
        <f>IF(DB_PROJ="Todos",1,IF(E294&amp;""=DB_PROJ&amp;"",1,0))</f>
        <v>1</v>
      </c>
      <c r="BY294" s="80">
        <f>BW294*BX294</f>
        <v>0</v>
      </c>
      <c r="BZ294" s="80" t="str">
        <f>IF(Y294=1,F294&amp;IF(AND(F294&amp;""&lt;&gt;"",E294&amp;""&lt;&gt;"")," · ","")&amp;E294,"")</f>
        <v/>
      </c>
      <c r="CA294" s="80" t="str">
        <f>IF(AND(BD294=1,E294&amp;""&lt;&gt;""),IF(COUNTIFS($E$5:E293,E294,$BD$5:BD293,1)=0,MAX($CA$5:CA293)+1,""),"")</f>
        <v/>
      </c>
      <c r="CB294" s="80" t="str">
        <f>IF(AND(BE294=1,D294="Malcolm",E294&amp;""&lt;&gt;""),IF(COUNTIFS($D$5:D293,"Malcolm",$E$5:E293,E294,$BE$5:BE293,1)=0,MAX($CB$5:CB293)+1,""),"")</f>
        <v/>
      </c>
      <c r="CC294" s="80" t="str">
        <f>IF(AND(BD294=1,D294="proMX",E294&amp;""&lt;&gt;""),IF(COUNTIFS($D$5:D293,"proMX",$E$5:E293,E294,$BD$5:BD293,1)=0,MAX($CC$5:CC293)+1,""),"")</f>
        <v/>
      </c>
      <c r="CD294" s="80" t="str">
        <f>IF(AND(BE294=1,D294="Malcolm",F294&amp;""&lt;&gt;""),IF(COUNTIFS($D$5:D293,"Malcolm",$F$5:F293,F294,$BE$5:BE293,1)=0,MAX($CD$5:CD293)+1,""),"")</f>
        <v/>
      </c>
      <c r="CE294" s="80" t="str">
        <f>IF(AND(BD294=1,D294="proMX",F294&amp;""&lt;&gt;""),IF(COUNTIFS($D$5:D293,"proMX",$F$5:F293,F294,$BD$5:BD293,1)=0,MAX($CE$5:CE293)+1,""),"")</f>
        <v/>
      </c>
      <c r="CF294" s="80" t="str">
        <f>IF(AND(D294="proMX",BD294=1),IF(OR(BF294="Draft",BF294="Submitted",BF294="Returned",BF294="Recall Requested"),MAX($CF$5:CF293)+1,""),"")</f>
        <v/>
      </c>
      <c r="CG294" s="80">
        <f>IF(BD294=0,0,IF(D294="Malcolm",1,MATCH(BF294,{"Draft","Submitted","Approved","Returned","Recall Requested","Cancelled"},0)+1))</f>
        <v>0</v>
      </c>
      <c r="CH294" s="80">
        <f>IF(AND(BF294="Submitted",ISNUMBER(V294)),IF(V294&gt;CFG_MAXD,1,0),0)</f>
        <v>0</v>
      </c>
    </row>
    <row r="295">
      <c r="A295" s="71" t="str">
        <f>IF(Y295=1,ROW()-5,"")</f>
        <v/>
      </c>
      <c r="B295" s="72" t="n"/>
      <c r="C295" s="71" t="str">
        <f>IF(ISNUMBER(B295),CHOOSE(WEEKDAY(B295,2),"Lun","Mar","Mié","Jue","Vie","Sáb","Dom"),"")</f>
        <v/>
      </c>
      <c r="D295" s="73" t="n"/>
      <c r="E295" s="74" t="n"/>
      <c r="F295" s="74" t="n"/>
      <c r="G295" s="74" t="n"/>
      <c r="H295" s="75" t="n"/>
      <c r="I295" s="75" t="n"/>
      <c r="J295" s="76" t="n"/>
      <c r="K295" s="77" t="str">
        <f>IF(AB295=1,ROUND(AG295/60,4),"")</f>
        <v/>
      </c>
      <c r="L295" s="77" t="str">
        <f>IF(BD295=1,ROUND(AP295/60,4),"")</f>
        <v/>
      </c>
      <c r="M295" s="77" t="str">
        <f>IF(BD295=1,ROUND(AQ295/60,4),"")</f>
        <v/>
      </c>
      <c r="N295" s="71" t="str">
        <f>IF(AND(D295="proMX",AB295=1),ROUND(AG295/CFG_BLK,2),"")</f>
        <v/>
      </c>
      <c r="O295" s="77" t="str">
        <f>IF(D295="proMX",IF(BD295=1,ROUND(AG295/60,4),0),"")</f>
        <v/>
      </c>
      <c r="P295" s="78" t="str">
        <f>IF(Y295=0,"",IF(BD295=1,"OK",IF(D295="proMX","Revisar bloques: ","Revisar: ")&amp;BC295))</f>
        <v/>
      </c>
      <c r="Q295" s="78" t="str">
        <f>IF(NOT(ISNUMBER(B295)),"",IF(COUNTIFS(FER_F,INT(B295))&gt;0,"Feriado"&amp;IF(AH295=1," (laborable)"," (no laborable)"),IF(AH295=1,"Laborable",IF(WEEKDAY(B295,2)&gt;5,"Fin de semana","No laborable"))))</f>
        <v/>
      </c>
      <c r="R295" s="73" t="n"/>
      <c r="S295" s="72" t="n"/>
      <c r="T295" s="72" t="n"/>
      <c r="U295" s="74" t="n"/>
      <c r="V295" s="79" t="str">
        <f>IF(AND(D295="proMX",OR(R295="Submitted",R295="Recall Requested"),ISNUMBER(S295)),CFG_TODAY-INT(S295),"")</f>
        <v/>
      </c>
      <c r="W295" s="78" t="str">
        <f>IF(BD295=0,"",IF(BA295&gt;0,"⚠ Se superpone con un registro de la otra empresa",IF(D295="Malcolm",IF(COUNTA(R295,S295,T295)&gt;0,"Estado/fechas proMX se ignoran en Malcolm",""),IF(BF295="Cancelled","Cancelado: excluido de totales",IF(R295="","Sin estado: se trata como Draft",IF(BF295="Submitted",IF(ISNUMBER(V295),IF(V295&gt;CFG_MAXD,"⚠ "&amp;V295&amp;" días en Submitted (máx. "&amp;CFG_MAXD&amp;")",""),"Falta fecha de envío"),IF(BF295="Returned","⚠ Devuelto: corregir y reenviar",IF(BF295="Recall Requested","Retirada solicitada: pendiente",IF(AND(BF295="Approved",NOT(ISNUMBER(T295))),"Falta fecha de aprobación",IF(AND(ISNUMBER(S295),ISNUMBER(T295),T295&lt;S295),"Aprobación anterior al envío","")))))))))</f>
        <v/>
      </c>
      <c r="Y295" s="80">
        <f>IF(COUNTA(B295,D295,E295,F295,G295,H295,I295,J295,R295,S295,T295)&gt;0,1,0)</f>
        <v>0</v>
      </c>
      <c r="Z295" s="80" t="str">
        <f>IF(AND(ISNUMBER(H295),H295&gt;=0,H295&lt;1),ROUND(H295*1440,0),"")</f>
        <v/>
      </c>
      <c r="AA295" s="80" t="str">
        <f>IF(AND(ISNUMBER(I295),I295&gt;=0,I295&lt;1),ROUND(I295*1440,0),"")</f>
        <v/>
      </c>
      <c r="AB295" s="80">
        <f>IF(AND(ISNUMBER(B295),D295&lt;&gt;"",ISNUMBER(Z295),ISNUMBER(AA295)),IF(Z295=AA295,0,1),0)</f>
        <v>0</v>
      </c>
      <c r="AC295" s="80">
        <f>IF(AB295=1,IF(AA295&lt;Z295,1,0),0)</f>
        <v>0</v>
      </c>
      <c r="AD295" s="80">
        <f>IF(AB295=1,IF(AC295=1,1440-Z295+AA295,AA295-Z295),0)</f>
        <v>0</v>
      </c>
      <c r="AE295" s="80">
        <f>IF(J295="",0,IF(ISNUMBER(J295),J295,-1))</f>
        <v>0</v>
      </c>
      <c r="AF295" s="80">
        <f>MIN(MAX(0,AE295),AD295)</f>
        <v>0</v>
      </c>
      <c r="AG295" s="80">
        <f>MAX(0,AD295-MAX(0,AE295))</f>
        <v>0</v>
      </c>
      <c r="AH295" s="80">
        <f>IF(ISNUMBER(B295),IF(AND(INDEX(CFG_WDAYS,WEEKDAY(INT(B295),2))="Sí",IF(D295="proMX",COUNTIFS(FER_F,INT(B295),FER_NLP,"Sí"),COUNTIFS(FER_F,INT(B295),FER_NLM,"Sí"))=0),1,0),0)</f>
        <v>0</v>
      </c>
      <c r="AI295" s="80">
        <f>IF(AC295=1,IF(AND(INDEX(CFG_WDAYS,WEEKDAY(INT(B295)+1,2))="Sí",IF(D295="proMX",COUNTIFS(FER_F,INT(B295)+1,FER_NLP,"Sí"),COUNTIFS(FER_F,INT(B295)+1,FER_NLM,"Sí"))=0),1,0),0)</f>
        <v>0</v>
      </c>
      <c r="AJ295" s="80">
        <f>IF(AC295=1,1440-Z295,AD295)</f>
        <v>0</v>
      </c>
      <c r="AK295" s="80">
        <f>IF(AND(AB295=1,AH295=1),MAX(0,MIN(IF(AC295=1,1440,AA295),CFG_WEM)-MAX(Z295,CFG_WSM)),0)</f>
        <v>0</v>
      </c>
      <c r="AL295" s="80">
        <f>IF(AND(AC295=1,AI295=1),MAX(0,MIN(AA295,CFG_WEM)-CFG_WSM),0)</f>
        <v>0</v>
      </c>
      <c r="AM295" s="80">
        <f>AK295+AL295</f>
        <v>0</v>
      </c>
      <c r="AN295" s="80">
        <f>IF(CFG_BRK="Proporcional",IF(AD295=0,0,AF295*AM295/AD295),IF(CFG_BRK="Extras primero",MIN(AM295,MAX(0,AF295-(AD295-AM295))),MIN(AF295,AM295)))</f>
        <v>0</v>
      </c>
      <c r="AO295" s="80">
        <f>AF295-AN295</f>
        <v>0</v>
      </c>
      <c r="AP295" s="80">
        <f>AM295-AN295</f>
        <v>0</v>
      </c>
      <c r="AQ295" s="80">
        <f>AD295-AM295-AO295</f>
        <v>0</v>
      </c>
      <c r="AR295" s="80">
        <f>IF(AM295=0,0,AK295-AN295*AK295/AM295)</f>
        <v>0</v>
      </c>
      <c r="AS295" s="80">
        <f>IF(AD295-AM295=0,0,(AJ295-AK295)-AO295*(AJ295-AK295)/(AD295-AM295))</f>
        <v>0</v>
      </c>
      <c r="AT295" s="80" t="str">
        <f>IF(AC295=1,INT(B295)+1,"")</f>
        <v/>
      </c>
      <c r="AU295" s="80">
        <f>IF(AND(D295="proMX",R295="Cancelled"),0,1)</f>
        <v>1</v>
      </c>
      <c r="AV295" s="80">
        <f>IF(AND(AB295=1,AU295=1),IF(COUNTIFS($D$5:D294,D295,$B$5:B294,B295,$Z$5:Z294,Z295,$AA$5:AA294,AA295,$F$5:F294,F295&amp;"",$AU$5:AU294,1)&gt;0,1,0),0)</f>
        <v>0</v>
      </c>
      <c r="AW295" s="80" t="str">
        <f>IF(AB295=1,INT(B295)*1440+Z295,"")</f>
        <v/>
      </c>
      <c r="AX295" s="80" t="str">
        <f>IF(AB295=1,AW295+AD295,"")</f>
        <v/>
      </c>
      <c r="AY295" s="80">
        <f>IF(AND(AB295=1,AV295=0,AU295=1),1,0)</f>
        <v>0</v>
      </c>
      <c r="AZ295" s="80">
        <f>IF(AY295=1,COUNTIFS(R_Emp,D295,R_SAbs,"&lt;"&amp;AX295,R_EAbs,"&gt;"&amp;AW295,R_OKey,1)-1,0)</f>
        <v>0</v>
      </c>
      <c r="BA295" s="80">
        <f>IF(AY295=1,COUNTIFS(R_Emp,"&lt;&gt;"&amp;D295,R_SAbs,"&lt;"&amp;AX295,R_EAbs,"&gt;"&amp;AW295,R_OKey,1),0)</f>
        <v>0</v>
      </c>
      <c r="BB295" s="80">
        <f>IF(AND(AB295=1,D295="proMX"),IF(AND(MOD(Z295,CFG_BLK)=0,MOD(AA295,CFG_BLK)=0,MOD(AG295,CFG_BLK)=0,AG295&gt;0),1,0),1)</f>
        <v>1</v>
      </c>
      <c r="BC295" s="80" t="str">
        <f>IF(Y295=0,"",IF(NOT(ISNUMBER(B295)),"Falta fecha o fecha inválida",IF(D295="","Falta empresa",IF(AND(D295&lt;&gt;"Malcolm",D295&lt;&gt;"proMX"),"Empresa inválida",IF(OR(INT(B295)&lt;CFG_PSTART,INT(B295)&gt;CFG_PEND),"Fecha fuera del período",IF(OR(NOT(ISNUMBER(Z295)),NOT(ISNUMBER(AA295))),"Falta hora inicio/fin o formato inválido",IF(AB295=0,"Hora inicio = hora fin",IF(AE295&lt;0,"Descanso inválido",IF(AE295&gt;=AD295,"Descanso ≥ duración",IF(AV295=1,"Registro duplicado",IF(AZ295&gt;0,"Se superpone con otro registro "&amp;D295,IF(BB295=0,"inicio, fin y duración neta deben ser múltiplos de "&amp;CFG_BLK&amp;" min",""))))))))))))</f>
        <v/>
      </c>
      <c r="BD295" s="80">
        <f>IF(AND(Y295=1,BC295=""),1,0)</f>
        <v>0</v>
      </c>
      <c r="BE295" s="80">
        <f>IF(AND(BD295=1,AU295=1),1,0)</f>
        <v>0</v>
      </c>
      <c r="BF295" s="80" t="str">
        <f>IF(AND(D295="proMX",BD295=1),IF(R295="","Draft",R295),"")</f>
        <v/>
      </c>
      <c r="BG295" s="80">
        <f>IF(BD295=1,ROUND(AG295/60,6),0)</f>
        <v>0</v>
      </c>
      <c r="BH295" s="80">
        <f>IF(BE295=1,ROUND(AG295/60,6),0)</f>
        <v>0</v>
      </c>
      <c r="BI295" s="80">
        <f>IF(BE295=1,ROUND(AP295/60,6),0)</f>
        <v>0</v>
      </c>
      <c r="BJ295" s="80">
        <f>IF(BE295=1,ROUND(AQ295/60,6),0)</f>
        <v>0</v>
      </c>
      <c r="BK295" s="80">
        <f>IF(BE295=1,ROUND((AR295+AS295)/60,6),0)</f>
        <v>0</v>
      </c>
      <c r="BL295" s="80">
        <f>ROUND(BH295-BK295,6)</f>
        <v>0</v>
      </c>
      <c r="BM295" s="80">
        <f>IF(BE295=1,ROUND(AR295/60,6),0)</f>
        <v>0</v>
      </c>
      <c r="BN295" s="80">
        <f>ROUND(BI295-BM295,6)</f>
        <v>0</v>
      </c>
      <c r="BO295" s="80">
        <f>IF(BE295=1,ROUND(AS295/60,6),0)</f>
        <v>0</v>
      </c>
      <c r="BP295" s="80">
        <f>ROUND(BJ295-BO295,6)</f>
        <v>0</v>
      </c>
      <c r="BQ295" s="80">
        <f>IF(BE295=1,AW295,0)</f>
        <v>0</v>
      </c>
      <c r="BR295" s="80">
        <f>IF(BE295=1,AX295,0)</f>
        <v>0</v>
      </c>
      <c r="BS295" s="80">
        <f>IF(AND(BE295=1,D295="Malcolm",BA295&gt;0),MIN(BH295,SUMPRODUCT((R_Emp="proMX")*(R_EN&gt;0)*((R_EN-(R_EN&gt;BR295)*(R_EN-BR295))&gt;(R_SN+(R_SN&lt;BQ295)*(BQ295-R_SN)))*((R_EN-(R_EN&gt;BR295)*(R_EN-BR295))-(R_SN+(R_SN&lt;BQ295)*(BQ295-R_SN))))/60),0)</f>
        <v>0</v>
      </c>
      <c r="BT295" s="80">
        <f>IF(AND(BE295=1,D295="proMX"),ROUND(BI295*CFG_RATE+BJ295*CFG_OTRATE,6),0)</f>
        <v>0</v>
      </c>
      <c r="BU295" s="80">
        <f>IF(AND(BD295=1,D295="proMX"),ROUND(AG295/CFG_BLK,6),0)</f>
        <v>0</v>
      </c>
      <c r="BV295" s="80" t="str">
        <f>IF(BF295="Approved",IF(ISNUMBER(T295),INT(T295),INT(B295)),"")</f>
        <v/>
      </c>
      <c r="BW295" s="80">
        <f>IF(ISNUMBER(B295),IF(DB_MON="Todos",1,IF(AND(INT(B295)&gt;=DB_MS,INT(B295)&lt;=DB_ME),1,0)),0)</f>
        <v>0</v>
      </c>
      <c r="BX295" s="80">
        <f>IF(DB_PROJ="Todos",1,IF(E295&amp;""=DB_PROJ&amp;"",1,0))</f>
        <v>1</v>
      </c>
      <c r="BY295" s="80">
        <f>BW295*BX295</f>
        <v>0</v>
      </c>
      <c r="BZ295" s="80" t="str">
        <f>IF(Y295=1,F295&amp;IF(AND(F295&amp;""&lt;&gt;"",E295&amp;""&lt;&gt;"")," · ","")&amp;E295,"")</f>
        <v/>
      </c>
      <c r="CA295" s="80" t="str">
        <f>IF(AND(BD295=1,E295&amp;""&lt;&gt;""),IF(COUNTIFS($E$5:E294,E295,$BD$5:BD294,1)=0,MAX($CA$5:CA294)+1,""),"")</f>
        <v/>
      </c>
      <c r="CB295" s="80" t="str">
        <f>IF(AND(BE295=1,D295="Malcolm",E295&amp;""&lt;&gt;""),IF(COUNTIFS($D$5:D294,"Malcolm",$E$5:E294,E295,$BE$5:BE294,1)=0,MAX($CB$5:CB294)+1,""),"")</f>
        <v/>
      </c>
      <c r="CC295" s="80" t="str">
        <f>IF(AND(BD295=1,D295="proMX",E295&amp;""&lt;&gt;""),IF(COUNTIFS($D$5:D294,"proMX",$E$5:E294,E295,$BD$5:BD294,1)=0,MAX($CC$5:CC294)+1,""),"")</f>
        <v/>
      </c>
      <c r="CD295" s="80" t="str">
        <f>IF(AND(BE295=1,D295="Malcolm",F295&amp;""&lt;&gt;""),IF(COUNTIFS($D$5:D294,"Malcolm",$F$5:F294,F295,$BE$5:BE294,1)=0,MAX($CD$5:CD294)+1,""),"")</f>
        <v/>
      </c>
      <c r="CE295" s="80" t="str">
        <f>IF(AND(BD295=1,D295="proMX",F295&amp;""&lt;&gt;""),IF(COUNTIFS($D$5:D294,"proMX",$F$5:F294,F295,$BD$5:BD294,1)=0,MAX($CE$5:CE294)+1,""),"")</f>
        <v/>
      </c>
      <c r="CF295" s="80" t="str">
        <f>IF(AND(D295="proMX",BD295=1),IF(OR(BF295="Draft",BF295="Submitted",BF295="Returned",BF295="Recall Requested"),MAX($CF$5:CF294)+1,""),"")</f>
        <v/>
      </c>
      <c r="CG295" s="80">
        <f>IF(BD295=0,0,IF(D295="Malcolm",1,MATCH(BF295,{"Draft","Submitted","Approved","Returned","Recall Requested","Cancelled"},0)+1))</f>
        <v>0</v>
      </c>
      <c r="CH295" s="80">
        <f>IF(AND(BF295="Submitted",ISNUMBER(V295)),IF(V295&gt;CFG_MAXD,1,0),0)</f>
        <v>0</v>
      </c>
    </row>
    <row r="296">
      <c r="A296" s="71" t="str">
        <f>IF(Y296=1,ROW()-5,"")</f>
        <v/>
      </c>
      <c r="B296" s="72" t="n"/>
      <c r="C296" s="71" t="str">
        <f>IF(ISNUMBER(B296),CHOOSE(WEEKDAY(B296,2),"Lun","Mar","Mié","Jue","Vie","Sáb","Dom"),"")</f>
        <v/>
      </c>
      <c r="D296" s="73" t="n"/>
      <c r="E296" s="74" t="n"/>
      <c r="F296" s="74" t="n"/>
      <c r="G296" s="74" t="n"/>
      <c r="H296" s="75" t="n"/>
      <c r="I296" s="75" t="n"/>
      <c r="J296" s="76" t="n"/>
      <c r="K296" s="77" t="str">
        <f>IF(AB296=1,ROUND(AG296/60,4),"")</f>
        <v/>
      </c>
      <c r="L296" s="77" t="str">
        <f>IF(BD296=1,ROUND(AP296/60,4),"")</f>
        <v/>
      </c>
      <c r="M296" s="77" t="str">
        <f>IF(BD296=1,ROUND(AQ296/60,4),"")</f>
        <v/>
      </c>
      <c r="N296" s="71" t="str">
        <f>IF(AND(D296="proMX",AB296=1),ROUND(AG296/CFG_BLK,2),"")</f>
        <v/>
      </c>
      <c r="O296" s="77" t="str">
        <f>IF(D296="proMX",IF(BD296=1,ROUND(AG296/60,4),0),"")</f>
        <v/>
      </c>
      <c r="P296" s="78" t="str">
        <f>IF(Y296=0,"",IF(BD296=1,"OK",IF(D296="proMX","Revisar bloques: ","Revisar: ")&amp;BC296))</f>
        <v/>
      </c>
      <c r="Q296" s="78" t="str">
        <f>IF(NOT(ISNUMBER(B296)),"",IF(COUNTIFS(FER_F,INT(B296))&gt;0,"Feriado"&amp;IF(AH296=1," (laborable)"," (no laborable)"),IF(AH296=1,"Laborable",IF(WEEKDAY(B296,2)&gt;5,"Fin de semana","No laborable"))))</f>
        <v/>
      </c>
      <c r="R296" s="73" t="n"/>
      <c r="S296" s="72" t="n"/>
      <c r="T296" s="72" t="n"/>
      <c r="U296" s="74" t="n"/>
      <c r="V296" s="79" t="str">
        <f>IF(AND(D296="proMX",OR(R296="Submitted",R296="Recall Requested"),ISNUMBER(S296)),CFG_TODAY-INT(S296),"")</f>
        <v/>
      </c>
      <c r="W296" s="78" t="str">
        <f>IF(BD296=0,"",IF(BA296&gt;0,"⚠ Se superpone con un registro de la otra empresa",IF(D296="Malcolm",IF(COUNTA(R296,S296,T296)&gt;0,"Estado/fechas proMX se ignoran en Malcolm",""),IF(BF296="Cancelled","Cancelado: excluido de totales",IF(R296="","Sin estado: se trata como Draft",IF(BF296="Submitted",IF(ISNUMBER(V296),IF(V296&gt;CFG_MAXD,"⚠ "&amp;V296&amp;" días en Submitted (máx. "&amp;CFG_MAXD&amp;")",""),"Falta fecha de envío"),IF(BF296="Returned","⚠ Devuelto: corregir y reenviar",IF(BF296="Recall Requested","Retirada solicitada: pendiente",IF(AND(BF296="Approved",NOT(ISNUMBER(T296))),"Falta fecha de aprobación",IF(AND(ISNUMBER(S296),ISNUMBER(T296),T296&lt;S296),"Aprobación anterior al envío","")))))))))</f>
        <v/>
      </c>
      <c r="Y296" s="80">
        <f>IF(COUNTA(B296,D296,E296,F296,G296,H296,I296,J296,R296,S296,T296)&gt;0,1,0)</f>
        <v>0</v>
      </c>
      <c r="Z296" s="80" t="str">
        <f>IF(AND(ISNUMBER(H296),H296&gt;=0,H296&lt;1),ROUND(H296*1440,0),"")</f>
        <v/>
      </c>
      <c r="AA296" s="80" t="str">
        <f>IF(AND(ISNUMBER(I296),I296&gt;=0,I296&lt;1),ROUND(I296*1440,0),"")</f>
        <v/>
      </c>
      <c r="AB296" s="80">
        <f>IF(AND(ISNUMBER(B296),D296&lt;&gt;"",ISNUMBER(Z296),ISNUMBER(AA296)),IF(Z296=AA296,0,1),0)</f>
        <v>0</v>
      </c>
      <c r="AC296" s="80">
        <f>IF(AB296=1,IF(AA296&lt;Z296,1,0),0)</f>
        <v>0</v>
      </c>
      <c r="AD296" s="80">
        <f>IF(AB296=1,IF(AC296=1,1440-Z296+AA296,AA296-Z296),0)</f>
        <v>0</v>
      </c>
      <c r="AE296" s="80">
        <f>IF(J296="",0,IF(ISNUMBER(J296),J296,-1))</f>
        <v>0</v>
      </c>
      <c r="AF296" s="80">
        <f>MIN(MAX(0,AE296),AD296)</f>
        <v>0</v>
      </c>
      <c r="AG296" s="80">
        <f>MAX(0,AD296-MAX(0,AE296))</f>
        <v>0</v>
      </c>
      <c r="AH296" s="80">
        <f>IF(ISNUMBER(B296),IF(AND(INDEX(CFG_WDAYS,WEEKDAY(INT(B296),2))="Sí",IF(D296="proMX",COUNTIFS(FER_F,INT(B296),FER_NLP,"Sí"),COUNTIFS(FER_F,INT(B296),FER_NLM,"Sí"))=0),1,0),0)</f>
        <v>0</v>
      </c>
      <c r="AI296" s="80">
        <f>IF(AC296=1,IF(AND(INDEX(CFG_WDAYS,WEEKDAY(INT(B296)+1,2))="Sí",IF(D296="proMX",COUNTIFS(FER_F,INT(B296)+1,FER_NLP,"Sí"),COUNTIFS(FER_F,INT(B296)+1,FER_NLM,"Sí"))=0),1,0),0)</f>
        <v>0</v>
      </c>
      <c r="AJ296" s="80">
        <f>IF(AC296=1,1440-Z296,AD296)</f>
        <v>0</v>
      </c>
      <c r="AK296" s="80">
        <f>IF(AND(AB296=1,AH296=1),MAX(0,MIN(IF(AC296=1,1440,AA296),CFG_WEM)-MAX(Z296,CFG_WSM)),0)</f>
        <v>0</v>
      </c>
      <c r="AL296" s="80">
        <f>IF(AND(AC296=1,AI296=1),MAX(0,MIN(AA296,CFG_WEM)-CFG_WSM),0)</f>
        <v>0</v>
      </c>
      <c r="AM296" s="80">
        <f>AK296+AL296</f>
        <v>0</v>
      </c>
      <c r="AN296" s="80">
        <f>IF(CFG_BRK="Proporcional",IF(AD296=0,0,AF296*AM296/AD296),IF(CFG_BRK="Extras primero",MIN(AM296,MAX(0,AF296-(AD296-AM296))),MIN(AF296,AM296)))</f>
        <v>0</v>
      </c>
      <c r="AO296" s="80">
        <f>AF296-AN296</f>
        <v>0</v>
      </c>
      <c r="AP296" s="80">
        <f>AM296-AN296</f>
        <v>0</v>
      </c>
      <c r="AQ296" s="80">
        <f>AD296-AM296-AO296</f>
        <v>0</v>
      </c>
      <c r="AR296" s="80">
        <f>IF(AM296=0,0,AK296-AN296*AK296/AM296)</f>
        <v>0</v>
      </c>
      <c r="AS296" s="80">
        <f>IF(AD296-AM296=0,0,(AJ296-AK296)-AO296*(AJ296-AK296)/(AD296-AM296))</f>
        <v>0</v>
      </c>
      <c r="AT296" s="80" t="str">
        <f>IF(AC296=1,INT(B296)+1,"")</f>
        <v/>
      </c>
      <c r="AU296" s="80">
        <f>IF(AND(D296="proMX",R296="Cancelled"),0,1)</f>
        <v>1</v>
      </c>
      <c r="AV296" s="80">
        <f>IF(AND(AB296=1,AU296=1),IF(COUNTIFS($D$5:D295,D296,$B$5:B295,B296,$Z$5:Z295,Z296,$AA$5:AA295,AA296,$F$5:F295,F296&amp;"",$AU$5:AU295,1)&gt;0,1,0),0)</f>
        <v>0</v>
      </c>
      <c r="AW296" s="80" t="str">
        <f>IF(AB296=1,INT(B296)*1440+Z296,"")</f>
        <v/>
      </c>
      <c r="AX296" s="80" t="str">
        <f>IF(AB296=1,AW296+AD296,"")</f>
        <v/>
      </c>
      <c r="AY296" s="80">
        <f>IF(AND(AB296=1,AV296=0,AU296=1),1,0)</f>
        <v>0</v>
      </c>
      <c r="AZ296" s="80">
        <f>IF(AY296=1,COUNTIFS(R_Emp,D296,R_SAbs,"&lt;"&amp;AX296,R_EAbs,"&gt;"&amp;AW296,R_OKey,1)-1,0)</f>
        <v>0</v>
      </c>
      <c r="BA296" s="80">
        <f>IF(AY296=1,COUNTIFS(R_Emp,"&lt;&gt;"&amp;D296,R_SAbs,"&lt;"&amp;AX296,R_EAbs,"&gt;"&amp;AW296,R_OKey,1),0)</f>
        <v>0</v>
      </c>
      <c r="BB296" s="80">
        <f>IF(AND(AB296=1,D296="proMX"),IF(AND(MOD(Z296,CFG_BLK)=0,MOD(AA296,CFG_BLK)=0,MOD(AG296,CFG_BLK)=0,AG296&gt;0),1,0),1)</f>
        <v>1</v>
      </c>
      <c r="BC296" s="80" t="str">
        <f>IF(Y296=0,"",IF(NOT(ISNUMBER(B296)),"Falta fecha o fecha inválida",IF(D296="","Falta empresa",IF(AND(D296&lt;&gt;"Malcolm",D296&lt;&gt;"proMX"),"Empresa inválida",IF(OR(INT(B296)&lt;CFG_PSTART,INT(B296)&gt;CFG_PEND),"Fecha fuera del período",IF(OR(NOT(ISNUMBER(Z296)),NOT(ISNUMBER(AA296))),"Falta hora inicio/fin o formato inválido",IF(AB296=0,"Hora inicio = hora fin",IF(AE296&lt;0,"Descanso inválido",IF(AE296&gt;=AD296,"Descanso ≥ duración",IF(AV296=1,"Registro duplicado",IF(AZ296&gt;0,"Se superpone con otro registro "&amp;D296,IF(BB296=0,"inicio, fin y duración neta deben ser múltiplos de "&amp;CFG_BLK&amp;" min",""))))))))))))</f>
        <v/>
      </c>
      <c r="BD296" s="80">
        <f>IF(AND(Y296=1,BC296=""),1,0)</f>
        <v>0</v>
      </c>
      <c r="BE296" s="80">
        <f>IF(AND(BD296=1,AU296=1),1,0)</f>
        <v>0</v>
      </c>
      <c r="BF296" s="80" t="str">
        <f>IF(AND(D296="proMX",BD296=1),IF(R296="","Draft",R296),"")</f>
        <v/>
      </c>
      <c r="BG296" s="80">
        <f>IF(BD296=1,ROUND(AG296/60,6),0)</f>
        <v>0</v>
      </c>
      <c r="BH296" s="80">
        <f>IF(BE296=1,ROUND(AG296/60,6),0)</f>
        <v>0</v>
      </c>
      <c r="BI296" s="80">
        <f>IF(BE296=1,ROUND(AP296/60,6),0)</f>
        <v>0</v>
      </c>
      <c r="BJ296" s="80">
        <f>IF(BE296=1,ROUND(AQ296/60,6),0)</f>
        <v>0</v>
      </c>
      <c r="BK296" s="80">
        <f>IF(BE296=1,ROUND((AR296+AS296)/60,6),0)</f>
        <v>0</v>
      </c>
      <c r="BL296" s="80">
        <f>ROUND(BH296-BK296,6)</f>
        <v>0</v>
      </c>
      <c r="BM296" s="80">
        <f>IF(BE296=1,ROUND(AR296/60,6),0)</f>
        <v>0</v>
      </c>
      <c r="BN296" s="80">
        <f>ROUND(BI296-BM296,6)</f>
        <v>0</v>
      </c>
      <c r="BO296" s="80">
        <f>IF(BE296=1,ROUND(AS296/60,6),0)</f>
        <v>0</v>
      </c>
      <c r="BP296" s="80">
        <f>ROUND(BJ296-BO296,6)</f>
        <v>0</v>
      </c>
      <c r="BQ296" s="80">
        <f>IF(BE296=1,AW296,0)</f>
        <v>0</v>
      </c>
      <c r="BR296" s="80">
        <f>IF(BE296=1,AX296,0)</f>
        <v>0</v>
      </c>
      <c r="BS296" s="80">
        <f>IF(AND(BE296=1,D296="Malcolm",BA296&gt;0),MIN(BH296,SUMPRODUCT((R_Emp="proMX")*(R_EN&gt;0)*((R_EN-(R_EN&gt;BR296)*(R_EN-BR296))&gt;(R_SN+(R_SN&lt;BQ296)*(BQ296-R_SN)))*((R_EN-(R_EN&gt;BR296)*(R_EN-BR296))-(R_SN+(R_SN&lt;BQ296)*(BQ296-R_SN))))/60),0)</f>
        <v>0</v>
      </c>
      <c r="BT296" s="80">
        <f>IF(AND(BE296=1,D296="proMX"),ROUND(BI296*CFG_RATE+BJ296*CFG_OTRATE,6),0)</f>
        <v>0</v>
      </c>
      <c r="BU296" s="80">
        <f>IF(AND(BD296=1,D296="proMX"),ROUND(AG296/CFG_BLK,6),0)</f>
        <v>0</v>
      </c>
      <c r="BV296" s="80" t="str">
        <f>IF(BF296="Approved",IF(ISNUMBER(T296),INT(T296),INT(B296)),"")</f>
        <v/>
      </c>
      <c r="BW296" s="80">
        <f>IF(ISNUMBER(B296),IF(DB_MON="Todos",1,IF(AND(INT(B296)&gt;=DB_MS,INT(B296)&lt;=DB_ME),1,0)),0)</f>
        <v>0</v>
      </c>
      <c r="BX296" s="80">
        <f>IF(DB_PROJ="Todos",1,IF(E296&amp;""=DB_PROJ&amp;"",1,0))</f>
        <v>1</v>
      </c>
      <c r="BY296" s="80">
        <f>BW296*BX296</f>
        <v>0</v>
      </c>
      <c r="BZ296" s="80" t="str">
        <f>IF(Y296=1,F296&amp;IF(AND(F296&amp;""&lt;&gt;"",E296&amp;""&lt;&gt;"")," · ","")&amp;E296,"")</f>
        <v/>
      </c>
      <c r="CA296" s="80" t="str">
        <f>IF(AND(BD296=1,E296&amp;""&lt;&gt;""),IF(COUNTIFS($E$5:E295,E296,$BD$5:BD295,1)=0,MAX($CA$5:CA295)+1,""),"")</f>
        <v/>
      </c>
      <c r="CB296" s="80" t="str">
        <f>IF(AND(BE296=1,D296="Malcolm",E296&amp;""&lt;&gt;""),IF(COUNTIFS($D$5:D295,"Malcolm",$E$5:E295,E296,$BE$5:BE295,1)=0,MAX($CB$5:CB295)+1,""),"")</f>
        <v/>
      </c>
      <c r="CC296" s="80" t="str">
        <f>IF(AND(BD296=1,D296="proMX",E296&amp;""&lt;&gt;""),IF(COUNTIFS($D$5:D295,"proMX",$E$5:E295,E296,$BD$5:BD295,1)=0,MAX($CC$5:CC295)+1,""),"")</f>
        <v/>
      </c>
      <c r="CD296" s="80" t="str">
        <f>IF(AND(BE296=1,D296="Malcolm",F296&amp;""&lt;&gt;""),IF(COUNTIFS($D$5:D295,"Malcolm",$F$5:F295,F296,$BE$5:BE295,1)=0,MAX($CD$5:CD295)+1,""),"")</f>
        <v/>
      </c>
      <c r="CE296" s="80" t="str">
        <f>IF(AND(BD296=1,D296="proMX",F296&amp;""&lt;&gt;""),IF(COUNTIFS($D$5:D295,"proMX",$F$5:F295,F296,$BD$5:BD295,1)=0,MAX($CE$5:CE295)+1,""),"")</f>
        <v/>
      </c>
      <c r="CF296" s="80" t="str">
        <f>IF(AND(D296="proMX",BD296=1),IF(OR(BF296="Draft",BF296="Submitted",BF296="Returned",BF296="Recall Requested"),MAX($CF$5:CF295)+1,""),"")</f>
        <v/>
      </c>
      <c r="CG296" s="80">
        <f>IF(BD296=0,0,IF(D296="Malcolm",1,MATCH(BF296,{"Draft","Submitted","Approved","Returned","Recall Requested","Cancelled"},0)+1))</f>
        <v>0</v>
      </c>
      <c r="CH296" s="80">
        <f>IF(AND(BF296="Submitted",ISNUMBER(V296)),IF(V296&gt;CFG_MAXD,1,0),0)</f>
        <v>0</v>
      </c>
    </row>
    <row r="297">
      <c r="A297" s="71" t="str">
        <f>IF(Y297=1,ROW()-5,"")</f>
        <v/>
      </c>
      <c r="B297" s="72" t="n"/>
      <c r="C297" s="71" t="str">
        <f>IF(ISNUMBER(B297),CHOOSE(WEEKDAY(B297,2),"Lun","Mar","Mié","Jue","Vie","Sáb","Dom"),"")</f>
        <v/>
      </c>
      <c r="D297" s="73" t="n"/>
      <c r="E297" s="74" t="n"/>
      <c r="F297" s="74" t="n"/>
      <c r="G297" s="74" t="n"/>
      <c r="H297" s="75" t="n"/>
      <c r="I297" s="75" t="n"/>
      <c r="J297" s="76" t="n"/>
      <c r="K297" s="77" t="str">
        <f>IF(AB297=1,ROUND(AG297/60,4),"")</f>
        <v/>
      </c>
      <c r="L297" s="77" t="str">
        <f>IF(BD297=1,ROUND(AP297/60,4),"")</f>
        <v/>
      </c>
      <c r="M297" s="77" t="str">
        <f>IF(BD297=1,ROUND(AQ297/60,4),"")</f>
        <v/>
      </c>
      <c r="N297" s="71" t="str">
        <f>IF(AND(D297="proMX",AB297=1),ROUND(AG297/CFG_BLK,2),"")</f>
        <v/>
      </c>
      <c r="O297" s="77" t="str">
        <f>IF(D297="proMX",IF(BD297=1,ROUND(AG297/60,4),0),"")</f>
        <v/>
      </c>
      <c r="P297" s="78" t="str">
        <f>IF(Y297=0,"",IF(BD297=1,"OK",IF(D297="proMX","Revisar bloques: ","Revisar: ")&amp;BC297))</f>
        <v/>
      </c>
      <c r="Q297" s="78" t="str">
        <f>IF(NOT(ISNUMBER(B297)),"",IF(COUNTIFS(FER_F,INT(B297))&gt;0,"Feriado"&amp;IF(AH297=1," (laborable)"," (no laborable)"),IF(AH297=1,"Laborable",IF(WEEKDAY(B297,2)&gt;5,"Fin de semana","No laborable"))))</f>
        <v/>
      </c>
      <c r="R297" s="73" t="n"/>
      <c r="S297" s="72" t="n"/>
      <c r="T297" s="72" t="n"/>
      <c r="U297" s="74" t="n"/>
      <c r="V297" s="79" t="str">
        <f>IF(AND(D297="proMX",OR(R297="Submitted",R297="Recall Requested"),ISNUMBER(S297)),CFG_TODAY-INT(S297),"")</f>
        <v/>
      </c>
      <c r="W297" s="78" t="str">
        <f>IF(BD297=0,"",IF(BA297&gt;0,"⚠ Se superpone con un registro de la otra empresa",IF(D297="Malcolm",IF(COUNTA(R297,S297,T297)&gt;0,"Estado/fechas proMX se ignoran en Malcolm",""),IF(BF297="Cancelled","Cancelado: excluido de totales",IF(R297="","Sin estado: se trata como Draft",IF(BF297="Submitted",IF(ISNUMBER(V297),IF(V297&gt;CFG_MAXD,"⚠ "&amp;V297&amp;" días en Submitted (máx. "&amp;CFG_MAXD&amp;")",""),"Falta fecha de envío"),IF(BF297="Returned","⚠ Devuelto: corregir y reenviar",IF(BF297="Recall Requested","Retirada solicitada: pendiente",IF(AND(BF297="Approved",NOT(ISNUMBER(T297))),"Falta fecha de aprobación",IF(AND(ISNUMBER(S297),ISNUMBER(T297),T297&lt;S297),"Aprobación anterior al envío","")))))))))</f>
        <v/>
      </c>
      <c r="Y297" s="80">
        <f>IF(COUNTA(B297,D297,E297,F297,G297,H297,I297,J297,R297,S297,T297)&gt;0,1,0)</f>
        <v>0</v>
      </c>
      <c r="Z297" s="80" t="str">
        <f>IF(AND(ISNUMBER(H297),H297&gt;=0,H297&lt;1),ROUND(H297*1440,0),"")</f>
        <v/>
      </c>
      <c r="AA297" s="80" t="str">
        <f>IF(AND(ISNUMBER(I297),I297&gt;=0,I297&lt;1),ROUND(I297*1440,0),"")</f>
        <v/>
      </c>
      <c r="AB297" s="80">
        <f>IF(AND(ISNUMBER(B297),D297&lt;&gt;"",ISNUMBER(Z297),ISNUMBER(AA297)),IF(Z297=AA297,0,1),0)</f>
        <v>0</v>
      </c>
      <c r="AC297" s="80">
        <f>IF(AB297=1,IF(AA297&lt;Z297,1,0),0)</f>
        <v>0</v>
      </c>
      <c r="AD297" s="80">
        <f>IF(AB297=1,IF(AC297=1,1440-Z297+AA297,AA297-Z297),0)</f>
        <v>0</v>
      </c>
      <c r="AE297" s="80">
        <f>IF(J297="",0,IF(ISNUMBER(J297),J297,-1))</f>
        <v>0</v>
      </c>
      <c r="AF297" s="80">
        <f>MIN(MAX(0,AE297),AD297)</f>
        <v>0</v>
      </c>
      <c r="AG297" s="80">
        <f>MAX(0,AD297-MAX(0,AE297))</f>
        <v>0</v>
      </c>
      <c r="AH297" s="80">
        <f>IF(ISNUMBER(B297),IF(AND(INDEX(CFG_WDAYS,WEEKDAY(INT(B297),2))="Sí",IF(D297="proMX",COUNTIFS(FER_F,INT(B297),FER_NLP,"Sí"),COUNTIFS(FER_F,INT(B297),FER_NLM,"Sí"))=0),1,0),0)</f>
        <v>0</v>
      </c>
      <c r="AI297" s="80">
        <f>IF(AC297=1,IF(AND(INDEX(CFG_WDAYS,WEEKDAY(INT(B297)+1,2))="Sí",IF(D297="proMX",COUNTIFS(FER_F,INT(B297)+1,FER_NLP,"Sí"),COUNTIFS(FER_F,INT(B297)+1,FER_NLM,"Sí"))=0),1,0),0)</f>
        <v>0</v>
      </c>
      <c r="AJ297" s="80">
        <f>IF(AC297=1,1440-Z297,AD297)</f>
        <v>0</v>
      </c>
      <c r="AK297" s="80">
        <f>IF(AND(AB297=1,AH297=1),MAX(0,MIN(IF(AC297=1,1440,AA297),CFG_WEM)-MAX(Z297,CFG_WSM)),0)</f>
        <v>0</v>
      </c>
      <c r="AL297" s="80">
        <f>IF(AND(AC297=1,AI297=1),MAX(0,MIN(AA297,CFG_WEM)-CFG_WSM),0)</f>
        <v>0</v>
      </c>
      <c r="AM297" s="80">
        <f>AK297+AL297</f>
        <v>0</v>
      </c>
      <c r="AN297" s="80">
        <f>IF(CFG_BRK="Proporcional",IF(AD297=0,0,AF297*AM297/AD297),IF(CFG_BRK="Extras primero",MIN(AM297,MAX(0,AF297-(AD297-AM297))),MIN(AF297,AM297)))</f>
        <v>0</v>
      </c>
      <c r="AO297" s="80">
        <f>AF297-AN297</f>
        <v>0</v>
      </c>
      <c r="AP297" s="80">
        <f>AM297-AN297</f>
        <v>0</v>
      </c>
      <c r="AQ297" s="80">
        <f>AD297-AM297-AO297</f>
        <v>0</v>
      </c>
      <c r="AR297" s="80">
        <f>IF(AM297=0,0,AK297-AN297*AK297/AM297)</f>
        <v>0</v>
      </c>
      <c r="AS297" s="80">
        <f>IF(AD297-AM297=0,0,(AJ297-AK297)-AO297*(AJ297-AK297)/(AD297-AM297))</f>
        <v>0</v>
      </c>
      <c r="AT297" s="80" t="str">
        <f>IF(AC297=1,INT(B297)+1,"")</f>
        <v/>
      </c>
      <c r="AU297" s="80">
        <f>IF(AND(D297="proMX",R297="Cancelled"),0,1)</f>
        <v>1</v>
      </c>
      <c r="AV297" s="80">
        <f>IF(AND(AB297=1,AU297=1),IF(COUNTIFS($D$5:D296,D297,$B$5:B296,B297,$Z$5:Z296,Z297,$AA$5:AA296,AA297,$F$5:F296,F297&amp;"",$AU$5:AU296,1)&gt;0,1,0),0)</f>
        <v>0</v>
      </c>
      <c r="AW297" s="80" t="str">
        <f>IF(AB297=1,INT(B297)*1440+Z297,"")</f>
        <v/>
      </c>
      <c r="AX297" s="80" t="str">
        <f>IF(AB297=1,AW297+AD297,"")</f>
        <v/>
      </c>
      <c r="AY297" s="80">
        <f>IF(AND(AB297=1,AV297=0,AU297=1),1,0)</f>
        <v>0</v>
      </c>
      <c r="AZ297" s="80">
        <f>IF(AY297=1,COUNTIFS(R_Emp,D297,R_SAbs,"&lt;"&amp;AX297,R_EAbs,"&gt;"&amp;AW297,R_OKey,1)-1,0)</f>
        <v>0</v>
      </c>
      <c r="BA297" s="80">
        <f>IF(AY297=1,COUNTIFS(R_Emp,"&lt;&gt;"&amp;D297,R_SAbs,"&lt;"&amp;AX297,R_EAbs,"&gt;"&amp;AW297,R_OKey,1),0)</f>
        <v>0</v>
      </c>
      <c r="BB297" s="80">
        <f>IF(AND(AB297=1,D297="proMX"),IF(AND(MOD(Z297,CFG_BLK)=0,MOD(AA297,CFG_BLK)=0,MOD(AG297,CFG_BLK)=0,AG297&gt;0),1,0),1)</f>
        <v>1</v>
      </c>
      <c r="BC297" s="80" t="str">
        <f>IF(Y297=0,"",IF(NOT(ISNUMBER(B297)),"Falta fecha o fecha inválida",IF(D297="","Falta empresa",IF(AND(D297&lt;&gt;"Malcolm",D297&lt;&gt;"proMX"),"Empresa inválida",IF(OR(INT(B297)&lt;CFG_PSTART,INT(B297)&gt;CFG_PEND),"Fecha fuera del período",IF(OR(NOT(ISNUMBER(Z297)),NOT(ISNUMBER(AA297))),"Falta hora inicio/fin o formato inválido",IF(AB297=0,"Hora inicio = hora fin",IF(AE297&lt;0,"Descanso inválido",IF(AE297&gt;=AD297,"Descanso ≥ duración",IF(AV297=1,"Registro duplicado",IF(AZ297&gt;0,"Se superpone con otro registro "&amp;D297,IF(BB297=0,"inicio, fin y duración neta deben ser múltiplos de "&amp;CFG_BLK&amp;" min",""))))))))))))</f>
        <v/>
      </c>
      <c r="BD297" s="80">
        <f>IF(AND(Y297=1,BC297=""),1,0)</f>
        <v>0</v>
      </c>
      <c r="BE297" s="80">
        <f>IF(AND(BD297=1,AU297=1),1,0)</f>
        <v>0</v>
      </c>
      <c r="BF297" s="80" t="str">
        <f>IF(AND(D297="proMX",BD297=1),IF(R297="","Draft",R297),"")</f>
        <v/>
      </c>
      <c r="BG297" s="80">
        <f>IF(BD297=1,ROUND(AG297/60,6),0)</f>
        <v>0</v>
      </c>
      <c r="BH297" s="80">
        <f>IF(BE297=1,ROUND(AG297/60,6),0)</f>
        <v>0</v>
      </c>
      <c r="BI297" s="80">
        <f>IF(BE297=1,ROUND(AP297/60,6),0)</f>
        <v>0</v>
      </c>
      <c r="BJ297" s="80">
        <f>IF(BE297=1,ROUND(AQ297/60,6),0)</f>
        <v>0</v>
      </c>
      <c r="BK297" s="80">
        <f>IF(BE297=1,ROUND((AR297+AS297)/60,6),0)</f>
        <v>0</v>
      </c>
      <c r="BL297" s="80">
        <f>ROUND(BH297-BK297,6)</f>
        <v>0</v>
      </c>
      <c r="BM297" s="80">
        <f>IF(BE297=1,ROUND(AR297/60,6),0)</f>
        <v>0</v>
      </c>
      <c r="BN297" s="80">
        <f>ROUND(BI297-BM297,6)</f>
        <v>0</v>
      </c>
      <c r="BO297" s="80">
        <f>IF(BE297=1,ROUND(AS297/60,6),0)</f>
        <v>0</v>
      </c>
      <c r="BP297" s="80">
        <f>ROUND(BJ297-BO297,6)</f>
        <v>0</v>
      </c>
      <c r="BQ297" s="80">
        <f>IF(BE297=1,AW297,0)</f>
        <v>0</v>
      </c>
      <c r="BR297" s="80">
        <f>IF(BE297=1,AX297,0)</f>
        <v>0</v>
      </c>
      <c r="BS297" s="80">
        <f>IF(AND(BE297=1,D297="Malcolm",BA297&gt;0),MIN(BH297,SUMPRODUCT((R_Emp="proMX")*(R_EN&gt;0)*((R_EN-(R_EN&gt;BR297)*(R_EN-BR297))&gt;(R_SN+(R_SN&lt;BQ297)*(BQ297-R_SN)))*((R_EN-(R_EN&gt;BR297)*(R_EN-BR297))-(R_SN+(R_SN&lt;BQ297)*(BQ297-R_SN))))/60),0)</f>
        <v>0</v>
      </c>
      <c r="BT297" s="80">
        <f>IF(AND(BE297=1,D297="proMX"),ROUND(BI297*CFG_RATE+BJ297*CFG_OTRATE,6),0)</f>
        <v>0</v>
      </c>
      <c r="BU297" s="80">
        <f>IF(AND(BD297=1,D297="proMX"),ROUND(AG297/CFG_BLK,6),0)</f>
        <v>0</v>
      </c>
      <c r="BV297" s="80" t="str">
        <f>IF(BF297="Approved",IF(ISNUMBER(T297),INT(T297),INT(B297)),"")</f>
        <v/>
      </c>
      <c r="BW297" s="80">
        <f>IF(ISNUMBER(B297),IF(DB_MON="Todos",1,IF(AND(INT(B297)&gt;=DB_MS,INT(B297)&lt;=DB_ME),1,0)),0)</f>
        <v>0</v>
      </c>
      <c r="BX297" s="80">
        <f>IF(DB_PROJ="Todos",1,IF(E297&amp;""=DB_PROJ&amp;"",1,0))</f>
        <v>1</v>
      </c>
      <c r="BY297" s="80">
        <f>BW297*BX297</f>
        <v>0</v>
      </c>
      <c r="BZ297" s="80" t="str">
        <f>IF(Y297=1,F297&amp;IF(AND(F297&amp;""&lt;&gt;"",E297&amp;""&lt;&gt;"")," · ","")&amp;E297,"")</f>
        <v/>
      </c>
      <c r="CA297" s="80" t="str">
        <f>IF(AND(BD297=1,E297&amp;""&lt;&gt;""),IF(COUNTIFS($E$5:E296,E297,$BD$5:BD296,1)=0,MAX($CA$5:CA296)+1,""),"")</f>
        <v/>
      </c>
      <c r="CB297" s="80" t="str">
        <f>IF(AND(BE297=1,D297="Malcolm",E297&amp;""&lt;&gt;""),IF(COUNTIFS($D$5:D296,"Malcolm",$E$5:E296,E297,$BE$5:BE296,1)=0,MAX($CB$5:CB296)+1,""),"")</f>
        <v/>
      </c>
      <c r="CC297" s="80" t="str">
        <f>IF(AND(BD297=1,D297="proMX",E297&amp;""&lt;&gt;""),IF(COUNTIFS($D$5:D296,"proMX",$E$5:E296,E297,$BD$5:BD296,1)=0,MAX($CC$5:CC296)+1,""),"")</f>
        <v/>
      </c>
      <c r="CD297" s="80" t="str">
        <f>IF(AND(BE297=1,D297="Malcolm",F297&amp;""&lt;&gt;""),IF(COUNTIFS($D$5:D296,"Malcolm",$F$5:F296,F297,$BE$5:BE296,1)=0,MAX($CD$5:CD296)+1,""),"")</f>
        <v/>
      </c>
      <c r="CE297" s="80" t="str">
        <f>IF(AND(BD297=1,D297="proMX",F297&amp;""&lt;&gt;""),IF(COUNTIFS($D$5:D296,"proMX",$F$5:F296,F297,$BD$5:BD296,1)=0,MAX($CE$5:CE296)+1,""),"")</f>
        <v/>
      </c>
      <c r="CF297" s="80" t="str">
        <f>IF(AND(D297="proMX",BD297=1),IF(OR(BF297="Draft",BF297="Submitted",BF297="Returned",BF297="Recall Requested"),MAX($CF$5:CF296)+1,""),"")</f>
        <v/>
      </c>
      <c r="CG297" s="80">
        <f>IF(BD297=0,0,IF(D297="Malcolm",1,MATCH(BF297,{"Draft","Submitted","Approved","Returned","Recall Requested","Cancelled"},0)+1))</f>
        <v>0</v>
      </c>
      <c r="CH297" s="80">
        <f>IF(AND(BF297="Submitted",ISNUMBER(V297)),IF(V297&gt;CFG_MAXD,1,0),0)</f>
        <v>0</v>
      </c>
    </row>
    <row r="298">
      <c r="A298" s="71" t="str">
        <f>IF(Y298=1,ROW()-5,"")</f>
        <v/>
      </c>
      <c r="B298" s="72" t="n"/>
      <c r="C298" s="71" t="str">
        <f>IF(ISNUMBER(B298),CHOOSE(WEEKDAY(B298,2),"Lun","Mar","Mié","Jue","Vie","Sáb","Dom"),"")</f>
        <v/>
      </c>
      <c r="D298" s="73" t="n"/>
      <c r="E298" s="74" t="n"/>
      <c r="F298" s="74" t="n"/>
      <c r="G298" s="74" t="n"/>
      <c r="H298" s="75" t="n"/>
      <c r="I298" s="75" t="n"/>
      <c r="J298" s="76" t="n"/>
      <c r="K298" s="77" t="str">
        <f>IF(AB298=1,ROUND(AG298/60,4),"")</f>
        <v/>
      </c>
      <c r="L298" s="77" t="str">
        <f>IF(BD298=1,ROUND(AP298/60,4),"")</f>
        <v/>
      </c>
      <c r="M298" s="77" t="str">
        <f>IF(BD298=1,ROUND(AQ298/60,4),"")</f>
        <v/>
      </c>
      <c r="N298" s="71" t="str">
        <f>IF(AND(D298="proMX",AB298=1),ROUND(AG298/CFG_BLK,2),"")</f>
        <v/>
      </c>
      <c r="O298" s="77" t="str">
        <f>IF(D298="proMX",IF(BD298=1,ROUND(AG298/60,4),0),"")</f>
        <v/>
      </c>
      <c r="P298" s="78" t="str">
        <f>IF(Y298=0,"",IF(BD298=1,"OK",IF(D298="proMX","Revisar bloques: ","Revisar: ")&amp;BC298))</f>
        <v/>
      </c>
      <c r="Q298" s="78" t="str">
        <f>IF(NOT(ISNUMBER(B298)),"",IF(COUNTIFS(FER_F,INT(B298))&gt;0,"Feriado"&amp;IF(AH298=1," (laborable)"," (no laborable)"),IF(AH298=1,"Laborable",IF(WEEKDAY(B298,2)&gt;5,"Fin de semana","No laborable"))))</f>
        <v/>
      </c>
      <c r="R298" s="73" t="n"/>
      <c r="S298" s="72" t="n"/>
      <c r="T298" s="72" t="n"/>
      <c r="U298" s="74" t="n"/>
      <c r="V298" s="79" t="str">
        <f>IF(AND(D298="proMX",OR(R298="Submitted",R298="Recall Requested"),ISNUMBER(S298)),CFG_TODAY-INT(S298),"")</f>
        <v/>
      </c>
      <c r="W298" s="78" t="str">
        <f>IF(BD298=0,"",IF(BA298&gt;0,"⚠ Se superpone con un registro de la otra empresa",IF(D298="Malcolm",IF(COUNTA(R298,S298,T298)&gt;0,"Estado/fechas proMX se ignoran en Malcolm",""),IF(BF298="Cancelled","Cancelado: excluido de totales",IF(R298="","Sin estado: se trata como Draft",IF(BF298="Submitted",IF(ISNUMBER(V298),IF(V298&gt;CFG_MAXD,"⚠ "&amp;V298&amp;" días en Submitted (máx. "&amp;CFG_MAXD&amp;")",""),"Falta fecha de envío"),IF(BF298="Returned","⚠ Devuelto: corregir y reenviar",IF(BF298="Recall Requested","Retirada solicitada: pendiente",IF(AND(BF298="Approved",NOT(ISNUMBER(T298))),"Falta fecha de aprobación",IF(AND(ISNUMBER(S298),ISNUMBER(T298),T298&lt;S298),"Aprobación anterior al envío","")))))))))</f>
        <v/>
      </c>
      <c r="Y298" s="80">
        <f>IF(COUNTA(B298,D298,E298,F298,G298,H298,I298,J298,R298,S298,T298)&gt;0,1,0)</f>
        <v>0</v>
      </c>
      <c r="Z298" s="80" t="str">
        <f>IF(AND(ISNUMBER(H298),H298&gt;=0,H298&lt;1),ROUND(H298*1440,0),"")</f>
        <v/>
      </c>
      <c r="AA298" s="80" t="str">
        <f>IF(AND(ISNUMBER(I298),I298&gt;=0,I298&lt;1),ROUND(I298*1440,0),"")</f>
        <v/>
      </c>
      <c r="AB298" s="80">
        <f>IF(AND(ISNUMBER(B298),D298&lt;&gt;"",ISNUMBER(Z298),ISNUMBER(AA298)),IF(Z298=AA298,0,1),0)</f>
        <v>0</v>
      </c>
      <c r="AC298" s="80">
        <f>IF(AB298=1,IF(AA298&lt;Z298,1,0),0)</f>
        <v>0</v>
      </c>
      <c r="AD298" s="80">
        <f>IF(AB298=1,IF(AC298=1,1440-Z298+AA298,AA298-Z298),0)</f>
        <v>0</v>
      </c>
      <c r="AE298" s="80">
        <f>IF(J298="",0,IF(ISNUMBER(J298),J298,-1))</f>
        <v>0</v>
      </c>
      <c r="AF298" s="80">
        <f>MIN(MAX(0,AE298),AD298)</f>
        <v>0</v>
      </c>
      <c r="AG298" s="80">
        <f>MAX(0,AD298-MAX(0,AE298))</f>
        <v>0</v>
      </c>
      <c r="AH298" s="80">
        <f>IF(ISNUMBER(B298),IF(AND(INDEX(CFG_WDAYS,WEEKDAY(INT(B298),2))="Sí",IF(D298="proMX",COUNTIFS(FER_F,INT(B298),FER_NLP,"Sí"),COUNTIFS(FER_F,INT(B298),FER_NLM,"Sí"))=0),1,0),0)</f>
        <v>0</v>
      </c>
      <c r="AI298" s="80">
        <f>IF(AC298=1,IF(AND(INDEX(CFG_WDAYS,WEEKDAY(INT(B298)+1,2))="Sí",IF(D298="proMX",COUNTIFS(FER_F,INT(B298)+1,FER_NLP,"Sí"),COUNTIFS(FER_F,INT(B298)+1,FER_NLM,"Sí"))=0),1,0),0)</f>
        <v>0</v>
      </c>
      <c r="AJ298" s="80">
        <f>IF(AC298=1,1440-Z298,AD298)</f>
        <v>0</v>
      </c>
      <c r="AK298" s="80">
        <f>IF(AND(AB298=1,AH298=1),MAX(0,MIN(IF(AC298=1,1440,AA298),CFG_WEM)-MAX(Z298,CFG_WSM)),0)</f>
        <v>0</v>
      </c>
      <c r="AL298" s="80">
        <f>IF(AND(AC298=1,AI298=1),MAX(0,MIN(AA298,CFG_WEM)-CFG_WSM),0)</f>
        <v>0</v>
      </c>
      <c r="AM298" s="80">
        <f>AK298+AL298</f>
        <v>0</v>
      </c>
      <c r="AN298" s="80">
        <f>IF(CFG_BRK="Proporcional",IF(AD298=0,0,AF298*AM298/AD298),IF(CFG_BRK="Extras primero",MIN(AM298,MAX(0,AF298-(AD298-AM298))),MIN(AF298,AM298)))</f>
        <v>0</v>
      </c>
      <c r="AO298" s="80">
        <f>AF298-AN298</f>
        <v>0</v>
      </c>
      <c r="AP298" s="80">
        <f>AM298-AN298</f>
        <v>0</v>
      </c>
      <c r="AQ298" s="80">
        <f>AD298-AM298-AO298</f>
        <v>0</v>
      </c>
      <c r="AR298" s="80">
        <f>IF(AM298=0,0,AK298-AN298*AK298/AM298)</f>
        <v>0</v>
      </c>
      <c r="AS298" s="80">
        <f>IF(AD298-AM298=0,0,(AJ298-AK298)-AO298*(AJ298-AK298)/(AD298-AM298))</f>
        <v>0</v>
      </c>
      <c r="AT298" s="80" t="str">
        <f>IF(AC298=1,INT(B298)+1,"")</f>
        <v/>
      </c>
      <c r="AU298" s="80">
        <f>IF(AND(D298="proMX",R298="Cancelled"),0,1)</f>
        <v>1</v>
      </c>
      <c r="AV298" s="80">
        <f>IF(AND(AB298=1,AU298=1),IF(COUNTIFS($D$5:D297,D298,$B$5:B297,B298,$Z$5:Z297,Z298,$AA$5:AA297,AA298,$F$5:F297,F298&amp;"",$AU$5:AU297,1)&gt;0,1,0),0)</f>
        <v>0</v>
      </c>
      <c r="AW298" s="80" t="str">
        <f>IF(AB298=1,INT(B298)*1440+Z298,"")</f>
        <v/>
      </c>
      <c r="AX298" s="80" t="str">
        <f>IF(AB298=1,AW298+AD298,"")</f>
        <v/>
      </c>
      <c r="AY298" s="80">
        <f>IF(AND(AB298=1,AV298=0,AU298=1),1,0)</f>
        <v>0</v>
      </c>
      <c r="AZ298" s="80">
        <f>IF(AY298=1,COUNTIFS(R_Emp,D298,R_SAbs,"&lt;"&amp;AX298,R_EAbs,"&gt;"&amp;AW298,R_OKey,1)-1,0)</f>
        <v>0</v>
      </c>
      <c r="BA298" s="80">
        <f>IF(AY298=1,COUNTIFS(R_Emp,"&lt;&gt;"&amp;D298,R_SAbs,"&lt;"&amp;AX298,R_EAbs,"&gt;"&amp;AW298,R_OKey,1),0)</f>
        <v>0</v>
      </c>
      <c r="BB298" s="80">
        <f>IF(AND(AB298=1,D298="proMX"),IF(AND(MOD(Z298,CFG_BLK)=0,MOD(AA298,CFG_BLK)=0,MOD(AG298,CFG_BLK)=0,AG298&gt;0),1,0),1)</f>
        <v>1</v>
      </c>
      <c r="BC298" s="80" t="str">
        <f>IF(Y298=0,"",IF(NOT(ISNUMBER(B298)),"Falta fecha o fecha inválida",IF(D298="","Falta empresa",IF(AND(D298&lt;&gt;"Malcolm",D298&lt;&gt;"proMX"),"Empresa inválida",IF(OR(INT(B298)&lt;CFG_PSTART,INT(B298)&gt;CFG_PEND),"Fecha fuera del período",IF(OR(NOT(ISNUMBER(Z298)),NOT(ISNUMBER(AA298))),"Falta hora inicio/fin o formato inválido",IF(AB298=0,"Hora inicio = hora fin",IF(AE298&lt;0,"Descanso inválido",IF(AE298&gt;=AD298,"Descanso ≥ duración",IF(AV298=1,"Registro duplicado",IF(AZ298&gt;0,"Se superpone con otro registro "&amp;D298,IF(BB298=0,"inicio, fin y duración neta deben ser múltiplos de "&amp;CFG_BLK&amp;" min",""))))))))))))</f>
        <v/>
      </c>
      <c r="BD298" s="80">
        <f>IF(AND(Y298=1,BC298=""),1,0)</f>
        <v>0</v>
      </c>
      <c r="BE298" s="80">
        <f>IF(AND(BD298=1,AU298=1),1,0)</f>
        <v>0</v>
      </c>
      <c r="BF298" s="80" t="str">
        <f>IF(AND(D298="proMX",BD298=1),IF(R298="","Draft",R298),"")</f>
        <v/>
      </c>
      <c r="BG298" s="80">
        <f>IF(BD298=1,ROUND(AG298/60,6),0)</f>
        <v>0</v>
      </c>
      <c r="BH298" s="80">
        <f>IF(BE298=1,ROUND(AG298/60,6),0)</f>
        <v>0</v>
      </c>
      <c r="BI298" s="80">
        <f>IF(BE298=1,ROUND(AP298/60,6),0)</f>
        <v>0</v>
      </c>
      <c r="BJ298" s="80">
        <f>IF(BE298=1,ROUND(AQ298/60,6),0)</f>
        <v>0</v>
      </c>
      <c r="BK298" s="80">
        <f>IF(BE298=1,ROUND((AR298+AS298)/60,6),0)</f>
        <v>0</v>
      </c>
      <c r="BL298" s="80">
        <f>ROUND(BH298-BK298,6)</f>
        <v>0</v>
      </c>
      <c r="BM298" s="80">
        <f>IF(BE298=1,ROUND(AR298/60,6),0)</f>
        <v>0</v>
      </c>
      <c r="BN298" s="80">
        <f>ROUND(BI298-BM298,6)</f>
        <v>0</v>
      </c>
      <c r="BO298" s="80">
        <f>IF(BE298=1,ROUND(AS298/60,6),0)</f>
        <v>0</v>
      </c>
      <c r="BP298" s="80">
        <f>ROUND(BJ298-BO298,6)</f>
        <v>0</v>
      </c>
      <c r="BQ298" s="80">
        <f>IF(BE298=1,AW298,0)</f>
        <v>0</v>
      </c>
      <c r="BR298" s="80">
        <f>IF(BE298=1,AX298,0)</f>
        <v>0</v>
      </c>
      <c r="BS298" s="80">
        <f>IF(AND(BE298=1,D298="Malcolm",BA298&gt;0),MIN(BH298,SUMPRODUCT((R_Emp="proMX")*(R_EN&gt;0)*((R_EN-(R_EN&gt;BR298)*(R_EN-BR298))&gt;(R_SN+(R_SN&lt;BQ298)*(BQ298-R_SN)))*((R_EN-(R_EN&gt;BR298)*(R_EN-BR298))-(R_SN+(R_SN&lt;BQ298)*(BQ298-R_SN))))/60),0)</f>
        <v>0</v>
      </c>
      <c r="BT298" s="80">
        <f>IF(AND(BE298=1,D298="proMX"),ROUND(BI298*CFG_RATE+BJ298*CFG_OTRATE,6),0)</f>
        <v>0</v>
      </c>
      <c r="BU298" s="80">
        <f>IF(AND(BD298=1,D298="proMX"),ROUND(AG298/CFG_BLK,6),0)</f>
        <v>0</v>
      </c>
      <c r="BV298" s="80" t="str">
        <f>IF(BF298="Approved",IF(ISNUMBER(T298),INT(T298),INT(B298)),"")</f>
        <v/>
      </c>
      <c r="BW298" s="80">
        <f>IF(ISNUMBER(B298),IF(DB_MON="Todos",1,IF(AND(INT(B298)&gt;=DB_MS,INT(B298)&lt;=DB_ME),1,0)),0)</f>
        <v>0</v>
      </c>
      <c r="BX298" s="80">
        <f>IF(DB_PROJ="Todos",1,IF(E298&amp;""=DB_PROJ&amp;"",1,0))</f>
        <v>1</v>
      </c>
      <c r="BY298" s="80">
        <f>BW298*BX298</f>
        <v>0</v>
      </c>
      <c r="BZ298" s="80" t="str">
        <f>IF(Y298=1,F298&amp;IF(AND(F298&amp;""&lt;&gt;"",E298&amp;""&lt;&gt;"")," · ","")&amp;E298,"")</f>
        <v/>
      </c>
      <c r="CA298" s="80" t="str">
        <f>IF(AND(BD298=1,E298&amp;""&lt;&gt;""),IF(COUNTIFS($E$5:E297,E298,$BD$5:BD297,1)=0,MAX($CA$5:CA297)+1,""),"")</f>
        <v/>
      </c>
      <c r="CB298" s="80" t="str">
        <f>IF(AND(BE298=1,D298="Malcolm",E298&amp;""&lt;&gt;""),IF(COUNTIFS($D$5:D297,"Malcolm",$E$5:E297,E298,$BE$5:BE297,1)=0,MAX($CB$5:CB297)+1,""),"")</f>
        <v/>
      </c>
      <c r="CC298" s="80" t="str">
        <f>IF(AND(BD298=1,D298="proMX",E298&amp;""&lt;&gt;""),IF(COUNTIFS($D$5:D297,"proMX",$E$5:E297,E298,$BD$5:BD297,1)=0,MAX($CC$5:CC297)+1,""),"")</f>
        <v/>
      </c>
      <c r="CD298" s="80" t="str">
        <f>IF(AND(BE298=1,D298="Malcolm",F298&amp;""&lt;&gt;""),IF(COUNTIFS($D$5:D297,"Malcolm",$F$5:F297,F298,$BE$5:BE297,1)=0,MAX($CD$5:CD297)+1,""),"")</f>
        <v/>
      </c>
      <c r="CE298" s="80" t="str">
        <f>IF(AND(BD298=1,D298="proMX",F298&amp;""&lt;&gt;""),IF(COUNTIFS($D$5:D297,"proMX",$F$5:F297,F298,$BD$5:BD297,1)=0,MAX($CE$5:CE297)+1,""),"")</f>
        <v/>
      </c>
      <c r="CF298" s="80" t="str">
        <f>IF(AND(D298="proMX",BD298=1),IF(OR(BF298="Draft",BF298="Submitted",BF298="Returned",BF298="Recall Requested"),MAX($CF$5:CF297)+1,""),"")</f>
        <v/>
      </c>
      <c r="CG298" s="80">
        <f>IF(BD298=0,0,IF(D298="Malcolm",1,MATCH(BF298,{"Draft","Submitted","Approved","Returned","Recall Requested","Cancelled"},0)+1))</f>
        <v>0</v>
      </c>
      <c r="CH298" s="80">
        <f>IF(AND(BF298="Submitted",ISNUMBER(V298)),IF(V298&gt;CFG_MAXD,1,0),0)</f>
        <v>0</v>
      </c>
    </row>
    <row r="299">
      <c r="A299" s="71" t="str">
        <f>IF(Y299=1,ROW()-5,"")</f>
        <v/>
      </c>
      <c r="B299" s="72" t="n"/>
      <c r="C299" s="71" t="str">
        <f>IF(ISNUMBER(B299),CHOOSE(WEEKDAY(B299,2),"Lun","Mar","Mié","Jue","Vie","Sáb","Dom"),"")</f>
        <v/>
      </c>
      <c r="D299" s="73" t="n"/>
      <c r="E299" s="74" t="n"/>
      <c r="F299" s="74" t="n"/>
      <c r="G299" s="74" t="n"/>
      <c r="H299" s="75" t="n"/>
      <c r="I299" s="75" t="n"/>
      <c r="J299" s="76" t="n"/>
      <c r="K299" s="77" t="str">
        <f>IF(AB299=1,ROUND(AG299/60,4),"")</f>
        <v/>
      </c>
      <c r="L299" s="77" t="str">
        <f>IF(BD299=1,ROUND(AP299/60,4),"")</f>
        <v/>
      </c>
      <c r="M299" s="77" t="str">
        <f>IF(BD299=1,ROUND(AQ299/60,4),"")</f>
        <v/>
      </c>
      <c r="N299" s="71" t="str">
        <f>IF(AND(D299="proMX",AB299=1),ROUND(AG299/CFG_BLK,2),"")</f>
        <v/>
      </c>
      <c r="O299" s="77" t="str">
        <f>IF(D299="proMX",IF(BD299=1,ROUND(AG299/60,4),0),"")</f>
        <v/>
      </c>
      <c r="P299" s="78" t="str">
        <f>IF(Y299=0,"",IF(BD299=1,"OK",IF(D299="proMX","Revisar bloques: ","Revisar: ")&amp;BC299))</f>
        <v/>
      </c>
      <c r="Q299" s="78" t="str">
        <f>IF(NOT(ISNUMBER(B299)),"",IF(COUNTIFS(FER_F,INT(B299))&gt;0,"Feriado"&amp;IF(AH299=1," (laborable)"," (no laborable)"),IF(AH299=1,"Laborable",IF(WEEKDAY(B299,2)&gt;5,"Fin de semana","No laborable"))))</f>
        <v/>
      </c>
      <c r="R299" s="73" t="n"/>
      <c r="S299" s="72" t="n"/>
      <c r="T299" s="72" t="n"/>
      <c r="U299" s="74" t="n"/>
      <c r="V299" s="79" t="str">
        <f>IF(AND(D299="proMX",OR(R299="Submitted",R299="Recall Requested"),ISNUMBER(S299)),CFG_TODAY-INT(S299),"")</f>
        <v/>
      </c>
      <c r="W299" s="78" t="str">
        <f>IF(BD299=0,"",IF(BA299&gt;0,"⚠ Se superpone con un registro de la otra empresa",IF(D299="Malcolm",IF(COUNTA(R299,S299,T299)&gt;0,"Estado/fechas proMX se ignoran en Malcolm",""),IF(BF299="Cancelled","Cancelado: excluido de totales",IF(R299="","Sin estado: se trata como Draft",IF(BF299="Submitted",IF(ISNUMBER(V299),IF(V299&gt;CFG_MAXD,"⚠ "&amp;V299&amp;" días en Submitted (máx. "&amp;CFG_MAXD&amp;")",""),"Falta fecha de envío"),IF(BF299="Returned","⚠ Devuelto: corregir y reenviar",IF(BF299="Recall Requested","Retirada solicitada: pendiente",IF(AND(BF299="Approved",NOT(ISNUMBER(T299))),"Falta fecha de aprobación",IF(AND(ISNUMBER(S299),ISNUMBER(T299),T299&lt;S299),"Aprobación anterior al envío","")))))))))</f>
        <v/>
      </c>
      <c r="Y299" s="80">
        <f>IF(COUNTA(B299,D299,E299,F299,G299,H299,I299,J299,R299,S299,T299)&gt;0,1,0)</f>
        <v>0</v>
      </c>
      <c r="Z299" s="80" t="str">
        <f>IF(AND(ISNUMBER(H299),H299&gt;=0,H299&lt;1),ROUND(H299*1440,0),"")</f>
        <v/>
      </c>
      <c r="AA299" s="80" t="str">
        <f>IF(AND(ISNUMBER(I299),I299&gt;=0,I299&lt;1),ROUND(I299*1440,0),"")</f>
        <v/>
      </c>
      <c r="AB299" s="80">
        <f>IF(AND(ISNUMBER(B299),D299&lt;&gt;"",ISNUMBER(Z299),ISNUMBER(AA299)),IF(Z299=AA299,0,1),0)</f>
        <v>0</v>
      </c>
      <c r="AC299" s="80">
        <f>IF(AB299=1,IF(AA299&lt;Z299,1,0),0)</f>
        <v>0</v>
      </c>
      <c r="AD299" s="80">
        <f>IF(AB299=1,IF(AC299=1,1440-Z299+AA299,AA299-Z299),0)</f>
        <v>0</v>
      </c>
      <c r="AE299" s="80">
        <f>IF(J299="",0,IF(ISNUMBER(J299),J299,-1))</f>
        <v>0</v>
      </c>
      <c r="AF299" s="80">
        <f>MIN(MAX(0,AE299),AD299)</f>
        <v>0</v>
      </c>
      <c r="AG299" s="80">
        <f>MAX(0,AD299-MAX(0,AE299))</f>
        <v>0</v>
      </c>
      <c r="AH299" s="80">
        <f>IF(ISNUMBER(B299),IF(AND(INDEX(CFG_WDAYS,WEEKDAY(INT(B299),2))="Sí",IF(D299="proMX",COUNTIFS(FER_F,INT(B299),FER_NLP,"Sí"),COUNTIFS(FER_F,INT(B299),FER_NLM,"Sí"))=0),1,0),0)</f>
        <v>0</v>
      </c>
      <c r="AI299" s="80">
        <f>IF(AC299=1,IF(AND(INDEX(CFG_WDAYS,WEEKDAY(INT(B299)+1,2))="Sí",IF(D299="proMX",COUNTIFS(FER_F,INT(B299)+1,FER_NLP,"Sí"),COUNTIFS(FER_F,INT(B299)+1,FER_NLM,"Sí"))=0),1,0),0)</f>
        <v>0</v>
      </c>
      <c r="AJ299" s="80">
        <f>IF(AC299=1,1440-Z299,AD299)</f>
        <v>0</v>
      </c>
      <c r="AK299" s="80">
        <f>IF(AND(AB299=1,AH299=1),MAX(0,MIN(IF(AC299=1,1440,AA299),CFG_WEM)-MAX(Z299,CFG_WSM)),0)</f>
        <v>0</v>
      </c>
      <c r="AL299" s="80">
        <f>IF(AND(AC299=1,AI299=1),MAX(0,MIN(AA299,CFG_WEM)-CFG_WSM),0)</f>
        <v>0</v>
      </c>
      <c r="AM299" s="80">
        <f>AK299+AL299</f>
        <v>0</v>
      </c>
      <c r="AN299" s="80">
        <f>IF(CFG_BRK="Proporcional",IF(AD299=0,0,AF299*AM299/AD299),IF(CFG_BRK="Extras primero",MIN(AM299,MAX(0,AF299-(AD299-AM299))),MIN(AF299,AM299)))</f>
        <v>0</v>
      </c>
      <c r="AO299" s="80">
        <f>AF299-AN299</f>
        <v>0</v>
      </c>
      <c r="AP299" s="80">
        <f>AM299-AN299</f>
        <v>0</v>
      </c>
      <c r="AQ299" s="80">
        <f>AD299-AM299-AO299</f>
        <v>0</v>
      </c>
      <c r="AR299" s="80">
        <f>IF(AM299=0,0,AK299-AN299*AK299/AM299)</f>
        <v>0</v>
      </c>
      <c r="AS299" s="80">
        <f>IF(AD299-AM299=0,0,(AJ299-AK299)-AO299*(AJ299-AK299)/(AD299-AM299))</f>
        <v>0</v>
      </c>
      <c r="AT299" s="80" t="str">
        <f>IF(AC299=1,INT(B299)+1,"")</f>
        <v/>
      </c>
      <c r="AU299" s="80">
        <f>IF(AND(D299="proMX",R299="Cancelled"),0,1)</f>
        <v>1</v>
      </c>
      <c r="AV299" s="80">
        <f>IF(AND(AB299=1,AU299=1),IF(COUNTIFS($D$5:D298,D299,$B$5:B298,B299,$Z$5:Z298,Z299,$AA$5:AA298,AA299,$F$5:F298,F299&amp;"",$AU$5:AU298,1)&gt;0,1,0),0)</f>
        <v>0</v>
      </c>
      <c r="AW299" s="80" t="str">
        <f>IF(AB299=1,INT(B299)*1440+Z299,"")</f>
        <v/>
      </c>
      <c r="AX299" s="80" t="str">
        <f>IF(AB299=1,AW299+AD299,"")</f>
        <v/>
      </c>
      <c r="AY299" s="80">
        <f>IF(AND(AB299=1,AV299=0,AU299=1),1,0)</f>
        <v>0</v>
      </c>
      <c r="AZ299" s="80">
        <f>IF(AY299=1,COUNTIFS(R_Emp,D299,R_SAbs,"&lt;"&amp;AX299,R_EAbs,"&gt;"&amp;AW299,R_OKey,1)-1,0)</f>
        <v>0</v>
      </c>
      <c r="BA299" s="80">
        <f>IF(AY299=1,COUNTIFS(R_Emp,"&lt;&gt;"&amp;D299,R_SAbs,"&lt;"&amp;AX299,R_EAbs,"&gt;"&amp;AW299,R_OKey,1),0)</f>
        <v>0</v>
      </c>
      <c r="BB299" s="80">
        <f>IF(AND(AB299=1,D299="proMX"),IF(AND(MOD(Z299,CFG_BLK)=0,MOD(AA299,CFG_BLK)=0,MOD(AG299,CFG_BLK)=0,AG299&gt;0),1,0),1)</f>
        <v>1</v>
      </c>
      <c r="BC299" s="80" t="str">
        <f>IF(Y299=0,"",IF(NOT(ISNUMBER(B299)),"Falta fecha o fecha inválida",IF(D299="","Falta empresa",IF(AND(D299&lt;&gt;"Malcolm",D299&lt;&gt;"proMX"),"Empresa inválida",IF(OR(INT(B299)&lt;CFG_PSTART,INT(B299)&gt;CFG_PEND),"Fecha fuera del período",IF(OR(NOT(ISNUMBER(Z299)),NOT(ISNUMBER(AA299))),"Falta hora inicio/fin o formato inválido",IF(AB299=0,"Hora inicio = hora fin",IF(AE299&lt;0,"Descanso inválido",IF(AE299&gt;=AD299,"Descanso ≥ duración",IF(AV299=1,"Registro duplicado",IF(AZ299&gt;0,"Se superpone con otro registro "&amp;D299,IF(BB299=0,"inicio, fin y duración neta deben ser múltiplos de "&amp;CFG_BLK&amp;" min",""))))))))))))</f>
        <v/>
      </c>
      <c r="BD299" s="80">
        <f>IF(AND(Y299=1,BC299=""),1,0)</f>
        <v>0</v>
      </c>
      <c r="BE299" s="80">
        <f>IF(AND(BD299=1,AU299=1),1,0)</f>
        <v>0</v>
      </c>
      <c r="BF299" s="80" t="str">
        <f>IF(AND(D299="proMX",BD299=1),IF(R299="","Draft",R299),"")</f>
        <v/>
      </c>
      <c r="BG299" s="80">
        <f>IF(BD299=1,ROUND(AG299/60,6),0)</f>
        <v>0</v>
      </c>
      <c r="BH299" s="80">
        <f>IF(BE299=1,ROUND(AG299/60,6),0)</f>
        <v>0</v>
      </c>
      <c r="BI299" s="80">
        <f>IF(BE299=1,ROUND(AP299/60,6),0)</f>
        <v>0</v>
      </c>
      <c r="BJ299" s="80">
        <f>IF(BE299=1,ROUND(AQ299/60,6),0)</f>
        <v>0</v>
      </c>
      <c r="BK299" s="80">
        <f>IF(BE299=1,ROUND((AR299+AS299)/60,6),0)</f>
        <v>0</v>
      </c>
      <c r="BL299" s="80">
        <f>ROUND(BH299-BK299,6)</f>
        <v>0</v>
      </c>
      <c r="BM299" s="80">
        <f>IF(BE299=1,ROUND(AR299/60,6),0)</f>
        <v>0</v>
      </c>
      <c r="BN299" s="80">
        <f>ROUND(BI299-BM299,6)</f>
        <v>0</v>
      </c>
      <c r="BO299" s="80">
        <f>IF(BE299=1,ROUND(AS299/60,6),0)</f>
        <v>0</v>
      </c>
      <c r="BP299" s="80">
        <f>ROUND(BJ299-BO299,6)</f>
        <v>0</v>
      </c>
      <c r="BQ299" s="80">
        <f>IF(BE299=1,AW299,0)</f>
        <v>0</v>
      </c>
      <c r="BR299" s="80">
        <f>IF(BE299=1,AX299,0)</f>
        <v>0</v>
      </c>
      <c r="BS299" s="80">
        <f>IF(AND(BE299=1,D299="Malcolm",BA299&gt;0),MIN(BH299,SUMPRODUCT((R_Emp="proMX")*(R_EN&gt;0)*((R_EN-(R_EN&gt;BR299)*(R_EN-BR299))&gt;(R_SN+(R_SN&lt;BQ299)*(BQ299-R_SN)))*((R_EN-(R_EN&gt;BR299)*(R_EN-BR299))-(R_SN+(R_SN&lt;BQ299)*(BQ299-R_SN))))/60),0)</f>
        <v>0</v>
      </c>
      <c r="BT299" s="80">
        <f>IF(AND(BE299=1,D299="proMX"),ROUND(BI299*CFG_RATE+BJ299*CFG_OTRATE,6),0)</f>
        <v>0</v>
      </c>
      <c r="BU299" s="80">
        <f>IF(AND(BD299=1,D299="proMX"),ROUND(AG299/CFG_BLK,6),0)</f>
        <v>0</v>
      </c>
      <c r="BV299" s="80" t="str">
        <f>IF(BF299="Approved",IF(ISNUMBER(T299),INT(T299),INT(B299)),"")</f>
        <v/>
      </c>
      <c r="BW299" s="80">
        <f>IF(ISNUMBER(B299),IF(DB_MON="Todos",1,IF(AND(INT(B299)&gt;=DB_MS,INT(B299)&lt;=DB_ME),1,0)),0)</f>
        <v>0</v>
      </c>
      <c r="BX299" s="80">
        <f>IF(DB_PROJ="Todos",1,IF(E299&amp;""=DB_PROJ&amp;"",1,0))</f>
        <v>1</v>
      </c>
      <c r="BY299" s="80">
        <f>BW299*BX299</f>
        <v>0</v>
      </c>
      <c r="BZ299" s="80" t="str">
        <f>IF(Y299=1,F299&amp;IF(AND(F299&amp;""&lt;&gt;"",E299&amp;""&lt;&gt;"")," · ","")&amp;E299,"")</f>
        <v/>
      </c>
      <c r="CA299" s="80" t="str">
        <f>IF(AND(BD299=1,E299&amp;""&lt;&gt;""),IF(COUNTIFS($E$5:E298,E299,$BD$5:BD298,1)=0,MAX($CA$5:CA298)+1,""),"")</f>
        <v/>
      </c>
      <c r="CB299" s="80" t="str">
        <f>IF(AND(BE299=1,D299="Malcolm",E299&amp;""&lt;&gt;""),IF(COUNTIFS($D$5:D298,"Malcolm",$E$5:E298,E299,$BE$5:BE298,1)=0,MAX($CB$5:CB298)+1,""),"")</f>
        <v/>
      </c>
      <c r="CC299" s="80" t="str">
        <f>IF(AND(BD299=1,D299="proMX",E299&amp;""&lt;&gt;""),IF(COUNTIFS($D$5:D298,"proMX",$E$5:E298,E299,$BD$5:BD298,1)=0,MAX($CC$5:CC298)+1,""),"")</f>
        <v/>
      </c>
      <c r="CD299" s="80" t="str">
        <f>IF(AND(BE299=1,D299="Malcolm",F299&amp;""&lt;&gt;""),IF(COUNTIFS($D$5:D298,"Malcolm",$F$5:F298,F299,$BE$5:BE298,1)=0,MAX($CD$5:CD298)+1,""),"")</f>
        <v/>
      </c>
      <c r="CE299" s="80" t="str">
        <f>IF(AND(BD299=1,D299="proMX",F299&amp;""&lt;&gt;""),IF(COUNTIFS($D$5:D298,"proMX",$F$5:F298,F299,$BD$5:BD298,1)=0,MAX($CE$5:CE298)+1,""),"")</f>
        <v/>
      </c>
      <c r="CF299" s="80" t="str">
        <f>IF(AND(D299="proMX",BD299=1),IF(OR(BF299="Draft",BF299="Submitted",BF299="Returned",BF299="Recall Requested"),MAX($CF$5:CF298)+1,""),"")</f>
        <v/>
      </c>
      <c r="CG299" s="80">
        <f>IF(BD299=0,0,IF(D299="Malcolm",1,MATCH(BF299,{"Draft","Submitted","Approved","Returned","Recall Requested","Cancelled"},0)+1))</f>
        <v>0</v>
      </c>
      <c r="CH299" s="80">
        <f>IF(AND(BF299="Submitted",ISNUMBER(V299)),IF(V299&gt;CFG_MAXD,1,0),0)</f>
        <v>0</v>
      </c>
    </row>
    <row r="300">
      <c r="A300" s="71" t="str">
        <f>IF(Y300=1,ROW()-5,"")</f>
        <v/>
      </c>
      <c r="B300" s="72" t="n"/>
      <c r="C300" s="71" t="str">
        <f>IF(ISNUMBER(B300),CHOOSE(WEEKDAY(B300,2),"Lun","Mar","Mié","Jue","Vie","Sáb","Dom"),"")</f>
        <v/>
      </c>
      <c r="D300" s="73" t="n"/>
      <c r="E300" s="74" t="n"/>
      <c r="F300" s="74" t="n"/>
      <c r="G300" s="74" t="n"/>
      <c r="H300" s="75" t="n"/>
      <c r="I300" s="75" t="n"/>
      <c r="J300" s="76" t="n"/>
      <c r="K300" s="77" t="str">
        <f>IF(AB300=1,ROUND(AG300/60,4),"")</f>
        <v/>
      </c>
      <c r="L300" s="77" t="str">
        <f>IF(BD300=1,ROUND(AP300/60,4),"")</f>
        <v/>
      </c>
      <c r="M300" s="77" t="str">
        <f>IF(BD300=1,ROUND(AQ300/60,4),"")</f>
        <v/>
      </c>
      <c r="N300" s="71" t="str">
        <f>IF(AND(D300="proMX",AB300=1),ROUND(AG300/CFG_BLK,2),"")</f>
        <v/>
      </c>
      <c r="O300" s="77" t="str">
        <f>IF(D300="proMX",IF(BD300=1,ROUND(AG300/60,4),0),"")</f>
        <v/>
      </c>
      <c r="P300" s="78" t="str">
        <f>IF(Y300=0,"",IF(BD300=1,"OK",IF(D300="proMX","Revisar bloques: ","Revisar: ")&amp;BC300))</f>
        <v/>
      </c>
      <c r="Q300" s="78" t="str">
        <f>IF(NOT(ISNUMBER(B300)),"",IF(COUNTIFS(FER_F,INT(B300))&gt;0,"Feriado"&amp;IF(AH300=1," (laborable)"," (no laborable)"),IF(AH300=1,"Laborable",IF(WEEKDAY(B300,2)&gt;5,"Fin de semana","No laborable"))))</f>
        <v/>
      </c>
      <c r="R300" s="73" t="n"/>
      <c r="S300" s="72" t="n"/>
      <c r="T300" s="72" t="n"/>
      <c r="U300" s="74" t="n"/>
      <c r="V300" s="79" t="str">
        <f>IF(AND(D300="proMX",OR(R300="Submitted",R300="Recall Requested"),ISNUMBER(S300)),CFG_TODAY-INT(S300),"")</f>
        <v/>
      </c>
      <c r="W300" s="78" t="str">
        <f>IF(BD300=0,"",IF(BA300&gt;0,"⚠ Se superpone con un registro de la otra empresa",IF(D300="Malcolm",IF(COUNTA(R300,S300,T300)&gt;0,"Estado/fechas proMX se ignoran en Malcolm",""),IF(BF300="Cancelled","Cancelado: excluido de totales",IF(R300="","Sin estado: se trata como Draft",IF(BF300="Submitted",IF(ISNUMBER(V300),IF(V300&gt;CFG_MAXD,"⚠ "&amp;V300&amp;" días en Submitted (máx. "&amp;CFG_MAXD&amp;")",""),"Falta fecha de envío"),IF(BF300="Returned","⚠ Devuelto: corregir y reenviar",IF(BF300="Recall Requested","Retirada solicitada: pendiente",IF(AND(BF300="Approved",NOT(ISNUMBER(T300))),"Falta fecha de aprobación",IF(AND(ISNUMBER(S300),ISNUMBER(T300),T300&lt;S300),"Aprobación anterior al envío","")))))))))</f>
        <v/>
      </c>
      <c r="Y300" s="80">
        <f>IF(COUNTA(B300,D300,E300,F300,G300,H300,I300,J300,R300,S300,T300)&gt;0,1,0)</f>
        <v>0</v>
      </c>
      <c r="Z300" s="80" t="str">
        <f>IF(AND(ISNUMBER(H300),H300&gt;=0,H300&lt;1),ROUND(H300*1440,0),"")</f>
        <v/>
      </c>
      <c r="AA300" s="80" t="str">
        <f>IF(AND(ISNUMBER(I300),I300&gt;=0,I300&lt;1),ROUND(I300*1440,0),"")</f>
        <v/>
      </c>
      <c r="AB300" s="80">
        <f>IF(AND(ISNUMBER(B300),D300&lt;&gt;"",ISNUMBER(Z300),ISNUMBER(AA300)),IF(Z300=AA300,0,1),0)</f>
        <v>0</v>
      </c>
      <c r="AC300" s="80">
        <f>IF(AB300=1,IF(AA300&lt;Z300,1,0),0)</f>
        <v>0</v>
      </c>
      <c r="AD300" s="80">
        <f>IF(AB300=1,IF(AC300=1,1440-Z300+AA300,AA300-Z300),0)</f>
        <v>0</v>
      </c>
      <c r="AE300" s="80">
        <f>IF(J300="",0,IF(ISNUMBER(J300),J300,-1))</f>
        <v>0</v>
      </c>
      <c r="AF300" s="80">
        <f>MIN(MAX(0,AE300),AD300)</f>
        <v>0</v>
      </c>
      <c r="AG300" s="80">
        <f>MAX(0,AD300-MAX(0,AE300))</f>
        <v>0</v>
      </c>
      <c r="AH300" s="80">
        <f>IF(ISNUMBER(B300),IF(AND(INDEX(CFG_WDAYS,WEEKDAY(INT(B300),2))="Sí",IF(D300="proMX",COUNTIFS(FER_F,INT(B300),FER_NLP,"Sí"),COUNTIFS(FER_F,INT(B300),FER_NLM,"Sí"))=0),1,0),0)</f>
        <v>0</v>
      </c>
      <c r="AI300" s="80">
        <f>IF(AC300=1,IF(AND(INDEX(CFG_WDAYS,WEEKDAY(INT(B300)+1,2))="Sí",IF(D300="proMX",COUNTIFS(FER_F,INT(B300)+1,FER_NLP,"Sí"),COUNTIFS(FER_F,INT(B300)+1,FER_NLM,"Sí"))=0),1,0),0)</f>
        <v>0</v>
      </c>
      <c r="AJ300" s="80">
        <f>IF(AC300=1,1440-Z300,AD300)</f>
        <v>0</v>
      </c>
      <c r="AK300" s="80">
        <f>IF(AND(AB300=1,AH300=1),MAX(0,MIN(IF(AC300=1,1440,AA300),CFG_WEM)-MAX(Z300,CFG_WSM)),0)</f>
        <v>0</v>
      </c>
      <c r="AL300" s="80">
        <f>IF(AND(AC300=1,AI300=1),MAX(0,MIN(AA300,CFG_WEM)-CFG_WSM),0)</f>
        <v>0</v>
      </c>
      <c r="AM300" s="80">
        <f>AK300+AL300</f>
        <v>0</v>
      </c>
      <c r="AN300" s="80">
        <f>IF(CFG_BRK="Proporcional",IF(AD300=0,0,AF300*AM300/AD300),IF(CFG_BRK="Extras primero",MIN(AM300,MAX(0,AF300-(AD300-AM300))),MIN(AF300,AM300)))</f>
        <v>0</v>
      </c>
      <c r="AO300" s="80">
        <f>AF300-AN300</f>
        <v>0</v>
      </c>
      <c r="AP300" s="80">
        <f>AM300-AN300</f>
        <v>0</v>
      </c>
      <c r="AQ300" s="80">
        <f>AD300-AM300-AO300</f>
        <v>0</v>
      </c>
      <c r="AR300" s="80">
        <f>IF(AM300=0,0,AK300-AN300*AK300/AM300)</f>
        <v>0</v>
      </c>
      <c r="AS300" s="80">
        <f>IF(AD300-AM300=0,0,(AJ300-AK300)-AO300*(AJ300-AK300)/(AD300-AM300))</f>
        <v>0</v>
      </c>
      <c r="AT300" s="80" t="str">
        <f>IF(AC300=1,INT(B300)+1,"")</f>
        <v/>
      </c>
      <c r="AU300" s="80">
        <f>IF(AND(D300="proMX",R300="Cancelled"),0,1)</f>
        <v>1</v>
      </c>
      <c r="AV300" s="80">
        <f>IF(AND(AB300=1,AU300=1),IF(COUNTIFS($D$5:D299,D300,$B$5:B299,B300,$Z$5:Z299,Z300,$AA$5:AA299,AA300,$F$5:F299,F300&amp;"",$AU$5:AU299,1)&gt;0,1,0),0)</f>
        <v>0</v>
      </c>
      <c r="AW300" s="80" t="str">
        <f>IF(AB300=1,INT(B300)*1440+Z300,"")</f>
        <v/>
      </c>
      <c r="AX300" s="80" t="str">
        <f>IF(AB300=1,AW300+AD300,"")</f>
        <v/>
      </c>
      <c r="AY300" s="80">
        <f>IF(AND(AB300=1,AV300=0,AU300=1),1,0)</f>
        <v>0</v>
      </c>
      <c r="AZ300" s="80">
        <f>IF(AY300=1,COUNTIFS(R_Emp,D300,R_SAbs,"&lt;"&amp;AX300,R_EAbs,"&gt;"&amp;AW300,R_OKey,1)-1,0)</f>
        <v>0</v>
      </c>
      <c r="BA300" s="80">
        <f>IF(AY300=1,COUNTIFS(R_Emp,"&lt;&gt;"&amp;D300,R_SAbs,"&lt;"&amp;AX300,R_EAbs,"&gt;"&amp;AW300,R_OKey,1),0)</f>
        <v>0</v>
      </c>
      <c r="BB300" s="80">
        <f>IF(AND(AB300=1,D300="proMX"),IF(AND(MOD(Z300,CFG_BLK)=0,MOD(AA300,CFG_BLK)=0,MOD(AG300,CFG_BLK)=0,AG300&gt;0),1,0),1)</f>
        <v>1</v>
      </c>
      <c r="BC300" s="80" t="str">
        <f>IF(Y300=0,"",IF(NOT(ISNUMBER(B300)),"Falta fecha o fecha inválida",IF(D300="","Falta empresa",IF(AND(D300&lt;&gt;"Malcolm",D300&lt;&gt;"proMX"),"Empresa inválida",IF(OR(INT(B300)&lt;CFG_PSTART,INT(B300)&gt;CFG_PEND),"Fecha fuera del período",IF(OR(NOT(ISNUMBER(Z300)),NOT(ISNUMBER(AA300))),"Falta hora inicio/fin o formato inválido",IF(AB300=0,"Hora inicio = hora fin",IF(AE300&lt;0,"Descanso inválido",IF(AE300&gt;=AD300,"Descanso ≥ duración",IF(AV300=1,"Registro duplicado",IF(AZ300&gt;0,"Se superpone con otro registro "&amp;D300,IF(BB300=0,"inicio, fin y duración neta deben ser múltiplos de "&amp;CFG_BLK&amp;" min",""))))))))))))</f>
        <v/>
      </c>
      <c r="BD300" s="80">
        <f>IF(AND(Y300=1,BC300=""),1,0)</f>
        <v>0</v>
      </c>
      <c r="BE300" s="80">
        <f>IF(AND(BD300=1,AU300=1),1,0)</f>
        <v>0</v>
      </c>
      <c r="BF300" s="80" t="str">
        <f>IF(AND(D300="proMX",BD300=1),IF(R300="","Draft",R300),"")</f>
        <v/>
      </c>
      <c r="BG300" s="80">
        <f>IF(BD300=1,ROUND(AG300/60,6),0)</f>
        <v>0</v>
      </c>
      <c r="BH300" s="80">
        <f>IF(BE300=1,ROUND(AG300/60,6),0)</f>
        <v>0</v>
      </c>
      <c r="BI300" s="80">
        <f>IF(BE300=1,ROUND(AP300/60,6),0)</f>
        <v>0</v>
      </c>
      <c r="BJ300" s="80">
        <f>IF(BE300=1,ROUND(AQ300/60,6),0)</f>
        <v>0</v>
      </c>
      <c r="BK300" s="80">
        <f>IF(BE300=1,ROUND((AR300+AS300)/60,6),0)</f>
        <v>0</v>
      </c>
      <c r="BL300" s="80">
        <f>ROUND(BH300-BK300,6)</f>
        <v>0</v>
      </c>
      <c r="BM300" s="80">
        <f>IF(BE300=1,ROUND(AR300/60,6),0)</f>
        <v>0</v>
      </c>
      <c r="BN300" s="80">
        <f>ROUND(BI300-BM300,6)</f>
        <v>0</v>
      </c>
      <c r="BO300" s="80">
        <f>IF(BE300=1,ROUND(AS300/60,6),0)</f>
        <v>0</v>
      </c>
      <c r="BP300" s="80">
        <f>ROUND(BJ300-BO300,6)</f>
        <v>0</v>
      </c>
      <c r="BQ300" s="80">
        <f>IF(BE300=1,AW300,0)</f>
        <v>0</v>
      </c>
      <c r="BR300" s="80">
        <f>IF(BE300=1,AX300,0)</f>
        <v>0</v>
      </c>
      <c r="BS300" s="80">
        <f>IF(AND(BE300=1,D300="Malcolm",BA300&gt;0),MIN(BH300,SUMPRODUCT((R_Emp="proMX")*(R_EN&gt;0)*((R_EN-(R_EN&gt;BR300)*(R_EN-BR300))&gt;(R_SN+(R_SN&lt;BQ300)*(BQ300-R_SN)))*((R_EN-(R_EN&gt;BR300)*(R_EN-BR300))-(R_SN+(R_SN&lt;BQ300)*(BQ300-R_SN))))/60),0)</f>
        <v>0</v>
      </c>
      <c r="BT300" s="80">
        <f>IF(AND(BE300=1,D300="proMX"),ROUND(BI300*CFG_RATE+BJ300*CFG_OTRATE,6),0)</f>
        <v>0</v>
      </c>
      <c r="BU300" s="80">
        <f>IF(AND(BD300=1,D300="proMX"),ROUND(AG300/CFG_BLK,6),0)</f>
        <v>0</v>
      </c>
      <c r="BV300" s="80" t="str">
        <f>IF(BF300="Approved",IF(ISNUMBER(T300),INT(T300),INT(B300)),"")</f>
        <v/>
      </c>
      <c r="BW300" s="80">
        <f>IF(ISNUMBER(B300),IF(DB_MON="Todos",1,IF(AND(INT(B300)&gt;=DB_MS,INT(B300)&lt;=DB_ME),1,0)),0)</f>
        <v>0</v>
      </c>
      <c r="BX300" s="80">
        <f>IF(DB_PROJ="Todos",1,IF(E300&amp;""=DB_PROJ&amp;"",1,0))</f>
        <v>1</v>
      </c>
      <c r="BY300" s="80">
        <f>BW300*BX300</f>
        <v>0</v>
      </c>
      <c r="BZ300" s="80" t="str">
        <f>IF(Y300=1,F300&amp;IF(AND(F300&amp;""&lt;&gt;"",E300&amp;""&lt;&gt;"")," · ","")&amp;E300,"")</f>
        <v/>
      </c>
      <c r="CA300" s="80" t="str">
        <f>IF(AND(BD300=1,E300&amp;""&lt;&gt;""),IF(COUNTIFS($E$5:E299,E300,$BD$5:BD299,1)=0,MAX($CA$5:CA299)+1,""),"")</f>
        <v/>
      </c>
      <c r="CB300" s="80" t="str">
        <f>IF(AND(BE300=1,D300="Malcolm",E300&amp;""&lt;&gt;""),IF(COUNTIFS($D$5:D299,"Malcolm",$E$5:E299,E300,$BE$5:BE299,1)=0,MAX($CB$5:CB299)+1,""),"")</f>
        <v/>
      </c>
      <c r="CC300" s="80" t="str">
        <f>IF(AND(BD300=1,D300="proMX",E300&amp;""&lt;&gt;""),IF(COUNTIFS($D$5:D299,"proMX",$E$5:E299,E300,$BD$5:BD299,1)=0,MAX($CC$5:CC299)+1,""),"")</f>
        <v/>
      </c>
      <c r="CD300" s="80" t="str">
        <f>IF(AND(BE300=1,D300="Malcolm",F300&amp;""&lt;&gt;""),IF(COUNTIFS($D$5:D299,"Malcolm",$F$5:F299,F300,$BE$5:BE299,1)=0,MAX($CD$5:CD299)+1,""),"")</f>
        <v/>
      </c>
      <c r="CE300" s="80" t="str">
        <f>IF(AND(BD300=1,D300="proMX",F300&amp;""&lt;&gt;""),IF(COUNTIFS($D$5:D299,"proMX",$F$5:F299,F300,$BD$5:BD299,1)=0,MAX($CE$5:CE299)+1,""),"")</f>
        <v/>
      </c>
      <c r="CF300" s="80" t="str">
        <f>IF(AND(D300="proMX",BD300=1),IF(OR(BF300="Draft",BF300="Submitted",BF300="Returned",BF300="Recall Requested"),MAX($CF$5:CF299)+1,""),"")</f>
        <v/>
      </c>
      <c r="CG300" s="80">
        <f>IF(BD300=0,0,IF(D300="Malcolm",1,MATCH(BF300,{"Draft","Submitted","Approved","Returned","Recall Requested","Cancelled"},0)+1))</f>
        <v>0</v>
      </c>
      <c r="CH300" s="80">
        <f>IF(AND(BF300="Submitted",ISNUMBER(V300)),IF(V300&gt;CFG_MAXD,1,0),0)</f>
        <v>0</v>
      </c>
    </row>
    <row r="301">
      <c r="A301" s="71" t="str">
        <f>IF(Y301=1,ROW()-5,"")</f>
        <v/>
      </c>
      <c r="B301" s="72" t="n"/>
      <c r="C301" s="71" t="str">
        <f>IF(ISNUMBER(B301),CHOOSE(WEEKDAY(B301,2),"Lun","Mar","Mié","Jue","Vie","Sáb","Dom"),"")</f>
        <v/>
      </c>
      <c r="D301" s="73" t="n"/>
      <c r="E301" s="74" t="n"/>
      <c r="F301" s="74" t="n"/>
      <c r="G301" s="74" t="n"/>
      <c r="H301" s="75" t="n"/>
      <c r="I301" s="75" t="n"/>
      <c r="J301" s="76" t="n"/>
      <c r="K301" s="77" t="str">
        <f>IF(AB301=1,ROUND(AG301/60,4),"")</f>
        <v/>
      </c>
      <c r="L301" s="77" t="str">
        <f>IF(BD301=1,ROUND(AP301/60,4),"")</f>
        <v/>
      </c>
      <c r="M301" s="77" t="str">
        <f>IF(BD301=1,ROUND(AQ301/60,4),"")</f>
        <v/>
      </c>
      <c r="N301" s="71" t="str">
        <f>IF(AND(D301="proMX",AB301=1),ROUND(AG301/CFG_BLK,2),"")</f>
        <v/>
      </c>
      <c r="O301" s="77" t="str">
        <f>IF(D301="proMX",IF(BD301=1,ROUND(AG301/60,4),0),"")</f>
        <v/>
      </c>
      <c r="P301" s="78" t="str">
        <f>IF(Y301=0,"",IF(BD301=1,"OK",IF(D301="proMX","Revisar bloques: ","Revisar: ")&amp;BC301))</f>
        <v/>
      </c>
      <c r="Q301" s="78" t="str">
        <f>IF(NOT(ISNUMBER(B301)),"",IF(COUNTIFS(FER_F,INT(B301))&gt;0,"Feriado"&amp;IF(AH301=1," (laborable)"," (no laborable)"),IF(AH301=1,"Laborable",IF(WEEKDAY(B301,2)&gt;5,"Fin de semana","No laborable"))))</f>
        <v/>
      </c>
      <c r="R301" s="73" t="n"/>
      <c r="S301" s="72" t="n"/>
      <c r="T301" s="72" t="n"/>
      <c r="U301" s="74" t="n"/>
      <c r="V301" s="79" t="str">
        <f>IF(AND(D301="proMX",OR(R301="Submitted",R301="Recall Requested"),ISNUMBER(S301)),CFG_TODAY-INT(S301),"")</f>
        <v/>
      </c>
      <c r="W301" s="78" t="str">
        <f>IF(BD301=0,"",IF(BA301&gt;0,"⚠ Se superpone con un registro de la otra empresa",IF(D301="Malcolm",IF(COUNTA(R301,S301,T301)&gt;0,"Estado/fechas proMX se ignoran en Malcolm",""),IF(BF301="Cancelled","Cancelado: excluido de totales",IF(R301="","Sin estado: se trata como Draft",IF(BF301="Submitted",IF(ISNUMBER(V301),IF(V301&gt;CFG_MAXD,"⚠ "&amp;V301&amp;" días en Submitted (máx. "&amp;CFG_MAXD&amp;")",""),"Falta fecha de envío"),IF(BF301="Returned","⚠ Devuelto: corregir y reenviar",IF(BF301="Recall Requested","Retirada solicitada: pendiente",IF(AND(BF301="Approved",NOT(ISNUMBER(T301))),"Falta fecha de aprobación",IF(AND(ISNUMBER(S301),ISNUMBER(T301),T301&lt;S301),"Aprobación anterior al envío","")))))))))</f>
        <v/>
      </c>
      <c r="Y301" s="80">
        <f>IF(COUNTA(B301,D301,E301,F301,G301,H301,I301,J301,R301,S301,T301)&gt;0,1,0)</f>
        <v>0</v>
      </c>
      <c r="Z301" s="80" t="str">
        <f>IF(AND(ISNUMBER(H301),H301&gt;=0,H301&lt;1),ROUND(H301*1440,0),"")</f>
        <v/>
      </c>
      <c r="AA301" s="80" t="str">
        <f>IF(AND(ISNUMBER(I301),I301&gt;=0,I301&lt;1),ROUND(I301*1440,0),"")</f>
        <v/>
      </c>
      <c r="AB301" s="80">
        <f>IF(AND(ISNUMBER(B301),D301&lt;&gt;"",ISNUMBER(Z301),ISNUMBER(AA301)),IF(Z301=AA301,0,1),0)</f>
        <v>0</v>
      </c>
      <c r="AC301" s="80">
        <f>IF(AB301=1,IF(AA301&lt;Z301,1,0),0)</f>
        <v>0</v>
      </c>
      <c r="AD301" s="80">
        <f>IF(AB301=1,IF(AC301=1,1440-Z301+AA301,AA301-Z301),0)</f>
        <v>0</v>
      </c>
      <c r="AE301" s="80">
        <f>IF(J301="",0,IF(ISNUMBER(J301),J301,-1))</f>
        <v>0</v>
      </c>
      <c r="AF301" s="80">
        <f>MIN(MAX(0,AE301),AD301)</f>
        <v>0</v>
      </c>
      <c r="AG301" s="80">
        <f>MAX(0,AD301-MAX(0,AE301))</f>
        <v>0</v>
      </c>
      <c r="AH301" s="80">
        <f>IF(ISNUMBER(B301),IF(AND(INDEX(CFG_WDAYS,WEEKDAY(INT(B301),2))="Sí",IF(D301="proMX",COUNTIFS(FER_F,INT(B301),FER_NLP,"Sí"),COUNTIFS(FER_F,INT(B301),FER_NLM,"Sí"))=0),1,0),0)</f>
        <v>0</v>
      </c>
      <c r="AI301" s="80">
        <f>IF(AC301=1,IF(AND(INDEX(CFG_WDAYS,WEEKDAY(INT(B301)+1,2))="Sí",IF(D301="proMX",COUNTIFS(FER_F,INT(B301)+1,FER_NLP,"Sí"),COUNTIFS(FER_F,INT(B301)+1,FER_NLM,"Sí"))=0),1,0),0)</f>
        <v>0</v>
      </c>
      <c r="AJ301" s="80">
        <f>IF(AC301=1,1440-Z301,AD301)</f>
        <v>0</v>
      </c>
      <c r="AK301" s="80">
        <f>IF(AND(AB301=1,AH301=1),MAX(0,MIN(IF(AC301=1,1440,AA301),CFG_WEM)-MAX(Z301,CFG_WSM)),0)</f>
        <v>0</v>
      </c>
      <c r="AL301" s="80">
        <f>IF(AND(AC301=1,AI301=1),MAX(0,MIN(AA301,CFG_WEM)-CFG_WSM),0)</f>
        <v>0</v>
      </c>
      <c r="AM301" s="80">
        <f>AK301+AL301</f>
        <v>0</v>
      </c>
      <c r="AN301" s="80">
        <f>IF(CFG_BRK="Proporcional",IF(AD301=0,0,AF301*AM301/AD301),IF(CFG_BRK="Extras primero",MIN(AM301,MAX(0,AF301-(AD301-AM301))),MIN(AF301,AM301)))</f>
        <v>0</v>
      </c>
      <c r="AO301" s="80">
        <f>AF301-AN301</f>
        <v>0</v>
      </c>
      <c r="AP301" s="80">
        <f>AM301-AN301</f>
        <v>0</v>
      </c>
      <c r="AQ301" s="80">
        <f>AD301-AM301-AO301</f>
        <v>0</v>
      </c>
      <c r="AR301" s="80">
        <f>IF(AM301=0,0,AK301-AN301*AK301/AM301)</f>
        <v>0</v>
      </c>
      <c r="AS301" s="80">
        <f>IF(AD301-AM301=0,0,(AJ301-AK301)-AO301*(AJ301-AK301)/(AD301-AM301))</f>
        <v>0</v>
      </c>
      <c r="AT301" s="80" t="str">
        <f>IF(AC301=1,INT(B301)+1,"")</f>
        <v/>
      </c>
      <c r="AU301" s="80">
        <f>IF(AND(D301="proMX",R301="Cancelled"),0,1)</f>
        <v>1</v>
      </c>
      <c r="AV301" s="80">
        <f>IF(AND(AB301=1,AU301=1),IF(COUNTIFS($D$5:D300,D301,$B$5:B300,B301,$Z$5:Z300,Z301,$AA$5:AA300,AA301,$F$5:F300,F301&amp;"",$AU$5:AU300,1)&gt;0,1,0),0)</f>
        <v>0</v>
      </c>
      <c r="AW301" s="80" t="str">
        <f>IF(AB301=1,INT(B301)*1440+Z301,"")</f>
        <v/>
      </c>
      <c r="AX301" s="80" t="str">
        <f>IF(AB301=1,AW301+AD301,"")</f>
        <v/>
      </c>
      <c r="AY301" s="80">
        <f>IF(AND(AB301=1,AV301=0,AU301=1),1,0)</f>
        <v>0</v>
      </c>
      <c r="AZ301" s="80">
        <f>IF(AY301=1,COUNTIFS(R_Emp,D301,R_SAbs,"&lt;"&amp;AX301,R_EAbs,"&gt;"&amp;AW301,R_OKey,1)-1,0)</f>
        <v>0</v>
      </c>
      <c r="BA301" s="80">
        <f>IF(AY301=1,COUNTIFS(R_Emp,"&lt;&gt;"&amp;D301,R_SAbs,"&lt;"&amp;AX301,R_EAbs,"&gt;"&amp;AW301,R_OKey,1),0)</f>
        <v>0</v>
      </c>
      <c r="BB301" s="80">
        <f>IF(AND(AB301=1,D301="proMX"),IF(AND(MOD(Z301,CFG_BLK)=0,MOD(AA301,CFG_BLK)=0,MOD(AG301,CFG_BLK)=0,AG301&gt;0),1,0),1)</f>
        <v>1</v>
      </c>
      <c r="BC301" s="80" t="str">
        <f>IF(Y301=0,"",IF(NOT(ISNUMBER(B301)),"Falta fecha o fecha inválida",IF(D301="","Falta empresa",IF(AND(D301&lt;&gt;"Malcolm",D301&lt;&gt;"proMX"),"Empresa inválida",IF(OR(INT(B301)&lt;CFG_PSTART,INT(B301)&gt;CFG_PEND),"Fecha fuera del período",IF(OR(NOT(ISNUMBER(Z301)),NOT(ISNUMBER(AA301))),"Falta hora inicio/fin o formato inválido",IF(AB301=0,"Hora inicio = hora fin",IF(AE301&lt;0,"Descanso inválido",IF(AE301&gt;=AD301,"Descanso ≥ duración",IF(AV301=1,"Registro duplicado",IF(AZ301&gt;0,"Se superpone con otro registro "&amp;D301,IF(BB301=0,"inicio, fin y duración neta deben ser múltiplos de "&amp;CFG_BLK&amp;" min",""))))))))))))</f>
        <v/>
      </c>
      <c r="BD301" s="80">
        <f>IF(AND(Y301=1,BC301=""),1,0)</f>
        <v>0</v>
      </c>
      <c r="BE301" s="80">
        <f>IF(AND(BD301=1,AU301=1),1,0)</f>
        <v>0</v>
      </c>
      <c r="BF301" s="80" t="str">
        <f>IF(AND(D301="proMX",BD301=1),IF(R301="","Draft",R301),"")</f>
        <v/>
      </c>
      <c r="BG301" s="80">
        <f>IF(BD301=1,ROUND(AG301/60,6),0)</f>
        <v>0</v>
      </c>
      <c r="BH301" s="80">
        <f>IF(BE301=1,ROUND(AG301/60,6),0)</f>
        <v>0</v>
      </c>
      <c r="BI301" s="80">
        <f>IF(BE301=1,ROUND(AP301/60,6),0)</f>
        <v>0</v>
      </c>
      <c r="BJ301" s="80">
        <f>IF(BE301=1,ROUND(AQ301/60,6),0)</f>
        <v>0</v>
      </c>
      <c r="BK301" s="80">
        <f>IF(BE301=1,ROUND((AR301+AS301)/60,6),0)</f>
        <v>0</v>
      </c>
      <c r="BL301" s="80">
        <f>ROUND(BH301-BK301,6)</f>
        <v>0</v>
      </c>
      <c r="BM301" s="80">
        <f>IF(BE301=1,ROUND(AR301/60,6),0)</f>
        <v>0</v>
      </c>
      <c r="BN301" s="80">
        <f>ROUND(BI301-BM301,6)</f>
        <v>0</v>
      </c>
      <c r="BO301" s="80">
        <f>IF(BE301=1,ROUND(AS301/60,6),0)</f>
        <v>0</v>
      </c>
      <c r="BP301" s="80">
        <f>ROUND(BJ301-BO301,6)</f>
        <v>0</v>
      </c>
      <c r="BQ301" s="80">
        <f>IF(BE301=1,AW301,0)</f>
        <v>0</v>
      </c>
      <c r="BR301" s="80">
        <f>IF(BE301=1,AX301,0)</f>
        <v>0</v>
      </c>
      <c r="BS301" s="80">
        <f>IF(AND(BE301=1,D301="Malcolm",BA301&gt;0),MIN(BH301,SUMPRODUCT((R_Emp="proMX")*(R_EN&gt;0)*((R_EN-(R_EN&gt;BR301)*(R_EN-BR301))&gt;(R_SN+(R_SN&lt;BQ301)*(BQ301-R_SN)))*((R_EN-(R_EN&gt;BR301)*(R_EN-BR301))-(R_SN+(R_SN&lt;BQ301)*(BQ301-R_SN))))/60),0)</f>
        <v>0</v>
      </c>
      <c r="BT301" s="80">
        <f>IF(AND(BE301=1,D301="proMX"),ROUND(BI301*CFG_RATE+BJ301*CFG_OTRATE,6),0)</f>
        <v>0</v>
      </c>
      <c r="BU301" s="80">
        <f>IF(AND(BD301=1,D301="proMX"),ROUND(AG301/CFG_BLK,6),0)</f>
        <v>0</v>
      </c>
      <c r="BV301" s="80" t="str">
        <f>IF(BF301="Approved",IF(ISNUMBER(T301),INT(T301),INT(B301)),"")</f>
        <v/>
      </c>
      <c r="BW301" s="80">
        <f>IF(ISNUMBER(B301),IF(DB_MON="Todos",1,IF(AND(INT(B301)&gt;=DB_MS,INT(B301)&lt;=DB_ME),1,0)),0)</f>
        <v>0</v>
      </c>
      <c r="BX301" s="80">
        <f>IF(DB_PROJ="Todos",1,IF(E301&amp;""=DB_PROJ&amp;"",1,0))</f>
        <v>1</v>
      </c>
      <c r="BY301" s="80">
        <f>BW301*BX301</f>
        <v>0</v>
      </c>
      <c r="BZ301" s="80" t="str">
        <f>IF(Y301=1,F301&amp;IF(AND(F301&amp;""&lt;&gt;"",E301&amp;""&lt;&gt;"")," · ","")&amp;E301,"")</f>
        <v/>
      </c>
      <c r="CA301" s="80" t="str">
        <f>IF(AND(BD301=1,E301&amp;""&lt;&gt;""),IF(COUNTIFS($E$5:E300,E301,$BD$5:BD300,1)=0,MAX($CA$5:CA300)+1,""),"")</f>
        <v/>
      </c>
      <c r="CB301" s="80" t="str">
        <f>IF(AND(BE301=1,D301="Malcolm",E301&amp;""&lt;&gt;""),IF(COUNTIFS($D$5:D300,"Malcolm",$E$5:E300,E301,$BE$5:BE300,1)=0,MAX($CB$5:CB300)+1,""),"")</f>
        <v/>
      </c>
      <c r="CC301" s="80" t="str">
        <f>IF(AND(BD301=1,D301="proMX",E301&amp;""&lt;&gt;""),IF(COUNTIFS($D$5:D300,"proMX",$E$5:E300,E301,$BD$5:BD300,1)=0,MAX($CC$5:CC300)+1,""),"")</f>
        <v/>
      </c>
      <c r="CD301" s="80" t="str">
        <f>IF(AND(BE301=1,D301="Malcolm",F301&amp;""&lt;&gt;""),IF(COUNTIFS($D$5:D300,"Malcolm",$F$5:F300,F301,$BE$5:BE300,1)=0,MAX($CD$5:CD300)+1,""),"")</f>
        <v/>
      </c>
      <c r="CE301" s="80" t="str">
        <f>IF(AND(BD301=1,D301="proMX",F301&amp;""&lt;&gt;""),IF(COUNTIFS($D$5:D300,"proMX",$F$5:F300,F301,$BD$5:BD300,1)=0,MAX($CE$5:CE300)+1,""),"")</f>
        <v/>
      </c>
      <c r="CF301" s="80" t="str">
        <f>IF(AND(D301="proMX",BD301=1),IF(OR(BF301="Draft",BF301="Submitted",BF301="Returned",BF301="Recall Requested"),MAX($CF$5:CF300)+1,""),"")</f>
        <v/>
      </c>
      <c r="CG301" s="80">
        <f>IF(BD301=0,0,IF(D301="Malcolm",1,MATCH(BF301,{"Draft","Submitted","Approved","Returned","Recall Requested","Cancelled"},0)+1))</f>
        <v>0</v>
      </c>
      <c r="CH301" s="80">
        <f>IF(AND(BF301="Submitted",ISNUMBER(V301)),IF(V301&gt;CFG_MAXD,1,0),0)</f>
        <v>0</v>
      </c>
    </row>
    <row r="302">
      <c r="A302" s="71" t="str">
        <f>IF(Y302=1,ROW()-5,"")</f>
        <v/>
      </c>
      <c r="B302" s="72" t="n"/>
      <c r="C302" s="71" t="str">
        <f>IF(ISNUMBER(B302),CHOOSE(WEEKDAY(B302,2),"Lun","Mar","Mié","Jue","Vie","Sáb","Dom"),"")</f>
        <v/>
      </c>
      <c r="D302" s="73" t="n"/>
      <c r="E302" s="74" t="n"/>
      <c r="F302" s="74" t="n"/>
      <c r="G302" s="74" t="n"/>
      <c r="H302" s="75" t="n"/>
      <c r="I302" s="75" t="n"/>
      <c r="J302" s="76" t="n"/>
      <c r="K302" s="77" t="str">
        <f>IF(AB302=1,ROUND(AG302/60,4),"")</f>
        <v/>
      </c>
      <c r="L302" s="77" t="str">
        <f>IF(BD302=1,ROUND(AP302/60,4),"")</f>
        <v/>
      </c>
      <c r="M302" s="77" t="str">
        <f>IF(BD302=1,ROUND(AQ302/60,4),"")</f>
        <v/>
      </c>
      <c r="N302" s="71" t="str">
        <f>IF(AND(D302="proMX",AB302=1),ROUND(AG302/CFG_BLK,2),"")</f>
        <v/>
      </c>
      <c r="O302" s="77" t="str">
        <f>IF(D302="proMX",IF(BD302=1,ROUND(AG302/60,4),0),"")</f>
        <v/>
      </c>
      <c r="P302" s="78" t="str">
        <f>IF(Y302=0,"",IF(BD302=1,"OK",IF(D302="proMX","Revisar bloques: ","Revisar: ")&amp;BC302))</f>
        <v/>
      </c>
      <c r="Q302" s="78" t="str">
        <f>IF(NOT(ISNUMBER(B302)),"",IF(COUNTIFS(FER_F,INT(B302))&gt;0,"Feriado"&amp;IF(AH302=1," (laborable)"," (no laborable)"),IF(AH302=1,"Laborable",IF(WEEKDAY(B302,2)&gt;5,"Fin de semana","No laborable"))))</f>
        <v/>
      </c>
      <c r="R302" s="73" t="n"/>
      <c r="S302" s="72" t="n"/>
      <c r="T302" s="72" t="n"/>
      <c r="U302" s="74" t="n"/>
      <c r="V302" s="79" t="str">
        <f>IF(AND(D302="proMX",OR(R302="Submitted",R302="Recall Requested"),ISNUMBER(S302)),CFG_TODAY-INT(S302),"")</f>
        <v/>
      </c>
      <c r="W302" s="78" t="str">
        <f>IF(BD302=0,"",IF(BA302&gt;0,"⚠ Se superpone con un registro de la otra empresa",IF(D302="Malcolm",IF(COUNTA(R302,S302,T302)&gt;0,"Estado/fechas proMX se ignoran en Malcolm",""),IF(BF302="Cancelled","Cancelado: excluido de totales",IF(R302="","Sin estado: se trata como Draft",IF(BF302="Submitted",IF(ISNUMBER(V302),IF(V302&gt;CFG_MAXD,"⚠ "&amp;V302&amp;" días en Submitted (máx. "&amp;CFG_MAXD&amp;")",""),"Falta fecha de envío"),IF(BF302="Returned","⚠ Devuelto: corregir y reenviar",IF(BF302="Recall Requested","Retirada solicitada: pendiente",IF(AND(BF302="Approved",NOT(ISNUMBER(T302))),"Falta fecha de aprobación",IF(AND(ISNUMBER(S302),ISNUMBER(T302),T302&lt;S302),"Aprobación anterior al envío","")))))))))</f>
        <v/>
      </c>
      <c r="Y302" s="80">
        <f>IF(COUNTA(B302,D302,E302,F302,G302,H302,I302,J302,R302,S302,T302)&gt;0,1,0)</f>
        <v>0</v>
      </c>
      <c r="Z302" s="80" t="str">
        <f>IF(AND(ISNUMBER(H302),H302&gt;=0,H302&lt;1),ROUND(H302*1440,0),"")</f>
        <v/>
      </c>
      <c r="AA302" s="80" t="str">
        <f>IF(AND(ISNUMBER(I302),I302&gt;=0,I302&lt;1),ROUND(I302*1440,0),"")</f>
        <v/>
      </c>
      <c r="AB302" s="80">
        <f>IF(AND(ISNUMBER(B302),D302&lt;&gt;"",ISNUMBER(Z302),ISNUMBER(AA302)),IF(Z302=AA302,0,1),0)</f>
        <v>0</v>
      </c>
      <c r="AC302" s="80">
        <f>IF(AB302=1,IF(AA302&lt;Z302,1,0),0)</f>
        <v>0</v>
      </c>
      <c r="AD302" s="80">
        <f>IF(AB302=1,IF(AC302=1,1440-Z302+AA302,AA302-Z302),0)</f>
        <v>0</v>
      </c>
      <c r="AE302" s="80">
        <f>IF(J302="",0,IF(ISNUMBER(J302),J302,-1))</f>
        <v>0</v>
      </c>
      <c r="AF302" s="80">
        <f>MIN(MAX(0,AE302),AD302)</f>
        <v>0</v>
      </c>
      <c r="AG302" s="80">
        <f>MAX(0,AD302-MAX(0,AE302))</f>
        <v>0</v>
      </c>
      <c r="AH302" s="80">
        <f>IF(ISNUMBER(B302),IF(AND(INDEX(CFG_WDAYS,WEEKDAY(INT(B302),2))="Sí",IF(D302="proMX",COUNTIFS(FER_F,INT(B302),FER_NLP,"Sí"),COUNTIFS(FER_F,INT(B302),FER_NLM,"Sí"))=0),1,0),0)</f>
        <v>0</v>
      </c>
      <c r="AI302" s="80">
        <f>IF(AC302=1,IF(AND(INDEX(CFG_WDAYS,WEEKDAY(INT(B302)+1,2))="Sí",IF(D302="proMX",COUNTIFS(FER_F,INT(B302)+1,FER_NLP,"Sí"),COUNTIFS(FER_F,INT(B302)+1,FER_NLM,"Sí"))=0),1,0),0)</f>
        <v>0</v>
      </c>
      <c r="AJ302" s="80">
        <f>IF(AC302=1,1440-Z302,AD302)</f>
        <v>0</v>
      </c>
      <c r="AK302" s="80">
        <f>IF(AND(AB302=1,AH302=1),MAX(0,MIN(IF(AC302=1,1440,AA302),CFG_WEM)-MAX(Z302,CFG_WSM)),0)</f>
        <v>0</v>
      </c>
      <c r="AL302" s="80">
        <f>IF(AND(AC302=1,AI302=1),MAX(0,MIN(AA302,CFG_WEM)-CFG_WSM),0)</f>
        <v>0</v>
      </c>
      <c r="AM302" s="80">
        <f>AK302+AL302</f>
        <v>0</v>
      </c>
      <c r="AN302" s="80">
        <f>IF(CFG_BRK="Proporcional",IF(AD302=0,0,AF302*AM302/AD302),IF(CFG_BRK="Extras primero",MIN(AM302,MAX(0,AF302-(AD302-AM302))),MIN(AF302,AM302)))</f>
        <v>0</v>
      </c>
      <c r="AO302" s="80">
        <f>AF302-AN302</f>
        <v>0</v>
      </c>
      <c r="AP302" s="80">
        <f>AM302-AN302</f>
        <v>0</v>
      </c>
      <c r="AQ302" s="80">
        <f>AD302-AM302-AO302</f>
        <v>0</v>
      </c>
      <c r="AR302" s="80">
        <f>IF(AM302=0,0,AK302-AN302*AK302/AM302)</f>
        <v>0</v>
      </c>
      <c r="AS302" s="80">
        <f>IF(AD302-AM302=0,0,(AJ302-AK302)-AO302*(AJ302-AK302)/(AD302-AM302))</f>
        <v>0</v>
      </c>
      <c r="AT302" s="80" t="str">
        <f>IF(AC302=1,INT(B302)+1,"")</f>
        <v/>
      </c>
      <c r="AU302" s="80">
        <f>IF(AND(D302="proMX",R302="Cancelled"),0,1)</f>
        <v>1</v>
      </c>
      <c r="AV302" s="80">
        <f>IF(AND(AB302=1,AU302=1),IF(COUNTIFS($D$5:D301,D302,$B$5:B301,B302,$Z$5:Z301,Z302,$AA$5:AA301,AA302,$F$5:F301,F302&amp;"",$AU$5:AU301,1)&gt;0,1,0),0)</f>
        <v>0</v>
      </c>
      <c r="AW302" s="80" t="str">
        <f>IF(AB302=1,INT(B302)*1440+Z302,"")</f>
        <v/>
      </c>
      <c r="AX302" s="80" t="str">
        <f>IF(AB302=1,AW302+AD302,"")</f>
        <v/>
      </c>
      <c r="AY302" s="80">
        <f>IF(AND(AB302=1,AV302=0,AU302=1),1,0)</f>
        <v>0</v>
      </c>
      <c r="AZ302" s="80">
        <f>IF(AY302=1,COUNTIFS(R_Emp,D302,R_SAbs,"&lt;"&amp;AX302,R_EAbs,"&gt;"&amp;AW302,R_OKey,1)-1,0)</f>
        <v>0</v>
      </c>
      <c r="BA302" s="80">
        <f>IF(AY302=1,COUNTIFS(R_Emp,"&lt;&gt;"&amp;D302,R_SAbs,"&lt;"&amp;AX302,R_EAbs,"&gt;"&amp;AW302,R_OKey,1),0)</f>
        <v>0</v>
      </c>
      <c r="BB302" s="80">
        <f>IF(AND(AB302=1,D302="proMX"),IF(AND(MOD(Z302,CFG_BLK)=0,MOD(AA302,CFG_BLK)=0,MOD(AG302,CFG_BLK)=0,AG302&gt;0),1,0),1)</f>
        <v>1</v>
      </c>
      <c r="BC302" s="80" t="str">
        <f>IF(Y302=0,"",IF(NOT(ISNUMBER(B302)),"Falta fecha o fecha inválida",IF(D302="","Falta empresa",IF(AND(D302&lt;&gt;"Malcolm",D302&lt;&gt;"proMX"),"Empresa inválida",IF(OR(INT(B302)&lt;CFG_PSTART,INT(B302)&gt;CFG_PEND),"Fecha fuera del período",IF(OR(NOT(ISNUMBER(Z302)),NOT(ISNUMBER(AA302))),"Falta hora inicio/fin o formato inválido",IF(AB302=0,"Hora inicio = hora fin",IF(AE302&lt;0,"Descanso inválido",IF(AE302&gt;=AD302,"Descanso ≥ duración",IF(AV302=1,"Registro duplicado",IF(AZ302&gt;0,"Se superpone con otro registro "&amp;D302,IF(BB302=0,"inicio, fin y duración neta deben ser múltiplos de "&amp;CFG_BLK&amp;" min",""))))))))))))</f>
        <v/>
      </c>
      <c r="BD302" s="80">
        <f>IF(AND(Y302=1,BC302=""),1,0)</f>
        <v>0</v>
      </c>
      <c r="BE302" s="80">
        <f>IF(AND(BD302=1,AU302=1),1,0)</f>
        <v>0</v>
      </c>
      <c r="BF302" s="80" t="str">
        <f>IF(AND(D302="proMX",BD302=1),IF(R302="","Draft",R302),"")</f>
        <v/>
      </c>
      <c r="BG302" s="80">
        <f>IF(BD302=1,ROUND(AG302/60,6),0)</f>
        <v>0</v>
      </c>
      <c r="BH302" s="80">
        <f>IF(BE302=1,ROUND(AG302/60,6),0)</f>
        <v>0</v>
      </c>
      <c r="BI302" s="80">
        <f>IF(BE302=1,ROUND(AP302/60,6),0)</f>
        <v>0</v>
      </c>
      <c r="BJ302" s="80">
        <f>IF(BE302=1,ROUND(AQ302/60,6),0)</f>
        <v>0</v>
      </c>
      <c r="BK302" s="80">
        <f>IF(BE302=1,ROUND((AR302+AS302)/60,6),0)</f>
        <v>0</v>
      </c>
      <c r="BL302" s="80">
        <f>ROUND(BH302-BK302,6)</f>
        <v>0</v>
      </c>
      <c r="BM302" s="80">
        <f>IF(BE302=1,ROUND(AR302/60,6),0)</f>
        <v>0</v>
      </c>
      <c r="BN302" s="80">
        <f>ROUND(BI302-BM302,6)</f>
        <v>0</v>
      </c>
      <c r="BO302" s="80">
        <f>IF(BE302=1,ROUND(AS302/60,6),0)</f>
        <v>0</v>
      </c>
      <c r="BP302" s="80">
        <f>ROUND(BJ302-BO302,6)</f>
        <v>0</v>
      </c>
      <c r="BQ302" s="80">
        <f>IF(BE302=1,AW302,0)</f>
        <v>0</v>
      </c>
      <c r="BR302" s="80">
        <f>IF(BE302=1,AX302,0)</f>
        <v>0</v>
      </c>
      <c r="BS302" s="80">
        <f>IF(AND(BE302=1,D302="Malcolm",BA302&gt;0),MIN(BH302,SUMPRODUCT((R_Emp="proMX")*(R_EN&gt;0)*((R_EN-(R_EN&gt;BR302)*(R_EN-BR302))&gt;(R_SN+(R_SN&lt;BQ302)*(BQ302-R_SN)))*((R_EN-(R_EN&gt;BR302)*(R_EN-BR302))-(R_SN+(R_SN&lt;BQ302)*(BQ302-R_SN))))/60),0)</f>
        <v>0</v>
      </c>
      <c r="BT302" s="80">
        <f>IF(AND(BE302=1,D302="proMX"),ROUND(BI302*CFG_RATE+BJ302*CFG_OTRATE,6),0)</f>
        <v>0</v>
      </c>
      <c r="BU302" s="80">
        <f>IF(AND(BD302=1,D302="proMX"),ROUND(AG302/CFG_BLK,6),0)</f>
        <v>0</v>
      </c>
      <c r="BV302" s="80" t="str">
        <f>IF(BF302="Approved",IF(ISNUMBER(T302),INT(T302),INT(B302)),"")</f>
        <v/>
      </c>
      <c r="BW302" s="80">
        <f>IF(ISNUMBER(B302),IF(DB_MON="Todos",1,IF(AND(INT(B302)&gt;=DB_MS,INT(B302)&lt;=DB_ME),1,0)),0)</f>
        <v>0</v>
      </c>
      <c r="BX302" s="80">
        <f>IF(DB_PROJ="Todos",1,IF(E302&amp;""=DB_PROJ&amp;"",1,0))</f>
        <v>1</v>
      </c>
      <c r="BY302" s="80">
        <f>BW302*BX302</f>
        <v>0</v>
      </c>
      <c r="BZ302" s="80" t="str">
        <f>IF(Y302=1,F302&amp;IF(AND(F302&amp;""&lt;&gt;"",E302&amp;""&lt;&gt;"")," · ","")&amp;E302,"")</f>
        <v/>
      </c>
      <c r="CA302" s="80" t="str">
        <f>IF(AND(BD302=1,E302&amp;""&lt;&gt;""),IF(COUNTIFS($E$5:E301,E302,$BD$5:BD301,1)=0,MAX($CA$5:CA301)+1,""),"")</f>
        <v/>
      </c>
      <c r="CB302" s="80" t="str">
        <f>IF(AND(BE302=1,D302="Malcolm",E302&amp;""&lt;&gt;""),IF(COUNTIFS($D$5:D301,"Malcolm",$E$5:E301,E302,$BE$5:BE301,1)=0,MAX($CB$5:CB301)+1,""),"")</f>
        <v/>
      </c>
      <c r="CC302" s="80" t="str">
        <f>IF(AND(BD302=1,D302="proMX",E302&amp;""&lt;&gt;""),IF(COUNTIFS($D$5:D301,"proMX",$E$5:E301,E302,$BD$5:BD301,1)=0,MAX($CC$5:CC301)+1,""),"")</f>
        <v/>
      </c>
      <c r="CD302" s="80" t="str">
        <f>IF(AND(BE302=1,D302="Malcolm",F302&amp;""&lt;&gt;""),IF(COUNTIFS($D$5:D301,"Malcolm",$F$5:F301,F302,$BE$5:BE301,1)=0,MAX($CD$5:CD301)+1,""),"")</f>
        <v/>
      </c>
      <c r="CE302" s="80" t="str">
        <f>IF(AND(BD302=1,D302="proMX",F302&amp;""&lt;&gt;""),IF(COUNTIFS($D$5:D301,"proMX",$F$5:F301,F302,$BD$5:BD301,1)=0,MAX($CE$5:CE301)+1,""),"")</f>
        <v/>
      </c>
      <c r="CF302" s="80" t="str">
        <f>IF(AND(D302="proMX",BD302=1),IF(OR(BF302="Draft",BF302="Submitted",BF302="Returned",BF302="Recall Requested"),MAX($CF$5:CF301)+1,""),"")</f>
        <v/>
      </c>
      <c r="CG302" s="80">
        <f>IF(BD302=0,0,IF(D302="Malcolm",1,MATCH(BF302,{"Draft","Submitted","Approved","Returned","Recall Requested","Cancelled"},0)+1))</f>
        <v>0</v>
      </c>
      <c r="CH302" s="80">
        <f>IF(AND(BF302="Submitted",ISNUMBER(V302)),IF(V302&gt;CFG_MAXD,1,0),0)</f>
        <v>0</v>
      </c>
    </row>
    <row r="303">
      <c r="A303" s="71" t="str">
        <f>IF(Y303=1,ROW()-5,"")</f>
        <v/>
      </c>
      <c r="B303" s="72" t="n"/>
      <c r="C303" s="71" t="str">
        <f>IF(ISNUMBER(B303),CHOOSE(WEEKDAY(B303,2),"Lun","Mar","Mié","Jue","Vie","Sáb","Dom"),"")</f>
        <v/>
      </c>
      <c r="D303" s="73" t="n"/>
      <c r="E303" s="74" t="n"/>
      <c r="F303" s="74" t="n"/>
      <c r="G303" s="74" t="n"/>
      <c r="H303" s="75" t="n"/>
      <c r="I303" s="75" t="n"/>
      <c r="J303" s="76" t="n"/>
      <c r="K303" s="77" t="str">
        <f>IF(AB303=1,ROUND(AG303/60,4),"")</f>
        <v/>
      </c>
      <c r="L303" s="77" t="str">
        <f>IF(BD303=1,ROUND(AP303/60,4),"")</f>
        <v/>
      </c>
      <c r="M303" s="77" t="str">
        <f>IF(BD303=1,ROUND(AQ303/60,4),"")</f>
        <v/>
      </c>
      <c r="N303" s="71" t="str">
        <f>IF(AND(D303="proMX",AB303=1),ROUND(AG303/CFG_BLK,2),"")</f>
        <v/>
      </c>
      <c r="O303" s="77" t="str">
        <f>IF(D303="proMX",IF(BD303=1,ROUND(AG303/60,4),0),"")</f>
        <v/>
      </c>
      <c r="P303" s="78" t="str">
        <f>IF(Y303=0,"",IF(BD303=1,"OK",IF(D303="proMX","Revisar bloques: ","Revisar: ")&amp;BC303))</f>
        <v/>
      </c>
      <c r="Q303" s="78" t="str">
        <f>IF(NOT(ISNUMBER(B303)),"",IF(COUNTIFS(FER_F,INT(B303))&gt;0,"Feriado"&amp;IF(AH303=1," (laborable)"," (no laborable)"),IF(AH303=1,"Laborable",IF(WEEKDAY(B303,2)&gt;5,"Fin de semana","No laborable"))))</f>
        <v/>
      </c>
      <c r="R303" s="73" t="n"/>
      <c r="S303" s="72" t="n"/>
      <c r="T303" s="72" t="n"/>
      <c r="U303" s="74" t="n"/>
      <c r="V303" s="79" t="str">
        <f>IF(AND(D303="proMX",OR(R303="Submitted",R303="Recall Requested"),ISNUMBER(S303)),CFG_TODAY-INT(S303),"")</f>
        <v/>
      </c>
      <c r="W303" s="78" t="str">
        <f>IF(BD303=0,"",IF(BA303&gt;0,"⚠ Se superpone con un registro de la otra empresa",IF(D303="Malcolm",IF(COUNTA(R303,S303,T303)&gt;0,"Estado/fechas proMX se ignoran en Malcolm",""),IF(BF303="Cancelled","Cancelado: excluido de totales",IF(R303="","Sin estado: se trata como Draft",IF(BF303="Submitted",IF(ISNUMBER(V303),IF(V303&gt;CFG_MAXD,"⚠ "&amp;V303&amp;" días en Submitted (máx. "&amp;CFG_MAXD&amp;")",""),"Falta fecha de envío"),IF(BF303="Returned","⚠ Devuelto: corregir y reenviar",IF(BF303="Recall Requested","Retirada solicitada: pendiente",IF(AND(BF303="Approved",NOT(ISNUMBER(T303))),"Falta fecha de aprobación",IF(AND(ISNUMBER(S303),ISNUMBER(T303),T303&lt;S303),"Aprobación anterior al envío","")))))))))</f>
        <v/>
      </c>
      <c r="Y303" s="80">
        <f>IF(COUNTA(B303,D303,E303,F303,G303,H303,I303,J303,R303,S303,T303)&gt;0,1,0)</f>
        <v>0</v>
      </c>
      <c r="Z303" s="80" t="str">
        <f>IF(AND(ISNUMBER(H303),H303&gt;=0,H303&lt;1),ROUND(H303*1440,0),"")</f>
        <v/>
      </c>
      <c r="AA303" s="80" t="str">
        <f>IF(AND(ISNUMBER(I303),I303&gt;=0,I303&lt;1),ROUND(I303*1440,0),"")</f>
        <v/>
      </c>
      <c r="AB303" s="80">
        <f>IF(AND(ISNUMBER(B303),D303&lt;&gt;"",ISNUMBER(Z303),ISNUMBER(AA303)),IF(Z303=AA303,0,1),0)</f>
        <v>0</v>
      </c>
      <c r="AC303" s="80">
        <f>IF(AB303=1,IF(AA303&lt;Z303,1,0),0)</f>
        <v>0</v>
      </c>
      <c r="AD303" s="80">
        <f>IF(AB303=1,IF(AC303=1,1440-Z303+AA303,AA303-Z303),0)</f>
        <v>0</v>
      </c>
      <c r="AE303" s="80">
        <f>IF(J303="",0,IF(ISNUMBER(J303),J303,-1))</f>
        <v>0</v>
      </c>
      <c r="AF303" s="80">
        <f>MIN(MAX(0,AE303),AD303)</f>
        <v>0</v>
      </c>
      <c r="AG303" s="80">
        <f>MAX(0,AD303-MAX(0,AE303))</f>
        <v>0</v>
      </c>
      <c r="AH303" s="80">
        <f>IF(ISNUMBER(B303),IF(AND(INDEX(CFG_WDAYS,WEEKDAY(INT(B303),2))="Sí",IF(D303="proMX",COUNTIFS(FER_F,INT(B303),FER_NLP,"Sí"),COUNTIFS(FER_F,INT(B303),FER_NLM,"Sí"))=0),1,0),0)</f>
        <v>0</v>
      </c>
      <c r="AI303" s="80">
        <f>IF(AC303=1,IF(AND(INDEX(CFG_WDAYS,WEEKDAY(INT(B303)+1,2))="Sí",IF(D303="proMX",COUNTIFS(FER_F,INT(B303)+1,FER_NLP,"Sí"),COUNTIFS(FER_F,INT(B303)+1,FER_NLM,"Sí"))=0),1,0),0)</f>
        <v>0</v>
      </c>
      <c r="AJ303" s="80">
        <f>IF(AC303=1,1440-Z303,AD303)</f>
        <v>0</v>
      </c>
      <c r="AK303" s="80">
        <f>IF(AND(AB303=1,AH303=1),MAX(0,MIN(IF(AC303=1,1440,AA303),CFG_WEM)-MAX(Z303,CFG_WSM)),0)</f>
        <v>0</v>
      </c>
      <c r="AL303" s="80">
        <f>IF(AND(AC303=1,AI303=1),MAX(0,MIN(AA303,CFG_WEM)-CFG_WSM),0)</f>
        <v>0</v>
      </c>
      <c r="AM303" s="80">
        <f>AK303+AL303</f>
        <v>0</v>
      </c>
      <c r="AN303" s="80">
        <f>IF(CFG_BRK="Proporcional",IF(AD303=0,0,AF303*AM303/AD303),IF(CFG_BRK="Extras primero",MIN(AM303,MAX(0,AF303-(AD303-AM303))),MIN(AF303,AM303)))</f>
        <v>0</v>
      </c>
      <c r="AO303" s="80">
        <f>AF303-AN303</f>
        <v>0</v>
      </c>
      <c r="AP303" s="80">
        <f>AM303-AN303</f>
        <v>0</v>
      </c>
      <c r="AQ303" s="80">
        <f>AD303-AM303-AO303</f>
        <v>0</v>
      </c>
      <c r="AR303" s="80">
        <f>IF(AM303=0,0,AK303-AN303*AK303/AM303)</f>
        <v>0</v>
      </c>
      <c r="AS303" s="80">
        <f>IF(AD303-AM303=0,0,(AJ303-AK303)-AO303*(AJ303-AK303)/(AD303-AM303))</f>
        <v>0</v>
      </c>
      <c r="AT303" s="80" t="str">
        <f>IF(AC303=1,INT(B303)+1,"")</f>
        <v/>
      </c>
      <c r="AU303" s="80">
        <f>IF(AND(D303="proMX",R303="Cancelled"),0,1)</f>
        <v>1</v>
      </c>
      <c r="AV303" s="80">
        <f>IF(AND(AB303=1,AU303=1),IF(COUNTIFS($D$5:D302,D303,$B$5:B302,B303,$Z$5:Z302,Z303,$AA$5:AA302,AA303,$F$5:F302,F303&amp;"",$AU$5:AU302,1)&gt;0,1,0),0)</f>
        <v>0</v>
      </c>
      <c r="AW303" s="80" t="str">
        <f>IF(AB303=1,INT(B303)*1440+Z303,"")</f>
        <v/>
      </c>
      <c r="AX303" s="80" t="str">
        <f>IF(AB303=1,AW303+AD303,"")</f>
        <v/>
      </c>
      <c r="AY303" s="80">
        <f>IF(AND(AB303=1,AV303=0,AU303=1),1,0)</f>
        <v>0</v>
      </c>
      <c r="AZ303" s="80">
        <f>IF(AY303=1,COUNTIFS(R_Emp,D303,R_SAbs,"&lt;"&amp;AX303,R_EAbs,"&gt;"&amp;AW303,R_OKey,1)-1,0)</f>
        <v>0</v>
      </c>
      <c r="BA303" s="80">
        <f>IF(AY303=1,COUNTIFS(R_Emp,"&lt;&gt;"&amp;D303,R_SAbs,"&lt;"&amp;AX303,R_EAbs,"&gt;"&amp;AW303,R_OKey,1),0)</f>
        <v>0</v>
      </c>
      <c r="BB303" s="80">
        <f>IF(AND(AB303=1,D303="proMX"),IF(AND(MOD(Z303,CFG_BLK)=0,MOD(AA303,CFG_BLK)=0,MOD(AG303,CFG_BLK)=0,AG303&gt;0),1,0),1)</f>
        <v>1</v>
      </c>
      <c r="BC303" s="80" t="str">
        <f>IF(Y303=0,"",IF(NOT(ISNUMBER(B303)),"Falta fecha o fecha inválida",IF(D303="","Falta empresa",IF(AND(D303&lt;&gt;"Malcolm",D303&lt;&gt;"proMX"),"Empresa inválida",IF(OR(INT(B303)&lt;CFG_PSTART,INT(B303)&gt;CFG_PEND),"Fecha fuera del período",IF(OR(NOT(ISNUMBER(Z303)),NOT(ISNUMBER(AA303))),"Falta hora inicio/fin o formato inválido",IF(AB303=0,"Hora inicio = hora fin",IF(AE303&lt;0,"Descanso inválido",IF(AE303&gt;=AD303,"Descanso ≥ duración",IF(AV303=1,"Registro duplicado",IF(AZ303&gt;0,"Se superpone con otro registro "&amp;D303,IF(BB303=0,"inicio, fin y duración neta deben ser múltiplos de "&amp;CFG_BLK&amp;" min",""))))))))))))</f>
        <v/>
      </c>
      <c r="BD303" s="80">
        <f>IF(AND(Y303=1,BC303=""),1,0)</f>
        <v>0</v>
      </c>
      <c r="BE303" s="80">
        <f>IF(AND(BD303=1,AU303=1),1,0)</f>
        <v>0</v>
      </c>
      <c r="BF303" s="80" t="str">
        <f>IF(AND(D303="proMX",BD303=1),IF(R303="","Draft",R303),"")</f>
        <v/>
      </c>
      <c r="BG303" s="80">
        <f>IF(BD303=1,ROUND(AG303/60,6),0)</f>
        <v>0</v>
      </c>
      <c r="BH303" s="80">
        <f>IF(BE303=1,ROUND(AG303/60,6),0)</f>
        <v>0</v>
      </c>
      <c r="BI303" s="80">
        <f>IF(BE303=1,ROUND(AP303/60,6),0)</f>
        <v>0</v>
      </c>
      <c r="BJ303" s="80">
        <f>IF(BE303=1,ROUND(AQ303/60,6),0)</f>
        <v>0</v>
      </c>
      <c r="BK303" s="80">
        <f>IF(BE303=1,ROUND((AR303+AS303)/60,6),0)</f>
        <v>0</v>
      </c>
      <c r="BL303" s="80">
        <f>ROUND(BH303-BK303,6)</f>
        <v>0</v>
      </c>
      <c r="BM303" s="80">
        <f>IF(BE303=1,ROUND(AR303/60,6),0)</f>
        <v>0</v>
      </c>
      <c r="BN303" s="80">
        <f>ROUND(BI303-BM303,6)</f>
        <v>0</v>
      </c>
      <c r="BO303" s="80">
        <f>IF(BE303=1,ROUND(AS303/60,6),0)</f>
        <v>0</v>
      </c>
      <c r="BP303" s="80">
        <f>ROUND(BJ303-BO303,6)</f>
        <v>0</v>
      </c>
      <c r="BQ303" s="80">
        <f>IF(BE303=1,AW303,0)</f>
        <v>0</v>
      </c>
      <c r="BR303" s="80">
        <f>IF(BE303=1,AX303,0)</f>
        <v>0</v>
      </c>
      <c r="BS303" s="80">
        <f>IF(AND(BE303=1,D303="Malcolm",BA303&gt;0),MIN(BH303,SUMPRODUCT((R_Emp="proMX")*(R_EN&gt;0)*((R_EN-(R_EN&gt;BR303)*(R_EN-BR303))&gt;(R_SN+(R_SN&lt;BQ303)*(BQ303-R_SN)))*((R_EN-(R_EN&gt;BR303)*(R_EN-BR303))-(R_SN+(R_SN&lt;BQ303)*(BQ303-R_SN))))/60),0)</f>
        <v>0</v>
      </c>
      <c r="BT303" s="80">
        <f>IF(AND(BE303=1,D303="proMX"),ROUND(BI303*CFG_RATE+BJ303*CFG_OTRATE,6),0)</f>
        <v>0</v>
      </c>
      <c r="BU303" s="80">
        <f>IF(AND(BD303=1,D303="proMX"),ROUND(AG303/CFG_BLK,6),0)</f>
        <v>0</v>
      </c>
      <c r="BV303" s="80" t="str">
        <f>IF(BF303="Approved",IF(ISNUMBER(T303),INT(T303),INT(B303)),"")</f>
        <v/>
      </c>
      <c r="BW303" s="80">
        <f>IF(ISNUMBER(B303),IF(DB_MON="Todos",1,IF(AND(INT(B303)&gt;=DB_MS,INT(B303)&lt;=DB_ME),1,0)),0)</f>
        <v>0</v>
      </c>
      <c r="BX303" s="80">
        <f>IF(DB_PROJ="Todos",1,IF(E303&amp;""=DB_PROJ&amp;"",1,0))</f>
        <v>1</v>
      </c>
      <c r="BY303" s="80">
        <f>BW303*BX303</f>
        <v>0</v>
      </c>
      <c r="BZ303" s="80" t="str">
        <f>IF(Y303=1,F303&amp;IF(AND(F303&amp;""&lt;&gt;"",E303&amp;""&lt;&gt;"")," · ","")&amp;E303,"")</f>
        <v/>
      </c>
      <c r="CA303" s="80" t="str">
        <f>IF(AND(BD303=1,E303&amp;""&lt;&gt;""),IF(COUNTIFS($E$5:E302,E303,$BD$5:BD302,1)=0,MAX($CA$5:CA302)+1,""),"")</f>
        <v/>
      </c>
      <c r="CB303" s="80" t="str">
        <f>IF(AND(BE303=1,D303="Malcolm",E303&amp;""&lt;&gt;""),IF(COUNTIFS($D$5:D302,"Malcolm",$E$5:E302,E303,$BE$5:BE302,1)=0,MAX($CB$5:CB302)+1,""),"")</f>
        <v/>
      </c>
      <c r="CC303" s="80" t="str">
        <f>IF(AND(BD303=1,D303="proMX",E303&amp;""&lt;&gt;""),IF(COUNTIFS($D$5:D302,"proMX",$E$5:E302,E303,$BD$5:BD302,1)=0,MAX($CC$5:CC302)+1,""),"")</f>
        <v/>
      </c>
      <c r="CD303" s="80" t="str">
        <f>IF(AND(BE303=1,D303="Malcolm",F303&amp;""&lt;&gt;""),IF(COUNTIFS($D$5:D302,"Malcolm",$F$5:F302,F303,$BE$5:BE302,1)=0,MAX($CD$5:CD302)+1,""),"")</f>
        <v/>
      </c>
      <c r="CE303" s="80" t="str">
        <f>IF(AND(BD303=1,D303="proMX",F303&amp;""&lt;&gt;""),IF(COUNTIFS($D$5:D302,"proMX",$F$5:F302,F303,$BD$5:BD302,1)=0,MAX($CE$5:CE302)+1,""),"")</f>
        <v/>
      </c>
      <c r="CF303" s="80" t="str">
        <f>IF(AND(D303="proMX",BD303=1),IF(OR(BF303="Draft",BF303="Submitted",BF303="Returned",BF303="Recall Requested"),MAX($CF$5:CF302)+1,""),"")</f>
        <v/>
      </c>
      <c r="CG303" s="80">
        <f>IF(BD303=0,0,IF(D303="Malcolm",1,MATCH(BF303,{"Draft","Submitted","Approved","Returned","Recall Requested","Cancelled"},0)+1))</f>
        <v>0</v>
      </c>
      <c r="CH303" s="80">
        <f>IF(AND(BF303="Submitted",ISNUMBER(V303)),IF(V303&gt;CFG_MAXD,1,0),0)</f>
        <v>0</v>
      </c>
    </row>
    <row r="304">
      <c r="A304" s="71" t="str">
        <f>IF(Y304=1,ROW()-5,"")</f>
        <v/>
      </c>
      <c r="B304" s="72" t="n"/>
      <c r="C304" s="71" t="str">
        <f>IF(ISNUMBER(B304),CHOOSE(WEEKDAY(B304,2),"Lun","Mar","Mié","Jue","Vie","Sáb","Dom"),"")</f>
        <v/>
      </c>
      <c r="D304" s="73" t="n"/>
      <c r="E304" s="74" t="n"/>
      <c r="F304" s="74" t="n"/>
      <c r="G304" s="74" t="n"/>
      <c r="H304" s="75" t="n"/>
      <c r="I304" s="75" t="n"/>
      <c r="J304" s="76" t="n"/>
      <c r="K304" s="77" t="str">
        <f>IF(AB304=1,ROUND(AG304/60,4),"")</f>
        <v/>
      </c>
      <c r="L304" s="77" t="str">
        <f>IF(BD304=1,ROUND(AP304/60,4),"")</f>
        <v/>
      </c>
      <c r="M304" s="77" t="str">
        <f>IF(BD304=1,ROUND(AQ304/60,4),"")</f>
        <v/>
      </c>
      <c r="N304" s="71" t="str">
        <f>IF(AND(D304="proMX",AB304=1),ROUND(AG304/CFG_BLK,2),"")</f>
        <v/>
      </c>
      <c r="O304" s="77" t="str">
        <f>IF(D304="proMX",IF(BD304=1,ROUND(AG304/60,4),0),"")</f>
        <v/>
      </c>
      <c r="P304" s="78" t="str">
        <f>IF(Y304=0,"",IF(BD304=1,"OK",IF(D304="proMX","Revisar bloques: ","Revisar: ")&amp;BC304))</f>
        <v/>
      </c>
      <c r="Q304" s="78" t="str">
        <f>IF(NOT(ISNUMBER(B304)),"",IF(COUNTIFS(FER_F,INT(B304))&gt;0,"Feriado"&amp;IF(AH304=1," (laborable)"," (no laborable)"),IF(AH304=1,"Laborable",IF(WEEKDAY(B304,2)&gt;5,"Fin de semana","No laborable"))))</f>
        <v/>
      </c>
      <c r="R304" s="73" t="n"/>
      <c r="S304" s="72" t="n"/>
      <c r="T304" s="72" t="n"/>
      <c r="U304" s="74" t="n"/>
      <c r="V304" s="79" t="str">
        <f>IF(AND(D304="proMX",OR(R304="Submitted",R304="Recall Requested"),ISNUMBER(S304)),CFG_TODAY-INT(S304),"")</f>
        <v/>
      </c>
      <c r="W304" s="78" t="str">
        <f>IF(BD304=0,"",IF(BA304&gt;0,"⚠ Se superpone con un registro de la otra empresa",IF(D304="Malcolm",IF(COUNTA(R304,S304,T304)&gt;0,"Estado/fechas proMX se ignoran en Malcolm",""),IF(BF304="Cancelled","Cancelado: excluido de totales",IF(R304="","Sin estado: se trata como Draft",IF(BF304="Submitted",IF(ISNUMBER(V304),IF(V304&gt;CFG_MAXD,"⚠ "&amp;V304&amp;" días en Submitted (máx. "&amp;CFG_MAXD&amp;")",""),"Falta fecha de envío"),IF(BF304="Returned","⚠ Devuelto: corregir y reenviar",IF(BF304="Recall Requested","Retirada solicitada: pendiente",IF(AND(BF304="Approved",NOT(ISNUMBER(T304))),"Falta fecha de aprobación",IF(AND(ISNUMBER(S304),ISNUMBER(T304),T304&lt;S304),"Aprobación anterior al envío","")))))))))</f>
        <v/>
      </c>
      <c r="Y304" s="80">
        <f>IF(COUNTA(B304,D304,E304,F304,G304,H304,I304,J304,R304,S304,T304)&gt;0,1,0)</f>
        <v>0</v>
      </c>
      <c r="Z304" s="80" t="str">
        <f>IF(AND(ISNUMBER(H304),H304&gt;=0,H304&lt;1),ROUND(H304*1440,0),"")</f>
        <v/>
      </c>
      <c r="AA304" s="80" t="str">
        <f>IF(AND(ISNUMBER(I304),I304&gt;=0,I304&lt;1),ROUND(I304*1440,0),"")</f>
        <v/>
      </c>
      <c r="AB304" s="80">
        <f>IF(AND(ISNUMBER(B304),D304&lt;&gt;"",ISNUMBER(Z304),ISNUMBER(AA304)),IF(Z304=AA304,0,1),0)</f>
        <v>0</v>
      </c>
      <c r="AC304" s="80">
        <f>IF(AB304=1,IF(AA304&lt;Z304,1,0),0)</f>
        <v>0</v>
      </c>
      <c r="AD304" s="80">
        <f>IF(AB304=1,IF(AC304=1,1440-Z304+AA304,AA304-Z304),0)</f>
        <v>0</v>
      </c>
      <c r="AE304" s="80">
        <f>IF(J304="",0,IF(ISNUMBER(J304),J304,-1))</f>
        <v>0</v>
      </c>
      <c r="AF304" s="80">
        <f>MIN(MAX(0,AE304),AD304)</f>
        <v>0</v>
      </c>
      <c r="AG304" s="80">
        <f>MAX(0,AD304-MAX(0,AE304))</f>
        <v>0</v>
      </c>
      <c r="AH304" s="80">
        <f>IF(ISNUMBER(B304),IF(AND(INDEX(CFG_WDAYS,WEEKDAY(INT(B304),2))="Sí",IF(D304="proMX",COUNTIFS(FER_F,INT(B304),FER_NLP,"Sí"),COUNTIFS(FER_F,INT(B304),FER_NLM,"Sí"))=0),1,0),0)</f>
        <v>0</v>
      </c>
      <c r="AI304" s="80">
        <f>IF(AC304=1,IF(AND(INDEX(CFG_WDAYS,WEEKDAY(INT(B304)+1,2))="Sí",IF(D304="proMX",COUNTIFS(FER_F,INT(B304)+1,FER_NLP,"Sí"),COUNTIFS(FER_F,INT(B304)+1,FER_NLM,"Sí"))=0),1,0),0)</f>
        <v>0</v>
      </c>
      <c r="AJ304" s="80">
        <f>IF(AC304=1,1440-Z304,AD304)</f>
        <v>0</v>
      </c>
      <c r="AK304" s="80">
        <f>IF(AND(AB304=1,AH304=1),MAX(0,MIN(IF(AC304=1,1440,AA304),CFG_WEM)-MAX(Z304,CFG_WSM)),0)</f>
        <v>0</v>
      </c>
      <c r="AL304" s="80">
        <f>IF(AND(AC304=1,AI304=1),MAX(0,MIN(AA304,CFG_WEM)-CFG_WSM),0)</f>
        <v>0</v>
      </c>
      <c r="AM304" s="80">
        <f>AK304+AL304</f>
        <v>0</v>
      </c>
      <c r="AN304" s="80">
        <f>IF(CFG_BRK="Proporcional",IF(AD304=0,0,AF304*AM304/AD304),IF(CFG_BRK="Extras primero",MIN(AM304,MAX(0,AF304-(AD304-AM304))),MIN(AF304,AM304)))</f>
        <v>0</v>
      </c>
      <c r="AO304" s="80">
        <f>AF304-AN304</f>
        <v>0</v>
      </c>
      <c r="AP304" s="80">
        <f>AM304-AN304</f>
        <v>0</v>
      </c>
      <c r="AQ304" s="80">
        <f>AD304-AM304-AO304</f>
        <v>0</v>
      </c>
      <c r="AR304" s="80">
        <f>IF(AM304=0,0,AK304-AN304*AK304/AM304)</f>
        <v>0</v>
      </c>
      <c r="AS304" s="80">
        <f>IF(AD304-AM304=0,0,(AJ304-AK304)-AO304*(AJ304-AK304)/(AD304-AM304))</f>
        <v>0</v>
      </c>
      <c r="AT304" s="80" t="str">
        <f>IF(AC304=1,INT(B304)+1,"")</f>
        <v/>
      </c>
      <c r="AU304" s="80">
        <f>IF(AND(D304="proMX",R304="Cancelled"),0,1)</f>
        <v>1</v>
      </c>
      <c r="AV304" s="80">
        <f>IF(AND(AB304=1,AU304=1),IF(COUNTIFS($D$5:D303,D304,$B$5:B303,B304,$Z$5:Z303,Z304,$AA$5:AA303,AA304,$F$5:F303,F304&amp;"",$AU$5:AU303,1)&gt;0,1,0),0)</f>
        <v>0</v>
      </c>
      <c r="AW304" s="80" t="str">
        <f>IF(AB304=1,INT(B304)*1440+Z304,"")</f>
        <v/>
      </c>
      <c r="AX304" s="80" t="str">
        <f>IF(AB304=1,AW304+AD304,"")</f>
        <v/>
      </c>
      <c r="AY304" s="80">
        <f>IF(AND(AB304=1,AV304=0,AU304=1),1,0)</f>
        <v>0</v>
      </c>
      <c r="AZ304" s="80">
        <f>IF(AY304=1,COUNTIFS(R_Emp,D304,R_SAbs,"&lt;"&amp;AX304,R_EAbs,"&gt;"&amp;AW304,R_OKey,1)-1,0)</f>
        <v>0</v>
      </c>
      <c r="BA304" s="80">
        <f>IF(AY304=1,COUNTIFS(R_Emp,"&lt;&gt;"&amp;D304,R_SAbs,"&lt;"&amp;AX304,R_EAbs,"&gt;"&amp;AW304,R_OKey,1),0)</f>
        <v>0</v>
      </c>
      <c r="BB304" s="80">
        <f>IF(AND(AB304=1,D304="proMX"),IF(AND(MOD(Z304,CFG_BLK)=0,MOD(AA304,CFG_BLK)=0,MOD(AG304,CFG_BLK)=0,AG304&gt;0),1,0),1)</f>
        <v>1</v>
      </c>
      <c r="BC304" s="80" t="str">
        <f>IF(Y304=0,"",IF(NOT(ISNUMBER(B304)),"Falta fecha o fecha inválida",IF(D304="","Falta empresa",IF(AND(D304&lt;&gt;"Malcolm",D304&lt;&gt;"proMX"),"Empresa inválida",IF(OR(INT(B304)&lt;CFG_PSTART,INT(B304)&gt;CFG_PEND),"Fecha fuera del período",IF(OR(NOT(ISNUMBER(Z304)),NOT(ISNUMBER(AA304))),"Falta hora inicio/fin o formato inválido",IF(AB304=0,"Hora inicio = hora fin",IF(AE304&lt;0,"Descanso inválido",IF(AE304&gt;=AD304,"Descanso ≥ duración",IF(AV304=1,"Registro duplicado",IF(AZ304&gt;0,"Se superpone con otro registro "&amp;D304,IF(BB304=0,"inicio, fin y duración neta deben ser múltiplos de "&amp;CFG_BLK&amp;" min",""))))))))))))</f>
        <v/>
      </c>
      <c r="BD304" s="80">
        <f>IF(AND(Y304=1,BC304=""),1,0)</f>
        <v>0</v>
      </c>
      <c r="BE304" s="80">
        <f>IF(AND(BD304=1,AU304=1),1,0)</f>
        <v>0</v>
      </c>
      <c r="BF304" s="80" t="str">
        <f>IF(AND(D304="proMX",BD304=1),IF(R304="","Draft",R304),"")</f>
        <v/>
      </c>
      <c r="BG304" s="80">
        <f>IF(BD304=1,ROUND(AG304/60,6),0)</f>
        <v>0</v>
      </c>
      <c r="BH304" s="80">
        <f>IF(BE304=1,ROUND(AG304/60,6),0)</f>
        <v>0</v>
      </c>
      <c r="BI304" s="80">
        <f>IF(BE304=1,ROUND(AP304/60,6),0)</f>
        <v>0</v>
      </c>
      <c r="BJ304" s="80">
        <f>IF(BE304=1,ROUND(AQ304/60,6),0)</f>
        <v>0</v>
      </c>
      <c r="BK304" s="80">
        <f>IF(BE304=1,ROUND((AR304+AS304)/60,6),0)</f>
        <v>0</v>
      </c>
      <c r="BL304" s="80">
        <f>ROUND(BH304-BK304,6)</f>
        <v>0</v>
      </c>
      <c r="BM304" s="80">
        <f>IF(BE304=1,ROUND(AR304/60,6),0)</f>
        <v>0</v>
      </c>
      <c r="BN304" s="80">
        <f>ROUND(BI304-BM304,6)</f>
        <v>0</v>
      </c>
      <c r="BO304" s="80">
        <f>IF(BE304=1,ROUND(AS304/60,6),0)</f>
        <v>0</v>
      </c>
      <c r="BP304" s="80">
        <f>ROUND(BJ304-BO304,6)</f>
        <v>0</v>
      </c>
      <c r="BQ304" s="80">
        <f>IF(BE304=1,AW304,0)</f>
        <v>0</v>
      </c>
      <c r="BR304" s="80">
        <f>IF(BE304=1,AX304,0)</f>
        <v>0</v>
      </c>
      <c r="BS304" s="80">
        <f>IF(AND(BE304=1,D304="Malcolm",BA304&gt;0),MIN(BH304,SUMPRODUCT((R_Emp="proMX")*(R_EN&gt;0)*((R_EN-(R_EN&gt;BR304)*(R_EN-BR304))&gt;(R_SN+(R_SN&lt;BQ304)*(BQ304-R_SN)))*((R_EN-(R_EN&gt;BR304)*(R_EN-BR304))-(R_SN+(R_SN&lt;BQ304)*(BQ304-R_SN))))/60),0)</f>
        <v>0</v>
      </c>
      <c r="BT304" s="80">
        <f>IF(AND(BE304=1,D304="proMX"),ROUND(BI304*CFG_RATE+BJ304*CFG_OTRATE,6),0)</f>
        <v>0</v>
      </c>
      <c r="BU304" s="80">
        <f>IF(AND(BD304=1,D304="proMX"),ROUND(AG304/CFG_BLK,6),0)</f>
        <v>0</v>
      </c>
      <c r="BV304" s="80" t="str">
        <f>IF(BF304="Approved",IF(ISNUMBER(T304),INT(T304),INT(B304)),"")</f>
        <v/>
      </c>
      <c r="BW304" s="80">
        <f>IF(ISNUMBER(B304),IF(DB_MON="Todos",1,IF(AND(INT(B304)&gt;=DB_MS,INT(B304)&lt;=DB_ME),1,0)),0)</f>
        <v>0</v>
      </c>
      <c r="BX304" s="80">
        <f>IF(DB_PROJ="Todos",1,IF(E304&amp;""=DB_PROJ&amp;"",1,0))</f>
        <v>1</v>
      </c>
      <c r="BY304" s="80">
        <f>BW304*BX304</f>
        <v>0</v>
      </c>
      <c r="BZ304" s="80" t="str">
        <f>IF(Y304=1,F304&amp;IF(AND(F304&amp;""&lt;&gt;"",E304&amp;""&lt;&gt;"")," · ","")&amp;E304,"")</f>
        <v/>
      </c>
      <c r="CA304" s="80" t="str">
        <f>IF(AND(BD304=1,E304&amp;""&lt;&gt;""),IF(COUNTIFS($E$5:E303,E304,$BD$5:BD303,1)=0,MAX($CA$5:CA303)+1,""),"")</f>
        <v/>
      </c>
      <c r="CB304" s="80" t="str">
        <f>IF(AND(BE304=1,D304="Malcolm",E304&amp;""&lt;&gt;""),IF(COUNTIFS($D$5:D303,"Malcolm",$E$5:E303,E304,$BE$5:BE303,1)=0,MAX($CB$5:CB303)+1,""),"")</f>
        <v/>
      </c>
      <c r="CC304" s="80" t="str">
        <f>IF(AND(BD304=1,D304="proMX",E304&amp;""&lt;&gt;""),IF(COUNTIFS($D$5:D303,"proMX",$E$5:E303,E304,$BD$5:BD303,1)=0,MAX($CC$5:CC303)+1,""),"")</f>
        <v/>
      </c>
      <c r="CD304" s="80" t="str">
        <f>IF(AND(BE304=1,D304="Malcolm",F304&amp;""&lt;&gt;""),IF(COUNTIFS($D$5:D303,"Malcolm",$F$5:F303,F304,$BE$5:BE303,1)=0,MAX($CD$5:CD303)+1,""),"")</f>
        <v/>
      </c>
      <c r="CE304" s="80" t="str">
        <f>IF(AND(BD304=1,D304="proMX",F304&amp;""&lt;&gt;""),IF(COUNTIFS($D$5:D303,"proMX",$F$5:F303,F304,$BD$5:BD303,1)=0,MAX($CE$5:CE303)+1,""),"")</f>
        <v/>
      </c>
      <c r="CF304" s="80" t="str">
        <f>IF(AND(D304="proMX",BD304=1),IF(OR(BF304="Draft",BF304="Submitted",BF304="Returned",BF304="Recall Requested"),MAX($CF$5:CF303)+1,""),"")</f>
        <v/>
      </c>
      <c r="CG304" s="80">
        <f>IF(BD304=0,0,IF(D304="Malcolm",1,MATCH(BF304,{"Draft","Submitted","Approved","Returned","Recall Requested","Cancelled"},0)+1))</f>
        <v>0</v>
      </c>
      <c r="CH304" s="80">
        <f>IF(AND(BF304="Submitted",ISNUMBER(V304)),IF(V304&gt;CFG_MAXD,1,0),0)</f>
        <v>0</v>
      </c>
    </row>
    <row r="305">
      <c r="A305" s="71" t="str">
        <f>IF(Y305=1,ROW()-5,"")</f>
        <v/>
      </c>
      <c r="B305" s="72" t="n"/>
      <c r="C305" s="71" t="str">
        <f>IF(ISNUMBER(B305),CHOOSE(WEEKDAY(B305,2),"Lun","Mar","Mié","Jue","Vie","Sáb","Dom"),"")</f>
        <v/>
      </c>
      <c r="D305" s="73" t="n"/>
      <c r="E305" s="74" t="n"/>
      <c r="F305" s="74" t="n"/>
      <c r="G305" s="74" t="n"/>
      <c r="H305" s="75" t="n"/>
      <c r="I305" s="75" t="n"/>
      <c r="J305" s="76" t="n"/>
      <c r="K305" s="77" t="str">
        <f>IF(AB305=1,ROUND(AG305/60,4),"")</f>
        <v/>
      </c>
      <c r="L305" s="77" t="str">
        <f>IF(BD305=1,ROUND(AP305/60,4),"")</f>
        <v/>
      </c>
      <c r="M305" s="77" t="str">
        <f>IF(BD305=1,ROUND(AQ305/60,4),"")</f>
        <v/>
      </c>
      <c r="N305" s="71" t="str">
        <f>IF(AND(D305="proMX",AB305=1),ROUND(AG305/CFG_BLK,2),"")</f>
        <v/>
      </c>
      <c r="O305" s="77" t="str">
        <f>IF(D305="proMX",IF(BD305=1,ROUND(AG305/60,4),0),"")</f>
        <v/>
      </c>
      <c r="P305" s="78" t="str">
        <f>IF(Y305=0,"",IF(BD305=1,"OK",IF(D305="proMX","Revisar bloques: ","Revisar: ")&amp;BC305))</f>
        <v/>
      </c>
      <c r="Q305" s="78" t="str">
        <f>IF(NOT(ISNUMBER(B305)),"",IF(COUNTIFS(FER_F,INT(B305))&gt;0,"Feriado"&amp;IF(AH305=1," (laborable)"," (no laborable)"),IF(AH305=1,"Laborable",IF(WEEKDAY(B305,2)&gt;5,"Fin de semana","No laborable"))))</f>
        <v/>
      </c>
      <c r="R305" s="73" t="n"/>
      <c r="S305" s="72" t="n"/>
      <c r="T305" s="72" t="n"/>
      <c r="U305" s="74" t="n"/>
      <c r="V305" s="79" t="str">
        <f>IF(AND(D305="proMX",OR(R305="Submitted",R305="Recall Requested"),ISNUMBER(S305)),CFG_TODAY-INT(S305),"")</f>
        <v/>
      </c>
      <c r="W305" s="78" t="str">
        <f>IF(BD305=0,"",IF(BA305&gt;0,"⚠ Se superpone con un registro de la otra empresa",IF(D305="Malcolm",IF(COUNTA(R305,S305,T305)&gt;0,"Estado/fechas proMX se ignoran en Malcolm",""),IF(BF305="Cancelled","Cancelado: excluido de totales",IF(R305="","Sin estado: se trata como Draft",IF(BF305="Submitted",IF(ISNUMBER(V305),IF(V305&gt;CFG_MAXD,"⚠ "&amp;V305&amp;" días en Submitted (máx. "&amp;CFG_MAXD&amp;")",""),"Falta fecha de envío"),IF(BF305="Returned","⚠ Devuelto: corregir y reenviar",IF(BF305="Recall Requested","Retirada solicitada: pendiente",IF(AND(BF305="Approved",NOT(ISNUMBER(T305))),"Falta fecha de aprobación",IF(AND(ISNUMBER(S305),ISNUMBER(T305),T305&lt;S305),"Aprobación anterior al envío","")))))))))</f>
        <v/>
      </c>
      <c r="Y305" s="80">
        <f>IF(COUNTA(B305,D305,E305,F305,G305,H305,I305,J305,R305,S305,T305)&gt;0,1,0)</f>
        <v>0</v>
      </c>
      <c r="Z305" s="80" t="str">
        <f>IF(AND(ISNUMBER(H305),H305&gt;=0,H305&lt;1),ROUND(H305*1440,0),"")</f>
        <v/>
      </c>
      <c r="AA305" s="80" t="str">
        <f>IF(AND(ISNUMBER(I305),I305&gt;=0,I305&lt;1),ROUND(I305*1440,0),"")</f>
        <v/>
      </c>
      <c r="AB305" s="80">
        <f>IF(AND(ISNUMBER(B305),D305&lt;&gt;"",ISNUMBER(Z305),ISNUMBER(AA305)),IF(Z305=AA305,0,1),0)</f>
        <v>0</v>
      </c>
      <c r="AC305" s="80">
        <f>IF(AB305=1,IF(AA305&lt;Z305,1,0),0)</f>
        <v>0</v>
      </c>
      <c r="AD305" s="80">
        <f>IF(AB305=1,IF(AC305=1,1440-Z305+AA305,AA305-Z305),0)</f>
        <v>0</v>
      </c>
      <c r="AE305" s="80">
        <f>IF(J305="",0,IF(ISNUMBER(J305),J305,-1))</f>
        <v>0</v>
      </c>
      <c r="AF305" s="80">
        <f>MIN(MAX(0,AE305),AD305)</f>
        <v>0</v>
      </c>
      <c r="AG305" s="80">
        <f>MAX(0,AD305-MAX(0,AE305))</f>
        <v>0</v>
      </c>
      <c r="AH305" s="80">
        <f>IF(ISNUMBER(B305),IF(AND(INDEX(CFG_WDAYS,WEEKDAY(INT(B305),2))="Sí",IF(D305="proMX",COUNTIFS(FER_F,INT(B305),FER_NLP,"Sí"),COUNTIFS(FER_F,INT(B305),FER_NLM,"Sí"))=0),1,0),0)</f>
        <v>0</v>
      </c>
      <c r="AI305" s="80">
        <f>IF(AC305=1,IF(AND(INDEX(CFG_WDAYS,WEEKDAY(INT(B305)+1,2))="Sí",IF(D305="proMX",COUNTIFS(FER_F,INT(B305)+1,FER_NLP,"Sí"),COUNTIFS(FER_F,INT(B305)+1,FER_NLM,"Sí"))=0),1,0),0)</f>
        <v>0</v>
      </c>
      <c r="AJ305" s="80">
        <f>IF(AC305=1,1440-Z305,AD305)</f>
        <v>0</v>
      </c>
      <c r="AK305" s="80">
        <f>IF(AND(AB305=1,AH305=1),MAX(0,MIN(IF(AC305=1,1440,AA305),CFG_WEM)-MAX(Z305,CFG_WSM)),0)</f>
        <v>0</v>
      </c>
      <c r="AL305" s="80">
        <f>IF(AND(AC305=1,AI305=1),MAX(0,MIN(AA305,CFG_WEM)-CFG_WSM),0)</f>
        <v>0</v>
      </c>
      <c r="AM305" s="80">
        <f>AK305+AL305</f>
        <v>0</v>
      </c>
      <c r="AN305" s="80">
        <f>IF(CFG_BRK="Proporcional",IF(AD305=0,0,AF305*AM305/AD305),IF(CFG_BRK="Extras primero",MIN(AM305,MAX(0,AF305-(AD305-AM305))),MIN(AF305,AM305)))</f>
        <v>0</v>
      </c>
      <c r="AO305" s="80">
        <f>AF305-AN305</f>
        <v>0</v>
      </c>
      <c r="AP305" s="80">
        <f>AM305-AN305</f>
        <v>0</v>
      </c>
      <c r="AQ305" s="80">
        <f>AD305-AM305-AO305</f>
        <v>0</v>
      </c>
      <c r="AR305" s="80">
        <f>IF(AM305=0,0,AK305-AN305*AK305/AM305)</f>
        <v>0</v>
      </c>
      <c r="AS305" s="80">
        <f>IF(AD305-AM305=0,0,(AJ305-AK305)-AO305*(AJ305-AK305)/(AD305-AM305))</f>
        <v>0</v>
      </c>
      <c r="AT305" s="80" t="str">
        <f>IF(AC305=1,INT(B305)+1,"")</f>
        <v/>
      </c>
      <c r="AU305" s="80">
        <f>IF(AND(D305="proMX",R305="Cancelled"),0,1)</f>
        <v>1</v>
      </c>
      <c r="AV305" s="80">
        <f>IF(AND(AB305=1,AU305=1),IF(COUNTIFS($D$5:D304,D305,$B$5:B304,B305,$Z$5:Z304,Z305,$AA$5:AA304,AA305,$F$5:F304,F305&amp;"",$AU$5:AU304,1)&gt;0,1,0),0)</f>
        <v>0</v>
      </c>
      <c r="AW305" s="80" t="str">
        <f>IF(AB305=1,INT(B305)*1440+Z305,"")</f>
        <v/>
      </c>
      <c r="AX305" s="80" t="str">
        <f>IF(AB305=1,AW305+AD305,"")</f>
        <v/>
      </c>
      <c r="AY305" s="80">
        <f>IF(AND(AB305=1,AV305=0,AU305=1),1,0)</f>
        <v>0</v>
      </c>
      <c r="AZ305" s="80">
        <f>IF(AY305=1,COUNTIFS(R_Emp,D305,R_SAbs,"&lt;"&amp;AX305,R_EAbs,"&gt;"&amp;AW305,R_OKey,1)-1,0)</f>
        <v>0</v>
      </c>
      <c r="BA305" s="80">
        <f>IF(AY305=1,COUNTIFS(R_Emp,"&lt;&gt;"&amp;D305,R_SAbs,"&lt;"&amp;AX305,R_EAbs,"&gt;"&amp;AW305,R_OKey,1),0)</f>
        <v>0</v>
      </c>
      <c r="BB305" s="80">
        <f>IF(AND(AB305=1,D305="proMX"),IF(AND(MOD(Z305,CFG_BLK)=0,MOD(AA305,CFG_BLK)=0,MOD(AG305,CFG_BLK)=0,AG305&gt;0),1,0),1)</f>
        <v>1</v>
      </c>
      <c r="BC305" s="80" t="str">
        <f>IF(Y305=0,"",IF(NOT(ISNUMBER(B305)),"Falta fecha o fecha inválida",IF(D305="","Falta empresa",IF(AND(D305&lt;&gt;"Malcolm",D305&lt;&gt;"proMX"),"Empresa inválida",IF(OR(INT(B305)&lt;CFG_PSTART,INT(B305)&gt;CFG_PEND),"Fecha fuera del período",IF(OR(NOT(ISNUMBER(Z305)),NOT(ISNUMBER(AA305))),"Falta hora inicio/fin o formato inválido",IF(AB305=0,"Hora inicio = hora fin",IF(AE305&lt;0,"Descanso inválido",IF(AE305&gt;=AD305,"Descanso ≥ duración",IF(AV305=1,"Registro duplicado",IF(AZ305&gt;0,"Se superpone con otro registro "&amp;D305,IF(BB305=0,"inicio, fin y duración neta deben ser múltiplos de "&amp;CFG_BLK&amp;" min",""))))))))))))</f>
        <v/>
      </c>
      <c r="BD305" s="80">
        <f>IF(AND(Y305=1,BC305=""),1,0)</f>
        <v>0</v>
      </c>
      <c r="BE305" s="80">
        <f>IF(AND(BD305=1,AU305=1),1,0)</f>
        <v>0</v>
      </c>
      <c r="BF305" s="80" t="str">
        <f>IF(AND(D305="proMX",BD305=1),IF(R305="","Draft",R305),"")</f>
        <v/>
      </c>
      <c r="BG305" s="80">
        <f>IF(BD305=1,ROUND(AG305/60,6),0)</f>
        <v>0</v>
      </c>
      <c r="BH305" s="80">
        <f>IF(BE305=1,ROUND(AG305/60,6),0)</f>
        <v>0</v>
      </c>
      <c r="BI305" s="80">
        <f>IF(BE305=1,ROUND(AP305/60,6),0)</f>
        <v>0</v>
      </c>
      <c r="BJ305" s="80">
        <f>IF(BE305=1,ROUND(AQ305/60,6),0)</f>
        <v>0</v>
      </c>
      <c r="BK305" s="80">
        <f>IF(BE305=1,ROUND((AR305+AS305)/60,6),0)</f>
        <v>0</v>
      </c>
      <c r="BL305" s="80">
        <f>ROUND(BH305-BK305,6)</f>
        <v>0</v>
      </c>
      <c r="BM305" s="80">
        <f>IF(BE305=1,ROUND(AR305/60,6),0)</f>
        <v>0</v>
      </c>
      <c r="BN305" s="80">
        <f>ROUND(BI305-BM305,6)</f>
        <v>0</v>
      </c>
      <c r="BO305" s="80">
        <f>IF(BE305=1,ROUND(AS305/60,6),0)</f>
        <v>0</v>
      </c>
      <c r="BP305" s="80">
        <f>ROUND(BJ305-BO305,6)</f>
        <v>0</v>
      </c>
      <c r="BQ305" s="80">
        <f>IF(BE305=1,AW305,0)</f>
        <v>0</v>
      </c>
      <c r="BR305" s="80">
        <f>IF(BE305=1,AX305,0)</f>
        <v>0</v>
      </c>
      <c r="BS305" s="80">
        <f>IF(AND(BE305=1,D305="Malcolm",BA305&gt;0),MIN(BH305,SUMPRODUCT((R_Emp="proMX")*(R_EN&gt;0)*((R_EN-(R_EN&gt;BR305)*(R_EN-BR305))&gt;(R_SN+(R_SN&lt;BQ305)*(BQ305-R_SN)))*((R_EN-(R_EN&gt;BR305)*(R_EN-BR305))-(R_SN+(R_SN&lt;BQ305)*(BQ305-R_SN))))/60),0)</f>
        <v>0</v>
      </c>
      <c r="BT305" s="80">
        <f>IF(AND(BE305=1,D305="proMX"),ROUND(BI305*CFG_RATE+BJ305*CFG_OTRATE,6),0)</f>
        <v>0</v>
      </c>
      <c r="BU305" s="80">
        <f>IF(AND(BD305=1,D305="proMX"),ROUND(AG305/CFG_BLK,6),0)</f>
        <v>0</v>
      </c>
      <c r="BV305" s="80" t="str">
        <f>IF(BF305="Approved",IF(ISNUMBER(T305),INT(T305),INT(B305)),"")</f>
        <v/>
      </c>
      <c r="BW305" s="80">
        <f>IF(ISNUMBER(B305),IF(DB_MON="Todos",1,IF(AND(INT(B305)&gt;=DB_MS,INT(B305)&lt;=DB_ME),1,0)),0)</f>
        <v>0</v>
      </c>
      <c r="BX305" s="80">
        <f>IF(DB_PROJ="Todos",1,IF(E305&amp;""=DB_PROJ&amp;"",1,0))</f>
        <v>1</v>
      </c>
      <c r="BY305" s="80">
        <f>BW305*BX305</f>
        <v>0</v>
      </c>
      <c r="BZ305" s="80" t="str">
        <f>IF(Y305=1,F305&amp;IF(AND(F305&amp;""&lt;&gt;"",E305&amp;""&lt;&gt;"")," · ","")&amp;E305,"")</f>
        <v/>
      </c>
      <c r="CA305" s="80" t="str">
        <f>IF(AND(BD305=1,E305&amp;""&lt;&gt;""),IF(COUNTIFS($E$5:E304,E305,$BD$5:BD304,1)=0,MAX($CA$5:CA304)+1,""),"")</f>
        <v/>
      </c>
      <c r="CB305" s="80" t="str">
        <f>IF(AND(BE305=1,D305="Malcolm",E305&amp;""&lt;&gt;""),IF(COUNTIFS($D$5:D304,"Malcolm",$E$5:E304,E305,$BE$5:BE304,1)=0,MAX($CB$5:CB304)+1,""),"")</f>
        <v/>
      </c>
      <c r="CC305" s="80" t="str">
        <f>IF(AND(BD305=1,D305="proMX",E305&amp;""&lt;&gt;""),IF(COUNTIFS($D$5:D304,"proMX",$E$5:E304,E305,$BD$5:BD304,1)=0,MAX($CC$5:CC304)+1,""),"")</f>
        <v/>
      </c>
      <c r="CD305" s="80" t="str">
        <f>IF(AND(BE305=1,D305="Malcolm",F305&amp;""&lt;&gt;""),IF(COUNTIFS($D$5:D304,"Malcolm",$F$5:F304,F305,$BE$5:BE304,1)=0,MAX($CD$5:CD304)+1,""),"")</f>
        <v/>
      </c>
      <c r="CE305" s="80" t="str">
        <f>IF(AND(BD305=1,D305="proMX",F305&amp;""&lt;&gt;""),IF(COUNTIFS($D$5:D304,"proMX",$F$5:F304,F305,$BD$5:BD304,1)=0,MAX($CE$5:CE304)+1,""),"")</f>
        <v/>
      </c>
      <c r="CF305" s="80" t="str">
        <f>IF(AND(D305="proMX",BD305=1),IF(OR(BF305="Draft",BF305="Submitted",BF305="Returned",BF305="Recall Requested"),MAX($CF$5:CF304)+1,""),"")</f>
        <v/>
      </c>
      <c r="CG305" s="80">
        <f>IF(BD305=0,0,IF(D305="Malcolm",1,MATCH(BF305,{"Draft","Submitted","Approved","Returned","Recall Requested","Cancelled"},0)+1))</f>
        <v>0</v>
      </c>
      <c r="CH305" s="80">
        <f>IF(AND(BF305="Submitted",ISNUMBER(V305)),IF(V305&gt;CFG_MAXD,1,0),0)</f>
        <v>0</v>
      </c>
    </row>
    <row r="306">
      <c r="A306" s="71" t="str">
        <f>IF(Y306=1,ROW()-5,"")</f>
        <v/>
      </c>
      <c r="B306" s="72" t="n"/>
      <c r="C306" s="71" t="str">
        <f>IF(ISNUMBER(B306),CHOOSE(WEEKDAY(B306,2),"Lun","Mar","Mié","Jue","Vie","Sáb","Dom"),"")</f>
        <v/>
      </c>
      <c r="D306" s="73" t="n"/>
      <c r="E306" s="74" t="n"/>
      <c r="F306" s="74" t="n"/>
      <c r="G306" s="74" t="n"/>
      <c r="H306" s="75" t="n"/>
      <c r="I306" s="75" t="n"/>
      <c r="J306" s="76" t="n"/>
      <c r="K306" s="77" t="str">
        <f>IF(AB306=1,ROUND(AG306/60,4),"")</f>
        <v/>
      </c>
      <c r="L306" s="77" t="str">
        <f>IF(BD306=1,ROUND(AP306/60,4),"")</f>
        <v/>
      </c>
      <c r="M306" s="77" t="str">
        <f>IF(BD306=1,ROUND(AQ306/60,4),"")</f>
        <v/>
      </c>
      <c r="N306" s="71" t="str">
        <f>IF(AND(D306="proMX",AB306=1),ROUND(AG306/CFG_BLK,2),"")</f>
        <v/>
      </c>
      <c r="O306" s="77" t="str">
        <f>IF(D306="proMX",IF(BD306=1,ROUND(AG306/60,4),0),"")</f>
        <v/>
      </c>
      <c r="P306" s="78" t="str">
        <f>IF(Y306=0,"",IF(BD306=1,"OK",IF(D306="proMX","Revisar bloques: ","Revisar: ")&amp;BC306))</f>
        <v/>
      </c>
      <c r="Q306" s="78" t="str">
        <f>IF(NOT(ISNUMBER(B306)),"",IF(COUNTIFS(FER_F,INT(B306))&gt;0,"Feriado"&amp;IF(AH306=1," (laborable)"," (no laborable)"),IF(AH306=1,"Laborable",IF(WEEKDAY(B306,2)&gt;5,"Fin de semana","No laborable"))))</f>
        <v/>
      </c>
      <c r="R306" s="73" t="n"/>
      <c r="S306" s="72" t="n"/>
      <c r="T306" s="72" t="n"/>
      <c r="U306" s="74" t="n"/>
      <c r="V306" s="79" t="str">
        <f>IF(AND(D306="proMX",OR(R306="Submitted",R306="Recall Requested"),ISNUMBER(S306)),CFG_TODAY-INT(S306),"")</f>
        <v/>
      </c>
      <c r="W306" s="78" t="str">
        <f>IF(BD306=0,"",IF(BA306&gt;0,"⚠ Se superpone con un registro de la otra empresa",IF(D306="Malcolm",IF(COUNTA(R306,S306,T306)&gt;0,"Estado/fechas proMX se ignoran en Malcolm",""),IF(BF306="Cancelled","Cancelado: excluido de totales",IF(R306="","Sin estado: se trata como Draft",IF(BF306="Submitted",IF(ISNUMBER(V306),IF(V306&gt;CFG_MAXD,"⚠ "&amp;V306&amp;" días en Submitted (máx. "&amp;CFG_MAXD&amp;")",""),"Falta fecha de envío"),IF(BF306="Returned","⚠ Devuelto: corregir y reenviar",IF(BF306="Recall Requested","Retirada solicitada: pendiente",IF(AND(BF306="Approved",NOT(ISNUMBER(T306))),"Falta fecha de aprobación",IF(AND(ISNUMBER(S306),ISNUMBER(T306),T306&lt;S306),"Aprobación anterior al envío","")))))))))</f>
        <v/>
      </c>
      <c r="Y306" s="80">
        <f>IF(COUNTA(B306,D306,E306,F306,G306,H306,I306,J306,R306,S306,T306)&gt;0,1,0)</f>
        <v>0</v>
      </c>
      <c r="Z306" s="80" t="str">
        <f>IF(AND(ISNUMBER(H306),H306&gt;=0,H306&lt;1),ROUND(H306*1440,0),"")</f>
        <v/>
      </c>
      <c r="AA306" s="80" t="str">
        <f>IF(AND(ISNUMBER(I306),I306&gt;=0,I306&lt;1),ROUND(I306*1440,0),"")</f>
        <v/>
      </c>
      <c r="AB306" s="80">
        <f>IF(AND(ISNUMBER(B306),D306&lt;&gt;"",ISNUMBER(Z306),ISNUMBER(AA306)),IF(Z306=AA306,0,1),0)</f>
        <v>0</v>
      </c>
      <c r="AC306" s="80">
        <f>IF(AB306=1,IF(AA306&lt;Z306,1,0),0)</f>
        <v>0</v>
      </c>
      <c r="AD306" s="80">
        <f>IF(AB306=1,IF(AC306=1,1440-Z306+AA306,AA306-Z306),0)</f>
        <v>0</v>
      </c>
      <c r="AE306" s="80">
        <f>IF(J306="",0,IF(ISNUMBER(J306),J306,-1))</f>
        <v>0</v>
      </c>
      <c r="AF306" s="80">
        <f>MIN(MAX(0,AE306),AD306)</f>
        <v>0</v>
      </c>
      <c r="AG306" s="80">
        <f>MAX(0,AD306-MAX(0,AE306))</f>
        <v>0</v>
      </c>
      <c r="AH306" s="80">
        <f>IF(ISNUMBER(B306),IF(AND(INDEX(CFG_WDAYS,WEEKDAY(INT(B306),2))="Sí",IF(D306="proMX",COUNTIFS(FER_F,INT(B306),FER_NLP,"Sí"),COUNTIFS(FER_F,INT(B306),FER_NLM,"Sí"))=0),1,0),0)</f>
        <v>0</v>
      </c>
      <c r="AI306" s="80">
        <f>IF(AC306=1,IF(AND(INDEX(CFG_WDAYS,WEEKDAY(INT(B306)+1,2))="Sí",IF(D306="proMX",COUNTIFS(FER_F,INT(B306)+1,FER_NLP,"Sí"),COUNTIFS(FER_F,INT(B306)+1,FER_NLM,"Sí"))=0),1,0),0)</f>
        <v>0</v>
      </c>
      <c r="AJ306" s="80">
        <f>IF(AC306=1,1440-Z306,AD306)</f>
        <v>0</v>
      </c>
      <c r="AK306" s="80">
        <f>IF(AND(AB306=1,AH306=1),MAX(0,MIN(IF(AC306=1,1440,AA306),CFG_WEM)-MAX(Z306,CFG_WSM)),0)</f>
        <v>0</v>
      </c>
      <c r="AL306" s="80">
        <f>IF(AND(AC306=1,AI306=1),MAX(0,MIN(AA306,CFG_WEM)-CFG_WSM),0)</f>
        <v>0</v>
      </c>
      <c r="AM306" s="80">
        <f>AK306+AL306</f>
        <v>0</v>
      </c>
      <c r="AN306" s="80">
        <f>IF(CFG_BRK="Proporcional",IF(AD306=0,0,AF306*AM306/AD306),IF(CFG_BRK="Extras primero",MIN(AM306,MAX(0,AF306-(AD306-AM306))),MIN(AF306,AM306)))</f>
        <v>0</v>
      </c>
      <c r="AO306" s="80">
        <f>AF306-AN306</f>
        <v>0</v>
      </c>
      <c r="AP306" s="80">
        <f>AM306-AN306</f>
        <v>0</v>
      </c>
      <c r="AQ306" s="80">
        <f>AD306-AM306-AO306</f>
        <v>0</v>
      </c>
      <c r="AR306" s="80">
        <f>IF(AM306=0,0,AK306-AN306*AK306/AM306)</f>
        <v>0</v>
      </c>
      <c r="AS306" s="80">
        <f>IF(AD306-AM306=0,0,(AJ306-AK306)-AO306*(AJ306-AK306)/(AD306-AM306))</f>
        <v>0</v>
      </c>
      <c r="AT306" s="80" t="str">
        <f>IF(AC306=1,INT(B306)+1,"")</f>
        <v/>
      </c>
      <c r="AU306" s="80">
        <f>IF(AND(D306="proMX",R306="Cancelled"),0,1)</f>
        <v>1</v>
      </c>
      <c r="AV306" s="80">
        <f>IF(AND(AB306=1,AU306=1),IF(COUNTIFS($D$5:D305,D306,$B$5:B305,B306,$Z$5:Z305,Z306,$AA$5:AA305,AA306,$F$5:F305,F306&amp;"",$AU$5:AU305,1)&gt;0,1,0),0)</f>
        <v>0</v>
      </c>
      <c r="AW306" s="80" t="str">
        <f>IF(AB306=1,INT(B306)*1440+Z306,"")</f>
        <v/>
      </c>
      <c r="AX306" s="80" t="str">
        <f>IF(AB306=1,AW306+AD306,"")</f>
        <v/>
      </c>
      <c r="AY306" s="80">
        <f>IF(AND(AB306=1,AV306=0,AU306=1),1,0)</f>
        <v>0</v>
      </c>
      <c r="AZ306" s="80">
        <f>IF(AY306=1,COUNTIFS(R_Emp,D306,R_SAbs,"&lt;"&amp;AX306,R_EAbs,"&gt;"&amp;AW306,R_OKey,1)-1,0)</f>
        <v>0</v>
      </c>
      <c r="BA306" s="80">
        <f>IF(AY306=1,COUNTIFS(R_Emp,"&lt;&gt;"&amp;D306,R_SAbs,"&lt;"&amp;AX306,R_EAbs,"&gt;"&amp;AW306,R_OKey,1),0)</f>
        <v>0</v>
      </c>
      <c r="BB306" s="80">
        <f>IF(AND(AB306=1,D306="proMX"),IF(AND(MOD(Z306,CFG_BLK)=0,MOD(AA306,CFG_BLK)=0,MOD(AG306,CFG_BLK)=0,AG306&gt;0),1,0),1)</f>
        <v>1</v>
      </c>
      <c r="BC306" s="80" t="str">
        <f>IF(Y306=0,"",IF(NOT(ISNUMBER(B306)),"Falta fecha o fecha inválida",IF(D306="","Falta empresa",IF(AND(D306&lt;&gt;"Malcolm",D306&lt;&gt;"proMX"),"Empresa inválida",IF(OR(INT(B306)&lt;CFG_PSTART,INT(B306)&gt;CFG_PEND),"Fecha fuera del período",IF(OR(NOT(ISNUMBER(Z306)),NOT(ISNUMBER(AA306))),"Falta hora inicio/fin o formato inválido",IF(AB306=0,"Hora inicio = hora fin",IF(AE306&lt;0,"Descanso inválido",IF(AE306&gt;=AD306,"Descanso ≥ duración",IF(AV306=1,"Registro duplicado",IF(AZ306&gt;0,"Se superpone con otro registro "&amp;D306,IF(BB306=0,"inicio, fin y duración neta deben ser múltiplos de "&amp;CFG_BLK&amp;" min",""))))))))))))</f>
        <v/>
      </c>
      <c r="BD306" s="80">
        <f>IF(AND(Y306=1,BC306=""),1,0)</f>
        <v>0</v>
      </c>
      <c r="BE306" s="80">
        <f>IF(AND(BD306=1,AU306=1),1,0)</f>
        <v>0</v>
      </c>
      <c r="BF306" s="80" t="str">
        <f>IF(AND(D306="proMX",BD306=1),IF(R306="","Draft",R306),"")</f>
        <v/>
      </c>
      <c r="BG306" s="80">
        <f>IF(BD306=1,ROUND(AG306/60,6),0)</f>
        <v>0</v>
      </c>
      <c r="BH306" s="80">
        <f>IF(BE306=1,ROUND(AG306/60,6),0)</f>
        <v>0</v>
      </c>
      <c r="BI306" s="80">
        <f>IF(BE306=1,ROUND(AP306/60,6),0)</f>
        <v>0</v>
      </c>
      <c r="BJ306" s="80">
        <f>IF(BE306=1,ROUND(AQ306/60,6),0)</f>
        <v>0</v>
      </c>
      <c r="BK306" s="80">
        <f>IF(BE306=1,ROUND((AR306+AS306)/60,6),0)</f>
        <v>0</v>
      </c>
      <c r="BL306" s="80">
        <f>ROUND(BH306-BK306,6)</f>
        <v>0</v>
      </c>
      <c r="BM306" s="80">
        <f>IF(BE306=1,ROUND(AR306/60,6),0)</f>
        <v>0</v>
      </c>
      <c r="BN306" s="80">
        <f>ROUND(BI306-BM306,6)</f>
        <v>0</v>
      </c>
      <c r="BO306" s="80">
        <f>IF(BE306=1,ROUND(AS306/60,6),0)</f>
        <v>0</v>
      </c>
      <c r="BP306" s="80">
        <f>ROUND(BJ306-BO306,6)</f>
        <v>0</v>
      </c>
      <c r="BQ306" s="80">
        <f>IF(BE306=1,AW306,0)</f>
        <v>0</v>
      </c>
      <c r="BR306" s="80">
        <f>IF(BE306=1,AX306,0)</f>
        <v>0</v>
      </c>
      <c r="BS306" s="80">
        <f>IF(AND(BE306=1,D306="Malcolm",BA306&gt;0),MIN(BH306,SUMPRODUCT((R_Emp="proMX")*(R_EN&gt;0)*((R_EN-(R_EN&gt;BR306)*(R_EN-BR306))&gt;(R_SN+(R_SN&lt;BQ306)*(BQ306-R_SN)))*((R_EN-(R_EN&gt;BR306)*(R_EN-BR306))-(R_SN+(R_SN&lt;BQ306)*(BQ306-R_SN))))/60),0)</f>
        <v>0</v>
      </c>
      <c r="BT306" s="80">
        <f>IF(AND(BE306=1,D306="proMX"),ROUND(BI306*CFG_RATE+BJ306*CFG_OTRATE,6),0)</f>
        <v>0</v>
      </c>
      <c r="BU306" s="80">
        <f>IF(AND(BD306=1,D306="proMX"),ROUND(AG306/CFG_BLK,6),0)</f>
        <v>0</v>
      </c>
      <c r="BV306" s="80" t="str">
        <f>IF(BF306="Approved",IF(ISNUMBER(T306),INT(T306),INT(B306)),"")</f>
        <v/>
      </c>
      <c r="BW306" s="80">
        <f>IF(ISNUMBER(B306),IF(DB_MON="Todos",1,IF(AND(INT(B306)&gt;=DB_MS,INT(B306)&lt;=DB_ME),1,0)),0)</f>
        <v>0</v>
      </c>
      <c r="BX306" s="80">
        <f>IF(DB_PROJ="Todos",1,IF(E306&amp;""=DB_PROJ&amp;"",1,0))</f>
        <v>1</v>
      </c>
      <c r="BY306" s="80">
        <f>BW306*BX306</f>
        <v>0</v>
      </c>
      <c r="BZ306" s="80" t="str">
        <f>IF(Y306=1,F306&amp;IF(AND(F306&amp;""&lt;&gt;"",E306&amp;""&lt;&gt;"")," · ","")&amp;E306,"")</f>
        <v/>
      </c>
      <c r="CA306" s="80" t="str">
        <f>IF(AND(BD306=1,E306&amp;""&lt;&gt;""),IF(COUNTIFS($E$5:E305,E306,$BD$5:BD305,1)=0,MAX($CA$5:CA305)+1,""),"")</f>
        <v/>
      </c>
      <c r="CB306" s="80" t="str">
        <f>IF(AND(BE306=1,D306="Malcolm",E306&amp;""&lt;&gt;""),IF(COUNTIFS($D$5:D305,"Malcolm",$E$5:E305,E306,$BE$5:BE305,1)=0,MAX($CB$5:CB305)+1,""),"")</f>
        <v/>
      </c>
      <c r="CC306" s="80" t="str">
        <f>IF(AND(BD306=1,D306="proMX",E306&amp;""&lt;&gt;""),IF(COUNTIFS($D$5:D305,"proMX",$E$5:E305,E306,$BD$5:BD305,1)=0,MAX($CC$5:CC305)+1,""),"")</f>
        <v/>
      </c>
      <c r="CD306" s="80" t="str">
        <f>IF(AND(BE306=1,D306="Malcolm",F306&amp;""&lt;&gt;""),IF(COUNTIFS($D$5:D305,"Malcolm",$F$5:F305,F306,$BE$5:BE305,1)=0,MAX($CD$5:CD305)+1,""),"")</f>
        <v/>
      </c>
      <c r="CE306" s="80" t="str">
        <f>IF(AND(BD306=1,D306="proMX",F306&amp;""&lt;&gt;""),IF(COUNTIFS($D$5:D305,"proMX",$F$5:F305,F306,$BD$5:BD305,1)=0,MAX($CE$5:CE305)+1,""),"")</f>
        <v/>
      </c>
      <c r="CF306" s="80" t="str">
        <f>IF(AND(D306="proMX",BD306=1),IF(OR(BF306="Draft",BF306="Submitted",BF306="Returned",BF306="Recall Requested"),MAX($CF$5:CF305)+1,""),"")</f>
        <v/>
      </c>
      <c r="CG306" s="80">
        <f>IF(BD306=0,0,IF(D306="Malcolm",1,MATCH(BF306,{"Draft","Submitted","Approved","Returned","Recall Requested","Cancelled"},0)+1))</f>
        <v>0</v>
      </c>
      <c r="CH306" s="80">
        <f>IF(AND(BF306="Submitted",ISNUMBER(V306)),IF(V306&gt;CFG_MAXD,1,0),0)</f>
        <v>0</v>
      </c>
    </row>
    <row r="307">
      <c r="A307" s="71" t="str">
        <f>IF(Y307=1,ROW()-5,"")</f>
        <v/>
      </c>
      <c r="B307" s="72" t="n"/>
      <c r="C307" s="71" t="str">
        <f>IF(ISNUMBER(B307),CHOOSE(WEEKDAY(B307,2),"Lun","Mar","Mié","Jue","Vie","Sáb","Dom"),"")</f>
        <v/>
      </c>
      <c r="D307" s="73" t="n"/>
      <c r="E307" s="74" t="n"/>
      <c r="F307" s="74" t="n"/>
      <c r="G307" s="74" t="n"/>
      <c r="H307" s="75" t="n"/>
      <c r="I307" s="75" t="n"/>
      <c r="J307" s="76" t="n"/>
      <c r="K307" s="77" t="str">
        <f>IF(AB307=1,ROUND(AG307/60,4),"")</f>
        <v/>
      </c>
      <c r="L307" s="77" t="str">
        <f>IF(BD307=1,ROUND(AP307/60,4),"")</f>
        <v/>
      </c>
      <c r="M307" s="77" t="str">
        <f>IF(BD307=1,ROUND(AQ307/60,4),"")</f>
        <v/>
      </c>
      <c r="N307" s="71" t="str">
        <f>IF(AND(D307="proMX",AB307=1),ROUND(AG307/CFG_BLK,2),"")</f>
        <v/>
      </c>
      <c r="O307" s="77" t="str">
        <f>IF(D307="proMX",IF(BD307=1,ROUND(AG307/60,4),0),"")</f>
        <v/>
      </c>
      <c r="P307" s="78" t="str">
        <f>IF(Y307=0,"",IF(BD307=1,"OK",IF(D307="proMX","Revisar bloques: ","Revisar: ")&amp;BC307))</f>
        <v/>
      </c>
      <c r="Q307" s="78" t="str">
        <f>IF(NOT(ISNUMBER(B307)),"",IF(COUNTIFS(FER_F,INT(B307))&gt;0,"Feriado"&amp;IF(AH307=1," (laborable)"," (no laborable)"),IF(AH307=1,"Laborable",IF(WEEKDAY(B307,2)&gt;5,"Fin de semana","No laborable"))))</f>
        <v/>
      </c>
      <c r="R307" s="73" t="n"/>
      <c r="S307" s="72" t="n"/>
      <c r="T307" s="72" t="n"/>
      <c r="U307" s="74" t="n"/>
      <c r="V307" s="79" t="str">
        <f>IF(AND(D307="proMX",OR(R307="Submitted",R307="Recall Requested"),ISNUMBER(S307)),CFG_TODAY-INT(S307),"")</f>
        <v/>
      </c>
      <c r="W307" s="78" t="str">
        <f>IF(BD307=0,"",IF(BA307&gt;0,"⚠ Se superpone con un registro de la otra empresa",IF(D307="Malcolm",IF(COUNTA(R307,S307,T307)&gt;0,"Estado/fechas proMX se ignoran en Malcolm",""),IF(BF307="Cancelled","Cancelado: excluido de totales",IF(R307="","Sin estado: se trata como Draft",IF(BF307="Submitted",IF(ISNUMBER(V307),IF(V307&gt;CFG_MAXD,"⚠ "&amp;V307&amp;" días en Submitted (máx. "&amp;CFG_MAXD&amp;")",""),"Falta fecha de envío"),IF(BF307="Returned","⚠ Devuelto: corregir y reenviar",IF(BF307="Recall Requested","Retirada solicitada: pendiente",IF(AND(BF307="Approved",NOT(ISNUMBER(T307))),"Falta fecha de aprobación",IF(AND(ISNUMBER(S307),ISNUMBER(T307),T307&lt;S307),"Aprobación anterior al envío","")))))))))</f>
        <v/>
      </c>
      <c r="Y307" s="80">
        <f>IF(COUNTA(B307,D307,E307,F307,G307,H307,I307,J307,R307,S307,T307)&gt;0,1,0)</f>
        <v>0</v>
      </c>
      <c r="Z307" s="80" t="str">
        <f>IF(AND(ISNUMBER(H307),H307&gt;=0,H307&lt;1),ROUND(H307*1440,0),"")</f>
        <v/>
      </c>
      <c r="AA307" s="80" t="str">
        <f>IF(AND(ISNUMBER(I307),I307&gt;=0,I307&lt;1),ROUND(I307*1440,0),"")</f>
        <v/>
      </c>
      <c r="AB307" s="80">
        <f>IF(AND(ISNUMBER(B307),D307&lt;&gt;"",ISNUMBER(Z307),ISNUMBER(AA307)),IF(Z307=AA307,0,1),0)</f>
        <v>0</v>
      </c>
      <c r="AC307" s="80">
        <f>IF(AB307=1,IF(AA307&lt;Z307,1,0),0)</f>
        <v>0</v>
      </c>
      <c r="AD307" s="80">
        <f>IF(AB307=1,IF(AC307=1,1440-Z307+AA307,AA307-Z307),0)</f>
        <v>0</v>
      </c>
      <c r="AE307" s="80">
        <f>IF(J307="",0,IF(ISNUMBER(J307),J307,-1))</f>
        <v>0</v>
      </c>
      <c r="AF307" s="80">
        <f>MIN(MAX(0,AE307),AD307)</f>
        <v>0</v>
      </c>
      <c r="AG307" s="80">
        <f>MAX(0,AD307-MAX(0,AE307))</f>
        <v>0</v>
      </c>
      <c r="AH307" s="80">
        <f>IF(ISNUMBER(B307),IF(AND(INDEX(CFG_WDAYS,WEEKDAY(INT(B307),2))="Sí",IF(D307="proMX",COUNTIFS(FER_F,INT(B307),FER_NLP,"Sí"),COUNTIFS(FER_F,INT(B307),FER_NLM,"Sí"))=0),1,0),0)</f>
        <v>0</v>
      </c>
      <c r="AI307" s="80">
        <f>IF(AC307=1,IF(AND(INDEX(CFG_WDAYS,WEEKDAY(INT(B307)+1,2))="Sí",IF(D307="proMX",COUNTIFS(FER_F,INT(B307)+1,FER_NLP,"Sí"),COUNTIFS(FER_F,INT(B307)+1,FER_NLM,"Sí"))=0),1,0),0)</f>
        <v>0</v>
      </c>
      <c r="AJ307" s="80">
        <f>IF(AC307=1,1440-Z307,AD307)</f>
        <v>0</v>
      </c>
      <c r="AK307" s="80">
        <f>IF(AND(AB307=1,AH307=1),MAX(0,MIN(IF(AC307=1,1440,AA307),CFG_WEM)-MAX(Z307,CFG_WSM)),0)</f>
        <v>0</v>
      </c>
      <c r="AL307" s="80">
        <f>IF(AND(AC307=1,AI307=1),MAX(0,MIN(AA307,CFG_WEM)-CFG_WSM),0)</f>
        <v>0</v>
      </c>
      <c r="AM307" s="80">
        <f>AK307+AL307</f>
        <v>0</v>
      </c>
      <c r="AN307" s="80">
        <f>IF(CFG_BRK="Proporcional",IF(AD307=0,0,AF307*AM307/AD307),IF(CFG_BRK="Extras primero",MIN(AM307,MAX(0,AF307-(AD307-AM307))),MIN(AF307,AM307)))</f>
        <v>0</v>
      </c>
      <c r="AO307" s="80">
        <f>AF307-AN307</f>
        <v>0</v>
      </c>
      <c r="AP307" s="80">
        <f>AM307-AN307</f>
        <v>0</v>
      </c>
      <c r="AQ307" s="80">
        <f>AD307-AM307-AO307</f>
        <v>0</v>
      </c>
      <c r="AR307" s="80">
        <f>IF(AM307=0,0,AK307-AN307*AK307/AM307)</f>
        <v>0</v>
      </c>
      <c r="AS307" s="80">
        <f>IF(AD307-AM307=0,0,(AJ307-AK307)-AO307*(AJ307-AK307)/(AD307-AM307))</f>
        <v>0</v>
      </c>
      <c r="AT307" s="80" t="str">
        <f>IF(AC307=1,INT(B307)+1,"")</f>
        <v/>
      </c>
      <c r="AU307" s="80">
        <f>IF(AND(D307="proMX",R307="Cancelled"),0,1)</f>
        <v>1</v>
      </c>
      <c r="AV307" s="80">
        <f>IF(AND(AB307=1,AU307=1),IF(COUNTIFS($D$5:D306,D307,$B$5:B306,B307,$Z$5:Z306,Z307,$AA$5:AA306,AA307,$F$5:F306,F307&amp;"",$AU$5:AU306,1)&gt;0,1,0),0)</f>
        <v>0</v>
      </c>
      <c r="AW307" s="80" t="str">
        <f>IF(AB307=1,INT(B307)*1440+Z307,"")</f>
        <v/>
      </c>
      <c r="AX307" s="80" t="str">
        <f>IF(AB307=1,AW307+AD307,"")</f>
        <v/>
      </c>
      <c r="AY307" s="80">
        <f>IF(AND(AB307=1,AV307=0,AU307=1),1,0)</f>
        <v>0</v>
      </c>
      <c r="AZ307" s="80">
        <f>IF(AY307=1,COUNTIFS(R_Emp,D307,R_SAbs,"&lt;"&amp;AX307,R_EAbs,"&gt;"&amp;AW307,R_OKey,1)-1,0)</f>
        <v>0</v>
      </c>
      <c r="BA307" s="80">
        <f>IF(AY307=1,COUNTIFS(R_Emp,"&lt;&gt;"&amp;D307,R_SAbs,"&lt;"&amp;AX307,R_EAbs,"&gt;"&amp;AW307,R_OKey,1),0)</f>
        <v>0</v>
      </c>
      <c r="BB307" s="80">
        <f>IF(AND(AB307=1,D307="proMX"),IF(AND(MOD(Z307,CFG_BLK)=0,MOD(AA307,CFG_BLK)=0,MOD(AG307,CFG_BLK)=0,AG307&gt;0),1,0),1)</f>
        <v>1</v>
      </c>
      <c r="BC307" s="80" t="str">
        <f>IF(Y307=0,"",IF(NOT(ISNUMBER(B307)),"Falta fecha o fecha inválida",IF(D307="","Falta empresa",IF(AND(D307&lt;&gt;"Malcolm",D307&lt;&gt;"proMX"),"Empresa inválida",IF(OR(INT(B307)&lt;CFG_PSTART,INT(B307)&gt;CFG_PEND),"Fecha fuera del período",IF(OR(NOT(ISNUMBER(Z307)),NOT(ISNUMBER(AA307))),"Falta hora inicio/fin o formato inválido",IF(AB307=0,"Hora inicio = hora fin",IF(AE307&lt;0,"Descanso inválido",IF(AE307&gt;=AD307,"Descanso ≥ duración",IF(AV307=1,"Registro duplicado",IF(AZ307&gt;0,"Se superpone con otro registro "&amp;D307,IF(BB307=0,"inicio, fin y duración neta deben ser múltiplos de "&amp;CFG_BLK&amp;" min",""))))))))))))</f>
        <v/>
      </c>
      <c r="BD307" s="80">
        <f>IF(AND(Y307=1,BC307=""),1,0)</f>
        <v>0</v>
      </c>
      <c r="BE307" s="80">
        <f>IF(AND(BD307=1,AU307=1),1,0)</f>
        <v>0</v>
      </c>
      <c r="BF307" s="80" t="str">
        <f>IF(AND(D307="proMX",BD307=1),IF(R307="","Draft",R307),"")</f>
        <v/>
      </c>
      <c r="BG307" s="80">
        <f>IF(BD307=1,ROUND(AG307/60,6),0)</f>
        <v>0</v>
      </c>
      <c r="BH307" s="80">
        <f>IF(BE307=1,ROUND(AG307/60,6),0)</f>
        <v>0</v>
      </c>
      <c r="BI307" s="80">
        <f>IF(BE307=1,ROUND(AP307/60,6),0)</f>
        <v>0</v>
      </c>
      <c r="BJ307" s="80">
        <f>IF(BE307=1,ROUND(AQ307/60,6),0)</f>
        <v>0</v>
      </c>
      <c r="BK307" s="80">
        <f>IF(BE307=1,ROUND((AR307+AS307)/60,6),0)</f>
        <v>0</v>
      </c>
      <c r="BL307" s="80">
        <f>ROUND(BH307-BK307,6)</f>
        <v>0</v>
      </c>
      <c r="BM307" s="80">
        <f>IF(BE307=1,ROUND(AR307/60,6),0)</f>
        <v>0</v>
      </c>
      <c r="BN307" s="80">
        <f>ROUND(BI307-BM307,6)</f>
        <v>0</v>
      </c>
      <c r="BO307" s="80">
        <f>IF(BE307=1,ROUND(AS307/60,6),0)</f>
        <v>0</v>
      </c>
      <c r="BP307" s="80">
        <f>ROUND(BJ307-BO307,6)</f>
        <v>0</v>
      </c>
      <c r="BQ307" s="80">
        <f>IF(BE307=1,AW307,0)</f>
        <v>0</v>
      </c>
      <c r="BR307" s="80">
        <f>IF(BE307=1,AX307,0)</f>
        <v>0</v>
      </c>
      <c r="BS307" s="80">
        <f>IF(AND(BE307=1,D307="Malcolm",BA307&gt;0),MIN(BH307,SUMPRODUCT((R_Emp="proMX")*(R_EN&gt;0)*((R_EN-(R_EN&gt;BR307)*(R_EN-BR307))&gt;(R_SN+(R_SN&lt;BQ307)*(BQ307-R_SN)))*((R_EN-(R_EN&gt;BR307)*(R_EN-BR307))-(R_SN+(R_SN&lt;BQ307)*(BQ307-R_SN))))/60),0)</f>
        <v>0</v>
      </c>
      <c r="BT307" s="80">
        <f>IF(AND(BE307=1,D307="proMX"),ROUND(BI307*CFG_RATE+BJ307*CFG_OTRATE,6),0)</f>
        <v>0</v>
      </c>
      <c r="BU307" s="80">
        <f>IF(AND(BD307=1,D307="proMX"),ROUND(AG307/CFG_BLK,6),0)</f>
        <v>0</v>
      </c>
      <c r="BV307" s="80" t="str">
        <f>IF(BF307="Approved",IF(ISNUMBER(T307),INT(T307),INT(B307)),"")</f>
        <v/>
      </c>
      <c r="BW307" s="80">
        <f>IF(ISNUMBER(B307),IF(DB_MON="Todos",1,IF(AND(INT(B307)&gt;=DB_MS,INT(B307)&lt;=DB_ME),1,0)),0)</f>
        <v>0</v>
      </c>
      <c r="BX307" s="80">
        <f>IF(DB_PROJ="Todos",1,IF(E307&amp;""=DB_PROJ&amp;"",1,0))</f>
        <v>1</v>
      </c>
      <c r="BY307" s="80">
        <f>BW307*BX307</f>
        <v>0</v>
      </c>
      <c r="BZ307" s="80" t="str">
        <f>IF(Y307=1,F307&amp;IF(AND(F307&amp;""&lt;&gt;"",E307&amp;""&lt;&gt;"")," · ","")&amp;E307,"")</f>
        <v/>
      </c>
      <c r="CA307" s="80" t="str">
        <f>IF(AND(BD307=1,E307&amp;""&lt;&gt;""),IF(COUNTIFS($E$5:E306,E307,$BD$5:BD306,1)=0,MAX($CA$5:CA306)+1,""),"")</f>
        <v/>
      </c>
      <c r="CB307" s="80" t="str">
        <f>IF(AND(BE307=1,D307="Malcolm",E307&amp;""&lt;&gt;""),IF(COUNTIFS($D$5:D306,"Malcolm",$E$5:E306,E307,$BE$5:BE306,1)=0,MAX($CB$5:CB306)+1,""),"")</f>
        <v/>
      </c>
      <c r="CC307" s="80" t="str">
        <f>IF(AND(BD307=1,D307="proMX",E307&amp;""&lt;&gt;""),IF(COUNTIFS($D$5:D306,"proMX",$E$5:E306,E307,$BD$5:BD306,1)=0,MAX($CC$5:CC306)+1,""),"")</f>
        <v/>
      </c>
      <c r="CD307" s="80" t="str">
        <f>IF(AND(BE307=1,D307="Malcolm",F307&amp;""&lt;&gt;""),IF(COUNTIFS($D$5:D306,"Malcolm",$F$5:F306,F307,$BE$5:BE306,1)=0,MAX($CD$5:CD306)+1,""),"")</f>
        <v/>
      </c>
      <c r="CE307" s="80" t="str">
        <f>IF(AND(BD307=1,D307="proMX",F307&amp;""&lt;&gt;""),IF(COUNTIFS($D$5:D306,"proMX",$F$5:F306,F307,$BD$5:BD306,1)=0,MAX($CE$5:CE306)+1,""),"")</f>
        <v/>
      </c>
      <c r="CF307" s="80" t="str">
        <f>IF(AND(D307="proMX",BD307=1),IF(OR(BF307="Draft",BF307="Submitted",BF307="Returned",BF307="Recall Requested"),MAX($CF$5:CF306)+1,""),"")</f>
        <v/>
      </c>
      <c r="CG307" s="80">
        <f>IF(BD307=0,0,IF(D307="Malcolm",1,MATCH(BF307,{"Draft","Submitted","Approved","Returned","Recall Requested","Cancelled"},0)+1))</f>
        <v>0</v>
      </c>
      <c r="CH307" s="80">
        <f>IF(AND(BF307="Submitted",ISNUMBER(V307)),IF(V307&gt;CFG_MAXD,1,0),0)</f>
        <v>0</v>
      </c>
    </row>
    <row r="308">
      <c r="A308" s="71" t="str">
        <f>IF(Y308=1,ROW()-5,"")</f>
        <v/>
      </c>
      <c r="B308" s="72" t="n"/>
      <c r="C308" s="71" t="str">
        <f>IF(ISNUMBER(B308),CHOOSE(WEEKDAY(B308,2),"Lun","Mar","Mié","Jue","Vie","Sáb","Dom"),"")</f>
        <v/>
      </c>
      <c r="D308" s="73" t="n"/>
      <c r="E308" s="74" t="n"/>
      <c r="F308" s="74" t="n"/>
      <c r="G308" s="74" t="n"/>
      <c r="H308" s="75" t="n"/>
      <c r="I308" s="75" t="n"/>
      <c r="J308" s="76" t="n"/>
      <c r="K308" s="77" t="str">
        <f>IF(AB308=1,ROUND(AG308/60,4),"")</f>
        <v/>
      </c>
      <c r="L308" s="77" t="str">
        <f>IF(BD308=1,ROUND(AP308/60,4),"")</f>
        <v/>
      </c>
      <c r="M308" s="77" t="str">
        <f>IF(BD308=1,ROUND(AQ308/60,4),"")</f>
        <v/>
      </c>
      <c r="N308" s="71" t="str">
        <f>IF(AND(D308="proMX",AB308=1),ROUND(AG308/CFG_BLK,2),"")</f>
        <v/>
      </c>
      <c r="O308" s="77" t="str">
        <f>IF(D308="proMX",IF(BD308=1,ROUND(AG308/60,4),0),"")</f>
        <v/>
      </c>
      <c r="P308" s="78" t="str">
        <f>IF(Y308=0,"",IF(BD308=1,"OK",IF(D308="proMX","Revisar bloques: ","Revisar: ")&amp;BC308))</f>
        <v/>
      </c>
      <c r="Q308" s="78" t="str">
        <f>IF(NOT(ISNUMBER(B308)),"",IF(COUNTIFS(FER_F,INT(B308))&gt;0,"Feriado"&amp;IF(AH308=1," (laborable)"," (no laborable)"),IF(AH308=1,"Laborable",IF(WEEKDAY(B308,2)&gt;5,"Fin de semana","No laborable"))))</f>
        <v/>
      </c>
      <c r="R308" s="73" t="n"/>
      <c r="S308" s="72" t="n"/>
      <c r="T308" s="72" t="n"/>
      <c r="U308" s="74" t="n"/>
      <c r="V308" s="79" t="str">
        <f>IF(AND(D308="proMX",OR(R308="Submitted",R308="Recall Requested"),ISNUMBER(S308)),CFG_TODAY-INT(S308),"")</f>
        <v/>
      </c>
      <c r="W308" s="78" t="str">
        <f>IF(BD308=0,"",IF(BA308&gt;0,"⚠ Se superpone con un registro de la otra empresa",IF(D308="Malcolm",IF(COUNTA(R308,S308,T308)&gt;0,"Estado/fechas proMX se ignoran en Malcolm",""),IF(BF308="Cancelled","Cancelado: excluido de totales",IF(R308="","Sin estado: se trata como Draft",IF(BF308="Submitted",IF(ISNUMBER(V308),IF(V308&gt;CFG_MAXD,"⚠ "&amp;V308&amp;" días en Submitted (máx. "&amp;CFG_MAXD&amp;")",""),"Falta fecha de envío"),IF(BF308="Returned","⚠ Devuelto: corregir y reenviar",IF(BF308="Recall Requested","Retirada solicitada: pendiente",IF(AND(BF308="Approved",NOT(ISNUMBER(T308))),"Falta fecha de aprobación",IF(AND(ISNUMBER(S308),ISNUMBER(T308),T308&lt;S308),"Aprobación anterior al envío","")))))))))</f>
        <v/>
      </c>
      <c r="Y308" s="80">
        <f>IF(COUNTA(B308,D308,E308,F308,G308,H308,I308,J308,R308,S308,T308)&gt;0,1,0)</f>
        <v>0</v>
      </c>
      <c r="Z308" s="80" t="str">
        <f>IF(AND(ISNUMBER(H308),H308&gt;=0,H308&lt;1),ROUND(H308*1440,0),"")</f>
        <v/>
      </c>
      <c r="AA308" s="80" t="str">
        <f>IF(AND(ISNUMBER(I308),I308&gt;=0,I308&lt;1),ROUND(I308*1440,0),"")</f>
        <v/>
      </c>
      <c r="AB308" s="80">
        <f>IF(AND(ISNUMBER(B308),D308&lt;&gt;"",ISNUMBER(Z308),ISNUMBER(AA308)),IF(Z308=AA308,0,1),0)</f>
        <v>0</v>
      </c>
      <c r="AC308" s="80">
        <f>IF(AB308=1,IF(AA308&lt;Z308,1,0),0)</f>
        <v>0</v>
      </c>
      <c r="AD308" s="80">
        <f>IF(AB308=1,IF(AC308=1,1440-Z308+AA308,AA308-Z308),0)</f>
        <v>0</v>
      </c>
      <c r="AE308" s="80">
        <f>IF(J308="",0,IF(ISNUMBER(J308),J308,-1))</f>
        <v>0</v>
      </c>
      <c r="AF308" s="80">
        <f>MIN(MAX(0,AE308),AD308)</f>
        <v>0</v>
      </c>
      <c r="AG308" s="80">
        <f>MAX(0,AD308-MAX(0,AE308))</f>
        <v>0</v>
      </c>
      <c r="AH308" s="80">
        <f>IF(ISNUMBER(B308),IF(AND(INDEX(CFG_WDAYS,WEEKDAY(INT(B308),2))="Sí",IF(D308="proMX",COUNTIFS(FER_F,INT(B308),FER_NLP,"Sí"),COUNTIFS(FER_F,INT(B308),FER_NLM,"Sí"))=0),1,0),0)</f>
        <v>0</v>
      </c>
      <c r="AI308" s="80">
        <f>IF(AC308=1,IF(AND(INDEX(CFG_WDAYS,WEEKDAY(INT(B308)+1,2))="Sí",IF(D308="proMX",COUNTIFS(FER_F,INT(B308)+1,FER_NLP,"Sí"),COUNTIFS(FER_F,INT(B308)+1,FER_NLM,"Sí"))=0),1,0),0)</f>
        <v>0</v>
      </c>
      <c r="AJ308" s="80">
        <f>IF(AC308=1,1440-Z308,AD308)</f>
        <v>0</v>
      </c>
      <c r="AK308" s="80">
        <f>IF(AND(AB308=1,AH308=1),MAX(0,MIN(IF(AC308=1,1440,AA308),CFG_WEM)-MAX(Z308,CFG_WSM)),0)</f>
        <v>0</v>
      </c>
      <c r="AL308" s="80">
        <f>IF(AND(AC308=1,AI308=1),MAX(0,MIN(AA308,CFG_WEM)-CFG_WSM),0)</f>
        <v>0</v>
      </c>
      <c r="AM308" s="80">
        <f>AK308+AL308</f>
        <v>0</v>
      </c>
      <c r="AN308" s="80">
        <f>IF(CFG_BRK="Proporcional",IF(AD308=0,0,AF308*AM308/AD308),IF(CFG_BRK="Extras primero",MIN(AM308,MAX(0,AF308-(AD308-AM308))),MIN(AF308,AM308)))</f>
        <v>0</v>
      </c>
      <c r="AO308" s="80">
        <f>AF308-AN308</f>
        <v>0</v>
      </c>
      <c r="AP308" s="80">
        <f>AM308-AN308</f>
        <v>0</v>
      </c>
      <c r="AQ308" s="80">
        <f>AD308-AM308-AO308</f>
        <v>0</v>
      </c>
      <c r="AR308" s="80">
        <f>IF(AM308=0,0,AK308-AN308*AK308/AM308)</f>
        <v>0</v>
      </c>
      <c r="AS308" s="80">
        <f>IF(AD308-AM308=0,0,(AJ308-AK308)-AO308*(AJ308-AK308)/(AD308-AM308))</f>
        <v>0</v>
      </c>
      <c r="AT308" s="80" t="str">
        <f>IF(AC308=1,INT(B308)+1,"")</f>
        <v/>
      </c>
      <c r="AU308" s="80">
        <f>IF(AND(D308="proMX",R308="Cancelled"),0,1)</f>
        <v>1</v>
      </c>
      <c r="AV308" s="80">
        <f>IF(AND(AB308=1,AU308=1),IF(COUNTIFS($D$5:D307,D308,$B$5:B307,B308,$Z$5:Z307,Z308,$AA$5:AA307,AA308,$F$5:F307,F308&amp;"",$AU$5:AU307,1)&gt;0,1,0),0)</f>
        <v>0</v>
      </c>
      <c r="AW308" s="80" t="str">
        <f>IF(AB308=1,INT(B308)*1440+Z308,"")</f>
        <v/>
      </c>
      <c r="AX308" s="80" t="str">
        <f>IF(AB308=1,AW308+AD308,"")</f>
        <v/>
      </c>
      <c r="AY308" s="80">
        <f>IF(AND(AB308=1,AV308=0,AU308=1),1,0)</f>
        <v>0</v>
      </c>
      <c r="AZ308" s="80">
        <f>IF(AY308=1,COUNTIFS(R_Emp,D308,R_SAbs,"&lt;"&amp;AX308,R_EAbs,"&gt;"&amp;AW308,R_OKey,1)-1,0)</f>
        <v>0</v>
      </c>
      <c r="BA308" s="80">
        <f>IF(AY308=1,COUNTIFS(R_Emp,"&lt;&gt;"&amp;D308,R_SAbs,"&lt;"&amp;AX308,R_EAbs,"&gt;"&amp;AW308,R_OKey,1),0)</f>
        <v>0</v>
      </c>
      <c r="BB308" s="80">
        <f>IF(AND(AB308=1,D308="proMX"),IF(AND(MOD(Z308,CFG_BLK)=0,MOD(AA308,CFG_BLK)=0,MOD(AG308,CFG_BLK)=0,AG308&gt;0),1,0),1)</f>
        <v>1</v>
      </c>
      <c r="BC308" s="80" t="str">
        <f>IF(Y308=0,"",IF(NOT(ISNUMBER(B308)),"Falta fecha o fecha inválida",IF(D308="","Falta empresa",IF(AND(D308&lt;&gt;"Malcolm",D308&lt;&gt;"proMX"),"Empresa inválida",IF(OR(INT(B308)&lt;CFG_PSTART,INT(B308)&gt;CFG_PEND),"Fecha fuera del período",IF(OR(NOT(ISNUMBER(Z308)),NOT(ISNUMBER(AA308))),"Falta hora inicio/fin o formato inválido",IF(AB308=0,"Hora inicio = hora fin",IF(AE308&lt;0,"Descanso inválido",IF(AE308&gt;=AD308,"Descanso ≥ duración",IF(AV308=1,"Registro duplicado",IF(AZ308&gt;0,"Se superpone con otro registro "&amp;D308,IF(BB308=0,"inicio, fin y duración neta deben ser múltiplos de "&amp;CFG_BLK&amp;" min",""))))))))))))</f>
        <v/>
      </c>
      <c r="BD308" s="80">
        <f>IF(AND(Y308=1,BC308=""),1,0)</f>
        <v>0</v>
      </c>
      <c r="BE308" s="80">
        <f>IF(AND(BD308=1,AU308=1),1,0)</f>
        <v>0</v>
      </c>
      <c r="BF308" s="80" t="str">
        <f>IF(AND(D308="proMX",BD308=1),IF(R308="","Draft",R308),"")</f>
        <v/>
      </c>
      <c r="BG308" s="80">
        <f>IF(BD308=1,ROUND(AG308/60,6),0)</f>
        <v>0</v>
      </c>
      <c r="BH308" s="80">
        <f>IF(BE308=1,ROUND(AG308/60,6),0)</f>
        <v>0</v>
      </c>
      <c r="BI308" s="80">
        <f>IF(BE308=1,ROUND(AP308/60,6),0)</f>
        <v>0</v>
      </c>
      <c r="BJ308" s="80">
        <f>IF(BE308=1,ROUND(AQ308/60,6),0)</f>
        <v>0</v>
      </c>
      <c r="BK308" s="80">
        <f>IF(BE308=1,ROUND((AR308+AS308)/60,6),0)</f>
        <v>0</v>
      </c>
      <c r="BL308" s="80">
        <f>ROUND(BH308-BK308,6)</f>
        <v>0</v>
      </c>
      <c r="BM308" s="80">
        <f>IF(BE308=1,ROUND(AR308/60,6),0)</f>
        <v>0</v>
      </c>
      <c r="BN308" s="80">
        <f>ROUND(BI308-BM308,6)</f>
        <v>0</v>
      </c>
      <c r="BO308" s="80">
        <f>IF(BE308=1,ROUND(AS308/60,6),0)</f>
        <v>0</v>
      </c>
      <c r="BP308" s="80">
        <f>ROUND(BJ308-BO308,6)</f>
        <v>0</v>
      </c>
      <c r="BQ308" s="80">
        <f>IF(BE308=1,AW308,0)</f>
        <v>0</v>
      </c>
      <c r="BR308" s="80">
        <f>IF(BE308=1,AX308,0)</f>
        <v>0</v>
      </c>
      <c r="BS308" s="80">
        <f>IF(AND(BE308=1,D308="Malcolm",BA308&gt;0),MIN(BH308,SUMPRODUCT((R_Emp="proMX")*(R_EN&gt;0)*((R_EN-(R_EN&gt;BR308)*(R_EN-BR308))&gt;(R_SN+(R_SN&lt;BQ308)*(BQ308-R_SN)))*((R_EN-(R_EN&gt;BR308)*(R_EN-BR308))-(R_SN+(R_SN&lt;BQ308)*(BQ308-R_SN))))/60),0)</f>
        <v>0</v>
      </c>
      <c r="BT308" s="80">
        <f>IF(AND(BE308=1,D308="proMX"),ROUND(BI308*CFG_RATE+BJ308*CFG_OTRATE,6),0)</f>
        <v>0</v>
      </c>
      <c r="BU308" s="80">
        <f>IF(AND(BD308=1,D308="proMX"),ROUND(AG308/CFG_BLK,6),0)</f>
        <v>0</v>
      </c>
      <c r="BV308" s="80" t="str">
        <f>IF(BF308="Approved",IF(ISNUMBER(T308),INT(T308),INT(B308)),"")</f>
        <v/>
      </c>
      <c r="BW308" s="80">
        <f>IF(ISNUMBER(B308),IF(DB_MON="Todos",1,IF(AND(INT(B308)&gt;=DB_MS,INT(B308)&lt;=DB_ME),1,0)),0)</f>
        <v>0</v>
      </c>
      <c r="BX308" s="80">
        <f>IF(DB_PROJ="Todos",1,IF(E308&amp;""=DB_PROJ&amp;"",1,0))</f>
        <v>1</v>
      </c>
      <c r="BY308" s="80">
        <f>BW308*BX308</f>
        <v>0</v>
      </c>
      <c r="BZ308" s="80" t="str">
        <f>IF(Y308=1,F308&amp;IF(AND(F308&amp;""&lt;&gt;"",E308&amp;""&lt;&gt;"")," · ","")&amp;E308,"")</f>
        <v/>
      </c>
      <c r="CA308" s="80" t="str">
        <f>IF(AND(BD308=1,E308&amp;""&lt;&gt;""),IF(COUNTIFS($E$5:E307,E308,$BD$5:BD307,1)=0,MAX($CA$5:CA307)+1,""),"")</f>
        <v/>
      </c>
      <c r="CB308" s="80" t="str">
        <f>IF(AND(BE308=1,D308="Malcolm",E308&amp;""&lt;&gt;""),IF(COUNTIFS($D$5:D307,"Malcolm",$E$5:E307,E308,$BE$5:BE307,1)=0,MAX($CB$5:CB307)+1,""),"")</f>
        <v/>
      </c>
      <c r="CC308" s="80" t="str">
        <f>IF(AND(BD308=1,D308="proMX",E308&amp;""&lt;&gt;""),IF(COUNTIFS($D$5:D307,"proMX",$E$5:E307,E308,$BD$5:BD307,1)=0,MAX($CC$5:CC307)+1,""),"")</f>
        <v/>
      </c>
      <c r="CD308" s="80" t="str">
        <f>IF(AND(BE308=1,D308="Malcolm",F308&amp;""&lt;&gt;""),IF(COUNTIFS($D$5:D307,"Malcolm",$F$5:F307,F308,$BE$5:BE307,1)=0,MAX($CD$5:CD307)+1,""),"")</f>
        <v/>
      </c>
      <c r="CE308" s="80" t="str">
        <f>IF(AND(BD308=1,D308="proMX",F308&amp;""&lt;&gt;""),IF(COUNTIFS($D$5:D307,"proMX",$F$5:F307,F308,$BD$5:BD307,1)=0,MAX($CE$5:CE307)+1,""),"")</f>
        <v/>
      </c>
      <c r="CF308" s="80" t="str">
        <f>IF(AND(D308="proMX",BD308=1),IF(OR(BF308="Draft",BF308="Submitted",BF308="Returned",BF308="Recall Requested"),MAX($CF$5:CF307)+1,""),"")</f>
        <v/>
      </c>
      <c r="CG308" s="80">
        <f>IF(BD308=0,0,IF(D308="Malcolm",1,MATCH(BF308,{"Draft","Submitted","Approved","Returned","Recall Requested","Cancelled"},0)+1))</f>
        <v>0</v>
      </c>
      <c r="CH308" s="80">
        <f>IF(AND(BF308="Submitted",ISNUMBER(V308)),IF(V308&gt;CFG_MAXD,1,0),0)</f>
        <v>0</v>
      </c>
    </row>
    <row r="309">
      <c r="A309" s="71" t="str">
        <f>IF(Y309=1,ROW()-5,"")</f>
        <v/>
      </c>
      <c r="B309" s="72" t="n"/>
      <c r="C309" s="71" t="str">
        <f>IF(ISNUMBER(B309),CHOOSE(WEEKDAY(B309,2),"Lun","Mar","Mié","Jue","Vie","Sáb","Dom"),"")</f>
        <v/>
      </c>
      <c r="D309" s="73" t="n"/>
      <c r="E309" s="74" t="n"/>
      <c r="F309" s="74" t="n"/>
      <c r="G309" s="74" t="n"/>
      <c r="H309" s="75" t="n"/>
      <c r="I309" s="75" t="n"/>
      <c r="J309" s="76" t="n"/>
      <c r="K309" s="77" t="str">
        <f>IF(AB309=1,ROUND(AG309/60,4),"")</f>
        <v/>
      </c>
      <c r="L309" s="77" t="str">
        <f>IF(BD309=1,ROUND(AP309/60,4),"")</f>
        <v/>
      </c>
      <c r="M309" s="77" t="str">
        <f>IF(BD309=1,ROUND(AQ309/60,4),"")</f>
        <v/>
      </c>
      <c r="N309" s="71" t="str">
        <f>IF(AND(D309="proMX",AB309=1),ROUND(AG309/CFG_BLK,2),"")</f>
        <v/>
      </c>
      <c r="O309" s="77" t="str">
        <f>IF(D309="proMX",IF(BD309=1,ROUND(AG309/60,4),0),"")</f>
        <v/>
      </c>
      <c r="P309" s="78" t="str">
        <f>IF(Y309=0,"",IF(BD309=1,"OK",IF(D309="proMX","Revisar bloques: ","Revisar: ")&amp;BC309))</f>
        <v/>
      </c>
      <c r="Q309" s="78" t="str">
        <f>IF(NOT(ISNUMBER(B309)),"",IF(COUNTIFS(FER_F,INT(B309))&gt;0,"Feriado"&amp;IF(AH309=1," (laborable)"," (no laborable)"),IF(AH309=1,"Laborable",IF(WEEKDAY(B309,2)&gt;5,"Fin de semana","No laborable"))))</f>
        <v/>
      </c>
      <c r="R309" s="73" t="n"/>
      <c r="S309" s="72" t="n"/>
      <c r="T309" s="72" t="n"/>
      <c r="U309" s="74" t="n"/>
      <c r="V309" s="79" t="str">
        <f>IF(AND(D309="proMX",OR(R309="Submitted",R309="Recall Requested"),ISNUMBER(S309)),CFG_TODAY-INT(S309),"")</f>
        <v/>
      </c>
      <c r="W309" s="78" t="str">
        <f>IF(BD309=0,"",IF(BA309&gt;0,"⚠ Se superpone con un registro de la otra empresa",IF(D309="Malcolm",IF(COUNTA(R309,S309,T309)&gt;0,"Estado/fechas proMX se ignoran en Malcolm",""),IF(BF309="Cancelled","Cancelado: excluido de totales",IF(R309="","Sin estado: se trata como Draft",IF(BF309="Submitted",IF(ISNUMBER(V309),IF(V309&gt;CFG_MAXD,"⚠ "&amp;V309&amp;" días en Submitted (máx. "&amp;CFG_MAXD&amp;")",""),"Falta fecha de envío"),IF(BF309="Returned","⚠ Devuelto: corregir y reenviar",IF(BF309="Recall Requested","Retirada solicitada: pendiente",IF(AND(BF309="Approved",NOT(ISNUMBER(T309))),"Falta fecha de aprobación",IF(AND(ISNUMBER(S309),ISNUMBER(T309),T309&lt;S309),"Aprobación anterior al envío","")))))))))</f>
        <v/>
      </c>
      <c r="Y309" s="80">
        <f>IF(COUNTA(B309,D309,E309,F309,G309,H309,I309,J309,R309,S309,T309)&gt;0,1,0)</f>
        <v>0</v>
      </c>
      <c r="Z309" s="80" t="str">
        <f>IF(AND(ISNUMBER(H309),H309&gt;=0,H309&lt;1),ROUND(H309*1440,0),"")</f>
        <v/>
      </c>
      <c r="AA309" s="80" t="str">
        <f>IF(AND(ISNUMBER(I309),I309&gt;=0,I309&lt;1),ROUND(I309*1440,0),"")</f>
        <v/>
      </c>
      <c r="AB309" s="80">
        <f>IF(AND(ISNUMBER(B309),D309&lt;&gt;"",ISNUMBER(Z309),ISNUMBER(AA309)),IF(Z309=AA309,0,1),0)</f>
        <v>0</v>
      </c>
      <c r="AC309" s="80">
        <f>IF(AB309=1,IF(AA309&lt;Z309,1,0),0)</f>
        <v>0</v>
      </c>
      <c r="AD309" s="80">
        <f>IF(AB309=1,IF(AC309=1,1440-Z309+AA309,AA309-Z309),0)</f>
        <v>0</v>
      </c>
      <c r="AE309" s="80">
        <f>IF(J309="",0,IF(ISNUMBER(J309),J309,-1))</f>
        <v>0</v>
      </c>
      <c r="AF309" s="80">
        <f>MIN(MAX(0,AE309),AD309)</f>
        <v>0</v>
      </c>
      <c r="AG309" s="80">
        <f>MAX(0,AD309-MAX(0,AE309))</f>
        <v>0</v>
      </c>
      <c r="AH309" s="80">
        <f>IF(ISNUMBER(B309),IF(AND(INDEX(CFG_WDAYS,WEEKDAY(INT(B309),2))="Sí",IF(D309="proMX",COUNTIFS(FER_F,INT(B309),FER_NLP,"Sí"),COUNTIFS(FER_F,INT(B309),FER_NLM,"Sí"))=0),1,0),0)</f>
        <v>0</v>
      </c>
      <c r="AI309" s="80">
        <f>IF(AC309=1,IF(AND(INDEX(CFG_WDAYS,WEEKDAY(INT(B309)+1,2))="Sí",IF(D309="proMX",COUNTIFS(FER_F,INT(B309)+1,FER_NLP,"Sí"),COUNTIFS(FER_F,INT(B309)+1,FER_NLM,"Sí"))=0),1,0),0)</f>
        <v>0</v>
      </c>
      <c r="AJ309" s="80">
        <f>IF(AC309=1,1440-Z309,AD309)</f>
        <v>0</v>
      </c>
      <c r="AK309" s="80">
        <f>IF(AND(AB309=1,AH309=1),MAX(0,MIN(IF(AC309=1,1440,AA309),CFG_WEM)-MAX(Z309,CFG_WSM)),0)</f>
        <v>0</v>
      </c>
      <c r="AL309" s="80">
        <f>IF(AND(AC309=1,AI309=1),MAX(0,MIN(AA309,CFG_WEM)-CFG_WSM),0)</f>
        <v>0</v>
      </c>
      <c r="AM309" s="80">
        <f>AK309+AL309</f>
        <v>0</v>
      </c>
      <c r="AN309" s="80">
        <f>IF(CFG_BRK="Proporcional",IF(AD309=0,0,AF309*AM309/AD309),IF(CFG_BRK="Extras primero",MIN(AM309,MAX(0,AF309-(AD309-AM309))),MIN(AF309,AM309)))</f>
        <v>0</v>
      </c>
      <c r="AO309" s="80">
        <f>AF309-AN309</f>
        <v>0</v>
      </c>
      <c r="AP309" s="80">
        <f>AM309-AN309</f>
        <v>0</v>
      </c>
      <c r="AQ309" s="80">
        <f>AD309-AM309-AO309</f>
        <v>0</v>
      </c>
      <c r="AR309" s="80">
        <f>IF(AM309=0,0,AK309-AN309*AK309/AM309)</f>
        <v>0</v>
      </c>
      <c r="AS309" s="80">
        <f>IF(AD309-AM309=0,0,(AJ309-AK309)-AO309*(AJ309-AK309)/(AD309-AM309))</f>
        <v>0</v>
      </c>
      <c r="AT309" s="80" t="str">
        <f>IF(AC309=1,INT(B309)+1,"")</f>
        <v/>
      </c>
      <c r="AU309" s="80">
        <f>IF(AND(D309="proMX",R309="Cancelled"),0,1)</f>
        <v>1</v>
      </c>
      <c r="AV309" s="80">
        <f>IF(AND(AB309=1,AU309=1),IF(COUNTIFS($D$5:D308,D309,$B$5:B308,B309,$Z$5:Z308,Z309,$AA$5:AA308,AA309,$F$5:F308,F309&amp;"",$AU$5:AU308,1)&gt;0,1,0),0)</f>
        <v>0</v>
      </c>
      <c r="AW309" s="80" t="str">
        <f>IF(AB309=1,INT(B309)*1440+Z309,"")</f>
        <v/>
      </c>
      <c r="AX309" s="80" t="str">
        <f>IF(AB309=1,AW309+AD309,"")</f>
        <v/>
      </c>
      <c r="AY309" s="80">
        <f>IF(AND(AB309=1,AV309=0,AU309=1),1,0)</f>
        <v>0</v>
      </c>
      <c r="AZ309" s="80">
        <f>IF(AY309=1,COUNTIFS(R_Emp,D309,R_SAbs,"&lt;"&amp;AX309,R_EAbs,"&gt;"&amp;AW309,R_OKey,1)-1,0)</f>
        <v>0</v>
      </c>
      <c r="BA309" s="80">
        <f>IF(AY309=1,COUNTIFS(R_Emp,"&lt;&gt;"&amp;D309,R_SAbs,"&lt;"&amp;AX309,R_EAbs,"&gt;"&amp;AW309,R_OKey,1),0)</f>
        <v>0</v>
      </c>
      <c r="BB309" s="80">
        <f>IF(AND(AB309=1,D309="proMX"),IF(AND(MOD(Z309,CFG_BLK)=0,MOD(AA309,CFG_BLK)=0,MOD(AG309,CFG_BLK)=0,AG309&gt;0),1,0),1)</f>
        <v>1</v>
      </c>
      <c r="BC309" s="80" t="str">
        <f>IF(Y309=0,"",IF(NOT(ISNUMBER(B309)),"Falta fecha o fecha inválida",IF(D309="","Falta empresa",IF(AND(D309&lt;&gt;"Malcolm",D309&lt;&gt;"proMX"),"Empresa inválida",IF(OR(INT(B309)&lt;CFG_PSTART,INT(B309)&gt;CFG_PEND),"Fecha fuera del período",IF(OR(NOT(ISNUMBER(Z309)),NOT(ISNUMBER(AA309))),"Falta hora inicio/fin o formato inválido",IF(AB309=0,"Hora inicio = hora fin",IF(AE309&lt;0,"Descanso inválido",IF(AE309&gt;=AD309,"Descanso ≥ duración",IF(AV309=1,"Registro duplicado",IF(AZ309&gt;0,"Se superpone con otro registro "&amp;D309,IF(BB309=0,"inicio, fin y duración neta deben ser múltiplos de "&amp;CFG_BLK&amp;" min",""))))))))))))</f>
        <v/>
      </c>
      <c r="BD309" s="80">
        <f>IF(AND(Y309=1,BC309=""),1,0)</f>
        <v>0</v>
      </c>
      <c r="BE309" s="80">
        <f>IF(AND(BD309=1,AU309=1),1,0)</f>
        <v>0</v>
      </c>
      <c r="BF309" s="80" t="str">
        <f>IF(AND(D309="proMX",BD309=1),IF(R309="","Draft",R309),"")</f>
        <v/>
      </c>
      <c r="BG309" s="80">
        <f>IF(BD309=1,ROUND(AG309/60,6),0)</f>
        <v>0</v>
      </c>
      <c r="BH309" s="80">
        <f>IF(BE309=1,ROUND(AG309/60,6),0)</f>
        <v>0</v>
      </c>
      <c r="BI309" s="80">
        <f>IF(BE309=1,ROUND(AP309/60,6),0)</f>
        <v>0</v>
      </c>
      <c r="BJ309" s="80">
        <f>IF(BE309=1,ROUND(AQ309/60,6),0)</f>
        <v>0</v>
      </c>
      <c r="BK309" s="80">
        <f>IF(BE309=1,ROUND((AR309+AS309)/60,6),0)</f>
        <v>0</v>
      </c>
      <c r="BL309" s="80">
        <f>ROUND(BH309-BK309,6)</f>
        <v>0</v>
      </c>
      <c r="BM309" s="80">
        <f>IF(BE309=1,ROUND(AR309/60,6),0)</f>
        <v>0</v>
      </c>
      <c r="BN309" s="80">
        <f>ROUND(BI309-BM309,6)</f>
        <v>0</v>
      </c>
      <c r="BO309" s="80">
        <f>IF(BE309=1,ROUND(AS309/60,6),0)</f>
        <v>0</v>
      </c>
      <c r="BP309" s="80">
        <f>ROUND(BJ309-BO309,6)</f>
        <v>0</v>
      </c>
      <c r="BQ309" s="80">
        <f>IF(BE309=1,AW309,0)</f>
        <v>0</v>
      </c>
      <c r="BR309" s="80">
        <f>IF(BE309=1,AX309,0)</f>
        <v>0</v>
      </c>
      <c r="BS309" s="80">
        <f>IF(AND(BE309=1,D309="Malcolm",BA309&gt;0),MIN(BH309,SUMPRODUCT((R_Emp="proMX")*(R_EN&gt;0)*((R_EN-(R_EN&gt;BR309)*(R_EN-BR309))&gt;(R_SN+(R_SN&lt;BQ309)*(BQ309-R_SN)))*((R_EN-(R_EN&gt;BR309)*(R_EN-BR309))-(R_SN+(R_SN&lt;BQ309)*(BQ309-R_SN))))/60),0)</f>
        <v>0</v>
      </c>
      <c r="BT309" s="80">
        <f>IF(AND(BE309=1,D309="proMX"),ROUND(BI309*CFG_RATE+BJ309*CFG_OTRATE,6),0)</f>
        <v>0</v>
      </c>
      <c r="BU309" s="80">
        <f>IF(AND(BD309=1,D309="proMX"),ROUND(AG309/CFG_BLK,6),0)</f>
        <v>0</v>
      </c>
      <c r="BV309" s="80" t="str">
        <f>IF(BF309="Approved",IF(ISNUMBER(T309),INT(T309),INT(B309)),"")</f>
        <v/>
      </c>
      <c r="BW309" s="80">
        <f>IF(ISNUMBER(B309),IF(DB_MON="Todos",1,IF(AND(INT(B309)&gt;=DB_MS,INT(B309)&lt;=DB_ME),1,0)),0)</f>
        <v>0</v>
      </c>
      <c r="BX309" s="80">
        <f>IF(DB_PROJ="Todos",1,IF(E309&amp;""=DB_PROJ&amp;"",1,0))</f>
        <v>1</v>
      </c>
      <c r="BY309" s="80">
        <f>BW309*BX309</f>
        <v>0</v>
      </c>
      <c r="BZ309" s="80" t="str">
        <f>IF(Y309=1,F309&amp;IF(AND(F309&amp;""&lt;&gt;"",E309&amp;""&lt;&gt;"")," · ","")&amp;E309,"")</f>
        <v/>
      </c>
      <c r="CA309" s="80" t="str">
        <f>IF(AND(BD309=1,E309&amp;""&lt;&gt;""),IF(COUNTIFS($E$5:E308,E309,$BD$5:BD308,1)=0,MAX($CA$5:CA308)+1,""),"")</f>
        <v/>
      </c>
      <c r="CB309" s="80" t="str">
        <f>IF(AND(BE309=1,D309="Malcolm",E309&amp;""&lt;&gt;""),IF(COUNTIFS($D$5:D308,"Malcolm",$E$5:E308,E309,$BE$5:BE308,1)=0,MAX($CB$5:CB308)+1,""),"")</f>
        <v/>
      </c>
      <c r="CC309" s="80" t="str">
        <f>IF(AND(BD309=1,D309="proMX",E309&amp;""&lt;&gt;""),IF(COUNTIFS($D$5:D308,"proMX",$E$5:E308,E309,$BD$5:BD308,1)=0,MAX($CC$5:CC308)+1,""),"")</f>
        <v/>
      </c>
      <c r="CD309" s="80" t="str">
        <f>IF(AND(BE309=1,D309="Malcolm",F309&amp;""&lt;&gt;""),IF(COUNTIFS($D$5:D308,"Malcolm",$F$5:F308,F309,$BE$5:BE308,1)=0,MAX($CD$5:CD308)+1,""),"")</f>
        <v/>
      </c>
      <c r="CE309" s="80" t="str">
        <f>IF(AND(BD309=1,D309="proMX",F309&amp;""&lt;&gt;""),IF(COUNTIFS($D$5:D308,"proMX",$F$5:F308,F309,$BD$5:BD308,1)=0,MAX($CE$5:CE308)+1,""),"")</f>
        <v/>
      </c>
      <c r="CF309" s="80" t="str">
        <f>IF(AND(D309="proMX",BD309=1),IF(OR(BF309="Draft",BF309="Submitted",BF309="Returned",BF309="Recall Requested"),MAX($CF$5:CF308)+1,""),"")</f>
        <v/>
      </c>
      <c r="CG309" s="80">
        <f>IF(BD309=0,0,IF(D309="Malcolm",1,MATCH(BF309,{"Draft","Submitted","Approved","Returned","Recall Requested","Cancelled"},0)+1))</f>
        <v>0</v>
      </c>
      <c r="CH309" s="80">
        <f>IF(AND(BF309="Submitted",ISNUMBER(V309)),IF(V309&gt;CFG_MAXD,1,0),0)</f>
        <v>0</v>
      </c>
    </row>
    <row r="310">
      <c r="A310" s="71" t="str">
        <f>IF(Y310=1,ROW()-5,"")</f>
        <v/>
      </c>
      <c r="B310" s="72" t="n"/>
      <c r="C310" s="71" t="str">
        <f>IF(ISNUMBER(B310),CHOOSE(WEEKDAY(B310,2),"Lun","Mar","Mié","Jue","Vie","Sáb","Dom"),"")</f>
        <v/>
      </c>
      <c r="D310" s="73" t="n"/>
      <c r="E310" s="74" t="n"/>
      <c r="F310" s="74" t="n"/>
      <c r="G310" s="74" t="n"/>
      <c r="H310" s="75" t="n"/>
      <c r="I310" s="75" t="n"/>
      <c r="J310" s="76" t="n"/>
      <c r="K310" s="77" t="str">
        <f>IF(AB310=1,ROUND(AG310/60,4),"")</f>
        <v/>
      </c>
      <c r="L310" s="77" t="str">
        <f>IF(BD310=1,ROUND(AP310/60,4),"")</f>
        <v/>
      </c>
      <c r="M310" s="77" t="str">
        <f>IF(BD310=1,ROUND(AQ310/60,4),"")</f>
        <v/>
      </c>
      <c r="N310" s="71" t="str">
        <f>IF(AND(D310="proMX",AB310=1),ROUND(AG310/CFG_BLK,2),"")</f>
        <v/>
      </c>
      <c r="O310" s="77" t="str">
        <f>IF(D310="proMX",IF(BD310=1,ROUND(AG310/60,4),0),"")</f>
        <v/>
      </c>
      <c r="P310" s="78" t="str">
        <f>IF(Y310=0,"",IF(BD310=1,"OK",IF(D310="proMX","Revisar bloques: ","Revisar: ")&amp;BC310))</f>
        <v/>
      </c>
      <c r="Q310" s="78" t="str">
        <f>IF(NOT(ISNUMBER(B310)),"",IF(COUNTIFS(FER_F,INT(B310))&gt;0,"Feriado"&amp;IF(AH310=1," (laborable)"," (no laborable)"),IF(AH310=1,"Laborable",IF(WEEKDAY(B310,2)&gt;5,"Fin de semana","No laborable"))))</f>
        <v/>
      </c>
      <c r="R310" s="73" t="n"/>
      <c r="S310" s="72" t="n"/>
      <c r="T310" s="72" t="n"/>
      <c r="U310" s="74" t="n"/>
      <c r="V310" s="79" t="str">
        <f>IF(AND(D310="proMX",OR(R310="Submitted",R310="Recall Requested"),ISNUMBER(S310)),CFG_TODAY-INT(S310),"")</f>
        <v/>
      </c>
      <c r="W310" s="78" t="str">
        <f>IF(BD310=0,"",IF(BA310&gt;0,"⚠ Se superpone con un registro de la otra empresa",IF(D310="Malcolm",IF(COUNTA(R310,S310,T310)&gt;0,"Estado/fechas proMX se ignoran en Malcolm",""),IF(BF310="Cancelled","Cancelado: excluido de totales",IF(R310="","Sin estado: se trata como Draft",IF(BF310="Submitted",IF(ISNUMBER(V310),IF(V310&gt;CFG_MAXD,"⚠ "&amp;V310&amp;" días en Submitted (máx. "&amp;CFG_MAXD&amp;")",""),"Falta fecha de envío"),IF(BF310="Returned","⚠ Devuelto: corregir y reenviar",IF(BF310="Recall Requested","Retirada solicitada: pendiente",IF(AND(BF310="Approved",NOT(ISNUMBER(T310))),"Falta fecha de aprobación",IF(AND(ISNUMBER(S310),ISNUMBER(T310),T310&lt;S310),"Aprobación anterior al envío","")))))))))</f>
        <v/>
      </c>
      <c r="Y310" s="80">
        <f>IF(COUNTA(B310,D310,E310,F310,G310,H310,I310,J310,R310,S310,T310)&gt;0,1,0)</f>
        <v>0</v>
      </c>
      <c r="Z310" s="80" t="str">
        <f>IF(AND(ISNUMBER(H310),H310&gt;=0,H310&lt;1),ROUND(H310*1440,0),"")</f>
        <v/>
      </c>
      <c r="AA310" s="80" t="str">
        <f>IF(AND(ISNUMBER(I310),I310&gt;=0,I310&lt;1),ROUND(I310*1440,0),"")</f>
        <v/>
      </c>
      <c r="AB310" s="80">
        <f>IF(AND(ISNUMBER(B310),D310&lt;&gt;"",ISNUMBER(Z310),ISNUMBER(AA310)),IF(Z310=AA310,0,1),0)</f>
        <v>0</v>
      </c>
      <c r="AC310" s="80">
        <f>IF(AB310=1,IF(AA310&lt;Z310,1,0),0)</f>
        <v>0</v>
      </c>
      <c r="AD310" s="80">
        <f>IF(AB310=1,IF(AC310=1,1440-Z310+AA310,AA310-Z310),0)</f>
        <v>0</v>
      </c>
      <c r="AE310" s="80">
        <f>IF(J310="",0,IF(ISNUMBER(J310),J310,-1))</f>
        <v>0</v>
      </c>
      <c r="AF310" s="80">
        <f>MIN(MAX(0,AE310),AD310)</f>
        <v>0</v>
      </c>
      <c r="AG310" s="80">
        <f>MAX(0,AD310-MAX(0,AE310))</f>
        <v>0</v>
      </c>
      <c r="AH310" s="80">
        <f>IF(ISNUMBER(B310),IF(AND(INDEX(CFG_WDAYS,WEEKDAY(INT(B310),2))="Sí",IF(D310="proMX",COUNTIFS(FER_F,INT(B310),FER_NLP,"Sí"),COUNTIFS(FER_F,INT(B310),FER_NLM,"Sí"))=0),1,0),0)</f>
        <v>0</v>
      </c>
      <c r="AI310" s="80">
        <f>IF(AC310=1,IF(AND(INDEX(CFG_WDAYS,WEEKDAY(INT(B310)+1,2))="Sí",IF(D310="proMX",COUNTIFS(FER_F,INT(B310)+1,FER_NLP,"Sí"),COUNTIFS(FER_F,INT(B310)+1,FER_NLM,"Sí"))=0),1,0),0)</f>
        <v>0</v>
      </c>
      <c r="AJ310" s="80">
        <f>IF(AC310=1,1440-Z310,AD310)</f>
        <v>0</v>
      </c>
      <c r="AK310" s="80">
        <f>IF(AND(AB310=1,AH310=1),MAX(0,MIN(IF(AC310=1,1440,AA310),CFG_WEM)-MAX(Z310,CFG_WSM)),0)</f>
        <v>0</v>
      </c>
      <c r="AL310" s="80">
        <f>IF(AND(AC310=1,AI310=1),MAX(0,MIN(AA310,CFG_WEM)-CFG_WSM),0)</f>
        <v>0</v>
      </c>
      <c r="AM310" s="80">
        <f>AK310+AL310</f>
        <v>0</v>
      </c>
      <c r="AN310" s="80">
        <f>IF(CFG_BRK="Proporcional",IF(AD310=0,0,AF310*AM310/AD310),IF(CFG_BRK="Extras primero",MIN(AM310,MAX(0,AF310-(AD310-AM310))),MIN(AF310,AM310)))</f>
        <v>0</v>
      </c>
      <c r="AO310" s="80">
        <f>AF310-AN310</f>
        <v>0</v>
      </c>
      <c r="AP310" s="80">
        <f>AM310-AN310</f>
        <v>0</v>
      </c>
      <c r="AQ310" s="80">
        <f>AD310-AM310-AO310</f>
        <v>0</v>
      </c>
      <c r="AR310" s="80">
        <f>IF(AM310=0,0,AK310-AN310*AK310/AM310)</f>
        <v>0</v>
      </c>
      <c r="AS310" s="80">
        <f>IF(AD310-AM310=0,0,(AJ310-AK310)-AO310*(AJ310-AK310)/(AD310-AM310))</f>
        <v>0</v>
      </c>
      <c r="AT310" s="80" t="str">
        <f>IF(AC310=1,INT(B310)+1,"")</f>
        <v/>
      </c>
      <c r="AU310" s="80">
        <f>IF(AND(D310="proMX",R310="Cancelled"),0,1)</f>
        <v>1</v>
      </c>
      <c r="AV310" s="80">
        <f>IF(AND(AB310=1,AU310=1),IF(COUNTIFS($D$5:D309,D310,$B$5:B309,B310,$Z$5:Z309,Z310,$AA$5:AA309,AA310,$F$5:F309,F310&amp;"",$AU$5:AU309,1)&gt;0,1,0),0)</f>
        <v>0</v>
      </c>
      <c r="AW310" s="80" t="str">
        <f>IF(AB310=1,INT(B310)*1440+Z310,"")</f>
        <v/>
      </c>
      <c r="AX310" s="80" t="str">
        <f>IF(AB310=1,AW310+AD310,"")</f>
        <v/>
      </c>
      <c r="AY310" s="80">
        <f>IF(AND(AB310=1,AV310=0,AU310=1),1,0)</f>
        <v>0</v>
      </c>
      <c r="AZ310" s="80">
        <f>IF(AY310=1,COUNTIFS(R_Emp,D310,R_SAbs,"&lt;"&amp;AX310,R_EAbs,"&gt;"&amp;AW310,R_OKey,1)-1,0)</f>
        <v>0</v>
      </c>
      <c r="BA310" s="80">
        <f>IF(AY310=1,COUNTIFS(R_Emp,"&lt;&gt;"&amp;D310,R_SAbs,"&lt;"&amp;AX310,R_EAbs,"&gt;"&amp;AW310,R_OKey,1),0)</f>
        <v>0</v>
      </c>
      <c r="BB310" s="80">
        <f>IF(AND(AB310=1,D310="proMX"),IF(AND(MOD(Z310,CFG_BLK)=0,MOD(AA310,CFG_BLK)=0,MOD(AG310,CFG_BLK)=0,AG310&gt;0),1,0),1)</f>
        <v>1</v>
      </c>
      <c r="BC310" s="80" t="str">
        <f>IF(Y310=0,"",IF(NOT(ISNUMBER(B310)),"Falta fecha o fecha inválida",IF(D310="","Falta empresa",IF(AND(D310&lt;&gt;"Malcolm",D310&lt;&gt;"proMX"),"Empresa inválida",IF(OR(INT(B310)&lt;CFG_PSTART,INT(B310)&gt;CFG_PEND),"Fecha fuera del período",IF(OR(NOT(ISNUMBER(Z310)),NOT(ISNUMBER(AA310))),"Falta hora inicio/fin o formato inválido",IF(AB310=0,"Hora inicio = hora fin",IF(AE310&lt;0,"Descanso inválido",IF(AE310&gt;=AD310,"Descanso ≥ duración",IF(AV310=1,"Registro duplicado",IF(AZ310&gt;0,"Se superpone con otro registro "&amp;D310,IF(BB310=0,"inicio, fin y duración neta deben ser múltiplos de "&amp;CFG_BLK&amp;" min",""))))))))))))</f>
        <v/>
      </c>
      <c r="BD310" s="80">
        <f>IF(AND(Y310=1,BC310=""),1,0)</f>
        <v>0</v>
      </c>
      <c r="BE310" s="80">
        <f>IF(AND(BD310=1,AU310=1),1,0)</f>
        <v>0</v>
      </c>
      <c r="BF310" s="80" t="str">
        <f>IF(AND(D310="proMX",BD310=1),IF(R310="","Draft",R310),"")</f>
        <v/>
      </c>
      <c r="BG310" s="80">
        <f>IF(BD310=1,ROUND(AG310/60,6),0)</f>
        <v>0</v>
      </c>
      <c r="BH310" s="80">
        <f>IF(BE310=1,ROUND(AG310/60,6),0)</f>
        <v>0</v>
      </c>
      <c r="BI310" s="80">
        <f>IF(BE310=1,ROUND(AP310/60,6),0)</f>
        <v>0</v>
      </c>
      <c r="BJ310" s="80">
        <f>IF(BE310=1,ROUND(AQ310/60,6),0)</f>
        <v>0</v>
      </c>
      <c r="BK310" s="80">
        <f>IF(BE310=1,ROUND((AR310+AS310)/60,6),0)</f>
        <v>0</v>
      </c>
      <c r="BL310" s="80">
        <f>ROUND(BH310-BK310,6)</f>
        <v>0</v>
      </c>
      <c r="BM310" s="80">
        <f>IF(BE310=1,ROUND(AR310/60,6),0)</f>
        <v>0</v>
      </c>
      <c r="BN310" s="80">
        <f>ROUND(BI310-BM310,6)</f>
        <v>0</v>
      </c>
      <c r="BO310" s="80">
        <f>IF(BE310=1,ROUND(AS310/60,6),0)</f>
        <v>0</v>
      </c>
      <c r="BP310" s="80">
        <f>ROUND(BJ310-BO310,6)</f>
        <v>0</v>
      </c>
      <c r="BQ310" s="80">
        <f>IF(BE310=1,AW310,0)</f>
        <v>0</v>
      </c>
      <c r="BR310" s="80">
        <f>IF(BE310=1,AX310,0)</f>
        <v>0</v>
      </c>
      <c r="BS310" s="80">
        <f>IF(AND(BE310=1,D310="Malcolm",BA310&gt;0),MIN(BH310,SUMPRODUCT((R_Emp="proMX")*(R_EN&gt;0)*((R_EN-(R_EN&gt;BR310)*(R_EN-BR310))&gt;(R_SN+(R_SN&lt;BQ310)*(BQ310-R_SN)))*((R_EN-(R_EN&gt;BR310)*(R_EN-BR310))-(R_SN+(R_SN&lt;BQ310)*(BQ310-R_SN))))/60),0)</f>
        <v>0</v>
      </c>
      <c r="BT310" s="80">
        <f>IF(AND(BE310=1,D310="proMX"),ROUND(BI310*CFG_RATE+BJ310*CFG_OTRATE,6),0)</f>
        <v>0</v>
      </c>
      <c r="BU310" s="80">
        <f>IF(AND(BD310=1,D310="proMX"),ROUND(AG310/CFG_BLK,6),0)</f>
        <v>0</v>
      </c>
      <c r="BV310" s="80" t="str">
        <f>IF(BF310="Approved",IF(ISNUMBER(T310),INT(T310),INT(B310)),"")</f>
        <v/>
      </c>
      <c r="BW310" s="80">
        <f>IF(ISNUMBER(B310),IF(DB_MON="Todos",1,IF(AND(INT(B310)&gt;=DB_MS,INT(B310)&lt;=DB_ME),1,0)),0)</f>
        <v>0</v>
      </c>
      <c r="BX310" s="80">
        <f>IF(DB_PROJ="Todos",1,IF(E310&amp;""=DB_PROJ&amp;"",1,0))</f>
        <v>1</v>
      </c>
      <c r="BY310" s="80">
        <f>BW310*BX310</f>
        <v>0</v>
      </c>
      <c r="BZ310" s="80" t="str">
        <f>IF(Y310=1,F310&amp;IF(AND(F310&amp;""&lt;&gt;"",E310&amp;""&lt;&gt;"")," · ","")&amp;E310,"")</f>
        <v/>
      </c>
      <c r="CA310" s="80" t="str">
        <f>IF(AND(BD310=1,E310&amp;""&lt;&gt;""),IF(COUNTIFS($E$5:E309,E310,$BD$5:BD309,1)=0,MAX($CA$5:CA309)+1,""),"")</f>
        <v/>
      </c>
      <c r="CB310" s="80" t="str">
        <f>IF(AND(BE310=1,D310="Malcolm",E310&amp;""&lt;&gt;""),IF(COUNTIFS($D$5:D309,"Malcolm",$E$5:E309,E310,$BE$5:BE309,1)=0,MAX($CB$5:CB309)+1,""),"")</f>
        <v/>
      </c>
      <c r="CC310" s="80" t="str">
        <f>IF(AND(BD310=1,D310="proMX",E310&amp;""&lt;&gt;""),IF(COUNTIFS($D$5:D309,"proMX",$E$5:E309,E310,$BD$5:BD309,1)=0,MAX($CC$5:CC309)+1,""),"")</f>
        <v/>
      </c>
      <c r="CD310" s="80" t="str">
        <f>IF(AND(BE310=1,D310="Malcolm",F310&amp;""&lt;&gt;""),IF(COUNTIFS($D$5:D309,"Malcolm",$F$5:F309,F310,$BE$5:BE309,1)=0,MAX($CD$5:CD309)+1,""),"")</f>
        <v/>
      </c>
      <c r="CE310" s="80" t="str">
        <f>IF(AND(BD310=1,D310="proMX",F310&amp;""&lt;&gt;""),IF(COUNTIFS($D$5:D309,"proMX",$F$5:F309,F310,$BD$5:BD309,1)=0,MAX($CE$5:CE309)+1,""),"")</f>
        <v/>
      </c>
      <c r="CF310" s="80" t="str">
        <f>IF(AND(D310="proMX",BD310=1),IF(OR(BF310="Draft",BF310="Submitted",BF310="Returned",BF310="Recall Requested"),MAX($CF$5:CF309)+1,""),"")</f>
        <v/>
      </c>
      <c r="CG310" s="80">
        <f>IF(BD310=0,0,IF(D310="Malcolm",1,MATCH(BF310,{"Draft","Submitted","Approved","Returned","Recall Requested","Cancelled"},0)+1))</f>
        <v>0</v>
      </c>
      <c r="CH310" s="80">
        <f>IF(AND(BF310="Submitted",ISNUMBER(V310)),IF(V310&gt;CFG_MAXD,1,0),0)</f>
        <v>0</v>
      </c>
    </row>
    <row r="311">
      <c r="A311" s="71" t="str">
        <f>IF(Y311=1,ROW()-5,"")</f>
        <v/>
      </c>
      <c r="B311" s="72" t="n"/>
      <c r="C311" s="71" t="str">
        <f>IF(ISNUMBER(B311),CHOOSE(WEEKDAY(B311,2),"Lun","Mar","Mié","Jue","Vie","Sáb","Dom"),"")</f>
        <v/>
      </c>
      <c r="D311" s="73" t="n"/>
      <c r="E311" s="74" t="n"/>
      <c r="F311" s="74" t="n"/>
      <c r="G311" s="74" t="n"/>
      <c r="H311" s="75" t="n"/>
      <c r="I311" s="75" t="n"/>
      <c r="J311" s="76" t="n"/>
      <c r="K311" s="77" t="str">
        <f>IF(AB311=1,ROUND(AG311/60,4),"")</f>
        <v/>
      </c>
      <c r="L311" s="77" t="str">
        <f>IF(BD311=1,ROUND(AP311/60,4),"")</f>
        <v/>
      </c>
      <c r="M311" s="77" t="str">
        <f>IF(BD311=1,ROUND(AQ311/60,4),"")</f>
        <v/>
      </c>
      <c r="N311" s="71" t="str">
        <f>IF(AND(D311="proMX",AB311=1),ROUND(AG311/CFG_BLK,2),"")</f>
        <v/>
      </c>
      <c r="O311" s="77" t="str">
        <f>IF(D311="proMX",IF(BD311=1,ROUND(AG311/60,4),0),"")</f>
        <v/>
      </c>
      <c r="P311" s="78" t="str">
        <f>IF(Y311=0,"",IF(BD311=1,"OK",IF(D311="proMX","Revisar bloques: ","Revisar: ")&amp;BC311))</f>
        <v/>
      </c>
      <c r="Q311" s="78" t="str">
        <f>IF(NOT(ISNUMBER(B311)),"",IF(COUNTIFS(FER_F,INT(B311))&gt;0,"Feriado"&amp;IF(AH311=1," (laborable)"," (no laborable)"),IF(AH311=1,"Laborable",IF(WEEKDAY(B311,2)&gt;5,"Fin de semana","No laborable"))))</f>
        <v/>
      </c>
      <c r="R311" s="73" t="n"/>
      <c r="S311" s="72" t="n"/>
      <c r="T311" s="72" t="n"/>
      <c r="U311" s="74" t="n"/>
      <c r="V311" s="79" t="str">
        <f>IF(AND(D311="proMX",OR(R311="Submitted",R311="Recall Requested"),ISNUMBER(S311)),CFG_TODAY-INT(S311),"")</f>
        <v/>
      </c>
      <c r="W311" s="78" t="str">
        <f>IF(BD311=0,"",IF(BA311&gt;0,"⚠ Se superpone con un registro de la otra empresa",IF(D311="Malcolm",IF(COUNTA(R311,S311,T311)&gt;0,"Estado/fechas proMX se ignoran en Malcolm",""),IF(BF311="Cancelled","Cancelado: excluido de totales",IF(R311="","Sin estado: se trata como Draft",IF(BF311="Submitted",IF(ISNUMBER(V311),IF(V311&gt;CFG_MAXD,"⚠ "&amp;V311&amp;" días en Submitted (máx. "&amp;CFG_MAXD&amp;")",""),"Falta fecha de envío"),IF(BF311="Returned","⚠ Devuelto: corregir y reenviar",IF(BF311="Recall Requested","Retirada solicitada: pendiente",IF(AND(BF311="Approved",NOT(ISNUMBER(T311))),"Falta fecha de aprobación",IF(AND(ISNUMBER(S311),ISNUMBER(T311),T311&lt;S311),"Aprobación anterior al envío","")))))))))</f>
        <v/>
      </c>
      <c r="Y311" s="80">
        <f>IF(COUNTA(B311,D311,E311,F311,G311,H311,I311,J311,R311,S311,T311)&gt;0,1,0)</f>
        <v>0</v>
      </c>
      <c r="Z311" s="80" t="str">
        <f>IF(AND(ISNUMBER(H311),H311&gt;=0,H311&lt;1),ROUND(H311*1440,0),"")</f>
        <v/>
      </c>
      <c r="AA311" s="80" t="str">
        <f>IF(AND(ISNUMBER(I311),I311&gt;=0,I311&lt;1),ROUND(I311*1440,0),"")</f>
        <v/>
      </c>
      <c r="AB311" s="80">
        <f>IF(AND(ISNUMBER(B311),D311&lt;&gt;"",ISNUMBER(Z311),ISNUMBER(AA311)),IF(Z311=AA311,0,1),0)</f>
        <v>0</v>
      </c>
      <c r="AC311" s="80">
        <f>IF(AB311=1,IF(AA311&lt;Z311,1,0),0)</f>
        <v>0</v>
      </c>
      <c r="AD311" s="80">
        <f>IF(AB311=1,IF(AC311=1,1440-Z311+AA311,AA311-Z311),0)</f>
        <v>0</v>
      </c>
      <c r="AE311" s="80">
        <f>IF(J311="",0,IF(ISNUMBER(J311),J311,-1))</f>
        <v>0</v>
      </c>
      <c r="AF311" s="80">
        <f>MIN(MAX(0,AE311),AD311)</f>
        <v>0</v>
      </c>
      <c r="AG311" s="80">
        <f>MAX(0,AD311-MAX(0,AE311))</f>
        <v>0</v>
      </c>
      <c r="AH311" s="80">
        <f>IF(ISNUMBER(B311),IF(AND(INDEX(CFG_WDAYS,WEEKDAY(INT(B311),2))="Sí",IF(D311="proMX",COUNTIFS(FER_F,INT(B311),FER_NLP,"Sí"),COUNTIFS(FER_F,INT(B311),FER_NLM,"Sí"))=0),1,0),0)</f>
        <v>0</v>
      </c>
      <c r="AI311" s="80">
        <f>IF(AC311=1,IF(AND(INDEX(CFG_WDAYS,WEEKDAY(INT(B311)+1,2))="Sí",IF(D311="proMX",COUNTIFS(FER_F,INT(B311)+1,FER_NLP,"Sí"),COUNTIFS(FER_F,INT(B311)+1,FER_NLM,"Sí"))=0),1,0),0)</f>
        <v>0</v>
      </c>
      <c r="AJ311" s="80">
        <f>IF(AC311=1,1440-Z311,AD311)</f>
        <v>0</v>
      </c>
      <c r="AK311" s="80">
        <f>IF(AND(AB311=1,AH311=1),MAX(0,MIN(IF(AC311=1,1440,AA311),CFG_WEM)-MAX(Z311,CFG_WSM)),0)</f>
        <v>0</v>
      </c>
      <c r="AL311" s="80">
        <f>IF(AND(AC311=1,AI311=1),MAX(0,MIN(AA311,CFG_WEM)-CFG_WSM),0)</f>
        <v>0</v>
      </c>
      <c r="AM311" s="80">
        <f>AK311+AL311</f>
        <v>0</v>
      </c>
      <c r="AN311" s="80">
        <f>IF(CFG_BRK="Proporcional",IF(AD311=0,0,AF311*AM311/AD311),IF(CFG_BRK="Extras primero",MIN(AM311,MAX(0,AF311-(AD311-AM311))),MIN(AF311,AM311)))</f>
        <v>0</v>
      </c>
      <c r="AO311" s="80">
        <f>AF311-AN311</f>
        <v>0</v>
      </c>
      <c r="AP311" s="80">
        <f>AM311-AN311</f>
        <v>0</v>
      </c>
      <c r="AQ311" s="80">
        <f>AD311-AM311-AO311</f>
        <v>0</v>
      </c>
      <c r="AR311" s="80">
        <f>IF(AM311=0,0,AK311-AN311*AK311/AM311)</f>
        <v>0</v>
      </c>
      <c r="AS311" s="80">
        <f>IF(AD311-AM311=0,0,(AJ311-AK311)-AO311*(AJ311-AK311)/(AD311-AM311))</f>
        <v>0</v>
      </c>
      <c r="AT311" s="80" t="str">
        <f>IF(AC311=1,INT(B311)+1,"")</f>
        <v/>
      </c>
      <c r="AU311" s="80">
        <f>IF(AND(D311="proMX",R311="Cancelled"),0,1)</f>
        <v>1</v>
      </c>
      <c r="AV311" s="80">
        <f>IF(AND(AB311=1,AU311=1),IF(COUNTIFS($D$5:D310,D311,$B$5:B310,B311,$Z$5:Z310,Z311,$AA$5:AA310,AA311,$F$5:F310,F311&amp;"",$AU$5:AU310,1)&gt;0,1,0),0)</f>
        <v>0</v>
      </c>
      <c r="AW311" s="80" t="str">
        <f>IF(AB311=1,INT(B311)*1440+Z311,"")</f>
        <v/>
      </c>
      <c r="AX311" s="80" t="str">
        <f>IF(AB311=1,AW311+AD311,"")</f>
        <v/>
      </c>
      <c r="AY311" s="80">
        <f>IF(AND(AB311=1,AV311=0,AU311=1),1,0)</f>
        <v>0</v>
      </c>
      <c r="AZ311" s="80">
        <f>IF(AY311=1,COUNTIFS(R_Emp,D311,R_SAbs,"&lt;"&amp;AX311,R_EAbs,"&gt;"&amp;AW311,R_OKey,1)-1,0)</f>
        <v>0</v>
      </c>
      <c r="BA311" s="80">
        <f>IF(AY311=1,COUNTIFS(R_Emp,"&lt;&gt;"&amp;D311,R_SAbs,"&lt;"&amp;AX311,R_EAbs,"&gt;"&amp;AW311,R_OKey,1),0)</f>
        <v>0</v>
      </c>
      <c r="BB311" s="80">
        <f>IF(AND(AB311=1,D311="proMX"),IF(AND(MOD(Z311,CFG_BLK)=0,MOD(AA311,CFG_BLK)=0,MOD(AG311,CFG_BLK)=0,AG311&gt;0),1,0),1)</f>
        <v>1</v>
      </c>
      <c r="BC311" s="80" t="str">
        <f>IF(Y311=0,"",IF(NOT(ISNUMBER(B311)),"Falta fecha o fecha inválida",IF(D311="","Falta empresa",IF(AND(D311&lt;&gt;"Malcolm",D311&lt;&gt;"proMX"),"Empresa inválida",IF(OR(INT(B311)&lt;CFG_PSTART,INT(B311)&gt;CFG_PEND),"Fecha fuera del período",IF(OR(NOT(ISNUMBER(Z311)),NOT(ISNUMBER(AA311))),"Falta hora inicio/fin o formato inválido",IF(AB311=0,"Hora inicio = hora fin",IF(AE311&lt;0,"Descanso inválido",IF(AE311&gt;=AD311,"Descanso ≥ duración",IF(AV311=1,"Registro duplicado",IF(AZ311&gt;0,"Se superpone con otro registro "&amp;D311,IF(BB311=0,"inicio, fin y duración neta deben ser múltiplos de "&amp;CFG_BLK&amp;" min",""))))))))))))</f>
        <v/>
      </c>
      <c r="BD311" s="80">
        <f>IF(AND(Y311=1,BC311=""),1,0)</f>
        <v>0</v>
      </c>
      <c r="BE311" s="80">
        <f>IF(AND(BD311=1,AU311=1),1,0)</f>
        <v>0</v>
      </c>
      <c r="BF311" s="80" t="str">
        <f>IF(AND(D311="proMX",BD311=1),IF(R311="","Draft",R311),"")</f>
        <v/>
      </c>
      <c r="BG311" s="80">
        <f>IF(BD311=1,ROUND(AG311/60,6),0)</f>
        <v>0</v>
      </c>
      <c r="BH311" s="80">
        <f>IF(BE311=1,ROUND(AG311/60,6),0)</f>
        <v>0</v>
      </c>
      <c r="BI311" s="80">
        <f>IF(BE311=1,ROUND(AP311/60,6),0)</f>
        <v>0</v>
      </c>
      <c r="BJ311" s="80">
        <f>IF(BE311=1,ROUND(AQ311/60,6),0)</f>
        <v>0</v>
      </c>
      <c r="BK311" s="80">
        <f>IF(BE311=1,ROUND((AR311+AS311)/60,6),0)</f>
        <v>0</v>
      </c>
      <c r="BL311" s="80">
        <f>ROUND(BH311-BK311,6)</f>
        <v>0</v>
      </c>
      <c r="BM311" s="80">
        <f>IF(BE311=1,ROUND(AR311/60,6),0)</f>
        <v>0</v>
      </c>
      <c r="BN311" s="80">
        <f>ROUND(BI311-BM311,6)</f>
        <v>0</v>
      </c>
      <c r="BO311" s="80">
        <f>IF(BE311=1,ROUND(AS311/60,6),0)</f>
        <v>0</v>
      </c>
      <c r="BP311" s="80">
        <f>ROUND(BJ311-BO311,6)</f>
        <v>0</v>
      </c>
      <c r="BQ311" s="80">
        <f>IF(BE311=1,AW311,0)</f>
        <v>0</v>
      </c>
      <c r="BR311" s="80">
        <f>IF(BE311=1,AX311,0)</f>
        <v>0</v>
      </c>
      <c r="BS311" s="80">
        <f>IF(AND(BE311=1,D311="Malcolm",BA311&gt;0),MIN(BH311,SUMPRODUCT((R_Emp="proMX")*(R_EN&gt;0)*((R_EN-(R_EN&gt;BR311)*(R_EN-BR311))&gt;(R_SN+(R_SN&lt;BQ311)*(BQ311-R_SN)))*((R_EN-(R_EN&gt;BR311)*(R_EN-BR311))-(R_SN+(R_SN&lt;BQ311)*(BQ311-R_SN))))/60),0)</f>
        <v>0</v>
      </c>
      <c r="BT311" s="80">
        <f>IF(AND(BE311=1,D311="proMX"),ROUND(BI311*CFG_RATE+BJ311*CFG_OTRATE,6),0)</f>
        <v>0</v>
      </c>
      <c r="BU311" s="80">
        <f>IF(AND(BD311=1,D311="proMX"),ROUND(AG311/CFG_BLK,6),0)</f>
        <v>0</v>
      </c>
      <c r="BV311" s="80" t="str">
        <f>IF(BF311="Approved",IF(ISNUMBER(T311),INT(T311),INT(B311)),"")</f>
        <v/>
      </c>
      <c r="BW311" s="80">
        <f>IF(ISNUMBER(B311),IF(DB_MON="Todos",1,IF(AND(INT(B311)&gt;=DB_MS,INT(B311)&lt;=DB_ME),1,0)),0)</f>
        <v>0</v>
      </c>
      <c r="BX311" s="80">
        <f>IF(DB_PROJ="Todos",1,IF(E311&amp;""=DB_PROJ&amp;"",1,0))</f>
        <v>1</v>
      </c>
      <c r="BY311" s="80">
        <f>BW311*BX311</f>
        <v>0</v>
      </c>
      <c r="BZ311" s="80" t="str">
        <f>IF(Y311=1,F311&amp;IF(AND(F311&amp;""&lt;&gt;"",E311&amp;""&lt;&gt;"")," · ","")&amp;E311,"")</f>
        <v/>
      </c>
      <c r="CA311" s="80" t="str">
        <f>IF(AND(BD311=1,E311&amp;""&lt;&gt;""),IF(COUNTIFS($E$5:E310,E311,$BD$5:BD310,1)=0,MAX($CA$5:CA310)+1,""),"")</f>
        <v/>
      </c>
      <c r="CB311" s="80" t="str">
        <f>IF(AND(BE311=1,D311="Malcolm",E311&amp;""&lt;&gt;""),IF(COUNTIFS($D$5:D310,"Malcolm",$E$5:E310,E311,$BE$5:BE310,1)=0,MAX($CB$5:CB310)+1,""),"")</f>
        <v/>
      </c>
      <c r="CC311" s="80" t="str">
        <f>IF(AND(BD311=1,D311="proMX",E311&amp;""&lt;&gt;""),IF(COUNTIFS($D$5:D310,"proMX",$E$5:E310,E311,$BD$5:BD310,1)=0,MAX($CC$5:CC310)+1,""),"")</f>
        <v/>
      </c>
      <c r="CD311" s="80" t="str">
        <f>IF(AND(BE311=1,D311="Malcolm",F311&amp;""&lt;&gt;""),IF(COUNTIFS($D$5:D310,"Malcolm",$F$5:F310,F311,$BE$5:BE310,1)=0,MAX($CD$5:CD310)+1,""),"")</f>
        <v/>
      </c>
      <c r="CE311" s="80" t="str">
        <f>IF(AND(BD311=1,D311="proMX",F311&amp;""&lt;&gt;""),IF(COUNTIFS($D$5:D310,"proMX",$F$5:F310,F311,$BD$5:BD310,1)=0,MAX($CE$5:CE310)+1,""),"")</f>
        <v/>
      </c>
      <c r="CF311" s="80" t="str">
        <f>IF(AND(D311="proMX",BD311=1),IF(OR(BF311="Draft",BF311="Submitted",BF311="Returned",BF311="Recall Requested"),MAX($CF$5:CF310)+1,""),"")</f>
        <v/>
      </c>
      <c r="CG311" s="80">
        <f>IF(BD311=0,0,IF(D311="Malcolm",1,MATCH(BF311,{"Draft","Submitted","Approved","Returned","Recall Requested","Cancelled"},0)+1))</f>
        <v>0</v>
      </c>
      <c r="CH311" s="80">
        <f>IF(AND(BF311="Submitted",ISNUMBER(V311)),IF(V311&gt;CFG_MAXD,1,0),0)</f>
        <v>0</v>
      </c>
    </row>
    <row r="312">
      <c r="A312" s="71" t="str">
        <f>IF(Y312=1,ROW()-5,"")</f>
        <v/>
      </c>
      <c r="B312" s="72" t="n"/>
      <c r="C312" s="71" t="str">
        <f>IF(ISNUMBER(B312),CHOOSE(WEEKDAY(B312,2),"Lun","Mar","Mié","Jue","Vie","Sáb","Dom"),"")</f>
        <v/>
      </c>
      <c r="D312" s="73" t="n"/>
      <c r="E312" s="74" t="n"/>
      <c r="F312" s="74" t="n"/>
      <c r="G312" s="74" t="n"/>
      <c r="H312" s="75" t="n"/>
      <c r="I312" s="75" t="n"/>
      <c r="J312" s="76" t="n"/>
      <c r="K312" s="77" t="str">
        <f>IF(AB312=1,ROUND(AG312/60,4),"")</f>
        <v/>
      </c>
      <c r="L312" s="77" t="str">
        <f>IF(BD312=1,ROUND(AP312/60,4),"")</f>
        <v/>
      </c>
      <c r="M312" s="77" t="str">
        <f>IF(BD312=1,ROUND(AQ312/60,4),"")</f>
        <v/>
      </c>
      <c r="N312" s="71" t="str">
        <f>IF(AND(D312="proMX",AB312=1),ROUND(AG312/CFG_BLK,2),"")</f>
        <v/>
      </c>
      <c r="O312" s="77" t="str">
        <f>IF(D312="proMX",IF(BD312=1,ROUND(AG312/60,4),0),"")</f>
        <v/>
      </c>
      <c r="P312" s="78" t="str">
        <f>IF(Y312=0,"",IF(BD312=1,"OK",IF(D312="proMX","Revisar bloques: ","Revisar: ")&amp;BC312))</f>
        <v/>
      </c>
      <c r="Q312" s="78" t="str">
        <f>IF(NOT(ISNUMBER(B312)),"",IF(COUNTIFS(FER_F,INT(B312))&gt;0,"Feriado"&amp;IF(AH312=1," (laborable)"," (no laborable)"),IF(AH312=1,"Laborable",IF(WEEKDAY(B312,2)&gt;5,"Fin de semana","No laborable"))))</f>
        <v/>
      </c>
      <c r="R312" s="73" t="n"/>
      <c r="S312" s="72" t="n"/>
      <c r="T312" s="72" t="n"/>
      <c r="U312" s="74" t="n"/>
      <c r="V312" s="79" t="str">
        <f>IF(AND(D312="proMX",OR(R312="Submitted",R312="Recall Requested"),ISNUMBER(S312)),CFG_TODAY-INT(S312),"")</f>
        <v/>
      </c>
      <c r="W312" s="78" t="str">
        <f>IF(BD312=0,"",IF(BA312&gt;0,"⚠ Se superpone con un registro de la otra empresa",IF(D312="Malcolm",IF(COUNTA(R312,S312,T312)&gt;0,"Estado/fechas proMX se ignoran en Malcolm",""),IF(BF312="Cancelled","Cancelado: excluido de totales",IF(R312="","Sin estado: se trata como Draft",IF(BF312="Submitted",IF(ISNUMBER(V312),IF(V312&gt;CFG_MAXD,"⚠ "&amp;V312&amp;" días en Submitted (máx. "&amp;CFG_MAXD&amp;")",""),"Falta fecha de envío"),IF(BF312="Returned","⚠ Devuelto: corregir y reenviar",IF(BF312="Recall Requested","Retirada solicitada: pendiente",IF(AND(BF312="Approved",NOT(ISNUMBER(T312))),"Falta fecha de aprobación",IF(AND(ISNUMBER(S312),ISNUMBER(T312),T312&lt;S312),"Aprobación anterior al envío","")))))))))</f>
        <v/>
      </c>
      <c r="Y312" s="80">
        <f>IF(COUNTA(B312,D312,E312,F312,G312,H312,I312,J312,R312,S312,T312)&gt;0,1,0)</f>
        <v>0</v>
      </c>
      <c r="Z312" s="80" t="str">
        <f>IF(AND(ISNUMBER(H312),H312&gt;=0,H312&lt;1),ROUND(H312*1440,0),"")</f>
        <v/>
      </c>
      <c r="AA312" s="80" t="str">
        <f>IF(AND(ISNUMBER(I312),I312&gt;=0,I312&lt;1),ROUND(I312*1440,0),"")</f>
        <v/>
      </c>
      <c r="AB312" s="80">
        <f>IF(AND(ISNUMBER(B312),D312&lt;&gt;"",ISNUMBER(Z312),ISNUMBER(AA312)),IF(Z312=AA312,0,1),0)</f>
        <v>0</v>
      </c>
      <c r="AC312" s="80">
        <f>IF(AB312=1,IF(AA312&lt;Z312,1,0),0)</f>
        <v>0</v>
      </c>
      <c r="AD312" s="80">
        <f>IF(AB312=1,IF(AC312=1,1440-Z312+AA312,AA312-Z312),0)</f>
        <v>0</v>
      </c>
      <c r="AE312" s="80">
        <f>IF(J312="",0,IF(ISNUMBER(J312),J312,-1))</f>
        <v>0</v>
      </c>
      <c r="AF312" s="80">
        <f>MIN(MAX(0,AE312),AD312)</f>
        <v>0</v>
      </c>
      <c r="AG312" s="80">
        <f>MAX(0,AD312-MAX(0,AE312))</f>
        <v>0</v>
      </c>
      <c r="AH312" s="80">
        <f>IF(ISNUMBER(B312),IF(AND(INDEX(CFG_WDAYS,WEEKDAY(INT(B312),2))="Sí",IF(D312="proMX",COUNTIFS(FER_F,INT(B312),FER_NLP,"Sí"),COUNTIFS(FER_F,INT(B312),FER_NLM,"Sí"))=0),1,0),0)</f>
        <v>0</v>
      </c>
      <c r="AI312" s="80">
        <f>IF(AC312=1,IF(AND(INDEX(CFG_WDAYS,WEEKDAY(INT(B312)+1,2))="Sí",IF(D312="proMX",COUNTIFS(FER_F,INT(B312)+1,FER_NLP,"Sí"),COUNTIFS(FER_F,INT(B312)+1,FER_NLM,"Sí"))=0),1,0),0)</f>
        <v>0</v>
      </c>
      <c r="AJ312" s="80">
        <f>IF(AC312=1,1440-Z312,AD312)</f>
        <v>0</v>
      </c>
      <c r="AK312" s="80">
        <f>IF(AND(AB312=1,AH312=1),MAX(0,MIN(IF(AC312=1,1440,AA312),CFG_WEM)-MAX(Z312,CFG_WSM)),0)</f>
        <v>0</v>
      </c>
      <c r="AL312" s="80">
        <f>IF(AND(AC312=1,AI312=1),MAX(0,MIN(AA312,CFG_WEM)-CFG_WSM),0)</f>
        <v>0</v>
      </c>
      <c r="AM312" s="80">
        <f>AK312+AL312</f>
        <v>0</v>
      </c>
      <c r="AN312" s="80">
        <f>IF(CFG_BRK="Proporcional",IF(AD312=0,0,AF312*AM312/AD312),IF(CFG_BRK="Extras primero",MIN(AM312,MAX(0,AF312-(AD312-AM312))),MIN(AF312,AM312)))</f>
        <v>0</v>
      </c>
      <c r="AO312" s="80">
        <f>AF312-AN312</f>
        <v>0</v>
      </c>
      <c r="AP312" s="80">
        <f>AM312-AN312</f>
        <v>0</v>
      </c>
      <c r="AQ312" s="80">
        <f>AD312-AM312-AO312</f>
        <v>0</v>
      </c>
      <c r="AR312" s="80">
        <f>IF(AM312=0,0,AK312-AN312*AK312/AM312)</f>
        <v>0</v>
      </c>
      <c r="AS312" s="80">
        <f>IF(AD312-AM312=0,0,(AJ312-AK312)-AO312*(AJ312-AK312)/(AD312-AM312))</f>
        <v>0</v>
      </c>
      <c r="AT312" s="80" t="str">
        <f>IF(AC312=1,INT(B312)+1,"")</f>
        <v/>
      </c>
      <c r="AU312" s="80">
        <f>IF(AND(D312="proMX",R312="Cancelled"),0,1)</f>
        <v>1</v>
      </c>
      <c r="AV312" s="80">
        <f>IF(AND(AB312=1,AU312=1),IF(COUNTIFS($D$5:D311,D312,$B$5:B311,B312,$Z$5:Z311,Z312,$AA$5:AA311,AA312,$F$5:F311,F312&amp;"",$AU$5:AU311,1)&gt;0,1,0),0)</f>
        <v>0</v>
      </c>
      <c r="AW312" s="80" t="str">
        <f>IF(AB312=1,INT(B312)*1440+Z312,"")</f>
        <v/>
      </c>
      <c r="AX312" s="80" t="str">
        <f>IF(AB312=1,AW312+AD312,"")</f>
        <v/>
      </c>
      <c r="AY312" s="80">
        <f>IF(AND(AB312=1,AV312=0,AU312=1),1,0)</f>
        <v>0</v>
      </c>
      <c r="AZ312" s="80">
        <f>IF(AY312=1,COUNTIFS(R_Emp,D312,R_SAbs,"&lt;"&amp;AX312,R_EAbs,"&gt;"&amp;AW312,R_OKey,1)-1,0)</f>
        <v>0</v>
      </c>
      <c r="BA312" s="80">
        <f>IF(AY312=1,COUNTIFS(R_Emp,"&lt;&gt;"&amp;D312,R_SAbs,"&lt;"&amp;AX312,R_EAbs,"&gt;"&amp;AW312,R_OKey,1),0)</f>
        <v>0</v>
      </c>
      <c r="BB312" s="80">
        <f>IF(AND(AB312=1,D312="proMX"),IF(AND(MOD(Z312,CFG_BLK)=0,MOD(AA312,CFG_BLK)=0,MOD(AG312,CFG_BLK)=0,AG312&gt;0),1,0),1)</f>
        <v>1</v>
      </c>
      <c r="BC312" s="80" t="str">
        <f>IF(Y312=0,"",IF(NOT(ISNUMBER(B312)),"Falta fecha o fecha inválida",IF(D312="","Falta empresa",IF(AND(D312&lt;&gt;"Malcolm",D312&lt;&gt;"proMX"),"Empresa inválida",IF(OR(INT(B312)&lt;CFG_PSTART,INT(B312)&gt;CFG_PEND),"Fecha fuera del período",IF(OR(NOT(ISNUMBER(Z312)),NOT(ISNUMBER(AA312))),"Falta hora inicio/fin o formato inválido",IF(AB312=0,"Hora inicio = hora fin",IF(AE312&lt;0,"Descanso inválido",IF(AE312&gt;=AD312,"Descanso ≥ duración",IF(AV312=1,"Registro duplicado",IF(AZ312&gt;0,"Se superpone con otro registro "&amp;D312,IF(BB312=0,"inicio, fin y duración neta deben ser múltiplos de "&amp;CFG_BLK&amp;" min",""))))))))))))</f>
        <v/>
      </c>
      <c r="BD312" s="80">
        <f>IF(AND(Y312=1,BC312=""),1,0)</f>
        <v>0</v>
      </c>
      <c r="BE312" s="80">
        <f>IF(AND(BD312=1,AU312=1),1,0)</f>
        <v>0</v>
      </c>
      <c r="BF312" s="80" t="str">
        <f>IF(AND(D312="proMX",BD312=1),IF(R312="","Draft",R312),"")</f>
        <v/>
      </c>
      <c r="BG312" s="80">
        <f>IF(BD312=1,ROUND(AG312/60,6),0)</f>
        <v>0</v>
      </c>
      <c r="BH312" s="80">
        <f>IF(BE312=1,ROUND(AG312/60,6),0)</f>
        <v>0</v>
      </c>
      <c r="BI312" s="80">
        <f>IF(BE312=1,ROUND(AP312/60,6),0)</f>
        <v>0</v>
      </c>
      <c r="BJ312" s="80">
        <f>IF(BE312=1,ROUND(AQ312/60,6),0)</f>
        <v>0</v>
      </c>
      <c r="BK312" s="80">
        <f>IF(BE312=1,ROUND((AR312+AS312)/60,6),0)</f>
        <v>0</v>
      </c>
      <c r="BL312" s="80">
        <f>ROUND(BH312-BK312,6)</f>
        <v>0</v>
      </c>
      <c r="BM312" s="80">
        <f>IF(BE312=1,ROUND(AR312/60,6),0)</f>
        <v>0</v>
      </c>
      <c r="BN312" s="80">
        <f>ROUND(BI312-BM312,6)</f>
        <v>0</v>
      </c>
      <c r="BO312" s="80">
        <f>IF(BE312=1,ROUND(AS312/60,6),0)</f>
        <v>0</v>
      </c>
      <c r="BP312" s="80">
        <f>ROUND(BJ312-BO312,6)</f>
        <v>0</v>
      </c>
      <c r="BQ312" s="80">
        <f>IF(BE312=1,AW312,0)</f>
        <v>0</v>
      </c>
      <c r="BR312" s="80">
        <f>IF(BE312=1,AX312,0)</f>
        <v>0</v>
      </c>
      <c r="BS312" s="80">
        <f>IF(AND(BE312=1,D312="Malcolm",BA312&gt;0),MIN(BH312,SUMPRODUCT((R_Emp="proMX")*(R_EN&gt;0)*((R_EN-(R_EN&gt;BR312)*(R_EN-BR312))&gt;(R_SN+(R_SN&lt;BQ312)*(BQ312-R_SN)))*((R_EN-(R_EN&gt;BR312)*(R_EN-BR312))-(R_SN+(R_SN&lt;BQ312)*(BQ312-R_SN))))/60),0)</f>
        <v>0</v>
      </c>
      <c r="BT312" s="80">
        <f>IF(AND(BE312=1,D312="proMX"),ROUND(BI312*CFG_RATE+BJ312*CFG_OTRATE,6),0)</f>
        <v>0</v>
      </c>
      <c r="BU312" s="80">
        <f>IF(AND(BD312=1,D312="proMX"),ROUND(AG312/CFG_BLK,6),0)</f>
        <v>0</v>
      </c>
      <c r="BV312" s="80" t="str">
        <f>IF(BF312="Approved",IF(ISNUMBER(T312),INT(T312),INT(B312)),"")</f>
        <v/>
      </c>
      <c r="BW312" s="80">
        <f>IF(ISNUMBER(B312),IF(DB_MON="Todos",1,IF(AND(INT(B312)&gt;=DB_MS,INT(B312)&lt;=DB_ME),1,0)),0)</f>
        <v>0</v>
      </c>
      <c r="BX312" s="80">
        <f>IF(DB_PROJ="Todos",1,IF(E312&amp;""=DB_PROJ&amp;"",1,0))</f>
        <v>1</v>
      </c>
      <c r="BY312" s="80">
        <f>BW312*BX312</f>
        <v>0</v>
      </c>
      <c r="BZ312" s="80" t="str">
        <f>IF(Y312=1,F312&amp;IF(AND(F312&amp;""&lt;&gt;"",E312&amp;""&lt;&gt;"")," · ","")&amp;E312,"")</f>
        <v/>
      </c>
      <c r="CA312" s="80" t="str">
        <f>IF(AND(BD312=1,E312&amp;""&lt;&gt;""),IF(COUNTIFS($E$5:E311,E312,$BD$5:BD311,1)=0,MAX($CA$5:CA311)+1,""),"")</f>
        <v/>
      </c>
      <c r="CB312" s="80" t="str">
        <f>IF(AND(BE312=1,D312="Malcolm",E312&amp;""&lt;&gt;""),IF(COUNTIFS($D$5:D311,"Malcolm",$E$5:E311,E312,$BE$5:BE311,1)=0,MAX($CB$5:CB311)+1,""),"")</f>
        <v/>
      </c>
      <c r="CC312" s="80" t="str">
        <f>IF(AND(BD312=1,D312="proMX",E312&amp;""&lt;&gt;""),IF(COUNTIFS($D$5:D311,"proMX",$E$5:E311,E312,$BD$5:BD311,1)=0,MAX($CC$5:CC311)+1,""),"")</f>
        <v/>
      </c>
      <c r="CD312" s="80" t="str">
        <f>IF(AND(BE312=1,D312="Malcolm",F312&amp;""&lt;&gt;""),IF(COUNTIFS($D$5:D311,"Malcolm",$F$5:F311,F312,$BE$5:BE311,1)=0,MAX($CD$5:CD311)+1,""),"")</f>
        <v/>
      </c>
      <c r="CE312" s="80" t="str">
        <f>IF(AND(BD312=1,D312="proMX",F312&amp;""&lt;&gt;""),IF(COUNTIFS($D$5:D311,"proMX",$F$5:F311,F312,$BD$5:BD311,1)=0,MAX($CE$5:CE311)+1,""),"")</f>
        <v/>
      </c>
      <c r="CF312" s="80" t="str">
        <f>IF(AND(D312="proMX",BD312=1),IF(OR(BF312="Draft",BF312="Submitted",BF312="Returned",BF312="Recall Requested"),MAX($CF$5:CF311)+1,""),"")</f>
        <v/>
      </c>
      <c r="CG312" s="80">
        <f>IF(BD312=0,0,IF(D312="Malcolm",1,MATCH(BF312,{"Draft","Submitted","Approved","Returned","Recall Requested","Cancelled"},0)+1))</f>
        <v>0</v>
      </c>
      <c r="CH312" s="80">
        <f>IF(AND(BF312="Submitted",ISNUMBER(V312)),IF(V312&gt;CFG_MAXD,1,0),0)</f>
        <v>0</v>
      </c>
    </row>
    <row r="313">
      <c r="A313" s="71" t="str">
        <f>IF(Y313=1,ROW()-5,"")</f>
        <v/>
      </c>
      <c r="B313" s="72" t="n"/>
      <c r="C313" s="71" t="str">
        <f>IF(ISNUMBER(B313),CHOOSE(WEEKDAY(B313,2),"Lun","Mar","Mié","Jue","Vie","Sáb","Dom"),"")</f>
        <v/>
      </c>
      <c r="D313" s="73" t="n"/>
      <c r="E313" s="74" t="n"/>
      <c r="F313" s="74" t="n"/>
      <c r="G313" s="74" t="n"/>
      <c r="H313" s="75" t="n"/>
      <c r="I313" s="75" t="n"/>
      <c r="J313" s="76" t="n"/>
      <c r="K313" s="77" t="str">
        <f>IF(AB313=1,ROUND(AG313/60,4),"")</f>
        <v/>
      </c>
      <c r="L313" s="77" t="str">
        <f>IF(BD313=1,ROUND(AP313/60,4),"")</f>
        <v/>
      </c>
      <c r="M313" s="77" t="str">
        <f>IF(BD313=1,ROUND(AQ313/60,4),"")</f>
        <v/>
      </c>
      <c r="N313" s="71" t="str">
        <f>IF(AND(D313="proMX",AB313=1),ROUND(AG313/CFG_BLK,2),"")</f>
        <v/>
      </c>
      <c r="O313" s="77" t="str">
        <f>IF(D313="proMX",IF(BD313=1,ROUND(AG313/60,4),0),"")</f>
        <v/>
      </c>
      <c r="P313" s="78" t="str">
        <f>IF(Y313=0,"",IF(BD313=1,"OK",IF(D313="proMX","Revisar bloques: ","Revisar: ")&amp;BC313))</f>
        <v/>
      </c>
      <c r="Q313" s="78" t="str">
        <f>IF(NOT(ISNUMBER(B313)),"",IF(COUNTIFS(FER_F,INT(B313))&gt;0,"Feriado"&amp;IF(AH313=1," (laborable)"," (no laborable)"),IF(AH313=1,"Laborable",IF(WEEKDAY(B313,2)&gt;5,"Fin de semana","No laborable"))))</f>
        <v/>
      </c>
      <c r="R313" s="73" t="n"/>
      <c r="S313" s="72" t="n"/>
      <c r="T313" s="72" t="n"/>
      <c r="U313" s="74" t="n"/>
      <c r="V313" s="79" t="str">
        <f>IF(AND(D313="proMX",OR(R313="Submitted",R313="Recall Requested"),ISNUMBER(S313)),CFG_TODAY-INT(S313),"")</f>
        <v/>
      </c>
      <c r="W313" s="78" t="str">
        <f>IF(BD313=0,"",IF(BA313&gt;0,"⚠ Se superpone con un registro de la otra empresa",IF(D313="Malcolm",IF(COUNTA(R313,S313,T313)&gt;0,"Estado/fechas proMX se ignoran en Malcolm",""),IF(BF313="Cancelled","Cancelado: excluido de totales",IF(R313="","Sin estado: se trata como Draft",IF(BF313="Submitted",IF(ISNUMBER(V313),IF(V313&gt;CFG_MAXD,"⚠ "&amp;V313&amp;" días en Submitted (máx. "&amp;CFG_MAXD&amp;")",""),"Falta fecha de envío"),IF(BF313="Returned","⚠ Devuelto: corregir y reenviar",IF(BF313="Recall Requested","Retirada solicitada: pendiente",IF(AND(BF313="Approved",NOT(ISNUMBER(T313))),"Falta fecha de aprobación",IF(AND(ISNUMBER(S313),ISNUMBER(T313),T313&lt;S313),"Aprobación anterior al envío","")))))))))</f>
        <v/>
      </c>
      <c r="Y313" s="80">
        <f>IF(COUNTA(B313,D313,E313,F313,G313,H313,I313,J313,R313,S313,T313)&gt;0,1,0)</f>
        <v>0</v>
      </c>
      <c r="Z313" s="80" t="str">
        <f>IF(AND(ISNUMBER(H313),H313&gt;=0,H313&lt;1),ROUND(H313*1440,0),"")</f>
        <v/>
      </c>
      <c r="AA313" s="80" t="str">
        <f>IF(AND(ISNUMBER(I313),I313&gt;=0,I313&lt;1),ROUND(I313*1440,0),"")</f>
        <v/>
      </c>
      <c r="AB313" s="80">
        <f>IF(AND(ISNUMBER(B313),D313&lt;&gt;"",ISNUMBER(Z313),ISNUMBER(AA313)),IF(Z313=AA313,0,1),0)</f>
        <v>0</v>
      </c>
      <c r="AC313" s="80">
        <f>IF(AB313=1,IF(AA313&lt;Z313,1,0),0)</f>
        <v>0</v>
      </c>
      <c r="AD313" s="80">
        <f>IF(AB313=1,IF(AC313=1,1440-Z313+AA313,AA313-Z313),0)</f>
        <v>0</v>
      </c>
      <c r="AE313" s="80">
        <f>IF(J313="",0,IF(ISNUMBER(J313),J313,-1))</f>
        <v>0</v>
      </c>
      <c r="AF313" s="80">
        <f>MIN(MAX(0,AE313),AD313)</f>
        <v>0</v>
      </c>
      <c r="AG313" s="80">
        <f>MAX(0,AD313-MAX(0,AE313))</f>
        <v>0</v>
      </c>
      <c r="AH313" s="80">
        <f>IF(ISNUMBER(B313),IF(AND(INDEX(CFG_WDAYS,WEEKDAY(INT(B313),2))="Sí",IF(D313="proMX",COUNTIFS(FER_F,INT(B313),FER_NLP,"Sí"),COUNTIFS(FER_F,INT(B313),FER_NLM,"Sí"))=0),1,0),0)</f>
        <v>0</v>
      </c>
      <c r="AI313" s="80">
        <f>IF(AC313=1,IF(AND(INDEX(CFG_WDAYS,WEEKDAY(INT(B313)+1,2))="Sí",IF(D313="proMX",COUNTIFS(FER_F,INT(B313)+1,FER_NLP,"Sí"),COUNTIFS(FER_F,INT(B313)+1,FER_NLM,"Sí"))=0),1,0),0)</f>
        <v>0</v>
      </c>
      <c r="AJ313" s="80">
        <f>IF(AC313=1,1440-Z313,AD313)</f>
        <v>0</v>
      </c>
      <c r="AK313" s="80">
        <f>IF(AND(AB313=1,AH313=1),MAX(0,MIN(IF(AC313=1,1440,AA313),CFG_WEM)-MAX(Z313,CFG_WSM)),0)</f>
        <v>0</v>
      </c>
      <c r="AL313" s="80">
        <f>IF(AND(AC313=1,AI313=1),MAX(0,MIN(AA313,CFG_WEM)-CFG_WSM),0)</f>
        <v>0</v>
      </c>
      <c r="AM313" s="80">
        <f>AK313+AL313</f>
        <v>0</v>
      </c>
      <c r="AN313" s="80">
        <f>IF(CFG_BRK="Proporcional",IF(AD313=0,0,AF313*AM313/AD313),IF(CFG_BRK="Extras primero",MIN(AM313,MAX(0,AF313-(AD313-AM313))),MIN(AF313,AM313)))</f>
        <v>0</v>
      </c>
      <c r="AO313" s="80">
        <f>AF313-AN313</f>
        <v>0</v>
      </c>
      <c r="AP313" s="80">
        <f>AM313-AN313</f>
        <v>0</v>
      </c>
      <c r="AQ313" s="80">
        <f>AD313-AM313-AO313</f>
        <v>0</v>
      </c>
      <c r="AR313" s="80">
        <f>IF(AM313=0,0,AK313-AN313*AK313/AM313)</f>
        <v>0</v>
      </c>
      <c r="AS313" s="80">
        <f>IF(AD313-AM313=0,0,(AJ313-AK313)-AO313*(AJ313-AK313)/(AD313-AM313))</f>
        <v>0</v>
      </c>
      <c r="AT313" s="80" t="str">
        <f>IF(AC313=1,INT(B313)+1,"")</f>
        <v/>
      </c>
      <c r="AU313" s="80">
        <f>IF(AND(D313="proMX",R313="Cancelled"),0,1)</f>
        <v>1</v>
      </c>
      <c r="AV313" s="80">
        <f>IF(AND(AB313=1,AU313=1),IF(COUNTIFS($D$5:D312,D313,$B$5:B312,B313,$Z$5:Z312,Z313,$AA$5:AA312,AA313,$F$5:F312,F313&amp;"",$AU$5:AU312,1)&gt;0,1,0),0)</f>
        <v>0</v>
      </c>
      <c r="AW313" s="80" t="str">
        <f>IF(AB313=1,INT(B313)*1440+Z313,"")</f>
        <v/>
      </c>
      <c r="AX313" s="80" t="str">
        <f>IF(AB313=1,AW313+AD313,"")</f>
        <v/>
      </c>
      <c r="AY313" s="80">
        <f>IF(AND(AB313=1,AV313=0,AU313=1),1,0)</f>
        <v>0</v>
      </c>
      <c r="AZ313" s="80">
        <f>IF(AY313=1,COUNTIFS(R_Emp,D313,R_SAbs,"&lt;"&amp;AX313,R_EAbs,"&gt;"&amp;AW313,R_OKey,1)-1,0)</f>
        <v>0</v>
      </c>
      <c r="BA313" s="80">
        <f>IF(AY313=1,COUNTIFS(R_Emp,"&lt;&gt;"&amp;D313,R_SAbs,"&lt;"&amp;AX313,R_EAbs,"&gt;"&amp;AW313,R_OKey,1),0)</f>
        <v>0</v>
      </c>
      <c r="BB313" s="80">
        <f>IF(AND(AB313=1,D313="proMX"),IF(AND(MOD(Z313,CFG_BLK)=0,MOD(AA313,CFG_BLK)=0,MOD(AG313,CFG_BLK)=0,AG313&gt;0),1,0),1)</f>
        <v>1</v>
      </c>
      <c r="BC313" s="80" t="str">
        <f>IF(Y313=0,"",IF(NOT(ISNUMBER(B313)),"Falta fecha o fecha inválida",IF(D313="","Falta empresa",IF(AND(D313&lt;&gt;"Malcolm",D313&lt;&gt;"proMX"),"Empresa inválida",IF(OR(INT(B313)&lt;CFG_PSTART,INT(B313)&gt;CFG_PEND),"Fecha fuera del período",IF(OR(NOT(ISNUMBER(Z313)),NOT(ISNUMBER(AA313))),"Falta hora inicio/fin o formato inválido",IF(AB313=0,"Hora inicio = hora fin",IF(AE313&lt;0,"Descanso inválido",IF(AE313&gt;=AD313,"Descanso ≥ duración",IF(AV313=1,"Registro duplicado",IF(AZ313&gt;0,"Se superpone con otro registro "&amp;D313,IF(BB313=0,"inicio, fin y duración neta deben ser múltiplos de "&amp;CFG_BLK&amp;" min",""))))))))))))</f>
        <v/>
      </c>
      <c r="BD313" s="80">
        <f>IF(AND(Y313=1,BC313=""),1,0)</f>
        <v>0</v>
      </c>
      <c r="BE313" s="80">
        <f>IF(AND(BD313=1,AU313=1),1,0)</f>
        <v>0</v>
      </c>
      <c r="BF313" s="80" t="str">
        <f>IF(AND(D313="proMX",BD313=1),IF(R313="","Draft",R313),"")</f>
        <v/>
      </c>
      <c r="BG313" s="80">
        <f>IF(BD313=1,ROUND(AG313/60,6),0)</f>
        <v>0</v>
      </c>
      <c r="BH313" s="80">
        <f>IF(BE313=1,ROUND(AG313/60,6),0)</f>
        <v>0</v>
      </c>
      <c r="BI313" s="80">
        <f>IF(BE313=1,ROUND(AP313/60,6),0)</f>
        <v>0</v>
      </c>
      <c r="BJ313" s="80">
        <f>IF(BE313=1,ROUND(AQ313/60,6),0)</f>
        <v>0</v>
      </c>
      <c r="BK313" s="80">
        <f>IF(BE313=1,ROUND((AR313+AS313)/60,6),0)</f>
        <v>0</v>
      </c>
      <c r="BL313" s="80">
        <f>ROUND(BH313-BK313,6)</f>
        <v>0</v>
      </c>
      <c r="BM313" s="80">
        <f>IF(BE313=1,ROUND(AR313/60,6),0)</f>
        <v>0</v>
      </c>
      <c r="BN313" s="80">
        <f>ROUND(BI313-BM313,6)</f>
        <v>0</v>
      </c>
      <c r="BO313" s="80">
        <f>IF(BE313=1,ROUND(AS313/60,6),0)</f>
        <v>0</v>
      </c>
      <c r="BP313" s="80">
        <f>ROUND(BJ313-BO313,6)</f>
        <v>0</v>
      </c>
      <c r="BQ313" s="80">
        <f>IF(BE313=1,AW313,0)</f>
        <v>0</v>
      </c>
      <c r="BR313" s="80">
        <f>IF(BE313=1,AX313,0)</f>
        <v>0</v>
      </c>
      <c r="BS313" s="80">
        <f>IF(AND(BE313=1,D313="Malcolm",BA313&gt;0),MIN(BH313,SUMPRODUCT((R_Emp="proMX")*(R_EN&gt;0)*((R_EN-(R_EN&gt;BR313)*(R_EN-BR313))&gt;(R_SN+(R_SN&lt;BQ313)*(BQ313-R_SN)))*((R_EN-(R_EN&gt;BR313)*(R_EN-BR313))-(R_SN+(R_SN&lt;BQ313)*(BQ313-R_SN))))/60),0)</f>
        <v>0</v>
      </c>
      <c r="BT313" s="80">
        <f>IF(AND(BE313=1,D313="proMX"),ROUND(BI313*CFG_RATE+BJ313*CFG_OTRATE,6),0)</f>
        <v>0</v>
      </c>
      <c r="BU313" s="80">
        <f>IF(AND(BD313=1,D313="proMX"),ROUND(AG313/CFG_BLK,6),0)</f>
        <v>0</v>
      </c>
      <c r="BV313" s="80" t="str">
        <f>IF(BF313="Approved",IF(ISNUMBER(T313),INT(T313),INT(B313)),"")</f>
        <v/>
      </c>
      <c r="BW313" s="80">
        <f>IF(ISNUMBER(B313),IF(DB_MON="Todos",1,IF(AND(INT(B313)&gt;=DB_MS,INT(B313)&lt;=DB_ME),1,0)),0)</f>
        <v>0</v>
      </c>
      <c r="BX313" s="80">
        <f>IF(DB_PROJ="Todos",1,IF(E313&amp;""=DB_PROJ&amp;"",1,0))</f>
        <v>1</v>
      </c>
      <c r="BY313" s="80">
        <f>BW313*BX313</f>
        <v>0</v>
      </c>
      <c r="BZ313" s="80" t="str">
        <f>IF(Y313=1,F313&amp;IF(AND(F313&amp;""&lt;&gt;"",E313&amp;""&lt;&gt;"")," · ","")&amp;E313,"")</f>
        <v/>
      </c>
      <c r="CA313" s="80" t="str">
        <f>IF(AND(BD313=1,E313&amp;""&lt;&gt;""),IF(COUNTIFS($E$5:E312,E313,$BD$5:BD312,1)=0,MAX($CA$5:CA312)+1,""),"")</f>
        <v/>
      </c>
      <c r="CB313" s="80" t="str">
        <f>IF(AND(BE313=1,D313="Malcolm",E313&amp;""&lt;&gt;""),IF(COUNTIFS($D$5:D312,"Malcolm",$E$5:E312,E313,$BE$5:BE312,1)=0,MAX($CB$5:CB312)+1,""),"")</f>
        <v/>
      </c>
      <c r="CC313" s="80" t="str">
        <f>IF(AND(BD313=1,D313="proMX",E313&amp;""&lt;&gt;""),IF(COUNTIFS($D$5:D312,"proMX",$E$5:E312,E313,$BD$5:BD312,1)=0,MAX($CC$5:CC312)+1,""),"")</f>
        <v/>
      </c>
      <c r="CD313" s="80" t="str">
        <f>IF(AND(BE313=1,D313="Malcolm",F313&amp;""&lt;&gt;""),IF(COUNTIFS($D$5:D312,"Malcolm",$F$5:F312,F313,$BE$5:BE312,1)=0,MAX($CD$5:CD312)+1,""),"")</f>
        <v/>
      </c>
      <c r="CE313" s="80" t="str">
        <f>IF(AND(BD313=1,D313="proMX",F313&amp;""&lt;&gt;""),IF(COUNTIFS($D$5:D312,"proMX",$F$5:F312,F313,$BD$5:BD312,1)=0,MAX($CE$5:CE312)+1,""),"")</f>
        <v/>
      </c>
      <c r="CF313" s="80" t="str">
        <f>IF(AND(D313="proMX",BD313=1),IF(OR(BF313="Draft",BF313="Submitted",BF313="Returned",BF313="Recall Requested"),MAX($CF$5:CF312)+1,""),"")</f>
        <v/>
      </c>
      <c r="CG313" s="80">
        <f>IF(BD313=0,0,IF(D313="Malcolm",1,MATCH(BF313,{"Draft","Submitted","Approved","Returned","Recall Requested","Cancelled"},0)+1))</f>
        <v>0</v>
      </c>
      <c r="CH313" s="80">
        <f>IF(AND(BF313="Submitted",ISNUMBER(V313)),IF(V313&gt;CFG_MAXD,1,0),0)</f>
        <v>0</v>
      </c>
    </row>
    <row r="314">
      <c r="A314" s="71" t="str">
        <f>IF(Y314=1,ROW()-5,"")</f>
        <v/>
      </c>
      <c r="B314" s="72" t="n"/>
      <c r="C314" s="71" t="str">
        <f>IF(ISNUMBER(B314),CHOOSE(WEEKDAY(B314,2),"Lun","Mar","Mié","Jue","Vie","Sáb","Dom"),"")</f>
        <v/>
      </c>
      <c r="D314" s="73" t="n"/>
      <c r="E314" s="74" t="n"/>
      <c r="F314" s="74" t="n"/>
      <c r="G314" s="74" t="n"/>
      <c r="H314" s="75" t="n"/>
      <c r="I314" s="75" t="n"/>
      <c r="J314" s="76" t="n"/>
      <c r="K314" s="77" t="str">
        <f>IF(AB314=1,ROUND(AG314/60,4),"")</f>
        <v/>
      </c>
      <c r="L314" s="77" t="str">
        <f>IF(BD314=1,ROUND(AP314/60,4),"")</f>
        <v/>
      </c>
      <c r="M314" s="77" t="str">
        <f>IF(BD314=1,ROUND(AQ314/60,4),"")</f>
        <v/>
      </c>
      <c r="N314" s="71" t="str">
        <f>IF(AND(D314="proMX",AB314=1),ROUND(AG314/CFG_BLK,2),"")</f>
        <v/>
      </c>
      <c r="O314" s="77" t="str">
        <f>IF(D314="proMX",IF(BD314=1,ROUND(AG314/60,4),0),"")</f>
        <v/>
      </c>
      <c r="P314" s="78" t="str">
        <f>IF(Y314=0,"",IF(BD314=1,"OK",IF(D314="proMX","Revisar bloques: ","Revisar: ")&amp;BC314))</f>
        <v/>
      </c>
      <c r="Q314" s="78" t="str">
        <f>IF(NOT(ISNUMBER(B314)),"",IF(COUNTIFS(FER_F,INT(B314))&gt;0,"Feriado"&amp;IF(AH314=1," (laborable)"," (no laborable)"),IF(AH314=1,"Laborable",IF(WEEKDAY(B314,2)&gt;5,"Fin de semana","No laborable"))))</f>
        <v/>
      </c>
      <c r="R314" s="73" t="n"/>
      <c r="S314" s="72" t="n"/>
      <c r="T314" s="72" t="n"/>
      <c r="U314" s="74" t="n"/>
      <c r="V314" s="79" t="str">
        <f>IF(AND(D314="proMX",OR(R314="Submitted",R314="Recall Requested"),ISNUMBER(S314)),CFG_TODAY-INT(S314),"")</f>
        <v/>
      </c>
      <c r="W314" s="78" t="str">
        <f>IF(BD314=0,"",IF(BA314&gt;0,"⚠ Se superpone con un registro de la otra empresa",IF(D314="Malcolm",IF(COUNTA(R314,S314,T314)&gt;0,"Estado/fechas proMX se ignoran en Malcolm",""),IF(BF314="Cancelled","Cancelado: excluido de totales",IF(R314="","Sin estado: se trata como Draft",IF(BF314="Submitted",IF(ISNUMBER(V314),IF(V314&gt;CFG_MAXD,"⚠ "&amp;V314&amp;" días en Submitted (máx. "&amp;CFG_MAXD&amp;")",""),"Falta fecha de envío"),IF(BF314="Returned","⚠ Devuelto: corregir y reenviar",IF(BF314="Recall Requested","Retirada solicitada: pendiente",IF(AND(BF314="Approved",NOT(ISNUMBER(T314))),"Falta fecha de aprobación",IF(AND(ISNUMBER(S314),ISNUMBER(T314),T314&lt;S314),"Aprobación anterior al envío","")))))))))</f>
        <v/>
      </c>
      <c r="Y314" s="80">
        <f>IF(COUNTA(B314,D314,E314,F314,G314,H314,I314,J314,R314,S314,T314)&gt;0,1,0)</f>
        <v>0</v>
      </c>
      <c r="Z314" s="80" t="str">
        <f>IF(AND(ISNUMBER(H314),H314&gt;=0,H314&lt;1),ROUND(H314*1440,0),"")</f>
        <v/>
      </c>
      <c r="AA314" s="80" t="str">
        <f>IF(AND(ISNUMBER(I314),I314&gt;=0,I314&lt;1),ROUND(I314*1440,0),"")</f>
        <v/>
      </c>
      <c r="AB314" s="80">
        <f>IF(AND(ISNUMBER(B314),D314&lt;&gt;"",ISNUMBER(Z314),ISNUMBER(AA314)),IF(Z314=AA314,0,1),0)</f>
        <v>0</v>
      </c>
      <c r="AC314" s="80">
        <f>IF(AB314=1,IF(AA314&lt;Z314,1,0),0)</f>
        <v>0</v>
      </c>
      <c r="AD314" s="80">
        <f>IF(AB314=1,IF(AC314=1,1440-Z314+AA314,AA314-Z314),0)</f>
        <v>0</v>
      </c>
      <c r="AE314" s="80">
        <f>IF(J314="",0,IF(ISNUMBER(J314),J314,-1))</f>
        <v>0</v>
      </c>
      <c r="AF314" s="80">
        <f>MIN(MAX(0,AE314),AD314)</f>
        <v>0</v>
      </c>
      <c r="AG314" s="80">
        <f>MAX(0,AD314-MAX(0,AE314))</f>
        <v>0</v>
      </c>
      <c r="AH314" s="80">
        <f>IF(ISNUMBER(B314),IF(AND(INDEX(CFG_WDAYS,WEEKDAY(INT(B314),2))="Sí",IF(D314="proMX",COUNTIFS(FER_F,INT(B314),FER_NLP,"Sí"),COUNTIFS(FER_F,INT(B314),FER_NLM,"Sí"))=0),1,0),0)</f>
        <v>0</v>
      </c>
      <c r="AI314" s="80">
        <f>IF(AC314=1,IF(AND(INDEX(CFG_WDAYS,WEEKDAY(INT(B314)+1,2))="Sí",IF(D314="proMX",COUNTIFS(FER_F,INT(B314)+1,FER_NLP,"Sí"),COUNTIFS(FER_F,INT(B314)+1,FER_NLM,"Sí"))=0),1,0),0)</f>
        <v>0</v>
      </c>
      <c r="AJ314" s="80">
        <f>IF(AC314=1,1440-Z314,AD314)</f>
        <v>0</v>
      </c>
      <c r="AK314" s="80">
        <f>IF(AND(AB314=1,AH314=1),MAX(0,MIN(IF(AC314=1,1440,AA314),CFG_WEM)-MAX(Z314,CFG_WSM)),0)</f>
        <v>0</v>
      </c>
      <c r="AL314" s="80">
        <f>IF(AND(AC314=1,AI314=1),MAX(0,MIN(AA314,CFG_WEM)-CFG_WSM),0)</f>
        <v>0</v>
      </c>
      <c r="AM314" s="80">
        <f>AK314+AL314</f>
        <v>0</v>
      </c>
      <c r="AN314" s="80">
        <f>IF(CFG_BRK="Proporcional",IF(AD314=0,0,AF314*AM314/AD314),IF(CFG_BRK="Extras primero",MIN(AM314,MAX(0,AF314-(AD314-AM314))),MIN(AF314,AM314)))</f>
        <v>0</v>
      </c>
      <c r="AO314" s="80">
        <f>AF314-AN314</f>
        <v>0</v>
      </c>
      <c r="AP314" s="80">
        <f>AM314-AN314</f>
        <v>0</v>
      </c>
      <c r="AQ314" s="80">
        <f>AD314-AM314-AO314</f>
        <v>0</v>
      </c>
      <c r="AR314" s="80">
        <f>IF(AM314=0,0,AK314-AN314*AK314/AM314)</f>
        <v>0</v>
      </c>
      <c r="AS314" s="80">
        <f>IF(AD314-AM314=0,0,(AJ314-AK314)-AO314*(AJ314-AK314)/(AD314-AM314))</f>
        <v>0</v>
      </c>
      <c r="AT314" s="80" t="str">
        <f>IF(AC314=1,INT(B314)+1,"")</f>
        <v/>
      </c>
      <c r="AU314" s="80">
        <f>IF(AND(D314="proMX",R314="Cancelled"),0,1)</f>
        <v>1</v>
      </c>
      <c r="AV314" s="80">
        <f>IF(AND(AB314=1,AU314=1),IF(COUNTIFS($D$5:D313,D314,$B$5:B313,B314,$Z$5:Z313,Z314,$AA$5:AA313,AA314,$F$5:F313,F314&amp;"",$AU$5:AU313,1)&gt;0,1,0),0)</f>
        <v>0</v>
      </c>
      <c r="AW314" s="80" t="str">
        <f>IF(AB314=1,INT(B314)*1440+Z314,"")</f>
        <v/>
      </c>
      <c r="AX314" s="80" t="str">
        <f>IF(AB314=1,AW314+AD314,"")</f>
        <v/>
      </c>
      <c r="AY314" s="80">
        <f>IF(AND(AB314=1,AV314=0,AU314=1),1,0)</f>
        <v>0</v>
      </c>
      <c r="AZ314" s="80">
        <f>IF(AY314=1,COUNTIFS(R_Emp,D314,R_SAbs,"&lt;"&amp;AX314,R_EAbs,"&gt;"&amp;AW314,R_OKey,1)-1,0)</f>
        <v>0</v>
      </c>
      <c r="BA314" s="80">
        <f>IF(AY314=1,COUNTIFS(R_Emp,"&lt;&gt;"&amp;D314,R_SAbs,"&lt;"&amp;AX314,R_EAbs,"&gt;"&amp;AW314,R_OKey,1),0)</f>
        <v>0</v>
      </c>
      <c r="BB314" s="80">
        <f>IF(AND(AB314=1,D314="proMX"),IF(AND(MOD(Z314,CFG_BLK)=0,MOD(AA314,CFG_BLK)=0,MOD(AG314,CFG_BLK)=0,AG314&gt;0),1,0),1)</f>
        <v>1</v>
      </c>
      <c r="BC314" s="80" t="str">
        <f>IF(Y314=0,"",IF(NOT(ISNUMBER(B314)),"Falta fecha o fecha inválida",IF(D314="","Falta empresa",IF(AND(D314&lt;&gt;"Malcolm",D314&lt;&gt;"proMX"),"Empresa inválida",IF(OR(INT(B314)&lt;CFG_PSTART,INT(B314)&gt;CFG_PEND),"Fecha fuera del período",IF(OR(NOT(ISNUMBER(Z314)),NOT(ISNUMBER(AA314))),"Falta hora inicio/fin o formato inválido",IF(AB314=0,"Hora inicio = hora fin",IF(AE314&lt;0,"Descanso inválido",IF(AE314&gt;=AD314,"Descanso ≥ duración",IF(AV314=1,"Registro duplicado",IF(AZ314&gt;0,"Se superpone con otro registro "&amp;D314,IF(BB314=0,"inicio, fin y duración neta deben ser múltiplos de "&amp;CFG_BLK&amp;" min",""))))))))))))</f>
        <v/>
      </c>
      <c r="BD314" s="80">
        <f>IF(AND(Y314=1,BC314=""),1,0)</f>
        <v>0</v>
      </c>
      <c r="BE314" s="80">
        <f>IF(AND(BD314=1,AU314=1),1,0)</f>
        <v>0</v>
      </c>
      <c r="BF314" s="80" t="str">
        <f>IF(AND(D314="proMX",BD314=1),IF(R314="","Draft",R314),"")</f>
        <v/>
      </c>
      <c r="BG314" s="80">
        <f>IF(BD314=1,ROUND(AG314/60,6),0)</f>
        <v>0</v>
      </c>
      <c r="BH314" s="80">
        <f>IF(BE314=1,ROUND(AG314/60,6),0)</f>
        <v>0</v>
      </c>
      <c r="BI314" s="80">
        <f>IF(BE314=1,ROUND(AP314/60,6),0)</f>
        <v>0</v>
      </c>
      <c r="BJ314" s="80">
        <f>IF(BE314=1,ROUND(AQ314/60,6),0)</f>
        <v>0</v>
      </c>
      <c r="BK314" s="80">
        <f>IF(BE314=1,ROUND((AR314+AS314)/60,6),0)</f>
        <v>0</v>
      </c>
      <c r="BL314" s="80">
        <f>ROUND(BH314-BK314,6)</f>
        <v>0</v>
      </c>
      <c r="BM314" s="80">
        <f>IF(BE314=1,ROUND(AR314/60,6),0)</f>
        <v>0</v>
      </c>
      <c r="BN314" s="80">
        <f>ROUND(BI314-BM314,6)</f>
        <v>0</v>
      </c>
      <c r="BO314" s="80">
        <f>IF(BE314=1,ROUND(AS314/60,6),0)</f>
        <v>0</v>
      </c>
      <c r="BP314" s="80">
        <f>ROUND(BJ314-BO314,6)</f>
        <v>0</v>
      </c>
      <c r="BQ314" s="80">
        <f>IF(BE314=1,AW314,0)</f>
        <v>0</v>
      </c>
      <c r="BR314" s="80">
        <f>IF(BE314=1,AX314,0)</f>
        <v>0</v>
      </c>
      <c r="BS314" s="80">
        <f>IF(AND(BE314=1,D314="Malcolm",BA314&gt;0),MIN(BH314,SUMPRODUCT((R_Emp="proMX")*(R_EN&gt;0)*((R_EN-(R_EN&gt;BR314)*(R_EN-BR314))&gt;(R_SN+(R_SN&lt;BQ314)*(BQ314-R_SN)))*((R_EN-(R_EN&gt;BR314)*(R_EN-BR314))-(R_SN+(R_SN&lt;BQ314)*(BQ314-R_SN))))/60),0)</f>
        <v>0</v>
      </c>
      <c r="BT314" s="80">
        <f>IF(AND(BE314=1,D314="proMX"),ROUND(BI314*CFG_RATE+BJ314*CFG_OTRATE,6),0)</f>
        <v>0</v>
      </c>
      <c r="BU314" s="80">
        <f>IF(AND(BD314=1,D314="proMX"),ROUND(AG314/CFG_BLK,6),0)</f>
        <v>0</v>
      </c>
      <c r="BV314" s="80" t="str">
        <f>IF(BF314="Approved",IF(ISNUMBER(T314),INT(T314),INT(B314)),"")</f>
        <v/>
      </c>
      <c r="BW314" s="80">
        <f>IF(ISNUMBER(B314),IF(DB_MON="Todos",1,IF(AND(INT(B314)&gt;=DB_MS,INT(B314)&lt;=DB_ME),1,0)),0)</f>
        <v>0</v>
      </c>
      <c r="BX314" s="80">
        <f>IF(DB_PROJ="Todos",1,IF(E314&amp;""=DB_PROJ&amp;"",1,0))</f>
        <v>1</v>
      </c>
      <c r="BY314" s="80">
        <f>BW314*BX314</f>
        <v>0</v>
      </c>
      <c r="BZ314" s="80" t="str">
        <f>IF(Y314=1,F314&amp;IF(AND(F314&amp;""&lt;&gt;"",E314&amp;""&lt;&gt;"")," · ","")&amp;E314,"")</f>
        <v/>
      </c>
      <c r="CA314" s="80" t="str">
        <f>IF(AND(BD314=1,E314&amp;""&lt;&gt;""),IF(COUNTIFS($E$5:E313,E314,$BD$5:BD313,1)=0,MAX($CA$5:CA313)+1,""),"")</f>
        <v/>
      </c>
      <c r="CB314" s="80" t="str">
        <f>IF(AND(BE314=1,D314="Malcolm",E314&amp;""&lt;&gt;""),IF(COUNTIFS($D$5:D313,"Malcolm",$E$5:E313,E314,$BE$5:BE313,1)=0,MAX($CB$5:CB313)+1,""),"")</f>
        <v/>
      </c>
      <c r="CC314" s="80" t="str">
        <f>IF(AND(BD314=1,D314="proMX",E314&amp;""&lt;&gt;""),IF(COUNTIFS($D$5:D313,"proMX",$E$5:E313,E314,$BD$5:BD313,1)=0,MAX($CC$5:CC313)+1,""),"")</f>
        <v/>
      </c>
      <c r="CD314" s="80" t="str">
        <f>IF(AND(BE314=1,D314="Malcolm",F314&amp;""&lt;&gt;""),IF(COUNTIFS($D$5:D313,"Malcolm",$F$5:F313,F314,$BE$5:BE313,1)=0,MAX($CD$5:CD313)+1,""),"")</f>
        <v/>
      </c>
      <c r="CE314" s="80" t="str">
        <f>IF(AND(BD314=1,D314="proMX",F314&amp;""&lt;&gt;""),IF(COUNTIFS($D$5:D313,"proMX",$F$5:F313,F314,$BD$5:BD313,1)=0,MAX($CE$5:CE313)+1,""),"")</f>
        <v/>
      </c>
      <c r="CF314" s="80" t="str">
        <f>IF(AND(D314="proMX",BD314=1),IF(OR(BF314="Draft",BF314="Submitted",BF314="Returned",BF314="Recall Requested"),MAX($CF$5:CF313)+1,""),"")</f>
        <v/>
      </c>
      <c r="CG314" s="80">
        <f>IF(BD314=0,0,IF(D314="Malcolm",1,MATCH(BF314,{"Draft","Submitted","Approved","Returned","Recall Requested","Cancelled"},0)+1))</f>
        <v>0</v>
      </c>
      <c r="CH314" s="80">
        <f>IF(AND(BF314="Submitted",ISNUMBER(V314)),IF(V314&gt;CFG_MAXD,1,0),0)</f>
        <v>0</v>
      </c>
    </row>
    <row r="315">
      <c r="A315" s="71" t="str">
        <f>IF(Y315=1,ROW()-5,"")</f>
        <v/>
      </c>
      <c r="B315" s="72" t="n"/>
      <c r="C315" s="71" t="str">
        <f>IF(ISNUMBER(B315),CHOOSE(WEEKDAY(B315,2),"Lun","Mar","Mié","Jue","Vie","Sáb","Dom"),"")</f>
        <v/>
      </c>
      <c r="D315" s="73" t="n"/>
      <c r="E315" s="74" t="n"/>
      <c r="F315" s="74" t="n"/>
      <c r="G315" s="74" t="n"/>
      <c r="H315" s="75" t="n"/>
      <c r="I315" s="75" t="n"/>
      <c r="J315" s="76" t="n"/>
      <c r="K315" s="77" t="str">
        <f>IF(AB315=1,ROUND(AG315/60,4),"")</f>
        <v/>
      </c>
      <c r="L315" s="77" t="str">
        <f>IF(BD315=1,ROUND(AP315/60,4),"")</f>
        <v/>
      </c>
      <c r="M315" s="77" t="str">
        <f>IF(BD315=1,ROUND(AQ315/60,4),"")</f>
        <v/>
      </c>
      <c r="N315" s="71" t="str">
        <f>IF(AND(D315="proMX",AB315=1),ROUND(AG315/CFG_BLK,2),"")</f>
        <v/>
      </c>
      <c r="O315" s="77" t="str">
        <f>IF(D315="proMX",IF(BD315=1,ROUND(AG315/60,4),0),"")</f>
        <v/>
      </c>
      <c r="P315" s="78" t="str">
        <f>IF(Y315=0,"",IF(BD315=1,"OK",IF(D315="proMX","Revisar bloques: ","Revisar: ")&amp;BC315))</f>
        <v/>
      </c>
      <c r="Q315" s="78" t="str">
        <f>IF(NOT(ISNUMBER(B315)),"",IF(COUNTIFS(FER_F,INT(B315))&gt;0,"Feriado"&amp;IF(AH315=1," (laborable)"," (no laborable)"),IF(AH315=1,"Laborable",IF(WEEKDAY(B315,2)&gt;5,"Fin de semana","No laborable"))))</f>
        <v/>
      </c>
      <c r="R315" s="73" t="n"/>
      <c r="S315" s="72" t="n"/>
      <c r="T315" s="72" t="n"/>
      <c r="U315" s="74" t="n"/>
      <c r="V315" s="79" t="str">
        <f>IF(AND(D315="proMX",OR(R315="Submitted",R315="Recall Requested"),ISNUMBER(S315)),CFG_TODAY-INT(S315),"")</f>
        <v/>
      </c>
      <c r="W315" s="78" t="str">
        <f>IF(BD315=0,"",IF(BA315&gt;0,"⚠ Se superpone con un registro de la otra empresa",IF(D315="Malcolm",IF(COUNTA(R315,S315,T315)&gt;0,"Estado/fechas proMX se ignoran en Malcolm",""),IF(BF315="Cancelled","Cancelado: excluido de totales",IF(R315="","Sin estado: se trata como Draft",IF(BF315="Submitted",IF(ISNUMBER(V315),IF(V315&gt;CFG_MAXD,"⚠ "&amp;V315&amp;" días en Submitted (máx. "&amp;CFG_MAXD&amp;")",""),"Falta fecha de envío"),IF(BF315="Returned","⚠ Devuelto: corregir y reenviar",IF(BF315="Recall Requested","Retirada solicitada: pendiente",IF(AND(BF315="Approved",NOT(ISNUMBER(T315))),"Falta fecha de aprobación",IF(AND(ISNUMBER(S315),ISNUMBER(T315),T315&lt;S315),"Aprobación anterior al envío","")))))))))</f>
        <v/>
      </c>
      <c r="Y315" s="80">
        <f>IF(COUNTA(B315,D315,E315,F315,G315,H315,I315,J315,R315,S315,T315)&gt;0,1,0)</f>
        <v>0</v>
      </c>
      <c r="Z315" s="80" t="str">
        <f>IF(AND(ISNUMBER(H315),H315&gt;=0,H315&lt;1),ROUND(H315*1440,0),"")</f>
        <v/>
      </c>
      <c r="AA315" s="80" t="str">
        <f>IF(AND(ISNUMBER(I315),I315&gt;=0,I315&lt;1),ROUND(I315*1440,0),"")</f>
        <v/>
      </c>
      <c r="AB315" s="80">
        <f>IF(AND(ISNUMBER(B315),D315&lt;&gt;"",ISNUMBER(Z315),ISNUMBER(AA315)),IF(Z315=AA315,0,1),0)</f>
        <v>0</v>
      </c>
      <c r="AC315" s="80">
        <f>IF(AB315=1,IF(AA315&lt;Z315,1,0),0)</f>
        <v>0</v>
      </c>
      <c r="AD315" s="80">
        <f>IF(AB315=1,IF(AC315=1,1440-Z315+AA315,AA315-Z315),0)</f>
        <v>0</v>
      </c>
      <c r="AE315" s="80">
        <f>IF(J315="",0,IF(ISNUMBER(J315),J315,-1))</f>
        <v>0</v>
      </c>
      <c r="AF315" s="80">
        <f>MIN(MAX(0,AE315),AD315)</f>
        <v>0</v>
      </c>
      <c r="AG315" s="80">
        <f>MAX(0,AD315-MAX(0,AE315))</f>
        <v>0</v>
      </c>
      <c r="AH315" s="80">
        <f>IF(ISNUMBER(B315),IF(AND(INDEX(CFG_WDAYS,WEEKDAY(INT(B315),2))="Sí",IF(D315="proMX",COUNTIFS(FER_F,INT(B315),FER_NLP,"Sí"),COUNTIFS(FER_F,INT(B315),FER_NLM,"Sí"))=0),1,0),0)</f>
        <v>0</v>
      </c>
      <c r="AI315" s="80">
        <f>IF(AC315=1,IF(AND(INDEX(CFG_WDAYS,WEEKDAY(INT(B315)+1,2))="Sí",IF(D315="proMX",COUNTIFS(FER_F,INT(B315)+1,FER_NLP,"Sí"),COUNTIFS(FER_F,INT(B315)+1,FER_NLM,"Sí"))=0),1,0),0)</f>
        <v>0</v>
      </c>
      <c r="AJ315" s="80">
        <f>IF(AC315=1,1440-Z315,AD315)</f>
        <v>0</v>
      </c>
      <c r="AK315" s="80">
        <f>IF(AND(AB315=1,AH315=1),MAX(0,MIN(IF(AC315=1,1440,AA315),CFG_WEM)-MAX(Z315,CFG_WSM)),0)</f>
        <v>0</v>
      </c>
      <c r="AL315" s="80">
        <f>IF(AND(AC315=1,AI315=1),MAX(0,MIN(AA315,CFG_WEM)-CFG_WSM),0)</f>
        <v>0</v>
      </c>
      <c r="AM315" s="80">
        <f>AK315+AL315</f>
        <v>0</v>
      </c>
      <c r="AN315" s="80">
        <f>IF(CFG_BRK="Proporcional",IF(AD315=0,0,AF315*AM315/AD315),IF(CFG_BRK="Extras primero",MIN(AM315,MAX(0,AF315-(AD315-AM315))),MIN(AF315,AM315)))</f>
        <v>0</v>
      </c>
      <c r="AO315" s="80">
        <f>AF315-AN315</f>
        <v>0</v>
      </c>
      <c r="AP315" s="80">
        <f>AM315-AN315</f>
        <v>0</v>
      </c>
      <c r="AQ315" s="80">
        <f>AD315-AM315-AO315</f>
        <v>0</v>
      </c>
      <c r="AR315" s="80">
        <f>IF(AM315=0,0,AK315-AN315*AK315/AM315)</f>
        <v>0</v>
      </c>
      <c r="AS315" s="80">
        <f>IF(AD315-AM315=0,0,(AJ315-AK315)-AO315*(AJ315-AK315)/(AD315-AM315))</f>
        <v>0</v>
      </c>
      <c r="AT315" s="80" t="str">
        <f>IF(AC315=1,INT(B315)+1,"")</f>
        <v/>
      </c>
      <c r="AU315" s="80">
        <f>IF(AND(D315="proMX",R315="Cancelled"),0,1)</f>
        <v>1</v>
      </c>
      <c r="AV315" s="80">
        <f>IF(AND(AB315=1,AU315=1),IF(COUNTIFS($D$5:D314,D315,$B$5:B314,B315,$Z$5:Z314,Z315,$AA$5:AA314,AA315,$F$5:F314,F315&amp;"",$AU$5:AU314,1)&gt;0,1,0),0)</f>
        <v>0</v>
      </c>
      <c r="AW315" s="80" t="str">
        <f>IF(AB315=1,INT(B315)*1440+Z315,"")</f>
        <v/>
      </c>
      <c r="AX315" s="80" t="str">
        <f>IF(AB315=1,AW315+AD315,"")</f>
        <v/>
      </c>
      <c r="AY315" s="80">
        <f>IF(AND(AB315=1,AV315=0,AU315=1),1,0)</f>
        <v>0</v>
      </c>
      <c r="AZ315" s="80">
        <f>IF(AY315=1,COUNTIFS(R_Emp,D315,R_SAbs,"&lt;"&amp;AX315,R_EAbs,"&gt;"&amp;AW315,R_OKey,1)-1,0)</f>
        <v>0</v>
      </c>
      <c r="BA315" s="80">
        <f>IF(AY315=1,COUNTIFS(R_Emp,"&lt;&gt;"&amp;D315,R_SAbs,"&lt;"&amp;AX315,R_EAbs,"&gt;"&amp;AW315,R_OKey,1),0)</f>
        <v>0</v>
      </c>
      <c r="BB315" s="80">
        <f>IF(AND(AB315=1,D315="proMX"),IF(AND(MOD(Z315,CFG_BLK)=0,MOD(AA315,CFG_BLK)=0,MOD(AG315,CFG_BLK)=0,AG315&gt;0),1,0),1)</f>
        <v>1</v>
      </c>
      <c r="BC315" s="80" t="str">
        <f>IF(Y315=0,"",IF(NOT(ISNUMBER(B315)),"Falta fecha o fecha inválida",IF(D315="","Falta empresa",IF(AND(D315&lt;&gt;"Malcolm",D315&lt;&gt;"proMX"),"Empresa inválida",IF(OR(INT(B315)&lt;CFG_PSTART,INT(B315)&gt;CFG_PEND),"Fecha fuera del período",IF(OR(NOT(ISNUMBER(Z315)),NOT(ISNUMBER(AA315))),"Falta hora inicio/fin o formato inválido",IF(AB315=0,"Hora inicio = hora fin",IF(AE315&lt;0,"Descanso inválido",IF(AE315&gt;=AD315,"Descanso ≥ duración",IF(AV315=1,"Registro duplicado",IF(AZ315&gt;0,"Se superpone con otro registro "&amp;D315,IF(BB315=0,"inicio, fin y duración neta deben ser múltiplos de "&amp;CFG_BLK&amp;" min",""))))))))))))</f>
        <v/>
      </c>
      <c r="BD315" s="80">
        <f>IF(AND(Y315=1,BC315=""),1,0)</f>
        <v>0</v>
      </c>
      <c r="BE315" s="80">
        <f>IF(AND(BD315=1,AU315=1),1,0)</f>
        <v>0</v>
      </c>
      <c r="BF315" s="80" t="str">
        <f>IF(AND(D315="proMX",BD315=1),IF(R315="","Draft",R315),"")</f>
        <v/>
      </c>
      <c r="BG315" s="80">
        <f>IF(BD315=1,ROUND(AG315/60,6),0)</f>
        <v>0</v>
      </c>
      <c r="BH315" s="80">
        <f>IF(BE315=1,ROUND(AG315/60,6),0)</f>
        <v>0</v>
      </c>
      <c r="BI315" s="80">
        <f>IF(BE315=1,ROUND(AP315/60,6),0)</f>
        <v>0</v>
      </c>
      <c r="BJ315" s="80">
        <f>IF(BE315=1,ROUND(AQ315/60,6),0)</f>
        <v>0</v>
      </c>
      <c r="BK315" s="80">
        <f>IF(BE315=1,ROUND((AR315+AS315)/60,6),0)</f>
        <v>0</v>
      </c>
      <c r="BL315" s="80">
        <f>ROUND(BH315-BK315,6)</f>
        <v>0</v>
      </c>
      <c r="BM315" s="80">
        <f>IF(BE315=1,ROUND(AR315/60,6),0)</f>
        <v>0</v>
      </c>
      <c r="BN315" s="80">
        <f>ROUND(BI315-BM315,6)</f>
        <v>0</v>
      </c>
      <c r="BO315" s="80">
        <f>IF(BE315=1,ROUND(AS315/60,6),0)</f>
        <v>0</v>
      </c>
      <c r="BP315" s="80">
        <f>ROUND(BJ315-BO315,6)</f>
        <v>0</v>
      </c>
      <c r="BQ315" s="80">
        <f>IF(BE315=1,AW315,0)</f>
        <v>0</v>
      </c>
      <c r="BR315" s="80">
        <f>IF(BE315=1,AX315,0)</f>
        <v>0</v>
      </c>
      <c r="BS315" s="80">
        <f>IF(AND(BE315=1,D315="Malcolm",BA315&gt;0),MIN(BH315,SUMPRODUCT((R_Emp="proMX")*(R_EN&gt;0)*((R_EN-(R_EN&gt;BR315)*(R_EN-BR315))&gt;(R_SN+(R_SN&lt;BQ315)*(BQ315-R_SN)))*((R_EN-(R_EN&gt;BR315)*(R_EN-BR315))-(R_SN+(R_SN&lt;BQ315)*(BQ315-R_SN))))/60),0)</f>
        <v>0</v>
      </c>
      <c r="BT315" s="80">
        <f>IF(AND(BE315=1,D315="proMX"),ROUND(BI315*CFG_RATE+BJ315*CFG_OTRATE,6),0)</f>
        <v>0</v>
      </c>
      <c r="BU315" s="80">
        <f>IF(AND(BD315=1,D315="proMX"),ROUND(AG315/CFG_BLK,6),0)</f>
        <v>0</v>
      </c>
      <c r="BV315" s="80" t="str">
        <f>IF(BF315="Approved",IF(ISNUMBER(T315),INT(T315),INT(B315)),"")</f>
        <v/>
      </c>
      <c r="BW315" s="80">
        <f>IF(ISNUMBER(B315),IF(DB_MON="Todos",1,IF(AND(INT(B315)&gt;=DB_MS,INT(B315)&lt;=DB_ME),1,0)),0)</f>
        <v>0</v>
      </c>
      <c r="BX315" s="80">
        <f>IF(DB_PROJ="Todos",1,IF(E315&amp;""=DB_PROJ&amp;"",1,0))</f>
        <v>1</v>
      </c>
      <c r="BY315" s="80">
        <f>BW315*BX315</f>
        <v>0</v>
      </c>
      <c r="BZ315" s="80" t="str">
        <f>IF(Y315=1,F315&amp;IF(AND(F315&amp;""&lt;&gt;"",E315&amp;""&lt;&gt;"")," · ","")&amp;E315,"")</f>
        <v/>
      </c>
      <c r="CA315" s="80" t="str">
        <f>IF(AND(BD315=1,E315&amp;""&lt;&gt;""),IF(COUNTIFS($E$5:E314,E315,$BD$5:BD314,1)=0,MAX($CA$5:CA314)+1,""),"")</f>
        <v/>
      </c>
      <c r="CB315" s="80" t="str">
        <f>IF(AND(BE315=1,D315="Malcolm",E315&amp;""&lt;&gt;""),IF(COUNTIFS($D$5:D314,"Malcolm",$E$5:E314,E315,$BE$5:BE314,1)=0,MAX($CB$5:CB314)+1,""),"")</f>
        <v/>
      </c>
      <c r="CC315" s="80" t="str">
        <f>IF(AND(BD315=1,D315="proMX",E315&amp;""&lt;&gt;""),IF(COUNTIFS($D$5:D314,"proMX",$E$5:E314,E315,$BD$5:BD314,1)=0,MAX($CC$5:CC314)+1,""),"")</f>
        <v/>
      </c>
      <c r="CD315" s="80" t="str">
        <f>IF(AND(BE315=1,D315="Malcolm",F315&amp;""&lt;&gt;""),IF(COUNTIFS($D$5:D314,"Malcolm",$F$5:F314,F315,$BE$5:BE314,1)=0,MAX($CD$5:CD314)+1,""),"")</f>
        <v/>
      </c>
      <c r="CE315" s="80" t="str">
        <f>IF(AND(BD315=1,D315="proMX",F315&amp;""&lt;&gt;""),IF(COUNTIFS($D$5:D314,"proMX",$F$5:F314,F315,$BD$5:BD314,1)=0,MAX($CE$5:CE314)+1,""),"")</f>
        <v/>
      </c>
      <c r="CF315" s="80" t="str">
        <f>IF(AND(D315="proMX",BD315=1),IF(OR(BF315="Draft",BF315="Submitted",BF315="Returned",BF315="Recall Requested"),MAX($CF$5:CF314)+1,""),"")</f>
        <v/>
      </c>
      <c r="CG315" s="80">
        <f>IF(BD315=0,0,IF(D315="Malcolm",1,MATCH(BF315,{"Draft","Submitted","Approved","Returned","Recall Requested","Cancelled"},0)+1))</f>
        <v>0</v>
      </c>
      <c r="CH315" s="80">
        <f>IF(AND(BF315="Submitted",ISNUMBER(V315)),IF(V315&gt;CFG_MAXD,1,0),0)</f>
        <v>0</v>
      </c>
    </row>
    <row r="316">
      <c r="A316" s="71" t="str">
        <f>IF(Y316=1,ROW()-5,"")</f>
        <v/>
      </c>
      <c r="B316" s="72" t="n"/>
      <c r="C316" s="71" t="str">
        <f>IF(ISNUMBER(B316),CHOOSE(WEEKDAY(B316,2),"Lun","Mar","Mié","Jue","Vie","Sáb","Dom"),"")</f>
        <v/>
      </c>
      <c r="D316" s="73" t="n"/>
      <c r="E316" s="74" t="n"/>
      <c r="F316" s="74" t="n"/>
      <c r="G316" s="74" t="n"/>
      <c r="H316" s="75" t="n"/>
      <c r="I316" s="75" t="n"/>
      <c r="J316" s="76" t="n"/>
      <c r="K316" s="77" t="str">
        <f>IF(AB316=1,ROUND(AG316/60,4),"")</f>
        <v/>
      </c>
      <c r="L316" s="77" t="str">
        <f>IF(BD316=1,ROUND(AP316/60,4),"")</f>
        <v/>
      </c>
      <c r="M316" s="77" t="str">
        <f>IF(BD316=1,ROUND(AQ316/60,4),"")</f>
        <v/>
      </c>
      <c r="N316" s="71" t="str">
        <f>IF(AND(D316="proMX",AB316=1),ROUND(AG316/CFG_BLK,2),"")</f>
        <v/>
      </c>
      <c r="O316" s="77" t="str">
        <f>IF(D316="proMX",IF(BD316=1,ROUND(AG316/60,4),0),"")</f>
        <v/>
      </c>
      <c r="P316" s="78" t="str">
        <f>IF(Y316=0,"",IF(BD316=1,"OK",IF(D316="proMX","Revisar bloques: ","Revisar: ")&amp;BC316))</f>
        <v/>
      </c>
      <c r="Q316" s="78" t="str">
        <f>IF(NOT(ISNUMBER(B316)),"",IF(COUNTIFS(FER_F,INT(B316))&gt;0,"Feriado"&amp;IF(AH316=1," (laborable)"," (no laborable)"),IF(AH316=1,"Laborable",IF(WEEKDAY(B316,2)&gt;5,"Fin de semana","No laborable"))))</f>
        <v/>
      </c>
      <c r="R316" s="73" t="n"/>
      <c r="S316" s="72" t="n"/>
      <c r="T316" s="72" t="n"/>
      <c r="U316" s="74" t="n"/>
      <c r="V316" s="79" t="str">
        <f>IF(AND(D316="proMX",OR(R316="Submitted",R316="Recall Requested"),ISNUMBER(S316)),CFG_TODAY-INT(S316),"")</f>
        <v/>
      </c>
      <c r="W316" s="78" t="str">
        <f>IF(BD316=0,"",IF(BA316&gt;0,"⚠ Se superpone con un registro de la otra empresa",IF(D316="Malcolm",IF(COUNTA(R316,S316,T316)&gt;0,"Estado/fechas proMX se ignoran en Malcolm",""),IF(BF316="Cancelled","Cancelado: excluido de totales",IF(R316="","Sin estado: se trata como Draft",IF(BF316="Submitted",IF(ISNUMBER(V316),IF(V316&gt;CFG_MAXD,"⚠ "&amp;V316&amp;" días en Submitted (máx. "&amp;CFG_MAXD&amp;")",""),"Falta fecha de envío"),IF(BF316="Returned","⚠ Devuelto: corregir y reenviar",IF(BF316="Recall Requested","Retirada solicitada: pendiente",IF(AND(BF316="Approved",NOT(ISNUMBER(T316))),"Falta fecha de aprobación",IF(AND(ISNUMBER(S316),ISNUMBER(T316),T316&lt;S316),"Aprobación anterior al envío","")))))))))</f>
        <v/>
      </c>
      <c r="Y316" s="80">
        <f>IF(COUNTA(B316,D316,E316,F316,G316,H316,I316,J316,R316,S316,T316)&gt;0,1,0)</f>
        <v>0</v>
      </c>
      <c r="Z316" s="80" t="str">
        <f>IF(AND(ISNUMBER(H316),H316&gt;=0,H316&lt;1),ROUND(H316*1440,0),"")</f>
        <v/>
      </c>
      <c r="AA316" s="80" t="str">
        <f>IF(AND(ISNUMBER(I316),I316&gt;=0,I316&lt;1),ROUND(I316*1440,0),"")</f>
        <v/>
      </c>
      <c r="AB316" s="80">
        <f>IF(AND(ISNUMBER(B316),D316&lt;&gt;"",ISNUMBER(Z316),ISNUMBER(AA316)),IF(Z316=AA316,0,1),0)</f>
        <v>0</v>
      </c>
      <c r="AC316" s="80">
        <f>IF(AB316=1,IF(AA316&lt;Z316,1,0),0)</f>
        <v>0</v>
      </c>
      <c r="AD316" s="80">
        <f>IF(AB316=1,IF(AC316=1,1440-Z316+AA316,AA316-Z316),0)</f>
        <v>0</v>
      </c>
      <c r="AE316" s="80">
        <f>IF(J316="",0,IF(ISNUMBER(J316),J316,-1))</f>
        <v>0</v>
      </c>
      <c r="AF316" s="80">
        <f>MIN(MAX(0,AE316),AD316)</f>
        <v>0</v>
      </c>
      <c r="AG316" s="80">
        <f>MAX(0,AD316-MAX(0,AE316))</f>
        <v>0</v>
      </c>
      <c r="AH316" s="80">
        <f>IF(ISNUMBER(B316),IF(AND(INDEX(CFG_WDAYS,WEEKDAY(INT(B316),2))="Sí",IF(D316="proMX",COUNTIFS(FER_F,INT(B316),FER_NLP,"Sí"),COUNTIFS(FER_F,INT(B316),FER_NLM,"Sí"))=0),1,0),0)</f>
        <v>0</v>
      </c>
      <c r="AI316" s="80">
        <f>IF(AC316=1,IF(AND(INDEX(CFG_WDAYS,WEEKDAY(INT(B316)+1,2))="Sí",IF(D316="proMX",COUNTIFS(FER_F,INT(B316)+1,FER_NLP,"Sí"),COUNTIFS(FER_F,INT(B316)+1,FER_NLM,"Sí"))=0),1,0),0)</f>
        <v>0</v>
      </c>
      <c r="AJ316" s="80">
        <f>IF(AC316=1,1440-Z316,AD316)</f>
        <v>0</v>
      </c>
      <c r="AK316" s="80">
        <f>IF(AND(AB316=1,AH316=1),MAX(0,MIN(IF(AC316=1,1440,AA316),CFG_WEM)-MAX(Z316,CFG_WSM)),0)</f>
        <v>0</v>
      </c>
      <c r="AL316" s="80">
        <f>IF(AND(AC316=1,AI316=1),MAX(0,MIN(AA316,CFG_WEM)-CFG_WSM),0)</f>
        <v>0</v>
      </c>
      <c r="AM316" s="80">
        <f>AK316+AL316</f>
        <v>0</v>
      </c>
      <c r="AN316" s="80">
        <f>IF(CFG_BRK="Proporcional",IF(AD316=0,0,AF316*AM316/AD316),IF(CFG_BRK="Extras primero",MIN(AM316,MAX(0,AF316-(AD316-AM316))),MIN(AF316,AM316)))</f>
        <v>0</v>
      </c>
      <c r="AO316" s="80">
        <f>AF316-AN316</f>
        <v>0</v>
      </c>
      <c r="AP316" s="80">
        <f>AM316-AN316</f>
        <v>0</v>
      </c>
      <c r="AQ316" s="80">
        <f>AD316-AM316-AO316</f>
        <v>0</v>
      </c>
      <c r="AR316" s="80">
        <f>IF(AM316=0,0,AK316-AN316*AK316/AM316)</f>
        <v>0</v>
      </c>
      <c r="AS316" s="80">
        <f>IF(AD316-AM316=0,0,(AJ316-AK316)-AO316*(AJ316-AK316)/(AD316-AM316))</f>
        <v>0</v>
      </c>
      <c r="AT316" s="80" t="str">
        <f>IF(AC316=1,INT(B316)+1,"")</f>
        <v/>
      </c>
      <c r="AU316" s="80">
        <f>IF(AND(D316="proMX",R316="Cancelled"),0,1)</f>
        <v>1</v>
      </c>
      <c r="AV316" s="80">
        <f>IF(AND(AB316=1,AU316=1),IF(COUNTIFS($D$5:D315,D316,$B$5:B315,B316,$Z$5:Z315,Z316,$AA$5:AA315,AA316,$F$5:F315,F316&amp;"",$AU$5:AU315,1)&gt;0,1,0),0)</f>
        <v>0</v>
      </c>
      <c r="AW316" s="80" t="str">
        <f>IF(AB316=1,INT(B316)*1440+Z316,"")</f>
        <v/>
      </c>
      <c r="AX316" s="80" t="str">
        <f>IF(AB316=1,AW316+AD316,"")</f>
        <v/>
      </c>
      <c r="AY316" s="80">
        <f>IF(AND(AB316=1,AV316=0,AU316=1),1,0)</f>
        <v>0</v>
      </c>
      <c r="AZ316" s="80">
        <f>IF(AY316=1,COUNTIFS(R_Emp,D316,R_SAbs,"&lt;"&amp;AX316,R_EAbs,"&gt;"&amp;AW316,R_OKey,1)-1,0)</f>
        <v>0</v>
      </c>
      <c r="BA316" s="80">
        <f>IF(AY316=1,COUNTIFS(R_Emp,"&lt;&gt;"&amp;D316,R_SAbs,"&lt;"&amp;AX316,R_EAbs,"&gt;"&amp;AW316,R_OKey,1),0)</f>
        <v>0</v>
      </c>
      <c r="BB316" s="80">
        <f>IF(AND(AB316=1,D316="proMX"),IF(AND(MOD(Z316,CFG_BLK)=0,MOD(AA316,CFG_BLK)=0,MOD(AG316,CFG_BLK)=0,AG316&gt;0),1,0),1)</f>
        <v>1</v>
      </c>
      <c r="BC316" s="80" t="str">
        <f>IF(Y316=0,"",IF(NOT(ISNUMBER(B316)),"Falta fecha o fecha inválida",IF(D316="","Falta empresa",IF(AND(D316&lt;&gt;"Malcolm",D316&lt;&gt;"proMX"),"Empresa inválida",IF(OR(INT(B316)&lt;CFG_PSTART,INT(B316)&gt;CFG_PEND),"Fecha fuera del período",IF(OR(NOT(ISNUMBER(Z316)),NOT(ISNUMBER(AA316))),"Falta hora inicio/fin o formato inválido",IF(AB316=0,"Hora inicio = hora fin",IF(AE316&lt;0,"Descanso inválido",IF(AE316&gt;=AD316,"Descanso ≥ duración",IF(AV316=1,"Registro duplicado",IF(AZ316&gt;0,"Se superpone con otro registro "&amp;D316,IF(BB316=0,"inicio, fin y duración neta deben ser múltiplos de "&amp;CFG_BLK&amp;" min",""))))))))))))</f>
        <v/>
      </c>
      <c r="BD316" s="80">
        <f>IF(AND(Y316=1,BC316=""),1,0)</f>
        <v>0</v>
      </c>
      <c r="BE316" s="80">
        <f>IF(AND(BD316=1,AU316=1),1,0)</f>
        <v>0</v>
      </c>
      <c r="BF316" s="80" t="str">
        <f>IF(AND(D316="proMX",BD316=1),IF(R316="","Draft",R316),"")</f>
        <v/>
      </c>
      <c r="BG316" s="80">
        <f>IF(BD316=1,ROUND(AG316/60,6),0)</f>
        <v>0</v>
      </c>
      <c r="BH316" s="80">
        <f>IF(BE316=1,ROUND(AG316/60,6),0)</f>
        <v>0</v>
      </c>
      <c r="BI316" s="80">
        <f>IF(BE316=1,ROUND(AP316/60,6),0)</f>
        <v>0</v>
      </c>
      <c r="BJ316" s="80">
        <f>IF(BE316=1,ROUND(AQ316/60,6),0)</f>
        <v>0</v>
      </c>
      <c r="BK316" s="80">
        <f>IF(BE316=1,ROUND((AR316+AS316)/60,6),0)</f>
        <v>0</v>
      </c>
      <c r="BL316" s="80">
        <f>ROUND(BH316-BK316,6)</f>
        <v>0</v>
      </c>
      <c r="BM316" s="80">
        <f>IF(BE316=1,ROUND(AR316/60,6),0)</f>
        <v>0</v>
      </c>
      <c r="BN316" s="80">
        <f>ROUND(BI316-BM316,6)</f>
        <v>0</v>
      </c>
      <c r="BO316" s="80">
        <f>IF(BE316=1,ROUND(AS316/60,6),0)</f>
        <v>0</v>
      </c>
      <c r="BP316" s="80">
        <f>ROUND(BJ316-BO316,6)</f>
        <v>0</v>
      </c>
      <c r="BQ316" s="80">
        <f>IF(BE316=1,AW316,0)</f>
        <v>0</v>
      </c>
      <c r="BR316" s="80">
        <f>IF(BE316=1,AX316,0)</f>
        <v>0</v>
      </c>
      <c r="BS316" s="80">
        <f>IF(AND(BE316=1,D316="Malcolm",BA316&gt;0),MIN(BH316,SUMPRODUCT((R_Emp="proMX")*(R_EN&gt;0)*((R_EN-(R_EN&gt;BR316)*(R_EN-BR316))&gt;(R_SN+(R_SN&lt;BQ316)*(BQ316-R_SN)))*((R_EN-(R_EN&gt;BR316)*(R_EN-BR316))-(R_SN+(R_SN&lt;BQ316)*(BQ316-R_SN))))/60),0)</f>
        <v>0</v>
      </c>
      <c r="BT316" s="80">
        <f>IF(AND(BE316=1,D316="proMX"),ROUND(BI316*CFG_RATE+BJ316*CFG_OTRATE,6),0)</f>
        <v>0</v>
      </c>
      <c r="BU316" s="80">
        <f>IF(AND(BD316=1,D316="proMX"),ROUND(AG316/CFG_BLK,6),0)</f>
        <v>0</v>
      </c>
      <c r="BV316" s="80" t="str">
        <f>IF(BF316="Approved",IF(ISNUMBER(T316),INT(T316),INT(B316)),"")</f>
        <v/>
      </c>
      <c r="BW316" s="80">
        <f>IF(ISNUMBER(B316),IF(DB_MON="Todos",1,IF(AND(INT(B316)&gt;=DB_MS,INT(B316)&lt;=DB_ME),1,0)),0)</f>
        <v>0</v>
      </c>
      <c r="BX316" s="80">
        <f>IF(DB_PROJ="Todos",1,IF(E316&amp;""=DB_PROJ&amp;"",1,0))</f>
        <v>1</v>
      </c>
      <c r="BY316" s="80">
        <f>BW316*BX316</f>
        <v>0</v>
      </c>
      <c r="BZ316" s="80" t="str">
        <f>IF(Y316=1,F316&amp;IF(AND(F316&amp;""&lt;&gt;"",E316&amp;""&lt;&gt;"")," · ","")&amp;E316,"")</f>
        <v/>
      </c>
      <c r="CA316" s="80" t="str">
        <f>IF(AND(BD316=1,E316&amp;""&lt;&gt;""),IF(COUNTIFS($E$5:E315,E316,$BD$5:BD315,1)=0,MAX($CA$5:CA315)+1,""),"")</f>
        <v/>
      </c>
      <c r="CB316" s="80" t="str">
        <f>IF(AND(BE316=1,D316="Malcolm",E316&amp;""&lt;&gt;""),IF(COUNTIFS($D$5:D315,"Malcolm",$E$5:E315,E316,$BE$5:BE315,1)=0,MAX($CB$5:CB315)+1,""),"")</f>
        <v/>
      </c>
      <c r="CC316" s="80" t="str">
        <f>IF(AND(BD316=1,D316="proMX",E316&amp;""&lt;&gt;""),IF(COUNTIFS($D$5:D315,"proMX",$E$5:E315,E316,$BD$5:BD315,1)=0,MAX($CC$5:CC315)+1,""),"")</f>
        <v/>
      </c>
      <c r="CD316" s="80" t="str">
        <f>IF(AND(BE316=1,D316="Malcolm",F316&amp;""&lt;&gt;""),IF(COUNTIFS($D$5:D315,"Malcolm",$F$5:F315,F316,$BE$5:BE315,1)=0,MAX($CD$5:CD315)+1,""),"")</f>
        <v/>
      </c>
      <c r="CE316" s="80" t="str">
        <f>IF(AND(BD316=1,D316="proMX",F316&amp;""&lt;&gt;""),IF(COUNTIFS($D$5:D315,"proMX",$F$5:F315,F316,$BD$5:BD315,1)=0,MAX($CE$5:CE315)+1,""),"")</f>
        <v/>
      </c>
      <c r="CF316" s="80" t="str">
        <f>IF(AND(D316="proMX",BD316=1),IF(OR(BF316="Draft",BF316="Submitted",BF316="Returned",BF316="Recall Requested"),MAX($CF$5:CF315)+1,""),"")</f>
        <v/>
      </c>
      <c r="CG316" s="80">
        <f>IF(BD316=0,0,IF(D316="Malcolm",1,MATCH(BF316,{"Draft","Submitted","Approved","Returned","Recall Requested","Cancelled"},0)+1))</f>
        <v>0</v>
      </c>
      <c r="CH316" s="80">
        <f>IF(AND(BF316="Submitted",ISNUMBER(V316)),IF(V316&gt;CFG_MAXD,1,0),0)</f>
        <v>0</v>
      </c>
    </row>
    <row r="317">
      <c r="A317" s="71" t="str">
        <f>IF(Y317=1,ROW()-5,"")</f>
        <v/>
      </c>
      <c r="B317" s="72" t="n"/>
      <c r="C317" s="71" t="str">
        <f>IF(ISNUMBER(B317),CHOOSE(WEEKDAY(B317,2),"Lun","Mar","Mié","Jue","Vie","Sáb","Dom"),"")</f>
        <v/>
      </c>
      <c r="D317" s="73" t="n"/>
      <c r="E317" s="74" t="n"/>
      <c r="F317" s="74" t="n"/>
      <c r="G317" s="74" t="n"/>
      <c r="H317" s="75" t="n"/>
      <c r="I317" s="75" t="n"/>
      <c r="J317" s="76" t="n"/>
      <c r="K317" s="77" t="str">
        <f>IF(AB317=1,ROUND(AG317/60,4),"")</f>
        <v/>
      </c>
      <c r="L317" s="77" t="str">
        <f>IF(BD317=1,ROUND(AP317/60,4),"")</f>
        <v/>
      </c>
      <c r="M317" s="77" t="str">
        <f>IF(BD317=1,ROUND(AQ317/60,4),"")</f>
        <v/>
      </c>
      <c r="N317" s="71" t="str">
        <f>IF(AND(D317="proMX",AB317=1),ROUND(AG317/CFG_BLK,2),"")</f>
        <v/>
      </c>
      <c r="O317" s="77" t="str">
        <f>IF(D317="proMX",IF(BD317=1,ROUND(AG317/60,4),0),"")</f>
        <v/>
      </c>
      <c r="P317" s="78" t="str">
        <f>IF(Y317=0,"",IF(BD317=1,"OK",IF(D317="proMX","Revisar bloques: ","Revisar: ")&amp;BC317))</f>
        <v/>
      </c>
      <c r="Q317" s="78" t="str">
        <f>IF(NOT(ISNUMBER(B317)),"",IF(COUNTIFS(FER_F,INT(B317))&gt;0,"Feriado"&amp;IF(AH317=1," (laborable)"," (no laborable)"),IF(AH317=1,"Laborable",IF(WEEKDAY(B317,2)&gt;5,"Fin de semana","No laborable"))))</f>
        <v/>
      </c>
      <c r="R317" s="73" t="n"/>
      <c r="S317" s="72" t="n"/>
      <c r="T317" s="72" t="n"/>
      <c r="U317" s="74" t="n"/>
      <c r="V317" s="79" t="str">
        <f>IF(AND(D317="proMX",OR(R317="Submitted",R317="Recall Requested"),ISNUMBER(S317)),CFG_TODAY-INT(S317),"")</f>
        <v/>
      </c>
      <c r="W317" s="78" t="str">
        <f>IF(BD317=0,"",IF(BA317&gt;0,"⚠ Se superpone con un registro de la otra empresa",IF(D317="Malcolm",IF(COUNTA(R317,S317,T317)&gt;0,"Estado/fechas proMX se ignoran en Malcolm",""),IF(BF317="Cancelled","Cancelado: excluido de totales",IF(R317="","Sin estado: se trata como Draft",IF(BF317="Submitted",IF(ISNUMBER(V317),IF(V317&gt;CFG_MAXD,"⚠ "&amp;V317&amp;" días en Submitted (máx. "&amp;CFG_MAXD&amp;")",""),"Falta fecha de envío"),IF(BF317="Returned","⚠ Devuelto: corregir y reenviar",IF(BF317="Recall Requested","Retirada solicitada: pendiente",IF(AND(BF317="Approved",NOT(ISNUMBER(T317))),"Falta fecha de aprobación",IF(AND(ISNUMBER(S317),ISNUMBER(T317),T317&lt;S317),"Aprobación anterior al envío","")))))))))</f>
        <v/>
      </c>
      <c r="Y317" s="80">
        <f>IF(COUNTA(B317,D317,E317,F317,G317,H317,I317,J317,R317,S317,T317)&gt;0,1,0)</f>
        <v>0</v>
      </c>
      <c r="Z317" s="80" t="str">
        <f>IF(AND(ISNUMBER(H317),H317&gt;=0,H317&lt;1),ROUND(H317*1440,0),"")</f>
        <v/>
      </c>
      <c r="AA317" s="80" t="str">
        <f>IF(AND(ISNUMBER(I317),I317&gt;=0,I317&lt;1),ROUND(I317*1440,0),"")</f>
        <v/>
      </c>
      <c r="AB317" s="80">
        <f>IF(AND(ISNUMBER(B317),D317&lt;&gt;"",ISNUMBER(Z317),ISNUMBER(AA317)),IF(Z317=AA317,0,1),0)</f>
        <v>0</v>
      </c>
      <c r="AC317" s="80">
        <f>IF(AB317=1,IF(AA317&lt;Z317,1,0),0)</f>
        <v>0</v>
      </c>
      <c r="AD317" s="80">
        <f>IF(AB317=1,IF(AC317=1,1440-Z317+AA317,AA317-Z317),0)</f>
        <v>0</v>
      </c>
      <c r="AE317" s="80">
        <f>IF(J317="",0,IF(ISNUMBER(J317),J317,-1))</f>
        <v>0</v>
      </c>
      <c r="AF317" s="80">
        <f>MIN(MAX(0,AE317),AD317)</f>
        <v>0</v>
      </c>
      <c r="AG317" s="80">
        <f>MAX(0,AD317-MAX(0,AE317))</f>
        <v>0</v>
      </c>
      <c r="AH317" s="80">
        <f>IF(ISNUMBER(B317),IF(AND(INDEX(CFG_WDAYS,WEEKDAY(INT(B317),2))="Sí",IF(D317="proMX",COUNTIFS(FER_F,INT(B317),FER_NLP,"Sí"),COUNTIFS(FER_F,INT(B317),FER_NLM,"Sí"))=0),1,0),0)</f>
        <v>0</v>
      </c>
      <c r="AI317" s="80">
        <f>IF(AC317=1,IF(AND(INDEX(CFG_WDAYS,WEEKDAY(INT(B317)+1,2))="Sí",IF(D317="proMX",COUNTIFS(FER_F,INT(B317)+1,FER_NLP,"Sí"),COUNTIFS(FER_F,INT(B317)+1,FER_NLM,"Sí"))=0),1,0),0)</f>
        <v>0</v>
      </c>
      <c r="AJ317" s="80">
        <f>IF(AC317=1,1440-Z317,AD317)</f>
        <v>0</v>
      </c>
      <c r="AK317" s="80">
        <f>IF(AND(AB317=1,AH317=1),MAX(0,MIN(IF(AC317=1,1440,AA317),CFG_WEM)-MAX(Z317,CFG_WSM)),0)</f>
        <v>0</v>
      </c>
      <c r="AL317" s="80">
        <f>IF(AND(AC317=1,AI317=1),MAX(0,MIN(AA317,CFG_WEM)-CFG_WSM),0)</f>
        <v>0</v>
      </c>
      <c r="AM317" s="80">
        <f>AK317+AL317</f>
        <v>0</v>
      </c>
      <c r="AN317" s="80">
        <f>IF(CFG_BRK="Proporcional",IF(AD317=0,0,AF317*AM317/AD317),IF(CFG_BRK="Extras primero",MIN(AM317,MAX(0,AF317-(AD317-AM317))),MIN(AF317,AM317)))</f>
        <v>0</v>
      </c>
      <c r="AO317" s="80">
        <f>AF317-AN317</f>
        <v>0</v>
      </c>
      <c r="AP317" s="80">
        <f>AM317-AN317</f>
        <v>0</v>
      </c>
      <c r="AQ317" s="80">
        <f>AD317-AM317-AO317</f>
        <v>0</v>
      </c>
      <c r="AR317" s="80">
        <f>IF(AM317=0,0,AK317-AN317*AK317/AM317)</f>
        <v>0</v>
      </c>
      <c r="AS317" s="80">
        <f>IF(AD317-AM317=0,0,(AJ317-AK317)-AO317*(AJ317-AK317)/(AD317-AM317))</f>
        <v>0</v>
      </c>
      <c r="AT317" s="80" t="str">
        <f>IF(AC317=1,INT(B317)+1,"")</f>
        <v/>
      </c>
      <c r="AU317" s="80">
        <f>IF(AND(D317="proMX",R317="Cancelled"),0,1)</f>
        <v>1</v>
      </c>
      <c r="AV317" s="80">
        <f>IF(AND(AB317=1,AU317=1),IF(COUNTIFS($D$5:D316,D317,$B$5:B316,B317,$Z$5:Z316,Z317,$AA$5:AA316,AA317,$F$5:F316,F317&amp;"",$AU$5:AU316,1)&gt;0,1,0),0)</f>
        <v>0</v>
      </c>
      <c r="AW317" s="80" t="str">
        <f>IF(AB317=1,INT(B317)*1440+Z317,"")</f>
        <v/>
      </c>
      <c r="AX317" s="80" t="str">
        <f>IF(AB317=1,AW317+AD317,"")</f>
        <v/>
      </c>
      <c r="AY317" s="80">
        <f>IF(AND(AB317=1,AV317=0,AU317=1),1,0)</f>
        <v>0</v>
      </c>
      <c r="AZ317" s="80">
        <f>IF(AY317=1,COUNTIFS(R_Emp,D317,R_SAbs,"&lt;"&amp;AX317,R_EAbs,"&gt;"&amp;AW317,R_OKey,1)-1,0)</f>
        <v>0</v>
      </c>
      <c r="BA317" s="80">
        <f>IF(AY317=1,COUNTIFS(R_Emp,"&lt;&gt;"&amp;D317,R_SAbs,"&lt;"&amp;AX317,R_EAbs,"&gt;"&amp;AW317,R_OKey,1),0)</f>
        <v>0</v>
      </c>
      <c r="BB317" s="80">
        <f>IF(AND(AB317=1,D317="proMX"),IF(AND(MOD(Z317,CFG_BLK)=0,MOD(AA317,CFG_BLK)=0,MOD(AG317,CFG_BLK)=0,AG317&gt;0),1,0),1)</f>
        <v>1</v>
      </c>
      <c r="BC317" s="80" t="str">
        <f>IF(Y317=0,"",IF(NOT(ISNUMBER(B317)),"Falta fecha o fecha inválida",IF(D317="","Falta empresa",IF(AND(D317&lt;&gt;"Malcolm",D317&lt;&gt;"proMX"),"Empresa inválida",IF(OR(INT(B317)&lt;CFG_PSTART,INT(B317)&gt;CFG_PEND),"Fecha fuera del período",IF(OR(NOT(ISNUMBER(Z317)),NOT(ISNUMBER(AA317))),"Falta hora inicio/fin o formato inválido",IF(AB317=0,"Hora inicio = hora fin",IF(AE317&lt;0,"Descanso inválido",IF(AE317&gt;=AD317,"Descanso ≥ duración",IF(AV317=1,"Registro duplicado",IF(AZ317&gt;0,"Se superpone con otro registro "&amp;D317,IF(BB317=0,"inicio, fin y duración neta deben ser múltiplos de "&amp;CFG_BLK&amp;" min",""))))))))))))</f>
        <v/>
      </c>
      <c r="BD317" s="80">
        <f>IF(AND(Y317=1,BC317=""),1,0)</f>
        <v>0</v>
      </c>
      <c r="BE317" s="80">
        <f>IF(AND(BD317=1,AU317=1),1,0)</f>
        <v>0</v>
      </c>
      <c r="BF317" s="80" t="str">
        <f>IF(AND(D317="proMX",BD317=1),IF(R317="","Draft",R317),"")</f>
        <v/>
      </c>
      <c r="BG317" s="80">
        <f>IF(BD317=1,ROUND(AG317/60,6),0)</f>
        <v>0</v>
      </c>
      <c r="BH317" s="80">
        <f>IF(BE317=1,ROUND(AG317/60,6),0)</f>
        <v>0</v>
      </c>
      <c r="BI317" s="80">
        <f>IF(BE317=1,ROUND(AP317/60,6),0)</f>
        <v>0</v>
      </c>
      <c r="BJ317" s="80">
        <f>IF(BE317=1,ROUND(AQ317/60,6),0)</f>
        <v>0</v>
      </c>
      <c r="BK317" s="80">
        <f>IF(BE317=1,ROUND((AR317+AS317)/60,6),0)</f>
        <v>0</v>
      </c>
      <c r="BL317" s="80">
        <f>ROUND(BH317-BK317,6)</f>
        <v>0</v>
      </c>
      <c r="BM317" s="80">
        <f>IF(BE317=1,ROUND(AR317/60,6),0)</f>
        <v>0</v>
      </c>
      <c r="BN317" s="80">
        <f>ROUND(BI317-BM317,6)</f>
        <v>0</v>
      </c>
      <c r="BO317" s="80">
        <f>IF(BE317=1,ROUND(AS317/60,6),0)</f>
        <v>0</v>
      </c>
      <c r="BP317" s="80">
        <f>ROUND(BJ317-BO317,6)</f>
        <v>0</v>
      </c>
      <c r="BQ317" s="80">
        <f>IF(BE317=1,AW317,0)</f>
        <v>0</v>
      </c>
      <c r="BR317" s="80">
        <f>IF(BE317=1,AX317,0)</f>
        <v>0</v>
      </c>
      <c r="BS317" s="80">
        <f>IF(AND(BE317=1,D317="Malcolm",BA317&gt;0),MIN(BH317,SUMPRODUCT((R_Emp="proMX")*(R_EN&gt;0)*((R_EN-(R_EN&gt;BR317)*(R_EN-BR317))&gt;(R_SN+(R_SN&lt;BQ317)*(BQ317-R_SN)))*((R_EN-(R_EN&gt;BR317)*(R_EN-BR317))-(R_SN+(R_SN&lt;BQ317)*(BQ317-R_SN))))/60),0)</f>
        <v>0</v>
      </c>
      <c r="BT317" s="80">
        <f>IF(AND(BE317=1,D317="proMX"),ROUND(BI317*CFG_RATE+BJ317*CFG_OTRATE,6),0)</f>
        <v>0</v>
      </c>
      <c r="BU317" s="80">
        <f>IF(AND(BD317=1,D317="proMX"),ROUND(AG317/CFG_BLK,6),0)</f>
        <v>0</v>
      </c>
      <c r="BV317" s="80" t="str">
        <f>IF(BF317="Approved",IF(ISNUMBER(T317),INT(T317),INT(B317)),"")</f>
        <v/>
      </c>
      <c r="BW317" s="80">
        <f>IF(ISNUMBER(B317),IF(DB_MON="Todos",1,IF(AND(INT(B317)&gt;=DB_MS,INT(B317)&lt;=DB_ME),1,0)),0)</f>
        <v>0</v>
      </c>
      <c r="BX317" s="80">
        <f>IF(DB_PROJ="Todos",1,IF(E317&amp;""=DB_PROJ&amp;"",1,0))</f>
        <v>1</v>
      </c>
      <c r="BY317" s="80">
        <f>BW317*BX317</f>
        <v>0</v>
      </c>
      <c r="BZ317" s="80" t="str">
        <f>IF(Y317=1,F317&amp;IF(AND(F317&amp;""&lt;&gt;"",E317&amp;""&lt;&gt;"")," · ","")&amp;E317,"")</f>
        <v/>
      </c>
      <c r="CA317" s="80" t="str">
        <f>IF(AND(BD317=1,E317&amp;""&lt;&gt;""),IF(COUNTIFS($E$5:E316,E317,$BD$5:BD316,1)=0,MAX($CA$5:CA316)+1,""),"")</f>
        <v/>
      </c>
      <c r="CB317" s="80" t="str">
        <f>IF(AND(BE317=1,D317="Malcolm",E317&amp;""&lt;&gt;""),IF(COUNTIFS($D$5:D316,"Malcolm",$E$5:E316,E317,$BE$5:BE316,1)=0,MAX($CB$5:CB316)+1,""),"")</f>
        <v/>
      </c>
      <c r="CC317" s="80" t="str">
        <f>IF(AND(BD317=1,D317="proMX",E317&amp;""&lt;&gt;""),IF(COUNTIFS($D$5:D316,"proMX",$E$5:E316,E317,$BD$5:BD316,1)=0,MAX($CC$5:CC316)+1,""),"")</f>
        <v/>
      </c>
      <c r="CD317" s="80" t="str">
        <f>IF(AND(BE317=1,D317="Malcolm",F317&amp;""&lt;&gt;""),IF(COUNTIFS($D$5:D316,"Malcolm",$F$5:F316,F317,$BE$5:BE316,1)=0,MAX($CD$5:CD316)+1,""),"")</f>
        <v/>
      </c>
      <c r="CE317" s="80" t="str">
        <f>IF(AND(BD317=1,D317="proMX",F317&amp;""&lt;&gt;""),IF(COUNTIFS($D$5:D316,"proMX",$F$5:F316,F317,$BD$5:BD316,1)=0,MAX($CE$5:CE316)+1,""),"")</f>
        <v/>
      </c>
      <c r="CF317" s="80" t="str">
        <f>IF(AND(D317="proMX",BD317=1),IF(OR(BF317="Draft",BF317="Submitted",BF317="Returned",BF317="Recall Requested"),MAX($CF$5:CF316)+1,""),"")</f>
        <v/>
      </c>
      <c r="CG317" s="80">
        <f>IF(BD317=0,0,IF(D317="Malcolm",1,MATCH(BF317,{"Draft","Submitted","Approved","Returned","Recall Requested","Cancelled"},0)+1))</f>
        <v>0</v>
      </c>
      <c r="CH317" s="80">
        <f>IF(AND(BF317="Submitted",ISNUMBER(V317)),IF(V317&gt;CFG_MAXD,1,0),0)</f>
        <v>0</v>
      </c>
    </row>
    <row r="318">
      <c r="A318" s="71" t="str">
        <f>IF(Y318=1,ROW()-5,"")</f>
        <v/>
      </c>
      <c r="B318" s="72" t="n"/>
      <c r="C318" s="71" t="str">
        <f>IF(ISNUMBER(B318),CHOOSE(WEEKDAY(B318,2),"Lun","Mar","Mié","Jue","Vie","Sáb","Dom"),"")</f>
        <v/>
      </c>
      <c r="D318" s="73" t="n"/>
      <c r="E318" s="74" t="n"/>
      <c r="F318" s="74" t="n"/>
      <c r="G318" s="74" t="n"/>
      <c r="H318" s="75" t="n"/>
      <c r="I318" s="75" t="n"/>
      <c r="J318" s="76" t="n"/>
      <c r="K318" s="77" t="str">
        <f>IF(AB318=1,ROUND(AG318/60,4),"")</f>
        <v/>
      </c>
      <c r="L318" s="77" t="str">
        <f>IF(BD318=1,ROUND(AP318/60,4),"")</f>
        <v/>
      </c>
      <c r="M318" s="77" t="str">
        <f>IF(BD318=1,ROUND(AQ318/60,4),"")</f>
        <v/>
      </c>
      <c r="N318" s="71" t="str">
        <f>IF(AND(D318="proMX",AB318=1),ROUND(AG318/CFG_BLK,2),"")</f>
        <v/>
      </c>
      <c r="O318" s="77" t="str">
        <f>IF(D318="proMX",IF(BD318=1,ROUND(AG318/60,4),0),"")</f>
        <v/>
      </c>
      <c r="P318" s="78" t="str">
        <f>IF(Y318=0,"",IF(BD318=1,"OK",IF(D318="proMX","Revisar bloques: ","Revisar: ")&amp;BC318))</f>
        <v/>
      </c>
      <c r="Q318" s="78" t="str">
        <f>IF(NOT(ISNUMBER(B318)),"",IF(COUNTIFS(FER_F,INT(B318))&gt;0,"Feriado"&amp;IF(AH318=1," (laborable)"," (no laborable)"),IF(AH318=1,"Laborable",IF(WEEKDAY(B318,2)&gt;5,"Fin de semana","No laborable"))))</f>
        <v/>
      </c>
      <c r="R318" s="73" t="n"/>
      <c r="S318" s="72" t="n"/>
      <c r="T318" s="72" t="n"/>
      <c r="U318" s="74" t="n"/>
      <c r="V318" s="79" t="str">
        <f>IF(AND(D318="proMX",OR(R318="Submitted",R318="Recall Requested"),ISNUMBER(S318)),CFG_TODAY-INT(S318),"")</f>
        <v/>
      </c>
      <c r="W318" s="78" t="str">
        <f>IF(BD318=0,"",IF(BA318&gt;0,"⚠ Se superpone con un registro de la otra empresa",IF(D318="Malcolm",IF(COUNTA(R318,S318,T318)&gt;0,"Estado/fechas proMX se ignoran en Malcolm",""),IF(BF318="Cancelled","Cancelado: excluido de totales",IF(R318="","Sin estado: se trata como Draft",IF(BF318="Submitted",IF(ISNUMBER(V318),IF(V318&gt;CFG_MAXD,"⚠ "&amp;V318&amp;" días en Submitted (máx. "&amp;CFG_MAXD&amp;")",""),"Falta fecha de envío"),IF(BF318="Returned","⚠ Devuelto: corregir y reenviar",IF(BF318="Recall Requested","Retirada solicitada: pendiente",IF(AND(BF318="Approved",NOT(ISNUMBER(T318))),"Falta fecha de aprobación",IF(AND(ISNUMBER(S318),ISNUMBER(T318),T318&lt;S318),"Aprobación anterior al envío","")))))))))</f>
        <v/>
      </c>
      <c r="Y318" s="80">
        <f>IF(COUNTA(B318,D318,E318,F318,G318,H318,I318,J318,R318,S318,T318)&gt;0,1,0)</f>
        <v>0</v>
      </c>
      <c r="Z318" s="80" t="str">
        <f>IF(AND(ISNUMBER(H318),H318&gt;=0,H318&lt;1),ROUND(H318*1440,0),"")</f>
        <v/>
      </c>
      <c r="AA318" s="80" t="str">
        <f>IF(AND(ISNUMBER(I318),I318&gt;=0,I318&lt;1),ROUND(I318*1440,0),"")</f>
        <v/>
      </c>
      <c r="AB318" s="80">
        <f>IF(AND(ISNUMBER(B318),D318&lt;&gt;"",ISNUMBER(Z318),ISNUMBER(AA318)),IF(Z318=AA318,0,1),0)</f>
        <v>0</v>
      </c>
      <c r="AC318" s="80">
        <f>IF(AB318=1,IF(AA318&lt;Z318,1,0),0)</f>
        <v>0</v>
      </c>
      <c r="AD318" s="80">
        <f>IF(AB318=1,IF(AC318=1,1440-Z318+AA318,AA318-Z318),0)</f>
        <v>0</v>
      </c>
      <c r="AE318" s="80">
        <f>IF(J318="",0,IF(ISNUMBER(J318),J318,-1))</f>
        <v>0</v>
      </c>
      <c r="AF318" s="80">
        <f>MIN(MAX(0,AE318),AD318)</f>
        <v>0</v>
      </c>
      <c r="AG318" s="80">
        <f>MAX(0,AD318-MAX(0,AE318))</f>
        <v>0</v>
      </c>
      <c r="AH318" s="80">
        <f>IF(ISNUMBER(B318),IF(AND(INDEX(CFG_WDAYS,WEEKDAY(INT(B318),2))="Sí",IF(D318="proMX",COUNTIFS(FER_F,INT(B318),FER_NLP,"Sí"),COUNTIFS(FER_F,INT(B318),FER_NLM,"Sí"))=0),1,0),0)</f>
        <v>0</v>
      </c>
      <c r="AI318" s="80">
        <f>IF(AC318=1,IF(AND(INDEX(CFG_WDAYS,WEEKDAY(INT(B318)+1,2))="Sí",IF(D318="proMX",COUNTIFS(FER_F,INT(B318)+1,FER_NLP,"Sí"),COUNTIFS(FER_F,INT(B318)+1,FER_NLM,"Sí"))=0),1,0),0)</f>
        <v>0</v>
      </c>
      <c r="AJ318" s="80">
        <f>IF(AC318=1,1440-Z318,AD318)</f>
        <v>0</v>
      </c>
      <c r="AK318" s="80">
        <f>IF(AND(AB318=1,AH318=1),MAX(0,MIN(IF(AC318=1,1440,AA318),CFG_WEM)-MAX(Z318,CFG_WSM)),0)</f>
        <v>0</v>
      </c>
      <c r="AL318" s="80">
        <f>IF(AND(AC318=1,AI318=1),MAX(0,MIN(AA318,CFG_WEM)-CFG_WSM),0)</f>
        <v>0</v>
      </c>
      <c r="AM318" s="80">
        <f>AK318+AL318</f>
        <v>0</v>
      </c>
      <c r="AN318" s="80">
        <f>IF(CFG_BRK="Proporcional",IF(AD318=0,0,AF318*AM318/AD318),IF(CFG_BRK="Extras primero",MIN(AM318,MAX(0,AF318-(AD318-AM318))),MIN(AF318,AM318)))</f>
        <v>0</v>
      </c>
      <c r="AO318" s="80">
        <f>AF318-AN318</f>
        <v>0</v>
      </c>
      <c r="AP318" s="80">
        <f>AM318-AN318</f>
        <v>0</v>
      </c>
      <c r="AQ318" s="80">
        <f>AD318-AM318-AO318</f>
        <v>0</v>
      </c>
      <c r="AR318" s="80">
        <f>IF(AM318=0,0,AK318-AN318*AK318/AM318)</f>
        <v>0</v>
      </c>
      <c r="AS318" s="80">
        <f>IF(AD318-AM318=0,0,(AJ318-AK318)-AO318*(AJ318-AK318)/(AD318-AM318))</f>
        <v>0</v>
      </c>
      <c r="AT318" s="80" t="str">
        <f>IF(AC318=1,INT(B318)+1,"")</f>
        <v/>
      </c>
      <c r="AU318" s="80">
        <f>IF(AND(D318="proMX",R318="Cancelled"),0,1)</f>
        <v>1</v>
      </c>
      <c r="AV318" s="80">
        <f>IF(AND(AB318=1,AU318=1),IF(COUNTIFS($D$5:D317,D318,$B$5:B317,B318,$Z$5:Z317,Z318,$AA$5:AA317,AA318,$F$5:F317,F318&amp;"",$AU$5:AU317,1)&gt;0,1,0),0)</f>
        <v>0</v>
      </c>
      <c r="AW318" s="80" t="str">
        <f>IF(AB318=1,INT(B318)*1440+Z318,"")</f>
        <v/>
      </c>
      <c r="AX318" s="80" t="str">
        <f>IF(AB318=1,AW318+AD318,"")</f>
        <v/>
      </c>
      <c r="AY318" s="80">
        <f>IF(AND(AB318=1,AV318=0,AU318=1),1,0)</f>
        <v>0</v>
      </c>
      <c r="AZ318" s="80">
        <f>IF(AY318=1,COUNTIFS(R_Emp,D318,R_SAbs,"&lt;"&amp;AX318,R_EAbs,"&gt;"&amp;AW318,R_OKey,1)-1,0)</f>
        <v>0</v>
      </c>
      <c r="BA318" s="80">
        <f>IF(AY318=1,COUNTIFS(R_Emp,"&lt;&gt;"&amp;D318,R_SAbs,"&lt;"&amp;AX318,R_EAbs,"&gt;"&amp;AW318,R_OKey,1),0)</f>
        <v>0</v>
      </c>
      <c r="BB318" s="80">
        <f>IF(AND(AB318=1,D318="proMX"),IF(AND(MOD(Z318,CFG_BLK)=0,MOD(AA318,CFG_BLK)=0,MOD(AG318,CFG_BLK)=0,AG318&gt;0),1,0),1)</f>
        <v>1</v>
      </c>
      <c r="BC318" s="80" t="str">
        <f>IF(Y318=0,"",IF(NOT(ISNUMBER(B318)),"Falta fecha o fecha inválida",IF(D318="","Falta empresa",IF(AND(D318&lt;&gt;"Malcolm",D318&lt;&gt;"proMX"),"Empresa inválida",IF(OR(INT(B318)&lt;CFG_PSTART,INT(B318)&gt;CFG_PEND),"Fecha fuera del período",IF(OR(NOT(ISNUMBER(Z318)),NOT(ISNUMBER(AA318))),"Falta hora inicio/fin o formato inválido",IF(AB318=0,"Hora inicio = hora fin",IF(AE318&lt;0,"Descanso inválido",IF(AE318&gt;=AD318,"Descanso ≥ duración",IF(AV318=1,"Registro duplicado",IF(AZ318&gt;0,"Se superpone con otro registro "&amp;D318,IF(BB318=0,"inicio, fin y duración neta deben ser múltiplos de "&amp;CFG_BLK&amp;" min",""))))))))))))</f>
        <v/>
      </c>
      <c r="BD318" s="80">
        <f>IF(AND(Y318=1,BC318=""),1,0)</f>
        <v>0</v>
      </c>
      <c r="BE318" s="80">
        <f>IF(AND(BD318=1,AU318=1),1,0)</f>
        <v>0</v>
      </c>
      <c r="BF318" s="80" t="str">
        <f>IF(AND(D318="proMX",BD318=1),IF(R318="","Draft",R318),"")</f>
        <v/>
      </c>
      <c r="BG318" s="80">
        <f>IF(BD318=1,ROUND(AG318/60,6),0)</f>
        <v>0</v>
      </c>
      <c r="BH318" s="80">
        <f>IF(BE318=1,ROUND(AG318/60,6),0)</f>
        <v>0</v>
      </c>
      <c r="BI318" s="80">
        <f>IF(BE318=1,ROUND(AP318/60,6),0)</f>
        <v>0</v>
      </c>
      <c r="BJ318" s="80">
        <f>IF(BE318=1,ROUND(AQ318/60,6),0)</f>
        <v>0</v>
      </c>
      <c r="BK318" s="80">
        <f>IF(BE318=1,ROUND((AR318+AS318)/60,6),0)</f>
        <v>0</v>
      </c>
      <c r="BL318" s="80">
        <f>ROUND(BH318-BK318,6)</f>
        <v>0</v>
      </c>
      <c r="BM318" s="80">
        <f>IF(BE318=1,ROUND(AR318/60,6),0)</f>
        <v>0</v>
      </c>
      <c r="BN318" s="80">
        <f>ROUND(BI318-BM318,6)</f>
        <v>0</v>
      </c>
      <c r="BO318" s="80">
        <f>IF(BE318=1,ROUND(AS318/60,6),0)</f>
        <v>0</v>
      </c>
      <c r="BP318" s="80">
        <f>ROUND(BJ318-BO318,6)</f>
        <v>0</v>
      </c>
      <c r="BQ318" s="80">
        <f>IF(BE318=1,AW318,0)</f>
        <v>0</v>
      </c>
      <c r="BR318" s="80">
        <f>IF(BE318=1,AX318,0)</f>
        <v>0</v>
      </c>
      <c r="BS318" s="80">
        <f>IF(AND(BE318=1,D318="Malcolm",BA318&gt;0),MIN(BH318,SUMPRODUCT((R_Emp="proMX")*(R_EN&gt;0)*((R_EN-(R_EN&gt;BR318)*(R_EN-BR318))&gt;(R_SN+(R_SN&lt;BQ318)*(BQ318-R_SN)))*((R_EN-(R_EN&gt;BR318)*(R_EN-BR318))-(R_SN+(R_SN&lt;BQ318)*(BQ318-R_SN))))/60),0)</f>
        <v>0</v>
      </c>
      <c r="BT318" s="80">
        <f>IF(AND(BE318=1,D318="proMX"),ROUND(BI318*CFG_RATE+BJ318*CFG_OTRATE,6),0)</f>
        <v>0</v>
      </c>
      <c r="BU318" s="80">
        <f>IF(AND(BD318=1,D318="proMX"),ROUND(AG318/CFG_BLK,6),0)</f>
        <v>0</v>
      </c>
      <c r="BV318" s="80" t="str">
        <f>IF(BF318="Approved",IF(ISNUMBER(T318),INT(T318),INT(B318)),"")</f>
        <v/>
      </c>
      <c r="BW318" s="80">
        <f>IF(ISNUMBER(B318),IF(DB_MON="Todos",1,IF(AND(INT(B318)&gt;=DB_MS,INT(B318)&lt;=DB_ME),1,0)),0)</f>
        <v>0</v>
      </c>
      <c r="BX318" s="80">
        <f>IF(DB_PROJ="Todos",1,IF(E318&amp;""=DB_PROJ&amp;"",1,0))</f>
        <v>1</v>
      </c>
      <c r="BY318" s="80">
        <f>BW318*BX318</f>
        <v>0</v>
      </c>
      <c r="BZ318" s="80" t="str">
        <f>IF(Y318=1,F318&amp;IF(AND(F318&amp;""&lt;&gt;"",E318&amp;""&lt;&gt;"")," · ","")&amp;E318,"")</f>
        <v/>
      </c>
      <c r="CA318" s="80" t="str">
        <f>IF(AND(BD318=1,E318&amp;""&lt;&gt;""),IF(COUNTIFS($E$5:E317,E318,$BD$5:BD317,1)=0,MAX($CA$5:CA317)+1,""),"")</f>
        <v/>
      </c>
      <c r="CB318" s="80" t="str">
        <f>IF(AND(BE318=1,D318="Malcolm",E318&amp;""&lt;&gt;""),IF(COUNTIFS($D$5:D317,"Malcolm",$E$5:E317,E318,$BE$5:BE317,1)=0,MAX($CB$5:CB317)+1,""),"")</f>
        <v/>
      </c>
      <c r="CC318" s="80" t="str">
        <f>IF(AND(BD318=1,D318="proMX",E318&amp;""&lt;&gt;""),IF(COUNTIFS($D$5:D317,"proMX",$E$5:E317,E318,$BD$5:BD317,1)=0,MAX($CC$5:CC317)+1,""),"")</f>
        <v/>
      </c>
      <c r="CD318" s="80" t="str">
        <f>IF(AND(BE318=1,D318="Malcolm",F318&amp;""&lt;&gt;""),IF(COUNTIFS($D$5:D317,"Malcolm",$F$5:F317,F318,$BE$5:BE317,1)=0,MAX($CD$5:CD317)+1,""),"")</f>
        <v/>
      </c>
      <c r="CE318" s="80" t="str">
        <f>IF(AND(BD318=1,D318="proMX",F318&amp;""&lt;&gt;""),IF(COUNTIFS($D$5:D317,"proMX",$F$5:F317,F318,$BD$5:BD317,1)=0,MAX($CE$5:CE317)+1,""),"")</f>
        <v/>
      </c>
      <c r="CF318" s="80" t="str">
        <f>IF(AND(D318="proMX",BD318=1),IF(OR(BF318="Draft",BF318="Submitted",BF318="Returned",BF318="Recall Requested"),MAX($CF$5:CF317)+1,""),"")</f>
        <v/>
      </c>
      <c r="CG318" s="80">
        <f>IF(BD318=0,0,IF(D318="Malcolm",1,MATCH(BF318,{"Draft","Submitted","Approved","Returned","Recall Requested","Cancelled"},0)+1))</f>
        <v>0</v>
      </c>
      <c r="CH318" s="80">
        <f>IF(AND(BF318="Submitted",ISNUMBER(V318)),IF(V318&gt;CFG_MAXD,1,0),0)</f>
        <v>0</v>
      </c>
    </row>
    <row r="319">
      <c r="A319" s="71" t="str">
        <f>IF(Y319=1,ROW()-5,"")</f>
        <v/>
      </c>
      <c r="B319" s="72" t="n"/>
      <c r="C319" s="71" t="str">
        <f>IF(ISNUMBER(B319),CHOOSE(WEEKDAY(B319,2),"Lun","Mar","Mié","Jue","Vie","Sáb","Dom"),"")</f>
        <v/>
      </c>
      <c r="D319" s="73" t="n"/>
      <c r="E319" s="74" t="n"/>
      <c r="F319" s="74" t="n"/>
      <c r="G319" s="74" t="n"/>
      <c r="H319" s="75" t="n"/>
      <c r="I319" s="75" t="n"/>
      <c r="J319" s="76" t="n"/>
      <c r="K319" s="77" t="str">
        <f>IF(AB319=1,ROUND(AG319/60,4),"")</f>
        <v/>
      </c>
      <c r="L319" s="77" t="str">
        <f>IF(BD319=1,ROUND(AP319/60,4),"")</f>
        <v/>
      </c>
      <c r="M319" s="77" t="str">
        <f>IF(BD319=1,ROUND(AQ319/60,4),"")</f>
        <v/>
      </c>
      <c r="N319" s="71" t="str">
        <f>IF(AND(D319="proMX",AB319=1),ROUND(AG319/CFG_BLK,2),"")</f>
        <v/>
      </c>
      <c r="O319" s="77" t="str">
        <f>IF(D319="proMX",IF(BD319=1,ROUND(AG319/60,4),0),"")</f>
        <v/>
      </c>
      <c r="P319" s="78" t="str">
        <f>IF(Y319=0,"",IF(BD319=1,"OK",IF(D319="proMX","Revisar bloques: ","Revisar: ")&amp;BC319))</f>
        <v/>
      </c>
      <c r="Q319" s="78" t="str">
        <f>IF(NOT(ISNUMBER(B319)),"",IF(COUNTIFS(FER_F,INT(B319))&gt;0,"Feriado"&amp;IF(AH319=1," (laborable)"," (no laborable)"),IF(AH319=1,"Laborable",IF(WEEKDAY(B319,2)&gt;5,"Fin de semana","No laborable"))))</f>
        <v/>
      </c>
      <c r="R319" s="73" t="n"/>
      <c r="S319" s="72" t="n"/>
      <c r="T319" s="72" t="n"/>
      <c r="U319" s="74" t="n"/>
      <c r="V319" s="79" t="str">
        <f>IF(AND(D319="proMX",OR(R319="Submitted",R319="Recall Requested"),ISNUMBER(S319)),CFG_TODAY-INT(S319),"")</f>
        <v/>
      </c>
      <c r="W319" s="78" t="str">
        <f>IF(BD319=0,"",IF(BA319&gt;0,"⚠ Se superpone con un registro de la otra empresa",IF(D319="Malcolm",IF(COUNTA(R319,S319,T319)&gt;0,"Estado/fechas proMX se ignoran en Malcolm",""),IF(BF319="Cancelled","Cancelado: excluido de totales",IF(R319="","Sin estado: se trata como Draft",IF(BF319="Submitted",IF(ISNUMBER(V319),IF(V319&gt;CFG_MAXD,"⚠ "&amp;V319&amp;" días en Submitted (máx. "&amp;CFG_MAXD&amp;")",""),"Falta fecha de envío"),IF(BF319="Returned","⚠ Devuelto: corregir y reenviar",IF(BF319="Recall Requested","Retirada solicitada: pendiente",IF(AND(BF319="Approved",NOT(ISNUMBER(T319))),"Falta fecha de aprobación",IF(AND(ISNUMBER(S319),ISNUMBER(T319),T319&lt;S319),"Aprobación anterior al envío","")))))))))</f>
        <v/>
      </c>
      <c r="Y319" s="80">
        <f>IF(COUNTA(B319,D319,E319,F319,G319,H319,I319,J319,R319,S319,T319)&gt;0,1,0)</f>
        <v>0</v>
      </c>
      <c r="Z319" s="80" t="str">
        <f>IF(AND(ISNUMBER(H319),H319&gt;=0,H319&lt;1),ROUND(H319*1440,0),"")</f>
        <v/>
      </c>
      <c r="AA319" s="80" t="str">
        <f>IF(AND(ISNUMBER(I319),I319&gt;=0,I319&lt;1),ROUND(I319*1440,0),"")</f>
        <v/>
      </c>
      <c r="AB319" s="80">
        <f>IF(AND(ISNUMBER(B319),D319&lt;&gt;"",ISNUMBER(Z319),ISNUMBER(AA319)),IF(Z319=AA319,0,1),0)</f>
        <v>0</v>
      </c>
      <c r="AC319" s="80">
        <f>IF(AB319=1,IF(AA319&lt;Z319,1,0),0)</f>
        <v>0</v>
      </c>
      <c r="AD319" s="80">
        <f>IF(AB319=1,IF(AC319=1,1440-Z319+AA319,AA319-Z319),0)</f>
        <v>0</v>
      </c>
      <c r="AE319" s="80">
        <f>IF(J319="",0,IF(ISNUMBER(J319),J319,-1))</f>
        <v>0</v>
      </c>
      <c r="AF319" s="80">
        <f>MIN(MAX(0,AE319),AD319)</f>
        <v>0</v>
      </c>
      <c r="AG319" s="80">
        <f>MAX(0,AD319-MAX(0,AE319))</f>
        <v>0</v>
      </c>
      <c r="AH319" s="80">
        <f>IF(ISNUMBER(B319),IF(AND(INDEX(CFG_WDAYS,WEEKDAY(INT(B319),2))="Sí",IF(D319="proMX",COUNTIFS(FER_F,INT(B319),FER_NLP,"Sí"),COUNTIFS(FER_F,INT(B319),FER_NLM,"Sí"))=0),1,0),0)</f>
        <v>0</v>
      </c>
      <c r="AI319" s="80">
        <f>IF(AC319=1,IF(AND(INDEX(CFG_WDAYS,WEEKDAY(INT(B319)+1,2))="Sí",IF(D319="proMX",COUNTIFS(FER_F,INT(B319)+1,FER_NLP,"Sí"),COUNTIFS(FER_F,INT(B319)+1,FER_NLM,"Sí"))=0),1,0),0)</f>
        <v>0</v>
      </c>
      <c r="AJ319" s="80">
        <f>IF(AC319=1,1440-Z319,AD319)</f>
        <v>0</v>
      </c>
      <c r="AK319" s="80">
        <f>IF(AND(AB319=1,AH319=1),MAX(0,MIN(IF(AC319=1,1440,AA319),CFG_WEM)-MAX(Z319,CFG_WSM)),0)</f>
        <v>0</v>
      </c>
      <c r="AL319" s="80">
        <f>IF(AND(AC319=1,AI319=1),MAX(0,MIN(AA319,CFG_WEM)-CFG_WSM),0)</f>
        <v>0</v>
      </c>
      <c r="AM319" s="80">
        <f>AK319+AL319</f>
        <v>0</v>
      </c>
      <c r="AN319" s="80">
        <f>IF(CFG_BRK="Proporcional",IF(AD319=0,0,AF319*AM319/AD319),IF(CFG_BRK="Extras primero",MIN(AM319,MAX(0,AF319-(AD319-AM319))),MIN(AF319,AM319)))</f>
        <v>0</v>
      </c>
      <c r="AO319" s="80">
        <f>AF319-AN319</f>
        <v>0</v>
      </c>
      <c r="AP319" s="80">
        <f>AM319-AN319</f>
        <v>0</v>
      </c>
      <c r="AQ319" s="80">
        <f>AD319-AM319-AO319</f>
        <v>0</v>
      </c>
      <c r="AR319" s="80">
        <f>IF(AM319=0,0,AK319-AN319*AK319/AM319)</f>
        <v>0</v>
      </c>
      <c r="AS319" s="80">
        <f>IF(AD319-AM319=0,0,(AJ319-AK319)-AO319*(AJ319-AK319)/(AD319-AM319))</f>
        <v>0</v>
      </c>
      <c r="AT319" s="80" t="str">
        <f>IF(AC319=1,INT(B319)+1,"")</f>
        <v/>
      </c>
      <c r="AU319" s="80">
        <f>IF(AND(D319="proMX",R319="Cancelled"),0,1)</f>
        <v>1</v>
      </c>
      <c r="AV319" s="80">
        <f>IF(AND(AB319=1,AU319=1),IF(COUNTIFS($D$5:D318,D319,$B$5:B318,B319,$Z$5:Z318,Z319,$AA$5:AA318,AA319,$F$5:F318,F319&amp;"",$AU$5:AU318,1)&gt;0,1,0),0)</f>
        <v>0</v>
      </c>
      <c r="AW319" s="80" t="str">
        <f>IF(AB319=1,INT(B319)*1440+Z319,"")</f>
        <v/>
      </c>
      <c r="AX319" s="80" t="str">
        <f>IF(AB319=1,AW319+AD319,"")</f>
        <v/>
      </c>
      <c r="AY319" s="80">
        <f>IF(AND(AB319=1,AV319=0,AU319=1),1,0)</f>
        <v>0</v>
      </c>
      <c r="AZ319" s="80">
        <f>IF(AY319=1,COUNTIFS(R_Emp,D319,R_SAbs,"&lt;"&amp;AX319,R_EAbs,"&gt;"&amp;AW319,R_OKey,1)-1,0)</f>
        <v>0</v>
      </c>
      <c r="BA319" s="80">
        <f>IF(AY319=1,COUNTIFS(R_Emp,"&lt;&gt;"&amp;D319,R_SAbs,"&lt;"&amp;AX319,R_EAbs,"&gt;"&amp;AW319,R_OKey,1),0)</f>
        <v>0</v>
      </c>
      <c r="BB319" s="80">
        <f>IF(AND(AB319=1,D319="proMX"),IF(AND(MOD(Z319,CFG_BLK)=0,MOD(AA319,CFG_BLK)=0,MOD(AG319,CFG_BLK)=0,AG319&gt;0),1,0),1)</f>
        <v>1</v>
      </c>
      <c r="BC319" s="80" t="str">
        <f>IF(Y319=0,"",IF(NOT(ISNUMBER(B319)),"Falta fecha o fecha inválida",IF(D319="","Falta empresa",IF(AND(D319&lt;&gt;"Malcolm",D319&lt;&gt;"proMX"),"Empresa inválida",IF(OR(INT(B319)&lt;CFG_PSTART,INT(B319)&gt;CFG_PEND),"Fecha fuera del período",IF(OR(NOT(ISNUMBER(Z319)),NOT(ISNUMBER(AA319))),"Falta hora inicio/fin o formato inválido",IF(AB319=0,"Hora inicio = hora fin",IF(AE319&lt;0,"Descanso inválido",IF(AE319&gt;=AD319,"Descanso ≥ duración",IF(AV319=1,"Registro duplicado",IF(AZ319&gt;0,"Se superpone con otro registro "&amp;D319,IF(BB319=0,"inicio, fin y duración neta deben ser múltiplos de "&amp;CFG_BLK&amp;" min",""))))))))))))</f>
        <v/>
      </c>
      <c r="BD319" s="80">
        <f>IF(AND(Y319=1,BC319=""),1,0)</f>
        <v>0</v>
      </c>
      <c r="BE319" s="80">
        <f>IF(AND(BD319=1,AU319=1),1,0)</f>
        <v>0</v>
      </c>
      <c r="BF319" s="80" t="str">
        <f>IF(AND(D319="proMX",BD319=1),IF(R319="","Draft",R319),"")</f>
        <v/>
      </c>
      <c r="BG319" s="80">
        <f>IF(BD319=1,ROUND(AG319/60,6),0)</f>
        <v>0</v>
      </c>
      <c r="BH319" s="80">
        <f>IF(BE319=1,ROUND(AG319/60,6),0)</f>
        <v>0</v>
      </c>
      <c r="BI319" s="80">
        <f>IF(BE319=1,ROUND(AP319/60,6),0)</f>
        <v>0</v>
      </c>
      <c r="BJ319" s="80">
        <f>IF(BE319=1,ROUND(AQ319/60,6),0)</f>
        <v>0</v>
      </c>
      <c r="BK319" s="80">
        <f>IF(BE319=1,ROUND((AR319+AS319)/60,6),0)</f>
        <v>0</v>
      </c>
      <c r="BL319" s="80">
        <f>ROUND(BH319-BK319,6)</f>
        <v>0</v>
      </c>
      <c r="BM319" s="80">
        <f>IF(BE319=1,ROUND(AR319/60,6),0)</f>
        <v>0</v>
      </c>
      <c r="BN319" s="80">
        <f>ROUND(BI319-BM319,6)</f>
        <v>0</v>
      </c>
      <c r="BO319" s="80">
        <f>IF(BE319=1,ROUND(AS319/60,6),0)</f>
        <v>0</v>
      </c>
      <c r="BP319" s="80">
        <f>ROUND(BJ319-BO319,6)</f>
        <v>0</v>
      </c>
      <c r="BQ319" s="80">
        <f>IF(BE319=1,AW319,0)</f>
        <v>0</v>
      </c>
      <c r="BR319" s="80">
        <f>IF(BE319=1,AX319,0)</f>
        <v>0</v>
      </c>
      <c r="BS319" s="80">
        <f>IF(AND(BE319=1,D319="Malcolm",BA319&gt;0),MIN(BH319,SUMPRODUCT((R_Emp="proMX")*(R_EN&gt;0)*((R_EN-(R_EN&gt;BR319)*(R_EN-BR319))&gt;(R_SN+(R_SN&lt;BQ319)*(BQ319-R_SN)))*((R_EN-(R_EN&gt;BR319)*(R_EN-BR319))-(R_SN+(R_SN&lt;BQ319)*(BQ319-R_SN))))/60),0)</f>
        <v>0</v>
      </c>
      <c r="BT319" s="80">
        <f>IF(AND(BE319=1,D319="proMX"),ROUND(BI319*CFG_RATE+BJ319*CFG_OTRATE,6),0)</f>
        <v>0</v>
      </c>
      <c r="BU319" s="80">
        <f>IF(AND(BD319=1,D319="proMX"),ROUND(AG319/CFG_BLK,6),0)</f>
        <v>0</v>
      </c>
      <c r="BV319" s="80" t="str">
        <f>IF(BF319="Approved",IF(ISNUMBER(T319),INT(T319),INT(B319)),"")</f>
        <v/>
      </c>
      <c r="BW319" s="80">
        <f>IF(ISNUMBER(B319),IF(DB_MON="Todos",1,IF(AND(INT(B319)&gt;=DB_MS,INT(B319)&lt;=DB_ME),1,0)),0)</f>
        <v>0</v>
      </c>
      <c r="BX319" s="80">
        <f>IF(DB_PROJ="Todos",1,IF(E319&amp;""=DB_PROJ&amp;"",1,0))</f>
        <v>1</v>
      </c>
      <c r="BY319" s="80">
        <f>BW319*BX319</f>
        <v>0</v>
      </c>
      <c r="BZ319" s="80" t="str">
        <f>IF(Y319=1,F319&amp;IF(AND(F319&amp;""&lt;&gt;"",E319&amp;""&lt;&gt;"")," · ","")&amp;E319,"")</f>
        <v/>
      </c>
      <c r="CA319" s="80" t="str">
        <f>IF(AND(BD319=1,E319&amp;""&lt;&gt;""),IF(COUNTIFS($E$5:E318,E319,$BD$5:BD318,1)=0,MAX($CA$5:CA318)+1,""),"")</f>
        <v/>
      </c>
      <c r="CB319" s="80" t="str">
        <f>IF(AND(BE319=1,D319="Malcolm",E319&amp;""&lt;&gt;""),IF(COUNTIFS($D$5:D318,"Malcolm",$E$5:E318,E319,$BE$5:BE318,1)=0,MAX($CB$5:CB318)+1,""),"")</f>
        <v/>
      </c>
      <c r="CC319" s="80" t="str">
        <f>IF(AND(BD319=1,D319="proMX",E319&amp;""&lt;&gt;""),IF(COUNTIFS($D$5:D318,"proMX",$E$5:E318,E319,$BD$5:BD318,1)=0,MAX($CC$5:CC318)+1,""),"")</f>
        <v/>
      </c>
      <c r="CD319" s="80" t="str">
        <f>IF(AND(BE319=1,D319="Malcolm",F319&amp;""&lt;&gt;""),IF(COUNTIFS($D$5:D318,"Malcolm",$F$5:F318,F319,$BE$5:BE318,1)=0,MAX($CD$5:CD318)+1,""),"")</f>
        <v/>
      </c>
      <c r="CE319" s="80" t="str">
        <f>IF(AND(BD319=1,D319="proMX",F319&amp;""&lt;&gt;""),IF(COUNTIFS($D$5:D318,"proMX",$F$5:F318,F319,$BD$5:BD318,1)=0,MAX($CE$5:CE318)+1,""),"")</f>
        <v/>
      </c>
      <c r="CF319" s="80" t="str">
        <f>IF(AND(D319="proMX",BD319=1),IF(OR(BF319="Draft",BF319="Submitted",BF319="Returned",BF319="Recall Requested"),MAX($CF$5:CF318)+1,""),"")</f>
        <v/>
      </c>
      <c r="CG319" s="80">
        <f>IF(BD319=0,0,IF(D319="Malcolm",1,MATCH(BF319,{"Draft","Submitted","Approved","Returned","Recall Requested","Cancelled"},0)+1))</f>
        <v>0</v>
      </c>
      <c r="CH319" s="80">
        <f>IF(AND(BF319="Submitted",ISNUMBER(V319)),IF(V319&gt;CFG_MAXD,1,0),0)</f>
        <v>0</v>
      </c>
    </row>
    <row r="320">
      <c r="A320" s="71" t="str">
        <f>IF(Y320=1,ROW()-5,"")</f>
        <v/>
      </c>
      <c r="B320" s="72" t="n"/>
      <c r="C320" s="71" t="str">
        <f>IF(ISNUMBER(B320),CHOOSE(WEEKDAY(B320,2),"Lun","Mar","Mié","Jue","Vie","Sáb","Dom"),"")</f>
        <v/>
      </c>
      <c r="D320" s="73" t="n"/>
      <c r="E320" s="74" t="n"/>
      <c r="F320" s="74" t="n"/>
      <c r="G320" s="74" t="n"/>
      <c r="H320" s="75" t="n"/>
      <c r="I320" s="75" t="n"/>
      <c r="J320" s="76" t="n"/>
      <c r="K320" s="77" t="str">
        <f>IF(AB320=1,ROUND(AG320/60,4),"")</f>
        <v/>
      </c>
      <c r="L320" s="77" t="str">
        <f>IF(BD320=1,ROUND(AP320/60,4),"")</f>
        <v/>
      </c>
      <c r="M320" s="77" t="str">
        <f>IF(BD320=1,ROUND(AQ320/60,4),"")</f>
        <v/>
      </c>
      <c r="N320" s="71" t="str">
        <f>IF(AND(D320="proMX",AB320=1),ROUND(AG320/CFG_BLK,2),"")</f>
        <v/>
      </c>
      <c r="O320" s="77" t="str">
        <f>IF(D320="proMX",IF(BD320=1,ROUND(AG320/60,4),0),"")</f>
        <v/>
      </c>
      <c r="P320" s="78" t="str">
        <f>IF(Y320=0,"",IF(BD320=1,"OK",IF(D320="proMX","Revisar bloques: ","Revisar: ")&amp;BC320))</f>
        <v/>
      </c>
      <c r="Q320" s="78" t="str">
        <f>IF(NOT(ISNUMBER(B320)),"",IF(COUNTIFS(FER_F,INT(B320))&gt;0,"Feriado"&amp;IF(AH320=1," (laborable)"," (no laborable)"),IF(AH320=1,"Laborable",IF(WEEKDAY(B320,2)&gt;5,"Fin de semana","No laborable"))))</f>
        <v/>
      </c>
      <c r="R320" s="73" t="n"/>
      <c r="S320" s="72" t="n"/>
      <c r="T320" s="72" t="n"/>
      <c r="U320" s="74" t="n"/>
      <c r="V320" s="79" t="str">
        <f>IF(AND(D320="proMX",OR(R320="Submitted",R320="Recall Requested"),ISNUMBER(S320)),CFG_TODAY-INT(S320),"")</f>
        <v/>
      </c>
      <c r="W320" s="78" t="str">
        <f>IF(BD320=0,"",IF(BA320&gt;0,"⚠ Se superpone con un registro de la otra empresa",IF(D320="Malcolm",IF(COUNTA(R320,S320,T320)&gt;0,"Estado/fechas proMX se ignoran en Malcolm",""),IF(BF320="Cancelled","Cancelado: excluido de totales",IF(R320="","Sin estado: se trata como Draft",IF(BF320="Submitted",IF(ISNUMBER(V320),IF(V320&gt;CFG_MAXD,"⚠ "&amp;V320&amp;" días en Submitted (máx. "&amp;CFG_MAXD&amp;")",""),"Falta fecha de envío"),IF(BF320="Returned","⚠ Devuelto: corregir y reenviar",IF(BF320="Recall Requested","Retirada solicitada: pendiente",IF(AND(BF320="Approved",NOT(ISNUMBER(T320))),"Falta fecha de aprobación",IF(AND(ISNUMBER(S320),ISNUMBER(T320),T320&lt;S320),"Aprobación anterior al envío","")))))))))</f>
        <v/>
      </c>
      <c r="Y320" s="80">
        <f>IF(COUNTA(B320,D320,E320,F320,G320,H320,I320,J320,R320,S320,T320)&gt;0,1,0)</f>
        <v>0</v>
      </c>
      <c r="Z320" s="80" t="str">
        <f>IF(AND(ISNUMBER(H320),H320&gt;=0,H320&lt;1),ROUND(H320*1440,0),"")</f>
        <v/>
      </c>
      <c r="AA320" s="80" t="str">
        <f>IF(AND(ISNUMBER(I320),I320&gt;=0,I320&lt;1),ROUND(I320*1440,0),"")</f>
        <v/>
      </c>
      <c r="AB320" s="80">
        <f>IF(AND(ISNUMBER(B320),D320&lt;&gt;"",ISNUMBER(Z320),ISNUMBER(AA320)),IF(Z320=AA320,0,1),0)</f>
        <v>0</v>
      </c>
      <c r="AC320" s="80">
        <f>IF(AB320=1,IF(AA320&lt;Z320,1,0),0)</f>
        <v>0</v>
      </c>
      <c r="AD320" s="80">
        <f>IF(AB320=1,IF(AC320=1,1440-Z320+AA320,AA320-Z320),0)</f>
        <v>0</v>
      </c>
      <c r="AE320" s="80">
        <f>IF(J320="",0,IF(ISNUMBER(J320),J320,-1))</f>
        <v>0</v>
      </c>
      <c r="AF320" s="80">
        <f>MIN(MAX(0,AE320),AD320)</f>
        <v>0</v>
      </c>
      <c r="AG320" s="80">
        <f>MAX(0,AD320-MAX(0,AE320))</f>
        <v>0</v>
      </c>
      <c r="AH320" s="80">
        <f>IF(ISNUMBER(B320),IF(AND(INDEX(CFG_WDAYS,WEEKDAY(INT(B320),2))="Sí",IF(D320="proMX",COUNTIFS(FER_F,INT(B320),FER_NLP,"Sí"),COUNTIFS(FER_F,INT(B320),FER_NLM,"Sí"))=0),1,0),0)</f>
        <v>0</v>
      </c>
      <c r="AI320" s="80">
        <f>IF(AC320=1,IF(AND(INDEX(CFG_WDAYS,WEEKDAY(INT(B320)+1,2))="Sí",IF(D320="proMX",COUNTIFS(FER_F,INT(B320)+1,FER_NLP,"Sí"),COUNTIFS(FER_F,INT(B320)+1,FER_NLM,"Sí"))=0),1,0),0)</f>
        <v>0</v>
      </c>
      <c r="AJ320" s="80">
        <f>IF(AC320=1,1440-Z320,AD320)</f>
        <v>0</v>
      </c>
      <c r="AK320" s="80">
        <f>IF(AND(AB320=1,AH320=1),MAX(0,MIN(IF(AC320=1,1440,AA320),CFG_WEM)-MAX(Z320,CFG_WSM)),0)</f>
        <v>0</v>
      </c>
      <c r="AL320" s="80">
        <f>IF(AND(AC320=1,AI320=1),MAX(0,MIN(AA320,CFG_WEM)-CFG_WSM),0)</f>
        <v>0</v>
      </c>
      <c r="AM320" s="80">
        <f>AK320+AL320</f>
        <v>0</v>
      </c>
      <c r="AN320" s="80">
        <f>IF(CFG_BRK="Proporcional",IF(AD320=0,0,AF320*AM320/AD320),IF(CFG_BRK="Extras primero",MIN(AM320,MAX(0,AF320-(AD320-AM320))),MIN(AF320,AM320)))</f>
        <v>0</v>
      </c>
      <c r="AO320" s="80">
        <f>AF320-AN320</f>
        <v>0</v>
      </c>
      <c r="AP320" s="80">
        <f>AM320-AN320</f>
        <v>0</v>
      </c>
      <c r="AQ320" s="80">
        <f>AD320-AM320-AO320</f>
        <v>0</v>
      </c>
      <c r="AR320" s="80">
        <f>IF(AM320=0,0,AK320-AN320*AK320/AM320)</f>
        <v>0</v>
      </c>
      <c r="AS320" s="80">
        <f>IF(AD320-AM320=0,0,(AJ320-AK320)-AO320*(AJ320-AK320)/(AD320-AM320))</f>
        <v>0</v>
      </c>
      <c r="AT320" s="80" t="str">
        <f>IF(AC320=1,INT(B320)+1,"")</f>
        <v/>
      </c>
      <c r="AU320" s="80">
        <f>IF(AND(D320="proMX",R320="Cancelled"),0,1)</f>
        <v>1</v>
      </c>
      <c r="AV320" s="80">
        <f>IF(AND(AB320=1,AU320=1),IF(COUNTIFS($D$5:D319,D320,$B$5:B319,B320,$Z$5:Z319,Z320,$AA$5:AA319,AA320,$F$5:F319,F320&amp;"",$AU$5:AU319,1)&gt;0,1,0),0)</f>
        <v>0</v>
      </c>
      <c r="AW320" s="80" t="str">
        <f>IF(AB320=1,INT(B320)*1440+Z320,"")</f>
        <v/>
      </c>
      <c r="AX320" s="80" t="str">
        <f>IF(AB320=1,AW320+AD320,"")</f>
        <v/>
      </c>
      <c r="AY320" s="80">
        <f>IF(AND(AB320=1,AV320=0,AU320=1),1,0)</f>
        <v>0</v>
      </c>
      <c r="AZ320" s="80">
        <f>IF(AY320=1,COUNTIFS(R_Emp,D320,R_SAbs,"&lt;"&amp;AX320,R_EAbs,"&gt;"&amp;AW320,R_OKey,1)-1,0)</f>
        <v>0</v>
      </c>
      <c r="BA320" s="80">
        <f>IF(AY320=1,COUNTIFS(R_Emp,"&lt;&gt;"&amp;D320,R_SAbs,"&lt;"&amp;AX320,R_EAbs,"&gt;"&amp;AW320,R_OKey,1),0)</f>
        <v>0</v>
      </c>
      <c r="BB320" s="80">
        <f>IF(AND(AB320=1,D320="proMX"),IF(AND(MOD(Z320,CFG_BLK)=0,MOD(AA320,CFG_BLK)=0,MOD(AG320,CFG_BLK)=0,AG320&gt;0),1,0),1)</f>
        <v>1</v>
      </c>
      <c r="BC320" s="80" t="str">
        <f>IF(Y320=0,"",IF(NOT(ISNUMBER(B320)),"Falta fecha o fecha inválida",IF(D320="","Falta empresa",IF(AND(D320&lt;&gt;"Malcolm",D320&lt;&gt;"proMX"),"Empresa inválida",IF(OR(INT(B320)&lt;CFG_PSTART,INT(B320)&gt;CFG_PEND),"Fecha fuera del período",IF(OR(NOT(ISNUMBER(Z320)),NOT(ISNUMBER(AA320))),"Falta hora inicio/fin o formato inválido",IF(AB320=0,"Hora inicio = hora fin",IF(AE320&lt;0,"Descanso inválido",IF(AE320&gt;=AD320,"Descanso ≥ duración",IF(AV320=1,"Registro duplicado",IF(AZ320&gt;0,"Se superpone con otro registro "&amp;D320,IF(BB320=0,"inicio, fin y duración neta deben ser múltiplos de "&amp;CFG_BLK&amp;" min",""))))))))))))</f>
        <v/>
      </c>
      <c r="BD320" s="80">
        <f>IF(AND(Y320=1,BC320=""),1,0)</f>
        <v>0</v>
      </c>
      <c r="BE320" s="80">
        <f>IF(AND(BD320=1,AU320=1),1,0)</f>
        <v>0</v>
      </c>
      <c r="BF320" s="80" t="str">
        <f>IF(AND(D320="proMX",BD320=1),IF(R320="","Draft",R320),"")</f>
        <v/>
      </c>
      <c r="BG320" s="80">
        <f>IF(BD320=1,ROUND(AG320/60,6),0)</f>
        <v>0</v>
      </c>
      <c r="BH320" s="80">
        <f>IF(BE320=1,ROUND(AG320/60,6),0)</f>
        <v>0</v>
      </c>
      <c r="BI320" s="80">
        <f>IF(BE320=1,ROUND(AP320/60,6),0)</f>
        <v>0</v>
      </c>
      <c r="BJ320" s="80">
        <f>IF(BE320=1,ROUND(AQ320/60,6),0)</f>
        <v>0</v>
      </c>
      <c r="BK320" s="80">
        <f>IF(BE320=1,ROUND((AR320+AS320)/60,6),0)</f>
        <v>0</v>
      </c>
      <c r="BL320" s="80">
        <f>ROUND(BH320-BK320,6)</f>
        <v>0</v>
      </c>
      <c r="BM320" s="80">
        <f>IF(BE320=1,ROUND(AR320/60,6),0)</f>
        <v>0</v>
      </c>
      <c r="BN320" s="80">
        <f>ROUND(BI320-BM320,6)</f>
        <v>0</v>
      </c>
      <c r="BO320" s="80">
        <f>IF(BE320=1,ROUND(AS320/60,6),0)</f>
        <v>0</v>
      </c>
      <c r="BP320" s="80">
        <f>ROUND(BJ320-BO320,6)</f>
        <v>0</v>
      </c>
      <c r="BQ320" s="80">
        <f>IF(BE320=1,AW320,0)</f>
        <v>0</v>
      </c>
      <c r="BR320" s="80">
        <f>IF(BE320=1,AX320,0)</f>
        <v>0</v>
      </c>
      <c r="BS320" s="80">
        <f>IF(AND(BE320=1,D320="Malcolm",BA320&gt;0),MIN(BH320,SUMPRODUCT((R_Emp="proMX")*(R_EN&gt;0)*((R_EN-(R_EN&gt;BR320)*(R_EN-BR320))&gt;(R_SN+(R_SN&lt;BQ320)*(BQ320-R_SN)))*((R_EN-(R_EN&gt;BR320)*(R_EN-BR320))-(R_SN+(R_SN&lt;BQ320)*(BQ320-R_SN))))/60),0)</f>
        <v>0</v>
      </c>
      <c r="BT320" s="80">
        <f>IF(AND(BE320=1,D320="proMX"),ROUND(BI320*CFG_RATE+BJ320*CFG_OTRATE,6),0)</f>
        <v>0</v>
      </c>
      <c r="BU320" s="80">
        <f>IF(AND(BD320=1,D320="proMX"),ROUND(AG320/CFG_BLK,6),0)</f>
        <v>0</v>
      </c>
      <c r="BV320" s="80" t="str">
        <f>IF(BF320="Approved",IF(ISNUMBER(T320),INT(T320),INT(B320)),"")</f>
        <v/>
      </c>
      <c r="BW320" s="80">
        <f>IF(ISNUMBER(B320),IF(DB_MON="Todos",1,IF(AND(INT(B320)&gt;=DB_MS,INT(B320)&lt;=DB_ME),1,0)),0)</f>
        <v>0</v>
      </c>
      <c r="BX320" s="80">
        <f>IF(DB_PROJ="Todos",1,IF(E320&amp;""=DB_PROJ&amp;"",1,0))</f>
        <v>1</v>
      </c>
      <c r="BY320" s="80">
        <f>BW320*BX320</f>
        <v>0</v>
      </c>
      <c r="BZ320" s="80" t="str">
        <f>IF(Y320=1,F320&amp;IF(AND(F320&amp;""&lt;&gt;"",E320&amp;""&lt;&gt;"")," · ","")&amp;E320,"")</f>
        <v/>
      </c>
      <c r="CA320" s="80" t="str">
        <f>IF(AND(BD320=1,E320&amp;""&lt;&gt;""),IF(COUNTIFS($E$5:E319,E320,$BD$5:BD319,1)=0,MAX($CA$5:CA319)+1,""),"")</f>
        <v/>
      </c>
      <c r="CB320" s="80" t="str">
        <f>IF(AND(BE320=1,D320="Malcolm",E320&amp;""&lt;&gt;""),IF(COUNTIFS($D$5:D319,"Malcolm",$E$5:E319,E320,$BE$5:BE319,1)=0,MAX($CB$5:CB319)+1,""),"")</f>
        <v/>
      </c>
      <c r="CC320" s="80" t="str">
        <f>IF(AND(BD320=1,D320="proMX",E320&amp;""&lt;&gt;""),IF(COUNTIFS($D$5:D319,"proMX",$E$5:E319,E320,$BD$5:BD319,1)=0,MAX($CC$5:CC319)+1,""),"")</f>
        <v/>
      </c>
      <c r="CD320" s="80" t="str">
        <f>IF(AND(BE320=1,D320="Malcolm",F320&amp;""&lt;&gt;""),IF(COUNTIFS($D$5:D319,"Malcolm",$F$5:F319,F320,$BE$5:BE319,1)=0,MAX($CD$5:CD319)+1,""),"")</f>
        <v/>
      </c>
      <c r="CE320" s="80" t="str">
        <f>IF(AND(BD320=1,D320="proMX",F320&amp;""&lt;&gt;""),IF(COUNTIFS($D$5:D319,"proMX",$F$5:F319,F320,$BD$5:BD319,1)=0,MAX($CE$5:CE319)+1,""),"")</f>
        <v/>
      </c>
      <c r="CF320" s="80" t="str">
        <f>IF(AND(D320="proMX",BD320=1),IF(OR(BF320="Draft",BF320="Submitted",BF320="Returned",BF320="Recall Requested"),MAX($CF$5:CF319)+1,""),"")</f>
        <v/>
      </c>
      <c r="CG320" s="80">
        <f>IF(BD320=0,0,IF(D320="Malcolm",1,MATCH(BF320,{"Draft","Submitted","Approved","Returned","Recall Requested","Cancelled"},0)+1))</f>
        <v>0</v>
      </c>
      <c r="CH320" s="80">
        <f>IF(AND(BF320="Submitted",ISNUMBER(V320)),IF(V320&gt;CFG_MAXD,1,0),0)</f>
        <v>0</v>
      </c>
    </row>
    <row r="321">
      <c r="A321" s="71" t="str">
        <f>IF(Y321=1,ROW()-5,"")</f>
        <v/>
      </c>
      <c r="B321" s="72" t="n"/>
      <c r="C321" s="71" t="str">
        <f>IF(ISNUMBER(B321),CHOOSE(WEEKDAY(B321,2),"Lun","Mar","Mié","Jue","Vie","Sáb","Dom"),"")</f>
        <v/>
      </c>
      <c r="D321" s="73" t="n"/>
      <c r="E321" s="74" t="n"/>
      <c r="F321" s="74" t="n"/>
      <c r="G321" s="74" t="n"/>
      <c r="H321" s="75" t="n"/>
      <c r="I321" s="75" t="n"/>
      <c r="J321" s="76" t="n"/>
      <c r="K321" s="77" t="str">
        <f>IF(AB321=1,ROUND(AG321/60,4),"")</f>
        <v/>
      </c>
      <c r="L321" s="77" t="str">
        <f>IF(BD321=1,ROUND(AP321/60,4),"")</f>
        <v/>
      </c>
      <c r="M321" s="77" t="str">
        <f>IF(BD321=1,ROUND(AQ321/60,4),"")</f>
        <v/>
      </c>
      <c r="N321" s="71" t="str">
        <f>IF(AND(D321="proMX",AB321=1),ROUND(AG321/CFG_BLK,2),"")</f>
        <v/>
      </c>
      <c r="O321" s="77" t="str">
        <f>IF(D321="proMX",IF(BD321=1,ROUND(AG321/60,4),0),"")</f>
        <v/>
      </c>
      <c r="P321" s="78" t="str">
        <f>IF(Y321=0,"",IF(BD321=1,"OK",IF(D321="proMX","Revisar bloques: ","Revisar: ")&amp;BC321))</f>
        <v/>
      </c>
      <c r="Q321" s="78" t="str">
        <f>IF(NOT(ISNUMBER(B321)),"",IF(COUNTIFS(FER_F,INT(B321))&gt;0,"Feriado"&amp;IF(AH321=1," (laborable)"," (no laborable)"),IF(AH321=1,"Laborable",IF(WEEKDAY(B321,2)&gt;5,"Fin de semana","No laborable"))))</f>
        <v/>
      </c>
      <c r="R321" s="73" t="n"/>
      <c r="S321" s="72" t="n"/>
      <c r="T321" s="72" t="n"/>
      <c r="U321" s="74" t="n"/>
      <c r="V321" s="79" t="str">
        <f>IF(AND(D321="proMX",OR(R321="Submitted",R321="Recall Requested"),ISNUMBER(S321)),CFG_TODAY-INT(S321),"")</f>
        <v/>
      </c>
      <c r="W321" s="78" t="str">
        <f>IF(BD321=0,"",IF(BA321&gt;0,"⚠ Se superpone con un registro de la otra empresa",IF(D321="Malcolm",IF(COUNTA(R321,S321,T321)&gt;0,"Estado/fechas proMX se ignoran en Malcolm",""),IF(BF321="Cancelled","Cancelado: excluido de totales",IF(R321="","Sin estado: se trata como Draft",IF(BF321="Submitted",IF(ISNUMBER(V321),IF(V321&gt;CFG_MAXD,"⚠ "&amp;V321&amp;" días en Submitted (máx. "&amp;CFG_MAXD&amp;")",""),"Falta fecha de envío"),IF(BF321="Returned","⚠ Devuelto: corregir y reenviar",IF(BF321="Recall Requested","Retirada solicitada: pendiente",IF(AND(BF321="Approved",NOT(ISNUMBER(T321))),"Falta fecha de aprobación",IF(AND(ISNUMBER(S321),ISNUMBER(T321),T321&lt;S321),"Aprobación anterior al envío","")))))))))</f>
        <v/>
      </c>
      <c r="Y321" s="80">
        <f>IF(COUNTA(B321,D321,E321,F321,G321,H321,I321,J321,R321,S321,T321)&gt;0,1,0)</f>
        <v>0</v>
      </c>
      <c r="Z321" s="80" t="str">
        <f>IF(AND(ISNUMBER(H321),H321&gt;=0,H321&lt;1),ROUND(H321*1440,0),"")</f>
        <v/>
      </c>
      <c r="AA321" s="80" t="str">
        <f>IF(AND(ISNUMBER(I321),I321&gt;=0,I321&lt;1),ROUND(I321*1440,0),"")</f>
        <v/>
      </c>
      <c r="AB321" s="80">
        <f>IF(AND(ISNUMBER(B321),D321&lt;&gt;"",ISNUMBER(Z321),ISNUMBER(AA321)),IF(Z321=AA321,0,1),0)</f>
        <v>0</v>
      </c>
      <c r="AC321" s="80">
        <f>IF(AB321=1,IF(AA321&lt;Z321,1,0),0)</f>
        <v>0</v>
      </c>
      <c r="AD321" s="80">
        <f>IF(AB321=1,IF(AC321=1,1440-Z321+AA321,AA321-Z321),0)</f>
        <v>0</v>
      </c>
      <c r="AE321" s="80">
        <f>IF(J321="",0,IF(ISNUMBER(J321),J321,-1))</f>
        <v>0</v>
      </c>
      <c r="AF321" s="80">
        <f>MIN(MAX(0,AE321),AD321)</f>
        <v>0</v>
      </c>
      <c r="AG321" s="80">
        <f>MAX(0,AD321-MAX(0,AE321))</f>
        <v>0</v>
      </c>
      <c r="AH321" s="80">
        <f>IF(ISNUMBER(B321),IF(AND(INDEX(CFG_WDAYS,WEEKDAY(INT(B321),2))="Sí",IF(D321="proMX",COUNTIFS(FER_F,INT(B321),FER_NLP,"Sí"),COUNTIFS(FER_F,INT(B321),FER_NLM,"Sí"))=0),1,0),0)</f>
        <v>0</v>
      </c>
      <c r="AI321" s="80">
        <f>IF(AC321=1,IF(AND(INDEX(CFG_WDAYS,WEEKDAY(INT(B321)+1,2))="Sí",IF(D321="proMX",COUNTIFS(FER_F,INT(B321)+1,FER_NLP,"Sí"),COUNTIFS(FER_F,INT(B321)+1,FER_NLM,"Sí"))=0),1,0),0)</f>
        <v>0</v>
      </c>
      <c r="AJ321" s="80">
        <f>IF(AC321=1,1440-Z321,AD321)</f>
        <v>0</v>
      </c>
      <c r="AK321" s="80">
        <f>IF(AND(AB321=1,AH321=1),MAX(0,MIN(IF(AC321=1,1440,AA321),CFG_WEM)-MAX(Z321,CFG_WSM)),0)</f>
        <v>0</v>
      </c>
      <c r="AL321" s="80">
        <f>IF(AND(AC321=1,AI321=1),MAX(0,MIN(AA321,CFG_WEM)-CFG_WSM),0)</f>
        <v>0</v>
      </c>
      <c r="AM321" s="80">
        <f>AK321+AL321</f>
        <v>0</v>
      </c>
      <c r="AN321" s="80">
        <f>IF(CFG_BRK="Proporcional",IF(AD321=0,0,AF321*AM321/AD321),IF(CFG_BRK="Extras primero",MIN(AM321,MAX(0,AF321-(AD321-AM321))),MIN(AF321,AM321)))</f>
        <v>0</v>
      </c>
      <c r="AO321" s="80">
        <f>AF321-AN321</f>
        <v>0</v>
      </c>
      <c r="AP321" s="80">
        <f>AM321-AN321</f>
        <v>0</v>
      </c>
      <c r="AQ321" s="80">
        <f>AD321-AM321-AO321</f>
        <v>0</v>
      </c>
      <c r="AR321" s="80">
        <f>IF(AM321=0,0,AK321-AN321*AK321/AM321)</f>
        <v>0</v>
      </c>
      <c r="AS321" s="80">
        <f>IF(AD321-AM321=0,0,(AJ321-AK321)-AO321*(AJ321-AK321)/(AD321-AM321))</f>
        <v>0</v>
      </c>
      <c r="AT321" s="80" t="str">
        <f>IF(AC321=1,INT(B321)+1,"")</f>
        <v/>
      </c>
      <c r="AU321" s="80">
        <f>IF(AND(D321="proMX",R321="Cancelled"),0,1)</f>
        <v>1</v>
      </c>
      <c r="AV321" s="80">
        <f>IF(AND(AB321=1,AU321=1),IF(COUNTIFS($D$5:D320,D321,$B$5:B320,B321,$Z$5:Z320,Z321,$AA$5:AA320,AA321,$F$5:F320,F321&amp;"",$AU$5:AU320,1)&gt;0,1,0),0)</f>
        <v>0</v>
      </c>
      <c r="AW321" s="80" t="str">
        <f>IF(AB321=1,INT(B321)*1440+Z321,"")</f>
        <v/>
      </c>
      <c r="AX321" s="80" t="str">
        <f>IF(AB321=1,AW321+AD321,"")</f>
        <v/>
      </c>
      <c r="AY321" s="80">
        <f>IF(AND(AB321=1,AV321=0,AU321=1),1,0)</f>
        <v>0</v>
      </c>
      <c r="AZ321" s="80">
        <f>IF(AY321=1,COUNTIFS(R_Emp,D321,R_SAbs,"&lt;"&amp;AX321,R_EAbs,"&gt;"&amp;AW321,R_OKey,1)-1,0)</f>
        <v>0</v>
      </c>
      <c r="BA321" s="80">
        <f>IF(AY321=1,COUNTIFS(R_Emp,"&lt;&gt;"&amp;D321,R_SAbs,"&lt;"&amp;AX321,R_EAbs,"&gt;"&amp;AW321,R_OKey,1),0)</f>
        <v>0</v>
      </c>
      <c r="BB321" s="80">
        <f>IF(AND(AB321=1,D321="proMX"),IF(AND(MOD(Z321,CFG_BLK)=0,MOD(AA321,CFG_BLK)=0,MOD(AG321,CFG_BLK)=0,AG321&gt;0),1,0),1)</f>
        <v>1</v>
      </c>
      <c r="BC321" s="80" t="str">
        <f>IF(Y321=0,"",IF(NOT(ISNUMBER(B321)),"Falta fecha o fecha inválida",IF(D321="","Falta empresa",IF(AND(D321&lt;&gt;"Malcolm",D321&lt;&gt;"proMX"),"Empresa inválida",IF(OR(INT(B321)&lt;CFG_PSTART,INT(B321)&gt;CFG_PEND),"Fecha fuera del período",IF(OR(NOT(ISNUMBER(Z321)),NOT(ISNUMBER(AA321))),"Falta hora inicio/fin o formato inválido",IF(AB321=0,"Hora inicio = hora fin",IF(AE321&lt;0,"Descanso inválido",IF(AE321&gt;=AD321,"Descanso ≥ duración",IF(AV321=1,"Registro duplicado",IF(AZ321&gt;0,"Se superpone con otro registro "&amp;D321,IF(BB321=0,"inicio, fin y duración neta deben ser múltiplos de "&amp;CFG_BLK&amp;" min",""))))))))))))</f>
        <v/>
      </c>
      <c r="BD321" s="80">
        <f>IF(AND(Y321=1,BC321=""),1,0)</f>
        <v>0</v>
      </c>
      <c r="BE321" s="80">
        <f>IF(AND(BD321=1,AU321=1),1,0)</f>
        <v>0</v>
      </c>
      <c r="BF321" s="80" t="str">
        <f>IF(AND(D321="proMX",BD321=1),IF(R321="","Draft",R321),"")</f>
        <v/>
      </c>
      <c r="BG321" s="80">
        <f>IF(BD321=1,ROUND(AG321/60,6),0)</f>
        <v>0</v>
      </c>
      <c r="BH321" s="80">
        <f>IF(BE321=1,ROUND(AG321/60,6),0)</f>
        <v>0</v>
      </c>
      <c r="BI321" s="80">
        <f>IF(BE321=1,ROUND(AP321/60,6),0)</f>
        <v>0</v>
      </c>
      <c r="BJ321" s="80">
        <f>IF(BE321=1,ROUND(AQ321/60,6),0)</f>
        <v>0</v>
      </c>
      <c r="BK321" s="80">
        <f>IF(BE321=1,ROUND((AR321+AS321)/60,6),0)</f>
        <v>0</v>
      </c>
      <c r="BL321" s="80">
        <f>ROUND(BH321-BK321,6)</f>
        <v>0</v>
      </c>
      <c r="BM321" s="80">
        <f>IF(BE321=1,ROUND(AR321/60,6),0)</f>
        <v>0</v>
      </c>
      <c r="BN321" s="80">
        <f>ROUND(BI321-BM321,6)</f>
        <v>0</v>
      </c>
      <c r="BO321" s="80">
        <f>IF(BE321=1,ROUND(AS321/60,6),0)</f>
        <v>0</v>
      </c>
      <c r="BP321" s="80">
        <f>ROUND(BJ321-BO321,6)</f>
        <v>0</v>
      </c>
      <c r="BQ321" s="80">
        <f>IF(BE321=1,AW321,0)</f>
        <v>0</v>
      </c>
      <c r="BR321" s="80">
        <f>IF(BE321=1,AX321,0)</f>
        <v>0</v>
      </c>
      <c r="BS321" s="80">
        <f>IF(AND(BE321=1,D321="Malcolm",BA321&gt;0),MIN(BH321,SUMPRODUCT((R_Emp="proMX")*(R_EN&gt;0)*((R_EN-(R_EN&gt;BR321)*(R_EN-BR321))&gt;(R_SN+(R_SN&lt;BQ321)*(BQ321-R_SN)))*((R_EN-(R_EN&gt;BR321)*(R_EN-BR321))-(R_SN+(R_SN&lt;BQ321)*(BQ321-R_SN))))/60),0)</f>
        <v>0</v>
      </c>
      <c r="BT321" s="80">
        <f>IF(AND(BE321=1,D321="proMX"),ROUND(BI321*CFG_RATE+BJ321*CFG_OTRATE,6),0)</f>
        <v>0</v>
      </c>
      <c r="BU321" s="80">
        <f>IF(AND(BD321=1,D321="proMX"),ROUND(AG321/CFG_BLK,6),0)</f>
        <v>0</v>
      </c>
      <c r="BV321" s="80" t="str">
        <f>IF(BF321="Approved",IF(ISNUMBER(T321),INT(T321),INT(B321)),"")</f>
        <v/>
      </c>
      <c r="BW321" s="80">
        <f>IF(ISNUMBER(B321),IF(DB_MON="Todos",1,IF(AND(INT(B321)&gt;=DB_MS,INT(B321)&lt;=DB_ME),1,0)),0)</f>
        <v>0</v>
      </c>
      <c r="BX321" s="80">
        <f>IF(DB_PROJ="Todos",1,IF(E321&amp;""=DB_PROJ&amp;"",1,0))</f>
        <v>1</v>
      </c>
      <c r="BY321" s="80">
        <f>BW321*BX321</f>
        <v>0</v>
      </c>
      <c r="BZ321" s="80" t="str">
        <f>IF(Y321=1,F321&amp;IF(AND(F321&amp;""&lt;&gt;"",E321&amp;""&lt;&gt;"")," · ","")&amp;E321,"")</f>
        <v/>
      </c>
      <c r="CA321" s="80" t="str">
        <f>IF(AND(BD321=1,E321&amp;""&lt;&gt;""),IF(COUNTIFS($E$5:E320,E321,$BD$5:BD320,1)=0,MAX($CA$5:CA320)+1,""),"")</f>
        <v/>
      </c>
      <c r="CB321" s="80" t="str">
        <f>IF(AND(BE321=1,D321="Malcolm",E321&amp;""&lt;&gt;""),IF(COUNTIFS($D$5:D320,"Malcolm",$E$5:E320,E321,$BE$5:BE320,1)=0,MAX($CB$5:CB320)+1,""),"")</f>
        <v/>
      </c>
      <c r="CC321" s="80" t="str">
        <f>IF(AND(BD321=1,D321="proMX",E321&amp;""&lt;&gt;""),IF(COUNTIFS($D$5:D320,"proMX",$E$5:E320,E321,$BD$5:BD320,1)=0,MAX($CC$5:CC320)+1,""),"")</f>
        <v/>
      </c>
      <c r="CD321" s="80" t="str">
        <f>IF(AND(BE321=1,D321="Malcolm",F321&amp;""&lt;&gt;""),IF(COUNTIFS($D$5:D320,"Malcolm",$F$5:F320,F321,$BE$5:BE320,1)=0,MAX($CD$5:CD320)+1,""),"")</f>
        <v/>
      </c>
      <c r="CE321" s="80" t="str">
        <f>IF(AND(BD321=1,D321="proMX",F321&amp;""&lt;&gt;""),IF(COUNTIFS($D$5:D320,"proMX",$F$5:F320,F321,$BD$5:BD320,1)=0,MAX($CE$5:CE320)+1,""),"")</f>
        <v/>
      </c>
      <c r="CF321" s="80" t="str">
        <f>IF(AND(D321="proMX",BD321=1),IF(OR(BF321="Draft",BF321="Submitted",BF321="Returned",BF321="Recall Requested"),MAX($CF$5:CF320)+1,""),"")</f>
        <v/>
      </c>
      <c r="CG321" s="80">
        <f>IF(BD321=0,0,IF(D321="Malcolm",1,MATCH(BF321,{"Draft","Submitted","Approved","Returned","Recall Requested","Cancelled"},0)+1))</f>
        <v>0</v>
      </c>
      <c r="CH321" s="80">
        <f>IF(AND(BF321="Submitted",ISNUMBER(V321)),IF(V321&gt;CFG_MAXD,1,0),0)</f>
        <v>0</v>
      </c>
    </row>
    <row r="322">
      <c r="A322" s="71" t="str">
        <f>IF(Y322=1,ROW()-5,"")</f>
        <v/>
      </c>
      <c r="B322" s="72" t="n"/>
      <c r="C322" s="71" t="str">
        <f>IF(ISNUMBER(B322),CHOOSE(WEEKDAY(B322,2),"Lun","Mar","Mié","Jue","Vie","Sáb","Dom"),"")</f>
        <v/>
      </c>
      <c r="D322" s="73" t="n"/>
      <c r="E322" s="74" t="n"/>
      <c r="F322" s="74" t="n"/>
      <c r="G322" s="74" t="n"/>
      <c r="H322" s="75" t="n"/>
      <c r="I322" s="75" t="n"/>
      <c r="J322" s="76" t="n"/>
      <c r="K322" s="77" t="str">
        <f>IF(AB322=1,ROUND(AG322/60,4),"")</f>
        <v/>
      </c>
      <c r="L322" s="77" t="str">
        <f>IF(BD322=1,ROUND(AP322/60,4),"")</f>
        <v/>
      </c>
      <c r="M322" s="77" t="str">
        <f>IF(BD322=1,ROUND(AQ322/60,4),"")</f>
        <v/>
      </c>
      <c r="N322" s="71" t="str">
        <f>IF(AND(D322="proMX",AB322=1),ROUND(AG322/CFG_BLK,2),"")</f>
        <v/>
      </c>
      <c r="O322" s="77" t="str">
        <f>IF(D322="proMX",IF(BD322=1,ROUND(AG322/60,4),0),"")</f>
        <v/>
      </c>
      <c r="P322" s="78" t="str">
        <f>IF(Y322=0,"",IF(BD322=1,"OK",IF(D322="proMX","Revisar bloques: ","Revisar: ")&amp;BC322))</f>
        <v/>
      </c>
      <c r="Q322" s="78" t="str">
        <f>IF(NOT(ISNUMBER(B322)),"",IF(COUNTIFS(FER_F,INT(B322))&gt;0,"Feriado"&amp;IF(AH322=1," (laborable)"," (no laborable)"),IF(AH322=1,"Laborable",IF(WEEKDAY(B322,2)&gt;5,"Fin de semana","No laborable"))))</f>
        <v/>
      </c>
      <c r="R322" s="73" t="n"/>
      <c r="S322" s="72" t="n"/>
      <c r="T322" s="72" t="n"/>
      <c r="U322" s="74" t="n"/>
      <c r="V322" s="79" t="str">
        <f>IF(AND(D322="proMX",OR(R322="Submitted",R322="Recall Requested"),ISNUMBER(S322)),CFG_TODAY-INT(S322),"")</f>
        <v/>
      </c>
      <c r="W322" s="78" t="str">
        <f>IF(BD322=0,"",IF(BA322&gt;0,"⚠ Se superpone con un registro de la otra empresa",IF(D322="Malcolm",IF(COUNTA(R322,S322,T322)&gt;0,"Estado/fechas proMX se ignoran en Malcolm",""),IF(BF322="Cancelled","Cancelado: excluido de totales",IF(R322="","Sin estado: se trata como Draft",IF(BF322="Submitted",IF(ISNUMBER(V322),IF(V322&gt;CFG_MAXD,"⚠ "&amp;V322&amp;" días en Submitted (máx. "&amp;CFG_MAXD&amp;")",""),"Falta fecha de envío"),IF(BF322="Returned","⚠ Devuelto: corregir y reenviar",IF(BF322="Recall Requested","Retirada solicitada: pendiente",IF(AND(BF322="Approved",NOT(ISNUMBER(T322))),"Falta fecha de aprobación",IF(AND(ISNUMBER(S322),ISNUMBER(T322),T322&lt;S322),"Aprobación anterior al envío","")))))))))</f>
        <v/>
      </c>
      <c r="Y322" s="80">
        <f>IF(COUNTA(B322,D322,E322,F322,G322,H322,I322,J322,R322,S322,T322)&gt;0,1,0)</f>
        <v>0</v>
      </c>
      <c r="Z322" s="80" t="str">
        <f>IF(AND(ISNUMBER(H322),H322&gt;=0,H322&lt;1),ROUND(H322*1440,0),"")</f>
        <v/>
      </c>
      <c r="AA322" s="80" t="str">
        <f>IF(AND(ISNUMBER(I322),I322&gt;=0,I322&lt;1),ROUND(I322*1440,0),"")</f>
        <v/>
      </c>
      <c r="AB322" s="80">
        <f>IF(AND(ISNUMBER(B322),D322&lt;&gt;"",ISNUMBER(Z322),ISNUMBER(AA322)),IF(Z322=AA322,0,1),0)</f>
        <v>0</v>
      </c>
      <c r="AC322" s="80">
        <f>IF(AB322=1,IF(AA322&lt;Z322,1,0),0)</f>
        <v>0</v>
      </c>
      <c r="AD322" s="80">
        <f>IF(AB322=1,IF(AC322=1,1440-Z322+AA322,AA322-Z322),0)</f>
        <v>0</v>
      </c>
      <c r="AE322" s="80">
        <f>IF(J322="",0,IF(ISNUMBER(J322),J322,-1))</f>
        <v>0</v>
      </c>
      <c r="AF322" s="80">
        <f>MIN(MAX(0,AE322),AD322)</f>
        <v>0</v>
      </c>
      <c r="AG322" s="80">
        <f>MAX(0,AD322-MAX(0,AE322))</f>
        <v>0</v>
      </c>
      <c r="AH322" s="80">
        <f>IF(ISNUMBER(B322),IF(AND(INDEX(CFG_WDAYS,WEEKDAY(INT(B322),2))="Sí",IF(D322="proMX",COUNTIFS(FER_F,INT(B322),FER_NLP,"Sí"),COUNTIFS(FER_F,INT(B322),FER_NLM,"Sí"))=0),1,0),0)</f>
        <v>0</v>
      </c>
      <c r="AI322" s="80">
        <f>IF(AC322=1,IF(AND(INDEX(CFG_WDAYS,WEEKDAY(INT(B322)+1,2))="Sí",IF(D322="proMX",COUNTIFS(FER_F,INT(B322)+1,FER_NLP,"Sí"),COUNTIFS(FER_F,INT(B322)+1,FER_NLM,"Sí"))=0),1,0),0)</f>
        <v>0</v>
      </c>
      <c r="AJ322" s="80">
        <f>IF(AC322=1,1440-Z322,AD322)</f>
        <v>0</v>
      </c>
      <c r="AK322" s="80">
        <f>IF(AND(AB322=1,AH322=1),MAX(0,MIN(IF(AC322=1,1440,AA322),CFG_WEM)-MAX(Z322,CFG_WSM)),0)</f>
        <v>0</v>
      </c>
      <c r="AL322" s="80">
        <f>IF(AND(AC322=1,AI322=1),MAX(0,MIN(AA322,CFG_WEM)-CFG_WSM),0)</f>
        <v>0</v>
      </c>
      <c r="AM322" s="80">
        <f>AK322+AL322</f>
        <v>0</v>
      </c>
      <c r="AN322" s="80">
        <f>IF(CFG_BRK="Proporcional",IF(AD322=0,0,AF322*AM322/AD322),IF(CFG_BRK="Extras primero",MIN(AM322,MAX(0,AF322-(AD322-AM322))),MIN(AF322,AM322)))</f>
        <v>0</v>
      </c>
      <c r="AO322" s="80">
        <f>AF322-AN322</f>
        <v>0</v>
      </c>
      <c r="AP322" s="80">
        <f>AM322-AN322</f>
        <v>0</v>
      </c>
      <c r="AQ322" s="80">
        <f>AD322-AM322-AO322</f>
        <v>0</v>
      </c>
      <c r="AR322" s="80">
        <f>IF(AM322=0,0,AK322-AN322*AK322/AM322)</f>
        <v>0</v>
      </c>
      <c r="AS322" s="80">
        <f>IF(AD322-AM322=0,0,(AJ322-AK322)-AO322*(AJ322-AK322)/(AD322-AM322))</f>
        <v>0</v>
      </c>
      <c r="AT322" s="80" t="str">
        <f>IF(AC322=1,INT(B322)+1,"")</f>
        <v/>
      </c>
      <c r="AU322" s="80">
        <f>IF(AND(D322="proMX",R322="Cancelled"),0,1)</f>
        <v>1</v>
      </c>
      <c r="AV322" s="80">
        <f>IF(AND(AB322=1,AU322=1),IF(COUNTIFS($D$5:D321,D322,$B$5:B321,B322,$Z$5:Z321,Z322,$AA$5:AA321,AA322,$F$5:F321,F322&amp;"",$AU$5:AU321,1)&gt;0,1,0),0)</f>
        <v>0</v>
      </c>
      <c r="AW322" s="80" t="str">
        <f>IF(AB322=1,INT(B322)*1440+Z322,"")</f>
        <v/>
      </c>
      <c r="AX322" s="80" t="str">
        <f>IF(AB322=1,AW322+AD322,"")</f>
        <v/>
      </c>
      <c r="AY322" s="80">
        <f>IF(AND(AB322=1,AV322=0,AU322=1),1,0)</f>
        <v>0</v>
      </c>
      <c r="AZ322" s="80">
        <f>IF(AY322=1,COUNTIFS(R_Emp,D322,R_SAbs,"&lt;"&amp;AX322,R_EAbs,"&gt;"&amp;AW322,R_OKey,1)-1,0)</f>
        <v>0</v>
      </c>
      <c r="BA322" s="80">
        <f>IF(AY322=1,COUNTIFS(R_Emp,"&lt;&gt;"&amp;D322,R_SAbs,"&lt;"&amp;AX322,R_EAbs,"&gt;"&amp;AW322,R_OKey,1),0)</f>
        <v>0</v>
      </c>
      <c r="BB322" s="80">
        <f>IF(AND(AB322=1,D322="proMX"),IF(AND(MOD(Z322,CFG_BLK)=0,MOD(AA322,CFG_BLK)=0,MOD(AG322,CFG_BLK)=0,AG322&gt;0),1,0),1)</f>
        <v>1</v>
      </c>
      <c r="BC322" s="80" t="str">
        <f>IF(Y322=0,"",IF(NOT(ISNUMBER(B322)),"Falta fecha o fecha inválida",IF(D322="","Falta empresa",IF(AND(D322&lt;&gt;"Malcolm",D322&lt;&gt;"proMX"),"Empresa inválida",IF(OR(INT(B322)&lt;CFG_PSTART,INT(B322)&gt;CFG_PEND),"Fecha fuera del período",IF(OR(NOT(ISNUMBER(Z322)),NOT(ISNUMBER(AA322))),"Falta hora inicio/fin o formato inválido",IF(AB322=0,"Hora inicio = hora fin",IF(AE322&lt;0,"Descanso inválido",IF(AE322&gt;=AD322,"Descanso ≥ duración",IF(AV322=1,"Registro duplicado",IF(AZ322&gt;0,"Se superpone con otro registro "&amp;D322,IF(BB322=0,"inicio, fin y duración neta deben ser múltiplos de "&amp;CFG_BLK&amp;" min",""))))))))))))</f>
        <v/>
      </c>
      <c r="BD322" s="80">
        <f>IF(AND(Y322=1,BC322=""),1,0)</f>
        <v>0</v>
      </c>
      <c r="BE322" s="80">
        <f>IF(AND(BD322=1,AU322=1),1,0)</f>
        <v>0</v>
      </c>
      <c r="BF322" s="80" t="str">
        <f>IF(AND(D322="proMX",BD322=1),IF(R322="","Draft",R322),"")</f>
        <v/>
      </c>
      <c r="BG322" s="80">
        <f>IF(BD322=1,ROUND(AG322/60,6),0)</f>
        <v>0</v>
      </c>
      <c r="BH322" s="80">
        <f>IF(BE322=1,ROUND(AG322/60,6),0)</f>
        <v>0</v>
      </c>
      <c r="BI322" s="80">
        <f>IF(BE322=1,ROUND(AP322/60,6),0)</f>
        <v>0</v>
      </c>
      <c r="BJ322" s="80">
        <f>IF(BE322=1,ROUND(AQ322/60,6),0)</f>
        <v>0</v>
      </c>
      <c r="BK322" s="80">
        <f>IF(BE322=1,ROUND((AR322+AS322)/60,6),0)</f>
        <v>0</v>
      </c>
      <c r="BL322" s="80">
        <f>ROUND(BH322-BK322,6)</f>
        <v>0</v>
      </c>
      <c r="BM322" s="80">
        <f>IF(BE322=1,ROUND(AR322/60,6),0)</f>
        <v>0</v>
      </c>
      <c r="BN322" s="80">
        <f>ROUND(BI322-BM322,6)</f>
        <v>0</v>
      </c>
      <c r="BO322" s="80">
        <f>IF(BE322=1,ROUND(AS322/60,6),0)</f>
        <v>0</v>
      </c>
      <c r="BP322" s="80">
        <f>ROUND(BJ322-BO322,6)</f>
        <v>0</v>
      </c>
      <c r="BQ322" s="80">
        <f>IF(BE322=1,AW322,0)</f>
        <v>0</v>
      </c>
      <c r="BR322" s="80">
        <f>IF(BE322=1,AX322,0)</f>
        <v>0</v>
      </c>
      <c r="BS322" s="80">
        <f>IF(AND(BE322=1,D322="Malcolm",BA322&gt;0),MIN(BH322,SUMPRODUCT((R_Emp="proMX")*(R_EN&gt;0)*((R_EN-(R_EN&gt;BR322)*(R_EN-BR322))&gt;(R_SN+(R_SN&lt;BQ322)*(BQ322-R_SN)))*((R_EN-(R_EN&gt;BR322)*(R_EN-BR322))-(R_SN+(R_SN&lt;BQ322)*(BQ322-R_SN))))/60),0)</f>
        <v>0</v>
      </c>
      <c r="BT322" s="80">
        <f>IF(AND(BE322=1,D322="proMX"),ROUND(BI322*CFG_RATE+BJ322*CFG_OTRATE,6),0)</f>
        <v>0</v>
      </c>
      <c r="BU322" s="80">
        <f>IF(AND(BD322=1,D322="proMX"),ROUND(AG322/CFG_BLK,6),0)</f>
        <v>0</v>
      </c>
      <c r="BV322" s="80" t="str">
        <f>IF(BF322="Approved",IF(ISNUMBER(T322),INT(T322),INT(B322)),"")</f>
        <v/>
      </c>
      <c r="BW322" s="80">
        <f>IF(ISNUMBER(B322),IF(DB_MON="Todos",1,IF(AND(INT(B322)&gt;=DB_MS,INT(B322)&lt;=DB_ME),1,0)),0)</f>
        <v>0</v>
      </c>
      <c r="BX322" s="80">
        <f>IF(DB_PROJ="Todos",1,IF(E322&amp;""=DB_PROJ&amp;"",1,0))</f>
        <v>1</v>
      </c>
      <c r="BY322" s="80">
        <f>BW322*BX322</f>
        <v>0</v>
      </c>
      <c r="BZ322" s="80" t="str">
        <f>IF(Y322=1,F322&amp;IF(AND(F322&amp;""&lt;&gt;"",E322&amp;""&lt;&gt;"")," · ","")&amp;E322,"")</f>
        <v/>
      </c>
      <c r="CA322" s="80" t="str">
        <f>IF(AND(BD322=1,E322&amp;""&lt;&gt;""),IF(COUNTIFS($E$5:E321,E322,$BD$5:BD321,1)=0,MAX($CA$5:CA321)+1,""),"")</f>
        <v/>
      </c>
      <c r="CB322" s="80" t="str">
        <f>IF(AND(BE322=1,D322="Malcolm",E322&amp;""&lt;&gt;""),IF(COUNTIFS($D$5:D321,"Malcolm",$E$5:E321,E322,$BE$5:BE321,1)=0,MAX($CB$5:CB321)+1,""),"")</f>
        <v/>
      </c>
      <c r="CC322" s="80" t="str">
        <f>IF(AND(BD322=1,D322="proMX",E322&amp;""&lt;&gt;""),IF(COUNTIFS($D$5:D321,"proMX",$E$5:E321,E322,$BD$5:BD321,1)=0,MAX($CC$5:CC321)+1,""),"")</f>
        <v/>
      </c>
      <c r="CD322" s="80" t="str">
        <f>IF(AND(BE322=1,D322="Malcolm",F322&amp;""&lt;&gt;""),IF(COUNTIFS($D$5:D321,"Malcolm",$F$5:F321,F322,$BE$5:BE321,1)=0,MAX($CD$5:CD321)+1,""),"")</f>
        <v/>
      </c>
      <c r="CE322" s="80" t="str">
        <f>IF(AND(BD322=1,D322="proMX",F322&amp;""&lt;&gt;""),IF(COUNTIFS($D$5:D321,"proMX",$F$5:F321,F322,$BD$5:BD321,1)=0,MAX($CE$5:CE321)+1,""),"")</f>
        <v/>
      </c>
      <c r="CF322" s="80" t="str">
        <f>IF(AND(D322="proMX",BD322=1),IF(OR(BF322="Draft",BF322="Submitted",BF322="Returned",BF322="Recall Requested"),MAX($CF$5:CF321)+1,""),"")</f>
        <v/>
      </c>
      <c r="CG322" s="80">
        <f>IF(BD322=0,0,IF(D322="Malcolm",1,MATCH(BF322,{"Draft","Submitted","Approved","Returned","Recall Requested","Cancelled"},0)+1))</f>
        <v>0</v>
      </c>
      <c r="CH322" s="80">
        <f>IF(AND(BF322="Submitted",ISNUMBER(V322)),IF(V322&gt;CFG_MAXD,1,0),0)</f>
        <v>0</v>
      </c>
    </row>
    <row r="323">
      <c r="A323" s="71" t="str">
        <f>IF(Y323=1,ROW()-5,"")</f>
        <v/>
      </c>
      <c r="B323" s="72" t="n"/>
      <c r="C323" s="71" t="str">
        <f>IF(ISNUMBER(B323),CHOOSE(WEEKDAY(B323,2),"Lun","Mar","Mié","Jue","Vie","Sáb","Dom"),"")</f>
        <v/>
      </c>
      <c r="D323" s="73" t="n"/>
      <c r="E323" s="74" t="n"/>
      <c r="F323" s="74" t="n"/>
      <c r="G323" s="74" t="n"/>
      <c r="H323" s="75" t="n"/>
      <c r="I323" s="75" t="n"/>
      <c r="J323" s="76" t="n"/>
      <c r="K323" s="77" t="str">
        <f>IF(AB323=1,ROUND(AG323/60,4),"")</f>
        <v/>
      </c>
      <c r="L323" s="77" t="str">
        <f>IF(BD323=1,ROUND(AP323/60,4),"")</f>
        <v/>
      </c>
      <c r="M323" s="77" t="str">
        <f>IF(BD323=1,ROUND(AQ323/60,4),"")</f>
        <v/>
      </c>
      <c r="N323" s="71" t="str">
        <f>IF(AND(D323="proMX",AB323=1),ROUND(AG323/CFG_BLK,2),"")</f>
        <v/>
      </c>
      <c r="O323" s="77" t="str">
        <f>IF(D323="proMX",IF(BD323=1,ROUND(AG323/60,4),0),"")</f>
        <v/>
      </c>
      <c r="P323" s="78" t="str">
        <f>IF(Y323=0,"",IF(BD323=1,"OK",IF(D323="proMX","Revisar bloques: ","Revisar: ")&amp;BC323))</f>
        <v/>
      </c>
      <c r="Q323" s="78" t="str">
        <f>IF(NOT(ISNUMBER(B323)),"",IF(COUNTIFS(FER_F,INT(B323))&gt;0,"Feriado"&amp;IF(AH323=1," (laborable)"," (no laborable)"),IF(AH323=1,"Laborable",IF(WEEKDAY(B323,2)&gt;5,"Fin de semana","No laborable"))))</f>
        <v/>
      </c>
      <c r="R323" s="73" t="n"/>
      <c r="S323" s="72" t="n"/>
      <c r="T323" s="72" t="n"/>
      <c r="U323" s="74" t="n"/>
      <c r="V323" s="79" t="str">
        <f>IF(AND(D323="proMX",OR(R323="Submitted",R323="Recall Requested"),ISNUMBER(S323)),CFG_TODAY-INT(S323),"")</f>
        <v/>
      </c>
      <c r="W323" s="78" t="str">
        <f>IF(BD323=0,"",IF(BA323&gt;0,"⚠ Se superpone con un registro de la otra empresa",IF(D323="Malcolm",IF(COUNTA(R323,S323,T323)&gt;0,"Estado/fechas proMX se ignoran en Malcolm",""),IF(BF323="Cancelled","Cancelado: excluido de totales",IF(R323="","Sin estado: se trata como Draft",IF(BF323="Submitted",IF(ISNUMBER(V323),IF(V323&gt;CFG_MAXD,"⚠ "&amp;V323&amp;" días en Submitted (máx. "&amp;CFG_MAXD&amp;")",""),"Falta fecha de envío"),IF(BF323="Returned","⚠ Devuelto: corregir y reenviar",IF(BF323="Recall Requested","Retirada solicitada: pendiente",IF(AND(BF323="Approved",NOT(ISNUMBER(T323))),"Falta fecha de aprobación",IF(AND(ISNUMBER(S323),ISNUMBER(T323),T323&lt;S323),"Aprobación anterior al envío","")))))))))</f>
        <v/>
      </c>
      <c r="Y323" s="80">
        <f>IF(COUNTA(B323,D323,E323,F323,G323,H323,I323,J323,R323,S323,T323)&gt;0,1,0)</f>
        <v>0</v>
      </c>
      <c r="Z323" s="80" t="str">
        <f>IF(AND(ISNUMBER(H323),H323&gt;=0,H323&lt;1),ROUND(H323*1440,0),"")</f>
        <v/>
      </c>
      <c r="AA323" s="80" t="str">
        <f>IF(AND(ISNUMBER(I323),I323&gt;=0,I323&lt;1),ROUND(I323*1440,0),"")</f>
        <v/>
      </c>
      <c r="AB323" s="80">
        <f>IF(AND(ISNUMBER(B323),D323&lt;&gt;"",ISNUMBER(Z323),ISNUMBER(AA323)),IF(Z323=AA323,0,1),0)</f>
        <v>0</v>
      </c>
      <c r="AC323" s="80">
        <f>IF(AB323=1,IF(AA323&lt;Z323,1,0),0)</f>
        <v>0</v>
      </c>
      <c r="AD323" s="80">
        <f>IF(AB323=1,IF(AC323=1,1440-Z323+AA323,AA323-Z323),0)</f>
        <v>0</v>
      </c>
      <c r="AE323" s="80">
        <f>IF(J323="",0,IF(ISNUMBER(J323),J323,-1))</f>
        <v>0</v>
      </c>
      <c r="AF323" s="80">
        <f>MIN(MAX(0,AE323),AD323)</f>
        <v>0</v>
      </c>
      <c r="AG323" s="80">
        <f>MAX(0,AD323-MAX(0,AE323))</f>
        <v>0</v>
      </c>
      <c r="AH323" s="80">
        <f>IF(ISNUMBER(B323),IF(AND(INDEX(CFG_WDAYS,WEEKDAY(INT(B323),2))="Sí",IF(D323="proMX",COUNTIFS(FER_F,INT(B323),FER_NLP,"Sí"),COUNTIFS(FER_F,INT(B323),FER_NLM,"Sí"))=0),1,0),0)</f>
        <v>0</v>
      </c>
      <c r="AI323" s="80">
        <f>IF(AC323=1,IF(AND(INDEX(CFG_WDAYS,WEEKDAY(INT(B323)+1,2))="Sí",IF(D323="proMX",COUNTIFS(FER_F,INT(B323)+1,FER_NLP,"Sí"),COUNTIFS(FER_F,INT(B323)+1,FER_NLM,"Sí"))=0),1,0),0)</f>
        <v>0</v>
      </c>
      <c r="AJ323" s="80">
        <f>IF(AC323=1,1440-Z323,AD323)</f>
        <v>0</v>
      </c>
      <c r="AK323" s="80">
        <f>IF(AND(AB323=1,AH323=1),MAX(0,MIN(IF(AC323=1,1440,AA323),CFG_WEM)-MAX(Z323,CFG_WSM)),0)</f>
        <v>0</v>
      </c>
      <c r="AL323" s="80">
        <f>IF(AND(AC323=1,AI323=1),MAX(0,MIN(AA323,CFG_WEM)-CFG_WSM),0)</f>
        <v>0</v>
      </c>
      <c r="AM323" s="80">
        <f>AK323+AL323</f>
        <v>0</v>
      </c>
      <c r="AN323" s="80">
        <f>IF(CFG_BRK="Proporcional",IF(AD323=0,0,AF323*AM323/AD323),IF(CFG_BRK="Extras primero",MIN(AM323,MAX(0,AF323-(AD323-AM323))),MIN(AF323,AM323)))</f>
        <v>0</v>
      </c>
      <c r="AO323" s="80">
        <f>AF323-AN323</f>
        <v>0</v>
      </c>
      <c r="AP323" s="80">
        <f>AM323-AN323</f>
        <v>0</v>
      </c>
      <c r="AQ323" s="80">
        <f>AD323-AM323-AO323</f>
        <v>0</v>
      </c>
      <c r="AR323" s="80">
        <f>IF(AM323=0,0,AK323-AN323*AK323/AM323)</f>
        <v>0</v>
      </c>
      <c r="AS323" s="80">
        <f>IF(AD323-AM323=0,0,(AJ323-AK323)-AO323*(AJ323-AK323)/(AD323-AM323))</f>
        <v>0</v>
      </c>
      <c r="AT323" s="80" t="str">
        <f>IF(AC323=1,INT(B323)+1,"")</f>
        <v/>
      </c>
      <c r="AU323" s="80">
        <f>IF(AND(D323="proMX",R323="Cancelled"),0,1)</f>
        <v>1</v>
      </c>
      <c r="AV323" s="80">
        <f>IF(AND(AB323=1,AU323=1),IF(COUNTIFS($D$5:D322,D323,$B$5:B322,B323,$Z$5:Z322,Z323,$AA$5:AA322,AA323,$F$5:F322,F323&amp;"",$AU$5:AU322,1)&gt;0,1,0),0)</f>
        <v>0</v>
      </c>
      <c r="AW323" s="80" t="str">
        <f>IF(AB323=1,INT(B323)*1440+Z323,"")</f>
        <v/>
      </c>
      <c r="AX323" s="80" t="str">
        <f>IF(AB323=1,AW323+AD323,"")</f>
        <v/>
      </c>
      <c r="AY323" s="80">
        <f>IF(AND(AB323=1,AV323=0,AU323=1),1,0)</f>
        <v>0</v>
      </c>
      <c r="AZ323" s="80">
        <f>IF(AY323=1,COUNTIFS(R_Emp,D323,R_SAbs,"&lt;"&amp;AX323,R_EAbs,"&gt;"&amp;AW323,R_OKey,1)-1,0)</f>
        <v>0</v>
      </c>
      <c r="BA323" s="80">
        <f>IF(AY323=1,COUNTIFS(R_Emp,"&lt;&gt;"&amp;D323,R_SAbs,"&lt;"&amp;AX323,R_EAbs,"&gt;"&amp;AW323,R_OKey,1),0)</f>
        <v>0</v>
      </c>
      <c r="BB323" s="80">
        <f>IF(AND(AB323=1,D323="proMX"),IF(AND(MOD(Z323,CFG_BLK)=0,MOD(AA323,CFG_BLK)=0,MOD(AG323,CFG_BLK)=0,AG323&gt;0),1,0),1)</f>
        <v>1</v>
      </c>
      <c r="BC323" s="80" t="str">
        <f>IF(Y323=0,"",IF(NOT(ISNUMBER(B323)),"Falta fecha o fecha inválida",IF(D323="","Falta empresa",IF(AND(D323&lt;&gt;"Malcolm",D323&lt;&gt;"proMX"),"Empresa inválida",IF(OR(INT(B323)&lt;CFG_PSTART,INT(B323)&gt;CFG_PEND),"Fecha fuera del período",IF(OR(NOT(ISNUMBER(Z323)),NOT(ISNUMBER(AA323))),"Falta hora inicio/fin o formato inválido",IF(AB323=0,"Hora inicio = hora fin",IF(AE323&lt;0,"Descanso inválido",IF(AE323&gt;=AD323,"Descanso ≥ duración",IF(AV323=1,"Registro duplicado",IF(AZ323&gt;0,"Se superpone con otro registro "&amp;D323,IF(BB323=0,"inicio, fin y duración neta deben ser múltiplos de "&amp;CFG_BLK&amp;" min",""))))))))))))</f>
        <v/>
      </c>
      <c r="BD323" s="80">
        <f>IF(AND(Y323=1,BC323=""),1,0)</f>
        <v>0</v>
      </c>
      <c r="BE323" s="80">
        <f>IF(AND(BD323=1,AU323=1),1,0)</f>
        <v>0</v>
      </c>
      <c r="BF323" s="80" t="str">
        <f>IF(AND(D323="proMX",BD323=1),IF(R323="","Draft",R323),"")</f>
        <v/>
      </c>
      <c r="BG323" s="80">
        <f>IF(BD323=1,ROUND(AG323/60,6),0)</f>
        <v>0</v>
      </c>
      <c r="BH323" s="80">
        <f>IF(BE323=1,ROUND(AG323/60,6),0)</f>
        <v>0</v>
      </c>
      <c r="BI323" s="80">
        <f>IF(BE323=1,ROUND(AP323/60,6),0)</f>
        <v>0</v>
      </c>
      <c r="BJ323" s="80">
        <f>IF(BE323=1,ROUND(AQ323/60,6),0)</f>
        <v>0</v>
      </c>
      <c r="BK323" s="80">
        <f>IF(BE323=1,ROUND((AR323+AS323)/60,6),0)</f>
        <v>0</v>
      </c>
      <c r="BL323" s="80">
        <f>ROUND(BH323-BK323,6)</f>
        <v>0</v>
      </c>
      <c r="BM323" s="80">
        <f>IF(BE323=1,ROUND(AR323/60,6),0)</f>
        <v>0</v>
      </c>
      <c r="BN323" s="80">
        <f>ROUND(BI323-BM323,6)</f>
        <v>0</v>
      </c>
      <c r="BO323" s="80">
        <f>IF(BE323=1,ROUND(AS323/60,6),0)</f>
        <v>0</v>
      </c>
      <c r="BP323" s="80">
        <f>ROUND(BJ323-BO323,6)</f>
        <v>0</v>
      </c>
      <c r="BQ323" s="80">
        <f>IF(BE323=1,AW323,0)</f>
        <v>0</v>
      </c>
      <c r="BR323" s="80">
        <f>IF(BE323=1,AX323,0)</f>
        <v>0</v>
      </c>
      <c r="BS323" s="80">
        <f>IF(AND(BE323=1,D323="Malcolm",BA323&gt;0),MIN(BH323,SUMPRODUCT((R_Emp="proMX")*(R_EN&gt;0)*((R_EN-(R_EN&gt;BR323)*(R_EN-BR323))&gt;(R_SN+(R_SN&lt;BQ323)*(BQ323-R_SN)))*((R_EN-(R_EN&gt;BR323)*(R_EN-BR323))-(R_SN+(R_SN&lt;BQ323)*(BQ323-R_SN))))/60),0)</f>
        <v>0</v>
      </c>
      <c r="BT323" s="80">
        <f>IF(AND(BE323=1,D323="proMX"),ROUND(BI323*CFG_RATE+BJ323*CFG_OTRATE,6),0)</f>
        <v>0</v>
      </c>
      <c r="BU323" s="80">
        <f>IF(AND(BD323=1,D323="proMX"),ROUND(AG323/CFG_BLK,6),0)</f>
        <v>0</v>
      </c>
      <c r="BV323" s="80" t="str">
        <f>IF(BF323="Approved",IF(ISNUMBER(T323),INT(T323),INT(B323)),"")</f>
        <v/>
      </c>
      <c r="BW323" s="80">
        <f>IF(ISNUMBER(B323),IF(DB_MON="Todos",1,IF(AND(INT(B323)&gt;=DB_MS,INT(B323)&lt;=DB_ME),1,0)),0)</f>
        <v>0</v>
      </c>
      <c r="BX323" s="80">
        <f>IF(DB_PROJ="Todos",1,IF(E323&amp;""=DB_PROJ&amp;"",1,0))</f>
        <v>1</v>
      </c>
      <c r="BY323" s="80">
        <f>BW323*BX323</f>
        <v>0</v>
      </c>
      <c r="BZ323" s="80" t="str">
        <f>IF(Y323=1,F323&amp;IF(AND(F323&amp;""&lt;&gt;"",E323&amp;""&lt;&gt;"")," · ","")&amp;E323,"")</f>
        <v/>
      </c>
      <c r="CA323" s="80" t="str">
        <f>IF(AND(BD323=1,E323&amp;""&lt;&gt;""),IF(COUNTIFS($E$5:E322,E323,$BD$5:BD322,1)=0,MAX($CA$5:CA322)+1,""),"")</f>
        <v/>
      </c>
      <c r="CB323" s="80" t="str">
        <f>IF(AND(BE323=1,D323="Malcolm",E323&amp;""&lt;&gt;""),IF(COUNTIFS($D$5:D322,"Malcolm",$E$5:E322,E323,$BE$5:BE322,1)=0,MAX($CB$5:CB322)+1,""),"")</f>
        <v/>
      </c>
      <c r="CC323" s="80" t="str">
        <f>IF(AND(BD323=1,D323="proMX",E323&amp;""&lt;&gt;""),IF(COUNTIFS($D$5:D322,"proMX",$E$5:E322,E323,$BD$5:BD322,1)=0,MAX($CC$5:CC322)+1,""),"")</f>
        <v/>
      </c>
      <c r="CD323" s="80" t="str">
        <f>IF(AND(BE323=1,D323="Malcolm",F323&amp;""&lt;&gt;""),IF(COUNTIFS($D$5:D322,"Malcolm",$F$5:F322,F323,$BE$5:BE322,1)=0,MAX($CD$5:CD322)+1,""),"")</f>
        <v/>
      </c>
      <c r="CE323" s="80" t="str">
        <f>IF(AND(BD323=1,D323="proMX",F323&amp;""&lt;&gt;""),IF(COUNTIFS($D$5:D322,"proMX",$F$5:F322,F323,$BD$5:BD322,1)=0,MAX($CE$5:CE322)+1,""),"")</f>
        <v/>
      </c>
      <c r="CF323" s="80" t="str">
        <f>IF(AND(D323="proMX",BD323=1),IF(OR(BF323="Draft",BF323="Submitted",BF323="Returned",BF323="Recall Requested"),MAX($CF$5:CF322)+1,""),"")</f>
        <v/>
      </c>
      <c r="CG323" s="80">
        <f>IF(BD323=0,0,IF(D323="Malcolm",1,MATCH(BF323,{"Draft","Submitted","Approved","Returned","Recall Requested","Cancelled"},0)+1))</f>
        <v>0</v>
      </c>
      <c r="CH323" s="80">
        <f>IF(AND(BF323="Submitted",ISNUMBER(V323)),IF(V323&gt;CFG_MAXD,1,0),0)</f>
        <v>0</v>
      </c>
    </row>
    <row r="324">
      <c r="A324" s="71" t="str">
        <f>IF(Y324=1,ROW()-5,"")</f>
        <v/>
      </c>
      <c r="B324" s="72" t="n"/>
      <c r="C324" s="71" t="str">
        <f>IF(ISNUMBER(B324),CHOOSE(WEEKDAY(B324,2),"Lun","Mar","Mié","Jue","Vie","Sáb","Dom"),"")</f>
        <v/>
      </c>
      <c r="D324" s="73" t="n"/>
      <c r="E324" s="74" t="n"/>
      <c r="F324" s="74" t="n"/>
      <c r="G324" s="74" t="n"/>
      <c r="H324" s="75" t="n"/>
      <c r="I324" s="75" t="n"/>
      <c r="J324" s="76" t="n"/>
      <c r="K324" s="77" t="str">
        <f>IF(AB324=1,ROUND(AG324/60,4),"")</f>
        <v/>
      </c>
      <c r="L324" s="77" t="str">
        <f>IF(BD324=1,ROUND(AP324/60,4),"")</f>
        <v/>
      </c>
      <c r="M324" s="77" t="str">
        <f>IF(BD324=1,ROUND(AQ324/60,4),"")</f>
        <v/>
      </c>
      <c r="N324" s="71" t="str">
        <f>IF(AND(D324="proMX",AB324=1),ROUND(AG324/CFG_BLK,2),"")</f>
        <v/>
      </c>
      <c r="O324" s="77" t="str">
        <f>IF(D324="proMX",IF(BD324=1,ROUND(AG324/60,4),0),"")</f>
        <v/>
      </c>
      <c r="P324" s="78" t="str">
        <f>IF(Y324=0,"",IF(BD324=1,"OK",IF(D324="proMX","Revisar bloques: ","Revisar: ")&amp;BC324))</f>
        <v/>
      </c>
      <c r="Q324" s="78" t="str">
        <f>IF(NOT(ISNUMBER(B324)),"",IF(COUNTIFS(FER_F,INT(B324))&gt;0,"Feriado"&amp;IF(AH324=1," (laborable)"," (no laborable)"),IF(AH324=1,"Laborable",IF(WEEKDAY(B324,2)&gt;5,"Fin de semana","No laborable"))))</f>
        <v/>
      </c>
      <c r="R324" s="73" t="n"/>
      <c r="S324" s="72" t="n"/>
      <c r="T324" s="72" t="n"/>
      <c r="U324" s="74" t="n"/>
      <c r="V324" s="79" t="str">
        <f>IF(AND(D324="proMX",OR(R324="Submitted",R324="Recall Requested"),ISNUMBER(S324)),CFG_TODAY-INT(S324),"")</f>
        <v/>
      </c>
      <c r="W324" s="78" t="str">
        <f>IF(BD324=0,"",IF(BA324&gt;0,"⚠ Se superpone con un registro de la otra empresa",IF(D324="Malcolm",IF(COUNTA(R324,S324,T324)&gt;0,"Estado/fechas proMX se ignoran en Malcolm",""),IF(BF324="Cancelled","Cancelado: excluido de totales",IF(R324="","Sin estado: se trata como Draft",IF(BF324="Submitted",IF(ISNUMBER(V324),IF(V324&gt;CFG_MAXD,"⚠ "&amp;V324&amp;" días en Submitted (máx. "&amp;CFG_MAXD&amp;")",""),"Falta fecha de envío"),IF(BF324="Returned","⚠ Devuelto: corregir y reenviar",IF(BF324="Recall Requested","Retirada solicitada: pendiente",IF(AND(BF324="Approved",NOT(ISNUMBER(T324))),"Falta fecha de aprobación",IF(AND(ISNUMBER(S324),ISNUMBER(T324),T324&lt;S324),"Aprobación anterior al envío","")))))))))</f>
        <v/>
      </c>
      <c r="Y324" s="80">
        <f>IF(COUNTA(B324,D324,E324,F324,G324,H324,I324,J324,R324,S324,T324)&gt;0,1,0)</f>
        <v>0</v>
      </c>
      <c r="Z324" s="80" t="str">
        <f>IF(AND(ISNUMBER(H324),H324&gt;=0,H324&lt;1),ROUND(H324*1440,0),"")</f>
        <v/>
      </c>
      <c r="AA324" s="80" t="str">
        <f>IF(AND(ISNUMBER(I324),I324&gt;=0,I324&lt;1),ROUND(I324*1440,0),"")</f>
        <v/>
      </c>
      <c r="AB324" s="80">
        <f>IF(AND(ISNUMBER(B324),D324&lt;&gt;"",ISNUMBER(Z324),ISNUMBER(AA324)),IF(Z324=AA324,0,1),0)</f>
        <v>0</v>
      </c>
      <c r="AC324" s="80">
        <f>IF(AB324=1,IF(AA324&lt;Z324,1,0),0)</f>
        <v>0</v>
      </c>
      <c r="AD324" s="80">
        <f>IF(AB324=1,IF(AC324=1,1440-Z324+AA324,AA324-Z324),0)</f>
        <v>0</v>
      </c>
      <c r="AE324" s="80">
        <f>IF(J324="",0,IF(ISNUMBER(J324),J324,-1))</f>
        <v>0</v>
      </c>
      <c r="AF324" s="80">
        <f>MIN(MAX(0,AE324),AD324)</f>
        <v>0</v>
      </c>
      <c r="AG324" s="80">
        <f>MAX(0,AD324-MAX(0,AE324))</f>
        <v>0</v>
      </c>
      <c r="AH324" s="80">
        <f>IF(ISNUMBER(B324),IF(AND(INDEX(CFG_WDAYS,WEEKDAY(INT(B324),2))="Sí",IF(D324="proMX",COUNTIFS(FER_F,INT(B324),FER_NLP,"Sí"),COUNTIFS(FER_F,INT(B324),FER_NLM,"Sí"))=0),1,0),0)</f>
        <v>0</v>
      </c>
      <c r="AI324" s="80">
        <f>IF(AC324=1,IF(AND(INDEX(CFG_WDAYS,WEEKDAY(INT(B324)+1,2))="Sí",IF(D324="proMX",COUNTIFS(FER_F,INT(B324)+1,FER_NLP,"Sí"),COUNTIFS(FER_F,INT(B324)+1,FER_NLM,"Sí"))=0),1,0),0)</f>
        <v>0</v>
      </c>
      <c r="AJ324" s="80">
        <f>IF(AC324=1,1440-Z324,AD324)</f>
        <v>0</v>
      </c>
      <c r="AK324" s="80">
        <f>IF(AND(AB324=1,AH324=1),MAX(0,MIN(IF(AC324=1,1440,AA324),CFG_WEM)-MAX(Z324,CFG_WSM)),0)</f>
        <v>0</v>
      </c>
      <c r="AL324" s="80">
        <f>IF(AND(AC324=1,AI324=1),MAX(0,MIN(AA324,CFG_WEM)-CFG_WSM),0)</f>
        <v>0</v>
      </c>
      <c r="AM324" s="80">
        <f>AK324+AL324</f>
        <v>0</v>
      </c>
      <c r="AN324" s="80">
        <f>IF(CFG_BRK="Proporcional",IF(AD324=0,0,AF324*AM324/AD324),IF(CFG_BRK="Extras primero",MIN(AM324,MAX(0,AF324-(AD324-AM324))),MIN(AF324,AM324)))</f>
        <v>0</v>
      </c>
      <c r="AO324" s="80">
        <f>AF324-AN324</f>
        <v>0</v>
      </c>
      <c r="AP324" s="80">
        <f>AM324-AN324</f>
        <v>0</v>
      </c>
      <c r="AQ324" s="80">
        <f>AD324-AM324-AO324</f>
        <v>0</v>
      </c>
      <c r="AR324" s="80">
        <f>IF(AM324=0,0,AK324-AN324*AK324/AM324)</f>
        <v>0</v>
      </c>
      <c r="AS324" s="80">
        <f>IF(AD324-AM324=0,0,(AJ324-AK324)-AO324*(AJ324-AK324)/(AD324-AM324))</f>
        <v>0</v>
      </c>
      <c r="AT324" s="80" t="str">
        <f>IF(AC324=1,INT(B324)+1,"")</f>
        <v/>
      </c>
      <c r="AU324" s="80">
        <f>IF(AND(D324="proMX",R324="Cancelled"),0,1)</f>
        <v>1</v>
      </c>
      <c r="AV324" s="80">
        <f>IF(AND(AB324=1,AU324=1),IF(COUNTIFS($D$5:D323,D324,$B$5:B323,B324,$Z$5:Z323,Z324,$AA$5:AA323,AA324,$F$5:F323,F324&amp;"",$AU$5:AU323,1)&gt;0,1,0),0)</f>
        <v>0</v>
      </c>
      <c r="AW324" s="80" t="str">
        <f>IF(AB324=1,INT(B324)*1440+Z324,"")</f>
        <v/>
      </c>
      <c r="AX324" s="80" t="str">
        <f>IF(AB324=1,AW324+AD324,"")</f>
        <v/>
      </c>
      <c r="AY324" s="80">
        <f>IF(AND(AB324=1,AV324=0,AU324=1),1,0)</f>
        <v>0</v>
      </c>
      <c r="AZ324" s="80">
        <f>IF(AY324=1,COUNTIFS(R_Emp,D324,R_SAbs,"&lt;"&amp;AX324,R_EAbs,"&gt;"&amp;AW324,R_OKey,1)-1,0)</f>
        <v>0</v>
      </c>
      <c r="BA324" s="80">
        <f>IF(AY324=1,COUNTIFS(R_Emp,"&lt;&gt;"&amp;D324,R_SAbs,"&lt;"&amp;AX324,R_EAbs,"&gt;"&amp;AW324,R_OKey,1),0)</f>
        <v>0</v>
      </c>
      <c r="BB324" s="80">
        <f>IF(AND(AB324=1,D324="proMX"),IF(AND(MOD(Z324,CFG_BLK)=0,MOD(AA324,CFG_BLK)=0,MOD(AG324,CFG_BLK)=0,AG324&gt;0),1,0),1)</f>
        <v>1</v>
      </c>
      <c r="BC324" s="80" t="str">
        <f>IF(Y324=0,"",IF(NOT(ISNUMBER(B324)),"Falta fecha o fecha inválida",IF(D324="","Falta empresa",IF(AND(D324&lt;&gt;"Malcolm",D324&lt;&gt;"proMX"),"Empresa inválida",IF(OR(INT(B324)&lt;CFG_PSTART,INT(B324)&gt;CFG_PEND),"Fecha fuera del período",IF(OR(NOT(ISNUMBER(Z324)),NOT(ISNUMBER(AA324))),"Falta hora inicio/fin o formato inválido",IF(AB324=0,"Hora inicio = hora fin",IF(AE324&lt;0,"Descanso inválido",IF(AE324&gt;=AD324,"Descanso ≥ duración",IF(AV324=1,"Registro duplicado",IF(AZ324&gt;0,"Se superpone con otro registro "&amp;D324,IF(BB324=0,"inicio, fin y duración neta deben ser múltiplos de "&amp;CFG_BLK&amp;" min",""))))))))))))</f>
        <v/>
      </c>
      <c r="BD324" s="80">
        <f>IF(AND(Y324=1,BC324=""),1,0)</f>
        <v>0</v>
      </c>
      <c r="BE324" s="80">
        <f>IF(AND(BD324=1,AU324=1),1,0)</f>
        <v>0</v>
      </c>
      <c r="BF324" s="80" t="str">
        <f>IF(AND(D324="proMX",BD324=1),IF(R324="","Draft",R324),"")</f>
        <v/>
      </c>
      <c r="BG324" s="80">
        <f>IF(BD324=1,ROUND(AG324/60,6),0)</f>
        <v>0</v>
      </c>
      <c r="BH324" s="80">
        <f>IF(BE324=1,ROUND(AG324/60,6),0)</f>
        <v>0</v>
      </c>
      <c r="BI324" s="80">
        <f>IF(BE324=1,ROUND(AP324/60,6),0)</f>
        <v>0</v>
      </c>
      <c r="BJ324" s="80">
        <f>IF(BE324=1,ROUND(AQ324/60,6),0)</f>
        <v>0</v>
      </c>
      <c r="BK324" s="80">
        <f>IF(BE324=1,ROUND((AR324+AS324)/60,6),0)</f>
        <v>0</v>
      </c>
      <c r="BL324" s="80">
        <f>ROUND(BH324-BK324,6)</f>
        <v>0</v>
      </c>
      <c r="BM324" s="80">
        <f>IF(BE324=1,ROUND(AR324/60,6),0)</f>
        <v>0</v>
      </c>
      <c r="BN324" s="80">
        <f>ROUND(BI324-BM324,6)</f>
        <v>0</v>
      </c>
      <c r="BO324" s="80">
        <f>IF(BE324=1,ROUND(AS324/60,6),0)</f>
        <v>0</v>
      </c>
      <c r="BP324" s="80">
        <f>ROUND(BJ324-BO324,6)</f>
        <v>0</v>
      </c>
      <c r="BQ324" s="80">
        <f>IF(BE324=1,AW324,0)</f>
        <v>0</v>
      </c>
      <c r="BR324" s="80">
        <f>IF(BE324=1,AX324,0)</f>
        <v>0</v>
      </c>
      <c r="BS324" s="80">
        <f>IF(AND(BE324=1,D324="Malcolm",BA324&gt;0),MIN(BH324,SUMPRODUCT((R_Emp="proMX")*(R_EN&gt;0)*((R_EN-(R_EN&gt;BR324)*(R_EN-BR324))&gt;(R_SN+(R_SN&lt;BQ324)*(BQ324-R_SN)))*((R_EN-(R_EN&gt;BR324)*(R_EN-BR324))-(R_SN+(R_SN&lt;BQ324)*(BQ324-R_SN))))/60),0)</f>
        <v>0</v>
      </c>
      <c r="BT324" s="80">
        <f>IF(AND(BE324=1,D324="proMX"),ROUND(BI324*CFG_RATE+BJ324*CFG_OTRATE,6),0)</f>
        <v>0</v>
      </c>
      <c r="BU324" s="80">
        <f>IF(AND(BD324=1,D324="proMX"),ROUND(AG324/CFG_BLK,6),0)</f>
        <v>0</v>
      </c>
      <c r="BV324" s="80" t="str">
        <f>IF(BF324="Approved",IF(ISNUMBER(T324),INT(T324),INT(B324)),"")</f>
        <v/>
      </c>
      <c r="BW324" s="80">
        <f>IF(ISNUMBER(B324),IF(DB_MON="Todos",1,IF(AND(INT(B324)&gt;=DB_MS,INT(B324)&lt;=DB_ME),1,0)),0)</f>
        <v>0</v>
      </c>
      <c r="BX324" s="80">
        <f>IF(DB_PROJ="Todos",1,IF(E324&amp;""=DB_PROJ&amp;"",1,0))</f>
        <v>1</v>
      </c>
      <c r="BY324" s="80">
        <f>BW324*BX324</f>
        <v>0</v>
      </c>
      <c r="BZ324" s="80" t="str">
        <f>IF(Y324=1,F324&amp;IF(AND(F324&amp;""&lt;&gt;"",E324&amp;""&lt;&gt;"")," · ","")&amp;E324,"")</f>
        <v/>
      </c>
      <c r="CA324" s="80" t="str">
        <f>IF(AND(BD324=1,E324&amp;""&lt;&gt;""),IF(COUNTIFS($E$5:E323,E324,$BD$5:BD323,1)=0,MAX($CA$5:CA323)+1,""),"")</f>
        <v/>
      </c>
      <c r="CB324" s="80" t="str">
        <f>IF(AND(BE324=1,D324="Malcolm",E324&amp;""&lt;&gt;""),IF(COUNTIFS($D$5:D323,"Malcolm",$E$5:E323,E324,$BE$5:BE323,1)=0,MAX($CB$5:CB323)+1,""),"")</f>
        <v/>
      </c>
      <c r="CC324" s="80" t="str">
        <f>IF(AND(BD324=1,D324="proMX",E324&amp;""&lt;&gt;""),IF(COUNTIFS($D$5:D323,"proMX",$E$5:E323,E324,$BD$5:BD323,1)=0,MAX($CC$5:CC323)+1,""),"")</f>
        <v/>
      </c>
      <c r="CD324" s="80" t="str">
        <f>IF(AND(BE324=1,D324="Malcolm",F324&amp;""&lt;&gt;""),IF(COUNTIFS($D$5:D323,"Malcolm",$F$5:F323,F324,$BE$5:BE323,1)=0,MAX($CD$5:CD323)+1,""),"")</f>
        <v/>
      </c>
      <c r="CE324" s="80" t="str">
        <f>IF(AND(BD324=1,D324="proMX",F324&amp;""&lt;&gt;""),IF(COUNTIFS($D$5:D323,"proMX",$F$5:F323,F324,$BD$5:BD323,1)=0,MAX($CE$5:CE323)+1,""),"")</f>
        <v/>
      </c>
      <c r="CF324" s="80" t="str">
        <f>IF(AND(D324="proMX",BD324=1),IF(OR(BF324="Draft",BF324="Submitted",BF324="Returned",BF324="Recall Requested"),MAX($CF$5:CF323)+1,""),"")</f>
        <v/>
      </c>
      <c r="CG324" s="80">
        <f>IF(BD324=0,0,IF(D324="Malcolm",1,MATCH(BF324,{"Draft","Submitted","Approved","Returned","Recall Requested","Cancelled"},0)+1))</f>
        <v>0</v>
      </c>
      <c r="CH324" s="80">
        <f>IF(AND(BF324="Submitted",ISNUMBER(V324)),IF(V324&gt;CFG_MAXD,1,0),0)</f>
        <v>0</v>
      </c>
    </row>
    <row r="325">
      <c r="A325" s="71" t="str">
        <f>IF(Y325=1,ROW()-5,"")</f>
        <v/>
      </c>
      <c r="B325" s="72" t="n"/>
      <c r="C325" s="71" t="str">
        <f>IF(ISNUMBER(B325),CHOOSE(WEEKDAY(B325,2),"Lun","Mar","Mié","Jue","Vie","Sáb","Dom"),"")</f>
        <v/>
      </c>
      <c r="D325" s="73" t="n"/>
      <c r="E325" s="74" t="n"/>
      <c r="F325" s="74" t="n"/>
      <c r="G325" s="74" t="n"/>
      <c r="H325" s="75" t="n"/>
      <c r="I325" s="75" t="n"/>
      <c r="J325" s="76" t="n"/>
      <c r="K325" s="77" t="str">
        <f>IF(AB325=1,ROUND(AG325/60,4),"")</f>
        <v/>
      </c>
      <c r="L325" s="77" t="str">
        <f>IF(BD325=1,ROUND(AP325/60,4),"")</f>
        <v/>
      </c>
      <c r="M325" s="77" t="str">
        <f>IF(BD325=1,ROUND(AQ325/60,4),"")</f>
        <v/>
      </c>
      <c r="N325" s="71" t="str">
        <f>IF(AND(D325="proMX",AB325=1),ROUND(AG325/CFG_BLK,2),"")</f>
        <v/>
      </c>
      <c r="O325" s="77" t="str">
        <f>IF(D325="proMX",IF(BD325=1,ROUND(AG325/60,4),0),"")</f>
        <v/>
      </c>
      <c r="P325" s="78" t="str">
        <f>IF(Y325=0,"",IF(BD325=1,"OK",IF(D325="proMX","Revisar bloques: ","Revisar: ")&amp;BC325))</f>
        <v/>
      </c>
      <c r="Q325" s="78" t="str">
        <f>IF(NOT(ISNUMBER(B325)),"",IF(COUNTIFS(FER_F,INT(B325))&gt;0,"Feriado"&amp;IF(AH325=1," (laborable)"," (no laborable)"),IF(AH325=1,"Laborable",IF(WEEKDAY(B325,2)&gt;5,"Fin de semana","No laborable"))))</f>
        <v/>
      </c>
      <c r="R325" s="73" t="n"/>
      <c r="S325" s="72" t="n"/>
      <c r="T325" s="72" t="n"/>
      <c r="U325" s="74" t="n"/>
      <c r="V325" s="79" t="str">
        <f>IF(AND(D325="proMX",OR(R325="Submitted",R325="Recall Requested"),ISNUMBER(S325)),CFG_TODAY-INT(S325),"")</f>
        <v/>
      </c>
      <c r="W325" s="78" t="str">
        <f>IF(BD325=0,"",IF(BA325&gt;0,"⚠ Se superpone con un registro de la otra empresa",IF(D325="Malcolm",IF(COUNTA(R325,S325,T325)&gt;0,"Estado/fechas proMX se ignoran en Malcolm",""),IF(BF325="Cancelled","Cancelado: excluido de totales",IF(R325="","Sin estado: se trata como Draft",IF(BF325="Submitted",IF(ISNUMBER(V325),IF(V325&gt;CFG_MAXD,"⚠ "&amp;V325&amp;" días en Submitted (máx. "&amp;CFG_MAXD&amp;")",""),"Falta fecha de envío"),IF(BF325="Returned","⚠ Devuelto: corregir y reenviar",IF(BF325="Recall Requested","Retirada solicitada: pendiente",IF(AND(BF325="Approved",NOT(ISNUMBER(T325))),"Falta fecha de aprobación",IF(AND(ISNUMBER(S325),ISNUMBER(T325),T325&lt;S325),"Aprobación anterior al envío","")))))))))</f>
        <v/>
      </c>
      <c r="Y325" s="80">
        <f>IF(COUNTA(B325,D325,E325,F325,G325,H325,I325,J325,R325,S325,T325)&gt;0,1,0)</f>
        <v>0</v>
      </c>
      <c r="Z325" s="80" t="str">
        <f>IF(AND(ISNUMBER(H325),H325&gt;=0,H325&lt;1),ROUND(H325*1440,0),"")</f>
        <v/>
      </c>
      <c r="AA325" s="80" t="str">
        <f>IF(AND(ISNUMBER(I325),I325&gt;=0,I325&lt;1),ROUND(I325*1440,0),"")</f>
        <v/>
      </c>
      <c r="AB325" s="80">
        <f>IF(AND(ISNUMBER(B325),D325&lt;&gt;"",ISNUMBER(Z325),ISNUMBER(AA325)),IF(Z325=AA325,0,1),0)</f>
        <v>0</v>
      </c>
      <c r="AC325" s="80">
        <f>IF(AB325=1,IF(AA325&lt;Z325,1,0),0)</f>
        <v>0</v>
      </c>
      <c r="AD325" s="80">
        <f>IF(AB325=1,IF(AC325=1,1440-Z325+AA325,AA325-Z325),0)</f>
        <v>0</v>
      </c>
      <c r="AE325" s="80">
        <f>IF(J325="",0,IF(ISNUMBER(J325),J325,-1))</f>
        <v>0</v>
      </c>
      <c r="AF325" s="80">
        <f>MIN(MAX(0,AE325),AD325)</f>
        <v>0</v>
      </c>
      <c r="AG325" s="80">
        <f>MAX(0,AD325-MAX(0,AE325))</f>
        <v>0</v>
      </c>
      <c r="AH325" s="80">
        <f>IF(ISNUMBER(B325),IF(AND(INDEX(CFG_WDAYS,WEEKDAY(INT(B325),2))="Sí",IF(D325="proMX",COUNTIFS(FER_F,INT(B325),FER_NLP,"Sí"),COUNTIFS(FER_F,INT(B325),FER_NLM,"Sí"))=0),1,0),0)</f>
        <v>0</v>
      </c>
      <c r="AI325" s="80">
        <f>IF(AC325=1,IF(AND(INDEX(CFG_WDAYS,WEEKDAY(INT(B325)+1,2))="Sí",IF(D325="proMX",COUNTIFS(FER_F,INT(B325)+1,FER_NLP,"Sí"),COUNTIFS(FER_F,INT(B325)+1,FER_NLM,"Sí"))=0),1,0),0)</f>
        <v>0</v>
      </c>
      <c r="AJ325" s="80">
        <f>IF(AC325=1,1440-Z325,AD325)</f>
        <v>0</v>
      </c>
      <c r="AK325" s="80">
        <f>IF(AND(AB325=1,AH325=1),MAX(0,MIN(IF(AC325=1,1440,AA325),CFG_WEM)-MAX(Z325,CFG_WSM)),0)</f>
        <v>0</v>
      </c>
      <c r="AL325" s="80">
        <f>IF(AND(AC325=1,AI325=1),MAX(0,MIN(AA325,CFG_WEM)-CFG_WSM),0)</f>
        <v>0</v>
      </c>
      <c r="AM325" s="80">
        <f>AK325+AL325</f>
        <v>0</v>
      </c>
      <c r="AN325" s="80">
        <f>IF(CFG_BRK="Proporcional",IF(AD325=0,0,AF325*AM325/AD325),IF(CFG_BRK="Extras primero",MIN(AM325,MAX(0,AF325-(AD325-AM325))),MIN(AF325,AM325)))</f>
        <v>0</v>
      </c>
      <c r="AO325" s="80">
        <f>AF325-AN325</f>
        <v>0</v>
      </c>
      <c r="AP325" s="80">
        <f>AM325-AN325</f>
        <v>0</v>
      </c>
      <c r="AQ325" s="80">
        <f>AD325-AM325-AO325</f>
        <v>0</v>
      </c>
      <c r="AR325" s="80">
        <f>IF(AM325=0,0,AK325-AN325*AK325/AM325)</f>
        <v>0</v>
      </c>
      <c r="AS325" s="80">
        <f>IF(AD325-AM325=0,0,(AJ325-AK325)-AO325*(AJ325-AK325)/(AD325-AM325))</f>
        <v>0</v>
      </c>
      <c r="AT325" s="80" t="str">
        <f>IF(AC325=1,INT(B325)+1,"")</f>
        <v/>
      </c>
      <c r="AU325" s="80">
        <f>IF(AND(D325="proMX",R325="Cancelled"),0,1)</f>
        <v>1</v>
      </c>
      <c r="AV325" s="80">
        <f>IF(AND(AB325=1,AU325=1),IF(COUNTIFS($D$5:D324,D325,$B$5:B324,B325,$Z$5:Z324,Z325,$AA$5:AA324,AA325,$F$5:F324,F325&amp;"",$AU$5:AU324,1)&gt;0,1,0),0)</f>
        <v>0</v>
      </c>
      <c r="AW325" s="80" t="str">
        <f>IF(AB325=1,INT(B325)*1440+Z325,"")</f>
        <v/>
      </c>
      <c r="AX325" s="80" t="str">
        <f>IF(AB325=1,AW325+AD325,"")</f>
        <v/>
      </c>
      <c r="AY325" s="80">
        <f>IF(AND(AB325=1,AV325=0,AU325=1),1,0)</f>
        <v>0</v>
      </c>
      <c r="AZ325" s="80">
        <f>IF(AY325=1,COUNTIFS(R_Emp,D325,R_SAbs,"&lt;"&amp;AX325,R_EAbs,"&gt;"&amp;AW325,R_OKey,1)-1,0)</f>
        <v>0</v>
      </c>
      <c r="BA325" s="80">
        <f>IF(AY325=1,COUNTIFS(R_Emp,"&lt;&gt;"&amp;D325,R_SAbs,"&lt;"&amp;AX325,R_EAbs,"&gt;"&amp;AW325,R_OKey,1),0)</f>
        <v>0</v>
      </c>
      <c r="BB325" s="80">
        <f>IF(AND(AB325=1,D325="proMX"),IF(AND(MOD(Z325,CFG_BLK)=0,MOD(AA325,CFG_BLK)=0,MOD(AG325,CFG_BLK)=0,AG325&gt;0),1,0),1)</f>
        <v>1</v>
      </c>
      <c r="BC325" s="80" t="str">
        <f>IF(Y325=0,"",IF(NOT(ISNUMBER(B325)),"Falta fecha o fecha inválida",IF(D325="","Falta empresa",IF(AND(D325&lt;&gt;"Malcolm",D325&lt;&gt;"proMX"),"Empresa inválida",IF(OR(INT(B325)&lt;CFG_PSTART,INT(B325)&gt;CFG_PEND),"Fecha fuera del período",IF(OR(NOT(ISNUMBER(Z325)),NOT(ISNUMBER(AA325))),"Falta hora inicio/fin o formato inválido",IF(AB325=0,"Hora inicio = hora fin",IF(AE325&lt;0,"Descanso inválido",IF(AE325&gt;=AD325,"Descanso ≥ duración",IF(AV325=1,"Registro duplicado",IF(AZ325&gt;0,"Se superpone con otro registro "&amp;D325,IF(BB325=0,"inicio, fin y duración neta deben ser múltiplos de "&amp;CFG_BLK&amp;" min",""))))))))))))</f>
        <v/>
      </c>
      <c r="BD325" s="80">
        <f>IF(AND(Y325=1,BC325=""),1,0)</f>
        <v>0</v>
      </c>
      <c r="BE325" s="80">
        <f>IF(AND(BD325=1,AU325=1),1,0)</f>
        <v>0</v>
      </c>
      <c r="BF325" s="80" t="str">
        <f>IF(AND(D325="proMX",BD325=1),IF(R325="","Draft",R325),"")</f>
        <v/>
      </c>
      <c r="BG325" s="80">
        <f>IF(BD325=1,ROUND(AG325/60,6),0)</f>
        <v>0</v>
      </c>
      <c r="BH325" s="80">
        <f>IF(BE325=1,ROUND(AG325/60,6),0)</f>
        <v>0</v>
      </c>
      <c r="BI325" s="80">
        <f>IF(BE325=1,ROUND(AP325/60,6),0)</f>
        <v>0</v>
      </c>
      <c r="BJ325" s="80">
        <f>IF(BE325=1,ROUND(AQ325/60,6),0)</f>
        <v>0</v>
      </c>
      <c r="BK325" s="80">
        <f>IF(BE325=1,ROUND((AR325+AS325)/60,6),0)</f>
        <v>0</v>
      </c>
      <c r="BL325" s="80">
        <f>ROUND(BH325-BK325,6)</f>
        <v>0</v>
      </c>
      <c r="BM325" s="80">
        <f>IF(BE325=1,ROUND(AR325/60,6),0)</f>
        <v>0</v>
      </c>
      <c r="BN325" s="80">
        <f>ROUND(BI325-BM325,6)</f>
        <v>0</v>
      </c>
      <c r="BO325" s="80">
        <f>IF(BE325=1,ROUND(AS325/60,6),0)</f>
        <v>0</v>
      </c>
      <c r="BP325" s="80">
        <f>ROUND(BJ325-BO325,6)</f>
        <v>0</v>
      </c>
      <c r="BQ325" s="80">
        <f>IF(BE325=1,AW325,0)</f>
        <v>0</v>
      </c>
      <c r="BR325" s="80">
        <f>IF(BE325=1,AX325,0)</f>
        <v>0</v>
      </c>
      <c r="BS325" s="80">
        <f>IF(AND(BE325=1,D325="Malcolm",BA325&gt;0),MIN(BH325,SUMPRODUCT((R_Emp="proMX")*(R_EN&gt;0)*((R_EN-(R_EN&gt;BR325)*(R_EN-BR325))&gt;(R_SN+(R_SN&lt;BQ325)*(BQ325-R_SN)))*((R_EN-(R_EN&gt;BR325)*(R_EN-BR325))-(R_SN+(R_SN&lt;BQ325)*(BQ325-R_SN))))/60),0)</f>
        <v>0</v>
      </c>
      <c r="BT325" s="80">
        <f>IF(AND(BE325=1,D325="proMX"),ROUND(BI325*CFG_RATE+BJ325*CFG_OTRATE,6),0)</f>
        <v>0</v>
      </c>
      <c r="BU325" s="80">
        <f>IF(AND(BD325=1,D325="proMX"),ROUND(AG325/CFG_BLK,6),0)</f>
        <v>0</v>
      </c>
      <c r="BV325" s="80" t="str">
        <f>IF(BF325="Approved",IF(ISNUMBER(T325),INT(T325),INT(B325)),"")</f>
        <v/>
      </c>
      <c r="BW325" s="80">
        <f>IF(ISNUMBER(B325),IF(DB_MON="Todos",1,IF(AND(INT(B325)&gt;=DB_MS,INT(B325)&lt;=DB_ME),1,0)),0)</f>
        <v>0</v>
      </c>
      <c r="BX325" s="80">
        <f>IF(DB_PROJ="Todos",1,IF(E325&amp;""=DB_PROJ&amp;"",1,0))</f>
        <v>1</v>
      </c>
      <c r="BY325" s="80">
        <f>BW325*BX325</f>
        <v>0</v>
      </c>
      <c r="BZ325" s="80" t="str">
        <f>IF(Y325=1,F325&amp;IF(AND(F325&amp;""&lt;&gt;"",E325&amp;""&lt;&gt;"")," · ","")&amp;E325,"")</f>
        <v/>
      </c>
      <c r="CA325" s="80" t="str">
        <f>IF(AND(BD325=1,E325&amp;""&lt;&gt;""),IF(COUNTIFS($E$5:E324,E325,$BD$5:BD324,1)=0,MAX($CA$5:CA324)+1,""),"")</f>
        <v/>
      </c>
      <c r="CB325" s="80" t="str">
        <f>IF(AND(BE325=1,D325="Malcolm",E325&amp;""&lt;&gt;""),IF(COUNTIFS($D$5:D324,"Malcolm",$E$5:E324,E325,$BE$5:BE324,1)=0,MAX($CB$5:CB324)+1,""),"")</f>
        <v/>
      </c>
      <c r="CC325" s="80" t="str">
        <f>IF(AND(BD325=1,D325="proMX",E325&amp;""&lt;&gt;""),IF(COUNTIFS($D$5:D324,"proMX",$E$5:E324,E325,$BD$5:BD324,1)=0,MAX($CC$5:CC324)+1,""),"")</f>
        <v/>
      </c>
      <c r="CD325" s="80" t="str">
        <f>IF(AND(BE325=1,D325="Malcolm",F325&amp;""&lt;&gt;""),IF(COUNTIFS($D$5:D324,"Malcolm",$F$5:F324,F325,$BE$5:BE324,1)=0,MAX($CD$5:CD324)+1,""),"")</f>
        <v/>
      </c>
      <c r="CE325" s="80" t="str">
        <f>IF(AND(BD325=1,D325="proMX",F325&amp;""&lt;&gt;""),IF(COUNTIFS($D$5:D324,"proMX",$F$5:F324,F325,$BD$5:BD324,1)=0,MAX($CE$5:CE324)+1,""),"")</f>
        <v/>
      </c>
      <c r="CF325" s="80" t="str">
        <f>IF(AND(D325="proMX",BD325=1),IF(OR(BF325="Draft",BF325="Submitted",BF325="Returned",BF325="Recall Requested"),MAX($CF$5:CF324)+1,""),"")</f>
        <v/>
      </c>
      <c r="CG325" s="80">
        <f>IF(BD325=0,0,IF(D325="Malcolm",1,MATCH(BF325,{"Draft","Submitted","Approved","Returned","Recall Requested","Cancelled"},0)+1))</f>
        <v>0</v>
      </c>
      <c r="CH325" s="80">
        <f>IF(AND(BF325="Submitted",ISNUMBER(V325)),IF(V325&gt;CFG_MAXD,1,0),0)</f>
        <v>0</v>
      </c>
    </row>
    <row r="326">
      <c r="A326" s="71" t="str">
        <f>IF(Y326=1,ROW()-5,"")</f>
        <v/>
      </c>
      <c r="B326" s="72" t="n"/>
      <c r="C326" s="71" t="str">
        <f>IF(ISNUMBER(B326),CHOOSE(WEEKDAY(B326,2),"Lun","Mar","Mié","Jue","Vie","Sáb","Dom"),"")</f>
        <v/>
      </c>
      <c r="D326" s="73" t="n"/>
      <c r="E326" s="74" t="n"/>
      <c r="F326" s="74" t="n"/>
      <c r="G326" s="74" t="n"/>
      <c r="H326" s="75" t="n"/>
      <c r="I326" s="75" t="n"/>
      <c r="J326" s="76" t="n"/>
      <c r="K326" s="77" t="str">
        <f>IF(AB326=1,ROUND(AG326/60,4),"")</f>
        <v/>
      </c>
      <c r="L326" s="77" t="str">
        <f>IF(BD326=1,ROUND(AP326/60,4),"")</f>
        <v/>
      </c>
      <c r="M326" s="77" t="str">
        <f>IF(BD326=1,ROUND(AQ326/60,4),"")</f>
        <v/>
      </c>
      <c r="N326" s="71" t="str">
        <f>IF(AND(D326="proMX",AB326=1),ROUND(AG326/CFG_BLK,2),"")</f>
        <v/>
      </c>
      <c r="O326" s="77" t="str">
        <f>IF(D326="proMX",IF(BD326=1,ROUND(AG326/60,4),0),"")</f>
        <v/>
      </c>
      <c r="P326" s="78" t="str">
        <f>IF(Y326=0,"",IF(BD326=1,"OK",IF(D326="proMX","Revisar bloques: ","Revisar: ")&amp;BC326))</f>
        <v/>
      </c>
      <c r="Q326" s="78" t="str">
        <f>IF(NOT(ISNUMBER(B326)),"",IF(COUNTIFS(FER_F,INT(B326))&gt;0,"Feriado"&amp;IF(AH326=1," (laborable)"," (no laborable)"),IF(AH326=1,"Laborable",IF(WEEKDAY(B326,2)&gt;5,"Fin de semana","No laborable"))))</f>
        <v/>
      </c>
      <c r="R326" s="73" t="n"/>
      <c r="S326" s="72" t="n"/>
      <c r="T326" s="72" t="n"/>
      <c r="U326" s="74" t="n"/>
      <c r="V326" s="79" t="str">
        <f>IF(AND(D326="proMX",OR(R326="Submitted",R326="Recall Requested"),ISNUMBER(S326)),CFG_TODAY-INT(S326),"")</f>
        <v/>
      </c>
      <c r="W326" s="78" t="str">
        <f>IF(BD326=0,"",IF(BA326&gt;0,"⚠ Se superpone con un registro de la otra empresa",IF(D326="Malcolm",IF(COUNTA(R326,S326,T326)&gt;0,"Estado/fechas proMX se ignoran en Malcolm",""),IF(BF326="Cancelled","Cancelado: excluido de totales",IF(R326="","Sin estado: se trata como Draft",IF(BF326="Submitted",IF(ISNUMBER(V326),IF(V326&gt;CFG_MAXD,"⚠ "&amp;V326&amp;" días en Submitted (máx. "&amp;CFG_MAXD&amp;")",""),"Falta fecha de envío"),IF(BF326="Returned","⚠ Devuelto: corregir y reenviar",IF(BF326="Recall Requested","Retirada solicitada: pendiente",IF(AND(BF326="Approved",NOT(ISNUMBER(T326))),"Falta fecha de aprobación",IF(AND(ISNUMBER(S326),ISNUMBER(T326),T326&lt;S326),"Aprobación anterior al envío","")))))))))</f>
        <v/>
      </c>
      <c r="Y326" s="80">
        <f>IF(COUNTA(B326,D326,E326,F326,G326,H326,I326,J326,R326,S326,T326)&gt;0,1,0)</f>
        <v>0</v>
      </c>
      <c r="Z326" s="80" t="str">
        <f>IF(AND(ISNUMBER(H326),H326&gt;=0,H326&lt;1),ROUND(H326*1440,0),"")</f>
        <v/>
      </c>
      <c r="AA326" s="80" t="str">
        <f>IF(AND(ISNUMBER(I326),I326&gt;=0,I326&lt;1),ROUND(I326*1440,0),"")</f>
        <v/>
      </c>
      <c r="AB326" s="80">
        <f>IF(AND(ISNUMBER(B326),D326&lt;&gt;"",ISNUMBER(Z326),ISNUMBER(AA326)),IF(Z326=AA326,0,1),0)</f>
        <v>0</v>
      </c>
      <c r="AC326" s="80">
        <f>IF(AB326=1,IF(AA326&lt;Z326,1,0),0)</f>
        <v>0</v>
      </c>
      <c r="AD326" s="80">
        <f>IF(AB326=1,IF(AC326=1,1440-Z326+AA326,AA326-Z326),0)</f>
        <v>0</v>
      </c>
      <c r="AE326" s="80">
        <f>IF(J326="",0,IF(ISNUMBER(J326),J326,-1))</f>
        <v>0</v>
      </c>
      <c r="AF326" s="80">
        <f>MIN(MAX(0,AE326),AD326)</f>
        <v>0</v>
      </c>
      <c r="AG326" s="80">
        <f>MAX(0,AD326-MAX(0,AE326))</f>
        <v>0</v>
      </c>
      <c r="AH326" s="80">
        <f>IF(ISNUMBER(B326),IF(AND(INDEX(CFG_WDAYS,WEEKDAY(INT(B326),2))="Sí",IF(D326="proMX",COUNTIFS(FER_F,INT(B326),FER_NLP,"Sí"),COUNTIFS(FER_F,INT(B326),FER_NLM,"Sí"))=0),1,0),0)</f>
        <v>0</v>
      </c>
      <c r="AI326" s="80">
        <f>IF(AC326=1,IF(AND(INDEX(CFG_WDAYS,WEEKDAY(INT(B326)+1,2))="Sí",IF(D326="proMX",COUNTIFS(FER_F,INT(B326)+1,FER_NLP,"Sí"),COUNTIFS(FER_F,INT(B326)+1,FER_NLM,"Sí"))=0),1,0),0)</f>
        <v>0</v>
      </c>
      <c r="AJ326" s="80">
        <f>IF(AC326=1,1440-Z326,AD326)</f>
        <v>0</v>
      </c>
      <c r="AK326" s="80">
        <f>IF(AND(AB326=1,AH326=1),MAX(0,MIN(IF(AC326=1,1440,AA326),CFG_WEM)-MAX(Z326,CFG_WSM)),0)</f>
        <v>0</v>
      </c>
      <c r="AL326" s="80">
        <f>IF(AND(AC326=1,AI326=1),MAX(0,MIN(AA326,CFG_WEM)-CFG_WSM),0)</f>
        <v>0</v>
      </c>
      <c r="AM326" s="80">
        <f>AK326+AL326</f>
        <v>0</v>
      </c>
      <c r="AN326" s="80">
        <f>IF(CFG_BRK="Proporcional",IF(AD326=0,0,AF326*AM326/AD326),IF(CFG_BRK="Extras primero",MIN(AM326,MAX(0,AF326-(AD326-AM326))),MIN(AF326,AM326)))</f>
        <v>0</v>
      </c>
      <c r="AO326" s="80">
        <f>AF326-AN326</f>
        <v>0</v>
      </c>
      <c r="AP326" s="80">
        <f>AM326-AN326</f>
        <v>0</v>
      </c>
      <c r="AQ326" s="80">
        <f>AD326-AM326-AO326</f>
        <v>0</v>
      </c>
      <c r="AR326" s="80">
        <f>IF(AM326=0,0,AK326-AN326*AK326/AM326)</f>
        <v>0</v>
      </c>
      <c r="AS326" s="80">
        <f>IF(AD326-AM326=0,0,(AJ326-AK326)-AO326*(AJ326-AK326)/(AD326-AM326))</f>
        <v>0</v>
      </c>
      <c r="AT326" s="80" t="str">
        <f>IF(AC326=1,INT(B326)+1,"")</f>
        <v/>
      </c>
      <c r="AU326" s="80">
        <f>IF(AND(D326="proMX",R326="Cancelled"),0,1)</f>
        <v>1</v>
      </c>
      <c r="AV326" s="80">
        <f>IF(AND(AB326=1,AU326=1),IF(COUNTIFS($D$5:D325,D326,$B$5:B325,B326,$Z$5:Z325,Z326,$AA$5:AA325,AA326,$F$5:F325,F326&amp;"",$AU$5:AU325,1)&gt;0,1,0),0)</f>
        <v>0</v>
      </c>
      <c r="AW326" s="80" t="str">
        <f>IF(AB326=1,INT(B326)*1440+Z326,"")</f>
        <v/>
      </c>
      <c r="AX326" s="80" t="str">
        <f>IF(AB326=1,AW326+AD326,"")</f>
        <v/>
      </c>
      <c r="AY326" s="80">
        <f>IF(AND(AB326=1,AV326=0,AU326=1),1,0)</f>
        <v>0</v>
      </c>
      <c r="AZ326" s="80">
        <f>IF(AY326=1,COUNTIFS(R_Emp,D326,R_SAbs,"&lt;"&amp;AX326,R_EAbs,"&gt;"&amp;AW326,R_OKey,1)-1,0)</f>
        <v>0</v>
      </c>
      <c r="BA326" s="80">
        <f>IF(AY326=1,COUNTIFS(R_Emp,"&lt;&gt;"&amp;D326,R_SAbs,"&lt;"&amp;AX326,R_EAbs,"&gt;"&amp;AW326,R_OKey,1),0)</f>
        <v>0</v>
      </c>
      <c r="BB326" s="80">
        <f>IF(AND(AB326=1,D326="proMX"),IF(AND(MOD(Z326,CFG_BLK)=0,MOD(AA326,CFG_BLK)=0,MOD(AG326,CFG_BLK)=0,AG326&gt;0),1,0),1)</f>
        <v>1</v>
      </c>
      <c r="BC326" s="80" t="str">
        <f>IF(Y326=0,"",IF(NOT(ISNUMBER(B326)),"Falta fecha o fecha inválida",IF(D326="","Falta empresa",IF(AND(D326&lt;&gt;"Malcolm",D326&lt;&gt;"proMX"),"Empresa inválida",IF(OR(INT(B326)&lt;CFG_PSTART,INT(B326)&gt;CFG_PEND),"Fecha fuera del período",IF(OR(NOT(ISNUMBER(Z326)),NOT(ISNUMBER(AA326))),"Falta hora inicio/fin o formato inválido",IF(AB326=0,"Hora inicio = hora fin",IF(AE326&lt;0,"Descanso inválido",IF(AE326&gt;=AD326,"Descanso ≥ duración",IF(AV326=1,"Registro duplicado",IF(AZ326&gt;0,"Se superpone con otro registro "&amp;D326,IF(BB326=0,"inicio, fin y duración neta deben ser múltiplos de "&amp;CFG_BLK&amp;" min",""))))))))))))</f>
        <v/>
      </c>
      <c r="BD326" s="80">
        <f>IF(AND(Y326=1,BC326=""),1,0)</f>
        <v>0</v>
      </c>
      <c r="BE326" s="80">
        <f>IF(AND(BD326=1,AU326=1),1,0)</f>
        <v>0</v>
      </c>
      <c r="BF326" s="80" t="str">
        <f>IF(AND(D326="proMX",BD326=1),IF(R326="","Draft",R326),"")</f>
        <v/>
      </c>
      <c r="BG326" s="80">
        <f>IF(BD326=1,ROUND(AG326/60,6),0)</f>
        <v>0</v>
      </c>
      <c r="BH326" s="80">
        <f>IF(BE326=1,ROUND(AG326/60,6),0)</f>
        <v>0</v>
      </c>
      <c r="BI326" s="80">
        <f>IF(BE326=1,ROUND(AP326/60,6),0)</f>
        <v>0</v>
      </c>
      <c r="BJ326" s="80">
        <f>IF(BE326=1,ROUND(AQ326/60,6),0)</f>
        <v>0</v>
      </c>
      <c r="BK326" s="80">
        <f>IF(BE326=1,ROUND((AR326+AS326)/60,6),0)</f>
        <v>0</v>
      </c>
      <c r="BL326" s="80">
        <f>ROUND(BH326-BK326,6)</f>
        <v>0</v>
      </c>
      <c r="BM326" s="80">
        <f>IF(BE326=1,ROUND(AR326/60,6),0)</f>
        <v>0</v>
      </c>
      <c r="BN326" s="80">
        <f>ROUND(BI326-BM326,6)</f>
        <v>0</v>
      </c>
      <c r="BO326" s="80">
        <f>IF(BE326=1,ROUND(AS326/60,6),0)</f>
        <v>0</v>
      </c>
      <c r="BP326" s="80">
        <f>ROUND(BJ326-BO326,6)</f>
        <v>0</v>
      </c>
      <c r="BQ326" s="80">
        <f>IF(BE326=1,AW326,0)</f>
        <v>0</v>
      </c>
      <c r="BR326" s="80">
        <f>IF(BE326=1,AX326,0)</f>
        <v>0</v>
      </c>
      <c r="BS326" s="80">
        <f>IF(AND(BE326=1,D326="Malcolm",BA326&gt;0),MIN(BH326,SUMPRODUCT((R_Emp="proMX")*(R_EN&gt;0)*((R_EN-(R_EN&gt;BR326)*(R_EN-BR326))&gt;(R_SN+(R_SN&lt;BQ326)*(BQ326-R_SN)))*((R_EN-(R_EN&gt;BR326)*(R_EN-BR326))-(R_SN+(R_SN&lt;BQ326)*(BQ326-R_SN))))/60),0)</f>
        <v>0</v>
      </c>
      <c r="BT326" s="80">
        <f>IF(AND(BE326=1,D326="proMX"),ROUND(BI326*CFG_RATE+BJ326*CFG_OTRATE,6),0)</f>
        <v>0</v>
      </c>
      <c r="BU326" s="80">
        <f>IF(AND(BD326=1,D326="proMX"),ROUND(AG326/CFG_BLK,6),0)</f>
        <v>0</v>
      </c>
      <c r="BV326" s="80" t="str">
        <f>IF(BF326="Approved",IF(ISNUMBER(T326),INT(T326),INT(B326)),"")</f>
        <v/>
      </c>
      <c r="BW326" s="80">
        <f>IF(ISNUMBER(B326),IF(DB_MON="Todos",1,IF(AND(INT(B326)&gt;=DB_MS,INT(B326)&lt;=DB_ME),1,0)),0)</f>
        <v>0</v>
      </c>
      <c r="BX326" s="80">
        <f>IF(DB_PROJ="Todos",1,IF(E326&amp;""=DB_PROJ&amp;"",1,0))</f>
        <v>1</v>
      </c>
      <c r="BY326" s="80">
        <f>BW326*BX326</f>
        <v>0</v>
      </c>
      <c r="BZ326" s="80" t="str">
        <f>IF(Y326=1,F326&amp;IF(AND(F326&amp;""&lt;&gt;"",E326&amp;""&lt;&gt;"")," · ","")&amp;E326,"")</f>
        <v/>
      </c>
      <c r="CA326" s="80" t="str">
        <f>IF(AND(BD326=1,E326&amp;""&lt;&gt;""),IF(COUNTIFS($E$5:E325,E326,$BD$5:BD325,1)=0,MAX($CA$5:CA325)+1,""),"")</f>
        <v/>
      </c>
      <c r="CB326" s="80" t="str">
        <f>IF(AND(BE326=1,D326="Malcolm",E326&amp;""&lt;&gt;""),IF(COUNTIFS($D$5:D325,"Malcolm",$E$5:E325,E326,$BE$5:BE325,1)=0,MAX($CB$5:CB325)+1,""),"")</f>
        <v/>
      </c>
      <c r="CC326" s="80" t="str">
        <f>IF(AND(BD326=1,D326="proMX",E326&amp;""&lt;&gt;""),IF(COUNTIFS($D$5:D325,"proMX",$E$5:E325,E326,$BD$5:BD325,1)=0,MAX($CC$5:CC325)+1,""),"")</f>
        <v/>
      </c>
      <c r="CD326" s="80" t="str">
        <f>IF(AND(BE326=1,D326="Malcolm",F326&amp;""&lt;&gt;""),IF(COUNTIFS($D$5:D325,"Malcolm",$F$5:F325,F326,$BE$5:BE325,1)=0,MAX($CD$5:CD325)+1,""),"")</f>
        <v/>
      </c>
      <c r="CE326" s="80" t="str">
        <f>IF(AND(BD326=1,D326="proMX",F326&amp;""&lt;&gt;""),IF(COUNTIFS($D$5:D325,"proMX",$F$5:F325,F326,$BD$5:BD325,1)=0,MAX($CE$5:CE325)+1,""),"")</f>
        <v/>
      </c>
      <c r="CF326" s="80" t="str">
        <f>IF(AND(D326="proMX",BD326=1),IF(OR(BF326="Draft",BF326="Submitted",BF326="Returned",BF326="Recall Requested"),MAX($CF$5:CF325)+1,""),"")</f>
        <v/>
      </c>
      <c r="CG326" s="80">
        <f>IF(BD326=0,0,IF(D326="Malcolm",1,MATCH(BF326,{"Draft","Submitted","Approved","Returned","Recall Requested","Cancelled"},0)+1))</f>
        <v>0</v>
      </c>
      <c r="CH326" s="80">
        <f>IF(AND(BF326="Submitted",ISNUMBER(V326)),IF(V326&gt;CFG_MAXD,1,0),0)</f>
        <v>0</v>
      </c>
    </row>
    <row r="327">
      <c r="A327" s="71" t="str">
        <f>IF(Y327=1,ROW()-5,"")</f>
        <v/>
      </c>
      <c r="B327" s="72" t="n"/>
      <c r="C327" s="71" t="str">
        <f>IF(ISNUMBER(B327),CHOOSE(WEEKDAY(B327,2),"Lun","Mar","Mié","Jue","Vie","Sáb","Dom"),"")</f>
        <v/>
      </c>
      <c r="D327" s="73" t="n"/>
      <c r="E327" s="74" t="n"/>
      <c r="F327" s="74" t="n"/>
      <c r="G327" s="74" t="n"/>
      <c r="H327" s="75" t="n"/>
      <c r="I327" s="75" t="n"/>
      <c r="J327" s="76" t="n"/>
      <c r="K327" s="77" t="str">
        <f>IF(AB327=1,ROUND(AG327/60,4),"")</f>
        <v/>
      </c>
      <c r="L327" s="77" t="str">
        <f>IF(BD327=1,ROUND(AP327/60,4),"")</f>
        <v/>
      </c>
      <c r="M327" s="77" t="str">
        <f>IF(BD327=1,ROUND(AQ327/60,4),"")</f>
        <v/>
      </c>
      <c r="N327" s="71" t="str">
        <f>IF(AND(D327="proMX",AB327=1),ROUND(AG327/CFG_BLK,2),"")</f>
        <v/>
      </c>
      <c r="O327" s="77" t="str">
        <f>IF(D327="proMX",IF(BD327=1,ROUND(AG327/60,4),0),"")</f>
        <v/>
      </c>
      <c r="P327" s="78" t="str">
        <f>IF(Y327=0,"",IF(BD327=1,"OK",IF(D327="proMX","Revisar bloques: ","Revisar: ")&amp;BC327))</f>
        <v/>
      </c>
      <c r="Q327" s="78" t="str">
        <f>IF(NOT(ISNUMBER(B327)),"",IF(COUNTIFS(FER_F,INT(B327))&gt;0,"Feriado"&amp;IF(AH327=1," (laborable)"," (no laborable)"),IF(AH327=1,"Laborable",IF(WEEKDAY(B327,2)&gt;5,"Fin de semana","No laborable"))))</f>
        <v/>
      </c>
      <c r="R327" s="73" t="n"/>
      <c r="S327" s="72" t="n"/>
      <c r="T327" s="72" t="n"/>
      <c r="U327" s="74" t="n"/>
      <c r="V327" s="79" t="str">
        <f>IF(AND(D327="proMX",OR(R327="Submitted",R327="Recall Requested"),ISNUMBER(S327)),CFG_TODAY-INT(S327),"")</f>
        <v/>
      </c>
      <c r="W327" s="78" t="str">
        <f>IF(BD327=0,"",IF(BA327&gt;0,"⚠ Se superpone con un registro de la otra empresa",IF(D327="Malcolm",IF(COUNTA(R327,S327,T327)&gt;0,"Estado/fechas proMX se ignoran en Malcolm",""),IF(BF327="Cancelled","Cancelado: excluido de totales",IF(R327="","Sin estado: se trata como Draft",IF(BF327="Submitted",IF(ISNUMBER(V327),IF(V327&gt;CFG_MAXD,"⚠ "&amp;V327&amp;" días en Submitted (máx. "&amp;CFG_MAXD&amp;")",""),"Falta fecha de envío"),IF(BF327="Returned","⚠ Devuelto: corregir y reenviar",IF(BF327="Recall Requested","Retirada solicitada: pendiente",IF(AND(BF327="Approved",NOT(ISNUMBER(T327))),"Falta fecha de aprobación",IF(AND(ISNUMBER(S327),ISNUMBER(T327),T327&lt;S327),"Aprobación anterior al envío","")))))))))</f>
        <v/>
      </c>
      <c r="Y327" s="80">
        <f>IF(COUNTA(B327,D327,E327,F327,G327,H327,I327,J327,R327,S327,T327)&gt;0,1,0)</f>
        <v>0</v>
      </c>
      <c r="Z327" s="80" t="str">
        <f>IF(AND(ISNUMBER(H327),H327&gt;=0,H327&lt;1),ROUND(H327*1440,0),"")</f>
        <v/>
      </c>
      <c r="AA327" s="80" t="str">
        <f>IF(AND(ISNUMBER(I327),I327&gt;=0,I327&lt;1),ROUND(I327*1440,0),"")</f>
        <v/>
      </c>
      <c r="AB327" s="80">
        <f>IF(AND(ISNUMBER(B327),D327&lt;&gt;"",ISNUMBER(Z327),ISNUMBER(AA327)),IF(Z327=AA327,0,1),0)</f>
        <v>0</v>
      </c>
      <c r="AC327" s="80">
        <f>IF(AB327=1,IF(AA327&lt;Z327,1,0),0)</f>
        <v>0</v>
      </c>
      <c r="AD327" s="80">
        <f>IF(AB327=1,IF(AC327=1,1440-Z327+AA327,AA327-Z327),0)</f>
        <v>0</v>
      </c>
      <c r="AE327" s="80">
        <f>IF(J327="",0,IF(ISNUMBER(J327),J327,-1))</f>
        <v>0</v>
      </c>
      <c r="AF327" s="80">
        <f>MIN(MAX(0,AE327),AD327)</f>
        <v>0</v>
      </c>
      <c r="AG327" s="80">
        <f>MAX(0,AD327-MAX(0,AE327))</f>
        <v>0</v>
      </c>
      <c r="AH327" s="80">
        <f>IF(ISNUMBER(B327),IF(AND(INDEX(CFG_WDAYS,WEEKDAY(INT(B327),2))="Sí",IF(D327="proMX",COUNTIFS(FER_F,INT(B327),FER_NLP,"Sí"),COUNTIFS(FER_F,INT(B327),FER_NLM,"Sí"))=0),1,0),0)</f>
        <v>0</v>
      </c>
      <c r="AI327" s="80">
        <f>IF(AC327=1,IF(AND(INDEX(CFG_WDAYS,WEEKDAY(INT(B327)+1,2))="Sí",IF(D327="proMX",COUNTIFS(FER_F,INT(B327)+1,FER_NLP,"Sí"),COUNTIFS(FER_F,INT(B327)+1,FER_NLM,"Sí"))=0),1,0),0)</f>
        <v>0</v>
      </c>
      <c r="AJ327" s="80">
        <f>IF(AC327=1,1440-Z327,AD327)</f>
        <v>0</v>
      </c>
      <c r="AK327" s="80">
        <f>IF(AND(AB327=1,AH327=1),MAX(0,MIN(IF(AC327=1,1440,AA327),CFG_WEM)-MAX(Z327,CFG_WSM)),0)</f>
        <v>0</v>
      </c>
      <c r="AL327" s="80">
        <f>IF(AND(AC327=1,AI327=1),MAX(0,MIN(AA327,CFG_WEM)-CFG_WSM),0)</f>
        <v>0</v>
      </c>
      <c r="AM327" s="80">
        <f>AK327+AL327</f>
        <v>0</v>
      </c>
      <c r="AN327" s="80">
        <f>IF(CFG_BRK="Proporcional",IF(AD327=0,0,AF327*AM327/AD327),IF(CFG_BRK="Extras primero",MIN(AM327,MAX(0,AF327-(AD327-AM327))),MIN(AF327,AM327)))</f>
        <v>0</v>
      </c>
      <c r="AO327" s="80">
        <f>AF327-AN327</f>
        <v>0</v>
      </c>
      <c r="AP327" s="80">
        <f>AM327-AN327</f>
        <v>0</v>
      </c>
      <c r="AQ327" s="80">
        <f>AD327-AM327-AO327</f>
        <v>0</v>
      </c>
      <c r="AR327" s="80">
        <f>IF(AM327=0,0,AK327-AN327*AK327/AM327)</f>
        <v>0</v>
      </c>
      <c r="AS327" s="80">
        <f>IF(AD327-AM327=0,0,(AJ327-AK327)-AO327*(AJ327-AK327)/(AD327-AM327))</f>
        <v>0</v>
      </c>
      <c r="AT327" s="80" t="str">
        <f>IF(AC327=1,INT(B327)+1,"")</f>
        <v/>
      </c>
      <c r="AU327" s="80">
        <f>IF(AND(D327="proMX",R327="Cancelled"),0,1)</f>
        <v>1</v>
      </c>
      <c r="AV327" s="80">
        <f>IF(AND(AB327=1,AU327=1),IF(COUNTIFS($D$5:D326,D327,$B$5:B326,B327,$Z$5:Z326,Z327,$AA$5:AA326,AA327,$F$5:F326,F327&amp;"",$AU$5:AU326,1)&gt;0,1,0),0)</f>
        <v>0</v>
      </c>
      <c r="AW327" s="80" t="str">
        <f>IF(AB327=1,INT(B327)*1440+Z327,"")</f>
        <v/>
      </c>
      <c r="AX327" s="80" t="str">
        <f>IF(AB327=1,AW327+AD327,"")</f>
        <v/>
      </c>
      <c r="AY327" s="80">
        <f>IF(AND(AB327=1,AV327=0,AU327=1),1,0)</f>
        <v>0</v>
      </c>
      <c r="AZ327" s="80">
        <f>IF(AY327=1,COUNTIFS(R_Emp,D327,R_SAbs,"&lt;"&amp;AX327,R_EAbs,"&gt;"&amp;AW327,R_OKey,1)-1,0)</f>
        <v>0</v>
      </c>
      <c r="BA327" s="80">
        <f>IF(AY327=1,COUNTIFS(R_Emp,"&lt;&gt;"&amp;D327,R_SAbs,"&lt;"&amp;AX327,R_EAbs,"&gt;"&amp;AW327,R_OKey,1),0)</f>
        <v>0</v>
      </c>
      <c r="BB327" s="80">
        <f>IF(AND(AB327=1,D327="proMX"),IF(AND(MOD(Z327,CFG_BLK)=0,MOD(AA327,CFG_BLK)=0,MOD(AG327,CFG_BLK)=0,AG327&gt;0),1,0),1)</f>
        <v>1</v>
      </c>
      <c r="BC327" s="80" t="str">
        <f>IF(Y327=0,"",IF(NOT(ISNUMBER(B327)),"Falta fecha o fecha inválida",IF(D327="","Falta empresa",IF(AND(D327&lt;&gt;"Malcolm",D327&lt;&gt;"proMX"),"Empresa inválida",IF(OR(INT(B327)&lt;CFG_PSTART,INT(B327)&gt;CFG_PEND),"Fecha fuera del período",IF(OR(NOT(ISNUMBER(Z327)),NOT(ISNUMBER(AA327))),"Falta hora inicio/fin o formato inválido",IF(AB327=0,"Hora inicio = hora fin",IF(AE327&lt;0,"Descanso inválido",IF(AE327&gt;=AD327,"Descanso ≥ duración",IF(AV327=1,"Registro duplicado",IF(AZ327&gt;0,"Se superpone con otro registro "&amp;D327,IF(BB327=0,"inicio, fin y duración neta deben ser múltiplos de "&amp;CFG_BLK&amp;" min",""))))))))))))</f>
        <v/>
      </c>
      <c r="BD327" s="80">
        <f>IF(AND(Y327=1,BC327=""),1,0)</f>
        <v>0</v>
      </c>
      <c r="BE327" s="80">
        <f>IF(AND(BD327=1,AU327=1),1,0)</f>
        <v>0</v>
      </c>
      <c r="BF327" s="80" t="str">
        <f>IF(AND(D327="proMX",BD327=1),IF(R327="","Draft",R327),"")</f>
        <v/>
      </c>
      <c r="BG327" s="80">
        <f>IF(BD327=1,ROUND(AG327/60,6),0)</f>
        <v>0</v>
      </c>
      <c r="BH327" s="80">
        <f>IF(BE327=1,ROUND(AG327/60,6),0)</f>
        <v>0</v>
      </c>
      <c r="BI327" s="80">
        <f>IF(BE327=1,ROUND(AP327/60,6),0)</f>
        <v>0</v>
      </c>
      <c r="BJ327" s="80">
        <f>IF(BE327=1,ROUND(AQ327/60,6),0)</f>
        <v>0</v>
      </c>
      <c r="BK327" s="80">
        <f>IF(BE327=1,ROUND((AR327+AS327)/60,6),0)</f>
        <v>0</v>
      </c>
      <c r="BL327" s="80">
        <f>ROUND(BH327-BK327,6)</f>
        <v>0</v>
      </c>
      <c r="BM327" s="80">
        <f>IF(BE327=1,ROUND(AR327/60,6),0)</f>
        <v>0</v>
      </c>
      <c r="BN327" s="80">
        <f>ROUND(BI327-BM327,6)</f>
        <v>0</v>
      </c>
      <c r="BO327" s="80">
        <f>IF(BE327=1,ROUND(AS327/60,6),0)</f>
        <v>0</v>
      </c>
      <c r="BP327" s="80">
        <f>ROUND(BJ327-BO327,6)</f>
        <v>0</v>
      </c>
      <c r="BQ327" s="80">
        <f>IF(BE327=1,AW327,0)</f>
        <v>0</v>
      </c>
      <c r="BR327" s="80">
        <f>IF(BE327=1,AX327,0)</f>
        <v>0</v>
      </c>
      <c r="BS327" s="80">
        <f>IF(AND(BE327=1,D327="Malcolm",BA327&gt;0),MIN(BH327,SUMPRODUCT((R_Emp="proMX")*(R_EN&gt;0)*((R_EN-(R_EN&gt;BR327)*(R_EN-BR327))&gt;(R_SN+(R_SN&lt;BQ327)*(BQ327-R_SN)))*((R_EN-(R_EN&gt;BR327)*(R_EN-BR327))-(R_SN+(R_SN&lt;BQ327)*(BQ327-R_SN))))/60),0)</f>
        <v>0</v>
      </c>
      <c r="BT327" s="80">
        <f>IF(AND(BE327=1,D327="proMX"),ROUND(BI327*CFG_RATE+BJ327*CFG_OTRATE,6),0)</f>
        <v>0</v>
      </c>
      <c r="BU327" s="80">
        <f>IF(AND(BD327=1,D327="proMX"),ROUND(AG327/CFG_BLK,6),0)</f>
        <v>0</v>
      </c>
      <c r="BV327" s="80" t="str">
        <f>IF(BF327="Approved",IF(ISNUMBER(T327),INT(T327),INT(B327)),"")</f>
        <v/>
      </c>
      <c r="BW327" s="80">
        <f>IF(ISNUMBER(B327),IF(DB_MON="Todos",1,IF(AND(INT(B327)&gt;=DB_MS,INT(B327)&lt;=DB_ME),1,0)),0)</f>
        <v>0</v>
      </c>
      <c r="BX327" s="80">
        <f>IF(DB_PROJ="Todos",1,IF(E327&amp;""=DB_PROJ&amp;"",1,0))</f>
        <v>1</v>
      </c>
      <c r="BY327" s="80">
        <f>BW327*BX327</f>
        <v>0</v>
      </c>
      <c r="BZ327" s="80" t="str">
        <f>IF(Y327=1,F327&amp;IF(AND(F327&amp;""&lt;&gt;"",E327&amp;""&lt;&gt;"")," · ","")&amp;E327,"")</f>
        <v/>
      </c>
      <c r="CA327" s="80" t="str">
        <f>IF(AND(BD327=1,E327&amp;""&lt;&gt;""),IF(COUNTIFS($E$5:E326,E327,$BD$5:BD326,1)=0,MAX($CA$5:CA326)+1,""),"")</f>
        <v/>
      </c>
      <c r="CB327" s="80" t="str">
        <f>IF(AND(BE327=1,D327="Malcolm",E327&amp;""&lt;&gt;""),IF(COUNTIFS($D$5:D326,"Malcolm",$E$5:E326,E327,$BE$5:BE326,1)=0,MAX($CB$5:CB326)+1,""),"")</f>
        <v/>
      </c>
      <c r="CC327" s="80" t="str">
        <f>IF(AND(BD327=1,D327="proMX",E327&amp;""&lt;&gt;""),IF(COUNTIFS($D$5:D326,"proMX",$E$5:E326,E327,$BD$5:BD326,1)=0,MAX($CC$5:CC326)+1,""),"")</f>
        <v/>
      </c>
      <c r="CD327" s="80" t="str">
        <f>IF(AND(BE327=1,D327="Malcolm",F327&amp;""&lt;&gt;""),IF(COUNTIFS($D$5:D326,"Malcolm",$F$5:F326,F327,$BE$5:BE326,1)=0,MAX($CD$5:CD326)+1,""),"")</f>
        <v/>
      </c>
      <c r="CE327" s="80" t="str">
        <f>IF(AND(BD327=1,D327="proMX",F327&amp;""&lt;&gt;""),IF(COUNTIFS($D$5:D326,"proMX",$F$5:F326,F327,$BD$5:BD326,1)=0,MAX($CE$5:CE326)+1,""),"")</f>
        <v/>
      </c>
      <c r="CF327" s="80" t="str">
        <f>IF(AND(D327="proMX",BD327=1),IF(OR(BF327="Draft",BF327="Submitted",BF327="Returned",BF327="Recall Requested"),MAX($CF$5:CF326)+1,""),"")</f>
        <v/>
      </c>
      <c r="CG327" s="80">
        <f>IF(BD327=0,0,IF(D327="Malcolm",1,MATCH(BF327,{"Draft","Submitted","Approved","Returned","Recall Requested","Cancelled"},0)+1))</f>
        <v>0</v>
      </c>
      <c r="CH327" s="80">
        <f>IF(AND(BF327="Submitted",ISNUMBER(V327)),IF(V327&gt;CFG_MAXD,1,0),0)</f>
        <v>0</v>
      </c>
    </row>
    <row r="328">
      <c r="A328" s="71" t="str">
        <f>IF(Y328=1,ROW()-5,"")</f>
        <v/>
      </c>
      <c r="B328" s="72" t="n"/>
      <c r="C328" s="71" t="str">
        <f>IF(ISNUMBER(B328),CHOOSE(WEEKDAY(B328,2),"Lun","Mar","Mié","Jue","Vie","Sáb","Dom"),"")</f>
        <v/>
      </c>
      <c r="D328" s="73" t="n"/>
      <c r="E328" s="74" t="n"/>
      <c r="F328" s="74" t="n"/>
      <c r="G328" s="74" t="n"/>
      <c r="H328" s="75" t="n"/>
      <c r="I328" s="75" t="n"/>
      <c r="J328" s="76" t="n"/>
      <c r="K328" s="77" t="str">
        <f>IF(AB328=1,ROUND(AG328/60,4),"")</f>
        <v/>
      </c>
      <c r="L328" s="77" t="str">
        <f>IF(BD328=1,ROUND(AP328/60,4),"")</f>
        <v/>
      </c>
      <c r="M328" s="77" t="str">
        <f>IF(BD328=1,ROUND(AQ328/60,4),"")</f>
        <v/>
      </c>
      <c r="N328" s="71" t="str">
        <f>IF(AND(D328="proMX",AB328=1),ROUND(AG328/CFG_BLK,2),"")</f>
        <v/>
      </c>
      <c r="O328" s="77" t="str">
        <f>IF(D328="proMX",IF(BD328=1,ROUND(AG328/60,4),0),"")</f>
        <v/>
      </c>
      <c r="P328" s="78" t="str">
        <f>IF(Y328=0,"",IF(BD328=1,"OK",IF(D328="proMX","Revisar bloques: ","Revisar: ")&amp;BC328))</f>
        <v/>
      </c>
      <c r="Q328" s="78" t="str">
        <f>IF(NOT(ISNUMBER(B328)),"",IF(COUNTIFS(FER_F,INT(B328))&gt;0,"Feriado"&amp;IF(AH328=1," (laborable)"," (no laborable)"),IF(AH328=1,"Laborable",IF(WEEKDAY(B328,2)&gt;5,"Fin de semana","No laborable"))))</f>
        <v/>
      </c>
      <c r="R328" s="73" t="n"/>
      <c r="S328" s="72" t="n"/>
      <c r="T328" s="72" t="n"/>
      <c r="U328" s="74" t="n"/>
      <c r="V328" s="79" t="str">
        <f>IF(AND(D328="proMX",OR(R328="Submitted",R328="Recall Requested"),ISNUMBER(S328)),CFG_TODAY-INT(S328),"")</f>
        <v/>
      </c>
      <c r="W328" s="78" t="str">
        <f>IF(BD328=0,"",IF(BA328&gt;0,"⚠ Se superpone con un registro de la otra empresa",IF(D328="Malcolm",IF(COUNTA(R328,S328,T328)&gt;0,"Estado/fechas proMX se ignoran en Malcolm",""),IF(BF328="Cancelled","Cancelado: excluido de totales",IF(R328="","Sin estado: se trata como Draft",IF(BF328="Submitted",IF(ISNUMBER(V328),IF(V328&gt;CFG_MAXD,"⚠ "&amp;V328&amp;" días en Submitted (máx. "&amp;CFG_MAXD&amp;")",""),"Falta fecha de envío"),IF(BF328="Returned","⚠ Devuelto: corregir y reenviar",IF(BF328="Recall Requested","Retirada solicitada: pendiente",IF(AND(BF328="Approved",NOT(ISNUMBER(T328))),"Falta fecha de aprobación",IF(AND(ISNUMBER(S328),ISNUMBER(T328),T328&lt;S328),"Aprobación anterior al envío","")))))))))</f>
        <v/>
      </c>
      <c r="Y328" s="80">
        <f>IF(COUNTA(B328,D328,E328,F328,G328,H328,I328,J328,R328,S328,T328)&gt;0,1,0)</f>
        <v>0</v>
      </c>
      <c r="Z328" s="80" t="str">
        <f>IF(AND(ISNUMBER(H328),H328&gt;=0,H328&lt;1),ROUND(H328*1440,0),"")</f>
        <v/>
      </c>
      <c r="AA328" s="80" t="str">
        <f>IF(AND(ISNUMBER(I328),I328&gt;=0,I328&lt;1),ROUND(I328*1440,0),"")</f>
        <v/>
      </c>
      <c r="AB328" s="80">
        <f>IF(AND(ISNUMBER(B328),D328&lt;&gt;"",ISNUMBER(Z328),ISNUMBER(AA328)),IF(Z328=AA328,0,1),0)</f>
        <v>0</v>
      </c>
      <c r="AC328" s="80">
        <f>IF(AB328=1,IF(AA328&lt;Z328,1,0),0)</f>
        <v>0</v>
      </c>
      <c r="AD328" s="80">
        <f>IF(AB328=1,IF(AC328=1,1440-Z328+AA328,AA328-Z328),0)</f>
        <v>0</v>
      </c>
      <c r="AE328" s="80">
        <f>IF(J328="",0,IF(ISNUMBER(J328),J328,-1))</f>
        <v>0</v>
      </c>
      <c r="AF328" s="80">
        <f>MIN(MAX(0,AE328),AD328)</f>
        <v>0</v>
      </c>
      <c r="AG328" s="80">
        <f>MAX(0,AD328-MAX(0,AE328))</f>
        <v>0</v>
      </c>
      <c r="AH328" s="80">
        <f>IF(ISNUMBER(B328),IF(AND(INDEX(CFG_WDAYS,WEEKDAY(INT(B328),2))="Sí",IF(D328="proMX",COUNTIFS(FER_F,INT(B328),FER_NLP,"Sí"),COUNTIFS(FER_F,INT(B328),FER_NLM,"Sí"))=0),1,0),0)</f>
        <v>0</v>
      </c>
      <c r="AI328" s="80">
        <f>IF(AC328=1,IF(AND(INDEX(CFG_WDAYS,WEEKDAY(INT(B328)+1,2))="Sí",IF(D328="proMX",COUNTIFS(FER_F,INT(B328)+1,FER_NLP,"Sí"),COUNTIFS(FER_F,INT(B328)+1,FER_NLM,"Sí"))=0),1,0),0)</f>
        <v>0</v>
      </c>
      <c r="AJ328" s="80">
        <f>IF(AC328=1,1440-Z328,AD328)</f>
        <v>0</v>
      </c>
      <c r="AK328" s="80">
        <f>IF(AND(AB328=1,AH328=1),MAX(0,MIN(IF(AC328=1,1440,AA328),CFG_WEM)-MAX(Z328,CFG_WSM)),0)</f>
        <v>0</v>
      </c>
      <c r="AL328" s="80">
        <f>IF(AND(AC328=1,AI328=1),MAX(0,MIN(AA328,CFG_WEM)-CFG_WSM),0)</f>
        <v>0</v>
      </c>
      <c r="AM328" s="80">
        <f>AK328+AL328</f>
        <v>0</v>
      </c>
      <c r="AN328" s="80">
        <f>IF(CFG_BRK="Proporcional",IF(AD328=0,0,AF328*AM328/AD328),IF(CFG_BRK="Extras primero",MIN(AM328,MAX(0,AF328-(AD328-AM328))),MIN(AF328,AM328)))</f>
        <v>0</v>
      </c>
      <c r="AO328" s="80">
        <f>AF328-AN328</f>
        <v>0</v>
      </c>
      <c r="AP328" s="80">
        <f>AM328-AN328</f>
        <v>0</v>
      </c>
      <c r="AQ328" s="80">
        <f>AD328-AM328-AO328</f>
        <v>0</v>
      </c>
      <c r="AR328" s="80">
        <f>IF(AM328=0,0,AK328-AN328*AK328/AM328)</f>
        <v>0</v>
      </c>
      <c r="AS328" s="80">
        <f>IF(AD328-AM328=0,0,(AJ328-AK328)-AO328*(AJ328-AK328)/(AD328-AM328))</f>
        <v>0</v>
      </c>
      <c r="AT328" s="80" t="str">
        <f>IF(AC328=1,INT(B328)+1,"")</f>
        <v/>
      </c>
      <c r="AU328" s="80">
        <f>IF(AND(D328="proMX",R328="Cancelled"),0,1)</f>
        <v>1</v>
      </c>
      <c r="AV328" s="80">
        <f>IF(AND(AB328=1,AU328=1),IF(COUNTIFS($D$5:D327,D328,$B$5:B327,B328,$Z$5:Z327,Z328,$AA$5:AA327,AA328,$F$5:F327,F328&amp;"",$AU$5:AU327,1)&gt;0,1,0),0)</f>
        <v>0</v>
      </c>
      <c r="AW328" s="80" t="str">
        <f>IF(AB328=1,INT(B328)*1440+Z328,"")</f>
        <v/>
      </c>
      <c r="AX328" s="80" t="str">
        <f>IF(AB328=1,AW328+AD328,"")</f>
        <v/>
      </c>
      <c r="AY328" s="80">
        <f>IF(AND(AB328=1,AV328=0,AU328=1),1,0)</f>
        <v>0</v>
      </c>
      <c r="AZ328" s="80">
        <f>IF(AY328=1,COUNTIFS(R_Emp,D328,R_SAbs,"&lt;"&amp;AX328,R_EAbs,"&gt;"&amp;AW328,R_OKey,1)-1,0)</f>
        <v>0</v>
      </c>
      <c r="BA328" s="80">
        <f>IF(AY328=1,COUNTIFS(R_Emp,"&lt;&gt;"&amp;D328,R_SAbs,"&lt;"&amp;AX328,R_EAbs,"&gt;"&amp;AW328,R_OKey,1),0)</f>
        <v>0</v>
      </c>
      <c r="BB328" s="80">
        <f>IF(AND(AB328=1,D328="proMX"),IF(AND(MOD(Z328,CFG_BLK)=0,MOD(AA328,CFG_BLK)=0,MOD(AG328,CFG_BLK)=0,AG328&gt;0),1,0),1)</f>
        <v>1</v>
      </c>
      <c r="BC328" s="80" t="str">
        <f>IF(Y328=0,"",IF(NOT(ISNUMBER(B328)),"Falta fecha o fecha inválida",IF(D328="","Falta empresa",IF(AND(D328&lt;&gt;"Malcolm",D328&lt;&gt;"proMX"),"Empresa inválida",IF(OR(INT(B328)&lt;CFG_PSTART,INT(B328)&gt;CFG_PEND),"Fecha fuera del período",IF(OR(NOT(ISNUMBER(Z328)),NOT(ISNUMBER(AA328))),"Falta hora inicio/fin o formato inválido",IF(AB328=0,"Hora inicio = hora fin",IF(AE328&lt;0,"Descanso inválido",IF(AE328&gt;=AD328,"Descanso ≥ duración",IF(AV328=1,"Registro duplicado",IF(AZ328&gt;0,"Se superpone con otro registro "&amp;D328,IF(BB328=0,"inicio, fin y duración neta deben ser múltiplos de "&amp;CFG_BLK&amp;" min",""))))))))))))</f>
        <v/>
      </c>
      <c r="BD328" s="80">
        <f>IF(AND(Y328=1,BC328=""),1,0)</f>
        <v>0</v>
      </c>
      <c r="BE328" s="80">
        <f>IF(AND(BD328=1,AU328=1),1,0)</f>
        <v>0</v>
      </c>
      <c r="BF328" s="80" t="str">
        <f>IF(AND(D328="proMX",BD328=1),IF(R328="","Draft",R328),"")</f>
        <v/>
      </c>
      <c r="BG328" s="80">
        <f>IF(BD328=1,ROUND(AG328/60,6),0)</f>
        <v>0</v>
      </c>
      <c r="BH328" s="80">
        <f>IF(BE328=1,ROUND(AG328/60,6),0)</f>
        <v>0</v>
      </c>
      <c r="BI328" s="80">
        <f>IF(BE328=1,ROUND(AP328/60,6),0)</f>
        <v>0</v>
      </c>
      <c r="BJ328" s="80">
        <f>IF(BE328=1,ROUND(AQ328/60,6),0)</f>
        <v>0</v>
      </c>
      <c r="BK328" s="80">
        <f>IF(BE328=1,ROUND((AR328+AS328)/60,6),0)</f>
        <v>0</v>
      </c>
      <c r="BL328" s="80">
        <f>ROUND(BH328-BK328,6)</f>
        <v>0</v>
      </c>
      <c r="BM328" s="80">
        <f>IF(BE328=1,ROUND(AR328/60,6),0)</f>
        <v>0</v>
      </c>
      <c r="BN328" s="80">
        <f>ROUND(BI328-BM328,6)</f>
        <v>0</v>
      </c>
      <c r="BO328" s="80">
        <f>IF(BE328=1,ROUND(AS328/60,6),0)</f>
        <v>0</v>
      </c>
      <c r="BP328" s="80">
        <f>ROUND(BJ328-BO328,6)</f>
        <v>0</v>
      </c>
      <c r="BQ328" s="80">
        <f>IF(BE328=1,AW328,0)</f>
        <v>0</v>
      </c>
      <c r="BR328" s="80">
        <f>IF(BE328=1,AX328,0)</f>
        <v>0</v>
      </c>
      <c r="BS328" s="80">
        <f>IF(AND(BE328=1,D328="Malcolm",BA328&gt;0),MIN(BH328,SUMPRODUCT((R_Emp="proMX")*(R_EN&gt;0)*((R_EN-(R_EN&gt;BR328)*(R_EN-BR328))&gt;(R_SN+(R_SN&lt;BQ328)*(BQ328-R_SN)))*((R_EN-(R_EN&gt;BR328)*(R_EN-BR328))-(R_SN+(R_SN&lt;BQ328)*(BQ328-R_SN))))/60),0)</f>
        <v>0</v>
      </c>
      <c r="BT328" s="80">
        <f>IF(AND(BE328=1,D328="proMX"),ROUND(BI328*CFG_RATE+BJ328*CFG_OTRATE,6),0)</f>
        <v>0</v>
      </c>
      <c r="BU328" s="80">
        <f>IF(AND(BD328=1,D328="proMX"),ROUND(AG328/CFG_BLK,6),0)</f>
        <v>0</v>
      </c>
      <c r="BV328" s="80" t="str">
        <f>IF(BF328="Approved",IF(ISNUMBER(T328),INT(T328),INT(B328)),"")</f>
        <v/>
      </c>
      <c r="BW328" s="80">
        <f>IF(ISNUMBER(B328),IF(DB_MON="Todos",1,IF(AND(INT(B328)&gt;=DB_MS,INT(B328)&lt;=DB_ME),1,0)),0)</f>
        <v>0</v>
      </c>
      <c r="BX328" s="80">
        <f>IF(DB_PROJ="Todos",1,IF(E328&amp;""=DB_PROJ&amp;"",1,0))</f>
        <v>1</v>
      </c>
      <c r="BY328" s="80">
        <f>BW328*BX328</f>
        <v>0</v>
      </c>
      <c r="BZ328" s="80" t="str">
        <f>IF(Y328=1,F328&amp;IF(AND(F328&amp;""&lt;&gt;"",E328&amp;""&lt;&gt;"")," · ","")&amp;E328,"")</f>
        <v/>
      </c>
      <c r="CA328" s="80" t="str">
        <f>IF(AND(BD328=1,E328&amp;""&lt;&gt;""),IF(COUNTIFS($E$5:E327,E328,$BD$5:BD327,1)=0,MAX($CA$5:CA327)+1,""),"")</f>
        <v/>
      </c>
      <c r="CB328" s="80" t="str">
        <f>IF(AND(BE328=1,D328="Malcolm",E328&amp;""&lt;&gt;""),IF(COUNTIFS($D$5:D327,"Malcolm",$E$5:E327,E328,$BE$5:BE327,1)=0,MAX($CB$5:CB327)+1,""),"")</f>
        <v/>
      </c>
      <c r="CC328" s="80" t="str">
        <f>IF(AND(BD328=1,D328="proMX",E328&amp;""&lt;&gt;""),IF(COUNTIFS($D$5:D327,"proMX",$E$5:E327,E328,$BD$5:BD327,1)=0,MAX($CC$5:CC327)+1,""),"")</f>
        <v/>
      </c>
      <c r="CD328" s="80" t="str">
        <f>IF(AND(BE328=1,D328="Malcolm",F328&amp;""&lt;&gt;""),IF(COUNTIFS($D$5:D327,"Malcolm",$F$5:F327,F328,$BE$5:BE327,1)=0,MAX($CD$5:CD327)+1,""),"")</f>
        <v/>
      </c>
      <c r="CE328" s="80" t="str">
        <f>IF(AND(BD328=1,D328="proMX",F328&amp;""&lt;&gt;""),IF(COUNTIFS($D$5:D327,"proMX",$F$5:F327,F328,$BD$5:BD327,1)=0,MAX($CE$5:CE327)+1,""),"")</f>
        <v/>
      </c>
      <c r="CF328" s="80" t="str">
        <f>IF(AND(D328="proMX",BD328=1),IF(OR(BF328="Draft",BF328="Submitted",BF328="Returned",BF328="Recall Requested"),MAX($CF$5:CF327)+1,""),"")</f>
        <v/>
      </c>
      <c r="CG328" s="80">
        <f>IF(BD328=0,0,IF(D328="Malcolm",1,MATCH(BF328,{"Draft","Submitted","Approved","Returned","Recall Requested","Cancelled"},0)+1))</f>
        <v>0</v>
      </c>
      <c r="CH328" s="80">
        <f>IF(AND(BF328="Submitted",ISNUMBER(V328)),IF(V328&gt;CFG_MAXD,1,0),0)</f>
        <v>0</v>
      </c>
    </row>
    <row r="329">
      <c r="A329" s="71" t="str">
        <f>IF(Y329=1,ROW()-5,"")</f>
        <v/>
      </c>
      <c r="B329" s="72" t="n"/>
      <c r="C329" s="71" t="str">
        <f>IF(ISNUMBER(B329),CHOOSE(WEEKDAY(B329,2),"Lun","Mar","Mié","Jue","Vie","Sáb","Dom"),"")</f>
        <v/>
      </c>
      <c r="D329" s="73" t="n"/>
      <c r="E329" s="74" t="n"/>
      <c r="F329" s="74" t="n"/>
      <c r="G329" s="74" t="n"/>
      <c r="H329" s="75" t="n"/>
      <c r="I329" s="75" t="n"/>
      <c r="J329" s="76" t="n"/>
      <c r="K329" s="77" t="str">
        <f>IF(AB329=1,ROUND(AG329/60,4),"")</f>
        <v/>
      </c>
      <c r="L329" s="77" t="str">
        <f>IF(BD329=1,ROUND(AP329/60,4),"")</f>
        <v/>
      </c>
      <c r="M329" s="77" t="str">
        <f>IF(BD329=1,ROUND(AQ329/60,4),"")</f>
        <v/>
      </c>
      <c r="N329" s="71" t="str">
        <f>IF(AND(D329="proMX",AB329=1),ROUND(AG329/CFG_BLK,2),"")</f>
        <v/>
      </c>
      <c r="O329" s="77" t="str">
        <f>IF(D329="proMX",IF(BD329=1,ROUND(AG329/60,4),0),"")</f>
        <v/>
      </c>
      <c r="P329" s="78" t="str">
        <f>IF(Y329=0,"",IF(BD329=1,"OK",IF(D329="proMX","Revisar bloques: ","Revisar: ")&amp;BC329))</f>
        <v/>
      </c>
      <c r="Q329" s="78" t="str">
        <f>IF(NOT(ISNUMBER(B329)),"",IF(COUNTIFS(FER_F,INT(B329))&gt;0,"Feriado"&amp;IF(AH329=1," (laborable)"," (no laborable)"),IF(AH329=1,"Laborable",IF(WEEKDAY(B329,2)&gt;5,"Fin de semana","No laborable"))))</f>
        <v/>
      </c>
      <c r="R329" s="73" t="n"/>
      <c r="S329" s="72" t="n"/>
      <c r="T329" s="72" t="n"/>
      <c r="U329" s="74" t="n"/>
      <c r="V329" s="79" t="str">
        <f>IF(AND(D329="proMX",OR(R329="Submitted",R329="Recall Requested"),ISNUMBER(S329)),CFG_TODAY-INT(S329),"")</f>
        <v/>
      </c>
      <c r="W329" s="78" t="str">
        <f>IF(BD329=0,"",IF(BA329&gt;0,"⚠ Se superpone con un registro de la otra empresa",IF(D329="Malcolm",IF(COUNTA(R329,S329,T329)&gt;0,"Estado/fechas proMX se ignoran en Malcolm",""),IF(BF329="Cancelled","Cancelado: excluido de totales",IF(R329="","Sin estado: se trata como Draft",IF(BF329="Submitted",IF(ISNUMBER(V329),IF(V329&gt;CFG_MAXD,"⚠ "&amp;V329&amp;" días en Submitted (máx. "&amp;CFG_MAXD&amp;")",""),"Falta fecha de envío"),IF(BF329="Returned","⚠ Devuelto: corregir y reenviar",IF(BF329="Recall Requested","Retirada solicitada: pendiente",IF(AND(BF329="Approved",NOT(ISNUMBER(T329))),"Falta fecha de aprobación",IF(AND(ISNUMBER(S329),ISNUMBER(T329),T329&lt;S329),"Aprobación anterior al envío","")))))))))</f>
        <v/>
      </c>
      <c r="Y329" s="80">
        <f>IF(COUNTA(B329,D329,E329,F329,G329,H329,I329,J329,R329,S329,T329)&gt;0,1,0)</f>
        <v>0</v>
      </c>
      <c r="Z329" s="80" t="str">
        <f>IF(AND(ISNUMBER(H329),H329&gt;=0,H329&lt;1),ROUND(H329*1440,0),"")</f>
        <v/>
      </c>
      <c r="AA329" s="80" t="str">
        <f>IF(AND(ISNUMBER(I329),I329&gt;=0,I329&lt;1),ROUND(I329*1440,0),"")</f>
        <v/>
      </c>
      <c r="AB329" s="80">
        <f>IF(AND(ISNUMBER(B329),D329&lt;&gt;"",ISNUMBER(Z329),ISNUMBER(AA329)),IF(Z329=AA329,0,1),0)</f>
        <v>0</v>
      </c>
      <c r="AC329" s="80">
        <f>IF(AB329=1,IF(AA329&lt;Z329,1,0),0)</f>
        <v>0</v>
      </c>
      <c r="AD329" s="80">
        <f>IF(AB329=1,IF(AC329=1,1440-Z329+AA329,AA329-Z329),0)</f>
        <v>0</v>
      </c>
      <c r="AE329" s="80">
        <f>IF(J329="",0,IF(ISNUMBER(J329),J329,-1))</f>
        <v>0</v>
      </c>
      <c r="AF329" s="80">
        <f>MIN(MAX(0,AE329),AD329)</f>
        <v>0</v>
      </c>
      <c r="AG329" s="80">
        <f>MAX(0,AD329-MAX(0,AE329))</f>
        <v>0</v>
      </c>
      <c r="AH329" s="80">
        <f>IF(ISNUMBER(B329),IF(AND(INDEX(CFG_WDAYS,WEEKDAY(INT(B329),2))="Sí",IF(D329="proMX",COUNTIFS(FER_F,INT(B329),FER_NLP,"Sí"),COUNTIFS(FER_F,INT(B329),FER_NLM,"Sí"))=0),1,0),0)</f>
        <v>0</v>
      </c>
      <c r="AI329" s="80">
        <f>IF(AC329=1,IF(AND(INDEX(CFG_WDAYS,WEEKDAY(INT(B329)+1,2))="Sí",IF(D329="proMX",COUNTIFS(FER_F,INT(B329)+1,FER_NLP,"Sí"),COUNTIFS(FER_F,INT(B329)+1,FER_NLM,"Sí"))=0),1,0),0)</f>
        <v>0</v>
      </c>
      <c r="AJ329" s="80">
        <f>IF(AC329=1,1440-Z329,AD329)</f>
        <v>0</v>
      </c>
      <c r="AK329" s="80">
        <f>IF(AND(AB329=1,AH329=1),MAX(0,MIN(IF(AC329=1,1440,AA329),CFG_WEM)-MAX(Z329,CFG_WSM)),0)</f>
        <v>0</v>
      </c>
      <c r="AL329" s="80">
        <f>IF(AND(AC329=1,AI329=1),MAX(0,MIN(AA329,CFG_WEM)-CFG_WSM),0)</f>
        <v>0</v>
      </c>
      <c r="AM329" s="80">
        <f>AK329+AL329</f>
        <v>0</v>
      </c>
      <c r="AN329" s="80">
        <f>IF(CFG_BRK="Proporcional",IF(AD329=0,0,AF329*AM329/AD329),IF(CFG_BRK="Extras primero",MIN(AM329,MAX(0,AF329-(AD329-AM329))),MIN(AF329,AM329)))</f>
        <v>0</v>
      </c>
      <c r="AO329" s="80">
        <f>AF329-AN329</f>
        <v>0</v>
      </c>
      <c r="AP329" s="80">
        <f>AM329-AN329</f>
        <v>0</v>
      </c>
      <c r="AQ329" s="80">
        <f>AD329-AM329-AO329</f>
        <v>0</v>
      </c>
      <c r="AR329" s="80">
        <f>IF(AM329=0,0,AK329-AN329*AK329/AM329)</f>
        <v>0</v>
      </c>
      <c r="AS329" s="80">
        <f>IF(AD329-AM329=0,0,(AJ329-AK329)-AO329*(AJ329-AK329)/(AD329-AM329))</f>
        <v>0</v>
      </c>
      <c r="AT329" s="80" t="str">
        <f>IF(AC329=1,INT(B329)+1,"")</f>
        <v/>
      </c>
      <c r="AU329" s="80">
        <f>IF(AND(D329="proMX",R329="Cancelled"),0,1)</f>
        <v>1</v>
      </c>
      <c r="AV329" s="80">
        <f>IF(AND(AB329=1,AU329=1),IF(COUNTIFS($D$5:D328,D329,$B$5:B328,B329,$Z$5:Z328,Z329,$AA$5:AA328,AA329,$F$5:F328,F329&amp;"",$AU$5:AU328,1)&gt;0,1,0),0)</f>
        <v>0</v>
      </c>
      <c r="AW329" s="80" t="str">
        <f>IF(AB329=1,INT(B329)*1440+Z329,"")</f>
        <v/>
      </c>
      <c r="AX329" s="80" t="str">
        <f>IF(AB329=1,AW329+AD329,"")</f>
        <v/>
      </c>
      <c r="AY329" s="80">
        <f>IF(AND(AB329=1,AV329=0,AU329=1),1,0)</f>
        <v>0</v>
      </c>
      <c r="AZ329" s="80">
        <f>IF(AY329=1,COUNTIFS(R_Emp,D329,R_SAbs,"&lt;"&amp;AX329,R_EAbs,"&gt;"&amp;AW329,R_OKey,1)-1,0)</f>
        <v>0</v>
      </c>
      <c r="BA329" s="80">
        <f>IF(AY329=1,COUNTIFS(R_Emp,"&lt;&gt;"&amp;D329,R_SAbs,"&lt;"&amp;AX329,R_EAbs,"&gt;"&amp;AW329,R_OKey,1),0)</f>
        <v>0</v>
      </c>
      <c r="BB329" s="80">
        <f>IF(AND(AB329=1,D329="proMX"),IF(AND(MOD(Z329,CFG_BLK)=0,MOD(AA329,CFG_BLK)=0,MOD(AG329,CFG_BLK)=0,AG329&gt;0),1,0),1)</f>
        <v>1</v>
      </c>
      <c r="BC329" s="80" t="str">
        <f>IF(Y329=0,"",IF(NOT(ISNUMBER(B329)),"Falta fecha o fecha inválida",IF(D329="","Falta empresa",IF(AND(D329&lt;&gt;"Malcolm",D329&lt;&gt;"proMX"),"Empresa inválida",IF(OR(INT(B329)&lt;CFG_PSTART,INT(B329)&gt;CFG_PEND),"Fecha fuera del período",IF(OR(NOT(ISNUMBER(Z329)),NOT(ISNUMBER(AA329))),"Falta hora inicio/fin o formato inválido",IF(AB329=0,"Hora inicio = hora fin",IF(AE329&lt;0,"Descanso inválido",IF(AE329&gt;=AD329,"Descanso ≥ duración",IF(AV329=1,"Registro duplicado",IF(AZ329&gt;0,"Se superpone con otro registro "&amp;D329,IF(BB329=0,"inicio, fin y duración neta deben ser múltiplos de "&amp;CFG_BLK&amp;" min",""))))))))))))</f>
        <v/>
      </c>
      <c r="BD329" s="80">
        <f>IF(AND(Y329=1,BC329=""),1,0)</f>
        <v>0</v>
      </c>
      <c r="BE329" s="80">
        <f>IF(AND(BD329=1,AU329=1),1,0)</f>
        <v>0</v>
      </c>
      <c r="BF329" s="80" t="str">
        <f>IF(AND(D329="proMX",BD329=1),IF(R329="","Draft",R329),"")</f>
        <v/>
      </c>
      <c r="BG329" s="80">
        <f>IF(BD329=1,ROUND(AG329/60,6),0)</f>
        <v>0</v>
      </c>
      <c r="BH329" s="80">
        <f>IF(BE329=1,ROUND(AG329/60,6),0)</f>
        <v>0</v>
      </c>
      <c r="BI329" s="80">
        <f>IF(BE329=1,ROUND(AP329/60,6),0)</f>
        <v>0</v>
      </c>
      <c r="BJ329" s="80">
        <f>IF(BE329=1,ROUND(AQ329/60,6),0)</f>
        <v>0</v>
      </c>
      <c r="BK329" s="80">
        <f>IF(BE329=1,ROUND((AR329+AS329)/60,6),0)</f>
        <v>0</v>
      </c>
      <c r="BL329" s="80">
        <f>ROUND(BH329-BK329,6)</f>
        <v>0</v>
      </c>
      <c r="BM329" s="80">
        <f>IF(BE329=1,ROUND(AR329/60,6),0)</f>
        <v>0</v>
      </c>
      <c r="BN329" s="80">
        <f>ROUND(BI329-BM329,6)</f>
        <v>0</v>
      </c>
      <c r="BO329" s="80">
        <f>IF(BE329=1,ROUND(AS329/60,6),0)</f>
        <v>0</v>
      </c>
      <c r="BP329" s="80">
        <f>ROUND(BJ329-BO329,6)</f>
        <v>0</v>
      </c>
      <c r="BQ329" s="80">
        <f>IF(BE329=1,AW329,0)</f>
        <v>0</v>
      </c>
      <c r="BR329" s="80">
        <f>IF(BE329=1,AX329,0)</f>
        <v>0</v>
      </c>
      <c r="BS329" s="80">
        <f>IF(AND(BE329=1,D329="Malcolm",BA329&gt;0),MIN(BH329,SUMPRODUCT((R_Emp="proMX")*(R_EN&gt;0)*((R_EN-(R_EN&gt;BR329)*(R_EN-BR329))&gt;(R_SN+(R_SN&lt;BQ329)*(BQ329-R_SN)))*((R_EN-(R_EN&gt;BR329)*(R_EN-BR329))-(R_SN+(R_SN&lt;BQ329)*(BQ329-R_SN))))/60),0)</f>
        <v>0</v>
      </c>
      <c r="BT329" s="80">
        <f>IF(AND(BE329=1,D329="proMX"),ROUND(BI329*CFG_RATE+BJ329*CFG_OTRATE,6),0)</f>
        <v>0</v>
      </c>
      <c r="BU329" s="80">
        <f>IF(AND(BD329=1,D329="proMX"),ROUND(AG329/CFG_BLK,6),0)</f>
        <v>0</v>
      </c>
      <c r="BV329" s="80" t="str">
        <f>IF(BF329="Approved",IF(ISNUMBER(T329),INT(T329),INT(B329)),"")</f>
        <v/>
      </c>
      <c r="BW329" s="80">
        <f>IF(ISNUMBER(B329),IF(DB_MON="Todos",1,IF(AND(INT(B329)&gt;=DB_MS,INT(B329)&lt;=DB_ME),1,0)),0)</f>
        <v>0</v>
      </c>
      <c r="BX329" s="80">
        <f>IF(DB_PROJ="Todos",1,IF(E329&amp;""=DB_PROJ&amp;"",1,0))</f>
        <v>1</v>
      </c>
      <c r="BY329" s="80">
        <f>BW329*BX329</f>
        <v>0</v>
      </c>
      <c r="BZ329" s="80" t="str">
        <f>IF(Y329=1,F329&amp;IF(AND(F329&amp;""&lt;&gt;"",E329&amp;""&lt;&gt;"")," · ","")&amp;E329,"")</f>
        <v/>
      </c>
      <c r="CA329" s="80" t="str">
        <f>IF(AND(BD329=1,E329&amp;""&lt;&gt;""),IF(COUNTIFS($E$5:E328,E329,$BD$5:BD328,1)=0,MAX($CA$5:CA328)+1,""),"")</f>
        <v/>
      </c>
      <c r="CB329" s="80" t="str">
        <f>IF(AND(BE329=1,D329="Malcolm",E329&amp;""&lt;&gt;""),IF(COUNTIFS($D$5:D328,"Malcolm",$E$5:E328,E329,$BE$5:BE328,1)=0,MAX($CB$5:CB328)+1,""),"")</f>
        <v/>
      </c>
      <c r="CC329" s="80" t="str">
        <f>IF(AND(BD329=1,D329="proMX",E329&amp;""&lt;&gt;""),IF(COUNTIFS($D$5:D328,"proMX",$E$5:E328,E329,$BD$5:BD328,1)=0,MAX($CC$5:CC328)+1,""),"")</f>
        <v/>
      </c>
      <c r="CD329" s="80" t="str">
        <f>IF(AND(BE329=1,D329="Malcolm",F329&amp;""&lt;&gt;""),IF(COUNTIFS($D$5:D328,"Malcolm",$F$5:F328,F329,$BE$5:BE328,1)=0,MAX($CD$5:CD328)+1,""),"")</f>
        <v/>
      </c>
      <c r="CE329" s="80" t="str">
        <f>IF(AND(BD329=1,D329="proMX",F329&amp;""&lt;&gt;""),IF(COUNTIFS($D$5:D328,"proMX",$F$5:F328,F329,$BD$5:BD328,1)=0,MAX($CE$5:CE328)+1,""),"")</f>
        <v/>
      </c>
      <c r="CF329" s="80" t="str">
        <f>IF(AND(D329="proMX",BD329=1),IF(OR(BF329="Draft",BF329="Submitted",BF329="Returned",BF329="Recall Requested"),MAX($CF$5:CF328)+1,""),"")</f>
        <v/>
      </c>
      <c r="CG329" s="80">
        <f>IF(BD329=0,0,IF(D329="Malcolm",1,MATCH(BF329,{"Draft","Submitted","Approved","Returned","Recall Requested","Cancelled"},0)+1))</f>
        <v>0</v>
      </c>
      <c r="CH329" s="80">
        <f>IF(AND(BF329="Submitted",ISNUMBER(V329)),IF(V329&gt;CFG_MAXD,1,0),0)</f>
        <v>0</v>
      </c>
    </row>
    <row r="330">
      <c r="A330" s="71" t="str">
        <f>IF(Y330=1,ROW()-5,"")</f>
        <v/>
      </c>
      <c r="B330" s="72" t="n"/>
      <c r="C330" s="71" t="str">
        <f>IF(ISNUMBER(B330),CHOOSE(WEEKDAY(B330,2),"Lun","Mar","Mié","Jue","Vie","Sáb","Dom"),"")</f>
        <v/>
      </c>
      <c r="D330" s="73" t="n"/>
      <c r="E330" s="74" t="n"/>
      <c r="F330" s="74" t="n"/>
      <c r="G330" s="74" t="n"/>
      <c r="H330" s="75" t="n"/>
      <c r="I330" s="75" t="n"/>
      <c r="J330" s="76" t="n"/>
      <c r="K330" s="77" t="str">
        <f>IF(AB330=1,ROUND(AG330/60,4),"")</f>
        <v/>
      </c>
      <c r="L330" s="77" t="str">
        <f>IF(BD330=1,ROUND(AP330/60,4),"")</f>
        <v/>
      </c>
      <c r="M330" s="77" t="str">
        <f>IF(BD330=1,ROUND(AQ330/60,4),"")</f>
        <v/>
      </c>
      <c r="N330" s="71" t="str">
        <f>IF(AND(D330="proMX",AB330=1),ROUND(AG330/CFG_BLK,2),"")</f>
        <v/>
      </c>
      <c r="O330" s="77" t="str">
        <f>IF(D330="proMX",IF(BD330=1,ROUND(AG330/60,4),0),"")</f>
        <v/>
      </c>
      <c r="P330" s="78" t="str">
        <f>IF(Y330=0,"",IF(BD330=1,"OK",IF(D330="proMX","Revisar bloques: ","Revisar: ")&amp;BC330))</f>
        <v/>
      </c>
      <c r="Q330" s="78" t="str">
        <f>IF(NOT(ISNUMBER(B330)),"",IF(COUNTIFS(FER_F,INT(B330))&gt;0,"Feriado"&amp;IF(AH330=1," (laborable)"," (no laborable)"),IF(AH330=1,"Laborable",IF(WEEKDAY(B330,2)&gt;5,"Fin de semana","No laborable"))))</f>
        <v/>
      </c>
      <c r="R330" s="73" t="n"/>
      <c r="S330" s="72" t="n"/>
      <c r="T330" s="72" t="n"/>
      <c r="U330" s="74" t="n"/>
      <c r="V330" s="79" t="str">
        <f>IF(AND(D330="proMX",OR(R330="Submitted",R330="Recall Requested"),ISNUMBER(S330)),CFG_TODAY-INT(S330),"")</f>
        <v/>
      </c>
      <c r="W330" s="78" t="str">
        <f>IF(BD330=0,"",IF(BA330&gt;0,"⚠ Se superpone con un registro de la otra empresa",IF(D330="Malcolm",IF(COUNTA(R330,S330,T330)&gt;0,"Estado/fechas proMX se ignoran en Malcolm",""),IF(BF330="Cancelled","Cancelado: excluido de totales",IF(R330="","Sin estado: se trata como Draft",IF(BF330="Submitted",IF(ISNUMBER(V330),IF(V330&gt;CFG_MAXD,"⚠ "&amp;V330&amp;" días en Submitted (máx. "&amp;CFG_MAXD&amp;")",""),"Falta fecha de envío"),IF(BF330="Returned","⚠ Devuelto: corregir y reenviar",IF(BF330="Recall Requested","Retirada solicitada: pendiente",IF(AND(BF330="Approved",NOT(ISNUMBER(T330))),"Falta fecha de aprobación",IF(AND(ISNUMBER(S330),ISNUMBER(T330),T330&lt;S330),"Aprobación anterior al envío","")))))))))</f>
        <v/>
      </c>
      <c r="Y330" s="80">
        <f>IF(COUNTA(B330,D330,E330,F330,G330,H330,I330,J330,R330,S330,T330)&gt;0,1,0)</f>
        <v>0</v>
      </c>
      <c r="Z330" s="80" t="str">
        <f>IF(AND(ISNUMBER(H330),H330&gt;=0,H330&lt;1),ROUND(H330*1440,0),"")</f>
        <v/>
      </c>
      <c r="AA330" s="80" t="str">
        <f>IF(AND(ISNUMBER(I330),I330&gt;=0,I330&lt;1),ROUND(I330*1440,0),"")</f>
        <v/>
      </c>
      <c r="AB330" s="80">
        <f>IF(AND(ISNUMBER(B330),D330&lt;&gt;"",ISNUMBER(Z330),ISNUMBER(AA330)),IF(Z330=AA330,0,1),0)</f>
        <v>0</v>
      </c>
      <c r="AC330" s="80">
        <f>IF(AB330=1,IF(AA330&lt;Z330,1,0),0)</f>
        <v>0</v>
      </c>
      <c r="AD330" s="80">
        <f>IF(AB330=1,IF(AC330=1,1440-Z330+AA330,AA330-Z330),0)</f>
        <v>0</v>
      </c>
      <c r="AE330" s="80">
        <f>IF(J330="",0,IF(ISNUMBER(J330),J330,-1))</f>
        <v>0</v>
      </c>
      <c r="AF330" s="80">
        <f>MIN(MAX(0,AE330),AD330)</f>
        <v>0</v>
      </c>
      <c r="AG330" s="80">
        <f>MAX(0,AD330-MAX(0,AE330))</f>
        <v>0</v>
      </c>
      <c r="AH330" s="80">
        <f>IF(ISNUMBER(B330),IF(AND(INDEX(CFG_WDAYS,WEEKDAY(INT(B330),2))="Sí",IF(D330="proMX",COUNTIFS(FER_F,INT(B330),FER_NLP,"Sí"),COUNTIFS(FER_F,INT(B330),FER_NLM,"Sí"))=0),1,0),0)</f>
        <v>0</v>
      </c>
      <c r="AI330" s="80">
        <f>IF(AC330=1,IF(AND(INDEX(CFG_WDAYS,WEEKDAY(INT(B330)+1,2))="Sí",IF(D330="proMX",COUNTIFS(FER_F,INT(B330)+1,FER_NLP,"Sí"),COUNTIFS(FER_F,INT(B330)+1,FER_NLM,"Sí"))=0),1,0),0)</f>
        <v>0</v>
      </c>
      <c r="AJ330" s="80">
        <f>IF(AC330=1,1440-Z330,AD330)</f>
        <v>0</v>
      </c>
      <c r="AK330" s="80">
        <f>IF(AND(AB330=1,AH330=1),MAX(0,MIN(IF(AC330=1,1440,AA330),CFG_WEM)-MAX(Z330,CFG_WSM)),0)</f>
        <v>0</v>
      </c>
      <c r="AL330" s="80">
        <f>IF(AND(AC330=1,AI330=1),MAX(0,MIN(AA330,CFG_WEM)-CFG_WSM),0)</f>
        <v>0</v>
      </c>
      <c r="AM330" s="80">
        <f>AK330+AL330</f>
        <v>0</v>
      </c>
      <c r="AN330" s="80">
        <f>IF(CFG_BRK="Proporcional",IF(AD330=0,0,AF330*AM330/AD330),IF(CFG_BRK="Extras primero",MIN(AM330,MAX(0,AF330-(AD330-AM330))),MIN(AF330,AM330)))</f>
        <v>0</v>
      </c>
      <c r="AO330" s="80">
        <f>AF330-AN330</f>
        <v>0</v>
      </c>
      <c r="AP330" s="80">
        <f>AM330-AN330</f>
        <v>0</v>
      </c>
      <c r="AQ330" s="80">
        <f>AD330-AM330-AO330</f>
        <v>0</v>
      </c>
      <c r="AR330" s="80">
        <f>IF(AM330=0,0,AK330-AN330*AK330/AM330)</f>
        <v>0</v>
      </c>
      <c r="AS330" s="80">
        <f>IF(AD330-AM330=0,0,(AJ330-AK330)-AO330*(AJ330-AK330)/(AD330-AM330))</f>
        <v>0</v>
      </c>
      <c r="AT330" s="80" t="str">
        <f>IF(AC330=1,INT(B330)+1,"")</f>
        <v/>
      </c>
      <c r="AU330" s="80">
        <f>IF(AND(D330="proMX",R330="Cancelled"),0,1)</f>
        <v>1</v>
      </c>
      <c r="AV330" s="80">
        <f>IF(AND(AB330=1,AU330=1),IF(COUNTIFS($D$5:D329,D330,$B$5:B329,B330,$Z$5:Z329,Z330,$AA$5:AA329,AA330,$F$5:F329,F330&amp;"",$AU$5:AU329,1)&gt;0,1,0),0)</f>
        <v>0</v>
      </c>
      <c r="AW330" s="80" t="str">
        <f>IF(AB330=1,INT(B330)*1440+Z330,"")</f>
        <v/>
      </c>
      <c r="AX330" s="80" t="str">
        <f>IF(AB330=1,AW330+AD330,"")</f>
        <v/>
      </c>
      <c r="AY330" s="80">
        <f>IF(AND(AB330=1,AV330=0,AU330=1),1,0)</f>
        <v>0</v>
      </c>
      <c r="AZ330" s="80">
        <f>IF(AY330=1,COUNTIFS(R_Emp,D330,R_SAbs,"&lt;"&amp;AX330,R_EAbs,"&gt;"&amp;AW330,R_OKey,1)-1,0)</f>
        <v>0</v>
      </c>
      <c r="BA330" s="80">
        <f>IF(AY330=1,COUNTIFS(R_Emp,"&lt;&gt;"&amp;D330,R_SAbs,"&lt;"&amp;AX330,R_EAbs,"&gt;"&amp;AW330,R_OKey,1),0)</f>
        <v>0</v>
      </c>
      <c r="BB330" s="80">
        <f>IF(AND(AB330=1,D330="proMX"),IF(AND(MOD(Z330,CFG_BLK)=0,MOD(AA330,CFG_BLK)=0,MOD(AG330,CFG_BLK)=0,AG330&gt;0),1,0),1)</f>
        <v>1</v>
      </c>
      <c r="BC330" s="80" t="str">
        <f>IF(Y330=0,"",IF(NOT(ISNUMBER(B330)),"Falta fecha o fecha inválida",IF(D330="","Falta empresa",IF(AND(D330&lt;&gt;"Malcolm",D330&lt;&gt;"proMX"),"Empresa inválida",IF(OR(INT(B330)&lt;CFG_PSTART,INT(B330)&gt;CFG_PEND),"Fecha fuera del período",IF(OR(NOT(ISNUMBER(Z330)),NOT(ISNUMBER(AA330))),"Falta hora inicio/fin o formato inválido",IF(AB330=0,"Hora inicio = hora fin",IF(AE330&lt;0,"Descanso inválido",IF(AE330&gt;=AD330,"Descanso ≥ duración",IF(AV330=1,"Registro duplicado",IF(AZ330&gt;0,"Se superpone con otro registro "&amp;D330,IF(BB330=0,"inicio, fin y duración neta deben ser múltiplos de "&amp;CFG_BLK&amp;" min",""))))))))))))</f>
        <v/>
      </c>
      <c r="BD330" s="80">
        <f>IF(AND(Y330=1,BC330=""),1,0)</f>
        <v>0</v>
      </c>
      <c r="BE330" s="80">
        <f>IF(AND(BD330=1,AU330=1),1,0)</f>
        <v>0</v>
      </c>
      <c r="BF330" s="80" t="str">
        <f>IF(AND(D330="proMX",BD330=1),IF(R330="","Draft",R330),"")</f>
        <v/>
      </c>
      <c r="BG330" s="80">
        <f>IF(BD330=1,ROUND(AG330/60,6),0)</f>
        <v>0</v>
      </c>
      <c r="BH330" s="80">
        <f>IF(BE330=1,ROUND(AG330/60,6),0)</f>
        <v>0</v>
      </c>
      <c r="BI330" s="80">
        <f>IF(BE330=1,ROUND(AP330/60,6),0)</f>
        <v>0</v>
      </c>
      <c r="BJ330" s="80">
        <f>IF(BE330=1,ROUND(AQ330/60,6),0)</f>
        <v>0</v>
      </c>
      <c r="BK330" s="80">
        <f>IF(BE330=1,ROUND((AR330+AS330)/60,6),0)</f>
        <v>0</v>
      </c>
      <c r="BL330" s="80">
        <f>ROUND(BH330-BK330,6)</f>
        <v>0</v>
      </c>
      <c r="BM330" s="80">
        <f>IF(BE330=1,ROUND(AR330/60,6),0)</f>
        <v>0</v>
      </c>
      <c r="BN330" s="80">
        <f>ROUND(BI330-BM330,6)</f>
        <v>0</v>
      </c>
      <c r="BO330" s="80">
        <f>IF(BE330=1,ROUND(AS330/60,6),0)</f>
        <v>0</v>
      </c>
      <c r="BP330" s="80">
        <f>ROUND(BJ330-BO330,6)</f>
        <v>0</v>
      </c>
      <c r="BQ330" s="80">
        <f>IF(BE330=1,AW330,0)</f>
        <v>0</v>
      </c>
      <c r="BR330" s="80">
        <f>IF(BE330=1,AX330,0)</f>
        <v>0</v>
      </c>
      <c r="BS330" s="80">
        <f>IF(AND(BE330=1,D330="Malcolm",BA330&gt;0),MIN(BH330,SUMPRODUCT((R_Emp="proMX")*(R_EN&gt;0)*((R_EN-(R_EN&gt;BR330)*(R_EN-BR330))&gt;(R_SN+(R_SN&lt;BQ330)*(BQ330-R_SN)))*((R_EN-(R_EN&gt;BR330)*(R_EN-BR330))-(R_SN+(R_SN&lt;BQ330)*(BQ330-R_SN))))/60),0)</f>
        <v>0</v>
      </c>
      <c r="BT330" s="80">
        <f>IF(AND(BE330=1,D330="proMX"),ROUND(BI330*CFG_RATE+BJ330*CFG_OTRATE,6),0)</f>
        <v>0</v>
      </c>
      <c r="BU330" s="80">
        <f>IF(AND(BD330=1,D330="proMX"),ROUND(AG330/CFG_BLK,6),0)</f>
        <v>0</v>
      </c>
      <c r="BV330" s="80" t="str">
        <f>IF(BF330="Approved",IF(ISNUMBER(T330),INT(T330),INT(B330)),"")</f>
        <v/>
      </c>
      <c r="BW330" s="80">
        <f>IF(ISNUMBER(B330),IF(DB_MON="Todos",1,IF(AND(INT(B330)&gt;=DB_MS,INT(B330)&lt;=DB_ME),1,0)),0)</f>
        <v>0</v>
      </c>
      <c r="BX330" s="80">
        <f>IF(DB_PROJ="Todos",1,IF(E330&amp;""=DB_PROJ&amp;"",1,0))</f>
        <v>1</v>
      </c>
      <c r="BY330" s="80">
        <f>BW330*BX330</f>
        <v>0</v>
      </c>
      <c r="BZ330" s="80" t="str">
        <f>IF(Y330=1,F330&amp;IF(AND(F330&amp;""&lt;&gt;"",E330&amp;""&lt;&gt;"")," · ","")&amp;E330,"")</f>
        <v/>
      </c>
      <c r="CA330" s="80" t="str">
        <f>IF(AND(BD330=1,E330&amp;""&lt;&gt;""),IF(COUNTIFS($E$5:E329,E330,$BD$5:BD329,1)=0,MAX($CA$5:CA329)+1,""),"")</f>
        <v/>
      </c>
      <c r="CB330" s="80" t="str">
        <f>IF(AND(BE330=1,D330="Malcolm",E330&amp;""&lt;&gt;""),IF(COUNTIFS($D$5:D329,"Malcolm",$E$5:E329,E330,$BE$5:BE329,1)=0,MAX($CB$5:CB329)+1,""),"")</f>
        <v/>
      </c>
      <c r="CC330" s="80" t="str">
        <f>IF(AND(BD330=1,D330="proMX",E330&amp;""&lt;&gt;""),IF(COUNTIFS($D$5:D329,"proMX",$E$5:E329,E330,$BD$5:BD329,1)=0,MAX($CC$5:CC329)+1,""),"")</f>
        <v/>
      </c>
      <c r="CD330" s="80" t="str">
        <f>IF(AND(BE330=1,D330="Malcolm",F330&amp;""&lt;&gt;""),IF(COUNTIFS($D$5:D329,"Malcolm",$F$5:F329,F330,$BE$5:BE329,1)=0,MAX($CD$5:CD329)+1,""),"")</f>
        <v/>
      </c>
      <c r="CE330" s="80" t="str">
        <f>IF(AND(BD330=1,D330="proMX",F330&amp;""&lt;&gt;""),IF(COUNTIFS($D$5:D329,"proMX",$F$5:F329,F330,$BD$5:BD329,1)=0,MAX($CE$5:CE329)+1,""),"")</f>
        <v/>
      </c>
      <c r="CF330" s="80" t="str">
        <f>IF(AND(D330="proMX",BD330=1),IF(OR(BF330="Draft",BF330="Submitted",BF330="Returned",BF330="Recall Requested"),MAX($CF$5:CF329)+1,""),"")</f>
        <v/>
      </c>
      <c r="CG330" s="80">
        <f>IF(BD330=0,0,IF(D330="Malcolm",1,MATCH(BF330,{"Draft","Submitted","Approved","Returned","Recall Requested","Cancelled"},0)+1))</f>
        <v>0</v>
      </c>
      <c r="CH330" s="80">
        <f>IF(AND(BF330="Submitted",ISNUMBER(V330)),IF(V330&gt;CFG_MAXD,1,0),0)</f>
        <v>0</v>
      </c>
    </row>
    <row r="331">
      <c r="A331" s="71" t="str">
        <f>IF(Y331=1,ROW()-5,"")</f>
        <v/>
      </c>
      <c r="B331" s="72" t="n"/>
      <c r="C331" s="71" t="str">
        <f>IF(ISNUMBER(B331),CHOOSE(WEEKDAY(B331,2),"Lun","Mar","Mié","Jue","Vie","Sáb","Dom"),"")</f>
        <v/>
      </c>
      <c r="D331" s="73" t="n"/>
      <c r="E331" s="74" t="n"/>
      <c r="F331" s="74" t="n"/>
      <c r="G331" s="74" t="n"/>
      <c r="H331" s="75" t="n"/>
      <c r="I331" s="75" t="n"/>
      <c r="J331" s="76" t="n"/>
      <c r="K331" s="77" t="str">
        <f>IF(AB331=1,ROUND(AG331/60,4),"")</f>
        <v/>
      </c>
      <c r="L331" s="77" t="str">
        <f>IF(BD331=1,ROUND(AP331/60,4),"")</f>
        <v/>
      </c>
      <c r="M331" s="77" t="str">
        <f>IF(BD331=1,ROUND(AQ331/60,4),"")</f>
        <v/>
      </c>
      <c r="N331" s="71" t="str">
        <f>IF(AND(D331="proMX",AB331=1),ROUND(AG331/CFG_BLK,2),"")</f>
        <v/>
      </c>
      <c r="O331" s="77" t="str">
        <f>IF(D331="proMX",IF(BD331=1,ROUND(AG331/60,4),0),"")</f>
        <v/>
      </c>
      <c r="P331" s="78" t="str">
        <f>IF(Y331=0,"",IF(BD331=1,"OK",IF(D331="proMX","Revisar bloques: ","Revisar: ")&amp;BC331))</f>
        <v/>
      </c>
      <c r="Q331" s="78" t="str">
        <f>IF(NOT(ISNUMBER(B331)),"",IF(COUNTIFS(FER_F,INT(B331))&gt;0,"Feriado"&amp;IF(AH331=1," (laborable)"," (no laborable)"),IF(AH331=1,"Laborable",IF(WEEKDAY(B331,2)&gt;5,"Fin de semana","No laborable"))))</f>
        <v/>
      </c>
      <c r="R331" s="73" t="n"/>
      <c r="S331" s="72" t="n"/>
      <c r="T331" s="72" t="n"/>
      <c r="U331" s="74" t="n"/>
      <c r="V331" s="79" t="str">
        <f>IF(AND(D331="proMX",OR(R331="Submitted",R331="Recall Requested"),ISNUMBER(S331)),CFG_TODAY-INT(S331),"")</f>
        <v/>
      </c>
      <c r="W331" s="78" t="str">
        <f>IF(BD331=0,"",IF(BA331&gt;0,"⚠ Se superpone con un registro de la otra empresa",IF(D331="Malcolm",IF(COUNTA(R331,S331,T331)&gt;0,"Estado/fechas proMX se ignoran en Malcolm",""),IF(BF331="Cancelled","Cancelado: excluido de totales",IF(R331="","Sin estado: se trata como Draft",IF(BF331="Submitted",IF(ISNUMBER(V331),IF(V331&gt;CFG_MAXD,"⚠ "&amp;V331&amp;" días en Submitted (máx. "&amp;CFG_MAXD&amp;")",""),"Falta fecha de envío"),IF(BF331="Returned","⚠ Devuelto: corregir y reenviar",IF(BF331="Recall Requested","Retirada solicitada: pendiente",IF(AND(BF331="Approved",NOT(ISNUMBER(T331))),"Falta fecha de aprobación",IF(AND(ISNUMBER(S331),ISNUMBER(T331),T331&lt;S331),"Aprobación anterior al envío","")))))))))</f>
        <v/>
      </c>
      <c r="Y331" s="80">
        <f>IF(COUNTA(B331,D331,E331,F331,G331,H331,I331,J331,R331,S331,T331)&gt;0,1,0)</f>
        <v>0</v>
      </c>
      <c r="Z331" s="80" t="str">
        <f>IF(AND(ISNUMBER(H331),H331&gt;=0,H331&lt;1),ROUND(H331*1440,0),"")</f>
        <v/>
      </c>
      <c r="AA331" s="80" t="str">
        <f>IF(AND(ISNUMBER(I331),I331&gt;=0,I331&lt;1),ROUND(I331*1440,0),"")</f>
        <v/>
      </c>
      <c r="AB331" s="80">
        <f>IF(AND(ISNUMBER(B331),D331&lt;&gt;"",ISNUMBER(Z331),ISNUMBER(AA331)),IF(Z331=AA331,0,1),0)</f>
        <v>0</v>
      </c>
      <c r="AC331" s="80">
        <f>IF(AB331=1,IF(AA331&lt;Z331,1,0),0)</f>
        <v>0</v>
      </c>
      <c r="AD331" s="80">
        <f>IF(AB331=1,IF(AC331=1,1440-Z331+AA331,AA331-Z331),0)</f>
        <v>0</v>
      </c>
      <c r="AE331" s="80">
        <f>IF(J331="",0,IF(ISNUMBER(J331),J331,-1))</f>
        <v>0</v>
      </c>
      <c r="AF331" s="80">
        <f>MIN(MAX(0,AE331),AD331)</f>
        <v>0</v>
      </c>
      <c r="AG331" s="80">
        <f>MAX(0,AD331-MAX(0,AE331))</f>
        <v>0</v>
      </c>
      <c r="AH331" s="80">
        <f>IF(ISNUMBER(B331),IF(AND(INDEX(CFG_WDAYS,WEEKDAY(INT(B331),2))="Sí",IF(D331="proMX",COUNTIFS(FER_F,INT(B331),FER_NLP,"Sí"),COUNTIFS(FER_F,INT(B331),FER_NLM,"Sí"))=0),1,0),0)</f>
        <v>0</v>
      </c>
      <c r="AI331" s="80">
        <f>IF(AC331=1,IF(AND(INDEX(CFG_WDAYS,WEEKDAY(INT(B331)+1,2))="Sí",IF(D331="proMX",COUNTIFS(FER_F,INT(B331)+1,FER_NLP,"Sí"),COUNTIFS(FER_F,INT(B331)+1,FER_NLM,"Sí"))=0),1,0),0)</f>
        <v>0</v>
      </c>
      <c r="AJ331" s="80">
        <f>IF(AC331=1,1440-Z331,AD331)</f>
        <v>0</v>
      </c>
      <c r="AK331" s="80">
        <f>IF(AND(AB331=1,AH331=1),MAX(0,MIN(IF(AC331=1,1440,AA331),CFG_WEM)-MAX(Z331,CFG_WSM)),0)</f>
        <v>0</v>
      </c>
      <c r="AL331" s="80">
        <f>IF(AND(AC331=1,AI331=1),MAX(0,MIN(AA331,CFG_WEM)-CFG_WSM),0)</f>
        <v>0</v>
      </c>
      <c r="AM331" s="80">
        <f>AK331+AL331</f>
        <v>0</v>
      </c>
      <c r="AN331" s="80">
        <f>IF(CFG_BRK="Proporcional",IF(AD331=0,0,AF331*AM331/AD331),IF(CFG_BRK="Extras primero",MIN(AM331,MAX(0,AF331-(AD331-AM331))),MIN(AF331,AM331)))</f>
        <v>0</v>
      </c>
      <c r="AO331" s="80">
        <f>AF331-AN331</f>
        <v>0</v>
      </c>
      <c r="AP331" s="80">
        <f>AM331-AN331</f>
        <v>0</v>
      </c>
      <c r="AQ331" s="80">
        <f>AD331-AM331-AO331</f>
        <v>0</v>
      </c>
      <c r="AR331" s="80">
        <f>IF(AM331=0,0,AK331-AN331*AK331/AM331)</f>
        <v>0</v>
      </c>
      <c r="AS331" s="80">
        <f>IF(AD331-AM331=0,0,(AJ331-AK331)-AO331*(AJ331-AK331)/(AD331-AM331))</f>
        <v>0</v>
      </c>
      <c r="AT331" s="80" t="str">
        <f>IF(AC331=1,INT(B331)+1,"")</f>
        <v/>
      </c>
      <c r="AU331" s="80">
        <f>IF(AND(D331="proMX",R331="Cancelled"),0,1)</f>
        <v>1</v>
      </c>
      <c r="AV331" s="80">
        <f>IF(AND(AB331=1,AU331=1),IF(COUNTIFS($D$5:D330,D331,$B$5:B330,B331,$Z$5:Z330,Z331,$AA$5:AA330,AA331,$F$5:F330,F331&amp;"",$AU$5:AU330,1)&gt;0,1,0),0)</f>
        <v>0</v>
      </c>
      <c r="AW331" s="80" t="str">
        <f>IF(AB331=1,INT(B331)*1440+Z331,"")</f>
        <v/>
      </c>
      <c r="AX331" s="80" t="str">
        <f>IF(AB331=1,AW331+AD331,"")</f>
        <v/>
      </c>
      <c r="AY331" s="80">
        <f>IF(AND(AB331=1,AV331=0,AU331=1),1,0)</f>
        <v>0</v>
      </c>
      <c r="AZ331" s="80">
        <f>IF(AY331=1,COUNTIFS(R_Emp,D331,R_SAbs,"&lt;"&amp;AX331,R_EAbs,"&gt;"&amp;AW331,R_OKey,1)-1,0)</f>
        <v>0</v>
      </c>
      <c r="BA331" s="80">
        <f>IF(AY331=1,COUNTIFS(R_Emp,"&lt;&gt;"&amp;D331,R_SAbs,"&lt;"&amp;AX331,R_EAbs,"&gt;"&amp;AW331,R_OKey,1),0)</f>
        <v>0</v>
      </c>
      <c r="BB331" s="80">
        <f>IF(AND(AB331=1,D331="proMX"),IF(AND(MOD(Z331,CFG_BLK)=0,MOD(AA331,CFG_BLK)=0,MOD(AG331,CFG_BLK)=0,AG331&gt;0),1,0),1)</f>
        <v>1</v>
      </c>
      <c r="BC331" s="80" t="str">
        <f>IF(Y331=0,"",IF(NOT(ISNUMBER(B331)),"Falta fecha o fecha inválida",IF(D331="","Falta empresa",IF(AND(D331&lt;&gt;"Malcolm",D331&lt;&gt;"proMX"),"Empresa inválida",IF(OR(INT(B331)&lt;CFG_PSTART,INT(B331)&gt;CFG_PEND),"Fecha fuera del período",IF(OR(NOT(ISNUMBER(Z331)),NOT(ISNUMBER(AA331))),"Falta hora inicio/fin o formato inválido",IF(AB331=0,"Hora inicio = hora fin",IF(AE331&lt;0,"Descanso inválido",IF(AE331&gt;=AD331,"Descanso ≥ duración",IF(AV331=1,"Registro duplicado",IF(AZ331&gt;0,"Se superpone con otro registro "&amp;D331,IF(BB331=0,"inicio, fin y duración neta deben ser múltiplos de "&amp;CFG_BLK&amp;" min",""))))))))))))</f>
        <v/>
      </c>
      <c r="BD331" s="80">
        <f>IF(AND(Y331=1,BC331=""),1,0)</f>
        <v>0</v>
      </c>
      <c r="BE331" s="80">
        <f>IF(AND(BD331=1,AU331=1),1,0)</f>
        <v>0</v>
      </c>
      <c r="BF331" s="80" t="str">
        <f>IF(AND(D331="proMX",BD331=1),IF(R331="","Draft",R331),"")</f>
        <v/>
      </c>
      <c r="BG331" s="80">
        <f>IF(BD331=1,ROUND(AG331/60,6),0)</f>
        <v>0</v>
      </c>
      <c r="BH331" s="80">
        <f>IF(BE331=1,ROUND(AG331/60,6),0)</f>
        <v>0</v>
      </c>
      <c r="BI331" s="80">
        <f>IF(BE331=1,ROUND(AP331/60,6),0)</f>
        <v>0</v>
      </c>
      <c r="BJ331" s="80">
        <f>IF(BE331=1,ROUND(AQ331/60,6),0)</f>
        <v>0</v>
      </c>
      <c r="BK331" s="80">
        <f>IF(BE331=1,ROUND((AR331+AS331)/60,6),0)</f>
        <v>0</v>
      </c>
      <c r="BL331" s="80">
        <f>ROUND(BH331-BK331,6)</f>
        <v>0</v>
      </c>
      <c r="BM331" s="80">
        <f>IF(BE331=1,ROUND(AR331/60,6),0)</f>
        <v>0</v>
      </c>
      <c r="BN331" s="80">
        <f>ROUND(BI331-BM331,6)</f>
        <v>0</v>
      </c>
      <c r="BO331" s="80">
        <f>IF(BE331=1,ROUND(AS331/60,6),0)</f>
        <v>0</v>
      </c>
      <c r="BP331" s="80">
        <f>ROUND(BJ331-BO331,6)</f>
        <v>0</v>
      </c>
      <c r="BQ331" s="80">
        <f>IF(BE331=1,AW331,0)</f>
        <v>0</v>
      </c>
      <c r="BR331" s="80">
        <f>IF(BE331=1,AX331,0)</f>
        <v>0</v>
      </c>
      <c r="BS331" s="80">
        <f>IF(AND(BE331=1,D331="Malcolm",BA331&gt;0),MIN(BH331,SUMPRODUCT((R_Emp="proMX")*(R_EN&gt;0)*((R_EN-(R_EN&gt;BR331)*(R_EN-BR331))&gt;(R_SN+(R_SN&lt;BQ331)*(BQ331-R_SN)))*((R_EN-(R_EN&gt;BR331)*(R_EN-BR331))-(R_SN+(R_SN&lt;BQ331)*(BQ331-R_SN))))/60),0)</f>
        <v>0</v>
      </c>
      <c r="BT331" s="80">
        <f>IF(AND(BE331=1,D331="proMX"),ROUND(BI331*CFG_RATE+BJ331*CFG_OTRATE,6),0)</f>
        <v>0</v>
      </c>
      <c r="BU331" s="80">
        <f>IF(AND(BD331=1,D331="proMX"),ROUND(AG331/CFG_BLK,6),0)</f>
        <v>0</v>
      </c>
      <c r="BV331" s="80" t="str">
        <f>IF(BF331="Approved",IF(ISNUMBER(T331),INT(T331),INT(B331)),"")</f>
        <v/>
      </c>
      <c r="BW331" s="80">
        <f>IF(ISNUMBER(B331),IF(DB_MON="Todos",1,IF(AND(INT(B331)&gt;=DB_MS,INT(B331)&lt;=DB_ME),1,0)),0)</f>
        <v>0</v>
      </c>
      <c r="BX331" s="80">
        <f>IF(DB_PROJ="Todos",1,IF(E331&amp;""=DB_PROJ&amp;"",1,0))</f>
        <v>1</v>
      </c>
      <c r="BY331" s="80">
        <f>BW331*BX331</f>
        <v>0</v>
      </c>
      <c r="BZ331" s="80" t="str">
        <f>IF(Y331=1,F331&amp;IF(AND(F331&amp;""&lt;&gt;"",E331&amp;""&lt;&gt;"")," · ","")&amp;E331,"")</f>
        <v/>
      </c>
      <c r="CA331" s="80" t="str">
        <f>IF(AND(BD331=1,E331&amp;""&lt;&gt;""),IF(COUNTIFS($E$5:E330,E331,$BD$5:BD330,1)=0,MAX($CA$5:CA330)+1,""),"")</f>
        <v/>
      </c>
      <c r="CB331" s="80" t="str">
        <f>IF(AND(BE331=1,D331="Malcolm",E331&amp;""&lt;&gt;""),IF(COUNTIFS($D$5:D330,"Malcolm",$E$5:E330,E331,$BE$5:BE330,1)=0,MAX($CB$5:CB330)+1,""),"")</f>
        <v/>
      </c>
      <c r="CC331" s="80" t="str">
        <f>IF(AND(BD331=1,D331="proMX",E331&amp;""&lt;&gt;""),IF(COUNTIFS($D$5:D330,"proMX",$E$5:E330,E331,$BD$5:BD330,1)=0,MAX($CC$5:CC330)+1,""),"")</f>
        <v/>
      </c>
      <c r="CD331" s="80" t="str">
        <f>IF(AND(BE331=1,D331="Malcolm",F331&amp;""&lt;&gt;""),IF(COUNTIFS($D$5:D330,"Malcolm",$F$5:F330,F331,$BE$5:BE330,1)=0,MAX($CD$5:CD330)+1,""),"")</f>
        <v/>
      </c>
      <c r="CE331" s="80" t="str">
        <f>IF(AND(BD331=1,D331="proMX",F331&amp;""&lt;&gt;""),IF(COUNTIFS($D$5:D330,"proMX",$F$5:F330,F331,$BD$5:BD330,1)=0,MAX($CE$5:CE330)+1,""),"")</f>
        <v/>
      </c>
      <c r="CF331" s="80" t="str">
        <f>IF(AND(D331="proMX",BD331=1),IF(OR(BF331="Draft",BF331="Submitted",BF331="Returned",BF331="Recall Requested"),MAX($CF$5:CF330)+1,""),"")</f>
        <v/>
      </c>
      <c r="CG331" s="80">
        <f>IF(BD331=0,0,IF(D331="Malcolm",1,MATCH(BF331,{"Draft","Submitted","Approved","Returned","Recall Requested","Cancelled"},0)+1))</f>
        <v>0</v>
      </c>
      <c r="CH331" s="80">
        <f>IF(AND(BF331="Submitted",ISNUMBER(V331)),IF(V331&gt;CFG_MAXD,1,0),0)</f>
        <v>0</v>
      </c>
    </row>
    <row r="332">
      <c r="A332" s="71" t="str">
        <f>IF(Y332=1,ROW()-5,"")</f>
        <v/>
      </c>
      <c r="B332" s="72" t="n"/>
      <c r="C332" s="71" t="str">
        <f>IF(ISNUMBER(B332),CHOOSE(WEEKDAY(B332,2),"Lun","Mar","Mié","Jue","Vie","Sáb","Dom"),"")</f>
        <v/>
      </c>
      <c r="D332" s="73" t="n"/>
      <c r="E332" s="74" t="n"/>
      <c r="F332" s="74" t="n"/>
      <c r="G332" s="74" t="n"/>
      <c r="H332" s="75" t="n"/>
      <c r="I332" s="75" t="n"/>
      <c r="J332" s="76" t="n"/>
      <c r="K332" s="77" t="str">
        <f>IF(AB332=1,ROUND(AG332/60,4),"")</f>
        <v/>
      </c>
      <c r="L332" s="77" t="str">
        <f>IF(BD332=1,ROUND(AP332/60,4),"")</f>
        <v/>
      </c>
      <c r="M332" s="77" t="str">
        <f>IF(BD332=1,ROUND(AQ332/60,4),"")</f>
        <v/>
      </c>
      <c r="N332" s="71" t="str">
        <f>IF(AND(D332="proMX",AB332=1),ROUND(AG332/CFG_BLK,2),"")</f>
        <v/>
      </c>
      <c r="O332" s="77" t="str">
        <f>IF(D332="proMX",IF(BD332=1,ROUND(AG332/60,4),0),"")</f>
        <v/>
      </c>
      <c r="P332" s="78" t="str">
        <f>IF(Y332=0,"",IF(BD332=1,"OK",IF(D332="proMX","Revisar bloques: ","Revisar: ")&amp;BC332))</f>
        <v/>
      </c>
      <c r="Q332" s="78" t="str">
        <f>IF(NOT(ISNUMBER(B332)),"",IF(COUNTIFS(FER_F,INT(B332))&gt;0,"Feriado"&amp;IF(AH332=1," (laborable)"," (no laborable)"),IF(AH332=1,"Laborable",IF(WEEKDAY(B332,2)&gt;5,"Fin de semana","No laborable"))))</f>
        <v/>
      </c>
      <c r="R332" s="73" t="n"/>
      <c r="S332" s="72" t="n"/>
      <c r="T332" s="72" t="n"/>
      <c r="U332" s="74" t="n"/>
      <c r="V332" s="79" t="str">
        <f>IF(AND(D332="proMX",OR(R332="Submitted",R332="Recall Requested"),ISNUMBER(S332)),CFG_TODAY-INT(S332),"")</f>
        <v/>
      </c>
      <c r="W332" s="78" t="str">
        <f>IF(BD332=0,"",IF(BA332&gt;0,"⚠ Se superpone con un registro de la otra empresa",IF(D332="Malcolm",IF(COUNTA(R332,S332,T332)&gt;0,"Estado/fechas proMX se ignoran en Malcolm",""),IF(BF332="Cancelled","Cancelado: excluido de totales",IF(R332="","Sin estado: se trata como Draft",IF(BF332="Submitted",IF(ISNUMBER(V332),IF(V332&gt;CFG_MAXD,"⚠ "&amp;V332&amp;" días en Submitted (máx. "&amp;CFG_MAXD&amp;")",""),"Falta fecha de envío"),IF(BF332="Returned","⚠ Devuelto: corregir y reenviar",IF(BF332="Recall Requested","Retirada solicitada: pendiente",IF(AND(BF332="Approved",NOT(ISNUMBER(T332))),"Falta fecha de aprobación",IF(AND(ISNUMBER(S332),ISNUMBER(T332),T332&lt;S332),"Aprobación anterior al envío","")))))))))</f>
        <v/>
      </c>
      <c r="Y332" s="80">
        <f>IF(COUNTA(B332,D332,E332,F332,G332,H332,I332,J332,R332,S332,T332)&gt;0,1,0)</f>
        <v>0</v>
      </c>
      <c r="Z332" s="80" t="str">
        <f>IF(AND(ISNUMBER(H332),H332&gt;=0,H332&lt;1),ROUND(H332*1440,0),"")</f>
        <v/>
      </c>
      <c r="AA332" s="80" t="str">
        <f>IF(AND(ISNUMBER(I332),I332&gt;=0,I332&lt;1),ROUND(I332*1440,0),"")</f>
        <v/>
      </c>
      <c r="AB332" s="80">
        <f>IF(AND(ISNUMBER(B332),D332&lt;&gt;"",ISNUMBER(Z332),ISNUMBER(AA332)),IF(Z332=AA332,0,1),0)</f>
        <v>0</v>
      </c>
      <c r="AC332" s="80">
        <f>IF(AB332=1,IF(AA332&lt;Z332,1,0),0)</f>
        <v>0</v>
      </c>
      <c r="AD332" s="80">
        <f>IF(AB332=1,IF(AC332=1,1440-Z332+AA332,AA332-Z332),0)</f>
        <v>0</v>
      </c>
      <c r="AE332" s="80">
        <f>IF(J332="",0,IF(ISNUMBER(J332),J332,-1))</f>
        <v>0</v>
      </c>
      <c r="AF332" s="80">
        <f>MIN(MAX(0,AE332),AD332)</f>
        <v>0</v>
      </c>
      <c r="AG332" s="80">
        <f>MAX(0,AD332-MAX(0,AE332))</f>
        <v>0</v>
      </c>
      <c r="AH332" s="80">
        <f>IF(ISNUMBER(B332),IF(AND(INDEX(CFG_WDAYS,WEEKDAY(INT(B332),2))="Sí",IF(D332="proMX",COUNTIFS(FER_F,INT(B332),FER_NLP,"Sí"),COUNTIFS(FER_F,INT(B332),FER_NLM,"Sí"))=0),1,0),0)</f>
        <v>0</v>
      </c>
      <c r="AI332" s="80">
        <f>IF(AC332=1,IF(AND(INDEX(CFG_WDAYS,WEEKDAY(INT(B332)+1,2))="Sí",IF(D332="proMX",COUNTIFS(FER_F,INT(B332)+1,FER_NLP,"Sí"),COUNTIFS(FER_F,INT(B332)+1,FER_NLM,"Sí"))=0),1,0),0)</f>
        <v>0</v>
      </c>
      <c r="AJ332" s="80">
        <f>IF(AC332=1,1440-Z332,AD332)</f>
        <v>0</v>
      </c>
      <c r="AK332" s="80">
        <f>IF(AND(AB332=1,AH332=1),MAX(0,MIN(IF(AC332=1,1440,AA332),CFG_WEM)-MAX(Z332,CFG_WSM)),0)</f>
        <v>0</v>
      </c>
      <c r="AL332" s="80">
        <f>IF(AND(AC332=1,AI332=1),MAX(0,MIN(AA332,CFG_WEM)-CFG_WSM),0)</f>
        <v>0</v>
      </c>
      <c r="AM332" s="80">
        <f>AK332+AL332</f>
        <v>0</v>
      </c>
      <c r="AN332" s="80">
        <f>IF(CFG_BRK="Proporcional",IF(AD332=0,0,AF332*AM332/AD332),IF(CFG_BRK="Extras primero",MIN(AM332,MAX(0,AF332-(AD332-AM332))),MIN(AF332,AM332)))</f>
        <v>0</v>
      </c>
      <c r="AO332" s="80">
        <f>AF332-AN332</f>
        <v>0</v>
      </c>
      <c r="AP332" s="80">
        <f>AM332-AN332</f>
        <v>0</v>
      </c>
      <c r="AQ332" s="80">
        <f>AD332-AM332-AO332</f>
        <v>0</v>
      </c>
      <c r="AR332" s="80">
        <f>IF(AM332=0,0,AK332-AN332*AK332/AM332)</f>
        <v>0</v>
      </c>
      <c r="AS332" s="80">
        <f>IF(AD332-AM332=0,0,(AJ332-AK332)-AO332*(AJ332-AK332)/(AD332-AM332))</f>
        <v>0</v>
      </c>
      <c r="AT332" s="80" t="str">
        <f>IF(AC332=1,INT(B332)+1,"")</f>
        <v/>
      </c>
      <c r="AU332" s="80">
        <f>IF(AND(D332="proMX",R332="Cancelled"),0,1)</f>
        <v>1</v>
      </c>
      <c r="AV332" s="80">
        <f>IF(AND(AB332=1,AU332=1),IF(COUNTIFS($D$5:D331,D332,$B$5:B331,B332,$Z$5:Z331,Z332,$AA$5:AA331,AA332,$F$5:F331,F332&amp;"",$AU$5:AU331,1)&gt;0,1,0),0)</f>
        <v>0</v>
      </c>
      <c r="AW332" s="80" t="str">
        <f>IF(AB332=1,INT(B332)*1440+Z332,"")</f>
        <v/>
      </c>
      <c r="AX332" s="80" t="str">
        <f>IF(AB332=1,AW332+AD332,"")</f>
        <v/>
      </c>
      <c r="AY332" s="80">
        <f>IF(AND(AB332=1,AV332=0,AU332=1),1,0)</f>
        <v>0</v>
      </c>
      <c r="AZ332" s="80">
        <f>IF(AY332=1,COUNTIFS(R_Emp,D332,R_SAbs,"&lt;"&amp;AX332,R_EAbs,"&gt;"&amp;AW332,R_OKey,1)-1,0)</f>
        <v>0</v>
      </c>
      <c r="BA332" s="80">
        <f>IF(AY332=1,COUNTIFS(R_Emp,"&lt;&gt;"&amp;D332,R_SAbs,"&lt;"&amp;AX332,R_EAbs,"&gt;"&amp;AW332,R_OKey,1),0)</f>
        <v>0</v>
      </c>
      <c r="BB332" s="80">
        <f>IF(AND(AB332=1,D332="proMX"),IF(AND(MOD(Z332,CFG_BLK)=0,MOD(AA332,CFG_BLK)=0,MOD(AG332,CFG_BLK)=0,AG332&gt;0),1,0),1)</f>
        <v>1</v>
      </c>
      <c r="BC332" s="80" t="str">
        <f>IF(Y332=0,"",IF(NOT(ISNUMBER(B332)),"Falta fecha o fecha inválida",IF(D332="","Falta empresa",IF(AND(D332&lt;&gt;"Malcolm",D332&lt;&gt;"proMX"),"Empresa inválida",IF(OR(INT(B332)&lt;CFG_PSTART,INT(B332)&gt;CFG_PEND),"Fecha fuera del período",IF(OR(NOT(ISNUMBER(Z332)),NOT(ISNUMBER(AA332))),"Falta hora inicio/fin o formato inválido",IF(AB332=0,"Hora inicio = hora fin",IF(AE332&lt;0,"Descanso inválido",IF(AE332&gt;=AD332,"Descanso ≥ duración",IF(AV332=1,"Registro duplicado",IF(AZ332&gt;0,"Se superpone con otro registro "&amp;D332,IF(BB332=0,"inicio, fin y duración neta deben ser múltiplos de "&amp;CFG_BLK&amp;" min",""))))))))))))</f>
        <v/>
      </c>
      <c r="BD332" s="80">
        <f>IF(AND(Y332=1,BC332=""),1,0)</f>
        <v>0</v>
      </c>
      <c r="BE332" s="80">
        <f>IF(AND(BD332=1,AU332=1),1,0)</f>
        <v>0</v>
      </c>
      <c r="BF332" s="80" t="str">
        <f>IF(AND(D332="proMX",BD332=1),IF(R332="","Draft",R332),"")</f>
        <v/>
      </c>
      <c r="BG332" s="80">
        <f>IF(BD332=1,ROUND(AG332/60,6),0)</f>
        <v>0</v>
      </c>
      <c r="BH332" s="80">
        <f>IF(BE332=1,ROUND(AG332/60,6),0)</f>
        <v>0</v>
      </c>
      <c r="BI332" s="80">
        <f>IF(BE332=1,ROUND(AP332/60,6),0)</f>
        <v>0</v>
      </c>
      <c r="BJ332" s="80">
        <f>IF(BE332=1,ROUND(AQ332/60,6),0)</f>
        <v>0</v>
      </c>
      <c r="BK332" s="80">
        <f>IF(BE332=1,ROUND((AR332+AS332)/60,6),0)</f>
        <v>0</v>
      </c>
      <c r="BL332" s="80">
        <f>ROUND(BH332-BK332,6)</f>
        <v>0</v>
      </c>
      <c r="BM332" s="80">
        <f>IF(BE332=1,ROUND(AR332/60,6),0)</f>
        <v>0</v>
      </c>
      <c r="BN332" s="80">
        <f>ROUND(BI332-BM332,6)</f>
        <v>0</v>
      </c>
      <c r="BO332" s="80">
        <f>IF(BE332=1,ROUND(AS332/60,6),0)</f>
        <v>0</v>
      </c>
      <c r="BP332" s="80">
        <f>ROUND(BJ332-BO332,6)</f>
        <v>0</v>
      </c>
      <c r="BQ332" s="80">
        <f>IF(BE332=1,AW332,0)</f>
        <v>0</v>
      </c>
      <c r="BR332" s="80">
        <f>IF(BE332=1,AX332,0)</f>
        <v>0</v>
      </c>
      <c r="BS332" s="80">
        <f>IF(AND(BE332=1,D332="Malcolm",BA332&gt;0),MIN(BH332,SUMPRODUCT((R_Emp="proMX")*(R_EN&gt;0)*((R_EN-(R_EN&gt;BR332)*(R_EN-BR332))&gt;(R_SN+(R_SN&lt;BQ332)*(BQ332-R_SN)))*((R_EN-(R_EN&gt;BR332)*(R_EN-BR332))-(R_SN+(R_SN&lt;BQ332)*(BQ332-R_SN))))/60),0)</f>
        <v>0</v>
      </c>
      <c r="BT332" s="80">
        <f>IF(AND(BE332=1,D332="proMX"),ROUND(BI332*CFG_RATE+BJ332*CFG_OTRATE,6),0)</f>
        <v>0</v>
      </c>
      <c r="BU332" s="80">
        <f>IF(AND(BD332=1,D332="proMX"),ROUND(AG332/CFG_BLK,6),0)</f>
        <v>0</v>
      </c>
      <c r="BV332" s="80" t="str">
        <f>IF(BF332="Approved",IF(ISNUMBER(T332),INT(T332),INT(B332)),"")</f>
        <v/>
      </c>
      <c r="BW332" s="80">
        <f>IF(ISNUMBER(B332),IF(DB_MON="Todos",1,IF(AND(INT(B332)&gt;=DB_MS,INT(B332)&lt;=DB_ME),1,0)),0)</f>
        <v>0</v>
      </c>
      <c r="BX332" s="80">
        <f>IF(DB_PROJ="Todos",1,IF(E332&amp;""=DB_PROJ&amp;"",1,0))</f>
        <v>1</v>
      </c>
      <c r="BY332" s="80">
        <f>BW332*BX332</f>
        <v>0</v>
      </c>
      <c r="BZ332" s="80" t="str">
        <f>IF(Y332=1,F332&amp;IF(AND(F332&amp;""&lt;&gt;"",E332&amp;""&lt;&gt;"")," · ","")&amp;E332,"")</f>
        <v/>
      </c>
      <c r="CA332" s="80" t="str">
        <f>IF(AND(BD332=1,E332&amp;""&lt;&gt;""),IF(COUNTIFS($E$5:E331,E332,$BD$5:BD331,1)=0,MAX($CA$5:CA331)+1,""),"")</f>
        <v/>
      </c>
      <c r="CB332" s="80" t="str">
        <f>IF(AND(BE332=1,D332="Malcolm",E332&amp;""&lt;&gt;""),IF(COUNTIFS($D$5:D331,"Malcolm",$E$5:E331,E332,$BE$5:BE331,1)=0,MAX($CB$5:CB331)+1,""),"")</f>
        <v/>
      </c>
      <c r="CC332" s="80" t="str">
        <f>IF(AND(BD332=1,D332="proMX",E332&amp;""&lt;&gt;""),IF(COUNTIFS($D$5:D331,"proMX",$E$5:E331,E332,$BD$5:BD331,1)=0,MAX($CC$5:CC331)+1,""),"")</f>
        <v/>
      </c>
      <c r="CD332" s="80" t="str">
        <f>IF(AND(BE332=1,D332="Malcolm",F332&amp;""&lt;&gt;""),IF(COUNTIFS($D$5:D331,"Malcolm",$F$5:F331,F332,$BE$5:BE331,1)=0,MAX($CD$5:CD331)+1,""),"")</f>
        <v/>
      </c>
      <c r="CE332" s="80" t="str">
        <f>IF(AND(BD332=1,D332="proMX",F332&amp;""&lt;&gt;""),IF(COUNTIFS($D$5:D331,"proMX",$F$5:F331,F332,$BD$5:BD331,1)=0,MAX($CE$5:CE331)+1,""),"")</f>
        <v/>
      </c>
      <c r="CF332" s="80" t="str">
        <f>IF(AND(D332="proMX",BD332=1),IF(OR(BF332="Draft",BF332="Submitted",BF332="Returned",BF332="Recall Requested"),MAX($CF$5:CF331)+1,""),"")</f>
        <v/>
      </c>
      <c r="CG332" s="80">
        <f>IF(BD332=0,0,IF(D332="Malcolm",1,MATCH(BF332,{"Draft","Submitted","Approved","Returned","Recall Requested","Cancelled"},0)+1))</f>
        <v>0</v>
      </c>
      <c r="CH332" s="80">
        <f>IF(AND(BF332="Submitted",ISNUMBER(V332)),IF(V332&gt;CFG_MAXD,1,0),0)</f>
        <v>0</v>
      </c>
    </row>
    <row r="333">
      <c r="A333" s="71" t="str">
        <f>IF(Y333=1,ROW()-5,"")</f>
        <v/>
      </c>
      <c r="B333" s="72" t="n"/>
      <c r="C333" s="71" t="str">
        <f>IF(ISNUMBER(B333),CHOOSE(WEEKDAY(B333,2),"Lun","Mar","Mié","Jue","Vie","Sáb","Dom"),"")</f>
        <v/>
      </c>
      <c r="D333" s="73" t="n"/>
      <c r="E333" s="74" t="n"/>
      <c r="F333" s="74" t="n"/>
      <c r="G333" s="74" t="n"/>
      <c r="H333" s="75" t="n"/>
      <c r="I333" s="75" t="n"/>
      <c r="J333" s="76" t="n"/>
      <c r="K333" s="77" t="str">
        <f>IF(AB333=1,ROUND(AG333/60,4),"")</f>
        <v/>
      </c>
      <c r="L333" s="77" t="str">
        <f>IF(BD333=1,ROUND(AP333/60,4),"")</f>
        <v/>
      </c>
      <c r="M333" s="77" t="str">
        <f>IF(BD333=1,ROUND(AQ333/60,4),"")</f>
        <v/>
      </c>
      <c r="N333" s="71" t="str">
        <f>IF(AND(D333="proMX",AB333=1),ROUND(AG333/CFG_BLK,2),"")</f>
        <v/>
      </c>
      <c r="O333" s="77" t="str">
        <f>IF(D333="proMX",IF(BD333=1,ROUND(AG333/60,4),0),"")</f>
        <v/>
      </c>
      <c r="P333" s="78" t="str">
        <f>IF(Y333=0,"",IF(BD333=1,"OK",IF(D333="proMX","Revisar bloques: ","Revisar: ")&amp;BC333))</f>
        <v/>
      </c>
      <c r="Q333" s="78" t="str">
        <f>IF(NOT(ISNUMBER(B333)),"",IF(COUNTIFS(FER_F,INT(B333))&gt;0,"Feriado"&amp;IF(AH333=1," (laborable)"," (no laborable)"),IF(AH333=1,"Laborable",IF(WEEKDAY(B333,2)&gt;5,"Fin de semana","No laborable"))))</f>
        <v/>
      </c>
      <c r="R333" s="73" t="n"/>
      <c r="S333" s="72" t="n"/>
      <c r="T333" s="72" t="n"/>
      <c r="U333" s="74" t="n"/>
      <c r="V333" s="79" t="str">
        <f>IF(AND(D333="proMX",OR(R333="Submitted",R333="Recall Requested"),ISNUMBER(S333)),CFG_TODAY-INT(S333),"")</f>
        <v/>
      </c>
      <c r="W333" s="78" t="str">
        <f>IF(BD333=0,"",IF(BA333&gt;0,"⚠ Se superpone con un registro de la otra empresa",IF(D333="Malcolm",IF(COUNTA(R333,S333,T333)&gt;0,"Estado/fechas proMX se ignoran en Malcolm",""),IF(BF333="Cancelled","Cancelado: excluido de totales",IF(R333="","Sin estado: se trata como Draft",IF(BF333="Submitted",IF(ISNUMBER(V333),IF(V333&gt;CFG_MAXD,"⚠ "&amp;V333&amp;" días en Submitted (máx. "&amp;CFG_MAXD&amp;")",""),"Falta fecha de envío"),IF(BF333="Returned","⚠ Devuelto: corregir y reenviar",IF(BF333="Recall Requested","Retirada solicitada: pendiente",IF(AND(BF333="Approved",NOT(ISNUMBER(T333))),"Falta fecha de aprobación",IF(AND(ISNUMBER(S333),ISNUMBER(T333),T333&lt;S333),"Aprobación anterior al envío","")))))))))</f>
        <v/>
      </c>
      <c r="Y333" s="80">
        <f>IF(COUNTA(B333,D333,E333,F333,G333,H333,I333,J333,R333,S333,T333)&gt;0,1,0)</f>
        <v>0</v>
      </c>
      <c r="Z333" s="80" t="str">
        <f>IF(AND(ISNUMBER(H333),H333&gt;=0,H333&lt;1),ROUND(H333*1440,0),"")</f>
        <v/>
      </c>
      <c r="AA333" s="80" t="str">
        <f>IF(AND(ISNUMBER(I333),I333&gt;=0,I333&lt;1),ROUND(I333*1440,0),"")</f>
        <v/>
      </c>
      <c r="AB333" s="80">
        <f>IF(AND(ISNUMBER(B333),D333&lt;&gt;"",ISNUMBER(Z333),ISNUMBER(AA333)),IF(Z333=AA333,0,1),0)</f>
        <v>0</v>
      </c>
      <c r="AC333" s="80">
        <f>IF(AB333=1,IF(AA333&lt;Z333,1,0),0)</f>
        <v>0</v>
      </c>
      <c r="AD333" s="80">
        <f>IF(AB333=1,IF(AC333=1,1440-Z333+AA333,AA333-Z333),0)</f>
        <v>0</v>
      </c>
      <c r="AE333" s="80">
        <f>IF(J333="",0,IF(ISNUMBER(J333),J333,-1))</f>
        <v>0</v>
      </c>
      <c r="AF333" s="80">
        <f>MIN(MAX(0,AE333),AD333)</f>
        <v>0</v>
      </c>
      <c r="AG333" s="80">
        <f>MAX(0,AD333-MAX(0,AE333))</f>
        <v>0</v>
      </c>
      <c r="AH333" s="80">
        <f>IF(ISNUMBER(B333),IF(AND(INDEX(CFG_WDAYS,WEEKDAY(INT(B333),2))="Sí",IF(D333="proMX",COUNTIFS(FER_F,INT(B333),FER_NLP,"Sí"),COUNTIFS(FER_F,INT(B333),FER_NLM,"Sí"))=0),1,0),0)</f>
        <v>0</v>
      </c>
      <c r="AI333" s="80">
        <f>IF(AC333=1,IF(AND(INDEX(CFG_WDAYS,WEEKDAY(INT(B333)+1,2))="Sí",IF(D333="proMX",COUNTIFS(FER_F,INT(B333)+1,FER_NLP,"Sí"),COUNTIFS(FER_F,INT(B333)+1,FER_NLM,"Sí"))=0),1,0),0)</f>
        <v>0</v>
      </c>
      <c r="AJ333" s="80">
        <f>IF(AC333=1,1440-Z333,AD333)</f>
        <v>0</v>
      </c>
      <c r="AK333" s="80">
        <f>IF(AND(AB333=1,AH333=1),MAX(0,MIN(IF(AC333=1,1440,AA333),CFG_WEM)-MAX(Z333,CFG_WSM)),0)</f>
        <v>0</v>
      </c>
      <c r="AL333" s="80">
        <f>IF(AND(AC333=1,AI333=1),MAX(0,MIN(AA333,CFG_WEM)-CFG_WSM),0)</f>
        <v>0</v>
      </c>
      <c r="AM333" s="80">
        <f>AK333+AL333</f>
        <v>0</v>
      </c>
      <c r="AN333" s="80">
        <f>IF(CFG_BRK="Proporcional",IF(AD333=0,0,AF333*AM333/AD333),IF(CFG_BRK="Extras primero",MIN(AM333,MAX(0,AF333-(AD333-AM333))),MIN(AF333,AM333)))</f>
        <v>0</v>
      </c>
      <c r="AO333" s="80">
        <f>AF333-AN333</f>
        <v>0</v>
      </c>
      <c r="AP333" s="80">
        <f>AM333-AN333</f>
        <v>0</v>
      </c>
      <c r="AQ333" s="80">
        <f>AD333-AM333-AO333</f>
        <v>0</v>
      </c>
      <c r="AR333" s="80">
        <f>IF(AM333=0,0,AK333-AN333*AK333/AM333)</f>
        <v>0</v>
      </c>
      <c r="AS333" s="80">
        <f>IF(AD333-AM333=0,0,(AJ333-AK333)-AO333*(AJ333-AK333)/(AD333-AM333))</f>
        <v>0</v>
      </c>
      <c r="AT333" s="80" t="str">
        <f>IF(AC333=1,INT(B333)+1,"")</f>
        <v/>
      </c>
      <c r="AU333" s="80">
        <f>IF(AND(D333="proMX",R333="Cancelled"),0,1)</f>
        <v>1</v>
      </c>
      <c r="AV333" s="80">
        <f>IF(AND(AB333=1,AU333=1),IF(COUNTIFS($D$5:D332,D333,$B$5:B332,B333,$Z$5:Z332,Z333,$AA$5:AA332,AA333,$F$5:F332,F333&amp;"",$AU$5:AU332,1)&gt;0,1,0),0)</f>
        <v>0</v>
      </c>
      <c r="AW333" s="80" t="str">
        <f>IF(AB333=1,INT(B333)*1440+Z333,"")</f>
        <v/>
      </c>
      <c r="AX333" s="80" t="str">
        <f>IF(AB333=1,AW333+AD333,"")</f>
        <v/>
      </c>
      <c r="AY333" s="80">
        <f>IF(AND(AB333=1,AV333=0,AU333=1),1,0)</f>
        <v>0</v>
      </c>
      <c r="AZ333" s="80">
        <f>IF(AY333=1,COUNTIFS(R_Emp,D333,R_SAbs,"&lt;"&amp;AX333,R_EAbs,"&gt;"&amp;AW333,R_OKey,1)-1,0)</f>
        <v>0</v>
      </c>
      <c r="BA333" s="80">
        <f>IF(AY333=1,COUNTIFS(R_Emp,"&lt;&gt;"&amp;D333,R_SAbs,"&lt;"&amp;AX333,R_EAbs,"&gt;"&amp;AW333,R_OKey,1),0)</f>
        <v>0</v>
      </c>
      <c r="BB333" s="80">
        <f>IF(AND(AB333=1,D333="proMX"),IF(AND(MOD(Z333,CFG_BLK)=0,MOD(AA333,CFG_BLK)=0,MOD(AG333,CFG_BLK)=0,AG333&gt;0),1,0),1)</f>
        <v>1</v>
      </c>
      <c r="BC333" s="80" t="str">
        <f>IF(Y333=0,"",IF(NOT(ISNUMBER(B333)),"Falta fecha o fecha inválida",IF(D333="","Falta empresa",IF(AND(D333&lt;&gt;"Malcolm",D333&lt;&gt;"proMX"),"Empresa inválida",IF(OR(INT(B333)&lt;CFG_PSTART,INT(B333)&gt;CFG_PEND),"Fecha fuera del período",IF(OR(NOT(ISNUMBER(Z333)),NOT(ISNUMBER(AA333))),"Falta hora inicio/fin o formato inválido",IF(AB333=0,"Hora inicio = hora fin",IF(AE333&lt;0,"Descanso inválido",IF(AE333&gt;=AD333,"Descanso ≥ duración",IF(AV333=1,"Registro duplicado",IF(AZ333&gt;0,"Se superpone con otro registro "&amp;D333,IF(BB333=0,"inicio, fin y duración neta deben ser múltiplos de "&amp;CFG_BLK&amp;" min",""))))))))))))</f>
        <v/>
      </c>
      <c r="BD333" s="80">
        <f>IF(AND(Y333=1,BC333=""),1,0)</f>
        <v>0</v>
      </c>
      <c r="BE333" s="80">
        <f>IF(AND(BD333=1,AU333=1),1,0)</f>
        <v>0</v>
      </c>
      <c r="BF333" s="80" t="str">
        <f>IF(AND(D333="proMX",BD333=1),IF(R333="","Draft",R333),"")</f>
        <v/>
      </c>
      <c r="BG333" s="80">
        <f>IF(BD333=1,ROUND(AG333/60,6),0)</f>
        <v>0</v>
      </c>
      <c r="BH333" s="80">
        <f>IF(BE333=1,ROUND(AG333/60,6),0)</f>
        <v>0</v>
      </c>
      <c r="BI333" s="80">
        <f>IF(BE333=1,ROUND(AP333/60,6),0)</f>
        <v>0</v>
      </c>
      <c r="BJ333" s="80">
        <f>IF(BE333=1,ROUND(AQ333/60,6),0)</f>
        <v>0</v>
      </c>
      <c r="BK333" s="80">
        <f>IF(BE333=1,ROUND((AR333+AS333)/60,6),0)</f>
        <v>0</v>
      </c>
      <c r="BL333" s="80">
        <f>ROUND(BH333-BK333,6)</f>
        <v>0</v>
      </c>
      <c r="BM333" s="80">
        <f>IF(BE333=1,ROUND(AR333/60,6),0)</f>
        <v>0</v>
      </c>
      <c r="BN333" s="80">
        <f>ROUND(BI333-BM333,6)</f>
        <v>0</v>
      </c>
      <c r="BO333" s="80">
        <f>IF(BE333=1,ROUND(AS333/60,6),0)</f>
        <v>0</v>
      </c>
      <c r="BP333" s="80">
        <f>ROUND(BJ333-BO333,6)</f>
        <v>0</v>
      </c>
      <c r="BQ333" s="80">
        <f>IF(BE333=1,AW333,0)</f>
        <v>0</v>
      </c>
      <c r="BR333" s="80">
        <f>IF(BE333=1,AX333,0)</f>
        <v>0</v>
      </c>
      <c r="BS333" s="80">
        <f>IF(AND(BE333=1,D333="Malcolm",BA333&gt;0),MIN(BH333,SUMPRODUCT((R_Emp="proMX")*(R_EN&gt;0)*((R_EN-(R_EN&gt;BR333)*(R_EN-BR333))&gt;(R_SN+(R_SN&lt;BQ333)*(BQ333-R_SN)))*((R_EN-(R_EN&gt;BR333)*(R_EN-BR333))-(R_SN+(R_SN&lt;BQ333)*(BQ333-R_SN))))/60),0)</f>
        <v>0</v>
      </c>
      <c r="BT333" s="80">
        <f>IF(AND(BE333=1,D333="proMX"),ROUND(BI333*CFG_RATE+BJ333*CFG_OTRATE,6),0)</f>
        <v>0</v>
      </c>
      <c r="BU333" s="80">
        <f>IF(AND(BD333=1,D333="proMX"),ROUND(AG333/CFG_BLK,6),0)</f>
        <v>0</v>
      </c>
      <c r="BV333" s="80" t="str">
        <f>IF(BF333="Approved",IF(ISNUMBER(T333),INT(T333),INT(B333)),"")</f>
        <v/>
      </c>
      <c r="BW333" s="80">
        <f>IF(ISNUMBER(B333),IF(DB_MON="Todos",1,IF(AND(INT(B333)&gt;=DB_MS,INT(B333)&lt;=DB_ME),1,0)),0)</f>
        <v>0</v>
      </c>
      <c r="BX333" s="80">
        <f>IF(DB_PROJ="Todos",1,IF(E333&amp;""=DB_PROJ&amp;"",1,0))</f>
        <v>1</v>
      </c>
      <c r="BY333" s="80">
        <f>BW333*BX333</f>
        <v>0</v>
      </c>
      <c r="BZ333" s="80" t="str">
        <f>IF(Y333=1,F333&amp;IF(AND(F333&amp;""&lt;&gt;"",E333&amp;""&lt;&gt;"")," · ","")&amp;E333,"")</f>
        <v/>
      </c>
      <c r="CA333" s="80" t="str">
        <f>IF(AND(BD333=1,E333&amp;""&lt;&gt;""),IF(COUNTIFS($E$5:E332,E333,$BD$5:BD332,1)=0,MAX($CA$5:CA332)+1,""),"")</f>
        <v/>
      </c>
      <c r="CB333" s="80" t="str">
        <f>IF(AND(BE333=1,D333="Malcolm",E333&amp;""&lt;&gt;""),IF(COUNTIFS($D$5:D332,"Malcolm",$E$5:E332,E333,$BE$5:BE332,1)=0,MAX($CB$5:CB332)+1,""),"")</f>
        <v/>
      </c>
      <c r="CC333" s="80" t="str">
        <f>IF(AND(BD333=1,D333="proMX",E333&amp;""&lt;&gt;""),IF(COUNTIFS($D$5:D332,"proMX",$E$5:E332,E333,$BD$5:BD332,1)=0,MAX($CC$5:CC332)+1,""),"")</f>
        <v/>
      </c>
      <c r="CD333" s="80" t="str">
        <f>IF(AND(BE333=1,D333="Malcolm",F333&amp;""&lt;&gt;""),IF(COUNTIFS($D$5:D332,"Malcolm",$F$5:F332,F333,$BE$5:BE332,1)=0,MAX($CD$5:CD332)+1,""),"")</f>
        <v/>
      </c>
      <c r="CE333" s="80" t="str">
        <f>IF(AND(BD333=1,D333="proMX",F333&amp;""&lt;&gt;""),IF(COUNTIFS($D$5:D332,"proMX",$F$5:F332,F333,$BD$5:BD332,1)=0,MAX($CE$5:CE332)+1,""),"")</f>
        <v/>
      </c>
      <c r="CF333" s="80" t="str">
        <f>IF(AND(D333="proMX",BD333=1),IF(OR(BF333="Draft",BF333="Submitted",BF333="Returned",BF333="Recall Requested"),MAX($CF$5:CF332)+1,""),"")</f>
        <v/>
      </c>
      <c r="CG333" s="80">
        <f>IF(BD333=0,0,IF(D333="Malcolm",1,MATCH(BF333,{"Draft","Submitted","Approved","Returned","Recall Requested","Cancelled"},0)+1))</f>
        <v>0</v>
      </c>
      <c r="CH333" s="80">
        <f>IF(AND(BF333="Submitted",ISNUMBER(V333)),IF(V333&gt;CFG_MAXD,1,0),0)</f>
        <v>0</v>
      </c>
    </row>
    <row r="334">
      <c r="A334" s="71" t="str">
        <f>IF(Y334=1,ROW()-5,"")</f>
        <v/>
      </c>
      <c r="B334" s="72" t="n"/>
      <c r="C334" s="71" t="str">
        <f>IF(ISNUMBER(B334),CHOOSE(WEEKDAY(B334,2),"Lun","Mar","Mié","Jue","Vie","Sáb","Dom"),"")</f>
        <v/>
      </c>
      <c r="D334" s="73" t="n"/>
      <c r="E334" s="74" t="n"/>
      <c r="F334" s="74" t="n"/>
      <c r="G334" s="74" t="n"/>
      <c r="H334" s="75" t="n"/>
      <c r="I334" s="75" t="n"/>
      <c r="J334" s="76" t="n"/>
      <c r="K334" s="77" t="str">
        <f>IF(AB334=1,ROUND(AG334/60,4),"")</f>
        <v/>
      </c>
      <c r="L334" s="77" t="str">
        <f>IF(BD334=1,ROUND(AP334/60,4),"")</f>
        <v/>
      </c>
      <c r="M334" s="77" t="str">
        <f>IF(BD334=1,ROUND(AQ334/60,4),"")</f>
        <v/>
      </c>
      <c r="N334" s="71" t="str">
        <f>IF(AND(D334="proMX",AB334=1),ROUND(AG334/CFG_BLK,2),"")</f>
        <v/>
      </c>
      <c r="O334" s="77" t="str">
        <f>IF(D334="proMX",IF(BD334=1,ROUND(AG334/60,4),0),"")</f>
        <v/>
      </c>
      <c r="P334" s="78" t="str">
        <f>IF(Y334=0,"",IF(BD334=1,"OK",IF(D334="proMX","Revisar bloques: ","Revisar: ")&amp;BC334))</f>
        <v/>
      </c>
      <c r="Q334" s="78" t="str">
        <f>IF(NOT(ISNUMBER(B334)),"",IF(COUNTIFS(FER_F,INT(B334))&gt;0,"Feriado"&amp;IF(AH334=1," (laborable)"," (no laborable)"),IF(AH334=1,"Laborable",IF(WEEKDAY(B334,2)&gt;5,"Fin de semana","No laborable"))))</f>
        <v/>
      </c>
      <c r="R334" s="73" t="n"/>
      <c r="S334" s="72" t="n"/>
      <c r="T334" s="72" t="n"/>
      <c r="U334" s="74" t="n"/>
      <c r="V334" s="79" t="str">
        <f>IF(AND(D334="proMX",OR(R334="Submitted",R334="Recall Requested"),ISNUMBER(S334)),CFG_TODAY-INT(S334),"")</f>
        <v/>
      </c>
      <c r="W334" s="78" t="str">
        <f>IF(BD334=0,"",IF(BA334&gt;0,"⚠ Se superpone con un registro de la otra empresa",IF(D334="Malcolm",IF(COUNTA(R334,S334,T334)&gt;0,"Estado/fechas proMX se ignoran en Malcolm",""),IF(BF334="Cancelled","Cancelado: excluido de totales",IF(R334="","Sin estado: se trata como Draft",IF(BF334="Submitted",IF(ISNUMBER(V334),IF(V334&gt;CFG_MAXD,"⚠ "&amp;V334&amp;" días en Submitted (máx. "&amp;CFG_MAXD&amp;")",""),"Falta fecha de envío"),IF(BF334="Returned","⚠ Devuelto: corregir y reenviar",IF(BF334="Recall Requested","Retirada solicitada: pendiente",IF(AND(BF334="Approved",NOT(ISNUMBER(T334))),"Falta fecha de aprobación",IF(AND(ISNUMBER(S334),ISNUMBER(T334),T334&lt;S334),"Aprobación anterior al envío","")))))))))</f>
        <v/>
      </c>
      <c r="Y334" s="80">
        <f>IF(COUNTA(B334,D334,E334,F334,G334,H334,I334,J334,R334,S334,T334)&gt;0,1,0)</f>
        <v>0</v>
      </c>
      <c r="Z334" s="80" t="str">
        <f>IF(AND(ISNUMBER(H334),H334&gt;=0,H334&lt;1),ROUND(H334*1440,0),"")</f>
        <v/>
      </c>
      <c r="AA334" s="80" t="str">
        <f>IF(AND(ISNUMBER(I334),I334&gt;=0,I334&lt;1),ROUND(I334*1440,0),"")</f>
        <v/>
      </c>
      <c r="AB334" s="80">
        <f>IF(AND(ISNUMBER(B334),D334&lt;&gt;"",ISNUMBER(Z334),ISNUMBER(AA334)),IF(Z334=AA334,0,1),0)</f>
        <v>0</v>
      </c>
      <c r="AC334" s="80">
        <f>IF(AB334=1,IF(AA334&lt;Z334,1,0),0)</f>
        <v>0</v>
      </c>
      <c r="AD334" s="80">
        <f>IF(AB334=1,IF(AC334=1,1440-Z334+AA334,AA334-Z334),0)</f>
        <v>0</v>
      </c>
      <c r="AE334" s="80">
        <f>IF(J334="",0,IF(ISNUMBER(J334),J334,-1))</f>
        <v>0</v>
      </c>
      <c r="AF334" s="80">
        <f>MIN(MAX(0,AE334),AD334)</f>
        <v>0</v>
      </c>
      <c r="AG334" s="80">
        <f>MAX(0,AD334-MAX(0,AE334))</f>
        <v>0</v>
      </c>
      <c r="AH334" s="80">
        <f>IF(ISNUMBER(B334),IF(AND(INDEX(CFG_WDAYS,WEEKDAY(INT(B334),2))="Sí",IF(D334="proMX",COUNTIFS(FER_F,INT(B334),FER_NLP,"Sí"),COUNTIFS(FER_F,INT(B334),FER_NLM,"Sí"))=0),1,0),0)</f>
        <v>0</v>
      </c>
      <c r="AI334" s="80">
        <f>IF(AC334=1,IF(AND(INDEX(CFG_WDAYS,WEEKDAY(INT(B334)+1,2))="Sí",IF(D334="proMX",COUNTIFS(FER_F,INT(B334)+1,FER_NLP,"Sí"),COUNTIFS(FER_F,INT(B334)+1,FER_NLM,"Sí"))=0),1,0),0)</f>
        <v>0</v>
      </c>
      <c r="AJ334" s="80">
        <f>IF(AC334=1,1440-Z334,AD334)</f>
        <v>0</v>
      </c>
      <c r="AK334" s="80">
        <f>IF(AND(AB334=1,AH334=1),MAX(0,MIN(IF(AC334=1,1440,AA334),CFG_WEM)-MAX(Z334,CFG_WSM)),0)</f>
        <v>0</v>
      </c>
      <c r="AL334" s="80">
        <f>IF(AND(AC334=1,AI334=1),MAX(0,MIN(AA334,CFG_WEM)-CFG_WSM),0)</f>
        <v>0</v>
      </c>
      <c r="AM334" s="80">
        <f>AK334+AL334</f>
        <v>0</v>
      </c>
      <c r="AN334" s="80">
        <f>IF(CFG_BRK="Proporcional",IF(AD334=0,0,AF334*AM334/AD334),IF(CFG_BRK="Extras primero",MIN(AM334,MAX(0,AF334-(AD334-AM334))),MIN(AF334,AM334)))</f>
        <v>0</v>
      </c>
      <c r="AO334" s="80">
        <f>AF334-AN334</f>
        <v>0</v>
      </c>
      <c r="AP334" s="80">
        <f>AM334-AN334</f>
        <v>0</v>
      </c>
      <c r="AQ334" s="80">
        <f>AD334-AM334-AO334</f>
        <v>0</v>
      </c>
      <c r="AR334" s="80">
        <f>IF(AM334=0,0,AK334-AN334*AK334/AM334)</f>
        <v>0</v>
      </c>
      <c r="AS334" s="80">
        <f>IF(AD334-AM334=0,0,(AJ334-AK334)-AO334*(AJ334-AK334)/(AD334-AM334))</f>
        <v>0</v>
      </c>
      <c r="AT334" s="80" t="str">
        <f>IF(AC334=1,INT(B334)+1,"")</f>
        <v/>
      </c>
      <c r="AU334" s="80">
        <f>IF(AND(D334="proMX",R334="Cancelled"),0,1)</f>
        <v>1</v>
      </c>
      <c r="AV334" s="80">
        <f>IF(AND(AB334=1,AU334=1),IF(COUNTIFS($D$5:D333,D334,$B$5:B333,B334,$Z$5:Z333,Z334,$AA$5:AA333,AA334,$F$5:F333,F334&amp;"",$AU$5:AU333,1)&gt;0,1,0),0)</f>
        <v>0</v>
      </c>
      <c r="AW334" s="80" t="str">
        <f>IF(AB334=1,INT(B334)*1440+Z334,"")</f>
        <v/>
      </c>
      <c r="AX334" s="80" t="str">
        <f>IF(AB334=1,AW334+AD334,"")</f>
        <v/>
      </c>
      <c r="AY334" s="80">
        <f>IF(AND(AB334=1,AV334=0,AU334=1),1,0)</f>
        <v>0</v>
      </c>
      <c r="AZ334" s="80">
        <f>IF(AY334=1,COUNTIFS(R_Emp,D334,R_SAbs,"&lt;"&amp;AX334,R_EAbs,"&gt;"&amp;AW334,R_OKey,1)-1,0)</f>
        <v>0</v>
      </c>
      <c r="BA334" s="80">
        <f>IF(AY334=1,COUNTIFS(R_Emp,"&lt;&gt;"&amp;D334,R_SAbs,"&lt;"&amp;AX334,R_EAbs,"&gt;"&amp;AW334,R_OKey,1),0)</f>
        <v>0</v>
      </c>
      <c r="BB334" s="80">
        <f>IF(AND(AB334=1,D334="proMX"),IF(AND(MOD(Z334,CFG_BLK)=0,MOD(AA334,CFG_BLK)=0,MOD(AG334,CFG_BLK)=0,AG334&gt;0),1,0),1)</f>
        <v>1</v>
      </c>
      <c r="BC334" s="80" t="str">
        <f>IF(Y334=0,"",IF(NOT(ISNUMBER(B334)),"Falta fecha o fecha inválida",IF(D334="","Falta empresa",IF(AND(D334&lt;&gt;"Malcolm",D334&lt;&gt;"proMX"),"Empresa inválida",IF(OR(INT(B334)&lt;CFG_PSTART,INT(B334)&gt;CFG_PEND),"Fecha fuera del período",IF(OR(NOT(ISNUMBER(Z334)),NOT(ISNUMBER(AA334))),"Falta hora inicio/fin o formato inválido",IF(AB334=0,"Hora inicio = hora fin",IF(AE334&lt;0,"Descanso inválido",IF(AE334&gt;=AD334,"Descanso ≥ duración",IF(AV334=1,"Registro duplicado",IF(AZ334&gt;0,"Se superpone con otro registro "&amp;D334,IF(BB334=0,"inicio, fin y duración neta deben ser múltiplos de "&amp;CFG_BLK&amp;" min",""))))))))))))</f>
        <v/>
      </c>
      <c r="BD334" s="80">
        <f>IF(AND(Y334=1,BC334=""),1,0)</f>
        <v>0</v>
      </c>
      <c r="BE334" s="80">
        <f>IF(AND(BD334=1,AU334=1),1,0)</f>
        <v>0</v>
      </c>
      <c r="BF334" s="80" t="str">
        <f>IF(AND(D334="proMX",BD334=1),IF(R334="","Draft",R334),"")</f>
        <v/>
      </c>
      <c r="BG334" s="80">
        <f>IF(BD334=1,ROUND(AG334/60,6),0)</f>
        <v>0</v>
      </c>
      <c r="BH334" s="80">
        <f>IF(BE334=1,ROUND(AG334/60,6),0)</f>
        <v>0</v>
      </c>
      <c r="BI334" s="80">
        <f>IF(BE334=1,ROUND(AP334/60,6),0)</f>
        <v>0</v>
      </c>
      <c r="BJ334" s="80">
        <f>IF(BE334=1,ROUND(AQ334/60,6),0)</f>
        <v>0</v>
      </c>
      <c r="BK334" s="80">
        <f>IF(BE334=1,ROUND((AR334+AS334)/60,6),0)</f>
        <v>0</v>
      </c>
      <c r="BL334" s="80">
        <f>ROUND(BH334-BK334,6)</f>
        <v>0</v>
      </c>
      <c r="BM334" s="80">
        <f>IF(BE334=1,ROUND(AR334/60,6),0)</f>
        <v>0</v>
      </c>
      <c r="BN334" s="80">
        <f>ROUND(BI334-BM334,6)</f>
        <v>0</v>
      </c>
      <c r="BO334" s="80">
        <f>IF(BE334=1,ROUND(AS334/60,6),0)</f>
        <v>0</v>
      </c>
      <c r="BP334" s="80">
        <f>ROUND(BJ334-BO334,6)</f>
        <v>0</v>
      </c>
      <c r="BQ334" s="80">
        <f>IF(BE334=1,AW334,0)</f>
        <v>0</v>
      </c>
      <c r="BR334" s="80">
        <f>IF(BE334=1,AX334,0)</f>
        <v>0</v>
      </c>
      <c r="BS334" s="80">
        <f>IF(AND(BE334=1,D334="Malcolm",BA334&gt;0),MIN(BH334,SUMPRODUCT((R_Emp="proMX")*(R_EN&gt;0)*((R_EN-(R_EN&gt;BR334)*(R_EN-BR334))&gt;(R_SN+(R_SN&lt;BQ334)*(BQ334-R_SN)))*((R_EN-(R_EN&gt;BR334)*(R_EN-BR334))-(R_SN+(R_SN&lt;BQ334)*(BQ334-R_SN))))/60),0)</f>
        <v>0</v>
      </c>
      <c r="BT334" s="80">
        <f>IF(AND(BE334=1,D334="proMX"),ROUND(BI334*CFG_RATE+BJ334*CFG_OTRATE,6),0)</f>
        <v>0</v>
      </c>
      <c r="BU334" s="80">
        <f>IF(AND(BD334=1,D334="proMX"),ROUND(AG334/CFG_BLK,6),0)</f>
        <v>0</v>
      </c>
      <c r="BV334" s="80" t="str">
        <f>IF(BF334="Approved",IF(ISNUMBER(T334),INT(T334),INT(B334)),"")</f>
        <v/>
      </c>
      <c r="BW334" s="80">
        <f>IF(ISNUMBER(B334),IF(DB_MON="Todos",1,IF(AND(INT(B334)&gt;=DB_MS,INT(B334)&lt;=DB_ME),1,0)),0)</f>
        <v>0</v>
      </c>
      <c r="BX334" s="80">
        <f>IF(DB_PROJ="Todos",1,IF(E334&amp;""=DB_PROJ&amp;"",1,0))</f>
        <v>1</v>
      </c>
      <c r="BY334" s="80">
        <f>BW334*BX334</f>
        <v>0</v>
      </c>
      <c r="BZ334" s="80" t="str">
        <f>IF(Y334=1,F334&amp;IF(AND(F334&amp;""&lt;&gt;"",E334&amp;""&lt;&gt;"")," · ","")&amp;E334,"")</f>
        <v/>
      </c>
      <c r="CA334" s="80" t="str">
        <f>IF(AND(BD334=1,E334&amp;""&lt;&gt;""),IF(COUNTIFS($E$5:E333,E334,$BD$5:BD333,1)=0,MAX($CA$5:CA333)+1,""),"")</f>
        <v/>
      </c>
      <c r="CB334" s="80" t="str">
        <f>IF(AND(BE334=1,D334="Malcolm",E334&amp;""&lt;&gt;""),IF(COUNTIFS($D$5:D333,"Malcolm",$E$5:E333,E334,$BE$5:BE333,1)=0,MAX($CB$5:CB333)+1,""),"")</f>
        <v/>
      </c>
      <c r="CC334" s="80" t="str">
        <f>IF(AND(BD334=1,D334="proMX",E334&amp;""&lt;&gt;""),IF(COUNTIFS($D$5:D333,"proMX",$E$5:E333,E334,$BD$5:BD333,1)=0,MAX($CC$5:CC333)+1,""),"")</f>
        <v/>
      </c>
      <c r="CD334" s="80" t="str">
        <f>IF(AND(BE334=1,D334="Malcolm",F334&amp;""&lt;&gt;""),IF(COUNTIFS($D$5:D333,"Malcolm",$F$5:F333,F334,$BE$5:BE333,1)=0,MAX($CD$5:CD333)+1,""),"")</f>
        <v/>
      </c>
      <c r="CE334" s="80" t="str">
        <f>IF(AND(BD334=1,D334="proMX",F334&amp;""&lt;&gt;""),IF(COUNTIFS($D$5:D333,"proMX",$F$5:F333,F334,$BD$5:BD333,1)=0,MAX($CE$5:CE333)+1,""),"")</f>
        <v/>
      </c>
      <c r="CF334" s="80" t="str">
        <f>IF(AND(D334="proMX",BD334=1),IF(OR(BF334="Draft",BF334="Submitted",BF334="Returned",BF334="Recall Requested"),MAX($CF$5:CF333)+1,""),"")</f>
        <v/>
      </c>
      <c r="CG334" s="80">
        <f>IF(BD334=0,0,IF(D334="Malcolm",1,MATCH(BF334,{"Draft","Submitted","Approved","Returned","Recall Requested","Cancelled"},0)+1))</f>
        <v>0</v>
      </c>
      <c r="CH334" s="80">
        <f>IF(AND(BF334="Submitted",ISNUMBER(V334)),IF(V334&gt;CFG_MAXD,1,0),0)</f>
        <v>0</v>
      </c>
    </row>
    <row r="335">
      <c r="A335" s="71" t="str">
        <f>IF(Y335=1,ROW()-5,"")</f>
        <v/>
      </c>
      <c r="B335" s="72" t="n"/>
      <c r="C335" s="71" t="str">
        <f>IF(ISNUMBER(B335),CHOOSE(WEEKDAY(B335,2),"Lun","Mar","Mié","Jue","Vie","Sáb","Dom"),"")</f>
        <v/>
      </c>
      <c r="D335" s="73" t="n"/>
      <c r="E335" s="74" t="n"/>
      <c r="F335" s="74" t="n"/>
      <c r="G335" s="74" t="n"/>
      <c r="H335" s="75" t="n"/>
      <c r="I335" s="75" t="n"/>
      <c r="J335" s="76" t="n"/>
      <c r="K335" s="77" t="str">
        <f>IF(AB335=1,ROUND(AG335/60,4),"")</f>
        <v/>
      </c>
      <c r="L335" s="77" t="str">
        <f>IF(BD335=1,ROUND(AP335/60,4),"")</f>
        <v/>
      </c>
      <c r="M335" s="77" t="str">
        <f>IF(BD335=1,ROUND(AQ335/60,4),"")</f>
        <v/>
      </c>
      <c r="N335" s="71" t="str">
        <f>IF(AND(D335="proMX",AB335=1),ROUND(AG335/CFG_BLK,2),"")</f>
        <v/>
      </c>
      <c r="O335" s="77" t="str">
        <f>IF(D335="proMX",IF(BD335=1,ROUND(AG335/60,4),0),"")</f>
        <v/>
      </c>
      <c r="P335" s="78" t="str">
        <f>IF(Y335=0,"",IF(BD335=1,"OK",IF(D335="proMX","Revisar bloques: ","Revisar: ")&amp;BC335))</f>
        <v/>
      </c>
      <c r="Q335" s="78" t="str">
        <f>IF(NOT(ISNUMBER(B335)),"",IF(COUNTIFS(FER_F,INT(B335))&gt;0,"Feriado"&amp;IF(AH335=1," (laborable)"," (no laborable)"),IF(AH335=1,"Laborable",IF(WEEKDAY(B335,2)&gt;5,"Fin de semana","No laborable"))))</f>
        <v/>
      </c>
      <c r="R335" s="73" t="n"/>
      <c r="S335" s="72" t="n"/>
      <c r="T335" s="72" t="n"/>
      <c r="U335" s="74" t="n"/>
      <c r="V335" s="79" t="str">
        <f>IF(AND(D335="proMX",OR(R335="Submitted",R335="Recall Requested"),ISNUMBER(S335)),CFG_TODAY-INT(S335),"")</f>
        <v/>
      </c>
      <c r="W335" s="78" t="str">
        <f>IF(BD335=0,"",IF(BA335&gt;0,"⚠ Se superpone con un registro de la otra empresa",IF(D335="Malcolm",IF(COUNTA(R335,S335,T335)&gt;0,"Estado/fechas proMX se ignoran en Malcolm",""),IF(BF335="Cancelled","Cancelado: excluido de totales",IF(R335="","Sin estado: se trata como Draft",IF(BF335="Submitted",IF(ISNUMBER(V335),IF(V335&gt;CFG_MAXD,"⚠ "&amp;V335&amp;" días en Submitted (máx. "&amp;CFG_MAXD&amp;")",""),"Falta fecha de envío"),IF(BF335="Returned","⚠ Devuelto: corregir y reenviar",IF(BF335="Recall Requested","Retirada solicitada: pendiente",IF(AND(BF335="Approved",NOT(ISNUMBER(T335))),"Falta fecha de aprobación",IF(AND(ISNUMBER(S335),ISNUMBER(T335),T335&lt;S335),"Aprobación anterior al envío","")))))))))</f>
        <v/>
      </c>
      <c r="Y335" s="80">
        <f>IF(COUNTA(B335,D335,E335,F335,G335,H335,I335,J335,R335,S335,T335)&gt;0,1,0)</f>
        <v>0</v>
      </c>
      <c r="Z335" s="80" t="str">
        <f>IF(AND(ISNUMBER(H335),H335&gt;=0,H335&lt;1),ROUND(H335*1440,0),"")</f>
        <v/>
      </c>
      <c r="AA335" s="80" t="str">
        <f>IF(AND(ISNUMBER(I335),I335&gt;=0,I335&lt;1),ROUND(I335*1440,0),"")</f>
        <v/>
      </c>
      <c r="AB335" s="80">
        <f>IF(AND(ISNUMBER(B335),D335&lt;&gt;"",ISNUMBER(Z335),ISNUMBER(AA335)),IF(Z335=AA335,0,1),0)</f>
        <v>0</v>
      </c>
      <c r="AC335" s="80">
        <f>IF(AB335=1,IF(AA335&lt;Z335,1,0),0)</f>
        <v>0</v>
      </c>
      <c r="AD335" s="80">
        <f>IF(AB335=1,IF(AC335=1,1440-Z335+AA335,AA335-Z335),0)</f>
        <v>0</v>
      </c>
      <c r="AE335" s="80">
        <f>IF(J335="",0,IF(ISNUMBER(J335),J335,-1))</f>
        <v>0</v>
      </c>
      <c r="AF335" s="80">
        <f>MIN(MAX(0,AE335),AD335)</f>
        <v>0</v>
      </c>
      <c r="AG335" s="80">
        <f>MAX(0,AD335-MAX(0,AE335))</f>
        <v>0</v>
      </c>
      <c r="AH335" s="80">
        <f>IF(ISNUMBER(B335),IF(AND(INDEX(CFG_WDAYS,WEEKDAY(INT(B335),2))="Sí",IF(D335="proMX",COUNTIFS(FER_F,INT(B335),FER_NLP,"Sí"),COUNTIFS(FER_F,INT(B335),FER_NLM,"Sí"))=0),1,0),0)</f>
        <v>0</v>
      </c>
      <c r="AI335" s="80">
        <f>IF(AC335=1,IF(AND(INDEX(CFG_WDAYS,WEEKDAY(INT(B335)+1,2))="Sí",IF(D335="proMX",COUNTIFS(FER_F,INT(B335)+1,FER_NLP,"Sí"),COUNTIFS(FER_F,INT(B335)+1,FER_NLM,"Sí"))=0),1,0),0)</f>
        <v>0</v>
      </c>
      <c r="AJ335" s="80">
        <f>IF(AC335=1,1440-Z335,AD335)</f>
        <v>0</v>
      </c>
      <c r="AK335" s="80">
        <f>IF(AND(AB335=1,AH335=1),MAX(0,MIN(IF(AC335=1,1440,AA335),CFG_WEM)-MAX(Z335,CFG_WSM)),0)</f>
        <v>0</v>
      </c>
      <c r="AL335" s="80">
        <f>IF(AND(AC335=1,AI335=1),MAX(0,MIN(AA335,CFG_WEM)-CFG_WSM),0)</f>
        <v>0</v>
      </c>
      <c r="AM335" s="80">
        <f>AK335+AL335</f>
        <v>0</v>
      </c>
      <c r="AN335" s="80">
        <f>IF(CFG_BRK="Proporcional",IF(AD335=0,0,AF335*AM335/AD335),IF(CFG_BRK="Extras primero",MIN(AM335,MAX(0,AF335-(AD335-AM335))),MIN(AF335,AM335)))</f>
        <v>0</v>
      </c>
      <c r="AO335" s="80">
        <f>AF335-AN335</f>
        <v>0</v>
      </c>
      <c r="AP335" s="80">
        <f>AM335-AN335</f>
        <v>0</v>
      </c>
      <c r="AQ335" s="80">
        <f>AD335-AM335-AO335</f>
        <v>0</v>
      </c>
      <c r="AR335" s="80">
        <f>IF(AM335=0,0,AK335-AN335*AK335/AM335)</f>
        <v>0</v>
      </c>
      <c r="AS335" s="80">
        <f>IF(AD335-AM335=0,0,(AJ335-AK335)-AO335*(AJ335-AK335)/(AD335-AM335))</f>
        <v>0</v>
      </c>
      <c r="AT335" s="80" t="str">
        <f>IF(AC335=1,INT(B335)+1,"")</f>
        <v/>
      </c>
      <c r="AU335" s="80">
        <f>IF(AND(D335="proMX",R335="Cancelled"),0,1)</f>
        <v>1</v>
      </c>
      <c r="AV335" s="80">
        <f>IF(AND(AB335=1,AU335=1),IF(COUNTIFS($D$5:D334,D335,$B$5:B334,B335,$Z$5:Z334,Z335,$AA$5:AA334,AA335,$F$5:F334,F335&amp;"",$AU$5:AU334,1)&gt;0,1,0),0)</f>
        <v>0</v>
      </c>
      <c r="AW335" s="80" t="str">
        <f>IF(AB335=1,INT(B335)*1440+Z335,"")</f>
        <v/>
      </c>
      <c r="AX335" s="80" t="str">
        <f>IF(AB335=1,AW335+AD335,"")</f>
        <v/>
      </c>
      <c r="AY335" s="80">
        <f>IF(AND(AB335=1,AV335=0,AU335=1),1,0)</f>
        <v>0</v>
      </c>
      <c r="AZ335" s="80">
        <f>IF(AY335=1,COUNTIFS(R_Emp,D335,R_SAbs,"&lt;"&amp;AX335,R_EAbs,"&gt;"&amp;AW335,R_OKey,1)-1,0)</f>
        <v>0</v>
      </c>
      <c r="BA335" s="80">
        <f>IF(AY335=1,COUNTIFS(R_Emp,"&lt;&gt;"&amp;D335,R_SAbs,"&lt;"&amp;AX335,R_EAbs,"&gt;"&amp;AW335,R_OKey,1),0)</f>
        <v>0</v>
      </c>
      <c r="BB335" s="80">
        <f>IF(AND(AB335=1,D335="proMX"),IF(AND(MOD(Z335,CFG_BLK)=0,MOD(AA335,CFG_BLK)=0,MOD(AG335,CFG_BLK)=0,AG335&gt;0),1,0),1)</f>
        <v>1</v>
      </c>
      <c r="BC335" s="80" t="str">
        <f>IF(Y335=0,"",IF(NOT(ISNUMBER(B335)),"Falta fecha o fecha inválida",IF(D335="","Falta empresa",IF(AND(D335&lt;&gt;"Malcolm",D335&lt;&gt;"proMX"),"Empresa inválida",IF(OR(INT(B335)&lt;CFG_PSTART,INT(B335)&gt;CFG_PEND),"Fecha fuera del período",IF(OR(NOT(ISNUMBER(Z335)),NOT(ISNUMBER(AA335))),"Falta hora inicio/fin o formato inválido",IF(AB335=0,"Hora inicio = hora fin",IF(AE335&lt;0,"Descanso inválido",IF(AE335&gt;=AD335,"Descanso ≥ duración",IF(AV335=1,"Registro duplicado",IF(AZ335&gt;0,"Se superpone con otro registro "&amp;D335,IF(BB335=0,"inicio, fin y duración neta deben ser múltiplos de "&amp;CFG_BLK&amp;" min",""))))))))))))</f>
        <v/>
      </c>
      <c r="BD335" s="80">
        <f>IF(AND(Y335=1,BC335=""),1,0)</f>
        <v>0</v>
      </c>
      <c r="BE335" s="80">
        <f>IF(AND(BD335=1,AU335=1),1,0)</f>
        <v>0</v>
      </c>
      <c r="BF335" s="80" t="str">
        <f>IF(AND(D335="proMX",BD335=1),IF(R335="","Draft",R335),"")</f>
        <v/>
      </c>
      <c r="BG335" s="80">
        <f>IF(BD335=1,ROUND(AG335/60,6),0)</f>
        <v>0</v>
      </c>
      <c r="BH335" s="80">
        <f>IF(BE335=1,ROUND(AG335/60,6),0)</f>
        <v>0</v>
      </c>
      <c r="BI335" s="80">
        <f>IF(BE335=1,ROUND(AP335/60,6),0)</f>
        <v>0</v>
      </c>
      <c r="BJ335" s="80">
        <f>IF(BE335=1,ROUND(AQ335/60,6),0)</f>
        <v>0</v>
      </c>
      <c r="BK335" s="80">
        <f>IF(BE335=1,ROUND((AR335+AS335)/60,6),0)</f>
        <v>0</v>
      </c>
      <c r="BL335" s="80">
        <f>ROUND(BH335-BK335,6)</f>
        <v>0</v>
      </c>
      <c r="BM335" s="80">
        <f>IF(BE335=1,ROUND(AR335/60,6),0)</f>
        <v>0</v>
      </c>
      <c r="BN335" s="80">
        <f>ROUND(BI335-BM335,6)</f>
        <v>0</v>
      </c>
      <c r="BO335" s="80">
        <f>IF(BE335=1,ROUND(AS335/60,6),0)</f>
        <v>0</v>
      </c>
      <c r="BP335" s="80">
        <f>ROUND(BJ335-BO335,6)</f>
        <v>0</v>
      </c>
      <c r="BQ335" s="80">
        <f>IF(BE335=1,AW335,0)</f>
        <v>0</v>
      </c>
      <c r="BR335" s="80">
        <f>IF(BE335=1,AX335,0)</f>
        <v>0</v>
      </c>
      <c r="BS335" s="80">
        <f>IF(AND(BE335=1,D335="Malcolm",BA335&gt;0),MIN(BH335,SUMPRODUCT((R_Emp="proMX")*(R_EN&gt;0)*((R_EN-(R_EN&gt;BR335)*(R_EN-BR335))&gt;(R_SN+(R_SN&lt;BQ335)*(BQ335-R_SN)))*((R_EN-(R_EN&gt;BR335)*(R_EN-BR335))-(R_SN+(R_SN&lt;BQ335)*(BQ335-R_SN))))/60),0)</f>
        <v>0</v>
      </c>
      <c r="BT335" s="80">
        <f>IF(AND(BE335=1,D335="proMX"),ROUND(BI335*CFG_RATE+BJ335*CFG_OTRATE,6),0)</f>
        <v>0</v>
      </c>
      <c r="BU335" s="80">
        <f>IF(AND(BD335=1,D335="proMX"),ROUND(AG335/CFG_BLK,6),0)</f>
        <v>0</v>
      </c>
      <c r="BV335" s="80" t="str">
        <f>IF(BF335="Approved",IF(ISNUMBER(T335),INT(T335),INT(B335)),"")</f>
        <v/>
      </c>
      <c r="BW335" s="80">
        <f>IF(ISNUMBER(B335),IF(DB_MON="Todos",1,IF(AND(INT(B335)&gt;=DB_MS,INT(B335)&lt;=DB_ME),1,0)),0)</f>
        <v>0</v>
      </c>
      <c r="BX335" s="80">
        <f>IF(DB_PROJ="Todos",1,IF(E335&amp;""=DB_PROJ&amp;"",1,0))</f>
        <v>1</v>
      </c>
      <c r="BY335" s="80">
        <f>BW335*BX335</f>
        <v>0</v>
      </c>
      <c r="BZ335" s="80" t="str">
        <f>IF(Y335=1,F335&amp;IF(AND(F335&amp;""&lt;&gt;"",E335&amp;""&lt;&gt;"")," · ","")&amp;E335,"")</f>
        <v/>
      </c>
      <c r="CA335" s="80" t="str">
        <f>IF(AND(BD335=1,E335&amp;""&lt;&gt;""),IF(COUNTIFS($E$5:E334,E335,$BD$5:BD334,1)=0,MAX($CA$5:CA334)+1,""),"")</f>
        <v/>
      </c>
      <c r="CB335" s="80" t="str">
        <f>IF(AND(BE335=1,D335="Malcolm",E335&amp;""&lt;&gt;""),IF(COUNTIFS($D$5:D334,"Malcolm",$E$5:E334,E335,$BE$5:BE334,1)=0,MAX($CB$5:CB334)+1,""),"")</f>
        <v/>
      </c>
      <c r="CC335" s="80" t="str">
        <f>IF(AND(BD335=1,D335="proMX",E335&amp;""&lt;&gt;""),IF(COUNTIFS($D$5:D334,"proMX",$E$5:E334,E335,$BD$5:BD334,1)=0,MAX($CC$5:CC334)+1,""),"")</f>
        <v/>
      </c>
      <c r="CD335" s="80" t="str">
        <f>IF(AND(BE335=1,D335="Malcolm",F335&amp;""&lt;&gt;""),IF(COUNTIFS($D$5:D334,"Malcolm",$F$5:F334,F335,$BE$5:BE334,1)=0,MAX($CD$5:CD334)+1,""),"")</f>
        <v/>
      </c>
      <c r="CE335" s="80" t="str">
        <f>IF(AND(BD335=1,D335="proMX",F335&amp;""&lt;&gt;""),IF(COUNTIFS($D$5:D334,"proMX",$F$5:F334,F335,$BD$5:BD334,1)=0,MAX($CE$5:CE334)+1,""),"")</f>
        <v/>
      </c>
      <c r="CF335" s="80" t="str">
        <f>IF(AND(D335="proMX",BD335=1),IF(OR(BF335="Draft",BF335="Submitted",BF335="Returned",BF335="Recall Requested"),MAX($CF$5:CF334)+1,""),"")</f>
        <v/>
      </c>
      <c r="CG335" s="80">
        <f>IF(BD335=0,0,IF(D335="Malcolm",1,MATCH(BF335,{"Draft","Submitted","Approved","Returned","Recall Requested","Cancelled"},0)+1))</f>
        <v>0</v>
      </c>
      <c r="CH335" s="80">
        <f>IF(AND(BF335="Submitted",ISNUMBER(V335)),IF(V335&gt;CFG_MAXD,1,0),0)</f>
        <v>0</v>
      </c>
    </row>
    <row r="336">
      <c r="A336" s="71" t="str">
        <f>IF(Y336=1,ROW()-5,"")</f>
        <v/>
      </c>
      <c r="B336" s="72" t="n"/>
      <c r="C336" s="71" t="str">
        <f>IF(ISNUMBER(B336),CHOOSE(WEEKDAY(B336,2),"Lun","Mar","Mié","Jue","Vie","Sáb","Dom"),"")</f>
        <v/>
      </c>
      <c r="D336" s="73" t="n"/>
      <c r="E336" s="74" t="n"/>
      <c r="F336" s="74" t="n"/>
      <c r="G336" s="74" t="n"/>
      <c r="H336" s="75" t="n"/>
      <c r="I336" s="75" t="n"/>
      <c r="J336" s="76" t="n"/>
      <c r="K336" s="77" t="str">
        <f>IF(AB336=1,ROUND(AG336/60,4),"")</f>
        <v/>
      </c>
      <c r="L336" s="77" t="str">
        <f>IF(BD336=1,ROUND(AP336/60,4),"")</f>
        <v/>
      </c>
      <c r="M336" s="77" t="str">
        <f>IF(BD336=1,ROUND(AQ336/60,4),"")</f>
        <v/>
      </c>
      <c r="N336" s="71" t="str">
        <f>IF(AND(D336="proMX",AB336=1),ROUND(AG336/CFG_BLK,2),"")</f>
        <v/>
      </c>
      <c r="O336" s="77" t="str">
        <f>IF(D336="proMX",IF(BD336=1,ROUND(AG336/60,4),0),"")</f>
        <v/>
      </c>
      <c r="P336" s="78" t="str">
        <f>IF(Y336=0,"",IF(BD336=1,"OK",IF(D336="proMX","Revisar bloques: ","Revisar: ")&amp;BC336))</f>
        <v/>
      </c>
      <c r="Q336" s="78" t="str">
        <f>IF(NOT(ISNUMBER(B336)),"",IF(COUNTIFS(FER_F,INT(B336))&gt;0,"Feriado"&amp;IF(AH336=1," (laborable)"," (no laborable)"),IF(AH336=1,"Laborable",IF(WEEKDAY(B336,2)&gt;5,"Fin de semana","No laborable"))))</f>
        <v/>
      </c>
      <c r="R336" s="73" t="n"/>
      <c r="S336" s="72" t="n"/>
      <c r="T336" s="72" t="n"/>
      <c r="U336" s="74" t="n"/>
      <c r="V336" s="79" t="str">
        <f>IF(AND(D336="proMX",OR(R336="Submitted",R336="Recall Requested"),ISNUMBER(S336)),CFG_TODAY-INT(S336),"")</f>
        <v/>
      </c>
      <c r="W336" s="78" t="str">
        <f>IF(BD336=0,"",IF(BA336&gt;0,"⚠ Se superpone con un registro de la otra empresa",IF(D336="Malcolm",IF(COUNTA(R336,S336,T336)&gt;0,"Estado/fechas proMX se ignoran en Malcolm",""),IF(BF336="Cancelled","Cancelado: excluido de totales",IF(R336="","Sin estado: se trata como Draft",IF(BF336="Submitted",IF(ISNUMBER(V336),IF(V336&gt;CFG_MAXD,"⚠ "&amp;V336&amp;" días en Submitted (máx. "&amp;CFG_MAXD&amp;")",""),"Falta fecha de envío"),IF(BF336="Returned","⚠ Devuelto: corregir y reenviar",IF(BF336="Recall Requested","Retirada solicitada: pendiente",IF(AND(BF336="Approved",NOT(ISNUMBER(T336))),"Falta fecha de aprobación",IF(AND(ISNUMBER(S336),ISNUMBER(T336),T336&lt;S336),"Aprobación anterior al envío","")))))))))</f>
        <v/>
      </c>
      <c r="Y336" s="80">
        <f>IF(COUNTA(B336,D336,E336,F336,G336,H336,I336,J336,R336,S336,T336)&gt;0,1,0)</f>
        <v>0</v>
      </c>
      <c r="Z336" s="80" t="str">
        <f>IF(AND(ISNUMBER(H336),H336&gt;=0,H336&lt;1),ROUND(H336*1440,0),"")</f>
        <v/>
      </c>
      <c r="AA336" s="80" t="str">
        <f>IF(AND(ISNUMBER(I336),I336&gt;=0,I336&lt;1),ROUND(I336*1440,0),"")</f>
        <v/>
      </c>
      <c r="AB336" s="80">
        <f>IF(AND(ISNUMBER(B336),D336&lt;&gt;"",ISNUMBER(Z336),ISNUMBER(AA336)),IF(Z336=AA336,0,1),0)</f>
        <v>0</v>
      </c>
      <c r="AC336" s="80">
        <f>IF(AB336=1,IF(AA336&lt;Z336,1,0),0)</f>
        <v>0</v>
      </c>
      <c r="AD336" s="80">
        <f>IF(AB336=1,IF(AC336=1,1440-Z336+AA336,AA336-Z336),0)</f>
        <v>0</v>
      </c>
      <c r="AE336" s="80">
        <f>IF(J336="",0,IF(ISNUMBER(J336),J336,-1))</f>
        <v>0</v>
      </c>
      <c r="AF336" s="80">
        <f>MIN(MAX(0,AE336),AD336)</f>
        <v>0</v>
      </c>
      <c r="AG336" s="80">
        <f>MAX(0,AD336-MAX(0,AE336))</f>
        <v>0</v>
      </c>
      <c r="AH336" s="80">
        <f>IF(ISNUMBER(B336),IF(AND(INDEX(CFG_WDAYS,WEEKDAY(INT(B336),2))="Sí",IF(D336="proMX",COUNTIFS(FER_F,INT(B336),FER_NLP,"Sí"),COUNTIFS(FER_F,INT(B336),FER_NLM,"Sí"))=0),1,0),0)</f>
        <v>0</v>
      </c>
      <c r="AI336" s="80">
        <f>IF(AC336=1,IF(AND(INDEX(CFG_WDAYS,WEEKDAY(INT(B336)+1,2))="Sí",IF(D336="proMX",COUNTIFS(FER_F,INT(B336)+1,FER_NLP,"Sí"),COUNTIFS(FER_F,INT(B336)+1,FER_NLM,"Sí"))=0),1,0),0)</f>
        <v>0</v>
      </c>
      <c r="AJ336" s="80">
        <f>IF(AC336=1,1440-Z336,AD336)</f>
        <v>0</v>
      </c>
      <c r="AK336" s="80">
        <f>IF(AND(AB336=1,AH336=1),MAX(0,MIN(IF(AC336=1,1440,AA336),CFG_WEM)-MAX(Z336,CFG_WSM)),0)</f>
        <v>0</v>
      </c>
      <c r="AL336" s="80">
        <f>IF(AND(AC336=1,AI336=1),MAX(0,MIN(AA336,CFG_WEM)-CFG_WSM),0)</f>
        <v>0</v>
      </c>
      <c r="AM336" s="80">
        <f>AK336+AL336</f>
        <v>0</v>
      </c>
      <c r="AN336" s="80">
        <f>IF(CFG_BRK="Proporcional",IF(AD336=0,0,AF336*AM336/AD336),IF(CFG_BRK="Extras primero",MIN(AM336,MAX(0,AF336-(AD336-AM336))),MIN(AF336,AM336)))</f>
        <v>0</v>
      </c>
      <c r="AO336" s="80">
        <f>AF336-AN336</f>
        <v>0</v>
      </c>
      <c r="AP336" s="80">
        <f>AM336-AN336</f>
        <v>0</v>
      </c>
      <c r="AQ336" s="80">
        <f>AD336-AM336-AO336</f>
        <v>0</v>
      </c>
      <c r="AR336" s="80">
        <f>IF(AM336=0,0,AK336-AN336*AK336/AM336)</f>
        <v>0</v>
      </c>
      <c r="AS336" s="80">
        <f>IF(AD336-AM336=0,0,(AJ336-AK336)-AO336*(AJ336-AK336)/(AD336-AM336))</f>
        <v>0</v>
      </c>
      <c r="AT336" s="80" t="str">
        <f>IF(AC336=1,INT(B336)+1,"")</f>
        <v/>
      </c>
      <c r="AU336" s="80">
        <f>IF(AND(D336="proMX",R336="Cancelled"),0,1)</f>
        <v>1</v>
      </c>
      <c r="AV336" s="80">
        <f>IF(AND(AB336=1,AU336=1),IF(COUNTIFS($D$5:D335,D336,$B$5:B335,B336,$Z$5:Z335,Z336,$AA$5:AA335,AA336,$F$5:F335,F336&amp;"",$AU$5:AU335,1)&gt;0,1,0),0)</f>
        <v>0</v>
      </c>
      <c r="AW336" s="80" t="str">
        <f>IF(AB336=1,INT(B336)*1440+Z336,"")</f>
        <v/>
      </c>
      <c r="AX336" s="80" t="str">
        <f>IF(AB336=1,AW336+AD336,"")</f>
        <v/>
      </c>
      <c r="AY336" s="80">
        <f>IF(AND(AB336=1,AV336=0,AU336=1),1,0)</f>
        <v>0</v>
      </c>
      <c r="AZ336" s="80">
        <f>IF(AY336=1,COUNTIFS(R_Emp,D336,R_SAbs,"&lt;"&amp;AX336,R_EAbs,"&gt;"&amp;AW336,R_OKey,1)-1,0)</f>
        <v>0</v>
      </c>
      <c r="BA336" s="80">
        <f>IF(AY336=1,COUNTIFS(R_Emp,"&lt;&gt;"&amp;D336,R_SAbs,"&lt;"&amp;AX336,R_EAbs,"&gt;"&amp;AW336,R_OKey,1),0)</f>
        <v>0</v>
      </c>
      <c r="BB336" s="80">
        <f>IF(AND(AB336=1,D336="proMX"),IF(AND(MOD(Z336,CFG_BLK)=0,MOD(AA336,CFG_BLK)=0,MOD(AG336,CFG_BLK)=0,AG336&gt;0),1,0),1)</f>
        <v>1</v>
      </c>
      <c r="BC336" s="80" t="str">
        <f>IF(Y336=0,"",IF(NOT(ISNUMBER(B336)),"Falta fecha o fecha inválida",IF(D336="","Falta empresa",IF(AND(D336&lt;&gt;"Malcolm",D336&lt;&gt;"proMX"),"Empresa inválida",IF(OR(INT(B336)&lt;CFG_PSTART,INT(B336)&gt;CFG_PEND),"Fecha fuera del período",IF(OR(NOT(ISNUMBER(Z336)),NOT(ISNUMBER(AA336))),"Falta hora inicio/fin o formato inválido",IF(AB336=0,"Hora inicio = hora fin",IF(AE336&lt;0,"Descanso inválido",IF(AE336&gt;=AD336,"Descanso ≥ duración",IF(AV336=1,"Registro duplicado",IF(AZ336&gt;0,"Se superpone con otro registro "&amp;D336,IF(BB336=0,"inicio, fin y duración neta deben ser múltiplos de "&amp;CFG_BLK&amp;" min",""))))))))))))</f>
        <v/>
      </c>
      <c r="BD336" s="80">
        <f>IF(AND(Y336=1,BC336=""),1,0)</f>
        <v>0</v>
      </c>
      <c r="BE336" s="80">
        <f>IF(AND(BD336=1,AU336=1),1,0)</f>
        <v>0</v>
      </c>
      <c r="BF336" s="80" t="str">
        <f>IF(AND(D336="proMX",BD336=1),IF(R336="","Draft",R336),"")</f>
        <v/>
      </c>
      <c r="BG336" s="80">
        <f>IF(BD336=1,ROUND(AG336/60,6),0)</f>
        <v>0</v>
      </c>
      <c r="BH336" s="80">
        <f>IF(BE336=1,ROUND(AG336/60,6),0)</f>
        <v>0</v>
      </c>
      <c r="BI336" s="80">
        <f>IF(BE336=1,ROUND(AP336/60,6),0)</f>
        <v>0</v>
      </c>
      <c r="BJ336" s="80">
        <f>IF(BE336=1,ROUND(AQ336/60,6),0)</f>
        <v>0</v>
      </c>
      <c r="BK336" s="80">
        <f>IF(BE336=1,ROUND((AR336+AS336)/60,6),0)</f>
        <v>0</v>
      </c>
      <c r="BL336" s="80">
        <f>ROUND(BH336-BK336,6)</f>
        <v>0</v>
      </c>
      <c r="BM336" s="80">
        <f>IF(BE336=1,ROUND(AR336/60,6),0)</f>
        <v>0</v>
      </c>
      <c r="BN336" s="80">
        <f>ROUND(BI336-BM336,6)</f>
        <v>0</v>
      </c>
      <c r="BO336" s="80">
        <f>IF(BE336=1,ROUND(AS336/60,6),0)</f>
        <v>0</v>
      </c>
      <c r="BP336" s="80">
        <f>ROUND(BJ336-BO336,6)</f>
        <v>0</v>
      </c>
      <c r="BQ336" s="80">
        <f>IF(BE336=1,AW336,0)</f>
        <v>0</v>
      </c>
      <c r="BR336" s="80">
        <f>IF(BE336=1,AX336,0)</f>
        <v>0</v>
      </c>
      <c r="BS336" s="80">
        <f>IF(AND(BE336=1,D336="Malcolm",BA336&gt;0),MIN(BH336,SUMPRODUCT((R_Emp="proMX")*(R_EN&gt;0)*((R_EN-(R_EN&gt;BR336)*(R_EN-BR336))&gt;(R_SN+(R_SN&lt;BQ336)*(BQ336-R_SN)))*((R_EN-(R_EN&gt;BR336)*(R_EN-BR336))-(R_SN+(R_SN&lt;BQ336)*(BQ336-R_SN))))/60),0)</f>
        <v>0</v>
      </c>
      <c r="BT336" s="80">
        <f>IF(AND(BE336=1,D336="proMX"),ROUND(BI336*CFG_RATE+BJ336*CFG_OTRATE,6),0)</f>
        <v>0</v>
      </c>
      <c r="BU336" s="80">
        <f>IF(AND(BD336=1,D336="proMX"),ROUND(AG336/CFG_BLK,6),0)</f>
        <v>0</v>
      </c>
      <c r="BV336" s="80" t="str">
        <f>IF(BF336="Approved",IF(ISNUMBER(T336),INT(T336),INT(B336)),"")</f>
        <v/>
      </c>
      <c r="BW336" s="80">
        <f>IF(ISNUMBER(B336),IF(DB_MON="Todos",1,IF(AND(INT(B336)&gt;=DB_MS,INT(B336)&lt;=DB_ME),1,0)),0)</f>
        <v>0</v>
      </c>
      <c r="BX336" s="80">
        <f>IF(DB_PROJ="Todos",1,IF(E336&amp;""=DB_PROJ&amp;"",1,0))</f>
        <v>1</v>
      </c>
      <c r="BY336" s="80">
        <f>BW336*BX336</f>
        <v>0</v>
      </c>
      <c r="BZ336" s="80" t="str">
        <f>IF(Y336=1,F336&amp;IF(AND(F336&amp;""&lt;&gt;"",E336&amp;""&lt;&gt;"")," · ","")&amp;E336,"")</f>
        <v/>
      </c>
      <c r="CA336" s="80" t="str">
        <f>IF(AND(BD336=1,E336&amp;""&lt;&gt;""),IF(COUNTIFS($E$5:E335,E336,$BD$5:BD335,1)=0,MAX($CA$5:CA335)+1,""),"")</f>
        <v/>
      </c>
      <c r="CB336" s="80" t="str">
        <f>IF(AND(BE336=1,D336="Malcolm",E336&amp;""&lt;&gt;""),IF(COUNTIFS($D$5:D335,"Malcolm",$E$5:E335,E336,$BE$5:BE335,1)=0,MAX($CB$5:CB335)+1,""),"")</f>
        <v/>
      </c>
      <c r="CC336" s="80" t="str">
        <f>IF(AND(BD336=1,D336="proMX",E336&amp;""&lt;&gt;""),IF(COUNTIFS($D$5:D335,"proMX",$E$5:E335,E336,$BD$5:BD335,1)=0,MAX($CC$5:CC335)+1,""),"")</f>
        <v/>
      </c>
      <c r="CD336" s="80" t="str">
        <f>IF(AND(BE336=1,D336="Malcolm",F336&amp;""&lt;&gt;""),IF(COUNTIFS($D$5:D335,"Malcolm",$F$5:F335,F336,$BE$5:BE335,1)=0,MAX($CD$5:CD335)+1,""),"")</f>
        <v/>
      </c>
      <c r="CE336" s="80" t="str">
        <f>IF(AND(BD336=1,D336="proMX",F336&amp;""&lt;&gt;""),IF(COUNTIFS($D$5:D335,"proMX",$F$5:F335,F336,$BD$5:BD335,1)=0,MAX($CE$5:CE335)+1,""),"")</f>
        <v/>
      </c>
      <c r="CF336" s="80" t="str">
        <f>IF(AND(D336="proMX",BD336=1),IF(OR(BF336="Draft",BF336="Submitted",BF336="Returned",BF336="Recall Requested"),MAX($CF$5:CF335)+1,""),"")</f>
        <v/>
      </c>
      <c r="CG336" s="80">
        <f>IF(BD336=0,0,IF(D336="Malcolm",1,MATCH(BF336,{"Draft","Submitted","Approved","Returned","Recall Requested","Cancelled"},0)+1))</f>
        <v>0</v>
      </c>
      <c r="CH336" s="80">
        <f>IF(AND(BF336="Submitted",ISNUMBER(V336)),IF(V336&gt;CFG_MAXD,1,0),0)</f>
        <v>0</v>
      </c>
    </row>
    <row r="337">
      <c r="A337" s="71" t="str">
        <f>IF(Y337=1,ROW()-5,"")</f>
        <v/>
      </c>
      <c r="B337" s="72" t="n"/>
      <c r="C337" s="71" t="str">
        <f>IF(ISNUMBER(B337),CHOOSE(WEEKDAY(B337,2),"Lun","Mar","Mié","Jue","Vie","Sáb","Dom"),"")</f>
        <v/>
      </c>
      <c r="D337" s="73" t="n"/>
      <c r="E337" s="74" t="n"/>
      <c r="F337" s="74" t="n"/>
      <c r="G337" s="74" t="n"/>
      <c r="H337" s="75" t="n"/>
      <c r="I337" s="75" t="n"/>
      <c r="J337" s="76" t="n"/>
      <c r="K337" s="77" t="str">
        <f>IF(AB337=1,ROUND(AG337/60,4),"")</f>
        <v/>
      </c>
      <c r="L337" s="77" t="str">
        <f>IF(BD337=1,ROUND(AP337/60,4),"")</f>
        <v/>
      </c>
      <c r="M337" s="77" t="str">
        <f>IF(BD337=1,ROUND(AQ337/60,4),"")</f>
        <v/>
      </c>
      <c r="N337" s="71" t="str">
        <f>IF(AND(D337="proMX",AB337=1),ROUND(AG337/CFG_BLK,2),"")</f>
        <v/>
      </c>
      <c r="O337" s="77" t="str">
        <f>IF(D337="proMX",IF(BD337=1,ROUND(AG337/60,4),0),"")</f>
        <v/>
      </c>
      <c r="P337" s="78" t="str">
        <f>IF(Y337=0,"",IF(BD337=1,"OK",IF(D337="proMX","Revisar bloques: ","Revisar: ")&amp;BC337))</f>
        <v/>
      </c>
      <c r="Q337" s="78" t="str">
        <f>IF(NOT(ISNUMBER(B337)),"",IF(COUNTIFS(FER_F,INT(B337))&gt;0,"Feriado"&amp;IF(AH337=1," (laborable)"," (no laborable)"),IF(AH337=1,"Laborable",IF(WEEKDAY(B337,2)&gt;5,"Fin de semana","No laborable"))))</f>
        <v/>
      </c>
      <c r="R337" s="73" t="n"/>
      <c r="S337" s="72" t="n"/>
      <c r="T337" s="72" t="n"/>
      <c r="U337" s="74" t="n"/>
      <c r="V337" s="79" t="str">
        <f>IF(AND(D337="proMX",OR(R337="Submitted",R337="Recall Requested"),ISNUMBER(S337)),CFG_TODAY-INT(S337),"")</f>
        <v/>
      </c>
      <c r="W337" s="78" t="str">
        <f>IF(BD337=0,"",IF(BA337&gt;0,"⚠ Se superpone con un registro de la otra empresa",IF(D337="Malcolm",IF(COUNTA(R337,S337,T337)&gt;0,"Estado/fechas proMX se ignoran en Malcolm",""),IF(BF337="Cancelled","Cancelado: excluido de totales",IF(R337="","Sin estado: se trata como Draft",IF(BF337="Submitted",IF(ISNUMBER(V337),IF(V337&gt;CFG_MAXD,"⚠ "&amp;V337&amp;" días en Submitted (máx. "&amp;CFG_MAXD&amp;")",""),"Falta fecha de envío"),IF(BF337="Returned","⚠ Devuelto: corregir y reenviar",IF(BF337="Recall Requested","Retirada solicitada: pendiente",IF(AND(BF337="Approved",NOT(ISNUMBER(T337))),"Falta fecha de aprobación",IF(AND(ISNUMBER(S337),ISNUMBER(T337),T337&lt;S337),"Aprobación anterior al envío","")))))))))</f>
        <v/>
      </c>
      <c r="Y337" s="80">
        <f>IF(COUNTA(B337,D337,E337,F337,G337,H337,I337,J337,R337,S337,T337)&gt;0,1,0)</f>
        <v>0</v>
      </c>
      <c r="Z337" s="80" t="str">
        <f>IF(AND(ISNUMBER(H337),H337&gt;=0,H337&lt;1),ROUND(H337*1440,0),"")</f>
        <v/>
      </c>
      <c r="AA337" s="80" t="str">
        <f>IF(AND(ISNUMBER(I337),I337&gt;=0,I337&lt;1),ROUND(I337*1440,0),"")</f>
        <v/>
      </c>
      <c r="AB337" s="80">
        <f>IF(AND(ISNUMBER(B337),D337&lt;&gt;"",ISNUMBER(Z337),ISNUMBER(AA337)),IF(Z337=AA337,0,1),0)</f>
        <v>0</v>
      </c>
      <c r="AC337" s="80">
        <f>IF(AB337=1,IF(AA337&lt;Z337,1,0),0)</f>
        <v>0</v>
      </c>
      <c r="AD337" s="80">
        <f>IF(AB337=1,IF(AC337=1,1440-Z337+AA337,AA337-Z337),0)</f>
        <v>0</v>
      </c>
      <c r="AE337" s="80">
        <f>IF(J337="",0,IF(ISNUMBER(J337),J337,-1))</f>
        <v>0</v>
      </c>
      <c r="AF337" s="80">
        <f>MIN(MAX(0,AE337),AD337)</f>
        <v>0</v>
      </c>
      <c r="AG337" s="80">
        <f>MAX(0,AD337-MAX(0,AE337))</f>
        <v>0</v>
      </c>
      <c r="AH337" s="80">
        <f>IF(ISNUMBER(B337),IF(AND(INDEX(CFG_WDAYS,WEEKDAY(INT(B337),2))="Sí",IF(D337="proMX",COUNTIFS(FER_F,INT(B337),FER_NLP,"Sí"),COUNTIFS(FER_F,INT(B337),FER_NLM,"Sí"))=0),1,0),0)</f>
        <v>0</v>
      </c>
      <c r="AI337" s="80">
        <f>IF(AC337=1,IF(AND(INDEX(CFG_WDAYS,WEEKDAY(INT(B337)+1,2))="Sí",IF(D337="proMX",COUNTIFS(FER_F,INT(B337)+1,FER_NLP,"Sí"),COUNTIFS(FER_F,INT(B337)+1,FER_NLM,"Sí"))=0),1,0),0)</f>
        <v>0</v>
      </c>
      <c r="AJ337" s="80">
        <f>IF(AC337=1,1440-Z337,AD337)</f>
        <v>0</v>
      </c>
      <c r="AK337" s="80">
        <f>IF(AND(AB337=1,AH337=1),MAX(0,MIN(IF(AC337=1,1440,AA337),CFG_WEM)-MAX(Z337,CFG_WSM)),0)</f>
        <v>0</v>
      </c>
      <c r="AL337" s="80">
        <f>IF(AND(AC337=1,AI337=1),MAX(0,MIN(AA337,CFG_WEM)-CFG_WSM),0)</f>
        <v>0</v>
      </c>
      <c r="AM337" s="80">
        <f>AK337+AL337</f>
        <v>0</v>
      </c>
      <c r="AN337" s="80">
        <f>IF(CFG_BRK="Proporcional",IF(AD337=0,0,AF337*AM337/AD337),IF(CFG_BRK="Extras primero",MIN(AM337,MAX(0,AF337-(AD337-AM337))),MIN(AF337,AM337)))</f>
        <v>0</v>
      </c>
      <c r="AO337" s="80">
        <f>AF337-AN337</f>
        <v>0</v>
      </c>
      <c r="AP337" s="80">
        <f>AM337-AN337</f>
        <v>0</v>
      </c>
      <c r="AQ337" s="80">
        <f>AD337-AM337-AO337</f>
        <v>0</v>
      </c>
      <c r="AR337" s="80">
        <f>IF(AM337=0,0,AK337-AN337*AK337/AM337)</f>
        <v>0</v>
      </c>
      <c r="AS337" s="80">
        <f>IF(AD337-AM337=0,0,(AJ337-AK337)-AO337*(AJ337-AK337)/(AD337-AM337))</f>
        <v>0</v>
      </c>
      <c r="AT337" s="80" t="str">
        <f>IF(AC337=1,INT(B337)+1,"")</f>
        <v/>
      </c>
      <c r="AU337" s="80">
        <f>IF(AND(D337="proMX",R337="Cancelled"),0,1)</f>
        <v>1</v>
      </c>
      <c r="AV337" s="80">
        <f>IF(AND(AB337=1,AU337=1),IF(COUNTIFS($D$5:D336,D337,$B$5:B336,B337,$Z$5:Z336,Z337,$AA$5:AA336,AA337,$F$5:F336,F337&amp;"",$AU$5:AU336,1)&gt;0,1,0),0)</f>
        <v>0</v>
      </c>
      <c r="AW337" s="80" t="str">
        <f>IF(AB337=1,INT(B337)*1440+Z337,"")</f>
        <v/>
      </c>
      <c r="AX337" s="80" t="str">
        <f>IF(AB337=1,AW337+AD337,"")</f>
        <v/>
      </c>
      <c r="AY337" s="80">
        <f>IF(AND(AB337=1,AV337=0,AU337=1),1,0)</f>
        <v>0</v>
      </c>
      <c r="AZ337" s="80">
        <f>IF(AY337=1,COUNTIFS(R_Emp,D337,R_SAbs,"&lt;"&amp;AX337,R_EAbs,"&gt;"&amp;AW337,R_OKey,1)-1,0)</f>
        <v>0</v>
      </c>
      <c r="BA337" s="80">
        <f>IF(AY337=1,COUNTIFS(R_Emp,"&lt;&gt;"&amp;D337,R_SAbs,"&lt;"&amp;AX337,R_EAbs,"&gt;"&amp;AW337,R_OKey,1),0)</f>
        <v>0</v>
      </c>
      <c r="BB337" s="80">
        <f>IF(AND(AB337=1,D337="proMX"),IF(AND(MOD(Z337,CFG_BLK)=0,MOD(AA337,CFG_BLK)=0,MOD(AG337,CFG_BLK)=0,AG337&gt;0),1,0),1)</f>
        <v>1</v>
      </c>
      <c r="BC337" s="80" t="str">
        <f>IF(Y337=0,"",IF(NOT(ISNUMBER(B337)),"Falta fecha o fecha inválida",IF(D337="","Falta empresa",IF(AND(D337&lt;&gt;"Malcolm",D337&lt;&gt;"proMX"),"Empresa inválida",IF(OR(INT(B337)&lt;CFG_PSTART,INT(B337)&gt;CFG_PEND),"Fecha fuera del período",IF(OR(NOT(ISNUMBER(Z337)),NOT(ISNUMBER(AA337))),"Falta hora inicio/fin o formato inválido",IF(AB337=0,"Hora inicio = hora fin",IF(AE337&lt;0,"Descanso inválido",IF(AE337&gt;=AD337,"Descanso ≥ duración",IF(AV337=1,"Registro duplicado",IF(AZ337&gt;0,"Se superpone con otro registro "&amp;D337,IF(BB337=0,"inicio, fin y duración neta deben ser múltiplos de "&amp;CFG_BLK&amp;" min",""))))))))))))</f>
        <v/>
      </c>
      <c r="BD337" s="80">
        <f>IF(AND(Y337=1,BC337=""),1,0)</f>
        <v>0</v>
      </c>
      <c r="BE337" s="80">
        <f>IF(AND(BD337=1,AU337=1),1,0)</f>
        <v>0</v>
      </c>
      <c r="BF337" s="80" t="str">
        <f>IF(AND(D337="proMX",BD337=1),IF(R337="","Draft",R337),"")</f>
        <v/>
      </c>
      <c r="BG337" s="80">
        <f>IF(BD337=1,ROUND(AG337/60,6),0)</f>
        <v>0</v>
      </c>
      <c r="BH337" s="80">
        <f>IF(BE337=1,ROUND(AG337/60,6),0)</f>
        <v>0</v>
      </c>
      <c r="BI337" s="80">
        <f>IF(BE337=1,ROUND(AP337/60,6),0)</f>
        <v>0</v>
      </c>
      <c r="BJ337" s="80">
        <f>IF(BE337=1,ROUND(AQ337/60,6),0)</f>
        <v>0</v>
      </c>
      <c r="BK337" s="80">
        <f>IF(BE337=1,ROUND((AR337+AS337)/60,6),0)</f>
        <v>0</v>
      </c>
      <c r="BL337" s="80">
        <f>ROUND(BH337-BK337,6)</f>
        <v>0</v>
      </c>
      <c r="BM337" s="80">
        <f>IF(BE337=1,ROUND(AR337/60,6),0)</f>
        <v>0</v>
      </c>
      <c r="BN337" s="80">
        <f>ROUND(BI337-BM337,6)</f>
        <v>0</v>
      </c>
      <c r="BO337" s="80">
        <f>IF(BE337=1,ROUND(AS337/60,6),0)</f>
        <v>0</v>
      </c>
      <c r="BP337" s="80">
        <f>ROUND(BJ337-BO337,6)</f>
        <v>0</v>
      </c>
      <c r="BQ337" s="80">
        <f>IF(BE337=1,AW337,0)</f>
        <v>0</v>
      </c>
      <c r="BR337" s="80">
        <f>IF(BE337=1,AX337,0)</f>
        <v>0</v>
      </c>
      <c r="BS337" s="80">
        <f>IF(AND(BE337=1,D337="Malcolm",BA337&gt;0),MIN(BH337,SUMPRODUCT((R_Emp="proMX")*(R_EN&gt;0)*((R_EN-(R_EN&gt;BR337)*(R_EN-BR337))&gt;(R_SN+(R_SN&lt;BQ337)*(BQ337-R_SN)))*((R_EN-(R_EN&gt;BR337)*(R_EN-BR337))-(R_SN+(R_SN&lt;BQ337)*(BQ337-R_SN))))/60),0)</f>
        <v>0</v>
      </c>
      <c r="BT337" s="80">
        <f>IF(AND(BE337=1,D337="proMX"),ROUND(BI337*CFG_RATE+BJ337*CFG_OTRATE,6),0)</f>
        <v>0</v>
      </c>
      <c r="BU337" s="80">
        <f>IF(AND(BD337=1,D337="proMX"),ROUND(AG337/CFG_BLK,6),0)</f>
        <v>0</v>
      </c>
      <c r="BV337" s="80" t="str">
        <f>IF(BF337="Approved",IF(ISNUMBER(T337),INT(T337),INT(B337)),"")</f>
        <v/>
      </c>
      <c r="BW337" s="80">
        <f>IF(ISNUMBER(B337),IF(DB_MON="Todos",1,IF(AND(INT(B337)&gt;=DB_MS,INT(B337)&lt;=DB_ME),1,0)),0)</f>
        <v>0</v>
      </c>
      <c r="BX337" s="80">
        <f>IF(DB_PROJ="Todos",1,IF(E337&amp;""=DB_PROJ&amp;"",1,0))</f>
        <v>1</v>
      </c>
      <c r="BY337" s="80">
        <f>BW337*BX337</f>
        <v>0</v>
      </c>
      <c r="BZ337" s="80" t="str">
        <f>IF(Y337=1,F337&amp;IF(AND(F337&amp;""&lt;&gt;"",E337&amp;""&lt;&gt;"")," · ","")&amp;E337,"")</f>
        <v/>
      </c>
      <c r="CA337" s="80" t="str">
        <f>IF(AND(BD337=1,E337&amp;""&lt;&gt;""),IF(COUNTIFS($E$5:E336,E337,$BD$5:BD336,1)=0,MAX($CA$5:CA336)+1,""),"")</f>
        <v/>
      </c>
      <c r="CB337" s="80" t="str">
        <f>IF(AND(BE337=1,D337="Malcolm",E337&amp;""&lt;&gt;""),IF(COUNTIFS($D$5:D336,"Malcolm",$E$5:E336,E337,$BE$5:BE336,1)=0,MAX($CB$5:CB336)+1,""),"")</f>
        <v/>
      </c>
      <c r="CC337" s="80" t="str">
        <f>IF(AND(BD337=1,D337="proMX",E337&amp;""&lt;&gt;""),IF(COUNTIFS($D$5:D336,"proMX",$E$5:E336,E337,$BD$5:BD336,1)=0,MAX($CC$5:CC336)+1,""),"")</f>
        <v/>
      </c>
      <c r="CD337" s="80" t="str">
        <f>IF(AND(BE337=1,D337="Malcolm",F337&amp;""&lt;&gt;""),IF(COUNTIFS($D$5:D336,"Malcolm",$F$5:F336,F337,$BE$5:BE336,1)=0,MAX($CD$5:CD336)+1,""),"")</f>
        <v/>
      </c>
      <c r="CE337" s="80" t="str">
        <f>IF(AND(BD337=1,D337="proMX",F337&amp;""&lt;&gt;""),IF(COUNTIFS($D$5:D336,"proMX",$F$5:F336,F337,$BD$5:BD336,1)=0,MAX($CE$5:CE336)+1,""),"")</f>
        <v/>
      </c>
      <c r="CF337" s="80" t="str">
        <f>IF(AND(D337="proMX",BD337=1),IF(OR(BF337="Draft",BF337="Submitted",BF337="Returned",BF337="Recall Requested"),MAX($CF$5:CF336)+1,""),"")</f>
        <v/>
      </c>
      <c r="CG337" s="80">
        <f>IF(BD337=0,0,IF(D337="Malcolm",1,MATCH(BF337,{"Draft","Submitted","Approved","Returned","Recall Requested","Cancelled"},0)+1))</f>
        <v>0</v>
      </c>
      <c r="CH337" s="80">
        <f>IF(AND(BF337="Submitted",ISNUMBER(V337)),IF(V337&gt;CFG_MAXD,1,0),0)</f>
        <v>0</v>
      </c>
    </row>
    <row r="338">
      <c r="A338" s="71" t="str">
        <f>IF(Y338=1,ROW()-5,"")</f>
        <v/>
      </c>
      <c r="B338" s="72" t="n"/>
      <c r="C338" s="71" t="str">
        <f>IF(ISNUMBER(B338),CHOOSE(WEEKDAY(B338,2),"Lun","Mar","Mié","Jue","Vie","Sáb","Dom"),"")</f>
        <v/>
      </c>
      <c r="D338" s="73" t="n"/>
      <c r="E338" s="74" t="n"/>
      <c r="F338" s="74" t="n"/>
      <c r="G338" s="74" t="n"/>
      <c r="H338" s="75" t="n"/>
      <c r="I338" s="75" t="n"/>
      <c r="J338" s="76" t="n"/>
      <c r="K338" s="77" t="str">
        <f>IF(AB338=1,ROUND(AG338/60,4),"")</f>
        <v/>
      </c>
      <c r="L338" s="77" t="str">
        <f>IF(BD338=1,ROUND(AP338/60,4),"")</f>
        <v/>
      </c>
      <c r="M338" s="77" t="str">
        <f>IF(BD338=1,ROUND(AQ338/60,4),"")</f>
        <v/>
      </c>
      <c r="N338" s="71" t="str">
        <f>IF(AND(D338="proMX",AB338=1),ROUND(AG338/CFG_BLK,2),"")</f>
        <v/>
      </c>
      <c r="O338" s="77" t="str">
        <f>IF(D338="proMX",IF(BD338=1,ROUND(AG338/60,4),0),"")</f>
        <v/>
      </c>
      <c r="P338" s="78" t="str">
        <f>IF(Y338=0,"",IF(BD338=1,"OK",IF(D338="proMX","Revisar bloques: ","Revisar: ")&amp;BC338))</f>
        <v/>
      </c>
      <c r="Q338" s="78" t="str">
        <f>IF(NOT(ISNUMBER(B338)),"",IF(COUNTIFS(FER_F,INT(B338))&gt;0,"Feriado"&amp;IF(AH338=1," (laborable)"," (no laborable)"),IF(AH338=1,"Laborable",IF(WEEKDAY(B338,2)&gt;5,"Fin de semana","No laborable"))))</f>
        <v/>
      </c>
      <c r="R338" s="73" t="n"/>
      <c r="S338" s="72" t="n"/>
      <c r="T338" s="72" t="n"/>
      <c r="U338" s="74" t="n"/>
      <c r="V338" s="79" t="str">
        <f>IF(AND(D338="proMX",OR(R338="Submitted",R338="Recall Requested"),ISNUMBER(S338)),CFG_TODAY-INT(S338),"")</f>
        <v/>
      </c>
      <c r="W338" s="78" t="str">
        <f>IF(BD338=0,"",IF(BA338&gt;0,"⚠ Se superpone con un registro de la otra empresa",IF(D338="Malcolm",IF(COUNTA(R338,S338,T338)&gt;0,"Estado/fechas proMX se ignoran en Malcolm",""),IF(BF338="Cancelled","Cancelado: excluido de totales",IF(R338="","Sin estado: se trata como Draft",IF(BF338="Submitted",IF(ISNUMBER(V338),IF(V338&gt;CFG_MAXD,"⚠ "&amp;V338&amp;" días en Submitted (máx. "&amp;CFG_MAXD&amp;")",""),"Falta fecha de envío"),IF(BF338="Returned","⚠ Devuelto: corregir y reenviar",IF(BF338="Recall Requested","Retirada solicitada: pendiente",IF(AND(BF338="Approved",NOT(ISNUMBER(T338))),"Falta fecha de aprobación",IF(AND(ISNUMBER(S338),ISNUMBER(T338),T338&lt;S338),"Aprobación anterior al envío","")))))))))</f>
        <v/>
      </c>
      <c r="Y338" s="80">
        <f>IF(COUNTA(B338,D338,E338,F338,G338,H338,I338,J338,R338,S338,T338)&gt;0,1,0)</f>
        <v>0</v>
      </c>
      <c r="Z338" s="80" t="str">
        <f>IF(AND(ISNUMBER(H338),H338&gt;=0,H338&lt;1),ROUND(H338*1440,0),"")</f>
        <v/>
      </c>
      <c r="AA338" s="80" t="str">
        <f>IF(AND(ISNUMBER(I338),I338&gt;=0,I338&lt;1),ROUND(I338*1440,0),"")</f>
        <v/>
      </c>
      <c r="AB338" s="80">
        <f>IF(AND(ISNUMBER(B338),D338&lt;&gt;"",ISNUMBER(Z338),ISNUMBER(AA338)),IF(Z338=AA338,0,1),0)</f>
        <v>0</v>
      </c>
      <c r="AC338" s="80">
        <f>IF(AB338=1,IF(AA338&lt;Z338,1,0),0)</f>
        <v>0</v>
      </c>
      <c r="AD338" s="80">
        <f>IF(AB338=1,IF(AC338=1,1440-Z338+AA338,AA338-Z338),0)</f>
        <v>0</v>
      </c>
      <c r="AE338" s="80">
        <f>IF(J338="",0,IF(ISNUMBER(J338),J338,-1))</f>
        <v>0</v>
      </c>
      <c r="AF338" s="80">
        <f>MIN(MAX(0,AE338),AD338)</f>
        <v>0</v>
      </c>
      <c r="AG338" s="80">
        <f>MAX(0,AD338-MAX(0,AE338))</f>
        <v>0</v>
      </c>
      <c r="AH338" s="80">
        <f>IF(ISNUMBER(B338),IF(AND(INDEX(CFG_WDAYS,WEEKDAY(INT(B338),2))="Sí",IF(D338="proMX",COUNTIFS(FER_F,INT(B338),FER_NLP,"Sí"),COUNTIFS(FER_F,INT(B338),FER_NLM,"Sí"))=0),1,0),0)</f>
        <v>0</v>
      </c>
      <c r="AI338" s="80">
        <f>IF(AC338=1,IF(AND(INDEX(CFG_WDAYS,WEEKDAY(INT(B338)+1,2))="Sí",IF(D338="proMX",COUNTIFS(FER_F,INT(B338)+1,FER_NLP,"Sí"),COUNTIFS(FER_F,INT(B338)+1,FER_NLM,"Sí"))=0),1,0),0)</f>
        <v>0</v>
      </c>
      <c r="AJ338" s="80">
        <f>IF(AC338=1,1440-Z338,AD338)</f>
        <v>0</v>
      </c>
      <c r="AK338" s="80">
        <f>IF(AND(AB338=1,AH338=1),MAX(0,MIN(IF(AC338=1,1440,AA338),CFG_WEM)-MAX(Z338,CFG_WSM)),0)</f>
        <v>0</v>
      </c>
      <c r="AL338" s="80">
        <f>IF(AND(AC338=1,AI338=1),MAX(0,MIN(AA338,CFG_WEM)-CFG_WSM),0)</f>
        <v>0</v>
      </c>
      <c r="AM338" s="80">
        <f>AK338+AL338</f>
        <v>0</v>
      </c>
      <c r="AN338" s="80">
        <f>IF(CFG_BRK="Proporcional",IF(AD338=0,0,AF338*AM338/AD338),IF(CFG_BRK="Extras primero",MIN(AM338,MAX(0,AF338-(AD338-AM338))),MIN(AF338,AM338)))</f>
        <v>0</v>
      </c>
      <c r="AO338" s="80">
        <f>AF338-AN338</f>
        <v>0</v>
      </c>
      <c r="AP338" s="80">
        <f>AM338-AN338</f>
        <v>0</v>
      </c>
      <c r="AQ338" s="80">
        <f>AD338-AM338-AO338</f>
        <v>0</v>
      </c>
      <c r="AR338" s="80">
        <f>IF(AM338=0,0,AK338-AN338*AK338/AM338)</f>
        <v>0</v>
      </c>
      <c r="AS338" s="80">
        <f>IF(AD338-AM338=0,0,(AJ338-AK338)-AO338*(AJ338-AK338)/(AD338-AM338))</f>
        <v>0</v>
      </c>
      <c r="AT338" s="80" t="str">
        <f>IF(AC338=1,INT(B338)+1,"")</f>
        <v/>
      </c>
      <c r="AU338" s="80">
        <f>IF(AND(D338="proMX",R338="Cancelled"),0,1)</f>
        <v>1</v>
      </c>
      <c r="AV338" s="80">
        <f>IF(AND(AB338=1,AU338=1),IF(COUNTIFS($D$5:D337,D338,$B$5:B337,B338,$Z$5:Z337,Z338,$AA$5:AA337,AA338,$F$5:F337,F338&amp;"",$AU$5:AU337,1)&gt;0,1,0),0)</f>
        <v>0</v>
      </c>
      <c r="AW338" s="80" t="str">
        <f>IF(AB338=1,INT(B338)*1440+Z338,"")</f>
        <v/>
      </c>
      <c r="AX338" s="80" t="str">
        <f>IF(AB338=1,AW338+AD338,"")</f>
        <v/>
      </c>
      <c r="AY338" s="80">
        <f>IF(AND(AB338=1,AV338=0,AU338=1),1,0)</f>
        <v>0</v>
      </c>
      <c r="AZ338" s="80">
        <f>IF(AY338=1,COUNTIFS(R_Emp,D338,R_SAbs,"&lt;"&amp;AX338,R_EAbs,"&gt;"&amp;AW338,R_OKey,1)-1,0)</f>
        <v>0</v>
      </c>
      <c r="BA338" s="80">
        <f>IF(AY338=1,COUNTIFS(R_Emp,"&lt;&gt;"&amp;D338,R_SAbs,"&lt;"&amp;AX338,R_EAbs,"&gt;"&amp;AW338,R_OKey,1),0)</f>
        <v>0</v>
      </c>
      <c r="BB338" s="80">
        <f>IF(AND(AB338=1,D338="proMX"),IF(AND(MOD(Z338,CFG_BLK)=0,MOD(AA338,CFG_BLK)=0,MOD(AG338,CFG_BLK)=0,AG338&gt;0),1,0),1)</f>
        <v>1</v>
      </c>
      <c r="BC338" s="80" t="str">
        <f>IF(Y338=0,"",IF(NOT(ISNUMBER(B338)),"Falta fecha o fecha inválida",IF(D338="","Falta empresa",IF(AND(D338&lt;&gt;"Malcolm",D338&lt;&gt;"proMX"),"Empresa inválida",IF(OR(INT(B338)&lt;CFG_PSTART,INT(B338)&gt;CFG_PEND),"Fecha fuera del período",IF(OR(NOT(ISNUMBER(Z338)),NOT(ISNUMBER(AA338))),"Falta hora inicio/fin o formato inválido",IF(AB338=0,"Hora inicio = hora fin",IF(AE338&lt;0,"Descanso inválido",IF(AE338&gt;=AD338,"Descanso ≥ duración",IF(AV338=1,"Registro duplicado",IF(AZ338&gt;0,"Se superpone con otro registro "&amp;D338,IF(BB338=0,"inicio, fin y duración neta deben ser múltiplos de "&amp;CFG_BLK&amp;" min",""))))))))))))</f>
        <v/>
      </c>
      <c r="BD338" s="80">
        <f>IF(AND(Y338=1,BC338=""),1,0)</f>
        <v>0</v>
      </c>
      <c r="BE338" s="80">
        <f>IF(AND(BD338=1,AU338=1),1,0)</f>
        <v>0</v>
      </c>
      <c r="BF338" s="80" t="str">
        <f>IF(AND(D338="proMX",BD338=1),IF(R338="","Draft",R338),"")</f>
        <v/>
      </c>
      <c r="BG338" s="80">
        <f>IF(BD338=1,ROUND(AG338/60,6),0)</f>
        <v>0</v>
      </c>
      <c r="BH338" s="80">
        <f>IF(BE338=1,ROUND(AG338/60,6),0)</f>
        <v>0</v>
      </c>
      <c r="BI338" s="80">
        <f>IF(BE338=1,ROUND(AP338/60,6),0)</f>
        <v>0</v>
      </c>
      <c r="BJ338" s="80">
        <f>IF(BE338=1,ROUND(AQ338/60,6),0)</f>
        <v>0</v>
      </c>
      <c r="BK338" s="80">
        <f>IF(BE338=1,ROUND((AR338+AS338)/60,6),0)</f>
        <v>0</v>
      </c>
      <c r="BL338" s="80">
        <f>ROUND(BH338-BK338,6)</f>
        <v>0</v>
      </c>
      <c r="BM338" s="80">
        <f>IF(BE338=1,ROUND(AR338/60,6),0)</f>
        <v>0</v>
      </c>
      <c r="BN338" s="80">
        <f>ROUND(BI338-BM338,6)</f>
        <v>0</v>
      </c>
      <c r="BO338" s="80">
        <f>IF(BE338=1,ROUND(AS338/60,6),0)</f>
        <v>0</v>
      </c>
      <c r="BP338" s="80">
        <f>ROUND(BJ338-BO338,6)</f>
        <v>0</v>
      </c>
      <c r="BQ338" s="80">
        <f>IF(BE338=1,AW338,0)</f>
        <v>0</v>
      </c>
      <c r="BR338" s="80">
        <f>IF(BE338=1,AX338,0)</f>
        <v>0</v>
      </c>
      <c r="BS338" s="80">
        <f>IF(AND(BE338=1,D338="Malcolm",BA338&gt;0),MIN(BH338,SUMPRODUCT((R_Emp="proMX")*(R_EN&gt;0)*((R_EN-(R_EN&gt;BR338)*(R_EN-BR338))&gt;(R_SN+(R_SN&lt;BQ338)*(BQ338-R_SN)))*((R_EN-(R_EN&gt;BR338)*(R_EN-BR338))-(R_SN+(R_SN&lt;BQ338)*(BQ338-R_SN))))/60),0)</f>
        <v>0</v>
      </c>
      <c r="BT338" s="80">
        <f>IF(AND(BE338=1,D338="proMX"),ROUND(BI338*CFG_RATE+BJ338*CFG_OTRATE,6),0)</f>
        <v>0</v>
      </c>
      <c r="BU338" s="80">
        <f>IF(AND(BD338=1,D338="proMX"),ROUND(AG338/CFG_BLK,6),0)</f>
        <v>0</v>
      </c>
      <c r="BV338" s="80" t="str">
        <f>IF(BF338="Approved",IF(ISNUMBER(T338),INT(T338),INT(B338)),"")</f>
        <v/>
      </c>
      <c r="BW338" s="80">
        <f>IF(ISNUMBER(B338),IF(DB_MON="Todos",1,IF(AND(INT(B338)&gt;=DB_MS,INT(B338)&lt;=DB_ME),1,0)),0)</f>
        <v>0</v>
      </c>
      <c r="BX338" s="80">
        <f>IF(DB_PROJ="Todos",1,IF(E338&amp;""=DB_PROJ&amp;"",1,0))</f>
        <v>1</v>
      </c>
      <c r="BY338" s="80">
        <f>BW338*BX338</f>
        <v>0</v>
      </c>
      <c r="BZ338" s="80" t="str">
        <f>IF(Y338=1,F338&amp;IF(AND(F338&amp;""&lt;&gt;"",E338&amp;""&lt;&gt;"")," · ","")&amp;E338,"")</f>
        <v/>
      </c>
      <c r="CA338" s="80" t="str">
        <f>IF(AND(BD338=1,E338&amp;""&lt;&gt;""),IF(COUNTIFS($E$5:E337,E338,$BD$5:BD337,1)=0,MAX($CA$5:CA337)+1,""),"")</f>
        <v/>
      </c>
      <c r="CB338" s="80" t="str">
        <f>IF(AND(BE338=1,D338="Malcolm",E338&amp;""&lt;&gt;""),IF(COUNTIFS($D$5:D337,"Malcolm",$E$5:E337,E338,$BE$5:BE337,1)=0,MAX($CB$5:CB337)+1,""),"")</f>
        <v/>
      </c>
      <c r="CC338" s="80" t="str">
        <f>IF(AND(BD338=1,D338="proMX",E338&amp;""&lt;&gt;""),IF(COUNTIFS($D$5:D337,"proMX",$E$5:E337,E338,$BD$5:BD337,1)=0,MAX($CC$5:CC337)+1,""),"")</f>
        <v/>
      </c>
      <c r="CD338" s="80" t="str">
        <f>IF(AND(BE338=1,D338="Malcolm",F338&amp;""&lt;&gt;""),IF(COUNTIFS($D$5:D337,"Malcolm",$F$5:F337,F338,$BE$5:BE337,1)=0,MAX($CD$5:CD337)+1,""),"")</f>
        <v/>
      </c>
      <c r="CE338" s="80" t="str">
        <f>IF(AND(BD338=1,D338="proMX",F338&amp;""&lt;&gt;""),IF(COUNTIFS($D$5:D337,"proMX",$F$5:F337,F338,$BD$5:BD337,1)=0,MAX($CE$5:CE337)+1,""),"")</f>
        <v/>
      </c>
      <c r="CF338" s="80" t="str">
        <f>IF(AND(D338="proMX",BD338=1),IF(OR(BF338="Draft",BF338="Submitted",BF338="Returned",BF338="Recall Requested"),MAX($CF$5:CF337)+1,""),"")</f>
        <v/>
      </c>
      <c r="CG338" s="80">
        <f>IF(BD338=0,0,IF(D338="Malcolm",1,MATCH(BF338,{"Draft","Submitted","Approved","Returned","Recall Requested","Cancelled"},0)+1))</f>
        <v>0</v>
      </c>
      <c r="CH338" s="80">
        <f>IF(AND(BF338="Submitted",ISNUMBER(V338)),IF(V338&gt;CFG_MAXD,1,0),0)</f>
        <v>0</v>
      </c>
    </row>
    <row r="339">
      <c r="A339" s="71" t="str">
        <f>IF(Y339=1,ROW()-5,"")</f>
        <v/>
      </c>
      <c r="B339" s="72" t="n"/>
      <c r="C339" s="71" t="str">
        <f>IF(ISNUMBER(B339),CHOOSE(WEEKDAY(B339,2),"Lun","Mar","Mié","Jue","Vie","Sáb","Dom"),"")</f>
        <v/>
      </c>
      <c r="D339" s="73" t="n"/>
      <c r="E339" s="74" t="n"/>
      <c r="F339" s="74" t="n"/>
      <c r="G339" s="74" t="n"/>
      <c r="H339" s="75" t="n"/>
      <c r="I339" s="75" t="n"/>
      <c r="J339" s="76" t="n"/>
      <c r="K339" s="77" t="str">
        <f>IF(AB339=1,ROUND(AG339/60,4),"")</f>
        <v/>
      </c>
      <c r="L339" s="77" t="str">
        <f>IF(BD339=1,ROUND(AP339/60,4),"")</f>
        <v/>
      </c>
      <c r="M339" s="77" t="str">
        <f>IF(BD339=1,ROUND(AQ339/60,4),"")</f>
        <v/>
      </c>
      <c r="N339" s="71" t="str">
        <f>IF(AND(D339="proMX",AB339=1),ROUND(AG339/CFG_BLK,2),"")</f>
        <v/>
      </c>
      <c r="O339" s="77" t="str">
        <f>IF(D339="proMX",IF(BD339=1,ROUND(AG339/60,4),0),"")</f>
        <v/>
      </c>
      <c r="P339" s="78" t="str">
        <f>IF(Y339=0,"",IF(BD339=1,"OK",IF(D339="proMX","Revisar bloques: ","Revisar: ")&amp;BC339))</f>
        <v/>
      </c>
      <c r="Q339" s="78" t="str">
        <f>IF(NOT(ISNUMBER(B339)),"",IF(COUNTIFS(FER_F,INT(B339))&gt;0,"Feriado"&amp;IF(AH339=1," (laborable)"," (no laborable)"),IF(AH339=1,"Laborable",IF(WEEKDAY(B339,2)&gt;5,"Fin de semana","No laborable"))))</f>
        <v/>
      </c>
      <c r="R339" s="73" t="n"/>
      <c r="S339" s="72" t="n"/>
      <c r="T339" s="72" t="n"/>
      <c r="U339" s="74" t="n"/>
      <c r="V339" s="79" t="str">
        <f>IF(AND(D339="proMX",OR(R339="Submitted",R339="Recall Requested"),ISNUMBER(S339)),CFG_TODAY-INT(S339),"")</f>
        <v/>
      </c>
      <c r="W339" s="78" t="str">
        <f>IF(BD339=0,"",IF(BA339&gt;0,"⚠ Se superpone con un registro de la otra empresa",IF(D339="Malcolm",IF(COUNTA(R339,S339,T339)&gt;0,"Estado/fechas proMX se ignoran en Malcolm",""),IF(BF339="Cancelled","Cancelado: excluido de totales",IF(R339="","Sin estado: se trata como Draft",IF(BF339="Submitted",IF(ISNUMBER(V339),IF(V339&gt;CFG_MAXD,"⚠ "&amp;V339&amp;" días en Submitted (máx. "&amp;CFG_MAXD&amp;")",""),"Falta fecha de envío"),IF(BF339="Returned","⚠ Devuelto: corregir y reenviar",IF(BF339="Recall Requested","Retirada solicitada: pendiente",IF(AND(BF339="Approved",NOT(ISNUMBER(T339))),"Falta fecha de aprobación",IF(AND(ISNUMBER(S339),ISNUMBER(T339),T339&lt;S339),"Aprobación anterior al envío","")))))))))</f>
        <v/>
      </c>
      <c r="Y339" s="80">
        <f>IF(COUNTA(B339,D339,E339,F339,G339,H339,I339,J339,R339,S339,T339)&gt;0,1,0)</f>
        <v>0</v>
      </c>
      <c r="Z339" s="80" t="str">
        <f>IF(AND(ISNUMBER(H339),H339&gt;=0,H339&lt;1),ROUND(H339*1440,0),"")</f>
        <v/>
      </c>
      <c r="AA339" s="80" t="str">
        <f>IF(AND(ISNUMBER(I339),I339&gt;=0,I339&lt;1),ROUND(I339*1440,0),"")</f>
        <v/>
      </c>
      <c r="AB339" s="80">
        <f>IF(AND(ISNUMBER(B339),D339&lt;&gt;"",ISNUMBER(Z339),ISNUMBER(AA339)),IF(Z339=AA339,0,1),0)</f>
        <v>0</v>
      </c>
      <c r="AC339" s="80">
        <f>IF(AB339=1,IF(AA339&lt;Z339,1,0),0)</f>
        <v>0</v>
      </c>
      <c r="AD339" s="80">
        <f>IF(AB339=1,IF(AC339=1,1440-Z339+AA339,AA339-Z339),0)</f>
        <v>0</v>
      </c>
      <c r="AE339" s="80">
        <f>IF(J339="",0,IF(ISNUMBER(J339),J339,-1))</f>
        <v>0</v>
      </c>
      <c r="AF339" s="80">
        <f>MIN(MAX(0,AE339),AD339)</f>
        <v>0</v>
      </c>
      <c r="AG339" s="80">
        <f>MAX(0,AD339-MAX(0,AE339))</f>
        <v>0</v>
      </c>
      <c r="AH339" s="80">
        <f>IF(ISNUMBER(B339),IF(AND(INDEX(CFG_WDAYS,WEEKDAY(INT(B339),2))="Sí",IF(D339="proMX",COUNTIFS(FER_F,INT(B339),FER_NLP,"Sí"),COUNTIFS(FER_F,INT(B339),FER_NLM,"Sí"))=0),1,0),0)</f>
        <v>0</v>
      </c>
      <c r="AI339" s="80">
        <f>IF(AC339=1,IF(AND(INDEX(CFG_WDAYS,WEEKDAY(INT(B339)+1,2))="Sí",IF(D339="proMX",COUNTIFS(FER_F,INT(B339)+1,FER_NLP,"Sí"),COUNTIFS(FER_F,INT(B339)+1,FER_NLM,"Sí"))=0),1,0),0)</f>
        <v>0</v>
      </c>
      <c r="AJ339" s="80">
        <f>IF(AC339=1,1440-Z339,AD339)</f>
        <v>0</v>
      </c>
      <c r="AK339" s="80">
        <f>IF(AND(AB339=1,AH339=1),MAX(0,MIN(IF(AC339=1,1440,AA339),CFG_WEM)-MAX(Z339,CFG_WSM)),0)</f>
        <v>0</v>
      </c>
      <c r="AL339" s="80">
        <f>IF(AND(AC339=1,AI339=1),MAX(0,MIN(AA339,CFG_WEM)-CFG_WSM),0)</f>
        <v>0</v>
      </c>
      <c r="AM339" s="80">
        <f>AK339+AL339</f>
        <v>0</v>
      </c>
      <c r="AN339" s="80">
        <f>IF(CFG_BRK="Proporcional",IF(AD339=0,0,AF339*AM339/AD339),IF(CFG_BRK="Extras primero",MIN(AM339,MAX(0,AF339-(AD339-AM339))),MIN(AF339,AM339)))</f>
        <v>0</v>
      </c>
      <c r="AO339" s="80">
        <f>AF339-AN339</f>
        <v>0</v>
      </c>
      <c r="AP339" s="80">
        <f>AM339-AN339</f>
        <v>0</v>
      </c>
      <c r="AQ339" s="80">
        <f>AD339-AM339-AO339</f>
        <v>0</v>
      </c>
      <c r="AR339" s="80">
        <f>IF(AM339=0,0,AK339-AN339*AK339/AM339)</f>
        <v>0</v>
      </c>
      <c r="AS339" s="80">
        <f>IF(AD339-AM339=0,0,(AJ339-AK339)-AO339*(AJ339-AK339)/(AD339-AM339))</f>
        <v>0</v>
      </c>
      <c r="AT339" s="80" t="str">
        <f>IF(AC339=1,INT(B339)+1,"")</f>
        <v/>
      </c>
      <c r="AU339" s="80">
        <f>IF(AND(D339="proMX",R339="Cancelled"),0,1)</f>
        <v>1</v>
      </c>
      <c r="AV339" s="80">
        <f>IF(AND(AB339=1,AU339=1),IF(COUNTIFS($D$5:D338,D339,$B$5:B338,B339,$Z$5:Z338,Z339,$AA$5:AA338,AA339,$F$5:F338,F339&amp;"",$AU$5:AU338,1)&gt;0,1,0),0)</f>
        <v>0</v>
      </c>
      <c r="AW339" s="80" t="str">
        <f>IF(AB339=1,INT(B339)*1440+Z339,"")</f>
        <v/>
      </c>
      <c r="AX339" s="80" t="str">
        <f>IF(AB339=1,AW339+AD339,"")</f>
        <v/>
      </c>
      <c r="AY339" s="80">
        <f>IF(AND(AB339=1,AV339=0,AU339=1),1,0)</f>
        <v>0</v>
      </c>
      <c r="AZ339" s="80">
        <f>IF(AY339=1,COUNTIFS(R_Emp,D339,R_SAbs,"&lt;"&amp;AX339,R_EAbs,"&gt;"&amp;AW339,R_OKey,1)-1,0)</f>
        <v>0</v>
      </c>
      <c r="BA339" s="80">
        <f>IF(AY339=1,COUNTIFS(R_Emp,"&lt;&gt;"&amp;D339,R_SAbs,"&lt;"&amp;AX339,R_EAbs,"&gt;"&amp;AW339,R_OKey,1),0)</f>
        <v>0</v>
      </c>
      <c r="BB339" s="80">
        <f>IF(AND(AB339=1,D339="proMX"),IF(AND(MOD(Z339,CFG_BLK)=0,MOD(AA339,CFG_BLK)=0,MOD(AG339,CFG_BLK)=0,AG339&gt;0),1,0),1)</f>
        <v>1</v>
      </c>
      <c r="BC339" s="80" t="str">
        <f>IF(Y339=0,"",IF(NOT(ISNUMBER(B339)),"Falta fecha o fecha inválida",IF(D339="","Falta empresa",IF(AND(D339&lt;&gt;"Malcolm",D339&lt;&gt;"proMX"),"Empresa inválida",IF(OR(INT(B339)&lt;CFG_PSTART,INT(B339)&gt;CFG_PEND),"Fecha fuera del período",IF(OR(NOT(ISNUMBER(Z339)),NOT(ISNUMBER(AA339))),"Falta hora inicio/fin o formato inválido",IF(AB339=0,"Hora inicio = hora fin",IF(AE339&lt;0,"Descanso inválido",IF(AE339&gt;=AD339,"Descanso ≥ duración",IF(AV339=1,"Registro duplicado",IF(AZ339&gt;0,"Se superpone con otro registro "&amp;D339,IF(BB339=0,"inicio, fin y duración neta deben ser múltiplos de "&amp;CFG_BLK&amp;" min",""))))))))))))</f>
        <v/>
      </c>
      <c r="BD339" s="80">
        <f>IF(AND(Y339=1,BC339=""),1,0)</f>
        <v>0</v>
      </c>
      <c r="BE339" s="80">
        <f>IF(AND(BD339=1,AU339=1),1,0)</f>
        <v>0</v>
      </c>
      <c r="BF339" s="80" t="str">
        <f>IF(AND(D339="proMX",BD339=1),IF(R339="","Draft",R339),"")</f>
        <v/>
      </c>
      <c r="BG339" s="80">
        <f>IF(BD339=1,ROUND(AG339/60,6),0)</f>
        <v>0</v>
      </c>
      <c r="BH339" s="80">
        <f>IF(BE339=1,ROUND(AG339/60,6),0)</f>
        <v>0</v>
      </c>
      <c r="BI339" s="80">
        <f>IF(BE339=1,ROUND(AP339/60,6),0)</f>
        <v>0</v>
      </c>
      <c r="BJ339" s="80">
        <f>IF(BE339=1,ROUND(AQ339/60,6),0)</f>
        <v>0</v>
      </c>
      <c r="BK339" s="80">
        <f>IF(BE339=1,ROUND((AR339+AS339)/60,6),0)</f>
        <v>0</v>
      </c>
      <c r="BL339" s="80">
        <f>ROUND(BH339-BK339,6)</f>
        <v>0</v>
      </c>
      <c r="BM339" s="80">
        <f>IF(BE339=1,ROUND(AR339/60,6),0)</f>
        <v>0</v>
      </c>
      <c r="BN339" s="80">
        <f>ROUND(BI339-BM339,6)</f>
        <v>0</v>
      </c>
      <c r="BO339" s="80">
        <f>IF(BE339=1,ROUND(AS339/60,6),0)</f>
        <v>0</v>
      </c>
      <c r="BP339" s="80">
        <f>ROUND(BJ339-BO339,6)</f>
        <v>0</v>
      </c>
      <c r="BQ339" s="80">
        <f>IF(BE339=1,AW339,0)</f>
        <v>0</v>
      </c>
      <c r="BR339" s="80">
        <f>IF(BE339=1,AX339,0)</f>
        <v>0</v>
      </c>
      <c r="BS339" s="80">
        <f>IF(AND(BE339=1,D339="Malcolm",BA339&gt;0),MIN(BH339,SUMPRODUCT((R_Emp="proMX")*(R_EN&gt;0)*((R_EN-(R_EN&gt;BR339)*(R_EN-BR339))&gt;(R_SN+(R_SN&lt;BQ339)*(BQ339-R_SN)))*((R_EN-(R_EN&gt;BR339)*(R_EN-BR339))-(R_SN+(R_SN&lt;BQ339)*(BQ339-R_SN))))/60),0)</f>
        <v>0</v>
      </c>
      <c r="BT339" s="80">
        <f>IF(AND(BE339=1,D339="proMX"),ROUND(BI339*CFG_RATE+BJ339*CFG_OTRATE,6),0)</f>
        <v>0</v>
      </c>
      <c r="BU339" s="80">
        <f>IF(AND(BD339=1,D339="proMX"),ROUND(AG339/CFG_BLK,6),0)</f>
        <v>0</v>
      </c>
      <c r="BV339" s="80" t="str">
        <f>IF(BF339="Approved",IF(ISNUMBER(T339),INT(T339),INT(B339)),"")</f>
        <v/>
      </c>
      <c r="BW339" s="80">
        <f>IF(ISNUMBER(B339),IF(DB_MON="Todos",1,IF(AND(INT(B339)&gt;=DB_MS,INT(B339)&lt;=DB_ME),1,0)),0)</f>
        <v>0</v>
      </c>
      <c r="BX339" s="80">
        <f>IF(DB_PROJ="Todos",1,IF(E339&amp;""=DB_PROJ&amp;"",1,0))</f>
        <v>1</v>
      </c>
      <c r="BY339" s="80">
        <f>BW339*BX339</f>
        <v>0</v>
      </c>
      <c r="BZ339" s="80" t="str">
        <f>IF(Y339=1,F339&amp;IF(AND(F339&amp;""&lt;&gt;"",E339&amp;""&lt;&gt;"")," · ","")&amp;E339,"")</f>
        <v/>
      </c>
      <c r="CA339" s="80" t="str">
        <f>IF(AND(BD339=1,E339&amp;""&lt;&gt;""),IF(COUNTIFS($E$5:E338,E339,$BD$5:BD338,1)=0,MAX($CA$5:CA338)+1,""),"")</f>
        <v/>
      </c>
      <c r="CB339" s="80" t="str">
        <f>IF(AND(BE339=1,D339="Malcolm",E339&amp;""&lt;&gt;""),IF(COUNTIFS($D$5:D338,"Malcolm",$E$5:E338,E339,$BE$5:BE338,1)=0,MAX($CB$5:CB338)+1,""),"")</f>
        <v/>
      </c>
      <c r="CC339" s="80" t="str">
        <f>IF(AND(BD339=1,D339="proMX",E339&amp;""&lt;&gt;""),IF(COUNTIFS($D$5:D338,"proMX",$E$5:E338,E339,$BD$5:BD338,1)=0,MAX($CC$5:CC338)+1,""),"")</f>
        <v/>
      </c>
      <c r="CD339" s="80" t="str">
        <f>IF(AND(BE339=1,D339="Malcolm",F339&amp;""&lt;&gt;""),IF(COUNTIFS($D$5:D338,"Malcolm",$F$5:F338,F339,$BE$5:BE338,1)=0,MAX($CD$5:CD338)+1,""),"")</f>
        <v/>
      </c>
      <c r="CE339" s="80" t="str">
        <f>IF(AND(BD339=1,D339="proMX",F339&amp;""&lt;&gt;""),IF(COUNTIFS($D$5:D338,"proMX",$F$5:F338,F339,$BD$5:BD338,1)=0,MAX($CE$5:CE338)+1,""),"")</f>
        <v/>
      </c>
      <c r="CF339" s="80" t="str">
        <f>IF(AND(D339="proMX",BD339=1),IF(OR(BF339="Draft",BF339="Submitted",BF339="Returned",BF339="Recall Requested"),MAX($CF$5:CF338)+1,""),"")</f>
        <v/>
      </c>
      <c r="CG339" s="80">
        <f>IF(BD339=0,0,IF(D339="Malcolm",1,MATCH(BF339,{"Draft","Submitted","Approved","Returned","Recall Requested","Cancelled"},0)+1))</f>
        <v>0</v>
      </c>
      <c r="CH339" s="80">
        <f>IF(AND(BF339="Submitted",ISNUMBER(V339)),IF(V339&gt;CFG_MAXD,1,0),0)</f>
        <v>0</v>
      </c>
    </row>
    <row r="340">
      <c r="A340" s="71" t="str">
        <f>IF(Y340=1,ROW()-5,"")</f>
        <v/>
      </c>
      <c r="B340" s="72" t="n"/>
      <c r="C340" s="71" t="str">
        <f>IF(ISNUMBER(B340),CHOOSE(WEEKDAY(B340,2),"Lun","Mar","Mié","Jue","Vie","Sáb","Dom"),"")</f>
        <v/>
      </c>
      <c r="D340" s="73" t="n"/>
      <c r="E340" s="74" t="n"/>
      <c r="F340" s="74" t="n"/>
      <c r="G340" s="74" t="n"/>
      <c r="H340" s="75" t="n"/>
      <c r="I340" s="75" t="n"/>
      <c r="J340" s="76" t="n"/>
      <c r="K340" s="77" t="str">
        <f>IF(AB340=1,ROUND(AG340/60,4),"")</f>
        <v/>
      </c>
      <c r="L340" s="77" t="str">
        <f>IF(BD340=1,ROUND(AP340/60,4),"")</f>
        <v/>
      </c>
      <c r="M340" s="77" t="str">
        <f>IF(BD340=1,ROUND(AQ340/60,4),"")</f>
        <v/>
      </c>
      <c r="N340" s="71" t="str">
        <f>IF(AND(D340="proMX",AB340=1),ROUND(AG340/CFG_BLK,2),"")</f>
        <v/>
      </c>
      <c r="O340" s="77" t="str">
        <f>IF(D340="proMX",IF(BD340=1,ROUND(AG340/60,4),0),"")</f>
        <v/>
      </c>
      <c r="P340" s="78" t="str">
        <f>IF(Y340=0,"",IF(BD340=1,"OK",IF(D340="proMX","Revisar bloques: ","Revisar: ")&amp;BC340))</f>
        <v/>
      </c>
      <c r="Q340" s="78" t="str">
        <f>IF(NOT(ISNUMBER(B340)),"",IF(COUNTIFS(FER_F,INT(B340))&gt;0,"Feriado"&amp;IF(AH340=1," (laborable)"," (no laborable)"),IF(AH340=1,"Laborable",IF(WEEKDAY(B340,2)&gt;5,"Fin de semana","No laborable"))))</f>
        <v/>
      </c>
      <c r="R340" s="73" t="n"/>
      <c r="S340" s="72" t="n"/>
      <c r="T340" s="72" t="n"/>
      <c r="U340" s="74" t="n"/>
      <c r="V340" s="79" t="str">
        <f>IF(AND(D340="proMX",OR(R340="Submitted",R340="Recall Requested"),ISNUMBER(S340)),CFG_TODAY-INT(S340),"")</f>
        <v/>
      </c>
      <c r="W340" s="78" t="str">
        <f>IF(BD340=0,"",IF(BA340&gt;0,"⚠ Se superpone con un registro de la otra empresa",IF(D340="Malcolm",IF(COUNTA(R340,S340,T340)&gt;0,"Estado/fechas proMX se ignoran en Malcolm",""),IF(BF340="Cancelled","Cancelado: excluido de totales",IF(R340="","Sin estado: se trata como Draft",IF(BF340="Submitted",IF(ISNUMBER(V340),IF(V340&gt;CFG_MAXD,"⚠ "&amp;V340&amp;" días en Submitted (máx. "&amp;CFG_MAXD&amp;")",""),"Falta fecha de envío"),IF(BF340="Returned","⚠ Devuelto: corregir y reenviar",IF(BF340="Recall Requested","Retirada solicitada: pendiente",IF(AND(BF340="Approved",NOT(ISNUMBER(T340))),"Falta fecha de aprobación",IF(AND(ISNUMBER(S340),ISNUMBER(T340),T340&lt;S340),"Aprobación anterior al envío","")))))))))</f>
        <v/>
      </c>
      <c r="Y340" s="80">
        <f>IF(COUNTA(B340,D340,E340,F340,G340,H340,I340,J340,R340,S340,T340)&gt;0,1,0)</f>
        <v>0</v>
      </c>
      <c r="Z340" s="80" t="str">
        <f>IF(AND(ISNUMBER(H340),H340&gt;=0,H340&lt;1),ROUND(H340*1440,0),"")</f>
        <v/>
      </c>
      <c r="AA340" s="80" t="str">
        <f>IF(AND(ISNUMBER(I340),I340&gt;=0,I340&lt;1),ROUND(I340*1440,0),"")</f>
        <v/>
      </c>
      <c r="AB340" s="80">
        <f>IF(AND(ISNUMBER(B340),D340&lt;&gt;"",ISNUMBER(Z340),ISNUMBER(AA340)),IF(Z340=AA340,0,1),0)</f>
        <v>0</v>
      </c>
      <c r="AC340" s="80">
        <f>IF(AB340=1,IF(AA340&lt;Z340,1,0),0)</f>
        <v>0</v>
      </c>
      <c r="AD340" s="80">
        <f>IF(AB340=1,IF(AC340=1,1440-Z340+AA340,AA340-Z340),0)</f>
        <v>0</v>
      </c>
      <c r="AE340" s="80">
        <f>IF(J340="",0,IF(ISNUMBER(J340),J340,-1))</f>
        <v>0</v>
      </c>
      <c r="AF340" s="80">
        <f>MIN(MAX(0,AE340),AD340)</f>
        <v>0</v>
      </c>
      <c r="AG340" s="80">
        <f>MAX(0,AD340-MAX(0,AE340))</f>
        <v>0</v>
      </c>
      <c r="AH340" s="80">
        <f>IF(ISNUMBER(B340),IF(AND(INDEX(CFG_WDAYS,WEEKDAY(INT(B340),2))="Sí",IF(D340="proMX",COUNTIFS(FER_F,INT(B340),FER_NLP,"Sí"),COUNTIFS(FER_F,INT(B340),FER_NLM,"Sí"))=0),1,0),0)</f>
        <v>0</v>
      </c>
      <c r="AI340" s="80">
        <f>IF(AC340=1,IF(AND(INDEX(CFG_WDAYS,WEEKDAY(INT(B340)+1,2))="Sí",IF(D340="proMX",COUNTIFS(FER_F,INT(B340)+1,FER_NLP,"Sí"),COUNTIFS(FER_F,INT(B340)+1,FER_NLM,"Sí"))=0),1,0),0)</f>
        <v>0</v>
      </c>
      <c r="AJ340" s="80">
        <f>IF(AC340=1,1440-Z340,AD340)</f>
        <v>0</v>
      </c>
      <c r="AK340" s="80">
        <f>IF(AND(AB340=1,AH340=1),MAX(0,MIN(IF(AC340=1,1440,AA340),CFG_WEM)-MAX(Z340,CFG_WSM)),0)</f>
        <v>0</v>
      </c>
      <c r="AL340" s="80">
        <f>IF(AND(AC340=1,AI340=1),MAX(0,MIN(AA340,CFG_WEM)-CFG_WSM),0)</f>
        <v>0</v>
      </c>
      <c r="AM340" s="80">
        <f>AK340+AL340</f>
        <v>0</v>
      </c>
      <c r="AN340" s="80">
        <f>IF(CFG_BRK="Proporcional",IF(AD340=0,0,AF340*AM340/AD340),IF(CFG_BRK="Extras primero",MIN(AM340,MAX(0,AF340-(AD340-AM340))),MIN(AF340,AM340)))</f>
        <v>0</v>
      </c>
      <c r="AO340" s="80">
        <f>AF340-AN340</f>
        <v>0</v>
      </c>
      <c r="AP340" s="80">
        <f>AM340-AN340</f>
        <v>0</v>
      </c>
      <c r="AQ340" s="80">
        <f>AD340-AM340-AO340</f>
        <v>0</v>
      </c>
      <c r="AR340" s="80">
        <f>IF(AM340=0,0,AK340-AN340*AK340/AM340)</f>
        <v>0</v>
      </c>
      <c r="AS340" s="80">
        <f>IF(AD340-AM340=0,0,(AJ340-AK340)-AO340*(AJ340-AK340)/(AD340-AM340))</f>
        <v>0</v>
      </c>
      <c r="AT340" s="80" t="str">
        <f>IF(AC340=1,INT(B340)+1,"")</f>
        <v/>
      </c>
      <c r="AU340" s="80">
        <f>IF(AND(D340="proMX",R340="Cancelled"),0,1)</f>
        <v>1</v>
      </c>
      <c r="AV340" s="80">
        <f>IF(AND(AB340=1,AU340=1),IF(COUNTIFS($D$5:D339,D340,$B$5:B339,B340,$Z$5:Z339,Z340,$AA$5:AA339,AA340,$F$5:F339,F340&amp;"",$AU$5:AU339,1)&gt;0,1,0),0)</f>
        <v>0</v>
      </c>
      <c r="AW340" s="80" t="str">
        <f>IF(AB340=1,INT(B340)*1440+Z340,"")</f>
        <v/>
      </c>
      <c r="AX340" s="80" t="str">
        <f>IF(AB340=1,AW340+AD340,"")</f>
        <v/>
      </c>
      <c r="AY340" s="80">
        <f>IF(AND(AB340=1,AV340=0,AU340=1),1,0)</f>
        <v>0</v>
      </c>
      <c r="AZ340" s="80">
        <f>IF(AY340=1,COUNTIFS(R_Emp,D340,R_SAbs,"&lt;"&amp;AX340,R_EAbs,"&gt;"&amp;AW340,R_OKey,1)-1,0)</f>
        <v>0</v>
      </c>
      <c r="BA340" s="80">
        <f>IF(AY340=1,COUNTIFS(R_Emp,"&lt;&gt;"&amp;D340,R_SAbs,"&lt;"&amp;AX340,R_EAbs,"&gt;"&amp;AW340,R_OKey,1),0)</f>
        <v>0</v>
      </c>
      <c r="BB340" s="80">
        <f>IF(AND(AB340=1,D340="proMX"),IF(AND(MOD(Z340,CFG_BLK)=0,MOD(AA340,CFG_BLK)=0,MOD(AG340,CFG_BLK)=0,AG340&gt;0),1,0),1)</f>
        <v>1</v>
      </c>
      <c r="BC340" s="80" t="str">
        <f>IF(Y340=0,"",IF(NOT(ISNUMBER(B340)),"Falta fecha o fecha inválida",IF(D340="","Falta empresa",IF(AND(D340&lt;&gt;"Malcolm",D340&lt;&gt;"proMX"),"Empresa inválida",IF(OR(INT(B340)&lt;CFG_PSTART,INT(B340)&gt;CFG_PEND),"Fecha fuera del período",IF(OR(NOT(ISNUMBER(Z340)),NOT(ISNUMBER(AA340))),"Falta hora inicio/fin o formato inválido",IF(AB340=0,"Hora inicio = hora fin",IF(AE340&lt;0,"Descanso inválido",IF(AE340&gt;=AD340,"Descanso ≥ duración",IF(AV340=1,"Registro duplicado",IF(AZ340&gt;0,"Se superpone con otro registro "&amp;D340,IF(BB340=0,"inicio, fin y duración neta deben ser múltiplos de "&amp;CFG_BLK&amp;" min",""))))))))))))</f>
        <v/>
      </c>
      <c r="BD340" s="80">
        <f>IF(AND(Y340=1,BC340=""),1,0)</f>
        <v>0</v>
      </c>
      <c r="BE340" s="80">
        <f>IF(AND(BD340=1,AU340=1),1,0)</f>
        <v>0</v>
      </c>
      <c r="BF340" s="80" t="str">
        <f>IF(AND(D340="proMX",BD340=1),IF(R340="","Draft",R340),"")</f>
        <v/>
      </c>
      <c r="BG340" s="80">
        <f>IF(BD340=1,ROUND(AG340/60,6),0)</f>
        <v>0</v>
      </c>
      <c r="BH340" s="80">
        <f>IF(BE340=1,ROUND(AG340/60,6),0)</f>
        <v>0</v>
      </c>
      <c r="BI340" s="80">
        <f>IF(BE340=1,ROUND(AP340/60,6),0)</f>
        <v>0</v>
      </c>
      <c r="BJ340" s="80">
        <f>IF(BE340=1,ROUND(AQ340/60,6),0)</f>
        <v>0</v>
      </c>
      <c r="BK340" s="80">
        <f>IF(BE340=1,ROUND((AR340+AS340)/60,6),0)</f>
        <v>0</v>
      </c>
      <c r="BL340" s="80">
        <f>ROUND(BH340-BK340,6)</f>
        <v>0</v>
      </c>
      <c r="BM340" s="80">
        <f>IF(BE340=1,ROUND(AR340/60,6),0)</f>
        <v>0</v>
      </c>
      <c r="BN340" s="80">
        <f>ROUND(BI340-BM340,6)</f>
        <v>0</v>
      </c>
      <c r="BO340" s="80">
        <f>IF(BE340=1,ROUND(AS340/60,6),0)</f>
        <v>0</v>
      </c>
      <c r="BP340" s="80">
        <f>ROUND(BJ340-BO340,6)</f>
        <v>0</v>
      </c>
      <c r="BQ340" s="80">
        <f>IF(BE340=1,AW340,0)</f>
        <v>0</v>
      </c>
      <c r="BR340" s="80">
        <f>IF(BE340=1,AX340,0)</f>
        <v>0</v>
      </c>
      <c r="BS340" s="80">
        <f>IF(AND(BE340=1,D340="Malcolm",BA340&gt;0),MIN(BH340,SUMPRODUCT((R_Emp="proMX")*(R_EN&gt;0)*((R_EN-(R_EN&gt;BR340)*(R_EN-BR340))&gt;(R_SN+(R_SN&lt;BQ340)*(BQ340-R_SN)))*((R_EN-(R_EN&gt;BR340)*(R_EN-BR340))-(R_SN+(R_SN&lt;BQ340)*(BQ340-R_SN))))/60),0)</f>
        <v>0</v>
      </c>
      <c r="BT340" s="80">
        <f>IF(AND(BE340=1,D340="proMX"),ROUND(BI340*CFG_RATE+BJ340*CFG_OTRATE,6),0)</f>
        <v>0</v>
      </c>
      <c r="BU340" s="80">
        <f>IF(AND(BD340=1,D340="proMX"),ROUND(AG340/CFG_BLK,6),0)</f>
        <v>0</v>
      </c>
      <c r="BV340" s="80" t="str">
        <f>IF(BF340="Approved",IF(ISNUMBER(T340),INT(T340),INT(B340)),"")</f>
        <v/>
      </c>
      <c r="BW340" s="80">
        <f>IF(ISNUMBER(B340),IF(DB_MON="Todos",1,IF(AND(INT(B340)&gt;=DB_MS,INT(B340)&lt;=DB_ME),1,0)),0)</f>
        <v>0</v>
      </c>
      <c r="BX340" s="80">
        <f>IF(DB_PROJ="Todos",1,IF(E340&amp;""=DB_PROJ&amp;"",1,0))</f>
        <v>1</v>
      </c>
      <c r="BY340" s="80">
        <f>BW340*BX340</f>
        <v>0</v>
      </c>
      <c r="BZ340" s="80" t="str">
        <f>IF(Y340=1,F340&amp;IF(AND(F340&amp;""&lt;&gt;"",E340&amp;""&lt;&gt;"")," · ","")&amp;E340,"")</f>
        <v/>
      </c>
      <c r="CA340" s="80" t="str">
        <f>IF(AND(BD340=1,E340&amp;""&lt;&gt;""),IF(COUNTIFS($E$5:E339,E340,$BD$5:BD339,1)=0,MAX($CA$5:CA339)+1,""),"")</f>
        <v/>
      </c>
      <c r="CB340" s="80" t="str">
        <f>IF(AND(BE340=1,D340="Malcolm",E340&amp;""&lt;&gt;""),IF(COUNTIFS($D$5:D339,"Malcolm",$E$5:E339,E340,$BE$5:BE339,1)=0,MAX($CB$5:CB339)+1,""),"")</f>
        <v/>
      </c>
      <c r="CC340" s="80" t="str">
        <f>IF(AND(BD340=1,D340="proMX",E340&amp;""&lt;&gt;""),IF(COUNTIFS($D$5:D339,"proMX",$E$5:E339,E340,$BD$5:BD339,1)=0,MAX($CC$5:CC339)+1,""),"")</f>
        <v/>
      </c>
      <c r="CD340" s="80" t="str">
        <f>IF(AND(BE340=1,D340="Malcolm",F340&amp;""&lt;&gt;""),IF(COUNTIFS($D$5:D339,"Malcolm",$F$5:F339,F340,$BE$5:BE339,1)=0,MAX($CD$5:CD339)+1,""),"")</f>
        <v/>
      </c>
      <c r="CE340" s="80" t="str">
        <f>IF(AND(BD340=1,D340="proMX",F340&amp;""&lt;&gt;""),IF(COUNTIFS($D$5:D339,"proMX",$F$5:F339,F340,$BD$5:BD339,1)=0,MAX($CE$5:CE339)+1,""),"")</f>
        <v/>
      </c>
      <c r="CF340" s="80" t="str">
        <f>IF(AND(D340="proMX",BD340=1),IF(OR(BF340="Draft",BF340="Submitted",BF340="Returned",BF340="Recall Requested"),MAX($CF$5:CF339)+1,""),"")</f>
        <v/>
      </c>
      <c r="CG340" s="80">
        <f>IF(BD340=0,0,IF(D340="Malcolm",1,MATCH(BF340,{"Draft","Submitted","Approved","Returned","Recall Requested","Cancelled"},0)+1))</f>
        <v>0</v>
      </c>
      <c r="CH340" s="80">
        <f>IF(AND(BF340="Submitted",ISNUMBER(V340)),IF(V340&gt;CFG_MAXD,1,0),0)</f>
        <v>0</v>
      </c>
    </row>
    <row r="341">
      <c r="A341" s="71" t="str">
        <f>IF(Y341=1,ROW()-5,"")</f>
        <v/>
      </c>
      <c r="B341" s="72" t="n"/>
      <c r="C341" s="71" t="str">
        <f>IF(ISNUMBER(B341),CHOOSE(WEEKDAY(B341,2),"Lun","Mar","Mié","Jue","Vie","Sáb","Dom"),"")</f>
        <v/>
      </c>
      <c r="D341" s="73" t="n"/>
      <c r="E341" s="74" t="n"/>
      <c r="F341" s="74" t="n"/>
      <c r="G341" s="74" t="n"/>
      <c r="H341" s="75" t="n"/>
      <c r="I341" s="75" t="n"/>
      <c r="J341" s="76" t="n"/>
      <c r="K341" s="77" t="str">
        <f>IF(AB341=1,ROUND(AG341/60,4),"")</f>
        <v/>
      </c>
      <c r="L341" s="77" t="str">
        <f>IF(BD341=1,ROUND(AP341/60,4),"")</f>
        <v/>
      </c>
      <c r="M341" s="77" t="str">
        <f>IF(BD341=1,ROUND(AQ341/60,4),"")</f>
        <v/>
      </c>
      <c r="N341" s="71" t="str">
        <f>IF(AND(D341="proMX",AB341=1),ROUND(AG341/CFG_BLK,2),"")</f>
        <v/>
      </c>
      <c r="O341" s="77" t="str">
        <f>IF(D341="proMX",IF(BD341=1,ROUND(AG341/60,4),0),"")</f>
        <v/>
      </c>
      <c r="P341" s="78" t="str">
        <f>IF(Y341=0,"",IF(BD341=1,"OK",IF(D341="proMX","Revisar bloques: ","Revisar: ")&amp;BC341))</f>
        <v/>
      </c>
      <c r="Q341" s="78" t="str">
        <f>IF(NOT(ISNUMBER(B341)),"",IF(COUNTIFS(FER_F,INT(B341))&gt;0,"Feriado"&amp;IF(AH341=1," (laborable)"," (no laborable)"),IF(AH341=1,"Laborable",IF(WEEKDAY(B341,2)&gt;5,"Fin de semana","No laborable"))))</f>
        <v/>
      </c>
      <c r="R341" s="73" t="n"/>
      <c r="S341" s="72" t="n"/>
      <c r="T341" s="72" t="n"/>
      <c r="U341" s="74" t="n"/>
      <c r="V341" s="79" t="str">
        <f>IF(AND(D341="proMX",OR(R341="Submitted",R341="Recall Requested"),ISNUMBER(S341)),CFG_TODAY-INT(S341),"")</f>
        <v/>
      </c>
      <c r="W341" s="78" t="str">
        <f>IF(BD341=0,"",IF(BA341&gt;0,"⚠ Se superpone con un registro de la otra empresa",IF(D341="Malcolm",IF(COUNTA(R341,S341,T341)&gt;0,"Estado/fechas proMX se ignoran en Malcolm",""),IF(BF341="Cancelled","Cancelado: excluido de totales",IF(R341="","Sin estado: se trata como Draft",IF(BF341="Submitted",IF(ISNUMBER(V341),IF(V341&gt;CFG_MAXD,"⚠ "&amp;V341&amp;" días en Submitted (máx. "&amp;CFG_MAXD&amp;")",""),"Falta fecha de envío"),IF(BF341="Returned","⚠ Devuelto: corregir y reenviar",IF(BF341="Recall Requested","Retirada solicitada: pendiente",IF(AND(BF341="Approved",NOT(ISNUMBER(T341))),"Falta fecha de aprobación",IF(AND(ISNUMBER(S341),ISNUMBER(T341),T341&lt;S341),"Aprobación anterior al envío","")))))))))</f>
        <v/>
      </c>
      <c r="Y341" s="80">
        <f>IF(COUNTA(B341,D341,E341,F341,G341,H341,I341,J341,R341,S341,T341)&gt;0,1,0)</f>
        <v>0</v>
      </c>
      <c r="Z341" s="80" t="str">
        <f>IF(AND(ISNUMBER(H341),H341&gt;=0,H341&lt;1),ROUND(H341*1440,0),"")</f>
        <v/>
      </c>
      <c r="AA341" s="80" t="str">
        <f>IF(AND(ISNUMBER(I341),I341&gt;=0,I341&lt;1),ROUND(I341*1440,0),"")</f>
        <v/>
      </c>
      <c r="AB341" s="80">
        <f>IF(AND(ISNUMBER(B341),D341&lt;&gt;"",ISNUMBER(Z341),ISNUMBER(AA341)),IF(Z341=AA341,0,1),0)</f>
        <v>0</v>
      </c>
      <c r="AC341" s="80">
        <f>IF(AB341=1,IF(AA341&lt;Z341,1,0),0)</f>
        <v>0</v>
      </c>
      <c r="AD341" s="80">
        <f>IF(AB341=1,IF(AC341=1,1440-Z341+AA341,AA341-Z341),0)</f>
        <v>0</v>
      </c>
      <c r="AE341" s="80">
        <f>IF(J341="",0,IF(ISNUMBER(J341),J341,-1))</f>
        <v>0</v>
      </c>
      <c r="AF341" s="80">
        <f>MIN(MAX(0,AE341),AD341)</f>
        <v>0</v>
      </c>
      <c r="AG341" s="80">
        <f>MAX(0,AD341-MAX(0,AE341))</f>
        <v>0</v>
      </c>
      <c r="AH341" s="80">
        <f>IF(ISNUMBER(B341),IF(AND(INDEX(CFG_WDAYS,WEEKDAY(INT(B341),2))="Sí",IF(D341="proMX",COUNTIFS(FER_F,INT(B341),FER_NLP,"Sí"),COUNTIFS(FER_F,INT(B341),FER_NLM,"Sí"))=0),1,0),0)</f>
        <v>0</v>
      </c>
      <c r="AI341" s="80">
        <f>IF(AC341=1,IF(AND(INDEX(CFG_WDAYS,WEEKDAY(INT(B341)+1,2))="Sí",IF(D341="proMX",COUNTIFS(FER_F,INT(B341)+1,FER_NLP,"Sí"),COUNTIFS(FER_F,INT(B341)+1,FER_NLM,"Sí"))=0),1,0),0)</f>
        <v>0</v>
      </c>
      <c r="AJ341" s="80">
        <f>IF(AC341=1,1440-Z341,AD341)</f>
        <v>0</v>
      </c>
      <c r="AK341" s="80">
        <f>IF(AND(AB341=1,AH341=1),MAX(0,MIN(IF(AC341=1,1440,AA341),CFG_WEM)-MAX(Z341,CFG_WSM)),0)</f>
        <v>0</v>
      </c>
      <c r="AL341" s="80">
        <f>IF(AND(AC341=1,AI341=1),MAX(0,MIN(AA341,CFG_WEM)-CFG_WSM),0)</f>
        <v>0</v>
      </c>
      <c r="AM341" s="80">
        <f>AK341+AL341</f>
        <v>0</v>
      </c>
      <c r="AN341" s="80">
        <f>IF(CFG_BRK="Proporcional",IF(AD341=0,0,AF341*AM341/AD341),IF(CFG_BRK="Extras primero",MIN(AM341,MAX(0,AF341-(AD341-AM341))),MIN(AF341,AM341)))</f>
        <v>0</v>
      </c>
      <c r="AO341" s="80">
        <f>AF341-AN341</f>
        <v>0</v>
      </c>
      <c r="AP341" s="80">
        <f>AM341-AN341</f>
        <v>0</v>
      </c>
      <c r="AQ341" s="80">
        <f>AD341-AM341-AO341</f>
        <v>0</v>
      </c>
      <c r="AR341" s="80">
        <f>IF(AM341=0,0,AK341-AN341*AK341/AM341)</f>
        <v>0</v>
      </c>
      <c r="AS341" s="80">
        <f>IF(AD341-AM341=0,0,(AJ341-AK341)-AO341*(AJ341-AK341)/(AD341-AM341))</f>
        <v>0</v>
      </c>
      <c r="AT341" s="80" t="str">
        <f>IF(AC341=1,INT(B341)+1,"")</f>
        <v/>
      </c>
      <c r="AU341" s="80">
        <f>IF(AND(D341="proMX",R341="Cancelled"),0,1)</f>
        <v>1</v>
      </c>
      <c r="AV341" s="80">
        <f>IF(AND(AB341=1,AU341=1),IF(COUNTIFS($D$5:D340,D341,$B$5:B340,B341,$Z$5:Z340,Z341,$AA$5:AA340,AA341,$F$5:F340,F341&amp;"",$AU$5:AU340,1)&gt;0,1,0),0)</f>
        <v>0</v>
      </c>
      <c r="AW341" s="80" t="str">
        <f>IF(AB341=1,INT(B341)*1440+Z341,"")</f>
        <v/>
      </c>
      <c r="AX341" s="80" t="str">
        <f>IF(AB341=1,AW341+AD341,"")</f>
        <v/>
      </c>
      <c r="AY341" s="80">
        <f>IF(AND(AB341=1,AV341=0,AU341=1),1,0)</f>
        <v>0</v>
      </c>
      <c r="AZ341" s="80">
        <f>IF(AY341=1,COUNTIFS(R_Emp,D341,R_SAbs,"&lt;"&amp;AX341,R_EAbs,"&gt;"&amp;AW341,R_OKey,1)-1,0)</f>
        <v>0</v>
      </c>
      <c r="BA341" s="80">
        <f>IF(AY341=1,COUNTIFS(R_Emp,"&lt;&gt;"&amp;D341,R_SAbs,"&lt;"&amp;AX341,R_EAbs,"&gt;"&amp;AW341,R_OKey,1),0)</f>
        <v>0</v>
      </c>
      <c r="BB341" s="80">
        <f>IF(AND(AB341=1,D341="proMX"),IF(AND(MOD(Z341,CFG_BLK)=0,MOD(AA341,CFG_BLK)=0,MOD(AG341,CFG_BLK)=0,AG341&gt;0),1,0),1)</f>
        <v>1</v>
      </c>
      <c r="BC341" s="80" t="str">
        <f>IF(Y341=0,"",IF(NOT(ISNUMBER(B341)),"Falta fecha o fecha inválida",IF(D341="","Falta empresa",IF(AND(D341&lt;&gt;"Malcolm",D341&lt;&gt;"proMX"),"Empresa inválida",IF(OR(INT(B341)&lt;CFG_PSTART,INT(B341)&gt;CFG_PEND),"Fecha fuera del período",IF(OR(NOT(ISNUMBER(Z341)),NOT(ISNUMBER(AA341))),"Falta hora inicio/fin o formato inválido",IF(AB341=0,"Hora inicio = hora fin",IF(AE341&lt;0,"Descanso inválido",IF(AE341&gt;=AD341,"Descanso ≥ duración",IF(AV341=1,"Registro duplicado",IF(AZ341&gt;0,"Se superpone con otro registro "&amp;D341,IF(BB341=0,"inicio, fin y duración neta deben ser múltiplos de "&amp;CFG_BLK&amp;" min",""))))))))))))</f>
        <v/>
      </c>
      <c r="BD341" s="80">
        <f>IF(AND(Y341=1,BC341=""),1,0)</f>
        <v>0</v>
      </c>
      <c r="BE341" s="80">
        <f>IF(AND(BD341=1,AU341=1),1,0)</f>
        <v>0</v>
      </c>
      <c r="BF341" s="80" t="str">
        <f>IF(AND(D341="proMX",BD341=1),IF(R341="","Draft",R341),"")</f>
        <v/>
      </c>
      <c r="BG341" s="80">
        <f>IF(BD341=1,ROUND(AG341/60,6),0)</f>
        <v>0</v>
      </c>
      <c r="BH341" s="80">
        <f>IF(BE341=1,ROUND(AG341/60,6),0)</f>
        <v>0</v>
      </c>
      <c r="BI341" s="80">
        <f>IF(BE341=1,ROUND(AP341/60,6),0)</f>
        <v>0</v>
      </c>
      <c r="BJ341" s="80">
        <f>IF(BE341=1,ROUND(AQ341/60,6),0)</f>
        <v>0</v>
      </c>
      <c r="BK341" s="80">
        <f>IF(BE341=1,ROUND((AR341+AS341)/60,6),0)</f>
        <v>0</v>
      </c>
      <c r="BL341" s="80">
        <f>ROUND(BH341-BK341,6)</f>
        <v>0</v>
      </c>
      <c r="BM341" s="80">
        <f>IF(BE341=1,ROUND(AR341/60,6),0)</f>
        <v>0</v>
      </c>
      <c r="BN341" s="80">
        <f>ROUND(BI341-BM341,6)</f>
        <v>0</v>
      </c>
      <c r="BO341" s="80">
        <f>IF(BE341=1,ROUND(AS341/60,6),0)</f>
        <v>0</v>
      </c>
      <c r="BP341" s="80">
        <f>ROUND(BJ341-BO341,6)</f>
        <v>0</v>
      </c>
      <c r="BQ341" s="80">
        <f>IF(BE341=1,AW341,0)</f>
        <v>0</v>
      </c>
      <c r="BR341" s="80">
        <f>IF(BE341=1,AX341,0)</f>
        <v>0</v>
      </c>
      <c r="BS341" s="80">
        <f>IF(AND(BE341=1,D341="Malcolm",BA341&gt;0),MIN(BH341,SUMPRODUCT((R_Emp="proMX")*(R_EN&gt;0)*((R_EN-(R_EN&gt;BR341)*(R_EN-BR341))&gt;(R_SN+(R_SN&lt;BQ341)*(BQ341-R_SN)))*((R_EN-(R_EN&gt;BR341)*(R_EN-BR341))-(R_SN+(R_SN&lt;BQ341)*(BQ341-R_SN))))/60),0)</f>
        <v>0</v>
      </c>
      <c r="BT341" s="80">
        <f>IF(AND(BE341=1,D341="proMX"),ROUND(BI341*CFG_RATE+BJ341*CFG_OTRATE,6),0)</f>
        <v>0</v>
      </c>
      <c r="BU341" s="80">
        <f>IF(AND(BD341=1,D341="proMX"),ROUND(AG341/CFG_BLK,6),0)</f>
        <v>0</v>
      </c>
      <c r="BV341" s="80" t="str">
        <f>IF(BF341="Approved",IF(ISNUMBER(T341),INT(T341),INT(B341)),"")</f>
        <v/>
      </c>
      <c r="BW341" s="80">
        <f>IF(ISNUMBER(B341),IF(DB_MON="Todos",1,IF(AND(INT(B341)&gt;=DB_MS,INT(B341)&lt;=DB_ME),1,0)),0)</f>
        <v>0</v>
      </c>
      <c r="BX341" s="80">
        <f>IF(DB_PROJ="Todos",1,IF(E341&amp;""=DB_PROJ&amp;"",1,0))</f>
        <v>1</v>
      </c>
      <c r="BY341" s="80">
        <f>BW341*BX341</f>
        <v>0</v>
      </c>
      <c r="BZ341" s="80" t="str">
        <f>IF(Y341=1,F341&amp;IF(AND(F341&amp;""&lt;&gt;"",E341&amp;""&lt;&gt;"")," · ","")&amp;E341,"")</f>
        <v/>
      </c>
      <c r="CA341" s="80" t="str">
        <f>IF(AND(BD341=1,E341&amp;""&lt;&gt;""),IF(COUNTIFS($E$5:E340,E341,$BD$5:BD340,1)=0,MAX($CA$5:CA340)+1,""),"")</f>
        <v/>
      </c>
      <c r="CB341" s="80" t="str">
        <f>IF(AND(BE341=1,D341="Malcolm",E341&amp;""&lt;&gt;""),IF(COUNTIFS($D$5:D340,"Malcolm",$E$5:E340,E341,$BE$5:BE340,1)=0,MAX($CB$5:CB340)+1,""),"")</f>
        <v/>
      </c>
      <c r="CC341" s="80" t="str">
        <f>IF(AND(BD341=1,D341="proMX",E341&amp;""&lt;&gt;""),IF(COUNTIFS($D$5:D340,"proMX",$E$5:E340,E341,$BD$5:BD340,1)=0,MAX($CC$5:CC340)+1,""),"")</f>
        <v/>
      </c>
      <c r="CD341" s="80" t="str">
        <f>IF(AND(BE341=1,D341="Malcolm",F341&amp;""&lt;&gt;""),IF(COUNTIFS($D$5:D340,"Malcolm",$F$5:F340,F341,$BE$5:BE340,1)=0,MAX($CD$5:CD340)+1,""),"")</f>
        <v/>
      </c>
      <c r="CE341" s="80" t="str">
        <f>IF(AND(BD341=1,D341="proMX",F341&amp;""&lt;&gt;""),IF(COUNTIFS($D$5:D340,"proMX",$F$5:F340,F341,$BD$5:BD340,1)=0,MAX($CE$5:CE340)+1,""),"")</f>
        <v/>
      </c>
      <c r="CF341" s="80" t="str">
        <f>IF(AND(D341="proMX",BD341=1),IF(OR(BF341="Draft",BF341="Submitted",BF341="Returned",BF341="Recall Requested"),MAX($CF$5:CF340)+1,""),"")</f>
        <v/>
      </c>
      <c r="CG341" s="80">
        <f>IF(BD341=0,0,IF(D341="Malcolm",1,MATCH(BF341,{"Draft","Submitted","Approved","Returned","Recall Requested","Cancelled"},0)+1))</f>
        <v>0</v>
      </c>
      <c r="CH341" s="80">
        <f>IF(AND(BF341="Submitted",ISNUMBER(V341)),IF(V341&gt;CFG_MAXD,1,0),0)</f>
        <v>0</v>
      </c>
    </row>
    <row r="342">
      <c r="A342" s="71" t="str">
        <f>IF(Y342=1,ROW()-5,"")</f>
        <v/>
      </c>
      <c r="B342" s="72" t="n"/>
      <c r="C342" s="71" t="str">
        <f>IF(ISNUMBER(B342),CHOOSE(WEEKDAY(B342,2),"Lun","Mar","Mié","Jue","Vie","Sáb","Dom"),"")</f>
        <v/>
      </c>
      <c r="D342" s="73" t="n"/>
      <c r="E342" s="74" t="n"/>
      <c r="F342" s="74" t="n"/>
      <c r="G342" s="74" t="n"/>
      <c r="H342" s="75" t="n"/>
      <c r="I342" s="75" t="n"/>
      <c r="J342" s="76" t="n"/>
      <c r="K342" s="77" t="str">
        <f>IF(AB342=1,ROUND(AG342/60,4),"")</f>
        <v/>
      </c>
      <c r="L342" s="77" t="str">
        <f>IF(BD342=1,ROUND(AP342/60,4),"")</f>
        <v/>
      </c>
      <c r="M342" s="77" t="str">
        <f>IF(BD342=1,ROUND(AQ342/60,4),"")</f>
        <v/>
      </c>
      <c r="N342" s="71" t="str">
        <f>IF(AND(D342="proMX",AB342=1),ROUND(AG342/CFG_BLK,2),"")</f>
        <v/>
      </c>
      <c r="O342" s="77" t="str">
        <f>IF(D342="proMX",IF(BD342=1,ROUND(AG342/60,4),0),"")</f>
        <v/>
      </c>
      <c r="P342" s="78" t="str">
        <f>IF(Y342=0,"",IF(BD342=1,"OK",IF(D342="proMX","Revisar bloques: ","Revisar: ")&amp;BC342))</f>
        <v/>
      </c>
      <c r="Q342" s="78" t="str">
        <f>IF(NOT(ISNUMBER(B342)),"",IF(COUNTIFS(FER_F,INT(B342))&gt;0,"Feriado"&amp;IF(AH342=1," (laborable)"," (no laborable)"),IF(AH342=1,"Laborable",IF(WEEKDAY(B342,2)&gt;5,"Fin de semana","No laborable"))))</f>
        <v/>
      </c>
      <c r="R342" s="73" t="n"/>
      <c r="S342" s="72" t="n"/>
      <c r="T342" s="72" t="n"/>
      <c r="U342" s="74" t="n"/>
      <c r="V342" s="79" t="str">
        <f>IF(AND(D342="proMX",OR(R342="Submitted",R342="Recall Requested"),ISNUMBER(S342)),CFG_TODAY-INT(S342),"")</f>
        <v/>
      </c>
      <c r="W342" s="78" t="str">
        <f>IF(BD342=0,"",IF(BA342&gt;0,"⚠ Se superpone con un registro de la otra empresa",IF(D342="Malcolm",IF(COUNTA(R342,S342,T342)&gt;0,"Estado/fechas proMX se ignoran en Malcolm",""),IF(BF342="Cancelled","Cancelado: excluido de totales",IF(R342="","Sin estado: se trata como Draft",IF(BF342="Submitted",IF(ISNUMBER(V342),IF(V342&gt;CFG_MAXD,"⚠ "&amp;V342&amp;" días en Submitted (máx. "&amp;CFG_MAXD&amp;")",""),"Falta fecha de envío"),IF(BF342="Returned","⚠ Devuelto: corregir y reenviar",IF(BF342="Recall Requested","Retirada solicitada: pendiente",IF(AND(BF342="Approved",NOT(ISNUMBER(T342))),"Falta fecha de aprobación",IF(AND(ISNUMBER(S342),ISNUMBER(T342),T342&lt;S342),"Aprobación anterior al envío","")))))))))</f>
        <v/>
      </c>
      <c r="Y342" s="80">
        <f>IF(COUNTA(B342,D342,E342,F342,G342,H342,I342,J342,R342,S342,T342)&gt;0,1,0)</f>
        <v>0</v>
      </c>
      <c r="Z342" s="80" t="str">
        <f>IF(AND(ISNUMBER(H342),H342&gt;=0,H342&lt;1),ROUND(H342*1440,0),"")</f>
        <v/>
      </c>
      <c r="AA342" s="80" t="str">
        <f>IF(AND(ISNUMBER(I342),I342&gt;=0,I342&lt;1),ROUND(I342*1440,0),"")</f>
        <v/>
      </c>
      <c r="AB342" s="80">
        <f>IF(AND(ISNUMBER(B342),D342&lt;&gt;"",ISNUMBER(Z342),ISNUMBER(AA342)),IF(Z342=AA342,0,1),0)</f>
        <v>0</v>
      </c>
      <c r="AC342" s="80">
        <f>IF(AB342=1,IF(AA342&lt;Z342,1,0),0)</f>
        <v>0</v>
      </c>
      <c r="AD342" s="80">
        <f>IF(AB342=1,IF(AC342=1,1440-Z342+AA342,AA342-Z342),0)</f>
        <v>0</v>
      </c>
      <c r="AE342" s="80">
        <f>IF(J342="",0,IF(ISNUMBER(J342),J342,-1))</f>
        <v>0</v>
      </c>
      <c r="AF342" s="80">
        <f>MIN(MAX(0,AE342),AD342)</f>
        <v>0</v>
      </c>
      <c r="AG342" s="80">
        <f>MAX(0,AD342-MAX(0,AE342))</f>
        <v>0</v>
      </c>
      <c r="AH342" s="80">
        <f>IF(ISNUMBER(B342),IF(AND(INDEX(CFG_WDAYS,WEEKDAY(INT(B342),2))="Sí",IF(D342="proMX",COUNTIFS(FER_F,INT(B342),FER_NLP,"Sí"),COUNTIFS(FER_F,INT(B342),FER_NLM,"Sí"))=0),1,0),0)</f>
        <v>0</v>
      </c>
      <c r="AI342" s="80">
        <f>IF(AC342=1,IF(AND(INDEX(CFG_WDAYS,WEEKDAY(INT(B342)+1,2))="Sí",IF(D342="proMX",COUNTIFS(FER_F,INT(B342)+1,FER_NLP,"Sí"),COUNTIFS(FER_F,INT(B342)+1,FER_NLM,"Sí"))=0),1,0),0)</f>
        <v>0</v>
      </c>
      <c r="AJ342" s="80">
        <f>IF(AC342=1,1440-Z342,AD342)</f>
        <v>0</v>
      </c>
      <c r="AK342" s="80">
        <f>IF(AND(AB342=1,AH342=1),MAX(0,MIN(IF(AC342=1,1440,AA342),CFG_WEM)-MAX(Z342,CFG_WSM)),0)</f>
        <v>0</v>
      </c>
      <c r="AL342" s="80">
        <f>IF(AND(AC342=1,AI342=1),MAX(0,MIN(AA342,CFG_WEM)-CFG_WSM),0)</f>
        <v>0</v>
      </c>
      <c r="AM342" s="80">
        <f>AK342+AL342</f>
        <v>0</v>
      </c>
      <c r="AN342" s="80">
        <f>IF(CFG_BRK="Proporcional",IF(AD342=0,0,AF342*AM342/AD342),IF(CFG_BRK="Extras primero",MIN(AM342,MAX(0,AF342-(AD342-AM342))),MIN(AF342,AM342)))</f>
        <v>0</v>
      </c>
      <c r="AO342" s="80">
        <f>AF342-AN342</f>
        <v>0</v>
      </c>
      <c r="AP342" s="80">
        <f>AM342-AN342</f>
        <v>0</v>
      </c>
      <c r="AQ342" s="80">
        <f>AD342-AM342-AO342</f>
        <v>0</v>
      </c>
      <c r="AR342" s="80">
        <f>IF(AM342=0,0,AK342-AN342*AK342/AM342)</f>
        <v>0</v>
      </c>
      <c r="AS342" s="80">
        <f>IF(AD342-AM342=0,0,(AJ342-AK342)-AO342*(AJ342-AK342)/(AD342-AM342))</f>
        <v>0</v>
      </c>
      <c r="AT342" s="80" t="str">
        <f>IF(AC342=1,INT(B342)+1,"")</f>
        <v/>
      </c>
      <c r="AU342" s="80">
        <f>IF(AND(D342="proMX",R342="Cancelled"),0,1)</f>
        <v>1</v>
      </c>
      <c r="AV342" s="80">
        <f>IF(AND(AB342=1,AU342=1),IF(COUNTIFS($D$5:D341,D342,$B$5:B341,B342,$Z$5:Z341,Z342,$AA$5:AA341,AA342,$F$5:F341,F342&amp;"",$AU$5:AU341,1)&gt;0,1,0),0)</f>
        <v>0</v>
      </c>
      <c r="AW342" s="80" t="str">
        <f>IF(AB342=1,INT(B342)*1440+Z342,"")</f>
        <v/>
      </c>
      <c r="AX342" s="80" t="str">
        <f>IF(AB342=1,AW342+AD342,"")</f>
        <v/>
      </c>
      <c r="AY342" s="80">
        <f>IF(AND(AB342=1,AV342=0,AU342=1),1,0)</f>
        <v>0</v>
      </c>
      <c r="AZ342" s="80">
        <f>IF(AY342=1,COUNTIFS(R_Emp,D342,R_SAbs,"&lt;"&amp;AX342,R_EAbs,"&gt;"&amp;AW342,R_OKey,1)-1,0)</f>
        <v>0</v>
      </c>
      <c r="BA342" s="80">
        <f>IF(AY342=1,COUNTIFS(R_Emp,"&lt;&gt;"&amp;D342,R_SAbs,"&lt;"&amp;AX342,R_EAbs,"&gt;"&amp;AW342,R_OKey,1),0)</f>
        <v>0</v>
      </c>
      <c r="BB342" s="80">
        <f>IF(AND(AB342=1,D342="proMX"),IF(AND(MOD(Z342,CFG_BLK)=0,MOD(AA342,CFG_BLK)=0,MOD(AG342,CFG_BLK)=0,AG342&gt;0),1,0),1)</f>
        <v>1</v>
      </c>
      <c r="BC342" s="80" t="str">
        <f>IF(Y342=0,"",IF(NOT(ISNUMBER(B342)),"Falta fecha o fecha inválida",IF(D342="","Falta empresa",IF(AND(D342&lt;&gt;"Malcolm",D342&lt;&gt;"proMX"),"Empresa inválida",IF(OR(INT(B342)&lt;CFG_PSTART,INT(B342)&gt;CFG_PEND),"Fecha fuera del período",IF(OR(NOT(ISNUMBER(Z342)),NOT(ISNUMBER(AA342))),"Falta hora inicio/fin o formato inválido",IF(AB342=0,"Hora inicio = hora fin",IF(AE342&lt;0,"Descanso inválido",IF(AE342&gt;=AD342,"Descanso ≥ duración",IF(AV342=1,"Registro duplicado",IF(AZ342&gt;0,"Se superpone con otro registro "&amp;D342,IF(BB342=0,"inicio, fin y duración neta deben ser múltiplos de "&amp;CFG_BLK&amp;" min",""))))))))))))</f>
        <v/>
      </c>
      <c r="BD342" s="80">
        <f>IF(AND(Y342=1,BC342=""),1,0)</f>
        <v>0</v>
      </c>
      <c r="BE342" s="80">
        <f>IF(AND(BD342=1,AU342=1),1,0)</f>
        <v>0</v>
      </c>
      <c r="BF342" s="80" t="str">
        <f>IF(AND(D342="proMX",BD342=1),IF(R342="","Draft",R342),"")</f>
        <v/>
      </c>
      <c r="BG342" s="80">
        <f>IF(BD342=1,ROUND(AG342/60,6),0)</f>
        <v>0</v>
      </c>
      <c r="BH342" s="80">
        <f>IF(BE342=1,ROUND(AG342/60,6),0)</f>
        <v>0</v>
      </c>
      <c r="BI342" s="80">
        <f>IF(BE342=1,ROUND(AP342/60,6),0)</f>
        <v>0</v>
      </c>
      <c r="BJ342" s="80">
        <f>IF(BE342=1,ROUND(AQ342/60,6),0)</f>
        <v>0</v>
      </c>
      <c r="BK342" s="80">
        <f>IF(BE342=1,ROUND((AR342+AS342)/60,6),0)</f>
        <v>0</v>
      </c>
      <c r="BL342" s="80">
        <f>ROUND(BH342-BK342,6)</f>
        <v>0</v>
      </c>
      <c r="BM342" s="80">
        <f>IF(BE342=1,ROUND(AR342/60,6),0)</f>
        <v>0</v>
      </c>
      <c r="BN342" s="80">
        <f>ROUND(BI342-BM342,6)</f>
        <v>0</v>
      </c>
      <c r="BO342" s="80">
        <f>IF(BE342=1,ROUND(AS342/60,6),0)</f>
        <v>0</v>
      </c>
      <c r="BP342" s="80">
        <f>ROUND(BJ342-BO342,6)</f>
        <v>0</v>
      </c>
      <c r="BQ342" s="80">
        <f>IF(BE342=1,AW342,0)</f>
        <v>0</v>
      </c>
      <c r="BR342" s="80">
        <f>IF(BE342=1,AX342,0)</f>
        <v>0</v>
      </c>
      <c r="BS342" s="80">
        <f>IF(AND(BE342=1,D342="Malcolm",BA342&gt;0),MIN(BH342,SUMPRODUCT((R_Emp="proMX")*(R_EN&gt;0)*((R_EN-(R_EN&gt;BR342)*(R_EN-BR342))&gt;(R_SN+(R_SN&lt;BQ342)*(BQ342-R_SN)))*((R_EN-(R_EN&gt;BR342)*(R_EN-BR342))-(R_SN+(R_SN&lt;BQ342)*(BQ342-R_SN))))/60),0)</f>
        <v>0</v>
      </c>
      <c r="BT342" s="80">
        <f>IF(AND(BE342=1,D342="proMX"),ROUND(BI342*CFG_RATE+BJ342*CFG_OTRATE,6),0)</f>
        <v>0</v>
      </c>
      <c r="BU342" s="80">
        <f>IF(AND(BD342=1,D342="proMX"),ROUND(AG342/CFG_BLK,6),0)</f>
        <v>0</v>
      </c>
      <c r="BV342" s="80" t="str">
        <f>IF(BF342="Approved",IF(ISNUMBER(T342),INT(T342),INT(B342)),"")</f>
        <v/>
      </c>
      <c r="BW342" s="80">
        <f>IF(ISNUMBER(B342),IF(DB_MON="Todos",1,IF(AND(INT(B342)&gt;=DB_MS,INT(B342)&lt;=DB_ME),1,0)),0)</f>
        <v>0</v>
      </c>
      <c r="BX342" s="80">
        <f>IF(DB_PROJ="Todos",1,IF(E342&amp;""=DB_PROJ&amp;"",1,0))</f>
        <v>1</v>
      </c>
      <c r="BY342" s="80">
        <f>BW342*BX342</f>
        <v>0</v>
      </c>
      <c r="BZ342" s="80" t="str">
        <f>IF(Y342=1,F342&amp;IF(AND(F342&amp;""&lt;&gt;"",E342&amp;""&lt;&gt;"")," · ","")&amp;E342,"")</f>
        <v/>
      </c>
      <c r="CA342" s="80" t="str">
        <f>IF(AND(BD342=1,E342&amp;""&lt;&gt;""),IF(COUNTIFS($E$5:E341,E342,$BD$5:BD341,1)=0,MAX($CA$5:CA341)+1,""),"")</f>
        <v/>
      </c>
      <c r="CB342" s="80" t="str">
        <f>IF(AND(BE342=1,D342="Malcolm",E342&amp;""&lt;&gt;""),IF(COUNTIFS($D$5:D341,"Malcolm",$E$5:E341,E342,$BE$5:BE341,1)=0,MAX($CB$5:CB341)+1,""),"")</f>
        <v/>
      </c>
      <c r="CC342" s="80" t="str">
        <f>IF(AND(BD342=1,D342="proMX",E342&amp;""&lt;&gt;""),IF(COUNTIFS($D$5:D341,"proMX",$E$5:E341,E342,$BD$5:BD341,1)=0,MAX($CC$5:CC341)+1,""),"")</f>
        <v/>
      </c>
      <c r="CD342" s="80" t="str">
        <f>IF(AND(BE342=1,D342="Malcolm",F342&amp;""&lt;&gt;""),IF(COUNTIFS($D$5:D341,"Malcolm",$F$5:F341,F342,$BE$5:BE341,1)=0,MAX($CD$5:CD341)+1,""),"")</f>
        <v/>
      </c>
      <c r="CE342" s="80" t="str">
        <f>IF(AND(BD342=1,D342="proMX",F342&amp;""&lt;&gt;""),IF(COUNTIFS($D$5:D341,"proMX",$F$5:F341,F342,$BD$5:BD341,1)=0,MAX($CE$5:CE341)+1,""),"")</f>
        <v/>
      </c>
      <c r="CF342" s="80" t="str">
        <f>IF(AND(D342="proMX",BD342=1),IF(OR(BF342="Draft",BF342="Submitted",BF342="Returned",BF342="Recall Requested"),MAX($CF$5:CF341)+1,""),"")</f>
        <v/>
      </c>
      <c r="CG342" s="80">
        <f>IF(BD342=0,0,IF(D342="Malcolm",1,MATCH(BF342,{"Draft","Submitted","Approved","Returned","Recall Requested","Cancelled"},0)+1))</f>
        <v>0</v>
      </c>
      <c r="CH342" s="80">
        <f>IF(AND(BF342="Submitted",ISNUMBER(V342)),IF(V342&gt;CFG_MAXD,1,0),0)</f>
        <v>0</v>
      </c>
    </row>
    <row r="343">
      <c r="A343" s="71" t="str">
        <f>IF(Y343=1,ROW()-5,"")</f>
        <v/>
      </c>
      <c r="B343" s="72" t="n"/>
      <c r="C343" s="71" t="str">
        <f>IF(ISNUMBER(B343),CHOOSE(WEEKDAY(B343,2),"Lun","Mar","Mié","Jue","Vie","Sáb","Dom"),"")</f>
        <v/>
      </c>
      <c r="D343" s="73" t="n"/>
      <c r="E343" s="74" t="n"/>
      <c r="F343" s="74" t="n"/>
      <c r="G343" s="74" t="n"/>
      <c r="H343" s="75" t="n"/>
      <c r="I343" s="75" t="n"/>
      <c r="J343" s="76" t="n"/>
      <c r="K343" s="77" t="str">
        <f>IF(AB343=1,ROUND(AG343/60,4),"")</f>
        <v/>
      </c>
      <c r="L343" s="77" t="str">
        <f>IF(BD343=1,ROUND(AP343/60,4),"")</f>
        <v/>
      </c>
      <c r="M343" s="77" t="str">
        <f>IF(BD343=1,ROUND(AQ343/60,4),"")</f>
        <v/>
      </c>
      <c r="N343" s="71" t="str">
        <f>IF(AND(D343="proMX",AB343=1),ROUND(AG343/CFG_BLK,2),"")</f>
        <v/>
      </c>
      <c r="O343" s="77" t="str">
        <f>IF(D343="proMX",IF(BD343=1,ROUND(AG343/60,4),0),"")</f>
        <v/>
      </c>
      <c r="P343" s="78" t="str">
        <f>IF(Y343=0,"",IF(BD343=1,"OK",IF(D343="proMX","Revisar bloques: ","Revisar: ")&amp;BC343))</f>
        <v/>
      </c>
      <c r="Q343" s="78" t="str">
        <f>IF(NOT(ISNUMBER(B343)),"",IF(COUNTIFS(FER_F,INT(B343))&gt;0,"Feriado"&amp;IF(AH343=1," (laborable)"," (no laborable)"),IF(AH343=1,"Laborable",IF(WEEKDAY(B343,2)&gt;5,"Fin de semana","No laborable"))))</f>
        <v/>
      </c>
      <c r="R343" s="73" t="n"/>
      <c r="S343" s="72" t="n"/>
      <c r="T343" s="72" t="n"/>
      <c r="U343" s="74" t="n"/>
      <c r="V343" s="79" t="str">
        <f>IF(AND(D343="proMX",OR(R343="Submitted",R343="Recall Requested"),ISNUMBER(S343)),CFG_TODAY-INT(S343),"")</f>
        <v/>
      </c>
      <c r="W343" s="78" t="str">
        <f>IF(BD343=0,"",IF(BA343&gt;0,"⚠ Se superpone con un registro de la otra empresa",IF(D343="Malcolm",IF(COUNTA(R343,S343,T343)&gt;0,"Estado/fechas proMX se ignoran en Malcolm",""),IF(BF343="Cancelled","Cancelado: excluido de totales",IF(R343="","Sin estado: se trata como Draft",IF(BF343="Submitted",IF(ISNUMBER(V343),IF(V343&gt;CFG_MAXD,"⚠ "&amp;V343&amp;" días en Submitted (máx. "&amp;CFG_MAXD&amp;")",""),"Falta fecha de envío"),IF(BF343="Returned","⚠ Devuelto: corregir y reenviar",IF(BF343="Recall Requested","Retirada solicitada: pendiente",IF(AND(BF343="Approved",NOT(ISNUMBER(T343))),"Falta fecha de aprobación",IF(AND(ISNUMBER(S343),ISNUMBER(T343),T343&lt;S343),"Aprobación anterior al envío","")))))))))</f>
        <v/>
      </c>
      <c r="Y343" s="80">
        <f>IF(COUNTA(B343,D343,E343,F343,G343,H343,I343,J343,R343,S343,T343)&gt;0,1,0)</f>
        <v>0</v>
      </c>
      <c r="Z343" s="80" t="str">
        <f>IF(AND(ISNUMBER(H343),H343&gt;=0,H343&lt;1),ROUND(H343*1440,0),"")</f>
        <v/>
      </c>
      <c r="AA343" s="80" t="str">
        <f>IF(AND(ISNUMBER(I343),I343&gt;=0,I343&lt;1),ROUND(I343*1440,0),"")</f>
        <v/>
      </c>
      <c r="AB343" s="80">
        <f>IF(AND(ISNUMBER(B343),D343&lt;&gt;"",ISNUMBER(Z343),ISNUMBER(AA343)),IF(Z343=AA343,0,1),0)</f>
        <v>0</v>
      </c>
      <c r="AC343" s="80">
        <f>IF(AB343=1,IF(AA343&lt;Z343,1,0),0)</f>
        <v>0</v>
      </c>
      <c r="AD343" s="80">
        <f>IF(AB343=1,IF(AC343=1,1440-Z343+AA343,AA343-Z343),0)</f>
        <v>0</v>
      </c>
      <c r="AE343" s="80">
        <f>IF(J343="",0,IF(ISNUMBER(J343),J343,-1))</f>
        <v>0</v>
      </c>
      <c r="AF343" s="80">
        <f>MIN(MAX(0,AE343),AD343)</f>
        <v>0</v>
      </c>
      <c r="AG343" s="80">
        <f>MAX(0,AD343-MAX(0,AE343))</f>
        <v>0</v>
      </c>
      <c r="AH343" s="80">
        <f>IF(ISNUMBER(B343),IF(AND(INDEX(CFG_WDAYS,WEEKDAY(INT(B343),2))="Sí",IF(D343="proMX",COUNTIFS(FER_F,INT(B343),FER_NLP,"Sí"),COUNTIFS(FER_F,INT(B343),FER_NLM,"Sí"))=0),1,0),0)</f>
        <v>0</v>
      </c>
      <c r="AI343" s="80">
        <f>IF(AC343=1,IF(AND(INDEX(CFG_WDAYS,WEEKDAY(INT(B343)+1,2))="Sí",IF(D343="proMX",COUNTIFS(FER_F,INT(B343)+1,FER_NLP,"Sí"),COUNTIFS(FER_F,INT(B343)+1,FER_NLM,"Sí"))=0),1,0),0)</f>
        <v>0</v>
      </c>
      <c r="AJ343" s="80">
        <f>IF(AC343=1,1440-Z343,AD343)</f>
        <v>0</v>
      </c>
      <c r="AK343" s="80">
        <f>IF(AND(AB343=1,AH343=1),MAX(0,MIN(IF(AC343=1,1440,AA343),CFG_WEM)-MAX(Z343,CFG_WSM)),0)</f>
        <v>0</v>
      </c>
      <c r="AL343" s="80">
        <f>IF(AND(AC343=1,AI343=1),MAX(0,MIN(AA343,CFG_WEM)-CFG_WSM),0)</f>
        <v>0</v>
      </c>
      <c r="AM343" s="80">
        <f>AK343+AL343</f>
        <v>0</v>
      </c>
      <c r="AN343" s="80">
        <f>IF(CFG_BRK="Proporcional",IF(AD343=0,0,AF343*AM343/AD343),IF(CFG_BRK="Extras primero",MIN(AM343,MAX(0,AF343-(AD343-AM343))),MIN(AF343,AM343)))</f>
        <v>0</v>
      </c>
      <c r="AO343" s="80">
        <f>AF343-AN343</f>
        <v>0</v>
      </c>
      <c r="AP343" s="80">
        <f>AM343-AN343</f>
        <v>0</v>
      </c>
      <c r="AQ343" s="80">
        <f>AD343-AM343-AO343</f>
        <v>0</v>
      </c>
      <c r="AR343" s="80">
        <f>IF(AM343=0,0,AK343-AN343*AK343/AM343)</f>
        <v>0</v>
      </c>
      <c r="AS343" s="80">
        <f>IF(AD343-AM343=0,0,(AJ343-AK343)-AO343*(AJ343-AK343)/(AD343-AM343))</f>
        <v>0</v>
      </c>
      <c r="AT343" s="80" t="str">
        <f>IF(AC343=1,INT(B343)+1,"")</f>
        <v/>
      </c>
      <c r="AU343" s="80">
        <f>IF(AND(D343="proMX",R343="Cancelled"),0,1)</f>
        <v>1</v>
      </c>
      <c r="AV343" s="80">
        <f>IF(AND(AB343=1,AU343=1),IF(COUNTIFS($D$5:D342,D343,$B$5:B342,B343,$Z$5:Z342,Z343,$AA$5:AA342,AA343,$F$5:F342,F343&amp;"",$AU$5:AU342,1)&gt;0,1,0),0)</f>
        <v>0</v>
      </c>
      <c r="AW343" s="80" t="str">
        <f>IF(AB343=1,INT(B343)*1440+Z343,"")</f>
        <v/>
      </c>
      <c r="AX343" s="80" t="str">
        <f>IF(AB343=1,AW343+AD343,"")</f>
        <v/>
      </c>
      <c r="AY343" s="80">
        <f>IF(AND(AB343=1,AV343=0,AU343=1),1,0)</f>
        <v>0</v>
      </c>
      <c r="AZ343" s="80">
        <f>IF(AY343=1,COUNTIFS(R_Emp,D343,R_SAbs,"&lt;"&amp;AX343,R_EAbs,"&gt;"&amp;AW343,R_OKey,1)-1,0)</f>
        <v>0</v>
      </c>
      <c r="BA343" s="80">
        <f>IF(AY343=1,COUNTIFS(R_Emp,"&lt;&gt;"&amp;D343,R_SAbs,"&lt;"&amp;AX343,R_EAbs,"&gt;"&amp;AW343,R_OKey,1),0)</f>
        <v>0</v>
      </c>
      <c r="BB343" s="80">
        <f>IF(AND(AB343=1,D343="proMX"),IF(AND(MOD(Z343,CFG_BLK)=0,MOD(AA343,CFG_BLK)=0,MOD(AG343,CFG_BLK)=0,AG343&gt;0),1,0),1)</f>
        <v>1</v>
      </c>
      <c r="BC343" s="80" t="str">
        <f>IF(Y343=0,"",IF(NOT(ISNUMBER(B343)),"Falta fecha o fecha inválida",IF(D343="","Falta empresa",IF(AND(D343&lt;&gt;"Malcolm",D343&lt;&gt;"proMX"),"Empresa inválida",IF(OR(INT(B343)&lt;CFG_PSTART,INT(B343)&gt;CFG_PEND),"Fecha fuera del período",IF(OR(NOT(ISNUMBER(Z343)),NOT(ISNUMBER(AA343))),"Falta hora inicio/fin o formato inválido",IF(AB343=0,"Hora inicio = hora fin",IF(AE343&lt;0,"Descanso inválido",IF(AE343&gt;=AD343,"Descanso ≥ duración",IF(AV343=1,"Registro duplicado",IF(AZ343&gt;0,"Se superpone con otro registro "&amp;D343,IF(BB343=0,"inicio, fin y duración neta deben ser múltiplos de "&amp;CFG_BLK&amp;" min",""))))))))))))</f>
        <v/>
      </c>
      <c r="BD343" s="80">
        <f>IF(AND(Y343=1,BC343=""),1,0)</f>
        <v>0</v>
      </c>
      <c r="BE343" s="80">
        <f>IF(AND(BD343=1,AU343=1),1,0)</f>
        <v>0</v>
      </c>
      <c r="BF343" s="80" t="str">
        <f>IF(AND(D343="proMX",BD343=1),IF(R343="","Draft",R343),"")</f>
        <v/>
      </c>
      <c r="BG343" s="80">
        <f>IF(BD343=1,ROUND(AG343/60,6),0)</f>
        <v>0</v>
      </c>
      <c r="BH343" s="80">
        <f>IF(BE343=1,ROUND(AG343/60,6),0)</f>
        <v>0</v>
      </c>
      <c r="BI343" s="80">
        <f>IF(BE343=1,ROUND(AP343/60,6),0)</f>
        <v>0</v>
      </c>
      <c r="BJ343" s="80">
        <f>IF(BE343=1,ROUND(AQ343/60,6),0)</f>
        <v>0</v>
      </c>
      <c r="BK343" s="80">
        <f>IF(BE343=1,ROUND((AR343+AS343)/60,6),0)</f>
        <v>0</v>
      </c>
      <c r="BL343" s="80">
        <f>ROUND(BH343-BK343,6)</f>
        <v>0</v>
      </c>
      <c r="BM343" s="80">
        <f>IF(BE343=1,ROUND(AR343/60,6),0)</f>
        <v>0</v>
      </c>
      <c r="BN343" s="80">
        <f>ROUND(BI343-BM343,6)</f>
        <v>0</v>
      </c>
      <c r="BO343" s="80">
        <f>IF(BE343=1,ROUND(AS343/60,6),0)</f>
        <v>0</v>
      </c>
      <c r="BP343" s="80">
        <f>ROUND(BJ343-BO343,6)</f>
        <v>0</v>
      </c>
      <c r="BQ343" s="80">
        <f>IF(BE343=1,AW343,0)</f>
        <v>0</v>
      </c>
      <c r="BR343" s="80">
        <f>IF(BE343=1,AX343,0)</f>
        <v>0</v>
      </c>
      <c r="BS343" s="80">
        <f>IF(AND(BE343=1,D343="Malcolm",BA343&gt;0),MIN(BH343,SUMPRODUCT((R_Emp="proMX")*(R_EN&gt;0)*((R_EN-(R_EN&gt;BR343)*(R_EN-BR343))&gt;(R_SN+(R_SN&lt;BQ343)*(BQ343-R_SN)))*((R_EN-(R_EN&gt;BR343)*(R_EN-BR343))-(R_SN+(R_SN&lt;BQ343)*(BQ343-R_SN))))/60),0)</f>
        <v>0</v>
      </c>
      <c r="BT343" s="80">
        <f>IF(AND(BE343=1,D343="proMX"),ROUND(BI343*CFG_RATE+BJ343*CFG_OTRATE,6),0)</f>
        <v>0</v>
      </c>
      <c r="BU343" s="80">
        <f>IF(AND(BD343=1,D343="proMX"),ROUND(AG343/CFG_BLK,6),0)</f>
        <v>0</v>
      </c>
      <c r="BV343" s="80" t="str">
        <f>IF(BF343="Approved",IF(ISNUMBER(T343),INT(T343),INT(B343)),"")</f>
        <v/>
      </c>
      <c r="BW343" s="80">
        <f>IF(ISNUMBER(B343),IF(DB_MON="Todos",1,IF(AND(INT(B343)&gt;=DB_MS,INT(B343)&lt;=DB_ME),1,0)),0)</f>
        <v>0</v>
      </c>
      <c r="BX343" s="80">
        <f>IF(DB_PROJ="Todos",1,IF(E343&amp;""=DB_PROJ&amp;"",1,0))</f>
        <v>1</v>
      </c>
      <c r="BY343" s="80">
        <f>BW343*BX343</f>
        <v>0</v>
      </c>
      <c r="BZ343" s="80" t="str">
        <f>IF(Y343=1,F343&amp;IF(AND(F343&amp;""&lt;&gt;"",E343&amp;""&lt;&gt;"")," · ","")&amp;E343,"")</f>
        <v/>
      </c>
      <c r="CA343" s="80" t="str">
        <f>IF(AND(BD343=1,E343&amp;""&lt;&gt;""),IF(COUNTIFS($E$5:E342,E343,$BD$5:BD342,1)=0,MAX($CA$5:CA342)+1,""),"")</f>
        <v/>
      </c>
      <c r="CB343" s="80" t="str">
        <f>IF(AND(BE343=1,D343="Malcolm",E343&amp;""&lt;&gt;""),IF(COUNTIFS($D$5:D342,"Malcolm",$E$5:E342,E343,$BE$5:BE342,1)=0,MAX($CB$5:CB342)+1,""),"")</f>
        <v/>
      </c>
      <c r="CC343" s="80" t="str">
        <f>IF(AND(BD343=1,D343="proMX",E343&amp;""&lt;&gt;""),IF(COUNTIFS($D$5:D342,"proMX",$E$5:E342,E343,$BD$5:BD342,1)=0,MAX($CC$5:CC342)+1,""),"")</f>
        <v/>
      </c>
      <c r="CD343" s="80" t="str">
        <f>IF(AND(BE343=1,D343="Malcolm",F343&amp;""&lt;&gt;""),IF(COUNTIFS($D$5:D342,"Malcolm",$F$5:F342,F343,$BE$5:BE342,1)=0,MAX($CD$5:CD342)+1,""),"")</f>
        <v/>
      </c>
      <c r="CE343" s="80" t="str">
        <f>IF(AND(BD343=1,D343="proMX",F343&amp;""&lt;&gt;""),IF(COUNTIFS($D$5:D342,"proMX",$F$5:F342,F343,$BD$5:BD342,1)=0,MAX($CE$5:CE342)+1,""),"")</f>
        <v/>
      </c>
      <c r="CF343" s="80" t="str">
        <f>IF(AND(D343="proMX",BD343=1),IF(OR(BF343="Draft",BF343="Submitted",BF343="Returned",BF343="Recall Requested"),MAX($CF$5:CF342)+1,""),"")</f>
        <v/>
      </c>
      <c r="CG343" s="80">
        <f>IF(BD343=0,0,IF(D343="Malcolm",1,MATCH(BF343,{"Draft","Submitted","Approved","Returned","Recall Requested","Cancelled"},0)+1))</f>
        <v>0</v>
      </c>
      <c r="CH343" s="80">
        <f>IF(AND(BF343="Submitted",ISNUMBER(V343)),IF(V343&gt;CFG_MAXD,1,0),0)</f>
        <v>0</v>
      </c>
    </row>
    <row r="344">
      <c r="A344" s="71" t="str">
        <f>IF(Y344=1,ROW()-5,"")</f>
        <v/>
      </c>
      <c r="B344" s="72" t="n"/>
      <c r="C344" s="71" t="str">
        <f>IF(ISNUMBER(B344),CHOOSE(WEEKDAY(B344,2),"Lun","Mar","Mié","Jue","Vie","Sáb","Dom"),"")</f>
        <v/>
      </c>
      <c r="D344" s="73" t="n"/>
      <c r="E344" s="74" t="n"/>
      <c r="F344" s="74" t="n"/>
      <c r="G344" s="74" t="n"/>
      <c r="H344" s="75" t="n"/>
      <c r="I344" s="75" t="n"/>
      <c r="J344" s="76" t="n"/>
      <c r="K344" s="77" t="str">
        <f>IF(AB344=1,ROUND(AG344/60,4),"")</f>
        <v/>
      </c>
      <c r="L344" s="77" t="str">
        <f>IF(BD344=1,ROUND(AP344/60,4),"")</f>
        <v/>
      </c>
      <c r="M344" s="77" t="str">
        <f>IF(BD344=1,ROUND(AQ344/60,4),"")</f>
        <v/>
      </c>
      <c r="N344" s="71" t="str">
        <f>IF(AND(D344="proMX",AB344=1),ROUND(AG344/CFG_BLK,2),"")</f>
        <v/>
      </c>
      <c r="O344" s="77" t="str">
        <f>IF(D344="proMX",IF(BD344=1,ROUND(AG344/60,4),0),"")</f>
        <v/>
      </c>
      <c r="P344" s="78" t="str">
        <f>IF(Y344=0,"",IF(BD344=1,"OK",IF(D344="proMX","Revisar bloques: ","Revisar: ")&amp;BC344))</f>
        <v/>
      </c>
      <c r="Q344" s="78" t="str">
        <f>IF(NOT(ISNUMBER(B344)),"",IF(COUNTIFS(FER_F,INT(B344))&gt;0,"Feriado"&amp;IF(AH344=1," (laborable)"," (no laborable)"),IF(AH344=1,"Laborable",IF(WEEKDAY(B344,2)&gt;5,"Fin de semana","No laborable"))))</f>
        <v/>
      </c>
      <c r="R344" s="73" t="n"/>
      <c r="S344" s="72" t="n"/>
      <c r="T344" s="72" t="n"/>
      <c r="U344" s="74" t="n"/>
      <c r="V344" s="79" t="str">
        <f>IF(AND(D344="proMX",OR(R344="Submitted",R344="Recall Requested"),ISNUMBER(S344)),CFG_TODAY-INT(S344),"")</f>
        <v/>
      </c>
      <c r="W344" s="78" t="str">
        <f>IF(BD344=0,"",IF(BA344&gt;0,"⚠ Se superpone con un registro de la otra empresa",IF(D344="Malcolm",IF(COUNTA(R344,S344,T344)&gt;0,"Estado/fechas proMX se ignoran en Malcolm",""),IF(BF344="Cancelled","Cancelado: excluido de totales",IF(R344="","Sin estado: se trata como Draft",IF(BF344="Submitted",IF(ISNUMBER(V344),IF(V344&gt;CFG_MAXD,"⚠ "&amp;V344&amp;" días en Submitted (máx. "&amp;CFG_MAXD&amp;")",""),"Falta fecha de envío"),IF(BF344="Returned","⚠ Devuelto: corregir y reenviar",IF(BF344="Recall Requested","Retirada solicitada: pendiente",IF(AND(BF344="Approved",NOT(ISNUMBER(T344))),"Falta fecha de aprobación",IF(AND(ISNUMBER(S344),ISNUMBER(T344),T344&lt;S344),"Aprobación anterior al envío","")))))))))</f>
        <v/>
      </c>
      <c r="Y344" s="80">
        <f>IF(COUNTA(B344,D344,E344,F344,G344,H344,I344,J344,R344,S344,T344)&gt;0,1,0)</f>
        <v>0</v>
      </c>
      <c r="Z344" s="80" t="str">
        <f>IF(AND(ISNUMBER(H344),H344&gt;=0,H344&lt;1),ROUND(H344*1440,0),"")</f>
        <v/>
      </c>
      <c r="AA344" s="80" t="str">
        <f>IF(AND(ISNUMBER(I344),I344&gt;=0,I344&lt;1),ROUND(I344*1440,0),"")</f>
        <v/>
      </c>
      <c r="AB344" s="80">
        <f>IF(AND(ISNUMBER(B344),D344&lt;&gt;"",ISNUMBER(Z344),ISNUMBER(AA344)),IF(Z344=AA344,0,1),0)</f>
        <v>0</v>
      </c>
      <c r="AC344" s="80">
        <f>IF(AB344=1,IF(AA344&lt;Z344,1,0),0)</f>
        <v>0</v>
      </c>
      <c r="AD344" s="80">
        <f>IF(AB344=1,IF(AC344=1,1440-Z344+AA344,AA344-Z344),0)</f>
        <v>0</v>
      </c>
      <c r="AE344" s="80">
        <f>IF(J344="",0,IF(ISNUMBER(J344),J344,-1))</f>
        <v>0</v>
      </c>
      <c r="AF344" s="80">
        <f>MIN(MAX(0,AE344),AD344)</f>
        <v>0</v>
      </c>
      <c r="AG344" s="80">
        <f>MAX(0,AD344-MAX(0,AE344))</f>
        <v>0</v>
      </c>
      <c r="AH344" s="80">
        <f>IF(ISNUMBER(B344),IF(AND(INDEX(CFG_WDAYS,WEEKDAY(INT(B344),2))="Sí",IF(D344="proMX",COUNTIFS(FER_F,INT(B344),FER_NLP,"Sí"),COUNTIFS(FER_F,INT(B344),FER_NLM,"Sí"))=0),1,0),0)</f>
        <v>0</v>
      </c>
      <c r="AI344" s="80">
        <f>IF(AC344=1,IF(AND(INDEX(CFG_WDAYS,WEEKDAY(INT(B344)+1,2))="Sí",IF(D344="proMX",COUNTIFS(FER_F,INT(B344)+1,FER_NLP,"Sí"),COUNTIFS(FER_F,INT(B344)+1,FER_NLM,"Sí"))=0),1,0),0)</f>
        <v>0</v>
      </c>
      <c r="AJ344" s="80">
        <f>IF(AC344=1,1440-Z344,AD344)</f>
        <v>0</v>
      </c>
      <c r="AK344" s="80">
        <f>IF(AND(AB344=1,AH344=1),MAX(0,MIN(IF(AC344=1,1440,AA344),CFG_WEM)-MAX(Z344,CFG_WSM)),0)</f>
        <v>0</v>
      </c>
      <c r="AL344" s="80">
        <f>IF(AND(AC344=1,AI344=1),MAX(0,MIN(AA344,CFG_WEM)-CFG_WSM),0)</f>
        <v>0</v>
      </c>
      <c r="AM344" s="80">
        <f>AK344+AL344</f>
        <v>0</v>
      </c>
      <c r="AN344" s="80">
        <f>IF(CFG_BRK="Proporcional",IF(AD344=0,0,AF344*AM344/AD344),IF(CFG_BRK="Extras primero",MIN(AM344,MAX(0,AF344-(AD344-AM344))),MIN(AF344,AM344)))</f>
        <v>0</v>
      </c>
      <c r="AO344" s="80">
        <f>AF344-AN344</f>
        <v>0</v>
      </c>
      <c r="AP344" s="80">
        <f>AM344-AN344</f>
        <v>0</v>
      </c>
      <c r="AQ344" s="80">
        <f>AD344-AM344-AO344</f>
        <v>0</v>
      </c>
      <c r="AR344" s="80">
        <f>IF(AM344=0,0,AK344-AN344*AK344/AM344)</f>
        <v>0</v>
      </c>
      <c r="AS344" s="80">
        <f>IF(AD344-AM344=0,0,(AJ344-AK344)-AO344*(AJ344-AK344)/(AD344-AM344))</f>
        <v>0</v>
      </c>
      <c r="AT344" s="80" t="str">
        <f>IF(AC344=1,INT(B344)+1,"")</f>
        <v/>
      </c>
      <c r="AU344" s="80">
        <f>IF(AND(D344="proMX",R344="Cancelled"),0,1)</f>
        <v>1</v>
      </c>
      <c r="AV344" s="80">
        <f>IF(AND(AB344=1,AU344=1),IF(COUNTIFS($D$5:D343,D344,$B$5:B343,B344,$Z$5:Z343,Z344,$AA$5:AA343,AA344,$F$5:F343,F344&amp;"",$AU$5:AU343,1)&gt;0,1,0),0)</f>
        <v>0</v>
      </c>
      <c r="AW344" s="80" t="str">
        <f>IF(AB344=1,INT(B344)*1440+Z344,"")</f>
        <v/>
      </c>
      <c r="AX344" s="80" t="str">
        <f>IF(AB344=1,AW344+AD344,"")</f>
        <v/>
      </c>
      <c r="AY344" s="80">
        <f>IF(AND(AB344=1,AV344=0,AU344=1),1,0)</f>
        <v>0</v>
      </c>
      <c r="AZ344" s="80">
        <f>IF(AY344=1,COUNTIFS(R_Emp,D344,R_SAbs,"&lt;"&amp;AX344,R_EAbs,"&gt;"&amp;AW344,R_OKey,1)-1,0)</f>
        <v>0</v>
      </c>
      <c r="BA344" s="80">
        <f>IF(AY344=1,COUNTIFS(R_Emp,"&lt;&gt;"&amp;D344,R_SAbs,"&lt;"&amp;AX344,R_EAbs,"&gt;"&amp;AW344,R_OKey,1),0)</f>
        <v>0</v>
      </c>
      <c r="BB344" s="80">
        <f>IF(AND(AB344=1,D344="proMX"),IF(AND(MOD(Z344,CFG_BLK)=0,MOD(AA344,CFG_BLK)=0,MOD(AG344,CFG_BLK)=0,AG344&gt;0),1,0),1)</f>
        <v>1</v>
      </c>
      <c r="BC344" s="80" t="str">
        <f>IF(Y344=0,"",IF(NOT(ISNUMBER(B344)),"Falta fecha o fecha inválida",IF(D344="","Falta empresa",IF(AND(D344&lt;&gt;"Malcolm",D344&lt;&gt;"proMX"),"Empresa inválida",IF(OR(INT(B344)&lt;CFG_PSTART,INT(B344)&gt;CFG_PEND),"Fecha fuera del período",IF(OR(NOT(ISNUMBER(Z344)),NOT(ISNUMBER(AA344))),"Falta hora inicio/fin o formato inválido",IF(AB344=0,"Hora inicio = hora fin",IF(AE344&lt;0,"Descanso inválido",IF(AE344&gt;=AD344,"Descanso ≥ duración",IF(AV344=1,"Registro duplicado",IF(AZ344&gt;0,"Se superpone con otro registro "&amp;D344,IF(BB344=0,"inicio, fin y duración neta deben ser múltiplos de "&amp;CFG_BLK&amp;" min",""))))))))))))</f>
        <v/>
      </c>
      <c r="BD344" s="80">
        <f>IF(AND(Y344=1,BC344=""),1,0)</f>
        <v>0</v>
      </c>
      <c r="BE344" s="80">
        <f>IF(AND(BD344=1,AU344=1),1,0)</f>
        <v>0</v>
      </c>
      <c r="BF344" s="80" t="str">
        <f>IF(AND(D344="proMX",BD344=1),IF(R344="","Draft",R344),"")</f>
        <v/>
      </c>
      <c r="BG344" s="80">
        <f>IF(BD344=1,ROUND(AG344/60,6),0)</f>
        <v>0</v>
      </c>
      <c r="BH344" s="80">
        <f>IF(BE344=1,ROUND(AG344/60,6),0)</f>
        <v>0</v>
      </c>
      <c r="BI344" s="80">
        <f>IF(BE344=1,ROUND(AP344/60,6),0)</f>
        <v>0</v>
      </c>
      <c r="BJ344" s="80">
        <f>IF(BE344=1,ROUND(AQ344/60,6),0)</f>
        <v>0</v>
      </c>
      <c r="BK344" s="80">
        <f>IF(BE344=1,ROUND((AR344+AS344)/60,6),0)</f>
        <v>0</v>
      </c>
      <c r="BL344" s="80">
        <f>ROUND(BH344-BK344,6)</f>
        <v>0</v>
      </c>
      <c r="BM344" s="80">
        <f>IF(BE344=1,ROUND(AR344/60,6),0)</f>
        <v>0</v>
      </c>
      <c r="BN344" s="80">
        <f>ROUND(BI344-BM344,6)</f>
        <v>0</v>
      </c>
      <c r="BO344" s="80">
        <f>IF(BE344=1,ROUND(AS344/60,6),0)</f>
        <v>0</v>
      </c>
      <c r="BP344" s="80">
        <f>ROUND(BJ344-BO344,6)</f>
        <v>0</v>
      </c>
      <c r="BQ344" s="80">
        <f>IF(BE344=1,AW344,0)</f>
        <v>0</v>
      </c>
      <c r="BR344" s="80">
        <f>IF(BE344=1,AX344,0)</f>
        <v>0</v>
      </c>
      <c r="BS344" s="80">
        <f>IF(AND(BE344=1,D344="Malcolm",BA344&gt;0),MIN(BH344,SUMPRODUCT((R_Emp="proMX")*(R_EN&gt;0)*((R_EN-(R_EN&gt;BR344)*(R_EN-BR344))&gt;(R_SN+(R_SN&lt;BQ344)*(BQ344-R_SN)))*((R_EN-(R_EN&gt;BR344)*(R_EN-BR344))-(R_SN+(R_SN&lt;BQ344)*(BQ344-R_SN))))/60),0)</f>
        <v>0</v>
      </c>
      <c r="BT344" s="80">
        <f>IF(AND(BE344=1,D344="proMX"),ROUND(BI344*CFG_RATE+BJ344*CFG_OTRATE,6),0)</f>
        <v>0</v>
      </c>
      <c r="BU344" s="80">
        <f>IF(AND(BD344=1,D344="proMX"),ROUND(AG344/CFG_BLK,6),0)</f>
        <v>0</v>
      </c>
      <c r="BV344" s="80" t="str">
        <f>IF(BF344="Approved",IF(ISNUMBER(T344),INT(T344),INT(B344)),"")</f>
        <v/>
      </c>
      <c r="BW344" s="80">
        <f>IF(ISNUMBER(B344),IF(DB_MON="Todos",1,IF(AND(INT(B344)&gt;=DB_MS,INT(B344)&lt;=DB_ME),1,0)),0)</f>
        <v>0</v>
      </c>
      <c r="BX344" s="80">
        <f>IF(DB_PROJ="Todos",1,IF(E344&amp;""=DB_PROJ&amp;"",1,0))</f>
        <v>1</v>
      </c>
      <c r="BY344" s="80">
        <f>BW344*BX344</f>
        <v>0</v>
      </c>
      <c r="BZ344" s="80" t="str">
        <f>IF(Y344=1,F344&amp;IF(AND(F344&amp;""&lt;&gt;"",E344&amp;""&lt;&gt;"")," · ","")&amp;E344,"")</f>
        <v/>
      </c>
      <c r="CA344" s="80" t="str">
        <f>IF(AND(BD344=1,E344&amp;""&lt;&gt;""),IF(COUNTIFS($E$5:E343,E344,$BD$5:BD343,1)=0,MAX($CA$5:CA343)+1,""),"")</f>
        <v/>
      </c>
      <c r="CB344" s="80" t="str">
        <f>IF(AND(BE344=1,D344="Malcolm",E344&amp;""&lt;&gt;""),IF(COUNTIFS($D$5:D343,"Malcolm",$E$5:E343,E344,$BE$5:BE343,1)=0,MAX($CB$5:CB343)+1,""),"")</f>
        <v/>
      </c>
      <c r="CC344" s="80" t="str">
        <f>IF(AND(BD344=1,D344="proMX",E344&amp;""&lt;&gt;""),IF(COUNTIFS($D$5:D343,"proMX",$E$5:E343,E344,$BD$5:BD343,1)=0,MAX($CC$5:CC343)+1,""),"")</f>
        <v/>
      </c>
      <c r="CD344" s="80" t="str">
        <f>IF(AND(BE344=1,D344="Malcolm",F344&amp;""&lt;&gt;""),IF(COUNTIFS($D$5:D343,"Malcolm",$F$5:F343,F344,$BE$5:BE343,1)=0,MAX($CD$5:CD343)+1,""),"")</f>
        <v/>
      </c>
      <c r="CE344" s="80" t="str">
        <f>IF(AND(BD344=1,D344="proMX",F344&amp;""&lt;&gt;""),IF(COUNTIFS($D$5:D343,"proMX",$F$5:F343,F344,$BD$5:BD343,1)=0,MAX($CE$5:CE343)+1,""),"")</f>
        <v/>
      </c>
      <c r="CF344" s="80" t="str">
        <f>IF(AND(D344="proMX",BD344=1),IF(OR(BF344="Draft",BF344="Submitted",BF344="Returned",BF344="Recall Requested"),MAX($CF$5:CF343)+1,""),"")</f>
        <v/>
      </c>
      <c r="CG344" s="80">
        <f>IF(BD344=0,0,IF(D344="Malcolm",1,MATCH(BF344,{"Draft","Submitted","Approved","Returned","Recall Requested","Cancelled"},0)+1))</f>
        <v>0</v>
      </c>
      <c r="CH344" s="80">
        <f>IF(AND(BF344="Submitted",ISNUMBER(V344)),IF(V344&gt;CFG_MAXD,1,0),0)</f>
        <v>0</v>
      </c>
    </row>
    <row r="345">
      <c r="A345" s="71" t="str">
        <f>IF(Y345=1,ROW()-5,"")</f>
        <v/>
      </c>
      <c r="B345" s="72" t="n"/>
      <c r="C345" s="71" t="str">
        <f>IF(ISNUMBER(B345),CHOOSE(WEEKDAY(B345,2),"Lun","Mar","Mié","Jue","Vie","Sáb","Dom"),"")</f>
        <v/>
      </c>
      <c r="D345" s="73" t="n"/>
      <c r="E345" s="74" t="n"/>
      <c r="F345" s="74" t="n"/>
      <c r="G345" s="74" t="n"/>
      <c r="H345" s="75" t="n"/>
      <c r="I345" s="75" t="n"/>
      <c r="J345" s="76" t="n"/>
      <c r="K345" s="77" t="str">
        <f>IF(AB345=1,ROUND(AG345/60,4),"")</f>
        <v/>
      </c>
      <c r="L345" s="77" t="str">
        <f>IF(BD345=1,ROUND(AP345/60,4),"")</f>
        <v/>
      </c>
      <c r="M345" s="77" t="str">
        <f>IF(BD345=1,ROUND(AQ345/60,4),"")</f>
        <v/>
      </c>
      <c r="N345" s="71" t="str">
        <f>IF(AND(D345="proMX",AB345=1),ROUND(AG345/CFG_BLK,2),"")</f>
        <v/>
      </c>
      <c r="O345" s="77" t="str">
        <f>IF(D345="proMX",IF(BD345=1,ROUND(AG345/60,4),0),"")</f>
        <v/>
      </c>
      <c r="P345" s="78" t="str">
        <f>IF(Y345=0,"",IF(BD345=1,"OK",IF(D345="proMX","Revisar bloques: ","Revisar: ")&amp;BC345))</f>
        <v/>
      </c>
      <c r="Q345" s="78" t="str">
        <f>IF(NOT(ISNUMBER(B345)),"",IF(COUNTIFS(FER_F,INT(B345))&gt;0,"Feriado"&amp;IF(AH345=1," (laborable)"," (no laborable)"),IF(AH345=1,"Laborable",IF(WEEKDAY(B345,2)&gt;5,"Fin de semana","No laborable"))))</f>
        <v/>
      </c>
      <c r="R345" s="73" t="n"/>
      <c r="S345" s="72" t="n"/>
      <c r="T345" s="72" t="n"/>
      <c r="U345" s="74" t="n"/>
      <c r="V345" s="79" t="str">
        <f>IF(AND(D345="proMX",OR(R345="Submitted",R345="Recall Requested"),ISNUMBER(S345)),CFG_TODAY-INT(S345),"")</f>
        <v/>
      </c>
      <c r="W345" s="78" t="str">
        <f>IF(BD345=0,"",IF(BA345&gt;0,"⚠ Se superpone con un registro de la otra empresa",IF(D345="Malcolm",IF(COUNTA(R345,S345,T345)&gt;0,"Estado/fechas proMX se ignoran en Malcolm",""),IF(BF345="Cancelled","Cancelado: excluido de totales",IF(R345="","Sin estado: se trata como Draft",IF(BF345="Submitted",IF(ISNUMBER(V345),IF(V345&gt;CFG_MAXD,"⚠ "&amp;V345&amp;" días en Submitted (máx. "&amp;CFG_MAXD&amp;")",""),"Falta fecha de envío"),IF(BF345="Returned","⚠ Devuelto: corregir y reenviar",IF(BF345="Recall Requested","Retirada solicitada: pendiente",IF(AND(BF345="Approved",NOT(ISNUMBER(T345))),"Falta fecha de aprobación",IF(AND(ISNUMBER(S345),ISNUMBER(T345),T345&lt;S345),"Aprobación anterior al envío","")))))))))</f>
        <v/>
      </c>
      <c r="Y345" s="80">
        <f>IF(COUNTA(B345,D345,E345,F345,G345,H345,I345,J345,R345,S345,T345)&gt;0,1,0)</f>
        <v>0</v>
      </c>
      <c r="Z345" s="80" t="str">
        <f>IF(AND(ISNUMBER(H345),H345&gt;=0,H345&lt;1),ROUND(H345*1440,0),"")</f>
        <v/>
      </c>
      <c r="AA345" s="80" t="str">
        <f>IF(AND(ISNUMBER(I345),I345&gt;=0,I345&lt;1),ROUND(I345*1440,0),"")</f>
        <v/>
      </c>
      <c r="AB345" s="80">
        <f>IF(AND(ISNUMBER(B345),D345&lt;&gt;"",ISNUMBER(Z345),ISNUMBER(AA345)),IF(Z345=AA345,0,1),0)</f>
        <v>0</v>
      </c>
      <c r="AC345" s="80">
        <f>IF(AB345=1,IF(AA345&lt;Z345,1,0),0)</f>
        <v>0</v>
      </c>
      <c r="AD345" s="80">
        <f>IF(AB345=1,IF(AC345=1,1440-Z345+AA345,AA345-Z345),0)</f>
        <v>0</v>
      </c>
      <c r="AE345" s="80">
        <f>IF(J345="",0,IF(ISNUMBER(J345),J345,-1))</f>
        <v>0</v>
      </c>
      <c r="AF345" s="80">
        <f>MIN(MAX(0,AE345),AD345)</f>
        <v>0</v>
      </c>
      <c r="AG345" s="80">
        <f>MAX(0,AD345-MAX(0,AE345))</f>
        <v>0</v>
      </c>
      <c r="AH345" s="80">
        <f>IF(ISNUMBER(B345),IF(AND(INDEX(CFG_WDAYS,WEEKDAY(INT(B345),2))="Sí",IF(D345="proMX",COUNTIFS(FER_F,INT(B345),FER_NLP,"Sí"),COUNTIFS(FER_F,INT(B345),FER_NLM,"Sí"))=0),1,0),0)</f>
        <v>0</v>
      </c>
      <c r="AI345" s="80">
        <f>IF(AC345=1,IF(AND(INDEX(CFG_WDAYS,WEEKDAY(INT(B345)+1,2))="Sí",IF(D345="proMX",COUNTIFS(FER_F,INT(B345)+1,FER_NLP,"Sí"),COUNTIFS(FER_F,INT(B345)+1,FER_NLM,"Sí"))=0),1,0),0)</f>
        <v>0</v>
      </c>
      <c r="AJ345" s="80">
        <f>IF(AC345=1,1440-Z345,AD345)</f>
        <v>0</v>
      </c>
      <c r="AK345" s="80">
        <f>IF(AND(AB345=1,AH345=1),MAX(0,MIN(IF(AC345=1,1440,AA345),CFG_WEM)-MAX(Z345,CFG_WSM)),0)</f>
        <v>0</v>
      </c>
      <c r="AL345" s="80">
        <f>IF(AND(AC345=1,AI345=1),MAX(0,MIN(AA345,CFG_WEM)-CFG_WSM),0)</f>
        <v>0</v>
      </c>
      <c r="AM345" s="80">
        <f>AK345+AL345</f>
        <v>0</v>
      </c>
      <c r="AN345" s="80">
        <f>IF(CFG_BRK="Proporcional",IF(AD345=0,0,AF345*AM345/AD345),IF(CFG_BRK="Extras primero",MIN(AM345,MAX(0,AF345-(AD345-AM345))),MIN(AF345,AM345)))</f>
        <v>0</v>
      </c>
      <c r="AO345" s="80">
        <f>AF345-AN345</f>
        <v>0</v>
      </c>
      <c r="AP345" s="80">
        <f>AM345-AN345</f>
        <v>0</v>
      </c>
      <c r="AQ345" s="80">
        <f>AD345-AM345-AO345</f>
        <v>0</v>
      </c>
      <c r="AR345" s="80">
        <f>IF(AM345=0,0,AK345-AN345*AK345/AM345)</f>
        <v>0</v>
      </c>
      <c r="AS345" s="80">
        <f>IF(AD345-AM345=0,0,(AJ345-AK345)-AO345*(AJ345-AK345)/(AD345-AM345))</f>
        <v>0</v>
      </c>
      <c r="AT345" s="80" t="str">
        <f>IF(AC345=1,INT(B345)+1,"")</f>
        <v/>
      </c>
      <c r="AU345" s="80">
        <f>IF(AND(D345="proMX",R345="Cancelled"),0,1)</f>
        <v>1</v>
      </c>
      <c r="AV345" s="80">
        <f>IF(AND(AB345=1,AU345=1),IF(COUNTIFS($D$5:D344,D345,$B$5:B344,B345,$Z$5:Z344,Z345,$AA$5:AA344,AA345,$F$5:F344,F345&amp;"",$AU$5:AU344,1)&gt;0,1,0),0)</f>
        <v>0</v>
      </c>
      <c r="AW345" s="80" t="str">
        <f>IF(AB345=1,INT(B345)*1440+Z345,"")</f>
        <v/>
      </c>
      <c r="AX345" s="80" t="str">
        <f>IF(AB345=1,AW345+AD345,"")</f>
        <v/>
      </c>
      <c r="AY345" s="80">
        <f>IF(AND(AB345=1,AV345=0,AU345=1),1,0)</f>
        <v>0</v>
      </c>
      <c r="AZ345" s="80">
        <f>IF(AY345=1,COUNTIFS(R_Emp,D345,R_SAbs,"&lt;"&amp;AX345,R_EAbs,"&gt;"&amp;AW345,R_OKey,1)-1,0)</f>
        <v>0</v>
      </c>
      <c r="BA345" s="80">
        <f>IF(AY345=1,COUNTIFS(R_Emp,"&lt;&gt;"&amp;D345,R_SAbs,"&lt;"&amp;AX345,R_EAbs,"&gt;"&amp;AW345,R_OKey,1),0)</f>
        <v>0</v>
      </c>
      <c r="BB345" s="80">
        <f>IF(AND(AB345=1,D345="proMX"),IF(AND(MOD(Z345,CFG_BLK)=0,MOD(AA345,CFG_BLK)=0,MOD(AG345,CFG_BLK)=0,AG345&gt;0),1,0),1)</f>
        <v>1</v>
      </c>
      <c r="BC345" s="80" t="str">
        <f>IF(Y345=0,"",IF(NOT(ISNUMBER(B345)),"Falta fecha o fecha inválida",IF(D345="","Falta empresa",IF(AND(D345&lt;&gt;"Malcolm",D345&lt;&gt;"proMX"),"Empresa inválida",IF(OR(INT(B345)&lt;CFG_PSTART,INT(B345)&gt;CFG_PEND),"Fecha fuera del período",IF(OR(NOT(ISNUMBER(Z345)),NOT(ISNUMBER(AA345))),"Falta hora inicio/fin o formato inválido",IF(AB345=0,"Hora inicio = hora fin",IF(AE345&lt;0,"Descanso inválido",IF(AE345&gt;=AD345,"Descanso ≥ duración",IF(AV345=1,"Registro duplicado",IF(AZ345&gt;0,"Se superpone con otro registro "&amp;D345,IF(BB345=0,"inicio, fin y duración neta deben ser múltiplos de "&amp;CFG_BLK&amp;" min",""))))))))))))</f>
        <v/>
      </c>
      <c r="BD345" s="80">
        <f>IF(AND(Y345=1,BC345=""),1,0)</f>
        <v>0</v>
      </c>
      <c r="BE345" s="80">
        <f>IF(AND(BD345=1,AU345=1),1,0)</f>
        <v>0</v>
      </c>
      <c r="BF345" s="80" t="str">
        <f>IF(AND(D345="proMX",BD345=1),IF(R345="","Draft",R345),"")</f>
        <v/>
      </c>
      <c r="BG345" s="80">
        <f>IF(BD345=1,ROUND(AG345/60,6),0)</f>
        <v>0</v>
      </c>
      <c r="BH345" s="80">
        <f>IF(BE345=1,ROUND(AG345/60,6),0)</f>
        <v>0</v>
      </c>
      <c r="BI345" s="80">
        <f>IF(BE345=1,ROUND(AP345/60,6),0)</f>
        <v>0</v>
      </c>
      <c r="BJ345" s="80">
        <f>IF(BE345=1,ROUND(AQ345/60,6),0)</f>
        <v>0</v>
      </c>
      <c r="BK345" s="80">
        <f>IF(BE345=1,ROUND((AR345+AS345)/60,6),0)</f>
        <v>0</v>
      </c>
      <c r="BL345" s="80">
        <f>ROUND(BH345-BK345,6)</f>
        <v>0</v>
      </c>
      <c r="BM345" s="80">
        <f>IF(BE345=1,ROUND(AR345/60,6),0)</f>
        <v>0</v>
      </c>
      <c r="BN345" s="80">
        <f>ROUND(BI345-BM345,6)</f>
        <v>0</v>
      </c>
      <c r="BO345" s="80">
        <f>IF(BE345=1,ROUND(AS345/60,6),0)</f>
        <v>0</v>
      </c>
      <c r="BP345" s="80">
        <f>ROUND(BJ345-BO345,6)</f>
        <v>0</v>
      </c>
      <c r="BQ345" s="80">
        <f>IF(BE345=1,AW345,0)</f>
        <v>0</v>
      </c>
      <c r="BR345" s="80">
        <f>IF(BE345=1,AX345,0)</f>
        <v>0</v>
      </c>
      <c r="BS345" s="80">
        <f>IF(AND(BE345=1,D345="Malcolm",BA345&gt;0),MIN(BH345,SUMPRODUCT((R_Emp="proMX")*(R_EN&gt;0)*((R_EN-(R_EN&gt;BR345)*(R_EN-BR345))&gt;(R_SN+(R_SN&lt;BQ345)*(BQ345-R_SN)))*((R_EN-(R_EN&gt;BR345)*(R_EN-BR345))-(R_SN+(R_SN&lt;BQ345)*(BQ345-R_SN))))/60),0)</f>
        <v>0</v>
      </c>
      <c r="BT345" s="80">
        <f>IF(AND(BE345=1,D345="proMX"),ROUND(BI345*CFG_RATE+BJ345*CFG_OTRATE,6),0)</f>
        <v>0</v>
      </c>
      <c r="BU345" s="80">
        <f>IF(AND(BD345=1,D345="proMX"),ROUND(AG345/CFG_BLK,6),0)</f>
        <v>0</v>
      </c>
      <c r="BV345" s="80" t="str">
        <f>IF(BF345="Approved",IF(ISNUMBER(T345),INT(T345),INT(B345)),"")</f>
        <v/>
      </c>
      <c r="BW345" s="80">
        <f>IF(ISNUMBER(B345),IF(DB_MON="Todos",1,IF(AND(INT(B345)&gt;=DB_MS,INT(B345)&lt;=DB_ME),1,0)),0)</f>
        <v>0</v>
      </c>
      <c r="BX345" s="80">
        <f>IF(DB_PROJ="Todos",1,IF(E345&amp;""=DB_PROJ&amp;"",1,0))</f>
        <v>1</v>
      </c>
      <c r="BY345" s="80">
        <f>BW345*BX345</f>
        <v>0</v>
      </c>
      <c r="BZ345" s="80" t="str">
        <f>IF(Y345=1,F345&amp;IF(AND(F345&amp;""&lt;&gt;"",E345&amp;""&lt;&gt;"")," · ","")&amp;E345,"")</f>
        <v/>
      </c>
      <c r="CA345" s="80" t="str">
        <f>IF(AND(BD345=1,E345&amp;""&lt;&gt;""),IF(COUNTIFS($E$5:E344,E345,$BD$5:BD344,1)=0,MAX($CA$5:CA344)+1,""),"")</f>
        <v/>
      </c>
      <c r="CB345" s="80" t="str">
        <f>IF(AND(BE345=1,D345="Malcolm",E345&amp;""&lt;&gt;""),IF(COUNTIFS($D$5:D344,"Malcolm",$E$5:E344,E345,$BE$5:BE344,1)=0,MAX($CB$5:CB344)+1,""),"")</f>
        <v/>
      </c>
      <c r="CC345" s="80" t="str">
        <f>IF(AND(BD345=1,D345="proMX",E345&amp;""&lt;&gt;""),IF(COUNTIFS($D$5:D344,"proMX",$E$5:E344,E345,$BD$5:BD344,1)=0,MAX($CC$5:CC344)+1,""),"")</f>
        <v/>
      </c>
      <c r="CD345" s="80" t="str">
        <f>IF(AND(BE345=1,D345="Malcolm",F345&amp;""&lt;&gt;""),IF(COUNTIFS($D$5:D344,"Malcolm",$F$5:F344,F345,$BE$5:BE344,1)=0,MAX($CD$5:CD344)+1,""),"")</f>
        <v/>
      </c>
      <c r="CE345" s="80" t="str">
        <f>IF(AND(BD345=1,D345="proMX",F345&amp;""&lt;&gt;""),IF(COUNTIFS($D$5:D344,"proMX",$F$5:F344,F345,$BD$5:BD344,1)=0,MAX($CE$5:CE344)+1,""),"")</f>
        <v/>
      </c>
      <c r="CF345" s="80" t="str">
        <f>IF(AND(D345="proMX",BD345=1),IF(OR(BF345="Draft",BF345="Submitted",BF345="Returned",BF345="Recall Requested"),MAX($CF$5:CF344)+1,""),"")</f>
        <v/>
      </c>
      <c r="CG345" s="80">
        <f>IF(BD345=0,0,IF(D345="Malcolm",1,MATCH(BF345,{"Draft","Submitted","Approved","Returned","Recall Requested","Cancelled"},0)+1))</f>
        <v>0</v>
      </c>
      <c r="CH345" s="80">
        <f>IF(AND(BF345="Submitted",ISNUMBER(V345)),IF(V345&gt;CFG_MAXD,1,0),0)</f>
        <v>0</v>
      </c>
    </row>
    <row r="346">
      <c r="A346" s="71" t="str">
        <f>IF(Y346=1,ROW()-5,"")</f>
        <v/>
      </c>
      <c r="B346" s="72" t="n"/>
      <c r="C346" s="71" t="str">
        <f>IF(ISNUMBER(B346),CHOOSE(WEEKDAY(B346,2),"Lun","Mar","Mié","Jue","Vie","Sáb","Dom"),"")</f>
        <v/>
      </c>
      <c r="D346" s="73" t="n"/>
      <c r="E346" s="74" t="n"/>
      <c r="F346" s="74" t="n"/>
      <c r="G346" s="74" t="n"/>
      <c r="H346" s="75" t="n"/>
      <c r="I346" s="75" t="n"/>
      <c r="J346" s="76" t="n"/>
      <c r="K346" s="77" t="str">
        <f>IF(AB346=1,ROUND(AG346/60,4),"")</f>
        <v/>
      </c>
      <c r="L346" s="77" t="str">
        <f>IF(BD346=1,ROUND(AP346/60,4),"")</f>
        <v/>
      </c>
      <c r="M346" s="77" t="str">
        <f>IF(BD346=1,ROUND(AQ346/60,4),"")</f>
        <v/>
      </c>
      <c r="N346" s="71" t="str">
        <f>IF(AND(D346="proMX",AB346=1),ROUND(AG346/CFG_BLK,2),"")</f>
        <v/>
      </c>
      <c r="O346" s="77" t="str">
        <f>IF(D346="proMX",IF(BD346=1,ROUND(AG346/60,4),0),"")</f>
        <v/>
      </c>
      <c r="P346" s="78" t="str">
        <f>IF(Y346=0,"",IF(BD346=1,"OK",IF(D346="proMX","Revisar bloques: ","Revisar: ")&amp;BC346))</f>
        <v/>
      </c>
      <c r="Q346" s="78" t="str">
        <f>IF(NOT(ISNUMBER(B346)),"",IF(COUNTIFS(FER_F,INT(B346))&gt;0,"Feriado"&amp;IF(AH346=1," (laborable)"," (no laborable)"),IF(AH346=1,"Laborable",IF(WEEKDAY(B346,2)&gt;5,"Fin de semana","No laborable"))))</f>
        <v/>
      </c>
      <c r="R346" s="73" t="n"/>
      <c r="S346" s="72" t="n"/>
      <c r="T346" s="72" t="n"/>
      <c r="U346" s="74" t="n"/>
      <c r="V346" s="79" t="str">
        <f>IF(AND(D346="proMX",OR(R346="Submitted",R346="Recall Requested"),ISNUMBER(S346)),CFG_TODAY-INT(S346),"")</f>
        <v/>
      </c>
      <c r="W346" s="78" t="str">
        <f>IF(BD346=0,"",IF(BA346&gt;0,"⚠ Se superpone con un registro de la otra empresa",IF(D346="Malcolm",IF(COUNTA(R346,S346,T346)&gt;0,"Estado/fechas proMX se ignoran en Malcolm",""),IF(BF346="Cancelled","Cancelado: excluido de totales",IF(R346="","Sin estado: se trata como Draft",IF(BF346="Submitted",IF(ISNUMBER(V346),IF(V346&gt;CFG_MAXD,"⚠ "&amp;V346&amp;" días en Submitted (máx. "&amp;CFG_MAXD&amp;")",""),"Falta fecha de envío"),IF(BF346="Returned","⚠ Devuelto: corregir y reenviar",IF(BF346="Recall Requested","Retirada solicitada: pendiente",IF(AND(BF346="Approved",NOT(ISNUMBER(T346))),"Falta fecha de aprobación",IF(AND(ISNUMBER(S346),ISNUMBER(T346),T346&lt;S346),"Aprobación anterior al envío","")))))))))</f>
        <v/>
      </c>
      <c r="Y346" s="80">
        <f>IF(COUNTA(B346,D346,E346,F346,G346,H346,I346,J346,R346,S346,T346)&gt;0,1,0)</f>
        <v>0</v>
      </c>
      <c r="Z346" s="80" t="str">
        <f>IF(AND(ISNUMBER(H346),H346&gt;=0,H346&lt;1),ROUND(H346*1440,0),"")</f>
        <v/>
      </c>
      <c r="AA346" s="80" t="str">
        <f>IF(AND(ISNUMBER(I346),I346&gt;=0,I346&lt;1),ROUND(I346*1440,0),"")</f>
        <v/>
      </c>
      <c r="AB346" s="80">
        <f>IF(AND(ISNUMBER(B346),D346&lt;&gt;"",ISNUMBER(Z346),ISNUMBER(AA346)),IF(Z346=AA346,0,1),0)</f>
        <v>0</v>
      </c>
      <c r="AC346" s="80">
        <f>IF(AB346=1,IF(AA346&lt;Z346,1,0),0)</f>
        <v>0</v>
      </c>
      <c r="AD346" s="80">
        <f>IF(AB346=1,IF(AC346=1,1440-Z346+AA346,AA346-Z346),0)</f>
        <v>0</v>
      </c>
      <c r="AE346" s="80">
        <f>IF(J346="",0,IF(ISNUMBER(J346),J346,-1))</f>
        <v>0</v>
      </c>
      <c r="AF346" s="80">
        <f>MIN(MAX(0,AE346),AD346)</f>
        <v>0</v>
      </c>
      <c r="AG346" s="80">
        <f>MAX(0,AD346-MAX(0,AE346))</f>
        <v>0</v>
      </c>
      <c r="AH346" s="80">
        <f>IF(ISNUMBER(B346),IF(AND(INDEX(CFG_WDAYS,WEEKDAY(INT(B346),2))="Sí",IF(D346="proMX",COUNTIFS(FER_F,INT(B346),FER_NLP,"Sí"),COUNTIFS(FER_F,INT(B346),FER_NLM,"Sí"))=0),1,0),0)</f>
        <v>0</v>
      </c>
      <c r="AI346" s="80">
        <f>IF(AC346=1,IF(AND(INDEX(CFG_WDAYS,WEEKDAY(INT(B346)+1,2))="Sí",IF(D346="proMX",COUNTIFS(FER_F,INT(B346)+1,FER_NLP,"Sí"),COUNTIFS(FER_F,INT(B346)+1,FER_NLM,"Sí"))=0),1,0),0)</f>
        <v>0</v>
      </c>
      <c r="AJ346" s="80">
        <f>IF(AC346=1,1440-Z346,AD346)</f>
        <v>0</v>
      </c>
      <c r="AK346" s="80">
        <f>IF(AND(AB346=1,AH346=1),MAX(0,MIN(IF(AC346=1,1440,AA346),CFG_WEM)-MAX(Z346,CFG_WSM)),0)</f>
        <v>0</v>
      </c>
      <c r="AL346" s="80">
        <f>IF(AND(AC346=1,AI346=1),MAX(0,MIN(AA346,CFG_WEM)-CFG_WSM),0)</f>
        <v>0</v>
      </c>
      <c r="AM346" s="80">
        <f>AK346+AL346</f>
        <v>0</v>
      </c>
      <c r="AN346" s="80">
        <f>IF(CFG_BRK="Proporcional",IF(AD346=0,0,AF346*AM346/AD346),IF(CFG_BRK="Extras primero",MIN(AM346,MAX(0,AF346-(AD346-AM346))),MIN(AF346,AM346)))</f>
        <v>0</v>
      </c>
      <c r="AO346" s="80">
        <f>AF346-AN346</f>
        <v>0</v>
      </c>
      <c r="AP346" s="80">
        <f>AM346-AN346</f>
        <v>0</v>
      </c>
      <c r="AQ346" s="80">
        <f>AD346-AM346-AO346</f>
        <v>0</v>
      </c>
      <c r="AR346" s="80">
        <f>IF(AM346=0,0,AK346-AN346*AK346/AM346)</f>
        <v>0</v>
      </c>
      <c r="AS346" s="80">
        <f>IF(AD346-AM346=0,0,(AJ346-AK346)-AO346*(AJ346-AK346)/(AD346-AM346))</f>
        <v>0</v>
      </c>
      <c r="AT346" s="80" t="str">
        <f>IF(AC346=1,INT(B346)+1,"")</f>
        <v/>
      </c>
      <c r="AU346" s="80">
        <f>IF(AND(D346="proMX",R346="Cancelled"),0,1)</f>
        <v>1</v>
      </c>
      <c r="AV346" s="80">
        <f>IF(AND(AB346=1,AU346=1),IF(COUNTIFS($D$5:D345,D346,$B$5:B345,B346,$Z$5:Z345,Z346,$AA$5:AA345,AA346,$F$5:F345,F346&amp;"",$AU$5:AU345,1)&gt;0,1,0),0)</f>
        <v>0</v>
      </c>
      <c r="AW346" s="80" t="str">
        <f>IF(AB346=1,INT(B346)*1440+Z346,"")</f>
        <v/>
      </c>
      <c r="AX346" s="80" t="str">
        <f>IF(AB346=1,AW346+AD346,"")</f>
        <v/>
      </c>
      <c r="AY346" s="80">
        <f>IF(AND(AB346=1,AV346=0,AU346=1),1,0)</f>
        <v>0</v>
      </c>
      <c r="AZ346" s="80">
        <f>IF(AY346=1,COUNTIFS(R_Emp,D346,R_SAbs,"&lt;"&amp;AX346,R_EAbs,"&gt;"&amp;AW346,R_OKey,1)-1,0)</f>
        <v>0</v>
      </c>
      <c r="BA346" s="80">
        <f>IF(AY346=1,COUNTIFS(R_Emp,"&lt;&gt;"&amp;D346,R_SAbs,"&lt;"&amp;AX346,R_EAbs,"&gt;"&amp;AW346,R_OKey,1),0)</f>
        <v>0</v>
      </c>
      <c r="BB346" s="80">
        <f>IF(AND(AB346=1,D346="proMX"),IF(AND(MOD(Z346,CFG_BLK)=0,MOD(AA346,CFG_BLK)=0,MOD(AG346,CFG_BLK)=0,AG346&gt;0),1,0),1)</f>
        <v>1</v>
      </c>
      <c r="BC346" s="80" t="str">
        <f>IF(Y346=0,"",IF(NOT(ISNUMBER(B346)),"Falta fecha o fecha inválida",IF(D346="","Falta empresa",IF(AND(D346&lt;&gt;"Malcolm",D346&lt;&gt;"proMX"),"Empresa inválida",IF(OR(INT(B346)&lt;CFG_PSTART,INT(B346)&gt;CFG_PEND),"Fecha fuera del período",IF(OR(NOT(ISNUMBER(Z346)),NOT(ISNUMBER(AA346))),"Falta hora inicio/fin o formato inválido",IF(AB346=0,"Hora inicio = hora fin",IF(AE346&lt;0,"Descanso inválido",IF(AE346&gt;=AD346,"Descanso ≥ duración",IF(AV346=1,"Registro duplicado",IF(AZ346&gt;0,"Se superpone con otro registro "&amp;D346,IF(BB346=0,"inicio, fin y duración neta deben ser múltiplos de "&amp;CFG_BLK&amp;" min",""))))))))))))</f>
        <v/>
      </c>
      <c r="BD346" s="80">
        <f>IF(AND(Y346=1,BC346=""),1,0)</f>
        <v>0</v>
      </c>
      <c r="BE346" s="80">
        <f>IF(AND(BD346=1,AU346=1),1,0)</f>
        <v>0</v>
      </c>
      <c r="BF346" s="80" t="str">
        <f>IF(AND(D346="proMX",BD346=1),IF(R346="","Draft",R346),"")</f>
        <v/>
      </c>
      <c r="BG346" s="80">
        <f>IF(BD346=1,ROUND(AG346/60,6),0)</f>
        <v>0</v>
      </c>
      <c r="BH346" s="80">
        <f>IF(BE346=1,ROUND(AG346/60,6),0)</f>
        <v>0</v>
      </c>
      <c r="BI346" s="80">
        <f>IF(BE346=1,ROUND(AP346/60,6),0)</f>
        <v>0</v>
      </c>
      <c r="BJ346" s="80">
        <f>IF(BE346=1,ROUND(AQ346/60,6),0)</f>
        <v>0</v>
      </c>
      <c r="BK346" s="80">
        <f>IF(BE346=1,ROUND((AR346+AS346)/60,6),0)</f>
        <v>0</v>
      </c>
      <c r="BL346" s="80">
        <f>ROUND(BH346-BK346,6)</f>
        <v>0</v>
      </c>
      <c r="BM346" s="80">
        <f>IF(BE346=1,ROUND(AR346/60,6),0)</f>
        <v>0</v>
      </c>
      <c r="BN346" s="80">
        <f>ROUND(BI346-BM346,6)</f>
        <v>0</v>
      </c>
      <c r="BO346" s="80">
        <f>IF(BE346=1,ROUND(AS346/60,6),0)</f>
        <v>0</v>
      </c>
      <c r="BP346" s="80">
        <f>ROUND(BJ346-BO346,6)</f>
        <v>0</v>
      </c>
      <c r="BQ346" s="80">
        <f>IF(BE346=1,AW346,0)</f>
        <v>0</v>
      </c>
      <c r="BR346" s="80">
        <f>IF(BE346=1,AX346,0)</f>
        <v>0</v>
      </c>
      <c r="BS346" s="80">
        <f>IF(AND(BE346=1,D346="Malcolm",BA346&gt;0),MIN(BH346,SUMPRODUCT((R_Emp="proMX")*(R_EN&gt;0)*((R_EN-(R_EN&gt;BR346)*(R_EN-BR346))&gt;(R_SN+(R_SN&lt;BQ346)*(BQ346-R_SN)))*((R_EN-(R_EN&gt;BR346)*(R_EN-BR346))-(R_SN+(R_SN&lt;BQ346)*(BQ346-R_SN))))/60),0)</f>
        <v>0</v>
      </c>
      <c r="BT346" s="80">
        <f>IF(AND(BE346=1,D346="proMX"),ROUND(BI346*CFG_RATE+BJ346*CFG_OTRATE,6),0)</f>
        <v>0</v>
      </c>
      <c r="BU346" s="80">
        <f>IF(AND(BD346=1,D346="proMX"),ROUND(AG346/CFG_BLK,6),0)</f>
        <v>0</v>
      </c>
      <c r="BV346" s="80" t="str">
        <f>IF(BF346="Approved",IF(ISNUMBER(T346),INT(T346),INT(B346)),"")</f>
        <v/>
      </c>
      <c r="BW346" s="80">
        <f>IF(ISNUMBER(B346),IF(DB_MON="Todos",1,IF(AND(INT(B346)&gt;=DB_MS,INT(B346)&lt;=DB_ME),1,0)),0)</f>
        <v>0</v>
      </c>
      <c r="BX346" s="80">
        <f>IF(DB_PROJ="Todos",1,IF(E346&amp;""=DB_PROJ&amp;"",1,0))</f>
        <v>1</v>
      </c>
      <c r="BY346" s="80">
        <f>BW346*BX346</f>
        <v>0</v>
      </c>
      <c r="BZ346" s="80" t="str">
        <f>IF(Y346=1,F346&amp;IF(AND(F346&amp;""&lt;&gt;"",E346&amp;""&lt;&gt;"")," · ","")&amp;E346,"")</f>
        <v/>
      </c>
      <c r="CA346" s="80" t="str">
        <f>IF(AND(BD346=1,E346&amp;""&lt;&gt;""),IF(COUNTIFS($E$5:E345,E346,$BD$5:BD345,1)=0,MAX($CA$5:CA345)+1,""),"")</f>
        <v/>
      </c>
      <c r="CB346" s="80" t="str">
        <f>IF(AND(BE346=1,D346="Malcolm",E346&amp;""&lt;&gt;""),IF(COUNTIFS($D$5:D345,"Malcolm",$E$5:E345,E346,$BE$5:BE345,1)=0,MAX($CB$5:CB345)+1,""),"")</f>
        <v/>
      </c>
      <c r="CC346" s="80" t="str">
        <f>IF(AND(BD346=1,D346="proMX",E346&amp;""&lt;&gt;""),IF(COUNTIFS($D$5:D345,"proMX",$E$5:E345,E346,$BD$5:BD345,1)=0,MAX($CC$5:CC345)+1,""),"")</f>
        <v/>
      </c>
      <c r="CD346" s="80" t="str">
        <f>IF(AND(BE346=1,D346="Malcolm",F346&amp;""&lt;&gt;""),IF(COUNTIFS($D$5:D345,"Malcolm",$F$5:F345,F346,$BE$5:BE345,1)=0,MAX($CD$5:CD345)+1,""),"")</f>
        <v/>
      </c>
      <c r="CE346" s="80" t="str">
        <f>IF(AND(BD346=1,D346="proMX",F346&amp;""&lt;&gt;""),IF(COUNTIFS($D$5:D345,"proMX",$F$5:F345,F346,$BD$5:BD345,1)=0,MAX($CE$5:CE345)+1,""),"")</f>
        <v/>
      </c>
      <c r="CF346" s="80" t="str">
        <f>IF(AND(D346="proMX",BD346=1),IF(OR(BF346="Draft",BF346="Submitted",BF346="Returned",BF346="Recall Requested"),MAX($CF$5:CF345)+1,""),"")</f>
        <v/>
      </c>
      <c r="CG346" s="80">
        <f>IF(BD346=0,0,IF(D346="Malcolm",1,MATCH(BF346,{"Draft","Submitted","Approved","Returned","Recall Requested","Cancelled"},0)+1))</f>
        <v>0</v>
      </c>
      <c r="CH346" s="80">
        <f>IF(AND(BF346="Submitted",ISNUMBER(V346)),IF(V346&gt;CFG_MAXD,1,0),0)</f>
        <v>0</v>
      </c>
    </row>
    <row r="347">
      <c r="A347" s="71" t="str">
        <f>IF(Y347=1,ROW()-5,"")</f>
        <v/>
      </c>
      <c r="B347" s="72" t="n"/>
      <c r="C347" s="71" t="str">
        <f>IF(ISNUMBER(B347),CHOOSE(WEEKDAY(B347,2),"Lun","Mar","Mié","Jue","Vie","Sáb","Dom"),"")</f>
        <v/>
      </c>
      <c r="D347" s="73" t="n"/>
      <c r="E347" s="74" t="n"/>
      <c r="F347" s="74" t="n"/>
      <c r="G347" s="74" t="n"/>
      <c r="H347" s="75" t="n"/>
      <c r="I347" s="75" t="n"/>
      <c r="J347" s="76" t="n"/>
      <c r="K347" s="77" t="str">
        <f>IF(AB347=1,ROUND(AG347/60,4),"")</f>
        <v/>
      </c>
      <c r="L347" s="77" t="str">
        <f>IF(BD347=1,ROUND(AP347/60,4),"")</f>
        <v/>
      </c>
      <c r="M347" s="77" t="str">
        <f>IF(BD347=1,ROUND(AQ347/60,4),"")</f>
        <v/>
      </c>
      <c r="N347" s="71" t="str">
        <f>IF(AND(D347="proMX",AB347=1),ROUND(AG347/CFG_BLK,2),"")</f>
        <v/>
      </c>
      <c r="O347" s="77" t="str">
        <f>IF(D347="proMX",IF(BD347=1,ROUND(AG347/60,4),0),"")</f>
        <v/>
      </c>
      <c r="P347" s="78" t="str">
        <f>IF(Y347=0,"",IF(BD347=1,"OK",IF(D347="proMX","Revisar bloques: ","Revisar: ")&amp;BC347))</f>
        <v/>
      </c>
      <c r="Q347" s="78" t="str">
        <f>IF(NOT(ISNUMBER(B347)),"",IF(COUNTIFS(FER_F,INT(B347))&gt;0,"Feriado"&amp;IF(AH347=1," (laborable)"," (no laborable)"),IF(AH347=1,"Laborable",IF(WEEKDAY(B347,2)&gt;5,"Fin de semana","No laborable"))))</f>
        <v/>
      </c>
      <c r="R347" s="73" t="n"/>
      <c r="S347" s="72" t="n"/>
      <c r="T347" s="72" t="n"/>
      <c r="U347" s="74" t="n"/>
      <c r="V347" s="79" t="str">
        <f>IF(AND(D347="proMX",OR(R347="Submitted",R347="Recall Requested"),ISNUMBER(S347)),CFG_TODAY-INT(S347),"")</f>
        <v/>
      </c>
      <c r="W347" s="78" t="str">
        <f>IF(BD347=0,"",IF(BA347&gt;0,"⚠ Se superpone con un registro de la otra empresa",IF(D347="Malcolm",IF(COUNTA(R347,S347,T347)&gt;0,"Estado/fechas proMX se ignoran en Malcolm",""),IF(BF347="Cancelled","Cancelado: excluido de totales",IF(R347="","Sin estado: se trata como Draft",IF(BF347="Submitted",IF(ISNUMBER(V347),IF(V347&gt;CFG_MAXD,"⚠ "&amp;V347&amp;" días en Submitted (máx. "&amp;CFG_MAXD&amp;")",""),"Falta fecha de envío"),IF(BF347="Returned","⚠ Devuelto: corregir y reenviar",IF(BF347="Recall Requested","Retirada solicitada: pendiente",IF(AND(BF347="Approved",NOT(ISNUMBER(T347))),"Falta fecha de aprobación",IF(AND(ISNUMBER(S347),ISNUMBER(T347),T347&lt;S347),"Aprobación anterior al envío","")))))))))</f>
        <v/>
      </c>
      <c r="Y347" s="80">
        <f>IF(COUNTA(B347,D347,E347,F347,G347,H347,I347,J347,R347,S347,T347)&gt;0,1,0)</f>
        <v>0</v>
      </c>
      <c r="Z347" s="80" t="str">
        <f>IF(AND(ISNUMBER(H347),H347&gt;=0,H347&lt;1),ROUND(H347*1440,0),"")</f>
        <v/>
      </c>
      <c r="AA347" s="80" t="str">
        <f>IF(AND(ISNUMBER(I347),I347&gt;=0,I347&lt;1),ROUND(I347*1440,0),"")</f>
        <v/>
      </c>
      <c r="AB347" s="80">
        <f>IF(AND(ISNUMBER(B347),D347&lt;&gt;"",ISNUMBER(Z347),ISNUMBER(AA347)),IF(Z347=AA347,0,1),0)</f>
        <v>0</v>
      </c>
      <c r="AC347" s="80">
        <f>IF(AB347=1,IF(AA347&lt;Z347,1,0),0)</f>
        <v>0</v>
      </c>
      <c r="AD347" s="80">
        <f>IF(AB347=1,IF(AC347=1,1440-Z347+AA347,AA347-Z347),0)</f>
        <v>0</v>
      </c>
      <c r="AE347" s="80">
        <f>IF(J347="",0,IF(ISNUMBER(J347),J347,-1))</f>
        <v>0</v>
      </c>
      <c r="AF347" s="80">
        <f>MIN(MAX(0,AE347),AD347)</f>
        <v>0</v>
      </c>
      <c r="AG347" s="80">
        <f>MAX(0,AD347-MAX(0,AE347))</f>
        <v>0</v>
      </c>
      <c r="AH347" s="80">
        <f>IF(ISNUMBER(B347),IF(AND(INDEX(CFG_WDAYS,WEEKDAY(INT(B347),2))="Sí",IF(D347="proMX",COUNTIFS(FER_F,INT(B347),FER_NLP,"Sí"),COUNTIFS(FER_F,INT(B347),FER_NLM,"Sí"))=0),1,0),0)</f>
        <v>0</v>
      </c>
      <c r="AI347" s="80">
        <f>IF(AC347=1,IF(AND(INDEX(CFG_WDAYS,WEEKDAY(INT(B347)+1,2))="Sí",IF(D347="proMX",COUNTIFS(FER_F,INT(B347)+1,FER_NLP,"Sí"),COUNTIFS(FER_F,INT(B347)+1,FER_NLM,"Sí"))=0),1,0),0)</f>
        <v>0</v>
      </c>
      <c r="AJ347" s="80">
        <f>IF(AC347=1,1440-Z347,AD347)</f>
        <v>0</v>
      </c>
      <c r="AK347" s="80">
        <f>IF(AND(AB347=1,AH347=1),MAX(0,MIN(IF(AC347=1,1440,AA347),CFG_WEM)-MAX(Z347,CFG_WSM)),0)</f>
        <v>0</v>
      </c>
      <c r="AL347" s="80">
        <f>IF(AND(AC347=1,AI347=1),MAX(0,MIN(AA347,CFG_WEM)-CFG_WSM),0)</f>
        <v>0</v>
      </c>
      <c r="AM347" s="80">
        <f>AK347+AL347</f>
        <v>0</v>
      </c>
      <c r="AN347" s="80">
        <f>IF(CFG_BRK="Proporcional",IF(AD347=0,0,AF347*AM347/AD347),IF(CFG_BRK="Extras primero",MIN(AM347,MAX(0,AF347-(AD347-AM347))),MIN(AF347,AM347)))</f>
        <v>0</v>
      </c>
      <c r="AO347" s="80">
        <f>AF347-AN347</f>
        <v>0</v>
      </c>
      <c r="AP347" s="80">
        <f>AM347-AN347</f>
        <v>0</v>
      </c>
      <c r="AQ347" s="80">
        <f>AD347-AM347-AO347</f>
        <v>0</v>
      </c>
      <c r="AR347" s="80">
        <f>IF(AM347=0,0,AK347-AN347*AK347/AM347)</f>
        <v>0</v>
      </c>
      <c r="AS347" s="80">
        <f>IF(AD347-AM347=0,0,(AJ347-AK347)-AO347*(AJ347-AK347)/(AD347-AM347))</f>
        <v>0</v>
      </c>
      <c r="AT347" s="80" t="str">
        <f>IF(AC347=1,INT(B347)+1,"")</f>
        <v/>
      </c>
      <c r="AU347" s="80">
        <f>IF(AND(D347="proMX",R347="Cancelled"),0,1)</f>
        <v>1</v>
      </c>
      <c r="AV347" s="80">
        <f>IF(AND(AB347=1,AU347=1),IF(COUNTIFS($D$5:D346,D347,$B$5:B346,B347,$Z$5:Z346,Z347,$AA$5:AA346,AA347,$F$5:F346,F347&amp;"",$AU$5:AU346,1)&gt;0,1,0),0)</f>
        <v>0</v>
      </c>
      <c r="AW347" s="80" t="str">
        <f>IF(AB347=1,INT(B347)*1440+Z347,"")</f>
        <v/>
      </c>
      <c r="AX347" s="80" t="str">
        <f>IF(AB347=1,AW347+AD347,"")</f>
        <v/>
      </c>
      <c r="AY347" s="80">
        <f>IF(AND(AB347=1,AV347=0,AU347=1),1,0)</f>
        <v>0</v>
      </c>
      <c r="AZ347" s="80">
        <f>IF(AY347=1,COUNTIFS(R_Emp,D347,R_SAbs,"&lt;"&amp;AX347,R_EAbs,"&gt;"&amp;AW347,R_OKey,1)-1,0)</f>
        <v>0</v>
      </c>
      <c r="BA347" s="80">
        <f>IF(AY347=1,COUNTIFS(R_Emp,"&lt;&gt;"&amp;D347,R_SAbs,"&lt;"&amp;AX347,R_EAbs,"&gt;"&amp;AW347,R_OKey,1),0)</f>
        <v>0</v>
      </c>
      <c r="BB347" s="80">
        <f>IF(AND(AB347=1,D347="proMX"),IF(AND(MOD(Z347,CFG_BLK)=0,MOD(AA347,CFG_BLK)=0,MOD(AG347,CFG_BLK)=0,AG347&gt;0),1,0),1)</f>
        <v>1</v>
      </c>
      <c r="BC347" s="80" t="str">
        <f>IF(Y347=0,"",IF(NOT(ISNUMBER(B347)),"Falta fecha o fecha inválida",IF(D347="","Falta empresa",IF(AND(D347&lt;&gt;"Malcolm",D347&lt;&gt;"proMX"),"Empresa inválida",IF(OR(INT(B347)&lt;CFG_PSTART,INT(B347)&gt;CFG_PEND),"Fecha fuera del período",IF(OR(NOT(ISNUMBER(Z347)),NOT(ISNUMBER(AA347))),"Falta hora inicio/fin o formato inválido",IF(AB347=0,"Hora inicio = hora fin",IF(AE347&lt;0,"Descanso inválido",IF(AE347&gt;=AD347,"Descanso ≥ duración",IF(AV347=1,"Registro duplicado",IF(AZ347&gt;0,"Se superpone con otro registro "&amp;D347,IF(BB347=0,"inicio, fin y duración neta deben ser múltiplos de "&amp;CFG_BLK&amp;" min",""))))))))))))</f>
        <v/>
      </c>
      <c r="BD347" s="80">
        <f>IF(AND(Y347=1,BC347=""),1,0)</f>
        <v>0</v>
      </c>
      <c r="BE347" s="80">
        <f>IF(AND(BD347=1,AU347=1),1,0)</f>
        <v>0</v>
      </c>
      <c r="BF347" s="80" t="str">
        <f>IF(AND(D347="proMX",BD347=1),IF(R347="","Draft",R347),"")</f>
        <v/>
      </c>
      <c r="BG347" s="80">
        <f>IF(BD347=1,ROUND(AG347/60,6),0)</f>
        <v>0</v>
      </c>
      <c r="BH347" s="80">
        <f>IF(BE347=1,ROUND(AG347/60,6),0)</f>
        <v>0</v>
      </c>
      <c r="BI347" s="80">
        <f>IF(BE347=1,ROUND(AP347/60,6),0)</f>
        <v>0</v>
      </c>
      <c r="BJ347" s="80">
        <f>IF(BE347=1,ROUND(AQ347/60,6),0)</f>
        <v>0</v>
      </c>
      <c r="BK347" s="80">
        <f>IF(BE347=1,ROUND((AR347+AS347)/60,6),0)</f>
        <v>0</v>
      </c>
      <c r="BL347" s="80">
        <f>ROUND(BH347-BK347,6)</f>
        <v>0</v>
      </c>
      <c r="BM347" s="80">
        <f>IF(BE347=1,ROUND(AR347/60,6),0)</f>
        <v>0</v>
      </c>
      <c r="BN347" s="80">
        <f>ROUND(BI347-BM347,6)</f>
        <v>0</v>
      </c>
      <c r="BO347" s="80">
        <f>IF(BE347=1,ROUND(AS347/60,6),0)</f>
        <v>0</v>
      </c>
      <c r="BP347" s="80">
        <f>ROUND(BJ347-BO347,6)</f>
        <v>0</v>
      </c>
      <c r="BQ347" s="80">
        <f>IF(BE347=1,AW347,0)</f>
        <v>0</v>
      </c>
      <c r="BR347" s="80">
        <f>IF(BE347=1,AX347,0)</f>
        <v>0</v>
      </c>
      <c r="BS347" s="80">
        <f>IF(AND(BE347=1,D347="Malcolm",BA347&gt;0),MIN(BH347,SUMPRODUCT((R_Emp="proMX")*(R_EN&gt;0)*((R_EN-(R_EN&gt;BR347)*(R_EN-BR347))&gt;(R_SN+(R_SN&lt;BQ347)*(BQ347-R_SN)))*((R_EN-(R_EN&gt;BR347)*(R_EN-BR347))-(R_SN+(R_SN&lt;BQ347)*(BQ347-R_SN))))/60),0)</f>
        <v>0</v>
      </c>
      <c r="BT347" s="80">
        <f>IF(AND(BE347=1,D347="proMX"),ROUND(BI347*CFG_RATE+BJ347*CFG_OTRATE,6),0)</f>
        <v>0</v>
      </c>
      <c r="BU347" s="80">
        <f>IF(AND(BD347=1,D347="proMX"),ROUND(AG347/CFG_BLK,6),0)</f>
        <v>0</v>
      </c>
      <c r="BV347" s="80" t="str">
        <f>IF(BF347="Approved",IF(ISNUMBER(T347),INT(T347),INT(B347)),"")</f>
        <v/>
      </c>
      <c r="BW347" s="80">
        <f>IF(ISNUMBER(B347),IF(DB_MON="Todos",1,IF(AND(INT(B347)&gt;=DB_MS,INT(B347)&lt;=DB_ME),1,0)),0)</f>
        <v>0</v>
      </c>
      <c r="BX347" s="80">
        <f>IF(DB_PROJ="Todos",1,IF(E347&amp;""=DB_PROJ&amp;"",1,0))</f>
        <v>1</v>
      </c>
      <c r="BY347" s="80">
        <f>BW347*BX347</f>
        <v>0</v>
      </c>
      <c r="BZ347" s="80" t="str">
        <f>IF(Y347=1,F347&amp;IF(AND(F347&amp;""&lt;&gt;"",E347&amp;""&lt;&gt;"")," · ","")&amp;E347,"")</f>
        <v/>
      </c>
      <c r="CA347" s="80" t="str">
        <f>IF(AND(BD347=1,E347&amp;""&lt;&gt;""),IF(COUNTIFS($E$5:E346,E347,$BD$5:BD346,1)=0,MAX($CA$5:CA346)+1,""),"")</f>
        <v/>
      </c>
      <c r="CB347" s="80" t="str">
        <f>IF(AND(BE347=1,D347="Malcolm",E347&amp;""&lt;&gt;""),IF(COUNTIFS($D$5:D346,"Malcolm",$E$5:E346,E347,$BE$5:BE346,1)=0,MAX($CB$5:CB346)+1,""),"")</f>
        <v/>
      </c>
      <c r="CC347" s="80" t="str">
        <f>IF(AND(BD347=1,D347="proMX",E347&amp;""&lt;&gt;""),IF(COUNTIFS($D$5:D346,"proMX",$E$5:E346,E347,$BD$5:BD346,1)=0,MAX($CC$5:CC346)+1,""),"")</f>
        <v/>
      </c>
      <c r="CD347" s="80" t="str">
        <f>IF(AND(BE347=1,D347="Malcolm",F347&amp;""&lt;&gt;""),IF(COUNTIFS($D$5:D346,"Malcolm",$F$5:F346,F347,$BE$5:BE346,1)=0,MAX($CD$5:CD346)+1,""),"")</f>
        <v/>
      </c>
      <c r="CE347" s="80" t="str">
        <f>IF(AND(BD347=1,D347="proMX",F347&amp;""&lt;&gt;""),IF(COUNTIFS($D$5:D346,"proMX",$F$5:F346,F347,$BD$5:BD346,1)=0,MAX($CE$5:CE346)+1,""),"")</f>
        <v/>
      </c>
      <c r="CF347" s="80" t="str">
        <f>IF(AND(D347="proMX",BD347=1),IF(OR(BF347="Draft",BF347="Submitted",BF347="Returned",BF347="Recall Requested"),MAX($CF$5:CF346)+1,""),"")</f>
        <v/>
      </c>
      <c r="CG347" s="80">
        <f>IF(BD347=0,0,IF(D347="Malcolm",1,MATCH(BF347,{"Draft","Submitted","Approved","Returned","Recall Requested","Cancelled"},0)+1))</f>
        <v>0</v>
      </c>
      <c r="CH347" s="80">
        <f>IF(AND(BF347="Submitted",ISNUMBER(V347)),IF(V347&gt;CFG_MAXD,1,0),0)</f>
        <v>0</v>
      </c>
    </row>
    <row r="348">
      <c r="A348" s="71" t="str">
        <f>IF(Y348=1,ROW()-5,"")</f>
        <v/>
      </c>
      <c r="B348" s="72" t="n"/>
      <c r="C348" s="71" t="str">
        <f>IF(ISNUMBER(B348),CHOOSE(WEEKDAY(B348,2),"Lun","Mar","Mié","Jue","Vie","Sáb","Dom"),"")</f>
        <v/>
      </c>
      <c r="D348" s="73" t="n"/>
      <c r="E348" s="74" t="n"/>
      <c r="F348" s="74" t="n"/>
      <c r="G348" s="74" t="n"/>
      <c r="H348" s="75" t="n"/>
      <c r="I348" s="75" t="n"/>
      <c r="J348" s="76" t="n"/>
      <c r="K348" s="77" t="str">
        <f>IF(AB348=1,ROUND(AG348/60,4),"")</f>
        <v/>
      </c>
      <c r="L348" s="77" t="str">
        <f>IF(BD348=1,ROUND(AP348/60,4),"")</f>
        <v/>
      </c>
      <c r="M348" s="77" t="str">
        <f>IF(BD348=1,ROUND(AQ348/60,4),"")</f>
        <v/>
      </c>
      <c r="N348" s="71" t="str">
        <f>IF(AND(D348="proMX",AB348=1),ROUND(AG348/CFG_BLK,2),"")</f>
        <v/>
      </c>
      <c r="O348" s="77" t="str">
        <f>IF(D348="proMX",IF(BD348=1,ROUND(AG348/60,4),0),"")</f>
        <v/>
      </c>
      <c r="P348" s="78" t="str">
        <f>IF(Y348=0,"",IF(BD348=1,"OK",IF(D348="proMX","Revisar bloques: ","Revisar: ")&amp;BC348))</f>
        <v/>
      </c>
      <c r="Q348" s="78" t="str">
        <f>IF(NOT(ISNUMBER(B348)),"",IF(COUNTIFS(FER_F,INT(B348))&gt;0,"Feriado"&amp;IF(AH348=1," (laborable)"," (no laborable)"),IF(AH348=1,"Laborable",IF(WEEKDAY(B348,2)&gt;5,"Fin de semana","No laborable"))))</f>
        <v/>
      </c>
      <c r="R348" s="73" t="n"/>
      <c r="S348" s="72" t="n"/>
      <c r="T348" s="72" t="n"/>
      <c r="U348" s="74" t="n"/>
      <c r="V348" s="79" t="str">
        <f>IF(AND(D348="proMX",OR(R348="Submitted",R348="Recall Requested"),ISNUMBER(S348)),CFG_TODAY-INT(S348),"")</f>
        <v/>
      </c>
      <c r="W348" s="78" t="str">
        <f>IF(BD348=0,"",IF(BA348&gt;0,"⚠ Se superpone con un registro de la otra empresa",IF(D348="Malcolm",IF(COUNTA(R348,S348,T348)&gt;0,"Estado/fechas proMX se ignoran en Malcolm",""),IF(BF348="Cancelled","Cancelado: excluido de totales",IF(R348="","Sin estado: se trata como Draft",IF(BF348="Submitted",IF(ISNUMBER(V348),IF(V348&gt;CFG_MAXD,"⚠ "&amp;V348&amp;" días en Submitted (máx. "&amp;CFG_MAXD&amp;")",""),"Falta fecha de envío"),IF(BF348="Returned","⚠ Devuelto: corregir y reenviar",IF(BF348="Recall Requested","Retirada solicitada: pendiente",IF(AND(BF348="Approved",NOT(ISNUMBER(T348))),"Falta fecha de aprobación",IF(AND(ISNUMBER(S348),ISNUMBER(T348),T348&lt;S348),"Aprobación anterior al envío","")))))))))</f>
        <v/>
      </c>
      <c r="Y348" s="80">
        <f>IF(COUNTA(B348,D348,E348,F348,G348,H348,I348,J348,R348,S348,T348)&gt;0,1,0)</f>
        <v>0</v>
      </c>
      <c r="Z348" s="80" t="str">
        <f>IF(AND(ISNUMBER(H348),H348&gt;=0,H348&lt;1),ROUND(H348*1440,0),"")</f>
        <v/>
      </c>
      <c r="AA348" s="80" t="str">
        <f>IF(AND(ISNUMBER(I348),I348&gt;=0,I348&lt;1),ROUND(I348*1440,0),"")</f>
        <v/>
      </c>
      <c r="AB348" s="80">
        <f>IF(AND(ISNUMBER(B348),D348&lt;&gt;"",ISNUMBER(Z348),ISNUMBER(AA348)),IF(Z348=AA348,0,1),0)</f>
        <v>0</v>
      </c>
      <c r="AC348" s="80">
        <f>IF(AB348=1,IF(AA348&lt;Z348,1,0),0)</f>
        <v>0</v>
      </c>
      <c r="AD348" s="80">
        <f>IF(AB348=1,IF(AC348=1,1440-Z348+AA348,AA348-Z348),0)</f>
        <v>0</v>
      </c>
      <c r="AE348" s="80">
        <f>IF(J348="",0,IF(ISNUMBER(J348),J348,-1))</f>
        <v>0</v>
      </c>
      <c r="AF348" s="80">
        <f>MIN(MAX(0,AE348),AD348)</f>
        <v>0</v>
      </c>
      <c r="AG348" s="80">
        <f>MAX(0,AD348-MAX(0,AE348))</f>
        <v>0</v>
      </c>
      <c r="AH348" s="80">
        <f>IF(ISNUMBER(B348),IF(AND(INDEX(CFG_WDAYS,WEEKDAY(INT(B348),2))="Sí",IF(D348="proMX",COUNTIFS(FER_F,INT(B348),FER_NLP,"Sí"),COUNTIFS(FER_F,INT(B348),FER_NLM,"Sí"))=0),1,0),0)</f>
        <v>0</v>
      </c>
      <c r="AI348" s="80">
        <f>IF(AC348=1,IF(AND(INDEX(CFG_WDAYS,WEEKDAY(INT(B348)+1,2))="Sí",IF(D348="proMX",COUNTIFS(FER_F,INT(B348)+1,FER_NLP,"Sí"),COUNTIFS(FER_F,INT(B348)+1,FER_NLM,"Sí"))=0),1,0),0)</f>
        <v>0</v>
      </c>
      <c r="AJ348" s="80">
        <f>IF(AC348=1,1440-Z348,AD348)</f>
        <v>0</v>
      </c>
      <c r="AK348" s="80">
        <f>IF(AND(AB348=1,AH348=1),MAX(0,MIN(IF(AC348=1,1440,AA348),CFG_WEM)-MAX(Z348,CFG_WSM)),0)</f>
        <v>0</v>
      </c>
      <c r="AL348" s="80">
        <f>IF(AND(AC348=1,AI348=1),MAX(0,MIN(AA348,CFG_WEM)-CFG_WSM),0)</f>
        <v>0</v>
      </c>
      <c r="AM348" s="80">
        <f>AK348+AL348</f>
        <v>0</v>
      </c>
      <c r="AN348" s="80">
        <f>IF(CFG_BRK="Proporcional",IF(AD348=0,0,AF348*AM348/AD348),IF(CFG_BRK="Extras primero",MIN(AM348,MAX(0,AF348-(AD348-AM348))),MIN(AF348,AM348)))</f>
        <v>0</v>
      </c>
      <c r="AO348" s="80">
        <f>AF348-AN348</f>
        <v>0</v>
      </c>
      <c r="AP348" s="80">
        <f>AM348-AN348</f>
        <v>0</v>
      </c>
      <c r="AQ348" s="80">
        <f>AD348-AM348-AO348</f>
        <v>0</v>
      </c>
      <c r="AR348" s="80">
        <f>IF(AM348=0,0,AK348-AN348*AK348/AM348)</f>
        <v>0</v>
      </c>
      <c r="AS348" s="80">
        <f>IF(AD348-AM348=0,0,(AJ348-AK348)-AO348*(AJ348-AK348)/(AD348-AM348))</f>
        <v>0</v>
      </c>
      <c r="AT348" s="80" t="str">
        <f>IF(AC348=1,INT(B348)+1,"")</f>
        <v/>
      </c>
      <c r="AU348" s="80">
        <f>IF(AND(D348="proMX",R348="Cancelled"),0,1)</f>
        <v>1</v>
      </c>
      <c r="AV348" s="80">
        <f>IF(AND(AB348=1,AU348=1),IF(COUNTIFS($D$5:D347,D348,$B$5:B347,B348,$Z$5:Z347,Z348,$AA$5:AA347,AA348,$F$5:F347,F348&amp;"",$AU$5:AU347,1)&gt;0,1,0),0)</f>
        <v>0</v>
      </c>
      <c r="AW348" s="80" t="str">
        <f>IF(AB348=1,INT(B348)*1440+Z348,"")</f>
        <v/>
      </c>
      <c r="AX348" s="80" t="str">
        <f>IF(AB348=1,AW348+AD348,"")</f>
        <v/>
      </c>
      <c r="AY348" s="80">
        <f>IF(AND(AB348=1,AV348=0,AU348=1),1,0)</f>
        <v>0</v>
      </c>
      <c r="AZ348" s="80">
        <f>IF(AY348=1,COUNTIFS(R_Emp,D348,R_SAbs,"&lt;"&amp;AX348,R_EAbs,"&gt;"&amp;AW348,R_OKey,1)-1,0)</f>
        <v>0</v>
      </c>
      <c r="BA348" s="80">
        <f>IF(AY348=1,COUNTIFS(R_Emp,"&lt;&gt;"&amp;D348,R_SAbs,"&lt;"&amp;AX348,R_EAbs,"&gt;"&amp;AW348,R_OKey,1),0)</f>
        <v>0</v>
      </c>
      <c r="BB348" s="80">
        <f>IF(AND(AB348=1,D348="proMX"),IF(AND(MOD(Z348,CFG_BLK)=0,MOD(AA348,CFG_BLK)=0,MOD(AG348,CFG_BLK)=0,AG348&gt;0),1,0),1)</f>
        <v>1</v>
      </c>
      <c r="BC348" s="80" t="str">
        <f>IF(Y348=0,"",IF(NOT(ISNUMBER(B348)),"Falta fecha o fecha inválida",IF(D348="","Falta empresa",IF(AND(D348&lt;&gt;"Malcolm",D348&lt;&gt;"proMX"),"Empresa inválida",IF(OR(INT(B348)&lt;CFG_PSTART,INT(B348)&gt;CFG_PEND),"Fecha fuera del período",IF(OR(NOT(ISNUMBER(Z348)),NOT(ISNUMBER(AA348))),"Falta hora inicio/fin o formato inválido",IF(AB348=0,"Hora inicio = hora fin",IF(AE348&lt;0,"Descanso inválido",IF(AE348&gt;=AD348,"Descanso ≥ duración",IF(AV348=1,"Registro duplicado",IF(AZ348&gt;0,"Se superpone con otro registro "&amp;D348,IF(BB348=0,"inicio, fin y duración neta deben ser múltiplos de "&amp;CFG_BLK&amp;" min",""))))))))))))</f>
        <v/>
      </c>
      <c r="BD348" s="80">
        <f>IF(AND(Y348=1,BC348=""),1,0)</f>
        <v>0</v>
      </c>
      <c r="BE348" s="80">
        <f>IF(AND(BD348=1,AU348=1),1,0)</f>
        <v>0</v>
      </c>
      <c r="BF348" s="80" t="str">
        <f>IF(AND(D348="proMX",BD348=1),IF(R348="","Draft",R348),"")</f>
        <v/>
      </c>
      <c r="BG348" s="80">
        <f>IF(BD348=1,ROUND(AG348/60,6),0)</f>
        <v>0</v>
      </c>
      <c r="BH348" s="80">
        <f>IF(BE348=1,ROUND(AG348/60,6),0)</f>
        <v>0</v>
      </c>
      <c r="BI348" s="80">
        <f>IF(BE348=1,ROUND(AP348/60,6),0)</f>
        <v>0</v>
      </c>
      <c r="BJ348" s="80">
        <f>IF(BE348=1,ROUND(AQ348/60,6),0)</f>
        <v>0</v>
      </c>
      <c r="BK348" s="80">
        <f>IF(BE348=1,ROUND((AR348+AS348)/60,6),0)</f>
        <v>0</v>
      </c>
      <c r="BL348" s="80">
        <f>ROUND(BH348-BK348,6)</f>
        <v>0</v>
      </c>
      <c r="BM348" s="80">
        <f>IF(BE348=1,ROUND(AR348/60,6),0)</f>
        <v>0</v>
      </c>
      <c r="BN348" s="80">
        <f>ROUND(BI348-BM348,6)</f>
        <v>0</v>
      </c>
      <c r="BO348" s="80">
        <f>IF(BE348=1,ROUND(AS348/60,6),0)</f>
        <v>0</v>
      </c>
      <c r="BP348" s="80">
        <f>ROUND(BJ348-BO348,6)</f>
        <v>0</v>
      </c>
      <c r="BQ348" s="80">
        <f>IF(BE348=1,AW348,0)</f>
        <v>0</v>
      </c>
      <c r="BR348" s="80">
        <f>IF(BE348=1,AX348,0)</f>
        <v>0</v>
      </c>
      <c r="BS348" s="80">
        <f>IF(AND(BE348=1,D348="Malcolm",BA348&gt;0),MIN(BH348,SUMPRODUCT((R_Emp="proMX")*(R_EN&gt;0)*((R_EN-(R_EN&gt;BR348)*(R_EN-BR348))&gt;(R_SN+(R_SN&lt;BQ348)*(BQ348-R_SN)))*((R_EN-(R_EN&gt;BR348)*(R_EN-BR348))-(R_SN+(R_SN&lt;BQ348)*(BQ348-R_SN))))/60),0)</f>
        <v>0</v>
      </c>
      <c r="BT348" s="80">
        <f>IF(AND(BE348=1,D348="proMX"),ROUND(BI348*CFG_RATE+BJ348*CFG_OTRATE,6),0)</f>
        <v>0</v>
      </c>
      <c r="BU348" s="80">
        <f>IF(AND(BD348=1,D348="proMX"),ROUND(AG348/CFG_BLK,6),0)</f>
        <v>0</v>
      </c>
      <c r="BV348" s="80" t="str">
        <f>IF(BF348="Approved",IF(ISNUMBER(T348),INT(T348),INT(B348)),"")</f>
        <v/>
      </c>
      <c r="BW348" s="80">
        <f>IF(ISNUMBER(B348),IF(DB_MON="Todos",1,IF(AND(INT(B348)&gt;=DB_MS,INT(B348)&lt;=DB_ME),1,0)),0)</f>
        <v>0</v>
      </c>
      <c r="BX348" s="80">
        <f>IF(DB_PROJ="Todos",1,IF(E348&amp;""=DB_PROJ&amp;"",1,0))</f>
        <v>1</v>
      </c>
      <c r="BY348" s="80">
        <f>BW348*BX348</f>
        <v>0</v>
      </c>
      <c r="BZ348" s="80" t="str">
        <f>IF(Y348=1,F348&amp;IF(AND(F348&amp;""&lt;&gt;"",E348&amp;""&lt;&gt;"")," · ","")&amp;E348,"")</f>
        <v/>
      </c>
      <c r="CA348" s="80" t="str">
        <f>IF(AND(BD348=1,E348&amp;""&lt;&gt;""),IF(COUNTIFS($E$5:E347,E348,$BD$5:BD347,1)=0,MAX($CA$5:CA347)+1,""),"")</f>
        <v/>
      </c>
      <c r="CB348" s="80" t="str">
        <f>IF(AND(BE348=1,D348="Malcolm",E348&amp;""&lt;&gt;""),IF(COUNTIFS($D$5:D347,"Malcolm",$E$5:E347,E348,$BE$5:BE347,1)=0,MAX($CB$5:CB347)+1,""),"")</f>
        <v/>
      </c>
      <c r="CC348" s="80" t="str">
        <f>IF(AND(BD348=1,D348="proMX",E348&amp;""&lt;&gt;""),IF(COUNTIFS($D$5:D347,"proMX",$E$5:E347,E348,$BD$5:BD347,1)=0,MAX($CC$5:CC347)+1,""),"")</f>
        <v/>
      </c>
      <c r="CD348" s="80" t="str">
        <f>IF(AND(BE348=1,D348="Malcolm",F348&amp;""&lt;&gt;""),IF(COUNTIFS($D$5:D347,"Malcolm",$F$5:F347,F348,$BE$5:BE347,1)=0,MAX($CD$5:CD347)+1,""),"")</f>
        <v/>
      </c>
      <c r="CE348" s="80" t="str">
        <f>IF(AND(BD348=1,D348="proMX",F348&amp;""&lt;&gt;""),IF(COUNTIFS($D$5:D347,"proMX",$F$5:F347,F348,$BD$5:BD347,1)=0,MAX($CE$5:CE347)+1,""),"")</f>
        <v/>
      </c>
      <c r="CF348" s="80" t="str">
        <f>IF(AND(D348="proMX",BD348=1),IF(OR(BF348="Draft",BF348="Submitted",BF348="Returned",BF348="Recall Requested"),MAX($CF$5:CF347)+1,""),"")</f>
        <v/>
      </c>
      <c r="CG348" s="80">
        <f>IF(BD348=0,0,IF(D348="Malcolm",1,MATCH(BF348,{"Draft","Submitted","Approved","Returned","Recall Requested","Cancelled"},0)+1))</f>
        <v>0</v>
      </c>
      <c r="CH348" s="80">
        <f>IF(AND(BF348="Submitted",ISNUMBER(V348)),IF(V348&gt;CFG_MAXD,1,0),0)</f>
        <v>0</v>
      </c>
    </row>
    <row r="349">
      <c r="A349" s="71" t="str">
        <f>IF(Y349=1,ROW()-5,"")</f>
        <v/>
      </c>
      <c r="B349" s="72" t="n"/>
      <c r="C349" s="71" t="str">
        <f>IF(ISNUMBER(B349),CHOOSE(WEEKDAY(B349,2),"Lun","Mar","Mié","Jue","Vie","Sáb","Dom"),"")</f>
        <v/>
      </c>
      <c r="D349" s="73" t="n"/>
      <c r="E349" s="74" t="n"/>
      <c r="F349" s="74" t="n"/>
      <c r="G349" s="74" t="n"/>
      <c r="H349" s="75" t="n"/>
      <c r="I349" s="75" t="n"/>
      <c r="J349" s="76" t="n"/>
      <c r="K349" s="77" t="str">
        <f>IF(AB349=1,ROUND(AG349/60,4),"")</f>
        <v/>
      </c>
      <c r="L349" s="77" t="str">
        <f>IF(BD349=1,ROUND(AP349/60,4),"")</f>
        <v/>
      </c>
      <c r="M349" s="77" t="str">
        <f>IF(BD349=1,ROUND(AQ349/60,4),"")</f>
        <v/>
      </c>
      <c r="N349" s="71" t="str">
        <f>IF(AND(D349="proMX",AB349=1),ROUND(AG349/CFG_BLK,2),"")</f>
        <v/>
      </c>
      <c r="O349" s="77" t="str">
        <f>IF(D349="proMX",IF(BD349=1,ROUND(AG349/60,4),0),"")</f>
        <v/>
      </c>
      <c r="P349" s="78" t="str">
        <f>IF(Y349=0,"",IF(BD349=1,"OK",IF(D349="proMX","Revisar bloques: ","Revisar: ")&amp;BC349))</f>
        <v/>
      </c>
      <c r="Q349" s="78" t="str">
        <f>IF(NOT(ISNUMBER(B349)),"",IF(COUNTIFS(FER_F,INT(B349))&gt;0,"Feriado"&amp;IF(AH349=1," (laborable)"," (no laborable)"),IF(AH349=1,"Laborable",IF(WEEKDAY(B349,2)&gt;5,"Fin de semana","No laborable"))))</f>
        <v/>
      </c>
      <c r="R349" s="73" t="n"/>
      <c r="S349" s="72" t="n"/>
      <c r="T349" s="72" t="n"/>
      <c r="U349" s="74" t="n"/>
      <c r="V349" s="79" t="str">
        <f>IF(AND(D349="proMX",OR(R349="Submitted",R349="Recall Requested"),ISNUMBER(S349)),CFG_TODAY-INT(S349),"")</f>
        <v/>
      </c>
      <c r="W349" s="78" t="str">
        <f>IF(BD349=0,"",IF(BA349&gt;0,"⚠ Se superpone con un registro de la otra empresa",IF(D349="Malcolm",IF(COUNTA(R349,S349,T349)&gt;0,"Estado/fechas proMX se ignoran en Malcolm",""),IF(BF349="Cancelled","Cancelado: excluido de totales",IF(R349="","Sin estado: se trata como Draft",IF(BF349="Submitted",IF(ISNUMBER(V349),IF(V349&gt;CFG_MAXD,"⚠ "&amp;V349&amp;" días en Submitted (máx. "&amp;CFG_MAXD&amp;")",""),"Falta fecha de envío"),IF(BF349="Returned","⚠ Devuelto: corregir y reenviar",IF(BF349="Recall Requested","Retirada solicitada: pendiente",IF(AND(BF349="Approved",NOT(ISNUMBER(T349))),"Falta fecha de aprobación",IF(AND(ISNUMBER(S349),ISNUMBER(T349),T349&lt;S349),"Aprobación anterior al envío","")))))))))</f>
        <v/>
      </c>
      <c r="Y349" s="80">
        <f>IF(COUNTA(B349,D349,E349,F349,G349,H349,I349,J349,R349,S349,T349)&gt;0,1,0)</f>
        <v>0</v>
      </c>
      <c r="Z349" s="80" t="str">
        <f>IF(AND(ISNUMBER(H349),H349&gt;=0,H349&lt;1),ROUND(H349*1440,0),"")</f>
        <v/>
      </c>
      <c r="AA349" s="80" t="str">
        <f>IF(AND(ISNUMBER(I349),I349&gt;=0,I349&lt;1),ROUND(I349*1440,0),"")</f>
        <v/>
      </c>
      <c r="AB349" s="80">
        <f>IF(AND(ISNUMBER(B349),D349&lt;&gt;"",ISNUMBER(Z349),ISNUMBER(AA349)),IF(Z349=AA349,0,1),0)</f>
        <v>0</v>
      </c>
      <c r="AC349" s="80">
        <f>IF(AB349=1,IF(AA349&lt;Z349,1,0),0)</f>
        <v>0</v>
      </c>
      <c r="AD349" s="80">
        <f>IF(AB349=1,IF(AC349=1,1440-Z349+AA349,AA349-Z349),0)</f>
        <v>0</v>
      </c>
      <c r="AE349" s="80">
        <f>IF(J349="",0,IF(ISNUMBER(J349),J349,-1))</f>
        <v>0</v>
      </c>
      <c r="AF349" s="80">
        <f>MIN(MAX(0,AE349),AD349)</f>
        <v>0</v>
      </c>
      <c r="AG349" s="80">
        <f>MAX(0,AD349-MAX(0,AE349))</f>
        <v>0</v>
      </c>
      <c r="AH349" s="80">
        <f>IF(ISNUMBER(B349),IF(AND(INDEX(CFG_WDAYS,WEEKDAY(INT(B349),2))="Sí",IF(D349="proMX",COUNTIFS(FER_F,INT(B349),FER_NLP,"Sí"),COUNTIFS(FER_F,INT(B349),FER_NLM,"Sí"))=0),1,0),0)</f>
        <v>0</v>
      </c>
      <c r="AI349" s="80">
        <f>IF(AC349=1,IF(AND(INDEX(CFG_WDAYS,WEEKDAY(INT(B349)+1,2))="Sí",IF(D349="proMX",COUNTIFS(FER_F,INT(B349)+1,FER_NLP,"Sí"),COUNTIFS(FER_F,INT(B349)+1,FER_NLM,"Sí"))=0),1,0),0)</f>
        <v>0</v>
      </c>
      <c r="AJ349" s="80">
        <f>IF(AC349=1,1440-Z349,AD349)</f>
        <v>0</v>
      </c>
      <c r="AK349" s="80">
        <f>IF(AND(AB349=1,AH349=1),MAX(0,MIN(IF(AC349=1,1440,AA349),CFG_WEM)-MAX(Z349,CFG_WSM)),0)</f>
        <v>0</v>
      </c>
      <c r="AL349" s="80">
        <f>IF(AND(AC349=1,AI349=1),MAX(0,MIN(AA349,CFG_WEM)-CFG_WSM),0)</f>
        <v>0</v>
      </c>
      <c r="AM349" s="80">
        <f>AK349+AL349</f>
        <v>0</v>
      </c>
      <c r="AN349" s="80">
        <f>IF(CFG_BRK="Proporcional",IF(AD349=0,0,AF349*AM349/AD349),IF(CFG_BRK="Extras primero",MIN(AM349,MAX(0,AF349-(AD349-AM349))),MIN(AF349,AM349)))</f>
        <v>0</v>
      </c>
      <c r="AO349" s="80">
        <f>AF349-AN349</f>
        <v>0</v>
      </c>
      <c r="AP349" s="80">
        <f>AM349-AN349</f>
        <v>0</v>
      </c>
      <c r="AQ349" s="80">
        <f>AD349-AM349-AO349</f>
        <v>0</v>
      </c>
      <c r="AR349" s="80">
        <f>IF(AM349=0,0,AK349-AN349*AK349/AM349)</f>
        <v>0</v>
      </c>
      <c r="AS349" s="80">
        <f>IF(AD349-AM349=0,0,(AJ349-AK349)-AO349*(AJ349-AK349)/(AD349-AM349))</f>
        <v>0</v>
      </c>
      <c r="AT349" s="80" t="str">
        <f>IF(AC349=1,INT(B349)+1,"")</f>
        <v/>
      </c>
      <c r="AU349" s="80">
        <f>IF(AND(D349="proMX",R349="Cancelled"),0,1)</f>
        <v>1</v>
      </c>
      <c r="AV349" s="80">
        <f>IF(AND(AB349=1,AU349=1),IF(COUNTIFS($D$5:D348,D349,$B$5:B348,B349,$Z$5:Z348,Z349,$AA$5:AA348,AA349,$F$5:F348,F349&amp;"",$AU$5:AU348,1)&gt;0,1,0),0)</f>
        <v>0</v>
      </c>
      <c r="AW349" s="80" t="str">
        <f>IF(AB349=1,INT(B349)*1440+Z349,"")</f>
        <v/>
      </c>
      <c r="AX349" s="80" t="str">
        <f>IF(AB349=1,AW349+AD349,"")</f>
        <v/>
      </c>
      <c r="AY349" s="80">
        <f>IF(AND(AB349=1,AV349=0,AU349=1),1,0)</f>
        <v>0</v>
      </c>
      <c r="AZ349" s="80">
        <f>IF(AY349=1,COUNTIFS(R_Emp,D349,R_SAbs,"&lt;"&amp;AX349,R_EAbs,"&gt;"&amp;AW349,R_OKey,1)-1,0)</f>
        <v>0</v>
      </c>
      <c r="BA349" s="80">
        <f>IF(AY349=1,COUNTIFS(R_Emp,"&lt;&gt;"&amp;D349,R_SAbs,"&lt;"&amp;AX349,R_EAbs,"&gt;"&amp;AW349,R_OKey,1),0)</f>
        <v>0</v>
      </c>
      <c r="BB349" s="80">
        <f>IF(AND(AB349=1,D349="proMX"),IF(AND(MOD(Z349,CFG_BLK)=0,MOD(AA349,CFG_BLK)=0,MOD(AG349,CFG_BLK)=0,AG349&gt;0),1,0),1)</f>
        <v>1</v>
      </c>
      <c r="BC349" s="80" t="str">
        <f>IF(Y349=0,"",IF(NOT(ISNUMBER(B349)),"Falta fecha o fecha inválida",IF(D349="","Falta empresa",IF(AND(D349&lt;&gt;"Malcolm",D349&lt;&gt;"proMX"),"Empresa inválida",IF(OR(INT(B349)&lt;CFG_PSTART,INT(B349)&gt;CFG_PEND),"Fecha fuera del período",IF(OR(NOT(ISNUMBER(Z349)),NOT(ISNUMBER(AA349))),"Falta hora inicio/fin o formato inválido",IF(AB349=0,"Hora inicio = hora fin",IF(AE349&lt;0,"Descanso inválido",IF(AE349&gt;=AD349,"Descanso ≥ duración",IF(AV349=1,"Registro duplicado",IF(AZ349&gt;0,"Se superpone con otro registro "&amp;D349,IF(BB349=0,"inicio, fin y duración neta deben ser múltiplos de "&amp;CFG_BLK&amp;" min",""))))))))))))</f>
        <v/>
      </c>
      <c r="BD349" s="80">
        <f>IF(AND(Y349=1,BC349=""),1,0)</f>
        <v>0</v>
      </c>
      <c r="BE349" s="80">
        <f>IF(AND(BD349=1,AU349=1),1,0)</f>
        <v>0</v>
      </c>
      <c r="BF349" s="80" t="str">
        <f>IF(AND(D349="proMX",BD349=1),IF(R349="","Draft",R349),"")</f>
        <v/>
      </c>
      <c r="BG349" s="80">
        <f>IF(BD349=1,ROUND(AG349/60,6),0)</f>
        <v>0</v>
      </c>
      <c r="BH349" s="80">
        <f>IF(BE349=1,ROUND(AG349/60,6),0)</f>
        <v>0</v>
      </c>
      <c r="BI349" s="80">
        <f>IF(BE349=1,ROUND(AP349/60,6),0)</f>
        <v>0</v>
      </c>
      <c r="BJ349" s="80">
        <f>IF(BE349=1,ROUND(AQ349/60,6),0)</f>
        <v>0</v>
      </c>
      <c r="BK349" s="80">
        <f>IF(BE349=1,ROUND((AR349+AS349)/60,6),0)</f>
        <v>0</v>
      </c>
      <c r="BL349" s="80">
        <f>ROUND(BH349-BK349,6)</f>
        <v>0</v>
      </c>
      <c r="BM349" s="80">
        <f>IF(BE349=1,ROUND(AR349/60,6),0)</f>
        <v>0</v>
      </c>
      <c r="BN349" s="80">
        <f>ROUND(BI349-BM349,6)</f>
        <v>0</v>
      </c>
      <c r="BO349" s="80">
        <f>IF(BE349=1,ROUND(AS349/60,6),0)</f>
        <v>0</v>
      </c>
      <c r="BP349" s="80">
        <f>ROUND(BJ349-BO349,6)</f>
        <v>0</v>
      </c>
      <c r="BQ349" s="80">
        <f>IF(BE349=1,AW349,0)</f>
        <v>0</v>
      </c>
      <c r="BR349" s="80">
        <f>IF(BE349=1,AX349,0)</f>
        <v>0</v>
      </c>
      <c r="BS349" s="80">
        <f>IF(AND(BE349=1,D349="Malcolm",BA349&gt;0),MIN(BH349,SUMPRODUCT((R_Emp="proMX")*(R_EN&gt;0)*((R_EN-(R_EN&gt;BR349)*(R_EN-BR349))&gt;(R_SN+(R_SN&lt;BQ349)*(BQ349-R_SN)))*((R_EN-(R_EN&gt;BR349)*(R_EN-BR349))-(R_SN+(R_SN&lt;BQ349)*(BQ349-R_SN))))/60),0)</f>
        <v>0</v>
      </c>
      <c r="BT349" s="80">
        <f>IF(AND(BE349=1,D349="proMX"),ROUND(BI349*CFG_RATE+BJ349*CFG_OTRATE,6),0)</f>
        <v>0</v>
      </c>
      <c r="BU349" s="80">
        <f>IF(AND(BD349=1,D349="proMX"),ROUND(AG349/CFG_BLK,6),0)</f>
        <v>0</v>
      </c>
      <c r="BV349" s="80" t="str">
        <f>IF(BF349="Approved",IF(ISNUMBER(T349),INT(T349),INT(B349)),"")</f>
        <v/>
      </c>
      <c r="BW349" s="80">
        <f>IF(ISNUMBER(B349),IF(DB_MON="Todos",1,IF(AND(INT(B349)&gt;=DB_MS,INT(B349)&lt;=DB_ME),1,0)),0)</f>
        <v>0</v>
      </c>
      <c r="BX349" s="80">
        <f>IF(DB_PROJ="Todos",1,IF(E349&amp;""=DB_PROJ&amp;"",1,0))</f>
        <v>1</v>
      </c>
      <c r="BY349" s="80">
        <f>BW349*BX349</f>
        <v>0</v>
      </c>
      <c r="BZ349" s="80" t="str">
        <f>IF(Y349=1,F349&amp;IF(AND(F349&amp;""&lt;&gt;"",E349&amp;""&lt;&gt;"")," · ","")&amp;E349,"")</f>
        <v/>
      </c>
      <c r="CA349" s="80" t="str">
        <f>IF(AND(BD349=1,E349&amp;""&lt;&gt;""),IF(COUNTIFS($E$5:E348,E349,$BD$5:BD348,1)=0,MAX($CA$5:CA348)+1,""),"")</f>
        <v/>
      </c>
      <c r="CB349" s="80" t="str">
        <f>IF(AND(BE349=1,D349="Malcolm",E349&amp;""&lt;&gt;""),IF(COUNTIFS($D$5:D348,"Malcolm",$E$5:E348,E349,$BE$5:BE348,1)=0,MAX($CB$5:CB348)+1,""),"")</f>
        <v/>
      </c>
      <c r="CC349" s="80" t="str">
        <f>IF(AND(BD349=1,D349="proMX",E349&amp;""&lt;&gt;""),IF(COUNTIFS($D$5:D348,"proMX",$E$5:E348,E349,$BD$5:BD348,1)=0,MAX($CC$5:CC348)+1,""),"")</f>
        <v/>
      </c>
      <c r="CD349" s="80" t="str">
        <f>IF(AND(BE349=1,D349="Malcolm",F349&amp;""&lt;&gt;""),IF(COUNTIFS($D$5:D348,"Malcolm",$F$5:F348,F349,$BE$5:BE348,1)=0,MAX($CD$5:CD348)+1,""),"")</f>
        <v/>
      </c>
      <c r="CE349" s="80" t="str">
        <f>IF(AND(BD349=1,D349="proMX",F349&amp;""&lt;&gt;""),IF(COUNTIFS($D$5:D348,"proMX",$F$5:F348,F349,$BD$5:BD348,1)=0,MAX($CE$5:CE348)+1,""),"")</f>
        <v/>
      </c>
      <c r="CF349" s="80" t="str">
        <f>IF(AND(D349="proMX",BD349=1),IF(OR(BF349="Draft",BF349="Submitted",BF349="Returned",BF349="Recall Requested"),MAX($CF$5:CF348)+1,""),"")</f>
        <v/>
      </c>
      <c r="CG349" s="80">
        <f>IF(BD349=0,0,IF(D349="Malcolm",1,MATCH(BF349,{"Draft","Submitted","Approved","Returned","Recall Requested","Cancelled"},0)+1))</f>
        <v>0</v>
      </c>
      <c r="CH349" s="80">
        <f>IF(AND(BF349="Submitted",ISNUMBER(V349)),IF(V349&gt;CFG_MAXD,1,0),0)</f>
        <v>0</v>
      </c>
    </row>
    <row r="350">
      <c r="A350" s="71" t="str">
        <f>IF(Y350=1,ROW()-5,"")</f>
        <v/>
      </c>
      <c r="B350" s="72" t="n"/>
      <c r="C350" s="71" t="str">
        <f>IF(ISNUMBER(B350),CHOOSE(WEEKDAY(B350,2),"Lun","Mar","Mié","Jue","Vie","Sáb","Dom"),"")</f>
        <v/>
      </c>
      <c r="D350" s="73" t="n"/>
      <c r="E350" s="74" t="n"/>
      <c r="F350" s="74" t="n"/>
      <c r="G350" s="74" t="n"/>
      <c r="H350" s="75" t="n"/>
      <c r="I350" s="75" t="n"/>
      <c r="J350" s="76" t="n"/>
      <c r="K350" s="77" t="str">
        <f>IF(AB350=1,ROUND(AG350/60,4),"")</f>
        <v/>
      </c>
      <c r="L350" s="77" t="str">
        <f>IF(BD350=1,ROUND(AP350/60,4),"")</f>
        <v/>
      </c>
      <c r="M350" s="77" t="str">
        <f>IF(BD350=1,ROUND(AQ350/60,4),"")</f>
        <v/>
      </c>
      <c r="N350" s="71" t="str">
        <f>IF(AND(D350="proMX",AB350=1),ROUND(AG350/CFG_BLK,2),"")</f>
        <v/>
      </c>
      <c r="O350" s="77" t="str">
        <f>IF(D350="proMX",IF(BD350=1,ROUND(AG350/60,4),0),"")</f>
        <v/>
      </c>
      <c r="P350" s="78" t="str">
        <f>IF(Y350=0,"",IF(BD350=1,"OK",IF(D350="proMX","Revisar bloques: ","Revisar: ")&amp;BC350))</f>
        <v/>
      </c>
      <c r="Q350" s="78" t="str">
        <f>IF(NOT(ISNUMBER(B350)),"",IF(COUNTIFS(FER_F,INT(B350))&gt;0,"Feriado"&amp;IF(AH350=1," (laborable)"," (no laborable)"),IF(AH350=1,"Laborable",IF(WEEKDAY(B350,2)&gt;5,"Fin de semana","No laborable"))))</f>
        <v/>
      </c>
      <c r="R350" s="73" t="n"/>
      <c r="S350" s="72" t="n"/>
      <c r="T350" s="72" t="n"/>
      <c r="U350" s="74" t="n"/>
      <c r="V350" s="79" t="str">
        <f>IF(AND(D350="proMX",OR(R350="Submitted",R350="Recall Requested"),ISNUMBER(S350)),CFG_TODAY-INT(S350),"")</f>
        <v/>
      </c>
      <c r="W350" s="78" t="str">
        <f>IF(BD350=0,"",IF(BA350&gt;0,"⚠ Se superpone con un registro de la otra empresa",IF(D350="Malcolm",IF(COUNTA(R350,S350,T350)&gt;0,"Estado/fechas proMX se ignoran en Malcolm",""),IF(BF350="Cancelled","Cancelado: excluido de totales",IF(R350="","Sin estado: se trata como Draft",IF(BF350="Submitted",IF(ISNUMBER(V350),IF(V350&gt;CFG_MAXD,"⚠ "&amp;V350&amp;" días en Submitted (máx. "&amp;CFG_MAXD&amp;")",""),"Falta fecha de envío"),IF(BF350="Returned","⚠ Devuelto: corregir y reenviar",IF(BF350="Recall Requested","Retirada solicitada: pendiente",IF(AND(BF350="Approved",NOT(ISNUMBER(T350))),"Falta fecha de aprobación",IF(AND(ISNUMBER(S350),ISNUMBER(T350),T350&lt;S350),"Aprobación anterior al envío","")))))))))</f>
        <v/>
      </c>
      <c r="Y350" s="80">
        <f>IF(COUNTA(B350,D350,E350,F350,G350,H350,I350,J350,R350,S350,T350)&gt;0,1,0)</f>
        <v>0</v>
      </c>
      <c r="Z350" s="80" t="str">
        <f>IF(AND(ISNUMBER(H350),H350&gt;=0,H350&lt;1),ROUND(H350*1440,0),"")</f>
        <v/>
      </c>
      <c r="AA350" s="80" t="str">
        <f>IF(AND(ISNUMBER(I350),I350&gt;=0,I350&lt;1),ROUND(I350*1440,0),"")</f>
        <v/>
      </c>
      <c r="AB350" s="80">
        <f>IF(AND(ISNUMBER(B350),D350&lt;&gt;"",ISNUMBER(Z350),ISNUMBER(AA350)),IF(Z350=AA350,0,1),0)</f>
        <v>0</v>
      </c>
      <c r="AC350" s="80">
        <f>IF(AB350=1,IF(AA350&lt;Z350,1,0),0)</f>
        <v>0</v>
      </c>
      <c r="AD350" s="80">
        <f>IF(AB350=1,IF(AC350=1,1440-Z350+AA350,AA350-Z350),0)</f>
        <v>0</v>
      </c>
      <c r="AE350" s="80">
        <f>IF(J350="",0,IF(ISNUMBER(J350),J350,-1))</f>
        <v>0</v>
      </c>
      <c r="AF350" s="80">
        <f>MIN(MAX(0,AE350),AD350)</f>
        <v>0</v>
      </c>
      <c r="AG350" s="80">
        <f>MAX(0,AD350-MAX(0,AE350))</f>
        <v>0</v>
      </c>
      <c r="AH350" s="80">
        <f>IF(ISNUMBER(B350),IF(AND(INDEX(CFG_WDAYS,WEEKDAY(INT(B350),2))="Sí",IF(D350="proMX",COUNTIFS(FER_F,INT(B350),FER_NLP,"Sí"),COUNTIFS(FER_F,INT(B350),FER_NLM,"Sí"))=0),1,0),0)</f>
        <v>0</v>
      </c>
      <c r="AI350" s="80">
        <f>IF(AC350=1,IF(AND(INDEX(CFG_WDAYS,WEEKDAY(INT(B350)+1,2))="Sí",IF(D350="proMX",COUNTIFS(FER_F,INT(B350)+1,FER_NLP,"Sí"),COUNTIFS(FER_F,INT(B350)+1,FER_NLM,"Sí"))=0),1,0),0)</f>
        <v>0</v>
      </c>
      <c r="AJ350" s="80">
        <f>IF(AC350=1,1440-Z350,AD350)</f>
        <v>0</v>
      </c>
      <c r="AK350" s="80">
        <f>IF(AND(AB350=1,AH350=1),MAX(0,MIN(IF(AC350=1,1440,AA350),CFG_WEM)-MAX(Z350,CFG_WSM)),0)</f>
        <v>0</v>
      </c>
      <c r="AL350" s="80">
        <f>IF(AND(AC350=1,AI350=1),MAX(0,MIN(AA350,CFG_WEM)-CFG_WSM),0)</f>
        <v>0</v>
      </c>
      <c r="AM350" s="80">
        <f>AK350+AL350</f>
        <v>0</v>
      </c>
      <c r="AN350" s="80">
        <f>IF(CFG_BRK="Proporcional",IF(AD350=0,0,AF350*AM350/AD350),IF(CFG_BRK="Extras primero",MIN(AM350,MAX(0,AF350-(AD350-AM350))),MIN(AF350,AM350)))</f>
        <v>0</v>
      </c>
      <c r="AO350" s="80">
        <f>AF350-AN350</f>
        <v>0</v>
      </c>
      <c r="AP350" s="80">
        <f>AM350-AN350</f>
        <v>0</v>
      </c>
      <c r="AQ350" s="80">
        <f>AD350-AM350-AO350</f>
        <v>0</v>
      </c>
      <c r="AR350" s="80">
        <f>IF(AM350=0,0,AK350-AN350*AK350/AM350)</f>
        <v>0</v>
      </c>
      <c r="AS350" s="80">
        <f>IF(AD350-AM350=0,0,(AJ350-AK350)-AO350*(AJ350-AK350)/(AD350-AM350))</f>
        <v>0</v>
      </c>
      <c r="AT350" s="80" t="str">
        <f>IF(AC350=1,INT(B350)+1,"")</f>
        <v/>
      </c>
      <c r="AU350" s="80">
        <f>IF(AND(D350="proMX",R350="Cancelled"),0,1)</f>
        <v>1</v>
      </c>
      <c r="AV350" s="80">
        <f>IF(AND(AB350=1,AU350=1),IF(COUNTIFS($D$5:D349,D350,$B$5:B349,B350,$Z$5:Z349,Z350,$AA$5:AA349,AA350,$F$5:F349,F350&amp;"",$AU$5:AU349,1)&gt;0,1,0),0)</f>
        <v>0</v>
      </c>
      <c r="AW350" s="80" t="str">
        <f>IF(AB350=1,INT(B350)*1440+Z350,"")</f>
        <v/>
      </c>
      <c r="AX350" s="80" t="str">
        <f>IF(AB350=1,AW350+AD350,"")</f>
        <v/>
      </c>
      <c r="AY350" s="80">
        <f>IF(AND(AB350=1,AV350=0,AU350=1),1,0)</f>
        <v>0</v>
      </c>
      <c r="AZ350" s="80">
        <f>IF(AY350=1,COUNTIFS(R_Emp,D350,R_SAbs,"&lt;"&amp;AX350,R_EAbs,"&gt;"&amp;AW350,R_OKey,1)-1,0)</f>
        <v>0</v>
      </c>
      <c r="BA350" s="80">
        <f>IF(AY350=1,COUNTIFS(R_Emp,"&lt;&gt;"&amp;D350,R_SAbs,"&lt;"&amp;AX350,R_EAbs,"&gt;"&amp;AW350,R_OKey,1),0)</f>
        <v>0</v>
      </c>
      <c r="BB350" s="80">
        <f>IF(AND(AB350=1,D350="proMX"),IF(AND(MOD(Z350,CFG_BLK)=0,MOD(AA350,CFG_BLK)=0,MOD(AG350,CFG_BLK)=0,AG350&gt;0),1,0),1)</f>
        <v>1</v>
      </c>
      <c r="BC350" s="80" t="str">
        <f>IF(Y350=0,"",IF(NOT(ISNUMBER(B350)),"Falta fecha o fecha inválida",IF(D350="","Falta empresa",IF(AND(D350&lt;&gt;"Malcolm",D350&lt;&gt;"proMX"),"Empresa inválida",IF(OR(INT(B350)&lt;CFG_PSTART,INT(B350)&gt;CFG_PEND),"Fecha fuera del período",IF(OR(NOT(ISNUMBER(Z350)),NOT(ISNUMBER(AA350))),"Falta hora inicio/fin o formato inválido",IF(AB350=0,"Hora inicio = hora fin",IF(AE350&lt;0,"Descanso inválido",IF(AE350&gt;=AD350,"Descanso ≥ duración",IF(AV350=1,"Registro duplicado",IF(AZ350&gt;0,"Se superpone con otro registro "&amp;D350,IF(BB350=0,"inicio, fin y duración neta deben ser múltiplos de "&amp;CFG_BLK&amp;" min",""))))))))))))</f>
        <v/>
      </c>
      <c r="BD350" s="80">
        <f>IF(AND(Y350=1,BC350=""),1,0)</f>
        <v>0</v>
      </c>
      <c r="BE350" s="80">
        <f>IF(AND(BD350=1,AU350=1),1,0)</f>
        <v>0</v>
      </c>
      <c r="BF350" s="80" t="str">
        <f>IF(AND(D350="proMX",BD350=1),IF(R350="","Draft",R350),"")</f>
        <v/>
      </c>
      <c r="BG350" s="80">
        <f>IF(BD350=1,ROUND(AG350/60,6),0)</f>
        <v>0</v>
      </c>
      <c r="BH350" s="80">
        <f>IF(BE350=1,ROUND(AG350/60,6),0)</f>
        <v>0</v>
      </c>
      <c r="BI350" s="80">
        <f>IF(BE350=1,ROUND(AP350/60,6),0)</f>
        <v>0</v>
      </c>
      <c r="BJ350" s="80">
        <f>IF(BE350=1,ROUND(AQ350/60,6),0)</f>
        <v>0</v>
      </c>
      <c r="BK350" s="80">
        <f>IF(BE350=1,ROUND((AR350+AS350)/60,6),0)</f>
        <v>0</v>
      </c>
      <c r="BL350" s="80">
        <f>ROUND(BH350-BK350,6)</f>
        <v>0</v>
      </c>
      <c r="BM350" s="80">
        <f>IF(BE350=1,ROUND(AR350/60,6),0)</f>
        <v>0</v>
      </c>
      <c r="BN350" s="80">
        <f>ROUND(BI350-BM350,6)</f>
        <v>0</v>
      </c>
      <c r="BO350" s="80">
        <f>IF(BE350=1,ROUND(AS350/60,6),0)</f>
        <v>0</v>
      </c>
      <c r="BP350" s="80">
        <f>ROUND(BJ350-BO350,6)</f>
        <v>0</v>
      </c>
      <c r="BQ350" s="80">
        <f>IF(BE350=1,AW350,0)</f>
        <v>0</v>
      </c>
      <c r="BR350" s="80">
        <f>IF(BE350=1,AX350,0)</f>
        <v>0</v>
      </c>
      <c r="BS350" s="80">
        <f>IF(AND(BE350=1,D350="Malcolm",BA350&gt;0),MIN(BH350,SUMPRODUCT((R_Emp="proMX")*(R_EN&gt;0)*((R_EN-(R_EN&gt;BR350)*(R_EN-BR350))&gt;(R_SN+(R_SN&lt;BQ350)*(BQ350-R_SN)))*((R_EN-(R_EN&gt;BR350)*(R_EN-BR350))-(R_SN+(R_SN&lt;BQ350)*(BQ350-R_SN))))/60),0)</f>
        <v>0</v>
      </c>
      <c r="BT350" s="80">
        <f>IF(AND(BE350=1,D350="proMX"),ROUND(BI350*CFG_RATE+BJ350*CFG_OTRATE,6),0)</f>
        <v>0</v>
      </c>
      <c r="BU350" s="80">
        <f>IF(AND(BD350=1,D350="proMX"),ROUND(AG350/CFG_BLK,6),0)</f>
        <v>0</v>
      </c>
      <c r="BV350" s="80" t="str">
        <f>IF(BF350="Approved",IF(ISNUMBER(T350),INT(T350),INT(B350)),"")</f>
        <v/>
      </c>
      <c r="BW350" s="80">
        <f>IF(ISNUMBER(B350),IF(DB_MON="Todos",1,IF(AND(INT(B350)&gt;=DB_MS,INT(B350)&lt;=DB_ME),1,0)),0)</f>
        <v>0</v>
      </c>
      <c r="BX350" s="80">
        <f>IF(DB_PROJ="Todos",1,IF(E350&amp;""=DB_PROJ&amp;"",1,0))</f>
        <v>1</v>
      </c>
      <c r="BY350" s="80">
        <f>BW350*BX350</f>
        <v>0</v>
      </c>
      <c r="BZ350" s="80" t="str">
        <f>IF(Y350=1,F350&amp;IF(AND(F350&amp;""&lt;&gt;"",E350&amp;""&lt;&gt;"")," · ","")&amp;E350,"")</f>
        <v/>
      </c>
      <c r="CA350" s="80" t="str">
        <f>IF(AND(BD350=1,E350&amp;""&lt;&gt;""),IF(COUNTIFS($E$5:E349,E350,$BD$5:BD349,1)=0,MAX($CA$5:CA349)+1,""),"")</f>
        <v/>
      </c>
      <c r="CB350" s="80" t="str">
        <f>IF(AND(BE350=1,D350="Malcolm",E350&amp;""&lt;&gt;""),IF(COUNTIFS($D$5:D349,"Malcolm",$E$5:E349,E350,$BE$5:BE349,1)=0,MAX($CB$5:CB349)+1,""),"")</f>
        <v/>
      </c>
      <c r="CC350" s="80" t="str">
        <f>IF(AND(BD350=1,D350="proMX",E350&amp;""&lt;&gt;""),IF(COUNTIFS($D$5:D349,"proMX",$E$5:E349,E350,$BD$5:BD349,1)=0,MAX($CC$5:CC349)+1,""),"")</f>
        <v/>
      </c>
      <c r="CD350" s="80" t="str">
        <f>IF(AND(BE350=1,D350="Malcolm",F350&amp;""&lt;&gt;""),IF(COUNTIFS($D$5:D349,"Malcolm",$F$5:F349,F350,$BE$5:BE349,1)=0,MAX($CD$5:CD349)+1,""),"")</f>
        <v/>
      </c>
      <c r="CE350" s="80" t="str">
        <f>IF(AND(BD350=1,D350="proMX",F350&amp;""&lt;&gt;""),IF(COUNTIFS($D$5:D349,"proMX",$F$5:F349,F350,$BD$5:BD349,1)=0,MAX($CE$5:CE349)+1,""),"")</f>
        <v/>
      </c>
      <c r="CF350" s="80" t="str">
        <f>IF(AND(D350="proMX",BD350=1),IF(OR(BF350="Draft",BF350="Submitted",BF350="Returned",BF350="Recall Requested"),MAX($CF$5:CF349)+1,""),"")</f>
        <v/>
      </c>
      <c r="CG350" s="80">
        <f>IF(BD350=0,0,IF(D350="Malcolm",1,MATCH(BF350,{"Draft","Submitted","Approved","Returned","Recall Requested","Cancelled"},0)+1))</f>
        <v>0</v>
      </c>
      <c r="CH350" s="80">
        <f>IF(AND(BF350="Submitted",ISNUMBER(V350)),IF(V350&gt;CFG_MAXD,1,0),0)</f>
        <v>0</v>
      </c>
    </row>
    <row r="351">
      <c r="A351" s="71" t="str">
        <f>IF(Y351=1,ROW()-5,"")</f>
        <v/>
      </c>
      <c r="B351" s="72" t="n"/>
      <c r="C351" s="71" t="str">
        <f>IF(ISNUMBER(B351),CHOOSE(WEEKDAY(B351,2),"Lun","Mar","Mié","Jue","Vie","Sáb","Dom"),"")</f>
        <v/>
      </c>
      <c r="D351" s="73" t="n"/>
      <c r="E351" s="74" t="n"/>
      <c r="F351" s="74" t="n"/>
      <c r="G351" s="74" t="n"/>
      <c r="H351" s="75" t="n"/>
      <c r="I351" s="75" t="n"/>
      <c r="J351" s="76" t="n"/>
      <c r="K351" s="77" t="str">
        <f>IF(AB351=1,ROUND(AG351/60,4),"")</f>
        <v/>
      </c>
      <c r="L351" s="77" t="str">
        <f>IF(BD351=1,ROUND(AP351/60,4),"")</f>
        <v/>
      </c>
      <c r="M351" s="77" t="str">
        <f>IF(BD351=1,ROUND(AQ351/60,4),"")</f>
        <v/>
      </c>
      <c r="N351" s="71" t="str">
        <f>IF(AND(D351="proMX",AB351=1),ROUND(AG351/CFG_BLK,2),"")</f>
        <v/>
      </c>
      <c r="O351" s="77" t="str">
        <f>IF(D351="proMX",IF(BD351=1,ROUND(AG351/60,4),0),"")</f>
        <v/>
      </c>
      <c r="P351" s="78" t="str">
        <f>IF(Y351=0,"",IF(BD351=1,"OK",IF(D351="proMX","Revisar bloques: ","Revisar: ")&amp;BC351))</f>
        <v/>
      </c>
      <c r="Q351" s="78" t="str">
        <f>IF(NOT(ISNUMBER(B351)),"",IF(COUNTIFS(FER_F,INT(B351))&gt;0,"Feriado"&amp;IF(AH351=1," (laborable)"," (no laborable)"),IF(AH351=1,"Laborable",IF(WEEKDAY(B351,2)&gt;5,"Fin de semana","No laborable"))))</f>
        <v/>
      </c>
      <c r="R351" s="73" t="n"/>
      <c r="S351" s="72" t="n"/>
      <c r="T351" s="72" t="n"/>
      <c r="U351" s="74" t="n"/>
      <c r="V351" s="79" t="str">
        <f>IF(AND(D351="proMX",OR(R351="Submitted",R351="Recall Requested"),ISNUMBER(S351)),CFG_TODAY-INT(S351),"")</f>
        <v/>
      </c>
      <c r="W351" s="78" t="str">
        <f>IF(BD351=0,"",IF(BA351&gt;0,"⚠ Se superpone con un registro de la otra empresa",IF(D351="Malcolm",IF(COUNTA(R351,S351,T351)&gt;0,"Estado/fechas proMX se ignoran en Malcolm",""),IF(BF351="Cancelled","Cancelado: excluido de totales",IF(R351="","Sin estado: se trata como Draft",IF(BF351="Submitted",IF(ISNUMBER(V351),IF(V351&gt;CFG_MAXD,"⚠ "&amp;V351&amp;" días en Submitted (máx. "&amp;CFG_MAXD&amp;")",""),"Falta fecha de envío"),IF(BF351="Returned","⚠ Devuelto: corregir y reenviar",IF(BF351="Recall Requested","Retirada solicitada: pendiente",IF(AND(BF351="Approved",NOT(ISNUMBER(T351))),"Falta fecha de aprobación",IF(AND(ISNUMBER(S351),ISNUMBER(T351),T351&lt;S351),"Aprobación anterior al envío","")))))))))</f>
        <v/>
      </c>
      <c r="Y351" s="80">
        <f>IF(COUNTA(B351,D351,E351,F351,G351,H351,I351,J351,R351,S351,T351)&gt;0,1,0)</f>
        <v>0</v>
      </c>
      <c r="Z351" s="80" t="str">
        <f>IF(AND(ISNUMBER(H351),H351&gt;=0,H351&lt;1),ROUND(H351*1440,0),"")</f>
        <v/>
      </c>
      <c r="AA351" s="80" t="str">
        <f>IF(AND(ISNUMBER(I351),I351&gt;=0,I351&lt;1),ROUND(I351*1440,0),"")</f>
        <v/>
      </c>
      <c r="AB351" s="80">
        <f>IF(AND(ISNUMBER(B351),D351&lt;&gt;"",ISNUMBER(Z351),ISNUMBER(AA351)),IF(Z351=AA351,0,1),0)</f>
        <v>0</v>
      </c>
      <c r="AC351" s="80">
        <f>IF(AB351=1,IF(AA351&lt;Z351,1,0),0)</f>
        <v>0</v>
      </c>
      <c r="AD351" s="80">
        <f>IF(AB351=1,IF(AC351=1,1440-Z351+AA351,AA351-Z351),0)</f>
        <v>0</v>
      </c>
      <c r="AE351" s="80">
        <f>IF(J351="",0,IF(ISNUMBER(J351),J351,-1))</f>
        <v>0</v>
      </c>
      <c r="AF351" s="80">
        <f>MIN(MAX(0,AE351),AD351)</f>
        <v>0</v>
      </c>
      <c r="AG351" s="80">
        <f>MAX(0,AD351-MAX(0,AE351))</f>
        <v>0</v>
      </c>
      <c r="AH351" s="80">
        <f>IF(ISNUMBER(B351),IF(AND(INDEX(CFG_WDAYS,WEEKDAY(INT(B351),2))="Sí",IF(D351="proMX",COUNTIFS(FER_F,INT(B351),FER_NLP,"Sí"),COUNTIFS(FER_F,INT(B351),FER_NLM,"Sí"))=0),1,0),0)</f>
        <v>0</v>
      </c>
      <c r="AI351" s="80">
        <f>IF(AC351=1,IF(AND(INDEX(CFG_WDAYS,WEEKDAY(INT(B351)+1,2))="Sí",IF(D351="proMX",COUNTIFS(FER_F,INT(B351)+1,FER_NLP,"Sí"),COUNTIFS(FER_F,INT(B351)+1,FER_NLM,"Sí"))=0),1,0),0)</f>
        <v>0</v>
      </c>
      <c r="AJ351" s="80">
        <f>IF(AC351=1,1440-Z351,AD351)</f>
        <v>0</v>
      </c>
      <c r="AK351" s="80">
        <f>IF(AND(AB351=1,AH351=1),MAX(0,MIN(IF(AC351=1,1440,AA351),CFG_WEM)-MAX(Z351,CFG_WSM)),0)</f>
        <v>0</v>
      </c>
      <c r="AL351" s="80">
        <f>IF(AND(AC351=1,AI351=1),MAX(0,MIN(AA351,CFG_WEM)-CFG_WSM),0)</f>
        <v>0</v>
      </c>
      <c r="AM351" s="80">
        <f>AK351+AL351</f>
        <v>0</v>
      </c>
      <c r="AN351" s="80">
        <f>IF(CFG_BRK="Proporcional",IF(AD351=0,0,AF351*AM351/AD351),IF(CFG_BRK="Extras primero",MIN(AM351,MAX(0,AF351-(AD351-AM351))),MIN(AF351,AM351)))</f>
        <v>0</v>
      </c>
      <c r="AO351" s="80">
        <f>AF351-AN351</f>
        <v>0</v>
      </c>
      <c r="AP351" s="80">
        <f>AM351-AN351</f>
        <v>0</v>
      </c>
      <c r="AQ351" s="80">
        <f>AD351-AM351-AO351</f>
        <v>0</v>
      </c>
      <c r="AR351" s="80">
        <f>IF(AM351=0,0,AK351-AN351*AK351/AM351)</f>
        <v>0</v>
      </c>
      <c r="AS351" s="80">
        <f>IF(AD351-AM351=0,0,(AJ351-AK351)-AO351*(AJ351-AK351)/(AD351-AM351))</f>
        <v>0</v>
      </c>
      <c r="AT351" s="80" t="str">
        <f>IF(AC351=1,INT(B351)+1,"")</f>
        <v/>
      </c>
      <c r="AU351" s="80">
        <f>IF(AND(D351="proMX",R351="Cancelled"),0,1)</f>
        <v>1</v>
      </c>
      <c r="AV351" s="80">
        <f>IF(AND(AB351=1,AU351=1),IF(COUNTIFS($D$5:D350,D351,$B$5:B350,B351,$Z$5:Z350,Z351,$AA$5:AA350,AA351,$F$5:F350,F351&amp;"",$AU$5:AU350,1)&gt;0,1,0),0)</f>
        <v>0</v>
      </c>
      <c r="AW351" s="80" t="str">
        <f>IF(AB351=1,INT(B351)*1440+Z351,"")</f>
        <v/>
      </c>
      <c r="AX351" s="80" t="str">
        <f>IF(AB351=1,AW351+AD351,"")</f>
        <v/>
      </c>
      <c r="AY351" s="80">
        <f>IF(AND(AB351=1,AV351=0,AU351=1),1,0)</f>
        <v>0</v>
      </c>
      <c r="AZ351" s="80">
        <f>IF(AY351=1,COUNTIFS(R_Emp,D351,R_SAbs,"&lt;"&amp;AX351,R_EAbs,"&gt;"&amp;AW351,R_OKey,1)-1,0)</f>
        <v>0</v>
      </c>
      <c r="BA351" s="80">
        <f>IF(AY351=1,COUNTIFS(R_Emp,"&lt;&gt;"&amp;D351,R_SAbs,"&lt;"&amp;AX351,R_EAbs,"&gt;"&amp;AW351,R_OKey,1),0)</f>
        <v>0</v>
      </c>
      <c r="BB351" s="80">
        <f>IF(AND(AB351=1,D351="proMX"),IF(AND(MOD(Z351,CFG_BLK)=0,MOD(AA351,CFG_BLK)=0,MOD(AG351,CFG_BLK)=0,AG351&gt;0),1,0),1)</f>
        <v>1</v>
      </c>
      <c r="BC351" s="80" t="str">
        <f>IF(Y351=0,"",IF(NOT(ISNUMBER(B351)),"Falta fecha o fecha inválida",IF(D351="","Falta empresa",IF(AND(D351&lt;&gt;"Malcolm",D351&lt;&gt;"proMX"),"Empresa inválida",IF(OR(INT(B351)&lt;CFG_PSTART,INT(B351)&gt;CFG_PEND),"Fecha fuera del período",IF(OR(NOT(ISNUMBER(Z351)),NOT(ISNUMBER(AA351))),"Falta hora inicio/fin o formato inválido",IF(AB351=0,"Hora inicio = hora fin",IF(AE351&lt;0,"Descanso inválido",IF(AE351&gt;=AD351,"Descanso ≥ duración",IF(AV351=1,"Registro duplicado",IF(AZ351&gt;0,"Se superpone con otro registro "&amp;D351,IF(BB351=0,"inicio, fin y duración neta deben ser múltiplos de "&amp;CFG_BLK&amp;" min",""))))))))))))</f>
        <v/>
      </c>
      <c r="BD351" s="80">
        <f>IF(AND(Y351=1,BC351=""),1,0)</f>
        <v>0</v>
      </c>
      <c r="BE351" s="80">
        <f>IF(AND(BD351=1,AU351=1),1,0)</f>
        <v>0</v>
      </c>
      <c r="BF351" s="80" t="str">
        <f>IF(AND(D351="proMX",BD351=1),IF(R351="","Draft",R351),"")</f>
        <v/>
      </c>
      <c r="BG351" s="80">
        <f>IF(BD351=1,ROUND(AG351/60,6),0)</f>
        <v>0</v>
      </c>
      <c r="BH351" s="80">
        <f>IF(BE351=1,ROUND(AG351/60,6),0)</f>
        <v>0</v>
      </c>
      <c r="BI351" s="80">
        <f>IF(BE351=1,ROUND(AP351/60,6),0)</f>
        <v>0</v>
      </c>
      <c r="BJ351" s="80">
        <f>IF(BE351=1,ROUND(AQ351/60,6),0)</f>
        <v>0</v>
      </c>
      <c r="BK351" s="80">
        <f>IF(BE351=1,ROUND((AR351+AS351)/60,6),0)</f>
        <v>0</v>
      </c>
      <c r="BL351" s="80">
        <f>ROUND(BH351-BK351,6)</f>
        <v>0</v>
      </c>
      <c r="BM351" s="80">
        <f>IF(BE351=1,ROUND(AR351/60,6),0)</f>
        <v>0</v>
      </c>
      <c r="BN351" s="80">
        <f>ROUND(BI351-BM351,6)</f>
        <v>0</v>
      </c>
      <c r="BO351" s="80">
        <f>IF(BE351=1,ROUND(AS351/60,6),0)</f>
        <v>0</v>
      </c>
      <c r="BP351" s="80">
        <f>ROUND(BJ351-BO351,6)</f>
        <v>0</v>
      </c>
      <c r="BQ351" s="80">
        <f>IF(BE351=1,AW351,0)</f>
        <v>0</v>
      </c>
      <c r="BR351" s="80">
        <f>IF(BE351=1,AX351,0)</f>
        <v>0</v>
      </c>
      <c r="BS351" s="80">
        <f>IF(AND(BE351=1,D351="Malcolm",BA351&gt;0),MIN(BH351,SUMPRODUCT((R_Emp="proMX")*(R_EN&gt;0)*((R_EN-(R_EN&gt;BR351)*(R_EN-BR351))&gt;(R_SN+(R_SN&lt;BQ351)*(BQ351-R_SN)))*((R_EN-(R_EN&gt;BR351)*(R_EN-BR351))-(R_SN+(R_SN&lt;BQ351)*(BQ351-R_SN))))/60),0)</f>
        <v>0</v>
      </c>
      <c r="BT351" s="80">
        <f>IF(AND(BE351=1,D351="proMX"),ROUND(BI351*CFG_RATE+BJ351*CFG_OTRATE,6),0)</f>
        <v>0</v>
      </c>
      <c r="BU351" s="80">
        <f>IF(AND(BD351=1,D351="proMX"),ROUND(AG351/CFG_BLK,6),0)</f>
        <v>0</v>
      </c>
      <c r="BV351" s="80" t="str">
        <f>IF(BF351="Approved",IF(ISNUMBER(T351),INT(T351),INT(B351)),"")</f>
        <v/>
      </c>
      <c r="BW351" s="80">
        <f>IF(ISNUMBER(B351),IF(DB_MON="Todos",1,IF(AND(INT(B351)&gt;=DB_MS,INT(B351)&lt;=DB_ME),1,0)),0)</f>
        <v>0</v>
      </c>
      <c r="BX351" s="80">
        <f>IF(DB_PROJ="Todos",1,IF(E351&amp;""=DB_PROJ&amp;"",1,0))</f>
        <v>1</v>
      </c>
      <c r="BY351" s="80">
        <f>BW351*BX351</f>
        <v>0</v>
      </c>
      <c r="BZ351" s="80" t="str">
        <f>IF(Y351=1,F351&amp;IF(AND(F351&amp;""&lt;&gt;"",E351&amp;""&lt;&gt;"")," · ","")&amp;E351,"")</f>
        <v/>
      </c>
      <c r="CA351" s="80" t="str">
        <f>IF(AND(BD351=1,E351&amp;""&lt;&gt;""),IF(COUNTIFS($E$5:E350,E351,$BD$5:BD350,1)=0,MAX($CA$5:CA350)+1,""),"")</f>
        <v/>
      </c>
      <c r="CB351" s="80" t="str">
        <f>IF(AND(BE351=1,D351="Malcolm",E351&amp;""&lt;&gt;""),IF(COUNTIFS($D$5:D350,"Malcolm",$E$5:E350,E351,$BE$5:BE350,1)=0,MAX($CB$5:CB350)+1,""),"")</f>
        <v/>
      </c>
      <c r="CC351" s="80" t="str">
        <f>IF(AND(BD351=1,D351="proMX",E351&amp;""&lt;&gt;""),IF(COUNTIFS($D$5:D350,"proMX",$E$5:E350,E351,$BD$5:BD350,1)=0,MAX($CC$5:CC350)+1,""),"")</f>
        <v/>
      </c>
      <c r="CD351" s="80" t="str">
        <f>IF(AND(BE351=1,D351="Malcolm",F351&amp;""&lt;&gt;""),IF(COUNTIFS($D$5:D350,"Malcolm",$F$5:F350,F351,$BE$5:BE350,1)=0,MAX($CD$5:CD350)+1,""),"")</f>
        <v/>
      </c>
      <c r="CE351" s="80" t="str">
        <f>IF(AND(BD351=1,D351="proMX",F351&amp;""&lt;&gt;""),IF(COUNTIFS($D$5:D350,"proMX",$F$5:F350,F351,$BD$5:BD350,1)=0,MAX($CE$5:CE350)+1,""),"")</f>
        <v/>
      </c>
      <c r="CF351" s="80" t="str">
        <f>IF(AND(D351="proMX",BD351=1),IF(OR(BF351="Draft",BF351="Submitted",BF351="Returned",BF351="Recall Requested"),MAX($CF$5:CF350)+1,""),"")</f>
        <v/>
      </c>
      <c r="CG351" s="80">
        <f>IF(BD351=0,0,IF(D351="Malcolm",1,MATCH(BF351,{"Draft","Submitted","Approved","Returned","Recall Requested","Cancelled"},0)+1))</f>
        <v>0</v>
      </c>
      <c r="CH351" s="80">
        <f>IF(AND(BF351="Submitted",ISNUMBER(V351)),IF(V351&gt;CFG_MAXD,1,0),0)</f>
        <v>0</v>
      </c>
    </row>
    <row r="352">
      <c r="A352" s="71" t="str">
        <f>IF(Y352=1,ROW()-5,"")</f>
        <v/>
      </c>
      <c r="B352" s="72" t="n"/>
      <c r="C352" s="71" t="str">
        <f>IF(ISNUMBER(B352),CHOOSE(WEEKDAY(B352,2),"Lun","Mar","Mié","Jue","Vie","Sáb","Dom"),"")</f>
        <v/>
      </c>
      <c r="D352" s="73" t="n"/>
      <c r="E352" s="74" t="n"/>
      <c r="F352" s="74" t="n"/>
      <c r="G352" s="74" t="n"/>
      <c r="H352" s="75" t="n"/>
      <c r="I352" s="75" t="n"/>
      <c r="J352" s="76" t="n"/>
      <c r="K352" s="77" t="str">
        <f>IF(AB352=1,ROUND(AG352/60,4),"")</f>
        <v/>
      </c>
      <c r="L352" s="77" t="str">
        <f>IF(BD352=1,ROUND(AP352/60,4),"")</f>
        <v/>
      </c>
      <c r="M352" s="77" t="str">
        <f>IF(BD352=1,ROUND(AQ352/60,4),"")</f>
        <v/>
      </c>
      <c r="N352" s="71" t="str">
        <f>IF(AND(D352="proMX",AB352=1),ROUND(AG352/CFG_BLK,2),"")</f>
        <v/>
      </c>
      <c r="O352" s="77" t="str">
        <f>IF(D352="proMX",IF(BD352=1,ROUND(AG352/60,4),0),"")</f>
        <v/>
      </c>
      <c r="P352" s="78" t="str">
        <f>IF(Y352=0,"",IF(BD352=1,"OK",IF(D352="proMX","Revisar bloques: ","Revisar: ")&amp;BC352))</f>
        <v/>
      </c>
      <c r="Q352" s="78" t="str">
        <f>IF(NOT(ISNUMBER(B352)),"",IF(COUNTIFS(FER_F,INT(B352))&gt;0,"Feriado"&amp;IF(AH352=1," (laborable)"," (no laborable)"),IF(AH352=1,"Laborable",IF(WEEKDAY(B352,2)&gt;5,"Fin de semana","No laborable"))))</f>
        <v/>
      </c>
      <c r="R352" s="73" t="n"/>
      <c r="S352" s="72" t="n"/>
      <c r="T352" s="72" t="n"/>
      <c r="U352" s="74" t="n"/>
      <c r="V352" s="79" t="str">
        <f>IF(AND(D352="proMX",OR(R352="Submitted",R352="Recall Requested"),ISNUMBER(S352)),CFG_TODAY-INT(S352),"")</f>
        <v/>
      </c>
      <c r="W352" s="78" t="str">
        <f>IF(BD352=0,"",IF(BA352&gt;0,"⚠ Se superpone con un registro de la otra empresa",IF(D352="Malcolm",IF(COUNTA(R352,S352,T352)&gt;0,"Estado/fechas proMX se ignoran en Malcolm",""),IF(BF352="Cancelled","Cancelado: excluido de totales",IF(R352="","Sin estado: se trata como Draft",IF(BF352="Submitted",IF(ISNUMBER(V352),IF(V352&gt;CFG_MAXD,"⚠ "&amp;V352&amp;" días en Submitted (máx. "&amp;CFG_MAXD&amp;")",""),"Falta fecha de envío"),IF(BF352="Returned","⚠ Devuelto: corregir y reenviar",IF(BF352="Recall Requested","Retirada solicitada: pendiente",IF(AND(BF352="Approved",NOT(ISNUMBER(T352))),"Falta fecha de aprobación",IF(AND(ISNUMBER(S352),ISNUMBER(T352),T352&lt;S352),"Aprobación anterior al envío","")))))))))</f>
        <v/>
      </c>
      <c r="Y352" s="80">
        <f>IF(COUNTA(B352,D352,E352,F352,G352,H352,I352,J352,R352,S352,T352)&gt;0,1,0)</f>
        <v>0</v>
      </c>
      <c r="Z352" s="80" t="str">
        <f>IF(AND(ISNUMBER(H352),H352&gt;=0,H352&lt;1),ROUND(H352*1440,0),"")</f>
        <v/>
      </c>
      <c r="AA352" s="80" t="str">
        <f>IF(AND(ISNUMBER(I352),I352&gt;=0,I352&lt;1),ROUND(I352*1440,0),"")</f>
        <v/>
      </c>
      <c r="AB352" s="80">
        <f>IF(AND(ISNUMBER(B352),D352&lt;&gt;"",ISNUMBER(Z352),ISNUMBER(AA352)),IF(Z352=AA352,0,1),0)</f>
        <v>0</v>
      </c>
      <c r="AC352" s="80">
        <f>IF(AB352=1,IF(AA352&lt;Z352,1,0),0)</f>
        <v>0</v>
      </c>
      <c r="AD352" s="80">
        <f>IF(AB352=1,IF(AC352=1,1440-Z352+AA352,AA352-Z352),0)</f>
        <v>0</v>
      </c>
      <c r="AE352" s="80">
        <f>IF(J352="",0,IF(ISNUMBER(J352),J352,-1))</f>
        <v>0</v>
      </c>
      <c r="AF352" s="80">
        <f>MIN(MAX(0,AE352),AD352)</f>
        <v>0</v>
      </c>
      <c r="AG352" s="80">
        <f>MAX(0,AD352-MAX(0,AE352))</f>
        <v>0</v>
      </c>
      <c r="AH352" s="80">
        <f>IF(ISNUMBER(B352),IF(AND(INDEX(CFG_WDAYS,WEEKDAY(INT(B352),2))="Sí",IF(D352="proMX",COUNTIFS(FER_F,INT(B352),FER_NLP,"Sí"),COUNTIFS(FER_F,INT(B352),FER_NLM,"Sí"))=0),1,0),0)</f>
        <v>0</v>
      </c>
      <c r="AI352" s="80">
        <f>IF(AC352=1,IF(AND(INDEX(CFG_WDAYS,WEEKDAY(INT(B352)+1,2))="Sí",IF(D352="proMX",COUNTIFS(FER_F,INT(B352)+1,FER_NLP,"Sí"),COUNTIFS(FER_F,INT(B352)+1,FER_NLM,"Sí"))=0),1,0),0)</f>
        <v>0</v>
      </c>
      <c r="AJ352" s="80">
        <f>IF(AC352=1,1440-Z352,AD352)</f>
        <v>0</v>
      </c>
      <c r="AK352" s="80">
        <f>IF(AND(AB352=1,AH352=1),MAX(0,MIN(IF(AC352=1,1440,AA352),CFG_WEM)-MAX(Z352,CFG_WSM)),0)</f>
        <v>0</v>
      </c>
      <c r="AL352" s="80">
        <f>IF(AND(AC352=1,AI352=1),MAX(0,MIN(AA352,CFG_WEM)-CFG_WSM),0)</f>
        <v>0</v>
      </c>
      <c r="AM352" s="80">
        <f>AK352+AL352</f>
        <v>0</v>
      </c>
      <c r="AN352" s="80">
        <f>IF(CFG_BRK="Proporcional",IF(AD352=0,0,AF352*AM352/AD352),IF(CFG_BRK="Extras primero",MIN(AM352,MAX(0,AF352-(AD352-AM352))),MIN(AF352,AM352)))</f>
        <v>0</v>
      </c>
      <c r="AO352" s="80">
        <f>AF352-AN352</f>
        <v>0</v>
      </c>
      <c r="AP352" s="80">
        <f>AM352-AN352</f>
        <v>0</v>
      </c>
      <c r="AQ352" s="80">
        <f>AD352-AM352-AO352</f>
        <v>0</v>
      </c>
      <c r="AR352" s="80">
        <f>IF(AM352=0,0,AK352-AN352*AK352/AM352)</f>
        <v>0</v>
      </c>
      <c r="AS352" s="80">
        <f>IF(AD352-AM352=0,0,(AJ352-AK352)-AO352*(AJ352-AK352)/(AD352-AM352))</f>
        <v>0</v>
      </c>
      <c r="AT352" s="80" t="str">
        <f>IF(AC352=1,INT(B352)+1,"")</f>
        <v/>
      </c>
      <c r="AU352" s="80">
        <f>IF(AND(D352="proMX",R352="Cancelled"),0,1)</f>
        <v>1</v>
      </c>
      <c r="AV352" s="80">
        <f>IF(AND(AB352=1,AU352=1),IF(COUNTIFS($D$5:D351,D352,$B$5:B351,B352,$Z$5:Z351,Z352,$AA$5:AA351,AA352,$F$5:F351,F352&amp;"",$AU$5:AU351,1)&gt;0,1,0),0)</f>
        <v>0</v>
      </c>
      <c r="AW352" s="80" t="str">
        <f>IF(AB352=1,INT(B352)*1440+Z352,"")</f>
        <v/>
      </c>
      <c r="AX352" s="80" t="str">
        <f>IF(AB352=1,AW352+AD352,"")</f>
        <v/>
      </c>
      <c r="AY352" s="80">
        <f>IF(AND(AB352=1,AV352=0,AU352=1),1,0)</f>
        <v>0</v>
      </c>
      <c r="AZ352" s="80">
        <f>IF(AY352=1,COUNTIFS(R_Emp,D352,R_SAbs,"&lt;"&amp;AX352,R_EAbs,"&gt;"&amp;AW352,R_OKey,1)-1,0)</f>
        <v>0</v>
      </c>
      <c r="BA352" s="80">
        <f>IF(AY352=1,COUNTIFS(R_Emp,"&lt;&gt;"&amp;D352,R_SAbs,"&lt;"&amp;AX352,R_EAbs,"&gt;"&amp;AW352,R_OKey,1),0)</f>
        <v>0</v>
      </c>
      <c r="BB352" s="80">
        <f>IF(AND(AB352=1,D352="proMX"),IF(AND(MOD(Z352,CFG_BLK)=0,MOD(AA352,CFG_BLK)=0,MOD(AG352,CFG_BLK)=0,AG352&gt;0),1,0),1)</f>
        <v>1</v>
      </c>
      <c r="BC352" s="80" t="str">
        <f>IF(Y352=0,"",IF(NOT(ISNUMBER(B352)),"Falta fecha o fecha inválida",IF(D352="","Falta empresa",IF(AND(D352&lt;&gt;"Malcolm",D352&lt;&gt;"proMX"),"Empresa inválida",IF(OR(INT(B352)&lt;CFG_PSTART,INT(B352)&gt;CFG_PEND),"Fecha fuera del período",IF(OR(NOT(ISNUMBER(Z352)),NOT(ISNUMBER(AA352))),"Falta hora inicio/fin o formato inválido",IF(AB352=0,"Hora inicio = hora fin",IF(AE352&lt;0,"Descanso inválido",IF(AE352&gt;=AD352,"Descanso ≥ duración",IF(AV352=1,"Registro duplicado",IF(AZ352&gt;0,"Se superpone con otro registro "&amp;D352,IF(BB352=0,"inicio, fin y duración neta deben ser múltiplos de "&amp;CFG_BLK&amp;" min",""))))))))))))</f>
        <v/>
      </c>
      <c r="BD352" s="80">
        <f>IF(AND(Y352=1,BC352=""),1,0)</f>
        <v>0</v>
      </c>
      <c r="BE352" s="80">
        <f>IF(AND(BD352=1,AU352=1),1,0)</f>
        <v>0</v>
      </c>
      <c r="BF352" s="80" t="str">
        <f>IF(AND(D352="proMX",BD352=1),IF(R352="","Draft",R352),"")</f>
        <v/>
      </c>
      <c r="BG352" s="80">
        <f>IF(BD352=1,ROUND(AG352/60,6),0)</f>
        <v>0</v>
      </c>
      <c r="BH352" s="80">
        <f>IF(BE352=1,ROUND(AG352/60,6),0)</f>
        <v>0</v>
      </c>
      <c r="BI352" s="80">
        <f>IF(BE352=1,ROUND(AP352/60,6),0)</f>
        <v>0</v>
      </c>
      <c r="BJ352" s="80">
        <f>IF(BE352=1,ROUND(AQ352/60,6),0)</f>
        <v>0</v>
      </c>
      <c r="BK352" s="80">
        <f>IF(BE352=1,ROUND((AR352+AS352)/60,6),0)</f>
        <v>0</v>
      </c>
      <c r="BL352" s="80">
        <f>ROUND(BH352-BK352,6)</f>
        <v>0</v>
      </c>
      <c r="BM352" s="80">
        <f>IF(BE352=1,ROUND(AR352/60,6),0)</f>
        <v>0</v>
      </c>
      <c r="BN352" s="80">
        <f>ROUND(BI352-BM352,6)</f>
        <v>0</v>
      </c>
      <c r="BO352" s="80">
        <f>IF(BE352=1,ROUND(AS352/60,6),0)</f>
        <v>0</v>
      </c>
      <c r="BP352" s="80">
        <f>ROUND(BJ352-BO352,6)</f>
        <v>0</v>
      </c>
      <c r="BQ352" s="80">
        <f>IF(BE352=1,AW352,0)</f>
        <v>0</v>
      </c>
      <c r="BR352" s="80">
        <f>IF(BE352=1,AX352,0)</f>
        <v>0</v>
      </c>
      <c r="BS352" s="80">
        <f>IF(AND(BE352=1,D352="Malcolm",BA352&gt;0),MIN(BH352,SUMPRODUCT((R_Emp="proMX")*(R_EN&gt;0)*((R_EN-(R_EN&gt;BR352)*(R_EN-BR352))&gt;(R_SN+(R_SN&lt;BQ352)*(BQ352-R_SN)))*((R_EN-(R_EN&gt;BR352)*(R_EN-BR352))-(R_SN+(R_SN&lt;BQ352)*(BQ352-R_SN))))/60),0)</f>
        <v>0</v>
      </c>
      <c r="BT352" s="80">
        <f>IF(AND(BE352=1,D352="proMX"),ROUND(BI352*CFG_RATE+BJ352*CFG_OTRATE,6),0)</f>
        <v>0</v>
      </c>
      <c r="BU352" s="80">
        <f>IF(AND(BD352=1,D352="proMX"),ROUND(AG352/CFG_BLK,6),0)</f>
        <v>0</v>
      </c>
      <c r="BV352" s="80" t="str">
        <f>IF(BF352="Approved",IF(ISNUMBER(T352),INT(T352),INT(B352)),"")</f>
        <v/>
      </c>
      <c r="BW352" s="80">
        <f>IF(ISNUMBER(B352),IF(DB_MON="Todos",1,IF(AND(INT(B352)&gt;=DB_MS,INT(B352)&lt;=DB_ME),1,0)),0)</f>
        <v>0</v>
      </c>
      <c r="BX352" s="80">
        <f>IF(DB_PROJ="Todos",1,IF(E352&amp;""=DB_PROJ&amp;"",1,0))</f>
        <v>1</v>
      </c>
      <c r="BY352" s="80">
        <f>BW352*BX352</f>
        <v>0</v>
      </c>
      <c r="BZ352" s="80" t="str">
        <f>IF(Y352=1,F352&amp;IF(AND(F352&amp;""&lt;&gt;"",E352&amp;""&lt;&gt;"")," · ","")&amp;E352,"")</f>
        <v/>
      </c>
      <c r="CA352" s="80" t="str">
        <f>IF(AND(BD352=1,E352&amp;""&lt;&gt;""),IF(COUNTIFS($E$5:E351,E352,$BD$5:BD351,1)=0,MAX($CA$5:CA351)+1,""),"")</f>
        <v/>
      </c>
      <c r="CB352" s="80" t="str">
        <f>IF(AND(BE352=1,D352="Malcolm",E352&amp;""&lt;&gt;""),IF(COUNTIFS($D$5:D351,"Malcolm",$E$5:E351,E352,$BE$5:BE351,1)=0,MAX($CB$5:CB351)+1,""),"")</f>
        <v/>
      </c>
      <c r="CC352" s="80" t="str">
        <f>IF(AND(BD352=1,D352="proMX",E352&amp;""&lt;&gt;""),IF(COUNTIFS($D$5:D351,"proMX",$E$5:E351,E352,$BD$5:BD351,1)=0,MAX($CC$5:CC351)+1,""),"")</f>
        <v/>
      </c>
      <c r="CD352" s="80" t="str">
        <f>IF(AND(BE352=1,D352="Malcolm",F352&amp;""&lt;&gt;""),IF(COUNTIFS($D$5:D351,"Malcolm",$F$5:F351,F352,$BE$5:BE351,1)=0,MAX($CD$5:CD351)+1,""),"")</f>
        <v/>
      </c>
      <c r="CE352" s="80" t="str">
        <f>IF(AND(BD352=1,D352="proMX",F352&amp;""&lt;&gt;""),IF(COUNTIFS($D$5:D351,"proMX",$F$5:F351,F352,$BD$5:BD351,1)=0,MAX($CE$5:CE351)+1,""),"")</f>
        <v/>
      </c>
      <c r="CF352" s="80" t="str">
        <f>IF(AND(D352="proMX",BD352=1),IF(OR(BF352="Draft",BF352="Submitted",BF352="Returned",BF352="Recall Requested"),MAX($CF$5:CF351)+1,""),"")</f>
        <v/>
      </c>
      <c r="CG352" s="80">
        <f>IF(BD352=0,0,IF(D352="Malcolm",1,MATCH(BF352,{"Draft","Submitted","Approved","Returned","Recall Requested","Cancelled"},0)+1))</f>
        <v>0</v>
      </c>
      <c r="CH352" s="80">
        <f>IF(AND(BF352="Submitted",ISNUMBER(V352)),IF(V352&gt;CFG_MAXD,1,0),0)</f>
        <v>0</v>
      </c>
    </row>
    <row r="353">
      <c r="A353" s="71" t="str">
        <f>IF(Y353=1,ROW()-5,"")</f>
        <v/>
      </c>
      <c r="B353" s="72" t="n"/>
      <c r="C353" s="71" t="str">
        <f>IF(ISNUMBER(B353),CHOOSE(WEEKDAY(B353,2),"Lun","Mar","Mié","Jue","Vie","Sáb","Dom"),"")</f>
        <v/>
      </c>
      <c r="D353" s="73" t="n"/>
      <c r="E353" s="74" t="n"/>
      <c r="F353" s="74" t="n"/>
      <c r="G353" s="74" t="n"/>
      <c r="H353" s="75" t="n"/>
      <c r="I353" s="75" t="n"/>
      <c r="J353" s="76" t="n"/>
      <c r="K353" s="77" t="str">
        <f>IF(AB353=1,ROUND(AG353/60,4),"")</f>
        <v/>
      </c>
      <c r="L353" s="77" t="str">
        <f>IF(BD353=1,ROUND(AP353/60,4),"")</f>
        <v/>
      </c>
      <c r="M353" s="77" t="str">
        <f>IF(BD353=1,ROUND(AQ353/60,4),"")</f>
        <v/>
      </c>
      <c r="N353" s="71" t="str">
        <f>IF(AND(D353="proMX",AB353=1),ROUND(AG353/CFG_BLK,2),"")</f>
        <v/>
      </c>
      <c r="O353" s="77" t="str">
        <f>IF(D353="proMX",IF(BD353=1,ROUND(AG353/60,4),0),"")</f>
        <v/>
      </c>
      <c r="P353" s="78" t="str">
        <f>IF(Y353=0,"",IF(BD353=1,"OK",IF(D353="proMX","Revisar bloques: ","Revisar: ")&amp;BC353))</f>
        <v/>
      </c>
      <c r="Q353" s="78" t="str">
        <f>IF(NOT(ISNUMBER(B353)),"",IF(COUNTIFS(FER_F,INT(B353))&gt;0,"Feriado"&amp;IF(AH353=1," (laborable)"," (no laborable)"),IF(AH353=1,"Laborable",IF(WEEKDAY(B353,2)&gt;5,"Fin de semana","No laborable"))))</f>
        <v/>
      </c>
      <c r="R353" s="73" t="n"/>
      <c r="S353" s="72" t="n"/>
      <c r="T353" s="72" t="n"/>
      <c r="U353" s="74" t="n"/>
      <c r="V353" s="79" t="str">
        <f>IF(AND(D353="proMX",OR(R353="Submitted",R353="Recall Requested"),ISNUMBER(S353)),CFG_TODAY-INT(S353),"")</f>
        <v/>
      </c>
      <c r="W353" s="78" t="str">
        <f>IF(BD353=0,"",IF(BA353&gt;0,"⚠ Se superpone con un registro de la otra empresa",IF(D353="Malcolm",IF(COUNTA(R353,S353,T353)&gt;0,"Estado/fechas proMX se ignoran en Malcolm",""),IF(BF353="Cancelled","Cancelado: excluido de totales",IF(R353="","Sin estado: se trata como Draft",IF(BF353="Submitted",IF(ISNUMBER(V353),IF(V353&gt;CFG_MAXD,"⚠ "&amp;V353&amp;" días en Submitted (máx. "&amp;CFG_MAXD&amp;")",""),"Falta fecha de envío"),IF(BF353="Returned","⚠ Devuelto: corregir y reenviar",IF(BF353="Recall Requested","Retirada solicitada: pendiente",IF(AND(BF353="Approved",NOT(ISNUMBER(T353))),"Falta fecha de aprobación",IF(AND(ISNUMBER(S353),ISNUMBER(T353),T353&lt;S353),"Aprobación anterior al envío","")))))))))</f>
        <v/>
      </c>
      <c r="Y353" s="80">
        <f>IF(COUNTA(B353,D353,E353,F353,G353,H353,I353,J353,R353,S353,T353)&gt;0,1,0)</f>
        <v>0</v>
      </c>
      <c r="Z353" s="80" t="str">
        <f>IF(AND(ISNUMBER(H353),H353&gt;=0,H353&lt;1),ROUND(H353*1440,0),"")</f>
        <v/>
      </c>
      <c r="AA353" s="80" t="str">
        <f>IF(AND(ISNUMBER(I353),I353&gt;=0,I353&lt;1),ROUND(I353*1440,0),"")</f>
        <v/>
      </c>
      <c r="AB353" s="80">
        <f>IF(AND(ISNUMBER(B353),D353&lt;&gt;"",ISNUMBER(Z353),ISNUMBER(AA353)),IF(Z353=AA353,0,1),0)</f>
        <v>0</v>
      </c>
      <c r="AC353" s="80">
        <f>IF(AB353=1,IF(AA353&lt;Z353,1,0),0)</f>
        <v>0</v>
      </c>
      <c r="AD353" s="80">
        <f>IF(AB353=1,IF(AC353=1,1440-Z353+AA353,AA353-Z353),0)</f>
        <v>0</v>
      </c>
      <c r="AE353" s="80">
        <f>IF(J353="",0,IF(ISNUMBER(J353),J353,-1))</f>
        <v>0</v>
      </c>
      <c r="AF353" s="80">
        <f>MIN(MAX(0,AE353),AD353)</f>
        <v>0</v>
      </c>
      <c r="AG353" s="80">
        <f>MAX(0,AD353-MAX(0,AE353))</f>
        <v>0</v>
      </c>
      <c r="AH353" s="80">
        <f>IF(ISNUMBER(B353),IF(AND(INDEX(CFG_WDAYS,WEEKDAY(INT(B353),2))="Sí",IF(D353="proMX",COUNTIFS(FER_F,INT(B353),FER_NLP,"Sí"),COUNTIFS(FER_F,INT(B353),FER_NLM,"Sí"))=0),1,0),0)</f>
        <v>0</v>
      </c>
      <c r="AI353" s="80">
        <f>IF(AC353=1,IF(AND(INDEX(CFG_WDAYS,WEEKDAY(INT(B353)+1,2))="Sí",IF(D353="proMX",COUNTIFS(FER_F,INT(B353)+1,FER_NLP,"Sí"),COUNTIFS(FER_F,INT(B353)+1,FER_NLM,"Sí"))=0),1,0),0)</f>
        <v>0</v>
      </c>
      <c r="AJ353" s="80">
        <f>IF(AC353=1,1440-Z353,AD353)</f>
        <v>0</v>
      </c>
      <c r="AK353" s="80">
        <f>IF(AND(AB353=1,AH353=1),MAX(0,MIN(IF(AC353=1,1440,AA353),CFG_WEM)-MAX(Z353,CFG_WSM)),0)</f>
        <v>0</v>
      </c>
      <c r="AL353" s="80">
        <f>IF(AND(AC353=1,AI353=1),MAX(0,MIN(AA353,CFG_WEM)-CFG_WSM),0)</f>
        <v>0</v>
      </c>
      <c r="AM353" s="80">
        <f>AK353+AL353</f>
        <v>0</v>
      </c>
      <c r="AN353" s="80">
        <f>IF(CFG_BRK="Proporcional",IF(AD353=0,0,AF353*AM353/AD353),IF(CFG_BRK="Extras primero",MIN(AM353,MAX(0,AF353-(AD353-AM353))),MIN(AF353,AM353)))</f>
        <v>0</v>
      </c>
      <c r="AO353" s="80">
        <f>AF353-AN353</f>
        <v>0</v>
      </c>
      <c r="AP353" s="80">
        <f>AM353-AN353</f>
        <v>0</v>
      </c>
      <c r="AQ353" s="80">
        <f>AD353-AM353-AO353</f>
        <v>0</v>
      </c>
      <c r="AR353" s="80">
        <f>IF(AM353=0,0,AK353-AN353*AK353/AM353)</f>
        <v>0</v>
      </c>
      <c r="AS353" s="80">
        <f>IF(AD353-AM353=0,0,(AJ353-AK353)-AO353*(AJ353-AK353)/(AD353-AM353))</f>
        <v>0</v>
      </c>
      <c r="AT353" s="80" t="str">
        <f>IF(AC353=1,INT(B353)+1,"")</f>
        <v/>
      </c>
      <c r="AU353" s="80">
        <f>IF(AND(D353="proMX",R353="Cancelled"),0,1)</f>
        <v>1</v>
      </c>
      <c r="AV353" s="80">
        <f>IF(AND(AB353=1,AU353=1),IF(COUNTIFS($D$5:D352,D353,$B$5:B352,B353,$Z$5:Z352,Z353,$AA$5:AA352,AA353,$F$5:F352,F353&amp;"",$AU$5:AU352,1)&gt;0,1,0),0)</f>
        <v>0</v>
      </c>
      <c r="AW353" s="80" t="str">
        <f>IF(AB353=1,INT(B353)*1440+Z353,"")</f>
        <v/>
      </c>
      <c r="AX353" s="80" t="str">
        <f>IF(AB353=1,AW353+AD353,"")</f>
        <v/>
      </c>
      <c r="AY353" s="80">
        <f>IF(AND(AB353=1,AV353=0,AU353=1),1,0)</f>
        <v>0</v>
      </c>
      <c r="AZ353" s="80">
        <f>IF(AY353=1,COUNTIFS(R_Emp,D353,R_SAbs,"&lt;"&amp;AX353,R_EAbs,"&gt;"&amp;AW353,R_OKey,1)-1,0)</f>
        <v>0</v>
      </c>
      <c r="BA353" s="80">
        <f>IF(AY353=1,COUNTIFS(R_Emp,"&lt;&gt;"&amp;D353,R_SAbs,"&lt;"&amp;AX353,R_EAbs,"&gt;"&amp;AW353,R_OKey,1),0)</f>
        <v>0</v>
      </c>
      <c r="BB353" s="80">
        <f>IF(AND(AB353=1,D353="proMX"),IF(AND(MOD(Z353,CFG_BLK)=0,MOD(AA353,CFG_BLK)=0,MOD(AG353,CFG_BLK)=0,AG353&gt;0),1,0),1)</f>
        <v>1</v>
      </c>
      <c r="BC353" s="80" t="str">
        <f>IF(Y353=0,"",IF(NOT(ISNUMBER(B353)),"Falta fecha o fecha inválida",IF(D353="","Falta empresa",IF(AND(D353&lt;&gt;"Malcolm",D353&lt;&gt;"proMX"),"Empresa inválida",IF(OR(INT(B353)&lt;CFG_PSTART,INT(B353)&gt;CFG_PEND),"Fecha fuera del período",IF(OR(NOT(ISNUMBER(Z353)),NOT(ISNUMBER(AA353))),"Falta hora inicio/fin o formato inválido",IF(AB353=0,"Hora inicio = hora fin",IF(AE353&lt;0,"Descanso inválido",IF(AE353&gt;=AD353,"Descanso ≥ duración",IF(AV353=1,"Registro duplicado",IF(AZ353&gt;0,"Se superpone con otro registro "&amp;D353,IF(BB353=0,"inicio, fin y duración neta deben ser múltiplos de "&amp;CFG_BLK&amp;" min",""))))))))))))</f>
        <v/>
      </c>
      <c r="BD353" s="80">
        <f>IF(AND(Y353=1,BC353=""),1,0)</f>
        <v>0</v>
      </c>
      <c r="BE353" s="80">
        <f>IF(AND(BD353=1,AU353=1),1,0)</f>
        <v>0</v>
      </c>
      <c r="BF353" s="80" t="str">
        <f>IF(AND(D353="proMX",BD353=1),IF(R353="","Draft",R353),"")</f>
        <v/>
      </c>
      <c r="BG353" s="80">
        <f>IF(BD353=1,ROUND(AG353/60,6),0)</f>
        <v>0</v>
      </c>
      <c r="BH353" s="80">
        <f>IF(BE353=1,ROUND(AG353/60,6),0)</f>
        <v>0</v>
      </c>
      <c r="BI353" s="80">
        <f>IF(BE353=1,ROUND(AP353/60,6),0)</f>
        <v>0</v>
      </c>
      <c r="BJ353" s="80">
        <f>IF(BE353=1,ROUND(AQ353/60,6),0)</f>
        <v>0</v>
      </c>
      <c r="BK353" s="80">
        <f>IF(BE353=1,ROUND((AR353+AS353)/60,6),0)</f>
        <v>0</v>
      </c>
      <c r="BL353" s="80">
        <f>ROUND(BH353-BK353,6)</f>
        <v>0</v>
      </c>
      <c r="BM353" s="80">
        <f>IF(BE353=1,ROUND(AR353/60,6),0)</f>
        <v>0</v>
      </c>
      <c r="BN353" s="80">
        <f>ROUND(BI353-BM353,6)</f>
        <v>0</v>
      </c>
      <c r="BO353" s="80">
        <f>IF(BE353=1,ROUND(AS353/60,6),0)</f>
        <v>0</v>
      </c>
      <c r="BP353" s="80">
        <f>ROUND(BJ353-BO353,6)</f>
        <v>0</v>
      </c>
      <c r="BQ353" s="80">
        <f>IF(BE353=1,AW353,0)</f>
        <v>0</v>
      </c>
      <c r="BR353" s="80">
        <f>IF(BE353=1,AX353,0)</f>
        <v>0</v>
      </c>
      <c r="BS353" s="80">
        <f>IF(AND(BE353=1,D353="Malcolm",BA353&gt;0),MIN(BH353,SUMPRODUCT((R_Emp="proMX")*(R_EN&gt;0)*((R_EN-(R_EN&gt;BR353)*(R_EN-BR353))&gt;(R_SN+(R_SN&lt;BQ353)*(BQ353-R_SN)))*((R_EN-(R_EN&gt;BR353)*(R_EN-BR353))-(R_SN+(R_SN&lt;BQ353)*(BQ353-R_SN))))/60),0)</f>
        <v>0</v>
      </c>
      <c r="BT353" s="80">
        <f>IF(AND(BE353=1,D353="proMX"),ROUND(BI353*CFG_RATE+BJ353*CFG_OTRATE,6),0)</f>
        <v>0</v>
      </c>
      <c r="BU353" s="80">
        <f>IF(AND(BD353=1,D353="proMX"),ROUND(AG353/CFG_BLK,6),0)</f>
        <v>0</v>
      </c>
      <c r="BV353" s="80" t="str">
        <f>IF(BF353="Approved",IF(ISNUMBER(T353),INT(T353),INT(B353)),"")</f>
        <v/>
      </c>
      <c r="BW353" s="80">
        <f>IF(ISNUMBER(B353),IF(DB_MON="Todos",1,IF(AND(INT(B353)&gt;=DB_MS,INT(B353)&lt;=DB_ME),1,0)),0)</f>
        <v>0</v>
      </c>
      <c r="BX353" s="80">
        <f>IF(DB_PROJ="Todos",1,IF(E353&amp;""=DB_PROJ&amp;"",1,0))</f>
        <v>1</v>
      </c>
      <c r="BY353" s="80">
        <f>BW353*BX353</f>
        <v>0</v>
      </c>
      <c r="BZ353" s="80" t="str">
        <f>IF(Y353=1,F353&amp;IF(AND(F353&amp;""&lt;&gt;"",E353&amp;""&lt;&gt;"")," · ","")&amp;E353,"")</f>
        <v/>
      </c>
      <c r="CA353" s="80" t="str">
        <f>IF(AND(BD353=1,E353&amp;""&lt;&gt;""),IF(COUNTIFS($E$5:E352,E353,$BD$5:BD352,1)=0,MAX($CA$5:CA352)+1,""),"")</f>
        <v/>
      </c>
      <c r="CB353" s="80" t="str">
        <f>IF(AND(BE353=1,D353="Malcolm",E353&amp;""&lt;&gt;""),IF(COUNTIFS($D$5:D352,"Malcolm",$E$5:E352,E353,$BE$5:BE352,1)=0,MAX($CB$5:CB352)+1,""),"")</f>
        <v/>
      </c>
      <c r="CC353" s="80" t="str">
        <f>IF(AND(BD353=1,D353="proMX",E353&amp;""&lt;&gt;""),IF(COUNTIFS($D$5:D352,"proMX",$E$5:E352,E353,$BD$5:BD352,1)=0,MAX($CC$5:CC352)+1,""),"")</f>
        <v/>
      </c>
      <c r="CD353" s="80" t="str">
        <f>IF(AND(BE353=1,D353="Malcolm",F353&amp;""&lt;&gt;""),IF(COUNTIFS($D$5:D352,"Malcolm",$F$5:F352,F353,$BE$5:BE352,1)=0,MAX($CD$5:CD352)+1,""),"")</f>
        <v/>
      </c>
      <c r="CE353" s="80" t="str">
        <f>IF(AND(BD353=1,D353="proMX",F353&amp;""&lt;&gt;""),IF(COUNTIFS($D$5:D352,"proMX",$F$5:F352,F353,$BD$5:BD352,1)=0,MAX($CE$5:CE352)+1,""),"")</f>
        <v/>
      </c>
      <c r="CF353" s="80" t="str">
        <f>IF(AND(D353="proMX",BD353=1),IF(OR(BF353="Draft",BF353="Submitted",BF353="Returned",BF353="Recall Requested"),MAX($CF$5:CF352)+1,""),"")</f>
        <v/>
      </c>
      <c r="CG353" s="80">
        <f>IF(BD353=0,0,IF(D353="Malcolm",1,MATCH(BF353,{"Draft","Submitted","Approved","Returned","Recall Requested","Cancelled"},0)+1))</f>
        <v>0</v>
      </c>
      <c r="CH353" s="80">
        <f>IF(AND(BF353="Submitted",ISNUMBER(V353)),IF(V353&gt;CFG_MAXD,1,0),0)</f>
        <v>0</v>
      </c>
    </row>
    <row r="354">
      <c r="A354" s="71" t="str">
        <f>IF(Y354=1,ROW()-5,"")</f>
        <v/>
      </c>
      <c r="B354" s="72" t="n"/>
      <c r="C354" s="71" t="str">
        <f>IF(ISNUMBER(B354),CHOOSE(WEEKDAY(B354,2),"Lun","Mar","Mié","Jue","Vie","Sáb","Dom"),"")</f>
        <v/>
      </c>
      <c r="D354" s="73" t="n"/>
      <c r="E354" s="74" t="n"/>
      <c r="F354" s="74" t="n"/>
      <c r="G354" s="74" t="n"/>
      <c r="H354" s="75" t="n"/>
      <c r="I354" s="75" t="n"/>
      <c r="J354" s="76" t="n"/>
      <c r="K354" s="77" t="str">
        <f>IF(AB354=1,ROUND(AG354/60,4),"")</f>
        <v/>
      </c>
      <c r="L354" s="77" t="str">
        <f>IF(BD354=1,ROUND(AP354/60,4),"")</f>
        <v/>
      </c>
      <c r="M354" s="77" t="str">
        <f>IF(BD354=1,ROUND(AQ354/60,4),"")</f>
        <v/>
      </c>
      <c r="N354" s="71" t="str">
        <f>IF(AND(D354="proMX",AB354=1),ROUND(AG354/CFG_BLK,2),"")</f>
        <v/>
      </c>
      <c r="O354" s="77" t="str">
        <f>IF(D354="proMX",IF(BD354=1,ROUND(AG354/60,4),0),"")</f>
        <v/>
      </c>
      <c r="P354" s="78" t="str">
        <f>IF(Y354=0,"",IF(BD354=1,"OK",IF(D354="proMX","Revisar bloques: ","Revisar: ")&amp;BC354))</f>
        <v/>
      </c>
      <c r="Q354" s="78" t="str">
        <f>IF(NOT(ISNUMBER(B354)),"",IF(COUNTIFS(FER_F,INT(B354))&gt;0,"Feriado"&amp;IF(AH354=1," (laborable)"," (no laborable)"),IF(AH354=1,"Laborable",IF(WEEKDAY(B354,2)&gt;5,"Fin de semana","No laborable"))))</f>
        <v/>
      </c>
      <c r="R354" s="73" t="n"/>
      <c r="S354" s="72" t="n"/>
      <c r="T354" s="72" t="n"/>
      <c r="U354" s="74" t="n"/>
      <c r="V354" s="79" t="str">
        <f>IF(AND(D354="proMX",OR(R354="Submitted",R354="Recall Requested"),ISNUMBER(S354)),CFG_TODAY-INT(S354),"")</f>
        <v/>
      </c>
      <c r="W354" s="78" t="str">
        <f>IF(BD354=0,"",IF(BA354&gt;0,"⚠ Se superpone con un registro de la otra empresa",IF(D354="Malcolm",IF(COUNTA(R354,S354,T354)&gt;0,"Estado/fechas proMX se ignoran en Malcolm",""),IF(BF354="Cancelled","Cancelado: excluido de totales",IF(R354="","Sin estado: se trata como Draft",IF(BF354="Submitted",IF(ISNUMBER(V354),IF(V354&gt;CFG_MAXD,"⚠ "&amp;V354&amp;" días en Submitted (máx. "&amp;CFG_MAXD&amp;")",""),"Falta fecha de envío"),IF(BF354="Returned","⚠ Devuelto: corregir y reenviar",IF(BF354="Recall Requested","Retirada solicitada: pendiente",IF(AND(BF354="Approved",NOT(ISNUMBER(T354))),"Falta fecha de aprobación",IF(AND(ISNUMBER(S354),ISNUMBER(T354),T354&lt;S354),"Aprobación anterior al envío","")))))))))</f>
        <v/>
      </c>
      <c r="Y354" s="80">
        <f>IF(COUNTA(B354,D354,E354,F354,G354,H354,I354,J354,R354,S354,T354)&gt;0,1,0)</f>
        <v>0</v>
      </c>
      <c r="Z354" s="80" t="str">
        <f>IF(AND(ISNUMBER(H354),H354&gt;=0,H354&lt;1),ROUND(H354*1440,0),"")</f>
        <v/>
      </c>
      <c r="AA354" s="80" t="str">
        <f>IF(AND(ISNUMBER(I354),I354&gt;=0,I354&lt;1),ROUND(I354*1440,0),"")</f>
        <v/>
      </c>
      <c r="AB354" s="80">
        <f>IF(AND(ISNUMBER(B354),D354&lt;&gt;"",ISNUMBER(Z354),ISNUMBER(AA354)),IF(Z354=AA354,0,1),0)</f>
        <v>0</v>
      </c>
      <c r="AC354" s="80">
        <f>IF(AB354=1,IF(AA354&lt;Z354,1,0),0)</f>
        <v>0</v>
      </c>
      <c r="AD354" s="80">
        <f>IF(AB354=1,IF(AC354=1,1440-Z354+AA354,AA354-Z354),0)</f>
        <v>0</v>
      </c>
      <c r="AE354" s="80">
        <f>IF(J354="",0,IF(ISNUMBER(J354),J354,-1))</f>
        <v>0</v>
      </c>
      <c r="AF354" s="80">
        <f>MIN(MAX(0,AE354),AD354)</f>
        <v>0</v>
      </c>
      <c r="AG354" s="80">
        <f>MAX(0,AD354-MAX(0,AE354))</f>
        <v>0</v>
      </c>
      <c r="AH354" s="80">
        <f>IF(ISNUMBER(B354),IF(AND(INDEX(CFG_WDAYS,WEEKDAY(INT(B354),2))="Sí",IF(D354="proMX",COUNTIFS(FER_F,INT(B354),FER_NLP,"Sí"),COUNTIFS(FER_F,INT(B354),FER_NLM,"Sí"))=0),1,0),0)</f>
        <v>0</v>
      </c>
      <c r="AI354" s="80">
        <f>IF(AC354=1,IF(AND(INDEX(CFG_WDAYS,WEEKDAY(INT(B354)+1,2))="Sí",IF(D354="proMX",COUNTIFS(FER_F,INT(B354)+1,FER_NLP,"Sí"),COUNTIFS(FER_F,INT(B354)+1,FER_NLM,"Sí"))=0),1,0),0)</f>
        <v>0</v>
      </c>
      <c r="AJ354" s="80">
        <f>IF(AC354=1,1440-Z354,AD354)</f>
        <v>0</v>
      </c>
      <c r="AK354" s="80">
        <f>IF(AND(AB354=1,AH354=1),MAX(0,MIN(IF(AC354=1,1440,AA354),CFG_WEM)-MAX(Z354,CFG_WSM)),0)</f>
        <v>0</v>
      </c>
      <c r="AL354" s="80">
        <f>IF(AND(AC354=1,AI354=1),MAX(0,MIN(AA354,CFG_WEM)-CFG_WSM),0)</f>
        <v>0</v>
      </c>
      <c r="AM354" s="80">
        <f>AK354+AL354</f>
        <v>0</v>
      </c>
      <c r="AN354" s="80">
        <f>IF(CFG_BRK="Proporcional",IF(AD354=0,0,AF354*AM354/AD354),IF(CFG_BRK="Extras primero",MIN(AM354,MAX(0,AF354-(AD354-AM354))),MIN(AF354,AM354)))</f>
        <v>0</v>
      </c>
      <c r="AO354" s="80">
        <f>AF354-AN354</f>
        <v>0</v>
      </c>
      <c r="AP354" s="80">
        <f>AM354-AN354</f>
        <v>0</v>
      </c>
      <c r="AQ354" s="80">
        <f>AD354-AM354-AO354</f>
        <v>0</v>
      </c>
      <c r="AR354" s="80">
        <f>IF(AM354=0,0,AK354-AN354*AK354/AM354)</f>
        <v>0</v>
      </c>
      <c r="AS354" s="80">
        <f>IF(AD354-AM354=0,0,(AJ354-AK354)-AO354*(AJ354-AK354)/(AD354-AM354))</f>
        <v>0</v>
      </c>
      <c r="AT354" s="80" t="str">
        <f>IF(AC354=1,INT(B354)+1,"")</f>
        <v/>
      </c>
      <c r="AU354" s="80">
        <f>IF(AND(D354="proMX",R354="Cancelled"),0,1)</f>
        <v>1</v>
      </c>
      <c r="AV354" s="80">
        <f>IF(AND(AB354=1,AU354=1),IF(COUNTIFS($D$5:D353,D354,$B$5:B353,B354,$Z$5:Z353,Z354,$AA$5:AA353,AA354,$F$5:F353,F354&amp;"",$AU$5:AU353,1)&gt;0,1,0),0)</f>
        <v>0</v>
      </c>
      <c r="AW354" s="80" t="str">
        <f>IF(AB354=1,INT(B354)*1440+Z354,"")</f>
        <v/>
      </c>
      <c r="AX354" s="80" t="str">
        <f>IF(AB354=1,AW354+AD354,"")</f>
        <v/>
      </c>
      <c r="AY354" s="80">
        <f>IF(AND(AB354=1,AV354=0,AU354=1),1,0)</f>
        <v>0</v>
      </c>
      <c r="AZ354" s="80">
        <f>IF(AY354=1,COUNTIFS(R_Emp,D354,R_SAbs,"&lt;"&amp;AX354,R_EAbs,"&gt;"&amp;AW354,R_OKey,1)-1,0)</f>
        <v>0</v>
      </c>
      <c r="BA354" s="80">
        <f>IF(AY354=1,COUNTIFS(R_Emp,"&lt;&gt;"&amp;D354,R_SAbs,"&lt;"&amp;AX354,R_EAbs,"&gt;"&amp;AW354,R_OKey,1),0)</f>
        <v>0</v>
      </c>
      <c r="BB354" s="80">
        <f>IF(AND(AB354=1,D354="proMX"),IF(AND(MOD(Z354,CFG_BLK)=0,MOD(AA354,CFG_BLK)=0,MOD(AG354,CFG_BLK)=0,AG354&gt;0),1,0),1)</f>
        <v>1</v>
      </c>
      <c r="BC354" s="80" t="str">
        <f>IF(Y354=0,"",IF(NOT(ISNUMBER(B354)),"Falta fecha o fecha inválida",IF(D354="","Falta empresa",IF(AND(D354&lt;&gt;"Malcolm",D354&lt;&gt;"proMX"),"Empresa inválida",IF(OR(INT(B354)&lt;CFG_PSTART,INT(B354)&gt;CFG_PEND),"Fecha fuera del período",IF(OR(NOT(ISNUMBER(Z354)),NOT(ISNUMBER(AA354))),"Falta hora inicio/fin o formato inválido",IF(AB354=0,"Hora inicio = hora fin",IF(AE354&lt;0,"Descanso inválido",IF(AE354&gt;=AD354,"Descanso ≥ duración",IF(AV354=1,"Registro duplicado",IF(AZ354&gt;0,"Se superpone con otro registro "&amp;D354,IF(BB354=0,"inicio, fin y duración neta deben ser múltiplos de "&amp;CFG_BLK&amp;" min",""))))))))))))</f>
        <v/>
      </c>
      <c r="BD354" s="80">
        <f>IF(AND(Y354=1,BC354=""),1,0)</f>
        <v>0</v>
      </c>
      <c r="BE354" s="80">
        <f>IF(AND(BD354=1,AU354=1),1,0)</f>
        <v>0</v>
      </c>
      <c r="BF354" s="80" t="str">
        <f>IF(AND(D354="proMX",BD354=1),IF(R354="","Draft",R354),"")</f>
        <v/>
      </c>
      <c r="BG354" s="80">
        <f>IF(BD354=1,ROUND(AG354/60,6),0)</f>
        <v>0</v>
      </c>
      <c r="BH354" s="80">
        <f>IF(BE354=1,ROUND(AG354/60,6),0)</f>
        <v>0</v>
      </c>
      <c r="BI354" s="80">
        <f>IF(BE354=1,ROUND(AP354/60,6),0)</f>
        <v>0</v>
      </c>
      <c r="BJ354" s="80">
        <f>IF(BE354=1,ROUND(AQ354/60,6),0)</f>
        <v>0</v>
      </c>
      <c r="BK354" s="80">
        <f>IF(BE354=1,ROUND((AR354+AS354)/60,6),0)</f>
        <v>0</v>
      </c>
      <c r="BL354" s="80">
        <f>ROUND(BH354-BK354,6)</f>
        <v>0</v>
      </c>
      <c r="BM354" s="80">
        <f>IF(BE354=1,ROUND(AR354/60,6),0)</f>
        <v>0</v>
      </c>
      <c r="BN354" s="80">
        <f>ROUND(BI354-BM354,6)</f>
        <v>0</v>
      </c>
      <c r="BO354" s="80">
        <f>IF(BE354=1,ROUND(AS354/60,6),0)</f>
        <v>0</v>
      </c>
      <c r="BP354" s="80">
        <f>ROUND(BJ354-BO354,6)</f>
        <v>0</v>
      </c>
      <c r="BQ354" s="80">
        <f>IF(BE354=1,AW354,0)</f>
        <v>0</v>
      </c>
      <c r="BR354" s="80">
        <f>IF(BE354=1,AX354,0)</f>
        <v>0</v>
      </c>
      <c r="BS354" s="80">
        <f>IF(AND(BE354=1,D354="Malcolm",BA354&gt;0),MIN(BH354,SUMPRODUCT((R_Emp="proMX")*(R_EN&gt;0)*((R_EN-(R_EN&gt;BR354)*(R_EN-BR354))&gt;(R_SN+(R_SN&lt;BQ354)*(BQ354-R_SN)))*((R_EN-(R_EN&gt;BR354)*(R_EN-BR354))-(R_SN+(R_SN&lt;BQ354)*(BQ354-R_SN))))/60),0)</f>
        <v>0</v>
      </c>
      <c r="BT354" s="80">
        <f>IF(AND(BE354=1,D354="proMX"),ROUND(BI354*CFG_RATE+BJ354*CFG_OTRATE,6),0)</f>
        <v>0</v>
      </c>
      <c r="BU354" s="80">
        <f>IF(AND(BD354=1,D354="proMX"),ROUND(AG354/CFG_BLK,6),0)</f>
        <v>0</v>
      </c>
      <c r="BV354" s="80" t="str">
        <f>IF(BF354="Approved",IF(ISNUMBER(T354),INT(T354),INT(B354)),"")</f>
        <v/>
      </c>
      <c r="BW354" s="80">
        <f>IF(ISNUMBER(B354),IF(DB_MON="Todos",1,IF(AND(INT(B354)&gt;=DB_MS,INT(B354)&lt;=DB_ME),1,0)),0)</f>
        <v>0</v>
      </c>
      <c r="BX354" s="80">
        <f>IF(DB_PROJ="Todos",1,IF(E354&amp;""=DB_PROJ&amp;"",1,0))</f>
        <v>1</v>
      </c>
      <c r="BY354" s="80">
        <f>BW354*BX354</f>
        <v>0</v>
      </c>
      <c r="BZ354" s="80" t="str">
        <f>IF(Y354=1,F354&amp;IF(AND(F354&amp;""&lt;&gt;"",E354&amp;""&lt;&gt;"")," · ","")&amp;E354,"")</f>
        <v/>
      </c>
      <c r="CA354" s="80" t="str">
        <f>IF(AND(BD354=1,E354&amp;""&lt;&gt;""),IF(COUNTIFS($E$5:E353,E354,$BD$5:BD353,1)=0,MAX($CA$5:CA353)+1,""),"")</f>
        <v/>
      </c>
      <c r="CB354" s="80" t="str">
        <f>IF(AND(BE354=1,D354="Malcolm",E354&amp;""&lt;&gt;""),IF(COUNTIFS($D$5:D353,"Malcolm",$E$5:E353,E354,$BE$5:BE353,1)=0,MAX($CB$5:CB353)+1,""),"")</f>
        <v/>
      </c>
      <c r="CC354" s="80" t="str">
        <f>IF(AND(BD354=1,D354="proMX",E354&amp;""&lt;&gt;""),IF(COUNTIFS($D$5:D353,"proMX",$E$5:E353,E354,$BD$5:BD353,1)=0,MAX($CC$5:CC353)+1,""),"")</f>
        <v/>
      </c>
      <c r="CD354" s="80" t="str">
        <f>IF(AND(BE354=1,D354="Malcolm",F354&amp;""&lt;&gt;""),IF(COUNTIFS($D$5:D353,"Malcolm",$F$5:F353,F354,$BE$5:BE353,1)=0,MAX($CD$5:CD353)+1,""),"")</f>
        <v/>
      </c>
      <c r="CE354" s="80" t="str">
        <f>IF(AND(BD354=1,D354="proMX",F354&amp;""&lt;&gt;""),IF(COUNTIFS($D$5:D353,"proMX",$F$5:F353,F354,$BD$5:BD353,1)=0,MAX($CE$5:CE353)+1,""),"")</f>
        <v/>
      </c>
      <c r="CF354" s="80" t="str">
        <f>IF(AND(D354="proMX",BD354=1),IF(OR(BF354="Draft",BF354="Submitted",BF354="Returned",BF354="Recall Requested"),MAX($CF$5:CF353)+1,""),"")</f>
        <v/>
      </c>
      <c r="CG354" s="80">
        <f>IF(BD354=0,0,IF(D354="Malcolm",1,MATCH(BF354,{"Draft","Submitted","Approved","Returned","Recall Requested","Cancelled"},0)+1))</f>
        <v>0</v>
      </c>
      <c r="CH354" s="80">
        <f>IF(AND(BF354="Submitted",ISNUMBER(V354)),IF(V354&gt;CFG_MAXD,1,0),0)</f>
        <v>0</v>
      </c>
    </row>
    <row r="355">
      <c r="A355" s="71" t="str">
        <f>IF(Y355=1,ROW()-5,"")</f>
        <v/>
      </c>
      <c r="B355" s="72" t="n"/>
      <c r="C355" s="71" t="str">
        <f>IF(ISNUMBER(B355),CHOOSE(WEEKDAY(B355,2),"Lun","Mar","Mié","Jue","Vie","Sáb","Dom"),"")</f>
        <v/>
      </c>
      <c r="D355" s="73" t="n"/>
      <c r="E355" s="74" t="n"/>
      <c r="F355" s="74" t="n"/>
      <c r="G355" s="74" t="n"/>
      <c r="H355" s="75" t="n"/>
      <c r="I355" s="75" t="n"/>
      <c r="J355" s="76" t="n"/>
      <c r="K355" s="77" t="str">
        <f>IF(AB355=1,ROUND(AG355/60,4),"")</f>
        <v/>
      </c>
      <c r="L355" s="77" t="str">
        <f>IF(BD355=1,ROUND(AP355/60,4),"")</f>
        <v/>
      </c>
      <c r="M355" s="77" t="str">
        <f>IF(BD355=1,ROUND(AQ355/60,4),"")</f>
        <v/>
      </c>
      <c r="N355" s="71" t="str">
        <f>IF(AND(D355="proMX",AB355=1),ROUND(AG355/CFG_BLK,2),"")</f>
        <v/>
      </c>
      <c r="O355" s="77" t="str">
        <f>IF(D355="proMX",IF(BD355=1,ROUND(AG355/60,4),0),"")</f>
        <v/>
      </c>
      <c r="P355" s="78" t="str">
        <f>IF(Y355=0,"",IF(BD355=1,"OK",IF(D355="proMX","Revisar bloques: ","Revisar: ")&amp;BC355))</f>
        <v/>
      </c>
      <c r="Q355" s="78" t="str">
        <f>IF(NOT(ISNUMBER(B355)),"",IF(COUNTIFS(FER_F,INT(B355))&gt;0,"Feriado"&amp;IF(AH355=1," (laborable)"," (no laborable)"),IF(AH355=1,"Laborable",IF(WEEKDAY(B355,2)&gt;5,"Fin de semana","No laborable"))))</f>
        <v/>
      </c>
      <c r="R355" s="73" t="n"/>
      <c r="S355" s="72" t="n"/>
      <c r="T355" s="72" t="n"/>
      <c r="U355" s="74" t="n"/>
      <c r="V355" s="79" t="str">
        <f>IF(AND(D355="proMX",OR(R355="Submitted",R355="Recall Requested"),ISNUMBER(S355)),CFG_TODAY-INT(S355),"")</f>
        <v/>
      </c>
      <c r="W355" s="78" t="str">
        <f>IF(BD355=0,"",IF(BA355&gt;0,"⚠ Se superpone con un registro de la otra empresa",IF(D355="Malcolm",IF(COUNTA(R355,S355,T355)&gt;0,"Estado/fechas proMX se ignoran en Malcolm",""),IF(BF355="Cancelled","Cancelado: excluido de totales",IF(R355="","Sin estado: se trata como Draft",IF(BF355="Submitted",IF(ISNUMBER(V355),IF(V355&gt;CFG_MAXD,"⚠ "&amp;V355&amp;" días en Submitted (máx. "&amp;CFG_MAXD&amp;")",""),"Falta fecha de envío"),IF(BF355="Returned","⚠ Devuelto: corregir y reenviar",IF(BF355="Recall Requested","Retirada solicitada: pendiente",IF(AND(BF355="Approved",NOT(ISNUMBER(T355))),"Falta fecha de aprobación",IF(AND(ISNUMBER(S355),ISNUMBER(T355),T355&lt;S355),"Aprobación anterior al envío","")))))))))</f>
        <v/>
      </c>
      <c r="Y355" s="80">
        <f>IF(COUNTA(B355,D355,E355,F355,G355,H355,I355,J355,R355,S355,T355)&gt;0,1,0)</f>
        <v>0</v>
      </c>
      <c r="Z355" s="80" t="str">
        <f>IF(AND(ISNUMBER(H355),H355&gt;=0,H355&lt;1),ROUND(H355*1440,0),"")</f>
        <v/>
      </c>
      <c r="AA355" s="80" t="str">
        <f>IF(AND(ISNUMBER(I355),I355&gt;=0,I355&lt;1),ROUND(I355*1440,0),"")</f>
        <v/>
      </c>
      <c r="AB355" s="80">
        <f>IF(AND(ISNUMBER(B355),D355&lt;&gt;"",ISNUMBER(Z355),ISNUMBER(AA355)),IF(Z355=AA355,0,1),0)</f>
        <v>0</v>
      </c>
      <c r="AC355" s="80">
        <f>IF(AB355=1,IF(AA355&lt;Z355,1,0),0)</f>
        <v>0</v>
      </c>
      <c r="AD355" s="80">
        <f>IF(AB355=1,IF(AC355=1,1440-Z355+AA355,AA355-Z355),0)</f>
        <v>0</v>
      </c>
      <c r="AE355" s="80">
        <f>IF(J355="",0,IF(ISNUMBER(J355),J355,-1))</f>
        <v>0</v>
      </c>
      <c r="AF355" s="80">
        <f>MIN(MAX(0,AE355),AD355)</f>
        <v>0</v>
      </c>
      <c r="AG355" s="80">
        <f>MAX(0,AD355-MAX(0,AE355))</f>
        <v>0</v>
      </c>
      <c r="AH355" s="80">
        <f>IF(ISNUMBER(B355),IF(AND(INDEX(CFG_WDAYS,WEEKDAY(INT(B355),2))="Sí",IF(D355="proMX",COUNTIFS(FER_F,INT(B355),FER_NLP,"Sí"),COUNTIFS(FER_F,INT(B355),FER_NLM,"Sí"))=0),1,0),0)</f>
        <v>0</v>
      </c>
      <c r="AI355" s="80">
        <f>IF(AC355=1,IF(AND(INDEX(CFG_WDAYS,WEEKDAY(INT(B355)+1,2))="Sí",IF(D355="proMX",COUNTIFS(FER_F,INT(B355)+1,FER_NLP,"Sí"),COUNTIFS(FER_F,INT(B355)+1,FER_NLM,"Sí"))=0),1,0),0)</f>
        <v>0</v>
      </c>
      <c r="AJ355" s="80">
        <f>IF(AC355=1,1440-Z355,AD355)</f>
        <v>0</v>
      </c>
      <c r="AK355" s="80">
        <f>IF(AND(AB355=1,AH355=1),MAX(0,MIN(IF(AC355=1,1440,AA355),CFG_WEM)-MAX(Z355,CFG_WSM)),0)</f>
        <v>0</v>
      </c>
      <c r="AL355" s="80">
        <f>IF(AND(AC355=1,AI355=1),MAX(0,MIN(AA355,CFG_WEM)-CFG_WSM),0)</f>
        <v>0</v>
      </c>
      <c r="AM355" s="80">
        <f>AK355+AL355</f>
        <v>0</v>
      </c>
      <c r="AN355" s="80">
        <f>IF(CFG_BRK="Proporcional",IF(AD355=0,0,AF355*AM355/AD355),IF(CFG_BRK="Extras primero",MIN(AM355,MAX(0,AF355-(AD355-AM355))),MIN(AF355,AM355)))</f>
        <v>0</v>
      </c>
      <c r="AO355" s="80">
        <f>AF355-AN355</f>
        <v>0</v>
      </c>
      <c r="AP355" s="80">
        <f>AM355-AN355</f>
        <v>0</v>
      </c>
      <c r="AQ355" s="80">
        <f>AD355-AM355-AO355</f>
        <v>0</v>
      </c>
      <c r="AR355" s="80">
        <f>IF(AM355=0,0,AK355-AN355*AK355/AM355)</f>
        <v>0</v>
      </c>
      <c r="AS355" s="80">
        <f>IF(AD355-AM355=0,0,(AJ355-AK355)-AO355*(AJ355-AK355)/(AD355-AM355))</f>
        <v>0</v>
      </c>
      <c r="AT355" s="80" t="str">
        <f>IF(AC355=1,INT(B355)+1,"")</f>
        <v/>
      </c>
      <c r="AU355" s="80">
        <f>IF(AND(D355="proMX",R355="Cancelled"),0,1)</f>
        <v>1</v>
      </c>
      <c r="AV355" s="80">
        <f>IF(AND(AB355=1,AU355=1),IF(COUNTIFS($D$5:D354,D355,$B$5:B354,B355,$Z$5:Z354,Z355,$AA$5:AA354,AA355,$F$5:F354,F355&amp;"",$AU$5:AU354,1)&gt;0,1,0),0)</f>
        <v>0</v>
      </c>
      <c r="AW355" s="80" t="str">
        <f>IF(AB355=1,INT(B355)*1440+Z355,"")</f>
        <v/>
      </c>
      <c r="AX355" s="80" t="str">
        <f>IF(AB355=1,AW355+AD355,"")</f>
        <v/>
      </c>
      <c r="AY355" s="80">
        <f>IF(AND(AB355=1,AV355=0,AU355=1),1,0)</f>
        <v>0</v>
      </c>
      <c r="AZ355" s="80">
        <f>IF(AY355=1,COUNTIFS(R_Emp,D355,R_SAbs,"&lt;"&amp;AX355,R_EAbs,"&gt;"&amp;AW355,R_OKey,1)-1,0)</f>
        <v>0</v>
      </c>
      <c r="BA355" s="80">
        <f>IF(AY355=1,COUNTIFS(R_Emp,"&lt;&gt;"&amp;D355,R_SAbs,"&lt;"&amp;AX355,R_EAbs,"&gt;"&amp;AW355,R_OKey,1),0)</f>
        <v>0</v>
      </c>
      <c r="BB355" s="80">
        <f>IF(AND(AB355=1,D355="proMX"),IF(AND(MOD(Z355,CFG_BLK)=0,MOD(AA355,CFG_BLK)=0,MOD(AG355,CFG_BLK)=0,AG355&gt;0),1,0),1)</f>
        <v>1</v>
      </c>
      <c r="BC355" s="80" t="str">
        <f>IF(Y355=0,"",IF(NOT(ISNUMBER(B355)),"Falta fecha o fecha inválida",IF(D355="","Falta empresa",IF(AND(D355&lt;&gt;"Malcolm",D355&lt;&gt;"proMX"),"Empresa inválida",IF(OR(INT(B355)&lt;CFG_PSTART,INT(B355)&gt;CFG_PEND),"Fecha fuera del período",IF(OR(NOT(ISNUMBER(Z355)),NOT(ISNUMBER(AA355))),"Falta hora inicio/fin o formato inválido",IF(AB355=0,"Hora inicio = hora fin",IF(AE355&lt;0,"Descanso inválido",IF(AE355&gt;=AD355,"Descanso ≥ duración",IF(AV355=1,"Registro duplicado",IF(AZ355&gt;0,"Se superpone con otro registro "&amp;D355,IF(BB355=0,"inicio, fin y duración neta deben ser múltiplos de "&amp;CFG_BLK&amp;" min",""))))))))))))</f>
        <v/>
      </c>
      <c r="BD355" s="80">
        <f>IF(AND(Y355=1,BC355=""),1,0)</f>
        <v>0</v>
      </c>
      <c r="BE355" s="80">
        <f>IF(AND(BD355=1,AU355=1),1,0)</f>
        <v>0</v>
      </c>
      <c r="BF355" s="80" t="str">
        <f>IF(AND(D355="proMX",BD355=1),IF(R355="","Draft",R355),"")</f>
        <v/>
      </c>
      <c r="BG355" s="80">
        <f>IF(BD355=1,ROUND(AG355/60,6),0)</f>
        <v>0</v>
      </c>
      <c r="BH355" s="80">
        <f>IF(BE355=1,ROUND(AG355/60,6),0)</f>
        <v>0</v>
      </c>
      <c r="BI355" s="80">
        <f>IF(BE355=1,ROUND(AP355/60,6),0)</f>
        <v>0</v>
      </c>
      <c r="BJ355" s="80">
        <f>IF(BE355=1,ROUND(AQ355/60,6),0)</f>
        <v>0</v>
      </c>
      <c r="BK355" s="80">
        <f>IF(BE355=1,ROUND((AR355+AS355)/60,6),0)</f>
        <v>0</v>
      </c>
      <c r="BL355" s="80">
        <f>ROUND(BH355-BK355,6)</f>
        <v>0</v>
      </c>
      <c r="BM355" s="80">
        <f>IF(BE355=1,ROUND(AR355/60,6),0)</f>
        <v>0</v>
      </c>
      <c r="BN355" s="80">
        <f>ROUND(BI355-BM355,6)</f>
        <v>0</v>
      </c>
      <c r="BO355" s="80">
        <f>IF(BE355=1,ROUND(AS355/60,6),0)</f>
        <v>0</v>
      </c>
      <c r="BP355" s="80">
        <f>ROUND(BJ355-BO355,6)</f>
        <v>0</v>
      </c>
      <c r="BQ355" s="80">
        <f>IF(BE355=1,AW355,0)</f>
        <v>0</v>
      </c>
      <c r="BR355" s="80">
        <f>IF(BE355=1,AX355,0)</f>
        <v>0</v>
      </c>
      <c r="BS355" s="80">
        <f>IF(AND(BE355=1,D355="Malcolm",BA355&gt;0),MIN(BH355,SUMPRODUCT((R_Emp="proMX")*(R_EN&gt;0)*((R_EN-(R_EN&gt;BR355)*(R_EN-BR355))&gt;(R_SN+(R_SN&lt;BQ355)*(BQ355-R_SN)))*((R_EN-(R_EN&gt;BR355)*(R_EN-BR355))-(R_SN+(R_SN&lt;BQ355)*(BQ355-R_SN))))/60),0)</f>
        <v>0</v>
      </c>
      <c r="BT355" s="80">
        <f>IF(AND(BE355=1,D355="proMX"),ROUND(BI355*CFG_RATE+BJ355*CFG_OTRATE,6),0)</f>
        <v>0</v>
      </c>
      <c r="BU355" s="80">
        <f>IF(AND(BD355=1,D355="proMX"),ROUND(AG355/CFG_BLK,6),0)</f>
        <v>0</v>
      </c>
      <c r="BV355" s="80" t="str">
        <f>IF(BF355="Approved",IF(ISNUMBER(T355),INT(T355),INT(B355)),"")</f>
        <v/>
      </c>
      <c r="BW355" s="80">
        <f>IF(ISNUMBER(B355),IF(DB_MON="Todos",1,IF(AND(INT(B355)&gt;=DB_MS,INT(B355)&lt;=DB_ME),1,0)),0)</f>
        <v>0</v>
      </c>
      <c r="BX355" s="80">
        <f>IF(DB_PROJ="Todos",1,IF(E355&amp;""=DB_PROJ&amp;"",1,0))</f>
        <v>1</v>
      </c>
      <c r="BY355" s="80">
        <f>BW355*BX355</f>
        <v>0</v>
      </c>
      <c r="BZ355" s="80" t="str">
        <f>IF(Y355=1,F355&amp;IF(AND(F355&amp;""&lt;&gt;"",E355&amp;""&lt;&gt;"")," · ","")&amp;E355,"")</f>
        <v/>
      </c>
      <c r="CA355" s="80" t="str">
        <f>IF(AND(BD355=1,E355&amp;""&lt;&gt;""),IF(COUNTIFS($E$5:E354,E355,$BD$5:BD354,1)=0,MAX($CA$5:CA354)+1,""),"")</f>
        <v/>
      </c>
      <c r="CB355" s="80" t="str">
        <f>IF(AND(BE355=1,D355="Malcolm",E355&amp;""&lt;&gt;""),IF(COUNTIFS($D$5:D354,"Malcolm",$E$5:E354,E355,$BE$5:BE354,1)=0,MAX($CB$5:CB354)+1,""),"")</f>
        <v/>
      </c>
      <c r="CC355" s="80" t="str">
        <f>IF(AND(BD355=1,D355="proMX",E355&amp;""&lt;&gt;""),IF(COUNTIFS($D$5:D354,"proMX",$E$5:E354,E355,$BD$5:BD354,1)=0,MAX($CC$5:CC354)+1,""),"")</f>
        <v/>
      </c>
      <c r="CD355" s="80" t="str">
        <f>IF(AND(BE355=1,D355="Malcolm",F355&amp;""&lt;&gt;""),IF(COUNTIFS($D$5:D354,"Malcolm",$F$5:F354,F355,$BE$5:BE354,1)=0,MAX($CD$5:CD354)+1,""),"")</f>
        <v/>
      </c>
      <c r="CE355" s="80" t="str">
        <f>IF(AND(BD355=1,D355="proMX",F355&amp;""&lt;&gt;""),IF(COUNTIFS($D$5:D354,"proMX",$F$5:F354,F355,$BD$5:BD354,1)=0,MAX($CE$5:CE354)+1,""),"")</f>
        <v/>
      </c>
      <c r="CF355" s="80" t="str">
        <f>IF(AND(D355="proMX",BD355=1),IF(OR(BF355="Draft",BF355="Submitted",BF355="Returned",BF355="Recall Requested"),MAX($CF$5:CF354)+1,""),"")</f>
        <v/>
      </c>
      <c r="CG355" s="80">
        <f>IF(BD355=0,0,IF(D355="Malcolm",1,MATCH(BF355,{"Draft","Submitted","Approved","Returned","Recall Requested","Cancelled"},0)+1))</f>
        <v>0</v>
      </c>
      <c r="CH355" s="80">
        <f>IF(AND(BF355="Submitted",ISNUMBER(V355)),IF(V355&gt;CFG_MAXD,1,0),0)</f>
        <v>0</v>
      </c>
    </row>
    <row r="356">
      <c r="A356" s="71" t="str">
        <f>IF(Y356=1,ROW()-5,"")</f>
        <v/>
      </c>
      <c r="B356" s="72" t="n"/>
      <c r="C356" s="71" t="str">
        <f>IF(ISNUMBER(B356),CHOOSE(WEEKDAY(B356,2),"Lun","Mar","Mié","Jue","Vie","Sáb","Dom"),"")</f>
        <v/>
      </c>
      <c r="D356" s="73" t="n"/>
      <c r="E356" s="74" t="n"/>
      <c r="F356" s="74" t="n"/>
      <c r="G356" s="74" t="n"/>
      <c r="H356" s="75" t="n"/>
      <c r="I356" s="75" t="n"/>
      <c r="J356" s="76" t="n"/>
      <c r="K356" s="77" t="str">
        <f>IF(AB356=1,ROUND(AG356/60,4),"")</f>
        <v/>
      </c>
      <c r="L356" s="77" t="str">
        <f>IF(BD356=1,ROUND(AP356/60,4),"")</f>
        <v/>
      </c>
      <c r="M356" s="77" t="str">
        <f>IF(BD356=1,ROUND(AQ356/60,4),"")</f>
        <v/>
      </c>
      <c r="N356" s="71" t="str">
        <f>IF(AND(D356="proMX",AB356=1),ROUND(AG356/CFG_BLK,2),"")</f>
        <v/>
      </c>
      <c r="O356" s="77" t="str">
        <f>IF(D356="proMX",IF(BD356=1,ROUND(AG356/60,4),0),"")</f>
        <v/>
      </c>
      <c r="P356" s="78" t="str">
        <f>IF(Y356=0,"",IF(BD356=1,"OK",IF(D356="proMX","Revisar bloques: ","Revisar: ")&amp;BC356))</f>
        <v/>
      </c>
      <c r="Q356" s="78" t="str">
        <f>IF(NOT(ISNUMBER(B356)),"",IF(COUNTIFS(FER_F,INT(B356))&gt;0,"Feriado"&amp;IF(AH356=1," (laborable)"," (no laborable)"),IF(AH356=1,"Laborable",IF(WEEKDAY(B356,2)&gt;5,"Fin de semana","No laborable"))))</f>
        <v/>
      </c>
      <c r="R356" s="73" t="n"/>
      <c r="S356" s="72" t="n"/>
      <c r="T356" s="72" t="n"/>
      <c r="U356" s="74" t="n"/>
      <c r="V356" s="79" t="str">
        <f>IF(AND(D356="proMX",OR(R356="Submitted",R356="Recall Requested"),ISNUMBER(S356)),CFG_TODAY-INT(S356),"")</f>
        <v/>
      </c>
      <c r="W356" s="78" t="str">
        <f>IF(BD356=0,"",IF(BA356&gt;0,"⚠ Se superpone con un registro de la otra empresa",IF(D356="Malcolm",IF(COUNTA(R356,S356,T356)&gt;0,"Estado/fechas proMX se ignoran en Malcolm",""),IF(BF356="Cancelled","Cancelado: excluido de totales",IF(R356="","Sin estado: se trata como Draft",IF(BF356="Submitted",IF(ISNUMBER(V356),IF(V356&gt;CFG_MAXD,"⚠ "&amp;V356&amp;" días en Submitted (máx. "&amp;CFG_MAXD&amp;")",""),"Falta fecha de envío"),IF(BF356="Returned","⚠ Devuelto: corregir y reenviar",IF(BF356="Recall Requested","Retirada solicitada: pendiente",IF(AND(BF356="Approved",NOT(ISNUMBER(T356))),"Falta fecha de aprobación",IF(AND(ISNUMBER(S356),ISNUMBER(T356),T356&lt;S356),"Aprobación anterior al envío","")))))))))</f>
        <v/>
      </c>
      <c r="Y356" s="80">
        <f>IF(COUNTA(B356,D356,E356,F356,G356,H356,I356,J356,R356,S356,T356)&gt;0,1,0)</f>
        <v>0</v>
      </c>
      <c r="Z356" s="80" t="str">
        <f>IF(AND(ISNUMBER(H356),H356&gt;=0,H356&lt;1),ROUND(H356*1440,0),"")</f>
        <v/>
      </c>
      <c r="AA356" s="80" t="str">
        <f>IF(AND(ISNUMBER(I356),I356&gt;=0,I356&lt;1),ROUND(I356*1440,0),"")</f>
        <v/>
      </c>
      <c r="AB356" s="80">
        <f>IF(AND(ISNUMBER(B356),D356&lt;&gt;"",ISNUMBER(Z356),ISNUMBER(AA356)),IF(Z356=AA356,0,1),0)</f>
        <v>0</v>
      </c>
      <c r="AC356" s="80">
        <f>IF(AB356=1,IF(AA356&lt;Z356,1,0),0)</f>
        <v>0</v>
      </c>
      <c r="AD356" s="80">
        <f>IF(AB356=1,IF(AC356=1,1440-Z356+AA356,AA356-Z356),0)</f>
        <v>0</v>
      </c>
      <c r="AE356" s="80">
        <f>IF(J356="",0,IF(ISNUMBER(J356),J356,-1))</f>
        <v>0</v>
      </c>
      <c r="AF356" s="80">
        <f>MIN(MAX(0,AE356),AD356)</f>
        <v>0</v>
      </c>
      <c r="AG356" s="80">
        <f>MAX(0,AD356-MAX(0,AE356))</f>
        <v>0</v>
      </c>
      <c r="AH356" s="80">
        <f>IF(ISNUMBER(B356),IF(AND(INDEX(CFG_WDAYS,WEEKDAY(INT(B356),2))="Sí",IF(D356="proMX",COUNTIFS(FER_F,INT(B356),FER_NLP,"Sí"),COUNTIFS(FER_F,INT(B356),FER_NLM,"Sí"))=0),1,0),0)</f>
        <v>0</v>
      </c>
      <c r="AI356" s="80">
        <f>IF(AC356=1,IF(AND(INDEX(CFG_WDAYS,WEEKDAY(INT(B356)+1,2))="Sí",IF(D356="proMX",COUNTIFS(FER_F,INT(B356)+1,FER_NLP,"Sí"),COUNTIFS(FER_F,INT(B356)+1,FER_NLM,"Sí"))=0),1,0),0)</f>
        <v>0</v>
      </c>
      <c r="AJ356" s="80">
        <f>IF(AC356=1,1440-Z356,AD356)</f>
        <v>0</v>
      </c>
      <c r="AK356" s="80">
        <f>IF(AND(AB356=1,AH356=1),MAX(0,MIN(IF(AC356=1,1440,AA356),CFG_WEM)-MAX(Z356,CFG_WSM)),0)</f>
        <v>0</v>
      </c>
      <c r="AL356" s="80">
        <f>IF(AND(AC356=1,AI356=1),MAX(0,MIN(AA356,CFG_WEM)-CFG_WSM),0)</f>
        <v>0</v>
      </c>
      <c r="AM356" s="80">
        <f>AK356+AL356</f>
        <v>0</v>
      </c>
      <c r="AN356" s="80">
        <f>IF(CFG_BRK="Proporcional",IF(AD356=0,0,AF356*AM356/AD356),IF(CFG_BRK="Extras primero",MIN(AM356,MAX(0,AF356-(AD356-AM356))),MIN(AF356,AM356)))</f>
        <v>0</v>
      </c>
      <c r="AO356" s="80">
        <f>AF356-AN356</f>
        <v>0</v>
      </c>
      <c r="AP356" s="80">
        <f>AM356-AN356</f>
        <v>0</v>
      </c>
      <c r="AQ356" s="80">
        <f>AD356-AM356-AO356</f>
        <v>0</v>
      </c>
      <c r="AR356" s="80">
        <f>IF(AM356=0,0,AK356-AN356*AK356/AM356)</f>
        <v>0</v>
      </c>
      <c r="AS356" s="80">
        <f>IF(AD356-AM356=0,0,(AJ356-AK356)-AO356*(AJ356-AK356)/(AD356-AM356))</f>
        <v>0</v>
      </c>
      <c r="AT356" s="80" t="str">
        <f>IF(AC356=1,INT(B356)+1,"")</f>
        <v/>
      </c>
      <c r="AU356" s="80">
        <f>IF(AND(D356="proMX",R356="Cancelled"),0,1)</f>
        <v>1</v>
      </c>
      <c r="AV356" s="80">
        <f>IF(AND(AB356=1,AU356=1),IF(COUNTIFS($D$5:D355,D356,$B$5:B355,B356,$Z$5:Z355,Z356,$AA$5:AA355,AA356,$F$5:F355,F356&amp;"",$AU$5:AU355,1)&gt;0,1,0),0)</f>
        <v>0</v>
      </c>
      <c r="AW356" s="80" t="str">
        <f>IF(AB356=1,INT(B356)*1440+Z356,"")</f>
        <v/>
      </c>
      <c r="AX356" s="80" t="str">
        <f>IF(AB356=1,AW356+AD356,"")</f>
        <v/>
      </c>
      <c r="AY356" s="80">
        <f>IF(AND(AB356=1,AV356=0,AU356=1),1,0)</f>
        <v>0</v>
      </c>
      <c r="AZ356" s="80">
        <f>IF(AY356=1,COUNTIFS(R_Emp,D356,R_SAbs,"&lt;"&amp;AX356,R_EAbs,"&gt;"&amp;AW356,R_OKey,1)-1,0)</f>
        <v>0</v>
      </c>
      <c r="BA356" s="80">
        <f>IF(AY356=1,COUNTIFS(R_Emp,"&lt;&gt;"&amp;D356,R_SAbs,"&lt;"&amp;AX356,R_EAbs,"&gt;"&amp;AW356,R_OKey,1),0)</f>
        <v>0</v>
      </c>
      <c r="BB356" s="80">
        <f>IF(AND(AB356=1,D356="proMX"),IF(AND(MOD(Z356,CFG_BLK)=0,MOD(AA356,CFG_BLK)=0,MOD(AG356,CFG_BLK)=0,AG356&gt;0),1,0),1)</f>
        <v>1</v>
      </c>
      <c r="BC356" s="80" t="str">
        <f>IF(Y356=0,"",IF(NOT(ISNUMBER(B356)),"Falta fecha o fecha inválida",IF(D356="","Falta empresa",IF(AND(D356&lt;&gt;"Malcolm",D356&lt;&gt;"proMX"),"Empresa inválida",IF(OR(INT(B356)&lt;CFG_PSTART,INT(B356)&gt;CFG_PEND),"Fecha fuera del período",IF(OR(NOT(ISNUMBER(Z356)),NOT(ISNUMBER(AA356))),"Falta hora inicio/fin o formato inválido",IF(AB356=0,"Hora inicio = hora fin",IF(AE356&lt;0,"Descanso inválido",IF(AE356&gt;=AD356,"Descanso ≥ duración",IF(AV356=1,"Registro duplicado",IF(AZ356&gt;0,"Se superpone con otro registro "&amp;D356,IF(BB356=0,"inicio, fin y duración neta deben ser múltiplos de "&amp;CFG_BLK&amp;" min",""))))))))))))</f>
        <v/>
      </c>
      <c r="BD356" s="80">
        <f>IF(AND(Y356=1,BC356=""),1,0)</f>
        <v>0</v>
      </c>
      <c r="BE356" s="80">
        <f>IF(AND(BD356=1,AU356=1),1,0)</f>
        <v>0</v>
      </c>
      <c r="BF356" s="80" t="str">
        <f>IF(AND(D356="proMX",BD356=1),IF(R356="","Draft",R356),"")</f>
        <v/>
      </c>
      <c r="BG356" s="80">
        <f>IF(BD356=1,ROUND(AG356/60,6),0)</f>
        <v>0</v>
      </c>
      <c r="BH356" s="80">
        <f>IF(BE356=1,ROUND(AG356/60,6),0)</f>
        <v>0</v>
      </c>
      <c r="BI356" s="80">
        <f>IF(BE356=1,ROUND(AP356/60,6),0)</f>
        <v>0</v>
      </c>
      <c r="BJ356" s="80">
        <f>IF(BE356=1,ROUND(AQ356/60,6),0)</f>
        <v>0</v>
      </c>
      <c r="BK356" s="80">
        <f>IF(BE356=1,ROUND((AR356+AS356)/60,6),0)</f>
        <v>0</v>
      </c>
      <c r="BL356" s="80">
        <f>ROUND(BH356-BK356,6)</f>
        <v>0</v>
      </c>
      <c r="BM356" s="80">
        <f>IF(BE356=1,ROUND(AR356/60,6),0)</f>
        <v>0</v>
      </c>
      <c r="BN356" s="80">
        <f>ROUND(BI356-BM356,6)</f>
        <v>0</v>
      </c>
      <c r="BO356" s="80">
        <f>IF(BE356=1,ROUND(AS356/60,6),0)</f>
        <v>0</v>
      </c>
      <c r="BP356" s="80">
        <f>ROUND(BJ356-BO356,6)</f>
        <v>0</v>
      </c>
      <c r="BQ356" s="80">
        <f>IF(BE356=1,AW356,0)</f>
        <v>0</v>
      </c>
      <c r="BR356" s="80">
        <f>IF(BE356=1,AX356,0)</f>
        <v>0</v>
      </c>
      <c r="BS356" s="80">
        <f>IF(AND(BE356=1,D356="Malcolm",BA356&gt;0),MIN(BH356,SUMPRODUCT((R_Emp="proMX")*(R_EN&gt;0)*((R_EN-(R_EN&gt;BR356)*(R_EN-BR356))&gt;(R_SN+(R_SN&lt;BQ356)*(BQ356-R_SN)))*((R_EN-(R_EN&gt;BR356)*(R_EN-BR356))-(R_SN+(R_SN&lt;BQ356)*(BQ356-R_SN))))/60),0)</f>
        <v>0</v>
      </c>
      <c r="BT356" s="80">
        <f>IF(AND(BE356=1,D356="proMX"),ROUND(BI356*CFG_RATE+BJ356*CFG_OTRATE,6),0)</f>
        <v>0</v>
      </c>
      <c r="BU356" s="80">
        <f>IF(AND(BD356=1,D356="proMX"),ROUND(AG356/CFG_BLK,6),0)</f>
        <v>0</v>
      </c>
      <c r="BV356" s="80" t="str">
        <f>IF(BF356="Approved",IF(ISNUMBER(T356),INT(T356),INT(B356)),"")</f>
        <v/>
      </c>
      <c r="BW356" s="80">
        <f>IF(ISNUMBER(B356),IF(DB_MON="Todos",1,IF(AND(INT(B356)&gt;=DB_MS,INT(B356)&lt;=DB_ME),1,0)),0)</f>
        <v>0</v>
      </c>
      <c r="BX356" s="80">
        <f>IF(DB_PROJ="Todos",1,IF(E356&amp;""=DB_PROJ&amp;"",1,0))</f>
        <v>1</v>
      </c>
      <c r="BY356" s="80">
        <f>BW356*BX356</f>
        <v>0</v>
      </c>
      <c r="BZ356" s="80" t="str">
        <f>IF(Y356=1,F356&amp;IF(AND(F356&amp;""&lt;&gt;"",E356&amp;""&lt;&gt;"")," · ","")&amp;E356,"")</f>
        <v/>
      </c>
      <c r="CA356" s="80" t="str">
        <f>IF(AND(BD356=1,E356&amp;""&lt;&gt;""),IF(COUNTIFS($E$5:E355,E356,$BD$5:BD355,1)=0,MAX($CA$5:CA355)+1,""),"")</f>
        <v/>
      </c>
      <c r="CB356" s="80" t="str">
        <f>IF(AND(BE356=1,D356="Malcolm",E356&amp;""&lt;&gt;""),IF(COUNTIFS($D$5:D355,"Malcolm",$E$5:E355,E356,$BE$5:BE355,1)=0,MAX($CB$5:CB355)+1,""),"")</f>
        <v/>
      </c>
      <c r="CC356" s="80" t="str">
        <f>IF(AND(BD356=1,D356="proMX",E356&amp;""&lt;&gt;""),IF(COUNTIFS($D$5:D355,"proMX",$E$5:E355,E356,$BD$5:BD355,1)=0,MAX($CC$5:CC355)+1,""),"")</f>
        <v/>
      </c>
      <c r="CD356" s="80" t="str">
        <f>IF(AND(BE356=1,D356="Malcolm",F356&amp;""&lt;&gt;""),IF(COUNTIFS($D$5:D355,"Malcolm",$F$5:F355,F356,$BE$5:BE355,1)=0,MAX($CD$5:CD355)+1,""),"")</f>
        <v/>
      </c>
      <c r="CE356" s="80" t="str">
        <f>IF(AND(BD356=1,D356="proMX",F356&amp;""&lt;&gt;""),IF(COUNTIFS($D$5:D355,"proMX",$F$5:F355,F356,$BD$5:BD355,1)=0,MAX($CE$5:CE355)+1,""),"")</f>
        <v/>
      </c>
      <c r="CF356" s="80" t="str">
        <f>IF(AND(D356="proMX",BD356=1),IF(OR(BF356="Draft",BF356="Submitted",BF356="Returned",BF356="Recall Requested"),MAX($CF$5:CF355)+1,""),"")</f>
        <v/>
      </c>
      <c r="CG356" s="80">
        <f>IF(BD356=0,0,IF(D356="Malcolm",1,MATCH(BF356,{"Draft","Submitted","Approved","Returned","Recall Requested","Cancelled"},0)+1))</f>
        <v>0</v>
      </c>
      <c r="CH356" s="80">
        <f>IF(AND(BF356="Submitted",ISNUMBER(V356)),IF(V356&gt;CFG_MAXD,1,0),0)</f>
        <v>0</v>
      </c>
    </row>
    <row r="357">
      <c r="A357" s="71" t="str">
        <f>IF(Y357=1,ROW()-5,"")</f>
        <v/>
      </c>
      <c r="B357" s="72" t="n"/>
      <c r="C357" s="71" t="str">
        <f>IF(ISNUMBER(B357),CHOOSE(WEEKDAY(B357,2),"Lun","Mar","Mié","Jue","Vie","Sáb","Dom"),"")</f>
        <v/>
      </c>
      <c r="D357" s="73" t="n"/>
      <c r="E357" s="74" t="n"/>
      <c r="F357" s="74" t="n"/>
      <c r="G357" s="74" t="n"/>
      <c r="H357" s="75" t="n"/>
      <c r="I357" s="75" t="n"/>
      <c r="J357" s="76" t="n"/>
      <c r="K357" s="77" t="str">
        <f>IF(AB357=1,ROUND(AG357/60,4),"")</f>
        <v/>
      </c>
      <c r="L357" s="77" t="str">
        <f>IF(BD357=1,ROUND(AP357/60,4),"")</f>
        <v/>
      </c>
      <c r="M357" s="77" t="str">
        <f>IF(BD357=1,ROUND(AQ357/60,4),"")</f>
        <v/>
      </c>
      <c r="N357" s="71" t="str">
        <f>IF(AND(D357="proMX",AB357=1),ROUND(AG357/CFG_BLK,2),"")</f>
        <v/>
      </c>
      <c r="O357" s="77" t="str">
        <f>IF(D357="proMX",IF(BD357=1,ROUND(AG357/60,4),0),"")</f>
        <v/>
      </c>
      <c r="P357" s="78" t="str">
        <f>IF(Y357=0,"",IF(BD357=1,"OK",IF(D357="proMX","Revisar bloques: ","Revisar: ")&amp;BC357))</f>
        <v/>
      </c>
      <c r="Q357" s="78" t="str">
        <f>IF(NOT(ISNUMBER(B357)),"",IF(COUNTIFS(FER_F,INT(B357))&gt;0,"Feriado"&amp;IF(AH357=1," (laborable)"," (no laborable)"),IF(AH357=1,"Laborable",IF(WEEKDAY(B357,2)&gt;5,"Fin de semana","No laborable"))))</f>
        <v/>
      </c>
      <c r="R357" s="73" t="n"/>
      <c r="S357" s="72" t="n"/>
      <c r="T357" s="72" t="n"/>
      <c r="U357" s="74" t="n"/>
      <c r="V357" s="79" t="str">
        <f>IF(AND(D357="proMX",OR(R357="Submitted",R357="Recall Requested"),ISNUMBER(S357)),CFG_TODAY-INT(S357),"")</f>
        <v/>
      </c>
      <c r="W357" s="78" t="str">
        <f>IF(BD357=0,"",IF(BA357&gt;0,"⚠ Se superpone con un registro de la otra empresa",IF(D357="Malcolm",IF(COUNTA(R357,S357,T357)&gt;0,"Estado/fechas proMX se ignoran en Malcolm",""),IF(BF357="Cancelled","Cancelado: excluido de totales",IF(R357="","Sin estado: se trata como Draft",IF(BF357="Submitted",IF(ISNUMBER(V357),IF(V357&gt;CFG_MAXD,"⚠ "&amp;V357&amp;" días en Submitted (máx. "&amp;CFG_MAXD&amp;")",""),"Falta fecha de envío"),IF(BF357="Returned","⚠ Devuelto: corregir y reenviar",IF(BF357="Recall Requested","Retirada solicitada: pendiente",IF(AND(BF357="Approved",NOT(ISNUMBER(T357))),"Falta fecha de aprobación",IF(AND(ISNUMBER(S357),ISNUMBER(T357),T357&lt;S357),"Aprobación anterior al envío","")))))))))</f>
        <v/>
      </c>
      <c r="Y357" s="80">
        <f>IF(COUNTA(B357,D357,E357,F357,G357,H357,I357,J357,R357,S357,T357)&gt;0,1,0)</f>
        <v>0</v>
      </c>
      <c r="Z357" s="80" t="str">
        <f>IF(AND(ISNUMBER(H357),H357&gt;=0,H357&lt;1),ROUND(H357*1440,0),"")</f>
        <v/>
      </c>
      <c r="AA357" s="80" t="str">
        <f>IF(AND(ISNUMBER(I357),I357&gt;=0,I357&lt;1),ROUND(I357*1440,0),"")</f>
        <v/>
      </c>
      <c r="AB357" s="80">
        <f>IF(AND(ISNUMBER(B357),D357&lt;&gt;"",ISNUMBER(Z357),ISNUMBER(AA357)),IF(Z357=AA357,0,1),0)</f>
        <v>0</v>
      </c>
      <c r="AC357" s="80">
        <f>IF(AB357=1,IF(AA357&lt;Z357,1,0),0)</f>
        <v>0</v>
      </c>
      <c r="AD357" s="80">
        <f>IF(AB357=1,IF(AC357=1,1440-Z357+AA357,AA357-Z357),0)</f>
        <v>0</v>
      </c>
      <c r="AE357" s="80">
        <f>IF(J357="",0,IF(ISNUMBER(J357),J357,-1))</f>
        <v>0</v>
      </c>
      <c r="AF357" s="80">
        <f>MIN(MAX(0,AE357),AD357)</f>
        <v>0</v>
      </c>
      <c r="AG357" s="80">
        <f>MAX(0,AD357-MAX(0,AE357))</f>
        <v>0</v>
      </c>
      <c r="AH357" s="80">
        <f>IF(ISNUMBER(B357),IF(AND(INDEX(CFG_WDAYS,WEEKDAY(INT(B357),2))="Sí",IF(D357="proMX",COUNTIFS(FER_F,INT(B357),FER_NLP,"Sí"),COUNTIFS(FER_F,INT(B357),FER_NLM,"Sí"))=0),1,0),0)</f>
        <v>0</v>
      </c>
      <c r="AI357" s="80">
        <f>IF(AC357=1,IF(AND(INDEX(CFG_WDAYS,WEEKDAY(INT(B357)+1,2))="Sí",IF(D357="proMX",COUNTIFS(FER_F,INT(B357)+1,FER_NLP,"Sí"),COUNTIFS(FER_F,INT(B357)+1,FER_NLM,"Sí"))=0),1,0),0)</f>
        <v>0</v>
      </c>
      <c r="AJ357" s="80">
        <f>IF(AC357=1,1440-Z357,AD357)</f>
        <v>0</v>
      </c>
      <c r="AK357" s="80">
        <f>IF(AND(AB357=1,AH357=1),MAX(0,MIN(IF(AC357=1,1440,AA357),CFG_WEM)-MAX(Z357,CFG_WSM)),0)</f>
        <v>0</v>
      </c>
      <c r="AL357" s="80">
        <f>IF(AND(AC357=1,AI357=1),MAX(0,MIN(AA357,CFG_WEM)-CFG_WSM),0)</f>
        <v>0</v>
      </c>
      <c r="AM357" s="80">
        <f>AK357+AL357</f>
        <v>0</v>
      </c>
      <c r="AN357" s="80">
        <f>IF(CFG_BRK="Proporcional",IF(AD357=0,0,AF357*AM357/AD357),IF(CFG_BRK="Extras primero",MIN(AM357,MAX(0,AF357-(AD357-AM357))),MIN(AF357,AM357)))</f>
        <v>0</v>
      </c>
      <c r="AO357" s="80">
        <f>AF357-AN357</f>
        <v>0</v>
      </c>
      <c r="AP357" s="80">
        <f>AM357-AN357</f>
        <v>0</v>
      </c>
      <c r="AQ357" s="80">
        <f>AD357-AM357-AO357</f>
        <v>0</v>
      </c>
      <c r="AR357" s="80">
        <f>IF(AM357=0,0,AK357-AN357*AK357/AM357)</f>
        <v>0</v>
      </c>
      <c r="AS357" s="80">
        <f>IF(AD357-AM357=0,0,(AJ357-AK357)-AO357*(AJ357-AK357)/(AD357-AM357))</f>
        <v>0</v>
      </c>
      <c r="AT357" s="80" t="str">
        <f>IF(AC357=1,INT(B357)+1,"")</f>
        <v/>
      </c>
      <c r="AU357" s="80">
        <f>IF(AND(D357="proMX",R357="Cancelled"),0,1)</f>
        <v>1</v>
      </c>
      <c r="AV357" s="80">
        <f>IF(AND(AB357=1,AU357=1),IF(COUNTIFS($D$5:D356,D357,$B$5:B356,B357,$Z$5:Z356,Z357,$AA$5:AA356,AA357,$F$5:F356,F357&amp;"",$AU$5:AU356,1)&gt;0,1,0),0)</f>
        <v>0</v>
      </c>
      <c r="AW357" s="80" t="str">
        <f>IF(AB357=1,INT(B357)*1440+Z357,"")</f>
        <v/>
      </c>
      <c r="AX357" s="80" t="str">
        <f>IF(AB357=1,AW357+AD357,"")</f>
        <v/>
      </c>
      <c r="AY357" s="80">
        <f>IF(AND(AB357=1,AV357=0,AU357=1),1,0)</f>
        <v>0</v>
      </c>
      <c r="AZ357" s="80">
        <f>IF(AY357=1,COUNTIFS(R_Emp,D357,R_SAbs,"&lt;"&amp;AX357,R_EAbs,"&gt;"&amp;AW357,R_OKey,1)-1,0)</f>
        <v>0</v>
      </c>
      <c r="BA357" s="80">
        <f>IF(AY357=1,COUNTIFS(R_Emp,"&lt;&gt;"&amp;D357,R_SAbs,"&lt;"&amp;AX357,R_EAbs,"&gt;"&amp;AW357,R_OKey,1),0)</f>
        <v>0</v>
      </c>
      <c r="BB357" s="80">
        <f>IF(AND(AB357=1,D357="proMX"),IF(AND(MOD(Z357,CFG_BLK)=0,MOD(AA357,CFG_BLK)=0,MOD(AG357,CFG_BLK)=0,AG357&gt;0),1,0),1)</f>
        <v>1</v>
      </c>
      <c r="BC357" s="80" t="str">
        <f>IF(Y357=0,"",IF(NOT(ISNUMBER(B357)),"Falta fecha o fecha inválida",IF(D357="","Falta empresa",IF(AND(D357&lt;&gt;"Malcolm",D357&lt;&gt;"proMX"),"Empresa inválida",IF(OR(INT(B357)&lt;CFG_PSTART,INT(B357)&gt;CFG_PEND),"Fecha fuera del período",IF(OR(NOT(ISNUMBER(Z357)),NOT(ISNUMBER(AA357))),"Falta hora inicio/fin o formato inválido",IF(AB357=0,"Hora inicio = hora fin",IF(AE357&lt;0,"Descanso inválido",IF(AE357&gt;=AD357,"Descanso ≥ duración",IF(AV357=1,"Registro duplicado",IF(AZ357&gt;0,"Se superpone con otro registro "&amp;D357,IF(BB357=0,"inicio, fin y duración neta deben ser múltiplos de "&amp;CFG_BLK&amp;" min",""))))))))))))</f>
        <v/>
      </c>
      <c r="BD357" s="80">
        <f>IF(AND(Y357=1,BC357=""),1,0)</f>
        <v>0</v>
      </c>
      <c r="BE357" s="80">
        <f>IF(AND(BD357=1,AU357=1),1,0)</f>
        <v>0</v>
      </c>
      <c r="BF357" s="80" t="str">
        <f>IF(AND(D357="proMX",BD357=1),IF(R357="","Draft",R357),"")</f>
        <v/>
      </c>
      <c r="BG357" s="80">
        <f>IF(BD357=1,ROUND(AG357/60,6),0)</f>
        <v>0</v>
      </c>
      <c r="BH357" s="80">
        <f>IF(BE357=1,ROUND(AG357/60,6),0)</f>
        <v>0</v>
      </c>
      <c r="BI357" s="80">
        <f>IF(BE357=1,ROUND(AP357/60,6),0)</f>
        <v>0</v>
      </c>
      <c r="BJ357" s="80">
        <f>IF(BE357=1,ROUND(AQ357/60,6),0)</f>
        <v>0</v>
      </c>
      <c r="BK357" s="80">
        <f>IF(BE357=1,ROUND((AR357+AS357)/60,6),0)</f>
        <v>0</v>
      </c>
      <c r="BL357" s="80">
        <f>ROUND(BH357-BK357,6)</f>
        <v>0</v>
      </c>
      <c r="BM357" s="80">
        <f>IF(BE357=1,ROUND(AR357/60,6),0)</f>
        <v>0</v>
      </c>
      <c r="BN357" s="80">
        <f>ROUND(BI357-BM357,6)</f>
        <v>0</v>
      </c>
      <c r="BO357" s="80">
        <f>IF(BE357=1,ROUND(AS357/60,6),0)</f>
        <v>0</v>
      </c>
      <c r="BP357" s="80">
        <f>ROUND(BJ357-BO357,6)</f>
        <v>0</v>
      </c>
      <c r="BQ357" s="80">
        <f>IF(BE357=1,AW357,0)</f>
        <v>0</v>
      </c>
      <c r="BR357" s="80">
        <f>IF(BE357=1,AX357,0)</f>
        <v>0</v>
      </c>
      <c r="BS357" s="80">
        <f>IF(AND(BE357=1,D357="Malcolm",BA357&gt;0),MIN(BH357,SUMPRODUCT((R_Emp="proMX")*(R_EN&gt;0)*((R_EN-(R_EN&gt;BR357)*(R_EN-BR357))&gt;(R_SN+(R_SN&lt;BQ357)*(BQ357-R_SN)))*((R_EN-(R_EN&gt;BR357)*(R_EN-BR357))-(R_SN+(R_SN&lt;BQ357)*(BQ357-R_SN))))/60),0)</f>
        <v>0</v>
      </c>
      <c r="BT357" s="80">
        <f>IF(AND(BE357=1,D357="proMX"),ROUND(BI357*CFG_RATE+BJ357*CFG_OTRATE,6),0)</f>
        <v>0</v>
      </c>
      <c r="BU357" s="80">
        <f>IF(AND(BD357=1,D357="proMX"),ROUND(AG357/CFG_BLK,6),0)</f>
        <v>0</v>
      </c>
      <c r="BV357" s="80" t="str">
        <f>IF(BF357="Approved",IF(ISNUMBER(T357),INT(T357),INT(B357)),"")</f>
        <v/>
      </c>
      <c r="BW357" s="80">
        <f>IF(ISNUMBER(B357),IF(DB_MON="Todos",1,IF(AND(INT(B357)&gt;=DB_MS,INT(B357)&lt;=DB_ME),1,0)),0)</f>
        <v>0</v>
      </c>
      <c r="BX357" s="80">
        <f>IF(DB_PROJ="Todos",1,IF(E357&amp;""=DB_PROJ&amp;"",1,0))</f>
        <v>1</v>
      </c>
      <c r="BY357" s="80">
        <f>BW357*BX357</f>
        <v>0</v>
      </c>
      <c r="BZ357" s="80" t="str">
        <f>IF(Y357=1,F357&amp;IF(AND(F357&amp;""&lt;&gt;"",E357&amp;""&lt;&gt;"")," · ","")&amp;E357,"")</f>
        <v/>
      </c>
      <c r="CA357" s="80" t="str">
        <f>IF(AND(BD357=1,E357&amp;""&lt;&gt;""),IF(COUNTIFS($E$5:E356,E357,$BD$5:BD356,1)=0,MAX($CA$5:CA356)+1,""),"")</f>
        <v/>
      </c>
      <c r="CB357" s="80" t="str">
        <f>IF(AND(BE357=1,D357="Malcolm",E357&amp;""&lt;&gt;""),IF(COUNTIFS($D$5:D356,"Malcolm",$E$5:E356,E357,$BE$5:BE356,1)=0,MAX($CB$5:CB356)+1,""),"")</f>
        <v/>
      </c>
      <c r="CC357" s="80" t="str">
        <f>IF(AND(BD357=1,D357="proMX",E357&amp;""&lt;&gt;""),IF(COUNTIFS($D$5:D356,"proMX",$E$5:E356,E357,$BD$5:BD356,1)=0,MAX($CC$5:CC356)+1,""),"")</f>
        <v/>
      </c>
      <c r="CD357" s="80" t="str">
        <f>IF(AND(BE357=1,D357="Malcolm",F357&amp;""&lt;&gt;""),IF(COUNTIFS($D$5:D356,"Malcolm",$F$5:F356,F357,$BE$5:BE356,1)=0,MAX($CD$5:CD356)+1,""),"")</f>
        <v/>
      </c>
      <c r="CE357" s="80" t="str">
        <f>IF(AND(BD357=1,D357="proMX",F357&amp;""&lt;&gt;""),IF(COUNTIFS($D$5:D356,"proMX",$F$5:F356,F357,$BD$5:BD356,1)=0,MAX($CE$5:CE356)+1,""),"")</f>
        <v/>
      </c>
      <c r="CF357" s="80" t="str">
        <f>IF(AND(D357="proMX",BD357=1),IF(OR(BF357="Draft",BF357="Submitted",BF357="Returned",BF357="Recall Requested"),MAX($CF$5:CF356)+1,""),"")</f>
        <v/>
      </c>
      <c r="CG357" s="80">
        <f>IF(BD357=0,0,IF(D357="Malcolm",1,MATCH(BF357,{"Draft","Submitted","Approved","Returned","Recall Requested","Cancelled"},0)+1))</f>
        <v>0</v>
      </c>
      <c r="CH357" s="80">
        <f>IF(AND(BF357="Submitted",ISNUMBER(V357)),IF(V357&gt;CFG_MAXD,1,0),0)</f>
        <v>0</v>
      </c>
    </row>
    <row r="358">
      <c r="A358" s="71" t="str">
        <f>IF(Y358=1,ROW()-5,"")</f>
        <v/>
      </c>
      <c r="B358" s="72" t="n"/>
      <c r="C358" s="71" t="str">
        <f>IF(ISNUMBER(B358),CHOOSE(WEEKDAY(B358,2),"Lun","Mar","Mié","Jue","Vie","Sáb","Dom"),"")</f>
        <v/>
      </c>
      <c r="D358" s="73" t="n"/>
      <c r="E358" s="74" t="n"/>
      <c r="F358" s="74" t="n"/>
      <c r="G358" s="74" t="n"/>
      <c r="H358" s="75" t="n"/>
      <c r="I358" s="75" t="n"/>
      <c r="J358" s="76" t="n"/>
      <c r="K358" s="77" t="str">
        <f>IF(AB358=1,ROUND(AG358/60,4),"")</f>
        <v/>
      </c>
      <c r="L358" s="77" t="str">
        <f>IF(BD358=1,ROUND(AP358/60,4),"")</f>
        <v/>
      </c>
      <c r="M358" s="77" t="str">
        <f>IF(BD358=1,ROUND(AQ358/60,4),"")</f>
        <v/>
      </c>
      <c r="N358" s="71" t="str">
        <f>IF(AND(D358="proMX",AB358=1),ROUND(AG358/CFG_BLK,2),"")</f>
        <v/>
      </c>
      <c r="O358" s="77" t="str">
        <f>IF(D358="proMX",IF(BD358=1,ROUND(AG358/60,4),0),"")</f>
        <v/>
      </c>
      <c r="P358" s="78" t="str">
        <f>IF(Y358=0,"",IF(BD358=1,"OK",IF(D358="proMX","Revisar bloques: ","Revisar: ")&amp;BC358))</f>
        <v/>
      </c>
      <c r="Q358" s="78" t="str">
        <f>IF(NOT(ISNUMBER(B358)),"",IF(COUNTIFS(FER_F,INT(B358))&gt;0,"Feriado"&amp;IF(AH358=1," (laborable)"," (no laborable)"),IF(AH358=1,"Laborable",IF(WEEKDAY(B358,2)&gt;5,"Fin de semana","No laborable"))))</f>
        <v/>
      </c>
      <c r="R358" s="73" t="n"/>
      <c r="S358" s="72" t="n"/>
      <c r="T358" s="72" t="n"/>
      <c r="U358" s="74" t="n"/>
      <c r="V358" s="79" t="str">
        <f>IF(AND(D358="proMX",OR(R358="Submitted",R358="Recall Requested"),ISNUMBER(S358)),CFG_TODAY-INT(S358),"")</f>
        <v/>
      </c>
      <c r="W358" s="78" t="str">
        <f>IF(BD358=0,"",IF(BA358&gt;0,"⚠ Se superpone con un registro de la otra empresa",IF(D358="Malcolm",IF(COUNTA(R358,S358,T358)&gt;0,"Estado/fechas proMX se ignoran en Malcolm",""),IF(BF358="Cancelled","Cancelado: excluido de totales",IF(R358="","Sin estado: se trata como Draft",IF(BF358="Submitted",IF(ISNUMBER(V358),IF(V358&gt;CFG_MAXD,"⚠ "&amp;V358&amp;" días en Submitted (máx. "&amp;CFG_MAXD&amp;")",""),"Falta fecha de envío"),IF(BF358="Returned","⚠ Devuelto: corregir y reenviar",IF(BF358="Recall Requested","Retirada solicitada: pendiente",IF(AND(BF358="Approved",NOT(ISNUMBER(T358))),"Falta fecha de aprobación",IF(AND(ISNUMBER(S358),ISNUMBER(T358),T358&lt;S358),"Aprobación anterior al envío","")))))))))</f>
        <v/>
      </c>
      <c r="Y358" s="80">
        <f>IF(COUNTA(B358,D358,E358,F358,G358,H358,I358,J358,R358,S358,T358)&gt;0,1,0)</f>
        <v>0</v>
      </c>
      <c r="Z358" s="80" t="str">
        <f>IF(AND(ISNUMBER(H358),H358&gt;=0,H358&lt;1),ROUND(H358*1440,0),"")</f>
        <v/>
      </c>
      <c r="AA358" s="80" t="str">
        <f>IF(AND(ISNUMBER(I358),I358&gt;=0,I358&lt;1),ROUND(I358*1440,0),"")</f>
        <v/>
      </c>
      <c r="AB358" s="80">
        <f>IF(AND(ISNUMBER(B358),D358&lt;&gt;"",ISNUMBER(Z358),ISNUMBER(AA358)),IF(Z358=AA358,0,1),0)</f>
        <v>0</v>
      </c>
      <c r="AC358" s="80">
        <f>IF(AB358=1,IF(AA358&lt;Z358,1,0),0)</f>
        <v>0</v>
      </c>
      <c r="AD358" s="80">
        <f>IF(AB358=1,IF(AC358=1,1440-Z358+AA358,AA358-Z358),0)</f>
        <v>0</v>
      </c>
      <c r="AE358" s="80">
        <f>IF(J358="",0,IF(ISNUMBER(J358),J358,-1))</f>
        <v>0</v>
      </c>
      <c r="AF358" s="80">
        <f>MIN(MAX(0,AE358),AD358)</f>
        <v>0</v>
      </c>
      <c r="AG358" s="80">
        <f>MAX(0,AD358-MAX(0,AE358))</f>
        <v>0</v>
      </c>
      <c r="AH358" s="80">
        <f>IF(ISNUMBER(B358),IF(AND(INDEX(CFG_WDAYS,WEEKDAY(INT(B358),2))="Sí",IF(D358="proMX",COUNTIFS(FER_F,INT(B358),FER_NLP,"Sí"),COUNTIFS(FER_F,INT(B358),FER_NLM,"Sí"))=0),1,0),0)</f>
        <v>0</v>
      </c>
      <c r="AI358" s="80">
        <f>IF(AC358=1,IF(AND(INDEX(CFG_WDAYS,WEEKDAY(INT(B358)+1,2))="Sí",IF(D358="proMX",COUNTIFS(FER_F,INT(B358)+1,FER_NLP,"Sí"),COUNTIFS(FER_F,INT(B358)+1,FER_NLM,"Sí"))=0),1,0),0)</f>
        <v>0</v>
      </c>
      <c r="AJ358" s="80">
        <f>IF(AC358=1,1440-Z358,AD358)</f>
        <v>0</v>
      </c>
      <c r="AK358" s="80">
        <f>IF(AND(AB358=1,AH358=1),MAX(0,MIN(IF(AC358=1,1440,AA358),CFG_WEM)-MAX(Z358,CFG_WSM)),0)</f>
        <v>0</v>
      </c>
      <c r="AL358" s="80">
        <f>IF(AND(AC358=1,AI358=1),MAX(0,MIN(AA358,CFG_WEM)-CFG_WSM),0)</f>
        <v>0</v>
      </c>
      <c r="AM358" s="80">
        <f>AK358+AL358</f>
        <v>0</v>
      </c>
      <c r="AN358" s="80">
        <f>IF(CFG_BRK="Proporcional",IF(AD358=0,0,AF358*AM358/AD358),IF(CFG_BRK="Extras primero",MIN(AM358,MAX(0,AF358-(AD358-AM358))),MIN(AF358,AM358)))</f>
        <v>0</v>
      </c>
      <c r="AO358" s="80">
        <f>AF358-AN358</f>
        <v>0</v>
      </c>
      <c r="AP358" s="80">
        <f>AM358-AN358</f>
        <v>0</v>
      </c>
      <c r="AQ358" s="80">
        <f>AD358-AM358-AO358</f>
        <v>0</v>
      </c>
      <c r="AR358" s="80">
        <f>IF(AM358=0,0,AK358-AN358*AK358/AM358)</f>
        <v>0</v>
      </c>
      <c r="AS358" s="80">
        <f>IF(AD358-AM358=0,0,(AJ358-AK358)-AO358*(AJ358-AK358)/(AD358-AM358))</f>
        <v>0</v>
      </c>
      <c r="AT358" s="80" t="str">
        <f>IF(AC358=1,INT(B358)+1,"")</f>
        <v/>
      </c>
      <c r="AU358" s="80">
        <f>IF(AND(D358="proMX",R358="Cancelled"),0,1)</f>
        <v>1</v>
      </c>
      <c r="AV358" s="80">
        <f>IF(AND(AB358=1,AU358=1),IF(COUNTIFS($D$5:D357,D358,$B$5:B357,B358,$Z$5:Z357,Z358,$AA$5:AA357,AA358,$F$5:F357,F358&amp;"",$AU$5:AU357,1)&gt;0,1,0),0)</f>
        <v>0</v>
      </c>
      <c r="AW358" s="80" t="str">
        <f>IF(AB358=1,INT(B358)*1440+Z358,"")</f>
        <v/>
      </c>
      <c r="AX358" s="80" t="str">
        <f>IF(AB358=1,AW358+AD358,"")</f>
        <v/>
      </c>
      <c r="AY358" s="80">
        <f>IF(AND(AB358=1,AV358=0,AU358=1),1,0)</f>
        <v>0</v>
      </c>
      <c r="AZ358" s="80">
        <f>IF(AY358=1,COUNTIFS(R_Emp,D358,R_SAbs,"&lt;"&amp;AX358,R_EAbs,"&gt;"&amp;AW358,R_OKey,1)-1,0)</f>
        <v>0</v>
      </c>
      <c r="BA358" s="80">
        <f>IF(AY358=1,COUNTIFS(R_Emp,"&lt;&gt;"&amp;D358,R_SAbs,"&lt;"&amp;AX358,R_EAbs,"&gt;"&amp;AW358,R_OKey,1),0)</f>
        <v>0</v>
      </c>
      <c r="BB358" s="80">
        <f>IF(AND(AB358=1,D358="proMX"),IF(AND(MOD(Z358,CFG_BLK)=0,MOD(AA358,CFG_BLK)=0,MOD(AG358,CFG_BLK)=0,AG358&gt;0),1,0),1)</f>
        <v>1</v>
      </c>
      <c r="BC358" s="80" t="str">
        <f>IF(Y358=0,"",IF(NOT(ISNUMBER(B358)),"Falta fecha o fecha inválida",IF(D358="","Falta empresa",IF(AND(D358&lt;&gt;"Malcolm",D358&lt;&gt;"proMX"),"Empresa inválida",IF(OR(INT(B358)&lt;CFG_PSTART,INT(B358)&gt;CFG_PEND),"Fecha fuera del período",IF(OR(NOT(ISNUMBER(Z358)),NOT(ISNUMBER(AA358))),"Falta hora inicio/fin o formato inválido",IF(AB358=0,"Hora inicio = hora fin",IF(AE358&lt;0,"Descanso inválido",IF(AE358&gt;=AD358,"Descanso ≥ duración",IF(AV358=1,"Registro duplicado",IF(AZ358&gt;0,"Se superpone con otro registro "&amp;D358,IF(BB358=0,"inicio, fin y duración neta deben ser múltiplos de "&amp;CFG_BLK&amp;" min",""))))))))))))</f>
        <v/>
      </c>
      <c r="BD358" s="80">
        <f>IF(AND(Y358=1,BC358=""),1,0)</f>
        <v>0</v>
      </c>
      <c r="BE358" s="80">
        <f>IF(AND(BD358=1,AU358=1),1,0)</f>
        <v>0</v>
      </c>
      <c r="BF358" s="80" t="str">
        <f>IF(AND(D358="proMX",BD358=1),IF(R358="","Draft",R358),"")</f>
        <v/>
      </c>
      <c r="BG358" s="80">
        <f>IF(BD358=1,ROUND(AG358/60,6),0)</f>
        <v>0</v>
      </c>
      <c r="BH358" s="80">
        <f>IF(BE358=1,ROUND(AG358/60,6),0)</f>
        <v>0</v>
      </c>
      <c r="BI358" s="80">
        <f>IF(BE358=1,ROUND(AP358/60,6),0)</f>
        <v>0</v>
      </c>
      <c r="BJ358" s="80">
        <f>IF(BE358=1,ROUND(AQ358/60,6),0)</f>
        <v>0</v>
      </c>
      <c r="BK358" s="80">
        <f>IF(BE358=1,ROUND((AR358+AS358)/60,6),0)</f>
        <v>0</v>
      </c>
      <c r="BL358" s="80">
        <f>ROUND(BH358-BK358,6)</f>
        <v>0</v>
      </c>
      <c r="BM358" s="80">
        <f>IF(BE358=1,ROUND(AR358/60,6),0)</f>
        <v>0</v>
      </c>
      <c r="BN358" s="80">
        <f>ROUND(BI358-BM358,6)</f>
        <v>0</v>
      </c>
      <c r="BO358" s="80">
        <f>IF(BE358=1,ROUND(AS358/60,6),0)</f>
        <v>0</v>
      </c>
      <c r="BP358" s="80">
        <f>ROUND(BJ358-BO358,6)</f>
        <v>0</v>
      </c>
      <c r="BQ358" s="80">
        <f>IF(BE358=1,AW358,0)</f>
        <v>0</v>
      </c>
      <c r="BR358" s="80">
        <f>IF(BE358=1,AX358,0)</f>
        <v>0</v>
      </c>
      <c r="BS358" s="80">
        <f>IF(AND(BE358=1,D358="Malcolm",BA358&gt;0),MIN(BH358,SUMPRODUCT((R_Emp="proMX")*(R_EN&gt;0)*((R_EN-(R_EN&gt;BR358)*(R_EN-BR358))&gt;(R_SN+(R_SN&lt;BQ358)*(BQ358-R_SN)))*((R_EN-(R_EN&gt;BR358)*(R_EN-BR358))-(R_SN+(R_SN&lt;BQ358)*(BQ358-R_SN))))/60),0)</f>
        <v>0</v>
      </c>
      <c r="BT358" s="80">
        <f>IF(AND(BE358=1,D358="proMX"),ROUND(BI358*CFG_RATE+BJ358*CFG_OTRATE,6),0)</f>
        <v>0</v>
      </c>
      <c r="BU358" s="80">
        <f>IF(AND(BD358=1,D358="proMX"),ROUND(AG358/CFG_BLK,6),0)</f>
        <v>0</v>
      </c>
      <c r="BV358" s="80" t="str">
        <f>IF(BF358="Approved",IF(ISNUMBER(T358),INT(T358),INT(B358)),"")</f>
        <v/>
      </c>
      <c r="BW358" s="80">
        <f>IF(ISNUMBER(B358),IF(DB_MON="Todos",1,IF(AND(INT(B358)&gt;=DB_MS,INT(B358)&lt;=DB_ME),1,0)),0)</f>
        <v>0</v>
      </c>
      <c r="BX358" s="80">
        <f>IF(DB_PROJ="Todos",1,IF(E358&amp;""=DB_PROJ&amp;"",1,0))</f>
        <v>1</v>
      </c>
      <c r="BY358" s="80">
        <f>BW358*BX358</f>
        <v>0</v>
      </c>
      <c r="BZ358" s="80" t="str">
        <f>IF(Y358=1,F358&amp;IF(AND(F358&amp;""&lt;&gt;"",E358&amp;""&lt;&gt;"")," · ","")&amp;E358,"")</f>
        <v/>
      </c>
      <c r="CA358" s="80" t="str">
        <f>IF(AND(BD358=1,E358&amp;""&lt;&gt;""),IF(COUNTIFS($E$5:E357,E358,$BD$5:BD357,1)=0,MAX($CA$5:CA357)+1,""),"")</f>
        <v/>
      </c>
      <c r="CB358" s="80" t="str">
        <f>IF(AND(BE358=1,D358="Malcolm",E358&amp;""&lt;&gt;""),IF(COUNTIFS($D$5:D357,"Malcolm",$E$5:E357,E358,$BE$5:BE357,1)=0,MAX($CB$5:CB357)+1,""),"")</f>
        <v/>
      </c>
      <c r="CC358" s="80" t="str">
        <f>IF(AND(BD358=1,D358="proMX",E358&amp;""&lt;&gt;""),IF(COUNTIFS($D$5:D357,"proMX",$E$5:E357,E358,$BD$5:BD357,1)=0,MAX($CC$5:CC357)+1,""),"")</f>
        <v/>
      </c>
      <c r="CD358" s="80" t="str">
        <f>IF(AND(BE358=1,D358="Malcolm",F358&amp;""&lt;&gt;""),IF(COUNTIFS($D$5:D357,"Malcolm",$F$5:F357,F358,$BE$5:BE357,1)=0,MAX($CD$5:CD357)+1,""),"")</f>
        <v/>
      </c>
      <c r="CE358" s="80" t="str">
        <f>IF(AND(BD358=1,D358="proMX",F358&amp;""&lt;&gt;""),IF(COUNTIFS($D$5:D357,"proMX",$F$5:F357,F358,$BD$5:BD357,1)=0,MAX($CE$5:CE357)+1,""),"")</f>
        <v/>
      </c>
      <c r="CF358" s="80" t="str">
        <f>IF(AND(D358="proMX",BD358=1),IF(OR(BF358="Draft",BF358="Submitted",BF358="Returned",BF358="Recall Requested"),MAX($CF$5:CF357)+1,""),"")</f>
        <v/>
      </c>
      <c r="CG358" s="80">
        <f>IF(BD358=0,0,IF(D358="Malcolm",1,MATCH(BF358,{"Draft","Submitted","Approved","Returned","Recall Requested","Cancelled"},0)+1))</f>
        <v>0</v>
      </c>
      <c r="CH358" s="80">
        <f>IF(AND(BF358="Submitted",ISNUMBER(V358)),IF(V358&gt;CFG_MAXD,1,0),0)</f>
        <v>0</v>
      </c>
    </row>
    <row r="359">
      <c r="A359" s="71" t="str">
        <f>IF(Y359=1,ROW()-5,"")</f>
        <v/>
      </c>
      <c r="B359" s="72" t="n"/>
      <c r="C359" s="71" t="str">
        <f>IF(ISNUMBER(B359),CHOOSE(WEEKDAY(B359,2),"Lun","Mar","Mié","Jue","Vie","Sáb","Dom"),"")</f>
        <v/>
      </c>
      <c r="D359" s="73" t="n"/>
      <c r="E359" s="74" t="n"/>
      <c r="F359" s="74" t="n"/>
      <c r="G359" s="74" t="n"/>
      <c r="H359" s="75" t="n"/>
      <c r="I359" s="75" t="n"/>
      <c r="J359" s="76" t="n"/>
      <c r="K359" s="77" t="str">
        <f>IF(AB359=1,ROUND(AG359/60,4),"")</f>
        <v/>
      </c>
      <c r="L359" s="77" t="str">
        <f>IF(BD359=1,ROUND(AP359/60,4),"")</f>
        <v/>
      </c>
      <c r="M359" s="77" t="str">
        <f>IF(BD359=1,ROUND(AQ359/60,4),"")</f>
        <v/>
      </c>
      <c r="N359" s="71" t="str">
        <f>IF(AND(D359="proMX",AB359=1),ROUND(AG359/CFG_BLK,2),"")</f>
        <v/>
      </c>
      <c r="O359" s="77" t="str">
        <f>IF(D359="proMX",IF(BD359=1,ROUND(AG359/60,4),0),"")</f>
        <v/>
      </c>
      <c r="P359" s="78" t="str">
        <f>IF(Y359=0,"",IF(BD359=1,"OK",IF(D359="proMX","Revisar bloques: ","Revisar: ")&amp;BC359))</f>
        <v/>
      </c>
      <c r="Q359" s="78" t="str">
        <f>IF(NOT(ISNUMBER(B359)),"",IF(COUNTIFS(FER_F,INT(B359))&gt;0,"Feriado"&amp;IF(AH359=1," (laborable)"," (no laborable)"),IF(AH359=1,"Laborable",IF(WEEKDAY(B359,2)&gt;5,"Fin de semana","No laborable"))))</f>
        <v/>
      </c>
      <c r="R359" s="73" t="n"/>
      <c r="S359" s="72" t="n"/>
      <c r="T359" s="72" t="n"/>
      <c r="U359" s="74" t="n"/>
      <c r="V359" s="79" t="str">
        <f>IF(AND(D359="proMX",OR(R359="Submitted",R359="Recall Requested"),ISNUMBER(S359)),CFG_TODAY-INT(S359),"")</f>
        <v/>
      </c>
      <c r="W359" s="78" t="str">
        <f>IF(BD359=0,"",IF(BA359&gt;0,"⚠ Se superpone con un registro de la otra empresa",IF(D359="Malcolm",IF(COUNTA(R359,S359,T359)&gt;0,"Estado/fechas proMX se ignoran en Malcolm",""),IF(BF359="Cancelled","Cancelado: excluido de totales",IF(R359="","Sin estado: se trata como Draft",IF(BF359="Submitted",IF(ISNUMBER(V359),IF(V359&gt;CFG_MAXD,"⚠ "&amp;V359&amp;" días en Submitted (máx. "&amp;CFG_MAXD&amp;")",""),"Falta fecha de envío"),IF(BF359="Returned","⚠ Devuelto: corregir y reenviar",IF(BF359="Recall Requested","Retirada solicitada: pendiente",IF(AND(BF359="Approved",NOT(ISNUMBER(T359))),"Falta fecha de aprobación",IF(AND(ISNUMBER(S359),ISNUMBER(T359),T359&lt;S359),"Aprobación anterior al envío","")))))))))</f>
        <v/>
      </c>
      <c r="Y359" s="80">
        <f>IF(COUNTA(B359,D359,E359,F359,G359,H359,I359,J359,R359,S359,T359)&gt;0,1,0)</f>
        <v>0</v>
      </c>
      <c r="Z359" s="80" t="str">
        <f>IF(AND(ISNUMBER(H359),H359&gt;=0,H359&lt;1),ROUND(H359*1440,0),"")</f>
        <v/>
      </c>
      <c r="AA359" s="80" t="str">
        <f>IF(AND(ISNUMBER(I359),I359&gt;=0,I359&lt;1),ROUND(I359*1440,0),"")</f>
        <v/>
      </c>
      <c r="AB359" s="80">
        <f>IF(AND(ISNUMBER(B359),D359&lt;&gt;"",ISNUMBER(Z359),ISNUMBER(AA359)),IF(Z359=AA359,0,1),0)</f>
        <v>0</v>
      </c>
      <c r="AC359" s="80">
        <f>IF(AB359=1,IF(AA359&lt;Z359,1,0),0)</f>
        <v>0</v>
      </c>
      <c r="AD359" s="80">
        <f>IF(AB359=1,IF(AC359=1,1440-Z359+AA359,AA359-Z359),0)</f>
        <v>0</v>
      </c>
      <c r="AE359" s="80">
        <f>IF(J359="",0,IF(ISNUMBER(J359),J359,-1))</f>
        <v>0</v>
      </c>
      <c r="AF359" s="80">
        <f>MIN(MAX(0,AE359),AD359)</f>
        <v>0</v>
      </c>
      <c r="AG359" s="80">
        <f>MAX(0,AD359-MAX(0,AE359))</f>
        <v>0</v>
      </c>
      <c r="AH359" s="80">
        <f>IF(ISNUMBER(B359),IF(AND(INDEX(CFG_WDAYS,WEEKDAY(INT(B359),2))="Sí",IF(D359="proMX",COUNTIFS(FER_F,INT(B359),FER_NLP,"Sí"),COUNTIFS(FER_F,INT(B359),FER_NLM,"Sí"))=0),1,0),0)</f>
        <v>0</v>
      </c>
      <c r="AI359" s="80">
        <f>IF(AC359=1,IF(AND(INDEX(CFG_WDAYS,WEEKDAY(INT(B359)+1,2))="Sí",IF(D359="proMX",COUNTIFS(FER_F,INT(B359)+1,FER_NLP,"Sí"),COUNTIFS(FER_F,INT(B359)+1,FER_NLM,"Sí"))=0),1,0),0)</f>
        <v>0</v>
      </c>
      <c r="AJ359" s="80">
        <f>IF(AC359=1,1440-Z359,AD359)</f>
        <v>0</v>
      </c>
      <c r="AK359" s="80">
        <f>IF(AND(AB359=1,AH359=1),MAX(0,MIN(IF(AC359=1,1440,AA359),CFG_WEM)-MAX(Z359,CFG_WSM)),0)</f>
        <v>0</v>
      </c>
      <c r="AL359" s="80">
        <f>IF(AND(AC359=1,AI359=1),MAX(0,MIN(AA359,CFG_WEM)-CFG_WSM),0)</f>
        <v>0</v>
      </c>
      <c r="AM359" s="80">
        <f>AK359+AL359</f>
        <v>0</v>
      </c>
      <c r="AN359" s="80">
        <f>IF(CFG_BRK="Proporcional",IF(AD359=0,0,AF359*AM359/AD359),IF(CFG_BRK="Extras primero",MIN(AM359,MAX(0,AF359-(AD359-AM359))),MIN(AF359,AM359)))</f>
        <v>0</v>
      </c>
      <c r="AO359" s="80">
        <f>AF359-AN359</f>
        <v>0</v>
      </c>
      <c r="AP359" s="80">
        <f>AM359-AN359</f>
        <v>0</v>
      </c>
      <c r="AQ359" s="80">
        <f>AD359-AM359-AO359</f>
        <v>0</v>
      </c>
      <c r="AR359" s="80">
        <f>IF(AM359=0,0,AK359-AN359*AK359/AM359)</f>
        <v>0</v>
      </c>
      <c r="AS359" s="80">
        <f>IF(AD359-AM359=0,0,(AJ359-AK359)-AO359*(AJ359-AK359)/(AD359-AM359))</f>
        <v>0</v>
      </c>
      <c r="AT359" s="80" t="str">
        <f>IF(AC359=1,INT(B359)+1,"")</f>
        <v/>
      </c>
      <c r="AU359" s="80">
        <f>IF(AND(D359="proMX",R359="Cancelled"),0,1)</f>
        <v>1</v>
      </c>
      <c r="AV359" s="80">
        <f>IF(AND(AB359=1,AU359=1),IF(COUNTIFS($D$5:D358,D359,$B$5:B358,B359,$Z$5:Z358,Z359,$AA$5:AA358,AA359,$F$5:F358,F359&amp;"",$AU$5:AU358,1)&gt;0,1,0),0)</f>
        <v>0</v>
      </c>
      <c r="AW359" s="80" t="str">
        <f>IF(AB359=1,INT(B359)*1440+Z359,"")</f>
        <v/>
      </c>
      <c r="AX359" s="80" t="str">
        <f>IF(AB359=1,AW359+AD359,"")</f>
        <v/>
      </c>
      <c r="AY359" s="80">
        <f>IF(AND(AB359=1,AV359=0,AU359=1),1,0)</f>
        <v>0</v>
      </c>
      <c r="AZ359" s="80">
        <f>IF(AY359=1,COUNTIFS(R_Emp,D359,R_SAbs,"&lt;"&amp;AX359,R_EAbs,"&gt;"&amp;AW359,R_OKey,1)-1,0)</f>
        <v>0</v>
      </c>
      <c r="BA359" s="80">
        <f>IF(AY359=1,COUNTIFS(R_Emp,"&lt;&gt;"&amp;D359,R_SAbs,"&lt;"&amp;AX359,R_EAbs,"&gt;"&amp;AW359,R_OKey,1),0)</f>
        <v>0</v>
      </c>
      <c r="BB359" s="80">
        <f>IF(AND(AB359=1,D359="proMX"),IF(AND(MOD(Z359,CFG_BLK)=0,MOD(AA359,CFG_BLK)=0,MOD(AG359,CFG_BLK)=0,AG359&gt;0),1,0),1)</f>
        <v>1</v>
      </c>
      <c r="BC359" s="80" t="str">
        <f>IF(Y359=0,"",IF(NOT(ISNUMBER(B359)),"Falta fecha o fecha inválida",IF(D359="","Falta empresa",IF(AND(D359&lt;&gt;"Malcolm",D359&lt;&gt;"proMX"),"Empresa inválida",IF(OR(INT(B359)&lt;CFG_PSTART,INT(B359)&gt;CFG_PEND),"Fecha fuera del período",IF(OR(NOT(ISNUMBER(Z359)),NOT(ISNUMBER(AA359))),"Falta hora inicio/fin o formato inválido",IF(AB359=0,"Hora inicio = hora fin",IF(AE359&lt;0,"Descanso inválido",IF(AE359&gt;=AD359,"Descanso ≥ duración",IF(AV359=1,"Registro duplicado",IF(AZ359&gt;0,"Se superpone con otro registro "&amp;D359,IF(BB359=0,"inicio, fin y duración neta deben ser múltiplos de "&amp;CFG_BLK&amp;" min",""))))))))))))</f>
        <v/>
      </c>
      <c r="BD359" s="80">
        <f>IF(AND(Y359=1,BC359=""),1,0)</f>
        <v>0</v>
      </c>
      <c r="BE359" s="80">
        <f>IF(AND(BD359=1,AU359=1),1,0)</f>
        <v>0</v>
      </c>
      <c r="BF359" s="80" t="str">
        <f>IF(AND(D359="proMX",BD359=1),IF(R359="","Draft",R359),"")</f>
        <v/>
      </c>
      <c r="BG359" s="80">
        <f>IF(BD359=1,ROUND(AG359/60,6),0)</f>
        <v>0</v>
      </c>
      <c r="BH359" s="80">
        <f>IF(BE359=1,ROUND(AG359/60,6),0)</f>
        <v>0</v>
      </c>
      <c r="BI359" s="80">
        <f>IF(BE359=1,ROUND(AP359/60,6),0)</f>
        <v>0</v>
      </c>
      <c r="BJ359" s="80">
        <f>IF(BE359=1,ROUND(AQ359/60,6),0)</f>
        <v>0</v>
      </c>
      <c r="BK359" s="80">
        <f>IF(BE359=1,ROUND((AR359+AS359)/60,6),0)</f>
        <v>0</v>
      </c>
      <c r="BL359" s="80">
        <f>ROUND(BH359-BK359,6)</f>
        <v>0</v>
      </c>
      <c r="BM359" s="80">
        <f>IF(BE359=1,ROUND(AR359/60,6),0)</f>
        <v>0</v>
      </c>
      <c r="BN359" s="80">
        <f>ROUND(BI359-BM359,6)</f>
        <v>0</v>
      </c>
      <c r="BO359" s="80">
        <f>IF(BE359=1,ROUND(AS359/60,6),0)</f>
        <v>0</v>
      </c>
      <c r="BP359" s="80">
        <f>ROUND(BJ359-BO359,6)</f>
        <v>0</v>
      </c>
      <c r="BQ359" s="80">
        <f>IF(BE359=1,AW359,0)</f>
        <v>0</v>
      </c>
      <c r="BR359" s="80">
        <f>IF(BE359=1,AX359,0)</f>
        <v>0</v>
      </c>
      <c r="BS359" s="80">
        <f>IF(AND(BE359=1,D359="Malcolm",BA359&gt;0),MIN(BH359,SUMPRODUCT((R_Emp="proMX")*(R_EN&gt;0)*((R_EN-(R_EN&gt;BR359)*(R_EN-BR359))&gt;(R_SN+(R_SN&lt;BQ359)*(BQ359-R_SN)))*((R_EN-(R_EN&gt;BR359)*(R_EN-BR359))-(R_SN+(R_SN&lt;BQ359)*(BQ359-R_SN))))/60),0)</f>
        <v>0</v>
      </c>
      <c r="BT359" s="80">
        <f>IF(AND(BE359=1,D359="proMX"),ROUND(BI359*CFG_RATE+BJ359*CFG_OTRATE,6),0)</f>
        <v>0</v>
      </c>
      <c r="BU359" s="80">
        <f>IF(AND(BD359=1,D359="proMX"),ROUND(AG359/CFG_BLK,6),0)</f>
        <v>0</v>
      </c>
      <c r="BV359" s="80" t="str">
        <f>IF(BF359="Approved",IF(ISNUMBER(T359),INT(T359),INT(B359)),"")</f>
        <v/>
      </c>
      <c r="BW359" s="80">
        <f>IF(ISNUMBER(B359),IF(DB_MON="Todos",1,IF(AND(INT(B359)&gt;=DB_MS,INT(B359)&lt;=DB_ME),1,0)),0)</f>
        <v>0</v>
      </c>
      <c r="BX359" s="80">
        <f>IF(DB_PROJ="Todos",1,IF(E359&amp;""=DB_PROJ&amp;"",1,0))</f>
        <v>1</v>
      </c>
      <c r="BY359" s="80">
        <f>BW359*BX359</f>
        <v>0</v>
      </c>
      <c r="BZ359" s="80" t="str">
        <f>IF(Y359=1,F359&amp;IF(AND(F359&amp;""&lt;&gt;"",E359&amp;""&lt;&gt;"")," · ","")&amp;E359,"")</f>
        <v/>
      </c>
      <c r="CA359" s="80" t="str">
        <f>IF(AND(BD359=1,E359&amp;""&lt;&gt;""),IF(COUNTIFS($E$5:E358,E359,$BD$5:BD358,1)=0,MAX($CA$5:CA358)+1,""),"")</f>
        <v/>
      </c>
      <c r="CB359" s="80" t="str">
        <f>IF(AND(BE359=1,D359="Malcolm",E359&amp;""&lt;&gt;""),IF(COUNTIFS($D$5:D358,"Malcolm",$E$5:E358,E359,$BE$5:BE358,1)=0,MAX($CB$5:CB358)+1,""),"")</f>
        <v/>
      </c>
      <c r="CC359" s="80" t="str">
        <f>IF(AND(BD359=1,D359="proMX",E359&amp;""&lt;&gt;""),IF(COUNTIFS($D$5:D358,"proMX",$E$5:E358,E359,$BD$5:BD358,1)=0,MAX($CC$5:CC358)+1,""),"")</f>
        <v/>
      </c>
      <c r="CD359" s="80" t="str">
        <f>IF(AND(BE359=1,D359="Malcolm",F359&amp;""&lt;&gt;""),IF(COUNTIFS($D$5:D358,"Malcolm",$F$5:F358,F359,$BE$5:BE358,1)=0,MAX($CD$5:CD358)+1,""),"")</f>
        <v/>
      </c>
      <c r="CE359" s="80" t="str">
        <f>IF(AND(BD359=1,D359="proMX",F359&amp;""&lt;&gt;""),IF(COUNTIFS($D$5:D358,"proMX",$F$5:F358,F359,$BD$5:BD358,1)=0,MAX($CE$5:CE358)+1,""),"")</f>
        <v/>
      </c>
      <c r="CF359" s="80" t="str">
        <f>IF(AND(D359="proMX",BD359=1),IF(OR(BF359="Draft",BF359="Submitted",BF359="Returned",BF359="Recall Requested"),MAX($CF$5:CF358)+1,""),"")</f>
        <v/>
      </c>
      <c r="CG359" s="80">
        <f>IF(BD359=0,0,IF(D359="Malcolm",1,MATCH(BF359,{"Draft","Submitted","Approved","Returned","Recall Requested","Cancelled"},0)+1))</f>
        <v>0</v>
      </c>
      <c r="CH359" s="80">
        <f>IF(AND(BF359="Submitted",ISNUMBER(V359)),IF(V359&gt;CFG_MAXD,1,0),0)</f>
        <v>0</v>
      </c>
    </row>
    <row r="360">
      <c r="A360" s="71" t="str">
        <f>IF(Y360=1,ROW()-5,"")</f>
        <v/>
      </c>
      <c r="B360" s="72" t="n"/>
      <c r="C360" s="71" t="str">
        <f>IF(ISNUMBER(B360),CHOOSE(WEEKDAY(B360,2),"Lun","Mar","Mié","Jue","Vie","Sáb","Dom"),"")</f>
        <v/>
      </c>
      <c r="D360" s="73" t="n"/>
      <c r="E360" s="74" t="n"/>
      <c r="F360" s="74" t="n"/>
      <c r="G360" s="74" t="n"/>
      <c r="H360" s="75" t="n"/>
      <c r="I360" s="75" t="n"/>
      <c r="J360" s="76" t="n"/>
      <c r="K360" s="77" t="str">
        <f>IF(AB360=1,ROUND(AG360/60,4),"")</f>
        <v/>
      </c>
      <c r="L360" s="77" t="str">
        <f>IF(BD360=1,ROUND(AP360/60,4),"")</f>
        <v/>
      </c>
      <c r="M360" s="77" t="str">
        <f>IF(BD360=1,ROUND(AQ360/60,4),"")</f>
        <v/>
      </c>
      <c r="N360" s="71" t="str">
        <f>IF(AND(D360="proMX",AB360=1),ROUND(AG360/CFG_BLK,2),"")</f>
        <v/>
      </c>
      <c r="O360" s="77" t="str">
        <f>IF(D360="proMX",IF(BD360=1,ROUND(AG360/60,4),0),"")</f>
        <v/>
      </c>
      <c r="P360" s="78" t="str">
        <f>IF(Y360=0,"",IF(BD360=1,"OK",IF(D360="proMX","Revisar bloques: ","Revisar: ")&amp;BC360))</f>
        <v/>
      </c>
      <c r="Q360" s="78" t="str">
        <f>IF(NOT(ISNUMBER(B360)),"",IF(COUNTIFS(FER_F,INT(B360))&gt;0,"Feriado"&amp;IF(AH360=1," (laborable)"," (no laborable)"),IF(AH360=1,"Laborable",IF(WEEKDAY(B360,2)&gt;5,"Fin de semana","No laborable"))))</f>
        <v/>
      </c>
      <c r="R360" s="73" t="n"/>
      <c r="S360" s="72" t="n"/>
      <c r="T360" s="72" t="n"/>
      <c r="U360" s="74" t="n"/>
      <c r="V360" s="79" t="str">
        <f>IF(AND(D360="proMX",OR(R360="Submitted",R360="Recall Requested"),ISNUMBER(S360)),CFG_TODAY-INT(S360),"")</f>
        <v/>
      </c>
      <c r="W360" s="78" t="str">
        <f>IF(BD360=0,"",IF(BA360&gt;0,"⚠ Se superpone con un registro de la otra empresa",IF(D360="Malcolm",IF(COUNTA(R360,S360,T360)&gt;0,"Estado/fechas proMX se ignoran en Malcolm",""),IF(BF360="Cancelled","Cancelado: excluido de totales",IF(R360="","Sin estado: se trata como Draft",IF(BF360="Submitted",IF(ISNUMBER(V360),IF(V360&gt;CFG_MAXD,"⚠ "&amp;V360&amp;" días en Submitted (máx. "&amp;CFG_MAXD&amp;")",""),"Falta fecha de envío"),IF(BF360="Returned","⚠ Devuelto: corregir y reenviar",IF(BF360="Recall Requested","Retirada solicitada: pendiente",IF(AND(BF360="Approved",NOT(ISNUMBER(T360))),"Falta fecha de aprobación",IF(AND(ISNUMBER(S360),ISNUMBER(T360),T360&lt;S360),"Aprobación anterior al envío","")))))))))</f>
        <v/>
      </c>
      <c r="Y360" s="80">
        <f>IF(COUNTA(B360,D360,E360,F360,G360,H360,I360,J360,R360,S360,T360)&gt;0,1,0)</f>
        <v>0</v>
      </c>
      <c r="Z360" s="80" t="str">
        <f>IF(AND(ISNUMBER(H360),H360&gt;=0,H360&lt;1),ROUND(H360*1440,0),"")</f>
        <v/>
      </c>
      <c r="AA360" s="80" t="str">
        <f>IF(AND(ISNUMBER(I360),I360&gt;=0,I360&lt;1),ROUND(I360*1440,0),"")</f>
        <v/>
      </c>
      <c r="AB360" s="80">
        <f>IF(AND(ISNUMBER(B360),D360&lt;&gt;"",ISNUMBER(Z360),ISNUMBER(AA360)),IF(Z360=AA360,0,1),0)</f>
        <v>0</v>
      </c>
      <c r="AC360" s="80">
        <f>IF(AB360=1,IF(AA360&lt;Z360,1,0),0)</f>
        <v>0</v>
      </c>
      <c r="AD360" s="80">
        <f>IF(AB360=1,IF(AC360=1,1440-Z360+AA360,AA360-Z360),0)</f>
        <v>0</v>
      </c>
      <c r="AE360" s="80">
        <f>IF(J360="",0,IF(ISNUMBER(J360),J360,-1))</f>
        <v>0</v>
      </c>
      <c r="AF360" s="80">
        <f>MIN(MAX(0,AE360),AD360)</f>
        <v>0</v>
      </c>
      <c r="AG360" s="80">
        <f>MAX(0,AD360-MAX(0,AE360))</f>
        <v>0</v>
      </c>
      <c r="AH360" s="80">
        <f>IF(ISNUMBER(B360),IF(AND(INDEX(CFG_WDAYS,WEEKDAY(INT(B360),2))="Sí",IF(D360="proMX",COUNTIFS(FER_F,INT(B360),FER_NLP,"Sí"),COUNTIFS(FER_F,INT(B360),FER_NLM,"Sí"))=0),1,0),0)</f>
        <v>0</v>
      </c>
      <c r="AI360" s="80">
        <f>IF(AC360=1,IF(AND(INDEX(CFG_WDAYS,WEEKDAY(INT(B360)+1,2))="Sí",IF(D360="proMX",COUNTIFS(FER_F,INT(B360)+1,FER_NLP,"Sí"),COUNTIFS(FER_F,INT(B360)+1,FER_NLM,"Sí"))=0),1,0),0)</f>
        <v>0</v>
      </c>
      <c r="AJ360" s="80">
        <f>IF(AC360=1,1440-Z360,AD360)</f>
        <v>0</v>
      </c>
      <c r="AK360" s="80">
        <f>IF(AND(AB360=1,AH360=1),MAX(0,MIN(IF(AC360=1,1440,AA360),CFG_WEM)-MAX(Z360,CFG_WSM)),0)</f>
        <v>0</v>
      </c>
      <c r="AL360" s="80">
        <f>IF(AND(AC360=1,AI360=1),MAX(0,MIN(AA360,CFG_WEM)-CFG_WSM),0)</f>
        <v>0</v>
      </c>
      <c r="AM360" s="80">
        <f>AK360+AL360</f>
        <v>0</v>
      </c>
      <c r="AN360" s="80">
        <f>IF(CFG_BRK="Proporcional",IF(AD360=0,0,AF360*AM360/AD360),IF(CFG_BRK="Extras primero",MIN(AM360,MAX(0,AF360-(AD360-AM360))),MIN(AF360,AM360)))</f>
        <v>0</v>
      </c>
      <c r="AO360" s="80">
        <f>AF360-AN360</f>
        <v>0</v>
      </c>
      <c r="AP360" s="80">
        <f>AM360-AN360</f>
        <v>0</v>
      </c>
      <c r="AQ360" s="80">
        <f>AD360-AM360-AO360</f>
        <v>0</v>
      </c>
      <c r="AR360" s="80">
        <f>IF(AM360=0,0,AK360-AN360*AK360/AM360)</f>
        <v>0</v>
      </c>
      <c r="AS360" s="80">
        <f>IF(AD360-AM360=0,0,(AJ360-AK360)-AO360*(AJ360-AK360)/(AD360-AM360))</f>
        <v>0</v>
      </c>
      <c r="AT360" s="80" t="str">
        <f>IF(AC360=1,INT(B360)+1,"")</f>
        <v/>
      </c>
      <c r="AU360" s="80">
        <f>IF(AND(D360="proMX",R360="Cancelled"),0,1)</f>
        <v>1</v>
      </c>
      <c r="AV360" s="80">
        <f>IF(AND(AB360=1,AU360=1),IF(COUNTIFS($D$5:D359,D360,$B$5:B359,B360,$Z$5:Z359,Z360,$AA$5:AA359,AA360,$F$5:F359,F360&amp;"",$AU$5:AU359,1)&gt;0,1,0),0)</f>
        <v>0</v>
      </c>
      <c r="AW360" s="80" t="str">
        <f>IF(AB360=1,INT(B360)*1440+Z360,"")</f>
        <v/>
      </c>
      <c r="AX360" s="80" t="str">
        <f>IF(AB360=1,AW360+AD360,"")</f>
        <v/>
      </c>
      <c r="AY360" s="80">
        <f>IF(AND(AB360=1,AV360=0,AU360=1),1,0)</f>
        <v>0</v>
      </c>
      <c r="AZ360" s="80">
        <f>IF(AY360=1,COUNTIFS(R_Emp,D360,R_SAbs,"&lt;"&amp;AX360,R_EAbs,"&gt;"&amp;AW360,R_OKey,1)-1,0)</f>
        <v>0</v>
      </c>
      <c r="BA360" s="80">
        <f>IF(AY360=1,COUNTIFS(R_Emp,"&lt;&gt;"&amp;D360,R_SAbs,"&lt;"&amp;AX360,R_EAbs,"&gt;"&amp;AW360,R_OKey,1),0)</f>
        <v>0</v>
      </c>
      <c r="BB360" s="80">
        <f>IF(AND(AB360=1,D360="proMX"),IF(AND(MOD(Z360,CFG_BLK)=0,MOD(AA360,CFG_BLK)=0,MOD(AG360,CFG_BLK)=0,AG360&gt;0),1,0),1)</f>
        <v>1</v>
      </c>
      <c r="BC360" s="80" t="str">
        <f>IF(Y360=0,"",IF(NOT(ISNUMBER(B360)),"Falta fecha o fecha inválida",IF(D360="","Falta empresa",IF(AND(D360&lt;&gt;"Malcolm",D360&lt;&gt;"proMX"),"Empresa inválida",IF(OR(INT(B360)&lt;CFG_PSTART,INT(B360)&gt;CFG_PEND),"Fecha fuera del período",IF(OR(NOT(ISNUMBER(Z360)),NOT(ISNUMBER(AA360))),"Falta hora inicio/fin o formato inválido",IF(AB360=0,"Hora inicio = hora fin",IF(AE360&lt;0,"Descanso inválido",IF(AE360&gt;=AD360,"Descanso ≥ duración",IF(AV360=1,"Registro duplicado",IF(AZ360&gt;0,"Se superpone con otro registro "&amp;D360,IF(BB360=0,"inicio, fin y duración neta deben ser múltiplos de "&amp;CFG_BLK&amp;" min",""))))))))))))</f>
        <v/>
      </c>
      <c r="BD360" s="80">
        <f>IF(AND(Y360=1,BC360=""),1,0)</f>
        <v>0</v>
      </c>
      <c r="BE360" s="80">
        <f>IF(AND(BD360=1,AU360=1),1,0)</f>
        <v>0</v>
      </c>
      <c r="BF360" s="80" t="str">
        <f>IF(AND(D360="proMX",BD360=1),IF(R360="","Draft",R360),"")</f>
        <v/>
      </c>
      <c r="BG360" s="80">
        <f>IF(BD360=1,ROUND(AG360/60,6),0)</f>
        <v>0</v>
      </c>
      <c r="BH360" s="80">
        <f>IF(BE360=1,ROUND(AG360/60,6),0)</f>
        <v>0</v>
      </c>
      <c r="BI360" s="80">
        <f>IF(BE360=1,ROUND(AP360/60,6),0)</f>
        <v>0</v>
      </c>
      <c r="BJ360" s="80">
        <f>IF(BE360=1,ROUND(AQ360/60,6),0)</f>
        <v>0</v>
      </c>
      <c r="BK360" s="80">
        <f>IF(BE360=1,ROUND((AR360+AS360)/60,6),0)</f>
        <v>0</v>
      </c>
      <c r="BL360" s="80">
        <f>ROUND(BH360-BK360,6)</f>
        <v>0</v>
      </c>
      <c r="BM360" s="80">
        <f>IF(BE360=1,ROUND(AR360/60,6),0)</f>
        <v>0</v>
      </c>
      <c r="BN360" s="80">
        <f>ROUND(BI360-BM360,6)</f>
        <v>0</v>
      </c>
      <c r="BO360" s="80">
        <f>IF(BE360=1,ROUND(AS360/60,6),0)</f>
        <v>0</v>
      </c>
      <c r="BP360" s="80">
        <f>ROUND(BJ360-BO360,6)</f>
        <v>0</v>
      </c>
      <c r="BQ360" s="80">
        <f>IF(BE360=1,AW360,0)</f>
        <v>0</v>
      </c>
      <c r="BR360" s="80">
        <f>IF(BE360=1,AX360,0)</f>
        <v>0</v>
      </c>
      <c r="BS360" s="80">
        <f>IF(AND(BE360=1,D360="Malcolm",BA360&gt;0),MIN(BH360,SUMPRODUCT((R_Emp="proMX")*(R_EN&gt;0)*((R_EN-(R_EN&gt;BR360)*(R_EN-BR360))&gt;(R_SN+(R_SN&lt;BQ360)*(BQ360-R_SN)))*((R_EN-(R_EN&gt;BR360)*(R_EN-BR360))-(R_SN+(R_SN&lt;BQ360)*(BQ360-R_SN))))/60),0)</f>
        <v>0</v>
      </c>
      <c r="BT360" s="80">
        <f>IF(AND(BE360=1,D360="proMX"),ROUND(BI360*CFG_RATE+BJ360*CFG_OTRATE,6),0)</f>
        <v>0</v>
      </c>
      <c r="BU360" s="80">
        <f>IF(AND(BD360=1,D360="proMX"),ROUND(AG360/CFG_BLK,6),0)</f>
        <v>0</v>
      </c>
      <c r="BV360" s="80" t="str">
        <f>IF(BF360="Approved",IF(ISNUMBER(T360),INT(T360),INT(B360)),"")</f>
        <v/>
      </c>
      <c r="BW360" s="80">
        <f>IF(ISNUMBER(B360),IF(DB_MON="Todos",1,IF(AND(INT(B360)&gt;=DB_MS,INT(B360)&lt;=DB_ME),1,0)),0)</f>
        <v>0</v>
      </c>
      <c r="BX360" s="80">
        <f>IF(DB_PROJ="Todos",1,IF(E360&amp;""=DB_PROJ&amp;"",1,0))</f>
        <v>1</v>
      </c>
      <c r="BY360" s="80">
        <f>BW360*BX360</f>
        <v>0</v>
      </c>
      <c r="BZ360" s="80" t="str">
        <f>IF(Y360=1,F360&amp;IF(AND(F360&amp;""&lt;&gt;"",E360&amp;""&lt;&gt;"")," · ","")&amp;E360,"")</f>
        <v/>
      </c>
      <c r="CA360" s="80" t="str">
        <f>IF(AND(BD360=1,E360&amp;""&lt;&gt;""),IF(COUNTIFS($E$5:E359,E360,$BD$5:BD359,1)=0,MAX($CA$5:CA359)+1,""),"")</f>
        <v/>
      </c>
      <c r="CB360" s="80" t="str">
        <f>IF(AND(BE360=1,D360="Malcolm",E360&amp;""&lt;&gt;""),IF(COUNTIFS($D$5:D359,"Malcolm",$E$5:E359,E360,$BE$5:BE359,1)=0,MAX($CB$5:CB359)+1,""),"")</f>
        <v/>
      </c>
      <c r="CC360" s="80" t="str">
        <f>IF(AND(BD360=1,D360="proMX",E360&amp;""&lt;&gt;""),IF(COUNTIFS($D$5:D359,"proMX",$E$5:E359,E360,$BD$5:BD359,1)=0,MAX($CC$5:CC359)+1,""),"")</f>
        <v/>
      </c>
      <c r="CD360" s="80" t="str">
        <f>IF(AND(BE360=1,D360="Malcolm",F360&amp;""&lt;&gt;""),IF(COUNTIFS($D$5:D359,"Malcolm",$F$5:F359,F360,$BE$5:BE359,1)=0,MAX($CD$5:CD359)+1,""),"")</f>
        <v/>
      </c>
      <c r="CE360" s="80" t="str">
        <f>IF(AND(BD360=1,D360="proMX",F360&amp;""&lt;&gt;""),IF(COUNTIFS($D$5:D359,"proMX",$F$5:F359,F360,$BD$5:BD359,1)=0,MAX($CE$5:CE359)+1,""),"")</f>
        <v/>
      </c>
      <c r="CF360" s="80" t="str">
        <f>IF(AND(D360="proMX",BD360=1),IF(OR(BF360="Draft",BF360="Submitted",BF360="Returned",BF360="Recall Requested"),MAX($CF$5:CF359)+1,""),"")</f>
        <v/>
      </c>
      <c r="CG360" s="80">
        <f>IF(BD360=0,0,IF(D360="Malcolm",1,MATCH(BF360,{"Draft","Submitted","Approved","Returned","Recall Requested","Cancelled"},0)+1))</f>
        <v>0</v>
      </c>
      <c r="CH360" s="80">
        <f>IF(AND(BF360="Submitted",ISNUMBER(V360)),IF(V360&gt;CFG_MAXD,1,0),0)</f>
        <v>0</v>
      </c>
    </row>
    <row r="361">
      <c r="A361" s="71" t="str">
        <f>IF(Y361=1,ROW()-5,"")</f>
        <v/>
      </c>
      <c r="B361" s="72" t="n"/>
      <c r="C361" s="71" t="str">
        <f>IF(ISNUMBER(B361),CHOOSE(WEEKDAY(B361,2),"Lun","Mar","Mié","Jue","Vie","Sáb","Dom"),"")</f>
        <v/>
      </c>
      <c r="D361" s="73" t="n"/>
      <c r="E361" s="74" t="n"/>
      <c r="F361" s="74" t="n"/>
      <c r="G361" s="74" t="n"/>
      <c r="H361" s="75" t="n"/>
      <c r="I361" s="75" t="n"/>
      <c r="J361" s="76" t="n"/>
      <c r="K361" s="77" t="str">
        <f>IF(AB361=1,ROUND(AG361/60,4),"")</f>
        <v/>
      </c>
      <c r="L361" s="77" t="str">
        <f>IF(BD361=1,ROUND(AP361/60,4),"")</f>
        <v/>
      </c>
      <c r="M361" s="77" t="str">
        <f>IF(BD361=1,ROUND(AQ361/60,4),"")</f>
        <v/>
      </c>
      <c r="N361" s="71" t="str">
        <f>IF(AND(D361="proMX",AB361=1),ROUND(AG361/CFG_BLK,2),"")</f>
        <v/>
      </c>
      <c r="O361" s="77" t="str">
        <f>IF(D361="proMX",IF(BD361=1,ROUND(AG361/60,4),0),"")</f>
        <v/>
      </c>
      <c r="P361" s="78" t="str">
        <f>IF(Y361=0,"",IF(BD361=1,"OK",IF(D361="proMX","Revisar bloques: ","Revisar: ")&amp;BC361))</f>
        <v/>
      </c>
      <c r="Q361" s="78" t="str">
        <f>IF(NOT(ISNUMBER(B361)),"",IF(COUNTIFS(FER_F,INT(B361))&gt;0,"Feriado"&amp;IF(AH361=1," (laborable)"," (no laborable)"),IF(AH361=1,"Laborable",IF(WEEKDAY(B361,2)&gt;5,"Fin de semana","No laborable"))))</f>
        <v/>
      </c>
      <c r="R361" s="73" t="n"/>
      <c r="S361" s="72" t="n"/>
      <c r="T361" s="72" t="n"/>
      <c r="U361" s="74" t="n"/>
      <c r="V361" s="79" t="str">
        <f>IF(AND(D361="proMX",OR(R361="Submitted",R361="Recall Requested"),ISNUMBER(S361)),CFG_TODAY-INT(S361),"")</f>
        <v/>
      </c>
      <c r="W361" s="78" t="str">
        <f>IF(BD361=0,"",IF(BA361&gt;0,"⚠ Se superpone con un registro de la otra empresa",IF(D361="Malcolm",IF(COUNTA(R361,S361,T361)&gt;0,"Estado/fechas proMX se ignoran en Malcolm",""),IF(BF361="Cancelled","Cancelado: excluido de totales",IF(R361="","Sin estado: se trata como Draft",IF(BF361="Submitted",IF(ISNUMBER(V361),IF(V361&gt;CFG_MAXD,"⚠ "&amp;V361&amp;" días en Submitted (máx. "&amp;CFG_MAXD&amp;")",""),"Falta fecha de envío"),IF(BF361="Returned","⚠ Devuelto: corregir y reenviar",IF(BF361="Recall Requested","Retirada solicitada: pendiente",IF(AND(BF361="Approved",NOT(ISNUMBER(T361))),"Falta fecha de aprobación",IF(AND(ISNUMBER(S361),ISNUMBER(T361),T361&lt;S361),"Aprobación anterior al envío","")))))))))</f>
        <v/>
      </c>
      <c r="Y361" s="80">
        <f>IF(COUNTA(B361,D361,E361,F361,G361,H361,I361,J361,R361,S361,T361)&gt;0,1,0)</f>
        <v>0</v>
      </c>
      <c r="Z361" s="80" t="str">
        <f>IF(AND(ISNUMBER(H361),H361&gt;=0,H361&lt;1),ROUND(H361*1440,0),"")</f>
        <v/>
      </c>
      <c r="AA361" s="80" t="str">
        <f>IF(AND(ISNUMBER(I361),I361&gt;=0,I361&lt;1),ROUND(I361*1440,0),"")</f>
        <v/>
      </c>
      <c r="AB361" s="80">
        <f>IF(AND(ISNUMBER(B361),D361&lt;&gt;"",ISNUMBER(Z361),ISNUMBER(AA361)),IF(Z361=AA361,0,1),0)</f>
        <v>0</v>
      </c>
      <c r="AC361" s="80">
        <f>IF(AB361=1,IF(AA361&lt;Z361,1,0),0)</f>
        <v>0</v>
      </c>
      <c r="AD361" s="80">
        <f>IF(AB361=1,IF(AC361=1,1440-Z361+AA361,AA361-Z361),0)</f>
        <v>0</v>
      </c>
      <c r="AE361" s="80">
        <f>IF(J361="",0,IF(ISNUMBER(J361),J361,-1))</f>
        <v>0</v>
      </c>
      <c r="AF361" s="80">
        <f>MIN(MAX(0,AE361),AD361)</f>
        <v>0</v>
      </c>
      <c r="AG361" s="80">
        <f>MAX(0,AD361-MAX(0,AE361))</f>
        <v>0</v>
      </c>
      <c r="AH361" s="80">
        <f>IF(ISNUMBER(B361),IF(AND(INDEX(CFG_WDAYS,WEEKDAY(INT(B361),2))="Sí",IF(D361="proMX",COUNTIFS(FER_F,INT(B361),FER_NLP,"Sí"),COUNTIFS(FER_F,INT(B361),FER_NLM,"Sí"))=0),1,0),0)</f>
        <v>0</v>
      </c>
      <c r="AI361" s="80">
        <f>IF(AC361=1,IF(AND(INDEX(CFG_WDAYS,WEEKDAY(INT(B361)+1,2))="Sí",IF(D361="proMX",COUNTIFS(FER_F,INT(B361)+1,FER_NLP,"Sí"),COUNTIFS(FER_F,INT(B361)+1,FER_NLM,"Sí"))=0),1,0),0)</f>
        <v>0</v>
      </c>
      <c r="AJ361" s="80">
        <f>IF(AC361=1,1440-Z361,AD361)</f>
        <v>0</v>
      </c>
      <c r="AK361" s="80">
        <f>IF(AND(AB361=1,AH361=1),MAX(0,MIN(IF(AC361=1,1440,AA361),CFG_WEM)-MAX(Z361,CFG_WSM)),0)</f>
        <v>0</v>
      </c>
      <c r="AL361" s="80">
        <f>IF(AND(AC361=1,AI361=1),MAX(0,MIN(AA361,CFG_WEM)-CFG_WSM),0)</f>
        <v>0</v>
      </c>
      <c r="AM361" s="80">
        <f>AK361+AL361</f>
        <v>0</v>
      </c>
      <c r="AN361" s="80">
        <f>IF(CFG_BRK="Proporcional",IF(AD361=0,0,AF361*AM361/AD361),IF(CFG_BRK="Extras primero",MIN(AM361,MAX(0,AF361-(AD361-AM361))),MIN(AF361,AM361)))</f>
        <v>0</v>
      </c>
      <c r="AO361" s="80">
        <f>AF361-AN361</f>
        <v>0</v>
      </c>
      <c r="AP361" s="80">
        <f>AM361-AN361</f>
        <v>0</v>
      </c>
      <c r="AQ361" s="80">
        <f>AD361-AM361-AO361</f>
        <v>0</v>
      </c>
      <c r="AR361" s="80">
        <f>IF(AM361=0,0,AK361-AN361*AK361/AM361)</f>
        <v>0</v>
      </c>
      <c r="AS361" s="80">
        <f>IF(AD361-AM361=0,0,(AJ361-AK361)-AO361*(AJ361-AK361)/(AD361-AM361))</f>
        <v>0</v>
      </c>
      <c r="AT361" s="80" t="str">
        <f>IF(AC361=1,INT(B361)+1,"")</f>
        <v/>
      </c>
      <c r="AU361" s="80">
        <f>IF(AND(D361="proMX",R361="Cancelled"),0,1)</f>
        <v>1</v>
      </c>
      <c r="AV361" s="80">
        <f>IF(AND(AB361=1,AU361=1),IF(COUNTIFS($D$5:D360,D361,$B$5:B360,B361,$Z$5:Z360,Z361,$AA$5:AA360,AA361,$F$5:F360,F361&amp;"",$AU$5:AU360,1)&gt;0,1,0),0)</f>
        <v>0</v>
      </c>
      <c r="AW361" s="80" t="str">
        <f>IF(AB361=1,INT(B361)*1440+Z361,"")</f>
        <v/>
      </c>
      <c r="AX361" s="80" t="str">
        <f>IF(AB361=1,AW361+AD361,"")</f>
        <v/>
      </c>
      <c r="AY361" s="80">
        <f>IF(AND(AB361=1,AV361=0,AU361=1),1,0)</f>
        <v>0</v>
      </c>
      <c r="AZ361" s="80">
        <f>IF(AY361=1,COUNTIFS(R_Emp,D361,R_SAbs,"&lt;"&amp;AX361,R_EAbs,"&gt;"&amp;AW361,R_OKey,1)-1,0)</f>
        <v>0</v>
      </c>
      <c r="BA361" s="80">
        <f>IF(AY361=1,COUNTIFS(R_Emp,"&lt;&gt;"&amp;D361,R_SAbs,"&lt;"&amp;AX361,R_EAbs,"&gt;"&amp;AW361,R_OKey,1),0)</f>
        <v>0</v>
      </c>
      <c r="BB361" s="80">
        <f>IF(AND(AB361=1,D361="proMX"),IF(AND(MOD(Z361,CFG_BLK)=0,MOD(AA361,CFG_BLK)=0,MOD(AG361,CFG_BLK)=0,AG361&gt;0),1,0),1)</f>
        <v>1</v>
      </c>
      <c r="BC361" s="80" t="str">
        <f>IF(Y361=0,"",IF(NOT(ISNUMBER(B361)),"Falta fecha o fecha inválida",IF(D361="","Falta empresa",IF(AND(D361&lt;&gt;"Malcolm",D361&lt;&gt;"proMX"),"Empresa inválida",IF(OR(INT(B361)&lt;CFG_PSTART,INT(B361)&gt;CFG_PEND),"Fecha fuera del período",IF(OR(NOT(ISNUMBER(Z361)),NOT(ISNUMBER(AA361))),"Falta hora inicio/fin o formato inválido",IF(AB361=0,"Hora inicio = hora fin",IF(AE361&lt;0,"Descanso inválido",IF(AE361&gt;=AD361,"Descanso ≥ duración",IF(AV361=1,"Registro duplicado",IF(AZ361&gt;0,"Se superpone con otro registro "&amp;D361,IF(BB361=0,"inicio, fin y duración neta deben ser múltiplos de "&amp;CFG_BLK&amp;" min",""))))))))))))</f>
        <v/>
      </c>
      <c r="BD361" s="80">
        <f>IF(AND(Y361=1,BC361=""),1,0)</f>
        <v>0</v>
      </c>
      <c r="BE361" s="80">
        <f>IF(AND(BD361=1,AU361=1),1,0)</f>
        <v>0</v>
      </c>
      <c r="BF361" s="80" t="str">
        <f>IF(AND(D361="proMX",BD361=1),IF(R361="","Draft",R361),"")</f>
        <v/>
      </c>
      <c r="BG361" s="80">
        <f>IF(BD361=1,ROUND(AG361/60,6),0)</f>
        <v>0</v>
      </c>
      <c r="BH361" s="80">
        <f>IF(BE361=1,ROUND(AG361/60,6),0)</f>
        <v>0</v>
      </c>
      <c r="BI361" s="80">
        <f>IF(BE361=1,ROUND(AP361/60,6),0)</f>
        <v>0</v>
      </c>
      <c r="BJ361" s="80">
        <f>IF(BE361=1,ROUND(AQ361/60,6),0)</f>
        <v>0</v>
      </c>
      <c r="BK361" s="80">
        <f>IF(BE361=1,ROUND((AR361+AS361)/60,6),0)</f>
        <v>0</v>
      </c>
      <c r="BL361" s="80">
        <f>ROUND(BH361-BK361,6)</f>
        <v>0</v>
      </c>
      <c r="BM361" s="80">
        <f>IF(BE361=1,ROUND(AR361/60,6),0)</f>
        <v>0</v>
      </c>
      <c r="BN361" s="80">
        <f>ROUND(BI361-BM361,6)</f>
        <v>0</v>
      </c>
      <c r="BO361" s="80">
        <f>IF(BE361=1,ROUND(AS361/60,6),0)</f>
        <v>0</v>
      </c>
      <c r="BP361" s="80">
        <f>ROUND(BJ361-BO361,6)</f>
        <v>0</v>
      </c>
      <c r="BQ361" s="80">
        <f>IF(BE361=1,AW361,0)</f>
        <v>0</v>
      </c>
      <c r="BR361" s="80">
        <f>IF(BE361=1,AX361,0)</f>
        <v>0</v>
      </c>
      <c r="BS361" s="80">
        <f>IF(AND(BE361=1,D361="Malcolm",BA361&gt;0),MIN(BH361,SUMPRODUCT((R_Emp="proMX")*(R_EN&gt;0)*((R_EN-(R_EN&gt;BR361)*(R_EN-BR361))&gt;(R_SN+(R_SN&lt;BQ361)*(BQ361-R_SN)))*((R_EN-(R_EN&gt;BR361)*(R_EN-BR361))-(R_SN+(R_SN&lt;BQ361)*(BQ361-R_SN))))/60),0)</f>
        <v>0</v>
      </c>
      <c r="BT361" s="80">
        <f>IF(AND(BE361=1,D361="proMX"),ROUND(BI361*CFG_RATE+BJ361*CFG_OTRATE,6),0)</f>
        <v>0</v>
      </c>
      <c r="BU361" s="80">
        <f>IF(AND(BD361=1,D361="proMX"),ROUND(AG361/CFG_BLK,6),0)</f>
        <v>0</v>
      </c>
      <c r="BV361" s="80" t="str">
        <f>IF(BF361="Approved",IF(ISNUMBER(T361),INT(T361),INT(B361)),"")</f>
        <v/>
      </c>
      <c r="BW361" s="80">
        <f>IF(ISNUMBER(B361),IF(DB_MON="Todos",1,IF(AND(INT(B361)&gt;=DB_MS,INT(B361)&lt;=DB_ME),1,0)),0)</f>
        <v>0</v>
      </c>
      <c r="BX361" s="80">
        <f>IF(DB_PROJ="Todos",1,IF(E361&amp;""=DB_PROJ&amp;"",1,0))</f>
        <v>1</v>
      </c>
      <c r="BY361" s="80">
        <f>BW361*BX361</f>
        <v>0</v>
      </c>
      <c r="BZ361" s="80" t="str">
        <f>IF(Y361=1,F361&amp;IF(AND(F361&amp;""&lt;&gt;"",E361&amp;""&lt;&gt;"")," · ","")&amp;E361,"")</f>
        <v/>
      </c>
      <c r="CA361" s="80" t="str">
        <f>IF(AND(BD361=1,E361&amp;""&lt;&gt;""),IF(COUNTIFS($E$5:E360,E361,$BD$5:BD360,1)=0,MAX($CA$5:CA360)+1,""),"")</f>
        <v/>
      </c>
      <c r="CB361" s="80" t="str">
        <f>IF(AND(BE361=1,D361="Malcolm",E361&amp;""&lt;&gt;""),IF(COUNTIFS($D$5:D360,"Malcolm",$E$5:E360,E361,$BE$5:BE360,1)=0,MAX($CB$5:CB360)+1,""),"")</f>
        <v/>
      </c>
      <c r="CC361" s="80" t="str">
        <f>IF(AND(BD361=1,D361="proMX",E361&amp;""&lt;&gt;""),IF(COUNTIFS($D$5:D360,"proMX",$E$5:E360,E361,$BD$5:BD360,1)=0,MAX($CC$5:CC360)+1,""),"")</f>
        <v/>
      </c>
      <c r="CD361" s="80" t="str">
        <f>IF(AND(BE361=1,D361="Malcolm",F361&amp;""&lt;&gt;""),IF(COUNTIFS($D$5:D360,"Malcolm",$F$5:F360,F361,$BE$5:BE360,1)=0,MAX($CD$5:CD360)+1,""),"")</f>
        <v/>
      </c>
      <c r="CE361" s="80" t="str">
        <f>IF(AND(BD361=1,D361="proMX",F361&amp;""&lt;&gt;""),IF(COUNTIFS($D$5:D360,"proMX",$F$5:F360,F361,$BD$5:BD360,1)=0,MAX($CE$5:CE360)+1,""),"")</f>
        <v/>
      </c>
      <c r="CF361" s="80" t="str">
        <f>IF(AND(D361="proMX",BD361=1),IF(OR(BF361="Draft",BF361="Submitted",BF361="Returned",BF361="Recall Requested"),MAX($CF$5:CF360)+1,""),"")</f>
        <v/>
      </c>
      <c r="CG361" s="80">
        <f>IF(BD361=0,0,IF(D361="Malcolm",1,MATCH(BF361,{"Draft","Submitted","Approved","Returned","Recall Requested","Cancelled"},0)+1))</f>
        <v>0</v>
      </c>
      <c r="CH361" s="80">
        <f>IF(AND(BF361="Submitted",ISNUMBER(V361)),IF(V361&gt;CFG_MAXD,1,0),0)</f>
        <v>0</v>
      </c>
    </row>
    <row r="362">
      <c r="A362" s="71" t="str">
        <f>IF(Y362=1,ROW()-5,"")</f>
        <v/>
      </c>
      <c r="B362" s="72" t="n"/>
      <c r="C362" s="71" t="str">
        <f>IF(ISNUMBER(B362),CHOOSE(WEEKDAY(B362,2),"Lun","Mar","Mié","Jue","Vie","Sáb","Dom"),"")</f>
        <v/>
      </c>
      <c r="D362" s="73" t="n"/>
      <c r="E362" s="74" t="n"/>
      <c r="F362" s="74" t="n"/>
      <c r="G362" s="74" t="n"/>
      <c r="H362" s="75" t="n"/>
      <c r="I362" s="75" t="n"/>
      <c r="J362" s="76" t="n"/>
      <c r="K362" s="77" t="str">
        <f>IF(AB362=1,ROUND(AG362/60,4),"")</f>
        <v/>
      </c>
      <c r="L362" s="77" t="str">
        <f>IF(BD362=1,ROUND(AP362/60,4),"")</f>
        <v/>
      </c>
      <c r="M362" s="77" t="str">
        <f>IF(BD362=1,ROUND(AQ362/60,4),"")</f>
        <v/>
      </c>
      <c r="N362" s="71" t="str">
        <f>IF(AND(D362="proMX",AB362=1),ROUND(AG362/CFG_BLK,2),"")</f>
        <v/>
      </c>
      <c r="O362" s="77" t="str">
        <f>IF(D362="proMX",IF(BD362=1,ROUND(AG362/60,4),0),"")</f>
        <v/>
      </c>
      <c r="P362" s="78" t="str">
        <f>IF(Y362=0,"",IF(BD362=1,"OK",IF(D362="proMX","Revisar bloques: ","Revisar: ")&amp;BC362))</f>
        <v/>
      </c>
      <c r="Q362" s="78" t="str">
        <f>IF(NOT(ISNUMBER(B362)),"",IF(COUNTIFS(FER_F,INT(B362))&gt;0,"Feriado"&amp;IF(AH362=1," (laborable)"," (no laborable)"),IF(AH362=1,"Laborable",IF(WEEKDAY(B362,2)&gt;5,"Fin de semana","No laborable"))))</f>
        <v/>
      </c>
      <c r="R362" s="73" t="n"/>
      <c r="S362" s="72" t="n"/>
      <c r="T362" s="72" t="n"/>
      <c r="U362" s="74" t="n"/>
      <c r="V362" s="79" t="str">
        <f>IF(AND(D362="proMX",OR(R362="Submitted",R362="Recall Requested"),ISNUMBER(S362)),CFG_TODAY-INT(S362),"")</f>
        <v/>
      </c>
      <c r="W362" s="78" t="str">
        <f>IF(BD362=0,"",IF(BA362&gt;0,"⚠ Se superpone con un registro de la otra empresa",IF(D362="Malcolm",IF(COUNTA(R362,S362,T362)&gt;0,"Estado/fechas proMX se ignoran en Malcolm",""),IF(BF362="Cancelled","Cancelado: excluido de totales",IF(R362="","Sin estado: se trata como Draft",IF(BF362="Submitted",IF(ISNUMBER(V362),IF(V362&gt;CFG_MAXD,"⚠ "&amp;V362&amp;" días en Submitted (máx. "&amp;CFG_MAXD&amp;")",""),"Falta fecha de envío"),IF(BF362="Returned","⚠ Devuelto: corregir y reenviar",IF(BF362="Recall Requested","Retirada solicitada: pendiente",IF(AND(BF362="Approved",NOT(ISNUMBER(T362))),"Falta fecha de aprobación",IF(AND(ISNUMBER(S362),ISNUMBER(T362),T362&lt;S362),"Aprobación anterior al envío","")))))))))</f>
        <v/>
      </c>
      <c r="Y362" s="80">
        <f>IF(COUNTA(B362,D362,E362,F362,G362,H362,I362,J362,R362,S362,T362)&gt;0,1,0)</f>
        <v>0</v>
      </c>
      <c r="Z362" s="80" t="str">
        <f>IF(AND(ISNUMBER(H362),H362&gt;=0,H362&lt;1),ROUND(H362*1440,0),"")</f>
        <v/>
      </c>
      <c r="AA362" s="80" t="str">
        <f>IF(AND(ISNUMBER(I362),I362&gt;=0,I362&lt;1),ROUND(I362*1440,0),"")</f>
        <v/>
      </c>
      <c r="AB362" s="80">
        <f>IF(AND(ISNUMBER(B362),D362&lt;&gt;"",ISNUMBER(Z362),ISNUMBER(AA362)),IF(Z362=AA362,0,1),0)</f>
        <v>0</v>
      </c>
      <c r="AC362" s="80">
        <f>IF(AB362=1,IF(AA362&lt;Z362,1,0),0)</f>
        <v>0</v>
      </c>
      <c r="AD362" s="80">
        <f>IF(AB362=1,IF(AC362=1,1440-Z362+AA362,AA362-Z362),0)</f>
        <v>0</v>
      </c>
      <c r="AE362" s="80">
        <f>IF(J362="",0,IF(ISNUMBER(J362),J362,-1))</f>
        <v>0</v>
      </c>
      <c r="AF362" s="80">
        <f>MIN(MAX(0,AE362),AD362)</f>
        <v>0</v>
      </c>
      <c r="AG362" s="80">
        <f>MAX(0,AD362-MAX(0,AE362))</f>
        <v>0</v>
      </c>
      <c r="AH362" s="80">
        <f>IF(ISNUMBER(B362),IF(AND(INDEX(CFG_WDAYS,WEEKDAY(INT(B362),2))="Sí",IF(D362="proMX",COUNTIFS(FER_F,INT(B362),FER_NLP,"Sí"),COUNTIFS(FER_F,INT(B362),FER_NLM,"Sí"))=0),1,0),0)</f>
        <v>0</v>
      </c>
      <c r="AI362" s="80">
        <f>IF(AC362=1,IF(AND(INDEX(CFG_WDAYS,WEEKDAY(INT(B362)+1,2))="Sí",IF(D362="proMX",COUNTIFS(FER_F,INT(B362)+1,FER_NLP,"Sí"),COUNTIFS(FER_F,INT(B362)+1,FER_NLM,"Sí"))=0),1,0),0)</f>
        <v>0</v>
      </c>
      <c r="AJ362" s="80">
        <f>IF(AC362=1,1440-Z362,AD362)</f>
        <v>0</v>
      </c>
      <c r="AK362" s="80">
        <f>IF(AND(AB362=1,AH362=1),MAX(0,MIN(IF(AC362=1,1440,AA362),CFG_WEM)-MAX(Z362,CFG_WSM)),0)</f>
        <v>0</v>
      </c>
      <c r="AL362" s="80">
        <f>IF(AND(AC362=1,AI362=1),MAX(0,MIN(AA362,CFG_WEM)-CFG_WSM),0)</f>
        <v>0</v>
      </c>
      <c r="AM362" s="80">
        <f>AK362+AL362</f>
        <v>0</v>
      </c>
      <c r="AN362" s="80">
        <f>IF(CFG_BRK="Proporcional",IF(AD362=0,0,AF362*AM362/AD362),IF(CFG_BRK="Extras primero",MIN(AM362,MAX(0,AF362-(AD362-AM362))),MIN(AF362,AM362)))</f>
        <v>0</v>
      </c>
      <c r="AO362" s="80">
        <f>AF362-AN362</f>
        <v>0</v>
      </c>
      <c r="AP362" s="80">
        <f>AM362-AN362</f>
        <v>0</v>
      </c>
      <c r="AQ362" s="80">
        <f>AD362-AM362-AO362</f>
        <v>0</v>
      </c>
      <c r="AR362" s="80">
        <f>IF(AM362=0,0,AK362-AN362*AK362/AM362)</f>
        <v>0</v>
      </c>
      <c r="AS362" s="80">
        <f>IF(AD362-AM362=0,0,(AJ362-AK362)-AO362*(AJ362-AK362)/(AD362-AM362))</f>
        <v>0</v>
      </c>
      <c r="AT362" s="80" t="str">
        <f>IF(AC362=1,INT(B362)+1,"")</f>
        <v/>
      </c>
      <c r="AU362" s="80">
        <f>IF(AND(D362="proMX",R362="Cancelled"),0,1)</f>
        <v>1</v>
      </c>
      <c r="AV362" s="80">
        <f>IF(AND(AB362=1,AU362=1),IF(COUNTIFS($D$5:D361,D362,$B$5:B361,B362,$Z$5:Z361,Z362,$AA$5:AA361,AA362,$F$5:F361,F362&amp;"",$AU$5:AU361,1)&gt;0,1,0),0)</f>
        <v>0</v>
      </c>
      <c r="AW362" s="80" t="str">
        <f>IF(AB362=1,INT(B362)*1440+Z362,"")</f>
        <v/>
      </c>
      <c r="AX362" s="80" t="str">
        <f>IF(AB362=1,AW362+AD362,"")</f>
        <v/>
      </c>
      <c r="AY362" s="80">
        <f>IF(AND(AB362=1,AV362=0,AU362=1),1,0)</f>
        <v>0</v>
      </c>
      <c r="AZ362" s="80">
        <f>IF(AY362=1,COUNTIFS(R_Emp,D362,R_SAbs,"&lt;"&amp;AX362,R_EAbs,"&gt;"&amp;AW362,R_OKey,1)-1,0)</f>
        <v>0</v>
      </c>
      <c r="BA362" s="80">
        <f>IF(AY362=1,COUNTIFS(R_Emp,"&lt;&gt;"&amp;D362,R_SAbs,"&lt;"&amp;AX362,R_EAbs,"&gt;"&amp;AW362,R_OKey,1),0)</f>
        <v>0</v>
      </c>
      <c r="BB362" s="80">
        <f>IF(AND(AB362=1,D362="proMX"),IF(AND(MOD(Z362,CFG_BLK)=0,MOD(AA362,CFG_BLK)=0,MOD(AG362,CFG_BLK)=0,AG362&gt;0),1,0),1)</f>
        <v>1</v>
      </c>
      <c r="BC362" s="80" t="str">
        <f>IF(Y362=0,"",IF(NOT(ISNUMBER(B362)),"Falta fecha o fecha inválida",IF(D362="","Falta empresa",IF(AND(D362&lt;&gt;"Malcolm",D362&lt;&gt;"proMX"),"Empresa inválida",IF(OR(INT(B362)&lt;CFG_PSTART,INT(B362)&gt;CFG_PEND),"Fecha fuera del período",IF(OR(NOT(ISNUMBER(Z362)),NOT(ISNUMBER(AA362))),"Falta hora inicio/fin o formato inválido",IF(AB362=0,"Hora inicio = hora fin",IF(AE362&lt;0,"Descanso inválido",IF(AE362&gt;=AD362,"Descanso ≥ duración",IF(AV362=1,"Registro duplicado",IF(AZ362&gt;0,"Se superpone con otro registro "&amp;D362,IF(BB362=0,"inicio, fin y duración neta deben ser múltiplos de "&amp;CFG_BLK&amp;" min",""))))))))))))</f>
        <v/>
      </c>
      <c r="BD362" s="80">
        <f>IF(AND(Y362=1,BC362=""),1,0)</f>
        <v>0</v>
      </c>
      <c r="BE362" s="80">
        <f>IF(AND(BD362=1,AU362=1),1,0)</f>
        <v>0</v>
      </c>
      <c r="BF362" s="80" t="str">
        <f>IF(AND(D362="proMX",BD362=1),IF(R362="","Draft",R362),"")</f>
        <v/>
      </c>
      <c r="BG362" s="80">
        <f>IF(BD362=1,ROUND(AG362/60,6),0)</f>
        <v>0</v>
      </c>
      <c r="BH362" s="80">
        <f>IF(BE362=1,ROUND(AG362/60,6),0)</f>
        <v>0</v>
      </c>
      <c r="BI362" s="80">
        <f>IF(BE362=1,ROUND(AP362/60,6),0)</f>
        <v>0</v>
      </c>
      <c r="BJ362" s="80">
        <f>IF(BE362=1,ROUND(AQ362/60,6),0)</f>
        <v>0</v>
      </c>
      <c r="BK362" s="80">
        <f>IF(BE362=1,ROUND((AR362+AS362)/60,6),0)</f>
        <v>0</v>
      </c>
      <c r="BL362" s="80">
        <f>ROUND(BH362-BK362,6)</f>
        <v>0</v>
      </c>
      <c r="BM362" s="80">
        <f>IF(BE362=1,ROUND(AR362/60,6),0)</f>
        <v>0</v>
      </c>
      <c r="BN362" s="80">
        <f>ROUND(BI362-BM362,6)</f>
        <v>0</v>
      </c>
      <c r="BO362" s="80">
        <f>IF(BE362=1,ROUND(AS362/60,6),0)</f>
        <v>0</v>
      </c>
      <c r="BP362" s="80">
        <f>ROUND(BJ362-BO362,6)</f>
        <v>0</v>
      </c>
      <c r="BQ362" s="80">
        <f>IF(BE362=1,AW362,0)</f>
        <v>0</v>
      </c>
      <c r="BR362" s="80">
        <f>IF(BE362=1,AX362,0)</f>
        <v>0</v>
      </c>
      <c r="BS362" s="80">
        <f>IF(AND(BE362=1,D362="Malcolm",BA362&gt;0),MIN(BH362,SUMPRODUCT((R_Emp="proMX")*(R_EN&gt;0)*((R_EN-(R_EN&gt;BR362)*(R_EN-BR362))&gt;(R_SN+(R_SN&lt;BQ362)*(BQ362-R_SN)))*((R_EN-(R_EN&gt;BR362)*(R_EN-BR362))-(R_SN+(R_SN&lt;BQ362)*(BQ362-R_SN))))/60),0)</f>
        <v>0</v>
      </c>
      <c r="BT362" s="80">
        <f>IF(AND(BE362=1,D362="proMX"),ROUND(BI362*CFG_RATE+BJ362*CFG_OTRATE,6),0)</f>
        <v>0</v>
      </c>
      <c r="BU362" s="80">
        <f>IF(AND(BD362=1,D362="proMX"),ROUND(AG362/CFG_BLK,6),0)</f>
        <v>0</v>
      </c>
      <c r="BV362" s="80" t="str">
        <f>IF(BF362="Approved",IF(ISNUMBER(T362),INT(T362),INT(B362)),"")</f>
        <v/>
      </c>
      <c r="BW362" s="80">
        <f>IF(ISNUMBER(B362),IF(DB_MON="Todos",1,IF(AND(INT(B362)&gt;=DB_MS,INT(B362)&lt;=DB_ME),1,0)),0)</f>
        <v>0</v>
      </c>
      <c r="BX362" s="80">
        <f>IF(DB_PROJ="Todos",1,IF(E362&amp;""=DB_PROJ&amp;"",1,0))</f>
        <v>1</v>
      </c>
      <c r="BY362" s="80">
        <f>BW362*BX362</f>
        <v>0</v>
      </c>
      <c r="BZ362" s="80" t="str">
        <f>IF(Y362=1,F362&amp;IF(AND(F362&amp;""&lt;&gt;"",E362&amp;""&lt;&gt;"")," · ","")&amp;E362,"")</f>
        <v/>
      </c>
      <c r="CA362" s="80" t="str">
        <f>IF(AND(BD362=1,E362&amp;""&lt;&gt;""),IF(COUNTIFS($E$5:E361,E362,$BD$5:BD361,1)=0,MAX($CA$5:CA361)+1,""),"")</f>
        <v/>
      </c>
      <c r="CB362" s="80" t="str">
        <f>IF(AND(BE362=1,D362="Malcolm",E362&amp;""&lt;&gt;""),IF(COUNTIFS($D$5:D361,"Malcolm",$E$5:E361,E362,$BE$5:BE361,1)=0,MAX($CB$5:CB361)+1,""),"")</f>
        <v/>
      </c>
      <c r="CC362" s="80" t="str">
        <f>IF(AND(BD362=1,D362="proMX",E362&amp;""&lt;&gt;""),IF(COUNTIFS($D$5:D361,"proMX",$E$5:E361,E362,$BD$5:BD361,1)=0,MAX($CC$5:CC361)+1,""),"")</f>
        <v/>
      </c>
      <c r="CD362" s="80" t="str">
        <f>IF(AND(BE362=1,D362="Malcolm",F362&amp;""&lt;&gt;""),IF(COUNTIFS($D$5:D361,"Malcolm",$F$5:F361,F362,$BE$5:BE361,1)=0,MAX($CD$5:CD361)+1,""),"")</f>
        <v/>
      </c>
      <c r="CE362" s="80" t="str">
        <f>IF(AND(BD362=1,D362="proMX",F362&amp;""&lt;&gt;""),IF(COUNTIFS($D$5:D361,"proMX",$F$5:F361,F362,$BD$5:BD361,1)=0,MAX($CE$5:CE361)+1,""),"")</f>
        <v/>
      </c>
      <c r="CF362" s="80" t="str">
        <f>IF(AND(D362="proMX",BD362=1),IF(OR(BF362="Draft",BF362="Submitted",BF362="Returned",BF362="Recall Requested"),MAX($CF$5:CF361)+1,""),"")</f>
        <v/>
      </c>
      <c r="CG362" s="80">
        <f>IF(BD362=0,0,IF(D362="Malcolm",1,MATCH(BF362,{"Draft","Submitted","Approved","Returned","Recall Requested","Cancelled"},0)+1))</f>
        <v>0</v>
      </c>
      <c r="CH362" s="80">
        <f>IF(AND(BF362="Submitted",ISNUMBER(V362)),IF(V362&gt;CFG_MAXD,1,0),0)</f>
        <v>0</v>
      </c>
    </row>
    <row r="363">
      <c r="A363" s="71" t="str">
        <f>IF(Y363=1,ROW()-5,"")</f>
        <v/>
      </c>
      <c r="B363" s="72" t="n"/>
      <c r="C363" s="71" t="str">
        <f>IF(ISNUMBER(B363),CHOOSE(WEEKDAY(B363,2),"Lun","Mar","Mié","Jue","Vie","Sáb","Dom"),"")</f>
        <v/>
      </c>
      <c r="D363" s="73" t="n"/>
      <c r="E363" s="74" t="n"/>
      <c r="F363" s="74" t="n"/>
      <c r="G363" s="74" t="n"/>
      <c r="H363" s="75" t="n"/>
      <c r="I363" s="75" t="n"/>
      <c r="J363" s="76" t="n"/>
      <c r="K363" s="77" t="str">
        <f>IF(AB363=1,ROUND(AG363/60,4),"")</f>
        <v/>
      </c>
      <c r="L363" s="77" t="str">
        <f>IF(BD363=1,ROUND(AP363/60,4),"")</f>
        <v/>
      </c>
      <c r="M363" s="77" t="str">
        <f>IF(BD363=1,ROUND(AQ363/60,4),"")</f>
        <v/>
      </c>
      <c r="N363" s="71" t="str">
        <f>IF(AND(D363="proMX",AB363=1),ROUND(AG363/CFG_BLK,2),"")</f>
        <v/>
      </c>
      <c r="O363" s="77" t="str">
        <f>IF(D363="proMX",IF(BD363=1,ROUND(AG363/60,4),0),"")</f>
        <v/>
      </c>
      <c r="P363" s="78" t="str">
        <f>IF(Y363=0,"",IF(BD363=1,"OK",IF(D363="proMX","Revisar bloques: ","Revisar: ")&amp;BC363))</f>
        <v/>
      </c>
      <c r="Q363" s="78" t="str">
        <f>IF(NOT(ISNUMBER(B363)),"",IF(COUNTIFS(FER_F,INT(B363))&gt;0,"Feriado"&amp;IF(AH363=1," (laborable)"," (no laborable)"),IF(AH363=1,"Laborable",IF(WEEKDAY(B363,2)&gt;5,"Fin de semana","No laborable"))))</f>
        <v/>
      </c>
      <c r="R363" s="73" t="n"/>
      <c r="S363" s="72" t="n"/>
      <c r="T363" s="72" t="n"/>
      <c r="U363" s="74" t="n"/>
      <c r="V363" s="79" t="str">
        <f>IF(AND(D363="proMX",OR(R363="Submitted",R363="Recall Requested"),ISNUMBER(S363)),CFG_TODAY-INT(S363),"")</f>
        <v/>
      </c>
      <c r="W363" s="78" t="str">
        <f>IF(BD363=0,"",IF(BA363&gt;0,"⚠ Se superpone con un registro de la otra empresa",IF(D363="Malcolm",IF(COUNTA(R363,S363,T363)&gt;0,"Estado/fechas proMX se ignoran en Malcolm",""),IF(BF363="Cancelled","Cancelado: excluido de totales",IF(R363="","Sin estado: se trata como Draft",IF(BF363="Submitted",IF(ISNUMBER(V363),IF(V363&gt;CFG_MAXD,"⚠ "&amp;V363&amp;" días en Submitted (máx. "&amp;CFG_MAXD&amp;")",""),"Falta fecha de envío"),IF(BF363="Returned","⚠ Devuelto: corregir y reenviar",IF(BF363="Recall Requested","Retirada solicitada: pendiente",IF(AND(BF363="Approved",NOT(ISNUMBER(T363))),"Falta fecha de aprobación",IF(AND(ISNUMBER(S363),ISNUMBER(T363),T363&lt;S363),"Aprobación anterior al envío","")))))))))</f>
        <v/>
      </c>
      <c r="Y363" s="80">
        <f>IF(COUNTA(B363,D363,E363,F363,G363,H363,I363,J363,R363,S363,T363)&gt;0,1,0)</f>
        <v>0</v>
      </c>
      <c r="Z363" s="80" t="str">
        <f>IF(AND(ISNUMBER(H363),H363&gt;=0,H363&lt;1),ROUND(H363*1440,0),"")</f>
        <v/>
      </c>
      <c r="AA363" s="80" t="str">
        <f>IF(AND(ISNUMBER(I363),I363&gt;=0,I363&lt;1),ROUND(I363*1440,0),"")</f>
        <v/>
      </c>
      <c r="AB363" s="80">
        <f>IF(AND(ISNUMBER(B363),D363&lt;&gt;"",ISNUMBER(Z363),ISNUMBER(AA363)),IF(Z363=AA363,0,1),0)</f>
        <v>0</v>
      </c>
      <c r="AC363" s="80">
        <f>IF(AB363=1,IF(AA363&lt;Z363,1,0),0)</f>
        <v>0</v>
      </c>
      <c r="AD363" s="80">
        <f>IF(AB363=1,IF(AC363=1,1440-Z363+AA363,AA363-Z363),0)</f>
        <v>0</v>
      </c>
      <c r="AE363" s="80">
        <f>IF(J363="",0,IF(ISNUMBER(J363),J363,-1))</f>
        <v>0</v>
      </c>
      <c r="AF363" s="80">
        <f>MIN(MAX(0,AE363),AD363)</f>
        <v>0</v>
      </c>
      <c r="AG363" s="80">
        <f>MAX(0,AD363-MAX(0,AE363))</f>
        <v>0</v>
      </c>
      <c r="AH363" s="80">
        <f>IF(ISNUMBER(B363),IF(AND(INDEX(CFG_WDAYS,WEEKDAY(INT(B363),2))="Sí",IF(D363="proMX",COUNTIFS(FER_F,INT(B363),FER_NLP,"Sí"),COUNTIFS(FER_F,INT(B363),FER_NLM,"Sí"))=0),1,0),0)</f>
        <v>0</v>
      </c>
      <c r="AI363" s="80">
        <f>IF(AC363=1,IF(AND(INDEX(CFG_WDAYS,WEEKDAY(INT(B363)+1,2))="Sí",IF(D363="proMX",COUNTIFS(FER_F,INT(B363)+1,FER_NLP,"Sí"),COUNTIFS(FER_F,INT(B363)+1,FER_NLM,"Sí"))=0),1,0),0)</f>
        <v>0</v>
      </c>
      <c r="AJ363" s="80">
        <f>IF(AC363=1,1440-Z363,AD363)</f>
        <v>0</v>
      </c>
      <c r="AK363" s="80">
        <f>IF(AND(AB363=1,AH363=1),MAX(0,MIN(IF(AC363=1,1440,AA363),CFG_WEM)-MAX(Z363,CFG_WSM)),0)</f>
        <v>0</v>
      </c>
      <c r="AL363" s="80">
        <f>IF(AND(AC363=1,AI363=1),MAX(0,MIN(AA363,CFG_WEM)-CFG_WSM),0)</f>
        <v>0</v>
      </c>
      <c r="AM363" s="80">
        <f>AK363+AL363</f>
        <v>0</v>
      </c>
      <c r="AN363" s="80">
        <f>IF(CFG_BRK="Proporcional",IF(AD363=0,0,AF363*AM363/AD363),IF(CFG_BRK="Extras primero",MIN(AM363,MAX(0,AF363-(AD363-AM363))),MIN(AF363,AM363)))</f>
        <v>0</v>
      </c>
      <c r="AO363" s="80">
        <f>AF363-AN363</f>
        <v>0</v>
      </c>
      <c r="AP363" s="80">
        <f>AM363-AN363</f>
        <v>0</v>
      </c>
      <c r="AQ363" s="80">
        <f>AD363-AM363-AO363</f>
        <v>0</v>
      </c>
      <c r="AR363" s="80">
        <f>IF(AM363=0,0,AK363-AN363*AK363/AM363)</f>
        <v>0</v>
      </c>
      <c r="AS363" s="80">
        <f>IF(AD363-AM363=0,0,(AJ363-AK363)-AO363*(AJ363-AK363)/(AD363-AM363))</f>
        <v>0</v>
      </c>
      <c r="AT363" s="80" t="str">
        <f>IF(AC363=1,INT(B363)+1,"")</f>
        <v/>
      </c>
      <c r="AU363" s="80">
        <f>IF(AND(D363="proMX",R363="Cancelled"),0,1)</f>
        <v>1</v>
      </c>
      <c r="AV363" s="80">
        <f>IF(AND(AB363=1,AU363=1),IF(COUNTIFS($D$5:D362,D363,$B$5:B362,B363,$Z$5:Z362,Z363,$AA$5:AA362,AA363,$F$5:F362,F363&amp;"",$AU$5:AU362,1)&gt;0,1,0),0)</f>
        <v>0</v>
      </c>
      <c r="AW363" s="80" t="str">
        <f>IF(AB363=1,INT(B363)*1440+Z363,"")</f>
        <v/>
      </c>
      <c r="AX363" s="80" t="str">
        <f>IF(AB363=1,AW363+AD363,"")</f>
        <v/>
      </c>
      <c r="AY363" s="80">
        <f>IF(AND(AB363=1,AV363=0,AU363=1),1,0)</f>
        <v>0</v>
      </c>
      <c r="AZ363" s="80">
        <f>IF(AY363=1,COUNTIFS(R_Emp,D363,R_SAbs,"&lt;"&amp;AX363,R_EAbs,"&gt;"&amp;AW363,R_OKey,1)-1,0)</f>
        <v>0</v>
      </c>
      <c r="BA363" s="80">
        <f>IF(AY363=1,COUNTIFS(R_Emp,"&lt;&gt;"&amp;D363,R_SAbs,"&lt;"&amp;AX363,R_EAbs,"&gt;"&amp;AW363,R_OKey,1),0)</f>
        <v>0</v>
      </c>
      <c r="BB363" s="80">
        <f>IF(AND(AB363=1,D363="proMX"),IF(AND(MOD(Z363,CFG_BLK)=0,MOD(AA363,CFG_BLK)=0,MOD(AG363,CFG_BLK)=0,AG363&gt;0),1,0),1)</f>
        <v>1</v>
      </c>
      <c r="BC363" s="80" t="str">
        <f>IF(Y363=0,"",IF(NOT(ISNUMBER(B363)),"Falta fecha o fecha inválida",IF(D363="","Falta empresa",IF(AND(D363&lt;&gt;"Malcolm",D363&lt;&gt;"proMX"),"Empresa inválida",IF(OR(INT(B363)&lt;CFG_PSTART,INT(B363)&gt;CFG_PEND),"Fecha fuera del período",IF(OR(NOT(ISNUMBER(Z363)),NOT(ISNUMBER(AA363))),"Falta hora inicio/fin o formato inválido",IF(AB363=0,"Hora inicio = hora fin",IF(AE363&lt;0,"Descanso inválido",IF(AE363&gt;=AD363,"Descanso ≥ duración",IF(AV363=1,"Registro duplicado",IF(AZ363&gt;0,"Se superpone con otro registro "&amp;D363,IF(BB363=0,"inicio, fin y duración neta deben ser múltiplos de "&amp;CFG_BLK&amp;" min",""))))))))))))</f>
        <v/>
      </c>
      <c r="BD363" s="80">
        <f>IF(AND(Y363=1,BC363=""),1,0)</f>
        <v>0</v>
      </c>
      <c r="BE363" s="80">
        <f>IF(AND(BD363=1,AU363=1),1,0)</f>
        <v>0</v>
      </c>
      <c r="BF363" s="80" t="str">
        <f>IF(AND(D363="proMX",BD363=1),IF(R363="","Draft",R363),"")</f>
        <v/>
      </c>
      <c r="BG363" s="80">
        <f>IF(BD363=1,ROUND(AG363/60,6),0)</f>
        <v>0</v>
      </c>
      <c r="BH363" s="80">
        <f>IF(BE363=1,ROUND(AG363/60,6),0)</f>
        <v>0</v>
      </c>
      <c r="BI363" s="80">
        <f>IF(BE363=1,ROUND(AP363/60,6),0)</f>
        <v>0</v>
      </c>
      <c r="BJ363" s="80">
        <f>IF(BE363=1,ROUND(AQ363/60,6),0)</f>
        <v>0</v>
      </c>
      <c r="BK363" s="80">
        <f>IF(BE363=1,ROUND((AR363+AS363)/60,6),0)</f>
        <v>0</v>
      </c>
      <c r="BL363" s="80">
        <f>ROUND(BH363-BK363,6)</f>
        <v>0</v>
      </c>
      <c r="BM363" s="80">
        <f>IF(BE363=1,ROUND(AR363/60,6),0)</f>
        <v>0</v>
      </c>
      <c r="BN363" s="80">
        <f>ROUND(BI363-BM363,6)</f>
        <v>0</v>
      </c>
      <c r="BO363" s="80">
        <f>IF(BE363=1,ROUND(AS363/60,6),0)</f>
        <v>0</v>
      </c>
      <c r="BP363" s="80">
        <f>ROUND(BJ363-BO363,6)</f>
        <v>0</v>
      </c>
      <c r="BQ363" s="80">
        <f>IF(BE363=1,AW363,0)</f>
        <v>0</v>
      </c>
      <c r="BR363" s="80">
        <f>IF(BE363=1,AX363,0)</f>
        <v>0</v>
      </c>
      <c r="BS363" s="80">
        <f>IF(AND(BE363=1,D363="Malcolm",BA363&gt;0),MIN(BH363,SUMPRODUCT((R_Emp="proMX")*(R_EN&gt;0)*((R_EN-(R_EN&gt;BR363)*(R_EN-BR363))&gt;(R_SN+(R_SN&lt;BQ363)*(BQ363-R_SN)))*((R_EN-(R_EN&gt;BR363)*(R_EN-BR363))-(R_SN+(R_SN&lt;BQ363)*(BQ363-R_SN))))/60),0)</f>
        <v>0</v>
      </c>
      <c r="BT363" s="80">
        <f>IF(AND(BE363=1,D363="proMX"),ROUND(BI363*CFG_RATE+BJ363*CFG_OTRATE,6),0)</f>
        <v>0</v>
      </c>
      <c r="BU363" s="80">
        <f>IF(AND(BD363=1,D363="proMX"),ROUND(AG363/CFG_BLK,6),0)</f>
        <v>0</v>
      </c>
      <c r="BV363" s="80" t="str">
        <f>IF(BF363="Approved",IF(ISNUMBER(T363),INT(T363),INT(B363)),"")</f>
        <v/>
      </c>
      <c r="BW363" s="80">
        <f>IF(ISNUMBER(B363),IF(DB_MON="Todos",1,IF(AND(INT(B363)&gt;=DB_MS,INT(B363)&lt;=DB_ME),1,0)),0)</f>
        <v>0</v>
      </c>
      <c r="BX363" s="80">
        <f>IF(DB_PROJ="Todos",1,IF(E363&amp;""=DB_PROJ&amp;"",1,0))</f>
        <v>1</v>
      </c>
      <c r="BY363" s="80">
        <f>BW363*BX363</f>
        <v>0</v>
      </c>
      <c r="BZ363" s="80" t="str">
        <f>IF(Y363=1,F363&amp;IF(AND(F363&amp;""&lt;&gt;"",E363&amp;""&lt;&gt;"")," · ","")&amp;E363,"")</f>
        <v/>
      </c>
      <c r="CA363" s="80" t="str">
        <f>IF(AND(BD363=1,E363&amp;""&lt;&gt;""),IF(COUNTIFS($E$5:E362,E363,$BD$5:BD362,1)=0,MAX($CA$5:CA362)+1,""),"")</f>
        <v/>
      </c>
      <c r="CB363" s="80" t="str">
        <f>IF(AND(BE363=1,D363="Malcolm",E363&amp;""&lt;&gt;""),IF(COUNTIFS($D$5:D362,"Malcolm",$E$5:E362,E363,$BE$5:BE362,1)=0,MAX($CB$5:CB362)+1,""),"")</f>
        <v/>
      </c>
      <c r="CC363" s="80" t="str">
        <f>IF(AND(BD363=1,D363="proMX",E363&amp;""&lt;&gt;""),IF(COUNTIFS($D$5:D362,"proMX",$E$5:E362,E363,$BD$5:BD362,1)=0,MAX($CC$5:CC362)+1,""),"")</f>
        <v/>
      </c>
      <c r="CD363" s="80" t="str">
        <f>IF(AND(BE363=1,D363="Malcolm",F363&amp;""&lt;&gt;""),IF(COUNTIFS($D$5:D362,"Malcolm",$F$5:F362,F363,$BE$5:BE362,1)=0,MAX($CD$5:CD362)+1,""),"")</f>
        <v/>
      </c>
      <c r="CE363" s="80" t="str">
        <f>IF(AND(BD363=1,D363="proMX",F363&amp;""&lt;&gt;""),IF(COUNTIFS($D$5:D362,"proMX",$F$5:F362,F363,$BD$5:BD362,1)=0,MAX($CE$5:CE362)+1,""),"")</f>
        <v/>
      </c>
      <c r="CF363" s="80" t="str">
        <f>IF(AND(D363="proMX",BD363=1),IF(OR(BF363="Draft",BF363="Submitted",BF363="Returned",BF363="Recall Requested"),MAX($CF$5:CF362)+1,""),"")</f>
        <v/>
      </c>
      <c r="CG363" s="80">
        <f>IF(BD363=0,0,IF(D363="Malcolm",1,MATCH(BF363,{"Draft","Submitted","Approved","Returned","Recall Requested","Cancelled"},0)+1))</f>
        <v>0</v>
      </c>
      <c r="CH363" s="80">
        <f>IF(AND(BF363="Submitted",ISNUMBER(V363)),IF(V363&gt;CFG_MAXD,1,0),0)</f>
        <v>0</v>
      </c>
    </row>
    <row r="364">
      <c r="A364" s="71" t="str">
        <f>IF(Y364=1,ROW()-5,"")</f>
        <v/>
      </c>
      <c r="B364" s="72" t="n"/>
      <c r="C364" s="71" t="str">
        <f>IF(ISNUMBER(B364),CHOOSE(WEEKDAY(B364,2),"Lun","Mar","Mié","Jue","Vie","Sáb","Dom"),"")</f>
        <v/>
      </c>
      <c r="D364" s="73" t="n"/>
      <c r="E364" s="74" t="n"/>
      <c r="F364" s="74" t="n"/>
      <c r="G364" s="74" t="n"/>
      <c r="H364" s="75" t="n"/>
      <c r="I364" s="75" t="n"/>
      <c r="J364" s="76" t="n"/>
      <c r="K364" s="77" t="str">
        <f>IF(AB364=1,ROUND(AG364/60,4),"")</f>
        <v/>
      </c>
      <c r="L364" s="77" t="str">
        <f>IF(BD364=1,ROUND(AP364/60,4),"")</f>
        <v/>
      </c>
      <c r="M364" s="77" t="str">
        <f>IF(BD364=1,ROUND(AQ364/60,4),"")</f>
        <v/>
      </c>
      <c r="N364" s="71" t="str">
        <f>IF(AND(D364="proMX",AB364=1),ROUND(AG364/CFG_BLK,2),"")</f>
        <v/>
      </c>
      <c r="O364" s="77" t="str">
        <f>IF(D364="proMX",IF(BD364=1,ROUND(AG364/60,4),0),"")</f>
        <v/>
      </c>
      <c r="P364" s="78" t="str">
        <f>IF(Y364=0,"",IF(BD364=1,"OK",IF(D364="proMX","Revisar bloques: ","Revisar: ")&amp;BC364))</f>
        <v/>
      </c>
      <c r="Q364" s="78" t="str">
        <f>IF(NOT(ISNUMBER(B364)),"",IF(COUNTIFS(FER_F,INT(B364))&gt;0,"Feriado"&amp;IF(AH364=1," (laborable)"," (no laborable)"),IF(AH364=1,"Laborable",IF(WEEKDAY(B364,2)&gt;5,"Fin de semana","No laborable"))))</f>
        <v/>
      </c>
      <c r="R364" s="73" t="n"/>
      <c r="S364" s="72" t="n"/>
      <c r="T364" s="72" t="n"/>
      <c r="U364" s="74" t="n"/>
      <c r="V364" s="79" t="str">
        <f>IF(AND(D364="proMX",OR(R364="Submitted",R364="Recall Requested"),ISNUMBER(S364)),CFG_TODAY-INT(S364),"")</f>
        <v/>
      </c>
      <c r="W364" s="78" t="str">
        <f>IF(BD364=0,"",IF(BA364&gt;0,"⚠ Se superpone con un registro de la otra empresa",IF(D364="Malcolm",IF(COUNTA(R364,S364,T364)&gt;0,"Estado/fechas proMX se ignoran en Malcolm",""),IF(BF364="Cancelled","Cancelado: excluido de totales",IF(R364="","Sin estado: se trata como Draft",IF(BF364="Submitted",IF(ISNUMBER(V364),IF(V364&gt;CFG_MAXD,"⚠ "&amp;V364&amp;" días en Submitted (máx. "&amp;CFG_MAXD&amp;")",""),"Falta fecha de envío"),IF(BF364="Returned","⚠ Devuelto: corregir y reenviar",IF(BF364="Recall Requested","Retirada solicitada: pendiente",IF(AND(BF364="Approved",NOT(ISNUMBER(T364))),"Falta fecha de aprobación",IF(AND(ISNUMBER(S364),ISNUMBER(T364),T364&lt;S364),"Aprobación anterior al envío","")))))))))</f>
        <v/>
      </c>
      <c r="Y364" s="80">
        <f>IF(COUNTA(B364,D364,E364,F364,G364,H364,I364,J364,R364,S364,T364)&gt;0,1,0)</f>
        <v>0</v>
      </c>
      <c r="Z364" s="80" t="str">
        <f>IF(AND(ISNUMBER(H364),H364&gt;=0,H364&lt;1),ROUND(H364*1440,0),"")</f>
        <v/>
      </c>
      <c r="AA364" s="80" t="str">
        <f>IF(AND(ISNUMBER(I364),I364&gt;=0,I364&lt;1),ROUND(I364*1440,0),"")</f>
        <v/>
      </c>
      <c r="AB364" s="80">
        <f>IF(AND(ISNUMBER(B364),D364&lt;&gt;"",ISNUMBER(Z364),ISNUMBER(AA364)),IF(Z364=AA364,0,1),0)</f>
        <v>0</v>
      </c>
      <c r="AC364" s="80">
        <f>IF(AB364=1,IF(AA364&lt;Z364,1,0),0)</f>
        <v>0</v>
      </c>
      <c r="AD364" s="80">
        <f>IF(AB364=1,IF(AC364=1,1440-Z364+AA364,AA364-Z364),0)</f>
        <v>0</v>
      </c>
      <c r="AE364" s="80">
        <f>IF(J364="",0,IF(ISNUMBER(J364),J364,-1))</f>
        <v>0</v>
      </c>
      <c r="AF364" s="80">
        <f>MIN(MAX(0,AE364),AD364)</f>
        <v>0</v>
      </c>
      <c r="AG364" s="80">
        <f>MAX(0,AD364-MAX(0,AE364))</f>
        <v>0</v>
      </c>
      <c r="AH364" s="80">
        <f>IF(ISNUMBER(B364),IF(AND(INDEX(CFG_WDAYS,WEEKDAY(INT(B364),2))="Sí",IF(D364="proMX",COUNTIFS(FER_F,INT(B364),FER_NLP,"Sí"),COUNTIFS(FER_F,INT(B364),FER_NLM,"Sí"))=0),1,0),0)</f>
        <v>0</v>
      </c>
      <c r="AI364" s="80">
        <f>IF(AC364=1,IF(AND(INDEX(CFG_WDAYS,WEEKDAY(INT(B364)+1,2))="Sí",IF(D364="proMX",COUNTIFS(FER_F,INT(B364)+1,FER_NLP,"Sí"),COUNTIFS(FER_F,INT(B364)+1,FER_NLM,"Sí"))=0),1,0),0)</f>
        <v>0</v>
      </c>
      <c r="AJ364" s="80">
        <f>IF(AC364=1,1440-Z364,AD364)</f>
        <v>0</v>
      </c>
      <c r="AK364" s="80">
        <f>IF(AND(AB364=1,AH364=1),MAX(0,MIN(IF(AC364=1,1440,AA364),CFG_WEM)-MAX(Z364,CFG_WSM)),0)</f>
        <v>0</v>
      </c>
      <c r="AL364" s="80">
        <f>IF(AND(AC364=1,AI364=1),MAX(0,MIN(AA364,CFG_WEM)-CFG_WSM),0)</f>
        <v>0</v>
      </c>
      <c r="AM364" s="80">
        <f>AK364+AL364</f>
        <v>0</v>
      </c>
      <c r="AN364" s="80">
        <f>IF(CFG_BRK="Proporcional",IF(AD364=0,0,AF364*AM364/AD364),IF(CFG_BRK="Extras primero",MIN(AM364,MAX(0,AF364-(AD364-AM364))),MIN(AF364,AM364)))</f>
        <v>0</v>
      </c>
      <c r="AO364" s="80">
        <f>AF364-AN364</f>
        <v>0</v>
      </c>
      <c r="AP364" s="80">
        <f>AM364-AN364</f>
        <v>0</v>
      </c>
      <c r="AQ364" s="80">
        <f>AD364-AM364-AO364</f>
        <v>0</v>
      </c>
      <c r="AR364" s="80">
        <f>IF(AM364=0,0,AK364-AN364*AK364/AM364)</f>
        <v>0</v>
      </c>
      <c r="AS364" s="80">
        <f>IF(AD364-AM364=0,0,(AJ364-AK364)-AO364*(AJ364-AK364)/(AD364-AM364))</f>
        <v>0</v>
      </c>
      <c r="AT364" s="80" t="str">
        <f>IF(AC364=1,INT(B364)+1,"")</f>
        <v/>
      </c>
      <c r="AU364" s="80">
        <f>IF(AND(D364="proMX",R364="Cancelled"),0,1)</f>
        <v>1</v>
      </c>
      <c r="AV364" s="80">
        <f>IF(AND(AB364=1,AU364=1),IF(COUNTIFS($D$5:D363,D364,$B$5:B363,B364,$Z$5:Z363,Z364,$AA$5:AA363,AA364,$F$5:F363,F364&amp;"",$AU$5:AU363,1)&gt;0,1,0),0)</f>
        <v>0</v>
      </c>
      <c r="AW364" s="80" t="str">
        <f>IF(AB364=1,INT(B364)*1440+Z364,"")</f>
        <v/>
      </c>
      <c r="AX364" s="80" t="str">
        <f>IF(AB364=1,AW364+AD364,"")</f>
        <v/>
      </c>
      <c r="AY364" s="80">
        <f>IF(AND(AB364=1,AV364=0,AU364=1),1,0)</f>
        <v>0</v>
      </c>
      <c r="AZ364" s="80">
        <f>IF(AY364=1,COUNTIFS(R_Emp,D364,R_SAbs,"&lt;"&amp;AX364,R_EAbs,"&gt;"&amp;AW364,R_OKey,1)-1,0)</f>
        <v>0</v>
      </c>
      <c r="BA364" s="80">
        <f>IF(AY364=1,COUNTIFS(R_Emp,"&lt;&gt;"&amp;D364,R_SAbs,"&lt;"&amp;AX364,R_EAbs,"&gt;"&amp;AW364,R_OKey,1),0)</f>
        <v>0</v>
      </c>
      <c r="BB364" s="80">
        <f>IF(AND(AB364=1,D364="proMX"),IF(AND(MOD(Z364,CFG_BLK)=0,MOD(AA364,CFG_BLK)=0,MOD(AG364,CFG_BLK)=0,AG364&gt;0),1,0),1)</f>
        <v>1</v>
      </c>
      <c r="BC364" s="80" t="str">
        <f>IF(Y364=0,"",IF(NOT(ISNUMBER(B364)),"Falta fecha o fecha inválida",IF(D364="","Falta empresa",IF(AND(D364&lt;&gt;"Malcolm",D364&lt;&gt;"proMX"),"Empresa inválida",IF(OR(INT(B364)&lt;CFG_PSTART,INT(B364)&gt;CFG_PEND),"Fecha fuera del período",IF(OR(NOT(ISNUMBER(Z364)),NOT(ISNUMBER(AA364))),"Falta hora inicio/fin o formato inválido",IF(AB364=0,"Hora inicio = hora fin",IF(AE364&lt;0,"Descanso inválido",IF(AE364&gt;=AD364,"Descanso ≥ duración",IF(AV364=1,"Registro duplicado",IF(AZ364&gt;0,"Se superpone con otro registro "&amp;D364,IF(BB364=0,"inicio, fin y duración neta deben ser múltiplos de "&amp;CFG_BLK&amp;" min",""))))))))))))</f>
        <v/>
      </c>
      <c r="BD364" s="80">
        <f>IF(AND(Y364=1,BC364=""),1,0)</f>
        <v>0</v>
      </c>
      <c r="BE364" s="80">
        <f>IF(AND(BD364=1,AU364=1),1,0)</f>
        <v>0</v>
      </c>
      <c r="BF364" s="80" t="str">
        <f>IF(AND(D364="proMX",BD364=1),IF(R364="","Draft",R364),"")</f>
        <v/>
      </c>
      <c r="BG364" s="80">
        <f>IF(BD364=1,ROUND(AG364/60,6),0)</f>
        <v>0</v>
      </c>
      <c r="BH364" s="80">
        <f>IF(BE364=1,ROUND(AG364/60,6),0)</f>
        <v>0</v>
      </c>
      <c r="BI364" s="80">
        <f>IF(BE364=1,ROUND(AP364/60,6),0)</f>
        <v>0</v>
      </c>
      <c r="BJ364" s="80">
        <f>IF(BE364=1,ROUND(AQ364/60,6),0)</f>
        <v>0</v>
      </c>
      <c r="BK364" s="80">
        <f>IF(BE364=1,ROUND((AR364+AS364)/60,6),0)</f>
        <v>0</v>
      </c>
      <c r="BL364" s="80">
        <f>ROUND(BH364-BK364,6)</f>
        <v>0</v>
      </c>
      <c r="BM364" s="80">
        <f>IF(BE364=1,ROUND(AR364/60,6),0)</f>
        <v>0</v>
      </c>
      <c r="BN364" s="80">
        <f>ROUND(BI364-BM364,6)</f>
        <v>0</v>
      </c>
      <c r="BO364" s="80">
        <f>IF(BE364=1,ROUND(AS364/60,6),0)</f>
        <v>0</v>
      </c>
      <c r="BP364" s="80">
        <f>ROUND(BJ364-BO364,6)</f>
        <v>0</v>
      </c>
      <c r="BQ364" s="80">
        <f>IF(BE364=1,AW364,0)</f>
        <v>0</v>
      </c>
      <c r="BR364" s="80">
        <f>IF(BE364=1,AX364,0)</f>
        <v>0</v>
      </c>
      <c r="BS364" s="80">
        <f>IF(AND(BE364=1,D364="Malcolm",BA364&gt;0),MIN(BH364,SUMPRODUCT((R_Emp="proMX")*(R_EN&gt;0)*((R_EN-(R_EN&gt;BR364)*(R_EN-BR364))&gt;(R_SN+(R_SN&lt;BQ364)*(BQ364-R_SN)))*((R_EN-(R_EN&gt;BR364)*(R_EN-BR364))-(R_SN+(R_SN&lt;BQ364)*(BQ364-R_SN))))/60),0)</f>
        <v>0</v>
      </c>
      <c r="BT364" s="80">
        <f>IF(AND(BE364=1,D364="proMX"),ROUND(BI364*CFG_RATE+BJ364*CFG_OTRATE,6),0)</f>
        <v>0</v>
      </c>
      <c r="BU364" s="80">
        <f>IF(AND(BD364=1,D364="proMX"),ROUND(AG364/CFG_BLK,6),0)</f>
        <v>0</v>
      </c>
      <c r="BV364" s="80" t="str">
        <f>IF(BF364="Approved",IF(ISNUMBER(T364),INT(T364),INT(B364)),"")</f>
        <v/>
      </c>
      <c r="BW364" s="80">
        <f>IF(ISNUMBER(B364),IF(DB_MON="Todos",1,IF(AND(INT(B364)&gt;=DB_MS,INT(B364)&lt;=DB_ME),1,0)),0)</f>
        <v>0</v>
      </c>
      <c r="BX364" s="80">
        <f>IF(DB_PROJ="Todos",1,IF(E364&amp;""=DB_PROJ&amp;"",1,0))</f>
        <v>1</v>
      </c>
      <c r="BY364" s="80">
        <f>BW364*BX364</f>
        <v>0</v>
      </c>
      <c r="BZ364" s="80" t="str">
        <f>IF(Y364=1,F364&amp;IF(AND(F364&amp;""&lt;&gt;"",E364&amp;""&lt;&gt;"")," · ","")&amp;E364,"")</f>
        <v/>
      </c>
      <c r="CA364" s="80" t="str">
        <f>IF(AND(BD364=1,E364&amp;""&lt;&gt;""),IF(COUNTIFS($E$5:E363,E364,$BD$5:BD363,1)=0,MAX($CA$5:CA363)+1,""),"")</f>
        <v/>
      </c>
      <c r="CB364" s="80" t="str">
        <f>IF(AND(BE364=1,D364="Malcolm",E364&amp;""&lt;&gt;""),IF(COUNTIFS($D$5:D363,"Malcolm",$E$5:E363,E364,$BE$5:BE363,1)=0,MAX($CB$5:CB363)+1,""),"")</f>
        <v/>
      </c>
      <c r="CC364" s="80" t="str">
        <f>IF(AND(BD364=1,D364="proMX",E364&amp;""&lt;&gt;""),IF(COUNTIFS($D$5:D363,"proMX",$E$5:E363,E364,$BD$5:BD363,1)=0,MAX($CC$5:CC363)+1,""),"")</f>
        <v/>
      </c>
      <c r="CD364" s="80" t="str">
        <f>IF(AND(BE364=1,D364="Malcolm",F364&amp;""&lt;&gt;""),IF(COUNTIFS($D$5:D363,"Malcolm",$F$5:F363,F364,$BE$5:BE363,1)=0,MAX($CD$5:CD363)+1,""),"")</f>
        <v/>
      </c>
      <c r="CE364" s="80" t="str">
        <f>IF(AND(BD364=1,D364="proMX",F364&amp;""&lt;&gt;""),IF(COUNTIFS($D$5:D363,"proMX",$F$5:F363,F364,$BD$5:BD363,1)=0,MAX($CE$5:CE363)+1,""),"")</f>
        <v/>
      </c>
      <c r="CF364" s="80" t="str">
        <f>IF(AND(D364="proMX",BD364=1),IF(OR(BF364="Draft",BF364="Submitted",BF364="Returned",BF364="Recall Requested"),MAX($CF$5:CF363)+1,""),"")</f>
        <v/>
      </c>
      <c r="CG364" s="80">
        <f>IF(BD364=0,0,IF(D364="Malcolm",1,MATCH(BF364,{"Draft","Submitted","Approved","Returned","Recall Requested","Cancelled"},0)+1))</f>
        <v>0</v>
      </c>
      <c r="CH364" s="80">
        <f>IF(AND(BF364="Submitted",ISNUMBER(V364)),IF(V364&gt;CFG_MAXD,1,0),0)</f>
        <v>0</v>
      </c>
    </row>
    <row r="365">
      <c r="A365" s="71" t="str">
        <f>IF(Y365=1,ROW()-5,"")</f>
        <v/>
      </c>
      <c r="B365" s="72" t="n"/>
      <c r="C365" s="71" t="str">
        <f>IF(ISNUMBER(B365),CHOOSE(WEEKDAY(B365,2),"Lun","Mar","Mié","Jue","Vie","Sáb","Dom"),"")</f>
        <v/>
      </c>
      <c r="D365" s="73" t="n"/>
      <c r="E365" s="74" t="n"/>
      <c r="F365" s="74" t="n"/>
      <c r="G365" s="74" t="n"/>
      <c r="H365" s="75" t="n"/>
      <c r="I365" s="75" t="n"/>
      <c r="J365" s="76" t="n"/>
      <c r="K365" s="77" t="str">
        <f>IF(AB365=1,ROUND(AG365/60,4),"")</f>
        <v/>
      </c>
      <c r="L365" s="77" t="str">
        <f>IF(BD365=1,ROUND(AP365/60,4),"")</f>
        <v/>
      </c>
      <c r="M365" s="77" t="str">
        <f>IF(BD365=1,ROUND(AQ365/60,4),"")</f>
        <v/>
      </c>
      <c r="N365" s="71" t="str">
        <f>IF(AND(D365="proMX",AB365=1),ROUND(AG365/CFG_BLK,2),"")</f>
        <v/>
      </c>
      <c r="O365" s="77" t="str">
        <f>IF(D365="proMX",IF(BD365=1,ROUND(AG365/60,4),0),"")</f>
        <v/>
      </c>
      <c r="P365" s="78" t="str">
        <f>IF(Y365=0,"",IF(BD365=1,"OK",IF(D365="proMX","Revisar bloques: ","Revisar: ")&amp;BC365))</f>
        <v/>
      </c>
      <c r="Q365" s="78" t="str">
        <f>IF(NOT(ISNUMBER(B365)),"",IF(COUNTIFS(FER_F,INT(B365))&gt;0,"Feriado"&amp;IF(AH365=1," (laborable)"," (no laborable)"),IF(AH365=1,"Laborable",IF(WEEKDAY(B365,2)&gt;5,"Fin de semana","No laborable"))))</f>
        <v/>
      </c>
      <c r="R365" s="73" t="n"/>
      <c r="S365" s="72" t="n"/>
      <c r="T365" s="72" t="n"/>
      <c r="U365" s="74" t="n"/>
      <c r="V365" s="79" t="str">
        <f>IF(AND(D365="proMX",OR(R365="Submitted",R365="Recall Requested"),ISNUMBER(S365)),CFG_TODAY-INT(S365),"")</f>
        <v/>
      </c>
      <c r="W365" s="78" t="str">
        <f>IF(BD365=0,"",IF(BA365&gt;0,"⚠ Se superpone con un registro de la otra empresa",IF(D365="Malcolm",IF(COUNTA(R365,S365,T365)&gt;0,"Estado/fechas proMX se ignoran en Malcolm",""),IF(BF365="Cancelled","Cancelado: excluido de totales",IF(R365="","Sin estado: se trata como Draft",IF(BF365="Submitted",IF(ISNUMBER(V365),IF(V365&gt;CFG_MAXD,"⚠ "&amp;V365&amp;" días en Submitted (máx. "&amp;CFG_MAXD&amp;")",""),"Falta fecha de envío"),IF(BF365="Returned","⚠ Devuelto: corregir y reenviar",IF(BF365="Recall Requested","Retirada solicitada: pendiente",IF(AND(BF365="Approved",NOT(ISNUMBER(T365))),"Falta fecha de aprobación",IF(AND(ISNUMBER(S365),ISNUMBER(T365),T365&lt;S365),"Aprobación anterior al envío","")))))))))</f>
        <v/>
      </c>
      <c r="Y365" s="80">
        <f>IF(COUNTA(B365,D365,E365,F365,G365,H365,I365,J365,R365,S365,T365)&gt;0,1,0)</f>
        <v>0</v>
      </c>
      <c r="Z365" s="80" t="str">
        <f>IF(AND(ISNUMBER(H365),H365&gt;=0,H365&lt;1),ROUND(H365*1440,0),"")</f>
        <v/>
      </c>
      <c r="AA365" s="80" t="str">
        <f>IF(AND(ISNUMBER(I365),I365&gt;=0,I365&lt;1),ROUND(I365*1440,0),"")</f>
        <v/>
      </c>
      <c r="AB365" s="80">
        <f>IF(AND(ISNUMBER(B365),D365&lt;&gt;"",ISNUMBER(Z365),ISNUMBER(AA365)),IF(Z365=AA365,0,1),0)</f>
        <v>0</v>
      </c>
      <c r="AC365" s="80">
        <f>IF(AB365=1,IF(AA365&lt;Z365,1,0),0)</f>
        <v>0</v>
      </c>
      <c r="AD365" s="80">
        <f>IF(AB365=1,IF(AC365=1,1440-Z365+AA365,AA365-Z365),0)</f>
        <v>0</v>
      </c>
      <c r="AE365" s="80">
        <f>IF(J365="",0,IF(ISNUMBER(J365),J365,-1))</f>
        <v>0</v>
      </c>
      <c r="AF365" s="80">
        <f>MIN(MAX(0,AE365),AD365)</f>
        <v>0</v>
      </c>
      <c r="AG365" s="80">
        <f>MAX(0,AD365-MAX(0,AE365))</f>
        <v>0</v>
      </c>
      <c r="AH365" s="80">
        <f>IF(ISNUMBER(B365),IF(AND(INDEX(CFG_WDAYS,WEEKDAY(INT(B365),2))="Sí",IF(D365="proMX",COUNTIFS(FER_F,INT(B365),FER_NLP,"Sí"),COUNTIFS(FER_F,INT(B365),FER_NLM,"Sí"))=0),1,0),0)</f>
        <v>0</v>
      </c>
      <c r="AI365" s="80">
        <f>IF(AC365=1,IF(AND(INDEX(CFG_WDAYS,WEEKDAY(INT(B365)+1,2))="Sí",IF(D365="proMX",COUNTIFS(FER_F,INT(B365)+1,FER_NLP,"Sí"),COUNTIFS(FER_F,INT(B365)+1,FER_NLM,"Sí"))=0),1,0),0)</f>
        <v>0</v>
      </c>
      <c r="AJ365" s="80">
        <f>IF(AC365=1,1440-Z365,AD365)</f>
        <v>0</v>
      </c>
      <c r="AK365" s="80">
        <f>IF(AND(AB365=1,AH365=1),MAX(0,MIN(IF(AC365=1,1440,AA365),CFG_WEM)-MAX(Z365,CFG_WSM)),0)</f>
        <v>0</v>
      </c>
      <c r="AL365" s="80">
        <f>IF(AND(AC365=1,AI365=1),MAX(0,MIN(AA365,CFG_WEM)-CFG_WSM),0)</f>
        <v>0</v>
      </c>
      <c r="AM365" s="80">
        <f>AK365+AL365</f>
        <v>0</v>
      </c>
      <c r="AN365" s="80">
        <f>IF(CFG_BRK="Proporcional",IF(AD365=0,0,AF365*AM365/AD365),IF(CFG_BRK="Extras primero",MIN(AM365,MAX(0,AF365-(AD365-AM365))),MIN(AF365,AM365)))</f>
        <v>0</v>
      </c>
      <c r="AO365" s="80">
        <f>AF365-AN365</f>
        <v>0</v>
      </c>
      <c r="AP365" s="80">
        <f>AM365-AN365</f>
        <v>0</v>
      </c>
      <c r="AQ365" s="80">
        <f>AD365-AM365-AO365</f>
        <v>0</v>
      </c>
      <c r="AR365" s="80">
        <f>IF(AM365=0,0,AK365-AN365*AK365/AM365)</f>
        <v>0</v>
      </c>
      <c r="AS365" s="80">
        <f>IF(AD365-AM365=0,0,(AJ365-AK365)-AO365*(AJ365-AK365)/(AD365-AM365))</f>
        <v>0</v>
      </c>
      <c r="AT365" s="80" t="str">
        <f>IF(AC365=1,INT(B365)+1,"")</f>
        <v/>
      </c>
      <c r="AU365" s="80">
        <f>IF(AND(D365="proMX",R365="Cancelled"),0,1)</f>
        <v>1</v>
      </c>
      <c r="AV365" s="80">
        <f>IF(AND(AB365=1,AU365=1),IF(COUNTIFS($D$5:D364,D365,$B$5:B364,B365,$Z$5:Z364,Z365,$AA$5:AA364,AA365,$F$5:F364,F365&amp;"",$AU$5:AU364,1)&gt;0,1,0),0)</f>
        <v>0</v>
      </c>
      <c r="AW365" s="80" t="str">
        <f>IF(AB365=1,INT(B365)*1440+Z365,"")</f>
        <v/>
      </c>
      <c r="AX365" s="80" t="str">
        <f>IF(AB365=1,AW365+AD365,"")</f>
        <v/>
      </c>
      <c r="AY365" s="80">
        <f>IF(AND(AB365=1,AV365=0,AU365=1),1,0)</f>
        <v>0</v>
      </c>
      <c r="AZ365" s="80">
        <f>IF(AY365=1,COUNTIFS(R_Emp,D365,R_SAbs,"&lt;"&amp;AX365,R_EAbs,"&gt;"&amp;AW365,R_OKey,1)-1,0)</f>
        <v>0</v>
      </c>
      <c r="BA365" s="80">
        <f>IF(AY365=1,COUNTIFS(R_Emp,"&lt;&gt;"&amp;D365,R_SAbs,"&lt;"&amp;AX365,R_EAbs,"&gt;"&amp;AW365,R_OKey,1),0)</f>
        <v>0</v>
      </c>
      <c r="BB365" s="80">
        <f>IF(AND(AB365=1,D365="proMX"),IF(AND(MOD(Z365,CFG_BLK)=0,MOD(AA365,CFG_BLK)=0,MOD(AG365,CFG_BLK)=0,AG365&gt;0),1,0),1)</f>
        <v>1</v>
      </c>
      <c r="BC365" s="80" t="str">
        <f>IF(Y365=0,"",IF(NOT(ISNUMBER(B365)),"Falta fecha o fecha inválida",IF(D365="","Falta empresa",IF(AND(D365&lt;&gt;"Malcolm",D365&lt;&gt;"proMX"),"Empresa inválida",IF(OR(INT(B365)&lt;CFG_PSTART,INT(B365)&gt;CFG_PEND),"Fecha fuera del período",IF(OR(NOT(ISNUMBER(Z365)),NOT(ISNUMBER(AA365))),"Falta hora inicio/fin o formato inválido",IF(AB365=0,"Hora inicio = hora fin",IF(AE365&lt;0,"Descanso inválido",IF(AE365&gt;=AD365,"Descanso ≥ duración",IF(AV365=1,"Registro duplicado",IF(AZ365&gt;0,"Se superpone con otro registro "&amp;D365,IF(BB365=0,"inicio, fin y duración neta deben ser múltiplos de "&amp;CFG_BLK&amp;" min",""))))))))))))</f>
        <v/>
      </c>
      <c r="BD365" s="80">
        <f>IF(AND(Y365=1,BC365=""),1,0)</f>
        <v>0</v>
      </c>
      <c r="BE365" s="80">
        <f>IF(AND(BD365=1,AU365=1),1,0)</f>
        <v>0</v>
      </c>
      <c r="BF365" s="80" t="str">
        <f>IF(AND(D365="proMX",BD365=1),IF(R365="","Draft",R365),"")</f>
        <v/>
      </c>
      <c r="BG365" s="80">
        <f>IF(BD365=1,ROUND(AG365/60,6),0)</f>
        <v>0</v>
      </c>
      <c r="BH365" s="80">
        <f>IF(BE365=1,ROUND(AG365/60,6),0)</f>
        <v>0</v>
      </c>
      <c r="BI365" s="80">
        <f>IF(BE365=1,ROUND(AP365/60,6),0)</f>
        <v>0</v>
      </c>
      <c r="BJ365" s="80">
        <f>IF(BE365=1,ROUND(AQ365/60,6),0)</f>
        <v>0</v>
      </c>
      <c r="BK365" s="80">
        <f>IF(BE365=1,ROUND((AR365+AS365)/60,6),0)</f>
        <v>0</v>
      </c>
      <c r="BL365" s="80">
        <f>ROUND(BH365-BK365,6)</f>
        <v>0</v>
      </c>
      <c r="BM365" s="80">
        <f>IF(BE365=1,ROUND(AR365/60,6),0)</f>
        <v>0</v>
      </c>
      <c r="BN365" s="80">
        <f>ROUND(BI365-BM365,6)</f>
        <v>0</v>
      </c>
      <c r="BO365" s="80">
        <f>IF(BE365=1,ROUND(AS365/60,6),0)</f>
        <v>0</v>
      </c>
      <c r="BP365" s="80">
        <f>ROUND(BJ365-BO365,6)</f>
        <v>0</v>
      </c>
      <c r="BQ365" s="80">
        <f>IF(BE365=1,AW365,0)</f>
        <v>0</v>
      </c>
      <c r="BR365" s="80">
        <f>IF(BE365=1,AX365,0)</f>
        <v>0</v>
      </c>
      <c r="BS365" s="80">
        <f>IF(AND(BE365=1,D365="Malcolm",BA365&gt;0),MIN(BH365,SUMPRODUCT((R_Emp="proMX")*(R_EN&gt;0)*((R_EN-(R_EN&gt;BR365)*(R_EN-BR365))&gt;(R_SN+(R_SN&lt;BQ365)*(BQ365-R_SN)))*((R_EN-(R_EN&gt;BR365)*(R_EN-BR365))-(R_SN+(R_SN&lt;BQ365)*(BQ365-R_SN))))/60),0)</f>
        <v>0</v>
      </c>
      <c r="BT365" s="80">
        <f>IF(AND(BE365=1,D365="proMX"),ROUND(BI365*CFG_RATE+BJ365*CFG_OTRATE,6),0)</f>
        <v>0</v>
      </c>
      <c r="BU365" s="80">
        <f>IF(AND(BD365=1,D365="proMX"),ROUND(AG365/CFG_BLK,6),0)</f>
        <v>0</v>
      </c>
      <c r="BV365" s="80" t="str">
        <f>IF(BF365="Approved",IF(ISNUMBER(T365),INT(T365),INT(B365)),"")</f>
        <v/>
      </c>
      <c r="BW365" s="80">
        <f>IF(ISNUMBER(B365),IF(DB_MON="Todos",1,IF(AND(INT(B365)&gt;=DB_MS,INT(B365)&lt;=DB_ME),1,0)),0)</f>
        <v>0</v>
      </c>
      <c r="BX365" s="80">
        <f>IF(DB_PROJ="Todos",1,IF(E365&amp;""=DB_PROJ&amp;"",1,0))</f>
        <v>1</v>
      </c>
      <c r="BY365" s="80">
        <f>BW365*BX365</f>
        <v>0</v>
      </c>
      <c r="BZ365" s="80" t="str">
        <f>IF(Y365=1,F365&amp;IF(AND(F365&amp;""&lt;&gt;"",E365&amp;""&lt;&gt;"")," · ","")&amp;E365,"")</f>
        <v/>
      </c>
      <c r="CA365" s="80" t="str">
        <f>IF(AND(BD365=1,E365&amp;""&lt;&gt;""),IF(COUNTIFS($E$5:E364,E365,$BD$5:BD364,1)=0,MAX($CA$5:CA364)+1,""),"")</f>
        <v/>
      </c>
      <c r="CB365" s="80" t="str">
        <f>IF(AND(BE365=1,D365="Malcolm",E365&amp;""&lt;&gt;""),IF(COUNTIFS($D$5:D364,"Malcolm",$E$5:E364,E365,$BE$5:BE364,1)=0,MAX($CB$5:CB364)+1,""),"")</f>
        <v/>
      </c>
      <c r="CC365" s="80" t="str">
        <f>IF(AND(BD365=1,D365="proMX",E365&amp;""&lt;&gt;""),IF(COUNTIFS($D$5:D364,"proMX",$E$5:E364,E365,$BD$5:BD364,1)=0,MAX($CC$5:CC364)+1,""),"")</f>
        <v/>
      </c>
      <c r="CD365" s="80" t="str">
        <f>IF(AND(BE365=1,D365="Malcolm",F365&amp;""&lt;&gt;""),IF(COUNTIFS($D$5:D364,"Malcolm",$F$5:F364,F365,$BE$5:BE364,1)=0,MAX($CD$5:CD364)+1,""),"")</f>
        <v/>
      </c>
      <c r="CE365" s="80" t="str">
        <f>IF(AND(BD365=1,D365="proMX",F365&amp;""&lt;&gt;""),IF(COUNTIFS($D$5:D364,"proMX",$F$5:F364,F365,$BD$5:BD364,1)=0,MAX($CE$5:CE364)+1,""),"")</f>
        <v/>
      </c>
      <c r="CF365" s="80" t="str">
        <f>IF(AND(D365="proMX",BD365=1),IF(OR(BF365="Draft",BF365="Submitted",BF365="Returned",BF365="Recall Requested"),MAX($CF$5:CF364)+1,""),"")</f>
        <v/>
      </c>
      <c r="CG365" s="80">
        <f>IF(BD365=0,0,IF(D365="Malcolm",1,MATCH(BF365,{"Draft","Submitted","Approved","Returned","Recall Requested","Cancelled"},0)+1))</f>
        <v>0</v>
      </c>
      <c r="CH365" s="80">
        <f>IF(AND(BF365="Submitted",ISNUMBER(V365)),IF(V365&gt;CFG_MAXD,1,0),0)</f>
        <v>0</v>
      </c>
    </row>
    <row r="366">
      <c r="A366" s="71" t="str">
        <f>IF(Y366=1,ROW()-5,"")</f>
        <v/>
      </c>
      <c r="B366" s="72" t="n"/>
      <c r="C366" s="71" t="str">
        <f>IF(ISNUMBER(B366),CHOOSE(WEEKDAY(B366,2),"Lun","Mar","Mié","Jue","Vie","Sáb","Dom"),"")</f>
        <v/>
      </c>
      <c r="D366" s="73" t="n"/>
      <c r="E366" s="74" t="n"/>
      <c r="F366" s="74" t="n"/>
      <c r="G366" s="74" t="n"/>
      <c r="H366" s="75" t="n"/>
      <c r="I366" s="75" t="n"/>
      <c r="J366" s="76" t="n"/>
      <c r="K366" s="77" t="str">
        <f>IF(AB366=1,ROUND(AG366/60,4),"")</f>
        <v/>
      </c>
      <c r="L366" s="77" t="str">
        <f>IF(BD366=1,ROUND(AP366/60,4),"")</f>
        <v/>
      </c>
      <c r="M366" s="77" t="str">
        <f>IF(BD366=1,ROUND(AQ366/60,4),"")</f>
        <v/>
      </c>
      <c r="N366" s="71" t="str">
        <f>IF(AND(D366="proMX",AB366=1),ROUND(AG366/CFG_BLK,2),"")</f>
        <v/>
      </c>
      <c r="O366" s="77" t="str">
        <f>IF(D366="proMX",IF(BD366=1,ROUND(AG366/60,4),0),"")</f>
        <v/>
      </c>
      <c r="P366" s="78" t="str">
        <f>IF(Y366=0,"",IF(BD366=1,"OK",IF(D366="proMX","Revisar bloques: ","Revisar: ")&amp;BC366))</f>
        <v/>
      </c>
      <c r="Q366" s="78" t="str">
        <f>IF(NOT(ISNUMBER(B366)),"",IF(COUNTIFS(FER_F,INT(B366))&gt;0,"Feriado"&amp;IF(AH366=1," (laborable)"," (no laborable)"),IF(AH366=1,"Laborable",IF(WEEKDAY(B366,2)&gt;5,"Fin de semana","No laborable"))))</f>
        <v/>
      </c>
      <c r="R366" s="73" t="n"/>
      <c r="S366" s="72" t="n"/>
      <c r="T366" s="72" t="n"/>
      <c r="U366" s="74" t="n"/>
      <c r="V366" s="79" t="str">
        <f>IF(AND(D366="proMX",OR(R366="Submitted",R366="Recall Requested"),ISNUMBER(S366)),CFG_TODAY-INT(S366),"")</f>
        <v/>
      </c>
      <c r="W366" s="78" t="str">
        <f>IF(BD366=0,"",IF(BA366&gt;0,"⚠ Se superpone con un registro de la otra empresa",IF(D366="Malcolm",IF(COUNTA(R366,S366,T366)&gt;0,"Estado/fechas proMX se ignoran en Malcolm",""),IF(BF366="Cancelled","Cancelado: excluido de totales",IF(R366="","Sin estado: se trata como Draft",IF(BF366="Submitted",IF(ISNUMBER(V366),IF(V366&gt;CFG_MAXD,"⚠ "&amp;V366&amp;" días en Submitted (máx. "&amp;CFG_MAXD&amp;")",""),"Falta fecha de envío"),IF(BF366="Returned","⚠ Devuelto: corregir y reenviar",IF(BF366="Recall Requested","Retirada solicitada: pendiente",IF(AND(BF366="Approved",NOT(ISNUMBER(T366))),"Falta fecha de aprobación",IF(AND(ISNUMBER(S366),ISNUMBER(T366),T366&lt;S366),"Aprobación anterior al envío","")))))))))</f>
        <v/>
      </c>
      <c r="Y366" s="80">
        <f>IF(COUNTA(B366,D366,E366,F366,G366,H366,I366,J366,R366,S366,T366)&gt;0,1,0)</f>
        <v>0</v>
      </c>
      <c r="Z366" s="80" t="str">
        <f>IF(AND(ISNUMBER(H366),H366&gt;=0,H366&lt;1),ROUND(H366*1440,0),"")</f>
        <v/>
      </c>
      <c r="AA366" s="80" t="str">
        <f>IF(AND(ISNUMBER(I366),I366&gt;=0,I366&lt;1),ROUND(I366*1440,0),"")</f>
        <v/>
      </c>
      <c r="AB366" s="80">
        <f>IF(AND(ISNUMBER(B366),D366&lt;&gt;"",ISNUMBER(Z366),ISNUMBER(AA366)),IF(Z366=AA366,0,1),0)</f>
        <v>0</v>
      </c>
      <c r="AC366" s="80">
        <f>IF(AB366=1,IF(AA366&lt;Z366,1,0),0)</f>
        <v>0</v>
      </c>
      <c r="AD366" s="80">
        <f>IF(AB366=1,IF(AC366=1,1440-Z366+AA366,AA366-Z366),0)</f>
        <v>0</v>
      </c>
      <c r="AE366" s="80">
        <f>IF(J366="",0,IF(ISNUMBER(J366),J366,-1))</f>
        <v>0</v>
      </c>
      <c r="AF366" s="80">
        <f>MIN(MAX(0,AE366),AD366)</f>
        <v>0</v>
      </c>
      <c r="AG366" s="80">
        <f>MAX(0,AD366-MAX(0,AE366))</f>
        <v>0</v>
      </c>
      <c r="AH366" s="80">
        <f>IF(ISNUMBER(B366),IF(AND(INDEX(CFG_WDAYS,WEEKDAY(INT(B366),2))="Sí",IF(D366="proMX",COUNTIFS(FER_F,INT(B366),FER_NLP,"Sí"),COUNTIFS(FER_F,INT(B366),FER_NLM,"Sí"))=0),1,0),0)</f>
        <v>0</v>
      </c>
      <c r="AI366" s="80">
        <f>IF(AC366=1,IF(AND(INDEX(CFG_WDAYS,WEEKDAY(INT(B366)+1,2))="Sí",IF(D366="proMX",COUNTIFS(FER_F,INT(B366)+1,FER_NLP,"Sí"),COUNTIFS(FER_F,INT(B366)+1,FER_NLM,"Sí"))=0),1,0),0)</f>
        <v>0</v>
      </c>
      <c r="AJ366" s="80">
        <f>IF(AC366=1,1440-Z366,AD366)</f>
        <v>0</v>
      </c>
      <c r="AK366" s="80">
        <f>IF(AND(AB366=1,AH366=1),MAX(0,MIN(IF(AC366=1,1440,AA366),CFG_WEM)-MAX(Z366,CFG_WSM)),0)</f>
        <v>0</v>
      </c>
      <c r="AL366" s="80">
        <f>IF(AND(AC366=1,AI366=1),MAX(0,MIN(AA366,CFG_WEM)-CFG_WSM),0)</f>
        <v>0</v>
      </c>
      <c r="AM366" s="80">
        <f>AK366+AL366</f>
        <v>0</v>
      </c>
      <c r="AN366" s="80">
        <f>IF(CFG_BRK="Proporcional",IF(AD366=0,0,AF366*AM366/AD366),IF(CFG_BRK="Extras primero",MIN(AM366,MAX(0,AF366-(AD366-AM366))),MIN(AF366,AM366)))</f>
        <v>0</v>
      </c>
      <c r="AO366" s="80">
        <f>AF366-AN366</f>
        <v>0</v>
      </c>
      <c r="AP366" s="80">
        <f>AM366-AN366</f>
        <v>0</v>
      </c>
      <c r="AQ366" s="80">
        <f>AD366-AM366-AO366</f>
        <v>0</v>
      </c>
      <c r="AR366" s="80">
        <f>IF(AM366=0,0,AK366-AN366*AK366/AM366)</f>
        <v>0</v>
      </c>
      <c r="AS366" s="80">
        <f>IF(AD366-AM366=0,0,(AJ366-AK366)-AO366*(AJ366-AK366)/(AD366-AM366))</f>
        <v>0</v>
      </c>
      <c r="AT366" s="80" t="str">
        <f>IF(AC366=1,INT(B366)+1,"")</f>
        <v/>
      </c>
      <c r="AU366" s="80">
        <f>IF(AND(D366="proMX",R366="Cancelled"),0,1)</f>
        <v>1</v>
      </c>
      <c r="AV366" s="80">
        <f>IF(AND(AB366=1,AU366=1),IF(COUNTIFS($D$5:D365,D366,$B$5:B365,B366,$Z$5:Z365,Z366,$AA$5:AA365,AA366,$F$5:F365,F366&amp;"",$AU$5:AU365,1)&gt;0,1,0),0)</f>
        <v>0</v>
      </c>
      <c r="AW366" s="80" t="str">
        <f>IF(AB366=1,INT(B366)*1440+Z366,"")</f>
        <v/>
      </c>
      <c r="AX366" s="80" t="str">
        <f>IF(AB366=1,AW366+AD366,"")</f>
        <v/>
      </c>
      <c r="AY366" s="80">
        <f>IF(AND(AB366=1,AV366=0,AU366=1),1,0)</f>
        <v>0</v>
      </c>
      <c r="AZ366" s="80">
        <f>IF(AY366=1,COUNTIFS(R_Emp,D366,R_SAbs,"&lt;"&amp;AX366,R_EAbs,"&gt;"&amp;AW366,R_OKey,1)-1,0)</f>
        <v>0</v>
      </c>
      <c r="BA366" s="80">
        <f>IF(AY366=1,COUNTIFS(R_Emp,"&lt;&gt;"&amp;D366,R_SAbs,"&lt;"&amp;AX366,R_EAbs,"&gt;"&amp;AW366,R_OKey,1),0)</f>
        <v>0</v>
      </c>
      <c r="BB366" s="80">
        <f>IF(AND(AB366=1,D366="proMX"),IF(AND(MOD(Z366,CFG_BLK)=0,MOD(AA366,CFG_BLK)=0,MOD(AG366,CFG_BLK)=0,AG366&gt;0),1,0),1)</f>
        <v>1</v>
      </c>
      <c r="BC366" s="80" t="str">
        <f>IF(Y366=0,"",IF(NOT(ISNUMBER(B366)),"Falta fecha o fecha inválida",IF(D366="","Falta empresa",IF(AND(D366&lt;&gt;"Malcolm",D366&lt;&gt;"proMX"),"Empresa inválida",IF(OR(INT(B366)&lt;CFG_PSTART,INT(B366)&gt;CFG_PEND),"Fecha fuera del período",IF(OR(NOT(ISNUMBER(Z366)),NOT(ISNUMBER(AA366))),"Falta hora inicio/fin o formato inválido",IF(AB366=0,"Hora inicio = hora fin",IF(AE366&lt;0,"Descanso inválido",IF(AE366&gt;=AD366,"Descanso ≥ duración",IF(AV366=1,"Registro duplicado",IF(AZ366&gt;0,"Se superpone con otro registro "&amp;D366,IF(BB366=0,"inicio, fin y duración neta deben ser múltiplos de "&amp;CFG_BLK&amp;" min",""))))))))))))</f>
        <v/>
      </c>
      <c r="BD366" s="80">
        <f>IF(AND(Y366=1,BC366=""),1,0)</f>
        <v>0</v>
      </c>
      <c r="BE366" s="80">
        <f>IF(AND(BD366=1,AU366=1),1,0)</f>
        <v>0</v>
      </c>
      <c r="BF366" s="80" t="str">
        <f>IF(AND(D366="proMX",BD366=1),IF(R366="","Draft",R366),"")</f>
        <v/>
      </c>
      <c r="BG366" s="80">
        <f>IF(BD366=1,ROUND(AG366/60,6),0)</f>
        <v>0</v>
      </c>
      <c r="BH366" s="80">
        <f>IF(BE366=1,ROUND(AG366/60,6),0)</f>
        <v>0</v>
      </c>
      <c r="BI366" s="80">
        <f>IF(BE366=1,ROUND(AP366/60,6),0)</f>
        <v>0</v>
      </c>
      <c r="BJ366" s="80">
        <f>IF(BE366=1,ROUND(AQ366/60,6),0)</f>
        <v>0</v>
      </c>
      <c r="BK366" s="80">
        <f>IF(BE366=1,ROUND((AR366+AS366)/60,6),0)</f>
        <v>0</v>
      </c>
      <c r="BL366" s="80">
        <f>ROUND(BH366-BK366,6)</f>
        <v>0</v>
      </c>
      <c r="BM366" s="80">
        <f>IF(BE366=1,ROUND(AR366/60,6),0)</f>
        <v>0</v>
      </c>
      <c r="BN366" s="80">
        <f>ROUND(BI366-BM366,6)</f>
        <v>0</v>
      </c>
      <c r="BO366" s="80">
        <f>IF(BE366=1,ROUND(AS366/60,6),0)</f>
        <v>0</v>
      </c>
      <c r="BP366" s="80">
        <f>ROUND(BJ366-BO366,6)</f>
        <v>0</v>
      </c>
      <c r="BQ366" s="80">
        <f>IF(BE366=1,AW366,0)</f>
        <v>0</v>
      </c>
      <c r="BR366" s="80">
        <f>IF(BE366=1,AX366,0)</f>
        <v>0</v>
      </c>
      <c r="BS366" s="80">
        <f>IF(AND(BE366=1,D366="Malcolm",BA366&gt;0),MIN(BH366,SUMPRODUCT((R_Emp="proMX")*(R_EN&gt;0)*((R_EN-(R_EN&gt;BR366)*(R_EN-BR366))&gt;(R_SN+(R_SN&lt;BQ366)*(BQ366-R_SN)))*((R_EN-(R_EN&gt;BR366)*(R_EN-BR366))-(R_SN+(R_SN&lt;BQ366)*(BQ366-R_SN))))/60),0)</f>
        <v>0</v>
      </c>
      <c r="BT366" s="80">
        <f>IF(AND(BE366=1,D366="proMX"),ROUND(BI366*CFG_RATE+BJ366*CFG_OTRATE,6),0)</f>
        <v>0</v>
      </c>
      <c r="BU366" s="80">
        <f>IF(AND(BD366=1,D366="proMX"),ROUND(AG366/CFG_BLK,6),0)</f>
        <v>0</v>
      </c>
      <c r="BV366" s="80" t="str">
        <f>IF(BF366="Approved",IF(ISNUMBER(T366),INT(T366),INT(B366)),"")</f>
        <v/>
      </c>
      <c r="BW366" s="80">
        <f>IF(ISNUMBER(B366),IF(DB_MON="Todos",1,IF(AND(INT(B366)&gt;=DB_MS,INT(B366)&lt;=DB_ME),1,0)),0)</f>
        <v>0</v>
      </c>
      <c r="BX366" s="80">
        <f>IF(DB_PROJ="Todos",1,IF(E366&amp;""=DB_PROJ&amp;"",1,0))</f>
        <v>1</v>
      </c>
      <c r="BY366" s="80">
        <f>BW366*BX366</f>
        <v>0</v>
      </c>
      <c r="BZ366" s="80" t="str">
        <f>IF(Y366=1,F366&amp;IF(AND(F366&amp;""&lt;&gt;"",E366&amp;""&lt;&gt;"")," · ","")&amp;E366,"")</f>
        <v/>
      </c>
      <c r="CA366" s="80" t="str">
        <f>IF(AND(BD366=1,E366&amp;""&lt;&gt;""),IF(COUNTIFS($E$5:E365,E366,$BD$5:BD365,1)=0,MAX($CA$5:CA365)+1,""),"")</f>
        <v/>
      </c>
      <c r="CB366" s="80" t="str">
        <f>IF(AND(BE366=1,D366="Malcolm",E366&amp;""&lt;&gt;""),IF(COUNTIFS($D$5:D365,"Malcolm",$E$5:E365,E366,$BE$5:BE365,1)=0,MAX($CB$5:CB365)+1,""),"")</f>
        <v/>
      </c>
      <c r="CC366" s="80" t="str">
        <f>IF(AND(BD366=1,D366="proMX",E366&amp;""&lt;&gt;""),IF(COUNTIFS($D$5:D365,"proMX",$E$5:E365,E366,$BD$5:BD365,1)=0,MAX($CC$5:CC365)+1,""),"")</f>
        <v/>
      </c>
      <c r="CD366" s="80" t="str">
        <f>IF(AND(BE366=1,D366="Malcolm",F366&amp;""&lt;&gt;""),IF(COUNTIFS($D$5:D365,"Malcolm",$F$5:F365,F366,$BE$5:BE365,1)=0,MAX($CD$5:CD365)+1,""),"")</f>
        <v/>
      </c>
      <c r="CE366" s="80" t="str">
        <f>IF(AND(BD366=1,D366="proMX",F366&amp;""&lt;&gt;""),IF(COUNTIFS($D$5:D365,"proMX",$F$5:F365,F366,$BD$5:BD365,1)=0,MAX($CE$5:CE365)+1,""),"")</f>
        <v/>
      </c>
      <c r="CF366" s="80" t="str">
        <f>IF(AND(D366="proMX",BD366=1),IF(OR(BF366="Draft",BF366="Submitted",BF366="Returned",BF366="Recall Requested"),MAX($CF$5:CF365)+1,""),"")</f>
        <v/>
      </c>
      <c r="CG366" s="80">
        <f>IF(BD366=0,0,IF(D366="Malcolm",1,MATCH(BF366,{"Draft","Submitted","Approved","Returned","Recall Requested","Cancelled"},0)+1))</f>
        <v>0</v>
      </c>
      <c r="CH366" s="80">
        <f>IF(AND(BF366="Submitted",ISNUMBER(V366)),IF(V366&gt;CFG_MAXD,1,0),0)</f>
        <v>0</v>
      </c>
    </row>
    <row r="367">
      <c r="A367" s="71" t="str">
        <f>IF(Y367=1,ROW()-5,"")</f>
        <v/>
      </c>
      <c r="B367" s="72" t="n"/>
      <c r="C367" s="71" t="str">
        <f>IF(ISNUMBER(B367),CHOOSE(WEEKDAY(B367,2),"Lun","Mar","Mié","Jue","Vie","Sáb","Dom"),"")</f>
        <v/>
      </c>
      <c r="D367" s="73" t="n"/>
      <c r="E367" s="74" t="n"/>
      <c r="F367" s="74" t="n"/>
      <c r="G367" s="74" t="n"/>
      <c r="H367" s="75" t="n"/>
      <c r="I367" s="75" t="n"/>
      <c r="J367" s="76" t="n"/>
      <c r="K367" s="77" t="str">
        <f>IF(AB367=1,ROUND(AG367/60,4),"")</f>
        <v/>
      </c>
      <c r="L367" s="77" t="str">
        <f>IF(BD367=1,ROUND(AP367/60,4),"")</f>
        <v/>
      </c>
      <c r="M367" s="77" t="str">
        <f>IF(BD367=1,ROUND(AQ367/60,4),"")</f>
        <v/>
      </c>
      <c r="N367" s="71" t="str">
        <f>IF(AND(D367="proMX",AB367=1),ROUND(AG367/CFG_BLK,2),"")</f>
        <v/>
      </c>
      <c r="O367" s="77" t="str">
        <f>IF(D367="proMX",IF(BD367=1,ROUND(AG367/60,4),0),"")</f>
        <v/>
      </c>
      <c r="P367" s="78" t="str">
        <f>IF(Y367=0,"",IF(BD367=1,"OK",IF(D367="proMX","Revisar bloques: ","Revisar: ")&amp;BC367))</f>
        <v/>
      </c>
      <c r="Q367" s="78" t="str">
        <f>IF(NOT(ISNUMBER(B367)),"",IF(COUNTIFS(FER_F,INT(B367))&gt;0,"Feriado"&amp;IF(AH367=1," (laborable)"," (no laborable)"),IF(AH367=1,"Laborable",IF(WEEKDAY(B367,2)&gt;5,"Fin de semana","No laborable"))))</f>
        <v/>
      </c>
      <c r="R367" s="73" t="n"/>
      <c r="S367" s="72" t="n"/>
      <c r="T367" s="72" t="n"/>
      <c r="U367" s="74" t="n"/>
      <c r="V367" s="79" t="str">
        <f>IF(AND(D367="proMX",OR(R367="Submitted",R367="Recall Requested"),ISNUMBER(S367)),CFG_TODAY-INT(S367),"")</f>
        <v/>
      </c>
      <c r="W367" s="78" t="str">
        <f>IF(BD367=0,"",IF(BA367&gt;0,"⚠ Se superpone con un registro de la otra empresa",IF(D367="Malcolm",IF(COUNTA(R367,S367,T367)&gt;0,"Estado/fechas proMX se ignoran en Malcolm",""),IF(BF367="Cancelled","Cancelado: excluido de totales",IF(R367="","Sin estado: se trata como Draft",IF(BF367="Submitted",IF(ISNUMBER(V367),IF(V367&gt;CFG_MAXD,"⚠ "&amp;V367&amp;" días en Submitted (máx. "&amp;CFG_MAXD&amp;")",""),"Falta fecha de envío"),IF(BF367="Returned","⚠ Devuelto: corregir y reenviar",IF(BF367="Recall Requested","Retirada solicitada: pendiente",IF(AND(BF367="Approved",NOT(ISNUMBER(T367))),"Falta fecha de aprobación",IF(AND(ISNUMBER(S367),ISNUMBER(T367),T367&lt;S367),"Aprobación anterior al envío","")))))))))</f>
        <v/>
      </c>
      <c r="Y367" s="80">
        <f>IF(COUNTA(B367,D367,E367,F367,G367,H367,I367,J367,R367,S367,T367)&gt;0,1,0)</f>
        <v>0</v>
      </c>
      <c r="Z367" s="80" t="str">
        <f>IF(AND(ISNUMBER(H367),H367&gt;=0,H367&lt;1),ROUND(H367*1440,0),"")</f>
        <v/>
      </c>
      <c r="AA367" s="80" t="str">
        <f>IF(AND(ISNUMBER(I367),I367&gt;=0,I367&lt;1),ROUND(I367*1440,0),"")</f>
        <v/>
      </c>
      <c r="AB367" s="80">
        <f>IF(AND(ISNUMBER(B367),D367&lt;&gt;"",ISNUMBER(Z367),ISNUMBER(AA367)),IF(Z367=AA367,0,1),0)</f>
        <v>0</v>
      </c>
      <c r="AC367" s="80">
        <f>IF(AB367=1,IF(AA367&lt;Z367,1,0),0)</f>
        <v>0</v>
      </c>
      <c r="AD367" s="80">
        <f>IF(AB367=1,IF(AC367=1,1440-Z367+AA367,AA367-Z367),0)</f>
        <v>0</v>
      </c>
      <c r="AE367" s="80">
        <f>IF(J367="",0,IF(ISNUMBER(J367),J367,-1))</f>
        <v>0</v>
      </c>
      <c r="AF367" s="80">
        <f>MIN(MAX(0,AE367),AD367)</f>
        <v>0</v>
      </c>
      <c r="AG367" s="80">
        <f>MAX(0,AD367-MAX(0,AE367))</f>
        <v>0</v>
      </c>
      <c r="AH367" s="80">
        <f>IF(ISNUMBER(B367),IF(AND(INDEX(CFG_WDAYS,WEEKDAY(INT(B367),2))="Sí",IF(D367="proMX",COUNTIFS(FER_F,INT(B367),FER_NLP,"Sí"),COUNTIFS(FER_F,INT(B367),FER_NLM,"Sí"))=0),1,0),0)</f>
        <v>0</v>
      </c>
      <c r="AI367" s="80">
        <f>IF(AC367=1,IF(AND(INDEX(CFG_WDAYS,WEEKDAY(INT(B367)+1,2))="Sí",IF(D367="proMX",COUNTIFS(FER_F,INT(B367)+1,FER_NLP,"Sí"),COUNTIFS(FER_F,INT(B367)+1,FER_NLM,"Sí"))=0),1,0),0)</f>
        <v>0</v>
      </c>
      <c r="AJ367" s="80">
        <f>IF(AC367=1,1440-Z367,AD367)</f>
        <v>0</v>
      </c>
      <c r="AK367" s="80">
        <f>IF(AND(AB367=1,AH367=1),MAX(0,MIN(IF(AC367=1,1440,AA367),CFG_WEM)-MAX(Z367,CFG_WSM)),0)</f>
        <v>0</v>
      </c>
      <c r="AL367" s="80">
        <f>IF(AND(AC367=1,AI367=1),MAX(0,MIN(AA367,CFG_WEM)-CFG_WSM),0)</f>
        <v>0</v>
      </c>
      <c r="AM367" s="80">
        <f>AK367+AL367</f>
        <v>0</v>
      </c>
      <c r="AN367" s="80">
        <f>IF(CFG_BRK="Proporcional",IF(AD367=0,0,AF367*AM367/AD367),IF(CFG_BRK="Extras primero",MIN(AM367,MAX(0,AF367-(AD367-AM367))),MIN(AF367,AM367)))</f>
        <v>0</v>
      </c>
      <c r="AO367" s="80">
        <f>AF367-AN367</f>
        <v>0</v>
      </c>
      <c r="AP367" s="80">
        <f>AM367-AN367</f>
        <v>0</v>
      </c>
      <c r="AQ367" s="80">
        <f>AD367-AM367-AO367</f>
        <v>0</v>
      </c>
      <c r="AR367" s="80">
        <f>IF(AM367=0,0,AK367-AN367*AK367/AM367)</f>
        <v>0</v>
      </c>
      <c r="AS367" s="80">
        <f>IF(AD367-AM367=0,0,(AJ367-AK367)-AO367*(AJ367-AK367)/(AD367-AM367))</f>
        <v>0</v>
      </c>
      <c r="AT367" s="80" t="str">
        <f>IF(AC367=1,INT(B367)+1,"")</f>
        <v/>
      </c>
      <c r="AU367" s="80">
        <f>IF(AND(D367="proMX",R367="Cancelled"),0,1)</f>
        <v>1</v>
      </c>
      <c r="AV367" s="80">
        <f>IF(AND(AB367=1,AU367=1),IF(COUNTIFS($D$5:D366,D367,$B$5:B366,B367,$Z$5:Z366,Z367,$AA$5:AA366,AA367,$F$5:F366,F367&amp;"",$AU$5:AU366,1)&gt;0,1,0),0)</f>
        <v>0</v>
      </c>
      <c r="AW367" s="80" t="str">
        <f>IF(AB367=1,INT(B367)*1440+Z367,"")</f>
        <v/>
      </c>
      <c r="AX367" s="80" t="str">
        <f>IF(AB367=1,AW367+AD367,"")</f>
        <v/>
      </c>
      <c r="AY367" s="80">
        <f>IF(AND(AB367=1,AV367=0,AU367=1),1,0)</f>
        <v>0</v>
      </c>
      <c r="AZ367" s="80">
        <f>IF(AY367=1,COUNTIFS(R_Emp,D367,R_SAbs,"&lt;"&amp;AX367,R_EAbs,"&gt;"&amp;AW367,R_OKey,1)-1,0)</f>
        <v>0</v>
      </c>
      <c r="BA367" s="80">
        <f>IF(AY367=1,COUNTIFS(R_Emp,"&lt;&gt;"&amp;D367,R_SAbs,"&lt;"&amp;AX367,R_EAbs,"&gt;"&amp;AW367,R_OKey,1),0)</f>
        <v>0</v>
      </c>
      <c r="BB367" s="80">
        <f>IF(AND(AB367=1,D367="proMX"),IF(AND(MOD(Z367,CFG_BLK)=0,MOD(AA367,CFG_BLK)=0,MOD(AG367,CFG_BLK)=0,AG367&gt;0),1,0),1)</f>
        <v>1</v>
      </c>
      <c r="BC367" s="80" t="str">
        <f>IF(Y367=0,"",IF(NOT(ISNUMBER(B367)),"Falta fecha o fecha inválida",IF(D367="","Falta empresa",IF(AND(D367&lt;&gt;"Malcolm",D367&lt;&gt;"proMX"),"Empresa inválida",IF(OR(INT(B367)&lt;CFG_PSTART,INT(B367)&gt;CFG_PEND),"Fecha fuera del período",IF(OR(NOT(ISNUMBER(Z367)),NOT(ISNUMBER(AA367))),"Falta hora inicio/fin o formato inválido",IF(AB367=0,"Hora inicio = hora fin",IF(AE367&lt;0,"Descanso inválido",IF(AE367&gt;=AD367,"Descanso ≥ duración",IF(AV367=1,"Registro duplicado",IF(AZ367&gt;0,"Se superpone con otro registro "&amp;D367,IF(BB367=0,"inicio, fin y duración neta deben ser múltiplos de "&amp;CFG_BLK&amp;" min",""))))))))))))</f>
        <v/>
      </c>
      <c r="BD367" s="80">
        <f>IF(AND(Y367=1,BC367=""),1,0)</f>
        <v>0</v>
      </c>
      <c r="BE367" s="80">
        <f>IF(AND(BD367=1,AU367=1),1,0)</f>
        <v>0</v>
      </c>
      <c r="BF367" s="80" t="str">
        <f>IF(AND(D367="proMX",BD367=1),IF(R367="","Draft",R367),"")</f>
        <v/>
      </c>
      <c r="BG367" s="80">
        <f>IF(BD367=1,ROUND(AG367/60,6),0)</f>
        <v>0</v>
      </c>
      <c r="BH367" s="80">
        <f>IF(BE367=1,ROUND(AG367/60,6),0)</f>
        <v>0</v>
      </c>
      <c r="BI367" s="80">
        <f>IF(BE367=1,ROUND(AP367/60,6),0)</f>
        <v>0</v>
      </c>
      <c r="BJ367" s="80">
        <f>IF(BE367=1,ROUND(AQ367/60,6),0)</f>
        <v>0</v>
      </c>
      <c r="BK367" s="80">
        <f>IF(BE367=1,ROUND((AR367+AS367)/60,6),0)</f>
        <v>0</v>
      </c>
      <c r="BL367" s="80">
        <f>ROUND(BH367-BK367,6)</f>
        <v>0</v>
      </c>
      <c r="BM367" s="80">
        <f>IF(BE367=1,ROUND(AR367/60,6),0)</f>
        <v>0</v>
      </c>
      <c r="BN367" s="80">
        <f>ROUND(BI367-BM367,6)</f>
        <v>0</v>
      </c>
      <c r="BO367" s="80">
        <f>IF(BE367=1,ROUND(AS367/60,6),0)</f>
        <v>0</v>
      </c>
      <c r="BP367" s="80">
        <f>ROUND(BJ367-BO367,6)</f>
        <v>0</v>
      </c>
      <c r="BQ367" s="80">
        <f>IF(BE367=1,AW367,0)</f>
        <v>0</v>
      </c>
      <c r="BR367" s="80">
        <f>IF(BE367=1,AX367,0)</f>
        <v>0</v>
      </c>
      <c r="BS367" s="80">
        <f>IF(AND(BE367=1,D367="Malcolm",BA367&gt;0),MIN(BH367,SUMPRODUCT((R_Emp="proMX")*(R_EN&gt;0)*((R_EN-(R_EN&gt;BR367)*(R_EN-BR367))&gt;(R_SN+(R_SN&lt;BQ367)*(BQ367-R_SN)))*((R_EN-(R_EN&gt;BR367)*(R_EN-BR367))-(R_SN+(R_SN&lt;BQ367)*(BQ367-R_SN))))/60),0)</f>
        <v>0</v>
      </c>
      <c r="BT367" s="80">
        <f>IF(AND(BE367=1,D367="proMX"),ROUND(BI367*CFG_RATE+BJ367*CFG_OTRATE,6),0)</f>
        <v>0</v>
      </c>
      <c r="BU367" s="80">
        <f>IF(AND(BD367=1,D367="proMX"),ROUND(AG367/CFG_BLK,6),0)</f>
        <v>0</v>
      </c>
      <c r="BV367" s="80" t="str">
        <f>IF(BF367="Approved",IF(ISNUMBER(T367),INT(T367),INT(B367)),"")</f>
        <v/>
      </c>
      <c r="BW367" s="80">
        <f>IF(ISNUMBER(B367),IF(DB_MON="Todos",1,IF(AND(INT(B367)&gt;=DB_MS,INT(B367)&lt;=DB_ME),1,0)),0)</f>
        <v>0</v>
      </c>
      <c r="BX367" s="80">
        <f>IF(DB_PROJ="Todos",1,IF(E367&amp;""=DB_PROJ&amp;"",1,0))</f>
        <v>1</v>
      </c>
      <c r="BY367" s="80">
        <f>BW367*BX367</f>
        <v>0</v>
      </c>
      <c r="BZ367" s="80" t="str">
        <f>IF(Y367=1,F367&amp;IF(AND(F367&amp;""&lt;&gt;"",E367&amp;""&lt;&gt;"")," · ","")&amp;E367,"")</f>
        <v/>
      </c>
      <c r="CA367" s="80" t="str">
        <f>IF(AND(BD367=1,E367&amp;""&lt;&gt;""),IF(COUNTIFS($E$5:E366,E367,$BD$5:BD366,1)=0,MAX($CA$5:CA366)+1,""),"")</f>
        <v/>
      </c>
      <c r="CB367" s="80" t="str">
        <f>IF(AND(BE367=1,D367="Malcolm",E367&amp;""&lt;&gt;""),IF(COUNTIFS($D$5:D366,"Malcolm",$E$5:E366,E367,$BE$5:BE366,1)=0,MAX($CB$5:CB366)+1,""),"")</f>
        <v/>
      </c>
      <c r="CC367" s="80" t="str">
        <f>IF(AND(BD367=1,D367="proMX",E367&amp;""&lt;&gt;""),IF(COUNTIFS($D$5:D366,"proMX",$E$5:E366,E367,$BD$5:BD366,1)=0,MAX($CC$5:CC366)+1,""),"")</f>
        <v/>
      </c>
      <c r="CD367" s="80" t="str">
        <f>IF(AND(BE367=1,D367="Malcolm",F367&amp;""&lt;&gt;""),IF(COUNTIFS($D$5:D366,"Malcolm",$F$5:F366,F367,$BE$5:BE366,1)=0,MAX($CD$5:CD366)+1,""),"")</f>
        <v/>
      </c>
      <c r="CE367" s="80" t="str">
        <f>IF(AND(BD367=1,D367="proMX",F367&amp;""&lt;&gt;""),IF(COUNTIFS($D$5:D366,"proMX",$F$5:F366,F367,$BD$5:BD366,1)=0,MAX($CE$5:CE366)+1,""),"")</f>
        <v/>
      </c>
      <c r="CF367" s="80" t="str">
        <f>IF(AND(D367="proMX",BD367=1),IF(OR(BF367="Draft",BF367="Submitted",BF367="Returned",BF367="Recall Requested"),MAX($CF$5:CF366)+1,""),"")</f>
        <v/>
      </c>
      <c r="CG367" s="80">
        <f>IF(BD367=0,0,IF(D367="Malcolm",1,MATCH(BF367,{"Draft","Submitted","Approved","Returned","Recall Requested","Cancelled"},0)+1))</f>
        <v>0</v>
      </c>
      <c r="CH367" s="80">
        <f>IF(AND(BF367="Submitted",ISNUMBER(V367)),IF(V367&gt;CFG_MAXD,1,0),0)</f>
        <v>0</v>
      </c>
    </row>
    <row r="368">
      <c r="A368" s="71" t="str">
        <f>IF(Y368=1,ROW()-5,"")</f>
        <v/>
      </c>
      <c r="B368" s="72" t="n"/>
      <c r="C368" s="71" t="str">
        <f>IF(ISNUMBER(B368),CHOOSE(WEEKDAY(B368,2),"Lun","Mar","Mié","Jue","Vie","Sáb","Dom"),"")</f>
        <v/>
      </c>
      <c r="D368" s="73" t="n"/>
      <c r="E368" s="74" t="n"/>
      <c r="F368" s="74" t="n"/>
      <c r="G368" s="74" t="n"/>
      <c r="H368" s="75" t="n"/>
      <c r="I368" s="75" t="n"/>
      <c r="J368" s="76" t="n"/>
      <c r="K368" s="77" t="str">
        <f>IF(AB368=1,ROUND(AG368/60,4),"")</f>
        <v/>
      </c>
      <c r="L368" s="77" t="str">
        <f>IF(BD368=1,ROUND(AP368/60,4),"")</f>
        <v/>
      </c>
      <c r="M368" s="77" t="str">
        <f>IF(BD368=1,ROUND(AQ368/60,4),"")</f>
        <v/>
      </c>
      <c r="N368" s="71" t="str">
        <f>IF(AND(D368="proMX",AB368=1),ROUND(AG368/CFG_BLK,2),"")</f>
        <v/>
      </c>
      <c r="O368" s="77" t="str">
        <f>IF(D368="proMX",IF(BD368=1,ROUND(AG368/60,4),0),"")</f>
        <v/>
      </c>
      <c r="P368" s="78" t="str">
        <f>IF(Y368=0,"",IF(BD368=1,"OK",IF(D368="proMX","Revisar bloques: ","Revisar: ")&amp;BC368))</f>
        <v/>
      </c>
      <c r="Q368" s="78" t="str">
        <f>IF(NOT(ISNUMBER(B368)),"",IF(COUNTIFS(FER_F,INT(B368))&gt;0,"Feriado"&amp;IF(AH368=1," (laborable)"," (no laborable)"),IF(AH368=1,"Laborable",IF(WEEKDAY(B368,2)&gt;5,"Fin de semana","No laborable"))))</f>
        <v/>
      </c>
      <c r="R368" s="73" t="n"/>
      <c r="S368" s="72" t="n"/>
      <c r="T368" s="72" t="n"/>
      <c r="U368" s="74" t="n"/>
      <c r="V368" s="79" t="str">
        <f>IF(AND(D368="proMX",OR(R368="Submitted",R368="Recall Requested"),ISNUMBER(S368)),CFG_TODAY-INT(S368),"")</f>
        <v/>
      </c>
      <c r="W368" s="78" t="str">
        <f>IF(BD368=0,"",IF(BA368&gt;0,"⚠ Se superpone con un registro de la otra empresa",IF(D368="Malcolm",IF(COUNTA(R368,S368,T368)&gt;0,"Estado/fechas proMX se ignoran en Malcolm",""),IF(BF368="Cancelled","Cancelado: excluido de totales",IF(R368="","Sin estado: se trata como Draft",IF(BF368="Submitted",IF(ISNUMBER(V368),IF(V368&gt;CFG_MAXD,"⚠ "&amp;V368&amp;" días en Submitted (máx. "&amp;CFG_MAXD&amp;")",""),"Falta fecha de envío"),IF(BF368="Returned","⚠ Devuelto: corregir y reenviar",IF(BF368="Recall Requested","Retirada solicitada: pendiente",IF(AND(BF368="Approved",NOT(ISNUMBER(T368))),"Falta fecha de aprobación",IF(AND(ISNUMBER(S368),ISNUMBER(T368),T368&lt;S368),"Aprobación anterior al envío","")))))))))</f>
        <v/>
      </c>
      <c r="Y368" s="80">
        <f>IF(COUNTA(B368,D368,E368,F368,G368,H368,I368,J368,R368,S368,T368)&gt;0,1,0)</f>
        <v>0</v>
      </c>
      <c r="Z368" s="80" t="str">
        <f>IF(AND(ISNUMBER(H368),H368&gt;=0,H368&lt;1),ROUND(H368*1440,0),"")</f>
        <v/>
      </c>
      <c r="AA368" s="80" t="str">
        <f>IF(AND(ISNUMBER(I368),I368&gt;=0,I368&lt;1),ROUND(I368*1440,0),"")</f>
        <v/>
      </c>
      <c r="AB368" s="80">
        <f>IF(AND(ISNUMBER(B368),D368&lt;&gt;"",ISNUMBER(Z368),ISNUMBER(AA368)),IF(Z368=AA368,0,1),0)</f>
        <v>0</v>
      </c>
      <c r="AC368" s="80">
        <f>IF(AB368=1,IF(AA368&lt;Z368,1,0),0)</f>
        <v>0</v>
      </c>
      <c r="AD368" s="80">
        <f>IF(AB368=1,IF(AC368=1,1440-Z368+AA368,AA368-Z368),0)</f>
        <v>0</v>
      </c>
      <c r="AE368" s="80">
        <f>IF(J368="",0,IF(ISNUMBER(J368),J368,-1))</f>
        <v>0</v>
      </c>
      <c r="AF368" s="80">
        <f>MIN(MAX(0,AE368),AD368)</f>
        <v>0</v>
      </c>
      <c r="AG368" s="80">
        <f>MAX(0,AD368-MAX(0,AE368))</f>
        <v>0</v>
      </c>
      <c r="AH368" s="80">
        <f>IF(ISNUMBER(B368),IF(AND(INDEX(CFG_WDAYS,WEEKDAY(INT(B368),2))="Sí",IF(D368="proMX",COUNTIFS(FER_F,INT(B368),FER_NLP,"Sí"),COUNTIFS(FER_F,INT(B368),FER_NLM,"Sí"))=0),1,0),0)</f>
        <v>0</v>
      </c>
      <c r="AI368" s="80">
        <f>IF(AC368=1,IF(AND(INDEX(CFG_WDAYS,WEEKDAY(INT(B368)+1,2))="Sí",IF(D368="proMX",COUNTIFS(FER_F,INT(B368)+1,FER_NLP,"Sí"),COUNTIFS(FER_F,INT(B368)+1,FER_NLM,"Sí"))=0),1,0),0)</f>
        <v>0</v>
      </c>
      <c r="AJ368" s="80">
        <f>IF(AC368=1,1440-Z368,AD368)</f>
        <v>0</v>
      </c>
      <c r="AK368" s="80">
        <f>IF(AND(AB368=1,AH368=1),MAX(0,MIN(IF(AC368=1,1440,AA368),CFG_WEM)-MAX(Z368,CFG_WSM)),0)</f>
        <v>0</v>
      </c>
      <c r="AL368" s="80">
        <f>IF(AND(AC368=1,AI368=1),MAX(0,MIN(AA368,CFG_WEM)-CFG_WSM),0)</f>
        <v>0</v>
      </c>
      <c r="AM368" s="80">
        <f>AK368+AL368</f>
        <v>0</v>
      </c>
      <c r="AN368" s="80">
        <f>IF(CFG_BRK="Proporcional",IF(AD368=0,0,AF368*AM368/AD368),IF(CFG_BRK="Extras primero",MIN(AM368,MAX(0,AF368-(AD368-AM368))),MIN(AF368,AM368)))</f>
        <v>0</v>
      </c>
      <c r="AO368" s="80">
        <f>AF368-AN368</f>
        <v>0</v>
      </c>
      <c r="AP368" s="80">
        <f>AM368-AN368</f>
        <v>0</v>
      </c>
      <c r="AQ368" s="80">
        <f>AD368-AM368-AO368</f>
        <v>0</v>
      </c>
      <c r="AR368" s="80">
        <f>IF(AM368=0,0,AK368-AN368*AK368/AM368)</f>
        <v>0</v>
      </c>
      <c r="AS368" s="80">
        <f>IF(AD368-AM368=0,0,(AJ368-AK368)-AO368*(AJ368-AK368)/(AD368-AM368))</f>
        <v>0</v>
      </c>
      <c r="AT368" s="80" t="str">
        <f>IF(AC368=1,INT(B368)+1,"")</f>
        <v/>
      </c>
      <c r="AU368" s="80">
        <f>IF(AND(D368="proMX",R368="Cancelled"),0,1)</f>
        <v>1</v>
      </c>
      <c r="AV368" s="80">
        <f>IF(AND(AB368=1,AU368=1),IF(COUNTIFS($D$5:D367,D368,$B$5:B367,B368,$Z$5:Z367,Z368,$AA$5:AA367,AA368,$F$5:F367,F368&amp;"",$AU$5:AU367,1)&gt;0,1,0),0)</f>
        <v>0</v>
      </c>
      <c r="AW368" s="80" t="str">
        <f>IF(AB368=1,INT(B368)*1440+Z368,"")</f>
        <v/>
      </c>
      <c r="AX368" s="80" t="str">
        <f>IF(AB368=1,AW368+AD368,"")</f>
        <v/>
      </c>
      <c r="AY368" s="80">
        <f>IF(AND(AB368=1,AV368=0,AU368=1),1,0)</f>
        <v>0</v>
      </c>
      <c r="AZ368" s="80">
        <f>IF(AY368=1,COUNTIFS(R_Emp,D368,R_SAbs,"&lt;"&amp;AX368,R_EAbs,"&gt;"&amp;AW368,R_OKey,1)-1,0)</f>
        <v>0</v>
      </c>
      <c r="BA368" s="80">
        <f>IF(AY368=1,COUNTIFS(R_Emp,"&lt;&gt;"&amp;D368,R_SAbs,"&lt;"&amp;AX368,R_EAbs,"&gt;"&amp;AW368,R_OKey,1),0)</f>
        <v>0</v>
      </c>
      <c r="BB368" s="80">
        <f>IF(AND(AB368=1,D368="proMX"),IF(AND(MOD(Z368,CFG_BLK)=0,MOD(AA368,CFG_BLK)=0,MOD(AG368,CFG_BLK)=0,AG368&gt;0),1,0),1)</f>
        <v>1</v>
      </c>
      <c r="BC368" s="80" t="str">
        <f>IF(Y368=0,"",IF(NOT(ISNUMBER(B368)),"Falta fecha o fecha inválida",IF(D368="","Falta empresa",IF(AND(D368&lt;&gt;"Malcolm",D368&lt;&gt;"proMX"),"Empresa inválida",IF(OR(INT(B368)&lt;CFG_PSTART,INT(B368)&gt;CFG_PEND),"Fecha fuera del período",IF(OR(NOT(ISNUMBER(Z368)),NOT(ISNUMBER(AA368))),"Falta hora inicio/fin o formato inválido",IF(AB368=0,"Hora inicio = hora fin",IF(AE368&lt;0,"Descanso inválido",IF(AE368&gt;=AD368,"Descanso ≥ duración",IF(AV368=1,"Registro duplicado",IF(AZ368&gt;0,"Se superpone con otro registro "&amp;D368,IF(BB368=0,"inicio, fin y duración neta deben ser múltiplos de "&amp;CFG_BLK&amp;" min",""))))))))))))</f>
        <v/>
      </c>
      <c r="BD368" s="80">
        <f>IF(AND(Y368=1,BC368=""),1,0)</f>
        <v>0</v>
      </c>
      <c r="BE368" s="80">
        <f>IF(AND(BD368=1,AU368=1),1,0)</f>
        <v>0</v>
      </c>
      <c r="BF368" s="80" t="str">
        <f>IF(AND(D368="proMX",BD368=1),IF(R368="","Draft",R368),"")</f>
        <v/>
      </c>
      <c r="BG368" s="80">
        <f>IF(BD368=1,ROUND(AG368/60,6),0)</f>
        <v>0</v>
      </c>
      <c r="BH368" s="80">
        <f>IF(BE368=1,ROUND(AG368/60,6),0)</f>
        <v>0</v>
      </c>
      <c r="BI368" s="80">
        <f>IF(BE368=1,ROUND(AP368/60,6),0)</f>
        <v>0</v>
      </c>
      <c r="BJ368" s="80">
        <f>IF(BE368=1,ROUND(AQ368/60,6),0)</f>
        <v>0</v>
      </c>
      <c r="BK368" s="80">
        <f>IF(BE368=1,ROUND((AR368+AS368)/60,6),0)</f>
        <v>0</v>
      </c>
      <c r="BL368" s="80">
        <f>ROUND(BH368-BK368,6)</f>
        <v>0</v>
      </c>
      <c r="BM368" s="80">
        <f>IF(BE368=1,ROUND(AR368/60,6),0)</f>
        <v>0</v>
      </c>
      <c r="BN368" s="80">
        <f>ROUND(BI368-BM368,6)</f>
        <v>0</v>
      </c>
      <c r="BO368" s="80">
        <f>IF(BE368=1,ROUND(AS368/60,6),0)</f>
        <v>0</v>
      </c>
      <c r="BP368" s="80">
        <f>ROUND(BJ368-BO368,6)</f>
        <v>0</v>
      </c>
      <c r="BQ368" s="80">
        <f>IF(BE368=1,AW368,0)</f>
        <v>0</v>
      </c>
      <c r="BR368" s="80">
        <f>IF(BE368=1,AX368,0)</f>
        <v>0</v>
      </c>
      <c r="BS368" s="80">
        <f>IF(AND(BE368=1,D368="Malcolm",BA368&gt;0),MIN(BH368,SUMPRODUCT((R_Emp="proMX")*(R_EN&gt;0)*((R_EN-(R_EN&gt;BR368)*(R_EN-BR368))&gt;(R_SN+(R_SN&lt;BQ368)*(BQ368-R_SN)))*((R_EN-(R_EN&gt;BR368)*(R_EN-BR368))-(R_SN+(R_SN&lt;BQ368)*(BQ368-R_SN))))/60),0)</f>
        <v>0</v>
      </c>
      <c r="BT368" s="80">
        <f>IF(AND(BE368=1,D368="proMX"),ROUND(BI368*CFG_RATE+BJ368*CFG_OTRATE,6),0)</f>
        <v>0</v>
      </c>
      <c r="BU368" s="80">
        <f>IF(AND(BD368=1,D368="proMX"),ROUND(AG368/CFG_BLK,6),0)</f>
        <v>0</v>
      </c>
      <c r="BV368" s="80" t="str">
        <f>IF(BF368="Approved",IF(ISNUMBER(T368),INT(T368),INT(B368)),"")</f>
        <v/>
      </c>
      <c r="BW368" s="80">
        <f>IF(ISNUMBER(B368),IF(DB_MON="Todos",1,IF(AND(INT(B368)&gt;=DB_MS,INT(B368)&lt;=DB_ME),1,0)),0)</f>
        <v>0</v>
      </c>
      <c r="BX368" s="80">
        <f>IF(DB_PROJ="Todos",1,IF(E368&amp;""=DB_PROJ&amp;"",1,0))</f>
        <v>1</v>
      </c>
      <c r="BY368" s="80">
        <f>BW368*BX368</f>
        <v>0</v>
      </c>
      <c r="BZ368" s="80" t="str">
        <f>IF(Y368=1,F368&amp;IF(AND(F368&amp;""&lt;&gt;"",E368&amp;""&lt;&gt;"")," · ","")&amp;E368,"")</f>
        <v/>
      </c>
      <c r="CA368" s="80" t="str">
        <f>IF(AND(BD368=1,E368&amp;""&lt;&gt;""),IF(COUNTIFS($E$5:E367,E368,$BD$5:BD367,1)=0,MAX($CA$5:CA367)+1,""),"")</f>
        <v/>
      </c>
      <c r="CB368" s="80" t="str">
        <f>IF(AND(BE368=1,D368="Malcolm",E368&amp;""&lt;&gt;""),IF(COUNTIFS($D$5:D367,"Malcolm",$E$5:E367,E368,$BE$5:BE367,1)=0,MAX($CB$5:CB367)+1,""),"")</f>
        <v/>
      </c>
      <c r="CC368" s="80" t="str">
        <f>IF(AND(BD368=1,D368="proMX",E368&amp;""&lt;&gt;""),IF(COUNTIFS($D$5:D367,"proMX",$E$5:E367,E368,$BD$5:BD367,1)=0,MAX($CC$5:CC367)+1,""),"")</f>
        <v/>
      </c>
      <c r="CD368" s="80" t="str">
        <f>IF(AND(BE368=1,D368="Malcolm",F368&amp;""&lt;&gt;""),IF(COUNTIFS($D$5:D367,"Malcolm",$F$5:F367,F368,$BE$5:BE367,1)=0,MAX($CD$5:CD367)+1,""),"")</f>
        <v/>
      </c>
      <c r="CE368" s="80" t="str">
        <f>IF(AND(BD368=1,D368="proMX",F368&amp;""&lt;&gt;""),IF(COUNTIFS($D$5:D367,"proMX",$F$5:F367,F368,$BD$5:BD367,1)=0,MAX($CE$5:CE367)+1,""),"")</f>
        <v/>
      </c>
      <c r="CF368" s="80" t="str">
        <f>IF(AND(D368="proMX",BD368=1),IF(OR(BF368="Draft",BF368="Submitted",BF368="Returned",BF368="Recall Requested"),MAX($CF$5:CF367)+1,""),"")</f>
        <v/>
      </c>
      <c r="CG368" s="80">
        <f>IF(BD368=0,0,IF(D368="Malcolm",1,MATCH(BF368,{"Draft","Submitted","Approved","Returned","Recall Requested","Cancelled"},0)+1))</f>
        <v>0</v>
      </c>
      <c r="CH368" s="80">
        <f>IF(AND(BF368="Submitted",ISNUMBER(V368)),IF(V368&gt;CFG_MAXD,1,0),0)</f>
        <v>0</v>
      </c>
    </row>
    <row r="369">
      <c r="A369" s="71" t="str">
        <f>IF(Y369=1,ROW()-5,"")</f>
        <v/>
      </c>
      <c r="B369" s="72" t="n"/>
      <c r="C369" s="71" t="str">
        <f>IF(ISNUMBER(B369),CHOOSE(WEEKDAY(B369,2),"Lun","Mar","Mié","Jue","Vie","Sáb","Dom"),"")</f>
        <v/>
      </c>
      <c r="D369" s="73" t="n"/>
      <c r="E369" s="74" t="n"/>
      <c r="F369" s="74" t="n"/>
      <c r="G369" s="74" t="n"/>
      <c r="H369" s="75" t="n"/>
      <c r="I369" s="75" t="n"/>
      <c r="J369" s="76" t="n"/>
      <c r="K369" s="77" t="str">
        <f>IF(AB369=1,ROUND(AG369/60,4),"")</f>
        <v/>
      </c>
      <c r="L369" s="77" t="str">
        <f>IF(BD369=1,ROUND(AP369/60,4),"")</f>
        <v/>
      </c>
      <c r="M369" s="77" t="str">
        <f>IF(BD369=1,ROUND(AQ369/60,4),"")</f>
        <v/>
      </c>
      <c r="N369" s="71" t="str">
        <f>IF(AND(D369="proMX",AB369=1),ROUND(AG369/CFG_BLK,2),"")</f>
        <v/>
      </c>
      <c r="O369" s="77" t="str">
        <f>IF(D369="proMX",IF(BD369=1,ROUND(AG369/60,4),0),"")</f>
        <v/>
      </c>
      <c r="P369" s="78" t="str">
        <f>IF(Y369=0,"",IF(BD369=1,"OK",IF(D369="proMX","Revisar bloques: ","Revisar: ")&amp;BC369))</f>
        <v/>
      </c>
      <c r="Q369" s="78" t="str">
        <f>IF(NOT(ISNUMBER(B369)),"",IF(COUNTIFS(FER_F,INT(B369))&gt;0,"Feriado"&amp;IF(AH369=1," (laborable)"," (no laborable)"),IF(AH369=1,"Laborable",IF(WEEKDAY(B369,2)&gt;5,"Fin de semana","No laborable"))))</f>
        <v/>
      </c>
      <c r="R369" s="73" t="n"/>
      <c r="S369" s="72" t="n"/>
      <c r="T369" s="72" t="n"/>
      <c r="U369" s="74" t="n"/>
      <c r="V369" s="79" t="str">
        <f>IF(AND(D369="proMX",OR(R369="Submitted",R369="Recall Requested"),ISNUMBER(S369)),CFG_TODAY-INT(S369),"")</f>
        <v/>
      </c>
      <c r="W369" s="78" t="str">
        <f>IF(BD369=0,"",IF(BA369&gt;0,"⚠ Se superpone con un registro de la otra empresa",IF(D369="Malcolm",IF(COUNTA(R369,S369,T369)&gt;0,"Estado/fechas proMX se ignoran en Malcolm",""),IF(BF369="Cancelled","Cancelado: excluido de totales",IF(R369="","Sin estado: se trata como Draft",IF(BF369="Submitted",IF(ISNUMBER(V369),IF(V369&gt;CFG_MAXD,"⚠ "&amp;V369&amp;" días en Submitted (máx. "&amp;CFG_MAXD&amp;")",""),"Falta fecha de envío"),IF(BF369="Returned","⚠ Devuelto: corregir y reenviar",IF(BF369="Recall Requested","Retirada solicitada: pendiente",IF(AND(BF369="Approved",NOT(ISNUMBER(T369))),"Falta fecha de aprobación",IF(AND(ISNUMBER(S369),ISNUMBER(T369),T369&lt;S369),"Aprobación anterior al envío","")))))))))</f>
        <v/>
      </c>
      <c r="Y369" s="80">
        <f>IF(COUNTA(B369,D369,E369,F369,G369,H369,I369,J369,R369,S369,T369)&gt;0,1,0)</f>
        <v>0</v>
      </c>
      <c r="Z369" s="80" t="str">
        <f>IF(AND(ISNUMBER(H369),H369&gt;=0,H369&lt;1),ROUND(H369*1440,0),"")</f>
        <v/>
      </c>
      <c r="AA369" s="80" t="str">
        <f>IF(AND(ISNUMBER(I369),I369&gt;=0,I369&lt;1),ROUND(I369*1440,0),"")</f>
        <v/>
      </c>
      <c r="AB369" s="80">
        <f>IF(AND(ISNUMBER(B369),D369&lt;&gt;"",ISNUMBER(Z369),ISNUMBER(AA369)),IF(Z369=AA369,0,1),0)</f>
        <v>0</v>
      </c>
      <c r="AC369" s="80">
        <f>IF(AB369=1,IF(AA369&lt;Z369,1,0),0)</f>
        <v>0</v>
      </c>
      <c r="AD369" s="80">
        <f>IF(AB369=1,IF(AC369=1,1440-Z369+AA369,AA369-Z369),0)</f>
        <v>0</v>
      </c>
      <c r="AE369" s="80">
        <f>IF(J369="",0,IF(ISNUMBER(J369),J369,-1))</f>
        <v>0</v>
      </c>
      <c r="AF369" s="80">
        <f>MIN(MAX(0,AE369),AD369)</f>
        <v>0</v>
      </c>
      <c r="AG369" s="80">
        <f>MAX(0,AD369-MAX(0,AE369))</f>
        <v>0</v>
      </c>
      <c r="AH369" s="80">
        <f>IF(ISNUMBER(B369),IF(AND(INDEX(CFG_WDAYS,WEEKDAY(INT(B369),2))="Sí",IF(D369="proMX",COUNTIFS(FER_F,INT(B369),FER_NLP,"Sí"),COUNTIFS(FER_F,INT(B369),FER_NLM,"Sí"))=0),1,0),0)</f>
        <v>0</v>
      </c>
      <c r="AI369" s="80">
        <f>IF(AC369=1,IF(AND(INDEX(CFG_WDAYS,WEEKDAY(INT(B369)+1,2))="Sí",IF(D369="proMX",COUNTIFS(FER_F,INT(B369)+1,FER_NLP,"Sí"),COUNTIFS(FER_F,INT(B369)+1,FER_NLM,"Sí"))=0),1,0),0)</f>
        <v>0</v>
      </c>
      <c r="AJ369" s="80">
        <f>IF(AC369=1,1440-Z369,AD369)</f>
        <v>0</v>
      </c>
      <c r="AK369" s="80">
        <f>IF(AND(AB369=1,AH369=1),MAX(0,MIN(IF(AC369=1,1440,AA369),CFG_WEM)-MAX(Z369,CFG_WSM)),0)</f>
        <v>0</v>
      </c>
      <c r="AL369" s="80">
        <f>IF(AND(AC369=1,AI369=1),MAX(0,MIN(AA369,CFG_WEM)-CFG_WSM),0)</f>
        <v>0</v>
      </c>
      <c r="AM369" s="80">
        <f>AK369+AL369</f>
        <v>0</v>
      </c>
      <c r="AN369" s="80">
        <f>IF(CFG_BRK="Proporcional",IF(AD369=0,0,AF369*AM369/AD369),IF(CFG_BRK="Extras primero",MIN(AM369,MAX(0,AF369-(AD369-AM369))),MIN(AF369,AM369)))</f>
        <v>0</v>
      </c>
      <c r="AO369" s="80">
        <f>AF369-AN369</f>
        <v>0</v>
      </c>
      <c r="AP369" s="80">
        <f>AM369-AN369</f>
        <v>0</v>
      </c>
      <c r="AQ369" s="80">
        <f>AD369-AM369-AO369</f>
        <v>0</v>
      </c>
      <c r="AR369" s="80">
        <f>IF(AM369=0,0,AK369-AN369*AK369/AM369)</f>
        <v>0</v>
      </c>
      <c r="AS369" s="80">
        <f>IF(AD369-AM369=0,0,(AJ369-AK369)-AO369*(AJ369-AK369)/(AD369-AM369))</f>
        <v>0</v>
      </c>
      <c r="AT369" s="80" t="str">
        <f>IF(AC369=1,INT(B369)+1,"")</f>
        <v/>
      </c>
      <c r="AU369" s="80">
        <f>IF(AND(D369="proMX",R369="Cancelled"),0,1)</f>
        <v>1</v>
      </c>
      <c r="AV369" s="80">
        <f>IF(AND(AB369=1,AU369=1),IF(COUNTIFS($D$5:D368,D369,$B$5:B368,B369,$Z$5:Z368,Z369,$AA$5:AA368,AA369,$F$5:F368,F369&amp;"",$AU$5:AU368,1)&gt;0,1,0),0)</f>
        <v>0</v>
      </c>
      <c r="AW369" s="80" t="str">
        <f>IF(AB369=1,INT(B369)*1440+Z369,"")</f>
        <v/>
      </c>
      <c r="AX369" s="80" t="str">
        <f>IF(AB369=1,AW369+AD369,"")</f>
        <v/>
      </c>
      <c r="AY369" s="80">
        <f>IF(AND(AB369=1,AV369=0,AU369=1),1,0)</f>
        <v>0</v>
      </c>
      <c r="AZ369" s="80">
        <f>IF(AY369=1,COUNTIFS(R_Emp,D369,R_SAbs,"&lt;"&amp;AX369,R_EAbs,"&gt;"&amp;AW369,R_OKey,1)-1,0)</f>
        <v>0</v>
      </c>
      <c r="BA369" s="80">
        <f>IF(AY369=1,COUNTIFS(R_Emp,"&lt;&gt;"&amp;D369,R_SAbs,"&lt;"&amp;AX369,R_EAbs,"&gt;"&amp;AW369,R_OKey,1),0)</f>
        <v>0</v>
      </c>
      <c r="BB369" s="80">
        <f>IF(AND(AB369=1,D369="proMX"),IF(AND(MOD(Z369,CFG_BLK)=0,MOD(AA369,CFG_BLK)=0,MOD(AG369,CFG_BLK)=0,AG369&gt;0),1,0),1)</f>
        <v>1</v>
      </c>
      <c r="BC369" s="80" t="str">
        <f>IF(Y369=0,"",IF(NOT(ISNUMBER(B369)),"Falta fecha o fecha inválida",IF(D369="","Falta empresa",IF(AND(D369&lt;&gt;"Malcolm",D369&lt;&gt;"proMX"),"Empresa inválida",IF(OR(INT(B369)&lt;CFG_PSTART,INT(B369)&gt;CFG_PEND),"Fecha fuera del período",IF(OR(NOT(ISNUMBER(Z369)),NOT(ISNUMBER(AA369))),"Falta hora inicio/fin o formato inválido",IF(AB369=0,"Hora inicio = hora fin",IF(AE369&lt;0,"Descanso inválido",IF(AE369&gt;=AD369,"Descanso ≥ duración",IF(AV369=1,"Registro duplicado",IF(AZ369&gt;0,"Se superpone con otro registro "&amp;D369,IF(BB369=0,"inicio, fin y duración neta deben ser múltiplos de "&amp;CFG_BLK&amp;" min",""))))))))))))</f>
        <v/>
      </c>
      <c r="BD369" s="80">
        <f>IF(AND(Y369=1,BC369=""),1,0)</f>
        <v>0</v>
      </c>
      <c r="BE369" s="80">
        <f>IF(AND(BD369=1,AU369=1),1,0)</f>
        <v>0</v>
      </c>
      <c r="BF369" s="80" t="str">
        <f>IF(AND(D369="proMX",BD369=1),IF(R369="","Draft",R369),"")</f>
        <v/>
      </c>
      <c r="BG369" s="80">
        <f>IF(BD369=1,ROUND(AG369/60,6),0)</f>
        <v>0</v>
      </c>
      <c r="BH369" s="80">
        <f>IF(BE369=1,ROUND(AG369/60,6),0)</f>
        <v>0</v>
      </c>
      <c r="BI369" s="80">
        <f>IF(BE369=1,ROUND(AP369/60,6),0)</f>
        <v>0</v>
      </c>
      <c r="BJ369" s="80">
        <f>IF(BE369=1,ROUND(AQ369/60,6),0)</f>
        <v>0</v>
      </c>
      <c r="BK369" s="80">
        <f>IF(BE369=1,ROUND((AR369+AS369)/60,6),0)</f>
        <v>0</v>
      </c>
      <c r="BL369" s="80">
        <f>ROUND(BH369-BK369,6)</f>
        <v>0</v>
      </c>
      <c r="BM369" s="80">
        <f>IF(BE369=1,ROUND(AR369/60,6),0)</f>
        <v>0</v>
      </c>
      <c r="BN369" s="80">
        <f>ROUND(BI369-BM369,6)</f>
        <v>0</v>
      </c>
      <c r="BO369" s="80">
        <f>IF(BE369=1,ROUND(AS369/60,6),0)</f>
        <v>0</v>
      </c>
      <c r="BP369" s="80">
        <f>ROUND(BJ369-BO369,6)</f>
        <v>0</v>
      </c>
      <c r="BQ369" s="80">
        <f>IF(BE369=1,AW369,0)</f>
        <v>0</v>
      </c>
      <c r="BR369" s="80">
        <f>IF(BE369=1,AX369,0)</f>
        <v>0</v>
      </c>
      <c r="BS369" s="80">
        <f>IF(AND(BE369=1,D369="Malcolm",BA369&gt;0),MIN(BH369,SUMPRODUCT((R_Emp="proMX")*(R_EN&gt;0)*((R_EN-(R_EN&gt;BR369)*(R_EN-BR369))&gt;(R_SN+(R_SN&lt;BQ369)*(BQ369-R_SN)))*((R_EN-(R_EN&gt;BR369)*(R_EN-BR369))-(R_SN+(R_SN&lt;BQ369)*(BQ369-R_SN))))/60),0)</f>
        <v>0</v>
      </c>
      <c r="BT369" s="80">
        <f>IF(AND(BE369=1,D369="proMX"),ROUND(BI369*CFG_RATE+BJ369*CFG_OTRATE,6),0)</f>
        <v>0</v>
      </c>
      <c r="BU369" s="80">
        <f>IF(AND(BD369=1,D369="proMX"),ROUND(AG369/CFG_BLK,6),0)</f>
        <v>0</v>
      </c>
      <c r="BV369" s="80" t="str">
        <f>IF(BF369="Approved",IF(ISNUMBER(T369),INT(T369),INT(B369)),"")</f>
        <v/>
      </c>
      <c r="BW369" s="80">
        <f>IF(ISNUMBER(B369),IF(DB_MON="Todos",1,IF(AND(INT(B369)&gt;=DB_MS,INT(B369)&lt;=DB_ME),1,0)),0)</f>
        <v>0</v>
      </c>
      <c r="BX369" s="80">
        <f>IF(DB_PROJ="Todos",1,IF(E369&amp;""=DB_PROJ&amp;"",1,0))</f>
        <v>1</v>
      </c>
      <c r="BY369" s="80">
        <f>BW369*BX369</f>
        <v>0</v>
      </c>
      <c r="BZ369" s="80" t="str">
        <f>IF(Y369=1,F369&amp;IF(AND(F369&amp;""&lt;&gt;"",E369&amp;""&lt;&gt;"")," · ","")&amp;E369,"")</f>
        <v/>
      </c>
      <c r="CA369" s="80" t="str">
        <f>IF(AND(BD369=1,E369&amp;""&lt;&gt;""),IF(COUNTIFS($E$5:E368,E369,$BD$5:BD368,1)=0,MAX($CA$5:CA368)+1,""),"")</f>
        <v/>
      </c>
      <c r="CB369" s="80" t="str">
        <f>IF(AND(BE369=1,D369="Malcolm",E369&amp;""&lt;&gt;""),IF(COUNTIFS($D$5:D368,"Malcolm",$E$5:E368,E369,$BE$5:BE368,1)=0,MAX($CB$5:CB368)+1,""),"")</f>
        <v/>
      </c>
      <c r="CC369" s="80" t="str">
        <f>IF(AND(BD369=1,D369="proMX",E369&amp;""&lt;&gt;""),IF(COUNTIFS($D$5:D368,"proMX",$E$5:E368,E369,$BD$5:BD368,1)=0,MAX($CC$5:CC368)+1,""),"")</f>
        <v/>
      </c>
      <c r="CD369" s="80" t="str">
        <f>IF(AND(BE369=1,D369="Malcolm",F369&amp;""&lt;&gt;""),IF(COUNTIFS($D$5:D368,"Malcolm",$F$5:F368,F369,$BE$5:BE368,1)=0,MAX($CD$5:CD368)+1,""),"")</f>
        <v/>
      </c>
      <c r="CE369" s="80" t="str">
        <f>IF(AND(BD369=1,D369="proMX",F369&amp;""&lt;&gt;""),IF(COUNTIFS($D$5:D368,"proMX",$F$5:F368,F369,$BD$5:BD368,1)=0,MAX($CE$5:CE368)+1,""),"")</f>
        <v/>
      </c>
      <c r="CF369" s="80" t="str">
        <f>IF(AND(D369="proMX",BD369=1),IF(OR(BF369="Draft",BF369="Submitted",BF369="Returned",BF369="Recall Requested"),MAX($CF$5:CF368)+1,""),"")</f>
        <v/>
      </c>
      <c r="CG369" s="80">
        <f>IF(BD369=0,0,IF(D369="Malcolm",1,MATCH(BF369,{"Draft","Submitted","Approved","Returned","Recall Requested","Cancelled"},0)+1))</f>
        <v>0</v>
      </c>
      <c r="CH369" s="80">
        <f>IF(AND(BF369="Submitted",ISNUMBER(V369)),IF(V369&gt;CFG_MAXD,1,0),0)</f>
        <v>0</v>
      </c>
    </row>
    <row r="370">
      <c r="A370" s="71" t="str">
        <f>IF(Y370=1,ROW()-5,"")</f>
        <v/>
      </c>
      <c r="B370" s="72" t="n"/>
      <c r="C370" s="71" t="str">
        <f>IF(ISNUMBER(B370),CHOOSE(WEEKDAY(B370,2),"Lun","Mar","Mié","Jue","Vie","Sáb","Dom"),"")</f>
        <v/>
      </c>
      <c r="D370" s="73" t="n"/>
      <c r="E370" s="74" t="n"/>
      <c r="F370" s="74" t="n"/>
      <c r="G370" s="74" t="n"/>
      <c r="H370" s="75" t="n"/>
      <c r="I370" s="75" t="n"/>
      <c r="J370" s="76" t="n"/>
      <c r="K370" s="77" t="str">
        <f>IF(AB370=1,ROUND(AG370/60,4),"")</f>
        <v/>
      </c>
      <c r="L370" s="77" t="str">
        <f>IF(BD370=1,ROUND(AP370/60,4),"")</f>
        <v/>
      </c>
      <c r="M370" s="77" t="str">
        <f>IF(BD370=1,ROUND(AQ370/60,4),"")</f>
        <v/>
      </c>
      <c r="N370" s="71" t="str">
        <f>IF(AND(D370="proMX",AB370=1),ROUND(AG370/CFG_BLK,2),"")</f>
        <v/>
      </c>
      <c r="O370" s="77" t="str">
        <f>IF(D370="proMX",IF(BD370=1,ROUND(AG370/60,4),0),"")</f>
        <v/>
      </c>
      <c r="P370" s="78" t="str">
        <f>IF(Y370=0,"",IF(BD370=1,"OK",IF(D370="proMX","Revisar bloques: ","Revisar: ")&amp;BC370))</f>
        <v/>
      </c>
      <c r="Q370" s="78" t="str">
        <f>IF(NOT(ISNUMBER(B370)),"",IF(COUNTIFS(FER_F,INT(B370))&gt;0,"Feriado"&amp;IF(AH370=1," (laborable)"," (no laborable)"),IF(AH370=1,"Laborable",IF(WEEKDAY(B370,2)&gt;5,"Fin de semana","No laborable"))))</f>
        <v/>
      </c>
      <c r="R370" s="73" t="n"/>
      <c r="S370" s="72" t="n"/>
      <c r="T370" s="72" t="n"/>
      <c r="U370" s="74" t="n"/>
      <c r="V370" s="79" t="str">
        <f>IF(AND(D370="proMX",OR(R370="Submitted",R370="Recall Requested"),ISNUMBER(S370)),CFG_TODAY-INT(S370),"")</f>
        <v/>
      </c>
      <c r="W370" s="78" t="str">
        <f>IF(BD370=0,"",IF(BA370&gt;0,"⚠ Se superpone con un registro de la otra empresa",IF(D370="Malcolm",IF(COUNTA(R370,S370,T370)&gt;0,"Estado/fechas proMX se ignoran en Malcolm",""),IF(BF370="Cancelled","Cancelado: excluido de totales",IF(R370="","Sin estado: se trata como Draft",IF(BF370="Submitted",IF(ISNUMBER(V370),IF(V370&gt;CFG_MAXD,"⚠ "&amp;V370&amp;" días en Submitted (máx. "&amp;CFG_MAXD&amp;")",""),"Falta fecha de envío"),IF(BF370="Returned","⚠ Devuelto: corregir y reenviar",IF(BF370="Recall Requested","Retirada solicitada: pendiente",IF(AND(BF370="Approved",NOT(ISNUMBER(T370))),"Falta fecha de aprobación",IF(AND(ISNUMBER(S370),ISNUMBER(T370),T370&lt;S370),"Aprobación anterior al envío","")))))))))</f>
        <v/>
      </c>
      <c r="Y370" s="80">
        <f>IF(COUNTA(B370,D370,E370,F370,G370,H370,I370,J370,R370,S370,T370)&gt;0,1,0)</f>
        <v>0</v>
      </c>
      <c r="Z370" s="80" t="str">
        <f>IF(AND(ISNUMBER(H370),H370&gt;=0,H370&lt;1),ROUND(H370*1440,0),"")</f>
        <v/>
      </c>
      <c r="AA370" s="80" t="str">
        <f>IF(AND(ISNUMBER(I370),I370&gt;=0,I370&lt;1),ROUND(I370*1440,0),"")</f>
        <v/>
      </c>
      <c r="AB370" s="80">
        <f>IF(AND(ISNUMBER(B370),D370&lt;&gt;"",ISNUMBER(Z370),ISNUMBER(AA370)),IF(Z370=AA370,0,1),0)</f>
        <v>0</v>
      </c>
      <c r="AC370" s="80">
        <f>IF(AB370=1,IF(AA370&lt;Z370,1,0),0)</f>
        <v>0</v>
      </c>
      <c r="AD370" s="80">
        <f>IF(AB370=1,IF(AC370=1,1440-Z370+AA370,AA370-Z370),0)</f>
        <v>0</v>
      </c>
      <c r="AE370" s="80">
        <f>IF(J370="",0,IF(ISNUMBER(J370),J370,-1))</f>
        <v>0</v>
      </c>
      <c r="AF370" s="80">
        <f>MIN(MAX(0,AE370),AD370)</f>
        <v>0</v>
      </c>
      <c r="AG370" s="80">
        <f>MAX(0,AD370-MAX(0,AE370))</f>
        <v>0</v>
      </c>
      <c r="AH370" s="80">
        <f>IF(ISNUMBER(B370),IF(AND(INDEX(CFG_WDAYS,WEEKDAY(INT(B370),2))="Sí",IF(D370="proMX",COUNTIFS(FER_F,INT(B370),FER_NLP,"Sí"),COUNTIFS(FER_F,INT(B370),FER_NLM,"Sí"))=0),1,0),0)</f>
        <v>0</v>
      </c>
      <c r="AI370" s="80">
        <f>IF(AC370=1,IF(AND(INDEX(CFG_WDAYS,WEEKDAY(INT(B370)+1,2))="Sí",IF(D370="proMX",COUNTIFS(FER_F,INT(B370)+1,FER_NLP,"Sí"),COUNTIFS(FER_F,INT(B370)+1,FER_NLM,"Sí"))=0),1,0),0)</f>
        <v>0</v>
      </c>
      <c r="AJ370" s="80">
        <f>IF(AC370=1,1440-Z370,AD370)</f>
        <v>0</v>
      </c>
      <c r="AK370" s="80">
        <f>IF(AND(AB370=1,AH370=1),MAX(0,MIN(IF(AC370=1,1440,AA370),CFG_WEM)-MAX(Z370,CFG_WSM)),0)</f>
        <v>0</v>
      </c>
      <c r="AL370" s="80">
        <f>IF(AND(AC370=1,AI370=1),MAX(0,MIN(AA370,CFG_WEM)-CFG_WSM),0)</f>
        <v>0</v>
      </c>
      <c r="AM370" s="80">
        <f>AK370+AL370</f>
        <v>0</v>
      </c>
      <c r="AN370" s="80">
        <f>IF(CFG_BRK="Proporcional",IF(AD370=0,0,AF370*AM370/AD370),IF(CFG_BRK="Extras primero",MIN(AM370,MAX(0,AF370-(AD370-AM370))),MIN(AF370,AM370)))</f>
        <v>0</v>
      </c>
      <c r="AO370" s="80">
        <f>AF370-AN370</f>
        <v>0</v>
      </c>
      <c r="AP370" s="80">
        <f>AM370-AN370</f>
        <v>0</v>
      </c>
      <c r="AQ370" s="80">
        <f>AD370-AM370-AO370</f>
        <v>0</v>
      </c>
      <c r="AR370" s="80">
        <f>IF(AM370=0,0,AK370-AN370*AK370/AM370)</f>
        <v>0</v>
      </c>
      <c r="AS370" s="80">
        <f>IF(AD370-AM370=0,0,(AJ370-AK370)-AO370*(AJ370-AK370)/(AD370-AM370))</f>
        <v>0</v>
      </c>
      <c r="AT370" s="80" t="str">
        <f>IF(AC370=1,INT(B370)+1,"")</f>
        <v/>
      </c>
      <c r="AU370" s="80">
        <f>IF(AND(D370="proMX",R370="Cancelled"),0,1)</f>
        <v>1</v>
      </c>
      <c r="AV370" s="80">
        <f>IF(AND(AB370=1,AU370=1),IF(COUNTIFS($D$5:D369,D370,$B$5:B369,B370,$Z$5:Z369,Z370,$AA$5:AA369,AA370,$F$5:F369,F370&amp;"",$AU$5:AU369,1)&gt;0,1,0),0)</f>
        <v>0</v>
      </c>
      <c r="AW370" s="80" t="str">
        <f>IF(AB370=1,INT(B370)*1440+Z370,"")</f>
        <v/>
      </c>
      <c r="AX370" s="80" t="str">
        <f>IF(AB370=1,AW370+AD370,"")</f>
        <v/>
      </c>
      <c r="AY370" s="80">
        <f>IF(AND(AB370=1,AV370=0,AU370=1),1,0)</f>
        <v>0</v>
      </c>
      <c r="AZ370" s="80">
        <f>IF(AY370=1,COUNTIFS(R_Emp,D370,R_SAbs,"&lt;"&amp;AX370,R_EAbs,"&gt;"&amp;AW370,R_OKey,1)-1,0)</f>
        <v>0</v>
      </c>
      <c r="BA370" s="80">
        <f>IF(AY370=1,COUNTIFS(R_Emp,"&lt;&gt;"&amp;D370,R_SAbs,"&lt;"&amp;AX370,R_EAbs,"&gt;"&amp;AW370,R_OKey,1),0)</f>
        <v>0</v>
      </c>
      <c r="BB370" s="80">
        <f>IF(AND(AB370=1,D370="proMX"),IF(AND(MOD(Z370,CFG_BLK)=0,MOD(AA370,CFG_BLK)=0,MOD(AG370,CFG_BLK)=0,AG370&gt;0),1,0),1)</f>
        <v>1</v>
      </c>
      <c r="BC370" s="80" t="str">
        <f>IF(Y370=0,"",IF(NOT(ISNUMBER(B370)),"Falta fecha o fecha inválida",IF(D370="","Falta empresa",IF(AND(D370&lt;&gt;"Malcolm",D370&lt;&gt;"proMX"),"Empresa inválida",IF(OR(INT(B370)&lt;CFG_PSTART,INT(B370)&gt;CFG_PEND),"Fecha fuera del período",IF(OR(NOT(ISNUMBER(Z370)),NOT(ISNUMBER(AA370))),"Falta hora inicio/fin o formato inválido",IF(AB370=0,"Hora inicio = hora fin",IF(AE370&lt;0,"Descanso inválido",IF(AE370&gt;=AD370,"Descanso ≥ duración",IF(AV370=1,"Registro duplicado",IF(AZ370&gt;0,"Se superpone con otro registro "&amp;D370,IF(BB370=0,"inicio, fin y duración neta deben ser múltiplos de "&amp;CFG_BLK&amp;" min",""))))))))))))</f>
        <v/>
      </c>
      <c r="BD370" s="80">
        <f>IF(AND(Y370=1,BC370=""),1,0)</f>
        <v>0</v>
      </c>
      <c r="BE370" s="80">
        <f>IF(AND(BD370=1,AU370=1),1,0)</f>
        <v>0</v>
      </c>
      <c r="BF370" s="80" t="str">
        <f>IF(AND(D370="proMX",BD370=1),IF(R370="","Draft",R370),"")</f>
        <v/>
      </c>
      <c r="BG370" s="80">
        <f>IF(BD370=1,ROUND(AG370/60,6),0)</f>
        <v>0</v>
      </c>
      <c r="BH370" s="80">
        <f>IF(BE370=1,ROUND(AG370/60,6),0)</f>
        <v>0</v>
      </c>
      <c r="BI370" s="80">
        <f>IF(BE370=1,ROUND(AP370/60,6),0)</f>
        <v>0</v>
      </c>
      <c r="BJ370" s="80">
        <f>IF(BE370=1,ROUND(AQ370/60,6),0)</f>
        <v>0</v>
      </c>
      <c r="BK370" s="80">
        <f>IF(BE370=1,ROUND((AR370+AS370)/60,6),0)</f>
        <v>0</v>
      </c>
      <c r="BL370" s="80">
        <f>ROUND(BH370-BK370,6)</f>
        <v>0</v>
      </c>
      <c r="BM370" s="80">
        <f>IF(BE370=1,ROUND(AR370/60,6),0)</f>
        <v>0</v>
      </c>
      <c r="BN370" s="80">
        <f>ROUND(BI370-BM370,6)</f>
        <v>0</v>
      </c>
      <c r="BO370" s="80">
        <f>IF(BE370=1,ROUND(AS370/60,6),0)</f>
        <v>0</v>
      </c>
      <c r="BP370" s="80">
        <f>ROUND(BJ370-BO370,6)</f>
        <v>0</v>
      </c>
      <c r="BQ370" s="80">
        <f>IF(BE370=1,AW370,0)</f>
        <v>0</v>
      </c>
      <c r="BR370" s="80">
        <f>IF(BE370=1,AX370,0)</f>
        <v>0</v>
      </c>
      <c r="BS370" s="80">
        <f>IF(AND(BE370=1,D370="Malcolm",BA370&gt;0),MIN(BH370,SUMPRODUCT((R_Emp="proMX")*(R_EN&gt;0)*((R_EN-(R_EN&gt;BR370)*(R_EN-BR370))&gt;(R_SN+(R_SN&lt;BQ370)*(BQ370-R_SN)))*((R_EN-(R_EN&gt;BR370)*(R_EN-BR370))-(R_SN+(R_SN&lt;BQ370)*(BQ370-R_SN))))/60),0)</f>
        <v>0</v>
      </c>
      <c r="BT370" s="80">
        <f>IF(AND(BE370=1,D370="proMX"),ROUND(BI370*CFG_RATE+BJ370*CFG_OTRATE,6),0)</f>
        <v>0</v>
      </c>
      <c r="BU370" s="80">
        <f>IF(AND(BD370=1,D370="proMX"),ROUND(AG370/CFG_BLK,6),0)</f>
        <v>0</v>
      </c>
      <c r="BV370" s="80" t="str">
        <f>IF(BF370="Approved",IF(ISNUMBER(T370),INT(T370),INT(B370)),"")</f>
        <v/>
      </c>
      <c r="BW370" s="80">
        <f>IF(ISNUMBER(B370),IF(DB_MON="Todos",1,IF(AND(INT(B370)&gt;=DB_MS,INT(B370)&lt;=DB_ME),1,0)),0)</f>
        <v>0</v>
      </c>
      <c r="BX370" s="80">
        <f>IF(DB_PROJ="Todos",1,IF(E370&amp;""=DB_PROJ&amp;"",1,0))</f>
        <v>1</v>
      </c>
      <c r="BY370" s="80">
        <f>BW370*BX370</f>
        <v>0</v>
      </c>
      <c r="BZ370" s="80" t="str">
        <f>IF(Y370=1,F370&amp;IF(AND(F370&amp;""&lt;&gt;"",E370&amp;""&lt;&gt;"")," · ","")&amp;E370,"")</f>
        <v/>
      </c>
      <c r="CA370" s="80" t="str">
        <f>IF(AND(BD370=1,E370&amp;""&lt;&gt;""),IF(COUNTIFS($E$5:E369,E370,$BD$5:BD369,1)=0,MAX($CA$5:CA369)+1,""),"")</f>
        <v/>
      </c>
      <c r="CB370" s="80" t="str">
        <f>IF(AND(BE370=1,D370="Malcolm",E370&amp;""&lt;&gt;""),IF(COUNTIFS($D$5:D369,"Malcolm",$E$5:E369,E370,$BE$5:BE369,1)=0,MAX($CB$5:CB369)+1,""),"")</f>
        <v/>
      </c>
      <c r="CC370" s="80" t="str">
        <f>IF(AND(BD370=1,D370="proMX",E370&amp;""&lt;&gt;""),IF(COUNTIFS($D$5:D369,"proMX",$E$5:E369,E370,$BD$5:BD369,1)=0,MAX($CC$5:CC369)+1,""),"")</f>
        <v/>
      </c>
      <c r="CD370" s="80" t="str">
        <f>IF(AND(BE370=1,D370="Malcolm",F370&amp;""&lt;&gt;""),IF(COUNTIFS($D$5:D369,"Malcolm",$F$5:F369,F370,$BE$5:BE369,1)=0,MAX($CD$5:CD369)+1,""),"")</f>
        <v/>
      </c>
      <c r="CE370" s="80" t="str">
        <f>IF(AND(BD370=1,D370="proMX",F370&amp;""&lt;&gt;""),IF(COUNTIFS($D$5:D369,"proMX",$F$5:F369,F370,$BD$5:BD369,1)=0,MAX($CE$5:CE369)+1,""),"")</f>
        <v/>
      </c>
      <c r="CF370" s="80" t="str">
        <f>IF(AND(D370="proMX",BD370=1),IF(OR(BF370="Draft",BF370="Submitted",BF370="Returned",BF370="Recall Requested"),MAX($CF$5:CF369)+1,""),"")</f>
        <v/>
      </c>
      <c r="CG370" s="80">
        <f>IF(BD370=0,0,IF(D370="Malcolm",1,MATCH(BF370,{"Draft","Submitted","Approved","Returned","Recall Requested","Cancelled"},0)+1))</f>
        <v>0</v>
      </c>
      <c r="CH370" s="80">
        <f>IF(AND(BF370="Submitted",ISNUMBER(V370)),IF(V370&gt;CFG_MAXD,1,0),0)</f>
        <v>0</v>
      </c>
    </row>
    <row r="371">
      <c r="A371" s="71" t="str">
        <f>IF(Y371=1,ROW()-5,"")</f>
        <v/>
      </c>
      <c r="B371" s="72" t="n"/>
      <c r="C371" s="71" t="str">
        <f>IF(ISNUMBER(B371),CHOOSE(WEEKDAY(B371,2),"Lun","Mar","Mié","Jue","Vie","Sáb","Dom"),"")</f>
        <v/>
      </c>
      <c r="D371" s="73" t="n"/>
      <c r="E371" s="74" t="n"/>
      <c r="F371" s="74" t="n"/>
      <c r="G371" s="74" t="n"/>
      <c r="H371" s="75" t="n"/>
      <c r="I371" s="75" t="n"/>
      <c r="J371" s="76" t="n"/>
      <c r="K371" s="77" t="str">
        <f>IF(AB371=1,ROUND(AG371/60,4),"")</f>
        <v/>
      </c>
      <c r="L371" s="77" t="str">
        <f>IF(BD371=1,ROUND(AP371/60,4),"")</f>
        <v/>
      </c>
      <c r="M371" s="77" t="str">
        <f>IF(BD371=1,ROUND(AQ371/60,4),"")</f>
        <v/>
      </c>
      <c r="N371" s="71" t="str">
        <f>IF(AND(D371="proMX",AB371=1),ROUND(AG371/CFG_BLK,2),"")</f>
        <v/>
      </c>
      <c r="O371" s="77" t="str">
        <f>IF(D371="proMX",IF(BD371=1,ROUND(AG371/60,4),0),"")</f>
        <v/>
      </c>
      <c r="P371" s="78" t="str">
        <f>IF(Y371=0,"",IF(BD371=1,"OK",IF(D371="proMX","Revisar bloques: ","Revisar: ")&amp;BC371))</f>
        <v/>
      </c>
      <c r="Q371" s="78" t="str">
        <f>IF(NOT(ISNUMBER(B371)),"",IF(COUNTIFS(FER_F,INT(B371))&gt;0,"Feriado"&amp;IF(AH371=1," (laborable)"," (no laborable)"),IF(AH371=1,"Laborable",IF(WEEKDAY(B371,2)&gt;5,"Fin de semana","No laborable"))))</f>
        <v/>
      </c>
      <c r="R371" s="73" t="n"/>
      <c r="S371" s="72" t="n"/>
      <c r="T371" s="72" t="n"/>
      <c r="U371" s="74" t="n"/>
      <c r="V371" s="79" t="str">
        <f>IF(AND(D371="proMX",OR(R371="Submitted",R371="Recall Requested"),ISNUMBER(S371)),CFG_TODAY-INT(S371),"")</f>
        <v/>
      </c>
      <c r="W371" s="78" t="str">
        <f>IF(BD371=0,"",IF(BA371&gt;0,"⚠ Se superpone con un registro de la otra empresa",IF(D371="Malcolm",IF(COUNTA(R371,S371,T371)&gt;0,"Estado/fechas proMX se ignoran en Malcolm",""),IF(BF371="Cancelled","Cancelado: excluido de totales",IF(R371="","Sin estado: se trata como Draft",IF(BF371="Submitted",IF(ISNUMBER(V371),IF(V371&gt;CFG_MAXD,"⚠ "&amp;V371&amp;" días en Submitted (máx. "&amp;CFG_MAXD&amp;")",""),"Falta fecha de envío"),IF(BF371="Returned","⚠ Devuelto: corregir y reenviar",IF(BF371="Recall Requested","Retirada solicitada: pendiente",IF(AND(BF371="Approved",NOT(ISNUMBER(T371))),"Falta fecha de aprobación",IF(AND(ISNUMBER(S371),ISNUMBER(T371),T371&lt;S371),"Aprobación anterior al envío","")))))))))</f>
        <v/>
      </c>
      <c r="Y371" s="80">
        <f>IF(COUNTA(B371,D371,E371,F371,G371,H371,I371,J371,R371,S371,T371)&gt;0,1,0)</f>
        <v>0</v>
      </c>
      <c r="Z371" s="80" t="str">
        <f>IF(AND(ISNUMBER(H371),H371&gt;=0,H371&lt;1),ROUND(H371*1440,0),"")</f>
        <v/>
      </c>
      <c r="AA371" s="80" t="str">
        <f>IF(AND(ISNUMBER(I371),I371&gt;=0,I371&lt;1),ROUND(I371*1440,0),"")</f>
        <v/>
      </c>
      <c r="AB371" s="80">
        <f>IF(AND(ISNUMBER(B371),D371&lt;&gt;"",ISNUMBER(Z371),ISNUMBER(AA371)),IF(Z371=AA371,0,1),0)</f>
        <v>0</v>
      </c>
      <c r="AC371" s="80">
        <f>IF(AB371=1,IF(AA371&lt;Z371,1,0),0)</f>
        <v>0</v>
      </c>
      <c r="AD371" s="80">
        <f>IF(AB371=1,IF(AC371=1,1440-Z371+AA371,AA371-Z371),0)</f>
        <v>0</v>
      </c>
      <c r="AE371" s="80">
        <f>IF(J371="",0,IF(ISNUMBER(J371),J371,-1))</f>
        <v>0</v>
      </c>
      <c r="AF371" s="80">
        <f>MIN(MAX(0,AE371),AD371)</f>
        <v>0</v>
      </c>
      <c r="AG371" s="80">
        <f>MAX(0,AD371-MAX(0,AE371))</f>
        <v>0</v>
      </c>
      <c r="AH371" s="80">
        <f>IF(ISNUMBER(B371),IF(AND(INDEX(CFG_WDAYS,WEEKDAY(INT(B371),2))="Sí",IF(D371="proMX",COUNTIFS(FER_F,INT(B371),FER_NLP,"Sí"),COUNTIFS(FER_F,INT(B371),FER_NLM,"Sí"))=0),1,0),0)</f>
        <v>0</v>
      </c>
      <c r="AI371" s="80">
        <f>IF(AC371=1,IF(AND(INDEX(CFG_WDAYS,WEEKDAY(INT(B371)+1,2))="Sí",IF(D371="proMX",COUNTIFS(FER_F,INT(B371)+1,FER_NLP,"Sí"),COUNTIFS(FER_F,INT(B371)+1,FER_NLM,"Sí"))=0),1,0),0)</f>
        <v>0</v>
      </c>
      <c r="AJ371" s="80">
        <f>IF(AC371=1,1440-Z371,AD371)</f>
        <v>0</v>
      </c>
      <c r="AK371" s="80">
        <f>IF(AND(AB371=1,AH371=1),MAX(0,MIN(IF(AC371=1,1440,AA371),CFG_WEM)-MAX(Z371,CFG_WSM)),0)</f>
        <v>0</v>
      </c>
      <c r="AL371" s="80">
        <f>IF(AND(AC371=1,AI371=1),MAX(0,MIN(AA371,CFG_WEM)-CFG_WSM),0)</f>
        <v>0</v>
      </c>
      <c r="AM371" s="80">
        <f>AK371+AL371</f>
        <v>0</v>
      </c>
      <c r="AN371" s="80">
        <f>IF(CFG_BRK="Proporcional",IF(AD371=0,0,AF371*AM371/AD371),IF(CFG_BRK="Extras primero",MIN(AM371,MAX(0,AF371-(AD371-AM371))),MIN(AF371,AM371)))</f>
        <v>0</v>
      </c>
      <c r="AO371" s="80">
        <f>AF371-AN371</f>
        <v>0</v>
      </c>
      <c r="AP371" s="80">
        <f>AM371-AN371</f>
        <v>0</v>
      </c>
      <c r="AQ371" s="80">
        <f>AD371-AM371-AO371</f>
        <v>0</v>
      </c>
      <c r="AR371" s="80">
        <f>IF(AM371=0,0,AK371-AN371*AK371/AM371)</f>
        <v>0</v>
      </c>
      <c r="AS371" s="80">
        <f>IF(AD371-AM371=0,0,(AJ371-AK371)-AO371*(AJ371-AK371)/(AD371-AM371))</f>
        <v>0</v>
      </c>
      <c r="AT371" s="80" t="str">
        <f>IF(AC371=1,INT(B371)+1,"")</f>
        <v/>
      </c>
      <c r="AU371" s="80">
        <f>IF(AND(D371="proMX",R371="Cancelled"),0,1)</f>
        <v>1</v>
      </c>
      <c r="AV371" s="80">
        <f>IF(AND(AB371=1,AU371=1),IF(COUNTIFS($D$5:D370,D371,$B$5:B370,B371,$Z$5:Z370,Z371,$AA$5:AA370,AA371,$F$5:F370,F371&amp;"",$AU$5:AU370,1)&gt;0,1,0),0)</f>
        <v>0</v>
      </c>
      <c r="AW371" s="80" t="str">
        <f>IF(AB371=1,INT(B371)*1440+Z371,"")</f>
        <v/>
      </c>
      <c r="AX371" s="80" t="str">
        <f>IF(AB371=1,AW371+AD371,"")</f>
        <v/>
      </c>
      <c r="AY371" s="80">
        <f>IF(AND(AB371=1,AV371=0,AU371=1),1,0)</f>
        <v>0</v>
      </c>
      <c r="AZ371" s="80">
        <f>IF(AY371=1,COUNTIFS(R_Emp,D371,R_SAbs,"&lt;"&amp;AX371,R_EAbs,"&gt;"&amp;AW371,R_OKey,1)-1,0)</f>
        <v>0</v>
      </c>
      <c r="BA371" s="80">
        <f>IF(AY371=1,COUNTIFS(R_Emp,"&lt;&gt;"&amp;D371,R_SAbs,"&lt;"&amp;AX371,R_EAbs,"&gt;"&amp;AW371,R_OKey,1),0)</f>
        <v>0</v>
      </c>
      <c r="BB371" s="80">
        <f>IF(AND(AB371=1,D371="proMX"),IF(AND(MOD(Z371,CFG_BLK)=0,MOD(AA371,CFG_BLK)=0,MOD(AG371,CFG_BLK)=0,AG371&gt;0),1,0),1)</f>
        <v>1</v>
      </c>
      <c r="BC371" s="80" t="str">
        <f>IF(Y371=0,"",IF(NOT(ISNUMBER(B371)),"Falta fecha o fecha inválida",IF(D371="","Falta empresa",IF(AND(D371&lt;&gt;"Malcolm",D371&lt;&gt;"proMX"),"Empresa inválida",IF(OR(INT(B371)&lt;CFG_PSTART,INT(B371)&gt;CFG_PEND),"Fecha fuera del período",IF(OR(NOT(ISNUMBER(Z371)),NOT(ISNUMBER(AA371))),"Falta hora inicio/fin o formato inválido",IF(AB371=0,"Hora inicio = hora fin",IF(AE371&lt;0,"Descanso inválido",IF(AE371&gt;=AD371,"Descanso ≥ duración",IF(AV371=1,"Registro duplicado",IF(AZ371&gt;0,"Se superpone con otro registro "&amp;D371,IF(BB371=0,"inicio, fin y duración neta deben ser múltiplos de "&amp;CFG_BLK&amp;" min",""))))))))))))</f>
        <v/>
      </c>
      <c r="BD371" s="80">
        <f>IF(AND(Y371=1,BC371=""),1,0)</f>
        <v>0</v>
      </c>
      <c r="BE371" s="80">
        <f>IF(AND(BD371=1,AU371=1),1,0)</f>
        <v>0</v>
      </c>
      <c r="BF371" s="80" t="str">
        <f>IF(AND(D371="proMX",BD371=1),IF(R371="","Draft",R371),"")</f>
        <v/>
      </c>
      <c r="BG371" s="80">
        <f>IF(BD371=1,ROUND(AG371/60,6),0)</f>
        <v>0</v>
      </c>
      <c r="BH371" s="80">
        <f>IF(BE371=1,ROUND(AG371/60,6),0)</f>
        <v>0</v>
      </c>
      <c r="BI371" s="80">
        <f>IF(BE371=1,ROUND(AP371/60,6),0)</f>
        <v>0</v>
      </c>
      <c r="BJ371" s="80">
        <f>IF(BE371=1,ROUND(AQ371/60,6),0)</f>
        <v>0</v>
      </c>
      <c r="BK371" s="80">
        <f>IF(BE371=1,ROUND((AR371+AS371)/60,6),0)</f>
        <v>0</v>
      </c>
      <c r="BL371" s="80">
        <f>ROUND(BH371-BK371,6)</f>
        <v>0</v>
      </c>
      <c r="BM371" s="80">
        <f>IF(BE371=1,ROUND(AR371/60,6),0)</f>
        <v>0</v>
      </c>
      <c r="BN371" s="80">
        <f>ROUND(BI371-BM371,6)</f>
        <v>0</v>
      </c>
      <c r="BO371" s="80">
        <f>IF(BE371=1,ROUND(AS371/60,6),0)</f>
        <v>0</v>
      </c>
      <c r="BP371" s="80">
        <f>ROUND(BJ371-BO371,6)</f>
        <v>0</v>
      </c>
      <c r="BQ371" s="80">
        <f>IF(BE371=1,AW371,0)</f>
        <v>0</v>
      </c>
      <c r="BR371" s="80">
        <f>IF(BE371=1,AX371,0)</f>
        <v>0</v>
      </c>
      <c r="BS371" s="80">
        <f>IF(AND(BE371=1,D371="Malcolm",BA371&gt;0),MIN(BH371,SUMPRODUCT((R_Emp="proMX")*(R_EN&gt;0)*((R_EN-(R_EN&gt;BR371)*(R_EN-BR371))&gt;(R_SN+(R_SN&lt;BQ371)*(BQ371-R_SN)))*((R_EN-(R_EN&gt;BR371)*(R_EN-BR371))-(R_SN+(R_SN&lt;BQ371)*(BQ371-R_SN))))/60),0)</f>
        <v>0</v>
      </c>
      <c r="BT371" s="80">
        <f>IF(AND(BE371=1,D371="proMX"),ROUND(BI371*CFG_RATE+BJ371*CFG_OTRATE,6),0)</f>
        <v>0</v>
      </c>
      <c r="BU371" s="80">
        <f>IF(AND(BD371=1,D371="proMX"),ROUND(AG371/CFG_BLK,6),0)</f>
        <v>0</v>
      </c>
      <c r="BV371" s="80" t="str">
        <f>IF(BF371="Approved",IF(ISNUMBER(T371),INT(T371),INT(B371)),"")</f>
        <v/>
      </c>
      <c r="BW371" s="80">
        <f>IF(ISNUMBER(B371),IF(DB_MON="Todos",1,IF(AND(INT(B371)&gt;=DB_MS,INT(B371)&lt;=DB_ME),1,0)),0)</f>
        <v>0</v>
      </c>
      <c r="BX371" s="80">
        <f>IF(DB_PROJ="Todos",1,IF(E371&amp;""=DB_PROJ&amp;"",1,0))</f>
        <v>1</v>
      </c>
      <c r="BY371" s="80">
        <f>BW371*BX371</f>
        <v>0</v>
      </c>
      <c r="BZ371" s="80" t="str">
        <f>IF(Y371=1,F371&amp;IF(AND(F371&amp;""&lt;&gt;"",E371&amp;""&lt;&gt;"")," · ","")&amp;E371,"")</f>
        <v/>
      </c>
      <c r="CA371" s="80" t="str">
        <f>IF(AND(BD371=1,E371&amp;""&lt;&gt;""),IF(COUNTIFS($E$5:E370,E371,$BD$5:BD370,1)=0,MAX($CA$5:CA370)+1,""),"")</f>
        <v/>
      </c>
      <c r="CB371" s="80" t="str">
        <f>IF(AND(BE371=1,D371="Malcolm",E371&amp;""&lt;&gt;""),IF(COUNTIFS($D$5:D370,"Malcolm",$E$5:E370,E371,$BE$5:BE370,1)=0,MAX($CB$5:CB370)+1,""),"")</f>
        <v/>
      </c>
      <c r="CC371" s="80" t="str">
        <f>IF(AND(BD371=1,D371="proMX",E371&amp;""&lt;&gt;""),IF(COUNTIFS($D$5:D370,"proMX",$E$5:E370,E371,$BD$5:BD370,1)=0,MAX($CC$5:CC370)+1,""),"")</f>
        <v/>
      </c>
      <c r="CD371" s="80" t="str">
        <f>IF(AND(BE371=1,D371="Malcolm",F371&amp;""&lt;&gt;""),IF(COUNTIFS($D$5:D370,"Malcolm",$F$5:F370,F371,$BE$5:BE370,1)=0,MAX($CD$5:CD370)+1,""),"")</f>
        <v/>
      </c>
      <c r="CE371" s="80" t="str">
        <f>IF(AND(BD371=1,D371="proMX",F371&amp;""&lt;&gt;""),IF(COUNTIFS($D$5:D370,"proMX",$F$5:F370,F371,$BD$5:BD370,1)=0,MAX($CE$5:CE370)+1,""),"")</f>
        <v/>
      </c>
      <c r="CF371" s="80" t="str">
        <f>IF(AND(D371="proMX",BD371=1),IF(OR(BF371="Draft",BF371="Submitted",BF371="Returned",BF371="Recall Requested"),MAX($CF$5:CF370)+1,""),"")</f>
        <v/>
      </c>
      <c r="CG371" s="80">
        <f>IF(BD371=0,0,IF(D371="Malcolm",1,MATCH(BF371,{"Draft","Submitted","Approved","Returned","Recall Requested","Cancelled"},0)+1))</f>
        <v>0</v>
      </c>
      <c r="CH371" s="80">
        <f>IF(AND(BF371="Submitted",ISNUMBER(V371)),IF(V371&gt;CFG_MAXD,1,0),0)</f>
        <v>0</v>
      </c>
    </row>
    <row r="372">
      <c r="A372" s="71" t="str">
        <f>IF(Y372=1,ROW()-5,"")</f>
        <v/>
      </c>
      <c r="B372" s="72" t="n"/>
      <c r="C372" s="71" t="str">
        <f>IF(ISNUMBER(B372),CHOOSE(WEEKDAY(B372,2),"Lun","Mar","Mié","Jue","Vie","Sáb","Dom"),"")</f>
        <v/>
      </c>
      <c r="D372" s="73" t="n"/>
      <c r="E372" s="74" t="n"/>
      <c r="F372" s="74" t="n"/>
      <c r="G372" s="74" t="n"/>
      <c r="H372" s="75" t="n"/>
      <c r="I372" s="75" t="n"/>
      <c r="J372" s="76" t="n"/>
      <c r="K372" s="77" t="str">
        <f>IF(AB372=1,ROUND(AG372/60,4),"")</f>
        <v/>
      </c>
      <c r="L372" s="77" t="str">
        <f>IF(BD372=1,ROUND(AP372/60,4),"")</f>
        <v/>
      </c>
      <c r="M372" s="77" t="str">
        <f>IF(BD372=1,ROUND(AQ372/60,4),"")</f>
        <v/>
      </c>
      <c r="N372" s="71" t="str">
        <f>IF(AND(D372="proMX",AB372=1),ROUND(AG372/CFG_BLK,2),"")</f>
        <v/>
      </c>
      <c r="O372" s="77" t="str">
        <f>IF(D372="proMX",IF(BD372=1,ROUND(AG372/60,4),0),"")</f>
        <v/>
      </c>
      <c r="P372" s="78" t="str">
        <f>IF(Y372=0,"",IF(BD372=1,"OK",IF(D372="proMX","Revisar bloques: ","Revisar: ")&amp;BC372))</f>
        <v/>
      </c>
      <c r="Q372" s="78" t="str">
        <f>IF(NOT(ISNUMBER(B372)),"",IF(COUNTIFS(FER_F,INT(B372))&gt;0,"Feriado"&amp;IF(AH372=1," (laborable)"," (no laborable)"),IF(AH372=1,"Laborable",IF(WEEKDAY(B372,2)&gt;5,"Fin de semana","No laborable"))))</f>
        <v/>
      </c>
      <c r="R372" s="73" t="n"/>
      <c r="S372" s="72" t="n"/>
      <c r="T372" s="72" t="n"/>
      <c r="U372" s="74" t="n"/>
      <c r="V372" s="79" t="str">
        <f>IF(AND(D372="proMX",OR(R372="Submitted",R372="Recall Requested"),ISNUMBER(S372)),CFG_TODAY-INT(S372),"")</f>
        <v/>
      </c>
      <c r="W372" s="78" t="str">
        <f>IF(BD372=0,"",IF(BA372&gt;0,"⚠ Se superpone con un registro de la otra empresa",IF(D372="Malcolm",IF(COUNTA(R372,S372,T372)&gt;0,"Estado/fechas proMX se ignoran en Malcolm",""),IF(BF372="Cancelled","Cancelado: excluido de totales",IF(R372="","Sin estado: se trata como Draft",IF(BF372="Submitted",IF(ISNUMBER(V372),IF(V372&gt;CFG_MAXD,"⚠ "&amp;V372&amp;" días en Submitted (máx. "&amp;CFG_MAXD&amp;")",""),"Falta fecha de envío"),IF(BF372="Returned","⚠ Devuelto: corregir y reenviar",IF(BF372="Recall Requested","Retirada solicitada: pendiente",IF(AND(BF372="Approved",NOT(ISNUMBER(T372))),"Falta fecha de aprobación",IF(AND(ISNUMBER(S372),ISNUMBER(T372),T372&lt;S372),"Aprobación anterior al envío","")))))))))</f>
        <v/>
      </c>
      <c r="Y372" s="80">
        <f>IF(COUNTA(B372,D372,E372,F372,G372,H372,I372,J372,R372,S372,T372)&gt;0,1,0)</f>
        <v>0</v>
      </c>
      <c r="Z372" s="80" t="str">
        <f>IF(AND(ISNUMBER(H372),H372&gt;=0,H372&lt;1),ROUND(H372*1440,0),"")</f>
        <v/>
      </c>
      <c r="AA372" s="80" t="str">
        <f>IF(AND(ISNUMBER(I372),I372&gt;=0,I372&lt;1),ROUND(I372*1440,0),"")</f>
        <v/>
      </c>
      <c r="AB372" s="80">
        <f>IF(AND(ISNUMBER(B372),D372&lt;&gt;"",ISNUMBER(Z372),ISNUMBER(AA372)),IF(Z372=AA372,0,1),0)</f>
        <v>0</v>
      </c>
      <c r="AC372" s="80">
        <f>IF(AB372=1,IF(AA372&lt;Z372,1,0),0)</f>
        <v>0</v>
      </c>
      <c r="AD372" s="80">
        <f>IF(AB372=1,IF(AC372=1,1440-Z372+AA372,AA372-Z372),0)</f>
        <v>0</v>
      </c>
      <c r="AE372" s="80">
        <f>IF(J372="",0,IF(ISNUMBER(J372),J372,-1))</f>
        <v>0</v>
      </c>
      <c r="AF372" s="80">
        <f>MIN(MAX(0,AE372),AD372)</f>
        <v>0</v>
      </c>
      <c r="AG372" s="80">
        <f>MAX(0,AD372-MAX(0,AE372))</f>
        <v>0</v>
      </c>
      <c r="AH372" s="80">
        <f>IF(ISNUMBER(B372),IF(AND(INDEX(CFG_WDAYS,WEEKDAY(INT(B372),2))="Sí",IF(D372="proMX",COUNTIFS(FER_F,INT(B372),FER_NLP,"Sí"),COUNTIFS(FER_F,INT(B372),FER_NLM,"Sí"))=0),1,0),0)</f>
        <v>0</v>
      </c>
      <c r="AI372" s="80">
        <f>IF(AC372=1,IF(AND(INDEX(CFG_WDAYS,WEEKDAY(INT(B372)+1,2))="Sí",IF(D372="proMX",COUNTIFS(FER_F,INT(B372)+1,FER_NLP,"Sí"),COUNTIFS(FER_F,INT(B372)+1,FER_NLM,"Sí"))=0),1,0),0)</f>
        <v>0</v>
      </c>
      <c r="AJ372" s="80">
        <f>IF(AC372=1,1440-Z372,AD372)</f>
        <v>0</v>
      </c>
      <c r="AK372" s="80">
        <f>IF(AND(AB372=1,AH372=1),MAX(0,MIN(IF(AC372=1,1440,AA372),CFG_WEM)-MAX(Z372,CFG_WSM)),0)</f>
        <v>0</v>
      </c>
      <c r="AL372" s="80">
        <f>IF(AND(AC372=1,AI372=1),MAX(0,MIN(AA372,CFG_WEM)-CFG_WSM),0)</f>
        <v>0</v>
      </c>
      <c r="AM372" s="80">
        <f>AK372+AL372</f>
        <v>0</v>
      </c>
      <c r="AN372" s="80">
        <f>IF(CFG_BRK="Proporcional",IF(AD372=0,0,AF372*AM372/AD372),IF(CFG_BRK="Extras primero",MIN(AM372,MAX(0,AF372-(AD372-AM372))),MIN(AF372,AM372)))</f>
        <v>0</v>
      </c>
      <c r="AO372" s="80">
        <f>AF372-AN372</f>
        <v>0</v>
      </c>
      <c r="AP372" s="80">
        <f>AM372-AN372</f>
        <v>0</v>
      </c>
      <c r="AQ372" s="80">
        <f>AD372-AM372-AO372</f>
        <v>0</v>
      </c>
      <c r="AR372" s="80">
        <f>IF(AM372=0,0,AK372-AN372*AK372/AM372)</f>
        <v>0</v>
      </c>
      <c r="AS372" s="80">
        <f>IF(AD372-AM372=0,0,(AJ372-AK372)-AO372*(AJ372-AK372)/(AD372-AM372))</f>
        <v>0</v>
      </c>
      <c r="AT372" s="80" t="str">
        <f>IF(AC372=1,INT(B372)+1,"")</f>
        <v/>
      </c>
      <c r="AU372" s="80">
        <f>IF(AND(D372="proMX",R372="Cancelled"),0,1)</f>
        <v>1</v>
      </c>
      <c r="AV372" s="80">
        <f>IF(AND(AB372=1,AU372=1),IF(COUNTIFS($D$5:D371,D372,$B$5:B371,B372,$Z$5:Z371,Z372,$AA$5:AA371,AA372,$F$5:F371,F372&amp;"",$AU$5:AU371,1)&gt;0,1,0),0)</f>
        <v>0</v>
      </c>
      <c r="AW372" s="80" t="str">
        <f>IF(AB372=1,INT(B372)*1440+Z372,"")</f>
        <v/>
      </c>
      <c r="AX372" s="80" t="str">
        <f>IF(AB372=1,AW372+AD372,"")</f>
        <v/>
      </c>
      <c r="AY372" s="80">
        <f>IF(AND(AB372=1,AV372=0,AU372=1),1,0)</f>
        <v>0</v>
      </c>
      <c r="AZ372" s="80">
        <f>IF(AY372=1,COUNTIFS(R_Emp,D372,R_SAbs,"&lt;"&amp;AX372,R_EAbs,"&gt;"&amp;AW372,R_OKey,1)-1,0)</f>
        <v>0</v>
      </c>
      <c r="BA372" s="80">
        <f>IF(AY372=1,COUNTIFS(R_Emp,"&lt;&gt;"&amp;D372,R_SAbs,"&lt;"&amp;AX372,R_EAbs,"&gt;"&amp;AW372,R_OKey,1),0)</f>
        <v>0</v>
      </c>
      <c r="BB372" s="80">
        <f>IF(AND(AB372=1,D372="proMX"),IF(AND(MOD(Z372,CFG_BLK)=0,MOD(AA372,CFG_BLK)=0,MOD(AG372,CFG_BLK)=0,AG372&gt;0),1,0),1)</f>
        <v>1</v>
      </c>
      <c r="BC372" s="80" t="str">
        <f>IF(Y372=0,"",IF(NOT(ISNUMBER(B372)),"Falta fecha o fecha inválida",IF(D372="","Falta empresa",IF(AND(D372&lt;&gt;"Malcolm",D372&lt;&gt;"proMX"),"Empresa inválida",IF(OR(INT(B372)&lt;CFG_PSTART,INT(B372)&gt;CFG_PEND),"Fecha fuera del período",IF(OR(NOT(ISNUMBER(Z372)),NOT(ISNUMBER(AA372))),"Falta hora inicio/fin o formato inválido",IF(AB372=0,"Hora inicio = hora fin",IF(AE372&lt;0,"Descanso inválido",IF(AE372&gt;=AD372,"Descanso ≥ duración",IF(AV372=1,"Registro duplicado",IF(AZ372&gt;0,"Se superpone con otro registro "&amp;D372,IF(BB372=0,"inicio, fin y duración neta deben ser múltiplos de "&amp;CFG_BLK&amp;" min",""))))))))))))</f>
        <v/>
      </c>
      <c r="BD372" s="80">
        <f>IF(AND(Y372=1,BC372=""),1,0)</f>
        <v>0</v>
      </c>
      <c r="BE372" s="80">
        <f>IF(AND(BD372=1,AU372=1),1,0)</f>
        <v>0</v>
      </c>
      <c r="BF372" s="80" t="str">
        <f>IF(AND(D372="proMX",BD372=1),IF(R372="","Draft",R372),"")</f>
        <v/>
      </c>
      <c r="BG372" s="80">
        <f>IF(BD372=1,ROUND(AG372/60,6),0)</f>
        <v>0</v>
      </c>
      <c r="BH372" s="80">
        <f>IF(BE372=1,ROUND(AG372/60,6),0)</f>
        <v>0</v>
      </c>
      <c r="BI372" s="80">
        <f>IF(BE372=1,ROUND(AP372/60,6),0)</f>
        <v>0</v>
      </c>
      <c r="BJ372" s="80">
        <f>IF(BE372=1,ROUND(AQ372/60,6),0)</f>
        <v>0</v>
      </c>
      <c r="BK372" s="80">
        <f>IF(BE372=1,ROUND((AR372+AS372)/60,6),0)</f>
        <v>0</v>
      </c>
      <c r="BL372" s="80">
        <f>ROUND(BH372-BK372,6)</f>
        <v>0</v>
      </c>
      <c r="BM372" s="80">
        <f>IF(BE372=1,ROUND(AR372/60,6),0)</f>
        <v>0</v>
      </c>
      <c r="BN372" s="80">
        <f>ROUND(BI372-BM372,6)</f>
        <v>0</v>
      </c>
      <c r="BO372" s="80">
        <f>IF(BE372=1,ROUND(AS372/60,6),0)</f>
        <v>0</v>
      </c>
      <c r="BP372" s="80">
        <f>ROUND(BJ372-BO372,6)</f>
        <v>0</v>
      </c>
      <c r="BQ372" s="80">
        <f>IF(BE372=1,AW372,0)</f>
        <v>0</v>
      </c>
      <c r="BR372" s="80">
        <f>IF(BE372=1,AX372,0)</f>
        <v>0</v>
      </c>
      <c r="BS372" s="80">
        <f>IF(AND(BE372=1,D372="Malcolm",BA372&gt;0),MIN(BH372,SUMPRODUCT((R_Emp="proMX")*(R_EN&gt;0)*((R_EN-(R_EN&gt;BR372)*(R_EN-BR372))&gt;(R_SN+(R_SN&lt;BQ372)*(BQ372-R_SN)))*((R_EN-(R_EN&gt;BR372)*(R_EN-BR372))-(R_SN+(R_SN&lt;BQ372)*(BQ372-R_SN))))/60),0)</f>
        <v>0</v>
      </c>
      <c r="BT372" s="80">
        <f>IF(AND(BE372=1,D372="proMX"),ROUND(BI372*CFG_RATE+BJ372*CFG_OTRATE,6),0)</f>
        <v>0</v>
      </c>
      <c r="BU372" s="80">
        <f>IF(AND(BD372=1,D372="proMX"),ROUND(AG372/CFG_BLK,6),0)</f>
        <v>0</v>
      </c>
      <c r="BV372" s="80" t="str">
        <f>IF(BF372="Approved",IF(ISNUMBER(T372),INT(T372),INT(B372)),"")</f>
        <v/>
      </c>
      <c r="BW372" s="80">
        <f>IF(ISNUMBER(B372),IF(DB_MON="Todos",1,IF(AND(INT(B372)&gt;=DB_MS,INT(B372)&lt;=DB_ME),1,0)),0)</f>
        <v>0</v>
      </c>
      <c r="BX372" s="80">
        <f>IF(DB_PROJ="Todos",1,IF(E372&amp;""=DB_PROJ&amp;"",1,0))</f>
        <v>1</v>
      </c>
      <c r="BY372" s="80">
        <f>BW372*BX372</f>
        <v>0</v>
      </c>
      <c r="BZ372" s="80" t="str">
        <f>IF(Y372=1,F372&amp;IF(AND(F372&amp;""&lt;&gt;"",E372&amp;""&lt;&gt;"")," · ","")&amp;E372,"")</f>
        <v/>
      </c>
      <c r="CA372" s="80" t="str">
        <f>IF(AND(BD372=1,E372&amp;""&lt;&gt;""),IF(COUNTIFS($E$5:E371,E372,$BD$5:BD371,1)=0,MAX($CA$5:CA371)+1,""),"")</f>
        <v/>
      </c>
      <c r="CB372" s="80" t="str">
        <f>IF(AND(BE372=1,D372="Malcolm",E372&amp;""&lt;&gt;""),IF(COUNTIFS($D$5:D371,"Malcolm",$E$5:E371,E372,$BE$5:BE371,1)=0,MAX($CB$5:CB371)+1,""),"")</f>
        <v/>
      </c>
      <c r="CC372" s="80" t="str">
        <f>IF(AND(BD372=1,D372="proMX",E372&amp;""&lt;&gt;""),IF(COUNTIFS($D$5:D371,"proMX",$E$5:E371,E372,$BD$5:BD371,1)=0,MAX($CC$5:CC371)+1,""),"")</f>
        <v/>
      </c>
      <c r="CD372" s="80" t="str">
        <f>IF(AND(BE372=1,D372="Malcolm",F372&amp;""&lt;&gt;""),IF(COUNTIFS($D$5:D371,"Malcolm",$F$5:F371,F372,$BE$5:BE371,1)=0,MAX($CD$5:CD371)+1,""),"")</f>
        <v/>
      </c>
      <c r="CE372" s="80" t="str">
        <f>IF(AND(BD372=1,D372="proMX",F372&amp;""&lt;&gt;""),IF(COUNTIFS($D$5:D371,"proMX",$F$5:F371,F372,$BD$5:BD371,1)=0,MAX($CE$5:CE371)+1,""),"")</f>
        <v/>
      </c>
      <c r="CF372" s="80" t="str">
        <f>IF(AND(D372="proMX",BD372=1),IF(OR(BF372="Draft",BF372="Submitted",BF372="Returned",BF372="Recall Requested"),MAX($CF$5:CF371)+1,""),"")</f>
        <v/>
      </c>
      <c r="CG372" s="80">
        <f>IF(BD372=0,0,IF(D372="Malcolm",1,MATCH(BF372,{"Draft","Submitted","Approved","Returned","Recall Requested","Cancelled"},0)+1))</f>
        <v>0</v>
      </c>
      <c r="CH372" s="80">
        <f>IF(AND(BF372="Submitted",ISNUMBER(V372)),IF(V372&gt;CFG_MAXD,1,0),0)</f>
        <v>0</v>
      </c>
    </row>
    <row r="373">
      <c r="A373" s="71" t="str">
        <f>IF(Y373=1,ROW()-5,"")</f>
        <v/>
      </c>
      <c r="B373" s="72" t="n"/>
      <c r="C373" s="71" t="str">
        <f>IF(ISNUMBER(B373),CHOOSE(WEEKDAY(B373,2),"Lun","Mar","Mié","Jue","Vie","Sáb","Dom"),"")</f>
        <v/>
      </c>
      <c r="D373" s="73" t="n"/>
      <c r="E373" s="74" t="n"/>
      <c r="F373" s="74" t="n"/>
      <c r="G373" s="74" t="n"/>
      <c r="H373" s="75" t="n"/>
      <c r="I373" s="75" t="n"/>
      <c r="J373" s="76" t="n"/>
      <c r="K373" s="77" t="str">
        <f>IF(AB373=1,ROUND(AG373/60,4),"")</f>
        <v/>
      </c>
      <c r="L373" s="77" t="str">
        <f>IF(BD373=1,ROUND(AP373/60,4),"")</f>
        <v/>
      </c>
      <c r="M373" s="77" t="str">
        <f>IF(BD373=1,ROUND(AQ373/60,4),"")</f>
        <v/>
      </c>
      <c r="N373" s="71" t="str">
        <f>IF(AND(D373="proMX",AB373=1),ROUND(AG373/CFG_BLK,2),"")</f>
        <v/>
      </c>
      <c r="O373" s="77" t="str">
        <f>IF(D373="proMX",IF(BD373=1,ROUND(AG373/60,4),0),"")</f>
        <v/>
      </c>
      <c r="P373" s="78" t="str">
        <f>IF(Y373=0,"",IF(BD373=1,"OK",IF(D373="proMX","Revisar bloques: ","Revisar: ")&amp;BC373))</f>
        <v/>
      </c>
      <c r="Q373" s="78" t="str">
        <f>IF(NOT(ISNUMBER(B373)),"",IF(COUNTIFS(FER_F,INT(B373))&gt;0,"Feriado"&amp;IF(AH373=1," (laborable)"," (no laborable)"),IF(AH373=1,"Laborable",IF(WEEKDAY(B373,2)&gt;5,"Fin de semana","No laborable"))))</f>
        <v/>
      </c>
      <c r="R373" s="73" t="n"/>
      <c r="S373" s="72" t="n"/>
      <c r="T373" s="72" t="n"/>
      <c r="U373" s="74" t="n"/>
      <c r="V373" s="79" t="str">
        <f>IF(AND(D373="proMX",OR(R373="Submitted",R373="Recall Requested"),ISNUMBER(S373)),CFG_TODAY-INT(S373),"")</f>
        <v/>
      </c>
      <c r="W373" s="78" t="str">
        <f>IF(BD373=0,"",IF(BA373&gt;0,"⚠ Se superpone con un registro de la otra empresa",IF(D373="Malcolm",IF(COUNTA(R373,S373,T373)&gt;0,"Estado/fechas proMX se ignoran en Malcolm",""),IF(BF373="Cancelled","Cancelado: excluido de totales",IF(R373="","Sin estado: se trata como Draft",IF(BF373="Submitted",IF(ISNUMBER(V373),IF(V373&gt;CFG_MAXD,"⚠ "&amp;V373&amp;" días en Submitted (máx. "&amp;CFG_MAXD&amp;")",""),"Falta fecha de envío"),IF(BF373="Returned","⚠ Devuelto: corregir y reenviar",IF(BF373="Recall Requested","Retirada solicitada: pendiente",IF(AND(BF373="Approved",NOT(ISNUMBER(T373))),"Falta fecha de aprobación",IF(AND(ISNUMBER(S373),ISNUMBER(T373),T373&lt;S373),"Aprobación anterior al envío","")))))))))</f>
        <v/>
      </c>
      <c r="Y373" s="80">
        <f>IF(COUNTA(B373,D373,E373,F373,G373,H373,I373,J373,R373,S373,T373)&gt;0,1,0)</f>
        <v>0</v>
      </c>
      <c r="Z373" s="80" t="str">
        <f>IF(AND(ISNUMBER(H373),H373&gt;=0,H373&lt;1),ROUND(H373*1440,0),"")</f>
        <v/>
      </c>
      <c r="AA373" s="80" t="str">
        <f>IF(AND(ISNUMBER(I373),I373&gt;=0,I373&lt;1),ROUND(I373*1440,0),"")</f>
        <v/>
      </c>
      <c r="AB373" s="80">
        <f>IF(AND(ISNUMBER(B373),D373&lt;&gt;"",ISNUMBER(Z373),ISNUMBER(AA373)),IF(Z373=AA373,0,1),0)</f>
        <v>0</v>
      </c>
      <c r="AC373" s="80">
        <f>IF(AB373=1,IF(AA373&lt;Z373,1,0),0)</f>
        <v>0</v>
      </c>
      <c r="AD373" s="80">
        <f>IF(AB373=1,IF(AC373=1,1440-Z373+AA373,AA373-Z373),0)</f>
        <v>0</v>
      </c>
      <c r="AE373" s="80">
        <f>IF(J373="",0,IF(ISNUMBER(J373),J373,-1))</f>
        <v>0</v>
      </c>
      <c r="AF373" s="80">
        <f>MIN(MAX(0,AE373),AD373)</f>
        <v>0</v>
      </c>
      <c r="AG373" s="80">
        <f>MAX(0,AD373-MAX(0,AE373))</f>
        <v>0</v>
      </c>
      <c r="AH373" s="80">
        <f>IF(ISNUMBER(B373),IF(AND(INDEX(CFG_WDAYS,WEEKDAY(INT(B373),2))="Sí",IF(D373="proMX",COUNTIFS(FER_F,INT(B373),FER_NLP,"Sí"),COUNTIFS(FER_F,INT(B373),FER_NLM,"Sí"))=0),1,0),0)</f>
        <v>0</v>
      </c>
      <c r="AI373" s="80">
        <f>IF(AC373=1,IF(AND(INDEX(CFG_WDAYS,WEEKDAY(INT(B373)+1,2))="Sí",IF(D373="proMX",COUNTIFS(FER_F,INT(B373)+1,FER_NLP,"Sí"),COUNTIFS(FER_F,INT(B373)+1,FER_NLM,"Sí"))=0),1,0),0)</f>
        <v>0</v>
      </c>
      <c r="AJ373" s="80">
        <f>IF(AC373=1,1440-Z373,AD373)</f>
        <v>0</v>
      </c>
      <c r="AK373" s="80">
        <f>IF(AND(AB373=1,AH373=1),MAX(0,MIN(IF(AC373=1,1440,AA373),CFG_WEM)-MAX(Z373,CFG_WSM)),0)</f>
        <v>0</v>
      </c>
      <c r="AL373" s="80">
        <f>IF(AND(AC373=1,AI373=1),MAX(0,MIN(AA373,CFG_WEM)-CFG_WSM),0)</f>
        <v>0</v>
      </c>
      <c r="AM373" s="80">
        <f>AK373+AL373</f>
        <v>0</v>
      </c>
      <c r="AN373" s="80">
        <f>IF(CFG_BRK="Proporcional",IF(AD373=0,0,AF373*AM373/AD373),IF(CFG_BRK="Extras primero",MIN(AM373,MAX(0,AF373-(AD373-AM373))),MIN(AF373,AM373)))</f>
        <v>0</v>
      </c>
      <c r="AO373" s="80">
        <f>AF373-AN373</f>
        <v>0</v>
      </c>
      <c r="AP373" s="80">
        <f>AM373-AN373</f>
        <v>0</v>
      </c>
      <c r="AQ373" s="80">
        <f>AD373-AM373-AO373</f>
        <v>0</v>
      </c>
      <c r="AR373" s="80">
        <f>IF(AM373=0,0,AK373-AN373*AK373/AM373)</f>
        <v>0</v>
      </c>
      <c r="AS373" s="80">
        <f>IF(AD373-AM373=0,0,(AJ373-AK373)-AO373*(AJ373-AK373)/(AD373-AM373))</f>
        <v>0</v>
      </c>
      <c r="AT373" s="80" t="str">
        <f>IF(AC373=1,INT(B373)+1,"")</f>
        <v/>
      </c>
      <c r="AU373" s="80">
        <f>IF(AND(D373="proMX",R373="Cancelled"),0,1)</f>
        <v>1</v>
      </c>
      <c r="AV373" s="80">
        <f>IF(AND(AB373=1,AU373=1),IF(COUNTIFS($D$5:D372,D373,$B$5:B372,B373,$Z$5:Z372,Z373,$AA$5:AA372,AA373,$F$5:F372,F373&amp;"",$AU$5:AU372,1)&gt;0,1,0),0)</f>
        <v>0</v>
      </c>
      <c r="AW373" s="80" t="str">
        <f>IF(AB373=1,INT(B373)*1440+Z373,"")</f>
        <v/>
      </c>
      <c r="AX373" s="80" t="str">
        <f>IF(AB373=1,AW373+AD373,"")</f>
        <v/>
      </c>
      <c r="AY373" s="80">
        <f>IF(AND(AB373=1,AV373=0,AU373=1),1,0)</f>
        <v>0</v>
      </c>
      <c r="AZ373" s="80">
        <f>IF(AY373=1,COUNTIFS(R_Emp,D373,R_SAbs,"&lt;"&amp;AX373,R_EAbs,"&gt;"&amp;AW373,R_OKey,1)-1,0)</f>
        <v>0</v>
      </c>
      <c r="BA373" s="80">
        <f>IF(AY373=1,COUNTIFS(R_Emp,"&lt;&gt;"&amp;D373,R_SAbs,"&lt;"&amp;AX373,R_EAbs,"&gt;"&amp;AW373,R_OKey,1),0)</f>
        <v>0</v>
      </c>
      <c r="BB373" s="80">
        <f>IF(AND(AB373=1,D373="proMX"),IF(AND(MOD(Z373,CFG_BLK)=0,MOD(AA373,CFG_BLK)=0,MOD(AG373,CFG_BLK)=0,AG373&gt;0),1,0),1)</f>
        <v>1</v>
      </c>
      <c r="BC373" s="80" t="str">
        <f>IF(Y373=0,"",IF(NOT(ISNUMBER(B373)),"Falta fecha o fecha inválida",IF(D373="","Falta empresa",IF(AND(D373&lt;&gt;"Malcolm",D373&lt;&gt;"proMX"),"Empresa inválida",IF(OR(INT(B373)&lt;CFG_PSTART,INT(B373)&gt;CFG_PEND),"Fecha fuera del período",IF(OR(NOT(ISNUMBER(Z373)),NOT(ISNUMBER(AA373))),"Falta hora inicio/fin o formato inválido",IF(AB373=0,"Hora inicio = hora fin",IF(AE373&lt;0,"Descanso inválido",IF(AE373&gt;=AD373,"Descanso ≥ duración",IF(AV373=1,"Registro duplicado",IF(AZ373&gt;0,"Se superpone con otro registro "&amp;D373,IF(BB373=0,"inicio, fin y duración neta deben ser múltiplos de "&amp;CFG_BLK&amp;" min",""))))))))))))</f>
        <v/>
      </c>
      <c r="BD373" s="80">
        <f>IF(AND(Y373=1,BC373=""),1,0)</f>
        <v>0</v>
      </c>
      <c r="BE373" s="80">
        <f>IF(AND(BD373=1,AU373=1),1,0)</f>
        <v>0</v>
      </c>
      <c r="BF373" s="80" t="str">
        <f>IF(AND(D373="proMX",BD373=1),IF(R373="","Draft",R373),"")</f>
        <v/>
      </c>
      <c r="BG373" s="80">
        <f>IF(BD373=1,ROUND(AG373/60,6),0)</f>
        <v>0</v>
      </c>
      <c r="BH373" s="80">
        <f>IF(BE373=1,ROUND(AG373/60,6),0)</f>
        <v>0</v>
      </c>
      <c r="BI373" s="80">
        <f>IF(BE373=1,ROUND(AP373/60,6),0)</f>
        <v>0</v>
      </c>
      <c r="BJ373" s="80">
        <f>IF(BE373=1,ROUND(AQ373/60,6),0)</f>
        <v>0</v>
      </c>
      <c r="BK373" s="80">
        <f>IF(BE373=1,ROUND((AR373+AS373)/60,6),0)</f>
        <v>0</v>
      </c>
      <c r="BL373" s="80">
        <f>ROUND(BH373-BK373,6)</f>
        <v>0</v>
      </c>
      <c r="BM373" s="80">
        <f>IF(BE373=1,ROUND(AR373/60,6),0)</f>
        <v>0</v>
      </c>
      <c r="BN373" s="80">
        <f>ROUND(BI373-BM373,6)</f>
        <v>0</v>
      </c>
      <c r="BO373" s="80">
        <f>IF(BE373=1,ROUND(AS373/60,6),0)</f>
        <v>0</v>
      </c>
      <c r="BP373" s="80">
        <f>ROUND(BJ373-BO373,6)</f>
        <v>0</v>
      </c>
      <c r="BQ373" s="80">
        <f>IF(BE373=1,AW373,0)</f>
        <v>0</v>
      </c>
      <c r="BR373" s="80">
        <f>IF(BE373=1,AX373,0)</f>
        <v>0</v>
      </c>
      <c r="BS373" s="80">
        <f>IF(AND(BE373=1,D373="Malcolm",BA373&gt;0),MIN(BH373,SUMPRODUCT((R_Emp="proMX")*(R_EN&gt;0)*((R_EN-(R_EN&gt;BR373)*(R_EN-BR373))&gt;(R_SN+(R_SN&lt;BQ373)*(BQ373-R_SN)))*((R_EN-(R_EN&gt;BR373)*(R_EN-BR373))-(R_SN+(R_SN&lt;BQ373)*(BQ373-R_SN))))/60),0)</f>
        <v>0</v>
      </c>
      <c r="BT373" s="80">
        <f>IF(AND(BE373=1,D373="proMX"),ROUND(BI373*CFG_RATE+BJ373*CFG_OTRATE,6),0)</f>
        <v>0</v>
      </c>
      <c r="BU373" s="80">
        <f>IF(AND(BD373=1,D373="proMX"),ROUND(AG373/CFG_BLK,6),0)</f>
        <v>0</v>
      </c>
      <c r="BV373" s="80" t="str">
        <f>IF(BF373="Approved",IF(ISNUMBER(T373),INT(T373),INT(B373)),"")</f>
        <v/>
      </c>
      <c r="BW373" s="80">
        <f>IF(ISNUMBER(B373),IF(DB_MON="Todos",1,IF(AND(INT(B373)&gt;=DB_MS,INT(B373)&lt;=DB_ME),1,0)),0)</f>
        <v>0</v>
      </c>
      <c r="BX373" s="80">
        <f>IF(DB_PROJ="Todos",1,IF(E373&amp;""=DB_PROJ&amp;"",1,0))</f>
        <v>1</v>
      </c>
      <c r="BY373" s="80">
        <f>BW373*BX373</f>
        <v>0</v>
      </c>
      <c r="BZ373" s="80" t="str">
        <f>IF(Y373=1,F373&amp;IF(AND(F373&amp;""&lt;&gt;"",E373&amp;""&lt;&gt;"")," · ","")&amp;E373,"")</f>
        <v/>
      </c>
      <c r="CA373" s="80" t="str">
        <f>IF(AND(BD373=1,E373&amp;""&lt;&gt;""),IF(COUNTIFS($E$5:E372,E373,$BD$5:BD372,1)=0,MAX($CA$5:CA372)+1,""),"")</f>
        <v/>
      </c>
      <c r="CB373" s="80" t="str">
        <f>IF(AND(BE373=1,D373="Malcolm",E373&amp;""&lt;&gt;""),IF(COUNTIFS($D$5:D372,"Malcolm",$E$5:E372,E373,$BE$5:BE372,1)=0,MAX($CB$5:CB372)+1,""),"")</f>
        <v/>
      </c>
      <c r="CC373" s="80" t="str">
        <f>IF(AND(BD373=1,D373="proMX",E373&amp;""&lt;&gt;""),IF(COUNTIFS($D$5:D372,"proMX",$E$5:E372,E373,$BD$5:BD372,1)=0,MAX($CC$5:CC372)+1,""),"")</f>
        <v/>
      </c>
      <c r="CD373" s="80" t="str">
        <f>IF(AND(BE373=1,D373="Malcolm",F373&amp;""&lt;&gt;""),IF(COUNTIFS($D$5:D372,"Malcolm",$F$5:F372,F373,$BE$5:BE372,1)=0,MAX($CD$5:CD372)+1,""),"")</f>
        <v/>
      </c>
      <c r="CE373" s="80" t="str">
        <f>IF(AND(BD373=1,D373="proMX",F373&amp;""&lt;&gt;""),IF(COUNTIFS($D$5:D372,"proMX",$F$5:F372,F373,$BD$5:BD372,1)=0,MAX($CE$5:CE372)+1,""),"")</f>
        <v/>
      </c>
      <c r="CF373" s="80" t="str">
        <f>IF(AND(D373="proMX",BD373=1),IF(OR(BF373="Draft",BF373="Submitted",BF373="Returned",BF373="Recall Requested"),MAX($CF$5:CF372)+1,""),"")</f>
        <v/>
      </c>
      <c r="CG373" s="80">
        <f>IF(BD373=0,0,IF(D373="Malcolm",1,MATCH(BF373,{"Draft","Submitted","Approved","Returned","Recall Requested","Cancelled"},0)+1))</f>
        <v>0</v>
      </c>
      <c r="CH373" s="80">
        <f>IF(AND(BF373="Submitted",ISNUMBER(V373)),IF(V373&gt;CFG_MAXD,1,0),0)</f>
        <v>0</v>
      </c>
    </row>
    <row r="374">
      <c r="A374" s="71" t="str">
        <f>IF(Y374=1,ROW()-5,"")</f>
        <v/>
      </c>
      <c r="B374" s="72" t="n"/>
      <c r="C374" s="71" t="str">
        <f>IF(ISNUMBER(B374),CHOOSE(WEEKDAY(B374,2),"Lun","Mar","Mié","Jue","Vie","Sáb","Dom"),"")</f>
        <v/>
      </c>
      <c r="D374" s="73" t="n"/>
      <c r="E374" s="74" t="n"/>
      <c r="F374" s="74" t="n"/>
      <c r="G374" s="74" t="n"/>
      <c r="H374" s="75" t="n"/>
      <c r="I374" s="75" t="n"/>
      <c r="J374" s="76" t="n"/>
      <c r="K374" s="77" t="str">
        <f>IF(AB374=1,ROUND(AG374/60,4),"")</f>
        <v/>
      </c>
      <c r="L374" s="77" t="str">
        <f>IF(BD374=1,ROUND(AP374/60,4),"")</f>
        <v/>
      </c>
      <c r="M374" s="77" t="str">
        <f>IF(BD374=1,ROUND(AQ374/60,4),"")</f>
        <v/>
      </c>
      <c r="N374" s="71" t="str">
        <f>IF(AND(D374="proMX",AB374=1),ROUND(AG374/CFG_BLK,2),"")</f>
        <v/>
      </c>
      <c r="O374" s="77" t="str">
        <f>IF(D374="proMX",IF(BD374=1,ROUND(AG374/60,4),0),"")</f>
        <v/>
      </c>
      <c r="P374" s="78" t="str">
        <f>IF(Y374=0,"",IF(BD374=1,"OK",IF(D374="proMX","Revisar bloques: ","Revisar: ")&amp;BC374))</f>
        <v/>
      </c>
      <c r="Q374" s="78" t="str">
        <f>IF(NOT(ISNUMBER(B374)),"",IF(COUNTIFS(FER_F,INT(B374))&gt;0,"Feriado"&amp;IF(AH374=1," (laborable)"," (no laborable)"),IF(AH374=1,"Laborable",IF(WEEKDAY(B374,2)&gt;5,"Fin de semana","No laborable"))))</f>
        <v/>
      </c>
      <c r="R374" s="73" t="n"/>
      <c r="S374" s="72" t="n"/>
      <c r="T374" s="72" t="n"/>
      <c r="U374" s="74" t="n"/>
      <c r="V374" s="79" t="str">
        <f>IF(AND(D374="proMX",OR(R374="Submitted",R374="Recall Requested"),ISNUMBER(S374)),CFG_TODAY-INT(S374),"")</f>
        <v/>
      </c>
      <c r="W374" s="78" t="str">
        <f>IF(BD374=0,"",IF(BA374&gt;0,"⚠ Se superpone con un registro de la otra empresa",IF(D374="Malcolm",IF(COUNTA(R374,S374,T374)&gt;0,"Estado/fechas proMX se ignoran en Malcolm",""),IF(BF374="Cancelled","Cancelado: excluido de totales",IF(R374="","Sin estado: se trata como Draft",IF(BF374="Submitted",IF(ISNUMBER(V374),IF(V374&gt;CFG_MAXD,"⚠ "&amp;V374&amp;" días en Submitted (máx. "&amp;CFG_MAXD&amp;")",""),"Falta fecha de envío"),IF(BF374="Returned","⚠ Devuelto: corregir y reenviar",IF(BF374="Recall Requested","Retirada solicitada: pendiente",IF(AND(BF374="Approved",NOT(ISNUMBER(T374))),"Falta fecha de aprobación",IF(AND(ISNUMBER(S374),ISNUMBER(T374),T374&lt;S374),"Aprobación anterior al envío","")))))))))</f>
        <v/>
      </c>
      <c r="Y374" s="80">
        <f>IF(COUNTA(B374,D374,E374,F374,G374,H374,I374,J374,R374,S374,T374)&gt;0,1,0)</f>
        <v>0</v>
      </c>
      <c r="Z374" s="80" t="str">
        <f>IF(AND(ISNUMBER(H374),H374&gt;=0,H374&lt;1),ROUND(H374*1440,0),"")</f>
        <v/>
      </c>
      <c r="AA374" s="80" t="str">
        <f>IF(AND(ISNUMBER(I374),I374&gt;=0,I374&lt;1),ROUND(I374*1440,0),"")</f>
        <v/>
      </c>
      <c r="AB374" s="80">
        <f>IF(AND(ISNUMBER(B374),D374&lt;&gt;"",ISNUMBER(Z374),ISNUMBER(AA374)),IF(Z374=AA374,0,1),0)</f>
        <v>0</v>
      </c>
      <c r="AC374" s="80">
        <f>IF(AB374=1,IF(AA374&lt;Z374,1,0),0)</f>
        <v>0</v>
      </c>
      <c r="AD374" s="80">
        <f>IF(AB374=1,IF(AC374=1,1440-Z374+AA374,AA374-Z374),0)</f>
        <v>0</v>
      </c>
      <c r="AE374" s="80">
        <f>IF(J374="",0,IF(ISNUMBER(J374),J374,-1))</f>
        <v>0</v>
      </c>
      <c r="AF374" s="80">
        <f>MIN(MAX(0,AE374),AD374)</f>
        <v>0</v>
      </c>
      <c r="AG374" s="80">
        <f>MAX(0,AD374-MAX(0,AE374))</f>
        <v>0</v>
      </c>
      <c r="AH374" s="80">
        <f>IF(ISNUMBER(B374),IF(AND(INDEX(CFG_WDAYS,WEEKDAY(INT(B374),2))="Sí",IF(D374="proMX",COUNTIFS(FER_F,INT(B374),FER_NLP,"Sí"),COUNTIFS(FER_F,INT(B374),FER_NLM,"Sí"))=0),1,0),0)</f>
        <v>0</v>
      </c>
      <c r="AI374" s="80">
        <f>IF(AC374=1,IF(AND(INDEX(CFG_WDAYS,WEEKDAY(INT(B374)+1,2))="Sí",IF(D374="proMX",COUNTIFS(FER_F,INT(B374)+1,FER_NLP,"Sí"),COUNTIFS(FER_F,INT(B374)+1,FER_NLM,"Sí"))=0),1,0),0)</f>
        <v>0</v>
      </c>
      <c r="AJ374" s="80">
        <f>IF(AC374=1,1440-Z374,AD374)</f>
        <v>0</v>
      </c>
      <c r="AK374" s="80">
        <f>IF(AND(AB374=1,AH374=1),MAX(0,MIN(IF(AC374=1,1440,AA374),CFG_WEM)-MAX(Z374,CFG_WSM)),0)</f>
        <v>0</v>
      </c>
      <c r="AL374" s="80">
        <f>IF(AND(AC374=1,AI374=1),MAX(0,MIN(AA374,CFG_WEM)-CFG_WSM),0)</f>
        <v>0</v>
      </c>
      <c r="AM374" s="80">
        <f>AK374+AL374</f>
        <v>0</v>
      </c>
      <c r="AN374" s="80">
        <f>IF(CFG_BRK="Proporcional",IF(AD374=0,0,AF374*AM374/AD374),IF(CFG_BRK="Extras primero",MIN(AM374,MAX(0,AF374-(AD374-AM374))),MIN(AF374,AM374)))</f>
        <v>0</v>
      </c>
      <c r="AO374" s="80">
        <f>AF374-AN374</f>
        <v>0</v>
      </c>
      <c r="AP374" s="80">
        <f>AM374-AN374</f>
        <v>0</v>
      </c>
      <c r="AQ374" s="80">
        <f>AD374-AM374-AO374</f>
        <v>0</v>
      </c>
      <c r="AR374" s="80">
        <f>IF(AM374=0,0,AK374-AN374*AK374/AM374)</f>
        <v>0</v>
      </c>
      <c r="AS374" s="80">
        <f>IF(AD374-AM374=0,0,(AJ374-AK374)-AO374*(AJ374-AK374)/(AD374-AM374))</f>
        <v>0</v>
      </c>
      <c r="AT374" s="80" t="str">
        <f>IF(AC374=1,INT(B374)+1,"")</f>
        <v/>
      </c>
      <c r="AU374" s="80">
        <f>IF(AND(D374="proMX",R374="Cancelled"),0,1)</f>
        <v>1</v>
      </c>
      <c r="AV374" s="80">
        <f>IF(AND(AB374=1,AU374=1),IF(COUNTIFS($D$5:D373,D374,$B$5:B373,B374,$Z$5:Z373,Z374,$AA$5:AA373,AA374,$F$5:F373,F374&amp;"",$AU$5:AU373,1)&gt;0,1,0),0)</f>
        <v>0</v>
      </c>
      <c r="AW374" s="80" t="str">
        <f>IF(AB374=1,INT(B374)*1440+Z374,"")</f>
        <v/>
      </c>
      <c r="AX374" s="80" t="str">
        <f>IF(AB374=1,AW374+AD374,"")</f>
        <v/>
      </c>
      <c r="AY374" s="80">
        <f>IF(AND(AB374=1,AV374=0,AU374=1),1,0)</f>
        <v>0</v>
      </c>
      <c r="AZ374" s="80">
        <f>IF(AY374=1,COUNTIFS(R_Emp,D374,R_SAbs,"&lt;"&amp;AX374,R_EAbs,"&gt;"&amp;AW374,R_OKey,1)-1,0)</f>
        <v>0</v>
      </c>
      <c r="BA374" s="80">
        <f>IF(AY374=1,COUNTIFS(R_Emp,"&lt;&gt;"&amp;D374,R_SAbs,"&lt;"&amp;AX374,R_EAbs,"&gt;"&amp;AW374,R_OKey,1),0)</f>
        <v>0</v>
      </c>
      <c r="BB374" s="80">
        <f>IF(AND(AB374=1,D374="proMX"),IF(AND(MOD(Z374,CFG_BLK)=0,MOD(AA374,CFG_BLK)=0,MOD(AG374,CFG_BLK)=0,AG374&gt;0),1,0),1)</f>
        <v>1</v>
      </c>
      <c r="BC374" s="80" t="str">
        <f>IF(Y374=0,"",IF(NOT(ISNUMBER(B374)),"Falta fecha o fecha inválida",IF(D374="","Falta empresa",IF(AND(D374&lt;&gt;"Malcolm",D374&lt;&gt;"proMX"),"Empresa inválida",IF(OR(INT(B374)&lt;CFG_PSTART,INT(B374)&gt;CFG_PEND),"Fecha fuera del período",IF(OR(NOT(ISNUMBER(Z374)),NOT(ISNUMBER(AA374))),"Falta hora inicio/fin o formato inválido",IF(AB374=0,"Hora inicio = hora fin",IF(AE374&lt;0,"Descanso inválido",IF(AE374&gt;=AD374,"Descanso ≥ duración",IF(AV374=1,"Registro duplicado",IF(AZ374&gt;0,"Se superpone con otro registro "&amp;D374,IF(BB374=0,"inicio, fin y duración neta deben ser múltiplos de "&amp;CFG_BLK&amp;" min",""))))))))))))</f>
        <v/>
      </c>
      <c r="BD374" s="80">
        <f>IF(AND(Y374=1,BC374=""),1,0)</f>
        <v>0</v>
      </c>
      <c r="BE374" s="80">
        <f>IF(AND(BD374=1,AU374=1),1,0)</f>
        <v>0</v>
      </c>
      <c r="BF374" s="80" t="str">
        <f>IF(AND(D374="proMX",BD374=1),IF(R374="","Draft",R374),"")</f>
        <v/>
      </c>
      <c r="BG374" s="80">
        <f>IF(BD374=1,ROUND(AG374/60,6),0)</f>
        <v>0</v>
      </c>
      <c r="BH374" s="80">
        <f>IF(BE374=1,ROUND(AG374/60,6),0)</f>
        <v>0</v>
      </c>
      <c r="BI374" s="80">
        <f>IF(BE374=1,ROUND(AP374/60,6),0)</f>
        <v>0</v>
      </c>
      <c r="BJ374" s="80">
        <f>IF(BE374=1,ROUND(AQ374/60,6),0)</f>
        <v>0</v>
      </c>
      <c r="BK374" s="80">
        <f>IF(BE374=1,ROUND((AR374+AS374)/60,6),0)</f>
        <v>0</v>
      </c>
      <c r="BL374" s="80">
        <f>ROUND(BH374-BK374,6)</f>
        <v>0</v>
      </c>
      <c r="BM374" s="80">
        <f>IF(BE374=1,ROUND(AR374/60,6),0)</f>
        <v>0</v>
      </c>
      <c r="BN374" s="80">
        <f>ROUND(BI374-BM374,6)</f>
        <v>0</v>
      </c>
      <c r="BO374" s="80">
        <f>IF(BE374=1,ROUND(AS374/60,6),0)</f>
        <v>0</v>
      </c>
      <c r="BP374" s="80">
        <f>ROUND(BJ374-BO374,6)</f>
        <v>0</v>
      </c>
      <c r="BQ374" s="80">
        <f>IF(BE374=1,AW374,0)</f>
        <v>0</v>
      </c>
      <c r="BR374" s="80">
        <f>IF(BE374=1,AX374,0)</f>
        <v>0</v>
      </c>
      <c r="BS374" s="80">
        <f>IF(AND(BE374=1,D374="Malcolm",BA374&gt;0),MIN(BH374,SUMPRODUCT((R_Emp="proMX")*(R_EN&gt;0)*((R_EN-(R_EN&gt;BR374)*(R_EN-BR374))&gt;(R_SN+(R_SN&lt;BQ374)*(BQ374-R_SN)))*((R_EN-(R_EN&gt;BR374)*(R_EN-BR374))-(R_SN+(R_SN&lt;BQ374)*(BQ374-R_SN))))/60),0)</f>
        <v>0</v>
      </c>
      <c r="BT374" s="80">
        <f>IF(AND(BE374=1,D374="proMX"),ROUND(BI374*CFG_RATE+BJ374*CFG_OTRATE,6),0)</f>
        <v>0</v>
      </c>
      <c r="BU374" s="80">
        <f>IF(AND(BD374=1,D374="proMX"),ROUND(AG374/CFG_BLK,6),0)</f>
        <v>0</v>
      </c>
      <c r="BV374" s="80" t="str">
        <f>IF(BF374="Approved",IF(ISNUMBER(T374),INT(T374),INT(B374)),"")</f>
        <v/>
      </c>
      <c r="BW374" s="80">
        <f>IF(ISNUMBER(B374),IF(DB_MON="Todos",1,IF(AND(INT(B374)&gt;=DB_MS,INT(B374)&lt;=DB_ME),1,0)),0)</f>
        <v>0</v>
      </c>
      <c r="BX374" s="80">
        <f>IF(DB_PROJ="Todos",1,IF(E374&amp;""=DB_PROJ&amp;"",1,0))</f>
        <v>1</v>
      </c>
      <c r="BY374" s="80">
        <f>BW374*BX374</f>
        <v>0</v>
      </c>
      <c r="BZ374" s="80" t="str">
        <f>IF(Y374=1,F374&amp;IF(AND(F374&amp;""&lt;&gt;"",E374&amp;""&lt;&gt;"")," · ","")&amp;E374,"")</f>
        <v/>
      </c>
      <c r="CA374" s="80" t="str">
        <f>IF(AND(BD374=1,E374&amp;""&lt;&gt;""),IF(COUNTIFS($E$5:E373,E374,$BD$5:BD373,1)=0,MAX($CA$5:CA373)+1,""),"")</f>
        <v/>
      </c>
      <c r="CB374" s="80" t="str">
        <f>IF(AND(BE374=1,D374="Malcolm",E374&amp;""&lt;&gt;""),IF(COUNTIFS($D$5:D373,"Malcolm",$E$5:E373,E374,$BE$5:BE373,1)=0,MAX($CB$5:CB373)+1,""),"")</f>
        <v/>
      </c>
      <c r="CC374" s="80" t="str">
        <f>IF(AND(BD374=1,D374="proMX",E374&amp;""&lt;&gt;""),IF(COUNTIFS($D$5:D373,"proMX",$E$5:E373,E374,$BD$5:BD373,1)=0,MAX($CC$5:CC373)+1,""),"")</f>
        <v/>
      </c>
      <c r="CD374" s="80" t="str">
        <f>IF(AND(BE374=1,D374="Malcolm",F374&amp;""&lt;&gt;""),IF(COUNTIFS($D$5:D373,"Malcolm",$F$5:F373,F374,$BE$5:BE373,1)=0,MAX($CD$5:CD373)+1,""),"")</f>
        <v/>
      </c>
      <c r="CE374" s="80" t="str">
        <f>IF(AND(BD374=1,D374="proMX",F374&amp;""&lt;&gt;""),IF(COUNTIFS($D$5:D373,"proMX",$F$5:F373,F374,$BD$5:BD373,1)=0,MAX($CE$5:CE373)+1,""),"")</f>
        <v/>
      </c>
      <c r="CF374" s="80" t="str">
        <f>IF(AND(D374="proMX",BD374=1),IF(OR(BF374="Draft",BF374="Submitted",BF374="Returned",BF374="Recall Requested"),MAX($CF$5:CF373)+1,""),"")</f>
        <v/>
      </c>
      <c r="CG374" s="80">
        <f>IF(BD374=0,0,IF(D374="Malcolm",1,MATCH(BF374,{"Draft","Submitted","Approved","Returned","Recall Requested","Cancelled"},0)+1))</f>
        <v>0</v>
      </c>
      <c r="CH374" s="80">
        <f>IF(AND(BF374="Submitted",ISNUMBER(V374)),IF(V374&gt;CFG_MAXD,1,0),0)</f>
        <v>0</v>
      </c>
    </row>
    <row r="375">
      <c r="A375" s="71" t="str">
        <f>IF(Y375=1,ROW()-5,"")</f>
        <v/>
      </c>
      <c r="B375" s="72" t="n"/>
      <c r="C375" s="71" t="str">
        <f>IF(ISNUMBER(B375),CHOOSE(WEEKDAY(B375,2),"Lun","Mar","Mié","Jue","Vie","Sáb","Dom"),"")</f>
        <v/>
      </c>
      <c r="D375" s="73" t="n"/>
      <c r="E375" s="74" t="n"/>
      <c r="F375" s="74" t="n"/>
      <c r="G375" s="74" t="n"/>
      <c r="H375" s="75" t="n"/>
      <c r="I375" s="75" t="n"/>
      <c r="J375" s="76" t="n"/>
      <c r="K375" s="77" t="str">
        <f>IF(AB375=1,ROUND(AG375/60,4),"")</f>
        <v/>
      </c>
      <c r="L375" s="77" t="str">
        <f>IF(BD375=1,ROUND(AP375/60,4),"")</f>
        <v/>
      </c>
      <c r="M375" s="77" t="str">
        <f>IF(BD375=1,ROUND(AQ375/60,4),"")</f>
        <v/>
      </c>
      <c r="N375" s="71" t="str">
        <f>IF(AND(D375="proMX",AB375=1),ROUND(AG375/CFG_BLK,2),"")</f>
        <v/>
      </c>
      <c r="O375" s="77" t="str">
        <f>IF(D375="proMX",IF(BD375=1,ROUND(AG375/60,4),0),"")</f>
        <v/>
      </c>
      <c r="P375" s="78" t="str">
        <f>IF(Y375=0,"",IF(BD375=1,"OK",IF(D375="proMX","Revisar bloques: ","Revisar: ")&amp;BC375))</f>
        <v/>
      </c>
      <c r="Q375" s="78" t="str">
        <f>IF(NOT(ISNUMBER(B375)),"",IF(COUNTIFS(FER_F,INT(B375))&gt;0,"Feriado"&amp;IF(AH375=1," (laborable)"," (no laborable)"),IF(AH375=1,"Laborable",IF(WEEKDAY(B375,2)&gt;5,"Fin de semana","No laborable"))))</f>
        <v/>
      </c>
      <c r="R375" s="73" t="n"/>
      <c r="S375" s="72" t="n"/>
      <c r="T375" s="72" t="n"/>
      <c r="U375" s="74" t="n"/>
      <c r="V375" s="79" t="str">
        <f>IF(AND(D375="proMX",OR(R375="Submitted",R375="Recall Requested"),ISNUMBER(S375)),CFG_TODAY-INT(S375),"")</f>
        <v/>
      </c>
      <c r="W375" s="78" t="str">
        <f>IF(BD375=0,"",IF(BA375&gt;0,"⚠ Se superpone con un registro de la otra empresa",IF(D375="Malcolm",IF(COUNTA(R375,S375,T375)&gt;0,"Estado/fechas proMX se ignoran en Malcolm",""),IF(BF375="Cancelled","Cancelado: excluido de totales",IF(R375="","Sin estado: se trata como Draft",IF(BF375="Submitted",IF(ISNUMBER(V375),IF(V375&gt;CFG_MAXD,"⚠ "&amp;V375&amp;" días en Submitted (máx. "&amp;CFG_MAXD&amp;")",""),"Falta fecha de envío"),IF(BF375="Returned","⚠ Devuelto: corregir y reenviar",IF(BF375="Recall Requested","Retirada solicitada: pendiente",IF(AND(BF375="Approved",NOT(ISNUMBER(T375))),"Falta fecha de aprobación",IF(AND(ISNUMBER(S375),ISNUMBER(T375),T375&lt;S375),"Aprobación anterior al envío","")))))))))</f>
        <v/>
      </c>
      <c r="Y375" s="80">
        <f>IF(COUNTA(B375,D375,E375,F375,G375,H375,I375,J375,R375,S375,T375)&gt;0,1,0)</f>
        <v>0</v>
      </c>
      <c r="Z375" s="80" t="str">
        <f>IF(AND(ISNUMBER(H375),H375&gt;=0,H375&lt;1),ROUND(H375*1440,0),"")</f>
        <v/>
      </c>
      <c r="AA375" s="80" t="str">
        <f>IF(AND(ISNUMBER(I375),I375&gt;=0,I375&lt;1),ROUND(I375*1440,0),"")</f>
        <v/>
      </c>
      <c r="AB375" s="80">
        <f>IF(AND(ISNUMBER(B375),D375&lt;&gt;"",ISNUMBER(Z375),ISNUMBER(AA375)),IF(Z375=AA375,0,1),0)</f>
        <v>0</v>
      </c>
      <c r="AC375" s="80">
        <f>IF(AB375=1,IF(AA375&lt;Z375,1,0),0)</f>
        <v>0</v>
      </c>
      <c r="AD375" s="80">
        <f>IF(AB375=1,IF(AC375=1,1440-Z375+AA375,AA375-Z375),0)</f>
        <v>0</v>
      </c>
      <c r="AE375" s="80">
        <f>IF(J375="",0,IF(ISNUMBER(J375),J375,-1))</f>
        <v>0</v>
      </c>
      <c r="AF375" s="80">
        <f>MIN(MAX(0,AE375),AD375)</f>
        <v>0</v>
      </c>
      <c r="AG375" s="80">
        <f>MAX(0,AD375-MAX(0,AE375))</f>
        <v>0</v>
      </c>
      <c r="AH375" s="80">
        <f>IF(ISNUMBER(B375),IF(AND(INDEX(CFG_WDAYS,WEEKDAY(INT(B375),2))="Sí",IF(D375="proMX",COUNTIFS(FER_F,INT(B375),FER_NLP,"Sí"),COUNTIFS(FER_F,INT(B375),FER_NLM,"Sí"))=0),1,0),0)</f>
        <v>0</v>
      </c>
      <c r="AI375" s="80">
        <f>IF(AC375=1,IF(AND(INDEX(CFG_WDAYS,WEEKDAY(INT(B375)+1,2))="Sí",IF(D375="proMX",COUNTIFS(FER_F,INT(B375)+1,FER_NLP,"Sí"),COUNTIFS(FER_F,INT(B375)+1,FER_NLM,"Sí"))=0),1,0),0)</f>
        <v>0</v>
      </c>
      <c r="AJ375" s="80">
        <f>IF(AC375=1,1440-Z375,AD375)</f>
        <v>0</v>
      </c>
      <c r="AK375" s="80">
        <f>IF(AND(AB375=1,AH375=1),MAX(0,MIN(IF(AC375=1,1440,AA375),CFG_WEM)-MAX(Z375,CFG_WSM)),0)</f>
        <v>0</v>
      </c>
      <c r="AL375" s="80">
        <f>IF(AND(AC375=1,AI375=1),MAX(0,MIN(AA375,CFG_WEM)-CFG_WSM),0)</f>
        <v>0</v>
      </c>
      <c r="AM375" s="80">
        <f>AK375+AL375</f>
        <v>0</v>
      </c>
      <c r="AN375" s="80">
        <f>IF(CFG_BRK="Proporcional",IF(AD375=0,0,AF375*AM375/AD375),IF(CFG_BRK="Extras primero",MIN(AM375,MAX(0,AF375-(AD375-AM375))),MIN(AF375,AM375)))</f>
        <v>0</v>
      </c>
      <c r="AO375" s="80">
        <f>AF375-AN375</f>
        <v>0</v>
      </c>
      <c r="AP375" s="80">
        <f>AM375-AN375</f>
        <v>0</v>
      </c>
      <c r="AQ375" s="80">
        <f>AD375-AM375-AO375</f>
        <v>0</v>
      </c>
      <c r="AR375" s="80">
        <f>IF(AM375=0,0,AK375-AN375*AK375/AM375)</f>
        <v>0</v>
      </c>
      <c r="AS375" s="80">
        <f>IF(AD375-AM375=0,0,(AJ375-AK375)-AO375*(AJ375-AK375)/(AD375-AM375))</f>
        <v>0</v>
      </c>
      <c r="AT375" s="80" t="str">
        <f>IF(AC375=1,INT(B375)+1,"")</f>
        <v/>
      </c>
      <c r="AU375" s="80">
        <f>IF(AND(D375="proMX",R375="Cancelled"),0,1)</f>
        <v>1</v>
      </c>
      <c r="AV375" s="80">
        <f>IF(AND(AB375=1,AU375=1),IF(COUNTIFS($D$5:D374,D375,$B$5:B374,B375,$Z$5:Z374,Z375,$AA$5:AA374,AA375,$F$5:F374,F375&amp;"",$AU$5:AU374,1)&gt;0,1,0),0)</f>
        <v>0</v>
      </c>
      <c r="AW375" s="80" t="str">
        <f>IF(AB375=1,INT(B375)*1440+Z375,"")</f>
        <v/>
      </c>
      <c r="AX375" s="80" t="str">
        <f>IF(AB375=1,AW375+AD375,"")</f>
        <v/>
      </c>
      <c r="AY375" s="80">
        <f>IF(AND(AB375=1,AV375=0,AU375=1),1,0)</f>
        <v>0</v>
      </c>
      <c r="AZ375" s="80">
        <f>IF(AY375=1,COUNTIFS(R_Emp,D375,R_SAbs,"&lt;"&amp;AX375,R_EAbs,"&gt;"&amp;AW375,R_OKey,1)-1,0)</f>
        <v>0</v>
      </c>
      <c r="BA375" s="80">
        <f>IF(AY375=1,COUNTIFS(R_Emp,"&lt;&gt;"&amp;D375,R_SAbs,"&lt;"&amp;AX375,R_EAbs,"&gt;"&amp;AW375,R_OKey,1),0)</f>
        <v>0</v>
      </c>
      <c r="BB375" s="80">
        <f>IF(AND(AB375=1,D375="proMX"),IF(AND(MOD(Z375,CFG_BLK)=0,MOD(AA375,CFG_BLK)=0,MOD(AG375,CFG_BLK)=0,AG375&gt;0),1,0),1)</f>
        <v>1</v>
      </c>
      <c r="BC375" s="80" t="str">
        <f>IF(Y375=0,"",IF(NOT(ISNUMBER(B375)),"Falta fecha o fecha inválida",IF(D375="","Falta empresa",IF(AND(D375&lt;&gt;"Malcolm",D375&lt;&gt;"proMX"),"Empresa inválida",IF(OR(INT(B375)&lt;CFG_PSTART,INT(B375)&gt;CFG_PEND),"Fecha fuera del período",IF(OR(NOT(ISNUMBER(Z375)),NOT(ISNUMBER(AA375))),"Falta hora inicio/fin o formato inválido",IF(AB375=0,"Hora inicio = hora fin",IF(AE375&lt;0,"Descanso inválido",IF(AE375&gt;=AD375,"Descanso ≥ duración",IF(AV375=1,"Registro duplicado",IF(AZ375&gt;0,"Se superpone con otro registro "&amp;D375,IF(BB375=0,"inicio, fin y duración neta deben ser múltiplos de "&amp;CFG_BLK&amp;" min",""))))))))))))</f>
        <v/>
      </c>
      <c r="BD375" s="80">
        <f>IF(AND(Y375=1,BC375=""),1,0)</f>
        <v>0</v>
      </c>
      <c r="BE375" s="80">
        <f>IF(AND(BD375=1,AU375=1),1,0)</f>
        <v>0</v>
      </c>
      <c r="BF375" s="80" t="str">
        <f>IF(AND(D375="proMX",BD375=1),IF(R375="","Draft",R375),"")</f>
        <v/>
      </c>
      <c r="BG375" s="80">
        <f>IF(BD375=1,ROUND(AG375/60,6),0)</f>
        <v>0</v>
      </c>
      <c r="BH375" s="80">
        <f>IF(BE375=1,ROUND(AG375/60,6),0)</f>
        <v>0</v>
      </c>
      <c r="BI375" s="80">
        <f>IF(BE375=1,ROUND(AP375/60,6),0)</f>
        <v>0</v>
      </c>
      <c r="BJ375" s="80">
        <f>IF(BE375=1,ROUND(AQ375/60,6),0)</f>
        <v>0</v>
      </c>
      <c r="BK375" s="80">
        <f>IF(BE375=1,ROUND((AR375+AS375)/60,6),0)</f>
        <v>0</v>
      </c>
      <c r="BL375" s="80">
        <f>ROUND(BH375-BK375,6)</f>
        <v>0</v>
      </c>
      <c r="BM375" s="80">
        <f>IF(BE375=1,ROUND(AR375/60,6),0)</f>
        <v>0</v>
      </c>
      <c r="BN375" s="80">
        <f>ROUND(BI375-BM375,6)</f>
        <v>0</v>
      </c>
      <c r="BO375" s="80">
        <f>IF(BE375=1,ROUND(AS375/60,6),0)</f>
        <v>0</v>
      </c>
      <c r="BP375" s="80">
        <f>ROUND(BJ375-BO375,6)</f>
        <v>0</v>
      </c>
      <c r="BQ375" s="80">
        <f>IF(BE375=1,AW375,0)</f>
        <v>0</v>
      </c>
      <c r="BR375" s="80">
        <f>IF(BE375=1,AX375,0)</f>
        <v>0</v>
      </c>
      <c r="BS375" s="80">
        <f>IF(AND(BE375=1,D375="Malcolm",BA375&gt;0),MIN(BH375,SUMPRODUCT((R_Emp="proMX")*(R_EN&gt;0)*((R_EN-(R_EN&gt;BR375)*(R_EN-BR375))&gt;(R_SN+(R_SN&lt;BQ375)*(BQ375-R_SN)))*((R_EN-(R_EN&gt;BR375)*(R_EN-BR375))-(R_SN+(R_SN&lt;BQ375)*(BQ375-R_SN))))/60),0)</f>
        <v>0</v>
      </c>
      <c r="BT375" s="80">
        <f>IF(AND(BE375=1,D375="proMX"),ROUND(BI375*CFG_RATE+BJ375*CFG_OTRATE,6),0)</f>
        <v>0</v>
      </c>
      <c r="BU375" s="80">
        <f>IF(AND(BD375=1,D375="proMX"),ROUND(AG375/CFG_BLK,6),0)</f>
        <v>0</v>
      </c>
      <c r="BV375" s="80" t="str">
        <f>IF(BF375="Approved",IF(ISNUMBER(T375),INT(T375),INT(B375)),"")</f>
        <v/>
      </c>
      <c r="BW375" s="80">
        <f>IF(ISNUMBER(B375),IF(DB_MON="Todos",1,IF(AND(INT(B375)&gt;=DB_MS,INT(B375)&lt;=DB_ME),1,0)),0)</f>
        <v>0</v>
      </c>
      <c r="BX375" s="80">
        <f>IF(DB_PROJ="Todos",1,IF(E375&amp;""=DB_PROJ&amp;"",1,0))</f>
        <v>1</v>
      </c>
      <c r="BY375" s="80">
        <f>BW375*BX375</f>
        <v>0</v>
      </c>
      <c r="BZ375" s="80" t="str">
        <f>IF(Y375=1,F375&amp;IF(AND(F375&amp;""&lt;&gt;"",E375&amp;""&lt;&gt;"")," · ","")&amp;E375,"")</f>
        <v/>
      </c>
      <c r="CA375" s="80" t="str">
        <f>IF(AND(BD375=1,E375&amp;""&lt;&gt;""),IF(COUNTIFS($E$5:E374,E375,$BD$5:BD374,1)=0,MAX($CA$5:CA374)+1,""),"")</f>
        <v/>
      </c>
      <c r="CB375" s="80" t="str">
        <f>IF(AND(BE375=1,D375="Malcolm",E375&amp;""&lt;&gt;""),IF(COUNTIFS($D$5:D374,"Malcolm",$E$5:E374,E375,$BE$5:BE374,1)=0,MAX($CB$5:CB374)+1,""),"")</f>
        <v/>
      </c>
      <c r="CC375" s="80" t="str">
        <f>IF(AND(BD375=1,D375="proMX",E375&amp;""&lt;&gt;""),IF(COUNTIFS($D$5:D374,"proMX",$E$5:E374,E375,$BD$5:BD374,1)=0,MAX($CC$5:CC374)+1,""),"")</f>
        <v/>
      </c>
      <c r="CD375" s="80" t="str">
        <f>IF(AND(BE375=1,D375="Malcolm",F375&amp;""&lt;&gt;""),IF(COUNTIFS($D$5:D374,"Malcolm",$F$5:F374,F375,$BE$5:BE374,1)=0,MAX($CD$5:CD374)+1,""),"")</f>
        <v/>
      </c>
      <c r="CE375" s="80" t="str">
        <f>IF(AND(BD375=1,D375="proMX",F375&amp;""&lt;&gt;""),IF(COUNTIFS($D$5:D374,"proMX",$F$5:F374,F375,$BD$5:BD374,1)=0,MAX($CE$5:CE374)+1,""),"")</f>
        <v/>
      </c>
      <c r="CF375" s="80" t="str">
        <f>IF(AND(D375="proMX",BD375=1),IF(OR(BF375="Draft",BF375="Submitted",BF375="Returned",BF375="Recall Requested"),MAX($CF$5:CF374)+1,""),"")</f>
        <v/>
      </c>
      <c r="CG375" s="80">
        <f>IF(BD375=0,0,IF(D375="Malcolm",1,MATCH(BF375,{"Draft","Submitted","Approved","Returned","Recall Requested","Cancelled"},0)+1))</f>
        <v>0</v>
      </c>
      <c r="CH375" s="80">
        <f>IF(AND(BF375="Submitted",ISNUMBER(V375)),IF(V375&gt;CFG_MAXD,1,0),0)</f>
        <v>0</v>
      </c>
    </row>
    <row r="376">
      <c r="A376" s="71" t="str">
        <f>IF(Y376=1,ROW()-5,"")</f>
        <v/>
      </c>
      <c r="B376" s="72" t="n"/>
      <c r="C376" s="71" t="str">
        <f>IF(ISNUMBER(B376),CHOOSE(WEEKDAY(B376,2),"Lun","Mar","Mié","Jue","Vie","Sáb","Dom"),"")</f>
        <v/>
      </c>
      <c r="D376" s="73" t="n"/>
      <c r="E376" s="74" t="n"/>
      <c r="F376" s="74" t="n"/>
      <c r="G376" s="74" t="n"/>
      <c r="H376" s="75" t="n"/>
      <c r="I376" s="75" t="n"/>
      <c r="J376" s="76" t="n"/>
      <c r="K376" s="77" t="str">
        <f>IF(AB376=1,ROUND(AG376/60,4),"")</f>
        <v/>
      </c>
      <c r="L376" s="77" t="str">
        <f>IF(BD376=1,ROUND(AP376/60,4),"")</f>
        <v/>
      </c>
      <c r="M376" s="77" t="str">
        <f>IF(BD376=1,ROUND(AQ376/60,4),"")</f>
        <v/>
      </c>
      <c r="N376" s="71" t="str">
        <f>IF(AND(D376="proMX",AB376=1),ROUND(AG376/CFG_BLK,2),"")</f>
        <v/>
      </c>
      <c r="O376" s="77" t="str">
        <f>IF(D376="proMX",IF(BD376=1,ROUND(AG376/60,4),0),"")</f>
        <v/>
      </c>
      <c r="P376" s="78" t="str">
        <f>IF(Y376=0,"",IF(BD376=1,"OK",IF(D376="proMX","Revisar bloques: ","Revisar: ")&amp;BC376))</f>
        <v/>
      </c>
      <c r="Q376" s="78" t="str">
        <f>IF(NOT(ISNUMBER(B376)),"",IF(COUNTIFS(FER_F,INT(B376))&gt;0,"Feriado"&amp;IF(AH376=1," (laborable)"," (no laborable)"),IF(AH376=1,"Laborable",IF(WEEKDAY(B376,2)&gt;5,"Fin de semana","No laborable"))))</f>
        <v/>
      </c>
      <c r="R376" s="73" t="n"/>
      <c r="S376" s="72" t="n"/>
      <c r="T376" s="72" t="n"/>
      <c r="U376" s="74" t="n"/>
      <c r="V376" s="79" t="str">
        <f>IF(AND(D376="proMX",OR(R376="Submitted",R376="Recall Requested"),ISNUMBER(S376)),CFG_TODAY-INT(S376),"")</f>
        <v/>
      </c>
      <c r="W376" s="78" t="str">
        <f>IF(BD376=0,"",IF(BA376&gt;0,"⚠ Se superpone con un registro de la otra empresa",IF(D376="Malcolm",IF(COUNTA(R376,S376,T376)&gt;0,"Estado/fechas proMX se ignoran en Malcolm",""),IF(BF376="Cancelled","Cancelado: excluido de totales",IF(R376="","Sin estado: se trata como Draft",IF(BF376="Submitted",IF(ISNUMBER(V376),IF(V376&gt;CFG_MAXD,"⚠ "&amp;V376&amp;" días en Submitted (máx. "&amp;CFG_MAXD&amp;")",""),"Falta fecha de envío"),IF(BF376="Returned","⚠ Devuelto: corregir y reenviar",IF(BF376="Recall Requested","Retirada solicitada: pendiente",IF(AND(BF376="Approved",NOT(ISNUMBER(T376))),"Falta fecha de aprobación",IF(AND(ISNUMBER(S376),ISNUMBER(T376),T376&lt;S376),"Aprobación anterior al envío","")))))))))</f>
        <v/>
      </c>
      <c r="Y376" s="80">
        <f>IF(COUNTA(B376,D376,E376,F376,G376,H376,I376,J376,R376,S376,T376)&gt;0,1,0)</f>
        <v>0</v>
      </c>
      <c r="Z376" s="80" t="str">
        <f>IF(AND(ISNUMBER(H376),H376&gt;=0,H376&lt;1),ROUND(H376*1440,0),"")</f>
        <v/>
      </c>
      <c r="AA376" s="80" t="str">
        <f>IF(AND(ISNUMBER(I376),I376&gt;=0,I376&lt;1),ROUND(I376*1440,0),"")</f>
        <v/>
      </c>
      <c r="AB376" s="80">
        <f>IF(AND(ISNUMBER(B376),D376&lt;&gt;"",ISNUMBER(Z376),ISNUMBER(AA376)),IF(Z376=AA376,0,1),0)</f>
        <v>0</v>
      </c>
      <c r="AC376" s="80">
        <f>IF(AB376=1,IF(AA376&lt;Z376,1,0),0)</f>
        <v>0</v>
      </c>
      <c r="AD376" s="80">
        <f>IF(AB376=1,IF(AC376=1,1440-Z376+AA376,AA376-Z376),0)</f>
        <v>0</v>
      </c>
      <c r="AE376" s="80">
        <f>IF(J376="",0,IF(ISNUMBER(J376),J376,-1))</f>
        <v>0</v>
      </c>
      <c r="AF376" s="80">
        <f>MIN(MAX(0,AE376),AD376)</f>
        <v>0</v>
      </c>
      <c r="AG376" s="80">
        <f>MAX(0,AD376-MAX(0,AE376))</f>
        <v>0</v>
      </c>
      <c r="AH376" s="80">
        <f>IF(ISNUMBER(B376),IF(AND(INDEX(CFG_WDAYS,WEEKDAY(INT(B376),2))="Sí",IF(D376="proMX",COUNTIFS(FER_F,INT(B376),FER_NLP,"Sí"),COUNTIFS(FER_F,INT(B376),FER_NLM,"Sí"))=0),1,0),0)</f>
        <v>0</v>
      </c>
      <c r="AI376" s="80">
        <f>IF(AC376=1,IF(AND(INDEX(CFG_WDAYS,WEEKDAY(INT(B376)+1,2))="Sí",IF(D376="proMX",COUNTIFS(FER_F,INT(B376)+1,FER_NLP,"Sí"),COUNTIFS(FER_F,INT(B376)+1,FER_NLM,"Sí"))=0),1,0),0)</f>
        <v>0</v>
      </c>
      <c r="AJ376" s="80">
        <f>IF(AC376=1,1440-Z376,AD376)</f>
        <v>0</v>
      </c>
      <c r="AK376" s="80">
        <f>IF(AND(AB376=1,AH376=1),MAX(0,MIN(IF(AC376=1,1440,AA376),CFG_WEM)-MAX(Z376,CFG_WSM)),0)</f>
        <v>0</v>
      </c>
      <c r="AL376" s="80">
        <f>IF(AND(AC376=1,AI376=1),MAX(0,MIN(AA376,CFG_WEM)-CFG_WSM),0)</f>
        <v>0</v>
      </c>
      <c r="AM376" s="80">
        <f>AK376+AL376</f>
        <v>0</v>
      </c>
      <c r="AN376" s="80">
        <f>IF(CFG_BRK="Proporcional",IF(AD376=0,0,AF376*AM376/AD376),IF(CFG_BRK="Extras primero",MIN(AM376,MAX(0,AF376-(AD376-AM376))),MIN(AF376,AM376)))</f>
        <v>0</v>
      </c>
      <c r="AO376" s="80">
        <f>AF376-AN376</f>
        <v>0</v>
      </c>
      <c r="AP376" s="80">
        <f>AM376-AN376</f>
        <v>0</v>
      </c>
      <c r="AQ376" s="80">
        <f>AD376-AM376-AO376</f>
        <v>0</v>
      </c>
      <c r="AR376" s="80">
        <f>IF(AM376=0,0,AK376-AN376*AK376/AM376)</f>
        <v>0</v>
      </c>
      <c r="AS376" s="80">
        <f>IF(AD376-AM376=0,0,(AJ376-AK376)-AO376*(AJ376-AK376)/(AD376-AM376))</f>
        <v>0</v>
      </c>
      <c r="AT376" s="80" t="str">
        <f>IF(AC376=1,INT(B376)+1,"")</f>
        <v/>
      </c>
      <c r="AU376" s="80">
        <f>IF(AND(D376="proMX",R376="Cancelled"),0,1)</f>
        <v>1</v>
      </c>
      <c r="AV376" s="80">
        <f>IF(AND(AB376=1,AU376=1),IF(COUNTIFS($D$5:D375,D376,$B$5:B375,B376,$Z$5:Z375,Z376,$AA$5:AA375,AA376,$F$5:F375,F376&amp;"",$AU$5:AU375,1)&gt;0,1,0),0)</f>
        <v>0</v>
      </c>
      <c r="AW376" s="80" t="str">
        <f>IF(AB376=1,INT(B376)*1440+Z376,"")</f>
        <v/>
      </c>
      <c r="AX376" s="80" t="str">
        <f>IF(AB376=1,AW376+AD376,"")</f>
        <v/>
      </c>
      <c r="AY376" s="80">
        <f>IF(AND(AB376=1,AV376=0,AU376=1),1,0)</f>
        <v>0</v>
      </c>
      <c r="AZ376" s="80">
        <f>IF(AY376=1,COUNTIFS(R_Emp,D376,R_SAbs,"&lt;"&amp;AX376,R_EAbs,"&gt;"&amp;AW376,R_OKey,1)-1,0)</f>
        <v>0</v>
      </c>
      <c r="BA376" s="80">
        <f>IF(AY376=1,COUNTIFS(R_Emp,"&lt;&gt;"&amp;D376,R_SAbs,"&lt;"&amp;AX376,R_EAbs,"&gt;"&amp;AW376,R_OKey,1),0)</f>
        <v>0</v>
      </c>
      <c r="BB376" s="80">
        <f>IF(AND(AB376=1,D376="proMX"),IF(AND(MOD(Z376,CFG_BLK)=0,MOD(AA376,CFG_BLK)=0,MOD(AG376,CFG_BLK)=0,AG376&gt;0),1,0),1)</f>
        <v>1</v>
      </c>
      <c r="BC376" s="80" t="str">
        <f>IF(Y376=0,"",IF(NOT(ISNUMBER(B376)),"Falta fecha o fecha inválida",IF(D376="","Falta empresa",IF(AND(D376&lt;&gt;"Malcolm",D376&lt;&gt;"proMX"),"Empresa inválida",IF(OR(INT(B376)&lt;CFG_PSTART,INT(B376)&gt;CFG_PEND),"Fecha fuera del período",IF(OR(NOT(ISNUMBER(Z376)),NOT(ISNUMBER(AA376))),"Falta hora inicio/fin o formato inválido",IF(AB376=0,"Hora inicio = hora fin",IF(AE376&lt;0,"Descanso inválido",IF(AE376&gt;=AD376,"Descanso ≥ duración",IF(AV376=1,"Registro duplicado",IF(AZ376&gt;0,"Se superpone con otro registro "&amp;D376,IF(BB376=0,"inicio, fin y duración neta deben ser múltiplos de "&amp;CFG_BLK&amp;" min",""))))))))))))</f>
        <v/>
      </c>
      <c r="BD376" s="80">
        <f>IF(AND(Y376=1,BC376=""),1,0)</f>
        <v>0</v>
      </c>
      <c r="BE376" s="80">
        <f>IF(AND(BD376=1,AU376=1),1,0)</f>
        <v>0</v>
      </c>
      <c r="BF376" s="80" t="str">
        <f>IF(AND(D376="proMX",BD376=1),IF(R376="","Draft",R376),"")</f>
        <v/>
      </c>
      <c r="BG376" s="80">
        <f>IF(BD376=1,ROUND(AG376/60,6),0)</f>
        <v>0</v>
      </c>
      <c r="BH376" s="80">
        <f>IF(BE376=1,ROUND(AG376/60,6),0)</f>
        <v>0</v>
      </c>
      <c r="BI376" s="80">
        <f>IF(BE376=1,ROUND(AP376/60,6),0)</f>
        <v>0</v>
      </c>
      <c r="BJ376" s="80">
        <f>IF(BE376=1,ROUND(AQ376/60,6),0)</f>
        <v>0</v>
      </c>
      <c r="BK376" s="80">
        <f>IF(BE376=1,ROUND((AR376+AS376)/60,6),0)</f>
        <v>0</v>
      </c>
      <c r="BL376" s="80">
        <f>ROUND(BH376-BK376,6)</f>
        <v>0</v>
      </c>
      <c r="BM376" s="80">
        <f>IF(BE376=1,ROUND(AR376/60,6),0)</f>
        <v>0</v>
      </c>
      <c r="BN376" s="80">
        <f>ROUND(BI376-BM376,6)</f>
        <v>0</v>
      </c>
      <c r="BO376" s="80">
        <f>IF(BE376=1,ROUND(AS376/60,6),0)</f>
        <v>0</v>
      </c>
      <c r="BP376" s="80">
        <f>ROUND(BJ376-BO376,6)</f>
        <v>0</v>
      </c>
      <c r="BQ376" s="80">
        <f>IF(BE376=1,AW376,0)</f>
        <v>0</v>
      </c>
      <c r="BR376" s="80">
        <f>IF(BE376=1,AX376,0)</f>
        <v>0</v>
      </c>
      <c r="BS376" s="80">
        <f>IF(AND(BE376=1,D376="Malcolm",BA376&gt;0),MIN(BH376,SUMPRODUCT((R_Emp="proMX")*(R_EN&gt;0)*((R_EN-(R_EN&gt;BR376)*(R_EN-BR376))&gt;(R_SN+(R_SN&lt;BQ376)*(BQ376-R_SN)))*((R_EN-(R_EN&gt;BR376)*(R_EN-BR376))-(R_SN+(R_SN&lt;BQ376)*(BQ376-R_SN))))/60),0)</f>
        <v>0</v>
      </c>
      <c r="BT376" s="80">
        <f>IF(AND(BE376=1,D376="proMX"),ROUND(BI376*CFG_RATE+BJ376*CFG_OTRATE,6),0)</f>
        <v>0</v>
      </c>
      <c r="BU376" s="80">
        <f>IF(AND(BD376=1,D376="proMX"),ROUND(AG376/CFG_BLK,6),0)</f>
        <v>0</v>
      </c>
      <c r="BV376" s="80" t="str">
        <f>IF(BF376="Approved",IF(ISNUMBER(T376),INT(T376),INT(B376)),"")</f>
        <v/>
      </c>
      <c r="BW376" s="80">
        <f>IF(ISNUMBER(B376),IF(DB_MON="Todos",1,IF(AND(INT(B376)&gt;=DB_MS,INT(B376)&lt;=DB_ME),1,0)),0)</f>
        <v>0</v>
      </c>
      <c r="BX376" s="80">
        <f>IF(DB_PROJ="Todos",1,IF(E376&amp;""=DB_PROJ&amp;"",1,0))</f>
        <v>1</v>
      </c>
      <c r="BY376" s="80">
        <f>BW376*BX376</f>
        <v>0</v>
      </c>
      <c r="BZ376" s="80" t="str">
        <f>IF(Y376=1,F376&amp;IF(AND(F376&amp;""&lt;&gt;"",E376&amp;""&lt;&gt;"")," · ","")&amp;E376,"")</f>
        <v/>
      </c>
      <c r="CA376" s="80" t="str">
        <f>IF(AND(BD376=1,E376&amp;""&lt;&gt;""),IF(COUNTIFS($E$5:E375,E376,$BD$5:BD375,1)=0,MAX($CA$5:CA375)+1,""),"")</f>
        <v/>
      </c>
      <c r="CB376" s="80" t="str">
        <f>IF(AND(BE376=1,D376="Malcolm",E376&amp;""&lt;&gt;""),IF(COUNTIFS($D$5:D375,"Malcolm",$E$5:E375,E376,$BE$5:BE375,1)=0,MAX($CB$5:CB375)+1,""),"")</f>
        <v/>
      </c>
      <c r="CC376" s="80" t="str">
        <f>IF(AND(BD376=1,D376="proMX",E376&amp;""&lt;&gt;""),IF(COUNTIFS($D$5:D375,"proMX",$E$5:E375,E376,$BD$5:BD375,1)=0,MAX($CC$5:CC375)+1,""),"")</f>
        <v/>
      </c>
      <c r="CD376" s="80" t="str">
        <f>IF(AND(BE376=1,D376="Malcolm",F376&amp;""&lt;&gt;""),IF(COUNTIFS($D$5:D375,"Malcolm",$F$5:F375,F376,$BE$5:BE375,1)=0,MAX($CD$5:CD375)+1,""),"")</f>
        <v/>
      </c>
      <c r="CE376" s="80" t="str">
        <f>IF(AND(BD376=1,D376="proMX",F376&amp;""&lt;&gt;""),IF(COUNTIFS($D$5:D375,"proMX",$F$5:F375,F376,$BD$5:BD375,1)=0,MAX($CE$5:CE375)+1,""),"")</f>
        <v/>
      </c>
      <c r="CF376" s="80" t="str">
        <f>IF(AND(D376="proMX",BD376=1),IF(OR(BF376="Draft",BF376="Submitted",BF376="Returned",BF376="Recall Requested"),MAX($CF$5:CF375)+1,""),"")</f>
        <v/>
      </c>
      <c r="CG376" s="80">
        <f>IF(BD376=0,0,IF(D376="Malcolm",1,MATCH(BF376,{"Draft","Submitted","Approved","Returned","Recall Requested","Cancelled"},0)+1))</f>
        <v>0</v>
      </c>
      <c r="CH376" s="80">
        <f>IF(AND(BF376="Submitted",ISNUMBER(V376)),IF(V376&gt;CFG_MAXD,1,0),0)</f>
        <v>0</v>
      </c>
    </row>
    <row r="377">
      <c r="A377" s="71" t="str">
        <f>IF(Y377=1,ROW()-5,"")</f>
        <v/>
      </c>
      <c r="B377" s="72" t="n"/>
      <c r="C377" s="71" t="str">
        <f>IF(ISNUMBER(B377),CHOOSE(WEEKDAY(B377,2),"Lun","Mar","Mié","Jue","Vie","Sáb","Dom"),"")</f>
        <v/>
      </c>
      <c r="D377" s="73" t="n"/>
      <c r="E377" s="74" t="n"/>
      <c r="F377" s="74" t="n"/>
      <c r="G377" s="74" t="n"/>
      <c r="H377" s="75" t="n"/>
      <c r="I377" s="75" t="n"/>
      <c r="J377" s="76" t="n"/>
      <c r="K377" s="77" t="str">
        <f>IF(AB377=1,ROUND(AG377/60,4),"")</f>
        <v/>
      </c>
      <c r="L377" s="77" t="str">
        <f>IF(BD377=1,ROUND(AP377/60,4),"")</f>
        <v/>
      </c>
      <c r="M377" s="77" t="str">
        <f>IF(BD377=1,ROUND(AQ377/60,4),"")</f>
        <v/>
      </c>
      <c r="N377" s="71" t="str">
        <f>IF(AND(D377="proMX",AB377=1),ROUND(AG377/CFG_BLK,2),"")</f>
        <v/>
      </c>
      <c r="O377" s="77" t="str">
        <f>IF(D377="proMX",IF(BD377=1,ROUND(AG377/60,4),0),"")</f>
        <v/>
      </c>
      <c r="P377" s="78" t="str">
        <f>IF(Y377=0,"",IF(BD377=1,"OK",IF(D377="proMX","Revisar bloques: ","Revisar: ")&amp;BC377))</f>
        <v/>
      </c>
      <c r="Q377" s="78" t="str">
        <f>IF(NOT(ISNUMBER(B377)),"",IF(COUNTIFS(FER_F,INT(B377))&gt;0,"Feriado"&amp;IF(AH377=1," (laborable)"," (no laborable)"),IF(AH377=1,"Laborable",IF(WEEKDAY(B377,2)&gt;5,"Fin de semana","No laborable"))))</f>
        <v/>
      </c>
      <c r="R377" s="73" t="n"/>
      <c r="S377" s="72" t="n"/>
      <c r="T377" s="72" t="n"/>
      <c r="U377" s="74" t="n"/>
      <c r="V377" s="79" t="str">
        <f>IF(AND(D377="proMX",OR(R377="Submitted",R377="Recall Requested"),ISNUMBER(S377)),CFG_TODAY-INT(S377),"")</f>
        <v/>
      </c>
      <c r="W377" s="78" t="str">
        <f>IF(BD377=0,"",IF(BA377&gt;0,"⚠ Se superpone con un registro de la otra empresa",IF(D377="Malcolm",IF(COUNTA(R377,S377,T377)&gt;0,"Estado/fechas proMX se ignoran en Malcolm",""),IF(BF377="Cancelled","Cancelado: excluido de totales",IF(R377="","Sin estado: se trata como Draft",IF(BF377="Submitted",IF(ISNUMBER(V377),IF(V377&gt;CFG_MAXD,"⚠ "&amp;V377&amp;" días en Submitted (máx. "&amp;CFG_MAXD&amp;")",""),"Falta fecha de envío"),IF(BF377="Returned","⚠ Devuelto: corregir y reenviar",IF(BF377="Recall Requested","Retirada solicitada: pendiente",IF(AND(BF377="Approved",NOT(ISNUMBER(T377))),"Falta fecha de aprobación",IF(AND(ISNUMBER(S377),ISNUMBER(T377),T377&lt;S377),"Aprobación anterior al envío","")))))))))</f>
        <v/>
      </c>
      <c r="Y377" s="80">
        <f>IF(COUNTA(B377,D377,E377,F377,G377,H377,I377,J377,R377,S377,T377)&gt;0,1,0)</f>
        <v>0</v>
      </c>
      <c r="Z377" s="80" t="str">
        <f>IF(AND(ISNUMBER(H377),H377&gt;=0,H377&lt;1),ROUND(H377*1440,0),"")</f>
        <v/>
      </c>
      <c r="AA377" s="80" t="str">
        <f>IF(AND(ISNUMBER(I377),I377&gt;=0,I377&lt;1),ROUND(I377*1440,0),"")</f>
        <v/>
      </c>
      <c r="AB377" s="80">
        <f>IF(AND(ISNUMBER(B377),D377&lt;&gt;"",ISNUMBER(Z377),ISNUMBER(AA377)),IF(Z377=AA377,0,1),0)</f>
        <v>0</v>
      </c>
      <c r="AC377" s="80">
        <f>IF(AB377=1,IF(AA377&lt;Z377,1,0),0)</f>
        <v>0</v>
      </c>
      <c r="AD377" s="80">
        <f>IF(AB377=1,IF(AC377=1,1440-Z377+AA377,AA377-Z377),0)</f>
        <v>0</v>
      </c>
      <c r="AE377" s="80">
        <f>IF(J377="",0,IF(ISNUMBER(J377),J377,-1))</f>
        <v>0</v>
      </c>
      <c r="AF377" s="80">
        <f>MIN(MAX(0,AE377),AD377)</f>
        <v>0</v>
      </c>
      <c r="AG377" s="80">
        <f>MAX(0,AD377-MAX(0,AE377))</f>
        <v>0</v>
      </c>
      <c r="AH377" s="80">
        <f>IF(ISNUMBER(B377),IF(AND(INDEX(CFG_WDAYS,WEEKDAY(INT(B377),2))="Sí",IF(D377="proMX",COUNTIFS(FER_F,INT(B377),FER_NLP,"Sí"),COUNTIFS(FER_F,INT(B377),FER_NLM,"Sí"))=0),1,0),0)</f>
        <v>0</v>
      </c>
      <c r="AI377" s="80">
        <f>IF(AC377=1,IF(AND(INDEX(CFG_WDAYS,WEEKDAY(INT(B377)+1,2))="Sí",IF(D377="proMX",COUNTIFS(FER_F,INT(B377)+1,FER_NLP,"Sí"),COUNTIFS(FER_F,INT(B377)+1,FER_NLM,"Sí"))=0),1,0),0)</f>
        <v>0</v>
      </c>
      <c r="AJ377" s="80">
        <f>IF(AC377=1,1440-Z377,AD377)</f>
        <v>0</v>
      </c>
      <c r="AK377" s="80">
        <f>IF(AND(AB377=1,AH377=1),MAX(0,MIN(IF(AC377=1,1440,AA377),CFG_WEM)-MAX(Z377,CFG_WSM)),0)</f>
        <v>0</v>
      </c>
      <c r="AL377" s="80">
        <f>IF(AND(AC377=1,AI377=1),MAX(0,MIN(AA377,CFG_WEM)-CFG_WSM),0)</f>
        <v>0</v>
      </c>
      <c r="AM377" s="80">
        <f>AK377+AL377</f>
        <v>0</v>
      </c>
      <c r="AN377" s="80">
        <f>IF(CFG_BRK="Proporcional",IF(AD377=0,0,AF377*AM377/AD377),IF(CFG_BRK="Extras primero",MIN(AM377,MAX(0,AF377-(AD377-AM377))),MIN(AF377,AM377)))</f>
        <v>0</v>
      </c>
      <c r="AO377" s="80">
        <f>AF377-AN377</f>
        <v>0</v>
      </c>
      <c r="AP377" s="80">
        <f>AM377-AN377</f>
        <v>0</v>
      </c>
      <c r="AQ377" s="80">
        <f>AD377-AM377-AO377</f>
        <v>0</v>
      </c>
      <c r="AR377" s="80">
        <f>IF(AM377=0,0,AK377-AN377*AK377/AM377)</f>
        <v>0</v>
      </c>
      <c r="AS377" s="80">
        <f>IF(AD377-AM377=0,0,(AJ377-AK377)-AO377*(AJ377-AK377)/(AD377-AM377))</f>
        <v>0</v>
      </c>
      <c r="AT377" s="80" t="str">
        <f>IF(AC377=1,INT(B377)+1,"")</f>
        <v/>
      </c>
      <c r="AU377" s="80">
        <f>IF(AND(D377="proMX",R377="Cancelled"),0,1)</f>
        <v>1</v>
      </c>
      <c r="AV377" s="80">
        <f>IF(AND(AB377=1,AU377=1),IF(COUNTIFS($D$5:D376,D377,$B$5:B376,B377,$Z$5:Z376,Z377,$AA$5:AA376,AA377,$F$5:F376,F377&amp;"",$AU$5:AU376,1)&gt;0,1,0),0)</f>
        <v>0</v>
      </c>
      <c r="AW377" s="80" t="str">
        <f>IF(AB377=1,INT(B377)*1440+Z377,"")</f>
        <v/>
      </c>
      <c r="AX377" s="80" t="str">
        <f>IF(AB377=1,AW377+AD377,"")</f>
        <v/>
      </c>
      <c r="AY377" s="80">
        <f>IF(AND(AB377=1,AV377=0,AU377=1),1,0)</f>
        <v>0</v>
      </c>
      <c r="AZ377" s="80">
        <f>IF(AY377=1,COUNTIFS(R_Emp,D377,R_SAbs,"&lt;"&amp;AX377,R_EAbs,"&gt;"&amp;AW377,R_OKey,1)-1,0)</f>
        <v>0</v>
      </c>
      <c r="BA377" s="80">
        <f>IF(AY377=1,COUNTIFS(R_Emp,"&lt;&gt;"&amp;D377,R_SAbs,"&lt;"&amp;AX377,R_EAbs,"&gt;"&amp;AW377,R_OKey,1),0)</f>
        <v>0</v>
      </c>
      <c r="BB377" s="80">
        <f>IF(AND(AB377=1,D377="proMX"),IF(AND(MOD(Z377,CFG_BLK)=0,MOD(AA377,CFG_BLK)=0,MOD(AG377,CFG_BLK)=0,AG377&gt;0),1,0),1)</f>
        <v>1</v>
      </c>
      <c r="BC377" s="80" t="str">
        <f>IF(Y377=0,"",IF(NOT(ISNUMBER(B377)),"Falta fecha o fecha inválida",IF(D377="","Falta empresa",IF(AND(D377&lt;&gt;"Malcolm",D377&lt;&gt;"proMX"),"Empresa inválida",IF(OR(INT(B377)&lt;CFG_PSTART,INT(B377)&gt;CFG_PEND),"Fecha fuera del período",IF(OR(NOT(ISNUMBER(Z377)),NOT(ISNUMBER(AA377))),"Falta hora inicio/fin o formato inválido",IF(AB377=0,"Hora inicio = hora fin",IF(AE377&lt;0,"Descanso inválido",IF(AE377&gt;=AD377,"Descanso ≥ duración",IF(AV377=1,"Registro duplicado",IF(AZ377&gt;0,"Se superpone con otro registro "&amp;D377,IF(BB377=0,"inicio, fin y duración neta deben ser múltiplos de "&amp;CFG_BLK&amp;" min",""))))))))))))</f>
        <v/>
      </c>
      <c r="BD377" s="80">
        <f>IF(AND(Y377=1,BC377=""),1,0)</f>
        <v>0</v>
      </c>
      <c r="BE377" s="80">
        <f>IF(AND(BD377=1,AU377=1),1,0)</f>
        <v>0</v>
      </c>
      <c r="BF377" s="80" t="str">
        <f>IF(AND(D377="proMX",BD377=1),IF(R377="","Draft",R377),"")</f>
        <v/>
      </c>
      <c r="BG377" s="80">
        <f>IF(BD377=1,ROUND(AG377/60,6),0)</f>
        <v>0</v>
      </c>
      <c r="BH377" s="80">
        <f>IF(BE377=1,ROUND(AG377/60,6),0)</f>
        <v>0</v>
      </c>
      <c r="BI377" s="80">
        <f>IF(BE377=1,ROUND(AP377/60,6),0)</f>
        <v>0</v>
      </c>
      <c r="BJ377" s="80">
        <f>IF(BE377=1,ROUND(AQ377/60,6),0)</f>
        <v>0</v>
      </c>
      <c r="BK377" s="80">
        <f>IF(BE377=1,ROUND((AR377+AS377)/60,6),0)</f>
        <v>0</v>
      </c>
      <c r="BL377" s="80">
        <f>ROUND(BH377-BK377,6)</f>
        <v>0</v>
      </c>
      <c r="BM377" s="80">
        <f>IF(BE377=1,ROUND(AR377/60,6),0)</f>
        <v>0</v>
      </c>
      <c r="BN377" s="80">
        <f>ROUND(BI377-BM377,6)</f>
        <v>0</v>
      </c>
      <c r="BO377" s="80">
        <f>IF(BE377=1,ROUND(AS377/60,6),0)</f>
        <v>0</v>
      </c>
      <c r="BP377" s="80">
        <f>ROUND(BJ377-BO377,6)</f>
        <v>0</v>
      </c>
      <c r="BQ377" s="80">
        <f>IF(BE377=1,AW377,0)</f>
        <v>0</v>
      </c>
      <c r="BR377" s="80">
        <f>IF(BE377=1,AX377,0)</f>
        <v>0</v>
      </c>
      <c r="BS377" s="80">
        <f>IF(AND(BE377=1,D377="Malcolm",BA377&gt;0),MIN(BH377,SUMPRODUCT((R_Emp="proMX")*(R_EN&gt;0)*((R_EN-(R_EN&gt;BR377)*(R_EN-BR377))&gt;(R_SN+(R_SN&lt;BQ377)*(BQ377-R_SN)))*((R_EN-(R_EN&gt;BR377)*(R_EN-BR377))-(R_SN+(R_SN&lt;BQ377)*(BQ377-R_SN))))/60),0)</f>
        <v>0</v>
      </c>
      <c r="BT377" s="80">
        <f>IF(AND(BE377=1,D377="proMX"),ROUND(BI377*CFG_RATE+BJ377*CFG_OTRATE,6),0)</f>
        <v>0</v>
      </c>
      <c r="BU377" s="80">
        <f>IF(AND(BD377=1,D377="proMX"),ROUND(AG377/CFG_BLK,6),0)</f>
        <v>0</v>
      </c>
      <c r="BV377" s="80" t="str">
        <f>IF(BF377="Approved",IF(ISNUMBER(T377),INT(T377),INT(B377)),"")</f>
        <v/>
      </c>
      <c r="BW377" s="80">
        <f>IF(ISNUMBER(B377),IF(DB_MON="Todos",1,IF(AND(INT(B377)&gt;=DB_MS,INT(B377)&lt;=DB_ME),1,0)),0)</f>
        <v>0</v>
      </c>
      <c r="BX377" s="80">
        <f>IF(DB_PROJ="Todos",1,IF(E377&amp;""=DB_PROJ&amp;"",1,0))</f>
        <v>1</v>
      </c>
      <c r="BY377" s="80">
        <f>BW377*BX377</f>
        <v>0</v>
      </c>
      <c r="BZ377" s="80" t="str">
        <f>IF(Y377=1,F377&amp;IF(AND(F377&amp;""&lt;&gt;"",E377&amp;""&lt;&gt;"")," · ","")&amp;E377,"")</f>
        <v/>
      </c>
      <c r="CA377" s="80" t="str">
        <f>IF(AND(BD377=1,E377&amp;""&lt;&gt;""),IF(COUNTIFS($E$5:E376,E377,$BD$5:BD376,1)=0,MAX($CA$5:CA376)+1,""),"")</f>
        <v/>
      </c>
      <c r="CB377" s="80" t="str">
        <f>IF(AND(BE377=1,D377="Malcolm",E377&amp;""&lt;&gt;""),IF(COUNTIFS($D$5:D376,"Malcolm",$E$5:E376,E377,$BE$5:BE376,1)=0,MAX($CB$5:CB376)+1,""),"")</f>
        <v/>
      </c>
      <c r="CC377" s="80" t="str">
        <f>IF(AND(BD377=1,D377="proMX",E377&amp;""&lt;&gt;""),IF(COUNTIFS($D$5:D376,"proMX",$E$5:E376,E377,$BD$5:BD376,1)=0,MAX($CC$5:CC376)+1,""),"")</f>
        <v/>
      </c>
      <c r="CD377" s="80" t="str">
        <f>IF(AND(BE377=1,D377="Malcolm",F377&amp;""&lt;&gt;""),IF(COUNTIFS($D$5:D376,"Malcolm",$F$5:F376,F377,$BE$5:BE376,1)=0,MAX($CD$5:CD376)+1,""),"")</f>
        <v/>
      </c>
      <c r="CE377" s="80" t="str">
        <f>IF(AND(BD377=1,D377="proMX",F377&amp;""&lt;&gt;""),IF(COUNTIFS($D$5:D376,"proMX",$F$5:F376,F377,$BD$5:BD376,1)=0,MAX($CE$5:CE376)+1,""),"")</f>
        <v/>
      </c>
      <c r="CF377" s="80" t="str">
        <f>IF(AND(D377="proMX",BD377=1),IF(OR(BF377="Draft",BF377="Submitted",BF377="Returned",BF377="Recall Requested"),MAX($CF$5:CF376)+1,""),"")</f>
        <v/>
      </c>
      <c r="CG377" s="80">
        <f>IF(BD377=0,0,IF(D377="Malcolm",1,MATCH(BF377,{"Draft","Submitted","Approved","Returned","Recall Requested","Cancelled"},0)+1))</f>
        <v>0</v>
      </c>
      <c r="CH377" s="80">
        <f>IF(AND(BF377="Submitted",ISNUMBER(V377)),IF(V377&gt;CFG_MAXD,1,0),0)</f>
        <v>0</v>
      </c>
    </row>
    <row r="378">
      <c r="A378" s="71" t="str">
        <f>IF(Y378=1,ROW()-5,"")</f>
        <v/>
      </c>
      <c r="B378" s="72" t="n"/>
      <c r="C378" s="71" t="str">
        <f>IF(ISNUMBER(B378),CHOOSE(WEEKDAY(B378,2),"Lun","Mar","Mié","Jue","Vie","Sáb","Dom"),"")</f>
        <v/>
      </c>
      <c r="D378" s="73" t="n"/>
      <c r="E378" s="74" t="n"/>
      <c r="F378" s="74" t="n"/>
      <c r="G378" s="74" t="n"/>
      <c r="H378" s="75" t="n"/>
      <c r="I378" s="75" t="n"/>
      <c r="J378" s="76" t="n"/>
      <c r="K378" s="77" t="str">
        <f>IF(AB378=1,ROUND(AG378/60,4),"")</f>
        <v/>
      </c>
      <c r="L378" s="77" t="str">
        <f>IF(BD378=1,ROUND(AP378/60,4),"")</f>
        <v/>
      </c>
      <c r="M378" s="77" t="str">
        <f>IF(BD378=1,ROUND(AQ378/60,4),"")</f>
        <v/>
      </c>
      <c r="N378" s="71" t="str">
        <f>IF(AND(D378="proMX",AB378=1),ROUND(AG378/CFG_BLK,2),"")</f>
        <v/>
      </c>
      <c r="O378" s="77" t="str">
        <f>IF(D378="proMX",IF(BD378=1,ROUND(AG378/60,4),0),"")</f>
        <v/>
      </c>
      <c r="P378" s="78" t="str">
        <f>IF(Y378=0,"",IF(BD378=1,"OK",IF(D378="proMX","Revisar bloques: ","Revisar: ")&amp;BC378))</f>
        <v/>
      </c>
      <c r="Q378" s="78" t="str">
        <f>IF(NOT(ISNUMBER(B378)),"",IF(COUNTIFS(FER_F,INT(B378))&gt;0,"Feriado"&amp;IF(AH378=1," (laborable)"," (no laborable)"),IF(AH378=1,"Laborable",IF(WEEKDAY(B378,2)&gt;5,"Fin de semana","No laborable"))))</f>
        <v/>
      </c>
      <c r="R378" s="73" t="n"/>
      <c r="S378" s="72" t="n"/>
      <c r="T378" s="72" t="n"/>
      <c r="U378" s="74" t="n"/>
      <c r="V378" s="79" t="str">
        <f>IF(AND(D378="proMX",OR(R378="Submitted",R378="Recall Requested"),ISNUMBER(S378)),CFG_TODAY-INT(S378),"")</f>
        <v/>
      </c>
      <c r="W378" s="78" t="str">
        <f>IF(BD378=0,"",IF(BA378&gt;0,"⚠ Se superpone con un registro de la otra empresa",IF(D378="Malcolm",IF(COUNTA(R378,S378,T378)&gt;0,"Estado/fechas proMX se ignoran en Malcolm",""),IF(BF378="Cancelled","Cancelado: excluido de totales",IF(R378="","Sin estado: se trata como Draft",IF(BF378="Submitted",IF(ISNUMBER(V378),IF(V378&gt;CFG_MAXD,"⚠ "&amp;V378&amp;" días en Submitted (máx. "&amp;CFG_MAXD&amp;")",""),"Falta fecha de envío"),IF(BF378="Returned","⚠ Devuelto: corregir y reenviar",IF(BF378="Recall Requested","Retirada solicitada: pendiente",IF(AND(BF378="Approved",NOT(ISNUMBER(T378))),"Falta fecha de aprobación",IF(AND(ISNUMBER(S378),ISNUMBER(T378),T378&lt;S378),"Aprobación anterior al envío","")))))))))</f>
        <v/>
      </c>
      <c r="Y378" s="80">
        <f>IF(COUNTA(B378,D378,E378,F378,G378,H378,I378,J378,R378,S378,T378)&gt;0,1,0)</f>
        <v>0</v>
      </c>
      <c r="Z378" s="80" t="str">
        <f>IF(AND(ISNUMBER(H378),H378&gt;=0,H378&lt;1),ROUND(H378*1440,0),"")</f>
        <v/>
      </c>
      <c r="AA378" s="80" t="str">
        <f>IF(AND(ISNUMBER(I378),I378&gt;=0,I378&lt;1),ROUND(I378*1440,0),"")</f>
        <v/>
      </c>
      <c r="AB378" s="80">
        <f>IF(AND(ISNUMBER(B378),D378&lt;&gt;"",ISNUMBER(Z378),ISNUMBER(AA378)),IF(Z378=AA378,0,1),0)</f>
        <v>0</v>
      </c>
      <c r="AC378" s="80">
        <f>IF(AB378=1,IF(AA378&lt;Z378,1,0),0)</f>
        <v>0</v>
      </c>
      <c r="AD378" s="80">
        <f>IF(AB378=1,IF(AC378=1,1440-Z378+AA378,AA378-Z378),0)</f>
        <v>0</v>
      </c>
      <c r="AE378" s="80">
        <f>IF(J378="",0,IF(ISNUMBER(J378),J378,-1))</f>
        <v>0</v>
      </c>
      <c r="AF378" s="80">
        <f>MIN(MAX(0,AE378),AD378)</f>
        <v>0</v>
      </c>
      <c r="AG378" s="80">
        <f>MAX(0,AD378-MAX(0,AE378))</f>
        <v>0</v>
      </c>
      <c r="AH378" s="80">
        <f>IF(ISNUMBER(B378),IF(AND(INDEX(CFG_WDAYS,WEEKDAY(INT(B378),2))="Sí",IF(D378="proMX",COUNTIFS(FER_F,INT(B378),FER_NLP,"Sí"),COUNTIFS(FER_F,INT(B378),FER_NLM,"Sí"))=0),1,0),0)</f>
        <v>0</v>
      </c>
      <c r="AI378" s="80">
        <f>IF(AC378=1,IF(AND(INDEX(CFG_WDAYS,WEEKDAY(INT(B378)+1,2))="Sí",IF(D378="proMX",COUNTIFS(FER_F,INT(B378)+1,FER_NLP,"Sí"),COUNTIFS(FER_F,INT(B378)+1,FER_NLM,"Sí"))=0),1,0),0)</f>
        <v>0</v>
      </c>
      <c r="AJ378" s="80">
        <f>IF(AC378=1,1440-Z378,AD378)</f>
        <v>0</v>
      </c>
      <c r="AK378" s="80">
        <f>IF(AND(AB378=1,AH378=1),MAX(0,MIN(IF(AC378=1,1440,AA378),CFG_WEM)-MAX(Z378,CFG_WSM)),0)</f>
        <v>0</v>
      </c>
      <c r="AL378" s="80">
        <f>IF(AND(AC378=1,AI378=1),MAX(0,MIN(AA378,CFG_WEM)-CFG_WSM),0)</f>
        <v>0</v>
      </c>
      <c r="AM378" s="80">
        <f>AK378+AL378</f>
        <v>0</v>
      </c>
      <c r="AN378" s="80">
        <f>IF(CFG_BRK="Proporcional",IF(AD378=0,0,AF378*AM378/AD378),IF(CFG_BRK="Extras primero",MIN(AM378,MAX(0,AF378-(AD378-AM378))),MIN(AF378,AM378)))</f>
        <v>0</v>
      </c>
      <c r="AO378" s="80">
        <f>AF378-AN378</f>
        <v>0</v>
      </c>
      <c r="AP378" s="80">
        <f>AM378-AN378</f>
        <v>0</v>
      </c>
      <c r="AQ378" s="80">
        <f>AD378-AM378-AO378</f>
        <v>0</v>
      </c>
      <c r="AR378" s="80">
        <f>IF(AM378=0,0,AK378-AN378*AK378/AM378)</f>
        <v>0</v>
      </c>
      <c r="AS378" s="80">
        <f>IF(AD378-AM378=0,0,(AJ378-AK378)-AO378*(AJ378-AK378)/(AD378-AM378))</f>
        <v>0</v>
      </c>
      <c r="AT378" s="80" t="str">
        <f>IF(AC378=1,INT(B378)+1,"")</f>
        <v/>
      </c>
      <c r="AU378" s="80">
        <f>IF(AND(D378="proMX",R378="Cancelled"),0,1)</f>
        <v>1</v>
      </c>
      <c r="AV378" s="80">
        <f>IF(AND(AB378=1,AU378=1),IF(COUNTIFS($D$5:D377,D378,$B$5:B377,B378,$Z$5:Z377,Z378,$AA$5:AA377,AA378,$F$5:F377,F378&amp;"",$AU$5:AU377,1)&gt;0,1,0),0)</f>
        <v>0</v>
      </c>
      <c r="AW378" s="80" t="str">
        <f>IF(AB378=1,INT(B378)*1440+Z378,"")</f>
        <v/>
      </c>
      <c r="AX378" s="80" t="str">
        <f>IF(AB378=1,AW378+AD378,"")</f>
        <v/>
      </c>
      <c r="AY378" s="80">
        <f>IF(AND(AB378=1,AV378=0,AU378=1),1,0)</f>
        <v>0</v>
      </c>
      <c r="AZ378" s="80">
        <f>IF(AY378=1,COUNTIFS(R_Emp,D378,R_SAbs,"&lt;"&amp;AX378,R_EAbs,"&gt;"&amp;AW378,R_OKey,1)-1,0)</f>
        <v>0</v>
      </c>
      <c r="BA378" s="80">
        <f>IF(AY378=1,COUNTIFS(R_Emp,"&lt;&gt;"&amp;D378,R_SAbs,"&lt;"&amp;AX378,R_EAbs,"&gt;"&amp;AW378,R_OKey,1),0)</f>
        <v>0</v>
      </c>
      <c r="BB378" s="80">
        <f>IF(AND(AB378=1,D378="proMX"),IF(AND(MOD(Z378,CFG_BLK)=0,MOD(AA378,CFG_BLK)=0,MOD(AG378,CFG_BLK)=0,AG378&gt;0),1,0),1)</f>
        <v>1</v>
      </c>
      <c r="BC378" s="80" t="str">
        <f>IF(Y378=0,"",IF(NOT(ISNUMBER(B378)),"Falta fecha o fecha inválida",IF(D378="","Falta empresa",IF(AND(D378&lt;&gt;"Malcolm",D378&lt;&gt;"proMX"),"Empresa inválida",IF(OR(INT(B378)&lt;CFG_PSTART,INT(B378)&gt;CFG_PEND),"Fecha fuera del período",IF(OR(NOT(ISNUMBER(Z378)),NOT(ISNUMBER(AA378))),"Falta hora inicio/fin o formato inválido",IF(AB378=0,"Hora inicio = hora fin",IF(AE378&lt;0,"Descanso inválido",IF(AE378&gt;=AD378,"Descanso ≥ duración",IF(AV378=1,"Registro duplicado",IF(AZ378&gt;0,"Se superpone con otro registro "&amp;D378,IF(BB378=0,"inicio, fin y duración neta deben ser múltiplos de "&amp;CFG_BLK&amp;" min",""))))))))))))</f>
        <v/>
      </c>
      <c r="BD378" s="80">
        <f>IF(AND(Y378=1,BC378=""),1,0)</f>
        <v>0</v>
      </c>
      <c r="BE378" s="80">
        <f>IF(AND(BD378=1,AU378=1),1,0)</f>
        <v>0</v>
      </c>
      <c r="BF378" s="80" t="str">
        <f>IF(AND(D378="proMX",BD378=1),IF(R378="","Draft",R378),"")</f>
        <v/>
      </c>
      <c r="BG378" s="80">
        <f>IF(BD378=1,ROUND(AG378/60,6),0)</f>
        <v>0</v>
      </c>
      <c r="BH378" s="80">
        <f>IF(BE378=1,ROUND(AG378/60,6),0)</f>
        <v>0</v>
      </c>
      <c r="BI378" s="80">
        <f>IF(BE378=1,ROUND(AP378/60,6),0)</f>
        <v>0</v>
      </c>
      <c r="BJ378" s="80">
        <f>IF(BE378=1,ROUND(AQ378/60,6),0)</f>
        <v>0</v>
      </c>
      <c r="BK378" s="80">
        <f>IF(BE378=1,ROUND((AR378+AS378)/60,6),0)</f>
        <v>0</v>
      </c>
      <c r="BL378" s="80">
        <f>ROUND(BH378-BK378,6)</f>
        <v>0</v>
      </c>
      <c r="BM378" s="80">
        <f>IF(BE378=1,ROUND(AR378/60,6),0)</f>
        <v>0</v>
      </c>
      <c r="BN378" s="80">
        <f>ROUND(BI378-BM378,6)</f>
        <v>0</v>
      </c>
      <c r="BO378" s="80">
        <f>IF(BE378=1,ROUND(AS378/60,6),0)</f>
        <v>0</v>
      </c>
      <c r="BP378" s="80">
        <f>ROUND(BJ378-BO378,6)</f>
        <v>0</v>
      </c>
      <c r="BQ378" s="80">
        <f>IF(BE378=1,AW378,0)</f>
        <v>0</v>
      </c>
      <c r="BR378" s="80">
        <f>IF(BE378=1,AX378,0)</f>
        <v>0</v>
      </c>
      <c r="BS378" s="80">
        <f>IF(AND(BE378=1,D378="Malcolm",BA378&gt;0),MIN(BH378,SUMPRODUCT((R_Emp="proMX")*(R_EN&gt;0)*((R_EN-(R_EN&gt;BR378)*(R_EN-BR378))&gt;(R_SN+(R_SN&lt;BQ378)*(BQ378-R_SN)))*((R_EN-(R_EN&gt;BR378)*(R_EN-BR378))-(R_SN+(R_SN&lt;BQ378)*(BQ378-R_SN))))/60),0)</f>
        <v>0</v>
      </c>
      <c r="BT378" s="80">
        <f>IF(AND(BE378=1,D378="proMX"),ROUND(BI378*CFG_RATE+BJ378*CFG_OTRATE,6),0)</f>
        <v>0</v>
      </c>
      <c r="BU378" s="80">
        <f>IF(AND(BD378=1,D378="proMX"),ROUND(AG378/CFG_BLK,6),0)</f>
        <v>0</v>
      </c>
      <c r="BV378" s="80" t="str">
        <f>IF(BF378="Approved",IF(ISNUMBER(T378),INT(T378),INT(B378)),"")</f>
        <v/>
      </c>
      <c r="BW378" s="80">
        <f>IF(ISNUMBER(B378),IF(DB_MON="Todos",1,IF(AND(INT(B378)&gt;=DB_MS,INT(B378)&lt;=DB_ME),1,0)),0)</f>
        <v>0</v>
      </c>
      <c r="BX378" s="80">
        <f>IF(DB_PROJ="Todos",1,IF(E378&amp;""=DB_PROJ&amp;"",1,0))</f>
        <v>1</v>
      </c>
      <c r="BY378" s="80">
        <f>BW378*BX378</f>
        <v>0</v>
      </c>
      <c r="BZ378" s="80" t="str">
        <f>IF(Y378=1,F378&amp;IF(AND(F378&amp;""&lt;&gt;"",E378&amp;""&lt;&gt;"")," · ","")&amp;E378,"")</f>
        <v/>
      </c>
      <c r="CA378" s="80" t="str">
        <f>IF(AND(BD378=1,E378&amp;""&lt;&gt;""),IF(COUNTIFS($E$5:E377,E378,$BD$5:BD377,1)=0,MAX($CA$5:CA377)+1,""),"")</f>
        <v/>
      </c>
      <c r="CB378" s="80" t="str">
        <f>IF(AND(BE378=1,D378="Malcolm",E378&amp;""&lt;&gt;""),IF(COUNTIFS($D$5:D377,"Malcolm",$E$5:E377,E378,$BE$5:BE377,1)=0,MAX($CB$5:CB377)+1,""),"")</f>
        <v/>
      </c>
      <c r="CC378" s="80" t="str">
        <f>IF(AND(BD378=1,D378="proMX",E378&amp;""&lt;&gt;""),IF(COUNTIFS($D$5:D377,"proMX",$E$5:E377,E378,$BD$5:BD377,1)=0,MAX($CC$5:CC377)+1,""),"")</f>
        <v/>
      </c>
      <c r="CD378" s="80" t="str">
        <f>IF(AND(BE378=1,D378="Malcolm",F378&amp;""&lt;&gt;""),IF(COUNTIFS($D$5:D377,"Malcolm",$F$5:F377,F378,$BE$5:BE377,1)=0,MAX($CD$5:CD377)+1,""),"")</f>
        <v/>
      </c>
      <c r="CE378" s="80" t="str">
        <f>IF(AND(BD378=1,D378="proMX",F378&amp;""&lt;&gt;""),IF(COUNTIFS($D$5:D377,"proMX",$F$5:F377,F378,$BD$5:BD377,1)=0,MAX($CE$5:CE377)+1,""),"")</f>
        <v/>
      </c>
      <c r="CF378" s="80" t="str">
        <f>IF(AND(D378="proMX",BD378=1),IF(OR(BF378="Draft",BF378="Submitted",BF378="Returned",BF378="Recall Requested"),MAX($CF$5:CF377)+1,""),"")</f>
        <v/>
      </c>
      <c r="CG378" s="80">
        <f>IF(BD378=0,0,IF(D378="Malcolm",1,MATCH(BF378,{"Draft","Submitted","Approved","Returned","Recall Requested","Cancelled"},0)+1))</f>
        <v>0</v>
      </c>
      <c r="CH378" s="80">
        <f>IF(AND(BF378="Submitted",ISNUMBER(V378)),IF(V378&gt;CFG_MAXD,1,0),0)</f>
        <v>0</v>
      </c>
    </row>
    <row r="379">
      <c r="A379" s="71" t="str">
        <f>IF(Y379=1,ROW()-5,"")</f>
        <v/>
      </c>
      <c r="B379" s="72" t="n"/>
      <c r="C379" s="71" t="str">
        <f>IF(ISNUMBER(B379),CHOOSE(WEEKDAY(B379,2),"Lun","Mar","Mié","Jue","Vie","Sáb","Dom"),"")</f>
        <v/>
      </c>
      <c r="D379" s="73" t="n"/>
      <c r="E379" s="74" t="n"/>
      <c r="F379" s="74" t="n"/>
      <c r="G379" s="74" t="n"/>
      <c r="H379" s="75" t="n"/>
      <c r="I379" s="75" t="n"/>
      <c r="J379" s="76" t="n"/>
      <c r="K379" s="77" t="str">
        <f>IF(AB379=1,ROUND(AG379/60,4),"")</f>
        <v/>
      </c>
      <c r="L379" s="77" t="str">
        <f>IF(BD379=1,ROUND(AP379/60,4),"")</f>
        <v/>
      </c>
      <c r="M379" s="77" t="str">
        <f>IF(BD379=1,ROUND(AQ379/60,4),"")</f>
        <v/>
      </c>
      <c r="N379" s="71" t="str">
        <f>IF(AND(D379="proMX",AB379=1),ROUND(AG379/CFG_BLK,2),"")</f>
        <v/>
      </c>
      <c r="O379" s="77" t="str">
        <f>IF(D379="proMX",IF(BD379=1,ROUND(AG379/60,4),0),"")</f>
        <v/>
      </c>
      <c r="P379" s="78" t="str">
        <f>IF(Y379=0,"",IF(BD379=1,"OK",IF(D379="proMX","Revisar bloques: ","Revisar: ")&amp;BC379))</f>
        <v/>
      </c>
      <c r="Q379" s="78" t="str">
        <f>IF(NOT(ISNUMBER(B379)),"",IF(COUNTIFS(FER_F,INT(B379))&gt;0,"Feriado"&amp;IF(AH379=1," (laborable)"," (no laborable)"),IF(AH379=1,"Laborable",IF(WEEKDAY(B379,2)&gt;5,"Fin de semana","No laborable"))))</f>
        <v/>
      </c>
      <c r="R379" s="73" t="n"/>
      <c r="S379" s="72" t="n"/>
      <c r="T379" s="72" t="n"/>
      <c r="U379" s="74" t="n"/>
      <c r="V379" s="79" t="str">
        <f>IF(AND(D379="proMX",OR(R379="Submitted",R379="Recall Requested"),ISNUMBER(S379)),CFG_TODAY-INT(S379),"")</f>
        <v/>
      </c>
      <c r="W379" s="78" t="str">
        <f>IF(BD379=0,"",IF(BA379&gt;0,"⚠ Se superpone con un registro de la otra empresa",IF(D379="Malcolm",IF(COUNTA(R379,S379,T379)&gt;0,"Estado/fechas proMX se ignoran en Malcolm",""),IF(BF379="Cancelled","Cancelado: excluido de totales",IF(R379="","Sin estado: se trata como Draft",IF(BF379="Submitted",IF(ISNUMBER(V379),IF(V379&gt;CFG_MAXD,"⚠ "&amp;V379&amp;" días en Submitted (máx. "&amp;CFG_MAXD&amp;")",""),"Falta fecha de envío"),IF(BF379="Returned","⚠ Devuelto: corregir y reenviar",IF(BF379="Recall Requested","Retirada solicitada: pendiente",IF(AND(BF379="Approved",NOT(ISNUMBER(T379))),"Falta fecha de aprobación",IF(AND(ISNUMBER(S379),ISNUMBER(T379),T379&lt;S379),"Aprobación anterior al envío","")))))))))</f>
        <v/>
      </c>
      <c r="Y379" s="80">
        <f>IF(COUNTA(B379,D379,E379,F379,G379,H379,I379,J379,R379,S379,T379)&gt;0,1,0)</f>
        <v>0</v>
      </c>
      <c r="Z379" s="80" t="str">
        <f>IF(AND(ISNUMBER(H379),H379&gt;=0,H379&lt;1),ROUND(H379*1440,0),"")</f>
        <v/>
      </c>
      <c r="AA379" s="80" t="str">
        <f>IF(AND(ISNUMBER(I379),I379&gt;=0,I379&lt;1),ROUND(I379*1440,0),"")</f>
        <v/>
      </c>
      <c r="AB379" s="80">
        <f>IF(AND(ISNUMBER(B379),D379&lt;&gt;"",ISNUMBER(Z379),ISNUMBER(AA379)),IF(Z379=AA379,0,1),0)</f>
        <v>0</v>
      </c>
      <c r="AC379" s="80">
        <f>IF(AB379=1,IF(AA379&lt;Z379,1,0),0)</f>
        <v>0</v>
      </c>
      <c r="AD379" s="80">
        <f>IF(AB379=1,IF(AC379=1,1440-Z379+AA379,AA379-Z379),0)</f>
        <v>0</v>
      </c>
      <c r="AE379" s="80">
        <f>IF(J379="",0,IF(ISNUMBER(J379),J379,-1))</f>
        <v>0</v>
      </c>
      <c r="AF379" s="80">
        <f>MIN(MAX(0,AE379),AD379)</f>
        <v>0</v>
      </c>
      <c r="AG379" s="80">
        <f>MAX(0,AD379-MAX(0,AE379))</f>
        <v>0</v>
      </c>
      <c r="AH379" s="80">
        <f>IF(ISNUMBER(B379),IF(AND(INDEX(CFG_WDAYS,WEEKDAY(INT(B379),2))="Sí",IF(D379="proMX",COUNTIFS(FER_F,INT(B379),FER_NLP,"Sí"),COUNTIFS(FER_F,INT(B379),FER_NLM,"Sí"))=0),1,0),0)</f>
        <v>0</v>
      </c>
      <c r="AI379" s="80">
        <f>IF(AC379=1,IF(AND(INDEX(CFG_WDAYS,WEEKDAY(INT(B379)+1,2))="Sí",IF(D379="proMX",COUNTIFS(FER_F,INT(B379)+1,FER_NLP,"Sí"),COUNTIFS(FER_F,INT(B379)+1,FER_NLM,"Sí"))=0),1,0),0)</f>
        <v>0</v>
      </c>
      <c r="AJ379" s="80">
        <f>IF(AC379=1,1440-Z379,AD379)</f>
        <v>0</v>
      </c>
      <c r="AK379" s="80">
        <f>IF(AND(AB379=1,AH379=1),MAX(0,MIN(IF(AC379=1,1440,AA379),CFG_WEM)-MAX(Z379,CFG_WSM)),0)</f>
        <v>0</v>
      </c>
      <c r="AL379" s="80">
        <f>IF(AND(AC379=1,AI379=1),MAX(0,MIN(AA379,CFG_WEM)-CFG_WSM),0)</f>
        <v>0</v>
      </c>
      <c r="AM379" s="80">
        <f>AK379+AL379</f>
        <v>0</v>
      </c>
      <c r="AN379" s="80">
        <f>IF(CFG_BRK="Proporcional",IF(AD379=0,0,AF379*AM379/AD379),IF(CFG_BRK="Extras primero",MIN(AM379,MAX(0,AF379-(AD379-AM379))),MIN(AF379,AM379)))</f>
        <v>0</v>
      </c>
      <c r="AO379" s="80">
        <f>AF379-AN379</f>
        <v>0</v>
      </c>
      <c r="AP379" s="80">
        <f>AM379-AN379</f>
        <v>0</v>
      </c>
      <c r="AQ379" s="80">
        <f>AD379-AM379-AO379</f>
        <v>0</v>
      </c>
      <c r="AR379" s="80">
        <f>IF(AM379=0,0,AK379-AN379*AK379/AM379)</f>
        <v>0</v>
      </c>
      <c r="AS379" s="80">
        <f>IF(AD379-AM379=0,0,(AJ379-AK379)-AO379*(AJ379-AK379)/(AD379-AM379))</f>
        <v>0</v>
      </c>
      <c r="AT379" s="80" t="str">
        <f>IF(AC379=1,INT(B379)+1,"")</f>
        <v/>
      </c>
      <c r="AU379" s="80">
        <f>IF(AND(D379="proMX",R379="Cancelled"),0,1)</f>
        <v>1</v>
      </c>
      <c r="AV379" s="80">
        <f>IF(AND(AB379=1,AU379=1),IF(COUNTIFS($D$5:D378,D379,$B$5:B378,B379,$Z$5:Z378,Z379,$AA$5:AA378,AA379,$F$5:F378,F379&amp;"",$AU$5:AU378,1)&gt;0,1,0),0)</f>
        <v>0</v>
      </c>
      <c r="AW379" s="80" t="str">
        <f>IF(AB379=1,INT(B379)*1440+Z379,"")</f>
        <v/>
      </c>
      <c r="AX379" s="80" t="str">
        <f>IF(AB379=1,AW379+AD379,"")</f>
        <v/>
      </c>
      <c r="AY379" s="80">
        <f>IF(AND(AB379=1,AV379=0,AU379=1),1,0)</f>
        <v>0</v>
      </c>
      <c r="AZ379" s="80">
        <f>IF(AY379=1,COUNTIFS(R_Emp,D379,R_SAbs,"&lt;"&amp;AX379,R_EAbs,"&gt;"&amp;AW379,R_OKey,1)-1,0)</f>
        <v>0</v>
      </c>
      <c r="BA379" s="80">
        <f>IF(AY379=1,COUNTIFS(R_Emp,"&lt;&gt;"&amp;D379,R_SAbs,"&lt;"&amp;AX379,R_EAbs,"&gt;"&amp;AW379,R_OKey,1),0)</f>
        <v>0</v>
      </c>
      <c r="BB379" s="80">
        <f>IF(AND(AB379=1,D379="proMX"),IF(AND(MOD(Z379,CFG_BLK)=0,MOD(AA379,CFG_BLK)=0,MOD(AG379,CFG_BLK)=0,AG379&gt;0),1,0),1)</f>
        <v>1</v>
      </c>
      <c r="BC379" s="80" t="str">
        <f>IF(Y379=0,"",IF(NOT(ISNUMBER(B379)),"Falta fecha o fecha inválida",IF(D379="","Falta empresa",IF(AND(D379&lt;&gt;"Malcolm",D379&lt;&gt;"proMX"),"Empresa inválida",IF(OR(INT(B379)&lt;CFG_PSTART,INT(B379)&gt;CFG_PEND),"Fecha fuera del período",IF(OR(NOT(ISNUMBER(Z379)),NOT(ISNUMBER(AA379))),"Falta hora inicio/fin o formato inválido",IF(AB379=0,"Hora inicio = hora fin",IF(AE379&lt;0,"Descanso inválido",IF(AE379&gt;=AD379,"Descanso ≥ duración",IF(AV379=1,"Registro duplicado",IF(AZ379&gt;0,"Se superpone con otro registro "&amp;D379,IF(BB379=0,"inicio, fin y duración neta deben ser múltiplos de "&amp;CFG_BLK&amp;" min",""))))))))))))</f>
        <v/>
      </c>
      <c r="BD379" s="80">
        <f>IF(AND(Y379=1,BC379=""),1,0)</f>
        <v>0</v>
      </c>
      <c r="BE379" s="80">
        <f>IF(AND(BD379=1,AU379=1),1,0)</f>
        <v>0</v>
      </c>
      <c r="BF379" s="80" t="str">
        <f>IF(AND(D379="proMX",BD379=1),IF(R379="","Draft",R379),"")</f>
        <v/>
      </c>
      <c r="BG379" s="80">
        <f>IF(BD379=1,ROUND(AG379/60,6),0)</f>
        <v>0</v>
      </c>
      <c r="BH379" s="80">
        <f>IF(BE379=1,ROUND(AG379/60,6),0)</f>
        <v>0</v>
      </c>
      <c r="BI379" s="80">
        <f>IF(BE379=1,ROUND(AP379/60,6),0)</f>
        <v>0</v>
      </c>
      <c r="BJ379" s="80">
        <f>IF(BE379=1,ROUND(AQ379/60,6),0)</f>
        <v>0</v>
      </c>
      <c r="BK379" s="80">
        <f>IF(BE379=1,ROUND((AR379+AS379)/60,6),0)</f>
        <v>0</v>
      </c>
      <c r="BL379" s="80">
        <f>ROUND(BH379-BK379,6)</f>
        <v>0</v>
      </c>
      <c r="BM379" s="80">
        <f>IF(BE379=1,ROUND(AR379/60,6),0)</f>
        <v>0</v>
      </c>
      <c r="BN379" s="80">
        <f>ROUND(BI379-BM379,6)</f>
        <v>0</v>
      </c>
      <c r="BO379" s="80">
        <f>IF(BE379=1,ROUND(AS379/60,6),0)</f>
        <v>0</v>
      </c>
      <c r="BP379" s="80">
        <f>ROUND(BJ379-BO379,6)</f>
        <v>0</v>
      </c>
      <c r="BQ379" s="80">
        <f>IF(BE379=1,AW379,0)</f>
        <v>0</v>
      </c>
      <c r="BR379" s="80">
        <f>IF(BE379=1,AX379,0)</f>
        <v>0</v>
      </c>
      <c r="BS379" s="80">
        <f>IF(AND(BE379=1,D379="Malcolm",BA379&gt;0),MIN(BH379,SUMPRODUCT((R_Emp="proMX")*(R_EN&gt;0)*((R_EN-(R_EN&gt;BR379)*(R_EN-BR379))&gt;(R_SN+(R_SN&lt;BQ379)*(BQ379-R_SN)))*((R_EN-(R_EN&gt;BR379)*(R_EN-BR379))-(R_SN+(R_SN&lt;BQ379)*(BQ379-R_SN))))/60),0)</f>
        <v>0</v>
      </c>
      <c r="BT379" s="80">
        <f>IF(AND(BE379=1,D379="proMX"),ROUND(BI379*CFG_RATE+BJ379*CFG_OTRATE,6),0)</f>
        <v>0</v>
      </c>
      <c r="BU379" s="80">
        <f>IF(AND(BD379=1,D379="proMX"),ROUND(AG379/CFG_BLK,6),0)</f>
        <v>0</v>
      </c>
      <c r="BV379" s="80" t="str">
        <f>IF(BF379="Approved",IF(ISNUMBER(T379),INT(T379),INT(B379)),"")</f>
        <v/>
      </c>
      <c r="BW379" s="80">
        <f>IF(ISNUMBER(B379),IF(DB_MON="Todos",1,IF(AND(INT(B379)&gt;=DB_MS,INT(B379)&lt;=DB_ME),1,0)),0)</f>
        <v>0</v>
      </c>
      <c r="BX379" s="80">
        <f>IF(DB_PROJ="Todos",1,IF(E379&amp;""=DB_PROJ&amp;"",1,0))</f>
        <v>1</v>
      </c>
      <c r="BY379" s="80">
        <f>BW379*BX379</f>
        <v>0</v>
      </c>
      <c r="BZ379" s="80" t="str">
        <f>IF(Y379=1,F379&amp;IF(AND(F379&amp;""&lt;&gt;"",E379&amp;""&lt;&gt;"")," · ","")&amp;E379,"")</f>
        <v/>
      </c>
      <c r="CA379" s="80" t="str">
        <f>IF(AND(BD379=1,E379&amp;""&lt;&gt;""),IF(COUNTIFS($E$5:E378,E379,$BD$5:BD378,1)=0,MAX($CA$5:CA378)+1,""),"")</f>
        <v/>
      </c>
      <c r="CB379" s="80" t="str">
        <f>IF(AND(BE379=1,D379="Malcolm",E379&amp;""&lt;&gt;""),IF(COUNTIFS($D$5:D378,"Malcolm",$E$5:E378,E379,$BE$5:BE378,1)=0,MAX($CB$5:CB378)+1,""),"")</f>
        <v/>
      </c>
      <c r="CC379" s="80" t="str">
        <f>IF(AND(BD379=1,D379="proMX",E379&amp;""&lt;&gt;""),IF(COUNTIFS($D$5:D378,"proMX",$E$5:E378,E379,$BD$5:BD378,1)=0,MAX($CC$5:CC378)+1,""),"")</f>
        <v/>
      </c>
      <c r="CD379" s="80" t="str">
        <f>IF(AND(BE379=1,D379="Malcolm",F379&amp;""&lt;&gt;""),IF(COUNTIFS($D$5:D378,"Malcolm",$F$5:F378,F379,$BE$5:BE378,1)=0,MAX($CD$5:CD378)+1,""),"")</f>
        <v/>
      </c>
      <c r="CE379" s="80" t="str">
        <f>IF(AND(BD379=1,D379="proMX",F379&amp;""&lt;&gt;""),IF(COUNTIFS($D$5:D378,"proMX",$F$5:F378,F379,$BD$5:BD378,1)=0,MAX($CE$5:CE378)+1,""),"")</f>
        <v/>
      </c>
      <c r="CF379" s="80" t="str">
        <f>IF(AND(D379="proMX",BD379=1),IF(OR(BF379="Draft",BF379="Submitted",BF379="Returned",BF379="Recall Requested"),MAX($CF$5:CF378)+1,""),"")</f>
        <v/>
      </c>
      <c r="CG379" s="80">
        <f>IF(BD379=0,0,IF(D379="Malcolm",1,MATCH(BF379,{"Draft","Submitted","Approved","Returned","Recall Requested","Cancelled"},0)+1))</f>
        <v>0</v>
      </c>
      <c r="CH379" s="80">
        <f>IF(AND(BF379="Submitted",ISNUMBER(V379)),IF(V379&gt;CFG_MAXD,1,0),0)</f>
        <v>0</v>
      </c>
    </row>
    <row r="380">
      <c r="A380" s="71" t="str">
        <f>IF(Y380=1,ROW()-5,"")</f>
        <v/>
      </c>
      <c r="B380" s="72" t="n"/>
      <c r="C380" s="71" t="str">
        <f>IF(ISNUMBER(B380),CHOOSE(WEEKDAY(B380,2),"Lun","Mar","Mié","Jue","Vie","Sáb","Dom"),"")</f>
        <v/>
      </c>
      <c r="D380" s="73" t="n"/>
      <c r="E380" s="74" t="n"/>
      <c r="F380" s="74" t="n"/>
      <c r="G380" s="74" t="n"/>
      <c r="H380" s="75" t="n"/>
      <c r="I380" s="75" t="n"/>
      <c r="J380" s="76" t="n"/>
      <c r="K380" s="77" t="str">
        <f>IF(AB380=1,ROUND(AG380/60,4),"")</f>
        <v/>
      </c>
      <c r="L380" s="77" t="str">
        <f>IF(BD380=1,ROUND(AP380/60,4),"")</f>
        <v/>
      </c>
      <c r="M380" s="77" t="str">
        <f>IF(BD380=1,ROUND(AQ380/60,4),"")</f>
        <v/>
      </c>
      <c r="N380" s="71" t="str">
        <f>IF(AND(D380="proMX",AB380=1),ROUND(AG380/CFG_BLK,2),"")</f>
        <v/>
      </c>
      <c r="O380" s="77" t="str">
        <f>IF(D380="proMX",IF(BD380=1,ROUND(AG380/60,4),0),"")</f>
        <v/>
      </c>
      <c r="P380" s="78" t="str">
        <f>IF(Y380=0,"",IF(BD380=1,"OK",IF(D380="proMX","Revisar bloques: ","Revisar: ")&amp;BC380))</f>
        <v/>
      </c>
      <c r="Q380" s="78" t="str">
        <f>IF(NOT(ISNUMBER(B380)),"",IF(COUNTIFS(FER_F,INT(B380))&gt;0,"Feriado"&amp;IF(AH380=1," (laborable)"," (no laborable)"),IF(AH380=1,"Laborable",IF(WEEKDAY(B380,2)&gt;5,"Fin de semana","No laborable"))))</f>
        <v/>
      </c>
      <c r="R380" s="73" t="n"/>
      <c r="S380" s="72" t="n"/>
      <c r="T380" s="72" t="n"/>
      <c r="U380" s="74" t="n"/>
      <c r="V380" s="79" t="str">
        <f>IF(AND(D380="proMX",OR(R380="Submitted",R380="Recall Requested"),ISNUMBER(S380)),CFG_TODAY-INT(S380),"")</f>
        <v/>
      </c>
      <c r="W380" s="78" t="str">
        <f>IF(BD380=0,"",IF(BA380&gt;0,"⚠ Se superpone con un registro de la otra empresa",IF(D380="Malcolm",IF(COUNTA(R380,S380,T380)&gt;0,"Estado/fechas proMX se ignoran en Malcolm",""),IF(BF380="Cancelled","Cancelado: excluido de totales",IF(R380="","Sin estado: se trata como Draft",IF(BF380="Submitted",IF(ISNUMBER(V380),IF(V380&gt;CFG_MAXD,"⚠ "&amp;V380&amp;" días en Submitted (máx. "&amp;CFG_MAXD&amp;")",""),"Falta fecha de envío"),IF(BF380="Returned","⚠ Devuelto: corregir y reenviar",IF(BF380="Recall Requested","Retirada solicitada: pendiente",IF(AND(BF380="Approved",NOT(ISNUMBER(T380))),"Falta fecha de aprobación",IF(AND(ISNUMBER(S380),ISNUMBER(T380),T380&lt;S380),"Aprobación anterior al envío","")))))))))</f>
        <v/>
      </c>
      <c r="Y380" s="80">
        <f>IF(COUNTA(B380,D380,E380,F380,G380,H380,I380,J380,R380,S380,T380)&gt;0,1,0)</f>
        <v>0</v>
      </c>
      <c r="Z380" s="80" t="str">
        <f>IF(AND(ISNUMBER(H380),H380&gt;=0,H380&lt;1),ROUND(H380*1440,0),"")</f>
        <v/>
      </c>
      <c r="AA380" s="80" t="str">
        <f>IF(AND(ISNUMBER(I380),I380&gt;=0,I380&lt;1),ROUND(I380*1440,0),"")</f>
        <v/>
      </c>
      <c r="AB380" s="80">
        <f>IF(AND(ISNUMBER(B380),D380&lt;&gt;"",ISNUMBER(Z380),ISNUMBER(AA380)),IF(Z380=AA380,0,1),0)</f>
        <v>0</v>
      </c>
      <c r="AC380" s="80">
        <f>IF(AB380=1,IF(AA380&lt;Z380,1,0),0)</f>
        <v>0</v>
      </c>
      <c r="AD380" s="80">
        <f>IF(AB380=1,IF(AC380=1,1440-Z380+AA380,AA380-Z380),0)</f>
        <v>0</v>
      </c>
      <c r="AE380" s="80">
        <f>IF(J380="",0,IF(ISNUMBER(J380),J380,-1))</f>
        <v>0</v>
      </c>
      <c r="AF380" s="80">
        <f>MIN(MAX(0,AE380),AD380)</f>
        <v>0</v>
      </c>
      <c r="AG380" s="80">
        <f>MAX(0,AD380-MAX(0,AE380))</f>
        <v>0</v>
      </c>
      <c r="AH380" s="80">
        <f>IF(ISNUMBER(B380),IF(AND(INDEX(CFG_WDAYS,WEEKDAY(INT(B380),2))="Sí",IF(D380="proMX",COUNTIFS(FER_F,INT(B380),FER_NLP,"Sí"),COUNTIFS(FER_F,INT(B380),FER_NLM,"Sí"))=0),1,0),0)</f>
        <v>0</v>
      </c>
      <c r="AI380" s="80">
        <f>IF(AC380=1,IF(AND(INDEX(CFG_WDAYS,WEEKDAY(INT(B380)+1,2))="Sí",IF(D380="proMX",COUNTIFS(FER_F,INT(B380)+1,FER_NLP,"Sí"),COUNTIFS(FER_F,INT(B380)+1,FER_NLM,"Sí"))=0),1,0),0)</f>
        <v>0</v>
      </c>
      <c r="AJ380" s="80">
        <f>IF(AC380=1,1440-Z380,AD380)</f>
        <v>0</v>
      </c>
      <c r="AK380" s="80">
        <f>IF(AND(AB380=1,AH380=1),MAX(0,MIN(IF(AC380=1,1440,AA380),CFG_WEM)-MAX(Z380,CFG_WSM)),0)</f>
        <v>0</v>
      </c>
      <c r="AL380" s="80">
        <f>IF(AND(AC380=1,AI380=1),MAX(0,MIN(AA380,CFG_WEM)-CFG_WSM),0)</f>
        <v>0</v>
      </c>
      <c r="AM380" s="80">
        <f>AK380+AL380</f>
        <v>0</v>
      </c>
      <c r="AN380" s="80">
        <f>IF(CFG_BRK="Proporcional",IF(AD380=0,0,AF380*AM380/AD380),IF(CFG_BRK="Extras primero",MIN(AM380,MAX(0,AF380-(AD380-AM380))),MIN(AF380,AM380)))</f>
        <v>0</v>
      </c>
      <c r="AO380" s="80">
        <f>AF380-AN380</f>
        <v>0</v>
      </c>
      <c r="AP380" s="80">
        <f>AM380-AN380</f>
        <v>0</v>
      </c>
      <c r="AQ380" s="80">
        <f>AD380-AM380-AO380</f>
        <v>0</v>
      </c>
      <c r="AR380" s="80">
        <f>IF(AM380=0,0,AK380-AN380*AK380/AM380)</f>
        <v>0</v>
      </c>
      <c r="AS380" s="80">
        <f>IF(AD380-AM380=0,0,(AJ380-AK380)-AO380*(AJ380-AK380)/(AD380-AM380))</f>
        <v>0</v>
      </c>
      <c r="AT380" s="80" t="str">
        <f>IF(AC380=1,INT(B380)+1,"")</f>
        <v/>
      </c>
      <c r="AU380" s="80">
        <f>IF(AND(D380="proMX",R380="Cancelled"),0,1)</f>
        <v>1</v>
      </c>
      <c r="AV380" s="80">
        <f>IF(AND(AB380=1,AU380=1),IF(COUNTIFS($D$5:D379,D380,$B$5:B379,B380,$Z$5:Z379,Z380,$AA$5:AA379,AA380,$F$5:F379,F380&amp;"",$AU$5:AU379,1)&gt;0,1,0),0)</f>
        <v>0</v>
      </c>
      <c r="AW380" s="80" t="str">
        <f>IF(AB380=1,INT(B380)*1440+Z380,"")</f>
        <v/>
      </c>
      <c r="AX380" s="80" t="str">
        <f>IF(AB380=1,AW380+AD380,"")</f>
        <v/>
      </c>
      <c r="AY380" s="80">
        <f>IF(AND(AB380=1,AV380=0,AU380=1),1,0)</f>
        <v>0</v>
      </c>
      <c r="AZ380" s="80">
        <f>IF(AY380=1,COUNTIFS(R_Emp,D380,R_SAbs,"&lt;"&amp;AX380,R_EAbs,"&gt;"&amp;AW380,R_OKey,1)-1,0)</f>
        <v>0</v>
      </c>
      <c r="BA380" s="80">
        <f>IF(AY380=1,COUNTIFS(R_Emp,"&lt;&gt;"&amp;D380,R_SAbs,"&lt;"&amp;AX380,R_EAbs,"&gt;"&amp;AW380,R_OKey,1),0)</f>
        <v>0</v>
      </c>
      <c r="BB380" s="80">
        <f>IF(AND(AB380=1,D380="proMX"),IF(AND(MOD(Z380,CFG_BLK)=0,MOD(AA380,CFG_BLK)=0,MOD(AG380,CFG_BLK)=0,AG380&gt;0),1,0),1)</f>
        <v>1</v>
      </c>
      <c r="BC380" s="80" t="str">
        <f>IF(Y380=0,"",IF(NOT(ISNUMBER(B380)),"Falta fecha o fecha inválida",IF(D380="","Falta empresa",IF(AND(D380&lt;&gt;"Malcolm",D380&lt;&gt;"proMX"),"Empresa inválida",IF(OR(INT(B380)&lt;CFG_PSTART,INT(B380)&gt;CFG_PEND),"Fecha fuera del período",IF(OR(NOT(ISNUMBER(Z380)),NOT(ISNUMBER(AA380))),"Falta hora inicio/fin o formato inválido",IF(AB380=0,"Hora inicio = hora fin",IF(AE380&lt;0,"Descanso inválido",IF(AE380&gt;=AD380,"Descanso ≥ duración",IF(AV380=1,"Registro duplicado",IF(AZ380&gt;0,"Se superpone con otro registro "&amp;D380,IF(BB380=0,"inicio, fin y duración neta deben ser múltiplos de "&amp;CFG_BLK&amp;" min",""))))))))))))</f>
        <v/>
      </c>
      <c r="BD380" s="80">
        <f>IF(AND(Y380=1,BC380=""),1,0)</f>
        <v>0</v>
      </c>
      <c r="BE380" s="80">
        <f>IF(AND(BD380=1,AU380=1),1,0)</f>
        <v>0</v>
      </c>
      <c r="BF380" s="80" t="str">
        <f>IF(AND(D380="proMX",BD380=1),IF(R380="","Draft",R380),"")</f>
        <v/>
      </c>
      <c r="BG380" s="80">
        <f>IF(BD380=1,ROUND(AG380/60,6),0)</f>
        <v>0</v>
      </c>
      <c r="BH380" s="80">
        <f>IF(BE380=1,ROUND(AG380/60,6),0)</f>
        <v>0</v>
      </c>
      <c r="BI380" s="80">
        <f>IF(BE380=1,ROUND(AP380/60,6),0)</f>
        <v>0</v>
      </c>
      <c r="BJ380" s="80">
        <f>IF(BE380=1,ROUND(AQ380/60,6),0)</f>
        <v>0</v>
      </c>
      <c r="BK380" s="80">
        <f>IF(BE380=1,ROUND((AR380+AS380)/60,6),0)</f>
        <v>0</v>
      </c>
      <c r="BL380" s="80">
        <f>ROUND(BH380-BK380,6)</f>
        <v>0</v>
      </c>
      <c r="BM380" s="80">
        <f>IF(BE380=1,ROUND(AR380/60,6),0)</f>
        <v>0</v>
      </c>
      <c r="BN380" s="80">
        <f>ROUND(BI380-BM380,6)</f>
        <v>0</v>
      </c>
      <c r="BO380" s="80">
        <f>IF(BE380=1,ROUND(AS380/60,6),0)</f>
        <v>0</v>
      </c>
      <c r="BP380" s="80">
        <f>ROUND(BJ380-BO380,6)</f>
        <v>0</v>
      </c>
      <c r="BQ380" s="80">
        <f>IF(BE380=1,AW380,0)</f>
        <v>0</v>
      </c>
      <c r="BR380" s="80">
        <f>IF(BE380=1,AX380,0)</f>
        <v>0</v>
      </c>
      <c r="BS380" s="80">
        <f>IF(AND(BE380=1,D380="Malcolm",BA380&gt;0),MIN(BH380,SUMPRODUCT((R_Emp="proMX")*(R_EN&gt;0)*((R_EN-(R_EN&gt;BR380)*(R_EN-BR380))&gt;(R_SN+(R_SN&lt;BQ380)*(BQ380-R_SN)))*((R_EN-(R_EN&gt;BR380)*(R_EN-BR380))-(R_SN+(R_SN&lt;BQ380)*(BQ380-R_SN))))/60),0)</f>
        <v>0</v>
      </c>
      <c r="BT380" s="80">
        <f>IF(AND(BE380=1,D380="proMX"),ROUND(BI380*CFG_RATE+BJ380*CFG_OTRATE,6),0)</f>
        <v>0</v>
      </c>
      <c r="BU380" s="80">
        <f>IF(AND(BD380=1,D380="proMX"),ROUND(AG380/CFG_BLK,6),0)</f>
        <v>0</v>
      </c>
      <c r="BV380" s="80" t="str">
        <f>IF(BF380="Approved",IF(ISNUMBER(T380),INT(T380),INT(B380)),"")</f>
        <v/>
      </c>
      <c r="BW380" s="80">
        <f>IF(ISNUMBER(B380),IF(DB_MON="Todos",1,IF(AND(INT(B380)&gt;=DB_MS,INT(B380)&lt;=DB_ME),1,0)),0)</f>
        <v>0</v>
      </c>
      <c r="BX380" s="80">
        <f>IF(DB_PROJ="Todos",1,IF(E380&amp;""=DB_PROJ&amp;"",1,0))</f>
        <v>1</v>
      </c>
      <c r="BY380" s="80">
        <f>BW380*BX380</f>
        <v>0</v>
      </c>
      <c r="BZ380" s="80" t="str">
        <f>IF(Y380=1,F380&amp;IF(AND(F380&amp;""&lt;&gt;"",E380&amp;""&lt;&gt;"")," · ","")&amp;E380,"")</f>
        <v/>
      </c>
      <c r="CA380" s="80" t="str">
        <f>IF(AND(BD380=1,E380&amp;""&lt;&gt;""),IF(COUNTIFS($E$5:E379,E380,$BD$5:BD379,1)=0,MAX($CA$5:CA379)+1,""),"")</f>
        <v/>
      </c>
      <c r="CB380" s="80" t="str">
        <f>IF(AND(BE380=1,D380="Malcolm",E380&amp;""&lt;&gt;""),IF(COUNTIFS($D$5:D379,"Malcolm",$E$5:E379,E380,$BE$5:BE379,1)=0,MAX($CB$5:CB379)+1,""),"")</f>
        <v/>
      </c>
      <c r="CC380" s="80" t="str">
        <f>IF(AND(BD380=1,D380="proMX",E380&amp;""&lt;&gt;""),IF(COUNTIFS($D$5:D379,"proMX",$E$5:E379,E380,$BD$5:BD379,1)=0,MAX($CC$5:CC379)+1,""),"")</f>
        <v/>
      </c>
      <c r="CD380" s="80" t="str">
        <f>IF(AND(BE380=1,D380="Malcolm",F380&amp;""&lt;&gt;""),IF(COUNTIFS($D$5:D379,"Malcolm",$F$5:F379,F380,$BE$5:BE379,1)=0,MAX($CD$5:CD379)+1,""),"")</f>
        <v/>
      </c>
      <c r="CE380" s="80" t="str">
        <f>IF(AND(BD380=1,D380="proMX",F380&amp;""&lt;&gt;""),IF(COUNTIFS($D$5:D379,"proMX",$F$5:F379,F380,$BD$5:BD379,1)=0,MAX($CE$5:CE379)+1,""),"")</f>
        <v/>
      </c>
      <c r="CF380" s="80" t="str">
        <f>IF(AND(D380="proMX",BD380=1),IF(OR(BF380="Draft",BF380="Submitted",BF380="Returned",BF380="Recall Requested"),MAX($CF$5:CF379)+1,""),"")</f>
        <v/>
      </c>
      <c r="CG380" s="80">
        <f>IF(BD380=0,0,IF(D380="Malcolm",1,MATCH(BF380,{"Draft","Submitted","Approved","Returned","Recall Requested","Cancelled"},0)+1))</f>
        <v>0</v>
      </c>
      <c r="CH380" s="80">
        <f>IF(AND(BF380="Submitted",ISNUMBER(V380)),IF(V380&gt;CFG_MAXD,1,0),0)</f>
        <v>0</v>
      </c>
    </row>
    <row r="381">
      <c r="A381" s="71" t="str">
        <f>IF(Y381=1,ROW()-5,"")</f>
        <v/>
      </c>
      <c r="B381" s="72" t="n"/>
      <c r="C381" s="71" t="str">
        <f>IF(ISNUMBER(B381),CHOOSE(WEEKDAY(B381,2),"Lun","Mar","Mié","Jue","Vie","Sáb","Dom"),"")</f>
        <v/>
      </c>
      <c r="D381" s="73" t="n"/>
      <c r="E381" s="74" t="n"/>
      <c r="F381" s="74" t="n"/>
      <c r="G381" s="74" t="n"/>
      <c r="H381" s="75" t="n"/>
      <c r="I381" s="75" t="n"/>
      <c r="J381" s="76" t="n"/>
      <c r="K381" s="77" t="str">
        <f>IF(AB381=1,ROUND(AG381/60,4),"")</f>
        <v/>
      </c>
      <c r="L381" s="77" t="str">
        <f>IF(BD381=1,ROUND(AP381/60,4),"")</f>
        <v/>
      </c>
      <c r="M381" s="77" t="str">
        <f>IF(BD381=1,ROUND(AQ381/60,4),"")</f>
        <v/>
      </c>
      <c r="N381" s="71" t="str">
        <f>IF(AND(D381="proMX",AB381=1),ROUND(AG381/CFG_BLK,2),"")</f>
        <v/>
      </c>
      <c r="O381" s="77" t="str">
        <f>IF(D381="proMX",IF(BD381=1,ROUND(AG381/60,4),0),"")</f>
        <v/>
      </c>
      <c r="P381" s="78" t="str">
        <f>IF(Y381=0,"",IF(BD381=1,"OK",IF(D381="proMX","Revisar bloques: ","Revisar: ")&amp;BC381))</f>
        <v/>
      </c>
      <c r="Q381" s="78" t="str">
        <f>IF(NOT(ISNUMBER(B381)),"",IF(COUNTIFS(FER_F,INT(B381))&gt;0,"Feriado"&amp;IF(AH381=1," (laborable)"," (no laborable)"),IF(AH381=1,"Laborable",IF(WEEKDAY(B381,2)&gt;5,"Fin de semana","No laborable"))))</f>
        <v/>
      </c>
      <c r="R381" s="73" t="n"/>
      <c r="S381" s="72" t="n"/>
      <c r="T381" s="72" t="n"/>
      <c r="U381" s="74" t="n"/>
      <c r="V381" s="79" t="str">
        <f>IF(AND(D381="proMX",OR(R381="Submitted",R381="Recall Requested"),ISNUMBER(S381)),CFG_TODAY-INT(S381),"")</f>
        <v/>
      </c>
      <c r="W381" s="78" t="str">
        <f>IF(BD381=0,"",IF(BA381&gt;0,"⚠ Se superpone con un registro de la otra empresa",IF(D381="Malcolm",IF(COUNTA(R381,S381,T381)&gt;0,"Estado/fechas proMX se ignoran en Malcolm",""),IF(BF381="Cancelled","Cancelado: excluido de totales",IF(R381="","Sin estado: se trata como Draft",IF(BF381="Submitted",IF(ISNUMBER(V381),IF(V381&gt;CFG_MAXD,"⚠ "&amp;V381&amp;" días en Submitted (máx. "&amp;CFG_MAXD&amp;")",""),"Falta fecha de envío"),IF(BF381="Returned","⚠ Devuelto: corregir y reenviar",IF(BF381="Recall Requested","Retirada solicitada: pendiente",IF(AND(BF381="Approved",NOT(ISNUMBER(T381))),"Falta fecha de aprobación",IF(AND(ISNUMBER(S381),ISNUMBER(T381),T381&lt;S381),"Aprobación anterior al envío","")))))))))</f>
        <v/>
      </c>
      <c r="Y381" s="80">
        <f>IF(COUNTA(B381,D381,E381,F381,G381,H381,I381,J381,R381,S381,T381)&gt;0,1,0)</f>
        <v>0</v>
      </c>
      <c r="Z381" s="80" t="str">
        <f>IF(AND(ISNUMBER(H381),H381&gt;=0,H381&lt;1),ROUND(H381*1440,0),"")</f>
        <v/>
      </c>
      <c r="AA381" s="80" t="str">
        <f>IF(AND(ISNUMBER(I381),I381&gt;=0,I381&lt;1),ROUND(I381*1440,0),"")</f>
        <v/>
      </c>
      <c r="AB381" s="80">
        <f>IF(AND(ISNUMBER(B381),D381&lt;&gt;"",ISNUMBER(Z381),ISNUMBER(AA381)),IF(Z381=AA381,0,1),0)</f>
        <v>0</v>
      </c>
      <c r="AC381" s="80">
        <f>IF(AB381=1,IF(AA381&lt;Z381,1,0),0)</f>
        <v>0</v>
      </c>
      <c r="AD381" s="80">
        <f>IF(AB381=1,IF(AC381=1,1440-Z381+AA381,AA381-Z381),0)</f>
        <v>0</v>
      </c>
      <c r="AE381" s="80">
        <f>IF(J381="",0,IF(ISNUMBER(J381),J381,-1))</f>
        <v>0</v>
      </c>
      <c r="AF381" s="80">
        <f>MIN(MAX(0,AE381),AD381)</f>
        <v>0</v>
      </c>
      <c r="AG381" s="80">
        <f>MAX(0,AD381-MAX(0,AE381))</f>
        <v>0</v>
      </c>
      <c r="AH381" s="80">
        <f>IF(ISNUMBER(B381),IF(AND(INDEX(CFG_WDAYS,WEEKDAY(INT(B381),2))="Sí",IF(D381="proMX",COUNTIFS(FER_F,INT(B381),FER_NLP,"Sí"),COUNTIFS(FER_F,INT(B381),FER_NLM,"Sí"))=0),1,0),0)</f>
        <v>0</v>
      </c>
      <c r="AI381" s="80">
        <f>IF(AC381=1,IF(AND(INDEX(CFG_WDAYS,WEEKDAY(INT(B381)+1,2))="Sí",IF(D381="proMX",COUNTIFS(FER_F,INT(B381)+1,FER_NLP,"Sí"),COUNTIFS(FER_F,INT(B381)+1,FER_NLM,"Sí"))=0),1,0),0)</f>
        <v>0</v>
      </c>
      <c r="AJ381" s="80">
        <f>IF(AC381=1,1440-Z381,AD381)</f>
        <v>0</v>
      </c>
      <c r="AK381" s="80">
        <f>IF(AND(AB381=1,AH381=1),MAX(0,MIN(IF(AC381=1,1440,AA381),CFG_WEM)-MAX(Z381,CFG_WSM)),0)</f>
        <v>0</v>
      </c>
      <c r="AL381" s="80">
        <f>IF(AND(AC381=1,AI381=1),MAX(0,MIN(AA381,CFG_WEM)-CFG_WSM),0)</f>
        <v>0</v>
      </c>
      <c r="AM381" s="80">
        <f>AK381+AL381</f>
        <v>0</v>
      </c>
      <c r="AN381" s="80">
        <f>IF(CFG_BRK="Proporcional",IF(AD381=0,0,AF381*AM381/AD381),IF(CFG_BRK="Extras primero",MIN(AM381,MAX(0,AF381-(AD381-AM381))),MIN(AF381,AM381)))</f>
        <v>0</v>
      </c>
      <c r="AO381" s="80">
        <f>AF381-AN381</f>
        <v>0</v>
      </c>
      <c r="AP381" s="80">
        <f>AM381-AN381</f>
        <v>0</v>
      </c>
      <c r="AQ381" s="80">
        <f>AD381-AM381-AO381</f>
        <v>0</v>
      </c>
      <c r="AR381" s="80">
        <f>IF(AM381=0,0,AK381-AN381*AK381/AM381)</f>
        <v>0</v>
      </c>
      <c r="AS381" s="80">
        <f>IF(AD381-AM381=0,0,(AJ381-AK381)-AO381*(AJ381-AK381)/(AD381-AM381))</f>
        <v>0</v>
      </c>
      <c r="AT381" s="80" t="str">
        <f>IF(AC381=1,INT(B381)+1,"")</f>
        <v/>
      </c>
      <c r="AU381" s="80">
        <f>IF(AND(D381="proMX",R381="Cancelled"),0,1)</f>
        <v>1</v>
      </c>
      <c r="AV381" s="80">
        <f>IF(AND(AB381=1,AU381=1),IF(COUNTIFS($D$5:D380,D381,$B$5:B380,B381,$Z$5:Z380,Z381,$AA$5:AA380,AA381,$F$5:F380,F381&amp;"",$AU$5:AU380,1)&gt;0,1,0),0)</f>
        <v>0</v>
      </c>
      <c r="AW381" s="80" t="str">
        <f>IF(AB381=1,INT(B381)*1440+Z381,"")</f>
        <v/>
      </c>
      <c r="AX381" s="80" t="str">
        <f>IF(AB381=1,AW381+AD381,"")</f>
        <v/>
      </c>
      <c r="AY381" s="80">
        <f>IF(AND(AB381=1,AV381=0,AU381=1),1,0)</f>
        <v>0</v>
      </c>
      <c r="AZ381" s="80">
        <f>IF(AY381=1,COUNTIFS(R_Emp,D381,R_SAbs,"&lt;"&amp;AX381,R_EAbs,"&gt;"&amp;AW381,R_OKey,1)-1,0)</f>
        <v>0</v>
      </c>
      <c r="BA381" s="80">
        <f>IF(AY381=1,COUNTIFS(R_Emp,"&lt;&gt;"&amp;D381,R_SAbs,"&lt;"&amp;AX381,R_EAbs,"&gt;"&amp;AW381,R_OKey,1),0)</f>
        <v>0</v>
      </c>
      <c r="BB381" s="80">
        <f>IF(AND(AB381=1,D381="proMX"),IF(AND(MOD(Z381,CFG_BLK)=0,MOD(AA381,CFG_BLK)=0,MOD(AG381,CFG_BLK)=0,AG381&gt;0),1,0),1)</f>
        <v>1</v>
      </c>
      <c r="BC381" s="80" t="str">
        <f>IF(Y381=0,"",IF(NOT(ISNUMBER(B381)),"Falta fecha o fecha inválida",IF(D381="","Falta empresa",IF(AND(D381&lt;&gt;"Malcolm",D381&lt;&gt;"proMX"),"Empresa inválida",IF(OR(INT(B381)&lt;CFG_PSTART,INT(B381)&gt;CFG_PEND),"Fecha fuera del período",IF(OR(NOT(ISNUMBER(Z381)),NOT(ISNUMBER(AA381))),"Falta hora inicio/fin o formato inválido",IF(AB381=0,"Hora inicio = hora fin",IF(AE381&lt;0,"Descanso inválido",IF(AE381&gt;=AD381,"Descanso ≥ duración",IF(AV381=1,"Registro duplicado",IF(AZ381&gt;0,"Se superpone con otro registro "&amp;D381,IF(BB381=0,"inicio, fin y duración neta deben ser múltiplos de "&amp;CFG_BLK&amp;" min",""))))))))))))</f>
        <v/>
      </c>
      <c r="BD381" s="80">
        <f>IF(AND(Y381=1,BC381=""),1,0)</f>
        <v>0</v>
      </c>
      <c r="BE381" s="80">
        <f>IF(AND(BD381=1,AU381=1),1,0)</f>
        <v>0</v>
      </c>
      <c r="BF381" s="80" t="str">
        <f>IF(AND(D381="proMX",BD381=1),IF(R381="","Draft",R381),"")</f>
        <v/>
      </c>
      <c r="BG381" s="80">
        <f>IF(BD381=1,ROUND(AG381/60,6),0)</f>
        <v>0</v>
      </c>
      <c r="BH381" s="80">
        <f>IF(BE381=1,ROUND(AG381/60,6),0)</f>
        <v>0</v>
      </c>
      <c r="BI381" s="80">
        <f>IF(BE381=1,ROUND(AP381/60,6),0)</f>
        <v>0</v>
      </c>
      <c r="BJ381" s="80">
        <f>IF(BE381=1,ROUND(AQ381/60,6),0)</f>
        <v>0</v>
      </c>
      <c r="BK381" s="80">
        <f>IF(BE381=1,ROUND((AR381+AS381)/60,6),0)</f>
        <v>0</v>
      </c>
      <c r="BL381" s="80">
        <f>ROUND(BH381-BK381,6)</f>
        <v>0</v>
      </c>
      <c r="BM381" s="80">
        <f>IF(BE381=1,ROUND(AR381/60,6),0)</f>
        <v>0</v>
      </c>
      <c r="BN381" s="80">
        <f>ROUND(BI381-BM381,6)</f>
        <v>0</v>
      </c>
      <c r="BO381" s="80">
        <f>IF(BE381=1,ROUND(AS381/60,6),0)</f>
        <v>0</v>
      </c>
      <c r="BP381" s="80">
        <f>ROUND(BJ381-BO381,6)</f>
        <v>0</v>
      </c>
      <c r="BQ381" s="80">
        <f>IF(BE381=1,AW381,0)</f>
        <v>0</v>
      </c>
      <c r="BR381" s="80">
        <f>IF(BE381=1,AX381,0)</f>
        <v>0</v>
      </c>
      <c r="BS381" s="80">
        <f>IF(AND(BE381=1,D381="Malcolm",BA381&gt;0),MIN(BH381,SUMPRODUCT((R_Emp="proMX")*(R_EN&gt;0)*((R_EN-(R_EN&gt;BR381)*(R_EN-BR381))&gt;(R_SN+(R_SN&lt;BQ381)*(BQ381-R_SN)))*((R_EN-(R_EN&gt;BR381)*(R_EN-BR381))-(R_SN+(R_SN&lt;BQ381)*(BQ381-R_SN))))/60),0)</f>
        <v>0</v>
      </c>
      <c r="BT381" s="80">
        <f>IF(AND(BE381=1,D381="proMX"),ROUND(BI381*CFG_RATE+BJ381*CFG_OTRATE,6),0)</f>
        <v>0</v>
      </c>
      <c r="BU381" s="80">
        <f>IF(AND(BD381=1,D381="proMX"),ROUND(AG381/CFG_BLK,6),0)</f>
        <v>0</v>
      </c>
      <c r="BV381" s="80" t="str">
        <f>IF(BF381="Approved",IF(ISNUMBER(T381),INT(T381),INT(B381)),"")</f>
        <v/>
      </c>
      <c r="BW381" s="80">
        <f>IF(ISNUMBER(B381),IF(DB_MON="Todos",1,IF(AND(INT(B381)&gt;=DB_MS,INT(B381)&lt;=DB_ME),1,0)),0)</f>
        <v>0</v>
      </c>
      <c r="BX381" s="80">
        <f>IF(DB_PROJ="Todos",1,IF(E381&amp;""=DB_PROJ&amp;"",1,0))</f>
        <v>1</v>
      </c>
      <c r="BY381" s="80">
        <f>BW381*BX381</f>
        <v>0</v>
      </c>
      <c r="BZ381" s="80" t="str">
        <f>IF(Y381=1,F381&amp;IF(AND(F381&amp;""&lt;&gt;"",E381&amp;""&lt;&gt;"")," · ","")&amp;E381,"")</f>
        <v/>
      </c>
      <c r="CA381" s="80" t="str">
        <f>IF(AND(BD381=1,E381&amp;""&lt;&gt;""),IF(COUNTIFS($E$5:E380,E381,$BD$5:BD380,1)=0,MAX($CA$5:CA380)+1,""),"")</f>
        <v/>
      </c>
      <c r="CB381" s="80" t="str">
        <f>IF(AND(BE381=1,D381="Malcolm",E381&amp;""&lt;&gt;""),IF(COUNTIFS($D$5:D380,"Malcolm",$E$5:E380,E381,$BE$5:BE380,1)=0,MAX($CB$5:CB380)+1,""),"")</f>
        <v/>
      </c>
      <c r="CC381" s="80" t="str">
        <f>IF(AND(BD381=1,D381="proMX",E381&amp;""&lt;&gt;""),IF(COUNTIFS($D$5:D380,"proMX",$E$5:E380,E381,$BD$5:BD380,1)=0,MAX($CC$5:CC380)+1,""),"")</f>
        <v/>
      </c>
      <c r="CD381" s="80" t="str">
        <f>IF(AND(BE381=1,D381="Malcolm",F381&amp;""&lt;&gt;""),IF(COUNTIFS($D$5:D380,"Malcolm",$F$5:F380,F381,$BE$5:BE380,1)=0,MAX($CD$5:CD380)+1,""),"")</f>
        <v/>
      </c>
      <c r="CE381" s="80" t="str">
        <f>IF(AND(BD381=1,D381="proMX",F381&amp;""&lt;&gt;""),IF(COUNTIFS($D$5:D380,"proMX",$F$5:F380,F381,$BD$5:BD380,1)=0,MAX($CE$5:CE380)+1,""),"")</f>
        <v/>
      </c>
      <c r="CF381" s="80" t="str">
        <f>IF(AND(D381="proMX",BD381=1),IF(OR(BF381="Draft",BF381="Submitted",BF381="Returned",BF381="Recall Requested"),MAX($CF$5:CF380)+1,""),"")</f>
        <v/>
      </c>
      <c r="CG381" s="80">
        <f>IF(BD381=0,0,IF(D381="Malcolm",1,MATCH(BF381,{"Draft","Submitted","Approved","Returned","Recall Requested","Cancelled"},0)+1))</f>
        <v>0</v>
      </c>
      <c r="CH381" s="80">
        <f>IF(AND(BF381="Submitted",ISNUMBER(V381)),IF(V381&gt;CFG_MAXD,1,0),0)</f>
        <v>0</v>
      </c>
    </row>
    <row r="382">
      <c r="A382" s="71" t="str">
        <f>IF(Y382=1,ROW()-5,"")</f>
        <v/>
      </c>
      <c r="B382" s="72" t="n"/>
      <c r="C382" s="71" t="str">
        <f>IF(ISNUMBER(B382),CHOOSE(WEEKDAY(B382,2),"Lun","Mar","Mié","Jue","Vie","Sáb","Dom"),"")</f>
        <v/>
      </c>
      <c r="D382" s="73" t="n"/>
      <c r="E382" s="74" t="n"/>
      <c r="F382" s="74" t="n"/>
      <c r="G382" s="74" t="n"/>
      <c r="H382" s="75" t="n"/>
      <c r="I382" s="75" t="n"/>
      <c r="J382" s="76" t="n"/>
      <c r="K382" s="77" t="str">
        <f>IF(AB382=1,ROUND(AG382/60,4),"")</f>
        <v/>
      </c>
      <c r="L382" s="77" t="str">
        <f>IF(BD382=1,ROUND(AP382/60,4),"")</f>
        <v/>
      </c>
      <c r="M382" s="77" t="str">
        <f>IF(BD382=1,ROUND(AQ382/60,4),"")</f>
        <v/>
      </c>
      <c r="N382" s="71" t="str">
        <f>IF(AND(D382="proMX",AB382=1),ROUND(AG382/CFG_BLK,2),"")</f>
        <v/>
      </c>
      <c r="O382" s="77" t="str">
        <f>IF(D382="proMX",IF(BD382=1,ROUND(AG382/60,4),0),"")</f>
        <v/>
      </c>
      <c r="P382" s="78" t="str">
        <f>IF(Y382=0,"",IF(BD382=1,"OK",IF(D382="proMX","Revisar bloques: ","Revisar: ")&amp;BC382))</f>
        <v/>
      </c>
      <c r="Q382" s="78" t="str">
        <f>IF(NOT(ISNUMBER(B382)),"",IF(COUNTIFS(FER_F,INT(B382))&gt;0,"Feriado"&amp;IF(AH382=1," (laborable)"," (no laborable)"),IF(AH382=1,"Laborable",IF(WEEKDAY(B382,2)&gt;5,"Fin de semana","No laborable"))))</f>
        <v/>
      </c>
      <c r="R382" s="73" t="n"/>
      <c r="S382" s="72" t="n"/>
      <c r="T382" s="72" t="n"/>
      <c r="U382" s="74" t="n"/>
      <c r="V382" s="79" t="str">
        <f>IF(AND(D382="proMX",OR(R382="Submitted",R382="Recall Requested"),ISNUMBER(S382)),CFG_TODAY-INT(S382),"")</f>
        <v/>
      </c>
      <c r="W382" s="78" t="str">
        <f>IF(BD382=0,"",IF(BA382&gt;0,"⚠ Se superpone con un registro de la otra empresa",IF(D382="Malcolm",IF(COUNTA(R382,S382,T382)&gt;0,"Estado/fechas proMX se ignoran en Malcolm",""),IF(BF382="Cancelled","Cancelado: excluido de totales",IF(R382="","Sin estado: se trata como Draft",IF(BF382="Submitted",IF(ISNUMBER(V382),IF(V382&gt;CFG_MAXD,"⚠ "&amp;V382&amp;" días en Submitted (máx. "&amp;CFG_MAXD&amp;")",""),"Falta fecha de envío"),IF(BF382="Returned","⚠ Devuelto: corregir y reenviar",IF(BF382="Recall Requested","Retirada solicitada: pendiente",IF(AND(BF382="Approved",NOT(ISNUMBER(T382))),"Falta fecha de aprobación",IF(AND(ISNUMBER(S382),ISNUMBER(T382),T382&lt;S382),"Aprobación anterior al envío","")))))))))</f>
        <v/>
      </c>
      <c r="Y382" s="80">
        <f>IF(COUNTA(B382,D382,E382,F382,G382,H382,I382,J382,R382,S382,T382)&gt;0,1,0)</f>
        <v>0</v>
      </c>
      <c r="Z382" s="80" t="str">
        <f>IF(AND(ISNUMBER(H382),H382&gt;=0,H382&lt;1),ROUND(H382*1440,0),"")</f>
        <v/>
      </c>
      <c r="AA382" s="80" t="str">
        <f>IF(AND(ISNUMBER(I382),I382&gt;=0,I382&lt;1),ROUND(I382*1440,0),"")</f>
        <v/>
      </c>
      <c r="AB382" s="80">
        <f>IF(AND(ISNUMBER(B382),D382&lt;&gt;"",ISNUMBER(Z382),ISNUMBER(AA382)),IF(Z382=AA382,0,1),0)</f>
        <v>0</v>
      </c>
      <c r="AC382" s="80">
        <f>IF(AB382=1,IF(AA382&lt;Z382,1,0),0)</f>
        <v>0</v>
      </c>
      <c r="AD382" s="80">
        <f>IF(AB382=1,IF(AC382=1,1440-Z382+AA382,AA382-Z382),0)</f>
        <v>0</v>
      </c>
      <c r="AE382" s="80">
        <f>IF(J382="",0,IF(ISNUMBER(J382),J382,-1))</f>
        <v>0</v>
      </c>
      <c r="AF382" s="80">
        <f>MIN(MAX(0,AE382),AD382)</f>
        <v>0</v>
      </c>
      <c r="AG382" s="80">
        <f>MAX(0,AD382-MAX(0,AE382))</f>
        <v>0</v>
      </c>
      <c r="AH382" s="80">
        <f>IF(ISNUMBER(B382),IF(AND(INDEX(CFG_WDAYS,WEEKDAY(INT(B382),2))="Sí",IF(D382="proMX",COUNTIFS(FER_F,INT(B382),FER_NLP,"Sí"),COUNTIFS(FER_F,INT(B382),FER_NLM,"Sí"))=0),1,0),0)</f>
        <v>0</v>
      </c>
      <c r="AI382" s="80">
        <f>IF(AC382=1,IF(AND(INDEX(CFG_WDAYS,WEEKDAY(INT(B382)+1,2))="Sí",IF(D382="proMX",COUNTIFS(FER_F,INT(B382)+1,FER_NLP,"Sí"),COUNTIFS(FER_F,INT(B382)+1,FER_NLM,"Sí"))=0),1,0),0)</f>
        <v>0</v>
      </c>
      <c r="AJ382" s="80">
        <f>IF(AC382=1,1440-Z382,AD382)</f>
        <v>0</v>
      </c>
      <c r="AK382" s="80">
        <f>IF(AND(AB382=1,AH382=1),MAX(0,MIN(IF(AC382=1,1440,AA382),CFG_WEM)-MAX(Z382,CFG_WSM)),0)</f>
        <v>0</v>
      </c>
      <c r="AL382" s="80">
        <f>IF(AND(AC382=1,AI382=1),MAX(0,MIN(AA382,CFG_WEM)-CFG_WSM),0)</f>
        <v>0</v>
      </c>
      <c r="AM382" s="80">
        <f>AK382+AL382</f>
        <v>0</v>
      </c>
      <c r="AN382" s="80">
        <f>IF(CFG_BRK="Proporcional",IF(AD382=0,0,AF382*AM382/AD382),IF(CFG_BRK="Extras primero",MIN(AM382,MAX(0,AF382-(AD382-AM382))),MIN(AF382,AM382)))</f>
        <v>0</v>
      </c>
      <c r="AO382" s="80">
        <f>AF382-AN382</f>
        <v>0</v>
      </c>
      <c r="AP382" s="80">
        <f>AM382-AN382</f>
        <v>0</v>
      </c>
      <c r="AQ382" s="80">
        <f>AD382-AM382-AO382</f>
        <v>0</v>
      </c>
      <c r="AR382" s="80">
        <f>IF(AM382=0,0,AK382-AN382*AK382/AM382)</f>
        <v>0</v>
      </c>
      <c r="AS382" s="80">
        <f>IF(AD382-AM382=0,0,(AJ382-AK382)-AO382*(AJ382-AK382)/(AD382-AM382))</f>
        <v>0</v>
      </c>
      <c r="AT382" s="80" t="str">
        <f>IF(AC382=1,INT(B382)+1,"")</f>
        <v/>
      </c>
      <c r="AU382" s="80">
        <f>IF(AND(D382="proMX",R382="Cancelled"),0,1)</f>
        <v>1</v>
      </c>
      <c r="AV382" s="80">
        <f>IF(AND(AB382=1,AU382=1),IF(COUNTIFS($D$5:D381,D382,$B$5:B381,B382,$Z$5:Z381,Z382,$AA$5:AA381,AA382,$F$5:F381,F382&amp;"",$AU$5:AU381,1)&gt;0,1,0),0)</f>
        <v>0</v>
      </c>
      <c r="AW382" s="80" t="str">
        <f>IF(AB382=1,INT(B382)*1440+Z382,"")</f>
        <v/>
      </c>
      <c r="AX382" s="80" t="str">
        <f>IF(AB382=1,AW382+AD382,"")</f>
        <v/>
      </c>
      <c r="AY382" s="80">
        <f>IF(AND(AB382=1,AV382=0,AU382=1),1,0)</f>
        <v>0</v>
      </c>
      <c r="AZ382" s="80">
        <f>IF(AY382=1,COUNTIFS(R_Emp,D382,R_SAbs,"&lt;"&amp;AX382,R_EAbs,"&gt;"&amp;AW382,R_OKey,1)-1,0)</f>
        <v>0</v>
      </c>
      <c r="BA382" s="80">
        <f>IF(AY382=1,COUNTIFS(R_Emp,"&lt;&gt;"&amp;D382,R_SAbs,"&lt;"&amp;AX382,R_EAbs,"&gt;"&amp;AW382,R_OKey,1),0)</f>
        <v>0</v>
      </c>
      <c r="BB382" s="80">
        <f>IF(AND(AB382=1,D382="proMX"),IF(AND(MOD(Z382,CFG_BLK)=0,MOD(AA382,CFG_BLK)=0,MOD(AG382,CFG_BLK)=0,AG382&gt;0),1,0),1)</f>
        <v>1</v>
      </c>
      <c r="BC382" s="80" t="str">
        <f>IF(Y382=0,"",IF(NOT(ISNUMBER(B382)),"Falta fecha o fecha inválida",IF(D382="","Falta empresa",IF(AND(D382&lt;&gt;"Malcolm",D382&lt;&gt;"proMX"),"Empresa inválida",IF(OR(INT(B382)&lt;CFG_PSTART,INT(B382)&gt;CFG_PEND),"Fecha fuera del período",IF(OR(NOT(ISNUMBER(Z382)),NOT(ISNUMBER(AA382))),"Falta hora inicio/fin o formato inválido",IF(AB382=0,"Hora inicio = hora fin",IF(AE382&lt;0,"Descanso inválido",IF(AE382&gt;=AD382,"Descanso ≥ duración",IF(AV382=1,"Registro duplicado",IF(AZ382&gt;0,"Se superpone con otro registro "&amp;D382,IF(BB382=0,"inicio, fin y duración neta deben ser múltiplos de "&amp;CFG_BLK&amp;" min",""))))))))))))</f>
        <v/>
      </c>
      <c r="BD382" s="80">
        <f>IF(AND(Y382=1,BC382=""),1,0)</f>
        <v>0</v>
      </c>
      <c r="BE382" s="80">
        <f>IF(AND(BD382=1,AU382=1),1,0)</f>
        <v>0</v>
      </c>
      <c r="BF382" s="80" t="str">
        <f>IF(AND(D382="proMX",BD382=1),IF(R382="","Draft",R382),"")</f>
        <v/>
      </c>
      <c r="BG382" s="80">
        <f>IF(BD382=1,ROUND(AG382/60,6),0)</f>
        <v>0</v>
      </c>
      <c r="BH382" s="80">
        <f>IF(BE382=1,ROUND(AG382/60,6),0)</f>
        <v>0</v>
      </c>
      <c r="BI382" s="80">
        <f>IF(BE382=1,ROUND(AP382/60,6),0)</f>
        <v>0</v>
      </c>
      <c r="BJ382" s="80">
        <f>IF(BE382=1,ROUND(AQ382/60,6),0)</f>
        <v>0</v>
      </c>
      <c r="BK382" s="80">
        <f>IF(BE382=1,ROUND((AR382+AS382)/60,6),0)</f>
        <v>0</v>
      </c>
      <c r="BL382" s="80">
        <f>ROUND(BH382-BK382,6)</f>
        <v>0</v>
      </c>
      <c r="BM382" s="80">
        <f>IF(BE382=1,ROUND(AR382/60,6),0)</f>
        <v>0</v>
      </c>
      <c r="BN382" s="80">
        <f>ROUND(BI382-BM382,6)</f>
        <v>0</v>
      </c>
      <c r="BO382" s="80">
        <f>IF(BE382=1,ROUND(AS382/60,6),0)</f>
        <v>0</v>
      </c>
      <c r="BP382" s="80">
        <f>ROUND(BJ382-BO382,6)</f>
        <v>0</v>
      </c>
      <c r="BQ382" s="80">
        <f>IF(BE382=1,AW382,0)</f>
        <v>0</v>
      </c>
      <c r="BR382" s="80">
        <f>IF(BE382=1,AX382,0)</f>
        <v>0</v>
      </c>
      <c r="BS382" s="80">
        <f>IF(AND(BE382=1,D382="Malcolm",BA382&gt;0),MIN(BH382,SUMPRODUCT((R_Emp="proMX")*(R_EN&gt;0)*((R_EN-(R_EN&gt;BR382)*(R_EN-BR382))&gt;(R_SN+(R_SN&lt;BQ382)*(BQ382-R_SN)))*((R_EN-(R_EN&gt;BR382)*(R_EN-BR382))-(R_SN+(R_SN&lt;BQ382)*(BQ382-R_SN))))/60),0)</f>
        <v>0</v>
      </c>
      <c r="BT382" s="80">
        <f>IF(AND(BE382=1,D382="proMX"),ROUND(BI382*CFG_RATE+BJ382*CFG_OTRATE,6),0)</f>
        <v>0</v>
      </c>
      <c r="BU382" s="80">
        <f>IF(AND(BD382=1,D382="proMX"),ROUND(AG382/CFG_BLK,6),0)</f>
        <v>0</v>
      </c>
      <c r="BV382" s="80" t="str">
        <f>IF(BF382="Approved",IF(ISNUMBER(T382),INT(T382),INT(B382)),"")</f>
        <v/>
      </c>
      <c r="BW382" s="80">
        <f>IF(ISNUMBER(B382),IF(DB_MON="Todos",1,IF(AND(INT(B382)&gt;=DB_MS,INT(B382)&lt;=DB_ME),1,0)),0)</f>
        <v>0</v>
      </c>
      <c r="BX382" s="80">
        <f>IF(DB_PROJ="Todos",1,IF(E382&amp;""=DB_PROJ&amp;"",1,0))</f>
        <v>1</v>
      </c>
      <c r="BY382" s="80">
        <f>BW382*BX382</f>
        <v>0</v>
      </c>
      <c r="BZ382" s="80" t="str">
        <f>IF(Y382=1,F382&amp;IF(AND(F382&amp;""&lt;&gt;"",E382&amp;""&lt;&gt;"")," · ","")&amp;E382,"")</f>
        <v/>
      </c>
      <c r="CA382" s="80" t="str">
        <f>IF(AND(BD382=1,E382&amp;""&lt;&gt;""),IF(COUNTIFS($E$5:E381,E382,$BD$5:BD381,1)=0,MAX($CA$5:CA381)+1,""),"")</f>
        <v/>
      </c>
      <c r="CB382" s="80" t="str">
        <f>IF(AND(BE382=1,D382="Malcolm",E382&amp;""&lt;&gt;""),IF(COUNTIFS($D$5:D381,"Malcolm",$E$5:E381,E382,$BE$5:BE381,1)=0,MAX($CB$5:CB381)+1,""),"")</f>
        <v/>
      </c>
      <c r="CC382" s="80" t="str">
        <f>IF(AND(BD382=1,D382="proMX",E382&amp;""&lt;&gt;""),IF(COUNTIFS($D$5:D381,"proMX",$E$5:E381,E382,$BD$5:BD381,1)=0,MAX($CC$5:CC381)+1,""),"")</f>
        <v/>
      </c>
      <c r="CD382" s="80" t="str">
        <f>IF(AND(BE382=1,D382="Malcolm",F382&amp;""&lt;&gt;""),IF(COUNTIFS($D$5:D381,"Malcolm",$F$5:F381,F382,$BE$5:BE381,1)=0,MAX($CD$5:CD381)+1,""),"")</f>
        <v/>
      </c>
      <c r="CE382" s="80" t="str">
        <f>IF(AND(BD382=1,D382="proMX",F382&amp;""&lt;&gt;""),IF(COUNTIFS($D$5:D381,"proMX",$F$5:F381,F382,$BD$5:BD381,1)=0,MAX($CE$5:CE381)+1,""),"")</f>
        <v/>
      </c>
      <c r="CF382" s="80" t="str">
        <f>IF(AND(D382="proMX",BD382=1),IF(OR(BF382="Draft",BF382="Submitted",BF382="Returned",BF382="Recall Requested"),MAX($CF$5:CF381)+1,""),"")</f>
        <v/>
      </c>
      <c r="CG382" s="80">
        <f>IF(BD382=0,0,IF(D382="Malcolm",1,MATCH(BF382,{"Draft","Submitted","Approved","Returned","Recall Requested","Cancelled"},0)+1))</f>
        <v>0</v>
      </c>
      <c r="CH382" s="80">
        <f>IF(AND(BF382="Submitted",ISNUMBER(V382)),IF(V382&gt;CFG_MAXD,1,0),0)</f>
        <v>0</v>
      </c>
    </row>
    <row r="383">
      <c r="A383" s="71" t="str">
        <f>IF(Y383=1,ROW()-5,"")</f>
        <v/>
      </c>
      <c r="B383" s="72" t="n"/>
      <c r="C383" s="71" t="str">
        <f>IF(ISNUMBER(B383),CHOOSE(WEEKDAY(B383,2),"Lun","Mar","Mié","Jue","Vie","Sáb","Dom"),"")</f>
        <v/>
      </c>
      <c r="D383" s="73" t="n"/>
      <c r="E383" s="74" t="n"/>
      <c r="F383" s="74" t="n"/>
      <c r="G383" s="74" t="n"/>
      <c r="H383" s="75" t="n"/>
      <c r="I383" s="75" t="n"/>
      <c r="J383" s="76" t="n"/>
      <c r="K383" s="77" t="str">
        <f>IF(AB383=1,ROUND(AG383/60,4),"")</f>
        <v/>
      </c>
      <c r="L383" s="77" t="str">
        <f>IF(BD383=1,ROUND(AP383/60,4),"")</f>
        <v/>
      </c>
      <c r="M383" s="77" t="str">
        <f>IF(BD383=1,ROUND(AQ383/60,4),"")</f>
        <v/>
      </c>
      <c r="N383" s="71" t="str">
        <f>IF(AND(D383="proMX",AB383=1),ROUND(AG383/CFG_BLK,2),"")</f>
        <v/>
      </c>
      <c r="O383" s="77" t="str">
        <f>IF(D383="proMX",IF(BD383=1,ROUND(AG383/60,4),0),"")</f>
        <v/>
      </c>
      <c r="P383" s="78" t="str">
        <f>IF(Y383=0,"",IF(BD383=1,"OK",IF(D383="proMX","Revisar bloques: ","Revisar: ")&amp;BC383))</f>
        <v/>
      </c>
      <c r="Q383" s="78" t="str">
        <f>IF(NOT(ISNUMBER(B383)),"",IF(COUNTIFS(FER_F,INT(B383))&gt;0,"Feriado"&amp;IF(AH383=1," (laborable)"," (no laborable)"),IF(AH383=1,"Laborable",IF(WEEKDAY(B383,2)&gt;5,"Fin de semana","No laborable"))))</f>
        <v/>
      </c>
      <c r="R383" s="73" t="n"/>
      <c r="S383" s="72" t="n"/>
      <c r="T383" s="72" t="n"/>
      <c r="U383" s="74" t="n"/>
      <c r="V383" s="79" t="str">
        <f>IF(AND(D383="proMX",OR(R383="Submitted",R383="Recall Requested"),ISNUMBER(S383)),CFG_TODAY-INT(S383),"")</f>
        <v/>
      </c>
      <c r="W383" s="78" t="str">
        <f>IF(BD383=0,"",IF(BA383&gt;0,"⚠ Se superpone con un registro de la otra empresa",IF(D383="Malcolm",IF(COUNTA(R383,S383,T383)&gt;0,"Estado/fechas proMX se ignoran en Malcolm",""),IF(BF383="Cancelled","Cancelado: excluido de totales",IF(R383="","Sin estado: se trata como Draft",IF(BF383="Submitted",IF(ISNUMBER(V383),IF(V383&gt;CFG_MAXD,"⚠ "&amp;V383&amp;" días en Submitted (máx. "&amp;CFG_MAXD&amp;")",""),"Falta fecha de envío"),IF(BF383="Returned","⚠ Devuelto: corregir y reenviar",IF(BF383="Recall Requested","Retirada solicitada: pendiente",IF(AND(BF383="Approved",NOT(ISNUMBER(T383))),"Falta fecha de aprobación",IF(AND(ISNUMBER(S383),ISNUMBER(T383),T383&lt;S383),"Aprobación anterior al envío","")))))))))</f>
        <v/>
      </c>
      <c r="Y383" s="80">
        <f>IF(COUNTA(B383,D383,E383,F383,G383,H383,I383,J383,R383,S383,T383)&gt;0,1,0)</f>
        <v>0</v>
      </c>
      <c r="Z383" s="80" t="str">
        <f>IF(AND(ISNUMBER(H383),H383&gt;=0,H383&lt;1),ROUND(H383*1440,0),"")</f>
        <v/>
      </c>
      <c r="AA383" s="80" t="str">
        <f>IF(AND(ISNUMBER(I383),I383&gt;=0,I383&lt;1),ROUND(I383*1440,0),"")</f>
        <v/>
      </c>
      <c r="AB383" s="80">
        <f>IF(AND(ISNUMBER(B383),D383&lt;&gt;"",ISNUMBER(Z383),ISNUMBER(AA383)),IF(Z383=AA383,0,1),0)</f>
        <v>0</v>
      </c>
      <c r="AC383" s="80">
        <f>IF(AB383=1,IF(AA383&lt;Z383,1,0),0)</f>
        <v>0</v>
      </c>
      <c r="AD383" s="80">
        <f>IF(AB383=1,IF(AC383=1,1440-Z383+AA383,AA383-Z383),0)</f>
        <v>0</v>
      </c>
      <c r="AE383" s="80">
        <f>IF(J383="",0,IF(ISNUMBER(J383),J383,-1))</f>
        <v>0</v>
      </c>
      <c r="AF383" s="80">
        <f>MIN(MAX(0,AE383),AD383)</f>
        <v>0</v>
      </c>
      <c r="AG383" s="80">
        <f>MAX(0,AD383-MAX(0,AE383))</f>
        <v>0</v>
      </c>
      <c r="AH383" s="80">
        <f>IF(ISNUMBER(B383),IF(AND(INDEX(CFG_WDAYS,WEEKDAY(INT(B383),2))="Sí",IF(D383="proMX",COUNTIFS(FER_F,INT(B383),FER_NLP,"Sí"),COUNTIFS(FER_F,INT(B383),FER_NLM,"Sí"))=0),1,0),0)</f>
        <v>0</v>
      </c>
      <c r="AI383" s="80">
        <f>IF(AC383=1,IF(AND(INDEX(CFG_WDAYS,WEEKDAY(INT(B383)+1,2))="Sí",IF(D383="proMX",COUNTIFS(FER_F,INT(B383)+1,FER_NLP,"Sí"),COUNTIFS(FER_F,INT(B383)+1,FER_NLM,"Sí"))=0),1,0),0)</f>
        <v>0</v>
      </c>
      <c r="AJ383" s="80">
        <f>IF(AC383=1,1440-Z383,AD383)</f>
        <v>0</v>
      </c>
      <c r="AK383" s="80">
        <f>IF(AND(AB383=1,AH383=1),MAX(0,MIN(IF(AC383=1,1440,AA383),CFG_WEM)-MAX(Z383,CFG_WSM)),0)</f>
        <v>0</v>
      </c>
      <c r="AL383" s="80">
        <f>IF(AND(AC383=1,AI383=1),MAX(0,MIN(AA383,CFG_WEM)-CFG_WSM),0)</f>
        <v>0</v>
      </c>
      <c r="AM383" s="80">
        <f>AK383+AL383</f>
        <v>0</v>
      </c>
      <c r="AN383" s="80">
        <f>IF(CFG_BRK="Proporcional",IF(AD383=0,0,AF383*AM383/AD383),IF(CFG_BRK="Extras primero",MIN(AM383,MAX(0,AF383-(AD383-AM383))),MIN(AF383,AM383)))</f>
        <v>0</v>
      </c>
      <c r="AO383" s="80">
        <f>AF383-AN383</f>
        <v>0</v>
      </c>
      <c r="AP383" s="80">
        <f>AM383-AN383</f>
        <v>0</v>
      </c>
      <c r="AQ383" s="80">
        <f>AD383-AM383-AO383</f>
        <v>0</v>
      </c>
      <c r="AR383" s="80">
        <f>IF(AM383=0,0,AK383-AN383*AK383/AM383)</f>
        <v>0</v>
      </c>
      <c r="AS383" s="80">
        <f>IF(AD383-AM383=0,0,(AJ383-AK383)-AO383*(AJ383-AK383)/(AD383-AM383))</f>
        <v>0</v>
      </c>
      <c r="AT383" s="80" t="str">
        <f>IF(AC383=1,INT(B383)+1,"")</f>
        <v/>
      </c>
      <c r="AU383" s="80">
        <f>IF(AND(D383="proMX",R383="Cancelled"),0,1)</f>
        <v>1</v>
      </c>
      <c r="AV383" s="80">
        <f>IF(AND(AB383=1,AU383=1),IF(COUNTIFS($D$5:D382,D383,$B$5:B382,B383,$Z$5:Z382,Z383,$AA$5:AA382,AA383,$F$5:F382,F383&amp;"",$AU$5:AU382,1)&gt;0,1,0),0)</f>
        <v>0</v>
      </c>
      <c r="AW383" s="80" t="str">
        <f>IF(AB383=1,INT(B383)*1440+Z383,"")</f>
        <v/>
      </c>
      <c r="AX383" s="80" t="str">
        <f>IF(AB383=1,AW383+AD383,"")</f>
        <v/>
      </c>
      <c r="AY383" s="80">
        <f>IF(AND(AB383=1,AV383=0,AU383=1),1,0)</f>
        <v>0</v>
      </c>
      <c r="AZ383" s="80">
        <f>IF(AY383=1,COUNTIFS(R_Emp,D383,R_SAbs,"&lt;"&amp;AX383,R_EAbs,"&gt;"&amp;AW383,R_OKey,1)-1,0)</f>
        <v>0</v>
      </c>
      <c r="BA383" s="80">
        <f>IF(AY383=1,COUNTIFS(R_Emp,"&lt;&gt;"&amp;D383,R_SAbs,"&lt;"&amp;AX383,R_EAbs,"&gt;"&amp;AW383,R_OKey,1),0)</f>
        <v>0</v>
      </c>
      <c r="BB383" s="80">
        <f>IF(AND(AB383=1,D383="proMX"),IF(AND(MOD(Z383,CFG_BLK)=0,MOD(AA383,CFG_BLK)=0,MOD(AG383,CFG_BLK)=0,AG383&gt;0),1,0),1)</f>
        <v>1</v>
      </c>
      <c r="BC383" s="80" t="str">
        <f>IF(Y383=0,"",IF(NOT(ISNUMBER(B383)),"Falta fecha o fecha inválida",IF(D383="","Falta empresa",IF(AND(D383&lt;&gt;"Malcolm",D383&lt;&gt;"proMX"),"Empresa inválida",IF(OR(INT(B383)&lt;CFG_PSTART,INT(B383)&gt;CFG_PEND),"Fecha fuera del período",IF(OR(NOT(ISNUMBER(Z383)),NOT(ISNUMBER(AA383))),"Falta hora inicio/fin o formato inválido",IF(AB383=0,"Hora inicio = hora fin",IF(AE383&lt;0,"Descanso inválido",IF(AE383&gt;=AD383,"Descanso ≥ duración",IF(AV383=1,"Registro duplicado",IF(AZ383&gt;0,"Se superpone con otro registro "&amp;D383,IF(BB383=0,"inicio, fin y duración neta deben ser múltiplos de "&amp;CFG_BLK&amp;" min",""))))))))))))</f>
        <v/>
      </c>
      <c r="BD383" s="80">
        <f>IF(AND(Y383=1,BC383=""),1,0)</f>
        <v>0</v>
      </c>
      <c r="BE383" s="80">
        <f>IF(AND(BD383=1,AU383=1),1,0)</f>
        <v>0</v>
      </c>
      <c r="BF383" s="80" t="str">
        <f>IF(AND(D383="proMX",BD383=1),IF(R383="","Draft",R383),"")</f>
        <v/>
      </c>
      <c r="BG383" s="80">
        <f>IF(BD383=1,ROUND(AG383/60,6),0)</f>
        <v>0</v>
      </c>
      <c r="BH383" s="80">
        <f>IF(BE383=1,ROUND(AG383/60,6),0)</f>
        <v>0</v>
      </c>
      <c r="BI383" s="80">
        <f>IF(BE383=1,ROUND(AP383/60,6),0)</f>
        <v>0</v>
      </c>
      <c r="BJ383" s="80">
        <f>IF(BE383=1,ROUND(AQ383/60,6),0)</f>
        <v>0</v>
      </c>
      <c r="BK383" s="80">
        <f>IF(BE383=1,ROUND((AR383+AS383)/60,6),0)</f>
        <v>0</v>
      </c>
      <c r="BL383" s="80">
        <f>ROUND(BH383-BK383,6)</f>
        <v>0</v>
      </c>
      <c r="BM383" s="80">
        <f>IF(BE383=1,ROUND(AR383/60,6),0)</f>
        <v>0</v>
      </c>
      <c r="BN383" s="80">
        <f>ROUND(BI383-BM383,6)</f>
        <v>0</v>
      </c>
      <c r="BO383" s="80">
        <f>IF(BE383=1,ROUND(AS383/60,6),0)</f>
        <v>0</v>
      </c>
      <c r="BP383" s="80">
        <f>ROUND(BJ383-BO383,6)</f>
        <v>0</v>
      </c>
      <c r="BQ383" s="80">
        <f>IF(BE383=1,AW383,0)</f>
        <v>0</v>
      </c>
      <c r="BR383" s="80">
        <f>IF(BE383=1,AX383,0)</f>
        <v>0</v>
      </c>
      <c r="BS383" s="80">
        <f>IF(AND(BE383=1,D383="Malcolm",BA383&gt;0),MIN(BH383,SUMPRODUCT((R_Emp="proMX")*(R_EN&gt;0)*((R_EN-(R_EN&gt;BR383)*(R_EN-BR383))&gt;(R_SN+(R_SN&lt;BQ383)*(BQ383-R_SN)))*((R_EN-(R_EN&gt;BR383)*(R_EN-BR383))-(R_SN+(R_SN&lt;BQ383)*(BQ383-R_SN))))/60),0)</f>
        <v>0</v>
      </c>
      <c r="BT383" s="80">
        <f>IF(AND(BE383=1,D383="proMX"),ROUND(BI383*CFG_RATE+BJ383*CFG_OTRATE,6),0)</f>
        <v>0</v>
      </c>
      <c r="BU383" s="80">
        <f>IF(AND(BD383=1,D383="proMX"),ROUND(AG383/CFG_BLK,6),0)</f>
        <v>0</v>
      </c>
      <c r="BV383" s="80" t="str">
        <f>IF(BF383="Approved",IF(ISNUMBER(T383),INT(T383),INT(B383)),"")</f>
        <v/>
      </c>
      <c r="BW383" s="80">
        <f>IF(ISNUMBER(B383),IF(DB_MON="Todos",1,IF(AND(INT(B383)&gt;=DB_MS,INT(B383)&lt;=DB_ME),1,0)),0)</f>
        <v>0</v>
      </c>
      <c r="BX383" s="80">
        <f>IF(DB_PROJ="Todos",1,IF(E383&amp;""=DB_PROJ&amp;"",1,0))</f>
        <v>1</v>
      </c>
      <c r="BY383" s="80">
        <f>BW383*BX383</f>
        <v>0</v>
      </c>
      <c r="BZ383" s="80" t="str">
        <f>IF(Y383=1,F383&amp;IF(AND(F383&amp;""&lt;&gt;"",E383&amp;""&lt;&gt;"")," · ","")&amp;E383,"")</f>
        <v/>
      </c>
      <c r="CA383" s="80" t="str">
        <f>IF(AND(BD383=1,E383&amp;""&lt;&gt;""),IF(COUNTIFS($E$5:E382,E383,$BD$5:BD382,1)=0,MAX($CA$5:CA382)+1,""),"")</f>
        <v/>
      </c>
      <c r="CB383" s="80" t="str">
        <f>IF(AND(BE383=1,D383="Malcolm",E383&amp;""&lt;&gt;""),IF(COUNTIFS($D$5:D382,"Malcolm",$E$5:E382,E383,$BE$5:BE382,1)=0,MAX($CB$5:CB382)+1,""),"")</f>
        <v/>
      </c>
      <c r="CC383" s="80" t="str">
        <f>IF(AND(BD383=1,D383="proMX",E383&amp;""&lt;&gt;""),IF(COUNTIFS($D$5:D382,"proMX",$E$5:E382,E383,$BD$5:BD382,1)=0,MAX($CC$5:CC382)+1,""),"")</f>
        <v/>
      </c>
      <c r="CD383" s="80" t="str">
        <f>IF(AND(BE383=1,D383="Malcolm",F383&amp;""&lt;&gt;""),IF(COUNTIFS($D$5:D382,"Malcolm",$F$5:F382,F383,$BE$5:BE382,1)=0,MAX($CD$5:CD382)+1,""),"")</f>
        <v/>
      </c>
      <c r="CE383" s="80" t="str">
        <f>IF(AND(BD383=1,D383="proMX",F383&amp;""&lt;&gt;""),IF(COUNTIFS($D$5:D382,"proMX",$F$5:F382,F383,$BD$5:BD382,1)=0,MAX($CE$5:CE382)+1,""),"")</f>
        <v/>
      </c>
      <c r="CF383" s="80" t="str">
        <f>IF(AND(D383="proMX",BD383=1),IF(OR(BF383="Draft",BF383="Submitted",BF383="Returned",BF383="Recall Requested"),MAX($CF$5:CF382)+1,""),"")</f>
        <v/>
      </c>
      <c r="CG383" s="80">
        <f>IF(BD383=0,0,IF(D383="Malcolm",1,MATCH(BF383,{"Draft","Submitted","Approved","Returned","Recall Requested","Cancelled"},0)+1))</f>
        <v>0</v>
      </c>
      <c r="CH383" s="80">
        <f>IF(AND(BF383="Submitted",ISNUMBER(V383)),IF(V383&gt;CFG_MAXD,1,0),0)</f>
        <v>0</v>
      </c>
    </row>
    <row r="384">
      <c r="A384" s="71" t="str">
        <f>IF(Y384=1,ROW()-5,"")</f>
        <v/>
      </c>
      <c r="B384" s="72" t="n"/>
      <c r="C384" s="71" t="str">
        <f>IF(ISNUMBER(B384),CHOOSE(WEEKDAY(B384,2),"Lun","Mar","Mié","Jue","Vie","Sáb","Dom"),"")</f>
        <v/>
      </c>
      <c r="D384" s="73" t="n"/>
      <c r="E384" s="74" t="n"/>
      <c r="F384" s="74" t="n"/>
      <c r="G384" s="74" t="n"/>
      <c r="H384" s="75" t="n"/>
      <c r="I384" s="75" t="n"/>
      <c r="J384" s="76" t="n"/>
      <c r="K384" s="77" t="str">
        <f>IF(AB384=1,ROUND(AG384/60,4),"")</f>
        <v/>
      </c>
      <c r="L384" s="77" t="str">
        <f>IF(BD384=1,ROUND(AP384/60,4),"")</f>
        <v/>
      </c>
      <c r="M384" s="77" t="str">
        <f>IF(BD384=1,ROUND(AQ384/60,4),"")</f>
        <v/>
      </c>
      <c r="N384" s="71" t="str">
        <f>IF(AND(D384="proMX",AB384=1),ROUND(AG384/CFG_BLK,2),"")</f>
        <v/>
      </c>
      <c r="O384" s="77" t="str">
        <f>IF(D384="proMX",IF(BD384=1,ROUND(AG384/60,4),0),"")</f>
        <v/>
      </c>
      <c r="P384" s="78" t="str">
        <f>IF(Y384=0,"",IF(BD384=1,"OK",IF(D384="proMX","Revisar bloques: ","Revisar: ")&amp;BC384))</f>
        <v/>
      </c>
      <c r="Q384" s="78" t="str">
        <f>IF(NOT(ISNUMBER(B384)),"",IF(COUNTIFS(FER_F,INT(B384))&gt;0,"Feriado"&amp;IF(AH384=1," (laborable)"," (no laborable)"),IF(AH384=1,"Laborable",IF(WEEKDAY(B384,2)&gt;5,"Fin de semana","No laborable"))))</f>
        <v/>
      </c>
      <c r="R384" s="73" t="n"/>
      <c r="S384" s="72" t="n"/>
      <c r="T384" s="72" t="n"/>
      <c r="U384" s="74" t="n"/>
      <c r="V384" s="79" t="str">
        <f>IF(AND(D384="proMX",OR(R384="Submitted",R384="Recall Requested"),ISNUMBER(S384)),CFG_TODAY-INT(S384),"")</f>
        <v/>
      </c>
      <c r="W384" s="78" t="str">
        <f>IF(BD384=0,"",IF(BA384&gt;0,"⚠ Se superpone con un registro de la otra empresa",IF(D384="Malcolm",IF(COUNTA(R384,S384,T384)&gt;0,"Estado/fechas proMX se ignoran en Malcolm",""),IF(BF384="Cancelled","Cancelado: excluido de totales",IF(R384="","Sin estado: se trata como Draft",IF(BF384="Submitted",IF(ISNUMBER(V384),IF(V384&gt;CFG_MAXD,"⚠ "&amp;V384&amp;" días en Submitted (máx. "&amp;CFG_MAXD&amp;")",""),"Falta fecha de envío"),IF(BF384="Returned","⚠ Devuelto: corregir y reenviar",IF(BF384="Recall Requested","Retirada solicitada: pendiente",IF(AND(BF384="Approved",NOT(ISNUMBER(T384))),"Falta fecha de aprobación",IF(AND(ISNUMBER(S384),ISNUMBER(T384),T384&lt;S384),"Aprobación anterior al envío","")))))))))</f>
        <v/>
      </c>
      <c r="Y384" s="80">
        <f>IF(COUNTA(B384,D384,E384,F384,G384,H384,I384,J384,R384,S384,T384)&gt;0,1,0)</f>
        <v>0</v>
      </c>
      <c r="Z384" s="80" t="str">
        <f>IF(AND(ISNUMBER(H384),H384&gt;=0,H384&lt;1),ROUND(H384*1440,0),"")</f>
        <v/>
      </c>
      <c r="AA384" s="80" t="str">
        <f>IF(AND(ISNUMBER(I384),I384&gt;=0,I384&lt;1),ROUND(I384*1440,0),"")</f>
        <v/>
      </c>
      <c r="AB384" s="80">
        <f>IF(AND(ISNUMBER(B384),D384&lt;&gt;"",ISNUMBER(Z384),ISNUMBER(AA384)),IF(Z384=AA384,0,1),0)</f>
        <v>0</v>
      </c>
      <c r="AC384" s="80">
        <f>IF(AB384=1,IF(AA384&lt;Z384,1,0),0)</f>
        <v>0</v>
      </c>
      <c r="AD384" s="80">
        <f>IF(AB384=1,IF(AC384=1,1440-Z384+AA384,AA384-Z384),0)</f>
        <v>0</v>
      </c>
      <c r="AE384" s="80">
        <f>IF(J384="",0,IF(ISNUMBER(J384),J384,-1))</f>
        <v>0</v>
      </c>
      <c r="AF384" s="80">
        <f>MIN(MAX(0,AE384),AD384)</f>
        <v>0</v>
      </c>
      <c r="AG384" s="80">
        <f>MAX(0,AD384-MAX(0,AE384))</f>
        <v>0</v>
      </c>
      <c r="AH384" s="80">
        <f>IF(ISNUMBER(B384),IF(AND(INDEX(CFG_WDAYS,WEEKDAY(INT(B384),2))="Sí",IF(D384="proMX",COUNTIFS(FER_F,INT(B384),FER_NLP,"Sí"),COUNTIFS(FER_F,INT(B384),FER_NLM,"Sí"))=0),1,0),0)</f>
        <v>0</v>
      </c>
      <c r="AI384" s="80">
        <f>IF(AC384=1,IF(AND(INDEX(CFG_WDAYS,WEEKDAY(INT(B384)+1,2))="Sí",IF(D384="proMX",COUNTIFS(FER_F,INT(B384)+1,FER_NLP,"Sí"),COUNTIFS(FER_F,INT(B384)+1,FER_NLM,"Sí"))=0),1,0),0)</f>
        <v>0</v>
      </c>
      <c r="AJ384" s="80">
        <f>IF(AC384=1,1440-Z384,AD384)</f>
        <v>0</v>
      </c>
      <c r="AK384" s="80">
        <f>IF(AND(AB384=1,AH384=1),MAX(0,MIN(IF(AC384=1,1440,AA384),CFG_WEM)-MAX(Z384,CFG_WSM)),0)</f>
        <v>0</v>
      </c>
      <c r="AL384" s="80">
        <f>IF(AND(AC384=1,AI384=1),MAX(0,MIN(AA384,CFG_WEM)-CFG_WSM),0)</f>
        <v>0</v>
      </c>
      <c r="AM384" s="80">
        <f>AK384+AL384</f>
        <v>0</v>
      </c>
      <c r="AN384" s="80">
        <f>IF(CFG_BRK="Proporcional",IF(AD384=0,0,AF384*AM384/AD384),IF(CFG_BRK="Extras primero",MIN(AM384,MAX(0,AF384-(AD384-AM384))),MIN(AF384,AM384)))</f>
        <v>0</v>
      </c>
      <c r="AO384" s="80">
        <f>AF384-AN384</f>
        <v>0</v>
      </c>
      <c r="AP384" s="80">
        <f>AM384-AN384</f>
        <v>0</v>
      </c>
      <c r="AQ384" s="80">
        <f>AD384-AM384-AO384</f>
        <v>0</v>
      </c>
      <c r="AR384" s="80">
        <f>IF(AM384=0,0,AK384-AN384*AK384/AM384)</f>
        <v>0</v>
      </c>
      <c r="AS384" s="80">
        <f>IF(AD384-AM384=0,0,(AJ384-AK384)-AO384*(AJ384-AK384)/(AD384-AM384))</f>
        <v>0</v>
      </c>
      <c r="AT384" s="80" t="str">
        <f>IF(AC384=1,INT(B384)+1,"")</f>
        <v/>
      </c>
      <c r="AU384" s="80">
        <f>IF(AND(D384="proMX",R384="Cancelled"),0,1)</f>
        <v>1</v>
      </c>
      <c r="AV384" s="80">
        <f>IF(AND(AB384=1,AU384=1),IF(COUNTIFS($D$5:D383,D384,$B$5:B383,B384,$Z$5:Z383,Z384,$AA$5:AA383,AA384,$F$5:F383,F384&amp;"",$AU$5:AU383,1)&gt;0,1,0),0)</f>
        <v>0</v>
      </c>
      <c r="AW384" s="80" t="str">
        <f>IF(AB384=1,INT(B384)*1440+Z384,"")</f>
        <v/>
      </c>
      <c r="AX384" s="80" t="str">
        <f>IF(AB384=1,AW384+AD384,"")</f>
        <v/>
      </c>
      <c r="AY384" s="80">
        <f>IF(AND(AB384=1,AV384=0,AU384=1),1,0)</f>
        <v>0</v>
      </c>
      <c r="AZ384" s="80">
        <f>IF(AY384=1,COUNTIFS(R_Emp,D384,R_SAbs,"&lt;"&amp;AX384,R_EAbs,"&gt;"&amp;AW384,R_OKey,1)-1,0)</f>
        <v>0</v>
      </c>
      <c r="BA384" s="80">
        <f>IF(AY384=1,COUNTIFS(R_Emp,"&lt;&gt;"&amp;D384,R_SAbs,"&lt;"&amp;AX384,R_EAbs,"&gt;"&amp;AW384,R_OKey,1),0)</f>
        <v>0</v>
      </c>
      <c r="BB384" s="80">
        <f>IF(AND(AB384=1,D384="proMX"),IF(AND(MOD(Z384,CFG_BLK)=0,MOD(AA384,CFG_BLK)=0,MOD(AG384,CFG_BLK)=0,AG384&gt;0),1,0),1)</f>
        <v>1</v>
      </c>
      <c r="BC384" s="80" t="str">
        <f>IF(Y384=0,"",IF(NOT(ISNUMBER(B384)),"Falta fecha o fecha inválida",IF(D384="","Falta empresa",IF(AND(D384&lt;&gt;"Malcolm",D384&lt;&gt;"proMX"),"Empresa inválida",IF(OR(INT(B384)&lt;CFG_PSTART,INT(B384)&gt;CFG_PEND),"Fecha fuera del período",IF(OR(NOT(ISNUMBER(Z384)),NOT(ISNUMBER(AA384))),"Falta hora inicio/fin o formato inválido",IF(AB384=0,"Hora inicio = hora fin",IF(AE384&lt;0,"Descanso inválido",IF(AE384&gt;=AD384,"Descanso ≥ duración",IF(AV384=1,"Registro duplicado",IF(AZ384&gt;0,"Se superpone con otro registro "&amp;D384,IF(BB384=0,"inicio, fin y duración neta deben ser múltiplos de "&amp;CFG_BLK&amp;" min",""))))))))))))</f>
        <v/>
      </c>
      <c r="BD384" s="80">
        <f>IF(AND(Y384=1,BC384=""),1,0)</f>
        <v>0</v>
      </c>
      <c r="BE384" s="80">
        <f>IF(AND(BD384=1,AU384=1),1,0)</f>
        <v>0</v>
      </c>
      <c r="BF384" s="80" t="str">
        <f>IF(AND(D384="proMX",BD384=1),IF(R384="","Draft",R384),"")</f>
        <v/>
      </c>
      <c r="BG384" s="80">
        <f>IF(BD384=1,ROUND(AG384/60,6),0)</f>
        <v>0</v>
      </c>
      <c r="BH384" s="80">
        <f>IF(BE384=1,ROUND(AG384/60,6),0)</f>
        <v>0</v>
      </c>
      <c r="BI384" s="80">
        <f>IF(BE384=1,ROUND(AP384/60,6),0)</f>
        <v>0</v>
      </c>
      <c r="BJ384" s="80">
        <f>IF(BE384=1,ROUND(AQ384/60,6),0)</f>
        <v>0</v>
      </c>
      <c r="BK384" s="80">
        <f>IF(BE384=1,ROUND((AR384+AS384)/60,6),0)</f>
        <v>0</v>
      </c>
      <c r="BL384" s="80">
        <f>ROUND(BH384-BK384,6)</f>
        <v>0</v>
      </c>
      <c r="BM384" s="80">
        <f>IF(BE384=1,ROUND(AR384/60,6),0)</f>
        <v>0</v>
      </c>
      <c r="BN384" s="80">
        <f>ROUND(BI384-BM384,6)</f>
        <v>0</v>
      </c>
      <c r="BO384" s="80">
        <f>IF(BE384=1,ROUND(AS384/60,6),0)</f>
        <v>0</v>
      </c>
      <c r="BP384" s="80">
        <f>ROUND(BJ384-BO384,6)</f>
        <v>0</v>
      </c>
      <c r="BQ384" s="80">
        <f>IF(BE384=1,AW384,0)</f>
        <v>0</v>
      </c>
      <c r="BR384" s="80">
        <f>IF(BE384=1,AX384,0)</f>
        <v>0</v>
      </c>
      <c r="BS384" s="80">
        <f>IF(AND(BE384=1,D384="Malcolm",BA384&gt;0),MIN(BH384,SUMPRODUCT((R_Emp="proMX")*(R_EN&gt;0)*((R_EN-(R_EN&gt;BR384)*(R_EN-BR384))&gt;(R_SN+(R_SN&lt;BQ384)*(BQ384-R_SN)))*((R_EN-(R_EN&gt;BR384)*(R_EN-BR384))-(R_SN+(R_SN&lt;BQ384)*(BQ384-R_SN))))/60),0)</f>
        <v>0</v>
      </c>
      <c r="BT384" s="80">
        <f>IF(AND(BE384=1,D384="proMX"),ROUND(BI384*CFG_RATE+BJ384*CFG_OTRATE,6),0)</f>
        <v>0</v>
      </c>
      <c r="BU384" s="80">
        <f>IF(AND(BD384=1,D384="proMX"),ROUND(AG384/CFG_BLK,6),0)</f>
        <v>0</v>
      </c>
      <c r="BV384" s="80" t="str">
        <f>IF(BF384="Approved",IF(ISNUMBER(T384),INT(T384),INT(B384)),"")</f>
        <v/>
      </c>
      <c r="BW384" s="80">
        <f>IF(ISNUMBER(B384),IF(DB_MON="Todos",1,IF(AND(INT(B384)&gt;=DB_MS,INT(B384)&lt;=DB_ME),1,0)),0)</f>
        <v>0</v>
      </c>
      <c r="BX384" s="80">
        <f>IF(DB_PROJ="Todos",1,IF(E384&amp;""=DB_PROJ&amp;"",1,0))</f>
        <v>1</v>
      </c>
      <c r="BY384" s="80">
        <f>BW384*BX384</f>
        <v>0</v>
      </c>
      <c r="BZ384" s="80" t="str">
        <f>IF(Y384=1,F384&amp;IF(AND(F384&amp;""&lt;&gt;"",E384&amp;""&lt;&gt;"")," · ","")&amp;E384,"")</f>
        <v/>
      </c>
      <c r="CA384" s="80" t="str">
        <f>IF(AND(BD384=1,E384&amp;""&lt;&gt;""),IF(COUNTIFS($E$5:E383,E384,$BD$5:BD383,1)=0,MAX($CA$5:CA383)+1,""),"")</f>
        <v/>
      </c>
      <c r="CB384" s="80" t="str">
        <f>IF(AND(BE384=1,D384="Malcolm",E384&amp;""&lt;&gt;""),IF(COUNTIFS($D$5:D383,"Malcolm",$E$5:E383,E384,$BE$5:BE383,1)=0,MAX($CB$5:CB383)+1,""),"")</f>
        <v/>
      </c>
      <c r="CC384" s="80" t="str">
        <f>IF(AND(BD384=1,D384="proMX",E384&amp;""&lt;&gt;""),IF(COUNTIFS($D$5:D383,"proMX",$E$5:E383,E384,$BD$5:BD383,1)=0,MAX($CC$5:CC383)+1,""),"")</f>
        <v/>
      </c>
      <c r="CD384" s="80" t="str">
        <f>IF(AND(BE384=1,D384="Malcolm",F384&amp;""&lt;&gt;""),IF(COUNTIFS($D$5:D383,"Malcolm",$F$5:F383,F384,$BE$5:BE383,1)=0,MAX($CD$5:CD383)+1,""),"")</f>
        <v/>
      </c>
      <c r="CE384" s="80" t="str">
        <f>IF(AND(BD384=1,D384="proMX",F384&amp;""&lt;&gt;""),IF(COUNTIFS($D$5:D383,"proMX",$F$5:F383,F384,$BD$5:BD383,1)=0,MAX($CE$5:CE383)+1,""),"")</f>
        <v/>
      </c>
      <c r="CF384" s="80" t="str">
        <f>IF(AND(D384="proMX",BD384=1),IF(OR(BF384="Draft",BF384="Submitted",BF384="Returned",BF384="Recall Requested"),MAX($CF$5:CF383)+1,""),"")</f>
        <v/>
      </c>
      <c r="CG384" s="80">
        <f>IF(BD384=0,0,IF(D384="Malcolm",1,MATCH(BF384,{"Draft","Submitted","Approved","Returned","Recall Requested","Cancelled"},0)+1))</f>
        <v>0</v>
      </c>
      <c r="CH384" s="80">
        <f>IF(AND(BF384="Submitted",ISNUMBER(V384)),IF(V384&gt;CFG_MAXD,1,0),0)</f>
        <v>0</v>
      </c>
    </row>
    <row r="385">
      <c r="A385" s="71" t="str">
        <f>IF(Y385=1,ROW()-5,"")</f>
        <v/>
      </c>
      <c r="B385" s="72" t="n"/>
      <c r="C385" s="71" t="str">
        <f>IF(ISNUMBER(B385),CHOOSE(WEEKDAY(B385,2),"Lun","Mar","Mié","Jue","Vie","Sáb","Dom"),"")</f>
        <v/>
      </c>
      <c r="D385" s="73" t="n"/>
      <c r="E385" s="74" t="n"/>
      <c r="F385" s="74" t="n"/>
      <c r="G385" s="74" t="n"/>
      <c r="H385" s="75" t="n"/>
      <c r="I385" s="75" t="n"/>
      <c r="J385" s="76" t="n"/>
      <c r="K385" s="77" t="str">
        <f>IF(AB385=1,ROUND(AG385/60,4),"")</f>
        <v/>
      </c>
      <c r="L385" s="77" t="str">
        <f>IF(BD385=1,ROUND(AP385/60,4),"")</f>
        <v/>
      </c>
      <c r="M385" s="77" t="str">
        <f>IF(BD385=1,ROUND(AQ385/60,4),"")</f>
        <v/>
      </c>
      <c r="N385" s="71" t="str">
        <f>IF(AND(D385="proMX",AB385=1),ROUND(AG385/CFG_BLK,2),"")</f>
        <v/>
      </c>
      <c r="O385" s="77" t="str">
        <f>IF(D385="proMX",IF(BD385=1,ROUND(AG385/60,4),0),"")</f>
        <v/>
      </c>
      <c r="P385" s="78" t="str">
        <f>IF(Y385=0,"",IF(BD385=1,"OK",IF(D385="proMX","Revisar bloques: ","Revisar: ")&amp;BC385))</f>
        <v/>
      </c>
      <c r="Q385" s="78" t="str">
        <f>IF(NOT(ISNUMBER(B385)),"",IF(COUNTIFS(FER_F,INT(B385))&gt;0,"Feriado"&amp;IF(AH385=1," (laborable)"," (no laborable)"),IF(AH385=1,"Laborable",IF(WEEKDAY(B385,2)&gt;5,"Fin de semana","No laborable"))))</f>
        <v/>
      </c>
      <c r="R385" s="73" t="n"/>
      <c r="S385" s="72" t="n"/>
      <c r="T385" s="72" t="n"/>
      <c r="U385" s="74" t="n"/>
      <c r="V385" s="79" t="str">
        <f>IF(AND(D385="proMX",OR(R385="Submitted",R385="Recall Requested"),ISNUMBER(S385)),CFG_TODAY-INT(S385),"")</f>
        <v/>
      </c>
      <c r="W385" s="78" t="str">
        <f>IF(BD385=0,"",IF(BA385&gt;0,"⚠ Se superpone con un registro de la otra empresa",IF(D385="Malcolm",IF(COUNTA(R385,S385,T385)&gt;0,"Estado/fechas proMX se ignoran en Malcolm",""),IF(BF385="Cancelled","Cancelado: excluido de totales",IF(R385="","Sin estado: se trata como Draft",IF(BF385="Submitted",IF(ISNUMBER(V385),IF(V385&gt;CFG_MAXD,"⚠ "&amp;V385&amp;" días en Submitted (máx. "&amp;CFG_MAXD&amp;")",""),"Falta fecha de envío"),IF(BF385="Returned","⚠ Devuelto: corregir y reenviar",IF(BF385="Recall Requested","Retirada solicitada: pendiente",IF(AND(BF385="Approved",NOT(ISNUMBER(T385))),"Falta fecha de aprobación",IF(AND(ISNUMBER(S385),ISNUMBER(T385),T385&lt;S385),"Aprobación anterior al envío","")))))))))</f>
        <v/>
      </c>
      <c r="Y385" s="80">
        <f>IF(COUNTA(B385,D385,E385,F385,G385,H385,I385,J385,R385,S385,T385)&gt;0,1,0)</f>
        <v>0</v>
      </c>
      <c r="Z385" s="80" t="str">
        <f>IF(AND(ISNUMBER(H385),H385&gt;=0,H385&lt;1),ROUND(H385*1440,0),"")</f>
        <v/>
      </c>
      <c r="AA385" s="80" t="str">
        <f>IF(AND(ISNUMBER(I385),I385&gt;=0,I385&lt;1),ROUND(I385*1440,0),"")</f>
        <v/>
      </c>
      <c r="AB385" s="80">
        <f>IF(AND(ISNUMBER(B385),D385&lt;&gt;"",ISNUMBER(Z385),ISNUMBER(AA385)),IF(Z385=AA385,0,1),0)</f>
        <v>0</v>
      </c>
      <c r="AC385" s="80">
        <f>IF(AB385=1,IF(AA385&lt;Z385,1,0),0)</f>
        <v>0</v>
      </c>
      <c r="AD385" s="80">
        <f>IF(AB385=1,IF(AC385=1,1440-Z385+AA385,AA385-Z385),0)</f>
        <v>0</v>
      </c>
      <c r="AE385" s="80">
        <f>IF(J385="",0,IF(ISNUMBER(J385),J385,-1))</f>
        <v>0</v>
      </c>
      <c r="AF385" s="80">
        <f>MIN(MAX(0,AE385),AD385)</f>
        <v>0</v>
      </c>
      <c r="AG385" s="80">
        <f>MAX(0,AD385-MAX(0,AE385))</f>
        <v>0</v>
      </c>
      <c r="AH385" s="80">
        <f>IF(ISNUMBER(B385),IF(AND(INDEX(CFG_WDAYS,WEEKDAY(INT(B385),2))="Sí",IF(D385="proMX",COUNTIFS(FER_F,INT(B385),FER_NLP,"Sí"),COUNTIFS(FER_F,INT(B385),FER_NLM,"Sí"))=0),1,0),0)</f>
        <v>0</v>
      </c>
      <c r="AI385" s="80">
        <f>IF(AC385=1,IF(AND(INDEX(CFG_WDAYS,WEEKDAY(INT(B385)+1,2))="Sí",IF(D385="proMX",COUNTIFS(FER_F,INT(B385)+1,FER_NLP,"Sí"),COUNTIFS(FER_F,INT(B385)+1,FER_NLM,"Sí"))=0),1,0),0)</f>
        <v>0</v>
      </c>
      <c r="AJ385" s="80">
        <f>IF(AC385=1,1440-Z385,AD385)</f>
        <v>0</v>
      </c>
      <c r="AK385" s="80">
        <f>IF(AND(AB385=1,AH385=1),MAX(0,MIN(IF(AC385=1,1440,AA385),CFG_WEM)-MAX(Z385,CFG_WSM)),0)</f>
        <v>0</v>
      </c>
      <c r="AL385" s="80">
        <f>IF(AND(AC385=1,AI385=1),MAX(0,MIN(AA385,CFG_WEM)-CFG_WSM),0)</f>
        <v>0</v>
      </c>
      <c r="AM385" s="80">
        <f>AK385+AL385</f>
        <v>0</v>
      </c>
      <c r="AN385" s="80">
        <f>IF(CFG_BRK="Proporcional",IF(AD385=0,0,AF385*AM385/AD385),IF(CFG_BRK="Extras primero",MIN(AM385,MAX(0,AF385-(AD385-AM385))),MIN(AF385,AM385)))</f>
        <v>0</v>
      </c>
      <c r="AO385" s="80">
        <f>AF385-AN385</f>
        <v>0</v>
      </c>
      <c r="AP385" s="80">
        <f>AM385-AN385</f>
        <v>0</v>
      </c>
      <c r="AQ385" s="80">
        <f>AD385-AM385-AO385</f>
        <v>0</v>
      </c>
      <c r="AR385" s="80">
        <f>IF(AM385=0,0,AK385-AN385*AK385/AM385)</f>
        <v>0</v>
      </c>
      <c r="AS385" s="80">
        <f>IF(AD385-AM385=0,0,(AJ385-AK385)-AO385*(AJ385-AK385)/(AD385-AM385))</f>
        <v>0</v>
      </c>
      <c r="AT385" s="80" t="str">
        <f>IF(AC385=1,INT(B385)+1,"")</f>
        <v/>
      </c>
      <c r="AU385" s="80">
        <f>IF(AND(D385="proMX",R385="Cancelled"),0,1)</f>
        <v>1</v>
      </c>
      <c r="AV385" s="80">
        <f>IF(AND(AB385=1,AU385=1),IF(COUNTIFS($D$5:D384,D385,$B$5:B384,B385,$Z$5:Z384,Z385,$AA$5:AA384,AA385,$F$5:F384,F385&amp;"",$AU$5:AU384,1)&gt;0,1,0),0)</f>
        <v>0</v>
      </c>
      <c r="AW385" s="80" t="str">
        <f>IF(AB385=1,INT(B385)*1440+Z385,"")</f>
        <v/>
      </c>
      <c r="AX385" s="80" t="str">
        <f>IF(AB385=1,AW385+AD385,"")</f>
        <v/>
      </c>
      <c r="AY385" s="80">
        <f>IF(AND(AB385=1,AV385=0,AU385=1),1,0)</f>
        <v>0</v>
      </c>
      <c r="AZ385" s="80">
        <f>IF(AY385=1,COUNTIFS(R_Emp,D385,R_SAbs,"&lt;"&amp;AX385,R_EAbs,"&gt;"&amp;AW385,R_OKey,1)-1,0)</f>
        <v>0</v>
      </c>
      <c r="BA385" s="80">
        <f>IF(AY385=1,COUNTIFS(R_Emp,"&lt;&gt;"&amp;D385,R_SAbs,"&lt;"&amp;AX385,R_EAbs,"&gt;"&amp;AW385,R_OKey,1),0)</f>
        <v>0</v>
      </c>
      <c r="BB385" s="80">
        <f>IF(AND(AB385=1,D385="proMX"),IF(AND(MOD(Z385,CFG_BLK)=0,MOD(AA385,CFG_BLK)=0,MOD(AG385,CFG_BLK)=0,AG385&gt;0),1,0),1)</f>
        <v>1</v>
      </c>
      <c r="BC385" s="80" t="str">
        <f>IF(Y385=0,"",IF(NOT(ISNUMBER(B385)),"Falta fecha o fecha inválida",IF(D385="","Falta empresa",IF(AND(D385&lt;&gt;"Malcolm",D385&lt;&gt;"proMX"),"Empresa inválida",IF(OR(INT(B385)&lt;CFG_PSTART,INT(B385)&gt;CFG_PEND),"Fecha fuera del período",IF(OR(NOT(ISNUMBER(Z385)),NOT(ISNUMBER(AA385))),"Falta hora inicio/fin o formato inválido",IF(AB385=0,"Hora inicio = hora fin",IF(AE385&lt;0,"Descanso inválido",IF(AE385&gt;=AD385,"Descanso ≥ duración",IF(AV385=1,"Registro duplicado",IF(AZ385&gt;0,"Se superpone con otro registro "&amp;D385,IF(BB385=0,"inicio, fin y duración neta deben ser múltiplos de "&amp;CFG_BLK&amp;" min",""))))))))))))</f>
        <v/>
      </c>
      <c r="BD385" s="80">
        <f>IF(AND(Y385=1,BC385=""),1,0)</f>
        <v>0</v>
      </c>
      <c r="BE385" s="80">
        <f>IF(AND(BD385=1,AU385=1),1,0)</f>
        <v>0</v>
      </c>
      <c r="BF385" s="80" t="str">
        <f>IF(AND(D385="proMX",BD385=1),IF(R385="","Draft",R385),"")</f>
        <v/>
      </c>
      <c r="BG385" s="80">
        <f>IF(BD385=1,ROUND(AG385/60,6),0)</f>
        <v>0</v>
      </c>
      <c r="BH385" s="80">
        <f>IF(BE385=1,ROUND(AG385/60,6),0)</f>
        <v>0</v>
      </c>
      <c r="BI385" s="80">
        <f>IF(BE385=1,ROUND(AP385/60,6),0)</f>
        <v>0</v>
      </c>
      <c r="BJ385" s="80">
        <f>IF(BE385=1,ROUND(AQ385/60,6),0)</f>
        <v>0</v>
      </c>
      <c r="BK385" s="80">
        <f>IF(BE385=1,ROUND((AR385+AS385)/60,6),0)</f>
        <v>0</v>
      </c>
      <c r="BL385" s="80">
        <f>ROUND(BH385-BK385,6)</f>
        <v>0</v>
      </c>
      <c r="BM385" s="80">
        <f>IF(BE385=1,ROUND(AR385/60,6),0)</f>
        <v>0</v>
      </c>
      <c r="BN385" s="80">
        <f>ROUND(BI385-BM385,6)</f>
        <v>0</v>
      </c>
      <c r="BO385" s="80">
        <f>IF(BE385=1,ROUND(AS385/60,6),0)</f>
        <v>0</v>
      </c>
      <c r="BP385" s="80">
        <f>ROUND(BJ385-BO385,6)</f>
        <v>0</v>
      </c>
      <c r="BQ385" s="80">
        <f>IF(BE385=1,AW385,0)</f>
        <v>0</v>
      </c>
      <c r="BR385" s="80">
        <f>IF(BE385=1,AX385,0)</f>
        <v>0</v>
      </c>
      <c r="BS385" s="80">
        <f>IF(AND(BE385=1,D385="Malcolm",BA385&gt;0),MIN(BH385,SUMPRODUCT((R_Emp="proMX")*(R_EN&gt;0)*((R_EN-(R_EN&gt;BR385)*(R_EN-BR385))&gt;(R_SN+(R_SN&lt;BQ385)*(BQ385-R_SN)))*((R_EN-(R_EN&gt;BR385)*(R_EN-BR385))-(R_SN+(R_SN&lt;BQ385)*(BQ385-R_SN))))/60),0)</f>
        <v>0</v>
      </c>
      <c r="BT385" s="80">
        <f>IF(AND(BE385=1,D385="proMX"),ROUND(BI385*CFG_RATE+BJ385*CFG_OTRATE,6),0)</f>
        <v>0</v>
      </c>
      <c r="BU385" s="80">
        <f>IF(AND(BD385=1,D385="proMX"),ROUND(AG385/CFG_BLK,6),0)</f>
        <v>0</v>
      </c>
      <c r="BV385" s="80" t="str">
        <f>IF(BF385="Approved",IF(ISNUMBER(T385),INT(T385),INT(B385)),"")</f>
        <v/>
      </c>
      <c r="BW385" s="80">
        <f>IF(ISNUMBER(B385),IF(DB_MON="Todos",1,IF(AND(INT(B385)&gt;=DB_MS,INT(B385)&lt;=DB_ME),1,0)),0)</f>
        <v>0</v>
      </c>
      <c r="BX385" s="80">
        <f>IF(DB_PROJ="Todos",1,IF(E385&amp;""=DB_PROJ&amp;"",1,0))</f>
        <v>1</v>
      </c>
      <c r="BY385" s="80">
        <f>BW385*BX385</f>
        <v>0</v>
      </c>
      <c r="BZ385" s="80" t="str">
        <f>IF(Y385=1,F385&amp;IF(AND(F385&amp;""&lt;&gt;"",E385&amp;""&lt;&gt;"")," · ","")&amp;E385,"")</f>
        <v/>
      </c>
      <c r="CA385" s="80" t="str">
        <f>IF(AND(BD385=1,E385&amp;""&lt;&gt;""),IF(COUNTIFS($E$5:E384,E385,$BD$5:BD384,1)=0,MAX($CA$5:CA384)+1,""),"")</f>
        <v/>
      </c>
      <c r="CB385" s="80" t="str">
        <f>IF(AND(BE385=1,D385="Malcolm",E385&amp;""&lt;&gt;""),IF(COUNTIFS($D$5:D384,"Malcolm",$E$5:E384,E385,$BE$5:BE384,1)=0,MAX($CB$5:CB384)+1,""),"")</f>
        <v/>
      </c>
      <c r="CC385" s="80" t="str">
        <f>IF(AND(BD385=1,D385="proMX",E385&amp;""&lt;&gt;""),IF(COUNTIFS($D$5:D384,"proMX",$E$5:E384,E385,$BD$5:BD384,1)=0,MAX($CC$5:CC384)+1,""),"")</f>
        <v/>
      </c>
      <c r="CD385" s="80" t="str">
        <f>IF(AND(BE385=1,D385="Malcolm",F385&amp;""&lt;&gt;""),IF(COUNTIFS($D$5:D384,"Malcolm",$F$5:F384,F385,$BE$5:BE384,1)=0,MAX($CD$5:CD384)+1,""),"")</f>
        <v/>
      </c>
      <c r="CE385" s="80" t="str">
        <f>IF(AND(BD385=1,D385="proMX",F385&amp;""&lt;&gt;""),IF(COUNTIFS($D$5:D384,"proMX",$F$5:F384,F385,$BD$5:BD384,1)=0,MAX($CE$5:CE384)+1,""),"")</f>
        <v/>
      </c>
      <c r="CF385" s="80" t="str">
        <f>IF(AND(D385="proMX",BD385=1),IF(OR(BF385="Draft",BF385="Submitted",BF385="Returned",BF385="Recall Requested"),MAX($CF$5:CF384)+1,""),"")</f>
        <v/>
      </c>
      <c r="CG385" s="80">
        <f>IF(BD385=0,0,IF(D385="Malcolm",1,MATCH(BF385,{"Draft","Submitted","Approved","Returned","Recall Requested","Cancelled"},0)+1))</f>
        <v>0</v>
      </c>
      <c r="CH385" s="80">
        <f>IF(AND(BF385="Submitted",ISNUMBER(V385)),IF(V385&gt;CFG_MAXD,1,0),0)</f>
        <v>0</v>
      </c>
    </row>
    <row r="386">
      <c r="A386" s="71" t="str">
        <f>IF(Y386=1,ROW()-5,"")</f>
        <v/>
      </c>
      <c r="B386" s="72" t="n"/>
      <c r="C386" s="71" t="str">
        <f>IF(ISNUMBER(B386),CHOOSE(WEEKDAY(B386,2),"Lun","Mar","Mié","Jue","Vie","Sáb","Dom"),"")</f>
        <v/>
      </c>
      <c r="D386" s="73" t="n"/>
      <c r="E386" s="74" t="n"/>
      <c r="F386" s="74" t="n"/>
      <c r="G386" s="74" t="n"/>
      <c r="H386" s="75" t="n"/>
      <c r="I386" s="75" t="n"/>
      <c r="J386" s="76" t="n"/>
      <c r="K386" s="77" t="str">
        <f>IF(AB386=1,ROUND(AG386/60,4),"")</f>
        <v/>
      </c>
      <c r="L386" s="77" t="str">
        <f>IF(BD386=1,ROUND(AP386/60,4),"")</f>
        <v/>
      </c>
      <c r="M386" s="77" t="str">
        <f>IF(BD386=1,ROUND(AQ386/60,4),"")</f>
        <v/>
      </c>
      <c r="N386" s="71" t="str">
        <f>IF(AND(D386="proMX",AB386=1),ROUND(AG386/CFG_BLK,2),"")</f>
        <v/>
      </c>
      <c r="O386" s="77" t="str">
        <f>IF(D386="proMX",IF(BD386=1,ROUND(AG386/60,4),0),"")</f>
        <v/>
      </c>
      <c r="P386" s="78" t="str">
        <f>IF(Y386=0,"",IF(BD386=1,"OK",IF(D386="proMX","Revisar bloques: ","Revisar: ")&amp;BC386))</f>
        <v/>
      </c>
      <c r="Q386" s="78" t="str">
        <f>IF(NOT(ISNUMBER(B386)),"",IF(COUNTIFS(FER_F,INT(B386))&gt;0,"Feriado"&amp;IF(AH386=1," (laborable)"," (no laborable)"),IF(AH386=1,"Laborable",IF(WEEKDAY(B386,2)&gt;5,"Fin de semana","No laborable"))))</f>
        <v/>
      </c>
      <c r="R386" s="73" t="n"/>
      <c r="S386" s="72" t="n"/>
      <c r="T386" s="72" t="n"/>
      <c r="U386" s="74" t="n"/>
      <c r="V386" s="79" t="str">
        <f>IF(AND(D386="proMX",OR(R386="Submitted",R386="Recall Requested"),ISNUMBER(S386)),CFG_TODAY-INT(S386),"")</f>
        <v/>
      </c>
      <c r="W386" s="78" t="str">
        <f>IF(BD386=0,"",IF(BA386&gt;0,"⚠ Se superpone con un registro de la otra empresa",IF(D386="Malcolm",IF(COUNTA(R386,S386,T386)&gt;0,"Estado/fechas proMX se ignoran en Malcolm",""),IF(BF386="Cancelled","Cancelado: excluido de totales",IF(R386="","Sin estado: se trata como Draft",IF(BF386="Submitted",IF(ISNUMBER(V386),IF(V386&gt;CFG_MAXD,"⚠ "&amp;V386&amp;" días en Submitted (máx. "&amp;CFG_MAXD&amp;")",""),"Falta fecha de envío"),IF(BF386="Returned","⚠ Devuelto: corregir y reenviar",IF(BF386="Recall Requested","Retirada solicitada: pendiente",IF(AND(BF386="Approved",NOT(ISNUMBER(T386))),"Falta fecha de aprobación",IF(AND(ISNUMBER(S386),ISNUMBER(T386),T386&lt;S386),"Aprobación anterior al envío","")))))))))</f>
        <v/>
      </c>
      <c r="Y386" s="80">
        <f>IF(COUNTA(B386,D386,E386,F386,G386,H386,I386,J386,R386,S386,T386)&gt;0,1,0)</f>
        <v>0</v>
      </c>
      <c r="Z386" s="80" t="str">
        <f>IF(AND(ISNUMBER(H386),H386&gt;=0,H386&lt;1),ROUND(H386*1440,0),"")</f>
        <v/>
      </c>
      <c r="AA386" s="80" t="str">
        <f>IF(AND(ISNUMBER(I386),I386&gt;=0,I386&lt;1),ROUND(I386*1440,0),"")</f>
        <v/>
      </c>
      <c r="AB386" s="80">
        <f>IF(AND(ISNUMBER(B386),D386&lt;&gt;"",ISNUMBER(Z386),ISNUMBER(AA386)),IF(Z386=AA386,0,1),0)</f>
        <v>0</v>
      </c>
      <c r="AC386" s="80">
        <f>IF(AB386=1,IF(AA386&lt;Z386,1,0),0)</f>
        <v>0</v>
      </c>
      <c r="AD386" s="80">
        <f>IF(AB386=1,IF(AC386=1,1440-Z386+AA386,AA386-Z386),0)</f>
        <v>0</v>
      </c>
      <c r="AE386" s="80">
        <f>IF(J386="",0,IF(ISNUMBER(J386),J386,-1))</f>
        <v>0</v>
      </c>
      <c r="AF386" s="80">
        <f>MIN(MAX(0,AE386),AD386)</f>
        <v>0</v>
      </c>
      <c r="AG386" s="80">
        <f>MAX(0,AD386-MAX(0,AE386))</f>
        <v>0</v>
      </c>
      <c r="AH386" s="80">
        <f>IF(ISNUMBER(B386),IF(AND(INDEX(CFG_WDAYS,WEEKDAY(INT(B386),2))="Sí",IF(D386="proMX",COUNTIFS(FER_F,INT(B386),FER_NLP,"Sí"),COUNTIFS(FER_F,INT(B386),FER_NLM,"Sí"))=0),1,0),0)</f>
        <v>0</v>
      </c>
      <c r="AI386" s="80">
        <f>IF(AC386=1,IF(AND(INDEX(CFG_WDAYS,WEEKDAY(INT(B386)+1,2))="Sí",IF(D386="proMX",COUNTIFS(FER_F,INT(B386)+1,FER_NLP,"Sí"),COUNTIFS(FER_F,INT(B386)+1,FER_NLM,"Sí"))=0),1,0),0)</f>
        <v>0</v>
      </c>
      <c r="AJ386" s="80">
        <f>IF(AC386=1,1440-Z386,AD386)</f>
        <v>0</v>
      </c>
      <c r="AK386" s="80">
        <f>IF(AND(AB386=1,AH386=1),MAX(0,MIN(IF(AC386=1,1440,AA386),CFG_WEM)-MAX(Z386,CFG_WSM)),0)</f>
        <v>0</v>
      </c>
      <c r="AL386" s="80">
        <f>IF(AND(AC386=1,AI386=1),MAX(0,MIN(AA386,CFG_WEM)-CFG_WSM),0)</f>
        <v>0</v>
      </c>
      <c r="AM386" s="80">
        <f>AK386+AL386</f>
        <v>0</v>
      </c>
      <c r="AN386" s="80">
        <f>IF(CFG_BRK="Proporcional",IF(AD386=0,0,AF386*AM386/AD386),IF(CFG_BRK="Extras primero",MIN(AM386,MAX(0,AF386-(AD386-AM386))),MIN(AF386,AM386)))</f>
        <v>0</v>
      </c>
      <c r="AO386" s="80">
        <f>AF386-AN386</f>
        <v>0</v>
      </c>
      <c r="AP386" s="80">
        <f>AM386-AN386</f>
        <v>0</v>
      </c>
      <c r="AQ386" s="80">
        <f>AD386-AM386-AO386</f>
        <v>0</v>
      </c>
      <c r="AR386" s="80">
        <f>IF(AM386=0,0,AK386-AN386*AK386/AM386)</f>
        <v>0</v>
      </c>
      <c r="AS386" s="80">
        <f>IF(AD386-AM386=0,0,(AJ386-AK386)-AO386*(AJ386-AK386)/(AD386-AM386))</f>
        <v>0</v>
      </c>
      <c r="AT386" s="80" t="str">
        <f>IF(AC386=1,INT(B386)+1,"")</f>
        <v/>
      </c>
      <c r="AU386" s="80">
        <f>IF(AND(D386="proMX",R386="Cancelled"),0,1)</f>
        <v>1</v>
      </c>
      <c r="AV386" s="80">
        <f>IF(AND(AB386=1,AU386=1),IF(COUNTIFS($D$5:D385,D386,$B$5:B385,B386,$Z$5:Z385,Z386,$AA$5:AA385,AA386,$F$5:F385,F386&amp;"",$AU$5:AU385,1)&gt;0,1,0),0)</f>
        <v>0</v>
      </c>
      <c r="AW386" s="80" t="str">
        <f>IF(AB386=1,INT(B386)*1440+Z386,"")</f>
        <v/>
      </c>
      <c r="AX386" s="80" t="str">
        <f>IF(AB386=1,AW386+AD386,"")</f>
        <v/>
      </c>
      <c r="AY386" s="80">
        <f>IF(AND(AB386=1,AV386=0,AU386=1),1,0)</f>
        <v>0</v>
      </c>
      <c r="AZ386" s="80">
        <f>IF(AY386=1,COUNTIFS(R_Emp,D386,R_SAbs,"&lt;"&amp;AX386,R_EAbs,"&gt;"&amp;AW386,R_OKey,1)-1,0)</f>
        <v>0</v>
      </c>
      <c r="BA386" s="80">
        <f>IF(AY386=1,COUNTIFS(R_Emp,"&lt;&gt;"&amp;D386,R_SAbs,"&lt;"&amp;AX386,R_EAbs,"&gt;"&amp;AW386,R_OKey,1),0)</f>
        <v>0</v>
      </c>
      <c r="BB386" s="80">
        <f>IF(AND(AB386=1,D386="proMX"),IF(AND(MOD(Z386,CFG_BLK)=0,MOD(AA386,CFG_BLK)=0,MOD(AG386,CFG_BLK)=0,AG386&gt;0),1,0),1)</f>
        <v>1</v>
      </c>
      <c r="BC386" s="80" t="str">
        <f>IF(Y386=0,"",IF(NOT(ISNUMBER(B386)),"Falta fecha o fecha inválida",IF(D386="","Falta empresa",IF(AND(D386&lt;&gt;"Malcolm",D386&lt;&gt;"proMX"),"Empresa inválida",IF(OR(INT(B386)&lt;CFG_PSTART,INT(B386)&gt;CFG_PEND),"Fecha fuera del período",IF(OR(NOT(ISNUMBER(Z386)),NOT(ISNUMBER(AA386))),"Falta hora inicio/fin o formato inválido",IF(AB386=0,"Hora inicio = hora fin",IF(AE386&lt;0,"Descanso inválido",IF(AE386&gt;=AD386,"Descanso ≥ duración",IF(AV386=1,"Registro duplicado",IF(AZ386&gt;0,"Se superpone con otro registro "&amp;D386,IF(BB386=0,"inicio, fin y duración neta deben ser múltiplos de "&amp;CFG_BLK&amp;" min",""))))))))))))</f>
        <v/>
      </c>
      <c r="BD386" s="80">
        <f>IF(AND(Y386=1,BC386=""),1,0)</f>
        <v>0</v>
      </c>
      <c r="BE386" s="80">
        <f>IF(AND(BD386=1,AU386=1),1,0)</f>
        <v>0</v>
      </c>
      <c r="BF386" s="80" t="str">
        <f>IF(AND(D386="proMX",BD386=1),IF(R386="","Draft",R386),"")</f>
        <v/>
      </c>
      <c r="BG386" s="80">
        <f>IF(BD386=1,ROUND(AG386/60,6),0)</f>
        <v>0</v>
      </c>
      <c r="BH386" s="80">
        <f>IF(BE386=1,ROUND(AG386/60,6),0)</f>
        <v>0</v>
      </c>
      <c r="BI386" s="80">
        <f>IF(BE386=1,ROUND(AP386/60,6),0)</f>
        <v>0</v>
      </c>
      <c r="BJ386" s="80">
        <f>IF(BE386=1,ROUND(AQ386/60,6),0)</f>
        <v>0</v>
      </c>
      <c r="BK386" s="80">
        <f>IF(BE386=1,ROUND((AR386+AS386)/60,6),0)</f>
        <v>0</v>
      </c>
      <c r="BL386" s="80">
        <f>ROUND(BH386-BK386,6)</f>
        <v>0</v>
      </c>
      <c r="BM386" s="80">
        <f>IF(BE386=1,ROUND(AR386/60,6),0)</f>
        <v>0</v>
      </c>
      <c r="BN386" s="80">
        <f>ROUND(BI386-BM386,6)</f>
        <v>0</v>
      </c>
      <c r="BO386" s="80">
        <f>IF(BE386=1,ROUND(AS386/60,6),0)</f>
        <v>0</v>
      </c>
      <c r="BP386" s="80">
        <f>ROUND(BJ386-BO386,6)</f>
        <v>0</v>
      </c>
      <c r="BQ386" s="80">
        <f>IF(BE386=1,AW386,0)</f>
        <v>0</v>
      </c>
      <c r="BR386" s="80">
        <f>IF(BE386=1,AX386,0)</f>
        <v>0</v>
      </c>
      <c r="BS386" s="80">
        <f>IF(AND(BE386=1,D386="Malcolm",BA386&gt;0),MIN(BH386,SUMPRODUCT((R_Emp="proMX")*(R_EN&gt;0)*((R_EN-(R_EN&gt;BR386)*(R_EN-BR386))&gt;(R_SN+(R_SN&lt;BQ386)*(BQ386-R_SN)))*((R_EN-(R_EN&gt;BR386)*(R_EN-BR386))-(R_SN+(R_SN&lt;BQ386)*(BQ386-R_SN))))/60),0)</f>
        <v>0</v>
      </c>
      <c r="BT386" s="80">
        <f>IF(AND(BE386=1,D386="proMX"),ROUND(BI386*CFG_RATE+BJ386*CFG_OTRATE,6),0)</f>
        <v>0</v>
      </c>
      <c r="BU386" s="80">
        <f>IF(AND(BD386=1,D386="proMX"),ROUND(AG386/CFG_BLK,6),0)</f>
        <v>0</v>
      </c>
      <c r="BV386" s="80" t="str">
        <f>IF(BF386="Approved",IF(ISNUMBER(T386),INT(T386),INT(B386)),"")</f>
        <v/>
      </c>
      <c r="BW386" s="80">
        <f>IF(ISNUMBER(B386),IF(DB_MON="Todos",1,IF(AND(INT(B386)&gt;=DB_MS,INT(B386)&lt;=DB_ME),1,0)),0)</f>
        <v>0</v>
      </c>
      <c r="BX386" s="80">
        <f>IF(DB_PROJ="Todos",1,IF(E386&amp;""=DB_PROJ&amp;"",1,0))</f>
        <v>1</v>
      </c>
      <c r="BY386" s="80">
        <f>BW386*BX386</f>
        <v>0</v>
      </c>
      <c r="BZ386" s="80" t="str">
        <f>IF(Y386=1,F386&amp;IF(AND(F386&amp;""&lt;&gt;"",E386&amp;""&lt;&gt;"")," · ","")&amp;E386,"")</f>
        <v/>
      </c>
      <c r="CA386" s="80" t="str">
        <f>IF(AND(BD386=1,E386&amp;""&lt;&gt;""),IF(COUNTIFS($E$5:E385,E386,$BD$5:BD385,1)=0,MAX($CA$5:CA385)+1,""),"")</f>
        <v/>
      </c>
      <c r="CB386" s="80" t="str">
        <f>IF(AND(BE386=1,D386="Malcolm",E386&amp;""&lt;&gt;""),IF(COUNTIFS($D$5:D385,"Malcolm",$E$5:E385,E386,$BE$5:BE385,1)=0,MAX($CB$5:CB385)+1,""),"")</f>
        <v/>
      </c>
      <c r="CC386" s="80" t="str">
        <f>IF(AND(BD386=1,D386="proMX",E386&amp;""&lt;&gt;""),IF(COUNTIFS($D$5:D385,"proMX",$E$5:E385,E386,$BD$5:BD385,1)=0,MAX($CC$5:CC385)+1,""),"")</f>
        <v/>
      </c>
      <c r="CD386" s="80" t="str">
        <f>IF(AND(BE386=1,D386="Malcolm",F386&amp;""&lt;&gt;""),IF(COUNTIFS($D$5:D385,"Malcolm",$F$5:F385,F386,$BE$5:BE385,1)=0,MAX($CD$5:CD385)+1,""),"")</f>
        <v/>
      </c>
      <c r="CE386" s="80" t="str">
        <f>IF(AND(BD386=1,D386="proMX",F386&amp;""&lt;&gt;""),IF(COUNTIFS($D$5:D385,"proMX",$F$5:F385,F386,$BD$5:BD385,1)=0,MAX($CE$5:CE385)+1,""),"")</f>
        <v/>
      </c>
      <c r="CF386" s="80" t="str">
        <f>IF(AND(D386="proMX",BD386=1),IF(OR(BF386="Draft",BF386="Submitted",BF386="Returned",BF386="Recall Requested"),MAX($CF$5:CF385)+1,""),"")</f>
        <v/>
      </c>
      <c r="CG386" s="80">
        <f>IF(BD386=0,0,IF(D386="Malcolm",1,MATCH(BF386,{"Draft","Submitted","Approved","Returned","Recall Requested","Cancelled"},0)+1))</f>
        <v>0</v>
      </c>
      <c r="CH386" s="80">
        <f>IF(AND(BF386="Submitted",ISNUMBER(V386)),IF(V386&gt;CFG_MAXD,1,0),0)</f>
        <v>0</v>
      </c>
    </row>
    <row r="387">
      <c r="A387" s="71" t="str">
        <f>IF(Y387=1,ROW()-5,"")</f>
        <v/>
      </c>
      <c r="B387" s="72" t="n"/>
      <c r="C387" s="71" t="str">
        <f>IF(ISNUMBER(B387),CHOOSE(WEEKDAY(B387,2),"Lun","Mar","Mié","Jue","Vie","Sáb","Dom"),"")</f>
        <v/>
      </c>
      <c r="D387" s="73" t="n"/>
      <c r="E387" s="74" t="n"/>
      <c r="F387" s="74" t="n"/>
      <c r="G387" s="74" t="n"/>
      <c r="H387" s="75" t="n"/>
      <c r="I387" s="75" t="n"/>
      <c r="J387" s="76" t="n"/>
      <c r="K387" s="77" t="str">
        <f>IF(AB387=1,ROUND(AG387/60,4),"")</f>
        <v/>
      </c>
      <c r="L387" s="77" t="str">
        <f>IF(BD387=1,ROUND(AP387/60,4),"")</f>
        <v/>
      </c>
      <c r="M387" s="77" t="str">
        <f>IF(BD387=1,ROUND(AQ387/60,4),"")</f>
        <v/>
      </c>
      <c r="N387" s="71" t="str">
        <f>IF(AND(D387="proMX",AB387=1),ROUND(AG387/CFG_BLK,2),"")</f>
        <v/>
      </c>
      <c r="O387" s="77" t="str">
        <f>IF(D387="proMX",IF(BD387=1,ROUND(AG387/60,4),0),"")</f>
        <v/>
      </c>
      <c r="P387" s="78" t="str">
        <f>IF(Y387=0,"",IF(BD387=1,"OK",IF(D387="proMX","Revisar bloques: ","Revisar: ")&amp;BC387))</f>
        <v/>
      </c>
      <c r="Q387" s="78" t="str">
        <f>IF(NOT(ISNUMBER(B387)),"",IF(COUNTIFS(FER_F,INT(B387))&gt;0,"Feriado"&amp;IF(AH387=1," (laborable)"," (no laborable)"),IF(AH387=1,"Laborable",IF(WEEKDAY(B387,2)&gt;5,"Fin de semana","No laborable"))))</f>
        <v/>
      </c>
      <c r="R387" s="73" t="n"/>
      <c r="S387" s="72" t="n"/>
      <c r="T387" s="72" t="n"/>
      <c r="U387" s="74" t="n"/>
      <c r="V387" s="79" t="str">
        <f>IF(AND(D387="proMX",OR(R387="Submitted",R387="Recall Requested"),ISNUMBER(S387)),CFG_TODAY-INT(S387),"")</f>
        <v/>
      </c>
      <c r="W387" s="78" t="str">
        <f>IF(BD387=0,"",IF(BA387&gt;0,"⚠ Se superpone con un registro de la otra empresa",IF(D387="Malcolm",IF(COUNTA(R387,S387,T387)&gt;0,"Estado/fechas proMX se ignoran en Malcolm",""),IF(BF387="Cancelled","Cancelado: excluido de totales",IF(R387="","Sin estado: se trata como Draft",IF(BF387="Submitted",IF(ISNUMBER(V387),IF(V387&gt;CFG_MAXD,"⚠ "&amp;V387&amp;" días en Submitted (máx. "&amp;CFG_MAXD&amp;")",""),"Falta fecha de envío"),IF(BF387="Returned","⚠ Devuelto: corregir y reenviar",IF(BF387="Recall Requested","Retirada solicitada: pendiente",IF(AND(BF387="Approved",NOT(ISNUMBER(T387))),"Falta fecha de aprobación",IF(AND(ISNUMBER(S387),ISNUMBER(T387),T387&lt;S387),"Aprobación anterior al envío","")))))))))</f>
        <v/>
      </c>
      <c r="Y387" s="80">
        <f>IF(COUNTA(B387,D387,E387,F387,G387,H387,I387,J387,R387,S387,T387)&gt;0,1,0)</f>
        <v>0</v>
      </c>
      <c r="Z387" s="80" t="str">
        <f>IF(AND(ISNUMBER(H387),H387&gt;=0,H387&lt;1),ROUND(H387*1440,0),"")</f>
        <v/>
      </c>
      <c r="AA387" s="80" t="str">
        <f>IF(AND(ISNUMBER(I387),I387&gt;=0,I387&lt;1),ROUND(I387*1440,0),"")</f>
        <v/>
      </c>
      <c r="AB387" s="80">
        <f>IF(AND(ISNUMBER(B387),D387&lt;&gt;"",ISNUMBER(Z387),ISNUMBER(AA387)),IF(Z387=AA387,0,1),0)</f>
        <v>0</v>
      </c>
      <c r="AC387" s="80">
        <f>IF(AB387=1,IF(AA387&lt;Z387,1,0),0)</f>
        <v>0</v>
      </c>
      <c r="AD387" s="80">
        <f>IF(AB387=1,IF(AC387=1,1440-Z387+AA387,AA387-Z387),0)</f>
        <v>0</v>
      </c>
      <c r="AE387" s="80">
        <f>IF(J387="",0,IF(ISNUMBER(J387),J387,-1))</f>
        <v>0</v>
      </c>
      <c r="AF387" s="80">
        <f>MIN(MAX(0,AE387),AD387)</f>
        <v>0</v>
      </c>
      <c r="AG387" s="80">
        <f>MAX(0,AD387-MAX(0,AE387))</f>
        <v>0</v>
      </c>
      <c r="AH387" s="80">
        <f>IF(ISNUMBER(B387),IF(AND(INDEX(CFG_WDAYS,WEEKDAY(INT(B387),2))="Sí",IF(D387="proMX",COUNTIFS(FER_F,INT(B387),FER_NLP,"Sí"),COUNTIFS(FER_F,INT(B387),FER_NLM,"Sí"))=0),1,0),0)</f>
        <v>0</v>
      </c>
      <c r="AI387" s="80">
        <f>IF(AC387=1,IF(AND(INDEX(CFG_WDAYS,WEEKDAY(INT(B387)+1,2))="Sí",IF(D387="proMX",COUNTIFS(FER_F,INT(B387)+1,FER_NLP,"Sí"),COUNTIFS(FER_F,INT(B387)+1,FER_NLM,"Sí"))=0),1,0),0)</f>
        <v>0</v>
      </c>
      <c r="AJ387" s="80">
        <f>IF(AC387=1,1440-Z387,AD387)</f>
        <v>0</v>
      </c>
      <c r="AK387" s="80">
        <f>IF(AND(AB387=1,AH387=1),MAX(0,MIN(IF(AC387=1,1440,AA387),CFG_WEM)-MAX(Z387,CFG_WSM)),0)</f>
        <v>0</v>
      </c>
      <c r="AL387" s="80">
        <f>IF(AND(AC387=1,AI387=1),MAX(0,MIN(AA387,CFG_WEM)-CFG_WSM),0)</f>
        <v>0</v>
      </c>
      <c r="AM387" s="80">
        <f>AK387+AL387</f>
        <v>0</v>
      </c>
      <c r="AN387" s="80">
        <f>IF(CFG_BRK="Proporcional",IF(AD387=0,0,AF387*AM387/AD387),IF(CFG_BRK="Extras primero",MIN(AM387,MAX(0,AF387-(AD387-AM387))),MIN(AF387,AM387)))</f>
        <v>0</v>
      </c>
      <c r="AO387" s="80">
        <f>AF387-AN387</f>
        <v>0</v>
      </c>
      <c r="AP387" s="80">
        <f>AM387-AN387</f>
        <v>0</v>
      </c>
      <c r="AQ387" s="80">
        <f>AD387-AM387-AO387</f>
        <v>0</v>
      </c>
      <c r="AR387" s="80">
        <f>IF(AM387=0,0,AK387-AN387*AK387/AM387)</f>
        <v>0</v>
      </c>
      <c r="AS387" s="80">
        <f>IF(AD387-AM387=0,0,(AJ387-AK387)-AO387*(AJ387-AK387)/(AD387-AM387))</f>
        <v>0</v>
      </c>
      <c r="AT387" s="80" t="str">
        <f>IF(AC387=1,INT(B387)+1,"")</f>
        <v/>
      </c>
      <c r="AU387" s="80">
        <f>IF(AND(D387="proMX",R387="Cancelled"),0,1)</f>
        <v>1</v>
      </c>
      <c r="AV387" s="80">
        <f>IF(AND(AB387=1,AU387=1),IF(COUNTIFS($D$5:D386,D387,$B$5:B386,B387,$Z$5:Z386,Z387,$AA$5:AA386,AA387,$F$5:F386,F387&amp;"",$AU$5:AU386,1)&gt;0,1,0),0)</f>
        <v>0</v>
      </c>
      <c r="AW387" s="80" t="str">
        <f>IF(AB387=1,INT(B387)*1440+Z387,"")</f>
        <v/>
      </c>
      <c r="AX387" s="80" t="str">
        <f>IF(AB387=1,AW387+AD387,"")</f>
        <v/>
      </c>
      <c r="AY387" s="80">
        <f>IF(AND(AB387=1,AV387=0,AU387=1),1,0)</f>
        <v>0</v>
      </c>
      <c r="AZ387" s="80">
        <f>IF(AY387=1,COUNTIFS(R_Emp,D387,R_SAbs,"&lt;"&amp;AX387,R_EAbs,"&gt;"&amp;AW387,R_OKey,1)-1,0)</f>
        <v>0</v>
      </c>
      <c r="BA387" s="80">
        <f>IF(AY387=1,COUNTIFS(R_Emp,"&lt;&gt;"&amp;D387,R_SAbs,"&lt;"&amp;AX387,R_EAbs,"&gt;"&amp;AW387,R_OKey,1),0)</f>
        <v>0</v>
      </c>
      <c r="BB387" s="80">
        <f>IF(AND(AB387=1,D387="proMX"),IF(AND(MOD(Z387,CFG_BLK)=0,MOD(AA387,CFG_BLK)=0,MOD(AG387,CFG_BLK)=0,AG387&gt;0),1,0),1)</f>
        <v>1</v>
      </c>
      <c r="BC387" s="80" t="str">
        <f>IF(Y387=0,"",IF(NOT(ISNUMBER(B387)),"Falta fecha o fecha inválida",IF(D387="","Falta empresa",IF(AND(D387&lt;&gt;"Malcolm",D387&lt;&gt;"proMX"),"Empresa inválida",IF(OR(INT(B387)&lt;CFG_PSTART,INT(B387)&gt;CFG_PEND),"Fecha fuera del período",IF(OR(NOT(ISNUMBER(Z387)),NOT(ISNUMBER(AA387))),"Falta hora inicio/fin o formato inválido",IF(AB387=0,"Hora inicio = hora fin",IF(AE387&lt;0,"Descanso inválido",IF(AE387&gt;=AD387,"Descanso ≥ duración",IF(AV387=1,"Registro duplicado",IF(AZ387&gt;0,"Se superpone con otro registro "&amp;D387,IF(BB387=0,"inicio, fin y duración neta deben ser múltiplos de "&amp;CFG_BLK&amp;" min",""))))))))))))</f>
        <v/>
      </c>
      <c r="BD387" s="80">
        <f>IF(AND(Y387=1,BC387=""),1,0)</f>
        <v>0</v>
      </c>
      <c r="BE387" s="80">
        <f>IF(AND(BD387=1,AU387=1),1,0)</f>
        <v>0</v>
      </c>
      <c r="BF387" s="80" t="str">
        <f>IF(AND(D387="proMX",BD387=1),IF(R387="","Draft",R387),"")</f>
        <v/>
      </c>
      <c r="BG387" s="80">
        <f>IF(BD387=1,ROUND(AG387/60,6),0)</f>
        <v>0</v>
      </c>
      <c r="BH387" s="80">
        <f>IF(BE387=1,ROUND(AG387/60,6),0)</f>
        <v>0</v>
      </c>
      <c r="BI387" s="80">
        <f>IF(BE387=1,ROUND(AP387/60,6),0)</f>
        <v>0</v>
      </c>
      <c r="BJ387" s="80">
        <f>IF(BE387=1,ROUND(AQ387/60,6),0)</f>
        <v>0</v>
      </c>
      <c r="BK387" s="80">
        <f>IF(BE387=1,ROUND((AR387+AS387)/60,6),0)</f>
        <v>0</v>
      </c>
      <c r="BL387" s="80">
        <f>ROUND(BH387-BK387,6)</f>
        <v>0</v>
      </c>
      <c r="BM387" s="80">
        <f>IF(BE387=1,ROUND(AR387/60,6),0)</f>
        <v>0</v>
      </c>
      <c r="BN387" s="80">
        <f>ROUND(BI387-BM387,6)</f>
        <v>0</v>
      </c>
      <c r="BO387" s="80">
        <f>IF(BE387=1,ROUND(AS387/60,6),0)</f>
        <v>0</v>
      </c>
      <c r="BP387" s="80">
        <f>ROUND(BJ387-BO387,6)</f>
        <v>0</v>
      </c>
      <c r="BQ387" s="80">
        <f>IF(BE387=1,AW387,0)</f>
        <v>0</v>
      </c>
      <c r="BR387" s="80">
        <f>IF(BE387=1,AX387,0)</f>
        <v>0</v>
      </c>
      <c r="BS387" s="80">
        <f>IF(AND(BE387=1,D387="Malcolm",BA387&gt;0),MIN(BH387,SUMPRODUCT((R_Emp="proMX")*(R_EN&gt;0)*((R_EN-(R_EN&gt;BR387)*(R_EN-BR387))&gt;(R_SN+(R_SN&lt;BQ387)*(BQ387-R_SN)))*((R_EN-(R_EN&gt;BR387)*(R_EN-BR387))-(R_SN+(R_SN&lt;BQ387)*(BQ387-R_SN))))/60),0)</f>
        <v>0</v>
      </c>
      <c r="BT387" s="80">
        <f>IF(AND(BE387=1,D387="proMX"),ROUND(BI387*CFG_RATE+BJ387*CFG_OTRATE,6),0)</f>
        <v>0</v>
      </c>
      <c r="BU387" s="80">
        <f>IF(AND(BD387=1,D387="proMX"),ROUND(AG387/CFG_BLK,6),0)</f>
        <v>0</v>
      </c>
      <c r="BV387" s="80" t="str">
        <f>IF(BF387="Approved",IF(ISNUMBER(T387),INT(T387),INT(B387)),"")</f>
        <v/>
      </c>
      <c r="BW387" s="80">
        <f>IF(ISNUMBER(B387),IF(DB_MON="Todos",1,IF(AND(INT(B387)&gt;=DB_MS,INT(B387)&lt;=DB_ME),1,0)),0)</f>
        <v>0</v>
      </c>
      <c r="BX387" s="80">
        <f>IF(DB_PROJ="Todos",1,IF(E387&amp;""=DB_PROJ&amp;"",1,0))</f>
        <v>1</v>
      </c>
      <c r="BY387" s="80">
        <f>BW387*BX387</f>
        <v>0</v>
      </c>
      <c r="BZ387" s="80" t="str">
        <f>IF(Y387=1,F387&amp;IF(AND(F387&amp;""&lt;&gt;"",E387&amp;""&lt;&gt;"")," · ","")&amp;E387,"")</f>
        <v/>
      </c>
      <c r="CA387" s="80" t="str">
        <f>IF(AND(BD387=1,E387&amp;""&lt;&gt;""),IF(COUNTIFS($E$5:E386,E387,$BD$5:BD386,1)=0,MAX($CA$5:CA386)+1,""),"")</f>
        <v/>
      </c>
      <c r="CB387" s="80" t="str">
        <f>IF(AND(BE387=1,D387="Malcolm",E387&amp;""&lt;&gt;""),IF(COUNTIFS($D$5:D386,"Malcolm",$E$5:E386,E387,$BE$5:BE386,1)=0,MAX($CB$5:CB386)+1,""),"")</f>
        <v/>
      </c>
      <c r="CC387" s="80" t="str">
        <f>IF(AND(BD387=1,D387="proMX",E387&amp;""&lt;&gt;""),IF(COUNTIFS($D$5:D386,"proMX",$E$5:E386,E387,$BD$5:BD386,1)=0,MAX($CC$5:CC386)+1,""),"")</f>
        <v/>
      </c>
      <c r="CD387" s="80" t="str">
        <f>IF(AND(BE387=1,D387="Malcolm",F387&amp;""&lt;&gt;""),IF(COUNTIFS($D$5:D386,"Malcolm",$F$5:F386,F387,$BE$5:BE386,1)=0,MAX($CD$5:CD386)+1,""),"")</f>
        <v/>
      </c>
      <c r="CE387" s="80" t="str">
        <f>IF(AND(BD387=1,D387="proMX",F387&amp;""&lt;&gt;""),IF(COUNTIFS($D$5:D386,"proMX",$F$5:F386,F387,$BD$5:BD386,1)=0,MAX($CE$5:CE386)+1,""),"")</f>
        <v/>
      </c>
      <c r="CF387" s="80" t="str">
        <f>IF(AND(D387="proMX",BD387=1),IF(OR(BF387="Draft",BF387="Submitted",BF387="Returned",BF387="Recall Requested"),MAX($CF$5:CF386)+1,""),"")</f>
        <v/>
      </c>
      <c r="CG387" s="80">
        <f>IF(BD387=0,0,IF(D387="Malcolm",1,MATCH(BF387,{"Draft","Submitted","Approved","Returned","Recall Requested","Cancelled"},0)+1))</f>
        <v>0</v>
      </c>
      <c r="CH387" s="80">
        <f>IF(AND(BF387="Submitted",ISNUMBER(V387)),IF(V387&gt;CFG_MAXD,1,0),0)</f>
        <v>0</v>
      </c>
    </row>
    <row r="388">
      <c r="A388" s="71" t="str">
        <f>IF(Y388=1,ROW()-5,"")</f>
        <v/>
      </c>
      <c r="B388" s="72" t="n"/>
      <c r="C388" s="71" t="str">
        <f>IF(ISNUMBER(B388),CHOOSE(WEEKDAY(B388,2),"Lun","Mar","Mié","Jue","Vie","Sáb","Dom"),"")</f>
        <v/>
      </c>
      <c r="D388" s="73" t="n"/>
      <c r="E388" s="74" t="n"/>
      <c r="F388" s="74" t="n"/>
      <c r="G388" s="74" t="n"/>
      <c r="H388" s="75" t="n"/>
      <c r="I388" s="75" t="n"/>
      <c r="J388" s="76" t="n"/>
      <c r="K388" s="77" t="str">
        <f>IF(AB388=1,ROUND(AG388/60,4),"")</f>
        <v/>
      </c>
      <c r="L388" s="77" t="str">
        <f>IF(BD388=1,ROUND(AP388/60,4),"")</f>
        <v/>
      </c>
      <c r="M388" s="77" t="str">
        <f>IF(BD388=1,ROUND(AQ388/60,4),"")</f>
        <v/>
      </c>
      <c r="N388" s="71" t="str">
        <f>IF(AND(D388="proMX",AB388=1),ROUND(AG388/CFG_BLK,2),"")</f>
        <v/>
      </c>
      <c r="O388" s="77" t="str">
        <f>IF(D388="proMX",IF(BD388=1,ROUND(AG388/60,4),0),"")</f>
        <v/>
      </c>
      <c r="P388" s="78" t="str">
        <f>IF(Y388=0,"",IF(BD388=1,"OK",IF(D388="proMX","Revisar bloques: ","Revisar: ")&amp;BC388))</f>
        <v/>
      </c>
      <c r="Q388" s="78" t="str">
        <f>IF(NOT(ISNUMBER(B388)),"",IF(COUNTIFS(FER_F,INT(B388))&gt;0,"Feriado"&amp;IF(AH388=1," (laborable)"," (no laborable)"),IF(AH388=1,"Laborable",IF(WEEKDAY(B388,2)&gt;5,"Fin de semana","No laborable"))))</f>
        <v/>
      </c>
      <c r="R388" s="73" t="n"/>
      <c r="S388" s="72" t="n"/>
      <c r="T388" s="72" t="n"/>
      <c r="U388" s="74" t="n"/>
      <c r="V388" s="79" t="str">
        <f>IF(AND(D388="proMX",OR(R388="Submitted",R388="Recall Requested"),ISNUMBER(S388)),CFG_TODAY-INT(S388),"")</f>
        <v/>
      </c>
      <c r="W388" s="78" t="str">
        <f>IF(BD388=0,"",IF(BA388&gt;0,"⚠ Se superpone con un registro de la otra empresa",IF(D388="Malcolm",IF(COUNTA(R388,S388,T388)&gt;0,"Estado/fechas proMX se ignoran en Malcolm",""),IF(BF388="Cancelled","Cancelado: excluido de totales",IF(R388="","Sin estado: se trata como Draft",IF(BF388="Submitted",IF(ISNUMBER(V388),IF(V388&gt;CFG_MAXD,"⚠ "&amp;V388&amp;" días en Submitted (máx. "&amp;CFG_MAXD&amp;")",""),"Falta fecha de envío"),IF(BF388="Returned","⚠ Devuelto: corregir y reenviar",IF(BF388="Recall Requested","Retirada solicitada: pendiente",IF(AND(BF388="Approved",NOT(ISNUMBER(T388))),"Falta fecha de aprobación",IF(AND(ISNUMBER(S388),ISNUMBER(T388),T388&lt;S388),"Aprobación anterior al envío","")))))))))</f>
        <v/>
      </c>
      <c r="Y388" s="80">
        <f>IF(COUNTA(B388,D388,E388,F388,G388,H388,I388,J388,R388,S388,T388)&gt;0,1,0)</f>
        <v>0</v>
      </c>
      <c r="Z388" s="80" t="str">
        <f>IF(AND(ISNUMBER(H388),H388&gt;=0,H388&lt;1),ROUND(H388*1440,0),"")</f>
        <v/>
      </c>
      <c r="AA388" s="80" t="str">
        <f>IF(AND(ISNUMBER(I388),I388&gt;=0,I388&lt;1),ROUND(I388*1440,0),"")</f>
        <v/>
      </c>
      <c r="AB388" s="80">
        <f>IF(AND(ISNUMBER(B388),D388&lt;&gt;"",ISNUMBER(Z388),ISNUMBER(AA388)),IF(Z388=AA388,0,1),0)</f>
        <v>0</v>
      </c>
      <c r="AC388" s="80">
        <f>IF(AB388=1,IF(AA388&lt;Z388,1,0),0)</f>
        <v>0</v>
      </c>
      <c r="AD388" s="80">
        <f>IF(AB388=1,IF(AC388=1,1440-Z388+AA388,AA388-Z388),0)</f>
        <v>0</v>
      </c>
      <c r="AE388" s="80">
        <f>IF(J388="",0,IF(ISNUMBER(J388),J388,-1))</f>
        <v>0</v>
      </c>
      <c r="AF388" s="80">
        <f>MIN(MAX(0,AE388),AD388)</f>
        <v>0</v>
      </c>
      <c r="AG388" s="80">
        <f>MAX(0,AD388-MAX(0,AE388))</f>
        <v>0</v>
      </c>
      <c r="AH388" s="80">
        <f>IF(ISNUMBER(B388),IF(AND(INDEX(CFG_WDAYS,WEEKDAY(INT(B388),2))="Sí",IF(D388="proMX",COUNTIFS(FER_F,INT(B388),FER_NLP,"Sí"),COUNTIFS(FER_F,INT(B388),FER_NLM,"Sí"))=0),1,0),0)</f>
        <v>0</v>
      </c>
      <c r="AI388" s="80">
        <f>IF(AC388=1,IF(AND(INDEX(CFG_WDAYS,WEEKDAY(INT(B388)+1,2))="Sí",IF(D388="proMX",COUNTIFS(FER_F,INT(B388)+1,FER_NLP,"Sí"),COUNTIFS(FER_F,INT(B388)+1,FER_NLM,"Sí"))=0),1,0),0)</f>
        <v>0</v>
      </c>
      <c r="AJ388" s="80">
        <f>IF(AC388=1,1440-Z388,AD388)</f>
        <v>0</v>
      </c>
      <c r="AK388" s="80">
        <f>IF(AND(AB388=1,AH388=1),MAX(0,MIN(IF(AC388=1,1440,AA388),CFG_WEM)-MAX(Z388,CFG_WSM)),0)</f>
        <v>0</v>
      </c>
      <c r="AL388" s="80">
        <f>IF(AND(AC388=1,AI388=1),MAX(0,MIN(AA388,CFG_WEM)-CFG_WSM),0)</f>
        <v>0</v>
      </c>
      <c r="AM388" s="80">
        <f>AK388+AL388</f>
        <v>0</v>
      </c>
      <c r="AN388" s="80">
        <f>IF(CFG_BRK="Proporcional",IF(AD388=0,0,AF388*AM388/AD388),IF(CFG_BRK="Extras primero",MIN(AM388,MAX(0,AF388-(AD388-AM388))),MIN(AF388,AM388)))</f>
        <v>0</v>
      </c>
      <c r="AO388" s="80">
        <f>AF388-AN388</f>
        <v>0</v>
      </c>
      <c r="AP388" s="80">
        <f>AM388-AN388</f>
        <v>0</v>
      </c>
      <c r="AQ388" s="80">
        <f>AD388-AM388-AO388</f>
        <v>0</v>
      </c>
      <c r="AR388" s="80">
        <f>IF(AM388=0,0,AK388-AN388*AK388/AM388)</f>
        <v>0</v>
      </c>
      <c r="AS388" s="80">
        <f>IF(AD388-AM388=0,0,(AJ388-AK388)-AO388*(AJ388-AK388)/(AD388-AM388))</f>
        <v>0</v>
      </c>
      <c r="AT388" s="80" t="str">
        <f>IF(AC388=1,INT(B388)+1,"")</f>
        <v/>
      </c>
      <c r="AU388" s="80">
        <f>IF(AND(D388="proMX",R388="Cancelled"),0,1)</f>
        <v>1</v>
      </c>
      <c r="AV388" s="80">
        <f>IF(AND(AB388=1,AU388=1),IF(COUNTIFS($D$5:D387,D388,$B$5:B387,B388,$Z$5:Z387,Z388,$AA$5:AA387,AA388,$F$5:F387,F388&amp;"",$AU$5:AU387,1)&gt;0,1,0),0)</f>
        <v>0</v>
      </c>
      <c r="AW388" s="80" t="str">
        <f>IF(AB388=1,INT(B388)*1440+Z388,"")</f>
        <v/>
      </c>
      <c r="AX388" s="80" t="str">
        <f>IF(AB388=1,AW388+AD388,"")</f>
        <v/>
      </c>
      <c r="AY388" s="80">
        <f>IF(AND(AB388=1,AV388=0,AU388=1),1,0)</f>
        <v>0</v>
      </c>
      <c r="AZ388" s="80">
        <f>IF(AY388=1,COUNTIFS(R_Emp,D388,R_SAbs,"&lt;"&amp;AX388,R_EAbs,"&gt;"&amp;AW388,R_OKey,1)-1,0)</f>
        <v>0</v>
      </c>
      <c r="BA388" s="80">
        <f>IF(AY388=1,COUNTIFS(R_Emp,"&lt;&gt;"&amp;D388,R_SAbs,"&lt;"&amp;AX388,R_EAbs,"&gt;"&amp;AW388,R_OKey,1),0)</f>
        <v>0</v>
      </c>
      <c r="BB388" s="80">
        <f>IF(AND(AB388=1,D388="proMX"),IF(AND(MOD(Z388,CFG_BLK)=0,MOD(AA388,CFG_BLK)=0,MOD(AG388,CFG_BLK)=0,AG388&gt;0),1,0),1)</f>
        <v>1</v>
      </c>
      <c r="BC388" s="80" t="str">
        <f>IF(Y388=0,"",IF(NOT(ISNUMBER(B388)),"Falta fecha o fecha inválida",IF(D388="","Falta empresa",IF(AND(D388&lt;&gt;"Malcolm",D388&lt;&gt;"proMX"),"Empresa inválida",IF(OR(INT(B388)&lt;CFG_PSTART,INT(B388)&gt;CFG_PEND),"Fecha fuera del período",IF(OR(NOT(ISNUMBER(Z388)),NOT(ISNUMBER(AA388))),"Falta hora inicio/fin o formato inválido",IF(AB388=0,"Hora inicio = hora fin",IF(AE388&lt;0,"Descanso inválido",IF(AE388&gt;=AD388,"Descanso ≥ duración",IF(AV388=1,"Registro duplicado",IF(AZ388&gt;0,"Se superpone con otro registro "&amp;D388,IF(BB388=0,"inicio, fin y duración neta deben ser múltiplos de "&amp;CFG_BLK&amp;" min",""))))))))))))</f>
        <v/>
      </c>
      <c r="BD388" s="80">
        <f>IF(AND(Y388=1,BC388=""),1,0)</f>
        <v>0</v>
      </c>
      <c r="BE388" s="80">
        <f>IF(AND(BD388=1,AU388=1),1,0)</f>
        <v>0</v>
      </c>
      <c r="BF388" s="80" t="str">
        <f>IF(AND(D388="proMX",BD388=1),IF(R388="","Draft",R388),"")</f>
        <v/>
      </c>
      <c r="BG388" s="80">
        <f>IF(BD388=1,ROUND(AG388/60,6),0)</f>
        <v>0</v>
      </c>
      <c r="BH388" s="80">
        <f>IF(BE388=1,ROUND(AG388/60,6),0)</f>
        <v>0</v>
      </c>
      <c r="BI388" s="80">
        <f>IF(BE388=1,ROUND(AP388/60,6),0)</f>
        <v>0</v>
      </c>
      <c r="BJ388" s="80">
        <f>IF(BE388=1,ROUND(AQ388/60,6),0)</f>
        <v>0</v>
      </c>
      <c r="BK388" s="80">
        <f>IF(BE388=1,ROUND((AR388+AS388)/60,6),0)</f>
        <v>0</v>
      </c>
      <c r="BL388" s="80">
        <f>ROUND(BH388-BK388,6)</f>
        <v>0</v>
      </c>
      <c r="BM388" s="80">
        <f>IF(BE388=1,ROUND(AR388/60,6),0)</f>
        <v>0</v>
      </c>
      <c r="BN388" s="80">
        <f>ROUND(BI388-BM388,6)</f>
        <v>0</v>
      </c>
      <c r="BO388" s="80">
        <f>IF(BE388=1,ROUND(AS388/60,6),0)</f>
        <v>0</v>
      </c>
      <c r="BP388" s="80">
        <f>ROUND(BJ388-BO388,6)</f>
        <v>0</v>
      </c>
      <c r="BQ388" s="80">
        <f>IF(BE388=1,AW388,0)</f>
        <v>0</v>
      </c>
      <c r="BR388" s="80">
        <f>IF(BE388=1,AX388,0)</f>
        <v>0</v>
      </c>
      <c r="BS388" s="80">
        <f>IF(AND(BE388=1,D388="Malcolm",BA388&gt;0),MIN(BH388,SUMPRODUCT((R_Emp="proMX")*(R_EN&gt;0)*((R_EN-(R_EN&gt;BR388)*(R_EN-BR388))&gt;(R_SN+(R_SN&lt;BQ388)*(BQ388-R_SN)))*((R_EN-(R_EN&gt;BR388)*(R_EN-BR388))-(R_SN+(R_SN&lt;BQ388)*(BQ388-R_SN))))/60),0)</f>
        <v>0</v>
      </c>
      <c r="BT388" s="80">
        <f>IF(AND(BE388=1,D388="proMX"),ROUND(BI388*CFG_RATE+BJ388*CFG_OTRATE,6),0)</f>
        <v>0</v>
      </c>
      <c r="BU388" s="80">
        <f>IF(AND(BD388=1,D388="proMX"),ROUND(AG388/CFG_BLK,6),0)</f>
        <v>0</v>
      </c>
      <c r="BV388" s="80" t="str">
        <f>IF(BF388="Approved",IF(ISNUMBER(T388),INT(T388),INT(B388)),"")</f>
        <v/>
      </c>
      <c r="BW388" s="80">
        <f>IF(ISNUMBER(B388),IF(DB_MON="Todos",1,IF(AND(INT(B388)&gt;=DB_MS,INT(B388)&lt;=DB_ME),1,0)),0)</f>
        <v>0</v>
      </c>
      <c r="BX388" s="80">
        <f>IF(DB_PROJ="Todos",1,IF(E388&amp;""=DB_PROJ&amp;"",1,0))</f>
        <v>1</v>
      </c>
      <c r="BY388" s="80">
        <f>BW388*BX388</f>
        <v>0</v>
      </c>
      <c r="BZ388" s="80" t="str">
        <f>IF(Y388=1,F388&amp;IF(AND(F388&amp;""&lt;&gt;"",E388&amp;""&lt;&gt;"")," · ","")&amp;E388,"")</f>
        <v/>
      </c>
      <c r="CA388" s="80" t="str">
        <f>IF(AND(BD388=1,E388&amp;""&lt;&gt;""),IF(COUNTIFS($E$5:E387,E388,$BD$5:BD387,1)=0,MAX($CA$5:CA387)+1,""),"")</f>
        <v/>
      </c>
      <c r="CB388" s="80" t="str">
        <f>IF(AND(BE388=1,D388="Malcolm",E388&amp;""&lt;&gt;""),IF(COUNTIFS($D$5:D387,"Malcolm",$E$5:E387,E388,$BE$5:BE387,1)=0,MAX($CB$5:CB387)+1,""),"")</f>
        <v/>
      </c>
      <c r="CC388" s="80" t="str">
        <f>IF(AND(BD388=1,D388="proMX",E388&amp;""&lt;&gt;""),IF(COUNTIFS($D$5:D387,"proMX",$E$5:E387,E388,$BD$5:BD387,1)=0,MAX($CC$5:CC387)+1,""),"")</f>
        <v/>
      </c>
      <c r="CD388" s="80" t="str">
        <f>IF(AND(BE388=1,D388="Malcolm",F388&amp;""&lt;&gt;""),IF(COUNTIFS($D$5:D387,"Malcolm",$F$5:F387,F388,$BE$5:BE387,1)=0,MAX($CD$5:CD387)+1,""),"")</f>
        <v/>
      </c>
      <c r="CE388" s="80" t="str">
        <f>IF(AND(BD388=1,D388="proMX",F388&amp;""&lt;&gt;""),IF(COUNTIFS($D$5:D387,"proMX",$F$5:F387,F388,$BD$5:BD387,1)=0,MAX($CE$5:CE387)+1,""),"")</f>
        <v/>
      </c>
      <c r="CF388" s="80" t="str">
        <f>IF(AND(D388="proMX",BD388=1),IF(OR(BF388="Draft",BF388="Submitted",BF388="Returned",BF388="Recall Requested"),MAX($CF$5:CF387)+1,""),"")</f>
        <v/>
      </c>
      <c r="CG388" s="80">
        <f>IF(BD388=0,0,IF(D388="Malcolm",1,MATCH(BF388,{"Draft","Submitted","Approved","Returned","Recall Requested","Cancelled"},0)+1))</f>
        <v>0</v>
      </c>
      <c r="CH388" s="80">
        <f>IF(AND(BF388="Submitted",ISNUMBER(V388)),IF(V388&gt;CFG_MAXD,1,0),0)</f>
        <v>0</v>
      </c>
    </row>
    <row r="389">
      <c r="A389" s="71" t="str">
        <f>IF(Y389=1,ROW()-5,"")</f>
        <v/>
      </c>
      <c r="B389" s="72" t="n"/>
      <c r="C389" s="71" t="str">
        <f>IF(ISNUMBER(B389),CHOOSE(WEEKDAY(B389,2),"Lun","Mar","Mié","Jue","Vie","Sáb","Dom"),"")</f>
        <v/>
      </c>
      <c r="D389" s="73" t="n"/>
      <c r="E389" s="74" t="n"/>
      <c r="F389" s="74" t="n"/>
      <c r="G389" s="74" t="n"/>
      <c r="H389" s="75" t="n"/>
      <c r="I389" s="75" t="n"/>
      <c r="J389" s="76" t="n"/>
      <c r="K389" s="77" t="str">
        <f>IF(AB389=1,ROUND(AG389/60,4),"")</f>
        <v/>
      </c>
      <c r="L389" s="77" t="str">
        <f>IF(BD389=1,ROUND(AP389/60,4),"")</f>
        <v/>
      </c>
      <c r="M389" s="77" t="str">
        <f>IF(BD389=1,ROUND(AQ389/60,4),"")</f>
        <v/>
      </c>
      <c r="N389" s="71" t="str">
        <f>IF(AND(D389="proMX",AB389=1),ROUND(AG389/CFG_BLK,2),"")</f>
        <v/>
      </c>
      <c r="O389" s="77" t="str">
        <f>IF(D389="proMX",IF(BD389=1,ROUND(AG389/60,4),0),"")</f>
        <v/>
      </c>
      <c r="P389" s="78" t="str">
        <f>IF(Y389=0,"",IF(BD389=1,"OK",IF(D389="proMX","Revisar bloques: ","Revisar: ")&amp;BC389))</f>
        <v/>
      </c>
      <c r="Q389" s="78" t="str">
        <f>IF(NOT(ISNUMBER(B389)),"",IF(COUNTIFS(FER_F,INT(B389))&gt;0,"Feriado"&amp;IF(AH389=1," (laborable)"," (no laborable)"),IF(AH389=1,"Laborable",IF(WEEKDAY(B389,2)&gt;5,"Fin de semana","No laborable"))))</f>
        <v/>
      </c>
      <c r="R389" s="73" t="n"/>
      <c r="S389" s="72" t="n"/>
      <c r="T389" s="72" t="n"/>
      <c r="U389" s="74" t="n"/>
      <c r="V389" s="79" t="str">
        <f>IF(AND(D389="proMX",OR(R389="Submitted",R389="Recall Requested"),ISNUMBER(S389)),CFG_TODAY-INT(S389),"")</f>
        <v/>
      </c>
      <c r="W389" s="78" t="str">
        <f>IF(BD389=0,"",IF(BA389&gt;0,"⚠ Se superpone con un registro de la otra empresa",IF(D389="Malcolm",IF(COUNTA(R389,S389,T389)&gt;0,"Estado/fechas proMX se ignoran en Malcolm",""),IF(BF389="Cancelled","Cancelado: excluido de totales",IF(R389="","Sin estado: se trata como Draft",IF(BF389="Submitted",IF(ISNUMBER(V389),IF(V389&gt;CFG_MAXD,"⚠ "&amp;V389&amp;" días en Submitted (máx. "&amp;CFG_MAXD&amp;")",""),"Falta fecha de envío"),IF(BF389="Returned","⚠ Devuelto: corregir y reenviar",IF(BF389="Recall Requested","Retirada solicitada: pendiente",IF(AND(BF389="Approved",NOT(ISNUMBER(T389))),"Falta fecha de aprobación",IF(AND(ISNUMBER(S389),ISNUMBER(T389),T389&lt;S389),"Aprobación anterior al envío","")))))))))</f>
        <v/>
      </c>
      <c r="Y389" s="80">
        <f>IF(COUNTA(B389,D389,E389,F389,G389,H389,I389,J389,R389,S389,T389)&gt;0,1,0)</f>
        <v>0</v>
      </c>
      <c r="Z389" s="80" t="str">
        <f>IF(AND(ISNUMBER(H389),H389&gt;=0,H389&lt;1),ROUND(H389*1440,0),"")</f>
        <v/>
      </c>
      <c r="AA389" s="80" t="str">
        <f>IF(AND(ISNUMBER(I389),I389&gt;=0,I389&lt;1),ROUND(I389*1440,0),"")</f>
        <v/>
      </c>
      <c r="AB389" s="80">
        <f>IF(AND(ISNUMBER(B389),D389&lt;&gt;"",ISNUMBER(Z389),ISNUMBER(AA389)),IF(Z389=AA389,0,1),0)</f>
        <v>0</v>
      </c>
      <c r="AC389" s="80">
        <f>IF(AB389=1,IF(AA389&lt;Z389,1,0),0)</f>
        <v>0</v>
      </c>
      <c r="AD389" s="80">
        <f>IF(AB389=1,IF(AC389=1,1440-Z389+AA389,AA389-Z389),0)</f>
        <v>0</v>
      </c>
      <c r="AE389" s="80">
        <f>IF(J389="",0,IF(ISNUMBER(J389),J389,-1))</f>
        <v>0</v>
      </c>
      <c r="AF389" s="80">
        <f>MIN(MAX(0,AE389),AD389)</f>
        <v>0</v>
      </c>
      <c r="AG389" s="80">
        <f>MAX(0,AD389-MAX(0,AE389))</f>
        <v>0</v>
      </c>
      <c r="AH389" s="80">
        <f>IF(ISNUMBER(B389),IF(AND(INDEX(CFG_WDAYS,WEEKDAY(INT(B389),2))="Sí",IF(D389="proMX",COUNTIFS(FER_F,INT(B389),FER_NLP,"Sí"),COUNTIFS(FER_F,INT(B389),FER_NLM,"Sí"))=0),1,0),0)</f>
        <v>0</v>
      </c>
      <c r="AI389" s="80">
        <f>IF(AC389=1,IF(AND(INDEX(CFG_WDAYS,WEEKDAY(INT(B389)+1,2))="Sí",IF(D389="proMX",COUNTIFS(FER_F,INT(B389)+1,FER_NLP,"Sí"),COUNTIFS(FER_F,INT(B389)+1,FER_NLM,"Sí"))=0),1,0),0)</f>
        <v>0</v>
      </c>
      <c r="AJ389" s="80">
        <f>IF(AC389=1,1440-Z389,AD389)</f>
        <v>0</v>
      </c>
      <c r="AK389" s="80">
        <f>IF(AND(AB389=1,AH389=1),MAX(0,MIN(IF(AC389=1,1440,AA389),CFG_WEM)-MAX(Z389,CFG_WSM)),0)</f>
        <v>0</v>
      </c>
      <c r="AL389" s="80">
        <f>IF(AND(AC389=1,AI389=1),MAX(0,MIN(AA389,CFG_WEM)-CFG_WSM),0)</f>
        <v>0</v>
      </c>
      <c r="AM389" s="80">
        <f>AK389+AL389</f>
        <v>0</v>
      </c>
      <c r="AN389" s="80">
        <f>IF(CFG_BRK="Proporcional",IF(AD389=0,0,AF389*AM389/AD389),IF(CFG_BRK="Extras primero",MIN(AM389,MAX(0,AF389-(AD389-AM389))),MIN(AF389,AM389)))</f>
        <v>0</v>
      </c>
      <c r="AO389" s="80">
        <f>AF389-AN389</f>
        <v>0</v>
      </c>
      <c r="AP389" s="80">
        <f>AM389-AN389</f>
        <v>0</v>
      </c>
      <c r="AQ389" s="80">
        <f>AD389-AM389-AO389</f>
        <v>0</v>
      </c>
      <c r="AR389" s="80">
        <f>IF(AM389=0,0,AK389-AN389*AK389/AM389)</f>
        <v>0</v>
      </c>
      <c r="AS389" s="80">
        <f>IF(AD389-AM389=0,0,(AJ389-AK389)-AO389*(AJ389-AK389)/(AD389-AM389))</f>
        <v>0</v>
      </c>
      <c r="AT389" s="80" t="str">
        <f>IF(AC389=1,INT(B389)+1,"")</f>
        <v/>
      </c>
      <c r="AU389" s="80">
        <f>IF(AND(D389="proMX",R389="Cancelled"),0,1)</f>
        <v>1</v>
      </c>
      <c r="AV389" s="80">
        <f>IF(AND(AB389=1,AU389=1),IF(COUNTIFS($D$5:D388,D389,$B$5:B388,B389,$Z$5:Z388,Z389,$AA$5:AA388,AA389,$F$5:F388,F389&amp;"",$AU$5:AU388,1)&gt;0,1,0),0)</f>
        <v>0</v>
      </c>
      <c r="AW389" s="80" t="str">
        <f>IF(AB389=1,INT(B389)*1440+Z389,"")</f>
        <v/>
      </c>
      <c r="AX389" s="80" t="str">
        <f>IF(AB389=1,AW389+AD389,"")</f>
        <v/>
      </c>
      <c r="AY389" s="80">
        <f>IF(AND(AB389=1,AV389=0,AU389=1),1,0)</f>
        <v>0</v>
      </c>
      <c r="AZ389" s="80">
        <f>IF(AY389=1,COUNTIFS(R_Emp,D389,R_SAbs,"&lt;"&amp;AX389,R_EAbs,"&gt;"&amp;AW389,R_OKey,1)-1,0)</f>
        <v>0</v>
      </c>
      <c r="BA389" s="80">
        <f>IF(AY389=1,COUNTIFS(R_Emp,"&lt;&gt;"&amp;D389,R_SAbs,"&lt;"&amp;AX389,R_EAbs,"&gt;"&amp;AW389,R_OKey,1),0)</f>
        <v>0</v>
      </c>
      <c r="BB389" s="80">
        <f>IF(AND(AB389=1,D389="proMX"),IF(AND(MOD(Z389,CFG_BLK)=0,MOD(AA389,CFG_BLK)=0,MOD(AG389,CFG_BLK)=0,AG389&gt;0),1,0),1)</f>
        <v>1</v>
      </c>
      <c r="BC389" s="80" t="str">
        <f>IF(Y389=0,"",IF(NOT(ISNUMBER(B389)),"Falta fecha o fecha inválida",IF(D389="","Falta empresa",IF(AND(D389&lt;&gt;"Malcolm",D389&lt;&gt;"proMX"),"Empresa inválida",IF(OR(INT(B389)&lt;CFG_PSTART,INT(B389)&gt;CFG_PEND),"Fecha fuera del período",IF(OR(NOT(ISNUMBER(Z389)),NOT(ISNUMBER(AA389))),"Falta hora inicio/fin o formato inválido",IF(AB389=0,"Hora inicio = hora fin",IF(AE389&lt;0,"Descanso inválido",IF(AE389&gt;=AD389,"Descanso ≥ duración",IF(AV389=1,"Registro duplicado",IF(AZ389&gt;0,"Se superpone con otro registro "&amp;D389,IF(BB389=0,"inicio, fin y duración neta deben ser múltiplos de "&amp;CFG_BLK&amp;" min",""))))))))))))</f>
        <v/>
      </c>
      <c r="BD389" s="80">
        <f>IF(AND(Y389=1,BC389=""),1,0)</f>
        <v>0</v>
      </c>
      <c r="BE389" s="80">
        <f>IF(AND(BD389=1,AU389=1),1,0)</f>
        <v>0</v>
      </c>
      <c r="BF389" s="80" t="str">
        <f>IF(AND(D389="proMX",BD389=1),IF(R389="","Draft",R389),"")</f>
        <v/>
      </c>
      <c r="BG389" s="80">
        <f>IF(BD389=1,ROUND(AG389/60,6),0)</f>
        <v>0</v>
      </c>
      <c r="BH389" s="80">
        <f>IF(BE389=1,ROUND(AG389/60,6),0)</f>
        <v>0</v>
      </c>
      <c r="BI389" s="80">
        <f>IF(BE389=1,ROUND(AP389/60,6),0)</f>
        <v>0</v>
      </c>
      <c r="BJ389" s="80">
        <f>IF(BE389=1,ROUND(AQ389/60,6),0)</f>
        <v>0</v>
      </c>
      <c r="BK389" s="80">
        <f>IF(BE389=1,ROUND((AR389+AS389)/60,6),0)</f>
        <v>0</v>
      </c>
      <c r="BL389" s="80">
        <f>ROUND(BH389-BK389,6)</f>
        <v>0</v>
      </c>
      <c r="BM389" s="80">
        <f>IF(BE389=1,ROUND(AR389/60,6),0)</f>
        <v>0</v>
      </c>
      <c r="BN389" s="80">
        <f>ROUND(BI389-BM389,6)</f>
        <v>0</v>
      </c>
      <c r="BO389" s="80">
        <f>IF(BE389=1,ROUND(AS389/60,6),0)</f>
        <v>0</v>
      </c>
      <c r="BP389" s="80">
        <f>ROUND(BJ389-BO389,6)</f>
        <v>0</v>
      </c>
      <c r="BQ389" s="80">
        <f>IF(BE389=1,AW389,0)</f>
        <v>0</v>
      </c>
      <c r="BR389" s="80">
        <f>IF(BE389=1,AX389,0)</f>
        <v>0</v>
      </c>
      <c r="BS389" s="80">
        <f>IF(AND(BE389=1,D389="Malcolm",BA389&gt;0),MIN(BH389,SUMPRODUCT((R_Emp="proMX")*(R_EN&gt;0)*((R_EN-(R_EN&gt;BR389)*(R_EN-BR389))&gt;(R_SN+(R_SN&lt;BQ389)*(BQ389-R_SN)))*((R_EN-(R_EN&gt;BR389)*(R_EN-BR389))-(R_SN+(R_SN&lt;BQ389)*(BQ389-R_SN))))/60),0)</f>
        <v>0</v>
      </c>
      <c r="BT389" s="80">
        <f>IF(AND(BE389=1,D389="proMX"),ROUND(BI389*CFG_RATE+BJ389*CFG_OTRATE,6),0)</f>
        <v>0</v>
      </c>
      <c r="BU389" s="80">
        <f>IF(AND(BD389=1,D389="proMX"),ROUND(AG389/CFG_BLK,6),0)</f>
        <v>0</v>
      </c>
      <c r="BV389" s="80" t="str">
        <f>IF(BF389="Approved",IF(ISNUMBER(T389),INT(T389),INT(B389)),"")</f>
        <v/>
      </c>
      <c r="BW389" s="80">
        <f>IF(ISNUMBER(B389),IF(DB_MON="Todos",1,IF(AND(INT(B389)&gt;=DB_MS,INT(B389)&lt;=DB_ME),1,0)),0)</f>
        <v>0</v>
      </c>
      <c r="BX389" s="80">
        <f>IF(DB_PROJ="Todos",1,IF(E389&amp;""=DB_PROJ&amp;"",1,0))</f>
        <v>1</v>
      </c>
      <c r="BY389" s="80">
        <f>BW389*BX389</f>
        <v>0</v>
      </c>
      <c r="BZ389" s="80" t="str">
        <f>IF(Y389=1,F389&amp;IF(AND(F389&amp;""&lt;&gt;"",E389&amp;""&lt;&gt;"")," · ","")&amp;E389,"")</f>
        <v/>
      </c>
      <c r="CA389" s="80" t="str">
        <f>IF(AND(BD389=1,E389&amp;""&lt;&gt;""),IF(COUNTIFS($E$5:E388,E389,$BD$5:BD388,1)=0,MAX($CA$5:CA388)+1,""),"")</f>
        <v/>
      </c>
      <c r="CB389" s="80" t="str">
        <f>IF(AND(BE389=1,D389="Malcolm",E389&amp;""&lt;&gt;""),IF(COUNTIFS($D$5:D388,"Malcolm",$E$5:E388,E389,$BE$5:BE388,1)=0,MAX($CB$5:CB388)+1,""),"")</f>
        <v/>
      </c>
      <c r="CC389" s="80" t="str">
        <f>IF(AND(BD389=1,D389="proMX",E389&amp;""&lt;&gt;""),IF(COUNTIFS($D$5:D388,"proMX",$E$5:E388,E389,$BD$5:BD388,1)=0,MAX($CC$5:CC388)+1,""),"")</f>
        <v/>
      </c>
      <c r="CD389" s="80" t="str">
        <f>IF(AND(BE389=1,D389="Malcolm",F389&amp;""&lt;&gt;""),IF(COUNTIFS($D$5:D388,"Malcolm",$F$5:F388,F389,$BE$5:BE388,1)=0,MAX($CD$5:CD388)+1,""),"")</f>
        <v/>
      </c>
      <c r="CE389" s="80" t="str">
        <f>IF(AND(BD389=1,D389="proMX",F389&amp;""&lt;&gt;""),IF(COUNTIFS($D$5:D388,"proMX",$F$5:F388,F389,$BD$5:BD388,1)=0,MAX($CE$5:CE388)+1,""),"")</f>
        <v/>
      </c>
      <c r="CF389" s="80" t="str">
        <f>IF(AND(D389="proMX",BD389=1),IF(OR(BF389="Draft",BF389="Submitted",BF389="Returned",BF389="Recall Requested"),MAX($CF$5:CF388)+1,""),"")</f>
        <v/>
      </c>
      <c r="CG389" s="80">
        <f>IF(BD389=0,0,IF(D389="Malcolm",1,MATCH(BF389,{"Draft","Submitted","Approved","Returned","Recall Requested","Cancelled"},0)+1))</f>
        <v>0</v>
      </c>
      <c r="CH389" s="80">
        <f>IF(AND(BF389="Submitted",ISNUMBER(V389)),IF(V389&gt;CFG_MAXD,1,0),0)</f>
        <v>0</v>
      </c>
    </row>
    <row r="390">
      <c r="A390" s="71" t="str">
        <f>IF(Y390=1,ROW()-5,"")</f>
        <v/>
      </c>
      <c r="B390" s="72" t="n"/>
      <c r="C390" s="71" t="str">
        <f>IF(ISNUMBER(B390),CHOOSE(WEEKDAY(B390,2),"Lun","Mar","Mié","Jue","Vie","Sáb","Dom"),"")</f>
        <v/>
      </c>
      <c r="D390" s="73" t="n"/>
      <c r="E390" s="74" t="n"/>
      <c r="F390" s="74" t="n"/>
      <c r="G390" s="74" t="n"/>
      <c r="H390" s="75" t="n"/>
      <c r="I390" s="75" t="n"/>
      <c r="J390" s="76" t="n"/>
      <c r="K390" s="77" t="str">
        <f>IF(AB390=1,ROUND(AG390/60,4),"")</f>
        <v/>
      </c>
      <c r="L390" s="77" t="str">
        <f>IF(BD390=1,ROUND(AP390/60,4),"")</f>
        <v/>
      </c>
      <c r="M390" s="77" t="str">
        <f>IF(BD390=1,ROUND(AQ390/60,4),"")</f>
        <v/>
      </c>
      <c r="N390" s="71" t="str">
        <f>IF(AND(D390="proMX",AB390=1),ROUND(AG390/CFG_BLK,2),"")</f>
        <v/>
      </c>
      <c r="O390" s="77" t="str">
        <f>IF(D390="proMX",IF(BD390=1,ROUND(AG390/60,4),0),"")</f>
        <v/>
      </c>
      <c r="P390" s="78" t="str">
        <f>IF(Y390=0,"",IF(BD390=1,"OK",IF(D390="proMX","Revisar bloques: ","Revisar: ")&amp;BC390))</f>
        <v/>
      </c>
      <c r="Q390" s="78" t="str">
        <f>IF(NOT(ISNUMBER(B390)),"",IF(COUNTIFS(FER_F,INT(B390))&gt;0,"Feriado"&amp;IF(AH390=1," (laborable)"," (no laborable)"),IF(AH390=1,"Laborable",IF(WEEKDAY(B390,2)&gt;5,"Fin de semana","No laborable"))))</f>
        <v/>
      </c>
      <c r="R390" s="73" t="n"/>
      <c r="S390" s="72" t="n"/>
      <c r="T390" s="72" t="n"/>
      <c r="U390" s="74" t="n"/>
      <c r="V390" s="79" t="str">
        <f>IF(AND(D390="proMX",OR(R390="Submitted",R390="Recall Requested"),ISNUMBER(S390)),CFG_TODAY-INT(S390),"")</f>
        <v/>
      </c>
      <c r="W390" s="78" t="str">
        <f>IF(BD390=0,"",IF(BA390&gt;0,"⚠ Se superpone con un registro de la otra empresa",IF(D390="Malcolm",IF(COUNTA(R390,S390,T390)&gt;0,"Estado/fechas proMX se ignoran en Malcolm",""),IF(BF390="Cancelled","Cancelado: excluido de totales",IF(R390="","Sin estado: se trata como Draft",IF(BF390="Submitted",IF(ISNUMBER(V390),IF(V390&gt;CFG_MAXD,"⚠ "&amp;V390&amp;" días en Submitted (máx. "&amp;CFG_MAXD&amp;")",""),"Falta fecha de envío"),IF(BF390="Returned","⚠ Devuelto: corregir y reenviar",IF(BF390="Recall Requested","Retirada solicitada: pendiente",IF(AND(BF390="Approved",NOT(ISNUMBER(T390))),"Falta fecha de aprobación",IF(AND(ISNUMBER(S390),ISNUMBER(T390),T390&lt;S390),"Aprobación anterior al envío","")))))))))</f>
        <v/>
      </c>
      <c r="Y390" s="80">
        <f>IF(COUNTA(B390,D390,E390,F390,G390,H390,I390,J390,R390,S390,T390)&gt;0,1,0)</f>
        <v>0</v>
      </c>
      <c r="Z390" s="80" t="str">
        <f>IF(AND(ISNUMBER(H390),H390&gt;=0,H390&lt;1),ROUND(H390*1440,0),"")</f>
        <v/>
      </c>
      <c r="AA390" s="80" t="str">
        <f>IF(AND(ISNUMBER(I390),I390&gt;=0,I390&lt;1),ROUND(I390*1440,0),"")</f>
        <v/>
      </c>
      <c r="AB390" s="80">
        <f>IF(AND(ISNUMBER(B390),D390&lt;&gt;"",ISNUMBER(Z390),ISNUMBER(AA390)),IF(Z390=AA390,0,1),0)</f>
        <v>0</v>
      </c>
      <c r="AC390" s="80">
        <f>IF(AB390=1,IF(AA390&lt;Z390,1,0),0)</f>
        <v>0</v>
      </c>
      <c r="AD390" s="80">
        <f>IF(AB390=1,IF(AC390=1,1440-Z390+AA390,AA390-Z390),0)</f>
        <v>0</v>
      </c>
      <c r="AE390" s="80">
        <f>IF(J390="",0,IF(ISNUMBER(J390),J390,-1))</f>
        <v>0</v>
      </c>
      <c r="AF390" s="80">
        <f>MIN(MAX(0,AE390),AD390)</f>
        <v>0</v>
      </c>
      <c r="AG390" s="80">
        <f>MAX(0,AD390-MAX(0,AE390))</f>
        <v>0</v>
      </c>
      <c r="AH390" s="80">
        <f>IF(ISNUMBER(B390),IF(AND(INDEX(CFG_WDAYS,WEEKDAY(INT(B390),2))="Sí",IF(D390="proMX",COUNTIFS(FER_F,INT(B390),FER_NLP,"Sí"),COUNTIFS(FER_F,INT(B390),FER_NLM,"Sí"))=0),1,0),0)</f>
        <v>0</v>
      </c>
      <c r="AI390" s="80">
        <f>IF(AC390=1,IF(AND(INDEX(CFG_WDAYS,WEEKDAY(INT(B390)+1,2))="Sí",IF(D390="proMX",COUNTIFS(FER_F,INT(B390)+1,FER_NLP,"Sí"),COUNTIFS(FER_F,INT(B390)+1,FER_NLM,"Sí"))=0),1,0),0)</f>
        <v>0</v>
      </c>
      <c r="AJ390" s="80">
        <f>IF(AC390=1,1440-Z390,AD390)</f>
        <v>0</v>
      </c>
      <c r="AK390" s="80">
        <f>IF(AND(AB390=1,AH390=1),MAX(0,MIN(IF(AC390=1,1440,AA390),CFG_WEM)-MAX(Z390,CFG_WSM)),0)</f>
        <v>0</v>
      </c>
      <c r="AL390" s="80">
        <f>IF(AND(AC390=1,AI390=1),MAX(0,MIN(AA390,CFG_WEM)-CFG_WSM),0)</f>
        <v>0</v>
      </c>
      <c r="AM390" s="80">
        <f>AK390+AL390</f>
        <v>0</v>
      </c>
      <c r="AN390" s="80">
        <f>IF(CFG_BRK="Proporcional",IF(AD390=0,0,AF390*AM390/AD390),IF(CFG_BRK="Extras primero",MIN(AM390,MAX(0,AF390-(AD390-AM390))),MIN(AF390,AM390)))</f>
        <v>0</v>
      </c>
      <c r="AO390" s="80">
        <f>AF390-AN390</f>
        <v>0</v>
      </c>
      <c r="AP390" s="80">
        <f>AM390-AN390</f>
        <v>0</v>
      </c>
      <c r="AQ390" s="80">
        <f>AD390-AM390-AO390</f>
        <v>0</v>
      </c>
      <c r="AR390" s="80">
        <f>IF(AM390=0,0,AK390-AN390*AK390/AM390)</f>
        <v>0</v>
      </c>
      <c r="AS390" s="80">
        <f>IF(AD390-AM390=0,0,(AJ390-AK390)-AO390*(AJ390-AK390)/(AD390-AM390))</f>
        <v>0</v>
      </c>
      <c r="AT390" s="80" t="str">
        <f>IF(AC390=1,INT(B390)+1,"")</f>
        <v/>
      </c>
      <c r="AU390" s="80">
        <f>IF(AND(D390="proMX",R390="Cancelled"),0,1)</f>
        <v>1</v>
      </c>
      <c r="AV390" s="80">
        <f>IF(AND(AB390=1,AU390=1),IF(COUNTIFS($D$5:D389,D390,$B$5:B389,B390,$Z$5:Z389,Z390,$AA$5:AA389,AA390,$F$5:F389,F390&amp;"",$AU$5:AU389,1)&gt;0,1,0),0)</f>
        <v>0</v>
      </c>
      <c r="AW390" s="80" t="str">
        <f>IF(AB390=1,INT(B390)*1440+Z390,"")</f>
        <v/>
      </c>
      <c r="AX390" s="80" t="str">
        <f>IF(AB390=1,AW390+AD390,"")</f>
        <v/>
      </c>
      <c r="AY390" s="80">
        <f>IF(AND(AB390=1,AV390=0,AU390=1),1,0)</f>
        <v>0</v>
      </c>
      <c r="AZ390" s="80">
        <f>IF(AY390=1,COUNTIFS(R_Emp,D390,R_SAbs,"&lt;"&amp;AX390,R_EAbs,"&gt;"&amp;AW390,R_OKey,1)-1,0)</f>
        <v>0</v>
      </c>
      <c r="BA390" s="80">
        <f>IF(AY390=1,COUNTIFS(R_Emp,"&lt;&gt;"&amp;D390,R_SAbs,"&lt;"&amp;AX390,R_EAbs,"&gt;"&amp;AW390,R_OKey,1),0)</f>
        <v>0</v>
      </c>
      <c r="BB390" s="80">
        <f>IF(AND(AB390=1,D390="proMX"),IF(AND(MOD(Z390,CFG_BLK)=0,MOD(AA390,CFG_BLK)=0,MOD(AG390,CFG_BLK)=0,AG390&gt;0),1,0),1)</f>
        <v>1</v>
      </c>
      <c r="BC390" s="80" t="str">
        <f>IF(Y390=0,"",IF(NOT(ISNUMBER(B390)),"Falta fecha o fecha inválida",IF(D390="","Falta empresa",IF(AND(D390&lt;&gt;"Malcolm",D390&lt;&gt;"proMX"),"Empresa inválida",IF(OR(INT(B390)&lt;CFG_PSTART,INT(B390)&gt;CFG_PEND),"Fecha fuera del período",IF(OR(NOT(ISNUMBER(Z390)),NOT(ISNUMBER(AA390))),"Falta hora inicio/fin o formato inválido",IF(AB390=0,"Hora inicio = hora fin",IF(AE390&lt;0,"Descanso inválido",IF(AE390&gt;=AD390,"Descanso ≥ duración",IF(AV390=1,"Registro duplicado",IF(AZ390&gt;0,"Se superpone con otro registro "&amp;D390,IF(BB390=0,"inicio, fin y duración neta deben ser múltiplos de "&amp;CFG_BLK&amp;" min",""))))))))))))</f>
        <v/>
      </c>
      <c r="BD390" s="80">
        <f>IF(AND(Y390=1,BC390=""),1,0)</f>
        <v>0</v>
      </c>
      <c r="BE390" s="80">
        <f>IF(AND(BD390=1,AU390=1),1,0)</f>
        <v>0</v>
      </c>
      <c r="BF390" s="80" t="str">
        <f>IF(AND(D390="proMX",BD390=1),IF(R390="","Draft",R390),"")</f>
        <v/>
      </c>
      <c r="BG390" s="80">
        <f>IF(BD390=1,ROUND(AG390/60,6),0)</f>
        <v>0</v>
      </c>
      <c r="BH390" s="80">
        <f>IF(BE390=1,ROUND(AG390/60,6),0)</f>
        <v>0</v>
      </c>
      <c r="BI390" s="80">
        <f>IF(BE390=1,ROUND(AP390/60,6),0)</f>
        <v>0</v>
      </c>
      <c r="BJ390" s="80">
        <f>IF(BE390=1,ROUND(AQ390/60,6),0)</f>
        <v>0</v>
      </c>
      <c r="BK390" s="80">
        <f>IF(BE390=1,ROUND((AR390+AS390)/60,6),0)</f>
        <v>0</v>
      </c>
      <c r="BL390" s="80">
        <f>ROUND(BH390-BK390,6)</f>
        <v>0</v>
      </c>
      <c r="BM390" s="80">
        <f>IF(BE390=1,ROUND(AR390/60,6),0)</f>
        <v>0</v>
      </c>
      <c r="BN390" s="80">
        <f>ROUND(BI390-BM390,6)</f>
        <v>0</v>
      </c>
      <c r="BO390" s="80">
        <f>IF(BE390=1,ROUND(AS390/60,6),0)</f>
        <v>0</v>
      </c>
      <c r="BP390" s="80">
        <f>ROUND(BJ390-BO390,6)</f>
        <v>0</v>
      </c>
      <c r="BQ390" s="80">
        <f>IF(BE390=1,AW390,0)</f>
        <v>0</v>
      </c>
      <c r="BR390" s="80">
        <f>IF(BE390=1,AX390,0)</f>
        <v>0</v>
      </c>
      <c r="BS390" s="80">
        <f>IF(AND(BE390=1,D390="Malcolm",BA390&gt;0),MIN(BH390,SUMPRODUCT((R_Emp="proMX")*(R_EN&gt;0)*((R_EN-(R_EN&gt;BR390)*(R_EN-BR390))&gt;(R_SN+(R_SN&lt;BQ390)*(BQ390-R_SN)))*((R_EN-(R_EN&gt;BR390)*(R_EN-BR390))-(R_SN+(R_SN&lt;BQ390)*(BQ390-R_SN))))/60),0)</f>
        <v>0</v>
      </c>
      <c r="BT390" s="80">
        <f>IF(AND(BE390=1,D390="proMX"),ROUND(BI390*CFG_RATE+BJ390*CFG_OTRATE,6),0)</f>
        <v>0</v>
      </c>
      <c r="BU390" s="80">
        <f>IF(AND(BD390=1,D390="proMX"),ROUND(AG390/CFG_BLK,6),0)</f>
        <v>0</v>
      </c>
      <c r="BV390" s="80" t="str">
        <f>IF(BF390="Approved",IF(ISNUMBER(T390),INT(T390),INT(B390)),"")</f>
        <v/>
      </c>
      <c r="BW390" s="80">
        <f>IF(ISNUMBER(B390),IF(DB_MON="Todos",1,IF(AND(INT(B390)&gt;=DB_MS,INT(B390)&lt;=DB_ME),1,0)),0)</f>
        <v>0</v>
      </c>
      <c r="BX390" s="80">
        <f>IF(DB_PROJ="Todos",1,IF(E390&amp;""=DB_PROJ&amp;"",1,0))</f>
        <v>1</v>
      </c>
      <c r="BY390" s="80">
        <f>BW390*BX390</f>
        <v>0</v>
      </c>
      <c r="BZ390" s="80" t="str">
        <f>IF(Y390=1,F390&amp;IF(AND(F390&amp;""&lt;&gt;"",E390&amp;""&lt;&gt;"")," · ","")&amp;E390,"")</f>
        <v/>
      </c>
      <c r="CA390" s="80" t="str">
        <f>IF(AND(BD390=1,E390&amp;""&lt;&gt;""),IF(COUNTIFS($E$5:E389,E390,$BD$5:BD389,1)=0,MAX($CA$5:CA389)+1,""),"")</f>
        <v/>
      </c>
      <c r="CB390" s="80" t="str">
        <f>IF(AND(BE390=1,D390="Malcolm",E390&amp;""&lt;&gt;""),IF(COUNTIFS($D$5:D389,"Malcolm",$E$5:E389,E390,$BE$5:BE389,1)=0,MAX($CB$5:CB389)+1,""),"")</f>
        <v/>
      </c>
      <c r="CC390" s="80" t="str">
        <f>IF(AND(BD390=1,D390="proMX",E390&amp;""&lt;&gt;""),IF(COUNTIFS($D$5:D389,"proMX",$E$5:E389,E390,$BD$5:BD389,1)=0,MAX($CC$5:CC389)+1,""),"")</f>
        <v/>
      </c>
      <c r="CD390" s="80" t="str">
        <f>IF(AND(BE390=1,D390="Malcolm",F390&amp;""&lt;&gt;""),IF(COUNTIFS($D$5:D389,"Malcolm",$F$5:F389,F390,$BE$5:BE389,1)=0,MAX($CD$5:CD389)+1,""),"")</f>
        <v/>
      </c>
      <c r="CE390" s="80" t="str">
        <f>IF(AND(BD390=1,D390="proMX",F390&amp;""&lt;&gt;""),IF(COUNTIFS($D$5:D389,"proMX",$F$5:F389,F390,$BD$5:BD389,1)=0,MAX($CE$5:CE389)+1,""),"")</f>
        <v/>
      </c>
      <c r="CF390" s="80" t="str">
        <f>IF(AND(D390="proMX",BD390=1),IF(OR(BF390="Draft",BF390="Submitted",BF390="Returned",BF390="Recall Requested"),MAX($CF$5:CF389)+1,""),"")</f>
        <v/>
      </c>
      <c r="CG390" s="80">
        <f>IF(BD390=0,0,IF(D390="Malcolm",1,MATCH(BF390,{"Draft","Submitted","Approved","Returned","Recall Requested","Cancelled"},0)+1))</f>
        <v>0</v>
      </c>
      <c r="CH390" s="80">
        <f>IF(AND(BF390="Submitted",ISNUMBER(V390)),IF(V390&gt;CFG_MAXD,1,0),0)</f>
        <v>0</v>
      </c>
    </row>
    <row r="391">
      <c r="A391" s="71" t="str">
        <f>IF(Y391=1,ROW()-5,"")</f>
        <v/>
      </c>
      <c r="B391" s="72" t="n"/>
      <c r="C391" s="71" t="str">
        <f>IF(ISNUMBER(B391),CHOOSE(WEEKDAY(B391,2),"Lun","Mar","Mié","Jue","Vie","Sáb","Dom"),"")</f>
        <v/>
      </c>
      <c r="D391" s="73" t="n"/>
      <c r="E391" s="74" t="n"/>
      <c r="F391" s="74" t="n"/>
      <c r="G391" s="74" t="n"/>
      <c r="H391" s="75" t="n"/>
      <c r="I391" s="75" t="n"/>
      <c r="J391" s="76" t="n"/>
      <c r="K391" s="77" t="str">
        <f>IF(AB391=1,ROUND(AG391/60,4),"")</f>
        <v/>
      </c>
      <c r="L391" s="77" t="str">
        <f>IF(BD391=1,ROUND(AP391/60,4),"")</f>
        <v/>
      </c>
      <c r="M391" s="77" t="str">
        <f>IF(BD391=1,ROUND(AQ391/60,4),"")</f>
        <v/>
      </c>
      <c r="N391" s="71" t="str">
        <f>IF(AND(D391="proMX",AB391=1),ROUND(AG391/CFG_BLK,2),"")</f>
        <v/>
      </c>
      <c r="O391" s="77" t="str">
        <f>IF(D391="proMX",IF(BD391=1,ROUND(AG391/60,4),0),"")</f>
        <v/>
      </c>
      <c r="P391" s="78" t="str">
        <f>IF(Y391=0,"",IF(BD391=1,"OK",IF(D391="proMX","Revisar bloques: ","Revisar: ")&amp;BC391))</f>
        <v/>
      </c>
      <c r="Q391" s="78" t="str">
        <f>IF(NOT(ISNUMBER(B391)),"",IF(COUNTIFS(FER_F,INT(B391))&gt;0,"Feriado"&amp;IF(AH391=1," (laborable)"," (no laborable)"),IF(AH391=1,"Laborable",IF(WEEKDAY(B391,2)&gt;5,"Fin de semana","No laborable"))))</f>
        <v/>
      </c>
      <c r="R391" s="73" t="n"/>
      <c r="S391" s="72" t="n"/>
      <c r="T391" s="72" t="n"/>
      <c r="U391" s="74" t="n"/>
      <c r="V391" s="79" t="str">
        <f>IF(AND(D391="proMX",OR(R391="Submitted",R391="Recall Requested"),ISNUMBER(S391)),CFG_TODAY-INT(S391),"")</f>
        <v/>
      </c>
      <c r="W391" s="78" t="str">
        <f>IF(BD391=0,"",IF(BA391&gt;0,"⚠ Se superpone con un registro de la otra empresa",IF(D391="Malcolm",IF(COUNTA(R391,S391,T391)&gt;0,"Estado/fechas proMX se ignoran en Malcolm",""),IF(BF391="Cancelled","Cancelado: excluido de totales",IF(R391="","Sin estado: se trata como Draft",IF(BF391="Submitted",IF(ISNUMBER(V391),IF(V391&gt;CFG_MAXD,"⚠ "&amp;V391&amp;" días en Submitted (máx. "&amp;CFG_MAXD&amp;")",""),"Falta fecha de envío"),IF(BF391="Returned","⚠ Devuelto: corregir y reenviar",IF(BF391="Recall Requested","Retirada solicitada: pendiente",IF(AND(BF391="Approved",NOT(ISNUMBER(T391))),"Falta fecha de aprobación",IF(AND(ISNUMBER(S391),ISNUMBER(T391),T391&lt;S391),"Aprobación anterior al envío","")))))))))</f>
        <v/>
      </c>
      <c r="Y391" s="80">
        <f>IF(COUNTA(B391,D391,E391,F391,G391,H391,I391,J391,R391,S391,T391)&gt;0,1,0)</f>
        <v>0</v>
      </c>
      <c r="Z391" s="80" t="str">
        <f>IF(AND(ISNUMBER(H391),H391&gt;=0,H391&lt;1),ROUND(H391*1440,0),"")</f>
        <v/>
      </c>
      <c r="AA391" s="80" t="str">
        <f>IF(AND(ISNUMBER(I391),I391&gt;=0,I391&lt;1),ROUND(I391*1440,0),"")</f>
        <v/>
      </c>
      <c r="AB391" s="80">
        <f>IF(AND(ISNUMBER(B391),D391&lt;&gt;"",ISNUMBER(Z391),ISNUMBER(AA391)),IF(Z391=AA391,0,1),0)</f>
        <v>0</v>
      </c>
      <c r="AC391" s="80">
        <f>IF(AB391=1,IF(AA391&lt;Z391,1,0),0)</f>
        <v>0</v>
      </c>
      <c r="AD391" s="80">
        <f>IF(AB391=1,IF(AC391=1,1440-Z391+AA391,AA391-Z391),0)</f>
        <v>0</v>
      </c>
      <c r="AE391" s="80">
        <f>IF(J391="",0,IF(ISNUMBER(J391),J391,-1))</f>
        <v>0</v>
      </c>
      <c r="AF391" s="80">
        <f>MIN(MAX(0,AE391),AD391)</f>
        <v>0</v>
      </c>
      <c r="AG391" s="80">
        <f>MAX(0,AD391-MAX(0,AE391))</f>
        <v>0</v>
      </c>
      <c r="AH391" s="80">
        <f>IF(ISNUMBER(B391),IF(AND(INDEX(CFG_WDAYS,WEEKDAY(INT(B391),2))="Sí",IF(D391="proMX",COUNTIFS(FER_F,INT(B391),FER_NLP,"Sí"),COUNTIFS(FER_F,INT(B391),FER_NLM,"Sí"))=0),1,0),0)</f>
        <v>0</v>
      </c>
      <c r="AI391" s="80">
        <f>IF(AC391=1,IF(AND(INDEX(CFG_WDAYS,WEEKDAY(INT(B391)+1,2))="Sí",IF(D391="proMX",COUNTIFS(FER_F,INT(B391)+1,FER_NLP,"Sí"),COUNTIFS(FER_F,INT(B391)+1,FER_NLM,"Sí"))=0),1,0),0)</f>
        <v>0</v>
      </c>
      <c r="AJ391" s="80">
        <f>IF(AC391=1,1440-Z391,AD391)</f>
        <v>0</v>
      </c>
      <c r="AK391" s="80">
        <f>IF(AND(AB391=1,AH391=1),MAX(0,MIN(IF(AC391=1,1440,AA391),CFG_WEM)-MAX(Z391,CFG_WSM)),0)</f>
        <v>0</v>
      </c>
      <c r="AL391" s="80">
        <f>IF(AND(AC391=1,AI391=1),MAX(0,MIN(AA391,CFG_WEM)-CFG_WSM),0)</f>
        <v>0</v>
      </c>
      <c r="AM391" s="80">
        <f>AK391+AL391</f>
        <v>0</v>
      </c>
      <c r="AN391" s="80">
        <f>IF(CFG_BRK="Proporcional",IF(AD391=0,0,AF391*AM391/AD391),IF(CFG_BRK="Extras primero",MIN(AM391,MAX(0,AF391-(AD391-AM391))),MIN(AF391,AM391)))</f>
        <v>0</v>
      </c>
      <c r="AO391" s="80">
        <f>AF391-AN391</f>
        <v>0</v>
      </c>
      <c r="AP391" s="80">
        <f>AM391-AN391</f>
        <v>0</v>
      </c>
      <c r="AQ391" s="80">
        <f>AD391-AM391-AO391</f>
        <v>0</v>
      </c>
      <c r="AR391" s="80">
        <f>IF(AM391=0,0,AK391-AN391*AK391/AM391)</f>
        <v>0</v>
      </c>
      <c r="AS391" s="80">
        <f>IF(AD391-AM391=0,0,(AJ391-AK391)-AO391*(AJ391-AK391)/(AD391-AM391))</f>
        <v>0</v>
      </c>
      <c r="AT391" s="80" t="str">
        <f>IF(AC391=1,INT(B391)+1,"")</f>
        <v/>
      </c>
      <c r="AU391" s="80">
        <f>IF(AND(D391="proMX",R391="Cancelled"),0,1)</f>
        <v>1</v>
      </c>
      <c r="AV391" s="80">
        <f>IF(AND(AB391=1,AU391=1),IF(COUNTIFS($D$5:D390,D391,$B$5:B390,B391,$Z$5:Z390,Z391,$AA$5:AA390,AA391,$F$5:F390,F391&amp;"",$AU$5:AU390,1)&gt;0,1,0),0)</f>
        <v>0</v>
      </c>
      <c r="AW391" s="80" t="str">
        <f>IF(AB391=1,INT(B391)*1440+Z391,"")</f>
        <v/>
      </c>
      <c r="AX391" s="80" t="str">
        <f>IF(AB391=1,AW391+AD391,"")</f>
        <v/>
      </c>
      <c r="AY391" s="80">
        <f>IF(AND(AB391=1,AV391=0,AU391=1),1,0)</f>
        <v>0</v>
      </c>
      <c r="AZ391" s="80">
        <f>IF(AY391=1,COUNTIFS(R_Emp,D391,R_SAbs,"&lt;"&amp;AX391,R_EAbs,"&gt;"&amp;AW391,R_OKey,1)-1,0)</f>
        <v>0</v>
      </c>
      <c r="BA391" s="80">
        <f>IF(AY391=1,COUNTIFS(R_Emp,"&lt;&gt;"&amp;D391,R_SAbs,"&lt;"&amp;AX391,R_EAbs,"&gt;"&amp;AW391,R_OKey,1),0)</f>
        <v>0</v>
      </c>
      <c r="BB391" s="80">
        <f>IF(AND(AB391=1,D391="proMX"),IF(AND(MOD(Z391,CFG_BLK)=0,MOD(AA391,CFG_BLK)=0,MOD(AG391,CFG_BLK)=0,AG391&gt;0),1,0),1)</f>
        <v>1</v>
      </c>
      <c r="BC391" s="80" t="str">
        <f>IF(Y391=0,"",IF(NOT(ISNUMBER(B391)),"Falta fecha o fecha inválida",IF(D391="","Falta empresa",IF(AND(D391&lt;&gt;"Malcolm",D391&lt;&gt;"proMX"),"Empresa inválida",IF(OR(INT(B391)&lt;CFG_PSTART,INT(B391)&gt;CFG_PEND),"Fecha fuera del período",IF(OR(NOT(ISNUMBER(Z391)),NOT(ISNUMBER(AA391))),"Falta hora inicio/fin o formato inválido",IF(AB391=0,"Hora inicio = hora fin",IF(AE391&lt;0,"Descanso inválido",IF(AE391&gt;=AD391,"Descanso ≥ duración",IF(AV391=1,"Registro duplicado",IF(AZ391&gt;0,"Se superpone con otro registro "&amp;D391,IF(BB391=0,"inicio, fin y duración neta deben ser múltiplos de "&amp;CFG_BLK&amp;" min",""))))))))))))</f>
        <v/>
      </c>
      <c r="BD391" s="80">
        <f>IF(AND(Y391=1,BC391=""),1,0)</f>
        <v>0</v>
      </c>
      <c r="BE391" s="80">
        <f>IF(AND(BD391=1,AU391=1),1,0)</f>
        <v>0</v>
      </c>
      <c r="BF391" s="80" t="str">
        <f>IF(AND(D391="proMX",BD391=1),IF(R391="","Draft",R391),"")</f>
        <v/>
      </c>
      <c r="BG391" s="80">
        <f>IF(BD391=1,ROUND(AG391/60,6),0)</f>
        <v>0</v>
      </c>
      <c r="BH391" s="80">
        <f>IF(BE391=1,ROUND(AG391/60,6),0)</f>
        <v>0</v>
      </c>
      <c r="BI391" s="80">
        <f>IF(BE391=1,ROUND(AP391/60,6),0)</f>
        <v>0</v>
      </c>
      <c r="BJ391" s="80">
        <f>IF(BE391=1,ROUND(AQ391/60,6),0)</f>
        <v>0</v>
      </c>
      <c r="BK391" s="80">
        <f>IF(BE391=1,ROUND((AR391+AS391)/60,6),0)</f>
        <v>0</v>
      </c>
      <c r="BL391" s="80">
        <f>ROUND(BH391-BK391,6)</f>
        <v>0</v>
      </c>
      <c r="BM391" s="80">
        <f>IF(BE391=1,ROUND(AR391/60,6),0)</f>
        <v>0</v>
      </c>
      <c r="BN391" s="80">
        <f>ROUND(BI391-BM391,6)</f>
        <v>0</v>
      </c>
      <c r="BO391" s="80">
        <f>IF(BE391=1,ROUND(AS391/60,6),0)</f>
        <v>0</v>
      </c>
      <c r="BP391" s="80">
        <f>ROUND(BJ391-BO391,6)</f>
        <v>0</v>
      </c>
      <c r="BQ391" s="80">
        <f>IF(BE391=1,AW391,0)</f>
        <v>0</v>
      </c>
      <c r="BR391" s="80">
        <f>IF(BE391=1,AX391,0)</f>
        <v>0</v>
      </c>
      <c r="BS391" s="80">
        <f>IF(AND(BE391=1,D391="Malcolm",BA391&gt;0),MIN(BH391,SUMPRODUCT((R_Emp="proMX")*(R_EN&gt;0)*((R_EN-(R_EN&gt;BR391)*(R_EN-BR391))&gt;(R_SN+(R_SN&lt;BQ391)*(BQ391-R_SN)))*((R_EN-(R_EN&gt;BR391)*(R_EN-BR391))-(R_SN+(R_SN&lt;BQ391)*(BQ391-R_SN))))/60),0)</f>
        <v>0</v>
      </c>
      <c r="BT391" s="80">
        <f>IF(AND(BE391=1,D391="proMX"),ROUND(BI391*CFG_RATE+BJ391*CFG_OTRATE,6),0)</f>
        <v>0</v>
      </c>
      <c r="BU391" s="80">
        <f>IF(AND(BD391=1,D391="proMX"),ROUND(AG391/CFG_BLK,6),0)</f>
        <v>0</v>
      </c>
      <c r="BV391" s="80" t="str">
        <f>IF(BF391="Approved",IF(ISNUMBER(T391),INT(T391),INT(B391)),"")</f>
        <v/>
      </c>
      <c r="BW391" s="80">
        <f>IF(ISNUMBER(B391),IF(DB_MON="Todos",1,IF(AND(INT(B391)&gt;=DB_MS,INT(B391)&lt;=DB_ME),1,0)),0)</f>
        <v>0</v>
      </c>
      <c r="BX391" s="80">
        <f>IF(DB_PROJ="Todos",1,IF(E391&amp;""=DB_PROJ&amp;"",1,0))</f>
        <v>1</v>
      </c>
      <c r="BY391" s="80">
        <f>BW391*BX391</f>
        <v>0</v>
      </c>
      <c r="BZ391" s="80" t="str">
        <f>IF(Y391=1,F391&amp;IF(AND(F391&amp;""&lt;&gt;"",E391&amp;""&lt;&gt;"")," · ","")&amp;E391,"")</f>
        <v/>
      </c>
      <c r="CA391" s="80" t="str">
        <f>IF(AND(BD391=1,E391&amp;""&lt;&gt;""),IF(COUNTIFS($E$5:E390,E391,$BD$5:BD390,1)=0,MAX($CA$5:CA390)+1,""),"")</f>
        <v/>
      </c>
      <c r="CB391" s="80" t="str">
        <f>IF(AND(BE391=1,D391="Malcolm",E391&amp;""&lt;&gt;""),IF(COUNTIFS($D$5:D390,"Malcolm",$E$5:E390,E391,$BE$5:BE390,1)=0,MAX($CB$5:CB390)+1,""),"")</f>
        <v/>
      </c>
      <c r="CC391" s="80" t="str">
        <f>IF(AND(BD391=1,D391="proMX",E391&amp;""&lt;&gt;""),IF(COUNTIFS($D$5:D390,"proMX",$E$5:E390,E391,$BD$5:BD390,1)=0,MAX($CC$5:CC390)+1,""),"")</f>
        <v/>
      </c>
      <c r="CD391" s="80" t="str">
        <f>IF(AND(BE391=1,D391="Malcolm",F391&amp;""&lt;&gt;""),IF(COUNTIFS($D$5:D390,"Malcolm",$F$5:F390,F391,$BE$5:BE390,1)=0,MAX($CD$5:CD390)+1,""),"")</f>
        <v/>
      </c>
      <c r="CE391" s="80" t="str">
        <f>IF(AND(BD391=1,D391="proMX",F391&amp;""&lt;&gt;""),IF(COUNTIFS($D$5:D390,"proMX",$F$5:F390,F391,$BD$5:BD390,1)=0,MAX($CE$5:CE390)+1,""),"")</f>
        <v/>
      </c>
      <c r="CF391" s="80" t="str">
        <f>IF(AND(D391="proMX",BD391=1),IF(OR(BF391="Draft",BF391="Submitted",BF391="Returned",BF391="Recall Requested"),MAX($CF$5:CF390)+1,""),"")</f>
        <v/>
      </c>
      <c r="CG391" s="80">
        <f>IF(BD391=0,0,IF(D391="Malcolm",1,MATCH(BF391,{"Draft","Submitted","Approved","Returned","Recall Requested","Cancelled"},0)+1))</f>
        <v>0</v>
      </c>
      <c r="CH391" s="80">
        <f>IF(AND(BF391="Submitted",ISNUMBER(V391)),IF(V391&gt;CFG_MAXD,1,0),0)</f>
        <v>0</v>
      </c>
    </row>
    <row r="392">
      <c r="A392" s="71" t="str">
        <f>IF(Y392=1,ROW()-5,"")</f>
        <v/>
      </c>
      <c r="B392" s="72" t="n"/>
      <c r="C392" s="71" t="str">
        <f>IF(ISNUMBER(B392),CHOOSE(WEEKDAY(B392,2),"Lun","Mar","Mié","Jue","Vie","Sáb","Dom"),"")</f>
        <v/>
      </c>
      <c r="D392" s="73" t="n"/>
      <c r="E392" s="74" t="n"/>
      <c r="F392" s="74" t="n"/>
      <c r="G392" s="74" t="n"/>
      <c r="H392" s="75" t="n"/>
      <c r="I392" s="75" t="n"/>
      <c r="J392" s="76" t="n"/>
      <c r="K392" s="77" t="str">
        <f>IF(AB392=1,ROUND(AG392/60,4),"")</f>
        <v/>
      </c>
      <c r="L392" s="77" t="str">
        <f>IF(BD392=1,ROUND(AP392/60,4),"")</f>
        <v/>
      </c>
      <c r="M392" s="77" t="str">
        <f>IF(BD392=1,ROUND(AQ392/60,4),"")</f>
        <v/>
      </c>
      <c r="N392" s="71" t="str">
        <f>IF(AND(D392="proMX",AB392=1),ROUND(AG392/CFG_BLK,2),"")</f>
        <v/>
      </c>
      <c r="O392" s="77" t="str">
        <f>IF(D392="proMX",IF(BD392=1,ROUND(AG392/60,4),0),"")</f>
        <v/>
      </c>
      <c r="P392" s="78" t="str">
        <f>IF(Y392=0,"",IF(BD392=1,"OK",IF(D392="proMX","Revisar bloques: ","Revisar: ")&amp;BC392))</f>
        <v/>
      </c>
      <c r="Q392" s="78" t="str">
        <f>IF(NOT(ISNUMBER(B392)),"",IF(COUNTIFS(FER_F,INT(B392))&gt;0,"Feriado"&amp;IF(AH392=1," (laborable)"," (no laborable)"),IF(AH392=1,"Laborable",IF(WEEKDAY(B392,2)&gt;5,"Fin de semana","No laborable"))))</f>
        <v/>
      </c>
      <c r="R392" s="73" t="n"/>
      <c r="S392" s="72" t="n"/>
      <c r="T392" s="72" t="n"/>
      <c r="U392" s="74" t="n"/>
      <c r="V392" s="79" t="str">
        <f>IF(AND(D392="proMX",OR(R392="Submitted",R392="Recall Requested"),ISNUMBER(S392)),CFG_TODAY-INT(S392),"")</f>
        <v/>
      </c>
      <c r="W392" s="78" t="str">
        <f>IF(BD392=0,"",IF(BA392&gt;0,"⚠ Se superpone con un registro de la otra empresa",IF(D392="Malcolm",IF(COUNTA(R392,S392,T392)&gt;0,"Estado/fechas proMX se ignoran en Malcolm",""),IF(BF392="Cancelled","Cancelado: excluido de totales",IF(R392="","Sin estado: se trata como Draft",IF(BF392="Submitted",IF(ISNUMBER(V392),IF(V392&gt;CFG_MAXD,"⚠ "&amp;V392&amp;" días en Submitted (máx. "&amp;CFG_MAXD&amp;")",""),"Falta fecha de envío"),IF(BF392="Returned","⚠ Devuelto: corregir y reenviar",IF(BF392="Recall Requested","Retirada solicitada: pendiente",IF(AND(BF392="Approved",NOT(ISNUMBER(T392))),"Falta fecha de aprobación",IF(AND(ISNUMBER(S392),ISNUMBER(T392),T392&lt;S392),"Aprobación anterior al envío","")))))))))</f>
        <v/>
      </c>
      <c r="Y392" s="80">
        <f>IF(COUNTA(B392,D392,E392,F392,G392,H392,I392,J392,R392,S392,T392)&gt;0,1,0)</f>
        <v>0</v>
      </c>
      <c r="Z392" s="80" t="str">
        <f>IF(AND(ISNUMBER(H392),H392&gt;=0,H392&lt;1),ROUND(H392*1440,0),"")</f>
        <v/>
      </c>
      <c r="AA392" s="80" t="str">
        <f>IF(AND(ISNUMBER(I392),I392&gt;=0,I392&lt;1),ROUND(I392*1440,0),"")</f>
        <v/>
      </c>
      <c r="AB392" s="80">
        <f>IF(AND(ISNUMBER(B392),D392&lt;&gt;"",ISNUMBER(Z392),ISNUMBER(AA392)),IF(Z392=AA392,0,1),0)</f>
        <v>0</v>
      </c>
      <c r="AC392" s="80">
        <f>IF(AB392=1,IF(AA392&lt;Z392,1,0),0)</f>
        <v>0</v>
      </c>
      <c r="AD392" s="80">
        <f>IF(AB392=1,IF(AC392=1,1440-Z392+AA392,AA392-Z392),0)</f>
        <v>0</v>
      </c>
      <c r="AE392" s="80">
        <f>IF(J392="",0,IF(ISNUMBER(J392),J392,-1))</f>
        <v>0</v>
      </c>
      <c r="AF392" s="80">
        <f>MIN(MAX(0,AE392),AD392)</f>
        <v>0</v>
      </c>
      <c r="AG392" s="80">
        <f>MAX(0,AD392-MAX(0,AE392))</f>
        <v>0</v>
      </c>
      <c r="AH392" s="80">
        <f>IF(ISNUMBER(B392),IF(AND(INDEX(CFG_WDAYS,WEEKDAY(INT(B392),2))="Sí",IF(D392="proMX",COUNTIFS(FER_F,INT(B392),FER_NLP,"Sí"),COUNTIFS(FER_F,INT(B392),FER_NLM,"Sí"))=0),1,0),0)</f>
        <v>0</v>
      </c>
      <c r="AI392" s="80">
        <f>IF(AC392=1,IF(AND(INDEX(CFG_WDAYS,WEEKDAY(INT(B392)+1,2))="Sí",IF(D392="proMX",COUNTIFS(FER_F,INT(B392)+1,FER_NLP,"Sí"),COUNTIFS(FER_F,INT(B392)+1,FER_NLM,"Sí"))=0),1,0),0)</f>
        <v>0</v>
      </c>
      <c r="AJ392" s="80">
        <f>IF(AC392=1,1440-Z392,AD392)</f>
        <v>0</v>
      </c>
      <c r="AK392" s="80">
        <f>IF(AND(AB392=1,AH392=1),MAX(0,MIN(IF(AC392=1,1440,AA392),CFG_WEM)-MAX(Z392,CFG_WSM)),0)</f>
        <v>0</v>
      </c>
      <c r="AL392" s="80">
        <f>IF(AND(AC392=1,AI392=1),MAX(0,MIN(AA392,CFG_WEM)-CFG_WSM),0)</f>
        <v>0</v>
      </c>
      <c r="AM392" s="80">
        <f>AK392+AL392</f>
        <v>0</v>
      </c>
      <c r="AN392" s="80">
        <f>IF(CFG_BRK="Proporcional",IF(AD392=0,0,AF392*AM392/AD392),IF(CFG_BRK="Extras primero",MIN(AM392,MAX(0,AF392-(AD392-AM392))),MIN(AF392,AM392)))</f>
        <v>0</v>
      </c>
      <c r="AO392" s="80">
        <f>AF392-AN392</f>
        <v>0</v>
      </c>
      <c r="AP392" s="80">
        <f>AM392-AN392</f>
        <v>0</v>
      </c>
      <c r="AQ392" s="80">
        <f>AD392-AM392-AO392</f>
        <v>0</v>
      </c>
      <c r="AR392" s="80">
        <f>IF(AM392=0,0,AK392-AN392*AK392/AM392)</f>
        <v>0</v>
      </c>
      <c r="AS392" s="80">
        <f>IF(AD392-AM392=0,0,(AJ392-AK392)-AO392*(AJ392-AK392)/(AD392-AM392))</f>
        <v>0</v>
      </c>
      <c r="AT392" s="80" t="str">
        <f>IF(AC392=1,INT(B392)+1,"")</f>
        <v/>
      </c>
      <c r="AU392" s="80">
        <f>IF(AND(D392="proMX",R392="Cancelled"),0,1)</f>
        <v>1</v>
      </c>
      <c r="AV392" s="80">
        <f>IF(AND(AB392=1,AU392=1),IF(COUNTIFS($D$5:D391,D392,$B$5:B391,B392,$Z$5:Z391,Z392,$AA$5:AA391,AA392,$F$5:F391,F392&amp;"",$AU$5:AU391,1)&gt;0,1,0),0)</f>
        <v>0</v>
      </c>
      <c r="AW392" s="80" t="str">
        <f>IF(AB392=1,INT(B392)*1440+Z392,"")</f>
        <v/>
      </c>
      <c r="AX392" s="80" t="str">
        <f>IF(AB392=1,AW392+AD392,"")</f>
        <v/>
      </c>
      <c r="AY392" s="80">
        <f>IF(AND(AB392=1,AV392=0,AU392=1),1,0)</f>
        <v>0</v>
      </c>
      <c r="AZ392" s="80">
        <f>IF(AY392=1,COUNTIFS(R_Emp,D392,R_SAbs,"&lt;"&amp;AX392,R_EAbs,"&gt;"&amp;AW392,R_OKey,1)-1,0)</f>
        <v>0</v>
      </c>
      <c r="BA392" s="80">
        <f>IF(AY392=1,COUNTIFS(R_Emp,"&lt;&gt;"&amp;D392,R_SAbs,"&lt;"&amp;AX392,R_EAbs,"&gt;"&amp;AW392,R_OKey,1),0)</f>
        <v>0</v>
      </c>
      <c r="BB392" s="80">
        <f>IF(AND(AB392=1,D392="proMX"),IF(AND(MOD(Z392,CFG_BLK)=0,MOD(AA392,CFG_BLK)=0,MOD(AG392,CFG_BLK)=0,AG392&gt;0),1,0),1)</f>
        <v>1</v>
      </c>
      <c r="BC392" s="80" t="str">
        <f>IF(Y392=0,"",IF(NOT(ISNUMBER(B392)),"Falta fecha o fecha inválida",IF(D392="","Falta empresa",IF(AND(D392&lt;&gt;"Malcolm",D392&lt;&gt;"proMX"),"Empresa inválida",IF(OR(INT(B392)&lt;CFG_PSTART,INT(B392)&gt;CFG_PEND),"Fecha fuera del período",IF(OR(NOT(ISNUMBER(Z392)),NOT(ISNUMBER(AA392))),"Falta hora inicio/fin o formato inválido",IF(AB392=0,"Hora inicio = hora fin",IF(AE392&lt;0,"Descanso inválido",IF(AE392&gt;=AD392,"Descanso ≥ duración",IF(AV392=1,"Registro duplicado",IF(AZ392&gt;0,"Se superpone con otro registro "&amp;D392,IF(BB392=0,"inicio, fin y duración neta deben ser múltiplos de "&amp;CFG_BLK&amp;" min",""))))))))))))</f>
        <v/>
      </c>
      <c r="BD392" s="80">
        <f>IF(AND(Y392=1,BC392=""),1,0)</f>
        <v>0</v>
      </c>
      <c r="BE392" s="80">
        <f>IF(AND(BD392=1,AU392=1),1,0)</f>
        <v>0</v>
      </c>
      <c r="BF392" s="80" t="str">
        <f>IF(AND(D392="proMX",BD392=1),IF(R392="","Draft",R392),"")</f>
        <v/>
      </c>
      <c r="BG392" s="80">
        <f>IF(BD392=1,ROUND(AG392/60,6),0)</f>
        <v>0</v>
      </c>
      <c r="BH392" s="80">
        <f>IF(BE392=1,ROUND(AG392/60,6),0)</f>
        <v>0</v>
      </c>
      <c r="BI392" s="80">
        <f>IF(BE392=1,ROUND(AP392/60,6),0)</f>
        <v>0</v>
      </c>
      <c r="BJ392" s="80">
        <f>IF(BE392=1,ROUND(AQ392/60,6),0)</f>
        <v>0</v>
      </c>
      <c r="BK392" s="80">
        <f>IF(BE392=1,ROUND((AR392+AS392)/60,6),0)</f>
        <v>0</v>
      </c>
      <c r="BL392" s="80">
        <f>ROUND(BH392-BK392,6)</f>
        <v>0</v>
      </c>
      <c r="BM392" s="80">
        <f>IF(BE392=1,ROUND(AR392/60,6),0)</f>
        <v>0</v>
      </c>
      <c r="BN392" s="80">
        <f>ROUND(BI392-BM392,6)</f>
        <v>0</v>
      </c>
      <c r="BO392" s="80">
        <f>IF(BE392=1,ROUND(AS392/60,6),0)</f>
        <v>0</v>
      </c>
      <c r="BP392" s="80">
        <f>ROUND(BJ392-BO392,6)</f>
        <v>0</v>
      </c>
      <c r="BQ392" s="80">
        <f>IF(BE392=1,AW392,0)</f>
        <v>0</v>
      </c>
      <c r="BR392" s="80">
        <f>IF(BE392=1,AX392,0)</f>
        <v>0</v>
      </c>
      <c r="BS392" s="80">
        <f>IF(AND(BE392=1,D392="Malcolm",BA392&gt;0),MIN(BH392,SUMPRODUCT((R_Emp="proMX")*(R_EN&gt;0)*((R_EN-(R_EN&gt;BR392)*(R_EN-BR392))&gt;(R_SN+(R_SN&lt;BQ392)*(BQ392-R_SN)))*((R_EN-(R_EN&gt;BR392)*(R_EN-BR392))-(R_SN+(R_SN&lt;BQ392)*(BQ392-R_SN))))/60),0)</f>
        <v>0</v>
      </c>
      <c r="BT392" s="80">
        <f>IF(AND(BE392=1,D392="proMX"),ROUND(BI392*CFG_RATE+BJ392*CFG_OTRATE,6),0)</f>
        <v>0</v>
      </c>
      <c r="BU392" s="80">
        <f>IF(AND(BD392=1,D392="proMX"),ROUND(AG392/CFG_BLK,6),0)</f>
        <v>0</v>
      </c>
      <c r="BV392" s="80" t="str">
        <f>IF(BF392="Approved",IF(ISNUMBER(T392),INT(T392),INT(B392)),"")</f>
        <v/>
      </c>
      <c r="BW392" s="80">
        <f>IF(ISNUMBER(B392),IF(DB_MON="Todos",1,IF(AND(INT(B392)&gt;=DB_MS,INT(B392)&lt;=DB_ME),1,0)),0)</f>
        <v>0</v>
      </c>
      <c r="BX392" s="80">
        <f>IF(DB_PROJ="Todos",1,IF(E392&amp;""=DB_PROJ&amp;"",1,0))</f>
        <v>1</v>
      </c>
      <c r="BY392" s="80">
        <f>BW392*BX392</f>
        <v>0</v>
      </c>
      <c r="BZ392" s="80" t="str">
        <f>IF(Y392=1,F392&amp;IF(AND(F392&amp;""&lt;&gt;"",E392&amp;""&lt;&gt;"")," · ","")&amp;E392,"")</f>
        <v/>
      </c>
      <c r="CA392" s="80" t="str">
        <f>IF(AND(BD392=1,E392&amp;""&lt;&gt;""),IF(COUNTIFS($E$5:E391,E392,$BD$5:BD391,1)=0,MAX($CA$5:CA391)+1,""),"")</f>
        <v/>
      </c>
      <c r="CB392" s="80" t="str">
        <f>IF(AND(BE392=1,D392="Malcolm",E392&amp;""&lt;&gt;""),IF(COUNTIFS($D$5:D391,"Malcolm",$E$5:E391,E392,$BE$5:BE391,1)=0,MAX($CB$5:CB391)+1,""),"")</f>
        <v/>
      </c>
      <c r="CC392" s="80" t="str">
        <f>IF(AND(BD392=1,D392="proMX",E392&amp;""&lt;&gt;""),IF(COUNTIFS($D$5:D391,"proMX",$E$5:E391,E392,$BD$5:BD391,1)=0,MAX($CC$5:CC391)+1,""),"")</f>
        <v/>
      </c>
      <c r="CD392" s="80" t="str">
        <f>IF(AND(BE392=1,D392="Malcolm",F392&amp;""&lt;&gt;""),IF(COUNTIFS($D$5:D391,"Malcolm",$F$5:F391,F392,$BE$5:BE391,1)=0,MAX($CD$5:CD391)+1,""),"")</f>
        <v/>
      </c>
      <c r="CE392" s="80" t="str">
        <f>IF(AND(BD392=1,D392="proMX",F392&amp;""&lt;&gt;""),IF(COUNTIFS($D$5:D391,"proMX",$F$5:F391,F392,$BD$5:BD391,1)=0,MAX($CE$5:CE391)+1,""),"")</f>
        <v/>
      </c>
      <c r="CF392" s="80" t="str">
        <f>IF(AND(D392="proMX",BD392=1),IF(OR(BF392="Draft",BF392="Submitted",BF392="Returned",BF392="Recall Requested"),MAX($CF$5:CF391)+1,""),"")</f>
        <v/>
      </c>
      <c r="CG392" s="80">
        <f>IF(BD392=0,0,IF(D392="Malcolm",1,MATCH(BF392,{"Draft","Submitted","Approved","Returned","Recall Requested","Cancelled"},0)+1))</f>
        <v>0</v>
      </c>
      <c r="CH392" s="80">
        <f>IF(AND(BF392="Submitted",ISNUMBER(V392)),IF(V392&gt;CFG_MAXD,1,0),0)</f>
        <v>0</v>
      </c>
    </row>
    <row r="393">
      <c r="A393" s="71" t="str">
        <f>IF(Y393=1,ROW()-5,"")</f>
        <v/>
      </c>
      <c r="B393" s="72" t="n"/>
      <c r="C393" s="71" t="str">
        <f>IF(ISNUMBER(B393),CHOOSE(WEEKDAY(B393,2),"Lun","Mar","Mié","Jue","Vie","Sáb","Dom"),"")</f>
        <v/>
      </c>
      <c r="D393" s="73" t="n"/>
      <c r="E393" s="74" t="n"/>
      <c r="F393" s="74" t="n"/>
      <c r="G393" s="74" t="n"/>
      <c r="H393" s="75" t="n"/>
      <c r="I393" s="75" t="n"/>
      <c r="J393" s="76" t="n"/>
      <c r="K393" s="77" t="str">
        <f>IF(AB393=1,ROUND(AG393/60,4),"")</f>
        <v/>
      </c>
      <c r="L393" s="77" t="str">
        <f>IF(BD393=1,ROUND(AP393/60,4),"")</f>
        <v/>
      </c>
      <c r="M393" s="77" t="str">
        <f>IF(BD393=1,ROUND(AQ393/60,4),"")</f>
        <v/>
      </c>
      <c r="N393" s="71" t="str">
        <f>IF(AND(D393="proMX",AB393=1),ROUND(AG393/CFG_BLK,2),"")</f>
        <v/>
      </c>
      <c r="O393" s="77" t="str">
        <f>IF(D393="proMX",IF(BD393=1,ROUND(AG393/60,4),0),"")</f>
        <v/>
      </c>
      <c r="P393" s="78" t="str">
        <f>IF(Y393=0,"",IF(BD393=1,"OK",IF(D393="proMX","Revisar bloques: ","Revisar: ")&amp;BC393))</f>
        <v/>
      </c>
      <c r="Q393" s="78" t="str">
        <f>IF(NOT(ISNUMBER(B393)),"",IF(COUNTIFS(FER_F,INT(B393))&gt;0,"Feriado"&amp;IF(AH393=1," (laborable)"," (no laborable)"),IF(AH393=1,"Laborable",IF(WEEKDAY(B393,2)&gt;5,"Fin de semana","No laborable"))))</f>
        <v/>
      </c>
      <c r="R393" s="73" t="n"/>
      <c r="S393" s="72" t="n"/>
      <c r="T393" s="72" t="n"/>
      <c r="U393" s="74" t="n"/>
      <c r="V393" s="79" t="str">
        <f>IF(AND(D393="proMX",OR(R393="Submitted",R393="Recall Requested"),ISNUMBER(S393)),CFG_TODAY-INT(S393),"")</f>
        <v/>
      </c>
      <c r="W393" s="78" t="str">
        <f>IF(BD393=0,"",IF(BA393&gt;0,"⚠ Se superpone con un registro de la otra empresa",IF(D393="Malcolm",IF(COUNTA(R393,S393,T393)&gt;0,"Estado/fechas proMX se ignoran en Malcolm",""),IF(BF393="Cancelled","Cancelado: excluido de totales",IF(R393="","Sin estado: se trata como Draft",IF(BF393="Submitted",IF(ISNUMBER(V393),IF(V393&gt;CFG_MAXD,"⚠ "&amp;V393&amp;" días en Submitted (máx. "&amp;CFG_MAXD&amp;")",""),"Falta fecha de envío"),IF(BF393="Returned","⚠ Devuelto: corregir y reenviar",IF(BF393="Recall Requested","Retirada solicitada: pendiente",IF(AND(BF393="Approved",NOT(ISNUMBER(T393))),"Falta fecha de aprobación",IF(AND(ISNUMBER(S393),ISNUMBER(T393),T393&lt;S393),"Aprobación anterior al envío","")))))))))</f>
        <v/>
      </c>
      <c r="Y393" s="80">
        <f>IF(COUNTA(B393,D393,E393,F393,G393,H393,I393,J393,R393,S393,T393)&gt;0,1,0)</f>
        <v>0</v>
      </c>
      <c r="Z393" s="80" t="str">
        <f>IF(AND(ISNUMBER(H393),H393&gt;=0,H393&lt;1),ROUND(H393*1440,0),"")</f>
        <v/>
      </c>
      <c r="AA393" s="80" t="str">
        <f>IF(AND(ISNUMBER(I393),I393&gt;=0,I393&lt;1),ROUND(I393*1440,0),"")</f>
        <v/>
      </c>
      <c r="AB393" s="80">
        <f>IF(AND(ISNUMBER(B393),D393&lt;&gt;"",ISNUMBER(Z393),ISNUMBER(AA393)),IF(Z393=AA393,0,1),0)</f>
        <v>0</v>
      </c>
      <c r="AC393" s="80">
        <f>IF(AB393=1,IF(AA393&lt;Z393,1,0),0)</f>
        <v>0</v>
      </c>
      <c r="AD393" s="80">
        <f>IF(AB393=1,IF(AC393=1,1440-Z393+AA393,AA393-Z393),0)</f>
        <v>0</v>
      </c>
      <c r="AE393" s="80">
        <f>IF(J393="",0,IF(ISNUMBER(J393),J393,-1))</f>
        <v>0</v>
      </c>
      <c r="AF393" s="80">
        <f>MIN(MAX(0,AE393),AD393)</f>
        <v>0</v>
      </c>
      <c r="AG393" s="80">
        <f>MAX(0,AD393-MAX(0,AE393))</f>
        <v>0</v>
      </c>
      <c r="AH393" s="80">
        <f>IF(ISNUMBER(B393),IF(AND(INDEX(CFG_WDAYS,WEEKDAY(INT(B393),2))="Sí",IF(D393="proMX",COUNTIFS(FER_F,INT(B393),FER_NLP,"Sí"),COUNTIFS(FER_F,INT(B393),FER_NLM,"Sí"))=0),1,0),0)</f>
        <v>0</v>
      </c>
      <c r="AI393" s="80">
        <f>IF(AC393=1,IF(AND(INDEX(CFG_WDAYS,WEEKDAY(INT(B393)+1,2))="Sí",IF(D393="proMX",COUNTIFS(FER_F,INT(B393)+1,FER_NLP,"Sí"),COUNTIFS(FER_F,INT(B393)+1,FER_NLM,"Sí"))=0),1,0),0)</f>
        <v>0</v>
      </c>
      <c r="AJ393" s="80">
        <f>IF(AC393=1,1440-Z393,AD393)</f>
        <v>0</v>
      </c>
      <c r="AK393" s="80">
        <f>IF(AND(AB393=1,AH393=1),MAX(0,MIN(IF(AC393=1,1440,AA393),CFG_WEM)-MAX(Z393,CFG_WSM)),0)</f>
        <v>0</v>
      </c>
      <c r="AL393" s="80">
        <f>IF(AND(AC393=1,AI393=1),MAX(0,MIN(AA393,CFG_WEM)-CFG_WSM),0)</f>
        <v>0</v>
      </c>
      <c r="AM393" s="80">
        <f>AK393+AL393</f>
        <v>0</v>
      </c>
      <c r="AN393" s="80">
        <f>IF(CFG_BRK="Proporcional",IF(AD393=0,0,AF393*AM393/AD393),IF(CFG_BRK="Extras primero",MIN(AM393,MAX(0,AF393-(AD393-AM393))),MIN(AF393,AM393)))</f>
        <v>0</v>
      </c>
      <c r="AO393" s="80">
        <f>AF393-AN393</f>
        <v>0</v>
      </c>
      <c r="AP393" s="80">
        <f>AM393-AN393</f>
        <v>0</v>
      </c>
      <c r="AQ393" s="80">
        <f>AD393-AM393-AO393</f>
        <v>0</v>
      </c>
      <c r="AR393" s="80">
        <f>IF(AM393=0,0,AK393-AN393*AK393/AM393)</f>
        <v>0</v>
      </c>
      <c r="AS393" s="80">
        <f>IF(AD393-AM393=0,0,(AJ393-AK393)-AO393*(AJ393-AK393)/(AD393-AM393))</f>
        <v>0</v>
      </c>
      <c r="AT393" s="80" t="str">
        <f>IF(AC393=1,INT(B393)+1,"")</f>
        <v/>
      </c>
      <c r="AU393" s="80">
        <f>IF(AND(D393="proMX",R393="Cancelled"),0,1)</f>
        <v>1</v>
      </c>
      <c r="AV393" s="80">
        <f>IF(AND(AB393=1,AU393=1),IF(COUNTIFS($D$5:D392,D393,$B$5:B392,B393,$Z$5:Z392,Z393,$AA$5:AA392,AA393,$F$5:F392,F393&amp;"",$AU$5:AU392,1)&gt;0,1,0),0)</f>
        <v>0</v>
      </c>
      <c r="AW393" s="80" t="str">
        <f>IF(AB393=1,INT(B393)*1440+Z393,"")</f>
        <v/>
      </c>
      <c r="AX393" s="80" t="str">
        <f>IF(AB393=1,AW393+AD393,"")</f>
        <v/>
      </c>
      <c r="AY393" s="80">
        <f>IF(AND(AB393=1,AV393=0,AU393=1),1,0)</f>
        <v>0</v>
      </c>
      <c r="AZ393" s="80">
        <f>IF(AY393=1,COUNTIFS(R_Emp,D393,R_SAbs,"&lt;"&amp;AX393,R_EAbs,"&gt;"&amp;AW393,R_OKey,1)-1,0)</f>
        <v>0</v>
      </c>
      <c r="BA393" s="80">
        <f>IF(AY393=1,COUNTIFS(R_Emp,"&lt;&gt;"&amp;D393,R_SAbs,"&lt;"&amp;AX393,R_EAbs,"&gt;"&amp;AW393,R_OKey,1),0)</f>
        <v>0</v>
      </c>
      <c r="BB393" s="80">
        <f>IF(AND(AB393=1,D393="proMX"),IF(AND(MOD(Z393,CFG_BLK)=0,MOD(AA393,CFG_BLK)=0,MOD(AG393,CFG_BLK)=0,AG393&gt;0),1,0),1)</f>
        <v>1</v>
      </c>
      <c r="BC393" s="80" t="str">
        <f>IF(Y393=0,"",IF(NOT(ISNUMBER(B393)),"Falta fecha o fecha inválida",IF(D393="","Falta empresa",IF(AND(D393&lt;&gt;"Malcolm",D393&lt;&gt;"proMX"),"Empresa inválida",IF(OR(INT(B393)&lt;CFG_PSTART,INT(B393)&gt;CFG_PEND),"Fecha fuera del período",IF(OR(NOT(ISNUMBER(Z393)),NOT(ISNUMBER(AA393))),"Falta hora inicio/fin o formato inválido",IF(AB393=0,"Hora inicio = hora fin",IF(AE393&lt;0,"Descanso inválido",IF(AE393&gt;=AD393,"Descanso ≥ duración",IF(AV393=1,"Registro duplicado",IF(AZ393&gt;0,"Se superpone con otro registro "&amp;D393,IF(BB393=0,"inicio, fin y duración neta deben ser múltiplos de "&amp;CFG_BLK&amp;" min",""))))))))))))</f>
        <v/>
      </c>
      <c r="BD393" s="80">
        <f>IF(AND(Y393=1,BC393=""),1,0)</f>
        <v>0</v>
      </c>
      <c r="BE393" s="80">
        <f>IF(AND(BD393=1,AU393=1),1,0)</f>
        <v>0</v>
      </c>
      <c r="BF393" s="80" t="str">
        <f>IF(AND(D393="proMX",BD393=1),IF(R393="","Draft",R393),"")</f>
        <v/>
      </c>
      <c r="BG393" s="80">
        <f>IF(BD393=1,ROUND(AG393/60,6),0)</f>
        <v>0</v>
      </c>
      <c r="BH393" s="80">
        <f>IF(BE393=1,ROUND(AG393/60,6),0)</f>
        <v>0</v>
      </c>
      <c r="BI393" s="80">
        <f>IF(BE393=1,ROUND(AP393/60,6),0)</f>
        <v>0</v>
      </c>
      <c r="BJ393" s="80">
        <f>IF(BE393=1,ROUND(AQ393/60,6),0)</f>
        <v>0</v>
      </c>
      <c r="BK393" s="80">
        <f>IF(BE393=1,ROUND((AR393+AS393)/60,6),0)</f>
        <v>0</v>
      </c>
      <c r="BL393" s="80">
        <f>ROUND(BH393-BK393,6)</f>
        <v>0</v>
      </c>
      <c r="BM393" s="80">
        <f>IF(BE393=1,ROUND(AR393/60,6),0)</f>
        <v>0</v>
      </c>
      <c r="BN393" s="80">
        <f>ROUND(BI393-BM393,6)</f>
        <v>0</v>
      </c>
      <c r="BO393" s="80">
        <f>IF(BE393=1,ROUND(AS393/60,6),0)</f>
        <v>0</v>
      </c>
      <c r="BP393" s="80">
        <f>ROUND(BJ393-BO393,6)</f>
        <v>0</v>
      </c>
      <c r="BQ393" s="80">
        <f>IF(BE393=1,AW393,0)</f>
        <v>0</v>
      </c>
      <c r="BR393" s="80">
        <f>IF(BE393=1,AX393,0)</f>
        <v>0</v>
      </c>
      <c r="BS393" s="80">
        <f>IF(AND(BE393=1,D393="Malcolm",BA393&gt;0),MIN(BH393,SUMPRODUCT((R_Emp="proMX")*(R_EN&gt;0)*((R_EN-(R_EN&gt;BR393)*(R_EN-BR393))&gt;(R_SN+(R_SN&lt;BQ393)*(BQ393-R_SN)))*((R_EN-(R_EN&gt;BR393)*(R_EN-BR393))-(R_SN+(R_SN&lt;BQ393)*(BQ393-R_SN))))/60),0)</f>
        <v>0</v>
      </c>
      <c r="BT393" s="80">
        <f>IF(AND(BE393=1,D393="proMX"),ROUND(BI393*CFG_RATE+BJ393*CFG_OTRATE,6),0)</f>
        <v>0</v>
      </c>
      <c r="BU393" s="80">
        <f>IF(AND(BD393=1,D393="proMX"),ROUND(AG393/CFG_BLK,6),0)</f>
        <v>0</v>
      </c>
      <c r="BV393" s="80" t="str">
        <f>IF(BF393="Approved",IF(ISNUMBER(T393),INT(T393),INT(B393)),"")</f>
        <v/>
      </c>
      <c r="BW393" s="80">
        <f>IF(ISNUMBER(B393),IF(DB_MON="Todos",1,IF(AND(INT(B393)&gt;=DB_MS,INT(B393)&lt;=DB_ME),1,0)),0)</f>
        <v>0</v>
      </c>
      <c r="BX393" s="80">
        <f>IF(DB_PROJ="Todos",1,IF(E393&amp;""=DB_PROJ&amp;"",1,0))</f>
        <v>1</v>
      </c>
      <c r="BY393" s="80">
        <f>BW393*BX393</f>
        <v>0</v>
      </c>
      <c r="BZ393" s="80" t="str">
        <f>IF(Y393=1,F393&amp;IF(AND(F393&amp;""&lt;&gt;"",E393&amp;""&lt;&gt;"")," · ","")&amp;E393,"")</f>
        <v/>
      </c>
      <c r="CA393" s="80" t="str">
        <f>IF(AND(BD393=1,E393&amp;""&lt;&gt;""),IF(COUNTIFS($E$5:E392,E393,$BD$5:BD392,1)=0,MAX($CA$5:CA392)+1,""),"")</f>
        <v/>
      </c>
      <c r="CB393" s="80" t="str">
        <f>IF(AND(BE393=1,D393="Malcolm",E393&amp;""&lt;&gt;""),IF(COUNTIFS($D$5:D392,"Malcolm",$E$5:E392,E393,$BE$5:BE392,1)=0,MAX($CB$5:CB392)+1,""),"")</f>
        <v/>
      </c>
      <c r="CC393" s="80" t="str">
        <f>IF(AND(BD393=1,D393="proMX",E393&amp;""&lt;&gt;""),IF(COUNTIFS($D$5:D392,"proMX",$E$5:E392,E393,$BD$5:BD392,1)=0,MAX($CC$5:CC392)+1,""),"")</f>
        <v/>
      </c>
      <c r="CD393" s="80" t="str">
        <f>IF(AND(BE393=1,D393="Malcolm",F393&amp;""&lt;&gt;""),IF(COUNTIFS($D$5:D392,"Malcolm",$F$5:F392,F393,$BE$5:BE392,1)=0,MAX($CD$5:CD392)+1,""),"")</f>
        <v/>
      </c>
      <c r="CE393" s="80" t="str">
        <f>IF(AND(BD393=1,D393="proMX",F393&amp;""&lt;&gt;""),IF(COUNTIFS($D$5:D392,"proMX",$F$5:F392,F393,$BD$5:BD392,1)=0,MAX($CE$5:CE392)+1,""),"")</f>
        <v/>
      </c>
      <c r="CF393" s="80" t="str">
        <f>IF(AND(D393="proMX",BD393=1),IF(OR(BF393="Draft",BF393="Submitted",BF393="Returned",BF393="Recall Requested"),MAX($CF$5:CF392)+1,""),"")</f>
        <v/>
      </c>
      <c r="CG393" s="80">
        <f>IF(BD393=0,0,IF(D393="Malcolm",1,MATCH(BF393,{"Draft","Submitted","Approved","Returned","Recall Requested","Cancelled"},0)+1))</f>
        <v>0</v>
      </c>
      <c r="CH393" s="80">
        <f>IF(AND(BF393="Submitted",ISNUMBER(V393)),IF(V393&gt;CFG_MAXD,1,0),0)</f>
        <v>0</v>
      </c>
    </row>
    <row r="394">
      <c r="A394" s="71" t="str">
        <f>IF(Y394=1,ROW()-5,"")</f>
        <v/>
      </c>
      <c r="B394" s="72" t="n"/>
      <c r="C394" s="71" t="str">
        <f>IF(ISNUMBER(B394),CHOOSE(WEEKDAY(B394,2),"Lun","Mar","Mié","Jue","Vie","Sáb","Dom"),"")</f>
        <v/>
      </c>
      <c r="D394" s="73" t="n"/>
      <c r="E394" s="74" t="n"/>
      <c r="F394" s="74" t="n"/>
      <c r="G394" s="74" t="n"/>
      <c r="H394" s="75" t="n"/>
      <c r="I394" s="75" t="n"/>
      <c r="J394" s="76" t="n"/>
      <c r="K394" s="77" t="str">
        <f>IF(AB394=1,ROUND(AG394/60,4),"")</f>
        <v/>
      </c>
      <c r="L394" s="77" t="str">
        <f>IF(BD394=1,ROUND(AP394/60,4),"")</f>
        <v/>
      </c>
      <c r="M394" s="77" t="str">
        <f>IF(BD394=1,ROUND(AQ394/60,4),"")</f>
        <v/>
      </c>
      <c r="N394" s="71" t="str">
        <f>IF(AND(D394="proMX",AB394=1),ROUND(AG394/CFG_BLK,2),"")</f>
        <v/>
      </c>
      <c r="O394" s="77" t="str">
        <f>IF(D394="proMX",IF(BD394=1,ROUND(AG394/60,4),0),"")</f>
        <v/>
      </c>
      <c r="P394" s="78" t="str">
        <f>IF(Y394=0,"",IF(BD394=1,"OK",IF(D394="proMX","Revisar bloques: ","Revisar: ")&amp;BC394))</f>
        <v/>
      </c>
      <c r="Q394" s="78" t="str">
        <f>IF(NOT(ISNUMBER(B394)),"",IF(COUNTIFS(FER_F,INT(B394))&gt;0,"Feriado"&amp;IF(AH394=1," (laborable)"," (no laborable)"),IF(AH394=1,"Laborable",IF(WEEKDAY(B394,2)&gt;5,"Fin de semana","No laborable"))))</f>
        <v/>
      </c>
      <c r="R394" s="73" t="n"/>
      <c r="S394" s="72" t="n"/>
      <c r="T394" s="72" t="n"/>
      <c r="U394" s="74" t="n"/>
      <c r="V394" s="79" t="str">
        <f>IF(AND(D394="proMX",OR(R394="Submitted",R394="Recall Requested"),ISNUMBER(S394)),CFG_TODAY-INT(S394),"")</f>
        <v/>
      </c>
      <c r="W394" s="78" t="str">
        <f>IF(BD394=0,"",IF(BA394&gt;0,"⚠ Se superpone con un registro de la otra empresa",IF(D394="Malcolm",IF(COUNTA(R394,S394,T394)&gt;0,"Estado/fechas proMX se ignoran en Malcolm",""),IF(BF394="Cancelled","Cancelado: excluido de totales",IF(R394="","Sin estado: se trata como Draft",IF(BF394="Submitted",IF(ISNUMBER(V394),IF(V394&gt;CFG_MAXD,"⚠ "&amp;V394&amp;" días en Submitted (máx. "&amp;CFG_MAXD&amp;")",""),"Falta fecha de envío"),IF(BF394="Returned","⚠ Devuelto: corregir y reenviar",IF(BF394="Recall Requested","Retirada solicitada: pendiente",IF(AND(BF394="Approved",NOT(ISNUMBER(T394))),"Falta fecha de aprobación",IF(AND(ISNUMBER(S394),ISNUMBER(T394),T394&lt;S394),"Aprobación anterior al envío","")))))))))</f>
        <v/>
      </c>
      <c r="Y394" s="80">
        <f>IF(COUNTA(B394,D394,E394,F394,G394,H394,I394,J394,R394,S394,T394)&gt;0,1,0)</f>
        <v>0</v>
      </c>
      <c r="Z394" s="80" t="str">
        <f>IF(AND(ISNUMBER(H394),H394&gt;=0,H394&lt;1),ROUND(H394*1440,0),"")</f>
        <v/>
      </c>
      <c r="AA394" s="80" t="str">
        <f>IF(AND(ISNUMBER(I394),I394&gt;=0,I394&lt;1),ROUND(I394*1440,0),"")</f>
        <v/>
      </c>
      <c r="AB394" s="80">
        <f>IF(AND(ISNUMBER(B394),D394&lt;&gt;"",ISNUMBER(Z394),ISNUMBER(AA394)),IF(Z394=AA394,0,1),0)</f>
        <v>0</v>
      </c>
      <c r="AC394" s="80">
        <f>IF(AB394=1,IF(AA394&lt;Z394,1,0),0)</f>
        <v>0</v>
      </c>
      <c r="AD394" s="80">
        <f>IF(AB394=1,IF(AC394=1,1440-Z394+AA394,AA394-Z394),0)</f>
        <v>0</v>
      </c>
      <c r="AE394" s="80">
        <f>IF(J394="",0,IF(ISNUMBER(J394),J394,-1))</f>
        <v>0</v>
      </c>
      <c r="AF394" s="80">
        <f>MIN(MAX(0,AE394),AD394)</f>
        <v>0</v>
      </c>
      <c r="AG394" s="80">
        <f>MAX(0,AD394-MAX(0,AE394))</f>
        <v>0</v>
      </c>
      <c r="AH394" s="80">
        <f>IF(ISNUMBER(B394),IF(AND(INDEX(CFG_WDAYS,WEEKDAY(INT(B394),2))="Sí",IF(D394="proMX",COUNTIFS(FER_F,INT(B394),FER_NLP,"Sí"),COUNTIFS(FER_F,INT(B394),FER_NLM,"Sí"))=0),1,0),0)</f>
        <v>0</v>
      </c>
      <c r="AI394" s="80">
        <f>IF(AC394=1,IF(AND(INDEX(CFG_WDAYS,WEEKDAY(INT(B394)+1,2))="Sí",IF(D394="proMX",COUNTIFS(FER_F,INT(B394)+1,FER_NLP,"Sí"),COUNTIFS(FER_F,INT(B394)+1,FER_NLM,"Sí"))=0),1,0),0)</f>
        <v>0</v>
      </c>
      <c r="AJ394" s="80">
        <f>IF(AC394=1,1440-Z394,AD394)</f>
        <v>0</v>
      </c>
      <c r="AK394" s="80">
        <f>IF(AND(AB394=1,AH394=1),MAX(0,MIN(IF(AC394=1,1440,AA394),CFG_WEM)-MAX(Z394,CFG_WSM)),0)</f>
        <v>0</v>
      </c>
      <c r="AL394" s="80">
        <f>IF(AND(AC394=1,AI394=1),MAX(0,MIN(AA394,CFG_WEM)-CFG_WSM),0)</f>
        <v>0</v>
      </c>
      <c r="AM394" s="80">
        <f>AK394+AL394</f>
        <v>0</v>
      </c>
      <c r="AN394" s="80">
        <f>IF(CFG_BRK="Proporcional",IF(AD394=0,0,AF394*AM394/AD394),IF(CFG_BRK="Extras primero",MIN(AM394,MAX(0,AF394-(AD394-AM394))),MIN(AF394,AM394)))</f>
        <v>0</v>
      </c>
      <c r="AO394" s="80">
        <f>AF394-AN394</f>
        <v>0</v>
      </c>
      <c r="AP394" s="80">
        <f>AM394-AN394</f>
        <v>0</v>
      </c>
      <c r="AQ394" s="80">
        <f>AD394-AM394-AO394</f>
        <v>0</v>
      </c>
      <c r="AR394" s="80">
        <f>IF(AM394=0,0,AK394-AN394*AK394/AM394)</f>
        <v>0</v>
      </c>
      <c r="AS394" s="80">
        <f>IF(AD394-AM394=0,0,(AJ394-AK394)-AO394*(AJ394-AK394)/(AD394-AM394))</f>
        <v>0</v>
      </c>
      <c r="AT394" s="80" t="str">
        <f>IF(AC394=1,INT(B394)+1,"")</f>
        <v/>
      </c>
      <c r="AU394" s="80">
        <f>IF(AND(D394="proMX",R394="Cancelled"),0,1)</f>
        <v>1</v>
      </c>
      <c r="AV394" s="80">
        <f>IF(AND(AB394=1,AU394=1),IF(COUNTIFS($D$5:D393,D394,$B$5:B393,B394,$Z$5:Z393,Z394,$AA$5:AA393,AA394,$F$5:F393,F394&amp;"",$AU$5:AU393,1)&gt;0,1,0),0)</f>
        <v>0</v>
      </c>
      <c r="AW394" s="80" t="str">
        <f>IF(AB394=1,INT(B394)*1440+Z394,"")</f>
        <v/>
      </c>
      <c r="AX394" s="80" t="str">
        <f>IF(AB394=1,AW394+AD394,"")</f>
        <v/>
      </c>
      <c r="AY394" s="80">
        <f>IF(AND(AB394=1,AV394=0,AU394=1),1,0)</f>
        <v>0</v>
      </c>
      <c r="AZ394" s="80">
        <f>IF(AY394=1,COUNTIFS(R_Emp,D394,R_SAbs,"&lt;"&amp;AX394,R_EAbs,"&gt;"&amp;AW394,R_OKey,1)-1,0)</f>
        <v>0</v>
      </c>
      <c r="BA394" s="80">
        <f>IF(AY394=1,COUNTIFS(R_Emp,"&lt;&gt;"&amp;D394,R_SAbs,"&lt;"&amp;AX394,R_EAbs,"&gt;"&amp;AW394,R_OKey,1),0)</f>
        <v>0</v>
      </c>
      <c r="BB394" s="80">
        <f>IF(AND(AB394=1,D394="proMX"),IF(AND(MOD(Z394,CFG_BLK)=0,MOD(AA394,CFG_BLK)=0,MOD(AG394,CFG_BLK)=0,AG394&gt;0),1,0),1)</f>
        <v>1</v>
      </c>
      <c r="BC394" s="80" t="str">
        <f>IF(Y394=0,"",IF(NOT(ISNUMBER(B394)),"Falta fecha o fecha inválida",IF(D394="","Falta empresa",IF(AND(D394&lt;&gt;"Malcolm",D394&lt;&gt;"proMX"),"Empresa inválida",IF(OR(INT(B394)&lt;CFG_PSTART,INT(B394)&gt;CFG_PEND),"Fecha fuera del período",IF(OR(NOT(ISNUMBER(Z394)),NOT(ISNUMBER(AA394))),"Falta hora inicio/fin o formato inválido",IF(AB394=0,"Hora inicio = hora fin",IF(AE394&lt;0,"Descanso inválido",IF(AE394&gt;=AD394,"Descanso ≥ duración",IF(AV394=1,"Registro duplicado",IF(AZ394&gt;0,"Se superpone con otro registro "&amp;D394,IF(BB394=0,"inicio, fin y duración neta deben ser múltiplos de "&amp;CFG_BLK&amp;" min",""))))))))))))</f>
        <v/>
      </c>
      <c r="BD394" s="80">
        <f>IF(AND(Y394=1,BC394=""),1,0)</f>
        <v>0</v>
      </c>
      <c r="BE394" s="80">
        <f>IF(AND(BD394=1,AU394=1),1,0)</f>
        <v>0</v>
      </c>
      <c r="BF394" s="80" t="str">
        <f>IF(AND(D394="proMX",BD394=1),IF(R394="","Draft",R394),"")</f>
        <v/>
      </c>
      <c r="BG394" s="80">
        <f>IF(BD394=1,ROUND(AG394/60,6),0)</f>
        <v>0</v>
      </c>
      <c r="BH394" s="80">
        <f>IF(BE394=1,ROUND(AG394/60,6),0)</f>
        <v>0</v>
      </c>
      <c r="BI394" s="80">
        <f>IF(BE394=1,ROUND(AP394/60,6),0)</f>
        <v>0</v>
      </c>
      <c r="BJ394" s="80">
        <f>IF(BE394=1,ROUND(AQ394/60,6),0)</f>
        <v>0</v>
      </c>
      <c r="BK394" s="80">
        <f>IF(BE394=1,ROUND((AR394+AS394)/60,6),0)</f>
        <v>0</v>
      </c>
      <c r="BL394" s="80">
        <f>ROUND(BH394-BK394,6)</f>
        <v>0</v>
      </c>
      <c r="BM394" s="80">
        <f>IF(BE394=1,ROUND(AR394/60,6),0)</f>
        <v>0</v>
      </c>
      <c r="BN394" s="80">
        <f>ROUND(BI394-BM394,6)</f>
        <v>0</v>
      </c>
      <c r="BO394" s="80">
        <f>IF(BE394=1,ROUND(AS394/60,6),0)</f>
        <v>0</v>
      </c>
      <c r="BP394" s="80">
        <f>ROUND(BJ394-BO394,6)</f>
        <v>0</v>
      </c>
      <c r="BQ394" s="80">
        <f>IF(BE394=1,AW394,0)</f>
        <v>0</v>
      </c>
      <c r="BR394" s="80">
        <f>IF(BE394=1,AX394,0)</f>
        <v>0</v>
      </c>
      <c r="BS394" s="80">
        <f>IF(AND(BE394=1,D394="Malcolm",BA394&gt;0),MIN(BH394,SUMPRODUCT((R_Emp="proMX")*(R_EN&gt;0)*((R_EN-(R_EN&gt;BR394)*(R_EN-BR394))&gt;(R_SN+(R_SN&lt;BQ394)*(BQ394-R_SN)))*((R_EN-(R_EN&gt;BR394)*(R_EN-BR394))-(R_SN+(R_SN&lt;BQ394)*(BQ394-R_SN))))/60),0)</f>
        <v>0</v>
      </c>
      <c r="BT394" s="80">
        <f>IF(AND(BE394=1,D394="proMX"),ROUND(BI394*CFG_RATE+BJ394*CFG_OTRATE,6),0)</f>
        <v>0</v>
      </c>
      <c r="BU394" s="80">
        <f>IF(AND(BD394=1,D394="proMX"),ROUND(AG394/CFG_BLK,6),0)</f>
        <v>0</v>
      </c>
      <c r="BV394" s="80" t="str">
        <f>IF(BF394="Approved",IF(ISNUMBER(T394),INT(T394),INT(B394)),"")</f>
        <v/>
      </c>
      <c r="BW394" s="80">
        <f>IF(ISNUMBER(B394),IF(DB_MON="Todos",1,IF(AND(INT(B394)&gt;=DB_MS,INT(B394)&lt;=DB_ME),1,0)),0)</f>
        <v>0</v>
      </c>
      <c r="BX394" s="80">
        <f>IF(DB_PROJ="Todos",1,IF(E394&amp;""=DB_PROJ&amp;"",1,0))</f>
        <v>1</v>
      </c>
      <c r="BY394" s="80">
        <f>BW394*BX394</f>
        <v>0</v>
      </c>
      <c r="BZ394" s="80" t="str">
        <f>IF(Y394=1,F394&amp;IF(AND(F394&amp;""&lt;&gt;"",E394&amp;""&lt;&gt;"")," · ","")&amp;E394,"")</f>
        <v/>
      </c>
      <c r="CA394" s="80" t="str">
        <f>IF(AND(BD394=1,E394&amp;""&lt;&gt;""),IF(COUNTIFS($E$5:E393,E394,$BD$5:BD393,1)=0,MAX($CA$5:CA393)+1,""),"")</f>
        <v/>
      </c>
      <c r="CB394" s="80" t="str">
        <f>IF(AND(BE394=1,D394="Malcolm",E394&amp;""&lt;&gt;""),IF(COUNTIFS($D$5:D393,"Malcolm",$E$5:E393,E394,$BE$5:BE393,1)=0,MAX($CB$5:CB393)+1,""),"")</f>
        <v/>
      </c>
      <c r="CC394" s="80" t="str">
        <f>IF(AND(BD394=1,D394="proMX",E394&amp;""&lt;&gt;""),IF(COUNTIFS($D$5:D393,"proMX",$E$5:E393,E394,$BD$5:BD393,1)=0,MAX($CC$5:CC393)+1,""),"")</f>
        <v/>
      </c>
      <c r="CD394" s="80" t="str">
        <f>IF(AND(BE394=1,D394="Malcolm",F394&amp;""&lt;&gt;""),IF(COUNTIFS($D$5:D393,"Malcolm",$F$5:F393,F394,$BE$5:BE393,1)=0,MAX($CD$5:CD393)+1,""),"")</f>
        <v/>
      </c>
      <c r="CE394" s="80" t="str">
        <f>IF(AND(BD394=1,D394="proMX",F394&amp;""&lt;&gt;""),IF(COUNTIFS($D$5:D393,"proMX",$F$5:F393,F394,$BD$5:BD393,1)=0,MAX($CE$5:CE393)+1,""),"")</f>
        <v/>
      </c>
      <c r="CF394" s="80" t="str">
        <f>IF(AND(D394="proMX",BD394=1),IF(OR(BF394="Draft",BF394="Submitted",BF394="Returned",BF394="Recall Requested"),MAX($CF$5:CF393)+1,""),"")</f>
        <v/>
      </c>
      <c r="CG394" s="80">
        <f>IF(BD394=0,0,IF(D394="Malcolm",1,MATCH(BF394,{"Draft","Submitted","Approved","Returned","Recall Requested","Cancelled"},0)+1))</f>
        <v>0</v>
      </c>
      <c r="CH394" s="80">
        <f>IF(AND(BF394="Submitted",ISNUMBER(V394)),IF(V394&gt;CFG_MAXD,1,0),0)</f>
        <v>0</v>
      </c>
    </row>
    <row r="395">
      <c r="A395" s="71" t="str">
        <f>IF(Y395=1,ROW()-5,"")</f>
        <v/>
      </c>
      <c r="B395" s="72" t="n"/>
      <c r="C395" s="71" t="str">
        <f>IF(ISNUMBER(B395),CHOOSE(WEEKDAY(B395,2),"Lun","Mar","Mié","Jue","Vie","Sáb","Dom"),"")</f>
        <v/>
      </c>
      <c r="D395" s="73" t="n"/>
      <c r="E395" s="74" t="n"/>
      <c r="F395" s="74" t="n"/>
      <c r="G395" s="74" t="n"/>
      <c r="H395" s="75" t="n"/>
      <c r="I395" s="75" t="n"/>
      <c r="J395" s="76" t="n"/>
      <c r="K395" s="77" t="str">
        <f>IF(AB395=1,ROUND(AG395/60,4),"")</f>
        <v/>
      </c>
      <c r="L395" s="77" t="str">
        <f>IF(BD395=1,ROUND(AP395/60,4),"")</f>
        <v/>
      </c>
      <c r="M395" s="77" t="str">
        <f>IF(BD395=1,ROUND(AQ395/60,4),"")</f>
        <v/>
      </c>
      <c r="N395" s="71" t="str">
        <f>IF(AND(D395="proMX",AB395=1),ROUND(AG395/CFG_BLK,2),"")</f>
        <v/>
      </c>
      <c r="O395" s="77" t="str">
        <f>IF(D395="proMX",IF(BD395=1,ROUND(AG395/60,4),0),"")</f>
        <v/>
      </c>
      <c r="P395" s="78" t="str">
        <f>IF(Y395=0,"",IF(BD395=1,"OK",IF(D395="proMX","Revisar bloques: ","Revisar: ")&amp;BC395))</f>
        <v/>
      </c>
      <c r="Q395" s="78" t="str">
        <f>IF(NOT(ISNUMBER(B395)),"",IF(COUNTIFS(FER_F,INT(B395))&gt;0,"Feriado"&amp;IF(AH395=1," (laborable)"," (no laborable)"),IF(AH395=1,"Laborable",IF(WEEKDAY(B395,2)&gt;5,"Fin de semana","No laborable"))))</f>
        <v/>
      </c>
      <c r="R395" s="73" t="n"/>
      <c r="S395" s="72" t="n"/>
      <c r="T395" s="72" t="n"/>
      <c r="U395" s="74" t="n"/>
      <c r="V395" s="79" t="str">
        <f>IF(AND(D395="proMX",OR(R395="Submitted",R395="Recall Requested"),ISNUMBER(S395)),CFG_TODAY-INT(S395),"")</f>
        <v/>
      </c>
      <c r="W395" s="78" t="str">
        <f>IF(BD395=0,"",IF(BA395&gt;0,"⚠ Se superpone con un registro de la otra empresa",IF(D395="Malcolm",IF(COUNTA(R395,S395,T395)&gt;0,"Estado/fechas proMX se ignoran en Malcolm",""),IF(BF395="Cancelled","Cancelado: excluido de totales",IF(R395="","Sin estado: se trata como Draft",IF(BF395="Submitted",IF(ISNUMBER(V395),IF(V395&gt;CFG_MAXD,"⚠ "&amp;V395&amp;" días en Submitted (máx. "&amp;CFG_MAXD&amp;")",""),"Falta fecha de envío"),IF(BF395="Returned","⚠ Devuelto: corregir y reenviar",IF(BF395="Recall Requested","Retirada solicitada: pendiente",IF(AND(BF395="Approved",NOT(ISNUMBER(T395))),"Falta fecha de aprobación",IF(AND(ISNUMBER(S395),ISNUMBER(T395),T395&lt;S395),"Aprobación anterior al envío","")))))))))</f>
        <v/>
      </c>
      <c r="Y395" s="80">
        <f>IF(COUNTA(B395,D395,E395,F395,G395,H395,I395,J395,R395,S395,T395)&gt;0,1,0)</f>
        <v>0</v>
      </c>
      <c r="Z395" s="80" t="str">
        <f>IF(AND(ISNUMBER(H395),H395&gt;=0,H395&lt;1),ROUND(H395*1440,0),"")</f>
        <v/>
      </c>
      <c r="AA395" s="80" t="str">
        <f>IF(AND(ISNUMBER(I395),I395&gt;=0,I395&lt;1),ROUND(I395*1440,0),"")</f>
        <v/>
      </c>
      <c r="AB395" s="80">
        <f>IF(AND(ISNUMBER(B395),D395&lt;&gt;"",ISNUMBER(Z395),ISNUMBER(AA395)),IF(Z395=AA395,0,1),0)</f>
        <v>0</v>
      </c>
      <c r="AC395" s="80">
        <f>IF(AB395=1,IF(AA395&lt;Z395,1,0),0)</f>
        <v>0</v>
      </c>
      <c r="AD395" s="80">
        <f>IF(AB395=1,IF(AC395=1,1440-Z395+AA395,AA395-Z395),0)</f>
        <v>0</v>
      </c>
      <c r="AE395" s="80">
        <f>IF(J395="",0,IF(ISNUMBER(J395),J395,-1))</f>
        <v>0</v>
      </c>
      <c r="AF395" s="80">
        <f>MIN(MAX(0,AE395),AD395)</f>
        <v>0</v>
      </c>
      <c r="AG395" s="80">
        <f>MAX(0,AD395-MAX(0,AE395))</f>
        <v>0</v>
      </c>
      <c r="AH395" s="80">
        <f>IF(ISNUMBER(B395),IF(AND(INDEX(CFG_WDAYS,WEEKDAY(INT(B395),2))="Sí",IF(D395="proMX",COUNTIFS(FER_F,INT(B395),FER_NLP,"Sí"),COUNTIFS(FER_F,INT(B395),FER_NLM,"Sí"))=0),1,0),0)</f>
        <v>0</v>
      </c>
      <c r="AI395" s="80">
        <f>IF(AC395=1,IF(AND(INDEX(CFG_WDAYS,WEEKDAY(INT(B395)+1,2))="Sí",IF(D395="proMX",COUNTIFS(FER_F,INT(B395)+1,FER_NLP,"Sí"),COUNTIFS(FER_F,INT(B395)+1,FER_NLM,"Sí"))=0),1,0),0)</f>
        <v>0</v>
      </c>
      <c r="AJ395" s="80">
        <f>IF(AC395=1,1440-Z395,AD395)</f>
        <v>0</v>
      </c>
      <c r="AK395" s="80">
        <f>IF(AND(AB395=1,AH395=1),MAX(0,MIN(IF(AC395=1,1440,AA395),CFG_WEM)-MAX(Z395,CFG_WSM)),0)</f>
        <v>0</v>
      </c>
      <c r="AL395" s="80">
        <f>IF(AND(AC395=1,AI395=1),MAX(0,MIN(AA395,CFG_WEM)-CFG_WSM),0)</f>
        <v>0</v>
      </c>
      <c r="AM395" s="80">
        <f>AK395+AL395</f>
        <v>0</v>
      </c>
      <c r="AN395" s="80">
        <f>IF(CFG_BRK="Proporcional",IF(AD395=0,0,AF395*AM395/AD395),IF(CFG_BRK="Extras primero",MIN(AM395,MAX(0,AF395-(AD395-AM395))),MIN(AF395,AM395)))</f>
        <v>0</v>
      </c>
      <c r="AO395" s="80">
        <f>AF395-AN395</f>
        <v>0</v>
      </c>
      <c r="AP395" s="80">
        <f>AM395-AN395</f>
        <v>0</v>
      </c>
      <c r="AQ395" s="80">
        <f>AD395-AM395-AO395</f>
        <v>0</v>
      </c>
      <c r="AR395" s="80">
        <f>IF(AM395=0,0,AK395-AN395*AK395/AM395)</f>
        <v>0</v>
      </c>
      <c r="AS395" s="80">
        <f>IF(AD395-AM395=0,0,(AJ395-AK395)-AO395*(AJ395-AK395)/(AD395-AM395))</f>
        <v>0</v>
      </c>
      <c r="AT395" s="80" t="str">
        <f>IF(AC395=1,INT(B395)+1,"")</f>
        <v/>
      </c>
      <c r="AU395" s="80">
        <f>IF(AND(D395="proMX",R395="Cancelled"),0,1)</f>
        <v>1</v>
      </c>
      <c r="AV395" s="80">
        <f>IF(AND(AB395=1,AU395=1),IF(COUNTIFS($D$5:D394,D395,$B$5:B394,B395,$Z$5:Z394,Z395,$AA$5:AA394,AA395,$F$5:F394,F395&amp;"",$AU$5:AU394,1)&gt;0,1,0),0)</f>
        <v>0</v>
      </c>
      <c r="AW395" s="80" t="str">
        <f>IF(AB395=1,INT(B395)*1440+Z395,"")</f>
        <v/>
      </c>
      <c r="AX395" s="80" t="str">
        <f>IF(AB395=1,AW395+AD395,"")</f>
        <v/>
      </c>
      <c r="AY395" s="80">
        <f>IF(AND(AB395=1,AV395=0,AU395=1),1,0)</f>
        <v>0</v>
      </c>
      <c r="AZ395" s="80">
        <f>IF(AY395=1,COUNTIFS(R_Emp,D395,R_SAbs,"&lt;"&amp;AX395,R_EAbs,"&gt;"&amp;AW395,R_OKey,1)-1,0)</f>
        <v>0</v>
      </c>
      <c r="BA395" s="80">
        <f>IF(AY395=1,COUNTIFS(R_Emp,"&lt;&gt;"&amp;D395,R_SAbs,"&lt;"&amp;AX395,R_EAbs,"&gt;"&amp;AW395,R_OKey,1),0)</f>
        <v>0</v>
      </c>
      <c r="BB395" s="80">
        <f>IF(AND(AB395=1,D395="proMX"),IF(AND(MOD(Z395,CFG_BLK)=0,MOD(AA395,CFG_BLK)=0,MOD(AG395,CFG_BLK)=0,AG395&gt;0),1,0),1)</f>
        <v>1</v>
      </c>
      <c r="BC395" s="80" t="str">
        <f>IF(Y395=0,"",IF(NOT(ISNUMBER(B395)),"Falta fecha o fecha inválida",IF(D395="","Falta empresa",IF(AND(D395&lt;&gt;"Malcolm",D395&lt;&gt;"proMX"),"Empresa inválida",IF(OR(INT(B395)&lt;CFG_PSTART,INT(B395)&gt;CFG_PEND),"Fecha fuera del período",IF(OR(NOT(ISNUMBER(Z395)),NOT(ISNUMBER(AA395))),"Falta hora inicio/fin o formato inválido",IF(AB395=0,"Hora inicio = hora fin",IF(AE395&lt;0,"Descanso inválido",IF(AE395&gt;=AD395,"Descanso ≥ duración",IF(AV395=1,"Registro duplicado",IF(AZ395&gt;0,"Se superpone con otro registro "&amp;D395,IF(BB395=0,"inicio, fin y duración neta deben ser múltiplos de "&amp;CFG_BLK&amp;" min",""))))))))))))</f>
        <v/>
      </c>
      <c r="BD395" s="80">
        <f>IF(AND(Y395=1,BC395=""),1,0)</f>
        <v>0</v>
      </c>
      <c r="BE395" s="80">
        <f>IF(AND(BD395=1,AU395=1),1,0)</f>
        <v>0</v>
      </c>
      <c r="BF395" s="80" t="str">
        <f>IF(AND(D395="proMX",BD395=1),IF(R395="","Draft",R395),"")</f>
        <v/>
      </c>
      <c r="BG395" s="80">
        <f>IF(BD395=1,ROUND(AG395/60,6),0)</f>
        <v>0</v>
      </c>
      <c r="BH395" s="80">
        <f>IF(BE395=1,ROUND(AG395/60,6),0)</f>
        <v>0</v>
      </c>
      <c r="BI395" s="80">
        <f>IF(BE395=1,ROUND(AP395/60,6),0)</f>
        <v>0</v>
      </c>
      <c r="BJ395" s="80">
        <f>IF(BE395=1,ROUND(AQ395/60,6),0)</f>
        <v>0</v>
      </c>
      <c r="BK395" s="80">
        <f>IF(BE395=1,ROUND((AR395+AS395)/60,6),0)</f>
        <v>0</v>
      </c>
      <c r="BL395" s="80">
        <f>ROUND(BH395-BK395,6)</f>
        <v>0</v>
      </c>
      <c r="BM395" s="80">
        <f>IF(BE395=1,ROUND(AR395/60,6),0)</f>
        <v>0</v>
      </c>
      <c r="BN395" s="80">
        <f>ROUND(BI395-BM395,6)</f>
        <v>0</v>
      </c>
      <c r="BO395" s="80">
        <f>IF(BE395=1,ROUND(AS395/60,6),0)</f>
        <v>0</v>
      </c>
      <c r="BP395" s="80">
        <f>ROUND(BJ395-BO395,6)</f>
        <v>0</v>
      </c>
      <c r="BQ395" s="80">
        <f>IF(BE395=1,AW395,0)</f>
        <v>0</v>
      </c>
      <c r="BR395" s="80">
        <f>IF(BE395=1,AX395,0)</f>
        <v>0</v>
      </c>
      <c r="BS395" s="80">
        <f>IF(AND(BE395=1,D395="Malcolm",BA395&gt;0),MIN(BH395,SUMPRODUCT((R_Emp="proMX")*(R_EN&gt;0)*((R_EN-(R_EN&gt;BR395)*(R_EN-BR395))&gt;(R_SN+(R_SN&lt;BQ395)*(BQ395-R_SN)))*((R_EN-(R_EN&gt;BR395)*(R_EN-BR395))-(R_SN+(R_SN&lt;BQ395)*(BQ395-R_SN))))/60),0)</f>
        <v>0</v>
      </c>
      <c r="BT395" s="80">
        <f>IF(AND(BE395=1,D395="proMX"),ROUND(BI395*CFG_RATE+BJ395*CFG_OTRATE,6),0)</f>
        <v>0</v>
      </c>
      <c r="BU395" s="80">
        <f>IF(AND(BD395=1,D395="proMX"),ROUND(AG395/CFG_BLK,6),0)</f>
        <v>0</v>
      </c>
      <c r="BV395" s="80" t="str">
        <f>IF(BF395="Approved",IF(ISNUMBER(T395),INT(T395),INT(B395)),"")</f>
        <v/>
      </c>
      <c r="BW395" s="80">
        <f>IF(ISNUMBER(B395),IF(DB_MON="Todos",1,IF(AND(INT(B395)&gt;=DB_MS,INT(B395)&lt;=DB_ME),1,0)),0)</f>
        <v>0</v>
      </c>
      <c r="BX395" s="80">
        <f>IF(DB_PROJ="Todos",1,IF(E395&amp;""=DB_PROJ&amp;"",1,0))</f>
        <v>1</v>
      </c>
      <c r="BY395" s="80">
        <f>BW395*BX395</f>
        <v>0</v>
      </c>
      <c r="BZ395" s="80" t="str">
        <f>IF(Y395=1,F395&amp;IF(AND(F395&amp;""&lt;&gt;"",E395&amp;""&lt;&gt;"")," · ","")&amp;E395,"")</f>
        <v/>
      </c>
      <c r="CA395" s="80" t="str">
        <f>IF(AND(BD395=1,E395&amp;""&lt;&gt;""),IF(COUNTIFS($E$5:E394,E395,$BD$5:BD394,1)=0,MAX($CA$5:CA394)+1,""),"")</f>
        <v/>
      </c>
      <c r="CB395" s="80" t="str">
        <f>IF(AND(BE395=1,D395="Malcolm",E395&amp;""&lt;&gt;""),IF(COUNTIFS($D$5:D394,"Malcolm",$E$5:E394,E395,$BE$5:BE394,1)=0,MAX($CB$5:CB394)+1,""),"")</f>
        <v/>
      </c>
      <c r="CC395" s="80" t="str">
        <f>IF(AND(BD395=1,D395="proMX",E395&amp;""&lt;&gt;""),IF(COUNTIFS($D$5:D394,"proMX",$E$5:E394,E395,$BD$5:BD394,1)=0,MAX($CC$5:CC394)+1,""),"")</f>
        <v/>
      </c>
      <c r="CD395" s="80" t="str">
        <f>IF(AND(BE395=1,D395="Malcolm",F395&amp;""&lt;&gt;""),IF(COUNTIFS($D$5:D394,"Malcolm",$F$5:F394,F395,$BE$5:BE394,1)=0,MAX($CD$5:CD394)+1,""),"")</f>
        <v/>
      </c>
      <c r="CE395" s="80" t="str">
        <f>IF(AND(BD395=1,D395="proMX",F395&amp;""&lt;&gt;""),IF(COUNTIFS($D$5:D394,"proMX",$F$5:F394,F395,$BD$5:BD394,1)=0,MAX($CE$5:CE394)+1,""),"")</f>
        <v/>
      </c>
      <c r="CF395" s="80" t="str">
        <f>IF(AND(D395="proMX",BD395=1),IF(OR(BF395="Draft",BF395="Submitted",BF395="Returned",BF395="Recall Requested"),MAX($CF$5:CF394)+1,""),"")</f>
        <v/>
      </c>
      <c r="CG395" s="80">
        <f>IF(BD395=0,0,IF(D395="Malcolm",1,MATCH(BF395,{"Draft","Submitted","Approved","Returned","Recall Requested","Cancelled"},0)+1))</f>
        <v>0</v>
      </c>
      <c r="CH395" s="80">
        <f>IF(AND(BF395="Submitted",ISNUMBER(V395)),IF(V395&gt;CFG_MAXD,1,0),0)</f>
        <v>0</v>
      </c>
    </row>
    <row r="396">
      <c r="A396" s="71" t="str">
        <f>IF(Y396=1,ROW()-5,"")</f>
        <v/>
      </c>
      <c r="B396" s="72" t="n"/>
      <c r="C396" s="71" t="str">
        <f>IF(ISNUMBER(B396),CHOOSE(WEEKDAY(B396,2),"Lun","Mar","Mié","Jue","Vie","Sáb","Dom"),"")</f>
        <v/>
      </c>
      <c r="D396" s="73" t="n"/>
      <c r="E396" s="74" t="n"/>
      <c r="F396" s="74" t="n"/>
      <c r="G396" s="74" t="n"/>
      <c r="H396" s="75" t="n"/>
      <c r="I396" s="75" t="n"/>
      <c r="J396" s="76" t="n"/>
      <c r="K396" s="77" t="str">
        <f>IF(AB396=1,ROUND(AG396/60,4),"")</f>
        <v/>
      </c>
      <c r="L396" s="77" t="str">
        <f>IF(BD396=1,ROUND(AP396/60,4),"")</f>
        <v/>
      </c>
      <c r="M396" s="77" t="str">
        <f>IF(BD396=1,ROUND(AQ396/60,4),"")</f>
        <v/>
      </c>
      <c r="N396" s="71" t="str">
        <f>IF(AND(D396="proMX",AB396=1),ROUND(AG396/CFG_BLK,2),"")</f>
        <v/>
      </c>
      <c r="O396" s="77" t="str">
        <f>IF(D396="proMX",IF(BD396=1,ROUND(AG396/60,4),0),"")</f>
        <v/>
      </c>
      <c r="P396" s="78" t="str">
        <f>IF(Y396=0,"",IF(BD396=1,"OK",IF(D396="proMX","Revisar bloques: ","Revisar: ")&amp;BC396))</f>
        <v/>
      </c>
      <c r="Q396" s="78" t="str">
        <f>IF(NOT(ISNUMBER(B396)),"",IF(COUNTIFS(FER_F,INT(B396))&gt;0,"Feriado"&amp;IF(AH396=1," (laborable)"," (no laborable)"),IF(AH396=1,"Laborable",IF(WEEKDAY(B396,2)&gt;5,"Fin de semana","No laborable"))))</f>
        <v/>
      </c>
      <c r="R396" s="73" t="n"/>
      <c r="S396" s="72" t="n"/>
      <c r="T396" s="72" t="n"/>
      <c r="U396" s="74" t="n"/>
      <c r="V396" s="79" t="str">
        <f>IF(AND(D396="proMX",OR(R396="Submitted",R396="Recall Requested"),ISNUMBER(S396)),CFG_TODAY-INT(S396),"")</f>
        <v/>
      </c>
      <c r="W396" s="78" t="str">
        <f>IF(BD396=0,"",IF(BA396&gt;0,"⚠ Se superpone con un registro de la otra empresa",IF(D396="Malcolm",IF(COUNTA(R396,S396,T396)&gt;0,"Estado/fechas proMX se ignoran en Malcolm",""),IF(BF396="Cancelled","Cancelado: excluido de totales",IF(R396="","Sin estado: se trata como Draft",IF(BF396="Submitted",IF(ISNUMBER(V396),IF(V396&gt;CFG_MAXD,"⚠ "&amp;V396&amp;" días en Submitted (máx. "&amp;CFG_MAXD&amp;")",""),"Falta fecha de envío"),IF(BF396="Returned","⚠ Devuelto: corregir y reenviar",IF(BF396="Recall Requested","Retirada solicitada: pendiente",IF(AND(BF396="Approved",NOT(ISNUMBER(T396))),"Falta fecha de aprobación",IF(AND(ISNUMBER(S396),ISNUMBER(T396),T396&lt;S396),"Aprobación anterior al envío","")))))))))</f>
        <v/>
      </c>
      <c r="Y396" s="80">
        <f>IF(COUNTA(B396,D396,E396,F396,G396,H396,I396,J396,R396,S396,T396)&gt;0,1,0)</f>
        <v>0</v>
      </c>
      <c r="Z396" s="80" t="str">
        <f>IF(AND(ISNUMBER(H396),H396&gt;=0,H396&lt;1),ROUND(H396*1440,0),"")</f>
        <v/>
      </c>
      <c r="AA396" s="80" t="str">
        <f>IF(AND(ISNUMBER(I396),I396&gt;=0,I396&lt;1),ROUND(I396*1440,0),"")</f>
        <v/>
      </c>
      <c r="AB396" s="80">
        <f>IF(AND(ISNUMBER(B396),D396&lt;&gt;"",ISNUMBER(Z396),ISNUMBER(AA396)),IF(Z396=AA396,0,1),0)</f>
        <v>0</v>
      </c>
      <c r="AC396" s="80">
        <f>IF(AB396=1,IF(AA396&lt;Z396,1,0),0)</f>
        <v>0</v>
      </c>
      <c r="AD396" s="80">
        <f>IF(AB396=1,IF(AC396=1,1440-Z396+AA396,AA396-Z396),0)</f>
        <v>0</v>
      </c>
      <c r="AE396" s="80">
        <f>IF(J396="",0,IF(ISNUMBER(J396),J396,-1))</f>
        <v>0</v>
      </c>
      <c r="AF396" s="80">
        <f>MIN(MAX(0,AE396),AD396)</f>
        <v>0</v>
      </c>
      <c r="AG396" s="80">
        <f>MAX(0,AD396-MAX(0,AE396))</f>
        <v>0</v>
      </c>
      <c r="AH396" s="80">
        <f>IF(ISNUMBER(B396),IF(AND(INDEX(CFG_WDAYS,WEEKDAY(INT(B396),2))="Sí",IF(D396="proMX",COUNTIFS(FER_F,INT(B396),FER_NLP,"Sí"),COUNTIFS(FER_F,INT(B396),FER_NLM,"Sí"))=0),1,0),0)</f>
        <v>0</v>
      </c>
      <c r="AI396" s="80">
        <f>IF(AC396=1,IF(AND(INDEX(CFG_WDAYS,WEEKDAY(INT(B396)+1,2))="Sí",IF(D396="proMX",COUNTIFS(FER_F,INT(B396)+1,FER_NLP,"Sí"),COUNTIFS(FER_F,INT(B396)+1,FER_NLM,"Sí"))=0),1,0),0)</f>
        <v>0</v>
      </c>
      <c r="AJ396" s="80">
        <f>IF(AC396=1,1440-Z396,AD396)</f>
        <v>0</v>
      </c>
      <c r="AK396" s="80">
        <f>IF(AND(AB396=1,AH396=1),MAX(0,MIN(IF(AC396=1,1440,AA396),CFG_WEM)-MAX(Z396,CFG_WSM)),0)</f>
        <v>0</v>
      </c>
      <c r="AL396" s="80">
        <f>IF(AND(AC396=1,AI396=1),MAX(0,MIN(AA396,CFG_WEM)-CFG_WSM),0)</f>
        <v>0</v>
      </c>
      <c r="AM396" s="80">
        <f>AK396+AL396</f>
        <v>0</v>
      </c>
      <c r="AN396" s="80">
        <f>IF(CFG_BRK="Proporcional",IF(AD396=0,0,AF396*AM396/AD396),IF(CFG_BRK="Extras primero",MIN(AM396,MAX(0,AF396-(AD396-AM396))),MIN(AF396,AM396)))</f>
        <v>0</v>
      </c>
      <c r="AO396" s="80">
        <f>AF396-AN396</f>
        <v>0</v>
      </c>
      <c r="AP396" s="80">
        <f>AM396-AN396</f>
        <v>0</v>
      </c>
      <c r="AQ396" s="80">
        <f>AD396-AM396-AO396</f>
        <v>0</v>
      </c>
      <c r="AR396" s="80">
        <f>IF(AM396=0,0,AK396-AN396*AK396/AM396)</f>
        <v>0</v>
      </c>
      <c r="AS396" s="80">
        <f>IF(AD396-AM396=0,0,(AJ396-AK396)-AO396*(AJ396-AK396)/(AD396-AM396))</f>
        <v>0</v>
      </c>
      <c r="AT396" s="80" t="str">
        <f>IF(AC396=1,INT(B396)+1,"")</f>
        <v/>
      </c>
      <c r="AU396" s="80">
        <f>IF(AND(D396="proMX",R396="Cancelled"),0,1)</f>
        <v>1</v>
      </c>
      <c r="AV396" s="80">
        <f>IF(AND(AB396=1,AU396=1),IF(COUNTIFS($D$5:D395,D396,$B$5:B395,B396,$Z$5:Z395,Z396,$AA$5:AA395,AA396,$F$5:F395,F396&amp;"",$AU$5:AU395,1)&gt;0,1,0),0)</f>
        <v>0</v>
      </c>
      <c r="AW396" s="80" t="str">
        <f>IF(AB396=1,INT(B396)*1440+Z396,"")</f>
        <v/>
      </c>
      <c r="AX396" s="80" t="str">
        <f>IF(AB396=1,AW396+AD396,"")</f>
        <v/>
      </c>
      <c r="AY396" s="80">
        <f>IF(AND(AB396=1,AV396=0,AU396=1),1,0)</f>
        <v>0</v>
      </c>
      <c r="AZ396" s="80">
        <f>IF(AY396=1,COUNTIFS(R_Emp,D396,R_SAbs,"&lt;"&amp;AX396,R_EAbs,"&gt;"&amp;AW396,R_OKey,1)-1,0)</f>
        <v>0</v>
      </c>
      <c r="BA396" s="80">
        <f>IF(AY396=1,COUNTIFS(R_Emp,"&lt;&gt;"&amp;D396,R_SAbs,"&lt;"&amp;AX396,R_EAbs,"&gt;"&amp;AW396,R_OKey,1),0)</f>
        <v>0</v>
      </c>
      <c r="BB396" s="80">
        <f>IF(AND(AB396=1,D396="proMX"),IF(AND(MOD(Z396,CFG_BLK)=0,MOD(AA396,CFG_BLK)=0,MOD(AG396,CFG_BLK)=0,AG396&gt;0),1,0),1)</f>
        <v>1</v>
      </c>
      <c r="BC396" s="80" t="str">
        <f>IF(Y396=0,"",IF(NOT(ISNUMBER(B396)),"Falta fecha o fecha inválida",IF(D396="","Falta empresa",IF(AND(D396&lt;&gt;"Malcolm",D396&lt;&gt;"proMX"),"Empresa inválida",IF(OR(INT(B396)&lt;CFG_PSTART,INT(B396)&gt;CFG_PEND),"Fecha fuera del período",IF(OR(NOT(ISNUMBER(Z396)),NOT(ISNUMBER(AA396))),"Falta hora inicio/fin o formato inválido",IF(AB396=0,"Hora inicio = hora fin",IF(AE396&lt;0,"Descanso inválido",IF(AE396&gt;=AD396,"Descanso ≥ duración",IF(AV396=1,"Registro duplicado",IF(AZ396&gt;0,"Se superpone con otro registro "&amp;D396,IF(BB396=0,"inicio, fin y duración neta deben ser múltiplos de "&amp;CFG_BLK&amp;" min",""))))))))))))</f>
        <v/>
      </c>
      <c r="BD396" s="80">
        <f>IF(AND(Y396=1,BC396=""),1,0)</f>
        <v>0</v>
      </c>
      <c r="BE396" s="80">
        <f>IF(AND(BD396=1,AU396=1),1,0)</f>
        <v>0</v>
      </c>
      <c r="BF396" s="80" t="str">
        <f>IF(AND(D396="proMX",BD396=1),IF(R396="","Draft",R396),"")</f>
        <v/>
      </c>
      <c r="BG396" s="80">
        <f>IF(BD396=1,ROUND(AG396/60,6),0)</f>
        <v>0</v>
      </c>
      <c r="BH396" s="80">
        <f>IF(BE396=1,ROUND(AG396/60,6),0)</f>
        <v>0</v>
      </c>
      <c r="BI396" s="80">
        <f>IF(BE396=1,ROUND(AP396/60,6),0)</f>
        <v>0</v>
      </c>
      <c r="BJ396" s="80">
        <f>IF(BE396=1,ROUND(AQ396/60,6),0)</f>
        <v>0</v>
      </c>
      <c r="BK396" s="80">
        <f>IF(BE396=1,ROUND((AR396+AS396)/60,6),0)</f>
        <v>0</v>
      </c>
      <c r="BL396" s="80">
        <f>ROUND(BH396-BK396,6)</f>
        <v>0</v>
      </c>
      <c r="BM396" s="80">
        <f>IF(BE396=1,ROUND(AR396/60,6),0)</f>
        <v>0</v>
      </c>
      <c r="BN396" s="80">
        <f>ROUND(BI396-BM396,6)</f>
        <v>0</v>
      </c>
      <c r="BO396" s="80">
        <f>IF(BE396=1,ROUND(AS396/60,6),0)</f>
        <v>0</v>
      </c>
      <c r="BP396" s="80">
        <f>ROUND(BJ396-BO396,6)</f>
        <v>0</v>
      </c>
      <c r="BQ396" s="80">
        <f>IF(BE396=1,AW396,0)</f>
        <v>0</v>
      </c>
      <c r="BR396" s="80">
        <f>IF(BE396=1,AX396,0)</f>
        <v>0</v>
      </c>
      <c r="BS396" s="80">
        <f>IF(AND(BE396=1,D396="Malcolm",BA396&gt;0),MIN(BH396,SUMPRODUCT((R_Emp="proMX")*(R_EN&gt;0)*((R_EN-(R_EN&gt;BR396)*(R_EN-BR396))&gt;(R_SN+(R_SN&lt;BQ396)*(BQ396-R_SN)))*((R_EN-(R_EN&gt;BR396)*(R_EN-BR396))-(R_SN+(R_SN&lt;BQ396)*(BQ396-R_SN))))/60),0)</f>
        <v>0</v>
      </c>
      <c r="BT396" s="80">
        <f>IF(AND(BE396=1,D396="proMX"),ROUND(BI396*CFG_RATE+BJ396*CFG_OTRATE,6),0)</f>
        <v>0</v>
      </c>
      <c r="BU396" s="80">
        <f>IF(AND(BD396=1,D396="proMX"),ROUND(AG396/CFG_BLK,6),0)</f>
        <v>0</v>
      </c>
      <c r="BV396" s="80" t="str">
        <f>IF(BF396="Approved",IF(ISNUMBER(T396),INT(T396),INT(B396)),"")</f>
        <v/>
      </c>
      <c r="BW396" s="80">
        <f>IF(ISNUMBER(B396),IF(DB_MON="Todos",1,IF(AND(INT(B396)&gt;=DB_MS,INT(B396)&lt;=DB_ME),1,0)),0)</f>
        <v>0</v>
      </c>
      <c r="BX396" s="80">
        <f>IF(DB_PROJ="Todos",1,IF(E396&amp;""=DB_PROJ&amp;"",1,0))</f>
        <v>1</v>
      </c>
      <c r="BY396" s="80">
        <f>BW396*BX396</f>
        <v>0</v>
      </c>
      <c r="BZ396" s="80" t="str">
        <f>IF(Y396=1,F396&amp;IF(AND(F396&amp;""&lt;&gt;"",E396&amp;""&lt;&gt;"")," · ","")&amp;E396,"")</f>
        <v/>
      </c>
      <c r="CA396" s="80" t="str">
        <f>IF(AND(BD396=1,E396&amp;""&lt;&gt;""),IF(COUNTIFS($E$5:E395,E396,$BD$5:BD395,1)=0,MAX($CA$5:CA395)+1,""),"")</f>
        <v/>
      </c>
      <c r="CB396" s="80" t="str">
        <f>IF(AND(BE396=1,D396="Malcolm",E396&amp;""&lt;&gt;""),IF(COUNTIFS($D$5:D395,"Malcolm",$E$5:E395,E396,$BE$5:BE395,1)=0,MAX($CB$5:CB395)+1,""),"")</f>
        <v/>
      </c>
      <c r="CC396" s="80" t="str">
        <f>IF(AND(BD396=1,D396="proMX",E396&amp;""&lt;&gt;""),IF(COUNTIFS($D$5:D395,"proMX",$E$5:E395,E396,$BD$5:BD395,1)=0,MAX($CC$5:CC395)+1,""),"")</f>
        <v/>
      </c>
      <c r="CD396" s="80" t="str">
        <f>IF(AND(BE396=1,D396="Malcolm",F396&amp;""&lt;&gt;""),IF(COUNTIFS($D$5:D395,"Malcolm",$F$5:F395,F396,$BE$5:BE395,1)=0,MAX($CD$5:CD395)+1,""),"")</f>
        <v/>
      </c>
      <c r="CE396" s="80" t="str">
        <f>IF(AND(BD396=1,D396="proMX",F396&amp;""&lt;&gt;""),IF(COUNTIFS($D$5:D395,"proMX",$F$5:F395,F396,$BD$5:BD395,1)=0,MAX($CE$5:CE395)+1,""),"")</f>
        <v/>
      </c>
      <c r="CF396" s="80" t="str">
        <f>IF(AND(D396="proMX",BD396=1),IF(OR(BF396="Draft",BF396="Submitted",BF396="Returned",BF396="Recall Requested"),MAX($CF$5:CF395)+1,""),"")</f>
        <v/>
      </c>
      <c r="CG396" s="80">
        <f>IF(BD396=0,0,IF(D396="Malcolm",1,MATCH(BF396,{"Draft","Submitted","Approved","Returned","Recall Requested","Cancelled"},0)+1))</f>
        <v>0</v>
      </c>
      <c r="CH396" s="80">
        <f>IF(AND(BF396="Submitted",ISNUMBER(V396)),IF(V396&gt;CFG_MAXD,1,0),0)</f>
        <v>0</v>
      </c>
    </row>
    <row r="397">
      <c r="A397" s="71" t="str">
        <f>IF(Y397=1,ROW()-5,"")</f>
        <v/>
      </c>
      <c r="B397" s="72" t="n"/>
      <c r="C397" s="71" t="str">
        <f>IF(ISNUMBER(B397),CHOOSE(WEEKDAY(B397,2),"Lun","Mar","Mié","Jue","Vie","Sáb","Dom"),"")</f>
        <v/>
      </c>
      <c r="D397" s="73" t="n"/>
      <c r="E397" s="74" t="n"/>
      <c r="F397" s="74" t="n"/>
      <c r="G397" s="74" t="n"/>
      <c r="H397" s="75" t="n"/>
      <c r="I397" s="75" t="n"/>
      <c r="J397" s="76" t="n"/>
      <c r="K397" s="77" t="str">
        <f>IF(AB397=1,ROUND(AG397/60,4),"")</f>
        <v/>
      </c>
      <c r="L397" s="77" t="str">
        <f>IF(BD397=1,ROUND(AP397/60,4),"")</f>
        <v/>
      </c>
      <c r="M397" s="77" t="str">
        <f>IF(BD397=1,ROUND(AQ397/60,4),"")</f>
        <v/>
      </c>
      <c r="N397" s="71" t="str">
        <f>IF(AND(D397="proMX",AB397=1),ROUND(AG397/CFG_BLK,2),"")</f>
        <v/>
      </c>
      <c r="O397" s="77" t="str">
        <f>IF(D397="proMX",IF(BD397=1,ROUND(AG397/60,4),0),"")</f>
        <v/>
      </c>
      <c r="P397" s="78" t="str">
        <f>IF(Y397=0,"",IF(BD397=1,"OK",IF(D397="proMX","Revisar bloques: ","Revisar: ")&amp;BC397))</f>
        <v/>
      </c>
      <c r="Q397" s="78" t="str">
        <f>IF(NOT(ISNUMBER(B397)),"",IF(COUNTIFS(FER_F,INT(B397))&gt;0,"Feriado"&amp;IF(AH397=1," (laborable)"," (no laborable)"),IF(AH397=1,"Laborable",IF(WEEKDAY(B397,2)&gt;5,"Fin de semana","No laborable"))))</f>
        <v/>
      </c>
      <c r="R397" s="73" t="n"/>
      <c r="S397" s="72" t="n"/>
      <c r="T397" s="72" t="n"/>
      <c r="U397" s="74" t="n"/>
      <c r="V397" s="79" t="str">
        <f>IF(AND(D397="proMX",OR(R397="Submitted",R397="Recall Requested"),ISNUMBER(S397)),CFG_TODAY-INT(S397),"")</f>
        <v/>
      </c>
      <c r="W397" s="78" t="str">
        <f>IF(BD397=0,"",IF(BA397&gt;0,"⚠ Se superpone con un registro de la otra empresa",IF(D397="Malcolm",IF(COUNTA(R397,S397,T397)&gt;0,"Estado/fechas proMX se ignoran en Malcolm",""),IF(BF397="Cancelled","Cancelado: excluido de totales",IF(R397="","Sin estado: se trata como Draft",IF(BF397="Submitted",IF(ISNUMBER(V397),IF(V397&gt;CFG_MAXD,"⚠ "&amp;V397&amp;" días en Submitted (máx. "&amp;CFG_MAXD&amp;")",""),"Falta fecha de envío"),IF(BF397="Returned","⚠ Devuelto: corregir y reenviar",IF(BF397="Recall Requested","Retirada solicitada: pendiente",IF(AND(BF397="Approved",NOT(ISNUMBER(T397))),"Falta fecha de aprobación",IF(AND(ISNUMBER(S397),ISNUMBER(T397),T397&lt;S397),"Aprobación anterior al envío","")))))))))</f>
        <v/>
      </c>
      <c r="Y397" s="80">
        <f>IF(COUNTA(B397,D397,E397,F397,G397,H397,I397,J397,R397,S397,T397)&gt;0,1,0)</f>
        <v>0</v>
      </c>
      <c r="Z397" s="80" t="str">
        <f>IF(AND(ISNUMBER(H397),H397&gt;=0,H397&lt;1),ROUND(H397*1440,0),"")</f>
        <v/>
      </c>
      <c r="AA397" s="80" t="str">
        <f>IF(AND(ISNUMBER(I397),I397&gt;=0,I397&lt;1),ROUND(I397*1440,0),"")</f>
        <v/>
      </c>
      <c r="AB397" s="80">
        <f>IF(AND(ISNUMBER(B397),D397&lt;&gt;"",ISNUMBER(Z397),ISNUMBER(AA397)),IF(Z397=AA397,0,1),0)</f>
        <v>0</v>
      </c>
      <c r="AC397" s="80">
        <f>IF(AB397=1,IF(AA397&lt;Z397,1,0),0)</f>
        <v>0</v>
      </c>
      <c r="AD397" s="80">
        <f>IF(AB397=1,IF(AC397=1,1440-Z397+AA397,AA397-Z397),0)</f>
        <v>0</v>
      </c>
      <c r="AE397" s="80">
        <f>IF(J397="",0,IF(ISNUMBER(J397),J397,-1))</f>
        <v>0</v>
      </c>
      <c r="AF397" s="80">
        <f>MIN(MAX(0,AE397),AD397)</f>
        <v>0</v>
      </c>
      <c r="AG397" s="80">
        <f>MAX(0,AD397-MAX(0,AE397))</f>
        <v>0</v>
      </c>
      <c r="AH397" s="80">
        <f>IF(ISNUMBER(B397),IF(AND(INDEX(CFG_WDAYS,WEEKDAY(INT(B397),2))="Sí",IF(D397="proMX",COUNTIFS(FER_F,INT(B397),FER_NLP,"Sí"),COUNTIFS(FER_F,INT(B397),FER_NLM,"Sí"))=0),1,0),0)</f>
        <v>0</v>
      </c>
      <c r="AI397" s="80">
        <f>IF(AC397=1,IF(AND(INDEX(CFG_WDAYS,WEEKDAY(INT(B397)+1,2))="Sí",IF(D397="proMX",COUNTIFS(FER_F,INT(B397)+1,FER_NLP,"Sí"),COUNTIFS(FER_F,INT(B397)+1,FER_NLM,"Sí"))=0),1,0),0)</f>
        <v>0</v>
      </c>
      <c r="AJ397" s="80">
        <f>IF(AC397=1,1440-Z397,AD397)</f>
        <v>0</v>
      </c>
      <c r="AK397" s="80">
        <f>IF(AND(AB397=1,AH397=1),MAX(0,MIN(IF(AC397=1,1440,AA397),CFG_WEM)-MAX(Z397,CFG_WSM)),0)</f>
        <v>0</v>
      </c>
      <c r="AL397" s="80">
        <f>IF(AND(AC397=1,AI397=1),MAX(0,MIN(AA397,CFG_WEM)-CFG_WSM),0)</f>
        <v>0</v>
      </c>
      <c r="AM397" s="80">
        <f>AK397+AL397</f>
        <v>0</v>
      </c>
      <c r="AN397" s="80">
        <f>IF(CFG_BRK="Proporcional",IF(AD397=0,0,AF397*AM397/AD397),IF(CFG_BRK="Extras primero",MIN(AM397,MAX(0,AF397-(AD397-AM397))),MIN(AF397,AM397)))</f>
        <v>0</v>
      </c>
      <c r="AO397" s="80">
        <f>AF397-AN397</f>
        <v>0</v>
      </c>
      <c r="AP397" s="80">
        <f>AM397-AN397</f>
        <v>0</v>
      </c>
      <c r="AQ397" s="80">
        <f>AD397-AM397-AO397</f>
        <v>0</v>
      </c>
      <c r="AR397" s="80">
        <f>IF(AM397=0,0,AK397-AN397*AK397/AM397)</f>
        <v>0</v>
      </c>
      <c r="AS397" s="80">
        <f>IF(AD397-AM397=0,0,(AJ397-AK397)-AO397*(AJ397-AK397)/(AD397-AM397))</f>
        <v>0</v>
      </c>
      <c r="AT397" s="80" t="str">
        <f>IF(AC397=1,INT(B397)+1,"")</f>
        <v/>
      </c>
      <c r="AU397" s="80">
        <f>IF(AND(D397="proMX",R397="Cancelled"),0,1)</f>
        <v>1</v>
      </c>
      <c r="AV397" s="80">
        <f>IF(AND(AB397=1,AU397=1),IF(COUNTIFS($D$5:D396,D397,$B$5:B396,B397,$Z$5:Z396,Z397,$AA$5:AA396,AA397,$F$5:F396,F397&amp;"",$AU$5:AU396,1)&gt;0,1,0),0)</f>
        <v>0</v>
      </c>
      <c r="AW397" s="80" t="str">
        <f>IF(AB397=1,INT(B397)*1440+Z397,"")</f>
        <v/>
      </c>
      <c r="AX397" s="80" t="str">
        <f>IF(AB397=1,AW397+AD397,"")</f>
        <v/>
      </c>
      <c r="AY397" s="80">
        <f>IF(AND(AB397=1,AV397=0,AU397=1),1,0)</f>
        <v>0</v>
      </c>
      <c r="AZ397" s="80">
        <f>IF(AY397=1,COUNTIFS(R_Emp,D397,R_SAbs,"&lt;"&amp;AX397,R_EAbs,"&gt;"&amp;AW397,R_OKey,1)-1,0)</f>
        <v>0</v>
      </c>
      <c r="BA397" s="80">
        <f>IF(AY397=1,COUNTIFS(R_Emp,"&lt;&gt;"&amp;D397,R_SAbs,"&lt;"&amp;AX397,R_EAbs,"&gt;"&amp;AW397,R_OKey,1),0)</f>
        <v>0</v>
      </c>
      <c r="BB397" s="80">
        <f>IF(AND(AB397=1,D397="proMX"),IF(AND(MOD(Z397,CFG_BLK)=0,MOD(AA397,CFG_BLK)=0,MOD(AG397,CFG_BLK)=0,AG397&gt;0),1,0),1)</f>
        <v>1</v>
      </c>
      <c r="BC397" s="80" t="str">
        <f>IF(Y397=0,"",IF(NOT(ISNUMBER(B397)),"Falta fecha o fecha inválida",IF(D397="","Falta empresa",IF(AND(D397&lt;&gt;"Malcolm",D397&lt;&gt;"proMX"),"Empresa inválida",IF(OR(INT(B397)&lt;CFG_PSTART,INT(B397)&gt;CFG_PEND),"Fecha fuera del período",IF(OR(NOT(ISNUMBER(Z397)),NOT(ISNUMBER(AA397))),"Falta hora inicio/fin o formato inválido",IF(AB397=0,"Hora inicio = hora fin",IF(AE397&lt;0,"Descanso inválido",IF(AE397&gt;=AD397,"Descanso ≥ duración",IF(AV397=1,"Registro duplicado",IF(AZ397&gt;0,"Se superpone con otro registro "&amp;D397,IF(BB397=0,"inicio, fin y duración neta deben ser múltiplos de "&amp;CFG_BLK&amp;" min",""))))))))))))</f>
        <v/>
      </c>
      <c r="BD397" s="80">
        <f>IF(AND(Y397=1,BC397=""),1,0)</f>
        <v>0</v>
      </c>
      <c r="BE397" s="80">
        <f>IF(AND(BD397=1,AU397=1),1,0)</f>
        <v>0</v>
      </c>
      <c r="BF397" s="80" t="str">
        <f>IF(AND(D397="proMX",BD397=1),IF(R397="","Draft",R397),"")</f>
        <v/>
      </c>
      <c r="BG397" s="80">
        <f>IF(BD397=1,ROUND(AG397/60,6),0)</f>
        <v>0</v>
      </c>
      <c r="BH397" s="80">
        <f>IF(BE397=1,ROUND(AG397/60,6),0)</f>
        <v>0</v>
      </c>
      <c r="BI397" s="80">
        <f>IF(BE397=1,ROUND(AP397/60,6),0)</f>
        <v>0</v>
      </c>
      <c r="BJ397" s="80">
        <f>IF(BE397=1,ROUND(AQ397/60,6),0)</f>
        <v>0</v>
      </c>
      <c r="BK397" s="80">
        <f>IF(BE397=1,ROUND((AR397+AS397)/60,6),0)</f>
        <v>0</v>
      </c>
      <c r="BL397" s="80">
        <f>ROUND(BH397-BK397,6)</f>
        <v>0</v>
      </c>
      <c r="BM397" s="80">
        <f>IF(BE397=1,ROUND(AR397/60,6),0)</f>
        <v>0</v>
      </c>
      <c r="BN397" s="80">
        <f>ROUND(BI397-BM397,6)</f>
        <v>0</v>
      </c>
      <c r="BO397" s="80">
        <f>IF(BE397=1,ROUND(AS397/60,6),0)</f>
        <v>0</v>
      </c>
      <c r="BP397" s="80">
        <f>ROUND(BJ397-BO397,6)</f>
        <v>0</v>
      </c>
      <c r="BQ397" s="80">
        <f>IF(BE397=1,AW397,0)</f>
        <v>0</v>
      </c>
      <c r="BR397" s="80">
        <f>IF(BE397=1,AX397,0)</f>
        <v>0</v>
      </c>
      <c r="BS397" s="80">
        <f>IF(AND(BE397=1,D397="Malcolm",BA397&gt;0),MIN(BH397,SUMPRODUCT((R_Emp="proMX")*(R_EN&gt;0)*((R_EN-(R_EN&gt;BR397)*(R_EN-BR397))&gt;(R_SN+(R_SN&lt;BQ397)*(BQ397-R_SN)))*((R_EN-(R_EN&gt;BR397)*(R_EN-BR397))-(R_SN+(R_SN&lt;BQ397)*(BQ397-R_SN))))/60),0)</f>
        <v>0</v>
      </c>
      <c r="BT397" s="80">
        <f>IF(AND(BE397=1,D397="proMX"),ROUND(BI397*CFG_RATE+BJ397*CFG_OTRATE,6),0)</f>
        <v>0</v>
      </c>
      <c r="BU397" s="80">
        <f>IF(AND(BD397=1,D397="proMX"),ROUND(AG397/CFG_BLK,6),0)</f>
        <v>0</v>
      </c>
      <c r="BV397" s="80" t="str">
        <f>IF(BF397="Approved",IF(ISNUMBER(T397),INT(T397),INT(B397)),"")</f>
        <v/>
      </c>
      <c r="BW397" s="80">
        <f>IF(ISNUMBER(B397),IF(DB_MON="Todos",1,IF(AND(INT(B397)&gt;=DB_MS,INT(B397)&lt;=DB_ME),1,0)),0)</f>
        <v>0</v>
      </c>
      <c r="BX397" s="80">
        <f>IF(DB_PROJ="Todos",1,IF(E397&amp;""=DB_PROJ&amp;"",1,0))</f>
        <v>1</v>
      </c>
      <c r="BY397" s="80">
        <f>BW397*BX397</f>
        <v>0</v>
      </c>
      <c r="BZ397" s="80" t="str">
        <f>IF(Y397=1,F397&amp;IF(AND(F397&amp;""&lt;&gt;"",E397&amp;""&lt;&gt;"")," · ","")&amp;E397,"")</f>
        <v/>
      </c>
      <c r="CA397" s="80" t="str">
        <f>IF(AND(BD397=1,E397&amp;""&lt;&gt;""),IF(COUNTIFS($E$5:E396,E397,$BD$5:BD396,1)=0,MAX($CA$5:CA396)+1,""),"")</f>
        <v/>
      </c>
      <c r="CB397" s="80" t="str">
        <f>IF(AND(BE397=1,D397="Malcolm",E397&amp;""&lt;&gt;""),IF(COUNTIFS($D$5:D396,"Malcolm",$E$5:E396,E397,$BE$5:BE396,1)=0,MAX($CB$5:CB396)+1,""),"")</f>
        <v/>
      </c>
      <c r="CC397" s="80" t="str">
        <f>IF(AND(BD397=1,D397="proMX",E397&amp;""&lt;&gt;""),IF(COUNTIFS($D$5:D396,"proMX",$E$5:E396,E397,$BD$5:BD396,1)=0,MAX($CC$5:CC396)+1,""),"")</f>
        <v/>
      </c>
      <c r="CD397" s="80" t="str">
        <f>IF(AND(BE397=1,D397="Malcolm",F397&amp;""&lt;&gt;""),IF(COUNTIFS($D$5:D396,"Malcolm",$F$5:F396,F397,$BE$5:BE396,1)=0,MAX($CD$5:CD396)+1,""),"")</f>
        <v/>
      </c>
      <c r="CE397" s="80" t="str">
        <f>IF(AND(BD397=1,D397="proMX",F397&amp;""&lt;&gt;""),IF(COUNTIFS($D$5:D396,"proMX",$F$5:F396,F397,$BD$5:BD396,1)=0,MAX($CE$5:CE396)+1,""),"")</f>
        <v/>
      </c>
      <c r="CF397" s="80" t="str">
        <f>IF(AND(D397="proMX",BD397=1),IF(OR(BF397="Draft",BF397="Submitted",BF397="Returned",BF397="Recall Requested"),MAX($CF$5:CF396)+1,""),"")</f>
        <v/>
      </c>
      <c r="CG397" s="80">
        <f>IF(BD397=0,0,IF(D397="Malcolm",1,MATCH(BF397,{"Draft","Submitted","Approved","Returned","Recall Requested","Cancelled"},0)+1))</f>
        <v>0</v>
      </c>
      <c r="CH397" s="80">
        <f>IF(AND(BF397="Submitted",ISNUMBER(V397)),IF(V397&gt;CFG_MAXD,1,0),0)</f>
        <v>0</v>
      </c>
    </row>
    <row r="398">
      <c r="A398" s="71" t="str">
        <f>IF(Y398=1,ROW()-5,"")</f>
        <v/>
      </c>
      <c r="B398" s="72" t="n"/>
      <c r="C398" s="71" t="str">
        <f>IF(ISNUMBER(B398),CHOOSE(WEEKDAY(B398,2),"Lun","Mar","Mié","Jue","Vie","Sáb","Dom"),"")</f>
        <v/>
      </c>
      <c r="D398" s="73" t="n"/>
      <c r="E398" s="74" t="n"/>
      <c r="F398" s="74" t="n"/>
      <c r="G398" s="74" t="n"/>
      <c r="H398" s="75" t="n"/>
      <c r="I398" s="75" t="n"/>
      <c r="J398" s="76" t="n"/>
      <c r="K398" s="77" t="str">
        <f>IF(AB398=1,ROUND(AG398/60,4),"")</f>
        <v/>
      </c>
      <c r="L398" s="77" t="str">
        <f>IF(BD398=1,ROUND(AP398/60,4),"")</f>
        <v/>
      </c>
      <c r="M398" s="77" t="str">
        <f>IF(BD398=1,ROUND(AQ398/60,4),"")</f>
        <v/>
      </c>
      <c r="N398" s="71" t="str">
        <f>IF(AND(D398="proMX",AB398=1),ROUND(AG398/CFG_BLK,2),"")</f>
        <v/>
      </c>
      <c r="O398" s="77" t="str">
        <f>IF(D398="proMX",IF(BD398=1,ROUND(AG398/60,4),0),"")</f>
        <v/>
      </c>
      <c r="P398" s="78" t="str">
        <f>IF(Y398=0,"",IF(BD398=1,"OK",IF(D398="proMX","Revisar bloques: ","Revisar: ")&amp;BC398))</f>
        <v/>
      </c>
      <c r="Q398" s="78" t="str">
        <f>IF(NOT(ISNUMBER(B398)),"",IF(COUNTIFS(FER_F,INT(B398))&gt;0,"Feriado"&amp;IF(AH398=1," (laborable)"," (no laborable)"),IF(AH398=1,"Laborable",IF(WEEKDAY(B398,2)&gt;5,"Fin de semana","No laborable"))))</f>
        <v/>
      </c>
      <c r="R398" s="73" t="n"/>
      <c r="S398" s="72" t="n"/>
      <c r="T398" s="72" t="n"/>
      <c r="U398" s="74" t="n"/>
      <c r="V398" s="79" t="str">
        <f>IF(AND(D398="proMX",OR(R398="Submitted",R398="Recall Requested"),ISNUMBER(S398)),CFG_TODAY-INT(S398),"")</f>
        <v/>
      </c>
      <c r="W398" s="78" t="str">
        <f>IF(BD398=0,"",IF(BA398&gt;0,"⚠ Se superpone con un registro de la otra empresa",IF(D398="Malcolm",IF(COUNTA(R398,S398,T398)&gt;0,"Estado/fechas proMX se ignoran en Malcolm",""),IF(BF398="Cancelled","Cancelado: excluido de totales",IF(R398="","Sin estado: se trata como Draft",IF(BF398="Submitted",IF(ISNUMBER(V398),IF(V398&gt;CFG_MAXD,"⚠ "&amp;V398&amp;" días en Submitted (máx. "&amp;CFG_MAXD&amp;")",""),"Falta fecha de envío"),IF(BF398="Returned","⚠ Devuelto: corregir y reenviar",IF(BF398="Recall Requested","Retirada solicitada: pendiente",IF(AND(BF398="Approved",NOT(ISNUMBER(T398))),"Falta fecha de aprobación",IF(AND(ISNUMBER(S398),ISNUMBER(T398),T398&lt;S398),"Aprobación anterior al envío","")))))))))</f>
        <v/>
      </c>
      <c r="Y398" s="80">
        <f>IF(COUNTA(B398,D398,E398,F398,G398,H398,I398,J398,R398,S398,T398)&gt;0,1,0)</f>
        <v>0</v>
      </c>
      <c r="Z398" s="80" t="str">
        <f>IF(AND(ISNUMBER(H398),H398&gt;=0,H398&lt;1),ROUND(H398*1440,0),"")</f>
        <v/>
      </c>
      <c r="AA398" s="80" t="str">
        <f>IF(AND(ISNUMBER(I398),I398&gt;=0,I398&lt;1),ROUND(I398*1440,0),"")</f>
        <v/>
      </c>
      <c r="AB398" s="80">
        <f>IF(AND(ISNUMBER(B398),D398&lt;&gt;"",ISNUMBER(Z398),ISNUMBER(AA398)),IF(Z398=AA398,0,1),0)</f>
        <v>0</v>
      </c>
      <c r="AC398" s="80">
        <f>IF(AB398=1,IF(AA398&lt;Z398,1,0),0)</f>
        <v>0</v>
      </c>
      <c r="AD398" s="80">
        <f>IF(AB398=1,IF(AC398=1,1440-Z398+AA398,AA398-Z398),0)</f>
        <v>0</v>
      </c>
      <c r="AE398" s="80">
        <f>IF(J398="",0,IF(ISNUMBER(J398),J398,-1))</f>
        <v>0</v>
      </c>
      <c r="AF398" s="80">
        <f>MIN(MAX(0,AE398),AD398)</f>
        <v>0</v>
      </c>
      <c r="AG398" s="80">
        <f>MAX(0,AD398-MAX(0,AE398))</f>
        <v>0</v>
      </c>
      <c r="AH398" s="80">
        <f>IF(ISNUMBER(B398),IF(AND(INDEX(CFG_WDAYS,WEEKDAY(INT(B398),2))="Sí",IF(D398="proMX",COUNTIFS(FER_F,INT(B398),FER_NLP,"Sí"),COUNTIFS(FER_F,INT(B398),FER_NLM,"Sí"))=0),1,0),0)</f>
        <v>0</v>
      </c>
      <c r="AI398" s="80">
        <f>IF(AC398=1,IF(AND(INDEX(CFG_WDAYS,WEEKDAY(INT(B398)+1,2))="Sí",IF(D398="proMX",COUNTIFS(FER_F,INT(B398)+1,FER_NLP,"Sí"),COUNTIFS(FER_F,INT(B398)+1,FER_NLM,"Sí"))=0),1,0),0)</f>
        <v>0</v>
      </c>
      <c r="AJ398" s="80">
        <f>IF(AC398=1,1440-Z398,AD398)</f>
        <v>0</v>
      </c>
      <c r="AK398" s="80">
        <f>IF(AND(AB398=1,AH398=1),MAX(0,MIN(IF(AC398=1,1440,AA398),CFG_WEM)-MAX(Z398,CFG_WSM)),0)</f>
        <v>0</v>
      </c>
      <c r="AL398" s="80">
        <f>IF(AND(AC398=1,AI398=1),MAX(0,MIN(AA398,CFG_WEM)-CFG_WSM),0)</f>
        <v>0</v>
      </c>
      <c r="AM398" s="80">
        <f>AK398+AL398</f>
        <v>0</v>
      </c>
      <c r="AN398" s="80">
        <f>IF(CFG_BRK="Proporcional",IF(AD398=0,0,AF398*AM398/AD398),IF(CFG_BRK="Extras primero",MIN(AM398,MAX(0,AF398-(AD398-AM398))),MIN(AF398,AM398)))</f>
        <v>0</v>
      </c>
      <c r="AO398" s="80">
        <f>AF398-AN398</f>
        <v>0</v>
      </c>
      <c r="AP398" s="80">
        <f>AM398-AN398</f>
        <v>0</v>
      </c>
      <c r="AQ398" s="80">
        <f>AD398-AM398-AO398</f>
        <v>0</v>
      </c>
      <c r="AR398" s="80">
        <f>IF(AM398=0,0,AK398-AN398*AK398/AM398)</f>
        <v>0</v>
      </c>
      <c r="AS398" s="80">
        <f>IF(AD398-AM398=0,0,(AJ398-AK398)-AO398*(AJ398-AK398)/(AD398-AM398))</f>
        <v>0</v>
      </c>
      <c r="AT398" s="80" t="str">
        <f>IF(AC398=1,INT(B398)+1,"")</f>
        <v/>
      </c>
      <c r="AU398" s="80">
        <f>IF(AND(D398="proMX",R398="Cancelled"),0,1)</f>
        <v>1</v>
      </c>
      <c r="AV398" s="80">
        <f>IF(AND(AB398=1,AU398=1),IF(COUNTIFS($D$5:D397,D398,$B$5:B397,B398,$Z$5:Z397,Z398,$AA$5:AA397,AA398,$F$5:F397,F398&amp;"",$AU$5:AU397,1)&gt;0,1,0),0)</f>
        <v>0</v>
      </c>
      <c r="AW398" s="80" t="str">
        <f>IF(AB398=1,INT(B398)*1440+Z398,"")</f>
        <v/>
      </c>
      <c r="AX398" s="80" t="str">
        <f>IF(AB398=1,AW398+AD398,"")</f>
        <v/>
      </c>
      <c r="AY398" s="80">
        <f>IF(AND(AB398=1,AV398=0,AU398=1),1,0)</f>
        <v>0</v>
      </c>
      <c r="AZ398" s="80">
        <f>IF(AY398=1,COUNTIFS(R_Emp,D398,R_SAbs,"&lt;"&amp;AX398,R_EAbs,"&gt;"&amp;AW398,R_OKey,1)-1,0)</f>
        <v>0</v>
      </c>
      <c r="BA398" s="80">
        <f>IF(AY398=1,COUNTIFS(R_Emp,"&lt;&gt;"&amp;D398,R_SAbs,"&lt;"&amp;AX398,R_EAbs,"&gt;"&amp;AW398,R_OKey,1),0)</f>
        <v>0</v>
      </c>
      <c r="BB398" s="80">
        <f>IF(AND(AB398=1,D398="proMX"),IF(AND(MOD(Z398,CFG_BLK)=0,MOD(AA398,CFG_BLK)=0,MOD(AG398,CFG_BLK)=0,AG398&gt;0),1,0),1)</f>
        <v>1</v>
      </c>
      <c r="BC398" s="80" t="str">
        <f>IF(Y398=0,"",IF(NOT(ISNUMBER(B398)),"Falta fecha o fecha inválida",IF(D398="","Falta empresa",IF(AND(D398&lt;&gt;"Malcolm",D398&lt;&gt;"proMX"),"Empresa inválida",IF(OR(INT(B398)&lt;CFG_PSTART,INT(B398)&gt;CFG_PEND),"Fecha fuera del período",IF(OR(NOT(ISNUMBER(Z398)),NOT(ISNUMBER(AA398))),"Falta hora inicio/fin o formato inválido",IF(AB398=0,"Hora inicio = hora fin",IF(AE398&lt;0,"Descanso inválido",IF(AE398&gt;=AD398,"Descanso ≥ duración",IF(AV398=1,"Registro duplicado",IF(AZ398&gt;0,"Se superpone con otro registro "&amp;D398,IF(BB398=0,"inicio, fin y duración neta deben ser múltiplos de "&amp;CFG_BLK&amp;" min",""))))))))))))</f>
        <v/>
      </c>
      <c r="BD398" s="80">
        <f>IF(AND(Y398=1,BC398=""),1,0)</f>
        <v>0</v>
      </c>
      <c r="BE398" s="80">
        <f>IF(AND(BD398=1,AU398=1),1,0)</f>
        <v>0</v>
      </c>
      <c r="BF398" s="80" t="str">
        <f>IF(AND(D398="proMX",BD398=1),IF(R398="","Draft",R398),"")</f>
        <v/>
      </c>
      <c r="BG398" s="80">
        <f>IF(BD398=1,ROUND(AG398/60,6),0)</f>
        <v>0</v>
      </c>
      <c r="BH398" s="80">
        <f>IF(BE398=1,ROUND(AG398/60,6),0)</f>
        <v>0</v>
      </c>
      <c r="BI398" s="80">
        <f>IF(BE398=1,ROUND(AP398/60,6),0)</f>
        <v>0</v>
      </c>
      <c r="BJ398" s="80">
        <f>IF(BE398=1,ROUND(AQ398/60,6),0)</f>
        <v>0</v>
      </c>
      <c r="BK398" s="80">
        <f>IF(BE398=1,ROUND((AR398+AS398)/60,6),0)</f>
        <v>0</v>
      </c>
      <c r="BL398" s="80">
        <f>ROUND(BH398-BK398,6)</f>
        <v>0</v>
      </c>
      <c r="BM398" s="80">
        <f>IF(BE398=1,ROUND(AR398/60,6),0)</f>
        <v>0</v>
      </c>
      <c r="BN398" s="80">
        <f>ROUND(BI398-BM398,6)</f>
        <v>0</v>
      </c>
      <c r="BO398" s="80">
        <f>IF(BE398=1,ROUND(AS398/60,6),0)</f>
        <v>0</v>
      </c>
      <c r="BP398" s="80">
        <f>ROUND(BJ398-BO398,6)</f>
        <v>0</v>
      </c>
      <c r="BQ398" s="80">
        <f>IF(BE398=1,AW398,0)</f>
        <v>0</v>
      </c>
      <c r="BR398" s="80">
        <f>IF(BE398=1,AX398,0)</f>
        <v>0</v>
      </c>
      <c r="BS398" s="80">
        <f>IF(AND(BE398=1,D398="Malcolm",BA398&gt;0),MIN(BH398,SUMPRODUCT((R_Emp="proMX")*(R_EN&gt;0)*((R_EN-(R_EN&gt;BR398)*(R_EN-BR398))&gt;(R_SN+(R_SN&lt;BQ398)*(BQ398-R_SN)))*((R_EN-(R_EN&gt;BR398)*(R_EN-BR398))-(R_SN+(R_SN&lt;BQ398)*(BQ398-R_SN))))/60),0)</f>
        <v>0</v>
      </c>
      <c r="BT398" s="80">
        <f>IF(AND(BE398=1,D398="proMX"),ROUND(BI398*CFG_RATE+BJ398*CFG_OTRATE,6),0)</f>
        <v>0</v>
      </c>
      <c r="BU398" s="80">
        <f>IF(AND(BD398=1,D398="proMX"),ROUND(AG398/CFG_BLK,6),0)</f>
        <v>0</v>
      </c>
      <c r="BV398" s="80" t="str">
        <f>IF(BF398="Approved",IF(ISNUMBER(T398),INT(T398),INT(B398)),"")</f>
        <v/>
      </c>
      <c r="BW398" s="80">
        <f>IF(ISNUMBER(B398),IF(DB_MON="Todos",1,IF(AND(INT(B398)&gt;=DB_MS,INT(B398)&lt;=DB_ME),1,0)),0)</f>
        <v>0</v>
      </c>
      <c r="BX398" s="80">
        <f>IF(DB_PROJ="Todos",1,IF(E398&amp;""=DB_PROJ&amp;"",1,0))</f>
        <v>1</v>
      </c>
      <c r="BY398" s="80">
        <f>BW398*BX398</f>
        <v>0</v>
      </c>
      <c r="BZ398" s="80" t="str">
        <f>IF(Y398=1,F398&amp;IF(AND(F398&amp;""&lt;&gt;"",E398&amp;""&lt;&gt;"")," · ","")&amp;E398,"")</f>
        <v/>
      </c>
      <c r="CA398" s="80" t="str">
        <f>IF(AND(BD398=1,E398&amp;""&lt;&gt;""),IF(COUNTIFS($E$5:E397,E398,$BD$5:BD397,1)=0,MAX($CA$5:CA397)+1,""),"")</f>
        <v/>
      </c>
      <c r="CB398" s="80" t="str">
        <f>IF(AND(BE398=1,D398="Malcolm",E398&amp;""&lt;&gt;""),IF(COUNTIFS($D$5:D397,"Malcolm",$E$5:E397,E398,$BE$5:BE397,1)=0,MAX($CB$5:CB397)+1,""),"")</f>
        <v/>
      </c>
      <c r="CC398" s="80" t="str">
        <f>IF(AND(BD398=1,D398="proMX",E398&amp;""&lt;&gt;""),IF(COUNTIFS($D$5:D397,"proMX",$E$5:E397,E398,$BD$5:BD397,1)=0,MAX($CC$5:CC397)+1,""),"")</f>
        <v/>
      </c>
      <c r="CD398" s="80" t="str">
        <f>IF(AND(BE398=1,D398="Malcolm",F398&amp;""&lt;&gt;""),IF(COUNTIFS($D$5:D397,"Malcolm",$F$5:F397,F398,$BE$5:BE397,1)=0,MAX($CD$5:CD397)+1,""),"")</f>
        <v/>
      </c>
      <c r="CE398" s="80" t="str">
        <f>IF(AND(BD398=1,D398="proMX",F398&amp;""&lt;&gt;""),IF(COUNTIFS($D$5:D397,"proMX",$F$5:F397,F398,$BD$5:BD397,1)=0,MAX($CE$5:CE397)+1,""),"")</f>
        <v/>
      </c>
      <c r="CF398" s="80" t="str">
        <f>IF(AND(D398="proMX",BD398=1),IF(OR(BF398="Draft",BF398="Submitted",BF398="Returned",BF398="Recall Requested"),MAX($CF$5:CF397)+1,""),"")</f>
        <v/>
      </c>
      <c r="CG398" s="80">
        <f>IF(BD398=0,0,IF(D398="Malcolm",1,MATCH(BF398,{"Draft","Submitted","Approved","Returned","Recall Requested","Cancelled"},0)+1))</f>
        <v>0</v>
      </c>
      <c r="CH398" s="80">
        <f>IF(AND(BF398="Submitted",ISNUMBER(V398)),IF(V398&gt;CFG_MAXD,1,0),0)</f>
        <v>0</v>
      </c>
    </row>
    <row r="399">
      <c r="A399" s="71" t="str">
        <f>IF(Y399=1,ROW()-5,"")</f>
        <v/>
      </c>
      <c r="B399" s="72" t="n"/>
      <c r="C399" s="71" t="str">
        <f>IF(ISNUMBER(B399),CHOOSE(WEEKDAY(B399,2),"Lun","Mar","Mié","Jue","Vie","Sáb","Dom"),"")</f>
        <v/>
      </c>
      <c r="D399" s="73" t="n"/>
      <c r="E399" s="74" t="n"/>
      <c r="F399" s="74" t="n"/>
      <c r="G399" s="74" t="n"/>
      <c r="H399" s="75" t="n"/>
      <c r="I399" s="75" t="n"/>
      <c r="J399" s="76" t="n"/>
      <c r="K399" s="77" t="str">
        <f>IF(AB399=1,ROUND(AG399/60,4),"")</f>
        <v/>
      </c>
      <c r="L399" s="77" t="str">
        <f>IF(BD399=1,ROUND(AP399/60,4),"")</f>
        <v/>
      </c>
      <c r="M399" s="77" t="str">
        <f>IF(BD399=1,ROUND(AQ399/60,4),"")</f>
        <v/>
      </c>
      <c r="N399" s="71" t="str">
        <f>IF(AND(D399="proMX",AB399=1),ROUND(AG399/CFG_BLK,2),"")</f>
        <v/>
      </c>
      <c r="O399" s="77" t="str">
        <f>IF(D399="proMX",IF(BD399=1,ROUND(AG399/60,4),0),"")</f>
        <v/>
      </c>
      <c r="P399" s="78" t="str">
        <f>IF(Y399=0,"",IF(BD399=1,"OK",IF(D399="proMX","Revisar bloques: ","Revisar: ")&amp;BC399))</f>
        <v/>
      </c>
      <c r="Q399" s="78" t="str">
        <f>IF(NOT(ISNUMBER(B399)),"",IF(COUNTIFS(FER_F,INT(B399))&gt;0,"Feriado"&amp;IF(AH399=1," (laborable)"," (no laborable)"),IF(AH399=1,"Laborable",IF(WEEKDAY(B399,2)&gt;5,"Fin de semana","No laborable"))))</f>
        <v/>
      </c>
      <c r="R399" s="73" t="n"/>
      <c r="S399" s="72" t="n"/>
      <c r="T399" s="72" t="n"/>
      <c r="U399" s="74" t="n"/>
      <c r="V399" s="79" t="str">
        <f>IF(AND(D399="proMX",OR(R399="Submitted",R399="Recall Requested"),ISNUMBER(S399)),CFG_TODAY-INT(S399),"")</f>
        <v/>
      </c>
      <c r="W399" s="78" t="str">
        <f>IF(BD399=0,"",IF(BA399&gt;0,"⚠ Se superpone con un registro de la otra empresa",IF(D399="Malcolm",IF(COUNTA(R399,S399,T399)&gt;0,"Estado/fechas proMX se ignoran en Malcolm",""),IF(BF399="Cancelled","Cancelado: excluido de totales",IF(R399="","Sin estado: se trata como Draft",IF(BF399="Submitted",IF(ISNUMBER(V399),IF(V399&gt;CFG_MAXD,"⚠ "&amp;V399&amp;" días en Submitted (máx. "&amp;CFG_MAXD&amp;")",""),"Falta fecha de envío"),IF(BF399="Returned","⚠ Devuelto: corregir y reenviar",IF(BF399="Recall Requested","Retirada solicitada: pendiente",IF(AND(BF399="Approved",NOT(ISNUMBER(T399))),"Falta fecha de aprobación",IF(AND(ISNUMBER(S399),ISNUMBER(T399),T399&lt;S399),"Aprobación anterior al envío","")))))))))</f>
        <v/>
      </c>
      <c r="Y399" s="80">
        <f>IF(COUNTA(B399,D399,E399,F399,G399,H399,I399,J399,R399,S399,T399)&gt;0,1,0)</f>
        <v>0</v>
      </c>
      <c r="Z399" s="80" t="str">
        <f>IF(AND(ISNUMBER(H399),H399&gt;=0,H399&lt;1),ROUND(H399*1440,0),"")</f>
        <v/>
      </c>
      <c r="AA399" s="80" t="str">
        <f>IF(AND(ISNUMBER(I399),I399&gt;=0,I399&lt;1),ROUND(I399*1440,0),"")</f>
        <v/>
      </c>
      <c r="AB399" s="80">
        <f>IF(AND(ISNUMBER(B399),D399&lt;&gt;"",ISNUMBER(Z399),ISNUMBER(AA399)),IF(Z399=AA399,0,1),0)</f>
        <v>0</v>
      </c>
      <c r="AC399" s="80">
        <f>IF(AB399=1,IF(AA399&lt;Z399,1,0),0)</f>
        <v>0</v>
      </c>
      <c r="AD399" s="80">
        <f>IF(AB399=1,IF(AC399=1,1440-Z399+AA399,AA399-Z399),0)</f>
        <v>0</v>
      </c>
      <c r="AE399" s="80">
        <f>IF(J399="",0,IF(ISNUMBER(J399),J399,-1))</f>
        <v>0</v>
      </c>
      <c r="AF399" s="80">
        <f>MIN(MAX(0,AE399),AD399)</f>
        <v>0</v>
      </c>
      <c r="AG399" s="80">
        <f>MAX(0,AD399-MAX(0,AE399))</f>
        <v>0</v>
      </c>
      <c r="AH399" s="80">
        <f>IF(ISNUMBER(B399),IF(AND(INDEX(CFG_WDAYS,WEEKDAY(INT(B399),2))="Sí",IF(D399="proMX",COUNTIFS(FER_F,INT(B399),FER_NLP,"Sí"),COUNTIFS(FER_F,INT(B399),FER_NLM,"Sí"))=0),1,0),0)</f>
        <v>0</v>
      </c>
      <c r="AI399" s="80">
        <f>IF(AC399=1,IF(AND(INDEX(CFG_WDAYS,WEEKDAY(INT(B399)+1,2))="Sí",IF(D399="proMX",COUNTIFS(FER_F,INT(B399)+1,FER_NLP,"Sí"),COUNTIFS(FER_F,INT(B399)+1,FER_NLM,"Sí"))=0),1,0),0)</f>
        <v>0</v>
      </c>
      <c r="AJ399" s="80">
        <f>IF(AC399=1,1440-Z399,AD399)</f>
        <v>0</v>
      </c>
      <c r="AK399" s="80">
        <f>IF(AND(AB399=1,AH399=1),MAX(0,MIN(IF(AC399=1,1440,AA399),CFG_WEM)-MAX(Z399,CFG_WSM)),0)</f>
        <v>0</v>
      </c>
      <c r="AL399" s="80">
        <f>IF(AND(AC399=1,AI399=1),MAX(0,MIN(AA399,CFG_WEM)-CFG_WSM),0)</f>
        <v>0</v>
      </c>
      <c r="AM399" s="80">
        <f>AK399+AL399</f>
        <v>0</v>
      </c>
      <c r="AN399" s="80">
        <f>IF(CFG_BRK="Proporcional",IF(AD399=0,0,AF399*AM399/AD399),IF(CFG_BRK="Extras primero",MIN(AM399,MAX(0,AF399-(AD399-AM399))),MIN(AF399,AM399)))</f>
        <v>0</v>
      </c>
      <c r="AO399" s="80">
        <f>AF399-AN399</f>
        <v>0</v>
      </c>
      <c r="AP399" s="80">
        <f>AM399-AN399</f>
        <v>0</v>
      </c>
      <c r="AQ399" s="80">
        <f>AD399-AM399-AO399</f>
        <v>0</v>
      </c>
      <c r="AR399" s="80">
        <f>IF(AM399=0,0,AK399-AN399*AK399/AM399)</f>
        <v>0</v>
      </c>
      <c r="AS399" s="80">
        <f>IF(AD399-AM399=0,0,(AJ399-AK399)-AO399*(AJ399-AK399)/(AD399-AM399))</f>
        <v>0</v>
      </c>
      <c r="AT399" s="80" t="str">
        <f>IF(AC399=1,INT(B399)+1,"")</f>
        <v/>
      </c>
      <c r="AU399" s="80">
        <f>IF(AND(D399="proMX",R399="Cancelled"),0,1)</f>
        <v>1</v>
      </c>
      <c r="AV399" s="80">
        <f>IF(AND(AB399=1,AU399=1),IF(COUNTIFS($D$5:D398,D399,$B$5:B398,B399,$Z$5:Z398,Z399,$AA$5:AA398,AA399,$F$5:F398,F399&amp;"",$AU$5:AU398,1)&gt;0,1,0),0)</f>
        <v>0</v>
      </c>
      <c r="AW399" s="80" t="str">
        <f>IF(AB399=1,INT(B399)*1440+Z399,"")</f>
        <v/>
      </c>
      <c r="AX399" s="80" t="str">
        <f>IF(AB399=1,AW399+AD399,"")</f>
        <v/>
      </c>
      <c r="AY399" s="80">
        <f>IF(AND(AB399=1,AV399=0,AU399=1),1,0)</f>
        <v>0</v>
      </c>
      <c r="AZ399" s="80">
        <f>IF(AY399=1,COUNTIFS(R_Emp,D399,R_SAbs,"&lt;"&amp;AX399,R_EAbs,"&gt;"&amp;AW399,R_OKey,1)-1,0)</f>
        <v>0</v>
      </c>
      <c r="BA399" s="80">
        <f>IF(AY399=1,COUNTIFS(R_Emp,"&lt;&gt;"&amp;D399,R_SAbs,"&lt;"&amp;AX399,R_EAbs,"&gt;"&amp;AW399,R_OKey,1),0)</f>
        <v>0</v>
      </c>
      <c r="BB399" s="80">
        <f>IF(AND(AB399=1,D399="proMX"),IF(AND(MOD(Z399,CFG_BLK)=0,MOD(AA399,CFG_BLK)=0,MOD(AG399,CFG_BLK)=0,AG399&gt;0),1,0),1)</f>
        <v>1</v>
      </c>
      <c r="BC399" s="80" t="str">
        <f>IF(Y399=0,"",IF(NOT(ISNUMBER(B399)),"Falta fecha o fecha inválida",IF(D399="","Falta empresa",IF(AND(D399&lt;&gt;"Malcolm",D399&lt;&gt;"proMX"),"Empresa inválida",IF(OR(INT(B399)&lt;CFG_PSTART,INT(B399)&gt;CFG_PEND),"Fecha fuera del período",IF(OR(NOT(ISNUMBER(Z399)),NOT(ISNUMBER(AA399))),"Falta hora inicio/fin o formato inválido",IF(AB399=0,"Hora inicio = hora fin",IF(AE399&lt;0,"Descanso inválido",IF(AE399&gt;=AD399,"Descanso ≥ duración",IF(AV399=1,"Registro duplicado",IF(AZ399&gt;0,"Se superpone con otro registro "&amp;D399,IF(BB399=0,"inicio, fin y duración neta deben ser múltiplos de "&amp;CFG_BLK&amp;" min",""))))))))))))</f>
        <v/>
      </c>
      <c r="BD399" s="80">
        <f>IF(AND(Y399=1,BC399=""),1,0)</f>
        <v>0</v>
      </c>
      <c r="BE399" s="80">
        <f>IF(AND(BD399=1,AU399=1),1,0)</f>
        <v>0</v>
      </c>
      <c r="BF399" s="80" t="str">
        <f>IF(AND(D399="proMX",BD399=1),IF(R399="","Draft",R399),"")</f>
        <v/>
      </c>
      <c r="BG399" s="80">
        <f>IF(BD399=1,ROUND(AG399/60,6),0)</f>
        <v>0</v>
      </c>
      <c r="BH399" s="80">
        <f>IF(BE399=1,ROUND(AG399/60,6),0)</f>
        <v>0</v>
      </c>
      <c r="BI399" s="80">
        <f>IF(BE399=1,ROUND(AP399/60,6),0)</f>
        <v>0</v>
      </c>
      <c r="BJ399" s="80">
        <f>IF(BE399=1,ROUND(AQ399/60,6),0)</f>
        <v>0</v>
      </c>
      <c r="BK399" s="80">
        <f>IF(BE399=1,ROUND((AR399+AS399)/60,6),0)</f>
        <v>0</v>
      </c>
      <c r="BL399" s="80">
        <f>ROUND(BH399-BK399,6)</f>
        <v>0</v>
      </c>
      <c r="BM399" s="80">
        <f>IF(BE399=1,ROUND(AR399/60,6),0)</f>
        <v>0</v>
      </c>
      <c r="BN399" s="80">
        <f>ROUND(BI399-BM399,6)</f>
        <v>0</v>
      </c>
      <c r="BO399" s="80">
        <f>IF(BE399=1,ROUND(AS399/60,6),0)</f>
        <v>0</v>
      </c>
      <c r="BP399" s="80">
        <f>ROUND(BJ399-BO399,6)</f>
        <v>0</v>
      </c>
      <c r="BQ399" s="80">
        <f>IF(BE399=1,AW399,0)</f>
        <v>0</v>
      </c>
      <c r="BR399" s="80">
        <f>IF(BE399=1,AX399,0)</f>
        <v>0</v>
      </c>
      <c r="BS399" s="80">
        <f>IF(AND(BE399=1,D399="Malcolm",BA399&gt;0),MIN(BH399,SUMPRODUCT((R_Emp="proMX")*(R_EN&gt;0)*((R_EN-(R_EN&gt;BR399)*(R_EN-BR399))&gt;(R_SN+(R_SN&lt;BQ399)*(BQ399-R_SN)))*((R_EN-(R_EN&gt;BR399)*(R_EN-BR399))-(R_SN+(R_SN&lt;BQ399)*(BQ399-R_SN))))/60),0)</f>
        <v>0</v>
      </c>
      <c r="BT399" s="80">
        <f>IF(AND(BE399=1,D399="proMX"),ROUND(BI399*CFG_RATE+BJ399*CFG_OTRATE,6),0)</f>
        <v>0</v>
      </c>
      <c r="BU399" s="80">
        <f>IF(AND(BD399=1,D399="proMX"),ROUND(AG399/CFG_BLK,6),0)</f>
        <v>0</v>
      </c>
      <c r="BV399" s="80" t="str">
        <f>IF(BF399="Approved",IF(ISNUMBER(T399),INT(T399),INT(B399)),"")</f>
        <v/>
      </c>
      <c r="BW399" s="80">
        <f>IF(ISNUMBER(B399),IF(DB_MON="Todos",1,IF(AND(INT(B399)&gt;=DB_MS,INT(B399)&lt;=DB_ME),1,0)),0)</f>
        <v>0</v>
      </c>
      <c r="BX399" s="80">
        <f>IF(DB_PROJ="Todos",1,IF(E399&amp;""=DB_PROJ&amp;"",1,0))</f>
        <v>1</v>
      </c>
      <c r="BY399" s="80">
        <f>BW399*BX399</f>
        <v>0</v>
      </c>
      <c r="BZ399" s="80" t="str">
        <f>IF(Y399=1,F399&amp;IF(AND(F399&amp;""&lt;&gt;"",E399&amp;""&lt;&gt;"")," · ","")&amp;E399,"")</f>
        <v/>
      </c>
      <c r="CA399" s="80" t="str">
        <f>IF(AND(BD399=1,E399&amp;""&lt;&gt;""),IF(COUNTIFS($E$5:E398,E399,$BD$5:BD398,1)=0,MAX($CA$5:CA398)+1,""),"")</f>
        <v/>
      </c>
      <c r="CB399" s="80" t="str">
        <f>IF(AND(BE399=1,D399="Malcolm",E399&amp;""&lt;&gt;""),IF(COUNTIFS($D$5:D398,"Malcolm",$E$5:E398,E399,$BE$5:BE398,1)=0,MAX($CB$5:CB398)+1,""),"")</f>
        <v/>
      </c>
      <c r="CC399" s="80" t="str">
        <f>IF(AND(BD399=1,D399="proMX",E399&amp;""&lt;&gt;""),IF(COUNTIFS($D$5:D398,"proMX",$E$5:E398,E399,$BD$5:BD398,1)=0,MAX($CC$5:CC398)+1,""),"")</f>
        <v/>
      </c>
      <c r="CD399" s="80" t="str">
        <f>IF(AND(BE399=1,D399="Malcolm",F399&amp;""&lt;&gt;""),IF(COUNTIFS($D$5:D398,"Malcolm",$F$5:F398,F399,$BE$5:BE398,1)=0,MAX($CD$5:CD398)+1,""),"")</f>
        <v/>
      </c>
      <c r="CE399" s="80" t="str">
        <f>IF(AND(BD399=1,D399="proMX",F399&amp;""&lt;&gt;""),IF(COUNTIFS($D$5:D398,"proMX",$F$5:F398,F399,$BD$5:BD398,1)=0,MAX($CE$5:CE398)+1,""),"")</f>
        <v/>
      </c>
      <c r="CF399" s="80" t="str">
        <f>IF(AND(D399="proMX",BD399=1),IF(OR(BF399="Draft",BF399="Submitted",BF399="Returned",BF399="Recall Requested"),MAX($CF$5:CF398)+1,""),"")</f>
        <v/>
      </c>
      <c r="CG399" s="80">
        <f>IF(BD399=0,0,IF(D399="Malcolm",1,MATCH(BF399,{"Draft","Submitted","Approved","Returned","Recall Requested","Cancelled"},0)+1))</f>
        <v>0</v>
      </c>
      <c r="CH399" s="80">
        <f>IF(AND(BF399="Submitted",ISNUMBER(V399)),IF(V399&gt;CFG_MAXD,1,0),0)</f>
        <v>0</v>
      </c>
    </row>
    <row r="400">
      <c r="A400" s="71" t="str">
        <f>IF(Y400=1,ROW()-5,"")</f>
        <v/>
      </c>
      <c r="B400" s="72" t="n"/>
      <c r="C400" s="71" t="str">
        <f>IF(ISNUMBER(B400),CHOOSE(WEEKDAY(B400,2),"Lun","Mar","Mié","Jue","Vie","Sáb","Dom"),"")</f>
        <v/>
      </c>
      <c r="D400" s="73" t="n"/>
      <c r="E400" s="74" t="n"/>
      <c r="F400" s="74" t="n"/>
      <c r="G400" s="74" t="n"/>
      <c r="H400" s="75" t="n"/>
      <c r="I400" s="75" t="n"/>
      <c r="J400" s="76" t="n"/>
      <c r="K400" s="77" t="str">
        <f>IF(AB400=1,ROUND(AG400/60,4),"")</f>
        <v/>
      </c>
      <c r="L400" s="77" t="str">
        <f>IF(BD400=1,ROUND(AP400/60,4),"")</f>
        <v/>
      </c>
      <c r="M400" s="77" t="str">
        <f>IF(BD400=1,ROUND(AQ400/60,4),"")</f>
        <v/>
      </c>
      <c r="N400" s="71" t="str">
        <f>IF(AND(D400="proMX",AB400=1),ROUND(AG400/CFG_BLK,2),"")</f>
        <v/>
      </c>
      <c r="O400" s="77" t="str">
        <f>IF(D400="proMX",IF(BD400=1,ROUND(AG400/60,4),0),"")</f>
        <v/>
      </c>
      <c r="P400" s="78" t="str">
        <f>IF(Y400=0,"",IF(BD400=1,"OK",IF(D400="proMX","Revisar bloques: ","Revisar: ")&amp;BC400))</f>
        <v/>
      </c>
      <c r="Q400" s="78" t="str">
        <f>IF(NOT(ISNUMBER(B400)),"",IF(COUNTIFS(FER_F,INT(B400))&gt;0,"Feriado"&amp;IF(AH400=1," (laborable)"," (no laborable)"),IF(AH400=1,"Laborable",IF(WEEKDAY(B400,2)&gt;5,"Fin de semana","No laborable"))))</f>
        <v/>
      </c>
      <c r="R400" s="73" t="n"/>
      <c r="S400" s="72" t="n"/>
      <c r="T400" s="72" t="n"/>
      <c r="U400" s="74" t="n"/>
      <c r="V400" s="79" t="str">
        <f>IF(AND(D400="proMX",OR(R400="Submitted",R400="Recall Requested"),ISNUMBER(S400)),CFG_TODAY-INT(S400),"")</f>
        <v/>
      </c>
      <c r="W400" s="78" t="str">
        <f>IF(BD400=0,"",IF(BA400&gt;0,"⚠ Se superpone con un registro de la otra empresa",IF(D400="Malcolm",IF(COUNTA(R400,S400,T400)&gt;0,"Estado/fechas proMX se ignoran en Malcolm",""),IF(BF400="Cancelled","Cancelado: excluido de totales",IF(R400="","Sin estado: se trata como Draft",IF(BF400="Submitted",IF(ISNUMBER(V400),IF(V400&gt;CFG_MAXD,"⚠ "&amp;V400&amp;" días en Submitted (máx. "&amp;CFG_MAXD&amp;")",""),"Falta fecha de envío"),IF(BF400="Returned","⚠ Devuelto: corregir y reenviar",IF(BF400="Recall Requested","Retirada solicitada: pendiente",IF(AND(BF400="Approved",NOT(ISNUMBER(T400))),"Falta fecha de aprobación",IF(AND(ISNUMBER(S400),ISNUMBER(T400),T400&lt;S400),"Aprobación anterior al envío","")))))))))</f>
        <v/>
      </c>
      <c r="Y400" s="80">
        <f>IF(COUNTA(B400,D400,E400,F400,G400,H400,I400,J400,R400,S400,T400)&gt;0,1,0)</f>
        <v>0</v>
      </c>
      <c r="Z400" s="80" t="str">
        <f>IF(AND(ISNUMBER(H400),H400&gt;=0,H400&lt;1),ROUND(H400*1440,0),"")</f>
        <v/>
      </c>
      <c r="AA400" s="80" t="str">
        <f>IF(AND(ISNUMBER(I400),I400&gt;=0,I400&lt;1),ROUND(I400*1440,0),"")</f>
        <v/>
      </c>
      <c r="AB400" s="80">
        <f>IF(AND(ISNUMBER(B400),D400&lt;&gt;"",ISNUMBER(Z400),ISNUMBER(AA400)),IF(Z400=AA400,0,1),0)</f>
        <v>0</v>
      </c>
      <c r="AC400" s="80">
        <f>IF(AB400=1,IF(AA400&lt;Z400,1,0),0)</f>
        <v>0</v>
      </c>
      <c r="AD400" s="80">
        <f>IF(AB400=1,IF(AC400=1,1440-Z400+AA400,AA400-Z400),0)</f>
        <v>0</v>
      </c>
      <c r="AE400" s="80">
        <f>IF(J400="",0,IF(ISNUMBER(J400),J400,-1))</f>
        <v>0</v>
      </c>
      <c r="AF400" s="80">
        <f>MIN(MAX(0,AE400),AD400)</f>
        <v>0</v>
      </c>
      <c r="AG400" s="80">
        <f>MAX(0,AD400-MAX(0,AE400))</f>
        <v>0</v>
      </c>
      <c r="AH400" s="80">
        <f>IF(ISNUMBER(B400),IF(AND(INDEX(CFG_WDAYS,WEEKDAY(INT(B400),2))="Sí",IF(D400="proMX",COUNTIFS(FER_F,INT(B400),FER_NLP,"Sí"),COUNTIFS(FER_F,INT(B400),FER_NLM,"Sí"))=0),1,0),0)</f>
        <v>0</v>
      </c>
      <c r="AI400" s="80">
        <f>IF(AC400=1,IF(AND(INDEX(CFG_WDAYS,WEEKDAY(INT(B400)+1,2))="Sí",IF(D400="proMX",COUNTIFS(FER_F,INT(B400)+1,FER_NLP,"Sí"),COUNTIFS(FER_F,INT(B400)+1,FER_NLM,"Sí"))=0),1,0),0)</f>
        <v>0</v>
      </c>
      <c r="AJ400" s="80">
        <f>IF(AC400=1,1440-Z400,AD400)</f>
        <v>0</v>
      </c>
      <c r="AK400" s="80">
        <f>IF(AND(AB400=1,AH400=1),MAX(0,MIN(IF(AC400=1,1440,AA400),CFG_WEM)-MAX(Z400,CFG_WSM)),0)</f>
        <v>0</v>
      </c>
      <c r="AL400" s="80">
        <f>IF(AND(AC400=1,AI400=1),MAX(0,MIN(AA400,CFG_WEM)-CFG_WSM),0)</f>
        <v>0</v>
      </c>
      <c r="AM400" s="80">
        <f>AK400+AL400</f>
        <v>0</v>
      </c>
      <c r="AN400" s="80">
        <f>IF(CFG_BRK="Proporcional",IF(AD400=0,0,AF400*AM400/AD400),IF(CFG_BRK="Extras primero",MIN(AM400,MAX(0,AF400-(AD400-AM400))),MIN(AF400,AM400)))</f>
        <v>0</v>
      </c>
      <c r="AO400" s="80">
        <f>AF400-AN400</f>
        <v>0</v>
      </c>
      <c r="AP400" s="80">
        <f>AM400-AN400</f>
        <v>0</v>
      </c>
      <c r="AQ400" s="80">
        <f>AD400-AM400-AO400</f>
        <v>0</v>
      </c>
      <c r="AR400" s="80">
        <f>IF(AM400=0,0,AK400-AN400*AK400/AM400)</f>
        <v>0</v>
      </c>
      <c r="AS400" s="80">
        <f>IF(AD400-AM400=0,0,(AJ400-AK400)-AO400*(AJ400-AK400)/(AD400-AM400))</f>
        <v>0</v>
      </c>
      <c r="AT400" s="80" t="str">
        <f>IF(AC400=1,INT(B400)+1,"")</f>
        <v/>
      </c>
      <c r="AU400" s="80">
        <f>IF(AND(D400="proMX",R400="Cancelled"),0,1)</f>
        <v>1</v>
      </c>
      <c r="AV400" s="80">
        <f>IF(AND(AB400=1,AU400=1),IF(COUNTIFS($D$5:D399,D400,$B$5:B399,B400,$Z$5:Z399,Z400,$AA$5:AA399,AA400,$F$5:F399,F400&amp;"",$AU$5:AU399,1)&gt;0,1,0),0)</f>
        <v>0</v>
      </c>
      <c r="AW400" s="80" t="str">
        <f>IF(AB400=1,INT(B400)*1440+Z400,"")</f>
        <v/>
      </c>
      <c r="AX400" s="80" t="str">
        <f>IF(AB400=1,AW400+AD400,"")</f>
        <v/>
      </c>
      <c r="AY400" s="80">
        <f>IF(AND(AB400=1,AV400=0,AU400=1),1,0)</f>
        <v>0</v>
      </c>
      <c r="AZ400" s="80">
        <f>IF(AY400=1,COUNTIFS(R_Emp,D400,R_SAbs,"&lt;"&amp;AX400,R_EAbs,"&gt;"&amp;AW400,R_OKey,1)-1,0)</f>
        <v>0</v>
      </c>
      <c r="BA400" s="80">
        <f>IF(AY400=1,COUNTIFS(R_Emp,"&lt;&gt;"&amp;D400,R_SAbs,"&lt;"&amp;AX400,R_EAbs,"&gt;"&amp;AW400,R_OKey,1),0)</f>
        <v>0</v>
      </c>
      <c r="BB400" s="80">
        <f>IF(AND(AB400=1,D400="proMX"),IF(AND(MOD(Z400,CFG_BLK)=0,MOD(AA400,CFG_BLK)=0,MOD(AG400,CFG_BLK)=0,AG400&gt;0),1,0),1)</f>
        <v>1</v>
      </c>
      <c r="BC400" s="80" t="str">
        <f>IF(Y400=0,"",IF(NOT(ISNUMBER(B400)),"Falta fecha o fecha inválida",IF(D400="","Falta empresa",IF(AND(D400&lt;&gt;"Malcolm",D400&lt;&gt;"proMX"),"Empresa inválida",IF(OR(INT(B400)&lt;CFG_PSTART,INT(B400)&gt;CFG_PEND),"Fecha fuera del período",IF(OR(NOT(ISNUMBER(Z400)),NOT(ISNUMBER(AA400))),"Falta hora inicio/fin o formato inválido",IF(AB400=0,"Hora inicio = hora fin",IF(AE400&lt;0,"Descanso inválido",IF(AE400&gt;=AD400,"Descanso ≥ duración",IF(AV400=1,"Registro duplicado",IF(AZ400&gt;0,"Se superpone con otro registro "&amp;D400,IF(BB400=0,"inicio, fin y duración neta deben ser múltiplos de "&amp;CFG_BLK&amp;" min",""))))))))))))</f>
        <v/>
      </c>
      <c r="BD400" s="80">
        <f>IF(AND(Y400=1,BC400=""),1,0)</f>
        <v>0</v>
      </c>
      <c r="BE400" s="80">
        <f>IF(AND(BD400=1,AU400=1),1,0)</f>
        <v>0</v>
      </c>
      <c r="BF400" s="80" t="str">
        <f>IF(AND(D400="proMX",BD400=1),IF(R400="","Draft",R400),"")</f>
        <v/>
      </c>
      <c r="BG400" s="80">
        <f>IF(BD400=1,ROUND(AG400/60,6),0)</f>
        <v>0</v>
      </c>
      <c r="BH400" s="80">
        <f>IF(BE400=1,ROUND(AG400/60,6),0)</f>
        <v>0</v>
      </c>
      <c r="BI400" s="80">
        <f>IF(BE400=1,ROUND(AP400/60,6),0)</f>
        <v>0</v>
      </c>
      <c r="BJ400" s="80">
        <f>IF(BE400=1,ROUND(AQ400/60,6),0)</f>
        <v>0</v>
      </c>
      <c r="BK400" s="80">
        <f>IF(BE400=1,ROUND((AR400+AS400)/60,6),0)</f>
        <v>0</v>
      </c>
      <c r="BL400" s="80">
        <f>ROUND(BH400-BK400,6)</f>
        <v>0</v>
      </c>
      <c r="BM400" s="80">
        <f>IF(BE400=1,ROUND(AR400/60,6),0)</f>
        <v>0</v>
      </c>
      <c r="BN400" s="80">
        <f>ROUND(BI400-BM400,6)</f>
        <v>0</v>
      </c>
      <c r="BO400" s="80">
        <f>IF(BE400=1,ROUND(AS400/60,6),0)</f>
        <v>0</v>
      </c>
      <c r="BP400" s="80">
        <f>ROUND(BJ400-BO400,6)</f>
        <v>0</v>
      </c>
      <c r="BQ400" s="80">
        <f>IF(BE400=1,AW400,0)</f>
        <v>0</v>
      </c>
      <c r="BR400" s="80">
        <f>IF(BE400=1,AX400,0)</f>
        <v>0</v>
      </c>
      <c r="BS400" s="80">
        <f>IF(AND(BE400=1,D400="Malcolm",BA400&gt;0),MIN(BH400,SUMPRODUCT((R_Emp="proMX")*(R_EN&gt;0)*((R_EN-(R_EN&gt;BR400)*(R_EN-BR400))&gt;(R_SN+(R_SN&lt;BQ400)*(BQ400-R_SN)))*((R_EN-(R_EN&gt;BR400)*(R_EN-BR400))-(R_SN+(R_SN&lt;BQ400)*(BQ400-R_SN))))/60),0)</f>
        <v>0</v>
      </c>
      <c r="BT400" s="80">
        <f>IF(AND(BE400=1,D400="proMX"),ROUND(BI400*CFG_RATE+BJ400*CFG_OTRATE,6),0)</f>
        <v>0</v>
      </c>
      <c r="BU400" s="80">
        <f>IF(AND(BD400=1,D400="proMX"),ROUND(AG400/CFG_BLK,6),0)</f>
        <v>0</v>
      </c>
      <c r="BV400" s="80" t="str">
        <f>IF(BF400="Approved",IF(ISNUMBER(T400),INT(T400),INT(B400)),"")</f>
        <v/>
      </c>
      <c r="BW400" s="80">
        <f>IF(ISNUMBER(B400),IF(DB_MON="Todos",1,IF(AND(INT(B400)&gt;=DB_MS,INT(B400)&lt;=DB_ME),1,0)),0)</f>
        <v>0</v>
      </c>
      <c r="BX400" s="80">
        <f>IF(DB_PROJ="Todos",1,IF(E400&amp;""=DB_PROJ&amp;"",1,0))</f>
        <v>1</v>
      </c>
      <c r="BY400" s="80">
        <f>BW400*BX400</f>
        <v>0</v>
      </c>
      <c r="BZ400" s="80" t="str">
        <f>IF(Y400=1,F400&amp;IF(AND(F400&amp;""&lt;&gt;"",E400&amp;""&lt;&gt;"")," · ","")&amp;E400,"")</f>
        <v/>
      </c>
      <c r="CA400" s="80" t="str">
        <f>IF(AND(BD400=1,E400&amp;""&lt;&gt;""),IF(COUNTIFS($E$5:E399,E400,$BD$5:BD399,1)=0,MAX($CA$5:CA399)+1,""),"")</f>
        <v/>
      </c>
      <c r="CB400" s="80" t="str">
        <f>IF(AND(BE400=1,D400="Malcolm",E400&amp;""&lt;&gt;""),IF(COUNTIFS($D$5:D399,"Malcolm",$E$5:E399,E400,$BE$5:BE399,1)=0,MAX($CB$5:CB399)+1,""),"")</f>
        <v/>
      </c>
      <c r="CC400" s="80" t="str">
        <f>IF(AND(BD400=1,D400="proMX",E400&amp;""&lt;&gt;""),IF(COUNTIFS($D$5:D399,"proMX",$E$5:E399,E400,$BD$5:BD399,1)=0,MAX($CC$5:CC399)+1,""),"")</f>
        <v/>
      </c>
      <c r="CD400" s="80" t="str">
        <f>IF(AND(BE400=1,D400="Malcolm",F400&amp;""&lt;&gt;""),IF(COUNTIFS($D$5:D399,"Malcolm",$F$5:F399,F400,$BE$5:BE399,1)=0,MAX($CD$5:CD399)+1,""),"")</f>
        <v/>
      </c>
      <c r="CE400" s="80" t="str">
        <f>IF(AND(BD400=1,D400="proMX",F400&amp;""&lt;&gt;""),IF(COUNTIFS($D$5:D399,"proMX",$F$5:F399,F400,$BD$5:BD399,1)=0,MAX($CE$5:CE399)+1,""),"")</f>
        <v/>
      </c>
      <c r="CF400" s="80" t="str">
        <f>IF(AND(D400="proMX",BD400=1),IF(OR(BF400="Draft",BF400="Submitted",BF400="Returned",BF400="Recall Requested"),MAX($CF$5:CF399)+1,""),"")</f>
        <v/>
      </c>
      <c r="CG400" s="80">
        <f>IF(BD400=0,0,IF(D400="Malcolm",1,MATCH(BF400,{"Draft","Submitted","Approved","Returned","Recall Requested","Cancelled"},0)+1))</f>
        <v>0</v>
      </c>
      <c r="CH400" s="80">
        <f>IF(AND(BF400="Submitted",ISNUMBER(V400)),IF(V400&gt;CFG_MAXD,1,0),0)</f>
        <v>0</v>
      </c>
    </row>
    <row r="401">
      <c r="A401" s="71" t="str">
        <f>IF(Y401=1,ROW()-5,"")</f>
        <v/>
      </c>
      <c r="B401" s="72" t="n"/>
      <c r="C401" s="71" t="str">
        <f>IF(ISNUMBER(B401),CHOOSE(WEEKDAY(B401,2),"Lun","Mar","Mié","Jue","Vie","Sáb","Dom"),"")</f>
        <v/>
      </c>
      <c r="D401" s="73" t="n"/>
      <c r="E401" s="74" t="n"/>
      <c r="F401" s="74" t="n"/>
      <c r="G401" s="74" t="n"/>
      <c r="H401" s="75" t="n"/>
      <c r="I401" s="75" t="n"/>
      <c r="J401" s="76" t="n"/>
      <c r="K401" s="77" t="str">
        <f>IF(AB401=1,ROUND(AG401/60,4),"")</f>
        <v/>
      </c>
      <c r="L401" s="77" t="str">
        <f>IF(BD401=1,ROUND(AP401/60,4),"")</f>
        <v/>
      </c>
      <c r="M401" s="77" t="str">
        <f>IF(BD401=1,ROUND(AQ401/60,4),"")</f>
        <v/>
      </c>
      <c r="N401" s="71" t="str">
        <f>IF(AND(D401="proMX",AB401=1),ROUND(AG401/CFG_BLK,2),"")</f>
        <v/>
      </c>
      <c r="O401" s="77" t="str">
        <f>IF(D401="proMX",IF(BD401=1,ROUND(AG401/60,4),0),"")</f>
        <v/>
      </c>
      <c r="P401" s="78" t="str">
        <f>IF(Y401=0,"",IF(BD401=1,"OK",IF(D401="proMX","Revisar bloques: ","Revisar: ")&amp;BC401))</f>
        <v/>
      </c>
      <c r="Q401" s="78" t="str">
        <f>IF(NOT(ISNUMBER(B401)),"",IF(COUNTIFS(FER_F,INT(B401))&gt;0,"Feriado"&amp;IF(AH401=1," (laborable)"," (no laborable)"),IF(AH401=1,"Laborable",IF(WEEKDAY(B401,2)&gt;5,"Fin de semana","No laborable"))))</f>
        <v/>
      </c>
      <c r="R401" s="73" t="n"/>
      <c r="S401" s="72" t="n"/>
      <c r="T401" s="72" t="n"/>
      <c r="U401" s="74" t="n"/>
      <c r="V401" s="79" t="str">
        <f>IF(AND(D401="proMX",OR(R401="Submitted",R401="Recall Requested"),ISNUMBER(S401)),CFG_TODAY-INT(S401),"")</f>
        <v/>
      </c>
      <c r="W401" s="78" t="str">
        <f>IF(BD401=0,"",IF(BA401&gt;0,"⚠ Se superpone con un registro de la otra empresa",IF(D401="Malcolm",IF(COUNTA(R401,S401,T401)&gt;0,"Estado/fechas proMX se ignoran en Malcolm",""),IF(BF401="Cancelled","Cancelado: excluido de totales",IF(R401="","Sin estado: se trata como Draft",IF(BF401="Submitted",IF(ISNUMBER(V401),IF(V401&gt;CFG_MAXD,"⚠ "&amp;V401&amp;" días en Submitted (máx. "&amp;CFG_MAXD&amp;")",""),"Falta fecha de envío"),IF(BF401="Returned","⚠ Devuelto: corregir y reenviar",IF(BF401="Recall Requested","Retirada solicitada: pendiente",IF(AND(BF401="Approved",NOT(ISNUMBER(T401))),"Falta fecha de aprobación",IF(AND(ISNUMBER(S401),ISNUMBER(T401),T401&lt;S401),"Aprobación anterior al envío","")))))))))</f>
        <v/>
      </c>
      <c r="Y401" s="80">
        <f>IF(COUNTA(B401,D401,E401,F401,G401,H401,I401,J401,R401,S401,T401)&gt;0,1,0)</f>
        <v>0</v>
      </c>
      <c r="Z401" s="80" t="str">
        <f>IF(AND(ISNUMBER(H401),H401&gt;=0,H401&lt;1),ROUND(H401*1440,0),"")</f>
        <v/>
      </c>
      <c r="AA401" s="80" t="str">
        <f>IF(AND(ISNUMBER(I401),I401&gt;=0,I401&lt;1),ROUND(I401*1440,0),"")</f>
        <v/>
      </c>
      <c r="AB401" s="80">
        <f>IF(AND(ISNUMBER(B401),D401&lt;&gt;"",ISNUMBER(Z401),ISNUMBER(AA401)),IF(Z401=AA401,0,1),0)</f>
        <v>0</v>
      </c>
      <c r="AC401" s="80">
        <f>IF(AB401=1,IF(AA401&lt;Z401,1,0),0)</f>
        <v>0</v>
      </c>
      <c r="AD401" s="80">
        <f>IF(AB401=1,IF(AC401=1,1440-Z401+AA401,AA401-Z401),0)</f>
        <v>0</v>
      </c>
      <c r="AE401" s="80">
        <f>IF(J401="",0,IF(ISNUMBER(J401),J401,-1))</f>
        <v>0</v>
      </c>
      <c r="AF401" s="80">
        <f>MIN(MAX(0,AE401),AD401)</f>
        <v>0</v>
      </c>
      <c r="AG401" s="80">
        <f>MAX(0,AD401-MAX(0,AE401))</f>
        <v>0</v>
      </c>
      <c r="AH401" s="80">
        <f>IF(ISNUMBER(B401),IF(AND(INDEX(CFG_WDAYS,WEEKDAY(INT(B401),2))="Sí",IF(D401="proMX",COUNTIFS(FER_F,INT(B401),FER_NLP,"Sí"),COUNTIFS(FER_F,INT(B401),FER_NLM,"Sí"))=0),1,0),0)</f>
        <v>0</v>
      </c>
      <c r="AI401" s="80">
        <f>IF(AC401=1,IF(AND(INDEX(CFG_WDAYS,WEEKDAY(INT(B401)+1,2))="Sí",IF(D401="proMX",COUNTIFS(FER_F,INT(B401)+1,FER_NLP,"Sí"),COUNTIFS(FER_F,INT(B401)+1,FER_NLM,"Sí"))=0),1,0),0)</f>
        <v>0</v>
      </c>
      <c r="AJ401" s="80">
        <f>IF(AC401=1,1440-Z401,AD401)</f>
        <v>0</v>
      </c>
      <c r="AK401" s="80">
        <f>IF(AND(AB401=1,AH401=1),MAX(0,MIN(IF(AC401=1,1440,AA401),CFG_WEM)-MAX(Z401,CFG_WSM)),0)</f>
        <v>0</v>
      </c>
      <c r="AL401" s="80">
        <f>IF(AND(AC401=1,AI401=1),MAX(0,MIN(AA401,CFG_WEM)-CFG_WSM),0)</f>
        <v>0</v>
      </c>
      <c r="AM401" s="80">
        <f>AK401+AL401</f>
        <v>0</v>
      </c>
      <c r="AN401" s="80">
        <f>IF(CFG_BRK="Proporcional",IF(AD401=0,0,AF401*AM401/AD401),IF(CFG_BRK="Extras primero",MIN(AM401,MAX(0,AF401-(AD401-AM401))),MIN(AF401,AM401)))</f>
        <v>0</v>
      </c>
      <c r="AO401" s="80">
        <f>AF401-AN401</f>
        <v>0</v>
      </c>
      <c r="AP401" s="80">
        <f>AM401-AN401</f>
        <v>0</v>
      </c>
      <c r="AQ401" s="80">
        <f>AD401-AM401-AO401</f>
        <v>0</v>
      </c>
      <c r="AR401" s="80">
        <f>IF(AM401=0,0,AK401-AN401*AK401/AM401)</f>
        <v>0</v>
      </c>
      <c r="AS401" s="80">
        <f>IF(AD401-AM401=0,0,(AJ401-AK401)-AO401*(AJ401-AK401)/(AD401-AM401))</f>
        <v>0</v>
      </c>
      <c r="AT401" s="80" t="str">
        <f>IF(AC401=1,INT(B401)+1,"")</f>
        <v/>
      </c>
      <c r="AU401" s="80">
        <f>IF(AND(D401="proMX",R401="Cancelled"),0,1)</f>
        <v>1</v>
      </c>
      <c r="AV401" s="80">
        <f>IF(AND(AB401=1,AU401=1),IF(COUNTIFS($D$5:D400,D401,$B$5:B400,B401,$Z$5:Z400,Z401,$AA$5:AA400,AA401,$F$5:F400,F401&amp;"",$AU$5:AU400,1)&gt;0,1,0),0)</f>
        <v>0</v>
      </c>
      <c r="AW401" s="80" t="str">
        <f>IF(AB401=1,INT(B401)*1440+Z401,"")</f>
        <v/>
      </c>
      <c r="AX401" s="80" t="str">
        <f>IF(AB401=1,AW401+AD401,"")</f>
        <v/>
      </c>
      <c r="AY401" s="80">
        <f>IF(AND(AB401=1,AV401=0,AU401=1),1,0)</f>
        <v>0</v>
      </c>
      <c r="AZ401" s="80">
        <f>IF(AY401=1,COUNTIFS(R_Emp,D401,R_SAbs,"&lt;"&amp;AX401,R_EAbs,"&gt;"&amp;AW401,R_OKey,1)-1,0)</f>
        <v>0</v>
      </c>
      <c r="BA401" s="80">
        <f>IF(AY401=1,COUNTIFS(R_Emp,"&lt;&gt;"&amp;D401,R_SAbs,"&lt;"&amp;AX401,R_EAbs,"&gt;"&amp;AW401,R_OKey,1),0)</f>
        <v>0</v>
      </c>
      <c r="BB401" s="80">
        <f>IF(AND(AB401=1,D401="proMX"),IF(AND(MOD(Z401,CFG_BLK)=0,MOD(AA401,CFG_BLK)=0,MOD(AG401,CFG_BLK)=0,AG401&gt;0),1,0),1)</f>
        <v>1</v>
      </c>
      <c r="BC401" s="80" t="str">
        <f>IF(Y401=0,"",IF(NOT(ISNUMBER(B401)),"Falta fecha o fecha inválida",IF(D401="","Falta empresa",IF(AND(D401&lt;&gt;"Malcolm",D401&lt;&gt;"proMX"),"Empresa inválida",IF(OR(INT(B401)&lt;CFG_PSTART,INT(B401)&gt;CFG_PEND),"Fecha fuera del período",IF(OR(NOT(ISNUMBER(Z401)),NOT(ISNUMBER(AA401))),"Falta hora inicio/fin o formato inválido",IF(AB401=0,"Hora inicio = hora fin",IF(AE401&lt;0,"Descanso inválido",IF(AE401&gt;=AD401,"Descanso ≥ duración",IF(AV401=1,"Registro duplicado",IF(AZ401&gt;0,"Se superpone con otro registro "&amp;D401,IF(BB401=0,"inicio, fin y duración neta deben ser múltiplos de "&amp;CFG_BLK&amp;" min",""))))))))))))</f>
        <v/>
      </c>
      <c r="BD401" s="80">
        <f>IF(AND(Y401=1,BC401=""),1,0)</f>
        <v>0</v>
      </c>
      <c r="BE401" s="80">
        <f>IF(AND(BD401=1,AU401=1),1,0)</f>
        <v>0</v>
      </c>
      <c r="BF401" s="80" t="str">
        <f>IF(AND(D401="proMX",BD401=1),IF(R401="","Draft",R401),"")</f>
        <v/>
      </c>
      <c r="BG401" s="80">
        <f>IF(BD401=1,ROUND(AG401/60,6),0)</f>
        <v>0</v>
      </c>
      <c r="BH401" s="80">
        <f>IF(BE401=1,ROUND(AG401/60,6),0)</f>
        <v>0</v>
      </c>
      <c r="BI401" s="80">
        <f>IF(BE401=1,ROUND(AP401/60,6),0)</f>
        <v>0</v>
      </c>
      <c r="BJ401" s="80">
        <f>IF(BE401=1,ROUND(AQ401/60,6),0)</f>
        <v>0</v>
      </c>
      <c r="BK401" s="80">
        <f>IF(BE401=1,ROUND((AR401+AS401)/60,6),0)</f>
        <v>0</v>
      </c>
      <c r="BL401" s="80">
        <f>ROUND(BH401-BK401,6)</f>
        <v>0</v>
      </c>
      <c r="BM401" s="80">
        <f>IF(BE401=1,ROUND(AR401/60,6),0)</f>
        <v>0</v>
      </c>
      <c r="BN401" s="80">
        <f>ROUND(BI401-BM401,6)</f>
        <v>0</v>
      </c>
      <c r="BO401" s="80">
        <f>IF(BE401=1,ROUND(AS401/60,6),0)</f>
        <v>0</v>
      </c>
      <c r="BP401" s="80">
        <f>ROUND(BJ401-BO401,6)</f>
        <v>0</v>
      </c>
      <c r="BQ401" s="80">
        <f>IF(BE401=1,AW401,0)</f>
        <v>0</v>
      </c>
      <c r="BR401" s="80">
        <f>IF(BE401=1,AX401,0)</f>
        <v>0</v>
      </c>
      <c r="BS401" s="80">
        <f>IF(AND(BE401=1,D401="Malcolm",BA401&gt;0),MIN(BH401,SUMPRODUCT((R_Emp="proMX")*(R_EN&gt;0)*((R_EN-(R_EN&gt;BR401)*(R_EN-BR401))&gt;(R_SN+(R_SN&lt;BQ401)*(BQ401-R_SN)))*((R_EN-(R_EN&gt;BR401)*(R_EN-BR401))-(R_SN+(R_SN&lt;BQ401)*(BQ401-R_SN))))/60),0)</f>
        <v>0</v>
      </c>
      <c r="BT401" s="80">
        <f>IF(AND(BE401=1,D401="proMX"),ROUND(BI401*CFG_RATE+BJ401*CFG_OTRATE,6),0)</f>
        <v>0</v>
      </c>
      <c r="BU401" s="80">
        <f>IF(AND(BD401=1,D401="proMX"),ROUND(AG401/CFG_BLK,6),0)</f>
        <v>0</v>
      </c>
      <c r="BV401" s="80" t="str">
        <f>IF(BF401="Approved",IF(ISNUMBER(T401),INT(T401),INT(B401)),"")</f>
        <v/>
      </c>
      <c r="BW401" s="80">
        <f>IF(ISNUMBER(B401),IF(DB_MON="Todos",1,IF(AND(INT(B401)&gt;=DB_MS,INT(B401)&lt;=DB_ME),1,0)),0)</f>
        <v>0</v>
      </c>
      <c r="BX401" s="80">
        <f>IF(DB_PROJ="Todos",1,IF(E401&amp;""=DB_PROJ&amp;"",1,0))</f>
        <v>1</v>
      </c>
      <c r="BY401" s="80">
        <f>BW401*BX401</f>
        <v>0</v>
      </c>
      <c r="BZ401" s="80" t="str">
        <f>IF(Y401=1,F401&amp;IF(AND(F401&amp;""&lt;&gt;"",E401&amp;""&lt;&gt;"")," · ","")&amp;E401,"")</f>
        <v/>
      </c>
      <c r="CA401" s="80" t="str">
        <f>IF(AND(BD401=1,E401&amp;""&lt;&gt;""),IF(COUNTIFS($E$5:E400,E401,$BD$5:BD400,1)=0,MAX($CA$5:CA400)+1,""),"")</f>
        <v/>
      </c>
      <c r="CB401" s="80" t="str">
        <f>IF(AND(BE401=1,D401="Malcolm",E401&amp;""&lt;&gt;""),IF(COUNTIFS($D$5:D400,"Malcolm",$E$5:E400,E401,$BE$5:BE400,1)=0,MAX($CB$5:CB400)+1,""),"")</f>
        <v/>
      </c>
      <c r="CC401" s="80" t="str">
        <f>IF(AND(BD401=1,D401="proMX",E401&amp;""&lt;&gt;""),IF(COUNTIFS($D$5:D400,"proMX",$E$5:E400,E401,$BD$5:BD400,1)=0,MAX($CC$5:CC400)+1,""),"")</f>
        <v/>
      </c>
      <c r="CD401" s="80" t="str">
        <f>IF(AND(BE401=1,D401="Malcolm",F401&amp;""&lt;&gt;""),IF(COUNTIFS($D$5:D400,"Malcolm",$F$5:F400,F401,$BE$5:BE400,1)=0,MAX($CD$5:CD400)+1,""),"")</f>
        <v/>
      </c>
      <c r="CE401" s="80" t="str">
        <f>IF(AND(BD401=1,D401="proMX",F401&amp;""&lt;&gt;""),IF(COUNTIFS($D$5:D400,"proMX",$F$5:F400,F401,$BD$5:BD400,1)=0,MAX($CE$5:CE400)+1,""),"")</f>
        <v/>
      </c>
      <c r="CF401" s="80" t="str">
        <f>IF(AND(D401="proMX",BD401=1),IF(OR(BF401="Draft",BF401="Submitted",BF401="Returned",BF401="Recall Requested"),MAX($CF$5:CF400)+1,""),"")</f>
        <v/>
      </c>
      <c r="CG401" s="80">
        <f>IF(BD401=0,0,IF(D401="Malcolm",1,MATCH(BF401,{"Draft","Submitted","Approved","Returned","Recall Requested","Cancelled"},0)+1))</f>
        <v>0</v>
      </c>
      <c r="CH401" s="80">
        <f>IF(AND(BF401="Submitted",ISNUMBER(V401)),IF(V401&gt;CFG_MAXD,1,0),0)</f>
        <v>0</v>
      </c>
    </row>
    <row r="402">
      <c r="A402" s="71" t="str">
        <f>IF(Y402=1,ROW()-5,"")</f>
        <v/>
      </c>
      <c r="B402" s="72" t="n"/>
      <c r="C402" s="71" t="str">
        <f>IF(ISNUMBER(B402),CHOOSE(WEEKDAY(B402,2),"Lun","Mar","Mié","Jue","Vie","Sáb","Dom"),"")</f>
        <v/>
      </c>
      <c r="D402" s="73" t="n"/>
      <c r="E402" s="74" t="n"/>
      <c r="F402" s="74" t="n"/>
      <c r="G402" s="74" t="n"/>
      <c r="H402" s="75" t="n"/>
      <c r="I402" s="75" t="n"/>
      <c r="J402" s="76" t="n"/>
      <c r="K402" s="77" t="str">
        <f>IF(AB402=1,ROUND(AG402/60,4),"")</f>
        <v/>
      </c>
      <c r="L402" s="77" t="str">
        <f>IF(BD402=1,ROUND(AP402/60,4),"")</f>
        <v/>
      </c>
      <c r="M402" s="77" t="str">
        <f>IF(BD402=1,ROUND(AQ402/60,4),"")</f>
        <v/>
      </c>
      <c r="N402" s="71" t="str">
        <f>IF(AND(D402="proMX",AB402=1),ROUND(AG402/CFG_BLK,2),"")</f>
        <v/>
      </c>
      <c r="O402" s="77" t="str">
        <f>IF(D402="proMX",IF(BD402=1,ROUND(AG402/60,4),0),"")</f>
        <v/>
      </c>
      <c r="P402" s="78" t="str">
        <f>IF(Y402=0,"",IF(BD402=1,"OK",IF(D402="proMX","Revisar bloques: ","Revisar: ")&amp;BC402))</f>
        <v/>
      </c>
      <c r="Q402" s="78" t="str">
        <f>IF(NOT(ISNUMBER(B402)),"",IF(COUNTIFS(FER_F,INT(B402))&gt;0,"Feriado"&amp;IF(AH402=1," (laborable)"," (no laborable)"),IF(AH402=1,"Laborable",IF(WEEKDAY(B402,2)&gt;5,"Fin de semana","No laborable"))))</f>
        <v/>
      </c>
      <c r="R402" s="73" t="n"/>
      <c r="S402" s="72" t="n"/>
      <c r="T402" s="72" t="n"/>
      <c r="U402" s="74" t="n"/>
      <c r="V402" s="79" t="str">
        <f>IF(AND(D402="proMX",OR(R402="Submitted",R402="Recall Requested"),ISNUMBER(S402)),CFG_TODAY-INT(S402),"")</f>
        <v/>
      </c>
      <c r="W402" s="78" t="str">
        <f>IF(BD402=0,"",IF(BA402&gt;0,"⚠ Se superpone con un registro de la otra empresa",IF(D402="Malcolm",IF(COUNTA(R402,S402,T402)&gt;0,"Estado/fechas proMX se ignoran en Malcolm",""),IF(BF402="Cancelled","Cancelado: excluido de totales",IF(R402="","Sin estado: se trata como Draft",IF(BF402="Submitted",IF(ISNUMBER(V402),IF(V402&gt;CFG_MAXD,"⚠ "&amp;V402&amp;" días en Submitted (máx. "&amp;CFG_MAXD&amp;")",""),"Falta fecha de envío"),IF(BF402="Returned","⚠ Devuelto: corregir y reenviar",IF(BF402="Recall Requested","Retirada solicitada: pendiente",IF(AND(BF402="Approved",NOT(ISNUMBER(T402))),"Falta fecha de aprobación",IF(AND(ISNUMBER(S402),ISNUMBER(T402),T402&lt;S402),"Aprobación anterior al envío","")))))))))</f>
        <v/>
      </c>
      <c r="Y402" s="80">
        <f>IF(COUNTA(B402,D402,E402,F402,G402,H402,I402,J402,R402,S402,T402)&gt;0,1,0)</f>
        <v>0</v>
      </c>
      <c r="Z402" s="80" t="str">
        <f>IF(AND(ISNUMBER(H402),H402&gt;=0,H402&lt;1),ROUND(H402*1440,0),"")</f>
        <v/>
      </c>
      <c r="AA402" s="80" t="str">
        <f>IF(AND(ISNUMBER(I402),I402&gt;=0,I402&lt;1),ROUND(I402*1440,0),"")</f>
        <v/>
      </c>
      <c r="AB402" s="80">
        <f>IF(AND(ISNUMBER(B402),D402&lt;&gt;"",ISNUMBER(Z402),ISNUMBER(AA402)),IF(Z402=AA402,0,1),0)</f>
        <v>0</v>
      </c>
      <c r="AC402" s="80">
        <f>IF(AB402=1,IF(AA402&lt;Z402,1,0),0)</f>
        <v>0</v>
      </c>
      <c r="AD402" s="80">
        <f>IF(AB402=1,IF(AC402=1,1440-Z402+AA402,AA402-Z402),0)</f>
        <v>0</v>
      </c>
      <c r="AE402" s="80">
        <f>IF(J402="",0,IF(ISNUMBER(J402),J402,-1))</f>
        <v>0</v>
      </c>
      <c r="AF402" s="80">
        <f>MIN(MAX(0,AE402),AD402)</f>
        <v>0</v>
      </c>
      <c r="AG402" s="80">
        <f>MAX(0,AD402-MAX(0,AE402))</f>
        <v>0</v>
      </c>
      <c r="AH402" s="80">
        <f>IF(ISNUMBER(B402),IF(AND(INDEX(CFG_WDAYS,WEEKDAY(INT(B402),2))="Sí",IF(D402="proMX",COUNTIFS(FER_F,INT(B402),FER_NLP,"Sí"),COUNTIFS(FER_F,INT(B402),FER_NLM,"Sí"))=0),1,0),0)</f>
        <v>0</v>
      </c>
      <c r="AI402" s="80">
        <f>IF(AC402=1,IF(AND(INDEX(CFG_WDAYS,WEEKDAY(INT(B402)+1,2))="Sí",IF(D402="proMX",COUNTIFS(FER_F,INT(B402)+1,FER_NLP,"Sí"),COUNTIFS(FER_F,INT(B402)+1,FER_NLM,"Sí"))=0),1,0),0)</f>
        <v>0</v>
      </c>
      <c r="AJ402" s="80">
        <f>IF(AC402=1,1440-Z402,AD402)</f>
        <v>0</v>
      </c>
      <c r="AK402" s="80">
        <f>IF(AND(AB402=1,AH402=1),MAX(0,MIN(IF(AC402=1,1440,AA402),CFG_WEM)-MAX(Z402,CFG_WSM)),0)</f>
        <v>0</v>
      </c>
      <c r="AL402" s="80">
        <f>IF(AND(AC402=1,AI402=1),MAX(0,MIN(AA402,CFG_WEM)-CFG_WSM),0)</f>
        <v>0</v>
      </c>
      <c r="AM402" s="80">
        <f>AK402+AL402</f>
        <v>0</v>
      </c>
      <c r="AN402" s="80">
        <f>IF(CFG_BRK="Proporcional",IF(AD402=0,0,AF402*AM402/AD402),IF(CFG_BRK="Extras primero",MIN(AM402,MAX(0,AF402-(AD402-AM402))),MIN(AF402,AM402)))</f>
        <v>0</v>
      </c>
      <c r="AO402" s="80">
        <f>AF402-AN402</f>
        <v>0</v>
      </c>
      <c r="AP402" s="80">
        <f>AM402-AN402</f>
        <v>0</v>
      </c>
      <c r="AQ402" s="80">
        <f>AD402-AM402-AO402</f>
        <v>0</v>
      </c>
      <c r="AR402" s="80">
        <f>IF(AM402=0,0,AK402-AN402*AK402/AM402)</f>
        <v>0</v>
      </c>
      <c r="AS402" s="80">
        <f>IF(AD402-AM402=0,0,(AJ402-AK402)-AO402*(AJ402-AK402)/(AD402-AM402))</f>
        <v>0</v>
      </c>
      <c r="AT402" s="80" t="str">
        <f>IF(AC402=1,INT(B402)+1,"")</f>
        <v/>
      </c>
      <c r="AU402" s="80">
        <f>IF(AND(D402="proMX",R402="Cancelled"),0,1)</f>
        <v>1</v>
      </c>
      <c r="AV402" s="80">
        <f>IF(AND(AB402=1,AU402=1),IF(COUNTIFS($D$5:D401,D402,$B$5:B401,B402,$Z$5:Z401,Z402,$AA$5:AA401,AA402,$F$5:F401,F402&amp;"",$AU$5:AU401,1)&gt;0,1,0),0)</f>
        <v>0</v>
      </c>
      <c r="AW402" s="80" t="str">
        <f>IF(AB402=1,INT(B402)*1440+Z402,"")</f>
        <v/>
      </c>
      <c r="AX402" s="80" t="str">
        <f>IF(AB402=1,AW402+AD402,"")</f>
        <v/>
      </c>
      <c r="AY402" s="80">
        <f>IF(AND(AB402=1,AV402=0,AU402=1),1,0)</f>
        <v>0</v>
      </c>
      <c r="AZ402" s="80">
        <f>IF(AY402=1,COUNTIFS(R_Emp,D402,R_SAbs,"&lt;"&amp;AX402,R_EAbs,"&gt;"&amp;AW402,R_OKey,1)-1,0)</f>
        <v>0</v>
      </c>
      <c r="BA402" s="80">
        <f>IF(AY402=1,COUNTIFS(R_Emp,"&lt;&gt;"&amp;D402,R_SAbs,"&lt;"&amp;AX402,R_EAbs,"&gt;"&amp;AW402,R_OKey,1),0)</f>
        <v>0</v>
      </c>
      <c r="BB402" s="80">
        <f>IF(AND(AB402=1,D402="proMX"),IF(AND(MOD(Z402,CFG_BLK)=0,MOD(AA402,CFG_BLK)=0,MOD(AG402,CFG_BLK)=0,AG402&gt;0),1,0),1)</f>
        <v>1</v>
      </c>
      <c r="BC402" s="80" t="str">
        <f>IF(Y402=0,"",IF(NOT(ISNUMBER(B402)),"Falta fecha o fecha inválida",IF(D402="","Falta empresa",IF(AND(D402&lt;&gt;"Malcolm",D402&lt;&gt;"proMX"),"Empresa inválida",IF(OR(INT(B402)&lt;CFG_PSTART,INT(B402)&gt;CFG_PEND),"Fecha fuera del período",IF(OR(NOT(ISNUMBER(Z402)),NOT(ISNUMBER(AA402))),"Falta hora inicio/fin o formato inválido",IF(AB402=0,"Hora inicio = hora fin",IF(AE402&lt;0,"Descanso inválido",IF(AE402&gt;=AD402,"Descanso ≥ duración",IF(AV402=1,"Registro duplicado",IF(AZ402&gt;0,"Se superpone con otro registro "&amp;D402,IF(BB402=0,"inicio, fin y duración neta deben ser múltiplos de "&amp;CFG_BLK&amp;" min",""))))))))))))</f>
        <v/>
      </c>
      <c r="BD402" s="80">
        <f>IF(AND(Y402=1,BC402=""),1,0)</f>
        <v>0</v>
      </c>
      <c r="BE402" s="80">
        <f>IF(AND(BD402=1,AU402=1),1,0)</f>
        <v>0</v>
      </c>
      <c r="BF402" s="80" t="str">
        <f>IF(AND(D402="proMX",BD402=1),IF(R402="","Draft",R402),"")</f>
        <v/>
      </c>
      <c r="BG402" s="80">
        <f>IF(BD402=1,ROUND(AG402/60,6),0)</f>
        <v>0</v>
      </c>
      <c r="BH402" s="80">
        <f>IF(BE402=1,ROUND(AG402/60,6),0)</f>
        <v>0</v>
      </c>
      <c r="BI402" s="80">
        <f>IF(BE402=1,ROUND(AP402/60,6),0)</f>
        <v>0</v>
      </c>
      <c r="BJ402" s="80">
        <f>IF(BE402=1,ROUND(AQ402/60,6),0)</f>
        <v>0</v>
      </c>
      <c r="BK402" s="80">
        <f>IF(BE402=1,ROUND((AR402+AS402)/60,6),0)</f>
        <v>0</v>
      </c>
      <c r="BL402" s="80">
        <f>ROUND(BH402-BK402,6)</f>
        <v>0</v>
      </c>
      <c r="BM402" s="80">
        <f>IF(BE402=1,ROUND(AR402/60,6),0)</f>
        <v>0</v>
      </c>
      <c r="BN402" s="80">
        <f>ROUND(BI402-BM402,6)</f>
        <v>0</v>
      </c>
      <c r="BO402" s="80">
        <f>IF(BE402=1,ROUND(AS402/60,6),0)</f>
        <v>0</v>
      </c>
      <c r="BP402" s="80">
        <f>ROUND(BJ402-BO402,6)</f>
        <v>0</v>
      </c>
      <c r="BQ402" s="80">
        <f>IF(BE402=1,AW402,0)</f>
        <v>0</v>
      </c>
      <c r="BR402" s="80">
        <f>IF(BE402=1,AX402,0)</f>
        <v>0</v>
      </c>
      <c r="BS402" s="80">
        <f>IF(AND(BE402=1,D402="Malcolm",BA402&gt;0),MIN(BH402,SUMPRODUCT((R_Emp="proMX")*(R_EN&gt;0)*((R_EN-(R_EN&gt;BR402)*(R_EN-BR402))&gt;(R_SN+(R_SN&lt;BQ402)*(BQ402-R_SN)))*((R_EN-(R_EN&gt;BR402)*(R_EN-BR402))-(R_SN+(R_SN&lt;BQ402)*(BQ402-R_SN))))/60),0)</f>
        <v>0</v>
      </c>
      <c r="BT402" s="80">
        <f>IF(AND(BE402=1,D402="proMX"),ROUND(BI402*CFG_RATE+BJ402*CFG_OTRATE,6),0)</f>
        <v>0</v>
      </c>
      <c r="BU402" s="80">
        <f>IF(AND(BD402=1,D402="proMX"),ROUND(AG402/CFG_BLK,6),0)</f>
        <v>0</v>
      </c>
      <c r="BV402" s="80" t="str">
        <f>IF(BF402="Approved",IF(ISNUMBER(T402),INT(T402),INT(B402)),"")</f>
        <v/>
      </c>
      <c r="BW402" s="80">
        <f>IF(ISNUMBER(B402),IF(DB_MON="Todos",1,IF(AND(INT(B402)&gt;=DB_MS,INT(B402)&lt;=DB_ME),1,0)),0)</f>
        <v>0</v>
      </c>
      <c r="BX402" s="80">
        <f>IF(DB_PROJ="Todos",1,IF(E402&amp;""=DB_PROJ&amp;"",1,0))</f>
        <v>1</v>
      </c>
      <c r="BY402" s="80">
        <f>BW402*BX402</f>
        <v>0</v>
      </c>
      <c r="BZ402" s="80" t="str">
        <f>IF(Y402=1,F402&amp;IF(AND(F402&amp;""&lt;&gt;"",E402&amp;""&lt;&gt;"")," · ","")&amp;E402,"")</f>
        <v/>
      </c>
      <c r="CA402" s="80" t="str">
        <f>IF(AND(BD402=1,E402&amp;""&lt;&gt;""),IF(COUNTIFS($E$5:E401,E402,$BD$5:BD401,1)=0,MAX($CA$5:CA401)+1,""),"")</f>
        <v/>
      </c>
      <c r="CB402" s="80" t="str">
        <f>IF(AND(BE402=1,D402="Malcolm",E402&amp;""&lt;&gt;""),IF(COUNTIFS($D$5:D401,"Malcolm",$E$5:E401,E402,$BE$5:BE401,1)=0,MAX($CB$5:CB401)+1,""),"")</f>
        <v/>
      </c>
      <c r="CC402" s="80" t="str">
        <f>IF(AND(BD402=1,D402="proMX",E402&amp;""&lt;&gt;""),IF(COUNTIFS($D$5:D401,"proMX",$E$5:E401,E402,$BD$5:BD401,1)=0,MAX($CC$5:CC401)+1,""),"")</f>
        <v/>
      </c>
      <c r="CD402" s="80" t="str">
        <f>IF(AND(BE402=1,D402="Malcolm",F402&amp;""&lt;&gt;""),IF(COUNTIFS($D$5:D401,"Malcolm",$F$5:F401,F402,$BE$5:BE401,1)=0,MAX($CD$5:CD401)+1,""),"")</f>
        <v/>
      </c>
      <c r="CE402" s="80" t="str">
        <f>IF(AND(BD402=1,D402="proMX",F402&amp;""&lt;&gt;""),IF(COUNTIFS($D$5:D401,"proMX",$F$5:F401,F402,$BD$5:BD401,1)=0,MAX($CE$5:CE401)+1,""),"")</f>
        <v/>
      </c>
      <c r="CF402" s="80" t="str">
        <f>IF(AND(D402="proMX",BD402=1),IF(OR(BF402="Draft",BF402="Submitted",BF402="Returned",BF402="Recall Requested"),MAX($CF$5:CF401)+1,""),"")</f>
        <v/>
      </c>
      <c r="CG402" s="80">
        <f>IF(BD402=0,0,IF(D402="Malcolm",1,MATCH(BF402,{"Draft","Submitted","Approved","Returned","Recall Requested","Cancelled"},0)+1))</f>
        <v>0</v>
      </c>
      <c r="CH402" s="80">
        <f>IF(AND(BF402="Submitted",ISNUMBER(V402)),IF(V402&gt;CFG_MAXD,1,0),0)</f>
        <v>0</v>
      </c>
    </row>
    <row r="403">
      <c r="A403" s="71" t="str">
        <f>IF(Y403=1,ROW()-5,"")</f>
        <v/>
      </c>
      <c r="B403" s="72" t="n"/>
      <c r="C403" s="71" t="str">
        <f>IF(ISNUMBER(B403),CHOOSE(WEEKDAY(B403,2),"Lun","Mar","Mié","Jue","Vie","Sáb","Dom"),"")</f>
        <v/>
      </c>
      <c r="D403" s="73" t="n"/>
      <c r="E403" s="74" t="n"/>
      <c r="F403" s="74" t="n"/>
      <c r="G403" s="74" t="n"/>
      <c r="H403" s="75" t="n"/>
      <c r="I403" s="75" t="n"/>
      <c r="J403" s="76" t="n"/>
      <c r="K403" s="77" t="str">
        <f>IF(AB403=1,ROUND(AG403/60,4),"")</f>
        <v/>
      </c>
      <c r="L403" s="77" t="str">
        <f>IF(BD403=1,ROUND(AP403/60,4),"")</f>
        <v/>
      </c>
      <c r="M403" s="77" t="str">
        <f>IF(BD403=1,ROUND(AQ403/60,4),"")</f>
        <v/>
      </c>
      <c r="N403" s="71" t="str">
        <f>IF(AND(D403="proMX",AB403=1),ROUND(AG403/CFG_BLK,2),"")</f>
        <v/>
      </c>
      <c r="O403" s="77" t="str">
        <f>IF(D403="proMX",IF(BD403=1,ROUND(AG403/60,4),0),"")</f>
        <v/>
      </c>
      <c r="P403" s="78" t="str">
        <f>IF(Y403=0,"",IF(BD403=1,"OK",IF(D403="proMX","Revisar bloques: ","Revisar: ")&amp;BC403))</f>
        <v/>
      </c>
      <c r="Q403" s="78" t="str">
        <f>IF(NOT(ISNUMBER(B403)),"",IF(COUNTIFS(FER_F,INT(B403))&gt;0,"Feriado"&amp;IF(AH403=1," (laborable)"," (no laborable)"),IF(AH403=1,"Laborable",IF(WEEKDAY(B403,2)&gt;5,"Fin de semana","No laborable"))))</f>
        <v/>
      </c>
      <c r="R403" s="73" t="n"/>
      <c r="S403" s="72" t="n"/>
      <c r="T403" s="72" t="n"/>
      <c r="U403" s="74" t="n"/>
      <c r="V403" s="79" t="str">
        <f>IF(AND(D403="proMX",OR(R403="Submitted",R403="Recall Requested"),ISNUMBER(S403)),CFG_TODAY-INT(S403),"")</f>
        <v/>
      </c>
      <c r="W403" s="78" t="str">
        <f>IF(BD403=0,"",IF(BA403&gt;0,"⚠ Se superpone con un registro de la otra empresa",IF(D403="Malcolm",IF(COUNTA(R403,S403,T403)&gt;0,"Estado/fechas proMX se ignoran en Malcolm",""),IF(BF403="Cancelled","Cancelado: excluido de totales",IF(R403="","Sin estado: se trata como Draft",IF(BF403="Submitted",IF(ISNUMBER(V403),IF(V403&gt;CFG_MAXD,"⚠ "&amp;V403&amp;" días en Submitted (máx. "&amp;CFG_MAXD&amp;")",""),"Falta fecha de envío"),IF(BF403="Returned","⚠ Devuelto: corregir y reenviar",IF(BF403="Recall Requested","Retirada solicitada: pendiente",IF(AND(BF403="Approved",NOT(ISNUMBER(T403))),"Falta fecha de aprobación",IF(AND(ISNUMBER(S403),ISNUMBER(T403),T403&lt;S403),"Aprobación anterior al envío","")))))))))</f>
        <v/>
      </c>
      <c r="Y403" s="80">
        <f>IF(COUNTA(B403,D403,E403,F403,G403,H403,I403,J403,R403,S403,T403)&gt;0,1,0)</f>
        <v>0</v>
      </c>
      <c r="Z403" s="80" t="str">
        <f>IF(AND(ISNUMBER(H403),H403&gt;=0,H403&lt;1),ROUND(H403*1440,0),"")</f>
        <v/>
      </c>
      <c r="AA403" s="80" t="str">
        <f>IF(AND(ISNUMBER(I403),I403&gt;=0,I403&lt;1),ROUND(I403*1440,0),"")</f>
        <v/>
      </c>
      <c r="AB403" s="80">
        <f>IF(AND(ISNUMBER(B403),D403&lt;&gt;"",ISNUMBER(Z403),ISNUMBER(AA403)),IF(Z403=AA403,0,1),0)</f>
        <v>0</v>
      </c>
      <c r="AC403" s="80">
        <f>IF(AB403=1,IF(AA403&lt;Z403,1,0),0)</f>
        <v>0</v>
      </c>
      <c r="AD403" s="80">
        <f>IF(AB403=1,IF(AC403=1,1440-Z403+AA403,AA403-Z403),0)</f>
        <v>0</v>
      </c>
      <c r="AE403" s="80">
        <f>IF(J403="",0,IF(ISNUMBER(J403),J403,-1))</f>
        <v>0</v>
      </c>
      <c r="AF403" s="80">
        <f>MIN(MAX(0,AE403),AD403)</f>
        <v>0</v>
      </c>
      <c r="AG403" s="80">
        <f>MAX(0,AD403-MAX(0,AE403))</f>
        <v>0</v>
      </c>
      <c r="AH403" s="80">
        <f>IF(ISNUMBER(B403),IF(AND(INDEX(CFG_WDAYS,WEEKDAY(INT(B403),2))="Sí",IF(D403="proMX",COUNTIFS(FER_F,INT(B403),FER_NLP,"Sí"),COUNTIFS(FER_F,INT(B403),FER_NLM,"Sí"))=0),1,0),0)</f>
        <v>0</v>
      </c>
      <c r="AI403" s="80">
        <f>IF(AC403=1,IF(AND(INDEX(CFG_WDAYS,WEEKDAY(INT(B403)+1,2))="Sí",IF(D403="proMX",COUNTIFS(FER_F,INT(B403)+1,FER_NLP,"Sí"),COUNTIFS(FER_F,INT(B403)+1,FER_NLM,"Sí"))=0),1,0),0)</f>
        <v>0</v>
      </c>
      <c r="AJ403" s="80">
        <f>IF(AC403=1,1440-Z403,AD403)</f>
        <v>0</v>
      </c>
      <c r="AK403" s="80">
        <f>IF(AND(AB403=1,AH403=1),MAX(0,MIN(IF(AC403=1,1440,AA403),CFG_WEM)-MAX(Z403,CFG_WSM)),0)</f>
        <v>0</v>
      </c>
      <c r="AL403" s="80">
        <f>IF(AND(AC403=1,AI403=1),MAX(0,MIN(AA403,CFG_WEM)-CFG_WSM),0)</f>
        <v>0</v>
      </c>
      <c r="AM403" s="80">
        <f>AK403+AL403</f>
        <v>0</v>
      </c>
      <c r="AN403" s="80">
        <f>IF(CFG_BRK="Proporcional",IF(AD403=0,0,AF403*AM403/AD403),IF(CFG_BRK="Extras primero",MIN(AM403,MAX(0,AF403-(AD403-AM403))),MIN(AF403,AM403)))</f>
        <v>0</v>
      </c>
      <c r="AO403" s="80">
        <f>AF403-AN403</f>
        <v>0</v>
      </c>
      <c r="AP403" s="80">
        <f>AM403-AN403</f>
        <v>0</v>
      </c>
      <c r="AQ403" s="80">
        <f>AD403-AM403-AO403</f>
        <v>0</v>
      </c>
      <c r="AR403" s="80">
        <f>IF(AM403=0,0,AK403-AN403*AK403/AM403)</f>
        <v>0</v>
      </c>
      <c r="AS403" s="80">
        <f>IF(AD403-AM403=0,0,(AJ403-AK403)-AO403*(AJ403-AK403)/(AD403-AM403))</f>
        <v>0</v>
      </c>
      <c r="AT403" s="80" t="str">
        <f>IF(AC403=1,INT(B403)+1,"")</f>
        <v/>
      </c>
      <c r="AU403" s="80">
        <f>IF(AND(D403="proMX",R403="Cancelled"),0,1)</f>
        <v>1</v>
      </c>
      <c r="AV403" s="80">
        <f>IF(AND(AB403=1,AU403=1),IF(COUNTIFS($D$5:D402,D403,$B$5:B402,B403,$Z$5:Z402,Z403,$AA$5:AA402,AA403,$F$5:F402,F403&amp;"",$AU$5:AU402,1)&gt;0,1,0),0)</f>
        <v>0</v>
      </c>
      <c r="AW403" s="80" t="str">
        <f>IF(AB403=1,INT(B403)*1440+Z403,"")</f>
        <v/>
      </c>
      <c r="AX403" s="80" t="str">
        <f>IF(AB403=1,AW403+AD403,"")</f>
        <v/>
      </c>
      <c r="AY403" s="80">
        <f>IF(AND(AB403=1,AV403=0,AU403=1),1,0)</f>
        <v>0</v>
      </c>
      <c r="AZ403" s="80">
        <f>IF(AY403=1,COUNTIFS(R_Emp,D403,R_SAbs,"&lt;"&amp;AX403,R_EAbs,"&gt;"&amp;AW403,R_OKey,1)-1,0)</f>
        <v>0</v>
      </c>
      <c r="BA403" s="80">
        <f>IF(AY403=1,COUNTIFS(R_Emp,"&lt;&gt;"&amp;D403,R_SAbs,"&lt;"&amp;AX403,R_EAbs,"&gt;"&amp;AW403,R_OKey,1),0)</f>
        <v>0</v>
      </c>
      <c r="BB403" s="80">
        <f>IF(AND(AB403=1,D403="proMX"),IF(AND(MOD(Z403,CFG_BLK)=0,MOD(AA403,CFG_BLK)=0,MOD(AG403,CFG_BLK)=0,AG403&gt;0),1,0),1)</f>
        <v>1</v>
      </c>
      <c r="BC403" s="80" t="str">
        <f>IF(Y403=0,"",IF(NOT(ISNUMBER(B403)),"Falta fecha o fecha inválida",IF(D403="","Falta empresa",IF(AND(D403&lt;&gt;"Malcolm",D403&lt;&gt;"proMX"),"Empresa inválida",IF(OR(INT(B403)&lt;CFG_PSTART,INT(B403)&gt;CFG_PEND),"Fecha fuera del período",IF(OR(NOT(ISNUMBER(Z403)),NOT(ISNUMBER(AA403))),"Falta hora inicio/fin o formato inválido",IF(AB403=0,"Hora inicio = hora fin",IF(AE403&lt;0,"Descanso inválido",IF(AE403&gt;=AD403,"Descanso ≥ duración",IF(AV403=1,"Registro duplicado",IF(AZ403&gt;0,"Se superpone con otro registro "&amp;D403,IF(BB403=0,"inicio, fin y duración neta deben ser múltiplos de "&amp;CFG_BLK&amp;" min",""))))))))))))</f>
        <v/>
      </c>
      <c r="BD403" s="80">
        <f>IF(AND(Y403=1,BC403=""),1,0)</f>
        <v>0</v>
      </c>
      <c r="BE403" s="80">
        <f>IF(AND(BD403=1,AU403=1),1,0)</f>
        <v>0</v>
      </c>
      <c r="BF403" s="80" t="str">
        <f>IF(AND(D403="proMX",BD403=1),IF(R403="","Draft",R403),"")</f>
        <v/>
      </c>
      <c r="BG403" s="80">
        <f>IF(BD403=1,ROUND(AG403/60,6),0)</f>
        <v>0</v>
      </c>
      <c r="BH403" s="80">
        <f>IF(BE403=1,ROUND(AG403/60,6),0)</f>
        <v>0</v>
      </c>
      <c r="BI403" s="80">
        <f>IF(BE403=1,ROUND(AP403/60,6),0)</f>
        <v>0</v>
      </c>
      <c r="BJ403" s="80">
        <f>IF(BE403=1,ROUND(AQ403/60,6),0)</f>
        <v>0</v>
      </c>
      <c r="BK403" s="80">
        <f>IF(BE403=1,ROUND((AR403+AS403)/60,6),0)</f>
        <v>0</v>
      </c>
      <c r="BL403" s="80">
        <f>ROUND(BH403-BK403,6)</f>
        <v>0</v>
      </c>
      <c r="BM403" s="80">
        <f>IF(BE403=1,ROUND(AR403/60,6),0)</f>
        <v>0</v>
      </c>
      <c r="BN403" s="80">
        <f>ROUND(BI403-BM403,6)</f>
        <v>0</v>
      </c>
      <c r="BO403" s="80">
        <f>IF(BE403=1,ROUND(AS403/60,6),0)</f>
        <v>0</v>
      </c>
      <c r="BP403" s="80">
        <f>ROUND(BJ403-BO403,6)</f>
        <v>0</v>
      </c>
      <c r="BQ403" s="80">
        <f>IF(BE403=1,AW403,0)</f>
        <v>0</v>
      </c>
      <c r="BR403" s="80">
        <f>IF(BE403=1,AX403,0)</f>
        <v>0</v>
      </c>
      <c r="BS403" s="80">
        <f>IF(AND(BE403=1,D403="Malcolm",BA403&gt;0),MIN(BH403,SUMPRODUCT((R_Emp="proMX")*(R_EN&gt;0)*((R_EN-(R_EN&gt;BR403)*(R_EN-BR403))&gt;(R_SN+(R_SN&lt;BQ403)*(BQ403-R_SN)))*((R_EN-(R_EN&gt;BR403)*(R_EN-BR403))-(R_SN+(R_SN&lt;BQ403)*(BQ403-R_SN))))/60),0)</f>
        <v>0</v>
      </c>
      <c r="BT403" s="80">
        <f>IF(AND(BE403=1,D403="proMX"),ROUND(BI403*CFG_RATE+BJ403*CFG_OTRATE,6),0)</f>
        <v>0</v>
      </c>
      <c r="BU403" s="80">
        <f>IF(AND(BD403=1,D403="proMX"),ROUND(AG403/CFG_BLK,6),0)</f>
        <v>0</v>
      </c>
      <c r="BV403" s="80" t="str">
        <f>IF(BF403="Approved",IF(ISNUMBER(T403),INT(T403),INT(B403)),"")</f>
        <v/>
      </c>
      <c r="BW403" s="80">
        <f>IF(ISNUMBER(B403),IF(DB_MON="Todos",1,IF(AND(INT(B403)&gt;=DB_MS,INT(B403)&lt;=DB_ME),1,0)),0)</f>
        <v>0</v>
      </c>
      <c r="BX403" s="80">
        <f>IF(DB_PROJ="Todos",1,IF(E403&amp;""=DB_PROJ&amp;"",1,0))</f>
        <v>1</v>
      </c>
      <c r="BY403" s="80">
        <f>BW403*BX403</f>
        <v>0</v>
      </c>
      <c r="BZ403" s="80" t="str">
        <f>IF(Y403=1,F403&amp;IF(AND(F403&amp;""&lt;&gt;"",E403&amp;""&lt;&gt;"")," · ","")&amp;E403,"")</f>
        <v/>
      </c>
      <c r="CA403" s="80" t="str">
        <f>IF(AND(BD403=1,E403&amp;""&lt;&gt;""),IF(COUNTIFS($E$5:E402,E403,$BD$5:BD402,1)=0,MAX($CA$5:CA402)+1,""),"")</f>
        <v/>
      </c>
      <c r="CB403" s="80" t="str">
        <f>IF(AND(BE403=1,D403="Malcolm",E403&amp;""&lt;&gt;""),IF(COUNTIFS($D$5:D402,"Malcolm",$E$5:E402,E403,$BE$5:BE402,1)=0,MAX($CB$5:CB402)+1,""),"")</f>
        <v/>
      </c>
      <c r="CC403" s="80" t="str">
        <f>IF(AND(BD403=1,D403="proMX",E403&amp;""&lt;&gt;""),IF(COUNTIFS($D$5:D402,"proMX",$E$5:E402,E403,$BD$5:BD402,1)=0,MAX($CC$5:CC402)+1,""),"")</f>
        <v/>
      </c>
      <c r="CD403" s="80" t="str">
        <f>IF(AND(BE403=1,D403="Malcolm",F403&amp;""&lt;&gt;""),IF(COUNTIFS($D$5:D402,"Malcolm",$F$5:F402,F403,$BE$5:BE402,1)=0,MAX($CD$5:CD402)+1,""),"")</f>
        <v/>
      </c>
      <c r="CE403" s="80" t="str">
        <f>IF(AND(BD403=1,D403="proMX",F403&amp;""&lt;&gt;""),IF(COUNTIFS($D$5:D402,"proMX",$F$5:F402,F403,$BD$5:BD402,1)=0,MAX($CE$5:CE402)+1,""),"")</f>
        <v/>
      </c>
      <c r="CF403" s="80" t="str">
        <f>IF(AND(D403="proMX",BD403=1),IF(OR(BF403="Draft",BF403="Submitted",BF403="Returned",BF403="Recall Requested"),MAX($CF$5:CF402)+1,""),"")</f>
        <v/>
      </c>
      <c r="CG403" s="80">
        <f>IF(BD403=0,0,IF(D403="Malcolm",1,MATCH(BF403,{"Draft","Submitted","Approved","Returned","Recall Requested","Cancelled"},0)+1))</f>
        <v>0</v>
      </c>
      <c r="CH403" s="80">
        <f>IF(AND(BF403="Submitted",ISNUMBER(V403)),IF(V403&gt;CFG_MAXD,1,0),0)</f>
        <v>0</v>
      </c>
    </row>
    <row r="404">
      <c r="A404" s="71" t="str">
        <f>IF(Y404=1,ROW()-5,"")</f>
        <v/>
      </c>
      <c r="B404" s="72" t="n"/>
      <c r="C404" s="71" t="str">
        <f>IF(ISNUMBER(B404),CHOOSE(WEEKDAY(B404,2),"Lun","Mar","Mié","Jue","Vie","Sáb","Dom"),"")</f>
        <v/>
      </c>
      <c r="D404" s="73" t="n"/>
      <c r="E404" s="74" t="n"/>
      <c r="F404" s="74" t="n"/>
      <c r="G404" s="74" t="n"/>
      <c r="H404" s="75" t="n"/>
      <c r="I404" s="75" t="n"/>
      <c r="J404" s="76" t="n"/>
      <c r="K404" s="77" t="str">
        <f>IF(AB404=1,ROUND(AG404/60,4),"")</f>
        <v/>
      </c>
      <c r="L404" s="77" t="str">
        <f>IF(BD404=1,ROUND(AP404/60,4),"")</f>
        <v/>
      </c>
      <c r="M404" s="77" t="str">
        <f>IF(BD404=1,ROUND(AQ404/60,4),"")</f>
        <v/>
      </c>
      <c r="N404" s="71" t="str">
        <f>IF(AND(D404="proMX",AB404=1),ROUND(AG404/CFG_BLK,2),"")</f>
        <v/>
      </c>
      <c r="O404" s="77" t="str">
        <f>IF(D404="proMX",IF(BD404=1,ROUND(AG404/60,4),0),"")</f>
        <v/>
      </c>
      <c r="P404" s="78" t="str">
        <f>IF(Y404=0,"",IF(BD404=1,"OK",IF(D404="proMX","Revisar bloques: ","Revisar: ")&amp;BC404))</f>
        <v/>
      </c>
      <c r="Q404" s="78" t="str">
        <f>IF(NOT(ISNUMBER(B404)),"",IF(COUNTIFS(FER_F,INT(B404))&gt;0,"Feriado"&amp;IF(AH404=1," (laborable)"," (no laborable)"),IF(AH404=1,"Laborable",IF(WEEKDAY(B404,2)&gt;5,"Fin de semana","No laborable"))))</f>
        <v/>
      </c>
      <c r="R404" s="73" t="n"/>
      <c r="S404" s="72" t="n"/>
      <c r="T404" s="72" t="n"/>
      <c r="U404" s="74" t="n"/>
      <c r="V404" s="79" t="str">
        <f>IF(AND(D404="proMX",OR(R404="Submitted",R404="Recall Requested"),ISNUMBER(S404)),CFG_TODAY-INT(S404),"")</f>
        <v/>
      </c>
      <c r="W404" s="78" t="str">
        <f>IF(BD404=0,"",IF(BA404&gt;0,"⚠ Se superpone con un registro de la otra empresa",IF(D404="Malcolm",IF(COUNTA(R404,S404,T404)&gt;0,"Estado/fechas proMX se ignoran en Malcolm",""),IF(BF404="Cancelled","Cancelado: excluido de totales",IF(R404="","Sin estado: se trata como Draft",IF(BF404="Submitted",IF(ISNUMBER(V404),IF(V404&gt;CFG_MAXD,"⚠ "&amp;V404&amp;" días en Submitted (máx. "&amp;CFG_MAXD&amp;")",""),"Falta fecha de envío"),IF(BF404="Returned","⚠ Devuelto: corregir y reenviar",IF(BF404="Recall Requested","Retirada solicitada: pendiente",IF(AND(BF404="Approved",NOT(ISNUMBER(T404))),"Falta fecha de aprobación",IF(AND(ISNUMBER(S404),ISNUMBER(T404),T404&lt;S404),"Aprobación anterior al envío","")))))))))</f>
        <v/>
      </c>
      <c r="Y404" s="80">
        <f>IF(COUNTA(B404,D404,E404,F404,G404,H404,I404,J404,R404,S404,T404)&gt;0,1,0)</f>
        <v>0</v>
      </c>
      <c r="Z404" s="80" t="str">
        <f>IF(AND(ISNUMBER(H404),H404&gt;=0,H404&lt;1),ROUND(H404*1440,0),"")</f>
        <v/>
      </c>
      <c r="AA404" s="80" t="str">
        <f>IF(AND(ISNUMBER(I404),I404&gt;=0,I404&lt;1),ROUND(I404*1440,0),"")</f>
        <v/>
      </c>
      <c r="AB404" s="80">
        <f>IF(AND(ISNUMBER(B404),D404&lt;&gt;"",ISNUMBER(Z404),ISNUMBER(AA404)),IF(Z404=AA404,0,1),0)</f>
        <v>0</v>
      </c>
      <c r="AC404" s="80">
        <f>IF(AB404=1,IF(AA404&lt;Z404,1,0),0)</f>
        <v>0</v>
      </c>
      <c r="AD404" s="80">
        <f>IF(AB404=1,IF(AC404=1,1440-Z404+AA404,AA404-Z404),0)</f>
        <v>0</v>
      </c>
      <c r="AE404" s="80">
        <f>IF(J404="",0,IF(ISNUMBER(J404),J404,-1))</f>
        <v>0</v>
      </c>
      <c r="AF404" s="80">
        <f>MIN(MAX(0,AE404),AD404)</f>
        <v>0</v>
      </c>
      <c r="AG404" s="80">
        <f>MAX(0,AD404-MAX(0,AE404))</f>
        <v>0</v>
      </c>
      <c r="AH404" s="80">
        <f>IF(ISNUMBER(B404),IF(AND(INDEX(CFG_WDAYS,WEEKDAY(INT(B404),2))="Sí",IF(D404="proMX",COUNTIFS(FER_F,INT(B404),FER_NLP,"Sí"),COUNTIFS(FER_F,INT(B404),FER_NLM,"Sí"))=0),1,0),0)</f>
        <v>0</v>
      </c>
      <c r="AI404" s="80">
        <f>IF(AC404=1,IF(AND(INDEX(CFG_WDAYS,WEEKDAY(INT(B404)+1,2))="Sí",IF(D404="proMX",COUNTIFS(FER_F,INT(B404)+1,FER_NLP,"Sí"),COUNTIFS(FER_F,INT(B404)+1,FER_NLM,"Sí"))=0),1,0),0)</f>
        <v>0</v>
      </c>
      <c r="AJ404" s="80">
        <f>IF(AC404=1,1440-Z404,AD404)</f>
        <v>0</v>
      </c>
      <c r="AK404" s="80">
        <f>IF(AND(AB404=1,AH404=1),MAX(0,MIN(IF(AC404=1,1440,AA404),CFG_WEM)-MAX(Z404,CFG_WSM)),0)</f>
        <v>0</v>
      </c>
      <c r="AL404" s="80">
        <f>IF(AND(AC404=1,AI404=1),MAX(0,MIN(AA404,CFG_WEM)-CFG_WSM),0)</f>
        <v>0</v>
      </c>
      <c r="AM404" s="80">
        <f>AK404+AL404</f>
        <v>0</v>
      </c>
      <c r="AN404" s="80">
        <f>IF(CFG_BRK="Proporcional",IF(AD404=0,0,AF404*AM404/AD404),IF(CFG_BRK="Extras primero",MIN(AM404,MAX(0,AF404-(AD404-AM404))),MIN(AF404,AM404)))</f>
        <v>0</v>
      </c>
      <c r="AO404" s="80">
        <f>AF404-AN404</f>
        <v>0</v>
      </c>
      <c r="AP404" s="80">
        <f>AM404-AN404</f>
        <v>0</v>
      </c>
      <c r="AQ404" s="80">
        <f>AD404-AM404-AO404</f>
        <v>0</v>
      </c>
      <c r="AR404" s="80">
        <f>IF(AM404=0,0,AK404-AN404*AK404/AM404)</f>
        <v>0</v>
      </c>
      <c r="AS404" s="80">
        <f>IF(AD404-AM404=0,0,(AJ404-AK404)-AO404*(AJ404-AK404)/(AD404-AM404))</f>
        <v>0</v>
      </c>
      <c r="AT404" s="80" t="str">
        <f>IF(AC404=1,INT(B404)+1,"")</f>
        <v/>
      </c>
      <c r="AU404" s="80">
        <f>IF(AND(D404="proMX",R404="Cancelled"),0,1)</f>
        <v>1</v>
      </c>
      <c r="AV404" s="80">
        <f>IF(AND(AB404=1,AU404=1),IF(COUNTIFS($D$5:D403,D404,$B$5:B403,B404,$Z$5:Z403,Z404,$AA$5:AA403,AA404,$F$5:F403,F404&amp;"",$AU$5:AU403,1)&gt;0,1,0),0)</f>
        <v>0</v>
      </c>
      <c r="AW404" s="80" t="str">
        <f>IF(AB404=1,INT(B404)*1440+Z404,"")</f>
        <v/>
      </c>
      <c r="AX404" s="80" t="str">
        <f>IF(AB404=1,AW404+AD404,"")</f>
        <v/>
      </c>
      <c r="AY404" s="80">
        <f>IF(AND(AB404=1,AV404=0,AU404=1),1,0)</f>
        <v>0</v>
      </c>
      <c r="AZ404" s="80">
        <f>IF(AY404=1,COUNTIFS(R_Emp,D404,R_SAbs,"&lt;"&amp;AX404,R_EAbs,"&gt;"&amp;AW404,R_OKey,1)-1,0)</f>
        <v>0</v>
      </c>
      <c r="BA404" s="80">
        <f>IF(AY404=1,COUNTIFS(R_Emp,"&lt;&gt;"&amp;D404,R_SAbs,"&lt;"&amp;AX404,R_EAbs,"&gt;"&amp;AW404,R_OKey,1),0)</f>
        <v>0</v>
      </c>
      <c r="BB404" s="80">
        <f>IF(AND(AB404=1,D404="proMX"),IF(AND(MOD(Z404,CFG_BLK)=0,MOD(AA404,CFG_BLK)=0,MOD(AG404,CFG_BLK)=0,AG404&gt;0),1,0),1)</f>
        <v>1</v>
      </c>
      <c r="BC404" s="80" t="str">
        <f>IF(Y404=0,"",IF(NOT(ISNUMBER(B404)),"Falta fecha o fecha inválida",IF(D404="","Falta empresa",IF(AND(D404&lt;&gt;"Malcolm",D404&lt;&gt;"proMX"),"Empresa inválida",IF(OR(INT(B404)&lt;CFG_PSTART,INT(B404)&gt;CFG_PEND),"Fecha fuera del período",IF(OR(NOT(ISNUMBER(Z404)),NOT(ISNUMBER(AA404))),"Falta hora inicio/fin o formato inválido",IF(AB404=0,"Hora inicio = hora fin",IF(AE404&lt;0,"Descanso inválido",IF(AE404&gt;=AD404,"Descanso ≥ duración",IF(AV404=1,"Registro duplicado",IF(AZ404&gt;0,"Se superpone con otro registro "&amp;D404,IF(BB404=0,"inicio, fin y duración neta deben ser múltiplos de "&amp;CFG_BLK&amp;" min",""))))))))))))</f>
        <v/>
      </c>
      <c r="BD404" s="80">
        <f>IF(AND(Y404=1,BC404=""),1,0)</f>
        <v>0</v>
      </c>
      <c r="BE404" s="80">
        <f>IF(AND(BD404=1,AU404=1),1,0)</f>
        <v>0</v>
      </c>
      <c r="BF404" s="80" t="str">
        <f>IF(AND(D404="proMX",BD404=1),IF(R404="","Draft",R404),"")</f>
        <v/>
      </c>
      <c r="BG404" s="80">
        <f>IF(BD404=1,ROUND(AG404/60,6),0)</f>
        <v>0</v>
      </c>
      <c r="BH404" s="80">
        <f>IF(BE404=1,ROUND(AG404/60,6),0)</f>
        <v>0</v>
      </c>
      <c r="BI404" s="80">
        <f>IF(BE404=1,ROUND(AP404/60,6),0)</f>
        <v>0</v>
      </c>
      <c r="BJ404" s="80">
        <f>IF(BE404=1,ROUND(AQ404/60,6),0)</f>
        <v>0</v>
      </c>
      <c r="BK404" s="80">
        <f>IF(BE404=1,ROUND((AR404+AS404)/60,6),0)</f>
        <v>0</v>
      </c>
      <c r="BL404" s="80">
        <f>ROUND(BH404-BK404,6)</f>
        <v>0</v>
      </c>
      <c r="BM404" s="80">
        <f>IF(BE404=1,ROUND(AR404/60,6),0)</f>
        <v>0</v>
      </c>
      <c r="BN404" s="80">
        <f>ROUND(BI404-BM404,6)</f>
        <v>0</v>
      </c>
      <c r="BO404" s="80">
        <f>IF(BE404=1,ROUND(AS404/60,6),0)</f>
        <v>0</v>
      </c>
      <c r="BP404" s="80">
        <f>ROUND(BJ404-BO404,6)</f>
        <v>0</v>
      </c>
      <c r="BQ404" s="80">
        <f>IF(BE404=1,AW404,0)</f>
        <v>0</v>
      </c>
      <c r="BR404" s="80">
        <f>IF(BE404=1,AX404,0)</f>
        <v>0</v>
      </c>
      <c r="BS404" s="80">
        <f>IF(AND(BE404=1,D404="Malcolm",BA404&gt;0),MIN(BH404,SUMPRODUCT((R_Emp="proMX")*(R_EN&gt;0)*((R_EN-(R_EN&gt;BR404)*(R_EN-BR404))&gt;(R_SN+(R_SN&lt;BQ404)*(BQ404-R_SN)))*((R_EN-(R_EN&gt;BR404)*(R_EN-BR404))-(R_SN+(R_SN&lt;BQ404)*(BQ404-R_SN))))/60),0)</f>
        <v>0</v>
      </c>
      <c r="BT404" s="80">
        <f>IF(AND(BE404=1,D404="proMX"),ROUND(BI404*CFG_RATE+BJ404*CFG_OTRATE,6),0)</f>
        <v>0</v>
      </c>
      <c r="BU404" s="80">
        <f>IF(AND(BD404=1,D404="proMX"),ROUND(AG404/CFG_BLK,6),0)</f>
        <v>0</v>
      </c>
      <c r="BV404" s="80" t="str">
        <f>IF(BF404="Approved",IF(ISNUMBER(T404),INT(T404),INT(B404)),"")</f>
        <v/>
      </c>
      <c r="BW404" s="80">
        <f>IF(ISNUMBER(B404),IF(DB_MON="Todos",1,IF(AND(INT(B404)&gt;=DB_MS,INT(B404)&lt;=DB_ME),1,0)),0)</f>
        <v>0</v>
      </c>
      <c r="BX404" s="80">
        <f>IF(DB_PROJ="Todos",1,IF(E404&amp;""=DB_PROJ&amp;"",1,0))</f>
        <v>1</v>
      </c>
      <c r="BY404" s="80">
        <f>BW404*BX404</f>
        <v>0</v>
      </c>
      <c r="BZ404" s="80" t="str">
        <f>IF(Y404=1,F404&amp;IF(AND(F404&amp;""&lt;&gt;"",E404&amp;""&lt;&gt;"")," · ","")&amp;E404,"")</f>
        <v/>
      </c>
      <c r="CA404" s="80" t="str">
        <f>IF(AND(BD404=1,E404&amp;""&lt;&gt;""),IF(COUNTIFS($E$5:E403,E404,$BD$5:BD403,1)=0,MAX($CA$5:CA403)+1,""),"")</f>
        <v/>
      </c>
      <c r="CB404" s="80" t="str">
        <f>IF(AND(BE404=1,D404="Malcolm",E404&amp;""&lt;&gt;""),IF(COUNTIFS($D$5:D403,"Malcolm",$E$5:E403,E404,$BE$5:BE403,1)=0,MAX($CB$5:CB403)+1,""),"")</f>
        <v/>
      </c>
      <c r="CC404" s="80" t="str">
        <f>IF(AND(BD404=1,D404="proMX",E404&amp;""&lt;&gt;""),IF(COUNTIFS($D$5:D403,"proMX",$E$5:E403,E404,$BD$5:BD403,1)=0,MAX($CC$5:CC403)+1,""),"")</f>
        <v/>
      </c>
      <c r="CD404" s="80" t="str">
        <f>IF(AND(BE404=1,D404="Malcolm",F404&amp;""&lt;&gt;""),IF(COUNTIFS($D$5:D403,"Malcolm",$F$5:F403,F404,$BE$5:BE403,1)=0,MAX($CD$5:CD403)+1,""),"")</f>
        <v/>
      </c>
      <c r="CE404" s="80" t="str">
        <f>IF(AND(BD404=1,D404="proMX",F404&amp;""&lt;&gt;""),IF(COUNTIFS($D$5:D403,"proMX",$F$5:F403,F404,$BD$5:BD403,1)=0,MAX($CE$5:CE403)+1,""),"")</f>
        <v/>
      </c>
      <c r="CF404" s="80" t="str">
        <f>IF(AND(D404="proMX",BD404=1),IF(OR(BF404="Draft",BF404="Submitted",BF404="Returned",BF404="Recall Requested"),MAX($CF$5:CF403)+1,""),"")</f>
        <v/>
      </c>
      <c r="CG404" s="80">
        <f>IF(BD404=0,0,IF(D404="Malcolm",1,MATCH(BF404,{"Draft","Submitted","Approved","Returned","Recall Requested","Cancelled"},0)+1))</f>
        <v>0</v>
      </c>
      <c r="CH404" s="80">
        <f>IF(AND(BF404="Submitted",ISNUMBER(V404)),IF(V404&gt;CFG_MAXD,1,0),0)</f>
        <v>0</v>
      </c>
    </row>
    <row r="405">
      <c r="A405" s="71" t="str">
        <f>IF(Y405=1,ROW()-5,"")</f>
        <v/>
      </c>
      <c r="B405" s="72" t="n"/>
      <c r="C405" s="71" t="str">
        <f>IF(ISNUMBER(B405),CHOOSE(WEEKDAY(B405,2),"Lun","Mar","Mié","Jue","Vie","Sáb","Dom"),"")</f>
        <v/>
      </c>
      <c r="D405" s="73" t="n"/>
      <c r="E405" s="74" t="n"/>
      <c r="F405" s="74" t="n"/>
      <c r="G405" s="74" t="n"/>
      <c r="H405" s="75" t="n"/>
      <c r="I405" s="75" t="n"/>
      <c r="J405" s="76" t="n"/>
      <c r="K405" s="77" t="str">
        <f>IF(AB405=1,ROUND(AG405/60,4),"")</f>
        <v/>
      </c>
      <c r="L405" s="77" t="str">
        <f>IF(BD405=1,ROUND(AP405/60,4),"")</f>
        <v/>
      </c>
      <c r="M405" s="77" t="str">
        <f>IF(BD405=1,ROUND(AQ405/60,4),"")</f>
        <v/>
      </c>
      <c r="N405" s="71" t="str">
        <f>IF(AND(D405="proMX",AB405=1),ROUND(AG405/CFG_BLK,2),"")</f>
        <v/>
      </c>
      <c r="O405" s="77" t="str">
        <f>IF(D405="proMX",IF(BD405=1,ROUND(AG405/60,4),0),"")</f>
        <v/>
      </c>
      <c r="P405" s="78" t="str">
        <f>IF(Y405=0,"",IF(BD405=1,"OK",IF(D405="proMX","Revisar bloques: ","Revisar: ")&amp;BC405))</f>
        <v/>
      </c>
      <c r="Q405" s="78" t="str">
        <f>IF(NOT(ISNUMBER(B405)),"",IF(COUNTIFS(FER_F,INT(B405))&gt;0,"Feriado"&amp;IF(AH405=1," (laborable)"," (no laborable)"),IF(AH405=1,"Laborable",IF(WEEKDAY(B405,2)&gt;5,"Fin de semana","No laborable"))))</f>
        <v/>
      </c>
      <c r="R405" s="73" t="n"/>
      <c r="S405" s="72" t="n"/>
      <c r="T405" s="72" t="n"/>
      <c r="U405" s="74" t="n"/>
      <c r="V405" s="79" t="str">
        <f>IF(AND(D405="proMX",OR(R405="Submitted",R405="Recall Requested"),ISNUMBER(S405)),CFG_TODAY-INT(S405),"")</f>
        <v/>
      </c>
      <c r="W405" s="78" t="str">
        <f>IF(BD405=0,"",IF(BA405&gt;0,"⚠ Se superpone con un registro de la otra empresa",IF(D405="Malcolm",IF(COUNTA(R405,S405,T405)&gt;0,"Estado/fechas proMX se ignoran en Malcolm",""),IF(BF405="Cancelled","Cancelado: excluido de totales",IF(R405="","Sin estado: se trata como Draft",IF(BF405="Submitted",IF(ISNUMBER(V405),IF(V405&gt;CFG_MAXD,"⚠ "&amp;V405&amp;" días en Submitted (máx. "&amp;CFG_MAXD&amp;")",""),"Falta fecha de envío"),IF(BF405="Returned","⚠ Devuelto: corregir y reenviar",IF(BF405="Recall Requested","Retirada solicitada: pendiente",IF(AND(BF405="Approved",NOT(ISNUMBER(T405))),"Falta fecha de aprobación",IF(AND(ISNUMBER(S405),ISNUMBER(T405),T405&lt;S405),"Aprobación anterior al envío","")))))))))</f>
        <v/>
      </c>
      <c r="Y405" s="80">
        <f>IF(COUNTA(B405,D405,E405,F405,G405,H405,I405,J405,R405,S405,T405)&gt;0,1,0)</f>
        <v>0</v>
      </c>
      <c r="Z405" s="80" t="str">
        <f>IF(AND(ISNUMBER(H405),H405&gt;=0,H405&lt;1),ROUND(H405*1440,0),"")</f>
        <v/>
      </c>
      <c r="AA405" s="80" t="str">
        <f>IF(AND(ISNUMBER(I405),I405&gt;=0,I405&lt;1),ROUND(I405*1440,0),"")</f>
        <v/>
      </c>
      <c r="AB405" s="80">
        <f>IF(AND(ISNUMBER(B405),D405&lt;&gt;"",ISNUMBER(Z405),ISNUMBER(AA405)),IF(Z405=AA405,0,1),0)</f>
        <v>0</v>
      </c>
      <c r="AC405" s="80">
        <f>IF(AB405=1,IF(AA405&lt;Z405,1,0),0)</f>
        <v>0</v>
      </c>
      <c r="AD405" s="80">
        <f>IF(AB405=1,IF(AC405=1,1440-Z405+AA405,AA405-Z405),0)</f>
        <v>0</v>
      </c>
      <c r="AE405" s="80">
        <f>IF(J405="",0,IF(ISNUMBER(J405),J405,-1))</f>
        <v>0</v>
      </c>
      <c r="AF405" s="80">
        <f>MIN(MAX(0,AE405),AD405)</f>
        <v>0</v>
      </c>
      <c r="AG405" s="80">
        <f>MAX(0,AD405-MAX(0,AE405))</f>
        <v>0</v>
      </c>
      <c r="AH405" s="80">
        <f>IF(ISNUMBER(B405),IF(AND(INDEX(CFG_WDAYS,WEEKDAY(INT(B405),2))="Sí",IF(D405="proMX",COUNTIFS(FER_F,INT(B405),FER_NLP,"Sí"),COUNTIFS(FER_F,INT(B405),FER_NLM,"Sí"))=0),1,0),0)</f>
        <v>0</v>
      </c>
      <c r="AI405" s="80">
        <f>IF(AC405=1,IF(AND(INDEX(CFG_WDAYS,WEEKDAY(INT(B405)+1,2))="Sí",IF(D405="proMX",COUNTIFS(FER_F,INT(B405)+1,FER_NLP,"Sí"),COUNTIFS(FER_F,INT(B405)+1,FER_NLM,"Sí"))=0),1,0),0)</f>
        <v>0</v>
      </c>
      <c r="AJ405" s="80">
        <f>IF(AC405=1,1440-Z405,AD405)</f>
        <v>0</v>
      </c>
      <c r="AK405" s="80">
        <f>IF(AND(AB405=1,AH405=1),MAX(0,MIN(IF(AC405=1,1440,AA405),CFG_WEM)-MAX(Z405,CFG_WSM)),0)</f>
        <v>0</v>
      </c>
      <c r="AL405" s="80">
        <f>IF(AND(AC405=1,AI405=1),MAX(0,MIN(AA405,CFG_WEM)-CFG_WSM),0)</f>
        <v>0</v>
      </c>
      <c r="AM405" s="80">
        <f>AK405+AL405</f>
        <v>0</v>
      </c>
      <c r="AN405" s="80">
        <f>IF(CFG_BRK="Proporcional",IF(AD405=0,0,AF405*AM405/AD405),IF(CFG_BRK="Extras primero",MIN(AM405,MAX(0,AF405-(AD405-AM405))),MIN(AF405,AM405)))</f>
        <v>0</v>
      </c>
      <c r="AO405" s="80">
        <f>AF405-AN405</f>
        <v>0</v>
      </c>
      <c r="AP405" s="80">
        <f>AM405-AN405</f>
        <v>0</v>
      </c>
      <c r="AQ405" s="80">
        <f>AD405-AM405-AO405</f>
        <v>0</v>
      </c>
      <c r="AR405" s="80">
        <f>IF(AM405=0,0,AK405-AN405*AK405/AM405)</f>
        <v>0</v>
      </c>
      <c r="AS405" s="80">
        <f>IF(AD405-AM405=0,0,(AJ405-AK405)-AO405*(AJ405-AK405)/(AD405-AM405))</f>
        <v>0</v>
      </c>
      <c r="AT405" s="80" t="str">
        <f>IF(AC405=1,INT(B405)+1,"")</f>
        <v/>
      </c>
      <c r="AU405" s="80">
        <f>IF(AND(D405="proMX",R405="Cancelled"),0,1)</f>
        <v>1</v>
      </c>
      <c r="AV405" s="80">
        <f>IF(AND(AB405=1,AU405=1),IF(COUNTIFS($D$5:D404,D405,$B$5:B404,B405,$Z$5:Z404,Z405,$AA$5:AA404,AA405,$F$5:F404,F405&amp;"",$AU$5:AU404,1)&gt;0,1,0),0)</f>
        <v>0</v>
      </c>
      <c r="AW405" s="80" t="str">
        <f>IF(AB405=1,INT(B405)*1440+Z405,"")</f>
        <v/>
      </c>
      <c r="AX405" s="80" t="str">
        <f>IF(AB405=1,AW405+AD405,"")</f>
        <v/>
      </c>
      <c r="AY405" s="80">
        <f>IF(AND(AB405=1,AV405=0,AU405=1),1,0)</f>
        <v>0</v>
      </c>
      <c r="AZ405" s="80">
        <f>IF(AY405=1,COUNTIFS(R_Emp,D405,R_SAbs,"&lt;"&amp;AX405,R_EAbs,"&gt;"&amp;AW405,R_OKey,1)-1,0)</f>
        <v>0</v>
      </c>
      <c r="BA405" s="80">
        <f>IF(AY405=1,COUNTIFS(R_Emp,"&lt;&gt;"&amp;D405,R_SAbs,"&lt;"&amp;AX405,R_EAbs,"&gt;"&amp;AW405,R_OKey,1),0)</f>
        <v>0</v>
      </c>
      <c r="BB405" s="80">
        <f>IF(AND(AB405=1,D405="proMX"),IF(AND(MOD(Z405,CFG_BLK)=0,MOD(AA405,CFG_BLK)=0,MOD(AG405,CFG_BLK)=0,AG405&gt;0),1,0),1)</f>
        <v>1</v>
      </c>
      <c r="BC405" s="80" t="str">
        <f>IF(Y405=0,"",IF(NOT(ISNUMBER(B405)),"Falta fecha o fecha inválida",IF(D405="","Falta empresa",IF(AND(D405&lt;&gt;"Malcolm",D405&lt;&gt;"proMX"),"Empresa inválida",IF(OR(INT(B405)&lt;CFG_PSTART,INT(B405)&gt;CFG_PEND),"Fecha fuera del período",IF(OR(NOT(ISNUMBER(Z405)),NOT(ISNUMBER(AA405))),"Falta hora inicio/fin o formato inválido",IF(AB405=0,"Hora inicio = hora fin",IF(AE405&lt;0,"Descanso inválido",IF(AE405&gt;=AD405,"Descanso ≥ duración",IF(AV405=1,"Registro duplicado",IF(AZ405&gt;0,"Se superpone con otro registro "&amp;D405,IF(BB405=0,"inicio, fin y duración neta deben ser múltiplos de "&amp;CFG_BLK&amp;" min",""))))))))))))</f>
        <v/>
      </c>
      <c r="BD405" s="80">
        <f>IF(AND(Y405=1,BC405=""),1,0)</f>
        <v>0</v>
      </c>
      <c r="BE405" s="80">
        <f>IF(AND(BD405=1,AU405=1),1,0)</f>
        <v>0</v>
      </c>
      <c r="BF405" s="80" t="str">
        <f>IF(AND(D405="proMX",BD405=1),IF(R405="","Draft",R405),"")</f>
        <v/>
      </c>
      <c r="BG405" s="80">
        <f>IF(BD405=1,ROUND(AG405/60,6),0)</f>
        <v>0</v>
      </c>
      <c r="BH405" s="80">
        <f>IF(BE405=1,ROUND(AG405/60,6),0)</f>
        <v>0</v>
      </c>
      <c r="BI405" s="80">
        <f>IF(BE405=1,ROUND(AP405/60,6),0)</f>
        <v>0</v>
      </c>
      <c r="BJ405" s="80">
        <f>IF(BE405=1,ROUND(AQ405/60,6),0)</f>
        <v>0</v>
      </c>
      <c r="BK405" s="80">
        <f>IF(BE405=1,ROUND((AR405+AS405)/60,6),0)</f>
        <v>0</v>
      </c>
      <c r="BL405" s="80">
        <f>ROUND(BH405-BK405,6)</f>
        <v>0</v>
      </c>
      <c r="BM405" s="80">
        <f>IF(BE405=1,ROUND(AR405/60,6),0)</f>
        <v>0</v>
      </c>
      <c r="BN405" s="80">
        <f>ROUND(BI405-BM405,6)</f>
        <v>0</v>
      </c>
      <c r="BO405" s="80">
        <f>IF(BE405=1,ROUND(AS405/60,6),0)</f>
        <v>0</v>
      </c>
      <c r="BP405" s="80">
        <f>ROUND(BJ405-BO405,6)</f>
        <v>0</v>
      </c>
      <c r="BQ405" s="80">
        <f>IF(BE405=1,AW405,0)</f>
        <v>0</v>
      </c>
      <c r="BR405" s="80">
        <f>IF(BE405=1,AX405,0)</f>
        <v>0</v>
      </c>
      <c r="BS405" s="80">
        <f>IF(AND(BE405=1,D405="Malcolm",BA405&gt;0),MIN(BH405,SUMPRODUCT((R_Emp="proMX")*(R_EN&gt;0)*((R_EN-(R_EN&gt;BR405)*(R_EN-BR405))&gt;(R_SN+(R_SN&lt;BQ405)*(BQ405-R_SN)))*((R_EN-(R_EN&gt;BR405)*(R_EN-BR405))-(R_SN+(R_SN&lt;BQ405)*(BQ405-R_SN))))/60),0)</f>
        <v>0</v>
      </c>
      <c r="BT405" s="80">
        <f>IF(AND(BE405=1,D405="proMX"),ROUND(BI405*CFG_RATE+BJ405*CFG_OTRATE,6),0)</f>
        <v>0</v>
      </c>
      <c r="BU405" s="80">
        <f>IF(AND(BD405=1,D405="proMX"),ROUND(AG405/CFG_BLK,6),0)</f>
        <v>0</v>
      </c>
      <c r="BV405" s="80" t="str">
        <f>IF(BF405="Approved",IF(ISNUMBER(T405),INT(T405),INT(B405)),"")</f>
        <v/>
      </c>
      <c r="BW405" s="80">
        <f>IF(ISNUMBER(B405),IF(DB_MON="Todos",1,IF(AND(INT(B405)&gt;=DB_MS,INT(B405)&lt;=DB_ME),1,0)),0)</f>
        <v>0</v>
      </c>
      <c r="BX405" s="80">
        <f>IF(DB_PROJ="Todos",1,IF(E405&amp;""=DB_PROJ&amp;"",1,0))</f>
        <v>1</v>
      </c>
      <c r="BY405" s="80">
        <f>BW405*BX405</f>
        <v>0</v>
      </c>
      <c r="BZ405" s="80" t="str">
        <f>IF(Y405=1,F405&amp;IF(AND(F405&amp;""&lt;&gt;"",E405&amp;""&lt;&gt;"")," · ","")&amp;E405,"")</f>
        <v/>
      </c>
      <c r="CA405" s="80" t="str">
        <f>IF(AND(BD405=1,E405&amp;""&lt;&gt;""),IF(COUNTIFS($E$5:E404,E405,$BD$5:BD404,1)=0,MAX($CA$5:CA404)+1,""),"")</f>
        <v/>
      </c>
      <c r="CB405" s="80" t="str">
        <f>IF(AND(BE405=1,D405="Malcolm",E405&amp;""&lt;&gt;""),IF(COUNTIFS($D$5:D404,"Malcolm",$E$5:E404,E405,$BE$5:BE404,1)=0,MAX($CB$5:CB404)+1,""),"")</f>
        <v/>
      </c>
      <c r="CC405" s="80" t="str">
        <f>IF(AND(BD405=1,D405="proMX",E405&amp;""&lt;&gt;""),IF(COUNTIFS($D$5:D404,"proMX",$E$5:E404,E405,$BD$5:BD404,1)=0,MAX($CC$5:CC404)+1,""),"")</f>
        <v/>
      </c>
      <c r="CD405" s="80" t="str">
        <f>IF(AND(BE405=1,D405="Malcolm",F405&amp;""&lt;&gt;""),IF(COUNTIFS($D$5:D404,"Malcolm",$F$5:F404,F405,$BE$5:BE404,1)=0,MAX($CD$5:CD404)+1,""),"")</f>
        <v/>
      </c>
      <c r="CE405" s="80" t="str">
        <f>IF(AND(BD405=1,D405="proMX",F405&amp;""&lt;&gt;""),IF(COUNTIFS($D$5:D404,"proMX",$F$5:F404,F405,$BD$5:BD404,1)=0,MAX($CE$5:CE404)+1,""),"")</f>
        <v/>
      </c>
      <c r="CF405" s="80" t="str">
        <f>IF(AND(D405="proMX",BD405=1),IF(OR(BF405="Draft",BF405="Submitted",BF405="Returned",BF405="Recall Requested"),MAX($CF$5:CF404)+1,""),"")</f>
        <v/>
      </c>
      <c r="CG405" s="80">
        <f>IF(BD405=0,0,IF(D405="Malcolm",1,MATCH(BF405,{"Draft","Submitted","Approved","Returned","Recall Requested","Cancelled"},0)+1))</f>
        <v>0</v>
      </c>
      <c r="CH405" s="80">
        <f>IF(AND(BF405="Submitted",ISNUMBER(V405)),IF(V405&gt;CFG_MAXD,1,0),0)</f>
        <v>0</v>
      </c>
    </row>
    <row r="406">
      <c r="A406" s="71" t="str">
        <f>IF(Y406=1,ROW()-5,"")</f>
        <v/>
      </c>
      <c r="B406" s="72" t="n"/>
      <c r="C406" s="71" t="str">
        <f>IF(ISNUMBER(B406),CHOOSE(WEEKDAY(B406,2),"Lun","Mar","Mié","Jue","Vie","Sáb","Dom"),"")</f>
        <v/>
      </c>
      <c r="D406" s="73" t="n"/>
      <c r="E406" s="74" t="n"/>
      <c r="F406" s="74" t="n"/>
      <c r="G406" s="74" t="n"/>
      <c r="H406" s="75" t="n"/>
      <c r="I406" s="75" t="n"/>
      <c r="J406" s="76" t="n"/>
      <c r="K406" s="77" t="str">
        <f>IF(AB406=1,ROUND(AG406/60,4),"")</f>
        <v/>
      </c>
      <c r="L406" s="77" t="str">
        <f>IF(BD406=1,ROUND(AP406/60,4),"")</f>
        <v/>
      </c>
      <c r="M406" s="77" t="str">
        <f>IF(BD406=1,ROUND(AQ406/60,4),"")</f>
        <v/>
      </c>
      <c r="N406" s="71" t="str">
        <f>IF(AND(D406="proMX",AB406=1),ROUND(AG406/CFG_BLK,2),"")</f>
        <v/>
      </c>
      <c r="O406" s="77" t="str">
        <f>IF(D406="proMX",IF(BD406=1,ROUND(AG406/60,4),0),"")</f>
        <v/>
      </c>
      <c r="P406" s="78" t="str">
        <f>IF(Y406=0,"",IF(BD406=1,"OK",IF(D406="proMX","Revisar bloques: ","Revisar: ")&amp;BC406))</f>
        <v/>
      </c>
      <c r="Q406" s="78" t="str">
        <f>IF(NOT(ISNUMBER(B406)),"",IF(COUNTIFS(FER_F,INT(B406))&gt;0,"Feriado"&amp;IF(AH406=1," (laborable)"," (no laborable)"),IF(AH406=1,"Laborable",IF(WEEKDAY(B406,2)&gt;5,"Fin de semana","No laborable"))))</f>
        <v/>
      </c>
      <c r="R406" s="73" t="n"/>
      <c r="S406" s="72" t="n"/>
      <c r="T406" s="72" t="n"/>
      <c r="U406" s="74" t="n"/>
      <c r="V406" s="79" t="str">
        <f>IF(AND(D406="proMX",OR(R406="Submitted",R406="Recall Requested"),ISNUMBER(S406)),CFG_TODAY-INT(S406),"")</f>
        <v/>
      </c>
      <c r="W406" s="78" t="str">
        <f>IF(BD406=0,"",IF(BA406&gt;0,"⚠ Se superpone con un registro de la otra empresa",IF(D406="Malcolm",IF(COUNTA(R406,S406,T406)&gt;0,"Estado/fechas proMX se ignoran en Malcolm",""),IF(BF406="Cancelled","Cancelado: excluido de totales",IF(R406="","Sin estado: se trata como Draft",IF(BF406="Submitted",IF(ISNUMBER(V406),IF(V406&gt;CFG_MAXD,"⚠ "&amp;V406&amp;" días en Submitted (máx. "&amp;CFG_MAXD&amp;")",""),"Falta fecha de envío"),IF(BF406="Returned","⚠ Devuelto: corregir y reenviar",IF(BF406="Recall Requested","Retirada solicitada: pendiente",IF(AND(BF406="Approved",NOT(ISNUMBER(T406))),"Falta fecha de aprobación",IF(AND(ISNUMBER(S406),ISNUMBER(T406),T406&lt;S406),"Aprobación anterior al envío","")))))))))</f>
        <v/>
      </c>
      <c r="Y406" s="80">
        <f>IF(COUNTA(B406,D406,E406,F406,G406,H406,I406,J406,R406,S406,T406)&gt;0,1,0)</f>
        <v>0</v>
      </c>
      <c r="Z406" s="80" t="str">
        <f>IF(AND(ISNUMBER(H406),H406&gt;=0,H406&lt;1),ROUND(H406*1440,0),"")</f>
        <v/>
      </c>
      <c r="AA406" s="80" t="str">
        <f>IF(AND(ISNUMBER(I406),I406&gt;=0,I406&lt;1),ROUND(I406*1440,0),"")</f>
        <v/>
      </c>
      <c r="AB406" s="80">
        <f>IF(AND(ISNUMBER(B406),D406&lt;&gt;"",ISNUMBER(Z406),ISNUMBER(AA406)),IF(Z406=AA406,0,1),0)</f>
        <v>0</v>
      </c>
      <c r="AC406" s="80">
        <f>IF(AB406=1,IF(AA406&lt;Z406,1,0),0)</f>
        <v>0</v>
      </c>
      <c r="AD406" s="80">
        <f>IF(AB406=1,IF(AC406=1,1440-Z406+AA406,AA406-Z406),0)</f>
        <v>0</v>
      </c>
      <c r="AE406" s="80">
        <f>IF(J406="",0,IF(ISNUMBER(J406),J406,-1))</f>
        <v>0</v>
      </c>
      <c r="AF406" s="80">
        <f>MIN(MAX(0,AE406),AD406)</f>
        <v>0</v>
      </c>
      <c r="AG406" s="80">
        <f>MAX(0,AD406-MAX(0,AE406))</f>
        <v>0</v>
      </c>
      <c r="AH406" s="80">
        <f>IF(ISNUMBER(B406),IF(AND(INDEX(CFG_WDAYS,WEEKDAY(INT(B406),2))="Sí",IF(D406="proMX",COUNTIFS(FER_F,INT(B406),FER_NLP,"Sí"),COUNTIFS(FER_F,INT(B406),FER_NLM,"Sí"))=0),1,0),0)</f>
        <v>0</v>
      </c>
      <c r="AI406" s="80">
        <f>IF(AC406=1,IF(AND(INDEX(CFG_WDAYS,WEEKDAY(INT(B406)+1,2))="Sí",IF(D406="proMX",COUNTIFS(FER_F,INT(B406)+1,FER_NLP,"Sí"),COUNTIFS(FER_F,INT(B406)+1,FER_NLM,"Sí"))=0),1,0),0)</f>
        <v>0</v>
      </c>
      <c r="AJ406" s="80">
        <f>IF(AC406=1,1440-Z406,AD406)</f>
        <v>0</v>
      </c>
      <c r="AK406" s="80">
        <f>IF(AND(AB406=1,AH406=1),MAX(0,MIN(IF(AC406=1,1440,AA406),CFG_WEM)-MAX(Z406,CFG_WSM)),0)</f>
        <v>0</v>
      </c>
      <c r="AL406" s="80">
        <f>IF(AND(AC406=1,AI406=1),MAX(0,MIN(AA406,CFG_WEM)-CFG_WSM),0)</f>
        <v>0</v>
      </c>
      <c r="AM406" s="80">
        <f>AK406+AL406</f>
        <v>0</v>
      </c>
      <c r="AN406" s="80">
        <f>IF(CFG_BRK="Proporcional",IF(AD406=0,0,AF406*AM406/AD406),IF(CFG_BRK="Extras primero",MIN(AM406,MAX(0,AF406-(AD406-AM406))),MIN(AF406,AM406)))</f>
        <v>0</v>
      </c>
      <c r="AO406" s="80">
        <f>AF406-AN406</f>
        <v>0</v>
      </c>
      <c r="AP406" s="80">
        <f>AM406-AN406</f>
        <v>0</v>
      </c>
      <c r="AQ406" s="80">
        <f>AD406-AM406-AO406</f>
        <v>0</v>
      </c>
      <c r="AR406" s="80">
        <f>IF(AM406=0,0,AK406-AN406*AK406/AM406)</f>
        <v>0</v>
      </c>
      <c r="AS406" s="80">
        <f>IF(AD406-AM406=0,0,(AJ406-AK406)-AO406*(AJ406-AK406)/(AD406-AM406))</f>
        <v>0</v>
      </c>
      <c r="AT406" s="80" t="str">
        <f>IF(AC406=1,INT(B406)+1,"")</f>
        <v/>
      </c>
      <c r="AU406" s="80">
        <f>IF(AND(D406="proMX",R406="Cancelled"),0,1)</f>
        <v>1</v>
      </c>
      <c r="AV406" s="80">
        <f>IF(AND(AB406=1,AU406=1),IF(COUNTIFS($D$5:D405,D406,$B$5:B405,B406,$Z$5:Z405,Z406,$AA$5:AA405,AA406,$F$5:F405,F406&amp;"",$AU$5:AU405,1)&gt;0,1,0),0)</f>
        <v>0</v>
      </c>
      <c r="AW406" s="80" t="str">
        <f>IF(AB406=1,INT(B406)*1440+Z406,"")</f>
        <v/>
      </c>
      <c r="AX406" s="80" t="str">
        <f>IF(AB406=1,AW406+AD406,"")</f>
        <v/>
      </c>
      <c r="AY406" s="80">
        <f>IF(AND(AB406=1,AV406=0,AU406=1),1,0)</f>
        <v>0</v>
      </c>
      <c r="AZ406" s="80">
        <f>IF(AY406=1,COUNTIFS(R_Emp,D406,R_SAbs,"&lt;"&amp;AX406,R_EAbs,"&gt;"&amp;AW406,R_OKey,1)-1,0)</f>
        <v>0</v>
      </c>
      <c r="BA406" s="80">
        <f>IF(AY406=1,COUNTIFS(R_Emp,"&lt;&gt;"&amp;D406,R_SAbs,"&lt;"&amp;AX406,R_EAbs,"&gt;"&amp;AW406,R_OKey,1),0)</f>
        <v>0</v>
      </c>
      <c r="BB406" s="80">
        <f>IF(AND(AB406=1,D406="proMX"),IF(AND(MOD(Z406,CFG_BLK)=0,MOD(AA406,CFG_BLK)=0,MOD(AG406,CFG_BLK)=0,AG406&gt;0),1,0),1)</f>
        <v>1</v>
      </c>
      <c r="BC406" s="80" t="str">
        <f>IF(Y406=0,"",IF(NOT(ISNUMBER(B406)),"Falta fecha o fecha inválida",IF(D406="","Falta empresa",IF(AND(D406&lt;&gt;"Malcolm",D406&lt;&gt;"proMX"),"Empresa inválida",IF(OR(INT(B406)&lt;CFG_PSTART,INT(B406)&gt;CFG_PEND),"Fecha fuera del período",IF(OR(NOT(ISNUMBER(Z406)),NOT(ISNUMBER(AA406))),"Falta hora inicio/fin o formato inválido",IF(AB406=0,"Hora inicio = hora fin",IF(AE406&lt;0,"Descanso inválido",IF(AE406&gt;=AD406,"Descanso ≥ duración",IF(AV406=1,"Registro duplicado",IF(AZ406&gt;0,"Se superpone con otro registro "&amp;D406,IF(BB406=0,"inicio, fin y duración neta deben ser múltiplos de "&amp;CFG_BLK&amp;" min",""))))))))))))</f>
        <v/>
      </c>
      <c r="BD406" s="80">
        <f>IF(AND(Y406=1,BC406=""),1,0)</f>
        <v>0</v>
      </c>
      <c r="BE406" s="80">
        <f>IF(AND(BD406=1,AU406=1),1,0)</f>
        <v>0</v>
      </c>
      <c r="BF406" s="80" t="str">
        <f>IF(AND(D406="proMX",BD406=1),IF(R406="","Draft",R406),"")</f>
        <v/>
      </c>
      <c r="BG406" s="80">
        <f>IF(BD406=1,ROUND(AG406/60,6),0)</f>
        <v>0</v>
      </c>
      <c r="BH406" s="80">
        <f>IF(BE406=1,ROUND(AG406/60,6),0)</f>
        <v>0</v>
      </c>
      <c r="BI406" s="80">
        <f>IF(BE406=1,ROUND(AP406/60,6),0)</f>
        <v>0</v>
      </c>
      <c r="BJ406" s="80">
        <f>IF(BE406=1,ROUND(AQ406/60,6),0)</f>
        <v>0</v>
      </c>
      <c r="BK406" s="80">
        <f>IF(BE406=1,ROUND((AR406+AS406)/60,6),0)</f>
        <v>0</v>
      </c>
      <c r="BL406" s="80">
        <f>ROUND(BH406-BK406,6)</f>
        <v>0</v>
      </c>
      <c r="BM406" s="80">
        <f>IF(BE406=1,ROUND(AR406/60,6),0)</f>
        <v>0</v>
      </c>
      <c r="BN406" s="80">
        <f>ROUND(BI406-BM406,6)</f>
        <v>0</v>
      </c>
      <c r="BO406" s="80">
        <f>IF(BE406=1,ROUND(AS406/60,6),0)</f>
        <v>0</v>
      </c>
      <c r="BP406" s="80">
        <f>ROUND(BJ406-BO406,6)</f>
        <v>0</v>
      </c>
      <c r="BQ406" s="80">
        <f>IF(BE406=1,AW406,0)</f>
        <v>0</v>
      </c>
      <c r="BR406" s="80">
        <f>IF(BE406=1,AX406,0)</f>
        <v>0</v>
      </c>
      <c r="BS406" s="80">
        <f>IF(AND(BE406=1,D406="Malcolm",BA406&gt;0),MIN(BH406,SUMPRODUCT((R_Emp="proMX")*(R_EN&gt;0)*((R_EN-(R_EN&gt;BR406)*(R_EN-BR406))&gt;(R_SN+(R_SN&lt;BQ406)*(BQ406-R_SN)))*((R_EN-(R_EN&gt;BR406)*(R_EN-BR406))-(R_SN+(R_SN&lt;BQ406)*(BQ406-R_SN))))/60),0)</f>
        <v>0</v>
      </c>
      <c r="BT406" s="80">
        <f>IF(AND(BE406=1,D406="proMX"),ROUND(BI406*CFG_RATE+BJ406*CFG_OTRATE,6),0)</f>
        <v>0</v>
      </c>
      <c r="BU406" s="80">
        <f>IF(AND(BD406=1,D406="proMX"),ROUND(AG406/CFG_BLK,6),0)</f>
        <v>0</v>
      </c>
      <c r="BV406" s="80" t="str">
        <f>IF(BF406="Approved",IF(ISNUMBER(T406),INT(T406),INT(B406)),"")</f>
        <v/>
      </c>
      <c r="BW406" s="80">
        <f>IF(ISNUMBER(B406),IF(DB_MON="Todos",1,IF(AND(INT(B406)&gt;=DB_MS,INT(B406)&lt;=DB_ME),1,0)),0)</f>
        <v>0</v>
      </c>
      <c r="BX406" s="80">
        <f>IF(DB_PROJ="Todos",1,IF(E406&amp;""=DB_PROJ&amp;"",1,0))</f>
        <v>1</v>
      </c>
      <c r="BY406" s="80">
        <f>BW406*BX406</f>
        <v>0</v>
      </c>
      <c r="BZ406" s="80" t="str">
        <f>IF(Y406=1,F406&amp;IF(AND(F406&amp;""&lt;&gt;"",E406&amp;""&lt;&gt;"")," · ","")&amp;E406,"")</f>
        <v/>
      </c>
      <c r="CA406" s="80" t="str">
        <f>IF(AND(BD406=1,E406&amp;""&lt;&gt;""),IF(COUNTIFS($E$5:E405,E406,$BD$5:BD405,1)=0,MAX($CA$5:CA405)+1,""),"")</f>
        <v/>
      </c>
      <c r="CB406" s="80" t="str">
        <f>IF(AND(BE406=1,D406="Malcolm",E406&amp;""&lt;&gt;""),IF(COUNTIFS($D$5:D405,"Malcolm",$E$5:E405,E406,$BE$5:BE405,1)=0,MAX($CB$5:CB405)+1,""),"")</f>
        <v/>
      </c>
      <c r="CC406" s="80" t="str">
        <f>IF(AND(BD406=1,D406="proMX",E406&amp;""&lt;&gt;""),IF(COUNTIFS($D$5:D405,"proMX",$E$5:E405,E406,$BD$5:BD405,1)=0,MAX($CC$5:CC405)+1,""),"")</f>
        <v/>
      </c>
      <c r="CD406" s="80" t="str">
        <f>IF(AND(BE406=1,D406="Malcolm",F406&amp;""&lt;&gt;""),IF(COUNTIFS($D$5:D405,"Malcolm",$F$5:F405,F406,$BE$5:BE405,1)=0,MAX($CD$5:CD405)+1,""),"")</f>
        <v/>
      </c>
      <c r="CE406" s="80" t="str">
        <f>IF(AND(BD406=1,D406="proMX",F406&amp;""&lt;&gt;""),IF(COUNTIFS($D$5:D405,"proMX",$F$5:F405,F406,$BD$5:BD405,1)=0,MAX($CE$5:CE405)+1,""),"")</f>
        <v/>
      </c>
      <c r="CF406" s="80" t="str">
        <f>IF(AND(D406="proMX",BD406=1),IF(OR(BF406="Draft",BF406="Submitted",BF406="Returned",BF406="Recall Requested"),MAX($CF$5:CF405)+1,""),"")</f>
        <v/>
      </c>
      <c r="CG406" s="80">
        <f>IF(BD406=0,0,IF(D406="Malcolm",1,MATCH(BF406,{"Draft","Submitted","Approved","Returned","Recall Requested","Cancelled"},0)+1))</f>
        <v>0</v>
      </c>
      <c r="CH406" s="80">
        <f>IF(AND(BF406="Submitted",ISNUMBER(V406)),IF(V406&gt;CFG_MAXD,1,0),0)</f>
        <v>0</v>
      </c>
    </row>
    <row r="407">
      <c r="A407" s="71" t="str">
        <f>IF(Y407=1,ROW()-5,"")</f>
        <v/>
      </c>
      <c r="B407" s="72" t="n"/>
      <c r="C407" s="71" t="str">
        <f>IF(ISNUMBER(B407),CHOOSE(WEEKDAY(B407,2),"Lun","Mar","Mié","Jue","Vie","Sáb","Dom"),"")</f>
        <v/>
      </c>
      <c r="D407" s="73" t="n"/>
      <c r="E407" s="74" t="n"/>
      <c r="F407" s="74" t="n"/>
      <c r="G407" s="74" t="n"/>
      <c r="H407" s="75" t="n"/>
      <c r="I407" s="75" t="n"/>
      <c r="J407" s="76" t="n"/>
      <c r="K407" s="77" t="str">
        <f>IF(AB407=1,ROUND(AG407/60,4),"")</f>
        <v/>
      </c>
      <c r="L407" s="77" t="str">
        <f>IF(BD407=1,ROUND(AP407/60,4),"")</f>
        <v/>
      </c>
      <c r="M407" s="77" t="str">
        <f>IF(BD407=1,ROUND(AQ407/60,4),"")</f>
        <v/>
      </c>
      <c r="N407" s="71" t="str">
        <f>IF(AND(D407="proMX",AB407=1),ROUND(AG407/CFG_BLK,2),"")</f>
        <v/>
      </c>
      <c r="O407" s="77" t="str">
        <f>IF(D407="proMX",IF(BD407=1,ROUND(AG407/60,4),0),"")</f>
        <v/>
      </c>
      <c r="P407" s="78" t="str">
        <f>IF(Y407=0,"",IF(BD407=1,"OK",IF(D407="proMX","Revisar bloques: ","Revisar: ")&amp;BC407))</f>
        <v/>
      </c>
      <c r="Q407" s="78" t="str">
        <f>IF(NOT(ISNUMBER(B407)),"",IF(COUNTIFS(FER_F,INT(B407))&gt;0,"Feriado"&amp;IF(AH407=1," (laborable)"," (no laborable)"),IF(AH407=1,"Laborable",IF(WEEKDAY(B407,2)&gt;5,"Fin de semana","No laborable"))))</f>
        <v/>
      </c>
      <c r="R407" s="73" t="n"/>
      <c r="S407" s="72" t="n"/>
      <c r="T407" s="72" t="n"/>
      <c r="U407" s="74" t="n"/>
      <c r="V407" s="79" t="str">
        <f>IF(AND(D407="proMX",OR(R407="Submitted",R407="Recall Requested"),ISNUMBER(S407)),CFG_TODAY-INT(S407),"")</f>
        <v/>
      </c>
      <c r="W407" s="78" t="str">
        <f>IF(BD407=0,"",IF(BA407&gt;0,"⚠ Se superpone con un registro de la otra empresa",IF(D407="Malcolm",IF(COUNTA(R407,S407,T407)&gt;0,"Estado/fechas proMX se ignoran en Malcolm",""),IF(BF407="Cancelled","Cancelado: excluido de totales",IF(R407="","Sin estado: se trata como Draft",IF(BF407="Submitted",IF(ISNUMBER(V407),IF(V407&gt;CFG_MAXD,"⚠ "&amp;V407&amp;" días en Submitted (máx. "&amp;CFG_MAXD&amp;")",""),"Falta fecha de envío"),IF(BF407="Returned","⚠ Devuelto: corregir y reenviar",IF(BF407="Recall Requested","Retirada solicitada: pendiente",IF(AND(BF407="Approved",NOT(ISNUMBER(T407))),"Falta fecha de aprobación",IF(AND(ISNUMBER(S407),ISNUMBER(T407),T407&lt;S407),"Aprobación anterior al envío","")))))))))</f>
        <v/>
      </c>
      <c r="Y407" s="80">
        <f>IF(COUNTA(B407,D407,E407,F407,G407,H407,I407,J407,R407,S407,T407)&gt;0,1,0)</f>
        <v>0</v>
      </c>
      <c r="Z407" s="80" t="str">
        <f>IF(AND(ISNUMBER(H407),H407&gt;=0,H407&lt;1),ROUND(H407*1440,0),"")</f>
        <v/>
      </c>
      <c r="AA407" s="80" t="str">
        <f>IF(AND(ISNUMBER(I407),I407&gt;=0,I407&lt;1),ROUND(I407*1440,0),"")</f>
        <v/>
      </c>
      <c r="AB407" s="80">
        <f>IF(AND(ISNUMBER(B407),D407&lt;&gt;"",ISNUMBER(Z407),ISNUMBER(AA407)),IF(Z407=AA407,0,1),0)</f>
        <v>0</v>
      </c>
      <c r="AC407" s="80">
        <f>IF(AB407=1,IF(AA407&lt;Z407,1,0),0)</f>
        <v>0</v>
      </c>
      <c r="AD407" s="80">
        <f>IF(AB407=1,IF(AC407=1,1440-Z407+AA407,AA407-Z407),0)</f>
        <v>0</v>
      </c>
      <c r="AE407" s="80">
        <f>IF(J407="",0,IF(ISNUMBER(J407),J407,-1))</f>
        <v>0</v>
      </c>
      <c r="AF407" s="80">
        <f>MIN(MAX(0,AE407),AD407)</f>
        <v>0</v>
      </c>
      <c r="AG407" s="80">
        <f>MAX(0,AD407-MAX(0,AE407))</f>
        <v>0</v>
      </c>
      <c r="AH407" s="80">
        <f>IF(ISNUMBER(B407),IF(AND(INDEX(CFG_WDAYS,WEEKDAY(INT(B407),2))="Sí",IF(D407="proMX",COUNTIFS(FER_F,INT(B407),FER_NLP,"Sí"),COUNTIFS(FER_F,INT(B407),FER_NLM,"Sí"))=0),1,0),0)</f>
        <v>0</v>
      </c>
      <c r="AI407" s="80">
        <f>IF(AC407=1,IF(AND(INDEX(CFG_WDAYS,WEEKDAY(INT(B407)+1,2))="Sí",IF(D407="proMX",COUNTIFS(FER_F,INT(B407)+1,FER_NLP,"Sí"),COUNTIFS(FER_F,INT(B407)+1,FER_NLM,"Sí"))=0),1,0),0)</f>
        <v>0</v>
      </c>
      <c r="AJ407" s="80">
        <f>IF(AC407=1,1440-Z407,AD407)</f>
        <v>0</v>
      </c>
      <c r="AK407" s="80">
        <f>IF(AND(AB407=1,AH407=1),MAX(0,MIN(IF(AC407=1,1440,AA407),CFG_WEM)-MAX(Z407,CFG_WSM)),0)</f>
        <v>0</v>
      </c>
      <c r="AL407" s="80">
        <f>IF(AND(AC407=1,AI407=1),MAX(0,MIN(AA407,CFG_WEM)-CFG_WSM),0)</f>
        <v>0</v>
      </c>
      <c r="AM407" s="80">
        <f>AK407+AL407</f>
        <v>0</v>
      </c>
      <c r="AN407" s="80">
        <f>IF(CFG_BRK="Proporcional",IF(AD407=0,0,AF407*AM407/AD407),IF(CFG_BRK="Extras primero",MIN(AM407,MAX(0,AF407-(AD407-AM407))),MIN(AF407,AM407)))</f>
        <v>0</v>
      </c>
      <c r="AO407" s="80">
        <f>AF407-AN407</f>
        <v>0</v>
      </c>
      <c r="AP407" s="80">
        <f>AM407-AN407</f>
        <v>0</v>
      </c>
      <c r="AQ407" s="80">
        <f>AD407-AM407-AO407</f>
        <v>0</v>
      </c>
      <c r="AR407" s="80">
        <f>IF(AM407=0,0,AK407-AN407*AK407/AM407)</f>
        <v>0</v>
      </c>
      <c r="AS407" s="80">
        <f>IF(AD407-AM407=0,0,(AJ407-AK407)-AO407*(AJ407-AK407)/(AD407-AM407))</f>
        <v>0</v>
      </c>
      <c r="AT407" s="80" t="str">
        <f>IF(AC407=1,INT(B407)+1,"")</f>
        <v/>
      </c>
      <c r="AU407" s="80">
        <f>IF(AND(D407="proMX",R407="Cancelled"),0,1)</f>
        <v>1</v>
      </c>
      <c r="AV407" s="80">
        <f>IF(AND(AB407=1,AU407=1),IF(COUNTIFS($D$5:D406,D407,$B$5:B406,B407,$Z$5:Z406,Z407,$AA$5:AA406,AA407,$F$5:F406,F407&amp;"",$AU$5:AU406,1)&gt;0,1,0),0)</f>
        <v>0</v>
      </c>
      <c r="AW407" s="80" t="str">
        <f>IF(AB407=1,INT(B407)*1440+Z407,"")</f>
        <v/>
      </c>
      <c r="AX407" s="80" t="str">
        <f>IF(AB407=1,AW407+AD407,"")</f>
        <v/>
      </c>
      <c r="AY407" s="80">
        <f>IF(AND(AB407=1,AV407=0,AU407=1),1,0)</f>
        <v>0</v>
      </c>
      <c r="AZ407" s="80">
        <f>IF(AY407=1,COUNTIFS(R_Emp,D407,R_SAbs,"&lt;"&amp;AX407,R_EAbs,"&gt;"&amp;AW407,R_OKey,1)-1,0)</f>
        <v>0</v>
      </c>
      <c r="BA407" s="80">
        <f>IF(AY407=1,COUNTIFS(R_Emp,"&lt;&gt;"&amp;D407,R_SAbs,"&lt;"&amp;AX407,R_EAbs,"&gt;"&amp;AW407,R_OKey,1),0)</f>
        <v>0</v>
      </c>
      <c r="BB407" s="80">
        <f>IF(AND(AB407=1,D407="proMX"),IF(AND(MOD(Z407,CFG_BLK)=0,MOD(AA407,CFG_BLK)=0,MOD(AG407,CFG_BLK)=0,AG407&gt;0),1,0),1)</f>
        <v>1</v>
      </c>
      <c r="BC407" s="80" t="str">
        <f>IF(Y407=0,"",IF(NOT(ISNUMBER(B407)),"Falta fecha o fecha inválida",IF(D407="","Falta empresa",IF(AND(D407&lt;&gt;"Malcolm",D407&lt;&gt;"proMX"),"Empresa inválida",IF(OR(INT(B407)&lt;CFG_PSTART,INT(B407)&gt;CFG_PEND),"Fecha fuera del período",IF(OR(NOT(ISNUMBER(Z407)),NOT(ISNUMBER(AA407))),"Falta hora inicio/fin o formato inválido",IF(AB407=0,"Hora inicio = hora fin",IF(AE407&lt;0,"Descanso inválido",IF(AE407&gt;=AD407,"Descanso ≥ duración",IF(AV407=1,"Registro duplicado",IF(AZ407&gt;0,"Se superpone con otro registro "&amp;D407,IF(BB407=0,"inicio, fin y duración neta deben ser múltiplos de "&amp;CFG_BLK&amp;" min",""))))))))))))</f>
        <v/>
      </c>
      <c r="BD407" s="80">
        <f>IF(AND(Y407=1,BC407=""),1,0)</f>
        <v>0</v>
      </c>
      <c r="BE407" s="80">
        <f>IF(AND(BD407=1,AU407=1),1,0)</f>
        <v>0</v>
      </c>
      <c r="BF407" s="80" t="str">
        <f>IF(AND(D407="proMX",BD407=1),IF(R407="","Draft",R407),"")</f>
        <v/>
      </c>
      <c r="BG407" s="80">
        <f>IF(BD407=1,ROUND(AG407/60,6),0)</f>
        <v>0</v>
      </c>
      <c r="BH407" s="80">
        <f>IF(BE407=1,ROUND(AG407/60,6),0)</f>
        <v>0</v>
      </c>
      <c r="BI407" s="80">
        <f>IF(BE407=1,ROUND(AP407/60,6),0)</f>
        <v>0</v>
      </c>
      <c r="BJ407" s="80">
        <f>IF(BE407=1,ROUND(AQ407/60,6),0)</f>
        <v>0</v>
      </c>
      <c r="BK407" s="80">
        <f>IF(BE407=1,ROUND((AR407+AS407)/60,6),0)</f>
        <v>0</v>
      </c>
      <c r="BL407" s="80">
        <f>ROUND(BH407-BK407,6)</f>
        <v>0</v>
      </c>
      <c r="BM407" s="80">
        <f>IF(BE407=1,ROUND(AR407/60,6),0)</f>
        <v>0</v>
      </c>
      <c r="BN407" s="80">
        <f>ROUND(BI407-BM407,6)</f>
        <v>0</v>
      </c>
      <c r="BO407" s="80">
        <f>IF(BE407=1,ROUND(AS407/60,6),0)</f>
        <v>0</v>
      </c>
      <c r="BP407" s="80">
        <f>ROUND(BJ407-BO407,6)</f>
        <v>0</v>
      </c>
      <c r="BQ407" s="80">
        <f>IF(BE407=1,AW407,0)</f>
        <v>0</v>
      </c>
      <c r="BR407" s="80">
        <f>IF(BE407=1,AX407,0)</f>
        <v>0</v>
      </c>
      <c r="BS407" s="80">
        <f>IF(AND(BE407=1,D407="Malcolm",BA407&gt;0),MIN(BH407,SUMPRODUCT((R_Emp="proMX")*(R_EN&gt;0)*((R_EN-(R_EN&gt;BR407)*(R_EN-BR407))&gt;(R_SN+(R_SN&lt;BQ407)*(BQ407-R_SN)))*((R_EN-(R_EN&gt;BR407)*(R_EN-BR407))-(R_SN+(R_SN&lt;BQ407)*(BQ407-R_SN))))/60),0)</f>
        <v>0</v>
      </c>
      <c r="BT407" s="80">
        <f>IF(AND(BE407=1,D407="proMX"),ROUND(BI407*CFG_RATE+BJ407*CFG_OTRATE,6),0)</f>
        <v>0</v>
      </c>
      <c r="BU407" s="80">
        <f>IF(AND(BD407=1,D407="proMX"),ROUND(AG407/CFG_BLK,6),0)</f>
        <v>0</v>
      </c>
      <c r="BV407" s="80" t="str">
        <f>IF(BF407="Approved",IF(ISNUMBER(T407),INT(T407),INT(B407)),"")</f>
        <v/>
      </c>
      <c r="BW407" s="80">
        <f>IF(ISNUMBER(B407),IF(DB_MON="Todos",1,IF(AND(INT(B407)&gt;=DB_MS,INT(B407)&lt;=DB_ME),1,0)),0)</f>
        <v>0</v>
      </c>
      <c r="BX407" s="80">
        <f>IF(DB_PROJ="Todos",1,IF(E407&amp;""=DB_PROJ&amp;"",1,0))</f>
        <v>1</v>
      </c>
      <c r="BY407" s="80">
        <f>BW407*BX407</f>
        <v>0</v>
      </c>
      <c r="BZ407" s="80" t="str">
        <f>IF(Y407=1,F407&amp;IF(AND(F407&amp;""&lt;&gt;"",E407&amp;""&lt;&gt;"")," · ","")&amp;E407,"")</f>
        <v/>
      </c>
      <c r="CA407" s="80" t="str">
        <f>IF(AND(BD407=1,E407&amp;""&lt;&gt;""),IF(COUNTIFS($E$5:E406,E407,$BD$5:BD406,1)=0,MAX($CA$5:CA406)+1,""),"")</f>
        <v/>
      </c>
      <c r="CB407" s="80" t="str">
        <f>IF(AND(BE407=1,D407="Malcolm",E407&amp;""&lt;&gt;""),IF(COUNTIFS($D$5:D406,"Malcolm",$E$5:E406,E407,$BE$5:BE406,1)=0,MAX($CB$5:CB406)+1,""),"")</f>
        <v/>
      </c>
      <c r="CC407" s="80" t="str">
        <f>IF(AND(BD407=1,D407="proMX",E407&amp;""&lt;&gt;""),IF(COUNTIFS($D$5:D406,"proMX",$E$5:E406,E407,$BD$5:BD406,1)=0,MAX($CC$5:CC406)+1,""),"")</f>
        <v/>
      </c>
      <c r="CD407" s="80" t="str">
        <f>IF(AND(BE407=1,D407="Malcolm",F407&amp;""&lt;&gt;""),IF(COUNTIFS($D$5:D406,"Malcolm",$F$5:F406,F407,$BE$5:BE406,1)=0,MAX($CD$5:CD406)+1,""),"")</f>
        <v/>
      </c>
      <c r="CE407" s="80" t="str">
        <f>IF(AND(BD407=1,D407="proMX",F407&amp;""&lt;&gt;""),IF(COUNTIFS($D$5:D406,"proMX",$F$5:F406,F407,$BD$5:BD406,1)=0,MAX($CE$5:CE406)+1,""),"")</f>
        <v/>
      </c>
      <c r="CF407" s="80" t="str">
        <f>IF(AND(D407="proMX",BD407=1),IF(OR(BF407="Draft",BF407="Submitted",BF407="Returned",BF407="Recall Requested"),MAX($CF$5:CF406)+1,""),"")</f>
        <v/>
      </c>
      <c r="CG407" s="80">
        <f>IF(BD407=0,0,IF(D407="Malcolm",1,MATCH(BF407,{"Draft","Submitted","Approved","Returned","Recall Requested","Cancelled"},0)+1))</f>
        <v>0</v>
      </c>
      <c r="CH407" s="80">
        <f>IF(AND(BF407="Submitted",ISNUMBER(V407)),IF(V407&gt;CFG_MAXD,1,0),0)</f>
        <v>0</v>
      </c>
    </row>
    <row r="408">
      <c r="A408" s="71" t="str">
        <f>IF(Y408=1,ROW()-5,"")</f>
        <v/>
      </c>
      <c r="B408" s="72" t="n"/>
      <c r="C408" s="71" t="str">
        <f>IF(ISNUMBER(B408),CHOOSE(WEEKDAY(B408,2),"Lun","Mar","Mié","Jue","Vie","Sáb","Dom"),"")</f>
        <v/>
      </c>
      <c r="D408" s="73" t="n"/>
      <c r="E408" s="74" t="n"/>
      <c r="F408" s="74" t="n"/>
      <c r="G408" s="74" t="n"/>
      <c r="H408" s="75" t="n"/>
      <c r="I408" s="75" t="n"/>
      <c r="J408" s="76" t="n"/>
      <c r="K408" s="77" t="str">
        <f>IF(AB408=1,ROUND(AG408/60,4),"")</f>
        <v/>
      </c>
      <c r="L408" s="77" t="str">
        <f>IF(BD408=1,ROUND(AP408/60,4),"")</f>
        <v/>
      </c>
      <c r="M408" s="77" t="str">
        <f>IF(BD408=1,ROUND(AQ408/60,4),"")</f>
        <v/>
      </c>
      <c r="N408" s="71" t="str">
        <f>IF(AND(D408="proMX",AB408=1),ROUND(AG408/CFG_BLK,2),"")</f>
        <v/>
      </c>
      <c r="O408" s="77" t="str">
        <f>IF(D408="proMX",IF(BD408=1,ROUND(AG408/60,4),0),"")</f>
        <v/>
      </c>
      <c r="P408" s="78" t="str">
        <f>IF(Y408=0,"",IF(BD408=1,"OK",IF(D408="proMX","Revisar bloques: ","Revisar: ")&amp;BC408))</f>
        <v/>
      </c>
      <c r="Q408" s="78" t="str">
        <f>IF(NOT(ISNUMBER(B408)),"",IF(COUNTIFS(FER_F,INT(B408))&gt;0,"Feriado"&amp;IF(AH408=1," (laborable)"," (no laborable)"),IF(AH408=1,"Laborable",IF(WEEKDAY(B408,2)&gt;5,"Fin de semana","No laborable"))))</f>
        <v/>
      </c>
      <c r="R408" s="73" t="n"/>
      <c r="S408" s="72" t="n"/>
      <c r="T408" s="72" t="n"/>
      <c r="U408" s="74" t="n"/>
      <c r="V408" s="79" t="str">
        <f>IF(AND(D408="proMX",OR(R408="Submitted",R408="Recall Requested"),ISNUMBER(S408)),CFG_TODAY-INT(S408),"")</f>
        <v/>
      </c>
      <c r="W408" s="78" t="str">
        <f>IF(BD408=0,"",IF(BA408&gt;0,"⚠ Se superpone con un registro de la otra empresa",IF(D408="Malcolm",IF(COUNTA(R408,S408,T408)&gt;0,"Estado/fechas proMX se ignoran en Malcolm",""),IF(BF408="Cancelled","Cancelado: excluido de totales",IF(R408="","Sin estado: se trata como Draft",IF(BF408="Submitted",IF(ISNUMBER(V408),IF(V408&gt;CFG_MAXD,"⚠ "&amp;V408&amp;" días en Submitted (máx. "&amp;CFG_MAXD&amp;")",""),"Falta fecha de envío"),IF(BF408="Returned","⚠ Devuelto: corregir y reenviar",IF(BF408="Recall Requested","Retirada solicitada: pendiente",IF(AND(BF408="Approved",NOT(ISNUMBER(T408))),"Falta fecha de aprobación",IF(AND(ISNUMBER(S408),ISNUMBER(T408),T408&lt;S408),"Aprobación anterior al envío","")))))))))</f>
        <v/>
      </c>
      <c r="Y408" s="80">
        <f>IF(COUNTA(B408,D408,E408,F408,G408,H408,I408,J408,R408,S408,T408)&gt;0,1,0)</f>
        <v>0</v>
      </c>
      <c r="Z408" s="80" t="str">
        <f>IF(AND(ISNUMBER(H408),H408&gt;=0,H408&lt;1),ROUND(H408*1440,0),"")</f>
        <v/>
      </c>
      <c r="AA408" s="80" t="str">
        <f>IF(AND(ISNUMBER(I408),I408&gt;=0,I408&lt;1),ROUND(I408*1440,0),"")</f>
        <v/>
      </c>
      <c r="AB408" s="80">
        <f>IF(AND(ISNUMBER(B408),D408&lt;&gt;"",ISNUMBER(Z408),ISNUMBER(AA408)),IF(Z408=AA408,0,1),0)</f>
        <v>0</v>
      </c>
      <c r="AC408" s="80">
        <f>IF(AB408=1,IF(AA408&lt;Z408,1,0),0)</f>
        <v>0</v>
      </c>
      <c r="AD408" s="80">
        <f>IF(AB408=1,IF(AC408=1,1440-Z408+AA408,AA408-Z408),0)</f>
        <v>0</v>
      </c>
      <c r="AE408" s="80">
        <f>IF(J408="",0,IF(ISNUMBER(J408),J408,-1))</f>
        <v>0</v>
      </c>
      <c r="AF408" s="80">
        <f>MIN(MAX(0,AE408),AD408)</f>
        <v>0</v>
      </c>
      <c r="AG408" s="80">
        <f>MAX(0,AD408-MAX(0,AE408))</f>
        <v>0</v>
      </c>
      <c r="AH408" s="80">
        <f>IF(ISNUMBER(B408),IF(AND(INDEX(CFG_WDAYS,WEEKDAY(INT(B408),2))="Sí",IF(D408="proMX",COUNTIFS(FER_F,INT(B408),FER_NLP,"Sí"),COUNTIFS(FER_F,INT(B408),FER_NLM,"Sí"))=0),1,0),0)</f>
        <v>0</v>
      </c>
      <c r="AI408" s="80">
        <f>IF(AC408=1,IF(AND(INDEX(CFG_WDAYS,WEEKDAY(INT(B408)+1,2))="Sí",IF(D408="proMX",COUNTIFS(FER_F,INT(B408)+1,FER_NLP,"Sí"),COUNTIFS(FER_F,INT(B408)+1,FER_NLM,"Sí"))=0),1,0),0)</f>
        <v>0</v>
      </c>
      <c r="AJ408" s="80">
        <f>IF(AC408=1,1440-Z408,AD408)</f>
        <v>0</v>
      </c>
      <c r="AK408" s="80">
        <f>IF(AND(AB408=1,AH408=1),MAX(0,MIN(IF(AC408=1,1440,AA408),CFG_WEM)-MAX(Z408,CFG_WSM)),0)</f>
        <v>0</v>
      </c>
      <c r="AL408" s="80">
        <f>IF(AND(AC408=1,AI408=1),MAX(0,MIN(AA408,CFG_WEM)-CFG_WSM),0)</f>
        <v>0</v>
      </c>
      <c r="AM408" s="80">
        <f>AK408+AL408</f>
        <v>0</v>
      </c>
      <c r="AN408" s="80">
        <f>IF(CFG_BRK="Proporcional",IF(AD408=0,0,AF408*AM408/AD408),IF(CFG_BRK="Extras primero",MIN(AM408,MAX(0,AF408-(AD408-AM408))),MIN(AF408,AM408)))</f>
        <v>0</v>
      </c>
      <c r="AO408" s="80">
        <f>AF408-AN408</f>
        <v>0</v>
      </c>
      <c r="AP408" s="80">
        <f>AM408-AN408</f>
        <v>0</v>
      </c>
      <c r="AQ408" s="80">
        <f>AD408-AM408-AO408</f>
        <v>0</v>
      </c>
      <c r="AR408" s="80">
        <f>IF(AM408=0,0,AK408-AN408*AK408/AM408)</f>
        <v>0</v>
      </c>
      <c r="AS408" s="80">
        <f>IF(AD408-AM408=0,0,(AJ408-AK408)-AO408*(AJ408-AK408)/(AD408-AM408))</f>
        <v>0</v>
      </c>
      <c r="AT408" s="80" t="str">
        <f>IF(AC408=1,INT(B408)+1,"")</f>
        <v/>
      </c>
      <c r="AU408" s="80">
        <f>IF(AND(D408="proMX",R408="Cancelled"),0,1)</f>
        <v>1</v>
      </c>
      <c r="AV408" s="80">
        <f>IF(AND(AB408=1,AU408=1),IF(COUNTIFS($D$5:D407,D408,$B$5:B407,B408,$Z$5:Z407,Z408,$AA$5:AA407,AA408,$F$5:F407,F408&amp;"",$AU$5:AU407,1)&gt;0,1,0),0)</f>
        <v>0</v>
      </c>
      <c r="AW408" s="80" t="str">
        <f>IF(AB408=1,INT(B408)*1440+Z408,"")</f>
        <v/>
      </c>
      <c r="AX408" s="80" t="str">
        <f>IF(AB408=1,AW408+AD408,"")</f>
        <v/>
      </c>
      <c r="AY408" s="80">
        <f>IF(AND(AB408=1,AV408=0,AU408=1),1,0)</f>
        <v>0</v>
      </c>
      <c r="AZ408" s="80">
        <f>IF(AY408=1,COUNTIFS(R_Emp,D408,R_SAbs,"&lt;"&amp;AX408,R_EAbs,"&gt;"&amp;AW408,R_OKey,1)-1,0)</f>
        <v>0</v>
      </c>
      <c r="BA408" s="80">
        <f>IF(AY408=1,COUNTIFS(R_Emp,"&lt;&gt;"&amp;D408,R_SAbs,"&lt;"&amp;AX408,R_EAbs,"&gt;"&amp;AW408,R_OKey,1),0)</f>
        <v>0</v>
      </c>
      <c r="BB408" s="80">
        <f>IF(AND(AB408=1,D408="proMX"),IF(AND(MOD(Z408,CFG_BLK)=0,MOD(AA408,CFG_BLK)=0,MOD(AG408,CFG_BLK)=0,AG408&gt;0),1,0),1)</f>
        <v>1</v>
      </c>
      <c r="BC408" s="80" t="str">
        <f>IF(Y408=0,"",IF(NOT(ISNUMBER(B408)),"Falta fecha o fecha inválida",IF(D408="","Falta empresa",IF(AND(D408&lt;&gt;"Malcolm",D408&lt;&gt;"proMX"),"Empresa inválida",IF(OR(INT(B408)&lt;CFG_PSTART,INT(B408)&gt;CFG_PEND),"Fecha fuera del período",IF(OR(NOT(ISNUMBER(Z408)),NOT(ISNUMBER(AA408))),"Falta hora inicio/fin o formato inválido",IF(AB408=0,"Hora inicio = hora fin",IF(AE408&lt;0,"Descanso inválido",IF(AE408&gt;=AD408,"Descanso ≥ duración",IF(AV408=1,"Registro duplicado",IF(AZ408&gt;0,"Se superpone con otro registro "&amp;D408,IF(BB408=0,"inicio, fin y duración neta deben ser múltiplos de "&amp;CFG_BLK&amp;" min",""))))))))))))</f>
        <v/>
      </c>
      <c r="BD408" s="80">
        <f>IF(AND(Y408=1,BC408=""),1,0)</f>
        <v>0</v>
      </c>
      <c r="BE408" s="80">
        <f>IF(AND(BD408=1,AU408=1),1,0)</f>
        <v>0</v>
      </c>
      <c r="BF408" s="80" t="str">
        <f>IF(AND(D408="proMX",BD408=1),IF(R408="","Draft",R408),"")</f>
        <v/>
      </c>
      <c r="BG408" s="80">
        <f>IF(BD408=1,ROUND(AG408/60,6),0)</f>
        <v>0</v>
      </c>
      <c r="BH408" s="80">
        <f>IF(BE408=1,ROUND(AG408/60,6),0)</f>
        <v>0</v>
      </c>
      <c r="BI408" s="80">
        <f>IF(BE408=1,ROUND(AP408/60,6),0)</f>
        <v>0</v>
      </c>
      <c r="BJ408" s="80">
        <f>IF(BE408=1,ROUND(AQ408/60,6),0)</f>
        <v>0</v>
      </c>
      <c r="BK408" s="80">
        <f>IF(BE408=1,ROUND((AR408+AS408)/60,6),0)</f>
        <v>0</v>
      </c>
      <c r="BL408" s="80">
        <f>ROUND(BH408-BK408,6)</f>
        <v>0</v>
      </c>
      <c r="BM408" s="80">
        <f>IF(BE408=1,ROUND(AR408/60,6),0)</f>
        <v>0</v>
      </c>
      <c r="BN408" s="80">
        <f>ROUND(BI408-BM408,6)</f>
        <v>0</v>
      </c>
      <c r="BO408" s="80">
        <f>IF(BE408=1,ROUND(AS408/60,6),0)</f>
        <v>0</v>
      </c>
      <c r="BP408" s="80">
        <f>ROUND(BJ408-BO408,6)</f>
        <v>0</v>
      </c>
      <c r="BQ408" s="80">
        <f>IF(BE408=1,AW408,0)</f>
        <v>0</v>
      </c>
      <c r="BR408" s="80">
        <f>IF(BE408=1,AX408,0)</f>
        <v>0</v>
      </c>
      <c r="BS408" s="80">
        <f>IF(AND(BE408=1,D408="Malcolm",BA408&gt;0),MIN(BH408,SUMPRODUCT((R_Emp="proMX")*(R_EN&gt;0)*((R_EN-(R_EN&gt;BR408)*(R_EN-BR408))&gt;(R_SN+(R_SN&lt;BQ408)*(BQ408-R_SN)))*((R_EN-(R_EN&gt;BR408)*(R_EN-BR408))-(R_SN+(R_SN&lt;BQ408)*(BQ408-R_SN))))/60),0)</f>
        <v>0</v>
      </c>
      <c r="BT408" s="80">
        <f>IF(AND(BE408=1,D408="proMX"),ROUND(BI408*CFG_RATE+BJ408*CFG_OTRATE,6),0)</f>
        <v>0</v>
      </c>
      <c r="BU408" s="80">
        <f>IF(AND(BD408=1,D408="proMX"),ROUND(AG408/CFG_BLK,6),0)</f>
        <v>0</v>
      </c>
      <c r="BV408" s="80" t="str">
        <f>IF(BF408="Approved",IF(ISNUMBER(T408),INT(T408),INT(B408)),"")</f>
        <v/>
      </c>
      <c r="BW408" s="80">
        <f>IF(ISNUMBER(B408),IF(DB_MON="Todos",1,IF(AND(INT(B408)&gt;=DB_MS,INT(B408)&lt;=DB_ME),1,0)),0)</f>
        <v>0</v>
      </c>
      <c r="BX408" s="80">
        <f>IF(DB_PROJ="Todos",1,IF(E408&amp;""=DB_PROJ&amp;"",1,0))</f>
        <v>1</v>
      </c>
      <c r="BY408" s="80">
        <f>BW408*BX408</f>
        <v>0</v>
      </c>
      <c r="BZ408" s="80" t="str">
        <f>IF(Y408=1,F408&amp;IF(AND(F408&amp;""&lt;&gt;"",E408&amp;""&lt;&gt;"")," · ","")&amp;E408,"")</f>
        <v/>
      </c>
      <c r="CA408" s="80" t="str">
        <f>IF(AND(BD408=1,E408&amp;""&lt;&gt;""),IF(COUNTIFS($E$5:E407,E408,$BD$5:BD407,1)=0,MAX($CA$5:CA407)+1,""),"")</f>
        <v/>
      </c>
      <c r="CB408" s="80" t="str">
        <f>IF(AND(BE408=1,D408="Malcolm",E408&amp;""&lt;&gt;""),IF(COUNTIFS($D$5:D407,"Malcolm",$E$5:E407,E408,$BE$5:BE407,1)=0,MAX($CB$5:CB407)+1,""),"")</f>
        <v/>
      </c>
      <c r="CC408" s="80" t="str">
        <f>IF(AND(BD408=1,D408="proMX",E408&amp;""&lt;&gt;""),IF(COUNTIFS($D$5:D407,"proMX",$E$5:E407,E408,$BD$5:BD407,1)=0,MAX($CC$5:CC407)+1,""),"")</f>
        <v/>
      </c>
      <c r="CD408" s="80" t="str">
        <f>IF(AND(BE408=1,D408="Malcolm",F408&amp;""&lt;&gt;""),IF(COUNTIFS($D$5:D407,"Malcolm",$F$5:F407,F408,$BE$5:BE407,1)=0,MAX($CD$5:CD407)+1,""),"")</f>
        <v/>
      </c>
      <c r="CE408" s="80" t="str">
        <f>IF(AND(BD408=1,D408="proMX",F408&amp;""&lt;&gt;""),IF(COUNTIFS($D$5:D407,"proMX",$F$5:F407,F408,$BD$5:BD407,1)=0,MAX($CE$5:CE407)+1,""),"")</f>
        <v/>
      </c>
      <c r="CF408" s="80" t="str">
        <f>IF(AND(D408="proMX",BD408=1),IF(OR(BF408="Draft",BF408="Submitted",BF408="Returned",BF408="Recall Requested"),MAX($CF$5:CF407)+1,""),"")</f>
        <v/>
      </c>
      <c r="CG408" s="80">
        <f>IF(BD408=0,0,IF(D408="Malcolm",1,MATCH(BF408,{"Draft","Submitted","Approved","Returned","Recall Requested","Cancelled"},0)+1))</f>
        <v>0</v>
      </c>
      <c r="CH408" s="80">
        <f>IF(AND(BF408="Submitted",ISNUMBER(V408)),IF(V408&gt;CFG_MAXD,1,0),0)</f>
        <v>0</v>
      </c>
    </row>
    <row r="409">
      <c r="A409" s="71" t="str">
        <f>IF(Y409=1,ROW()-5,"")</f>
        <v/>
      </c>
      <c r="B409" s="72" t="n"/>
      <c r="C409" s="71" t="str">
        <f>IF(ISNUMBER(B409),CHOOSE(WEEKDAY(B409,2),"Lun","Mar","Mié","Jue","Vie","Sáb","Dom"),"")</f>
        <v/>
      </c>
      <c r="D409" s="73" t="n"/>
      <c r="E409" s="74" t="n"/>
      <c r="F409" s="74" t="n"/>
      <c r="G409" s="74" t="n"/>
      <c r="H409" s="75" t="n"/>
      <c r="I409" s="75" t="n"/>
      <c r="J409" s="76" t="n"/>
      <c r="K409" s="77" t="str">
        <f>IF(AB409=1,ROUND(AG409/60,4),"")</f>
        <v/>
      </c>
      <c r="L409" s="77" t="str">
        <f>IF(BD409=1,ROUND(AP409/60,4),"")</f>
        <v/>
      </c>
      <c r="M409" s="77" t="str">
        <f>IF(BD409=1,ROUND(AQ409/60,4),"")</f>
        <v/>
      </c>
      <c r="N409" s="71" t="str">
        <f>IF(AND(D409="proMX",AB409=1),ROUND(AG409/CFG_BLK,2),"")</f>
        <v/>
      </c>
      <c r="O409" s="77" t="str">
        <f>IF(D409="proMX",IF(BD409=1,ROUND(AG409/60,4),0),"")</f>
        <v/>
      </c>
      <c r="P409" s="78" t="str">
        <f>IF(Y409=0,"",IF(BD409=1,"OK",IF(D409="proMX","Revisar bloques: ","Revisar: ")&amp;BC409))</f>
        <v/>
      </c>
      <c r="Q409" s="78" t="str">
        <f>IF(NOT(ISNUMBER(B409)),"",IF(COUNTIFS(FER_F,INT(B409))&gt;0,"Feriado"&amp;IF(AH409=1," (laborable)"," (no laborable)"),IF(AH409=1,"Laborable",IF(WEEKDAY(B409,2)&gt;5,"Fin de semana","No laborable"))))</f>
        <v/>
      </c>
      <c r="R409" s="73" t="n"/>
      <c r="S409" s="72" t="n"/>
      <c r="T409" s="72" t="n"/>
      <c r="U409" s="74" t="n"/>
      <c r="V409" s="79" t="str">
        <f>IF(AND(D409="proMX",OR(R409="Submitted",R409="Recall Requested"),ISNUMBER(S409)),CFG_TODAY-INT(S409),"")</f>
        <v/>
      </c>
      <c r="W409" s="78" t="str">
        <f>IF(BD409=0,"",IF(BA409&gt;0,"⚠ Se superpone con un registro de la otra empresa",IF(D409="Malcolm",IF(COUNTA(R409,S409,T409)&gt;0,"Estado/fechas proMX se ignoran en Malcolm",""),IF(BF409="Cancelled","Cancelado: excluido de totales",IF(R409="","Sin estado: se trata como Draft",IF(BF409="Submitted",IF(ISNUMBER(V409),IF(V409&gt;CFG_MAXD,"⚠ "&amp;V409&amp;" días en Submitted (máx. "&amp;CFG_MAXD&amp;")",""),"Falta fecha de envío"),IF(BF409="Returned","⚠ Devuelto: corregir y reenviar",IF(BF409="Recall Requested","Retirada solicitada: pendiente",IF(AND(BF409="Approved",NOT(ISNUMBER(T409))),"Falta fecha de aprobación",IF(AND(ISNUMBER(S409),ISNUMBER(T409),T409&lt;S409),"Aprobación anterior al envío","")))))))))</f>
        <v/>
      </c>
      <c r="Y409" s="80">
        <f>IF(COUNTA(B409,D409,E409,F409,G409,H409,I409,J409,R409,S409,T409)&gt;0,1,0)</f>
        <v>0</v>
      </c>
      <c r="Z409" s="80" t="str">
        <f>IF(AND(ISNUMBER(H409),H409&gt;=0,H409&lt;1),ROUND(H409*1440,0),"")</f>
        <v/>
      </c>
      <c r="AA409" s="80" t="str">
        <f>IF(AND(ISNUMBER(I409),I409&gt;=0,I409&lt;1),ROUND(I409*1440,0),"")</f>
        <v/>
      </c>
      <c r="AB409" s="80">
        <f>IF(AND(ISNUMBER(B409),D409&lt;&gt;"",ISNUMBER(Z409),ISNUMBER(AA409)),IF(Z409=AA409,0,1),0)</f>
        <v>0</v>
      </c>
      <c r="AC409" s="80">
        <f>IF(AB409=1,IF(AA409&lt;Z409,1,0),0)</f>
        <v>0</v>
      </c>
      <c r="AD409" s="80">
        <f>IF(AB409=1,IF(AC409=1,1440-Z409+AA409,AA409-Z409),0)</f>
        <v>0</v>
      </c>
      <c r="AE409" s="80">
        <f>IF(J409="",0,IF(ISNUMBER(J409),J409,-1))</f>
        <v>0</v>
      </c>
      <c r="AF409" s="80">
        <f>MIN(MAX(0,AE409),AD409)</f>
        <v>0</v>
      </c>
      <c r="AG409" s="80">
        <f>MAX(0,AD409-MAX(0,AE409))</f>
        <v>0</v>
      </c>
      <c r="AH409" s="80">
        <f>IF(ISNUMBER(B409),IF(AND(INDEX(CFG_WDAYS,WEEKDAY(INT(B409),2))="Sí",IF(D409="proMX",COUNTIFS(FER_F,INT(B409),FER_NLP,"Sí"),COUNTIFS(FER_F,INT(B409),FER_NLM,"Sí"))=0),1,0),0)</f>
        <v>0</v>
      </c>
      <c r="AI409" s="80">
        <f>IF(AC409=1,IF(AND(INDEX(CFG_WDAYS,WEEKDAY(INT(B409)+1,2))="Sí",IF(D409="proMX",COUNTIFS(FER_F,INT(B409)+1,FER_NLP,"Sí"),COUNTIFS(FER_F,INT(B409)+1,FER_NLM,"Sí"))=0),1,0),0)</f>
        <v>0</v>
      </c>
      <c r="AJ409" s="80">
        <f>IF(AC409=1,1440-Z409,AD409)</f>
        <v>0</v>
      </c>
      <c r="AK409" s="80">
        <f>IF(AND(AB409=1,AH409=1),MAX(0,MIN(IF(AC409=1,1440,AA409),CFG_WEM)-MAX(Z409,CFG_WSM)),0)</f>
        <v>0</v>
      </c>
      <c r="AL409" s="80">
        <f>IF(AND(AC409=1,AI409=1),MAX(0,MIN(AA409,CFG_WEM)-CFG_WSM),0)</f>
        <v>0</v>
      </c>
      <c r="AM409" s="80">
        <f>AK409+AL409</f>
        <v>0</v>
      </c>
      <c r="AN409" s="80">
        <f>IF(CFG_BRK="Proporcional",IF(AD409=0,0,AF409*AM409/AD409),IF(CFG_BRK="Extras primero",MIN(AM409,MAX(0,AF409-(AD409-AM409))),MIN(AF409,AM409)))</f>
        <v>0</v>
      </c>
      <c r="AO409" s="80">
        <f>AF409-AN409</f>
        <v>0</v>
      </c>
      <c r="AP409" s="80">
        <f>AM409-AN409</f>
        <v>0</v>
      </c>
      <c r="AQ409" s="80">
        <f>AD409-AM409-AO409</f>
        <v>0</v>
      </c>
      <c r="AR409" s="80">
        <f>IF(AM409=0,0,AK409-AN409*AK409/AM409)</f>
        <v>0</v>
      </c>
      <c r="AS409" s="80">
        <f>IF(AD409-AM409=0,0,(AJ409-AK409)-AO409*(AJ409-AK409)/(AD409-AM409))</f>
        <v>0</v>
      </c>
      <c r="AT409" s="80" t="str">
        <f>IF(AC409=1,INT(B409)+1,"")</f>
        <v/>
      </c>
      <c r="AU409" s="80">
        <f>IF(AND(D409="proMX",R409="Cancelled"),0,1)</f>
        <v>1</v>
      </c>
      <c r="AV409" s="80">
        <f>IF(AND(AB409=1,AU409=1),IF(COUNTIFS($D$5:D408,D409,$B$5:B408,B409,$Z$5:Z408,Z409,$AA$5:AA408,AA409,$F$5:F408,F409&amp;"",$AU$5:AU408,1)&gt;0,1,0),0)</f>
        <v>0</v>
      </c>
      <c r="AW409" s="80" t="str">
        <f>IF(AB409=1,INT(B409)*1440+Z409,"")</f>
        <v/>
      </c>
      <c r="AX409" s="80" t="str">
        <f>IF(AB409=1,AW409+AD409,"")</f>
        <v/>
      </c>
      <c r="AY409" s="80">
        <f>IF(AND(AB409=1,AV409=0,AU409=1),1,0)</f>
        <v>0</v>
      </c>
      <c r="AZ409" s="80">
        <f>IF(AY409=1,COUNTIFS(R_Emp,D409,R_SAbs,"&lt;"&amp;AX409,R_EAbs,"&gt;"&amp;AW409,R_OKey,1)-1,0)</f>
        <v>0</v>
      </c>
      <c r="BA409" s="80">
        <f>IF(AY409=1,COUNTIFS(R_Emp,"&lt;&gt;"&amp;D409,R_SAbs,"&lt;"&amp;AX409,R_EAbs,"&gt;"&amp;AW409,R_OKey,1),0)</f>
        <v>0</v>
      </c>
      <c r="BB409" s="80">
        <f>IF(AND(AB409=1,D409="proMX"),IF(AND(MOD(Z409,CFG_BLK)=0,MOD(AA409,CFG_BLK)=0,MOD(AG409,CFG_BLK)=0,AG409&gt;0),1,0),1)</f>
        <v>1</v>
      </c>
      <c r="BC409" s="80" t="str">
        <f>IF(Y409=0,"",IF(NOT(ISNUMBER(B409)),"Falta fecha o fecha inválida",IF(D409="","Falta empresa",IF(AND(D409&lt;&gt;"Malcolm",D409&lt;&gt;"proMX"),"Empresa inválida",IF(OR(INT(B409)&lt;CFG_PSTART,INT(B409)&gt;CFG_PEND),"Fecha fuera del período",IF(OR(NOT(ISNUMBER(Z409)),NOT(ISNUMBER(AA409))),"Falta hora inicio/fin o formato inválido",IF(AB409=0,"Hora inicio = hora fin",IF(AE409&lt;0,"Descanso inválido",IF(AE409&gt;=AD409,"Descanso ≥ duración",IF(AV409=1,"Registro duplicado",IF(AZ409&gt;0,"Se superpone con otro registro "&amp;D409,IF(BB409=0,"inicio, fin y duración neta deben ser múltiplos de "&amp;CFG_BLK&amp;" min",""))))))))))))</f>
        <v/>
      </c>
      <c r="BD409" s="80">
        <f>IF(AND(Y409=1,BC409=""),1,0)</f>
        <v>0</v>
      </c>
      <c r="BE409" s="80">
        <f>IF(AND(BD409=1,AU409=1),1,0)</f>
        <v>0</v>
      </c>
      <c r="BF409" s="80" t="str">
        <f>IF(AND(D409="proMX",BD409=1),IF(R409="","Draft",R409),"")</f>
        <v/>
      </c>
      <c r="BG409" s="80">
        <f>IF(BD409=1,ROUND(AG409/60,6),0)</f>
        <v>0</v>
      </c>
      <c r="BH409" s="80">
        <f>IF(BE409=1,ROUND(AG409/60,6),0)</f>
        <v>0</v>
      </c>
      <c r="BI409" s="80">
        <f>IF(BE409=1,ROUND(AP409/60,6),0)</f>
        <v>0</v>
      </c>
      <c r="BJ409" s="80">
        <f>IF(BE409=1,ROUND(AQ409/60,6),0)</f>
        <v>0</v>
      </c>
      <c r="BK409" s="80">
        <f>IF(BE409=1,ROUND((AR409+AS409)/60,6),0)</f>
        <v>0</v>
      </c>
      <c r="BL409" s="80">
        <f>ROUND(BH409-BK409,6)</f>
        <v>0</v>
      </c>
      <c r="BM409" s="80">
        <f>IF(BE409=1,ROUND(AR409/60,6),0)</f>
        <v>0</v>
      </c>
      <c r="BN409" s="80">
        <f>ROUND(BI409-BM409,6)</f>
        <v>0</v>
      </c>
      <c r="BO409" s="80">
        <f>IF(BE409=1,ROUND(AS409/60,6),0)</f>
        <v>0</v>
      </c>
      <c r="BP409" s="80">
        <f>ROUND(BJ409-BO409,6)</f>
        <v>0</v>
      </c>
      <c r="BQ409" s="80">
        <f>IF(BE409=1,AW409,0)</f>
        <v>0</v>
      </c>
      <c r="BR409" s="80">
        <f>IF(BE409=1,AX409,0)</f>
        <v>0</v>
      </c>
      <c r="BS409" s="80">
        <f>IF(AND(BE409=1,D409="Malcolm",BA409&gt;0),MIN(BH409,SUMPRODUCT((R_Emp="proMX")*(R_EN&gt;0)*((R_EN-(R_EN&gt;BR409)*(R_EN-BR409))&gt;(R_SN+(R_SN&lt;BQ409)*(BQ409-R_SN)))*((R_EN-(R_EN&gt;BR409)*(R_EN-BR409))-(R_SN+(R_SN&lt;BQ409)*(BQ409-R_SN))))/60),0)</f>
        <v>0</v>
      </c>
      <c r="BT409" s="80">
        <f>IF(AND(BE409=1,D409="proMX"),ROUND(BI409*CFG_RATE+BJ409*CFG_OTRATE,6),0)</f>
        <v>0</v>
      </c>
      <c r="BU409" s="80">
        <f>IF(AND(BD409=1,D409="proMX"),ROUND(AG409/CFG_BLK,6),0)</f>
        <v>0</v>
      </c>
      <c r="BV409" s="80" t="str">
        <f>IF(BF409="Approved",IF(ISNUMBER(T409),INT(T409),INT(B409)),"")</f>
        <v/>
      </c>
      <c r="BW409" s="80">
        <f>IF(ISNUMBER(B409),IF(DB_MON="Todos",1,IF(AND(INT(B409)&gt;=DB_MS,INT(B409)&lt;=DB_ME),1,0)),0)</f>
        <v>0</v>
      </c>
      <c r="BX409" s="80">
        <f>IF(DB_PROJ="Todos",1,IF(E409&amp;""=DB_PROJ&amp;"",1,0))</f>
        <v>1</v>
      </c>
      <c r="BY409" s="80">
        <f>BW409*BX409</f>
        <v>0</v>
      </c>
      <c r="BZ409" s="80" t="str">
        <f>IF(Y409=1,F409&amp;IF(AND(F409&amp;""&lt;&gt;"",E409&amp;""&lt;&gt;"")," · ","")&amp;E409,"")</f>
        <v/>
      </c>
      <c r="CA409" s="80" t="str">
        <f>IF(AND(BD409=1,E409&amp;""&lt;&gt;""),IF(COUNTIFS($E$5:E408,E409,$BD$5:BD408,1)=0,MAX($CA$5:CA408)+1,""),"")</f>
        <v/>
      </c>
      <c r="CB409" s="80" t="str">
        <f>IF(AND(BE409=1,D409="Malcolm",E409&amp;""&lt;&gt;""),IF(COUNTIFS($D$5:D408,"Malcolm",$E$5:E408,E409,$BE$5:BE408,1)=0,MAX($CB$5:CB408)+1,""),"")</f>
        <v/>
      </c>
      <c r="CC409" s="80" t="str">
        <f>IF(AND(BD409=1,D409="proMX",E409&amp;""&lt;&gt;""),IF(COUNTIFS($D$5:D408,"proMX",$E$5:E408,E409,$BD$5:BD408,1)=0,MAX($CC$5:CC408)+1,""),"")</f>
        <v/>
      </c>
      <c r="CD409" s="80" t="str">
        <f>IF(AND(BE409=1,D409="Malcolm",F409&amp;""&lt;&gt;""),IF(COUNTIFS($D$5:D408,"Malcolm",$F$5:F408,F409,$BE$5:BE408,1)=0,MAX($CD$5:CD408)+1,""),"")</f>
        <v/>
      </c>
      <c r="CE409" s="80" t="str">
        <f>IF(AND(BD409=1,D409="proMX",F409&amp;""&lt;&gt;""),IF(COUNTIFS($D$5:D408,"proMX",$F$5:F408,F409,$BD$5:BD408,1)=0,MAX($CE$5:CE408)+1,""),"")</f>
        <v/>
      </c>
      <c r="CF409" s="80" t="str">
        <f>IF(AND(D409="proMX",BD409=1),IF(OR(BF409="Draft",BF409="Submitted",BF409="Returned",BF409="Recall Requested"),MAX($CF$5:CF408)+1,""),"")</f>
        <v/>
      </c>
      <c r="CG409" s="80">
        <f>IF(BD409=0,0,IF(D409="Malcolm",1,MATCH(BF409,{"Draft","Submitted","Approved","Returned","Recall Requested","Cancelled"},0)+1))</f>
        <v>0</v>
      </c>
      <c r="CH409" s="80">
        <f>IF(AND(BF409="Submitted",ISNUMBER(V409)),IF(V409&gt;CFG_MAXD,1,0),0)</f>
        <v>0</v>
      </c>
    </row>
    <row r="410">
      <c r="A410" s="71" t="str">
        <f>IF(Y410=1,ROW()-5,"")</f>
        <v/>
      </c>
      <c r="B410" s="72" t="n"/>
      <c r="C410" s="71" t="str">
        <f>IF(ISNUMBER(B410),CHOOSE(WEEKDAY(B410,2),"Lun","Mar","Mié","Jue","Vie","Sáb","Dom"),"")</f>
        <v/>
      </c>
      <c r="D410" s="73" t="n"/>
      <c r="E410" s="74" t="n"/>
      <c r="F410" s="74" t="n"/>
      <c r="G410" s="74" t="n"/>
      <c r="H410" s="75" t="n"/>
      <c r="I410" s="75" t="n"/>
      <c r="J410" s="76" t="n"/>
      <c r="K410" s="77" t="str">
        <f>IF(AB410=1,ROUND(AG410/60,4),"")</f>
        <v/>
      </c>
      <c r="L410" s="77" t="str">
        <f>IF(BD410=1,ROUND(AP410/60,4),"")</f>
        <v/>
      </c>
      <c r="M410" s="77" t="str">
        <f>IF(BD410=1,ROUND(AQ410/60,4),"")</f>
        <v/>
      </c>
      <c r="N410" s="71" t="str">
        <f>IF(AND(D410="proMX",AB410=1),ROUND(AG410/CFG_BLK,2),"")</f>
        <v/>
      </c>
      <c r="O410" s="77" t="str">
        <f>IF(D410="proMX",IF(BD410=1,ROUND(AG410/60,4),0),"")</f>
        <v/>
      </c>
      <c r="P410" s="78" t="str">
        <f>IF(Y410=0,"",IF(BD410=1,"OK",IF(D410="proMX","Revisar bloques: ","Revisar: ")&amp;BC410))</f>
        <v/>
      </c>
      <c r="Q410" s="78" t="str">
        <f>IF(NOT(ISNUMBER(B410)),"",IF(COUNTIFS(FER_F,INT(B410))&gt;0,"Feriado"&amp;IF(AH410=1," (laborable)"," (no laborable)"),IF(AH410=1,"Laborable",IF(WEEKDAY(B410,2)&gt;5,"Fin de semana","No laborable"))))</f>
        <v/>
      </c>
      <c r="R410" s="73" t="n"/>
      <c r="S410" s="72" t="n"/>
      <c r="T410" s="72" t="n"/>
      <c r="U410" s="74" t="n"/>
      <c r="V410" s="79" t="str">
        <f>IF(AND(D410="proMX",OR(R410="Submitted",R410="Recall Requested"),ISNUMBER(S410)),CFG_TODAY-INT(S410),"")</f>
        <v/>
      </c>
      <c r="W410" s="78" t="str">
        <f>IF(BD410=0,"",IF(BA410&gt;0,"⚠ Se superpone con un registro de la otra empresa",IF(D410="Malcolm",IF(COUNTA(R410,S410,T410)&gt;0,"Estado/fechas proMX se ignoran en Malcolm",""),IF(BF410="Cancelled","Cancelado: excluido de totales",IF(R410="","Sin estado: se trata como Draft",IF(BF410="Submitted",IF(ISNUMBER(V410),IF(V410&gt;CFG_MAXD,"⚠ "&amp;V410&amp;" días en Submitted (máx. "&amp;CFG_MAXD&amp;")",""),"Falta fecha de envío"),IF(BF410="Returned","⚠ Devuelto: corregir y reenviar",IF(BF410="Recall Requested","Retirada solicitada: pendiente",IF(AND(BF410="Approved",NOT(ISNUMBER(T410))),"Falta fecha de aprobación",IF(AND(ISNUMBER(S410),ISNUMBER(T410),T410&lt;S410),"Aprobación anterior al envío","")))))))))</f>
        <v/>
      </c>
      <c r="Y410" s="80">
        <f>IF(COUNTA(B410,D410,E410,F410,G410,H410,I410,J410,R410,S410,T410)&gt;0,1,0)</f>
        <v>0</v>
      </c>
      <c r="Z410" s="80" t="str">
        <f>IF(AND(ISNUMBER(H410),H410&gt;=0,H410&lt;1),ROUND(H410*1440,0),"")</f>
        <v/>
      </c>
      <c r="AA410" s="80" t="str">
        <f>IF(AND(ISNUMBER(I410),I410&gt;=0,I410&lt;1),ROUND(I410*1440,0),"")</f>
        <v/>
      </c>
      <c r="AB410" s="80">
        <f>IF(AND(ISNUMBER(B410),D410&lt;&gt;"",ISNUMBER(Z410),ISNUMBER(AA410)),IF(Z410=AA410,0,1),0)</f>
        <v>0</v>
      </c>
      <c r="AC410" s="80">
        <f>IF(AB410=1,IF(AA410&lt;Z410,1,0),0)</f>
        <v>0</v>
      </c>
      <c r="AD410" s="80">
        <f>IF(AB410=1,IF(AC410=1,1440-Z410+AA410,AA410-Z410),0)</f>
        <v>0</v>
      </c>
      <c r="AE410" s="80">
        <f>IF(J410="",0,IF(ISNUMBER(J410),J410,-1))</f>
        <v>0</v>
      </c>
      <c r="AF410" s="80">
        <f>MIN(MAX(0,AE410),AD410)</f>
        <v>0</v>
      </c>
      <c r="AG410" s="80">
        <f>MAX(0,AD410-MAX(0,AE410))</f>
        <v>0</v>
      </c>
      <c r="AH410" s="80">
        <f>IF(ISNUMBER(B410),IF(AND(INDEX(CFG_WDAYS,WEEKDAY(INT(B410),2))="Sí",IF(D410="proMX",COUNTIFS(FER_F,INT(B410),FER_NLP,"Sí"),COUNTIFS(FER_F,INT(B410),FER_NLM,"Sí"))=0),1,0),0)</f>
        <v>0</v>
      </c>
      <c r="AI410" s="80">
        <f>IF(AC410=1,IF(AND(INDEX(CFG_WDAYS,WEEKDAY(INT(B410)+1,2))="Sí",IF(D410="proMX",COUNTIFS(FER_F,INT(B410)+1,FER_NLP,"Sí"),COUNTIFS(FER_F,INT(B410)+1,FER_NLM,"Sí"))=0),1,0),0)</f>
        <v>0</v>
      </c>
      <c r="AJ410" s="80">
        <f>IF(AC410=1,1440-Z410,AD410)</f>
        <v>0</v>
      </c>
      <c r="AK410" s="80">
        <f>IF(AND(AB410=1,AH410=1),MAX(0,MIN(IF(AC410=1,1440,AA410),CFG_WEM)-MAX(Z410,CFG_WSM)),0)</f>
        <v>0</v>
      </c>
      <c r="AL410" s="80">
        <f>IF(AND(AC410=1,AI410=1),MAX(0,MIN(AA410,CFG_WEM)-CFG_WSM),0)</f>
        <v>0</v>
      </c>
      <c r="AM410" s="80">
        <f>AK410+AL410</f>
        <v>0</v>
      </c>
      <c r="AN410" s="80">
        <f>IF(CFG_BRK="Proporcional",IF(AD410=0,0,AF410*AM410/AD410),IF(CFG_BRK="Extras primero",MIN(AM410,MAX(0,AF410-(AD410-AM410))),MIN(AF410,AM410)))</f>
        <v>0</v>
      </c>
      <c r="AO410" s="80">
        <f>AF410-AN410</f>
        <v>0</v>
      </c>
      <c r="AP410" s="80">
        <f>AM410-AN410</f>
        <v>0</v>
      </c>
      <c r="AQ410" s="80">
        <f>AD410-AM410-AO410</f>
        <v>0</v>
      </c>
      <c r="AR410" s="80">
        <f>IF(AM410=0,0,AK410-AN410*AK410/AM410)</f>
        <v>0</v>
      </c>
      <c r="AS410" s="80">
        <f>IF(AD410-AM410=0,0,(AJ410-AK410)-AO410*(AJ410-AK410)/(AD410-AM410))</f>
        <v>0</v>
      </c>
      <c r="AT410" s="80" t="str">
        <f>IF(AC410=1,INT(B410)+1,"")</f>
        <v/>
      </c>
      <c r="AU410" s="80">
        <f>IF(AND(D410="proMX",R410="Cancelled"),0,1)</f>
        <v>1</v>
      </c>
      <c r="AV410" s="80">
        <f>IF(AND(AB410=1,AU410=1),IF(COUNTIFS($D$5:D409,D410,$B$5:B409,B410,$Z$5:Z409,Z410,$AA$5:AA409,AA410,$F$5:F409,F410&amp;"",$AU$5:AU409,1)&gt;0,1,0),0)</f>
        <v>0</v>
      </c>
      <c r="AW410" s="80" t="str">
        <f>IF(AB410=1,INT(B410)*1440+Z410,"")</f>
        <v/>
      </c>
      <c r="AX410" s="80" t="str">
        <f>IF(AB410=1,AW410+AD410,"")</f>
        <v/>
      </c>
      <c r="AY410" s="80">
        <f>IF(AND(AB410=1,AV410=0,AU410=1),1,0)</f>
        <v>0</v>
      </c>
      <c r="AZ410" s="80">
        <f>IF(AY410=1,COUNTIFS(R_Emp,D410,R_SAbs,"&lt;"&amp;AX410,R_EAbs,"&gt;"&amp;AW410,R_OKey,1)-1,0)</f>
        <v>0</v>
      </c>
      <c r="BA410" s="80">
        <f>IF(AY410=1,COUNTIFS(R_Emp,"&lt;&gt;"&amp;D410,R_SAbs,"&lt;"&amp;AX410,R_EAbs,"&gt;"&amp;AW410,R_OKey,1),0)</f>
        <v>0</v>
      </c>
      <c r="BB410" s="80">
        <f>IF(AND(AB410=1,D410="proMX"),IF(AND(MOD(Z410,CFG_BLK)=0,MOD(AA410,CFG_BLK)=0,MOD(AG410,CFG_BLK)=0,AG410&gt;0),1,0),1)</f>
        <v>1</v>
      </c>
      <c r="BC410" s="80" t="str">
        <f>IF(Y410=0,"",IF(NOT(ISNUMBER(B410)),"Falta fecha o fecha inválida",IF(D410="","Falta empresa",IF(AND(D410&lt;&gt;"Malcolm",D410&lt;&gt;"proMX"),"Empresa inválida",IF(OR(INT(B410)&lt;CFG_PSTART,INT(B410)&gt;CFG_PEND),"Fecha fuera del período",IF(OR(NOT(ISNUMBER(Z410)),NOT(ISNUMBER(AA410))),"Falta hora inicio/fin o formato inválido",IF(AB410=0,"Hora inicio = hora fin",IF(AE410&lt;0,"Descanso inválido",IF(AE410&gt;=AD410,"Descanso ≥ duración",IF(AV410=1,"Registro duplicado",IF(AZ410&gt;0,"Se superpone con otro registro "&amp;D410,IF(BB410=0,"inicio, fin y duración neta deben ser múltiplos de "&amp;CFG_BLK&amp;" min",""))))))))))))</f>
        <v/>
      </c>
      <c r="BD410" s="80">
        <f>IF(AND(Y410=1,BC410=""),1,0)</f>
        <v>0</v>
      </c>
      <c r="BE410" s="80">
        <f>IF(AND(BD410=1,AU410=1),1,0)</f>
        <v>0</v>
      </c>
      <c r="BF410" s="80" t="str">
        <f>IF(AND(D410="proMX",BD410=1),IF(R410="","Draft",R410),"")</f>
        <v/>
      </c>
      <c r="BG410" s="80">
        <f>IF(BD410=1,ROUND(AG410/60,6),0)</f>
        <v>0</v>
      </c>
      <c r="BH410" s="80">
        <f>IF(BE410=1,ROUND(AG410/60,6),0)</f>
        <v>0</v>
      </c>
      <c r="BI410" s="80">
        <f>IF(BE410=1,ROUND(AP410/60,6),0)</f>
        <v>0</v>
      </c>
      <c r="BJ410" s="80">
        <f>IF(BE410=1,ROUND(AQ410/60,6),0)</f>
        <v>0</v>
      </c>
      <c r="BK410" s="80">
        <f>IF(BE410=1,ROUND((AR410+AS410)/60,6),0)</f>
        <v>0</v>
      </c>
      <c r="BL410" s="80">
        <f>ROUND(BH410-BK410,6)</f>
        <v>0</v>
      </c>
      <c r="BM410" s="80">
        <f>IF(BE410=1,ROUND(AR410/60,6),0)</f>
        <v>0</v>
      </c>
      <c r="BN410" s="80">
        <f>ROUND(BI410-BM410,6)</f>
        <v>0</v>
      </c>
      <c r="BO410" s="80">
        <f>IF(BE410=1,ROUND(AS410/60,6),0)</f>
        <v>0</v>
      </c>
      <c r="BP410" s="80">
        <f>ROUND(BJ410-BO410,6)</f>
        <v>0</v>
      </c>
      <c r="BQ410" s="80">
        <f>IF(BE410=1,AW410,0)</f>
        <v>0</v>
      </c>
      <c r="BR410" s="80">
        <f>IF(BE410=1,AX410,0)</f>
        <v>0</v>
      </c>
      <c r="BS410" s="80">
        <f>IF(AND(BE410=1,D410="Malcolm",BA410&gt;0),MIN(BH410,SUMPRODUCT((R_Emp="proMX")*(R_EN&gt;0)*((R_EN-(R_EN&gt;BR410)*(R_EN-BR410))&gt;(R_SN+(R_SN&lt;BQ410)*(BQ410-R_SN)))*((R_EN-(R_EN&gt;BR410)*(R_EN-BR410))-(R_SN+(R_SN&lt;BQ410)*(BQ410-R_SN))))/60),0)</f>
        <v>0</v>
      </c>
      <c r="BT410" s="80">
        <f>IF(AND(BE410=1,D410="proMX"),ROUND(BI410*CFG_RATE+BJ410*CFG_OTRATE,6),0)</f>
        <v>0</v>
      </c>
      <c r="BU410" s="80">
        <f>IF(AND(BD410=1,D410="proMX"),ROUND(AG410/CFG_BLK,6),0)</f>
        <v>0</v>
      </c>
      <c r="BV410" s="80" t="str">
        <f>IF(BF410="Approved",IF(ISNUMBER(T410),INT(T410),INT(B410)),"")</f>
        <v/>
      </c>
      <c r="BW410" s="80">
        <f>IF(ISNUMBER(B410),IF(DB_MON="Todos",1,IF(AND(INT(B410)&gt;=DB_MS,INT(B410)&lt;=DB_ME),1,0)),0)</f>
        <v>0</v>
      </c>
      <c r="BX410" s="80">
        <f>IF(DB_PROJ="Todos",1,IF(E410&amp;""=DB_PROJ&amp;"",1,0))</f>
        <v>1</v>
      </c>
      <c r="BY410" s="80">
        <f>BW410*BX410</f>
        <v>0</v>
      </c>
      <c r="BZ410" s="80" t="str">
        <f>IF(Y410=1,F410&amp;IF(AND(F410&amp;""&lt;&gt;"",E410&amp;""&lt;&gt;"")," · ","")&amp;E410,"")</f>
        <v/>
      </c>
      <c r="CA410" s="80" t="str">
        <f>IF(AND(BD410=1,E410&amp;""&lt;&gt;""),IF(COUNTIFS($E$5:E409,E410,$BD$5:BD409,1)=0,MAX($CA$5:CA409)+1,""),"")</f>
        <v/>
      </c>
      <c r="CB410" s="80" t="str">
        <f>IF(AND(BE410=1,D410="Malcolm",E410&amp;""&lt;&gt;""),IF(COUNTIFS($D$5:D409,"Malcolm",$E$5:E409,E410,$BE$5:BE409,1)=0,MAX($CB$5:CB409)+1,""),"")</f>
        <v/>
      </c>
      <c r="CC410" s="80" t="str">
        <f>IF(AND(BD410=1,D410="proMX",E410&amp;""&lt;&gt;""),IF(COUNTIFS($D$5:D409,"proMX",$E$5:E409,E410,$BD$5:BD409,1)=0,MAX($CC$5:CC409)+1,""),"")</f>
        <v/>
      </c>
      <c r="CD410" s="80" t="str">
        <f>IF(AND(BE410=1,D410="Malcolm",F410&amp;""&lt;&gt;""),IF(COUNTIFS($D$5:D409,"Malcolm",$F$5:F409,F410,$BE$5:BE409,1)=0,MAX($CD$5:CD409)+1,""),"")</f>
        <v/>
      </c>
      <c r="CE410" s="80" t="str">
        <f>IF(AND(BD410=1,D410="proMX",F410&amp;""&lt;&gt;""),IF(COUNTIFS($D$5:D409,"proMX",$F$5:F409,F410,$BD$5:BD409,1)=0,MAX($CE$5:CE409)+1,""),"")</f>
        <v/>
      </c>
      <c r="CF410" s="80" t="str">
        <f>IF(AND(D410="proMX",BD410=1),IF(OR(BF410="Draft",BF410="Submitted",BF410="Returned",BF410="Recall Requested"),MAX($CF$5:CF409)+1,""),"")</f>
        <v/>
      </c>
      <c r="CG410" s="80">
        <f>IF(BD410=0,0,IF(D410="Malcolm",1,MATCH(BF410,{"Draft","Submitted","Approved","Returned","Recall Requested","Cancelled"},0)+1))</f>
        <v>0</v>
      </c>
      <c r="CH410" s="80">
        <f>IF(AND(BF410="Submitted",ISNUMBER(V410)),IF(V410&gt;CFG_MAXD,1,0),0)</f>
        <v>0</v>
      </c>
    </row>
    <row r="411">
      <c r="A411" s="71" t="str">
        <f>IF(Y411=1,ROW()-5,"")</f>
        <v/>
      </c>
      <c r="B411" s="72" t="n"/>
      <c r="C411" s="71" t="str">
        <f>IF(ISNUMBER(B411),CHOOSE(WEEKDAY(B411,2),"Lun","Mar","Mié","Jue","Vie","Sáb","Dom"),"")</f>
        <v/>
      </c>
      <c r="D411" s="73" t="n"/>
      <c r="E411" s="74" t="n"/>
      <c r="F411" s="74" t="n"/>
      <c r="G411" s="74" t="n"/>
      <c r="H411" s="75" t="n"/>
      <c r="I411" s="75" t="n"/>
      <c r="J411" s="76" t="n"/>
      <c r="K411" s="77" t="str">
        <f>IF(AB411=1,ROUND(AG411/60,4),"")</f>
        <v/>
      </c>
      <c r="L411" s="77" t="str">
        <f>IF(BD411=1,ROUND(AP411/60,4),"")</f>
        <v/>
      </c>
      <c r="M411" s="77" t="str">
        <f>IF(BD411=1,ROUND(AQ411/60,4),"")</f>
        <v/>
      </c>
      <c r="N411" s="71" t="str">
        <f>IF(AND(D411="proMX",AB411=1),ROUND(AG411/CFG_BLK,2),"")</f>
        <v/>
      </c>
      <c r="O411" s="77" t="str">
        <f>IF(D411="proMX",IF(BD411=1,ROUND(AG411/60,4),0),"")</f>
        <v/>
      </c>
      <c r="P411" s="78" t="str">
        <f>IF(Y411=0,"",IF(BD411=1,"OK",IF(D411="proMX","Revisar bloques: ","Revisar: ")&amp;BC411))</f>
        <v/>
      </c>
      <c r="Q411" s="78" t="str">
        <f>IF(NOT(ISNUMBER(B411)),"",IF(COUNTIFS(FER_F,INT(B411))&gt;0,"Feriado"&amp;IF(AH411=1," (laborable)"," (no laborable)"),IF(AH411=1,"Laborable",IF(WEEKDAY(B411,2)&gt;5,"Fin de semana","No laborable"))))</f>
        <v/>
      </c>
      <c r="R411" s="73" t="n"/>
      <c r="S411" s="72" t="n"/>
      <c r="T411" s="72" t="n"/>
      <c r="U411" s="74" t="n"/>
      <c r="V411" s="79" t="str">
        <f>IF(AND(D411="proMX",OR(R411="Submitted",R411="Recall Requested"),ISNUMBER(S411)),CFG_TODAY-INT(S411),"")</f>
        <v/>
      </c>
      <c r="W411" s="78" t="str">
        <f>IF(BD411=0,"",IF(BA411&gt;0,"⚠ Se superpone con un registro de la otra empresa",IF(D411="Malcolm",IF(COUNTA(R411,S411,T411)&gt;0,"Estado/fechas proMX se ignoran en Malcolm",""),IF(BF411="Cancelled","Cancelado: excluido de totales",IF(R411="","Sin estado: se trata como Draft",IF(BF411="Submitted",IF(ISNUMBER(V411),IF(V411&gt;CFG_MAXD,"⚠ "&amp;V411&amp;" días en Submitted (máx. "&amp;CFG_MAXD&amp;")",""),"Falta fecha de envío"),IF(BF411="Returned","⚠ Devuelto: corregir y reenviar",IF(BF411="Recall Requested","Retirada solicitada: pendiente",IF(AND(BF411="Approved",NOT(ISNUMBER(T411))),"Falta fecha de aprobación",IF(AND(ISNUMBER(S411),ISNUMBER(T411),T411&lt;S411),"Aprobación anterior al envío","")))))))))</f>
        <v/>
      </c>
      <c r="Y411" s="80">
        <f>IF(COUNTA(B411,D411,E411,F411,G411,H411,I411,J411,R411,S411,T411)&gt;0,1,0)</f>
        <v>0</v>
      </c>
      <c r="Z411" s="80" t="str">
        <f>IF(AND(ISNUMBER(H411),H411&gt;=0,H411&lt;1),ROUND(H411*1440,0),"")</f>
        <v/>
      </c>
      <c r="AA411" s="80" t="str">
        <f>IF(AND(ISNUMBER(I411),I411&gt;=0,I411&lt;1),ROUND(I411*1440,0),"")</f>
        <v/>
      </c>
      <c r="AB411" s="80">
        <f>IF(AND(ISNUMBER(B411),D411&lt;&gt;"",ISNUMBER(Z411),ISNUMBER(AA411)),IF(Z411=AA411,0,1),0)</f>
        <v>0</v>
      </c>
      <c r="AC411" s="80">
        <f>IF(AB411=1,IF(AA411&lt;Z411,1,0),0)</f>
        <v>0</v>
      </c>
      <c r="AD411" s="80">
        <f>IF(AB411=1,IF(AC411=1,1440-Z411+AA411,AA411-Z411),0)</f>
        <v>0</v>
      </c>
      <c r="AE411" s="80">
        <f>IF(J411="",0,IF(ISNUMBER(J411),J411,-1))</f>
        <v>0</v>
      </c>
      <c r="AF411" s="80">
        <f>MIN(MAX(0,AE411),AD411)</f>
        <v>0</v>
      </c>
      <c r="AG411" s="80">
        <f>MAX(0,AD411-MAX(0,AE411))</f>
        <v>0</v>
      </c>
      <c r="AH411" s="80">
        <f>IF(ISNUMBER(B411),IF(AND(INDEX(CFG_WDAYS,WEEKDAY(INT(B411),2))="Sí",IF(D411="proMX",COUNTIFS(FER_F,INT(B411),FER_NLP,"Sí"),COUNTIFS(FER_F,INT(B411),FER_NLM,"Sí"))=0),1,0),0)</f>
        <v>0</v>
      </c>
      <c r="AI411" s="80">
        <f>IF(AC411=1,IF(AND(INDEX(CFG_WDAYS,WEEKDAY(INT(B411)+1,2))="Sí",IF(D411="proMX",COUNTIFS(FER_F,INT(B411)+1,FER_NLP,"Sí"),COUNTIFS(FER_F,INT(B411)+1,FER_NLM,"Sí"))=0),1,0),0)</f>
        <v>0</v>
      </c>
      <c r="AJ411" s="80">
        <f>IF(AC411=1,1440-Z411,AD411)</f>
        <v>0</v>
      </c>
      <c r="AK411" s="80">
        <f>IF(AND(AB411=1,AH411=1),MAX(0,MIN(IF(AC411=1,1440,AA411),CFG_WEM)-MAX(Z411,CFG_WSM)),0)</f>
        <v>0</v>
      </c>
      <c r="AL411" s="80">
        <f>IF(AND(AC411=1,AI411=1),MAX(0,MIN(AA411,CFG_WEM)-CFG_WSM),0)</f>
        <v>0</v>
      </c>
      <c r="AM411" s="80">
        <f>AK411+AL411</f>
        <v>0</v>
      </c>
      <c r="AN411" s="80">
        <f>IF(CFG_BRK="Proporcional",IF(AD411=0,0,AF411*AM411/AD411),IF(CFG_BRK="Extras primero",MIN(AM411,MAX(0,AF411-(AD411-AM411))),MIN(AF411,AM411)))</f>
        <v>0</v>
      </c>
      <c r="AO411" s="80">
        <f>AF411-AN411</f>
        <v>0</v>
      </c>
      <c r="AP411" s="80">
        <f>AM411-AN411</f>
        <v>0</v>
      </c>
      <c r="AQ411" s="80">
        <f>AD411-AM411-AO411</f>
        <v>0</v>
      </c>
      <c r="AR411" s="80">
        <f>IF(AM411=0,0,AK411-AN411*AK411/AM411)</f>
        <v>0</v>
      </c>
      <c r="AS411" s="80">
        <f>IF(AD411-AM411=0,0,(AJ411-AK411)-AO411*(AJ411-AK411)/(AD411-AM411))</f>
        <v>0</v>
      </c>
      <c r="AT411" s="80" t="str">
        <f>IF(AC411=1,INT(B411)+1,"")</f>
        <v/>
      </c>
      <c r="AU411" s="80">
        <f>IF(AND(D411="proMX",R411="Cancelled"),0,1)</f>
        <v>1</v>
      </c>
      <c r="AV411" s="80">
        <f>IF(AND(AB411=1,AU411=1),IF(COUNTIFS($D$5:D410,D411,$B$5:B410,B411,$Z$5:Z410,Z411,$AA$5:AA410,AA411,$F$5:F410,F411&amp;"",$AU$5:AU410,1)&gt;0,1,0),0)</f>
        <v>0</v>
      </c>
      <c r="AW411" s="80" t="str">
        <f>IF(AB411=1,INT(B411)*1440+Z411,"")</f>
        <v/>
      </c>
      <c r="AX411" s="80" t="str">
        <f>IF(AB411=1,AW411+AD411,"")</f>
        <v/>
      </c>
      <c r="AY411" s="80">
        <f>IF(AND(AB411=1,AV411=0,AU411=1),1,0)</f>
        <v>0</v>
      </c>
      <c r="AZ411" s="80">
        <f>IF(AY411=1,COUNTIFS(R_Emp,D411,R_SAbs,"&lt;"&amp;AX411,R_EAbs,"&gt;"&amp;AW411,R_OKey,1)-1,0)</f>
        <v>0</v>
      </c>
      <c r="BA411" s="80">
        <f>IF(AY411=1,COUNTIFS(R_Emp,"&lt;&gt;"&amp;D411,R_SAbs,"&lt;"&amp;AX411,R_EAbs,"&gt;"&amp;AW411,R_OKey,1),0)</f>
        <v>0</v>
      </c>
      <c r="BB411" s="80">
        <f>IF(AND(AB411=1,D411="proMX"),IF(AND(MOD(Z411,CFG_BLK)=0,MOD(AA411,CFG_BLK)=0,MOD(AG411,CFG_BLK)=0,AG411&gt;0),1,0),1)</f>
        <v>1</v>
      </c>
      <c r="BC411" s="80" t="str">
        <f>IF(Y411=0,"",IF(NOT(ISNUMBER(B411)),"Falta fecha o fecha inválida",IF(D411="","Falta empresa",IF(AND(D411&lt;&gt;"Malcolm",D411&lt;&gt;"proMX"),"Empresa inválida",IF(OR(INT(B411)&lt;CFG_PSTART,INT(B411)&gt;CFG_PEND),"Fecha fuera del período",IF(OR(NOT(ISNUMBER(Z411)),NOT(ISNUMBER(AA411))),"Falta hora inicio/fin o formato inválido",IF(AB411=0,"Hora inicio = hora fin",IF(AE411&lt;0,"Descanso inválido",IF(AE411&gt;=AD411,"Descanso ≥ duración",IF(AV411=1,"Registro duplicado",IF(AZ411&gt;0,"Se superpone con otro registro "&amp;D411,IF(BB411=0,"inicio, fin y duración neta deben ser múltiplos de "&amp;CFG_BLK&amp;" min",""))))))))))))</f>
        <v/>
      </c>
      <c r="BD411" s="80">
        <f>IF(AND(Y411=1,BC411=""),1,0)</f>
        <v>0</v>
      </c>
      <c r="BE411" s="80">
        <f>IF(AND(BD411=1,AU411=1),1,0)</f>
        <v>0</v>
      </c>
      <c r="BF411" s="80" t="str">
        <f>IF(AND(D411="proMX",BD411=1),IF(R411="","Draft",R411),"")</f>
        <v/>
      </c>
      <c r="BG411" s="80">
        <f>IF(BD411=1,ROUND(AG411/60,6),0)</f>
        <v>0</v>
      </c>
      <c r="BH411" s="80">
        <f>IF(BE411=1,ROUND(AG411/60,6),0)</f>
        <v>0</v>
      </c>
      <c r="BI411" s="80">
        <f>IF(BE411=1,ROUND(AP411/60,6),0)</f>
        <v>0</v>
      </c>
      <c r="BJ411" s="80">
        <f>IF(BE411=1,ROUND(AQ411/60,6),0)</f>
        <v>0</v>
      </c>
      <c r="BK411" s="80">
        <f>IF(BE411=1,ROUND((AR411+AS411)/60,6),0)</f>
        <v>0</v>
      </c>
      <c r="BL411" s="80">
        <f>ROUND(BH411-BK411,6)</f>
        <v>0</v>
      </c>
      <c r="BM411" s="80">
        <f>IF(BE411=1,ROUND(AR411/60,6),0)</f>
        <v>0</v>
      </c>
      <c r="BN411" s="80">
        <f>ROUND(BI411-BM411,6)</f>
        <v>0</v>
      </c>
      <c r="BO411" s="80">
        <f>IF(BE411=1,ROUND(AS411/60,6),0)</f>
        <v>0</v>
      </c>
      <c r="BP411" s="80">
        <f>ROUND(BJ411-BO411,6)</f>
        <v>0</v>
      </c>
      <c r="BQ411" s="80">
        <f>IF(BE411=1,AW411,0)</f>
        <v>0</v>
      </c>
      <c r="BR411" s="80">
        <f>IF(BE411=1,AX411,0)</f>
        <v>0</v>
      </c>
      <c r="BS411" s="80">
        <f>IF(AND(BE411=1,D411="Malcolm",BA411&gt;0),MIN(BH411,SUMPRODUCT((R_Emp="proMX")*(R_EN&gt;0)*((R_EN-(R_EN&gt;BR411)*(R_EN-BR411))&gt;(R_SN+(R_SN&lt;BQ411)*(BQ411-R_SN)))*((R_EN-(R_EN&gt;BR411)*(R_EN-BR411))-(R_SN+(R_SN&lt;BQ411)*(BQ411-R_SN))))/60),0)</f>
        <v>0</v>
      </c>
      <c r="BT411" s="80">
        <f>IF(AND(BE411=1,D411="proMX"),ROUND(BI411*CFG_RATE+BJ411*CFG_OTRATE,6),0)</f>
        <v>0</v>
      </c>
      <c r="BU411" s="80">
        <f>IF(AND(BD411=1,D411="proMX"),ROUND(AG411/CFG_BLK,6),0)</f>
        <v>0</v>
      </c>
      <c r="BV411" s="80" t="str">
        <f>IF(BF411="Approved",IF(ISNUMBER(T411),INT(T411),INT(B411)),"")</f>
        <v/>
      </c>
      <c r="BW411" s="80">
        <f>IF(ISNUMBER(B411),IF(DB_MON="Todos",1,IF(AND(INT(B411)&gt;=DB_MS,INT(B411)&lt;=DB_ME),1,0)),0)</f>
        <v>0</v>
      </c>
      <c r="BX411" s="80">
        <f>IF(DB_PROJ="Todos",1,IF(E411&amp;""=DB_PROJ&amp;"",1,0))</f>
        <v>1</v>
      </c>
      <c r="BY411" s="80">
        <f>BW411*BX411</f>
        <v>0</v>
      </c>
      <c r="BZ411" s="80" t="str">
        <f>IF(Y411=1,F411&amp;IF(AND(F411&amp;""&lt;&gt;"",E411&amp;""&lt;&gt;"")," · ","")&amp;E411,"")</f>
        <v/>
      </c>
      <c r="CA411" s="80" t="str">
        <f>IF(AND(BD411=1,E411&amp;""&lt;&gt;""),IF(COUNTIFS($E$5:E410,E411,$BD$5:BD410,1)=0,MAX($CA$5:CA410)+1,""),"")</f>
        <v/>
      </c>
      <c r="CB411" s="80" t="str">
        <f>IF(AND(BE411=1,D411="Malcolm",E411&amp;""&lt;&gt;""),IF(COUNTIFS($D$5:D410,"Malcolm",$E$5:E410,E411,$BE$5:BE410,1)=0,MAX($CB$5:CB410)+1,""),"")</f>
        <v/>
      </c>
      <c r="CC411" s="80" t="str">
        <f>IF(AND(BD411=1,D411="proMX",E411&amp;""&lt;&gt;""),IF(COUNTIFS($D$5:D410,"proMX",$E$5:E410,E411,$BD$5:BD410,1)=0,MAX($CC$5:CC410)+1,""),"")</f>
        <v/>
      </c>
      <c r="CD411" s="80" t="str">
        <f>IF(AND(BE411=1,D411="Malcolm",F411&amp;""&lt;&gt;""),IF(COUNTIFS($D$5:D410,"Malcolm",$F$5:F410,F411,$BE$5:BE410,1)=0,MAX($CD$5:CD410)+1,""),"")</f>
        <v/>
      </c>
      <c r="CE411" s="80" t="str">
        <f>IF(AND(BD411=1,D411="proMX",F411&amp;""&lt;&gt;""),IF(COUNTIFS($D$5:D410,"proMX",$F$5:F410,F411,$BD$5:BD410,1)=0,MAX($CE$5:CE410)+1,""),"")</f>
        <v/>
      </c>
      <c r="CF411" s="80" t="str">
        <f>IF(AND(D411="proMX",BD411=1),IF(OR(BF411="Draft",BF411="Submitted",BF411="Returned",BF411="Recall Requested"),MAX($CF$5:CF410)+1,""),"")</f>
        <v/>
      </c>
      <c r="CG411" s="80">
        <f>IF(BD411=0,0,IF(D411="Malcolm",1,MATCH(BF411,{"Draft","Submitted","Approved","Returned","Recall Requested","Cancelled"},0)+1))</f>
        <v>0</v>
      </c>
      <c r="CH411" s="80">
        <f>IF(AND(BF411="Submitted",ISNUMBER(V411)),IF(V411&gt;CFG_MAXD,1,0),0)</f>
        <v>0</v>
      </c>
    </row>
    <row r="412">
      <c r="A412" s="71" t="str">
        <f>IF(Y412=1,ROW()-5,"")</f>
        <v/>
      </c>
      <c r="B412" s="72" t="n"/>
      <c r="C412" s="71" t="str">
        <f>IF(ISNUMBER(B412),CHOOSE(WEEKDAY(B412,2),"Lun","Mar","Mié","Jue","Vie","Sáb","Dom"),"")</f>
        <v/>
      </c>
      <c r="D412" s="73" t="n"/>
      <c r="E412" s="74" t="n"/>
      <c r="F412" s="74" t="n"/>
      <c r="G412" s="74" t="n"/>
      <c r="H412" s="75" t="n"/>
      <c r="I412" s="75" t="n"/>
      <c r="J412" s="76" t="n"/>
      <c r="K412" s="77" t="str">
        <f>IF(AB412=1,ROUND(AG412/60,4),"")</f>
        <v/>
      </c>
      <c r="L412" s="77" t="str">
        <f>IF(BD412=1,ROUND(AP412/60,4),"")</f>
        <v/>
      </c>
      <c r="M412" s="77" t="str">
        <f>IF(BD412=1,ROUND(AQ412/60,4),"")</f>
        <v/>
      </c>
      <c r="N412" s="71" t="str">
        <f>IF(AND(D412="proMX",AB412=1),ROUND(AG412/CFG_BLK,2),"")</f>
        <v/>
      </c>
      <c r="O412" s="77" t="str">
        <f>IF(D412="proMX",IF(BD412=1,ROUND(AG412/60,4),0),"")</f>
        <v/>
      </c>
      <c r="P412" s="78" t="str">
        <f>IF(Y412=0,"",IF(BD412=1,"OK",IF(D412="proMX","Revisar bloques: ","Revisar: ")&amp;BC412))</f>
        <v/>
      </c>
      <c r="Q412" s="78" t="str">
        <f>IF(NOT(ISNUMBER(B412)),"",IF(COUNTIFS(FER_F,INT(B412))&gt;0,"Feriado"&amp;IF(AH412=1," (laborable)"," (no laborable)"),IF(AH412=1,"Laborable",IF(WEEKDAY(B412,2)&gt;5,"Fin de semana","No laborable"))))</f>
        <v/>
      </c>
      <c r="R412" s="73" t="n"/>
      <c r="S412" s="72" t="n"/>
      <c r="T412" s="72" t="n"/>
      <c r="U412" s="74" t="n"/>
      <c r="V412" s="79" t="str">
        <f>IF(AND(D412="proMX",OR(R412="Submitted",R412="Recall Requested"),ISNUMBER(S412)),CFG_TODAY-INT(S412),"")</f>
        <v/>
      </c>
      <c r="W412" s="78" t="str">
        <f>IF(BD412=0,"",IF(BA412&gt;0,"⚠ Se superpone con un registro de la otra empresa",IF(D412="Malcolm",IF(COUNTA(R412,S412,T412)&gt;0,"Estado/fechas proMX se ignoran en Malcolm",""),IF(BF412="Cancelled","Cancelado: excluido de totales",IF(R412="","Sin estado: se trata como Draft",IF(BF412="Submitted",IF(ISNUMBER(V412),IF(V412&gt;CFG_MAXD,"⚠ "&amp;V412&amp;" días en Submitted (máx. "&amp;CFG_MAXD&amp;")",""),"Falta fecha de envío"),IF(BF412="Returned","⚠ Devuelto: corregir y reenviar",IF(BF412="Recall Requested","Retirada solicitada: pendiente",IF(AND(BF412="Approved",NOT(ISNUMBER(T412))),"Falta fecha de aprobación",IF(AND(ISNUMBER(S412),ISNUMBER(T412),T412&lt;S412),"Aprobación anterior al envío","")))))))))</f>
        <v/>
      </c>
      <c r="Y412" s="80">
        <f>IF(COUNTA(B412,D412,E412,F412,G412,H412,I412,J412,R412,S412,T412)&gt;0,1,0)</f>
        <v>0</v>
      </c>
      <c r="Z412" s="80" t="str">
        <f>IF(AND(ISNUMBER(H412),H412&gt;=0,H412&lt;1),ROUND(H412*1440,0),"")</f>
        <v/>
      </c>
      <c r="AA412" s="80" t="str">
        <f>IF(AND(ISNUMBER(I412),I412&gt;=0,I412&lt;1),ROUND(I412*1440,0),"")</f>
        <v/>
      </c>
      <c r="AB412" s="80">
        <f>IF(AND(ISNUMBER(B412),D412&lt;&gt;"",ISNUMBER(Z412),ISNUMBER(AA412)),IF(Z412=AA412,0,1),0)</f>
        <v>0</v>
      </c>
      <c r="AC412" s="80">
        <f>IF(AB412=1,IF(AA412&lt;Z412,1,0),0)</f>
        <v>0</v>
      </c>
      <c r="AD412" s="80">
        <f>IF(AB412=1,IF(AC412=1,1440-Z412+AA412,AA412-Z412),0)</f>
        <v>0</v>
      </c>
      <c r="AE412" s="80">
        <f>IF(J412="",0,IF(ISNUMBER(J412),J412,-1))</f>
        <v>0</v>
      </c>
      <c r="AF412" s="80">
        <f>MIN(MAX(0,AE412),AD412)</f>
        <v>0</v>
      </c>
      <c r="AG412" s="80">
        <f>MAX(0,AD412-MAX(0,AE412))</f>
        <v>0</v>
      </c>
      <c r="AH412" s="80">
        <f>IF(ISNUMBER(B412),IF(AND(INDEX(CFG_WDAYS,WEEKDAY(INT(B412),2))="Sí",IF(D412="proMX",COUNTIFS(FER_F,INT(B412),FER_NLP,"Sí"),COUNTIFS(FER_F,INT(B412),FER_NLM,"Sí"))=0),1,0),0)</f>
        <v>0</v>
      </c>
      <c r="AI412" s="80">
        <f>IF(AC412=1,IF(AND(INDEX(CFG_WDAYS,WEEKDAY(INT(B412)+1,2))="Sí",IF(D412="proMX",COUNTIFS(FER_F,INT(B412)+1,FER_NLP,"Sí"),COUNTIFS(FER_F,INT(B412)+1,FER_NLM,"Sí"))=0),1,0),0)</f>
        <v>0</v>
      </c>
      <c r="AJ412" s="80">
        <f>IF(AC412=1,1440-Z412,AD412)</f>
        <v>0</v>
      </c>
      <c r="AK412" s="80">
        <f>IF(AND(AB412=1,AH412=1),MAX(0,MIN(IF(AC412=1,1440,AA412),CFG_WEM)-MAX(Z412,CFG_WSM)),0)</f>
        <v>0</v>
      </c>
      <c r="AL412" s="80">
        <f>IF(AND(AC412=1,AI412=1),MAX(0,MIN(AA412,CFG_WEM)-CFG_WSM),0)</f>
        <v>0</v>
      </c>
      <c r="AM412" s="80">
        <f>AK412+AL412</f>
        <v>0</v>
      </c>
      <c r="AN412" s="80">
        <f>IF(CFG_BRK="Proporcional",IF(AD412=0,0,AF412*AM412/AD412),IF(CFG_BRK="Extras primero",MIN(AM412,MAX(0,AF412-(AD412-AM412))),MIN(AF412,AM412)))</f>
        <v>0</v>
      </c>
      <c r="AO412" s="80">
        <f>AF412-AN412</f>
        <v>0</v>
      </c>
      <c r="AP412" s="80">
        <f>AM412-AN412</f>
        <v>0</v>
      </c>
      <c r="AQ412" s="80">
        <f>AD412-AM412-AO412</f>
        <v>0</v>
      </c>
      <c r="AR412" s="80">
        <f>IF(AM412=0,0,AK412-AN412*AK412/AM412)</f>
        <v>0</v>
      </c>
      <c r="AS412" s="80">
        <f>IF(AD412-AM412=0,0,(AJ412-AK412)-AO412*(AJ412-AK412)/(AD412-AM412))</f>
        <v>0</v>
      </c>
      <c r="AT412" s="80" t="str">
        <f>IF(AC412=1,INT(B412)+1,"")</f>
        <v/>
      </c>
      <c r="AU412" s="80">
        <f>IF(AND(D412="proMX",R412="Cancelled"),0,1)</f>
        <v>1</v>
      </c>
      <c r="AV412" s="80">
        <f>IF(AND(AB412=1,AU412=1),IF(COUNTIFS($D$5:D411,D412,$B$5:B411,B412,$Z$5:Z411,Z412,$AA$5:AA411,AA412,$F$5:F411,F412&amp;"",$AU$5:AU411,1)&gt;0,1,0),0)</f>
        <v>0</v>
      </c>
      <c r="AW412" s="80" t="str">
        <f>IF(AB412=1,INT(B412)*1440+Z412,"")</f>
        <v/>
      </c>
      <c r="AX412" s="80" t="str">
        <f>IF(AB412=1,AW412+AD412,"")</f>
        <v/>
      </c>
      <c r="AY412" s="80">
        <f>IF(AND(AB412=1,AV412=0,AU412=1),1,0)</f>
        <v>0</v>
      </c>
      <c r="AZ412" s="80">
        <f>IF(AY412=1,COUNTIFS(R_Emp,D412,R_SAbs,"&lt;"&amp;AX412,R_EAbs,"&gt;"&amp;AW412,R_OKey,1)-1,0)</f>
        <v>0</v>
      </c>
      <c r="BA412" s="80">
        <f>IF(AY412=1,COUNTIFS(R_Emp,"&lt;&gt;"&amp;D412,R_SAbs,"&lt;"&amp;AX412,R_EAbs,"&gt;"&amp;AW412,R_OKey,1),0)</f>
        <v>0</v>
      </c>
      <c r="BB412" s="80">
        <f>IF(AND(AB412=1,D412="proMX"),IF(AND(MOD(Z412,CFG_BLK)=0,MOD(AA412,CFG_BLK)=0,MOD(AG412,CFG_BLK)=0,AG412&gt;0),1,0),1)</f>
        <v>1</v>
      </c>
      <c r="BC412" s="80" t="str">
        <f>IF(Y412=0,"",IF(NOT(ISNUMBER(B412)),"Falta fecha o fecha inválida",IF(D412="","Falta empresa",IF(AND(D412&lt;&gt;"Malcolm",D412&lt;&gt;"proMX"),"Empresa inválida",IF(OR(INT(B412)&lt;CFG_PSTART,INT(B412)&gt;CFG_PEND),"Fecha fuera del período",IF(OR(NOT(ISNUMBER(Z412)),NOT(ISNUMBER(AA412))),"Falta hora inicio/fin o formato inválido",IF(AB412=0,"Hora inicio = hora fin",IF(AE412&lt;0,"Descanso inválido",IF(AE412&gt;=AD412,"Descanso ≥ duración",IF(AV412=1,"Registro duplicado",IF(AZ412&gt;0,"Se superpone con otro registro "&amp;D412,IF(BB412=0,"inicio, fin y duración neta deben ser múltiplos de "&amp;CFG_BLK&amp;" min",""))))))))))))</f>
        <v/>
      </c>
      <c r="BD412" s="80">
        <f>IF(AND(Y412=1,BC412=""),1,0)</f>
        <v>0</v>
      </c>
      <c r="BE412" s="80">
        <f>IF(AND(BD412=1,AU412=1),1,0)</f>
        <v>0</v>
      </c>
      <c r="BF412" s="80" t="str">
        <f>IF(AND(D412="proMX",BD412=1),IF(R412="","Draft",R412),"")</f>
        <v/>
      </c>
      <c r="BG412" s="80">
        <f>IF(BD412=1,ROUND(AG412/60,6),0)</f>
        <v>0</v>
      </c>
      <c r="BH412" s="80">
        <f>IF(BE412=1,ROUND(AG412/60,6),0)</f>
        <v>0</v>
      </c>
      <c r="BI412" s="80">
        <f>IF(BE412=1,ROUND(AP412/60,6),0)</f>
        <v>0</v>
      </c>
      <c r="BJ412" s="80">
        <f>IF(BE412=1,ROUND(AQ412/60,6),0)</f>
        <v>0</v>
      </c>
      <c r="BK412" s="80">
        <f>IF(BE412=1,ROUND((AR412+AS412)/60,6),0)</f>
        <v>0</v>
      </c>
      <c r="BL412" s="80">
        <f>ROUND(BH412-BK412,6)</f>
        <v>0</v>
      </c>
      <c r="BM412" s="80">
        <f>IF(BE412=1,ROUND(AR412/60,6),0)</f>
        <v>0</v>
      </c>
      <c r="BN412" s="80">
        <f>ROUND(BI412-BM412,6)</f>
        <v>0</v>
      </c>
      <c r="BO412" s="80">
        <f>IF(BE412=1,ROUND(AS412/60,6),0)</f>
        <v>0</v>
      </c>
      <c r="BP412" s="80">
        <f>ROUND(BJ412-BO412,6)</f>
        <v>0</v>
      </c>
      <c r="BQ412" s="80">
        <f>IF(BE412=1,AW412,0)</f>
        <v>0</v>
      </c>
      <c r="BR412" s="80">
        <f>IF(BE412=1,AX412,0)</f>
        <v>0</v>
      </c>
      <c r="BS412" s="80">
        <f>IF(AND(BE412=1,D412="Malcolm",BA412&gt;0),MIN(BH412,SUMPRODUCT((R_Emp="proMX")*(R_EN&gt;0)*((R_EN-(R_EN&gt;BR412)*(R_EN-BR412))&gt;(R_SN+(R_SN&lt;BQ412)*(BQ412-R_SN)))*((R_EN-(R_EN&gt;BR412)*(R_EN-BR412))-(R_SN+(R_SN&lt;BQ412)*(BQ412-R_SN))))/60),0)</f>
        <v>0</v>
      </c>
      <c r="BT412" s="80">
        <f>IF(AND(BE412=1,D412="proMX"),ROUND(BI412*CFG_RATE+BJ412*CFG_OTRATE,6),0)</f>
        <v>0</v>
      </c>
      <c r="BU412" s="80">
        <f>IF(AND(BD412=1,D412="proMX"),ROUND(AG412/CFG_BLK,6),0)</f>
        <v>0</v>
      </c>
      <c r="BV412" s="80" t="str">
        <f>IF(BF412="Approved",IF(ISNUMBER(T412),INT(T412),INT(B412)),"")</f>
        <v/>
      </c>
      <c r="BW412" s="80">
        <f>IF(ISNUMBER(B412),IF(DB_MON="Todos",1,IF(AND(INT(B412)&gt;=DB_MS,INT(B412)&lt;=DB_ME),1,0)),0)</f>
        <v>0</v>
      </c>
      <c r="BX412" s="80">
        <f>IF(DB_PROJ="Todos",1,IF(E412&amp;""=DB_PROJ&amp;"",1,0))</f>
        <v>1</v>
      </c>
      <c r="BY412" s="80">
        <f>BW412*BX412</f>
        <v>0</v>
      </c>
      <c r="BZ412" s="80" t="str">
        <f>IF(Y412=1,F412&amp;IF(AND(F412&amp;""&lt;&gt;"",E412&amp;""&lt;&gt;"")," · ","")&amp;E412,"")</f>
        <v/>
      </c>
      <c r="CA412" s="80" t="str">
        <f>IF(AND(BD412=1,E412&amp;""&lt;&gt;""),IF(COUNTIFS($E$5:E411,E412,$BD$5:BD411,1)=0,MAX($CA$5:CA411)+1,""),"")</f>
        <v/>
      </c>
      <c r="CB412" s="80" t="str">
        <f>IF(AND(BE412=1,D412="Malcolm",E412&amp;""&lt;&gt;""),IF(COUNTIFS($D$5:D411,"Malcolm",$E$5:E411,E412,$BE$5:BE411,1)=0,MAX($CB$5:CB411)+1,""),"")</f>
        <v/>
      </c>
      <c r="CC412" s="80" t="str">
        <f>IF(AND(BD412=1,D412="proMX",E412&amp;""&lt;&gt;""),IF(COUNTIFS($D$5:D411,"proMX",$E$5:E411,E412,$BD$5:BD411,1)=0,MAX($CC$5:CC411)+1,""),"")</f>
        <v/>
      </c>
      <c r="CD412" s="80" t="str">
        <f>IF(AND(BE412=1,D412="Malcolm",F412&amp;""&lt;&gt;""),IF(COUNTIFS($D$5:D411,"Malcolm",$F$5:F411,F412,$BE$5:BE411,1)=0,MAX($CD$5:CD411)+1,""),"")</f>
        <v/>
      </c>
      <c r="CE412" s="80" t="str">
        <f>IF(AND(BD412=1,D412="proMX",F412&amp;""&lt;&gt;""),IF(COUNTIFS($D$5:D411,"proMX",$F$5:F411,F412,$BD$5:BD411,1)=0,MAX($CE$5:CE411)+1,""),"")</f>
        <v/>
      </c>
      <c r="CF412" s="80" t="str">
        <f>IF(AND(D412="proMX",BD412=1),IF(OR(BF412="Draft",BF412="Submitted",BF412="Returned",BF412="Recall Requested"),MAX($CF$5:CF411)+1,""),"")</f>
        <v/>
      </c>
      <c r="CG412" s="80">
        <f>IF(BD412=0,0,IF(D412="Malcolm",1,MATCH(BF412,{"Draft","Submitted","Approved","Returned","Recall Requested","Cancelled"},0)+1))</f>
        <v>0</v>
      </c>
      <c r="CH412" s="80">
        <f>IF(AND(BF412="Submitted",ISNUMBER(V412)),IF(V412&gt;CFG_MAXD,1,0),0)</f>
        <v>0</v>
      </c>
    </row>
    <row r="413">
      <c r="A413" s="71" t="str">
        <f>IF(Y413=1,ROW()-5,"")</f>
        <v/>
      </c>
      <c r="B413" s="72" t="n"/>
      <c r="C413" s="71" t="str">
        <f>IF(ISNUMBER(B413),CHOOSE(WEEKDAY(B413,2),"Lun","Mar","Mié","Jue","Vie","Sáb","Dom"),"")</f>
        <v/>
      </c>
      <c r="D413" s="73" t="n"/>
      <c r="E413" s="74" t="n"/>
      <c r="F413" s="74" t="n"/>
      <c r="G413" s="74" t="n"/>
      <c r="H413" s="75" t="n"/>
      <c r="I413" s="75" t="n"/>
      <c r="J413" s="76" t="n"/>
      <c r="K413" s="77" t="str">
        <f>IF(AB413=1,ROUND(AG413/60,4),"")</f>
        <v/>
      </c>
      <c r="L413" s="77" t="str">
        <f>IF(BD413=1,ROUND(AP413/60,4),"")</f>
        <v/>
      </c>
      <c r="M413" s="77" t="str">
        <f>IF(BD413=1,ROUND(AQ413/60,4),"")</f>
        <v/>
      </c>
      <c r="N413" s="71" t="str">
        <f>IF(AND(D413="proMX",AB413=1),ROUND(AG413/CFG_BLK,2),"")</f>
        <v/>
      </c>
      <c r="O413" s="77" t="str">
        <f>IF(D413="proMX",IF(BD413=1,ROUND(AG413/60,4),0),"")</f>
        <v/>
      </c>
      <c r="P413" s="78" t="str">
        <f>IF(Y413=0,"",IF(BD413=1,"OK",IF(D413="proMX","Revisar bloques: ","Revisar: ")&amp;BC413))</f>
        <v/>
      </c>
      <c r="Q413" s="78" t="str">
        <f>IF(NOT(ISNUMBER(B413)),"",IF(COUNTIFS(FER_F,INT(B413))&gt;0,"Feriado"&amp;IF(AH413=1," (laborable)"," (no laborable)"),IF(AH413=1,"Laborable",IF(WEEKDAY(B413,2)&gt;5,"Fin de semana","No laborable"))))</f>
        <v/>
      </c>
      <c r="R413" s="73" t="n"/>
      <c r="S413" s="72" t="n"/>
      <c r="T413" s="72" t="n"/>
      <c r="U413" s="74" t="n"/>
      <c r="V413" s="79" t="str">
        <f>IF(AND(D413="proMX",OR(R413="Submitted",R413="Recall Requested"),ISNUMBER(S413)),CFG_TODAY-INT(S413),"")</f>
        <v/>
      </c>
      <c r="W413" s="78" t="str">
        <f>IF(BD413=0,"",IF(BA413&gt;0,"⚠ Se superpone con un registro de la otra empresa",IF(D413="Malcolm",IF(COUNTA(R413,S413,T413)&gt;0,"Estado/fechas proMX se ignoran en Malcolm",""),IF(BF413="Cancelled","Cancelado: excluido de totales",IF(R413="","Sin estado: se trata como Draft",IF(BF413="Submitted",IF(ISNUMBER(V413),IF(V413&gt;CFG_MAXD,"⚠ "&amp;V413&amp;" días en Submitted (máx. "&amp;CFG_MAXD&amp;")",""),"Falta fecha de envío"),IF(BF413="Returned","⚠ Devuelto: corregir y reenviar",IF(BF413="Recall Requested","Retirada solicitada: pendiente",IF(AND(BF413="Approved",NOT(ISNUMBER(T413))),"Falta fecha de aprobación",IF(AND(ISNUMBER(S413),ISNUMBER(T413),T413&lt;S413),"Aprobación anterior al envío","")))))))))</f>
        <v/>
      </c>
      <c r="Y413" s="80">
        <f>IF(COUNTA(B413,D413,E413,F413,G413,H413,I413,J413,R413,S413,T413)&gt;0,1,0)</f>
        <v>0</v>
      </c>
      <c r="Z413" s="80" t="str">
        <f>IF(AND(ISNUMBER(H413),H413&gt;=0,H413&lt;1),ROUND(H413*1440,0),"")</f>
        <v/>
      </c>
      <c r="AA413" s="80" t="str">
        <f>IF(AND(ISNUMBER(I413),I413&gt;=0,I413&lt;1),ROUND(I413*1440,0),"")</f>
        <v/>
      </c>
      <c r="AB413" s="80">
        <f>IF(AND(ISNUMBER(B413),D413&lt;&gt;"",ISNUMBER(Z413),ISNUMBER(AA413)),IF(Z413=AA413,0,1),0)</f>
        <v>0</v>
      </c>
      <c r="AC413" s="80">
        <f>IF(AB413=1,IF(AA413&lt;Z413,1,0),0)</f>
        <v>0</v>
      </c>
      <c r="AD413" s="80">
        <f>IF(AB413=1,IF(AC413=1,1440-Z413+AA413,AA413-Z413),0)</f>
        <v>0</v>
      </c>
      <c r="AE413" s="80">
        <f>IF(J413="",0,IF(ISNUMBER(J413),J413,-1))</f>
        <v>0</v>
      </c>
      <c r="AF413" s="80">
        <f>MIN(MAX(0,AE413),AD413)</f>
        <v>0</v>
      </c>
      <c r="AG413" s="80">
        <f>MAX(0,AD413-MAX(0,AE413))</f>
        <v>0</v>
      </c>
      <c r="AH413" s="80">
        <f>IF(ISNUMBER(B413),IF(AND(INDEX(CFG_WDAYS,WEEKDAY(INT(B413),2))="Sí",IF(D413="proMX",COUNTIFS(FER_F,INT(B413),FER_NLP,"Sí"),COUNTIFS(FER_F,INT(B413),FER_NLM,"Sí"))=0),1,0),0)</f>
        <v>0</v>
      </c>
      <c r="AI413" s="80">
        <f>IF(AC413=1,IF(AND(INDEX(CFG_WDAYS,WEEKDAY(INT(B413)+1,2))="Sí",IF(D413="proMX",COUNTIFS(FER_F,INT(B413)+1,FER_NLP,"Sí"),COUNTIFS(FER_F,INT(B413)+1,FER_NLM,"Sí"))=0),1,0),0)</f>
        <v>0</v>
      </c>
      <c r="AJ413" s="80">
        <f>IF(AC413=1,1440-Z413,AD413)</f>
        <v>0</v>
      </c>
      <c r="AK413" s="80">
        <f>IF(AND(AB413=1,AH413=1),MAX(0,MIN(IF(AC413=1,1440,AA413),CFG_WEM)-MAX(Z413,CFG_WSM)),0)</f>
        <v>0</v>
      </c>
      <c r="AL413" s="80">
        <f>IF(AND(AC413=1,AI413=1),MAX(0,MIN(AA413,CFG_WEM)-CFG_WSM),0)</f>
        <v>0</v>
      </c>
      <c r="AM413" s="80">
        <f>AK413+AL413</f>
        <v>0</v>
      </c>
      <c r="AN413" s="80">
        <f>IF(CFG_BRK="Proporcional",IF(AD413=0,0,AF413*AM413/AD413),IF(CFG_BRK="Extras primero",MIN(AM413,MAX(0,AF413-(AD413-AM413))),MIN(AF413,AM413)))</f>
        <v>0</v>
      </c>
      <c r="AO413" s="80">
        <f>AF413-AN413</f>
        <v>0</v>
      </c>
      <c r="AP413" s="80">
        <f>AM413-AN413</f>
        <v>0</v>
      </c>
      <c r="AQ413" s="80">
        <f>AD413-AM413-AO413</f>
        <v>0</v>
      </c>
      <c r="AR413" s="80">
        <f>IF(AM413=0,0,AK413-AN413*AK413/AM413)</f>
        <v>0</v>
      </c>
      <c r="AS413" s="80">
        <f>IF(AD413-AM413=0,0,(AJ413-AK413)-AO413*(AJ413-AK413)/(AD413-AM413))</f>
        <v>0</v>
      </c>
      <c r="AT413" s="80" t="str">
        <f>IF(AC413=1,INT(B413)+1,"")</f>
        <v/>
      </c>
      <c r="AU413" s="80">
        <f>IF(AND(D413="proMX",R413="Cancelled"),0,1)</f>
        <v>1</v>
      </c>
      <c r="AV413" s="80">
        <f>IF(AND(AB413=1,AU413=1),IF(COUNTIFS($D$5:D412,D413,$B$5:B412,B413,$Z$5:Z412,Z413,$AA$5:AA412,AA413,$F$5:F412,F413&amp;"",$AU$5:AU412,1)&gt;0,1,0),0)</f>
        <v>0</v>
      </c>
      <c r="AW413" s="80" t="str">
        <f>IF(AB413=1,INT(B413)*1440+Z413,"")</f>
        <v/>
      </c>
      <c r="AX413" s="80" t="str">
        <f>IF(AB413=1,AW413+AD413,"")</f>
        <v/>
      </c>
      <c r="AY413" s="80">
        <f>IF(AND(AB413=1,AV413=0,AU413=1),1,0)</f>
        <v>0</v>
      </c>
      <c r="AZ413" s="80">
        <f>IF(AY413=1,COUNTIFS(R_Emp,D413,R_SAbs,"&lt;"&amp;AX413,R_EAbs,"&gt;"&amp;AW413,R_OKey,1)-1,0)</f>
        <v>0</v>
      </c>
      <c r="BA413" s="80">
        <f>IF(AY413=1,COUNTIFS(R_Emp,"&lt;&gt;"&amp;D413,R_SAbs,"&lt;"&amp;AX413,R_EAbs,"&gt;"&amp;AW413,R_OKey,1),0)</f>
        <v>0</v>
      </c>
      <c r="BB413" s="80">
        <f>IF(AND(AB413=1,D413="proMX"),IF(AND(MOD(Z413,CFG_BLK)=0,MOD(AA413,CFG_BLK)=0,MOD(AG413,CFG_BLK)=0,AG413&gt;0),1,0),1)</f>
        <v>1</v>
      </c>
      <c r="BC413" s="80" t="str">
        <f>IF(Y413=0,"",IF(NOT(ISNUMBER(B413)),"Falta fecha o fecha inválida",IF(D413="","Falta empresa",IF(AND(D413&lt;&gt;"Malcolm",D413&lt;&gt;"proMX"),"Empresa inválida",IF(OR(INT(B413)&lt;CFG_PSTART,INT(B413)&gt;CFG_PEND),"Fecha fuera del período",IF(OR(NOT(ISNUMBER(Z413)),NOT(ISNUMBER(AA413))),"Falta hora inicio/fin o formato inválido",IF(AB413=0,"Hora inicio = hora fin",IF(AE413&lt;0,"Descanso inválido",IF(AE413&gt;=AD413,"Descanso ≥ duración",IF(AV413=1,"Registro duplicado",IF(AZ413&gt;0,"Se superpone con otro registro "&amp;D413,IF(BB413=0,"inicio, fin y duración neta deben ser múltiplos de "&amp;CFG_BLK&amp;" min",""))))))))))))</f>
        <v/>
      </c>
      <c r="BD413" s="80">
        <f>IF(AND(Y413=1,BC413=""),1,0)</f>
        <v>0</v>
      </c>
      <c r="BE413" s="80">
        <f>IF(AND(BD413=1,AU413=1),1,0)</f>
        <v>0</v>
      </c>
      <c r="BF413" s="80" t="str">
        <f>IF(AND(D413="proMX",BD413=1),IF(R413="","Draft",R413),"")</f>
        <v/>
      </c>
      <c r="BG413" s="80">
        <f>IF(BD413=1,ROUND(AG413/60,6),0)</f>
        <v>0</v>
      </c>
      <c r="BH413" s="80">
        <f>IF(BE413=1,ROUND(AG413/60,6),0)</f>
        <v>0</v>
      </c>
      <c r="BI413" s="80">
        <f>IF(BE413=1,ROUND(AP413/60,6),0)</f>
        <v>0</v>
      </c>
      <c r="BJ413" s="80">
        <f>IF(BE413=1,ROUND(AQ413/60,6),0)</f>
        <v>0</v>
      </c>
      <c r="BK413" s="80">
        <f>IF(BE413=1,ROUND((AR413+AS413)/60,6),0)</f>
        <v>0</v>
      </c>
      <c r="BL413" s="80">
        <f>ROUND(BH413-BK413,6)</f>
        <v>0</v>
      </c>
      <c r="BM413" s="80">
        <f>IF(BE413=1,ROUND(AR413/60,6),0)</f>
        <v>0</v>
      </c>
      <c r="BN413" s="80">
        <f>ROUND(BI413-BM413,6)</f>
        <v>0</v>
      </c>
      <c r="BO413" s="80">
        <f>IF(BE413=1,ROUND(AS413/60,6),0)</f>
        <v>0</v>
      </c>
      <c r="BP413" s="80">
        <f>ROUND(BJ413-BO413,6)</f>
        <v>0</v>
      </c>
      <c r="BQ413" s="80">
        <f>IF(BE413=1,AW413,0)</f>
        <v>0</v>
      </c>
      <c r="BR413" s="80">
        <f>IF(BE413=1,AX413,0)</f>
        <v>0</v>
      </c>
      <c r="BS413" s="80">
        <f>IF(AND(BE413=1,D413="Malcolm",BA413&gt;0),MIN(BH413,SUMPRODUCT((R_Emp="proMX")*(R_EN&gt;0)*((R_EN-(R_EN&gt;BR413)*(R_EN-BR413))&gt;(R_SN+(R_SN&lt;BQ413)*(BQ413-R_SN)))*((R_EN-(R_EN&gt;BR413)*(R_EN-BR413))-(R_SN+(R_SN&lt;BQ413)*(BQ413-R_SN))))/60),0)</f>
        <v>0</v>
      </c>
      <c r="BT413" s="80">
        <f>IF(AND(BE413=1,D413="proMX"),ROUND(BI413*CFG_RATE+BJ413*CFG_OTRATE,6),0)</f>
        <v>0</v>
      </c>
      <c r="BU413" s="80">
        <f>IF(AND(BD413=1,D413="proMX"),ROUND(AG413/CFG_BLK,6),0)</f>
        <v>0</v>
      </c>
      <c r="BV413" s="80" t="str">
        <f>IF(BF413="Approved",IF(ISNUMBER(T413),INT(T413),INT(B413)),"")</f>
        <v/>
      </c>
      <c r="BW413" s="80">
        <f>IF(ISNUMBER(B413),IF(DB_MON="Todos",1,IF(AND(INT(B413)&gt;=DB_MS,INT(B413)&lt;=DB_ME),1,0)),0)</f>
        <v>0</v>
      </c>
      <c r="BX413" s="80">
        <f>IF(DB_PROJ="Todos",1,IF(E413&amp;""=DB_PROJ&amp;"",1,0))</f>
        <v>1</v>
      </c>
      <c r="BY413" s="80">
        <f>BW413*BX413</f>
        <v>0</v>
      </c>
      <c r="BZ413" s="80" t="str">
        <f>IF(Y413=1,F413&amp;IF(AND(F413&amp;""&lt;&gt;"",E413&amp;""&lt;&gt;"")," · ","")&amp;E413,"")</f>
        <v/>
      </c>
      <c r="CA413" s="80" t="str">
        <f>IF(AND(BD413=1,E413&amp;""&lt;&gt;""),IF(COUNTIFS($E$5:E412,E413,$BD$5:BD412,1)=0,MAX($CA$5:CA412)+1,""),"")</f>
        <v/>
      </c>
      <c r="CB413" s="80" t="str">
        <f>IF(AND(BE413=1,D413="Malcolm",E413&amp;""&lt;&gt;""),IF(COUNTIFS($D$5:D412,"Malcolm",$E$5:E412,E413,$BE$5:BE412,1)=0,MAX($CB$5:CB412)+1,""),"")</f>
        <v/>
      </c>
      <c r="CC413" s="80" t="str">
        <f>IF(AND(BD413=1,D413="proMX",E413&amp;""&lt;&gt;""),IF(COUNTIFS($D$5:D412,"proMX",$E$5:E412,E413,$BD$5:BD412,1)=0,MAX($CC$5:CC412)+1,""),"")</f>
        <v/>
      </c>
      <c r="CD413" s="80" t="str">
        <f>IF(AND(BE413=1,D413="Malcolm",F413&amp;""&lt;&gt;""),IF(COUNTIFS($D$5:D412,"Malcolm",$F$5:F412,F413,$BE$5:BE412,1)=0,MAX($CD$5:CD412)+1,""),"")</f>
        <v/>
      </c>
      <c r="CE413" s="80" t="str">
        <f>IF(AND(BD413=1,D413="proMX",F413&amp;""&lt;&gt;""),IF(COUNTIFS($D$5:D412,"proMX",$F$5:F412,F413,$BD$5:BD412,1)=0,MAX($CE$5:CE412)+1,""),"")</f>
        <v/>
      </c>
      <c r="CF413" s="80" t="str">
        <f>IF(AND(D413="proMX",BD413=1),IF(OR(BF413="Draft",BF413="Submitted",BF413="Returned",BF413="Recall Requested"),MAX($CF$5:CF412)+1,""),"")</f>
        <v/>
      </c>
      <c r="CG413" s="80">
        <f>IF(BD413=0,0,IF(D413="Malcolm",1,MATCH(BF413,{"Draft","Submitted","Approved","Returned","Recall Requested","Cancelled"},0)+1))</f>
        <v>0</v>
      </c>
      <c r="CH413" s="80">
        <f>IF(AND(BF413="Submitted",ISNUMBER(V413)),IF(V413&gt;CFG_MAXD,1,0),0)</f>
        <v>0</v>
      </c>
    </row>
    <row r="414">
      <c r="A414" s="71" t="str">
        <f>IF(Y414=1,ROW()-5,"")</f>
        <v/>
      </c>
      <c r="B414" s="72" t="n"/>
      <c r="C414" s="71" t="str">
        <f>IF(ISNUMBER(B414),CHOOSE(WEEKDAY(B414,2),"Lun","Mar","Mié","Jue","Vie","Sáb","Dom"),"")</f>
        <v/>
      </c>
      <c r="D414" s="73" t="n"/>
      <c r="E414" s="74" t="n"/>
      <c r="F414" s="74" t="n"/>
      <c r="G414" s="74" t="n"/>
      <c r="H414" s="75" t="n"/>
      <c r="I414" s="75" t="n"/>
      <c r="J414" s="76" t="n"/>
      <c r="K414" s="77" t="str">
        <f>IF(AB414=1,ROUND(AG414/60,4),"")</f>
        <v/>
      </c>
      <c r="L414" s="77" t="str">
        <f>IF(BD414=1,ROUND(AP414/60,4),"")</f>
        <v/>
      </c>
      <c r="M414" s="77" t="str">
        <f>IF(BD414=1,ROUND(AQ414/60,4),"")</f>
        <v/>
      </c>
      <c r="N414" s="71" t="str">
        <f>IF(AND(D414="proMX",AB414=1),ROUND(AG414/CFG_BLK,2),"")</f>
        <v/>
      </c>
      <c r="O414" s="77" t="str">
        <f>IF(D414="proMX",IF(BD414=1,ROUND(AG414/60,4),0),"")</f>
        <v/>
      </c>
      <c r="P414" s="78" t="str">
        <f>IF(Y414=0,"",IF(BD414=1,"OK",IF(D414="proMX","Revisar bloques: ","Revisar: ")&amp;BC414))</f>
        <v/>
      </c>
      <c r="Q414" s="78" t="str">
        <f>IF(NOT(ISNUMBER(B414)),"",IF(COUNTIFS(FER_F,INT(B414))&gt;0,"Feriado"&amp;IF(AH414=1," (laborable)"," (no laborable)"),IF(AH414=1,"Laborable",IF(WEEKDAY(B414,2)&gt;5,"Fin de semana","No laborable"))))</f>
        <v/>
      </c>
      <c r="R414" s="73" t="n"/>
      <c r="S414" s="72" t="n"/>
      <c r="T414" s="72" t="n"/>
      <c r="U414" s="74" t="n"/>
      <c r="V414" s="79" t="str">
        <f>IF(AND(D414="proMX",OR(R414="Submitted",R414="Recall Requested"),ISNUMBER(S414)),CFG_TODAY-INT(S414),"")</f>
        <v/>
      </c>
      <c r="W414" s="78" t="str">
        <f>IF(BD414=0,"",IF(BA414&gt;0,"⚠ Se superpone con un registro de la otra empresa",IF(D414="Malcolm",IF(COUNTA(R414,S414,T414)&gt;0,"Estado/fechas proMX se ignoran en Malcolm",""),IF(BF414="Cancelled","Cancelado: excluido de totales",IF(R414="","Sin estado: se trata como Draft",IF(BF414="Submitted",IF(ISNUMBER(V414),IF(V414&gt;CFG_MAXD,"⚠ "&amp;V414&amp;" días en Submitted (máx. "&amp;CFG_MAXD&amp;")",""),"Falta fecha de envío"),IF(BF414="Returned","⚠ Devuelto: corregir y reenviar",IF(BF414="Recall Requested","Retirada solicitada: pendiente",IF(AND(BF414="Approved",NOT(ISNUMBER(T414))),"Falta fecha de aprobación",IF(AND(ISNUMBER(S414),ISNUMBER(T414),T414&lt;S414),"Aprobación anterior al envío","")))))))))</f>
        <v/>
      </c>
      <c r="Y414" s="80">
        <f>IF(COUNTA(B414,D414,E414,F414,G414,H414,I414,J414,R414,S414,T414)&gt;0,1,0)</f>
        <v>0</v>
      </c>
      <c r="Z414" s="80" t="str">
        <f>IF(AND(ISNUMBER(H414),H414&gt;=0,H414&lt;1),ROUND(H414*1440,0),"")</f>
        <v/>
      </c>
      <c r="AA414" s="80" t="str">
        <f>IF(AND(ISNUMBER(I414),I414&gt;=0,I414&lt;1),ROUND(I414*1440,0),"")</f>
        <v/>
      </c>
      <c r="AB414" s="80">
        <f>IF(AND(ISNUMBER(B414),D414&lt;&gt;"",ISNUMBER(Z414),ISNUMBER(AA414)),IF(Z414=AA414,0,1),0)</f>
        <v>0</v>
      </c>
      <c r="AC414" s="80">
        <f>IF(AB414=1,IF(AA414&lt;Z414,1,0),0)</f>
        <v>0</v>
      </c>
      <c r="AD414" s="80">
        <f>IF(AB414=1,IF(AC414=1,1440-Z414+AA414,AA414-Z414),0)</f>
        <v>0</v>
      </c>
      <c r="AE414" s="80">
        <f>IF(J414="",0,IF(ISNUMBER(J414),J414,-1))</f>
        <v>0</v>
      </c>
      <c r="AF414" s="80">
        <f>MIN(MAX(0,AE414),AD414)</f>
        <v>0</v>
      </c>
      <c r="AG414" s="80">
        <f>MAX(0,AD414-MAX(0,AE414))</f>
        <v>0</v>
      </c>
      <c r="AH414" s="80">
        <f>IF(ISNUMBER(B414),IF(AND(INDEX(CFG_WDAYS,WEEKDAY(INT(B414),2))="Sí",IF(D414="proMX",COUNTIFS(FER_F,INT(B414),FER_NLP,"Sí"),COUNTIFS(FER_F,INT(B414),FER_NLM,"Sí"))=0),1,0),0)</f>
        <v>0</v>
      </c>
      <c r="AI414" s="80">
        <f>IF(AC414=1,IF(AND(INDEX(CFG_WDAYS,WEEKDAY(INT(B414)+1,2))="Sí",IF(D414="proMX",COUNTIFS(FER_F,INT(B414)+1,FER_NLP,"Sí"),COUNTIFS(FER_F,INT(B414)+1,FER_NLM,"Sí"))=0),1,0),0)</f>
        <v>0</v>
      </c>
      <c r="AJ414" s="80">
        <f>IF(AC414=1,1440-Z414,AD414)</f>
        <v>0</v>
      </c>
      <c r="AK414" s="80">
        <f>IF(AND(AB414=1,AH414=1),MAX(0,MIN(IF(AC414=1,1440,AA414),CFG_WEM)-MAX(Z414,CFG_WSM)),0)</f>
        <v>0</v>
      </c>
      <c r="AL414" s="80">
        <f>IF(AND(AC414=1,AI414=1),MAX(0,MIN(AA414,CFG_WEM)-CFG_WSM),0)</f>
        <v>0</v>
      </c>
      <c r="AM414" s="80">
        <f>AK414+AL414</f>
        <v>0</v>
      </c>
      <c r="AN414" s="80">
        <f>IF(CFG_BRK="Proporcional",IF(AD414=0,0,AF414*AM414/AD414),IF(CFG_BRK="Extras primero",MIN(AM414,MAX(0,AF414-(AD414-AM414))),MIN(AF414,AM414)))</f>
        <v>0</v>
      </c>
      <c r="AO414" s="80">
        <f>AF414-AN414</f>
        <v>0</v>
      </c>
      <c r="AP414" s="80">
        <f>AM414-AN414</f>
        <v>0</v>
      </c>
      <c r="AQ414" s="80">
        <f>AD414-AM414-AO414</f>
        <v>0</v>
      </c>
      <c r="AR414" s="80">
        <f>IF(AM414=0,0,AK414-AN414*AK414/AM414)</f>
        <v>0</v>
      </c>
      <c r="AS414" s="80">
        <f>IF(AD414-AM414=0,0,(AJ414-AK414)-AO414*(AJ414-AK414)/(AD414-AM414))</f>
        <v>0</v>
      </c>
      <c r="AT414" s="80" t="str">
        <f>IF(AC414=1,INT(B414)+1,"")</f>
        <v/>
      </c>
      <c r="AU414" s="80">
        <f>IF(AND(D414="proMX",R414="Cancelled"),0,1)</f>
        <v>1</v>
      </c>
      <c r="AV414" s="80">
        <f>IF(AND(AB414=1,AU414=1),IF(COUNTIFS($D$5:D413,D414,$B$5:B413,B414,$Z$5:Z413,Z414,$AA$5:AA413,AA414,$F$5:F413,F414&amp;"",$AU$5:AU413,1)&gt;0,1,0),0)</f>
        <v>0</v>
      </c>
      <c r="AW414" s="80" t="str">
        <f>IF(AB414=1,INT(B414)*1440+Z414,"")</f>
        <v/>
      </c>
      <c r="AX414" s="80" t="str">
        <f>IF(AB414=1,AW414+AD414,"")</f>
        <v/>
      </c>
      <c r="AY414" s="80">
        <f>IF(AND(AB414=1,AV414=0,AU414=1),1,0)</f>
        <v>0</v>
      </c>
      <c r="AZ414" s="80">
        <f>IF(AY414=1,COUNTIFS(R_Emp,D414,R_SAbs,"&lt;"&amp;AX414,R_EAbs,"&gt;"&amp;AW414,R_OKey,1)-1,0)</f>
        <v>0</v>
      </c>
      <c r="BA414" s="80">
        <f>IF(AY414=1,COUNTIFS(R_Emp,"&lt;&gt;"&amp;D414,R_SAbs,"&lt;"&amp;AX414,R_EAbs,"&gt;"&amp;AW414,R_OKey,1),0)</f>
        <v>0</v>
      </c>
      <c r="BB414" s="80">
        <f>IF(AND(AB414=1,D414="proMX"),IF(AND(MOD(Z414,CFG_BLK)=0,MOD(AA414,CFG_BLK)=0,MOD(AG414,CFG_BLK)=0,AG414&gt;0),1,0),1)</f>
        <v>1</v>
      </c>
      <c r="BC414" s="80" t="str">
        <f>IF(Y414=0,"",IF(NOT(ISNUMBER(B414)),"Falta fecha o fecha inválida",IF(D414="","Falta empresa",IF(AND(D414&lt;&gt;"Malcolm",D414&lt;&gt;"proMX"),"Empresa inválida",IF(OR(INT(B414)&lt;CFG_PSTART,INT(B414)&gt;CFG_PEND),"Fecha fuera del período",IF(OR(NOT(ISNUMBER(Z414)),NOT(ISNUMBER(AA414))),"Falta hora inicio/fin o formato inválido",IF(AB414=0,"Hora inicio = hora fin",IF(AE414&lt;0,"Descanso inválido",IF(AE414&gt;=AD414,"Descanso ≥ duración",IF(AV414=1,"Registro duplicado",IF(AZ414&gt;0,"Se superpone con otro registro "&amp;D414,IF(BB414=0,"inicio, fin y duración neta deben ser múltiplos de "&amp;CFG_BLK&amp;" min",""))))))))))))</f>
        <v/>
      </c>
      <c r="BD414" s="80">
        <f>IF(AND(Y414=1,BC414=""),1,0)</f>
        <v>0</v>
      </c>
      <c r="BE414" s="80">
        <f>IF(AND(BD414=1,AU414=1),1,0)</f>
        <v>0</v>
      </c>
      <c r="BF414" s="80" t="str">
        <f>IF(AND(D414="proMX",BD414=1),IF(R414="","Draft",R414),"")</f>
        <v/>
      </c>
      <c r="BG414" s="80">
        <f>IF(BD414=1,ROUND(AG414/60,6),0)</f>
        <v>0</v>
      </c>
      <c r="BH414" s="80">
        <f>IF(BE414=1,ROUND(AG414/60,6),0)</f>
        <v>0</v>
      </c>
      <c r="BI414" s="80">
        <f>IF(BE414=1,ROUND(AP414/60,6),0)</f>
        <v>0</v>
      </c>
      <c r="BJ414" s="80">
        <f>IF(BE414=1,ROUND(AQ414/60,6),0)</f>
        <v>0</v>
      </c>
      <c r="BK414" s="80">
        <f>IF(BE414=1,ROUND((AR414+AS414)/60,6),0)</f>
        <v>0</v>
      </c>
      <c r="BL414" s="80">
        <f>ROUND(BH414-BK414,6)</f>
        <v>0</v>
      </c>
      <c r="BM414" s="80">
        <f>IF(BE414=1,ROUND(AR414/60,6),0)</f>
        <v>0</v>
      </c>
      <c r="BN414" s="80">
        <f>ROUND(BI414-BM414,6)</f>
        <v>0</v>
      </c>
      <c r="BO414" s="80">
        <f>IF(BE414=1,ROUND(AS414/60,6),0)</f>
        <v>0</v>
      </c>
      <c r="BP414" s="80">
        <f>ROUND(BJ414-BO414,6)</f>
        <v>0</v>
      </c>
      <c r="BQ414" s="80">
        <f>IF(BE414=1,AW414,0)</f>
        <v>0</v>
      </c>
      <c r="BR414" s="80">
        <f>IF(BE414=1,AX414,0)</f>
        <v>0</v>
      </c>
      <c r="BS414" s="80">
        <f>IF(AND(BE414=1,D414="Malcolm",BA414&gt;0),MIN(BH414,SUMPRODUCT((R_Emp="proMX")*(R_EN&gt;0)*((R_EN-(R_EN&gt;BR414)*(R_EN-BR414))&gt;(R_SN+(R_SN&lt;BQ414)*(BQ414-R_SN)))*((R_EN-(R_EN&gt;BR414)*(R_EN-BR414))-(R_SN+(R_SN&lt;BQ414)*(BQ414-R_SN))))/60),0)</f>
        <v>0</v>
      </c>
      <c r="BT414" s="80">
        <f>IF(AND(BE414=1,D414="proMX"),ROUND(BI414*CFG_RATE+BJ414*CFG_OTRATE,6),0)</f>
        <v>0</v>
      </c>
      <c r="BU414" s="80">
        <f>IF(AND(BD414=1,D414="proMX"),ROUND(AG414/CFG_BLK,6),0)</f>
        <v>0</v>
      </c>
      <c r="BV414" s="80" t="str">
        <f>IF(BF414="Approved",IF(ISNUMBER(T414),INT(T414),INT(B414)),"")</f>
        <v/>
      </c>
      <c r="BW414" s="80">
        <f>IF(ISNUMBER(B414),IF(DB_MON="Todos",1,IF(AND(INT(B414)&gt;=DB_MS,INT(B414)&lt;=DB_ME),1,0)),0)</f>
        <v>0</v>
      </c>
      <c r="BX414" s="80">
        <f>IF(DB_PROJ="Todos",1,IF(E414&amp;""=DB_PROJ&amp;"",1,0))</f>
        <v>1</v>
      </c>
      <c r="BY414" s="80">
        <f>BW414*BX414</f>
        <v>0</v>
      </c>
      <c r="BZ414" s="80" t="str">
        <f>IF(Y414=1,F414&amp;IF(AND(F414&amp;""&lt;&gt;"",E414&amp;""&lt;&gt;"")," · ","")&amp;E414,"")</f>
        <v/>
      </c>
      <c r="CA414" s="80" t="str">
        <f>IF(AND(BD414=1,E414&amp;""&lt;&gt;""),IF(COUNTIFS($E$5:E413,E414,$BD$5:BD413,1)=0,MAX($CA$5:CA413)+1,""),"")</f>
        <v/>
      </c>
      <c r="CB414" s="80" t="str">
        <f>IF(AND(BE414=1,D414="Malcolm",E414&amp;""&lt;&gt;""),IF(COUNTIFS($D$5:D413,"Malcolm",$E$5:E413,E414,$BE$5:BE413,1)=0,MAX($CB$5:CB413)+1,""),"")</f>
        <v/>
      </c>
      <c r="CC414" s="80" t="str">
        <f>IF(AND(BD414=1,D414="proMX",E414&amp;""&lt;&gt;""),IF(COUNTIFS($D$5:D413,"proMX",$E$5:E413,E414,$BD$5:BD413,1)=0,MAX($CC$5:CC413)+1,""),"")</f>
        <v/>
      </c>
      <c r="CD414" s="80" t="str">
        <f>IF(AND(BE414=1,D414="Malcolm",F414&amp;""&lt;&gt;""),IF(COUNTIFS($D$5:D413,"Malcolm",$F$5:F413,F414,$BE$5:BE413,1)=0,MAX($CD$5:CD413)+1,""),"")</f>
        <v/>
      </c>
      <c r="CE414" s="80" t="str">
        <f>IF(AND(BD414=1,D414="proMX",F414&amp;""&lt;&gt;""),IF(COUNTIFS($D$5:D413,"proMX",$F$5:F413,F414,$BD$5:BD413,1)=0,MAX($CE$5:CE413)+1,""),"")</f>
        <v/>
      </c>
      <c r="CF414" s="80" t="str">
        <f>IF(AND(D414="proMX",BD414=1),IF(OR(BF414="Draft",BF414="Submitted",BF414="Returned",BF414="Recall Requested"),MAX($CF$5:CF413)+1,""),"")</f>
        <v/>
      </c>
      <c r="CG414" s="80">
        <f>IF(BD414=0,0,IF(D414="Malcolm",1,MATCH(BF414,{"Draft","Submitted","Approved","Returned","Recall Requested","Cancelled"},0)+1))</f>
        <v>0</v>
      </c>
      <c r="CH414" s="80">
        <f>IF(AND(BF414="Submitted",ISNUMBER(V414)),IF(V414&gt;CFG_MAXD,1,0),0)</f>
        <v>0</v>
      </c>
    </row>
    <row r="415">
      <c r="A415" s="71" t="str">
        <f>IF(Y415=1,ROW()-5,"")</f>
        <v/>
      </c>
      <c r="B415" s="72" t="n"/>
      <c r="C415" s="71" t="str">
        <f>IF(ISNUMBER(B415),CHOOSE(WEEKDAY(B415,2),"Lun","Mar","Mié","Jue","Vie","Sáb","Dom"),"")</f>
        <v/>
      </c>
      <c r="D415" s="73" t="n"/>
      <c r="E415" s="74" t="n"/>
      <c r="F415" s="74" t="n"/>
      <c r="G415" s="74" t="n"/>
      <c r="H415" s="75" t="n"/>
      <c r="I415" s="75" t="n"/>
      <c r="J415" s="76" t="n"/>
      <c r="K415" s="77" t="str">
        <f>IF(AB415=1,ROUND(AG415/60,4),"")</f>
        <v/>
      </c>
      <c r="L415" s="77" t="str">
        <f>IF(BD415=1,ROUND(AP415/60,4),"")</f>
        <v/>
      </c>
      <c r="M415" s="77" t="str">
        <f>IF(BD415=1,ROUND(AQ415/60,4),"")</f>
        <v/>
      </c>
      <c r="N415" s="71" t="str">
        <f>IF(AND(D415="proMX",AB415=1),ROUND(AG415/CFG_BLK,2),"")</f>
        <v/>
      </c>
      <c r="O415" s="77" t="str">
        <f>IF(D415="proMX",IF(BD415=1,ROUND(AG415/60,4),0),"")</f>
        <v/>
      </c>
      <c r="P415" s="78" t="str">
        <f>IF(Y415=0,"",IF(BD415=1,"OK",IF(D415="proMX","Revisar bloques: ","Revisar: ")&amp;BC415))</f>
        <v/>
      </c>
      <c r="Q415" s="78" t="str">
        <f>IF(NOT(ISNUMBER(B415)),"",IF(COUNTIFS(FER_F,INT(B415))&gt;0,"Feriado"&amp;IF(AH415=1," (laborable)"," (no laborable)"),IF(AH415=1,"Laborable",IF(WEEKDAY(B415,2)&gt;5,"Fin de semana","No laborable"))))</f>
        <v/>
      </c>
      <c r="R415" s="73" t="n"/>
      <c r="S415" s="72" t="n"/>
      <c r="T415" s="72" t="n"/>
      <c r="U415" s="74" t="n"/>
      <c r="V415" s="79" t="str">
        <f>IF(AND(D415="proMX",OR(R415="Submitted",R415="Recall Requested"),ISNUMBER(S415)),CFG_TODAY-INT(S415),"")</f>
        <v/>
      </c>
      <c r="W415" s="78" t="str">
        <f>IF(BD415=0,"",IF(BA415&gt;0,"⚠ Se superpone con un registro de la otra empresa",IF(D415="Malcolm",IF(COUNTA(R415,S415,T415)&gt;0,"Estado/fechas proMX se ignoran en Malcolm",""),IF(BF415="Cancelled","Cancelado: excluido de totales",IF(R415="","Sin estado: se trata como Draft",IF(BF415="Submitted",IF(ISNUMBER(V415),IF(V415&gt;CFG_MAXD,"⚠ "&amp;V415&amp;" días en Submitted (máx. "&amp;CFG_MAXD&amp;")",""),"Falta fecha de envío"),IF(BF415="Returned","⚠ Devuelto: corregir y reenviar",IF(BF415="Recall Requested","Retirada solicitada: pendiente",IF(AND(BF415="Approved",NOT(ISNUMBER(T415))),"Falta fecha de aprobación",IF(AND(ISNUMBER(S415),ISNUMBER(T415),T415&lt;S415),"Aprobación anterior al envío","")))))))))</f>
        <v/>
      </c>
      <c r="Y415" s="80">
        <f>IF(COUNTA(B415,D415,E415,F415,G415,H415,I415,J415,R415,S415,T415)&gt;0,1,0)</f>
        <v>0</v>
      </c>
      <c r="Z415" s="80" t="str">
        <f>IF(AND(ISNUMBER(H415),H415&gt;=0,H415&lt;1),ROUND(H415*1440,0),"")</f>
        <v/>
      </c>
      <c r="AA415" s="80" t="str">
        <f>IF(AND(ISNUMBER(I415),I415&gt;=0,I415&lt;1),ROUND(I415*1440,0),"")</f>
        <v/>
      </c>
      <c r="AB415" s="80">
        <f>IF(AND(ISNUMBER(B415),D415&lt;&gt;"",ISNUMBER(Z415),ISNUMBER(AA415)),IF(Z415=AA415,0,1),0)</f>
        <v>0</v>
      </c>
      <c r="AC415" s="80">
        <f>IF(AB415=1,IF(AA415&lt;Z415,1,0),0)</f>
        <v>0</v>
      </c>
      <c r="AD415" s="80">
        <f>IF(AB415=1,IF(AC415=1,1440-Z415+AA415,AA415-Z415),0)</f>
        <v>0</v>
      </c>
      <c r="AE415" s="80">
        <f>IF(J415="",0,IF(ISNUMBER(J415),J415,-1))</f>
        <v>0</v>
      </c>
      <c r="AF415" s="80">
        <f>MIN(MAX(0,AE415),AD415)</f>
        <v>0</v>
      </c>
      <c r="AG415" s="80">
        <f>MAX(0,AD415-MAX(0,AE415))</f>
        <v>0</v>
      </c>
      <c r="AH415" s="80">
        <f>IF(ISNUMBER(B415),IF(AND(INDEX(CFG_WDAYS,WEEKDAY(INT(B415),2))="Sí",IF(D415="proMX",COUNTIFS(FER_F,INT(B415),FER_NLP,"Sí"),COUNTIFS(FER_F,INT(B415),FER_NLM,"Sí"))=0),1,0),0)</f>
        <v>0</v>
      </c>
      <c r="AI415" s="80">
        <f>IF(AC415=1,IF(AND(INDEX(CFG_WDAYS,WEEKDAY(INT(B415)+1,2))="Sí",IF(D415="proMX",COUNTIFS(FER_F,INT(B415)+1,FER_NLP,"Sí"),COUNTIFS(FER_F,INT(B415)+1,FER_NLM,"Sí"))=0),1,0),0)</f>
        <v>0</v>
      </c>
      <c r="AJ415" s="80">
        <f>IF(AC415=1,1440-Z415,AD415)</f>
        <v>0</v>
      </c>
      <c r="AK415" s="80">
        <f>IF(AND(AB415=1,AH415=1),MAX(0,MIN(IF(AC415=1,1440,AA415),CFG_WEM)-MAX(Z415,CFG_WSM)),0)</f>
        <v>0</v>
      </c>
      <c r="AL415" s="80">
        <f>IF(AND(AC415=1,AI415=1),MAX(0,MIN(AA415,CFG_WEM)-CFG_WSM),0)</f>
        <v>0</v>
      </c>
      <c r="AM415" s="80">
        <f>AK415+AL415</f>
        <v>0</v>
      </c>
      <c r="AN415" s="80">
        <f>IF(CFG_BRK="Proporcional",IF(AD415=0,0,AF415*AM415/AD415),IF(CFG_BRK="Extras primero",MIN(AM415,MAX(0,AF415-(AD415-AM415))),MIN(AF415,AM415)))</f>
        <v>0</v>
      </c>
      <c r="AO415" s="80">
        <f>AF415-AN415</f>
        <v>0</v>
      </c>
      <c r="AP415" s="80">
        <f>AM415-AN415</f>
        <v>0</v>
      </c>
      <c r="AQ415" s="80">
        <f>AD415-AM415-AO415</f>
        <v>0</v>
      </c>
      <c r="AR415" s="80">
        <f>IF(AM415=0,0,AK415-AN415*AK415/AM415)</f>
        <v>0</v>
      </c>
      <c r="AS415" s="80">
        <f>IF(AD415-AM415=0,0,(AJ415-AK415)-AO415*(AJ415-AK415)/(AD415-AM415))</f>
        <v>0</v>
      </c>
      <c r="AT415" s="80" t="str">
        <f>IF(AC415=1,INT(B415)+1,"")</f>
        <v/>
      </c>
      <c r="AU415" s="80">
        <f>IF(AND(D415="proMX",R415="Cancelled"),0,1)</f>
        <v>1</v>
      </c>
      <c r="AV415" s="80">
        <f>IF(AND(AB415=1,AU415=1),IF(COUNTIFS($D$5:D414,D415,$B$5:B414,B415,$Z$5:Z414,Z415,$AA$5:AA414,AA415,$F$5:F414,F415&amp;"",$AU$5:AU414,1)&gt;0,1,0),0)</f>
        <v>0</v>
      </c>
      <c r="AW415" s="80" t="str">
        <f>IF(AB415=1,INT(B415)*1440+Z415,"")</f>
        <v/>
      </c>
      <c r="AX415" s="80" t="str">
        <f>IF(AB415=1,AW415+AD415,"")</f>
        <v/>
      </c>
      <c r="AY415" s="80">
        <f>IF(AND(AB415=1,AV415=0,AU415=1),1,0)</f>
        <v>0</v>
      </c>
      <c r="AZ415" s="80">
        <f>IF(AY415=1,COUNTIFS(R_Emp,D415,R_SAbs,"&lt;"&amp;AX415,R_EAbs,"&gt;"&amp;AW415,R_OKey,1)-1,0)</f>
        <v>0</v>
      </c>
      <c r="BA415" s="80">
        <f>IF(AY415=1,COUNTIFS(R_Emp,"&lt;&gt;"&amp;D415,R_SAbs,"&lt;"&amp;AX415,R_EAbs,"&gt;"&amp;AW415,R_OKey,1),0)</f>
        <v>0</v>
      </c>
      <c r="BB415" s="80">
        <f>IF(AND(AB415=1,D415="proMX"),IF(AND(MOD(Z415,CFG_BLK)=0,MOD(AA415,CFG_BLK)=0,MOD(AG415,CFG_BLK)=0,AG415&gt;0),1,0),1)</f>
        <v>1</v>
      </c>
      <c r="BC415" s="80" t="str">
        <f>IF(Y415=0,"",IF(NOT(ISNUMBER(B415)),"Falta fecha o fecha inválida",IF(D415="","Falta empresa",IF(AND(D415&lt;&gt;"Malcolm",D415&lt;&gt;"proMX"),"Empresa inválida",IF(OR(INT(B415)&lt;CFG_PSTART,INT(B415)&gt;CFG_PEND),"Fecha fuera del período",IF(OR(NOT(ISNUMBER(Z415)),NOT(ISNUMBER(AA415))),"Falta hora inicio/fin o formato inválido",IF(AB415=0,"Hora inicio = hora fin",IF(AE415&lt;0,"Descanso inválido",IF(AE415&gt;=AD415,"Descanso ≥ duración",IF(AV415=1,"Registro duplicado",IF(AZ415&gt;0,"Se superpone con otro registro "&amp;D415,IF(BB415=0,"inicio, fin y duración neta deben ser múltiplos de "&amp;CFG_BLK&amp;" min",""))))))))))))</f>
        <v/>
      </c>
      <c r="BD415" s="80">
        <f>IF(AND(Y415=1,BC415=""),1,0)</f>
        <v>0</v>
      </c>
      <c r="BE415" s="80">
        <f>IF(AND(BD415=1,AU415=1),1,0)</f>
        <v>0</v>
      </c>
      <c r="BF415" s="80" t="str">
        <f>IF(AND(D415="proMX",BD415=1),IF(R415="","Draft",R415),"")</f>
        <v/>
      </c>
      <c r="BG415" s="80">
        <f>IF(BD415=1,ROUND(AG415/60,6),0)</f>
        <v>0</v>
      </c>
      <c r="BH415" s="80">
        <f>IF(BE415=1,ROUND(AG415/60,6),0)</f>
        <v>0</v>
      </c>
      <c r="BI415" s="80">
        <f>IF(BE415=1,ROUND(AP415/60,6),0)</f>
        <v>0</v>
      </c>
      <c r="BJ415" s="80">
        <f>IF(BE415=1,ROUND(AQ415/60,6),0)</f>
        <v>0</v>
      </c>
      <c r="BK415" s="80">
        <f>IF(BE415=1,ROUND((AR415+AS415)/60,6),0)</f>
        <v>0</v>
      </c>
      <c r="BL415" s="80">
        <f>ROUND(BH415-BK415,6)</f>
        <v>0</v>
      </c>
      <c r="BM415" s="80">
        <f>IF(BE415=1,ROUND(AR415/60,6),0)</f>
        <v>0</v>
      </c>
      <c r="BN415" s="80">
        <f>ROUND(BI415-BM415,6)</f>
        <v>0</v>
      </c>
      <c r="BO415" s="80">
        <f>IF(BE415=1,ROUND(AS415/60,6),0)</f>
        <v>0</v>
      </c>
      <c r="BP415" s="80">
        <f>ROUND(BJ415-BO415,6)</f>
        <v>0</v>
      </c>
      <c r="BQ415" s="80">
        <f>IF(BE415=1,AW415,0)</f>
        <v>0</v>
      </c>
      <c r="BR415" s="80">
        <f>IF(BE415=1,AX415,0)</f>
        <v>0</v>
      </c>
      <c r="BS415" s="80">
        <f>IF(AND(BE415=1,D415="Malcolm",BA415&gt;0),MIN(BH415,SUMPRODUCT((R_Emp="proMX")*(R_EN&gt;0)*((R_EN-(R_EN&gt;BR415)*(R_EN-BR415))&gt;(R_SN+(R_SN&lt;BQ415)*(BQ415-R_SN)))*((R_EN-(R_EN&gt;BR415)*(R_EN-BR415))-(R_SN+(R_SN&lt;BQ415)*(BQ415-R_SN))))/60),0)</f>
        <v>0</v>
      </c>
      <c r="BT415" s="80">
        <f>IF(AND(BE415=1,D415="proMX"),ROUND(BI415*CFG_RATE+BJ415*CFG_OTRATE,6),0)</f>
        <v>0</v>
      </c>
      <c r="BU415" s="80">
        <f>IF(AND(BD415=1,D415="proMX"),ROUND(AG415/CFG_BLK,6),0)</f>
        <v>0</v>
      </c>
      <c r="BV415" s="80" t="str">
        <f>IF(BF415="Approved",IF(ISNUMBER(T415),INT(T415),INT(B415)),"")</f>
        <v/>
      </c>
      <c r="BW415" s="80">
        <f>IF(ISNUMBER(B415),IF(DB_MON="Todos",1,IF(AND(INT(B415)&gt;=DB_MS,INT(B415)&lt;=DB_ME),1,0)),0)</f>
        <v>0</v>
      </c>
      <c r="BX415" s="80">
        <f>IF(DB_PROJ="Todos",1,IF(E415&amp;""=DB_PROJ&amp;"",1,0))</f>
        <v>1</v>
      </c>
      <c r="BY415" s="80">
        <f>BW415*BX415</f>
        <v>0</v>
      </c>
      <c r="BZ415" s="80" t="str">
        <f>IF(Y415=1,F415&amp;IF(AND(F415&amp;""&lt;&gt;"",E415&amp;""&lt;&gt;"")," · ","")&amp;E415,"")</f>
        <v/>
      </c>
      <c r="CA415" s="80" t="str">
        <f>IF(AND(BD415=1,E415&amp;""&lt;&gt;""),IF(COUNTIFS($E$5:E414,E415,$BD$5:BD414,1)=0,MAX($CA$5:CA414)+1,""),"")</f>
        <v/>
      </c>
      <c r="CB415" s="80" t="str">
        <f>IF(AND(BE415=1,D415="Malcolm",E415&amp;""&lt;&gt;""),IF(COUNTIFS($D$5:D414,"Malcolm",$E$5:E414,E415,$BE$5:BE414,1)=0,MAX($CB$5:CB414)+1,""),"")</f>
        <v/>
      </c>
      <c r="CC415" s="80" t="str">
        <f>IF(AND(BD415=1,D415="proMX",E415&amp;""&lt;&gt;""),IF(COUNTIFS($D$5:D414,"proMX",$E$5:E414,E415,$BD$5:BD414,1)=0,MAX($CC$5:CC414)+1,""),"")</f>
        <v/>
      </c>
      <c r="CD415" s="80" t="str">
        <f>IF(AND(BE415=1,D415="Malcolm",F415&amp;""&lt;&gt;""),IF(COUNTIFS($D$5:D414,"Malcolm",$F$5:F414,F415,$BE$5:BE414,1)=0,MAX($CD$5:CD414)+1,""),"")</f>
        <v/>
      </c>
      <c r="CE415" s="80" t="str">
        <f>IF(AND(BD415=1,D415="proMX",F415&amp;""&lt;&gt;""),IF(COUNTIFS($D$5:D414,"proMX",$F$5:F414,F415,$BD$5:BD414,1)=0,MAX($CE$5:CE414)+1,""),"")</f>
        <v/>
      </c>
      <c r="CF415" s="80" t="str">
        <f>IF(AND(D415="proMX",BD415=1),IF(OR(BF415="Draft",BF415="Submitted",BF415="Returned",BF415="Recall Requested"),MAX($CF$5:CF414)+1,""),"")</f>
        <v/>
      </c>
      <c r="CG415" s="80">
        <f>IF(BD415=0,0,IF(D415="Malcolm",1,MATCH(BF415,{"Draft","Submitted","Approved","Returned","Recall Requested","Cancelled"},0)+1))</f>
        <v>0</v>
      </c>
      <c r="CH415" s="80">
        <f>IF(AND(BF415="Submitted",ISNUMBER(V415)),IF(V415&gt;CFG_MAXD,1,0),0)</f>
        <v>0</v>
      </c>
    </row>
    <row r="416">
      <c r="A416" s="71" t="str">
        <f>IF(Y416=1,ROW()-5,"")</f>
        <v/>
      </c>
      <c r="B416" s="72" t="n"/>
      <c r="C416" s="71" t="str">
        <f>IF(ISNUMBER(B416),CHOOSE(WEEKDAY(B416,2),"Lun","Mar","Mié","Jue","Vie","Sáb","Dom"),"")</f>
        <v/>
      </c>
      <c r="D416" s="73" t="n"/>
      <c r="E416" s="74" t="n"/>
      <c r="F416" s="74" t="n"/>
      <c r="G416" s="74" t="n"/>
      <c r="H416" s="75" t="n"/>
      <c r="I416" s="75" t="n"/>
      <c r="J416" s="76" t="n"/>
      <c r="K416" s="77" t="str">
        <f>IF(AB416=1,ROUND(AG416/60,4),"")</f>
        <v/>
      </c>
      <c r="L416" s="77" t="str">
        <f>IF(BD416=1,ROUND(AP416/60,4),"")</f>
        <v/>
      </c>
      <c r="M416" s="77" t="str">
        <f>IF(BD416=1,ROUND(AQ416/60,4),"")</f>
        <v/>
      </c>
      <c r="N416" s="71" t="str">
        <f>IF(AND(D416="proMX",AB416=1),ROUND(AG416/CFG_BLK,2),"")</f>
        <v/>
      </c>
      <c r="O416" s="77" t="str">
        <f>IF(D416="proMX",IF(BD416=1,ROUND(AG416/60,4),0),"")</f>
        <v/>
      </c>
      <c r="P416" s="78" t="str">
        <f>IF(Y416=0,"",IF(BD416=1,"OK",IF(D416="proMX","Revisar bloques: ","Revisar: ")&amp;BC416))</f>
        <v/>
      </c>
      <c r="Q416" s="78" t="str">
        <f>IF(NOT(ISNUMBER(B416)),"",IF(COUNTIFS(FER_F,INT(B416))&gt;0,"Feriado"&amp;IF(AH416=1," (laborable)"," (no laborable)"),IF(AH416=1,"Laborable",IF(WEEKDAY(B416,2)&gt;5,"Fin de semana","No laborable"))))</f>
        <v/>
      </c>
      <c r="R416" s="73" t="n"/>
      <c r="S416" s="72" t="n"/>
      <c r="T416" s="72" t="n"/>
      <c r="U416" s="74" t="n"/>
      <c r="V416" s="79" t="str">
        <f>IF(AND(D416="proMX",OR(R416="Submitted",R416="Recall Requested"),ISNUMBER(S416)),CFG_TODAY-INT(S416),"")</f>
        <v/>
      </c>
      <c r="W416" s="78" t="str">
        <f>IF(BD416=0,"",IF(BA416&gt;0,"⚠ Se superpone con un registro de la otra empresa",IF(D416="Malcolm",IF(COUNTA(R416,S416,T416)&gt;0,"Estado/fechas proMX se ignoran en Malcolm",""),IF(BF416="Cancelled","Cancelado: excluido de totales",IF(R416="","Sin estado: se trata como Draft",IF(BF416="Submitted",IF(ISNUMBER(V416),IF(V416&gt;CFG_MAXD,"⚠ "&amp;V416&amp;" días en Submitted (máx. "&amp;CFG_MAXD&amp;")",""),"Falta fecha de envío"),IF(BF416="Returned","⚠ Devuelto: corregir y reenviar",IF(BF416="Recall Requested","Retirada solicitada: pendiente",IF(AND(BF416="Approved",NOT(ISNUMBER(T416))),"Falta fecha de aprobación",IF(AND(ISNUMBER(S416),ISNUMBER(T416),T416&lt;S416),"Aprobación anterior al envío","")))))))))</f>
        <v/>
      </c>
      <c r="Y416" s="80">
        <f>IF(COUNTA(B416,D416,E416,F416,G416,H416,I416,J416,R416,S416,T416)&gt;0,1,0)</f>
        <v>0</v>
      </c>
      <c r="Z416" s="80" t="str">
        <f>IF(AND(ISNUMBER(H416),H416&gt;=0,H416&lt;1),ROUND(H416*1440,0),"")</f>
        <v/>
      </c>
      <c r="AA416" s="80" t="str">
        <f>IF(AND(ISNUMBER(I416),I416&gt;=0,I416&lt;1),ROUND(I416*1440,0),"")</f>
        <v/>
      </c>
      <c r="AB416" s="80">
        <f>IF(AND(ISNUMBER(B416),D416&lt;&gt;"",ISNUMBER(Z416),ISNUMBER(AA416)),IF(Z416=AA416,0,1),0)</f>
        <v>0</v>
      </c>
      <c r="AC416" s="80">
        <f>IF(AB416=1,IF(AA416&lt;Z416,1,0),0)</f>
        <v>0</v>
      </c>
      <c r="AD416" s="80">
        <f>IF(AB416=1,IF(AC416=1,1440-Z416+AA416,AA416-Z416),0)</f>
        <v>0</v>
      </c>
      <c r="AE416" s="80">
        <f>IF(J416="",0,IF(ISNUMBER(J416),J416,-1))</f>
        <v>0</v>
      </c>
      <c r="AF416" s="80">
        <f>MIN(MAX(0,AE416),AD416)</f>
        <v>0</v>
      </c>
      <c r="AG416" s="80">
        <f>MAX(0,AD416-MAX(0,AE416))</f>
        <v>0</v>
      </c>
      <c r="AH416" s="80">
        <f>IF(ISNUMBER(B416),IF(AND(INDEX(CFG_WDAYS,WEEKDAY(INT(B416),2))="Sí",IF(D416="proMX",COUNTIFS(FER_F,INT(B416),FER_NLP,"Sí"),COUNTIFS(FER_F,INT(B416),FER_NLM,"Sí"))=0),1,0),0)</f>
        <v>0</v>
      </c>
      <c r="AI416" s="80">
        <f>IF(AC416=1,IF(AND(INDEX(CFG_WDAYS,WEEKDAY(INT(B416)+1,2))="Sí",IF(D416="proMX",COUNTIFS(FER_F,INT(B416)+1,FER_NLP,"Sí"),COUNTIFS(FER_F,INT(B416)+1,FER_NLM,"Sí"))=0),1,0),0)</f>
        <v>0</v>
      </c>
      <c r="AJ416" s="80">
        <f>IF(AC416=1,1440-Z416,AD416)</f>
        <v>0</v>
      </c>
      <c r="AK416" s="80">
        <f>IF(AND(AB416=1,AH416=1),MAX(0,MIN(IF(AC416=1,1440,AA416),CFG_WEM)-MAX(Z416,CFG_WSM)),0)</f>
        <v>0</v>
      </c>
      <c r="AL416" s="80">
        <f>IF(AND(AC416=1,AI416=1),MAX(0,MIN(AA416,CFG_WEM)-CFG_WSM),0)</f>
        <v>0</v>
      </c>
      <c r="AM416" s="80">
        <f>AK416+AL416</f>
        <v>0</v>
      </c>
      <c r="AN416" s="80">
        <f>IF(CFG_BRK="Proporcional",IF(AD416=0,0,AF416*AM416/AD416),IF(CFG_BRK="Extras primero",MIN(AM416,MAX(0,AF416-(AD416-AM416))),MIN(AF416,AM416)))</f>
        <v>0</v>
      </c>
      <c r="AO416" s="80">
        <f>AF416-AN416</f>
        <v>0</v>
      </c>
      <c r="AP416" s="80">
        <f>AM416-AN416</f>
        <v>0</v>
      </c>
      <c r="AQ416" s="80">
        <f>AD416-AM416-AO416</f>
        <v>0</v>
      </c>
      <c r="AR416" s="80">
        <f>IF(AM416=0,0,AK416-AN416*AK416/AM416)</f>
        <v>0</v>
      </c>
      <c r="AS416" s="80">
        <f>IF(AD416-AM416=0,0,(AJ416-AK416)-AO416*(AJ416-AK416)/(AD416-AM416))</f>
        <v>0</v>
      </c>
      <c r="AT416" s="80" t="str">
        <f>IF(AC416=1,INT(B416)+1,"")</f>
        <v/>
      </c>
      <c r="AU416" s="80">
        <f>IF(AND(D416="proMX",R416="Cancelled"),0,1)</f>
        <v>1</v>
      </c>
      <c r="AV416" s="80">
        <f>IF(AND(AB416=1,AU416=1),IF(COUNTIFS($D$5:D415,D416,$B$5:B415,B416,$Z$5:Z415,Z416,$AA$5:AA415,AA416,$F$5:F415,F416&amp;"",$AU$5:AU415,1)&gt;0,1,0),0)</f>
        <v>0</v>
      </c>
      <c r="AW416" s="80" t="str">
        <f>IF(AB416=1,INT(B416)*1440+Z416,"")</f>
        <v/>
      </c>
      <c r="AX416" s="80" t="str">
        <f>IF(AB416=1,AW416+AD416,"")</f>
        <v/>
      </c>
      <c r="AY416" s="80">
        <f>IF(AND(AB416=1,AV416=0,AU416=1),1,0)</f>
        <v>0</v>
      </c>
      <c r="AZ416" s="80">
        <f>IF(AY416=1,COUNTIFS(R_Emp,D416,R_SAbs,"&lt;"&amp;AX416,R_EAbs,"&gt;"&amp;AW416,R_OKey,1)-1,0)</f>
        <v>0</v>
      </c>
      <c r="BA416" s="80">
        <f>IF(AY416=1,COUNTIFS(R_Emp,"&lt;&gt;"&amp;D416,R_SAbs,"&lt;"&amp;AX416,R_EAbs,"&gt;"&amp;AW416,R_OKey,1),0)</f>
        <v>0</v>
      </c>
      <c r="BB416" s="80">
        <f>IF(AND(AB416=1,D416="proMX"),IF(AND(MOD(Z416,CFG_BLK)=0,MOD(AA416,CFG_BLK)=0,MOD(AG416,CFG_BLK)=0,AG416&gt;0),1,0),1)</f>
        <v>1</v>
      </c>
      <c r="BC416" s="80" t="str">
        <f>IF(Y416=0,"",IF(NOT(ISNUMBER(B416)),"Falta fecha o fecha inválida",IF(D416="","Falta empresa",IF(AND(D416&lt;&gt;"Malcolm",D416&lt;&gt;"proMX"),"Empresa inválida",IF(OR(INT(B416)&lt;CFG_PSTART,INT(B416)&gt;CFG_PEND),"Fecha fuera del período",IF(OR(NOT(ISNUMBER(Z416)),NOT(ISNUMBER(AA416))),"Falta hora inicio/fin o formato inválido",IF(AB416=0,"Hora inicio = hora fin",IF(AE416&lt;0,"Descanso inválido",IF(AE416&gt;=AD416,"Descanso ≥ duración",IF(AV416=1,"Registro duplicado",IF(AZ416&gt;0,"Se superpone con otro registro "&amp;D416,IF(BB416=0,"inicio, fin y duración neta deben ser múltiplos de "&amp;CFG_BLK&amp;" min",""))))))))))))</f>
        <v/>
      </c>
      <c r="BD416" s="80">
        <f>IF(AND(Y416=1,BC416=""),1,0)</f>
        <v>0</v>
      </c>
      <c r="BE416" s="80">
        <f>IF(AND(BD416=1,AU416=1),1,0)</f>
        <v>0</v>
      </c>
      <c r="BF416" s="80" t="str">
        <f>IF(AND(D416="proMX",BD416=1),IF(R416="","Draft",R416),"")</f>
        <v/>
      </c>
      <c r="BG416" s="80">
        <f>IF(BD416=1,ROUND(AG416/60,6),0)</f>
        <v>0</v>
      </c>
      <c r="BH416" s="80">
        <f>IF(BE416=1,ROUND(AG416/60,6),0)</f>
        <v>0</v>
      </c>
      <c r="BI416" s="80">
        <f>IF(BE416=1,ROUND(AP416/60,6),0)</f>
        <v>0</v>
      </c>
      <c r="BJ416" s="80">
        <f>IF(BE416=1,ROUND(AQ416/60,6),0)</f>
        <v>0</v>
      </c>
      <c r="BK416" s="80">
        <f>IF(BE416=1,ROUND((AR416+AS416)/60,6),0)</f>
        <v>0</v>
      </c>
      <c r="BL416" s="80">
        <f>ROUND(BH416-BK416,6)</f>
        <v>0</v>
      </c>
      <c r="BM416" s="80">
        <f>IF(BE416=1,ROUND(AR416/60,6),0)</f>
        <v>0</v>
      </c>
      <c r="BN416" s="80">
        <f>ROUND(BI416-BM416,6)</f>
        <v>0</v>
      </c>
      <c r="BO416" s="80">
        <f>IF(BE416=1,ROUND(AS416/60,6),0)</f>
        <v>0</v>
      </c>
      <c r="BP416" s="80">
        <f>ROUND(BJ416-BO416,6)</f>
        <v>0</v>
      </c>
      <c r="BQ416" s="80">
        <f>IF(BE416=1,AW416,0)</f>
        <v>0</v>
      </c>
      <c r="BR416" s="80">
        <f>IF(BE416=1,AX416,0)</f>
        <v>0</v>
      </c>
      <c r="BS416" s="80">
        <f>IF(AND(BE416=1,D416="Malcolm",BA416&gt;0),MIN(BH416,SUMPRODUCT((R_Emp="proMX")*(R_EN&gt;0)*((R_EN-(R_EN&gt;BR416)*(R_EN-BR416))&gt;(R_SN+(R_SN&lt;BQ416)*(BQ416-R_SN)))*((R_EN-(R_EN&gt;BR416)*(R_EN-BR416))-(R_SN+(R_SN&lt;BQ416)*(BQ416-R_SN))))/60),0)</f>
        <v>0</v>
      </c>
      <c r="BT416" s="80">
        <f>IF(AND(BE416=1,D416="proMX"),ROUND(BI416*CFG_RATE+BJ416*CFG_OTRATE,6),0)</f>
        <v>0</v>
      </c>
      <c r="BU416" s="80">
        <f>IF(AND(BD416=1,D416="proMX"),ROUND(AG416/CFG_BLK,6),0)</f>
        <v>0</v>
      </c>
      <c r="BV416" s="80" t="str">
        <f>IF(BF416="Approved",IF(ISNUMBER(T416),INT(T416),INT(B416)),"")</f>
        <v/>
      </c>
      <c r="BW416" s="80">
        <f>IF(ISNUMBER(B416),IF(DB_MON="Todos",1,IF(AND(INT(B416)&gt;=DB_MS,INT(B416)&lt;=DB_ME),1,0)),0)</f>
        <v>0</v>
      </c>
      <c r="BX416" s="80">
        <f>IF(DB_PROJ="Todos",1,IF(E416&amp;""=DB_PROJ&amp;"",1,0))</f>
        <v>1</v>
      </c>
      <c r="BY416" s="80">
        <f>BW416*BX416</f>
        <v>0</v>
      </c>
      <c r="BZ416" s="80" t="str">
        <f>IF(Y416=1,F416&amp;IF(AND(F416&amp;""&lt;&gt;"",E416&amp;""&lt;&gt;"")," · ","")&amp;E416,"")</f>
        <v/>
      </c>
      <c r="CA416" s="80" t="str">
        <f>IF(AND(BD416=1,E416&amp;""&lt;&gt;""),IF(COUNTIFS($E$5:E415,E416,$BD$5:BD415,1)=0,MAX($CA$5:CA415)+1,""),"")</f>
        <v/>
      </c>
      <c r="CB416" s="80" t="str">
        <f>IF(AND(BE416=1,D416="Malcolm",E416&amp;""&lt;&gt;""),IF(COUNTIFS($D$5:D415,"Malcolm",$E$5:E415,E416,$BE$5:BE415,1)=0,MAX($CB$5:CB415)+1,""),"")</f>
        <v/>
      </c>
      <c r="CC416" s="80" t="str">
        <f>IF(AND(BD416=1,D416="proMX",E416&amp;""&lt;&gt;""),IF(COUNTIFS($D$5:D415,"proMX",$E$5:E415,E416,$BD$5:BD415,1)=0,MAX($CC$5:CC415)+1,""),"")</f>
        <v/>
      </c>
      <c r="CD416" s="80" t="str">
        <f>IF(AND(BE416=1,D416="Malcolm",F416&amp;""&lt;&gt;""),IF(COUNTIFS($D$5:D415,"Malcolm",$F$5:F415,F416,$BE$5:BE415,1)=0,MAX($CD$5:CD415)+1,""),"")</f>
        <v/>
      </c>
      <c r="CE416" s="80" t="str">
        <f>IF(AND(BD416=1,D416="proMX",F416&amp;""&lt;&gt;""),IF(COUNTIFS($D$5:D415,"proMX",$F$5:F415,F416,$BD$5:BD415,1)=0,MAX($CE$5:CE415)+1,""),"")</f>
        <v/>
      </c>
      <c r="CF416" s="80" t="str">
        <f>IF(AND(D416="proMX",BD416=1),IF(OR(BF416="Draft",BF416="Submitted",BF416="Returned",BF416="Recall Requested"),MAX($CF$5:CF415)+1,""),"")</f>
        <v/>
      </c>
      <c r="CG416" s="80">
        <f>IF(BD416=0,0,IF(D416="Malcolm",1,MATCH(BF416,{"Draft","Submitted","Approved","Returned","Recall Requested","Cancelled"},0)+1))</f>
        <v>0</v>
      </c>
      <c r="CH416" s="80">
        <f>IF(AND(BF416="Submitted",ISNUMBER(V416)),IF(V416&gt;CFG_MAXD,1,0),0)</f>
        <v>0</v>
      </c>
    </row>
    <row r="417">
      <c r="A417" s="71" t="str">
        <f>IF(Y417=1,ROW()-5,"")</f>
        <v/>
      </c>
      <c r="B417" s="72" t="n"/>
      <c r="C417" s="71" t="str">
        <f>IF(ISNUMBER(B417),CHOOSE(WEEKDAY(B417,2),"Lun","Mar","Mié","Jue","Vie","Sáb","Dom"),"")</f>
        <v/>
      </c>
      <c r="D417" s="73" t="n"/>
      <c r="E417" s="74" t="n"/>
      <c r="F417" s="74" t="n"/>
      <c r="G417" s="74" t="n"/>
      <c r="H417" s="75" t="n"/>
      <c r="I417" s="75" t="n"/>
      <c r="J417" s="76" t="n"/>
      <c r="K417" s="77" t="str">
        <f>IF(AB417=1,ROUND(AG417/60,4),"")</f>
        <v/>
      </c>
      <c r="L417" s="77" t="str">
        <f>IF(BD417=1,ROUND(AP417/60,4),"")</f>
        <v/>
      </c>
      <c r="M417" s="77" t="str">
        <f>IF(BD417=1,ROUND(AQ417/60,4),"")</f>
        <v/>
      </c>
      <c r="N417" s="71" t="str">
        <f>IF(AND(D417="proMX",AB417=1),ROUND(AG417/CFG_BLK,2),"")</f>
        <v/>
      </c>
      <c r="O417" s="77" t="str">
        <f>IF(D417="proMX",IF(BD417=1,ROUND(AG417/60,4),0),"")</f>
        <v/>
      </c>
      <c r="P417" s="78" t="str">
        <f>IF(Y417=0,"",IF(BD417=1,"OK",IF(D417="proMX","Revisar bloques: ","Revisar: ")&amp;BC417))</f>
        <v/>
      </c>
      <c r="Q417" s="78" t="str">
        <f>IF(NOT(ISNUMBER(B417)),"",IF(COUNTIFS(FER_F,INT(B417))&gt;0,"Feriado"&amp;IF(AH417=1," (laborable)"," (no laborable)"),IF(AH417=1,"Laborable",IF(WEEKDAY(B417,2)&gt;5,"Fin de semana","No laborable"))))</f>
        <v/>
      </c>
      <c r="R417" s="73" t="n"/>
      <c r="S417" s="72" t="n"/>
      <c r="T417" s="72" t="n"/>
      <c r="U417" s="74" t="n"/>
      <c r="V417" s="79" t="str">
        <f>IF(AND(D417="proMX",OR(R417="Submitted",R417="Recall Requested"),ISNUMBER(S417)),CFG_TODAY-INT(S417),"")</f>
        <v/>
      </c>
      <c r="W417" s="78" t="str">
        <f>IF(BD417=0,"",IF(BA417&gt;0,"⚠ Se superpone con un registro de la otra empresa",IF(D417="Malcolm",IF(COUNTA(R417,S417,T417)&gt;0,"Estado/fechas proMX se ignoran en Malcolm",""),IF(BF417="Cancelled","Cancelado: excluido de totales",IF(R417="","Sin estado: se trata como Draft",IF(BF417="Submitted",IF(ISNUMBER(V417),IF(V417&gt;CFG_MAXD,"⚠ "&amp;V417&amp;" días en Submitted (máx. "&amp;CFG_MAXD&amp;")",""),"Falta fecha de envío"),IF(BF417="Returned","⚠ Devuelto: corregir y reenviar",IF(BF417="Recall Requested","Retirada solicitada: pendiente",IF(AND(BF417="Approved",NOT(ISNUMBER(T417))),"Falta fecha de aprobación",IF(AND(ISNUMBER(S417),ISNUMBER(T417),T417&lt;S417),"Aprobación anterior al envío","")))))))))</f>
        <v/>
      </c>
      <c r="Y417" s="80">
        <f>IF(COUNTA(B417,D417,E417,F417,G417,H417,I417,J417,R417,S417,T417)&gt;0,1,0)</f>
        <v>0</v>
      </c>
      <c r="Z417" s="80" t="str">
        <f>IF(AND(ISNUMBER(H417),H417&gt;=0,H417&lt;1),ROUND(H417*1440,0),"")</f>
        <v/>
      </c>
      <c r="AA417" s="80" t="str">
        <f>IF(AND(ISNUMBER(I417),I417&gt;=0,I417&lt;1),ROUND(I417*1440,0),"")</f>
        <v/>
      </c>
      <c r="AB417" s="80">
        <f>IF(AND(ISNUMBER(B417),D417&lt;&gt;"",ISNUMBER(Z417),ISNUMBER(AA417)),IF(Z417=AA417,0,1),0)</f>
        <v>0</v>
      </c>
      <c r="AC417" s="80">
        <f>IF(AB417=1,IF(AA417&lt;Z417,1,0),0)</f>
        <v>0</v>
      </c>
      <c r="AD417" s="80">
        <f>IF(AB417=1,IF(AC417=1,1440-Z417+AA417,AA417-Z417),0)</f>
        <v>0</v>
      </c>
      <c r="AE417" s="80">
        <f>IF(J417="",0,IF(ISNUMBER(J417),J417,-1))</f>
        <v>0</v>
      </c>
      <c r="AF417" s="80">
        <f>MIN(MAX(0,AE417),AD417)</f>
        <v>0</v>
      </c>
      <c r="AG417" s="80">
        <f>MAX(0,AD417-MAX(0,AE417))</f>
        <v>0</v>
      </c>
      <c r="AH417" s="80">
        <f>IF(ISNUMBER(B417),IF(AND(INDEX(CFG_WDAYS,WEEKDAY(INT(B417),2))="Sí",IF(D417="proMX",COUNTIFS(FER_F,INT(B417),FER_NLP,"Sí"),COUNTIFS(FER_F,INT(B417),FER_NLM,"Sí"))=0),1,0),0)</f>
        <v>0</v>
      </c>
      <c r="AI417" s="80">
        <f>IF(AC417=1,IF(AND(INDEX(CFG_WDAYS,WEEKDAY(INT(B417)+1,2))="Sí",IF(D417="proMX",COUNTIFS(FER_F,INT(B417)+1,FER_NLP,"Sí"),COUNTIFS(FER_F,INT(B417)+1,FER_NLM,"Sí"))=0),1,0),0)</f>
        <v>0</v>
      </c>
      <c r="AJ417" s="80">
        <f>IF(AC417=1,1440-Z417,AD417)</f>
        <v>0</v>
      </c>
      <c r="AK417" s="80">
        <f>IF(AND(AB417=1,AH417=1),MAX(0,MIN(IF(AC417=1,1440,AA417),CFG_WEM)-MAX(Z417,CFG_WSM)),0)</f>
        <v>0</v>
      </c>
      <c r="AL417" s="80">
        <f>IF(AND(AC417=1,AI417=1),MAX(0,MIN(AA417,CFG_WEM)-CFG_WSM),0)</f>
        <v>0</v>
      </c>
      <c r="AM417" s="80">
        <f>AK417+AL417</f>
        <v>0</v>
      </c>
      <c r="AN417" s="80">
        <f>IF(CFG_BRK="Proporcional",IF(AD417=0,0,AF417*AM417/AD417),IF(CFG_BRK="Extras primero",MIN(AM417,MAX(0,AF417-(AD417-AM417))),MIN(AF417,AM417)))</f>
        <v>0</v>
      </c>
      <c r="AO417" s="80">
        <f>AF417-AN417</f>
        <v>0</v>
      </c>
      <c r="AP417" s="80">
        <f>AM417-AN417</f>
        <v>0</v>
      </c>
      <c r="AQ417" s="80">
        <f>AD417-AM417-AO417</f>
        <v>0</v>
      </c>
      <c r="AR417" s="80">
        <f>IF(AM417=0,0,AK417-AN417*AK417/AM417)</f>
        <v>0</v>
      </c>
      <c r="AS417" s="80">
        <f>IF(AD417-AM417=0,0,(AJ417-AK417)-AO417*(AJ417-AK417)/(AD417-AM417))</f>
        <v>0</v>
      </c>
      <c r="AT417" s="80" t="str">
        <f>IF(AC417=1,INT(B417)+1,"")</f>
        <v/>
      </c>
      <c r="AU417" s="80">
        <f>IF(AND(D417="proMX",R417="Cancelled"),0,1)</f>
        <v>1</v>
      </c>
      <c r="AV417" s="80">
        <f>IF(AND(AB417=1,AU417=1),IF(COUNTIFS($D$5:D416,D417,$B$5:B416,B417,$Z$5:Z416,Z417,$AA$5:AA416,AA417,$F$5:F416,F417&amp;"",$AU$5:AU416,1)&gt;0,1,0),0)</f>
        <v>0</v>
      </c>
      <c r="AW417" s="80" t="str">
        <f>IF(AB417=1,INT(B417)*1440+Z417,"")</f>
        <v/>
      </c>
      <c r="AX417" s="80" t="str">
        <f>IF(AB417=1,AW417+AD417,"")</f>
        <v/>
      </c>
      <c r="AY417" s="80">
        <f>IF(AND(AB417=1,AV417=0,AU417=1),1,0)</f>
        <v>0</v>
      </c>
      <c r="AZ417" s="80">
        <f>IF(AY417=1,COUNTIFS(R_Emp,D417,R_SAbs,"&lt;"&amp;AX417,R_EAbs,"&gt;"&amp;AW417,R_OKey,1)-1,0)</f>
        <v>0</v>
      </c>
      <c r="BA417" s="80">
        <f>IF(AY417=1,COUNTIFS(R_Emp,"&lt;&gt;"&amp;D417,R_SAbs,"&lt;"&amp;AX417,R_EAbs,"&gt;"&amp;AW417,R_OKey,1),0)</f>
        <v>0</v>
      </c>
      <c r="BB417" s="80">
        <f>IF(AND(AB417=1,D417="proMX"),IF(AND(MOD(Z417,CFG_BLK)=0,MOD(AA417,CFG_BLK)=0,MOD(AG417,CFG_BLK)=0,AG417&gt;0),1,0),1)</f>
        <v>1</v>
      </c>
      <c r="BC417" s="80" t="str">
        <f>IF(Y417=0,"",IF(NOT(ISNUMBER(B417)),"Falta fecha o fecha inválida",IF(D417="","Falta empresa",IF(AND(D417&lt;&gt;"Malcolm",D417&lt;&gt;"proMX"),"Empresa inválida",IF(OR(INT(B417)&lt;CFG_PSTART,INT(B417)&gt;CFG_PEND),"Fecha fuera del período",IF(OR(NOT(ISNUMBER(Z417)),NOT(ISNUMBER(AA417))),"Falta hora inicio/fin o formato inválido",IF(AB417=0,"Hora inicio = hora fin",IF(AE417&lt;0,"Descanso inválido",IF(AE417&gt;=AD417,"Descanso ≥ duración",IF(AV417=1,"Registro duplicado",IF(AZ417&gt;0,"Se superpone con otro registro "&amp;D417,IF(BB417=0,"inicio, fin y duración neta deben ser múltiplos de "&amp;CFG_BLK&amp;" min",""))))))))))))</f>
        <v/>
      </c>
      <c r="BD417" s="80">
        <f>IF(AND(Y417=1,BC417=""),1,0)</f>
        <v>0</v>
      </c>
      <c r="BE417" s="80">
        <f>IF(AND(BD417=1,AU417=1),1,0)</f>
        <v>0</v>
      </c>
      <c r="BF417" s="80" t="str">
        <f>IF(AND(D417="proMX",BD417=1),IF(R417="","Draft",R417),"")</f>
        <v/>
      </c>
      <c r="BG417" s="80">
        <f>IF(BD417=1,ROUND(AG417/60,6),0)</f>
        <v>0</v>
      </c>
      <c r="BH417" s="80">
        <f>IF(BE417=1,ROUND(AG417/60,6),0)</f>
        <v>0</v>
      </c>
      <c r="BI417" s="80">
        <f>IF(BE417=1,ROUND(AP417/60,6),0)</f>
        <v>0</v>
      </c>
      <c r="BJ417" s="80">
        <f>IF(BE417=1,ROUND(AQ417/60,6),0)</f>
        <v>0</v>
      </c>
      <c r="BK417" s="80">
        <f>IF(BE417=1,ROUND((AR417+AS417)/60,6),0)</f>
        <v>0</v>
      </c>
      <c r="BL417" s="80">
        <f>ROUND(BH417-BK417,6)</f>
        <v>0</v>
      </c>
      <c r="BM417" s="80">
        <f>IF(BE417=1,ROUND(AR417/60,6),0)</f>
        <v>0</v>
      </c>
      <c r="BN417" s="80">
        <f>ROUND(BI417-BM417,6)</f>
        <v>0</v>
      </c>
      <c r="BO417" s="80">
        <f>IF(BE417=1,ROUND(AS417/60,6),0)</f>
        <v>0</v>
      </c>
      <c r="BP417" s="80">
        <f>ROUND(BJ417-BO417,6)</f>
        <v>0</v>
      </c>
      <c r="BQ417" s="80">
        <f>IF(BE417=1,AW417,0)</f>
        <v>0</v>
      </c>
      <c r="BR417" s="80">
        <f>IF(BE417=1,AX417,0)</f>
        <v>0</v>
      </c>
      <c r="BS417" s="80">
        <f>IF(AND(BE417=1,D417="Malcolm",BA417&gt;0),MIN(BH417,SUMPRODUCT((R_Emp="proMX")*(R_EN&gt;0)*((R_EN-(R_EN&gt;BR417)*(R_EN-BR417))&gt;(R_SN+(R_SN&lt;BQ417)*(BQ417-R_SN)))*((R_EN-(R_EN&gt;BR417)*(R_EN-BR417))-(R_SN+(R_SN&lt;BQ417)*(BQ417-R_SN))))/60),0)</f>
        <v>0</v>
      </c>
      <c r="BT417" s="80">
        <f>IF(AND(BE417=1,D417="proMX"),ROUND(BI417*CFG_RATE+BJ417*CFG_OTRATE,6),0)</f>
        <v>0</v>
      </c>
      <c r="BU417" s="80">
        <f>IF(AND(BD417=1,D417="proMX"),ROUND(AG417/CFG_BLK,6),0)</f>
        <v>0</v>
      </c>
      <c r="BV417" s="80" t="str">
        <f>IF(BF417="Approved",IF(ISNUMBER(T417),INT(T417),INT(B417)),"")</f>
        <v/>
      </c>
      <c r="BW417" s="80">
        <f>IF(ISNUMBER(B417),IF(DB_MON="Todos",1,IF(AND(INT(B417)&gt;=DB_MS,INT(B417)&lt;=DB_ME),1,0)),0)</f>
        <v>0</v>
      </c>
      <c r="BX417" s="80">
        <f>IF(DB_PROJ="Todos",1,IF(E417&amp;""=DB_PROJ&amp;"",1,0))</f>
        <v>1</v>
      </c>
      <c r="BY417" s="80">
        <f>BW417*BX417</f>
        <v>0</v>
      </c>
      <c r="BZ417" s="80" t="str">
        <f>IF(Y417=1,F417&amp;IF(AND(F417&amp;""&lt;&gt;"",E417&amp;""&lt;&gt;"")," · ","")&amp;E417,"")</f>
        <v/>
      </c>
      <c r="CA417" s="80" t="str">
        <f>IF(AND(BD417=1,E417&amp;""&lt;&gt;""),IF(COUNTIFS($E$5:E416,E417,$BD$5:BD416,1)=0,MAX($CA$5:CA416)+1,""),"")</f>
        <v/>
      </c>
      <c r="CB417" s="80" t="str">
        <f>IF(AND(BE417=1,D417="Malcolm",E417&amp;""&lt;&gt;""),IF(COUNTIFS($D$5:D416,"Malcolm",$E$5:E416,E417,$BE$5:BE416,1)=0,MAX($CB$5:CB416)+1,""),"")</f>
        <v/>
      </c>
      <c r="CC417" s="80" t="str">
        <f>IF(AND(BD417=1,D417="proMX",E417&amp;""&lt;&gt;""),IF(COUNTIFS($D$5:D416,"proMX",$E$5:E416,E417,$BD$5:BD416,1)=0,MAX($CC$5:CC416)+1,""),"")</f>
        <v/>
      </c>
      <c r="CD417" s="80" t="str">
        <f>IF(AND(BE417=1,D417="Malcolm",F417&amp;""&lt;&gt;""),IF(COUNTIFS($D$5:D416,"Malcolm",$F$5:F416,F417,$BE$5:BE416,1)=0,MAX($CD$5:CD416)+1,""),"")</f>
        <v/>
      </c>
      <c r="CE417" s="80" t="str">
        <f>IF(AND(BD417=1,D417="proMX",F417&amp;""&lt;&gt;""),IF(COUNTIFS($D$5:D416,"proMX",$F$5:F416,F417,$BD$5:BD416,1)=0,MAX($CE$5:CE416)+1,""),"")</f>
        <v/>
      </c>
      <c r="CF417" s="80" t="str">
        <f>IF(AND(D417="proMX",BD417=1),IF(OR(BF417="Draft",BF417="Submitted",BF417="Returned",BF417="Recall Requested"),MAX($CF$5:CF416)+1,""),"")</f>
        <v/>
      </c>
      <c r="CG417" s="80">
        <f>IF(BD417=0,0,IF(D417="Malcolm",1,MATCH(BF417,{"Draft","Submitted","Approved","Returned","Recall Requested","Cancelled"},0)+1))</f>
        <v>0</v>
      </c>
      <c r="CH417" s="80">
        <f>IF(AND(BF417="Submitted",ISNUMBER(V417)),IF(V417&gt;CFG_MAXD,1,0),0)</f>
        <v>0</v>
      </c>
    </row>
    <row r="418">
      <c r="A418" s="71" t="str">
        <f>IF(Y418=1,ROW()-5,"")</f>
        <v/>
      </c>
      <c r="B418" s="72" t="n"/>
      <c r="C418" s="71" t="str">
        <f>IF(ISNUMBER(B418),CHOOSE(WEEKDAY(B418,2),"Lun","Mar","Mié","Jue","Vie","Sáb","Dom"),"")</f>
        <v/>
      </c>
      <c r="D418" s="73" t="n"/>
      <c r="E418" s="74" t="n"/>
      <c r="F418" s="74" t="n"/>
      <c r="G418" s="74" t="n"/>
      <c r="H418" s="75" t="n"/>
      <c r="I418" s="75" t="n"/>
      <c r="J418" s="76" t="n"/>
      <c r="K418" s="77" t="str">
        <f>IF(AB418=1,ROUND(AG418/60,4),"")</f>
        <v/>
      </c>
      <c r="L418" s="77" t="str">
        <f>IF(BD418=1,ROUND(AP418/60,4),"")</f>
        <v/>
      </c>
      <c r="M418" s="77" t="str">
        <f>IF(BD418=1,ROUND(AQ418/60,4),"")</f>
        <v/>
      </c>
      <c r="N418" s="71" t="str">
        <f>IF(AND(D418="proMX",AB418=1),ROUND(AG418/CFG_BLK,2),"")</f>
        <v/>
      </c>
      <c r="O418" s="77" t="str">
        <f>IF(D418="proMX",IF(BD418=1,ROUND(AG418/60,4),0),"")</f>
        <v/>
      </c>
      <c r="P418" s="78" t="str">
        <f>IF(Y418=0,"",IF(BD418=1,"OK",IF(D418="proMX","Revisar bloques: ","Revisar: ")&amp;BC418))</f>
        <v/>
      </c>
      <c r="Q418" s="78" t="str">
        <f>IF(NOT(ISNUMBER(B418)),"",IF(COUNTIFS(FER_F,INT(B418))&gt;0,"Feriado"&amp;IF(AH418=1," (laborable)"," (no laborable)"),IF(AH418=1,"Laborable",IF(WEEKDAY(B418,2)&gt;5,"Fin de semana","No laborable"))))</f>
        <v/>
      </c>
      <c r="R418" s="73" t="n"/>
      <c r="S418" s="72" t="n"/>
      <c r="T418" s="72" t="n"/>
      <c r="U418" s="74" t="n"/>
      <c r="V418" s="79" t="str">
        <f>IF(AND(D418="proMX",OR(R418="Submitted",R418="Recall Requested"),ISNUMBER(S418)),CFG_TODAY-INT(S418),"")</f>
        <v/>
      </c>
      <c r="W418" s="78" t="str">
        <f>IF(BD418=0,"",IF(BA418&gt;0,"⚠ Se superpone con un registro de la otra empresa",IF(D418="Malcolm",IF(COUNTA(R418,S418,T418)&gt;0,"Estado/fechas proMX se ignoran en Malcolm",""),IF(BF418="Cancelled","Cancelado: excluido de totales",IF(R418="","Sin estado: se trata como Draft",IF(BF418="Submitted",IF(ISNUMBER(V418),IF(V418&gt;CFG_MAXD,"⚠ "&amp;V418&amp;" días en Submitted (máx. "&amp;CFG_MAXD&amp;")",""),"Falta fecha de envío"),IF(BF418="Returned","⚠ Devuelto: corregir y reenviar",IF(BF418="Recall Requested","Retirada solicitada: pendiente",IF(AND(BF418="Approved",NOT(ISNUMBER(T418))),"Falta fecha de aprobación",IF(AND(ISNUMBER(S418),ISNUMBER(T418),T418&lt;S418),"Aprobación anterior al envío","")))))))))</f>
        <v/>
      </c>
      <c r="Y418" s="80">
        <f>IF(COUNTA(B418,D418,E418,F418,G418,H418,I418,J418,R418,S418,T418)&gt;0,1,0)</f>
        <v>0</v>
      </c>
      <c r="Z418" s="80" t="str">
        <f>IF(AND(ISNUMBER(H418),H418&gt;=0,H418&lt;1),ROUND(H418*1440,0),"")</f>
        <v/>
      </c>
      <c r="AA418" s="80" t="str">
        <f>IF(AND(ISNUMBER(I418),I418&gt;=0,I418&lt;1),ROUND(I418*1440,0),"")</f>
        <v/>
      </c>
      <c r="AB418" s="80">
        <f>IF(AND(ISNUMBER(B418),D418&lt;&gt;"",ISNUMBER(Z418),ISNUMBER(AA418)),IF(Z418=AA418,0,1),0)</f>
        <v>0</v>
      </c>
      <c r="AC418" s="80">
        <f>IF(AB418=1,IF(AA418&lt;Z418,1,0),0)</f>
        <v>0</v>
      </c>
      <c r="AD418" s="80">
        <f>IF(AB418=1,IF(AC418=1,1440-Z418+AA418,AA418-Z418),0)</f>
        <v>0</v>
      </c>
      <c r="AE418" s="80">
        <f>IF(J418="",0,IF(ISNUMBER(J418),J418,-1))</f>
        <v>0</v>
      </c>
      <c r="AF418" s="80">
        <f>MIN(MAX(0,AE418),AD418)</f>
        <v>0</v>
      </c>
      <c r="AG418" s="80">
        <f>MAX(0,AD418-MAX(0,AE418))</f>
        <v>0</v>
      </c>
      <c r="AH418" s="80">
        <f>IF(ISNUMBER(B418),IF(AND(INDEX(CFG_WDAYS,WEEKDAY(INT(B418),2))="Sí",IF(D418="proMX",COUNTIFS(FER_F,INT(B418),FER_NLP,"Sí"),COUNTIFS(FER_F,INT(B418),FER_NLM,"Sí"))=0),1,0),0)</f>
        <v>0</v>
      </c>
      <c r="AI418" s="80">
        <f>IF(AC418=1,IF(AND(INDEX(CFG_WDAYS,WEEKDAY(INT(B418)+1,2))="Sí",IF(D418="proMX",COUNTIFS(FER_F,INT(B418)+1,FER_NLP,"Sí"),COUNTIFS(FER_F,INT(B418)+1,FER_NLM,"Sí"))=0),1,0),0)</f>
        <v>0</v>
      </c>
      <c r="AJ418" s="80">
        <f>IF(AC418=1,1440-Z418,AD418)</f>
        <v>0</v>
      </c>
      <c r="AK418" s="80">
        <f>IF(AND(AB418=1,AH418=1),MAX(0,MIN(IF(AC418=1,1440,AA418),CFG_WEM)-MAX(Z418,CFG_WSM)),0)</f>
        <v>0</v>
      </c>
      <c r="AL418" s="80">
        <f>IF(AND(AC418=1,AI418=1),MAX(0,MIN(AA418,CFG_WEM)-CFG_WSM),0)</f>
        <v>0</v>
      </c>
      <c r="AM418" s="80">
        <f>AK418+AL418</f>
        <v>0</v>
      </c>
      <c r="AN418" s="80">
        <f>IF(CFG_BRK="Proporcional",IF(AD418=0,0,AF418*AM418/AD418),IF(CFG_BRK="Extras primero",MIN(AM418,MAX(0,AF418-(AD418-AM418))),MIN(AF418,AM418)))</f>
        <v>0</v>
      </c>
      <c r="AO418" s="80">
        <f>AF418-AN418</f>
        <v>0</v>
      </c>
      <c r="AP418" s="80">
        <f>AM418-AN418</f>
        <v>0</v>
      </c>
      <c r="AQ418" s="80">
        <f>AD418-AM418-AO418</f>
        <v>0</v>
      </c>
      <c r="AR418" s="80">
        <f>IF(AM418=0,0,AK418-AN418*AK418/AM418)</f>
        <v>0</v>
      </c>
      <c r="AS418" s="80">
        <f>IF(AD418-AM418=0,0,(AJ418-AK418)-AO418*(AJ418-AK418)/(AD418-AM418))</f>
        <v>0</v>
      </c>
      <c r="AT418" s="80" t="str">
        <f>IF(AC418=1,INT(B418)+1,"")</f>
        <v/>
      </c>
      <c r="AU418" s="80">
        <f>IF(AND(D418="proMX",R418="Cancelled"),0,1)</f>
        <v>1</v>
      </c>
      <c r="AV418" s="80">
        <f>IF(AND(AB418=1,AU418=1),IF(COUNTIFS($D$5:D417,D418,$B$5:B417,B418,$Z$5:Z417,Z418,$AA$5:AA417,AA418,$F$5:F417,F418&amp;"",$AU$5:AU417,1)&gt;0,1,0),0)</f>
        <v>0</v>
      </c>
      <c r="AW418" s="80" t="str">
        <f>IF(AB418=1,INT(B418)*1440+Z418,"")</f>
        <v/>
      </c>
      <c r="AX418" s="80" t="str">
        <f>IF(AB418=1,AW418+AD418,"")</f>
        <v/>
      </c>
      <c r="AY418" s="80">
        <f>IF(AND(AB418=1,AV418=0,AU418=1),1,0)</f>
        <v>0</v>
      </c>
      <c r="AZ418" s="80">
        <f>IF(AY418=1,COUNTIFS(R_Emp,D418,R_SAbs,"&lt;"&amp;AX418,R_EAbs,"&gt;"&amp;AW418,R_OKey,1)-1,0)</f>
        <v>0</v>
      </c>
      <c r="BA418" s="80">
        <f>IF(AY418=1,COUNTIFS(R_Emp,"&lt;&gt;"&amp;D418,R_SAbs,"&lt;"&amp;AX418,R_EAbs,"&gt;"&amp;AW418,R_OKey,1),0)</f>
        <v>0</v>
      </c>
      <c r="BB418" s="80">
        <f>IF(AND(AB418=1,D418="proMX"),IF(AND(MOD(Z418,CFG_BLK)=0,MOD(AA418,CFG_BLK)=0,MOD(AG418,CFG_BLK)=0,AG418&gt;0),1,0),1)</f>
        <v>1</v>
      </c>
      <c r="BC418" s="80" t="str">
        <f>IF(Y418=0,"",IF(NOT(ISNUMBER(B418)),"Falta fecha o fecha inválida",IF(D418="","Falta empresa",IF(AND(D418&lt;&gt;"Malcolm",D418&lt;&gt;"proMX"),"Empresa inválida",IF(OR(INT(B418)&lt;CFG_PSTART,INT(B418)&gt;CFG_PEND),"Fecha fuera del período",IF(OR(NOT(ISNUMBER(Z418)),NOT(ISNUMBER(AA418))),"Falta hora inicio/fin o formato inválido",IF(AB418=0,"Hora inicio = hora fin",IF(AE418&lt;0,"Descanso inválido",IF(AE418&gt;=AD418,"Descanso ≥ duración",IF(AV418=1,"Registro duplicado",IF(AZ418&gt;0,"Se superpone con otro registro "&amp;D418,IF(BB418=0,"inicio, fin y duración neta deben ser múltiplos de "&amp;CFG_BLK&amp;" min",""))))))))))))</f>
        <v/>
      </c>
      <c r="BD418" s="80">
        <f>IF(AND(Y418=1,BC418=""),1,0)</f>
        <v>0</v>
      </c>
      <c r="BE418" s="80">
        <f>IF(AND(BD418=1,AU418=1),1,0)</f>
        <v>0</v>
      </c>
      <c r="BF418" s="80" t="str">
        <f>IF(AND(D418="proMX",BD418=1),IF(R418="","Draft",R418),"")</f>
        <v/>
      </c>
      <c r="BG418" s="80">
        <f>IF(BD418=1,ROUND(AG418/60,6),0)</f>
        <v>0</v>
      </c>
      <c r="BH418" s="80">
        <f>IF(BE418=1,ROUND(AG418/60,6),0)</f>
        <v>0</v>
      </c>
      <c r="BI418" s="80">
        <f>IF(BE418=1,ROUND(AP418/60,6),0)</f>
        <v>0</v>
      </c>
      <c r="BJ418" s="80">
        <f>IF(BE418=1,ROUND(AQ418/60,6),0)</f>
        <v>0</v>
      </c>
      <c r="BK418" s="80">
        <f>IF(BE418=1,ROUND((AR418+AS418)/60,6),0)</f>
        <v>0</v>
      </c>
      <c r="BL418" s="80">
        <f>ROUND(BH418-BK418,6)</f>
        <v>0</v>
      </c>
      <c r="BM418" s="80">
        <f>IF(BE418=1,ROUND(AR418/60,6),0)</f>
        <v>0</v>
      </c>
      <c r="BN418" s="80">
        <f>ROUND(BI418-BM418,6)</f>
        <v>0</v>
      </c>
      <c r="BO418" s="80">
        <f>IF(BE418=1,ROUND(AS418/60,6),0)</f>
        <v>0</v>
      </c>
      <c r="BP418" s="80">
        <f>ROUND(BJ418-BO418,6)</f>
        <v>0</v>
      </c>
      <c r="BQ418" s="80">
        <f>IF(BE418=1,AW418,0)</f>
        <v>0</v>
      </c>
      <c r="BR418" s="80">
        <f>IF(BE418=1,AX418,0)</f>
        <v>0</v>
      </c>
      <c r="BS418" s="80">
        <f>IF(AND(BE418=1,D418="Malcolm",BA418&gt;0),MIN(BH418,SUMPRODUCT((R_Emp="proMX")*(R_EN&gt;0)*((R_EN-(R_EN&gt;BR418)*(R_EN-BR418))&gt;(R_SN+(R_SN&lt;BQ418)*(BQ418-R_SN)))*((R_EN-(R_EN&gt;BR418)*(R_EN-BR418))-(R_SN+(R_SN&lt;BQ418)*(BQ418-R_SN))))/60),0)</f>
        <v>0</v>
      </c>
      <c r="BT418" s="80">
        <f>IF(AND(BE418=1,D418="proMX"),ROUND(BI418*CFG_RATE+BJ418*CFG_OTRATE,6),0)</f>
        <v>0</v>
      </c>
      <c r="BU418" s="80">
        <f>IF(AND(BD418=1,D418="proMX"),ROUND(AG418/CFG_BLK,6),0)</f>
        <v>0</v>
      </c>
      <c r="BV418" s="80" t="str">
        <f>IF(BF418="Approved",IF(ISNUMBER(T418),INT(T418),INT(B418)),"")</f>
        <v/>
      </c>
      <c r="BW418" s="80">
        <f>IF(ISNUMBER(B418),IF(DB_MON="Todos",1,IF(AND(INT(B418)&gt;=DB_MS,INT(B418)&lt;=DB_ME),1,0)),0)</f>
        <v>0</v>
      </c>
      <c r="BX418" s="80">
        <f>IF(DB_PROJ="Todos",1,IF(E418&amp;""=DB_PROJ&amp;"",1,0))</f>
        <v>1</v>
      </c>
      <c r="BY418" s="80">
        <f>BW418*BX418</f>
        <v>0</v>
      </c>
      <c r="BZ418" s="80" t="str">
        <f>IF(Y418=1,F418&amp;IF(AND(F418&amp;""&lt;&gt;"",E418&amp;""&lt;&gt;"")," · ","")&amp;E418,"")</f>
        <v/>
      </c>
      <c r="CA418" s="80" t="str">
        <f>IF(AND(BD418=1,E418&amp;""&lt;&gt;""),IF(COUNTIFS($E$5:E417,E418,$BD$5:BD417,1)=0,MAX($CA$5:CA417)+1,""),"")</f>
        <v/>
      </c>
      <c r="CB418" s="80" t="str">
        <f>IF(AND(BE418=1,D418="Malcolm",E418&amp;""&lt;&gt;""),IF(COUNTIFS($D$5:D417,"Malcolm",$E$5:E417,E418,$BE$5:BE417,1)=0,MAX($CB$5:CB417)+1,""),"")</f>
        <v/>
      </c>
      <c r="CC418" s="80" t="str">
        <f>IF(AND(BD418=1,D418="proMX",E418&amp;""&lt;&gt;""),IF(COUNTIFS($D$5:D417,"proMX",$E$5:E417,E418,$BD$5:BD417,1)=0,MAX($CC$5:CC417)+1,""),"")</f>
        <v/>
      </c>
      <c r="CD418" s="80" t="str">
        <f>IF(AND(BE418=1,D418="Malcolm",F418&amp;""&lt;&gt;""),IF(COUNTIFS($D$5:D417,"Malcolm",$F$5:F417,F418,$BE$5:BE417,1)=0,MAX($CD$5:CD417)+1,""),"")</f>
        <v/>
      </c>
      <c r="CE418" s="80" t="str">
        <f>IF(AND(BD418=1,D418="proMX",F418&amp;""&lt;&gt;""),IF(COUNTIFS($D$5:D417,"proMX",$F$5:F417,F418,$BD$5:BD417,1)=0,MAX($CE$5:CE417)+1,""),"")</f>
        <v/>
      </c>
      <c r="CF418" s="80" t="str">
        <f>IF(AND(D418="proMX",BD418=1),IF(OR(BF418="Draft",BF418="Submitted",BF418="Returned",BF418="Recall Requested"),MAX($CF$5:CF417)+1,""),"")</f>
        <v/>
      </c>
      <c r="CG418" s="80">
        <f>IF(BD418=0,0,IF(D418="Malcolm",1,MATCH(BF418,{"Draft","Submitted","Approved","Returned","Recall Requested","Cancelled"},0)+1))</f>
        <v>0</v>
      </c>
      <c r="CH418" s="80">
        <f>IF(AND(BF418="Submitted",ISNUMBER(V418)),IF(V418&gt;CFG_MAXD,1,0),0)</f>
        <v>0</v>
      </c>
    </row>
    <row r="419">
      <c r="A419" s="71" t="str">
        <f>IF(Y419=1,ROW()-5,"")</f>
        <v/>
      </c>
      <c r="B419" s="72" t="n"/>
      <c r="C419" s="71" t="str">
        <f>IF(ISNUMBER(B419),CHOOSE(WEEKDAY(B419,2),"Lun","Mar","Mié","Jue","Vie","Sáb","Dom"),"")</f>
        <v/>
      </c>
      <c r="D419" s="73" t="n"/>
      <c r="E419" s="74" t="n"/>
      <c r="F419" s="74" t="n"/>
      <c r="G419" s="74" t="n"/>
      <c r="H419" s="75" t="n"/>
      <c r="I419" s="75" t="n"/>
      <c r="J419" s="76" t="n"/>
      <c r="K419" s="77" t="str">
        <f>IF(AB419=1,ROUND(AG419/60,4),"")</f>
        <v/>
      </c>
      <c r="L419" s="77" t="str">
        <f>IF(BD419=1,ROUND(AP419/60,4),"")</f>
        <v/>
      </c>
      <c r="M419" s="77" t="str">
        <f>IF(BD419=1,ROUND(AQ419/60,4),"")</f>
        <v/>
      </c>
      <c r="N419" s="71" t="str">
        <f>IF(AND(D419="proMX",AB419=1),ROUND(AG419/CFG_BLK,2),"")</f>
        <v/>
      </c>
      <c r="O419" s="77" t="str">
        <f>IF(D419="proMX",IF(BD419=1,ROUND(AG419/60,4),0),"")</f>
        <v/>
      </c>
      <c r="P419" s="78" t="str">
        <f>IF(Y419=0,"",IF(BD419=1,"OK",IF(D419="proMX","Revisar bloques: ","Revisar: ")&amp;BC419))</f>
        <v/>
      </c>
      <c r="Q419" s="78" t="str">
        <f>IF(NOT(ISNUMBER(B419)),"",IF(COUNTIFS(FER_F,INT(B419))&gt;0,"Feriado"&amp;IF(AH419=1," (laborable)"," (no laborable)"),IF(AH419=1,"Laborable",IF(WEEKDAY(B419,2)&gt;5,"Fin de semana","No laborable"))))</f>
        <v/>
      </c>
      <c r="R419" s="73" t="n"/>
      <c r="S419" s="72" t="n"/>
      <c r="T419" s="72" t="n"/>
      <c r="U419" s="74" t="n"/>
      <c r="V419" s="79" t="str">
        <f>IF(AND(D419="proMX",OR(R419="Submitted",R419="Recall Requested"),ISNUMBER(S419)),CFG_TODAY-INT(S419),"")</f>
        <v/>
      </c>
      <c r="W419" s="78" t="str">
        <f>IF(BD419=0,"",IF(BA419&gt;0,"⚠ Se superpone con un registro de la otra empresa",IF(D419="Malcolm",IF(COUNTA(R419,S419,T419)&gt;0,"Estado/fechas proMX se ignoran en Malcolm",""),IF(BF419="Cancelled","Cancelado: excluido de totales",IF(R419="","Sin estado: se trata como Draft",IF(BF419="Submitted",IF(ISNUMBER(V419),IF(V419&gt;CFG_MAXD,"⚠ "&amp;V419&amp;" días en Submitted (máx. "&amp;CFG_MAXD&amp;")",""),"Falta fecha de envío"),IF(BF419="Returned","⚠ Devuelto: corregir y reenviar",IF(BF419="Recall Requested","Retirada solicitada: pendiente",IF(AND(BF419="Approved",NOT(ISNUMBER(T419))),"Falta fecha de aprobación",IF(AND(ISNUMBER(S419),ISNUMBER(T419),T419&lt;S419),"Aprobación anterior al envío","")))))))))</f>
        <v/>
      </c>
      <c r="Y419" s="80">
        <f>IF(COUNTA(B419,D419,E419,F419,G419,H419,I419,J419,R419,S419,T419)&gt;0,1,0)</f>
        <v>0</v>
      </c>
      <c r="Z419" s="80" t="str">
        <f>IF(AND(ISNUMBER(H419),H419&gt;=0,H419&lt;1),ROUND(H419*1440,0),"")</f>
        <v/>
      </c>
      <c r="AA419" s="80" t="str">
        <f>IF(AND(ISNUMBER(I419),I419&gt;=0,I419&lt;1),ROUND(I419*1440,0),"")</f>
        <v/>
      </c>
      <c r="AB419" s="80">
        <f>IF(AND(ISNUMBER(B419),D419&lt;&gt;"",ISNUMBER(Z419),ISNUMBER(AA419)),IF(Z419=AA419,0,1),0)</f>
        <v>0</v>
      </c>
      <c r="AC419" s="80">
        <f>IF(AB419=1,IF(AA419&lt;Z419,1,0),0)</f>
        <v>0</v>
      </c>
      <c r="AD419" s="80">
        <f>IF(AB419=1,IF(AC419=1,1440-Z419+AA419,AA419-Z419),0)</f>
        <v>0</v>
      </c>
      <c r="AE419" s="80">
        <f>IF(J419="",0,IF(ISNUMBER(J419),J419,-1))</f>
        <v>0</v>
      </c>
      <c r="AF419" s="80">
        <f>MIN(MAX(0,AE419),AD419)</f>
        <v>0</v>
      </c>
      <c r="AG419" s="80">
        <f>MAX(0,AD419-MAX(0,AE419))</f>
        <v>0</v>
      </c>
      <c r="AH419" s="80">
        <f>IF(ISNUMBER(B419),IF(AND(INDEX(CFG_WDAYS,WEEKDAY(INT(B419),2))="Sí",IF(D419="proMX",COUNTIFS(FER_F,INT(B419),FER_NLP,"Sí"),COUNTIFS(FER_F,INT(B419),FER_NLM,"Sí"))=0),1,0),0)</f>
        <v>0</v>
      </c>
      <c r="AI419" s="80">
        <f>IF(AC419=1,IF(AND(INDEX(CFG_WDAYS,WEEKDAY(INT(B419)+1,2))="Sí",IF(D419="proMX",COUNTIFS(FER_F,INT(B419)+1,FER_NLP,"Sí"),COUNTIFS(FER_F,INT(B419)+1,FER_NLM,"Sí"))=0),1,0),0)</f>
        <v>0</v>
      </c>
      <c r="AJ419" s="80">
        <f>IF(AC419=1,1440-Z419,AD419)</f>
        <v>0</v>
      </c>
      <c r="AK419" s="80">
        <f>IF(AND(AB419=1,AH419=1),MAX(0,MIN(IF(AC419=1,1440,AA419),CFG_WEM)-MAX(Z419,CFG_WSM)),0)</f>
        <v>0</v>
      </c>
      <c r="AL419" s="80">
        <f>IF(AND(AC419=1,AI419=1),MAX(0,MIN(AA419,CFG_WEM)-CFG_WSM),0)</f>
        <v>0</v>
      </c>
      <c r="AM419" s="80">
        <f>AK419+AL419</f>
        <v>0</v>
      </c>
      <c r="AN419" s="80">
        <f>IF(CFG_BRK="Proporcional",IF(AD419=0,0,AF419*AM419/AD419),IF(CFG_BRK="Extras primero",MIN(AM419,MAX(0,AF419-(AD419-AM419))),MIN(AF419,AM419)))</f>
        <v>0</v>
      </c>
      <c r="AO419" s="80">
        <f>AF419-AN419</f>
        <v>0</v>
      </c>
      <c r="AP419" s="80">
        <f>AM419-AN419</f>
        <v>0</v>
      </c>
      <c r="AQ419" s="80">
        <f>AD419-AM419-AO419</f>
        <v>0</v>
      </c>
      <c r="AR419" s="80">
        <f>IF(AM419=0,0,AK419-AN419*AK419/AM419)</f>
        <v>0</v>
      </c>
      <c r="AS419" s="80">
        <f>IF(AD419-AM419=0,0,(AJ419-AK419)-AO419*(AJ419-AK419)/(AD419-AM419))</f>
        <v>0</v>
      </c>
      <c r="AT419" s="80" t="str">
        <f>IF(AC419=1,INT(B419)+1,"")</f>
        <v/>
      </c>
      <c r="AU419" s="80">
        <f>IF(AND(D419="proMX",R419="Cancelled"),0,1)</f>
        <v>1</v>
      </c>
      <c r="AV419" s="80">
        <f>IF(AND(AB419=1,AU419=1),IF(COUNTIFS($D$5:D418,D419,$B$5:B418,B419,$Z$5:Z418,Z419,$AA$5:AA418,AA419,$F$5:F418,F419&amp;"",$AU$5:AU418,1)&gt;0,1,0),0)</f>
        <v>0</v>
      </c>
      <c r="AW419" s="80" t="str">
        <f>IF(AB419=1,INT(B419)*1440+Z419,"")</f>
        <v/>
      </c>
      <c r="AX419" s="80" t="str">
        <f>IF(AB419=1,AW419+AD419,"")</f>
        <v/>
      </c>
      <c r="AY419" s="80">
        <f>IF(AND(AB419=1,AV419=0,AU419=1),1,0)</f>
        <v>0</v>
      </c>
      <c r="AZ419" s="80">
        <f>IF(AY419=1,COUNTIFS(R_Emp,D419,R_SAbs,"&lt;"&amp;AX419,R_EAbs,"&gt;"&amp;AW419,R_OKey,1)-1,0)</f>
        <v>0</v>
      </c>
      <c r="BA419" s="80">
        <f>IF(AY419=1,COUNTIFS(R_Emp,"&lt;&gt;"&amp;D419,R_SAbs,"&lt;"&amp;AX419,R_EAbs,"&gt;"&amp;AW419,R_OKey,1),0)</f>
        <v>0</v>
      </c>
      <c r="BB419" s="80">
        <f>IF(AND(AB419=1,D419="proMX"),IF(AND(MOD(Z419,CFG_BLK)=0,MOD(AA419,CFG_BLK)=0,MOD(AG419,CFG_BLK)=0,AG419&gt;0),1,0),1)</f>
        <v>1</v>
      </c>
      <c r="BC419" s="80" t="str">
        <f>IF(Y419=0,"",IF(NOT(ISNUMBER(B419)),"Falta fecha o fecha inválida",IF(D419="","Falta empresa",IF(AND(D419&lt;&gt;"Malcolm",D419&lt;&gt;"proMX"),"Empresa inválida",IF(OR(INT(B419)&lt;CFG_PSTART,INT(B419)&gt;CFG_PEND),"Fecha fuera del período",IF(OR(NOT(ISNUMBER(Z419)),NOT(ISNUMBER(AA419))),"Falta hora inicio/fin o formato inválido",IF(AB419=0,"Hora inicio = hora fin",IF(AE419&lt;0,"Descanso inválido",IF(AE419&gt;=AD419,"Descanso ≥ duración",IF(AV419=1,"Registro duplicado",IF(AZ419&gt;0,"Se superpone con otro registro "&amp;D419,IF(BB419=0,"inicio, fin y duración neta deben ser múltiplos de "&amp;CFG_BLK&amp;" min",""))))))))))))</f>
        <v/>
      </c>
      <c r="BD419" s="80">
        <f>IF(AND(Y419=1,BC419=""),1,0)</f>
        <v>0</v>
      </c>
      <c r="BE419" s="80">
        <f>IF(AND(BD419=1,AU419=1),1,0)</f>
        <v>0</v>
      </c>
      <c r="BF419" s="80" t="str">
        <f>IF(AND(D419="proMX",BD419=1),IF(R419="","Draft",R419),"")</f>
        <v/>
      </c>
      <c r="BG419" s="80">
        <f>IF(BD419=1,ROUND(AG419/60,6),0)</f>
        <v>0</v>
      </c>
      <c r="BH419" s="80">
        <f>IF(BE419=1,ROUND(AG419/60,6),0)</f>
        <v>0</v>
      </c>
      <c r="BI419" s="80">
        <f>IF(BE419=1,ROUND(AP419/60,6),0)</f>
        <v>0</v>
      </c>
      <c r="BJ419" s="80">
        <f>IF(BE419=1,ROUND(AQ419/60,6),0)</f>
        <v>0</v>
      </c>
      <c r="BK419" s="80">
        <f>IF(BE419=1,ROUND((AR419+AS419)/60,6),0)</f>
        <v>0</v>
      </c>
      <c r="BL419" s="80">
        <f>ROUND(BH419-BK419,6)</f>
        <v>0</v>
      </c>
      <c r="BM419" s="80">
        <f>IF(BE419=1,ROUND(AR419/60,6),0)</f>
        <v>0</v>
      </c>
      <c r="BN419" s="80">
        <f>ROUND(BI419-BM419,6)</f>
        <v>0</v>
      </c>
      <c r="BO419" s="80">
        <f>IF(BE419=1,ROUND(AS419/60,6),0)</f>
        <v>0</v>
      </c>
      <c r="BP419" s="80">
        <f>ROUND(BJ419-BO419,6)</f>
        <v>0</v>
      </c>
      <c r="BQ419" s="80">
        <f>IF(BE419=1,AW419,0)</f>
        <v>0</v>
      </c>
      <c r="BR419" s="80">
        <f>IF(BE419=1,AX419,0)</f>
        <v>0</v>
      </c>
      <c r="BS419" s="80">
        <f>IF(AND(BE419=1,D419="Malcolm",BA419&gt;0),MIN(BH419,SUMPRODUCT((R_Emp="proMX")*(R_EN&gt;0)*((R_EN-(R_EN&gt;BR419)*(R_EN-BR419))&gt;(R_SN+(R_SN&lt;BQ419)*(BQ419-R_SN)))*((R_EN-(R_EN&gt;BR419)*(R_EN-BR419))-(R_SN+(R_SN&lt;BQ419)*(BQ419-R_SN))))/60),0)</f>
        <v>0</v>
      </c>
      <c r="BT419" s="80">
        <f>IF(AND(BE419=1,D419="proMX"),ROUND(BI419*CFG_RATE+BJ419*CFG_OTRATE,6),0)</f>
        <v>0</v>
      </c>
      <c r="BU419" s="80">
        <f>IF(AND(BD419=1,D419="proMX"),ROUND(AG419/CFG_BLK,6),0)</f>
        <v>0</v>
      </c>
      <c r="BV419" s="80" t="str">
        <f>IF(BF419="Approved",IF(ISNUMBER(T419),INT(T419),INT(B419)),"")</f>
        <v/>
      </c>
      <c r="BW419" s="80">
        <f>IF(ISNUMBER(B419),IF(DB_MON="Todos",1,IF(AND(INT(B419)&gt;=DB_MS,INT(B419)&lt;=DB_ME),1,0)),0)</f>
        <v>0</v>
      </c>
      <c r="BX419" s="80">
        <f>IF(DB_PROJ="Todos",1,IF(E419&amp;""=DB_PROJ&amp;"",1,0))</f>
        <v>1</v>
      </c>
      <c r="BY419" s="80">
        <f>BW419*BX419</f>
        <v>0</v>
      </c>
      <c r="BZ419" s="80" t="str">
        <f>IF(Y419=1,F419&amp;IF(AND(F419&amp;""&lt;&gt;"",E419&amp;""&lt;&gt;"")," · ","")&amp;E419,"")</f>
        <v/>
      </c>
      <c r="CA419" s="80" t="str">
        <f>IF(AND(BD419=1,E419&amp;""&lt;&gt;""),IF(COUNTIFS($E$5:E418,E419,$BD$5:BD418,1)=0,MAX($CA$5:CA418)+1,""),"")</f>
        <v/>
      </c>
      <c r="CB419" s="80" t="str">
        <f>IF(AND(BE419=1,D419="Malcolm",E419&amp;""&lt;&gt;""),IF(COUNTIFS($D$5:D418,"Malcolm",$E$5:E418,E419,$BE$5:BE418,1)=0,MAX($CB$5:CB418)+1,""),"")</f>
        <v/>
      </c>
      <c r="CC419" s="80" t="str">
        <f>IF(AND(BD419=1,D419="proMX",E419&amp;""&lt;&gt;""),IF(COUNTIFS($D$5:D418,"proMX",$E$5:E418,E419,$BD$5:BD418,1)=0,MAX($CC$5:CC418)+1,""),"")</f>
        <v/>
      </c>
      <c r="CD419" s="80" t="str">
        <f>IF(AND(BE419=1,D419="Malcolm",F419&amp;""&lt;&gt;""),IF(COUNTIFS($D$5:D418,"Malcolm",$F$5:F418,F419,$BE$5:BE418,1)=0,MAX($CD$5:CD418)+1,""),"")</f>
        <v/>
      </c>
      <c r="CE419" s="80" t="str">
        <f>IF(AND(BD419=1,D419="proMX",F419&amp;""&lt;&gt;""),IF(COUNTIFS($D$5:D418,"proMX",$F$5:F418,F419,$BD$5:BD418,1)=0,MAX($CE$5:CE418)+1,""),"")</f>
        <v/>
      </c>
      <c r="CF419" s="80" t="str">
        <f>IF(AND(D419="proMX",BD419=1),IF(OR(BF419="Draft",BF419="Submitted",BF419="Returned",BF419="Recall Requested"),MAX($CF$5:CF418)+1,""),"")</f>
        <v/>
      </c>
      <c r="CG419" s="80">
        <f>IF(BD419=0,0,IF(D419="Malcolm",1,MATCH(BF419,{"Draft","Submitted","Approved","Returned","Recall Requested","Cancelled"},0)+1))</f>
        <v>0</v>
      </c>
      <c r="CH419" s="80">
        <f>IF(AND(BF419="Submitted",ISNUMBER(V419)),IF(V419&gt;CFG_MAXD,1,0),0)</f>
        <v>0</v>
      </c>
    </row>
    <row r="420">
      <c r="A420" s="71" t="str">
        <f>IF(Y420=1,ROW()-5,"")</f>
        <v/>
      </c>
      <c r="B420" s="72" t="n"/>
      <c r="C420" s="71" t="str">
        <f>IF(ISNUMBER(B420),CHOOSE(WEEKDAY(B420,2),"Lun","Mar","Mié","Jue","Vie","Sáb","Dom"),"")</f>
        <v/>
      </c>
      <c r="D420" s="73" t="n"/>
      <c r="E420" s="74" t="n"/>
      <c r="F420" s="74" t="n"/>
      <c r="G420" s="74" t="n"/>
      <c r="H420" s="75" t="n"/>
      <c r="I420" s="75" t="n"/>
      <c r="J420" s="76" t="n"/>
      <c r="K420" s="77" t="str">
        <f>IF(AB420=1,ROUND(AG420/60,4),"")</f>
        <v/>
      </c>
      <c r="L420" s="77" t="str">
        <f>IF(BD420=1,ROUND(AP420/60,4),"")</f>
        <v/>
      </c>
      <c r="M420" s="77" t="str">
        <f>IF(BD420=1,ROUND(AQ420/60,4),"")</f>
        <v/>
      </c>
      <c r="N420" s="71" t="str">
        <f>IF(AND(D420="proMX",AB420=1),ROUND(AG420/CFG_BLK,2),"")</f>
        <v/>
      </c>
      <c r="O420" s="77" t="str">
        <f>IF(D420="proMX",IF(BD420=1,ROUND(AG420/60,4),0),"")</f>
        <v/>
      </c>
      <c r="P420" s="78" t="str">
        <f>IF(Y420=0,"",IF(BD420=1,"OK",IF(D420="proMX","Revisar bloques: ","Revisar: ")&amp;BC420))</f>
        <v/>
      </c>
      <c r="Q420" s="78" t="str">
        <f>IF(NOT(ISNUMBER(B420)),"",IF(COUNTIFS(FER_F,INT(B420))&gt;0,"Feriado"&amp;IF(AH420=1," (laborable)"," (no laborable)"),IF(AH420=1,"Laborable",IF(WEEKDAY(B420,2)&gt;5,"Fin de semana","No laborable"))))</f>
        <v/>
      </c>
      <c r="R420" s="73" t="n"/>
      <c r="S420" s="72" t="n"/>
      <c r="T420" s="72" t="n"/>
      <c r="U420" s="74" t="n"/>
      <c r="V420" s="79" t="str">
        <f>IF(AND(D420="proMX",OR(R420="Submitted",R420="Recall Requested"),ISNUMBER(S420)),CFG_TODAY-INT(S420),"")</f>
        <v/>
      </c>
      <c r="W420" s="78" t="str">
        <f>IF(BD420=0,"",IF(BA420&gt;0,"⚠ Se superpone con un registro de la otra empresa",IF(D420="Malcolm",IF(COUNTA(R420,S420,T420)&gt;0,"Estado/fechas proMX se ignoran en Malcolm",""),IF(BF420="Cancelled","Cancelado: excluido de totales",IF(R420="","Sin estado: se trata como Draft",IF(BF420="Submitted",IF(ISNUMBER(V420),IF(V420&gt;CFG_MAXD,"⚠ "&amp;V420&amp;" días en Submitted (máx. "&amp;CFG_MAXD&amp;")",""),"Falta fecha de envío"),IF(BF420="Returned","⚠ Devuelto: corregir y reenviar",IF(BF420="Recall Requested","Retirada solicitada: pendiente",IF(AND(BF420="Approved",NOT(ISNUMBER(T420))),"Falta fecha de aprobación",IF(AND(ISNUMBER(S420),ISNUMBER(T420),T420&lt;S420),"Aprobación anterior al envío","")))))))))</f>
        <v/>
      </c>
      <c r="Y420" s="80">
        <f>IF(COUNTA(B420,D420,E420,F420,G420,H420,I420,J420,R420,S420,T420)&gt;0,1,0)</f>
        <v>0</v>
      </c>
      <c r="Z420" s="80" t="str">
        <f>IF(AND(ISNUMBER(H420),H420&gt;=0,H420&lt;1),ROUND(H420*1440,0),"")</f>
        <v/>
      </c>
      <c r="AA420" s="80" t="str">
        <f>IF(AND(ISNUMBER(I420),I420&gt;=0,I420&lt;1),ROUND(I420*1440,0),"")</f>
        <v/>
      </c>
      <c r="AB420" s="80">
        <f>IF(AND(ISNUMBER(B420),D420&lt;&gt;"",ISNUMBER(Z420),ISNUMBER(AA420)),IF(Z420=AA420,0,1),0)</f>
        <v>0</v>
      </c>
      <c r="AC420" s="80">
        <f>IF(AB420=1,IF(AA420&lt;Z420,1,0),0)</f>
        <v>0</v>
      </c>
      <c r="AD420" s="80">
        <f>IF(AB420=1,IF(AC420=1,1440-Z420+AA420,AA420-Z420),0)</f>
        <v>0</v>
      </c>
      <c r="AE420" s="80">
        <f>IF(J420="",0,IF(ISNUMBER(J420),J420,-1))</f>
        <v>0</v>
      </c>
      <c r="AF420" s="80">
        <f>MIN(MAX(0,AE420),AD420)</f>
        <v>0</v>
      </c>
      <c r="AG420" s="80">
        <f>MAX(0,AD420-MAX(0,AE420))</f>
        <v>0</v>
      </c>
      <c r="AH420" s="80">
        <f>IF(ISNUMBER(B420),IF(AND(INDEX(CFG_WDAYS,WEEKDAY(INT(B420),2))="Sí",IF(D420="proMX",COUNTIFS(FER_F,INT(B420),FER_NLP,"Sí"),COUNTIFS(FER_F,INT(B420),FER_NLM,"Sí"))=0),1,0),0)</f>
        <v>0</v>
      </c>
      <c r="AI420" s="80">
        <f>IF(AC420=1,IF(AND(INDEX(CFG_WDAYS,WEEKDAY(INT(B420)+1,2))="Sí",IF(D420="proMX",COUNTIFS(FER_F,INT(B420)+1,FER_NLP,"Sí"),COUNTIFS(FER_F,INT(B420)+1,FER_NLM,"Sí"))=0),1,0),0)</f>
        <v>0</v>
      </c>
      <c r="AJ420" s="80">
        <f>IF(AC420=1,1440-Z420,AD420)</f>
        <v>0</v>
      </c>
      <c r="AK420" s="80">
        <f>IF(AND(AB420=1,AH420=1),MAX(0,MIN(IF(AC420=1,1440,AA420),CFG_WEM)-MAX(Z420,CFG_WSM)),0)</f>
        <v>0</v>
      </c>
      <c r="AL420" s="80">
        <f>IF(AND(AC420=1,AI420=1),MAX(0,MIN(AA420,CFG_WEM)-CFG_WSM),0)</f>
        <v>0</v>
      </c>
      <c r="AM420" s="80">
        <f>AK420+AL420</f>
        <v>0</v>
      </c>
      <c r="AN420" s="80">
        <f>IF(CFG_BRK="Proporcional",IF(AD420=0,0,AF420*AM420/AD420),IF(CFG_BRK="Extras primero",MIN(AM420,MAX(0,AF420-(AD420-AM420))),MIN(AF420,AM420)))</f>
        <v>0</v>
      </c>
      <c r="AO420" s="80">
        <f>AF420-AN420</f>
        <v>0</v>
      </c>
      <c r="AP420" s="80">
        <f>AM420-AN420</f>
        <v>0</v>
      </c>
      <c r="AQ420" s="80">
        <f>AD420-AM420-AO420</f>
        <v>0</v>
      </c>
      <c r="AR420" s="80">
        <f>IF(AM420=0,0,AK420-AN420*AK420/AM420)</f>
        <v>0</v>
      </c>
      <c r="AS420" s="80">
        <f>IF(AD420-AM420=0,0,(AJ420-AK420)-AO420*(AJ420-AK420)/(AD420-AM420))</f>
        <v>0</v>
      </c>
      <c r="AT420" s="80" t="str">
        <f>IF(AC420=1,INT(B420)+1,"")</f>
        <v/>
      </c>
      <c r="AU420" s="80">
        <f>IF(AND(D420="proMX",R420="Cancelled"),0,1)</f>
        <v>1</v>
      </c>
      <c r="AV420" s="80">
        <f>IF(AND(AB420=1,AU420=1),IF(COUNTIFS($D$5:D419,D420,$B$5:B419,B420,$Z$5:Z419,Z420,$AA$5:AA419,AA420,$F$5:F419,F420&amp;"",$AU$5:AU419,1)&gt;0,1,0),0)</f>
        <v>0</v>
      </c>
      <c r="AW420" s="80" t="str">
        <f>IF(AB420=1,INT(B420)*1440+Z420,"")</f>
        <v/>
      </c>
      <c r="AX420" s="80" t="str">
        <f>IF(AB420=1,AW420+AD420,"")</f>
        <v/>
      </c>
      <c r="AY420" s="80">
        <f>IF(AND(AB420=1,AV420=0,AU420=1),1,0)</f>
        <v>0</v>
      </c>
      <c r="AZ420" s="80">
        <f>IF(AY420=1,COUNTIFS(R_Emp,D420,R_SAbs,"&lt;"&amp;AX420,R_EAbs,"&gt;"&amp;AW420,R_OKey,1)-1,0)</f>
        <v>0</v>
      </c>
      <c r="BA420" s="80">
        <f>IF(AY420=1,COUNTIFS(R_Emp,"&lt;&gt;"&amp;D420,R_SAbs,"&lt;"&amp;AX420,R_EAbs,"&gt;"&amp;AW420,R_OKey,1),0)</f>
        <v>0</v>
      </c>
      <c r="BB420" s="80">
        <f>IF(AND(AB420=1,D420="proMX"),IF(AND(MOD(Z420,CFG_BLK)=0,MOD(AA420,CFG_BLK)=0,MOD(AG420,CFG_BLK)=0,AG420&gt;0),1,0),1)</f>
        <v>1</v>
      </c>
      <c r="BC420" s="80" t="str">
        <f>IF(Y420=0,"",IF(NOT(ISNUMBER(B420)),"Falta fecha o fecha inválida",IF(D420="","Falta empresa",IF(AND(D420&lt;&gt;"Malcolm",D420&lt;&gt;"proMX"),"Empresa inválida",IF(OR(INT(B420)&lt;CFG_PSTART,INT(B420)&gt;CFG_PEND),"Fecha fuera del período",IF(OR(NOT(ISNUMBER(Z420)),NOT(ISNUMBER(AA420))),"Falta hora inicio/fin o formato inválido",IF(AB420=0,"Hora inicio = hora fin",IF(AE420&lt;0,"Descanso inválido",IF(AE420&gt;=AD420,"Descanso ≥ duración",IF(AV420=1,"Registro duplicado",IF(AZ420&gt;0,"Se superpone con otro registro "&amp;D420,IF(BB420=0,"inicio, fin y duración neta deben ser múltiplos de "&amp;CFG_BLK&amp;" min",""))))))))))))</f>
        <v/>
      </c>
      <c r="BD420" s="80">
        <f>IF(AND(Y420=1,BC420=""),1,0)</f>
        <v>0</v>
      </c>
      <c r="BE420" s="80">
        <f>IF(AND(BD420=1,AU420=1),1,0)</f>
        <v>0</v>
      </c>
      <c r="BF420" s="80" t="str">
        <f>IF(AND(D420="proMX",BD420=1),IF(R420="","Draft",R420),"")</f>
        <v/>
      </c>
      <c r="BG420" s="80">
        <f>IF(BD420=1,ROUND(AG420/60,6),0)</f>
        <v>0</v>
      </c>
      <c r="BH420" s="80">
        <f>IF(BE420=1,ROUND(AG420/60,6),0)</f>
        <v>0</v>
      </c>
      <c r="BI420" s="80">
        <f>IF(BE420=1,ROUND(AP420/60,6),0)</f>
        <v>0</v>
      </c>
      <c r="BJ420" s="80">
        <f>IF(BE420=1,ROUND(AQ420/60,6),0)</f>
        <v>0</v>
      </c>
      <c r="BK420" s="80">
        <f>IF(BE420=1,ROUND((AR420+AS420)/60,6),0)</f>
        <v>0</v>
      </c>
      <c r="BL420" s="80">
        <f>ROUND(BH420-BK420,6)</f>
        <v>0</v>
      </c>
      <c r="BM420" s="80">
        <f>IF(BE420=1,ROUND(AR420/60,6),0)</f>
        <v>0</v>
      </c>
      <c r="BN420" s="80">
        <f>ROUND(BI420-BM420,6)</f>
        <v>0</v>
      </c>
      <c r="BO420" s="80">
        <f>IF(BE420=1,ROUND(AS420/60,6),0)</f>
        <v>0</v>
      </c>
      <c r="BP420" s="80">
        <f>ROUND(BJ420-BO420,6)</f>
        <v>0</v>
      </c>
      <c r="BQ420" s="80">
        <f>IF(BE420=1,AW420,0)</f>
        <v>0</v>
      </c>
      <c r="BR420" s="80">
        <f>IF(BE420=1,AX420,0)</f>
        <v>0</v>
      </c>
      <c r="BS420" s="80">
        <f>IF(AND(BE420=1,D420="Malcolm",BA420&gt;0),MIN(BH420,SUMPRODUCT((R_Emp="proMX")*(R_EN&gt;0)*((R_EN-(R_EN&gt;BR420)*(R_EN-BR420))&gt;(R_SN+(R_SN&lt;BQ420)*(BQ420-R_SN)))*((R_EN-(R_EN&gt;BR420)*(R_EN-BR420))-(R_SN+(R_SN&lt;BQ420)*(BQ420-R_SN))))/60),0)</f>
        <v>0</v>
      </c>
      <c r="BT420" s="80">
        <f>IF(AND(BE420=1,D420="proMX"),ROUND(BI420*CFG_RATE+BJ420*CFG_OTRATE,6),0)</f>
        <v>0</v>
      </c>
      <c r="BU420" s="80">
        <f>IF(AND(BD420=1,D420="proMX"),ROUND(AG420/CFG_BLK,6),0)</f>
        <v>0</v>
      </c>
      <c r="BV420" s="80" t="str">
        <f>IF(BF420="Approved",IF(ISNUMBER(T420),INT(T420),INT(B420)),"")</f>
        <v/>
      </c>
      <c r="BW420" s="80">
        <f>IF(ISNUMBER(B420),IF(DB_MON="Todos",1,IF(AND(INT(B420)&gt;=DB_MS,INT(B420)&lt;=DB_ME),1,0)),0)</f>
        <v>0</v>
      </c>
      <c r="BX420" s="80">
        <f>IF(DB_PROJ="Todos",1,IF(E420&amp;""=DB_PROJ&amp;"",1,0))</f>
        <v>1</v>
      </c>
      <c r="BY420" s="80">
        <f>BW420*BX420</f>
        <v>0</v>
      </c>
      <c r="BZ420" s="80" t="str">
        <f>IF(Y420=1,F420&amp;IF(AND(F420&amp;""&lt;&gt;"",E420&amp;""&lt;&gt;"")," · ","")&amp;E420,"")</f>
        <v/>
      </c>
      <c r="CA420" s="80" t="str">
        <f>IF(AND(BD420=1,E420&amp;""&lt;&gt;""),IF(COUNTIFS($E$5:E419,E420,$BD$5:BD419,1)=0,MAX($CA$5:CA419)+1,""),"")</f>
        <v/>
      </c>
      <c r="CB420" s="80" t="str">
        <f>IF(AND(BE420=1,D420="Malcolm",E420&amp;""&lt;&gt;""),IF(COUNTIFS($D$5:D419,"Malcolm",$E$5:E419,E420,$BE$5:BE419,1)=0,MAX($CB$5:CB419)+1,""),"")</f>
        <v/>
      </c>
      <c r="CC420" s="80" t="str">
        <f>IF(AND(BD420=1,D420="proMX",E420&amp;""&lt;&gt;""),IF(COUNTIFS($D$5:D419,"proMX",$E$5:E419,E420,$BD$5:BD419,1)=0,MAX($CC$5:CC419)+1,""),"")</f>
        <v/>
      </c>
      <c r="CD420" s="80" t="str">
        <f>IF(AND(BE420=1,D420="Malcolm",F420&amp;""&lt;&gt;""),IF(COUNTIFS($D$5:D419,"Malcolm",$F$5:F419,F420,$BE$5:BE419,1)=0,MAX($CD$5:CD419)+1,""),"")</f>
        <v/>
      </c>
      <c r="CE420" s="80" t="str">
        <f>IF(AND(BD420=1,D420="proMX",F420&amp;""&lt;&gt;""),IF(COUNTIFS($D$5:D419,"proMX",$F$5:F419,F420,$BD$5:BD419,1)=0,MAX($CE$5:CE419)+1,""),"")</f>
        <v/>
      </c>
      <c r="CF420" s="80" t="str">
        <f>IF(AND(D420="proMX",BD420=1),IF(OR(BF420="Draft",BF420="Submitted",BF420="Returned",BF420="Recall Requested"),MAX($CF$5:CF419)+1,""),"")</f>
        <v/>
      </c>
      <c r="CG420" s="80">
        <f>IF(BD420=0,0,IF(D420="Malcolm",1,MATCH(BF420,{"Draft","Submitted","Approved","Returned","Recall Requested","Cancelled"},0)+1))</f>
        <v>0</v>
      </c>
      <c r="CH420" s="80">
        <f>IF(AND(BF420="Submitted",ISNUMBER(V420)),IF(V420&gt;CFG_MAXD,1,0),0)</f>
        <v>0</v>
      </c>
    </row>
    <row r="421">
      <c r="A421" s="71" t="str">
        <f>IF(Y421=1,ROW()-5,"")</f>
        <v/>
      </c>
      <c r="B421" s="72" t="n"/>
      <c r="C421" s="71" t="str">
        <f>IF(ISNUMBER(B421),CHOOSE(WEEKDAY(B421,2),"Lun","Mar","Mié","Jue","Vie","Sáb","Dom"),"")</f>
        <v/>
      </c>
      <c r="D421" s="73" t="n"/>
      <c r="E421" s="74" t="n"/>
      <c r="F421" s="74" t="n"/>
      <c r="G421" s="74" t="n"/>
      <c r="H421" s="75" t="n"/>
      <c r="I421" s="75" t="n"/>
      <c r="J421" s="76" t="n"/>
      <c r="K421" s="77" t="str">
        <f>IF(AB421=1,ROUND(AG421/60,4),"")</f>
        <v/>
      </c>
      <c r="L421" s="77" t="str">
        <f>IF(BD421=1,ROUND(AP421/60,4),"")</f>
        <v/>
      </c>
      <c r="M421" s="77" t="str">
        <f>IF(BD421=1,ROUND(AQ421/60,4),"")</f>
        <v/>
      </c>
      <c r="N421" s="71" t="str">
        <f>IF(AND(D421="proMX",AB421=1),ROUND(AG421/CFG_BLK,2),"")</f>
        <v/>
      </c>
      <c r="O421" s="77" t="str">
        <f>IF(D421="proMX",IF(BD421=1,ROUND(AG421/60,4),0),"")</f>
        <v/>
      </c>
      <c r="P421" s="78" t="str">
        <f>IF(Y421=0,"",IF(BD421=1,"OK",IF(D421="proMX","Revisar bloques: ","Revisar: ")&amp;BC421))</f>
        <v/>
      </c>
      <c r="Q421" s="78" t="str">
        <f>IF(NOT(ISNUMBER(B421)),"",IF(COUNTIFS(FER_F,INT(B421))&gt;0,"Feriado"&amp;IF(AH421=1," (laborable)"," (no laborable)"),IF(AH421=1,"Laborable",IF(WEEKDAY(B421,2)&gt;5,"Fin de semana","No laborable"))))</f>
        <v/>
      </c>
      <c r="R421" s="73" t="n"/>
      <c r="S421" s="72" t="n"/>
      <c r="T421" s="72" t="n"/>
      <c r="U421" s="74" t="n"/>
      <c r="V421" s="79" t="str">
        <f>IF(AND(D421="proMX",OR(R421="Submitted",R421="Recall Requested"),ISNUMBER(S421)),CFG_TODAY-INT(S421),"")</f>
        <v/>
      </c>
      <c r="W421" s="78" t="str">
        <f>IF(BD421=0,"",IF(BA421&gt;0,"⚠ Se superpone con un registro de la otra empresa",IF(D421="Malcolm",IF(COUNTA(R421,S421,T421)&gt;0,"Estado/fechas proMX se ignoran en Malcolm",""),IF(BF421="Cancelled","Cancelado: excluido de totales",IF(R421="","Sin estado: se trata como Draft",IF(BF421="Submitted",IF(ISNUMBER(V421),IF(V421&gt;CFG_MAXD,"⚠ "&amp;V421&amp;" días en Submitted (máx. "&amp;CFG_MAXD&amp;")",""),"Falta fecha de envío"),IF(BF421="Returned","⚠ Devuelto: corregir y reenviar",IF(BF421="Recall Requested","Retirada solicitada: pendiente",IF(AND(BF421="Approved",NOT(ISNUMBER(T421))),"Falta fecha de aprobación",IF(AND(ISNUMBER(S421),ISNUMBER(T421),T421&lt;S421),"Aprobación anterior al envío","")))))))))</f>
        <v/>
      </c>
      <c r="Y421" s="80">
        <f>IF(COUNTA(B421,D421,E421,F421,G421,H421,I421,J421,R421,S421,T421)&gt;0,1,0)</f>
        <v>0</v>
      </c>
      <c r="Z421" s="80" t="str">
        <f>IF(AND(ISNUMBER(H421),H421&gt;=0,H421&lt;1),ROUND(H421*1440,0),"")</f>
        <v/>
      </c>
      <c r="AA421" s="80" t="str">
        <f>IF(AND(ISNUMBER(I421),I421&gt;=0,I421&lt;1),ROUND(I421*1440,0),"")</f>
        <v/>
      </c>
      <c r="AB421" s="80">
        <f>IF(AND(ISNUMBER(B421),D421&lt;&gt;"",ISNUMBER(Z421),ISNUMBER(AA421)),IF(Z421=AA421,0,1),0)</f>
        <v>0</v>
      </c>
      <c r="AC421" s="80">
        <f>IF(AB421=1,IF(AA421&lt;Z421,1,0),0)</f>
        <v>0</v>
      </c>
      <c r="AD421" s="80">
        <f>IF(AB421=1,IF(AC421=1,1440-Z421+AA421,AA421-Z421),0)</f>
        <v>0</v>
      </c>
      <c r="AE421" s="80">
        <f>IF(J421="",0,IF(ISNUMBER(J421),J421,-1))</f>
        <v>0</v>
      </c>
      <c r="AF421" s="80">
        <f>MIN(MAX(0,AE421),AD421)</f>
        <v>0</v>
      </c>
      <c r="AG421" s="80">
        <f>MAX(0,AD421-MAX(0,AE421))</f>
        <v>0</v>
      </c>
      <c r="AH421" s="80">
        <f>IF(ISNUMBER(B421),IF(AND(INDEX(CFG_WDAYS,WEEKDAY(INT(B421),2))="Sí",IF(D421="proMX",COUNTIFS(FER_F,INT(B421),FER_NLP,"Sí"),COUNTIFS(FER_F,INT(B421),FER_NLM,"Sí"))=0),1,0),0)</f>
        <v>0</v>
      </c>
      <c r="AI421" s="80">
        <f>IF(AC421=1,IF(AND(INDEX(CFG_WDAYS,WEEKDAY(INT(B421)+1,2))="Sí",IF(D421="proMX",COUNTIFS(FER_F,INT(B421)+1,FER_NLP,"Sí"),COUNTIFS(FER_F,INT(B421)+1,FER_NLM,"Sí"))=0),1,0),0)</f>
        <v>0</v>
      </c>
      <c r="AJ421" s="80">
        <f>IF(AC421=1,1440-Z421,AD421)</f>
        <v>0</v>
      </c>
      <c r="AK421" s="80">
        <f>IF(AND(AB421=1,AH421=1),MAX(0,MIN(IF(AC421=1,1440,AA421),CFG_WEM)-MAX(Z421,CFG_WSM)),0)</f>
        <v>0</v>
      </c>
      <c r="AL421" s="80">
        <f>IF(AND(AC421=1,AI421=1),MAX(0,MIN(AA421,CFG_WEM)-CFG_WSM),0)</f>
        <v>0</v>
      </c>
      <c r="AM421" s="80">
        <f>AK421+AL421</f>
        <v>0</v>
      </c>
      <c r="AN421" s="80">
        <f>IF(CFG_BRK="Proporcional",IF(AD421=0,0,AF421*AM421/AD421),IF(CFG_BRK="Extras primero",MIN(AM421,MAX(0,AF421-(AD421-AM421))),MIN(AF421,AM421)))</f>
        <v>0</v>
      </c>
      <c r="AO421" s="80">
        <f>AF421-AN421</f>
        <v>0</v>
      </c>
      <c r="AP421" s="80">
        <f>AM421-AN421</f>
        <v>0</v>
      </c>
      <c r="AQ421" s="80">
        <f>AD421-AM421-AO421</f>
        <v>0</v>
      </c>
      <c r="AR421" s="80">
        <f>IF(AM421=0,0,AK421-AN421*AK421/AM421)</f>
        <v>0</v>
      </c>
      <c r="AS421" s="80">
        <f>IF(AD421-AM421=0,0,(AJ421-AK421)-AO421*(AJ421-AK421)/(AD421-AM421))</f>
        <v>0</v>
      </c>
      <c r="AT421" s="80" t="str">
        <f>IF(AC421=1,INT(B421)+1,"")</f>
        <v/>
      </c>
      <c r="AU421" s="80">
        <f>IF(AND(D421="proMX",R421="Cancelled"),0,1)</f>
        <v>1</v>
      </c>
      <c r="AV421" s="80">
        <f>IF(AND(AB421=1,AU421=1),IF(COUNTIFS($D$5:D420,D421,$B$5:B420,B421,$Z$5:Z420,Z421,$AA$5:AA420,AA421,$F$5:F420,F421&amp;"",$AU$5:AU420,1)&gt;0,1,0),0)</f>
        <v>0</v>
      </c>
      <c r="AW421" s="80" t="str">
        <f>IF(AB421=1,INT(B421)*1440+Z421,"")</f>
        <v/>
      </c>
      <c r="AX421" s="80" t="str">
        <f>IF(AB421=1,AW421+AD421,"")</f>
        <v/>
      </c>
      <c r="AY421" s="80">
        <f>IF(AND(AB421=1,AV421=0,AU421=1),1,0)</f>
        <v>0</v>
      </c>
      <c r="AZ421" s="80">
        <f>IF(AY421=1,COUNTIFS(R_Emp,D421,R_SAbs,"&lt;"&amp;AX421,R_EAbs,"&gt;"&amp;AW421,R_OKey,1)-1,0)</f>
        <v>0</v>
      </c>
      <c r="BA421" s="80">
        <f>IF(AY421=1,COUNTIFS(R_Emp,"&lt;&gt;"&amp;D421,R_SAbs,"&lt;"&amp;AX421,R_EAbs,"&gt;"&amp;AW421,R_OKey,1),0)</f>
        <v>0</v>
      </c>
      <c r="BB421" s="80">
        <f>IF(AND(AB421=1,D421="proMX"),IF(AND(MOD(Z421,CFG_BLK)=0,MOD(AA421,CFG_BLK)=0,MOD(AG421,CFG_BLK)=0,AG421&gt;0),1,0),1)</f>
        <v>1</v>
      </c>
      <c r="BC421" s="80" t="str">
        <f>IF(Y421=0,"",IF(NOT(ISNUMBER(B421)),"Falta fecha o fecha inválida",IF(D421="","Falta empresa",IF(AND(D421&lt;&gt;"Malcolm",D421&lt;&gt;"proMX"),"Empresa inválida",IF(OR(INT(B421)&lt;CFG_PSTART,INT(B421)&gt;CFG_PEND),"Fecha fuera del período",IF(OR(NOT(ISNUMBER(Z421)),NOT(ISNUMBER(AA421))),"Falta hora inicio/fin o formato inválido",IF(AB421=0,"Hora inicio = hora fin",IF(AE421&lt;0,"Descanso inválido",IF(AE421&gt;=AD421,"Descanso ≥ duración",IF(AV421=1,"Registro duplicado",IF(AZ421&gt;0,"Se superpone con otro registro "&amp;D421,IF(BB421=0,"inicio, fin y duración neta deben ser múltiplos de "&amp;CFG_BLK&amp;" min",""))))))))))))</f>
        <v/>
      </c>
      <c r="BD421" s="80">
        <f>IF(AND(Y421=1,BC421=""),1,0)</f>
        <v>0</v>
      </c>
      <c r="BE421" s="80">
        <f>IF(AND(BD421=1,AU421=1),1,0)</f>
        <v>0</v>
      </c>
      <c r="BF421" s="80" t="str">
        <f>IF(AND(D421="proMX",BD421=1),IF(R421="","Draft",R421),"")</f>
        <v/>
      </c>
      <c r="BG421" s="80">
        <f>IF(BD421=1,ROUND(AG421/60,6),0)</f>
        <v>0</v>
      </c>
      <c r="BH421" s="80">
        <f>IF(BE421=1,ROUND(AG421/60,6),0)</f>
        <v>0</v>
      </c>
      <c r="BI421" s="80">
        <f>IF(BE421=1,ROUND(AP421/60,6),0)</f>
        <v>0</v>
      </c>
      <c r="BJ421" s="80">
        <f>IF(BE421=1,ROUND(AQ421/60,6),0)</f>
        <v>0</v>
      </c>
      <c r="BK421" s="80">
        <f>IF(BE421=1,ROUND((AR421+AS421)/60,6),0)</f>
        <v>0</v>
      </c>
      <c r="BL421" s="80">
        <f>ROUND(BH421-BK421,6)</f>
        <v>0</v>
      </c>
      <c r="BM421" s="80">
        <f>IF(BE421=1,ROUND(AR421/60,6),0)</f>
        <v>0</v>
      </c>
      <c r="BN421" s="80">
        <f>ROUND(BI421-BM421,6)</f>
        <v>0</v>
      </c>
      <c r="BO421" s="80">
        <f>IF(BE421=1,ROUND(AS421/60,6),0)</f>
        <v>0</v>
      </c>
      <c r="BP421" s="80">
        <f>ROUND(BJ421-BO421,6)</f>
        <v>0</v>
      </c>
      <c r="BQ421" s="80">
        <f>IF(BE421=1,AW421,0)</f>
        <v>0</v>
      </c>
      <c r="BR421" s="80">
        <f>IF(BE421=1,AX421,0)</f>
        <v>0</v>
      </c>
      <c r="BS421" s="80">
        <f>IF(AND(BE421=1,D421="Malcolm",BA421&gt;0),MIN(BH421,SUMPRODUCT((R_Emp="proMX")*(R_EN&gt;0)*((R_EN-(R_EN&gt;BR421)*(R_EN-BR421))&gt;(R_SN+(R_SN&lt;BQ421)*(BQ421-R_SN)))*((R_EN-(R_EN&gt;BR421)*(R_EN-BR421))-(R_SN+(R_SN&lt;BQ421)*(BQ421-R_SN))))/60),0)</f>
        <v>0</v>
      </c>
      <c r="BT421" s="80">
        <f>IF(AND(BE421=1,D421="proMX"),ROUND(BI421*CFG_RATE+BJ421*CFG_OTRATE,6),0)</f>
        <v>0</v>
      </c>
      <c r="BU421" s="80">
        <f>IF(AND(BD421=1,D421="proMX"),ROUND(AG421/CFG_BLK,6),0)</f>
        <v>0</v>
      </c>
      <c r="BV421" s="80" t="str">
        <f>IF(BF421="Approved",IF(ISNUMBER(T421),INT(T421),INT(B421)),"")</f>
        <v/>
      </c>
      <c r="BW421" s="80">
        <f>IF(ISNUMBER(B421),IF(DB_MON="Todos",1,IF(AND(INT(B421)&gt;=DB_MS,INT(B421)&lt;=DB_ME),1,0)),0)</f>
        <v>0</v>
      </c>
      <c r="BX421" s="80">
        <f>IF(DB_PROJ="Todos",1,IF(E421&amp;""=DB_PROJ&amp;"",1,0))</f>
        <v>1</v>
      </c>
      <c r="BY421" s="80">
        <f>BW421*BX421</f>
        <v>0</v>
      </c>
      <c r="BZ421" s="80" t="str">
        <f>IF(Y421=1,F421&amp;IF(AND(F421&amp;""&lt;&gt;"",E421&amp;""&lt;&gt;"")," · ","")&amp;E421,"")</f>
        <v/>
      </c>
      <c r="CA421" s="80" t="str">
        <f>IF(AND(BD421=1,E421&amp;""&lt;&gt;""),IF(COUNTIFS($E$5:E420,E421,$BD$5:BD420,1)=0,MAX($CA$5:CA420)+1,""),"")</f>
        <v/>
      </c>
      <c r="CB421" s="80" t="str">
        <f>IF(AND(BE421=1,D421="Malcolm",E421&amp;""&lt;&gt;""),IF(COUNTIFS($D$5:D420,"Malcolm",$E$5:E420,E421,$BE$5:BE420,1)=0,MAX($CB$5:CB420)+1,""),"")</f>
        <v/>
      </c>
      <c r="CC421" s="80" t="str">
        <f>IF(AND(BD421=1,D421="proMX",E421&amp;""&lt;&gt;""),IF(COUNTIFS($D$5:D420,"proMX",$E$5:E420,E421,$BD$5:BD420,1)=0,MAX($CC$5:CC420)+1,""),"")</f>
        <v/>
      </c>
      <c r="CD421" s="80" t="str">
        <f>IF(AND(BE421=1,D421="Malcolm",F421&amp;""&lt;&gt;""),IF(COUNTIFS($D$5:D420,"Malcolm",$F$5:F420,F421,$BE$5:BE420,1)=0,MAX($CD$5:CD420)+1,""),"")</f>
        <v/>
      </c>
      <c r="CE421" s="80" t="str">
        <f>IF(AND(BD421=1,D421="proMX",F421&amp;""&lt;&gt;""),IF(COUNTIFS($D$5:D420,"proMX",$F$5:F420,F421,$BD$5:BD420,1)=0,MAX($CE$5:CE420)+1,""),"")</f>
        <v/>
      </c>
      <c r="CF421" s="80" t="str">
        <f>IF(AND(D421="proMX",BD421=1),IF(OR(BF421="Draft",BF421="Submitted",BF421="Returned",BF421="Recall Requested"),MAX($CF$5:CF420)+1,""),"")</f>
        <v/>
      </c>
      <c r="CG421" s="80">
        <f>IF(BD421=0,0,IF(D421="Malcolm",1,MATCH(BF421,{"Draft","Submitted","Approved","Returned","Recall Requested","Cancelled"},0)+1))</f>
        <v>0</v>
      </c>
      <c r="CH421" s="80">
        <f>IF(AND(BF421="Submitted",ISNUMBER(V421)),IF(V421&gt;CFG_MAXD,1,0),0)</f>
        <v>0</v>
      </c>
    </row>
    <row r="422">
      <c r="A422" s="71" t="str">
        <f>IF(Y422=1,ROW()-5,"")</f>
        <v/>
      </c>
      <c r="B422" s="72" t="n"/>
      <c r="C422" s="71" t="str">
        <f>IF(ISNUMBER(B422),CHOOSE(WEEKDAY(B422,2),"Lun","Mar","Mié","Jue","Vie","Sáb","Dom"),"")</f>
        <v/>
      </c>
      <c r="D422" s="73" t="n"/>
      <c r="E422" s="74" t="n"/>
      <c r="F422" s="74" t="n"/>
      <c r="G422" s="74" t="n"/>
      <c r="H422" s="75" t="n"/>
      <c r="I422" s="75" t="n"/>
      <c r="J422" s="76" t="n"/>
      <c r="K422" s="77" t="str">
        <f>IF(AB422=1,ROUND(AG422/60,4),"")</f>
        <v/>
      </c>
      <c r="L422" s="77" t="str">
        <f>IF(BD422=1,ROUND(AP422/60,4),"")</f>
        <v/>
      </c>
      <c r="M422" s="77" t="str">
        <f>IF(BD422=1,ROUND(AQ422/60,4),"")</f>
        <v/>
      </c>
      <c r="N422" s="71" t="str">
        <f>IF(AND(D422="proMX",AB422=1),ROUND(AG422/CFG_BLK,2),"")</f>
        <v/>
      </c>
      <c r="O422" s="77" t="str">
        <f>IF(D422="proMX",IF(BD422=1,ROUND(AG422/60,4),0),"")</f>
        <v/>
      </c>
      <c r="P422" s="78" t="str">
        <f>IF(Y422=0,"",IF(BD422=1,"OK",IF(D422="proMX","Revisar bloques: ","Revisar: ")&amp;BC422))</f>
        <v/>
      </c>
      <c r="Q422" s="78" t="str">
        <f>IF(NOT(ISNUMBER(B422)),"",IF(COUNTIFS(FER_F,INT(B422))&gt;0,"Feriado"&amp;IF(AH422=1," (laborable)"," (no laborable)"),IF(AH422=1,"Laborable",IF(WEEKDAY(B422,2)&gt;5,"Fin de semana","No laborable"))))</f>
        <v/>
      </c>
      <c r="R422" s="73" t="n"/>
      <c r="S422" s="72" t="n"/>
      <c r="T422" s="72" t="n"/>
      <c r="U422" s="74" t="n"/>
      <c r="V422" s="79" t="str">
        <f>IF(AND(D422="proMX",OR(R422="Submitted",R422="Recall Requested"),ISNUMBER(S422)),CFG_TODAY-INT(S422),"")</f>
        <v/>
      </c>
      <c r="W422" s="78" t="str">
        <f>IF(BD422=0,"",IF(BA422&gt;0,"⚠ Se superpone con un registro de la otra empresa",IF(D422="Malcolm",IF(COUNTA(R422,S422,T422)&gt;0,"Estado/fechas proMX se ignoran en Malcolm",""),IF(BF422="Cancelled","Cancelado: excluido de totales",IF(R422="","Sin estado: se trata como Draft",IF(BF422="Submitted",IF(ISNUMBER(V422),IF(V422&gt;CFG_MAXD,"⚠ "&amp;V422&amp;" días en Submitted (máx. "&amp;CFG_MAXD&amp;")",""),"Falta fecha de envío"),IF(BF422="Returned","⚠ Devuelto: corregir y reenviar",IF(BF422="Recall Requested","Retirada solicitada: pendiente",IF(AND(BF422="Approved",NOT(ISNUMBER(T422))),"Falta fecha de aprobación",IF(AND(ISNUMBER(S422),ISNUMBER(T422),T422&lt;S422),"Aprobación anterior al envío","")))))))))</f>
        <v/>
      </c>
      <c r="Y422" s="80">
        <f>IF(COUNTA(B422,D422,E422,F422,G422,H422,I422,J422,R422,S422,T422)&gt;0,1,0)</f>
        <v>0</v>
      </c>
      <c r="Z422" s="80" t="str">
        <f>IF(AND(ISNUMBER(H422),H422&gt;=0,H422&lt;1),ROUND(H422*1440,0),"")</f>
        <v/>
      </c>
      <c r="AA422" s="80" t="str">
        <f>IF(AND(ISNUMBER(I422),I422&gt;=0,I422&lt;1),ROUND(I422*1440,0),"")</f>
        <v/>
      </c>
      <c r="AB422" s="80">
        <f>IF(AND(ISNUMBER(B422),D422&lt;&gt;"",ISNUMBER(Z422),ISNUMBER(AA422)),IF(Z422=AA422,0,1),0)</f>
        <v>0</v>
      </c>
      <c r="AC422" s="80">
        <f>IF(AB422=1,IF(AA422&lt;Z422,1,0),0)</f>
        <v>0</v>
      </c>
      <c r="AD422" s="80">
        <f>IF(AB422=1,IF(AC422=1,1440-Z422+AA422,AA422-Z422),0)</f>
        <v>0</v>
      </c>
      <c r="AE422" s="80">
        <f>IF(J422="",0,IF(ISNUMBER(J422),J422,-1))</f>
        <v>0</v>
      </c>
      <c r="AF422" s="80">
        <f>MIN(MAX(0,AE422),AD422)</f>
        <v>0</v>
      </c>
      <c r="AG422" s="80">
        <f>MAX(0,AD422-MAX(0,AE422))</f>
        <v>0</v>
      </c>
      <c r="AH422" s="80">
        <f>IF(ISNUMBER(B422),IF(AND(INDEX(CFG_WDAYS,WEEKDAY(INT(B422),2))="Sí",IF(D422="proMX",COUNTIFS(FER_F,INT(B422),FER_NLP,"Sí"),COUNTIFS(FER_F,INT(B422),FER_NLM,"Sí"))=0),1,0),0)</f>
        <v>0</v>
      </c>
      <c r="AI422" s="80">
        <f>IF(AC422=1,IF(AND(INDEX(CFG_WDAYS,WEEKDAY(INT(B422)+1,2))="Sí",IF(D422="proMX",COUNTIFS(FER_F,INT(B422)+1,FER_NLP,"Sí"),COUNTIFS(FER_F,INT(B422)+1,FER_NLM,"Sí"))=0),1,0),0)</f>
        <v>0</v>
      </c>
      <c r="AJ422" s="80">
        <f>IF(AC422=1,1440-Z422,AD422)</f>
        <v>0</v>
      </c>
      <c r="AK422" s="80">
        <f>IF(AND(AB422=1,AH422=1),MAX(0,MIN(IF(AC422=1,1440,AA422),CFG_WEM)-MAX(Z422,CFG_WSM)),0)</f>
        <v>0</v>
      </c>
      <c r="AL422" s="80">
        <f>IF(AND(AC422=1,AI422=1),MAX(0,MIN(AA422,CFG_WEM)-CFG_WSM),0)</f>
        <v>0</v>
      </c>
      <c r="AM422" s="80">
        <f>AK422+AL422</f>
        <v>0</v>
      </c>
      <c r="AN422" s="80">
        <f>IF(CFG_BRK="Proporcional",IF(AD422=0,0,AF422*AM422/AD422),IF(CFG_BRK="Extras primero",MIN(AM422,MAX(0,AF422-(AD422-AM422))),MIN(AF422,AM422)))</f>
        <v>0</v>
      </c>
      <c r="AO422" s="80">
        <f>AF422-AN422</f>
        <v>0</v>
      </c>
      <c r="AP422" s="80">
        <f>AM422-AN422</f>
        <v>0</v>
      </c>
      <c r="AQ422" s="80">
        <f>AD422-AM422-AO422</f>
        <v>0</v>
      </c>
      <c r="AR422" s="80">
        <f>IF(AM422=0,0,AK422-AN422*AK422/AM422)</f>
        <v>0</v>
      </c>
      <c r="AS422" s="80">
        <f>IF(AD422-AM422=0,0,(AJ422-AK422)-AO422*(AJ422-AK422)/(AD422-AM422))</f>
        <v>0</v>
      </c>
      <c r="AT422" s="80" t="str">
        <f>IF(AC422=1,INT(B422)+1,"")</f>
        <v/>
      </c>
      <c r="AU422" s="80">
        <f>IF(AND(D422="proMX",R422="Cancelled"),0,1)</f>
        <v>1</v>
      </c>
      <c r="AV422" s="80">
        <f>IF(AND(AB422=1,AU422=1),IF(COUNTIFS($D$5:D421,D422,$B$5:B421,B422,$Z$5:Z421,Z422,$AA$5:AA421,AA422,$F$5:F421,F422&amp;"",$AU$5:AU421,1)&gt;0,1,0),0)</f>
        <v>0</v>
      </c>
      <c r="AW422" s="80" t="str">
        <f>IF(AB422=1,INT(B422)*1440+Z422,"")</f>
        <v/>
      </c>
      <c r="AX422" s="80" t="str">
        <f>IF(AB422=1,AW422+AD422,"")</f>
        <v/>
      </c>
      <c r="AY422" s="80">
        <f>IF(AND(AB422=1,AV422=0,AU422=1),1,0)</f>
        <v>0</v>
      </c>
      <c r="AZ422" s="80">
        <f>IF(AY422=1,COUNTIFS(R_Emp,D422,R_SAbs,"&lt;"&amp;AX422,R_EAbs,"&gt;"&amp;AW422,R_OKey,1)-1,0)</f>
        <v>0</v>
      </c>
      <c r="BA422" s="80">
        <f>IF(AY422=1,COUNTIFS(R_Emp,"&lt;&gt;"&amp;D422,R_SAbs,"&lt;"&amp;AX422,R_EAbs,"&gt;"&amp;AW422,R_OKey,1),0)</f>
        <v>0</v>
      </c>
      <c r="BB422" s="80">
        <f>IF(AND(AB422=1,D422="proMX"),IF(AND(MOD(Z422,CFG_BLK)=0,MOD(AA422,CFG_BLK)=0,MOD(AG422,CFG_BLK)=0,AG422&gt;0),1,0),1)</f>
        <v>1</v>
      </c>
      <c r="BC422" s="80" t="str">
        <f>IF(Y422=0,"",IF(NOT(ISNUMBER(B422)),"Falta fecha o fecha inválida",IF(D422="","Falta empresa",IF(AND(D422&lt;&gt;"Malcolm",D422&lt;&gt;"proMX"),"Empresa inválida",IF(OR(INT(B422)&lt;CFG_PSTART,INT(B422)&gt;CFG_PEND),"Fecha fuera del período",IF(OR(NOT(ISNUMBER(Z422)),NOT(ISNUMBER(AA422))),"Falta hora inicio/fin o formato inválido",IF(AB422=0,"Hora inicio = hora fin",IF(AE422&lt;0,"Descanso inválido",IF(AE422&gt;=AD422,"Descanso ≥ duración",IF(AV422=1,"Registro duplicado",IF(AZ422&gt;0,"Se superpone con otro registro "&amp;D422,IF(BB422=0,"inicio, fin y duración neta deben ser múltiplos de "&amp;CFG_BLK&amp;" min",""))))))))))))</f>
        <v/>
      </c>
      <c r="BD422" s="80">
        <f>IF(AND(Y422=1,BC422=""),1,0)</f>
        <v>0</v>
      </c>
      <c r="BE422" s="80">
        <f>IF(AND(BD422=1,AU422=1),1,0)</f>
        <v>0</v>
      </c>
      <c r="BF422" s="80" t="str">
        <f>IF(AND(D422="proMX",BD422=1),IF(R422="","Draft",R422),"")</f>
        <v/>
      </c>
      <c r="BG422" s="80">
        <f>IF(BD422=1,ROUND(AG422/60,6),0)</f>
        <v>0</v>
      </c>
      <c r="BH422" s="80">
        <f>IF(BE422=1,ROUND(AG422/60,6),0)</f>
        <v>0</v>
      </c>
      <c r="BI422" s="80">
        <f>IF(BE422=1,ROUND(AP422/60,6),0)</f>
        <v>0</v>
      </c>
      <c r="BJ422" s="80">
        <f>IF(BE422=1,ROUND(AQ422/60,6),0)</f>
        <v>0</v>
      </c>
      <c r="BK422" s="80">
        <f>IF(BE422=1,ROUND((AR422+AS422)/60,6),0)</f>
        <v>0</v>
      </c>
      <c r="BL422" s="80">
        <f>ROUND(BH422-BK422,6)</f>
        <v>0</v>
      </c>
      <c r="BM422" s="80">
        <f>IF(BE422=1,ROUND(AR422/60,6),0)</f>
        <v>0</v>
      </c>
      <c r="BN422" s="80">
        <f>ROUND(BI422-BM422,6)</f>
        <v>0</v>
      </c>
      <c r="BO422" s="80">
        <f>IF(BE422=1,ROUND(AS422/60,6),0)</f>
        <v>0</v>
      </c>
      <c r="BP422" s="80">
        <f>ROUND(BJ422-BO422,6)</f>
        <v>0</v>
      </c>
      <c r="BQ422" s="80">
        <f>IF(BE422=1,AW422,0)</f>
        <v>0</v>
      </c>
      <c r="BR422" s="80">
        <f>IF(BE422=1,AX422,0)</f>
        <v>0</v>
      </c>
      <c r="BS422" s="80">
        <f>IF(AND(BE422=1,D422="Malcolm",BA422&gt;0),MIN(BH422,SUMPRODUCT((R_Emp="proMX")*(R_EN&gt;0)*((R_EN-(R_EN&gt;BR422)*(R_EN-BR422))&gt;(R_SN+(R_SN&lt;BQ422)*(BQ422-R_SN)))*((R_EN-(R_EN&gt;BR422)*(R_EN-BR422))-(R_SN+(R_SN&lt;BQ422)*(BQ422-R_SN))))/60),0)</f>
        <v>0</v>
      </c>
      <c r="BT422" s="80">
        <f>IF(AND(BE422=1,D422="proMX"),ROUND(BI422*CFG_RATE+BJ422*CFG_OTRATE,6),0)</f>
        <v>0</v>
      </c>
      <c r="BU422" s="80">
        <f>IF(AND(BD422=1,D422="proMX"),ROUND(AG422/CFG_BLK,6),0)</f>
        <v>0</v>
      </c>
      <c r="BV422" s="80" t="str">
        <f>IF(BF422="Approved",IF(ISNUMBER(T422),INT(T422),INT(B422)),"")</f>
        <v/>
      </c>
      <c r="BW422" s="80">
        <f>IF(ISNUMBER(B422),IF(DB_MON="Todos",1,IF(AND(INT(B422)&gt;=DB_MS,INT(B422)&lt;=DB_ME),1,0)),0)</f>
        <v>0</v>
      </c>
      <c r="BX422" s="80">
        <f>IF(DB_PROJ="Todos",1,IF(E422&amp;""=DB_PROJ&amp;"",1,0))</f>
        <v>1</v>
      </c>
      <c r="BY422" s="80">
        <f>BW422*BX422</f>
        <v>0</v>
      </c>
      <c r="BZ422" s="80" t="str">
        <f>IF(Y422=1,F422&amp;IF(AND(F422&amp;""&lt;&gt;"",E422&amp;""&lt;&gt;"")," · ","")&amp;E422,"")</f>
        <v/>
      </c>
      <c r="CA422" s="80" t="str">
        <f>IF(AND(BD422=1,E422&amp;""&lt;&gt;""),IF(COUNTIFS($E$5:E421,E422,$BD$5:BD421,1)=0,MAX($CA$5:CA421)+1,""),"")</f>
        <v/>
      </c>
      <c r="CB422" s="80" t="str">
        <f>IF(AND(BE422=1,D422="Malcolm",E422&amp;""&lt;&gt;""),IF(COUNTIFS($D$5:D421,"Malcolm",$E$5:E421,E422,$BE$5:BE421,1)=0,MAX($CB$5:CB421)+1,""),"")</f>
        <v/>
      </c>
      <c r="CC422" s="80" t="str">
        <f>IF(AND(BD422=1,D422="proMX",E422&amp;""&lt;&gt;""),IF(COUNTIFS($D$5:D421,"proMX",$E$5:E421,E422,$BD$5:BD421,1)=0,MAX($CC$5:CC421)+1,""),"")</f>
        <v/>
      </c>
      <c r="CD422" s="80" t="str">
        <f>IF(AND(BE422=1,D422="Malcolm",F422&amp;""&lt;&gt;""),IF(COUNTIFS($D$5:D421,"Malcolm",$F$5:F421,F422,$BE$5:BE421,1)=0,MAX($CD$5:CD421)+1,""),"")</f>
        <v/>
      </c>
      <c r="CE422" s="80" t="str">
        <f>IF(AND(BD422=1,D422="proMX",F422&amp;""&lt;&gt;""),IF(COUNTIFS($D$5:D421,"proMX",$F$5:F421,F422,$BD$5:BD421,1)=0,MAX($CE$5:CE421)+1,""),"")</f>
        <v/>
      </c>
      <c r="CF422" s="80" t="str">
        <f>IF(AND(D422="proMX",BD422=1),IF(OR(BF422="Draft",BF422="Submitted",BF422="Returned",BF422="Recall Requested"),MAX($CF$5:CF421)+1,""),"")</f>
        <v/>
      </c>
      <c r="CG422" s="80">
        <f>IF(BD422=0,0,IF(D422="Malcolm",1,MATCH(BF422,{"Draft","Submitted","Approved","Returned","Recall Requested","Cancelled"},0)+1))</f>
        <v>0</v>
      </c>
      <c r="CH422" s="80">
        <f>IF(AND(BF422="Submitted",ISNUMBER(V422)),IF(V422&gt;CFG_MAXD,1,0),0)</f>
        <v>0</v>
      </c>
    </row>
    <row r="423">
      <c r="A423" s="71" t="str">
        <f>IF(Y423=1,ROW()-5,"")</f>
        <v/>
      </c>
      <c r="B423" s="72" t="n"/>
      <c r="C423" s="71" t="str">
        <f>IF(ISNUMBER(B423),CHOOSE(WEEKDAY(B423,2),"Lun","Mar","Mié","Jue","Vie","Sáb","Dom"),"")</f>
        <v/>
      </c>
      <c r="D423" s="73" t="n"/>
      <c r="E423" s="74" t="n"/>
      <c r="F423" s="74" t="n"/>
      <c r="G423" s="74" t="n"/>
      <c r="H423" s="75" t="n"/>
      <c r="I423" s="75" t="n"/>
      <c r="J423" s="76" t="n"/>
      <c r="K423" s="77" t="str">
        <f>IF(AB423=1,ROUND(AG423/60,4),"")</f>
        <v/>
      </c>
      <c r="L423" s="77" t="str">
        <f>IF(BD423=1,ROUND(AP423/60,4),"")</f>
        <v/>
      </c>
      <c r="M423" s="77" t="str">
        <f>IF(BD423=1,ROUND(AQ423/60,4),"")</f>
        <v/>
      </c>
      <c r="N423" s="71" t="str">
        <f>IF(AND(D423="proMX",AB423=1),ROUND(AG423/CFG_BLK,2),"")</f>
        <v/>
      </c>
      <c r="O423" s="77" t="str">
        <f>IF(D423="proMX",IF(BD423=1,ROUND(AG423/60,4),0),"")</f>
        <v/>
      </c>
      <c r="P423" s="78" t="str">
        <f>IF(Y423=0,"",IF(BD423=1,"OK",IF(D423="proMX","Revisar bloques: ","Revisar: ")&amp;BC423))</f>
        <v/>
      </c>
      <c r="Q423" s="78" t="str">
        <f>IF(NOT(ISNUMBER(B423)),"",IF(COUNTIFS(FER_F,INT(B423))&gt;0,"Feriado"&amp;IF(AH423=1," (laborable)"," (no laborable)"),IF(AH423=1,"Laborable",IF(WEEKDAY(B423,2)&gt;5,"Fin de semana","No laborable"))))</f>
        <v/>
      </c>
      <c r="R423" s="73" t="n"/>
      <c r="S423" s="72" t="n"/>
      <c r="T423" s="72" t="n"/>
      <c r="U423" s="74" t="n"/>
      <c r="V423" s="79" t="str">
        <f>IF(AND(D423="proMX",OR(R423="Submitted",R423="Recall Requested"),ISNUMBER(S423)),CFG_TODAY-INT(S423),"")</f>
        <v/>
      </c>
      <c r="W423" s="78" t="str">
        <f>IF(BD423=0,"",IF(BA423&gt;0,"⚠ Se superpone con un registro de la otra empresa",IF(D423="Malcolm",IF(COUNTA(R423,S423,T423)&gt;0,"Estado/fechas proMX se ignoran en Malcolm",""),IF(BF423="Cancelled","Cancelado: excluido de totales",IF(R423="","Sin estado: se trata como Draft",IF(BF423="Submitted",IF(ISNUMBER(V423),IF(V423&gt;CFG_MAXD,"⚠ "&amp;V423&amp;" días en Submitted (máx. "&amp;CFG_MAXD&amp;")",""),"Falta fecha de envío"),IF(BF423="Returned","⚠ Devuelto: corregir y reenviar",IF(BF423="Recall Requested","Retirada solicitada: pendiente",IF(AND(BF423="Approved",NOT(ISNUMBER(T423))),"Falta fecha de aprobación",IF(AND(ISNUMBER(S423),ISNUMBER(T423),T423&lt;S423),"Aprobación anterior al envío","")))))))))</f>
        <v/>
      </c>
      <c r="Y423" s="80">
        <f>IF(COUNTA(B423,D423,E423,F423,G423,H423,I423,J423,R423,S423,T423)&gt;0,1,0)</f>
        <v>0</v>
      </c>
      <c r="Z423" s="80" t="str">
        <f>IF(AND(ISNUMBER(H423),H423&gt;=0,H423&lt;1),ROUND(H423*1440,0),"")</f>
        <v/>
      </c>
      <c r="AA423" s="80" t="str">
        <f>IF(AND(ISNUMBER(I423),I423&gt;=0,I423&lt;1),ROUND(I423*1440,0),"")</f>
        <v/>
      </c>
      <c r="AB423" s="80">
        <f>IF(AND(ISNUMBER(B423),D423&lt;&gt;"",ISNUMBER(Z423),ISNUMBER(AA423)),IF(Z423=AA423,0,1),0)</f>
        <v>0</v>
      </c>
      <c r="AC423" s="80">
        <f>IF(AB423=1,IF(AA423&lt;Z423,1,0),0)</f>
        <v>0</v>
      </c>
      <c r="AD423" s="80">
        <f>IF(AB423=1,IF(AC423=1,1440-Z423+AA423,AA423-Z423),0)</f>
        <v>0</v>
      </c>
      <c r="AE423" s="80">
        <f>IF(J423="",0,IF(ISNUMBER(J423),J423,-1))</f>
        <v>0</v>
      </c>
      <c r="AF423" s="80">
        <f>MIN(MAX(0,AE423),AD423)</f>
        <v>0</v>
      </c>
      <c r="AG423" s="80">
        <f>MAX(0,AD423-MAX(0,AE423))</f>
        <v>0</v>
      </c>
      <c r="AH423" s="80">
        <f>IF(ISNUMBER(B423),IF(AND(INDEX(CFG_WDAYS,WEEKDAY(INT(B423),2))="Sí",IF(D423="proMX",COUNTIFS(FER_F,INT(B423),FER_NLP,"Sí"),COUNTIFS(FER_F,INT(B423),FER_NLM,"Sí"))=0),1,0),0)</f>
        <v>0</v>
      </c>
      <c r="AI423" s="80">
        <f>IF(AC423=1,IF(AND(INDEX(CFG_WDAYS,WEEKDAY(INT(B423)+1,2))="Sí",IF(D423="proMX",COUNTIFS(FER_F,INT(B423)+1,FER_NLP,"Sí"),COUNTIFS(FER_F,INT(B423)+1,FER_NLM,"Sí"))=0),1,0),0)</f>
        <v>0</v>
      </c>
      <c r="AJ423" s="80">
        <f>IF(AC423=1,1440-Z423,AD423)</f>
        <v>0</v>
      </c>
      <c r="AK423" s="80">
        <f>IF(AND(AB423=1,AH423=1),MAX(0,MIN(IF(AC423=1,1440,AA423),CFG_WEM)-MAX(Z423,CFG_WSM)),0)</f>
        <v>0</v>
      </c>
      <c r="AL423" s="80">
        <f>IF(AND(AC423=1,AI423=1),MAX(0,MIN(AA423,CFG_WEM)-CFG_WSM),0)</f>
        <v>0</v>
      </c>
      <c r="AM423" s="80">
        <f>AK423+AL423</f>
        <v>0</v>
      </c>
      <c r="AN423" s="80">
        <f>IF(CFG_BRK="Proporcional",IF(AD423=0,0,AF423*AM423/AD423),IF(CFG_BRK="Extras primero",MIN(AM423,MAX(0,AF423-(AD423-AM423))),MIN(AF423,AM423)))</f>
        <v>0</v>
      </c>
      <c r="AO423" s="80">
        <f>AF423-AN423</f>
        <v>0</v>
      </c>
      <c r="AP423" s="80">
        <f>AM423-AN423</f>
        <v>0</v>
      </c>
      <c r="AQ423" s="80">
        <f>AD423-AM423-AO423</f>
        <v>0</v>
      </c>
      <c r="AR423" s="80">
        <f>IF(AM423=0,0,AK423-AN423*AK423/AM423)</f>
        <v>0</v>
      </c>
      <c r="AS423" s="80">
        <f>IF(AD423-AM423=0,0,(AJ423-AK423)-AO423*(AJ423-AK423)/(AD423-AM423))</f>
        <v>0</v>
      </c>
      <c r="AT423" s="80" t="str">
        <f>IF(AC423=1,INT(B423)+1,"")</f>
        <v/>
      </c>
      <c r="AU423" s="80">
        <f>IF(AND(D423="proMX",R423="Cancelled"),0,1)</f>
        <v>1</v>
      </c>
      <c r="AV423" s="80">
        <f>IF(AND(AB423=1,AU423=1),IF(COUNTIFS($D$5:D422,D423,$B$5:B422,B423,$Z$5:Z422,Z423,$AA$5:AA422,AA423,$F$5:F422,F423&amp;"",$AU$5:AU422,1)&gt;0,1,0),0)</f>
        <v>0</v>
      </c>
      <c r="AW423" s="80" t="str">
        <f>IF(AB423=1,INT(B423)*1440+Z423,"")</f>
        <v/>
      </c>
      <c r="AX423" s="80" t="str">
        <f>IF(AB423=1,AW423+AD423,"")</f>
        <v/>
      </c>
      <c r="AY423" s="80">
        <f>IF(AND(AB423=1,AV423=0,AU423=1),1,0)</f>
        <v>0</v>
      </c>
      <c r="AZ423" s="80">
        <f>IF(AY423=1,COUNTIFS(R_Emp,D423,R_SAbs,"&lt;"&amp;AX423,R_EAbs,"&gt;"&amp;AW423,R_OKey,1)-1,0)</f>
        <v>0</v>
      </c>
      <c r="BA423" s="80">
        <f>IF(AY423=1,COUNTIFS(R_Emp,"&lt;&gt;"&amp;D423,R_SAbs,"&lt;"&amp;AX423,R_EAbs,"&gt;"&amp;AW423,R_OKey,1),0)</f>
        <v>0</v>
      </c>
      <c r="BB423" s="80">
        <f>IF(AND(AB423=1,D423="proMX"),IF(AND(MOD(Z423,CFG_BLK)=0,MOD(AA423,CFG_BLK)=0,MOD(AG423,CFG_BLK)=0,AG423&gt;0),1,0),1)</f>
        <v>1</v>
      </c>
      <c r="BC423" s="80" t="str">
        <f>IF(Y423=0,"",IF(NOT(ISNUMBER(B423)),"Falta fecha o fecha inválida",IF(D423="","Falta empresa",IF(AND(D423&lt;&gt;"Malcolm",D423&lt;&gt;"proMX"),"Empresa inválida",IF(OR(INT(B423)&lt;CFG_PSTART,INT(B423)&gt;CFG_PEND),"Fecha fuera del período",IF(OR(NOT(ISNUMBER(Z423)),NOT(ISNUMBER(AA423))),"Falta hora inicio/fin o formato inválido",IF(AB423=0,"Hora inicio = hora fin",IF(AE423&lt;0,"Descanso inválido",IF(AE423&gt;=AD423,"Descanso ≥ duración",IF(AV423=1,"Registro duplicado",IF(AZ423&gt;0,"Se superpone con otro registro "&amp;D423,IF(BB423=0,"inicio, fin y duración neta deben ser múltiplos de "&amp;CFG_BLK&amp;" min",""))))))))))))</f>
        <v/>
      </c>
      <c r="BD423" s="80">
        <f>IF(AND(Y423=1,BC423=""),1,0)</f>
        <v>0</v>
      </c>
      <c r="BE423" s="80">
        <f>IF(AND(BD423=1,AU423=1),1,0)</f>
        <v>0</v>
      </c>
      <c r="BF423" s="80" t="str">
        <f>IF(AND(D423="proMX",BD423=1),IF(R423="","Draft",R423),"")</f>
        <v/>
      </c>
      <c r="BG423" s="80">
        <f>IF(BD423=1,ROUND(AG423/60,6),0)</f>
        <v>0</v>
      </c>
      <c r="BH423" s="80">
        <f>IF(BE423=1,ROUND(AG423/60,6),0)</f>
        <v>0</v>
      </c>
      <c r="BI423" s="80">
        <f>IF(BE423=1,ROUND(AP423/60,6),0)</f>
        <v>0</v>
      </c>
      <c r="BJ423" s="80">
        <f>IF(BE423=1,ROUND(AQ423/60,6),0)</f>
        <v>0</v>
      </c>
      <c r="BK423" s="80">
        <f>IF(BE423=1,ROUND((AR423+AS423)/60,6),0)</f>
        <v>0</v>
      </c>
      <c r="BL423" s="80">
        <f>ROUND(BH423-BK423,6)</f>
        <v>0</v>
      </c>
      <c r="BM423" s="80">
        <f>IF(BE423=1,ROUND(AR423/60,6),0)</f>
        <v>0</v>
      </c>
      <c r="BN423" s="80">
        <f>ROUND(BI423-BM423,6)</f>
        <v>0</v>
      </c>
      <c r="BO423" s="80">
        <f>IF(BE423=1,ROUND(AS423/60,6),0)</f>
        <v>0</v>
      </c>
      <c r="BP423" s="80">
        <f>ROUND(BJ423-BO423,6)</f>
        <v>0</v>
      </c>
      <c r="BQ423" s="80">
        <f>IF(BE423=1,AW423,0)</f>
        <v>0</v>
      </c>
      <c r="BR423" s="80">
        <f>IF(BE423=1,AX423,0)</f>
        <v>0</v>
      </c>
      <c r="BS423" s="80">
        <f>IF(AND(BE423=1,D423="Malcolm",BA423&gt;0),MIN(BH423,SUMPRODUCT((R_Emp="proMX")*(R_EN&gt;0)*((R_EN-(R_EN&gt;BR423)*(R_EN-BR423))&gt;(R_SN+(R_SN&lt;BQ423)*(BQ423-R_SN)))*((R_EN-(R_EN&gt;BR423)*(R_EN-BR423))-(R_SN+(R_SN&lt;BQ423)*(BQ423-R_SN))))/60),0)</f>
        <v>0</v>
      </c>
      <c r="BT423" s="80">
        <f>IF(AND(BE423=1,D423="proMX"),ROUND(BI423*CFG_RATE+BJ423*CFG_OTRATE,6),0)</f>
        <v>0</v>
      </c>
      <c r="BU423" s="80">
        <f>IF(AND(BD423=1,D423="proMX"),ROUND(AG423/CFG_BLK,6),0)</f>
        <v>0</v>
      </c>
      <c r="BV423" s="80" t="str">
        <f>IF(BF423="Approved",IF(ISNUMBER(T423),INT(T423),INT(B423)),"")</f>
        <v/>
      </c>
      <c r="BW423" s="80">
        <f>IF(ISNUMBER(B423),IF(DB_MON="Todos",1,IF(AND(INT(B423)&gt;=DB_MS,INT(B423)&lt;=DB_ME),1,0)),0)</f>
        <v>0</v>
      </c>
      <c r="BX423" s="80">
        <f>IF(DB_PROJ="Todos",1,IF(E423&amp;""=DB_PROJ&amp;"",1,0))</f>
        <v>1</v>
      </c>
      <c r="BY423" s="80">
        <f>BW423*BX423</f>
        <v>0</v>
      </c>
      <c r="BZ423" s="80" t="str">
        <f>IF(Y423=1,F423&amp;IF(AND(F423&amp;""&lt;&gt;"",E423&amp;""&lt;&gt;"")," · ","")&amp;E423,"")</f>
        <v/>
      </c>
      <c r="CA423" s="80" t="str">
        <f>IF(AND(BD423=1,E423&amp;""&lt;&gt;""),IF(COUNTIFS($E$5:E422,E423,$BD$5:BD422,1)=0,MAX($CA$5:CA422)+1,""),"")</f>
        <v/>
      </c>
      <c r="CB423" s="80" t="str">
        <f>IF(AND(BE423=1,D423="Malcolm",E423&amp;""&lt;&gt;""),IF(COUNTIFS($D$5:D422,"Malcolm",$E$5:E422,E423,$BE$5:BE422,1)=0,MAX($CB$5:CB422)+1,""),"")</f>
        <v/>
      </c>
      <c r="CC423" s="80" t="str">
        <f>IF(AND(BD423=1,D423="proMX",E423&amp;""&lt;&gt;""),IF(COUNTIFS($D$5:D422,"proMX",$E$5:E422,E423,$BD$5:BD422,1)=0,MAX($CC$5:CC422)+1,""),"")</f>
        <v/>
      </c>
      <c r="CD423" s="80" t="str">
        <f>IF(AND(BE423=1,D423="Malcolm",F423&amp;""&lt;&gt;""),IF(COUNTIFS($D$5:D422,"Malcolm",$F$5:F422,F423,$BE$5:BE422,1)=0,MAX($CD$5:CD422)+1,""),"")</f>
        <v/>
      </c>
      <c r="CE423" s="80" t="str">
        <f>IF(AND(BD423=1,D423="proMX",F423&amp;""&lt;&gt;""),IF(COUNTIFS($D$5:D422,"proMX",$F$5:F422,F423,$BD$5:BD422,1)=0,MAX($CE$5:CE422)+1,""),"")</f>
        <v/>
      </c>
      <c r="CF423" s="80" t="str">
        <f>IF(AND(D423="proMX",BD423=1),IF(OR(BF423="Draft",BF423="Submitted",BF423="Returned",BF423="Recall Requested"),MAX($CF$5:CF422)+1,""),"")</f>
        <v/>
      </c>
      <c r="CG423" s="80">
        <f>IF(BD423=0,0,IF(D423="Malcolm",1,MATCH(BF423,{"Draft","Submitted","Approved","Returned","Recall Requested","Cancelled"},0)+1))</f>
        <v>0</v>
      </c>
      <c r="CH423" s="80">
        <f>IF(AND(BF423="Submitted",ISNUMBER(V423)),IF(V423&gt;CFG_MAXD,1,0),0)</f>
        <v>0</v>
      </c>
    </row>
    <row r="424">
      <c r="A424" s="71" t="str">
        <f>IF(Y424=1,ROW()-5,"")</f>
        <v/>
      </c>
      <c r="B424" s="72" t="n"/>
      <c r="C424" s="71" t="str">
        <f>IF(ISNUMBER(B424),CHOOSE(WEEKDAY(B424,2),"Lun","Mar","Mié","Jue","Vie","Sáb","Dom"),"")</f>
        <v/>
      </c>
      <c r="D424" s="73" t="n"/>
      <c r="E424" s="74" t="n"/>
      <c r="F424" s="74" t="n"/>
      <c r="G424" s="74" t="n"/>
      <c r="H424" s="75" t="n"/>
      <c r="I424" s="75" t="n"/>
      <c r="J424" s="76" t="n"/>
      <c r="K424" s="77" t="str">
        <f>IF(AB424=1,ROUND(AG424/60,4),"")</f>
        <v/>
      </c>
      <c r="L424" s="77" t="str">
        <f>IF(BD424=1,ROUND(AP424/60,4),"")</f>
        <v/>
      </c>
      <c r="M424" s="77" t="str">
        <f>IF(BD424=1,ROUND(AQ424/60,4),"")</f>
        <v/>
      </c>
      <c r="N424" s="71" t="str">
        <f>IF(AND(D424="proMX",AB424=1),ROUND(AG424/CFG_BLK,2),"")</f>
        <v/>
      </c>
      <c r="O424" s="77" t="str">
        <f>IF(D424="proMX",IF(BD424=1,ROUND(AG424/60,4),0),"")</f>
        <v/>
      </c>
      <c r="P424" s="78" t="str">
        <f>IF(Y424=0,"",IF(BD424=1,"OK",IF(D424="proMX","Revisar bloques: ","Revisar: ")&amp;BC424))</f>
        <v/>
      </c>
      <c r="Q424" s="78" t="str">
        <f>IF(NOT(ISNUMBER(B424)),"",IF(COUNTIFS(FER_F,INT(B424))&gt;0,"Feriado"&amp;IF(AH424=1," (laborable)"," (no laborable)"),IF(AH424=1,"Laborable",IF(WEEKDAY(B424,2)&gt;5,"Fin de semana","No laborable"))))</f>
        <v/>
      </c>
      <c r="R424" s="73" t="n"/>
      <c r="S424" s="72" t="n"/>
      <c r="T424" s="72" t="n"/>
      <c r="U424" s="74" t="n"/>
      <c r="V424" s="79" t="str">
        <f>IF(AND(D424="proMX",OR(R424="Submitted",R424="Recall Requested"),ISNUMBER(S424)),CFG_TODAY-INT(S424),"")</f>
        <v/>
      </c>
      <c r="W424" s="78" t="str">
        <f>IF(BD424=0,"",IF(BA424&gt;0,"⚠ Se superpone con un registro de la otra empresa",IF(D424="Malcolm",IF(COUNTA(R424,S424,T424)&gt;0,"Estado/fechas proMX se ignoran en Malcolm",""),IF(BF424="Cancelled","Cancelado: excluido de totales",IF(R424="","Sin estado: se trata como Draft",IF(BF424="Submitted",IF(ISNUMBER(V424),IF(V424&gt;CFG_MAXD,"⚠ "&amp;V424&amp;" días en Submitted (máx. "&amp;CFG_MAXD&amp;")",""),"Falta fecha de envío"),IF(BF424="Returned","⚠ Devuelto: corregir y reenviar",IF(BF424="Recall Requested","Retirada solicitada: pendiente",IF(AND(BF424="Approved",NOT(ISNUMBER(T424))),"Falta fecha de aprobación",IF(AND(ISNUMBER(S424),ISNUMBER(T424),T424&lt;S424),"Aprobación anterior al envío","")))))))))</f>
        <v/>
      </c>
      <c r="Y424" s="80">
        <f>IF(COUNTA(B424,D424,E424,F424,G424,H424,I424,J424,R424,S424,T424)&gt;0,1,0)</f>
        <v>0</v>
      </c>
      <c r="Z424" s="80" t="str">
        <f>IF(AND(ISNUMBER(H424),H424&gt;=0,H424&lt;1),ROUND(H424*1440,0),"")</f>
        <v/>
      </c>
      <c r="AA424" s="80" t="str">
        <f>IF(AND(ISNUMBER(I424),I424&gt;=0,I424&lt;1),ROUND(I424*1440,0),"")</f>
        <v/>
      </c>
      <c r="AB424" s="80">
        <f>IF(AND(ISNUMBER(B424),D424&lt;&gt;"",ISNUMBER(Z424),ISNUMBER(AA424)),IF(Z424=AA424,0,1),0)</f>
        <v>0</v>
      </c>
      <c r="AC424" s="80">
        <f>IF(AB424=1,IF(AA424&lt;Z424,1,0),0)</f>
        <v>0</v>
      </c>
      <c r="AD424" s="80">
        <f>IF(AB424=1,IF(AC424=1,1440-Z424+AA424,AA424-Z424),0)</f>
        <v>0</v>
      </c>
      <c r="AE424" s="80">
        <f>IF(J424="",0,IF(ISNUMBER(J424),J424,-1))</f>
        <v>0</v>
      </c>
      <c r="AF424" s="80">
        <f>MIN(MAX(0,AE424),AD424)</f>
        <v>0</v>
      </c>
      <c r="AG424" s="80">
        <f>MAX(0,AD424-MAX(0,AE424))</f>
        <v>0</v>
      </c>
      <c r="AH424" s="80">
        <f>IF(ISNUMBER(B424),IF(AND(INDEX(CFG_WDAYS,WEEKDAY(INT(B424),2))="Sí",IF(D424="proMX",COUNTIFS(FER_F,INT(B424),FER_NLP,"Sí"),COUNTIFS(FER_F,INT(B424),FER_NLM,"Sí"))=0),1,0),0)</f>
        <v>0</v>
      </c>
      <c r="AI424" s="80">
        <f>IF(AC424=1,IF(AND(INDEX(CFG_WDAYS,WEEKDAY(INT(B424)+1,2))="Sí",IF(D424="proMX",COUNTIFS(FER_F,INT(B424)+1,FER_NLP,"Sí"),COUNTIFS(FER_F,INT(B424)+1,FER_NLM,"Sí"))=0),1,0),0)</f>
        <v>0</v>
      </c>
      <c r="AJ424" s="80">
        <f>IF(AC424=1,1440-Z424,AD424)</f>
        <v>0</v>
      </c>
      <c r="AK424" s="80">
        <f>IF(AND(AB424=1,AH424=1),MAX(0,MIN(IF(AC424=1,1440,AA424),CFG_WEM)-MAX(Z424,CFG_WSM)),0)</f>
        <v>0</v>
      </c>
      <c r="AL424" s="80">
        <f>IF(AND(AC424=1,AI424=1),MAX(0,MIN(AA424,CFG_WEM)-CFG_WSM),0)</f>
        <v>0</v>
      </c>
      <c r="AM424" s="80">
        <f>AK424+AL424</f>
        <v>0</v>
      </c>
      <c r="AN424" s="80">
        <f>IF(CFG_BRK="Proporcional",IF(AD424=0,0,AF424*AM424/AD424),IF(CFG_BRK="Extras primero",MIN(AM424,MAX(0,AF424-(AD424-AM424))),MIN(AF424,AM424)))</f>
        <v>0</v>
      </c>
      <c r="AO424" s="80">
        <f>AF424-AN424</f>
        <v>0</v>
      </c>
      <c r="AP424" s="80">
        <f>AM424-AN424</f>
        <v>0</v>
      </c>
      <c r="AQ424" s="80">
        <f>AD424-AM424-AO424</f>
        <v>0</v>
      </c>
      <c r="AR424" s="80">
        <f>IF(AM424=0,0,AK424-AN424*AK424/AM424)</f>
        <v>0</v>
      </c>
      <c r="AS424" s="80">
        <f>IF(AD424-AM424=0,0,(AJ424-AK424)-AO424*(AJ424-AK424)/(AD424-AM424))</f>
        <v>0</v>
      </c>
      <c r="AT424" s="80" t="str">
        <f>IF(AC424=1,INT(B424)+1,"")</f>
        <v/>
      </c>
      <c r="AU424" s="80">
        <f>IF(AND(D424="proMX",R424="Cancelled"),0,1)</f>
        <v>1</v>
      </c>
      <c r="AV424" s="80">
        <f>IF(AND(AB424=1,AU424=1),IF(COUNTIFS($D$5:D423,D424,$B$5:B423,B424,$Z$5:Z423,Z424,$AA$5:AA423,AA424,$F$5:F423,F424&amp;"",$AU$5:AU423,1)&gt;0,1,0),0)</f>
        <v>0</v>
      </c>
      <c r="AW424" s="80" t="str">
        <f>IF(AB424=1,INT(B424)*1440+Z424,"")</f>
        <v/>
      </c>
      <c r="AX424" s="80" t="str">
        <f>IF(AB424=1,AW424+AD424,"")</f>
        <v/>
      </c>
      <c r="AY424" s="80">
        <f>IF(AND(AB424=1,AV424=0,AU424=1),1,0)</f>
        <v>0</v>
      </c>
      <c r="AZ424" s="80">
        <f>IF(AY424=1,COUNTIFS(R_Emp,D424,R_SAbs,"&lt;"&amp;AX424,R_EAbs,"&gt;"&amp;AW424,R_OKey,1)-1,0)</f>
        <v>0</v>
      </c>
      <c r="BA424" s="80">
        <f>IF(AY424=1,COUNTIFS(R_Emp,"&lt;&gt;"&amp;D424,R_SAbs,"&lt;"&amp;AX424,R_EAbs,"&gt;"&amp;AW424,R_OKey,1),0)</f>
        <v>0</v>
      </c>
      <c r="BB424" s="80">
        <f>IF(AND(AB424=1,D424="proMX"),IF(AND(MOD(Z424,CFG_BLK)=0,MOD(AA424,CFG_BLK)=0,MOD(AG424,CFG_BLK)=0,AG424&gt;0),1,0),1)</f>
        <v>1</v>
      </c>
      <c r="BC424" s="80" t="str">
        <f>IF(Y424=0,"",IF(NOT(ISNUMBER(B424)),"Falta fecha o fecha inválida",IF(D424="","Falta empresa",IF(AND(D424&lt;&gt;"Malcolm",D424&lt;&gt;"proMX"),"Empresa inválida",IF(OR(INT(B424)&lt;CFG_PSTART,INT(B424)&gt;CFG_PEND),"Fecha fuera del período",IF(OR(NOT(ISNUMBER(Z424)),NOT(ISNUMBER(AA424))),"Falta hora inicio/fin o formato inválido",IF(AB424=0,"Hora inicio = hora fin",IF(AE424&lt;0,"Descanso inválido",IF(AE424&gt;=AD424,"Descanso ≥ duración",IF(AV424=1,"Registro duplicado",IF(AZ424&gt;0,"Se superpone con otro registro "&amp;D424,IF(BB424=0,"inicio, fin y duración neta deben ser múltiplos de "&amp;CFG_BLK&amp;" min",""))))))))))))</f>
        <v/>
      </c>
      <c r="BD424" s="80">
        <f>IF(AND(Y424=1,BC424=""),1,0)</f>
        <v>0</v>
      </c>
      <c r="BE424" s="80">
        <f>IF(AND(BD424=1,AU424=1),1,0)</f>
        <v>0</v>
      </c>
      <c r="BF424" s="80" t="str">
        <f>IF(AND(D424="proMX",BD424=1),IF(R424="","Draft",R424),"")</f>
        <v/>
      </c>
      <c r="BG424" s="80">
        <f>IF(BD424=1,ROUND(AG424/60,6),0)</f>
        <v>0</v>
      </c>
      <c r="BH424" s="80">
        <f>IF(BE424=1,ROUND(AG424/60,6),0)</f>
        <v>0</v>
      </c>
      <c r="BI424" s="80">
        <f>IF(BE424=1,ROUND(AP424/60,6),0)</f>
        <v>0</v>
      </c>
      <c r="BJ424" s="80">
        <f>IF(BE424=1,ROUND(AQ424/60,6),0)</f>
        <v>0</v>
      </c>
      <c r="BK424" s="80">
        <f>IF(BE424=1,ROUND((AR424+AS424)/60,6),0)</f>
        <v>0</v>
      </c>
      <c r="BL424" s="80">
        <f>ROUND(BH424-BK424,6)</f>
        <v>0</v>
      </c>
      <c r="BM424" s="80">
        <f>IF(BE424=1,ROUND(AR424/60,6),0)</f>
        <v>0</v>
      </c>
      <c r="BN424" s="80">
        <f>ROUND(BI424-BM424,6)</f>
        <v>0</v>
      </c>
      <c r="BO424" s="80">
        <f>IF(BE424=1,ROUND(AS424/60,6),0)</f>
        <v>0</v>
      </c>
      <c r="BP424" s="80">
        <f>ROUND(BJ424-BO424,6)</f>
        <v>0</v>
      </c>
      <c r="BQ424" s="80">
        <f>IF(BE424=1,AW424,0)</f>
        <v>0</v>
      </c>
      <c r="BR424" s="80">
        <f>IF(BE424=1,AX424,0)</f>
        <v>0</v>
      </c>
      <c r="BS424" s="80">
        <f>IF(AND(BE424=1,D424="Malcolm",BA424&gt;0),MIN(BH424,SUMPRODUCT((R_Emp="proMX")*(R_EN&gt;0)*((R_EN-(R_EN&gt;BR424)*(R_EN-BR424))&gt;(R_SN+(R_SN&lt;BQ424)*(BQ424-R_SN)))*((R_EN-(R_EN&gt;BR424)*(R_EN-BR424))-(R_SN+(R_SN&lt;BQ424)*(BQ424-R_SN))))/60),0)</f>
        <v>0</v>
      </c>
      <c r="BT424" s="80">
        <f>IF(AND(BE424=1,D424="proMX"),ROUND(BI424*CFG_RATE+BJ424*CFG_OTRATE,6),0)</f>
        <v>0</v>
      </c>
      <c r="BU424" s="80">
        <f>IF(AND(BD424=1,D424="proMX"),ROUND(AG424/CFG_BLK,6),0)</f>
        <v>0</v>
      </c>
      <c r="BV424" s="80" t="str">
        <f>IF(BF424="Approved",IF(ISNUMBER(T424),INT(T424),INT(B424)),"")</f>
        <v/>
      </c>
      <c r="BW424" s="80">
        <f>IF(ISNUMBER(B424),IF(DB_MON="Todos",1,IF(AND(INT(B424)&gt;=DB_MS,INT(B424)&lt;=DB_ME),1,0)),0)</f>
        <v>0</v>
      </c>
      <c r="BX424" s="80">
        <f>IF(DB_PROJ="Todos",1,IF(E424&amp;""=DB_PROJ&amp;"",1,0))</f>
        <v>1</v>
      </c>
      <c r="BY424" s="80">
        <f>BW424*BX424</f>
        <v>0</v>
      </c>
      <c r="BZ424" s="80" t="str">
        <f>IF(Y424=1,F424&amp;IF(AND(F424&amp;""&lt;&gt;"",E424&amp;""&lt;&gt;"")," · ","")&amp;E424,"")</f>
        <v/>
      </c>
      <c r="CA424" s="80" t="str">
        <f>IF(AND(BD424=1,E424&amp;""&lt;&gt;""),IF(COUNTIFS($E$5:E423,E424,$BD$5:BD423,1)=0,MAX($CA$5:CA423)+1,""),"")</f>
        <v/>
      </c>
      <c r="CB424" s="80" t="str">
        <f>IF(AND(BE424=1,D424="Malcolm",E424&amp;""&lt;&gt;""),IF(COUNTIFS($D$5:D423,"Malcolm",$E$5:E423,E424,$BE$5:BE423,1)=0,MAX($CB$5:CB423)+1,""),"")</f>
        <v/>
      </c>
      <c r="CC424" s="80" t="str">
        <f>IF(AND(BD424=1,D424="proMX",E424&amp;""&lt;&gt;""),IF(COUNTIFS($D$5:D423,"proMX",$E$5:E423,E424,$BD$5:BD423,1)=0,MAX($CC$5:CC423)+1,""),"")</f>
        <v/>
      </c>
      <c r="CD424" s="80" t="str">
        <f>IF(AND(BE424=1,D424="Malcolm",F424&amp;""&lt;&gt;""),IF(COUNTIFS($D$5:D423,"Malcolm",$F$5:F423,F424,$BE$5:BE423,1)=0,MAX($CD$5:CD423)+1,""),"")</f>
        <v/>
      </c>
      <c r="CE424" s="80" t="str">
        <f>IF(AND(BD424=1,D424="proMX",F424&amp;""&lt;&gt;""),IF(COUNTIFS($D$5:D423,"proMX",$F$5:F423,F424,$BD$5:BD423,1)=0,MAX($CE$5:CE423)+1,""),"")</f>
        <v/>
      </c>
      <c r="CF424" s="80" t="str">
        <f>IF(AND(D424="proMX",BD424=1),IF(OR(BF424="Draft",BF424="Submitted",BF424="Returned",BF424="Recall Requested"),MAX($CF$5:CF423)+1,""),"")</f>
        <v/>
      </c>
      <c r="CG424" s="80">
        <f>IF(BD424=0,0,IF(D424="Malcolm",1,MATCH(BF424,{"Draft","Submitted","Approved","Returned","Recall Requested","Cancelled"},0)+1))</f>
        <v>0</v>
      </c>
      <c r="CH424" s="80">
        <f>IF(AND(BF424="Submitted",ISNUMBER(V424)),IF(V424&gt;CFG_MAXD,1,0),0)</f>
        <v>0</v>
      </c>
    </row>
    <row r="425">
      <c r="A425" s="71" t="str">
        <f>IF(Y425=1,ROW()-5,"")</f>
        <v/>
      </c>
      <c r="B425" s="72" t="n"/>
      <c r="C425" s="71" t="str">
        <f>IF(ISNUMBER(B425),CHOOSE(WEEKDAY(B425,2),"Lun","Mar","Mié","Jue","Vie","Sáb","Dom"),"")</f>
        <v/>
      </c>
      <c r="D425" s="73" t="n"/>
      <c r="E425" s="74" t="n"/>
      <c r="F425" s="74" t="n"/>
      <c r="G425" s="74" t="n"/>
      <c r="H425" s="75" t="n"/>
      <c r="I425" s="75" t="n"/>
      <c r="J425" s="76" t="n"/>
      <c r="K425" s="77" t="str">
        <f>IF(AB425=1,ROUND(AG425/60,4),"")</f>
        <v/>
      </c>
      <c r="L425" s="77" t="str">
        <f>IF(BD425=1,ROUND(AP425/60,4),"")</f>
        <v/>
      </c>
      <c r="M425" s="77" t="str">
        <f>IF(BD425=1,ROUND(AQ425/60,4),"")</f>
        <v/>
      </c>
      <c r="N425" s="71" t="str">
        <f>IF(AND(D425="proMX",AB425=1),ROUND(AG425/CFG_BLK,2),"")</f>
        <v/>
      </c>
      <c r="O425" s="77" t="str">
        <f>IF(D425="proMX",IF(BD425=1,ROUND(AG425/60,4),0),"")</f>
        <v/>
      </c>
      <c r="P425" s="78" t="str">
        <f>IF(Y425=0,"",IF(BD425=1,"OK",IF(D425="proMX","Revisar bloques: ","Revisar: ")&amp;BC425))</f>
        <v/>
      </c>
      <c r="Q425" s="78" t="str">
        <f>IF(NOT(ISNUMBER(B425)),"",IF(COUNTIFS(FER_F,INT(B425))&gt;0,"Feriado"&amp;IF(AH425=1," (laborable)"," (no laborable)"),IF(AH425=1,"Laborable",IF(WEEKDAY(B425,2)&gt;5,"Fin de semana","No laborable"))))</f>
        <v/>
      </c>
      <c r="R425" s="73" t="n"/>
      <c r="S425" s="72" t="n"/>
      <c r="T425" s="72" t="n"/>
      <c r="U425" s="74" t="n"/>
      <c r="V425" s="79" t="str">
        <f>IF(AND(D425="proMX",OR(R425="Submitted",R425="Recall Requested"),ISNUMBER(S425)),CFG_TODAY-INT(S425),"")</f>
        <v/>
      </c>
      <c r="W425" s="78" t="str">
        <f>IF(BD425=0,"",IF(BA425&gt;0,"⚠ Se superpone con un registro de la otra empresa",IF(D425="Malcolm",IF(COUNTA(R425,S425,T425)&gt;0,"Estado/fechas proMX se ignoran en Malcolm",""),IF(BF425="Cancelled","Cancelado: excluido de totales",IF(R425="","Sin estado: se trata como Draft",IF(BF425="Submitted",IF(ISNUMBER(V425),IF(V425&gt;CFG_MAXD,"⚠ "&amp;V425&amp;" días en Submitted (máx. "&amp;CFG_MAXD&amp;")",""),"Falta fecha de envío"),IF(BF425="Returned","⚠ Devuelto: corregir y reenviar",IF(BF425="Recall Requested","Retirada solicitada: pendiente",IF(AND(BF425="Approved",NOT(ISNUMBER(T425))),"Falta fecha de aprobación",IF(AND(ISNUMBER(S425),ISNUMBER(T425),T425&lt;S425),"Aprobación anterior al envío","")))))))))</f>
        <v/>
      </c>
      <c r="Y425" s="80">
        <f>IF(COUNTA(B425,D425,E425,F425,G425,H425,I425,J425,R425,S425,T425)&gt;0,1,0)</f>
        <v>0</v>
      </c>
      <c r="Z425" s="80" t="str">
        <f>IF(AND(ISNUMBER(H425),H425&gt;=0,H425&lt;1),ROUND(H425*1440,0),"")</f>
        <v/>
      </c>
      <c r="AA425" s="80" t="str">
        <f>IF(AND(ISNUMBER(I425),I425&gt;=0,I425&lt;1),ROUND(I425*1440,0),"")</f>
        <v/>
      </c>
      <c r="AB425" s="80">
        <f>IF(AND(ISNUMBER(B425),D425&lt;&gt;"",ISNUMBER(Z425),ISNUMBER(AA425)),IF(Z425=AA425,0,1),0)</f>
        <v>0</v>
      </c>
      <c r="AC425" s="80">
        <f>IF(AB425=1,IF(AA425&lt;Z425,1,0),0)</f>
        <v>0</v>
      </c>
      <c r="AD425" s="80">
        <f>IF(AB425=1,IF(AC425=1,1440-Z425+AA425,AA425-Z425),0)</f>
        <v>0</v>
      </c>
      <c r="AE425" s="80">
        <f>IF(J425="",0,IF(ISNUMBER(J425),J425,-1))</f>
        <v>0</v>
      </c>
      <c r="AF425" s="80">
        <f>MIN(MAX(0,AE425),AD425)</f>
        <v>0</v>
      </c>
      <c r="AG425" s="80">
        <f>MAX(0,AD425-MAX(0,AE425))</f>
        <v>0</v>
      </c>
      <c r="AH425" s="80">
        <f>IF(ISNUMBER(B425),IF(AND(INDEX(CFG_WDAYS,WEEKDAY(INT(B425),2))="Sí",IF(D425="proMX",COUNTIFS(FER_F,INT(B425),FER_NLP,"Sí"),COUNTIFS(FER_F,INT(B425),FER_NLM,"Sí"))=0),1,0),0)</f>
        <v>0</v>
      </c>
      <c r="AI425" s="80">
        <f>IF(AC425=1,IF(AND(INDEX(CFG_WDAYS,WEEKDAY(INT(B425)+1,2))="Sí",IF(D425="proMX",COUNTIFS(FER_F,INT(B425)+1,FER_NLP,"Sí"),COUNTIFS(FER_F,INT(B425)+1,FER_NLM,"Sí"))=0),1,0),0)</f>
        <v>0</v>
      </c>
      <c r="AJ425" s="80">
        <f>IF(AC425=1,1440-Z425,AD425)</f>
        <v>0</v>
      </c>
      <c r="AK425" s="80">
        <f>IF(AND(AB425=1,AH425=1),MAX(0,MIN(IF(AC425=1,1440,AA425),CFG_WEM)-MAX(Z425,CFG_WSM)),0)</f>
        <v>0</v>
      </c>
      <c r="AL425" s="80">
        <f>IF(AND(AC425=1,AI425=1),MAX(0,MIN(AA425,CFG_WEM)-CFG_WSM),0)</f>
        <v>0</v>
      </c>
      <c r="AM425" s="80">
        <f>AK425+AL425</f>
        <v>0</v>
      </c>
      <c r="AN425" s="80">
        <f>IF(CFG_BRK="Proporcional",IF(AD425=0,0,AF425*AM425/AD425),IF(CFG_BRK="Extras primero",MIN(AM425,MAX(0,AF425-(AD425-AM425))),MIN(AF425,AM425)))</f>
        <v>0</v>
      </c>
      <c r="AO425" s="80">
        <f>AF425-AN425</f>
        <v>0</v>
      </c>
      <c r="AP425" s="80">
        <f>AM425-AN425</f>
        <v>0</v>
      </c>
      <c r="AQ425" s="80">
        <f>AD425-AM425-AO425</f>
        <v>0</v>
      </c>
      <c r="AR425" s="80">
        <f>IF(AM425=0,0,AK425-AN425*AK425/AM425)</f>
        <v>0</v>
      </c>
      <c r="AS425" s="80">
        <f>IF(AD425-AM425=0,0,(AJ425-AK425)-AO425*(AJ425-AK425)/(AD425-AM425))</f>
        <v>0</v>
      </c>
      <c r="AT425" s="80" t="str">
        <f>IF(AC425=1,INT(B425)+1,"")</f>
        <v/>
      </c>
      <c r="AU425" s="80">
        <f>IF(AND(D425="proMX",R425="Cancelled"),0,1)</f>
        <v>1</v>
      </c>
      <c r="AV425" s="80">
        <f>IF(AND(AB425=1,AU425=1),IF(COUNTIFS($D$5:D424,D425,$B$5:B424,B425,$Z$5:Z424,Z425,$AA$5:AA424,AA425,$F$5:F424,F425&amp;"",$AU$5:AU424,1)&gt;0,1,0),0)</f>
        <v>0</v>
      </c>
      <c r="AW425" s="80" t="str">
        <f>IF(AB425=1,INT(B425)*1440+Z425,"")</f>
        <v/>
      </c>
      <c r="AX425" s="80" t="str">
        <f>IF(AB425=1,AW425+AD425,"")</f>
        <v/>
      </c>
      <c r="AY425" s="80">
        <f>IF(AND(AB425=1,AV425=0,AU425=1),1,0)</f>
        <v>0</v>
      </c>
      <c r="AZ425" s="80">
        <f>IF(AY425=1,COUNTIFS(R_Emp,D425,R_SAbs,"&lt;"&amp;AX425,R_EAbs,"&gt;"&amp;AW425,R_OKey,1)-1,0)</f>
        <v>0</v>
      </c>
      <c r="BA425" s="80">
        <f>IF(AY425=1,COUNTIFS(R_Emp,"&lt;&gt;"&amp;D425,R_SAbs,"&lt;"&amp;AX425,R_EAbs,"&gt;"&amp;AW425,R_OKey,1),0)</f>
        <v>0</v>
      </c>
      <c r="BB425" s="80">
        <f>IF(AND(AB425=1,D425="proMX"),IF(AND(MOD(Z425,CFG_BLK)=0,MOD(AA425,CFG_BLK)=0,MOD(AG425,CFG_BLK)=0,AG425&gt;0),1,0),1)</f>
        <v>1</v>
      </c>
      <c r="BC425" s="80" t="str">
        <f>IF(Y425=0,"",IF(NOT(ISNUMBER(B425)),"Falta fecha o fecha inválida",IF(D425="","Falta empresa",IF(AND(D425&lt;&gt;"Malcolm",D425&lt;&gt;"proMX"),"Empresa inválida",IF(OR(INT(B425)&lt;CFG_PSTART,INT(B425)&gt;CFG_PEND),"Fecha fuera del período",IF(OR(NOT(ISNUMBER(Z425)),NOT(ISNUMBER(AA425))),"Falta hora inicio/fin o formato inválido",IF(AB425=0,"Hora inicio = hora fin",IF(AE425&lt;0,"Descanso inválido",IF(AE425&gt;=AD425,"Descanso ≥ duración",IF(AV425=1,"Registro duplicado",IF(AZ425&gt;0,"Se superpone con otro registro "&amp;D425,IF(BB425=0,"inicio, fin y duración neta deben ser múltiplos de "&amp;CFG_BLK&amp;" min",""))))))))))))</f>
        <v/>
      </c>
      <c r="BD425" s="80">
        <f>IF(AND(Y425=1,BC425=""),1,0)</f>
        <v>0</v>
      </c>
      <c r="BE425" s="80">
        <f>IF(AND(BD425=1,AU425=1),1,0)</f>
        <v>0</v>
      </c>
      <c r="BF425" s="80" t="str">
        <f>IF(AND(D425="proMX",BD425=1),IF(R425="","Draft",R425),"")</f>
        <v/>
      </c>
      <c r="BG425" s="80">
        <f>IF(BD425=1,ROUND(AG425/60,6),0)</f>
        <v>0</v>
      </c>
      <c r="BH425" s="80">
        <f>IF(BE425=1,ROUND(AG425/60,6),0)</f>
        <v>0</v>
      </c>
      <c r="BI425" s="80">
        <f>IF(BE425=1,ROUND(AP425/60,6),0)</f>
        <v>0</v>
      </c>
      <c r="BJ425" s="80">
        <f>IF(BE425=1,ROUND(AQ425/60,6),0)</f>
        <v>0</v>
      </c>
      <c r="BK425" s="80">
        <f>IF(BE425=1,ROUND((AR425+AS425)/60,6),0)</f>
        <v>0</v>
      </c>
      <c r="BL425" s="80">
        <f>ROUND(BH425-BK425,6)</f>
        <v>0</v>
      </c>
      <c r="BM425" s="80">
        <f>IF(BE425=1,ROUND(AR425/60,6),0)</f>
        <v>0</v>
      </c>
      <c r="BN425" s="80">
        <f>ROUND(BI425-BM425,6)</f>
        <v>0</v>
      </c>
      <c r="BO425" s="80">
        <f>IF(BE425=1,ROUND(AS425/60,6),0)</f>
        <v>0</v>
      </c>
      <c r="BP425" s="80">
        <f>ROUND(BJ425-BO425,6)</f>
        <v>0</v>
      </c>
      <c r="BQ425" s="80">
        <f>IF(BE425=1,AW425,0)</f>
        <v>0</v>
      </c>
      <c r="BR425" s="80">
        <f>IF(BE425=1,AX425,0)</f>
        <v>0</v>
      </c>
      <c r="BS425" s="80">
        <f>IF(AND(BE425=1,D425="Malcolm",BA425&gt;0),MIN(BH425,SUMPRODUCT((R_Emp="proMX")*(R_EN&gt;0)*((R_EN-(R_EN&gt;BR425)*(R_EN-BR425))&gt;(R_SN+(R_SN&lt;BQ425)*(BQ425-R_SN)))*((R_EN-(R_EN&gt;BR425)*(R_EN-BR425))-(R_SN+(R_SN&lt;BQ425)*(BQ425-R_SN))))/60),0)</f>
        <v>0</v>
      </c>
      <c r="BT425" s="80">
        <f>IF(AND(BE425=1,D425="proMX"),ROUND(BI425*CFG_RATE+BJ425*CFG_OTRATE,6),0)</f>
        <v>0</v>
      </c>
      <c r="BU425" s="80">
        <f>IF(AND(BD425=1,D425="proMX"),ROUND(AG425/CFG_BLK,6),0)</f>
        <v>0</v>
      </c>
      <c r="BV425" s="80" t="str">
        <f>IF(BF425="Approved",IF(ISNUMBER(T425),INT(T425),INT(B425)),"")</f>
        <v/>
      </c>
      <c r="BW425" s="80">
        <f>IF(ISNUMBER(B425),IF(DB_MON="Todos",1,IF(AND(INT(B425)&gt;=DB_MS,INT(B425)&lt;=DB_ME),1,0)),0)</f>
        <v>0</v>
      </c>
      <c r="BX425" s="80">
        <f>IF(DB_PROJ="Todos",1,IF(E425&amp;""=DB_PROJ&amp;"",1,0))</f>
        <v>1</v>
      </c>
      <c r="BY425" s="80">
        <f>BW425*BX425</f>
        <v>0</v>
      </c>
      <c r="BZ425" s="80" t="str">
        <f>IF(Y425=1,F425&amp;IF(AND(F425&amp;""&lt;&gt;"",E425&amp;""&lt;&gt;"")," · ","")&amp;E425,"")</f>
        <v/>
      </c>
      <c r="CA425" s="80" t="str">
        <f>IF(AND(BD425=1,E425&amp;""&lt;&gt;""),IF(COUNTIFS($E$5:E424,E425,$BD$5:BD424,1)=0,MAX($CA$5:CA424)+1,""),"")</f>
        <v/>
      </c>
      <c r="CB425" s="80" t="str">
        <f>IF(AND(BE425=1,D425="Malcolm",E425&amp;""&lt;&gt;""),IF(COUNTIFS($D$5:D424,"Malcolm",$E$5:E424,E425,$BE$5:BE424,1)=0,MAX($CB$5:CB424)+1,""),"")</f>
        <v/>
      </c>
      <c r="CC425" s="80" t="str">
        <f>IF(AND(BD425=1,D425="proMX",E425&amp;""&lt;&gt;""),IF(COUNTIFS($D$5:D424,"proMX",$E$5:E424,E425,$BD$5:BD424,1)=0,MAX($CC$5:CC424)+1,""),"")</f>
        <v/>
      </c>
      <c r="CD425" s="80" t="str">
        <f>IF(AND(BE425=1,D425="Malcolm",F425&amp;""&lt;&gt;""),IF(COUNTIFS($D$5:D424,"Malcolm",$F$5:F424,F425,$BE$5:BE424,1)=0,MAX($CD$5:CD424)+1,""),"")</f>
        <v/>
      </c>
      <c r="CE425" s="80" t="str">
        <f>IF(AND(BD425=1,D425="proMX",F425&amp;""&lt;&gt;""),IF(COUNTIFS($D$5:D424,"proMX",$F$5:F424,F425,$BD$5:BD424,1)=0,MAX($CE$5:CE424)+1,""),"")</f>
        <v/>
      </c>
      <c r="CF425" s="80" t="str">
        <f>IF(AND(D425="proMX",BD425=1),IF(OR(BF425="Draft",BF425="Submitted",BF425="Returned",BF425="Recall Requested"),MAX($CF$5:CF424)+1,""),"")</f>
        <v/>
      </c>
      <c r="CG425" s="80">
        <f>IF(BD425=0,0,IF(D425="Malcolm",1,MATCH(BF425,{"Draft","Submitted","Approved","Returned","Recall Requested","Cancelled"},0)+1))</f>
        <v>0</v>
      </c>
      <c r="CH425" s="80">
        <f>IF(AND(BF425="Submitted",ISNUMBER(V425)),IF(V425&gt;CFG_MAXD,1,0),0)</f>
        <v>0</v>
      </c>
    </row>
    <row r="426">
      <c r="A426" s="71" t="str">
        <f>IF(Y426=1,ROW()-5,"")</f>
        <v/>
      </c>
      <c r="B426" s="72" t="n"/>
      <c r="C426" s="71" t="str">
        <f>IF(ISNUMBER(B426),CHOOSE(WEEKDAY(B426,2),"Lun","Mar","Mié","Jue","Vie","Sáb","Dom"),"")</f>
        <v/>
      </c>
      <c r="D426" s="73" t="n"/>
      <c r="E426" s="74" t="n"/>
      <c r="F426" s="74" t="n"/>
      <c r="G426" s="74" t="n"/>
      <c r="H426" s="75" t="n"/>
      <c r="I426" s="75" t="n"/>
      <c r="J426" s="76" t="n"/>
      <c r="K426" s="77" t="str">
        <f>IF(AB426=1,ROUND(AG426/60,4),"")</f>
        <v/>
      </c>
      <c r="L426" s="77" t="str">
        <f>IF(BD426=1,ROUND(AP426/60,4),"")</f>
        <v/>
      </c>
      <c r="M426" s="77" t="str">
        <f>IF(BD426=1,ROUND(AQ426/60,4),"")</f>
        <v/>
      </c>
      <c r="N426" s="71" t="str">
        <f>IF(AND(D426="proMX",AB426=1),ROUND(AG426/CFG_BLK,2),"")</f>
        <v/>
      </c>
      <c r="O426" s="77" t="str">
        <f>IF(D426="proMX",IF(BD426=1,ROUND(AG426/60,4),0),"")</f>
        <v/>
      </c>
      <c r="P426" s="78" t="str">
        <f>IF(Y426=0,"",IF(BD426=1,"OK",IF(D426="proMX","Revisar bloques: ","Revisar: ")&amp;BC426))</f>
        <v/>
      </c>
      <c r="Q426" s="78" t="str">
        <f>IF(NOT(ISNUMBER(B426)),"",IF(COUNTIFS(FER_F,INT(B426))&gt;0,"Feriado"&amp;IF(AH426=1," (laborable)"," (no laborable)"),IF(AH426=1,"Laborable",IF(WEEKDAY(B426,2)&gt;5,"Fin de semana","No laborable"))))</f>
        <v/>
      </c>
      <c r="R426" s="73" t="n"/>
      <c r="S426" s="72" t="n"/>
      <c r="T426" s="72" t="n"/>
      <c r="U426" s="74" t="n"/>
      <c r="V426" s="79" t="str">
        <f>IF(AND(D426="proMX",OR(R426="Submitted",R426="Recall Requested"),ISNUMBER(S426)),CFG_TODAY-INT(S426),"")</f>
        <v/>
      </c>
      <c r="W426" s="78" t="str">
        <f>IF(BD426=0,"",IF(BA426&gt;0,"⚠ Se superpone con un registro de la otra empresa",IF(D426="Malcolm",IF(COUNTA(R426,S426,T426)&gt;0,"Estado/fechas proMX se ignoran en Malcolm",""),IF(BF426="Cancelled","Cancelado: excluido de totales",IF(R426="","Sin estado: se trata como Draft",IF(BF426="Submitted",IF(ISNUMBER(V426),IF(V426&gt;CFG_MAXD,"⚠ "&amp;V426&amp;" días en Submitted (máx. "&amp;CFG_MAXD&amp;")",""),"Falta fecha de envío"),IF(BF426="Returned","⚠ Devuelto: corregir y reenviar",IF(BF426="Recall Requested","Retirada solicitada: pendiente",IF(AND(BF426="Approved",NOT(ISNUMBER(T426))),"Falta fecha de aprobación",IF(AND(ISNUMBER(S426),ISNUMBER(T426),T426&lt;S426),"Aprobación anterior al envío","")))))))))</f>
        <v/>
      </c>
      <c r="Y426" s="80">
        <f>IF(COUNTA(B426,D426,E426,F426,G426,H426,I426,J426,R426,S426,T426)&gt;0,1,0)</f>
        <v>0</v>
      </c>
      <c r="Z426" s="80" t="str">
        <f>IF(AND(ISNUMBER(H426),H426&gt;=0,H426&lt;1),ROUND(H426*1440,0),"")</f>
        <v/>
      </c>
      <c r="AA426" s="80" t="str">
        <f>IF(AND(ISNUMBER(I426),I426&gt;=0,I426&lt;1),ROUND(I426*1440,0),"")</f>
        <v/>
      </c>
      <c r="AB426" s="80">
        <f>IF(AND(ISNUMBER(B426),D426&lt;&gt;"",ISNUMBER(Z426),ISNUMBER(AA426)),IF(Z426=AA426,0,1),0)</f>
        <v>0</v>
      </c>
      <c r="AC426" s="80">
        <f>IF(AB426=1,IF(AA426&lt;Z426,1,0),0)</f>
        <v>0</v>
      </c>
      <c r="AD426" s="80">
        <f>IF(AB426=1,IF(AC426=1,1440-Z426+AA426,AA426-Z426),0)</f>
        <v>0</v>
      </c>
      <c r="AE426" s="80">
        <f>IF(J426="",0,IF(ISNUMBER(J426),J426,-1))</f>
        <v>0</v>
      </c>
      <c r="AF426" s="80">
        <f>MIN(MAX(0,AE426),AD426)</f>
        <v>0</v>
      </c>
      <c r="AG426" s="80">
        <f>MAX(0,AD426-MAX(0,AE426))</f>
        <v>0</v>
      </c>
      <c r="AH426" s="80">
        <f>IF(ISNUMBER(B426),IF(AND(INDEX(CFG_WDAYS,WEEKDAY(INT(B426),2))="Sí",IF(D426="proMX",COUNTIFS(FER_F,INT(B426),FER_NLP,"Sí"),COUNTIFS(FER_F,INT(B426),FER_NLM,"Sí"))=0),1,0),0)</f>
        <v>0</v>
      </c>
      <c r="AI426" s="80">
        <f>IF(AC426=1,IF(AND(INDEX(CFG_WDAYS,WEEKDAY(INT(B426)+1,2))="Sí",IF(D426="proMX",COUNTIFS(FER_F,INT(B426)+1,FER_NLP,"Sí"),COUNTIFS(FER_F,INT(B426)+1,FER_NLM,"Sí"))=0),1,0),0)</f>
        <v>0</v>
      </c>
      <c r="AJ426" s="80">
        <f>IF(AC426=1,1440-Z426,AD426)</f>
        <v>0</v>
      </c>
      <c r="AK426" s="80">
        <f>IF(AND(AB426=1,AH426=1),MAX(0,MIN(IF(AC426=1,1440,AA426),CFG_WEM)-MAX(Z426,CFG_WSM)),0)</f>
        <v>0</v>
      </c>
      <c r="AL426" s="80">
        <f>IF(AND(AC426=1,AI426=1),MAX(0,MIN(AA426,CFG_WEM)-CFG_WSM),0)</f>
        <v>0</v>
      </c>
      <c r="AM426" s="80">
        <f>AK426+AL426</f>
        <v>0</v>
      </c>
      <c r="AN426" s="80">
        <f>IF(CFG_BRK="Proporcional",IF(AD426=0,0,AF426*AM426/AD426),IF(CFG_BRK="Extras primero",MIN(AM426,MAX(0,AF426-(AD426-AM426))),MIN(AF426,AM426)))</f>
        <v>0</v>
      </c>
      <c r="AO426" s="80">
        <f>AF426-AN426</f>
        <v>0</v>
      </c>
      <c r="AP426" s="80">
        <f>AM426-AN426</f>
        <v>0</v>
      </c>
      <c r="AQ426" s="80">
        <f>AD426-AM426-AO426</f>
        <v>0</v>
      </c>
      <c r="AR426" s="80">
        <f>IF(AM426=0,0,AK426-AN426*AK426/AM426)</f>
        <v>0</v>
      </c>
      <c r="AS426" s="80">
        <f>IF(AD426-AM426=0,0,(AJ426-AK426)-AO426*(AJ426-AK426)/(AD426-AM426))</f>
        <v>0</v>
      </c>
      <c r="AT426" s="80" t="str">
        <f>IF(AC426=1,INT(B426)+1,"")</f>
        <v/>
      </c>
      <c r="AU426" s="80">
        <f>IF(AND(D426="proMX",R426="Cancelled"),0,1)</f>
        <v>1</v>
      </c>
      <c r="AV426" s="80">
        <f>IF(AND(AB426=1,AU426=1),IF(COUNTIFS($D$5:D425,D426,$B$5:B425,B426,$Z$5:Z425,Z426,$AA$5:AA425,AA426,$F$5:F425,F426&amp;"",$AU$5:AU425,1)&gt;0,1,0),0)</f>
        <v>0</v>
      </c>
      <c r="AW426" s="80" t="str">
        <f>IF(AB426=1,INT(B426)*1440+Z426,"")</f>
        <v/>
      </c>
      <c r="AX426" s="80" t="str">
        <f>IF(AB426=1,AW426+AD426,"")</f>
        <v/>
      </c>
      <c r="AY426" s="80">
        <f>IF(AND(AB426=1,AV426=0,AU426=1),1,0)</f>
        <v>0</v>
      </c>
      <c r="AZ426" s="80">
        <f>IF(AY426=1,COUNTIFS(R_Emp,D426,R_SAbs,"&lt;"&amp;AX426,R_EAbs,"&gt;"&amp;AW426,R_OKey,1)-1,0)</f>
        <v>0</v>
      </c>
      <c r="BA426" s="80">
        <f>IF(AY426=1,COUNTIFS(R_Emp,"&lt;&gt;"&amp;D426,R_SAbs,"&lt;"&amp;AX426,R_EAbs,"&gt;"&amp;AW426,R_OKey,1),0)</f>
        <v>0</v>
      </c>
      <c r="BB426" s="80">
        <f>IF(AND(AB426=1,D426="proMX"),IF(AND(MOD(Z426,CFG_BLK)=0,MOD(AA426,CFG_BLK)=0,MOD(AG426,CFG_BLK)=0,AG426&gt;0),1,0),1)</f>
        <v>1</v>
      </c>
      <c r="BC426" s="80" t="str">
        <f>IF(Y426=0,"",IF(NOT(ISNUMBER(B426)),"Falta fecha o fecha inválida",IF(D426="","Falta empresa",IF(AND(D426&lt;&gt;"Malcolm",D426&lt;&gt;"proMX"),"Empresa inválida",IF(OR(INT(B426)&lt;CFG_PSTART,INT(B426)&gt;CFG_PEND),"Fecha fuera del período",IF(OR(NOT(ISNUMBER(Z426)),NOT(ISNUMBER(AA426))),"Falta hora inicio/fin o formato inválido",IF(AB426=0,"Hora inicio = hora fin",IF(AE426&lt;0,"Descanso inválido",IF(AE426&gt;=AD426,"Descanso ≥ duración",IF(AV426=1,"Registro duplicado",IF(AZ426&gt;0,"Se superpone con otro registro "&amp;D426,IF(BB426=0,"inicio, fin y duración neta deben ser múltiplos de "&amp;CFG_BLK&amp;" min",""))))))))))))</f>
        <v/>
      </c>
      <c r="BD426" s="80">
        <f>IF(AND(Y426=1,BC426=""),1,0)</f>
        <v>0</v>
      </c>
      <c r="BE426" s="80">
        <f>IF(AND(BD426=1,AU426=1),1,0)</f>
        <v>0</v>
      </c>
      <c r="BF426" s="80" t="str">
        <f>IF(AND(D426="proMX",BD426=1),IF(R426="","Draft",R426),"")</f>
        <v/>
      </c>
      <c r="BG426" s="80">
        <f>IF(BD426=1,ROUND(AG426/60,6),0)</f>
        <v>0</v>
      </c>
      <c r="BH426" s="80">
        <f>IF(BE426=1,ROUND(AG426/60,6),0)</f>
        <v>0</v>
      </c>
      <c r="BI426" s="80">
        <f>IF(BE426=1,ROUND(AP426/60,6),0)</f>
        <v>0</v>
      </c>
      <c r="BJ426" s="80">
        <f>IF(BE426=1,ROUND(AQ426/60,6),0)</f>
        <v>0</v>
      </c>
      <c r="BK426" s="80">
        <f>IF(BE426=1,ROUND((AR426+AS426)/60,6),0)</f>
        <v>0</v>
      </c>
      <c r="BL426" s="80">
        <f>ROUND(BH426-BK426,6)</f>
        <v>0</v>
      </c>
      <c r="BM426" s="80">
        <f>IF(BE426=1,ROUND(AR426/60,6),0)</f>
        <v>0</v>
      </c>
      <c r="BN426" s="80">
        <f>ROUND(BI426-BM426,6)</f>
        <v>0</v>
      </c>
      <c r="BO426" s="80">
        <f>IF(BE426=1,ROUND(AS426/60,6),0)</f>
        <v>0</v>
      </c>
      <c r="BP426" s="80">
        <f>ROUND(BJ426-BO426,6)</f>
        <v>0</v>
      </c>
      <c r="BQ426" s="80">
        <f>IF(BE426=1,AW426,0)</f>
        <v>0</v>
      </c>
      <c r="BR426" s="80">
        <f>IF(BE426=1,AX426,0)</f>
        <v>0</v>
      </c>
      <c r="BS426" s="80">
        <f>IF(AND(BE426=1,D426="Malcolm",BA426&gt;0),MIN(BH426,SUMPRODUCT((R_Emp="proMX")*(R_EN&gt;0)*((R_EN-(R_EN&gt;BR426)*(R_EN-BR426))&gt;(R_SN+(R_SN&lt;BQ426)*(BQ426-R_SN)))*((R_EN-(R_EN&gt;BR426)*(R_EN-BR426))-(R_SN+(R_SN&lt;BQ426)*(BQ426-R_SN))))/60),0)</f>
        <v>0</v>
      </c>
      <c r="BT426" s="80">
        <f>IF(AND(BE426=1,D426="proMX"),ROUND(BI426*CFG_RATE+BJ426*CFG_OTRATE,6),0)</f>
        <v>0</v>
      </c>
      <c r="BU426" s="80">
        <f>IF(AND(BD426=1,D426="proMX"),ROUND(AG426/CFG_BLK,6),0)</f>
        <v>0</v>
      </c>
      <c r="BV426" s="80" t="str">
        <f>IF(BF426="Approved",IF(ISNUMBER(T426),INT(T426),INT(B426)),"")</f>
        <v/>
      </c>
      <c r="BW426" s="80">
        <f>IF(ISNUMBER(B426),IF(DB_MON="Todos",1,IF(AND(INT(B426)&gt;=DB_MS,INT(B426)&lt;=DB_ME),1,0)),0)</f>
        <v>0</v>
      </c>
      <c r="BX426" s="80">
        <f>IF(DB_PROJ="Todos",1,IF(E426&amp;""=DB_PROJ&amp;"",1,0))</f>
        <v>1</v>
      </c>
      <c r="BY426" s="80">
        <f>BW426*BX426</f>
        <v>0</v>
      </c>
      <c r="BZ426" s="80" t="str">
        <f>IF(Y426=1,F426&amp;IF(AND(F426&amp;""&lt;&gt;"",E426&amp;""&lt;&gt;"")," · ","")&amp;E426,"")</f>
        <v/>
      </c>
      <c r="CA426" s="80" t="str">
        <f>IF(AND(BD426=1,E426&amp;""&lt;&gt;""),IF(COUNTIFS($E$5:E425,E426,$BD$5:BD425,1)=0,MAX($CA$5:CA425)+1,""),"")</f>
        <v/>
      </c>
      <c r="CB426" s="80" t="str">
        <f>IF(AND(BE426=1,D426="Malcolm",E426&amp;""&lt;&gt;""),IF(COUNTIFS($D$5:D425,"Malcolm",$E$5:E425,E426,$BE$5:BE425,1)=0,MAX($CB$5:CB425)+1,""),"")</f>
        <v/>
      </c>
      <c r="CC426" s="80" t="str">
        <f>IF(AND(BD426=1,D426="proMX",E426&amp;""&lt;&gt;""),IF(COUNTIFS($D$5:D425,"proMX",$E$5:E425,E426,$BD$5:BD425,1)=0,MAX($CC$5:CC425)+1,""),"")</f>
        <v/>
      </c>
      <c r="CD426" s="80" t="str">
        <f>IF(AND(BE426=1,D426="Malcolm",F426&amp;""&lt;&gt;""),IF(COUNTIFS($D$5:D425,"Malcolm",$F$5:F425,F426,$BE$5:BE425,1)=0,MAX($CD$5:CD425)+1,""),"")</f>
        <v/>
      </c>
      <c r="CE426" s="80" t="str">
        <f>IF(AND(BD426=1,D426="proMX",F426&amp;""&lt;&gt;""),IF(COUNTIFS($D$5:D425,"proMX",$F$5:F425,F426,$BD$5:BD425,1)=0,MAX($CE$5:CE425)+1,""),"")</f>
        <v/>
      </c>
      <c r="CF426" s="80" t="str">
        <f>IF(AND(D426="proMX",BD426=1),IF(OR(BF426="Draft",BF426="Submitted",BF426="Returned",BF426="Recall Requested"),MAX($CF$5:CF425)+1,""),"")</f>
        <v/>
      </c>
      <c r="CG426" s="80">
        <f>IF(BD426=0,0,IF(D426="Malcolm",1,MATCH(BF426,{"Draft","Submitted","Approved","Returned","Recall Requested","Cancelled"},0)+1))</f>
        <v>0</v>
      </c>
      <c r="CH426" s="80">
        <f>IF(AND(BF426="Submitted",ISNUMBER(V426)),IF(V426&gt;CFG_MAXD,1,0),0)</f>
        <v>0</v>
      </c>
    </row>
    <row r="427">
      <c r="A427" s="71" t="str">
        <f>IF(Y427=1,ROW()-5,"")</f>
        <v/>
      </c>
      <c r="B427" s="72" t="n"/>
      <c r="C427" s="71" t="str">
        <f>IF(ISNUMBER(B427),CHOOSE(WEEKDAY(B427,2),"Lun","Mar","Mié","Jue","Vie","Sáb","Dom"),"")</f>
        <v/>
      </c>
      <c r="D427" s="73" t="n"/>
      <c r="E427" s="74" t="n"/>
      <c r="F427" s="74" t="n"/>
      <c r="G427" s="74" t="n"/>
      <c r="H427" s="75" t="n"/>
      <c r="I427" s="75" t="n"/>
      <c r="J427" s="76" t="n"/>
      <c r="K427" s="77" t="str">
        <f>IF(AB427=1,ROUND(AG427/60,4),"")</f>
        <v/>
      </c>
      <c r="L427" s="77" t="str">
        <f>IF(BD427=1,ROUND(AP427/60,4),"")</f>
        <v/>
      </c>
      <c r="M427" s="77" t="str">
        <f>IF(BD427=1,ROUND(AQ427/60,4),"")</f>
        <v/>
      </c>
      <c r="N427" s="71" t="str">
        <f>IF(AND(D427="proMX",AB427=1),ROUND(AG427/CFG_BLK,2),"")</f>
        <v/>
      </c>
      <c r="O427" s="77" t="str">
        <f>IF(D427="proMX",IF(BD427=1,ROUND(AG427/60,4),0),"")</f>
        <v/>
      </c>
      <c r="P427" s="78" t="str">
        <f>IF(Y427=0,"",IF(BD427=1,"OK",IF(D427="proMX","Revisar bloques: ","Revisar: ")&amp;BC427))</f>
        <v/>
      </c>
      <c r="Q427" s="78" t="str">
        <f>IF(NOT(ISNUMBER(B427)),"",IF(COUNTIFS(FER_F,INT(B427))&gt;0,"Feriado"&amp;IF(AH427=1," (laborable)"," (no laborable)"),IF(AH427=1,"Laborable",IF(WEEKDAY(B427,2)&gt;5,"Fin de semana","No laborable"))))</f>
        <v/>
      </c>
      <c r="R427" s="73" t="n"/>
      <c r="S427" s="72" t="n"/>
      <c r="T427" s="72" t="n"/>
      <c r="U427" s="74" t="n"/>
      <c r="V427" s="79" t="str">
        <f>IF(AND(D427="proMX",OR(R427="Submitted",R427="Recall Requested"),ISNUMBER(S427)),CFG_TODAY-INT(S427),"")</f>
        <v/>
      </c>
      <c r="W427" s="78" t="str">
        <f>IF(BD427=0,"",IF(BA427&gt;0,"⚠ Se superpone con un registro de la otra empresa",IF(D427="Malcolm",IF(COUNTA(R427,S427,T427)&gt;0,"Estado/fechas proMX se ignoran en Malcolm",""),IF(BF427="Cancelled","Cancelado: excluido de totales",IF(R427="","Sin estado: se trata como Draft",IF(BF427="Submitted",IF(ISNUMBER(V427),IF(V427&gt;CFG_MAXD,"⚠ "&amp;V427&amp;" días en Submitted (máx. "&amp;CFG_MAXD&amp;")",""),"Falta fecha de envío"),IF(BF427="Returned","⚠ Devuelto: corregir y reenviar",IF(BF427="Recall Requested","Retirada solicitada: pendiente",IF(AND(BF427="Approved",NOT(ISNUMBER(T427))),"Falta fecha de aprobación",IF(AND(ISNUMBER(S427),ISNUMBER(T427),T427&lt;S427),"Aprobación anterior al envío","")))))))))</f>
        <v/>
      </c>
      <c r="Y427" s="80">
        <f>IF(COUNTA(B427,D427,E427,F427,G427,H427,I427,J427,R427,S427,T427)&gt;0,1,0)</f>
        <v>0</v>
      </c>
      <c r="Z427" s="80" t="str">
        <f>IF(AND(ISNUMBER(H427),H427&gt;=0,H427&lt;1),ROUND(H427*1440,0),"")</f>
        <v/>
      </c>
      <c r="AA427" s="80" t="str">
        <f>IF(AND(ISNUMBER(I427),I427&gt;=0,I427&lt;1),ROUND(I427*1440,0),"")</f>
        <v/>
      </c>
      <c r="AB427" s="80">
        <f>IF(AND(ISNUMBER(B427),D427&lt;&gt;"",ISNUMBER(Z427),ISNUMBER(AA427)),IF(Z427=AA427,0,1),0)</f>
        <v>0</v>
      </c>
      <c r="AC427" s="80">
        <f>IF(AB427=1,IF(AA427&lt;Z427,1,0),0)</f>
        <v>0</v>
      </c>
      <c r="AD427" s="80">
        <f>IF(AB427=1,IF(AC427=1,1440-Z427+AA427,AA427-Z427),0)</f>
        <v>0</v>
      </c>
      <c r="AE427" s="80">
        <f>IF(J427="",0,IF(ISNUMBER(J427),J427,-1))</f>
        <v>0</v>
      </c>
      <c r="AF427" s="80">
        <f>MIN(MAX(0,AE427),AD427)</f>
        <v>0</v>
      </c>
      <c r="AG427" s="80">
        <f>MAX(0,AD427-MAX(0,AE427))</f>
        <v>0</v>
      </c>
      <c r="AH427" s="80">
        <f>IF(ISNUMBER(B427),IF(AND(INDEX(CFG_WDAYS,WEEKDAY(INT(B427),2))="Sí",IF(D427="proMX",COUNTIFS(FER_F,INT(B427),FER_NLP,"Sí"),COUNTIFS(FER_F,INT(B427),FER_NLM,"Sí"))=0),1,0),0)</f>
        <v>0</v>
      </c>
      <c r="AI427" s="80">
        <f>IF(AC427=1,IF(AND(INDEX(CFG_WDAYS,WEEKDAY(INT(B427)+1,2))="Sí",IF(D427="proMX",COUNTIFS(FER_F,INT(B427)+1,FER_NLP,"Sí"),COUNTIFS(FER_F,INT(B427)+1,FER_NLM,"Sí"))=0),1,0),0)</f>
        <v>0</v>
      </c>
      <c r="AJ427" s="80">
        <f>IF(AC427=1,1440-Z427,AD427)</f>
        <v>0</v>
      </c>
      <c r="AK427" s="80">
        <f>IF(AND(AB427=1,AH427=1),MAX(0,MIN(IF(AC427=1,1440,AA427),CFG_WEM)-MAX(Z427,CFG_WSM)),0)</f>
        <v>0</v>
      </c>
      <c r="AL427" s="80">
        <f>IF(AND(AC427=1,AI427=1),MAX(0,MIN(AA427,CFG_WEM)-CFG_WSM),0)</f>
        <v>0</v>
      </c>
      <c r="AM427" s="80">
        <f>AK427+AL427</f>
        <v>0</v>
      </c>
      <c r="AN427" s="80">
        <f>IF(CFG_BRK="Proporcional",IF(AD427=0,0,AF427*AM427/AD427),IF(CFG_BRK="Extras primero",MIN(AM427,MAX(0,AF427-(AD427-AM427))),MIN(AF427,AM427)))</f>
        <v>0</v>
      </c>
      <c r="AO427" s="80">
        <f>AF427-AN427</f>
        <v>0</v>
      </c>
      <c r="AP427" s="80">
        <f>AM427-AN427</f>
        <v>0</v>
      </c>
      <c r="AQ427" s="80">
        <f>AD427-AM427-AO427</f>
        <v>0</v>
      </c>
      <c r="AR427" s="80">
        <f>IF(AM427=0,0,AK427-AN427*AK427/AM427)</f>
        <v>0</v>
      </c>
      <c r="AS427" s="80">
        <f>IF(AD427-AM427=0,0,(AJ427-AK427)-AO427*(AJ427-AK427)/(AD427-AM427))</f>
        <v>0</v>
      </c>
      <c r="AT427" s="80" t="str">
        <f>IF(AC427=1,INT(B427)+1,"")</f>
        <v/>
      </c>
      <c r="AU427" s="80">
        <f>IF(AND(D427="proMX",R427="Cancelled"),0,1)</f>
        <v>1</v>
      </c>
      <c r="AV427" s="80">
        <f>IF(AND(AB427=1,AU427=1),IF(COUNTIFS($D$5:D426,D427,$B$5:B426,B427,$Z$5:Z426,Z427,$AA$5:AA426,AA427,$F$5:F426,F427&amp;"",$AU$5:AU426,1)&gt;0,1,0),0)</f>
        <v>0</v>
      </c>
      <c r="AW427" s="80" t="str">
        <f>IF(AB427=1,INT(B427)*1440+Z427,"")</f>
        <v/>
      </c>
      <c r="AX427" s="80" t="str">
        <f>IF(AB427=1,AW427+AD427,"")</f>
        <v/>
      </c>
      <c r="AY427" s="80">
        <f>IF(AND(AB427=1,AV427=0,AU427=1),1,0)</f>
        <v>0</v>
      </c>
      <c r="AZ427" s="80">
        <f>IF(AY427=1,COUNTIFS(R_Emp,D427,R_SAbs,"&lt;"&amp;AX427,R_EAbs,"&gt;"&amp;AW427,R_OKey,1)-1,0)</f>
        <v>0</v>
      </c>
      <c r="BA427" s="80">
        <f>IF(AY427=1,COUNTIFS(R_Emp,"&lt;&gt;"&amp;D427,R_SAbs,"&lt;"&amp;AX427,R_EAbs,"&gt;"&amp;AW427,R_OKey,1),0)</f>
        <v>0</v>
      </c>
      <c r="BB427" s="80">
        <f>IF(AND(AB427=1,D427="proMX"),IF(AND(MOD(Z427,CFG_BLK)=0,MOD(AA427,CFG_BLK)=0,MOD(AG427,CFG_BLK)=0,AG427&gt;0),1,0),1)</f>
        <v>1</v>
      </c>
      <c r="BC427" s="80" t="str">
        <f>IF(Y427=0,"",IF(NOT(ISNUMBER(B427)),"Falta fecha o fecha inválida",IF(D427="","Falta empresa",IF(AND(D427&lt;&gt;"Malcolm",D427&lt;&gt;"proMX"),"Empresa inválida",IF(OR(INT(B427)&lt;CFG_PSTART,INT(B427)&gt;CFG_PEND),"Fecha fuera del período",IF(OR(NOT(ISNUMBER(Z427)),NOT(ISNUMBER(AA427))),"Falta hora inicio/fin o formato inválido",IF(AB427=0,"Hora inicio = hora fin",IF(AE427&lt;0,"Descanso inválido",IF(AE427&gt;=AD427,"Descanso ≥ duración",IF(AV427=1,"Registro duplicado",IF(AZ427&gt;0,"Se superpone con otro registro "&amp;D427,IF(BB427=0,"inicio, fin y duración neta deben ser múltiplos de "&amp;CFG_BLK&amp;" min",""))))))))))))</f>
        <v/>
      </c>
      <c r="BD427" s="80">
        <f>IF(AND(Y427=1,BC427=""),1,0)</f>
        <v>0</v>
      </c>
      <c r="BE427" s="80">
        <f>IF(AND(BD427=1,AU427=1),1,0)</f>
        <v>0</v>
      </c>
      <c r="BF427" s="80" t="str">
        <f>IF(AND(D427="proMX",BD427=1),IF(R427="","Draft",R427),"")</f>
        <v/>
      </c>
      <c r="BG427" s="80">
        <f>IF(BD427=1,ROUND(AG427/60,6),0)</f>
        <v>0</v>
      </c>
      <c r="BH427" s="80">
        <f>IF(BE427=1,ROUND(AG427/60,6),0)</f>
        <v>0</v>
      </c>
      <c r="BI427" s="80">
        <f>IF(BE427=1,ROUND(AP427/60,6),0)</f>
        <v>0</v>
      </c>
      <c r="BJ427" s="80">
        <f>IF(BE427=1,ROUND(AQ427/60,6),0)</f>
        <v>0</v>
      </c>
      <c r="BK427" s="80">
        <f>IF(BE427=1,ROUND((AR427+AS427)/60,6),0)</f>
        <v>0</v>
      </c>
      <c r="BL427" s="80">
        <f>ROUND(BH427-BK427,6)</f>
        <v>0</v>
      </c>
      <c r="BM427" s="80">
        <f>IF(BE427=1,ROUND(AR427/60,6),0)</f>
        <v>0</v>
      </c>
      <c r="BN427" s="80">
        <f>ROUND(BI427-BM427,6)</f>
        <v>0</v>
      </c>
      <c r="BO427" s="80">
        <f>IF(BE427=1,ROUND(AS427/60,6),0)</f>
        <v>0</v>
      </c>
      <c r="BP427" s="80">
        <f>ROUND(BJ427-BO427,6)</f>
        <v>0</v>
      </c>
      <c r="BQ427" s="80">
        <f>IF(BE427=1,AW427,0)</f>
        <v>0</v>
      </c>
      <c r="BR427" s="80">
        <f>IF(BE427=1,AX427,0)</f>
        <v>0</v>
      </c>
      <c r="BS427" s="80">
        <f>IF(AND(BE427=1,D427="Malcolm",BA427&gt;0),MIN(BH427,SUMPRODUCT((R_Emp="proMX")*(R_EN&gt;0)*((R_EN-(R_EN&gt;BR427)*(R_EN-BR427))&gt;(R_SN+(R_SN&lt;BQ427)*(BQ427-R_SN)))*((R_EN-(R_EN&gt;BR427)*(R_EN-BR427))-(R_SN+(R_SN&lt;BQ427)*(BQ427-R_SN))))/60),0)</f>
        <v>0</v>
      </c>
      <c r="BT427" s="80">
        <f>IF(AND(BE427=1,D427="proMX"),ROUND(BI427*CFG_RATE+BJ427*CFG_OTRATE,6),0)</f>
        <v>0</v>
      </c>
      <c r="BU427" s="80">
        <f>IF(AND(BD427=1,D427="proMX"),ROUND(AG427/CFG_BLK,6),0)</f>
        <v>0</v>
      </c>
      <c r="BV427" s="80" t="str">
        <f>IF(BF427="Approved",IF(ISNUMBER(T427),INT(T427),INT(B427)),"")</f>
        <v/>
      </c>
      <c r="BW427" s="80">
        <f>IF(ISNUMBER(B427),IF(DB_MON="Todos",1,IF(AND(INT(B427)&gt;=DB_MS,INT(B427)&lt;=DB_ME),1,0)),0)</f>
        <v>0</v>
      </c>
      <c r="BX427" s="80">
        <f>IF(DB_PROJ="Todos",1,IF(E427&amp;""=DB_PROJ&amp;"",1,0))</f>
        <v>1</v>
      </c>
      <c r="BY427" s="80">
        <f>BW427*BX427</f>
        <v>0</v>
      </c>
      <c r="BZ427" s="80" t="str">
        <f>IF(Y427=1,F427&amp;IF(AND(F427&amp;""&lt;&gt;"",E427&amp;""&lt;&gt;"")," · ","")&amp;E427,"")</f>
        <v/>
      </c>
      <c r="CA427" s="80" t="str">
        <f>IF(AND(BD427=1,E427&amp;""&lt;&gt;""),IF(COUNTIFS($E$5:E426,E427,$BD$5:BD426,1)=0,MAX($CA$5:CA426)+1,""),"")</f>
        <v/>
      </c>
      <c r="CB427" s="80" t="str">
        <f>IF(AND(BE427=1,D427="Malcolm",E427&amp;""&lt;&gt;""),IF(COUNTIFS($D$5:D426,"Malcolm",$E$5:E426,E427,$BE$5:BE426,1)=0,MAX($CB$5:CB426)+1,""),"")</f>
        <v/>
      </c>
      <c r="CC427" s="80" t="str">
        <f>IF(AND(BD427=1,D427="proMX",E427&amp;""&lt;&gt;""),IF(COUNTIFS($D$5:D426,"proMX",$E$5:E426,E427,$BD$5:BD426,1)=0,MAX($CC$5:CC426)+1,""),"")</f>
        <v/>
      </c>
      <c r="CD427" s="80" t="str">
        <f>IF(AND(BE427=1,D427="Malcolm",F427&amp;""&lt;&gt;""),IF(COUNTIFS($D$5:D426,"Malcolm",$F$5:F426,F427,$BE$5:BE426,1)=0,MAX($CD$5:CD426)+1,""),"")</f>
        <v/>
      </c>
      <c r="CE427" s="80" t="str">
        <f>IF(AND(BD427=1,D427="proMX",F427&amp;""&lt;&gt;""),IF(COUNTIFS($D$5:D426,"proMX",$F$5:F426,F427,$BD$5:BD426,1)=0,MAX($CE$5:CE426)+1,""),"")</f>
        <v/>
      </c>
      <c r="CF427" s="80" t="str">
        <f>IF(AND(D427="proMX",BD427=1),IF(OR(BF427="Draft",BF427="Submitted",BF427="Returned",BF427="Recall Requested"),MAX($CF$5:CF426)+1,""),"")</f>
        <v/>
      </c>
      <c r="CG427" s="80">
        <f>IF(BD427=0,0,IF(D427="Malcolm",1,MATCH(BF427,{"Draft","Submitted","Approved","Returned","Recall Requested","Cancelled"},0)+1))</f>
        <v>0</v>
      </c>
      <c r="CH427" s="80">
        <f>IF(AND(BF427="Submitted",ISNUMBER(V427)),IF(V427&gt;CFG_MAXD,1,0),0)</f>
        <v>0</v>
      </c>
    </row>
    <row r="428">
      <c r="A428" s="71" t="str">
        <f>IF(Y428=1,ROW()-5,"")</f>
        <v/>
      </c>
      <c r="B428" s="72" t="n"/>
      <c r="C428" s="71" t="str">
        <f>IF(ISNUMBER(B428),CHOOSE(WEEKDAY(B428,2),"Lun","Mar","Mié","Jue","Vie","Sáb","Dom"),"")</f>
        <v/>
      </c>
      <c r="D428" s="73" t="n"/>
      <c r="E428" s="74" t="n"/>
      <c r="F428" s="74" t="n"/>
      <c r="G428" s="74" t="n"/>
      <c r="H428" s="75" t="n"/>
      <c r="I428" s="75" t="n"/>
      <c r="J428" s="76" t="n"/>
      <c r="K428" s="77" t="str">
        <f>IF(AB428=1,ROUND(AG428/60,4),"")</f>
        <v/>
      </c>
      <c r="L428" s="77" t="str">
        <f>IF(BD428=1,ROUND(AP428/60,4),"")</f>
        <v/>
      </c>
      <c r="M428" s="77" t="str">
        <f>IF(BD428=1,ROUND(AQ428/60,4),"")</f>
        <v/>
      </c>
      <c r="N428" s="71" t="str">
        <f>IF(AND(D428="proMX",AB428=1),ROUND(AG428/CFG_BLK,2),"")</f>
        <v/>
      </c>
      <c r="O428" s="77" t="str">
        <f>IF(D428="proMX",IF(BD428=1,ROUND(AG428/60,4),0),"")</f>
        <v/>
      </c>
      <c r="P428" s="78" t="str">
        <f>IF(Y428=0,"",IF(BD428=1,"OK",IF(D428="proMX","Revisar bloques: ","Revisar: ")&amp;BC428))</f>
        <v/>
      </c>
      <c r="Q428" s="78" t="str">
        <f>IF(NOT(ISNUMBER(B428)),"",IF(COUNTIFS(FER_F,INT(B428))&gt;0,"Feriado"&amp;IF(AH428=1," (laborable)"," (no laborable)"),IF(AH428=1,"Laborable",IF(WEEKDAY(B428,2)&gt;5,"Fin de semana","No laborable"))))</f>
        <v/>
      </c>
      <c r="R428" s="73" t="n"/>
      <c r="S428" s="72" t="n"/>
      <c r="T428" s="72" t="n"/>
      <c r="U428" s="74" t="n"/>
      <c r="V428" s="79" t="str">
        <f>IF(AND(D428="proMX",OR(R428="Submitted",R428="Recall Requested"),ISNUMBER(S428)),CFG_TODAY-INT(S428),"")</f>
        <v/>
      </c>
      <c r="W428" s="78" t="str">
        <f>IF(BD428=0,"",IF(BA428&gt;0,"⚠ Se superpone con un registro de la otra empresa",IF(D428="Malcolm",IF(COUNTA(R428,S428,T428)&gt;0,"Estado/fechas proMX se ignoran en Malcolm",""),IF(BF428="Cancelled","Cancelado: excluido de totales",IF(R428="","Sin estado: se trata como Draft",IF(BF428="Submitted",IF(ISNUMBER(V428),IF(V428&gt;CFG_MAXD,"⚠ "&amp;V428&amp;" días en Submitted (máx. "&amp;CFG_MAXD&amp;")",""),"Falta fecha de envío"),IF(BF428="Returned","⚠ Devuelto: corregir y reenviar",IF(BF428="Recall Requested","Retirada solicitada: pendiente",IF(AND(BF428="Approved",NOT(ISNUMBER(T428))),"Falta fecha de aprobación",IF(AND(ISNUMBER(S428),ISNUMBER(T428),T428&lt;S428),"Aprobación anterior al envío","")))))))))</f>
        <v/>
      </c>
      <c r="Y428" s="80">
        <f>IF(COUNTA(B428,D428,E428,F428,G428,H428,I428,J428,R428,S428,T428)&gt;0,1,0)</f>
        <v>0</v>
      </c>
      <c r="Z428" s="80" t="str">
        <f>IF(AND(ISNUMBER(H428),H428&gt;=0,H428&lt;1),ROUND(H428*1440,0),"")</f>
        <v/>
      </c>
      <c r="AA428" s="80" t="str">
        <f>IF(AND(ISNUMBER(I428),I428&gt;=0,I428&lt;1),ROUND(I428*1440,0),"")</f>
        <v/>
      </c>
      <c r="AB428" s="80">
        <f>IF(AND(ISNUMBER(B428),D428&lt;&gt;"",ISNUMBER(Z428),ISNUMBER(AA428)),IF(Z428=AA428,0,1),0)</f>
        <v>0</v>
      </c>
      <c r="AC428" s="80">
        <f>IF(AB428=1,IF(AA428&lt;Z428,1,0),0)</f>
        <v>0</v>
      </c>
      <c r="AD428" s="80">
        <f>IF(AB428=1,IF(AC428=1,1440-Z428+AA428,AA428-Z428),0)</f>
        <v>0</v>
      </c>
      <c r="AE428" s="80">
        <f>IF(J428="",0,IF(ISNUMBER(J428),J428,-1))</f>
        <v>0</v>
      </c>
      <c r="AF428" s="80">
        <f>MIN(MAX(0,AE428),AD428)</f>
        <v>0</v>
      </c>
      <c r="AG428" s="80">
        <f>MAX(0,AD428-MAX(0,AE428))</f>
        <v>0</v>
      </c>
      <c r="AH428" s="80">
        <f>IF(ISNUMBER(B428),IF(AND(INDEX(CFG_WDAYS,WEEKDAY(INT(B428),2))="Sí",IF(D428="proMX",COUNTIFS(FER_F,INT(B428),FER_NLP,"Sí"),COUNTIFS(FER_F,INT(B428),FER_NLM,"Sí"))=0),1,0),0)</f>
        <v>0</v>
      </c>
      <c r="AI428" s="80">
        <f>IF(AC428=1,IF(AND(INDEX(CFG_WDAYS,WEEKDAY(INT(B428)+1,2))="Sí",IF(D428="proMX",COUNTIFS(FER_F,INT(B428)+1,FER_NLP,"Sí"),COUNTIFS(FER_F,INT(B428)+1,FER_NLM,"Sí"))=0),1,0),0)</f>
        <v>0</v>
      </c>
      <c r="AJ428" s="80">
        <f>IF(AC428=1,1440-Z428,AD428)</f>
        <v>0</v>
      </c>
      <c r="AK428" s="80">
        <f>IF(AND(AB428=1,AH428=1),MAX(0,MIN(IF(AC428=1,1440,AA428),CFG_WEM)-MAX(Z428,CFG_WSM)),0)</f>
        <v>0</v>
      </c>
      <c r="AL428" s="80">
        <f>IF(AND(AC428=1,AI428=1),MAX(0,MIN(AA428,CFG_WEM)-CFG_WSM),0)</f>
        <v>0</v>
      </c>
      <c r="AM428" s="80">
        <f>AK428+AL428</f>
        <v>0</v>
      </c>
      <c r="AN428" s="80">
        <f>IF(CFG_BRK="Proporcional",IF(AD428=0,0,AF428*AM428/AD428),IF(CFG_BRK="Extras primero",MIN(AM428,MAX(0,AF428-(AD428-AM428))),MIN(AF428,AM428)))</f>
        <v>0</v>
      </c>
      <c r="AO428" s="80">
        <f>AF428-AN428</f>
        <v>0</v>
      </c>
      <c r="AP428" s="80">
        <f>AM428-AN428</f>
        <v>0</v>
      </c>
      <c r="AQ428" s="80">
        <f>AD428-AM428-AO428</f>
        <v>0</v>
      </c>
      <c r="AR428" s="80">
        <f>IF(AM428=0,0,AK428-AN428*AK428/AM428)</f>
        <v>0</v>
      </c>
      <c r="AS428" s="80">
        <f>IF(AD428-AM428=0,0,(AJ428-AK428)-AO428*(AJ428-AK428)/(AD428-AM428))</f>
        <v>0</v>
      </c>
      <c r="AT428" s="80" t="str">
        <f>IF(AC428=1,INT(B428)+1,"")</f>
        <v/>
      </c>
      <c r="AU428" s="80">
        <f>IF(AND(D428="proMX",R428="Cancelled"),0,1)</f>
        <v>1</v>
      </c>
      <c r="AV428" s="80">
        <f>IF(AND(AB428=1,AU428=1),IF(COUNTIFS($D$5:D427,D428,$B$5:B427,B428,$Z$5:Z427,Z428,$AA$5:AA427,AA428,$F$5:F427,F428&amp;"",$AU$5:AU427,1)&gt;0,1,0),0)</f>
        <v>0</v>
      </c>
      <c r="AW428" s="80" t="str">
        <f>IF(AB428=1,INT(B428)*1440+Z428,"")</f>
        <v/>
      </c>
      <c r="AX428" s="80" t="str">
        <f>IF(AB428=1,AW428+AD428,"")</f>
        <v/>
      </c>
      <c r="AY428" s="80">
        <f>IF(AND(AB428=1,AV428=0,AU428=1),1,0)</f>
        <v>0</v>
      </c>
      <c r="AZ428" s="80">
        <f>IF(AY428=1,COUNTIFS(R_Emp,D428,R_SAbs,"&lt;"&amp;AX428,R_EAbs,"&gt;"&amp;AW428,R_OKey,1)-1,0)</f>
        <v>0</v>
      </c>
      <c r="BA428" s="80">
        <f>IF(AY428=1,COUNTIFS(R_Emp,"&lt;&gt;"&amp;D428,R_SAbs,"&lt;"&amp;AX428,R_EAbs,"&gt;"&amp;AW428,R_OKey,1),0)</f>
        <v>0</v>
      </c>
      <c r="BB428" s="80">
        <f>IF(AND(AB428=1,D428="proMX"),IF(AND(MOD(Z428,CFG_BLK)=0,MOD(AA428,CFG_BLK)=0,MOD(AG428,CFG_BLK)=0,AG428&gt;0),1,0),1)</f>
        <v>1</v>
      </c>
      <c r="BC428" s="80" t="str">
        <f>IF(Y428=0,"",IF(NOT(ISNUMBER(B428)),"Falta fecha o fecha inválida",IF(D428="","Falta empresa",IF(AND(D428&lt;&gt;"Malcolm",D428&lt;&gt;"proMX"),"Empresa inválida",IF(OR(INT(B428)&lt;CFG_PSTART,INT(B428)&gt;CFG_PEND),"Fecha fuera del período",IF(OR(NOT(ISNUMBER(Z428)),NOT(ISNUMBER(AA428))),"Falta hora inicio/fin o formato inválido",IF(AB428=0,"Hora inicio = hora fin",IF(AE428&lt;0,"Descanso inválido",IF(AE428&gt;=AD428,"Descanso ≥ duración",IF(AV428=1,"Registro duplicado",IF(AZ428&gt;0,"Se superpone con otro registro "&amp;D428,IF(BB428=0,"inicio, fin y duración neta deben ser múltiplos de "&amp;CFG_BLK&amp;" min",""))))))))))))</f>
        <v/>
      </c>
      <c r="BD428" s="80">
        <f>IF(AND(Y428=1,BC428=""),1,0)</f>
        <v>0</v>
      </c>
      <c r="BE428" s="80">
        <f>IF(AND(BD428=1,AU428=1),1,0)</f>
        <v>0</v>
      </c>
      <c r="BF428" s="80" t="str">
        <f>IF(AND(D428="proMX",BD428=1),IF(R428="","Draft",R428),"")</f>
        <v/>
      </c>
      <c r="BG428" s="80">
        <f>IF(BD428=1,ROUND(AG428/60,6),0)</f>
        <v>0</v>
      </c>
      <c r="BH428" s="80">
        <f>IF(BE428=1,ROUND(AG428/60,6),0)</f>
        <v>0</v>
      </c>
      <c r="BI428" s="80">
        <f>IF(BE428=1,ROUND(AP428/60,6),0)</f>
        <v>0</v>
      </c>
      <c r="BJ428" s="80">
        <f>IF(BE428=1,ROUND(AQ428/60,6),0)</f>
        <v>0</v>
      </c>
      <c r="BK428" s="80">
        <f>IF(BE428=1,ROUND((AR428+AS428)/60,6),0)</f>
        <v>0</v>
      </c>
      <c r="BL428" s="80">
        <f>ROUND(BH428-BK428,6)</f>
        <v>0</v>
      </c>
      <c r="BM428" s="80">
        <f>IF(BE428=1,ROUND(AR428/60,6),0)</f>
        <v>0</v>
      </c>
      <c r="BN428" s="80">
        <f>ROUND(BI428-BM428,6)</f>
        <v>0</v>
      </c>
      <c r="BO428" s="80">
        <f>IF(BE428=1,ROUND(AS428/60,6),0)</f>
        <v>0</v>
      </c>
      <c r="BP428" s="80">
        <f>ROUND(BJ428-BO428,6)</f>
        <v>0</v>
      </c>
      <c r="BQ428" s="80">
        <f>IF(BE428=1,AW428,0)</f>
        <v>0</v>
      </c>
      <c r="BR428" s="80">
        <f>IF(BE428=1,AX428,0)</f>
        <v>0</v>
      </c>
      <c r="BS428" s="80">
        <f>IF(AND(BE428=1,D428="Malcolm",BA428&gt;0),MIN(BH428,SUMPRODUCT((R_Emp="proMX")*(R_EN&gt;0)*((R_EN-(R_EN&gt;BR428)*(R_EN-BR428))&gt;(R_SN+(R_SN&lt;BQ428)*(BQ428-R_SN)))*((R_EN-(R_EN&gt;BR428)*(R_EN-BR428))-(R_SN+(R_SN&lt;BQ428)*(BQ428-R_SN))))/60),0)</f>
        <v>0</v>
      </c>
      <c r="BT428" s="80">
        <f>IF(AND(BE428=1,D428="proMX"),ROUND(BI428*CFG_RATE+BJ428*CFG_OTRATE,6),0)</f>
        <v>0</v>
      </c>
      <c r="BU428" s="80">
        <f>IF(AND(BD428=1,D428="proMX"),ROUND(AG428/CFG_BLK,6),0)</f>
        <v>0</v>
      </c>
      <c r="BV428" s="80" t="str">
        <f>IF(BF428="Approved",IF(ISNUMBER(T428),INT(T428),INT(B428)),"")</f>
        <v/>
      </c>
      <c r="BW428" s="80">
        <f>IF(ISNUMBER(B428),IF(DB_MON="Todos",1,IF(AND(INT(B428)&gt;=DB_MS,INT(B428)&lt;=DB_ME),1,0)),0)</f>
        <v>0</v>
      </c>
      <c r="BX428" s="80">
        <f>IF(DB_PROJ="Todos",1,IF(E428&amp;""=DB_PROJ&amp;"",1,0))</f>
        <v>1</v>
      </c>
      <c r="BY428" s="80">
        <f>BW428*BX428</f>
        <v>0</v>
      </c>
      <c r="BZ428" s="80" t="str">
        <f>IF(Y428=1,F428&amp;IF(AND(F428&amp;""&lt;&gt;"",E428&amp;""&lt;&gt;"")," · ","")&amp;E428,"")</f>
        <v/>
      </c>
      <c r="CA428" s="80" t="str">
        <f>IF(AND(BD428=1,E428&amp;""&lt;&gt;""),IF(COUNTIFS($E$5:E427,E428,$BD$5:BD427,1)=0,MAX($CA$5:CA427)+1,""),"")</f>
        <v/>
      </c>
      <c r="CB428" s="80" t="str">
        <f>IF(AND(BE428=1,D428="Malcolm",E428&amp;""&lt;&gt;""),IF(COUNTIFS($D$5:D427,"Malcolm",$E$5:E427,E428,$BE$5:BE427,1)=0,MAX($CB$5:CB427)+1,""),"")</f>
        <v/>
      </c>
      <c r="CC428" s="80" t="str">
        <f>IF(AND(BD428=1,D428="proMX",E428&amp;""&lt;&gt;""),IF(COUNTIFS($D$5:D427,"proMX",$E$5:E427,E428,$BD$5:BD427,1)=0,MAX($CC$5:CC427)+1,""),"")</f>
        <v/>
      </c>
      <c r="CD428" s="80" t="str">
        <f>IF(AND(BE428=1,D428="Malcolm",F428&amp;""&lt;&gt;""),IF(COUNTIFS($D$5:D427,"Malcolm",$F$5:F427,F428,$BE$5:BE427,1)=0,MAX($CD$5:CD427)+1,""),"")</f>
        <v/>
      </c>
      <c r="CE428" s="80" t="str">
        <f>IF(AND(BD428=1,D428="proMX",F428&amp;""&lt;&gt;""),IF(COUNTIFS($D$5:D427,"proMX",$F$5:F427,F428,$BD$5:BD427,1)=0,MAX($CE$5:CE427)+1,""),"")</f>
        <v/>
      </c>
      <c r="CF428" s="80" t="str">
        <f>IF(AND(D428="proMX",BD428=1),IF(OR(BF428="Draft",BF428="Submitted",BF428="Returned",BF428="Recall Requested"),MAX($CF$5:CF427)+1,""),"")</f>
        <v/>
      </c>
      <c r="CG428" s="80">
        <f>IF(BD428=0,0,IF(D428="Malcolm",1,MATCH(BF428,{"Draft","Submitted","Approved","Returned","Recall Requested","Cancelled"},0)+1))</f>
        <v>0</v>
      </c>
      <c r="CH428" s="80">
        <f>IF(AND(BF428="Submitted",ISNUMBER(V428)),IF(V428&gt;CFG_MAXD,1,0),0)</f>
        <v>0</v>
      </c>
    </row>
    <row r="429">
      <c r="A429" s="71" t="str">
        <f>IF(Y429=1,ROW()-5,"")</f>
        <v/>
      </c>
      <c r="B429" s="72" t="n"/>
      <c r="C429" s="71" t="str">
        <f>IF(ISNUMBER(B429),CHOOSE(WEEKDAY(B429,2),"Lun","Mar","Mié","Jue","Vie","Sáb","Dom"),"")</f>
        <v/>
      </c>
      <c r="D429" s="73" t="n"/>
      <c r="E429" s="74" t="n"/>
      <c r="F429" s="74" t="n"/>
      <c r="G429" s="74" t="n"/>
      <c r="H429" s="75" t="n"/>
      <c r="I429" s="75" t="n"/>
      <c r="J429" s="76" t="n"/>
      <c r="K429" s="77" t="str">
        <f>IF(AB429=1,ROUND(AG429/60,4),"")</f>
        <v/>
      </c>
      <c r="L429" s="77" t="str">
        <f>IF(BD429=1,ROUND(AP429/60,4),"")</f>
        <v/>
      </c>
      <c r="M429" s="77" t="str">
        <f>IF(BD429=1,ROUND(AQ429/60,4),"")</f>
        <v/>
      </c>
      <c r="N429" s="71" t="str">
        <f>IF(AND(D429="proMX",AB429=1),ROUND(AG429/CFG_BLK,2),"")</f>
        <v/>
      </c>
      <c r="O429" s="77" t="str">
        <f>IF(D429="proMX",IF(BD429=1,ROUND(AG429/60,4),0),"")</f>
        <v/>
      </c>
      <c r="P429" s="78" t="str">
        <f>IF(Y429=0,"",IF(BD429=1,"OK",IF(D429="proMX","Revisar bloques: ","Revisar: ")&amp;BC429))</f>
        <v/>
      </c>
      <c r="Q429" s="78" t="str">
        <f>IF(NOT(ISNUMBER(B429)),"",IF(COUNTIFS(FER_F,INT(B429))&gt;0,"Feriado"&amp;IF(AH429=1," (laborable)"," (no laborable)"),IF(AH429=1,"Laborable",IF(WEEKDAY(B429,2)&gt;5,"Fin de semana","No laborable"))))</f>
        <v/>
      </c>
      <c r="R429" s="73" t="n"/>
      <c r="S429" s="72" t="n"/>
      <c r="T429" s="72" t="n"/>
      <c r="U429" s="74" t="n"/>
      <c r="V429" s="79" t="str">
        <f>IF(AND(D429="proMX",OR(R429="Submitted",R429="Recall Requested"),ISNUMBER(S429)),CFG_TODAY-INT(S429),"")</f>
        <v/>
      </c>
      <c r="W429" s="78" t="str">
        <f>IF(BD429=0,"",IF(BA429&gt;0,"⚠ Se superpone con un registro de la otra empresa",IF(D429="Malcolm",IF(COUNTA(R429,S429,T429)&gt;0,"Estado/fechas proMX se ignoran en Malcolm",""),IF(BF429="Cancelled","Cancelado: excluido de totales",IF(R429="","Sin estado: se trata como Draft",IF(BF429="Submitted",IF(ISNUMBER(V429),IF(V429&gt;CFG_MAXD,"⚠ "&amp;V429&amp;" días en Submitted (máx. "&amp;CFG_MAXD&amp;")",""),"Falta fecha de envío"),IF(BF429="Returned","⚠ Devuelto: corregir y reenviar",IF(BF429="Recall Requested","Retirada solicitada: pendiente",IF(AND(BF429="Approved",NOT(ISNUMBER(T429))),"Falta fecha de aprobación",IF(AND(ISNUMBER(S429),ISNUMBER(T429),T429&lt;S429),"Aprobación anterior al envío","")))))))))</f>
        <v/>
      </c>
      <c r="Y429" s="80">
        <f>IF(COUNTA(B429,D429,E429,F429,G429,H429,I429,J429,R429,S429,T429)&gt;0,1,0)</f>
        <v>0</v>
      </c>
      <c r="Z429" s="80" t="str">
        <f>IF(AND(ISNUMBER(H429),H429&gt;=0,H429&lt;1),ROUND(H429*1440,0),"")</f>
        <v/>
      </c>
      <c r="AA429" s="80" t="str">
        <f>IF(AND(ISNUMBER(I429),I429&gt;=0,I429&lt;1),ROUND(I429*1440,0),"")</f>
        <v/>
      </c>
      <c r="AB429" s="80">
        <f>IF(AND(ISNUMBER(B429),D429&lt;&gt;"",ISNUMBER(Z429),ISNUMBER(AA429)),IF(Z429=AA429,0,1),0)</f>
        <v>0</v>
      </c>
      <c r="AC429" s="80">
        <f>IF(AB429=1,IF(AA429&lt;Z429,1,0),0)</f>
        <v>0</v>
      </c>
      <c r="AD429" s="80">
        <f>IF(AB429=1,IF(AC429=1,1440-Z429+AA429,AA429-Z429),0)</f>
        <v>0</v>
      </c>
      <c r="AE429" s="80">
        <f>IF(J429="",0,IF(ISNUMBER(J429),J429,-1))</f>
        <v>0</v>
      </c>
      <c r="AF429" s="80">
        <f>MIN(MAX(0,AE429),AD429)</f>
        <v>0</v>
      </c>
      <c r="AG429" s="80">
        <f>MAX(0,AD429-MAX(0,AE429))</f>
        <v>0</v>
      </c>
      <c r="AH429" s="80">
        <f>IF(ISNUMBER(B429),IF(AND(INDEX(CFG_WDAYS,WEEKDAY(INT(B429),2))="Sí",IF(D429="proMX",COUNTIFS(FER_F,INT(B429),FER_NLP,"Sí"),COUNTIFS(FER_F,INT(B429),FER_NLM,"Sí"))=0),1,0),0)</f>
        <v>0</v>
      </c>
      <c r="AI429" s="80">
        <f>IF(AC429=1,IF(AND(INDEX(CFG_WDAYS,WEEKDAY(INT(B429)+1,2))="Sí",IF(D429="proMX",COUNTIFS(FER_F,INT(B429)+1,FER_NLP,"Sí"),COUNTIFS(FER_F,INT(B429)+1,FER_NLM,"Sí"))=0),1,0),0)</f>
        <v>0</v>
      </c>
      <c r="AJ429" s="80">
        <f>IF(AC429=1,1440-Z429,AD429)</f>
        <v>0</v>
      </c>
      <c r="AK429" s="80">
        <f>IF(AND(AB429=1,AH429=1),MAX(0,MIN(IF(AC429=1,1440,AA429),CFG_WEM)-MAX(Z429,CFG_WSM)),0)</f>
        <v>0</v>
      </c>
      <c r="AL429" s="80">
        <f>IF(AND(AC429=1,AI429=1),MAX(0,MIN(AA429,CFG_WEM)-CFG_WSM),0)</f>
        <v>0</v>
      </c>
      <c r="AM429" s="80">
        <f>AK429+AL429</f>
        <v>0</v>
      </c>
      <c r="AN429" s="80">
        <f>IF(CFG_BRK="Proporcional",IF(AD429=0,0,AF429*AM429/AD429),IF(CFG_BRK="Extras primero",MIN(AM429,MAX(0,AF429-(AD429-AM429))),MIN(AF429,AM429)))</f>
        <v>0</v>
      </c>
      <c r="AO429" s="80">
        <f>AF429-AN429</f>
        <v>0</v>
      </c>
      <c r="AP429" s="80">
        <f>AM429-AN429</f>
        <v>0</v>
      </c>
      <c r="AQ429" s="80">
        <f>AD429-AM429-AO429</f>
        <v>0</v>
      </c>
      <c r="AR429" s="80">
        <f>IF(AM429=0,0,AK429-AN429*AK429/AM429)</f>
        <v>0</v>
      </c>
      <c r="AS429" s="80">
        <f>IF(AD429-AM429=0,0,(AJ429-AK429)-AO429*(AJ429-AK429)/(AD429-AM429))</f>
        <v>0</v>
      </c>
      <c r="AT429" s="80" t="str">
        <f>IF(AC429=1,INT(B429)+1,"")</f>
        <v/>
      </c>
      <c r="AU429" s="80">
        <f>IF(AND(D429="proMX",R429="Cancelled"),0,1)</f>
        <v>1</v>
      </c>
      <c r="AV429" s="80">
        <f>IF(AND(AB429=1,AU429=1),IF(COUNTIFS($D$5:D428,D429,$B$5:B428,B429,$Z$5:Z428,Z429,$AA$5:AA428,AA429,$F$5:F428,F429&amp;"",$AU$5:AU428,1)&gt;0,1,0),0)</f>
        <v>0</v>
      </c>
      <c r="AW429" s="80" t="str">
        <f>IF(AB429=1,INT(B429)*1440+Z429,"")</f>
        <v/>
      </c>
      <c r="AX429" s="80" t="str">
        <f>IF(AB429=1,AW429+AD429,"")</f>
        <v/>
      </c>
      <c r="AY429" s="80">
        <f>IF(AND(AB429=1,AV429=0,AU429=1),1,0)</f>
        <v>0</v>
      </c>
      <c r="AZ429" s="80">
        <f>IF(AY429=1,COUNTIFS(R_Emp,D429,R_SAbs,"&lt;"&amp;AX429,R_EAbs,"&gt;"&amp;AW429,R_OKey,1)-1,0)</f>
        <v>0</v>
      </c>
      <c r="BA429" s="80">
        <f>IF(AY429=1,COUNTIFS(R_Emp,"&lt;&gt;"&amp;D429,R_SAbs,"&lt;"&amp;AX429,R_EAbs,"&gt;"&amp;AW429,R_OKey,1),0)</f>
        <v>0</v>
      </c>
      <c r="BB429" s="80">
        <f>IF(AND(AB429=1,D429="proMX"),IF(AND(MOD(Z429,CFG_BLK)=0,MOD(AA429,CFG_BLK)=0,MOD(AG429,CFG_BLK)=0,AG429&gt;0),1,0),1)</f>
        <v>1</v>
      </c>
      <c r="BC429" s="80" t="str">
        <f>IF(Y429=0,"",IF(NOT(ISNUMBER(B429)),"Falta fecha o fecha inválida",IF(D429="","Falta empresa",IF(AND(D429&lt;&gt;"Malcolm",D429&lt;&gt;"proMX"),"Empresa inválida",IF(OR(INT(B429)&lt;CFG_PSTART,INT(B429)&gt;CFG_PEND),"Fecha fuera del período",IF(OR(NOT(ISNUMBER(Z429)),NOT(ISNUMBER(AA429))),"Falta hora inicio/fin o formato inválido",IF(AB429=0,"Hora inicio = hora fin",IF(AE429&lt;0,"Descanso inválido",IF(AE429&gt;=AD429,"Descanso ≥ duración",IF(AV429=1,"Registro duplicado",IF(AZ429&gt;0,"Se superpone con otro registro "&amp;D429,IF(BB429=0,"inicio, fin y duración neta deben ser múltiplos de "&amp;CFG_BLK&amp;" min",""))))))))))))</f>
        <v/>
      </c>
      <c r="BD429" s="80">
        <f>IF(AND(Y429=1,BC429=""),1,0)</f>
        <v>0</v>
      </c>
      <c r="BE429" s="80">
        <f>IF(AND(BD429=1,AU429=1),1,0)</f>
        <v>0</v>
      </c>
      <c r="BF429" s="80" t="str">
        <f>IF(AND(D429="proMX",BD429=1),IF(R429="","Draft",R429),"")</f>
        <v/>
      </c>
      <c r="BG429" s="80">
        <f>IF(BD429=1,ROUND(AG429/60,6),0)</f>
        <v>0</v>
      </c>
      <c r="BH429" s="80">
        <f>IF(BE429=1,ROUND(AG429/60,6),0)</f>
        <v>0</v>
      </c>
      <c r="BI429" s="80">
        <f>IF(BE429=1,ROUND(AP429/60,6),0)</f>
        <v>0</v>
      </c>
      <c r="BJ429" s="80">
        <f>IF(BE429=1,ROUND(AQ429/60,6),0)</f>
        <v>0</v>
      </c>
      <c r="BK429" s="80">
        <f>IF(BE429=1,ROUND((AR429+AS429)/60,6),0)</f>
        <v>0</v>
      </c>
      <c r="BL429" s="80">
        <f>ROUND(BH429-BK429,6)</f>
        <v>0</v>
      </c>
      <c r="BM429" s="80">
        <f>IF(BE429=1,ROUND(AR429/60,6),0)</f>
        <v>0</v>
      </c>
      <c r="BN429" s="80">
        <f>ROUND(BI429-BM429,6)</f>
        <v>0</v>
      </c>
      <c r="BO429" s="80">
        <f>IF(BE429=1,ROUND(AS429/60,6),0)</f>
        <v>0</v>
      </c>
      <c r="BP429" s="80">
        <f>ROUND(BJ429-BO429,6)</f>
        <v>0</v>
      </c>
      <c r="BQ429" s="80">
        <f>IF(BE429=1,AW429,0)</f>
        <v>0</v>
      </c>
      <c r="BR429" s="80">
        <f>IF(BE429=1,AX429,0)</f>
        <v>0</v>
      </c>
      <c r="BS429" s="80">
        <f>IF(AND(BE429=1,D429="Malcolm",BA429&gt;0),MIN(BH429,SUMPRODUCT((R_Emp="proMX")*(R_EN&gt;0)*((R_EN-(R_EN&gt;BR429)*(R_EN-BR429))&gt;(R_SN+(R_SN&lt;BQ429)*(BQ429-R_SN)))*((R_EN-(R_EN&gt;BR429)*(R_EN-BR429))-(R_SN+(R_SN&lt;BQ429)*(BQ429-R_SN))))/60),0)</f>
        <v>0</v>
      </c>
      <c r="BT429" s="80">
        <f>IF(AND(BE429=1,D429="proMX"),ROUND(BI429*CFG_RATE+BJ429*CFG_OTRATE,6),0)</f>
        <v>0</v>
      </c>
      <c r="BU429" s="80">
        <f>IF(AND(BD429=1,D429="proMX"),ROUND(AG429/CFG_BLK,6),0)</f>
        <v>0</v>
      </c>
      <c r="BV429" s="80" t="str">
        <f>IF(BF429="Approved",IF(ISNUMBER(T429),INT(T429),INT(B429)),"")</f>
        <v/>
      </c>
      <c r="BW429" s="80">
        <f>IF(ISNUMBER(B429),IF(DB_MON="Todos",1,IF(AND(INT(B429)&gt;=DB_MS,INT(B429)&lt;=DB_ME),1,0)),0)</f>
        <v>0</v>
      </c>
      <c r="BX429" s="80">
        <f>IF(DB_PROJ="Todos",1,IF(E429&amp;""=DB_PROJ&amp;"",1,0))</f>
        <v>1</v>
      </c>
      <c r="BY429" s="80">
        <f>BW429*BX429</f>
        <v>0</v>
      </c>
      <c r="BZ429" s="80" t="str">
        <f>IF(Y429=1,F429&amp;IF(AND(F429&amp;""&lt;&gt;"",E429&amp;""&lt;&gt;"")," · ","")&amp;E429,"")</f>
        <v/>
      </c>
      <c r="CA429" s="80" t="str">
        <f>IF(AND(BD429=1,E429&amp;""&lt;&gt;""),IF(COUNTIFS($E$5:E428,E429,$BD$5:BD428,1)=0,MAX($CA$5:CA428)+1,""),"")</f>
        <v/>
      </c>
      <c r="CB429" s="80" t="str">
        <f>IF(AND(BE429=1,D429="Malcolm",E429&amp;""&lt;&gt;""),IF(COUNTIFS($D$5:D428,"Malcolm",$E$5:E428,E429,$BE$5:BE428,1)=0,MAX($CB$5:CB428)+1,""),"")</f>
        <v/>
      </c>
      <c r="CC429" s="80" t="str">
        <f>IF(AND(BD429=1,D429="proMX",E429&amp;""&lt;&gt;""),IF(COUNTIFS($D$5:D428,"proMX",$E$5:E428,E429,$BD$5:BD428,1)=0,MAX($CC$5:CC428)+1,""),"")</f>
        <v/>
      </c>
      <c r="CD429" s="80" t="str">
        <f>IF(AND(BE429=1,D429="Malcolm",F429&amp;""&lt;&gt;""),IF(COUNTIFS($D$5:D428,"Malcolm",$F$5:F428,F429,$BE$5:BE428,1)=0,MAX($CD$5:CD428)+1,""),"")</f>
        <v/>
      </c>
      <c r="CE429" s="80" t="str">
        <f>IF(AND(BD429=1,D429="proMX",F429&amp;""&lt;&gt;""),IF(COUNTIFS($D$5:D428,"proMX",$F$5:F428,F429,$BD$5:BD428,1)=0,MAX($CE$5:CE428)+1,""),"")</f>
        <v/>
      </c>
      <c r="CF429" s="80" t="str">
        <f>IF(AND(D429="proMX",BD429=1),IF(OR(BF429="Draft",BF429="Submitted",BF429="Returned",BF429="Recall Requested"),MAX($CF$5:CF428)+1,""),"")</f>
        <v/>
      </c>
      <c r="CG429" s="80">
        <f>IF(BD429=0,0,IF(D429="Malcolm",1,MATCH(BF429,{"Draft","Submitted","Approved","Returned","Recall Requested","Cancelled"},0)+1))</f>
        <v>0</v>
      </c>
      <c r="CH429" s="80">
        <f>IF(AND(BF429="Submitted",ISNUMBER(V429)),IF(V429&gt;CFG_MAXD,1,0),0)</f>
        <v>0</v>
      </c>
    </row>
    <row r="430">
      <c r="A430" s="71" t="str">
        <f>IF(Y430=1,ROW()-5,"")</f>
        <v/>
      </c>
      <c r="B430" s="72" t="n"/>
      <c r="C430" s="71" t="str">
        <f>IF(ISNUMBER(B430),CHOOSE(WEEKDAY(B430,2),"Lun","Mar","Mié","Jue","Vie","Sáb","Dom"),"")</f>
        <v/>
      </c>
      <c r="D430" s="73" t="n"/>
      <c r="E430" s="74" t="n"/>
      <c r="F430" s="74" t="n"/>
      <c r="G430" s="74" t="n"/>
      <c r="H430" s="75" t="n"/>
      <c r="I430" s="75" t="n"/>
      <c r="J430" s="76" t="n"/>
      <c r="K430" s="77" t="str">
        <f>IF(AB430=1,ROUND(AG430/60,4),"")</f>
        <v/>
      </c>
      <c r="L430" s="77" t="str">
        <f>IF(BD430=1,ROUND(AP430/60,4),"")</f>
        <v/>
      </c>
      <c r="M430" s="77" t="str">
        <f>IF(BD430=1,ROUND(AQ430/60,4),"")</f>
        <v/>
      </c>
      <c r="N430" s="71" t="str">
        <f>IF(AND(D430="proMX",AB430=1),ROUND(AG430/CFG_BLK,2),"")</f>
        <v/>
      </c>
      <c r="O430" s="77" t="str">
        <f>IF(D430="proMX",IF(BD430=1,ROUND(AG430/60,4),0),"")</f>
        <v/>
      </c>
      <c r="P430" s="78" t="str">
        <f>IF(Y430=0,"",IF(BD430=1,"OK",IF(D430="proMX","Revisar bloques: ","Revisar: ")&amp;BC430))</f>
        <v/>
      </c>
      <c r="Q430" s="78" t="str">
        <f>IF(NOT(ISNUMBER(B430)),"",IF(COUNTIFS(FER_F,INT(B430))&gt;0,"Feriado"&amp;IF(AH430=1," (laborable)"," (no laborable)"),IF(AH430=1,"Laborable",IF(WEEKDAY(B430,2)&gt;5,"Fin de semana","No laborable"))))</f>
        <v/>
      </c>
      <c r="R430" s="73" t="n"/>
      <c r="S430" s="72" t="n"/>
      <c r="T430" s="72" t="n"/>
      <c r="U430" s="74" t="n"/>
      <c r="V430" s="79" t="str">
        <f>IF(AND(D430="proMX",OR(R430="Submitted",R430="Recall Requested"),ISNUMBER(S430)),CFG_TODAY-INT(S430),"")</f>
        <v/>
      </c>
      <c r="W430" s="78" t="str">
        <f>IF(BD430=0,"",IF(BA430&gt;0,"⚠ Se superpone con un registro de la otra empresa",IF(D430="Malcolm",IF(COUNTA(R430,S430,T430)&gt;0,"Estado/fechas proMX se ignoran en Malcolm",""),IF(BF430="Cancelled","Cancelado: excluido de totales",IF(R430="","Sin estado: se trata como Draft",IF(BF430="Submitted",IF(ISNUMBER(V430),IF(V430&gt;CFG_MAXD,"⚠ "&amp;V430&amp;" días en Submitted (máx. "&amp;CFG_MAXD&amp;")",""),"Falta fecha de envío"),IF(BF430="Returned","⚠ Devuelto: corregir y reenviar",IF(BF430="Recall Requested","Retirada solicitada: pendiente",IF(AND(BF430="Approved",NOT(ISNUMBER(T430))),"Falta fecha de aprobación",IF(AND(ISNUMBER(S430),ISNUMBER(T430),T430&lt;S430),"Aprobación anterior al envío","")))))))))</f>
        <v/>
      </c>
      <c r="Y430" s="80">
        <f>IF(COUNTA(B430,D430,E430,F430,G430,H430,I430,J430,R430,S430,T430)&gt;0,1,0)</f>
        <v>0</v>
      </c>
      <c r="Z430" s="80" t="str">
        <f>IF(AND(ISNUMBER(H430),H430&gt;=0,H430&lt;1),ROUND(H430*1440,0),"")</f>
        <v/>
      </c>
      <c r="AA430" s="80" t="str">
        <f>IF(AND(ISNUMBER(I430),I430&gt;=0,I430&lt;1),ROUND(I430*1440,0),"")</f>
        <v/>
      </c>
      <c r="AB430" s="80">
        <f>IF(AND(ISNUMBER(B430),D430&lt;&gt;"",ISNUMBER(Z430),ISNUMBER(AA430)),IF(Z430=AA430,0,1),0)</f>
        <v>0</v>
      </c>
      <c r="AC430" s="80">
        <f>IF(AB430=1,IF(AA430&lt;Z430,1,0),0)</f>
        <v>0</v>
      </c>
      <c r="AD430" s="80">
        <f>IF(AB430=1,IF(AC430=1,1440-Z430+AA430,AA430-Z430),0)</f>
        <v>0</v>
      </c>
      <c r="AE430" s="80">
        <f>IF(J430="",0,IF(ISNUMBER(J430),J430,-1))</f>
        <v>0</v>
      </c>
      <c r="AF430" s="80">
        <f>MIN(MAX(0,AE430),AD430)</f>
        <v>0</v>
      </c>
      <c r="AG430" s="80">
        <f>MAX(0,AD430-MAX(0,AE430))</f>
        <v>0</v>
      </c>
      <c r="AH430" s="80">
        <f>IF(ISNUMBER(B430),IF(AND(INDEX(CFG_WDAYS,WEEKDAY(INT(B430),2))="Sí",IF(D430="proMX",COUNTIFS(FER_F,INT(B430),FER_NLP,"Sí"),COUNTIFS(FER_F,INT(B430),FER_NLM,"Sí"))=0),1,0),0)</f>
        <v>0</v>
      </c>
      <c r="AI430" s="80">
        <f>IF(AC430=1,IF(AND(INDEX(CFG_WDAYS,WEEKDAY(INT(B430)+1,2))="Sí",IF(D430="proMX",COUNTIFS(FER_F,INT(B430)+1,FER_NLP,"Sí"),COUNTIFS(FER_F,INT(B430)+1,FER_NLM,"Sí"))=0),1,0),0)</f>
        <v>0</v>
      </c>
      <c r="AJ430" s="80">
        <f>IF(AC430=1,1440-Z430,AD430)</f>
        <v>0</v>
      </c>
      <c r="AK430" s="80">
        <f>IF(AND(AB430=1,AH430=1),MAX(0,MIN(IF(AC430=1,1440,AA430),CFG_WEM)-MAX(Z430,CFG_WSM)),0)</f>
        <v>0</v>
      </c>
      <c r="AL430" s="80">
        <f>IF(AND(AC430=1,AI430=1),MAX(0,MIN(AA430,CFG_WEM)-CFG_WSM),0)</f>
        <v>0</v>
      </c>
      <c r="AM430" s="80">
        <f>AK430+AL430</f>
        <v>0</v>
      </c>
      <c r="AN430" s="80">
        <f>IF(CFG_BRK="Proporcional",IF(AD430=0,0,AF430*AM430/AD430),IF(CFG_BRK="Extras primero",MIN(AM430,MAX(0,AF430-(AD430-AM430))),MIN(AF430,AM430)))</f>
        <v>0</v>
      </c>
      <c r="AO430" s="80">
        <f>AF430-AN430</f>
        <v>0</v>
      </c>
      <c r="AP430" s="80">
        <f>AM430-AN430</f>
        <v>0</v>
      </c>
      <c r="AQ430" s="80">
        <f>AD430-AM430-AO430</f>
        <v>0</v>
      </c>
      <c r="AR430" s="80">
        <f>IF(AM430=0,0,AK430-AN430*AK430/AM430)</f>
        <v>0</v>
      </c>
      <c r="AS430" s="80">
        <f>IF(AD430-AM430=0,0,(AJ430-AK430)-AO430*(AJ430-AK430)/(AD430-AM430))</f>
        <v>0</v>
      </c>
      <c r="AT430" s="80" t="str">
        <f>IF(AC430=1,INT(B430)+1,"")</f>
        <v/>
      </c>
      <c r="AU430" s="80">
        <f>IF(AND(D430="proMX",R430="Cancelled"),0,1)</f>
        <v>1</v>
      </c>
      <c r="AV430" s="80">
        <f>IF(AND(AB430=1,AU430=1),IF(COUNTIFS($D$5:D429,D430,$B$5:B429,B430,$Z$5:Z429,Z430,$AA$5:AA429,AA430,$F$5:F429,F430&amp;"",$AU$5:AU429,1)&gt;0,1,0),0)</f>
        <v>0</v>
      </c>
      <c r="AW430" s="80" t="str">
        <f>IF(AB430=1,INT(B430)*1440+Z430,"")</f>
        <v/>
      </c>
      <c r="AX430" s="80" t="str">
        <f>IF(AB430=1,AW430+AD430,"")</f>
        <v/>
      </c>
      <c r="AY430" s="80">
        <f>IF(AND(AB430=1,AV430=0,AU430=1),1,0)</f>
        <v>0</v>
      </c>
      <c r="AZ430" s="80">
        <f>IF(AY430=1,COUNTIFS(R_Emp,D430,R_SAbs,"&lt;"&amp;AX430,R_EAbs,"&gt;"&amp;AW430,R_OKey,1)-1,0)</f>
        <v>0</v>
      </c>
      <c r="BA430" s="80">
        <f>IF(AY430=1,COUNTIFS(R_Emp,"&lt;&gt;"&amp;D430,R_SAbs,"&lt;"&amp;AX430,R_EAbs,"&gt;"&amp;AW430,R_OKey,1),0)</f>
        <v>0</v>
      </c>
      <c r="BB430" s="80">
        <f>IF(AND(AB430=1,D430="proMX"),IF(AND(MOD(Z430,CFG_BLK)=0,MOD(AA430,CFG_BLK)=0,MOD(AG430,CFG_BLK)=0,AG430&gt;0),1,0),1)</f>
        <v>1</v>
      </c>
      <c r="BC430" s="80" t="str">
        <f>IF(Y430=0,"",IF(NOT(ISNUMBER(B430)),"Falta fecha o fecha inválida",IF(D430="","Falta empresa",IF(AND(D430&lt;&gt;"Malcolm",D430&lt;&gt;"proMX"),"Empresa inválida",IF(OR(INT(B430)&lt;CFG_PSTART,INT(B430)&gt;CFG_PEND),"Fecha fuera del período",IF(OR(NOT(ISNUMBER(Z430)),NOT(ISNUMBER(AA430))),"Falta hora inicio/fin o formato inválido",IF(AB430=0,"Hora inicio = hora fin",IF(AE430&lt;0,"Descanso inválido",IF(AE430&gt;=AD430,"Descanso ≥ duración",IF(AV430=1,"Registro duplicado",IF(AZ430&gt;0,"Se superpone con otro registro "&amp;D430,IF(BB430=0,"inicio, fin y duración neta deben ser múltiplos de "&amp;CFG_BLK&amp;" min",""))))))))))))</f>
        <v/>
      </c>
      <c r="BD430" s="80">
        <f>IF(AND(Y430=1,BC430=""),1,0)</f>
        <v>0</v>
      </c>
      <c r="BE430" s="80">
        <f>IF(AND(BD430=1,AU430=1),1,0)</f>
        <v>0</v>
      </c>
      <c r="BF430" s="80" t="str">
        <f>IF(AND(D430="proMX",BD430=1),IF(R430="","Draft",R430),"")</f>
        <v/>
      </c>
      <c r="BG430" s="80">
        <f>IF(BD430=1,ROUND(AG430/60,6),0)</f>
        <v>0</v>
      </c>
      <c r="BH430" s="80">
        <f>IF(BE430=1,ROUND(AG430/60,6),0)</f>
        <v>0</v>
      </c>
      <c r="BI430" s="80">
        <f>IF(BE430=1,ROUND(AP430/60,6),0)</f>
        <v>0</v>
      </c>
      <c r="BJ430" s="80">
        <f>IF(BE430=1,ROUND(AQ430/60,6),0)</f>
        <v>0</v>
      </c>
      <c r="BK430" s="80">
        <f>IF(BE430=1,ROUND((AR430+AS430)/60,6),0)</f>
        <v>0</v>
      </c>
      <c r="BL430" s="80">
        <f>ROUND(BH430-BK430,6)</f>
        <v>0</v>
      </c>
      <c r="BM430" s="80">
        <f>IF(BE430=1,ROUND(AR430/60,6),0)</f>
        <v>0</v>
      </c>
      <c r="BN430" s="80">
        <f>ROUND(BI430-BM430,6)</f>
        <v>0</v>
      </c>
      <c r="BO430" s="80">
        <f>IF(BE430=1,ROUND(AS430/60,6),0)</f>
        <v>0</v>
      </c>
      <c r="BP430" s="80">
        <f>ROUND(BJ430-BO430,6)</f>
        <v>0</v>
      </c>
      <c r="BQ430" s="80">
        <f>IF(BE430=1,AW430,0)</f>
        <v>0</v>
      </c>
      <c r="BR430" s="80">
        <f>IF(BE430=1,AX430,0)</f>
        <v>0</v>
      </c>
      <c r="BS430" s="80">
        <f>IF(AND(BE430=1,D430="Malcolm",BA430&gt;0),MIN(BH430,SUMPRODUCT((R_Emp="proMX")*(R_EN&gt;0)*((R_EN-(R_EN&gt;BR430)*(R_EN-BR430))&gt;(R_SN+(R_SN&lt;BQ430)*(BQ430-R_SN)))*((R_EN-(R_EN&gt;BR430)*(R_EN-BR430))-(R_SN+(R_SN&lt;BQ430)*(BQ430-R_SN))))/60),0)</f>
        <v>0</v>
      </c>
      <c r="BT430" s="80">
        <f>IF(AND(BE430=1,D430="proMX"),ROUND(BI430*CFG_RATE+BJ430*CFG_OTRATE,6),0)</f>
        <v>0</v>
      </c>
      <c r="BU430" s="80">
        <f>IF(AND(BD430=1,D430="proMX"),ROUND(AG430/CFG_BLK,6),0)</f>
        <v>0</v>
      </c>
      <c r="BV430" s="80" t="str">
        <f>IF(BF430="Approved",IF(ISNUMBER(T430),INT(T430),INT(B430)),"")</f>
        <v/>
      </c>
      <c r="BW430" s="80">
        <f>IF(ISNUMBER(B430),IF(DB_MON="Todos",1,IF(AND(INT(B430)&gt;=DB_MS,INT(B430)&lt;=DB_ME),1,0)),0)</f>
        <v>0</v>
      </c>
      <c r="BX430" s="80">
        <f>IF(DB_PROJ="Todos",1,IF(E430&amp;""=DB_PROJ&amp;"",1,0))</f>
        <v>1</v>
      </c>
      <c r="BY430" s="80">
        <f>BW430*BX430</f>
        <v>0</v>
      </c>
      <c r="BZ430" s="80" t="str">
        <f>IF(Y430=1,F430&amp;IF(AND(F430&amp;""&lt;&gt;"",E430&amp;""&lt;&gt;"")," · ","")&amp;E430,"")</f>
        <v/>
      </c>
      <c r="CA430" s="80" t="str">
        <f>IF(AND(BD430=1,E430&amp;""&lt;&gt;""),IF(COUNTIFS($E$5:E429,E430,$BD$5:BD429,1)=0,MAX($CA$5:CA429)+1,""),"")</f>
        <v/>
      </c>
      <c r="CB430" s="80" t="str">
        <f>IF(AND(BE430=1,D430="Malcolm",E430&amp;""&lt;&gt;""),IF(COUNTIFS($D$5:D429,"Malcolm",$E$5:E429,E430,$BE$5:BE429,1)=0,MAX($CB$5:CB429)+1,""),"")</f>
        <v/>
      </c>
      <c r="CC430" s="80" t="str">
        <f>IF(AND(BD430=1,D430="proMX",E430&amp;""&lt;&gt;""),IF(COUNTIFS($D$5:D429,"proMX",$E$5:E429,E430,$BD$5:BD429,1)=0,MAX($CC$5:CC429)+1,""),"")</f>
        <v/>
      </c>
      <c r="CD430" s="80" t="str">
        <f>IF(AND(BE430=1,D430="Malcolm",F430&amp;""&lt;&gt;""),IF(COUNTIFS($D$5:D429,"Malcolm",$F$5:F429,F430,$BE$5:BE429,1)=0,MAX($CD$5:CD429)+1,""),"")</f>
        <v/>
      </c>
      <c r="CE430" s="80" t="str">
        <f>IF(AND(BD430=1,D430="proMX",F430&amp;""&lt;&gt;""),IF(COUNTIFS($D$5:D429,"proMX",$F$5:F429,F430,$BD$5:BD429,1)=0,MAX($CE$5:CE429)+1,""),"")</f>
        <v/>
      </c>
      <c r="CF430" s="80" t="str">
        <f>IF(AND(D430="proMX",BD430=1),IF(OR(BF430="Draft",BF430="Submitted",BF430="Returned",BF430="Recall Requested"),MAX($CF$5:CF429)+1,""),"")</f>
        <v/>
      </c>
      <c r="CG430" s="80">
        <f>IF(BD430=0,0,IF(D430="Malcolm",1,MATCH(BF430,{"Draft","Submitted","Approved","Returned","Recall Requested","Cancelled"},0)+1))</f>
        <v>0</v>
      </c>
      <c r="CH430" s="80">
        <f>IF(AND(BF430="Submitted",ISNUMBER(V430)),IF(V430&gt;CFG_MAXD,1,0),0)</f>
        <v>0</v>
      </c>
    </row>
    <row r="431">
      <c r="A431" s="71" t="str">
        <f>IF(Y431=1,ROW()-5,"")</f>
        <v/>
      </c>
      <c r="B431" s="72" t="n"/>
      <c r="C431" s="71" t="str">
        <f>IF(ISNUMBER(B431),CHOOSE(WEEKDAY(B431,2),"Lun","Mar","Mié","Jue","Vie","Sáb","Dom"),"")</f>
        <v/>
      </c>
      <c r="D431" s="73" t="n"/>
      <c r="E431" s="74" t="n"/>
      <c r="F431" s="74" t="n"/>
      <c r="G431" s="74" t="n"/>
      <c r="H431" s="75" t="n"/>
      <c r="I431" s="75" t="n"/>
      <c r="J431" s="76" t="n"/>
      <c r="K431" s="77" t="str">
        <f>IF(AB431=1,ROUND(AG431/60,4),"")</f>
        <v/>
      </c>
      <c r="L431" s="77" t="str">
        <f>IF(BD431=1,ROUND(AP431/60,4),"")</f>
        <v/>
      </c>
      <c r="M431" s="77" t="str">
        <f>IF(BD431=1,ROUND(AQ431/60,4),"")</f>
        <v/>
      </c>
      <c r="N431" s="71" t="str">
        <f>IF(AND(D431="proMX",AB431=1),ROUND(AG431/CFG_BLK,2),"")</f>
        <v/>
      </c>
      <c r="O431" s="77" t="str">
        <f>IF(D431="proMX",IF(BD431=1,ROUND(AG431/60,4),0),"")</f>
        <v/>
      </c>
      <c r="P431" s="78" t="str">
        <f>IF(Y431=0,"",IF(BD431=1,"OK",IF(D431="proMX","Revisar bloques: ","Revisar: ")&amp;BC431))</f>
        <v/>
      </c>
      <c r="Q431" s="78" t="str">
        <f>IF(NOT(ISNUMBER(B431)),"",IF(COUNTIFS(FER_F,INT(B431))&gt;0,"Feriado"&amp;IF(AH431=1," (laborable)"," (no laborable)"),IF(AH431=1,"Laborable",IF(WEEKDAY(B431,2)&gt;5,"Fin de semana","No laborable"))))</f>
        <v/>
      </c>
      <c r="R431" s="73" t="n"/>
      <c r="S431" s="72" t="n"/>
      <c r="T431" s="72" t="n"/>
      <c r="U431" s="74" t="n"/>
      <c r="V431" s="79" t="str">
        <f>IF(AND(D431="proMX",OR(R431="Submitted",R431="Recall Requested"),ISNUMBER(S431)),CFG_TODAY-INT(S431),"")</f>
        <v/>
      </c>
      <c r="W431" s="78" t="str">
        <f>IF(BD431=0,"",IF(BA431&gt;0,"⚠ Se superpone con un registro de la otra empresa",IF(D431="Malcolm",IF(COUNTA(R431,S431,T431)&gt;0,"Estado/fechas proMX se ignoran en Malcolm",""),IF(BF431="Cancelled","Cancelado: excluido de totales",IF(R431="","Sin estado: se trata como Draft",IF(BF431="Submitted",IF(ISNUMBER(V431),IF(V431&gt;CFG_MAXD,"⚠ "&amp;V431&amp;" días en Submitted (máx. "&amp;CFG_MAXD&amp;")",""),"Falta fecha de envío"),IF(BF431="Returned","⚠ Devuelto: corregir y reenviar",IF(BF431="Recall Requested","Retirada solicitada: pendiente",IF(AND(BF431="Approved",NOT(ISNUMBER(T431))),"Falta fecha de aprobación",IF(AND(ISNUMBER(S431),ISNUMBER(T431),T431&lt;S431),"Aprobación anterior al envío","")))))))))</f>
        <v/>
      </c>
      <c r="Y431" s="80">
        <f>IF(COUNTA(B431,D431,E431,F431,G431,H431,I431,J431,R431,S431,T431)&gt;0,1,0)</f>
        <v>0</v>
      </c>
      <c r="Z431" s="80" t="str">
        <f>IF(AND(ISNUMBER(H431),H431&gt;=0,H431&lt;1),ROUND(H431*1440,0),"")</f>
        <v/>
      </c>
      <c r="AA431" s="80" t="str">
        <f>IF(AND(ISNUMBER(I431),I431&gt;=0,I431&lt;1),ROUND(I431*1440,0),"")</f>
        <v/>
      </c>
      <c r="AB431" s="80">
        <f>IF(AND(ISNUMBER(B431),D431&lt;&gt;"",ISNUMBER(Z431),ISNUMBER(AA431)),IF(Z431=AA431,0,1),0)</f>
        <v>0</v>
      </c>
      <c r="AC431" s="80">
        <f>IF(AB431=1,IF(AA431&lt;Z431,1,0),0)</f>
        <v>0</v>
      </c>
      <c r="AD431" s="80">
        <f>IF(AB431=1,IF(AC431=1,1440-Z431+AA431,AA431-Z431),0)</f>
        <v>0</v>
      </c>
      <c r="AE431" s="80">
        <f>IF(J431="",0,IF(ISNUMBER(J431),J431,-1))</f>
        <v>0</v>
      </c>
      <c r="AF431" s="80">
        <f>MIN(MAX(0,AE431),AD431)</f>
        <v>0</v>
      </c>
      <c r="AG431" s="80">
        <f>MAX(0,AD431-MAX(0,AE431))</f>
        <v>0</v>
      </c>
      <c r="AH431" s="80">
        <f>IF(ISNUMBER(B431),IF(AND(INDEX(CFG_WDAYS,WEEKDAY(INT(B431),2))="Sí",IF(D431="proMX",COUNTIFS(FER_F,INT(B431),FER_NLP,"Sí"),COUNTIFS(FER_F,INT(B431),FER_NLM,"Sí"))=0),1,0),0)</f>
        <v>0</v>
      </c>
      <c r="AI431" s="80">
        <f>IF(AC431=1,IF(AND(INDEX(CFG_WDAYS,WEEKDAY(INT(B431)+1,2))="Sí",IF(D431="proMX",COUNTIFS(FER_F,INT(B431)+1,FER_NLP,"Sí"),COUNTIFS(FER_F,INT(B431)+1,FER_NLM,"Sí"))=0),1,0),0)</f>
        <v>0</v>
      </c>
      <c r="AJ431" s="80">
        <f>IF(AC431=1,1440-Z431,AD431)</f>
        <v>0</v>
      </c>
      <c r="AK431" s="80">
        <f>IF(AND(AB431=1,AH431=1),MAX(0,MIN(IF(AC431=1,1440,AA431),CFG_WEM)-MAX(Z431,CFG_WSM)),0)</f>
        <v>0</v>
      </c>
      <c r="AL431" s="80">
        <f>IF(AND(AC431=1,AI431=1),MAX(0,MIN(AA431,CFG_WEM)-CFG_WSM),0)</f>
        <v>0</v>
      </c>
      <c r="AM431" s="80">
        <f>AK431+AL431</f>
        <v>0</v>
      </c>
      <c r="AN431" s="80">
        <f>IF(CFG_BRK="Proporcional",IF(AD431=0,0,AF431*AM431/AD431),IF(CFG_BRK="Extras primero",MIN(AM431,MAX(0,AF431-(AD431-AM431))),MIN(AF431,AM431)))</f>
        <v>0</v>
      </c>
      <c r="AO431" s="80">
        <f>AF431-AN431</f>
        <v>0</v>
      </c>
      <c r="AP431" s="80">
        <f>AM431-AN431</f>
        <v>0</v>
      </c>
      <c r="AQ431" s="80">
        <f>AD431-AM431-AO431</f>
        <v>0</v>
      </c>
      <c r="AR431" s="80">
        <f>IF(AM431=0,0,AK431-AN431*AK431/AM431)</f>
        <v>0</v>
      </c>
      <c r="AS431" s="80">
        <f>IF(AD431-AM431=0,0,(AJ431-AK431)-AO431*(AJ431-AK431)/(AD431-AM431))</f>
        <v>0</v>
      </c>
      <c r="AT431" s="80" t="str">
        <f>IF(AC431=1,INT(B431)+1,"")</f>
        <v/>
      </c>
      <c r="AU431" s="80">
        <f>IF(AND(D431="proMX",R431="Cancelled"),0,1)</f>
        <v>1</v>
      </c>
      <c r="AV431" s="80">
        <f>IF(AND(AB431=1,AU431=1),IF(COUNTIFS($D$5:D430,D431,$B$5:B430,B431,$Z$5:Z430,Z431,$AA$5:AA430,AA431,$F$5:F430,F431&amp;"",$AU$5:AU430,1)&gt;0,1,0),0)</f>
        <v>0</v>
      </c>
      <c r="AW431" s="80" t="str">
        <f>IF(AB431=1,INT(B431)*1440+Z431,"")</f>
        <v/>
      </c>
      <c r="AX431" s="80" t="str">
        <f>IF(AB431=1,AW431+AD431,"")</f>
        <v/>
      </c>
      <c r="AY431" s="80">
        <f>IF(AND(AB431=1,AV431=0,AU431=1),1,0)</f>
        <v>0</v>
      </c>
      <c r="AZ431" s="80">
        <f>IF(AY431=1,COUNTIFS(R_Emp,D431,R_SAbs,"&lt;"&amp;AX431,R_EAbs,"&gt;"&amp;AW431,R_OKey,1)-1,0)</f>
        <v>0</v>
      </c>
      <c r="BA431" s="80">
        <f>IF(AY431=1,COUNTIFS(R_Emp,"&lt;&gt;"&amp;D431,R_SAbs,"&lt;"&amp;AX431,R_EAbs,"&gt;"&amp;AW431,R_OKey,1),0)</f>
        <v>0</v>
      </c>
      <c r="BB431" s="80">
        <f>IF(AND(AB431=1,D431="proMX"),IF(AND(MOD(Z431,CFG_BLK)=0,MOD(AA431,CFG_BLK)=0,MOD(AG431,CFG_BLK)=0,AG431&gt;0),1,0),1)</f>
        <v>1</v>
      </c>
      <c r="BC431" s="80" t="str">
        <f>IF(Y431=0,"",IF(NOT(ISNUMBER(B431)),"Falta fecha o fecha inválida",IF(D431="","Falta empresa",IF(AND(D431&lt;&gt;"Malcolm",D431&lt;&gt;"proMX"),"Empresa inválida",IF(OR(INT(B431)&lt;CFG_PSTART,INT(B431)&gt;CFG_PEND),"Fecha fuera del período",IF(OR(NOT(ISNUMBER(Z431)),NOT(ISNUMBER(AA431))),"Falta hora inicio/fin o formato inválido",IF(AB431=0,"Hora inicio = hora fin",IF(AE431&lt;0,"Descanso inválido",IF(AE431&gt;=AD431,"Descanso ≥ duración",IF(AV431=1,"Registro duplicado",IF(AZ431&gt;0,"Se superpone con otro registro "&amp;D431,IF(BB431=0,"inicio, fin y duración neta deben ser múltiplos de "&amp;CFG_BLK&amp;" min",""))))))))))))</f>
        <v/>
      </c>
      <c r="BD431" s="80">
        <f>IF(AND(Y431=1,BC431=""),1,0)</f>
        <v>0</v>
      </c>
      <c r="BE431" s="80">
        <f>IF(AND(BD431=1,AU431=1),1,0)</f>
        <v>0</v>
      </c>
      <c r="BF431" s="80" t="str">
        <f>IF(AND(D431="proMX",BD431=1),IF(R431="","Draft",R431),"")</f>
        <v/>
      </c>
      <c r="BG431" s="80">
        <f>IF(BD431=1,ROUND(AG431/60,6),0)</f>
        <v>0</v>
      </c>
      <c r="BH431" s="80">
        <f>IF(BE431=1,ROUND(AG431/60,6),0)</f>
        <v>0</v>
      </c>
      <c r="BI431" s="80">
        <f>IF(BE431=1,ROUND(AP431/60,6),0)</f>
        <v>0</v>
      </c>
      <c r="BJ431" s="80">
        <f>IF(BE431=1,ROUND(AQ431/60,6),0)</f>
        <v>0</v>
      </c>
      <c r="BK431" s="80">
        <f>IF(BE431=1,ROUND((AR431+AS431)/60,6),0)</f>
        <v>0</v>
      </c>
      <c r="BL431" s="80">
        <f>ROUND(BH431-BK431,6)</f>
        <v>0</v>
      </c>
      <c r="BM431" s="80">
        <f>IF(BE431=1,ROUND(AR431/60,6),0)</f>
        <v>0</v>
      </c>
      <c r="BN431" s="80">
        <f>ROUND(BI431-BM431,6)</f>
        <v>0</v>
      </c>
      <c r="BO431" s="80">
        <f>IF(BE431=1,ROUND(AS431/60,6),0)</f>
        <v>0</v>
      </c>
      <c r="BP431" s="80">
        <f>ROUND(BJ431-BO431,6)</f>
        <v>0</v>
      </c>
      <c r="BQ431" s="80">
        <f>IF(BE431=1,AW431,0)</f>
        <v>0</v>
      </c>
      <c r="BR431" s="80">
        <f>IF(BE431=1,AX431,0)</f>
        <v>0</v>
      </c>
      <c r="BS431" s="80">
        <f>IF(AND(BE431=1,D431="Malcolm",BA431&gt;0),MIN(BH431,SUMPRODUCT((R_Emp="proMX")*(R_EN&gt;0)*((R_EN-(R_EN&gt;BR431)*(R_EN-BR431))&gt;(R_SN+(R_SN&lt;BQ431)*(BQ431-R_SN)))*((R_EN-(R_EN&gt;BR431)*(R_EN-BR431))-(R_SN+(R_SN&lt;BQ431)*(BQ431-R_SN))))/60),0)</f>
        <v>0</v>
      </c>
      <c r="BT431" s="80">
        <f>IF(AND(BE431=1,D431="proMX"),ROUND(BI431*CFG_RATE+BJ431*CFG_OTRATE,6),0)</f>
        <v>0</v>
      </c>
      <c r="BU431" s="80">
        <f>IF(AND(BD431=1,D431="proMX"),ROUND(AG431/CFG_BLK,6),0)</f>
        <v>0</v>
      </c>
      <c r="BV431" s="80" t="str">
        <f>IF(BF431="Approved",IF(ISNUMBER(T431),INT(T431),INT(B431)),"")</f>
        <v/>
      </c>
      <c r="BW431" s="80">
        <f>IF(ISNUMBER(B431),IF(DB_MON="Todos",1,IF(AND(INT(B431)&gt;=DB_MS,INT(B431)&lt;=DB_ME),1,0)),0)</f>
        <v>0</v>
      </c>
      <c r="BX431" s="80">
        <f>IF(DB_PROJ="Todos",1,IF(E431&amp;""=DB_PROJ&amp;"",1,0))</f>
        <v>1</v>
      </c>
      <c r="BY431" s="80">
        <f>BW431*BX431</f>
        <v>0</v>
      </c>
      <c r="BZ431" s="80" t="str">
        <f>IF(Y431=1,F431&amp;IF(AND(F431&amp;""&lt;&gt;"",E431&amp;""&lt;&gt;"")," · ","")&amp;E431,"")</f>
        <v/>
      </c>
      <c r="CA431" s="80" t="str">
        <f>IF(AND(BD431=1,E431&amp;""&lt;&gt;""),IF(COUNTIFS($E$5:E430,E431,$BD$5:BD430,1)=0,MAX($CA$5:CA430)+1,""),"")</f>
        <v/>
      </c>
      <c r="CB431" s="80" t="str">
        <f>IF(AND(BE431=1,D431="Malcolm",E431&amp;""&lt;&gt;""),IF(COUNTIFS($D$5:D430,"Malcolm",$E$5:E430,E431,$BE$5:BE430,1)=0,MAX($CB$5:CB430)+1,""),"")</f>
        <v/>
      </c>
      <c r="CC431" s="80" t="str">
        <f>IF(AND(BD431=1,D431="proMX",E431&amp;""&lt;&gt;""),IF(COUNTIFS($D$5:D430,"proMX",$E$5:E430,E431,$BD$5:BD430,1)=0,MAX($CC$5:CC430)+1,""),"")</f>
        <v/>
      </c>
      <c r="CD431" s="80" t="str">
        <f>IF(AND(BE431=1,D431="Malcolm",F431&amp;""&lt;&gt;""),IF(COUNTIFS($D$5:D430,"Malcolm",$F$5:F430,F431,$BE$5:BE430,1)=0,MAX($CD$5:CD430)+1,""),"")</f>
        <v/>
      </c>
      <c r="CE431" s="80" t="str">
        <f>IF(AND(BD431=1,D431="proMX",F431&amp;""&lt;&gt;""),IF(COUNTIFS($D$5:D430,"proMX",$F$5:F430,F431,$BD$5:BD430,1)=0,MAX($CE$5:CE430)+1,""),"")</f>
        <v/>
      </c>
      <c r="CF431" s="80" t="str">
        <f>IF(AND(D431="proMX",BD431=1),IF(OR(BF431="Draft",BF431="Submitted",BF431="Returned",BF431="Recall Requested"),MAX($CF$5:CF430)+1,""),"")</f>
        <v/>
      </c>
      <c r="CG431" s="80">
        <f>IF(BD431=0,0,IF(D431="Malcolm",1,MATCH(BF431,{"Draft","Submitted","Approved","Returned","Recall Requested","Cancelled"},0)+1))</f>
        <v>0</v>
      </c>
      <c r="CH431" s="80">
        <f>IF(AND(BF431="Submitted",ISNUMBER(V431)),IF(V431&gt;CFG_MAXD,1,0),0)</f>
        <v>0</v>
      </c>
    </row>
    <row r="432">
      <c r="A432" s="71" t="str">
        <f>IF(Y432=1,ROW()-5,"")</f>
        <v/>
      </c>
      <c r="B432" s="72" t="n"/>
      <c r="C432" s="71" t="str">
        <f>IF(ISNUMBER(B432),CHOOSE(WEEKDAY(B432,2),"Lun","Mar","Mié","Jue","Vie","Sáb","Dom"),"")</f>
        <v/>
      </c>
      <c r="D432" s="73" t="n"/>
      <c r="E432" s="74" t="n"/>
      <c r="F432" s="74" t="n"/>
      <c r="G432" s="74" t="n"/>
      <c r="H432" s="75" t="n"/>
      <c r="I432" s="75" t="n"/>
      <c r="J432" s="76" t="n"/>
      <c r="K432" s="77" t="str">
        <f>IF(AB432=1,ROUND(AG432/60,4),"")</f>
        <v/>
      </c>
      <c r="L432" s="77" t="str">
        <f>IF(BD432=1,ROUND(AP432/60,4),"")</f>
        <v/>
      </c>
      <c r="M432" s="77" t="str">
        <f>IF(BD432=1,ROUND(AQ432/60,4),"")</f>
        <v/>
      </c>
      <c r="N432" s="71" t="str">
        <f>IF(AND(D432="proMX",AB432=1),ROUND(AG432/CFG_BLK,2),"")</f>
        <v/>
      </c>
      <c r="O432" s="77" t="str">
        <f>IF(D432="proMX",IF(BD432=1,ROUND(AG432/60,4),0),"")</f>
        <v/>
      </c>
      <c r="P432" s="78" t="str">
        <f>IF(Y432=0,"",IF(BD432=1,"OK",IF(D432="proMX","Revisar bloques: ","Revisar: ")&amp;BC432))</f>
        <v/>
      </c>
      <c r="Q432" s="78" t="str">
        <f>IF(NOT(ISNUMBER(B432)),"",IF(COUNTIFS(FER_F,INT(B432))&gt;0,"Feriado"&amp;IF(AH432=1," (laborable)"," (no laborable)"),IF(AH432=1,"Laborable",IF(WEEKDAY(B432,2)&gt;5,"Fin de semana","No laborable"))))</f>
        <v/>
      </c>
      <c r="R432" s="73" t="n"/>
      <c r="S432" s="72" t="n"/>
      <c r="T432" s="72" t="n"/>
      <c r="U432" s="74" t="n"/>
      <c r="V432" s="79" t="str">
        <f>IF(AND(D432="proMX",OR(R432="Submitted",R432="Recall Requested"),ISNUMBER(S432)),CFG_TODAY-INT(S432),"")</f>
        <v/>
      </c>
      <c r="W432" s="78" t="str">
        <f>IF(BD432=0,"",IF(BA432&gt;0,"⚠ Se superpone con un registro de la otra empresa",IF(D432="Malcolm",IF(COUNTA(R432,S432,T432)&gt;0,"Estado/fechas proMX se ignoran en Malcolm",""),IF(BF432="Cancelled","Cancelado: excluido de totales",IF(R432="","Sin estado: se trata como Draft",IF(BF432="Submitted",IF(ISNUMBER(V432),IF(V432&gt;CFG_MAXD,"⚠ "&amp;V432&amp;" días en Submitted (máx. "&amp;CFG_MAXD&amp;")",""),"Falta fecha de envío"),IF(BF432="Returned","⚠ Devuelto: corregir y reenviar",IF(BF432="Recall Requested","Retirada solicitada: pendiente",IF(AND(BF432="Approved",NOT(ISNUMBER(T432))),"Falta fecha de aprobación",IF(AND(ISNUMBER(S432),ISNUMBER(T432),T432&lt;S432),"Aprobación anterior al envío","")))))))))</f>
        <v/>
      </c>
      <c r="Y432" s="80">
        <f>IF(COUNTA(B432,D432,E432,F432,G432,H432,I432,J432,R432,S432,T432)&gt;0,1,0)</f>
        <v>0</v>
      </c>
      <c r="Z432" s="80" t="str">
        <f>IF(AND(ISNUMBER(H432),H432&gt;=0,H432&lt;1),ROUND(H432*1440,0),"")</f>
        <v/>
      </c>
      <c r="AA432" s="80" t="str">
        <f>IF(AND(ISNUMBER(I432),I432&gt;=0,I432&lt;1),ROUND(I432*1440,0),"")</f>
        <v/>
      </c>
      <c r="AB432" s="80">
        <f>IF(AND(ISNUMBER(B432),D432&lt;&gt;"",ISNUMBER(Z432),ISNUMBER(AA432)),IF(Z432=AA432,0,1),0)</f>
        <v>0</v>
      </c>
      <c r="AC432" s="80">
        <f>IF(AB432=1,IF(AA432&lt;Z432,1,0),0)</f>
        <v>0</v>
      </c>
      <c r="AD432" s="80">
        <f>IF(AB432=1,IF(AC432=1,1440-Z432+AA432,AA432-Z432),0)</f>
        <v>0</v>
      </c>
      <c r="AE432" s="80">
        <f>IF(J432="",0,IF(ISNUMBER(J432),J432,-1))</f>
        <v>0</v>
      </c>
      <c r="AF432" s="80">
        <f>MIN(MAX(0,AE432),AD432)</f>
        <v>0</v>
      </c>
      <c r="AG432" s="80">
        <f>MAX(0,AD432-MAX(0,AE432))</f>
        <v>0</v>
      </c>
      <c r="AH432" s="80">
        <f>IF(ISNUMBER(B432),IF(AND(INDEX(CFG_WDAYS,WEEKDAY(INT(B432),2))="Sí",IF(D432="proMX",COUNTIFS(FER_F,INT(B432),FER_NLP,"Sí"),COUNTIFS(FER_F,INT(B432),FER_NLM,"Sí"))=0),1,0),0)</f>
        <v>0</v>
      </c>
      <c r="AI432" s="80">
        <f>IF(AC432=1,IF(AND(INDEX(CFG_WDAYS,WEEKDAY(INT(B432)+1,2))="Sí",IF(D432="proMX",COUNTIFS(FER_F,INT(B432)+1,FER_NLP,"Sí"),COUNTIFS(FER_F,INT(B432)+1,FER_NLM,"Sí"))=0),1,0),0)</f>
        <v>0</v>
      </c>
      <c r="AJ432" s="80">
        <f>IF(AC432=1,1440-Z432,AD432)</f>
        <v>0</v>
      </c>
      <c r="AK432" s="80">
        <f>IF(AND(AB432=1,AH432=1),MAX(0,MIN(IF(AC432=1,1440,AA432),CFG_WEM)-MAX(Z432,CFG_WSM)),0)</f>
        <v>0</v>
      </c>
      <c r="AL432" s="80">
        <f>IF(AND(AC432=1,AI432=1),MAX(0,MIN(AA432,CFG_WEM)-CFG_WSM),0)</f>
        <v>0</v>
      </c>
      <c r="AM432" s="80">
        <f>AK432+AL432</f>
        <v>0</v>
      </c>
      <c r="AN432" s="80">
        <f>IF(CFG_BRK="Proporcional",IF(AD432=0,0,AF432*AM432/AD432),IF(CFG_BRK="Extras primero",MIN(AM432,MAX(0,AF432-(AD432-AM432))),MIN(AF432,AM432)))</f>
        <v>0</v>
      </c>
      <c r="AO432" s="80">
        <f>AF432-AN432</f>
        <v>0</v>
      </c>
      <c r="AP432" s="80">
        <f>AM432-AN432</f>
        <v>0</v>
      </c>
      <c r="AQ432" s="80">
        <f>AD432-AM432-AO432</f>
        <v>0</v>
      </c>
      <c r="AR432" s="80">
        <f>IF(AM432=0,0,AK432-AN432*AK432/AM432)</f>
        <v>0</v>
      </c>
      <c r="AS432" s="80">
        <f>IF(AD432-AM432=0,0,(AJ432-AK432)-AO432*(AJ432-AK432)/(AD432-AM432))</f>
        <v>0</v>
      </c>
      <c r="AT432" s="80" t="str">
        <f>IF(AC432=1,INT(B432)+1,"")</f>
        <v/>
      </c>
      <c r="AU432" s="80">
        <f>IF(AND(D432="proMX",R432="Cancelled"),0,1)</f>
        <v>1</v>
      </c>
      <c r="AV432" s="80">
        <f>IF(AND(AB432=1,AU432=1),IF(COUNTIFS($D$5:D431,D432,$B$5:B431,B432,$Z$5:Z431,Z432,$AA$5:AA431,AA432,$F$5:F431,F432&amp;"",$AU$5:AU431,1)&gt;0,1,0),0)</f>
        <v>0</v>
      </c>
      <c r="AW432" s="80" t="str">
        <f>IF(AB432=1,INT(B432)*1440+Z432,"")</f>
        <v/>
      </c>
      <c r="AX432" s="80" t="str">
        <f>IF(AB432=1,AW432+AD432,"")</f>
        <v/>
      </c>
      <c r="AY432" s="80">
        <f>IF(AND(AB432=1,AV432=0,AU432=1),1,0)</f>
        <v>0</v>
      </c>
      <c r="AZ432" s="80">
        <f>IF(AY432=1,COUNTIFS(R_Emp,D432,R_SAbs,"&lt;"&amp;AX432,R_EAbs,"&gt;"&amp;AW432,R_OKey,1)-1,0)</f>
        <v>0</v>
      </c>
      <c r="BA432" s="80">
        <f>IF(AY432=1,COUNTIFS(R_Emp,"&lt;&gt;"&amp;D432,R_SAbs,"&lt;"&amp;AX432,R_EAbs,"&gt;"&amp;AW432,R_OKey,1),0)</f>
        <v>0</v>
      </c>
      <c r="BB432" s="80">
        <f>IF(AND(AB432=1,D432="proMX"),IF(AND(MOD(Z432,CFG_BLK)=0,MOD(AA432,CFG_BLK)=0,MOD(AG432,CFG_BLK)=0,AG432&gt;0),1,0),1)</f>
        <v>1</v>
      </c>
      <c r="BC432" s="80" t="str">
        <f>IF(Y432=0,"",IF(NOT(ISNUMBER(B432)),"Falta fecha o fecha inválida",IF(D432="","Falta empresa",IF(AND(D432&lt;&gt;"Malcolm",D432&lt;&gt;"proMX"),"Empresa inválida",IF(OR(INT(B432)&lt;CFG_PSTART,INT(B432)&gt;CFG_PEND),"Fecha fuera del período",IF(OR(NOT(ISNUMBER(Z432)),NOT(ISNUMBER(AA432))),"Falta hora inicio/fin o formato inválido",IF(AB432=0,"Hora inicio = hora fin",IF(AE432&lt;0,"Descanso inválido",IF(AE432&gt;=AD432,"Descanso ≥ duración",IF(AV432=1,"Registro duplicado",IF(AZ432&gt;0,"Se superpone con otro registro "&amp;D432,IF(BB432=0,"inicio, fin y duración neta deben ser múltiplos de "&amp;CFG_BLK&amp;" min",""))))))))))))</f>
        <v/>
      </c>
      <c r="BD432" s="80">
        <f>IF(AND(Y432=1,BC432=""),1,0)</f>
        <v>0</v>
      </c>
      <c r="BE432" s="80">
        <f>IF(AND(BD432=1,AU432=1),1,0)</f>
        <v>0</v>
      </c>
      <c r="BF432" s="80" t="str">
        <f>IF(AND(D432="proMX",BD432=1),IF(R432="","Draft",R432),"")</f>
        <v/>
      </c>
      <c r="BG432" s="80">
        <f>IF(BD432=1,ROUND(AG432/60,6),0)</f>
        <v>0</v>
      </c>
      <c r="BH432" s="80">
        <f>IF(BE432=1,ROUND(AG432/60,6),0)</f>
        <v>0</v>
      </c>
      <c r="BI432" s="80">
        <f>IF(BE432=1,ROUND(AP432/60,6),0)</f>
        <v>0</v>
      </c>
      <c r="BJ432" s="80">
        <f>IF(BE432=1,ROUND(AQ432/60,6),0)</f>
        <v>0</v>
      </c>
      <c r="BK432" s="80">
        <f>IF(BE432=1,ROUND((AR432+AS432)/60,6),0)</f>
        <v>0</v>
      </c>
      <c r="BL432" s="80">
        <f>ROUND(BH432-BK432,6)</f>
        <v>0</v>
      </c>
      <c r="BM432" s="80">
        <f>IF(BE432=1,ROUND(AR432/60,6),0)</f>
        <v>0</v>
      </c>
      <c r="BN432" s="80">
        <f>ROUND(BI432-BM432,6)</f>
        <v>0</v>
      </c>
      <c r="BO432" s="80">
        <f>IF(BE432=1,ROUND(AS432/60,6),0)</f>
        <v>0</v>
      </c>
      <c r="BP432" s="80">
        <f>ROUND(BJ432-BO432,6)</f>
        <v>0</v>
      </c>
      <c r="BQ432" s="80">
        <f>IF(BE432=1,AW432,0)</f>
        <v>0</v>
      </c>
      <c r="BR432" s="80">
        <f>IF(BE432=1,AX432,0)</f>
        <v>0</v>
      </c>
      <c r="BS432" s="80">
        <f>IF(AND(BE432=1,D432="Malcolm",BA432&gt;0),MIN(BH432,SUMPRODUCT((R_Emp="proMX")*(R_EN&gt;0)*((R_EN-(R_EN&gt;BR432)*(R_EN-BR432))&gt;(R_SN+(R_SN&lt;BQ432)*(BQ432-R_SN)))*((R_EN-(R_EN&gt;BR432)*(R_EN-BR432))-(R_SN+(R_SN&lt;BQ432)*(BQ432-R_SN))))/60),0)</f>
        <v>0</v>
      </c>
      <c r="BT432" s="80">
        <f>IF(AND(BE432=1,D432="proMX"),ROUND(BI432*CFG_RATE+BJ432*CFG_OTRATE,6),0)</f>
        <v>0</v>
      </c>
      <c r="BU432" s="80">
        <f>IF(AND(BD432=1,D432="proMX"),ROUND(AG432/CFG_BLK,6),0)</f>
        <v>0</v>
      </c>
      <c r="BV432" s="80" t="str">
        <f>IF(BF432="Approved",IF(ISNUMBER(T432),INT(T432),INT(B432)),"")</f>
        <v/>
      </c>
      <c r="BW432" s="80">
        <f>IF(ISNUMBER(B432),IF(DB_MON="Todos",1,IF(AND(INT(B432)&gt;=DB_MS,INT(B432)&lt;=DB_ME),1,0)),0)</f>
        <v>0</v>
      </c>
      <c r="BX432" s="80">
        <f>IF(DB_PROJ="Todos",1,IF(E432&amp;""=DB_PROJ&amp;"",1,0))</f>
        <v>1</v>
      </c>
      <c r="BY432" s="80">
        <f>BW432*BX432</f>
        <v>0</v>
      </c>
      <c r="BZ432" s="80" t="str">
        <f>IF(Y432=1,F432&amp;IF(AND(F432&amp;""&lt;&gt;"",E432&amp;""&lt;&gt;"")," · ","")&amp;E432,"")</f>
        <v/>
      </c>
      <c r="CA432" s="80" t="str">
        <f>IF(AND(BD432=1,E432&amp;""&lt;&gt;""),IF(COUNTIFS($E$5:E431,E432,$BD$5:BD431,1)=0,MAX($CA$5:CA431)+1,""),"")</f>
        <v/>
      </c>
      <c r="CB432" s="80" t="str">
        <f>IF(AND(BE432=1,D432="Malcolm",E432&amp;""&lt;&gt;""),IF(COUNTIFS($D$5:D431,"Malcolm",$E$5:E431,E432,$BE$5:BE431,1)=0,MAX($CB$5:CB431)+1,""),"")</f>
        <v/>
      </c>
      <c r="CC432" s="80" t="str">
        <f>IF(AND(BD432=1,D432="proMX",E432&amp;""&lt;&gt;""),IF(COUNTIFS($D$5:D431,"proMX",$E$5:E431,E432,$BD$5:BD431,1)=0,MAX($CC$5:CC431)+1,""),"")</f>
        <v/>
      </c>
      <c r="CD432" s="80" t="str">
        <f>IF(AND(BE432=1,D432="Malcolm",F432&amp;""&lt;&gt;""),IF(COUNTIFS($D$5:D431,"Malcolm",$F$5:F431,F432,$BE$5:BE431,1)=0,MAX($CD$5:CD431)+1,""),"")</f>
        <v/>
      </c>
      <c r="CE432" s="80" t="str">
        <f>IF(AND(BD432=1,D432="proMX",F432&amp;""&lt;&gt;""),IF(COUNTIFS($D$5:D431,"proMX",$F$5:F431,F432,$BD$5:BD431,1)=0,MAX($CE$5:CE431)+1,""),"")</f>
        <v/>
      </c>
      <c r="CF432" s="80" t="str">
        <f>IF(AND(D432="proMX",BD432=1),IF(OR(BF432="Draft",BF432="Submitted",BF432="Returned",BF432="Recall Requested"),MAX($CF$5:CF431)+1,""),"")</f>
        <v/>
      </c>
      <c r="CG432" s="80">
        <f>IF(BD432=0,0,IF(D432="Malcolm",1,MATCH(BF432,{"Draft","Submitted","Approved","Returned","Recall Requested","Cancelled"},0)+1))</f>
        <v>0</v>
      </c>
      <c r="CH432" s="80">
        <f>IF(AND(BF432="Submitted",ISNUMBER(V432)),IF(V432&gt;CFG_MAXD,1,0),0)</f>
        <v>0</v>
      </c>
    </row>
    <row r="433">
      <c r="A433" s="71" t="str">
        <f>IF(Y433=1,ROW()-5,"")</f>
        <v/>
      </c>
      <c r="B433" s="72" t="n"/>
      <c r="C433" s="71" t="str">
        <f>IF(ISNUMBER(B433),CHOOSE(WEEKDAY(B433,2),"Lun","Mar","Mié","Jue","Vie","Sáb","Dom"),"")</f>
        <v/>
      </c>
      <c r="D433" s="73" t="n"/>
      <c r="E433" s="74" t="n"/>
      <c r="F433" s="74" t="n"/>
      <c r="G433" s="74" t="n"/>
      <c r="H433" s="75" t="n"/>
      <c r="I433" s="75" t="n"/>
      <c r="J433" s="76" t="n"/>
      <c r="K433" s="77" t="str">
        <f>IF(AB433=1,ROUND(AG433/60,4),"")</f>
        <v/>
      </c>
      <c r="L433" s="77" t="str">
        <f>IF(BD433=1,ROUND(AP433/60,4),"")</f>
        <v/>
      </c>
      <c r="M433" s="77" t="str">
        <f>IF(BD433=1,ROUND(AQ433/60,4),"")</f>
        <v/>
      </c>
      <c r="N433" s="71" t="str">
        <f>IF(AND(D433="proMX",AB433=1),ROUND(AG433/CFG_BLK,2),"")</f>
        <v/>
      </c>
      <c r="O433" s="77" t="str">
        <f>IF(D433="proMX",IF(BD433=1,ROUND(AG433/60,4),0),"")</f>
        <v/>
      </c>
      <c r="P433" s="78" t="str">
        <f>IF(Y433=0,"",IF(BD433=1,"OK",IF(D433="proMX","Revisar bloques: ","Revisar: ")&amp;BC433))</f>
        <v/>
      </c>
      <c r="Q433" s="78" t="str">
        <f>IF(NOT(ISNUMBER(B433)),"",IF(COUNTIFS(FER_F,INT(B433))&gt;0,"Feriado"&amp;IF(AH433=1," (laborable)"," (no laborable)"),IF(AH433=1,"Laborable",IF(WEEKDAY(B433,2)&gt;5,"Fin de semana","No laborable"))))</f>
        <v/>
      </c>
      <c r="R433" s="73" t="n"/>
      <c r="S433" s="72" t="n"/>
      <c r="T433" s="72" t="n"/>
      <c r="U433" s="74" t="n"/>
      <c r="V433" s="79" t="str">
        <f>IF(AND(D433="proMX",OR(R433="Submitted",R433="Recall Requested"),ISNUMBER(S433)),CFG_TODAY-INT(S433),"")</f>
        <v/>
      </c>
      <c r="W433" s="78" t="str">
        <f>IF(BD433=0,"",IF(BA433&gt;0,"⚠ Se superpone con un registro de la otra empresa",IF(D433="Malcolm",IF(COUNTA(R433,S433,T433)&gt;0,"Estado/fechas proMX se ignoran en Malcolm",""),IF(BF433="Cancelled","Cancelado: excluido de totales",IF(R433="","Sin estado: se trata como Draft",IF(BF433="Submitted",IF(ISNUMBER(V433),IF(V433&gt;CFG_MAXD,"⚠ "&amp;V433&amp;" días en Submitted (máx. "&amp;CFG_MAXD&amp;")",""),"Falta fecha de envío"),IF(BF433="Returned","⚠ Devuelto: corregir y reenviar",IF(BF433="Recall Requested","Retirada solicitada: pendiente",IF(AND(BF433="Approved",NOT(ISNUMBER(T433))),"Falta fecha de aprobación",IF(AND(ISNUMBER(S433),ISNUMBER(T433),T433&lt;S433),"Aprobación anterior al envío","")))))))))</f>
        <v/>
      </c>
      <c r="Y433" s="80">
        <f>IF(COUNTA(B433,D433,E433,F433,G433,H433,I433,J433,R433,S433,T433)&gt;0,1,0)</f>
        <v>0</v>
      </c>
      <c r="Z433" s="80" t="str">
        <f>IF(AND(ISNUMBER(H433),H433&gt;=0,H433&lt;1),ROUND(H433*1440,0),"")</f>
        <v/>
      </c>
      <c r="AA433" s="80" t="str">
        <f>IF(AND(ISNUMBER(I433),I433&gt;=0,I433&lt;1),ROUND(I433*1440,0),"")</f>
        <v/>
      </c>
      <c r="AB433" s="80">
        <f>IF(AND(ISNUMBER(B433),D433&lt;&gt;"",ISNUMBER(Z433),ISNUMBER(AA433)),IF(Z433=AA433,0,1),0)</f>
        <v>0</v>
      </c>
      <c r="AC433" s="80">
        <f>IF(AB433=1,IF(AA433&lt;Z433,1,0),0)</f>
        <v>0</v>
      </c>
      <c r="AD433" s="80">
        <f>IF(AB433=1,IF(AC433=1,1440-Z433+AA433,AA433-Z433),0)</f>
        <v>0</v>
      </c>
      <c r="AE433" s="80">
        <f>IF(J433="",0,IF(ISNUMBER(J433),J433,-1))</f>
        <v>0</v>
      </c>
      <c r="AF433" s="80">
        <f>MIN(MAX(0,AE433),AD433)</f>
        <v>0</v>
      </c>
      <c r="AG433" s="80">
        <f>MAX(0,AD433-MAX(0,AE433))</f>
        <v>0</v>
      </c>
      <c r="AH433" s="80">
        <f>IF(ISNUMBER(B433),IF(AND(INDEX(CFG_WDAYS,WEEKDAY(INT(B433),2))="Sí",IF(D433="proMX",COUNTIFS(FER_F,INT(B433),FER_NLP,"Sí"),COUNTIFS(FER_F,INT(B433),FER_NLM,"Sí"))=0),1,0),0)</f>
        <v>0</v>
      </c>
      <c r="AI433" s="80">
        <f>IF(AC433=1,IF(AND(INDEX(CFG_WDAYS,WEEKDAY(INT(B433)+1,2))="Sí",IF(D433="proMX",COUNTIFS(FER_F,INT(B433)+1,FER_NLP,"Sí"),COUNTIFS(FER_F,INT(B433)+1,FER_NLM,"Sí"))=0),1,0),0)</f>
        <v>0</v>
      </c>
      <c r="AJ433" s="80">
        <f>IF(AC433=1,1440-Z433,AD433)</f>
        <v>0</v>
      </c>
      <c r="AK433" s="80">
        <f>IF(AND(AB433=1,AH433=1),MAX(0,MIN(IF(AC433=1,1440,AA433),CFG_WEM)-MAX(Z433,CFG_WSM)),0)</f>
        <v>0</v>
      </c>
      <c r="AL433" s="80">
        <f>IF(AND(AC433=1,AI433=1),MAX(0,MIN(AA433,CFG_WEM)-CFG_WSM),0)</f>
        <v>0</v>
      </c>
      <c r="AM433" s="80">
        <f>AK433+AL433</f>
        <v>0</v>
      </c>
      <c r="AN433" s="80">
        <f>IF(CFG_BRK="Proporcional",IF(AD433=0,0,AF433*AM433/AD433),IF(CFG_BRK="Extras primero",MIN(AM433,MAX(0,AF433-(AD433-AM433))),MIN(AF433,AM433)))</f>
        <v>0</v>
      </c>
      <c r="AO433" s="80">
        <f>AF433-AN433</f>
        <v>0</v>
      </c>
      <c r="AP433" s="80">
        <f>AM433-AN433</f>
        <v>0</v>
      </c>
      <c r="AQ433" s="80">
        <f>AD433-AM433-AO433</f>
        <v>0</v>
      </c>
      <c r="AR433" s="80">
        <f>IF(AM433=0,0,AK433-AN433*AK433/AM433)</f>
        <v>0</v>
      </c>
      <c r="AS433" s="80">
        <f>IF(AD433-AM433=0,0,(AJ433-AK433)-AO433*(AJ433-AK433)/(AD433-AM433))</f>
        <v>0</v>
      </c>
      <c r="AT433" s="80" t="str">
        <f>IF(AC433=1,INT(B433)+1,"")</f>
        <v/>
      </c>
      <c r="AU433" s="80">
        <f>IF(AND(D433="proMX",R433="Cancelled"),0,1)</f>
        <v>1</v>
      </c>
      <c r="AV433" s="80">
        <f>IF(AND(AB433=1,AU433=1),IF(COUNTIFS($D$5:D432,D433,$B$5:B432,B433,$Z$5:Z432,Z433,$AA$5:AA432,AA433,$F$5:F432,F433&amp;"",$AU$5:AU432,1)&gt;0,1,0),0)</f>
        <v>0</v>
      </c>
      <c r="AW433" s="80" t="str">
        <f>IF(AB433=1,INT(B433)*1440+Z433,"")</f>
        <v/>
      </c>
      <c r="AX433" s="80" t="str">
        <f>IF(AB433=1,AW433+AD433,"")</f>
        <v/>
      </c>
      <c r="AY433" s="80">
        <f>IF(AND(AB433=1,AV433=0,AU433=1),1,0)</f>
        <v>0</v>
      </c>
      <c r="AZ433" s="80">
        <f>IF(AY433=1,COUNTIFS(R_Emp,D433,R_SAbs,"&lt;"&amp;AX433,R_EAbs,"&gt;"&amp;AW433,R_OKey,1)-1,0)</f>
        <v>0</v>
      </c>
      <c r="BA433" s="80">
        <f>IF(AY433=1,COUNTIFS(R_Emp,"&lt;&gt;"&amp;D433,R_SAbs,"&lt;"&amp;AX433,R_EAbs,"&gt;"&amp;AW433,R_OKey,1),0)</f>
        <v>0</v>
      </c>
      <c r="BB433" s="80">
        <f>IF(AND(AB433=1,D433="proMX"),IF(AND(MOD(Z433,CFG_BLK)=0,MOD(AA433,CFG_BLK)=0,MOD(AG433,CFG_BLK)=0,AG433&gt;0),1,0),1)</f>
        <v>1</v>
      </c>
      <c r="BC433" s="80" t="str">
        <f>IF(Y433=0,"",IF(NOT(ISNUMBER(B433)),"Falta fecha o fecha inválida",IF(D433="","Falta empresa",IF(AND(D433&lt;&gt;"Malcolm",D433&lt;&gt;"proMX"),"Empresa inválida",IF(OR(INT(B433)&lt;CFG_PSTART,INT(B433)&gt;CFG_PEND),"Fecha fuera del período",IF(OR(NOT(ISNUMBER(Z433)),NOT(ISNUMBER(AA433))),"Falta hora inicio/fin o formato inválido",IF(AB433=0,"Hora inicio = hora fin",IF(AE433&lt;0,"Descanso inválido",IF(AE433&gt;=AD433,"Descanso ≥ duración",IF(AV433=1,"Registro duplicado",IF(AZ433&gt;0,"Se superpone con otro registro "&amp;D433,IF(BB433=0,"inicio, fin y duración neta deben ser múltiplos de "&amp;CFG_BLK&amp;" min",""))))))))))))</f>
        <v/>
      </c>
      <c r="BD433" s="80">
        <f>IF(AND(Y433=1,BC433=""),1,0)</f>
        <v>0</v>
      </c>
      <c r="BE433" s="80">
        <f>IF(AND(BD433=1,AU433=1),1,0)</f>
        <v>0</v>
      </c>
      <c r="BF433" s="80" t="str">
        <f>IF(AND(D433="proMX",BD433=1),IF(R433="","Draft",R433),"")</f>
        <v/>
      </c>
      <c r="BG433" s="80">
        <f>IF(BD433=1,ROUND(AG433/60,6),0)</f>
        <v>0</v>
      </c>
      <c r="BH433" s="80">
        <f>IF(BE433=1,ROUND(AG433/60,6),0)</f>
        <v>0</v>
      </c>
      <c r="BI433" s="80">
        <f>IF(BE433=1,ROUND(AP433/60,6),0)</f>
        <v>0</v>
      </c>
      <c r="BJ433" s="80">
        <f>IF(BE433=1,ROUND(AQ433/60,6),0)</f>
        <v>0</v>
      </c>
      <c r="BK433" s="80">
        <f>IF(BE433=1,ROUND((AR433+AS433)/60,6),0)</f>
        <v>0</v>
      </c>
      <c r="BL433" s="80">
        <f>ROUND(BH433-BK433,6)</f>
        <v>0</v>
      </c>
      <c r="BM433" s="80">
        <f>IF(BE433=1,ROUND(AR433/60,6),0)</f>
        <v>0</v>
      </c>
      <c r="BN433" s="80">
        <f>ROUND(BI433-BM433,6)</f>
        <v>0</v>
      </c>
      <c r="BO433" s="80">
        <f>IF(BE433=1,ROUND(AS433/60,6),0)</f>
        <v>0</v>
      </c>
      <c r="BP433" s="80">
        <f>ROUND(BJ433-BO433,6)</f>
        <v>0</v>
      </c>
      <c r="BQ433" s="80">
        <f>IF(BE433=1,AW433,0)</f>
        <v>0</v>
      </c>
      <c r="BR433" s="80">
        <f>IF(BE433=1,AX433,0)</f>
        <v>0</v>
      </c>
      <c r="BS433" s="80">
        <f>IF(AND(BE433=1,D433="Malcolm",BA433&gt;0),MIN(BH433,SUMPRODUCT((R_Emp="proMX")*(R_EN&gt;0)*((R_EN-(R_EN&gt;BR433)*(R_EN-BR433))&gt;(R_SN+(R_SN&lt;BQ433)*(BQ433-R_SN)))*((R_EN-(R_EN&gt;BR433)*(R_EN-BR433))-(R_SN+(R_SN&lt;BQ433)*(BQ433-R_SN))))/60),0)</f>
        <v>0</v>
      </c>
      <c r="BT433" s="80">
        <f>IF(AND(BE433=1,D433="proMX"),ROUND(BI433*CFG_RATE+BJ433*CFG_OTRATE,6),0)</f>
        <v>0</v>
      </c>
      <c r="BU433" s="80">
        <f>IF(AND(BD433=1,D433="proMX"),ROUND(AG433/CFG_BLK,6),0)</f>
        <v>0</v>
      </c>
      <c r="BV433" s="80" t="str">
        <f>IF(BF433="Approved",IF(ISNUMBER(T433),INT(T433),INT(B433)),"")</f>
        <v/>
      </c>
      <c r="BW433" s="80">
        <f>IF(ISNUMBER(B433),IF(DB_MON="Todos",1,IF(AND(INT(B433)&gt;=DB_MS,INT(B433)&lt;=DB_ME),1,0)),0)</f>
        <v>0</v>
      </c>
      <c r="BX433" s="80">
        <f>IF(DB_PROJ="Todos",1,IF(E433&amp;""=DB_PROJ&amp;"",1,0))</f>
        <v>1</v>
      </c>
      <c r="BY433" s="80">
        <f>BW433*BX433</f>
        <v>0</v>
      </c>
      <c r="BZ433" s="80" t="str">
        <f>IF(Y433=1,F433&amp;IF(AND(F433&amp;""&lt;&gt;"",E433&amp;""&lt;&gt;"")," · ","")&amp;E433,"")</f>
        <v/>
      </c>
      <c r="CA433" s="80" t="str">
        <f>IF(AND(BD433=1,E433&amp;""&lt;&gt;""),IF(COUNTIFS($E$5:E432,E433,$BD$5:BD432,1)=0,MAX($CA$5:CA432)+1,""),"")</f>
        <v/>
      </c>
      <c r="CB433" s="80" t="str">
        <f>IF(AND(BE433=1,D433="Malcolm",E433&amp;""&lt;&gt;""),IF(COUNTIFS($D$5:D432,"Malcolm",$E$5:E432,E433,$BE$5:BE432,1)=0,MAX($CB$5:CB432)+1,""),"")</f>
        <v/>
      </c>
      <c r="CC433" s="80" t="str">
        <f>IF(AND(BD433=1,D433="proMX",E433&amp;""&lt;&gt;""),IF(COUNTIFS($D$5:D432,"proMX",$E$5:E432,E433,$BD$5:BD432,1)=0,MAX($CC$5:CC432)+1,""),"")</f>
        <v/>
      </c>
      <c r="CD433" s="80" t="str">
        <f>IF(AND(BE433=1,D433="Malcolm",F433&amp;""&lt;&gt;""),IF(COUNTIFS($D$5:D432,"Malcolm",$F$5:F432,F433,$BE$5:BE432,1)=0,MAX($CD$5:CD432)+1,""),"")</f>
        <v/>
      </c>
      <c r="CE433" s="80" t="str">
        <f>IF(AND(BD433=1,D433="proMX",F433&amp;""&lt;&gt;""),IF(COUNTIFS($D$5:D432,"proMX",$F$5:F432,F433,$BD$5:BD432,1)=0,MAX($CE$5:CE432)+1,""),"")</f>
        <v/>
      </c>
      <c r="CF433" s="80" t="str">
        <f>IF(AND(D433="proMX",BD433=1),IF(OR(BF433="Draft",BF433="Submitted",BF433="Returned",BF433="Recall Requested"),MAX($CF$5:CF432)+1,""),"")</f>
        <v/>
      </c>
      <c r="CG433" s="80">
        <f>IF(BD433=0,0,IF(D433="Malcolm",1,MATCH(BF433,{"Draft","Submitted","Approved","Returned","Recall Requested","Cancelled"},0)+1))</f>
        <v>0</v>
      </c>
      <c r="CH433" s="80">
        <f>IF(AND(BF433="Submitted",ISNUMBER(V433)),IF(V433&gt;CFG_MAXD,1,0),0)</f>
        <v>0</v>
      </c>
    </row>
    <row r="434">
      <c r="A434" s="71" t="str">
        <f>IF(Y434=1,ROW()-5,"")</f>
        <v/>
      </c>
      <c r="B434" s="72" t="n"/>
      <c r="C434" s="71" t="str">
        <f>IF(ISNUMBER(B434),CHOOSE(WEEKDAY(B434,2),"Lun","Mar","Mié","Jue","Vie","Sáb","Dom"),"")</f>
        <v/>
      </c>
      <c r="D434" s="73" t="n"/>
      <c r="E434" s="74" t="n"/>
      <c r="F434" s="74" t="n"/>
      <c r="G434" s="74" t="n"/>
      <c r="H434" s="75" t="n"/>
      <c r="I434" s="75" t="n"/>
      <c r="J434" s="76" t="n"/>
      <c r="K434" s="77" t="str">
        <f>IF(AB434=1,ROUND(AG434/60,4),"")</f>
        <v/>
      </c>
      <c r="L434" s="77" t="str">
        <f>IF(BD434=1,ROUND(AP434/60,4),"")</f>
        <v/>
      </c>
      <c r="M434" s="77" t="str">
        <f>IF(BD434=1,ROUND(AQ434/60,4),"")</f>
        <v/>
      </c>
      <c r="N434" s="71" t="str">
        <f>IF(AND(D434="proMX",AB434=1),ROUND(AG434/CFG_BLK,2),"")</f>
        <v/>
      </c>
      <c r="O434" s="77" t="str">
        <f>IF(D434="proMX",IF(BD434=1,ROUND(AG434/60,4),0),"")</f>
        <v/>
      </c>
      <c r="P434" s="78" t="str">
        <f>IF(Y434=0,"",IF(BD434=1,"OK",IF(D434="proMX","Revisar bloques: ","Revisar: ")&amp;BC434))</f>
        <v/>
      </c>
      <c r="Q434" s="78" t="str">
        <f>IF(NOT(ISNUMBER(B434)),"",IF(COUNTIFS(FER_F,INT(B434))&gt;0,"Feriado"&amp;IF(AH434=1," (laborable)"," (no laborable)"),IF(AH434=1,"Laborable",IF(WEEKDAY(B434,2)&gt;5,"Fin de semana","No laborable"))))</f>
        <v/>
      </c>
      <c r="R434" s="73" t="n"/>
      <c r="S434" s="72" t="n"/>
      <c r="T434" s="72" t="n"/>
      <c r="U434" s="74" t="n"/>
      <c r="V434" s="79" t="str">
        <f>IF(AND(D434="proMX",OR(R434="Submitted",R434="Recall Requested"),ISNUMBER(S434)),CFG_TODAY-INT(S434),"")</f>
        <v/>
      </c>
      <c r="W434" s="78" t="str">
        <f>IF(BD434=0,"",IF(BA434&gt;0,"⚠ Se superpone con un registro de la otra empresa",IF(D434="Malcolm",IF(COUNTA(R434,S434,T434)&gt;0,"Estado/fechas proMX se ignoran en Malcolm",""),IF(BF434="Cancelled","Cancelado: excluido de totales",IF(R434="","Sin estado: se trata como Draft",IF(BF434="Submitted",IF(ISNUMBER(V434),IF(V434&gt;CFG_MAXD,"⚠ "&amp;V434&amp;" días en Submitted (máx. "&amp;CFG_MAXD&amp;")",""),"Falta fecha de envío"),IF(BF434="Returned","⚠ Devuelto: corregir y reenviar",IF(BF434="Recall Requested","Retirada solicitada: pendiente",IF(AND(BF434="Approved",NOT(ISNUMBER(T434))),"Falta fecha de aprobación",IF(AND(ISNUMBER(S434),ISNUMBER(T434),T434&lt;S434),"Aprobación anterior al envío","")))))))))</f>
        <v/>
      </c>
      <c r="Y434" s="80">
        <f>IF(COUNTA(B434,D434,E434,F434,G434,H434,I434,J434,R434,S434,T434)&gt;0,1,0)</f>
        <v>0</v>
      </c>
      <c r="Z434" s="80" t="str">
        <f>IF(AND(ISNUMBER(H434),H434&gt;=0,H434&lt;1),ROUND(H434*1440,0),"")</f>
        <v/>
      </c>
      <c r="AA434" s="80" t="str">
        <f>IF(AND(ISNUMBER(I434),I434&gt;=0,I434&lt;1),ROUND(I434*1440,0),"")</f>
        <v/>
      </c>
      <c r="AB434" s="80">
        <f>IF(AND(ISNUMBER(B434),D434&lt;&gt;"",ISNUMBER(Z434),ISNUMBER(AA434)),IF(Z434=AA434,0,1),0)</f>
        <v>0</v>
      </c>
      <c r="AC434" s="80">
        <f>IF(AB434=1,IF(AA434&lt;Z434,1,0),0)</f>
        <v>0</v>
      </c>
      <c r="AD434" s="80">
        <f>IF(AB434=1,IF(AC434=1,1440-Z434+AA434,AA434-Z434),0)</f>
        <v>0</v>
      </c>
      <c r="AE434" s="80">
        <f>IF(J434="",0,IF(ISNUMBER(J434),J434,-1))</f>
        <v>0</v>
      </c>
      <c r="AF434" s="80">
        <f>MIN(MAX(0,AE434),AD434)</f>
        <v>0</v>
      </c>
      <c r="AG434" s="80">
        <f>MAX(0,AD434-MAX(0,AE434))</f>
        <v>0</v>
      </c>
      <c r="AH434" s="80">
        <f>IF(ISNUMBER(B434),IF(AND(INDEX(CFG_WDAYS,WEEKDAY(INT(B434),2))="Sí",IF(D434="proMX",COUNTIFS(FER_F,INT(B434),FER_NLP,"Sí"),COUNTIFS(FER_F,INT(B434),FER_NLM,"Sí"))=0),1,0),0)</f>
        <v>0</v>
      </c>
      <c r="AI434" s="80">
        <f>IF(AC434=1,IF(AND(INDEX(CFG_WDAYS,WEEKDAY(INT(B434)+1,2))="Sí",IF(D434="proMX",COUNTIFS(FER_F,INT(B434)+1,FER_NLP,"Sí"),COUNTIFS(FER_F,INT(B434)+1,FER_NLM,"Sí"))=0),1,0),0)</f>
        <v>0</v>
      </c>
      <c r="AJ434" s="80">
        <f>IF(AC434=1,1440-Z434,AD434)</f>
        <v>0</v>
      </c>
      <c r="AK434" s="80">
        <f>IF(AND(AB434=1,AH434=1),MAX(0,MIN(IF(AC434=1,1440,AA434),CFG_WEM)-MAX(Z434,CFG_WSM)),0)</f>
        <v>0</v>
      </c>
      <c r="AL434" s="80">
        <f>IF(AND(AC434=1,AI434=1),MAX(0,MIN(AA434,CFG_WEM)-CFG_WSM),0)</f>
        <v>0</v>
      </c>
      <c r="AM434" s="80">
        <f>AK434+AL434</f>
        <v>0</v>
      </c>
      <c r="AN434" s="80">
        <f>IF(CFG_BRK="Proporcional",IF(AD434=0,0,AF434*AM434/AD434),IF(CFG_BRK="Extras primero",MIN(AM434,MAX(0,AF434-(AD434-AM434))),MIN(AF434,AM434)))</f>
        <v>0</v>
      </c>
      <c r="AO434" s="80">
        <f>AF434-AN434</f>
        <v>0</v>
      </c>
      <c r="AP434" s="80">
        <f>AM434-AN434</f>
        <v>0</v>
      </c>
      <c r="AQ434" s="80">
        <f>AD434-AM434-AO434</f>
        <v>0</v>
      </c>
      <c r="AR434" s="80">
        <f>IF(AM434=0,0,AK434-AN434*AK434/AM434)</f>
        <v>0</v>
      </c>
      <c r="AS434" s="80">
        <f>IF(AD434-AM434=0,0,(AJ434-AK434)-AO434*(AJ434-AK434)/(AD434-AM434))</f>
        <v>0</v>
      </c>
      <c r="AT434" s="80" t="str">
        <f>IF(AC434=1,INT(B434)+1,"")</f>
        <v/>
      </c>
      <c r="AU434" s="80">
        <f>IF(AND(D434="proMX",R434="Cancelled"),0,1)</f>
        <v>1</v>
      </c>
      <c r="AV434" s="80">
        <f>IF(AND(AB434=1,AU434=1),IF(COUNTIFS($D$5:D433,D434,$B$5:B433,B434,$Z$5:Z433,Z434,$AA$5:AA433,AA434,$F$5:F433,F434&amp;"",$AU$5:AU433,1)&gt;0,1,0),0)</f>
        <v>0</v>
      </c>
      <c r="AW434" s="80" t="str">
        <f>IF(AB434=1,INT(B434)*1440+Z434,"")</f>
        <v/>
      </c>
      <c r="AX434" s="80" t="str">
        <f>IF(AB434=1,AW434+AD434,"")</f>
        <v/>
      </c>
      <c r="AY434" s="80">
        <f>IF(AND(AB434=1,AV434=0,AU434=1),1,0)</f>
        <v>0</v>
      </c>
      <c r="AZ434" s="80">
        <f>IF(AY434=1,COUNTIFS(R_Emp,D434,R_SAbs,"&lt;"&amp;AX434,R_EAbs,"&gt;"&amp;AW434,R_OKey,1)-1,0)</f>
        <v>0</v>
      </c>
      <c r="BA434" s="80">
        <f>IF(AY434=1,COUNTIFS(R_Emp,"&lt;&gt;"&amp;D434,R_SAbs,"&lt;"&amp;AX434,R_EAbs,"&gt;"&amp;AW434,R_OKey,1),0)</f>
        <v>0</v>
      </c>
      <c r="BB434" s="80">
        <f>IF(AND(AB434=1,D434="proMX"),IF(AND(MOD(Z434,CFG_BLK)=0,MOD(AA434,CFG_BLK)=0,MOD(AG434,CFG_BLK)=0,AG434&gt;0),1,0),1)</f>
        <v>1</v>
      </c>
      <c r="BC434" s="80" t="str">
        <f>IF(Y434=0,"",IF(NOT(ISNUMBER(B434)),"Falta fecha o fecha inválida",IF(D434="","Falta empresa",IF(AND(D434&lt;&gt;"Malcolm",D434&lt;&gt;"proMX"),"Empresa inválida",IF(OR(INT(B434)&lt;CFG_PSTART,INT(B434)&gt;CFG_PEND),"Fecha fuera del período",IF(OR(NOT(ISNUMBER(Z434)),NOT(ISNUMBER(AA434))),"Falta hora inicio/fin o formato inválido",IF(AB434=0,"Hora inicio = hora fin",IF(AE434&lt;0,"Descanso inválido",IF(AE434&gt;=AD434,"Descanso ≥ duración",IF(AV434=1,"Registro duplicado",IF(AZ434&gt;0,"Se superpone con otro registro "&amp;D434,IF(BB434=0,"inicio, fin y duración neta deben ser múltiplos de "&amp;CFG_BLK&amp;" min",""))))))))))))</f>
        <v/>
      </c>
      <c r="BD434" s="80">
        <f>IF(AND(Y434=1,BC434=""),1,0)</f>
        <v>0</v>
      </c>
      <c r="BE434" s="80">
        <f>IF(AND(BD434=1,AU434=1),1,0)</f>
        <v>0</v>
      </c>
      <c r="BF434" s="80" t="str">
        <f>IF(AND(D434="proMX",BD434=1),IF(R434="","Draft",R434),"")</f>
        <v/>
      </c>
      <c r="BG434" s="80">
        <f>IF(BD434=1,ROUND(AG434/60,6),0)</f>
        <v>0</v>
      </c>
      <c r="BH434" s="80">
        <f>IF(BE434=1,ROUND(AG434/60,6),0)</f>
        <v>0</v>
      </c>
      <c r="BI434" s="80">
        <f>IF(BE434=1,ROUND(AP434/60,6),0)</f>
        <v>0</v>
      </c>
      <c r="BJ434" s="80">
        <f>IF(BE434=1,ROUND(AQ434/60,6),0)</f>
        <v>0</v>
      </c>
      <c r="BK434" s="80">
        <f>IF(BE434=1,ROUND((AR434+AS434)/60,6),0)</f>
        <v>0</v>
      </c>
      <c r="BL434" s="80">
        <f>ROUND(BH434-BK434,6)</f>
        <v>0</v>
      </c>
      <c r="BM434" s="80">
        <f>IF(BE434=1,ROUND(AR434/60,6),0)</f>
        <v>0</v>
      </c>
      <c r="BN434" s="80">
        <f>ROUND(BI434-BM434,6)</f>
        <v>0</v>
      </c>
      <c r="BO434" s="80">
        <f>IF(BE434=1,ROUND(AS434/60,6),0)</f>
        <v>0</v>
      </c>
      <c r="BP434" s="80">
        <f>ROUND(BJ434-BO434,6)</f>
        <v>0</v>
      </c>
      <c r="BQ434" s="80">
        <f>IF(BE434=1,AW434,0)</f>
        <v>0</v>
      </c>
      <c r="BR434" s="80">
        <f>IF(BE434=1,AX434,0)</f>
        <v>0</v>
      </c>
      <c r="BS434" s="80">
        <f>IF(AND(BE434=1,D434="Malcolm",BA434&gt;0),MIN(BH434,SUMPRODUCT((R_Emp="proMX")*(R_EN&gt;0)*((R_EN-(R_EN&gt;BR434)*(R_EN-BR434))&gt;(R_SN+(R_SN&lt;BQ434)*(BQ434-R_SN)))*((R_EN-(R_EN&gt;BR434)*(R_EN-BR434))-(R_SN+(R_SN&lt;BQ434)*(BQ434-R_SN))))/60),0)</f>
        <v>0</v>
      </c>
      <c r="BT434" s="80">
        <f>IF(AND(BE434=1,D434="proMX"),ROUND(BI434*CFG_RATE+BJ434*CFG_OTRATE,6),0)</f>
        <v>0</v>
      </c>
      <c r="BU434" s="80">
        <f>IF(AND(BD434=1,D434="proMX"),ROUND(AG434/CFG_BLK,6),0)</f>
        <v>0</v>
      </c>
      <c r="BV434" s="80" t="str">
        <f>IF(BF434="Approved",IF(ISNUMBER(T434),INT(T434),INT(B434)),"")</f>
        <v/>
      </c>
      <c r="BW434" s="80">
        <f>IF(ISNUMBER(B434),IF(DB_MON="Todos",1,IF(AND(INT(B434)&gt;=DB_MS,INT(B434)&lt;=DB_ME),1,0)),0)</f>
        <v>0</v>
      </c>
      <c r="BX434" s="80">
        <f>IF(DB_PROJ="Todos",1,IF(E434&amp;""=DB_PROJ&amp;"",1,0))</f>
        <v>1</v>
      </c>
      <c r="BY434" s="80">
        <f>BW434*BX434</f>
        <v>0</v>
      </c>
      <c r="BZ434" s="80" t="str">
        <f>IF(Y434=1,F434&amp;IF(AND(F434&amp;""&lt;&gt;"",E434&amp;""&lt;&gt;"")," · ","")&amp;E434,"")</f>
        <v/>
      </c>
      <c r="CA434" s="80" t="str">
        <f>IF(AND(BD434=1,E434&amp;""&lt;&gt;""),IF(COUNTIFS($E$5:E433,E434,$BD$5:BD433,1)=0,MAX($CA$5:CA433)+1,""),"")</f>
        <v/>
      </c>
      <c r="CB434" s="80" t="str">
        <f>IF(AND(BE434=1,D434="Malcolm",E434&amp;""&lt;&gt;""),IF(COUNTIFS($D$5:D433,"Malcolm",$E$5:E433,E434,$BE$5:BE433,1)=0,MAX($CB$5:CB433)+1,""),"")</f>
        <v/>
      </c>
      <c r="CC434" s="80" t="str">
        <f>IF(AND(BD434=1,D434="proMX",E434&amp;""&lt;&gt;""),IF(COUNTIFS($D$5:D433,"proMX",$E$5:E433,E434,$BD$5:BD433,1)=0,MAX($CC$5:CC433)+1,""),"")</f>
        <v/>
      </c>
      <c r="CD434" s="80" t="str">
        <f>IF(AND(BE434=1,D434="Malcolm",F434&amp;""&lt;&gt;""),IF(COUNTIFS($D$5:D433,"Malcolm",$F$5:F433,F434,$BE$5:BE433,1)=0,MAX($CD$5:CD433)+1,""),"")</f>
        <v/>
      </c>
      <c r="CE434" s="80" t="str">
        <f>IF(AND(BD434=1,D434="proMX",F434&amp;""&lt;&gt;""),IF(COUNTIFS($D$5:D433,"proMX",$F$5:F433,F434,$BD$5:BD433,1)=0,MAX($CE$5:CE433)+1,""),"")</f>
        <v/>
      </c>
      <c r="CF434" s="80" t="str">
        <f>IF(AND(D434="proMX",BD434=1),IF(OR(BF434="Draft",BF434="Submitted",BF434="Returned",BF434="Recall Requested"),MAX($CF$5:CF433)+1,""),"")</f>
        <v/>
      </c>
      <c r="CG434" s="80">
        <f>IF(BD434=0,0,IF(D434="Malcolm",1,MATCH(BF434,{"Draft","Submitted","Approved","Returned","Recall Requested","Cancelled"},0)+1))</f>
        <v>0</v>
      </c>
      <c r="CH434" s="80">
        <f>IF(AND(BF434="Submitted",ISNUMBER(V434)),IF(V434&gt;CFG_MAXD,1,0),0)</f>
        <v>0</v>
      </c>
    </row>
    <row r="435">
      <c r="A435" s="71" t="str">
        <f>IF(Y435=1,ROW()-5,"")</f>
        <v/>
      </c>
      <c r="B435" s="72" t="n"/>
      <c r="C435" s="71" t="str">
        <f>IF(ISNUMBER(B435),CHOOSE(WEEKDAY(B435,2),"Lun","Mar","Mié","Jue","Vie","Sáb","Dom"),"")</f>
        <v/>
      </c>
      <c r="D435" s="73" t="n"/>
      <c r="E435" s="74" t="n"/>
      <c r="F435" s="74" t="n"/>
      <c r="G435" s="74" t="n"/>
      <c r="H435" s="75" t="n"/>
      <c r="I435" s="75" t="n"/>
      <c r="J435" s="76" t="n"/>
      <c r="K435" s="77" t="str">
        <f>IF(AB435=1,ROUND(AG435/60,4),"")</f>
        <v/>
      </c>
      <c r="L435" s="77" t="str">
        <f>IF(BD435=1,ROUND(AP435/60,4),"")</f>
        <v/>
      </c>
      <c r="M435" s="77" t="str">
        <f>IF(BD435=1,ROUND(AQ435/60,4),"")</f>
        <v/>
      </c>
      <c r="N435" s="71" t="str">
        <f>IF(AND(D435="proMX",AB435=1),ROUND(AG435/CFG_BLK,2),"")</f>
        <v/>
      </c>
      <c r="O435" s="77" t="str">
        <f>IF(D435="proMX",IF(BD435=1,ROUND(AG435/60,4),0),"")</f>
        <v/>
      </c>
      <c r="P435" s="78" t="str">
        <f>IF(Y435=0,"",IF(BD435=1,"OK",IF(D435="proMX","Revisar bloques: ","Revisar: ")&amp;BC435))</f>
        <v/>
      </c>
      <c r="Q435" s="78" t="str">
        <f>IF(NOT(ISNUMBER(B435)),"",IF(COUNTIFS(FER_F,INT(B435))&gt;0,"Feriado"&amp;IF(AH435=1," (laborable)"," (no laborable)"),IF(AH435=1,"Laborable",IF(WEEKDAY(B435,2)&gt;5,"Fin de semana","No laborable"))))</f>
        <v/>
      </c>
      <c r="R435" s="73" t="n"/>
      <c r="S435" s="72" t="n"/>
      <c r="T435" s="72" t="n"/>
      <c r="U435" s="74" t="n"/>
      <c r="V435" s="79" t="str">
        <f>IF(AND(D435="proMX",OR(R435="Submitted",R435="Recall Requested"),ISNUMBER(S435)),CFG_TODAY-INT(S435),"")</f>
        <v/>
      </c>
      <c r="W435" s="78" t="str">
        <f>IF(BD435=0,"",IF(BA435&gt;0,"⚠ Se superpone con un registro de la otra empresa",IF(D435="Malcolm",IF(COUNTA(R435,S435,T435)&gt;0,"Estado/fechas proMX se ignoran en Malcolm",""),IF(BF435="Cancelled","Cancelado: excluido de totales",IF(R435="","Sin estado: se trata como Draft",IF(BF435="Submitted",IF(ISNUMBER(V435),IF(V435&gt;CFG_MAXD,"⚠ "&amp;V435&amp;" días en Submitted (máx. "&amp;CFG_MAXD&amp;")",""),"Falta fecha de envío"),IF(BF435="Returned","⚠ Devuelto: corregir y reenviar",IF(BF435="Recall Requested","Retirada solicitada: pendiente",IF(AND(BF435="Approved",NOT(ISNUMBER(T435))),"Falta fecha de aprobación",IF(AND(ISNUMBER(S435),ISNUMBER(T435),T435&lt;S435),"Aprobación anterior al envío","")))))))))</f>
        <v/>
      </c>
      <c r="Y435" s="80">
        <f>IF(COUNTA(B435,D435,E435,F435,G435,H435,I435,J435,R435,S435,T435)&gt;0,1,0)</f>
        <v>0</v>
      </c>
      <c r="Z435" s="80" t="str">
        <f>IF(AND(ISNUMBER(H435),H435&gt;=0,H435&lt;1),ROUND(H435*1440,0),"")</f>
        <v/>
      </c>
      <c r="AA435" s="80" t="str">
        <f>IF(AND(ISNUMBER(I435),I435&gt;=0,I435&lt;1),ROUND(I435*1440,0),"")</f>
        <v/>
      </c>
      <c r="AB435" s="80">
        <f>IF(AND(ISNUMBER(B435),D435&lt;&gt;"",ISNUMBER(Z435),ISNUMBER(AA435)),IF(Z435=AA435,0,1),0)</f>
        <v>0</v>
      </c>
      <c r="AC435" s="80">
        <f>IF(AB435=1,IF(AA435&lt;Z435,1,0),0)</f>
        <v>0</v>
      </c>
      <c r="AD435" s="80">
        <f>IF(AB435=1,IF(AC435=1,1440-Z435+AA435,AA435-Z435),0)</f>
        <v>0</v>
      </c>
      <c r="AE435" s="80">
        <f>IF(J435="",0,IF(ISNUMBER(J435),J435,-1))</f>
        <v>0</v>
      </c>
      <c r="AF435" s="80">
        <f>MIN(MAX(0,AE435),AD435)</f>
        <v>0</v>
      </c>
      <c r="AG435" s="80">
        <f>MAX(0,AD435-MAX(0,AE435))</f>
        <v>0</v>
      </c>
      <c r="AH435" s="80">
        <f>IF(ISNUMBER(B435),IF(AND(INDEX(CFG_WDAYS,WEEKDAY(INT(B435),2))="Sí",IF(D435="proMX",COUNTIFS(FER_F,INT(B435),FER_NLP,"Sí"),COUNTIFS(FER_F,INT(B435),FER_NLM,"Sí"))=0),1,0),0)</f>
        <v>0</v>
      </c>
      <c r="AI435" s="80">
        <f>IF(AC435=1,IF(AND(INDEX(CFG_WDAYS,WEEKDAY(INT(B435)+1,2))="Sí",IF(D435="proMX",COUNTIFS(FER_F,INT(B435)+1,FER_NLP,"Sí"),COUNTIFS(FER_F,INT(B435)+1,FER_NLM,"Sí"))=0),1,0),0)</f>
        <v>0</v>
      </c>
      <c r="AJ435" s="80">
        <f>IF(AC435=1,1440-Z435,AD435)</f>
        <v>0</v>
      </c>
      <c r="AK435" s="80">
        <f>IF(AND(AB435=1,AH435=1),MAX(0,MIN(IF(AC435=1,1440,AA435),CFG_WEM)-MAX(Z435,CFG_WSM)),0)</f>
        <v>0</v>
      </c>
      <c r="AL435" s="80">
        <f>IF(AND(AC435=1,AI435=1),MAX(0,MIN(AA435,CFG_WEM)-CFG_WSM),0)</f>
        <v>0</v>
      </c>
      <c r="AM435" s="80">
        <f>AK435+AL435</f>
        <v>0</v>
      </c>
      <c r="AN435" s="80">
        <f>IF(CFG_BRK="Proporcional",IF(AD435=0,0,AF435*AM435/AD435),IF(CFG_BRK="Extras primero",MIN(AM435,MAX(0,AF435-(AD435-AM435))),MIN(AF435,AM435)))</f>
        <v>0</v>
      </c>
      <c r="AO435" s="80">
        <f>AF435-AN435</f>
        <v>0</v>
      </c>
      <c r="AP435" s="80">
        <f>AM435-AN435</f>
        <v>0</v>
      </c>
      <c r="AQ435" s="80">
        <f>AD435-AM435-AO435</f>
        <v>0</v>
      </c>
      <c r="AR435" s="80">
        <f>IF(AM435=0,0,AK435-AN435*AK435/AM435)</f>
        <v>0</v>
      </c>
      <c r="AS435" s="80">
        <f>IF(AD435-AM435=0,0,(AJ435-AK435)-AO435*(AJ435-AK435)/(AD435-AM435))</f>
        <v>0</v>
      </c>
      <c r="AT435" s="80" t="str">
        <f>IF(AC435=1,INT(B435)+1,"")</f>
        <v/>
      </c>
      <c r="AU435" s="80">
        <f>IF(AND(D435="proMX",R435="Cancelled"),0,1)</f>
        <v>1</v>
      </c>
      <c r="AV435" s="80">
        <f>IF(AND(AB435=1,AU435=1),IF(COUNTIFS($D$5:D434,D435,$B$5:B434,B435,$Z$5:Z434,Z435,$AA$5:AA434,AA435,$F$5:F434,F435&amp;"",$AU$5:AU434,1)&gt;0,1,0),0)</f>
        <v>0</v>
      </c>
      <c r="AW435" s="80" t="str">
        <f>IF(AB435=1,INT(B435)*1440+Z435,"")</f>
        <v/>
      </c>
      <c r="AX435" s="80" t="str">
        <f>IF(AB435=1,AW435+AD435,"")</f>
        <v/>
      </c>
      <c r="AY435" s="80">
        <f>IF(AND(AB435=1,AV435=0,AU435=1),1,0)</f>
        <v>0</v>
      </c>
      <c r="AZ435" s="80">
        <f>IF(AY435=1,COUNTIFS(R_Emp,D435,R_SAbs,"&lt;"&amp;AX435,R_EAbs,"&gt;"&amp;AW435,R_OKey,1)-1,0)</f>
        <v>0</v>
      </c>
      <c r="BA435" s="80">
        <f>IF(AY435=1,COUNTIFS(R_Emp,"&lt;&gt;"&amp;D435,R_SAbs,"&lt;"&amp;AX435,R_EAbs,"&gt;"&amp;AW435,R_OKey,1),0)</f>
        <v>0</v>
      </c>
      <c r="BB435" s="80">
        <f>IF(AND(AB435=1,D435="proMX"),IF(AND(MOD(Z435,CFG_BLK)=0,MOD(AA435,CFG_BLK)=0,MOD(AG435,CFG_BLK)=0,AG435&gt;0),1,0),1)</f>
        <v>1</v>
      </c>
      <c r="BC435" s="80" t="str">
        <f>IF(Y435=0,"",IF(NOT(ISNUMBER(B435)),"Falta fecha o fecha inválida",IF(D435="","Falta empresa",IF(AND(D435&lt;&gt;"Malcolm",D435&lt;&gt;"proMX"),"Empresa inválida",IF(OR(INT(B435)&lt;CFG_PSTART,INT(B435)&gt;CFG_PEND),"Fecha fuera del período",IF(OR(NOT(ISNUMBER(Z435)),NOT(ISNUMBER(AA435))),"Falta hora inicio/fin o formato inválido",IF(AB435=0,"Hora inicio = hora fin",IF(AE435&lt;0,"Descanso inválido",IF(AE435&gt;=AD435,"Descanso ≥ duración",IF(AV435=1,"Registro duplicado",IF(AZ435&gt;0,"Se superpone con otro registro "&amp;D435,IF(BB435=0,"inicio, fin y duración neta deben ser múltiplos de "&amp;CFG_BLK&amp;" min",""))))))))))))</f>
        <v/>
      </c>
      <c r="BD435" s="80">
        <f>IF(AND(Y435=1,BC435=""),1,0)</f>
        <v>0</v>
      </c>
      <c r="BE435" s="80">
        <f>IF(AND(BD435=1,AU435=1),1,0)</f>
        <v>0</v>
      </c>
      <c r="BF435" s="80" t="str">
        <f>IF(AND(D435="proMX",BD435=1),IF(R435="","Draft",R435),"")</f>
        <v/>
      </c>
      <c r="BG435" s="80">
        <f>IF(BD435=1,ROUND(AG435/60,6),0)</f>
        <v>0</v>
      </c>
      <c r="BH435" s="80">
        <f>IF(BE435=1,ROUND(AG435/60,6),0)</f>
        <v>0</v>
      </c>
      <c r="BI435" s="80">
        <f>IF(BE435=1,ROUND(AP435/60,6),0)</f>
        <v>0</v>
      </c>
      <c r="BJ435" s="80">
        <f>IF(BE435=1,ROUND(AQ435/60,6),0)</f>
        <v>0</v>
      </c>
      <c r="BK435" s="80">
        <f>IF(BE435=1,ROUND((AR435+AS435)/60,6),0)</f>
        <v>0</v>
      </c>
      <c r="BL435" s="80">
        <f>ROUND(BH435-BK435,6)</f>
        <v>0</v>
      </c>
      <c r="BM435" s="80">
        <f>IF(BE435=1,ROUND(AR435/60,6),0)</f>
        <v>0</v>
      </c>
      <c r="BN435" s="80">
        <f>ROUND(BI435-BM435,6)</f>
        <v>0</v>
      </c>
      <c r="BO435" s="80">
        <f>IF(BE435=1,ROUND(AS435/60,6),0)</f>
        <v>0</v>
      </c>
      <c r="BP435" s="80">
        <f>ROUND(BJ435-BO435,6)</f>
        <v>0</v>
      </c>
      <c r="BQ435" s="80">
        <f>IF(BE435=1,AW435,0)</f>
        <v>0</v>
      </c>
      <c r="BR435" s="80">
        <f>IF(BE435=1,AX435,0)</f>
        <v>0</v>
      </c>
      <c r="BS435" s="80">
        <f>IF(AND(BE435=1,D435="Malcolm",BA435&gt;0),MIN(BH435,SUMPRODUCT((R_Emp="proMX")*(R_EN&gt;0)*((R_EN-(R_EN&gt;BR435)*(R_EN-BR435))&gt;(R_SN+(R_SN&lt;BQ435)*(BQ435-R_SN)))*((R_EN-(R_EN&gt;BR435)*(R_EN-BR435))-(R_SN+(R_SN&lt;BQ435)*(BQ435-R_SN))))/60),0)</f>
        <v>0</v>
      </c>
      <c r="BT435" s="80">
        <f>IF(AND(BE435=1,D435="proMX"),ROUND(BI435*CFG_RATE+BJ435*CFG_OTRATE,6),0)</f>
        <v>0</v>
      </c>
      <c r="BU435" s="80">
        <f>IF(AND(BD435=1,D435="proMX"),ROUND(AG435/CFG_BLK,6),0)</f>
        <v>0</v>
      </c>
      <c r="BV435" s="80" t="str">
        <f>IF(BF435="Approved",IF(ISNUMBER(T435),INT(T435),INT(B435)),"")</f>
        <v/>
      </c>
      <c r="BW435" s="80">
        <f>IF(ISNUMBER(B435),IF(DB_MON="Todos",1,IF(AND(INT(B435)&gt;=DB_MS,INT(B435)&lt;=DB_ME),1,0)),0)</f>
        <v>0</v>
      </c>
      <c r="BX435" s="80">
        <f>IF(DB_PROJ="Todos",1,IF(E435&amp;""=DB_PROJ&amp;"",1,0))</f>
        <v>1</v>
      </c>
      <c r="BY435" s="80">
        <f>BW435*BX435</f>
        <v>0</v>
      </c>
      <c r="BZ435" s="80" t="str">
        <f>IF(Y435=1,F435&amp;IF(AND(F435&amp;""&lt;&gt;"",E435&amp;""&lt;&gt;"")," · ","")&amp;E435,"")</f>
        <v/>
      </c>
      <c r="CA435" s="80" t="str">
        <f>IF(AND(BD435=1,E435&amp;""&lt;&gt;""),IF(COUNTIFS($E$5:E434,E435,$BD$5:BD434,1)=0,MAX($CA$5:CA434)+1,""),"")</f>
        <v/>
      </c>
      <c r="CB435" s="80" t="str">
        <f>IF(AND(BE435=1,D435="Malcolm",E435&amp;""&lt;&gt;""),IF(COUNTIFS($D$5:D434,"Malcolm",$E$5:E434,E435,$BE$5:BE434,1)=0,MAX($CB$5:CB434)+1,""),"")</f>
        <v/>
      </c>
      <c r="CC435" s="80" t="str">
        <f>IF(AND(BD435=1,D435="proMX",E435&amp;""&lt;&gt;""),IF(COUNTIFS($D$5:D434,"proMX",$E$5:E434,E435,$BD$5:BD434,1)=0,MAX($CC$5:CC434)+1,""),"")</f>
        <v/>
      </c>
      <c r="CD435" s="80" t="str">
        <f>IF(AND(BE435=1,D435="Malcolm",F435&amp;""&lt;&gt;""),IF(COUNTIFS($D$5:D434,"Malcolm",$F$5:F434,F435,$BE$5:BE434,1)=0,MAX($CD$5:CD434)+1,""),"")</f>
        <v/>
      </c>
      <c r="CE435" s="80" t="str">
        <f>IF(AND(BD435=1,D435="proMX",F435&amp;""&lt;&gt;""),IF(COUNTIFS($D$5:D434,"proMX",$F$5:F434,F435,$BD$5:BD434,1)=0,MAX($CE$5:CE434)+1,""),"")</f>
        <v/>
      </c>
      <c r="CF435" s="80" t="str">
        <f>IF(AND(D435="proMX",BD435=1),IF(OR(BF435="Draft",BF435="Submitted",BF435="Returned",BF435="Recall Requested"),MAX($CF$5:CF434)+1,""),"")</f>
        <v/>
      </c>
      <c r="CG435" s="80">
        <f>IF(BD435=0,0,IF(D435="Malcolm",1,MATCH(BF435,{"Draft","Submitted","Approved","Returned","Recall Requested","Cancelled"},0)+1))</f>
        <v>0</v>
      </c>
      <c r="CH435" s="80">
        <f>IF(AND(BF435="Submitted",ISNUMBER(V435)),IF(V435&gt;CFG_MAXD,1,0),0)</f>
        <v>0</v>
      </c>
    </row>
    <row r="436">
      <c r="A436" s="71" t="str">
        <f>IF(Y436=1,ROW()-5,"")</f>
        <v/>
      </c>
      <c r="B436" s="72" t="n"/>
      <c r="C436" s="71" t="str">
        <f>IF(ISNUMBER(B436),CHOOSE(WEEKDAY(B436,2),"Lun","Mar","Mié","Jue","Vie","Sáb","Dom"),"")</f>
        <v/>
      </c>
      <c r="D436" s="73" t="n"/>
      <c r="E436" s="74" t="n"/>
      <c r="F436" s="74" t="n"/>
      <c r="G436" s="74" t="n"/>
      <c r="H436" s="75" t="n"/>
      <c r="I436" s="75" t="n"/>
      <c r="J436" s="76" t="n"/>
      <c r="K436" s="77" t="str">
        <f>IF(AB436=1,ROUND(AG436/60,4),"")</f>
        <v/>
      </c>
      <c r="L436" s="77" t="str">
        <f>IF(BD436=1,ROUND(AP436/60,4),"")</f>
        <v/>
      </c>
      <c r="M436" s="77" t="str">
        <f>IF(BD436=1,ROUND(AQ436/60,4),"")</f>
        <v/>
      </c>
      <c r="N436" s="71" t="str">
        <f>IF(AND(D436="proMX",AB436=1),ROUND(AG436/CFG_BLK,2),"")</f>
        <v/>
      </c>
      <c r="O436" s="77" t="str">
        <f>IF(D436="proMX",IF(BD436=1,ROUND(AG436/60,4),0),"")</f>
        <v/>
      </c>
      <c r="P436" s="78" t="str">
        <f>IF(Y436=0,"",IF(BD436=1,"OK",IF(D436="proMX","Revisar bloques: ","Revisar: ")&amp;BC436))</f>
        <v/>
      </c>
      <c r="Q436" s="78" t="str">
        <f>IF(NOT(ISNUMBER(B436)),"",IF(COUNTIFS(FER_F,INT(B436))&gt;0,"Feriado"&amp;IF(AH436=1," (laborable)"," (no laborable)"),IF(AH436=1,"Laborable",IF(WEEKDAY(B436,2)&gt;5,"Fin de semana","No laborable"))))</f>
        <v/>
      </c>
      <c r="R436" s="73" t="n"/>
      <c r="S436" s="72" t="n"/>
      <c r="T436" s="72" t="n"/>
      <c r="U436" s="74" t="n"/>
      <c r="V436" s="79" t="str">
        <f>IF(AND(D436="proMX",OR(R436="Submitted",R436="Recall Requested"),ISNUMBER(S436)),CFG_TODAY-INT(S436),"")</f>
        <v/>
      </c>
      <c r="W436" s="78" t="str">
        <f>IF(BD436=0,"",IF(BA436&gt;0,"⚠ Se superpone con un registro de la otra empresa",IF(D436="Malcolm",IF(COUNTA(R436,S436,T436)&gt;0,"Estado/fechas proMX se ignoran en Malcolm",""),IF(BF436="Cancelled","Cancelado: excluido de totales",IF(R436="","Sin estado: se trata como Draft",IF(BF436="Submitted",IF(ISNUMBER(V436),IF(V436&gt;CFG_MAXD,"⚠ "&amp;V436&amp;" días en Submitted (máx. "&amp;CFG_MAXD&amp;")",""),"Falta fecha de envío"),IF(BF436="Returned","⚠ Devuelto: corregir y reenviar",IF(BF436="Recall Requested","Retirada solicitada: pendiente",IF(AND(BF436="Approved",NOT(ISNUMBER(T436))),"Falta fecha de aprobación",IF(AND(ISNUMBER(S436),ISNUMBER(T436),T436&lt;S436),"Aprobación anterior al envío","")))))))))</f>
        <v/>
      </c>
      <c r="Y436" s="80">
        <f>IF(COUNTA(B436,D436,E436,F436,G436,H436,I436,J436,R436,S436,T436)&gt;0,1,0)</f>
        <v>0</v>
      </c>
      <c r="Z436" s="80" t="str">
        <f>IF(AND(ISNUMBER(H436),H436&gt;=0,H436&lt;1),ROUND(H436*1440,0),"")</f>
        <v/>
      </c>
      <c r="AA436" s="80" t="str">
        <f>IF(AND(ISNUMBER(I436),I436&gt;=0,I436&lt;1),ROUND(I436*1440,0),"")</f>
        <v/>
      </c>
      <c r="AB436" s="80">
        <f>IF(AND(ISNUMBER(B436),D436&lt;&gt;"",ISNUMBER(Z436),ISNUMBER(AA436)),IF(Z436=AA436,0,1),0)</f>
        <v>0</v>
      </c>
      <c r="AC436" s="80">
        <f>IF(AB436=1,IF(AA436&lt;Z436,1,0),0)</f>
        <v>0</v>
      </c>
      <c r="AD436" s="80">
        <f>IF(AB436=1,IF(AC436=1,1440-Z436+AA436,AA436-Z436),0)</f>
        <v>0</v>
      </c>
      <c r="AE436" s="80">
        <f>IF(J436="",0,IF(ISNUMBER(J436),J436,-1))</f>
        <v>0</v>
      </c>
      <c r="AF436" s="80">
        <f>MIN(MAX(0,AE436),AD436)</f>
        <v>0</v>
      </c>
      <c r="AG436" s="80">
        <f>MAX(0,AD436-MAX(0,AE436))</f>
        <v>0</v>
      </c>
      <c r="AH436" s="80">
        <f>IF(ISNUMBER(B436),IF(AND(INDEX(CFG_WDAYS,WEEKDAY(INT(B436),2))="Sí",IF(D436="proMX",COUNTIFS(FER_F,INT(B436),FER_NLP,"Sí"),COUNTIFS(FER_F,INT(B436),FER_NLM,"Sí"))=0),1,0),0)</f>
        <v>0</v>
      </c>
      <c r="AI436" s="80">
        <f>IF(AC436=1,IF(AND(INDEX(CFG_WDAYS,WEEKDAY(INT(B436)+1,2))="Sí",IF(D436="proMX",COUNTIFS(FER_F,INT(B436)+1,FER_NLP,"Sí"),COUNTIFS(FER_F,INT(B436)+1,FER_NLM,"Sí"))=0),1,0),0)</f>
        <v>0</v>
      </c>
      <c r="AJ436" s="80">
        <f>IF(AC436=1,1440-Z436,AD436)</f>
        <v>0</v>
      </c>
      <c r="AK436" s="80">
        <f>IF(AND(AB436=1,AH436=1),MAX(0,MIN(IF(AC436=1,1440,AA436),CFG_WEM)-MAX(Z436,CFG_WSM)),0)</f>
        <v>0</v>
      </c>
      <c r="AL436" s="80">
        <f>IF(AND(AC436=1,AI436=1),MAX(0,MIN(AA436,CFG_WEM)-CFG_WSM),0)</f>
        <v>0</v>
      </c>
      <c r="AM436" s="80">
        <f>AK436+AL436</f>
        <v>0</v>
      </c>
      <c r="AN436" s="80">
        <f>IF(CFG_BRK="Proporcional",IF(AD436=0,0,AF436*AM436/AD436),IF(CFG_BRK="Extras primero",MIN(AM436,MAX(0,AF436-(AD436-AM436))),MIN(AF436,AM436)))</f>
        <v>0</v>
      </c>
      <c r="AO436" s="80">
        <f>AF436-AN436</f>
        <v>0</v>
      </c>
      <c r="AP436" s="80">
        <f>AM436-AN436</f>
        <v>0</v>
      </c>
      <c r="AQ436" s="80">
        <f>AD436-AM436-AO436</f>
        <v>0</v>
      </c>
      <c r="AR436" s="80">
        <f>IF(AM436=0,0,AK436-AN436*AK436/AM436)</f>
        <v>0</v>
      </c>
      <c r="AS436" s="80">
        <f>IF(AD436-AM436=0,0,(AJ436-AK436)-AO436*(AJ436-AK436)/(AD436-AM436))</f>
        <v>0</v>
      </c>
      <c r="AT436" s="80" t="str">
        <f>IF(AC436=1,INT(B436)+1,"")</f>
        <v/>
      </c>
      <c r="AU436" s="80">
        <f>IF(AND(D436="proMX",R436="Cancelled"),0,1)</f>
        <v>1</v>
      </c>
      <c r="AV436" s="80">
        <f>IF(AND(AB436=1,AU436=1),IF(COUNTIFS($D$5:D435,D436,$B$5:B435,B436,$Z$5:Z435,Z436,$AA$5:AA435,AA436,$F$5:F435,F436&amp;"",$AU$5:AU435,1)&gt;0,1,0),0)</f>
        <v>0</v>
      </c>
      <c r="AW436" s="80" t="str">
        <f>IF(AB436=1,INT(B436)*1440+Z436,"")</f>
        <v/>
      </c>
      <c r="AX436" s="80" t="str">
        <f>IF(AB436=1,AW436+AD436,"")</f>
        <v/>
      </c>
      <c r="AY436" s="80">
        <f>IF(AND(AB436=1,AV436=0,AU436=1),1,0)</f>
        <v>0</v>
      </c>
      <c r="AZ436" s="80">
        <f>IF(AY436=1,COUNTIFS(R_Emp,D436,R_SAbs,"&lt;"&amp;AX436,R_EAbs,"&gt;"&amp;AW436,R_OKey,1)-1,0)</f>
        <v>0</v>
      </c>
      <c r="BA436" s="80">
        <f>IF(AY436=1,COUNTIFS(R_Emp,"&lt;&gt;"&amp;D436,R_SAbs,"&lt;"&amp;AX436,R_EAbs,"&gt;"&amp;AW436,R_OKey,1),0)</f>
        <v>0</v>
      </c>
      <c r="BB436" s="80">
        <f>IF(AND(AB436=1,D436="proMX"),IF(AND(MOD(Z436,CFG_BLK)=0,MOD(AA436,CFG_BLK)=0,MOD(AG436,CFG_BLK)=0,AG436&gt;0),1,0),1)</f>
        <v>1</v>
      </c>
      <c r="BC436" s="80" t="str">
        <f>IF(Y436=0,"",IF(NOT(ISNUMBER(B436)),"Falta fecha o fecha inválida",IF(D436="","Falta empresa",IF(AND(D436&lt;&gt;"Malcolm",D436&lt;&gt;"proMX"),"Empresa inválida",IF(OR(INT(B436)&lt;CFG_PSTART,INT(B436)&gt;CFG_PEND),"Fecha fuera del período",IF(OR(NOT(ISNUMBER(Z436)),NOT(ISNUMBER(AA436))),"Falta hora inicio/fin o formato inválido",IF(AB436=0,"Hora inicio = hora fin",IF(AE436&lt;0,"Descanso inválido",IF(AE436&gt;=AD436,"Descanso ≥ duración",IF(AV436=1,"Registro duplicado",IF(AZ436&gt;0,"Se superpone con otro registro "&amp;D436,IF(BB436=0,"inicio, fin y duración neta deben ser múltiplos de "&amp;CFG_BLK&amp;" min",""))))))))))))</f>
        <v/>
      </c>
      <c r="BD436" s="80">
        <f>IF(AND(Y436=1,BC436=""),1,0)</f>
        <v>0</v>
      </c>
      <c r="BE436" s="80">
        <f>IF(AND(BD436=1,AU436=1),1,0)</f>
        <v>0</v>
      </c>
      <c r="BF436" s="80" t="str">
        <f>IF(AND(D436="proMX",BD436=1),IF(R436="","Draft",R436),"")</f>
        <v/>
      </c>
      <c r="BG436" s="80">
        <f>IF(BD436=1,ROUND(AG436/60,6),0)</f>
        <v>0</v>
      </c>
      <c r="BH436" s="80">
        <f>IF(BE436=1,ROUND(AG436/60,6),0)</f>
        <v>0</v>
      </c>
      <c r="BI436" s="80">
        <f>IF(BE436=1,ROUND(AP436/60,6),0)</f>
        <v>0</v>
      </c>
      <c r="BJ436" s="80">
        <f>IF(BE436=1,ROUND(AQ436/60,6),0)</f>
        <v>0</v>
      </c>
      <c r="BK436" s="80">
        <f>IF(BE436=1,ROUND((AR436+AS436)/60,6),0)</f>
        <v>0</v>
      </c>
      <c r="BL436" s="80">
        <f>ROUND(BH436-BK436,6)</f>
        <v>0</v>
      </c>
      <c r="BM436" s="80">
        <f>IF(BE436=1,ROUND(AR436/60,6),0)</f>
        <v>0</v>
      </c>
      <c r="BN436" s="80">
        <f>ROUND(BI436-BM436,6)</f>
        <v>0</v>
      </c>
      <c r="BO436" s="80">
        <f>IF(BE436=1,ROUND(AS436/60,6),0)</f>
        <v>0</v>
      </c>
      <c r="BP436" s="80">
        <f>ROUND(BJ436-BO436,6)</f>
        <v>0</v>
      </c>
      <c r="BQ436" s="80">
        <f>IF(BE436=1,AW436,0)</f>
        <v>0</v>
      </c>
      <c r="BR436" s="80">
        <f>IF(BE436=1,AX436,0)</f>
        <v>0</v>
      </c>
      <c r="BS436" s="80">
        <f>IF(AND(BE436=1,D436="Malcolm",BA436&gt;0),MIN(BH436,SUMPRODUCT((R_Emp="proMX")*(R_EN&gt;0)*((R_EN-(R_EN&gt;BR436)*(R_EN-BR436))&gt;(R_SN+(R_SN&lt;BQ436)*(BQ436-R_SN)))*((R_EN-(R_EN&gt;BR436)*(R_EN-BR436))-(R_SN+(R_SN&lt;BQ436)*(BQ436-R_SN))))/60),0)</f>
        <v>0</v>
      </c>
      <c r="BT436" s="80">
        <f>IF(AND(BE436=1,D436="proMX"),ROUND(BI436*CFG_RATE+BJ436*CFG_OTRATE,6),0)</f>
        <v>0</v>
      </c>
      <c r="BU436" s="80">
        <f>IF(AND(BD436=1,D436="proMX"),ROUND(AG436/CFG_BLK,6),0)</f>
        <v>0</v>
      </c>
      <c r="BV436" s="80" t="str">
        <f>IF(BF436="Approved",IF(ISNUMBER(T436),INT(T436),INT(B436)),"")</f>
        <v/>
      </c>
      <c r="BW436" s="80">
        <f>IF(ISNUMBER(B436),IF(DB_MON="Todos",1,IF(AND(INT(B436)&gt;=DB_MS,INT(B436)&lt;=DB_ME),1,0)),0)</f>
        <v>0</v>
      </c>
      <c r="BX436" s="80">
        <f>IF(DB_PROJ="Todos",1,IF(E436&amp;""=DB_PROJ&amp;"",1,0))</f>
        <v>1</v>
      </c>
      <c r="BY436" s="80">
        <f>BW436*BX436</f>
        <v>0</v>
      </c>
      <c r="BZ436" s="80" t="str">
        <f>IF(Y436=1,F436&amp;IF(AND(F436&amp;""&lt;&gt;"",E436&amp;""&lt;&gt;"")," · ","")&amp;E436,"")</f>
        <v/>
      </c>
      <c r="CA436" s="80" t="str">
        <f>IF(AND(BD436=1,E436&amp;""&lt;&gt;""),IF(COUNTIFS($E$5:E435,E436,$BD$5:BD435,1)=0,MAX($CA$5:CA435)+1,""),"")</f>
        <v/>
      </c>
      <c r="CB436" s="80" t="str">
        <f>IF(AND(BE436=1,D436="Malcolm",E436&amp;""&lt;&gt;""),IF(COUNTIFS($D$5:D435,"Malcolm",$E$5:E435,E436,$BE$5:BE435,1)=0,MAX($CB$5:CB435)+1,""),"")</f>
        <v/>
      </c>
      <c r="CC436" s="80" t="str">
        <f>IF(AND(BD436=1,D436="proMX",E436&amp;""&lt;&gt;""),IF(COUNTIFS($D$5:D435,"proMX",$E$5:E435,E436,$BD$5:BD435,1)=0,MAX($CC$5:CC435)+1,""),"")</f>
        <v/>
      </c>
      <c r="CD436" s="80" t="str">
        <f>IF(AND(BE436=1,D436="Malcolm",F436&amp;""&lt;&gt;""),IF(COUNTIFS($D$5:D435,"Malcolm",$F$5:F435,F436,$BE$5:BE435,1)=0,MAX($CD$5:CD435)+1,""),"")</f>
        <v/>
      </c>
      <c r="CE436" s="80" t="str">
        <f>IF(AND(BD436=1,D436="proMX",F436&amp;""&lt;&gt;""),IF(COUNTIFS($D$5:D435,"proMX",$F$5:F435,F436,$BD$5:BD435,1)=0,MAX($CE$5:CE435)+1,""),"")</f>
        <v/>
      </c>
      <c r="CF436" s="80" t="str">
        <f>IF(AND(D436="proMX",BD436=1),IF(OR(BF436="Draft",BF436="Submitted",BF436="Returned",BF436="Recall Requested"),MAX($CF$5:CF435)+1,""),"")</f>
        <v/>
      </c>
      <c r="CG436" s="80">
        <f>IF(BD436=0,0,IF(D436="Malcolm",1,MATCH(BF436,{"Draft","Submitted","Approved","Returned","Recall Requested","Cancelled"},0)+1))</f>
        <v>0</v>
      </c>
      <c r="CH436" s="80">
        <f>IF(AND(BF436="Submitted",ISNUMBER(V436)),IF(V436&gt;CFG_MAXD,1,0),0)</f>
        <v>0</v>
      </c>
    </row>
    <row r="437">
      <c r="A437" s="71" t="str">
        <f>IF(Y437=1,ROW()-5,"")</f>
        <v/>
      </c>
      <c r="B437" s="72" t="n"/>
      <c r="C437" s="71" t="str">
        <f>IF(ISNUMBER(B437),CHOOSE(WEEKDAY(B437,2),"Lun","Mar","Mié","Jue","Vie","Sáb","Dom"),"")</f>
        <v/>
      </c>
      <c r="D437" s="73" t="n"/>
      <c r="E437" s="74" t="n"/>
      <c r="F437" s="74" t="n"/>
      <c r="G437" s="74" t="n"/>
      <c r="H437" s="75" t="n"/>
      <c r="I437" s="75" t="n"/>
      <c r="J437" s="76" t="n"/>
      <c r="K437" s="77" t="str">
        <f>IF(AB437=1,ROUND(AG437/60,4),"")</f>
        <v/>
      </c>
      <c r="L437" s="77" t="str">
        <f>IF(BD437=1,ROUND(AP437/60,4),"")</f>
        <v/>
      </c>
      <c r="M437" s="77" t="str">
        <f>IF(BD437=1,ROUND(AQ437/60,4),"")</f>
        <v/>
      </c>
      <c r="N437" s="71" t="str">
        <f>IF(AND(D437="proMX",AB437=1),ROUND(AG437/CFG_BLK,2),"")</f>
        <v/>
      </c>
      <c r="O437" s="77" t="str">
        <f>IF(D437="proMX",IF(BD437=1,ROUND(AG437/60,4),0),"")</f>
        <v/>
      </c>
      <c r="P437" s="78" t="str">
        <f>IF(Y437=0,"",IF(BD437=1,"OK",IF(D437="proMX","Revisar bloques: ","Revisar: ")&amp;BC437))</f>
        <v/>
      </c>
      <c r="Q437" s="78" t="str">
        <f>IF(NOT(ISNUMBER(B437)),"",IF(COUNTIFS(FER_F,INT(B437))&gt;0,"Feriado"&amp;IF(AH437=1," (laborable)"," (no laborable)"),IF(AH437=1,"Laborable",IF(WEEKDAY(B437,2)&gt;5,"Fin de semana","No laborable"))))</f>
        <v/>
      </c>
      <c r="R437" s="73" t="n"/>
      <c r="S437" s="72" t="n"/>
      <c r="T437" s="72" t="n"/>
      <c r="U437" s="74" t="n"/>
      <c r="V437" s="79" t="str">
        <f>IF(AND(D437="proMX",OR(R437="Submitted",R437="Recall Requested"),ISNUMBER(S437)),CFG_TODAY-INT(S437),"")</f>
        <v/>
      </c>
      <c r="W437" s="78" t="str">
        <f>IF(BD437=0,"",IF(BA437&gt;0,"⚠ Se superpone con un registro de la otra empresa",IF(D437="Malcolm",IF(COUNTA(R437,S437,T437)&gt;0,"Estado/fechas proMX se ignoran en Malcolm",""),IF(BF437="Cancelled","Cancelado: excluido de totales",IF(R437="","Sin estado: se trata como Draft",IF(BF437="Submitted",IF(ISNUMBER(V437),IF(V437&gt;CFG_MAXD,"⚠ "&amp;V437&amp;" días en Submitted (máx. "&amp;CFG_MAXD&amp;")",""),"Falta fecha de envío"),IF(BF437="Returned","⚠ Devuelto: corregir y reenviar",IF(BF437="Recall Requested","Retirada solicitada: pendiente",IF(AND(BF437="Approved",NOT(ISNUMBER(T437))),"Falta fecha de aprobación",IF(AND(ISNUMBER(S437),ISNUMBER(T437),T437&lt;S437),"Aprobación anterior al envío","")))))))))</f>
        <v/>
      </c>
      <c r="Y437" s="80">
        <f>IF(COUNTA(B437,D437,E437,F437,G437,H437,I437,J437,R437,S437,T437)&gt;0,1,0)</f>
        <v>0</v>
      </c>
      <c r="Z437" s="80" t="str">
        <f>IF(AND(ISNUMBER(H437),H437&gt;=0,H437&lt;1),ROUND(H437*1440,0),"")</f>
        <v/>
      </c>
      <c r="AA437" s="80" t="str">
        <f>IF(AND(ISNUMBER(I437),I437&gt;=0,I437&lt;1),ROUND(I437*1440,0),"")</f>
        <v/>
      </c>
      <c r="AB437" s="80">
        <f>IF(AND(ISNUMBER(B437),D437&lt;&gt;"",ISNUMBER(Z437),ISNUMBER(AA437)),IF(Z437=AA437,0,1),0)</f>
        <v>0</v>
      </c>
      <c r="AC437" s="80">
        <f>IF(AB437=1,IF(AA437&lt;Z437,1,0),0)</f>
        <v>0</v>
      </c>
      <c r="AD437" s="80">
        <f>IF(AB437=1,IF(AC437=1,1440-Z437+AA437,AA437-Z437),0)</f>
        <v>0</v>
      </c>
      <c r="AE437" s="80">
        <f>IF(J437="",0,IF(ISNUMBER(J437),J437,-1))</f>
        <v>0</v>
      </c>
      <c r="AF437" s="80">
        <f>MIN(MAX(0,AE437),AD437)</f>
        <v>0</v>
      </c>
      <c r="AG437" s="80">
        <f>MAX(0,AD437-MAX(0,AE437))</f>
        <v>0</v>
      </c>
      <c r="AH437" s="80">
        <f>IF(ISNUMBER(B437),IF(AND(INDEX(CFG_WDAYS,WEEKDAY(INT(B437),2))="Sí",IF(D437="proMX",COUNTIFS(FER_F,INT(B437),FER_NLP,"Sí"),COUNTIFS(FER_F,INT(B437),FER_NLM,"Sí"))=0),1,0),0)</f>
        <v>0</v>
      </c>
      <c r="AI437" s="80">
        <f>IF(AC437=1,IF(AND(INDEX(CFG_WDAYS,WEEKDAY(INT(B437)+1,2))="Sí",IF(D437="proMX",COUNTIFS(FER_F,INT(B437)+1,FER_NLP,"Sí"),COUNTIFS(FER_F,INT(B437)+1,FER_NLM,"Sí"))=0),1,0),0)</f>
        <v>0</v>
      </c>
      <c r="AJ437" s="80">
        <f>IF(AC437=1,1440-Z437,AD437)</f>
        <v>0</v>
      </c>
      <c r="AK437" s="80">
        <f>IF(AND(AB437=1,AH437=1),MAX(0,MIN(IF(AC437=1,1440,AA437),CFG_WEM)-MAX(Z437,CFG_WSM)),0)</f>
        <v>0</v>
      </c>
      <c r="AL437" s="80">
        <f>IF(AND(AC437=1,AI437=1),MAX(0,MIN(AA437,CFG_WEM)-CFG_WSM),0)</f>
        <v>0</v>
      </c>
      <c r="AM437" s="80">
        <f>AK437+AL437</f>
        <v>0</v>
      </c>
      <c r="AN437" s="80">
        <f>IF(CFG_BRK="Proporcional",IF(AD437=0,0,AF437*AM437/AD437),IF(CFG_BRK="Extras primero",MIN(AM437,MAX(0,AF437-(AD437-AM437))),MIN(AF437,AM437)))</f>
        <v>0</v>
      </c>
      <c r="AO437" s="80">
        <f>AF437-AN437</f>
        <v>0</v>
      </c>
      <c r="AP437" s="80">
        <f>AM437-AN437</f>
        <v>0</v>
      </c>
      <c r="AQ437" s="80">
        <f>AD437-AM437-AO437</f>
        <v>0</v>
      </c>
      <c r="AR437" s="80">
        <f>IF(AM437=0,0,AK437-AN437*AK437/AM437)</f>
        <v>0</v>
      </c>
      <c r="AS437" s="80">
        <f>IF(AD437-AM437=0,0,(AJ437-AK437)-AO437*(AJ437-AK437)/(AD437-AM437))</f>
        <v>0</v>
      </c>
      <c r="AT437" s="80" t="str">
        <f>IF(AC437=1,INT(B437)+1,"")</f>
        <v/>
      </c>
      <c r="AU437" s="80">
        <f>IF(AND(D437="proMX",R437="Cancelled"),0,1)</f>
        <v>1</v>
      </c>
      <c r="AV437" s="80">
        <f>IF(AND(AB437=1,AU437=1),IF(COUNTIFS($D$5:D436,D437,$B$5:B436,B437,$Z$5:Z436,Z437,$AA$5:AA436,AA437,$F$5:F436,F437&amp;"",$AU$5:AU436,1)&gt;0,1,0),0)</f>
        <v>0</v>
      </c>
      <c r="AW437" s="80" t="str">
        <f>IF(AB437=1,INT(B437)*1440+Z437,"")</f>
        <v/>
      </c>
      <c r="AX437" s="80" t="str">
        <f>IF(AB437=1,AW437+AD437,"")</f>
        <v/>
      </c>
      <c r="AY437" s="80">
        <f>IF(AND(AB437=1,AV437=0,AU437=1),1,0)</f>
        <v>0</v>
      </c>
      <c r="AZ437" s="80">
        <f>IF(AY437=1,COUNTIFS(R_Emp,D437,R_SAbs,"&lt;"&amp;AX437,R_EAbs,"&gt;"&amp;AW437,R_OKey,1)-1,0)</f>
        <v>0</v>
      </c>
      <c r="BA437" s="80">
        <f>IF(AY437=1,COUNTIFS(R_Emp,"&lt;&gt;"&amp;D437,R_SAbs,"&lt;"&amp;AX437,R_EAbs,"&gt;"&amp;AW437,R_OKey,1),0)</f>
        <v>0</v>
      </c>
      <c r="BB437" s="80">
        <f>IF(AND(AB437=1,D437="proMX"),IF(AND(MOD(Z437,CFG_BLK)=0,MOD(AA437,CFG_BLK)=0,MOD(AG437,CFG_BLK)=0,AG437&gt;0),1,0),1)</f>
        <v>1</v>
      </c>
      <c r="BC437" s="80" t="str">
        <f>IF(Y437=0,"",IF(NOT(ISNUMBER(B437)),"Falta fecha o fecha inválida",IF(D437="","Falta empresa",IF(AND(D437&lt;&gt;"Malcolm",D437&lt;&gt;"proMX"),"Empresa inválida",IF(OR(INT(B437)&lt;CFG_PSTART,INT(B437)&gt;CFG_PEND),"Fecha fuera del período",IF(OR(NOT(ISNUMBER(Z437)),NOT(ISNUMBER(AA437))),"Falta hora inicio/fin o formato inválido",IF(AB437=0,"Hora inicio = hora fin",IF(AE437&lt;0,"Descanso inválido",IF(AE437&gt;=AD437,"Descanso ≥ duración",IF(AV437=1,"Registro duplicado",IF(AZ437&gt;0,"Se superpone con otro registro "&amp;D437,IF(BB437=0,"inicio, fin y duración neta deben ser múltiplos de "&amp;CFG_BLK&amp;" min",""))))))))))))</f>
        <v/>
      </c>
      <c r="BD437" s="80">
        <f>IF(AND(Y437=1,BC437=""),1,0)</f>
        <v>0</v>
      </c>
      <c r="BE437" s="80">
        <f>IF(AND(BD437=1,AU437=1),1,0)</f>
        <v>0</v>
      </c>
      <c r="BF437" s="80" t="str">
        <f>IF(AND(D437="proMX",BD437=1),IF(R437="","Draft",R437),"")</f>
        <v/>
      </c>
      <c r="BG437" s="80">
        <f>IF(BD437=1,ROUND(AG437/60,6),0)</f>
        <v>0</v>
      </c>
      <c r="BH437" s="80">
        <f>IF(BE437=1,ROUND(AG437/60,6),0)</f>
        <v>0</v>
      </c>
      <c r="BI437" s="80">
        <f>IF(BE437=1,ROUND(AP437/60,6),0)</f>
        <v>0</v>
      </c>
      <c r="BJ437" s="80">
        <f>IF(BE437=1,ROUND(AQ437/60,6),0)</f>
        <v>0</v>
      </c>
      <c r="BK437" s="80">
        <f>IF(BE437=1,ROUND((AR437+AS437)/60,6),0)</f>
        <v>0</v>
      </c>
      <c r="BL437" s="80">
        <f>ROUND(BH437-BK437,6)</f>
        <v>0</v>
      </c>
      <c r="BM437" s="80">
        <f>IF(BE437=1,ROUND(AR437/60,6),0)</f>
        <v>0</v>
      </c>
      <c r="BN437" s="80">
        <f>ROUND(BI437-BM437,6)</f>
        <v>0</v>
      </c>
      <c r="BO437" s="80">
        <f>IF(BE437=1,ROUND(AS437/60,6),0)</f>
        <v>0</v>
      </c>
      <c r="BP437" s="80">
        <f>ROUND(BJ437-BO437,6)</f>
        <v>0</v>
      </c>
      <c r="BQ437" s="80">
        <f>IF(BE437=1,AW437,0)</f>
        <v>0</v>
      </c>
      <c r="BR437" s="80">
        <f>IF(BE437=1,AX437,0)</f>
        <v>0</v>
      </c>
      <c r="BS437" s="80">
        <f>IF(AND(BE437=1,D437="Malcolm",BA437&gt;0),MIN(BH437,SUMPRODUCT((R_Emp="proMX")*(R_EN&gt;0)*((R_EN-(R_EN&gt;BR437)*(R_EN-BR437))&gt;(R_SN+(R_SN&lt;BQ437)*(BQ437-R_SN)))*((R_EN-(R_EN&gt;BR437)*(R_EN-BR437))-(R_SN+(R_SN&lt;BQ437)*(BQ437-R_SN))))/60),0)</f>
        <v>0</v>
      </c>
      <c r="BT437" s="80">
        <f>IF(AND(BE437=1,D437="proMX"),ROUND(BI437*CFG_RATE+BJ437*CFG_OTRATE,6),0)</f>
        <v>0</v>
      </c>
      <c r="BU437" s="80">
        <f>IF(AND(BD437=1,D437="proMX"),ROUND(AG437/CFG_BLK,6),0)</f>
        <v>0</v>
      </c>
      <c r="BV437" s="80" t="str">
        <f>IF(BF437="Approved",IF(ISNUMBER(T437),INT(T437),INT(B437)),"")</f>
        <v/>
      </c>
      <c r="BW437" s="80">
        <f>IF(ISNUMBER(B437),IF(DB_MON="Todos",1,IF(AND(INT(B437)&gt;=DB_MS,INT(B437)&lt;=DB_ME),1,0)),0)</f>
        <v>0</v>
      </c>
      <c r="BX437" s="80">
        <f>IF(DB_PROJ="Todos",1,IF(E437&amp;""=DB_PROJ&amp;"",1,0))</f>
        <v>1</v>
      </c>
      <c r="BY437" s="80">
        <f>BW437*BX437</f>
        <v>0</v>
      </c>
      <c r="BZ437" s="80" t="str">
        <f>IF(Y437=1,F437&amp;IF(AND(F437&amp;""&lt;&gt;"",E437&amp;""&lt;&gt;"")," · ","")&amp;E437,"")</f>
        <v/>
      </c>
      <c r="CA437" s="80" t="str">
        <f>IF(AND(BD437=1,E437&amp;""&lt;&gt;""),IF(COUNTIFS($E$5:E436,E437,$BD$5:BD436,1)=0,MAX($CA$5:CA436)+1,""),"")</f>
        <v/>
      </c>
      <c r="CB437" s="80" t="str">
        <f>IF(AND(BE437=1,D437="Malcolm",E437&amp;""&lt;&gt;""),IF(COUNTIFS($D$5:D436,"Malcolm",$E$5:E436,E437,$BE$5:BE436,1)=0,MAX($CB$5:CB436)+1,""),"")</f>
        <v/>
      </c>
      <c r="CC437" s="80" t="str">
        <f>IF(AND(BD437=1,D437="proMX",E437&amp;""&lt;&gt;""),IF(COUNTIFS($D$5:D436,"proMX",$E$5:E436,E437,$BD$5:BD436,1)=0,MAX($CC$5:CC436)+1,""),"")</f>
        <v/>
      </c>
      <c r="CD437" s="80" t="str">
        <f>IF(AND(BE437=1,D437="Malcolm",F437&amp;""&lt;&gt;""),IF(COUNTIFS($D$5:D436,"Malcolm",$F$5:F436,F437,$BE$5:BE436,1)=0,MAX($CD$5:CD436)+1,""),"")</f>
        <v/>
      </c>
      <c r="CE437" s="80" t="str">
        <f>IF(AND(BD437=1,D437="proMX",F437&amp;""&lt;&gt;""),IF(COUNTIFS($D$5:D436,"proMX",$F$5:F436,F437,$BD$5:BD436,1)=0,MAX($CE$5:CE436)+1,""),"")</f>
        <v/>
      </c>
      <c r="CF437" s="80" t="str">
        <f>IF(AND(D437="proMX",BD437=1),IF(OR(BF437="Draft",BF437="Submitted",BF437="Returned",BF437="Recall Requested"),MAX($CF$5:CF436)+1,""),"")</f>
        <v/>
      </c>
      <c r="CG437" s="80">
        <f>IF(BD437=0,0,IF(D437="Malcolm",1,MATCH(BF437,{"Draft","Submitted","Approved","Returned","Recall Requested","Cancelled"},0)+1))</f>
        <v>0</v>
      </c>
      <c r="CH437" s="80">
        <f>IF(AND(BF437="Submitted",ISNUMBER(V437)),IF(V437&gt;CFG_MAXD,1,0),0)</f>
        <v>0</v>
      </c>
    </row>
    <row r="438">
      <c r="A438" s="71" t="str">
        <f>IF(Y438=1,ROW()-5,"")</f>
        <v/>
      </c>
      <c r="B438" s="72" t="n"/>
      <c r="C438" s="71" t="str">
        <f>IF(ISNUMBER(B438),CHOOSE(WEEKDAY(B438,2),"Lun","Mar","Mié","Jue","Vie","Sáb","Dom"),"")</f>
        <v/>
      </c>
      <c r="D438" s="73" t="n"/>
      <c r="E438" s="74" t="n"/>
      <c r="F438" s="74" t="n"/>
      <c r="G438" s="74" t="n"/>
      <c r="H438" s="75" t="n"/>
      <c r="I438" s="75" t="n"/>
      <c r="J438" s="76" t="n"/>
      <c r="K438" s="77" t="str">
        <f>IF(AB438=1,ROUND(AG438/60,4),"")</f>
        <v/>
      </c>
      <c r="L438" s="77" t="str">
        <f>IF(BD438=1,ROUND(AP438/60,4),"")</f>
        <v/>
      </c>
      <c r="M438" s="77" t="str">
        <f>IF(BD438=1,ROUND(AQ438/60,4),"")</f>
        <v/>
      </c>
      <c r="N438" s="71" t="str">
        <f>IF(AND(D438="proMX",AB438=1),ROUND(AG438/CFG_BLK,2),"")</f>
        <v/>
      </c>
      <c r="O438" s="77" t="str">
        <f>IF(D438="proMX",IF(BD438=1,ROUND(AG438/60,4),0),"")</f>
        <v/>
      </c>
      <c r="P438" s="78" t="str">
        <f>IF(Y438=0,"",IF(BD438=1,"OK",IF(D438="proMX","Revisar bloques: ","Revisar: ")&amp;BC438))</f>
        <v/>
      </c>
      <c r="Q438" s="78" t="str">
        <f>IF(NOT(ISNUMBER(B438)),"",IF(COUNTIFS(FER_F,INT(B438))&gt;0,"Feriado"&amp;IF(AH438=1," (laborable)"," (no laborable)"),IF(AH438=1,"Laborable",IF(WEEKDAY(B438,2)&gt;5,"Fin de semana","No laborable"))))</f>
        <v/>
      </c>
      <c r="R438" s="73" t="n"/>
      <c r="S438" s="72" t="n"/>
      <c r="T438" s="72" t="n"/>
      <c r="U438" s="74" t="n"/>
      <c r="V438" s="79" t="str">
        <f>IF(AND(D438="proMX",OR(R438="Submitted",R438="Recall Requested"),ISNUMBER(S438)),CFG_TODAY-INT(S438),"")</f>
        <v/>
      </c>
      <c r="W438" s="78" t="str">
        <f>IF(BD438=0,"",IF(BA438&gt;0,"⚠ Se superpone con un registro de la otra empresa",IF(D438="Malcolm",IF(COUNTA(R438,S438,T438)&gt;0,"Estado/fechas proMX se ignoran en Malcolm",""),IF(BF438="Cancelled","Cancelado: excluido de totales",IF(R438="","Sin estado: se trata como Draft",IF(BF438="Submitted",IF(ISNUMBER(V438),IF(V438&gt;CFG_MAXD,"⚠ "&amp;V438&amp;" días en Submitted (máx. "&amp;CFG_MAXD&amp;")",""),"Falta fecha de envío"),IF(BF438="Returned","⚠ Devuelto: corregir y reenviar",IF(BF438="Recall Requested","Retirada solicitada: pendiente",IF(AND(BF438="Approved",NOT(ISNUMBER(T438))),"Falta fecha de aprobación",IF(AND(ISNUMBER(S438),ISNUMBER(T438),T438&lt;S438),"Aprobación anterior al envío","")))))))))</f>
        <v/>
      </c>
      <c r="Y438" s="80">
        <f>IF(COUNTA(B438,D438,E438,F438,G438,H438,I438,J438,R438,S438,T438)&gt;0,1,0)</f>
        <v>0</v>
      </c>
      <c r="Z438" s="80" t="str">
        <f>IF(AND(ISNUMBER(H438),H438&gt;=0,H438&lt;1),ROUND(H438*1440,0),"")</f>
        <v/>
      </c>
      <c r="AA438" s="80" t="str">
        <f>IF(AND(ISNUMBER(I438),I438&gt;=0,I438&lt;1),ROUND(I438*1440,0),"")</f>
        <v/>
      </c>
      <c r="AB438" s="80">
        <f>IF(AND(ISNUMBER(B438),D438&lt;&gt;"",ISNUMBER(Z438),ISNUMBER(AA438)),IF(Z438=AA438,0,1),0)</f>
        <v>0</v>
      </c>
      <c r="AC438" s="80">
        <f>IF(AB438=1,IF(AA438&lt;Z438,1,0),0)</f>
        <v>0</v>
      </c>
      <c r="AD438" s="80">
        <f>IF(AB438=1,IF(AC438=1,1440-Z438+AA438,AA438-Z438),0)</f>
        <v>0</v>
      </c>
      <c r="AE438" s="80">
        <f>IF(J438="",0,IF(ISNUMBER(J438),J438,-1))</f>
        <v>0</v>
      </c>
      <c r="AF438" s="80">
        <f>MIN(MAX(0,AE438),AD438)</f>
        <v>0</v>
      </c>
      <c r="AG438" s="80">
        <f>MAX(0,AD438-MAX(0,AE438))</f>
        <v>0</v>
      </c>
      <c r="AH438" s="80">
        <f>IF(ISNUMBER(B438),IF(AND(INDEX(CFG_WDAYS,WEEKDAY(INT(B438),2))="Sí",IF(D438="proMX",COUNTIFS(FER_F,INT(B438),FER_NLP,"Sí"),COUNTIFS(FER_F,INT(B438),FER_NLM,"Sí"))=0),1,0),0)</f>
        <v>0</v>
      </c>
      <c r="AI438" s="80">
        <f>IF(AC438=1,IF(AND(INDEX(CFG_WDAYS,WEEKDAY(INT(B438)+1,2))="Sí",IF(D438="proMX",COUNTIFS(FER_F,INT(B438)+1,FER_NLP,"Sí"),COUNTIFS(FER_F,INT(B438)+1,FER_NLM,"Sí"))=0),1,0),0)</f>
        <v>0</v>
      </c>
      <c r="AJ438" s="80">
        <f>IF(AC438=1,1440-Z438,AD438)</f>
        <v>0</v>
      </c>
      <c r="AK438" s="80">
        <f>IF(AND(AB438=1,AH438=1),MAX(0,MIN(IF(AC438=1,1440,AA438),CFG_WEM)-MAX(Z438,CFG_WSM)),0)</f>
        <v>0</v>
      </c>
      <c r="AL438" s="80">
        <f>IF(AND(AC438=1,AI438=1),MAX(0,MIN(AA438,CFG_WEM)-CFG_WSM),0)</f>
        <v>0</v>
      </c>
      <c r="AM438" s="80">
        <f>AK438+AL438</f>
        <v>0</v>
      </c>
      <c r="AN438" s="80">
        <f>IF(CFG_BRK="Proporcional",IF(AD438=0,0,AF438*AM438/AD438),IF(CFG_BRK="Extras primero",MIN(AM438,MAX(0,AF438-(AD438-AM438))),MIN(AF438,AM438)))</f>
        <v>0</v>
      </c>
      <c r="AO438" s="80">
        <f>AF438-AN438</f>
        <v>0</v>
      </c>
      <c r="AP438" s="80">
        <f>AM438-AN438</f>
        <v>0</v>
      </c>
      <c r="AQ438" s="80">
        <f>AD438-AM438-AO438</f>
        <v>0</v>
      </c>
      <c r="AR438" s="80">
        <f>IF(AM438=0,0,AK438-AN438*AK438/AM438)</f>
        <v>0</v>
      </c>
      <c r="AS438" s="80">
        <f>IF(AD438-AM438=0,0,(AJ438-AK438)-AO438*(AJ438-AK438)/(AD438-AM438))</f>
        <v>0</v>
      </c>
      <c r="AT438" s="80" t="str">
        <f>IF(AC438=1,INT(B438)+1,"")</f>
        <v/>
      </c>
      <c r="AU438" s="80">
        <f>IF(AND(D438="proMX",R438="Cancelled"),0,1)</f>
        <v>1</v>
      </c>
      <c r="AV438" s="80">
        <f>IF(AND(AB438=1,AU438=1),IF(COUNTIFS($D$5:D437,D438,$B$5:B437,B438,$Z$5:Z437,Z438,$AA$5:AA437,AA438,$F$5:F437,F438&amp;"",$AU$5:AU437,1)&gt;0,1,0),0)</f>
        <v>0</v>
      </c>
      <c r="AW438" s="80" t="str">
        <f>IF(AB438=1,INT(B438)*1440+Z438,"")</f>
        <v/>
      </c>
      <c r="AX438" s="80" t="str">
        <f>IF(AB438=1,AW438+AD438,"")</f>
        <v/>
      </c>
      <c r="AY438" s="80">
        <f>IF(AND(AB438=1,AV438=0,AU438=1),1,0)</f>
        <v>0</v>
      </c>
      <c r="AZ438" s="80">
        <f>IF(AY438=1,COUNTIFS(R_Emp,D438,R_SAbs,"&lt;"&amp;AX438,R_EAbs,"&gt;"&amp;AW438,R_OKey,1)-1,0)</f>
        <v>0</v>
      </c>
      <c r="BA438" s="80">
        <f>IF(AY438=1,COUNTIFS(R_Emp,"&lt;&gt;"&amp;D438,R_SAbs,"&lt;"&amp;AX438,R_EAbs,"&gt;"&amp;AW438,R_OKey,1),0)</f>
        <v>0</v>
      </c>
      <c r="BB438" s="80">
        <f>IF(AND(AB438=1,D438="proMX"),IF(AND(MOD(Z438,CFG_BLK)=0,MOD(AA438,CFG_BLK)=0,MOD(AG438,CFG_BLK)=0,AG438&gt;0),1,0),1)</f>
        <v>1</v>
      </c>
      <c r="BC438" s="80" t="str">
        <f>IF(Y438=0,"",IF(NOT(ISNUMBER(B438)),"Falta fecha o fecha inválida",IF(D438="","Falta empresa",IF(AND(D438&lt;&gt;"Malcolm",D438&lt;&gt;"proMX"),"Empresa inválida",IF(OR(INT(B438)&lt;CFG_PSTART,INT(B438)&gt;CFG_PEND),"Fecha fuera del período",IF(OR(NOT(ISNUMBER(Z438)),NOT(ISNUMBER(AA438))),"Falta hora inicio/fin o formato inválido",IF(AB438=0,"Hora inicio = hora fin",IF(AE438&lt;0,"Descanso inválido",IF(AE438&gt;=AD438,"Descanso ≥ duración",IF(AV438=1,"Registro duplicado",IF(AZ438&gt;0,"Se superpone con otro registro "&amp;D438,IF(BB438=0,"inicio, fin y duración neta deben ser múltiplos de "&amp;CFG_BLK&amp;" min",""))))))))))))</f>
        <v/>
      </c>
      <c r="BD438" s="80">
        <f>IF(AND(Y438=1,BC438=""),1,0)</f>
        <v>0</v>
      </c>
      <c r="BE438" s="80">
        <f>IF(AND(BD438=1,AU438=1),1,0)</f>
        <v>0</v>
      </c>
      <c r="BF438" s="80" t="str">
        <f>IF(AND(D438="proMX",BD438=1),IF(R438="","Draft",R438),"")</f>
        <v/>
      </c>
      <c r="BG438" s="80">
        <f>IF(BD438=1,ROUND(AG438/60,6),0)</f>
        <v>0</v>
      </c>
      <c r="BH438" s="80">
        <f>IF(BE438=1,ROUND(AG438/60,6),0)</f>
        <v>0</v>
      </c>
      <c r="BI438" s="80">
        <f>IF(BE438=1,ROUND(AP438/60,6),0)</f>
        <v>0</v>
      </c>
      <c r="BJ438" s="80">
        <f>IF(BE438=1,ROUND(AQ438/60,6),0)</f>
        <v>0</v>
      </c>
      <c r="BK438" s="80">
        <f>IF(BE438=1,ROUND((AR438+AS438)/60,6),0)</f>
        <v>0</v>
      </c>
      <c r="BL438" s="80">
        <f>ROUND(BH438-BK438,6)</f>
        <v>0</v>
      </c>
      <c r="BM438" s="80">
        <f>IF(BE438=1,ROUND(AR438/60,6),0)</f>
        <v>0</v>
      </c>
      <c r="BN438" s="80">
        <f>ROUND(BI438-BM438,6)</f>
        <v>0</v>
      </c>
      <c r="BO438" s="80">
        <f>IF(BE438=1,ROUND(AS438/60,6),0)</f>
        <v>0</v>
      </c>
      <c r="BP438" s="80">
        <f>ROUND(BJ438-BO438,6)</f>
        <v>0</v>
      </c>
      <c r="BQ438" s="80">
        <f>IF(BE438=1,AW438,0)</f>
        <v>0</v>
      </c>
      <c r="BR438" s="80">
        <f>IF(BE438=1,AX438,0)</f>
        <v>0</v>
      </c>
      <c r="BS438" s="80">
        <f>IF(AND(BE438=1,D438="Malcolm",BA438&gt;0),MIN(BH438,SUMPRODUCT((R_Emp="proMX")*(R_EN&gt;0)*((R_EN-(R_EN&gt;BR438)*(R_EN-BR438))&gt;(R_SN+(R_SN&lt;BQ438)*(BQ438-R_SN)))*((R_EN-(R_EN&gt;BR438)*(R_EN-BR438))-(R_SN+(R_SN&lt;BQ438)*(BQ438-R_SN))))/60),0)</f>
        <v>0</v>
      </c>
      <c r="BT438" s="80">
        <f>IF(AND(BE438=1,D438="proMX"),ROUND(BI438*CFG_RATE+BJ438*CFG_OTRATE,6),0)</f>
        <v>0</v>
      </c>
      <c r="BU438" s="80">
        <f>IF(AND(BD438=1,D438="proMX"),ROUND(AG438/CFG_BLK,6),0)</f>
        <v>0</v>
      </c>
      <c r="BV438" s="80" t="str">
        <f>IF(BF438="Approved",IF(ISNUMBER(T438),INT(T438),INT(B438)),"")</f>
        <v/>
      </c>
      <c r="BW438" s="80">
        <f>IF(ISNUMBER(B438),IF(DB_MON="Todos",1,IF(AND(INT(B438)&gt;=DB_MS,INT(B438)&lt;=DB_ME),1,0)),0)</f>
        <v>0</v>
      </c>
      <c r="BX438" s="80">
        <f>IF(DB_PROJ="Todos",1,IF(E438&amp;""=DB_PROJ&amp;"",1,0))</f>
        <v>1</v>
      </c>
      <c r="BY438" s="80">
        <f>BW438*BX438</f>
        <v>0</v>
      </c>
      <c r="BZ438" s="80" t="str">
        <f>IF(Y438=1,F438&amp;IF(AND(F438&amp;""&lt;&gt;"",E438&amp;""&lt;&gt;"")," · ","")&amp;E438,"")</f>
        <v/>
      </c>
      <c r="CA438" s="80" t="str">
        <f>IF(AND(BD438=1,E438&amp;""&lt;&gt;""),IF(COUNTIFS($E$5:E437,E438,$BD$5:BD437,1)=0,MAX($CA$5:CA437)+1,""),"")</f>
        <v/>
      </c>
      <c r="CB438" s="80" t="str">
        <f>IF(AND(BE438=1,D438="Malcolm",E438&amp;""&lt;&gt;""),IF(COUNTIFS($D$5:D437,"Malcolm",$E$5:E437,E438,$BE$5:BE437,1)=0,MAX($CB$5:CB437)+1,""),"")</f>
        <v/>
      </c>
      <c r="CC438" s="80" t="str">
        <f>IF(AND(BD438=1,D438="proMX",E438&amp;""&lt;&gt;""),IF(COUNTIFS($D$5:D437,"proMX",$E$5:E437,E438,$BD$5:BD437,1)=0,MAX($CC$5:CC437)+1,""),"")</f>
        <v/>
      </c>
      <c r="CD438" s="80" t="str">
        <f>IF(AND(BE438=1,D438="Malcolm",F438&amp;""&lt;&gt;""),IF(COUNTIFS($D$5:D437,"Malcolm",$F$5:F437,F438,$BE$5:BE437,1)=0,MAX($CD$5:CD437)+1,""),"")</f>
        <v/>
      </c>
      <c r="CE438" s="80" t="str">
        <f>IF(AND(BD438=1,D438="proMX",F438&amp;""&lt;&gt;""),IF(COUNTIFS($D$5:D437,"proMX",$F$5:F437,F438,$BD$5:BD437,1)=0,MAX($CE$5:CE437)+1,""),"")</f>
        <v/>
      </c>
      <c r="CF438" s="80" t="str">
        <f>IF(AND(D438="proMX",BD438=1),IF(OR(BF438="Draft",BF438="Submitted",BF438="Returned",BF438="Recall Requested"),MAX($CF$5:CF437)+1,""),"")</f>
        <v/>
      </c>
      <c r="CG438" s="80">
        <f>IF(BD438=0,0,IF(D438="Malcolm",1,MATCH(BF438,{"Draft","Submitted","Approved","Returned","Recall Requested","Cancelled"},0)+1))</f>
        <v>0</v>
      </c>
      <c r="CH438" s="80">
        <f>IF(AND(BF438="Submitted",ISNUMBER(V438)),IF(V438&gt;CFG_MAXD,1,0),0)</f>
        <v>0</v>
      </c>
    </row>
    <row r="439">
      <c r="A439" s="71" t="str">
        <f>IF(Y439=1,ROW()-5,"")</f>
        <v/>
      </c>
      <c r="B439" s="72" t="n"/>
      <c r="C439" s="71" t="str">
        <f>IF(ISNUMBER(B439),CHOOSE(WEEKDAY(B439,2),"Lun","Mar","Mié","Jue","Vie","Sáb","Dom"),"")</f>
        <v/>
      </c>
      <c r="D439" s="73" t="n"/>
      <c r="E439" s="74" t="n"/>
      <c r="F439" s="74" t="n"/>
      <c r="G439" s="74" t="n"/>
      <c r="H439" s="75" t="n"/>
      <c r="I439" s="75" t="n"/>
      <c r="J439" s="76" t="n"/>
      <c r="K439" s="77" t="str">
        <f>IF(AB439=1,ROUND(AG439/60,4),"")</f>
        <v/>
      </c>
      <c r="L439" s="77" t="str">
        <f>IF(BD439=1,ROUND(AP439/60,4),"")</f>
        <v/>
      </c>
      <c r="M439" s="77" t="str">
        <f>IF(BD439=1,ROUND(AQ439/60,4),"")</f>
        <v/>
      </c>
      <c r="N439" s="71" t="str">
        <f>IF(AND(D439="proMX",AB439=1),ROUND(AG439/CFG_BLK,2),"")</f>
        <v/>
      </c>
      <c r="O439" s="77" t="str">
        <f>IF(D439="proMX",IF(BD439=1,ROUND(AG439/60,4),0),"")</f>
        <v/>
      </c>
      <c r="P439" s="78" t="str">
        <f>IF(Y439=0,"",IF(BD439=1,"OK",IF(D439="proMX","Revisar bloques: ","Revisar: ")&amp;BC439))</f>
        <v/>
      </c>
      <c r="Q439" s="78" t="str">
        <f>IF(NOT(ISNUMBER(B439)),"",IF(COUNTIFS(FER_F,INT(B439))&gt;0,"Feriado"&amp;IF(AH439=1," (laborable)"," (no laborable)"),IF(AH439=1,"Laborable",IF(WEEKDAY(B439,2)&gt;5,"Fin de semana","No laborable"))))</f>
        <v/>
      </c>
      <c r="R439" s="73" t="n"/>
      <c r="S439" s="72" t="n"/>
      <c r="T439" s="72" t="n"/>
      <c r="U439" s="74" t="n"/>
      <c r="V439" s="79" t="str">
        <f>IF(AND(D439="proMX",OR(R439="Submitted",R439="Recall Requested"),ISNUMBER(S439)),CFG_TODAY-INT(S439),"")</f>
        <v/>
      </c>
      <c r="W439" s="78" t="str">
        <f>IF(BD439=0,"",IF(BA439&gt;0,"⚠ Se superpone con un registro de la otra empresa",IF(D439="Malcolm",IF(COUNTA(R439,S439,T439)&gt;0,"Estado/fechas proMX se ignoran en Malcolm",""),IF(BF439="Cancelled","Cancelado: excluido de totales",IF(R439="","Sin estado: se trata como Draft",IF(BF439="Submitted",IF(ISNUMBER(V439),IF(V439&gt;CFG_MAXD,"⚠ "&amp;V439&amp;" días en Submitted (máx. "&amp;CFG_MAXD&amp;")",""),"Falta fecha de envío"),IF(BF439="Returned","⚠ Devuelto: corregir y reenviar",IF(BF439="Recall Requested","Retirada solicitada: pendiente",IF(AND(BF439="Approved",NOT(ISNUMBER(T439))),"Falta fecha de aprobación",IF(AND(ISNUMBER(S439),ISNUMBER(T439),T439&lt;S439),"Aprobación anterior al envío","")))))))))</f>
        <v/>
      </c>
      <c r="Y439" s="80">
        <f>IF(COUNTA(B439,D439,E439,F439,G439,H439,I439,J439,R439,S439,T439)&gt;0,1,0)</f>
        <v>0</v>
      </c>
      <c r="Z439" s="80" t="str">
        <f>IF(AND(ISNUMBER(H439),H439&gt;=0,H439&lt;1),ROUND(H439*1440,0),"")</f>
        <v/>
      </c>
      <c r="AA439" s="80" t="str">
        <f>IF(AND(ISNUMBER(I439),I439&gt;=0,I439&lt;1),ROUND(I439*1440,0),"")</f>
        <v/>
      </c>
      <c r="AB439" s="80">
        <f>IF(AND(ISNUMBER(B439),D439&lt;&gt;"",ISNUMBER(Z439),ISNUMBER(AA439)),IF(Z439=AA439,0,1),0)</f>
        <v>0</v>
      </c>
      <c r="AC439" s="80">
        <f>IF(AB439=1,IF(AA439&lt;Z439,1,0),0)</f>
        <v>0</v>
      </c>
      <c r="AD439" s="80">
        <f>IF(AB439=1,IF(AC439=1,1440-Z439+AA439,AA439-Z439),0)</f>
        <v>0</v>
      </c>
      <c r="AE439" s="80">
        <f>IF(J439="",0,IF(ISNUMBER(J439),J439,-1))</f>
        <v>0</v>
      </c>
      <c r="AF439" s="80">
        <f>MIN(MAX(0,AE439),AD439)</f>
        <v>0</v>
      </c>
      <c r="AG439" s="80">
        <f>MAX(0,AD439-MAX(0,AE439))</f>
        <v>0</v>
      </c>
      <c r="AH439" s="80">
        <f>IF(ISNUMBER(B439),IF(AND(INDEX(CFG_WDAYS,WEEKDAY(INT(B439),2))="Sí",IF(D439="proMX",COUNTIFS(FER_F,INT(B439),FER_NLP,"Sí"),COUNTIFS(FER_F,INT(B439),FER_NLM,"Sí"))=0),1,0),0)</f>
        <v>0</v>
      </c>
      <c r="AI439" s="80">
        <f>IF(AC439=1,IF(AND(INDEX(CFG_WDAYS,WEEKDAY(INT(B439)+1,2))="Sí",IF(D439="proMX",COUNTIFS(FER_F,INT(B439)+1,FER_NLP,"Sí"),COUNTIFS(FER_F,INT(B439)+1,FER_NLM,"Sí"))=0),1,0),0)</f>
        <v>0</v>
      </c>
      <c r="AJ439" s="80">
        <f>IF(AC439=1,1440-Z439,AD439)</f>
        <v>0</v>
      </c>
      <c r="AK439" s="80">
        <f>IF(AND(AB439=1,AH439=1),MAX(0,MIN(IF(AC439=1,1440,AA439),CFG_WEM)-MAX(Z439,CFG_WSM)),0)</f>
        <v>0</v>
      </c>
      <c r="AL439" s="80">
        <f>IF(AND(AC439=1,AI439=1),MAX(0,MIN(AA439,CFG_WEM)-CFG_WSM),0)</f>
        <v>0</v>
      </c>
      <c r="AM439" s="80">
        <f>AK439+AL439</f>
        <v>0</v>
      </c>
      <c r="AN439" s="80">
        <f>IF(CFG_BRK="Proporcional",IF(AD439=0,0,AF439*AM439/AD439),IF(CFG_BRK="Extras primero",MIN(AM439,MAX(0,AF439-(AD439-AM439))),MIN(AF439,AM439)))</f>
        <v>0</v>
      </c>
      <c r="AO439" s="80">
        <f>AF439-AN439</f>
        <v>0</v>
      </c>
      <c r="AP439" s="80">
        <f>AM439-AN439</f>
        <v>0</v>
      </c>
      <c r="AQ439" s="80">
        <f>AD439-AM439-AO439</f>
        <v>0</v>
      </c>
      <c r="AR439" s="80">
        <f>IF(AM439=0,0,AK439-AN439*AK439/AM439)</f>
        <v>0</v>
      </c>
      <c r="AS439" s="80">
        <f>IF(AD439-AM439=0,0,(AJ439-AK439)-AO439*(AJ439-AK439)/(AD439-AM439))</f>
        <v>0</v>
      </c>
      <c r="AT439" s="80" t="str">
        <f>IF(AC439=1,INT(B439)+1,"")</f>
        <v/>
      </c>
      <c r="AU439" s="80">
        <f>IF(AND(D439="proMX",R439="Cancelled"),0,1)</f>
        <v>1</v>
      </c>
      <c r="AV439" s="80">
        <f>IF(AND(AB439=1,AU439=1),IF(COUNTIFS($D$5:D438,D439,$B$5:B438,B439,$Z$5:Z438,Z439,$AA$5:AA438,AA439,$F$5:F438,F439&amp;"",$AU$5:AU438,1)&gt;0,1,0),0)</f>
        <v>0</v>
      </c>
      <c r="AW439" s="80" t="str">
        <f>IF(AB439=1,INT(B439)*1440+Z439,"")</f>
        <v/>
      </c>
      <c r="AX439" s="80" t="str">
        <f>IF(AB439=1,AW439+AD439,"")</f>
        <v/>
      </c>
      <c r="AY439" s="80">
        <f>IF(AND(AB439=1,AV439=0,AU439=1),1,0)</f>
        <v>0</v>
      </c>
      <c r="AZ439" s="80">
        <f>IF(AY439=1,COUNTIFS(R_Emp,D439,R_SAbs,"&lt;"&amp;AX439,R_EAbs,"&gt;"&amp;AW439,R_OKey,1)-1,0)</f>
        <v>0</v>
      </c>
      <c r="BA439" s="80">
        <f>IF(AY439=1,COUNTIFS(R_Emp,"&lt;&gt;"&amp;D439,R_SAbs,"&lt;"&amp;AX439,R_EAbs,"&gt;"&amp;AW439,R_OKey,1),0)</f>
        <v>0</v>
      </c>
      <c r="BB439" s="80">
        <f>IF(AND(AB439=1,D439="proMX"),IF(AND(MOD(Z439,CFG_BLK)=0,MOD(AA439,CFG_BLK)=0,MOD(AG439,CFG_BLK)=0,AG439&gt;0),1,0),1)</f>
        <v>1</v>
      </c>
      <c r="BC439" s="80" t="str">
        <f>IF(Y439=0,"",IF(NOT(ISNUMBER(B439)),"Falta fecha o fecha inválida",IF(D439="","Falta empresa",IF(AND(D439&lt;&gt;"Malcolm",D439&lt;&gt;"proMX"),"Empresa inválida",IF(OR(INT(B439)&lt;CFG_PSTART,INT(B439)&gt;CFG_PEND),"Fecha fuera del período",IF(OR(NOT(ISNUMBER(Z439)),NOT(ISNUMBER(AA439))),"Falta hora inicio/fin o formato inválido",IF(AB439=0,"Hora inicio = hora fin",IF(AE439&lt;0,"Descanso inválido",IF(AE439&gt;=AD439,"Descanso ≥ duración",IF(AV439=1,"Registro duplicado",IF(AZ439&gt;0,"Se superpone con otro registro "&amp;D439,IF(BB439=0,"inicio, fin y duración neta deben ser múltiplos de "&amp;CFG_BLK&amp;" min",""))))))))))))</f>
        <v/>
      </c>
      <c r="BD439" s="80">
        <f>IF(AND(Y439=1,BC439=""),1,0)</f>
        <v>0</v>
      </c>
      <c r="BE439" s="80">
        <f>IF(AND(BD439=1,AU439=1),1,0)</f>
        <v>0</v>
      </c>
      <c r="BF439" s="80" t="str">
        <f>IF(AND(D439="proMX",BD439=1),IF(R439="","Draft",R439),"")</f>
        <v/>
      </c>
      <c r="BG439" s="80">
        <f>IF(BD439=1,ROUND(AG439/60,6),0)</f>
        <v>0</v>
      </c>
      <c r="BH439" s="80">
        <f>IF(BE439=1,ROUND(AG439/60,6),0)</f>
        <v>0</v>
      </c>
      <c r="BI439" s="80">
        <f>IF(BE439=1,ROUND(AP439/60,6),0)</f>
        <v>0</v>
      </c>
      <c r="BJ439" s="80">
        <f>IF(BE439=1,ROUND(AQ439/60,6),0)</f>
        <v>0</v>
      </c>
      <c r="BK439" s="80">
        <f>IF(BE439=1,ROUND((AR439+AS439)/60,6),0)</f>
        <v>0</v>
      </c>
      <c r="BL439" s="80">
        <f>ROUND(BH439-BK439,6)</f>
        <v>0</v>
      </c>
      <c r="BM439" s="80">
        <f>IF(BE439=1,ROUND(AR439/60,6),0)</f>
        <v>0</v>
      </c>
      <c r="BN439" s="80">
        <f>ROUND(BI439-BM439,6)</f>
        <v>0</v>
      </c>
      <c r="BO439" s="80">
        <f>IF(BE439=1,ROUND(AS439/60,6),0)</f>
        <v>0</v>
      </c>
      <c r="BP439" s="80">
        <f>ROUND(BJ439-BO439,6)</f>
        <v>0</v>
      </c>
      <c r="BQ439" s="80">
        <f>IF(BE439=1,AW439,0)</f>
        <v>0</v>
      </c>
      <c r="BR439" s="80">
        <f>IF(BE439=1,AX439,0)</f>
        <v>0</v>
      </c>
      <c r="BS439" s="80">
        <f>IF(AND(BE439=1,D439="Malcolm",BA439&gt;0),MIN(BH439,SUMPRODUCT((R_Emp="proMX")*(R_EN&gt;0)*((R_EN-(R_EN&gt;BR439)*(R_EN-BR439))&gt;(R_SN+(R_SN&lt;BQ439)*(BQ439-R_SN)))*((R_EN-(R_EN&gt;BR439)*(R_EN-BR439))-(R_SN+(R_SN&lt;BQ439)*(BQ439-R_SN))))/60),0)</f>
        <v>0</v>
      </c>
      <c r="BT439" s="80">
        <f>IF(AND(BE439=1,D439="proMX"),ROUND(BI439*CFG_RATE+BJ439*CFG_OTRATE,6),0)</f>
        <v>0</v>
      </c>
      <c r="BU439" s="80">
        <f>IF(AND(BD439=1,D439="proMX"),ROUND(AG439/CFG_BLK,6),0)</f>
        <v>0</v>
      </c>
      <c r="BV439" s="80" t="str">
        <f>IF(BF439="Approved",IF(ISNUMBER(T439),INT(T439),INT(B439)),"")</f>
        <v/>
      </c>
      <c r="BW439" s="80">
        <f>IF(ISNUMBER(B439),IF(DB_MON="Todos",1,IF(AND(INT(B439)&gt;=DB_MS,INT(B439)&lt;=DB_ME),1,0)),0)</f>
        <v>0</v>
      </c>
      <c r="BX439" s="80">
        <f>IF(DB_PROJ="Todos",1,IF(E439&amp;""=DB_PROJ&amp;"",1,0))</f>
        <v>1</v>
      </c>
      <c r="BY439" s="80">
        <f>BW439*BX439</f>
        <v>0</v>
      </c>
      <c r="BZ439" s="80" t="str">
        <f>IF(Y439=1,F439&amp;IF(AND(F439&amp;""&lt;&gt;"",E439&amp;""&lt;&gt;"")," · ","")&amp;E439,"")</f>
        <v/>
      </c>
      <c r="CA439" s="80" t="str">
        <f>IF(AND(BD439=1,E439&amp;""&lt;&gt;""),IF(COUNTIFS($E$5:E438,E439,$BD$5:BD438,1)=0,MAX($CA$5:CA438)+1,""),"")</f>
        <v/>
      </c>
      <c r="CB439" s="80" t="str">
        <f>IF(AND(BE439=1,D439="Malcolm",E439&amp;""&lt;&gt;""),IF(COUNTIFS($D$5:D438,"Malcolm",$E$5:E438,E439,$BE$5:BE438,1)=0,MAX($CB$5:CB438)+1,""),"")</f>
        <v/>
      </c>
      <c r="CC439" s="80" t="str">
        <f>IF(AND(BD439=1,D439="proMX",E439&amp;""&lt;&gt;""),IF(COUNTIFS($D$5:D438,"proMX",$E$5:E438,E439,$BD$5:BD438,1)=0,MAX($CC$5:CC438)+1,""),"")</f>
        <v/>
      </c>
      <c r="CD439" s="80" t="str">
        <f>IF(AND(BE439=1,D439="Malcolm",F439&amp;""&lt;&gt;""),IF(COUNTIFS($D$5:D438,"Malcolm",$F$5:F438,F439,$BE$5:BE438,1)=0,MAX($CD$5:CD438)+1,""),"")</f>
        <v/>
      </c>
      <c r="CE439" s="80" t="str">
        <f>IF(AND(BD439=1,D439="proMX",F439&amp;""&lt;&gt;""),IF(COUNTIFS($D$5:D438,"proMX",$F$5:F438,F439,$BD$5:BD438,1)=0,MAX($CE$5:CE438)+1,""),"")</f>
        <v/>
      </c>
      <c r="CF439" s="80" t="str">
        <f>IF(AND(D439="proMX",BD439=1),IF(OR(BF439="Draft",BF439="Submitted",BF439="Returned",BF439="Recall Requested"),MAX($CF$5:CF438)+1,""),"")</f>
        <v/>
      </c>
      <c r="CG439" s="80">
        <f>IF(BD439=0,0,IF(D439="Malcolm",1,MATCH(BF439,{"Draft","Submitted","Approved","Returned","Recall Requested","Cancelled"},0)+1))</f>
        <v>0</v>
      </c>
      <c r="CH439" s="80">
        <f>IF(AND(BF439="Submitted",ISNUMBER(V439)),IF(V439&gt;CFG_MAXD,1,0),0)</f>
        <v>0</v>
      </c>
    </row>
    <row r="440">
      <c r="A440" s="71" t="str">
        <f>IF(Y440=1,ROW()-5,"")</f>
        <v/>
      </c>
      <c r="B440" s="72" t="n"/>
      <c r="C440" s="71" t="str">
        <f>IF(ISNUMBER(B440),CHOOSE(WEEKDAY(B440,2),"Lun","Mar","Mié","Jue","Vie","Sáb","Dom"),"")</f>
        <v/>
      </c>
      <c r="D440" s="73" t="n"/>
      <c r="E440" s="74" t="n"/>
      <c r="F440" s="74" t="n"/>
      <c r="G440" s="74" t="n"/>
      <c r="H440" s="75" t="n"/>
      <c r="I440" s="75" t="n"/>
      <c r="J440" s="76" t="n"/>
      <c r="K440" s="77" t="str">
        <f>IF(AB440=1,ROUND(AG440/60,4),"")</f>
        <v/>
      </c>
      <c r="L440" s="77" t="str">
        <f>IF(BD440=1,ROUND(AP440/60,4),"")</f>
        <v/>
      </c>
      <c r="M440" s="77" t="str">
        <f>IF(BD440=1,ROUND(AQ440/60,4),"")</f>
        <v/>
      </c>
      <c r="N440" s="71" t="str">
        <f>IF(AND(D440="proMX",AB440=1),ROUND(AG440/CFG_BLK,2),"")</f>
        <v/>
      </c>
      <c r="O440" s="77" t="str">
        <f>IF(D440="proMX",IF(BD440=1,ROUND(AG440/60,4),0),"")</f>
        <v/>
      </c>
      <c r="P440" s="78" t="str">
        <f>IF(Y440=0,"",IF(BD440=1,"OK",IF(D440="proMX","Revisar bloques: ","Revisar: ")&amp;BC440))</f>
        <v/>
      </c>
      <c r="Q440" s="78" t="str">
        <f>IF(NOT(ISNUMBER(B440)),"",IF(COUNTIFS(FER_F,INT(B440))&gt;0,"Feriado"&amp;IF(AH440=1," (laborable)"," (no laborable)"),IF(AH440=1,"Laborable",IF(WEEKDAY(B440,2)&gt;5,"Fin de semana","No laborable"))))</f>
        <v/>
      </c>
      <c r="R440" s="73" t="n"/>
      <c r="S440" s="72" t="n"/>
      <c r="T440" s="72" t="n"/>
      <c r="U440" s="74" t="n"/>
      <c r="V440" s="79" t="str">
        <f>IF(AND(D440="proMX",OR(R440="Submitted",R440="Recall Requested"),ISNUMBER(S440)),CFG_TODAY-INT(S440),"")</f>
        <v/>
      </c>
      <c r="W440" s="78" t="str">
        <f>IF(BD440=0,"",IF(BA440&gt;0,"⚠ Se superpone con un registro de la otra empresa",IF(D440="Malcolm",IF(COUNTA(R440,S440,T440)&gt;0,"Estado/fechas proMX se ignoran en Malcolm",""),IF(BF440="Cancelled","Cancelado: excluido de totales",IF(R440="","Sin estado: se trata como Draft",IF(BF440="Submitted",IF(ISNUMBER(V440),IF(V440&gt;CFG_MAXD,"⚠ "&amp;V440&amp;" días en Submitted (máx. "&amp;CFG_MAXD&amp;")",""),"Falta fecha de envío"),IF(BF440="Returned","⚠ Devuelto: corregir y reenviar",IF(BF440="Recall Requested","Retirada solicitada: pendiente",IF(AND(BF440="Approved",NOT(ISNUMBER(T440))),"Falta fecha de aprobación",IF(AND(ISNUMBER(S440),ISNUMBER(T440),T440&lt;S440),"Aprobación anterior al envío","")))))))))</f>
        <v/>
      </c>
      <c r="Y440" s="80">
        <f>IF(COUNTA(B440,D440,E440,F440,G440,H440,I440,J440,R440,S440,T440)&gt;0,1,0)</f>
        <v>0</v>
      </c>
      <c r="Z440" s="80" t="str">
        <f>IF(AND(ISNUMBER(H440),H440&gt;=0,H440&lt;1),ROUND(H440*1440,0),"")</f>
        <v/>
      </c>
      <c r="AA440" s="80" t="str">
        <f>IF(AND(ISNUMBER(I440),I440&gt;=0,I440&lt;1),ROUND(I440*1440,0),"")</f>
        <v/>
      </c>
      <c r="AB440" s="80">
        <f>IF(AND(ISNUMBER(B440),D440&lt;&gt;"",ISNUMBER(Z440),ISNUMBER(AA440)),IF(Z440=AA440,0,1),0)</f>
        <v>0</v>
      </c>
      <c r="AC440" s="80">
        <f>IF(AB440=1,IF(AA440&lt;Z440,1,0),0)</f>
        <v>0</v>
      </c>
      <c r="AD440" s="80">
        <f>IF(AB440=1,IF(AC440=1,1440-Z440+AA440,AA440-Z440),0)</f>
        <v>0</v>
      </c>
      <c r="AE440" s="80">
        <f>IF(J440="",0,IF(ISNUMBER(J440),J440,-1))</f>
        <v>0</v>
      </c>
      <c r="AF440" s="80">
        <f>MIN(MAX(0,AE440),AD440)</f>
        <v>0</v>
      </c>
      <c r="AG440" s="80">
        <f>MAX(0,AD440-MAX(0,AE440))</f>
        <v>0</v>
      </c>
      <c r="AH440" s="80">
        <f>IF(ISNUMBER(B440),IF(AND(INDEX(CFG_WDAYS,WEEKDAY(INT(B440),2))="Sí",IF(D440="proMX",COUNTIFS(FER_F,INT(B440),FER_NLP,"Sí"),COUNTIFS(FER_F,INT(B440),FER_NLM,"Sí"))=0),1,0),0)</f>
        <v>0</v>
      </c>
      <c r="AI440" s="80">
        <f>IF(AC440=1,IF(AND(INDEX(CFG_WDAYS,WEEKDAY(INT(B440)+1,2))="Sí",IF(D440="proMX",COUNTIFS(FER_F,INT(B440)+1,FER_NLP,"Sí"),COUNTIFS(FER_F,INT(B440)+1,FER_NLM,"Sí"))=0),1,0),0)</f>
        <v>0</v>
      </c>
      <c r="AJ440" s="80">
        <f>IF(AC440=1,1440-Z440,AD440)</f>
        <v>0</v>
      </c>
      <c r="AK440" s="80">
        <f>IF(AND(AB440=1,AH440=1),MAX(0,MIN(IF(AC440=1,1440,AA440),CFG_WEM)-MAX(Z440,CFG_WSM)),0)</f>
        <v>0</v>
      </c>
      <c r="AL440" s="80">
        <f>IF(AND(AC440=1,AI440=1),MAX(0,MIN(AA440,CFG_WEM)-CFG_WSM),0)</f>
        <v>0</v>
      </c>
      <c r="AM440" s="80">
        <f>AK440+AL440</f>
        <v>0</v>
      </c>
      <c r="AN440" s="80">
        <f>IF(CFG_BRK="Proporcional",IF(AD440=0,0,AF440*AM440/AD440),IF(CFG_BRK="Extras primero",MIN(AM440,MAX(0,AF440-(AD440-AM440))),MIN(AF440,AM440)))</f>
        <v>0</v>
      </c>
      <c r="AO440" s="80">
        <f>AF440-AN440</f>
        <v>0</v>
      </c>
      <c r="AP440" s="80">
        <f>AM440-AN440</f>
        <v>0</v>
      </c>
      <c r="AQ440" s="80">
        <f>AD440-AM440-AO440</f>
        <v>0</v>
      </c>
      <c r="AR440" s="80">
        <f>IF(AM440=0,0,AK440-AN440*AK440/AM440)</f>
        <v>0</v>
      </c>
      <c r="AS440" s="80">
        <f>IF(AD440-AM440=0,0,(AJ440-AK440)-AO440*(AJ440-AK440)/(AD440-AM440))</f>
        <v>0</v>
      </c>
      <c r="AT440" s="80" t="str">
        <f>IF(AC440=1,INT(B440)+1,"")</f>
        <v/>
      </c>
      <c r="AU440" s="80">
        <f>IF(AND(D440="proMX",R440="Cancelled"),0,1)</f>
        <v>1</v>
      </c>
      <c r="AV440" s="80">
        <f>IF(AND(AB440=1,AU440=1),IF(COUNTIFS($D$5:D439,D440,$B$5:B439,B440,$Z$5:Z439,Z440,$AA$5:AA439,AA440,$F$5:F439,F440&amp;"",$AU$5:AU439,1)&gt;0,1,0),0)</f>
        <v>0</v>
      </c>
      <c r="AW440" s="80" t="str">
        <f>IF(AB440=1,INT(B440)*1440+Z440,"")</f>
        <v/>
      </c>
      <c r="AX440" s="80" t="str">
        <f>IF(AB440=1,AW440+AD440,"")</f>
        <v/>
      </c>
      <c r="AY440" s="80">
        <f>IF(AND(AB440=1,AV440=0,AU440=1),1,0)</f>
        <v>0</v>
      </c>
      <c r="AZ440" s="80">
        <f>IF(AY440=1,COUNTIFS(R_Emp,D440,R_SAbs,"&lt;"&amp;AX440,R_EAbs,"&gt;"&amp;AW440,R_OKey,1)-1,0)</f>
        <v>0</v>
      </c>
      <c r="BA440" s="80">
        <f>IF(AY440=1,COUNTIFS(R_Emp,"&lt;&gt;"&amp;D440,R_SAbs,"&lt;"&amp;AX440,R_EAbs,"&gt;"&amp;AW440,R_OKey,1),0)</f>
        <v>0</v>
      </c>
      <c r="BB440" s="80">
        <f>IF(AND(AB440=1,D440="proMX"),IF(AND(MOD(Z440,CFG_BLK)=0,MOD(AA440,CFG_BLK)=0,MOD(AG440,CFG_BLK)=0,AG440&gt;0),1,0),1)</f>
        <v>1</v>
      </c>
      <c r="BC440" s="80" t="str">
        <f>IF(Y440=0,"",IF(NOT(ISNUMBER(B440)),"Falta fecha o fecha inválida",IF(D440="","Falta empresa",IF(AND(D440&lt;&gt;"Malcolm",D440&lt;&gt;"proMX"),"Empresa inválida",IF(OR(INT(B440)&lt;CFG_PSTART,INT(B440)&gt;CFG_PEND),"Fecha fuera del período",IF(OR(NOT(ISNUMBER(Z440)),NOT(ISNUMBER(AA440))),"Falta hora inicio/fin o formato inválido",IF(AB440=0,"Hora inicio = hora fin",IF(AE440&lt;0,"Descanso inválido",IF(AE440&gt;=AD440,"Descanso ≥ duración",IF(AV440=1,"Registro duplicado",IF(AZ440&gt;0,"Se superpone con otro registro "&amp;D440,IF(BB440=0,"inicio, fin y duración neta deben ser múltiplos de "&amp;CFG_BLK&amp;" min",""))))))))))))</f>
        <v/>
      </c>
      <c r="BD440" s="80">
        <f>IF(AND(Y440=1,BC440=""),1,0)</f>
        <v>0</v>
      </c>
      <c r="BE440" s="80">
        <f>IF(AND(BD440=1,AU440=1),1,0)</f>
        <v>0</v>
      </c>
      <c r="BF440" s="80" t="str">
        <f>IF(AND(D440="proMX",BD440=1),IF(R440="","Draft",R440),"")</f>
        <v/>
      </c>
      <c r="BG440" s="80">
        <f>IF(BD440=1,ROUND(AG440/60,6),0)</f>
        <v>0</v>
      </c>
      <c r="BH440" s="80">
        <f>IF(BE440=1,ROUND(AG440/60,6),0)</f>
        <v>0</v>
      </c>
      <c r="BI440" s="80">
        <f>IF(BE440=1,ROUND(AP440/60,6),0)</f>
        <v>0</v>
      </c>
      <c r="BJ440" s="80">
        <f>IF(BE440=1,ROUND(AQ440/60,6),0)</f>
        <v>0</v>
      </c>
      <c r="BK440" s="80">
        <f>IF(BE440=1,ROUND((AR440+AS440)/60,6),0)</f>
        <v>0</v>
      </c>
      <c r="BL440" s="80">
        <f>ROUND(BH440-BK440,6)</f>
        <v>0</v>
      </c>
      <c r="BM440" s="80">
        <f>IF(BE440=1,ROUND(AR440/60,6),0)</f>
        <v>0</v>
      </c>
      <c r="BN440" s="80">
        <f>ROUND(BI440-BM440,6)</f>
        <v>0</v>
      </c>
      <c r="BO440" s="80">
        <f>IF(BE440=1,ROUND(AS440/60,6),0)</f>
        <v>0</v>
      </c>
      <c r="BP440" s="80">
        <f>ROUND(BJ440-BO440,6)</f>
        <v>0</v>
      </c>
      <c r="BQ440" s="80">
        <f>IF(BE440=1,AW440,0)</f>
        <v>0</v>
      </c>
      <c r="BR440" s="80">
        <f>IF(BE440=1,AX440,0)</f>
        <v>0</v>
      </c>
      <c r="BS440" s="80">
        <f>IF(AND(BE440=1,D440="Malcolm",BA440&gt;0),MIN(BH440,SUMPRODUCT((R_Emp="proMX")*(R_EN&gt;0)*((R_EN-(R_EN&gt;BR440)*(R_EN-BR440))&gt;(R_SN+(R_SN&lt;BQ440)*(BQ440-R_SN)))*((R_EN-(R_EN&gt;BR440)*(R_EN-BR440))-(R_SN+(R_SN&lt;BQ440)*(BQ440-R_SN))))/60),0)</f>
        <v>0</v>
      </c>
      <c r="BT440" s="80">
        <f>IF(AND(BE440=1,D440="proMX"),ROUND(BI440*CFG_RATE+BJ440*CFG_OTRATE,6),0)</f>
        <v>0</v>
      </c>
      <c r="BU440" s="80">
        <f>IF(AND(BD440=1,D440="proMX"),ROUND(AG440/CFG_BLK,6),0)</f>
        <v>0</v>
      </c>
      <c r="BV440" s="80" t="str">
        <f>IF(BF440="Approved",IF(ISNUMBER(T440),INT(T440),INT(B440)),"")</f>
        <v/>
      </c>
      <c r="BW440" s="80">
        <f>IF(ISNUMBER(B440),IF(DB_MON="Todos",1,IF(AND(INT(B440)&gt;=DB_MS,INT(B440)&lt;=DB_ME),1,0)),0)</f>
        <v>0</v>
      </c>
      <c r="BX440" s="80">
        <f>IF(DB_PROJ="Todos",1,IF(E440&amp;""=DB_PROJ&amp;"",1,0))</f>
        <v>1</v>
      </c>
      <c r="BY440" s="80">
        <f>BW440*BX440</f>
        <v>0</v>
      </c>
      <c r="BZ440" s="80" t="str">
        <f>IF(Y440=1,F440&amp;IF(AND(F440&amp;""&lt;&gt;"",E440&amp;""&lt;&gt;"")," · ","")&amp;E440,"")</f>
        <v/>
      </c>
      <c r="CA440" s="80" t="str">
        <f>IF(AND(BD440=1,E440&amp;""&lt;&gt;""),IF(COUNTIFS($E$5:E439,E440,$BD$5:BD439,1)=0,MAX($CA$5:CA439)+1,""),"")</f>
        <v/>
      </c>
      <c r="CB440" s="80" t="str">
        <f>IF(AND(BE440=1,D440="Malcolm",E440&amp;""&lt;&gt;""),IF(COUNTIFS($D$5:D439,"Malcolm",$E$5:E439,E440,$BE$5:BE439,1)=0,MAX($CB$5:CB439)+1,""),"")</f>
        <v/>
      </c>
      <c r="CC440" s="80" t="str">
        <f>IF(AND(BD440=1,D440="proMX",E440&amp;""&lt;&gt;""),IF(COUNTIFS($D$5:D439,"proMX",$E$5:E439,E440,$BD$5:BD439,1)=0,MAX($CC$5:CC439)+1,""),"")</f>
        <v/>
      </c>
      <c r="CD440" s="80" t="str">
        <f>IF(AND(BE440=1,D440="Malcolm",F440&amp;""&lt;&gt;""),IF(COUNTIFS($D$5:D439,"Malcolm",$F$5:F439,F440,$BE$5:BE439,1)=0,MAX($CD$5:CD439)+1,""),"")</f>
        <v/>
      </c>
      <c r="CE440" s="80" t="str">
        <f>IF(AND(BD440=1,D440="proMX",F440&amp;""&lt;&gt;""),IF(COUNTIFS($D$5:D439,"proMX",$F$5:F439,F440,$BD$5:BD439,1)=0,MAX($CE$5:CE439)+1,""),"")</f>
        <v/>
      </c>
      <c r="CF440" s="80" t="str">
        <f>IF(AND(D440="proMX",BD440=1),IF(OR(BF440="Draft",BF440="Submitted",BF440="Returned",BF440="Recall Requested"),MAX($CF$5:CF439)+1,""),"")</f>
        <v/>
      </c>
      <c r="CG440" s="80">
        <f>IF(BD440=0,0,IF(D440="Malcolm",1,MATCH(BF440,{"Draft","Submitted","Approved","Returned","Recall Requested","Cancelled"},0)+1))</f>
        <v>0</v>
      </c>
      <c r="CH440" s="80">
        <f>IF(AND(BF440="Submitted",ISNUMBER(V440)),IF(V440&gt;CFG_MAXD,1,0),0)</f>
        <v>0</v>
      </c>
    </row>
    <row r="441">
      <c r="A441" s="71" t="str">
        <f>IF(Y441=1,ROW()-5,"")</f>
        <v/>
      </c>
      <c r="B441" s="72" t="n"/>
      <c r="C441" s="71" t="str">
        <f>IF(ISNUMBER(B441),CHOOSE(WEEKDAY(B441,2),"Lun","Mar","Mié","Jue","Vie","Sáb","Dom"),"")</f>
        <v/>
      </c>
      <c r="D441" s="73" t="n"/>
      <c r="E441" s="74" t="n"/>
      <c r="F441" s="74" t="n"/>
      <c r="G441" s="74" t="n"/>
      <c r="H441" s="75" t="n"/>
      <c r="I441" s="75" t="n"/>
      <c r="J441" s="76" t="n"/>
      <c r="K441" s="77" t="str">
        <f>IF(AB441=1,ROUND(AG441/60,4),"")</f>
        <v/>
      </c>
      <c r="L441" s="77" t="str">
        <f>IF(BD441=1,ROUND(AP441/60,4),"")</f>
        <v/>
      </c>
      <c r="M441" s="77" t="str">
        <f>IF(BD441=1,ROUND(AQ441/60,4),"")</f>
        <v/>
      </c>
      <c r="N441" s="71" t="str">
        <f>IF(AND(D441="proMX",AB441=1),ROUND(AG441/CFG_BLK,2),"")</f>
        <v/>
      </c>
      <c r="O441" s="77" t="str">
        <f>IF(D441="proMX",IF(BD441=1,ROUND(AG441/60,4),0),"")</f>
        <v/>
      </c>
      <c r="P441" s="78" t="str">
        <f>IF(Y441=0,"",IF(BD441=1,"OK",IF(D441="proMX","Revisar bloques: ","Revisar: ")&amp;BC441))</f>
        <v/>
      </c>
      <c r="Q441" s="78" t="str">
        <f>IF(NOT(ISNUMBER(B441)),"",IF(COUNTIFS(FER_F,INT(B441))&gt;0,"Feriado"&amp;IF(AH441=1," (laborable)"," (no laborable)"),IF(AH441=1,"Laborable",IF(WEEKDAY(B441,2)&gt;5,"Fin de semana","No laborable"))))</f>
        <v/>
      </c>
      <c r="R441" s="73" t="n"/>
      <c r="S441" s="72" t="n"/>
      <c r="T441" s="72" t="n"/>
      <c r="U441" s="74" t="n"/>
      <c r="V441" s="79" t="str">
        <f>IF(AND(D441="proMX",OR(R441="Submitted",R441="Recall Requested"),ISNUMBER(S441)),CFG_TODAY-INT(S441),"")</f>
        <v/>
      </c>
      <c r="W441" s="78" t="str">
        <f>IF(BD441=0,"",IF(BA441&gt;0,"⚠ Se superpone con un registro de la otra empresa",IF(D441="Malcolm",IF(COUNTA(R441,S441,T441)&gt;0,"Estado/fechas proMX se ignoran en Malcolm",""),IF(BF441="Cancelled","Cancelado: excluido de totales",IF(R441="","Sin estado: se trata como Draft",IF(BF441="Submitted",IF(ISNUMBER(V441),IF(V441&gt;CFG_MAXD,"⚠ "&amp;V441&amp;" días en Submitted (máx. "&amp;CFG_MAXD&amp;")",""),"Falta fecha de envío"),IF(BF441="Returned","⚠ Devuelto: corregir y reenviar",IF(BF441="Recall Requested","Retirada solicitada: pendiente",IF(AND(BF441="Approved",NOT(ISNUMBER(T441))),"Falta fecha de aprobación",IF(AND(ISNUMBER(S441),ISNUMBER(T441),T441&lt;S441),"Aprobación anterior al envío","")))))))))</f>
        <v/>
      </c>
      <c r="Y441" s="80">
        <f>IF(COUNTA(B441,D441,E441,F441,G441,H441,I441,J441,R441,S441,T441)&gt;0,1,0)</f>
        <v>0</v>
      </c>
      <c r="Z441" s="80" t="str">
        <f>IF(AND(ISNUMBER(H441),H441&gt;=0,H441&lt;1),ROUND(H441*1440,0),"")</f>
        <v/>
      </c>
      <c r="AA441" s="80" t="str">
        <f>IF(AND(ISNUMBER(I441),I441&gt;=0,I441&lt;1),ROUND(I441*1440,0),"")</f>
        <v/>
      </c>
      <c r="AB441" s="80">
        <f>IF(AND(ISNUMBER(B441),D441&lt;&gt;"",ISNUMBER(Z441),ISNUMBER(AA441)),IF(Z441=AA441,0,1),0)</f>
        <v>0</v>
      </c>
      <c r="AC441" s="80">
        <f>IF(AB441=1,IF(AA441&lt;Z441,1,0),0)</f>
        <v>0</v>
      </c>
      <c r="AD441" s="80">
        <f>IF(AB441=1,IF(AC441=1,1440-Z441+AA441,AA441-Z441),0)</f>
        <v>0</v>
      </c>
      <c r="AE441" s="80">
        <f>IF(J441="",0,IF(ISNUMBER(J441),J441,-1))</f>
        <v>0</v>
      </c>
      <c r="AF441" s="80">
        <f>MIN(MAX(0,AE441),AD441)</f>
        <v>0</v>
      </c>
      <c r="AG441" s="80">
        <f>MAX(0,AD441-MAX(0,AE441))</f>
        <v>0</v>
      </c>
      <c r="AH441" s="80">
        <f>IF(ISNUMBER(B441),IF(AND(INDEX(CFG_WDAYS,WEEKDAY(INT(B441),2))="Sí",IF(D441="proMX",COUNTIFS(FER_F,INT(B441),FER_NLP,"Sí"),COUNTIFS(FER_F,INT(B441),FER_NLM,"Sí"))=0),1,0),0)</f>
        <v>0</v>
      </c>
      <c r="AI441" s="80">
        <f>IF(AC441=1,IF(AND(INDEX(CFG_WDAYS,WEEKDAY(INT(B441)+1,2))="Sí",IF(D441="proMX",COUNTIFS(FER_F,INT(B441)+1,FER_NLP,"Sí"),COUNTIFS(FER_F,INT(B441)+1,FER_NLM,"Sí"))=0),1,0),0)</f>
        <v>0</v>
      </c>
      <c r="AJ441" s="80">
        <f>IF(AC441=1,1440-Z441,AD441)</f>
        <v>0</v>
      </c>
      <c r="AK441" s="80">
        <f>IF(AND(AB441=1,AH441=1),MAX(0,MIN(IF(AC441=1,1440,AA441),CFG_WEM)-MAX(Z441,CFG_WSM)),0)</f>
        <v>0</v>
      </c>
      <c r="AL441" s="80">
        <f>IF(AND(AC441=1,AI441=1),MAX(0,MIN(AA441,CFG_WEM)-CFG_WSM),0)</f>
        <v>0</v>
      </c>
      <c r="AM441" s="80">
        <f>AK441+AL441</f>
        <v>0</v>
      </c>
      <c r="AN441" s="80">
        <f>IF(CFG_BRK="Proporcional",IF(AD441=0,0,AF441*AM441/AD441),IF(CFG_BRK="Extras primero",MIN(AM441,MAX(0,AF441-(AD441-AM441))),MIN(AF441,AM441)))</f>
        <v>0</v>
      </c>
      <c r="AO441" s="80">
        <f>AF441-AN441</f>
        <v>0</v>
      </c>
      <c r="AP441" s="80">
        <f>AM441-AN441</f>
        <v>0</v>
      </c>
      <c r="AQ441" s="80">
        <f>AD441-AM441-AO441</f>
        <v>0</v>
      </c>
      <c r="AR441" s="80">
        <f>IF(AM441=0,0,AK441-AN441*AK441/AM441)</f>
        <v>0</v>
      </c>
      <c r="AS441" s="80">
        <f>IF(AD441-AM441=0,0,(AJ441-AK441)-AO441*(AJ441-AK441)/(AD441-AM441))</f>
        <v>0</v>
      </c>
      <c r="AT441" s="80" t="str">
        <f>IF(AC441=1,INT(B441)+1,"")</f>
        <v/>
      </c>
      <c r="AU441" s="80">
        <f>IF(AND(D441="proMX",R441="Cancelled"),0,1)</f>
        <v>1</v>
      </c>
      <c r="AV441" s="80">
        <f>IF(AND(AB441=1,AU441=1),IF(COUNTIFS($D$5:D440,D441,$B$5:B440,B441,$Z$5:Z440,Z441,$AA$5:AA440,AA441,$F$5:F440,F441&amp;"",$AU$5:AU440,1)&gt;0,1,0),0)</f>
        <v>0</v>
      </c>
      <c r="AW441" s="80" t="str">
        <f>IF(AB441=1,INT(B441)*1440+Z441,"")</f>
        <v/>
      </c>
      <c r="AX441" s="80" t="str">
        <f>IF(AB441=1,AW441+AD441,"")</f>
        <v/>
      </c>
      <c r="AY441" s="80">
        <f>IF(AND(AB441=1,AV441=0,AU441=1),1,0)</f>
        <v>0</v>
      </c>
      <c r="AZ441" s="80">
        <f>IF(AY441=1,COUNTIFS(R_Emp,D441,R_SAbs,"&lt;"&amp;AX441,R_EAbs,"&gt;"&amp;AW441,R_OKey,1)-1,0)</f>
        <v>0</v>
      </c>
      <c r="BA441" s="80">
        <f>IF(AY441=1,COUNTIFS(R_Emp,"&lt;&gt;"&amp;D441,R_SAbs,"&lt;"&amp;AX441,R_EAbs,"&gt;"&amp;AW441,R_OKey,1),0)</f>
        <v>0</v>
      </c>
      <c r="BB441" s="80">
        <f>IF(AND(AB441=1,D441="proMX"),IF(AND(MOD(Z441,CFG_BLK)=0,MOD(AA441,CFG_BLK)=0,MOD(AG441,CFG_BLK)=0,AG441&gt;0),1,0),1)</f>
        <v>1</v>
      </c>
      <c r="BC441" s="80" t="str">
        <f>IF(Y441=0,"",IF(NOT(ISNUMBER(B441)),"Falta fecha o fecha inválida",IF(D441="","Falta empresa",IF(AND(D441&lt;&gt;"Malcolm",D441&lt;&gt;"proMX"),"Empresa inválida",IF(OR(INT(B441)&lt;CFG_PSTART,INT(B441)&gt;CFG_PEND),"Fecha fuera del período",IF(OR(NOT(ISNUMBER(Z441)),NOT(ISNUMBER(AA441))),"Falta hora inicio/fin o formato inválido",IF(AB441=0,"Hora inicio = hora fin",IF(AE441&lt;0,"Descanso inválido",IF(AE441&gt;=AD441,"Descanso ≥ duración",IF(AV441=1,"Registro duplicado",IF(AZ441&gt;0,"Se superpone con otro registro "&amp;D441,IF(BB441=0,"inicio, fin y duración neta deben ser múltiplos de "&amp;CFG_BLK&amp;" min",""))))))))))))</f>
        <v/>
      </c>
      <c r="BD441" s="80">
        <f>IF(AND(Y441=1,BC441=""),1,0)</f>
        <v>0</v>
      </c>
      <c r="BE441" s="80">
        <f>IF(AND(BD441=1,AU441=1),1,0)</f>
        <v>0</v>
      </c>
      <c r="BF441" s="80" t="str">
        <f>IF(AND(D441="proMX",BD441=1),IF(R441="","Draft",R441),"")</f>
        <v/>
      </c>
      <c r="BG441" s="80">
        <f>IF(BD441=1,ROUND(AG441/60,6),0)</f>
        <v>0</v>
      </c>
      <c r="BH441" s="80">
        <f>IF(BE441=1,ROUND(AG441/60,6),0)</f>
        <v>0</v>
      </c>
      <c r="BI441" s="80">
        <f>IF(BE441=1,ROUND(AP441/60,6),0)</f>
        <v>0</v>
      </c>
      <c r="BJ441" s="80">
        <f>IF(BE441=1,ROUND(AQ441/60,6),0)</f>
        <v>0</v>
      </c>
      <c r="BK441" s="80">
        <f>IF(BE441=1,ROUND((AR441+AS441)/60,6),0)</f>
        <v>0</v>
      </c>
      <c r="BL441" s="80">
        <f>ROUND(BH441-BK441,6)</f>
        <v>0</v>
      </c>
      <c r="BM441" s="80">
        <f>IF(BE441=1,ROUND(AR441/60,6),0)</f>
        <v>0</v>
      </c>
      <c r="BN441" s="80">
        <f>ROUND(BI441-BM441,6)</f>
        <v>0</v>
      </c>
      <c r="BO441" s="80">
        <f>IF(BE441=1,ROUND(AS441/60,6),0)</f>
        <v>0</v>
      </c>
      <c r="BP441" s="80">
        <f>ROUND(BJ441-BO441,6)</f>
        <v>0</v>
      </c>
      <c r="BQ441" s="80">
        <f>IF(BE441=1,AW441,0)</f>
        <v>0</v>
      </c>
      <c r="BR441" s="80">
        <f>IF(BE441=1,AX441,0)</f>
        <v>0</v>
      </c>
      <c r="BS441" s="80">
        <f>IF(AND(BE441=1,D441="Malcolm",BA441&gt;0),MIN(BH441,SUMPRODUCT((R_Emp="proMX")*(R_EN&gt;0)*((R_EN-(R_EN&gt;BR441)*(R_EN-BR441))&gt;(R_SN+(R_SN&lt;BQ441)*(BQ441-R_SN)))*((R_EN-(R_EN&gt;BR441)*(R_EN-BR441))-(R_SN+(R_SN&lt;BQ441)*(BQ441-R_SN))))/60),0)</f>
        <v>0</v>
      </c>
      <c r="BT441" s="80">
        <f>IF(AND(BE441=1,D441="proMX"),ROUND(BI441*CFG_RATE+BJ441*CFG_OTRATE,6),0)</f>
        <v>0</v>
      </c>
      <c r="BU441" s="80">
        <f>IF(AND(BD441=1,D441="proMX"),ROUND(AG441/CFG_BLK,6),0)</f>
        <v>0</v>
      </c>
      <c r="BV441" s="80" t="str">
        <f>IF(BF441="Approved",IF(ISNUMBER(T441),INT(T441),INT(B441)),"")</f>
        <v/>
      </c>
      <c r="BW441" s="80">
        <f>IF(ISNUMBER(B441),IF(DB_MON="Todos",1,IF(AND(INT(B441)&gt;=DB_MS,INT(B441)&lt;=DB_ME),1,0)),0)</f>
        <v>0</v>
      </c>
      <c r="BX441" s="80">
        <f>IF(DB_PROJ="Todos",1,IF(E441&amp;""=DB_PROJ&amp;"",1,0))</f>
        <v>1</v>
      </c>
      <c r="BY441" s="80">
        <f>BW441*BX441</f>
        <v>0</v>
      </c>
      <c r="BZ441" s="80" t="str">
        <f>IF(Y441=1,F441&amp;IF(AND(F441&amp;""&lt;&gt;"",E441&amp;""&lt;&gt;"")," · ","")&amp;E441,"")</f>
        <v/>
      </c>
      <c r="CA441" s="80" t="str">
        <f>IF(AND(BD441=1,E441&amp;""&lt;&gt;""),IF(COUNTIFS($E$5:E440,E441,$BD$5:BD440,1)=0,MAX($CA$5:CA440)+1,""),"")</f>
        <v/>
      </c>
      <c r="CB441" s="80" t="str">
        <f>IF(AND(BE441=1,D441="Malcolm",E441&amp;""&lt;&gt;""),IF(COUNTIFS($D$5:D440,"Malcolm",$E$5:E440,E441,$BE$5:BE440,1)=0,MAX($CB$5:CB440)+1,""),"")</f>
        <v/>
      </c>
      <c r="CC441" s="80" t="str">
        <f>IF(AND(BD441=1,D441="proMX",E441&amp;""&lt;&gt;""),IF(COUNTIFS($D$5:D440,"proMX",$E$5:E440,E441,$BD$5:BD440,1)=0,MAX($CC$5:CC440)+1,""),"")</f>
        <v/>
      </c>
      <c r="CD441" s="80" t="str">
        <f>IF(AND(BE441=1,D441="Malcolm",F441&amp;""&lt;&gt;""),IF(COUNTIFS($D$5:D440,"Malcolm",$F$5:F440,F441,$BE$5:BE440,1)=0,MAX($CD$5:CD440)+1,""),"")</f>
        <v/>
      </c>
      <c r="CE441" s="80" t="str">
        <f>IF(AND(BD441=1,D441="proMX",F441&amp;""&lt;&gt;""),IF(COUNTIFS($D$5:D440,"proMX",$F$5:F440,F441,$BD$5:BD440,1)=0,MAX($CE$5:CE440)+1,""),"")</f>
        <v/>
      </c>
      <c r="CF441" s="80" t="str">
        <f>IF(AND(D441="proMX",BD441=1),IF(OR(BF441="Draft",BF441="Submitted",BF441="Returned",BF441="Recall Requested"),MAX($CF$5:CF440)+1,""),"")</f>
        <v/>
      </c>
      <c r="CG441" s="80">
        <f>IF(BD441=0,0,IF(D441="Malcolm",1,MATCH(BF441,{"Draft","Submitted","Approved","Returned","Recall Requested","Cancelled"},0)+1))</f>
        <v>0</v>
      </c>
      <c r="CH441" s="80">
        <f>IF(AND(BF441="Submitted",ISNUMBER(V441)),IF(V441&gt;CFG_MAXD,1,0),0)</f>
        <v>0</v>
      </c>
    </row>
    <row r="442">
      <c r="A442" s="71" t="str">
        <f>IF(Y442=1,ROW()-5,"")</f>
        <v/>
      </c>
      <c r="B442" s="72" t="n"/>
      <c r="C442" s="71" t="str">
        <f>IF(ISNUMBER(B442),CHOOSE(WEEKDAY(B442,2),"Lun","Mar","Mié","Jue","Vie","Sáb","Dom"),"")</f>
        <v/>
      </c>
      <c r="D442" s="73" t="n"/>
      <c r="E442" s="74" t="n"/>
      <c r="F442" s="74" t="n"/>
      <c r="G442" s="74" t="n"/>
      <c r="H442" s="75" t="n"/>
      <c r="I442" s="75" t="n"/>
      <c r="J442" s="76" t="n"/>
      <c r="K442" s="77" t="str">
        <f>IF(AB442=1,ROUND(AG442/60,4),"")</f>
        <v/>
      </c>
      <c r="L442" s="77" t="str">
        <f>IF(BD442=1,ROUND(AP442/60,4),"")</f>
        <v/>
      </c>
      <c r="M442" s="77" t="str">
        <f>IF(BD442=1,ROUND(AQ442/60,4),"")</f>
        <v/>
      </c>
      <c r="N442" s="71" t="str">
        <f>IF(AND(D442="proMX",AB442=1),ROUND(AG442/CFG_BLK,2),"")</f>
        <v/>
      </c>
      <c r="O442" s="77" t="str">
        <f>IF(D442="proMX",IF(BD442=1,ROUND(AG442/60,4),0),"")</f>
        <v/>
      </c>
      <c r="P442" s="78" t="str">
        <f>IF(Y442=0,"",IF(BD442=1,"OK",IF(D442="proMX","Revisar bloques: ","Revisar: ")&amp;BC442))</f>
        <v/>
      </c>
      <c r="Q442" s="78" t="str">
        <f>IF(NOT(ISNUMBER(B442)),"",IF(COUNTIFS(FER_F,INT(B442))&gt;0,"Feriado"&amp;IF(AH442=1," (laborable)"," (no laborable)"),IF(AH442=1,"Laborable",IF(WEEKDAY(B442,2)&gt;5,"Fin de semana","No laborable"))))</f>
        <v/>
      </c>
      <c r="R442" s="73" t="n"/>
      <c r="S442" s="72" t="n"/>
      <c r="T442" s="72" t="n"/>
      <c r="U442" s="74" t="n"/>
      <c r="V442" s="79" t="str">
        <f>IF(AND(D442="proMX",OR(R442="Submitted",R442="Recall Requested"),ISNUMBER(S442)),CFG_TODAY-INT(S442),"")</f>
        <v/>
      </c>
      <c r="W442" s="78" t="str">
        <f>IF(BD442=0,"",IF(BA442&gt;0,"⚠ Se superpone con un registro de la otra empresa",IF(D442="Malcolm",IF(COUNTA(R442,S442,T442)&gt;0,"Estado/fechas proMX se ignoran en Malcolm",""),IF(BF442="Cancelled","Cancelado: excluido de totales",IF(R442="","Sin estado: se trata como Draft",IF(BF442="Submitted",IF(ISNUMBER(V442),IF(V442&gt;CFG_MAXD,"⚠ "&amp;V442&amp;" días en Submitted (máx. "&amp;CFG_MAXD&amp;")",""),"Falta fecha de envío"),IF(BF442="Returned","⚠ Devuelto: corregir y reenviar",IF(BF442="Recall Requested","Retirada solicitada: pendiente",IF(AND(BF442="Approved",NOT(ISNUMBER(T442))),"Falta fecha de aprobación",IF(AND(ISNUMBER(S442),ISNUMBER(T442),T442&lt;S442),"Aprobación anterior al envío","")))))))))</f>
        <v/>
      </c>
      <c r="Y442" s="80">
        <f>IF(COUNTA(B442,D442,E442,F442,G442,H442,I442,J442,R442,S442,T442)&gt;0,1,0)</f>
        <v>0</v>
      </c>
      <c r="Z442" s="80" t="str">
        <f>IF(AND(ISNUMBER(H442),H442&gt;=0,H442&lt;1),ROUND(H442*1440,0),"")</f>
        <v/>
      </c>
      <c r="AA442" s="80" t="str">
        <f>IF(AND(ISNUMBER(I442),I442&gt;=0,I442&lt;1),ROUND(I442*1440,0),"")</f>
        <v/>
      </c>
      <c r="AB442" s="80">
        <f>IF(AND(ISNUMBER(B442),D442&lt;&gt;"",ISNUMBER(Z442),ISNUMBER(AA442)),IF(Z442=AA442,0,1),0)</f>
        <v>0</v>
      </c>
      <c r="AC442" s="80">
        <f>IF(AB442=1,IF(AA442&lt;Z442,1,0),0)</f>
        <v>0</v>
      </c>
      <c r="AD442" s="80">
        <f>IF(AB442=1,IF(AC442=1,1440-Z442+AA442,AA442-Z442),0)</f>
        <v>0</v>
      </c>
      <c r="AE442" s="80">
        <f>IF(J442="",0,IF(ISNUMBER(J442),J442,-1))</f>
        <v>0</v>
      </c>
      <c r="AF442" s="80">
        <f>MIN(MAX(0,AE442),AD442)</f>
        <v>0</v>
      </c>
      <c r="AG442" s="80">
        <f>MAX(0,AD442-MAX(0,AE442))</f>
        <v>0</v>
      </c>
      <c r="AH442" s="80">
        <f>IF(ISNUMBER(B442),IF(AND(INDEX(CFG_WDAYS,WEEKDAY(INT(B442),2))="Sí",IF(D442="proMX",COUNTIFS(FER_F,INT(B442),FER_NLP,"Sí"),COUNTIFS(FER_F,INT(B442),FER_NLM,"Sí"))=0),1,0),0)</f>
        <v>0</v>
      </c>
      <c r="AI442" s="80">
        <f>IF(AC442=1,IF(AND(INDEX(CFG_WDAYS,WEEKDAY(INT(B442)+1,2))="Sí",IF(D442="proMX",COUNTIFS(FER_F,INT(B442)+1,FER_NLP,"Sí"),COUNTIFS(FER_F,INT(B442)+1,FER_NLM,"Sí"))=0),1,0),0)</f>
        <v>0</v>
      </c>
      <c r="AJ442" s="80">
        <f>IF(AC442=1,1440-Z442,AD442)</f>
        <v>0</v>
      </c>
      <c r="AK442" s="80">
        <f>IF(AND(AB442=1,AH442=1),MAX(0,MIN(IF(AC442=1,1440,AA442),CFG_WEM)-MAX(Z442,CFG_WSM)),0)</f>
        <v>0</v>
      </c>
      <c r="AL442" s="80">
        <f>IF(AND(AC442=1,AI442=1),MAX(0,MIN(AA442,CFG_WEM)-CFG_WSM),0)</f>
        <v>0</v>
      </c>
      <c r="AM442" s="80">
        <f>AK442+AL442</f>
        <v>0</v>
      </c>
      <c r="AN442" s="80">
        <f>IF(CFG_BRK="Proporcional",IF(AD442=0,0,AF442*AM442/AD442),IF(CFG_BRK="Extras primero",MIN(AM442,MAX(0,AF442-(AD442-AM442))),MIN(AF442,AM442)))</f>
        <v>0</v>
      </c>
      <c r="AO442" s="80">
        <f>AF442-AN442</f>
        <v>0</v>
      </c>
      <c r="AP442" s="80">
        <f>AM442-AN442</f>
        <v>0</v>
      </c>
      <c r="AQ442" s="80">
        <f>AD442-AM442-AO442</f>
        <v>0</v>
      </c>
      <c r="AR442" s="80">
        <f>IF(AM442=0,0,AK442-AN442*AK442/AM442)</f>
        <v>0</v>
      </c>
      <c r="AS442" s="80">
        <f>IF(AD442-AM442=0,0,(AJ442-AK442)-AO442*(AJ442-AK442)/(AD442-AM442))</f>
        <v>0</v>
      </c>
      <c r="AT442" s="80" t="str">
        <f>IF(AC442=1,INT(B442)+1,"")</f>
        <v/>
      </c>
      <c r="AU442" s="80">
        <f>IF(AND(D442="proMX",R442="Cancelled"),0,1)</f>
        <v>1</v>
      </c>
      <c r="AV442" s="80">
        <f>IF(AND(AB442=1,AU442=1),IF(COUNTIFS($D$5:D441,D442,$B$5:B441,B442,$Z$5:Z441,Z442,$AA$5:AA441,AA442,$F$5:F441,F442&amp;"",$AU$5:AU441,1)&gt;0,1,0),0)</f>
        <v>0</v>
      </c>
      <c r="AW442" s="80" t="str">
        <f>IF(AB442=1,INT(B442)*1440+Z442,"")</f>
        <v/>
      </c>
      <c r="AX442" s="80" t="str">
        <f>IF(AB442=1,AW442+AD442,"")</f>
        <v/>
      </c>
      <c r="AY442" s="80">
        <f>IF(AND(AB442=1,AV442=0,AU442=1),1,0)</f>
        <v>0</v>
      </c>
      <c r="AZ442" s="80">
        <f>IF(AY442=1,COUNTIFS(R_Emp,D442,R_SAbs,"&lt;"&amp;AX442,R_EAbs,"&gt;"&amp;AW442,R_OKey,1)-1,0)</f>
        <v>0</v>
      </c>
      <c r="BA442" s="80">
        <f>IF(AY442=1,COUNTIFS(R_Emp,"&lt;&gt;"&amp;D442,R_SAbs,"&lt;"&amp;AX442,R_EAbs,"&gt;"&amp;AW442,R_OKey,1),0)</f>
        <v>0</v>
      </c>
      <c r="BB442" s="80">
        <f>IF(AND(AB442=1,D442="proMX"),IF(AND(MOD(Z442,CFG_BLK)=0,MOD(AA442,CFG_BLK)=0,MOD(AG442,CFG_BLK)=0,AG442&gt;0),1,0),1)</f>
        <v>1</v>
      </c>
      <c r="BC442" s="80" t="str">
        <f>IF(Y442=0,"",IF(NOT(ISNUMBER(B442)),"Falta fecha o fecha inválida",IF(D442="","Falta empresa",IF(AND(D442&lt;&gt;"Malcolm",D442&lt;&gt;"proMX"),"Empresa inválida",IF(OR(INT(B442)&lt;CFG_PSTART,INT(B442)&gt;CFG_PEND),"Fecha fuera del período",IF(OR(NOT(ISNUMBER(Z442)),NOT(ISNUMBER(AA442))),"Falta hora inicio/fin o formato inválido",IF(AB442=0,"Hora inicio = hora fin",IF(AE442&lt;0,"Descanso inválido",IF(AE442&gt;=AD442,"Descanso ≥ duración",IF(AV442=1,"Registro duplicado",IF(AZ442&gt;0,"Se superpone con otro registro "&amp;D442,IF(BB442=0,"inicio, fin y duración neta deben ser múltiplos de "&amp;CFG_BLK&amp;" min",""))))))))))))</f>
        <v/>
      </c>
      <c r="BD442" s="80">
        <f>IF(AND(Y442=1,BC442=""),1,0)</f>
        <v>0</v>
      </c>
      <c r="BE442" s="80">
        <f>IF(AND(BD442=1,AU442=1),1,0)</f>
        <v>0</v>
      </c>
      <c r="BF442" s="80" t="str">
        <f>IF(AND(D442="proMX",BD442=1),IF(R442="","Draft",R442),"")</f>
        <v/>
      </c>
      <c r="BG442" s="80">
        <f>IF(BD442=1,ROUND(AG442/60,6),0)</f>
        <v>0</v>
      </c>
      <c r="BH442" s="80">
        <f>IF(BE442=1,ROUND(AG442/60,6),0)</f>
        <v>0</v>
      </c>
      <c r="BI442" s="80">
        <f>IF(BE442=1,ROUND(AP442/60,6),0)</f>
        <v>0</v>
      </c>
      <c r="BJ442" s="80">
        <f>IF(BE442=1,ROUND(AQ442/60,6),0)</f>
        <v>0</v>
      </c>
      <c r="BK442" s="80">
        <f>IF(BE442=1,ROUND((AR442+AS442)/60,6),0)</f>
        <v>0</v>
      </c>
      <c r="BL442" s="80">
        <f>ROUND(BH442-BK442,6)</f>
        <v>0</v>
      </c>
      <c r="BM442" s="80">
        <f>IF(BE442=1,ROUND(AR442/60,6),0)</f>
        <v>0</v>
      </c>
      <c r="BN442" s="80">
        <f>ROUND(BI442-BM442,6)</f>
        <v>0</v>
      </c>
      <c r="BO442" s="80">
        <f>IF(BE442=1,ROUND(AS442/60,6),0)</f>
        <v>0</v>
      </c>
      <c r="BP442" s="80">
        <f>ROUND(BJ442-BO442,6)</f>
        <v>0</v>
      </c>
      <c r="BQ442" s="80">
        <f>IF(BE442=1,AW442,0)</f>
        <v>0</v>
      </c>
      <c r="BR442" s="80">
        <f>IF(BE442=1,AX442,0)</f>
        <v>0</v>
      </c>
      <c r="BS442" s="80">
        <f>IF(AND(BE442=1,D442="Malcolm",BA442&gt;0),MIN(BH442,SUMPRODUCT((R_Emp="proMX")*(R_EN&gt;0)*((R_EN-(R_EN&gt;BR442)*(R_EN-BR442))&gt;(R_SN+(R_SN&lt;BQ442)*(BQ442-R_SN)))*((R_EN-(R_EN&gt;BR442)*(R_EN-BR442))-(R_SN+(R_SN&lt;BQ442)*(BQ442-R_SN))))/60),0)</f>
        <v>0</v>
      </c>
      <c r="BT442" s="80">
        <f>IF(AND(BE442=1,D442="proMX"),ROUND(BI442*CFG_RATE+BJ442*CFG_OTRATE,6),0)</f>
        <v>0</v>
      </c>
      <c r="BU442" s="80">
        <f>IF(AND(BD442=1,D442="proMX"),ROUND(AG442/CFG_BLK,6),0)</f>
        <v>0</v>
      </c>
      <c r="BV442" s="80" t="str">
        <f>IF(BF442="Approved",IF(ISNUMBER(T442),INT(T442),INT(B442)),"")</f>
        <v/>
      </c>
      <c r="BW442" s="80">
        <f>IF(ISNUMBER(B442),IF(DB_MON="Todos",1,IF(AND(INT(B442)&gt;=DB_MS,INT(B442)&lt;=DB_ME),1,0)),0)</f>
        <v>0</v>
      </c>
      <c r="BX442" s="80">
        <f>IF(DB_PROJ="Todos",1,IF(E442&amp;""=DB_PROJ&amp;"",1,0))</f>
        <v>1</v>
      </c>
      <c r="BY442" s="80">
        <f>BW442*BX442</f>
        <v>0</v>
      </c>
      <c r="BZ442" s="80" t="str">
        <f>IF(Y442=1,F442&amp;IF(AND(F442&amp;""&lt;&gt;"",E442&amp;""&lt;&gt;"")," · ","")&amp;E442,"")</f>
        <v/>
      </c>
      <c r="CA442" s="80" t="str">
        <f>IF(AND(BD442=1,E442&amp;""&lt;&gt;""),IF(COUNTIFS($E$5:E441,E442,$BD$5:BD441,1)=0,MAX($CA$5:CA441)+1,""),"")</f>
        <v/>
      </c>
      <c r="CB442" s="80" t="str">
        <f>IF(AND(BE442=1,D442="Malcolm",E442&amp;""&lt;&gt;""),IF(COUNTIFS($D$5:D441,"Malcolm",$E$5:E441,E442,$BE$5:BE441,1)=0,MAX($CB$5:CB441)+1,""),"")</f>
        <v/>
      </c>
      <c r="CC442" s="80" t="str">
        <f>IF(AND(BD442=1,D442="proMX",E442&amp;""&lt;&gt;""),IF(COUNTIFS($D$5:D441,"proMX",$E$5:E441,E442,$BD$5:BD441,1)=0,MAX($CC$5:CC441)+1,""),"")</f>
        <v/>
      </c>
      <c r="CD442" s="80" t="str">
        <f>IF(AND(BE442=1,D442="Malcolm",F442&amp;""&lt;&gt;""),IF(COUNTIFS($D$5:D441,"Malcolm",$F$5:F441,F442,$BE$5:BE441,1)=0,MAX($CD$5:CD441)+1,""),"")</f>
        <v/>
      </c>
      <c r="CE442" s="80" t="str">
        <f>IF(AND(BD442=1,D442="proMX",F442&amp;""&lt;&gt;""),IF(COUNTIFS($D$5:D441,"proMX",$F$5:F441,F442,$BD$5:BD441,1)=0,MAX($CE$5:CE441)+1,""),"")</f>
        <v/>
      </c>
      <c r="CF442" s="80" t="str">
        <f>IF(AND(D442="proMX",BD442=1),IF(OR(BF442="Draft",BF442="Submitted",BF442="Returned",BF442="Recall Requested"),MAX($CF$5:CF441)+1,""),"")</f>
        <v/>
      </c>
      <c r="CG442" s="80">
        <f>IF(BD442=0,0,IF(D442="Malcolm",1,MATCH(BF442,{"Draft","Submitted","Approved","Returned","Recall Requested","Cancelled"},0)+1))</f>
        <v>0</v>
      </c>
      <c r="CH442" s="80">
        <f>IF(AND(BF442="Submitted",ISNUMBER(V442)),IF(V442&gt;CFG_MAXD,1,0),0)</f>
        <v>0</v>
      </c>
    </row>
    <row r="443">
      <c r="A443" s="71" t="str">
        <f>IF(Y443=1,ROW()-5,"")</f>
        <v/>
      </c>
      <c r="B443" s="72" t="n"/>
      <c r="C443" s="71" t="str">
        <f>IF(ISNUMBER(B443),CHOOSE(WEEKDAY(B443,2),"Lun","Mar","Mié","Jue","Vie","Sáb","Dom"),"")</f>
        <v/>
      </c>
      <c r="D443" s="73" t="n"/>
      <c r="E443" s="74" t="n"/>
      <c r="F443" s="74" t="n"/>
      <c r="G443" s="74" t="n"/>
      <c r="H443" s="75" t="n"/>
      <c r="I443" s="75" t="n"/>
      <c r="J443" s="76" t="n"/>
      <c r="K443" s="77" t="str">
        <f>IF(AB443=1,ROUND(AG443/60,4),"")</f>
        <v/>
      </c>
      <c r="L443" s="77" t="str">
        <f>IF(BD443=1,ROUND(AP443/60,4),"")</f>
        <v/>
      </c>
      <c r="M443" s="77" t="str">
        <f>IF(BD443=1,ROUND(AQ443/60,4),"")</f>
        <v/>
      </c>
      <c r="N443" s="71" t="str">
        <f>IF(AND(D443="proMX",AB443=1),ROUND(AG443/CFG_BLK,2),"")</f>
        <v/>
      </c>
      <c r="O443" s="77" t="str">
        <f>IF(D443="proMX",IF(BD443=1,ROUND(AG443/60,4),0),"")</f>
        <v/>
      </c>
      <c r="P443" s="78" t="str">
        <f>IF(Y443=0,"",IF(BD443=1,"OK",IF(D443="proMX","Revisar bloques: ","Revisar: ")&amp;BC443))</f>
        <v/>
      </c>
      <c r="Q443" s="78" t="str">
        <f>IF(NOT(ISNUMBER(B443)),"",IF(COUNTIFS(FER_F,INT(B443))&gt;0,"Feriado"&amp;IF(AH443=1," (laborable)"," (no laborable)"),IF(AH443=1,"Laborable",IF(WEEKDAY(B443,2)&gt;5,"Fin de semana","No laborable"))))</f>
        <v/>
      </c>
      <c r="R443" s="73" t="n"/>
      <c r="S443" s="72" t="n"/>
      <c r="T443" s="72" t="n"/>
      <c r="U443" s="74" t="n"/>
      <c r="V443" s="79" t="str">
        <f>IF(AND(D443="proMX",OR(R443="Submitted",R443="Recall Requested"),ISNUMBER(S443)),CFG_TODAY-INT(S443),"")</f>
        <v/>
      </c>
      <c r="W443" s="78" t="str">
        <f>IF(BD443=0,"",IF(BA443&gt;0,"⚠ Se superpone con un registro de la otra empresa",IF(D443="Malcolm",IF(COUNTA(R443,S443,T443)&gt;0,"Estado/fechas proMX se ignoran en Malcolm",""),IF(BF443="Cancelled","Cancelado: excluido de totales",IF(R443="","Sin estado: se trata como Draft",IF(BF443="Submitted",IF(ISNUMBER(V443),IF(V443&gt;CFG_MAXD,"⚠ "&amp;V443&amp;" días en Submitted (máx. "&amp;CFG_MAXD&amp;")",""),"Falta fecha de envío"),IF(BF443="Returned","⚠ Devuelto: corregir y reenviar",IF(BF443="Recall Requested","Retirada solicitada: pendiente",IF(AND(BF443="Approved",NOT(ISNUMBER(T443))),"Falta fecha de aprobación",IF(AND(ISNUMBER(S443),ISNUMBER(T443),T443&lt;S443),"Aprobación anterior al envío","")))))))))</f>
        <v/>
      </c>
      <c r="Y443" s="80">
        <f>IF(COUNTA(B443,D443,E443,F443,G443,H443,I443,J443,R443,S443,T443)&gt;0,1,0)</f>
        <v>0</v>
      </c>
      <c r="Z443" s="80" t="str">
        <f>IF(AND(ISNUMBER(H443),H443&gt;=0,H443&lt;1),ROUND(H443*1440,0),"")</f>
        <v/>
      </c>
      <c r="AA443" s="80" t="str">
        <f>IF(AND(ISNUMBER(I443),I443&gt;=0,I443&lt;1),ROUND(I443*1440,0),"")</f>
        <v/>
      </c>
      <c r="AB443" s="80">
        <f>IF(AND(ISNUMBER(B443),D443&lt;&gt;"",ISNUMBER(Z443),ISNUMBER(AA443)),IF(Z443=AA443,0,1),0)</f>
        <v>0</v>
      </c>
      <c r="AC443" s="80">
        <f>IF(AB443=1,IF(AA443&lt;Z443,1,0),0)</f>
        <v>0</v>
      </c>
      <c r="AD443" s="80">
        <f>IF(AB443=1,IF(AC443=1,1440-Z443+AA443,AA443-Z443),0)</f>
        <v>0</v>
      </c>
      <c r="AE443" s="80">
        <f>IF(J443="",0,IF(ISNUMBER(J443),J443,-1))</f>
        <v>0</v>
      </c>
      <c r="AF443" s="80">
        <f>MIN(MAX(0,AE443),AD443)</f>
        <v>0</v>
      </c>
      <c r="AG443" s="80">
        <f>MAX(0,AD443-MAX(0,AE443))</f>
        <v>0</v>
      </c>
      <c r="AH443" s="80">
        <f>IF(ISNUMBER(B443),IF(AND(INDEX(CFG_WDAYS,WEEKDAY(INT(B443),2))="Sí",IF(D443="proMX",COUNTIFS(FER_F,INT(B443),FER_NLP,"Sí"),COUNTIFS(FER_F,INT(B443),FER_NLM,"Sí"))=0),1,0),0)</f>
        <v>0</v>
      </c>
      <c r="AI443" s="80">
        <f>IF(AC443=1,IF(AND(INDEX(CFG_WDAYS,WEEKDAY(INT(B443)+1,2))="Sí",IF(D443="proMX",COUNTIFS(FER_F,INT(B443)+1,FER_NLP,"Sí"),COUNTIFS(FER_F,INT(B443)+1,FER_NLM,"Sí"))=0),1,0),0)</f>
        <v>0</v>
      </c>
      <c r="AJ443" s="80">
        <f>IF(AC443=1,1440-Z443,AD443)</f>
        <v>0</v>
      </c>
      <c r="AK443" s="80">
        <f>IF(AND(AB443=1,AH443=1),MAX(0,MIN(IF(AC443=1,1440,AA443),CFG_WEM)-MAX(Z443,CFG_WSM)),0)</f>
        <v>0</v>
      </c>
      <c r="AL443" s="80">
        <f>IF(AND(AC443=1,AI443=1),MAX(0,MIN(AA443,CFG_WEM)-CFG_WSM),0)</f>
        <v>0</v>
      </c>
      <c r="AM443" s="80">
        <f>AK443+AL443</f>
        <v>0</v>
      </c>
      <c r="AN443" s="80">
        <f>IF(CFG_BRK="Proporcional",IF(AD443=0,0,AF443*AM443/AD443),IF(CFG_BRK="Extras primero",MIN(AM443,MAX(0,AF443-(AD443-AM443))),MIN(AF443,AM443)))</f>
        <v>0</v>
      </c>
      <c r="AO443" s="80">
        <f>AF443-AN443</f>
        <v>0</v>
      </c>
      <c r="AP443" s="80">
        <f>AM443-AN443</f>
        <v>0</v>
      </c>
      <c r="AQ443" s="80">
        <f>AD443-AM443-AO443</f>
        <v>0</v>
      </c>
      <c r="AR443" s="80">
        <f>IF(AM443=0,0,AK443-AN443*AK443/AM443)</f>
        <v>0</v>
      </c>
      <c r="AS443" s="80">
        <f>IF(AD443-AM443=0,0,(AJ443-AK443)-AO443*(AJ443-AK443)/(AD443-AM443))</f>
        <v>0</v>
      </c>
      <c r="AT443" s="80" t="str">
        <f>IF(AC443=1,INT(B443)+1,"")</f>
        <v/>
      </c>
      <c r="AU443" s="80">
        <f>IF(AND(D443="proMX",R443="Cancelled"),0,1)</f>
        <v>1</v>
      </c>
      <c r="AV443" s="80">
        <f>IF(AND(AB443=1,AU443=1),IF(COUNTIFS($D$5:D442,D443,$B$5:B442,B443,$Z$5:Z442,Z443,$AA$5:AA442,AA443,$F$5:F442,F443&amp;"",$AU$5:AU442,1)&gt;0,1,0),0)</f>
        <v>0</v>
      </c>
      <c r="AW443" s="80" t="str">
        <f>IF(AB443=1,INT(B443)*1440+Z443,"")</f>
        <v/>
      </c>
      <c r="AX443" s="80" t="str">
        <f>IF(AB443=1,AW443+AD443,"")</f>
        <v/>
      </c>
      <c r="AY443" s="80">
        <f>IF(AND(AB443=1,AV443=0,AU443=1),1,0)</f>
        <v>0</v>
      </c>
      <c r="AZ443" s="80">
        <f>IF(AY443=1,COUNTIFS(R_Emp,D443,R_SAbs,"&lt;"&amp;AX443,R_EAbs,"&gt;"&amp;AW443,R_OKey,1)-1,0)</f>
        <v>0</v>
      </c>
      <c r="BA443" s="80">
        <f>IF(AY443=1,COUNTIFS(R_Emp,"&lt;&gt;"&amp;D443,R_SAbs,"&lt;"&amp;AX443,R_EAbs,"&gt;"&amp;AW443,R_OKey,1),0)</f>
        <v>0</v>
      </c>
      <c r="BB443" s="80">
        <f>IF(AND(AB443=1,D443="proMX"),IF(AND(MOD(Z443,CFG_BLK)=0,MOD(AA443,CFG_BLK)=0,MOD(AG443,CFG_BLK)=0,AG443&gt;0),1,0),1)</f>
        <v>1</v>
      </c>
      <c r="BC443" s="80" t="str">
        <f>IF(Y443=0,"",IF(NOT(ISNUMBER(B443)),"Falta fecha o fecha inválida",IF(D443="","Falta empresa",IF(AND(D443&lt;&gt;"Malcolm",D443&lt;&gt;"proMX"),"Empresa inválida",IF(OR(INT(B443)&lt;CFG_PSTART,INT(B443)&gt;CFG_PEND),"Fecha fuera del período",IF(OR(NOT(ISNUMBER(Z443)),NOT(ISNUMBER(AA443))),"Falta hora inicio/fin o formato inválido",IF(AB443=0,"Hora inicio = hora fin",IF(AE443&lt;0,"Descanso inválido",IF(AE443&gt;=AD443,"Descanso ≥ duración",IF(AV443=1,"Registro duplicado",IF(AZ443&gt;0,"Se superpone con otro registro "&amp;D443,IF(BB443=0,"inicio, fin y duración neta deben ser múltiplos de "&amp;CFG_BLK&amp;" min",""))))))))))))</f>
        <v/>
      </c>
      <c r="BD443" s="80">
        <f>IF(AND(Y443=1,BC443=""),1,0)</f>
        <v>0</v>
      </c>
      <c r="BE443" s="80">
        <f>IF(AND(BD443=1,AU443=1),1,0)</f>
        <v>0</v>
      </c>
      <c r="BF443" s="80" t="str">
        <f>IF(AND(D443="proMX",BD443=1),IF(R443="","Draft",R443),"")</f>
        <v/>
      </c>
      <c r="BG443" s="80">
        <f>IF(BD443=1,ROUND(AG443/60,6),0)</f>
        <v>0</v>
      </c>
      <c r="BH443" s="80">
        <f>IF(BE443=1,ROUND(AG443/60,6),0)</f>
        <v>0</v>
      </c>
      <c r="BI443" s="80">
        <f>IF(BE443=1,ROUND(AP443/60,6),0)</f>
        <v>0</v>
      </c>
      <c r="BJ443" s="80">
        <f>IF(BE443=1,ROUND(AQ443/60,6),0)</f>
        <v>0</v>
      </c>
      <c r="BK443" s="80">
        <f>IF(BE443=1,ROUND((AR443+AS443)/60,6),0)</f>
        <v>0</v>
      </c>
      <c r="BL443" s="80">
        <f>ROUND(BH443-BK443,6)</f>
        <v>0</v>
      </c>
      <c r="BM443" s="80">
        <f>IF(BE443=1,ROUND(AR443/60,6),0)</f>
        <v>0</v>
      </c>
      <c r="BN443" s="80">
        <f>ROUND(BI443-BM443,6)</f>
        <v>0</v>
      </c>
      <c r="BO443" s="80">
        <f>IF(BE443=1,ROUND(AS443/60,6),0)</f>
        <v>0</v>
      </c>
      <c r="BP443" s="80">
        <f>ROUND(BJ443-BO443,6)</f>
        <v>0</v>
      </c>
      <c r="BQ443" s="80">
        <f>IF(BE443=1,AW443,0)</f>
        <v>0</v>
      </c>
      <c r="BR443" s="80">
        <f>IF(BE443=1,AX443,0)</f>
        <v>0</v>
      </c>
      <c r="BS443" s="80">
        <f>IF(AND(BE443=1,D443="Malcolm",BA443&gt;0),MIN(BH443,SUMPRODUCT((R_Emp="proMX")*(R_EN&gt;0)*((R_EN-(R_EN&gt;BR443)*(R_EN-BR443))&gt;(R_SN+(R_SN&lt;BQ443)*(BQ443-R_SN)))*((R_EN-(R_EN&gt;BR443)*(R_EN-BR443))-(R_SN+(R_SN&lt;BQ443)*(BQ443-R_SN))))/60),0)</f>
        <v>0</v>
      </c>
      <c r="BT443" s="80">
        <f>IF(AND(BE443=1,D443="proMX"),ROUND(BI443*CFG_RATE+BJ443*CFG_OTRATE,6),0)</f>
        <v>0</v>
      </c>
      <c r="BU443" s="80">
        <f>IF(AND(BD443=1,D443="proMX"),ROUND(AG443/CFG_BLK,6),0)</f>
        <v>0</v>
      </c>
      <c r="BV443" s="80" t="str">
        <f>IF(BF443="Approved",IF(ISNUMBER(T443),INT(T443),INT(B443)),"")</f>
        <v/>
      </c>
      <c r="BW443" s="80">
        <f>IF(ISNUMBER(B443),IF(DB_MON="Todos",1,IF(AND(INT(B443)&gt;=DB_MS,INT(B443)&lt;=DB_ME),1,0)),0)</f>
        <v>0</v>
      </c>
      <c r="BX443" s="80">
        <f>IF(DB_PROJ="Todos",1,IF(E443&amp;""=DB_PROJ&amp;"",1,0))</f>
        <v>1</v>
      </c>
      <c r="BY443" s="80">
        <f>BW443*BX443</f>
        <v>0</v>
      </c>
      <c r="BZ443" s="80" t="str">
        <f>IF(Y443=1,F443&amp;IF(AND(F443&amp;""&lt;&gt;"",E443&amp;""&lt;&gt;"")," · ","")&amp;E443,"")</f>
        <v/>
      </c>
      <c r="CA443" s="80" t="str">
        <f>IF(AND(BD443=1,E443&amp;""&lt;&gt;""),IF(COUNTIFS($E$5:E442,E443,$BD$5:BD442,1)=0,MAX($CA$5:CA442)+1,""),"")</f>
        <v/>
      </c>
      <c r="CB443" s="80" t="str">
        <f>IF(AND(BE443=1,D443="Malcolm",E443&amp;""&lt;&gt;""),IF(COUNTIFS($D$5:D442,"Malcolm",$E$5:E442,E443,$BE$5:BE442,1)=0,MAX($CB$5:CB442)+1,""),"")</f>
        <v/>
      </c>
      <c r="CC443" s="80" t="str">
        <f>IF(AND(BD443=1,D443="proMX",E443&amp;""&lt;&gt;""),IF(COUNTIFS($D$5:D442,"proMX",$E$5:E442,E443,$BD$5:BD442,1)=0,MAX($CC$5:CC442)+1,""),"")</f>
        <v/>
      </c>
      <c r="CD443" s="80" t="str">
        <f>IF(AND(BE443=1,D443="Malcolm",F443&amp;""&lt;&gt;""),IF(COUNTIFS($D$5:D442,"Malcolm",$F$5:F442,F443,$BE$5:BE442,1)=0,MAX($CD$5:CD442)+1,""),"")</f>
        <v/>
      </c>
      <c r="CE443" s="80" t="str">
        <f>IF(AND(BD443=1,D443="proMX",F443&amp;""&lt;&gt;""),IF(COUNTIFS($D$5:D442,"proMX",$F$5:F442,F443,$BD$5:BD442,1)=0,MAX($CE$5:CE442)+1,""),"")</f>
        <v/>
      </c>
      <c r="CF443" s="80" t="str">
        <f>IF(AND(D443="proMX",BD443=1),IF(OR(BF443="Draft",BF443="Submitted",BF443="Returned",BF443="Recall Requested"),MAX($CF$5:CF442)+1,""),"")</f>
        <v/>
      </c>
      <c r="CG443" s="80">
        <f>IF(BD443=0,0,IF(D443="Malcolm",1,MATCH(BF443,{"Draft","Submitted","Approved","Returned","Recall Requested","Cancelled"},0)+1))</f>
        <v>0</v>
      </c>
      <c r="CH443" s="80">
        <f>IF(AND(BF443="Submitted",ISNUMBER(V443)),IF(V443&gt;CFG_MAXD,1,0),0)</f>
        <v>0</v>
      </c>
    </row>
    <row r="444">
      <c r="A444" s="71" t="str">
        <f>IF(Y444=1,ROW()-5,"")</f>
        <v/>
      </c>
      <c r="B444" s="72" t="n"/>
      <c r="C444" s="71" t="str">
        <f>IF(ISNUMBER(B444),CHOOSE(WEEKDAY(B444,2),"Lun","Mar","Mié","Jue","Vie","Sáb","Dom"),"")</f>
        <v/>
      </c>
      <c r="D444" s="73" t="n"/>
      <c r="E444" s="74" t="n"/>
      <c r="F444" s="74" t="n"/>
      <c r="G444" s="74" t="n"/>
      <c r="H444" s="75" t="n"/>
      <c r="I444" s="75" t="n"/>
      <c r="J444" s="76" t="n"/>
      <c r="K444" s="77" t="str">
        <f>IF(AB444=1,ROUND(AG444/60,4),"")</f>
        <v/>
      </c>
      <c r="L444" s="77" t="str">
        <f>IF(BD444=1,ROUND(AP444/60,4),"")</f>
        <v/>
      </c>
      <c r="M444" s="77" t="str">
        <f>IF(BD444=1,ROUND(AQ444/60,4),"")</f>
        <v/>
      </c>
      <c r="N444" s="71" t="str">
        <f>IF(AND(D444="proMX",AB444=1),ROUND(AG444/CFG_BLK,2),"")</f>
        <v/>
      </c>
      <c r="O444" s="77" t="str">
        <f>IF(D444="proMX",IF(BD444=1,ROUND(AG444/60,4),0),"")</f>
        <v/>
      </c>
      <c r="P444" s="78" t="str">
        <f>IF(Y444=0,"",IF(BD444=1,"OK",IF(D444="proMX","Revisar bloques: ","Revisar: ")&amp;BC444))</f>
        <v/>
      </c>
      <c r="Q444" s="78" t="str">
        <f>IF(NOT(ISNUMBER(B444)),"",IF(COUNTIFS(FER_F,INT(B444))&gt;0,"Feriado"&amp;IF(AH444=1," (laborable)"," (no laborable)"),IF(AH444=1,"Laborable",IF(WEEKDAY(B444,2)&gt;5,"Fin de semana","No laborable"))))</f>
        <v/>
      </c>
      <c r="R444" s="73" t="n"/>
      <c r="S444" s="72" t="n"/>
      <c r="T444" s="72" t="n"/>
      <c r="U444" s="74" t="n"/>
      <c r="V444" s="79" t="str">
        <f>IF(AND(D444="proMX",OR(R444="Submitted",R444="Recall Requested"),ISNUMBER(S444)),CFG_TODAY-INT(S444),"")</f>
        <v/>
      </c>
      <c r="W444" s="78" t="str">
        <f>IF(BD444=0,"",IF(BA444&gt;0,"⚠ Se superpone con un registro de la otra empresa",IF(D444="Malcolm",IF(COUNTA(R444,S444,T444)&gt;0,"Estado/fechas proMX se ignoran en Malcolm",""),IF(BF444="Cancelled","Cancelado: excluido de totales",IF(R444="","Sin estado: se trata como Draft",IF(BF444="Submitted",IF(ISNUMBER(V444),IF(V444&gt;CFG_MAXD,"⚠ "&amp;V444&amp;" días en Submitted (máx. "&amp;CFG_MAXD&amp;")",""),"Falta fecha de envío"),IF(BF444="Returned","⚠ Devuelto: corregir y reenviar",IF(BF444="Recall Requested","Retirada solicitada: pendiente",IF(AND(BF444="Approved",NOT(ISNUMBER(T444))),"Falta fecha de aprobación",IF(AND(ISNUMBER(S444),ISNUMBER(T444),T444&lt;S444),"Aprobación anterior al envío","")))))))))</f>
        <v/>
      </c>
      <c r="Y444" s="80">
        <f>IF(COUNTA(B444,D444,E444,F444,G444,H444,I444,J444,R444,S444,T444)&gt;0,1,0)</f>
        <v>0</v>
      </c>
      <c r="Z444" s="80" t="str">
        <f>IF(AND(ISNUMBER(H444),H444&gt;=0,H444&lt;1),ROUND(H444*1440,0),"")</f>
        <v/>
      </c>
      <c r="AA444" s="80" t="str">
        <f>IF(AND(ISNUMBER(I444),I444&gt;=0,I444&lt;1),ROUND(I444*1440,0),"")</f>
        <v/>
      </c>
      <c r="AB444" s="80">
        <f>IF(AND(ISNUMBER(B444),D444&lt;&gt;"",ISNUMBER(Z444),ISNUMBER(AA444)),IF(Z444=AA444,0,1),0)</f>
        <v>0</v>
      </c>
      <c r="AC444" s="80">
        <f>IF(AB444=1,IF(AA444&lt;Z444,1,0),0)</f>
        <v>0</v>
      </c>
      <c r="AD444" s="80">
        <f>IF(AB444=1,IF(AC444=1,1440-Z444+AA444,AA444-Z444),0)</f>
        <v>0</v>
      </c>
      <c r="AE444" s="80">
        <f>IF(J444="",0,IF(ISNUMBER(J444),J444,-1))</f>
        <v>0</v>
      </c>
      <c r="AF444" s="80">
        <f>MIN(MAX(0,AE444),AD444)</f>
        <v>0</v>
      </c>
      <c r="AG444" s="80">
        <f>MAX(0,AD444-MAX(0,AE444))</f>
        <v>0</v>
      </c>
      <c r="AH444" s="80">
        <f>IF(ISNUMBER(B444),IF(AND(INDEX(CFG_WDAYS,WEEKDAY(INT(B444),2))="Sí",IF(D444="proMX",COUNTIFS(FER_F,INT(B444),FER_NLP,"Sí"),COUNTIFS(FER_F,INT(B444),FER_NLM,"Sí"))=0),1,0),0)</f>
        <v>0</v>
      </c>
      <c r="AI444" s="80">
        <f>IF(AC444=1,IF(AND(INDEX(CFG_WDAYS,WEEKDAY(INT(B444)+1,2))="Sí",IF(D444="proMX",COUNTIFS(FER_F,INT(B444)+1,FER_NLP,"Sí"),COUNTIFS(FER_F,INT(B444)+1,FER_NLM,"Sí"))=0),1,0),0)</f>
        <v>0</v>
      </c>
      <c r="AJ444" s="80">
        <f>IF(AC444=1,1440-Z444,AD444)</f>
        <v>0</v>
      </c>
      <c r="AK444" s="80">
        <f>IF(AND(AB444=1,AH444=1),MAX(0,MIN(IF(AC444=1,1440,AA444),CFG_WEM)-MAX(Z444,CFG_WSM)),0)</f>
        <v>0</v>
      </c>
      <c r="AL444" s="80">
        <f>IF(AND(AC444=1,AI444=1),MAX(0,MIN(AA444,CFG_WEM)-CFG_WSM),0)</f>
        <v>0</v>
      </c>
      <c r="AM444" s="80">
        <f>AK444+AL444</f>
        <v>0</v>
      </c>
      <c r="AN444" s="80">
        <f>IF(CFG_BRK="Proporcional",IF(AD444=0,0,AF444*AM444/AD444),IF(CFG_BRK="Extras primero",MIN(AM444,MAX(0,AF444-(AD444-AM444))),MIN(AF444,AM444)))</f>
        <v>0</v>
      </c>
      <c r="AO444" s="80">
        <f>AF444-AN444</f>
        <v>0</v>
      </c>
      <c r="AP444" s="80">
        <f>AM444-AN444</f>
        <v>0</v>
      </c>
      <c r="AQ444" s="80">
        <f>AD444-AM444-AO444</f>
        <v>0</v>
      </c>
      <c r="AR444" s="80">
        <f>IF(AM444=0,0,AK444-AN444*AK444/AM444)</f>
        <v>0</v>
      </c>
      <c r="AS444" s="80">
        <f>IF(AD444-AM444=0,0,(AJ444-AK444)-AO444*(AJ444-AK444)/(AD444-AM444))</f>
        <v>0</v>
      </c>
      <c r="AT444" s="80" t="str">
        <f>IF(AC444=1,INT(B444)+1,"")</f>
        <v/>
      </c>
      <c r="AU444" s="80">
        <f>IF(AND(D444="proMX",R444="Cancelled"),0,1)</f>
        <v>1</v>
      </c>
      <c r="AV444" s="80">
        <f>IF(AND(AB444=1,AU444=1),IF(COUNTIFS($D$5:D443,D444,$B$5:B443,B444,$Z$5:Z443,Z444,$AA$5:AA443,AA444,$F$5:F443,F444&amp;"",$AU$5:AU443,1)&gt;0,1,0),0)</f>
        <v>0</v>
      </c>
      <c r="AW444" s="80" t="str">
        <f>IF(AB444=1,INT(B444)*1440+Z444,"")</f>
        <v/>
      </c>
      <c r="AX444" s="80" t="str">
        <f>IF(AB444=1,AW444+AD444,"")</f>
        <v/>
      </c>
      <c r="AY444" s="80">
        <f>IF(AND(AB444=1,AV444=0,AU444=1),1,0)</f>
        <v>0</v>
      </c>
      <c r="AZ444" s="80">
        <f>IF(AY444=1,COUNTIFS(R_Emp,D444,R_SAbs,"&lt;"&amp;AX444,R_EAbs,"&gt;"&amp;AW444,R_OKey,1)-1,0)</f>
        <v>0</v>
      </c>
      <c r="BA444" s="80">
        <f>IF(AY444=1,COUNTIFS(R_Emp,"&lt;&gt;"&amp;D444,R_SAbs,"&lt;"&amp;AX444,R_EAbs,"&gt;"&amp;AW444,R_OKey,1),0)</f>
        <v>0</v>
      </c>
      <c r="BB444" s="80">
        <f>IF(AND(AB444=1,D444="proMX"),IF(AND(MOD(Z444,CFG_BLK)=0,MOD(AA444,CFG_BLK)=0,MOD(AG444,CFG_BLK)=0,AG444&gt;0),1,0),1)</f>
        <v>1</v>
      </c>
      <c r="BC444" s="80" t="str">
        <f>IF(Y444=0,"",IF(NOT(ISNUMBER(B444)),"Falta fecha o fecha inválida",IF(D444="","Falta empresa",IF(AND(D444&lt;&gt;"Malcolm",D444&lt;&gt;"proMX"),"Empresa inválida",IF(OR(INT(B444)&lt;CFG_PSTART,INT(B444)&gt;CFG_PEND),"Fecha fuera del período",IF(OR(NOT(ISNUMBER(Z444)),NOT(ISNUMBER(AA444))),"Falta hora inicio/fin o formato inválido",IF(AB444=0,"Hora inicio = hora fin",IF(AE444&lt;0,"Descanso inválido",IF(AE444&gt;=AD444,"Descanso ≥ duración",IF(AV444=1,"Registro duplicado",IF(AZ444&gt;0,"Se superpone con otro registro "&amp;D444,IF(BB444=0,"inicio, fin y duración neta deben ser múltiplos de "&amp;CFG_BLK&amp;" min",""))))))))))))</f>
        <v/>
      </c>
      <c r="BD444" s="80">
        <f>IF(AND(Y444=1,BC444=""),1,0)</f>
        <v>0</v>
      </c>
      <c r="BE444" s="80">
        <f>IF(AND(BD444=1,AU444=1),1,0)</f>
        <v>0</v>
      </c>
      <c r="BF444" s="80" t="str">
        <f>IF(AND(D444="proMX",BD444=1),IF(R444="","Draft",R444),"")</f>
        <v/>
      </c>
      <c r="BG444" s="80">
        <f>IF(BD444=1,ROUND(AG444/60,6),0)</f>
        <v>0</v>
      </c>
      <c r="BH444" s="80">
        <f>IF(BE444=1,ROUND(AG444/60,6),0)</f>
        <v>0</v>
      </c>
      <c r="BI444" s="80">
        <f>IF(BE444=1,ROUND(AP444/60,6),0)</f>
        <v>0</v>
      </c>
      <c r="BJ444" s="80">
        <f>IF(BE444=1,ROUND(AQ444/60,6),0)</f>
        <v>0</v>
      </c>
      <c r="BK444" s="80">
        <f>IF(BE444=1,ROUND((AR444+AS444)/60,6),0)</f>
        <v>0</v>
      </c>
      <c r="BL444" s="80">
        <f>ROUND(BH444-BK444,6)</f>
        <v>0</v>
      </c>
      <c r="BM444" s="80">
        <f>IF(BE444=1,ROUND(AR444/60,6),0)</f>
        <v>0</v>
      </c>
      <c r="BN444" s="80">
        <f>ROUND(BI444-BM444,6)</f>
        <v>0</v>
      </c>
      <c r="BO444" s="80">
        <f>IF(BE444=1,ROUND(AS444/60,6),0)</f>
        <v>0</v>
      </c>
      <c r="BP444" s="80">
        <f>ROUND(BJ444-BO444,6)</f>
        <v>0</v>
      </c>
      <c r="BQ444" s="80">
        <f>IF(BE444=1,AW444,0)</f>
        <v>0</v>
      </c>
      <c r="BR444" s="80">
        <f>IF(BE444=1,AX444,0)</f>
        <v>0</v>
      </c>
      <c r="BS444" s="80">
        <f>IF(AND(BE444=1,D444="Malcolm",BA444&gt;0),MIN(BH444,SUMPRODUCT((R_Emp="proMX")*(R_EN&gt;0)*((R_EN-(R_EN&gt;BR444)*(R_EN-BR444))&gt;(R_SN+(R_SN&lt;BQ444)*(BQ444-R_SN)))*((R_EN-(R_EN&gt;BR444)*(R_EN-BR444))-(R_SN+(R_SN&lt;BQ444)*(BQ444-R_SN))))/60),0)</f>
        <v>0</v>
      </c>
      <c r="BT444" s="80">
        <f>IF(AND(BE444=1,D444="proMX"),ROUND(BI444*CFG_RATE+BJ444*CFG_OTRATE,6),0)</f>
        <v>0</v>
      </c>
      <c r="BU444" s="80">
        <f>IF(AND(BD444=1,D444="proMX"),ROUND(AG444/CFG_BLK,6),0)</f>
        <v>0</v>
      </c>
      <c r="BV444" s="80" t="str">
        <f>IF(BF444="Approved",IF(ISNUMBER(T444),INT(T444),INT(B444)),"")</f>
        <v/>
      </c>
      <c r="BW444" s="80">
        <f>IF(ISNUMBER(B444),IF(DB_MON="Todos",1,IF(AND(INT(B444)&gt;=DB_MS,INT(B444)&lt;=DB_ME),1,0)),0)</f>
        <v>0</v>
      </c>
      <c r="BX444" s="80">
        <f>IF(DB_PROJ="Todos",1,IF(E444&amp;""=DB_PROJ&amp;"",1,0))</f>
        <v>1</v>
      </c>
      <c r="BY444" s="80">
        <f>BW444*BX444</f>
        <v>0</v>
      </c>
      <c r="BZ444" s="80" t="str">
        <f>IF(Y444=1,F444&amp;IF(AND(F444&amp;""&lt;&gt;"",E444&amp;""&lt;&gt;"")," · ","")&amp;E444,"")</f>
        <v/>
      </c>
      <c r="CA444" s="80" t="str">
        <f>IF(AND(BD444=1,E444&amp;""&lt;&gt;""),IF(COUNTIFS($E$5:E443,E444,$BD$5:BD443,1)=0,MAX($CA$5:CA443)+1,""),"")</f>
        <v/>
      </c>
      <c r="CB444" s="80" t="str">
        <f>IF(AND(BE444=1,D444="Malcolm",E444&amp;""&lt;&gt;""),IF(COUNTIFS($D$5:D443,"Malcolm",$E$5:E443,E444,$BE$5:BE443,1)=0,MAX($CB$5:CB443)+1,""),"")</f>
        <v/>
      </c>
      <c r="CC444" s="80" t="str">
        <f>IF(AND(BD444=1,D444="proMX",E444&amp;""&lt;&gt;""),IF(COUNTIFS($D$5:D443,"proMX",$E$5:E443,E444,$BD$5:BD443,1)=0,MAX($CC$5:CC443)+1,""),"")</f>
        <v/>
      </c>
      <c r="CD444" s="80" t="str">
        <f>IF(AND(BE444=1,D444="Malcolm",F444&amp;""&lt;&gt;""),IF(COUNTIFS($D$5:D443,"Malcolm",$F$5:F443,F444,$BE$5:BE443,1)=0,MAX($CD$5:CD443)+1,""),"")</f>
        <v/>
      </c>
      <c r="CE444" s="80" t="str">
        <f>IF(AND(BD444=1,D444="proMX",F444&amp;""&lt;&gt;""),IF(COUNTIFS($D$5:D443,"proMX",$F$5:F443,F444,$BD$5:BD443,1)=0,MAX($CE$5:CE443)+1,""),"")</f>
        <v/>
      </c>
      <c r="CF444" s="80" t="str">
        <f>IF(AND(D444="proMX",BD444=1),IF(OR(BF444="Draft",BF444="Submitted",BF444="Returned",BF444="Recall Requested"),MAX($CF$5:CF443)+1,""),"")</f>
        <v/>
      </c>
      <c r="CG444" s="80">
        <f>IF(BD444=0,0,IF(D444="Malcolm",1,MATCH(BF444,{"Draft","Submitted","Approved","Returned","Recall Requested","Cancelled"},0)+1))</f>
        <v>0</v>
      </c>
      <c r="CH444" s="80">
        <f>IF(AND(BF444="Submitted",ISNUMBER(V444)),IF(V444&gt;CFG_MAXD,1,0),0)</f>
        <v>0</v>
      </c>
    </row>
    <row r="445">
      <c r="A445" s="71" t="str">
        <f>IF(Y445=1,ROW()-5,"")</f>
        <v/>
      </c>
      <c r="B445" s="72" t="n"/>
      <c r="C445" s="71" t="str">
        <f>IF(ISNUMBER(B445),CHOOSE(WEEKDAY(B445,2),"Lun","Mar","Mié","Jue","Vie","Sáb","Dom"),"")</f>
        <v/>
      </c>
      <c r="D445" s="73" t="n"/>
      <c r="E445" s="74" t="n"/>
      <c r="F445" s="74" t="n"/>
      <c r="G445" s="74" t="n"/>
      <c r="H445" s="75" t="n"/>
      <c r="I445" s="75" t="n"/>
      <c r="J445" s="76" t="n"/>
      <c r="K445" s="77" t="str">
        <f>IF(AB445=1,ROUND(AG445/60,4),"")</f>
        <v/>
      </c>
      <c r="L445" s="77" t="str">
        <f>IF(BD445=1,ROUND(AP445/60,4),"")</f>
        <v/>
      </c>
      <c r="M445" s="77" t="str">
        <f>IF(BD445=1,ROUND(AQ445/60,4),"")</f>
        <v/>
      </c>
      <c r="N445" s="71" t="str">
        <f>IF(AND(D445="proMX",AB445=1),ROUND(AG445/CFG_BLK,2),"")</f>
        <v/>
      </c>
      <c r="O445" s="77" t="str">
        <f>IF(D445="proMX",IF(BD445=1,ROUND(AG445/60,4),0),"")</f>
        <v/>
      </c>
      <c r="P445" s="78" t="str">
        <f>IF(Y445=0,"",IF(BD445=1,"OK",IF(D445="proMX","Revisar bloques: ","Revisar: ")&amp;BC445))</f>
        <v/>
      </c>
      <c r="Q445" s="78" t="str">
        <f>IF(NOT(ISNUMBER(B445)),"",IF(COUNTIFS(FER_F,INT(B445))&gt;0,"Feriado"&amp;IF(AH445=1," (laborable)"," (no laborable)"),IF(AH445=1,"Laborable",IF(WEEKDAY(B445,2)&gt;5,"Fin de semana","No laborable"))))</f>
        <v/>
      </c>
      <c r="R445" s="73" t="n"/>
      <c r="S445" s="72" t="n"/>
      <c r="T445" s="72" t="n"/>
      <c r="U445" s="74" t="n"/>
      <c r="V445" s="79" t="str">
        <f>IF(AND(D445="proMX",OR(R445="Submitted",R445="Recall Requested"),ISNUMBER(S445)),CFG_TODAY-INT(S445),"")</f>
        <v/>
      </c>
      <c r="W445" s="78" t="str">
        <f>IF(BD445=0,"",IF(BA445&gt;0,"⚠ Se superpone con un registro de la otra empresa",IF(D445="Malcolm",IF(COUNTA(R445,S445,T445)&gt;0,"Estado/fechas proMX se ignoran en Malcolm",""),IF(BF445="Cancelled","Cancelado: excluido de totales",IF(R445="","Sin estado: se trata como Draft",IF(BF445="Submitted",IF(ISNUMBER(V445),IF(V445&gt;CFG_MAXD,"⚠ "&amp;V445&amp;" días en Submitted (máx. "&amp;CFG_MAXD&amp;")",""),"Falta fecha de envío"),IF(BF445="Returned","⚠ Devuelto: corregir y reenviar",IF(BF445="Recall Requested","Retirada solicitada: pendiente",IF(AND(BF445="Approved",NOT(ISNUMBER(T445))),"Falta fecha de aprobación",IF(AND(ISNUMBER(S445),ISNUMBER(T445),T445&lt;S445),"Aprobación anterior al envío","")))))))))</f>
        <v/>
      </c>
      <c r="Y445" s="80">
        <f>IF(COUNTA(B445,D445,E445,F445,G445,H445,I445,J445,R445,S445,T445)&gt;0,1,0)</f>
        <v>0</v>
      </c>
      <c r="Z445" s="80" t="str">
        <f>IF(AND(ISNUMBER(H445),H445&gt;=0,H445&lt;1),ROUND(H445*1440,0),"")</f>
        <v/>
      </c>
      <c r="AA445" s="80" t="str">
        <f>IF(AND(ISNUMBER(I445),I445&gt;=0,I445&lt;1),ROUND(I445*1440,0),"")</f>
        <v/>
      </c>
      <c r="AB445" s="80">
        <f>IF(AND(ISNUMBER(B445),D445&lt;&gt;"",ISNUMBER(Z445),ISNUMBER(AA445)),IF(Z445=AA445,0,1),0)</f>
        <v>0</v>
      </c>
      <c r="AC445" s="80">
        <f>IF(AB445=1,IF(AA445&lt;Z445,1,0),0)</f>
        <v>0</v>
      </c>
      <c r="AD445" s="80">
        <f>IF(AB445=1,IF(AC445=1,1440-Z445+AA445,AA445-Z445),0)</f>
        <v>0</v>
      </c>
      <c r="AE445" s="80">
        <f>IF(J445="",0,IF(ISNUMBER(J445),J445,-1))</f>
        <v>0</v>
      </c>
      <c r="AF445" s="80">
        <f>MIN(MAX(0,AE445),AD445)</f>
        <v>0</v>
      </c>
      <c r="AG445" s="80">
        <f>MAX(0,AD445-MAX(0,AE445))</f>
        <v>0</v>
      </c>
      <c r="AH445" s="80">
        <f>IF(ISNUMBER(B445),IF(AND(INDEX(CFG_WDAYS,WEEKDAY(INT(B445),2))="Sí",IF(D445="proMX",COUNTIFS(FER_F,INT(B445),FER_NLP,"Sí"),COUNTIFS(FER_F,INT(B445),FER_NLM,"Sí"))=0),1,0),0)</f>
        <v>0</v>
      </c>
      <c r="AI445" s="80">
        <f>IF(AC445=1,IF(AND(INDEX(CFG_WDAYS,WEEKDAY(INT(B445)+1,2))="Sí",IF(D445="proMX",COUNTIFS(FER_F,INT(B445)+1,FER_NLP,"Sí"),COUNTIFS(FER_F,INT(B445)+1,FER_NLM,"Sí"))=0),1,0),0)</f>
        <v>0</v>
      </c>
      <c r="AJ445" s="80">
        <f>IF(AC445=1,1440-Z445,AD445)</f>
        <v>0</v>
      </c>
      <c r="AK445" s="80">
        <f>IF(AND(AB445=1,AH445=1),MAX(0,MIN(IF(AC445=1,1440,AA445),CFG_WEM)-MAX(Z445,CFG_WSM)),0)</f>
        <v>0</v>
      </c>
      <c r="AL445" s="80">
        <f>IF(AND(AC445=1,AI445=1),MAX(0,MIN(AA445,CFG_WEM)-CFG_WSM),0)</f>
        <v>0</v>
      </c>
      <c r="AM445" s="80">
        <f>AK445+AL445</f>
        <v>0</v>
      </c>
      <c r="AN445" s="80">
        <f>IF(CFG_BRK="Proporcional",IF(AD445=0,0,AF445*AM445/AD445),IF(CFG_BRK="Extras primero",MIN(AM445,MAX(0,AF445-(AD445-AM445))),MIN(AF445,AM445)))</f>
        <v>0</v>
      </c>
      <c r="AO445" s="80">
        <f>AF445-AN445</f>
        <v>0</v>
      </c>
      <c r="AP445" s="80">
        <f>AM445-AN445</f>
        <v>0</v>
      </c>
      <c r="AQ445" s="80">
        <f>AD445-AM445-AO445</f>
        <v>0</v>
      </c>
      <c r="AR445" s="80">
        <f>IF(AM445=0,0,AK445-AN445*AK445/AM445)</f>
        <v>0</v>
      </c>
      <c r="AS445" s="80">
        <f>IF(AD445-AM445=0,0,(AJ445-AK445)-AO445*(AJ445-AK445)/(AD445-AM445))</f>
        <v>0</v>
      </c>
      <c r="AT445" s="80" t="str">
        <f>IF(AC445=1,INT(B445)+1,"")</f>
        <v/>
      </c>
      <c r="AU445" s="80">
        <f>IF(AND(D445="proMX",R445="Cancelled"),0,1)</f>
        <v>1</v>
      </c>
      <c r="AV445" s="80">
        <f>IF(AND(AB445=1,AU445=1),IF(COUNTIFS($D$5:D444,D445,$B$5:B444,B445,$Z$5:Z444,Z445,$AA$5:AA444,AA445,$F$5:F444,F445&amp;"",$AU$5:AU444,1)&gt;0,1,0),0)</f>
        <v>0</v>
      </c>
      <c r="AW445" s="80" t="str">
        <f>IF(AB445=1,INT(B445)*1440+Z445,"")</f>
        <v/>
      </c>
      <c r="AX445" s="80" t="str">
        <f>IF(AB445=1,AW445+AD445,"")</f>
        <v/>
      </c>
      <c r="AY445" s="80">
        <f>IF(AND(AB445=1,AV445=0,AU445=1),1,0)</f>
        <v>0</v>
      </c>
      <c r="AZ445" s="80">
        <f>IF(AY445=1,COUNTIFS(R_Emp,D445,R_SAbs,"&lt;"&amp;AX445,R_EAbs,"&gt;"&amp;AW445,R_OKey,1)-1,0)</f>
        <v>0</v>
      </c>
      <c r="BA445" s="80">
        <f>IF(AY445=1,COUNTIFS(R_Emp,"&lt;&gt;"&amp;D445,R_SAbs,"&lt;"&amp;AX445,R_EAbs,"&gt;"&amp;AW445,R_OKey,1),0)</f>
        <v>0</v>
      </c>
      <c r="BB445" s="80">
        <f>IF(AND(AB445=1,D445="proMX"),IF(AND(MOD(Z445,CFG_BLK)=0,MOD(AA445,CFG_BLK)=0,MOD(AG445,CFG_BLK)=0,AG445&gt;0),1,0),1)</f>
        <v>1</v>
      </c>
      <c r="BC445" s="80" t="str">
        <f>IF(Y445=0,"",IF(NOT(ISNUMBER(B445)),"Falta fecha o fecha inválida",IF(D445="","Falta empresa",IF(AND(D445&lt;&gt;"Malcolm",D445&lt;&gt;"proMX"),"Empresa inválida",IF(OR(INT(B445)&lt;CFG_PSTART,INT(B445)&gt;CFG_PEND),"Fecha fuera del período",IF(OR(NOT(ISNUMBER(Z445)),NOT(ISNUMBER(AA445))),"Falta hora inicio/fin o formato inválido",IF(AB445=0,"Hora inicio = hora fin",IF(AE445&lt;0,"Descanso inválido",IF(AE445&gt;=AD445,"Descanso ≥ duración",IF(AV445=1,"Registro duplicado",IF(AZ445&gt;0,"Se superpone con otro registro "&amp;D445,IF(BB445=0,"inicio, fin y duración neta deben ser múltiplos de "&amp;CFG_BLK&amp;" min",""))))))))))))</f>
        <v/>
      </c>
      <c r="BD445" s="80">
        <f>IF(AND(Y445=1,BC445=""),1,0)</f>
        <v>0</v>
      </c>
      <c r="BE445" s="80">
        <f>IF(AND(BD445=1,AU445=1),1,0)</f>
        <v>0</v>
      </c>
      <c r="BF445" s="80" t="str">
        <f>IF(AND(D445="proMX",BD445=1),IF(R445="","Draft",R445),"")</f>
        <v/>
      </c>
      <c r="BG445" s="80">
        <f>IF(BD445=1,ROUND(AG445/60,6),0)</f>
        <v>0</v>
      </c>
      <c r="BH445" s="80">
        <f>IF(BE445=1,ROUND(AG445/60,6),0)</f>
        <v>0</v>
      </c>
      <c r="BI445" s="80">
        <f>IF(BE445=1,ROUND(AP445/60,6),0)</f>
        <v>0</v>
      </c>
      <c r="BJ445" s="80">
        <f>IF(BE445=1,ROUND(AQ445/60,6),0)</f>
        <v>0</v>
      </c>
      <c r="BK445" s="80">
        <f>IF(BE445=1,ROUND((AR445+AS445)/60,6),0)</f>
        <v>0</v>
      </c>
      <c r="BL445" s="80">
        <f>ROUND(BH445-BK445,6)</f>
        <v>0</v>
      </c>
      <c r="BM445" s="80">
        <f>IF(BE445=1,ROUND(AR445/60,6),0)</f>
        <v>0</v>
      </c>
      <c r="BN445" s="80">
        <f>ROUND(BI445-BM445,6)</f>
        <v>0</v>
      </c>
      <c r="BO445" s="80">
        <f>IF(BE445=1,ROUND(AS445/60,6),0)</f>
        <v>0</v>
      </c>
      <c r="BP445" s="80">
        <f>ROUND(BJ445-BO445,6)</f>
        <v>0</v>
      </c>
      <c r="BQ445" s="80">
        <f>IF(BE445=1,AW445,0)</f>
        <v>0</v>
      </c>
      <c r="BR445" s="80">
        <f>IF(BE445=1,AX445,0)</f>
        <v>0</v>
      </c>
      <c r="BS445" s="80">
        <f>IF(AND(BE445=1,D445="Malcolm",BA445&gt;0),MIN(BH445,SUMPRODUCT((R_Emp="proMX")*(R_EN&gt;0)*((R_EN-(R_EN&gt;BR445)*(R_EN-BR445))&gt;(R_SN+(R_SN&lt;BQ445)*(BQ445-R_SN)))*((R_EN-(R_EN&gt;BR445)*(R_EN-BR445))-(R_SN+(R_SN&lt;BQ445)*(BQ445-R_SN))))/60),0)</f>
        <v>0</v>
      </c>
      <c r="BT445" s="80">
        <f>IF(AND(BE445=1,D445="proMX"),ROUND(BI445*CFG_RATE+BJ445*CFG_OTRATE,6),0)</f>
        <v>0</v>
      </c>
      <c r="BU445" s="80">
        <f>IF(AND(BD445=1,D445="proMX"),ROUND(AG445/CFG_BLK,6),0)</f>
        <v>0</v>
      </c>
      <c r="BV445" s="80" t="str">
        <f>IF(BF445="Approved",IF(ISNUMBER(T445),INT(T445),INT(B445)),"")</f>
        <v/>
      </c>
      <c r="BW445" s="80">
        <f>IF(ISNUMBER(B445),IF(DB_MON="Todos",1,IF(AND(INT(B445)&gt;=DB_MS,INT(B445)&lt;=DB_ME),1,0)),0)</f>
        <v>0</v>
      </c>
      <c r="BX445" s="80">
        <f>IF(DB_PROJ="Todos",1,IF(E445&amp;""=DB_PROJ&amp;"",1,0))</f>
        <v>1</v>
      </c>
      <c r="BY445" s="80">
        <f>BW445*BX445</f>
        <v>0</v>
      </c>
      <c r="BZ445" s="80" t="str">
        <f>IF(Y445=1,F445&amp;IF(AND(F445&amp;""&lt;&gt;"",E445&amp;""&lt;&gt;"")," · ","")&amp;E445,"")</f>
        <v/>
      </c>
      <c r="CA445" s="80" t="str">
        <f>IF(AND(BD445=1,E445&amp;""&lt;&gt;""),IF(COUNTIFS($E$5:E444,E445,$BD$5:BD444,1)=0,MAX($CA$5:CA444)+1,""),"")</f>
        <v/>
      </c>
      <c r="CB445" s="80" t="str">
        <f>IF(AND(BE445=1,D445="Malcolm",E445&amp;""&lt;&gt;""),IF(COUNTIFS($D$5:D444,"Malcolm",$E$5:E444,E445,$BE$5:BE444,1)=0,MAX($CB$5:CB444)+1,""),"")</f>
        <v/>
      </c>
      <c r="CC445" s="80" t="str">
        <f>IF(AND(BD445=1,D445="proMX",E445&amp;""&lt;&gt;""),IF(COUNTIFS($D$5:D444,"proMX",$E$5:E444,E445,$BD$5:BD444,1)=0,MAX($CC$5:CC444)+1,""),"")</f>
        <v/>
      </c>
      <c r="CD445" s="80" t="str">
        <f>IF(AND(BE445=1,D445="Malcolm",F445&amp;""&lt;&gt;""),IF(COUNTIFS($D$5:D444,"Malcolm",$F$5:F444,F445,$BE$5:BE444,1)=0,MAX($CD$5:CD444)+1,""),"")</f>
        <v/>
      </c>
      <c r="CE445" s="80" t="str">
        <f>IF(AND(BD445=1,D445="proMX",F445&amp;""&lt;&gt;""),IF(COUNTIFS($D$5:D444,"proMX",$F$5:F444,F445,$BD$5:BD444,1)=0,MAX($CE$5:CE444)+1,""),"")</f>
        <v/>
      </c>
      <c r="CF445" s="80" t="str">
        <f>IF(AND(D445="proMX",BD445=1),IF(OR(BF445="Draft",BF445="Submitted",BF445="Returned",BF445="Recall Requested"),MAX($CF$5:CF444)+1,""),"")</f>
        <v/>
      </c>
      <c r="CG445" s="80">
        <f>IF(BD445=0,0,IF(D445="Malcolm",1,MATCH(BF445,{"Draft","Submitted","Approved","Returned","Recall Requested","Cancelled"},0)+1))</f>
        <v>0</v>
      </c>
      <c r="CH445" s="80">
        <f>IF(AND(BF445="Submitted",ISNUMBER(V445)),IF(V445&gt;CFG_MAXD,1,0),0)</f>
        <v>0</v>
      </c>
    </row>
    <row r="446">
      <c r="A446" s="71" t="str">
        <f>IF(Y446=1,ROW()-5,"")</f>
        <v/>
      </c>
      <c r="B446" s="72" t="n"/>
      <c r="C446" s="71" t="str">
        <f>IF(ISNUMBER(B446),CHOOSE(WEEKDAY(B446,2),"Lun","Mar","Mié","Jue","Vie","Sáb","Dom"),"")</f>
        <v/>
      </c>
      <c r="D446" s="73" t="n"/>
      <c r="E446" s="74" t="n"/>
      <c r="F446" s="74" t="n"/>
      <c r="G446" s="74" t="n"/>
      <c r="H446" s="75" t="n"/>
      <c r="I446" s="75" t="n"/>
      <c r="J446" s="76" t="n"/>
      <c r="K446" s="77" t="str">
        <f>IF(AB446=1,ROUND(AG446/60,4),"")</f>
        <v/>
      </c>
      <c r="L446" s="77" t="str">
        <f>IF(BD446=1,ROUND(AP446/60,4),"")</f>
        <v/>
      </c>
      <c r="M446" s="77" t="str">
        <f>IF(BD446=1,ROUND(AQ446/60,4),"")</f>
        <v/>
      </c>
      <c r="N446" s="71" t="str">
        <f>IF(AND(D446="proMX",AB446=1),ROUND(AG446/CFG_BLK,2),"")</f>
        <v/>
      </c>
      <c r="O446" s="77" t="str">
        <f>IF(D446="proMX",IF(BD446=1,ROUND(AG446/60,4),0),"")</f>
        <v/>
      </c>
      <c r="P446" s="78" t="str">
        <f>IF(Y446=0,"",IF(BD446=1,"OK",IF(D446="proMX","Revisar bloques: ","Revisar: ")&amp;BC446))</f>
        <v/>
      </c>
      <c r="Q446" s="78" t="str">
        <f>IF(NOT(ISNUMBER(B446)),"",IF(COUNTIFS(FER_F,INT(B446))&gt;0,"Feriado"&amp;IF(AH446=1," (laborable)"," (no laborable)"),IF(AH446=1,"Laborable",IF(WEEKDAY(B446,2)&gt;5,"Fin de semana","No laborable"))))</f>
        <v/>
      </c>
      <c r="R446" s="73" t="n"/>
      <c r="S446" s="72" t="n"/>
      <c r="T446" s="72" t="n"/>
      <c r="U446" s="74" t="n"/>
      <c r="V446" s="79" t="str">
        <f>IF(AND(D446="proMX",OR(R446="Submitted",R446="Recall Requested"),ISNUMBER(S446)),CFG_TODAY-INT(S446),"")</f>
        <v/>
      </c>
      <c r="W446" s="78" t="str">
        <f>IF(BD446=0,"",IF(BA446&gt;0,"⚠ Se superpone con un registro de la otra empresa",IF(D446="Malcolm",IF(COUNTA(R446,S446,T446)&gt;0,"Estado/fechas proMX se ignoran en Malcolm",""),IF(BF446="Cancelled","Cancelado: excluido de totales",IF(R446="","Sin estado: se trata como Draft",IF(BF446="Submitted",IF(ISNUMBER(V446),IF(V446&gt;CFG_MAXD,"⚠ "&amp;V446&amp;" días en Submitted (máx. "&amp;CFG_MAXD&amp;")",""),"Falta fecha de envío"),IF(BF446="Returned","⚠ Devuelto: corregir y reenviar",IF(BF446="Recall Requested","Retirada solicitada: pendiente",IF(AND(BF446="Approved",NOT(ISNUMBER(T446))),"Falta fecha de aprobación",IF(AND(ISNUMBER(S446),ISNUMBER(T446),T446&lt;S446),"Aprobación anterior al envío","")))))))))</f>
        <v/>
      </c>
      <c r="Y446" s="80">
        <f>IF(COUNTA(B446,D446,E446,F446,G446,H446,I446,J446,R446,S446,T446)&gt;0,1,0)</f>
        <v>0</v>
      </c>
      <c r="Z446" s="80" t="str">
        <f>IF(AND(ISNUMBER(H446),H446&gt;=0,H446&lt;1),ROUND(H446*1440,0),"")</f>
        <v/>
      </c>
      <c r="AA446" s="80" t="str">
        <f>IF(AND(ISNUMBER(I446),I446&gt;=0,I446&lt;1),ROUND(I446*1440,0),"")</f>
        <v/>
      </c>
      <c r="AB446" s="80">
        <f>IF(AND(ISNUMBER(B446),D446&lt;&gt;"",ISNUMBER(Z446),ISNUMBER(AA446)),IF(Z446=AA446,0,1),0)</f>
        <v>0</v>
      </c>
      <c r="AC446" s="80">
        <f>IF(AB446=1,IF(AA446&lt;Z446,1,0),0)</f>
        <v>0</v>
      </c>
      <c r="AD446" s="80">
        <f>IF(AB446=1,IF(AC446=1,1440-Z446+AA446,AA446-Z446),0)</f>
        <v>0</v>
      </c>
      <c r="AE446" s="80">
        <f>IF(J446="",0,IF(ISNUMBER(J446),J446,-1))</f>
        <v>0</v>
      </c>
      <c r="AF446" s="80">
        <f>MIN(MAX(0,AE446),AD446)</f>
        <v>0</v>
      </c>
      <c r="AG446" s="80">
        <f>MAX(0,AD446-MAX(0,AE446))</f>
        <v>0</v>
      </c>
      <c r="AH446" s="80">
        <f>IF(ISNUMBER(B446),IF(AND(INDEX(CFG_WDAYS,WEEKDAY(INT(B446),2))="Sí",IF(D446="proMX",COUNTIFS(FER_F,INT(B446),FER_NLP,"Sí"),COUNTIFS(FER_F,INT(B446),FER_NLM,"Sí"))=0),1,0),0)</f>
        <v>0</v>
      </c>
      <c r="AI446" s="80">
        <f>IF(AC446=1,IF(AND(INDEX(CFG_WDAYS,WEEKDAY(INT(B446)+1,2))="Sí",IF(D446="proMX",COUNTIFS(FER_F,INT(B446)+1,FER_NLP,"Sí"),COUNTIFS(FER_F,INT(B446)+1,FER_NLM,"Sí"))=0),1,0),0)</f>
        <v>0</v>
      </c>
      <c r="AJ446" s="80">
        <f>IF(AC446=1,1440-Z446,AD446)</f>
        <v>0</v>
      </c>
      <c r="AK446" s="80">
        <f>IF(AND(AB446=1,AH446=1),MAX(0,MIN(IF(AC446=1,1440,AA446),CFG_WEM)-MAX(Z446,CFG_WSM)),0)</f>
        <v>0</v>
      </c>
      <c r="AL446" s="80">
        <f>IF(AND(AC446=1,AI446=1),MAX(0,MIN(AA446,CFG_WEM)-CFG_WSM),0)</f>
        <v>0</v>
      </c>
      <c r="AM446" s="80">
        <f>AK446+AL446</f>
        <v>0</v>
      </c>
      <c r="AN446" s="80">
        <f>IF(CFG_BRK="Proporcional",IF(AD446=0,0,AF446*AM446/AD446),IF(CFG_BRK="Extras primero",MIN(AM446,MAX(0,AF446-(AD446-AM446))),MIN(AF446,AM446)))</f>
        <v>0</v>
      </c>
      <c r="AO446" s="80">
        <f>AF446-AN446</f>
        <v>0</v>
      </c>
      <c r="AP446" s="80">
        <f>AM446-AN446</f>
        <v>0</v>
      </c>
      <c r="AQ446" s="80">
        <f>AD446-AM446-AO446</f>
        <v>0</v>
      </c>
      <c r="AR446" s="80">
        <f>IF(AM446=0,0,AK446-AN446*AK446/AM446)</f>
        <v>0</v>
      </c>
      <c r="AS446" s="80">
        <f>IF(AD446-AM446=0,0,(AJ446-AK446)-AO446*(AJ446-AK446)/(AD446-AM446))</f>
        <v>0</v>
      </c>
      <c r="AT446" s="80" t="str">
        <f>IF(AC446=1,INT(B446)+1,"")</f>
        <v/>
      </c>
      <c r="AU446" s="80">
        <f>IF(AND(D446="proMX",R446="Cancelled"),0,1)</f>
        <v>1</v>
      </c>
      <c r="AV446" s="80">
        <f>IF(AND(AB446=1,AU446=1),IF(COUNTIFS($D$5:D445,D446,$B$5:B445,B446,$Z$5:Z445,Z446,$AA$5:AA445,AA446,$F$5:F445,F446&amp;"",$AU$5:AU445,1)&gt;0,1,0),0)</f>
        <v>0</v>
      </c>
      <c r="AW446" s="80" t="str">
        <f>IF(AB446=1,INT(B446)*1440+Z446,"")</f>
        <v/>
      </c>
      <c r="AX446" s="80" t="str">
        <f>IF(AB446=1,AW446+AD446,"")</f>
        <v/>
      </c>
      <c r="AY446" s="80">
        <f>IF(AND(AB446=1,AV446=0,AU446=1),1,0)</f>
        <v>0</v>
      </c>
      <c r="AZ446" s="80">
        <f>IF(AY446=1,COUNTIFS(R_Emp,D446,R_SAbs,"&lt;"&amp;AX446,R_EAbs,"&gt;"&amp;AW446,R_OKey,1)-1,0)</f>
        <v>0</v>
      </c>
      <c r="BA446" s="80">
        <f>IF(AY446=1,COUNTIFS(R_Emp,"&lt;&gt;"&amp;D446,R_SAbs,"&lt;"&amp;AX446,R_EAbs,"&gt;"&amp;AW446,R_OKey,1),0)</f>
        <v>0</v>
      </c>
      <c r="BB446" s="80">
        <f>IF(AND(AB446=1,D446="proMX"),IF(AND(MOD(Z446,CFG_BLK)=0,MOD(AA446,CFG_BLK)=0,MOD(AG446,CFG_BLK)=0,AG446&gt;0),1,0),1)</f>
        <v>1</v>
      </c>
      <c r="BC446" s="80" t="str">
        <f>IF(Y446=0,"",IF(NOT(ISNUMBER(B446)),"Falta fecha o fecha inválida",IF(D446="","Falta empresa",IF(AND(D446&lt;&gt;"Malcolm",D446&lt;&gt;"proMX"),"Empresa inválida",IF(OR(INT(B446)&lt;CFG_PSTART,INT(B446)&gt;CFG_PEND),"Fecha fuera del período",IF(OR(NOT(ISNUMBER(Z446)),NOT(ISNUMBER(AA446))),"Falta hora inicio/fin o formato inválido",IF(AB446=0,"Hora inicio = hora fin",IF(AE446&lt;0,"Descanso inválido",IF(AE446&gt;=AD446,"Descanso ≥ duración",IF(AV446=1,"Registro duplicado",IF(AZ446&gt;0,"Se superpone con otro registro "&amp;D446,IF(BB446=0,"inicio, fin y duración neta deben ser múltiplos de "&amp;CFG_BLK&amp;" min",""))))))))))))</f>
        <v/>
      </c>
      <c r="BD446" s="80">
        <f>IF(AND(Y446=1,BC446=""),1,0)</f>
        <v>0</v>
      </c>
      <c r="BE446" s="80">
        <f>IF(AND(BD446=1,AU446=1),1,0)</f>
        <v>0</v>
      </c>
      <c r="BF446" s="80" t="str">
        <f>IF(AND(D446="proMX",BD446=1),IF(R446="","Draft",R446),"")</f>
        <v/>
      </c>
      <c r="BG446" s="80">
        <f>IF(BD446=1,ROUND(AG446/60,6),0)</f>
        <v>0</v>
      </c>
      <c r="BH446" s="80">
        <f>IF(BE446=1,ROUND(AG446/60,6),0)</f>
        <v>0</v>
      </c>
      <c r="BI446" s="80">
        <f>IF(BE446=1,ROUND(AP446/60,6),0)</f>
        <v>0</v>
      </c>
      <c r="BJ446" s="80">
        <f>IF(BE446=1,ROUND(AQ446/60,6),0)</f>
        <v>0</v>
      </c>
      <c r="BK446" s="80">
        <f>IF(BE446=1,ROUND((AR446+AS446)/60,6),0)</f>
        <v>0</v>
      </c>
      <c r="BL446" s="80">
        <f>ROUND(BH446-BK446,6)</f>
        <v>0</v>
      </c>
      <c r="BM446" s="80">
        <f>IF(BE446=1,ROUND(AR446/60,6),0)</f>
        <v>0</v>
      </c>
      <c r="BN446" s="80">
        <f>ROUND(BI446-BM446,6)</f>
        <v>0</v>
      </c>
      <c r="BO446" s="80">
        <f>IF(BE446=1,ROUND(AS446/60,6),0)</f>
        <v>0</v>
      </c>
      <c r="BP446" s="80">
        <f>ROUND(BJ446-BO446,6)</f>
        <v>0</v>
      </c>
      <c r="BQ446" s="80">
        <f>IF(BE446=1,AW446,0)</f>
        <v>0</v>
      </c>
      <c r="BR446" s="80">
        <f>IF(BE446=1,AX446,0)</f>
        <v>0</v>
      </c>
      <c r="BS446" s="80">
        <f>IF(AND(BE446=1,D446="Malcolm",BA446&gt;0),MIN(BH446,SUMPRODUCT((R_Emp="proMX")*(R_EN&gt;0)*((R_EN-(R_EN&gt;BR446)*(R_EN-BR446))&gt;(R_SN+(R_SN&lt;BQ446)*(BQ446-R_SN)))*((R_EN-(R_EN&gt;BR446)*(R_EN-BR446))-(R_SN+(R_SN&lt;BQ446)*(BQ446-R_SN))))/60),0)</f>
        <v>0</v>
      </c>
      <c r="BT446" s="80">
        <f>IF(AND(BE446=1,D446="proMX"),ROUND(BI446*CFG_RATE+BJ446*CFG_OTRATE,6),0)</f>
        <v>0</v>
      </c>
      <c r="BU446" s="80">
        <f>IF(AND(BD446=1,D446="proMX"),ROUND(AG446/CFG_BLK,6),0)</f>
        <v>0</v>
      </c>
      <c r="BV446" s="80" t="str">
        <f>IF(BF446="Approved",IF(ISNUMBER(T446),INT(T446),INT(B446)),"")</f>
        <v/>
      </c>
      <c r="BW446" s="80">
        <f>IF(ISNUMBER(B446),IF(DB_MON="Todos",1,IF(AND(INT(B446)&gt;=DB_MS,INT(B446)&lt;=DB_ME),1,0)),0)</f>
        <v>0</v>
      </c>
      <c r="BX446" s="80">
        <f>IF(DB_PROJ="Todos",1,IF(E446&amp;""=DB_PROJ&amp;"",1,0))</f>
        <v>1</v>
      </c>
      <c r="BY446" s="80">
        <f>BW446*BX446</f>
        <v>0</v>
      </c>
      <c r="BZ446" s="80" t="str">
        <f>IF(Y446=1,F446&amp;IF(AND(F446&amp;""&lt;&gt;"",E446&amp;""&lt;&gt;"")," · ","")&amp;E446,"")</f>
        <v/>
      </c>
      <c r="CA446" s="80" t="str">
        <f>IF(AND(BD446=1,E446&amp;""&lt;&gt;""),IF(COUNTIFS($E$5:E445,E446,$BD$5:BD445,1)=0,MAX($CA$5:CA445)+1,""),"")</f>
        <v/>
      </c>
      <c r="CB446" s="80" t="str">
        <f>IF(AND(BE446=1,D446="Malcolm",E446&amp;""&lt;&gt;""),IF(COUNTIFS($D$5:D445,"Malcolm",$E$5:E445,E446,$BE$5:BE445,1)=0,MAX($CB$5:CB445)+1,""),"")</f>
        <v/>
      </c>
      <c r="CC446" s="80" t="str">
        <f>IF(AND(BD446=1,D446="proMX",E446&amp;""&lt;&gt;""),IF(COUNTIFS($D$5:D445,"proMX",$E$5:E445,E446,$BD$5:BD445,1)=0,MAX($CC$5:CC445)+1,""),"")</f>
        <v/>
      </c>
      <c r="CD446" s="80" t="str">
        <f>IF(AND(BE446=1,D446="Malcolm",F446&amp;""&lt;&gt;""),IF(COUNTIFS($D$5:D445,"Malcolm",$F$5:F445,F446,$BE$5:BE445,1)=0,MAX($CD$5:CD445)+1,""),"")</f>
        <v/>
      </c>
      <c r="CE446" s="80" t="str">
        <f>IF(AND(BD446=1,D446="proMX",F446&amp;""&lt;&gt;""),IF(COUNTIFS($D$5:D445,"proMX",$F$5:F445,F446,$BD$5:BD445,1)=0,MAX($CE$5:CE445)+1,""),"")</f>
        <v/>
      </c>
      <c r="CF446" s="80" t="str">
        <f>IF(AND(D446="proMX",BD446=1),IF(OR(BF446="Draft",BF446="Submitted",BF446="Returned",BF446="Recall Requested"),MAX($CF$5:CF445)+1,""),"")</f>
        <v/>
      </c>
      <c r="CG446" s="80">
        <f>IF(BD446=0,0,IF(D446="Malcolm",1,MATCH(BF446,{"Draft","Submitted","Approved","Returned","Recall Requested","Cancelled"},0)+1))</f>
        <v>0</v>
      </c>
      <c r="CH446" s="80">
        <f>IF(AND(BF446="Submitted",ISNUMBER(V446)),IF(V446&gt;CFG_MAXD,1,0),0)</f>
        <v>0</v>
      </c>
    </row>
    <row r="447">
      <c r="A447" s="71" t="str">
        <f>IF(Y447=1,ROW()-5,"")</f>
        <v/>
      </c>
      <c r="B447" s="72" t="n"/>
      <c r="C447" s="71" t="str">
        <f>IF(ISNUMBER(B447),CHOOSE(WEEKDAY(B447,2),"Lun","Mar","Mié","Jue","Vie","Sáb","Dom"),"")</f>
        <v/>
      </c>
      <c r="D447" s="73" t="n"/>
      <c r="E447" s="74" t="n"/>
      <c r="F447" s="74" t="n"/>
      <c r="G447" s="74" t="n"/>
      <c r="H447" s="75" t="n"/>
      <c r="I447" s="75" t="n"/>
      <c r="J447" s="76" t="n"/>
      <c r="K447" s="77" t="str">
        <f>IF(AB447=1,ROUND(AG447/60,4),"")</f>
        <v/>
      </c>
      <c r="L447" s="77" t="str">
        <f>IF(BD447=1,ROUND(AP447/60,4),"")</f>
        <v/>
      </c>
      <c r="M447" s="77" t="str">
        <f>IF(BD447=1,ROUND(AQ447/60,4),"")</f>
        <v/>
      </c>
      <c r="N447" s="71" t="str">
        <f>IF(AND(D447="proMX",AB447=1),ROUND(AG447/CFG_BLK,2),"")</f>
        <v/>
      </c>
      <c r="O447" s="77" t="str">
        <f>IF(D447="proMX",IF(BD447=1,ROUND(AG447/60,4),0),"")</f>
        <v/>
      </c>
      <c r="P447" s="78" t="str">
        <f>IF(Y447=0,"",IF(BD447=1,"OK",IF(D447="proMX","Revisar bloques: ","Revisar: ")&amp;BC447))</f>
        <v/>
      </c>
      <c r="Q447" s="78" t="str">
        <f>IF(NOT(ISNUMBER(B447)),"",IF(COUNTIFS(FER_F,INT(B447))&gt;0,"Feriado"&amp;IF(AH447=1," (laborable)"," (no laborable)"),IF(AH447=1,"Laborable",IF(WEEKDAY(B447,2)&gt;5,"Fin de semana","No laborable"))))</f>
        <v/>
      </c>
      <c r="R447" s="73" t="n"/>
      <c r="S447" s="72" t="n"/>
      <c r="T447" s="72" t="n"/>
      <c r="U447" s="74" t="n"/>
      <c r="V447" s="79" t="str">
        <f>IF(AND(D447="proMX",OR(R447="Submitted",R447="Recall Requested"),ISNUMBER(S447)),CFG_TODAY-INT(S447),"")</f>
        <v/>
      </c>
      <c r="W447" s="78" t="str">
        <f>IF(BD447=0,"",IF(BA447&gt;0,"⚠ Se superpone con un registro de la otra empresa",IF(D447="Malcolm",IF(COUNTA(R447,S447,T447)&gt;0,"Estado/fechas proMX se ignoran en Malcolm",""),IF(BF447="Cancelled","Cancelado: excluido de totales",IF(R447="","Sin estado: se trata como Draft",IF(BF447="Submitted",IF(ISNUMBER(V447),IF(V447&gt;CFG_MAXD,"⚠ "&amp;V447&amp;" días en Submitted (máx. "&amp;CFG_MAXD&amp;")",""),"Falta fecha de envío"),IF(BF447="Returned","⚠ Devuelto: corregir y reenviar",IF(BF447="Recall Requested","Retirada solicitada: pendiente",IF(AND(BF447="Approved",NOT(ISNUMBER(T447))),"Falta fecha de aprobación",IF(AND(ISNUMBER(S447),ISNUMBER(T447),T447&lt;S447),"Aprobación anterior al envío","")))))))))</f>
        <v/>
      </c>
      <c r="Y447" s="80">
        <f>IF(COUNTA(B447,D447,E447,F447,G447,H447,I447,J447,R447,S447,T447)&gt;0,1,0)</f>
        <v>0</v>
      </c>
      <c r="Z447" s="80" t="str">
        <f>IF(AND(ISNUMBER(H447),H447&gt;=0,H447&lt;1),ROUND(H447*1440,0),"")</f>
        <v/>
      </c>
      <c r="AA447" s="80" t="str">
        <f>IF(AND(ISNUMBER(I447),I447&gt;=0,I447&lt;1),ROUND(I447*1440,0),"")</f>
        <v/>
      </c>
      <c r="AB447" s="80">
        <f>IF(AND(ISNUMBER(B447),D447&lt;&gt;"",ISNUMBER(Z447),ISNUMBER(AA447)),IF(Z447=AA447,0,1),0)</f>
        <v>0</v>
      </c>
      <c r="AC447" s="80">
        <f>IF(AB447=1,IF(AA447&lt;Z447,1,0),0)</f>
        <v>0</v>
      </c>
      <c r="AD447" s="80">
        <f>IF(AB447=1,IF(AC447=1,1440-Z447+AA447,AA447-Z447),0)</f>
        <v>0</v>
      </c>
      <c r="AE447" s="80">
        <f>IF(J447="",0,IF(ISNUMBER(J447),J447,-1))</f>
        <v>0</v>
      </c>
      <c r="AF447" s="80">
        <f>MIN(MAX(0,AE447),AD447)</f>
        <v>0</v>
      </c>
      <c r="AG447" s="80">
        <f>MAX(0,AD447-MAX(0,AE447))</f>
        <v>0</v>
      </c>
      <c r="AH447" s="80">
        <f>IF(ISNUMBER(B447),IF(AND(INDEX(CFG_WDAYS,WEEKDAY(INT(B447),2))="Sí",IF(D447="proMX",COUNTIFS(FER_F,INT(B447),FER_NLP,"Sí"),COUNTIFS(FER_F,INT(B447),FER_NLM,"Sí"))=0),1,0),0)</f>
        <v>0</v>
      </c>
      <c r="AI447" s="80">
        <f>IF(AC447=1,IF(AND(INDEX(CFG_WDAYS,WEEKDAY(INT(B447)+1,2))="Sí",IF(D447="proMX",COUNTIFS(FER_F,INT(B447)+1,FER_NLP,"Sí"),COUNTIFS(FER_F,INT(B447)+1,FER_NLM,"Sí"))=0),1,0),0)</f>
        <v>0</v>
      </c>
      <c r="AJ447" s="80">
        <f>IF(AC447=1,1440-Z447,AD447)</f>
        <v>0</v>
      </c>
      <c r="AK447" s="80">
        <f>IF(AND(AB447=1,AH447=1),MAX(0,MIN(IF(AC447=1,1440,AA447),CFG_WEM)-MAX(Z447,CFG_WSM)),0)</f>
        <v>0</v>
      </c>
      <c r="AL447" s="80">
        <f>IF(AND(AC447=1,AI447=1),MAX(0,MIN(AA447,CFG_WEM)-CFG_WSM),0)</f>
        <v>0</v>
      </c>
      <c r="AM447" s="80">
        <f>AK447+AL447</f>
        <v>0</v>
      </c>
      <c r="AN447" s="80">
        <f>IF(CFG_BRK="Proporcional",IF(AD447=0,0,AF447*AM447/AD447),IF(CFG_BRK="Extras primero",MIN(AM447,MAX(0,AF447-(AD447-AM447))),MIN(AF447,AM447)))</f>
        <v>0</v>
      </c>
      <c r="AO447" s="80">
        <f>AF447-AN447</f>
        <v>0</v>
      </c>
      <c r="AP447" s="80">
        <f>AM447-AN447</f>
        <v>0</v>
      </c>
      <c r="AQ447" s="80">
        <f>AD447-AM447-AO447</f>
        <v>0</v>
      </c>
      <c r="AR447" s="80">
        <f>IF(AM447=0,0,AK447-AN447*AK447/AM447)</f>
        <v>0</v>
      </c>
      <c r="AS447" s="80">
        <f>IF(AD447-AM447=0,0,(AJ447-AK447)-AO447*(AJ447-AK447)/(AD447-AM447))</f>
        <v>0</v>
      </c>
      <c r="AT447" s="80" t="str">
        <f>IF(AC447=1,INT(B447)+1,"")</f>
        <v/>
      </c>
      <c r="AU447" s="80">
        <f>IF(AND(D447="proMX",R447="Cancelled"),0,1)</f>
        <v>1</v>
      </c>
      <c r="AV447" s="80">
        <f>IF(AND(AB447=1,AU447=1),IF(COUNTIFS($D$5:D446,D447,$B$5:B446,B447,$Z$5:Z446,Z447,$AA$5:AA446,AA447,$F$5:F446,F447&amp;"",$AU$5:AU446,1)&gt;0,1,0),0)</f>
        <v>0</v>
      </c>
      <c r="AW447" s="80" t="str">
        <f>IF(AB447=1,INT(B447)*1440+Z447,"")</f>
        <v/>
      </c>
      <c r="AX447" s="80" t="str">
        <f>IF(AB447=1,AW447+AD447,"")</f>
        <v/>
      </c>
      <c r="AY447" s="80">
        <f>IF(AND(AB447=1,AV447=0,AU447=1),1,0)</f>
        <v>0</v>
      </c>
      <c r="AZ447" s="80">
        <f>IF(AY447=1,COUNTIFS(R_Emp,D447,R_SAbs,"&lt;"&amp;AX447,R_EAbs,"&gt;"&amp;AW447,R_OKey,1)-1,0)</f>
        <v>0</v>
      </c>
      <c r="BA447" s="80">
        <f>IF(AY447=1,COUNTIFS(R_Emp,"&lt;&gt;"&amp;D447,R_SAbs,"&lt;"&amp;AX447,R_EAbs,"&gt;"&amp;AW447,R_OKey,1),0)</f>
        <v>0</v>
      </c>
      <c r="BB447" s="80">
        <f>IF(AND(AB447=1,D447="proMX"),IF(AND(MOD(Z447,CFG_BLK)=0,MOD(AA447,CFG_BLK)=0,MOD(AG447,CFG_BLK)=0,AG447&gt;0),1,0),1)</f>
        <v>1</v>
      </c>
      <c r="BC447" s="80" t="str">
        <f>IF(Y447=0,"",IF(NOT(ISNUMBER(B447)),"Falta fecha o fecha inválida",IF(D447="","Falta empresa",IF(AND(D447&lt;&gt;"Malcolm",D447&lt;&gt;"proMX"),"Empresa inválida",IF(OR(INT(B447)&lt;CFG_PSTART,INT(B447)&gt;CFG_PEND),"Fecha fuera del período",IF(OR(NOT(ISNUMBER(Z447)),NOT(ISNUMBER(AA447))),"Falta hora inicio/fin o formato inválido",IF(AB447=0,"Hora inicio = hora fin",IF(AE447&lt;0,"Descanso inválido",IF(AE447&gt;=AD447,"Descanso ≥ duración",IF(AV447=1,"Registro duplicado",IF(AZ447&gt;0,"Se superpone con otro registro "&amp;D447,IF(BB447=0,"inicio, fin y duración neta deben ser múltiplos de "&amp;CFG_BLK&amp;" min",""))))))))))))</f>
        <v/>
      </c>
      <c r="BD447" s="80">
        <f>IF(AND(Y447=1,BC447=""),1,0)</f>
        <v>0</v>
      </c>
      <c r="BE447" s="80">
        <f>IF(AND(BD447=1,AU447=1),1,0)</f>
        <v>0</v>
      </c>
      <c r="BF447" s="80" t="str">
        <f>IF(AND(D447="proMX",BD447=1),IF(R447="","Draft",R447),"")</f>
        <v/>
      </c>
      <c r="BG447" s="80">
        <f>IF(BD447=1,ROUND(AG447/60,6),0)</f>
        <v>0</v>
      </c>
      <c r="BH447" s="80">
        <f>IF(BE447=1,ROUND(AG447/60,6),0)</f>
        <v>0</v>
      </c>
      <c r="BI447" s="80">
        <f>IF(BE447=1,ROUND(AP447/60,6),0)</f>
        <v>0</v>
      </c>
      <c r="BJ447" s="80">
        <f>IF(BE447=1,ROUND(AQ447/60,6),0)</f>
        <v>0</v>
      </c>
      <c r="BK447" s="80">
        <f>IF(BE447=1,ROUND((AR447+AS447)/60,6),0)</f>
        <v>0</v>
      </c>
      <c r="BL447" s="80">
        <f>ROUND(BH447-BK447,6)</f>
        <v>0</v>
      </c>
      <c r="BM447" s="80">
        <f>IF(BE447=1,ROUND(AR447/60,6),0)</f>
        <v>0</v>
      </c>
      <c r="BN447" s="80">
        <f>ROUND(BI447-BM447,6)</f>
        <v>0</v>
      </c>
      <c r="BO447" s="80">
        <f>IF(BE447=1,ROUND(AS447/60,6),0)</f>
        <v>0</v>
      </c>
      <c r="BP447" s="80">
        <f>ROUND(BJ447-BO447,6)</f>
        <v>0</v>
      </c>
      <c r="BQ447" s="80">
        <f>IF(BE447=1,AW447,0)</f>
        <v>0</v>
      </c>
      <c r="BR447" s="80">
        <f>IF(BE447=1,AX447,0)</f>
        <v>0</v>
      </c>
      <c r="BS447" s="80">
        <f>IF(AND(BE447=1,D447="Malcolm",BA447&gt;0),MIN(BH447,SUMPRODUCT((R_Emp="proMX")*(R_EN&gt;0)*((R_EN-(R_EN&gt;BR447)*(R_EN-BR447))&gt;(R_SN+(R_SN&lt;BQ447)*(BQ447-R_SN)))*((R_EN-(R_EN&gt;BR447)*(R_EN-BR447))-(R_SN+(R_SN&lt;BQ447)*(BQ447-R_SN))))/60),0)</f>
        <v>0</v>
      </c>
      <c r="BT447" s="80">
        <f>IF(AND(BE447=1,D447="proMX"),ROUND(BI447*CFG_RATE+BJ447*CFG_OTRATE,6),0)</f>
        <v>0</v>
      </c>
      <c r="BU447" s="80">
        <f>IF(AND(BD447=1,D447="proMX"),ROUND(AG447/CFG_BLK,6),0)</f>
        <v>0</v>
      </c>
      <c r="BV447" s="80" t="str">
        <f>IF(BF447="Approved",IF(ISNUMBER(T447),INT(T447),INT(B447)),"")</f>
        <v/>
      </c>
      <c r="BW447" s="80">
        <f>IF(ISNUMBER(B447),IF(DB_MON="Todos",1,IF(AND(INT(B447)&gt;=DB_MS,INT(B447)&lt;=DB_ME),1,0)),0)</f>
        <v>0</v>
      </c>
      <c r="BX447" s="80">
        <f>IF(DB_PROJ="Todos",1,IF(E447&amp;""=DB_PROJ&amp;"",1,0))</f>
        <v>1</v>
      </c>
      <c r="BY447" s="80">
        <f>BW447*BX447</f>
        <v>0</v>
      </c>
      <c r="BZ447" s="80" t="str">
        <f>IF(Y447=1,F447&amp;IF(AND(F447&amp;""&lt;&gt;"",E447&amp;""&lt;&gt;"")," · ","")&amp;E447,"")</f>
        <v/>
      </c>
      <c r="CA447" s="80" t="str">
        <f>IF(AND(BD447=1,E447&amp;""&lt;&gt;""),IF(COUNTIFS($E$5:E446,E447,$BD$5:BD446,1)=0,MAX($CA$5:CA446)+1,""),"")</f>
        <v/>
      </c>
      <c r="CB447" s="80" t="str">
        <f>IF(AND(BE447=1,D447="Malcolm",E447&amp;""&lt;&gt;""),IF(COUNTIFS($D$5:D446,"Malcolm",$E$5:E446,E447,$BE$5:BE446,1)=0,MAX($CB$5:CB446)+1,""),"")</f>
        <v/>
      </c>
      <c r="CC447" s="80" t="str">
        <f>IF(AND(BD447=1,D447="proMX",E447&amp;""&lt;&gt;""),IF(COUNTIFS($D$5:D446,"proMX",$E$5:E446,E447,$BD$5:BD446,1)=0,MAX($CC$5:CC446)+1,""),"")</f>
        <v/>
      </c>
      <c r="CD447" s="80" t="str">
        <f>IF(AND(BE447=1,D447="Malcolm",F447&amp;""&lt;&gt;""),IF(COUNTIFS($D$5:D446,"Malcolm",$F$5:F446,F447,$BE$5:BE446,1)=0,MAX($CD$5:CD446)+1,""),"")</f>
        <v/>
      </c>
      <c r="CE447" s="80" t="str">
        <f>IF(AND(BD447=1,D447="proMX",F447&amp;""&lt;&gt;""),IF(COUNTIFS($D$5:D446,"proMX",$F$5:F446,F447,$BD$5:BD446,1)=0,MAX($CE$5:CE446)+1,""),"")</f>
        <v/>
      </c>
      <c r="CF447" s="80" t="str">
        <f>IF(AND(D447="proMX",BD447=1),IF(OR(BF447="Draft",BF447="Submitted",BF447="Returned",BF447="Recall Requested"),MAX($CF$5:CF446)+1,""),"")</f>
        <v/>
      </c>
      <c r="CG447" s="80">
        <f>IF(BD447=0,0,IF(D447="Malcolm",1,MATCH(BF447,{"Draft","Submitted","Approved","Returned","Recall Requested","Cancelled"},0)+1))</f>
        <v>0</v>
      </c>
      <c r="CH447" s="80">
        <f>IF(AND(BF447="Submitted",ISNUMBER(V447)),IF(V447&gt;CFG_MAXD,1,0),0)</f>
        <v>0</v>
      </c>
    </row>
    <row r="448">
      <c r="A448" s="71" t="str">
        <f>IF(Y448=1,ROW()-5,"")</f>
        <v/>
      </c>
      <c r="B448" s="72" t="n"/>
      <c r="C448" s="71" t="str">
        <f>IF(ISNUMBER(B448),CHOOSE(WEEKDAY(B448,2),"Lun","Mar","Mié","Jue","Vie","Sáb","Dom"),"")</f>
        <v/>
      </c>
      <c r="D448" s="73" t="n"/>
      <c r="E448" s="74" t="n"/>
      <c r="F448" s="74" t="n"/>
      <c r="G448" s="74" t="n"/>
      <c r="H448" s="75" t="n"/>
      <c r="I448" s="75" t="n"/>
      <c r="J448" s="76" t="n"/>
      <c r="K448" s="77" t="str">
        <f>IF(AB448=1,ROUND(AG448/60,4),"")</f>
        <v/>
      </c>
      <c r="L448" s="77" t="str">
        <f>IF(BD448=1,ROUND(AP448/60,4),"")</f>
        <v/>
      </c>
      <c r="M448" s="77" t="str">
        <f>IF(BD448=1,ROUND(AQ448/60,4),"")</f>
        <v/>
      </c>
      <c r="N448" s="71" t="str">
        <f>IF(AND(D448="proMX",AB448=1),ROUND(AG448/CFG_BLK,2),"")</f>
        <v/>
      </c>
      <c r="O448" s="77" t="str">
        <f>IF(D448="proMX",IF(BD448=1,ROUND(AG448/60,4),0),"")</f>
        <v/>
      </c>
      <c r="P448" s="78" t="str">
        <f>IF(Y448=0,"",IF(BD448=1,"OK",IF(D448="proMX","Revisar bloques: ","Revisar: ")&amp;BC448))</f>
        <v/>
      </c>
      <c r="Q448" s="78" t="str">
        <f>IF(NOT(ISNUMBER(B448)),"",IF(COUNTIFS(FER_F,INT(B448))&gt;0,"Feriado"&amp;IF(AH448=1," (laborable)"," (no laborable)"),IF(AH448=1,"Laborable",IF(WEEKDAY(B448,2)&gt;5,"Fin de semana","No laborable"))))</f>
        <v/>
      </c>
      <c r="R448" s="73" t="n"/>
      <c r="S448" s="72" t="n"/>
      <c r="T448" s="72" t="n"/>
      <c r="U448" s="74" t="n"/>
      <c r="V448" s="79" t="str">
        <f>IF(AND(D448="proMX",OR(R448="Submitted",R448="Recall Requested"),ISNUMBER(S448)),CFG_TODAY-INT(S448),"")</f>
        <v/>
      </c>
      <c r="W448" s="78" t="str">
        <f>IF(BD448=0,"",IF(BA448&gt;0,"⚠ Se superpone con un registro de la otra empresa",IF(D448="Malcolm",IF(COUNTA(R448,S448,T448)&gt;0,"Estado/fechas proMX se ignoran en Malcolm",""),IF(BF448="Cancelled","Cancelado: excluido de totales",IF(R448="","Sin estado: se trata como Draft",IF(BF448="Submitted",IF(ISNUMBER(V448),IF(V448&gt;CFG_MAXD,"⚠ "&amp;V448&amp;" días en Submitted (máx. "&amp;CFG_MAXD&amp;")",""),"Falta fecha de envío"),IF(BF448="Returned","⚠ Devuelto: corregir y reenviar",IF(BF448="Recall Requested","Retirada solicitada: pendiente",IF(AND(BF448="Approved",NOT(ISNUMBER(T448))),"Falta fecha de aprobación",IF(AND(ISNUMBER(S448),ISNUMBER(T448),T448&lt;S448),"Aprobación anterior al envío","")))))))))</f>
        <v/>
      </c>
      <c r="Y448" s="80">
        <f>IF(COUNTA(B448,D448,E448,F448,G448,H448,I448,J448,R448,S448,T448)&gt;0,1,0)</f>
        <v>0</v>
      </c>
      <c r="Z448" s="80" t="str">
        <f>IF(AND(ISNUMBER(H448),H448&gt;=0,H448&lt;1),ROUND(H448*1440,0),"")</f>
        <v/>
      </c>
      <c r="AA448" s="80" t="str">
        <f>IF(AND(ISNUMBER(I448),I448&gt;=0,I448&lt;1),ROUND(I448*1440,0),"")</f>
        <v/>
      </c>
      <c r="AB448" s="80">
        <f>IF(AND(ISNUMBER(B448),D448&lt;&gt;"",ISNUMBER(Z448),ISNUMBER(AA448)),IF(Z448=AA448,0,1),0)</f>
        <v>0</v>
      </c>
      <c r="AC448" s="80">
        <f>IF(AB448=1,IF(AA448&lt;Z448,1,0),0)</f>
        <v>0</v>
      </c>
      <c r="AD448" s="80">
        <f>IF(AB448=1,IF(AC448=1,1440-Z448+AA448,AA448-Z448),0)</f>
        <v>0</v>
      </c>
      <c r="AE448" s="80">
        <f>IF(J448="",0,IF(ISNUMBER(J448),J448,-1))</f>
        <v>0</v>
      </c>
      <c r="AF448" s="80">
        <f>MIN(MAX(0,AE448),AD448)</f>
        <v>0</v>
      </c>
      <c r="AG448" s="80">
        <f>MAX(0,AD448-MAX(0,AE448))</f>
        <v>0</v>
      </c>
      <c r="AH448" s="80">
        <f>IF(ISNUMBER(B448),IF(AND(INDEX(CFG_WDAYS,WEEKDAY(INT(B448),2))="Sí",IF(D448="proMX",COUNTIFS(FER_F,INT(B448),FER_NLP,"Sí"),COUNTIFS(FER_F,INT(B448),FER_NLM,"Sí"))=0),1,0),0)</f>
        <v>0</v>
      </c>
      <c r="AI448" s="80">
        <f>IF(AC448=1,IF(AND(INDEX(CFG_WDAYS,WEEKDAY(INT(B448)+1,2))="Sí",IF(D448="proMX",COUNTIFS(FER_F,INT(B448)+1,FER_NLP,"Sí"),COUNTIFS(FER_F,INT(B448)+1,FER_NLM,"Sí"))=0),1,0),0)</f>
        <v>0</v>
      </c>
      <c r="AJ448" s="80">
        <f>IF(AC448=1,1440-Z448,AD448)</f>
        <v>0</v>
      </c>
      <c r="AK448" s="80">
        <f>IF(AND(AB448=1,AH448=1),MAX(0,MIN(IF(AC448=1,1440,AA448),CFG_WEM)-MAX(Z448,CFG_WSM)),0)</f>
        <v>0</v>
      </c>
      <c r="AL448" s="80">
        <f>IF(AND(AC448=1,AI448=1),MAX(0,MIN(AA448,CFG_WEM)-CFG_WSM),0)</f>
        <v>0</v>
      </c>
      <c r="AM448" s="80">
        <f>AK448+AL448</f>
        <v>0</v>
      </c>
      <c r="AN448" s="80">
        <f>IF(CFG_BRK="Proporcional",IF(AD448=0,0,AF448*AM448/AD448),IF(CFG_BRK="Extras primero",MIN(AM448,MAX(0,AF448-(AD448-AM448))),MIN(AF448,AM448)))</f>
        <v>0</v>
      </c>
      <c r="AO448" s="80">
        <f>AF448-AN448</f>
        <v>0</v>
      </c>
      <c r="AP448" s="80">
        <f>AM448-AN448</f>
        <v>0</v>
      </c>
      <c r="AQ448" s="80">
        <f>AD448-AM448-AO448</f>
        <v>0</v>
      </c>
      <c r="AR448" s="80">
        <f>IF(AM448=0,0,AK448-AN448*AK448/AM448)</f>
        <v>0</v>
      </c>
      <c r="AS448" s="80">
        <f>IF(AD448-AM448=0,0,(AJ448-AK448)-AO448*(AJ448-AK448)/(AD448-AM448))</f>
        <v>0</v>
      </c>
      <c r="AT448" s="80" t="str">
        <f>IF(AC448=1,INT(B448)+1,"")</f>
        <v/>
      </c>
      <c r="AU448" s="80">
        <f>IF(AND(D448="proMX",R448="Cancelled"),0,1)</f>
        <v>1</v>
      </c>
      <c r="AV448" s="80">
        <f>IF(AND(AB448=1,AU448=1),IF(COUNTIFS($D$5:D447,D448,$B$5:B447,B448,$Z$5:Z447,Z448,$AA$5:AA447,AA448,$F$5:F447,F448&amp;"",$AU$5:AU447,1)&gt;0,1,0),0)</f>
        <v>0</v>
      </c>
      <c r="AW448" s="80" t="str">
        <f>IF(AB448=1,INT(B448)*1440+Z448,"")</f>
        <v/>
      </c>
      <c r="AX448" s="80" t="str">
        <f>IF(AB448=1,AW448+AD448,"")</f>
        <v/>
      </c>
      <c r="AY448" s="80">
        <f>IF(AND(AB448=1,AV448=0,AU448=1),1,0)</f>
        <v>0</v>
      </c>
      <c r="AZ448" s="80">
        <f>IF(AY448=1,COUNTIFS(R_Emp,D448,R_SAbs,"&lt;"&amp;AX448,R_EAbs,"&gt;"&amp;AW448,R_OKey,1)-1,0)</f>
        <v>0</v>
      </c>
      <c r="BA448" s="80">
        <f>IF(AY448=1,COUNTIFS(R_Emp,"&lt;&gt;"&amp;D448,R_SAbs,"&lt;"&amp;AX448,R_EAbs,"&gt;"&amp;AW448,R_OKey,1),0)</f>
        <v>0</v>
      </c>
      <c r="BB448" s="80">
        <f>IF(AND(AB448=1,D448="proMX"),IF(AND(MOD(Z448,CFG_BLK)=0,MOD(AA448,CFG_BLK)=0,MOD(AG448,CFG_BLK)=0,AG448&gt;0),1,0),1)</f>
        <v>1</v>
      </c>
      <c r="BC448" s="80" t="str">
        <f>IF(Y448=0,"",IF(NOT(ISNUMBER(B448)),"Falta fecha o fecha inválida",IF(D448="","Falta empresa",IF(AND(D448&lt;&gt;"Malcolm",D448&lt;&gt;"proMX"),"Empresa inválida",IF(OR(INT(B448)&lt;CFG_PSTART,INT(B448)&gt;CFG_PEND),"Fecha fuera del período",IF(OR(NOT(ISNUMBER(Z448)),NOT(ISNUMBER(AA448))),"Falta hora inicio/fin o formato inválido",IF(AB448=0,"Hora inicio = hora fin",IF(AE448&lt;0,"Descanso inválido",IF(AE448&gt;=AD448,"Descanso ≥ duración",IF(AV448=1,"Registro duplicado",IF(AZ448&gt;0,"Se superpone con otro registro "&amp;D448,IF(BB448=0,"inicio, fin y duración neta deben ser múltiplos de "&amp;CFG_BLK&amp;" min",""))))))))))))</f>
        <v/>
      </c>
      <c r="BD448" s="80">
        <f>IF(AND(Y448=1,BC448=""),1,0)</f>
        <v>0</v>
      </c>
      <c r="BE448" s="80">
        <f>IF(AND(BD448=1,AU448=1),1,0)</f>
        <v>0</v>
      </c>
      <c r="BF448" s="80" t="str">
        <f>IF(AND(D448="proMX",BD448=1),IF(R448="","Draft",R448),"")</f>
        <v/>
      </c>
      <c r="BG448" s="80">
        <f>IF(BD448=1,ROUND(AG448/60,6),0)</f>
        <v>0</v>
      </c>
      <c r="BH448" s="80">
        <f>IF(BE448=1,ROUND(AG448/60,6),0)</f>
        <v>0</v>
      </c>
      <c r="BI448" s="80">
        <f>IF(BE448=1,ROUND(AP448/60,6),0)</f>
        <v>0</v>
      </c>
      <c r="BJ448" s="80">
        <f>IF(BE448=1,ROUND(AQ448/60,6),0)</f>
        <v>0</v>
      </c>
      <c r="BK448" s="80">
        <f>IF(BE448=1,ROUND((AR448+AS448)/60,6),0)</f>
        <v>0</v>
      </c>
      <c r="BL448" s="80">
        <f>ROUND(BH448-BK448,6)</f>
        <v>0</v>
      </c>
      <c r="BM448" s="80">
        <f>IF(BE448=1,ROUND(AR448/60,6),0)</f>
        <v>0</v>
      </c>
      <c r="BN448" s="80">
        <f>ROUND(BI448-BM448,6)</f>
        <v>0</v>
      </c>
      <c r="BO448" s="80">
        <f>IF(BE448=1,ROUND(AS448/60,6),0)</f>
        <v>0</v>
      </c>
      <c r="BP448" s="80">
        <f>ROUND(BJ448-BO448,6)</f>
        <v>0</v>
      </c>
      <c r="BQ448" s="80">
        <f>IF(BE448=1,AW448,0)</f>
        <v>0</v>
      </c>
      <c r="BR448" s="80">
        <f>IF(BE448=1,AX448,0)</f>
        <v>0</v>
      </c>
      <c r="BS448" s="80">
        <f>IF(AND(BE448=1,D448="Malcolm",BA448&gt;0),MIN(BH448,SUMPRODUCT((R_Emp="proMX")*(R_EN&gt;0)*((R_EN-(R_EN&gt;BR448)*(R_EN-BR448))&gt;(R_SN+(R_SN&lt;BQ448)*(BQ448-R_SN)))*((R_EN-(R_EN&gt;BR448)*(R_EN-BR448))-(R_SN+(R_SN&lt;BQ448)*(BQ448-R_SN))))/60),0)</f>
        <v>0</v>
      </c>
      <c r="BT448" s="80">
        <f>IF(AND(BE448=1,D448="proMX"),ROUND(BI448*CFG_RATE+BJ448*CFG_OTRATE,6),0)</f>
        <v>0</v>
      </c>
      <c r="BU448" s="80">
        <f>IF(AND(BD448=1,D448="proMX"),ROUND(AG448/CFG_BLK,6),0)</f>
        <v>0</v>
      </c>
      <c r="BV448" s="80" t="str">
        <f>IF(BF448="Approved",IF(ISNUMBER(T448),INT(T448),INT(B448)),"")</f>
        <v/>
      </c>
      <c r="BW448" s="80">
        <f>IF(ISNUMBER(B448),IF(DB_MON="Todos",1,IF(AND(INT(B448)&gt;=DB_MS,INT(B448)&lt;=DB_ME),1,0)),0)</f>
        <v>0</v>
      </c>
      <c r="BX448" s="80">
        <f>IF(DB_PROJ="Todos",1,IF(E448&amp;""=DB_PROJ&amp;"",1,0))</f>
        <v>1</v>
      </c>
      <c r="BY448" s="80">
        <f>BW448*BX448</f>
        <v>0</v>
      </c>
      <c r="BZ448" s="80" t="str">
        <f>IF(Y448=1,F448&amp;IF(AND(F448&amp;""&lt;&gt;"",E448&amp;""&lt;&gt;"")," · ","")&amp;E448,"")</f>
        <v/>
      </c>
      <c r="CA448" s="80" t="str">
        <f>IF(AND(BD448=1,E448&amp;""&lt;&gt;""),IF(COUNTIFS($E$5:E447,E448,$BD$5:BD447,1)=0,MAX($CA$5:CA447)+1,""),"")</f>
        <v/>
      </c>
      <c r="CB448" s="80" t="str">
        <f>IF(AND(BE448=1,D448="Malcolm",E448&amp;""&lt;&gt;""),IF(COUNTIFS($D$5:D447,"Malcolm",$E$5:E447,E448,$BE$5:BE447,1)=0,MAX($CB$5:CB447)+1,""),"")</f>
        <v/>
      </c>
      <c r="CC448" s="80" t="str">
        <f>IF(AND(BD448=1,D448="proMX",E448&amp;""&lt;&gt;""),IF(COUNTIFS($D$5:D447,"proMX",$E$5:E447,E448,$BD$5:BD447,1)=0,MAX($CC$5:CC447)+1,""),"")</f>
        <v/>
      </c>
      <c r="CD448" s="80" t="str">
        <f>IF(AND(BE448=1,D448="Malcolm",F448&amp;""&lt;&gt;""),IF(COUNTIFS($D$5:D447,"Malcolm",$F$5:F447,F448,$BE$5:BE447,1)=0,MAX($CD$5:CD447)+1,""),"")</f>
        <v/>
      </c>
      <c r="CE448" s="80" t="str">
        <f>IF(AND(BD448=1,D448="proMX",F448&amp;""&lt;&gt;""),IF(COUNTIFS($D$5:D447,"proMX",$F$5:F447,F448,$BD$5:BD447,1)=0,MAX($CE$5:CE447)+1,""),"")</f>
        <v/>
      </c>
      <c r="CF448" s="80" t="str">
        <f>IF(AND(D448="proMX",BD448=1),IF(OR(BF448="Draft",BF448="Submitted",BF448="Returned",BF448="Recall Requested"),MAX($CF$5:CF447)+1,""),"")</f>
        <v/>
      </c>
      <c r="CG448" s="80">
        <f>IF(BD448=0,0,IF(D448="Malcolm",1,MATCH(BF448,{"Draft","Submitted","Approved","Returned","Recall Requested","Cancelled"},0)+1))</f>
        <v>0</v>
      </c>
      <c r="CH448" s="80">
        <f>IF(AND(BF448="Submitted",ISNUMBER(V448)),IF(V448&gt;CFG_MAXD,1,0),0)</f>
        <v>0</v>
      </c>
    </row>
    <row r="449">
      <c r="A449" s="71" t="str">
        <f>IF(Y449=1,ROW()-5,"")</f>
        <v/>
      </c>
      <c r="B449" s="72" t="n"/>
      <c r="C449" s="71" t="str">
        <f>IF(ISNUMBER(B449),CHOOSE(WEEKDAY(B449,2),"Lun","Mar","Mié","Jue","Vie","Sáb","Dom"),"")</f>
        <v/>
      </c>
      <c r="D449" s="73" t="n"/>
      <c r="E449" s="74" t="n"/>
      <c r="F449" s="74" t="n"/>
      <c r="G449" s="74" t="n"/>
      <c r="H449" s="75" t="n"/>
      <c r="I449" s="75" t="n"/>
      <c r="J449" s="76" t="n"/>
      <c r="K449" s="77" t="str">
        <f>IF(AB449=1,ROUND(AG449/60,4),"")</f>
        <v/>
      </c>
      <c r="L449" s="77" t="str">
        <f>IF(BD449=1,ROUND(AP449/60,4),"")</f>
        <v/>
      </c>
      <c r="M449" s="77" t="str">
        <f>IF(BD449=1,ROUND(AQ449/60,4),"")</f>
        <v/>
      </c>
      <c r="N449" s="71" t="str">
        <f>IF(AND(D449="proMX",AB449=1),ROUND(AG449/CFG_BLK,2),"")</f>
        <v/>
      </c>
      <c r="O449" s="77" t="str">
        <f>IF(D449="proMX",IF(BD449=1,ROUND(AG449/60,4),0),"")</f>
        <v/>
      </c>
      <c r="P449" s="78" t="str">
        <f>IF(Y449=0,"",IF(BD449=1,"OK",IF(D449="proMX","Revisar bloques: ","Revisar: ")&amp;BC449))</f>
        <v/>
      </c>
      <c r="Q449" s="78" t="str">
        <f>IF(NOT(ISNUMBER(B449)),"",IF(COUNTIFS(FER_F,INT(B449))&gt;0,"Feriado"&amp;IF(AH449=1," (laborable)"," (no laborable)"),IF(AH449=1,"Laborable",IF(WEEKDAY(B449,2)&gt;5,"Fin de semana","No laborable"))))</f>
        <v/>
      </c>
      <c r="R449" s="73" t="n"/>
      <c r="S449" s="72" t="n"/>
      <c r="T449" s="72" t="n"/>
      <c r="U449" s="74" t="n"/>
      <c r="V449" s="79" t="str">
        <f>IF(AND(D449="proMX",OR(R449="Submitted",R449="Recall Requested"),ISNUMBER(S449)),CFG_TODAY-INT(S449),"")</f>
        <v/>
      </c>
      <c r="W449" s="78" t="str">
        <f>IF(BD449=0,"",IF(BA449&gt;0,"⚠ Se superpone con un registro de la otra empresa",IF(D449="Malcolm",IF(COUNTA(R449,S449,T449)&gt;0,"Estado/fechas proMX se ignoran en Malcolm",""),IF(BF449="Cancelled","Cancelado: excluido de totales",IF(R449="","Sin estado: se trata como Draft",IF(BF449="Submitted",IF(ISNUMBER(V449),IF(V449&gt;CFG_MAXD,"⚠ "&amp;V449&amp;" días en Submitted (máx. "&amp;CFG_MAXD&amp;")",""),"Falta fecha de envío"),IF(BF449="Returned","⚠ Devuelto: corregir y reenviar",IF(BF449="Recall Requested","Retirada solicitada: pendiente",IF(AND(BF449="Approved",NOT(ISNUMBER(T449))),"Falta fecha de aprobación",IF(AND(ISNUMBER(S449),ISNUMBER(T449),T449&lt;S449),"Aprobación anterior al envío","")))))))))</f>
        <v/>
      </c>
      <c r="Y449" s="80">
        <f>IF(COUNTA(B449,D449,E449,F449,G449,H449,I449,J449,R449,S449,T449)&gt;0,1,0)</f>
        <v>0</v>
      </c>
      <c r="Z449" s="80" t="str">
        <f>IF(AND(ISNUMBER(H449),H449&gt;=0,H449&lt;1),ROUND(H449*1440,0),"")</f>
        <v/>
      </c>
      <c r="AA449" s="80" t="str">
        <f>IF(AND(ISNUMBER(I449),I449&gt;=0,I449&lt;1),ROUND(I449*1440,0),"")</f>
        <v/>
      </c>
      <c r="AB449" s="80">
        <f>IF(AND(ISNUMBER(B449),D449&lt;&gt;"",ISNUMBER(Z449),ISNUMBER(AA449)),IF(Z449=AA449,0,1),0)</f>
        <v>0</v>
      </c>
      <c r="AC449" s="80">
        <f>IF(AB449=1,IF(AA449&lt;Z449,1,0),0)</f>
        <v>0</v>
      </c>
      <c r="AD449" s="80">
        <f>IF(AB449=1,IF(AC449=1,1440-Z449+AA449,AA449-Z449),0)</f>
        <v>0</v>
      </c>
      <c r="AE449" s="80">
        <f>IF(J449="",0,IF(ISNUMBER(J449),J449,-1))</f>
        <v>0</v>
      </c>
      <c r="AF449" s="80">
        <f>MIN(MAX(0,AE449),AD449)</f>
        <v>0</v>
      </c>
      <c r="AG449" s="80">
        <f>MAX(0,AD449-MAX(0,AE449))</f>
        <v>0</v>
      </c>
      <c r="AH449" s="80">
        <f>IF(ISNUMBER(B449),IF(AND(INDEX(CFG_WDAYS,WEEKDAY(INT(B449),2))="Sí",IF(D449="proMX",COUNTIFS(FER_F,INT(B449),FER_NLP,"Sí"),COUNTIFS(FER_F,INT(B449),FER_NLM,"Sí"))=0),1,0),0)</f>
        <v>0</v>
      </c>
      <c r="AI449" s="80">
        <f>IF(AC449=1,IF(AND(INDEX(CFG_WDAYS,WEEKDAY(INT(B449)+1,2))="Sí",IF(D449="proMX",COUNTIFS(FER_F,INT(B449)+1,FER_NLP,"Sí"),COUNTIFS(FER_F,INT(B449)+1,FER_NLM,"Sí"))=0),1,0),0)</f>
        <v>0</v>
      </c>
      <c r="AJ449" s="80">
        <f>IF(AC449=1,1440-Z449,AD449)</f>
        <v>0</v>
      </c>
      <c r="AK449" s="80">
        <f>IF(AND(AB449=1,AH449=1),MAX(0,MIN(IF(AC449=1,1440,AA449),CFG_WEM)-MAX(Z449,CFG_WSM)),0)</f>
        <v>0</v>
      </c>
      <c r="AL449" s="80">
        <f>IF(AND(AC449=1,AI449=1),MAX(0,MIN(AA449,CFG_WEM)-CFG_WSM),0)</f>
        <v>0</v>
      </c>
      <c r="AM449" s="80">
        <f>AK449+AL449</f>
        <v>0</v>
      </c>
      <c r="AN449" s="80">
        <f>IF(CFG_BRK="Proporcional",IF(AD449=0,0,AF449*AM449/AD449),IF(CFG_BRK="Extras primero",MIN(AM449,MAX(0,AF449-(AD449-AM449))),MIN(AF449,AM449)))</f>
        <v>0</v>
      </c>
      <c r="AO449" s="80">
        <f>AF449-AN449</f>
        <v>0</v>
      </c>
      <c r="AP449" s="80">
        <f>AM449-AN449</f>
        <v>0</v>
      </c>
      <c r="AQ449" s="80">
        <f>AD449-AM449-AO449</f>
        <v>0</v>
      </c>
      <c r="AR449" s="80">
        <f>IF(AM449=0,0,AK449-AN449*AK449/AM449)</f>
        <v>0</v>
      </c>
      <c r="AS449" s="80">
        <f>IF(AD449-AM449=0,0,(AJ449-AK449)-AO449*(AJ449-AK449)/(AD449-AM449))</f>
        <v>0</v>
      </c>
      <c r="AT449" s="80" t="str">
        <f>IF(AC449=1,INT(B449)+1,"")</f>
        <v/>
      </c>
      <c r="AU449" s="80">
        <f>IF(AND(D449="proMX",R449="Cancelled"),0,1)</f>
        <v>1</v>
      </c>
      <c r="AV449" s="80">
        <f>IF(AND(AB449=1,AU449=1),IF(COUNTIFS($D$5:D448,D449,$B$5:B448,B449,$Z$5:Z448,Z449,$AA$5:AA448,AA449,$F$5:F448,F449&amp;"",$AU$5:AU448,1)&gt;0,1,0),0)</f>
        <v>0</v>
      </c>
      <c r="AW449" s="80" t="str">
        <f>IF(AB449=1,INT(B449)*1440+Z449,"")</f>
        <v/>
      </c>
      <c r="AX449" s="80" t="str">
        <f>IF(AB449=1,AW449+AD449,"")</f>
        <v/>
      </c>
      <c r="AY449" s="80">
        <f>IF(AND(AB449=1,AV449=0,AU449=1),1,0)</f>
        <v>0</v>
      </c>
      <c r="AZ449" s="80">
        <f>IF(AY449=1,COUNTIFS(R_Emp,D449,R_SAbs,"&lt;"&amp;AX449,R_EAbs,"&gt;"&amp;AW449,R_OKey,1)-1,0)</f>
        <v>0</v>
      </c>
      <c r="BA449" s="80">
        <f>IF(AY449=1,COUNTIFS(R_Emp,"&lt;&gt;"&amp;D449,R_SAbs,"&lt;"&amp;AX449,R_EAbs,"&gt;"&amp;AW449,R_OKey,1),0)</f>
        <v>0</v>
      </c>
      <c r="BB449" s="80">
        <f>IF(AND(AB449=1,D449="proMX"),IF(AND(MOD(Z449,CFG_BLK)=0,MOD(AA449,CFG_BLK)=0,MOD(AG449,CFG_BLK)=0,AG449&gt;0),1,0),1)</f>
        <v>1</v>
      </c>
      <c r="BC449" s="80" t="str">
        <f>IF(Y449=0,"",IF(NOT(ISNUMBER(B449)),"Falta fecha o fecha inválida",IF(D449="","Falta empresa",IF(AND(D449&lt;&gt;"Malcolm",D449&lt;&gt;"proMX"),"Empresa inválida",IF(OR(INT(B449)&lt;CFG_PSTART,INT(B449)&gt;CFG_PEND),"Fecha fuera del período",IF(OR(NOT(ISNUMBER(Z449)),NOT(ISNUMBER(AA449))),"Falta hora inicio/fin o formato inválido",IF(AB449=0,"Hora inicio = hora fin",IF(AE449&lt;0,"Descanso inválido",IF(AE449&gt;=AD449,"Descanso ≥ duración",IF(AV449=1,"Registro duplicado",IF(AZ449&gt;0,"Se superpone con otro registro "&amp;D449,IF(BB449=0,"inicio, fin y duración neta deben ser múltiplos de "&amp;CFG_BLK&amp;" min",""))))))))))))</f>
        <v/>
      </c>
      <c r="BD449" s="80">
        <f>IF(AND(Y449=1,BC449=""),1,0)</f>
        <v>0</v>
      </c>
      <c r="BE449" s="80">
        <f>IF(AND(BD449=1,AU449=1),1,0)</f>
        <v>0</v>
      </c>
      <c r="BF449" s="80" t="str">
        <f>IF(AND(D449="proMX",BD449=1),IF(R449="","Draft",R449),"")</f>
        <v/>
      </c>
      <c r="BG449" s="80">
        <f>IF(BD449=1,ROUND(AG449/60,6),0)</f>
        <v>0</v>
      </c>
      <c r="BH449" s="80">
        <f>IF(BE449=1,ROUND(AG449/60,6),0)</f>
        <v>0</v>
      </c>
      <c r="BI449" s="80">
        <f>IF(BE449=1,ROUND(AP449/60,6),0)</f>
        <v>0</v>
      </c>
      <c r="BJ449" s="80">
        <f>IF(BE449=1,ROUND(AQ449/60,6),0)</f>
        <v>0</v>
      </c>
      <c r="BK449" s="80">
        <f>IF(BE449=1,ROUND((AR449+AS449)/60,6),0)</f>
        <v>0</v>
      </c>
      <c r="BL449" s="80">
        <f>ROUND(BH449-BK449,6)</f>
        <v>0</v>
      </c>
      <c r="BM449" s="80">
        <f>IF(BE449=1,ROUND(AR449/60,6),0)</f>
        <v>0</v>
      </c>
      <c r="BN449" s="80">
        <f>ROUND(BI449-BM449,6)</f>
        <v>0</v>
      </c>
      <c r="BO449" s="80">
        <f>IF(BE449=1,ROUND(AS449/60,6),0)</f>
        <v>0</v>
      </c>
      <c r="BP449" s="80">
        <f>ROUND(BJ449-BO449,6)</f>
        <v>0</v>
      </c>
      <c r="BQ449" s="80">
        <f>IF(BE449=1,AW449,0)</f>
        <v>0</v>
      </c>
      <c r="BR449" s="80">
        <f>IF(BE449=1,AX449,0)</f>
        <v>0</v>
      </c>
      <c r="BS449" s="80">
        <f>IF(AND(BE449=1,D449="Malcolm",BA449&gt;0),MIN(BH449,SUMPRODUCT((R_Emp="proMX")*(R_EN&gt;0)*((R_EN-(R_EN&gt;BR449)*(R_EN-BR449))&gt;(R_SN+(R_SN&lt;BQ449)*(BQ449-R_SN)))*((R_EN-(R_EN&gt;BR449)*(R_EN-BR449))-(R_SN+(R_SN&lt;BQ449)*(BQ449-R_SN))))/60),0)</f>
        <v>0</v>
      </c>
      <c r="BT449" s="80">
        <f>IF(AND(BE449=1,D449="proMX"),ROUND(BI449*CFG_RATE+BJ449*CFG_OTRATE,6),0)</f>
        <v>0</v>
      </c>
      <c r="BU449" s="80">
        <f>IF(AND(BD449=1,D449="proMX"),ROUND(AG449/CFG_BLK,6),0)</f>
        <v>0</v>
      </c>
      <c r="BV449" s="80" t="str">
        <f>IF(BF449="Approved",IF(ISNUMBER(T449),INT(T449),INT(B449)),"")</f>
        <v/>
      </c>
      <c r="BW449" s="80">
        <f>IF(ISNUMBER(B449),IF(DB_MON="Todos",1,IF(AND(INT(B449)&gt;=DB_MS,INT(B449)&lt;=DB_ME),1,0)),0)</f>
        <v>0</v>
      </c>
      <c r="BX449" s="80">
        <f>IF(DB_PROJ="Todos",1,IF(E449&amp;""=DB_PROJ&amp;"",1,0))</f>
        <v>1</v>
      </c>
      <c r="BY449" s="80">
        <f>BW449*BX449</f>
        <v>0</v>
      </c>
      <c r="BZ449" s="80" t="str">
        <f>IF(Y449=1,F449&amp;IF(AND(F449&amp;""&lt;&gt;"",E449&amp;""&lt;&gt;"")," · ","")&amp;E449,"")</f>
        <v/>
      </c>
      <c r="CA449" s="80" t="str">
        <f>IF(AND(BD449=1,E449&amp;""&lt;&gt;""),IF(COUNTIFS($E$5:E448,E449,$BD$5:BD448,1)=0,MAX($CA$5:CA448)+1,""),"")</f>
        <v/>
      </c>
      <c r="CB449" s="80" t="str">
        <f>IF(AND(BE449=1,D449="Malcolm",E449&amp;""&lt;&gt;""),IF(COUNTIFS($D$5:D448,"Malcolm",$E$5:E448,E449,$BE$5:BE448,1)=0,MAX($CB$5:CB448)+1,""),"")</f>
        <v/>
      </c>
      <c r="CC449" s="80" t="str">
        <f>IF(AND(BD449=1,D449="proMX",E449&amp;""&lt;&gt;""),IF(COUNTIFS($D$5:D448,"proMX",$E$5:E448,E449,$BD$5:BD448,1)=0,MAX($CC$5:CC448)+1,""),"")</f>
        <v/>
      </c>
      <c r="CD449" s="80" t="str">
        <f>IF(AND(BE449=1,D449="Malcolm",F449&amp;""&lt;&gt;""),IF(COUNTIFS($D$5:D448,"Malcolm",$F$5:F448,F449,$BE$5:BE448,1)=0,MAX($CD$5:CD448)+1,""),"")</f>
        <v/>
      </c>
      <c r="CE449" s="80" t="str">
        <f>IF(AND(BD449=1,D449="proMX",F449&amp;""&lt;&gt;""),IF(COUNTIFS($D$5:D448,"proMX",$F$5:F448,F449,$BD$5:BD448,1)=0,MAX($CE$5:CE448)+1,""),"")</f>
        <v/>
      </c>
      <c r="CF449" s="80" t="str">
        <f>IF(AND(D449="proMX",BD449=1),IF(OR(BF449="Draft",BF449="Submitted",BF449="Returned",BF449="Recall Requested"),MAX($CF$5:CF448)+1,""),"")</f>
        <v/>
      </c>
      <c r="CG449" s="80">
        <f>IF(BD449=0,0,IF(D449="Malcolm",1,MATCH(BF449,{"Draft","Submitted","Approved","Returned","Recall Requested","Cancelled"},0)+1))</f>
        <v>0</v>
      </c>
      <c r="CH449" s="80">
        <f>IF(AND(BF449="Submitted",ISNUMBER(V449)),IF(V449&gt;CFG_MAXD,1,0),0)</f>
        <v>0</v>
      </c>
    </row>
    <row r="450">
      <c r="A450" s="71" t="str">
        <f>IF(Y450=1,ROW()-5,"")</f>
        <v/>
      </c>
      <c r="B450" s="72" t="n"/>
      <c r="C450" s="71" t="str">
        <f>IF(ISNUMBER(B450),CHOOSE(WEEKDAY(B450,2),"Lun","Mar","Mié","Jue","Vie","Sáb","Dom"),"")</f>
        <v/>
      </c>
      <c r="D450" s="73" t="n"/>
      <c r="E450" s="74" t="n"/>
      <c r="F450" s="74" t="n"/>
      <c r="G450" s="74" t="n"/>
      <c r="H450" s="75" t="n"/>
      <c r="I450" s="75" t="n"/>
      <c r="J450" s="76" t="n"/>
      <c r="K450" s="77" t="str">
        <f>IF(AB450=1,ROUND(AG450/60,4),"")</f>
        <v/>
      </c>
      <c r="L450" s="77" t="str">
        <f>IF(BD450=1,ROUND(AP450/60,4),"")</f>
        <v/>
      </c>
      <c r="M450" s="77" t="str">
        <f>IF(BD450=1,ROUND(AQ450/60,4),"")</f>
        <v/>
      </c>
      <c r="N450" s="71" t="str">
        <f>IF(AND(D450="proMX",AB450=1),ROUND(AG450/CFG_BLK,2),"")</f>
        <v/>
      </c>
      <c r="O450" s="77" t="str">
        <f>IF(D450="proMX",IF(BD450=1,ROUND(AG450/60,4),0),"")</f>
        <v/>
      </c>
      <c r="P450" s="78" t="str">
        <f>IF(Y450=0,"",IF(BD450=1,"OK",IF(D450="proMX","Revisar bloques: ","Revisar: ")&amp;BC450))</f>
        <v/>
      </c>
      <c r="Q450" s="78" t="str">
        <f>IF(NOT(ISNUMBER(B450)),"",IF(COUNTIFS(FER_F,INT(B450))&gt;0,"Feriado"&amp;IF(AH450=1," (laborable)"," (no laborable)"),IF(AH450=1,"Laborable",IF(WEEKDAY(B450,2)&gt;5,"Fin de semana","No laborable"))))</f>
        <v/>
      </c>
      <c r="R450" s="73" t="n"/>
      <c r="S450" s="72" t="n"/>
      <c r="T450" s="72" t="n"/>
      <c r="U450" s="74" t="n"/>
      <c r="V450" s="79" t="str">
        <f>IF(AND(D450="proMX",OR(R450="Submitted",R450="Recall Requested"),ISNUMBER(S450)),CFG_TODAY-INT(S450),"")</f>
        <v/>
      </c>
      <c r="W450" s="78" t="str">
        <f>IF(BD450=0,"",IF(BA450&gt;0,"⚠ Se superpone con un registro de la otra empresa",IF(D450="Malcolm",IF(COUNTA(R450,S450,T450)&gt;0,"Estado/fechas proMX se ignoran en Malcolm",""),IF(BF450="Cancelled","Cancelado: excluido de totales",IF(R450="","Sin estado: se trata como Draft",IF(BF450="Submitted",IF(ISNUMBER(V450),IF(V450&gt;CFG_MAXD,"⚠ "&amp;V450&amp;" días en Submitted (máx. "&amp;CFG_MAXD&amp;")",""),"Falta fecha de envío"),IF(BF450="Returned","⚠ Devuelto: corregir y reenviar",IF(BF450="Recall Requested","Retirada solicitada: pendiente",IF(AND(BF450="Approved",NOT(ISNUMBER(T450))),"Falta fecha de aprobación",IF(AND(ISNUMBER(S450),ISNUMBER(T450),T450&lt;S450),"Aprobación anterior al envío","")))))))))</f>
        <v/>
      </c>
      <c r="Y450" s="80">
        <f>IF(COUNTA(B450,D450,E450,F450,G450,H450,I450,J450,R450,S450,T450)&gt;0,1,0)</f>
        <v>0</v>
      </c>
      <c r="Z450" s="80" t="str">
        <f>IF(AND(ISNUMBER(H450),H450&gt;=0,H450&lt;1),ROUND(H450*1440,0),"")</f>
        <v/>
      </c>
      <c r="AA450" s="80" t="str">
        <f>IF(AND(ISNUMBER(I450),I450&gt;=0,I450&lt;1),ROUND(I450*1440,0),"")</f>
        <v/>
      </c>
      <c r="AB450" s="80">
        <f>IF(AND(ISNUMBER(B450),D450&lt;&gt;"",ISNUMBER(Z450),ISNUMBER(AA450)),IF(Z450=AA450,0,1),0)</f>
        <v>0</v>
      </c>
      <c r="AC450" s="80">
        <f>IF(AB450=1,IF(AA450&lt;Z450,1,0),0)</f>
        <v>0</v>
      </c>
      <c r="AD450" s="80">
        <f>IF(AB450=1,IF(AC450=1,1440-Z450+AA450,AA450-Z450),0)</f>
        <v>0</v>
      </c>
      <c r="AE450" s="80">
        <f>IF(J450="",0,IF(ISNUMBER(J450),J450,-1))</f>
        <v>0</v>
      </c>
      <c r="AF450" s="80">
        <f>MIN(MAX(0,AE450),AD450)</f>
        <v>0</v>
      </c>
      <c r="AG450" s="80">
        <f>MAX(0,AD450-MAX(0,AE450))</f>
        <v>0</v>
      </c>
      <c r="AH450" s="80">
        <f>IF(ISNUMBER(B450),IF(AND(INDEX(CFG_WDAYS,WEEKDAY(INT(B450),2))="Sí",IF(D450="proMX",COUNTIFS(FER_F,INT(B450),FER_NLP,"Sí"),COUNTIFS(FER_F,INT(B450),FER_NLM,"Sí"))=0),1,0),0)</f>
        <v>0</v>
      </c>
      <c r="AI450" s="80">
        <f>IF(AC450=1,IF(AND(INDEX(CFG_WDAYS,WEEKDAY(INT(B450)+1,2))="Sí",IF(D450="proMX",COUNTIFS(FER_F,INT(B450)+1,FER_NLP,"Sí"),COUNTIFS(FER_F,INT(B450)+1,FER_NLM,"Sí"))=0),1,0),0)</f>
        <v>0</v>
      </c>
      <c r="AJ450" s="80">
        <f>IF(AC450=1,1440-Z450,AD450)</f>
        <v>0</v>
      </c>
      <c r="AK450" s="80">
        <f>IF(AND(AB450=1,AH450=1),MAX(0,MIN(IF(AC450=1,1440,AA450),CFG_WEM)-MAX(Z450,CFG_WSM)),0)</f>
        <v>0</v>
      </c>
      <c r="AL450" s="80">
        <f>IF(AND(AC450=1,AI450=1),MAX(0,MIN(AA450,CFG_WEM)-CFG_WSM),0)</f>
        <v>0</v>
      </c>
      <c r="AM450" s="80">
        <f>AK450+AL450</f>
        <v>0</v>
      </c>
      <c r="AN450" s="80">
        <f>IF(CFG_BRK="Proporcional",IF(AD450=0,0,AF450*AM450/AD450),IF(CFG_BRK="Extras primero",MIN(AM450,MAX(0,AF450-(AD450-AM450))),MIN(AF450,AM450)))</f>
        <v>0</v>
      </c>
      <c r="AO450" s="80">
        <f>AF450-AN450</f>
        <v>0</v>
      </c>
      <c r="AP450" s="80">
        <f>AM450-AN450</f>
        <v>0</v>
      </c>
      <c r="AQ450" s="80">
        <f>AD450-AM450-AO450</f>
        <v>0</v>
      </c>
      <c r="AR450" s="80">
        <f>IF(AM450=0,0,AK450-AN450*AK450/AM450)</f>
        <v>0</v>
      </c>
      <c r="AS450" s="80">
        <f>IF(AD450-AM450=0,0,(AJ450-AK450)-AO450*(AJ450-AK450)/(AD450-AM450))</f>
        <v>0</v>
      </c>
      <c r="AT450" s="80" t="str">
        <f>IF(AC450=1,INT(B450)+1,"")</f>
        <v/>
      </c>
      <c r="AU450" s="80">
        <f>IF(AND(D450="proMX",R450="Cancelled"),0,1)</f>
        <v>1</v>
      </c>
      <c r="AV450" s="80">
        <f>IF(AND(AB450=1,AU450=1),IF(COUNTIFS($D$5:D449,D450,$B$5:B449,B450,$Z$5:Z449,Z450,$AA$5:AA449,AA450,$F$5:F449,F450&amp;"",$AU$5:AU449,1)&gt;0,1,0),0)</f>
        <v>0</v>
      </c>
      <c r="AW450" s="80" t="str">
        <f>IF(AB450=1,INT(B450)*1440+Z450,"")</f>
        <v/>
      </c>
      <c r="AX450" s="80" t="str">
        <f>IF(AB450=1,AW450+AD450,"")</f>
        <v/>
      </c>
      <c r="AY450" s="80">
        <f>IF(AND(AB450=1,AV450=0,AU450=1),1,0)</f>
        <v>0</v>
      </c>
      <c r="AZ450" s="80">
        <f>IF(AY450=1,COUNTIFS(R_Emp,D450,R_SAbs,"&lt;"&amp;AX450,R_EAbs,"&gt;"&amp;AW450,R_OKey,1)-1,0)</f>
        <v>0</v>
      </c>
      <c r="BA450" s="80">
        <f>IF(AY450=1,COUNTIFS(R_Emp,"&lt;&gt;"&amp;D450,R_SAbs,"&lt;"&amp;AX450,R_EAbs,"&gt;"&amp;AW450,R_OKey,1),0)</f>
        <v>0</v>
      </c>
      <c r="BB450" s="80">
        <f>IF(AND(AB450=1,D450="proMX"),IF(AND(MOD(Z450,CFG_BLK)=0,MOD(AA450,CFG_BLK)=0,MOD(AG450,CFG_BLK)=0,AG450&gt;0),1,0),1)</f>
        <v>1</v>
      </c>
      <c r="BC450" s="80" t="str">
        <f>IF(Y450=0,"",IF(NOT(ISNUMBER(B450)),"Falta fecha o fecha inválida",IF(D450="","Falta empresa",IF(AND(D450&lt;&gt;"Malcolm",D450&lt;&gt;"proMX"),"Empresa inválida",IF(OR(INT(B450)&lt;CFG_PSTART,INT(B450)&gt;CFG_PEND),"Fecha fuera del período",IF(OR(NOT(ISNUMBER(Z450)),NOT(ISNUMBER(AA450))),"Falta hora inicio/fin o formato inválido",IF(AB450=0,"Hora inicio = hora fin",IF(AE450&lt;0,"Descanso inválido",IF(AE450&gt;=AD450,"Descanso ≥ duración",IF(AV450=1,"Registro duplicado",IF(AZ450&gt;0,"Se superpone con otro registro "&amp;D450,IF(BB450=0,"inicio, fin y duración neta deben ser múltiplos de "&amp;CFG_BLK&amp;" min",""))))))))))))</f>
        <v/>
      </c>
      <c r="BD450" s="80">
        <f>IF(AND(Y450=1,BC450=""),1,0)</f>
        <v>0</v>
      </c>
      <c r="BE450" s="80">
        <f>IF(AND(BD450=1,AU450=1),1,0)</f>
        <v>0</v>
      </c>
      <c r="BF450" s="80" t="str">
        <f>IF(AND(D450="proMX",BD450=1),IF(R450="","Draft",R450),"")</f>
        <v/>
      </c>
      <c r="BG450" s="80">
        <f>IF(BD450=1,ROUND(AG450/60,6),0)</f>
        <v>0</v>
      </c>
      <c r="BH450" s="80">
        <f>IF(BE450=1,ROUND(AG450/60,6),0)</f>
        <v>0</v>
      </c>
      <c r="BI450" s="80">
        <f>IF(BE450=1,ROUND(AP450/60,6),0)</f>
        <v>0</v>
      </c>
      <c r="BJ450" s="80">
        <f>IF(BE450=1,ROUND(AQ450/60,6),0)</f>
        <v>0</v>
      </c>
      <c r="BK450" s="80">
        <f>IF(BE450=1,ROUND((AR450+AS450)/60,6),0)</f>
        <v>0</v>
      </c>
      <c r="BL450" s="80">
        <f>ROUND(BH450-BK450,6)</f>
        <v>0</v>
      </c>
      <c r="BM450" s="80">
        <f>IF(BE450=1,ROUND(AR450/60,6),0)</f>
        <v>0</v>
      </c>
      <c r="BN450" s="80">
        <f>ROUND(BI450-BM450,6)</f>
        <v>0</v>
      </c>
      <c r="BO450" s="80">
        <f>IF(BE450=1,ROUND(AS450/60,6),0)</f>
        <v>0</v>
      </c>
      <c r="BP450" s="80">
        <f>ROUND(BJ450-BO450,6)</f>
        <v>0</v>
      </c>
      <c r="BQ450" s="80">
        <f>IF(BE450=1,AW450,0)</f>
        <v>0</v>
      </c>
      <c r="BR450" s="80">
        <f>IF(BE450=1,AX450,0)</f>
        <v>0</v>
      </c>
      <c r="BS450" s="80">
        <f>IF(AND(BE450=1,D450="Malcolm",BA450&gt;0),MIN(BH450,SUMPRODUCT((R_Emp="proMX")*(R_EN&gt;0)*((R_EN-(R_EN&gt;BR450)*(R_EN-BR450))&gt;(R_SN+(R_SN&lt;BQ450)*(BQ450-R_SN)))*((R_EN-(R_EN&gt;BR450)*(R_EN-BR450))-(R_SN+(R_SN&lt;BQ450)*(BQ450-R_SN))))/60),0)</f>
        <v>0</v>
      </c>
      <c r="BT450" s="80">
        <f>IF(AND(BE450=1,D450="proMX"),ROUND(BI450*CFG_RATE+BJ450*CFG_OTRATE,6),0)</f>
        <v>0</v>
      </c>
      <c r="BU450" s="80">
        <f>IF(AND(BD450=1,D450="proMX"),ROUND(AG450/CFG_BLK,6),0)</f>
        <v>0</v>
      </c>
      <c r="BV450" s="80" t="str">
        <f>IF(BF450="Approved",IF(ISNUMBER(T450),INT(T450),INT(B450)),"")</f>
        <v/>
      </c>
      <c r="BW450" s="80">
        <f>IF(ISNUMBER(B450),IF(DB_MON="Todos",1,IF(AND(INT(B450)&gt;=DB_MS,INT(B450)&lt;=DB_ME),1,0)),0)</f>
        <v>0</v>
      </c>
      <c r="BX450" s="80">
        <f>IF(DB_PROJ="Todos",1,IF(E450&amp;""=DB_PROJ&amp;"",1,0))</f>
        <v>1</v>
      </c>
      <c r="BY450" s="80">
        <f>BW450*BX450</f>
        <v>0</v>
      </c>
      <c r="BZ450" s="80" t="str">
        <f>IF(Y450=1,F450&amp;IF(AND(F450&amp;""&lt;&gt;"",E450&amp;""&lt;&gt;"")," · ","")&amp;E450,"")</f>
        <v/>
      </c>
      <c r="CA450" s="80" t="str">
        <f>IF(AND(BD450=1,E450&amp;""&lt;&gt;""),IF(COUNTIFS($E$5:E449,E450,$BD$5:BD449,1)=0,MAX($CA$5:CA449)+1,""),"")</f>
        <v/>
      </c>
      <c r="CB450" s="80" t="str">
        <f>IF(AND(BE450=1,D450="Malcolm",E450&amp;""&lt;&gt;""),IF(COUNTIFS($D$5:D449,"Malcolm",$E$5:E449,E450,$BE$5:BE449,1)=0,MAX($CB$5:CB449)+1,""),"")</f>
        <v/>
      </c>
      <c r="CC450" s="80" t="str">
        <f>IF(AND(BD450=1,D450="proMX",E450&amp;""&lt;&gt;""),IF(COUNTIFS($D$5:D449,"proMX",$E$5:E449,E450,$BD$5:BD449,1)=0,MAX($CC$5:CC449)+1,""),"")</f>
        <v/>
      </c>
      <c r="CD450" s="80" t="str">
        <f>IF(AND(BE450=1,D450="Malcolm",F450&amp;""&lt;&gt;""),IF(COUNTIFS($D$5:D449,"Malcolm",$F$5:F449,F450,$BE$5:BE449,1)=0,MAX($CD$5:CD449)+1,""),"")</f>
        <v/>
      </c>
      <c r="CE450" s="80" t="str">
        <f>IF(AND(BD450=1,D450="proMX",F450&amp;""&lt;&gt;""),IF(COUNTIFS($D$5:D449,"proMX",$F$5:F449,F450,$BD$5:BD449,1)=0,MAX($CE$5:CE449)+1,""),"")</f>
        <v/>
      </c>
      <c r="CF450" s="80" t="str">
        <f>IF(AND(D450="proMX",BD450=1),IF(OR(BF450="Draft",BF450="Submitted",BF450="Returned",BF450="Recall Requested"),MAX($CF$5:CF449)+1,""),"")</f>
        <v/>
      </c>
      <c r="CG450" s="80">
        <f>IF(BD450=0,0,IF(D450="Malcolm",1,MATCH(BF450,{"Draft","Submitted","Approved","Returned","Recall Requested","Cancelled"},0)+1))</f>
        <v>0</v>
      </c>
      <c r="CH450" s="80">
        <f>IF(AND(BF450="Submitted",ISNUMBER(V450)),IF(V450&gt;CFG_MAXD,1,0),0)</f>
        <v>0</v>
      </c>
    </row>
    <row r="451">
      <c r="A451" s="71" t="str">
        <f>IF(Y451=1,ROW()-5,"")</f>
        <v/>
      </c>
      <c r="B451" s="72" t="n"/>
      <c r="C451" s="71" t="str">
        <f>IF(ISNUMBER(B451),CHOOSE(WEEKDAY(B451,2),"Lun","Mar","Mié","Jue","Vie","Sáb","Dom"),"")</f>
        <v/>
      </c>
      <c r="D451" s="73" t="n"/>
      <c r="E451" s="74" t="n"/>
      <c r="F451" s="74" t="n"/>
      <c r="G451" s="74" t="n"/>
      <c r="H451" s="75" t="n"/>
      <c r="I451" s="75" t="n"/>
      <c r="J451" s="76" t="n"/>
      <c r="K451" s="77" t="str">
        <f>IF(AB451=1,ROUND(AG451/60,4),"")</f>
        <v/>
      </c>
      <c r="L451" s="77" t="str">
        <f>IF(BD451=1,ROUND(AP451/60,4),"")</f>
        <v/>
      </c>
      <c r="M451" s="77" t="str">
        <f>IF(BD451=1,ROUND(AQ451/60,4),"")</f>
        <v/>
      </c>
      <c r="N451" s="71" t="str">
        <f>IF(AND(D451="proMX",AB451=1),ROUND(AG451/CFG_BLK,2),"")</f>
        <v/>
      </c>
      <c r="O451" s="77" t="str">
        <f>IF(D451="proMX",IF(BD451=1,ROUND(AG451/60,4),0),"")</f>
        <v/>
      </c>
      <c r="P451" s="78" t="str">
        <f>IF(Y451=0,"",IF(BD451=1,"OK",IF(D451="proMX","Revisar bloques: ","Revisar: ")&amp;BC451))</f>
        <v/>
      </c>
      <c r="Q451" s="78" t="str">
        <f>IF(NOT(ISNUMBER(B451)),"",IF(COUNTIFS(FER_F,INT(B451))&gt;0,"Feriado"&amp;IF(AH451=1," (laborable)"," (no laborable)"),IF(AH451=1,"Laborable",IF(WEEKDAY(B451,2)&gt;5,"Fin de semana","No laborable"))))</f>
        <v/>
      </c>
      <c r="R451" s="73" t="n"/>
      <c r="S451" s="72" t="n"/>
      <c r="T451" s="72" t="n"/>
      <c r="U451" s="74" t="n"/>
      <c r="V451" s="79" t="str">
        <f>IF(AND(D451="proMX",OR(R451="Submitted",R451="Recall Requested"),ISNUMBER(S451)),CFG_TODAY-INT(S451),"")</f>
        <v/>
      </c>
      <c r="W451" s="78" t="str">
        <f>IF(BD451=0,"",IF(BA451&gt;0,"⚠ Se superpone con un registro de la otra empresa",IF(D451="Malcolm",IF(COUNTA(R451,S451,T451)&gt;0,"Estado/fechas proMX se ignoran en Malcolm",""),IF(BF451="Cancelled","Cancelado: excluido de totales",IF(R451="","Sin estado: se trata como Draft",IF(BF451="Submitted",IF(ISNUMBER(V451),IF(V451&gt;CFG_MAXD,"⚠ "&amp;V451&amp;" días en Submitted (máx. "&amp;CFG_MAXD&amp;")",""),"Falta fecha de envío"),IF(BF451="Returned","⚠ Devuelto: corregir y reenviar",IF(BF451="Recall Requested","Retirada solicitada: pendiente",IF(AND(BF451="Approved",NOT(ISNUMBER(T451))),"Falta fecha de aprobación",IF(AND(ISNUMBER(S451),ISNUMBER(T451),T451&lt;S451),"Aprobación anterior al envío","")))))))))</f>
        <v/>
      </c>
      <c r="Y451" s="80">
        <f>IF(COUNTA(B451,D451,E451,F451,G451,H451,I451,J451,R451,S451,T451)&gt;0,1,0)</f>
        <v>0</v>
      </c>
      <c r="Z451" s="80" t="str">
        <f>IF(AND(ISNUMBER(H451),H451&gt;=0,H451&lt;1),ROUND(H451*1440,0),"")</f>
        <v/>
      </c>
      <c r="AA451" s="80" t="str">
        <f>IF(AND(ISNUMBER(I451),I451&gt;=0,I451&lt;1),ROUND(I451*1440,0),"")</f>
        <v/>
      </c>
      <c r="AB451" s="80">
        <f>IF(AND(ISNUMBER(B451),D451&lt;&gt;"",ISNUMBER(Z451),ISNUMBER(AA451)),IF(Z451=AA451,0,1),0)</f>
        <v>0</v>
      </c>
      <c r="AC451" s="80">
        <f>IF(AB451=1,IF(AA451&lt;Z451,1,0),0)</f>
        <v>0</v>
      </c>
      <c r="AD451" s="80">
        <f>IF(AB451=1,IF(AC451=1,1440-Z451+AA451,AA451-Z451),0)</f>
        <v>0</v>
      </c>
      <c r="AE451" s="80">
        <f>IF(J451="",0,IF(ISNUMBER(J451),J451,-1))</f>
        <v>0</v>
      </c>
      <c r="AF451" s="80">
        <f>MIN(MAX(0,AE451),AD451)</f>
        <v>0</v>
      </c>
      <c r="AG451" s="80">
        <f>MAX(0,AD451-MAX(0,AE451))</f>
        <v>0</v>
      </c>
      <c r="AH451" s="80">
        <f>IF(ISNUMBER(B451),IF(AND(INDEX(CFG_WDAYS,WEEKDAY(INT(B451),2))="Sí",IF(D451="proMX",COUNTIFS(FER_F,INT(B451),FER_NLP,"Sí"),COUNTIFS(FER_F,INT(B451),FER_NLM,"Sí"))=0),1,0),0)</f>
        <v>0</v>
      </c>
      <c r="AI451" s="80">
        <f>IF(AC451=1,IF(AND(INDEX(CFG_WDAYS,WEEKDAY(INT(B451)+1,2))="Sí",IF(D451="proMX",COUNTIFS(FER_F,INT(B451)+1,FER_NLP,"Sí"),COUNTIFS(FER_F,INT(B451)+1,FER_NLM,"Sí"))=0),1,0),0)</f>
        <v>0</v>
      </c>
      <c r="AJ451" s="80">
        <f>IF(AC451=1,1440-Z451,AD451)</f>
        <v>0</v>
      </c>
      <c r="AK451" s="80">
        <f>IF(AND(AB451=1,AH451=1),MAX(0,MIN(IF(AC451=1,1440,AA451),CFG_WEM)-MAX(Z451,CFG_WSM)),0)</f>
        <v>0</v>
      </c>
      <c r="AL451" s="80">
        <f>IF(AND(AC451=1,AI451=1),MAX(0,MIN(AA451,CFG_WEM)-CFG_WSM),0)</f>
        <v>0</v>
      </c>
      <c r="AM451" s="80">
        <f>AK451+AL451</f>
        <v>0</v>
      </c>
      <c r="AN451" s="80">
        <f>IF(CFG_BRK="Proporcional",IF(AD451=0,0,AF451*AM451/AD451),IF(CFG_BRK="Extras primero",MIN(AM451,MAX(0,AF451-(AD451-AM451))),MIN(AF451,AM451)))</f>
        <v>0</v>
      </c>
      <c r="AO451" s="80">
        <f>AF451-AN451</f>
        <v>0</v>
      </c>
      <c r="AP451" s="80">
        <f>AM451-AN451</f>
        <v>0</v>
      </c>
      <c r="AQ451" s="80">
        <f>AD451-AM451-AO451</f>
        <v>0</v>
      </c>
      <c r="AR451" s="80">
        <f>IF(AM451=0,0,AK451-AN451*AK451/AM451)</f>
        <v>0</v>
      </c>
      <c r="AS451" s="80">
        <f>IF(AD451-AM451=0,0,(AJ451-AK451)-AO451*(AJ451-AK451)/(AD451-AM451))</f>
        <v>0</v>
      </c>
      <c r="AT451" s="80" t="str">
        <f>IF(AC451=1,INT(B451)+1,"")</f>
        <v/>
      </c>
      <c r="AU451" s="80">
        <f>IF(AND(D451="proMX",R451="Cancelled"),0,1)</f>
        <v>1</v>
      </c>
      <c r="AV451" s="80">
        <f>IF(AND(AB451=1,AU451=1),IF(COUNTIFS($D$5:D450,D451,$B$5:B450,B451,$Z$5:Z450,Z451,$AA$5:AA450,AA451,$F$5:F450,F451&amp;"",$AU$5:AU450,1)&gt;0,1,0),0)</f>
        <v>0</v>
      </c>
      <c r="AW451" s="80" t="str">
        <f>IF(AB451=1,INT(B451)*1440+Z451,"")</f>
        <v/>
      </c>
      <c r="AX451" s="80" t="str">
        <f>IF(AB451=1,AW451+AD451,"")</f>
        <v/>
      </c>
      <c r="AY451" s="80">
        <f>IF(AND(AB451=1,AV451=0,AU451=1),1,0)</f>
        <v>0</v>
      </c>
      <c r="AZ451" s="80">
        <f>IF(AY451=1,COUNTIFS(R_Emp,D451,R_SAbs,"&lt;"&amp;AX451,R_EAbs,"&gt;"&amp;AW451,R_OKey,1)-1,0)</f>
        <v>0</v>
      </c>
      <c r="BA451" s="80">
        <f>IF(AY451=1,COUNTIFS(R_Emp,"&lt;&gt;"&amp;D451,R_SAbs,"&lt;"&amp;AX451,R_EAbs,"&gt;"&amp;AW451,R_OKey,1),0)</f>
        <v>0</v>
      </c>
      <c r="BB451" s="80">
        <f>IF(AND(AB451=1,D451="proMX"),IF(AND(MOD(Z451,CFG_BLK)=0,MOD(AA451,CFG_BLK)=0,MOD(AG451,CFG_BLK)=0,AG451&gt;0),1,0),1)</f>
        <v>1</v>
      </c>
      <c r="BC451" s="80" t="str">
        <f>IF(Y451=0,"",IF(NOT(ISNUMBER(B451)),"Falta fecha o fecha inválida",IF(D451="","Falta empresa",IF(AND(D451&lt;&gt;"Malcolm",D451&lt;&gt;"proMX"),"Empresa inválida",IF(OR(INT(B451)&lt;CFG_PSTART,INT(B451)&gt;CFG_PEND),"Fecha fuera del período",IF(OR(NOT(ISNUMBER(Z451)),NOT(ISNUMBER(AA451))),"Falta hora inicio/fin o formato inválido",IF(AB451=0,"Hora inicio = hora fin",IF(AE451&lt;0,"Descanso inválido",IF(AE451&gt;=AD451,"Descanso ≥ duración",IF(AV451=1,"Registro duplicado",IF(AZ451&gt;0,"Se superpone con otro registro "&amp;D451,IF(BB451=0,"inicio, fin y duración neta deben ser múltiplos de "&amp;CFG_BLK&amp;" min",""))))))))))))</f>
        <v/>
      </c>
      <c r="BD451" s="80">
        <f>IF(AND(Y451=1,BC451=""),1,0)</f>
        <v>0</v>
      </c>
      <c r="BE451" s="80">
        <f>IF(AND(BD451=1,AU451=1),1,0)</f>
        <v>0</v>
      </c>
      <c r="BF451" s="80" t="str">
        <f>IF(AND(D451="proMX",BD451=1),IF(R451="","Draft",R451),"")</f>
        <v/>
      </c>
      <c r="BG451" s="80">
        <f>IF(BD451=1,ROUND(AG451/60,6),0)</f>
        <v>0</v>
      </c>
      <c r="BH451" s="80">
        <f>IF(BE451=1,ROUND(AG451/60,6),0)</f>
        <v>0</v>
      </c>
      <c r="BI451" s="80">
        <f>IF(BE451=1,ROUND(AP451/60,6),0)</f>
        <v>0</v>
      </c>
      <c r="BJ451" s="80">
        <f>IF(BE451=1,ROUND(AQ451/60,6),0)</f>
        <v>0</v>
      </c>
      <c r="BK451" s="80">
        <f>IF(BE451=1,ROUND((AR451+AS451)/60,6),0)</f>
        <v>0</v>
      </c>
      <c r="BL451" s="80">
        <f>ROUND(BH451-BK451,6)</f>
        <v>0</v>
      </c>
      <c r="BM451" s="80">
        <f>IF(BE451=1,ROUND(AR451/60,6),0)</f>
        <v>0</v>
      </c>
      <c r="BN451" s="80">
        <f>ROUND(BI451-BM451,6)</f>
        <v>0</v>
      </c>
      <c r="BO451" s="80">
        <f>IF(BE451=1,ROUND(AS451/60,6),0)</f>
        <v>0</v>
      </c>
      <c r="BP451" s="80">
        <f>ROUND(BJ451-BO451,6)</f>
        <v>0</v>
      </c>
      <c r="BQ451" s="80">
        <f>IF(BE451=1,AW451,0)</f>
        <v>0</v>
      </c>
      <c r="BR451" s="80">
        <f>IF(BE451=1,AX451,0)</f>
        <v>0</v>
      </c>
      <c r="BS451" s="80">
        <f>IF(AND(BE451=1,D451="Malcolm",BA451&gt;0),MIN(BH451,SUMPRODUCT((R_Emp="proMX")*(R_EN&gt;0)*((R_EN-(R_EN&gt;BR451)*(R_EN-BR451))&gt;(R_SN+(R_SN&lt;BQ451)*(BQ451-R_SN)))*((R_EN-(R_EN&gt;BR451)*(R_EN-BR451))-(R_SN+(R_SN&lt;BQ451)*(BQ451-R_SN))))/60),0)</f>
        <v>0</v>
      </c>
      <c r="BT451" s="80">
        <f>IF(AND(BE451=1,D451="proMX"),ROUND(BI451*CFG_RATE+BJ451*CFG_OTRATE,6),0)</f>
        <v>0</v>
      </c>
      <c r="BU451" s="80">
        <f>IF(AND(BD451=1,D451="proMX"),ROUND(AG451/CFG_BLK,6),0)</f>
        <v>0</v>
      </c>
      <c r="BV451" s="80" t="str">
        <f>IF(BF451="Approved",IF(ISNUMBER(T451),INT(T451),INT(B451)),"")</f>
        <v/>
      </c>
      <c r="BW451" s="80">
        <f>IF(ISNUMBER(B451),IF(DB_MON="Todos",1,IF(AND(INT(B451)&gt;=DB_MS,INT(B451)&lt;=DB_ME),1,0)),0)</f>
        <v>0</v>
      </c>
      <c r="BX451" s="80">
        <f>IF(DB_PROJ="Todos",1,IF(E451&amp;""=DB_PROJ&amp;"",1,0))</f>
        <v>1</v>
      </c>
      <c r="BY451" s="80">
        <f>BW451*BX451</f>
        <v>0</v>
      </c>
      <c r="BZ451" s="80" t="str">
        <f>IF(Y451=1,F451&amp;IF(AND(F451&amp;""&lt;&gt;"",E451&amp;""&lt;&gt;"")," · ","")&amp;E451,"")</f>
        <v/>
      </c>
      <c r="CA451" s="80" t="str">
        <f>IF(AND(BD451=1,E451&amp;""&lt;&gt;""),IF(COUNTIFS($E$5:E450,E451,$BD$5:BD450,1)=0,MAX($CA$5:CA450)+1,""),"")</f>
        <v/>
      </c>
      <c r="CB451" s="80" t="str">
        <f>IF(AND(BE451=1,D451="Malcolm",E451&amp;""&lt;&gt;""),IF(COUNTIFS($D$5:D450,"Malcolm",$E$5:E450,E451,$BE$5:BE450,1)=0,MAX($CB$5:CB450)+1,""),"")</f>
        <v/>
      </c>
      <c r="CC451" s="80" t="str">
        <f>IF(AND(BD451=1,D451="proMX",E451&amp;""&lt;&gt;""),IF(COUNTIFS($D$5:D450,"proMX",$E$5:E450,E451,$BD$5:BD450,1)=0,MAX($CC$5:CC450)+1,""),"")</f>
        <v/>
      </c>
      <c r="CD451" s="80" t="str">
        <f>IF(AND(BE451=1,D451="Malcolm",F451&amp;""&lt;&gt;""),IF(COUNTIFS($D$5:D450,"Malcolm",$F$5:F450,F451,$BE$5:BE450,1)=0,MAX($CD$5:CD450)+1,""),"")</f>
        <v/>
      </c>
      <c r="CE451" s="80" t="str">
        <f>IF(AND(BD451=1,D451="proMX",F451&amp;""&lt;&gt;""),IF(COUNTIFS($D$5:D450,"proMX",$F$5:F450,F451,$BD$5:BD450,1)=0,MAX($CE$5:CE450)+1,""),"")</f>
        <v/>
      </c>
      <c r="CF451" s="80" t="str">
        <f>IF(AND(D451="proMX",BD451=1),IF(OR(BF451="Draft",BF451="Submitted",BF451="Returned",BF451="Recall Requested"),MAX($CF$5:CF450)+1,""),"")</f>
        <v/>
      </c>
      <c r="CG451" s="80">
        <f>IF(BD451=0,0,IF(D451="Malcolm",1,MATCH(BF451,{"Draft","Submitted","Approved","Returned","Recall Requested","Cancelled"},0)+1))</f>
        <v>0</v>
      </c>
      <c r="CH451" s="80">
        <f>IF(AND(BF451="Submitted",ISNUMBER(V451)),IF(V451&gt;CFG_MAXD,1,0),0)</f>
        <v>0</v>
      </c>
    </row>
    <row r="452">
      <c r="A452" s="71" t="str">
        <f>IF(Y452=1,ROW()-5,"")</f>
        <v/>
      </c>
      <c r="B452" s="72" t="n"/>
      <c r="C452" s="71" t="str">
        <f>IF(ISNUMBER(B452),CHOOSE(WEEKDAY(B452,2),"Lun","Mar","Mié","Jue","Vie","Sáb","Dom"),"")</f>
        <v/>
      </c>
      <c r="D452" s="73" t="n"/>
      <c r="E452" s="74" t="n"/>
      <c r="F452" s="74" t="n"/>
      <c r="G452" s="74" t="n"/>
      <c r="H452" s="75" t="n"/>
      <c r="I452" s="75" t="n"/>
      <c r="J452" s="76" t="n"/>
      <c r="K452" s="77" t="str">
        <f>IF(AB452=1,ROUND(AG452/60,4),"")</f>
        <v/>
      </c>
      <c r="L452" s="77" t="str">
        <f>IF(BD452=1,ROUND(AP452/60,4),"")</f>
        <v/>
      </c>
      <c r="M452" s="77" t="str">
        <f>IF(BD452=1,ROUND(AQ452/60,4),"")</f>
        <v/>
      </c>
      <c r="N452" s="71" t="str">
        <f>IF(AND(D452="proMX",AB452=1),ROUND(AG452/CFG_BLK,2),"")</f>
        <v/>
      </c>
      <c r="O452" s="77" t="str">
        <f>IF(D452="proMX",IF(BD452=1,ROUND(AG452/60,4),0),"")</f>
        <v/>
      </c>
      <c r="P452" s="78" t="str">
        <f>IF(Y452=0,"",IF(BD452=1,"OK",IF(D452="proMX","Revisar bloques: ","Revisar: ")&amp;BC452))</f>
        <v/>
      </c>
      <c r="Q452" s="78" t="str">
        <f>IF(NOT(ISNUMBER(B452)),"",IF(COUNTIFS(FER_F,INT(B452))&gt;0,"Feriado"&amp;IF(AH452=1," (laborable)"," (no laborable)"),IF(AH452=1,"Laborable",IF(WEEKDAY(B452,2)&gt;5,"Fin de semana","No laborable"))))</f>
        <v/>
      </c>
      <c r="R452" s="73" t="n"/>
      <c r="S452" s="72" t="n"/>
      <c r="T452" s="72" t="n"/>
      <c r="U452" s="74" t="n"/>
      <c r="V452" s="79" t="str">
        <f>IF(AND(D452="proMX",OR(R452="Submitted",R452="Recall Requested"),ISNUMBER(S452)),CFG_TODAY-INT(S452),"")</f>
        <v/>
      </c>
      <c r="W452" s="78" t="str">
        <f>IF(BD452=0,"",IF(BA452&gt;0,"⚠ Se superpone con un registro de la otra empresa",IF(D452="Malcolm",IF(COUNTA(R452,S452,T452)&gt;0,"Estado/fechas proMX se ignoran en Malcolm",""),IF(BF452="Cancelled","Cancelado: excluido de totales",IF(R452="","Sin estado: se trata como Draft",IF(BF452="Submitted",IF(ISNUMBER(V452),IF(V452&gt;CFG_MAXD,"⚠ "&amp;V452&amp;" días en Submitted (máx. "&amp;CFG_MAXD&amp;")",""),"Falta fecha de envío"),IF(BF452="Returned","⚠ Devuelto: corregir y reenviar",IF(BF452="Recall Requested","Retirada solicitada: pendiente",IF(AND(BF452="Approved",NOT(ISNUMBER(T452))),"Falta fecha de aprobación",IF(AND(ISNUMBER(S452),ISNUMBER(T452),T452&lt;S452),"Aprobación anterior al envío","")))))))))</f>
        <v/>
      </c>
      <c r="Y452" s="80">
        <f>IF(COUNTA(B452,D452,E452,F452,G452,H452,I452,J452,R452,S452,T452)&gt;0,1,0)</f>
        <v>0</v>
      </c>
      <c r="Z452" s="80" t="str">
        <f>IF(AND(ISNUMBER(H452),H452&gt;=0,H452&lt;1),ROUND(H452*1440,0),"")</f>
        <v/>
      </c>
      <c r="AA452" s="80" t="str">
        <f>IF(AND(ISNUMBER(I452),I452&gt;=0,I452&lt;1),ROUND(I452*1440,0),"")</f>
        <v/>
      </c>
      <c r="AB452" s="80">
        <f>IF(AND(ISNUMBER(B452),D452&lt;&gt;"",ISNUMBER(Z452),ISNUMBER(AA452)),IF(Z452=AA452,0,1),0)</f>
        <v>0</v>
      </c>
      <c r="AC452" s="80">
        <f>IF(AB452=1,IF(AA452&lt;Z452,1,0),0)</f>
        <v>0</v>
      </c>
      <c r="AD452" s="80">
        <f>IF(AB452=1,IF(AC452=1,1440-Z452+AA452,AA452-Z452),0)</f>
        <v>0</v>
      </c>
      <c r="AE452" s="80">
        <f>IF(J452="",0,IF(ISNUMBER(J452),J452,-1))</f>
        <v>0</v>
      </c>
      <c r="AF452" s="80">
        <f>MIN(MAX(0,AE452),AD452)</f>
        <v>0</v>
      </c>
      <c r="AG452" s="80">
        <f>MAX(0,AD452-MAX(0,AE452))</f>
        <v>0</v>
      </c>
      <c r="AH452" s="80">
        <f>IF(ISNUMBER(B452),IF(AND(INDEX(CFG_WDAYS,WEEKDAY(INT(B452),2))="Sí",IF(D452="proMX",COUNTIFS(FER_F,INT(B452),FER_NLP,"Sí"),COUNTIFS(FER_F,INT(B452),FER_NLM,"Sí"))=0),1,0),0)</f>
        <v>0</v>
      </c>
      <c r="AI452" s="80">
        <f>IF(AC452=1,IF(AND(INDEX(CFG_WDAYS,WEEKDAY(INT(B452)+1,2))="Sí",IF(D452="proMX",COUNTIFS(FER_F,INT(B452)+1,FER_NLP,"Sí"),COUNTIFS(FER_F,INT(B452)+1,FER_NLM,"Sí"))=0),1,0),0)</f>
        <v>0</v>
      </c>
      <c r="AJ452" s="80">
        <f>IF(AC452=1,1440-Z452,AD452)</f>
        <v>0</v>
      </c>
      <c r="AK452" s="80">
        <f>IF(AND(AB452=1,AH452=1),MAX(0,MIN(IF(AC452=1,1440,AA452),CFG_WEM)-MAX(Z452,CFG_WSM)),0)</f>
        <v>0</v>
      </c>
      <c r="AL452" s="80">
        <f>IF(AND(AC452=1,AI452=1),MAX(0,MIN(AA452,CFG_WEM)-CFG_WSM),0)</f>
        <v>0</v>
      </c>
      <c r="AM452" s="80">
        <f>AK452+AL452</f>
        <v>0</v>
      </c>
      <c r="AN452" s="80">
        <f>IF(CFG_BRK="Proporcional",IF(AD452=0,0,AF452*AM452/AD452),IF(CFG_BRK="Extras primero",MIN(AM452,MAX(0,AF452-(AD452-AM452))),MIN(AF452,AM452)))</f>
        <v>0</v>
      </c>
      <c r="AO452" s="80">
        <f>AF452-AN452</f>
        <v>0</v>
      </c>
      <c r="AP452" s="80">
        <f>AM452-AN452</f>
        <v>0</v>
      </c>
      <c r="AQ452" s="80">
        <f>AD452-AM452-AO452</f>
        <v>0</v>
      </c>
      <c r="AR452" s="80">
        <f>IF(AM452=0,0,AK452-AN452*AK452/AM452)</f>
        <v>0</v>
      </c>
      <c r="AS452" s="80">
        <f>IF(AD452-AM452=0,0,(AJ452-AK452)-AO452*(AJ452-AK452)/(AD452-AM452))</f>
        <v>0</v>
      </c>
      <c r="AT452" s="80" t="str">
        <f>IF(AC452=1,INT(B452)+1,"")</f>
        <v/>
      </c>
      <c r="AU452" s="80">
        <f>IF(AND(D452="proMX",R452="Cancelled"),0,1)</f>
        <v>1</v>
      </c>
      <c r="AV452" s="80">
        <f>IF(AND(AB452=1,AU452=1),IF(COUNTIFS($D$5:D451,D452,$B$5:B451,B452,$Z$5:Z451,Z452,$AA$5:AA451,AA452,$F$5:F451,F452&amp;"",$AU$5:AU451,1)&gt;0,1,0),0)</f>
        <v>0</v>
      </c>
      <c r="AW452" s="80" t="str">
        <f>IF(AB452=1,INT(B452)*1440+Z452,"")</f>
        <v/>
      </c>
      <c r="AX452" s="80" t="str">
        <f>IF(AB452=1,AW452+AD452,"")</f>
        <v/>
      </c>
      <c r="AY452" s="80">
        <f>IF(AND(AB452=1,AV452=0,AU452=1),1,0)</f>
        <v>0</v>
      </c>
      <c r="AZ452" s="80">
        <f>IF(AY452=1,COUNTIFS(R_Emp,D452,R_SAbs,"&lt;"&amp;AX452,R_EAbs,"&gt;"&amp;AW452,R_OKey,1)-1,0)</f>
        <v>0</v>
      </c>
      <c r="BA452" s="80">
        <f>IF(AY452=1,COUNTIFS(R_Emp,"&lt;&gt;"&amp;D452,R_SAbs,"&lt;"&amp;AX452,R_EAbs,"&gt;"&amp;AW452,R_OKey,1),0)</f>
        <v>0</v>
      </c>
      <c r="BB452" s="80">
        <f>IF(AND(AB452=1,D452="proMX"),IF(AND(MOD(Z452,CFG_BLK)=0,MOD(AA452,CFG_BLK)=0,MOD(AG452,CFG_BLK)=0,AG452&gt;0),1,0),1)</f>
        <v>1</v>
      </c>
      <c r="BC452" s="80" t="str">
        <f>IF(Y452=0,"",IF(NOT(ISNUMBER(B452)),"Falta fecha o fecha inválida",IF(D452="","Falta empresa",IF(AND(D452&lt;&gt;"Malcolm",D452&lt;&gt;"proMX"),"Empresa inválida",IF(OR(INT(B452)&lt;CFG_PSTART,INT(B452)&gt;CFG_PEND),"Fecha fuera del período",IF(OR(NOT(ISNUMBER(Z452)),NOT(ISNUMBER(AA452))),"Falta hora inicio/fin o formato inválido",IF(AB452=0,"Hora inicio = hora fin",IF(AE452&lt;0,"Descanso inválido",IF(AE452&gt;=AD452,"Descanso ≥ duración",IF(AV452=1,"Registro duplicado",IF(AZ452&gt;0,"Se superpone con otro registro "&amp;D452,IF(BB452=0,"inicio, fin y duración neta deben ser múltiplos de "&amp;CFG_BLK&amp;" min",""))))))))))))</f>
        <v/>
      </c>
      <c r="BD452" s="80">
        <f>IF(AND(Y452=1,BC452=""),1,0)</f>
        <v>0</v>
      </c>
      <c r="BE452" s="80">
        <f>IF(AND(BD452=1,AU452=1),1,0)</f>
        <v>0</v>
      </c>
      <c r="BF452" s="80" t="str">
        <f>IF(AND(D452="proMX",BD452=1),IF(R452="","Draft",R452),"")</f>
        <v/>
      </c>
      <c r="BG452" s="80">
        <f>IF(BD452=1,ROUND(AG452/60,6),0)</f>
        <v>0</v>
      </c>
      <c r="BH452" s="80">
        <f>IF(BE452=1,ROUND(AG452/60,6),0)</f>
        <v>0</v>
      </c>
      <c r="BI452" s="80">
        <f>IF(BE452=1,ROUND(AP452/60,6),0)</f>
        <v>0</v>
      </c>
      <c r="BJ452" s="80">
        <f>IF(BE452=1,ROUND(AQ452/60,6),0)</f>
        <v>0</v>
      </c>
      <c r="BK452" s="80">
        <f>IF(BE452=1,ROUND((AR452+AS452)/60,6),0)</f>
        <v>0</v>
      </c>
      <c r="BL452" s="80">
        <f>ROUND(BH452-BK452,6)</f>
        <v>0</v>
      </c>
      <c r="BM452" s="80">
        <f>IF(BE452=1,ROUND(AR452/60,6),0)</f>
        <v>0</v>
      </c>
      <c r="BN452" s="80">
        <f>ROUND(BI452-BM452,6)</f>
        <v>0</v>
      </c>
      <c r="BO452" s="80">
        <f>IF(BE452=1,ROUND(AS452/60,6),0)</f>
        <v>0</v>
      </c>
      <c r="BP452" s="80">
        <f>ROUND(BJ452-BO452,6)</f>
        <v>0</v>
      </c>
      <c r="BQ452" s="80">
        <f>IF(BE452=1,AW452,0)</f>
        <v>0</v>
      </c>
      <c r="BR452" s="80">
        <f>IF(BE452=1,AX452,0)</f>
        <v>0</v>
      </c>
      <c r="BS452" s="80">
        <f>IF(AND(BE452=1,D452="Malcolm",BA452&gt;0),MIN(BH452,SUMPRODUCT((R_Emp="proMX")*(R_EN&gt;0)*((R_EN-(R_EN&gt;BR452)*(R_EN-BR452))&gt;(R_SN+(R_SN&lt;BQ452)*(BQ452-R_SN)))*((R_EN-(R_EN&gt;BR452)*(R_EN-BR452))-(R_SN+(R_SN&lt;BQ452)*(BQ452-R_SN))))/60),0)</f>
        <v>0</v>
      </c>
      <c r="BT452" s="80">
        <f>IF(AND(BE452=1,D452="proMX"),ROUND(BI452*CFG_RATE+BJ452*CFG_OTRATE,6),0)</f>
        <v>0</v>
      </c>
      <c r="BU452" s="80">
        <f>IF(AND(BD452=1,D452="proMX"),ROUND(AG452/CFG_BLK,6),0)</f>
        <v>0</v>
      </c>
      <c r="BV452" s="80" t="str">
        <f>IF(BF452="Approved",IF(ISNUMBER(T452),INT(T452),INT(B452)),"")</f>
        <v/>
      </c>
      <c r="BW452" s="80">
        <f>IF(ISNUMBER(B452),IF(DB_MON="Todos",1,IF(AND(INT(B452)&gt;=DB_MS,INT(B452)&lt;=DB_ME),1,0)),0)</f>
        <v>0</v>
      </c>
      <c r="BX452" s="80">
        <f>IF(DB_PROJ="Todos",1,IF(E452&amp;""=DB_PROJ&amp;"",1,0))</f>
        <v>1</v>
      </c>
      <c r="BY452" s="80">
        <f>BW452*BX452</f>
        <v>0</v>
      </c>
      <c r="BZ452" s="80" t="str">
        <f>IF(Y452=1,F452&amp;IF(AND(F452&amp;""&lt;&gt;"",E452&amp;""&lt;&gt;"")," · ","")&amp;E452,"")</f>
        <v/>
      </c>
      <c r="CA452" s="80" t="str">
        <f>IF(AND(BD452=1,E452&amp;""&lt;&gt;""),IF(COUNTIFS($E$5:E451,E452,$BD$5:BD451,1)=0,MAX($CA$5:CA451)+1,""),"")</f>
        <v/>
      </c>
      <c r="CB452" s="80" t="str">
        <f>IF(AND(BE452=1,D452="Malcolm",E452&amp;""&lt;&gt;""),IF(COUNTIFS($D$5:D451,"Malcolm",$E$5:E451,E452,$BE$5:BE451,1)=0,MAX($CB$5:CB451)+1,""),"")</f>
        <v/>
      </c>
      <c r="CC452" s="80" t="str">
        <f>IF(AND(BD452=1,D452="proMX",E452&amp;""&lt;&gt;""),IF(COUNTIFS($D$5:D451,"proMX",$E$5:E451,E452,$BD$5:BD451,1)=0,MAX($CC$5:CC451)+1,""),"")</f>
        <v/>
      </c>
      <c r="CD452" s="80" t="str">
        <f>IF(AND(BE452=1,D452="Malcolm",F452&amp;""&lt;&gt;""),IF(COUNTIFS($D$5:D451,"Malcolm",$F$5:F451,F452,$BE$5:BE451,1)=0,MAX($CD$5:CD451)+1,""),"")</f>
        <v/>
      </c>
      <c r="CE452" s="80" t="str">
        <f>IF(AND(BD452=1,D452="proMX",F452&amp;""&lt;&gt;""),IF(COUNTIFS($D$5:D451,"proMX",$F$5:F451,F452,$BD$5:BD451,1)=0,MAX($CE$5:CE451)+1,""),"")</f>
        <v/>
      </c>
      <c r="CF452" s="80" t="str">
        <f>IF(AND(D452="proMX",BD452=1),IF(OR(BF452="Draft",BF452="Submitted",BF452="Returned",BF452="Recall Requested"),MAX($CF$5:CF451)+1,""),"")</f>
        <v/>
      </c>
      <c r="CG452" s="80">
        <f>IF(BD452=0,0,IF(D452="Malcolm",1,MATCH(BF452,{"Draft","Submitted","Approved","Returned","Recall Requested","Cancelled"},0)+1))</f>
        <v>0</v>
      </c>
      <c r="CH452" s="80">
        <f>IF(AND(BF452="Submitted",ISNUMBER(V452)),IF(V452&gt;CFG_MAXD,1,0),0)</f>
        <v>0</v>
      </c>
    </row>
    <row r="453">
      <c r="A453" s="71" t="str">
        <f>IF(Y453=1,ROW()-5,"")</f>
        <v/>
      </c>
      <c r="B453" s="72" t="n"/>
      <c r="C453" s="71" t="str">
        <f>IF(ISNUMBER(B453),CHOOSE(WEEKDAY(B453,2),"Lun","Mar","Mié","Jue","Vie","Sáb","Dom"),"")</f>
        <v/>
      </c>
      <c r="D453" s="73" t="n"/>
      <c r="E453" s="74" t="n"/>
      <c r="F453" s="74" t="n"/>
      <c r="G453" s="74" t="n"/>
      <c r="H453" s="75" t="n"/>
      <c r="I453" s="75" t="n"/>
      <c r="J453" s="76" t="n"/>
      <c r="K453" s="77" t="str">
        <f>IF(AB453=1,ROUND(AG453/60,4),"")</f>
        <v/>
      </c>
      <c r="L453" s="77" t="str">
        <f>IF(BD453=1,ROUND(AP453/60,4),"")</f>
        <v/>
      </c>
      <c r="M453" s="77" t="str">
        <f>IF(BD453=1,ROUND(AQ453/60,4),"")</f>
        <v/>
      </c>
      <c r="N453" s="71" t="str">
        <f>IF(AND(D453="proMX",AB453=1),ROUND(AG453/CFG_BLK,2),"")</f>
        <v/>
      </c>
      <c r="O453" s="77" t="str">
        <f>IF(D453="proMX",IF(BD453=1,ROUND(AG453/60,4),0),"")</f>
        <v/>
      </c>
      <c r="P453" s="78" t="str">
        <f>IF(Y453=0,"",IF(BD453=1,"OK",IF(D453="proMX","Revisar bloques: ","Revisar: ")&amp;BC453))</f>
        <v/>
      </c>
      <c r="Q453" s="78" t="str">
        <f>IF(NOT(ISNUMBER(B453)),"",IF(COUNTIFS(FER_F,INT(B453))&gt;0,"Feriado"&amp;IF(AH453=1," (laborable)"," (no laborable)"),IF(AH453=1,"Laborable",IF(WEEKDAY(B453,2)&gt;5,"Fin de semana","No laborable"))))</f>
        <v/>
      </c>
      <c r="R453" s="73" t="n"/>
      <c r="S453" s="72" t="n"/>
      <c r="T453" s="72" t="n"/>
      <c r="U453" s="74" t="n"/>
      <c r="V453" s="79" t="str">
        <f>IF(AND(D453="proMX",OR(R453="Submitted",R453="Recall Requested"),ISNUMBER(S453)),CFG_TODAY-INT(S453),"")</f>
        <v/>
      </c>
      <c r="W453" s="78" t="str">
        <f>IF(BD453=0,"",IF(BA453&gt;0,"⚠ Se superpone con un registro de la otra empresa",IF(D453="Malcolm",IF(COUNTA(R453,S453,T453)&gt;0,"Estado/fechas proMX se ignoran en Malcolm",""),IF(BF453="Cancelled","Cancelado: excluido de totales",IF(R453="","Sin estado: se trata como Draft",IF(BF453="Submitted",IF(ISNUMBER(V453),IF(V453&gt;CFG_MAXD,"⚠ "&amp;V453&amp;" días en Submitted (máx. "&amp;CFG_MAXD&amp;")",""),"Falta fecha de envío"),IF(BF453="Returned","⚠ Devuelto: corregir y reenviar",IF(BF453="Recall Requested","Retirada solicitada: pendiente",IF(AND(BF453="Approved",NOT(ISNUMBER(T453))),"Falta fecha de aprobación",IF(AND(ISNUMBER(S453),ISNUMBER(T453),T453&lt;S453),"Aprobación anterior al envío","")))))))))</f>
        <v/>
      </c>
      <c r="Y453" s="80">
        <f>IF(COUNTA(B453,D453,E453,F453,G453,H453,I453,J453,R453,S453,T453)&gt;0,1,0)</f>
        <v>0</v>
      </c>
      <c r="Z453" s="80" t="str">
        <f>IF(AND(ISNUMBER(H453),H453&gt;=0,H453&lt;1),ROUND(H453*1440,0),"")</f>
        <v/>
      </c>
      <c r="AA453" s="80" t="str">
        <f>IF(AND(ISNUMBER(I453),I453&gt;=0,I453&lt;1),ROUND(I453*1440,0),"")</f>
        <v/>
      </c>
      <c r="AB453" s="80">
        <f>IF(AND(ISNUMBER(B453),D453&lt;&gt;"",ISNUMBER(Z453),ISNUMBER(AA453)),IF(Z453=AA453,0,1),0)</f>
        <v>0</v>
      </c>
      <c r="AC453" s="80">
        <f>IF(AB453=1,IF(AA453&lt;Z453,1,0),0)</f>
        <v>0</v>
      </c>
      <c r="AD453" s="80">
        <f>IF(AB453=1,IF(AC453=1,1440-Z453+AA453,AA453-Z453),0)</f>
        <v>0</v>
      </c>
      <c r="AE453" s="80">
        <f>IF(J453="",0,IF(ISNUMBER(J453),J453,-1))</f>
        <v>0</v>
      </c>
      <c r="AF453" s="80">
        <f>MIN(MAX(0,AE453),AD453)</f>
        <v>0</v>
      </c>
      <c r="AG453" s="80">
        <f>MAX(0,AD453-MAX(0,AE453))</f>
        <v>0</v>
      </c>
      <c r="AH453" s="80">
        <f>IF(ISNUMBER(B453),IF(AND(INDEX(CFG_WDAYS,WEEKDAY(INT(B453),2))="Sí",IF(D453="proMX",COUNTIFS(FER_F,INT(B453),FER_NLP,"Sí"),COUNTIFS(FER_F,INT(B453),FER_NLM,"Sí"))=0),1,0),0)</f>
        <v>0</v>
      </c>
      <c r="AI453" s="80">
        <f>IF(AC453=1,IF(AND(INDEX(CFG_WDAYS,WEEKDAY(INT(B453)+1,2))="Sí",IF(D453="proMX",COUNTIFS(FER_F,INT(B453)+1,FER_NLP,"Sí"),COUNTIFS(FER_F,INT(B453)+1,FER_NLM,"Sí"))=0),1,0),0)</f>
        <v>0</v>
      </c>
      <c r="AJ453" s="80">
        <f>IF(AC453=1,1440-Z453,AD453)</f>
        <v>0</v>
      </c>
      <c r="AK453" s="80">
        <f>IF(AND(AB453=1,AH453=1),MAX(0,MIN(IF(AC453=1,1440,AA453),CFG_WEM)-MAX(Z453,CFG_WSM)),0)</f>
        <v>0</v>
      </c>
      <c r="AL453" s="80">
        <f>IF(AND(AC453=1,AI453=1),MAX(0,MIN(AA453,CFG_WEM)-CFG_WSM),0)</f>
        <v>0</v>
      </c>
      <c r="AM453" s="80">
        <f>AK453+AL453</f>
        <v>0</v>
      </c>
      <c r="AN453" s="80">
        <f>IF(CFG_BRK="Proporcional",IF(AD453=0,0,AF453*AM453/AD453),IF(CFG_BRK="Extras primero",MIN(AM453,MAX(0,AF453-(AD453-AM453))),MIN(AF453,AM453)))</f>
        <v>0</v>
      </c>
      <c r="AO453" s="80">
        <f>AF453-AN453</f>
        <v>0</v>
      </c>
      <c r="AP453" s="80">
        <f>AM453-AN453</f>
        <v>0</v>
      </c>
      <c r="AQ453" s="80">
        <f>AD453-AM453-AO453</f>
        <v>0</v>
      </c>
      <c r="AR453" s="80">
        <f>IF(AM453=0,0,AK453-AN453*AK453/AM453)</f>
        <v>0</v>
      </c>
      <c r="AS453" s="80">
        <f>IF(AD453-AM453=0,0,(AJ453-AK453)-AO453*(AJ453-AK453)/(AD453-AM453))</f>
        <v>0</v>
      </c>
      <c r="AT453" s="80" t="str">
        <f>IF(AC453=1,INT(B453)+1,"")</f>
        <v/>
      </c>
      <c r="AU453" s="80">
        <f>IF(AND(D453="proMX",R453="Cancelled"),0,1)</f>
        <v>1</v>
      </c>
      <c r="AV453" s="80">
        <f>IF(AND(AB453=1,AU453=1),IF(COUNTIFS($D$5:D452,D453,$B$5:B452,B453,$Z$5:Z452,Z453,$AA$5:AA452,AA453,$F$5:F452,F453&amp;"",$AU$5:AU452,1)&gt;0,1,0),0)</f>
        <v>0</v>
      </c>
      <c r="AW453" s="80" t="str">
        <f>IF(AB453=1,INT(B453)*1440+Z453,"")</f>
        <v/>
      </c>
      <c r="AX453" s="80" t="str">
        <f>IF(AB453=1,AW453+AD453,"")</f>
        <v/>
      </c>
      <c r="AY453" s="80">
        <f>IF(AND(AB453=1,AV453=0,AU453=1),1,0)</f>
        <v>0</v>
      </c>
      <c r="AZ453" s="80">
        <f>IF(AY453=1,COUNTIFS(R_Emp,D453,R_SAbs,"&lt;"&amp;AX453,R_EAbs,"&gt;"&amp;AW453,R_OKey,1)-1,0)</f>
        <v>0</v>
      </c>
      <c r="BA453" s="80">
        <f>IF(AY453=1,COUNTIFS(R_Emp,"&lt;&gt;"&amp;D453,R_SAbs,"&lt;"&amp;AX453,R_EAbs,"&gt;"&amp;AW453,R_OKey,1),0)</f>
        <v>0</v>
      </c>
      <c r="BB453" s="80">
        <f>IF(AND(AB453=1,D453="proMX"),IF(AND(MOD(Z453,CFG_BLK)=0,MOD(AA453,CFG_BLK)=0,MOD(AG453,CFG_BLK)=0,AG453&gt;0),1,0),1)</f>
        <v>1</v>
      </c>
      <c r="BC453" s="80" t="str">
        <f>IF(Y453=0,"",IF(NOT(ISNUMBER(B453)),"Falta fecha o fecha inválida",IF(D453="","Falta empresa",IF(AND(D453&lt;&gt;"Malcolm",D453&lt;&gt;"proMX"),"Empresa inválida",IF(OR(INT(B453)&lt;CFG_PSTART,INT(B453)&gt;CFG_PEND),"Fecha fuera del período",IF(OR(NOT(ISNUMBER(Z453)),NOT(ISNUMBER(AA453))),"Falta hora inicio/fin o formato inválido",IF(AB453=0,"Hora inicio = hora fin",IF(AE453&lt;0,"Descanso inválido",IF(AE453&gt;=AD453,"Descanso ≥ duración",IF(AV453=1,"Registro duplicado",IF(AZ453&gt;0,"Se superpone con otro registro "&amp;D453,IF(BB453=0,"inicio, fin y duración neta deben ser múltiplos de "&amp;CFG_BLK&amp;" min",""))))))))))))</f>
        <v/>
      </c>
      <c r="BD453" s="80">
        <f>IF(AND(Y453=1,BC453=""),1,0)</f>
        <v>0</v>
      </c>
      <c r="BE453" s="80">
        <f>IF(AND(BD453=1,AU453=1),1,0)</f>
        <v>0</v>
      </c>
      <c r="BF453" s="80" t="str">
        <f>IF(AND(D453="proMX",BD453=1),IF(R453="","Draft",R453),"")</f>
        <v/>
      </c>
      <c r="BG453" s="80">
        <f>IF(BD453=1,ROUND(AG453/60,6),0)</f>
        <v>0</v>
      </c>
      <c r="BH453" s="80">
        <f>IF(BE453=1,ROUND(AG453/60,6),0)</f>
        <v>0</v>
      </c>
      <c r="BI453" s="80">
        <f>IF(BE453=1,ROUND(AP453/60,6),0)</f>
        <v>0</v>
      </c>
      <c r="BJ453" s="80">
        <f>IF(BE453=1,ROUND(AQ453/60,6),0)</f>
        <v>0</v>
      </c>
      <c r="BK453" s="80">
        <f>IF(BE453=1,ROUND((AR453+AS453)/60,6),0)</f>
        <v>0</v>
      </c>
      <c r="BL453" s="80">
        <f>ROUND(BH453-BK453,6)</f>
        <v>0</v>
      </c>
      <c r="BM453" s="80">
        <f>IF(BE453=1,ROUND(AR453/60,6),0)</f>
        <v>0</v>
      </c>
      <c r="BN453" s="80">
        <f>ROUND(BI453-BM453,6)</f>
        <v>0</v>
      </c>
      <c r="BO453" s="80">
        <f>IF(BE453=1,ROUND(AS453/60,6),0)</f>
        <v>0</v>
      </c>
      <c r="BP453" s="80">
        <f>ROUND(BJ453-BO453,6)</f>
        <v>0</v>
      </c>
      <c r="BQ453" s="80">
        <f>IF(BE453=1,AW453,0)</f>
        <v>0</v>
      </c>
      <c r="BR453" s="80">
        <f>IF(BE453=1,AX453,0)</f>
        <v>0</v>
      </c>
      <c r="BS453" s="80">
        <f>IF(AND(BE453=1,D453="Malcolm",BA453&gt;0),MIN(BH453,SUMPRODUCT((R_Emp="proMX")*(R_EN&gt;0)*((R_EN-(R_EN&gt;BR453)*(R_EN-BR453))&gt;(R_SN+(R_SN&lt;BQ453)*(BQ453-R_SN)))*((R_EN-(R_EN&gt;BR453)*(R_EN-BR453))-(R_SN+(R_SN&lt;BQ453)*(BQ453-R_SN))))/60),0)</f>
        <v>0</v>
      </c>
      <c r="BT453" s="80">
        <f>IF(AND(BE453=1,D453="proMX"),ROUND(BI453*CFG_RATE+BJ453*CFG_OTRATE,6),0)</f>
        <v>0</v>
      </c>
      <c r="BU453" s="80">
        <f>IF(AND(BD453=1,D453="proMX"),ROUND(AG453/CFG_BLK,6),0)</f>
        <v>0</v>
      </c>
      <c r="BV453" s="80" t="str">
        <f>IF(BF453="Approved",IF(ISNUMBER(T453),INT(T453),INT(B453)),"")</f>
        <v/>
      </c>
      <c r="BW453" s="80">
        <f>IF(ISNUMBER(B453),IF(DB_MON="Todos",1,IF(AND(INT(B453)&gt;=DB_MS,INT(B453)&lt;=DB_ME),1,0)),0)</f>
        <v>0</v>
      </c>
      <c r="BX453" s="80">
        <f>IF(DB_PROJ="Todos",1,IF(E453&amp;""=DB_PROJ&amp;"",1,0))</f>
        <v>1</v>
      </c>
      <c r="BY453" s="80">
        <f>BW453*BX453</f>
        <v>0</v>
      </c>
      <c r="BZ453" s="80" t="str">
        <f>IF(Y453=1,F453&amp;IF(AND(F453&amp;""&lt;&gt;"",E453&amp;""&lt;&gt;"")," · ","")&amp;E453,"")</f>
        <v/>
      </c>
      <c r="CA453" s="80" t="str">
        <f>IF(AND(BD453=1,E453&amp;""&lt;&gt;""),IF(COUNTIFS($E$5:E452,E453,$BD$5:BD452,1)=0,MAX($CA$5:CA452)+1,""),"")</f>
        <v/>
      </c>
      <c r="CB453" s="80" t="str">
        <f>IF(AND(BE453=1,D453="Malcolm",E453&amp;""&lt;&gt;""),IF(COUNTIFS($D$5:D452,"Malcolm",$E$5:E452,E453,$BE$5:BE452,1)=0,MAX($CB$5:CB452)+1,""),"")</f>
        <v/>
      </c>
      <c r="CC453" s="80" t="str">
        <f>IF(AND(BD453=1,D453="proMX",E453&amp;""&lt;&gt;""),IF(COUNTIFS($D$5:D452,"proMX",$E$5:E452,E453,$BD$5:BD452,1)=0,MAX($CC$5:CC452)+1,""),"")</f>
        <v/>
      </c>
      <c r="CD453" s="80" t="str">
        <f>IF(AND(BE453=1,D453="Malcolm",F453&amp;""&lt;&gt;""),IF(COUNTIFS($D$5:D452,"Malcolm",$F$5:F452,F453,$BE$5:BE452,1)=0,MAX($CD$5:CD452)+1,""),"")</f>
        <v/>
      </c>
      <c r="CE453" s="80" t="str">
        <f>IF(AND(BD453=1,D453="proMX",F453&amp;""&lt;&gt;""),IF(COUNTIFS($D$5:D452,"proMX",$F$5:F452,F453,$BD$5:BD452,1)=0,MAX($CE$5:CE452)+1,""),"")</f>
        <v/>
      </c>
      <c r="CF453" s="80" t="str">
        <f>IF(AND(D453="proMX",BD453=1),IF(OR(BF453="Draft",BF453="Submitted",BF453="Returned",BF453="Recall Requested"),MAX($CF$5:CF452)+1,""),"")</f>
        <v/>
      </c>
      <c r="CG453" s="80">
        <f>IF(BD453=0,0,IF(D453="Malcolm",1,MATCH(BF453,{"Draft","Submitted","Approved","Returned","Recall Requested","Cancelled"},0)+1))</f>
        <v>0</v>
      </c>
      <c r="CH453" s="80">
        <f>IF(AND(BF453="Submitted",ISNUMBER(V453)),IF(V453&gt;CFG_MAXD,1,0),0)</f>
        <v>0</v>
      </c>
    </row>
    <row r="454">
      <c r="A454" s="71" t="str">
        <f>IF(Y454=1,ROW()-5,"")</f>
        <v/>
      </c>
      <c r="B454" s="72" t="n"/>
      <c r="C454" s="71" t="str">
        <f>IF(ISNUMBER(B454),CHOOSE(WEEKDAY(B454,2),"Lun","Mar","Mié","Jue","Vie","Sáb","Dom"),"")</f>
        <v/>
      </c>
      <c r="D454" s="73" t="n"/>
      <c r="E454" s="74" t="n"/>
      <c r="F454" s="74" t="n"/>
      <c r="G454" s="74" t="n"/>
      <c r="H454" s="75" t="n"/>
      <c r="I454" s="75" t="n"/>
      <c r="J454" s="76" t="n"/>
      <c r="K454" s="77" t="str">
        <f>IF(AB454=1,ROUND(AG454/60,4),"")</f>
        <v/>
      </c>
      <c r="L454" s="77" t="str">
        <f>IF(BD454=1,ROUND(AP454/60,4),"")</f>
        <v/>
      </c>
      <c r="M454" s="77" t="str">
        <f>IF(BD454=1,ROUND(AQ454/60,4),"")</f>
        <v/>
      </c>
      <c r="N454" s="71" t="str">
        <f>IF(AND(D454="proMX",AB454=1),ROUND(AG454/CFG_BLK,2),"")</f>
        <v/>
      </c>
      <c r="O454" s="77" t="str">
        <f>IF(D454="proMX",IF(BD454=1,ROUND(AG454/60,4),0),"")</f>
        <v/>
      </c>
      <c r="P454" s="78" t="str">
        <f>IF(Y454=0,"",IF(BD454=1,"OK",IF(D454="proMX","Revisar bloques: ","Revisar: ")&amp;BC454))</f>
        <v/>
      </c>
      <c r="Q454" s="78" t="str">
        <f>IF(NOT(ISNUMBER(B454)),"",IF(COUNTIFS(FER_F,INT(B454))&gt;0,"Feriado"&amp;IF(AH454=1," (laborable)"," (no laborable)"),IF(AH454=1,"Laborable",IF(WEEKDAY(B454,2)&gt;5,"Fin de semana","No laborable"))))</f>
        <v/>
      </c>
      <c r="R454" s="73" t="n"/>
      <c r="S454" s="72" t="n"/>
      <c r="T454" s="72" t="n"/>
      <c r="U454" s="74" t="n"/>
      <c r="V454" s="79" t="str">
        <f>IF(AND(D454="proMX",OR(R454="Submitted",R454="Recall Requested"),ISNUMBER(S454)),CFG_TODAY-INT(S454),"")</f>
        <v/>
      </c>
      <c r="W454" s="78" t="str">
        <f>IF(BD454=0,"",IF(BA454&gt;0,"⚠ Se superpone con un registro de la otra empresa",IF(D454="Malcolm",IF(COUNTA(R454,S454,T454)&gt;0,"Estado/fechas proMX se ignoran en Malcolm",""),IF(BF454="Cancelled","Cancelado: excluido de totales",IF(R454="","Sin estado: se trata como Draft",IF(BF454="Submitted",IF(ISNUMBER(V454),IF(V454&gt;CFG_MAXD,"⚠ "&amp;V454&amp;" días en Submitted (máx. "&amp;CFG_MAXD&amp;")",""),"Falta fecha de envío"),IF(BF454="Returned","⚠ Devuelto: corregir y reenviar",IF(BF454="Recall Requested","Retirada solicitada: pendiente",IF(AND(BF454="Approved",NOT(ISNUMBER(T454))),"Falta fecha de aprobación",IF(AND(ISNUMBER(S454),ISNUMBER(T454),T454&lt;S454),"Aprobación anterior al envío","")))))))))</f>
        <v/>
      </c>
      <c r="Y454" s="80">
        <f>IF(COUNTA(B454,D454,E454,F454,G454,H454,I454,J454,R454,S454,T454)&gt;0,1,0)</f>
        <v>0</v>
      </c>
      <c r="Z454" s="80" t="str">
        <f>IF(AND(ISNUMBER(H454),H454&gt;=0,H454&lt;1),ROUND(H454*1440,0),"")</f>
        <v/>
      </c>
      <c r="AA454" s="80" t="str">
        <f>IF(AND(ISNUMBER(I454),I454&gt;=0,I454&lt;1),ROUND(I454*1440,0),"")</f>
        <v/>
      </c>
      <c r="AB454" s="80">
        <f>IF(AND(ISNUMBER(B454),D454&lt;&gt;"",ISNUMBER(Z454),ISNUMBER(AA454)),IF(Z454=AA454,0,1),0)</f>
        <v>0</v>
      </c>
      <c r="AC454" s="80">
        <f>IF(AB454=1,IF(AA454&lt;Z454,1,0),0)</f>
        <v>0</v>
      </c>
      <c r="AD454" s="80">
        <f>IF(AB454=1,IF(AC454=1,1440-Z454+AA454,AA454-Z454),0)</f>
        <v>0</v>
      </c>
      <c r="AE454" s="80">
        <f>IF(J454="",0,IF(ISNUMBER(J454),J454,-1))</f>
        <v>0</v>
      </c>
      <c r="AF454" s="80">
        <f>MIN(MAX(0,AE454),AD454)</f>
        <v>0</v>
      </c>
      <c r="AG454" s="80">
        <f>MAX(0,AD454-MAX(0,AE454))</f>
        <v>0</v>
      </c>
      <c r="AH454" s="80">
        <f>IF(ISNUMBER(B454),IF(AND(INDEX(CFG_WDAYS,WEEKDAY(INT(B454),2))="Sí",IF(D454="proMX",COUNTIFS(FER_F,INT(B454),FER_NLP,"Sí"),COUNTIFS(FER_F,INT(B454),FER_NLM,"Sí"))=0),1,0),0)</f>
        <v>0</v>
      </c>
      <c r="AI454" s="80">
        <f>IF(AC454=1,IF(AND(INDEX(CFG_WDAYS,WEEKDAY(INT(B454)+1,2))="Sí",IF(D454="proMX",COUNTIFS(FER_F,INT(B454)+1,FER_NLP,"Sí"),COUNTIFS(FER_F,INT(B454)+1,FER_NLM,"Sí"))=0),1,0),0)</f>
        <v>0</v>
      </c>
      <c r="AJ454" s="80">
        <f>IF(AC454=1,1440-Z454,AD454)</f>
        <v>0</v>
      </c>
      <c r="AK454" s="80">
        <f>IF(AND(AB454=1,AH454=1),MAX(0,MIN(IF(AC454=1,1440,AA454),CFG_WEM)-MAX(Z454,CFG_WSM)),0)</f>
        <v>0</v>
      </c>
      <c r="AL454" s="80">
        <f>IF(AND(AC454=1,AI454=1),MAX(0,MIN(AA454,CFG_WEM)-CFG_WSM),0)</f>
        <v>0</v>
      </c>
      <c r="AM454" s="80">
        <f>AK454+AL454</f>
        <v>0</v>
      </c>
      <c r="AN454" s="80">
        <f>IF(CFG_BRK="Proporcional",IF(AD454=0,0,AF454*AM454/AD454),IF(CFG_BRK="Extras primero",MIN(AM454,MAX(0,AF454-(AD454-AM454))),MIN(AF454,AM454)))</f>
        <v>0</v>
      </c>
      <c r="AO454" s="80">
        <f>AF454-AN454</f>
        <v>0</v>
      </c>
      <c r="AP454" s="80">
        <f>AM454-AN454</f>
        <v>0</v>
      </c>
      <c r="AQ454" s="80">
        <f>AD454-AM454-AO454</f>
        <v>0</v>
      </c>
      <c r="AR454" s="80">
        <f>IF(AM454=0,0,AK454-AN454*AK454/AM454)</f>
        <v>0</v>
      </c>
      <c r="AS454" s="80">
        <f>IF(AD454-AM454=0,0,(AJ454-AK454)-AO454*(AJ454-AK454)/(AD454-AM454))</f>
        <v>0</v>
      </c>
      <c r="AT454" s="80" t="str">
        <f>IF(AC454=1,INT(B454)+1,"")</f>
        <v/>
      </c>
      <c r="AU454" s="80">
        <f>IF(AND(D454="proMX",R454="Cancelled"),0,1)</f>
        <v>1</v>
      </c>
      <c r="AV454" s="80">
        <f>IF(AND(AB454=1,AU454=1),IF(COUNTIFS($D$5:D453,D454,$B$5:B453,B454,$Z$5:Z453,Z454,$AA$5:AA453,AA454,$F$5:F453,F454&amp;"",$AU$5:AU453,1)&gt;0,1,0),0)</f>
        <v>0</v>
      </c>
      <c r="AW454" s="80" t="str">
        <f>IF(AB454=1,INT(B454)*1440+Z454,"")</f>
        <v/>
      </c>
      <c r="AX454" s="80" t="str">
        <f>IF(AB454=1,AW454+AD454,"")</f>
        <v/>
      </c>
      <c r="AY454" s="80">
        <f>IF(AND(AB454=1,AV454=0,AU454=1),1,0)</f>
        <v>0</v>
      </c>
      <c r="AZ454" s="80">
        <f>IF(AY454=1,COUNTIFS(R_Emp,D454,R_SAbs,"&lt;"&amp;AX454,R_EAbs,"&gt;"&amp;AW454,R_OKey,1)-1,0)</f>
        <v>0</v>
      </c>
      <c r="BA454" s="80">
        <f>IF(AY454=1,COUNTIFS(R_Emp,"&lt;&gt;"&amp;D454,R_SAbs,"&lt;"&amp;AX454,R_EAbs,"&gt;"&amp;AW454,R_OKey,1),0)</f>
        <v>0</v>
      </c>
      <c r="BB454" s="80">
        <f>IF(AND(AB454=1,D454="proMX"),IF(AND(MOD(Z454,CFG_BLK)=0,MOD(AA454,CFG_BLK)=0,MOD(AG454,CFG_BLK)=0,AG454&gt;0),1,0),1)</f>
        <v>1</v>
      </c>
      <c r="BC454" s="80" t="str">
        <f>IF(Y454=0,"",IF(NOT(ISNUMBER(B454)),"Falta fecha o fecha inválida",IF(D454="","Falta empresa",IF(AND(D454&lt;&gt;"Malcolm",D454&lt;&gt;"proMX"),"Empresa inválida",IF(OR(INT(B454)&lt;CFG_PSTART,INT(B454)&gt;CFG_PEND),"Fecha fuera del período",IF(OR(NOT(ISNUMBER(Z454)),NOT(ISNUMBER(AA454))),"Falta hora inicio/fin o formato inválido",IF(AB454=0,"Hora inicio = hora fin",IF(AE454&lt;0,"Descanso inválido",IF(AE454&gt;=AD454,"Descanso ≥ duración",IF(AV454=1,"Registro duplicado",IF(AZ454&gt;0,"Se superpone con otro registro "&amp;D454,IF(BB454=0,"inicio, fin y duración neta deben ser múltiplos de "&amp;CFG_BLK&amp;" min",""))))))))))))</f>
        <v/>
      </c>
      <c r="BD454" s="80">
        <f>IF(AND(Y454=1,BC454=""),1,0)</f>
        <v>0</v>
      </c>
      <c r="BE454" s="80">
        <f>IF(AND(BD454=1,AU454=1),1,0)</f>
        <v>0</v>
      </c>
      <c r="BF454" s="80" t="str">
        <f>IF(AND(D454="proMX",BD454=1),IF(R454="","Draft",R454),"")</f>
        <v/>
      </c>
      <c r="BG454" s="80">
        <f>IF(BD454=1,ROUND(AG454/60,6),0)</f>
        <v>0</v>
      </c>
      <c r="BH454" s="80">
        <f>IF(BE454=1,ROUND(AG454/60,6),0)</f>
        <v>0</v>
      </c>
      <c r="BI454" s="80">
        <f>IF(BE454=1,ROUND(AP454/60,6),0)</f>
        <v>0</v>
      </c>
      <c r="BJ454" s="80">
        <f>IF(BE454=1,ROUND(AQ454/60,6),0)</f>
        <v>0</v>
      </c>
      <c r="BK454" s="80">
        <f>IF(BE454=1,ROUND((AR454+AS454)/60,6),0)</f>
        <v>0</v>
      </c>
      <c r="BL454" s="80">
        <f>ROUND(BH454-BK454,6)</f>
        <v>0</v>
      </c>
      <c r="BM454" s="80">
        <f>IF(BE454=1,ROUND(AR454/60,6),0)</f>
        <v>0</v>
      </c>
      <c r="BN454" s="80">
        <f>ROUND(BI454-BM454,6)</f>
        <v>0</v>
      </c>
      <c r="BO454" s="80">
        <f>IF(BE454=1,ROUND(AS454/60,6),0)</f>
        <v>0</v>
      </c>
      <c r="BP454" s="80">
        <f>ROUND(BJ454-BO454,6)</f>
        <v>0</v>
      </c>
      <c r="BQ454" s="80">
        <f>IF(BE454=1,AW454,0)</f>
        <v>0</v>
      </c>
      <c r="BR454" s="80">
        <f>IF(BE454=1,AX454,0)</f>
        <v>0</v>
      </c>
      <c r="BS454" s="80">
        <f>IF(AND(BE454=1,D454="Malcolm",BA454&gt;0),MIN(BH454,SUMPRODUCT((R_Emp="proMX")*(R_EN&gt;0)*((R_EN-(R_EN&gt;BR454)*(R_EN-BR454))&gt;(R_SN+(R_SN&lt;BQ454)*(BQ454-R_SN)))*((R_EN-(R_EN&gt;BR454)*(R_EN-BR454))-(R_SN+(R_SN&lt;BQ454)*(BQ454-R_SN))))/60),0)</f>
        <v>0</v>
      </c>
      <c r="BT454" s="80">
        <f>IF(AND(BE454=1,D454="proMX"),ROUND(BI454*CFG_RATE+BJ454*CFG_OTRATE,6),0)</f>
        <v>0</v>
      </c>
      <c r="BU454" s="80">
        <f>IF(AND(BD454=1,D454="proMX"),ROUND(AG454/CFG_BLK,6),0)</f>
        <v>0</v>
      </c>
      <c r="BV454" s="80" t="str">
        <f>IF(BF454="Approved",IF(ISNUMBER(T454),INT(T454),INT(B454)),"")</f>
        <v/>
      </c>
      <c r="BW454" s="80">
        <f>IF(ISNUMBER(B454),IF(DB_MON="Todos",1,IF(AND(INT(B454)&gt;=DB_MS,INT(B454)&lt;=DB_ME),1,0)),0)</f>
        <v>0</v>
      </c>
      <c r="BX454" s="80">
        <f>IF(DB_PROJ="Todos",1,IF(E454&amp;""=DB_PROJ&amp;"",1,0))</f>
        <v>1</v>
      </c>
      <c r="BY454" s="80">
        <f>BW454*BX454</f>
        <v>0</v>
      </c>
      <c r="BZ454" s="80" t="str">
        <f>IF(Y454=1,F454&amp;IF(AND(F454&amp;""&lt;&gt;"",E454&amp;""&lt;&gt;"")," · ","")&amp;E454,"")</f>
        <v/>
      </c>
      <c r="CA454" s="80" t="str">
        <f>IF(AND(BD454=1,E454&amp;""&lt;&gt;""),IF(COUNTIFS($E$5:E453,E454,$BD$5:BD453,1)=0,MAX($CA$5:CA453)+1,""),"")</f>
        <v/>
      </c>
      <c r="CB454" s="80" t="str">
        <f>IF(AND(BE454=1,D454="Malcolm",E454&amp;""&lt;&gt;""),IF(COUNTIFS($D$5:D453,"Malcolm",$E$5:E453,E454,$BE$5:BE453,1)=0,MAX($CB$5:CB453)+1,""),"")</f>
        <v/>
      </c>
      <c r="CC454" s="80" t="str">
        <f>IF(AND(BD454=1,D454="proMX",E454&amp;""&lt;&gt;""),IF(COUNTIFS($D$5:D453,"proMX",$E$5:E453,E454,$BD$5:BD453,1)=0,MAX($CC$5:CC453)+1,""),"")</f>
        <v/>
      </c>
      <c r="CD454" s="80" t="str">
        <f>IF(AND(BE454=1,D454="Malcolm",F454&amp;""&lt;&gt;""),IF(COUNTIFS($D$5:D453,"Malcolm",$F$5:F453,F454,$BE$5:BE453,1)=0,MAX($CD$5:CD453)+1,""),"")</f>
        <v/>
      </c>
      <c r="CE454" s="80" t="str">
        <f>IF(AND(BD454=1,D454="proMX",F454&amp;""&lt;&gt;""),IF(COUNTIFS($D$5:D453,"proMX",$F$5:F453,F454,$BD$5:BD453,1)=0,MAX($CE$5:CE453)+1,""),"")</f>
        <v/>
      </c>
      <c r="CF454" s="80" t="str">
        <f>IF(AND(D454="proMX",BD454=1),IF(OR(BF454="Draft",BF454="Submitted",BF454="Returned",BF454="Recall Requested"),MAX($CF$5:CF453)+1,""),"")</f>
        <v/>
      </c>
      <c r="CG454" s="80">
        <f>IF(BD454=0,0,IF(D454="Malcolm",1,MATCH(BF454,{"Draft","Submitted","Approved","Returned","Recall Requested","Cancelled"},0)+1))</f>
        <v>0</v>
      </c>
      <c r="CH454" s="80">
        <f>IF(AND(BF454="Submitted",ISNUMBER(V454)),IF(V454&gt;CFG_MAXD,1,0),0)</f>
        <v>0</v>
      </c>
    </row>
    <row r="455">
      <c r="A455" s="71" t="str">
        <f>IF(Y455=1,ROW()-5,"")</f>
        <v/>
      </c>
      <c r="B455" s="72" t="n"/>
      <c r="C455" s="71" t="str">
        <f>IF(ISNUMBER(B455),CHOOSE(WEEKDAY(B455,2),"Lun","Mar","Mié","Jue","Vie","Sáb","Dom"),"")</f>
        <v/>
      </c>
      <c r="D455" s="73" t="n"/>
      <c r="E455" s="74" t="n"/>
      <c r="F455" s="74" t="n"/>
      <c r="G455" s="74" t="n"/>
      <c r="H455" s="75" t="n"/>
      <c r="I455" s="75" t="n"/>
      <c r="J455" s="76" t="n"/>
      <c r="K455" s="77" t="str">
        <f>IF(AB455=1,ROUND(AG455/60,4),"")</f>
        <v/>
      </c>
      <c r="L455" s="77" t="str">
        <f>IF(BD455=1,ROUND(AP455/60,4),"")</f>
        <v/>
      </c>
      <c r="M455" s="77" t="str">
        <f>IF(BD455=1,ROUND(AQ455/60,4),"")</f>
        <v/>
      </c>
      <c r="N455" s="71" t="str">
        <f>IF(AND(D455="proMX",AB455=1),ROUND(AG455/CFG_BLK,2),"")</f>
        <v/>
      </c>
      <c r="O455" s="77" t="str">
        <f>IF(D455="proMX",IF(BD455=1,ROUND(AG455/60,4),0),"")</f>
        <v/>
      </c>
      <c r="P455" s="78" t="str">
        <f>IF(Y455=0,"",IF(BD455=1,"OK",IF(D455="proMX","Revisar bloques: ","Revisar: ")&amp;BC455))</f>
        <v/>
      </c>
      <c r="Q455" s="78" t="str">
        <f>IF(NOT(ISNUMBER(B455)),"",IF(COUNTIFS(FER_F,INT(B455))&gt;0,"Feriado"&amp;IF(AH455=1," (laborable)"," (no laborable)"),IF(AH455=1,"Laborable",IF(WEEKDAY(B455,2)&gt;5,"Fin de semana","No laborable"))))</f>
        <v/>
      </c>
      <c r="R455" s="73" t="n"/>
      <c r="S455" s="72" t="n"/>
      <c r="T455" s="72" t="n"/>
      <c r="U455" s="74" t="n"/>
      <c r="V455" s="79" t="str">
        <f>IF(AND(D455="proMX",OR(R455="Submitted",R455="Recall Requested"),ISNUMBER(S455)),CFG_TODAY-INT(S455),"")</f>
        <v/>
      </c>
      <c r="W455" s="78" t="str">
        <f>IF(BD455=0,"",IF(BA455&gt;0,"⚠ Se superpone con un registro de la otra empresa",IF(D455="Malcolm",IF(COUNTA(R455,S455,T455)&gt;0,"Estado/fechas proMX se ignoran en Malcolm",""),IF(BF455="Cancelled","Cancelado: excluido de totales",IF(R455="","Sin estado: se trata como Draft",IF(BF455="Submitted",IF(ISNUMBER(V455),IF(V455&gt;CFG_MAXD,"⚠ "&amp;V455&amp;" días en Submitted (máx. "&amp;CFG_MAXD&amp;")",""),"Falta fecha de envío"),IF(BF455="Returned","⚠ Devuelto: corregir y reenviar",IF(BF455="Recall Requested","Retirada solicitada: pendiente",IF(AND(BF455="Approved",NOT(ISNUMBER(T455))),"Falta fecha de aprobación",IF(AND(ISNUMBER(S455),ISNUMBER(T455),T455&lt;S455),"Aprobación anterior al envío","")))))))))</f>
        <v/>
      </c>
      <c r="Y455" s="80">
        <f>IF(COUNTA(B455,D455,E455,F455,G455,H455,I455,J455,R455,S455,T455)&gt;0,1,0)</f>
        <v>0</v>
      </c>
      <c r="Z455" s="80" t="str">
        <f>IF(AND(ISNUMBER(H455),H455&gt;=0,H455&lt;1),ROUND(H455*1440,0),"")</f>
        <v/>
      </c>
      <c r="AA455" s="80" t="str">
        <f>IF(AND(ISNUMBER(I455),I455&gt;=0,I455&lt;1),ROUND(I455*1440,0),"")</f>
        <v/>
      </c>
      <c r="AB455" s="80">
        <f>IF(AND(ISNUMBER(B455),D455&lt;&gt;"",ISNUMBER(Z455),ISNUMBER(AA455)),IF(Z455=AA455,0,1),0)</f>
        <v>0</v>
      </c>
      <c r="AC455" s="80">
        <f>IF(AB455=1,IF(AA455&lt;Z455,1,0),0)</f>
        <v>0</v>
      </c>
      <c r="AD455" s="80">
        <f>IF(AB455=1,IF(AC455=1,1440-Z455+AA455,AA455-Z455),0)</f>
        <v>0</v>
      </c>
      <c r="AE455" s="80">
        <f>IF(J455="",0,IF(ISNUMBER(J455),J455,-1))</f>
        <v>0</v>
      </c>
      <c r="AF455" s="80">
        <f>MIN(MAX(0,AE455),AD455)</f>
        <v>0</v>
      </c>
      <c r="AG455" s="80">
        <f>MAX(0,AD455-MAX(0,AE455))</f>
        <v>0</v>
      </c>
      <c r="AH455" s="80">
        <f>IF(ISNUMBER(B455),IF(AND(INDEX(CFG_WDAYS,WEEKDAY(INT(B455),2))="Sí",IF(D455="proMX",COUNTIFS(FER_F,INT(B455),FER_NLP,"Sí"),COUNTIFS(FER_F,INT(B455),FER_NLM,"Sí"))=0),1,0),0)</f>
        <v>0</v>
      </c>
      <c r="AI455" s="80">
        <f>IF(AC455=1,IF(AND(INDEX(CFG_WDAYS,WEEKDAY(INT(B455)+1,2))="Sí",IF(D455="proMX",COUNTIFS(FER_F,INT(B455)+1,FER_NLP,"Sí"),COUNTIFS(FER_F,INT(B455)+1,FER_NLM,"Sí"))=0),1,0),0)</f>
        <v>0</v>
      </c>
      <c r="AJ455" s="80">
        <f>IF(AC455=1,1440-Z455,AD455)</f>
        <v>0</v>
      </c>
      <c r="AK455" s="80">
        <f>IF(AND(AB455=1,AH455=1),MAX(0,MIN(IF(AC455=1,1440,AA455),CFG_WEM)-MAX(Z455,CFG_WSM)),0)</f>
        <v>0</v>
      </c>
      <c r="AL455" s="80">
        <f>IF(AND(AC455=1,AI455=1),MAX(0,MIN(AA455,CFG_WEM)-CFG_WSM),0)</f>
        <v>0</v>
      </c>
      <c r="AM455" s="80">
        <f>AK455+AL455</f>
        <v>0</v>
      </c>
      <c r="AN455" s="80">
        <f>IF(CFG_BRK="Proporcional",IF(AD455=0,0,AF455*AM455/AD455),IF(CFG_BRK="Extras primero",MIN(AM455,MAX(0,AF455-(AD455-AM455))),MIN(AF455,AM455)))</f>
        <v>0</v>
      </c>
      <c r="AO455" s="80">
        <f>AF455-AN455</f>
        <v>0</v>
      </c>
      <c r="AP455" s="80">
        <f>AM455-AN455</f>
        <v>0</v>
      </c>
      <c r="AQ455" s="80">
        <f>AD455-AM455-AO455</f>
        <v>0</v>
      </c>
      <c r="AR455" s="80">
        <f>IF(AM455=0,0,AK455-AN455*AK455/AM455)</f>
        <v>0</v>
      </c>
      <c r="AS455" s="80">
        <f>IF(AD455-AM455=0,0,(AJ455-AK455)-AO455*(AJ455-AK455)/(AD455-AM455))</f>
        <v>0</v>
      </c>
      <c r="AT455" s="80" t="str">
        <f>IF(AC455=1,INT(B455)+1,"")</f>
        <v/>
      </c>
      <c r="AU455" s="80">
        <f>IF(AND(D455="proMX",R455="Cancelled"),0,1)</f>
        <v>1</v>
      </c>
      <c r="AV455" s="80">
        <f>IF(AND(AB455=1,AU455=1),IF(COUNTIFS($D$5:D454,D455,$B$5:B454,B455,$Z$5:Z454,Z455,$AA$5:AA454,AA455,$F$5:F454,F455&amp;"",$AU$5:AU454,1)&gt;0,1,0),0)</f>
        <v>0</v>
      </c>
      <c r="AW455" s="80" t="str">
        <f>IF(AB455=1,INT(B455)*1440+Z455,"")</f>
        <v/>
      </c>
      <c r="AX455" s="80" t="str">
        <f>IF(AB455=1,AW455+AD455,"")</f>
        <v/>
      </c>
      <c r="AY455" s="80">
        <f>IF(AND(AB455=1,AV455=0,AU455=1),1,0)</f>
        <v>0</v>
      </c>
      <c r="AZ455" s="80">
        <f>IF(AY455=1,COUNTIFS(R_Emp,D455,R_SAbs,"&lt;"&amp;AX455,R_EAbs,"&gt;"&amp;AW455,R_OKey,1)-1,0)</f>
        <v>0</v>
      </c>
      <c r="BA455" s="80">
        <f>IF(AY455=1,COUNTIFS(R_Emp,"&lt;&gt;"&amp;D455,R_SAbs,"&lt;"&amp;AX455,R_EAbs,"&gt;"&amp;AW455,R_OKey,1),0)</f>
        <v>0</v>
      </c>
      <c r="BB455" s="80">
        <f>IF(AND(AB455=1,D455="proMX"),IF(AND(MOD(Z455,CFG_BLK)=0,MOD(AA455,CFG_BLK)=0,MOD(AG455,CFG_BLK)=0,AG455&gt;0),1,0),1)</f>
        <v>1</v>
      </c>
      <c r="BC455" s="80" t="str">
        <f>IF(Y455=0,"",IF(NOT(ISNUMBER(B455)),"Falta fecha o fecha inválida",IF(D455="","Falta empresa",IF(AND(D455&lt;&gt;"Malcolm",D455&lt;&gt;"proMX"),"Empresa inválida",IF(OR(INT(B455)&lt;CFG_PSTART,INT(B455)&gt;CFG_PEND),"Fecha fuera del período",IF(OR(NOT(ISNUMBER(Z455)),NOT(ISNUMBER(AA455))),"Falta hora inicio/fin o formato inválido",IF(AB455=0,"Hora inicio = hora fin",IF(AE455&lt;0,"Descanso inválido",IF(AE455&gt;=AD455,"Descanso ≥ duración",IF(AV455=1,"Registro duplicado",IF(AZ455&gt;0,"Se superpone con otro registro "&amp;D455,IF(BB455=0,"inicio, fin y duración neta deben ser múltiplos de "&amp;CFG_BLK&amp;" min",""))))))))))))</f>
        <v/>
      </c>
      <c r="BD455" s="80">
        <f>IF(AND(Y455=1,BC455=""),1,0)</f>
        <v>0</v>
      </c>
      <c r="BE455" s="80">
        <f>IF(AND(BD455=1,AU455=1),1,0)</f>
        <v>0</v>
      </c>
      <c r="BF455" s="80" t="str">
        <f>IF(AND(D455="proMX",BD455=1),IF(R455="","Draft",R455),"")</f>
        <v/>
      </c>
      <c r="BG455" s="80">
        <f>IF(BD455=1,ROUND(AG455/60,6),0)</f>
        <v>0</v>
      </c>
      <c r="BH455" s="80">
        <f>IF(BE455=1,ROUND(AG455/60,6),0)</f>
        <v>0</v>
      </c>
      <c r="BI455" s="80">
        <f>IF(BE455=1,ROUND(AP455/60,6),0)</f>
        <v>0</v>
      </c>
      <c r="BJ455" s="80">
        <f>IF(BE455=1,ROUND(AQ455/60,6),0)</f>
        <v>0</v>
      </c>
      <c r="BK455" s="80">
        <f>IF(BE455=1,ROUND((AR455+AS455)/60,6),0)</f>
        <v>0</v>
      </c>
      <c r="BL455" s="80">
        <f>ROUND(BH455-BK455,6)</f>
        <v>0</v>
      </c>
      <c r="BM455" s="80">
        <f>IF(BE455=1,ROUND(AR455/60,6),0)</f>
        <v>0</v>
      </c>
      <c r="BN455" s="80">
        <f>ROUND(BI455-BM455,6)</f>
        <v>0</v>
      </c>
      <c r="BO455" s="80">
        <f>IF(BE455=1,ROUND(AS455/60,6),0)</f>
        <v>0</v>
      </c>
      <c r="BP455" s="80">
        <f>ROUND(BJ455-BO455,6)</f>
        <v>0</v>
      </c>
      <c r="BQ455" s="80">
        <f>IF(BE455=1,AW455,0)</f>
        <v>0</v>
      </c>
      <c r="BR455" s="80">
        <f>IF(BE455=1,AX455,0)</f>
        <v>0</v>
      </c>
      <c r="BS455" s="80">
        <f>IF(AND(BE455=1,D455="Malcolm",BA455&gt;0),MIN(BH455,SUMPRODUCT((R_Emp="proMX")*(R_EN&gt;0)*((R_EN-(R_EN&gt;BR455)*(R_EN-BR455))&gt;(R_SN+(R_SN&lt;BQ455)*(BQ455-R_SN)))*((R_EN-(R_EN&gt;BR455)*(R_EN-BR455))-(R_SN+(R_SN&lt;BQ455)*(BQ455-R_SN))))/60),0)</f>
        <v>0</v>
      </c>
      <c r="BT455" s="80">
        <f>IF(AND(BE455=1,D455="proMX"),ROUND(BI455*CFG_RATE+BJ455*CFG_OTRATE,6),0)</f>
        <v>0</v>
      </c>
      <c r="BU455" s="80">
        <f>IF(AND(BD455=1,D455="proMX"),ROUND(AG455/CFG_BLK,6),0)</f>
        <v>0</v>
      </c>
      <c r="BV455" s="80" t="str">
        <f>IF(BF455="Approved",IF(ISNUMBER(T455),INT(T455),INT(B455)),"")</f>
        <v/>
      </c>
      <c r="BW455" s="80">
        <f>IF(ISNUMBER(B455),IF(DB_MON="Todos",1,IF(AND(INT(B455)&gt;=DB_MS,INT(B455)&lt;=DB_ME),1,0)),0)</f>
        <v>0</v>
      </c>
      <c r="BX455" s="80">
        <f>IF(DB_PROJ="Todos",1,IF(E455&amp;""=DB_PROJ&amp;"",1,0))</f>
        <v>1</v>
      </c>
      <c r="BY455" s="80">
        <f>BW455*BX455</f>
        <v>0</v>
      </c>
      <c r="BZ455" s="80" t="str">
        <f>IF(Y455=1,F455&amp;IF(AND(F455&amp;""&lt;&gt;"",E455&amp;""&lt;&gt;"")," · ","")&amp;E455,"")</f>
        <v/>
      </c>
      <c r="CA455" s="80" t="str">
        <f>IF(AND(BD455=1,E455&amp;""&lt;&gt;""),IF(COUNTIFS($E$5:E454,E455,$BD$5:BD454,1)=0,MAX($CA$5:CA454)+1,""),"")</f>
        <v/>
      </c>
      <c r="CB455" s="80" t="str">
        <f>IF(AND(BE455=1,D455="Malcolm",E455&amp;""&lt;&gt;""),IF(COUNTIFS($D$5:D454,"Malcolm",$E$5:E454,E455,$BE$5:BE454,1)=0,MAX($CB$5:CB454)+1,""),"")</f>
        <v/>
      </c>
      <c r="CC455" s="80" t="str">
        <f>IF(AND(BD455=1,D455="proMX",E455&amp;""&lt;&gt;""),IF(COUNTIFS($D$5:D454,"proMX",$E$5:E454,E455,$BD$5:BD454,1)=0,MAX($CC$5:CC454)+1,""),"")</f>
        <v/>
      </c>
      <c r="CD455" s="80" t="str">
        <f>IF(AND(BE455=1,D455="Malcolm",F455&amp;""&lt;&gt;""),IF(COUNTIFS($D$5:D454,"Malcolm",$F$5:F454,F455,$BE$5:BE454,1)=0,MAX($CD$5:CD454)+1,""),"")</f>
        <v/>
      </c>
      <c r="CE455" s="80" t="str">
        <f>IF(AND(BD455=1,D455="proMX",F455&amp;""&lt;&gt;""),IF(COUNTIFS($D$5:D454,"proMX",$F$5:F454,F455,$BD$5:BD454,1)=0,MAX($CE$5:CE454)+1,""),"")</f>
        <v/>
      </c>
      <c r="CF455" s="80" t="str">
        <f>IF(AND(D455="proMX",BD455=1),IF(OR(BF455="Draft",BF455="Submitted",BF455="Returned",BF455="Recall Requested"),MAX($CF$5:CF454)+1,""),"")</f>
        <v/>
      </c>
      <c r="CG455" s="80">
        <f>IF(BD455=0,0,IF(D455="Malcolm",1,MATCH(BF455,{"Draft","Submitted","Approved","Returned","Recall Requested","Cancelled"},0)+1))</f>
        <v>0</v>
      </c>
      <c r="CH455" s="80">
        <f>IF(AND(BF455="Submitted",ISNUMBER(V455)),IF(V455&gt;CFG_MAXD,1,0),0)</f>
        <v>0</v>
      </c>
    </row>
    <row r="456">
      <c r="A456" s="71" t="str">
        <f>IF(Y456=1,ROW()-5,"")</f>
        <v/>
      </c>
      <c r="B456" s="72" t="n"/>
      <c r="C456" s="71" t="str">
        <f>IF(ISNUMBER(B456),CHOOSE(WEEKDAY(B456,2),"Lun","Mar","Mié","Jue","Vie","Sáb","Dom"),"")</f>
        <v/>
      </c>
      <c r="D456" s="73" t="n"/>
      <c r="E456" s="74" t="n"/>
      <c r="F456" s="74" t="n"/>
      <c r="G456" s="74" t="n"/>
      <c r="H456" s="75" t="n"/>
      <c r="I456" s="75" t="n"/>
      <c r="J456" s="76" t="n"/>
      <c r="K456" s="77" t="str">
        <f>IF(AB456=1,ROUND(AG456/60,4),"")</f>
        <v/>
      </c>
      <c r="L456" s="77" t="str">
        <f>IF(BD456=1,ROUND(AP456/60,4),"")</f>
        <v/>
      </c>
      <c r="M456" s="77" t="str">
        <f>IF(BD456=1,ROUND(AQ456/60,4),"")</f>
        <v/>
      </c>
      <c r="N456" s="71" t="str">
        <f>IF(AND(D456="proMX",AB456=1),ROUND(AG456/CFG_BLK,2),"")</f>
        <v/>
      </c>
      <c r="O456" s="77" t="str">
        <f>IF(D456="proMX",IF(BD456=1,ROUND(AG456/60,4),0),"")</f>
        <v/>
      </c>
      <c r="P456" s="78" t="str">
        <f>IF(Y456=0,"",IF(BD456=1,"OK",IF(D456="proMX","Revisar bloques: ","Revisar: ")&amp;BC456))</f>
        <v/>
      </c>
      <c r="Q456" s="78" t="str">
        <f>IF(NOT(ISNUMBER(B456)),"",IF(COUNTIFS(FER_F,INT(B456))&gt;0,"Feriado"&amp;IF(AH456=1," (laborable)"," (no laborable)"),IF(AH456=1,"Laborable",IF(WEEKDAY(B456,2)&gt;5,"Fin de semana","No laborable"))))</f>
        <v/>
      </c>
      <c r="R456" s="73" t="n"/>
      <c r="S456" s="72" t="n"/>
      <c r="T456" s="72" t="n"/>
      <c r="U456" s="74" t="n"/>
      <c r="V456" s="79" t="str">
        <f>IF(AND(D456="proMX",OR(R456="Submitted",R456="Recall Requested"),ISNUMBER(S456)),CFG_TODAY-INT(S456),"")</f>
        <v/>
      </c>
      <c r="W456" s="78" t="str">
        <f>IF(BD456=0,"",IF(BA456&gt;0,"⚠ Se superpone con un registro de la otra empresa",IF(D456="Malcolm",IF(COUNTA(R456,S456,T456)&gt;0,"Estado/fechas proMX se ignoran en Malcolm",""),IF(BF456="Cancelled","Cancelado: excluido de totales",IF(R456="","Sin estado: se trata como Draft",IF(BF456="Submitted",IF(ISNUMBER(V456),IF(V456&gt;CFG_MAXD,"⚠ "&amp;V456&amp;" días en Submitted (máx. "&amp;CFG_MAXD&amp;")",""),"Falta fecha de envío"),IF(BF456="Returned","⚠ Devuelto: corregir y reenviar",IF(BF456="Recall Requested","Retirada solicitada: pendiente",IF(AND(BF456="Approved",NOT(ISNUMBER(T456))),"Falta fecha de aprobación",IF(AND(ISNUMBER(S456),ISNUMBER(T456),T456&lt;S456),"Aprobación anterior al envío","")))))))))</f>
        <v/>
      </c>
      <c r="Y456" s="80">
        <f>IF(COUNTA(B456,D456,E456,F456,G456,H456,I456,J456,R456,S456,T456)&gt;0,1,0)</f>
        <v>0</v>
      </c>
      <c r="Z456" s="80" t="str">
        <f>IF(AND(ISNUMBER(H456),H456&gt;=0,H456&lt;1),ROUND(H456*1440,0),"")</f>
        <v/>
      </c>
      <c r="AA456" s="80" t="str">
        <f>IF(AND(ISNUMBER(I456),I456&gt;=0,I456&lt;1),ROUND(I456*1440,0),"")</f>
        <v/>
      </c>
      <c r="AB456" s="80">
        <f>IF(AND(ISNUMBER(B456),D456&lt;&gt;"",ISNUMBER(Z456),ISNUMBER(AA456)),IF(Z456=AA456,0,1),0)</f>
        <v>0</v>
      </c>
      <c r="AC456" s="80">
        <f>IF(AB456=1,IF(AA456&lt;Z456,1,0),0)</f>
        <v>0</v>
      </c>
      <c r="AD456" s="80">
        <f>IF(AB456=1,IF(AC456=1,1440-Z456+AA456,AA456-Z456),0)</f>
        <v>0</v>
      </c>
      <c r="AE456" s="80">
        <f>IF(J456="",0,IF(ISNUMBER(J456),J456,-1))</f>
        <v>0</v>
      </c>
      <c r="AF456" s="80">
        <f>MIN(MAX(0,AE456),AD456)</f>
        <v>0</v>
      </c>
      <c r="AG456" s="80">
        <f>MAX(0,AD456-MAX(0,AE456))</f>
        <v>0</v>
      </c>
      <c r="AH456" s="80">
        <f>IF(ISNUMBER(B456),IF(AND(INDEX(CFG_WDAYS,WEEKDAY(INT(B456),2))="Sí",IF(D456="proMX",COUNTIFS(FER_F,INT(B456),FER_NLP,"Sí"),COUNTIFS(FER_F,INT(B456),FER_NLM,"Sí"))=0),1,0),0)</f>
        <v>0</v>
      </c>
      <c r="AI456" s="80">
        <f>IF(AC456=1,IF(AND(INDEX(CFG_WDAYS,WEEKDAY(INT(B456)+1,2))="Sí",IF(D456="proMX",COUNTIFS(FER_F,INT(B456)+1,FER_NLP,"Sí"),COUNTIFS(FER_F,INT(B456)+1,FER_NLM,"Sí"))=0),1,0),0)</f>
        <v>0</v>
      </c>
      <c r="AJ456" s="80">
        <f>IF(AC456=1,1440-Z456,AD456)</f>
        <v>0</v>
      </c>
      <c r="AK456" s="80">
        <f>IF(AND(AB456=1,AH456=1),MAX(0,MIN(IF(AC456=1,1440,AA456),CFG_WEM)-MAX(Z456,CFG_WSM)),0)</f>
        <v>0</v>
      </c>
      <c r="AL456" s="80">
        <f>IF(AND(AC456=1,AI456=1),MAX(0,MIN(AA456,CFG_WEM)-CFG_WSM),0)</f>
        <v>0</v>
      </c>
      <c r="AM456" s="80">
        <f>AK456+AL456</f>
        <v>0</v>
      </c>
      <c r="AN456" s="80">
        <f>IF(CFG_BRK="Proporcional",IF(AD456=0,0,AF456*AM456/AD456),IF(CFG_BRK="Extras primero",MIN(AM456,MAX(0,AF456-(AD456-AM456))),MIN(AF456,AM456)))</f>
        <v>0</v>
      </c>
      <c r="AO456" s="80">
        <f>AF456-AN456</f>
        <v>0</v>
      </c>
      <c r="AP456" s="80">
        <f>AM456-AN456</f>
        <v>0</v>
      </c>
      <c r="AQ456" s="80">
        <f>AD456-AM456-AO456</f>
        <v>0</v>
      </c>
      <c r="AR456" s="80">
        <f>IF(AM456=0,0,AK456-AN456*AK456/AM456)</f>
        <v>0</v>
      </c>
      <c r="AS456" s="80">
        <f>IF(AD456-AM456=0,0,(AJ456-AK456)-AO456*(AJ456-AK456)/(AD456-AM456))</f>
        <v>0</v>
      </c>
      <c r="AT456" s="80" t="str">
        <f>IF(AC456=1,INT(B456)+1,"")</f>
        <v/>
      </c>
      <c r="AU456" s="80">
        <f>IF(AND(D456="proMX",R456="Cancelled"),0,1)</f>
        <v>1</v>
      </c>
      <c r="AV456" s="80">
        <f>IF(AND(AB456=1,AU456=1),IF(COUNTIFS($D$5:D455,D456,$B$5:B455,B456,$Z$5:Z455,Z456,$AA$5:AA455,AA456,$F$5:F455,F456&amp;"",$AU$5:AU455,1)&gt;0,1,0),0)</f>
        <v>0</v>
      </c>
      <c r="AW456" s="80" t="str">
        <f>IF(AB456=1,INT(B456)*1440+Z456,"")</f>
        <v/>
      </c>
      <c r="AX456" s="80" t="str">
        <f>IF(AB456=1,AW456+AD456,"")</f>
        <v/>
      </c>
      <c r="AY456" s="80">
        <f>IF(AND(AB456=1,AV456=0,AU456=1),1,0)</f>
        <v>0</v>
      </c>
      <c r="AZ456" s="80">
        <f>IF(AY456=1,COUNTIFS(R_Emp,D456,R_SAbs,"&lt;"&amp;AX456,R_EAbs,"&gt;"&amp;AW456,R_OKey,1)-1,0)</f>
        <v>0</v>
      </c>
      <c r="BA456" s="80">
        <f>IF(AY456=1,COUNTIFS(R_Emp,"&lt;&gt;"&amp;D456,R_SAbs,"&lt;"&amp;AX456,R_EAbs,"&gt;"&amp;AW456,R_OKey,1),0)</f>
        <v>0</v>
      </c>
      <c r="BB456" s="80">
        <f>IF(AND(AB456=1,D456="proMX"),IF(AND(MOD(Z456,CFG_BLK)=0,MOD(AA456,CFG_BLK)=0,MOD(AG456,CFG_BLK)=0,AG456&gt;0),1,0),1)</f>
        <v>1</v>
      </c>
      <c r="BC456" s="80" t="str">
        <f>IF(Y456=0,"",IF(NOT(ISNUMBER(B456)),"Falta fecha o fecha inválida",IF(D456="","Falta empresa",IF(AND(D456&lt;&gt;"Malcolm",D456&lt;&gt;"proMX"),"Empresa inválida",IF(OR(INT(B456)&lt;CFG_PSTART,INT(B456)&gt;CFG_PEND),"Fecha fuera del período",IF(OR(NOT(ISNUMBER(Z456)),NOT(ISNUMBER(AA456))),"Falta hora inicio/fin o formato inválido",IF(AB456=0,"Hora inicio = hora fin",IF(AE456&lt;0,"Descanso inválido",IF(AE456&gt;=AD456,"Descanso ≥ duración",IF(AV456=1,"Registro duplicado",IF(AZ456&gt;0,"Se superpone con otro registro "&amp;D456,IF(BB456=0,"inicio, fin y duración neta deben ser múltiplos de "&amp;CFG_BLK&amp;" min",""))))))))))))</f>
        <v/>
      </c>
      <c r="BD456" s="80">
        <f>IF(AND(Y456=1,BC456=""),1,0)</f>
        <v>0</v>
      </c>
      <c r="BE456" s="80">
        <f>IF(AND(BD456=1,AU456=1),1,0)</f>
        <v>0</v>
      </c>
      <c r="BF456" s="80" t="str">
        <f>IF(AND(D456="proMX",BD456=1),IF(R456="","Draft",R456),"")</f>
        <v/>
      </c>
      <c r="BG456" s="80">
        <f>IF(BD456=1,ROUND(AG456/60,6),0)</f>
        <v>0</v>
      </c>
      <c r="BH456" s="80">
        <f>IF(BE456=1,ROUND(AG456/60,6),0)</f>
        <v>0</v>
      </c>
      <c r="BI456" s="80">
        <f>IF(BE456=1,ROUND(AP456/60,6),0)</f>
        <v>0</v>
      </c>
      <c r="BJ456" s="80">
        <f>IF(BE456=1,ROUND(AQ456/60,6),0)</f>
        <v>0</v>
      </c>
      <c r="BK456" s="80">
        <f>IF(BE456=1,ROUND((AR456+AS456)/60,6),0)</f>
        <v>0</v>
      </c>
      <c r="BL456" s="80">
        <f>ROUND(BH456-BK456,6)</f>
        <v>0</v>
      </c>
      <c r="BM456" s="80">
        <f>IF(BE456=1,ROUND(AR456/60,6),0)</f>
        <v>0</v>
      </c>
      <c r="BN456" s="80">
        <f>ROUND(BI456-BM456,6)</f>
        <v>0</v>
      </c>
      <c r="BO456" s="80">
        <f>IF(BE456=1,ROUND(AS456/60,6),0)</f>
        <v>0</v>
      </c>
      <c r="BP456" s="80">
        <f>ROUND(BJ456-BO456,6)</f>
        <v>0</v>
      </c>
      <c r="BQ456" s="80">
        <f>IF(BE456=1,AW456,0)</f>
        <v>0</v>
      </c>
      <c r="BR456" s="80">
        <f>IF(BE456=1,AX456,0)</f>
        <v>0</v>
      </c>
      <c r="BS456" s="80">
        <f>IF(AND(BE456=1,D456="Malcolm",BA456&gt;0),MIN(BH456,SUMPRODUCT((R_Emp="proMX")*(R_EN&gt;0)*((R_EN-(R_EN&gt;BR456)*(R_EN-BR456))&gt;(R_SN+(R_SN&lt;BQ456)*(BQ456-R_SN)))*((R_EN-(R_EN&gt;BR456)*(R_EN-BR456))-(R_SN+(R_SN&lt;BQ456)*(BQ456-R_SN))))/60),0)</f>
        <v>0</v>
      </c>
      <c r="BT456" s="80">
        <f>IF(AND(BE456=1,D456="proMX"),ROUND(BI456*CFG_RATE+BJ456*CFG_OTRATE,6),0)</f>
        <v>0</v>
      </c>
      <c r="BU456" s="80">
        <f>IF(AND(BD456=1,D456="proMX"),ROUND(AG456/CFG_BLK,6),0)</f>
        <v>0</v>
      </c>
      <c r="BV456" s="80" t="str">
        <f>IF(BF456="Approved",IF(ISNUMBER(T456),INT(T456),INT(B456)),"")</f>
        <v/>
      </c>
      <c r="BW456" s="80">
        <f>IF(ISNUMBER(B456),IF(DB_MON="Todos",1,IF(AND(INT(B456)&gt;=DB_MS,INT(B456)&lt;=DB_ME),1,0)),0)</f>
        <v>0</v>
      </c>
      <c r="BX456" s="80">
        <f>IF(DB_PROJ="Todos",1,IF(E456&amp;""=DB_PROJ&amp;"",1,0))</f>
        <v>1</v>
      </c>
      <c r="BY456" s="80">
        <f>BW456*BX456</f>
        <v>0</v>
      </c>
      <c r="BZ456" s="80" t="str">
        <f>IF(Y456=1,F456&amp;IF(AND(F456&amp;""&lt;&gt;"",E456&amp;""&lt;&gt;"")," · ","")&amp;E456,"")</f>
        <v/>
      </c>
      <c r="CA456" s="80" t="str">
        <f>IF(AND(BD456=1,E456&amp;""&lt;&gt;""),IF(COUNTIFS($E$5:E455,E456,$BD$5:BD455,1)=0,MAX($CA$5:CA455)+1,""),"")</f>
        <v/>
      </c>
      <c r="CB456" s="80" t="str">
        <f>IF(AND(BE456=1,D456="Malcolm",E456&amp;""&lt;&gt;""),IF(COUNTIFS($D$5:D455,"Malcolm",$E$5:E455,E456,$BE$5:BE455,1)=0,MAX($CB$5:CB455)+1,""),"")</f>
        <v/>
      </c>
      <c r="CC456" s="80" t="str">
        <f>IF(AND(BD456=1,D456="proMX",E456&amp;""&lt;&gt;""),IF(COUNTIFS($D$5:D455,"proMX",$E$5:E455,E456,$BD$5:BD455,1)=0,MAX($CC$5:CC455)+1,""),"")</f>
        <v/>
      </c>
      <c r="CD456" s="80" t="str">
        <f>IF(AND(BE456=1,D456="Malcolm",F456&amp;""&lt;&gt;""),IF(COUNTIFS($D$5:D455,"Malcolm",$F$5:F455,F456,$BE$5:BE455,1)=0,MAX($CD$5:CD455)+1,""),"")</f>
        <v/>
      </c>
      <c r="CE456" s="80" t="str">
        <f>IF(AND(BD456=1,D456="proMX",F456&amp;""&lt;&gt;""),IF(COUNTIFS($D$5:D455,"proMX",$F$5:F455,F456,$BD$5:BD455,1)=0,MAX($CE$5:CE455)+1,""),"")</f>
        <v/>
      </c>
      <c r="CF456" s="80" t="str">
        <f>IF(AND(D456="proMX",BD456=1),IF(OR(BF456="Draft",BF456="Submitted",BF456="Returned",BF456="Recall Requested"),MAX($CF$5:CF455)+1,""),"")</f>
        <v/>
      </c>
      <c r="CG456" s="80">
        <f>IF(BD456=0,0,IF(D456="Malcolm",1,MATCH(BF456,{"Draft","Submitted","Approved","Returned","Recall Requested","Cancelled"},0)+1))</f>
        <v>0</v>
      </c>
      <c r="CH456" s="80">
        <f>IF(AND(BF456="Submitted",ISNUMBER(V456)),IF(V456&gt;CFG_MAXD,1,0),0)</f>
        <v>0</v>
      </c>
    </row>
    <row r="457">
      <c r="A457" s="71" t="str">
        <f>IF(Y457=1,ROW()-5,"")</f>
        <v/>
      </c>
      <c r="B457" s="72" t="n"/>
      <c r="C457" s="71" t="str">
        <f>IF(ISNUMBER(B457),CHOOSE(WEEKDAY(B457,2),"Lun","Mar","Mié","Jue","Vie","Sáb","Dom"),"")</f>
        <v/>
      </c>
      <c r="D457" s="73" t="n"/>
      <c r="E457" s="74" t="n"/>
      <c r="F457" s="74" t="n"/>
      <c r="G457" s="74" t="n"/>
      <c r="H457" s="75" t="n"/>
      <c r="I457" s="75" t="n"/>
      <c r="J457" s="76" t="n"/>
      <c r="K457" s="77" t="str">
        <f>IF(AB457=1,ROUND(AG457/60,4),"")</f>
        <v/>
      </c>
      <c r="L457" s="77" t="str">
        <f>IF(BD457=1,ROUND(AP457/60,4),"")</f>
        <v/>
      </c>
      <c r="M457" s="77" t="str">
        <f>IF(BD457=1,ROUND(AQ457/60,4),"")</f>
        <v/>
      </c>
      <c r="N457" s="71" t="str">
        <f>IF(AND(D457="proMX",AB457=1),ROUND(AG457/CFG_BLK,2),"")</f>
        <v/>
      </c>
      <c r="O457" s="77" t="str">
        <f>IF(D457="proMX",IF(BD457=1,ROUND(AG457/60,4),0),"")</f>
        <v/>
      </c>
      <c r="P457" s="78" t="str">
        <f>IF(Y457=0,"",IF(BD457=1,"OK",IF(D457="proMX","Revisar bloques: ","Revisar: ")&amp;BC457))</f>
        <v/>
      </c>
      <c r="Q457" s="78" t="str">
        <f>IF(NOT(ISNUMBER(B457)),"",IF(COUNTIFS(FER_F,INT(B457))&gt;0,"Feriado"&amp;IF(AH457=1," (laborable)"," (no laborable)"),IF(AH457=1,"Laborable",IF(WEEKDAY(B457,2)&gt;5,"Fin de semana","No laborable"))))</f>
        <v/>
      </c>
      <c r="R457" s="73" t="n"/>
      <c r="S457" s="72" t="n"/>
      <c r="T457" s="72" t="n"/>
      <c r="U457" s="74" t="n"/>
      <c r="V457" s="79" t="str">
        <f>IF(AND(D457="proMX",OR(R457="Submitted",R457="Recall Requested"),ISNUMBER(S457)),CFG_TODAY-INT(S457),"")</f>
        <v/>
      </c>
      <c r="W457" s="78" t="str">
        <f>IF(BD457=0,"",IF(BA457&gt;0,"⚠ Se superpone con un registro de la otra empresa",IF(D457="Malcolm",IF(COUNTA(R457,S457,T457)&gt;0,"Estado/fechas proMX se ignoran en Malcolm",""),IF(BF457="Cancelled","Cancelado: excluido de totales",IF(R457="","Sin estado: se trata como Draft",IF(BF457="Submitted",IF(ISNUMBER(V457),IF(V457&gt;CFG_MAXD,"⚠ "&amp;V457&amp;" días en Submitted (máx. "&amp;CFG_MAXD&amp;")",""),"Falta fecha de envío"),IF(BF457="Returned","⚠ Devuelto: corregir y reenviar",IF(BF457="Recall Requested","Retirada solicitada: pendiente",IF(AND(BF457="Approved",NOT(ISNUMBER(T457))),"Falta fecha de aprobación",IF(AND(ISNUMBER(S457),ISNUMBER(T457),T457&lt;S457),"Aprobación anterior al envío","")))))))))</f>
        <v/>
      </c>
      <c r="Y457" s="80">
        <f>IF(COUNTA(B457,D457,E457,F457,G457,H457,I457,J457,R457,S457,T457)&gt;0,1,0)</f>
        <v>0</v>
      </c>
      <c r="Z457" s="80" t="str">
        <f>IF(AND(ISNUMBER(H457),H457&gt;=0,H457&lt;1),ROUND(H457*1440,0),"")</f>
        <v/>
      </c>
      <c r="AA457" s="80" t="str">
        <f>IF(AND(ISNUMBER(I457),I457&gt;=0,I457&lt;1),ROUND(I457*1440,0),"")</f>
        <v/>
      </c>
      <c r="AB457" s="80">
        <f>IF(AND(ISNUMBER(B457),D457&lt;&gt;"",ISNUMBER(Z457),ISNUMBER(AA457)),IF(Z457=AA457,0,1),0)</f>
        <v>0</v>
      </c>
      <c r="AC457" s="80">
        <f>IF(AB457=1,IF(AA457&lt;Z457,1,0),0)</f>
        <v>0</v>
      </c>
      <c r="AD457" s="80">
        <f>IF(AB457=1,IF(AC457=1,1440-Z457+AA457,AA457-Z457),0)</f>
        <v>0</v>
      </c>
      <c r="AE457" s="80">
        <f>IF(J457="",0,IF(ISNUMBER(J457),J457,-1))</f>
        <v>0</v>
      </c>
      <c r="AF457" s="80">
        <f>MIN(MAX(0,AE457),AD457)</f>
        <v>0</v>
      </c>
      <c r="AG457" s="80">
        <f>MAX(0,AD457-MAX(0,AE457))</f>
        <v>0</v>
      </c>
      <c r="AH457" s="80">
        <f>IF(ISNUMBER(B457),IF(AND(INDEX(CFG_WDAYS,WEEKDAY(INT(B457),2))="Sí",IF(D457="proMX",COUNTIFS(FER_F,INT(B457),FER_NLP,"Sí"),COUNTIFS(FER_F,INT(B457),FER_NLM,"Sí"))=0),1,0),0)</f>
        <v>0</v>
      </c>
      <c r="AI457" s="80">
        <f>IF(AC457=1,IF(AND(INDEX(CFG_WDAYS,WEEKDAY(INT(B457)+1,2))="Sí",IF(D457="proMX",COUNTIFS(FER_F,INT(B457)+1,FER_NLP,"Sí"),COUNTIFS(FER_F,INT(B457)+1,FER_NLM,"Sí"))=0),1,0),0)</f>
        <v>0</v>
      </c>
      <c r="AJ457" s="80">
        <f>IF(AC457=1,1440-Z457,AD457)</f>
        <v>0</v>
      </c>
      <c r="AK457" s="80">
        <f>IF(AND(AB457=1,AH457=1),MAX(0,MIN(IF(AC457=1,1440,AA457),CFG_WEM)-MAX(Z457,CFG_WSM)),0)</f>
        <v>0</v>
      </c>
      <c r="AL457" s="80">
        <f>IF(AND(AC457=1,AI457=1),MAX(0,MIN(AA457,CFG_WEM)-CFG_WSM),0)</f>
        <v>0</v>
      </c>
      <c r="AM457" s="80">
        <f>AK457+AL457</f>
        <v>0</v>
      </c>
      <c r="AN457" s="80">
        <f>IF(CFG_BRK="Proporcional",IF(AD457=0,0,AF457*AM457/AD457),IF(CFG_BRK="Extras primero",MIN(AM457,MAX(0,AF457-(AD457-AM457))),MIN(AF457,AM457)))</f>
        <v>0</v>
      </c>
      <c r="AO457" s="80">
        <f>AF457-AN457</f>
        <v>0</v>
      </c>
      <c r="AP457" s="80">
        <f>AM457-AN457</f>
        <v>0</v>
      </c>
      <c r="AQ457" s="80">
        <f>AD457-AM457-AO457</f>
        <v>0</v>
      </c>
      <c r="AR457" s="80">
        <f>IF(AM457=0,0,AK457-AN457*AK457/AM457)</f>
        <v>0</v>
      </c>
      <c r="AS457" s="80">
        <f>IF(AD457-AM457=0,0,(AJ457-AK457)-AO457*(AJ457-AK457)/(AD457-AM457))</f>
        <v>0</v>
      </c>
      <c r="AT457" s="80" t="str">
        <f>IF(AC457=1,INT(B457)+1,"")</f>
        <v/>
      </c>
      <c r="AU457" s="80">
        <f>IF(AND(D457="proMX",R457="Cancelled"),0,1)</f>
        <v>1</v>
      </c>
      <c r="AV457" s="80">
        <f>IF(AND(AB457=1,AU457=1),IF(COUNTIFS($D$5:D456,D457,$B$5:B456,B457,$Z$5:Z456,Z457,$AA$5:AA456,AA457,$F$5:F456,F457&amp;"",$AU$5:AU456,1)&gt;0,1,0),0)</f>
        <v>0</v>
      </c>
      <c r="AW457" s="80" t="str">
        <f>IF(AB457=1,INT(B457)*1440+Z457,"")</f>
        <v/>
      </c>
      <c r="AX457" s="80" t="str">
        <f>IF(AB457=1,AW457+AD457,"")</f>
        <v/>
      </c>
      <c r="AY457" s="80">
        <f>IF(AND(AB457=1,AV457=0,AU457=1),1,0)</f>
        <v>0</v>
      </c>
      <c r="AZ457" s="80">
        <f>IF(AY457=1,COUNTIFS(R_Emp,D457,R_SAbs,"&lt;"&amp;AX457,R_EAbs,"&gt;"&amp;AW457,R_OKey,1)-1,0)</f>
        <v>0</v>
      </c>
      <c r="BA457" s="80">
        <f>IF(AY457=1,COUNTIFS(R_Emp,"&lt;&gt;"&amp;D457,R_SAbs,"&lt;"&amp;AX457,R_EAbs,"&gt;"&amp;AW457,R_OKey,1),0)</f>
        <v>0</v>
      </c>
      <c r="BB457" s="80">
        <f>IF(AND(AB457=1,D457="proMX"),IF(AND(MOD(Z457,CFG_BLK)=0,MOD(AA457,CFG_BLK)=0,MOD(AG457,CFG_BLK)=0,AG457&gt;0),1,0),1)</f>
        <v>1</v>
      </c>
      <c r="BC457" s="80" t="str">
        <f>IF(Y457=0,"",IF(NOT(ISNUMBER(B457)),"Falta fecha o fecha inválida",IF(D457="","Falta empresa",IF(AND(D457&lt;&gt;"Malcolm",D457&lt;&gt;"proMX"),"Empresa inválida",IF(OR(INT(B457)&lt;CFG_PSTART,INT(B457)&gt;CFG_PEND),"Fecha fuera del período",IF(OR(NOT(ISNUMBER(Z457)),NOT(ISNUMBER(AA457))),"Falta hora inicio/fin o formato inválido",IF(AB457=0,"Hora inicio = hora fin",IF(AE457&lt;0,"Descanso inválido",IF(AE457&gt;=AD457,"Descanso ≥ duración",IF(AV457=1,"Registro duplicado",IF(AZ457&gt;0,"Se superpone con otro registro "&amp;D457,IF(BB457=0,"inicio, fin y duración neta deben ser múltiplos de "&amp;CFG_BLK&amp;" min",""))))))))))))</f>
        <v/>
      </c>
      <c r="BD457" s="80">
        <f>IF(AND(Y457=1,BC457=""),1,0)</f>
        <v>0</v>
      </c>
      <c r="BE457" s="80">
        <f>IF(AND(BD457=1,AU457=1),1,0)</f>
        <v>0</v>
      </c>
      <c r="BF457" s="80" t="str">
        <f>IF(AND(D457="proMX",BD457=1),IF(R457="","Draft",R457),"")</f>
        <v/>
      </c>
      <c r="BG457" s="80">
        <f>IF(BD457=1,ROUND(AG457/60,6),0)</f>
        <v>0</v>
      </c>
      <c r="BH457" s="80">
        <f>IF(BE457=1,ROUND(AG457/60,6),0)</f>
        <v>0</v>
      </c>
      <c r="BI457" s="80">
        <f>IF(BE457=1,ROUND(AP457/60,6),0)</f>
        <v>0</v>
      </c>
      <c r="BJ457" s="80">
        <f>IF(BE457=1,ROUND(AQ457/60,6),0)</f>
        <v>0</v>
      </c>
      <c r="BK457" s="80">
        <f>IF(BE457=1,ROUND((AR457+AS457)/60,6),0)</f>
        <v>0</v>
      </c>
      <c r="BL457" s="80">
        <f>ROUND(BH457-BK457,6)</f>
        <v>0</v>
      </c>
      <c r="BM457" s="80">
        <f>IF(BE457=1,ROUND(AR457/60,6),0)</f>
        <v>0</v>
      </c>
      <c r="BN457" s="80">
        <f>ROUND(BI457-BM457,6)</f>
        <v>0</v>
      </c>
      <c r="BO457" s="80">
        <f>IF(BE457=1,ROUND(AS457/60,6),0)</f>
        <v>0</v>
      </c>
      <c r="BP457" s="80">
        <f>ROUND(BJ457-BO457,6)</f>
        <v>0</v>
      </c>
      <c r="BQ457" s="80">
        <f>IF(BE457=1,AW457,0)</f>
        <v>0</v>
      </c>
      <c r="BR457" s="80">
        <f>IF(BE457=1,AX457,0)</f>
        <v>0</v>
      </c>
      <c r="BS457" s="80">
        <f>IF(AND(BE457=1,D457="Malcolm",BA457&gt;0),MIN(BH457,SUMPRODUCT((R_Emp="proMX")*(R_EN&gt;0)*((R_EN-(R_EN&gt;BR457)*(R_EN-BR457))&gt;(R_SN+(R_SN&lt;BQ457)*(BQ457-R_SN)))*((R_EN-(R_EN&gt;BR457)*(R_EN-BR457))-(R_SN+(R_SN&lt;BQ457)*(BQ457-R_SN))))/60),0)</f>
        <v>0</v>
      </c>
      <c r="BT457" s="80">
        <f>IF(AND(BE457=1,D457="proMX"),ROUND(BI457*CFG_RATE+BJ457*CFG_OTRATE,6),0)</f>
        <v>0</v>
      </c>
      <c r="BU457" s="80">
        <f>IF(AND(BD457=1,D457="proMX"),ROUND(AG457/CFG_BLK,6),0)</f>
        <v>0</v>
      </c>
      <c r="BV457" s="80" t="str">
        <f>IF(BF457="Approved",IF(ISNUMBER(T457),INT(T457),INT(B457)),"")</f>
        <v/>
      </c>
      <c r="BW457" s="80">
        <f>IF(ISNUMBER(B457),IF(DB_MON="Todos",1,IF(AND(INT(B457)&gt;=DB_MS,INT(B457)&lt;=DB_ME),1,0)),0)</f>
        <v>0</v>
      </c>
      <c r="BX457" s="80">
        <f>IF(DB_PROJ="Todos",1,IF(E457&amp;""=DB_PROJ&amp;"",1,0))</f>
        <v>1</v>
      </c>
      <c r="BY457" s="80">
        <f>BW457*BX457</f>
        <v>0</v>
      </c>
      <c r="BZ457" s="80" t="str">
        <f>IF(Y457=1,F457&amp;IF(AND(F457&amp;""&lt;&gt;"",E457&amp;""&lt;&gt;"")," · ","")&amp;E457,"")</f>
        <v/>
      </c>
      <c r="CA457" s="80" t="str">
        <f>IF(AND(BD457=1,E457&amp;""&lt;&gt;""),IF(COUNTIFS($E$5:E456,E457,$BD$5:BD456,1)=0,MAX($CA$5:CA456)+1,""),"")</f>
        <v/>
      </c>
      <c r="CB457" s="80" t="str">
        <f>IF(AND(BE457=1,D457="Malcolm",E457&amp;""&lt;&gt;""),IF(COUNTIFS($D$5:D456,"Malcolm",$E$5:E456,E457,$BE$5:BE456,1)=0,MAX($CB$5:CB456)+1,""),"")</f>
        <v/>
      </c>
      <c r="CC457" s="80" t="str">
        <f>IF(AND(BD457=1,D457="proMX",E457&amp;""&lt;&gt;""),IF(COUNTIFS($D$5:D456,"proMX",$E$5:E456,E457,$BD$5:BD456,1)=0,MAX($CC$5:CC456)+1,""),"")</f>
        <v/>
      </c>
      <c r="CD457" s="80" t="str">
        <f>IF(AND(BE457=1,D457="Malcolm",F457&amp;""&lt;&gt;""),IF(COUNTIFS($D$5:D456,"Malcolm",$F$5:F456,F457,$BE$5:BE456,1)=0,MAX($CD$5:CD456)+1,""),"")</f>
        <v/>
      </c>
      <c r="CE457" s="80" t="str">
        <f>IF(AND(BD457=1,D457="proMX",F457&amp;""&lt;&gt;""),IF(COUNTIFS($D$5:D456,"proMX",$F$5:F456,F457,$BD$5:BD456,1)=0,MAX($CE$5:CE456)+1,""),"")</f>
        <v/>
      </c>
      <c r="CF457" s="80" t="str">
        <f>IF(AND(D457="proMX",BD457=1),IF(OR(BF457="Draft",BF457="Submitted",BF457="Returned",BF457="Recall Requested"),MAX($CF$5:CF456)+1,""),"")</f>
        <v/>
      </c>
      <c r="CG457" s="80">
        <f>IF(BD457=0,0,IF(D457="Malcolm",1,MATCH(BF457,{"Draft","Submitted","Approved","Returned","Recall Requested","Cancelled"},0)+1))</f>
        <v>0</v>
      </c>
      <c r="CH457" s="80">
        <f>IF(AND(BF457="Submitted",ISNUMBER(V457)),IF(V457&gt;CFG_MAXD,1,0),0)</f>
        <v>0</v>
      </c>
    </row>
    <row r="458">
      <c r="A458" s="71" t="str">
        <f>IF(Y458=1,ROW()-5,"")</f>
        <v/>
      </c>
      <c r="B458" s="72" t="n"/>
      <c r="C458" s="71" t="str">
        <f>IF(ISNUMBER(B458),CHOOSE(WEEKDAY(B458,2),"Lun","Mar","Mié","Jue","Vie","Sáb","Dom"),"")</f>
        <v/>
      </c>
      <c r="D458" s="73" t="n"/>
      <c r="E458" s="74" t="n"/>
      <c r="F458" s="74" t="n"/>
      <c r="G458" s="74" t="n"/>
      <c r="H458" s="75" t="n"/>
      <c r="I458" s="75" t="n"/>
      <c r="J458" s="76" t="n"/>
      <c r="K458" s="77" t="str">
        <f>IF(AB458=1,ROUND(AG458/60,4),"")</f>
        <v/>
      </c>
      <c r="L458" s="77" t="str">
        <f>IF(BD458=1,ROUND(AP458/60,4),"")</f>
        <v/>
      </c>
      <c r="M458" s="77" t="str">
        <f>IF(BD458=1,ROUND(AQ458/60,4),"")</f>
        <v/>
      </c>
      <c r="N458" s="71" t="str">
        <f>IF(AND(D458="proMX",AB458=1),ROUND(AG458/CFG_BLK,2),"")</f>
        <v/>
      </c>
      <c r="O458" s="77" t="str">
        <f>IF(D458="proMX",IF(BD458=1,ROUND(AG458/60,4),0),"")</f>
        <v/>
      </c>
      <c r="P458" s="78" t="str">
        <f>IF(Y458=0,"",IF(BD458=1,"OK",IF(D458="proMX","Revisar bloques: ","Revisar: ")&amp;BC458))</f>
        <v/>
      </c>
      <c r="Q458" s="78" t="str">
        <f>IF(NOT(ISNUMBER(B458)),"",IF(COUNTIFS(FER_F,INT(B458))&gt;0,"Feriado"&amp;IF(AH458=1," (laborable)"," (no laborable)"),IF(AH458=1,"Laborable",IF(WEEKDAY(B458,2)&gt;5,"Fin de semana","No laborable"))))</f>
        <v/>
      </c>
      <c r="R458" s="73" t="n"/>
      <c r="S458" s="72" t="n"/>
      <c r="T458" s="72" t="n"/>
      <c r="U458" s="74" t="n"/>
      <c r="V458" s="79" t="str">
        <f>IF(AND(D458="proMX",OR(R458="Submitted",R458="Recall Requested"),ISNUMBER(S458)),CFG_TODAY-INT(S458),"")</f>
        <v/>
      </c>
      <c r="W458" s="78" t="str">
        <f>IF(BD458=0,"",IF(BA458&gt;0,"⚠ Se superpone con un registro de la otra empresa",IF(D458="Malcolm",IF(COUNTA(R458,S458,T458)&gt;0,"Estado/fechas proMX se ignoran en Malcolm",""),IF(BF458="Cancelled","Cancelado: excluido de totales",IF(R458="","Sin estado: se trata como Draft",IF(BF458="Submitted",IF(ISNUMBER(V458),IF(V458&gt;CFG_MAXD,"⚠ "&amp;V458&amp;" días en Submitted (máx. "&amp;CFG_MAXD&amp;")",""),"Falta fecha de envío"),IF(BF458="Returned","⚠ Devuelto: corregir y reenviar",IF(BF458="Recall Requested","Retirada solicitada: pendiente",IF(AND(BF458="Approved",NOT(ISNUMBER(T458))),"Falta fecha de aprobación",IF(AND(ISNUMBER(S458),ISNUMBER(T458),T458&lt;S458),"Aprobación anterior al envío","")))))))))</f>
        <v/>
      </c>
      <c r="Y458" s="80">
        <f>IF(COUNTA(B458,D458,E458,F458,G458,H458,I458,J458,R458,S458,T458)&gt;0,1,0)</f>
        <v>0</v>
      </c>
      <c r="Z458" s="80" t="str">
        <f>IF(AND(ISNUMBER(H458),H458&gt;=0,H458&lt;1),ROUND(H458*1440,0),"")</f>
        <v/>
      </c>
      <c r="AA458" s="80" t="str">
        <f>IF(AND(ISNUMBER(I458),I458&gt;=0,I458&lt;1),ROUND(I458*1440,0),"")</f>
        <v/>
      </c>
      <c r="AB458" s="80">
        <f>IF(AND(ISNUMBER(B458),D458&lt;&gt;"",ISNUMBER(Z458),ISNUMBER(AA458)),IF(Z458=AA458,0,1),0)</f>
        <v>0</v>
      </c>
      <c r="AC458" s="80">
        <f>IF(AB458=1,IF(AA458&lt;Z458,1,0),0)</f>
        <v>0</v>
      </c>
      <c r="AD458" s="80">
        <f>IF(AB458=1,IF(AC458=1,1440-Z458+AA458,AA458-Z458),0)</f>
        <v>0</v>
      </c>
      <c r="AE458" s="80">
        <f>IF(J458="",0,IF(ISNUMBER(J458),J458,-1))</f>
        <v>0</v>
      </c>
      <c r="AF458" s="80">
        <f>MIN(MAX(0,AE458),AD458)</f>
        <v>0</v>
      </c>
      <c r="AG458" s="80">
        <f>MAX(0,AD458-MAX(0,AE458))</f>
        <v>0</v>
      </c>
      <c r="AH458" s="80">
        <f>IF(ISNUMBER(B458),IF(AND(INDEX(CFG_WDAYS,WEEKDAY(INT(B458),2))="Sí",IF(D458="proMX",COUNTIFS(FER_F,INT(B458),FER_NLP,"Sí"),COUNTIFS(FER_F,INT(B458),FER_NLM,"Sí"))=0),1,0),0)</f>
        <v>0</v>
      </c>
      <c r="AI458" s="80">
        <f>IF(AC458=1,IF(AND(INDEX(CFG_WDAYS,WEEKDAY(INT(B458)+1,2))="Sí",IF(D458="proMX",COUNTIFS(FER_F,INT(B458)+1,FER_NLP,"Sí"),COUNTIFS(FER_F,INT(B458)+1,FER_NLM,"Sí"))=0),1,0),0)</f>
        <v>0</v>
      </c>
      <c r="AJ458" s="80">
        <f>IF(AC458=1,1440-Z458,AD458)</f>
        <v>0</v>
      </c>
      <c r="AK458" s="80">
        <f>IF(AND(AB458=1,AH458=1),MAX(0,MIN(IF(AC458=1,1440,AA458),CFG_WEM)-MAX(Z458,CFG_WSM)),0)</f>
        <v>0</v>
      </c>
      <c r="AL458" s="80">
        <f>IF(AND(AC458=1,AI458=1),MAX(0,MIN(AA458,CFG_WEM)-CFG_WSM),0)</f>
        <v>0</v>
      </c>
      <c r="AM458" s="80">
        <f>AK458+AL458</f>
        <v>0</v>
      </c>
      <c r="AN458" s="80">
        <f>IF(CFG_BRK="Proporcional",IF(AD458=0,0,AF458*AM458/AD458),IF(CFG_BRK="Extras primero",MIN(AM458,MAX(0,AF458-(AD458-AM458))),MIN(AF458,AM458)))</f>
        <v>0</v>
      </c>
      <c r="AO458" s="80">
        <f>AF458-AN458</f>
        <v>0</v>
      </c>
      <c r="AP458" s="80">
        <f>AM458-AN458</f>
        <v>0</v>
      </c>
      <c r="AQ458" s="80">
        <f>AD458-AM458-AO458</f>
        <v>0</v>
      </c>
      <c r="AR458" s="80">
        <f>IF(AM458=0,0,AK458-AN458*AK458/AM458)</f>
        <v>0</v>
      </c>
      <c r="AS458" s="80">
        <f>IF(AD458-AM458=0,0,(AJ458-AK458)-AO458*(AJ458-AK458)/(AD458-AM458))</f>
        <v>0</v>
      </c>
      <c r="AT458" s="80" t="str">
        <f>IF(AC458=1,INT(B458)+1,"")</f>
        <v/>
      </c>
      <c r="AU458" s="80">
        <f>IF(AND(D458="proMX",R458="Cancelled"),0,1)</f>
        <v>1</v>
      </c>
      <c r="AV458" s="80">
        <f>IF(AND(AB458=1,AU458=1),IF(COUNTIFS($D$5:D457,D458,$B$5:B457,B458,$Z$5:Z457,Z458,$AA$5:AA457,AA458,$F$5:F457,F458&amp;"",$AU$5:AU457,1)&gt;0,1,0),0)</f>
        <v>0</v>
      </c>
      <c r="AW458" s="80" t="str">
        <f>IF(AB458=1,INT(B458)*1440+Z458,"")</f>
        <v/>
      </c>
      <c r="AX458" s="80" t="str">
        <f>IF(AB458=1,AW458+AD458,"")</f>
        <v/>
      </c>
      <c r="AY458" s="80">
        <f>IF(AND(AB458=1,AV458=0,AU458=1),1,0)</f>
        <v>0</v>
      </c>
      <c r="AZ458" s="80">
        <f>IF(AY458=1,COUNTIFS(R_Emp,D458,R_SAbs,"&lt;"&amp;AX458,R_EAbs,"&gt;"&amp;AW458,R_OKey,1)-1,0)</f>
        <v>0</v>
      </c>
      <c r="BA458" s="80">
        <f>IF(AY458=1,COUNTIFS(R_Emp,"&lt;&gt;"&amp;D458,R_SAbs,"&lt;"&amp;AX458,R_EAbs,"&gt;"&amp;AW458,R_OKey,1),0)</f>
        <v>0</v>
      </c>
      <c r="BB458" s="80">
        <f>IF(AND(AB458=1,D458="proMX"),IF(AND(MOD(Z458,CFG_BLK)=0,MOD(AA458,CFG_BLK)=0,MOD(AG458,CFG_BLK)=0,AG458&gt;0),1,0),1)</f>
        <v>1</v>
      </c>
      <c r="BC458" s="80" t="str">
        <f>IF(Y458=0,"",IF(NOT(ISNUMBER(B458)),"Falta fecha o fecha inválida",IF(D458="","Falta empresa",IF(AND(D458&lt;&gt;"Malcolm",D458&lt;&gt;"proMX"),"Empresa inválida",IF(OR(INT(B458)&lt;CFG_PSTART,INT(B458)&gt;CFG_PEND),"Fecha fuera del período",IF(OR(NOT(ISNUMBER(Z458)),NOT(ISNUMBER(AA458))),"Falta hora inicio/fin o formato inválido",IF(AB458=0,"Hora inicio = hora fin",IF(AE458&lt;0,"Descanso inválido",IF(AE458&gt;=AD458,"Descanso ≥ duración",IF(AV458=1,"Registro duplicado",IF(AZ458&gt;0,"Se superpone con otro registro "&amp;D458,IF(BB458=0,"inicio, fin y duración neta deben ser múltiplos de "&amp;CFG_BLK&amp;" min",""))))))))))))</f>
        <v/>
      </c>
      <c r="BD458" s="80">
        <f>IF(AND(Y458=1,BC458=""),1,0)</f>
        <v>0</v>
      </c>
      <c r="BE458" s="80">
        <f>IF(AND(BD458=1,AU458=1),1,0)</f>
        <v>0</v>
      </c>
      <c r="BF458" s="80" t="str">
        <f>IF(AND(D458="proMX",BD458=1),IF(R458="","Draft",R458),"")</f>
        <v/>
      </c>
      <c r="BG458" s="80">
        <f>IF(BD458=1,ROUND(AG458/60,6),0)</f>
        <v>0</v>
      </c>
      <c r="BH458" s="80">
        <f>IF(BE458=1,ROUND(AG458/60,6),0)</f>
        <v>0</v>
      </c>
      <c r="BI458" s="80">
        <f>IF(BE458=1,ROUND(AP458/60,6),0)</f>
        <v>0</v>
      </c>
      <c r="BJ458" s="80">
        <f>IF(BE458=1,ROUND(AQ458/60,6),0)</f>
        <v>0</v>
      </c>
      <c r="BK458" s="80">
        <f>IF(BE458=1,ROUND((AR458+AS458)/60,6),0)</f>
        <v>0</v>
      </c>
      <c r="BL458" s="80">
        <f>ROUND(BH458-BK458,6)</f>
        <v>0</v>
      </c>
      <c r="BM458" s="80">
        <f>IF(BE458=1,ROUND(AR458/60,6),0)</f>
        <v>0</v>
      </c>
      <c r="BN458" s="80">
        <f>ROUND(BI458-BM458,6)</f>
        <v>0</v>
      </c>
      <c r="BO458" s="80">
        <f>IF(BE458=1,ROUND(AS458/60,6),0)</f>
        <v>0</v>
      </c>
      <c r="BP458" s="80">
        <f>ROUND(BJ458-BO458,6)</f>
        <v>0</v>
      </c>
      <c r="BQ458" s="80">
        <f>IF(BE458=1,AW458,0)</f>
        <v>0</v>
      </c>
      <c r="BR458" s="80">
        <f>IF(BE458=1,AX458,0)</f>
        <v>0</v>
      </c>
      <c r="BS458" s="80">
        <f>IF(AND(BE458=1,D458="Malcolm",BA458&gt;0),MIN(BH458,SUMPRODUCT((R_Emp="proMX")*(R_EN&gt;0)*((R_EN-(R_EN&gt;BR458)*(R_EN-BR458))&gt;(R_SN+(R_SN&lt;BQ458)*(BQ458-R_SN)))*((R_EN-(R_EN&gt;BR458)*(R_EN-BR458))-(R_SN+(R_SN&lt;BQ458)*(BQ458-R_SN))))/60),0)</f>
        <v>0</v>
      </c>
      <c r="BT458" s="80">
        <f>IF(AND(BE458=1,D458="proMX"),ROUND(BI458*CFG_RATE+BJ458*CFG_OTRATE,6),0)</f>
        <v>0</v>
      </c>
      <c r="BU458" s="80">
        <f>IF(AND(BD458=1,D458="proMX"),ROUND(AG458/CFG_BLK,6),0)</f>
        <v>0</v>
      </c>
      <c r="BV458" s="80" t="str">
        <f>IF(BF458="Approved",IF(ISNUMBER(T458),INT(T458),INT(B458)),"")</f>
        <v/>
      </c>
      <c r="BW458" s="80">
        <f>IF(ISNUMBER(B458),IF(DB_MON="Todos",1,IF(AND(INT(B458)&gt;=DB_MS,INT(B458)&lt;=DB_ME),1,0)),0)</f>
        <v>0</v>
      </c>
      <c r="BX458" s="80">
        <f>IF(DB_PROJ="Todos",1,IF(E458&amp;""=DB_PROJ&amp;"",1,0))</f>
        <v>1</v>
      </c>
      <c r="BY458" s="80">
        <f>BW458*BX458</f>
        <v>0</v>
      </c>
      <c r="BZ458" s="80" t="str">
        <f>IF(Y458=1,F458&amp;IF(AND(F458&amp;""&lt;&gt;"",E458&amp;""&lt;&gt;"")," · ","")&amp;E458,"")</f>
        <v/>
      </c>
      <c r="CA458" s="80" t="str">
        <f>IF(AND(BD458=1,E458&amp;""&lt;&gt;""),IF(COUNTIFS($E$5:E457,E458,$BD$5:BD457,1)=0,MAX($CA$5:CA457)+1,""),"")</f>
        <v/>
      </c>
      <c r="CB458" s="80" t="str">
        <f>IF(AND(BE458=1,D458="Malcolm",E458&amp;""&lt;&gt;""),IF(COUNTIFS($D$5:D457,"Malcolm",$E$5:E457,E458,$BE$5:BE457,1)=0,MAX($CB$5:CB457)+1,""),"")</f>
        <v/>
      </c>
      <c r="CC458" s="80" t="str">
        <f>IF(AND(BD458=1,D458="proMX",E458&amp;""&lt;&gt;""),IF(COUNTIFS($D$5:D457,"proMX",$E$5:E457,E458,$BD$5:BD457,1)=0,MAX($CC$5:CC457)+1,""),"")</f>
        <v/>
      </c>
      <c r="CD458" s="80" t="str">
        <f>IF(AND(BE458=1,D458="Malcolm",F458&amp;""&lt;&gt;""),IF(COUNTIFS($D$5:D457,"Malcolm",$F$5:F457,F458,$BE$5:BE457,1)=0,MAX($CD$5:CD457)+1,""),"")</f>
        <v/>
      </c>
      <c r="CE458" s="80" t="str">
        <f>IF(AND(BD458=1,D458="proMX",F458&amp;""&lt;&gt;""),IF(COUNTIFS($D$5:D457,"proMX",$F$5:F457,F458,$BD$5:BD457,1)=0,MAX($CE$5:CE457)+1,""),"")</f>
        <v/>
      </c>
      <c r="CF458" s="80" t="str">
        <f>IF(AND(D458="proMX",BD458=1),IF(OR(BF458="Draft",BF458="Submitted",BF458="Returned",BF458="Recall Requested"),MAX($CF$5:CF457)+1,""),"")</f>
        <v/>
      </c>
      <c r="CG458" s="80">
        <f>IF(BD458=0,0,IF(D458="Malcolm",1,MATCH(BF458,{"Draft","Submitted","Approved","Returned","Recall Requested","Cancelled"},0)+1))</f>
        <v>0</v>
      </c>
      <c r="CH458" s="80">
        <f>IF(AND(BF458="Submitted",ISNUMBER(V458)),IF(V458&gt;CFG_MAXD,1,0),0)</f>
        <v>0</v>
      </c>
    </row>
    <row r="459">
      <c r="A459" s="71" t="str">
        <f>IF(Y459=1,ROW()-5,"")</f>
        <v/>
      </c>
      <c r="B459" s="72" t="n"/>
      <c r="C459" s="71" t="str">
        <f>IF(ISNUMBER(B459),CHOOSE(WEEKDAY(B459,2),"Lun","Mar","Mié","Jue","Vie","Sáb","Dom"),"")</f>
        <v/>
      </c>
      <c r="D459" s="73" t="n"/>
      <c r="E459" s="74" t="n"/>
      <c r="F459" s="74" t="n"/>
      <c r="G459" s="74" t="n"/>
      <c r="H459" s="75" t="n"/>
      <c r="I459" s="75" t="n"/>
      <c r="J459" s="76" t="n"/>
      <c r="K459" s="77" t="str">
        <f>IF(AB459=1,ROUND(AG459/60,4),"")</f>
        <v/>
      </c>
      <c r="L459" s="77" t="str">
        <f>IF(BD459=1,ROUND(AP459/60,4),"")</f>
        <v/>
      </c>
      <c r="M459" s="77" t="str">
        <f>IF(BD459=1,ROUND(AQ459/60,4),"")</f>
        <v/>
      </c>
      <c r="N459" s="71" t="str">
        <f>IF(AND(D459="proMX",AB459=1),ROUND(AG459/CFG_BLK,2),"")</f>
        <v/>
      </c>
      <c r="O459" s="77" t="str">
        <f>IF(D459="proMX",IF(BD459=1,ROUND(AG459/60,4),0),"")</f>
        <v/>
      </c>
      <c r="P459" s="78" t="str">
        <f>IF(Y459=0,"",IF(BD459=1,"OK",IF(D459="proMX","Revisar bloques: ","Revisar: ")&amp;BC459))</f>
        <v/>
      </c>
      <c r="Q459" s="78" t="str">
        <f>IF(NOT(ISNUMBER(B459)),"",IF(COUNTIFS(FER_F,INT(B459))&gt;0,"Feriado"&amp;IF(AH459=1," (laborable)"," (no laborable)"),IF(AH459=1,"Laborable",IF(WEEKDAY(B459,2)&gt;5,"Fin de semana","No laborable"))))</f>
        <v/>
      </c>
      <c r="R459" s="73" t="n"/>
      <c r="S459" s="72" t="n"/>
      <c r="T459" s="72" t="n"/>
      <c r="U459" s="74" t="n"/>
      <c r="V459" s="79" t="str">
        <f>IF(AND(D459="proMX",OR(R459="Submitted",R459="Recall Requested"),ISNUMBER(S459)),CFG_TODAY-INT(S459),"")</f>
        <v/>
      </c>
      <c r="W459" s="78" t="str">
        <f>IF(BD459=0,"",IF(BA459&gt;0,"⚠ Se superpone con un registro de la otra empresa",IF(D459="Malcolm",IF(COUNTA(R459,S459,T459)&gt;0,"Estado/fechas proMX se ignoran en Malcolm",""),IF(BF459="Cancelled","Cancelado: excluido de totales",IF(R459="","Sin estado: se trata como Draft",IF(BF459="Submitted",IF(ISNUMBER(V459),IF(V459&gt;CFG_MAXD,"⚠ "&amp;V459&amp;" días en Submitted (máx. "&amp;CFG_MAXD&amp;")",""),"Falta fecha de envío"),IF(BF459="Returned","⚠ Devuelto: corregir y reenviar",IF(BF459="Recall Requested","Retirada solicitada: pendiente",IF(AND(BF459="Approved",NOT(ISNUMBER(T459))),"Falta fecha de aprobación",IF(AND(ISNUMBER(S459),ISNUMBER(T459),T459&lt;S459),"Aprobación anterior al envío","")))))))))</f>
        <v/>
      </c>
      <c r="Y459" s="80">
        <f>IF(COUNTA(B459,D459,E459,F459,G459,H459,I459,J459,R459,S459,T459)&gt;0,1,0)</f>
        <v>0</v>
      </c>
      <c r="Z459" s="80" t="str">
        <f>IF(AND(ISNUMBER(H459),H459&gt;=0,H459&lt;1),ROUND(H459*1440,0),"")</f>
        <v/>
      </c>
      <c r="AA459" s="80" t="str">
        <f>IF(AND(ISNUMBER(I459),I459&gt;=0,I459&lt;1),ROUND(I459*1440,0),"")</f>
        <v/>
      </c>
      <c r="AB459" s="80">
        <f>IF(AND(ISNUMBER(B459),D459&lt;&gt;"",ISNUMBER(Z459),ISNUMBER(AA459)),IF(Z459=AA459,0,1),0)</f>
        <v>0</v>
      </c>
      <c r="AC459" s="80">
        <f>IF(AB459=1,IF(AA459&lt;Z459,1,0),0)</f>
        <v>0</v>
      </c>
      <c r="AD459" s="80">
        <f>IF(AB459=1,IF(AC459=1,1440-Z459+AA459,AA459-Z459),0)</f>
        <v>0</v>
      </c>
      <c r="AE459" s="80">
        <f>IF(J459="",0,IF(ISNUMBER(J459),J459,-1))</f>
        <v>0</v>
      </c>
      <c r="AF459" s="80">
        <f>MIN(MAX(0,AE459),AD459)</f>
        <v>0</v>
      </c>
      <c r="AG459" s="80">
        <f>MAX(0,AD459-MAX(0,AE459))</f>
        <v>0</v>
      </c>
      <c r="AH459" s="80">
        <f>IF(ISNUMBER(B459),IF(AND(INDEX(CFG_WDAYS,WEEKDAY(INT(B459),2))="Sí",IF(D459="proMX",COUNTIFS(FER_F,INT(B459),FER_NLP,"Sí"),COUNTIFS(FER_F,INT(B459),FER_NLM,"Sí"))=0),1,0),0)</f>
        <v>0</v>
      </c>
      <c r="AI459" s="80">
        <f>IF(AC459=1,IF(AND(INDEX(CFG_WDAYS,WEEKDAY(INT(B459)+1,2))="Sí",IF(D459="proMX",COUNTIFS(FER_F,INT(B459)+1,FER_NLP,"Sí"),COUNTIFS(FER_F,INT(B459)+1,FER_NLM,"Sí"))=0),1,0),0)</f>
        <v>0</v>
      </c>
      <c r="AJ459" s="80">
        <f>IF(AC459=1,1440-Z459,AD459)</f>
        <v>0</v>
      </c>
      <c r="AK459" s="80">
        <f>IF(AND(AB459=1,AH459=1),MAX(0,MIN(IF(AC459=1,1440,AA459),CFG_WEM)-MAX(Z459,CFG_WSM)),0)</f>
        <v>0</v>
      </c>
      <c r="AL459" s="80">
        <f>IF(AND(AC459=1,AI459=1),MAX(0,MIN(AA459,CFG_WEM)-CFG_WSM),0)</f>
        <v>0</v>
      </c>
      <c r="AM459" s="80">
        <f>AK459+AL459</f>
        <v>0</v>
      </c>
      <c r="AN459" s="80">
        <f>IF(CFG_BRK="Proporcional",IF(AD459=0,0,AF459*AM459/AD459),IF(CFG_BRK="Extras primero",MIN(AM459,MAX(0,AF459-(AD459-AM459))),MIN(AF459,AM459)))</f>
        <v>0</v>
      </c>
      <c r="AO459" s="80">
        <f>AF459-AN459</f>
        <v>0</v>
      </c>
      <c r="AP459" s="80">
        <f>AM459-AN459</f>
        <v>0</v>
      </c>
      <c r="AQ459" s="80">
        <f>AD459-AM459-AO459</f>
        <v>0</v>
      </c>
      <c r="AR459" s="80">
        <f>IF(AM459=0,0,AK459-AN459*AK459/AM459)</f>
        <v>0</v>
      </c>
      <c r="AS459" s="80">
        <f>IF(AD459-AM459=0,0,(AJ459-AK459)-AO459*(AJ459-AK459)/(AD459-AM459))</f>
        <v>0</v>
      </c>
      <c r="AT459" s="80" t="str">
        <f>IF(AC459=1,INT(B459)+1,"")</f>
        <v/>
      </c>
      <c r="AU459" s="80">
        <f>IF(AND(D459="proMX",R459="Cancelled"),0,1)</f>
        <v>1</v>
      </c>
      <c r="AV459" s="80">
        <f>IF(AND(AB459=1,AU459=1),IF(COUNTIFS($D$5:D458,D459,$B$5:B458,B459,$Z$5:Z458,Z459,$AA$5:AA458,AA459,$F$5:F458,F459&amp;"",$AU$5:AU458,1)&gt;0,1,0),0)</f>
        <v>0</v>
      </c>
      <c r="AW459" s="80" t="str">
        <f>IF(AB459=1,INT(B459)*1440+Z459,"")</f>
        <v/>
      </c>
      <c r="AX459" s="80" t="str">
        <f>IF(AB459=1,AW459+AD459,"")</f>
        <v/>
      </c>
      <c r="AY459" s="80">
        <f>IF(AND(AB459=1,AV459=0,AU459=1),1,0)</f>
        <v>0</v>
      </c>
      <c r="AZ459" s="80">
        <f>IF(AY459=1,COUNTIFS(R_Emp,D459,R_SAbs,"&lt;"&amp;AX459,R_EAbs,"&gt;"&amp;AW459,R_OKey,1)-1,0)</f>
        <v>0</v>
      </c>
      <c r="BA459" s="80">
        <f>IF(AY459=1,COUNTIFS(R_Emp,"&lt;&gt;"&amp;D459,R_SAbs,"&lt;"&amp;AX459,R_EAbs,"&gt;"&amp;AW459,R_OKey,1),0)</f>
        <v>0</v>
      </c>
      <c r="BB459" s="80">
        <f>IF(AND(AB459=1,D459="proMX"),IF(AND(MOD(Z459,CFG_BLK)=0,MOD(AA459,CFG_BLK)=0,MOD(AG459,CFG_BLK)=0,AG459&gt;0),1,0),1)</f>
        <v>1</v>
      </c>
      <c r="BC459" s="80" t="str">
        <f>IF(Y459=0,"",IF(NOT(ISNUMBER(B459)),"Falta fecha o fecha inválida",IF(D459="","Falta empresa",IF(AND(D459&lt;&gt;"Malcolm",D459&lt;&gt;"proMX"),"Empresa inválida",IF(OR(INT(B459)&lt;CFG_PSTART,INT(B459)&gt;CFG_PEND),"Fecha fuera del período",IF(OR(NOT(ISNUMBER(Z459)),NOT(ISNUMBER(AA459))),"Falta hora inicio/fin o formato inválido",IF(AB459=0,"Hora inicio = hora fin",IF(AE459&lt;0,"Descanso inválido",IF(AE459&gt;=AD459,"Descanso ≥ duración",IF(AV459=1,"Registro duplicado",IF(AZ459&gt;0,"Se superpone con otro registro "&amp;D459,IF(BB459=0,"inicio, fin y duración neta deben ser múltiplos de "&amp;CFG_BLK&amp;" min",""))))))))))))</f>
        <v/>
      </c>
      <c r="BD459" s="80">
        <f>IF(AND(Y459=1,BC459=""),1,0)</f>
        <v>0</v>
      </c>
      <c r="BE459" s="80">
        <f>IF(AND(BD459=1,AU459=1),1,0)</f>
        <v>0</v>
      </c>
      <c r="BF459" s="80" t="str">
        <f>IF(AND(D459="proMX",BD459=1),IF(R459="","Draft",R459),"")</f>
        <v/>
      </c>
      <c r="BG459" s="80">
        <f>IF(BD459=1,ROUND(AG459/60,6),0)</f>
        <v>0</v>
      </c>
      <c r="BH459" s="80">
        <f>IF(BE459=1,ROUND(AG459/60,6),0)</f>
        <v>0</v>
      </c>
      <c r="BI459" s="80">
        <f>IF(BE459=1,ROUND(AP459/60,6),0)</f>
        <v>0</v>
      </c>
      <c r="BJ459" s="80">
        <f>IF(BE459=1,ROUND(AQ459/60,6),0)</f>
        <v>0</v>
      </c>
      <c r="BK459" s="80">
        <f>IF(BE459=1,ROUND((AR459+AS459)/60,6),0)</f>
        <v>0</v>
      </c>
      <c r="BL459" s="80">
        <f>ROUND(BH459-BK459,6)</f>
        <v>0</v>
      </c>
      <c r="BM459" s="80">
        <f>IF(BE459=1,ROUND(AR459/60,6),0)</f>
        <v>0</v>
      </c>
      <c r="BN459" s="80">
        <f>ROUND(BI459-BM459,6)</f>
        <v>0</v>
      </c>
      <c r="BO459" s="80">
        <f>IF(BE459=1,ROUND(AS459/60,6),0)</f>
        <v>0</v>
      </c>
      <c r="BP459" s="80">
        <f>ROUND(BJ459-BO459,6)</f>
        <v>0</v>
      </c>
      <c r="BQ459" s="80">
        <f>IF(BE459=1,AW459,0)</f>
        <v>0</v>
      </c>
      <c r="BR459" s="80">
        <f>IF(BE459=1,AX459,0)</f>
        <v>0</v>
      </c>
      <c r="BS459" s="80">
        <f>IF(AND(BE459=1,D459="Malcolm",BA459&gt;0),MIN(BH459,SUMPRODUCT((R_Emp="proMX")*(R_EN&gt;0)*((R_EN-(R_EN&gt;BR459)*(R_EN-BR459))&gt;(R_SN+(R_SN&lt;BQ459)*(BQ459-R_SN)))*((R_EN-(R_EN&gt;BR459)*(R_EN-BR459))-(R_SN+(R_SN&lt;BQ459)*(BQ459-R_SN))))/60),0)</f>
        <v>0</v>
      </c>
      <c r="BT459" s="80">
        <f>IF(AND(BE459=1,D459="proMX"),ROUND(BI459*CFG_RATE+BJ459*CFG_OTRATE,6),0)</f>
        <v>0</v>
      </c>
      <c r="BU459" s="80">
        <f>IF(AND(BD459=1,D459="proMX"),ROUND(AG459/CFG_BLK,6),0)</f>
        <v>0</v>
      </c>
      <c r="BV459" s="80" t="str">
        <f>IF(BF459="Approved",IF(ISNUMBER(T459),INT(T459),INT(B459)),"")</f>
        <v/>
      </c>
      <c r="BW459" s="80">
        <f>IF(ISNUMBER(B459),IF(DB_MON="Todos",1,IF(AND(INT(B459)&gt;=DB_MS,INT(B459)&lt;=DB_ME),1,0)),0)</f>
        <v>0</v>
      </c>
      <c r="BX459" s="80">
        <f>IF(DB_PROJ="Todos",1,IF(E459&amp;""=DB_PROJ&amp;"",1,0))</f>
        <v>1</v>
      </c>
      <c r="BY459" s="80">
        <f>BW459*BX459</f>
        <v>0</v>
      </c>
      <c r="BZ459" s="80" t="str">
        <f>IF(Y459=1,F459&amp;IF(AND(F459&amp;""&lt;&gt;"",E459&amp;""&lt;&gt;"")," · ","")&amp;E459,"")</f>
        <v/>
      </c>
      <c r="CA459" s="80" t="str">
        <f>IF(AND(BD459=1,E459&amp;""&lt;&gt;""),IF(COUNTIFS($E$5:E458,E459,$BD$5:BD458,1)=0,MAX($CA$5:CA458)+1,""),"")</f>
        <v/>
      </c>
      <c r="CB459" s="80" t="str">
        <f>IF(AND(BE459=1,D459="Malcolm",E459&amp;""&lt;&gt;""),IF(COUNTIFS($D$5:D458,"Malcolm",$E$5:E458,E459,$BE$5:BE458,1)=0,MAX($CB$5:CB458)+1,""),"")</f>
        <v/>
      </c>
      <c r="CC459" s="80" t="str">
        <f>IF(AND(BD459=1,D459="proMX",E459&amp;""&lt;&gt;""),IF(COUNTIFS($D$5:D458,"proMX",$E$5:E458,E459,$BD$5:BD458,1)=0,MAX($CC$5:CC458)+1,""),"")</f>
        <v/>
      </c>
      <c r="CD459" s="80" t="str">
        <f>IF(AND(BE459=1,D459="Malcolm",F459&amp;""&lt;&gt;""),IF(COUNTIFS($D$5:D458,"Malcolm",$F$5:F458,F459,$BE$5:BE458,1)=0,MAX($CD$5:CD458)+1,""),"")</f>
        <v/>
      </c>
      <c r="CE459" s="80" t="str">
        <f>IF(AND(BD459=1,D459="proMX",F459&amp;""&lt;&gt;""),IF(COUNTIFS($D$5:D458,"proMX",$F$5:F458,F459,$BD$5:BD458,1)=0,MAX($CE$5:CE458)+1,""),"")</f>
        <v/>
      </c>
      <c r="CF459" s="80" t="str">
        <f>IF(AND(D459="proMX",BD459=1),IF(OR(BF459="Draft",BF459="Submitted",BF459="Returned",BF459="Recall Requested"),MAX($CF$5:CF458)+1,""),"")</f>
        <v/>
      </c>
      <c r="CG459" s="80">
        <f>IF(BD459=0,0,IF(D459="Malcolm",1,MATCH(BF459,{"Draft","Submitted","Approved","Returned","Recall Requested","Cancelled"},0)+1))</f>
        <v>0</v>
      </c>
      <c r="CH459" s="80">
        <f>IF(AND(BF459="Submitted",ISNUMBER(V459)),IF(V459&gt;CFG_MAXD,1,0),0)</f>
        <v>0</v>
      </c>
    </row>
    <row r="460">
      <c r="A460" s="71" t="str">
        <f>IF(Y460=1,ROW()-5,"")</f>
        <v/>
      </c>
      <c r="B460" s="72" t="n"/>
      <c r="C460" s="71" t="str">
        <f>IF(ISNUMBER(B460),CHOOSE(WEEKDAY(B460,2),"Lun","Mar","Mié","Jue","Vie","Sáb","Dom"),"")</f>
        <v/>
      </c>
      <c r="D460" s="73" t="n"/>
      <c r="E460" s="74" t="n"/>
      <c r="F460" s="74" t="n"/>
      <c r="G460" s="74" t="n"/>
      <c r="H460" s="75" t="n"/>
      <c r="I460" s="75" t="n"/>
      <c r="J460" s="76" t="n"/>
      <c r="K460" s="77" t="str">
        <f>IF(AB460=1,ROUND(AG460/60,4),"")</f>
        <v/>
      </c>
      <c r="L460" s="77" t="str">
        <f>IF(BD460=1,ROUND(AP460/60,4),"")</f>
        <v/>
      </c>
      <c r="M460" s="77" t="str">
        <f>IF(BD460=1,ROUND(AQ460/60,4),"")</f>
        <v/>
      </c>
      <c r="N460" s="71" t="str">
        <f>IF(AND(D460="proMX",AB460=1),ROUND(AG460/CFG_BLK,2),"")</f>
        <v/>
      </c>
      <c r="O460" s="77" t="str">
        <f>IF(D460="proMX",IF(BD460=1,ROUND(AG460/60,4),0),"")</f>
        <v/>
      </c>
      <c r="P460" s="78" t="str">
        <f>IF(Y460=0,"",IF(BD460=1,"OK",IF(D460="proMX","Revisar bloques: ","Revisar: ")&amp;BC460))</f>
        <v/>
      </c>
      <c r="Q460" s="78" t="str">
        <f>IF(NOT(ISNUMBER(B460)),"",IF(COUNTIFS(FER_F,INT(B460))&gt;0,"Feriado"&amp;IF(AH460=1," (laborable)"," (no laborable)"),IF(AH460=1,"Laborable",IF(WEEKDAY(B460,2)&gt;5,"Fin de semana","No laborable"))))</f>
        <v/>
      </c>
      <c r="R460" s="73" t="n"/>
      <c r="S460" s="72" t="n"/>
      <c r="T460" s="72" t="n"/>
      <c r="U460" s="74" t="n"/>
      <c r="V460" s="79" t="str">
        <f>IF(AND(D460="proMX",OR(R460="Submitted",R460="Recall Requested"),ISNUMBER(S460)),CFG_TODAY-INT(S460),"")</f>
        <v/>
      </c>
      <c r="W460" s="78" t="str">
        <f>IF(BD460=0,"",IF(BA460&gt;0,"⚠ Se superpone con un registro de la otra empresa",IF(D460="Malcolm",IF(COUNTA(R460,S460,T460)&gt;0,"Estado/fechas proMX se ignoran en Malcolm",""),IF(BF460="Cancelled","Cancelado: excluido de totales",IF(R460="","Sin estado: se trata como Draft",IF(BF460="Submitted",IF(ISNUMBER(V460),IF(V460&gt;CFG_MAXD,"⚠ "&amp;V460&amp;" días en Submitted (máx. "&amp;CFG_MAXD&amp;")",""),"Falta fecha de envío"),IF(BF460="Returned","⚠ Devuelto: corregir y reenviar",IF(BF460="Recall Requested","Retirada solicitada: pendiente",IF(AND(BF460="Approved",NOT(ISNUMBER(T460))),"Falta fecha de aprobación",IF(AND(ISNUMBER(S460),ISNUMBER(T460),T460&lt;S460),"Aprobación anterior al envío","")))))))))</f>
        <v/>
      </c>
      <c r="Y460" s="80">
        <f>IF(COUNTA(B460,D460,E460,F460,G460,H460,I460,J460,R460,S460,T460)&gt;0,1,0)</f>
        <v>0</v>
      </c>
      <c r="Z460" s="80" t="str">
        <f>IF(AND(ISNUMBER(H460),H460&gt;=0,H460&lt;1),ROUND(H460*1440,0),"")</f>
        <v/>
      </c>
      <c r="AA460" s="80" t="str">
        <f>IF(AND(ISNUMBER(I460),I460&gt;=0,I460&lt;1),ROUND(I460*1440,0),"")</f>
        <v/>
      </c>
      <c r="AB460" s="80">
        <f>IF(AND(ISNUMBER(B460),D460&lt;&gt;"",ISNUMBER(Z460),ISNUMBER(AA460)),IF(Z460=AA460,0,1),0)</f>
        <v>0</v>
      </c>
      <c r="AC460" s="80">
        <f>IF(AB460=1,IF(AA460&lt;Z460,1,0),0)</f>
        <v>0</v>
      </c>
      <c r="AD460" s="80">
        <f>IF(AB460=1,IF(AC460=1,1440-Z460+AA460,AA460-Z460),0)</f>
        <v>0</v>
      </c>
      <c r="AE460" s="80">
        <f>IF(J460="",0,IF(ISNUMBER(J460),J460,-1))</f>
        <v>0</v>
      </c>
      <c r="AF460" s="80">
        <f>MIN(MAX(0,AE460),AD460)</f>
        <v>0</v>
      </c>
      <c r="AG460" s="80">
        <f>MAX(0,AD460-MAX(0,AE460))</f>
        <v>0</v>
      </c>
      <c r="AH460" s="80">
        <f>IF(ISNUMBER(B460),IF(AND(INDEX(CFG_WDAYS,WEEKDAY(INT(B460),2))="Sí",IF(D460="proMX",COUNTIFS(FER_F,INT(B460),FER_NLP,"Sí"),COUNTIFS(FER_F,INT(B460),FER_NLM,"Sí"))=0),1,0),0)</f>
        <v>0</v>
      </c>
      <c r="AI460" s="80">
        <f>IF(AC460=1,IF(AND(INDEX(CFG_WDAYS,WEEKDAY(INT(B460)+1,2))="Sí",IF(D460="proMX",COUNTIFS(FER_F,INT(B460)+1,FER_NLP,"Sí"),COUNTIFS(FER_F,INT(B460)+1,FER_NLM,"Sí"))=0),1,0),0)</f>
        <v>0</v>
      </c>
      <c r="AJ460" s="80">
        <f>IF(AC460=1,1440-Z460,AD460)</f>
        <v>0</v>
      </c>
      <c r="AK460" s="80">
        <f>IF(AND(AB460=1,AH460=1),MAX(0,MIN(IF(AC460=1,1440,AA460),CFG_WEM)-MAX(Z460,CFG_WSM)),0)</f>
        <v>0</v>
      </c>
      <c r="AL460" s="80">
        <f>IF(AND(AC460=1,AI460=1),MAX(0,MIN(AA460,CFG_WEM)-CFG_WSM),0)</f>
        <v>0</v>
      </c>
      <c r="AM460" s="80">
        <f>AK460+AL460</f>
        <v>0</v>
      </c>
      <c r="AN460" s="80">
        <f>IF(CFG_BRK="Proporcional",IF(AD460=0,0,AF460*AM460/AD460),IF(CFG_BRK="Extras primero",MIN(AM460,MAX(0,AF460-(AD460-AM460))),MIN(AF460,AM460)))</f>
        <v>0</v>
      </c>
      <c r="AO460" s="80">
        <f>AF460-AN460</f>
        <v>0</v>
      </c>
      <c r="AP460" s="80">
        <f>AM460-AN460</f>
        <v>0</v>
      </c>
      <c r="AQ460" s="80">
        <f>AD460-AM460-AO460</f>
        <v>0</v>
      </c>
      <c r="AR460" s="80">
        <f>IF(AM460=0,0,AK460-AN460*AK460/AM460)</f>
        <v>0</v>
      </c>
      <c r="AS460" s="80">
        <f>IF(AD460-AM460=0,0,(AJ460-AK460)-AO460*(AJ460-AK460)/(AD460-AM460))</f>
        <v>0</v>
      </c>
      <c r="AT460" s="80" t="str">
        <f>IF(AC460=1,INT(B460)+1,"")</f>
        <v/>
      </c>
      <c r="AU460" s="80">
        <f>IF(AND(D460="proMX",R460="Cancelled"),0,1)</f>
        <v>1</v>
      </c>
      <c r="AV460" s="80">
        <f>IF(AND(AB460=1,AU460=1),IF(COUNTIFS($D$5:D459,D460,$B$5:B459,B460,$Z$5:Z459,Z460,$AA$5:AA459,AA460,$F$5:F459,F460&amp;"",$AU$5:AU459,1)&gt;0,1,0),0)</f>
        <v>0</v>
      </c>
      <c r="AW460" s="80" t="str">
        <f>IF(AB460=1,INT(B460)*1440+Z460,"")</f>
        <v/>
      </c>
      <c r="AX460" s="80" t="str">
        <f>IF(AB460=1,AW460+AD460,"")</f>
        <v/>
      </c>
      <c r="AY460" s="80">
        <f>IF(AND(AB460=1,AV460=0,AU460=1),1,0)</f>
        <v>0</v>
      </c>
      <c r="AZ460" s="80">
        <f>IF(AY460=1,COUNTIFS(R_Emp,D460,R_SAbs,"&lt;"&amp;AX460,R_EAbs,"&gt;"&amp;AW460,R_OKey,1)-1,0)</f>
        <v>0</v>
      </c>
      <c r="BA460" s="80">
        <f>IF(AY460=1,COUNTIFS(R_Emp,"&lt;&gt;"&amp;D460,R_SAbs,"&lt;"&amp;AX460,R_EAbs,"&gt;"&amp;AW460,R_OKey,1),0)</f>
        <v>0</v>
      </c>
      <c r="BB460" s="80">
        <f>IF(AND(AB460=1,D460="proMX"),IF(AND(MOD(Z460,CFG_BLK)=0,MOD(AA460,CFG_BLK)=0,MOD(AG460,CFG_BLK)=0,AG460&gt;0),1,0),1)</f>
        <v>1</v>
      </c>
      <c r="BC460" s="80" t="str">
        <f>IF(Y460=0,"",IF(NOT(ISNUMBER(B460)),"Falta fecha o fecha inválida",IF(D460="","Falta empresa",IF(AND(D460&lt;&gt;"Malcolm",D460&lt;&gt;"proMX"),"Empresa inválida",IF(OR(INT(B460)&lt;CFG_PSTART,INT(B460)&gt;CFG_PEND),"Fecha fuera del período",IF(OR(NOT(ISNUMBER(Z460)),NOT(ISNUMBER(AA460))),"Falta hora inicio/fin o formato inválido",IF(AB460=0,"Hora inicio = hora fin",IF(AE460&lt;0,"Descanso inválido",IF(AE460&gt;=AD460,"Descanso ≥ duración",IF(AV460=1,"Registro duplicado",IF(AZ460&gt;0,"Se superpone con otro registro "&amp;D460,IF(BB460=0,"inicio, fin y duración neta deben ser múltiplos de "&amp;CFG_BLK&amp;" min",""))))))))))))</f>
        <v/>
      </c>
      <c r="BD460" s="80">
        <f>IF(AND(Y460=1,BC460=""),1,0)</f>
        <v>0</v>
      </c>
      <c r="BE460" s="80">
        <f>IF(AND(BD460=1,AU460=1),1,0)</f>
        <v>0</v>
      </c>
      <c r="BF460" s="80" t="str">
        <f>IF(AND(D460="proMX",BD460=1),IF(R460="","Draft",R460),"")</f>
        <v/>
      </c>
      <c r="BG460" s="80">
        <f>IF(BD460=1,ROUND(AG460/60,6),0)</f>
        <v>0</v>
      </c>
      <c r="BH460" s="80">
        <f>IF(BE460=1,ROUND(AG460/60,6),0)</f>
        <v>0</v>
      </c>
      <c r="BI460" s="80">
        <f>IF(BE460=1,ROUND(AP460/60,6),0)</f>
        <v>0</v>
      </c>
      <c r="BJ460" s="80">
        <f>IF(BE460=1,ROUND(AQ460/60,6),0)</f>
        <v>0</v>
      </c>
      <c r="BK460" s="80">
        <f>IF(BE460=1,ROUND((AR460+AS460)/60,6),0)</f>
        <v>0</v>
      </c>
      <c r="BL460" s="80">
        <f>ROUND(BH460-BK460,6)</f>
        <v>0</v>
      </c>
      <c r="BM460" s="80">
        <f>IF(BE460=1,ROUND(AR460/60,6),0)</f>
        <v>0</v>
      </c>
      <c r="BN460" s="80">
        <f>ROUND(BI460-BM460,6)</f>
        <v>0</v>
      </c>
      <c r="BO460" s="80">
        <f>IF(BE460=1,ROUND(AS460/60,6),0)</f>
        <v>0</v>
      </c>
      <c r="BP460" s="80">
        <f>ROUND(BJ460-BO460,6)</f>
        <v>0</v>
      </c>
      <c r="BQ460" s="80">
        <f>IF(BE460=1,AW460,0)</f>
        <v>0</v>
      </c>
      <c r="BR460" s="80">
        <f>IF(BE460=1,AX460,0)</f>
        <v>0</v>
      </c>
      <c r="BS460" s="80">
        <f>IF(AND(BE460=1,D460="Malcolm",BA460&gt;0),MIN(BH460,SUMPRODUCT((R_Emp="proMX")*(R_EN&gt;0)*((R_EN-(R_EN&gt;BR460)*(R_EN-BR460))&gt;(R_SN+(R_SN&lt;BQ460)*(BQ460-R_SN)))*((R_EN-(R_EN&gt;BR460)*(R_EN-BR460))-(R_SN+(R_SN&lt;BQ460)*(BQ460-R_SN))))/60),0)</f>
        <v>0</v>
      </c>
      <c r="BT460" s="80">
        <f>IF(AND(BE460=1,D460="proMX"),ROUND(BI460*CFG_RATE+BJ460*CFG_OTRATE,6),0)</f>
        <v>0</v>
      </c>
      <c r="BU460" s="80">
        <f>IF(AND(BD460=1,D460="proMX"),ROUND(AG460/CFG_BLK,6),0)</f>
        <v>0</v>
      </c>
      <c r="BV460" s="80" t="str">
        <f>IF(BF460="Approved",IF(ISNUMBER(T460),INT(T460),INT(B460)),"")</f>
        <v/>
      </c>
      <c r="BW460" s="80">
        <f>IF(ISNUMBER(B460),IF(DB_MON="Todos",1,IF(AND(INT(B460)&gt;=DB_MS,INT(B460)&lt;=DB_ME),1,0)),0)</f>
        <v>0</v>
      </c>
      <c r="BX460" s="80">
        <f>IF(DB_PROJ="Todos",1,IF(E460&amp;""=DB_PROJ&amp;"",1,0))</f>
        <v>1</v>
      </c>
      <c r="BY460" s="80">
        <f>BW460*BX460</f>
        <v>0</v>
      </c>
      <c r="BZ460" s="80" t="str">
        <f>IF(Y460=1,F460&amp;IF(AND(F460&amp;""&lt;&gt;"",E460&amp;""&lt;&gt;"")," · ","")&amp;E460,"")</f>
        <v/>
      </c>
      <c r="CA460" s="80" t="str">
        <f>IF(AND(BD460=1,E460&amp;""&lt;&gt;""),IF(COUNTIFS($E$5:E459,E460,$BD$5:BD459,1)=0,MAX($CA$5:CA459)+1,""),"")</f>
        <v/>
      </c>
      <c r="CB460" s="80" t="str">
        <f>IF(AND(BE460=1,D460="Malcolm",E460&amp;""&lt;&gt;""),IF(COUNTIFS($D$5:D459,"Malcolm",$E$5:E459,E460,$BE$5:BE459,1)=0,MAX($CB$5:CB459)+1,""),"")</f>
        <v/>
      </c>
      <c r="CC460" s="80" t="str">
        <f>IF(AND(BD460=1,D460="proMX",E460&amp;""&lt;&gt;""),IF(COUNTIFS($D$5:D459,"proMX",$E$5:E459,E460,$BD$5:BD459,1)=0,MAX($CC$5:CC459)+1,""),"")</f>
        <v/>
      </c>
      <c r="CD460" s="80" t="str">
        <f>IF(AND(BE460=1,D460="Malcolm",F460&amp;""&lt;&gt;""),IF(COUNTIFS($D$5:D459,"Malcolm",$F$5:F459,F460,$BE$5:BE459,1)=0,MAX($CD$5:CD459)+1,""),"")</f>
        <v/>
      </c>
      <c r="CE460" s="80" t="str">
        <f>IF(AND(BD460=1,D460="proMX",F460&amp;""&lt;&gt;""),IF(COUNTIFS($D$5:D459,"proMX",$F$5:F459,F460,$BD$5:BD459,1)=0,MAX($CE$5:CE459)+1,""),"")</f>
        <v/>
      </c>
      <c r="CF460" s="80" t="str">
        <f>IF(AND(D460="proMX",BD460=1),IF(OR(BF460="Draft",BF460="Submitted",BF460="Returned",BF460="Recall Requested"),MAX($CF$5:CF459)+1,""),"")</f>
        <v/>
      </c>
      <c r="CG460" s="80">
        <f>IF(BD460=0,0,IF(D460="Malcolm",1,MATCH(BF460,{"Draft","Submitted","Approved","Returned","Recall Requested","Cancelled"},0)+1))</f>
        <v>0</v>
      </c>
      <c r="CH460" s="80">
        <f>IF(AND(BF460="Submitted",ISNUMBER(V460)),IF(V460&gt;CFG_MAXD,1,0),0)</f>
        <v>0</v>
      </c>
    </row>
    <row r="461">
      <c r="A461" s="71" t="str">
        <f>IF(Y461=1,ROW()-5,"")</f>
        <v/>
      </c>
      <c r="B461" s="72" t="n"/>
      <c r="C461" s="71" t="str">
        <f>IF(ISNUMBER(B461),CHOOSE(WEEKDAY(B461,2),"Lun","Mar","Mié","Jue","Vie","Sáb","Dom"),"")</f>
        <v/>
      </c>
      <c r="D461" s="73" t="n"/>
      <c r="E461" s="74" t="n"/>
      <c r="F461" s="74" t="n"/>
      <c r="G461" s="74" t="n"/>
      <c r="H461" s="75" t="n"/>
      <c r="I461" s="75" t="n"/>
      <c r="J461" s="76" t="n"/>
      <c r="K461" s="77" t="str">
        <f>IF(AB461=1,ROUND(AG461/60,4),"")</f>
        <v/>
      </c>
      <c r="L461" s="77" t="str">
        <f>IF(BD461=1,ROUND(AP461/60,4),"")</f>
        <v/>
      </c>
      <c r="M461" s="77" t="str">
        <f>IF(BD461=1,ROUND(AQ461/60,4),"")</f>
        <v/>
      </c>
      <c r="N461" s="71" t="str">
        <f>IF(AND(D461="proMX",AB461=1),ROUND(AG461/CFG_BLK,2),"")</f>
        <v/>
      </c>
      <c r="O461" s="77" t="str">
        <f>IF(D461="proMX",IF(BD461=1,ROUND(AG461/60,4),0),"")</f>
        <v/>
      </c>
      <c r="P461" s="78" t="str">
        <f>IF(Y461=0,"",IF(BD461=1,"OK",IF(D461="proMX","Revisar bloques: ","Revisar: ")&amp;BC461))</f>
        <v/>
      </c>
      <c r="Q461" s="78" t="str">
        <f>IF(NOT(ISNUMBER(B461)),"",IF(COUNTIFS(FER_F,INT(B461))&gt;0,"Feriado"&amp;IF(AH461=1," (laborable)"," (no laborable)"),IF(AH461=1,"Laborable",IF(WEEKDAY(B461,2)&gt;5,"Fin de semana","No laborable"))))</f>
        <v/>
      </c>
      <c r="R461" s="73" t="n"/>
      <c r="S461" s="72" t="n"/>
      <c r="T461" s="72" t="n"/>
      <c r="U461" s="74" t="n"/>
      <c r="V461" s="79" t="str">
        <f>IF(AND(D461="proMX",OR(R461="Submitted",R461="Recall Requested"),ISNUMBER(S461)),CFG_TODAY-INT(S461),"")</f>
        <v/>
      </c>
      <c r="W461" s="78" t="str">
        <f>IF(BD461=0,"",IF(BA461&gt;0,"⚠ Se superpone con un registro de la otra empresa",IF(D461="Malcolm",IF(COUNTA(R461,S461,T461)&gt;0,"Estado/fechas proMX se ignoran en Malcolm",""),IF(BF461="Cancelled","Cancelado: excluido de totales",IF(R461="","Sin estado: se trata como Draft",IF(BF461="Submitted",IF(ISNUMBER(V461),IF(V461&gt;CFG_MAXD,"⚠ "&amp;V461&amp;" días en Submitted (máx. "&amp;CFG_MAXD&amp;")",""),"Falta fecha de envío"),IF(BF461="Returned","⚠ Devuelto: corregir y reenviar",IF(BF461="Recall Requested","Retirada solicitada: pendiente",IF(AND(BF461="Approved",NOT(ISNUMBER(T461))),"Falta fecha de aprobación",IF(AND(ISNUMBER(S461),ISNUMBER(T461),T461&lt;S461),"Aprobación anterior al envío","")))))))))</f>
        <v/>
      </c>
      <c r="Y461" s="80">
        <f>IF(COUNTA(B461,D461,E461,F461,G461,H461,I461,J461,R461,S461,T461)&gt;0,1,0)</f>
        <v>0</v>
      </c>
      <c r="Z461" s="80" t="str">
        <f>IF(AND(ISNUMBER(H461),H461&gt;=0,H461&lt;1),ROUND(H461*1440,0),"")</f>
        <v/>
      </c>
      <c r="AA461" s="80" t="str">
        <f>IF(AND(ISNUMBER(I461),I461&gt;=0,I461&lt;1),ROUND(I461*1440,0),"")</f>
        <v/>
      </c>
      <c r="AB461" s="80">
        <f>IF(AND(ISNUMBER(B461),D461&lt;&gt;"",ISNUMBER(Z461),ISNUMBER(AA461)),IF(Z461=AA461,0,1),0)</f>
        <v>0</v>
      </c>
      <c r="AC461" s="80">
        <f>IF(AB461=1,IF(AA461&lt;Z461,1,0),0)</f>
        <v>0</v>
      </c>
      <c r="AD461" s="80">
        <f>IF(AB461=1,IF(AC461=1,1440-Z461+AA461,AA461-Z461),0)</f>
        <v>0</v>
      </c>
      <c r="AE461" s="80">
        <f>IF(J461="",0,IF(ISNUMBER(J461),J461,-1))</f>
        <v>0</v>
      </c>
      <c r="AF461" s="80">
        <f>MIN(MAX(0,AE461),AD461)</f>
        <v>0</v>
      </c>
      <c r="AG461" s="80">
        <f>MAX(0,AD461-MAX(0,AE461))</f>
        <v>0</v>
      </c>
      <c r="AH461" s="80">
        <f>IF(ISNUMBER(B461),IF(AND(INDEX(CFG_WDAYS,WEEKDAY(INT(B461),2))="Sí",IF(D461="proMX",COUNTIFS(FER_F,INT(B461),FER_NLP,"Sí"),COUNTIFS(FER_F,INT(B461),FER_NLM,"Sí"))=0),1,0),0)</f>
        <v>0</v>
      </c>
      <c r="AI461" s="80">
        <f>IF(AC461=1,IF(AND(INDEX(CFG_WDAYS,WEEKDAY(INT(B461)+1,2))="Sí",IF(D461="proMX",COUNTIFS(FER_F,INT(B461)+1,FER_NLP,"Sí"),COUNTIFS(FER_F,INT(B461)+1,FER_NLM,"Sí"))=0),1,0),0)</f>
        <v>0</v>
      </c>
      <c r="AJ461" s="80">
        <f>IF(AC461=1,1440-Z461,AD461)</f>
        <v>0</v>
      </c>
      <c r="AK461" s="80">
        <f>IF(AND(AB461=1,AH461=1),MAX(0,MIN(IF(AC461=1,1440,AA461),CFG_WEM)-MAX(Z461,CFG_WSM)),0)</f>
        <v>0</v>
      </c>
      <c r="AL461" s="80">
        <f>IF(AND(AC461=1,AI461=1),MAX(0,MIN(AA461,CFG_WEM)-CFG_WSM),0)</f>
        <v>0</v>
      </c>
      <c r="AM461" s="80">
        <f>AK461+AL461</f>
        <v>0</v>
      </c>
      <c r="AN461" s="80">
        <f>IF(CFG_BRK="Proporcional",IF(AD461=0,0,AF461*AM461/AD461),IF(CFG_BRK="Extras primero",MIN(AM461,MAX(0,AF461-(AD461-AM461))),MIN(AF461,AM461)))</f>
        <v>0</v>
      </c>
      <c r="AO461" s="80">
        <f>AF461-AN461</f>
        <v>0</v>
      </c>
      <c r="AP461" s="80">
        <f>AM461-AN461</f>
        <v>0</v>
      </c>
      <c r="AQ461" s="80">
        <f>AD461-AM461-AO461</f>
        <v>0</v>
      </c>
      <c r="AR461" s="80">
        <f>IF(AM461=0,0,AK461-AN461*AK461/AM461)</f>
        <v>0</v>
      </c>
      <c r="AS461" s="80">
        <f>IF(AD461-AM461=0,0,(AJ461-AK461)-AO461*(AJ461-AK461)/(AD461-AM461))</f>
        <v>0</v>
      </c>
      <c r="AT461" s="80" t="str">
        <f>IF(AC461=1,INT(B461)+1,"")</f>
        <v/>
      </c>
      <c r="AU461" s="80">
        <f>IF(AND(D461="proMX",R461="Cancelled"),0,1)</f>
        <v>1</v>
      </c>
      <c r="AV461" s="80">
        <f>IF(AND(AB461=1,AU461=1),IF(COUNTIFS($D$5:D460,D461,$B$5:B460,B461,$Z$5:Z460,Z461,$AA$5:AA460,AA461,$F$5:F460,F461&amp;"",$AU$5:AU460,1)&gt;0,1,0),0)</f>
        <v>0</v>
      </c>
      <c r="AW461" s="80" t="str">
        <f>IF(AB461=1,INT(B461)*1440+Z461,"")</f>
        <v/>
      </c>
      <c r="AX461" s="80" t="str">
        <f>IF(AB461=1,AW461+AD461,"")</f>
        <v/>
      </c>
      <c r="AY461" s="80">
        <f>IF(AND(AB461=1,AV461=0,AU461=1),1,0)</f>
        <v>0</v>
      </c>
      <c r="AZ461" s="80">
        <f>IF(AY461=1,COUNTIFS(R_Emp,D461,R_SAbs,"&lt;"&amp;AX461,R_EAbs,"&gt;"&amp;AW461,R_OKey,1)-1,0)</f>
        <v>0</v>
      </c>
      <c r="BA461" s="80">
        <f>IF(AY461=1,COUNTIFS(R_Emp,"&lt;&gt;"&amp;D461,R_SAbs,"&lt;"&amp;AX461,R_EAbs,"&gt;"&amp;AW461,R_OKey,1),0)</f>
        <v>0</v>
      </c>
      <c r="BB461" s="80">
        <f>IF(AND(AB461=1,D461="proMX"),IF(AND(MOD(Z461,CFG_BLK)=0,MOD(AA461,CFG_BLK)=0,MOD(AG461,CFG_BLK)=0,AG461&gt;0),1,0),1)</f>
        <v>1</v>
      </c>
      <c r="BC461" s="80" t="str">
        <f>IF(Y461=0,"",IF(NOT(ISNUMBER(B461)),"Falta fecha o fecha inválida",IF(D461="","Falta empresa",IF(AND(D461&lt;&gt;"Malcolm",D461&lt;&gt;"proMX"),"Empresa inválida",IF(OR(INT(B461)&lt;CFG_PSTART,INT(B461)&gt;CFG_PEND),"Fecha fuera del período",IF(OR(NOT(ISNUMBER(Z461)),NOT(ISNUMBER(AA461))),"Falta hora inicio/fin o formato inválido",IF(AB461=0,"Hora inicio = hora fin",IF(AE461&lt;0,"Descanso inválido",IF(AE461&gt;=AD461,"Descanso ≥ duración",IF(AV461=1,"Registro duplicado",IF(AZ461&gt;0,"Se superpone con otro registro "&amp;D461,IF(BB461=0,"inicio, fin y duración neta deben ser múltiplos de "&amp;CFG_BLK&amp;" min",""))))))))))))</f>
        <v/>
      </c>
      <c r="BD461" s="80">
        <f>IF(AND(Y461=1,BC461=""),1,0)</f>
        <v>0</v>
      </c>
      <c r="BE461" s="80">
        <f>IF(AND(BD461=1,AU461=1),1,0)</f>
        <v>0</v>
      </c>
      <c r="BF461" s="80" t="str">
        <f>IF(AND(D461="proMX",BD461=1),IF(R461="","Draft",R461),"")</f>
        <v/>
      </c>
      <c r="BG461" s="80">
        <f>IF(BD461=1,ROUND(AG461/60,6),0)</f>
        <v>0</v>
      </c>
      <c r="BH461" s="80">
        <f>IF(BE461=1,ROUND(AG461/60,6),0)</f>
        <v>0</v>
      </c>
      <c r="BI461" s="80">
        <f>IF(BE461=1,ROUND(AP461/60,6),0)</f>
        <v>0</v>
      </c>
      <c r="BJ461" s="80">
        <f>IF(BE461=1,ROUND(AQ461/60,6),0)</f>
        <v>0</v>
      </c>
      <c r="BK461" s="80">
        <f>IF(BE461=1,ROUND((AR461+AS461)/60,6),0)</f>
        <v>0</v>
      </c>
      <c r="BL461" s="80">
        <f>ROUND(BH461-BK461,6)</f>
        <v>0</v>
      </c>
      <c r="BM461" s="80">
        <f>IF(BE461=1,ROUND(AR461/60,6),0)</f>
        <v>0</v>
      </c>
      <c r="BN461" s="80">
        <f>ROUND(BI461-BM461,6)</f>
        <v>0</v>
      </c>
      <c r="BO461" s="80">
        <f>IF(BE461=1,ROUND(AS461/60,6),0)</f>
        <v>0</v>
      </c>
      <c r="BP461" s="80">
        <f>ROUND(BJ461-BO461,6)</f>
        <v>0</v>
      </c>
      <c r="BQ461" s="80">
        <f>IF(BE461=1,AW461,0)</f>
        <v>0</v>
      </c>
      <c r="BR461" s="80">
        <f>IF(BE461=1,AX461,0)</f>
        <v>0</v>
      </c>
      <c r="BS461" s="80">
        <f>IF(AND(BE461=1,D461="Malcolm",BA461&gt;0),MIN(BH461,SUMPRODUCT((R_Emp="proMX")*(R_EN&gt;0)*((R_EN-(R_EN&gt;BR461)*(R_EN-BR461))&gt;(R_SN+(R_SN&lt;BQ461)*(BQ461-R_SN)))*((R_EN-(R_EN&gt;BR461)*(R_EN-BR461))-(R_SN+(R_SN&lt;BQ461)*(BQ461-R_SN))))/60),0)</f>
        <v>0</v>
      </c>
      <c r="BT461" s="80">
        <f>IF(AND(BE461=1,D461="proMX"),ROUND(BI461*CFG_RATE+BJ461*CFG_OTRATE,6),0)</f>
        <v>0</v>
      </c>
      <c r="BU461" s="80">
        <f>IF(AND(BD461=1,D461="proMX"),ROUND(AG461/CFG_BLK,6),0)</f>
        <v>0</v>
      </c>
      <c r="BV461" s="80" t="str">
        <f>IF(BF461="Approved",IF(ISNUMBER(T461),INT(T461),INT(B461)),"")</f>
        <v/>
      </c>
      <c r="BW461" s="80">
        <f>IF(ISNUMBER(B461),IF(DB_MON="Todos",1,IF(AND(INT(B461)&gt;=DB_MS,INT(B461)&lt;=DB_ME),1,0)),0)</f>
        <v>0</v>
      </c>
      <c r="BX461" s="80">
        <f>IF(DB_PROJ="Todos",1,IF(E461&amp;""=DB_PROJ&amp;"",1,0))</f>
        <v>1</v>
      </c>
      <c r="BY461" s="80">
        <f>BW461*BX461</f>
        <v>0</v>
      </c>
      <c r="BZ461" s="80" t="str">
        <f>IF(Y461=1,F461&amp;IF(AND(F461&amp;""&lt;&gt;"",E461&amp;""&lt;&gt;"")," · ","")&amp;E461,"")</f>
        <v/>
      </c>
      <c r="CA461" s="80" t="str">
        <f>IF(AND(BD461=1,E461&amp;""&lt;&gt;""),IF(COUNTIFS($E$5:E460,E461,$BD$5:BD460,1)=0,MAX($CA$5:CA460)+1,""),"")</f>
        <v/>
      </c>
      <c r="CB461" s="80" t="str">
        <f>IF(AND(BE461=1,D461="Malcolm",E461&amp;""&lt;&gt;""),IF(COUNTIFS($D$5:D460,"Malcolm",$E$5:E460,E461,$BE$5:BE460,1)=0,MAX($CB$5:CB460)+1,""),"")</f>
        <v/>
      </c>
      <c r="CC461" s="80" t="str">
        <f>IF(AND(BD461=1,D461="proMX",E461&amp;""&lt;&gt;""),IF(COUNTIFS($D$5:D460,"proMX",$E$5:E460,E461,$BD$5:BD460,1)=0,MAX($CC$5:CC460)+1,""),"")</f>
        <v/>
      </c>
      <c r="CD461" s="80" t="str">
        <f>IF(AND(BE461=1,D461="Malcolm",F461&amp;""&lt;&gt;""),IF(COUNTIFS($D$5:D460,"Malcolm",$F$5:F460,F461,$BE$5:BE460,1)=0,MAX($CD$5:CD460)+1,""),"")</f>
        <v/>
      </c>
      <c r="CE461" s="80" t="str">
        <f>IF(AND(BD461=1,D461="proMX",F461&amp;""&lt;&gt;""),IF(COUNTIFS($D$5:D460,"proMX",$F$5:F460,F461,$BD$5:BD460,1)=0,MAX($CE$5:CE460)+1,""),"")</f>
        <v/>
      </c>
      <c r="CF461" s="80" t="str">
        <f>IF(AND(D461="proMX",BD461=1),IF(OR(BF461="Draft",BF461="Submitted",BF461="Returned",BF461="Recall Requested"),MAX($CF$5:CF460)+1,""),"")</f>
        <v/>
      </c>
      <c r="CG461" s="80">
        <f>IF(BD461=0,0,IF(D461="Malcolm",1,MATCH(BF461,{"Draft","Submitted","Approved","Returned","Recall Requested","Cancelled"},0)+1))</f>
        <v>0</v>
      </c>
      <c r="CH461" s="80">
        <f>IF(AND(BF461="Submitted",ISNUMBER(V461)),IF(V461&gt;CFG_MAXD,1,0),0)</f>
        <v>0</v>
      </c>
    </row>
    <row r="462">
      <c r="A462" s="71" t="str">
        <f>IF(Y462=1,ROW()-5,"")</f>
        <v/>
      </c>
      <c r="B462" s="72" t="n"/>
      <c r="C462" s="71" t="str">
        <f>IF(ISNUMBER(B462),CHOOSE(WEEKDAY(B462,2),"Lun","Mar","Mié","Jue","Vie","Sáb","Dom"),"")</f>
        <v/>
      </c>
      <c r="D462" s="73" t="n"/>
      <c r="E462" s="74" t="n"/>
      <c r="F462" s="74" t="n"/>
      <c r="G462" s="74" t="n"/>
      <c r="H462" s="75" t="n"/>
      <c r="I462" s="75" t="n"/>
      <c r="J462" s="76" t="n"/>
      <c r="K462" s="77" t="str">
        <f>IF(AB462=1,ROUND(AG462/60,4),"")</f>
        <v/>
      </c>
      <c r="L462" s="77" t="str">
        <f>IF(BD462=1,ROUND(AP462/60,4),"")</f>
        <v/>
      </c>
      <c r="M462" s="77" t="str">
        <f>IF(BD462=1,ROUND(AQ462/60,4),"")</f>
        <v/>
      </c>
      <c r="N462" s="71" t="str">
        <f>IF(AND(D462="proMX",AB462=1),ROUND(AG462/CFG_BLK,2),"")</f>
        <v/>
      </c>
      <c r="O462" s="77" t="str">
        <f>IF(D462="proMX",IF(BD462=1,ROUND(AG462/60,4),0),"")</f>
        <v/>
      </c>
      <c r="P462" s="78" t="str">
        <f>IF(Y462=0,"",IF(BD462=1,"OK",IF(D462="proMX","Revisar bloques: ","Revisar: ")&amp;BC462))</f>
        <v/>
      </c>
      <c r="Q462" s="78" t="str">
        <f>IF(NOT(ISNUMBER(B462)),"",IF(COUNTIFS(FER_F,INT(B462))&gt;0,"Feriado"&amp;IF(AH462=1," (laborable)"," (no laborable)"),IF(AH462=1,"Laborable",IF(WEEKDAY(B462,2)&gt;5,"Fin de semana","No laborable"))))</f>
        <v/>
      </c>
      <c r="R462" s="73" t="n"/>
      <c r="S462" s="72" t="n"/>
      <c r="T462" s="72" t="n"/>
      <c r="U462" s="74" t="n"/>
      <c r="V462" s="79" t="str">
        <f>IF(AND(D462="proMX",OR(R462="Submitted",R462="Recall Requested"),ISNUMBER(S462)),CFG_TODAY-INT(S462),"")</f>
        <v/>
      </c>
      <c r="W462" s="78" t="str">
        <f>IF(BD462=0,"",IF(BA462&gt;0,"⚠ Se superpone con un registro de la otra empresa",IF(D462="Malcolm",IF(COUNTA(R462,S462,T462)&gt;0,"Estado/fechas proMX se ignoran en Malcolm",""),IF(BF462="Cancelled","Cancelado: excluido de totales",IF(R462="","Sin estado: se trata como Draft",IF(BF462="Submitted",IF(ISNUMBER(V462),IF(V462&gt;CFG_MAXD,"⚠ "&amp;V462&amp;" días en Submitted (máx. "&amp;CFG_MAXD&amp;")",""),"Falta fecha de envío"),IF(BF462="Returned","⚠ Devuelto: corregir y reenviar",IF(BF462="Recall Requested","Retirada solicitada: pendiente",IF(AND(BF462="Approved",NOT(ISNUMBER(T462))),"Falta fecha de aprobación",IF(AND(ISNUMBER(S462),ISNUMBER(T462),T462&lt;S462),"Aprobación anterior al envío","")))))))))</f>
        <v/>
      </c>
      <c r="Y462" s="80">
        <f>IF(COUNTA(B462,D462,E462,F462,G462,H462,I462,J462,R462,S462,T462)&gt;0,1,0)</f>
        <v>0</v>
      </c>
      <c r="Z462" s="80" t="str">
        <f>IF(AND(ISNUMBER(H462),H462&gt;=0,H462&lt;1),ROUND(H462*1440,0),"")</f>
        <v/>
      </c>
      <c r="AA462" s="80" t="str">
        <f>IF(AND(ISNUMBER(I462),I462&gt;=0,I462&lt;1),ROUND(I462*1440,0),"")</f>
        <v/>
      </c>
      <c r="AB462" s="80">
        <f>IF(AND(ISNUMBER(B462),D462&lt;&gt;"",ISNUMBER(Z462),ISNUMBER(AA462)),IF(Z462=AA462,0,1),0)</f>
        <v>0</v>
      </c>
      <c r="AC462" s="80">
        <f>IF(AB462=1,IF(AA462&lt;Z462,1,0),0)</f>
        <v>0</v>
      </c>
      <c r="AD462" s="80">
        <f>IF(AB462=1,IF(AC462=1,1440-Z462+AA462,AA462-Z462),0)</f>
        <v>0</v>
      </c>
      <c r="AE462" s="80">
        <f>IF(J462="",0,IF(ISNUMBER(J462),J462,-1))</f>
        <v>0</v>
      </c>
      <c r="AF462" s="80">
        <f>MIN(MAX(0,AE462),AD462)</f>
        <v>0</v>
      </c>
      <c r="AG462" s="80">
        <f>MAX(0,AD462-MAX(0,AE462))</f>
        <v>0</v>
      </c>
      <c r="AH462" s="80">
        <f>IF(ISNUMBER(B462),IF(AND(INDEX(CFG_WDAYS,WEEKDAY(INT(B462),2))="Sí",IF(D462="proMX",COUNTIFS(FER_F,INT(B462),FER_NLP,"Sí"),COUNTIFS(FER_F,INT(B462),FER_NLM,"Sí"))=0),1,0),0)</f>
        <v>0</v>
      </c>
      <c r="AI462" s="80">
        <f>IF(AC462=1,IF(AND(INDEX(CFG_WDAYS,WEEKDAY(INT(B462)+1,2))="Sí",IF(D462="proMX",COUNTIFS(FER_F,INT(B462)+1,FER_NLP,"Sí"),COUNTIFS(FER_F,INT(B462)+1,FER_NLM,"Sí"))=0),1,0),0)</f>
        <v>0</v>
      </c>
      <c r="AJ462" s="80">
        <f>IF(AC462=1,1440-Z462,AD462)</f>
        <v>0</v>
      </c>
      <c r="AK462" s="80">
        <f>IF(AND(AB462=1,AH462=1),MAX(0,MIN(IF(AC462=1,1440,AA462),CFG_WEM)-MAX(Z462,CFG_WSM)),0)</f>
        <v>0</v>
      </c>
      <c r="AL462" s="80">
        <f>IF(AND(AC462=1,AI462=1),MAX(0,MIN(AA462,CFG_WEM)-CFG_WSM),0)</f>
        <v>0</v>
      </c>
      <c r="AM462" s="80">
        <f>AK462+AL462</f>
        <v>0</v>
      </c>
      <c r="AN462" s="80">
        <f>IF(CFG_BRK="Proporcional",IF(AD462=0,0,AF462*AM462/AD462),IF(CFG_BRK="Extras primero",MIN(AM462,MAX(0,AF462-(AD462-AM462))),MIN(AF462,AM462)))</f>
        <v>0</v>
      </c>
      <c r="AO462" s="80">
        <f>AF462-AN462</f>
        <v>0</v>
      </c>
      <c r="AP462" s="80">
        <f>AM462-AN462</f>
        <v>0</v>
      </c>
      <c r="AQ462" s="80">
        <f>AD462-AM462-AO462</f>
        <v>0</v>
      </c>
      <c r="AR462" s="80">
        <f>IF(AM462=0,0,AK462-AN462*AK462/AM462)</f>
        <v>0</v>
      </c>
      <c r="AS462" s="80">
        <f>IF(AD462-AM462=0,0,(AJ462-AK462)-AO462*(AJ462-AK462)/(AD462-AM462))</f>
        <v>0</v>
      </c>
      <c r="AT462" s="80" t="str">
        <f>IF(AC462=1,INT(B462)+1,"")</f>
        <v/>
      </c>
      <c r="AU462" s="80">
        <f>IF(AND(D462="proMX",R462="Cancelled"),0,1)</f>
        <v>1</v>
      </c>
      <c r="AV462" s="80">
        <f>IF(AND(AB462=1,AU462=1),IF(COUNTIFS($D$5:D461,D462,$B$5:B461,B462,$Z$5:Z461,Z462,$AA$5:AA461,AA462,$F$5:F461,F462&amp;"",$AU$5:AU461,1)&gt;0,1,0),0)</f>
        <v>0</v>
      </c>
      <c r="AW462" s="80" t="str">
        <f>IF(AB462=1,INT(B462)*1440+Z462,"")</f>
        <v/>
      </c>
      <c r="AX462" s="80" t="str">
        <f>IF(AB462=1,AW462+AD462,"")</f>
        <v/>
      </c>
      <c r="AY462" s="80">
        <f>IF(AND(AB462=1,AV462=0,AU462=1),1,0)</f>
        <v>0</v>
      </c>
      <c r="AZ462" s="80">
        <f>IF(AY462=1,COUNTIFS(R_Emp,D462,R_SAbs,"&lt;"&amp;AX462,R_EAbs,"&gt;"&amp;AW462,R_OKey,1)-1,0)</f>
        <v>0</v>
      </c>
      <c r="BA462" s="80">
        <f>IF(AY462=1,COUNTIFS(R_Emp,"&lt;&gt;"&amp;D462,R_SAbs,"&lt;"&amp;AX462,R_EAbs,"&gt;"&amp;AW462,R_OKey,1),0)</f>
        <v>0</v>
      </c>
      <c r="BB462" s="80">
        <f>IF(AND(AB462=1,D462="proMX"),IF(AND(MOD(Z462,CFG_BLK)=0,MOD(AA462,CFG_BLK)=0,MOD(AG462,CFG_BLK)=0,AG462&gt;0),1,0),1)</f>
        <v>1</v>
      </c>
      <c r="BC462" s="80" t="str">
        <f>IF(Y462=0,"",IF(NOT(ISNUMBER(B462)),"Falta fecha o fecha inválida",IF(D462="","Falta empresa",IF(AND(D462&lt;&gt;"Malcolm",D462&lt;&gt;"proMX"),"Empresa inválida",IF(OR(INT(B462)&lt;CFG_PSTART,INT(B462)&gt;CFG_PEND),"Fecha fuera del período",IF(OR(NOT(ISNUMBER(Z462)),NOT(ISNUMBER(AA462))),"Falta hora inicio/fin o formato inválido",IF(AB462=0,"Hora inicio = hora fin",IF(AE462&lt;0,"Descanso inválido",IF(AE462&gt;=AD462,"Descanso ≥ duración",IF(AV462=1,"Registro duplicado",IF(AZ462&gt;0,"Se superpone con otro registro "&amp;D462,IF(BB462=0,"inicio, fin y duración neta deben ser múltiplos de "&amp;CFG_BLK&amp;" min",""))))))))))))</f>
        <v/>
      </c>
      <c r="BD462" s="80">
        <f>IF(AND(Y462=1,BC462=""),1,0)</f>
        <v>0</v>
      </c>
      <c r="BE462" s="80">
        <f>IF(AND(BD462=1,AU462=1),1,0)</f>
        <v>0</v>
      </c>
      <c r="BF462" s="80" t="str">
        <f>IF(AND(D462="proMX",BD462=1),IF(R462="","Draft",R462),"")</f>
        <v/>
      </c>
      <c r="BG462" s="80">
        <f>IF(BD462=1,ROUND(AG462/60,6),0)</f>
        <v>0</v>
      </c>
      <c r="BH462" s="80">
        <f>IF(BE462=1,ROUND(AG462/60,6),0)</f>
        <v>0</v>
      </c>
      <c r="BI462" s="80">
        <f>IF(BE462=1,ROUND(AP462/60,6),0)</f>
        <v>0</v>
      </c>
      <c r="BJ462" s="80">
        <f>IF(BE462=1,ROUND(AQ462/60,6),0)</f>
        <v>0</v>
      </c>
      <c r="BK462" s="80">
        <f>IF(BE462=1,ROUND((AR462+AS462)/60,6),0)</f>
        <v>0</v>
      </c>
      <c r="BL462" s="80">
        <f>ROUND(BH462-BK462,6)</f>
        <v>0</v>
      </c>
      <c r="BM462" s="80">
        <f>IF(BE462=1,ROUND(AR462/60,6),0)</f>
        <v>0</v>
      </c>
      <c r="BN462" s="80">
        <f>ROUND(BI462-BM462,6)</f>
        <v>0</v>
      </c>
      <c r="BO462" s="80">
        <f>IF(BE462=1,ROUND(AS462/60,6),0)</f>
        <v>0</v>
      </c>
      <c r="BP462" s="80">
        <f>ROUND(BJ462-BO462,6)</f>
        <v>0</v>
      </c>
      <c r="BQ462" s="80">
        <f>IF(BE462=1,AW462,0)</f>
        <v>0</v>
      </c>
      <c r="BR462" s="80">
        <f>IF(BE462=1,AX462,0)</f>
        <v>0</v>
      </c>
      <c r="BS462" s="80">
        <f>IF(AND(BE462=1,D462="Malcolm",BA462&gt;0),MIN(BH462,SUMPRODUCT((R_Emp="proMX")*(R_EN&gt;0)*((R_EN-(R_EN&gt;BR462)*(R_EN-BR462))&gt;(R_SN+(R_SN&lt;BQ462)*(BQ462-R_SN)))*((R_EN-(R_EN&gt;BR462)*(R_EN-BR462))-(R_SN+(R_SN&lt;BQ462)*(BQ462-R_SN))))/60),0)</f>
        <v>0</v>
      </c>
      <c r="BT462" s="80">
        <f>IF(AND(BE462=1,D462="proMX"),ROUND(BI462*CFG_RATE+BJ462*CFG_OTRATE,6),0)</f>
        <v>0</v>
      </c>
      <c r="BU462" s="80">
        <f>IF(AND(BD462=1,D462="proMX"),ROUND(AG462/CFG_BLK,6),0)</f>
        <v>0</v>
      </c>
      <c r="BV462" s="80" t="str">
        <f>IF(BF462="Approved",IF(ISNUMBER(T462),INT(T462),INT(B462)),"")</f>
        <v/>
      </c>
      <c r="BW462" s="80">
        <f>IF(ISNUMBER(B462),IF(DB_MON="Todos",1,IF(AND(INT(B462)&gt;=DB_MS,INT(B462)&lt;=DB_ME),1,0)),0)</f>
        <v>0</v>
      </c>
      <c r="BX462" s="80">
        <f>IF(DB_PROJ="Todos",1,IF(E462&amp;""=DB_PROJ&amp;"",1,0))</f>
        <v>1</v>
      </c>
      <c r="BY462" s="80">
        <f>BW462*BX462</f>
        <v>0</v>
      </c>
      <c r="BZ462" s="80" t="str">
        <f>IF(Y462=1,F462&amp;IF(AND(F462&amp;""&lt;&gt;"",E462&amp;""&lt;&gt;"")," · ","")&amp;E462,"")</f>
        <v/>
      </c>
      <c r="CA462" s="80" t="str">
        <f>IF(AND(BD462=1,E462&amp;""&lt;&gt;""),IF(COUNTIFS($E$5:E461,E462,$BD$5:BD461,1)=0,MAX($CA$5:CA461)+1,""),"")</f>
        <v/>
      </c>
      <c r="CB462" s="80" t="str">
        <f>IF(AND(BE462=1,D462="Malcolm",E462&amp;""&lt;&gt;""),IF(COUNTIFS($D$5:D461,"Malcolm",$E$5:E461,E462,$BE$5:BE461,1)=0,MAX($CB$5:CB461)+1,""),"")</f>
        <v/>
      </c>
      <c r="CC462" s="80" t="str">
        <f>IF(AND(BD462=1,D462="proMX",E462&amp;""&lt;&gt;""),IF(COUNTIFS($D$5:D461,"proMX",$E$5:E461,E462,$BD$5:BD461,1)=0,MAX($CC$5:CC461)+1,""),"")</f>
        <v/>
      </c>
      <c r="CD462" s="80" t="str">
        <f>IF(AND(BE462=1,D462="Malcolm",F462&amp;""&lt;&gt;""),IF(COUNTIFS($D$5:D461,"Malcolm",$F$5:F461,F462,$BE$5:BE461,1)=0,MAX($CD$5:CD461)+1,""),"")</f>
        <v/>
      </c>
      <c r="CE462" s="80" t="str">
        <f>IF(AND(BD462=1,D462="proMX",F462&amp;""&lt;&gt;""),IF(COUNTIFS($D$5:D461,"proMX",$F$5:F461,F462,$BD$5:BD461,1)=0,MAX($CE$5:CE461)+1,""),"")</f>
        <v/>
      </c>
      <c r="CF462" s="80" t="str">
        <f>IF(AND(D462="proMX",BD462=1),IF(OR(BF462="Draft",BF462="Submitted",BF462="Returned",BF462="Recall Requested"),MAX($CF$5:CF461)+1,""),"")</f>
        <v/>
      </c>
      <c r="CG462" s="80">
        <f>IF(BD462=0,0,IF(D462="Malcolm",1,MATCH(BF462,{"Draft","Submitted","Approved","Returned","Recall Requested","Cancelled"},0)+1))</f>
        <v>0</v>
      </c>
      <c r="CH462" s="80">
        <f>IF(AND(BF462="Submitted",ISNUMBER(V462)),IF(V462&gt;CFG_MAXD,1,0),0)</f>
        <v>0</v>
      </c>
    </row>
    <row r="463">
      <c r="A463" s="71" t="str">
        <f>IF(Y463=1,ROW()-5,"")</f>
        <v/>
      </c>
      <c r="B463" s="72" t="n"/>
      <c r="C463" s="71" t="str">
        <f>IF(ISNUMBER(B463),CHOOSE(WEEKDAY(B463,2),"Lun","Mar","Mié","Jue","Vie","Sáb","Dom"),"")</f>
        <v/>
      </c>
      <c r="D463" s="73" t="n"/>
      <c r="E463" s="74" t="n"/>
      <c r="F463" s="74" t="n"/>
      <c r="G463" s="74" t="n"/>
      <c r="H463" s="75" t="n"/>
      <c r="I463" s="75" t="n"/>
      <c r="J463" s="76" t="n"/>
      <c r="K463" s="77" t="str">
        <f>IF(AB463=1,ROUND(AG463/60,4),"")</f>
        <v/>
      </c>
      <c r="L463" s="77" t="str">
        <f>IF(BD463=1,ROUND(AP463/60,4),"")</f>
        <v/>
      </c>
      <c r="M463" s="77" t="str">
        <f>IF(BD463=1,ROUND(AQ463/60,4),"")</f>
        <v/>
      </c>
      <c r="N463" s="71" t="str">
        <f>IF(AND(D463="proMX",AB463=1),ROUND(AG463/CFG_BLK,2),"")</f>
        <v/>
      </c>
      <c r="O463" s="77" t="str">
        <f>IF(D463="proMX",IF(BD463=1,ROUND(AG463/60,4),0),"")</f>
        <v/>
      </c>
      <c r="P463" s="78" t="str">
        <f>IF(Y463=0,"",IF(BD463=1,"OK",IF(D463="proMX","Revisar bloques: ","Revisar: ")&amp;BC463))</f>
        <v/>
      </c>
      <c r="Q463" s="78" t="str">
        <f>IF(NOT(ISNUMBER(B463)),"",IF(COUNTIFS(FER_F,INT(B463))&gt;0,"Feriado"&amp;IF(AH463=1," (laborable)"," (no laborable)"),IF(AH463=1,"Laborable",IF(WEEKDAY(B463,2)&gt;5,"Fin de semana","No laborable"))))</f>
        <v/>
      </c>
      <c r="R463" s="73" t="n"/>
      <c r="S463" s="72" t="n"/>
      <c r="T463" s="72" t="n"/>
      <c r="U463" s="74" t="n"/>
      <c r="V463" s="79" t="str">
        <f>IF(AND(D463="proMX",OR(R463="Submitted",R463="Recall Requested"),ISNUMBER(S463)),CFG_TODAY-INT(S463),"")</f>
        <v/>
      </c>
      <c r="W463" s="78" t="str">
        <f>IF(BD463=0,"",IF(BA463&gt;0,"⚠ Se superpone con un registro de la otra empresa",IF(D463="Malcolm",IF(COUNTA(R463,S463,T463)&gt;0,"Estado/fechas proMX se ignoran en Malcolm",""),IF(BF463="Cancelled","Cancelado: excluido de totales",IF(R463="","Sin estado: se trata como Draft",IF(BF463="Submitted",IF(ISNUMBER(V463),IF(V463&gt;CFG_MAXD,"⚠ "&amp;V463&amp;" días en Submitted (máx. "&amp;CFG_MAXD&amp;")",""),"Falta fecha de envío"),IF(BF463="Returned","⚠ Devuelto: corregir y reenviar",IF(BF463="Recall Requested","Retirada solicitada: pendiente",IF(AND(BF463="Approved",NOT(ISNUMBER(T463))),"Falta fecha de aprobación",IF(AND(ISNUMBER(S463),ISNUMBER(T463),T463&lt;S463),"Aprobación anterior al envío","")))))))))</f>
        <v/>
      </c>
      <c r="Y463" s="80">
        <f>IF(COUNTA(B463,D463,E463,F463,G463,H463,I463,J463,R463,S463,T463)&gt;0,1,0)</f>
        <v>0</v>
      </c>
      <c r="Z463" s="80" t="str">
        <f>IF(AND(ISNUMBER(H463),H463&gt;=0,H463&lt;1),ROUND(H463*1440,0),"")</f>
        <v/>
      </c>
      <c r="AA463" s="80" t="str">
        <f>IF(AND(ISNUMBER(I463),I463&gt;=0,I463&lt;1),ROUND(I463*1440,0),"")</f>
        <v/>
      </c>
      <c r="AB463" s="80">
        <f>IF(AND(ISNUMBER(B463),D463&lt;&gt;"",ISNUMBER(Z463),ISNUMBER(AA463)),IF(Z463=AA463,0,1),0)</f>
        <v>0</v>
      </c>
      <c r="AC463" s="80">
        <f>IF(AB463=1,IF(AA463&lt;Z463,1,0),0)</f>
        <v>0</v>
      </c>
      <c r="AD463" s="80">
        <f>IF(AB463=1,IF(AC463=1,1440-Z463+AA463,AA463-Z463),0)</f>
        <v>0</v>
      </c>
      <c r="AE463" s="80">
        <f>IF(J463="",0,IF(ISNUMBER(J463),J463,-1))</f>
        <v>0</v>
      </c>
      <c r="AF463" s="80">
        <f>MIN(MAX(0,AE463),AD463)</f>
        <v>0</v>
      </c>
      <c r="AG463" s="80">
        <f>MAX(0,AD463-MAX(0,AE463))</f>
        <v>0</v>
      </c>
      <c r="AH463" s="80">
        <f>IF(ISNUMBER(B463),IF(AND(INDEX(CFG_WDAYS,WEEKDAY(INT(B463),2))="Sí",IF(D463="proMX",COUNTIFS(FER_F,INT(B463),FER_NLP,"Sí"),COUNTIFS(FER_F,INT(B463),FER_NLM,"Sí"))=0),1,0),0)</f>
        <v>0</v>
      </c>
      <c r="AI463" s="80">
        <f>IF(AC463=1,IF(AND(INDEX(CFG_WDAYS,WEEKDAY(INT(B463)+1,2))="Sí",IF(D463="proMX",COUNTIFS(FER_F,INT(B463)+1,FER_NLP,"Sí"),COUNTIFS(FER_F,INT(B463)+1,FER_NLM,"Sí"))=0),1,0),0)</f>
        <v>0</v>
      </c>
      <c r="AJ463" s="80">
        <f>IF(AC463=1,1440-Z463,AD463)</f>
        <v>0</v>
      </c>
      <c r="AK463" s="80">
        <f>IF(AND(AB463=1,AH463=1),MAX(0,MIN(IF(AC463=1,1440,AA463),CFG_WEM)-MAX(Z463,CFG_WSM)),0)</f>
        <v>0</v>
      </c>
      <c r="AL463" s="80">
        <f>IF(AND(AC463=1,AI463=1),MAX(0,MIN(AA463,CFG_WEM)-CFG_WSM),0)</f>
        <v>0</v>
      </c>
      <c r="AM463" s="80">
        <f>AK463+AL463</f>
        <v>0</v>
      </c>
      <c r="AN463" s="80">
        <f>IF(CFG_BRK="Proporcional",IF(AD463=0,0,AF463*AM463/AD463),IF(CFG_BRK="Extras primero",MIN(AM463,MAX(0,AF463-(AD463-AM463))),MIN(AF463,AM463)))</f>
        <v>0</v>
      </c>
      <c r="AO463" s="80">
        <f>AF463-AN463</f>
        <v>0</v>
      </c>
      <c r="AP463" s="80">
        <f>AM463-AN463</f>
        <v>0</v>
      </c>
      <c r="AQ463" s="80">
        <f>AD463-AM463-AO463</f>
        <v>0</v>
      </c>
      <c r="AR463" s="80">
        <f>IF(AM463=0,0,AK463-AN463*AK463/AM463)</f>
        <v>0</v>
      </c>
      <c r="AS463" s="80">
        <f>IF(AD463-AM463=0,0,(AJ463-AK463)-AO463*(AJ463-AK463)/(AD463-AM463))</f>
        <v>0</v>
      </c>
      <c r="AT463" s="80" t="str">
        <f>IF(AC463=1,INT(B463)+1,"")</f>
        <v/>
      </c>
      <c r="AU463" s="80">
        <f>IF(AND(D463="proMX",R463="Cancelled"),0,1)</f>
        <v>1</v>
      </c>
      <c r="AV463" s="80">
        <f>IF(AND(AB463=1,AU463=1),IF(COUNTIFS($D$5:D462,D463,$B$5:B462,B463,$Z$5:Z462,Z463,$AA$5:AA462,AA463,$F$5:F462,F463&amp;"",$AU$5:AU462,1)&gt;0,1,0),0)</f>
        <v>0</v>
      </c>
      <c r="AW463" s="80" t="str">
        <f>IF(AB463=1,INT(B463)*1440+Z463,"")</f>
        <v/>
      </c>
      <c r="AX463" s="80" t="str">
        <f>IF(AB463=1,AW463+AD463,"")</f>
        <v/>
      </c>
      <c r="AY463" s="80">
        <f>IF(AND(AB463=1,AV463=0,AU463=1),1,0)</f>
        <v>0</v>
      </c>
      <c r="AZ463" s="80">
        <f>IF(AY463=1,COUNTIFS(R_Emp,D463,R_SAbs,"&lt;"&amp;AX463,R_EAbs,"&gt;"&amp;AW463,R_OKey,1)-1,0)</f>
        <v>0</v>
      </c>
      <c r="BA463" s="80">
        <f>IF(AY463=1,COUNTIFS(R_Emp,"&lt;&gt;"&amp;D463,R_SAbs,"&lt;"&amp;AX463,R_EAbs,"&gt;"&amp;AW463,R_OKey,1),0)</f>
        <v>0</v>
      </c>
      <c r="BB463" s="80">
        <f>IF(AND(AB463=1,D463="proMX"),IF(AND(MOD(Z463,CFG_BLK)=0,MOD(AA463,CFG_BLK)=0,MOD(AG463,CFG_BLK)=0,AG463&gt;0),1,0),1)</f>
        <v>1</v>
      </c>
      <c r="BC463" s="80" t="str">
        <f>IF(Y463=0,"",IF(NOT(ISNUMBER(B463)),"Falta fecha o fecha inválida",IF(D463="","Falta empresa",IF(AND(D463&lt;&gt;"Malcolm",D463&lt;&gt;"proMX"),"Empresa inválida",IF(OR(INT(B463)&lt;CFG_PSTART,INT(B463)&gt;CFG_PEND),"Fecha fuera del período",IF(OR(NOT(ISNUMBER(Z463)),NOT(ISNUMBER(AA463))),"Falta hora inicio/fin o formato inválido",IF(AB463=0,"Hora inicio = hora fin",IF(AE463&lt;0,"Descanso inválido",IF(AE463&gt;=AD463,"Descanso ≥ duración",IF(AV463=1,"Registro duplicado",IF(AZ463&gt;0,"Se superpone con otro registro "&amp;D463,IF(BB463=0,"inicio, fin y duración neta deben ser múltiplos de "&amp;CFG_BLK&amp;" min",""))))))))))))</f>
        <v/>
      </c>
      <c r="BD463" s="80">
        <f>IF(AND(Y463=1,BC463=""),1,0)</f>
        <v>0</v>
      </c>
      <c r="BE463" s="80">
        <f>IF(AND(BD463=1,AU463=1),1,0)</f>
        <v>0</v>
      </c>
      <c r="BF463" s="80" t="str">
        <f>IF(AND(D463="proMX",BD463=1),IF(R463="","Draft",R463),"")</f>
        <v/>
      </c>
      <c r="BG463" s="80">
        <f>IF(BD463=1,ROUND(AG463/60,6),0)</f>
        <v>0</v>
      </c>
      <c r="BH463" s="80">
        <f>IF(BE463=1,ROUND(AG463/60,6),0)</f>
        <v>0</v>
      </c>
      <c r="BI463" s="80">
        <f>IF(BE463=1,ROUND(AP463/60,6),0)</f>
        <v>0</v>
      </c>
      <c r="BJ463" s="80">
        <f>IF(BE463=1,ROUND(AQ463/60,6),0)</f>
        <v>0</v>
      </c>
      <c r="BK463" s="80">
        <f>IF(BE463=1,ROUND((AR463+AS463)/60,6),0)</f>
        <v>0</v>
      </c>
      <c r="BL463" s="80">
        <f>ROUND(BH463-BK463,6)</f>
        <v>0</v>
      </c>
      <c r="BM463" s="80">
        <f>IF(BE463=1,ROUND(AR463/60,6),0)</f>
        <v>0</v>
      </c>
      <c r="BN463" s="80">
        <f>ROUND(BI463-BM463,6)</f>
        <v>0</v>
      </c>
      <c r="BO463" s="80">
        <f>IF(BE463=1,ROUND(AS463/60,6),0)</f>
        <v>0</v>
      </c>
      <c r="BP463" s="80">
        <f>ROUND(BJ463-BO463,6)</f>
        <v>0</v>
      </c>
      <c r="BQ463" s="80">
        <f>IF(BE463=1,AW463,0)</f>
        <v>0</v>
      </c>
      <c r="BR463" s="80">
        <f>IF(BE463=1,AX463,0)</f>
        <v>0</v>
      </c>
      <c r="BS463" s="80">
        <f>IF(AND(BE463=1,D463="Malcolm",BA463&gt;0),MIN(BH463,SUMPRODUCT((R_Emp="proMX")*(R_EN&gt;0)*((R_EN-(R_EN&gt;BR463)*(R_EN-BR463))&gt;(R_SN+(R_SN&lt;BQ463)*(BQ463-R_SN)))*((R_EN-(R_EN&gt;BR463)*(R_EN-BR463))-(R_SN+(R_SN&lt;BQ463)*(BQ463-R_SN))))/60),0)</f>
        <v>0</v>
      </c>
      <c r="BT463" s="80">
        <f>IF(AND(BE463=1,D463="proMX"),ROUND(BI463*CFG_RATE+BJ463*CFG_OTRATE,6),0)</f>
        <v>0</v>
      </c>
      <c r="BU463" s="80">
        <f>IF(AND(BD463=1,D463="proMX"),ROUND(AG463/CFG_BLK,6),0)</f>
        <v>0</v>
      </c>
      <c r="BV463" s="80" t="str">
        <f>IF(BF463="Approved",IF(ISNUMBER(T463),INT(T463),INT(B463)),"")</f>
        <v/>
      </c>
      <c r="BW463" s="80">
        <f>IF(ISNUMBER(B463),IF(DB_MON="Todos",1,IF(AND(INT(B463)&gt;=DB_MS,INT(B463)&lt;=DB_ME),1,0)),0)</f>
        <v>0</v>
      </c>
      <c r="BX463" s="80">
        <f>IF(DB_PROJ="Todos",1,IF(E463&amp;""=DB_PROJ&amp;"",1,0))</f>
        <v>1</v>
      </c>
      <c r="BY463" s="80">
        <f>BW463*BX463</f>
        <v>0</v>
      </c>
      <c r="BZ463" s="80" t="str">
        <f>IF(Y463=1,F463&amp;IF(AND(F463&amp;""&lt;&gt;"",E463&amp;""&lt;&gt;"")," · ","")&amp;E463,"")</f>
        <v/>
      </c>
      <c r="CA463" s="80" t="str">
        <f>IF(AND(BD463=1,E463&amp;""&lt;&gt;""),IF(COUNTIFS($E$5:E462,E463,$BD$5:BD462,1)=0,MAX($CA$5:CA462)+1,""),"")</f>
        <v/>
      </c>
      <c r="CB463" s="80" t="str">
        <f>IF(AND(BE463=1,D463="Malcolm",E463&amp;""&lt;&gt;""),IF(COUNTIFS($D$5:D462,"Malcolm",$E$5:E462,E463,$BE$5:BE462,1)=0,MAX($CB$5:CB462)+1,""),"")</f>
        <v/>
      </c>
      <c r="CC463" s="80" t="str">
        <f>IF(AND(BD463=1,D463="proMX",E463&amp;""&lt;&gt;""),IF(COUNTIFS($D$5:D462,"proMX",$E$5:E462,E463,$BD$5:BD462,1)=0,MAX($CC$5:CC462)+1,""),"")</f>
        <v/>
      </c>
      <c r="CD463" s="80" t="str">
        <f>IF(AND(BE463=1,D463="Malcolm",F463&amp;""&lt;&gt;""),IF(COUNTIFS($D$5:D462,"Malcolm",$F$5:F462,F463,$BE$5:BE462,1)=0,MAX($CD$5:CD462)+1,""),"")</f>
        <v/>
      </c>
      <c r="CE463" s="80" t="str">
        <f>IF(AND(BD463=1,D463="proMX",F463&amp;""&lt;&gt;""),IF(COUNTIFS($D$5:D462,"proMX",$F$5:F462,F463,$BD$5:BD462,1)=0,MAX($CE$5:CE462)+1,""),"")</f>
        <v/>
      </c>
      <c r="CF463" s="80" t="str">
        <f>IF(AND(D463="proMX",BD463=1),IF(OR(BF463="Draft",BF463="Submitted",BF463="Returned",BF463="Recall Requested"),MAX($CF$5:CF462)+1,""),"")</f>
        <v/>
      </c>
      <c r="CG463" s="80">
        <f>IF(BD463=0,0,IF(D463="Malcolm",1,MATCH(BF463,{"Draft","Submitted","Approved","Returned","Recall Requested","Cancelled"},0)+1))</f>
        <v>0</v>
      </c>
      <c r="CH463" s="80">
        <f>IF(AND(BF463="Submitted",ISNUMBER(V463)),IF(V463&gt;CFG_MAXD,1,0),0)</f>
        <v>0</v>
      </c>
    </row>
    <row r="464">
      <c r="A464" s="71" t="str">
        <f>IF(Y464=1,ROW()-5,"")</f>
        <v/>
      </c>
      <c r="B464" s="72" t="n"/>
      <c r="C464" s="71" t="str">
        <f>IF(ISNUMBER(B464),CHOOSE(WEEKDAY(B464,2),"Lun","Mar","Mié","Jue","Vie","Sáb","Dom"),"")</f>
        <v/>
      </c>
      <c r="D464" s="73" t="n"/>
      <c r="E464" s="74" t="n"/>
      <c r="F464" s="74" t="n"/>
      <c r="G464" s="74" t="n"/>
      <c r="H464" s="75" t="n"/>
      <c r="I464" s="75" t="n"/>
      <c r="J464" s="76" t="n"/>
      <c r="K464" s="77" t="str">
        <f>IF(AB464=1,ROUND(AG464/60,4),"")</f>
        <v/>
      </c>
      <c r="L464" s="77" t="str">
        <f>IF(BD464=1,ROUND(AP464/60,4),"")</f>
        <v/>
      </c>
      <c r="M464" s="77" t="str">
        <f>IF(BD464=1,ROUND(AQ464/60,4),"")</f>
        <v/>
      </c>
      <c r="N464" s="71" t="str">
        <f>IF(AND(D464="proMX",AB464=1),ROUND(AG464/CFG_BLK,2),"")</f>
        <v/>
      </c>
      <c r="O464" s="77" t="str">
        <f>IF(D464="proMX",IF(BD464=1,ROUND(AG464/60,4),0),"")</f>
        <v/>
      </c>
      <c r="P464" s="78" t="str">
        <f>IF(Y464=0,"",IF(BD464=1,"OK",IF(D464="proMX","Revisar bloques: ","Revisar: ")&amp;BC464))</f>
        <v/>
      </c>
      <c r="Q464" s="78" t="str">
        <f>IF(NOT(ISNUMBER(B464)),"",IF(COUNTIFS(FER_F,INT(B464))&gt;0,"Feriado"&amp;IF(AH464=1," (laborable)"," (no laborable)"),IF(AH464=1,"Laborable",IF(WEEKDAY(B464,2)&gt;5,"Fin de semana","No laborable"))))</f>
        <v/>
      </c>
      <c r="R464" s="73" t="n"/>
      <c r="S464" s="72" t="n"/>
      <c r="T464" s="72" t="n"/>
      <c r="U464" s="74" t="n"/>
      <c r="V464" s="79" t="str">
        <f>IF(AND(D464="proMX",OR(R464="Submitted",R464="Recall Requested"),ISNUMBER(S464)),CFG_TODAY-INT(S464),"")</f>
        <v/>
      </c>
      <c r="W464" s="78" t="str">
        <f>IF(BD464=0,"",IF(BA464&gt;0,"⚠ Se superpone con un registro de la otra empresa",IF(D464="Malcolm",IF(COUNTA(R464,S464,T464)&gt;0,"Estado/fechas proMX se ignoran en Malcolm",""),IF(BF464="Cancelled","Cancelado: excluido de totales",IF(R464="","Sin estado: se trata como Draft",IF(BF464="Submitted",IF(ISNUMBER(V464),IF(V464&gt;CFG_MAXD,"⚠ "&amp;V464&amp;" días en Submitted (máx. "&amp;CFG_MAXD&amp;")",""),"Falta fecha de envío"),IF(BF464="Returned","⚠ Devuelto: corregir y reenviar",IF(BF464="Recall Requested","Retirada solicitada: pendiente",IF(AND(BF464="Approved",NOT(ISNUMBER(T464))),"Falta fecha de aprobación",IF(AND(ISNUMBER(S464),ISNUMBER(T464),T464&lt;S464),"Aprobación anterior al envío","")))))))))</f>
        <v/>
      </c>
      <c r="Y464" s="80">
        <f>IF(COUNTA(B464,D464,E464,F464,G464,H464,I464,J464,R464,S464,T464)&gt;0,1,0)</f>
        <v>0</v>
      </c>
      <c r="Z464" s="80" t="str">
        <f>IF(AND(ISNUMBER(H464),H464&gt;=0,H464&lt;1),ROUND(H464*1440,0),"")</f>
        <v/>
      </c>
      <c r="AA464" s="80" t="str">
        <f>IF(AND(ISNUMBER(I464),I464&gt;=0,I464&lt;1),ROUND(I464*1440,0),"")</f>
        <v/>
      </c>
      <c r="AB464" s="80">
        <f>IF(AND(ISNUMBER(B464),D464&lt;&gt;"",ISNUMBER(Z464),ISNUMBER(AA464)),IF(Z464=AA464,0,1),0)</f>
        <v>0</v>
      </c>
      <c r="AC464" s="80">
        <f>IF(AB464=1,IF(AA464&lt;Z464,1,0),0)</f>
        <v>0</v>
      </c>
      <c r="AD464" s="80">
        <f>IF(AB464=1,IF(AC464=1,1440-Z464+AA464,AA464-Z464),0)</f>
        <v>0</v>
      </c>
      <c r="AE464" s="80">
        <f>IF(J464="",0,IF(ISNUMBER(J464),J464,-1))</f>
        <v>0</v>
      </c>
      <c r="AF464" s="80">
        <f>MIN(MAX(0,AE464),AD464)</f>
        <v>0</v>
      </c>
      <c r="AG464" s="80">
        <f>MAX(0,AD464-MAX(0,AE464))</f>
        <v>0</v>
      </c>
      <c r="AH464" s="80">
        <f>IF(ISNUMBER(B464),IF(AND(INDEX(CFG_WDAYS,WEEKDAY(INT(B464),2))="Sí",IF(D464="proMX",COUNTIFS(FER_F,INT(B464),FER_NLP,"Sí"),COUNTIFS(FER_F,INT(B464),FER_NLM,"Sí"))=0),1,0),0)</f>
        <v>0</v>
      </c>
      <c r="AI464" s="80">
        <f>IF(AC464=1,IF(AND(INDEX(CFG_WDAYS,WEEKDAY(INT(B464)+1,2))="Sí",IF(D464="proMX",COUNTIFS(FER_F,INT(B464)+1,FER_NLP,"Sí"),COUNTIFS(FER_F,INT(B464)+1,FER_NLM,"Sí"))=0),1,0),0)</f>
        <v>0</v>
      </c>
      <c r="AJ464" s="80">
        <f>IF(AC464=1,1440-Z464,AD464)</f>
        <v>0</v>
      </c>
      <c r="AK464" s="80">
        <f>IF(AND(AB464=1,AH464=1),MAX(0,MIN(IF(AC464=1,1440,AA464),CFG_WEM)-MAX(Z464,CFG_WSM)),0)</f>
        <v>0</v>
      </c>
      <c r="AL464" s="80">
        <f>IF(AND(AC464=1,AI464=1),MAX(0,MIN(AA464,CFG_WEM)-CFG_WSM),0)</f>
        <v>0</v>
      </c>
      <c r="AM464" s="80">
        <f>AK464+AL464</f>
        <v>0</v>
      </c>
      <c r="AN464" s="80">
        <f>IF(CFG_BRK="Proporcional",IF(AD464=0,0,AF464*AM464/AD464),IF(CFG_BRK="Extras primero",MIN(AM464,MAX(0,AF464-(AD464-AM464))),MIN(AF464,AM464)))</f>
        <v>0</v>
      </c>
      <c r="AO464" s="80">
        <f>AF464-AN464</f>
        <v>0</v>
      </c>
      <c r="AP464" s="80">
        <f>AM464-AN464</f>
        <v>0</v>
      </c>
      <c r="AQ464" s="80">
        <f>AD464-AM464-AO464</f>
        <v>0</v>
      </c>
      <c r="AR464" s="80">
        <f>IF(AM464=0,0,AK464-AN464*AK464/AM464)</f>
        <v>0</v>
      </c>
      <c r="AS464" s="80">
        <f>IF(AD464-AM464=0,0,(AJ464-AK464)-AO464*(AJ464-AK464)/(AD464-AM464))</f>
        <v>0</v>
      </c>
      <c r="AT464" s="80" t="str">
        <f>IF(AC464=1,INT(B464)+1,"")</f>
        <v/>
      </c>
      <c r="AU464" s="80">
        <f>IF(AND(D464="proMX",R464="Cancelled"),0,1)</f>
        <v>1</v>
      </c>
      <c r="AV464" s="80">
        <f>IF(AND(AB464=1,AU464=1),IF(COUNTIFS($D$5:D463,D464,$B$5:B463,B464,$Z$5:Z463,Z464,$AA$5:AA463,AA464,$F$5:F463,F464&amp;"",$AU$5:AU463,1)&gt;0,1,0),0)</f>
        <v>0</v>
      </c>
      <c r="AW464" s="80" t="str">
        <f>IF(AB464=1,INT(B464)*1440+Z464,"")</f>
        <v/>
      </c>
      <c r="AX464" s="80" t="str">
        <f>IF(AB464=1,AW464+AD464,"")</f>
        <v/>
      </c>
      <c r="AY464" s="80">
        <f>IF(AND(AB464=1,AV464=0,AU464=1),1,0)</f>
        <v>0</v>
      </c>
      <c r="AZ464" s="80">
        <f>IF(AY464=1,COUNTIFS(R_Emp,D464,R_SAbs,"&lt;"&amp;AX464,R_EAbs,"&gt;"&amp;AW464,R_OKey,1)-1,0)</f>
        <v>0</v>
      </c>
      <c r="BA464" s="80">
        <f>IF(AY464=1,COUNTIFS(R_Emp,"&lt;&gt;"&amp;D464,R_SAbs,"&lt;"&amp;AX464,R_EAbs,"&gt;"&amp;AW464,R_OKey,1),0)</f>
        <v>0</v>
      </c>
      <c r="BB464" s="80">
        <f>IF(AND(AB464=1,D464="proMX"),IF(AND(MOD(Z464,CFG_BLK)=0,MOD(AA464,CFG_BLK)=0,MOD(AG464,CFG_BLK)=0,AG464&gt;0),1,0),1)</f>
        <v>1</v>
      </c>
      <c r="BC464" s="80" t="str">
        <f>IF(Y464=0,"",IF(NOT(ISNUMBER(B464)),"Falta fecha o fecha inválida",IF(D464="","Falta empresa",IF(AND(D464&lt;&gt;"Malcolm",D464&lt;&gt;"proMX"),"Empresa inválida",IF(OR(INT(B464)&lt;CFG_PSTART,INT(B464)&gt;CFG_PEND),"Fecha fuera del período",IF(OR(NOT(ISNUMBER(Z464)),NOT(ISNUMBER(AA464))),"Falta hora inicio/fin o formato inválido",IF(AB464=0,"Hora inicio = hora fin",IF(AE464&lt;0,"Descanso inválido",IF(AE464&gt;=AD464,"Descanso ≥ duración",IF(AV464=1,"Registro duplicado",IF(AZ464&gt;0,"Se superpone con otro registro "&amp;D464,IF(BB464=0,"inicio, fin y duración neta deben ser múltiplos de "&amp;CFG_BLK&amp;" min",""))))))))))))</f>
        <v/>
      </c>
      <c r="BD464" s="80">
        <f>IF(AND(Y464=1,BC464=""),1,0)</f>
        <v>0</v>
      </c>
      <c r="BE464" s="80">
        <f>IF(AND(BD464=1,AU464=1),1,0)</f>
        <v>0</v>
      </c>
      <c r="BF464" s="80" t="str">
        <f>IF(AND(D464="proMX",BD464=1),IF(R464="","Draft",R464),"")</f>
        <v/>
      </c>
      <c r="BG464" s="80">
        <f>IF(BD464=1,ROUND(AG464/60,6),0)</f>
        <v>0</v>
      </c>
      <c r="BH464" s="80">
        <f>IF(BE464=1,ROUND(AG464/60,6),0)</f>
        <v>0</v>
      </c>
      <c r="BI464" s="80">
        <f>IF(BE464=1,ROUND(AP464/60,6),0)</f>
        <v>0</v>
      </c>
      <c r="BJ464" s="80">
        <f>IF(BE464=1,ROUND(AQ464/60,6),0)</f>
        <v>0</v>
      </c>
      <c r="BK464" s="80">
        <f>IF(BE464=1,ROUND((AR464+AS464)/60,6),0)</f>
        <v>0</v>
      </c>
      <c r="BL464" s="80">
        <f>ROUND(BH464-BK464,6)</f>
        <v>0</v>
      </c>
      <c r="BM464" s="80">
        <f>IF(BE464=1,ROUND(AR464/60,6),0)</f>
        <v>0</v>
      </c>
      <c r="BN464" s="80">
        <f>ROUND(BI464-BM464,6)</f>
        <v>0</v>
      </c>
      <c r="BO464" s="80">
        <f>IF(BE464=1,ROUND(AS464/60,6),0)</f>
        <v>0</v>
      </c>
      <c r="BP464" s="80">
        <f>ROUND(BJ464-BO464,6)</f>
        <v>0</v>
      </c>
      <c r="BQ464" s="80">
        <f>IF(BE464=1,AW464,0)</f>
        <v>0</v>
      </c>
      <c r="BR464" s="80">
        <f>IF(BE464=1,AX464,0)</f>
        <v>0</v>
      </c>
      <c r="BS464" s="80">
        <f>IF(AND(BE464=1,D464="Malcolm",BA464&gt;0),MIN(BH464,SUMPRODUCT((R_Emp="proMX")*(R_EN&gt;0)*((R_EN-(R_EN&gt;BR464)*(R_EN-BR464))&gt;(R_SN+(R_SN&lt;BQ464)*(BQ464-R_SN)))*((R_EN-(R_EN&gt;BR464)*(R_EN-BR464))-(R_SN+(R_SN&lt;BQ464)*(BQ464-R_SN))))/60),0)</f>
        <v>0</v>
      </c>
      <c r="BT464" s="80">
        <f>IF(AND(BE464=1,D464="proMX"),ROUND(BI464*CFG_RATE+BJ464*CFG_OTRATE,6),0)</f>
        <v>0</v>
      </c>
      <c r="BU464" s="80">
        <f>IF(AND(BD464=1,D464="proMX"),ROUND(AG464/CFG_BLK,6),0)</f>
        <v>0</v>
      </c>
      <c r="BV464" s="80" t="str">
        <f>IF(BF464="Approved",IF(ISNUMBER(T464),INT(T464),INT(B464)),"")</f>
        <v/>
      </c>
      <c r="BW464" s="80">
        <f>IF(ISNUMBER(B464),IF(DB_MON="Todos",1,IF(AND(INT(B464)&gt;=DB_MS,INT(B464)&lt;=DB_ME),1,0)),0)</f>
        <v>0</v>
      </c>
      <c r="BX464" s="80">
        <f>IF(DB_PROJ="Todos",1,IF(E464&amp;""=DB_PROJ&amp;"",1,0))</f>
        <v>1</v>
      </c>
      <c r="BY464" s="80">
        <f>BW464*BX464</f>
        <v>0</v>
      </c>
      <c r="BZ464" s="80" t="str">
        <f>IF(Y464=1,F464&amp;IF(AND(F464&amp;""&lt;&gt;"",E464&amp;""&lt;&gt;"")," · ","")&amp;E464,"")</f>
        <v/>
      </c>
      <c r="CA464" s="80" t="str">
        <f>IF(AND(BD464=1,E464&amp;""&lt;&gt;""),IF(COUNTIFS($E$5:E463,E464,$BD$5:BD463,1)=0,MAX($CA$5:CA463)+1,""),"")</f>
        <v/>
      </c>
      <c r="CB464" s="80" t="str">
        <f>IF(AND(BE464=1,D464="Malcolm",E464&amp;""&lt;&gt;""),IF(COUNTIFS($D$5:D463,"Malcolm",$E$5:E463,E464,$BE$5:BE463,1)=0,MAX($CB$5:CB463)+1,""),"")</f>
        <v/>
      </c>
      <c r="CC464" s="80" t="str">
        <f>IF(AND(BD464=1,D464="proMX",E464&amp;""&lt;&gt;""),IF(COUNTIFS($D$5:D463,"proMX",$E$5:E463,E464,$BD$5:BD463,1)=0,MAX($CC$5:CC463)+1,""),"")</f>
        <v/>
      </c>
      <c r="CD464" s="80" t="str">
        <f>IF(AND(BE464=1,D464="Malcolm",F464&amp;""&lt;&gt;""),IF(COUNTIFS($D$5:D463,"Malcolm",$F$5:F463,F464,$BE$5:BE463,1)=0,MAX($CD$5:CD463)+1,""),"")</f>
        <v/>
      </c>
      <c r="CE464" s="80" t="str">
        <f>IF(AND(BD464=1,D464="proMX",F464&amp;""&lt;&gt;""),IF(COUNTIFS($D$5:D463,"proMX",$F$5:F463,F464,$BD$5:BD463,1)=0,MAX($CE$5:CE463)+1,""),"")</f>
        <v/>
      </c>
      <c r="CF464" s="80" t="str">
        <f>IF(AND(D464="proMX",BD464=1),IF(OR(BF464="Draft",BF464="Submitted",BF464="Returned",BF464="Recall Requested"),MAX($CF$5:CF463)+1,""),"")</f>
        <v/>
      </c>
      <c r="CG464" s="80">
        <f>IF(BD464=0,0,IF(D464="Malcolm",1,MATCH(BF464,{"Draft","Submitted","Approved","Returned","Recall Requested","Cancelled"},0)+1))</f>
        <v>0</v>
      </c>
      <c r="CH464" s="80">
        <f>IF(AND(BF464="Submitted",ISNUMBER(V464)),IF(V464&gt;CFG_MAXD,1,0),0)</f>
        <v>0</v>
      </c>
    </row>
    <row r="465">
      <c r="A465" s="71" t="str">
        <f>IF(Y465=1,ROW()-5,"")</f>
        <v/>
      </c>
      <c r="B465" s="72" t="n"/>
      <c r="C465" s="71" t="str">
        <f>IF(ISNUMBER(B465),CHOOSE(WEEKDAY(B465,2),"Lun","Mar","Mié","Jue","Vie","Sáb","Dom"),"")</f>
        <v/>
      </c>
      <c r="D465" s="73" t="n"/>
      <c r="E465" s="74" t="n"/>
      <c r="F465" s="74" t="n"/>
      <c r="G465" s="74" t="n"/>
      <c r="H465" s="75" t="n"/>
      <c r="I465" s="75" t="n"/>
      <c r="J465" s="76" t="n"/>
      <c r="K465" s="77" t="str">
        <f>IF(AB465=1,ROUND(AG465/60,4),"")</f>
        <v/>
      </c>
      <c r="L465" s="77" t="str">
        <f>IF(BD465=1,ROUND(AP465/60,4),"")</f>
        <v/>
      </c>
      <c r="M465" s="77" t="str">
        <f>IF(BD465=1,ROUND(AQ465/60,4),"")</f>
        <v/>
      </c>
      <c r="N465" s="71" t="str">
        <f>IF(AND(D465="proMX",AB465=1),ROUND(AG465/CFG_BLK,2),"")</f>
        <v/>
      </c>
      <c r="O465" s="77" t="str">
        <f>IF(D465="proMX",IF(BD465=1,ROUND(AG465/60,4),0),"")</f>
        <v/>
      </c>
      <c r="P465" s="78" t="str">
        <f>IF(Y465=0,"",IF(BD465=1,"OK",IF(D465="proMX","Revisar bloques: ","Revisar: ")&amp;BC465))</f>
        <v/>
      </c>
      <c r="Q465" s="78" t="str">
        <f>IF(NOT(ISNUMBER(B465)),"",IF(COUNTIFS(FER_F,INT(B465))&gt;0,"Feriado"&amp;IF(AH465=1," (laborable)"," (no laborable)"),IF(AH465=1,"Laborable",IF(WEEKDAY(B465,2)&gt;5,"Fin de semana","No laborable"))))</f>
        <v/>
      </c>
      <c r="R465" s="73" t="n"/>
      <c r="S465" s="72" t="n"/>
      <c r="T465" s="72" t="n"/>
      <c r="U465" s="74" t="n"/>
      <c r="V465" s="79" t="str">
        <f>IF(AND(D465="proMX",OR(R465="Submitted",R465="Recall Requested"),ISNUMBER(S465)),CFG_TODAY-INT(S465),"")</f>
        <v/>
      </c>
      <c r="W465" s="78" t="str">
        <f>IF(BD465=0,"",IF(BA465&gt;0,"⚠ Se superpone con un registro de la otra empresa",IF(D465="Malcolm",IF(COUNTA(R465,S465,T465)&gt;0,"Estado/fechas proMX se ignoran en Malcolm",""),IF(BF465="Cancelled","Cancelado: excluido de totales",IF(R465="","Sin estado: se trata como Draft",IF(BF465="Submitted",IF(ISNUMBER(V465),IF(V465&gt;CFG_MAXD,"⚠ "&amp;V465&amp;" días en Submitted (máx. "&amp;CFG_MAXD&amp;")",""),"Falta fecha de envío"),IF(BF465="Returned","⚠ Devuelto: corregir y reenviar",IF(BF465="Recall Requested","Retirada solicitada: pendiente",IF(AND(BF465="Approved",NOT(ISNUMBER(T465))),"Falta fecha de aprobación",IF(AND(ISNUMBER(S465),ISNUMBER(T465),T465&lt;S465),"Aprobación anterior al envío","")))))))))</f>
        <v/>
      </c>
      <c r="Y465" s="80">
        <f>IF(COUNTA(B465,D465,E465,F465,G465,H465,I465,J465,R465,S465,T465)&gt;0,1,0)</f>
        <v>0</v>
      </c>
      <c r="Z465" s="80" t="str">
        <f>IF(AND(ISNUMBER(H465),H465&gt;=0,H465&lt;1),ROUND(H465*1440,0),"")</f>
        <v/>
      </c>
      <c r="AA465" s="80" t="str">
        <f>IF(AND(ISNUMBER(I465),I465&gt;=0,I465&lt;1),ROUND(I465*1440,0),"")</f>
        <v/>
      </c>
      <c r="AB465" s="80">
        <f>IF(AND(ISNUMBER(B465),D465&lt;&gt;"",ISNUMBER(Z465),ISNUMBER(AA465)),IF(Z465=AA465,0,1),0)</f>
        <v>0</v>
      </c>
      <c r="AC465" s="80">
        <f>IF(AB465=1,IF(AA465&lt;Z465,1,0),0)</f>
        <v>0</v>
      </c>
      <c r="AD465" s="80">
        <f>IF(AB465=1,IF(AC465=1,1440-Z465+AA465,AA465-Z465),0)</f>
        <v>0</v>
      </c>
      <c r="AE465" s="80">
        <f>IF(J465="",0,IF(ISNUMBER(J465),J465,-1))</f>
        <v>0</v>
      </c>
      <c r="AF465" s="80">
        <f>MIN(MAX(0,AE465),AD465)</f>
        <v>0</v>
      </c>
      <c r="AG465" s="80">
        <f>MAX(0,AD465-MAX(0,AE465))</f>
        <v>0</v>
      </c>
      <c r="AH465" s="80">
        <f>IF(ISNUMBER(B465),IF(AND(INDEX(CFG_WDAYS,WEEKDAY(INT(B465),2))="Sí",IF(D465="proMX",COUNTIFS(FER_F,INT(B465),FER_NLP,"Sí"),COUNTIFS(FER_F,INT(B465),FER_NLM,"Sí"))=0),1,0),0)</f>
        <v>0</v>
      </c>
      <c r="AI465" s="80">
        <f>IF(AC465=1,IF(AND(INDEX(CFG_WDAYS,WEEKDAY(INT(B465)+1,2))="Sí",IF(D465="proMX",COUNTIFS(FER_F,INT(B465)+1,FER_NLP,"Sí"),COUNTIFS(FER_F,INT(B465)+1,FER_NLM,"Sí"))=0),1,0),0)</f>
        <v>0</v>
      </c>
      <c r="AJ465" s="80">
        <f>IF(AC465=1,1440-Z465,AD465)</f>
        <v>0</v>
      </c>
      <c r="AK465" s="80">
        <f>IF(AND(AB465=1,AH465=1),MAX(0,MIN(IF(AC465=1,1440,AA465),CFG_WEM)-MAX(Z465,CFG_WSM)),0)</f>
        <v>0</v>
      </c>
      <c r="AL465" s="80">
        <f>IF(AND(AC465=1,AI465=1),MAX(0,MIN(AA465,CFG_WEM)-CFG_WSM),0)</f>
        <v>0</v>
      </c>
      <c r="AM465" s="80">
        <f>AK465+AL465</f>
        <v>0</v>
      </c>
      <c r="AN465" s="80">
        <f>IF(CFG_BRK="Proporcional",IF(AD465=0,0,AF465*AM465/AD465),IF(CFG_BRK="Extras primero",MIN(AM465,MAX(0,AF465-(AD465-AM465))),MIN(AF465,AM465)))</f>
        <v>0</v>
      </c>
      <c r="AO465" s="80">
        <f>AF465-AN465</f>
        <v>0</v>
      </c>
      <c r="AP465" s="80">
        <f>AM465-AN465</f>
        <v>0</v>
      </c>
      <c r="AQ465" s="80">
        <f>AD465-AM465-AO465</f>
        <v>0</v>
      </c>
      <c r="AR465" s="80">
        <f>IF(AM465=0,0,AK465-AN465*AK465/AM465)</f>
        <v>0</v>
      </c>
      <c r="AS465" s="80">
        <f>IF(AD465-AM465=0,0,(AJ465-AK465)-AO465*(AJ465-AK465)/(AD465-AM465))</f>
        <v>0</v>
      </c>
      <c r="AT465" s="80" t="str">
        <f>IF(AC465=1,INT(B465)+1,"")</f>
        <v/>
      </c>
      <c r="AU465" s="80">
        <f>IF(AND(D465="proMX",R465="Cancelled"),0,1)</f>
        <v>1</v>
      </c>
      <c r="AV465" s="80">
        <f>IF(AND(AB465=1,AU465=1),IF(COUNTIFS($D$5:D464,D465,$B$5:B464,B465,$Z$5:Z464,Z465,$AA$5:AA464,AA465,$F$5:F464,F465&amp;"",$AU$5:AU464,1)&gt;0,1,0),0)</f>
        <v>0</v>
      </c>
      <c r="AW465" s="80" t="str">
        <f>IF(AB465=1,INT(B465)*1440+Z465,"")</f>
        <v/>
      </c>
      <c r="AX465" s="80" t="str">
        <f>IF(AB465=1,AW465+AD465,"")</f>
        <v/>
      </c>
      <c r="AY465" s="80">
        <f>IF(AND(AB465=1,AV465=0,AU465=1),1,0)</f>
        <v>0</v>
      </c>
      <c r="AZ465" s="80">
        <f>IF(AY465=1,COUNTIFS(R_Emp,D465,R_SAbs,"&lt;"&amp;AX465,R_EAbs,"&gt;"&amp;AW465,R_OKey,1)-1,0)</f>
        <v>0</v>
      </c>
      <c r="BA465" s="80">
        <f>IF(AY465=1,COUNTIFS(R_Emp,"&lt;&gt;"&amp;D465,R_SAbs,"&lt;"&amp;AX465,R_EAbs,"&gt;"&amp;AW465,R_OKey,1),0)</f>
        <v>0</v>
      </c>
      <c r="BB465" s="80">
        <f>IF(AND(AB465=1,D465="proMX"),IF(AND(MOD(Z465,CFG_BLK)=0,MOD(AA465,CFG_BLK)=0,MOD(AG465,CFG_BLK)=0,AG465&gt;0),1,0),1)</f>
        <v>1</v>
      </c>
      <c r="BC465" s="80" t="str">
        <f>IF(Y465=0,"",IF(NOT(ISNUMBER(B465)),"Falta fecha o fecha inválida",IF(D465="","Falta empresa",IF(AND(D465&lt;&gt;"Malcolm",D465&lt;&gt;"proMX"),"Empresa inválida",IF(OR(INT(B465)&lt;CFG_PSTART,INT(B465)&gt;CFG_PEND),"Fecha fuera del período",IF(OR(NOT(ISNUMBER(Z465)),NOT(ISNUMBER(AA465))),"Falta hora inicio/fin o formato inválido",IF(AB465=0,"Hora inicio = hora fin",IF(AE465&lt;0,"Descanso inválido",IF(AE465&gt;=AD465,"Descanso ≥ duración",IF(AV465=1,"Registro duplicado",IF(AZ465&gt;0,"Se superpone con otro registro "&amp;D465,IF(BB465=0,"inicio, fin y duración neta deben ser múltiplos de "&amp;CFG_BLK&amp;" min",""))))))))))))</f>
        <v/>
      </c>
      <c r="BD465" s="80">
        <f>IF(AND(Y465=1,BC465=""),1,0)</f>
        <v>0</v>
      </c>
      <c r="BE465" s="80">
        <f>IF(AND(BD465=1,AU465=1),1,0)</f>
        <v>0</v>
      </c>
      <c r="BF465" s="80" t="str">
        <f>IF(AND(D465="proMX",BD465=1),IF(R465="","Draft",R465),"")</f>
        <v/>
      </c>
      <c r="BG465" s="80">
        <f>IF(BD465=1,ROUND(AG465/60,6),0)</f>
        <v>0</v>
      </c>
      <c r="BH465" s="80">
        <f>IF(BE465=1,ROUND(AG465/60,6),0)</f>
        <v>0</v>
      </c>
      <c r="BI465" s="80">
        <f>IF(BE465=1,ROUND(AP465/60,6),0)</f>
        <v>0</v>
      </c>
      <c r="BJ465" s="80">
        <f>IF(BE465=1,ROUND(AQ465/60,6),0)</f>
        <v>0</v>
      </c>
      <c r="BK465" s="80">
        <f>IF(BE465=1,ROUND((AR465+AS465)/60,6),0)</f>
        <v>0</v>
      </c>
      <c r="BL465" s="80">
        <f>ROUND(BH465-BK465,6)</f>
        <v>0</v>
      </c>
      <c r="BM465" s="80">
        <f>IF(BE465=1,ROUND(AR465/60,6),0)</f>
        <v>0</v>
      </c>
      <c r="BN465" s="80">
        <f>ROUND(BI465-BM465,6)</f>
        <v>0</v>
      </c>
      <c r="BO465" s="80">
        <f>IF(BE465=1,ROUND(AS465/60,6),0)</f>
        <v>0</v>
      </c>
      <c r="BP465" s="80">
        <f>ROUND(BJ465-BO465,6)</f>
        <v>0</v>
      </c>
      <c r="BQ465" s="80">
        <f>IF(BE465=1,AW465,0)</f>
        <v>0</v>
      </c>
      <c r="BR465" s="80">
        <f>IF(BE465=1,AX465,0)</f>
        <v>0</v>
      </c>
      <c r="BS465" s="80">
        <f>IF(AND(BE465=1,D465="Malcolm",BA465&gt;0),MIN(BH465,SUMPRODUCT((R_Emp="proMX")*(R_EN&gt;0)*((R_EN-(R_EN&gt;BR465)*(R_EN-BR465))&gt;(R_SN+(R_SN&lt;BQ465)*(BQ465-R_SN)))*((R_EN-(R_EN&gt;BR465)*(R_EN-BR465))-(R_SN+(R_SN&lt;BQ465)*(BQ465-R_SN))))/60),0)</f>
        <v>0</v>
      </c>
      <c r="BT465" s="80">
        <f>IF(AND(BE465=1,D465="proMX"),ROUND(BI465*CFG_RATE+BJ465*CFG_OTRATE,6),0)</f>
        <v>0</v>
      </c>
      <c r="BU465" s="80">
        <f>IF(AND(BD465=1,D465="proMX"),ROUND(AG465/CFG_BLK,6),0)</f>
        <v>0</v>
      </c>
      <c r="BV465" s="80" t="str">
        <f>IF(BF465="Approved",IF(ISNUMBER(T465),INT(T465),INT(B465)),"")</f>
        <v/>
      </c>
      <c r="BW465" s="80">
        <f>IF(ISNUMBER(B465),IF(DB_MON="Todos",1,IF(AND(INT(B465)&gt;=DB_MS,INT(B465)&lt;=DB_ME),1,0)),0)</f>
        <v>0</v>
      </c>
      <c r="BX465" s="80">
        <f>IF(DB_PROJ="Todos",1,IF(E465&amp;""=DB_PROJ&amp;"",1,0))</f>
        <v>1</v>
      </c>
      <c r="BY465" s="80">
        <f>BW465*BX465</f>
        <v>0</v>
      </c>
      <c r="BZ465" s="80" t="str">
        <f>IF(Y465=1,F465&amp;IF(AND(F465&amp;""&lt;&gt;"",E465&amp;""&lt;&gt;"")," · ","")&amp;E465,"")</f>
        <v/>
      </c>
      <c r="CA465" s="80" t="str">
        <f>IF(AND(BD465=1,E465&amp;""&lt;&gt;""),IF(COUNTIFS($E$5:E464,E465,$BD$5:BD464,1)=0,MAX($CA$5:CA464)+1,""),"")</f>
        <v/>
      </c>
      <c r="CB465" s="80" t="str">
        <f>IF(AND(BE465=1,D465="Malcolm",E465&amp;""&lt;&gt;""),IF(COUNTIFS($D$5:D464,"Malcolm",$E$5:E464,E465,$BE$5:BE464,1)=0,MAX($CB$5:CB464)+1,""),"")</f>
        <v/>
      </c>
      <c r="CC465" s="80" t="str">
        <f>IF(AND(BD465=1,D465="proMX",E465&amp;""&lt;&gt;""),IF(COUNTIFS($D$5:D464,"proMX",$E$5:E464,E465,$BD$5:BD464,1)=0,MAX($CC$5:CC464)+1,""),"")</f>
        <v/>
      </c>
      <c r="CD465" s="80" t="str">
        <f>IF(AND(BE465=1,D465="Malcolm",F465&amp;""&lt;&gt;""),IF(COUNTIFS($D$5:D464,"Malcolm",$F$5:F464,F465,$BE$5:BE464,1)=0,MAX($CD$5:CD464)+1,""),"")</f>
        <v/>
      </c>
      <c r="CE465" s="80" t="str">
        <f>IF(AND(BD465=1,D465="proMX",F465&amp;""&lt;&gt;""),IF(COUNTIFS($D$5:D464,"proMX",$F$5:F464,F465,$BD$5:BD464,1)=0,MAX($CE$5:CE464)+1,""),"")</f>
        <v/>
      </c>
      <c r="CF465" s="80" t="str">
        <f>IF(AND(D465="proMX",BD465=1),IF(OR(BF465="Draft",BF465="Submitted",BF465="Returned",BF465="Recall Requested"),MAX($CF$5:CF464)+1,""),"")</f>
        <v/>
      </c>
      <c r="CG465" s="80">
        <f>IF(BD465=0,0,IF(D465="Malcolm",1,MATCH(BF465,{"Draft","Submitted","Approved","Returned","Recall Requested","Cancelled"},0)+1))</f>
        <v>0</v>
      </c>
      <c r="CH465" s="80">
        <f>IF(AND(BF465="Submitted",ISNUMBER(V465)),IF(V465&gt;CFG_MAXD,1,0),0)</f>
        <v>0</v>
      </c>
    </row>
    <row r="466">
      <c r="A466" s="71" t="str">
        <f>IF(Y466=1,ROW()-5,"")</f>
        <v/>
      </c>
      <c r="B466" s="72" t="n"/>
      <c r="C466" s="71" t="str">
        <f>IF(ISNUMBER(B466),CHOOSE(WEEKDAY(B466,2),"Lun","Mar","Mié","Jue","Vie","Sáb","Dom"),"")</f>
        <v/>
      </c>
      <c r="D466" s="73" t="n"/>
      <c r="E466" s="74" t="n"/>
      <c r="F466" s="74" t="n"/>
      <c r="G466" s="74" t="n"/>
      <c r="H466" s="75" t="n"/>
      <c r="I466" s="75" t="n"/>
      <c r="J466" s="76" t="n"/>
      <c r="K466" s="77" t="str">
        <f>IF(AB466=1,ROUND(AG466/60,4),"")</f>
        <v/>
      </c>
      <c r="L466" s="77" t="str">
        <f>IF(BD466=1,ROUND(AP466/60,4),"")</f>
        <v/>
      </c>
      <c r="M466" s="77" t="str">
        <f>IF(BD466=1,ROUND(AQ466/60,4),"")</f>
        <v/>
      </c>
      <c r="N466" s="71" t="str">
        <f>IF(AND(D466="proMX",AB466=1),ROUND(AG466/CFG_BLK,2),"")</f>
        <v/>
      </c>
      <c r="O466" s="77" t="str">
        <f>IF(D466="proMX",IF(BD466=1,ROUND(AG466/60,4),0),"")</f>
        <v/>
      </c>
      <c r="P466" s="78" t="str">
        <f>IF(Y466=0,"",IF(BD466=1,"OK",IF(D466="proMX","Revisar bloques: ","Revisar: ")&amp;BC466))</f>
        <v/>
      </c>
      <c r="Q466" s="78" t="str">
        <f>IF(NOT(ISNUMBER(B466)),"",IF(COUNTIFS(FER_F,INT(B466))&gt;0,"Feriado"&amp;IF(AH466=1," (laborable)"," (no laborable)"),IF(AH466=1,"Laborable",IF(WEEKDAY(B466,2)&gt;5,"Fin de semana","No laborable"))))</f>
        <v/>
      </c>
      <c r="R466" s="73" t="n"/>
      <c r="S466" s="72" t="n"/>
      <c r="T466" s="72" t="n"/>
      <c r="U466" s="74" t="n"/>
      <c r="V466" s="79" t="str">
        <f>IF(AND(D466="proMX",OR(R466="Submitted",R466="Recall Requested"),ISNUMBER(S466)),CFG_TODAY-INT(S466),"")</f>
        <v/>
      </c>
      <c r="W466" s="78" t="str">
        <f>IF(BD466=0,"",IF(BA466&gt;0,"⚠ Se superpone con un registro de la otra empresa",IF(D466="Malcolm",IF(COUNTA(R466,S466,T466)&gt;0,"Estado/fechas proMX se ignoran en Malcolm",""),IF(BF466="Cancelled","Cancelado: excluido de totales",IF(R466="","Sin estado: se trata como Draft",IF(BF466="Submitted",IF(ISNUMBER(V466),IF(V466&gt;CFG_MAXD,"⚠ "&amp;V466&amp;" días en Submitted (máx. "&amp;CFG_MAXD&amp;")",""),"Falta fecha de envío"),IF(BF466="Returned","⚠ Devuelto: corregir y reenviar",IF(BF466="Recall Requested","Retirada solicitada: pendiente",IF(AND(BF466="Approved",NOT(ISNUMBER(T466))),"Falta fecha de aprobación",IF(AND(ISNUMBER(S466),ISNUMBER(T466),T466&lt;S466),"Aprobación anterior al envío","")))))))))</f>
        <v/>
      </c>
      <c r="Y466" s="80">
        <f>IF(COUNTA(B466,D466,E466,F466,G466,H466,I466,J466,R466,S466,T466)&gt;0,1,0)</f>
        <v>0</v>
      </c>
      <c r="Z466" s="80" t="str">
        <f>IF(AND(ISNUMBER(H466),H466&gt;=0,H466&lt;1),ROUND(H466*1440,0),"")</f>
        <v/>
      </c>
      <c r="AA466" s="80" t="str">
        <f>IF(AND(ISNUMBER(I466),I466&gt;=0,I466&lt;1),ROUND(I466*1440,0),"")</f>
        <v/>
      </c>
      <c r="AB466" s="80">
        <f>IF(AND(ISNUMBER(B466),D466&lt;&gt;"",ISNUMBER(Z466),ISNUMBER(AA466)),IF(Z466=AA466,0,1),0)</f>
        <v>0</v>
      </c>
      <c r="AC466" s="80">
        <f>IF(AB466=1,IF(AA466&lt;Z466,1,0),0)</f>
        <v>0</v>
      </c>
      <c r="AD466" s="80">
        <f>IF(AB466=1,IF(AC466=1,1440-Z466+AA466,AA466-Z466),0)</f>
        <v>0</v>
      </c>
      <c r="AE466" s="80">
        <f>IF(J466="",0,IF(ISNUMBER(J466),J466,-1))</f>
        <v>0</v>
      </c>
      <c r="AF466" s="80">
        <f>MIN(MAX(0,AE466),AD466)</f>
        <v>0</v>
      </c>
      <c r="AG466" s="80">
        <f>MAX(0,AD466-MAX(0,AE466))</f>
        <v>0</v>
      </c>
      <c r="AH466" s="80">
        <f>IF(ISNUMBER(B466),IF(AND(INDEX(CFG_WDAYS,WEEKDAY(INT(B466),2))="Sí",IF(D466="proMX",COUNTIFS(FER_F,INT(B466),FER_NLP,"Sí"),COUNTIFS(FER_F,INT(B466),FER_NLM,"Sí"))=0),1,0),0)</f>
        <v>0</v>
      </c>
      <c r="AI466" s="80">
        <f>IF(AC466=1,IF(AND(INDEX(CFG_WDAYS,WEEKDAY(INT(B466)+1,2))="Sí",IF(D466="proMX",COUNTIFS(FER_F,INT(B466)+1,FER_NLP,"Sí"),COUNTIFS(FER_F,INT(B466)+1,FER_NLM,"Sí"))=0),1,0),0)</f>
        <v>0</v>
      </c>
      <c r="AJ466" s="80">
        <f>IF(AC466=1,1440-Z466,AD466)</f>
        <v>0</v>
      </c>
      <c r="AK466" s="80">
        <f>IF(AND(AB466=1,AH466=1),MAX(0,MIN(IF(AC466=1,1440,AA466),CFG_WEM)-MAX(Z466,CFG_WSM)),0)</f>
        <v>0</v>
      </c>
      <c r="AL466" s="80">
        <f>IF(AND(AC466=1,AI466=1),MAX(0,MIN(AA466,CFG_WEM)-CFG_WSM),0)</f>
        <v>0</v>
      </c>
      <c r="AM466" s="80">
        <f>AK466+AL466</f>
        <v>0</v>
      </c>
      <c r="AN466" s="80">
        <f>IF(CFG_BRK="Proporcional",IF(AD466=0,0,AF466*AM466/AD466),IF(CFG_BRK="Extras primero",MIN(AM466,MAX(0,AF466-(AD466-AM466))),MIN(AF466,AM466)))</f>
        <v>0</v>
      </c>
      <c r="AO466" s="80">
        <f>AF466-AN466</f>
        <v>0</v>
      </c>
      <c r="AP466" s="80">
        <f>AM466-AN466</f>
        <v>0</v>
      </c>
      <c r="AQ466" s="80">
        <f>AD466-AM466-AO466</f>
        <v>0</v>
      </c>
      <c r="AR466" s="80">
        <f>IF(AM466=0,0,AK466-AN466*AK466/AM466)</f>
        <v>0</v>
      </c>
      <c r="AS466" s="80">
        <f>IF(AD466-AM466=0,0,(AJ466-AK466)-AO466*(AJ466-AK466)/(AD466-AM466))</f>
        <v>0</v>
      </c>
      <c r="AT466" s="80" t="str">
        <f>IF(AC466=1,INT(B466)+1,"")</f>
        <v/>
      </c>
      <c r="AU466" s="80">
        <f>IF(AND(D466="proMX",R466="Cancelled"),0,1)</f>
        <v>1</v>
      </c>
      <c r="AV466" s="80">
        <f>IF(AND(AB466=1,AU466=1),IF(COUNTIFS($D$5:D465,D466,$B$5:B465,B466,$Z$5:Z465,Z466,$AA$5:AA465,AA466,$F$5:F465,F466&amp;"",$AU$5:AU465,1)&gt;0,1,0),0)</f>
        <v>0</v>
      </c>
      <c r="AW466" s="80" t="str">
        <f>IF(AB466=1,INT(B466)*1440+Z466,"")</f>
        <v/>
      </c>
      <c r="AX466" s="80" t="str">
        <f>IF(AB466=1,AW466+AD466,"")</f>
        <v/>
      </c>
      <c r="AY466" s="80">
        <f>IF(AND(AB466=1,AV466=0,AU466=1),1,0)</f>
        <v>0</v>
      </c>
      <c r="AZ466" s="80">
        <f>IF(AY466=1,COUNTIFS(R_Emp,D466,R_SAbs,"&lt;"&amp;AX466,R_EAbs,"&gt;"&amp;AW466,R_OKey,1)-1,0)</f>
        <v>0</v>
      </c>
      <c r="BA466" s="80">
        <f>IF(AY466=1,COUNTIFS(R_Emp,"&lt;&gt;"&amp;D466,R_SAbs,"&lt;"&amp;AX466,R_EAbs,"&gt;"&amp;AW466,R_OKey,1),0)</f>
        <v>0</v>
      </c>
      <c r="BB466" s="80">
        <f>IF(AND(AB466=1,D466="proMX"),IF(AND(MOD(Z466,CFG_BLK)=0,MOD(AA466,CFG_BLK)=0,MOD(AG466,CFG_BLK)=0,AG466&gt;0),1,0),1)</f>
        <v>1</v>
      </c>
      <c r="BC466" s="80" t="str">
        <f>IF(Y466=0,"",IF(NOT(ISNUMBER(B466)),"Falta fecha o fecha inválida",IF(D466="","Falta empresa",IF(AND(D466&lt;&gt;"Malcolm",D466&lt;&gt;"proMX"),"Empresa inválida",IF(OR(INT(B466)&lt;CFG_PSTART,INT(B466)&gt;CFG_PEND),"Fecha fuera del período",IF(OR(NOT(ISNUMBER(Z466)),NOT(ISNUMBER(AA466))),"Falta hora inicio/fin o formato inválido",IF(AB466=0,"Hora inicio = hora fin",IF(AE466&lt;0,"Descanso inválido",IF(AE466&gt;=AD466,"Descanso ≥ duración",IF(AV466=1,"Registro duplicado",IF(AZ466&gt;0,"Se superpone con otro registro "&amp;D466,IF(BB466=0,"inicio, fin y duración neta deben ser múltiplos de "&amp;CFG_BLK&amp;" min",""))))))))))))</f>
        <v/>
      </c>
      <c r="BD466" s="80">
        <f>IF(AND(Y466=1,BC466=""),1,0)</f>
        <v>0</v>
      </c>
      <c r="BE466" s="80">
        <f>IF(AND(BD466=1,AU466=1),1,0)</f>
        <v>0</v>
      </c>
      <c r="BF466" s="80" t="str">
        <f>IF(AND(D466="proMX",BD466=1),IF(R466="","Draft",R466),"")</f>
        <v/>
      </c>
      <c r="BG466" s="80">
        <f>IF(BD466=1,ROUND(AG466/60,6),0)</f>
        <v>0</v>
      </c>
      <c r="BH466" s="80">
        <f>IF(BE466=1,ROUND(AG466/60,6),0)</f>
        <v>0</v>
      </c>
      <c r="BI466" s="80">
        <f>IF(BE466=1,ROUND(AP466/60,6),0)</f>
        <v>0</v>
      </c>
      <c r="BJ466" s="80">
        <f>IF(BE466=1,ROUND(AQ466/60,6),0)</f>
        <v>0</v>
      </c>
      <c r="BK466" s="80">
        <f>IF(BE466=1,ROUND((AR466+AS466)/60,6),0)</f>
        <v>0</v>
      </c>
      <c r="BL466" s="80">
        <f>ROUND(BH466-BK466,6)</f>
        <v>0</v>
      </c>
      <c r="BM466" s="80">
        <f>IF(BE466=1,ROUND(AR466/60,6),0)</f>
        <v>0</v>
      </c>
      <c r="BN466" s="80">
        <f>ROUND(BI466-BM466,6)</f>
        <v>0</v>
      </c>
      <c r="BO466" s="80">
        <f>IF(BE466=1,ROUND(AS466/60,6),0)</f>
        <v>0</v>
      </c>
      <c r="BP466" s="80">
        <f>ROUND(BJ466-BO466,6)</f>
        <v>0</v>
      </c>
      <c r="BQ466" s="80">
        <f>IF(BE466=1,AW466,0)</f>
        <v>0</v>
      </c>
      <c r="BR466" s="80">
        <f>IF(BE466=1,AX466,0)</f>
        <v>0</v>
      </c>
      <c r="BS466" s="80">
        <f>IF(AND(BE466=1,D466="Malcolm",BA466&gt;0),MIN(BH466,SUMPRODUCT((R_Emp="proMX")*(R_EN&gt;0)*((R_EN-(R_EN&gt;BR466)*(R_EN-BR466))&gt;(R_SN+(R_SN&lt;BQ466)*(BQ466-R_SN)))*((R_EN-(R_EN&gt;BR466)*(R_EN-BR466))-(R_SN+(R_SN&lt;BQ466)*(BQ466-R_SN))))/60),0)</f>
        <v>0</v>
      </c>
      <c r="BT466" s="80">
        <f>IF(AND(BE466=1,D466="proMX"),ROUND(BI466*CFG_RATE+BJ466*CFG_OTRATE,6),0)</f>
        <v>0</v>
      </c>
      <c r="BU466" s="80">
        <f>IF(AND(BD466=1,D466="proMX"),ROUND(AG466/CFG_BLK,6),0)</f>
        <v>0</v>
      </c>
      <c r="BV466" s="80" t="str">
        <f>IF(BF466="Approved",IF(ISNUMBER(T466),INT(T466),INT(B466)),"")</f>
        <v/>
      </c>
      <c r="BW466" s="80">
        <f>IF(ISNUMBER(B466),IF(DB_MON="Todos",1,IF(AND(INT(B466)&gt;=DB_MS,INT(B466)&lt;=DB_ME),1,0)),0)</f>
        <v>0</v>
      </c>
      <c r="BX466" s="80">
        <f>IF(DB_PROJ="Todos",1,IF(E466&amp;""=DB_PROJ&amp;"",1,0))</f>
        <v>1</v>
      </c>
      <c r="BY466" s="80">
        <f>BW466*BX466</f>
        <v>0</v>
      </c>
      <c r="BZ466" s="80" t="str">
        <f>IF(Y466=1,F466&amp;IF(AND(F466&amp;""&lt;&gt;"",E466&amp;""&lt;&gt;"")," · ","")&amp;E466,"")</f>
        <v/>
      </c>
      <c r="CA466" s="80" t="str">
        <f>IF(AND(BD466=1,E466&amp;""&lt;&gt;""),IF(COUNTIFS($E$5:E465,E466,$BD$5:BD465,1)=0,MAX($CA$5:CA465)+1,""),"")</f>
        <v/>
      </c>
      <c r="CB466" s="80" t="str">
        <f>IF(AND(BE466=1,D466="Malcolm",E466&amp;""&lt;&gt;""),IF(COUNTIFS($D$5:D465,"Malcolm",$E$5:E465,E466,$BE$5:BE465,1)=0,MAX($CB$5:CB465)+1,""),"")</f>
        <v/>
      </c>
      <c r="CC466" s="80" t="str">
        <f>IF(AND(BD466=1,D466="proMX",E466&amp;""&lt;&gt;""),IF(COUNTIFS($D$5:D465,"proMX",$E$5:E465,E466,$BD$5:BD465,1)=0,MAX($CC$5:CC465)+1,""),"")</f>
        <v/>
      </c>
      <c r="CD466" s="80" t="str">
        <f>IF(AND(BE466=1,D466="Malcolm",F466&amp;""&lt;&gt;""),IF(COUNTIFS($D$5:D465,"Malcolm",$F$5:F465,F466,$BE$5:BE465,1)=0,MAX($CD$5:CD465)+1,""),"")</f>
        <v/>
      </c>
      <c r="CE466" s="80" t="str">
        <f>IF(AND(BD466=1,D466="proMX",F466&amp;""&lt;&gt;""),IF(COUNTIFS($D$5:D465,"proMX",$F$5:F465,F466,$BD$5:BD465,1)=0,MAX($CE$5:CE465)+1,""),"")</f>
        <v/>
      </c>
      <c r="CF466" s="80" t="str">
        <f>IF(AND(D466="proMX",BD466=1),IF(OR(BF466="Draft",BF466="Submitted",BF466="Returned",BF466="Recall Requested"),MAX($CF$5:CF465)+1,""),"")</f>
        <v/>
      </c>
      <c r="CG466" s="80">
        <f>IF(BD466=0,0,IF(D466="Malcolm",1,MATCH(BF466,{"Draft","Submitted","Approved","Returned","Recall Requested","Cancelled"},0)+1))</f>
        <v>0</v>
      </c>
      <c r="CH466" s="80">
        <f>IF(AND(BF466="Submitted",ISNUMBER(V466)),IF(V466&gt;CFG_MAXD,1,0),0)</f>
        <v>0</v>
      </c>
    </row>
    <row r="467">
      <c r="A467" s="71" t="str">
        <f>IF(Y467=1,ROW()-5,"")</f>
        <v/>
      </c>
      <c r="B467" s="72" t="n"/>
      <c r="C467" s="71" t="str">
        <f>IF(ISNUMBER(B467),CHOOSE(WEEKDAY(B467,2),"Lun","Mar","Mié","Jue","Vie","Sáb","Dom"),"")</f>
        <v/>
      </c>
      <c r="D467" s="73" t="n"/>
      <c r="E467" s="74" t="n"/>
      <c r="F467" s="74" t="n"/>
      <c r="G467" s="74" t="n"/>
      <c r="H467" s="75" t="n"/>
      <c r="I467" s="75" t="n"/>
      <c r="J467" s="76" t="n"/>
      <c r="K467" s="77" t="str">
        <f>IF(AB467=1,ROUND(AG467/60,4),"")</f>
        <v/>
      </c>
      <c r="L467" s="77" t="str">
        <f>IF(BD467=1,ROUND(AP467/60,4),"")</f>
        <v/>
      </c>
      <c r="M467" s="77" t="str">
        <f>IF(BD467=1,ROUND(AQ467/60,4),"")</f>
        <v/>
      </c>
      <c r="N467" s="71" t="str">
        <f>IF(AND(D467="proMX",AB467=1),ROUND(AG467/CFG_BLK,2),"")</f>
        <v/>
      </c>
      <c r="O467" s="77" t="str">
        <f>IF(D467="proMX",IF(BD467=1,ROUND(AG467/60,4),0),"")</f>
        <v/>
      </c>
      <c r="P467" s="78" t="str">
        <f>IF(Y467=0,"",IF(BD467=1,"OK",IF(D467="proMX","Revisar bloques: ","Revisar: ")&amp;BC467))</f>
        <v/>
      </c>
      <c r="Q467" s="78" t="str">
        <f>IF(NOT(ISNUMBER(B467)),"",IF(COUNTIFS(FER_F,INT(B467))&gt;0,"Feriado"&amp;IF(AH467=1," (laborable)"," (no laborable)"),IF(AH467=1,"Laborable",IF(WEEKDAY(B467,2)&gt;5,"Fin de semana","No laborable"))))</f>
        <v/>
      </c>
      <c r="R467" s="73" t="n"/>
      <c r="S467" s="72" t="n"/>
      <c r="T467" s="72" t="n"/>
      <c r="U467" s="74" t="n"/>
      <c r="V467" s="79" t="str">
        <f>IF(AND(D467="proMX",OR(R467="Submitted",R467="Recall Requested"),ISNUMBER(S467)),CFG_TODAY-INT(S467),"")</f>
        <v/>
      </c>
      <c r="W467" s="78" t="str">
        <f>IF(BD467=0,"",IF(BA467&gt;0,"⚠ Se superpone con un registro de la otra empresa",IF(D467="Malcolm",IF(COUNTA(R467,S467,T467)&gt;0,"Estado/fechas proMX se ignoran en Malcolm",""),IF(BF467="Cancelled","Cancelado: excluido de totales",IF(R467="","Sin estado: se trata como Draft",IF(BF467="Submitted",IF(ISNUMBER(V467),IF(V467&gt;CFG_MAXD,"⚠ "&amp;V467&amp;" días en Submitted (máx. "&amp;CFG_MAXD&amp;")",""),"Falta fecha de envío"),IF(BF467="Returned","⚠ Devuelto: corregir y reenviar",IF(BF467="Recall Requested","Retirada solicitada: pendiente",IF(AND(BF467="Approved",NOT(ISNUMBER(T467))),"Falta fecha de aprobación",IF(AND(ISNUMBER(S467),ISNUMBER(T467),T467&lt;S467),"Aprobación anterior al envío","")))))))))</f>
        <v/>
      </c>
      <c r="Y467" s="80">
        <f>IF(COUNTA(B467,D467,E467,F467,G467,H467,I467,J467,R467,S467,T467)&gt;0,1,0)</f>
        <v>0</v>
      </c>
      <c r="Z467" s="80" t="str">
        <f>IF(AND(ISNUMBER(H467),H467&gt;=0,H467&lt;1),ROUND(H467*1440,0),"")</f>
        <v/>
      </c>
      <c r="AA467" s="80" t="str">
        <f>IF(AND(ISNUMBER(I467),I467&gt;=0,I467&lt;1),ROUND(I467*1440,0),"")</f>
        <v/>
      </c>
      <c r="AB467" s="80">
        <f>IF(AND(ISNUMBER(B467),D467&lt;&gt;"",ISNUMBER(Z467),ISNUMBER(AA467)),IF(Z467=AA467,0,1),0)</f>
        <v>0</v>
      </c>
      <c r="AC467" s="80">
        <f>IF(AB467=1,IF(AA467&lt;Z467,1,0),0)</f>
        <v>0</v>
      </c>
      <c r="AD467" s="80">
        <f>IF(AB467=1,IF(AC467=1,1440-Z467+AA467,AA467-Z467),0)</f>
        <v>0</v>
      </c>
      <c r="AE467" s="80">
        <f>IF(J467="",0,IF(ISNUMBER(J467),J467,-1))</f>
        <v>0</v>
      </c>
      <c r="AF467" s="80">
        <f>MIN(MAX(0,AE467),AD467)</f>
        <v>0</v>
      </c>
      <c r="AG467" s="80">
        <f>MAX(0,AD467-MAX(0,AE467))</f>
        <v>0</v>
      </c>
      <c r="AH467" s="80">
        <f>IF(ISNUMBER(B467),IF(AND(INDEX(CFG_WDAYS,WEEKDAY(INT(B467),2))="Sí",IF(D467="proMX",COUNTIFS(FER_F,INT(B467),FER_NLP,"Sí"),COUNTIFS(FER_F,INT(B467),FER_NLM,"Sí"))=0),1,0),0)</f>
        <v>0</v>
      </c>
      <c r="AI467" s="80">
        <f>IF(AC467=1,IF(AND(INDEX(CFG_WDAYS,WEEKDAY(INT(B467)+1,2))="Sí",IF(D467="proMX",COUNTIFS(FER_F,INT(B467)+1,FER_NLP,"Sí"),COUNTIFS(FER_F,INT(B467)+1,FER_NLM,"Sí"))=0),1,0),0)</f>
        <v>0</v>
      </c>
      <c r="AJ467" s="80">
        <f>IF(AC467=1,1440-Z467,AD467)</f>
        <v>0</v>
      </c>
      <c r="AK467" s="80">
        <f>IF(AND(AB467=1,AH467=1),MAX(0,MIN(IF(AC467=1,1440,AA467),CFG_WEM)-MAX(Z467,CFG_WSM)),0)</f>
        <v>0</v>
      </c>
      <c r="AL467" s="80">
        <f>IF(AND(AC467=1,AI467=1),MAX(0,MIN(AA467,CFG_WEM)-CFG_WSM),0)</f>
        <v>0</v>
      </c>
      <c r="AM467" s="80">
        <f>AK467+AL467</f>
        <v>0</v>
      </c>
      <c r="AN467" s="80">
        <f>IF(CFG_BRK="Proporcional",IF(AD467=0,0,AF467*AM467/AD467),IF(CFG_BRK="Extras primero",MIN(AM467,MAX(0,AF467-(AD467-AM467))),MIN(AF467,AM467)))</f>
        <v>0</v>
      </c>
      <c r="AO467" s="80">
        <f>AF467-AN467</f>
        <v>0</v>
      </c>
      <c r="AP467" s="80">
        <f>AM467-AN467</f>
        <v>0</v>
      </c>
      <c r="AQ467" s="80">
        <f>AD467-AM467-AO467</f>
        <v>0</v>
      </c>
      <c r="AR467" s="80">
        <f>IF(AM467=0,0,AK467-AN467*AK467/AM467)</f>
        <v>0</v>
      </c>
      <c r="AS467" s="80">
        <f>IF(AD467-AM467=0,0,(AJ467-AK467)-AO467*(AJ467-AK467)/(AD467-AM467))</f>
        <v>0</v>
      </c>
      <c r="AT467" s="80" t="str">
        <f>IF(AC467=1,INT(B467)+1,"")</f>
        <v/>
      </c>
      <c r="AU467" s="80">
        <f>IF(AND(D467="proMX",R467="Cancelled"),0,1)</f>
        <v>1</v>
      </c>
      <c r="AV467" s="80">
        <f>IF(AND(AB467=1,AU467=1),IF(COUNTIFS($D$5:D466,D467,$B$5:B466,B467,$Z$5:Z466,Z467,$AA$5:AA466,AA467,$F$5:F466,F467&amp;"",$AU$5:AU466,1)&gt;0,1,0),0)</f>
        <v>0</v>
      </c>
      <c r="AW467" s="80" t="str">
        <f>IF(AB467=1,INT(B467)*1440+Z467,"")</f>
        <v/>
      </c>
      <c r="AX467" s="80" t="str">
        <f>IF(AB467=1,AW467+AD467,"")</f>
        <v/>
      </c>
      <c r="AY467" s="80">
        <f>IF(AND(AB467=1,AV467=0,AU467=1),1,0)</f>
        <v>0</v>
      </c>
      <c r="AZ467" s="80">
        <f>IF(AY467=1,COUNTIFS(R_Emp,D467,R_SAbs,"&lt;"&amp;AX467,R_EAbs,"&gt;"&amp;AW467,R_OKey,1)-1,0)</f>
        <v>0</v>
      </c>
      <c r="BA467" s="80">
        <f>IF(AY467=1,COUNTIFS(R_Emp,"&lt;&gt;"&amp;D467,R_SAbs,"&lt;"&amp;AX467,R_EAbs,"&gt;"&amp;AW467,R_OKey,1),0)</f>
        <v>0</v>
      </c>
      <c r="BB467" s="80">
        <f>IF(AND(AB467=1,D467="proMX"),IF(AND(MOD(Z467,CFG_BLK)=0,MOD(AA467,CFG_BLK)=0,MOD(AG467,CFG_BLK)=0,AG467&gt;0),1,0),1)</f>
        <v>1</v>
      </c>
      <c r="BC467" s="80" t="str">
        <f>IF(Y467=0,"",IF(NOT(ISNUMBER(B467)),"Falta fecha o fecha inválida",IF(D467="","Falta empresa",IF(AND(D467&lt;&gt;"Malcolm",D467&lt;&gt;"proMX"),"Empresa inválida",IF(OR(INT(B467)&lt;CFG_PSTART,INT(B467)&gt;CFG_PEND),"Fecha fuera del período",IF(OR(NOT(ISNUMBER(Z467)),NOT(ISNUMBER(AA467))),"Falta hora inicio/fin o formato inválido",IF(AB467=0,"Hora inicio = hora fin",IF(AE467&lt;0,"Descanso inválido",IF(AE467&gt;=AD467,"Descanso ≥ duración",IF(AV467=1,"Registro duplicado",IF(AZ467&gt;0,"Se superpone con otro registro "&amp;D467,IF(BB467=0,"inicio, fin y duración neta deben ser múltiplos de "&amp;CFG_BLK&amp;" min",""))))))))))))</f>
        <v/>
      </c>
      <c r="BD467" s="80">
        <f>IF(AND(Y467=1,BC467=""),1,0)</f>
        <v>0</v>
      </c>
      <c r="BE467" s="80">
        <f>IF(AND(BD467=1,AU467=1),1,0)</f>
        <v>0</v>
      </c>
      <c r="BF467" s="80" t="str">
        <f>IF(AND(D467="proMX",BD467=1),IF(R467="","Draft",R467),"")</f>
        <v/>
      </c>
      <c r="BG467" s="80">
        <f>IF(BD467=1,ROUND(AG467/60,6),0)</f>
        <v>0</v>
      </c>
      <c r="BH467" s="80">
        <f>IF(BE467=1,ROUND(AG467/60,6),0)</f>
        <v>0</v>
      </c>
      <c r="BI467" s="80">
        <f>IF(BE467=1,ROUND(AP467/60,6),0)</f>
        <v>0</v>
      </c>
      <c r="BJ467" s="80">
        <f>IF(BE467=1,ROUND(AQ467/60,6),0)</f>
        <v>0</v>
      </c>
      <c r="BK467" s="80">
        <f>IF(BE467=1,ROUND((AR467+AS467)/60,6),0)</f>
        <v>0</v>
      </c>
      <c r="BL467" s="80">
        <f>ROUND(BH467-BK467,6)</f>
        <v>0</v>
      </c>
      <c r="BM467" s="80">
        <f>IF(BE467=1,ROUND(AR467/60,6),0)</f>
        <v>0</v>
      </c>
      <c r="BN467" s="80">
        <f>ROUND(BI467-BM467,6)</f>
        <v>0</v>
      </c>
      <c r="BO467" s="80">
        <f>IF(BE467=1,ROUND(AS467/60,6),0)</f>
        <v>0</v>
      </c>
      <c r="BP467" s="80">
        <f>ROUND(BJ467-BO467,6)</f>
        <v>0</v>
      </c>
      <c r="BQ467" s="80">
        <f>IF(BE467=1,AW467,0)</f>
        <v>0</v>
      </c>
      <c r="BR467" s="80">
        <f>IF(BE467=1,AX467,0)</f>
        <v>0</v>
      </c>
      <c r="BS467" s="80">
        <f>IF(AND(BE467=1,D467="Malcolm",BA467&gt;0),MIN(BH467,SUMPRODUCT((R_Emp="proMX")*(R_EN&gt;0)*((R_EN-(R_EN&gt;BR467)*(R_EN-BR467))&gt;(R_SN+(R_SN&lt;BQ467)*(BQ467-R_SN)))*((R_EN-(R_EN&gt;BR467)*(R_EN-BR467))-(R_SN+(R_SN&lt;BQ467)*(BQ467-R_SN))))/60),0)</f>
        <v>0</v>
      </c>
      <c r="BT467" s="80">
        <f>IF(AND(BE467=1,D467="proMX"),ROUND(BI467*CFG_RATE+BJ467*CFG_OTRATE,6),0)</f>
        <v>0</v>
      </c>
      <c r="BU467" s="80">
        <f>IF(AND(BD467=1,D467="proMX"),ROUND(AG467/CFG_BLK,6),0)</f>
        <v>0</v>
      </c>
      <c r="BV467" s="80" t="str">
        <f>IF(BF467="Approved",IF(ISNUMBER(T467),INT(T467),INT(B467)),"")</f>
        <v/>
      </c>
      <c r="BW467" s="80">
        <f>IF(ISNUMBER(B467),IF(DB_MON="Todos",1,IF(AND(INT(B467)&gt;=DB_MS,INT(B467)&lt;=DB_ME),1,0)),0)</f>
        <v>0</v>
      </c>
      <c r="BX467" s="80">
        <f>IF(DB_PROJ="Todos",1,IF(E467&amp;""=DB_PROJ&amp;"",1,0))</f>
        <v>1</v>
      </c>
      <c r="BY467" s="80">
        <f>BW467*BX467</f>
        <v>0</v>
      </c>
      <c r="BZ467" s="80" t="str">
        <f>IF(Y467=1,F467&amp;IF(AND(F467&amp;""&lt;&gt;"",E467&amp;""&lt;&gt;"")," · ","")&amp;E467,"")</f>
        <v/>
      </c>
      <c r="CA467" s="80" t="str">
        <f>IF(AND(BD467=1,E467&amp;""&lt;&gt;""),IF(COUNTIFS($E$5:E466,E467,$BD$5:BD466,1)=0,MAX($CA$5:CA466)+1,""),"")</f>
        <v/>
      </c>
      <c r="CB467" s="80" t="str">
        <f>IF(AND(BE467=1,D467="Malcolm",E467&amp;""&lt;&gt;""),IF(COUNTIFS($D$5:D466,"Malcolm",$E$5:E466,E467,$BE$5:BE466,1)=0,MAX($CB$5:CB466)+1,""),"")</f>
        <v/>
      </c>
      <c r="CC467" s="80" t="str">
        <f>IF(AND(BD467=1,D467="proMX",E467&amp;""&lt;&gt;""),IF(COUNTIFS($D$5:D466,"proMX",$E$5:E466,E467,$BD$5:BD466,1)=0,MAX($CC$5:CC466)+1,""),"")</f>
        <v/>
      </c>
      <c r="CD467" s="80" t="str">
        <f>IF(AND(BE467=1,D467="Malcolm",F467&amp;""&lt;&gt;""),IF(COUNTIFS($D$5:D466,"Malcolm",$F$5:F466,F467,$BE$5:BE466,1)=0,MAX($CD$5:CD466)+1,""),"")</f>
        <v/>
      </c>
      <c r="CE467" s="80" t="str">
        <f>IF(AND(BD467=1,D467="proMX",F467&amp;""&lt;&gt;""),IF(COUNTIFS($D$5:D466,"proMX",$F$5:F466,F467,$BD$5:BD466,1)=0,MAX($CE$5:CE466)+1,""),"")</f>
        <v/>
      </c>
      <c r="CF467" s="80" t="str">
        <f>IF(AND(D467="proMX",BD467=1),IF(OR(BF467="Draft",BF467="Submitted",BF467="Returned",BF467="Recall Requested"),MAX($CF$5:CF466)+1,""),"")</f>
        <v/>
      </c>
      <c r="CG467" s="80">
        <f>IF(BD467=0,0,IF(D467="Malcolm",1,MATCH(BF467,{"Draft","Submitted","Approved","Returned","Recall Requested","Cancelled"},0)+1))</f>
        <v>0</v>
      </c>
      <c r="CH467" s="80">
        <f>IF(AND(BF467="Submitted",ISNUMBER(V467)),IF(V467&gt;CFG_MAXD,1,0),0)</f>
        <v>0</v>
      </c>
    </row>
    <row r="468">
      <c r="A468" s="71" t="str">
        <f>IF(Y468=1,ROW()-5,"")</f>
        <v/>
      </c>
      <c r="B468" s="72" t="n"/>
      <c r="C468" s="71" t="str">
        <f>IF(ISNUMBER(B468),CHOOSE(WEEKDAY(B468,2),"Lun","Mar","Mié","Jue","Vie","Sáb","Dom"),"")</f>
        <v/>
      </c>
      <c r="D468" s="73" t="n"/>
      <c r="E468" s="74" t="n"/>
      <c r="F468" s="74" t="n"/>
      <c r="G468" s="74" t="n"/>
      <c r="H468" s="75" t="n"/>
      <c r="I468" s="75" t="n"/>
      <c r="J468" s="76" t="n"/>
      <c r="K468" s="77" t="str">
        <f>IF(AB468=1,ROUND(AG468/60,4),"")</f>
        <v/>
      </c>
      <c r="L468" s="77" t="str">
        <f>IF(BD468=1,ROUND(AP468/60,4),"")</f>
        <v/>
      </c>
      <c r="M468" s="77" t="str">
        <f>IF(BD468=1,ROUND(AQ468/60,4),"")</f>
        <v/>
      </c>
      <c r="N468" s="71" t="str">
        <f>IF(AND(D468="proMX",AB468=1),ROUND(AG468/CFG_BLK,2),"")</f>
        <v/>
      </c>
      <c r="O468" s="77" t="str">
        <f>IF(D468="proMX",IF(BD468=1,ROUND(AG468/60,4),0),"")</f>
        <v/>
      </c>
      <c r="P468" s="78" t="str">
        <f>IF(Y468=0,"",IF(BD468=1,"OK",IF(D468="proMX","Revisar bloques: ","Revisar: ")&amp;BC468))</f>
        <v/>
      </c>
      <c r="Q468" s="78" t="str">
        <f>IF(NOT(ISNUMBER(B468)),"",IF(COUNTIFS(FER_F,INT(B468))&gt;0,"Feriado"&amp;IF(AH468=1," (laborable)"," (no laborable)"),IF(AH468=1,"Laborable",IF(WEEKDAY(B468,2)&gt;5,"Fin de semana","No laborable"))))</f>
        <v/>
      </c>
      <c r="R468" s="73" t="n"/>
      <c r="S468" s="72" t="n"/>
      <c r="T468" s="72" t="n"/>
      <c r="U468" s="74" t="n"/>
      <c r="V468" s="79" t="str">
        <f>IF(AND(D468="proMX",OR(R468="Submitted",R468="Recall Requested"),ISNUMBER(S468)),CFG_TODAY-INT(S468),"")</f>
        <v/>
      </c>
      <c r="W468" s="78" t="str">
        <f>IF(BD468=0,"",IF(BA468&gt;0,"⚠ Se superpone con un registro de la otra empresa",IF(D468="Malcolm",IF(COUNTA(R468,S468,T468)&gt;0,"Estado/fechas proMX se ignoran en Malcolm",""),IF(BF468="Cancelled","Cancelado: excluido de totales",IF(R468="","Sin estado: se trata como Draft",IF(BF468="Submitted",IF(ISNUMBER(V468),IF(V468&gt;CFG_MAXD,"⚠ "&amp;V468&amp;" días en Submitted (máx. "&amp;CFG_MAXD&amp;")",""),"Falta fecha de envío"),IF(BF468="Returned","⚠ Devuelto: corregir y reenviar",IF(BF468="Recall Requested","Retirada solicitada: pendiente",IF(AND(BF468="Approved",NOT(ISNUMBER(T468))),"Falta fecha de aprobación",IF(AND(ISNUMBER(S468),ISNUMBER(T468),T468&lt;S468),"Aprobación anterior al envío","")))))))))</f>
        <v/>
      </c>
      <c r="Y468" s="80">
        <f>IF(COUNTA(B468,D468,E468,F468,G468,H468,I468,J468,R468,S468,T468)&gt;0,1,0)</f>
        <v>0</v>
      </c>
      <c r="Z468" s="80" t="str">
        <f>IF(AND(ISNUMBER(H468),H468&gt;=0,H468&lt;1),ROUND(H468*1440,0),"")</f>
        <v/>
      </c>
      <c r="AA468" s="80" t="str">
        <f>IF(AND(ISNUMBER(I468),I468&gt;=0,I468&lt;1),ROUND(I468*1440,0),"")</f>
        <v/>
      </c>
      <c r="AB468" s="80">
        <f>IF(AND(ISNUMBER(B468),D468&lt;&gt;"",ISNUMBER(Z468),ISNUMBER(AA468)),IF(Z468=AA468,0,1),0)</f>
        <v>0</v>
      </c>
      <c r="AC468" s="80">
        <f>IF(AB468=1,IF(AA468&lt;Z468,1,0),0)</f>
        <v>0</v>
      </c>
      <c r="AD468" s="80">
        <f>IF(AB468=1,IF(AC468=1,1440-Z468+AA468,AA468-Z468),0)</f>
        <v>0</v>
      </c>
      <c r="AE468" s="80">
        <f>IF(J468="",0,IF(ISNUMBER(J468),J468,-1))</f>
        <v>0</v>
      </c>
      <c r="AF468" s="80">
        <f>MIN(MAX(0,AE468),AD468)</f>
        <v>0</v>
      </c>
      <c r="AG468" s="80">
        <f>MAX(0,AD468-MAX(0,AE468))</f>
        <v>0</v>
      </c>
      <c r="AH468" s="80">
        <f>IF(ISNUMBER(B468),IF(AND(INDEX(CFG_WDAYS,WEEKDAY(INT(B468),2))="Sí",IF(D468="proMX",COUNTIFS(FER_F,INT(B468),FER_NLP,"Sí"),COUNTIFS(FER_F,INT(B468),FER_NLM,"Sí"))=0),1,0),0)</f>
        <v>0</v>
      </c>
      <c r="AI468" s="80">
        <f>IF(AC468=1,IF(AND(INDEX(CFG_WDAYS,WEEKDAY(INT(B468)+1,2))="Sí",IF(D468="proMX",COUNTIFS(FER_F,INT(B468)+1,FER_NLP,"Sí"),COUNTIFS(FER_F,INT(B468)+1,FER_NLM,"Sí"))=0),1,0),0)</f>
        <v>0</v>
      </c>
      <c r="AJ468" s="80">
        <f>IF(AC468=1,1440-Z468,AD468)</f>
        <v>0</v>
      </c>
      <c r="AK468" s="80">
        <f>IF(AND(AB468=1,AH468=1),MAX(0,MIN(IF(AC468=1,1440,AA468),CFG_WEM)-MAX(Z468,CFG_WSM)),0)</f>
        <v>0</v>
      </c>
      <c r="AL468" s="80">
        <f>IF(AND(AC468=1,AI468=1),MAX(0,MIN(AA468,CFG_WEM)-CFG_WSM),0)</f>
        <v>0</v>
      </c>
      <c r="AM468" s="80">
        <f>AK468+AL468</f>
        <v>0</v>
      </c>
      <c r="AN468" s="80">
        <f>IF(CFG_BRK="Proporcional",IF(AD468=0,0,AF468*AM468/AD468),IF(CFG_BRK="Extras primero",MIN(AM468,MAX(0,AF468-(AD468-AM468))),MIN(AF468,AM468)))</f>
        <v>0</v>
      </c>
      <c r="AO468" s="80">
        <f>AF468-AN468</f>
        <v>0</v>
      </c>
      <c r="AP468" s="80">
        <f>AM468-AN468</f>
        <v>0</v>
      </c>
      <c r="AQ468" s="80">
        <f>AD468-AM468-AO468</f>
        <v>0</v>
      </c>
      <c r="AR468" s="80">
        <f>IF(AM468=0,0,AK468-AN468*AK468/AM468)</f>
        <v>0</v>
      </c>
      <c r="AS468" s="80">
        <f>IF(AD468-AM468=0,0,(AJ468-AK468)-AO468*(AJ468-AK468)/(AD468-AM468))</f>
        <v>0</v>
      </c>
      <c r="AT468" s="80" t="str">
        <f>IF(AC468=1,INT(B468)+1,"")</f>
        <v/>
      </c>
      <c r="AU468" s="80">
        <f>IF(AND(D468="proMX",R468="Cancelled"),0,1)</f>
        <v>1</v>
      </c>
      <c r="AV468" s="80">
        <f>IF(AND(AB468=1,AU468=1),IF(COUNTIFS($D$5:D467,D468,$B$5:B467,B468,$Z$5:Z467,Z468,$AA$5:AA467,AA468,$F$5:F467,F468&amp;"",$AU$5:AU467,1)&gt;0,1,0),0)</f>
        <v>0</v>
      </c>
      <c r="AW468" s="80" t="str">
        <f>IF(AB468=1,INT(B468)*1440+Z468,"")</f>
        <v/>
      </c>
      <c r="AX468" s="80" t="str">
        <f>IF(AB468=1,AW468+AD468,"")</f>
        <v/>
      </c>
      <c r="AY468" s="80">
        <f>IF(AND(AB468=1,AV468=0,AU468=1),1,0)</f>
        <v>0</v>
      </c>
      <c r="AZ468" s="80">
        <f>IF(AY468=1,COUNTIFS(R_Emp,D468,R_SAbs,"&lt;"&amp;AX468,R_EAbs,"&gt;"&amp;AW468,R_OKey,1)-1,0)</f>
        <v>0</v>
      </c>
      <c r="BA468" s="80">
        <f>IF(AY468=1,COUNTIFS(R_Emp,"&lt;&gt;"&amp;D468,R_SAbs,"&lt;"&amp;AX468,R_EAbs,"&gt;"&amp;AW468,R_OKey,1),0)</f>
        <v>0</v>
      </c>
      <c r="BB468" s="80">
        <f>IF(AND(AB468=1,D468="proMX"),IF(AND(MOD(Z468,CFG_BLK)=0,MOD(AA468,CFG_BLK)=0,MOD(AG468,CFG_BLK)=0,AG468&gt;0),1,0),1)</f>
        <v>1</v>
      </c>
      <c r="BC468" s="80" t="str">
        <f>IF(Y468=0,"",IF(NOT(ISNUMBER(B468)),"Falta fecha o fecha inválida",IF(D468="","Falta empresa",IF(AND(D468&lt;&gt;"Malcolm",D468&lt;&gt;"proMX"),"Empresa inválida",IF(OR(INT(B468)&lt;CFG_PSTART,INT(B468)&gt;CFG_PEND),"Fecha fuera del período",IF(OR(NOT(ISNUMBER(Z468)),NOT(ISNUMBER(AA468))),"Falta hora inicio/fin o formato inválido",IF(AB468=0,"Hora inicio = hora fin",IF(AE468&lt;0,"Descanso inválido",IF(AE468&gt;=AD468,"Descanso ≥ duración",IF(AV468=1,"Registro duplicado",IF(AZ468&gt;0,"Se superpone con otro registro "&amp;D468,IF(BB468=0,"inicio, fin y duración neta deben ser múltiplos de "&amp;CFG_BLK&amp;" min",""))))))))))))</f>
        <v/>
      </c>
      <c r="BD468" s="80">
        <f>IF(AND(Y468=1,BC468=""),1,0)</f>
        <v>0</v>
      </c>
      <c r="BE468" s="80">
        <f>IF(AND(BD468=1,AU468=1),1,0)</f>
        <v>0</v>
      </c>
      <c r="BF468" s="80" t="str">
        <f>IF(AND(D468="proMX",BD468=1),IF(R468="","Draft",R468),"")</f>
        <v/>
      </c>
      <c r="BG468" s="80">
        <f>IF(BD468=1,ROUND(AG468/60,6),0)</f>
        <v>0</v>
      </c>
      <c r="BH468" s="80">
        <f>IF(BE468=1,ROUND(AG468/60,6),0)</f>
        <v>0</v>
      </c>
      <c r="BI468" s="80">
        <f>IF(BE468=1,ROUND(AP468/60,6),0)</f>
        <v>0</v>
      </c>
      <c r="BJ468" s="80">
        <f>IF(BE468=1,ROUND(AQ468/60,6),0)</f>
        <v>0</v>
      </c>
      <c r="BK468" s="80">
        <f>IF(BE468=1,ROUND((AR468+AS468)/60,6),0)</f>
        <v>0</v>
      </c>
      <c r="BL468" s="80">
        <f>ROUND(BH468-BK468,6)</f>
        <v>0</v>
      </c>
      <c r="BM468" s="80">
        <f>IF(BE468=1,ROUND(AR468/60,6),0)</f>
        <v>0</v>
      </c>
      <c r="BN468" s="80">
        <f>ROUND(BI468-BM468,6)</f>
        <v>0</v>
      </c>
      <c r="BO468" s="80">
        <f>IF(BE468=1,ROUND(AS468/60,6),0)</f>
        <v>0</v>
      </c>
      <c r="BP468" s="80">
        <f>ROUND(BJ468-BO468,6)</f>
        <v>0</v>
      </c>
      <c r="BQ468" s="80">
        <f>IF(BE468=1,AW468,0)</f>
        <v>0</v>
      </c>
      <c r="BR468" s="80">
        <f>IF(BE468=1,AX468,0)</f>
        <v>0</v>
      </c>
      <c r="BS468" s="80">
        <f>IF(AND(BE468=1,D468="Malcolm",BA468&gt;0),MIN(BH468,SUMPRODUCT((R_Emp="proMX")*(R_EN&gt;0)*((R_EN-(R_EN&gt;BR468)*(R_EN-BR468))&gt;(R_SN+(R_SN&lt;BQ468)*(BQ468-R_SN)))*((R_EN-(R_EN&gt;BR468)*(R_EN-BR468))-(R_SN+(R_SN&lt;BQ468)*(BQ468-R_SN))))/60),0)</f>
        <v>0</v>
      </c>
      <c r="BT468" s="80">
        <f>IF(AND(BE468=1,D468="proMX"),ROUND(BI468*CFG_RATE+BJ468*CFG_OTRATE,6),0)</f>
        <v>0</v>
      </c>
      <c r="BU468" s="80">
        <f>IF(AND(BD468=1,D468="proMX"),ROUND(AG468/CFG_BLK,6),0)</f>
        <v>0</v>
      </c>
      <c r="BV468" s="80" t="str">
        <f>IF(BF468="Approved",IF(ISNUMBER(T468),INT(T468),INT(B468)),"")</f>
        <v/>
      </c>
      <c r="BW468" s="80">
        <f>IF(ISNUMBER(B468),IF(DB_MON="Todos",1,IF(AND(INT(B468)&gt;=DB_MS,INT(B468)&lt;=DB_ME),1,0)),0)</f>
        <v>0</v>
      </c>
      <c r="BX468" s="80">
        <f>IF(DB_PROJ="Todos",1,IF(E468&amp;""=DB_PROJ&amp;"",1,0))</f>
        <v>1</v>
      </c>
      <c r="BY468" s="80">
        <f>BW468*BX468</f>
        <v>0</v>
      </c>
      <c r="BZ468" s="80" t="str">
        <f>IF(Y468=1,F468&amp;IF(AND(F468&amp;""&lt;&gt;"",E468&amp;""&lt;&gt;"")," · ","")&amp;E468,"")</f>
        <v/>
      </c>
      <c r="CA468" s="80" t="str">
        <f>IF(AND(BD468=1,E468&amp;""&lt;&gt;""),IF(COUNTIFS($E$5:E467,E468,$BD$5:BD467,1)=0,MAX($CA$5:CA467)+1,""),"")</f>
        <v/>
      </c>
      <c r="CB468" s="80" t="str">
        <f>IF(AND(BE468=1,D468="Malcolm",E468&amp;""&lt;&gt;""),IF(COUNTIFS($D$5:D467,"Malcolm",$E$5:E467,E468,$BE$5:BE467,1)=0,MAX($CB$5:CB467)+1,""),"")</f>
        <v/>
      </c>
      <c r="CC468" s="80" t="str">
        <f>IF(AND(BD468=1,D468="proMX",E468&amp;""&lt;&gt;""),IF(COUNTIFS($D$5:D467,"proMX",$E$5:E467,E468,$BD$5:BD467,1)=0,MAX($CC$5:CC467)+1,""),"")</f>
        <v/>
      </c>
      <c r="CD468" s="80" t="str">
        <f>IF(AND(BE468=1,D468="Malcolm",F468&amp;""&lt;&gt;""),IF(COUNTIFS($D$5:D467,"Malcolm",$F$5:F467,F468,$BE$5:BE467,1)=0,MAX($CD$5:CD467)+1,""),"")</f>
        <v/>
      </c>
      <c r="CE468" s="80" t="str">
        <f>IF(AND(BD468=1,D468="proMX",F468&amp;""&lt;&gt;""),IF(COUNTIFS($D$5:D467,"proMX",$F$5:F467,F468,$BD$5:BD467,1)=0,MAX($CE$5:CE467)+1,""),"")</f>
        <v/>
      </c>
      <c r="CF468" s="80" t="str">
        <f>IF(AND(D468="proMX",BD468=1),IF(OR(BF468="Draft",BF468="Submitted",BF468="Returned",BF468="Recall Requested"),MAX($CF$5:CF467)+1,""),"")</f>
        <v/>
      </c>
      <c r="CG468" s="80">
        <f>IF(BD468=0,0,IF(D468="Malcolm",1,MATCH(BF468,{"Draft","Submitted","Approved","Returned","Recall Requested","Cancelled"},0)+1))</f>
        <v>0</v>
      </c>
      <c r="CH468" s="80">
        <f>IF(AND(BF468="Submitted",ISNUMBER(V468)),IF(V468&gt;CFG_MAXD,1,0),0)</f>
        <v>0</v>
      </c>
    </row>
    <row r="469">
      <c r="A469" s="71" t="str">
        <f>IF(Y469=1,ROW()-5,"")</f>
        <v/>
      </c>
      <c r="B469" s="72" t="n"/>
      <c r="C469" s="71" t="str">
        <f>IF(ISNUMBER(B469),CHOOSE(WEEKDAY(B469,2),"Lun","Mar","Mié","Jue","Vie","Sáb","Dom"),"")</f>
        <v/>
      </c>
      <c r="D469" s="73" t="n"/>
      <c r="E469" s="74" t="n"/>
      <c r="F469" s="74" t="n"/>
      <c r="G469" s="74" t="n"/>
      <c r="H469" s="75" t="n"/>
      <c r="I469" s="75" t="n"/>
      <c r="J469" s="76" t="n"/>
      <c r="K469" s="77" t="str">
        <f>IF(AB469=1,ROUND(AG469/60,4),"")</f>
        <v/>
      </c>
      <c r="L469" s="77" t="str">
        <f>IF(BD469=1,ROUND(AP469/60,4),"")</f>
        <v/>
      </c>
      <c r="M469" s="77" t="str">
        <f>IF(BD469=1,ROUND(AQ469/60,4),"")</f>
        <v/>
      </c>
      <c r="N469" s="71" t="str">
        <f>IF(AND(D469="proMX",AB469=1),ROUND(AG469/CFG_BLK,2),"")</f>
        <v/>
      </c>
      <c r="O469" s="77" t="str">
        <f>IF(D469="proMX",IF(BD469=1,ROUND(AG469/60,4),0),"")</f>
        <v/>
      </c>
      <c r="P469" s="78" t="str">
        <f>IF(Y469=0,"",IF(BD469=1,"OK",IF(D469="proMX","Revisar bloques: ","Revisar: ")&amp;BC469))</f>
        <v/>
      </c>
      <c r="Q469" s="78" t="str">
        <f>IF(NOT(ISNUMBER(B469)),"",IF(COUNTIFS(FER_F,INT(B469))&gt;0,"Feriado"&amp;IF(AH469=1," (laborable)"," (no laborable)"),IF(AH469=1,"Laborable",IF(WEEKDAY(B469,2)&gt;5,"Fin de semana","No laborable"))))</f>
        <v/>
      </c>
      <c r="R469" s="73" t="n"/>
      <c r="S469" s="72" t="n"/>
      <c r="T469" s="72" t="n"/>
      <c r="U469" s="74" t="n"/>
      <c r="V469" s="79" t="str">
        <f>IF(AND(D469="proMX",OR(R469="Submitted",R469="Recall Requested"),ISNUMBER(S469)),CFG_TODAY-INT(S469),"")</f>
        <v/>
      </c>
      <c r="W469" s="78" t="str">
        <f>IF(BD469=0,"",IF(BA469&gt;0,"⚠ Se superpone con un registro de la otra empresa",IF(D469="Malcolm",IF(COUNTA(R469,S469,T469)&gt;0,"Estado/fechas proMX se ignoran en Malcolm",""),IF(BF469="Cancelled","Cancelado: excluido de totales",IF(R469="","Sin estado: se trata como Draft",IF(BF469="Submitted",IF(ISNUMBER(V469),IF(V469&gt;CFG_MAXD,"⚠ "&amp;V469&amp;" días en Submitted (máx. "&amp;CFG_MAXD&amp;")",""),"Falta fecha de envío"),IF(BF469="Returned","⚠ Devuelto: corregir y reenviar",IF(BF469="Recall Requested","Retirada solicitada: pendiente",IF(AND(BF469="Approved",NOT(ISNUMBER(T469))),"Falta fecha de aprobación",IF(AND(ISNUMBER(S469),ISNUMBER(T469),T469&lt;S469),"Aprobación anterior al envío","")))))))))</f>
        <v/>
      </c>
      <c r="Y469" s="80">
        <f>IF(COUNTA(B469,D469,E469,F469,G469,H469,I469,J469,R469,S469,T469)&gt;0,1,0)</f>
        <v>0</v>
      </c>
      <c r="Z469" s="80" t="str">
        <f>IF(AND(ISNUMBER(H469),H469&gt;=0,H469&lt;1),ROUND(H469*1440,0),"")</f>
        <v/>
      </c>
      <c r="AA469" s="80" t="str">
        <f>IF(AND(ISNUMBER(I469),I469&gt;=0,I469&lt;1),ROUND(I469*1440,0),"")</f>
        <v/>
      </c>
      <c r="AB469" s="80">
        <f>IF(AND(ISNUMBER(B469),D469&lt;&gt;"",ISNUMBER(Z469),ISNUMBER(AA469)),IF(Z469=AA469,0,1),0)</f>
        <v>0</v>
      </c>
      <c r="AC469" s="80">
        <f>IF(AB469=1,IF(AA469&lt;Z469,1,0),0)</f>
        <v>0</v>
      </c>
      <c r="AD469" s="80">
        <f>IF(AB469=1,IF(AC469=1,1440-Z469+AA469,AA469-Z469),0)</f>
        <v>0</v>
      </c>
      <c r="AE469" s="80">
        <f>IF(J469="",0,IF(ISNUMBER(J469),J469,-1))</f>
        <v>0</v>
      </c>
      <c r="AF469" s="80">
        <f>MIN(MAX(0,AE469),AD469)</f>
        <v>0</v>
      </c>
      <c r="AG469" s="80">
        <f>MAX(0,AD469-MAX(0,AE469))</f>
        <v>0</v>
      </c>
      <c r="AH469" s="80">
        <f>IF(ISNUMBER(B469),IF(AND(INDEX(CFG_WDAYS,WEEKDAY(INT(B469),2))="Sí",IF(D469="proMX",COUNTIFS(FER_F,INT(B469),FER_NLP,"Sí"),COUNTIFS(FER_F,INT(B469),FER_NLM,"Sí"))=0),1,0),0)</f>
        <v>0</v>
      </c>
      <c r="AI469" s="80">
        <f>IF(AC469=1,IF(AND(INDEX(CFG_WDAYS,WEEKDAY(INT(B469)+1,2))="Sí",IF(D469="proMX",COUNTIFS(FER_F,INT(B469)+1,FER_NLP,"Sí"),COUNTIFS(FER_F,INT(B469)+1,FER_NLM,"Sí"))=0),1,0),0)</f>
        <v>0</v>
      </c>
      <c r="AJ469" s="80">
        <f>IF(AC469=1,1440-Z469,AD469)</f>
        <v>0</v>
      </c>
      <c r="AK469" s="80">
        <f>IF(AND(AB469=1,AH469=1),MAX(0,MIN(IF(AC469=1,1440,AA469),CFG_WEM)-MAX(Z469,CFG_WSM)),0)</f>
        <v>0</v>
      </c>
      <c r="AL469" s="80">
        <f>IF(AND(AC469=1,AI469=1),MAX(0,MIN(AA469,CFG_WEM)-CFG_WSM),0)</f>
        <v>0</v>
      </c>
      <c r="AM469" s="80">
        <f>AK469+AL469</f>
        <v>0</v>
      </c>
      <c r="AN469" s="80">
        <f>IF(CFG_BRK="Proporcional",IF(AD469=0,0,AF469*AM469/AD469),IF(CFG_BRK="Extras primero",MIN(AM469,MAX(0,AF469-(AD469-AM469))),MIN(AF469,AM469)))</f>
        <v>0</v>
      </c>
      <c r="AO469" s="80">
        <f>AF469-AN469</f>
        <v>0</v>
      </c>
      <c r="AP469" s="80">
        <f>AM469-AN469</f>
        <v>0</v>
      </c>
      <c r="AQ469" s="80">
        <f>AD469-AM469-AO469</f>
        <v>0</v>
      </c>
      <c r="AR469" s="80">
        <f>IF(AM469=0,0,AK469-AN469*AK469/AM469)</f>
        <v>0</v>
      </c>
      <c r="AS469" s="80">
        <f>IF(AD469-AM469=0,0,(AJ469-AK469)-AO469*(AJ469-AK469)/(AD469-AM469))</f>
        <v>0</v>
      </c>
      <c r="AT469" s="80" t="str">
        <f>IF(AC469=1,INT(B469)+1,"")</f>
        <v/>
      </c>
      <c r="AU469" s="80">
        <f>IF(AND(D469="proMX",R469="Cancelled"),0,1)</f>
        <v>1</v>
      </c>
      <c r="AV469" s="80">
        <f>IF(AND(AB469=1,AU469=1),IF(COUNTIFS($D$5:D468,D469,$B$5:B468,B469,$Z$5:Z468,Z469,$AA$5:AA468,AA469,$F$5:F468,F469&amp;"",$AU$5:AU468,1)&gt;0,1,0),0)</f>
        <v>0</v>
      </c>
      <c r="AW469" s="80" t="str">
        <f>IF(AB469=1,INT(B469)*1440+Z469,"")</f>
        <v/>
      </c>
      <c r="AX469" s="80" t="str">
        <f>IF(AB469=1,AW469+AD469,"")</f>
        <v/>
      </c>
      <c r="AY469" s="80">
        <f>IF(AND(AB469=1,AV469=0,AU469=1),1,0)</f>
        <v>0</v>
      </c>
      <c r="AZ469" s="80">
        <f>IF(AY469=1,COUNTIFS(R_Emp,D469,R_SAbs,"&lt;"&amp;AX469,R_EAbs,"&gt;"&amp;AW469,R_OKey,1)-1,0)</f>
        <v>0</v>
      </c>
      <c r="BA469" s="80">
        <f>IF(AY469=1,COUNTIFS(R_Emp,"&lt;&gt;"&amp;D469,R_SAbs,"&lt;"&amp;AX469,R_EAbs,"&gt;"&amp;AW469,R_OKey,1),0)</f>
        <v>0</v>
      </c>
      <c r="BB469" s="80">
        <f>IF(AND(AB469=1,D469="proMX"),IF(AND(MOD(Z469,CFG_BLK)=0,MOD(AA469,CFG_BLK)=0,MOD(AG469,CFG_BLK)=0,AG469&gt;0),1,0),1)</f>
        <v>1</v>
      </c>
      <c r="BC469" s="80" t="str">
        <f>IF(Y469=0,"",IF(NOT(ISNUMBER(B469)),"Falta fecha o fecha inválida",IF(D469="","Falta empresa",IF(AND(D469&lt;&gt;"Malcolm",D469&lt;&gt;"proMX"),"Empresa inválida",IF(OR(INT(B469)&lt;CFG_PSTART,INT(B469)&gt;CFG_PEND),"Fecha fuera del período",IF(OR(NOT(ISNUMBER(Z469)),NOT(ISNUMBER(AA469))),"Falta hora inicio/fin o formato inválido",IF(AB469=0,"Hora inicio = hora fin",IF(AE469&lt;0,"Descanso inválido",IF(AE469&gt;=AD469,"Descanso ≥ duración",IF(AV469=1,"Registro duplicado",IF(AZ469&gt;0,"Se superpone con otro registro "&amp;D469,IF(BB469=0,"inicio, fin y duración neta deben ser múltiplos de "&amp;CFG_BLK&amp;" min",""))))))))))))</f>
        <v/>
      </c>
      <c r="BD469" s="80">
        <f>IF(AND(Y469=1,BC469=""),1,0)</f>
        <v>0</v>
      </c>
      <c r="BE469" s="80">
        <f>IF(AND(BD469=1,AU469=1),1,0)</f>
        <v>0</v>
      </c>
      <c r="BF469" s="80" t="str">
        <f>IF(AND(D469="proMX",BD469=1),IF(R469="","Draft",R469),"")</f>
        <v/>
      </c>
      <c r="BG469" s="80">
        <f>IF(BD469=1,ROUND(AG469/60,6),0)</f>
        <v>0</v>
      </c>
      <c r="BH469" s="80">
        <f>IF(BE469=1,ROUND(AG469/60,6),0)</f>
        <v>0</v>
      </c>
      <c r="BI469" s="80">
        <f>IF(BE469=1,ROUND(AP469/60,6),0)</f>
        <v>0</v>
      </c>
      <c r="BJ469" s="80">
        <f>IF(BE469=1,ROUND(AQ469/60,6),0)</f>
        <v>0</v>
      </c>
      <c r="BK469" s="80">
        <f>IF(BE469=1,ROUND((AR469+AS469)/60,6),0)</f>
        <v>0</v>
      </c>
      <c r="BL469" s="80">
        <f>ROUND(BH469-BK469,6)</f>
        <v>0</v>
      </c>
      <c r="BM469" s="80">
        <f>IF(BE469=1,ROUND(AR469/60,6),0)</f>
        <v>0</v>
      </c>
      <c r="BN469" s="80">
        <f>ROUND(BI469-BM469,6)</f>
        <v>0</v>
      </c>
      <c r="BO469" s="80">
        <f>IF(BE469=1,ROUND(AS469/60,6),0)</f>
        <v>0</v>
      </c>
      <c r="BP469" s="80">
        <f>ROUND(BJ469-BO469,6)</f>
        <v>0</v>
      </c>
      <c r="BQ469" s="80">
        <f>IF(BE469=1,AW469,0)</f>
        <v>0</v>
      </c>
      <c r="BR469" s="80">
        <f>IF(BE469=1,AX469,0)</f>
        <v>0</v>
      </c>
      <c r="BS469" s="80">
        <f>IF(AND(BE469=1,D469="Malcolm",BA469&gt;0),MIN(BH469,SUMPRODUCT((R_Emp="proMX")*(R_EN&gt;0)*((R_EN-(R_EN&gt;BR469)*(R_EN-BR469))&gt;(R_SN+(R_SN&lt;BQ469)*(BQ469-R_SN)))*((R_EN-(R_EN&gt;BR469)*(R_EN-BR469))-(R_SN+(R_SN&lt;BQ469)*(BQ469-R_SN))))/60),0)</f>
        <v>0</v>
      </c>
      <c r="BT469" s="80">
        <f>IF(AND(BE469=1,D469="proMX"),ROUND(BI469*CFG_RATE+BJ469*CFG_OTRATE,6),0)</f>
        <v>0</v>
      </c>
      <c r="BU469" s="80">
        <f>IF(AND(BD469=1,D469="proMX"),ROUND(AG469/CFG_BLK,6),0)</f>
        <v>0</v>
      </c>
      <c r="BV469" s="80" t="str">
        <f>IF(BF469="Approved",IF(ISNUMBER(T469),INT(T469),INT(B469)),"")</f>
        <v/>
      </c>
      <c r="BW469" s="80">
        <f>IF(ISNUMBER(B469),IF(DB_MON="Todos",1,IF(AND(INT(B469)&gt;=DB_MS,INT(B469)&lt;=DB_ME),1,0)),0)</f>
        <v>0</v>
      </c>
      <c r="BX469" s="80">
        <f>IF(DB_PROJ="Todos",1,IF(E469&amp;""=DB_PROJ&amp;"",1,0))</f>
        <v>1</v>
      </c>
      <c r="BY469" s="80">
        <f>BW469*BX469</f>
        <v>0</v>
      </c>
      <c r="BZ469" s="80" t="str">
        <f>IF(Y469=1,F469&amp;IF(AND(F469&amp;""&lt;&gt;"",E469&amp;""&lt;&gt;"")," · ","")&amp;E469,"")</f>
        <v/>
      </c>
      <c r="CA469" s="80" t="str">
        <f>IF(AND(BD469=1,E469&amp;""&lt;&gt;""),IF(COUNTIFS($E$5:E468,E469,$BD$5:BD468,1)=0,MAX($CA$5:CA468)+1,""),"")</f>
        <v/>
      </c>
      <c r="CB469" s="80" t="str">
        <f>IF(AND(BE469=1,D469="Malcolm",E469&amp;""&lt;&gt;""),IF(COUNTIFS($D$5:D468,"Malcolm",$E$5:E468,E469,$BE$5:BE468,1)=0,MAX($CB$5:CB468)+1,""),"")</f>
        <v/>
      </c>
      <c r="CC469" s="80" t="str">
        <f>IF(AND(BD469=1,D469="proMX",E469&amp;""&lt;&gt;""),IF(COUNTIFS($D$5:D468,"proMX",$E$5:E468,E469,$BD$5:BD468,1)=0,MAX($CC$5:CC468)+1,""),"")</f>
        <v/>
      </c>
      <c r="CD469" s="80" t="str">
        <f>IF(AND(BE469=1,D469="Malcolm",F469&amp;""&lt;&gt;""),IF(COUNTIFS($D$5:D468,"Malcolm",$F$5:F468,F469,$BE$5:BE468,1)=0,MAX($CD$5:CD468)+1,""),"")</f>
        <v/>
      </c>
      <c r="CE469" s="80" t="str">
        <f>IF(AND(BD469=1,D469="proMX",F469&amp;""&lt;&gt;""),IF(COUNTIFS($D$5:D468,"proMX",$F$5:F468,F469,$BD$5:BD468,1)=0,MAX($CE$5:CE468)+1,""),"")</f>
        <v/>
      </c>
      <c r="CF469" s="80" t="str">
        <f>IF(AND(D469="proMX",BD469=1),IF(OR(BF469="Draft",BF469="Submitted",BF469="Returned",BF469="Recall Requested"),MAX($CF$5:CF468)+1,""),"")</f>
        <v/>
      </c>
      <c r="CG469" s="80">
        <f>IF(BD469=0,0,IF(D469="Malcolm",1,MATCH(BF469,{"Draft","Submitted","Approved","Returned","Recall Requested","Cancelled"},0)+1))</f>
        <v>0</v>
      </c>
      <c r="CH469" s="80">
        <f>IF(AND(BF469="Submitted",ISNUMBER(V469)),IF(V469&gt;CFG_MAXD,1,0),0)</f>
        <v>0</v>
      </c>
    </row>
    <row r="470">
      <c r="A470" s="71" t="str">
        <f>IF(Y470=1,ROW()-5,"")</f>
        <v/>
      </c>
      <c r="B470" s="72" t="n"/>
      <c r="C470" s="71" t="str">
        <f>IF(ISNUMBER(B470),CHOOSE(WEEKDAY(B470,2),"Lun","Mar","Mié","Jue","Vie","Sáb","Dom"),"")</f>
        <v/>
      </c>
      <c r="D470" s="73" t="n"/>
      <c r="E470" s="74" t="n"/>
      <c r="F470" s="74" t="n"/>
      <c r="G470" s="74" t="n"/>
      <c r="H470" s="75" t="n"/>
      <c r="I470" s="75" t="n"/>
      <c r="J470" s="76" t="n"/>
      <c r="K470" s="77" t="str">
        <f>IF(AB470=1,ROUND(AG470/60,4),"")</f>
        <v/>
      </c>
      <c r="L470" s="77" t="str">
        <f>IF(BD470=1,ROUND(AP470/60,4),"")</f>
        <v/>
      </c>
      <c r="M470" s="77" t="str">
        <f>IF(BD470=1,ROUND(AQ470/60,4),"")</f>
        <v/>
      </c>
      <c r="N470" s="71" t="str">
        <f>IF(AND(D470="proMX",AB470=1),ROUND(AG470/CFG_BLK,2),"")</f>
        <v/>
      </c>
      <c r="O470" s="77" t="str">
        <f>IF(D470="proMX",IF(BD470=1,ROUND(AG470/60,4),0),"")</f>
        <v/>
      </c>
      <c r="P470" s="78" t="str">
        <f>IF(Y470=0,"",IF(BD470=1,"OK",IF(D470="proMX","Revisar bloques: ","Revisar: ")&amp;BC470))</f>
        <v/>
      </c>
      <c r="Q470" s="78" t="str">
        <f>IF(NOT(ISNUMBER(B470)),"",IF(COUNTIFS(FER_F,INT(B470))&gt;0,"Feriado"&amp;IF(AH470=1," (laborable)"," (no laborable)"),IF(AH470=1,"Laborable",IF(WEEKDAY(B470,2)&gt;5,"Fin de semana","No laborable"))))</f>
        <v/>
      </c>
      <c r="R470" s="73" t="n"/>
      <c r="S470" s="72" t="n"/>
      <c r="T470" s="72" t="n"/>
      <c r="U470" s="74" t="n"/>
      <c r="V470" s="79" t="str">
        <f>IF(AND(D470="proMX",OR(R470="Submitted",R470="Recall Requested"),ISNUMBER(S470)),CFG_TODAY-INT(S470),"")</f>
        <v/>
      </c>
      <c r="W470" s="78" t="str">
        <f>IF(BD470=0,"",IF(BA470&gt;0,"⚠ Se superpone con un registro de la otra empresa",IF(D470="Malcolm",IF(COUNTA(R470,S470,T470)&gt;0,"Estado/fechas proMX se ignoran en Malcolm",""),IF(BF470="Cancelled","Cancelado: excluido de totales",IF(R470="","Sin estado: se trata como Draft",IF(BF470="Submitted",IF(ISNUMBER(V470),IF(V470&gt;CFG_MAXD,"⚠ "&amp;V470&amp;" días en Submitted (máx. "&amp;CFG_MAXD&amp;")",""),"Falta fecha de envío"),IF(BF470="Returned","⚠ Devuelto: corregir y reenviar",IF(BF470="Recall Requested","Retirada solicitada: pendiente",IF(AND(BF470="Approved",NOT(ISNUMBER(T470))),"Falta fecha de aprobación",IF(AND(ISNUMBER(S470),ISNUMBER(T470),T470&lt;S470),"Aprobación anterior al envío","")))))))))</f>
        <v/>
      </c>
      <c r="Y470" s="80">
        <f>IF(COUNTA(B470,D470,E470,F470,G470,H470,I470,J470,R470,S470,T470)&gt;0,1,0)</f>
        <v>0</v>
      </c>
      <c r="Z470" s="80" t="str">
        <f>IF(AND(ISNUMBER(H470),H470&gt;=0,H470&lt;1),ROUND(H470*1440,0),"")</f>
        <v/>
      </c>
      <c r="AA470" s="80" t="str">
        <f>IF(AND(ISNUMBER(I470),I470&gt;=0,I470&lt;1),ROUND(I470*1440,0),"")</f>
        <v/>
      </c>
      <c r="AB470" s="80">
        <f>IF(AND(ISNUMBER(B470),D470&lt;&gt;"",ISNUMBER(Z470),ISNUMBER(AA470)),IF(Z470=AA470,0,1),0)</f>
        <v>0</v>
      </c>
      <c r="AC470" s="80">
        <f>IF(AB470=1,IF(AA470&lt;Z470,1,0),0)</f>
        <v>0</v>
      </c>
      <c r="AD470" s="80">
        <f>IF(AB470=1,IF(AC470=1,1440-Z470+AA470,AA470-Z470),0)</f>
        <v>0</v>
      </c>
      <c r="AE470" s="80">
        <f>IF(J470="",0,IF(ISNUMBER(J470),J470,-1))</f>
        <v>0</v>
      </c>
      <c r="AF470" s="80">
        <f>MIN(MAX(0,AE470),AD470)</f>
        <v>0</v>
      </c>
      <c r="AG470" s="80">
        <f>MAX(0,AD470-MAX(0,AE470))</f>
        <v>0</v>
      </c>
      <c r="AH470" s="80">
        <f>IF(ISNUMBER(B470),IF(AND(INDEX(CFG_WDAYS,WEEKDAY(INT(B470),2))="Sí",IF(D470="proMX",COUNTIFS(FER_F,INT(B470),FER_NLP,"Sí"),COUNTIFS(FER_F,INT(B470),FER_NLM,"Sí"))=0),1,0),0)</f>
        <v>0</v>
      </c>
      <c r="AI470" s="80">
        <f>IF(AC470=1,IF(AND(INDEX(CFG_WDAYS,WEEKDAY(INT(B470)+1,2))="Sí",IF(D470="proMX",COUNTIFS(FER_F,INT(B470)+1,FER_NLP,"Sí"),COUNTIFS(FER_F,INT(B470)+1,FER_NLM,"Sí"))=0),1,0),0)</f>
        <v>0</v>
      </c>
      <c r="AJ470" s="80">
        <f>IF(AC470=1,1440-Z470,AD470)</f>
        <v>0</v>
      </c>
      <c r="AK470" s="80">
        <f>IF(AND(AB470=1,AH470=1),MAX(0,MIN(IF(AC470=1,1440,AA470),CFG_WEM)-MAX(Z470,CFG_WSM)),0)</f>
        <v>0</v>
      </c>
      <c r="AL470" s="80">
        <f>IF(AND(AC470=1,AI470=1),MAX(0,MIN(AA470,CFG_WEM)-CFG_WSM),0)</f>
        <v>0</v>
      </c>
      <c r="AM470" s="80">
        <f>AK470+AL470</f>
        <v>0</v>
      </c>
      <c r="AN470" s="80">
        <f>IF(CFG_BRK="Proporcional",IF(AD470=0,0,AF470*AM470/AD470),IF(CFG_BRK="Extras primero",MIN(AM470,MAX(0,AF470-(AD470-AM470))),MIN(AF470,AM470)))</f>
        <v>0</v>
      </c>
      <c r="AO470" s="80">
        <f>AF470-AN470</f>
        <v>0</v>
      </c>
      <c r="AP470" s="80">
        <f>AM470-AN470</f>
        <v>0</v>
      </c>
      <c r="AQ470" s="80">
        <f>AD470-AM470-AO470</f>
        <v>0</v>
      </c>
      <c r="AR470" s="80">
        <f>IF(AM470=0,0,AK470-AN470*AK470/AM470)</f>
        <v>0</v>
      </c>
      <c r="AS470" s="80">
        <f>IF(AD470-AM470=0,0,(AJ470-AK470)-AO470*(AJ470-AK470)/(AD470-AM470))</f>
        <v>0</v>
      </c>
      <c r="AT470" s="80" t="str">
        <f>IF(AC470=1,INT(B470)+1,"")</f>
        <v/>
      </c>
      <c r="AU470" s="80">
        <f>IF(AND(D470="proMX",R470="Cancelled"),0,1)</f>
        <v>1</v>
      </c>
      <c r="AV470" s="80">
        <f>IF(AND(AB470=1,AU470=1),IF(COUNTIFS($D$5:D469,D470,$B$5:B469,B470,$Z$5:Z469,Z470,$AA$5:AA469,AA470,$F$5:F469,F470&amp;"",$AU$5:AU469,1)&gt;0,1,0),0)</f>
        <v>0</v>
      </c>
      <c r="AW470" s="80" t="str">
        <f>IF(AB470=1,INT(B470)*1440+Z470,"")</f>
        <v/>
      </c>
      <c r="AX470" s="80" t="str">
        <f>IF(AB470=1,AW470+AD470,"")</f>
        <v/>
      </c>
      <c r="AY470" s="80">
        <f>IF(AND(AB470=1,AV470=0,AU470=1),1,0)</f>
        <v>0</v>
      </c>
      <c r="AZ470" s="80">
        <f>IF(AY470=1,COUNTIFS(R_Emp,D470,R_SAbs,"&lt;"&amp;AX470,R_EAbs,"&gt;"&amp;AW470,R_OKey,1)-1,0)</f>
        <v>0</v>
      </c>
      <c r="BA470" s="80">
        <f>IF(AY470=1,COUNTIFS(R_Emp,"&lt;&gt;"&amp;D470,R_SAbs,"&lt;"&amp;AX470,R_EAbs,"&gt;"&amp;AW470,R_OKey,1),0)</f>
        <v>0</v>
      </c>
      <c r="BB470" s="80">
        <f>IF(AND(AB470=1,D470="proMX"),IF(AND(MOD(Z470,CFG_BLK)=0,MOD(AA470,CFG_BLK)=0,MOD(AG470,CFG_BLK)=0,AG470&gt;0),1,0),1)</f>
        <v>1</v>
      </c>
      <c r="BC470" s="80" t="str">
        <f>IF(Y470=0,"",IF(NOT(ISNUMBER(B470)),"Falta fecha o fecha inválida",IF(D470="","Falta empresa",IF(AND(D470&lt;&gt;"Malcolm",D470&lt;&gt;"proMX"),"Empresa inválida",IF(OR(INT(B470)&lt;CFG_PSTART,INT(B470)&gt;CFG_PEND),"Fecha fuera del período",IF(OR(NOT(ISNUMBER(Z470)),NOT(ISNUMBER(AA470))),"Falta hora inicio/fin o formato inválido",IF(AB470=0,"Hora inicio = hora fin",IF(AE470&lt;0,"Descanso inválido",IF(AE470&gt;=AD470,"Descanso ≥ duración",IF(AV470=1,"Registro duplicado",IF(AZ470&gt;0,"Se superpone con otro registro "&amp;D470,IF(BB470=0,"inicio, fin y duración neta deben ser múltiplos de "&amp;CFG_BLK&amp;" min",""))))))))))))</f>
        <v/>
      </c>
      <c r="BD470" s="80">
        <f>IF(AND(Y470=1,BC470=""),1,0)</f>
        <v>0</v>
      </c>
      <c r="BE470" s="80">
        <f>IF(AND(BD470=1,AU470=1),1,0)</f>
        <v>0</v>
      </c>
      <c r="BF470" s="80" t="str">
        <f>IF(AND(D470="proMX",BD470=1),IF(R470="","Draft",R470),"")</f>
        <v/>
      </c>
      <c r="BG470" s="80">
        <f>IF(BD470=1,ROUND(AG470/60,6),0)</f>
        <v>0</v>
      </c>
      <c r="BH470" s="80">
        <f>IF(BE470=1,ROUND(AG470/60,6),0)</f>
        <v>0</v>
      </c>
      <c r="BI470" s="80">
        <f>IF(BE470=1,ROUND(AP470/60,6),0)</f>
        <v>0</v>
      </c>
      <c r="BJ470" s="80">
        <f>IF(BE470=1,ROUND(AQ470/60,6),0)</f>
        <v>0</v>
      </c>
      <c r="BK470" s="80">
        <f>IF(BE470=1,ROUND((AR470+AS470)/60,6),0)</f>
        <v>0</v>
      </c>
      <c r="BL470" s="80">
        <f>ROUND(BH470-BK470,6)</f>
        <v>0</v>
      </c>
      <c r="BM470" s="80">
        <f>IF(BE470=1,ROUND(AR470/60,6),0)</f>
        <v>0</v>
      </c>
      <c r="BN470" s="80">
        <f>ROUND(BI470-BM470,6)</f>
        <v>0</v>
      </c>
      <c r="BO470" s="80">
        <f>IF(BE470=1,ROUND(AS470/60,6),0)</f>
        <v>0</v>
      </c>
      <c r="BP470" s="80">
        <f>ROUND(BJ470-BO470,6)</f>
        <v>0</v>
      </c>
      <c r="BQ470" s="80">
        <f>IF(BE470=1,AW470,0)</f>
        <v>0</v>
      </c>
      <c r="BR470" s="80">
        <f>IF(BE470=1,AX470,0)</f>
        <v>0</v>
      </c>
      <c r="BS470" s="80">
        <f>IF(AND(BE470=1,D470="Malcolm",BA470&gt;0),MIN(BH470,SUMPRODUCT((R_Emp="proMX")*(R_EN&gt;0)*((R_EN-(R_EN&gt;BR470)*(R_EN-BR470))&gt;(R_SN+(R_SN&lt;BQ470)*(BQ470-R_SN)))*((R_EN-(R_EN&gt;BR470)*(R_EN-BR470))-(R_SN+(R_SN&lt;BQ470)*(BQ470-R_SN))))/60),0)</f>
        <v>0</v>
      </c>
      <c r="BT470" s="80">
        <f>IF(AND(BE470=1,D470="proMX"),ROUND(BI470*CFG_RATE+BJ470*CFG_OTRATE,6),0)</f>
        <v>0</v>
      </c>
      <c r="BU470" s="80">
        <f>IF(AND(BD470=1,D470="proMX"),ROUND(AG470/CFG_BLK,6),0)</f>
        <v>0</v>
      </c>
      <c r="BV470" s="80" t="str">
        <f>IF(BF470="Approved",IF(ISNUMBER(T470),INT(T470),INT(B470)),"")</f>
        <v/>
      </c>
      <c r="BW470" s="80">
        <f>IF(ISNUMBER(B470),IF(DB_MON="Todos",1,IF(AND(INT(B470)&gt;=DB_MS,INT(B470)&lt;=DB_ME),1,0)),0)</f>
        <v>0</v>
      </c>
      <c r="BX470" s="80">
        <f>IF(DB_PROJ="Todos",1,IF(E470&amp;""=DB_PROJ&amp;"",1,0))</f>
        <v>1</v>
      </c>
      <c r="BY470" s="80">
        <f>BW470*BX470</f>
        <v>0</v>
      </c>
      <c r="BZ470" s="80" t="str">
        <f>IF(Y470=1,F470&amp;IF(AND(F470&amp;""&lt;&gt;"",E470&amp;""&lt;&gt;"")," · ","")&amp;E470,"")</f>
        <v/>
      </c>
      <c r="CA470" s="80" t="str">
        <f>IF(AND(BD470=1,E470&amp;""&lt;&gt;""),IF(COUNTIFS($E$5:E469,E470,$BD$5:BD469,1)=0,MAX($CA$5:CA469)+1,""),"")</f>
        <v/>
      </c>
      <c r="CB470" s="80" t="str">
        <f>IF(AND(BE470=1,D470="Malcolm",E470&amp;""&lt;&gt;""),IF(COUNTIFS($D$5:D469,"Malcolm",$E$5:E469,E470,$BE$5:BE469,1)=0,MAX($CB$5:CB469)+1,""),"")</f>
        <v/>
      </c>
      <c r="CC470" s="80" t="str">
        <f>IF(AND(BD470=1,D470="proMX",E470&amp;""&lt;&gt;""),IF(COUNTIFS($D$5:D469,"proMX",$E$5:E469,E470,$BD$5:BD469,1)=0,MAX($CC$5:CC469)+1,""),"")</f>
        <v/>
      </c>
      <c r="CD470" s="80" t="str">
        <f>IF(AND(BE470=1,D470="Malcolm",F470&amp;""&lt;&gt;""),IF(COUNTIFS($D$5:D469,"Malcolm",$F$5:F469,F470,$BE$5:BE469,1)=0,MAX($CD$5:CD469)+1,""),"")</f>
        <v/>
      </c>
      <c r="CE470" s="80" t="str">
        <f>IF(AND(BD470=1,D470="proMX",F470&amp;""&lt;&gt;""),IF(COUNTIFS($D$5:D469,"proMX",$F$5:F469,F470,$BD$5:BD469,1)=0,MAX($CE$5:CE469)+1,""),"")</f>
        <v/>
      </c>
      <c r="CF470" s="80" t="str">
        <f>IF(AND(D470="proMX",BD470=1),IF(OR(BF470="Draft",BF470="Submitted",BF470="Returned",BF470="Recall Requested"),MAX($CF$5:CF469)+1,""),"")</f>
        <v/>
      </c>
      <c r="CG470" s="80">
        <f>IF(BD470=0,0,IF(D470="Malcolm",1,MATCH(BF470,{"Draft","Submitted","Approved","Returned","Recall Requested","Cancelled"},0)+1))</f>
        <v>0</v>
      </c>
      <c r="CH470" s="80">
        <f>IF(AND(BF470="Submitted",ISNUMBER(V470)),IF(V470&gt;CFG_MAXD,1,0),0)</f>
        <v>0</v>
      </c>
    </row>
    <row r="471">
      <c r="A471" s="71" t="str">
        <f>IF(Y471=1,ROW()-5,"")</f>
        <v/>
      </c>
      <c r="B471" s="72" t="n"/>
      <c r="C471" s="71" t="str">
        <f>IF(ISNUMBER(B471),CHOOSE(WEEKDAY(B471,2),"Lun","Mar","Mié","Jue","Vie","Sáb","Dom"),"")</f>
        <v/>
      </c>
      <c r="D471" s="73" t="n"/>
      <c r="E471" s="74" t="n"/>
      <c r="F471" s="74" t="n"/>
      <c r="G471" s="74" t="n"/>
      <c r="H471" s="75" t="n"/>
      <c r="I471" s="75" t="n"/>
      <c r="J471" s="76" t="n"/>
      <c r="K471" s="77" t="str">
        <f>IF(AB471=1,ROUND(AG471/60,4),"")</f>
        <v/>
      </c>
      <c r="L471" s="77" t="str">
        <f>IF(BD471=1,ROUND(AP471/60,4),"")</f>
        <v/>
      </c>
      <c r="M471" s="77" t="str">
        <f>IF(BD471=1,ROUND(AQ471/60,4),"")</f>
        <v/>
      </c>
      <c r="N471" s="71" t="str">
        <f>IF(AND(D471="proMX",AB471=1),ROUND(AG471/CFG_BLK,2),"")</f>
        <v/>
      </c>
      <c r="O471" s="77" t="str">
        <f>IF(D471="proMX",IF(BD471=1,ROUND(AG471/60,4),0),"")</f>
        <v/>
      </c>
      <c r="P471" s="78" t="str">
        <f>IF(Y471=0,"",IF(BD471=1,"OK",IF(D471="proMX","Revisar bloques: ","Revisar: ")&amp;BC471))</f>
        <v/>
      </c>
      <c r="Q471" s="78" t="str">
        <f>IF(NOT(ISNUMBER(B471)),"",IF(COUNTIFS(FER_F,INT(B471))&gt;0,"Feriado"&amp;IF(AH471=1," (laborable)"," (no laborable)"),IF(AH471=1,"Laborable",IF(WEEKDAY(B471,2)&gt;5,"Fin de semana","No laborable"))))</f>
        <v/>
      </c>
      <c r="R471" s="73" t="n"/>
      <c r="S471" s="72" t="n"/>
      <c r="T471" s="72" t="n"/>
      <c r="U471" s="74" t="n"/>
      <c r="V471" s="79" t="str">
        <f>IF(AND(D471="proMX",OR(R471="Submitted",R471="Recall Requested"),ISNUMBER(S471)),CFG_TODAY-INT(S471),"")</f>
        <v/>
      </c>
      <c r="W471" s="78" t="str">
        <f>IF(BD471=0,"",IF(BA471&gt;0,"⚠ Se superpone con un registro de la otra empresa",IF(D471="Malcolm",IF(COUNTA(R471,S471,T471)&gt;0,"Estado/fechas proMX se ignoran en Malcolm",""),IF(BF471="Cancelled","Cancelado: excluido de totales",IF(R471="","Sin estado: se trata como Draft",IF(BF471="Submitted",IF(ISNUMBER(V471),IF(V471&gt;CFG_MAXD,"⚠ "&amp;V471&amp;" días en Submitted (máx. "&amp;CFG_MAXD&amp;")",""),"Falta fecha de envío"),IF(BF471="Returned","⚠ Devuelto: corregir y reenviar",IF(BF471="Recall Requested","Retirada solicitada: pendiente",IF(AND(BF471="Approved",NOT(ISNUMBER(T471))),"Falta fecha de aprobación",IF(AND(ISNUMBER(S471),ISNUMBER(T471),T471&lt;S471),"Aprobación anterior al envío","")))))))))</f>
        <v/>
      </c>
      <c r="Y471" s="80">
        <f>IF(COUNTA(B471,D471,E471,F471,G471,H471,I471,J471,R471,S471,T471)&gt;0,1,0)</f>
        <v>0</v>
      </c>
      <c r="Z471" s="80" t="str">
        <f>IF(AND(ISNUMBER(H471),H471&gt;=0,H471&lt;1),ROUND(H471*1440,0),"")</f>
        <v/>
      </c>
      <c r="AA471" s="80" t="str">
        <f>IF(AND(ISNUMBER(I471),I471&gt;=0,I471&lt;1),ROUND(I471*1440,0),"")</f>
        <v/>
      </c>
      <c r="AB471" s="80">
        <f>IF(AND(ISNUMBER(B471),D471&lt;&gt;"",ISNUMBER(Z471),ISNUMBER(AA471)),IF(Z471=AA471,0,1),0)</f>
        <v>0</v>
      </c>
      <c r="AC471" s="80">
        <f>IF(AB471=1,IF(AA471&lt;Z471,1,0),0)</f>
        <v>0</v>
      </c>
      <c r="AD471" s="80">
        <f>IF(AB471=1,IF(AC471=1,1440-Z471+AA471,AA471-Z471),0)</f>
        <v>0</v>
      </c>
      <c r="AE471" s="80">
        <f>IF(J471="",0,IF(ISNUMBER(J471),J471,-1))</f>
        <v>0</v>
      </c>
      <c r="AF471" s="80">
        <f>MIN(MAX(0,AE471),AD471)</f>
        <v>0</v>
      </c>
      <c r="AG471" s="80">
        <f>MAX(0,AD471-MAX(0,AE471))</f>
        <v>0</v>
      </c>
      <c r="AH471" s="80">
        <f>IF(ISNUMBER(B471),IF(AND(INDEX(CFG_WDAYS,WEEKDAY(INT(B471),2))="Sí",IF(D471="proMX",COUNTIFS(FER_F,INT(B471),FER_NLP,"Sí"),COUNTIFS(FER_F,INT(B471),FER_NLM,"Sí"))=0),1,0),0)</f>
        <v>0</v>
      </c>
      <c r="AI471" s="80">
        <f>IF(AC471=1,IF(AND(INDEX(CFG_WDAYS,WEEKDAY(INT(B471)+1,2))="Sí",IF(D471="proMX",COUNTIFS(FER_F,INT(B471)+1,FER_NLP,"Sí"),COUNTIFS(FER_F,INT(B471)+1,FER_NLM,"Sí"))=0),1,0),0)</f>
        <v>0</v>
      </c>
      <c r="AJ471" s="80">
        <f>IF(AC471=1,1440-Z471,AD471)</f>
        <v>0</v>
      </c>
      <c r="AK471" s="80">
        <f>IF(AND(AB471=1,AH471=1),MAX(0,MIN(IF(AC471=1,1440,AA471),CFG_WEM)-MAX(Z471,CFG_WSM)),0)</f>
        <v>0</v>
      </c>
      <c r="AL471" s="80">
        <f>IF(AND(AC471=1,AI471=1),MAX(0,MIN(AA471,CFG_WEM)-CFG_WSM),0)</f>
        <v>0</v>
      </c>
      <c r="AM471" s="80">
        <f>AK471+AL471</f>
        <v>0</v>
      </c>
      <c r="AN471" s="80">
        <f>IF(CFG_BRK="Proporcional",IF(AD471=0,0,AF471*AM471/AD471),IF(CFG_BRK="Extras primero",MIN(AM471,MAX(0,AF471-(AD471-AM471))),MIN(AF471,AM471)))</f>
        <v>0</v>
      </c>
      <c r="AO471" s="80">
        <f>AF471-AN471</f>
        <v>0</v>
      </c>
      <c r="AP471" s="80">
        <f>AM471-AN471</f>
        <v>0</v>
      </c>
      <c r="AQ471" s="80">
        <f>AD471-AM471-AO471</f>
        <v>0</v>
      </c>
      <c r="AR471" s="80">
        <f>IF(AM471=0,0,AK471-AN471*AK471/AM471)</f>
        <v>0</v>
      </c>
      <c r="AS471" s="80">
        <f>IF(AD471-AM471=0,0,(AJ471-AK471)-AO471*(AJ471-AK471)/(AD471-AM471))</f>
        <v>0</v>
      </c>
      <c r="AT471" s="80" t="str">
        <f>IF(AC471=1,INT(B471)+1,"")</f>
        <v/>
      </c>
      <c r="AU471" s="80">
        <f>IF(AND(D471="proMX",R471="Cancelled"),0,1)</f>
        <v>1</v>
      </c>
      <c r="AV471" s="80">
        <f>IF(AND(AB471=1,AU471=1),IF(COUNTIFS($D$5:D470,D471,$B$5:B470,B471,$Z$5:Z470,Z471,$AA$5:AA470,AA471,$F$5:F470,F471&amp;"",$AU$5:AU470,1)&gt;0,1,0),0)</f>
        <v>0</v>
      </c>
      <c r="AW471" s="80" t="str">
        <f>IF(AB471=1,INT(B471)*1440+Z471,"")</f>
        <v/>
      </c>
      <c r="AX471" s="80" t="str">
        <f>IF(AB471=1,AW471+AD471,"")</f>
        <v/>
      </c>
      <c r="AY471" s="80">
        <f>IF(AND(AB471=1,AV471=0,AU471=1),1,0)</f>
        <v>0</v>
      </c>
      <c r="AZ471" s="80">
        <f>IF(AY471=1,COUNTIFS(R_Emp,D471,R_SAbs,"&lt;"&amp;AX471,R_EAbs,"&gt;"&amp;AW471,R_OKey,1)-1,0)</f>
        <v>0</v>
      </c>
      <c r="BA471" s="80">
        <f>IF(AY471=1,COUNTIFS(R_Emp,"&lt;&gt;"&amp;D471,R_SAbs,"&lt;"&amp;AX471,R_EAbs,"&gt;"&amp;AW471,R_OKey,1),0)</f>
        <v>0</v>
      </c>
      <c r="BB471" s="80">
        <f>IF(AND(AB471=1,D471="proMX"),IF(AND(MOD(Z471,CFG_BLK)=0,MOD(AA471,CFG_BLK)=0,MOD(AG471,CFG_BLK)=0,AG471&gt;0),1,0),1)</f>
        <v>1</v>
      </c>
      <c r="BC471" s="80" t="str">
        <f>IF(Y471=0,"",IF(NOT(ISNUMBER(B471)),"Falta fecha o fecha inválida",IF(D471="","Falta empresa",IF(AND(D471&lt;&gt;"Malcolm",D471&lt;&gt;"proMX"),"Empresa inválida",IF(OR(INT(B471)&lt;CFG_PSTART,INT(B471)&gt;CFG_PEND),"Fecha fuera del período",IF(OR(NOT(ISNUMBER(Z471)),NOT(ISNUMBER(AA471))),"Falta hora inicio/fin o formato inválido",IF(AB471=0,"Hora inicio = hora fin",IF(AE471&lt;0,"Descanso inválido",IF(AE471&gt;=AD471,"Descanso ≥ duración",IF(AV471=1,"Registro duplicado",IF(AZ471&gt;0,"Se superpone con otro registro "&amp;D471,IF(BB471=0,"inicio, fin y duración neta deben ser múltiplos de "&amp;CFG_BLK&amp;" min",""))))))))))))</f>
        <v/>
      </c>
      <c r="BD471" s="80">
        <f>IF(AND(Y471=1,BC471=""),1,0)</f>
        <v>0</v>
      </c>
      <c r="BE471" s="80">
        <f>IF(AND(BD471=1,AU471=1),1,0)</f>
        <v>0</v>
      </c>
      <c r="BF471" s="80" t="str">
        <f>IF(AND(D471="proMX",BD471=1),IF(R471="","Draft",R471),"")</f>
        <v/>
      </c>
      <c r="BG471" s="80">
        <f>IF(BD471=1,ROUND(AG471/60,6),0)</f>
        <v>0</v>
      </c>
      <c r="BH471" s="80">
        <f>IF(BE471=1,ROUND(AG471/60,6),0)</f>
        <v>0</v>
      </c>
      <c r="BI471" s="80">
        <f>IF(BE471=1,ROUND(AP471/60,6),0)</f>
        <v>0</v>
      </c>
      <c r="BJ471" s="80">
        <f>IF(BE471=1,ROUND(AQ471/60,6),0)</f>
        <v>0</v>
      </c>
      <c r="BK471" s="80">
        <f>IF(BE471=1,ROUND((AR471+AS471)/60,6),0)</f>
        <v>0</v>
      </c>
      <c r="BL471" s="80">
        <f>ROUND(BH471-BK471,6)</f>
        <v>0</v>
      </c>
      <c r="BM471" s="80">
        <f>IF(BE471=1,ROUND(AR471/60,6),0)</f>
        <v>0</v>
      </c>
      <c r="BN471" s="80">
        <f>ROUND(BI471-BM471,6)</f>
        <v>0</v>
      </c>
      <c r="BO471" s="80">
        <f>IF(BE471=1,ROUND(AS471/60,6),0)</f>
        <v>0</v>
      </c>
      <c r="BP471" s="80">
        <f>ROUND(BJ471-BO471,6)</f>
        <v>0</v>
      </c>
      <c r="BQ471" s="80">
        <f>IF(BE471=1,AW471,0)</f>
        <v>0</v>
      </c>
      <c r="BR471" s="80">
        <f>IF(BE471=1,AX471,0)</f>
        <v>0</v>
      </c>
      <c r="BS471" s="80">
        <f>IF(AND(BE471=1,D471="Malcolm",BA471&gt;0),MIN(BH471,SUMPRODUCT((R_Emp="proMX")*(R_EN&gt;0)*((R_EN-(R_EN&gt;BR471)*(R_EN-BR471))&gt;(R_SN+(R_SN&lt;BQ471)*(BQ471-R_SN)))*((R_EN-(R_EN&gt;BR471)*(R_EN-BR471))-(R_SN+(R_SN&lt;BQ471)*(BQ471-R_SN))))/60),0)</f>
        <v>0</v>
      </c>
      <c r="BT471" s="80">
        <f>IF(AND(BE471=1,D471="proMX"),ROUND(BI471*CFG_RATE+BJ471*CFG_OTRATE,6),0)</f>
        <v>0</v>
      </c>
      <c r="BU471" s="80">
        <f>IF(AND(BD471=1,D471="proMX"),ROUND(AG471/CFG_BLK,6),0)</f>
        <v>0</v>
      </c>
      <c r="BV471" s="80" t="str">
        <f>IF(BF471="Approved",IF(ISNUMBER(T471),INT(T471),INT(B471)),"")</f>
        <v/>
      </c>
      <c r="BW471" s="80">
        <f>IF(ISNUMBER(B471),IF(DB_MON="Todos",1,IF(AND(INT(B471)&gt;=DB_MS,INT(B471)&lt;=DB_ME),1,0)),0)</f>
        <v>0</v>
      </c>
      <c r="BX471" s="80">
        <f>IF(DB_PROJ="Todos",1,IF(E471&amp;""=DB_PROJ&amp;"",1,0))</f>
        <v>1</v>
      </c>
      <c r="BY471" s="80">
        <f>BW471*BX471</f>
        <v>0</v>
      </c>
      <c r="BZ471" s="80" t="str">
        <f>IF(Y471=1,F471&amp;IF(AND(F471&amp;""&lt;&gt;"",E471&amp;""&lt;&gt;"")," · ","")&amp;E471,"")</f>
        <v/>
      </c>
      <c r="CA471" s="80" t="str">
        <f>IF(AND(BD471=1,E471&amp;""&lt;&gt;""),IF(COUNTIFS($E$5:E470,E471,$BD$5:BD470,1)=0,MAX($CA$5:CA470)+1,""),"")</f>
        <v/>
      </c>
      <c r="CB471" s="80" t="str">
        <f>IF(AND(BE471=1,D471="Malcolm",E471&amp;""&lt;&gt;""),IF(COUNTIFS($D$5:D470,"Malcolm",$E$5:E470,E471,$BE$5:BE470,1)=0,MAX($CB$5:CB470)+1,""),"")</f>
        <v/>
      </c>
      <c r="CC471" s="80" t="str">
        <f>IF(AND(BD471=1,D471="proMX",E471&amp;""&lt;&gt;""),IF(COUNTIFS($D$5:D470,"proMX",$E$5:E470,E471,$BD$5:BD470,1)=0,MAX($CC$5:CC470)+1,""),"")</f>
        <v/>
      </c>
      <c r="CD471" s="80" t="str">
        <f>IF(AND(BE471=1,D471="Malcolm",F471&amp;""&lt;&gt;""),IF(COUNTIFS($D$5:D470,"Malcolm",$F$5:F470,F471,$BE$5:BE470,1)=0,MAX($CD$5:CD470)+1,""),"")</f>
        <v/>
      </c>
      <c r="CE471" s="80" t="str">
        <f>IF(AND(BD471=1,D471="proMX",F471&amp;""&lt;&gt;""),IF(COUNTIFS($D$5:D470,"proMX",$F$5:F470,F471,$BD$5:BD470,1)=0,MAX($CE$5:CE470)+1,""),"")</f>
        <v/>
      </c>
      <c r="CF471" s="80" t="str">
        <f>IF(AND(D471="proMX",BD471=1),IF(OR(BF471="Draft",BF471="Submitted",BF471="Returned",BF471="Recall Requested"),MAX($CF$5:CF470)+1,""),"")</f>
        <v/>
      </c>
      <c r="CG471" s="80">
        <f>IF(BD471=0,0,IF(D471="Malcolm",1,MATCH(BF471,{"Draft","Submitted","Approved","Returned","Recall Requested","Cancelled"},0)+1))</f>
        <v>0</v>
      </c>
      <c r="CH471" s="80">
        <f>IF(AND(BF471="Submitted",ISNUMBER(V471)),IF(V471&gt;CFG_MAXD,1,0),0)</f>
        <v>0</v>
      </c>
    </row>
    <row r="472">
      <c r="A472" s="71" t="str">
        <f>IF(Y472=1,ROW()-5,"")</f>
        <v/>
      </c>
      <c r="B472" s="72" t="n"/>
      <c r="C472" s="71" t="str">
        <f>IF(ISNUMBER(B472),CHOOSE(WEEKDAY(B472,2),"Lun","Mar","Mié","Jue","Vie","Sáb","Dom"),"")</f>
        <v/>
      </c>
      <c r="D472" s="73" t="n"/>
      <c r="E472" s="74" t="n"/>
      <c r="F472" s="74" t="n"/>
      <c r="G472" s="74" t="n"/>
      <c r="H472" s="75" t="n"/>
      <c r="I472" s="75" t="n"/>
      <c r="J472" s="76" t="n"/>
      <c r="K472" s="77" t="str">
        <f>IF(AB472=1,ROUND(AG472/60,4),"")</f>
        <v/>
      </c>
      <c r="L472" s="77" t="str">
        <f>IF(BD472=1,ROUND(AP472/60,4),"")</f>
        <v/>
      </c>
      <c r="M472" s="77" t="str">
        <f>IF(BD472=1,ROUND(AQ472/60,4),"")</f>
        <v/>
      </c>
      <c r="N472" s="71" t="str">
        <f>IF(AND(D472="proMX",AB472=1),ROUND(AG472/CFG_BLK,2),"")</f>
        <v/>
      </c>
      <c r="O472" s="77" t="str">
        <f>IF(D472="proMX",IF(BD472=1,ROUND(AG472/60,4),0),"")</f>
        <v/>
      </c>
      <c r="P472" s="78" t="str">
        <f>IF(Y472=0,"",IF(BD472=1,"OK",IF(D472="proMX","Revisar bloques: ","Revisar: ")&amp;BC472))</f>
        <v/>
      </c>
      <c r="Q472" s="78" t="str">
        <f>IF(NOT(ISNUMBER(B472)),"",IF(COUNTIFS(FER_F,INT(B472))&gt;0,"Feriado"&amp;IF(AH472=1," (laborable)"," (no laborable)"),IF(AH472=1,"Laborable",IF(WEEKDAY(B472,2)&gt;5,"Fin de semana","No laborable"))))</f>
        <v/>
      </c>
      <c r="R472" s="73" t="n"/>
      <c r="S472" s="72" t="n"/>
      <c r="T472" s="72" t="n"/>
      <c r="U472" s="74" t="n"/>
      <c r="V472" s="79" t="str">
        <f>IF(AND(D472="proMX",OR(R472="Submitted",R472="Recall Requested"),ISNUMBER(S472)),CFG_TODAY-INT(S472),"")</f>
        <v/>
      </c>
      <c r="W472" s="78" t="str">
        <f>IF(BD472=0,"",IF(BA472&gt;0,"⚠ Se superpone con un registro de la otra empresa",IF(D472="Malcolm",IF(COUNTA(R472,S472,T472)&gt;0,"Estado/fechas proMX se ignoran en Malcolm",""),IF(BF472="Cancelled","Cancelado: excluido de totales",IF(R472="","Sin estado: se trata como Draft",IF(BF472="Submitted",IF(ISNUMBER(V472),IF(V472&gt;CFG_MAXD,"⚠ "&amp;V472&amp;" días en Submitted (máx. "&amp;CFG_MAXD&amp;")",""),"Falta fecha de envío"),IF(BF472="Returned","⚠ Devuelto: corregir y reenviar",IF(BF472="Recall Requested","Retirada solicitada: pendiente",IF(AND(BF472="Approved",NOT(ISNUMBER(T472))),"Falta fecha de aprobación",IF(AND(ISNUMBER(S472),ISNUMBER(T472),T472&lt;S472),"Aprobación anterior al envío","")))))))))</f>
        <v/>
      </c>
      <c r="Y472" s="80">
        <f>IF(COUNTA(B472,D472,E472,F472,G472,H472,I472,J472,R472,S472,T472)&gt;0,1,0)</f>
        <v>0</v>
      </c>
      <c r="Z472" s="80" t="str">
        <f>IF(AND(ISNUMBER(H472),H472&gt;=0,H472&lt;1),ROUND(H472*1440,0),"")</f>
        <v/>
      </c>
      <c r="AA472" s="80" t="str">
        <f>IF(AND(ISNUMBER(I472),I472&gt;=0,I472&lt;1),ROUND(I472*1440,0),"")</f>
        <v/>
      </c>
      <c r="AB472" s="80">
        <f>IF(AND(ISNUMBER(B472),D472&lt;&gt;"",ISNUMBER(Z472),ISNUMBER(AA472)),IF(Z472=AA472,0,1),0)</f>
        <v>0</v>
      </c>
      <c r="AC472" s="80">
        <f>IF(AB472=1,IF(AA472&lt;Z472,1,0),0)</f>
        <v>0</v>
      </c>
      <c r="AD472" s="80">
        <f>IF(AB472=1,IF(AC472=1,1440-Z472+AA472,AA472-Z472),0)</f>
        <v>0</v>
      </c>
      <c r="AE472" s="80">
        <f>IF(J472="",0,IF(ISNUMBER(J472),J472,-1))</f>
        <v>0</v>
      </c>
      <c r="AF472" s="80">
        <f>MIN(MAX(0,AE472),AD472)</f>
        <v>0</v>
      </c>
      <c r="AG472" s="80">
        <f>MAX(0,AD472-MAX(0,AE472))</f>
        <v>0</v>
      </c>
      <c r="AH472" s="80">
        <f>IF(ISNUMBER(B472),IF(AND(INDEX(CFG_WDAYS,WEEKDAY(INT(B472),2))="Sí",IF(D472="proMX",COUNTIFS(FER_F,INT(B472),FER_NLP,"Sí"),COUNTIFS(FER_F,INT(B472),FER_NLM,"Sí"))=0),1,0),0)</f>
        <v>0</v>
      </c>
      <c r="AI472" s="80">
        <f>IF(AC472=1,IF(AND(INDEX(CFG_WDAYS,WEEKDAY(INT(B472)+1,2))="Sí",IF(D472="proMX",COUNTIFS(FER_F,INT(B472)+1,FER_NLP,"Sí"),COUNTIFS(FER_F,INT(B472)+1,FER_NLM,"Sí"))=0),1,0),0)</f>
        <v>0</v>
      </c>
      <c r="AJ472" s="80">
        <f>IF(AC472=1,1440-Z472,AD472)</f>
        <v>0</v>
      </c>
      <c r="AK472" s="80">
        <f>IF(AND(AB472=1,AH472=1),MAX(0,MIN(IF(AC472=1,1440,AA472),CFG_WEM)-MAX(Z472,CFG_WSM)),0)</f>
        <v>0</v>
      </c>
      <c r="AL472" s="80">
        <f>IF(AND(AC472=1,AI472=1),MAX(0,MIN(AA472,CFG_WEM)-CFG_WSM),0)</f>
        <v>0</v>
      </c>
      <c r="AM472" s="80">
        <f>AK472+AL472</f>
        <v>0</v>
      </c>
      <c r="AN472" s="80">
        <f>IF(CFG_BRK="Proporcional",IF(AD472=0,0,AF472*AM472/AD472),IF(CFG_BRK="Extras primero",MIN(AM472,MAX(0,AF472-(AD472-AM472))),MIN(AF472,AM472)))</f>
        <v>0</v>
      </c>
      <c r="AO472" s="80">
        <f>AF472-AN472</f>
        <v>0</v>
      </c>
      <c r="AP472" s="80">
        <f>AM472-AN472</f>
        <v>0</v>
      </c>
      <c r="AQ472" s="80">
        <f>AD472-AM472-AO472</f>
        <v>0</v>
      </c>
      <c r="AR472" s="80">
        <f>IF(AM472=0,0,AK472-AN472*AK472/AM472)</f>
        <v>0</v>
      </c>
      <c r="AS472" s="80">
        <f>IF(AD472-AM472=0,0,(AJ472-AK472)-AO472*(AJ472-AK472)/(AD472-AM472))</f>
        <v>0</v>
      </c>
      <c r="AT472" s="80" t="str">
        <f>IF(AC472=1,INT(B472)+1,"")</f>
        <v/>
      </c>
      <c r="AU472" s="80">
        <f>IF(AND(D472="proMX",R472="Cancelled"),0,1)</f>
        <v>1</v>
      </c>
      <c r="AV472" s="80">
        <f>IF(AND(AB472=1,AU472=1),IF(COUNTIFS($D$5:D471,D472,$B$5:B471,B472,$Z$5:Z471,Z472,$AA$5:AA471,AA472,$F$5:F471,F472&amp;"",$AU$5:AU471,1)&gt;0,1,0),0)</f>
        <v>0</v>
      </c>
      <c r="AW472" s="80" t="str">
        <f>IF(AB472=1,INT(B472)*1440+Z472,"")</f>
        <v/>
      </c>
      <c r="AX472" s="80" t="str">
        <f>IF(AB472=1,AW472+AD472,"")</f>
        <v/>
      </c>
      <c r="AY472" s="80">
        <f>IF(AND(AB472=1,AV472=0,AU472=1),1,0)</f>
        <v>0</v>
      </c>
      <c r="AZ472" s="80">
        <f>IF(AY472=1,COUNTIFS(R_Emp,D472,R_SAbs,"&lt;"&amp;AX472,R_EAbs,"&gt;"&amp;AW472,R_OKey,1)-1,0)</f>
        <v>0</v>
      </c>
      <c r="BA472" s="80">
        <f>IF(AY472=1,COUNTIFS(R_Emp,"&lt;&gt;"&amp;D472,R_SAbs,"&lt;"&amp;AX472,R_EAbs,"&gt;"&amp;AW472,R_OKey,1),0)</f>
        <v>0</v>
      </c>
      <c r="BB472" s="80">
        <f>IF(AND(AB472=1,D472="proMX"),IF(AND(MOD(Z472,CFG_BLK)=0,MOD(AA472,CFG_BLK)=0,MOD(AG472,CFG_BLK)=0,AG472&gt;0),1,0),1)</f>
        <v>1</v>
      </c>
      <c r="BC472" s="80" t="str">
        <f>IF(Y472=0,"",IF(NOT(ISNUMBER(B472)),"Falta fecha o fecha inválida",IF(D472="","Falta empresa",IF(AND(D472&lt;&gt;"Malcolm",D472&lt;&gt;"proMX"),"Empresa inválida",IF(OR(INT(B472)&lt;CFG_PSTART,INT(B472)&gt;CFG_PEND),"Fecha fuera del período",IF(OR(NOT(ISNUMBER(Z472)),NOT(ISNUMBER(AA472))),"Falta hora inicio/fin o formato inválido",IF(AB472=0,"Hora inicio = hora fin",IF(AE472&lt;0,"Descanso inválido",IF(AE472&gt;=AD472,"Descanso ≥ duración",IF(AV472=1,"Registro duplicado",IF(AZ472&gt;0,"Se superpone con otro registro "&amp;D472,IF(BB472=0,"inicio, fin y duración neta deben ser múltiplos de "&amp;CFG_BLK&amp;" min",""))))))))))))</f>
        <v/>
      </c>
      <c r="BD472" s="80">
        <f>IF(AND(Y472=1,BC472=""),1,0)</f>
        <v>0</v>
      </c>
      <c r="BE472" s="80">
        <f>IF(AND(BD472=1,AU472=1),1,0)</f>
        <v>0</v>
      </c>
      <c r="BF472" s="80" t="str">
        <f>IF(AND(D472="proMX",BD472=1),IF(R472="","Draft",R472),"")</f>
        <v/>
      </c>
      <c r="BG472" s="80">
        <f>IF(BD472=1,ROUND(AG472/60,6),0)</f>
        <v>0</v>
      </c>
      <c r="BH472" s="80">
        <f>IF(BE472=1,ROUND(AG472/60,6),0)</f>
        <v>0</v>
      </c>
      <c r="BI472" s="80">
        <f>IF(BE472=1,ROUND(AP472/60,6),0)</f>
        <v>0</v>
      </c>
      <c r="BJ472" s="80">
        <f>IF(BE472=1,ROUND(AQ472/60,6),0)</f>
        <v>0</v>
      </c>
      <c r="BK472" s="80">
        <f>IF(BE472=1,ROUND((AR472+AS472)/60,6),0)</f>
        <v>0</v>
      </c>
      <c r="BL472" s="80">
        <f>ROUND(BH472-BK472,6)</f>
        <v>0</v>
      </c>
      <c r="BM472" s="80">
        <f>IF(BE472=1,ROUND(AR472/60,6),0)</f>
        <v>0</v>
      </c>
      <c r="BN472" s="80">
        <f>ROUND(BI472-BM472,6)</f>
        <v>0</v>
      </c>
      <c r="BO472" s="80">
        <f>IF(BE472=1,ROUND(AS472/60,6),0)</f>
        <v>0</v>
      </c>
      <c r="BP472" s="80">
        <f>ROUND(BJ472-BO472,6)</f>
        <v>0</v>
      </c>
      <c r="BQ472" s="80">
        <f>IF(BE472=1,AW472,0)</f>
        <v>0</v>
      </c>
      <c r="BR472" s="80">
        <f>IF(BE472=1,AX472,0)</f>
        <v>0</v>
      </c>
      <c r="BS472" s="80">
        <f>IF(AND(BE472=1,D472="Malcolm",BA472&gt;0),MIN(BH472,SUMPRODUCT((R_Emp="proMX")*(R_EN&gt;0)*((R_EN-(R_EN&gt;BR472)*(R_EN-BR472))&gt;(R_SN+(R_SN&lt;BQ472)*(BQ472-R_SN)))*((R_EN-(R_EN&gt;BR472)*(R_EN-BR472))-(R_SN+(R_SN&lt;BQ472)*(BQ472-R_SN))))/60),0)</f>
        <v>0</v>
      </c>
      <c r="BT472" s="80">
        <f>IF(AND(BE472=1,D472="proMX"),ROUND(BI472*CFG_RATE+BJ472*CFG_OTRATE,6),0)</f>
        <v>0</v>
      </c>
      <c r="BU472" s="80">
        <f>IF(AND(BD472=1,D472="proMX"),ROUND(AG472/CFG_BLK,6),0)</f>
        <v>0</v>
      </c>
      <c r="BV472" s="80" t="str">
        <f>IF(BF472="Approved",IF(ISNUMBER(T472),INT(T472),INT(B472)),"")</f>
        <v/>
      </c>
      <c r="BW472" s="80">
        <f>IF(ISNUMBER(B472),IF(DB_MON="Todos",1,IF(AND(INT(B472)&gt;=DB_MS,INT(B472)&lt;=DB_ME),1,0)),0)</f>
        <v>0</v>
      </c>
      <c r="BX472" s="80">
        <f>IF(DB_PROJ="Todos",1,IF(E472&amp;""=DB_PROJ&amp;"",1,0))</f>
        <v>1</v>
      </c>
      <c r="BY472" s="80">
        <f>BW472*BX472</f>
        <v>0</v>
      </c>
      <c r="BZ472" s="80" t="str">
        <f>IF(Y472=1,F472&amp;IF(AND(F472&amp;""&lt;&gt;"",E472&amp;""&lt;&gt;"")," · ","")&amp;E472,"")</f>
        <v/>
      </c>
      <c r="CA472" s="80" t="str">
        <f>IF(AND(BD472=1,E472&amp;""&lt;&gt;""),IF(COUNTIFS($E$5:E471,E472,$BD$5:BD471,1)=0,MAX($CA$5:CA471)+1,""),"")</f>
        <v/>
      </c>
      <c r="CB472" s="80" t="str">
        <f>IF(AND(BE472=1,D472="Malcolm",E472&amp;""&lt;&gt;""),IF(COUNTIFS($D$5:D471,"Malcolm",$E$5:E471,E472,$BE$5:BE471,1)=0,MAX($CB$5:CB471)+1,""),"")</f>
        <v/>
      </c>
      <c r="CC472" s="80" t="str">
        <f>IF(AND(BD472=1,D472="proMX",E472&amp;""&lt;&gt;""),IF(COUNTIFS($D$5:D471,"proMX",$E$5:E471,E472,$BD$5:BD471,1)=0,MAX($CC$5:CC471)+1,""),"")</f>
        <v/>
      </c>
      <c r="CD472" s="80" t="str">
        <f>IF(AND(BE472=1,D472="Malcolm",F472&amp;""&lt;&gt;""),IF(COUNTIFS($D$5:D471,"Malcolm",$F$5:F471,F472,$BE$5:BE471,1)=0,MAX($CD$5:CD471)+1,""),"")</f>
        <v/>
      </c>
      <c r="CE472" s="80" t="str">
        <f>IF(AND(BD472=1,D472="proMX",F472&amp;""&lt;&gt;""),IF(COUNTIFS($D$5:D471,"proMX",$F$5:F471,F472,$BD$5:BD471,1)=0,MAX($CE$5:CE471)+1,""),"")</f>
        <v/>
      </c>
      <c r="CF472" s="80" t="str">
        <f>IF(AND(D472="proMX",BD472=1),IF(OR(BF472="Draft",BF472="Submitted",BF472="Returned",BF472="Recall Requested"),MAX($CF$5:CF471)+1,""),"")</f>
        <v/>
      </c>
      <c r="CG472" s="80">
        <f>IF(BD472=0,0,IF(D472="Malcolm",1,MATCH(BF472,{"Draft","Submitted","Approved","Returned","Recall Requested","Cancelled"},0)+1))</f>
        <v>0</v>
      </c>
      <c r="CH472" s="80">
        <f>IF(AND(BF472="Submitted",ISNUMBER(V472)),IF(V472&gt;CFG_MAXD,1,0),0)</f>
        <v>0</v>
      </c>
    </row>
    <row r="473">
      <c r="A473" s="71" t="str">
        <f>IF(Y473=1,ROW()-5,"")</f>
        <v/>
      </c>
      <c r="B473" s="72" t="n"/>
      <c r="C473" s="71" t="str">
        <f>IF(ISNUMBER(B473),CHOOSE(WEEKDAY(B473,2),"Lun","Mar","Mié","Jue","Vie","Sáb","Dom"),"")</f>
        <v/>
      </c>
      <c r="D473" s="73" t="n"/>
      <c r="E473" s="74" t="n"/>
      <c r="F473" s="74" t="n"/>
      <c r="G473" s="74" t="n"/>
      <c r="H473" s="75" t="n"/>
      <c r="I473" s="75" t="n"/>
      <c r="J473" s="76" t="n"/>
      <c r="K473" s="77" t="str">
        <f>IF(AB473=1,ROUND(AG473/60,4),"")</f>
        <v/>
      </c>
      <c r="L473" s="77" t="str">
        <f>IF(BD473=1,ROUND(AP473/60,4),"")</f>
        <v/>
      </c>
      <c r="M473" s="77" t="str">
        <f>IF(BD473=1,ROUND(AQ473/60,4),"")</f>
        <v/>
      </c>
      <c r="N473" s="71" t="str">
        <f>IF(AND(D473="proMX",AB473=1),ROUND(AG473/CFG_BLK,2),"")</f>
        <v/>
      </c>
      <c r="O473" s="77" t="str">
        <f>IF(D473="proMX",IF(BD473=1,ROUND(AG473/60,4),0),"")</f>
        <v/>
      </c>
      <c r="P473" s="78" t="str">
        <f>IF(Y473=0,"",IF(BD473=1,"OK",IF(D473="proMX","Revisar bloques: ","Revisar: ")&amp;BC473))</f>
        <v/>
      </c>
      <c r="Q473" s="78" t="str">
        <f>IF(NOT(ISNUMBER(B473)),"",IF(COUNTIFS(FER_F,INT(B473))&gt;0,"Feriado"&amp;IF(AH473=1," (laborable)"," (no laborable)"),IF(AH473=1,"Laborable",IF(WEEKDAY(B473,2)&gt;5,"Fin de semana","No laborable"))))</f>
        <v/>
      </c>
      <c r="R473" s="73" t="n"/>
      <c r="S473" s="72" t="n"/>
      <c r="T473" s="72" t="n"/>
      <c r="U473" s="74" t="n"/>
      <c r="V473" s="79" t="str">
        <f>IF(AND(D473="proMX",OR(R473="Submitted",R473="Recall Requested"),ISNUMBER(S473)),CFG_TODAY-INT(S473),"")</f>
        <v/>
      </c>
      <c r="W473" s="78" t="str">
        <f>IF(BD473=0,"",IF(BA473&gt;0,"⚠ Se superpone con un registro de la otra empresa",IF(D473="Malcolm",IF(COUNTA(R473,S473,T473)&gt;0,"Estado/fechas proMX se ignoran en Malcolm",""),IF(BF473="Cancelled","Cancelado: excluido de totales",IF(R473="","Sin estado: se trata como Draft",IF(BF473="Submitted",IF(ISNUMBER(V473),IF(V473&gt;CFG_MAXD,"⚠ "&amp;V473&amp;" días en Submitted (máx. "&amp;CFG_MAXD&amp;")",""),"Falta fecha de envío"),IF(BF473="Returned","⚠ Devuelto: corregir y reenviar",IF(BF473="Recall Requested","Retirada solicitada: pendiente",IF(AND(BF473="Approved",NOT(ISNUMBER(T473))),"Falta fecha de aprobación",IF(AND(ISNUMBER(S473),ISNUMBER(T473),T473&lt;S473),"Aprobación anterior al envío","")))))))))</f>
        <v/>
      </c>
      <c r="Y473" s="80">
        <f>IF(COUNTA(B473,D473,E473,F473,G473,H473,I473,J473,R473,S473,T473)&gt;0,1,0)</f>
        <v>0</v>
      </c>
      <c r="Z473" s="80" t="str">
        <f>IF(AND(ISNUMBER(H473),H473&gt;=0,H473&lt;1),ROUND(H473*1440,0),"")</f>
        <v/>
      </c>
      <c r="AA473" s="80" t="str">
        <f>IF(AND(ISNUMBER(I473),I473&gt;=0,I473&lt;1),ROUND(I473*1440,0),"")</f>
        <v/>
      </c>
      <c r="AB473" s="80">
        <f>IF(AND(ISNUMBER(B473),D473&lt;&gt;"",ISNUMBER(Z473),ISNUMBER(AA473)),IF(Z473=AA473,0,1),0)</f>
        <v>0</v>
      </c>
      <c r="AC473" s="80">
        <f>IF(AB473=1,IF(AA473&lt;Z473,1,0),0)</f>
        <v>0</v>
      </c>
      <c r="AD473" s="80">
        <f>IF(AB473=1,IF(AC473=1,1440-Z473+AA473,AA473-Z473),0)</f>
        <v>0</v>
      </c>
      <c r="AE473" s="80">
        <f>IF(J473="",0,IF(ISNUMBER(J473),J473,-1))</f>
        <v>0</v>
      </c>
      <c r="AF473" s="80">
        <f>MIN(MAX(0,AE473),AD473)</f>
        <v>0</v>
      </c>
      <c r="AG473" s="80">
        <f>MAX(0,AD473-MAX(0,AE473))</f>
        <v>0</v>
      </c>
      <c r="AH473" s="80">
        <f>IF(ISNUMBER(B473),IF(AND(INDEX(CFG_WDAYS,WEEKDAY(INT(B473),2))="Sí",IF(D473="proMX",COUNTIFS(FER_F,INT(B473),FER_NLP,"Sí"),COUNTIFS(FER_F,INT(B473),FER_NLM,"Sí"))=0),1,0),0)</f>
        <v>0</v>
      </c>
      <c r="AI473" s="80">
        <f>IF(AC473=1,IF(AND(INDEX(CFG_WDAYS,WEEKDAY(INT(B473)+1,2))="Sí",IF(D473="proMX",COUNTIFS(FER_F,INT(B473)+1,FER_NLP,"Sí"),COUNTIFS(FER_F,INT(B473)+1,FER_NLM,"Sí"))=0),1,0),0)</f>
        <v>0</v>
      </c>
      <c r="AJ473" s="80">
        <f>IF(AC473=1,1440-Z473,AD473)</f>
        <v>0</v>
      </c>
      <c r="AK473" s="80">
        <f>IF(AND(AB473=1,AH473=1),MAX(0,MIN(IF(AC473=1,1440,AA473),CFG_WEM)-MAX(Z473,CFG_WSM)),0)</f>
        <v>0</v>
      </c>
      <c r="AL473" s="80">
        <f>IF(AND(AC473=1,AI473=1),MAX(0,MIN(AA473,CFG_WEM)-CFG_WSM),0)</f>
        <v>0</v>
      </c>
      <c r="AM473" s="80">
        <f>AK473+AL473</f>
        <v>0</v>
      </c>
      <c r="AN473" s="80">
        <f>IF(CFG_BRK="Proporcional",IF(AD473=0,0,AF473*AM473/AD473),IF(CFG_BRK="Extras primero",MIN(AM473,MAX(0,AF473-(AD473-AM473))),MIN(AF473,AM473)))</f>
        <v>0</v>
      </c>
      <c r="AO473" s="80">
        <f>AF473-AN473</f>
        <v>0</v>
      </c>
      <c r="AP473" s="80">
        <f>AM473-AN473</f>
        <v>0</v>
      </c>
      <c r="AQ473" s="80">
        <f>AD473-AM473-AO473</f>
        <v>0</v>
      </c>
      <c r="AR473" s="80">
        <f>IF(AM473=0,0,AK473-AN473*AK473/AM473)</f>
        <v>0</v>
      </c>
      <c r="AS473" s="80">
        <f>IF(AD473-AM473=0,0,(AJ473-AK473)-AO473*(AJ473-AK473)/(AD473-AM473))</f>
        <v>0</v>
      </c>
      <c r="AT473" s="80" t="str">
        <f>IF(AC473=1,INT(B473)+1,"")</f>
        <v/>
      </c>
      <c r="AU473" s="80">
        <f>IF(AND(D473="proMX",R473="Cancelled"),0,1)</f>
        <v>1</v>
      </c>
      <c r="AV473" s="80">
        <f>IF(AND(AB473=1,AU473=1),IF(COUNTIFS($D$5:D472,D473,$B$5:B472,B473,$Z$5:Z472,Z473,$AA$5:AA472,AA473,$F$5:F472,F473&amp;"",$AU$5:AU472,1)&gt;0,1,0),0)</f>
        <v>0</v>
      </c>
      <c r="AW473" s="80" t="str">
        <f>IF(AB473=1,INT(B473)*1440+Z473,"")</f>
        <v/>
      </c>
      <c r="AX473" s="80" t="str">
        <f>IF(AB473=1,AW473+AD473,"")</f>
        <v/>
      </c>
      <c r="AY473" s="80">
        <f>IF(AND(AB473=1,AV473=0,AU473=1),1,0)</f>
        <v>0</v>
      </c>
      <c r="AZ473" s="80">
        <f>IF(AY473=1,COUNTIFS(R_Emp,D473,R_SAbs,"&lt;"&amp;AX473,R_EAbs,"&gt;"&amp;AW473,R_OKey,1)-1,0)</f>
        <v>0</v>
      </c>
      <c r="BA473" s="80">
        <f>IF(AY473=1,COUNTIFS(R_Emp,"&lt;&gt;"&amp;D473,R_SAbs,"&lt;"&amp;AX473,R_EAbs,"&gt;"&amp;AW473,R_OKey,1),0)</f>
        <v>0</v>
      </c>
      <c r="BB473" s="80">
        <f>IF(AND(AB473=1,D473="proMX"),IF(AND(MOD(Z473,CFG_BLK)=0,MOD(AA473,CFG_BLK)=0,MOD(AG473,CFG_BLK)=0,AG473&gt;0),1,0),1)</f>
        <v>1</v>
      </c>
      <c r="BC473" s="80" t="str">
        <f>IF(Y473=0,"",IF(NOT(ISNUMBER(B473)),"Falta fecha o fecha inválida",IF(D473="","Falta empresa",IF(AND(D473&lt;&gt;"Malcolm",D473&lt;&gt;"proMX"),"Empresa inválida",IF(OR(INT(B473)&lt;CFG_PSTART,INT(B473)&gt;CFG_PEND),"Fecha fuera del período",IF(OR(NOT(ISNUMBER(Z473)),NOT(ISNUMBER(AA473))),"Falta hora inicio/fin o formato inválido",IF(AB473=0,"Hora inicio = hora fin",IF(AE473&lt;0,"Descanso inválido",IF(AE473&gt;=AD473,"Descanso ≥ duración",IF(AV473=1,"Registro duplicado",IF(AZ473&gt;0,"Se superpone con otro registro "&amp;D473,IF(BB473=0,"inicio, fin y duración neta deben ser múltiplos de "&amp;CFG_BLK&amp;" min",""))))))))))))</f>
        <v/>
      </c>
      <c r="BD473" s="80">
        <f>IF(AND(Y473=1,BC473=""),1,0)</f>
        <v>0</v>
      </c>
      <c r="BE473" s="80">
        <f>IF(AND(BD473=1,AU473=1),1,0)</f>
        <v>0</v>
      </c>
      <c r="BF473" s="80" t="str">
        <f>IF(AND(D473="proMX",BD473=1),IF(R473="","Draft",R473),"")</f>
        <v/>
      </c>
      <c r="BG473" s="80">
        <f>IF(BD473=1,ROUND(AG473/60,6),0)</f>
        <v>0</v>
      </c>
      <c r="BH473" s="80">
        <f>IF(BE473=1,ROUND(AG473/60,6),0)</f>
        <v>0</v>
      </c>
      <c r="BI473" s="80">
        <f>IF(BE473=1,ROUND(AP473/60,6),0)</f>
        <v>0</v>
      </c>
      <c r="BJ473" s="80">
        <f>IF(BE473=1,ROUND(AQ473/60,6),0)</f>
        <v>0</v>
      </c>
      <c r="BK473" s="80">
        <f>IF(BE473=1,ROUND((AR473+AS473)/60,6),0)</f>
        <v>0</v>
      </c>
      <c r="BL473" s="80">
        <f>ROUND(BH473-BK473,6)</f>
        <v>0</v>
      </c>
      <c r="BM473" s="80">
        <f>IF(BE473=1,ROUND(AR473/60,6),0)</f>
        <v>0</v>
      </c>
      <c r="BN473" s="80">
        <f>ROUND(BI473-BM473,6)</f>
        <v>0</v>
      </c>
      <c r="BO473" s="80">
        <f>IF(BE473=1,ROUND(AS473/60,6),0)</f>
        <v>0</v>
      </c>
      <c r="BP473" s="80">
        <f>ROUND(BJ473-BO473,6)</f>
        <v>0</v>
      </c>
      <c r="BQ473" s="80">
        <f>IF(BE473=1,AW473,0)</f>
        <v>0</v>
      </c>
      <c r="BR473" s="80">
        <f>IF(BE473=1,AX473,0)</f>
        <v>0</v>
      </c>
      <c r="BS473" s="80">
        <f>IF(AND(BE473=1,D473="Malcolm",BA473&gt;0),MIN(BH473,SUMPRODUCT((R_Emp="proMX")*(R_EN&gt;0)*((R_EN-(R_EN&gt;BR473)*(R_EN-BR473))&gt;(R_SN+(R_SN&lt;BQ473)*(BQ473-R_SN)))*((R_EN-(R_EN&gt;BR473)*(R_EN-BR473))-(R_SN+(R_SN&lt;BQ473)*(BQ473-R_SN))))/60),0)</f>
        <v>0</v>
      </c>
      <c r="BT473" s="80">
        <f>IF(AND(BE473=1,D473="proMX"),ROUND(BI473*CFG_RATE+BJ473*CFG_OTRATE,6),0)</f>
        <v>0</v>
      </c>
      <c r="BU473" s="80">
        <f>IF(AND(BD473=1,D473="proMX"),ROUND(AG473/CFG_BLK,6),0)</f>
        <v>0</v>
      </c>
      <c r="BV473" s="80" t="str">
        <f>IF(BF473="Approved",IF(ISNUMBER(T473),INT(T473),INT(B473)),"")</f>
        <v/>
      </c>
      <c r="BW473" s="80">
        <f>IF(ISNUMBER(B473),IF(DB_MON="Todos",1,IF(AND(INT(B473)&gt;=DB_MS,INT(B473)&lt;=DB_ME),1,0)),0)</f>
        <v>0</v>
      </c>
      <c r="BX473" s="80">
        <f>IF(DB_PROJ="Todos",1,IF(E473&amp;""=DB_PROJ&amp;"",1,0))</f>
        <v>1</v>
      </c>
      <c r="BY473" s="80">
        <f>BW473*BX473</f>
        <v>0</v>
      </c>
      <c r="BZ473" s="80" t="str">
        <f>IF(Y473=1,F473&amp;IF(AND(F473&amp;""&lt;&gt;"",E473&amp;""&lt;&gt;"")," · ","")&amp;E473,"")</f>
        <v/>
      </c>
      <c r="CA473" s="80" t="str">
        <f>IF(AND(BD473=1,E473&amp;""&lt;&gt;""),IF(COUNTIFS($E$5:E472,E473,$BD$5:BD472,1)=0,MAX($CA$5:CA472)+1,""),"")</f>
        <v/>
      </c>
      <c r="CB473" s="80" t="str">
        <f>IF(AND(BE473=1,D473="Malcolm",E473&amp;""&lt;&gt;""),IF(COUNTIFS($D$5:D472,"Malcolm",$E$5:E472,E473,$BE$5:BE472,1)=0,MAX($CB$5:CB472)+1,""),"")</f>
        <v/>
      </c>
      <c r="CC473" s="80" t="str">
        <f>IF(AND(BD473=1,D473="proMX",E473&amp;""&lt;&gt;""),IF(COUNTIFS($D$5:D472,"proMX",$E$5:E472,E473,$BD$5:BD472,1)=0,MAX($CC$5:CC472)+1,""),"")</f>
        <v/>
      </c>
      <c r="CD473" s="80" t="str">
        <f>IF(AND(BE473=1,D473="Malcolm",F473&amp;""&lt;&gt;""),IF(COUNTIFS($D$5:D472,"Malcolm",$F$5:F472,F473,$BE$5:BE472,1)=0,MAX($CD$5:CD472)+1,""),"")</f>
        <v/>
      </c>
      <c r="CE473" s="80" t="str">
        <f>IF(AND(BD473=1,D473="proMX",F473&amp;""&lt;&gt;""),IF(COUNTIFS($D$5:D472,"proMX",$F$5:F472,F473,$BD$5:BD472,1)=0,MAX($CE$5:CE472)+1,""),"")</f>
        <v/>
      </c>
      <c r="CF473" s="80" t="str">
        <f>IF(AND(D473="proMX",BD473=1),IF(OR(BF473="Draft",BF473="Submitted",BF473="Returned",BF473="Recall Requested"),MAX($CF$5:CF472)+1,""),"")</f>
        <v/>
      </c>
      <c r="CG473" s="80">
        <f>IF(BD473=0,0,IF(D473="Malcolm",1,MATCH(BF473,{"Draft","Submitted","Approved","Returned","Recall Requested","Cancelled"},0)+1))</f>
        <v>0</v>
      </c>
      <c r="CH473" s="80">
        <f>IF(AND(BF473="Submitted",ISNUMBER(V473)),IF(V473&gt;CFG_MAXD,1,0),0)</f>
        <v>0</v>
      </c>
    </row>
    <row r="474">
      <c r="A474" s="71" t="str">
        <f>IF(Y474=1,ROW()-5,"")</f>
        <v/>
      </c>
      <c r="B474" s="72" t="n"/>
      <c r="C474" s="71" t="str">
        <f>IF(ISNUMBER(B474),CHOOSE(WEEKDAY(B474,2),"Lun","Mar","Mié","Jue","Vie","Sáb","Dom"),"")</f>
        <v/>
      </c>
      <c r="D474" s="73" t="n"/>
      <c r="E474" s="74" t="n"/>
      <c r="F474" s="74" t="n"/>
      <c r="G474" s="74" t="n"/>
      <c r="H474" s="75" t="n"/>
      <c r="I474" s="75" t="n"/>
      <c r="J474" s="76" t="n"/>
      <c r="K474" s="77" t="str">
        <f>IF(AB474=1,ROUND(AG474/60,4),"")</f>
        <v/>
      </c>
      <c r="L474" s="77" t="str">
        <f>IF(BD474=1,ROUND(AP474/60,4),"")</f>
        <v/>
      </c>
      <c r="M474" s="77" t="str">
        <f>IF(BD474=1,ROUND(AQ474/60,4),"")</f>
        <v/>
      </c>
      <c r="N474" s="71" t="str">
        <f>IF(AND(D474="proMX",AB474=1),ROUND(AG474/CFG_BLK,2),"")</f>
        <v/>
      </c>
      <c r="O474" s="77" t="str">
        <f>IF(D474="proMX",IF(BD474=1,ROUND(AG474/60,4),0),"")</f>
        <v/>
      </c>
      <c r="P474" s="78" t="str">
        <f>IF(Y474=0,"",IF(BD474=1,"OK",IF(D474="proMX","Revisar bloques: ","Revisar: ")&amp;BC474))</f>
        <v/>
      </c>
      <c r="Q474" s="78" t="str">
        <f>IF(NOT(ISNUMBER(B474)),"",IF(COUNTIFS(FER_F,INT(B474))&gt;0,"Feriado"&amp;IF(AH474=1," (laborable)"," (no laborable)"),IF(AH474=1,"Laborable",IF(WEEKDAY(B474,2)&gt;5,"Fin de semana","No laborable"))))</f>
        <v/>
      </c>
      <c r="R474" s="73" t="n"/>
      <c r="S474" s="72" t="n"/>
      <c r="T474" s="72" t="n"/>
      <c r="U474" s="74" t="n"/>
      <c r="V474" s="79" t="str">
        <f>IF(AND(D474="proMX",OR(R474="Submitted",R474="Recall Requested"),ISNUMBER(S474)),CFG_TODAY-INT(S474),"")</f>
        <v/>
      </c>
      <c r="W474" s="78" t="str">
        <f>IF(BD474=0,"",IF(BA474&gt;0,"⚠ Se superpone con un registro de la otra empresa",IF(D474="Malcolm",IF(COUNTA(R474,S474,T474)&gt;0,"Estado/fechas proMX se ignoran en Malcolm",""),IF(BF474="Cancelled","Cancelado: excluido de totales",IF(R474="","Sin estado: se trata como Draft",IF(BF474="Submitted",IF(ISNUMBER(V474),IF(V474&gt;CFG_MAXD,"⚠ "&amp;V474&amp;" días en Submitted (máx. "&amp;CFG_MAXD&amp;")",""),"Falta fecha de envío"),IF(BF474="Returned","⚠ Devuelto: corregir y reenviar",IF(BF474="Recall Requested","Retirada solicitada: pendiente",IF(AND(BF474="Approved",NOT(ISNUMBER(T474))),"Falta fecha de aprobación",IF(AND(ISNUMBER(S474),ISNUMBER(T474),T474&lt;S474),"Aprobación anterior al envío","")))))))))</f>
        <v/>
      </c>
      <c r="Y474" s="80">
        <f>IF(COUNTA(B474,D474,E474,F474,G474,H474,I474,J474,R474,S474,T474)&gt;0,1,0)</f>
        <v>0</v>
      </c>
      <c r="Z474" s="80" t="str">
        <f>IF(AND(ISNUMBER(H474),H474&gt;=0,H474&lt;1),ROUND(H474*1440,0),"")</f>
        <v/>
      </c>
      <c r="AA474" s="80" t="str">
        <f>IF(AND(ISNUMBER(I474),I474&gt;=0,I474&lt;1),ROUND(I474*1440,0),"")</f>
        <v/>
      </c>
      <c r="AB474" s="80">
        <f>IF(AND(ISNUMBER(B474),D474&lt;&gt;"",ISNUMBER(Z474),ISNUMBER(AA474)),IF(Z474=AA474,0,1),0)</f>
        <v>0</v>
      </c>
      <c r="AC474" s="80">
        <f>IF(AB474=1,IF(AA474&lt;Z474,1,0),0)</f>
        <v>0</v>
      </c>
      <c r="AD474" s="80">
        <f>IF(AB474=1,IF(AC474=1,1440-Z474+AA474,AA474-Z474),0)</f>
        <v>0</v>
      </c>
      <c r="AE474" s="80">
        <f>IF(J474="",0,IF(ISNUMBER(J474),J474,-1))</f>
        <v>0</v>
      </c>
      <c r="AF474" s="80">
        <f>MIN(MAX(0,AE474),AD474)</f>
        <v>0</v>
      </c>
      <c r="AG474" s="80">
        <f>MAX(0,AD474-MAX(0,AE474))</f>
        <v>0</v>
      </c>
      <c r="AH474" s="80">
        <f>IF(ISNUMBER(B474),IF(AND(INDEX(CFG_WDAYS,WEEKDAY(INT(B474),2))="Sí",IF(D474="proMX",COUNTIFS(FER_F,INT(B474),FER_NLP,"Sí"),COUNTIFS(FER_F,INT(B474),FER_NLM,"Sí"))=0),1,0),0)</f>
        <v>0</v>
      </c>
      <c r="AI474" s="80">
        <f>IF(AC474=1,IF(AND(INDEX(CFG_WDAYS,WEEKDAY(INT(B474)+1,2))="Sí",IF(D474="proMX",COUNTIFS(FER_F,INT(B474)+1,FER_NLP,"Sí"),COUNTIFS(FER_F,INT(B474)+1,FER_NLM,"Sí"))=0),1,0),0)</f>
        <v>0</v>
      </c>
      <c r="AJ474" s="80">
        <f>IF(AC474=1,1440-Z474,AD474)</f>
        <v>0</v>
      </c>
      <c r="AK474" s="80">
        <f>IF(AND(AB474=1,AH474=1),MAX(0,MIN(IF(AC474=1,1440,AA474),CFG_WEM)-MAX(Z474,CFG_WSM)),0)</f>
        <v>0</v>
      </c>
      <c r="AL474" s="80">
        <f>IF(AND(AC474=1,AI474=1),MAX(0,MIN(AA474,CFG_WEM)-CFG_WSM),0)</f>
        <v>0</v>
      </c>
      <c r="AM474" s="80">
        <f>AK474+AL474</f>
        <v>0</v>
      </c>
      <c r="AN474" s="80">
        <f>IF(CFG_BRK="Proporcional",IF(AD474=0,0,AF474*AM474/AD474),IF(CFG_BRK="Extras primero",MIN(AM474,MAX(0,AF474-(AD474-AM474))),MIN(AF474,AM474)))</f>
        <v>0</v>
      </c>
      <c r="AO474" s="80">
        <f>AF474-AN474</f>
        <v>0</v>
      </c>
      <c r="AP474" s="80">
        <f>AM474-AN474</f>
        <v>0</v>
      </c>
      <c r="AQ474" s="80">
        <f>AD474-AM474-AO474</f>
        <v>0</v>
      </c>
      <c r="AR474" s="80">
        <f>IF(AM474=0,0,AK474-AN474*AK474/AM474)</f>
        <v>0</v>
      </c>
      <c r="AS474" s="80">
        <f>IF(AD474-AM474=0,0,(AJ474-AK474)-AO474*(AJ474-AK474)/(AD474-AM474))</f>
        <v>0</v>
      </c>
      <c r="AT474" s="80" t="str">
        <f>IF(AC474=1,INT(B474)+1,"")</f>
        <v/>
      </c>
      <c r="AU474" s="80">
        <f>IF(AND(D474="proMX",R474="Cancelled"),0,1)</f>
        <v>1</v>
      </c>
      <c r="AV474" s="80">
        <f>IF(AND(AB474=1,AU474=1),IF(COUNTIFS($D$5:D473,D474,$B$5:B473,B474,$Z$5:Z473,Z474,$AA$5:AA473,AA474,$F$5:F473,F474&amp;"",$AU$5:AU473,1)&gt;0,1,0),0)</f>
        <v>0</v>
      </c>
      <c r="AW474" s="80" t="str">
        <f>IF(AB474=1,INT(B474)*1440+Z474,"")</f>
        <v/>
      </c>
      <c r="AX474" s="80" t="str">
        <f>IF(AB474=1,AW474+AD474,"")</f>
        <v/>
      </c>
      <c r="AY474" s="80">
        <f>IF(AND(AB474=1,AV474=0,AU474=1),1,0)</f>
        <v>0</v>
      </c>
      <c r="AZ474" s="80">
        <f>IF(AY474=1,COUNTIFS(R_Emp,D474,R_SAbs,"&lt;"&amp;AX474,R_EAbs,"&gt;"&amp;AW474,R_OKey,1)-1,0)</f>
        <v>0</v>
      </c>
      <c r="BA474" s="80">
        <f>IF(AY474=1,COUNTIFS(R_Emp,"&lt;&gt;"&amp;D474,R_SAbs,"&lt;"&amp;AX474,R_EAbs,"&gt;"&amp;AW474,R_OKey,1),0)</f>
        <v>0</v>
      </c>
      <c r="BB474" s="80">
        <f>IF(AND(AB474=1,D474="proMX"),IF(AND(MOD(Z474,CFG_BLK)=0,MOD(AA474,CFG_BLK)=0,MOD(AG474,CFG_BLK)=0,AG474&gt;0),1,0),1)</f>
        <v>1</v>
      </c>
      <c r="BC474" s="80" t="str">
        <f>IF(Y474=0,"",IF(NOT(ISNUMBER(B474)),"Falta fecha o fecha inválida",IF(D474="","Falta empresa",IF(AND(D474&lt;&gt;"Malcolm",D474&lt;&gt;"proMX"),"Empresa inválida",IF(OR(INT(B474)&lt;CFG_PSTART,INT(B474)&gt;CFG_PEND),"Fecha fuera del período",IF(OR(NOT(ISNUMBER(Z474)),NOT(ISNUMBER(AA474))),"Falta hora inicio/fin o formato inválido",IF(AB474=0,"Hora inicio = hora fin",IF(AE474&lt;0,"Descanso inválido",IF(AE474&gt;=AD474,"Descanso ≥ duración",IF(AV474=1,"Registro duplicado",IF(AZ474&gt;0,"Se superpone con otro registro "&amp;D474,IF(BB474=0,"inicio, fin y duración neta deben ser múltiplos de "&amp;CFG_BLK&amp;" min",""))))))))))))</f>
        <v/>
      </c>
      <c r="BD474" s="80">
        <f>IF(AND(Y474=1,BC474=""),1,0)</f>
        <v>0</v>
      </c>
      <c r="BE474" s="80">
        <f>IF(AND(BD474=1,AU474=1),1,0)</f>
        <v>0</v>
      </c>
      <c r="BF474" s="80" t="str">
        <f>IF(AND(D474="proMX",BD474=1),IF(R474="","Draft",R474),"")</f>
        <v/>
      </c>
      <c r="BG474" s="80">
        <f>IF(BD474=1,ROUND(AG474/60,6),0)</f>
        <v>0</v>
      </c>
      <c r="BH474" s="80">
        <f>IF(BE474=1,ROUND(AG474/60,6),0)</f>
        <v>0</v>
      </c>
      <c r="BI474" s="80">
        <f>IF(BE474=1,ROUND(AP474/60,6),0)</f>
        <v>0</v>
      </c>
      <c r="BJ474" s="80">
        <f>IF(BE474=1,ROUND(AQ474/60,6),0)</f>
        <v>0</v>
      </c>
      <c r="BK474" s="80">
        <f>IF(BE474=1,ROUND((AR474+AS474)/60,6),0)</f>
        <v>0</v>
      </c>
      <c r="BL474" s="80">
        <f>ROUND(BH474-BK474,6)</f>
        <v>0</v>
      </c>
      <c r="BM474" s="80">
        <f>IF(BE474=1,ROUND(AR474/60,6),0)</f>
        <v>0</v>
      </c>
      <c r="BN474" s="80">
        <f>ROUND(BI474-BM474,6)</f>
        <v>0</v>
      </c>
      <c r="BO474" s="80">
        <f>IF(BE474=1,ROUND(AS474/60,6),0)</f>
        <v>0</v>
      </c>
      <c r="BP474" s="80">
        <f>ROUND(BJ474-BO474,6)</f>
        <v>0</v>
      </c>
      <c r="BQ474" s="80">
        <f>IF(BE474=1,AW474,0)</f>
        <v>0</v>
      </c>
      <c r="BR474" s="80">
        <f>IF(BE474=1,AX474,0)</f>
        <v>0</v>
      </c>
      <c r="BS474" s="80">
        <f>IF(AND(BE474=1,D474="Malcolm",BA474&gt;0),MIN(BH474,SUMPRODUCT((R_Emp="proMX")*(R_EN&gt;0)*((R_EN-(R_EN&gt;BR474)*(R_EN-BR474))&gt;(R_SN+(R_SN&lt;BQ474)*(BQ474-R_SN)))*((R_EN-(R_EN&gt;BR474)*(R_EN-BR474))-(R_SN+(R_SN&lt;BQ474)*(BQ474-R_SN))))/60),0)</f>
        <v>0</v>
      </c>
      <c r="BT474" s="80">
        <f>IF(AND(BE474=1,D474="proMX"),ROUND(BI474*CFG_RATE+BJ474*CFG_OTRATE,6),0)</f>
        <v>0</v>
      </c>
      <c r="BU474" s="80">
        <f>IF(AND(BD474=1,D474="proMX"),ROUND(AG474/CFG_BLK,6),0)</f>
        <v>0</v>
      </c>
      <c r="BV474" s="80" t="str">
        <f>IF(BF474="Approved",IF(ISNUMBER(T474),INT(T474),INT(B474)),"")</f>
        <v/>
      </c>
      <c r="BW474" s="80">
        <f>IF(ISNUMBER(B474),IF(DB_MON="Todos",1,IF(AND(INT(B474)&gt;=DB_MS,INT(B474)&lt;=DB_ME),1,0)),0)</f>
        <v>0</v>
      </c>
      <c r="BX474" s="80">
        <f>IF(DB_PROJ="Todos",1,IF(E474&amp;""=DB_PROJ&amp;"",1,0))</f>
        <v>1</v>
      </c>
      <c r="BY474" s="80">
        <f>BW474*BX474</f>
        <v>0</v>
      </c>
      <c r="BZ474" s="80" t="str">
        <f>IF(Y474=1,F474&amp;IF(AND(F474&amp;""&lt;&gt;"",E474&amp;""&lt;&gt;"")," · ","")&amp;E474,"")</f>
        <v/>
      </c>
      <c r="CA474" s="80" t="str">
        <f>IF(AND(BD474=1,E474&amp;""&lt;&gt;""),IF(COUNTIFS($E$5:E473,E474,$BD$5:BD473,1)=0,MAX($CA$5:CA473)+1,""),"")</f>
        <v/>
      </c>
      <c r="CB474" s="80" t="str">
        <f>IF(AND(BE474=1,D474="Malcolm",E474&amp;""&lt;&gt;""),IF(COUNTIFS($D$5:D473,"Malcolm",$E$5:E473,E474,$BE$5:BE473,1)=0,MAX($CB$5:CB473)+1,""),"")</f>
        <v/>
      </c>
      <c r="CC474" s="80" t="str">
        <f>IF(AND(BD474=1,D474="proMX",E474&amp;""&lt;&gt;""),IF(COUNTIFS($D$5:D473,"proMX",$E$5:E473,E474,$BD$5:BD473,1)=0,MAX($CC$5:CC473)+1,""),"")</f>
        <v/>
      </c>
      <c r="CD474" s="80" t="str">
        <f>IF(AND(BE474=1,D474="Malcolm",F474&amp;""&lt;&gt;""),IF(COUNTIFS($D$5:D473,"Malcolm",$F$5:F473,F474,$BE$5:BE473,1)=0,MAX($CD$5:CD473)+1,""),"")</f>
        <v/>
      </c>
      <c r="CE474" s="80" t="str">
        <f>IF(AND(BD474=1,D474="proMX",F474&amp;""&lt;&gt;""),IF(COUNTIFS($D$5:D473,"proMX",$F$5:F473,F474,$BD$5:BD473,1)=0,MAX($CE$5:CE473)+1,""),"")</f>
        <v/>
      </c>
      <c r="CF474" s="80" t="str">
        <f>IF(AND(D474="proMX",BD474=1),IF(OR(BF474="Draft",BF474="Submitted",BF474="Returned",BF474="Recall Requested"),MAX($CF$5:CF473)+1,""),"")</f>
        <v/>
      </c>
      <c r="CG474" s="80">
        <f>IF(BD474=0,0,IF(D474="Malcolm",1,MATCH(BF474,{"Draft","Submitted","Approved","Returned","Recall Requested","Cancelled"},0)+1))</f>
        <v>0</v>
      </c>
      <c r="CH474" s="80">
        <f>IF(AND(BF474="Submitted",ISNUMBER(V474)),IF(V474&gt;CFG_MAXD,1,0),0)</f>
        <v>0</v>
      </c>
    </row>
    <row r="475">
      <c r="A475" s="71" t="str">
        <f>IF(Y475=1,ROW()-5,"")</f>
        <v/>
      </c>
      <c r="B475" s="72" t="n"/>
      <c r="C475" s="71" t="str">
        <f>IF(ISNUMBER(B475),CHOOSE(WEEKDAY(B475,2),"Lun","Mar","Mié","Jue","Vie","Sáb","Dom"),"")</f>
        <v/>
      </c>
      <c r="D475" s="73" t="n"/>
      <c r="E475" s="74" t="n"/>
      <c r="F475" s="74" t="n"/>
      <c r="G475" s="74" t="n"/>
      <c r="H475" s="75" t="n"/>
      <c r="I475" s="75" t="n"/>
      <c r="J475" s="76" t="n"/>
      <c r="K475" s="77" t="str">
        <f>IF(AB475=1,ROUND(AG475/60,4),"")</f>
        <v/>
      </c>
      <c r="L475" s="77" t="str">
        <f>IF(BD475=1,ROUND(AP475/60,4),"")</f>
        <v/>
      </c>
      <c r="M475" s="77" t="str">
        <f>IF(BD475=1,ROUND(AQ475/60,4),"")</f>
        <v/>
      </c>
      <c r="N475" s="71" t="str">
        <f>IF(AND(D475="proMX",AB475=1),ROUND(AG475/CFG_BLK,2),"")</f>
        <v/>
      </c>
      <c r="O475" s="77" t="str">
        <f>IF(D475="proMX",IF(BD475=1,ROUND(AG475/60,4),0),"")</f>
        <v/>
      </c>
      <c r="P475" s="78" t="str">
        <f>IF(Y475=0,"",IF(BD475=1,"OK",IF(D475="proMX","Revisar bloques: ","Revisar: ")&amp;BC475))</f>
        <v/>
      </c>
      <c r="Q475" s="78" t="str">
        <f>IF(NOT(ISNUMBER(B475)),"",IF(COUNTIFS(FER_F,INT(B475))&gt;0,"Feriado"&amp;IF(AH475=1," (laborable)"," (no laborable)"),IF(AH475=1,"Laborable",IF(WEEKDAY(B475,2)&gt;5,"Fin de semana","No laborable"))))</f>
        <v/>
      </c>
      <c r="R475" s="73" t="n"/>
      <c r="S475" s="72" t="n"/>
      <c r="T475" s="72" t="n"/>
      <c r="U475" s="74" t="n"/>
      <c r="V475" s="79" t="str">
        <f>IF(AND(D475="proMX",OR(R475="Submitted",R475="Recall Requested"),ISNUMBER(S475)),CFG_TODAY-INT(S475),"")</f>
        <v/>
      </c>
      <c r="W475" s="78" t="str">
        <f>IF(BD475=0,"",IF(BA475&gt;0,"⚠ Se superpone con un registro de la otra empresa",IF(D475="Malcolm",IF(COUNTA(R475,S475,T475)&gt;0,"Estado/fechas proMX se ignoran en Malcolm",""),IF(BF475="Cancelled","Cancelado: excluido de totales",IF(R475="","Sin estado: se trata como Draft",IF(BF475="Submitted",IF(ISNUMBER(V475),IF(V475&gt;CFG_MAXD,"⚠ "&amp;V475&amp;" días en Submitted (máx. "&amp;CFG_MAXD&amp;")",""),"Falta fecha de envío"),IF(BF475="Returned","⚠ Devuelto: corregir y reenviar",IF(BF475="Recall Requested","Retirada solicitada: pendiente",IF(AND(BF475="Approved",NOT(ISNUMBER(T475))),"Falta fecha de aprobación",IF(AND(ISNUMBER(S475),ISNUMBER(T475),T475&lt;S475),"Aprobación anterior al envío","")))))))))</f>
        <v/>
      </c>
      <c r="Y475" s="80">
        <f>IF(COUNTA(B475,D475,E475,F475,G475,H475,I475,J475,R475,S475,T475)&gt;0,1,0)</f>
        <v>0</v>
      </c>
      <c r="Z475" s="80" t="str">
        <f>IF(AND(ISNUMBER(H475),H475&gt;=0,H475&lt;1),ROUND(H475*1440,0),"")</f>
        <v/>
      </c>
      <c r="AA475" s="80" t="str">
        <f>IF(AND(ISNUMBER(I475),I475&gt;=0,I475&lt;1),ROUND(I475*1440,0),"")</f>
        <v/>
      </c>
      <c r="AB475" s="80">
        <f>IF(AND(ISNUMBER(B475),D475&lt;&gt;"",ISNUMBER(Z475),ISNUMBER(AA475)),IF(Z475=AA475,0,1),0)</f>
        <v>0</v>
      </c>
      <c r="AC475" s="80">
        <f>IF(AB475=1,IF(AA475&lt;Z475,1,0),0)</f>
        <v>0</v>
      </c>
      <c r="AD475" s="80">
        <f>IF(AB475=1,IF(AC475=1,1440-Z475+AA475,AA475-Z475),0)</f>
        <v>0</v>
      </c>
      <c r="AE475" s="80">
        <f>IF(J475="",0,IF(ISNUMBER(J475),J475,-1))</f>
        <v>0</v>
      </c>
      <c r="AF475" s="80">
        <f>MIN(MAX(0,AE475),AD475)</f>
        <v>0</v>
      </c>
      <c r="AG475" s="80">
        <f>MAX(0,AD475-MAX(0,AE475))</f>
        <v>0</v>
      </c>
      <c r="AH475" s="80">
        <f>IF(ISNUMBER(B475),IF(AND(INDEX(CFG_WDAYS,WEEKDAY(INT(B475),2))="Sí",IF(D475="proMX",COUNTIFS(FER_F,INT(B475),FER_NLP,"Sí"),COUNTIFS(FER_F,INT(B475),FER_NLM,"Sí"))=0),1,0),0)</f>
        <v>0</v>
      </c>
      <c r="AI475" s="80">
        <f>IF(AC475=1,IF(AND(INDEX(CFG_WDAYS,WEEKDAY(INT(B475)+1,2))="Sí",IF(D475="proMX",COUNTIFS(FER_F,INT(B475)+1,FER_NLP,"Sí"),COUNTIFS(FER_F,INT(B475)+1,FER_NLM,"Sí"))=0),1,0),0)</f>
        <v>0</v>
      </c>
      <c r="AJ475" s="80">
        <f>IF(AC475=1,1440-Z475,AD475)</f>
        <v>0</v>
      </c>
      <c r="AK475" s="80">
        <f>IF(AND(AB475=1,AH475=1),MAX(0,MIN(IF(AC475=1,1440,AA475),CFG_WEM)-MAX(Z475,CFG_WSM)),0)</f>
        <v>0</v>
      </c>
      <c r="AL475" s="80">
        <f>IF(AND(AC475=1,AI475=1),MAX(0,MIN(AA475,CFG_WEM)-CFG_WSM),0)</f>
        <v>0</v>
      </c>
      <c r="AM475" s="80">
        <f>AK475+AL475</f>
        <v>0</v>
      </c>
      <c r="AN475" s="80">
        <f>IF(CFG_BRK="Proporcional",IF(AD475=0,0,AF475*AM475/AD475),IF(CFG_BRK="Extras primero",MIN(AM475,MAX(0,AF475-(AD475-AM475))),MIN(AF475,AM475)))</f>
        <v>0</v>
      </c>
      <c r="AO475" s="80">
        <f>AF475-AN475</f>
        <v>0</v>
      </c>
      <c r="AP475" s="80">
        <f>AM475-AN475</f>
        <v>0</v>
      </c>
      <c r="AQ475" s="80">
        <f>AD475-AM475-AO475</f>
        <v>0</v>
      </c>
      <c r="AR475" s="80">
        <f>IF(AM475=0,0,AK475-AN475*AK475/AM475)</f>
        <v>0</v>
      </c>
      <c r="AS475" s="80">
        <f>IF(AD475-AM475=0,0,(AJ475-AK475)-AO475*(AJ475-AK475)/(AD475-AM475))</f>
        <v>0</v>
      </c>
      <c r="AT475" s="80" t="str">
        <f>IF(AC475=1,INT(B475)+1,"")</f>
        <v/>
      </c>
      <c r="AU475" s="80">
        <f>IF(AND(D475="proMX",R475="Cancelled"),0,1)</f>
        <v>1</v>
      </c>
      <c r="AV475" s="80">
        <f>IF(AND(AB475=1,AU475=1),IF(COUNTIFS($D$5:D474,D475,$B$5:B474,B475,$Z$5:Z474,Z475,$AA$5:AA474,AA475,$F$5:F474,F475&amp;"",$AU$5:AU474,1)&gt;0,1,0),0)</f>
        <v>0</v>
      </c>
      <c r="AW475" s="80" t="str">
        <f>IF(AB475=1,INT(B475)*1440+Z475,"")</f>
        <v/>
      </c>
      <c r="AX475" s="80" t="str">
        <f>IF(AB475=1,AW475+AD475,"")</f>
        <v/>
      </c>
      <c r="AY475" s="80">
        <f>IF(AND(AB475=1,AV475=0,AU475=1),1,0)</f>
        <v>0</v>
      </c>
      <c r="AZ475" s="80">
        <f>IF(AY475=1,COUNTIFS(R_Emp,D475,R_SAbs,"&lt;"&amp;AX475,R_EAbs,"&gt;"&amp;AW475,R_OKey,1)-1,0)</f>
        <v>0</v>
      </c>
      <c r="BA475" s="80">
        <f>IF(AY475=1,COUNTIFS(R_Emp,"&lt;&gt;"&amp;D475,R_SAbs,"&lt;"&amp;AX475,R_EAbs,"&gt;"&amp;AW475,R_OKey,1),0)</f>
        <v>0</v>
      </c>
      <c r="BB475" s="80">
        <f>IF(AND(AB475=1,D475="proMX"),IF(AND(MOD(Z475,CFG_BLK)=0,MOD(AA475,CFG_BLK)=0,MOD(AG475,CFG_BLK)=0,AG475&gt;0),1,0),1)</f>
        <v>1</v>
      </c>
      <c r="BC475" s="80" t="str">
        <f>IF(Y475=0,"",IF(NOT(ISNUMBER(B475)),"Falta fecha o fecha inválida",IF(D475="","Falta empresa",IF(AND(D475&lt;&gt;"Malcolm",D475&lt;&gt;"proMX"),"Empresa inválida",IF(OR(INT(B475)&lt;CFG_PSTART,INT(B475)&gt;CFG_PEND),"Fecha fuera del período",IF(OR(NOT(ISNUMBER(Z475)),NOT(ISNUMBER(AA475))),"Falta hora inicio/fin o formato inválido",IF(AB475=0,"Hora inicio = hora fin",IF(AE475&lt;0,"Descanso inválido",IF(AE475&gt;=AD475,"Descanso ≥ duración",IF(AV475=1,"Registro duplicado",IF(AZ475&gt;0,"Se superpone con otro registro "&amp;D475,IF(BB475=0,"inicio, fin y duración neta deben ser múltiplos de "&amp;CFG_BLK&amp;" min",""))))))))))))</f>
        <v/>
      </c>
      <c r="BD475" s="80">
        <f>IF(AND(Y475=1,BC475=""),1,0)</f>
        <v>0</v>
      </c>
      <c r="BE475" s="80">
        <f>IF(AND(BD475=1,AU475=1),1,0)</f>
        <v>0</v>
      </c>
      <c r="BF475" s="80" t="str">
        <f>IF(AND(D475="proMX",BD475=1),IF(R475="","Draft",R475),"")</f>
        <v/>
      </c>
      <c r="BG475" s="80">
        <f>IF(BD475=1,ROUND(AG475/60,6),0)</f>
        <v>0</v>
      </c>
      <c r="BH475" s="80">
        <f>IF(BE475=1,ROUND(AG475/60,6),0)</f>
        <v>0</v>
      </c>
      <c r="BI475" s="80">
        <f>IF(BE475=1,ROUND(AP475/60,6),0)</f>
        <v>0</v>
      </c>
      <c r="BJ475" s="80">
        <f>IF(BE475=1,ROUND(AQ475/60,6),0)</f>
        <v>0</v>
      </c>
      <c r="BK475" s="80">
        <f>IF(BE475=1,ROUND((AR475+AS475)/60,6),0)</f>
        <v>0</v>
      </c>
      <c r="BL475" s="80">
        <f>ROUND(BH475-BK475,6)</f>
        <v>0</v>
      </c>
      <c r="BM475" s="80">
        <f>IF(BE475=1,ROUND(AR475/60,6),0)</f>
        <v>0</v>
      </c>
      <c r="BN475" s="80">
        <f>ROUND(BI475-BM475,6)</f>
        <v>0</v>
      </c>
      <c r="BO475" s="80">
        <f>IF(BE475=1,ROUND(AS475/60,6),0)</f>
        <v>0</v>
      </c>
      <c r="BP475" s="80">
        <f>ROUND(BJ475-BO475,6)</f>
        <v>0</v>
      </c>
      <c r="BQ475" s="80">
        <f>IF(BE475=1,AW475,0)</f>
        <v>0</v>
      </c>
      <c r="BR475" s="80">
        <f>IF(BE475=1,AX475,0)</f>
        <v>0</v>
      </c>
      <c r="BS475" s="80">
        <f>IF(AND(BE475=1,D475="Malcolm",BA475&gt;0),MIN(BH475,SUMPRODUCT((R_Emp="proMX")*(R_EN&gt;0)*((R_EN-(R_EN&gt;BR475)*(R_EN-BR475))&gt;(R_SN+(R_SN&lt;BQ475)*(BQ475-R_SN)))*((R_EN-(R_EN&gt;BR475)*(R_EN-BR475))-(R_SN+(R_SN&lt;BQ475)*(BQ475-R_SN))))/60),0)</f>
        <v>0</v>
      </c>
      <c r="BT475" s="80">
        <f>IF(AND(BE475=1,D475="proMX"),ROUND(BI475*CFG_RATE+BJ475*CFG_OTRATE,6),0)</f>
        <v>0</v>
      </c>
      <c r="BU475" s="80">
        <f>IF(AND(BD475=1,D475="proMX"),ROUND(AG475/CFG_BLK,6),0)</f>
        <v>0</v>
      </c>
      <c r="BV475" s="80" t="str">
        <f>IF(BF475="Approved",IF(ISNUMBER(T475),INT(T475),INT(B475)),"")</f>
        <v/>
      </c>
      <c r="BW475" s="80">
        <f>IF(ISNUMBER(B475),IF(DB_MON="Todos",1,IF(AND(INT(B475)&gt;=DB_MS,INT(B475)&lt;=DB_ME),1,0)),0)</f>
        <v>0</v>
      </c>
      <c r="BX475" s="80">
        <f>IF(DB_PROJ="Todos",1,IF(E475&amp;""=DB_PROJ&amp;"",1,0))</f>
        <v>1</v>
      </c>
      <c r="BY475" s="80">
        <f>BW475*BX475</f>
        <v>0</v>
      </c>
      <c r="BZ475" s="80" t="str">
        <f>IF(Y475=1,F475&amp;IF(AND(F475&amp;""&lt;&gt;"",E475&amp;""&lt;&gt;"")," · ","")&amp;E475,"")</f>
        <v/>
      </c>
      <c r="CA475" s="80" t="str">
        <f>IF(AND(BD475=1,E475&amp;""&lt;&gt;""),IF(COUNTIFS($E$5:E474,E475,$BD$5:BD474,1)=0,MAX($CA$5:CA474)+1,""),"")</f>
        <v/>
      </c>
      <c r="CB475" s="80" t="str">
        <f>IF(AND(BE475=1,D475="Malcolm",E475&amp;""&lt;&gt;""),IF(COUNTIFS($D$5:D474,"Malcolm",$E$5:E474,E475,$BE$5:BE474,1)=0,MAX($CB$5:CB474)+1,""),"")</f>
        <v/>
      </c>
      <c r="CC475" s="80" t="str">
        <f>IF(AND(BD475=1,D475="proMX",E475&amp;""&lt;&gt;""),IF(COUNTIFS($D$5:D474,"proMX",$E$5:E474,E475,$BD$5:BD474,1)=0,MAX($CC$5:CC474)+1,""),"")</f>
        <v/>
      </c>
      <c r="CD475" s="80" t="str">
        <f>IF(AND(BE475=1,D475="Malcolm",F475&amp;""&lt;&gt;""),IF(COUNTIFS($D$5:D474,"Malcolm",$F$5:F474,F475,$BE$5:BE474,1)=0,MAX($CD$5:CD474)+1,""),"")</f>
        <v/>
      </c>
      <c r="CE475" s="80" t="str">
        <f>IF(AND(BD475=1,D475="proMX",F475&amp;""&lt;&gt;""),IF(COUNTIFS($D$5:D474,"proMX",$F$5:F474,F475,$BD$5:BD474,1)=0,MAX($CE$5:CE474)+1,""),"")</f>
        <v/>
      </c>
      <c r="CF475" s="80" t="str">
        <f>IF(AND(D475="proMX",BD475=1),IF(OR(BF475="Draft",BF475="Submitted",BF475="Returned",BF475="Recall Requested"),MAX($CF$5:CF474)+1,""),"")</f>
        <v/>
      </c>
      <c r="CG475" s="80">
        <f>IF(BD475=0,0,IF(D475="Malcolm",1,MATCH(BF475,{"Draft","Submitted","Approved","Returned","Recall Requested","Cancelled"},0)+1))</f>
        <v>0</v>
      </c>
      <c r="CH475" s="80">
        <f>IF(AND(BF475="Submitted",ISNUMBER(V475)),IF(V475&gt;CFG_MAXD,1,0),0)</f>
        <v>0</v>
      </c>
    </row>
    <row r="476">
      <c r="A476" s="71" t="str">
        <f>IF(Y476=1,ROW()-5,"")</f>
        <v/>
      </c>
      <c r="B476" s="72" t="n"/>
      <c r="C476" s="71" t="str">
        <f>IF(ISNUMBER(B476),CHOOSE(WEEKDAY(B476,2),"Lun","Mar","Mié","Jue","Vie","Sáb","Dom"),"")</f>
        <v/>
      </c>
      <c r="D476" s="73" t="n"/>
      <c r="E476" s="74" t="n"/>
      <c r="F476" s="74" t="n"/>
      <c r="G476" s="74" t="n"/>
      <c r="H476" s="75" t="n"/>
      <c r="I476" s="75" t="n"/>
      <c r="J476" s="76" t="n"/>
      <c r="K476" s="77" t="str">
        <f>IF(AB476=1,ROUND(AG476/60,4),"")</f>
        <v/>
      </c>
      <c r="L476" s="77" t="str">
        <f>IF(BD476=1,ROUND(AP476/60,4),"")</f>
        <v/>
      </c>
      <c r="M476" s="77" t="str">
        <f>IF(BD476=1,ROUND(AQ476/60,4),"")</f>
        <v/>
      </c>
      <c r="N476" s="71" t="str">
        <f>IF(AND(D476="proMX",AB476=1),ROUND(AG476/CFG_BLK,2),"")</f>
        <v/>
      </c>
      <c r="O476" s="77" t="str">
        <f>IF(D476="proMX",IF(BD476=1,ROUND(AG476/60,4),0),"")</f>
        <v/>
      </c>
      <c r="P476" s="78" t="str">
        <f>IF(Y476=0,"",IF(BD476=1,"OK",IF(D476="proMX","Revisar bloques: ","Revisar: ")&amp;BC476))</f>
        <v/>
      </c>
      <c r="Q476" s="78" t="str">
        <f>IF(NOT(ISNUMBER(B476)),"",IF(COUNTIFS(FER_F,INT(B476))&gt;0,"Feriado"&amp;IF(AH476=1," (laborable)"," (no laborable)"),IF(AH476=1,"Laborable",IF(WEEKDAY(B476,2)&gt;5,"Fin de semana","No laborable"))))</f>
        <v/>
      </c>
      <c r="R476" s="73" t="n"/>
      <c r="S476" s="72" t="n"/>
      <c r="T476" s="72" t="n"/>
      <c r="U476" s="74" t="n"/>
      <c r="V476" s="79" t="str">
        <f>IF(AND(D476="proMX",OR(R476="Submitted",R476="Recall Requested"),ISNUMBER(S476)),CFG_TODAY-INT(S476),"")</f>
        <v/>
      </c>
      <c r="W476" s="78" t="str">
        <f>IF(BD476=0,"",IF(BA476&gt;0,"⚠ Se superpone con un registro de la otra empresa",IF(D476="Malcolm",IF(COUNTA(R476,S476,T476)&gt;0,"Estado/fechas proMX se ignoran en Malcolm",""),IF(BF476="Cancelled","Cancelado: excluido de totales",IF(R476="","Sin estado: se trata como Draft",IF(BF476="Submitted",IF(ISNUMBER(V476),IF(V476&gt;CFG_MAXD,"⚠ "&amp;V476&amp;" días en Submitted (máx. "&amp;CFG_MAXD&amp;")",""),"Falta fecha de envío"),IF(BF476="Returned","⚠ Devuelto: corregir y reenviar",IF(BF476="Recall Requested","Retirada solicitada: pendiente",IF(AND(BF476="Approved",NOT(ISNUMBER(T476))),"Falta fecha de aprobación",IF(AND(ISNUMBER(S476),ISNUMBER(T476),T476&lt;S476),"Aprobación anterior al envío","")))))))))</f>
        <v/>
      </c>
      <c r="Y476" s="80">
        <f>IF(COUNTA(B476,D476,E476,F476,G476,H476,I476,J476,R476,S476,T476)&gt;0,1,0)</f>
        <v>0</v>
      </c>
      <c r="Z476" s="80" t="str">
        <f>IF(AND(ISNUMBER(H476),H476&gt;=0,H476&lt;1),ROUND(H476*1440,0),"")</f>
        <v/>
      </c>
      <c r="AA476" s="80" t="str">
        <f>IF(AND(ISNUMBER(I476),I476&gt;=0,I476&lt;1),ROUND(I476*1440,0),"")</f>
        <v/>
      </c>
      <c r="AB476" s="80">
        <f>IF(AND(ISNUMBER(B476),D476&lt;&gt;"",ISNUMBER(Z476),ISNUMBER(AA476)),IF(Z476=AA476,0,1),0)</f>
        <v>0</v>
      </c>
      <c r="AC476" s="80">
        <f>IF(AB476=1,IF(AA476&lt;Z476,1,0),0)</f>
        <v>0</v>
      </c>
      <c r="AD476" s="80">
        <f>IF(AB476=1,IF(AC476=1,1440-Z476+AA476,AA476-Z476),0)</f>
        <v>0</v>
      </c>
      <c r="AE476" s="80">
        <f>IF(J476="",0,IF(ISNUMBER(J476),J476,-1))</f>
        <v>0</v>
      </c>
      <c r="AF476" s="80">
        <f>MIN(MAX(0,AE476),AD476)</f>
        <v>0</v>
      </c>
      <c r="AG476" s="80">
        <f>MAX(0,AD476-MAX(0,AE476))</f>
        <v>0</v>
      </c>
      <c r="AH476" s="80">
        <f>IF(ISNUMBER(B476),IF(AND(INDEX(CFG_WDAYS,WEEKDAY(INT(B476),2))="Sí",IF(D476="proMX",COUNTIFS(FER_F,INT(B476),FER_NLP,"Sí"),COUNTIFS(FER_F,INT(B476),FER_NLM,"Sí"))=0),1,0),0)</f>
        <v>0</v>
      </c>
      <c r="AI476" s="80">
        <f>IF(AC476=1,IF(AND(INDEX(CFG_WDAYS,WEEKDAY(INT(B476)+1,2))="Sí",IF(D476="proMX",COUNTIFS(FER_F,INT(B476)+1,FER_NLP,"Sí"),COUNTIFS(FER_F,INT(B476)+1,FER_NLM,"Sí"))=0),1,0),0)</f>
        <v>0</v>
      </c>
      <c r="AJ476" s="80">
        <f>IF(AC476=1,1440-Z476,AD476)</f>
        <v>0</v>
      </c>
      <c r="AK476" s="80">
        <f>IF(AND(AB476=1,AH476=1),MAX(0,MIN(IF(AC476=1,1440,AA476),CFG_WEM)-MAX(Z476,CFG_WSM)),0)</f>
        <v>0</v>
      </c>
      <c r="AL476" s="80">
        <f>IF(AND(AC476=1,AI476=1),MAX(0,MIN(AA476,CFG_WEM)-CFG_WSM),0)</f>
        <v>0</v>
      </c>
      <c r="AM476" s="80">
        <f>AK476+AL476</f>
        <v>0</v>
      </c>
      <c r="AN476" s="80">
        <f>IF(CFG_BRK="Proporcional",IF(AD476=0,0,AF476*AM476/AD476),IF(CFG_BRK="Extras primero",MIN(AM476,MAX(0,AF476-(AD476-AM476))),MIN(AF476,AM476)))</f>
        <v>0</v>
      </c>
      <c r="AO476" s="80">
        <f>AF476-AN476</f>
        <v>0</v>
      </c>
      <c r="AP476" s="80">
        <f>AM476-AN476</f>
        <v>0</v>
      </c>
      <c r="AQ476" s="80">
        <f>AD476-AM476-AO476</f>
        <v>0</v>
      </c>
      <c r="AR476" s="80">
        <f>IF(AM476=0,0,AK476-AN476*AK476/AM476)</f>
        <v>0</v>
      </c>
      <c r="AS476" s="80">
        <f>IF(AD476-AM476=0,0,(AJ476-AK476)-AO476*(AJ476-AK476)/(AD476-AM476))</f>
        <v>0</v>
      </c>
      <c r="AT476" s="80" t="str">
        <f>IF(AC476=1,INT(B476)+1,"")</f>
        <v/>
      </c>
      <c r="AU476" s="80">
        <f>IF(AND(D476="proMX",R476="Cancelled"),0,1)</f>
        <v>1</v>
      </c>
      <c r="AV476" s="80">
        <f>IF(AND(AB476=1,AU476=1),IF(COUNTIFS($D$5:D475,D476,$B$5:B475,B476,$Z$5:Z475,Z476,$AA$5:AA475,AA476,$F$5:F475,F476&amp;"",$AU$5:AU475,1)&gt;0,1,0),0)</f>
        <v>0</v>
      </c>
      <c r="AW476" s="80" t="str">
        <f>IF(AB476=1,INT(B476)*1440+Z476,"")</f>
        <v/>
      </c>
      <c r="AX476" s="80" t="str">
        <f>IF(AB476=1,AW476+AD476,"")</f>
        <v/>
      </c>
      <c r="AY476" s="80">
        <f>IF(AND(AB476=1,AV476=0,AU476=1),1,0)</f>
        <v>0</v>
      </c>
      <c r="AZ476" s="80">
        <f>IF(AY476=1,COUNTIFS(R_Emp,D476,R_SAbs,"&lt;"&amp;AX476,R_EAbs,"&gt;"&amp;AW476,R_OKey,1)-1,0)</f>
        <v>0</v>
      </c>
      <c r="BA476" s="80">
        <f>IF(AY476=1,COUNTIFS(R_Emp,"&lt;&gt;"&amp;D476,R_SAbs,"&lt;"&amp;AX476,R_EAbs,"&gt;"&amp;AW476,R_OKey,1),0)</f>
        <v>0</v>
      </c>
      <c r="BB476" s="80">
        <f>IF(AND(AB476=1,D476="proMX"),IF(AND(MOD(Z476,CFG_BLK)=0,MOD(AA476,CFG_BLK)=0,MOD(AG476,CFG_BLK)=0,AG476&gt;0),1,0),1)</f>
        <v>1</v>
      </c>
      <c r="BC476" s="80" t="str">
        <f>IF(Y476=0,"",IF(NOT(ISNUMBER(B476)),"Falta fecha o fecha inválida",IF(D476="","Falta empresa",IF(AND(D476&lt;&gt;"Malcolm",D476&lt;&gt;"proMX"),"Empresa inválida",IF(OR(INT(B476)&lt;CFG_PSTART,INT(B476)&gt;CFG_PEND),"Fecha fuera del período",IF(OR(NOT(ISNUMBER(Z476)),NOT(ISNUMBER(AA476))),"Falta hora inicio/fin o formato inválido",IF(AB476=0,"Hora inicio = hora fin",IF(AE476&lt;0,"Descanso inválido",IF(AE476&gt;=AD476,"Descanso ≥ duración",IF(AV476=1,"Registro duplicado",IF(AZ476&gt;0,"Se superpone con otro registro "&amp;D476,IF(BB476=0,"inicio, fin y duración neta deben ser múltiplos de "&amp;CFG_BLK&amp;" min",""))))))))))))</f>
        <v/>
      </c>
      <c r="BD476" s="80">
        <f>IF(AND(Y476=1,BC476=""),1,0)</f>
        <v>0</v>
      </c>
      <c r="BE476" s="80">
        <f>IF(AND(BD476=1,AU476=1),1,0)</f>
        <v>0</v>
      </c>
      <c r="BF476" s="80" t="str">
        <f>IF(AND(D476="proMX",BD476=1),IF(R476="","Draft",R476),"")</f>
        <v/>
      </c>
      <c r="BG476" s="80">
        <f>IF(BD476=1,ROUND(AG476/60,6),0)</f>
        <v>0</v>
      </c>
      <c r="BH476" s="80">
        <f>IF(BE476=1,ROUND(AG476/60,6),0)</f>
        <v>0</v>
      </c>
      <c r="BI476" s="80">
        <f>IF(BE476=1,ROUND(AP476/60,6),0)</f>
        <v>0</v>
      </c>
      <c r="BJ476" s="80">
        <f>IF(BE476=1,ROUND(AQ476/60,6),0)</f>
        <v>0</v>
      </c>
      <c r="BK476" s="80">
        <f>IF(BE476=1,ROUND((AR476+AS476)/60,6),0)</f>
        <v>0</v>
      </c>
      <c r="BL476" s="80">
        <f>ROUND(BH476-BK476,6)</f>
        <v>0</v>
      </c>
      <c r="BM476" s="80">
        <f>IF(BE476=1,ROUND(AR476/60,6),0)</f>
        <v>0</v>
      </c>
      <c r="BN476" s="80">
        <f>ROUND(BI476-BM476,6)</f>
        <v>0</v>
      </c>
      <c r="BO476" s="80">
        <f>IF(BE476=1,ROUND(AS476/60,6),0)</f>
        <v>0</v>
      </c>
      <c r="BP476" s="80">
        <f>ROUND(BJ476-BO476,6)</f>
        <v>0</v>
      </c>
      <c r="BQ476" s="80">
        <f>IF(BE476=1,AW476,0)</f>
        <v>0</v>
      </c>
      <c r="BR476" s="80">
        <f>IF(BE476=1,AX476,0)</f>
        <v>0</v>
      </c>
      <c r="BS476" s="80">
        <f>IF(AND(BE476=1,D476="Malcolm",BA476&gt;0),MIN(BH476,SUMPRODUCT((R_Emp="proMX")*(R_EN&gt;0)*((R_EN-(R_EN&gt;BR476)*(R_EN-BR476))&gt;(R_SN+(R_SN&lt;BQ476)*(BQ476-R_SN)))*((R_EN-(R_EN&gt;BR476)*(R_EN-BR476))-(R_SN+(R_SN&lt;BQ476)*(BQ476-R_SN))))/60),0)</f>
        <v>0</v>
      </c>
      <c r="BT476" s="80">
        <f>IF(AND(BE476=1,D476="proMX"),ROUND(BI476*CFG_RATE+BJ476*CFG_OTRATE,6),0)</f>
        <v>0</v>
      </c>
      <c r="BU476" s="80">
        <f>IF(AND(BD476=1,D476="proMX"),ROUND(AG476/CFG_BLK,6),0)</f>
        <v>0</v>
      </c>
      <c r="BV476" s="80" t="str">
        <f>IF(BF476="Approved",IF(ISNUMBER(T476),INT(T476),INT(B476)),"")</f>
        <v/>
      </c>
      <c r="BW476" s="80">
        <f>IF(ISNUMBER(B476),IF(DB_MON="Todos",1,IF(AND(INT(B476)&gt;=DB_MS,INT(B476)&lt;=DB_ME),1,0)),0)</f>
        <v>0</v>
      </c>
      <c r="BX476" s="80">
        <f>IF(DB_PROJ="Todos",1,IF(E476&amp;""=DB_PROJ&amp;"",1,0))</f>
        <v>1</v>
      </c>
      <c r="BY476" s="80">
        <f>BW476*BX476</f>
        <v>0</v>
      </c>
      <c r="BZ476" s="80" t="str">
        <f>IF(Y476=1,F476&amp;IF(AND(F476&amp;""&lt;&gt;"",E476&amp;""&lt;&gt;"")," · ","")&amp;E476,"")</f>
        <v/>
      </c>
      <c r="CA476" s="80" t="str">
        <f>IF(AND(BD476=1,E476&amp;""&lt;&gt;""),IF(COUNTIFS($E$5:E475,E476,$BD$5:BD475,1)=0,MAX($CA$5:CA475)+1,""),"")</f>
        <v/>
      </c>
      <c r="CB476" s="80" t="str">
        <f>IF(AND(BE476=1,D476="Malcolm",E476&amp;""&lt;&gt;""),IF(COUNTIFS($D$5:D475,"Malcolm",$E$5:E475,E476,$BE$5:BE475,1)=0,MAX($CB$5:CB475)+1,""),"")</f>
        <v/>
      </c>
      <c r="CC476" s="80" t="str">
        <f>IF(AND(BD476=1,D476="proMX",E476&amp;""&lt;&gt;""),IF(COUNTIFS($D$5:D475,"proMX",$E$5:E475,E476,$BD$5:BD475,1)=0,MAX($CC$5:CC475)+1,""),"")</f>
        <v/>
      </c>
      <c r="CD476" s="80" t="str">
        <f>IF(AND(BE476=1,D476="Malcolm",F476&amp;""&lt;&gt;""),IF(COUNTIFS($D$5:D475,"Malcolm",$F$5:F475,F476,$BE$5:BE475,1)=0,MAX($CD$5:CD475)+1,""),"")</f>
        <v/>
      </c>
      <c r="CE476" s="80" t="str">
        <f>IF(AND(BD476=1,D476="proMX",F476&amp;""&lt;&gt;""),IF(COUNTIFS($D$5:D475,"proMX",$F$5:F475,F476,$BD$5:BD475,1)=0,MAX($CE$5:CE475)+1,""),"")</f>
        <v/>
      </c>
      <c r="CF476" s="80" t="str">
        <f>IF(AND(D476="proMX",BD476=1),IF(OR(BF476="Draft",BF476="Submitted",BF476="Returned",BF476="Recall Requested"),MAX($CF$5:CF475)+1,""),"")</f>
        <v/>
      </c>
      <c r="CG476" s="80">
        <f>IF(BD476=0,0,IF(D476="Malcolm",1,MATCH(BF476,{"Draft","Submitted","Approved","Returned","Recall Requested","Cancelled"},0)+1))</f>
        <v>0</v>
      </c>
      <c r="CH476" s="80">
        <f>IF(AND(BF476="Submitted",ISNUMBER(V476)),IF(V476&gt;CFG_MAXD,1,0),0)</f>
        <v>0</v>
      </c>
    </row>
    <row r="477">
      <c r="A477" s="71" t="str">
        <f>IF(Y477=1,ROW()-5,"")</f>
        <v/>
      </c>
      <c r="B477" s="72" t="n"/>
      <c r="C477" s="71" t="str">
        <f>IF(ISNUMBER(B477),CHOOSE(WEEKDAY(B477,2),"Lun","Mar","Mié","Jue","Vie","Sáb","Dom"),"")</f>
        <v/>
      </c>
      <c r="D477" s="73" t="n"/>
      <c r="E477" s="74" t="n"/>
      <c r="F477" s="74" t="n"/>
      <c r="G477" s="74" t="n"/>
      <c r="H477" s="75" t="n"/>
      <c r="I477" s="75" t="n"/>
      <c r="J477" s="76" t="n"/>
      <c r="K477" s="77" t="str">
        <f>IF(AB477=1,ROUND(AG477/60,4),"")</f>
        <v/>
      </c>
      <c r="L477" s="77" t="str">
        <f>IF(BD477=1,ROUND(AP477/60,4),"")</f>
        <v/>
      </c>
      <c r="M477" s="77" t="str">
        <f>IF(BD477=1,ROUND(AQ477/60,4),"")</f>
        <v/>
      </c>
      <c r="N477" s="71" t="str">
        <f>IF(AND(D477="proMX",AB477=1),ROUND(AG477/CFG_BLK,2),"")</f>
        <v/>
      </c>
      <c r="O477" s="77" t="str">
        <f>IF(D477="proMX",IF(BD477=1,ROUND(AG477/60,4),0),"")</f>
        <v/>
      </c>
      <c r="P477" s="78" t="str">
        <f>IF(Y477=0,"",IF(BD477=1,"OK",IF(D477="proMX","Revisar bloques: ","Revisar: ")&amp;BC477))</f>
        <v/>
      </c>
      <c r="Q477" s="78" t="str">
        <f>IF(NOT(ISNUMBER(B477)),"",IF(COUNTIFS(FER_F,INT(B477))&gt;0,"Feriado"&amp;IF(AH477=1," (laborable)"," (no laborable)"),IF(AH477=1,"Laborable",IF(WEEKDAY(B477,2)&gt;5,"Fin de semana","No laborable"))))</f>
        <v/>
      </c>
      <c r="R477" s="73" t="n"/>
      <c r="S477" s="72" t="n"/>
      <c r="T477" s="72" t="n"/>
      <c r="U477" s="74" t="n"/>
      <c r="V477" s="79" t="str">
        <f>IF(AND(D477="proMX",OR(R477="Submitted",R477="Recall Requested"),ISNUMBER(S477)),CFG_TODAY-INT(S477),"")</f>
        <v/>
      </c>
      <c r="W477" s="78" t="str">
        <f>IF(BD477=0,"",IF(BA477&gt;0,"⚠ Se superpone con un registro de la otra empresa",IF(D477="Malcolm",IF(COUNTA(R477,S477,T477)&gt;0,"Estado/fechas proMX se ignoran en Malcolm",""),IF(BF477="Cancelled","Cancelado: excluido de totales",IF(R477="","Sin estado: se trata como Draft",IF(BF477="Submitted",IF(ISNUMBER(V477),IF(V477&gt;CFG_MAXD,"⚠ "&amp;V477&amp;" días en Submitted (máx. "&amp;CFG_MAXD&amp;")",""),"Falta fecha de envío"),IF(BF477="Returned","⚠ Devuelto: corregir y reenviar",IF(BF477="Recall Requested","Retirada solicitada: pendiente",IF(AND(BF477="Approved",NOT(ISNUMBER(T477))),"Falta fecha de aprobación",IF(AND(ISNUMBER(S477),ISNUMBER(T477),T477&lt;S477),"Aprobación anterior al envío","")))))))))</f>
        <v/>
      </c>
      <c r="Y477" s="80">
        <f>IF(COUNTA(B477,D477,E477,F477,G477,H477,I477,J477,R477,S477,T477)&gt;0,1,0)</f>
        <v>0</v>
      </c>
      <c r="Z477" s="80" t="str">
        <f>IF(AND(ISNUMBER(H477),H477&gt;=0,H477&lt;1),ROUND(H477*1440,0),"")</f>
        <v/>
      </c>
      <c r="AA477" s="80" t="str">
        <f>IF(AND(ISNUMBER(I477),I477&gt;=0,I477&lt;1),ROUND(I477*1440,0),"")</f>
        <v/>
      </c>
      <c r="AB477" s="80">
        <f>IF(AND(ISNUMBER(B477),D477&lt;&gt;"",ISNUMBER(Z477),ISNUMBER(AA477)),IF(Z477=AA477,0,1),0)</f>
        <v>0</v>
      </c>
      <c r="AC477" s="80">
        <f>IF(AB477=1,IF(AA477&lt;Z477,1,0),0)</f>
        <v>0</v>
      </c>
      <c r="AD477" s="80">
        <f>IF(AB477=1,IF(AC477=1,1440-Z477+AA477,AA477-Z477),0)</f>
        <v>0</v>
      </c>
      <c r="AE477" s="80">
        <f>IF(J477="",0,IF(ISNUMBER(J477),J477,-1))</f>
        <v>0</v>
      </c>
      <c r="AF477" s="80">
        <f>MIN(MAX(0,AE477),AD477)</f>
        <v>0</v>
      </c>
      <c r="AG477" s="80">
        <f>MAX(0,AD477-MAX(0,AE477))</f>
        <v>0</v>
      </c>
      <c r="AH477" s="80">
        <f>IF(ISNUMBER(B477),IF(AND(INDEX(CFG_WDAYS,WEEKDAY(INT(B477),2))="Sí",IF(D477="proMX",COUNTIFS(FER_F,INT(B477),FER_NLP,"Sí"),COUNTIFS(FER_F,INT(B477),FER_NLM,"Sí"))=0),1,0),0)</f>
        <v>0</v>
      </c>
      <c r="AI477" s="80">
        <f>IF(AC477=1,IF(AND(INDEX(CFG_WDAYS,WEEKDAY(INT(B477)+1,2))="Sí",IF(D477="proMX",COUNTIFS(FER_F,INT(B477)+1,FER_NLP,"Sí"),COUNTIFS(FER_F,INT(B477)+1,FER_NLM,"Sí"))=0),1,0),0)</f>
        <v>0</v>
      </c>
      <c r="AJ477" s="80">
        <f>IF(AC477=1,1440-Z477,AD477)</f>
        <v>0</v>
      </c>
      <c r="AK477" s="80">
        <f>IF(AND(AB477=1,AH477=1),MAX(0,MIN(IF(AC477=1,1440,AA477),CFG_WEM)-MAX(Z477,CFG_WSM)),0)</f>
        <v>0</v>
      </c>
      <c r="AL477" s="80">
        <f>IF(AND(AC477=1,AI477=1),MAX(0,MIN(AA477,CFG_WEM)-CFG_WSM),0)</f>
        <v>0</v>
      </c>
      <c r="AM477" s="80">
        <f>AK477+AL477</f>
        <v>0</v>
      </c>
      <c r="AN477" s="80">
        <f>IF(CFG_BRK="Proporcional",IF(AD477=0,0,AF477*AM477/AD477),IF(CFG_BRK="Extras primero",MIN(AM477,MAX(0,AF477-(AD477-AM477))),MIN(AF477,AM477)))</f>
        <v>0</v>
      </c>
      <c r="AO477" s="80">
        <f>AF477-AN477</f>
        <v>0</v>
      </c>
      <c r="AP477" s="80">
        <f>AM477-AN477</f>
        <v>0</v>
      </c>
      <c r="AQ477" s="80">
        <f>AD477-AM477-AO477</f>
        <v>0</v>
      </c>
      <c r="AR477" s="80">
        <f>IF(AM477=0,0,AK477-AN477*AK477/AM477)</f>
        <v>0</v>
      </c>
      <c r="AS477" s="80">
        <f>IF(AD477-AM477=0,0,(AJ477-AK477)-AO477*(AJ477-AK477)/(AD477-AM477))</f>
        <v>0</v>
      </c>
      <c r="AT477" s="80" t="str">
        <f>IF(AC477=1,INT(B477)+1,"")</f>
        <v/>
      </c>
      <c r="AU477" s="80">
        <f>IF(AND(D477="proMX",R477="Cancelled"),0,1)</f>
        <v>1</v>
      </c>
      <c r="AV477" s="80">
        <f>IF(AND(AB477=1,AU477=1),IF(COUNTIFS($D$5:D476,D477,$B$5:B476,B477,$Z$5:Z476,Z477,$AA$5:AA476,AA477,$F$5:F476,F477&amp;"",$AU$5:AU476,1)&gt;0,1,0),0)</f>
        <v>0</v>
      </c>
      <c r="AW477" s="80" t="str">
        <f>IF(AB477=1,INT(B477)*1440+Z477,"")</f>
        <v/>
      </c>
      <c r="AX477" s="80" t="str">
        <f>IF(AB477=1,AW477+AD477,"")</f>
        <v/>
      </c>
      <c r="AY477" s="80">
        <f>IF(AND(AB477=1,AV477=0,AU477=1),1,0)</f>
        <v>0</v>
      </c>
      <c r="AZ477" s="80">
        <f>IF(AY477=1,COUNTIFS(R_Emp,D477,R_SAbs,"&lt;"&amp;AX477,R_EAbs,"&gt;"&amp;AW477,R_OKey,1)-1,0)</f>
        <v>0</v>
      </c>
      <c r="BA477" s="80">
        <f>IF(AY477=1,COUNTIFS(R_Emp,"&lt;&gt;"&amp;D477,R_SAbs,"&lt;"&amp;AX477,R_EAbs,"&gt;"&amp;AW477,R_OKey,1),0)</f>
        <v>0</v>
      </c>
      <c r="BB477" s="80">
        <f>IF(AND(AB477=1,D477="proMX"),IF(AND(MOD(Z477,CFG_BLK)=0,MOD(AA477,CFG_BLK)=0,MOD(AG477,CFG_BLK)=0,AG477&gt;0),1,0),1)</f>
        <v>1</v>
      </c>
      <c r="BC477" s="80" t="str">
        <f>IF(Y477=0,"",IF(NOT(ISNUMBER(B477)),"Falta fecha o fecha inválida",IF(D477="","Falta empresa",IF(AND(D477&lt;&gt;"Malcolm",D477&lt;&gt;"proMX"),"Empresa inválida",IF(OR(INT(B477)&lt;CFG_PSTART,INT(B477)&gt;CFG_PEND),"Fecha fuera del período",IF(OR(NOT(ISNUMBER(Z477)),NOT(ISNUMBER(AA477))),"Falta hora inicio/fin o formato inválido",IF(AB477=0,"Hora inicio = hora fin",IF(AE477&lt;0,"Descanso inválido",IF(AE477&gt;=AD477,"Descanso ≥ duración",IF(AV477=1,"Registro duplicado",IF(AZ477&gt;0,"Se superpone con otro registro "&amp;D477,IF(BB477=0,"inicio, fin y duración neta deben ser múltiplos de "&amp;CFG_BLK&amp;" min",""))))))))))))</f>
        <v/>
      </c>
      <c r="BD477" s="80">
        <f>IF(AND(Y477=1,BC477=""),1,0)</f>
        <v>0</v>
      </c>
      <c r="BE477" s="80">
        <f>IF(AND(BD477=1,AU477=1),1,0)</f>
        <v>0</v>
      </c>
      <c r="BF477" s="80" t="str">
        <f>IF(AND(D477="proMX",BD477=1),IF(R477="","Draft",R477),"")</f>
        <v/>
      </c>
      <c r="BG477" s="80">
        <f>IF(BD477=1,ROUND(AG477/60,6),0)</f>
        <v>0</v>
      </c>
      <c r="BH477" s="80">
        <f>IF(BE477=1,ROUND(AG477/60,6),0)</f>
        <v>0</v>
      </c>
      <c r="BI477" s="80">
        <f>IF(BE477=1,ROUND(AP477/60,6),0)</f>
        <v>0</v>
      </c>
      <c r="BJ477" s="80">
        <f>IF(BE477=1,ROUND(AQ477/60,6),0)</f>
        <v>0</v>
      </c>
      <c r="BK477" s="80">
        <f>IF(BE477=1,ROUND((AR477+AS477)/60,6),0)</f>
        <v>0</v>
      </c>
      <c r="BL477" s="80">
        <f>ROUND(BH477-BK477,6)</f>
        <v>0</v>
      </c>
      <c r="BM477" s="80">
        <f>IF(BE477=1,ROUND(AR477/60,6),0)</f>
        <v>0</v>
      </c>
      <c r="BN477" s="80">
        <f>ROUND(BI477-BM477,6)</f>
        <v>0</v>
      </c>
      <c r="BO477" s="80">
        <f>IF(BE477=1,ROUND(AS477/60,6),0)</f>
        <v>0</v>
      </c>
      <c r="BP477" s="80">
        <f>ROUND(BJ477-BO477,6)</f>
        <v>0</v>
      </c>
      <c r="BQ477" s="80">
        <f>IF(BE477=1,AW477,0)</f>
        <v>0</v>
      </c>
      <c r="BR477" s="80">
        <f>IF(BE477=1,AX477,0)</f>
        <v>0</v>
      </c>
      <c r="BS477" s="80">
        <f>IF(AND(BE477=1,D477="Malcolm",BA477&gt;0),MIN(BH477,SUMPRODUCT((R_Emp="proMX")*(R_EN&gt;0)*((R_EN-(R_EN&gt;BR477)*(R_EN-BR477))&gt;(R_SN+(R_SN&lt;BQ477)*(BQ477-R_SN)))*((R_EN-(R_EN&gt;BR477)*(R_EN-BR477))-(R_SN+(R_SN&lt;BQ477)*(BQ477-R_SN))))/60),0)</f>
        <v>0</v>
      </c>
      <c r="BT477" s="80">
        <f>IF(AND(BE477=1,D477="proMX"),ROUND(BI477*CFG_RATE+BJ477*CFG_OTRATE,6),0)</f>
        <v>0</v>
      </c>
      <c r="BU477" s="80">
        <f>IF(AND(BD477=1,D477="proMX"),ROUND(AG477/CFG_BLK,6),0)</f>
        <v>0</v>
      </c>
      <c r="BV477" s="80" t="str">
        <f>IF(BF477="Approved",IF(ISNUMBER(T477),INT(T477),INT(B477)),"")</f>
        <v/>
      </c>
      <c r="BW477" s="80">
        <f>IF(ISNUMBER(B477),IF(DB_MON="Todos",1,IF(AND(INT(B477)&gt;=DB_MS,INT(B477)&lt;=DB_ME),1,0)),0)</f>
        <v>0</v>
      </c>
      <c r="BX477" s="80">
        <f>IF(DB_PROJ="Todos",1,IF(E477&amp;""=DB_PROJ&amp;"",1,0))</f>
        <v>1</v>
      </c>
      <c r="BY477" s="80">
        <f>BW477*BX477</f>
        <v>0</v>
      </c>
      <c r="BZ477" s="80" t="str">
        <f>IF(Y477=1,F477&amp;IF(AND(F477&amp;""&lt;&gt;"",E477&amp;""&lt;&gt;"")," · ","")&amp;E477,"")</f>
        <v/>
      </c>
      <c r="CA477" s="80" t="str">
        <f>IF(AND(BD477=1,E477&amp;""&lt;&gt;""),IF(COUNTIFS($E$5:E476,E477,$BD$5:BD476,1)=0,MAX($CA$5:CA476)+1,""),"")</f>
        <v/>
      </c>
      <c r="CB477" s="80" t="str">
        <f>IF(AND(BE477=1,D477="Malcolm",E477&amp;""&lt;&gt;""),IF(COUNTIFS($D$5:D476,"Malcolm",$E$5:E476,E477,$BE$5:BE476,1)=0,MAX($CB$5:CB476)+1,""),"")</f>
        <v/>
      </c>
      <c r="CC477" s="80" t="str">
        <f>IF(AND(BD477=1,D477="proMX",E477&amp;""&lt;&gt;""),IF(COUNTIFS($D$5:D476,"proMX",$E$5:E476,E477,$BD$5:BD476,1)=0,MAX($CC$5:CC476)+1,""),"")</f>
        <v/>
      </c>
      <c r="CD477" s="80" t="str">
        <f>IF(AND(BE477=1,D477="Malcolm",F477&amp;""&lt;&gt;""),IF(COUNTIFS($D$5:D476,"Malcolm",$F$5:F476,F477,$BE$5:BE476,1)=0,MAX($CD$5:CD476)+1,""),"")</f>
        <v/>
      </c>
      <c r="CE477" s="80" t="str">
        <f>IF(AND(BD477=1,D477="proMX",F477&amp;""&lt;&gt;""),IF(COUNTIFS($D$5:D476,"proMX",$F$5:F476,F477,$BD$5:BD476,1)=0,MAX($CE$5:CE476)+1,""),"")</f>
        <v/>
      </c>
      <c r="CF477" s="80" t="str">
        <f>IF(AND(D477="proMX",BD477=1),IF(OR(BF477="Draft",BF477="Submitted",BF477="Returned",BF477="Recall Requested"),MAX($CF$5:CF476)+1,""),"")</f>
        <v/>
      </c>
      <c r="CG477" s="80">
        <f>IF(BD477=0,0,IF(D477="Malcolm",1,MATCH(BF477,{"Draft","Submitted","Approved","Returned","Recall Requested","Cancelled"},0)+1))</f>
        <v>0</v>
      </c>
      <c r="CH477" s="80">
        <f>IF(AND(BF477="Submitted",ISNUMBER(V477)),IF(V477&gt;CFG_MAXD,1,0),0)</f>
        <v>0</v>
      </c>
    </row>
    <row r="478">
      <c r="A478" s="71" t="str">
        <f>IF(Y478=1,ROW()-5,"")</f>
        <v/>
      </c>
      <c r="B478" s="72" t="n"/>
      <c r="C478" s="71" t="str">
        <f>IF(ISNUMBER(B478),CHOOSE(WEEKDAY(B478,2),"Lun","Mar","Mié","Jue","Vie","Sáb","Dom"),"")</f>
        <v/>
      </c>
      <c r="D478" s="73" t="n"/>
      <c r="E478" s="74" t="n"/>
      <c r="F478" s="74" t="n"/>
      <c r="G478" s="74" t="n"/>
      <c r="H478" s="75" t="n"/>
      <c r="I478" s="75" t="n"/>
      <c r="J478" s="76" t="n"/>
      <c r="K478" s="77" t="str">
        <f>IF(AB478=1,ROUND(AG478/60,4),"")</f>
        <v/>
      </c>
      <c r="L478" s="77" t="str">
        <f>IF(BD478=1,ROUND(AP478/60,4),"")</f>
        <v/>
      </c>
      <c r="M478" s="77" t="str">
        <f>IF(BD478=1,ROUND(AQ478/60,4),"")</f>
        <v/>
      </c>
      <c r="N478" s="71" t="str">
        <f>IF(AND(D478="proMX",AB478=1),ROUND(AG478/CFG_BLK,2),"")</f>
        <v/>
      </c>
      <c r="O478" s="77" t="str">
        <f>IF(D478="proMX",IF(BD478=1,ROUND(AG478/60,4),0),"")</f>
        <v/>
      </c>
      <c r="P478" s="78" t="str">
        <f>IF(Y478=0,"",IF(BD478=1,"OK",IF(D478="proMX","Revisar bloques: ","Revisar: ")&amp;BC478))</f>
        <v/>
      </c>
      <c r="Q478" s="78" t="str">
        <f>IF(NOT(ISNUMBER(B478)),"",IF(COUNTIFS(FER_F,INT(B478))&gt;0,"Feriado"&amp;IF(AH478=1," (laborable)"," (no laborable)"),IF(AH478=1,"Laborable",IF(WEEKDAY(B478,2)&gt;5,"Fin de semana","No laborable"))))</f>
        <v/>
      </c>
      <c r="R478" s="73" t="n"/>
      <c r="S478" s="72" t="n"/>
      <c r="T478" s="72" t="n"/>
      <c r="U478" s="74" t="n"/>
      <c r="V478" s="79" t="str">
        <f>IF(AND(D478="proMX",OR(R478="Submitted",R478="Recall Requested"),ISNUMBER(S478)),CFG_TODAY-INT(S478),"")</f>
        <v/>
      </c>
      <c r="W478" s="78" t="str">
        <f>IF(BD478=0,"",IF(BA478&gt;0,"⚠ Se superpone con un registro de la otra empresa",IF(D478="Malcolm",IF(COUNTA(R478,S478,T478)&gt;0,"Estado/fechas proMX se ignoran en Malcolm",""),IF(BF478="Cancelled","Cancelado: excluido de totales",IF(R478="","Sin estado: se trata como Draft",IF(BF478="Submitted",IF(ISNUMBER(V478),IF(V478&gt;CFG_MAXD,"⚠ "&amp;V478&amp;" días en Submitted (máx. "&amp;CFG_MAXD&amp;")",""),"Falta fecha de envío"),IF(BF478="Returned","⚠ Devuelto: corregir y reenviar",IF(BF478="Recall Requested","Retirada solicitada: pendiente",IF(AND(BF478="Approved",NOT(ISNUMBER(T478))),"Falta fecha de aprobación",IF(AND(ISNUMBER(S478),ISNUMBER(T478),T478&lt;S478),"Aprobación anterior al envío","")))))))))</f>
        <v/>
      </c>
      <c r="Y478" s="80">
        <f>IF(COUNTA(B478,D478,E478,F478,G478,H478,I478,J478,R478,S478,T478)&gt;0,1,0)</f>
        <v>0</v>
      </c>
      <c r="Z478" s="80" t="str">
        <f>IF(AND(ISNUMBER(H478),H478&gt;=0,H478&lt;1),ROUND(H478*1440,0),"")</f>
        <v/>
      </c>
      <c r="AA478" s="80" t="str">
        <f>IF(AND(ISNUMBER(I478),I478&gt;=0,I478&lt;1),ROUND(I478*1440,0),"")</f>
        <v/>
      </c>
      <c r="AB478" s="80">
        <f>IF(AND(ISNUMBER(B478),D478&lt;&gt;"",ISNUMBER(Z478),ISNUMBER(AA478)),IF(Z478=AA478,0,1),0)</f>
        <v>0</v>
      </c>
      <c r="AC478" s="80">
        <f>IF(AB478=1,IF(AA478&lt;Z478,1,0),0)</f>
        <v>0</v>
      </c>
      <c r="AD478" s="80">
        <f>IF(AB478=1,IF(AC478=1,1440-Z478+AA478,AA478-Z478),0)</f>
        <v>0</v>
      </c>
      <c r="AE478" s="80">
        <f>IF(J478="",0,IF(ISNUMBER(J478),J478,-1))</f>
        <v>0</v>
      </c>
      <c r="AF478" s="80">
        <f>MIN(MAX(0,AE478),AD478)</f>
        <v>0</v>
      </c>
      <c r="AG478" s="80">
        <f>MAX(0,AD478-MAX(0,AE478))</f>
        <v>0</v>
      </c>
      <c r="AH478" s="80">
        <f>IF(ISNUMBER(B478),IF(AND(INDEX(CFG_WDAYS,WEEKDAY(INT(B478),2))="Sí",IF(D478="proMX",COUNTIFS(FER_F,INT(B478),FER_NLP,"Sí"),COUNTIFS(FER_F,INT(B478),FER_NLM,"Sí"))=0),1,0),0)</f>
        <v>0</v>
      </c>
      <c r="AI478" s="80">
        <f>IF(AC478=1,IF(AND(INDEX(CFG_WDAYS,WEEKDAY(INT(B478)+1,2))="Sí",IF(D478="proMX",COUNTIFS(FER_F,INT(B478)+1,FER_NLP,"Sí"),COUNTIFS(FER_F,INT(B478)+1,FER_NLM,"Sí"))=0),1,0),0)</f>
        <v>0</v>
      </c>
      <c r="AJ478" s="80">
        <f>IF(AC478=1,1440-Z478,AD478)</f>
        <v>0</v>
      </c>
      <c r="AK478" s="80">
        <f>IF(AND(AB478=1,AH478=1),MAX(0,MIN(IF(AC478=1,1440,AA478),CFG_WEM)-MAX(Z478,CFG_WSM)),0)</f>
        <v>0</v>
      </c>
      <c r="AL478" s="80">
        <f>IF(AND(AC478=1,AI478=1),MAX(0,MIN(AA478,CFG_WEM)-CFG_WSM),0)</f>
        <v>0</v>
      </c>
      <c r="AM478" s="80">
        <f>AK478+AL478</f>
        <v>0</v>
      </c>
      <c r="AN478" s="80">
        <f>IF(CFG_BRK="Proporcional",IF(AD478=0,0,AF478*AM478/AD478),IF(CFG_BRK="Extras primero",MIN(AM478,MAX(0,AF478-(AD478-AM478))),MIN(AF478,AM478)))</f>
        <v>0</v>
      </c>
      <c r="AO478" s="80">
        <f>AF478-AN478</f>
        <v>0</v>
      </c>
      <c r="AP478" s="80">
        <f>AM478-AN478</f>
        <v>0</v>
      </c>
      <c r="AQ478" s="80">
        <f>AD478-AM478-AO478</f>
        <v>0</v>
      </c>
      <c r="AR478" s="80">
        <f>IF(AM478=0,0,AK478-AN478*AK478/AM478)</f>
        <v>0</v>
      </c>
      <c r="AS478" s="80">
        <f>IF(AD478-AM478=0,0,(AJ478-AK478)-AO478*(AJ478-AK478)/(AD478-AM478))</f>
        <v>0</v>
      </c>
      <c r="AT478" s="80" t="str">
        <f>IF(AC478=1,INT(B478)+1,"")</f>
        <v/>
      </c>
      <c r="AU478" s="80">
        <f>IF(AND(D478="proMX",R478="Cancelled"),0,1)</f>
        <v>1</v>
      </c>
      <c r="AV478" s="80">
        <f>IF(AND(AB478=1,AU478=1),IF(COUNTIFS($D$5:D477,D478,$B$5:B477,B478,$Z$5:Z477,Z478,$AA$5:AA477,AA478,$F$5:F477,F478&amp;"",$AU$5:AU477,1)&gt;0,1,0),0)</f>
        <v>0</v>
      </c>
      <c r="AW478" s="80" t="str">
        <f>IF(AB478=1,INT(B478)*1440+Z478,"")</f>
        <v/>
      </c>
      <c r="AX478" s="80" t="str">
        <f>IF(AB478=1,AW478+AD478,"")</f>
        <v/>
      </c>
      <c r="AY478" s="80">
        <f>IF(AND(AB478=1,AV478=0,AU478=1),1,0)</f>
        <v>0</v>
      </c>
      <c r="AZ478" s="80">
        <f>IF(AY478=1,COUNTIFS(R_Emp,D478,R_SAbs,"&lt;"&amp;AX478,R_EAbs,"&gt;"&amp;AW478,R_OKey,1)-1,0)</f>
        <v>0</v>
      </c>
      <c r="BA478" s="80">
        <f>IF(AY478=1,COUNTIFS(R_Emp,"&lt;&gt;"&amp;D478,R_SAbs,"&lt;"&amp;AX478,R_EAbs,"&gt;"&amp;AW478,R_OKey,1),0)</f>
        <v>0</v>
      </c>
      <c r="BB478" s="80">
        <f>IF(AND(AB478=1,D478="proMX"),IF(AND(MOD(Z478,CFG_BLK)=0,MOD(AA478,CFG_BLK)=0,MOD(AG478,CFG_BLK)=0,AG478&gt;0),1,0),1)</f>
        <v>1</v>
      </c>
      <c r="BC478" s="80" t="str">
        <f>IF(Y478=0,"",IF(NOT(ISNUMBER(B478)),"Falta fecha o fecha inválida",IF(D478="","Falta empresa",IF(AND(D478&lt;&gt;"Malcolm",D478&lt;&gt;"proMX"),"Empresa inválida",IF(OR(INT(B478)&lt;CFG_PSTART,INT(B478)&gt;CFG_PEND),"Fecha fuera del período",IF(OR(NOT(ISNUMBER(Z478)),NOT(ISNUMBER(AA478))),"Falta hora inicio/fin o formato inválido",IF(AB478=0,"Hora inicio = hora fin",IF(AE478&lt;0,"Descanso inválido",IF(AE478&gt;=AD478,"Descanso ≥ duración",IF(AV478=1,"Registro duplicado",IF(AZ478&gt;0,"Se superpone con otro registro "&amp;D478,IF(BB478=0,"inicio, fin y duración neta deben ser múltiplos de "&amp;CFG_BLK&amp;" min",""))))))))))))</f>
        <v/>
      </c>
      <c r="BD478" s="80">
        <f>IF(AND(Y478=1,BC478=""),1,0)</f>
        <v>0</v>
      </c>
      <c r="BE478" s="80">
        <f>IF(AND(BD478=1,AU478=1),1,0)</f>
        <v>0</v>
      </c>
      <c r="BF478" s="80" t="str">
        <f>IF(AND(D478="proMX",BD478=1),IF(R478="","Draft",R478),"")</f>
        <v/>
      </c>
      <c r="BG478" s="80">
        <f>IF(BD478=1,ROUND(AG478/60,6),0)</f>
        <v>0</v>
      </c>
      <c r="BH478" s="80">
        <f>IF(BE478=1,ROUND(AG478/60,6),0)</f>
        <v>0</v>
      </c>
      <c r="BI478" s="80">
        <f>IF(BE478=1,ROUND(AP478/60,6),0)</f>
        <v>0</v>
      </c>
      <c r="BJ478" s="80">
        <f>IF(BE478=1,ROUND(AQ478/60,6),0)</f>
        <v>0</v>
      </c>
      <c r="BK478" s="80">
        <f>IF(BE478=1,ROUND((AR478+AS478)/60,6),0)</f>
        <v>0</v>
      </c>
      <c r="BL478" s="80">
        <f>ROUND(BH478-BK478,6)</f>
        <v>0</v>
      </c>
      <c r="BM478" s="80">
        <f>IF(BE478=1,ROUND(AR478/60,6),0)</f>
        <v>0</v>
      </c>
      <c r="BN478" s="80">
        <f>ROUND(BI478-BM478,6)</f>
        <v>0</v>
      </c>
      <c r="BO478" s="80">
        <f>IF(BE478=1,ROUND(AS478/60,6),0)</f>
        <v>0</v>
      </c>
      <c r="BP478" s="80">
        <f>ROUND(BJ478-BO478,6)</f>
        <v>0</v>
      </c>
      <c r="BQ478" s="80">
        <f>IF(BE478=1,AW478,0)</f>
        <v>0</v>
      </c>
      <c r="BR478" s="80">
        <f>IF(BE478=1,AX478,0)</f>
        <v>0</v>
      </c>
      <c r="BS478" s="80">
        <f>IF(AND(BE478=1,D478="Malcolm",BA478&gt;0),MIN(BH478,SUMPRODUCT((R_Emp="proMX")*(R_EN&gt;0)*((R_EN-(R_EN&gt;BR478)*(R_EN-BR478))&gt;(R_SN+(R_SN&lt;BQ478)*(BQ478-R_SN)))*((R_EN-(R_EN&gt;BR478)*(R_EN-BR478))-(R_SN+(R_SN&lt;BQ478)*(BQ478-R_SN))))/60),0)</f>
        <v>0</v>
      </c>
      <c r="BT478" s="80">
        <f>IF(AND(BE478=1,D478="proMX"),ROUND(BI478*CFG_RATE+BJ478*CFG_OTRATE,6),0)</f>
        <v>0</v>
      </c>
      <c r="BU478" s="80">
        <f>IF(AND(BD478=1,D478="proMX"),ROUND(AG478/CFG_BLK,6),0)</f>
        <v>0</v>
      </c>
      <c r="BV478" s="80" t="str">
        <f>IF(BF478="Approved",IF(ISNUMBER(T478),INT(T478),INT(B478)),"")</f>
        <v/>
      </c>
      <c r="BW478" s="80">
        <f>IF(ISNUMBER(B478),IF(DB_MON="Todos",1,IF(AND(INT(B478)&gt;=DB_MS,INT(B478)&lt;=DB_ME),1,0)),0)</f>
        <v>0</v>
      </c>
      <c r="BX478" s="80">
        <f>IF(DB_PROJ="Todos",1,IF(E478&amp;""=DB_PROJ&amp;"",1,0))</f>
        <v>1</v>
      </c>
      <c r="BY478" s="80">
        <f>BW478*BX478</f>
        <v>0</v>
      </c>
      <c r="BZ478" s="80" t="str">
        <f>IF(Y478=1,F478&amp;IF(AND(F478&amp;""&lt;&gt;"",E478&amp;""&lt;&gt;"")," · ","")&amp;E478,"")</f>
        <v/>
      </c>
      <c r="CA478" s="80" t="str">
        <f>IF(AND(BD478=1,E478&amp;""&lt;&gt;""),IF(COUNTIFS($E$5:E477,E478,$BD$5:BD477,1)=0,MAX($CA$5:CA477)+1,""),"")</f>
        <v/>
      </c>
      <c r="CB478" s="80" t="str">
        <f>IF(AND(BE478=1,D478="Malcolm",E478&amp;""&lt;&gt;""),IF(COUNTIFS($D$5:D477,"Malcolm",$E$5:E477,E478,$BE$5:BE477,1)=0,MAX($CB$5:CB477)+1,""),"")</f>
        <v/>
      </c>
      <c r="CC478" s="80" t="str">
        <f>IF(AND(BD478=1,D478="proMX",E478&amp;""&lt;&gt;""),IF(COUNTIFS($D$5:D477,"proMX",$E$5:E477,E478,$BD$5:BD477,1)=0,MAX($CC$5:CC477)+1,""),"")</f>
        <v/>
      </c>
      <c r="CD478" s="80" t="str">
        <f>IF(AND(BE478=1,D478="Malcolm",F478&amp;""&lt;&gt;""),IF(COUNTIFS($D$5:D477,"Malcolm",$F$5:F477,F478,$BE$5:BE477,1)=0,MAX($CD$5:CD477)+1,""),"")</f>
        <v/>
      </c>
      <c r="CE478" s="80" t="str">
        <f>IF(AND(BD478=1,D478="proMX",F478&amp;""&lt;&gt;""),IF(COUNTIFS($D$5:D477,"proMX",$F$5:F477,F478,$BD$5:BD477,1)=0,MAX($CE$5:CE477)+1,""),"")</f>
        <v/>
      </c>
      <c r="CF478" s="80" t="str">
        <f>IF(AND(D478="proMX",BD478=1),IF(OR(BF478="Draft",BF478="Submitted",BF478="Returned",BF478="Recall Requested"),MAX($CF$5:CF477)+1,""),"")</f>
        <v/>
      </c>
      <c r="CG478" s="80">
        <f>IF(BD478=0,0,IF(D478="Malcolm",1,MATCH(BF478,{"Draft","Submitted","Approved","Returned","Recall Requested","Cancelled"},0)+1))</f>
        <v>0</v>
      </c>
      <c r="CH478" s="80">
        <f>IF(AND(BF478="Submitted",ISNUMBER(V478)),IF(V478&gt;CFG_MAXD,1,0),0)</f>
        <v>0</v>
      </c>
    </row>
    <row r="479">
      <c r="A479" s="71" t="str">
        <f>IF(Y479=1,ROW()-5,"")</f>
        <v/>
      </c>
      <c r="B479" s="72" t="n"/>
      <c r="C479" s="71" t="str">
        <f>IF(ISNUMBER(B479),CHOOSE(WEEKDAY(B479,2),"Lun","Mar","Mié","Jue","Vie","Sáb","Dom"),"")</f>
        <v/>
      </c>
      <c r="D479" s="73" t="n"/>
      <c r="E479" s="74" t="n"/>
      <c r="F479" s="74" t="n"/>
      <c r="G479" s="74" t="n"/>
      <c r="H479" s="75" t="n"/>
      <c r="I479" s="75" t="n"/>
      <c r="J479" s="76" t="n"/>
      <c r="K479" s="77" t="str">
        <f>IF(AB479=1,ROUND(AG479/60,4),"")</f>
        <v/>
      </c>
      <c r="L479" s="77" t="str">
        <f>IF(BD479=1,ROUND(AP479/60,4),"")</f>
        <v/>
      </c>
      <c r="M479" s="77" t="str">
        <f>IF(BD479=1,ROUND(AQ479/60,4),"")</f>
        <v/>
      </c>
      <c r="N479" s="71" t="str">
        <f>IF(AND(D479="proMX",AB479=1),ROUND(AG479/CFG_BLK,2),"")</f>
        <v/>
      </c>
      <c r="O479" s="77" t="str">
        <f>IF(D479="proMX",IF(BD479=1,ROUND(AG479/60,4),0),"")</f>
        <v/>
      </c>
      <c r="P479" s="78" t="str">
        <f>IF(Y479=0,"",IF(BD479=1,"OK",IF(D479="proMX","Revisar bloques: ","Revisar: ")&amp;BC479))</f>
        <v/>
      </c>
      <c r="Q479" s="78" t="str">
        <f>IF(NOT(ISNUMBER(B479)),"",IF(COUNTIFS(FER_F,INT(B479))&gt;0,"Feriado"&amp;IF(AH479=1," (laborable)"," (no laborable)"),IF(AH479=1,"Laborable",IF(WEEKDAY(B479,2)&gt;5,"Fin de semana","No laborable"))))</f>
        <v/>
      </c>
      <c r="R479" s="73" t="n"/>
      <c r="S479" s="72" t="n"/>
      <c r="T479" s="72" t="n"/>
      <c r="U479" s="74" t="n"/>
      <c r="V479" s="79" t="str">
        <f>IF(AND(D479="proMX",OR(R479="Submitted",R479="Recall Requested"),ISNUMBER(S479)),CFG_TODAY-INT(S479),"")</f>
        <v/>
      </c>
      <c r="W479" s="78" t="str">
        <f>IF(BD479=0,"",IF(BA479&gt;0,"⚠ Se superpone con un registro de la otra empresa",IF(D479="Malcolm",IF(COUNTA(R479,S479,T479)&gt;0,"Estado/fechas proMX se ignoran en Malcolm",""),IF(BF479="Cancelled","Cancelado: excluido de totales",IF(R479="","Sin estado: se trata como Draft",IF(BF479="Submitted",IF(ISNUMBER(V479),IF(V479&gt;CFG_MAXD,"⚠ "&amp;V479&amp;" días en Submitted (máx. "&amp;CFG_MAXD&amp;")",""),"Falta fecha de envío"),IF(BF479="Returned","⚠ Devuelto: corregir y reenviar",IF(BF479="Recall Requested","Retirada solicitada: pendiente",IF(AND(BF479="Approved",NOT(ISNUMBER(T479))),"Falta fecha de aprobación",IF(AND(ISNUMBER(S479),ISNUMBER(T479),T479&lt;S479),"Aprobación anterior al envío","")))))))))</f>
        <v/>
      </c>
      <c r="Y479" s="80">
        <f>IF(COUNTA(B479,D479,E479,F479,G479,H479,I479,J479,R479,S479,T479)&gt;0,1,0)</f>
        <v>0</v>
      </c>
      <c r="Z479" s="80" t="str">
        <f>IF(AND(ISNUMBER(H479),H479&gt;=0,H479&lt;1),ROUND(H479*1440,0),"")</f>
        <v/>
      </c>
      <c r="AA479" s="80" t="str">
        <f>IF(AND(ISNUMBER(I479),I479&gt;=0,I479&lt;1),ROUND(I479*1440,0),"")</f>
        <v/>
      </c>
      <c r="AB479" s="80">
        <f>IF(AND(ISNUMBER(B479),D479&lt;&gt;"",ISNUMBER(Z479),ISNUMBER(AA479)),IF(Z479=AA479,0,1),0)</f>
        <v>0</v>
      </c>
      <c r="AC479" s="80">
        <f>IF(AB479=1,IF(AA479&lt;Z479,1,0),0)</f>
        <v>0</v>
      </c>
      <c r="AD479" s="80">
        <f>IF(AB479=1,IF(AC479=1,1440-Z479+AA479,AA479-Z479),0)</f>
        <v>0</v>
      </c>
      <c r="AE479" s="80">
        <f>IF(J479="",0,IF(ISNUMBER(J479),J479,-1))</f>
        <v>0</v>
      </c>
      <c r="AF479" s="80">
        <f>MIN(MAX(0,AE479),AD479)</f>
        <v>0</v>
      </c>
      <c r="AG479" s="80">
        <f>MAX(0,AD479-MAX(0,AE479))</f>
        <v>0</v>
      </c>
      <c r="AH479" s="80">
        <f>IF(ISNUMBER(B479),IF(AND(INDEX(CFG_WDAYS,WEEKDAY(INT(B479),2))="Sí",IF(D479="proMX",COUNTIFS(FER_F,INT(B479),FER_NLP,"Sí"),COUNTIFS(FER_F,INT(B479),FER_NLM,"Sí"))=0),1,0),0)</f>
        <v>0</v>
      </c>
      <c r="AI479" s="80">
        <f>IF(AC479=1,IF(AND(INDEX(CFG_WDAYS,WEEKDAY(INT(B479)+1,2))="Sí",IF(D479="proMX",COUNTIFS(FER_F,INT(B479)+1,FER_NLP,"Sí"),COUNTIFS(FER_F,INT(B479)+1,FER_NLM,"Sí"))=0),1,0),0)</f>
        <v>0</v>
      </c>
      <c r="AJ479" s="80">
        <f>IF(AC479=1,1440-Z479,AD479)</f>
        <v>0</v>
      </c>
      <c r="AK479" s="80">
        <f>IF(AND(AB479=1,AH479=1),MAX(0,MIN(IF(AC479=1,1440,AA479),CFG_WEM)-MAX(Z479,CFG_WSM)),0)</f>
        <v>0</v>
      </c>
      <c r="AL479" s="80">
        <f>IF(AND(AC479=1,AI479=1),MAX(0,MIN(AA479,CFG_WEM)-CFG_WSM),0)</f>
        <v>0</v>
      </c>
      <c r="AM479" s="80">
        <f>AK479+AL479</f>
        <v>0</v>
      </c>
      <c r="AN479" s="80">
        <f>IF(CFG_BRK="Proporcional",IF(AD479=0,0,AF479*AM479/AD479),IF(CFG_BRK="Extras primero",MIN(AM479,MAX(0,AF479-(AD479-AM479))),MIN(AF479,AM479)))</f>
        <v>0</v>
      </c>
      <c r="AO479" s="80">
        <f>AF479-AN479</f>
        <v>0</v>
      </c>
      <c r="AP479" s="80">
        <f>AM479-AN479</f>
        <v>0</v>
      </c>
      <c r="AQ479" s="80">
        <f>AD479-AM479-AO479</f>
        <v>0</v>
      </c>
      <c r="AR479" s="80">
        <f>IF(AM479=0,0,AK479-AN479*AK479/AM479)</f>
        <v>0</v>
      </c>
      <c r="AS479" s="80">
        <f>IF(AD479-AM479=0,0,(AJ479-AK479)-AO479*(AJ479-AK479)/(AD479-AM479))</f>
        <v>0</v>
      </c>
      <c r="AT479" s="80" t="str">
        <f>IF(AC479=1,INT(B479)+1,"")</f>
        <v/>
      </c>
      <c r="AU479" s="80">
        <f>IF(AND(D479="proMX",R479="Cancelled"),0,1)</f>
        <v>1</v>
      </c>
      <c r="AV479" s="80">
        <f>IF(AND(AB479=1,AU479=1),IF(COUNTIFS($D$5:D478,D479,$B$5:B478,B479,$Z$5:Z478,Z479,$AA$5:AA478,AA479,$F$5:F478,F479&amp;"",$AU$5:AU478,1)&gt;0,1,0),0)</f>
        <v>0</v>
      </c>
      <c r="AW479" s="80" t="str">
        <f>IF(AB479=1,INT(B479)*1440+Z479,"")</f>
        <v/>
      </c>
      <c r="AX479" s="80" t="str">
        <f>IF(AB479=1,AW479+AD479,"")</f>
        <v/>
      </c>
      <c r="AY479" s="80">
        <f>IF(AND(AB479=1,AV479=0,AU479=1),1,0)</f>
        <v>0</v>
      </c>
      <c r="AZ479" s="80">
        <f>IF(AY479=1,COUNTIFS(R_Emp,D479,R_SAbs,"&lt;"&amp;AX479,R_EAbs,"&gt;"&amp;AW479,R_OKey,1)-1,0)</f>
        <v>0</v>
      </c>
      <c r="BA479" s="80">
        <f>IF(AY479=1,COUNTIFS(R_Emp,"&lt;&gt;"&amp;D479,R_SAbs,"&lt;"&amp;AX479,R_EAbs,"&gt;"&amp;AW479,R_OKey,1),0)</f>
        <v>0</v>
      </c>
      <c r="BB479" s="80">
        <f>IF(AND(AB479=1,D479="proMX"),IF(AND(MOD(Z479,CFG_BLK)=0,MOD(AA479,CFG_BLK)=0,MOD(AG479,CFG_BLK)=0,AG479&gt;0),1,0),1)</f>
        <v>1</v>
      </c>
      <c r="BC479" s="80" t="str">
        <f>IF(Y479=0,"",IF(NOT(ISNUMBER(B479)),"Falta fecha o fecha inválida",IF(D479="","Falta empresa",IF(AND(D479&lt;&gt;"Malcolm",D479&lt;&gt;"proMX"),"Empresa inválida",IF(OR(INT(B479)&lt;CFG_PSTART,INT(B479)&gt;CFG_PEND),"Fecha fuera del período",IF(OR(NOT(ISNUMBER(Z479)),NOT(ISNUMBER(AA479))),"Falta hora inicio/fin o formato inválido",IF(AB479=0,"Hora inicio = hora fin",IF(AE479&lt;0,"Descanso inválido",IF(AE479&gt;=AD479,"Descanso ≥ duración",IF(AV479=1,"Registro duplicado",IF(AZ479&gt;0,"Se superpone con otro registro "&amp;D479,IF(BB479=0,"inicio, fin y duración neta deben ser múltiplos de "&amp;CFG_BLK&amp;" min",""))))))))))))</f>
        <v/>
      </c>
      <c r="BD479" s="80">
        <f>IF(AND(Y479=1,BC479=""),1,0)</f>
        <v>0</v>
      </c>
      <c r="BE479" s="80">
        <f>IF(AND(BD479=1,AU479=1),1,0)</f>
        <v>0</v>
      </c>
      <c r="BF479" s="80" t="str">
        <f>IF(AND(D479="proMX",BD479=1),IF(R479="","Draft",R479),"")</f>
        <v/>
      </c>
      <c r="BG479" s="80">
        <f>IF(BD479=1,ROUND(AG479/60,6),0)</f>
        <v>0</v>
      </c>
      <c r="BH479" s="80">
        <f>IF(BE479=1,ROUND(AG479/60,6),0)</f>
        <v>0</v>
      </c>
      <c r="BI479" s="80">
        <f>IF(BE479=1,ROUND(AP479/60,6),0)</f>
        <v>0</v>
      </c>
      <c r="BJ479" s="80">
        <f>IF(BE479=1,ROUND(AQ479/60,6),0)</f>
        <v>0</v>
      </c>
      <c r="BK479" s="80">
        <f>IF(BE479=1,ROUND((AR479+AS479)/60,6),0)</f>
        <v>0</v>
      </c>
      <c r="BL479" s="80">
        <f>ROUND(BH479-BK479,6)</f>
        <v>0</v>
      </c>
      <c r="BM479" s="80">
        <f>IF(BE479=1,ROUND(AR479/60,6),0)</f>
        <v>0</v>
      </c>
      <c r="BN479" s="80">
        <f>ROUND(BI479-BM479,6)</f>
        <v>0</v>
      </c>
      <c r="BO479" s="80">
        <f>IF(BE479=1,ROUND(AS479/60,6),0)</f>
        <v>0</v>
      </c>
      <c r="BP479" s="80">
        <f>ROUND(BJ479-BO479,6)</f>
        <v>0</v>
      </c>
      <c r="BQ479" s="80">
        <f>IF(BE479=1,AW479,0)</f>
        <v>0</v>
      </c>
      <c r="BR479" s="80">
        <f>IF(BE479=1,AX479,0)</f>
        <v>0</v>
      </c>
      <c r="BS479" s="80">
        <f>IF(AND(BE479=1,D479="Malcolm",BA479&gt;0),MIN(BH479,SUMPRODUCT((R_Emp="proMX")*(R_EN&gt;0)*((R_EN-(R_EN&gt;BR479)*(R_EN-BR479))&gt;(R_SN+(R_SN&lt;BQ479)*(BQ479-R_SN)))*((R_EN-(R_EN&gt;BR479)*(R_EN-BR479))-(R_SN+(R_SN&lt;BQ479)*(BQ479-R_SN))))/60),0)</f>
        <v>0</v>
      </c>
      <c r="BT479" s="80">
        <f>IF(AND(BE479=1,D479="proMX"),ROUND(BI479*CFG_RATE+BJ479*CFG_OTRATE,6),0)</f>
        <v>0</v>
      </c>
      <c r="BU479" s="80">
        <f>IF(AND(BD479=1,D479="proMX"),ROUND(AG479/CFG_BLK,6),0)</f>
        <v>0</v>
      </c>
      <c r="BV479" s="80" t="str">
        <f>IF(BF479="Approved",IF(ISNUMBER(T479),INT(T479),INT(B479)),"")</f>
        <v/>
      </c>
      <c r="BW479" s="80">
        <f>IF(ISNUMBER(B479),IF(DB_MON="Todos",1,IF(AND(INT(B479)&gt;=DB_MS,INT(B479)&lt;=DB_ME),1,0)),0)</f>
        <v>0</v>
      </c>
      <c r="BX479" s="80">
        <f>IF(DB_PROJ="Todos",1,IF(E479&amp;""=DB_PROJ&amp;"",1,0))</f>
        <v>1</v>
      </c>
      <c r="BY479" s="80">
        <f>BW479*BX479</f>
        <v>0</v>
      </c>
      <c r="BZ479" s="80" t="str">
        <f>IF(Y479=1,F479&amp;IF(AND(F479&amp;""&lt;&gt;"",E479&amp;""&lt;&gt;"")," · ","")&amp;E479,"")</f>
        <v/>
      </c>
      <c r="CA479" s="80" t="str">
        <f>IF(AND(BD479=1,E479&amp;""&lt;&gt;""),IF(COUNTIFS($E$5:E478,E479,$BD$5:BD478,1)=0,MAX($CA$5:CA478)+1,""),"")</f>
        <v/>
      </c>
      <c r="CB479" s="80" t="str">
        <f>IF(AND(BE479=1,D479="Malcolm",E479&amp;""&lt;&gt;""),IF(COUNTIFS($D$5:D478,"Malcolm",$E$5:E478,E479,$BE$5:BE478,1)=0,MAX($CB$5:CB478)+1,""),"")</f>
        <v/>
      </c>
      <c r="CC479" s="80" t="str">
        <f>IF(AND(BD479=1,D479="proMX",E479&amp;""&lt;&gt;""),IF(COUNTIFS($D$5:D478,"proMX",$E$5:E478,E479,$BD$5:BD478,1)=0,MAX($CC$5:CC478)+1,""),"")</f>
        <v/>
      </c>
      <c r="CD479" s="80" t="str">
        <f>IF(AND(BE479=1,D479="Malcolm",F479&amp;""&lt;&gt;""),IF(COUNTIFS($D$5:D478,"Malcolm",$F$5:F478,F479,$BE$5:BE478,1)=0,MAX($CD$5:CD478)+1,""),"")</f>
        <v/>
      </c>
      <c r="CE479" s="80" t="str">
        <f>IF(AND(BD479=1,D479="proMX",F479&amp;""&lt;&gt;""),IF(COUNTIFS($D$5:D478,"proMX",$F$5:F478,F479,$BD$5:BD478,1)=0,MAX($CE$5:CE478)+1,""),"")</f>
        <v/>
      </c>
      <c r="CF479" s="80" t="str">
        <f>IF(AND(D479="proMX",BD479=1),IF(OR(BF479="Draft",BF479="Submitted",BF479="Returned",BF479="Recall Requested"),MAX($CF$5:CF478)+1,""),"")</f>
        <v/>
      </c>
      <c r="CG479" s="80">
        <f>IF(BD479=0,0,IF(D479="Malcolm",1,MATCH(BF479,{"Draft","Submitted","Approved","Returned","Recall Requested","Cancelled"},0)+1))</f>
        <v>0</v>
      </c>
      <c r="CH479" s="80">
        <f>IF(AND(BF479="Submitted",ISNUMBER(V479)),IF(V479&gt;CFG_MAXD,1,0),0)</f>
        <v>0</v>
      </c>
    </row>
    <row r="480">
      <c r="A480" s="71" t="str">
        <f>IF(Y480=1,ROW()-5,"")</f>
        <v/>
      </c>
      <c r="B480" s="72" t="n"/>
      <c r="C480" s="71" t="str">
        <f>IF(ISNUMBER(B480),CHOOSE(WEEKDAY(B480,2),"Lun","Mar","Mié","Jue","Vie","Sáb","Dom"),"")</f>
        <v/>
      </c>
      <c r="D480" s="73" t="n"/>
      <c r="E480" s="74" t="n"/>
      <c r="F480" s="74" t="n"/>
      <c r="G480" s="74" t="n"/>
      <c r="H480" s="75" t="n"/>
      <c r="I480" s="75" t="n"/>
      <c r="J480" s="76" t="n"/>
      <c r="K480" s="77" t="str">
        <f>IF(AB480=1,ROUND(AG480/60,4),"")</f>
        <v/>
      </c>
      <c r="L480" s="77" t="str">
        <f>IF(BD480=1,ROUND(AP480/60,4),"")</f>
        <v/>
      </c>
      <c r="M480" s="77" t="str">
        <f>IF(BD480=1,ROUND(AQ480/60,4),"")</f>
        <v/>
      </c>
      <c r="N480" s="71" t="str">
        <f>IF(AND(D480="proMX",AB480=1),ROUND(AG480/CFG_BLK,2),"")</f>
        <v/>
      </c>
      <c r="O480" s="77" t="str">
        <f>IF(D480="proMX",IF(BD480=1,ROUND(AG480/60,4),0),"")</f>
        <v/>
      </c>
      <c r="P480" s="78" t="str">
        <f>IF(Y480=0,"",IF(BD480=1,"OK",IF(D480="proMX","Revisar bloques: ","Revisar: ")&amp;BC480))</f>
        <v/>
      </c>
      <c r="Q480" s="78" t="str">
        <f>IF(NOT(ISNUMBER(B480)),"",IF(COUNTIFS(FER_F,INT(B480))&gt;0,"Feriado"&amp;IF(AH480=1," (laborable)"," (no laborable)"),IF(AH480=1,"Laborable",IF(WEEKDAY(B480,2)&gt;5,"Fin de semana","No laborable"))))</f>
        <v/>
      </c>
      <c r="R480" s="73" t="n"/>
      <c r="S480" s="72" t="n"/>
      <c r="T480" s="72" t="n"/>
      <c r="U480" s="74" t="n"/>
      <c r="V480" s="79" t="str">
        <f>IF(AND(D480="proMX",OR(R480="Submitted",R480="Recall Requested"),ISNUMBER(S480)),CFG_TODAY-INT(S480),"")</f>
        <v/>
      </c>
      <c r="W480" s="78" t="str">
        <f>IF(BD480=0,"",IF(BA480&gt;0,"⚠ Se superpone con un registro de la otra empresa",IF(D480="Malcolm",IF(COUNTA(R480,S480,T480)&gt;0,"Estado/fechas proMX se ignoran en Malcolm",""),IF(BF480="Cancelled","Cancelado: excluido de totales",IF(R480="","Sin estado: se trata como Draft",IF(BF480="Submitted",IF(ISNUMBER(V480),IF(V480&gt;CFG_MAXD,"⚠ "&amp;V480&amp;" días en Submitted (máx. "&amp;CFG_MAXD&amp;")",""),"Falta fecha de envío"),IF(BF480="Returned","⚠ Devuelto: corregir y reenviar",IF(BF480="Recall Requested","Retirada solicitada: pendiente",IF(AND(BF480="Approved",NOT(ISNUMBER(T480))),"Falta fecha de aprobación",IF(AND(ISNUMBER(S480),ISNUMBER(T480),T480&lt;S480),"Aprobación anterior al envío","")))))))))</f>
        <v/>
      </c>
      <c r="Y480" s="80">
        <f>IF(COUNTA(B480,D480,E480,F480,G480,H480,I480,J480,R480,S480,T480)&gt;0,1,0)</f>
        <v>0</v>
      </c>
      <c r="Z480" s="80" t="str">
        <f>IF(AND(ISNUMBER(H480),H480&gt;=0,H480&lt;1),ROUND(H480*1440,0),"")</f>
        <v/>
      </c>
      <c r="AA480" s="80" t="str">
        <f>IF(AND(ISNUMBER(I480),I480&gt;=0,I480&lt;1),ROUND(I480*1440,0),"")</f>
        <v/>
      </c>
      <c r="AB480" s="80">
        <f>IF(AND(ISNUMBER(B480),D480&lt;&gt;"",ISNUMBER(Z480),ISNUMBER(AA480)),IF(Z480=AA480,0,1),0)</f>
        <v>0</v>
      </c>
      <c r="AC480" s="80">
        <f>IF(AB480=1,IF(AA480&lt;Z480,1,0),0)</f>
        <v>0</v>
      </c>
      <c r="AD480" s="80">
        <f>IF(AB480=1,IF(AC480=1,1440-Z480+AA480,AA480-Z480),0)</f>
        <v>0</v>
      </c>
      <c r="AE480" s="80">
        <f>IF(J480="",0,IF(ISNUMBER(J480),J480,-1))</f>
        <v>0</v>
      </c>
      <c r="AF480" s="80">
        <f>MIN(MAX(0,AE480),AD480)</f>
        <v>0</v>
      </c>
      <c r="AG480" s="80">
        <f>MAX(0,AD480-MAX(0,AE480))</f>
        <v>0</v>
      </c>
      <c r="AH480" s="80">
        <f>IF(ISNUMBER(B480),IF(AND(INDEX(CFG_WDAYS,WEEKDAY(INT(B480),2))="Sí",IF(D480="proMX",COUNTIFS(FER_F,INT(B480),FER_NLP,"Sí"),COUNTIFS(FER_F,INT(B480),FER_NLM,"Sí"))=0),1,0),0)</f>
        <v>0</v>
      </c>
      <c r="AI480" s="80">
        <f>IF(AC480=1,IF(AND(INDEX(CFG_WDAYS,WEEKDAY(INT(B480)+1,2))="Sí",IF(D480="proMX",COUNTIFS(FER_F,INT(B480)+1,FER_NLP,"Sí"),COUNTIFS(FER_F,INT(B480)+1,FER_NLM,"Sí"))=0),1,0),0)</f>
        <v>0</v>
      </c>
      <c r="AJ480" s="80">
        <f>IF(AC480=1,1440-Z480,AD480)</f>
        <v>0</v>
      </c>
      <c r="AK480" s="80">
        <f>IF(AND(AB480=1,AH480=1),MAX(0,MIN(IF(AC480=1,1440,AA480),CFG_WEM)-MAX(Z480,CFG_WSM)),0)</f>
        <v>0</v>
      </c>
      <c r="AL480" s="80">
        <f>IF(AND(AC480=1,AI480=1),MAX(0,MIN(AA480,CFG_WEM)-CFG_WSM),0)</f>
        <v>0</v>
      </c>
      <c r="AM480" s="80">
        <f>AK480+AL480</f>
        <v>0</v>
      </c>
      <c r="AN480" s="80">
        <f>IF(CFG_BRK="Proporcional",IF(AD480=0,0,AF480*AM480/AD480),IF(CFG_BRK="Extras primero",MIN(AM480,MAX(0,AF480-(AD480-AM480))),MIN(AF480,AM480)))</f>
        <v>0</v>
      </c>
      <c r="AO480" s="80">
        <f>AF480-AN480</f>
        <v>0</v>
      </c>
      <c r="AP480" s="80">
        <f>AM480-AN480</f>
        <v>0</v>
      </c>
      <c r="AQ480" s="80">
        <f>AD480-AM480-AO480</f>
        <v>0</v>
      </c>
      <c r="AR480" s="80">
        <f>IF(AM480=0,0,AK480-AN480*AK480/AM480)</f>
        <v>0</v>
      </c>
      <c r="AS480" s="80">
        <f>IF(AD480-AM480=0,0,(AJ480-AK480)-AO480*(AJ480-AK480)/(AD480-AM480))</f>
        <v>0</v>
      </c>
      <c r="AT480" s="80" t="str">
        <f>IF(AC480=1,INT(B480)+1,"")</f>
        <v/>
      </c>
      <c r="AU480" s="80">
        <f>IF(AND(D480="proMX",R480="Cancelled"),0,1)</f>
        <v>1</v>
      </c>
      <c r="AV480" s="80">
        <f>IF(AND(AB480=1,AU480=1),IF(COUNTIFS($D$5:D479,D480,$B$5:B479,B480,$Z$5:Z479,Z480,$AA$5:AA479,AA480,$F$5:F479,F480&amp;"",$AU$5:AU479,1)&gt;0,1,0),0)</f>
        <v>0</v>
      </c>
      <c r="AW480" s="80" t="str">
        <f>IF(AB480=1,INT(B480)*1440+Z480,"")</f>
        <v/>
      </c>
      <c r="AX480" s="80" t="str">
        <f>IF(AB480=1,AW480+AD480,"")</f>
        <v/>
      </c>
      <c r="AY480" s="80">
        <f>IF(AND(AB480=1,AV480=0,AU480=1),1,0)</f>
        <v>0</v>
      </c>
      <c r="AZ480" s="80">
        <f>IF(AY480=1,COUNTIFS(R_Emp,D480,R_SAbs,"&lt;"&amp;AX480,R_EAbs,"&gt;"&amp;AW480,R_OKey,1)-1,0)</f>
        <v>0</v>
      </c>
      <c r="BA480" s="80">
        <f>IF(AY480=1,COUNTIFS(R_Emp,"&lt;&gt;"&amp;D480,R_SAbs,"&lt;"&amp;AX480,R_EAbs,"&gt;"&amp;AW480,R_OKey,1),0)</f>
        <v>0</v>
      </c>
      <c r="BB480" s="80">
        <f>IF(AND(AB480=1,D480="proMX"),IF(AND(MOD(Z480,CFG_BLK)=0,MOD(AA480,CFG_BLK)=0,MOD(AG480,CFG_BLK)=0,AG480&gt;0),1,0),1)</f>
        <v>1</v>
      </c>
      <c r="BC480" s="80" t="str">
        <f>IF(Y480=0,"",IF(NOT(ISNUMBER(B480)),"Falta fecha o fecha inválida",IF(D480="","Falta empresa",IF(AND(D480&lt;&gt;"Malcolm",D480&lt;&gt;"proMX"),"Empresa inválida",IF(OR(INT(B480)&lt;CFG_PSTART,INT(B480)&gt;CFG_PEND),"Fecha fuera del período",IF(OR(NOT(ISNUMBER(Z480)),NOT(ISNUMBER(AA480))),"Falta hora inicio/fin o formato inválido",IF(AB480=0,"Hora inicio = hora fin",IF(AE480&lt;0,"Descanso inválido",IF(AE480&gt;=AD480,"Descanso ≥ duración",IF(AV480=1,"Registro duplicado",IF(AZ480&gt;0,"Se superpone con otro registro "&amp;D480,IF(BB480=0,"inicio, fin y duración neta deben ser múltiplos de "&amp;CFG_BLK&amp;" min",""))))))))))))</f>
        <v/>
      </c>
      <c r="BD480" s="80">
        <f>IF(AND(Y480=1,BC480=""),1,0)</f>
        <v>0</v>
      </c>
      <c r="BE480" s="80">
        <f>IF(AND(BD480=1,AU480=1),1,0)</f>
        <v>0</v>
      </c>
      <c r="BF480" s="80" t="str">
        <f>IF(AND(D480="proMX",BD480=1),IF(R480="","Draft",R480),"")</f>
        <v/>
      </c>
      <c r="BG480" s="80">
        <f>IF(BD480=1,ROUND(AG480/60,6),0)</f>
        <v>0</v>
      </c>
      <c r="BH480" s="80">
        <f>IF(BE480=1,ROUND(AG480/60,6),0)</f>
        <v>0</v>
      </c>
      <c r="BI480" s="80">
        <f>IF(BE480=1,ROUND(AP480/60,6),0)</f>
        <v>0</v>
      </c>
      <c r="BJ480" s="80">
        <f>IF(BE480=1,ROUND(AQ480/60,6),0)</f>
        <v>0</v>
      </c>
      <c r="BK480" s="80">
        <f>IF(BE480=1,ROUND((AR480+AS480)/60,6),0)</f>
        <v>0</v>
      </c>
      <c r="BL480" s="80">
        <f>ROUND(BH480-BK480,6)</f>
        <v>0</v>
      </c>
      <c r="BM480" s="80">
        <f>IF(BE480=1,ROUND(AR480/60,6),0)</f>
        <v>0</v>
      </c>
      <c r="BN480" s="80">
        <f>ROUND(BI480-BM480,6)</f>
        <v>0</v>
      </c>
      <c r="BO480" s="80">
        <f>IF(BE480=1,ROUND(AS480/60,6),0)</f>
        <v>0</v>
      </c>
      <c r="BP480" s="80">
        <f>ROUND(BJ480-BO480,6)</f>
        <v>0</v>
      </c>
      <c r="BQ480" s="80">
        <f>IF(BE480=1,AW480,0)</f>
        <v>0</v>
      </c>
      <c r="BR480" s="80">
        <f>IF(BE480=1,AX480,0)</f>
        <v>0</v>
      </c>
      <c r="BS480" s="80">
        <f>IF(AND(BE480=1,D480="Malcolm",BA480&gt;0),MIN(BH480,SUMPRODUCT((R_Emp="proMX")*(R_EN&gt;0)*((R_EN-(R_EN&gt;BR480)*(R_EN-BR480))&gt;(R_SN+(R_SN&lt;BQ480)*(BQ480-R_SN)))*((R_EN-(R_EN&gt;BR480)*(R_EN-BR480))-(R_SN+(R_SN&lt;BQ480)*(BQ480-R_SN))))/60),0)</f>
        <v>0</v>
      </c>
      <c r="BT480" s="80">
        <f>IF(AND(BE480=1,D480="proMX"),ROUND(BI480*CFG_RATE+BJ480*CFG_OTRATE,6),0)</f>
        <v>0</v>
      </c>
      <c r="BU480" s="80">
        <f>IF(AND(BD480=1,D480="proMX"),ROUND(AG480/CFG_BLK,6),0)</f>
        <v>0</v>
      </c>
      <c r="BV480" s="80" t="str">
        <f>IF(BF480="Approved",IF(ISNUMBER(T480),INT(T480),INT(B480)),"")</f>
        <v/>
      </c>
      <c r="BW480" s="80">
        <f>IF(ISNUMBER(B480),IF(DB_MON="Todos",1,IF(AND(INT(B480)&gt;=DB_MS,INT(B480)&lt;=DB_ME),1,0)),0)</f>
        <v>0</v>
      </c>
      <c r="BX480" s="80">
        <f>IF(DB_PROJ="Todos",1,IF(E480&amp;""=DB_PROJ&amp;"",1,0))</f>
        <v>1</v>
      </c>
      <c r="BY480" s="80">
        <f>BW480*BX480</f>
        <v>0</v>
      </c>
      <c r="BZ480" s="80" t="str">
        <f>IF(Y480=1,F480&amp;IF(AND(F480&amp;""&lt;&gt;"",E480&amp;""&lt;&gt;"")," · ","")&amp;E480,"")</f>
        <v/>
      </c>
      <c r="CA480" s="80" t="str">
        <f>IF(AND(BD480=1,E480&amp;""&lt;&gt;""),IF(COUNTIFS($E$5:E479,E480,$BD$5:BD479,1)=0,MAX($CA$5:CA479)+1,""),"")</f>
        <v/>
      </c>
      <c r="CB480" s="80" t="str">
        <f>IF(AND(BE480=1,D480="Malcolm",E480&amp;""&lt;&gt;""),IF(COUNTIFS($D$5:D479,"Malcolm",$E$5:E479,E480,$BE$5:BE479,1)=0,MAX($CB$5:CB479)+1,""),"")</f>
        <v/>
      </c>
      <c r="CC480" s="80" t="str">
        <f>IF(AND(BD480=1,D480="proMX",E480&amp;""&lt;&gt;""),IF(COUNTIFS($D$5:D479,"proMX",$E$5:E479,E480,$BD$5:BD479,1)=0,MAX($CC$5:CC479)+1,""),"")</f>
        <v/>
      </c>
      <c r="CD480" s="80" t="str">
        <f>IF(AND(BE480=1,D480="Malcolm",F480&amp;""&lt;&gt;""),IF(COUNTIFS($D$5:D479,"Malcolm",$F$5:F479,F480,$BE$5:BE479,1)=0,MAX($CD$5:CD479)+1,""),"")</f>
        <v/>
      </c>
      <c r="CE480" s="80" t="str">
        <f>IF(AND(BD480=1,D480="proMX",F480&amp;""&lt;&gt;""),IF(COUNTIFS($D$5:D479,"proMX",$F$5:F479,F480,$BD$5:BD479,1)=0,MAX($CE$5:CE479)+1,""),"")</f>
        <v/>
      </c>
      <c r="CF480" s="80" t="str">
        <f>IF(AND(D480="proMX",BD480=1),IF(OR(BF480="Draft",BF480="Submitted",BF480="Returned",BF480="Recall Requested"),MAX($CF$5:CF479)+1,""),"")</f>
        <v/>
      </c>
      <c r="CG480" s="80">
        <f>IF(BD480=0,0,IF(D480="Malcolm",1,MATCH(BF480,{"Draft","Submitted","Approved","Returned","Recall Requested","Cancelled"},0)+1))</f>
        <v>0</v>
      </c>
      <c r="CH480" s="80">
        <f>IF(AND(BF480="Submitted",ISNUMBER(V480)),IF(V480&gt;CFG_MAXD,1,0),0)</f>
        <v>0</v>
      </c>
    </row>
    <row r="481">
      <c r="A481" s="71" t="str">
        <f>IF(Y481=1,ROW()-5,"")</f>
        <v/>
      </c>
      <c r="B481" s="72" t="n"/>
      <c r="C481" s="71" t="str">
        <f>IF(ISNUMBER(B481),CHOOSE(WEEKDAY(B481,2),"Lun","Mar","Mié","Jue","Vie","Sáb","Dom"),"")</f>
        <v/>
      </c>
      <c r="D481" s="73" t="n"/>
      <c r="E481" s="74" t="n"/>
      <c r="F481" s="74" t="n"/>
      <c r="G481" s="74" t="n"/>
      <c r="H481" s="75" t="n"/>
      <c r="I481" s="75" t="n"/>
      <c r="J481" s="76" t="n"/>
      <c r="K481" s="77" t="str">
        <f>IF(AB481=1,ROUND(AG481/60,4),"")</f>
        <v/>
      </c>
      <c r="L481" s="77" t="str">
        <f>IF(BD481=1,ROUND(AP481/60,4),"")</f>
        <v/>
      </c>
      <c r="M481" s="77" t="str">
        <f>IF(BD481=1,ROUND(AQ481/60,4),"")</f>
        <v/>
      </c>
      <c r="N481" s="71" t="str">
        <f>IF(AND(D481="proMX",AB481=1),ROUND(AG481/CFG_BLK,2),"")</f>
        <v/>
      </c>
      <c r="O481" s="77" t="str">
        <f>IF(D481="proMX",IF(BD481=1,ROUND(AG481/60,4),0),"")</f>
        <v/>
      </c>
      <c r="P481" s="78" t="str">
        <f>IF(Y481=0,"",IF(BD481=1,"OK",IF(D481="proMX","Revisar bloques: ","Revisar: ")&amp;BC481))</f>
        <v/>
      </c>
      <c r="Q481" s="78" t="str">
        <f>IF(NOT(ISNUMBER(B481)),"",IF(COUNTIFS(FER_F,INT(B481))&gt;0,"Feriado"&amp;IF(AH481=1," (laborable)"," (no laborable)"),IF(AH481=1,"Laborable",IF(WEEKDAY(B481,2)&gt;5,"Fin de semana","No laborable"))))</f>
        <v/>
      </c>
      <c r="R481" s="73" t="n"/>
      <c r="S481" s="72" t="n"/>
      <c r="T481" s="72" t="n"/>
      <c r="U481" s="74" t="n"/>
      <c r="V481" s="79" t="str">
        <f>IF(AND(D481="proMX",OR(R481="Submitted",R481="Recall Requested"),ISNUMBER(S481)),CFG_TODAY-INT(S481),"")</f>
        <v/>
      </c>
      <c r="W481" s="78" t="str">
        <f>IF(BD481=0,"",IF(BA481&gt;0,"⚠ Se superpone con un registro de la otra empresa",IF(D481="Malcolm",IF(COUNTA(R481,S481,T481)&gt;0,"Estado/fechas proMX se ignoran en Malcolm",""),IF(BF481="Cancelled","Cancelado: excluido de totales",IF(R481="","Sin estado: se trata como Draft",IF(BF481="Submitted",IF(ISNUMBER(V481),IF(V481&gt;CFG_MAXD,"⚠ "&amp;V481&amp;" días en Submitted (máx. "&amp;CFG_MAXD&amp;")",""),"Falta fecha de envío"),IF(BF481="Returned","⚠ Devuelto: corregir y reenviar",IF(BF481="Recall Requested","Retirada solicitada: pendiente",IF(AND(BF481="Approved",NOT(ISNUMBER(T481))),"Falta fecha de aprobación",IF(AND(ISNUMBER(S481),ISNUMBER(T481),T481&lt;S481),"Aprobación anterior al envío","")))))))))</f>
        <v/>
      </c>
      <c r="Y481" s="80">
        <f>IF(COUNTA(B481,D481,E481,F481,G481,H481,I481,J481,R481,S481,T481)&gt;0,1,0)</f>
        <v>0</v>
      </c>
      <c r="Z481" s="80" t="str">
        <f>IF(AND(ISNUMBER(H481),H481&gt;=0,H481&lt;1),ROUND(H481*1440,0),"")</f>
        <v/>
      </c>
      <c r="AA481" s="80" t="str">
        <f>IF(AND(ISNUMBER(I481),I481&gt;=0,I481&lt;1),ROUND(I481*1440,0),"")</f>
        <v/>
      </c>
      <c r="AB481" s="80">
        <f>IF(AND(ISNUMBER(B481),D481&lt;&gt;"",ISNUMBER(Z481),ISNUMBER(AA481)),IF(Z481=AA481,0,1),0)</f>
        <v>0</v>
      </c>
      <c r="AC481" s="80">
        <f>IF(AB481=1,IF(AA481&lt;Z481,1,0),0)</f>
        <v>0</v>
      </c>
      <c r="AD481" s="80">
        <f>IF(AB481=1,IF(AC481=1,1440-Z481+AA481,AA481-Z481),0)</f>
        <v>0</v>
      </c>
      <c r="AE481" s="80">
        <f>IF(J481="",0,IF(ISNUMBER(J481),J481,-1))</f>
        <v>0</v>
      </c>
      <c r="AF481" s="80">
        <f>MIN(MAX(0,AE481),AD481)</f>
        <v>0</v>
      </c>
      <c r="AG481" s="80">
        <f>MAX(0,AD481-MAX(0,AE481))</f>
        <v>0</v>
      </c>
      <c r="AH481" s="80">
        <f>IF(ISNUMBER(B481),IF(AND(INDEX(CFG_WDAYS,WEEKDAY(INT(B481),2))="Sí",IF(D481="proMX",COUNTIFS(FER_F,INT(B481),FER_NLP,"Sí"),COUNTIFS(FER_F,INT(B481),FER_NLM,"Sí"))=0),1,0),0)</f>
        <v>0</v>
      </c>
      <c r="AI481" s="80">
        <f>IF(AC481=1,IF(AND(INDEX(CFG_WDAYS,WEEKDAY(INT(B481)+1,2))="Sí",IF(D481="proMX",COUNTIFS(FER_F,INT(B481)+1,FER_NLP,"Sí"),COUNTIFS(FER_F,INT(B481)+1,FER_NLM,"Sí"))=0),1,0),0)</f>
        <v>0</v>
      </c>
      <c r="AJ481" s="80">
        <f>IF(AC481=1,1440-Z481,AD481)</f>
        <v>0</v>
      </c>
      <c r="AK481" s="80">
        <f>IF(AND(AB481=1,AH481=1),MAX(0,MIN(IF(AC481=1,1440,AA481),CFG_WEM)-MAX(Z481,CFG_WSM)),0)</f>
        <v>0</v>
      </c>
      <c r="AL481" s="80">
        <f>IF(AND(AC481=1,AI481=1),MAX(0,MIN(AA481,CFG_WEM)-CFG_WSM),0)</f>
        <v>0</v>
      </c>
      <c r="AM481" s="80">
        <f>AK481+AL481</f>
        <v>0</v>
      </c>
      <c r="AN481" s="80">
        <f>IF(CFG_BRK="Proporcional",IF(AD481=0,0,AF481*AM481/AD481),IF(CFG_BRK="Extras primero",MIN(AM481,MAX(0,AF481-(AD481-AM481))),MIN(AF481,AM481)))</f>
        <v>0</v>
      </c>
      <c r="AO481" s="80">
        <f>AF481-AN481</f>
        <v>0</v>
      </c>
      <c r="AP481" s="80">
        <f>AM481-AN481</f>
        <v>0</v>
      </c>
      <c r="AQ481" s="80">
        <f>AD481-AM481-AO481</f>
        <v>0</v>
      </c>
      <c r="AR481" s="80">
        <f>IF(AM481=0,0,AK481-AN481*AK481/AM481)</f>
        <v>0</v>
      </c>
      <c r="AS481" s="80">
        <f>IF(AD481-AM481=0,0,(AJ481-AK481)-AO481*(AJ481-AK481)/(AD481-AM481))</f>
        <v>0</v>
      </c>
      <c r="AT481" s="80" t="str">
        <f>IF(AC481=1,INT(B481)+1,"")</f>
        <v/>
      </c>
      <c r="AU481" s="80">
        <f>IF(AND(D481="proMX",R481="Cancelled"),0,1)</f>
        <v>1</v>
      </c>
      <c r="AV481" s="80">
        <f>IF(AND(AB481=1,AU481=1),IF(COUNTIFS($D$5:D480,D481,$B$5:B480,B481,$Z$5:Z480,Z481,$AA$5:AA480,AA481,$F$5:F480,F481&amp;"",$AU$5:AU480,1)&gt;0,1,0),0)</f>
        <v>0</v>
      </c>
      <c r="AW481" s="80" t="str">
        <f>IF(AB481=1,INT(B481)*1440+Z481,"")</f>
        <v/>
      </c>
      <c r="AX481" s="80" t="str">
        <f>IF(AB481=1,AW481+AD481,"")</f>
        <v/>
      </c>
      <c r="AY481" s="80">
        <f>IF(AND(AB481=1,AV481=0,AU481=1),1,0)</f>
        <v>0</v>
      </c>
      <c r="AZ481" s="80">
        <f>IF(AY481=1,COUNTIFS(R_Emp,D481,R_SAbs,"&lt;"&amp;AX481,R_EAbs,"&gt;"&amp;AW481,R_OKey,1)-1,0)</f>
        <v>0</v>
      </c>
      <c r="BA481" s="80">
        <f>IF(AY481=1,COUNTIFS(R_Emp,"&lt;&gt;"&amp;D481,R_SAbs,"&lt;"&amp;AX481,R_EAbs,"&gt;"&amp;AW481,R_OKey,1),0)</f>
        <v>0</v>
      </c>
      <c r="BB481" s="80">
        <f>IF(AND(AB481=1,D481="proMX"),IF(AND(MOD(Z481,CFG_BLK)=0,MOD(AA481,CFG_BLK)=0,MOD(AG481,CFG_BLK)=0,AG481&gt;0),1,0),1)</f>
        <v>1</v>
      </c>
      <c r="BC481" s="80" t="str">
        <f>IF(Y481=0,"",IF(NOT(ISNUMBER(B481)),"Falta fecha o fecha inválida",IF(D481="","Falta empresa",IF(AND(D481&lt;&gt;"Malcolm",D481&lt;&gt;"proMX"),"Empresa inválida",IF(OR(INT(B481)&lt;CFG_PSTART,INT(B481)&gt;CFG_PEND),"Fecha fuera del período",IF(OR(NOT(ISNUMBER(Z481)),NOT(ISNUMBER(AA481))),"Falta hora inicio/fin o formato inválido",IF(AB481=0,"Hora inicio = hora fin",IF(AE481&lt;0,"Descanso inválido",IF(AE481&gt;=AD481,"Descanso ≥ duración",IF(AV481=1,"Registro duplicado",IF(AZ481&gt;0,"Se superpone con otro registro "&amp;D481,IF(BB481=0,"inicio, fin y duración neta deben ser múltiplos de "&amp;CFG_BLK&amp;" min",""))))))))))))</f>
        <v/>
      </c>
      <c r="BD481" s="80">
        <f>IF(AND(Y481=1,BC481=""),1,0)</f>
        <v>0</v>
      </c>
      <c r="BE481" s="80">
        <f>IF(AND(BD481=1,AU481=1),1,0)</f>
        <v>0</v>
      </c>
      <c r="BF481" s="80" t="str">
        <f>IF(AND(D481="proMX",BD481=1),IF(R481="","Draft",R481),"")</f>
        <v/>
      </c>
      <c r="BG481" s="80">
        <f>IF(BD481=1,ROUND(AG481/60,6),0)</f>
        <v>0</v>
      </c>
      <c r="BH481" s="80">
        <f>IF(BE481=1,ROUND(AG481/60,6),0)</f>
        <v>0</v>
      </c>
      <c r="BI481" s="80">
        <f>IF(BE481=1,ROUND(AP481/60,6),0)</f>
        <v>0</v>
      </c>
      <c r="BJ481" s="80">
        <f>IF(BE481=1,ROUND(AQ481/60,6),0)</f>
        <v>0</v>
      </c>
      <c r="BK481" s="80">
        <f>IF(BE481=1,ROUND((AR481+AS481)/60,6),0)</f>
        <v>0</v>
      </c>
      <c r="BL481" s="80">
        <f>ROUND(BH481-BK481,6)</f>
        <v>0</v>
      </c>
      <c r="BM481" s="80">
        <f>IF(BE481=1,ROUND(AR481/60,6),0)</f>
        <v>0</v>
      </c>
      <c r="BN481" s="80">
        <f>ROUND(BI481-BM481,6)</f>
        <v>0</v>
      </c>
      <c r="BO481" s="80">
        <f>IF(BE481=1,ROUND(AS481/60,6),0)</f>
        <v>0</v>
      </c>
      <c r="BP481" s="80">
        <f>ROUND(BJ481-BO481,6)</f>
        <v>0</v>
      </c>
      <c r="BQ481" s="80">
        <f>IF(BE481=1,AW481,0)</f>
        <v>0</v>
      </c>
      <c r="BR481" s="80">
        <f>IF(BE481=1,AX481,0)</f>
        <v>0</v>
      </c>
      <c r="BS481" s="80">
        <f>IF(AND(BE481=1,D481="Malcolm",BA481&gt;0),MIN(BH481,SUMPRODUCT((R_Emp="proMX")*(R_EN&gt;0)*((R_EN-(R_EN&gt;BR481)*(R_EN-BR481))&gt;(R_SN+(R_SN&lt;BQ481)*(BQ481-R_SN)))*((R_EN-(R_EN&gt;BR481)*(R_EN-BR481))-(R_SN+(R_SN&lt;BQ481)*(BQ481-R_SN))))/60),0)</f>
        <v>0</v>
      </c>
      <c r="BT481" s="80">
        <f>IF(AND(BE481=1,D481="proMX"),ROUND(BI481*CFG_RATE+BJ481*CFG_OTRATE,6),0)</f>
        <v>0</v>
      </c>
      <c r="BU481" s="80">
        <f>IF(AND(BD481=1,D481="proMX"),ROUND(AG481/CFG_BLK,6),0)</f>
        <v>0</v>
      </c>
      <c r="BV481" s="80" t="str">
        <f>IF(BF481="Approved",IF(ISNUMBER(T481),INT(T481),INT(B481)),"")</f>
        <v/>
      </c>
      <c r="BW481" s="80">
        <f>IF(ISNUMBER(B481),IF(DB_MON="Todos",1,IF(AND(INT(B481)&gt;=DB_MS,INT(B481)&lt;=DB_ME),1,0)),0)</f>
        <v>0</v>
      </c>
      <c r="BX481" s="80">
        <f>IF(DB_PROJ="Todos",1,IF(E481&amp;""=DB_PROJ&amp;"",1,0))</f>
        <v>1</v>
      </c>
      <c r="BY481" s="80">
        <f>BW481*BX481</f>
        <v>0</v>
      </c>
      <c r="BZ481" s="80" t="str">
        <f>IF(Y481=1,F481&amp;IF(AND(F481&amp;""&lt;&gt;"",E481&amp;""&lt;&gt;"")," · ","")&amp;E481,"")</f>
        <v/>
      </c>
      <c r="CA481" s="80" t="str">
        <f>IF(AND(BD481=1,E481&amp;""&lt;&gt;""),IF(COUNTIFS($E$5:E480,E481,$BD$5:BD480,1)=0,MAX($CA$5:CA480)+1,""),"")</f>
        <v/>
      </c>
      <c r="CB481" s="80" t="str">
        <f>IF(AND(BE481=1,D481="Malcolm",E481&amp;""&lt;&gt;""),IF(COUNTIFS($D$5:D480,"Malcolm",$E$5:E480,E481,$BE$5:BE480,1)=0,MAX($CB$5:CB480)+1,""),"")</f>
        <v/>
      </c>
      <c r="CC481" s="80" t="str">
        <f>IF(AND(BD481=1,D481="proMX",E481&amp;""&lt;&gt;""),IF(COUNTIFS($D$5:D480,"proMX",$E$5:E480,E481,$BD$5:BD480,1)=0,MAX($CC$5:CC480)+1,""),"")</f>
        <v/>
      </c>
      <c r="CD481" s="80" t="str">
        <f>IF(AND(BE481=1,D481="Malcolm",F481&amp;""&lt;&gt;""),IF(COUNTIFS($D$5:D480,"Malcolm",$F$5:F480,F481,$BE$5:BE480,1)=0,MAX($CD$5:CD480)+1,""),"")</f>
        <v/>
      </c>
      <c r="CE481" s="80" t="str">
        <f>IF(AND(BD481=1,D481="proMX",F481&amp;""&lt;&gt;""),IF(COUNTIFS($D$5:D480,"proMX",$F$5:F480,F481,$BD$5:BD480,1)=0,MAX($CE$5:CE480)+1,""),"")</f>
        <v/>
      </c>
      <c r="CF481" s="80" t="str">
        <f>IF(AND(D481="proMX",BD481=1),IF(OR(BF481="Draft",BF481="Submitted",BF481="Returned",BF481="Recall Requested"),MAX($CF$5:CF480)+1,""),"")</f>
        <v/>
      </c>
      <c r="CG481" s="80">
        <f>IF(BD481=0,0,IF(D481="Malcolm",1,MATCH(BF481,{"Draft","Submitted","Approved","Returned","Recall Requested","Cancelled"},0)+1))</f>
        <v>0</v>
      </c>
      <c r="CH481" s="80">
        <f>IF(AND(BF481="Submitted",ISNUMBER(V481)),IF(V481&gt;CFG_MAXD,1,0),0)</f>
        <v>0</v>
      </c>
    </row>
    <row r="482">
      <c r="A482" s="71" t="str">
        <f>IF(Y482=1,ROW()-5,"")</f>
        <v/>
      </c>
      <c r="B482" s="72" t="n"/>
      <c r="C482" s="71" t="str">
        <f>IF(ISNUMBER(B482),CHOOSE(WEEKDAY(B482,2),"Lun","Mar","Mié","Jue","Vie","Sáb","Dom"),"")</f>
        <v/>
      </c>
      <c r="D482" s="73" t="n"/>
      <c r="E482" s="74" t="n"/>
      <c r="F482" s="74" t="n"/>
      <c r="G482" s="74" t="n"/>
      <c r="H482" s="75" t="n"/>
      <c r="I482" s="75" t="n"/>
      <c r="J482" s="76" t="n"/>
      <c r="K482" s="77" t="str">
        <f>IF(AB482=1,ROUND(AG482/60,4),"")</f>
        <v/>
      </c>
      <c r="L482" s="77" t="str">
        <f>IF(BD482=1,ROUND(AP482/60,4),"")</f>
        <v/>
      </c>
      <c r="M482" s="77" t="str">
        <f>IF(BD482=1,ROUND(AQ482/60,4),"")</f>
        <v/>
      </c>
      <c r="N482" s="71" t="str">
        <f>IF(AND(D482="proMX",AB482=1),ROUND(AG482/CFG_BLK,2),"")</f>
        <v/>
      </c>
      <c r="O482" s="77" t="str">
        <f>IF(D482="proMX",IF(BD482=1,ROUND(AG482/60,4),0),"")</f>
        <v/>
      </c>
      <c r="P482" s="78" t="str">
        <f>IF(Y482=0,"",IF(BD482=1,"OK",IF(D482="proMX","Revisar bloques: ","Revisar: ")&amp;BC482))</f>
        <v/>
      </c>
      <c r="Q482" s="78" t="str">
        <f>IF(NOT(ISNUMBER(B482)),"",IF(COUNTIFS(FER_F,INT(B482))&gt;0,"Feriado"&amp;IF(AH482=1," (laborable)"," (no laborable)"),IF(AH482=1,"Laborable",IF(WEEKDAY(B482,2)&gt;5,"Fin de semana","No laborable"))))</f>
        <v/>
      </c>
      <c r="R482" s="73" t="n"/>
      <c r="S482" s="72" t="n"/>
      <c r="T482" s="72" t="n"/>
      <c r="U482" s="74" t="n"/>
      <c r="V482" s="79" t="str">
        <f>IF(AND(D482="proMX",OR(R482="Submitted",R482="Recall Requested"),ISNUMBER(S482)),CFG_TODAY-INT(S482),"")</f>
        <v/>
      </c>
      <c r="W482" s="78" t="str">
        <f>IF(BD482=0,"",IF(BA482&gt;0,"⚠ Se superpone con un registro de la otra empresa",IF(D482="Malcolm",IF(COUNTA(R482,S482,T482)&gt;0,"Estado/fechas proMX se ignoran en Malcolm",""),IF(BF482="Cancelled","Cancelado: excluido de totales",IF(R482="","Sin estado: se trata como Draft",IF(BF482="Submitted",IF(ISNUMBER(V482),IF(V482&gt;CFG_MAXD,"⚠ "&amp;V482&amp;" días en Submitted (máx. "&amp;CFG_MAXD&amp;")",""),"Falta fecha de envío"),IF(BF482="Returned","⚠ Devuelto: corregir y reenviar",IF(BF482="Recall Requested","Retirada solicitada: pendiente",IF(AND(BF482="Approved",NOT(ISNUMBER(T482))),"Falta fecha de aprobación",IF(AND(ISNUMBER(S482),ISNUMBER(T482),T482&lt;S482),"Aprobación anterior al envío","")))))))))</f>
        <v/>
      </c>
      <c r="Y482" s="80">
        <f>IF(COUNTA(B482,D482,E482,F482,G482,H482,I482,J482,R482,S482,T482)&gt;0,1,0)</f>
        <v>0</v>
      </c>
      <c r="Z482" s="80" t="str">
        <f>IF(AND(ISNUMBER(H482),H482&gt;=0,H482&lt;1),ROUND(H482*1440,0),"")</f>
        <v/>
      </c>
      <c r="AA482" s="80" t="str">
        <f>IF(AND(ISNUMBER(I482),I482&gt;=0,I482&lt;1),ROUND(I482*1440,0),"")</f>
        <v/>
      </c>
      <c r="AB482" s="80">
        <f>IF(AND(ISNUMBER(B482),D482&lt;&gt;"",ISNUMBER(Z482),ISNUMBER(AA482)),IF(Z482=AA482,0,1),0)</f>
        <v>0</v>
      </c>
      <c r="AC482" s="80">
        <f>IF(AB482=1,IF(AA482&lt;Z482,1,0),0)</f>
        <v>0</v>
      </c>
      <c r="AD482" s="80">
        <f>IF(AB482=1,IF(AC482=1,1440-Z482+AA482,AA482-Z482),0)</f>
        <v>0</v>
      </c>
      <c r="AE482" s="80">
        <f>IF(J482="",0,IF(ISNUMBER(J482),J482,-1))</f>
        <v>0</v>
      </c>
      <c r="AF482" s="80">
        <f>MIN(MAX(0,AE482),AD482)</f>
        <v>0</v>
      </c>
      <c r="AG482" s="80">
        <f>MAX(0,AD482-MAX(0,AE482))</f>
        <v>0</v>
      </c>
      <c r="AH482" s="80">
        <f>IF(ISNUMBER(B482),IF(AND(INDEX(CFG_WDAYS,WEEKDAY(INT(B482),2))="Sí",IF(D482="proMX",COUNTIFS(FER_F,INT(B482),FER_NLP,"Sí"),COUNTIFS(FER_F,INT(B482),FER_NLM,"Sí"))=0),1,0),0)</f>
        <v>0</v>
      </c>
      <c r="AI482" s="80">
        <f>IF(AC482=1,IF(AND(INDEX(CFG_WDAYS,WEEKDAY(INT(B482)+1,2))="Sí",IF(D482="proMX",COUNTIFS(FER_F,INT(B482)+1,FER_NLP,"Sí"),COUNTIFS(FER_F,INT(B482)+1,FER_NLM,"Sí"))=0),1,0),0)</f>
        <v>0</v>
      </c>
      <c r="AJ482" s="80">
        <f>IF(AC482=1,1440-Z482,AD482)</f>
        <v>0</v>
      </c>
      <c r="AK482" s="80">
        <f>IF(AND(AB482=1,AH482=1),MAX(0,MIN(IF(AC482=1,1440,AA482),CFG_WEM)-MAX(Z482,CFG_WSM)),0)</f>
        <v>0</v>
      </c>
      <c r="AL482" s="80">
        <f>IF(AND(AC482=1,AI482=1),MAX(0,MIN(AA482,CFG_WEM)-CFG_WSM),0)</f>
        <v>0</v>
      </c>
      <c r="AM482" s="80">
        <f>AK482+AL482</f>
        <v>0</v>
      </c>
      <c r="AN482" s="80">
        <f>IF(CFG_BRK="Proporcional",IF(AD482=0,0,AF482*AM482/AD482),IF(CFG_BRK="Extras primero",MIN(AM482,MAX(0,AF482-(AD482-AM482))),MIN(AF482,AM482)))</f>
        <v>0</v>
      </c>
      <c r="AO482" s="80">
        <f>AF482-AN482</f>
        <v>0</v>
      </c>
      <c r="AP482" s="80">
        <f>AM482-AN482</f>
        <v>0</v>
      </c>
      <c r="AQ482" s="80">
        <f>AD482-AM482-AO482</f>
        <v>0</v>
      </c>
      <c r="AR482" s="80">
        <f>IF(AM482=0,0,AK482-AN482*AK482/AM482)</f>
        <v>0</v>
      </c>
      <c r="AS482" s="80">
        <f>IF(AD482-AM482=0,0,(AJ482-AK482)-AO482*(AJ482-AK482)/(AD482-AM482))</f>
        <v>0</v>
      </c>
      <c r="AT482" s="80" t="str">
        <f>IF(AC482=1,INT(B482)+1,"")</f>
        <v/>
      </c>
      <c r="AU482" s="80">
        <f>IF(AND(D482="proMX",R482="Cancelled"),0,1)</f>
        <v>1</v>
      </c>
      <c r="AV482" s="80">
        <f>IF(AND(AB482=1,AU482=1),IF(COUNTIFS($D$5:D481,D482,$B$5:B481,B482,$Z$5:Z481,Z482,$AA$5:AA481,AA482,$F$5:F481,F482&amp;"",$AU$5:AU481,1)&gt;0,1,0),0)</f>
        <v>0</v>
      </c>
      <c r="AW482" s="80" t="str">
        <f>IF(AB482=1,INT(B482)*1440+Z482,"")</f>
        <v/>
      </c>
      <c r="AX482" s="80" t="str">
        <f>IF(AB482=1,AW482+AD482,"")</f>
        <v/>
      </c>
      <c r="AY482" s="80">
        <f>IF(AND(AB482=1,AV482=0,AU482=1),1,0)</f>
        <v>0</v>
      </c>
      <c r="AZ482" s="80">
        <f>IF(AY482=1,COUNTIFS(R_Emp,D482,R_SAbs,"&lt;"&amp;AX482,R_EAbs,"&gt;"&amp;AW482,R_OKey,1)-1,0)</f>
        <v>0</v>
      </c>
      <c r="BA482" s="80">
        <f>IF(AY482=1,COUNTIFS(R_Emp,"&lt;&gt;"&amp;D482,R_SAbs,"&lt;"&amp;AX482,R_EAbs,"&gt;"&amp;AW482,R_OKey,1),0)</f>
        <v>0</v>
      </c>
      <c r="BB482" s="80">
        <f>IF(AND(AB482=1,D482="proMX"),IF(AND(MOD(Z482,CFG_BLK)=0,MOD(AA482,CFG_BLK)=0,MOD(AG482,CFG_BLK)=0,AG482&gt;0),1,0),1)</f>
        <v>1</v>
      </c>
      <c r="BC482" s="80" t="str">
        <f>IF(Y482=0,"",IF(NOT(ISNUMBER(B482)),"Falta fecha o fecha inválida",IF(D482="","Falta empresa",IF(AND(D482&lt;&gt;"Malcolm",D482&lt;&gt;"proMX"),"Empresa inválida",IF(OR(INT(B482)&lt;CFG_PSTART,INT(B482)&gt;CFG_PEND),"Fecha fuera del período",IF(OR(NOT(ISNUMBER(Z482)),NOT(ISNUMBER(AA482))),"Falta hora inicio/fin o formato inválido",IF(AB482=0,"Hora inicio = hora fin",IF(AE482&lt;0,"Descanso inválido",IF(AE482&gt;=AD482,"Descanso ≥ duración",IF(AV482=1,"Registro duplicado",IF(AZ482&gt;0,"Se superpone con otro registro "&amp;D482,IF(BB482=0,"inicio, fin y duración neta deben ser múltiplos de "&amp;CFG_BLK&amp;" min",""))))))))))))</f>
        <v/>
      </c>
      <c r="BD482" s="80">
        <f>IF(AND(Y482=1,BC482=""),1,0)</f>
        <v>0</v>
      </c>
      <c r="BE482" s="80">
        <f>IF(AND(BD482=1,AU482=1),1,0)</f>
        <v>0</v>
      </c>
      <c r="BF482" s="80" t="str">
        <f>IF(AND(D482="proMX",BD482=1),IF(R482="","Draft",R482),"")</f>
        <v/>
      </c>
      <c r="BG482" s="80">
        <f>IF(BD482=1,ROUND(AG482/60,6),0)</f>
        <v>0</v>
      </c>
      <c r="BH482" s="80">
        <f>IF(BE482=1,ROUND(AG482/60,6),0)</f>
        <v>0</v>
      </c>
      <c r="BI482" s="80">
        <f>IF(BE482=1,ROUND(AP482/60,6),0)</f>
        <v>0</v>
      </c>
      <c r="BJ482" s="80">
        <f>IF(BE482=1,ROUND(AQ482/60,6),0)</f>
        <v>0</v>
      </c>
      <c r="BK482" s="80">
        <f>IF(BE482=1,ROUND((AR482+AS482)/60,6),0)</f>
        <v>0</v>
      </c>
      <c r="BL482" s="80">
        <f>ROUND(BH482-BK482,6)</f>
        <v>0</v>
      </c>
      <c r="BM482" s="80">
        <f>IF(BE482=1,ROUND(AR482/60,6),0)</f>
        <v>0</v>
      </c>
      <c r="BN482" s="80">
        <f>ROUND(BI482-BM482,6)</f>
        <v>0</v>
      </c>
      <c r="BO482" s="80">
        <f>IF(BE482=1,ROUND(AS482/60,6),0)</f>
        <v>0</v>
      </c>
      <c r="BP482" s="80">
        <f>ROUND(BJ482-BO482,6)</f>
        <v>0</v>
      </c>
      <c r="BQ482" s="80">
        <f>IF(BE482=1,AW482,0)</f>
        <v>0</v>
      </c>
      <c r="BR482" s="80">
        <f>IF(BE482=1,AX482,0)</f>
        <v>0</v>
      </c>
      <c r="BS482" s="80">
        <f>IF(AND(BE482=1,D482="Malcolm",BA482&gt;0),MIN(BH482,SUMPRODUCT((R_Emp="proMX")*(R_EN&gt;0)*((R_EN-(R_EN&gt;BR482)*(R_EN-BR482))&gt;(R_SN+(R_SN&lt;BQ482)*(BQ482-R_SN)))*((R_EN-(R_EN&gt;BR482)*(R_EN-BR482))-(R_SN+(R_SN&lt;BQ482)*(BQ482-R_SN))))/60),0)</f>
        <v>0</v>
      </c>
      <c r="BT482" s="80">
        <f>IF(AND(BE482=1,D482="proMX"),ROUND(BI482*CFG_RATE+BJ482*CFG_OTRATE,6),0)</f>
        <v>0</v>
      </c>
      <c r="BU482" s="80">
        <f>IF(AND(BD482=1,D482="proMX"),ROUND(AG482/CFG_BLK,6),0)</f>
        <v>0</v>
      </c>
      <c r="BV482" s="80" t="str">
        <f>IF(BF482="Approved",IF(ISNUMBER(T482),INT(T482),INT(B482)),"")</f>
        <v/>
      </c>
      <c r="BW482" s="80">
        <f>IF(ISNUMBER(B482),IF(DB_MON="Todos",1,IF(AND(INT(B482)&gt;=DB_MS,INT(B482)&lt;=DB_ME),1,0)),0)</f>
        <v>0</v>
      </c>
      <c r="BX482" s="80">
        <f>IF(DB_PROJ="Todos",1,IF(E482&amp;""=DB_PROJ&amp;"",1,0))</f>
        <v>1</v>
      </c>
      <c r="BY482" s="80">
        <f>BW482*BX482</f>
        <v>0</v>
      </c>
      <c r="BZ482" s="80" t="str">
        <f>IF(Y482=1,F482&amp;IF(AND(F482&amp;""&lt;&gt;"",E482&amp;""&lt;&gt;"")," · ","")&amp;E482,"")</f>
        <v/>
      </c>
      <c r="CA482" s="80" t="str">
        <f>IF(AND(BD482=1,E482&amp;""&lt;&gt;""),IF(COUNTIFS($E$5:E481,E482,$BD$5:BD481,1)=0,MAX($CA$5:CA481)+1,""),"")</f>
        <v/>
      </c>
      <c r="CB482" s="80" t="str">
        <f>IF(AND(BE482=1,D482="Malcolm",E482&amp;""&lt;&gt;""),IF(COUNTIFS($D$5:D481,"Malcolm",$E$5:E481,E482,$BE$5:BE481,1)=0,MAX($CB$5:CB481)+1,""),"")</f>
        <v/>
      </c>
      <c r="CC482" s="80" t="str">
        <f>IF(AND(BD482=1,D482="proMX",E482&amp;""&lt;&gt;""),IF(COUNTIFS($D$5:D481,"proMX",$E$5:E481,E482,$BD$5:BD481,1)=0,MAX($CC$5:CC481)+1,""),"")</f>
        <v/>
      </c>
      <c r="CD482" s="80" t="str">
        <f>IF(AND(BE482=1,D482="Malcolm",F482&amp;""&lt;&gt;""),IF(COUNTIFS($D$5:D481,"Malcolm",$F$5:F481,F482,$BE$5:BE481,1)=0,MAX($CD$5:CD481)+1,""),"")</f>
        <v/>
      </c>
      <c r="CE482" s="80" t="str">
        <f>IF(AND(BD482=1,D482="proMX",F482&amp;""&lt;&gt;""),IF(COUNTIFS($D$5:D481,"proMX",$F$5:F481,F482,$BD$5:BD481,1)=0,MAX($CE$5:CE481)+1,""),"")</f>
        <v/>
      </c>
      <c r="CF482" s="80" t="str">
        <f>IF(AND(D482="proMX",BD482=1),IF(OR(BF482="Draft",BF482="Submitted",BF482="Returned",BF482="Recall Requested"),MAX($CF$5:CF481)+1,""),"")</f>
        <v/>
      </c>
      <c r="CG482" s="80">
        <f>IF(BD482=0,0,IF(D482="Malcolm",1,MATCH(BF482,{"Draft","Submitted","Approved","Returned","Recall Requested","Cancelled"},0)+1))</f>
        <v>0</v>
      </c>
      <c r="CH482" s="80">
        <f>IF(AND(BF482="Submitted",ISNUMBER(V482)),IF(V482&gt;CFG_MAXD,1,0),0)</f>
        <v>0</v>
      </c>
    </row>
    <row r="483">
      <c r="A483" s="71" t="str">
        <f>IF(Y483=1,ROW()-5,"")</f>
        <v/>
      </c>
      <c r="B483" s="72" t="n"/>
      <c r="C483" s="71" t="str">
        <f>IF(ISNUMBER(B483),CHOOSE(WEEKDAY(B483,2),"Lun","Mar","Mié","Jue","Vie","Sáb","Dom"),"")</f>
        <v/>
      </c>
      <c r="D483" s="73" t="n"/>
      <c r="E483" s="74" t="n"/>
      <c r="F483" s="74" t="n"/>
      <c r="G483" s="74" t="n"/>
      <c r="H483" s="75" t="n"/>
      <c r="I483" s="75" t="n"/>
      <c r="J483" s="76" t="n"/>
      <c r="K483" s="77" t="str">
        <f>IF(AB483=1,ROUND(AG483/60,4),"")</f>
        <v/>
      </c>
      <c r="L483" s="77" t="str">
        <f>IF(BD483=1,ROUND(AP483/60,4),"")</f>
        <v/>
      </c>
      <c r="M483" s="77" t="str">
        <f>IF(BD483=1,ROUND(AQ483/60,4),"")</f>
        <v/>
      </c>
      <c r="N483" s="71" t="str">
        <f>IF(AND(D483="proMX",AB483=1),ROUND(AG483/CFG_BLK,2),"")</f>
        <v/>
      </c>
      <c r="O483" s="77" t="str">
        <f>IF(D483="proMX",IF(BD483=1,ROUND(AG483/60,4),0),"")</f>
        <v/>
      </c>
      <c r="P483" s="78" t="str">
        <f>IF(Y483=0,"",IF(BD483=1,"OK",IF(D483="proMX","Revisar bloques: ","Revisar: ")&amp;BC483))</f>
        <v/>
      </c>
      <c r="Q483" s="78" t="str">
        <f>IF(NOT(ISNUMBER(B483)),"",IF(COUNTIFS(FER_F,INT(B483))&gt;0,"Feriado"&amp;IF(AH483=1," (laborable)"," (no laborable)"),IF(AH483=1,"Laborable",IF(WEEKDAY(B483,2)&gt;5,"Fin de semana","No laborable"))))</f>
        <v/>
      </c>
      <c r="R483" s="73" t="n"/>
      <c r="S483" s="72" t="n"/>
      <c r="T483" s="72" t="n"/>
      <c r="U483" s="74" t="n"/>
      <c r="V483" s="79" t="str">
        <f>IF(AND(D483="proMX",OR(R483="Submitted",R483="Recall Requested"),ISNUMBER(S483)),CFG_TODAY-INT(S483),"")</f>
        <v/>
      </c>
      <c r="W483" s="78" t="str">
        <f>IF(BD483=0,"",IF(BA483&gt;0,"⚠ Se superpone con un registro de la otra empresa",IF(D483="Malcolm",IF(COUNTA(R483,S483,T483)&gt;0,"Estado/fechas proMX se ignoran en Malcolm",""),IF(BF483="Cancelled","Cancelado: excluido de totales",IF(R483="","Sin estado: se trata como Draft",IF(BF483="Submitted",IF(ISNUMBER(V483),IF(V483&gt;CFG_MAXD,"⚠ "&amp;V483&amp;" días en Submitted (máx. "&amp;CFG_MAXD&amp;")",""),"Falta fecha de envío"),IF(BF483="Returned","⚠ Devuelto: corregir y reenviar",IF(BF483="Recall Requested","Retirada solicitada: pendiente",IF(AND(BF483="Approved",NOT(ISNUMBER(T483))),"Falta fecha de aprobación",IF(AND(ISNUMBER(S483),ISNUMBER(T483),T483&lt;S483),"Aprobación anterior al envío","")))))))))</f>
        <v/>
      </c>
      <c r="Y483" s="80">
        <f>IF(COUNTA(B483,D483,E483,F483,G483,H483,I483,J483,R483,S483,T483)&gt;0,1,0)</f>
        <v>0</v>
      </c>
      <c r="Z483" s="80" t="str">
        <f>IF(AND(ISNUMBER(H483),H483&gt;=0,H483&lt;1),ROUND(H483*1440,0),"")</f>
        <v/>
      </c>
      <c r="AA483" s="80" t="str">
        <f>IF(AND(ISNUMBER(I483),I483&gt;=0,I483&lt;1),ROUND(I483*1440,0),"")</f>
        <v/>
      </c>
      <c r="AB483" s="80">
        <f>IF(AND(ISNUMBER(B483),D483&lt;&gt;"",ISNUMBER(Z483),ISNUMBER(AA483)),IF(Z483=AA483,0,1),0)</f>
        <v>0</v>
      </c>
      <c r="AC483" s="80">
        <f>IF(AB483=1,IF(AA483&lt;Z483,1,0),0)</f>
        <v>0</v>
      </c>
      <c r="AD483" s="80">
        <f>IF(AB483=1,IF(AC483=1,1440-Z483+AA483,AA483-Z483),0)</f>
        <v>0</v>
      </c>
      <c r="AE483" s="80">
        <f>IF(J483="",0,IF(ISNUMBER(J483),J483,-1))</f>
        <v>0</v>
      </c>
      <c r="AF483" s="80">
        <f>MIN(MAX(0,AE483),AD483)</f>
        <v>0</v>
      </c>
      <c r="AG483" s="80">
        <f>MAX(0,AD483-MAX(0,AE483))</f>
        <v>0</v>
      </c>
      <c r="AH483" s="80">
        <f>IF(ISNUMBER(B483),IF(AND(INDEX(CFG_WDAYS,WEEKDAY(INT(B483),2))="Sí",IF(D483="proMX",COUNTIFS(FER_F,INT(B483),FER_NLP,"Sí"),COUNTIFS(FER_F,INT(B483),FER_NLM,"Sí"))=0),1,0),0)</f>
        <v>0</v>
      </c>
      <c r="AI483" s="80">
        <f>IF(AC483=1,IF(AND(INDEX(CFG_WDAYS,WEEKDAY(INT(B483)+1,2))="Sí",IF(D483="proMX",COUNTIFS(FER_F,INT(B483)+1,FER_NLP,"Sí"),COUNTIFS(FER_F,INT(B483)+1,FER_NLM,"Sí"))=0),1,0),0)</f>
        <v>0</v>
      </c>
      <c r="AJ483" s="80">
        <f>IF(AC483=1,1440-Z483,AD483)</f>
        <v>0</v>
      </c>
      <c r="AK483" s="80">
        <f>IF(AND(AB483=1,AH483=1),MAX(0,MIN(IF(AC483=1,1440,AA483),CFG_WEM)-MAX(Z483,CFG_WSM)),0)</f>
        <v>0</v>
      </c>
      <c r="AL483" s="80">
        <f>IF(AND(AC483=1,AI483=1),MAX(0,MIN(AA483,CFG_WEM)-CFG_WSM),0)</f>
        <v>0</v>
      </c>
      <c r="AM483" s="80">
        <f>AK483+AL483</f>
        <v>0</v>
      </c>
      <c r="AN483" s="80">
        <f>IF(CFG_BRK="Proporcional",IF(AD483=0,0,AF483*AM483/AD483),IF(CFG_BRK="Extras primero",MIN(AM483,MAX(0,AF483-(AD483-AM483))),MIN(AF483,AM483)))</f>
        <v>0</v>
      </c>
      <c r="AO483" s="80">
        <f>AF483-AN483</f>
        <v>0</v>
      </c>
      <c r="AP483" s="80">
        <f>AM483-AN483</f>
        <v>0</v>
      </c>
      <c r="AQ483" s="80">
        <f>AD483-AM483-AO483</f>
        <v>0</v>
      </c>
      <c r="AR483" s="80">
        <f>IF(AM483=0,0,AK483-AN483*AK483/AM483)</f>
        <v>0</v>
      </c>
      <c r="AS483" s="80">
        <f>IF(AD483-AM483=0,0,(AJ483-AK483)-AO483*(AJ483-AK483)/(AD483-AM483))</f>
        <v>0</v>
      </c>
      <c r="AT483" s="80" t="str">
        <f>IF(AC483=1,INT(B483)+1,"")</f>
        <v/>
      </c>
      <c r="AU483" s="80">
        <f>IF(AND(D483="proMX",R483="Cancelled"),0,1)</f>
        <v>1</v>
      </c>
      <c r="AV483" s="80">
        <f>IF(AND(AB483=1,AU483=1),IF(COUNTIFS($D$5:D482,D483,$B$5:B482,B483,$Z$5:Z482,Z483,$AA$5:AA482,AA483,$F$5:F482,F483&amp;"",$AU$5:AU482,1)&gt;0,1,0),0)</f>
        <v>0</v>
      </c>
      <c r="AW483" s="80" t="str">
        <f>IF(AB483=1,INT(B483)*1440+Z483,"")</f>
        <v/>
      </c>
      <c r="AX483" s="80" t="str">
        <f>IF(AB483=1,AW483+AD483,"")</f>
        <v/>
      </c>
      <c r="AY483" s="80">
        <f>IF(AND(AB483=1,AV483=0,AU483=1),1,0)</f>
        <v>0</v>
      </c>
      <c r="AZ483" s="80">
        <f>IF(AY483=1,COUNTIFS(R_Emp,D483,R_SAbs,"&lt;"&amp;AX483,R_EAbs,"&gt;"&amp;AW483,R_OKey,1)-1,0)</f>
        <v>0</v>
      </c>
      <c r="BA483" s="80">
        <f>IF(AY483=1,COUNTIFS(R_Emp,"&lt;&gt;"&amp;D483,R_SAbs,"&lt;"&amp;AX483,R_EAbs,"&gt;"&amp;AW483,R_OKey,1),0)</f>
        <v>0</v>
      </c>
      <c r="BB483" s="80">
        <f>IF(AND(AB483=1,D483="proMX"),IF(AND(MOD(Z483,CFG_BLK)=0,MOD(AA483,CFG_BLK)=0,MOD(AG483,CFG_BLK)=0,AG483&gt;0),1,0),1)</f>
        <v>1</v>
      </c>
      <c r="BC483" s="80" t="str">
        <f>IF(Y483=0,"",IF(NOT(ISNUMBER(B483)),"Falta fecha o fecha inválida",IF(D483="","Falta empresa",IF(AND(D483&lt;&gt;"Malcolm",D483&lt;&gt;"proMX"),"Empresa inválida",IF(OR(INT(B483)&lt;CFG_PSTART,INT(B483)&gt;CFG_PEND),"Fecha fuera del período",IF(OR(NOT(ISNUMBER(Z483)),NOT(ISNUMBER(AA483))),"Falta hora inicio/fin o formato inválido",IF(AB483=0,"Hora inicio = hora fin",IF(AE483&lt;0,"Descanso inválido",IF(AE483&gt;=AD483,"Descanso ≥ duración",IF(AV483=1,"Registro duplicado",IF(AZ483&gt;0,"Se superpone con otro registro "&amp;D483,IF(BB483=0,"inicio, fin y duración neta deben ser múltiplos de "&amp;CFG_BLK&amp;" min",""))))))))))))</f>
        <v/>
      </c>
      <c r="BD483" s="80">
        <f>IF(AND(Y483=1,BC483=""),1,0)</f>
        <v>0</v>
      </c>
      <c r="BE483" s="80">
        <f>IF(AND(BD483=1,AU483=1),1,0)</f>
        <v>0</v>
      </c>
      <c r="BF483" s="80" t="str">
        <f>IF(AND(D483="proMX",BD483=1),IF(R483="","Draft",R483),"")</f>
        <v/>
      </c>
      <c r="BG483" s="80">
        <f>IF(BD483=1,ROUND(AG483/60,6),0)</f>
        <v>0</v>
      </c>
      <c r="BH483" s="80">
        <f>IF(BE483=1,ROUND(AG483/60,6),0)</f>
        <v>0</v>
      </c>
      <c r="BI483" s="80">
        <f>IF(BE483=1,ROUND(AP483/60,6),0)</f>
        <v>0</v>
      </c>
      <c r="BJ483" s="80">
        <f>IF(BE483=1,ROUND(AQ483/60,6),0)</f>
        <v>0</v>
      </c>
      <c r="BK483" s="80">
        <f>IF(BE483=1,ROUND((AR483+AS483)/60,6),0)</f>
        <v>0</v>
      </c>
      <c r="BL483" s="80">
        <f>ROUND(BH483-BK483,6)</f>
        <v>0</v>
      </c>
      <c r="BM483" s="80">
        <f>IF(BE483=1,ROUND(AR483/60,6),0)</f>
        <v>0</v>
      </c>
      <c r="BN483" s="80">
        <f>ROUND(BI483-BM483,6)</f>
        <v>0</v>
      </c>
      <c r="BO483" s="80">
        <f>IF(BE483=1,ROUND(AS483/60,6),0)</f>
        <v>0</v>
      </c>
      <c r="BP483" s="80">
        <f>ROUND(BJ483-BO483,6)</f>
        <v>0</v>
      </c>
      <c r="BQ483" s="80">
        <f>IF(BE483=1,AW483,0)</f>
        <v>0</v>
      </c>
      <c r="BR483" s="80">
        <f>IF(BE483=1,AX483,0)</f>
        <v>0</v>
      </c>
      <c r="BS483" s="80">
        <f>IF(AND(BE483=1,D483="Malcolm",BA483&gt;0),MIN(BH483,SUMPRODUCT((R_Emp="proMX")*(R_EN&gt;0)*((R_EN-(R_EN&gt;BR483)*(R_EN-BR483))&gt;(R_SN+(R_SN&lt;BQ483)*(BQ483-R_SN)))*((R_EN-(R_EN&gt;BR483)*(R_EN-BR483))-(R_SN+(R_SN&lt;BQ483)*(BQ483-R_SN))))/60),0)</f>
        <v>0</v>
      </c>
      <c r="BT483" s="80">
        <f>IF(AND(BE483=1,D483="proMX"),ROUND(BI483*CFG_RATE+BJ483*CFG_OTRATE,6),0)</f>
        <v>0</v>
      </c>
      <c r="BU483" s="80">
        <f>IF(AND(BD483=1,D483="proMX"),ROUND(AG483/CFG_BLK,6),0)</f>
        <v>0</v>
      </c>
      <c r="BV483" s="80" t="str">
        <f>IF(BF483="Approved",IF(ISNUMBER(T483),INT(T483),INT(B483)),"")</f>
        <v/>
      </c>
      <c r="BW483" s="80">
        <f>IF(ISNUMBER(B483),IF(DB_MON="Todos",1,IF(AND(INT(B483)&gt;=DB_MS,INT(B483)&lt;=DB_ME),1,0)),0)</f>
        <v>0</v>
      </c>
      <c r="BX483" s="80">
        <f>IF(DB_PROJ="Todos",1,IF(E483&amp;""=DB_PROJ&amp;"",1,0))</f>
        <v>1</v>
      </c>
      <c r="BY483" s="80">
        <f>BW483*BX483</f>
        <v>0</v>
      </c>
      <c r="BZ483" s="80" t="str">
        <f>IF(Y483=1,F483&amp;IF(AND(F483&amp;""&lt;&gt;"",E483&amp;""&lt;&gt;"")," · ","")&amp;E483,"")</f>
        <v/>
      </c>
      <c r="CA483" s="80" t="str">
        <f>IF(AND(BD483=1,E483&amp;""&lt;&gt;""),IF(COUNTIFS($E$5:E482,E483,$BD$5:BD482,1)=0,MAX($CA$5:CA482)+1,""),"")</f>
        <v/>
      </c>
      <c r="CB483" s="80" t="str">
        <f>IF(AND(BE483=1,D483="Malcolm",E483&amp;""&lt;&gt;""),IF(COUNTIFS($D$5:D482,"Malcolm",$E$5:E482,E483,$BE$5:BE482,1)=0,MAX($CB$5:CB482)+1,""),"")</f>
        <v/>
      </c>
      <c r="CC483" s="80" t="str">
        <f>IF(AND(BD483=1,D483="proMX",E483&amp;""&lt;&gt;""),IF(COUNTIFS($D$5:D482,"proMX",$E$5:E482,E483,$BD$5:BD482,1)=0,MAX($CC$5:CC482)+1,""),"")</f>
        <v/>
      </c>
      <c r="CD483" s="80" t="str">
        <f>IF(AND(BE483=1,D483="Malcolm",F483&amp;""&lt;&gt;""),IF(COUNTIFS($D$5:D482,"Malcolm",$F$5:F482,F483,$BE$5:BE482,1)=0,MAX($CD$5:CD482)+1,""),"")</f>
        <v/>
      </c>
      <c r="CE483" s="80" t="str">
        <f>IF(AND(BD483=1,D483="proMX",F483&amp;""&lt;&gt;""),IF(COUNTIFS($D$5:D482,"proMX",$F$5:F482,F483,$BD$5:BD482,1)=0,MAX($CE$5:CE482)+1,""),"")</f>
        <v/>
      </c>
      <c r="CF483" s="80" t="str">
        <f>IF(AND(D483="proMX",BD483=1),IF(OR(BF483="Draft",BF483="Submitted",BF483="Returned",BF483="Recall Requested"),MAX($CF$5:CF482)+1,""),"")</f>
        <v/>
      </c>
      <c r="CG483" s="80">
        <f>IF(BD483=0,0,IF(D483="Malcolm",1,MATCH(BF483,{"Draft","Submitted","Approved","Returned","Recall Requested","Cancelled"},0)+1))</f>
        <v>0</v>
      </c>
      <c r="CH483" s="80">
        <f>IF(AND(BF483="Submitted",ISNUMBER(V483)),IF(V483&gt;CFG_MAXD,1,0),0)</f>
        <v>0</v>
      </c>
    </row>
    <row r="484">
      <c r="A484" s="71" t="str">
        <f>IF(Y484=1,ROW()-5,"")</f>
        <v/>
      </c>
      <c r="B484" s="72" t="n"/>
      <c r="C484" s="71" t="str">
        <f>IF(ISNUMBER(B484),CHOOSE(WEEKDAY(B484,2),"Lun","Mar","Mié","Jue","Vie","Sáb","Dom"),"")</f>
        <v/>
      </c>
      <c r="D484" s="73" t="n"/>
      <c r="E484" s="74" t="n"/>
      <c r="F484" s="74" t="n"/>
      <c r="G484" s="74" t="n"/>
      <c r="H484" s="75" t="n"/>
      <c r="I484" s="75" t="n"/>
      <c r="J484" s="76" t="n"/>
      <c r="K484" s="77" t="str">
        <f>IF(AB484=1,ROUND(AG484/60,4),"")</f>
        <v/>
      </c>
      <c r="L484" s="77" t="str">
        <f>IF(BD484=1,ROUND(AP484/60,4),"")</f>
        <v/>
      </c>
      <c r="M484" s="77" t="str">
        <f>IF(BD484=1,ROUND(AQ484/60,4),"")</f>
        <v/>
      </c>
      <c r="N484" s="71" t="str">
        <f>IF(AND(D484="proMX",AB484=1),ROUND(AG484/CFG_BLK,2),"")</f>
        <v/>
      </c>
      <c r="O484" s="77" t="str">
        <f>IF(D484="proMX",IF(BD484=1,ROUND(AG484/60,4),0),"")</f>
        <v/>
      </c>
      <c r="P484" s="78" t="str">
        <f>IF(Y484=0,"",IF(BD484=1,"OK",IF(D484="proMX","Revisar bloques: ","Revisar: ")&amp;BC484))</f>
        <v/>
      </c>
      <c r="Q484" s="78" t="str">
        <f>IF(NOT(ISNUMBER(B484)),"",IF(COUNTIFS(FER_F,INT(B484))&gt;0,"Feriado"&amp;IF(AH484=1," (laborable)"," (no laborable)"),IF(AH484=1,"Laborable",IF(WEEKDAY(B484,2)&gt;5,"Fin de semana","No laborable"))))</f>
        <v/>
      </c>
      <c r="R484" s="73" t="n"/>
      <c r="S484" s="72" t="n"/>
      <c r="T484" s="72" t="n"/>
      <c r="U484" s="74" t="n"/>
      <c r="V484" s="79" t="str">
        <f>IF(AND(D484="proMX",OR(R484="Submitted",R484="Recall Requested"),ISNUMBER(S484)),CFG_TODAY-INT(S484),"")</f>
        <v/>
      </c>
      <c r="W484" s="78" t="str">
        <f>IF(BD484=0,"",IF(BA484&gt;0,"⚠ Se superpone con un registro de la otra empresa",IF(D484="Malcolm",IF(COUNTA(R484,S484,T484)&gt;0,"Estado/fechas proMX se ignoran en Malcolm",""),IF(BF484="Cancelled","Cancelado: excluido de totales",IF(R484="","Sin estado: se trata como Draft",IF(BF484="Submitted",IF(ISNUMBER(V484),IF(V484&gt;CFG_MAXD,"⚠ "&amp;V484&amp;" días en Submitted (máx. "&amp;CFG_MAXD&amp;")",""),"Falta fecha de envío"),IF(BF484="Returned","⚠ Devuelto: corregir y reenviar",IF(BF484="Recall Requested","Retirada solicitada: pendiente",IF(AND(BF484="Approved",NOT(ISNUMBER(T484))),"Falta fecha de aprobación",IF(AND(ISNUMBER(S484),ISNUMBER(T484),T484&lt;S484),"Aprobación anterior al envío","")))))))))</f>
        <v/>
      </c>
      <c r="Y484" s="80">
        <f>IF(COUNTA(B484,D484,E484,F484,G484,H484,I484,J484,R484,S484,T484)&gt;0,1,0)</f>
        <v>0</v>
      </c>
      <c r="Z484" s="80" t="str">
        <f>IF(AND(ISNUMBER(H484),H484&gt;=0,H484&lt;1),ROUND(H484*1440,0),"")</f>
        <v/>
      </c>
      <c r="AA484" s="80" t="str">
        <f>IF(AND(ISNUMBER(I484),I484&gt;=0,I484&lt;1),ROUND(I484*1440,0),"")</f>
        <v/>
      </c>
      <c r="AB484" s="80">
        <f>IF(AND(ISNUMBER(B484),D484&lt;&gt;"",ISNUMBER(Z484),ISNUMBER(AA484)),IF(Z484=AA484,0,1),0)</f>
        <v>0</v>
      </c>
      <c r="AC484" s="80">
        <f>IF(AB484=1,IF(AA484&lt;Z484,1,0),0)</f>
        <v>0</v>
      </c>
      <c r="AD484" s="80">
        <f>IF(AB484=1,IF(AC484=1,1440-Z484+AA484,AA484-Z484),0)</f>
        <v>0</v>
      </c>
      <c r="AE484" s="80">
        <f>IF(J484="",0,IF(ISNUMBER(J484),J484,-1))</f>
        <v>0</v>
      </c>
      <c r="AF484" s="80">
        <f>MIN(MAX(0,AE484),AD484)</f>
        <v>0</v>
      </c>
      <c r="AG484" s="80">
        <f>MAX(0,AD484-MAX(0,AE484))</f>
        <v>0</v>
      </c>
      <c r="AH484" s="80">
        <f>IF(ISNUMBER(B484),IF(AND(INDEX(CFG_WDAYS,WEEKDAY(INT(B484),2))="Sí",IF(D484="proMX",COUNTIFS(FER_F,INT(B484),FER_NLP,"Sí"),COUNTIFS(FER_F,INT(B484),FER_NLM,"Sí"))=0),1,0),0)</f>
        <v>0</v>
      </c>
      <c r="AI484" s="80">
        <f>IF(AC484=1,IF(AND(INDEX(CFG_WDAYS,WEEKDAY(INT(B484)+1,2))="Sí",IF(D484="proMX",COUNTIFS(FER_F,INT(B484)+1,FER_NLP,"Sí"),COUNTIFS(FER_F,INT(B484)+1,FER_NLM,"Sí"))=0),1,0),0)</f>
        <v>0</v>
      </c>
      <c r="AJ484" s="80">
        <f>IF(AC484=1,1440-Z484,AD484)</f>
        <v>0</v>
      </c>
      <c r="AK484" s="80">
        <f>IF(AND(AB484=1,AH484=1),MAX(0,MIN(IF(AC484=1,1440,AA484),CFG_WEM)-MAX(Z484,CFG_WSM)),0)</f>
        <v>0</v>
      </c>
      <c r="AL484" s="80">
        <f>IF(AND(AC484=1,AI484=1),MAX(0,MIN(AA484,CFG_WEM)-CFG_WSM),0)</f>
        <v>0</v>
      </c>
      <c r="AM484" s="80">
        <f>AK484+AL484</f>
        <v>0</v>
      </c>
      <c r="AN484" s="80">
        <f>IF(CFG_BRK="Proporcional",IF(AD484=0,0,AF484*AM484/AD484),IF(CFG_BRK="Extras primero",MIN(AM484,MAX(0,AF484-(AD484-AM484))),MIN(AF484,AM484)))</f>
        <v>0</v>
      </c>
      <c r="AO484" s="80">
        <f>AF484-AN484</f>
        <v>0</v>
      </c>
      <c r="AP484" s="80">
        <f>AM484-AN484</f>
        <v>0</v>
      </c>
      <c r="AQ484" s="80">
        <f>AD484-AM484-AO484</f>
        <v>0</v>
      </c>
      <c r="AR484" s="80">
        <f>IF(AM484=0,0,AK484-AN484*AK484/AM484)</f>
        <v>0</v>
      </c>
      <c r="AS484" s="80">
        <f>IF(AD484-AM484=0,0,(AJ484-AK484)-AO484*(AJ484-AK484)/(AD484-AM484))</f>
        <v>0</v>
      </c>
      <c r="AT484" s="80" t="str">
        <f>IF(AC484=1,INT(B484)+1,"")</f>
        <v/>
      </c>
      <c r="AU484" s="80">
        <f>IF(AND(D484="proMX",R484="Cancelled"),0,1)</f>
        <v>1</v>
      </c>
      <c r="AV484" s="80">
        <f>IF(AND(AB484=1,AU484=1),IF(COUNTIFS($D$5:D483,D484,$B$5:B483,B484,$Z$5:Z483,Z484,$AA$5:AA483,AA484,$F$5:F483,F484&amp;"",$AU$5:AU483,1)&gt;0,1,0),0)</f>
        <v>0</v>
      </c>
      <c r="AW484" s="80" t="str">
        <f>IF(AB484=1,INT(B484)*1440+Z484,"")</f>
        <v/>
      </c>
      <c r="AX484" s="80" t="str">
        <f>IF(AB484=1,AW484+AD484,"")</f>
        <v/>
      </c>
      <c r="AY484" s="80">
        <f>IF(AND(AB484=1,AV484=0,AU484=1),1,0)</f>
        <v>0</v>
      </c>
      <c r="AZ484" s="80">
        <f>IF(AY484=1,COUNTIFS(R_Emp,D484,R_SAbs,"&lt;"&amp;AX484,R_EAbs,"&gt;"&amp;AW484,R_OKey,1)-1,0)</f>
        <v>0</v>
      </c>
      <c r="BA484" s="80">
        <f>IF(AY484=1,COUNTIFS(R_Emp,"&lt;&gt;"&amp;D484,R_SAbs,"&lt;"&amp;AX484,R_EAbs,"&gt;"&amp;AW484,R_OKey,1),0)</f>
        <v>0</v>
      </c>
      <c r="BB484" s="80">
        <f>IF(AND(AB484=1,D484="proMX"),IF(AND(MOD(Z484,CFG_BLK)=0,MOD(AA484,CFG_BLK)=0,MOD(AG484,CFG_BLK)=0,AG484&gt;0),1,0),1)</f>
        <v>1</v>
      </c>
      <c r="BC484" s="80" t="str">
        <f>IF(Y484=0,"",IF(NOT(ISNUMBER(B484)),"Falta fecha o fecha inválida",IF(D484="","Falta empresa",IF(AND(D484&lt;&gt;"Malcolm",D484&lt;&gt;"proMX"),"Empresa inválida",IF(OR(INT(B484)&lt;CFG_PSTART,INT(B484)&gt;CFG_PEND),"Fecha fuera del período",IF(OR(NOT(ISNUMBER(Z484)),NOT(ISNUMBER(AA484))),"Falta hora inicio/fin o formato inválido",IF(AB484=0,"Hora inicio = hora fin",IF(AE484&lt;0,"Descanso inválido",IF(AE484&gt;=AD484,"Descanso ≥ duración",IF(AV484=1,"Registro duplicado",IF(AZ484&gt;0,"Se superpone con otro registro "&amp;D484,IF(BB484=0,"inicio, fin y duración neta deben ser múltiplos de "&amp;CFG_BLK&amp;" min",""))))))))))))</f>
        <v/>
      </c>
      <c r="BD484" s="80">
        <f>IF(AND(Y484=1,BC484=""),1,0)</f>
        <v>0</v>
      </c>
      <c r="BE484" s="80">
        <f>IF(AND(BD484=1,AU484=1),1,0)</f>
        <v>0</v>
      </c>
      <c r="BF484" s="80" t="str">
        <f>IF(AND(D484="proMX",BD484=1),IF(R484="","Draft",R484),"")</f>
        <v/>
      </c>
      <c r="BG484" s="80">
        <f>IF(BD484=1,ROUND(AG484/60,6),0)</f>
        <v>0</v>
      </c>
      <c r="BH484" s="80">
        <f>IF(BE484=1,ROUND(AG484/60,6),0)</f>
        <v>0</v>
      </c>
      <c r="BI484" s="80">
        <f>IF(BE484=1,ROUND(AP484/60,6),0)</f>
        <v>0</v>
      </c>
      <c r="BJ484" s="80">
        <f>IF(BE484=1,ROUND(AQ484/60,6),0)</f>
        <v>0</v>
      </c>
      <c r="BK484" s="80">
        <f>IF(BE484=1,ROUND((AR484+AS484)/60,6),0)</f>
        <v>0</v>
      </c>
      <c r="BL484" s="80">
        <f>ROUND(BH484-BK484,6)</f>
        <v>0</v>
      </c>
      <c r="BM484" s="80">
        <f>IF(BE484=1,ROUND(AR484/60,6),0)</f>
        <v>0</v>
      </c>
      <c r="BN484" s="80">
        <f>ROUND(BI484-BM484,6)</f>
        <v>0</v>
      </c>
      <c r="BO484" s="80">
        <f>IF(BE484=1,ROUND(AS484/60,6),0)</f>
        <v>0</v>
      </c>
      <c r="BP484" s="80">
        <f>ROUND(BJ484-BO484,6)</f>
        <v>0</v>
      </c>
      <c r="BQ484" s="80">
        <f>IF(BE484=1,AW484,0)</f>
        <v>0</v>
      </c>
      <c r="BR484" s="80">
        <f>IF(BE484=1,AX484,0)</f>
        <v>0</v>
      </c>
      <c r="BS484" s="80">
        <f>IF(AND(BE484=1,D484="Malcolm",BA484&gt;0),MIN(BH484,SUMPRODUCT((R_Emp="proMX")*(R_EN&gt;0)*((R_EN-(R_EN&gt;BR484)*(R_EN-BR484))&gt;(R_SN+(R_SN&lt;BQ484)*(BQ484-R_SN)))*((R_EN-(R_EN&gt;BR484)*(R_EN-BR484))-(R_SN+(R_SN&lt;BQ484)*(BQ484-R_SN))))/60),0)</f>
        <v>0</v>
      </c>
      <c r="BT484" s="80">
        <f>IF(AND(BE484=1,D484="proMX"),ROUND(BI484*CFG_RATE+BJ484*CFG_OTRATE,6),0)</f>
        <v>0</v>
      </c>
      <c r="BU484" s="80">
        <f>IF(AND(BD484=1,D484="proMX"),ROUND(AG484/CFG_BLK,6),0)</f>
        <v>0</v>
      </c>
      <c r="BV484" s="80" t="str">
        <f>IF(BF484="Approved",IF(ISNUMBER(T484),INT(T484),INT(B484)),"")</f>
        <v/>
      </c>
      <c r="BW484" s="80">
        <f>IF(ISNUMBER(B484),IF(DB_MON="Todos",1,IF(AND(INT(B484)&gt;=DB_MS,INT(B484)&lt;=DB_ME),1,0)),0)</f>
        <v>0</v>
      </c>
      <c r="BX484" s="80">
        <f>IF(DB_PROJ="Todos",1,IF(E484&amp;""=DB_PROJ&amp;"",1,0))</f>
        <v>1</v>
      </c>
      <c r="BY484" s="80">
        <f>BW484*BX484</f>
        <v>0</v>
      </c>
      <c r="BZ484" s="80" t="str">
        <f>IF(Y484=1,F484&amp;IF(AND(F484&amp;""&lt;&gt;"",E484&amp;""&lt;&gt;"")," · ","")&amp;E484,"")</f>
        <v/>
      </c>
      <c r="CA484" s="80" t="str">
        <f>IF(AND(BD484=1,E484&amp;""&lt;&gt;""),IF(COUNTIFS($E$5:E483,E484,$BD$5:BD483,1)=0,MAX($CA$5:CA483)+1,""),"")</f>
        <v/>
      </c>
      <c r="CB484" s="80" t="str">
        <f>IF(AND(BE484=1,D484="Malcolm",E484&amp;""&lt;&gt;""),IF(COUNTIFS($D$5:D483,"Malcolm",$E$5:E483,E484,$BE$5:BE483,1)=0,MAX($CB$5:CB483)+1,""),"")</f>
        <v/>
      </c>
      <c r="CC484" s="80" t="str">
        <f>IF(AND(BD484=1,D484="proMX",E484&amp;""&lt;&gt;""),IF(COUNTIFS($D$5:D483,"proMX",$E$5:E483,E484,$BD$5:BD483,1)=0,MAX($CC$5:CC483)+1,""),"")</f>
        <v/>
      </c>
      <c r="CD484" s="80" t="str">
        <f>IF(AND(BE484=1,D484="Malcolm",F484&amp;""&lt;&gt;""),IF(COUNTIFS($D$5:D483,"Malcolm",$F$5:F483,F484,$BE$5:BE483,1)=0,MAX($CD$5:CD483)+1,""),"")</f>
        <v/>
      </c>
      <c r="CE484" s="80" t="str">
        <f>IF(AND(BD484=1,D484="proMX",F484&amp;""&lt;&gt;""),IF(COUNTIFS($D$5:D483,"proMX",$F$5:F483,F484,$BD$5:BD483,1)=0,MAX($CE$5:CE483)+1,""),"")</f>
        <v/>
      </c>
      <c r="CF484" s="80" t="str">
        <f>IF(AND(D484="proMX",BD484=1),IF(OR(BF484="Draft",BF484="Submitted",BF484="Returned",BF484="Recall Requested"),MAX($CF$5:CF483)+1,""),"")</f>
        <v/>
      </c>
      <c r="CG484" s="80">
        <f>IF(BD484=0,0,IF(D484="Malcolm",1,MATCH(BF484,{"Draft","Submitted","Approved","Returned","Recall Requested","Cancelled"},0)+1))</f>
        <v>0</v>
      </c>
      <c r="CH484" s="80">
        <f>IF(AND(BF484="Submitted",ISNUMBER(V484)),IF(V484&gt;CFG_MAXD,1,0),0)</f>
        <v>0</v>
      </c>
    </row>
    <row r="485">
      <c r="A485" s="71" t="str">
        <f>IF(Y485=1,ROW()-5,"")</f>
        <v/>
      </c>
      <c r="B485" s="72" t="n"/>
      <c r="C485" s="71" t="str">
        <f>IF(ISNUMBER(B485),CHOOSE(WEEKDAY(B485,2),"Lun","Mar","Mié","Jue","Vie","Sáb","Dom"),"")</f>
        <v/>
      </c>
      <c r="D485" s="73" t="n"/>
      <c r="E485" s="74" t="n"/>
      <c r="F485" s="74" t="n"/>
      <c r="G485" s="74" t="n"/>
      <c r="H485" s="75" t="n"/>
      <c r="I485" s="75" t="n"/>
      <c r="J485" s="76" t="n"/>
      <c r="K485" s="77" t="str">
        <f>IF(AB485=1,ROUND(AG485/60,4),"")</f>
        <v/>
      </c>
      <c r="L485" s="77" t="str">
        <f>IF(BD485=1,ROUND(AP485/60,4),"")</f>
        <v/>
      </c>
      <c r="M485" s="77" t="str">
        <f>IF(BD485=1,ROUND(AQ485/60,4),"")</f>
        <v/>
      </c>
      <c r="N485" s="71" t="str">
        <f>IF(AND(D485="proMX",AB485=1),ROUND(AG485/CFG_BLK,2),"")</f>
        <v/>
      </c>
      <c r="O485" s="77" t="str">
        <f>IF(D485="proMX",IF(BD485=1,ROUND(AG485/60,4),0),"")</f>
        <v/>
      </c>
      <c r="P485" s="78" t="str">
        <f>IF(Y485=0,"",IF(BD485=1,"OK",IF(D485="proMX","Revisar bloques: ","Revisar: ")&amp;BC485))</f>
        <v/>
      </c>
      <c r="Q485" s="78" t="str">
        <f>IF(NOT(ISNUMBER(B485)),"",IF(COUNTIFS(FER_F,INT(B485))&gt;0,"Feriado"&amp;IF(AH485=1," (laborable)"," (no laborable)"),IF(AH485=1,"Laborable",IF(WEEKDAY(B485,2)&gt;5,"Fin de semana","No laborable"))))</f>
        <v/>
      </c>
      <c r="R485" s="73" t="n"/>
      <c r="S485" s="72" t="n"/>
      <c r="T485" s="72" t="n"/>
      <c r="U485" s="74" t="n"/>
      <c r="V485" s="79" t="str">
        <f>IF(AND(D485="proMX",OR(R485="Submitted",R485="Recall Requested"),ISNUMBER(S485)),CFG_TODAY-INT(S485),"")</f>
        <v/>
      </c>
      <c r="W485" s="78" t="str">
        <f>IF(BD485=0,"",IF(BA485&gt;0,"⚠ Se superpone con un registro de la otra empresa",IF(D485="Malcolm",IF(COUNTA(R485,S485,T485)&gt;0,"Estado/fechas proMX se ignoran en Malcolm",""),IF(BF485="Cancelled","Cancelado: excluido de totales",IF(R485="","Sin estado: se trata como Draft",IF(BF485="Submitted",IF(ISNUMBER(V485),IF(V485&gt;CFG_MAXD,"⚠ "&amp;V485&amp;" días en Submitted (máx. "&amp;CFG_MAXD&amp;")",""),"Falta fecha de envío"),IF(BF485="Returned","⚠ Devuelto: corregir y reenviar",IF(BF485="Recall Requested","Retirada solicitada: pendiente",IF(AND(BF485="Approved",NOT(ISNUMBER(T485))),"Falta fecha de aprobación",IF(AND(ISNUMBER(S485),ISNUMBER(T485),T485&lt;S485),"Aprobación anterior al envío","")))))))))</f>
        <v/>
      </c>
      <c r="Y485" s="80">
        <f>IF(COUNTA(B485,D485,E485,F485,G485,H485,I485,J485,R485,S485,T485)&gt;0,1,0)</f>
        <v>0</v>
      </c>
      <c r="Z485" s="80" t="str">
        <f>IF(AND(ISNUMBER(H485),H485&gt;=0,H485&lt;1),ROUND(H485*1440,0),"")</f>
        <v/>
      </c>
      <c r="AA485" s="80" t="str">
        <f>IF(AND(ISNUMBER(I485),I485&gt;=0,I485&lt;1),ROUND(I485*1440,0),"")</f>
        <v/>
      </c>
      <c r="AB485" s="80">
        <f>IF(AND(ISNUMBER(B485),D485&lt;&gt;"",ISNUMBER(Z485),ISNUMBER(AA485)),IF(Z485=AA485,0,1),0)</f>
        <v>0</v>
      </c>
      <c r="AC485" s="80">
        <f>IF(AB485=1,IF(AA485&lt;Z485,1,0),0)</f>
        <v>0</v>
      </c>
      <c r="AD485" s="80">
        <f>IF(AB485=1,IF(AC485=1,1440-Z485+AA485,AA485-Z485),0)</f>
        <v>0</v>
      </c>
      <c r="AE485" s="80">
        <f>IF(J485="",0,IF(ISNUMBER(J485),J485,-1))</f>
        <v>0</v>
      </c>
      <c r="AF485" s="80">
        <f>MIN(MAX(0,AE485),AD485)</f>
        <v>0</v>
      </c>
      <c r="AG485" s="80">
        <f>MAX(0,AD485-MAX(0,AE485))</f>
        <v>0</v>
      </c>
      <c r="AH485" s="80">
        <f>IF(ISNUMBER(B485),IF(AND(INDEX(CFG_WDAYS,WEEKDAY(INT(B485),2))="Sí",IF(D485="proMX",COUNTIFS(FER_F,INT(B485),FER_NLP,"Sí"),COUNTIFS(FER_F,INT(B485),FER_NLM,"Sí"))=0),1,0),0)</f>
        <v>0</v>
      </c>
      <c r="AI485" s="80">
        <f>IF(AC485=1,IF(AND(INDEX(CFG_WDAYS,WEEKDAY(INT(B485)+1,2))="Sí",IF(D485="proMX",COUNTIFS(FER_F,INT(B485)+1,FER_NLP,"Sí"),COUNTIFS(FER_F,INT(B485)+1,FER_NLM,"Sí"))=0),1,0),0)</f>
        <v>0</v>
      </c>
      <c r="AJ485" s="80">
        <f>IF(AC485=1,1440-Z485,AD485)</f>
        <v>0</v>
      </c>
      <c r="AK485" s="80">
        <f>IF(AND(AB485=1,AH485=1),MAX(0,MIN(IF(AC485=1,1440,AA485),CFG_WEM)-MAX(Z485,CFG_WSM)),0)</f>
        <v>0</v>
      </c>
      <c r="AL485" s="80">
        <f>IF(AND(AC485=1,AI485=1),MAX(0,MIN(AA485,CFG_WEM)-CFG_WSM),0)</f>
        <v>0</v>
      </c>
      <c r="AM485" s="80">
        <f>AK485+AL485</f>
        <v>0</v>
      </c>
      <c r="AN485" s="80">
        <f>IF(CFG_BRK="Proporcional",IF(AD485=0,0,AF485*AM485/AD485),IF(CFG_BRK="Extras primero",MIN(AM485,MAX(0,AF485-(AD485-AM485))),MIN(AF485,AM485)))</f>
        <v>0</v>
      </c>
      <c r="AO485" s="80">
        <f>AF485-AN485</f>
        <v>0</v>
      </c>
      <c r="AP485" s="80">
        <f>AM485-AN485</f>
        <v>0</v>
      </c>
      <c r="AQ485" s="80">
        <f>AD485-AM485-AO485</f>
        <v>0</v>
      </c>
      <c r="AR485" s="80">
        <f>IF(AM485=0,0,AK485-AN485*AK485/AM485)</f>
        <v>0</v>
      </c>
      <c r="AS485" s="80">
        <f>IF(AD485-AM485=0,0,(AJ485-AK485)-AO485*(AJ485-AK485)/(AD485-AM485))</f>
        <v>0</v>
      </c>
      <c r="AT485" s="80" t="str">
        <f>IF(AC485=1,INT(B485)+1,"")</f>
        <v/>
      </c>
      <c r="AU485" s="80">
        <f>IF(AND(D485="proMX",R485="Cancelled"),0,1)</f>
        <v>1</v>
      </c>
      <c r="AV485" s="80">
        <f>IF(AND(AB485=1,AU485=1),IF(COUNTIFS($D$5:D484,D485,$B$5:B484,B485,$Z$5:Z484,Z485,$AA$5:AA484,AA485,$F$5:F484,F485&amp;"",$AU$5:AU484,1)&gt;0,1,0),0)</f>
        <v>0</v>
      </c>
      <c r="AW485" s="80" t="str">
        <f>IF(AB485=1,INT(B485)*1440+Z485,"")</f>
        <v/>
      </c>
      <c r="AX485" s="80" t="str">
        <f>IF(AB485=1,AW485+AD485,"")</f>
        <v/>
      </c>
      <c r="AY485" s="80">
        <f>IF(AND(AB485=1,AV485=0,AU485=1),1,0)</f>
        <v>0</v>
      </c>
      <c r="AZ485" s="80">
        <f>IF(AY485=1,COUNTIFS(R_Emp,D485,R_SAbs,"&lt;"&amp;AX485,R_EAbs,"&gt;"&amp;AW485,R_OKey,1)-1,0)</f>
        <v>0</v>
      </c>
      <c r="BA485" s="80">
        <f>IF(AY485=1,COUNTIFS(R_Emp,"&lt;&gt;"&amp;D485,R_SAbs,"&lt;"&amp;AX485,R_EAbs,"&gt;"&amp;AW485,R_OKey,1),0)</f>
        <v>0</v>
      </c>
      <c r="BB485" s="80">
        <f>IF(AND(AB485=1,D485="proMX"),IF(AND(MOD(Z485,CFG_BLK)=0,MOD(AA485,CFG_BLK)=0,MOD(AG485,CFG_BLK)=0,AG485&gt;0),1,0),1)</f>
        <v>1</v>
      </c>
      <c r="BC485" s="80" t="str">
        <f>IF(Y485=0,"",IF(NOT(ISNUMBER(B485)),"Falta fecha o fecha inválida",IF(D485="","Falta empresa",IF(AND(D485&lt;&gt;"Malcolm",D485&lt;&gt;"proMX"),"Empresa inválida",IF(OR(INT(B485)&lt;CFG_PSTART,INT(B485)&gt;CFG_PEND),"Fecha fuera del período",IF(OR(NOT(ISNUMBER(Z485)),NOT(ISNUMBER(AA485))),"Falta hora inicio/fin o formato inválido",IF(AB485=0,"Hora inicio = hora fin",IF(AE485&lt;0,"Descanso inválido",IF(AE485&gt;=AD485,"Descanso ≥ duración",IF(AV485=1,"Registro duplicado",IF(AZ485&gt;0,"Se superpone con otro registro "&amp;D485,IF(BB485=0,"inicio, fin y duración neta deben ser múltiplos de "&amp;CFG_BLK&amp;" min",""))))))))))))</f>
        <v/>
      </c>
      <c r="BD485" s="80">
        <f>IF(AND(Y485=1,BC485=""),1,0)</f>
        <v>0</v>
      </c>
      <c r="BE485" s="80">
        <f>IF(AND(BD485=1,AU485=1),1,0)</f>
        <v>0</v>
      </c>
      <c r="BF485" s="80" t="str">
        <f>IF(AND(D485="proMX",BD485=1),IF(R485="","Draft",R485),"")</f>
        <v/>
      </c>
      <c r="BG485" s="80">
        <f>IF(BD485=1,ROUND(AG485/60,6),0)</f>
        <v>0</v>
      </c>
      <c r="BH485" s="80">
        <f>IF(BE485=1,ROUND(AG485/60,6),0)</f>
        <v>0</v>
      </c>
      <c r="BI485" s="80">
        <f>IF(BE485=1,ROUND(AP485/60,6),0)</f>
        <v>0</v>
      </c>
      <c r="BJ485" s="80">
        <f>IF(BE485=1,ROUND(AQ485/60,6),0)</f>
        <v>0</v>
      </c>
      <c r="BK485" s="80">
        <f>IF(BE485=1,ROUND((AR485+AS485)/60,6),0)</f>
        <v>0</v>
      </c>
      <c r="BL485" s="80">
        <f>ROUND(BH485-BK485,6)</f>
        <v>0</v>
      </c>
      <c r="BM485" s="80">
        <f>IF(BE485=1,ROUND(AR485/60,6),0)</f>
        <v>0</v>
      </c>
      <c r="BN485" s="80">
        <f>ROUND(BI485-BM485,6)</f>
        <v>0</v>
      </c>
      <c r="BO485" s="80">
        <f>IF(BE485=1,ROUND(AS485/60,6),0)</f>
        <v>0</v>
      </c>
      <c r="BP485" s="80">
        <f>ROUND(BJ485-BO485,6)</f>
        <v>0</v>
      </c>
      <c r="BQ485" s="80">
        <f>IF(BE485=1,AW485,0)</f>
        <v>0</v>
      </c>
      <c r="BR485" s="80">
        <f>IF(BE485=1,AX485,0)</f>
        <v>0</v>
      </c>
      <c r="BS485" s="80">
        <f>IF(AND(BE485=1,D485="Malcolm",BA485&gt;0),MIN(BH485,SUMPRODUCT((R_Emp="proMX")*(R_EN&gt;0)*((R_EN-(R_EN&gt;BR485)*(R_EN-BR485))&gt;(R_SN+(R_SN&lt;BQ485)*(BQ485-R_SN)))*((R_EN-(R_EN&gt;BR485)*(R_EN-BR485))-(R_SN+(R_SN&lt;BQ485)*(BQ485-R_SN))))/60),0)</f>
        <v>0</v>
      </c>
      <c r="BT485" s="80">
        <f>IF(AND(BE485=1,D485="proMX"),ROUND(BI485*CFG_RATE+BJ485*CFG_OTRATE,6),0)</f>
        <v>0</v>
      </c>
      <c r="BU485" s="80">
        <f>IF(AND(BD485=1,D485="proMX"),ROUND(AG485/CFG_BLK,6),0)</f>
        <v>0</v>
      </c>
      <c r="BV485" s="80" t="str">
        <f>IF(BF485="Approved",IF(ISNUMBER(T485),INT(T485),INT(B485)),"")</f>
        <v/>
      </c>
      <c r="BW485" s="80">
        <f>IF(ISNUMBER(B485),IF(DB_MON="Todos",1,IF(AND(INT(B485)&gt;=DB_MS,INT(B485)&lt;=DB_ME),1,0)),0)</f>
        <v>0</v>
      </c>
      <c r="BX485" s="80">
        <f>IF(DB_PROJ="Todos",1,IF(E485&amp;""=DB_PROJ&amp;"",1,0))</f>
        <v>1</v>
      </c>
      <c r="BY485" s="80">
        <f>BW485*BX485</f>
        <v>0</v>
      </c>
      <c r="BZ485" s="80" t="str">
        <f>IF(Y485=1,F485&amp;IF(AND(F485&amp;""&lt;&gt;"",E485&amp;""&lt;&gt;"")," · ","")&amp;E485,"")</f>
        <v/>
      </c>
      <c r="CA485" s="80" t="str">
        <f>IF(AND(BD485=1,E485&amp;""&lt;&gt;""),IF(COUNTIFS($E$5:E484,E485,$BD$5:BD484,1)=0,MAX($CA$5:CA484)+1,""),"")</f>
        <v/>
      </c>
      <c r="CB485" s="80" t="str">
        <f>IF(AND(BE485=1,D485="Malcolm",E485&amp;""&lt;&gt;""),IF(COUNTIFS($D$5:D484,"Malcolm",$E$5:E484,E485,$BE$5:BE484,1)=0,MAX($CB$5:CB484)+1,""),"")</f>
        <v/>
      </c>
      <c r="CC485" s="80" t="str">
        <f>IF(AND(BD485=1,D485="proMX",E485&amp;""&lt;&gt;""),IF(COUNTIFS($D$5:D484,"proMX",$E$5:E484,E485,$BD$5:BD484,1)=0,MAX($CC$5:CC484)+1,""),"")</f>
        <v/>
      </c>
      <c r="CD485" s="80" t="str">
        <f>IF(AND(BE485=1,D485="Malcolm",F485&amp;""&lt;&gt;""),IF(COUNTIFS($D$5:D484,"Malcolm",$F$5:F484,F485,$BE$5:BE484,1)=0,MAX($CD$5:CD484)+1,""),"")</f>
        <v/>
      </c>
      <c r="CE485" s="80" t="str">
        <f>IF(AND(BD485=1,D485="proMX",F485&amp;""&lt;&gt;""),IF(COUNTIFS($D$5:D484,"proMX",$F$5:F484,F485,$BD$5:BD484,1)=0,MAX($CE$5:CE484)+1,""),"")</f>
        <v/>
      </c>
      <c r="CF485" s="80" t="str">
        <f>IF(AND(D485="proMX",BD485=1),IF(OR(BF485="Draft",BF485="Submitted",BF485="Returned",BF485="Recall Requested"),MAX($CF$5:CF484)+1,""),"")</f>
        <v/>
      </c>
      <c r="CG485" s="80">
        <f>IF(BD485=0,0,IF(D485="Malcolm",1,MATCH(BF485,{"Draft","Submitted","Approved","Returned","Recall Requested","Cancelled"},0)+1))</f>
        <v>0</v>
      </c>
      <c r="CH485" s="80">
        <f>IF(AND(BF485="Submitted",ISNUMBER(V485)),IF(V485&gt;CFG_MAXD,1,0),0)</f>
        <v>0</v>
      </c>
    </row>
    <row r="486">
      <c r="A486" s="71" t="str">
        <f>IF(Y486=1,ROW()-5,"")</f>
        <v/>
      </c>
      <c r="B486" s="72" t="n"/>
      <c r="C486" s="71" t="str">
        <f>IF(ISNUMBER(B486),CHOOSE(WEEKDAY(B486,2),"Lun","Mar","Mié","Jue","Vie","Sáb","Dom"),"")</f>
        <v/>
      </c>
      <c r="D486" s="73" t="n"/>
      <c r="E486" s="74" t="n"/>
      <c r="F486" s="74" t="n"/>
      <c r="G486" s="74" t="n"/>
      <c r="H486" s="75" t="n"/>
      <c r="I486" s="75" t="n"/>
      <c r="J486" s="76" t="n"/>
      <c r="K486" s="77" t="str">
        <f>IF(AB486=1,ROUND(AG486/60,4),"")</f>
        <v/>
      </c>
      <c r="L486" s="77" t="str">
        <f>IF(BD486=1,ROUND(AP486/60,4),"")</f>
        <v/>
      </c>
      <c r="M486" s="77" t="str">
        <f>IF(BD486=1,ROUND(AQ486/60,4),"")</f>
        <v/>
      </c>
      <c r="N486" s="71" t="str">
        <f>IF(AND(D486="proMX",AB486=1),ROUND(AG486/CFG_BLK,2),"")</f>
        <v/>
      </c>
      <c r="O486" s="77" t="str">
        <f>IF(D486="proMX",IF(BD486=1,ROUND(AG486/60,4),0),"")</f>
        <v/>
      </c>
      <c r="P486" s="78" t="str">
        <f>IF(Y486=0,"",IF(BD486=1,"OK",IF(D486="proMX","Revisar bloques: ","Revisar: ")&amp;BC486))</f>
        <v/>
      </c>
      <c r="Q486" s="78" t="str">
        <f>IF(NOT(ISNUMBER(B486)),"",IF(COUNTIFS(FER_F,INT(B486))&gt;0,"Feriado"&amp;IF(AH486=1," (laborable)"," (no laborable)"),IF(AH486=1,"Laborable",IF(WEEKDAY(B486,2)&gt;5,"Fin de semana","No laborable"))))</f>
        <v/>
      </c>
      <c r="R486" s="73" t="n"/>
      <c r="S486" s="72" t="n"/>
      <c r="T486" s="72" t="n"/>
      <c r="U486" s="74" t="n"/>
      <c r="V486" s="79" t="str">
        <f>IF(AND(D486="proMX",OR(R486="Submitted",R486="Recall Requested"),ISNUMBER(S486)),CFG_TODAY-INT(S486),"")</f>
        <v/>
      </c>
      <c r="W486" s="78" t="str">
        <f>IF(BD486=0,"",IF(BA486&gt;0,"⚠ Se superpone con un registro de la otra empresa",IF(D486="Malcolm",IF(COUNTA(R486,S486,T486)&gt;0,"Estado/fechas proMX se ignoran en Malcolm",""),IF(BF486="Cancelled","Cancelado: excluido de totales",IF(R486="","Sin estado: se trata como Draft",IF(BF486="Submitted",IF(ISNUMBER(V486),IF(V486&gt;CFG_MAXD,"⚠ "&amp;V486&amp;" días en Submitted (máx. "&amp;CFG_MAXD&amp;")",""),"Falta fecha de envío"),IF(BF486="Returned","⚠ Devuelto: corregir y reenviar",IF(BF486="Recall Requested","Retirada solicitada: pendiente",IF(AND(BF486="Approved",NOT(ISNUMBER(T486))),"Falta fecha de aprobación",IF(AND(ISNUMBER(S486),ISNUMBER(T486),T486&lt;S486),"Aprobación anterior al envío","")))))))))</f>
        <v/>
      </c>
      <c r="Y486" s="80">
        <f>IF(COUNTA(B486,D486,E486,F486,G486,H486,I486,J486,R486,S486,T486)&gt;0,1,0)</f>
        <v>0</v>
      </c>
      <c r="Z486" s="80" t="str">
        <f>IF(AND(ISNUMBER(H486),H486&gt;=0,H486&lt;1),ROUND(H486*1440,0),"")</f>
        <v/>
      </c>
      <c r="AA486" s="80" t="str">
        <f>IF(AND(ISNUMBER(I486),I486&gt;=0,I486&lt;1),ROUND(I486*1440,0),"")</f>
        <v/>
      </c>
      <c r="AB486" s="80">
        <f>IF(AND(ISNUMBER(B486),D486&lt;&gt;"",ISNUMBER(Z486),ISNUMBER(AA486)),IF(Z486=AA486,0,1),0)</f>
        <v>0</v>
      </c>
      <c r="AC486" s="80">
        <f>IF(AB486=1,IF(AA486&lt;Z486,1,0),0)</f>
        <v>0</v>
      </c>
      <c r="AD486" s="80">
        <f>IF(AB486=1,IF(AC486=1,1440-Z486+AA486,AA486-Z486),0)</f>
        <v>0</v>
      </c>
      <c r="AE486" s="80">
        <f>IF(J486="",0,IF(ISNUMBER(J486),J486,-1))</f>
        <v>0</v>
      </c>
      <c r="AF486" s="80">
        <f>MIN(MAX(0,AE486),AD486)</f>
        <v>0</v>
      </c>
      <c r="AG486" s="80">
        <f>MAX(0,AD486-MAX(0,AE486))</f>
        <v>0</v>
      </c>
      <c r="AH486" s="80">
        <f>IF(ISNUMBER(B486),IF(AND(INDEX(CFG_WDAYS,WEEKDAY(INT(B486),2))="Sí",IF(D486="proMX",COUNTIFS(FER_F,INT(B486),FER_NLP,"Sí"),COUNTIFS(FER_F,INT(B486),FER_NLM,"Sí"))=0),1,0),0)</f>
        <v>0</v>
      </c>
      <c r="AI486" s="80">
        <f>IF(AC486=1,IF(AND(INDEX(CFG_WDAYS,WEEKDAY(INT(B486)+1,2))="Sí",IF(D486="proMX",COUNTIFS(FER_F,INT(B486)+1,FER_NLP,"Sí"),COUNTIFS(FER_F,INT(B486)+1,FER_NLM,"Sí"))=0),1,0),0)</f>
        <v>0</v>
      </c>
      <c r="AJ486" s="80">
        <f>IF(AC486=1,1440-Z486,AD486)</f>
        <v>0</v>
      </c>
      <c r="AK486" s="80">
        <f>IF(AND(AB486=1,AH486=1),MAX(0,MIN(IF(AC486=1,1440,AA486),CFG_WEM)-MAX(Z486,CFG_WSM)),0)</f>
        <v>0</v>
      </c>
      <c r="AL486" s="80">
        <f>IF(AND(AC486=1,AI486=1),MAX(0,MIN(AA486,CFG_WEM)-CFG_WSM),0)</f>
        <v>0</v>
      </c>
      <c r="AM486" s="80">
        <f>AK486+AL486</f>
        <v>0</v>
      </c>
      <c r="AN486" s="80">
        <f>IF(CFG_BRK="Proporcional",IF(AD486=0,0,AF486*AM486/AD486),IF(CFG_BRK="Extras primero",MIN(AM486,MAX(0,AF486-(AD486-AM486))),MIN(AF486,AM486)))</f>
        <v>0</v>
      </c>
      <c r="AO486" s="80">
        <f>AF486-AN486</f>
        <v>0</v>
      </c>
      <c r="AP486" s="80">
        <f>AM486-AN486</f>
        <v>0</v>
      </c>
      <c r="AQ486" s="80">
        <f>AD486-AM486-AO486</f>
        <v>0</v>
      </c>
      <c r="AR486" s="80">
        <f>IF(AM486=0,0,AK486-AN486*AK486/AM486)</f>
        <v>0</v>
      </c>
      <c r="AS486" s="80">
        <f>IF(AD486-AM486=0,0,(AJ486-AK486)-AO486*(AJ486-AK486)/(AD486-AM486))</f>
        <v>0</v>
      </c>
      <c r="AT486" s="80" t="str">
        <f>IF(AC486=1,INT(B486)+1,"")</f>
        <v/>
      </c>
      <c r="AU486" s="80">
        <f>IF(AND(D486="proMX",R486="Cancelled"),0,1)</f>
        <v>1</v>
      </c>
      <c r="AV486" s="80">
        <f>IF(AND(AB486=1,AU486=1),IF(COUNTIFS($D$5:D485,D486,$B$5:B485,B486,$Z$5:Z485,Z486,$AA$5:AA485,AA486,$F$5:F485,F486&amp;"",$AU$5:AU485,1)&gt;0,1,0),0)</f>
        <v>0</v>
      </c>
      <c r="AW486" s="80" t="str">
        <f>IF(AB486=1,INT(B486)*1440+Z486,"")</f>
        <v/>
      </c>
      <c r="AX486" s="80" t="str">
        <f>IF(AB486=1,AW486+AD486,"")</f>
        <v/>
      </c>
      <c r="AY486" s="80">
        <f>IF(AND(AB486=1,AV486=0,AU486=1),1,0)</f>
        <v>0</v>
      </c>
      <c r="AZ486" s="80">
        <f>IF(AY486=1,COUNTIFS(R_Emp,D486,R_SAbs,"&lt;"&amp;AX486,R_EAbs,"&gt;"&amp;AW486,R_OKey,1)-1,0)</f>
        <v>0</v>
      </c>
      <c r="BA486" s="80">
        <f>IF(AY486=1,COUNTIFS(R_Emp,"&lt;&gt;"&amp;D486,R_SAbs,"&lt;"&amp;AX486,R_EAbs,"&gt;"&amp;AW486,R_OKey,1),0)</f>
        <v>0</v>
      </c>
      <c r="BB486" s="80">
        <f>IF(AND(AB486=1,D486="proMX"),IF(AND(MOD(Z486,CFG_BLK)=0,MOD(AA486,CFG_BLK)=0,MOD(AG486,CFG_BLK)=0,AG486&gt;0),1,0),1)</f>
        <v>1</v>
      </c>
      <c r="BC486" s="80" t="str">
        <f>IF(Y486=0,"",IF(NOT(ISNUMBER(B486)),"Falta fecha o fecha inválida",IF(D486="","Falta empresa",IF(AND(D486&lt;&gt;"Malcolm",D486&lt;&gt;"proMX"),"Empresa inválida",IF(OR(INT(B486)&lt;CFG_PSTART,INT(B486)&gt;CFG_PEND),"Fecha fuera del período",IF(OR(NOT(ISNUMBER(Z486)),NOT(ISNUMBER(AA486))),"Falta hora inicio/fin o formato inválido",IF(AB486=0,"Hora inicio = hora fin",IF(AE486&lt;0,"Descanso inválido",IF(AE486&gt;=AD486,"Descanso ≥ duración",IF(AV486=1,"Registro duplicado",IF(AZ486&gt;0,"Se superpone con otro registro "&amp;D486,IF(BB486=0,"inicio, fin y duración neta deben ser múltiplos de "&amp;CFG_BLK&amp;" min",""))))))))))))</f>
        <v/>
      </c>
      <c r="BD486" s="80">
        <f>IF(AND(Y486=1,BC486=""),1,0)</f>
        <v>0</v>
      </c>
      <c r="BE486" s="80">
        <f>IF(AND(BD486=1,AU486=1),1,0)</f>
        <v>0</v>
      </c>
      <c r="BF486" s="80" t="str">
        <f>IF(AND(D486="proMX",BD486=1),IF(R486="","Draft",R486),"")</f>
        <v/>
      </c>
      <c r="BG486" s="80">
        <f>IF(BD486=1,ROUND(AG486/60,6),0)</f>
        <v>0</v>
      </c>
      <c r="BH486" s="80">
        <f>IF(BE486=1,ROUND(AG486/60,6),0)</f>
        <v>0</v>
      </c>
      <c r="BI486" s="80">
        <f>IF(BE486=1,ROUND(AP486/60,6),0)</f>
        <v>0</v>
      </c>
      <c r="BJ486" s="80">
        <f>IF(BE486=1,ROUND(AQ486/60,6),0)</f>
        <v>0</v>
      </c>
      <c r="BK486" s="80">
        <f>IF(BE486=1,ROUND((AR486+AS486)/60,6),0)</f>
        <v>0</v>
      </c>
      <c r="BL486" s="80">
        <f>ROUND(BH486-BK486,6)</f>
        <v>0</v>
      </c>
      <c r="BM486" s="80">
        <f>IF(BE486=1,ROUND(AR486/60,6),0)</f>
        <v>0</v>
      </c>
      <c r="BN486" s="80">
        <f>ROUND(BI486-BM486,6)</f>
        <v>0</v>
      </c>
      <c r="BO486" s="80">
        <f>IF(BE486=1,ROUND(AS486/60,6),0)</f>
        <v>0</v>
      </c>
      <c r="BP486" s="80">
        <f>ROUND(BJ486-BO486,6)</f>
        <v>0</v>
      </c>
      <c r="BQ486" s="80">
        <f>IF(BE486=1,AW486,0)</f>
        <v>0</v>
      </c>
      <c r="BR486" s="80">
        <f>IF(BE486=1,AX486,0)</f>
        <v>0</v>
      </c>
      <c r="BS486" s="80">
        <f>IF(AND(BE486=1,D486="Malcolm",BA486&gt;0),MIN(BH486,SUMPRODUCT((R_Emp="proMX")*(R_EN&gt;0)*((R_EN-(R_EN&gt;BR486)*(R_EN-BR486))&gt;(R_SN+(R_SN&lt;BQ486)*(BQ486-R_SN)))*((R_EN-(R_EN&gt;BR486)*(R_EN-BR486))-(R_SN+(R_SN&lt;BQ486)*(BQ486-R_SN))))/60),0)</f>
        <v>0</v>
      </c>
      <c r="BT486" s="80">
        <f>IF(AND(BE486=1,D486="proMX"),ROUND(BI486*CFG_RATE+BJ486*CFG_OTRATE,6),0)</f>
        <v>0</v>
      </c>
      <c r="BU486" s="80">
        <f>IF(AND(BD486=1,D486="proMX"),ROUND(AG486/CFG_BLK,6),0)</f>
        <v>0</v>
      </c>
      <c r="BV486" s="80" t="str">
        <f>IF(BF486="Approved",IF(ISNUMBER(T486),INT(T486),INT(B486)),"")</f>
        <v/>
      </c>
      <c r="BW486" s="80">
        <f>IF(ISNUMBER(B486),IF(DB_MON="Todos",1,IF(AND(INT(B486)&gt;=DB_MS,INT(B486)&lt;=DB_ME),1,0)),0)</f>
        <v>0</v>
      </c>
      <c r="BX486" s="80">
        <f>IF(DB_PROJ="Todos",1,IF(E486&amp;""=DB_PROJ&amp;"",1,0))</f>
        <v>1</v>
      </c>
      <c r="BY486" s="80">
        <f>BW486*BX486</f>
        <v>0</v>
      </c>
      <c r="BZ486" s="80" t="str">
        <f>IF(Y486=1,F486&amp;IF(AND(F486&amp;""&lt;&gt;"",E486&amp;""&lt;&gt;"")," · ","")&amp;E486,"")</f>
        <v/>
      </c>
      <c r="CA486" s="80" t="str">
        <f>IF(AND(BD486=1,E486&amp;""&lt;&gt;""),IF(COUNTIFS($E$5:E485,E486,$BD$5:BD485,1)=0,MAX($CA$5:CA485)+1,""),"")</f>
        <v/>
      </c>
      <c r="CB486" s="80" t="str">
        <f>IF(AND(BE486=1,D486="Malcolm",E486&amp;""&lt;&gt;""),IF(COUNTIFS($D$5:D485,"Malcolm",$E$5:E485,E486,$BE$5:BE485,1)=0,MAX($CB$5:CB485)+1,""),"")</f>
        <v/>
      </c>
      <c r="CC486" s="80" t="str">
        <f>IF(AND(BD486=1,D486="proMX",E486&amp;""&lt;&gt;""),IF(COUNTIFS($D$5:D485,"proMX",$E$5:E485,E486,$BD$5:BD485,1)=0,MAX($CC$5:CC485)+1,""),"")</f>
        <v/>
      </c>
      <c r="CD486" s="80" t="str">
        <f>IF(AND(BE486=1,D486="Malcolm",F486&amp;""&lt;&gt;""),IF(COUNTIFS($D$5:D485,"Malcolm",$F$5:F485,F486,$BE$5:BE485,1)=0,MAX($CD$5:CD485)+1,""),"")</f>
        <v/>
      </c>
      <c r="CE486" s="80" t="str">
        <f>IF(AND(BD486=1,D486="proMX",F486&amp;""&lt;&gt;""),IF(COUNTIFS($D$5:D485,"proMX",$F$5:F485,F486,$BD$5:BD485,1)=0,MAX($CE$5:CE485)+1,""),"")</f>
        <v/>
      </c>
      <c r="CF486" s="80" t="str">
        <f>IF(AND(D486="proMX",BD486=1),IF(OR(BF486="Draft",BF486="Submitted",BF486="Returned",BF486="Recall Requested"),MAX($CF$5:CF485)+1,""),"")</f>
        <v/>
      </c>
      <c r="CG486" s="80">
        <f>IF(BD486=0,0,IF(D486="Malcolm",1,MATCH(BF486,{"Draft","Submitted","Approved","Returned","Recall Requested","Cancelled"},0)+1))</f>
        <v>0</v>
      </c>
      <c r="CH486" s="80">
        <f>IF(AND(BF486="Submitted",ISNUMBER(V486)),IF(V486&gt;CFG_MAXD,1,0),0)</f>
        <v>0</v>
      </c>
    </row>
    <row r="487">
      <c r="A487" s="71" t="str">
        <f>IF(Y487=1,ROW()-5,"")</f>
        <v/>
      </c>
      <c r="B487" s="72" t="n"/>
      <c r="C487" s="71" t="str">
        <f>IF(ISNUMBER(B487),CHOOSE(WEEKDAY(B487,2),"Lun","Mar","Mié","Jue","Vie","Sáb","Dom"),"")</f>
        <v/>
      </c>
      <c r="D487" s="73" t="n"/>
      <c r="E487" s="74" t="n"/>
      <c r="F487" s="74" t="n"/>
      <c r="G487" s="74" t="n"/>
      <c r="H487" s="75" t="n"/>
      <c r="I487" s="75" t="n"/>
      <c r="J487" s="76" t="n"/>
      <c r="K487" s="77" t="str">
        <f>IF(AB487=1,ROUND(AG487/60,4),"")</f>
        <v/>
      </c>
      <c r="L487" s="77" t="str">
        <f>IF(BD487=1,ROUND(AP487/60,4),"")</f>
        <v/>
      </c>
      <c r="M487" s="77" t="str">
        <f>IF(BD487=1,ROUND(AQ487/60,4),"")</f>
        <v/>
      </c>
      <c r="N487" s="71" t="str">
        <f>IF(AND(D487="proMX",AB487=1),ROUND(AG487/CFG_BLK,2),"")</f>
        <v/>
      </c>
      <c r="O487" s="77" t="str">
        <f>IF(D487="proMX",IF(BD487=1,ROUND(AG487/60,4),0),"")</f>
        <v/>
      </c>
      <c r="P487" s="78" t="str">
        <f>IF(Y487=0,"",IF(BD487=1,"OK",IF(D487="proMX","Revisar bloques: ","Revisar: ")&amp;BC487))</f>
        <v/>
      </c>
      <c r="Q487" s="78" t="str">
        <f>IF(NOT(ISNUMBER(B487)),"",IF(COUNTIFS(FER_F,INT(B487))&gt;0,"Feriado"&amp;IF(AH487=1," (laborable)"," (no laborable)"),IF(AH487=1,"Laborable",IF(WEEKDAY(B487,2)&gt;5,"Fin de semana","No laborable"))))</f>
        <v/>
      </c>
      <c r="R487" s="73" t="n"/>
      <c r="S487" s="72" t="n"/>
      <c r="T487" s="72" t="n"/>
      <c r="U487" s="74" t="n"/>
      <c r="V487" s="79" t="str">
        <f>IF(AND(D487="proMX",OR(R487="Submitted",R487="Recall Requested"),ISNUMBER(S487)),CFG_TODAY-INT(S487),"")</f>
        <v/>
      </c>
      <c r="W487" s="78" t="str">
        <f>IF(BD487=0,"",IF(BA487&gt;0,"⚠ Se superpone con un registro de la otra empresa",IF(D487="Malcolm",IF(COUNTA(R487,S487,T487)&gt;0,"Estado/fechas proMX se ignoran en Malcolm",""),IF(BF487="Cancelled","Cancelado: excluido de totales",IF(R487="","Sin estado: se trata como Draft",IF(BF487="Submitted",IF(ISNUMBER(V487),IF(V487&gt;CFG_MAXD,"⚠ "&amp;V487&amp;" días en Submitted (máx. "&amp;CFG_MAXD&amp;")",""),"Falta fecha de envío"),IF(BF487="Returned","⚠ Devuelto: corregir y reenviar",IF(BF487="Recall Requested","Retirada solicitada: pendiente",IF(AND(BF487="Approved",NOT(ISNUMBER(T487))),"Falta fecha de aprobación",IF(AND(ISNUMBER(S487),ISNUMBER(T487),T487&lt;S487),"Aprobación anterior al envío","")))))))))</f>
        <v/>
      </c>
      <c r="Y487" s="80">
        <f>IF(COUNTA(B487,D487,E487,F487,G487,H487,I487,J487,R487,S487,T487)&gt;0,1,0)</f>
        <v>0</v>
      </c>
      <c r="Z487" s="80" t="str">
        <f>IF(AND(ISNUMBER(H487),H487&gt;=0,H487&lt;1),ROUND(H487*1440,0),"")</f>
        <v/>
      </c>
      <c r="AA487" s="80" t="str">
        <f>IF(AND(ISNUMBER(I487),I487&gt;=0,I487&lt;1),ROUND(I487*1440,0),"")</f>
        <v/>
      </c>
      <c r="AB487" s="80">
        <f>IF(AND(ISNUMBER(B487),D487&lt;&gt;"",ISNUMBER(Z487),ISNUMBER(AA487)),IF(Z487=AA487,0,1),0)</f>
        <v>0</v>
      </c>
      <c r="AC487" s="80">
        <f>IF(AB487=1,IF(AA487&lt;Z487,1,0),0)</f>
        <v>0</v>
      </c>
      <c r="AD487" s="80">
        <f>IF(AB487=1,IF(AC487=1,1440-Z487+AA487,AA487-Z487),0)</f>
        <v>0</v>
      </c>
      <c r="AE487" s="80">
        <f>IF(J487="",0,IF(ISNUMBER(J487),J487,-1))</f>
        <v>0</v>
      </c>
      <c r="AF487" s="80">
        <f>MIN(MAX(0,AE487),AD487)</f>
        <v>0</v>
      </c>
      <c r="AG487" s="80">
        <f>MAX(0,AD487-MAX(0,AE487))</f>
        <v>0</v>
      </c>
      <c r="AH487" s="80">
        <f>IF(ISNUMBER(B487),IF(AND(INDEX(CFG_WDAYS,WEEKDAY(INT(B487),2))="Sí",IF(D487="proMX",COUNTIFS(FER_F,INT(B487),FER_NLP,"Sí"),COUNTIFS(FER_F,INT(B487),FER_NLM,"Sí"))=0),1,0),0)</f>
        <v>0</v>
      </c>
      <c r="AI487" s="80">
        <f>IF(AC487=1,IF(AND(INDEX(CFG_WDAYS,WEEKDAY(INT(B487)+1,2))="Sí",IF(D487="proMX",COUNTIFS(FER_F,INT(B487)+1,FER_NLP,"Sí"),COUNTIFS(FER_F,INT(B487)+1,FER_NLM,"Sí"))=0),1,0),0)</f>
        <v>0</v>
      </c>
      <c r="AJ487" s="80">
        <f>IF(AC487=1,1440-Z487,AD487)</f>
        <v>0</v>
      </c>
      <c r="AK487" s="80">
        <f>IF(AND(AB487=1,AH487=1),MAX(0,MIN(IF(AC487=1,1440,AA487),CFG_WEM)-MAX(Z487,CFG_WSM)),0)</f>
        <v>0</v>
      </c>
      <c r="AL487" s="80">
        <f>IF(AND(AC487=1,AI487=1),MAX(0,MIN(AA487,CFG_WEM)-CFG_WSM),0)</f>
        <v>0</v>
      </c>
      <c r="AM487" s="80">
        <f>AK487+AL487</f>
        <v>0</v>
      </c>
      <c r="AN487" s="80">
        <f>IF(CFG_BRK="Proporcional",IF(AD487=0,0,AF487*AM487/AD487),IF(CFG_BRK="Extras primero",MIN(AM487,MAX(0,AF487-(AD487-AM487))),MIN(AF487,AM487)))</f>
        <v>0</v>
      </c>
      <c r="AO487" s="80">
        <f>AF487-AN487</f>
        <v>0</v>
      </c>
      <c r="AP487" s="80">
        <f>AM487-AN487</f>
        <v>0</v>
      </c>
      <c r="AQ487" s="80">
        <f>AD487-AM487-AO487</f>
        <v>0</v>
      </c>
      <c r="AR487" s="80">
        <f>IF(AM487=0,0,AK487-AN487*AK487/AM487)</f>
        <v>0</v>
      </c>
      <c r="AS487" s="80">
        <f>IF(AD487-AM487=0,0,(AJ487-AK487)-AO487*(AJ487-AK487)/(AD487-AM487))</f>
        <v>0</v>
      </c>
      <c r="AT487" s="80" t="str">
        <f>IF(AC487=1,INT(B487)+1,"")</f>
        <v/>
      </c>
      <c r="AU487" s="80">
        <f>IF(AND(D487="proMX",R487="Cancelled"),0,1)</f>
        <v>1</v>
      </c>
      <c r="AV487" s="80">
        <f>IF(AND(AB487=1,AU487=1),IF(COUNTIFS($D$5:D486,D487,$B$5:B486,B487,$Z$5:Z486,Z487,$AA$5:AA486,AA487,$F$5:F486,F487&amp;"",$AU$5:AU486,1)&gt;0,1,0),0)</f>
        <v>0</v>
      </c>
      <c r="AW487" s="80" t="str">
        <f>IF(AB487=1,INT(B487)*1440+Z487,"")</f>
        <v/>
      </c>
      <c r="AX487" s="80" t="str">
        <f>IF(AB487=1,AW487+AD487,"")</f>
        <v/>
      </c>
      <c r="AY487" s="80">
        <f>IF(AND(AB487=1,AV487=0,AU487=1),1,0)</f>
        <v>0</v>
      </c>
      <c r="AZ487" s="80">
        <f>IF(AY487=1,COUNTIFS(R_Emp,D487,R_SAbs,"&lt;"&amp;AX487,R_EAbs,"&gt;"&amp;AW487,R_OKey,1)-1,0)</f>
        <v>0</v>
      </c>
      <c r="BA487" s="80">
        <f>IF(AY487=1,COUNTIFS(R_Emp,"&lt;&gt;"&amp;D487,R_SAbs,"&lt;"&amp;AX487,R_EAbs,"&gt;"&amp;AW487,R_OKey,1),0)</f>
        <v>0</v>
      </c>
      <c r="BB487" s="80">
        <f>IF(AND(AB487=1,D487="proMX"),IF(AND(MOD(Z487,CFG_BLK)=0,MOD(AA487,CFG_BLK)=0,MOD(AG487,CFG_BLK)=0,AG487&gt;0),1,0),1)</f>
        <v>1</v>
      </c>
      <c r="BC487" s="80" t="str">
        <f>IF(Y487=0,"",IF(NOT(ISNUMBER(B487)),"Falta fecha o fecha inválida",IF(D487="","Falta empresa",IF(AND(D487&lt;&gt;"Malcolm",D487&lt;&gt;"proMX"),"Empresa inválida",IF(OR(INT(B487)&lt;CFG_PSTART,INT(B487)&gt;CFG_PEND),"Fecha fuera del período",IF(OR(NOT(ISNUMBER(Z487)),NOT(ISNUMBER(AA487))),"Falta hora inicio/fin o formato inválido",IF(AB487=0,"Hora inicio = hora fin",IF(AE487&lt;0,"Descanso inválido",IF(AE487&gt;=AD487,"Descanso ≥ duración",IF(AV487=1,"Registro duplicado",IF(AZ487&gt;0,"Se superpone con otro registro "&amp;D487,IF(BB487=0,"inicio, fin y duración neta deben ser múltiplos de "&amp;CFG_BLK&amp;" min",""))))))))))))</f>
        <v/>
      </c>
      <c r="BD487" s="80">
        <f>IF(AND(Y487=1,BC487=""),1,0)</f>
        <v>0</v>
      </c>
      <c r="BE487" s="80">
        <f>IF(AND(BD487=1,AU487=1),1,0)</f>
        <v>0</v>
      </c>
      <c r="BF487" s="80" t="str">
        <f>IF(AND(D487="proMX",BD487=1),IF(R487="","Draft",R487),"")</f>
        <v/>
      </c>
      <c r="BG487" s="80">
        <f>IF(BD487=1,ROUND(AG487/60,6),0)</f>
        <v>0</v>
      </c>
      <c r="BH487" s="80">
        <f>IF(BE487=1,ROUND(AG487/60,6),0)</f>
        <v>0</v>
      </c>
      <c r="BI487" s="80">
        <f>IF(BE487=1,ROUND(AP487/60,6),0)</f>
        <v>0</v>
      </c>
      <c r="BJ487" s="80">
        <f>IF(BE487=1,ROUND(AQ487/60,6),0)</f>
        <v>0</v>
      </c>
      <c r="BK487" s="80">
        <f>IF(BE487=1,ROUND((AR487+AS487)/60,6),0)</f>
        <v>0</v>
      </c>
      <c r="BL487" s="80">
        <f>ROUND(BH487-BK487,6)</f>
        <v>0</v>
      </c>
      <c r="BM487" s="80">
        <f>IF(BE487=1,ROUND(AR487/60,6),0)</f>
        <v>0</v>
      </c>
      <c r="BN487" s="80">
        <f>ROUND(BI487-BM487,6)</f>
        <v>0</v>
      </c>
      <c r="BO487" s="80">
        <f>IF(BE487=1,ROUND(AS487/60,6),0)</f>
        <v>0</v>
      </c>
      <c r="BP487" s="80">
        <f>ROUND(BJ487-BO487,6)</f>
        <v>0</v>
      </c>
      <c r="BQ487" s="80">
        <f>IF(BE487=1,AW487,0)</f>
        <v>0</v>
      </c>
      <c r="BR487" s="80">
        <f>IF(BE487=1,AX487,0)</f>
        <v>0</v>
      </c>
      <c r="BS487" s="80">
        <f>IF(AND(BE487=1,D487="Malcolm",BA487&gt;0),MIN(BH487,SUMPRODUCT((R_Emp="proMX")*(R_EN&gt;0)*((R_EN-(R_EN&gt;BR487)*(R_EN-BR487))&gt;(R_SN+(R_SN&lt;BQ487)*(BQ487-R_SN)))*((R_EN-(R_EN&gt;BR487)*(R_EN-BR487))-(R_SN+(R_SN&lt;BQ487)*(BQ487-R_SN))))/60),0)</f>
        <v>0</v>
      </c>
      <c r="BT487" s="80">
        <f>IF(AND(BE487=1,D487="proMX"),ROUND(BI487*CFG_RATE+BJ487*CFG_OTRATE,6),0)</f>
        <v>0</v>
      </c>
      <c r="BU487" s="80">
        <f>IF(AND(BD487=1,D487="proMX"),ROUND(AG487/CFG_BLK,6),0)</f>
        <v>0</v>
      </c>
      <c r="BV487" s="80" t="str">
        <f>IF(BF487="Approved",IF(ISNUMBER(T487),INT(T487),INT(B487)),"")</f>
        <v/>
      </c>
      <c r="BW487" s="80">
        <f>IF(ISNUMBER(B487),IF(DB_MON="Todos",1,IF(AND(INT(B487)&gt;=DB_MS,INT(B487)&lt;=DB_ME),1,0)),0)</f>
        <v>0</v>
      </c>
      <c r="BX487" s="80">
        <f>IF(DB_PROJ="Todos",1,IF(E487&amp;""=DB_PROJ&amp;"",1,0))</f>
        <v>1</v>
      </c>
      <c r="BY487" s="80">
        <f>BW487*BX487</f>
        <v>0</v>
      </c>
      <c r="BZ487" s="80" t="str">
        <f>IF(Y487=1,F487&amp;IF(AND(F487&amp;""&lt;&gt;"",E487&amp;""&lt;&gt;"")," · ","")&amp;E487,"")</f>
        <v/>
      </c>
      <c r="CA487" s="80" t="str">
        <f>IF(AND(BD487=1,E487&amp;""&lt;&gt;""),IF(COUNTIFS($E$5:E486,E487,$BD$5:BD486,1)=0,MAX($CA$5:CA486)+1,""),"")</f>
        <v/>
      </c>
      <c r="CB487" s="80" t="str">
        <f>IF(AND(BE487=1,D487="Malcolm",E487&amp;""&lt;&gt;""),IF(COUNTIFS($D$5:D486,"Malcolm",$E$5:E486,E487,$BE$5:BE486,1)=0,MAX($CB$5:CB486)+1,""),"")</f>
        <v/>
      </c>
      <c r="CC487" s="80" t="str">
        <f>IF(AND(BD487=1,D487="proMX",E487&amp;""&lt;&gt;""),IF(COUNTIFS($D$5:D486,"proMX",$E$5:E486,E487,$BD$5:BD486,1)=0,MAX($CC$5:CC486)+1,""),"")</f>
        <v/>
      </c>
      <c r="CD487" s="80" t="str">
        <f>IF(AND(BE487=1,D487="Malcolm",F487&amp;""&lt;&gt;""),IF(COUNTIFS($D$5:D486,"Malcolm",$F$5:F486,F487,$BE$5:BE486,1)=0,MAX($CD$5:CD486)+1,""),"")</f>
        <v/>
      </c>
      <c r="CE487" s="80" t="str">
        <f>IF(AND(BD487=1,D487="proMX",F487&amp;""&lt;&gt;""),IF(COUNTIFS($D$5:D486,"proMX",$F$5:F486,F487,$BD$5:BD486,1)=0,MAX($CE$5:CE486)+1,""),"")</f>
        <v/>
      </c>
      <c r="CF487" s="80" t="str">
        <f>IF(AND(D487="proMX",BD487=1),IF(OR(BF487="Draft",BF487="Submitted",BF487="Returned",BF487="Recall Requested"),MAX($CF$5:CF486)+1,""),"")</f>
        <v/>
      </c>
      <c r="CG487" s="80">
        <f>IF(BD487=0,0,IF(D487="Malcolm",1,MATCH(BF487,{"Draft","Submitted","Approved","Returned","Recall Requested","Cancelled"},0)+1))</f>
        <v>0</v>
      </c>
      <c r="CH487" s="80">
        <f>IF(AND(BF487="Submitted",ISNUMBER(V487)),IF(V487&gt;CFG_MAXD,1,0),0)</f>
        <v>0</v>
      </c>
    </row>
    <row r="488">
      <c r="A488" s="71" t="str">
        <f>IF(Y488=1,ROW()-5,"")</f>
        <v/>
      </c>
      <c r="B488" s="72" t="n"/>
      <c r="C488" s="71" t="str">
        <f>IF(ISNUMBER(B488),CHOOSE(WEEKDAY(B488,2),"Lun","Mar","Mié","Jue","Vie","Sáb","Dom"),"")</f>
        <v/>
      </c>
      <c r="D488" s="73" t="n"/>
      <c r="E488" s="74" t="n"/>
      <c r="F488" s="74" t="n"/>
      <c r="G488" s="74" t="n"/>
      <c r="H488" s="75" t="n"/>
      <c r="I488" s="75" t="n"/>
      <c r="J488" s="76" t="n"/>
      <c r="K488" s="77" t="str">
        <f>IF(AB488=1,ROUND(AG488/60,4),"")</f>
        <v/>
      </c>
      <c r="L488" s="77" t="str">
        <f>IF(BD488=1,ROUND(AP488/60,4),"")</f>
        <v/>
      </c>
      <c r="M488" s="77" t="str">
        <f>IF(BD488=1,ROUND(AQ488/60,4),"")</f>
        <v/>
      </c>
      <c r="N488" s="71" t="str">
        <f>IF(AND(D488="proMX",AB488=1),ROUND(AG488/CFG_BLK,2),"")</f>
        <v/>
      </c>
      <c r="O488" s="77" t="str">
        <f>IF(D488="proMX",IF(BD488=1,ROUND(AG488/60,4),0),"")</f>
        <v/>
      </c>
      <c r="P488" s="78" t="str">
        <f>IF(Y488=0,"",IF(BD488=1,"OK",IF(D488="proMX","Revisar bloques: ","Revisar: ")&amp;BC488))</f>
        <v/>
      </c>
      <c r="Q488" s="78" t="str">
        <f>IF(NOT(ISNUMBER(B488)),"",IF(COUNTIFS(FER_F,INT(B488))&gt;0,"Feriado"&amp;IF(AH488=1," (laborable)"," (no laborable)"),IF(AH488=1,"Laborable",IF(WEEKDAY(B488,2)&gt;5,"Fin de semana","No laborable"))))</f>
        <v/>
      </c>
      <c r="R488" s="73" t="n"/>
      <c r="S488" s="72" t="n"/>
      <c r="T488" s="72" t="n"/>
      <c r="U488" s="74" t="n"/>
      <c r="V488" s="79" t="str">
        <f>IF(AND(D488="proMX",OR(R488="Submitted",R488="Recall Requested"),ISNUMBER(S488)),CFG_TODAY-INT(S488),"")</f>
        <v/>
      </c>
      <c r="W488" s="78" t="str">
        <f>IF(BD488=0,"",IF(BA488&gt;0,"⚠ Se superpone con un registro de la otra empresa",IF(D488="Malcolm",IF(COUNTA(R488,S488,T488)&gt;0,"Estado/fechas proMX se ignoran en Malcolm",""),IF(BF488="Cancelled","Cancelado: excluido de totales",IF(R488="","Sin estado: se trata como Draft",IF(BF488="Submitted",IF(ISNUMBER(V488),IF(V488&gt;CFG_MAXD,"⚠ "&amp;V488&amp;" días en Submitted (máx. "&amp;CFG_MAXD&amp;")",""),"Falta fecha de envío"),IF(BF488="Returned","⚠ Devuelto: corregir y reenviar",IF(BF488="Recall Requested","Retirada solicitada: pendiente",IF(AND(BF488="Approved",NOT(ISNUMBER(T488))),"Falta fecha de aprobación",IF(AND(ISNUMBER(S488),ISNUMBER(T488),T488&lt;S488),"Aprobación anterior al envío","")))))))))</f>
        <v/>
      </c>
      <c r="Y488" s="80">
        <f>IF(COUNTA(B488,D488,E488,F488,G488,H488,I488,J488,R488,S488,T488)&gt;0,1,0)</f>
        <v>0</v>
      </c>
      <c r="Z488" s="80" t="str">
        <f>IF(AND(ISNUMBER(H488),H488&gt;=0,H488&lt;1),ROUND(H488*1440,0),"")</f>
        <v/>
      </c>
      <c r="AA488" s="80" t="str">
        <f>IF(AND(ISNUMBER(I488),I488&gt;=0,I488&lt;1),ROUND(I488*1440,0),"")</f>
        <v/>
      </c>
      <c r="AB488" s="80">
        <f>IF(AND(ISNUMBER(B488),D488&lt;&gt;"",ISNUMBER(Z488),ISNUMBER(AA488)),IF(Z488=AA488,0,1),0)</f>
        <v>0</v>
      </c>
      <c r="AC488" s="80">
        <f>IF(AB488=1,IF(AA488&lt;Z488,1,0),0)</f>
        <v>0</v>
      </c>
      <c r="AD488" s="80">
        <f>IF(AB488=1,IF(AC488=1,1440-Z488+AA488,AA488-Z488),0)</f>
        <v>0</v>
      </c>
      <c r="AE488" s="80">
        <f>IF(J488="",0,IF(ISNUMBER(J488),J488,-1))</f>
        <v>0</v>
      </c>
      <c r="AF488" s="80">
        <f>MIN(MAX(0,AE488),AD488)</f>
        <v>0</v>
      </c>
      <c r="AG488" s="80">
        <f>MAX(0,AD488-MAX(0,AE488))</f>
        <v>0</v>
      </c>
      <c r="AH488" s="80">
        <f>IF(ISNUMBER(B488),IF(AND(INDEX(CFG_WDAYS,WEEKDAY(INT(B488),2))="Sí",IF(D488="proMX",COUNTIFS(FER_F,INT(B488),FER_NLP,"Sí"),COUNTIFS(FER_F,INT(B488),FER_NLM,"Sí"))=0),1,0),0)</f>
        <v>0</v>
      </c>
      <c r="AI488" s="80">
        <f>IF(AC488=1,IF(AND(INDEX(CFG_WDAYS,WEEKDAY(INT(B488)+1,2))="Sí",IF(D488="proMX",COUNTIFS(FER_F,INT(B488)+1,FER_NLP,"Sí"),COUNTIFS(FER_F,INT(B488)+1,FER_NLM,"Sí"))=0),1,0),0)</f>
        <v>0</v>
      </c>
      <c r="AJ488" s="80">
        <f>IF(AC488=1,1440-Z488,AD488)</f>
        <v>0</v>
      </c>
      <c r="AK488" s="80">
        <f>IF(AND(AB488=1,AH488=1),MAX(0,MIN(IF(AC488=1,1440,AA488),CFG_WEM)-MAX(Z488,CFG_WSM)),0)</f>
        <v>0</v>
      </c>
      <c r="AL488" s="80">
        <f>IF(AND(AC488=1,AI488=1),MAX(0,MIN(AA488,CFG_WEM)-CFG_WSM),0)</f>
        <v>0</v>
      </c>
      <c r="AM488" s="80">
        <f>AK488+AL488</f>
        <v>0</v>
      </c>
      <c r="AN488" s="80">
        <f>IF(CFG_BRK="Proporcional",IF(AD488=0,0,AF488*AM488/AD488),IF(CFG_BRK="Extras primero",MIN(AM488,MAX(0,AF488-(AD488-AM488))),MIN(AF488,AM488)))</f>
        <v>0</v>
      </c>
      <c r="AO488" s="80">
        <f>AF488-AN488</f>
        <v>0</v>
      </c>
      <c r="AP488" s="80">
        <f>AM488-AN488</f>
        <v>0</v>
      </c>
      <c r="AQ488" s="80">
        <f>AD488-AM488-AO488</f>
        <v>0</v>
      </c>
      <c r="AR488" s="80">
        <f>IF(AM488=0,0,AK488-AN488*AK488/AM488)</f>
        <v>0</v>
      </c>
      <c r="AS488" s="80">
        <f>IF(AD488-AM488=0,0,(AJ488-AK488)-AO488*(AJ488-AK488)/(AD488-AM488))</f>
        <v>0</v>
      </c>
      <c r="AT488" s="80" t="str">
        <f>IF(AC488=1,INT(B488)+1,"")</f>
        <v/>
      </c>
      <c r="AU488" s="80">
        <f>IF(AND(D488="proMX",R488="Cancelled"),0,1)</f>
        <v>1</v>
      </c>
      <c r="AV488" s="80">
        <f>IF(AND(AB488=1,AU488=1),IF(COUNTIFS($D$5:D487,D488,$B$5:B487,B488,$Z$5:Z487,Z488,$AA$5:AA487,AA488,$F$5:F487,F488&amp;"",$AU$5:AU487,1)&gt;0,1,0),0)</f>
        <v>0</v>
      </c>
      <c r="AW488" s="80" t="str">
        <f>IF(AB488=1,INT(B488)*1440+Z488,"")</f>
        <v/>
      </c>
      <c r="AX488" s="80" t="str">
        <f>IF(AB488=1,AW488+AD488,"")</f>
        <v/>
      </c>
      <c r="AY488" s="80">
        <f>IF(AND(AB488=1,AV488=0,AU488=1),1,0)</f>
        <v>0</v>
      </c>
      <c r="AZ488" s="80">
        <f>IF(AY488=1,COUNTIFS(R_Emp,D488,R_SAbs,"&lt;"&amp;AX488,R_EAbs,"&gt;"&amp;AW488,R_OKey,1)-1,0)</f>
        <v>0</v>
      </c>
      <c r="BA488" s="80">
        <f>IF(AY488=1,COUNTIFS(R_Emp,"&lt;&gt;"&amp;D488,R_SAbs,"&lt;"&amp;AX488,R_EAbs,"&gt;"&amp;AW488,R_OKey,1),0)</f>
        <v>0</v>
      </c>
      <c r="BB488" s="80">
        <f>IF(AND(AB488=1,D488="proMX"),IF(AND(MOD(Z488,CFG_BLK)=0,MOD(AA488,CFG_BLK)=0,MOD(AG488,CFG_BLK)=0,AG488&gt;0),1,0),1)</f>
        <v>1</v>
      </c>
      <c r="BC488" s="80" t="str">
        <f>IF(Y488=0,"",IF(NOT(ISNUMBER(B488)),"Falta fecha o fecha inválida",IF(D488="","Falta empresa",IF(AND(D488&lt;&gt;"Malcolm",D488&lt;&gt;"proMX"),"Empresa inválida",IF(OR(INT(B488)&lt;CFG_PSTART,INT(B488)&gt;CFG_PEND),"Fecha fuera del período",IF(OR(NOT(ISNUMBER(Z488)),NOT(ISNUMBER(AA488))),"Falta hora inicio/fin o formato inválido",IF(AB488=0,"Hora inicio = hora fin",IF(AE488&lt;0,"Descanso inválido",IF(AE488&gt;=AD488,"Descanso ≥ duración",IF(AV488=1,"Registro duplicado",IF(AZ488&gt;0,"Se superpone con otro registro "&amp;D488,IF(BB488=0,"inicio, fin y duración neta deben ser múltiplos de "&amp;CFG_BLK&amp;" min",""))))))))))))</f>
        <v/>
      </c>
      <c r="BD488" s="80">
        <f>IF(AND(Y488=1,BC488=""),1,0)</f>
        <v>0</v>
      </c>
      <c r="BE488" s="80">
        <f>IF(AND(BD488=1,AU488=1),1,0)</f>
        <v>0</v>
      </c>
      <c r="BF488" s="80" t="str">
        <f>IF(AND(D488="proMX",BD488=1),IF(R488="","Draft",R488),"")</f>
        <v/>
      </c>
      <c r="BG488" s="80">
        <f>IF(BD488=1,ROUND(AG488/60,6),0)</f>
        <v>0</v>
      </c>
      <c r="BH488" s="80">
        <f>IF(BE488=1,ROUND(AG488/60,6),0)</f>
        <v>0</v>
      </c>
      <c r="BI488" s="80">
        <f>IF(BE488=1,ROUND(AP488/60,6),0)</f>
        <v>0</v>
      </c>
      <c r="BJ488" s="80">
        <f>IF(BE488=1,ROUND(AQ488/60,6),0)</f>
        <v>0</v>
      </c>
      <c r="BK488" s="80">
        <f>IF(BE488=1,ROUND((AR488+AS488)/60,6),0)</f>
        <v>0</v>
      </c>
      <c r="BL488" s="80">
        <f>ROUND(BH488-BK488,6)</f>
        <v>0</v>
      </c>
      <c r="BM488" s="80">
        <f>IF(BE488=1,ROUND(AR488/60,6),0)</f>
        <v>0</v>
      </c>
      <c r="BN488" s="80">
        <f>ROUND(BI488-BM488,6)</f>
        <v>0</v>
      </c>
      <c r="BO488" s="80">
        <f>IF(BE488=1,ROUND(AS488/60,6),0)</f>
        <v>0</v>
      </c>
      <c r="BP488" s="80">
        <f>ROUND(BJ488-BO488,6)</f>
        <v>0</v>
      </c>
      <c r="BQ488" s="80">
        <f>IF(BE488=1,AW488,0)</f>
        <v>0</v>
      </c>
      <c r="BR488" s="80">
        <f>IF(BE488=1,AX488,0)</f>
        <v>0</v>
      </c>
      <c r="BS488" s="80">
        <f>IF(AND(BE488=1,D488="Malcolm",BA488&gt;0),MIN(BH488,SUMPRODUCT((R_Emp="proMX")*(R_EN&gt;0)*((R_EN-(R_EN&gt;BR488)*(R_EN-BR488))&gt;(R_SN+(R_SN&lt;BQ488)*(BQ488-R_SN)))*((R_EN-(R_EN&gt;BR488)*(R_EN-BR488))-(R_SN+(R_SN&lt;BQ488)*(BQ488-R_SN))))/60),0)</f>
        <v>0</v>
      </c>
      <c r="BT488" s="80">
        <f>IF(AND(BE488=1,D488="proMX"),ROUND(BI488*CFG_RATE+BJ488*CFG_OTRATE,6),0)</f>
        <v>0</v>
      </c>
      <c r="BU488" s="80">
        <f>IF(AND(BD488=1,D488="proMX"),ROUND(AG488/CFG_BLK,6),0)</f>
        <v>0</v>
      </c>
      <c r="BV488" s="80" t="str">
        <f>IF(BF488="Approved",IF(ISNUMBER(T488),INT(T488),INT(B488)),"")</f>
        <v/>
      </c>
      <c r="BW488" s="80">
        <f>IF(ISNUMBER(B488),IF(DB_MON="Todos",1,IF(AND(INT(B488)&gt;=DB_MS,INT(B488)&lt;=DB_ME),1,0)),0)</f>
        <v>0</v>
      </c>
      <c r="BX488" s="80">
        <f>IF(DB_PROJ="Todos",1,IF(E488&amp;""=DB_PROJ&amp;"",1,0))</f>
        <v>1</v>
      </c>
      <c r="BY488" s="80">
        <f>BW488*BX488</f>
        <v>0</v>
      </c>
      <c r="BZ488" s="80" t="str">
        <f>IF(Y488=1,F488&amp;IF(AND(F488&amp;""&lt;&gt;"",E488&amp;""&lt;&gt;"")," · ","")&amp;E488,"")</f>
        <v/>
      </c>
      <c r="CA488" s="80" t="str">
        <f>IF(AND(BD488=1,E488&amp;""&lt;&gt;""),IF(COUNTIFS($E$5:E487,E488,$BD$5:BD487,1)=0,MAX($CA$5:CA487)+1,""),"")</f>
        <v/>
      </c>
      <c r="CB488" s="80" t="str">
        <f>IF(AND(BE488=1,D488="Malcolm",E488&amp;""&lt;&gt;""),IF(COUNTIFS($D$5:D487,"Malcolm",$E$5:E487,E488,$BE$5:BE487,1)=0,MAX($CB$5:CB487)+1,""),"")</f>
        <v/>
      </c>
      <c r="CC488" s="80" t="str">
        <f>IF(AND(BD488=1,D488="proMX",E488&amp;""&lt;&gt;""),IF(COUNTIFS($D$5:D487,"proMX",$E$5:E487,E488,$BD$5:BD487,1)=0,MAX($CC$5:CC487)+1,""),"")</f>
        <v/>
      </c>
      <c r="CD488" s="80" t="str">
        <f>IF(AND(BE488=1,D488="Malcolm",F488&amp;""&lt;&gt;""),IF(COUNTIFS($D$5:D487,"Malcolm",$F$5:F487,F488,$BE$5:BE487,1)=0,MAX($CD$5:CD487)+1,""),"")</f>
        <v/>
      </c>
      <c r="CE488" s="80" t="str">
        <f>IF(AND(BD488=1,D488="proMX",F488&amp;""&lt;&gt;""),IF(COUNTIFS($D$5:D487,"proMX",$F$5:F487,F488,$BD$5:BD487,1)=0,MAX($CE$5:CE487)+1,""),"")</f>
        <v/>
      </c>
      <c r="CF488" s="80" t="str">
        <f>IF(AND(D488="proMX",BD488=1),IF(OR(BF488="Draft",BF488="Submitted",BF488="Returned",BF488="Recall Requested"),MAX($CF$5:CF487)+1,""),"")</f>
        <v/>
      </c>
      <c r="CG488" s="80">
        <f>IF(BD488=0,0,IF(D488="Malcolm",1,MATCH(BF488,{"Draft","Submitted","Approved","Returned","Recall Requested","Cancelled"},0)+1))</f>
        <v>0</v>
      </c>
      <c r="CH488" s="80">
        <f>IF(AND(BF488="Submitted",ISNUMBER(V488)),IF(V488&gt;CFG_MAXD,1,0),0)</f>
        <v>0</v>
      </c>
    </row>
    <row r="489">
      <c r="A489" s="71" t="str">
        <f>IF(Y489=1,ROW()-5,"")</f>
        <v/>
      </c>
      <c r="B489" s="72" t="n"/>
      <c r="C489" s="71" t="str">
        <f>IF(ISNUMBER(B489),CHOOSE(WEEKDAY(B489,2),"Lun","Mar","Mié","Jue","Vie","Sáb","Dom"),"")</f>
        <v/>
      </c>
      <c r="D489" s="73" t="n"/>
      <c r="E489" s="74" t="n"/>
      <c r="F489" s="74" t="n"/>
      <c r="G489" s="74" t="n"/>
      <c r="H489" s="75" t="n"/>
      <c r="I489" s="75" t="n"/>
      <c r="J489" s="76" t="n"/>
      <c r="K489" s="77" t="str">
        <f>IF(AB489=1,ROUND(AG489/60,4),"")</f>
        <v/>
      </c>
      <c r="L489" s="77" t="str">
        <f>IF(BD489=1,ROUND(AP489/60,4),"")</f>
        <v/>
      </c>
      <c r="M489" s="77" t="str">
        <f>IF(BD489=1,ROUND(AQ489/60,4),"")</f>
        <v/>
      </c>
      <c r="N489" s="71" t="str">
        <f>IF(AND(D489="proMX",AB489=1),ROUND(AG489/CFG_BLK,2),"")</f>
        <v/>
      </c>
      <c r="O489" s="77" t="str">
        <f>IF(D489="proMX",IF(BD489=1,ROUND(AG489/60,4),0),"")</f>
        <v/>
      </c>
      <c r="P489" s="78" t="str">
        <f>IF(Y489=0,"",IF(BD489=1,"OK",IF(D489="proMX","Revisar bloques: ","Revisar: ")&amp;BC489))</f>
        <v/>
      </c>
      <c r="Q489" s="78" t="str">
        <f>IF(NOT(ISNUMBER(B489)),"",IF(COUNTIFS(FER_F,INT(B489))&gt;0,"Feriado"&amp;IF(AH489=1," (laborable)"," (no laborable)"),IF(AH489=1,"Laborable",IF(WEEKDAY(B489,2)&gt;5,"Fin de semana","No laborable"))))</f>
        <v/>
      </c>
      <c r="R489" s="73" t="n"/>
      <c r="S489" s="72" t="n"/>
      <c r="T489" s="72" t="n"/>
      <c r="U489" s="74" t="n"/>
      <c r="V489" s="79" t="str">
        <f>IF(AND(D489="proMX",OR(R489="Submitted",R489="Recall Requested"),ISNUMBER(S489)),CFG_TODAY-INT(S489),"")</f>
        <v/>
      </c>
      <c r="W489" s="78" t="str">
        <f>IF(BD489=0,"",IF(BA489&gt;0,"⚠ Se superpone con un registro de la otra empresa",IF(D489="Malcolm",IF(COUNTA(R489,S489,T489)&gt;0,"Estado/fechas proMX se ignoran en Malcolm",""),IF(BF489="Cancelled","Cancelado: excluido de totales",IF(R489="","Sin estado: se trata como Draft",IF(BF489="Submitted",IF(ISNUMBER(V489),IF(V489&gt;CFG_MAXD,"⚠ "&amp;V489&amp;" días en Submitted (máx. "&amp;CFG_MAXD&amp;")",""),"Falta fecha de envío"),IF(BF489="Returned","⚠ Devuelto: corregir y reenviar",IF(BF489="Recall Requested","Retirada solicitada: pendiente",IF(AND(BF489="Approved",NOT(ISNUMBER(T489))),"Falta fecha de aprobación",IF(AND(ISNUMBER(S489),ISNUMBER(T489),T489&lt;S489),"Aprobación anterior al envío","")))))))))</f>
        <v/>
      </c>
      <c r="Y489" s="80">
        <f>IF(COUNTA(B489,D489,E489,F489,G489,H489,I489,J489,R489,S489,T489)&gt;0,1,0)</f>
        <v>0</v>
      </c>
      <c r="Z489" s="80" t="str">
        <f>IF(AND(ISNUMBER(H489),H489&gt;=0,H489&lt;1),ROUND(H489*1440,0),"")</f>
        <v/>
      </c>
      <c r="AA489" s="80" t="str">
        <f>IF(AND(ISNUMBER(I489),I489&gt;=0,I489&lt;1),ROUND(I489*1440,0),"")</f>
        <v/>
      </c>
      <c r="AB489" s="80">
        <f>IF(AND(ISNUMBER(B489),D489&lt;&gt;"",ISNUMBER(Z489),ISNUMBER(AA489)),IF(Z489=AA489,0,1),0)</f>
        <v>0</v>
      </c>
      <c r="AC489" s="80">
        <f>IF(AB489=1,IF(AA489&lt;Z489,1,0),0)</f>
        <v>0</v>
      </c>
      <c r="AD489" s="80">
        <f>IF(AB489=1,IF(AC489=1,1440-Z489+AA489,AA489-Z489),0)</f>
        <v>0</v>
      </c>
      <c r="AE489" s="80">
        <f>IF(J489="",0,IF(ISNUMBER(J489),J489,-1))</f>
        <v>0</v>
      </c>
      <c r="AF489" s="80">
        <f>MIN(MAX(0,AE489),AD489)</f>
        <v>0</v>
      </c>
      <c r="AG489" s="80">
        <f>MAX(0,AD489-MAX(0,AE489))</f>
        <v>0</v>
      </c>
      <c r="AH489" s="80">
        <f>IF(ISNUMBER(B489),IF(AND(INDEX(CFG_WDAYS,WEEKDAY(INT(B489),2))="Sí",IF(D489="proMX",COUNTIFS(FER_F,INT(B489),FER_NLP,"Sí"),COUNTIFS(FER_F,INT(B489),FER_NLM,"Sí"))=0),1,0),0)</f>
        <v>0</v>
      </c>
      <c r="AI489" s="80">
        <f>IF(AC489=1,IF(AND(INDEX(CFG_WDAYS,WEEKDAY(INT(B489)+1,2))="Sí",IF(D489="proMX",COUNTIFS(FER_F,INT(B489)+1,FER_NLP,"Sí"),COUNTIFS(FER_F,INT(B489)+1,FER_NLM,"Sí"))=0),1,0),0)</f>
        <v>0</v>
      </c>
      <c r="AJ489" s="80">
        <f>IF(AC489=1,1440-Z489,AD489)</f>
        <v>0</v>
      </c>
      <c r="AK489" s="80">
        <f>IF(AND(AB489=1,AH489=1),MAX(0,MIN(IF(AC489=1,1440,AA489),CFG_WEM)-MAX(Z489,CFG_WSM)),0)</f>
        <v>0</v>
      </c>
      <c r="AL489" s="80">
        <f>IF(AND(AC489=1,AI489=1),MAX(0,MIN(AA489,CFG_WEM)-CFG_WSM),0)</f>
        <v>0</v>
      </c>
      <c r="AM489" s="80">
        <f>AK489+AL489</f>
        <v>0</v>
      </c>
      <c r="AN489" s="80">
        <f>IF(CFG_BRK="Proporcional",IF(AD489=0,0,AF489*AM489/AD489),IF(CFG_BRK="Extras primero",MIN(AM489,MAX(0,AF489-(AD489-AM489))),MIN(AF489,AM489)))</f>
        <v>0</v>
      </c>
      <c r="AO489" s="80">
        <f>AF489-AN489</f>
        <v>0</v>
      </c>
      <c r="AP489" s="80">
        <f>AM489-AN489</f>
        <v>0</v>
      </c>
      <c r="AQ489" s="80">
        <f>AD489-AM489-AO489</f>
        <v>0</v>
      </c>
      <c r="AR489" s="80">
        <f>IF(AM489=0,0,AK489-AN489*AK489/AM489)</f>
        <v>0</v>
      </c>
      <c r="AS489" s="80">
        <f>IF(AD489-AM489=0,0,(AJ489-AK489)-AO489*(AJ489-AK489)/(AD489-AM489))</f>
        <v>0</v>
      </c>
      <c r="AT489" s="80" t="str">
        <f>IF(AC489=1,INT(B489)+1,"")</f>
        <v/>
      </c>
      <c r="AU489" s="80">
        <f>IF(AND(D489="proMX",R489="Cancelled"),0,1)</f>
        <v>1</v>
      </c>
      <c r="AV489" s="80">
        <f>IF(AND(AB489=1,AU489=1),IF(COUNTIFS($D$5:D488,D489,$B$5:B488,B489,$Z$5:Z488,Z489,$AA$5:AA488,AA489,$F$5:F488,F489&amp;"",$AU$5:AU488,1)&gt;0,1,0),0)</f>
        <v>0</v>
      </c>
      <c r="AW489" s="80" t="str">
        <f>IF(AB489=1,INT(B489)*1440+Z489,"")</f>
        <v/>
      </c>
      <c r="AX489" s="80" t="str">
        <f>IF(AB489=1,AW489+AD489,"")</f>
        <v/>
      </c>
      <c r="AY489" s="80">
        <f>IF(AND(AB489=1,AV489=0,AU489=1),1,0)</f>
        <v>0</v>
      </c>
      <c r="AZ489" s="80">
        <f>IF(AY489=1,COUNTIFS(R_Emp,D489,R_SAbs,"&lt;"&amp;AX489,R_EAbs,"&gt;"&amp;AW489,R_OKey,1)-1,0)</f>
        <v>0</v>
      </c>
      <c r="BA489" s="80">
        <f>IF(AY489=1,COUNTIFS(R_Emp,"&lt;&gt;"&amp;D489,R_SAbs,"&lt;"&amp;AX489,R_EAbs,"&gt;"&amp;AW489,R_OKey,1),0)</f>
        <v>0</v>
      </c>
      <c r="BB489" s="80">
        <f>IF(AND(AB489=1,D489="proMX"),IF(AND(MOD(Z489,CFG_BLK)=0,MOD(AA489,CFG_BLK)=0,MOD(AG489,CFG_BLK)=0,AG489&gt;0),1,0),1)</f>
        <v>1</v>
      </c>
      <c r="BC489" s="80" t="str">
        <f>IF(Y489=0,"",IF(NOT(ISNUMBER(B489)),"Falta fecha o fecha inválida",IF(D489="","Falta empresa",IF(AND(D489&lt;&gt;"Malcolm",D489&lt;&gt;"proMX"),"Empresa inválida",IF(OR(INT(B489)&lt;CFG_PSTART,INT(B489)&gt;CFG_PEND),"Fecha fuera del período",IF(OR(NOT(ISNUMBER(Z489)),NOT(ISNUMBER(AA489))),"Falta hora inicio/fin o formato inválido",IF(AB489=0,"Hora inicio = hora fin",IF(AE489&lt;0,"Descanso inválido",IF(AE489&gt;=AD489,"Descanso ≥ duración",IF(AV489=1,"Registro duplicado",IF(AZ489&gt;0,"Se superpone con otro registro "&amp;D489,IF(BB489=0,"inicio, fin y duración neta deben ser múltiplos de "&amp;CFG_BLK&amp;" min",""))))))))))))</f>
        <v/>
      </c>
      <c r="BD489" s="80">
        <f>IF(AND(Y489=1,BC489=""),1,0)</f>
        <v>0</v>
      </c>
      <c r="BE489" s="80">
        <f>IF(AND(BD489=1,AU489=1),1,0)</f>
        <v>0</v>
      </c>
      <c r="BF489" s="80" t="str">
        <f>IF(AND(D489="proMX",BD489=1),IF(R489="","Draft",R489),"")</f>
        <v/>
      </c>
      <c r="BG489" s="80">
        <f>IF(BD489=1,ROUND(AG489/60,6),0)</f>
        <v>0</v>
      </c>
      <c r="BH489" s="80">
        <f>IF(BE489=1,ROUND(AG489/60,6),0)</f>
        <v>0</v>
      </c>
      <c r="BI489" s="80">
        <f>IF(BE489=1,ROUND(AP489/60,6),0)</f>
        <v>0</v>
      </c>
      <c r="BJ489" s="80">
        <f>IF(BE489=1,ROUND(AQ489/60,6),0)</f>
        <v>0</v>
      </c>
      <c r="BK489" s="80">
        <f>IF(BE489=1,ROUND((AR489+AS489)/60,6),0)</f>
        <v>0</v>
      </c>
      <c r="BL489" s="80">
        <f>ROUND(BH489-BK489,6)</f>
        <v>0</v>
      </c>
      <c r="BM489" s="80">
        <f>IF(BE489=1,ROUND(AR489/60,6),0)</f>
        <v>0</v>
      </c>
      <c r="BN489" s="80">
        <f>ROUND(BI489-BM489,6)</f>
        <v>0</v>
      </c>
      <c r="BO489" s="80">
        <f>IF(BE489=1,ROUND(AS489/60,6),0)</f>
        <v>0</v>
      </c>
      <c r="BP489" s="80">
        <f>ROUND(BJ489-BO489,6)</f>
        <v>0</v>
      </c>
      <c r="BQ489" s="80">
        <f>IF(BE489=1,AW489,0)</f>
        <v>0</v>
      </c>
      <c r="BR489" s="80">
        <f>IF(BE489=1,AX489,0)</f>
        <v>0</v>
      </c>
      <c r="BS489" s="80">
        <f>IF(AND(BE489=1,D489="Malcolm",BA489&gt;0),MIN(BH489,SUMPRODUCT((R_Emp="proMX")*(R_EN&gt;0)*((R_EN-(R_EN&gt;BR489)*(R_EN-BR489))&gt;(R_SN+(R_SN&lt;BQ489)*(BQ489-R_SN)))*((R_EN-(R_EN&gt;BR489)*(R_EN-BR489))-(R_SN+(R_SN&lt;BQ489)*(BQ489-R_SN))))/60),0)</f>
        <v>0</v>
      </c>
      <c r="BT489" s="80">
        <f>IF(AND(BE489=1,D489="proMX"),ROUND(BI489*CFG_RATE+BJ489*CFG_OTRATE,6),0)</f>
        <v>0</v>
      </c>
      <c r="BU489" s="80">
        <f>IF(AND(BD489=1,D489="proMX"),ROUND(AG489/CFG_BLK,6),0)</f>
        <v>0</v>
      </c>
      <c r="BV489" s="80" t="str">
        <f>IF(BF489="Approved",IF(ISNUMBER(T489),INT(T489),INT(B489)),"")</f>
        <v/>
      </c>
      <c r="BW489" s="80">
        <f>IF(ISNUMBER(B489),IF(DB_MON="Todos",1,IF(AND(INT(B489)&gt;=DB_MS,INT(B489)&lt;=DB_ME),1,0)),0)</f>
        <v>0</v>
      </c>
      <c r="BX489" s="80">
        <f>IF(DB_PROJ="Todos",1,IF(E489&amp;""=DB_PROJ&amp;"",1,0))</f>
        <v>1</v>
      </c>
      <c r="BY489" s="80">
        <f>BW489*BX489</f>
        <v>0</v>
      </c>
      <c r="BZ489" s="80" t="str">
        <f>IF(Y489=1,F489&amp;IF(AND(F489&amp;""&lt;&gt;"",E489&amp;""&lt;&gt;"")," · ","")&amp;E489,"")</f>
        <v/>
      </c>
      <c r="CA489" s="80" t="str">
        <f>IF(AND(BD489=1,E489&amp;""&lt;&gt;""),IF(COUNTIFS($E$5:E488,E489,$BD$5:BD488,1)=0,MAX($CA$5:CA488)+1,""),"")</f>
        <v/>
      </c>
      <c r="CB489" s="80" t="str">
        <f>IF(AND(BE489=1,D489="Malcolm",E489&amp;""&lt;&gt;""),IF(COUNTIFS($D$5:D488,"Malcolm",$E$5:E488,E489,$BE$5:BE488,1)=0,MAX($CB$5:CB488)+1,""),"")</f>
        <v/>
      </c>
      <c r="CC489" s="80" t="str">
        <f>IF(AND(BD489=1,D489="proMX",E489&amp;""&lt;&gt;""),IF(COUNTIFS($D$5:D488,"proMX",$E$5:E488,E489,$BD$5:BD488,1)=0,MAX($CC$5:CC488)+1,""),"")</f>
        <v/>
      </c>
      <c r="CD489" s="80" t="str">
        <f>IF(AND(BE489=1,D489="Malcolm",F489&amp;""&lt;&gt;""),IF(COUNTIFS($D$5:D488,"Malcolm",$F$5:F488,F489,$BE$5:BE488,1)=0,MAX($CD$5:CD488)+1,""),"")</f>
        <v/>
      </c>
      <c r="CE489" s="80" t="str">
        <f>IF(AND(BD489=1,D489="proMX",F489&amp;""&lt;&gt;""),IF(COUNTIFS($D$5:D488,"proMX",$F$5:F488,F489,$BD$5:BD488,1)=0,MAX($CE$5:CE488)+1,""),"")</f>
        <v/>
      </c>
      <c r="CF489" s="80" t="str">
        <f>IF(AND(D489="proMX",BD489=1),IF(OR(BF489="Draft",BF489="Submitted",BF489="Returned",BF489="Recall Requested"),MAX($CF$5:CF488)+1,""),"")</f>
        <v/>
      </c>
      <c r="CG489" s="80">
        <f>IF(BD489=0,0,IF(D489="Malcolm",1,MATCH(BF489,{"Draft","Submitted","Approved","Returned","Recall Requested","Cancelled"},0)+1))</f>
        <v>0</v>
      </c>
      <c r="CH489" s="80">
        <f>IF(AND(BF489="Submitted",ISNUMBER(V489)),IF(V489&gt;CFG_MAXD,1,0),0)</f>
        <v>0</v>
      </c>
    </row>
    <row r="490">
      <c r="A490" s="71" t="str">
        <f>IF(Y490=1,ROW()-5,"")</f>
        <v/>
      </c>
      <c r="B490" s="72" t="n"/>
      <c r="C490" s="71" t="str">
        <f>IF(ISNUMBER(B490),CHOOSE(WEEKDAY(B490,2),"Lun","Mar","Mié","Jue","Vie","Sáb","Dom"),"")</f>
        <v/>
      </c>
      <c r="D490" s="73" t="n"/>
      <c r="E490" s="74" t="n"/>
      <c r="F490" s="74" t="n"/>
      <c r="G490" s="74" t="n"/>
      <c r="H490" s="75" t="n"/>
      <c r="I490" s="75" t="n"/>
      <c r="J490" s="76" t="n"/>
      <c r="K490" s="77" t="str">
        <f>IF(AB490=1,ROUND(AG490/60,4),"")</f>
        <v/>
      </c>
      <c r="L490" s="77" t="str">
        <f>IF(BD490=1,ROUND(AP490/60,4),"")</f>
        <v/>
      </c>
      <c r="M490" s="77" t="str">
        <f>IF(BD490=1,ROUND(AQ490/60,4),"")</f>
        <v/>
      </c>
      <c r="N490" s="71" t="str">
        <f>IF(AND(D490="proMX",AB490=1),ROUND(AG490/CFG_BLK,2),"")</f>
        <v/>
      </c>
      <c r="O490" s="77" t="str">
        <f>IF(D490="proMX",IF(BD490=1,ROUND(AG490/60,4),0),"")</f>
        <v/>
      </c>
      <c r="P490" s="78" t="str">
        <f>IF(Y490=0,"",IF(BD490=1,"OK",IF(D490="proMX","Revisar bloques: ","Revisar: ")&amp;BC490))</f>
        <v/>
      </c>
      <c r="Q490" s="78" t="str">
        <f>IF(NOT(ISNUMBER(B490)),"",IF(COUNTIFS(FER_F,INT(B490))&gt;0,"Feriado"&amp;IF(AH490=1," (laborable)"," (no laborable)"),IF(AH490=1,"Laborable",IF(WEEKDAY(B490,2)&gt;5,"Fin de semana","No laborable"))))</f>
        <v/>
      </c>
      <c r="R490" s="73" t="n"/>
      <c r="S490" s="72" t="n"/>
      <c r="T490" s="72" t="n"/>
      <c r="U490" s="74" t="n"/>
      <c r="V490" s="79" t="str">
        <f>IF(AND(D490="proMX",OR(R490="Submitted",R490="Recall Requested"),ISNUMBER(S490)),CFG_TODAY-INT(S490),"")</f>
        <v/>
      </c>
      <c r="W490" s="78" t="str">
        <f>IF(BD490=0,"",IF(BA490&gt;0,"⚠ Se superpone con un registro de la otra empresa",IF(D490="Malcolm",IF(COUNTA(R490,S490,T490)&gt;0,"Estado/fechas proMX se ignoran en Malcolm",""),IF(BF490="Cancelled","Cancelado: excluido de totales",IF(R490="","Sin estado: se trata como Draft",IF(BF490="Submitted",IF(ISNUMBER(V490),IF(V490&gt;CFG_MAXD,"⚠ "&amp;V490&amp;" días en Submitted (máx. "&amp;CFG_MAXD&amp;")",""),"Falta fecha de envío"),IF(BF490="Returned","⚠ Devuelto: corregir y reenviar",IF(BF490="Recall Requested","Retirada solicitada: pendiente",IF(AND(BF490="Approved",NOT(ISNUMBER(T490))),"Falta fecha de aprobación",IF(AND(ISNUMBER(S490),ISNUMBER(T490),T490&lt;S490),"Aprobación anterior al envío","")))))))))</f>
        <v/>
      </c>
      <c r="Y490" s="80">
        <f>IF(COUNTA(B490,D490,E490,F490,G490,H490,I490,J490,R490,S490,T490)&gt;0,1,0)</f>
        <v>0</v>
      </c>
      <c r="Z490" s="80" t="str">
        <f>IF(AND(ISNUMBER(H490),H490&gt;=0,H490&lt;1),ROUND(H490*1440,0),"")</f>
        <v/>
      </c>
      <c r="AA490" s="80" t="str">
        <f>IF(AND(ISNUMBER(I490),I490&gt;=0,I490&lt;1),ROUND(I490*1440,0),"")</f>
        <v/>
      </c>
      <c r="AB490" s="80">
        <f>IF(AND(ISNUMBER(B490),D490&lt;&gt;"",ISNUMBER(Z490),ISNUMBER(AA490)),IF(Z490=AA490,0,1),0)</f>
        <v>0</v>
      </c>
      <c r="AC490" s="80">
        <f>IF(AB490=1,IF(AA490&lt;Z490,1,0),0)</f>
        <v>0</v>
      </c>
      <c r="AD490" s="80">
        <f>IF(AB490=1,IF(AC490=1,1440-Z490+AA490,AA490-Z490),0)</f>
        <v>0</v>
      </c>
      <c r="AE490" s="80">
        <f>IF(J490="",0,IF(ISNUMBER(J490),J490,-1))</f>
        <v>0</v>
      </c>
      <c r="AF490" s="80">
        <f>MIN(MAX(0,AE490),AD490)</f>
        <v>0</v>
      </c>
      <c r="AG490" s="80">
        <f>MAX(0,AD490-MAX(0,AE490))</f>
        <v>0</v>
      </c>
      <c r="AH490" s="80">
        <f>IF(ISNUMBER(B490),IF(AND(INDEX(CFG_WDAYS,WEEKDAY(INT(B490),2))="Sí",IF(D490="proMX",COUNTIFS(FER_F,INT(B490),FER_NLP,"Sí"),COUNTIFS(FER_F,INT(B490),FER_NLM,"Sí"))=0),1,0),0)</f>
        <v>0</v>
      </c>
      <c r="AI490" s="80">
        <f>IF(AC490=1,IF(AND(INDEX(CFG_WDAYS,WEEKDAY(INT(B490)+1,2))="Sí",IF(D490="proMX",COUNTIFS(FER_F,INT(B490)+1,FER_NLP,"Sí"),COUNTIFS(FER_F,INT(B490)+1,FER_NLM,"Sí"))=0),1,0),0)</f>
        <v>0</v>
      </c>
      <c r="AJ490" s="80">
        <f>IF(AC490=1,1440-Z490,AD490)</f>
        <v>0</v>
      </c>
      <c r="AK490" s="80">
        <f>IF(AND(AB490=1,AH490=1),MAX(0,MIN(IF(AC490=1,1440,AA490),CFG_WEM)-MAX(Z490,CFG_WSM)),0)</f>
        <v>0</v>
      </c>
      <c r="AL490" s="80">
        <f>IF(AND(AC490=1,AI490=1),MAX(0,MIN(AA490,CFG_WEM)-CFG_WSM),0)</f>
        <v>0</v>
      </c>
      <c r="AM490" s="80">
        <f>AK490+AL490</f>
        <v>0</v>
      </c>
      <c r="AN490" s="80">
        <f>IF(CFG_BRK="Proporcional",IF(AD490=0,0,AF490*AM490/AD490),IF(CFG_BRK="Extras primero",MIN(AM490,MAX(0,AF490-(AD490-AM490))),MIN(AF490,AM490)))</f>
        <v>0</v>
      </c>
      <c r="AO490" s="80">
        <f>AF490-AN490</f>
        <v>0</v>
      </c>
      <c r="AP490" s="80">
        <f>AM490-AN490</f>
        <v>0</v>
      </c>
      <c r="AQ490" s="80">
        <f>AD490-AM490-AO490</f>
        <v>0</v>
      </c>
      <c r="AR490" s="80">
        <f>IF(AM490=0,0,AK490-AN490*AK490/AM490)</f>
        <v>0</v>
      </c>
      <c r="AS490" s="80">
        <f>IF(AD490-AM490=0,0,(AJ490-AK490)-AO490*(AJ490-AK490)/(AD490-AM490))</f>
        <v>0</v>
      </c>
      <c r="AT490" s="80" t="str">
        <f>IF(AC490=1,INT(B490)+1,"")</f>
        <v/>
      </c>
      <c r="AU490" s="80">
        <f>IF(AND(D490="proMX",R490="Cancelled"),0,1)</f>
        <v>1</v>
      </c>
      <c r="AV490" s="80">
        <f>IF(AND(AB490=1,AU490=1),IF(COUNTIFS($D$5:D489,D490,$B$5:B489,B490,$Z$5:Z489,Z490,$AA$5:AA489,AA490,$F$5:F489,F490&amp;"",$AU$5:AU489,1)&gt;0,1,0),0)</f>
        <v>0</v>
      </c>
      <c r="AW490" s="80" t="str">
        <f>IF(AB490=1,INT(B490)*1440+Z490,"")</f>
        <v/>
      </c>
      <c r="AX490" s="80" t="str">
        <f>IF(AB490=1,AW490+AD490,"")</f>
        <v/>
      </c>
      <c r="AY490" s="80">
        <f>IF(AND(AB490=1,AV490=0,AU490=1),1,0)</f>
        <v>0</v>
      </c>
      <c r="AZ490" s="80">
        <f>IF(AY490=1,COUNTIFS(R_Emp,D490,R_SAbs,"&lt;"&amp;AX490,R_EAbs,"&gt;"&amp;AW490,R_OKey,1)-1,0)</f>
        <v>0</v>
      </c>
      <c r="BA490" s="80">
        <f>IF(AY490=1,COUNTIFS(R_Emp,"&lt;&gt;"&amp;D490,R_SAbs,"&lt;"&amp;AX490,R_EAbs,"&gt;"&amp;AW490,R_OKey,1),0)</f>
        <v>0</v>
      </c>
      <c r="BB490" s="80">
        <f>IF(AND(AB490=1,D490="proMX"),IF(AND(MOD(Z490,CFG_BLK)=0,MOD(AA490,CFG_BLK)=0,MOD(AG490,CFG_BLK)=0,AG490&gt;0),1,0),1)</f>
        <v>1</v>
      </c>
      <c r="BC490" s="80" t="str">
        <f>IF(Y490=0,"",IF(NOT(ISNUMBER(B490)),"Falta fecha o fecha inválida",IF(D490="","Falta empresa",IF(AND(D490&lt;&gt;"Malcolm",D490&lt;&gt;"proMX"),"Empresa inválida",IF(OR(INT(B490)&lt;CFG_PSTART,INT(B490)&gt;CFG_PEND),"Fecha fuera del período",IF(OR(NOT(ISNUMBER(Z490)),NOT(ISNUMBER(AA490))),"Falta hora inicio/fin o formato inválido",IF(AB490=0,"Hora inicio = hora fin",IF(AE490&lt;0,"Descanso inválido",IF(AE490&gt;=AD490,"Descanso ≥ duración",IF(AV490=1,"Registro duplicado",IF(AZ490&gt;0,"Se superpone con otro registro "&amp;D490,IF(BB490=0,"inicio, fin y duración neta deben ser múltiplos de "&amp;CFG_BLK&amp;" min",""))))))))))))</f>
        <v/>
      </c>
      <c r="BD490" s="80">
        <f>IF(AND(Y490=1,BC490=""),1,0)</f>
        <v>0</v>
      </c>
      <c r="BE490" s="80">
        <f>IF(AND(BD490=1,AU490=1),1,0)</f>
        <v>0</v>
      </c>
      <c r="BF490" s="80" t="str">
        <f>IF(AND(D490="proMX",BD490=1),IF(R490="","Draft",R490),"")</f>
        <v/>
      </c>
      <c r="BG490" s="80">
        <f>IF(BD490=1,ROUND(AG490/60,6),0)</f>
        <v>0</v>
      </c>
      <c r="BH490" s="80">
        <f>IF(BE490=1,ROUND(AG490/60,6),0)</f>
        <v>0</v>
      </c>
      <c r="BI490" s="80">
        <f>IF(BE490=1,ROUND(AP490/60,6),0)</f>
        <v>0</v>
      </c>
      <c r="BJ490" s="80">
        <f>IF(BE490=1,ROUND(AQ490/60,6),0)</f>
        <v>0</v>
      </c>
      <c r="BK490" s="80">
        <f>IF(BE490=1,ROUND((AR490+AS490)/60,6),0)</f>
        <v>0</v>
      </c>
      <c r="BL490" s="80">
        <f>ROUND(BH490-BK490,6)</f>
        <v>0</v>
      </c>
      <c r="BM490" s="80">
        <f>IF(BE490=1,ROUND(AR490/60,6),0)</f>
        <v>0</v>
      </c>
      <c r="BN490" s="80">
        <f>ROUND(BI490-BM490,6)</f>
        <v>0</v>
      </c>
      <c r="BO490" s="80">
        <f>IF(BE490=1,ROUND(AS490/60,6),0)</f>
        <v>0</v>
      </c>
      <c r="BP490" s="80">
        <f>ROUND(BJ490-BO490,6)</f>
        <v>0</v>
      </c>
      <c r="BQ490" s="80">
        <f>IF(BE490=1,AW490,0)</f>
        <v>0</v>
      </c>
      <c r="BR490" s="80">
        <f>IF(BE490=1,AX490,0)</f>
        <v>0</v>
      </c>
      <c r="BS490" s="80">
        <f>IF(AND(BE490=1,D490="Malcolm",BA490&gt;0),MIN(BH490,SUMPRODUCT((R_Emp="proMX")*(R_EN&gt;0)*((R_EN-(R_EN&gt;BR490)*(R_EN-BR490))&gt;(R_SN+(R_SN&lt;BQ490)*(BQ490-R_SN)))*((R_EN-(R_EN&gt;BR490)*(R_EN-BR490))-(R_SN+(R_SN&lt;BQ490)*(BQ490-R_SN))))/60),0)</f>
        <v>0</v>
      </c>
      <c r="BT490" s="80">
        <f>IF(AND(BE490=1,D490="proMX"),ROUND(BI490*CFG_RATE+BJ490*CFG_OTRATE,6),0)</f>
        <v>0</v>
      </c>
      <c r="BU490" s="80">
        <f>IF(AND(BD490=1,D490="proMX"),ROUND(AG490/CFG_BLK,6),0)</f>
        <v>0</v>
      </c>
      <c r="BV490" s="80" t="str">
        <f>IF(BF490="Approved",IF(ISNUMBER(T490),INT(T490),INT(B490)),"")</f>
        <v/>
      </c>
      <c r="BW490" s="80">
        <f>IF(ISNUMBER(B490),IF(DB_MON="Todos",1,IF(AND(INT(B490)&gt;=DB_MS,INT(B490)&lt;=DB_ME),1,0)),0)</f>
        <v>0</v>
      </c>
      <c r="BX490" s="80">
        <f>IF(DB_PROJ="Todos",1,IF(E490&amp;""=DB_PROJ&amp;"",1,0))</f>
        <v>1</v>
      </c>
      <c r="BY490" s="80">
        <f>BW490*BX490</f>
        <v>0</v>
      </c>
      <c r="BZ490" s="80" t="str">
        <f>IF(Y490=1,F490&amp;IF(AND(F490&amp;""&lt;&gt;"",E490&amp;""&lt;&gt;"")," · ","")&amp;E490,"")</f>
        <v/>
      </c>
      <c r="CA490" s="80" t="str">
        <f>IF(AND(BD490=1,E490&amp;""&lt;&gt;""),IF(COUNTIFS($E$5:E489,E490,$BD$5:BD489,1)=0,MAX($CA$5:CA489)+1,""),"")</f>
        <v/>
      </c>
      <c r="CB490" s="80" t="str">
        <f>IF(AND(BE490=1,D490="Malcolm",E490&amp;""&lt;&gt;""),IF(COUNTIFS($D$5:D489,"Malcolm",$E$5:E489,E490,$BE$5:BE489,1)=0,MAX($CB$5:CB489)+1,""),"")</f>
        <v/>
      </c>
      <c r="CC490" s="80" t="str">
        <f>IF(AND(BD490=1,D490="proMX",E490&amp;""&lt;&gt;""),IF(COUNTIFS($D$5:D489,"proMX",$E$5:E489,E490,$BD$5:BD489,1)=0,MAX($CC$5:CC489)+1,""),"")</f>
        <v/>
      </c>
      <c r="CD490" s="80" t="str">
        <f>IF(AND(BE490=1,D490="Malcolm",F490&amp;""&lt;&gt;""),IF(COUNTIFS($D$5:D489,"Malcolm",$F$5:F489,F490,$BE$5:BE489,1)=0,MAX($CD$5:CD489)+1,""),"")</f>
        <v/>
      </c>
      <c r="CE490" s="80" t="str">
        <f>IF(AND(BD490=1,D490="proMX",F490&amp;""&lt;&gt;""),IF(COUNTIFS($D$5:D489,"proMX",$F$5:F489,F490,$BD$5:BD489,1)=0,MAX($CE$5:CE489)+1,""),"")</f>
        <v/>
      </c>
      <c r="CF490" s="80" t="str">
        <f>IF(AND(D490="proMX",BD490=1),IF(OR(BF490="Draft",BF490="Submitted",BF490="Returned",BF490="Recall Requested"),MAX($CF$5:CF489)+1,""),"")</f>
        <v/>
      </c>
      <c r="CG490" s="80">
        <f>IF(BD490=0,0,IF(D490="Malcolm",1,MATCH(BF490,{"Draft","Submitted","Approved","Returned","Recall Requested","Cancelled"},0)+1))</f>
        <v>0</v>
      </c>
      <c r="CH490" s="80">
        <f>IF(AND(BF490="Submitted",ISNUMBER(V490)),IF(V490&gt;CFG_MAXD,1,0),0)</f>
        <v>0</v>
      </c>
    </row>
    <row r="491">
      <c r="A491" s="71" t="str">
        <f>IF(Y491=1,ROW()-5,"")</f>
        <v/>
      </c>
      <c r="B491" s="72" t="n"/>
      <c r="C491" s="71" t="str">
        <f>IF(ISNUMBER(B491),CHOOSE(WEEKDAY(B491,2),"Lun","Mar","Mié","Jue","Vie","Sáb","Dom"),"")</f>
        <v/>
      </c>
      <c r="D491" s="73" t="n"/>
      <c r="E491" s="74" t="n"/>
      <c r="F491" s="74" t="n"/>
      <c r="G491" s="74" t="n"/>
      <c r="H491" s="75" t="n"/>
      <c r="I491" s="75" t="n"/>
      <c r="J491" s="76" t="n"/>
      <c r="K491" s="77" t="str">
        <f>IF(AB491=1,ROUND(AG491/60,4),"")</f>
        <v/>
      </c>
      <c r="L491" s="77" t="str">
        <f>IF(BD491=1,ROUND(AP491/60,4),"")</f>
        <v/>
      </c>
      <c r="M491" s="77" t="str">
        <f>IF(BD491=1,ROUND(AQ491/60,4),"")</f>
        <v/>
      </c>
      <c r="N491" s="71" t="str">
        <f>IF(AND(D491="proMX",AB491=1),ROUND(AG491/CFG_BLK,2),"")</f>
        <v/>
      </c>
      <c r="O491" s="77" t="str">
        <f>IF(D491="proMX",IF(BD491=1,ROUND(AG491/60,4),0),"")</f>
        <v/>
      </c>
      <c r="P491" s="78" t="str">
        <f>IF(Y491=0,"",IF(BD491=1,"OK",IF(D491="proMX","Revisar bloques: ","Revisar: ")&amp;BC491))</f>
        <v/>
      </c>
      <c r="Q491" s="78" t="str">
        <f>IF(NOT(ISNUMBER(B491)),"",IF(COUNTIFS(FER_F,INT(B491))&gt;0,"Feriado"&amp;IF(AH491=1," (laborable)"," (no laborable)"),IF(AH491=1,"Laborable",IF(WEEKDAY(B491,2)&gt;5,"Fin de semana","No laborable"))))</f>
        <v/>
      </c>
      <c r="R491" s="73" t="n"/>
      <c r="S491" s="72" t="n"/>
      <c r="T491" s="72" t="n"/>
      <c r="U491" s="74" t="n"/>
      <c r="V491" s="79" t="str">
        <f>IF(AND(D491="proMX",OR(R491="Submitted",R491="Recall Requested"),ISNUMBER(S491)),CFG_TODAY-INT(S491),"")</f>
        <v/>
      </c>
      <c r="W491" s="78" t="str">
        <f>IF(BD491=0,"",IF(BA491&gt;0,"⚠ Se superpone con un registro de la otra empresa",IF(D491="Malcolm",IF(COUNTA(R491,S491,T491)&gt;0,"Estado/fechas proMX se ignoran en Malcolm",""),IF(BF491="Cancelled","Cancelado: excluido de totales",IF(R491="","Sin estado: se trata como Draft",IF(BF491="Submitted",IF(ISNUMBER(V491),IF(V491&gt;CFG_MAXD,"⚠ "&amp;V491&amp;" días en Submitted (máx. "&amp;CFG_MAXD&amp;")",""),"Falta fecha de envío"),IF(BF491="Returned","⚠ Devuelto: corregir y reenviar",IF(BF491="Recall Requested","Retirada solicitada: pendiente",IF(AND(BF491="Approved",NOT(ISNUMBER(T491))),"Falta fecha de aprobación",IF(AND(ISNUMBER(S491),ISNUMBER(T491),T491&lt;S491),"Aprobación anterior al envío","")))))))))</f>
        <v/>
      </c>
      <c r="Y491" s="80">
        <f>IF(COUNTA(B491,D491,E491,F491,G491,H491,I491,J491,R491,S491,T491)&gt;0,1,0)</f>
        <v>0</v>
      </c>
      <c r="Z491" s="80" t="str">
        <f>IF(AND(ISNUMBER(H491),H491&gt;=0,H491&lt;1),ROUND(H491*1440,0),"")</f>
        <v/>
      </c>
      <c r="AA491" s="80" t="str">
        <f>IF(AND(ISNUMBER(I491),I491&gt;=0,I491&lt;1),ROUND(I491*1440,0),"")</f>
        <v/>
      </c>
      <c r="AB491" s="80">
        <f>IF(AND(ISNUMBER(B491),D491&lt;&gt;"",ISNUMBER(Z491),ISNUMBER(AA491)),IF(Z491=AA491,0,1),0)</f>
        <v>0</v>
      </c>
      <c r="AC491" s="80">
        <f>IF(AB491=1,IF(AA491&lt;Z491,1,0),0)</f>
        <v>0</v>
      </c>
      <c r="AD491" s="80">
        <f>IF(AB491=1,IF(AC491=1,1440-Z491+AA491,AA491-Z491),0)</f>
        <v>0</v>
      </c>
      <c r="AE491" s="80">
        <f>IF(J491="",0,IF(ISNUMBER(J491),J491,-1))</f>
        <v>0</v>
      </c>
      <c r="AF491" s="80">
        <f>MIN(MAX(0,AE491),AD491)</f>
        <v>0</v>
      </c>
      <c r="AG491" s="80">
        <f>MAX(0,AD491-MAX(0,AE491))</f>
        <v>0</v>
      </c>
      <c r="AH491" s="80">
        <f>IF(ISNUMBER(B491),IF(AND(INDEX(CFG_WDAYS,WEEKDAY(INT(B491),2))="Sí",IF(D491="proMX",COUNTIFS(FER_F,INT(B491),FER_NLP,"Sí"),COUNTIFS(FER_F,INT(B491),FER_NLM,"Sí"))=0),1,0),0)</f>
        <v>0</v>
      </c>
      <c r="AI491" s="80">
        <f>IF(AC491=1,IF(AND(INDEX(CFG_WDAYS,WEEKDAY(INT(B491)+1,2))="Sí",IF(D491="proMX",COUNTIFS(FER_F,INT(B491)+1,FER_NLP,"Sí"),COUNTIFS(FER_F,INT(B491)+1,FER_NLM,"Sí"))=0),1,0),0)</f>
        <v>0</v>
      </c>
      <c r="AJ491" s="80">
        <f>IF(AC491=1,1440-Z491,AD491)</f>
        <v>0</v>
      </c>
      <c r="AK491" s="80">
        <f>IF(AND(AB491=1,AH491=1),MAX(0,MIN(IF(AC491=1,1440,AA491),CFG_WEM)-MAX(Z491,CFG_WSM)),0)</f>
        <v>0</v>
      </c>
      <c r="AL491" s="80">
        <f>IF(AND(AC491=1,AI491=1),MAX(0,MIN(AA491,CFG_WEM)-CFG_WSM),0)</f>
        <v>0</v>
      </c>
      <c r="AM491" s="80">
        <f>AK491+AL491</f>
        <v>0</v>
      </c>
      <c r="AN491" s="80">
        <f>IF(CFG_BRK="Proporcional",IF(AD491=0,0,AF491*AM491/AD491),IF(CFG_BRK="Extras primero",MIN(AM491,MAX(0,AF491-(AD491-AM491))),MIN(AF491,AM491)))</f>
        <v>0</v>
      </c>
      <c r="AO491" s="80">
        <f>AF491-AN491</f>
        <v>0</v>
      </c>
      <c r="AP491" s="80">
        <f>AM491-AN491</f>
        <v>0</v>
      </c>
      <c r="AQ491" s="80">
        <f>AD491-AM491-AO491</f>
        <v>0</v>
      </c>
      <c r="AR491" s="80">
        <f>IF(AM491=0,0,AK491-AN491*AK491/AM491)</f>
        <v>0</v>
      </c>
      <c r="AS491" s="80">
        <f>IF(AD491-AM491=0,0,(AJ491-AK491)-AO491*(AJ491-AK491)/(AD491-AM491))</f>
        <v>0</v>
      </c>
      <c r="AT491" s="80" t="str">
        <f>IF(AC491=1,INT(B491)+1,"")</f>
        <v/>
      </c>
      <c r="AU491" s="80">
        <f>IF(AND(D491="proMX",R491="Cancelled"),0,1)</f>
        <v>1</v>
      </c>
      <c r="AV491" s="80">
        <f>IF(AND(AB491=1,AU491=1),IF(COUNTIFS($D$5:D490,D491,$B$5:B490,B491,$Z$5:Z490,Z491,$AA$5:AA490,AA491,$F$5:F490,F491&amp;"",$AU$5:AU490,1)&gt;0,1,0),0)</f>
        <v>0</v>
      </c>
      <c r="AW491" s="80" t="str">
        <f>IF(AB491=1,INT(B491)*1440+Z491,"")</f>
        <v/>
      </c>
      <c r="AX491" s="80" t="str">
        <f>IF(AB491=1,AW491+AD491,"")</f>
        <v/>
      </c>
      <c r="AY491" s="80">
        <f>IF(AND(AB491=1,AV491=0,AU491=1),1,0)</f>
        <v>0</v>
      </c>
      <c r="AZ491" s="80">
        <f>IF(AY491=1,COUNTIFS(R_Emp,D491,R_SAbs,"&lt;"&amp;AX491,R_EAbs,"&gt;"&amp;AW491,R_OKey,1)-1,0)</f>
        <v>0</v>
      </c>
      <c r="BA491" s="80">
        <f>IF(AY491=1,COUNTIFS(R_Emp,"&lt;&gt;"&amp;D491,R_SAbs,"&lt;"&amp;AX491,R_EAbs,"&gt;"&amp;AW491,R_OKey,1),0)</f>
        <v>0</v>
      </c>
      <c r="BB491" s="80">
        <f>IF(AND(AB491=1,D491="proMX"),IF(AND(MOD(Z491,CFG_BLK)=0,MOD(AA491,CFG_BLK)=0,MOD(AG491,CFG_BLK)=0,AG491&gt;0),1,0),1)</f>
        <v>1</v>
      </c>
      <c r="BC491" s="80" t="str">
        <f>IF(Y491=0,"",IF(NOT(ISNUMBER(B491)),"Falta fecha o fecha inválida",IF(D491="","Falta empresa",IF(AND(D491&lt;&gt;"Malcolm",D491&lt;&gt;"proMX"),"Empresa inválida",IF(OR(INT(B491)&lt;CFG_PSTART,INT(B491)&gt;CFG_PEND),"Fecha fuera del período",IF(OR(NOT(ISNUMBER(Z491)),NOT(ISNUMBER(AA491))),"Falta hora inicio/fin o formato inválido",IF(AB491=0,"Hora inicio = hora fin",IF(AE491&lt;0,"Descanso inválido",IF(AE491&gt;=AD491,"Descanso ≥ duración",IF(AV491=1,"Registro duplicado",IF(AZ491&gt;0,"Se superpone con otro registro "&amp;D491,IF(BB491=0,"inicio, fin y duración neta deben ser múltiplos de "&amp;CFG_BLK&amp;" min",""))))))))))))</f>
        <v/>
      </c>
      <c r="BD491" s="80">
        <f>IF(AND(Y491=1,BC491=""),1,0)</f>
        <v>0</v>
      </c>
      <c r="BE491" s="80">
        <f>IF(AND(BD491=1,AU491=1),1,0)</f>
        <v>0</v>
      </c>
      <c r="BF491" s="80" t="str">
        <f>IF(AND(D491="proMX",BD491=1),IF(R491="","Draft",R491),"")</f>
        <v/>
      </c>
      <c r="BG491" s="80">
        <f>IF(BD491=1,ROUND(AG491/60,6),0)</f>
        <v>0</v>
      </c>
      <c r="BH491" s="80">
        <f>IF(BE491=1,ROUND(AG491/60,6),0)</f>
        <v>0</v>
      </c>
      <c r="BI491" s="80">
        <f>IF(BE491=1,ROUND(AP491/60,6),0)</f>
        <v>0</v>
      </c>
      <c r="BJ491" s="80">
        <f>IF(BE491=1,ROUND(AQ491/60,6),0)</f>
        <v>0</v>
      </c>
      <c r="BK491" s="80">
        <f>IF(BE491=1,ROUND((AR491+AS491)/60,6),0)</f>
        <v>0</v>
      </c>
      <c r="BL491" s="80">
        <f>ROUND(BH491-BK491,6)</f>
        <v>0</v>
      </c>
      <c r="BM491" s="80">
        <f>IF(BE491=1,ROUND(AR491/60,6),0)</f>
        <v>0</v>
      </c>
      <c r="BN491" s="80">
        <f>ROUND(BI491-BM491,6)</f>
        <v>0</v>
      </c>
      <c r="BO491" s="80">
        <f>IF(BE491=1,ROUND(AS491/60,6),0)</f>
        <v>0</v>
      </c>
      <c r="BP491" s="80">
        <f>ROUND(BJ491-BO491,6)</f>
        <v>0</v>
      </c>
      <c r="BQ491" s="80">
        <f>IF(BE491=1,AW491,0)</f>
        <v>0</v>
      </c>
      <c r="BR491" s="80">
        <f>IF(BE491=1,AX491,0)</f>
        <v>0</v>
      </c>
      <c r="BS491" s="80">
        <f>IF(AND(BE491=1,D491="Malcolm",BA491&gt;0),MIN(BH491,SUMPRODUCT((R_Emp="proMX")*(R_EN&gt;0)*((R_EN-(R_EN&gt;BR491)*(R_EN-BR491))&gt;(R_SN+(R_SN&lt;BQ491)*(BQ491-R_SN)))*((R_EN-(R_EN&gt;BR491)*(R_EN-BR491))-(R_SN+(R_SN&lt;BQ491)*(BQ491-R_SN))))/60),0)</f>
        <v>0</v>
      </c>
      <c r="BT491" s="80">
        <f>IF(AND(BE491=1,D491="proMX"),ROUND(BI491*CFG_RATE+BJ491*CFG_OTRATE,6),0)</f>
        <v>0</v>
      </c>
      <c r="BU491" s="80">
        <f>IF(AND(BD491=1,D491="proMX"),ROUND(AG491/CFG_BLK,6),0)</f>
        <v>0</v>
      </c>
      <c r="BV491" s="80" t="str">
        <f>IF(BF491="Approved",IF(ISNUMBER(T491),INT(T491),INT(B491)),"")</f>
        <v/>
      </c>
      <c r="BW491" s="80">
        <f>IF(ISNUMBER(B491),IF(DB_MON="Todos",1,IF(AND(INT(B491)&gt;=DB_MS,INT(B491)&lt;=DB_ME),1,0)),0)</f>
        <v>0</v>
      </c>
      <c r="BX491" s="80">
        <f>IF(DB_PROJ="Todos",1,IF(E491&amp;""=DB_PROJ&amp;"",1,0))</f>
        <v>1</v>
      </c>
      <c r="BY491" s="80">
        <f>BW491*BX491</f>
        <v>0</v>
      </c>
      <c r="BZ491" s="80" t="str">
        <f>IF(Y491=1,F491&amp;IF(AND(F491&amp;""&lt;&gt;"",E491&amp;""&lt;&gt;"")," · ","")&amp;E491,"")</f>
        <v/>
      </c>
      <c r="CA491" s="80" t="str">
        <f>IF(AND(BD491=1,E491&amp;""&lt;&gt;""),IF(COUNTIFS($E$5:E490,E491,$BD$5:BD490,1)=0,MAX($CA$5:CA490)+1,""),"")</f>
        <v/>
      </c>
      <c r="CB491" s="80" t="str">
        <f>IF(AND(BE491=1,D491="Malcolm",E491&amp;""&lt;&gt;""),IF(COUNTIFS($D$5:D490,"Malcolm",$E$5:E490,E491,$BE$5:BE490,1)=0,MAX($CB$5:CB490)+1,""),"")</f>
        <v/>
      </c>
      <c r="CC491" s="80" t="str">
        <f>IF(AND(BD491=1,D491="proMX",E491&amp;""&lt;&gt;""),IF(COUNTIFS($D$5:D490,"proMX",$E$5:E490,E491,$BD$5:BD490,1)=0,MAX($CC$5:CC490)+1,""),"")</f>
        <v/>
      </c>
      <c r="CD491" s="80" t="str">
        <f>IF(AND(BE491=1,D491="Malcolm",F491&amp;""&lt;&gt;""),IF(COUNTIFS($D$5:D490,"Malcolm",$F$5:F490,F491,$BE$5:BE490,1)=0,MAX($CD$5:CD490)+1,""),"")</f>
        <v/>
      </c>
      <c r="CE491" s="80" t="str">
        <f>IF(AND(BD491=1,D491="proMX",F491&amp;""&lt;&gt;""),IF(COUNTIFS($D$5:D490,"proMX",$F$5:F490,F491,$BD$5:BD490,1)=0,MAX($CE$5:CE490)+1,""),"")</f>
        <v/>
      </c>
      <c r="CF491" s="80" t="str">
        <f>IF(AND(D491="proMX",BD491=1),IF(OR(BF491="Draft",BF491="Submitted",BF491="Returned",BF491="Recall Requested"),MAX($CF$5:CF490)+1,""),"")</f>
        <v/>
      </c>
      <c r="CG491" s="80">
        <f>IF(BD491=0,0,IF(D491="Malcolm",1,MATCH(BF491,{"Draft","Submitted","Approved","Returned","Recall Requested","Cancelled"},0)+1))</f>
        <v>0</v>
      </c>
      <c r="CH491" s="80">
        <f>IF(AND(BF491="Submitted",ISNUMBER(V491)),IF(V491&gt;CFG_MAXD,1,0),0)</f>
        <v>0</v>
      </c>
    </row>
    <row r="492">
      <c r="A492" s="71" t="str">
        <f>IF(Y492=1,ROW()-5,"")</f>
        <v/>
      </c>
      <c r="B492" s="72" t="n"/>
      <c r="C492" s="71" t="str">
        <f>IF(ISNUMBER(B492),CHOOSE(WEEKDAY(B492,2),"Lun","Mar","Mié","Jue","Vie","Sáb","Dom"),"")</f>
        <v/>
      </c>
      <c r="D492" s="73" t="n"/>
      <c r="E492" s="74" t="n"/>
      <c r="F492" s="74" t="n"/>
      <c r="G492" s="74" t="n"/>
      <c r="H492" s="75" t="n"/>
      <c r="I492" s="75" t="n"/>
      <c r="J492" s="76" t="n"/>
      <c r="K492" s="77" t="str">
        <f>IF(AB492=1,ROUND(AG492/60,4),"")</f>
        <v/>
      </c>
      <c r="L492" s="77" t="str">
        <f>IF(BD492=1,ROUND(AP492/60,4),"")</f>
        <v/>
      </c>
      <c r="M492" s="77" t="str">
        <f>IF(BD492=1,ROUND(AQ492/60,4),"")</f>
        <v/>
      </c>
      <c r="N492" s="71" t="str">
        <f>IF(AND(D492="proMX",AB492=1),ROUND(AG492/CFG_BLK,2),"")</f>
        <v/>
      </c>
      <c r="O492" s="77" t="str">
        <f>IF(D492="proMX",IF(BD492=1,ROUND(AG492/60,4),0),"")</f>
        <v/>
      </c>
      <c r="P492" s="78" t="str">
        <f>IF(Y492=0,"",IF(BD492=1,"OK",IF(D492="proMX","Revisar bloques: ","Revisar: ")&amp;BC492))</f>
        <v/>
      </c>
      <c r="Q492" s="78" t="str">
        <f>IF(NOT(ISNUMBER(B492)),"",IF(COUNTIFS(FER_F,INT(B492))&gt;0,"Feriado"&amp;IF(AH492=1," (laborable)"," (no laborable)"),IF(AH492=1,"Laborable",IF(WEEKDAY(B492,2)&gt;5,"Fin de semana","No laborable"))))</f>
        <v/>
      </c>
      <c r="R492" s="73" t="n"/>
      <c r="S492" s="72" t="n"/>
      <c r="T492" s="72" t="n"/>
      <c r="U492" s="74" t="n"/>
      <c r="V492" s="79" t="str">
        <f>IF(AND(D492="proMX",OR(R492="Submitted",R492="Recall Requested"),ISNUMBER(S492)),CFG_TODAY-INT(S492),"")</f>
        <v/>
      </c>
      <c r="W492" s="78" t="str">
        <f>IF(BD492=0,"",IF(BA492&gt;0,"⚠ Se superpone con un registro de la otra empresa",IF(D492="Malcolm",IF(COUNTA(R492,S492,T492)&gt;0,"Estado/fechas proMX se ignoran en Malcolm",""),IF(BF492="Cancelled","Cancelado: excluido de totales",IF(R492="","Sin estado: se trata como Draft",IF(BF492="Submitted",IF(ISNUMBER(V492),IF(V492&gt;CFG_MAXD,"⚠ "&amp;V492&amp;" días en Submitted (máx. "&amp;CFG_MAXD&amp;")",""),"Falta fecha de envío"),IF(BF492="Returned","⚠ Devuelto: corregir y reenviar",IF(BF492="Recall Requested","Retirada solicitada: pendiente",IF(AND(BF492="Approved",NOT(ISNUMBER(T492))),"Falta fecha de aprobación",IF(AND(ISNUMBER(S492),ISNUMBER(T492),T492&lt;S492),"Aprobación anterior al envío","")))))))))</f>
        <v/>
      </c>
      <c r="Y492" s="80">
        <f>IF(COUNTA(B492,D492,E492,F492,G492,H492,I492,J492,R492,S492,T492)&gt;0,1,0)</f>
        <v>0</v>
      </c>
      <c r="Z492" s="80" t="str">
        <f>IF(AND(ISNUMBER(H492),H492&gt;=0,H492&lt;1),ROUND(H492*1440,0),"")</f>
        <v/>
      </c>
      <c r="AA492" s="80" t="str">
        <f>IF(AND(ISNUMBER(I492),I492&gt;=0,I492&lt;1),ROUND(I492*1440,0),"")</f>
        <v/>
      </c>
      <c r="AB492" s="80">
        <f>IF(AND(ISNUMBER(B492),D492&lt;&gt;"",ISNUMBER(Z492),ISNUMBER(AA492)),IF(Z492=AA492,0,1),0)</f>
        <v>0</v>
      </c>
      <c r="AC492" s="80">
        <f>IF(AB492=1,IF(AA492&lt;Z492,1,0),0)</f>
        <v>0</v>
      </c>
      <c r="AD492" s="80">
        <f>IF(AB492=1,IF(AC492=1,1440-Z492+AA492,AA492-Z492),0)</f>
        <v>0</v>
      </c>
      <c r="AE492" s="80">
        <f>IF(J492="",0,IF(ISNUMBER(J492),J492,-1))</f>
        <v>0</v>
      </c>
      <c r="AF492" s="80">
        <f>MIN(MAX(0,AE492),AD492)</f>
        <v>0</v>
      </c>
      <c r="AG492" s="80">
        <f>MAX(0,AD492-MAX(0,AE492))</f>
        <v>0</v>
      </c>
      <c r="AH492" s="80">
        <f>IF(ISNUMBER(B492),IF(AND(INDEX(CFG_WDAYS,WEEKDAY(INT(B492),2))="Sí",IF(D492="proMX",COUNTIFS(FER_F,INT(B492),FER_NLP,"Sí"),COUNTIFS(FER_F,INT(B492),FER_NLM,"Sí"))=0),1,0),0)</f>
        <v>0</v>
      </c>
      <c r="AI492" s="80">
        <f>IF(AC492=1,IF(AND(INDEX(CFG_WDAYS,WEEKDAY(INT(B492)+1,2))="Sí",IF(D492="proMX",COUNTIFS(FER_F,INT(B492)+1,FER_NLP,"Sí"),COUNTIFS(FER_F,INT(B492)+1,FER_NLM,"Sí"))=0),1,0),0)</f>
        <v>0</v>
      </c>
      <c r="AJ492" s="80">
        <f>IF(AC492=1,1440-Z492,AD492)</f>
        <v>0</v>
      </c>
      <c r="AK492" s="80">
        <f>IF(AND(AB492=1,AH492=1),MAX(0,MIN(IF(AC492=1,1440,AA492),CFG_WEM)-MAX(Z492,CFG_WSM)),0)</f>
        <v>0</v>
      </c>
      <c r="AL492" s="80">
        <f>IF(AND(AC492=1,AI492=1),MAX(0,MIN(AA492,CFG_WEM)-CFG_WSM),0)</f>
        <v>0</v>
      </c>
      <c r="AM492" s="80">
        <f>AK492+AL492</f>
        <v>0</v>
      </c>
      <c r="AN492" s="80">
        <f>IF(CFG_BRK="Proporcional",IF(AD492=0,0,AF492*AM492/AD492),IF(CFG_BRK="Extras primero",MIN(AM492,MAX(0,AF492-(AD492-AM492))),MIN(AF492,AM492)))</f>
        <v>0</v>
      </c>
      <c r="AO492" s="80">
        <f>AF492-AN492</f>
        <v>0</v>
      </c>
      <c r="AP492" s="80">
        <f>AM492-AN492</f>
        <v>0</v>
      </c>
      <c r="AQ492" s="80">
        <f>AD492-AM492-AO492</f>
        <v>0</v>
      </c>
      <c r="AR492" s="80">
        <f>IF(AM492=0,0,AK492-AN492*AK492/AM492)</f>
        <v>0</v>
      </c>
      <c r="AS492" s="80">
        <f>IF(AD492-AM492=0,0,(AJ492-AK492)-AO492*(AJ492-AK492)/(AD492-AM492))</f>
        <v>0</v>
      </c>
      <c r="AT492" s="80" t="str">
        <f>IF(AC492=1,INT(B492)+1,"")</f>
        <v/>
      </c>
      <c r="AU492" s="80">
        <f>IF(AND(D492="proMX",R492="Cancelled"),0,1)</f>
        <v>1</v>
      </c>
      <c r="AV492" s="80">
        <f>IF(AND(AB492=1,AU492=1),IF(COUNTIFS($D$5:D491,D492,$B$5:B491,B492,$Z$5:Z491,Z492,$AA$5:AA491,AA492,$F$5:F491,F492&amp;"",$AU$5:AU491,1)&gt;0,1,0),0)</f>
        <v>0</v>
      </c>
      <c r="AW492" s="80" t="str">
        <f>IF(AB492=1,INT(B492)*1440+Z492,"")</f>
        <v/>
      </c>
      <c r="AX492" s="80" t="str">
        <f>IF(AB492=1,AW492+AD492,"")</f>
        <v/>
      </c>
      <c r="AY492" s="80">
        <f>IF(AND(AB492=1,AV492=0,AU492=1),1,0)</f>
        <v>0</v>
      </c>
      <c r="AZ492" s="80">
        <f>IF(AY492=1,COUNTIFS(R_Emp,D492,R_SAbs,"&lt;"&amp;AX492,R_EAbs,"&gt;"&amp;AW492,R_OKey,1)-1,0)</f>
        <v>0</v>
      </c>
      <c r="BA492" s="80">
        <f>IF(AY492=1,COUNTIFS(R_Emp,"&lt;&gt;"&amp;D492,R_SAbs,"&lt;"&amp;AX492,R_EAbs,"&gt;"&amp;AW492,R_OKey,1),0)</f>
        <v>0</v>
      </c>
      <c r="BB492" s="80">
        <f>IF(AND(AB492=1,D492="proMX"),IF(AND(MOD(Z492,CFG_BLK)=0,MOD(AA492,CFG_BLK)=0,MOD(AG492,CFG_BLK)=0,AG492&gt;0),1,0),1)</f>
        <v>1</v>
      </c>
      <c r="BC492" s="80" t="str">
        <f>IF(Y492=0,"",IF(NOT(ISNUMBER(B492)),"Falta fecha o fecha inválida",IF(D492="","Falta empresa",IF(AND(D492&lt;&gt;"Malcolm",D492&lt;&gt;"proMX"),"Empresa inválida",IF(OR(INT(B492)&lt;CFG_PSTART,INT(B492)&gt;CFG_PEND),"Fecha fuera del período",IF(OR(NOT(ISNUMBER(Z492)),NOT(ISNUMBER(AA492))),"Falta hora inicio/fin o formato inválido",IF(AB492=0,"Hora inicio = hora fin",IF(AE492&lt;0,"Descanso inválido",IF(AE492&gt;=AD492,"Descanso ≥ duración",IF(AV492=1,"Registro duplicado",IF(AZ492&gt;0,"Se superpone con otro registro "&amp;D492,IF(BB492=0,"inicio, fin y duración neta deben ser múltiplos de "&amp;CFG_BLK&amp;" min",""))))))))))))</f>
        <v/>
      </c>
      <c r="BD492" s="80">
        <f>IF(AND(Y492=1,BC492=""),1,0)</f>
        <v>0</v>
      </c>
      <c r="BE492" s="80">
        <f>IF(AND(BD492=1,AU492=1),1,0)</f>
        <v>0</v>
      </c>
      <c r="BF492" s="80" t="str">
        <f>IF(AND(D492="proMX",BD492=1),IF(R492="","Draft",R492),"")</f>
        <v/>
      </c>
      <c r="BG492" s="80">
        <f>IF(BD492=1,ROUND(AG492/60,6),0)</f>
        <v>0</v>
      </c>
      <c r="BH492" s="80">
        <f>IF(BE492=1,ROUND(AG492/60,6),0)</f>
        <v>0</v>
      </c>
      <c r="BI492" s="80">
        <f>IF(BE492=1,ROUND(AP492/60,6),0)</f>
        <v>0</v>
      </c>
      <c r="BJ492" s="80">
        <f>IF(BE492=1,ROUND(AQ492/60,6),0)</f>
        <v>0</v>
      </c>
      <c r="BK492" s="80">
        <f>IF(BE492=1,ROUND((AR492+AS492)/60,6),0)</f>
        <v>0</v>
      </c>
      <c r="BL492" s="80">
        <f>ROUND(BH492-BK492,6)</f>
        <v>0</v>
      </c>
      <c r="BM492" s="80">
        <f>IF(BE492=1,ROUND(AR492/60,6),0)</f>
        <v>0</v>
      </c>
      <c r="BN492" s="80">
        <f>ROUND(BI492-BM492,6)</f>
        <v>0</v>
      </c>
      <c r="BO492" s="80">
        <f>IF(BE492=1,ROUND(AS492/60,6),0)</f>
        <v>0</v>
      </c>
      <c r="BP492" s="80">
        <f>ROUND(BJ492-BO492,6)</f>
        <v>0</v>
      </c>
      <c r="BQ492" s="80">
        <f>IF(BE492=1,AW492,0)</f>
        <v>0</v>
      </c>
      <c r="BR492" s="80">
        <f>IF(BE492=1,AX492,0)</f>
        <v>0</v>
      </c>
      <c r="BS492" s="80">
        <f>IF(AND(BE492=1,D492="Malcolm",BA492&gt;0),MIN(BH492,SUMPRODUCT((R_Emp="proMX")*(R_EN&gt;0)*((R_EN-(R_EN&gt;BR492)*(R_EN-BR492))&gt;(R_SN+(R_SN&lt;BQ492)*(BQ492-R_SN)))*((R_EN-(R_EN&gt;BR492)*(R_EN-BR492))-(R_SN+(R_SN&lt;BQ492)*(BQ492-R_SN))))/60),0)</f>
        <v>0</v>
      </c>
      <c r="BT492" s="80">
        <f>IF(AND(BE492=1,D492="proMX"),ROUND(BI492*CFG_RATE+BJ492*CFG_OTRATE,6),0)</f>
        <v>0</v>
      </c>
      <c r="BU492" s="80">
        <f>IF(AND(BD492=1,D492="proMX"),ROUND(AG492/CFG_BLK,6),0)</f>
        <v>0</v>
      </c>
      <c r="BV492" s="80" t="str">
        <f>IF(BF492="Approved",IF(ISNUMBER(T492),INT(T492),INT(B492)),"")</f>
        <v/>
      </c>
      <c r="BW492" s="80">
        <f>IF(ISNUMBER(B492),IF(DB_MON="Todos",1,IF(AND(INT(B492)&gt;=DB_MS,INT(B492)&lt;=DB_ME),1,0)),0)</f>
        <v>0</v>
      </c>
      <c r="BX492" s="80">
        <f>IF(DB_PROJ="Todos",1,IF(E492&amp;""=DB_PROJ&amp;"",1,0))</f>
        <v>1</v>
      </c>
      <c r="BY492" s="80">
        <f>BW492*BX492</f>
        <v>0</v>
      </c>
      <c r="BZ492" s="80" t="str">
        <f>IF(Y492=1,F492&amp;IF(AND(F492&amp;""&lt;&gt;"",E492&amp;""&lt;&gt;"")," · ","")&amp;E492,"")</f>
        <v/>
      </c>
      <c r="CA492" s="80" t="str">
        <f>IF(AND(BD492=1,E492&amp;""&lt;&gt;""),IF(COUNTIFS($E$5:E491,E492,$BD$5:BD491,1)=0,MAX($CA$5:CA491)+1,""),"")</f>
        <v/>
      </c>
      <c r="CB492" s="80" t="str">
        <f>IF(AND(BE492=1,D492="Malcolm",E492&amp;""&lt;&gt;""),IF(COUNTIFS($D$5:D491,"Malcolm",$E$5:E491,E492,$BE$5:BE491,1)=0,MAX($CB$5:CB491)+1,""),"")</f>
        <v/>
      </c>
      <c r="CC492" s="80" t="str">
        <f>IF(AND(BD492=1,D492="proMX",E492&amp;""&lt;&gt;""),IF(COUNTIFS($D$5:D491,"proMX",$E$5:E491,E492,$BD$5:BD491,1)=0,MAX($CC$5:CC491)+1,""),"")</f>
        <v/>
      </c>
      <c r="CD492" s="80" t="str">
        <f>IF(AND(BE492=1,D492="Malcolm",F492&amp;""&lt;&gt;""),IF(COUNTIFS($D$5:D491,"Malcolm",$F$5:F491,F492,$BE$5:BE491,1)=0,MAX($CD$5:CD491)+1,""),"")</f>
        <v/>
      </c>
      <c r="CE492" s="80" t="str">
        <f>IF(AND(BD492=1,D492="proMX",F492&amp;""&lt;&gt;""),IF(COUNTIFS($D$5:D491,"proMX",$F$5:F491,F492,$BD$5:BD491,1)=0,MAX($CE$5:CE491)+1,""),"")</f>
        <v/>
      </c>
      <c r="CF492" s="80" t="str">
        <f>IF(AND(D492="proMX",BD492=1),IF(OR(BF492="Draft",BF492="Submitted",BF492="Returned",BF492="Recall Requested"),MAX($CF$5:CF491)+1,""),"")</f>
        <v/>
      </c>
      <c r="CG492" s="80">
        <f>IF(BD492=0,0,IF(D492="Malcolm",1,MATCH(BF492,{"Draft","Submitted","Approved","Returned","Recall Requested","Cancelled"},0)+1))</f>
        <v>0</v>
      </c>
      <c r="CH492" s="80">
        <f>IF(AND(BF492="Submitted",ISNUMBER(V492)),IF(V492&gt;CFG_MAXD,1,0),0)</f>
        <v>0</v>
      </c>
    </row>
    <row r="493">
      <c r="A493" s="71" t="str">
        <f>IF(Y493=1,ROW()-5,"")</f>
        <v/>
      </c>
      <c r="B493" s="72" t="n"/>
      <c r="C493" s="71" t="str">
        <f>IF(ISNUMBER(B493),CHOOSE(WEEKDAY(B493,2),"Lun","Mar","Mié","Jue","Vie","Sáb","Dom"),"")</f>
        <v/>
      </c>
      <c r="D493" s="73" t="n"/>
      <c r="E493" s="74" t="n"/>
      <c r="F493" s="74" t="n"/>
      <c r="G493" s="74" t="n"/>
      <c r="H493" s="75" t="n"/>
      <c r="I493" s="75" t="n"/>
      <c r="J493" s="76" t="n"/>
      <c r="K493" s="77" t="str">
        <f>IF(AB493=1,ROUND(AG493/60,4),"")</f>
        <v/>
      </c>
      <c r="L493" s="77" t="str">
        <f>IF(BD493=1,ROUND(AP493/60,4),"")</f>
        <v/>
      </c>
      <c r="M493" s="77" t="str">
        <f>IF(BD493=1,ROUND(AQ493/60,4),"")</f>
        <v/>
      </c>
      <c r="N493" s="71" t="str">
        <f>IF(AND(D493="proMX",AB493=1),ROUND(AG493/CFG_BLK,2),"")</f>
        <v/>
      </c>
      <c r="O493" s="77" t="str">
        <f>IF(D493="proMX",IF(BD493=1,ROUND(AG493/60,4),0),"")</f>
        <v/>
      </c>
      <c r="P493" s="78" t="str">
        <f>IF(Y493=0,"",IF(BD493=1,"OK",IF(D493="proMX","Revisar bloques: ","Revisar: ")&amp;BC493))</f>
        <v/>
      </c>
      <c r="Q493" s="78" t="str">
        <f>IF(NOT(ISNUMBER(B493)),"",IF(COUNTIFS(FER_F,INT(B493))&gt;0,"Feriado"&amp;IF(AH493=1," (laborable)"," (no laborable)"),IF(AH493=1,"Laborable",IF(WEEKDAY(B493,2)&gt;5,"Fin de semana","No laborable"))))</f>
        <v/>
      </c>
      <c r="R493" s="73" t="n"/>
      <c r="S493" s="72" t="n"/>
      <c r="T493" s="72" t="n"/>
      <c r="U493" s="74" t="n"/>
      <c r="V493" s="79" t="str">
        <f>IF(AND(D493="proMX",OR(R493="Submitted",R493="Recall Requested"),ISNUMBER(S493)),CFG_TODAY-INT(S493),"")</f>
        <v/>
      </c>
      <c r="W493" s="78" t="str">
        <f>IF(BD493=0,"",IF(BA493&gt;0,"⚠ Se superpone con un registro de la otra empresa",IF(D493="Malcolm",IF(COUNTA(R493,S493,T493)&gt;0,"Estado/fechas proMX se ignoran en Malcolm",""),IF(BF493="Cancelled","Cancelado: excluido de totales",IF(R493="","Sin estado: se trata como Draft",IF(BF493="Submitted",IF(ISNUMBER(V493),IF(V493&gt;CFG_MAXD,"⚠ "&amp;V493&amp;" días en Submitted (máx. "&amp;CFG_MAXD&amp;")",""),"Falta fecha de envío"),IF(BF493="Returned","⚠ Devuelto: corregir y reenviar",IF(BF493="Recall Requested","Retirada solicitada: pendiente",IF(AND(BF493="Approved",NOT(ISNUMBER(T493))),"Falta fecha de aprobación",IF(AND(ISNUMBER(S493),ISNUMBER(T493),T493&lt;S493),"Aprobación anterior al envío","")))))))))</f>
        <v/>
      </c>
      <c r="Y493" s="80">
        <f>IF(COUNTA(B493,D493,E493,F493,G493,H493,I493,J493,R493,S493,T493)&gt;0,1,0)</f>
        <v>0</v>
      </c>
      <c r="Z493" s="80" t="str">
        <f>IF(AND(ISNUMBER(H493),H493&gt;=0,H493&lt;1),ROUND(H493*1440,0),"")</f>
        <v/>
      </c>
      <c r="AA493" s="80" t="str">
        <f>IF(AND(ISNUMBER(I493),I493&gt;=0,I493&lt;1),ROUND(I493*1440,0),"")</f>
        <v/>
      </c>
      <c r="AB493" s="80">
        <f>IF(AND(ISNUMBER(B493),D493&lt;&gt;"",ISNUMBER(Z493),ISNUMBER(AA493)),IF(Z493=AA493,0,1),0)</f>
        <v>0</v>
      </c>
      <c r="AC493" s="80">
        <f>IF(AB493=1,IF(AA493&lt;Z493,1,0),0)</f>
        <v>0</v>
      </c>
      <c r="AD493" s="80">
        <f>IF(AB493=1,IF(AC493=1,1440-Z493+AA493,AA493-Z493),0)</f>
        <v>0</v>
      </c>
      <c r="AE493" s="80">
        <f>IF(J493="",0,IF(ISNUMBER(J493),J493,-1))</f>
        <v>0</v>
      </c>
      <c r="AF493" s="80">
        <f>MIN(MAX(0,AE493),AD493)</f>
        <v>0</v>
      </c>
      <c r="AG493" s="80">
        <f>MAX(0,AD493-MAX(0,AE493))</f>
        <v>0</v>
      </c>
      <c r="AH493" s="80">
        <f>IF(ISNUMBER(B493),IF(AND(INDEX(CFG_WDAYS,WEEKDAY(INT(B493),2))="Sí",IF(D493="proMX",COUNTIFS(FER_F,INT(B493),FER_NLP,"Sí"),COUNTIFS(FER_F,INT(B493),FER_NLM,"Sí"))=0),1,0),0)</f>
        <v>0</v>
      </c>
      <c r="AI493" s="80">
        <f>IF(AC493=1,IF(AND(INDEX(CFG_WDAYS,WEEKDAY(INT(B493)+1,2))="Sí",IF(D493="proMX",COUNTIFS(FER_F,INT(B493)+1,FER_NLP,"Sí"),COUNTIFS(FER_F,INT(B493)+1,FER_NLM,"Sí"))=0),1,0),0)</f>
        <v>0</v>
      </c>
      <c r="AJ493" s="80">
        <f>IF(AC493=1,1440-Z493,AD493)</f>
        <v>0</v>
      </c>
      <c r="AK493" s="80">
        <f>IF(AND(AB493=1,AH493=1),MAX(0,MIN(IF(AC493=1,1440,AA493),CFG_WEM)-MAX(Z493,CFG_WSM)),0)</f>
        <v>0</v>
      </c>
      <c r="AL493" s="80">
        <f>IF(AND(AC493=1,AI493=1),MAX(0,MIN(AA493,CFG_WEM)-CFG_WSM),0)</f>
        <v>0</v>
      </c>
      <c r="AM493" s="80">
        <f>AK493+AL493</f>
        <v>0</v>
      </c>
      <c r="AN493" s="80">
        <f>IF(CFG_BRK="Proporcional",IF(AD493=0,0,AF493*AM493/AD493),IF(CFG_BRK="Extras primero",MIN(AM493,MAX(0,AF493-(AD493-AM493))),MIN(AF493,AM493)))</f>
        <v>0</v>
      </c>
      <c r="AO493" s="80">
        <f>AF493-AN493</f>
        <v>0</v>
      </c>
      <c r="AP493" s="80">
        <f>AM493-AN493</f>
        <v>0</v>
      </c>
      <c r="AQ493" s="80">
        <f>AD493-AM493-AO493</f>
        <v>0</v>
      </c>
      <c r="AR493" s="80">
        <f>IF(AM493=0,0,AK493-AN493*AK493/AM493)</f>
        <v>0</v>
      </c>
      <c r="AS493" s="80">
        <f>IF(AD493-AM493=0,0,(AJ493-AK493)-AO493*(AJ493-AK493)/(AD493-AM493))</f>
        <v>0</v>
      </c>
      <c r="AT493" s="80" t="str">
        <f>IF(AC493=1,INT(B493)+1,"")</f>
        <v/>
      </c>
      <c r="AU493" s="80">
        <f>IF(AND(D493="proMX",R493="Cancelled"),0,1)</f>
        <v>1</v>
      </c>
      <c r="AV493" s="80">
        <f>IF(AND(AB493=1,AU493=1),IF(COUNTIFS($D$5:D492,D493,$B$5:B492,B493,$Z$5:Z492,Z493,$AA$5:AA492,AA493,$F$5:F492,F493&amp;"",$AU$5:AU492,1)&gt;0,1,0),0)</f>
        <v>0</v>
      </c>
      <c r="AW493" s="80" t="str">
        <f>IF(AB493=1,INT(B493)*1440+Z493,"")</f>
        <v/>
      </c>
      <c r="AX493" s="80" t="str">
        <f>IF(AB493=1,AW493+AD493,"")</f>
        <v/>
      </c>
      <c r="AY493" s="80">
        <f>IF(AND(AB493=1,AV493=0,AU493=1),1,0)</f>
        <v>0</v>
      </c>
      <c r="AZ493" s="80">
        <f>IF(AY493=1,COUNTIFS(R_Emp,D493,R_SAbs,"&lt;"&amp;AX493,R_EAbs,"&gt;"&amp;AW493,R_OKey,1)-1,0)</f>
        <v>0</v>
      </c>
      <c r="BA493" s="80">
        <f>IF(AY493=1,COUNTIFS(R_Emp,"&lt;&gt;"&amp;D493,R_SAbs,"&lt;"&amp;AX493,R_EAbs,"&gt;"&amp;AW493,R_OKey,1),0)</f>
        <v>0</v>
      </c>
      <c r="BB493" s="80">
        <f>IF(AND(AB493=1,D493="proMX"),IF(AND(MOD(Z493,CFG_BLK)=0,MOD(AA493,CFG_BLK)=0,MOD(AG493,CFG_BLK)=0,AG493&gt;0),1,0),1)</f>
        <v>1</v>
      </c>
      <c r="BC493" s="80" t="str">
        <f>IF(Y493=0,"",IF(NOT(ISNUMBER(B493)),"Falta fecha o fecha inválida",IF(D493="","Falta empresa",IF(AND(D493&lt;&gt;"Malcolm",D493&lt;&gt;"proMX"),"Empresa inválida",IF(OR(INT(B493)&lt;CFG_PSTART,INT(B493)&gt;CFG_PEND),"Fecha fuera del período",IF(OR(NOT(ISNUMBER(Z493)),NOT(ISNUMBER(AA493))),"Falta hora inicio/fin o formato inválido",IF(AB493=0,"Hora inicio = hora fin",IF(AE493&lt;0,"Descanso inválido",IF(AE493&gt;=AD493,"Descanso ≥ duración",IF(AV493=1,"Registro duplicado",IF(AZ493&gt;0,"Se superpone con otro registro "&amp;D493,IF(BB493=0,"inicio, fin y duración neta deben ser múltiplos de "&amp;CFG_BLK&amp;" min",""))))))))))))</f>
        <v/>
      </c>
      <c r="BD493" s="80">
        <f>IF(AND(Y493=1,BC493=""),1,0)</f>
        <v>0</v>
      </c>
      <c r="BE493" s="80">
        <f>IF(AND(BD493=1,AU493=1),1,0)</f>
        <v>0</v>
      </c>
      <c r="BF493" s="80" t="str">
        <f>IF(AND(D493="proMX",BD493=1),IF(R493="","Draft",R493),"")</f>
        <v/>
      </c>
      <c r="BG493" s="80">
        <f>IF(BD493=1,ROUND(AG493/60,6),0)</f>
        <v>0</v>
      </c>
      <c r="BH493" s="80">
        <f>IF(BE493=1,ROUND(AG493/60,6),0)</f>
        <v>0</v>
      </c>
      <c r="BI493" s="80">
        <f>IF(BE493=1,ROUND(AP493/60,6),0)</f>
        <v>0</v>
      </c>
      <c r="BJ493" s="80">
        <f>IF(BE493=1,ROUND(AQ493/60,6),0)</f>
        <v>0</v>
      </c>
      <c r="BK493" s="80">
        <f>IF(BE493=1,ROUND((AR493+AS493)/60,6),0)</f>
        <v>0</v>
      </c>
      <c r="BL493" s="80">
        <f>ROUND(BH493-BK493,6)</f>
        <v>0</v>
      </c>
      <c r="BM493" s="80">
        <f>IF(BE493=1,ROUND(AR493/60,6),0)</f>
        <v>0</v>
      </c>
      <c r="BN493" s="80">
        <f>ROUND(BI493-BM493,6)</f>
        <v>0</v>
      </c>
      <c r="BO493" s="80">
        <f>IF(BE493=1,ROUND(AS493/60,6),0)</f>
        <v>0</v>
      </c>
      <c r="BP493" s="80">
        <f>ROUND(BJ493-BO493,6)</f>
        <v>0</v>
      </c>
      <c r="BQ493" s="80">
        <f>IF(BE493=1,AW493,0)</f>
        <v>0</v>
      </c>
      <c r="BR493" s="80">
        <f>IF(BE493=1,AX493,0)</f>
        <v>0</v>
      </c>
      <c r="BS493" s="80">
        <f>IF(AND(BE493=1,D493="Malcolm",BA493&gt;0),MIN(BH493,SUMPRODUCT((R_Emp="proMX")*(R_EN&gt;0)*((R_EN-(R_EN&gt;BR493)*(R_EN-BR493))&gt;(R_SN+(R_SN&lt;BQ493)*(BQ493-R_SN)))*((R_EN-(R_EN&gt;BR493)*(R_EN-BR493))-(R_SN+(R_SN&lt;BQ493)*(BQ493-R_SN))))/60),0)</f>
        <v>0</v>
      </c>
      <c r="BT493" s="80">
        <f>IF(AND(BE493=1,D493="proMX"),ROUND(BI493*CFG_RATE+BJ493*CFG_OTRATE,6),0)</f>
        <v>0</v>
      </c>
      <c r="BU493" s="80">
        <f>IF(AND(BD493=1,D493="proMX"),ROUND(AG493/CFG_BLK,6),0)</f>
        <v>0</v>
      </c>
      <c r="BV493" s="80" t="str">
        <f>IF(BF493="Approved",IF(ISNUMBER(T493),INT(T493),INT(B493)),"")</f>
        <v/>
      </c>
      <c r="BW493" s="80">
        <f>IF(ISNUMBER(B493),IF(DB_MON="Todos",1,IF(AND(INT(B493)&gt;=DB_MS,INT(B493)&lt;=DB_ME),1,0)),0)</f>
        <v>0</v>
      </c>
      <c r="BX493" s="80">
        <f>IF(DB_PROJ="Todos",1,IF(E493&amp;""=DB_PROJ&amp;"",1,0))</f>
        <v>1</v>
      </c>
      <c r="BY493" s="80">
        <f>BW493*BX493</f>
        <v>0</v>
      </c>
      <c r="BZ493" s="80" t="str">
        <f>IF(Y493=1,F493&amp;IF(AND(F493&amp;""&lt;&gt;"",E493&amp;""&lt;&gt;"")," · ","")&amp;E493,"")</f>
        <v/>
      </c>
      <c r="CA493" s="80" t="str">
        <f>IF(AND(BD493=1,E493&amp;""&lt;&gt;""),IF(COUNTIFS($E$5:E492,E493,$BD$5:BD492,1)=0,MAX($CA$5:CA492)+1,""),"")</f>
        <v/>
      </c>
      <c r="CB493" s="80" t="str">
        <f>IF(AND(BE493=1,D493="Malcolm",E493&amp;""&lt;&gt;""),IF(COUNTIFS($D$5:D492,"Malcolm",$E$5:E492,E493,$BE$5:BE492,1)=0,MAX($CB$5:CB492)+1,""),"")</f>
        <v/>
      </c>
      <c r="CC493" s="80" t="str">
        <f>IF(AND(BD493=1,D493="proMX",E493&amp;""&lt;&gt;""),IF(COUNTIFS($D$5:D492,"proMX",$E$5:E492,E493,$BD$5:BD492,1)=0,MAX($CC$5:CC492)+1,""),"")</f>
        <v/>
      </c>
      <c r="CD493" s="80" t="str">
        <f>IF(AND(BE493=1,D493="Malcolm",F493&amp;""&lt;&gt;""),IF(COUNTIFS($D$5:D492,"Malcolm",$F$5:F492,F493,$BE$5:BE492,1)=0,MAX($CD$5:CD492)+1,""),"")</f>
        <v/>
      </c>
      <c r="CE493" s="80" t="str">
        <f>IF(AND(BD493=1,D493="proMX",F493&amp;""&lt;&gt;""),IF(COUNTIFS($D$5:D492,"proMX",$F$5:F492,F493,$BD$5:BD492,1)=0,MAX($CE$5:CE492)+1,""),"")</f>
        <v/>
      </c>
      <c r="CF493" s="80" t="str">
        <f>IF(AND(D493="proMX",BD493=1),IF(OR(BF493="Draft",BF493="Submitted",BF493="Returned",BF493="Recall Requested"),MAX($CF$5:CF492)+1,""),"")</f>
        <v/>
      </c>
      <c r="CG493" s="80">
        <f>IF(BD493=0,0,IF(D493="Malcolm",1,MATCH(BF493,{"Draft","Submitted","Approved","Returned","Recall Requested","Cancelled"},0)+1))</f>
        <v>0</v>
      </c>
      <c r="CH493" s="80">
        <f>IF(AND(BF493="Submitted",ISNUMBER(V493)),IF(V493&gt;CFG_MAXD,1,0),0)</f>
        <v>0</v>
      </c>
    </row>
    <row r="494">
      <c r="A494" s="71" t="str">
        <f>IF(Y494=1,ROW()-5,"")</f>
        <v/>
      </c>
      <c r="B494" s="72" t="n"/>
      <c r="C494" s="71" t="str">
        <f>IF(ISNUMBER(B494),CHOOSE(WEEKDAY(B494,2),"Lun","Mar","Mié","Jue","Vie","Sáb","Dom"),"")</f>
        <v/>
      </c>
      <c r="D494" s="73" t="n"/>
      <c r="E494" s="74" t="n"/>
      <c r="F494" s="74" t="n"/>
      <c r="G494" s="74" t="n"/>
      <c r="H494" s="75" t="n"/>
      <c r="I494" s="75" t="n"/>
      <c r="J494" s="76" t="n"/>
      <c r="K494" s="77" t="str">
        <f>IF(AB494=1,ROUND(AG494/60,4),"")</f>
        <v/>
      </c>
      <c r="L494" s="77" t="str">
        <f>IF(BD494=1,ROUND(AP494/60,4),"")</f>
        <v/>
      </c>
      <c r="M494" s="77" t="str">
        <f>IF(BD494=1,ROUND(AQ494/60,4),"")</f>
        <v/>
      </c>
      <c r="N494" s="71" t="str">
        <f>IF(AND(D494="proMX",AB494=1),ROUND(AG494/CFG_BLK,2),"")</f>
        <v/>
      </c>
      <c r="O494" s="77" t="str">
        <f>IF(D494="proMX",IF(BD494=1,ROUND(AG494/60,4),0),"")</f>
        <v/>
      </c>
      <c r="P494" s="78" t="str">
        <f>IF(Y494=0,"",IF(BD494=1,"OK",IF(D494="proMX","Revisar bloques: ","Revisar: ")&amp;BC494))</f>
        <v/>
      </c>
      <c r="Q494" s="78" t="str">
        <f>IF(NOT(ISNUMBER(B494)),"",IF(COUNTIFS(FER_F,INT(B494))&gt;0,"Feriado"&amp;IF(AH494=1," (laborable)"," (no laborable)"),IF(AH494=1,"Laborable",IF(WEEKDAY(B494,2)&gt;5,"Fin de semana","No laborable"))))</f>
        <v/>
      </c>
      <c r="R494" s="73" t="n"/>
      <c r="S494" s="72" t="n"/>
      <c r="T494" s="72" t="n"/>
      <c r="U494" s="74" t="n"/>
      <c r="V494" s="79" t="str">
        <f>IF(AND(D494="proMX",OR(R494="Submitted",R494="Recall Requested"),ISNUMBER(S494)),CFG_TODAY-INT(S494),"")</f>
        <v/>
      </c>
      <c r="W494" s="78" t="str">
        <f>IF(BD494=0,"",IF(BA494&gt;0,"⚠ Se superpone con un registro de la otra empresa",IF(D494="Malcolm",IF(COUNTA(R494,S494,T494)&gt;0,"Estado/fechas proMX se ignoran en Malcolm",""),IF(BF494="Cancelled","Cancelado: excluido de totales",IF(R494="","Sin estado: se trata como Draft",IF(BF494="Submitted",IF(ISNUMBER(V494),IF(V494&gt;CFG_MAXD,"⚠ "&amp;V494&amp;" días en Submitted (máx. "&amp;CFG_MAXD&amp;")",""),"Falta fecha de envío"),IF(BF494="Returned","⚠ Devuelto: corregir y reenviar",IF(BF494="Recall Requested","Retirada solicitada: pendiente",IF(AND(BF494="Approved",NOT(ISNUMBER(T494))),"Falta fecha de aprobación",IF(AND(ISNUMBER(S494),ISNUMBER(T494),T494&lt;S494),"Aprobación anterior al envío","")))))))))</f>
        <v/>
      </c>
      <c r="Y494" s="80">
        <f>IF(COUNTA(B494,D494,E494,F494,G494,H494,I494,J494,R494,S494,T494)&gt;0,1,0)</f>
        <v>0</v>
      </c>
      <c r="Z494" s="80" t="str">
        <f>IF(AND(ISNUMBER(H494),H494&gt;=0,H494&lt;1),ROUND(H494*1440,0),"")</f>
        <v/>
      </c>
      <c r="AA494" s="80" t="str">
        <f>IF(AND(ISNUMBER(I494),I494&gt;=0,I494&lt;1),ROUND(I494*1440,0),"")</f>
        <v/>
      </c>
      <c r="AB494" s="80">
        <f>IF(AND(ISNUMBER(B494),D494&lt;&gt;"",ISNUMBER(Z494),ISNUMBER(AA494)),IF(Z494=AA494,0,1),0)</f>
        <v>0</v>
      </c>
      <c r="AC494" s="80">
        <f>IF(AB494=1,IF(AA494&lt;Z494,1,0),0)</f>
        <v>0</v>
      </c>
      <c r="AD494" s="80">
        <f>IF(AB494=1,IF(AC494=1,1440-Z494+AA494,AA494-Z494),0)</f>
        <v>0</v>
      </c>
      <c r="AE494" s="80">
        <f>IF(J494="",0,IF(ISNUMBER(J494),J494,-1))</f>
        <v>0</v>
      </c>
      <c r="AF494" s="80">
        <f>MIN(MAX(0,AE494),AD494)</f>
        <v>0</v>
      </c>
      <c r="AG494" s="80">
        <f>MAX(0,AD494-MAX(0,AE494))</f>
        <v>0</v>
      </c>
      <c r="AH494" s="80">
        <f>IF(ISNUMBER(B494),IF(AND(INDEX(CFG_WDAYS,WEEKDAY(INT(B494),2))="Sí",IF(D494="proMX",COUNTIFS(FER_F,INT(B494),FER_NLP,"Sí"),COUNTIFS(FER_F,INT(B494),FER_NLM,"Sí"))=0),1,0),0)</f>
        <v>0</v>
      </c>
      <c r="AI494" s="80">
        <f>IF(AC494=1,IF(AND(INDEX(CFG_WDAYS,WEEKDAY(INT(B494)+1,2))="Sí",IF(D494="proMX",COUNTIFS(FER_F,INT(B494)+1,FER_NLP,"Sí"),COUNTIFS(FER_F,INT(B494)+1,FER_NLM,"Sí"))=0),1,0),0)</f>
        <v>0</v>
      </c>
      <c r="AJ494" s="80">
        <f>IF(AC494=1,1440-Z494,AD494)</f>
        <v>0</v>
      </c>
      <c r="AK494" s="80">
        <f>IF(AND(AB494=1,AH494=1),MAX(0,MIN(IF(AC494=1,1440,AA494),CFG_WEM)-MAX(Z494,CFG_WSM)),0)</f>
        <v>0</v>
      </c>
      <c r="AL494" s="80">
        <f>IF(AND(AC494=1,AI494=1),MAX(0,MIN(AA494,CFG_WEM)-CFG_WSM),0)</f>
        <v>0</v>
      </c>
      <c r="AM494" s="80">
        <f>AK494+AL494</f>
        <v>0</v>
      </c>
      <c r="AN494" s="80">
        <f>IF(CFG_BRK="Proporcional",IF(AD494=0,0,AF494*AM494/AD494),IF(CFG_BRK="Extras primero",MIN(AM494,MAX(0,AF494-(AD494-AM494))),MIN(AF494,AM494)))</f>
        <v>0</v>
      </c>
      <c r="AO494" s="80">
        <f>AF494-AN494</f>
        <v>0</v>
      </c>
      <c r="AP494" s="80">
        <f>AM494-AN494</f>
        <v>0</v>
      </c>
      <c r="AQ494" s="80">
        <f>AD494-AM494-AO494</f>
        <v>0</v>
      </c>
      <c r="AR494" s="80">
        <f>IF(AM494=0,0,AK494-AN494*AK494/AM494)</f>
        <v>0</v>
      </c>
      <c r="AS494" s="80">
        <f>IF(AD494-AM494=0,0,(AJ494-AK494)-AO494*(AJ494-AK494)/(AD494-AM494))</f>
        <v>0</v>
      </c>
      <c r="AT494" s="80" t="str">
        <f>IF(AC494=1,INT(B494)+1,"")</f>
        <v/>
      </c>
      <c r="AU494" s="80">
        <f>IF(AND(D494="proMX",R494="Cancelled"),0,1)</f>
        <v>1</v>
      </c>
      <c r="AV494" s="80">
        <f>IF(AND(AB494=1,AU494=1),IF(COUNTIFS($D$5:D493,D494,$B$5:B493,B494,$Z$5:Z493,Z494,$AA$5:AA493,AA494,$F$5:F493,F494&amp;"",$AU$5:AU493,1)&gt;0,1,0),0)</f>
        <v>0</v>
      </c>
      <c r="AW494" s="80" t="str">
        <f>IF(AB494=1,INT(B494)*1440+Z494,"")</f>
        <v/>
      </c>
      <c r="AX494" s="80" t="str">
        <f>IF(AB494=1,AW494+AD494,"")</f>
        <v/>
      </c>
      <c r="AY494" s="80">
        <f>IF(AND(AB494=1,AV494=0,AU494=1),1,0)</f>
        <v>0</v>
      </c>
      <c r="AZ494" s="80">
        <f>IF(AY494=1,COUNTIFS(R_Emp,D494,R_SAbs,"&lt;"&amp;AX494,R_EAbs,"&gt;"&amp;AW494,R_OKey,1)-1,0)</f>
        <v>0</v>
      </c>
      <c r="BA494" s="80">
        <f>IF(AY494=1,COUNTIFS(R_Emp,"&lt;&gt;"&amp;D494,R_SAbs,"&lt;"&amp;AX494,R_EAbs,"&gt;"&amp;AW494,R_OKey,1),0)</f>
        <v>0</v>
      </c>
      <c r="BB494" s="80">
        <f>IF(AND(AB494=1,D494="proMX"),IF(AND(MOD(Z494,CFG_BLK)=0,MOD(AA494,CFG_BLK)=0,MOD(AG494,CFG_BLK)=0,AG494&gt;0),1,0),1)</f>
        <v>1</v>
      </c>
      <c r="BC494" s="80" t="str">
        <f>IF(Y494=0,"",IF(NOT(ISNUMBER(B494)),"Falta fecha o fecha inválida",IF(D494="","Falta empresa",IF(AND(D494&lt;&gt;"Malcolm",D494&lt;&gt;"proMX"),"Empresa inválida",IF(OR(INT(B494)&lt;CFG_PSTART,INT(B494)&gt;CFG_PEND),"Fecha fuera del período",IF(OR(NOT(ISNUMBER(Z494)),NOT(ISNUMBER(AA494))),"Falta hora inicio/fin o formato inválido",IF(AB494=0,"Hora inicio = hora fin",IF(AE494&lt;0,"Descanso inválido",IF(AE494&gt;=AD494,"Descanso ≥ duración",IF(AV494=1,"Registro duplicado",IF(AZ494&gt;0,"Se superpone con otro registro "&amp;D494,IF(BB494=0,"inicio, fin y duración neta deben ser múltiplos de "&amp;CFG_BLK&amp;" min",""))))))))))))</f>
        <v/>
      </c>
      <c r="BD494" s="80">
        <f>IF(AND(Y494=1,BC494=""),1,0)</f>
        <v>0</v>
      </c>
      <c r="BE494" s="80">
        <f>IF(AND(BD494=1,AU494=1),1,0)</f>
        <v>0</v>
      </c>
      <c r="BF494" s="80" t="str">
        <f>IF(AND(D494="proMX",BD494=1),IF(R494="","Draft",R494),"")</f>
        <v/>
      </c>
      <c r="BG494" s="80">
        <f>IF(BD494=1,ROUND(AG494/60,6),0)</f>
        <v>0</v>
      </c>
      <c r="BH494" s="80">
        <f>IF(BE494=1,ROUND(AG494/60,6),0)</f>
        <v>0</v>
      </c>
      <c r="BI494" s="80">
        <f>IF(BE494=1,ROUND(AP494/60,6),0)</f>
        <v>0</v>
      </c>
      <c r="BJ494" s="80">
        <f>IF(BE494=1,ROUND(AQ494/60,6),0)</f>
        <v>0</v>
      </c>
      <c r="BK494" s="80">
        <f>IF(BE494=1,ROUND((AR494+AS494)/60,6),0)</f>
        <v>0</v>
      </c>
      <c r="BL494" s="80">
        <f>ROUND(BH494-BK494,6)</f>
        <v>0</v>
      </c>
      <c r="BM494" s="80">
        <f>IF(BE494=1,ROUND(AR494/60,6),0)</f>
        <v>0</v>
      </c>
      <c r="BN494" s="80">
        <f>ROUND(BI494-BM494,6)</f>
        <v>0</v>
      </c>
      <c r="BO494" s="80">
        <f>IF(BE494=1,ROUND(AS494/60,6),0)</f>
        <v>0</v>
      </c>
      <c r="BP494" s="80">
        <f>ROUND(BJ494-BO494,6)</f>
        <v>0</v>
      </c>
      <c r="BQ494" s="80">
        <f>IF(BE494=1,AW494,0)</f>
        <v>0</v>
      </c>
      <c r="BR494" s="80">
        <f>IF(BE494=1,AX494,0)</f>
        <v>0</v>
      </c>
      <c r="BS494" s="80">
        <f>IF(AND(BE494=1,D494="Malcolm",BA494&gt;0),MIN(BH494,SUMPRODUCT((R_Emp="proMX")*(R_EN&gt;0)*((R_EN-(R_EN&gt;BR494)*(R_EN-BR494))&gt;(R_SN+(R_SN&lt;BQ494)*(BQ494-R_SN)))*((R_EN-(R_EN&gt;BR494)*(R_EN-BR494))-(R_SN+(R_SN&lt;BQ494)*(BQ494-R_SN))))/60),0)</f>
        <v>0</v>
      </c>
      <c r="BT494" s="80">
        <f>IF(AND(BE494=1,D494="proMX"),ROUND(BI494*CFG_RATE+BJ494*CFG_OTRATE,6),0)</f>
        <v>0</v>
      </c>
      <c r="BU494" s="80">
        <f>IF(AND(BD494=1,D494="proMX"),ROUND(AG494/CFG_BLK,6),0)</f>
        <v>0</v>
      </c>
      <c r="BV494" s="80" t="str">
        <f>IF(BF494="Approved",IF(ISNUMBER(T494),INT(T494),INT(B494)),"")</f>
        <v/>
      </c>
      <c r="BW494" s="80">
        <f>IF(ISNUMBER(B494),IF(DB_MON="Todos",1,IF(AND(INT(B494)&gt;=DB_MS,INT(B494)&lt;=DB_ME),1,0)),0)</f>
        <v>0</v>
      </c>
      <c r="BX494" s="80">
        <f>IF(DB_PROJ="Todos",1,IF(E494&amp;""=DB_PROJ&amp;"",1,0))</f>
        <v>1</v>
      </c>
      <c r="BY494" s="80">
        <f>BW494*BX494</f>
        <v>0</v>
      </c>
      <c r="BZ494" s="80" t="str">
        <f>IF(Y494=1,F494&amp;IF(AND(F494&amp;""&lt;&gt;"",E494&amp;""&lt;&gt;"")," · ","")&amp;E494,"")</f>
        <v/>
      </c>
      <c r="CA494" s="80" t="str">
        <f>IF(AND(BD494=1,E494&amp;""&lt;&gt;""),IF(COUNTIFS($E$5:E493,E494,$BD$5:BD493,1)=0,MAX($CA$5:CA493)+1,""),"")</f>
        <v/>
      </c>
      <c r="CB494" s="80" t="str">
        <f>IF(AND(BE494=1,D494="Malcolm",E494&amp;""&lt;&gt;""),IF(COUNTIFS($D$5:D493,"Malcolm",$E$5:E493,E494,$BE$5:BE493,1)=0,MAX($CB$5:CB493)+1,""),"")</f>
        <v/>
      </c>
      <c r="CC494" s="80" t="str">
        <f>IF(AND(BD494=1,D494="proMX",E494&amp;""&lt;&gt;""),IF(COUNTIFS($D$5:D493,"proMX",$E$5:E493,E494,$BD$5:BD493,1)=0,MAX($CC$5:CC493)+1,""),"")</f>
        <v/>
      </c>
      <c r="CD494" s="80" t="str">
        <f>IF(AND(BE494=1,D494="Malcolm",F494&amp;""&lt;&gt;""),IF(COUNTIFS($D$5:D493,"Malcolm",$F$5:F493,F494,$BE$5:BE493,1)=0,MAX($CD$5:CD493)+1,""),"")</f>
        <v/>
      </c>
      <c r="CE494" s="80" t="str">
        <f>IF(AND(BD494=1,D494="proMX",F494&amp;""&lt;&gt;""),IF(COUNTIFS($D$5:D493,"proMX",$F$5:F493,F494,$BD$5:BD493,1)=0,MAX($CE$5:CE493)+1,""),"")</f>
        <v/>
      </c>
      <c r="CF494" s="80" t="str">
        <f>IF(AND(D494="proMX",BD494=1),IF(OR(BF494="Draft",BF494="Submitted",BF494="Returned",BF494="Recall Requested"),MAX($CF$5:CF493)+1,""),"")</f>
        <v/>
      </c>
      <c r="CG494" s="80">
        <f>IF(BD494=0,0,IF(D494="Malcolm",1,MATCH(BF494,{"Draft","Submitted","Approved","Returned","Recall Requested","Cancelled"},0)+1))</f>
        <v>0</v>
      </c>
      <c r="CH494" s="80">
        <f>IF(AND(BF494="Submitted",ISNUMBER(V494)),IF(V494&gt;CFG_MAXD,1,0),0)</f>
        <v>0</v>
      </c>
    </row>
    <row r="495">
      <c r="A495" s="71" t="str">
        <f>IF(Y495=1,ROW()-5,"")</f>
        <v/>
      </c>
      <c r="B495" s="72" t="n"/>
      <c r="C495" s="71" t="str">
        <f>IF(ISNUMBER(B495),CHOOSE(WEEKDAY(B495,2),"Lun","Mar","Mié","Jue","Vie","Sáb","Dom"),"")</f>
        <v/>
      </c>
      <c r="D495" s="73" t="n"/>
      <c r="E495" s="74" t="n"/>
      <c r="F495" s="74" t="n"/>
      <c r="G495" s="74" t="n"/>
      <c r="H495" s="75" t="n"/>
      <c r="I495" s="75" t="n"/>
      <c r="J495" s="76" t="n"/>
      <c r="K495" s="77" t="str">
        <f>IF(AB495=1,ROUND(AG495/60,4),"")</f>
        <v/>
      </c>
      <c r="L495" s="77" t="str">
        <f>IF(BD495=1,ROUND(AP495/60,4),"")</f>
        <v/>
      </c>
      <c r="M495" s="77" t="str">
        <f>IF(BD495=1,ROUND(AQ495/60,4),"")</f>
        <v/>
      </c>
      <c r="N495" s="71" t="str">
        <f>IF(AND(D495="proMX",AB495=1),ROUND(AG495/CFG_BLK,2),"")</f>
        <v/>
      </c>
      <c r="O495" s="77" t="str">
        <f>IF(D495="proMX",IF(BD495=1,ROUND(AG495/60,4),0),"")</f>
        <v/>
      </c>
      <c r="P495" s="78" t="str">
        <f>IF(Y495=0,"",IF(BD495=1,"OK",IF(D495="proMX","Revisar bloques: ","Revisar: ")&amp;BC495))</f>
        <v/>
      </c>
      <c r="Q495" s="78" t="str">
        <f>IF(NOT(ISNUMBER(B495)),"",IF(COUNTIFS(FER_F,INT(B495))&gt;0,"Feriado"&amp;IF(AH495=1," (laborable)"," (no laborable)"),IF(AH495=1,"Laborable",IF(WEEKDAY(B495,2)&gt;5,"Fin de semana","No laborable"))))</f>
        <v/>
      </c>
      <c r="R495" s="73" t="n"/>
      <c r="S495" s="72" t="n"/>
      <c r="T495" s="72" t="n"/>
      <c r="U495" s="74" t="n"/>
      <c r="V495" s="79" t="str">
        <f>IF(AND(D495="proMX",OR(R495="Submitted",R495="Recall Requested"),ISNUMBER(S495)),CFG_TODAY-INT(S495),"")</f>
        <v/>
      </c>
      <c r="W495" s="78" t="str">
        <f>IF(BD495=0,"",IF(BA495&gt;0,"⚠ Se superpone con un registro de la otra empresa",IF(D495="Malcolm",IF(COUNTA(R495,S495,T495)&gt;0,"Estado/fechas proMX se ignoran en Malcolm",""),IF(BF495="Cancelled","Cancelado: excluido de totales",IF(R495="","Sin estado: se trata como Draft",IF(BF495="Submitted",IF(ISNUMBER(V495),IF(V495&gt;CFG_MAXD,"⚠ "&amp;V495&amp;" días en Submitted (máx. "&amp;CFG_MAXD&amp;")",""),"Falta fecha de envío"),IF(BF495="Returned","⚠ Devuelto: corregir y reenviar",IF(BF495="Recall Requested","Retirada solicitada: pendiente",IF(AND(BF495="Approved",NOT(ISNUMBER(T495))),"Falta fecha de aprobación",IF(AND(ISNUMBER(S495),ISNUMBER(T495),T495&lt;S495),"Aprobación anterior al envío","")))))))))</f>
        <v/>
      </c>
      <c r="Y495" s="80">
        <f>IF(COUNTA(B495,D495,E495,F495,G495,H495,I495,J495,R495,S495,T495)&gt;0,1,0)</f>
        <v>0</v>
      </c>
      <c r="Z495" s="80" t="str">
        <f>IF(AND(ISNUMBER(H495),H495&gt;=0,H495&lt;1),ROUND(H495*1440,0),"")</f>
        <v/>
      </c>
      <c r="AA495" s="80" t="str">
        <f>IF(AND(ISNUMBER(I495),I495&gt;=0,I495&lt;1),ROUND(I495*1440,0),"")</f>
        <v/>
      </c>
      <c r="AB495" s="80">
        <f>IF(AND(ISNUMBER(B495),D495&lt;&gt;"",ISNUMBER(Z495),ISNUMBER(AA495)),IF(Z495=AA495,0,1),0)</f>
        <v>0</v>
      </c>
      <c r="AC495" s="80">
        <f>IF(AB495=1,IF(AA495&lt;Z495,1,0),0)</f>
        <v>0</v>
      </c>
      <c r="AD495" s="80">
        <f>IF(AB495=1,IF(AC495=1,1440-Z495+AA495,AA495-Z495),0)</f>
        <v>0</v>
      </c>
      <c r="AE495" s="80">
        <f>IF(J495="",0,IF(ISNUMBER(J495),J495,-1))</f>
        <v>0</v>
      </c>
      <c r="AF495" s="80">
        <f>MIN(MAX(0,AE495),AD495)</f>
        <v>0</v>
      </c>
      <c r="AG495" s="80">
        <f>MAX(0,AD495-MAX(0,AE495))</f>
        <v>0</v>
      </c>
      <c r="AH495" s="80">
        <f>IF(ISNUMBER(B495),IF(AND(INDEX(CFG_WDAYS,WEEKDAY(INT(B495),2))="Sí",IF(D495="proMX",COUNTIFS(FER_F,INT(B495),FER_NLP,"Sí"),COUNTIFS(FER_F,INT(B495),FER_NLM,"Sí"))=0),1,0),0)</f>
        <v>0</v>
      </c>
      <c r="AI495" s="80">
        <f>IF(AC495=1,IF(AND(INDEX(CFG_WDAYS,WEEKDAY(INT(B495)+1,2))="Sí",IF(D495="proMX",COUNTIFS(FER_F,INT(B495)+1,FER_NLP,"Sí"),COUNTIFS(FER_F,INT(B495)+1,FER_NLM,"Sí"))=0),1,0),0)</f>
        <v>0</v>
      </c>
      <c r="AJ495" s="80">
        <f>IF(AC495=1,1440-Z495,AD495)</f>
        <v>0</v>
      </c>
      <c r="AK495" s="80">
        <f>IF(AND(AB495=1,AH495=1),MAX(0,MIN(IF(AC495=1,1440,AA495),CFG_WEM)-MAX(Z495,CFG_WSM)),0)</f>
        <v>0</v>
      </c>
      <c r="AL495" s="80">
        <f>IF(AND(AC495=1,AI495=1),MAX(0,MIN(AA495,CFG_WEM)-CFG_WSM),0)</f>
        <v>0</v>
      </c>
      <c r="AM495" s="80">
        <f>AK495+AL495</f>
        <v>0</v>
      </c>
      <c r="AN495" s="80">
        <f>IF(CFG_BRK="Proporcional",IF(AD495=0,0,AF495*AM495/AD495),IF(CFG_BRK="Extras primero",MIN(AM495,MAX(0,AF495-(AD495-AM495))),MIN(AF495,AM495)))</f>
        <v>0</v>
      </c>
      <c r="AO495" s="80">
        <f>AF495-AN495</f>
        <v>0</v>
      </c>
      <c r="AP495" s="80">
        <f>AM495-AN495</f>
        <v>0</v>
      </c>
      <c r="AQ495" s="80">
        <f>AD495-AM495-AO495</f>
        <v>0</v>
      </c>
      <c r="AR495" s="80">
        <f>IF(AM495=0,0,AK495-AN495*AK495/AM495)</f>
        <v>0</v>
      </c>
      <c r="AS495" s="80">
        <f>IF(AD495-AM495=0,0,(AJ495-AK495)-AO495*(AJ495-AK495)/(AD495-AM495))</f>
        <v>0</v>
      </c>
      <c r="AT495" s="80" t="str">
        <f>IF(AC495=1,INT(B495)+1,"")</f>
        <v/>
      </c>
      <c r="AU495" s="80">
        <f>IF(AND(D495="proMX",R495="Cancelled"),0,1)</f>
        <v>1</v>
      </c>
      <c r="AV495" s="80">
        <f>IF(AND(AB495=1,AU495=1),IF(COUNTIFS($D$5:D494,D495,$B$5:B494,B495,$Z$5:Z494,Z495,$AA$5:AA494,AA495,$F$5:F494,F495&amp;"",$AU$5:AU494,1)&gt;0,1,0),0)</f>
        <v>0</v>
      </c>
      <c r="AW495" s="80" t="str">
        <f>IF(AB495=1,INT(B495)*1440+Z495,"")</f>
        <v/>
      </c>
      <c r="AX495" s="80" t="str">
        <f>IF(AB495=1,AW495+AD495,"")</f>
        <v/>
      </c>
      <c r="AY495" s="80">
        <f>IF(AND(AB495=1,AV495=0,AU495=1),1,0)</f>
        <v>0</v>
      </c>
      <c r="AZ495" s="80">
        <f>IF(AY495=1,COUNTIFS(R_Emp,D495,R_SAbs,"&lt;"&amp;AX495,R_EAbs,"&gt;"&amp;AW495,R_OKey,1)-1,0)</f>
        <v>0</v>
      </c>
      <c r="BA495" s="80">
        <f>IF(AY495=1,COUNTIFS(R_Emp,"&lt;&gt;"&amp;D495,R_SAbs,"&lt;"&amp;AX495,R_EAbs,"&gt;"&amp;AW495,R_OKey,1),0)</f>
        <v>0</v>
      </c>
      <c r="BB495" s="80">
        <f>IF(AND(AB495=1,D495="proMX"),IF(AND(MOD(Z495,CFG_BLK)=0,MOD(AA495,CFG_BLK)=0,MOD(AG495,CFG_BLK)=0,AG495&gt;0),1,0),1)</f>
        <v>1</v>
      </c>
      <c r="BC495" s="80" t="str">
        <f>IF(Y495=0,"",IF(NOT(ISNUMBER(B495)),"Falta fecha o fecha inválida",IF(D495="","Falta empresa",IF(AND(D495&lt;&gt;"Malcolm",D495&lt;&gt;"proMX"),"Empresa inválida",IF(OR(INT(B495)&lt;CFG_PSTART,INT(B495)&gt;CFG_PEND),"Fecha fuera del período",IF(OR(NOT(ISNUMBER(Z495)),NOT(ISNUMBER(AA495))),"Falta hora inicio/fin o formato inválido",IF(AB495=0,"Hora inicio = hora fin",IF(AE495&lt;0,"Descanso inválido",IF(AE495&gt;=AD495,"Descanso ≥ duración",IF(AV495=1,"Registro duplicado",IF(AZ495&gt;0,"Se superpone con otro registro "&amp;D495,IF(BB495=0,"inicio, fin y duración neta deben ser múltiplos de "&amp;CFG_BLK&amp;" min",""))))))))))))</f>
        <v/>
      </c>
      <c r="BD495" s="80">
        <f>IF(AND(Y495=1,BC495=""),1,0)</f>
        <v>0</v>
      </c>
      <c r="BE495" s="80">
        <f>IF(AND(BD495=1,AU495=1),1,0)</f>
        <v>0</v>
      </c>
      <c r="BF495" s="80" t="str">
        <f>IF(AND(D495="proMX",BD495=1),IF(R495="","Draft",R495),"")</f>
        <v/>
      </c>
      <c r="BG495" s="80">
        <f>IF(BD495=1,ROUND(AG495/60,6),0)</f>
        <v>0</v>
      </c>
      <c r="BH495" s="80">
        <f>IF(BE495=1,ROUND(AG495/60,6),0)</f>
        <v>0</v>
      </c>
      <c r="BI495" s="80">
        <f>IF(BE495=1,ROUND(AP495/60,6),0)</f>
        <v>0</v>
      </c>
      <c r="BJ495" s="80">
        <f>IF(BE495=1,ROUND(AQ495/60,6),0)</f>
        <v>0</v>
      </c>
      <c r="BK495" s="80">
        <f>IF(BE495=1,ROUND((AR495+AS495)/60,6),0)</f>
        <v>0</v>
      </c>
      <c r="BL495" s="80">
        <f>ROUND(BH495-BK495,6)</f>
        <v>0</v>
      </c>
      <c r="BM495" s="80">
        <f>IF(BE495=1,ROUND(AR495/60,6),0)</f>
        <v>0</v>
      </c>
      <c r="BN495" s="80">
        <f>ROUND(BI495-BM495,6)</f>
        <v>0</v>
      </c>
      <c r="BO495" s="80">
        <f>IF(BE495=1,ROUND(AS495/60,6),0)</f>
        <v>0</v>
      </c>
      <c r="BP495" s="80">
        <f>ROUND(BJ495-BO495,6)</f>
        <v>0</v>
      </c>
      <c r="BQ495" s="80">
        <f>IF(BE495=1,AW495,0)</f>
        <v>0</v>
      </c>
      <c r="BR495" s="80">
        <f>IF(BE495=1,AX495,0)</f>
        <v>0</v>
      </c>
      <c r="BS495" s="80">
        <f>IF(AND(BE495=1,D495="Malcolm",BA495&gt;0),MIN(BH495,SUMPRODUCT((R_Emp="proMX")*(R_EN&gt;0)*((R_EN-(R_EN&gt;BR495)*(R_EN-BR495))&gt;(R_SN+(R_SN&lt;BQ495)*(BQ495-R_SN)))*((R_EN-(R_EN&gt;BR495)*(R_EN-BR495))-(R_SN+(R_SN&lt;BQ495)*(BQ495-R_SN))))/60),0)</f>
        <v>0</v>
      </c>
      <c r="BT495" s="80">
        <f>IF(AND(BE495=1,D495="proMX"),ROUND(BI495*CFG_RATE+BJ495*CFG_OTRATE,6),0)</f>
        <v>0</v>
      </c>
      <c r="BU495" s="80">
        <f>IF(AND(BD495=1,D495="proMX"),ROUND(AG495/CFG_BLK,6),0)</f>
        <v>0</v>
      </c>
      <c r="BV495" s="80" t="str">
        <f>IF(BF495="Approved",IF(ISNUMBER(T495),INT(T495),INT(B495)),"")</f>
        <v/>
      </c>
      <c r="BW495" s="80">
        <f>IF(ISNUMBER(B495),IF(DB_MON="Todos",1,IF(AND(INT(B495)&gt;=DB_MS,INT(B495)&lt;=DB_ME),1,0)),0)</f>
        <v>0</v>
      </c>
      <c r="BX495" s="80">
        <f>IF(DB_PROJ="Todos",1,IF(E495&amp;""=DB_PROJ&amp;"",1,0))</f>
        <v>1</v>
      </c>
      <c r="BY495" s="80">
        <f>BW495*BX495</f>
        <v>0</v>
      </c>
      <c r="BZ495" s="80" t="str">
        <f>IF(Y495=1,F495&amp;IF(AND(F495&amp;""&lt;&gt;"",E495&amp;""&lt;&gt;"")," · ","")&amp;E495,"")</f>
        <v/>
      </c>
      <c r="CA495" s="80" t="str">
        <f>IF(AND(BD495=1,E495&amp;""&lt;&gt;""),IF(COUNTIFS($E$5:E494,E495,$BD$5:BD494,1)=0,MAX($CA$5:CA494)+1,""),"")</f>
        <v/>
      </c>
      <c r="CB495" s="80" t="str">
        <f>IF(AND(BE495=1,D495="Malcolm",E495&amp;""&lt;&gt;""),IF(COUNTIFS($D$5:D494,"Malcolm",$E$5:E494,E495,$BE$5:BE494,1)=0,MAX($CB$5:CB494)+1,""),"")</f>
        <v/>
      </c>
      <c r="CC495" s="80" t="str">
        <f>IF(AND(BD495=1,D495="proMX",E495&amp;""&lt;&gt;""),IF(COUNTIFS($D$5:D494,"proMX",$E$5:E494,E495,$BD$5:BD494,1)=0,MAX($CC$5:CC494)+1,""),"")</f>
        <v/>
      </c>
      <c r="CD495" s="80" t="str">
        <f>IF(AND(BE495=1,D495="Malcolm",F495&amp;""&lt;&gt;""),IF(COUNTIFS($D$5:D494,"Malcolm",$F$5:F494,F495,$BE$5:BE494,1)=0,MAX($CD$5:CD494)+1,""),"")</f>
        <v/>
      </c>
      <c r="CE495" s="80" t="str">
        <f>IF(AND(BD495=1,D495="proMX",F495&amp;""&lt;&gt;""),IF(COUNTIFS($D$5:D494,"proMX",$F$5:F494,F495,$BD$5:BD494,1)=0,MAX($CE$5:CE494)+1,""),"")</f>
        <v/>
      </c>
      <c r="CF495" s="80" t="str">
        <f>IF(AND(D495="proMX",BD495=1),IF(OR(BF495="Draft",BF495="Submitted",BF495="Returned",BF495="Recall Requested"),MAX($CF$5:CF494)+1,""),"")</f>
        <v/>
      </c>
      <c r="CG495" s="80">
        <f>IF(BD495=0,0,IF(D495="Malcolm",1,MATCH(BF495,{"Draft","Submitted","Approved","Returned","Recall Requested","Cancelled"},0)+1))</f>
        <v>0</v>
      </c>
      <c r="CH495" s="80">
        <f>IF(AND(BF495="Submitted",ISNUMBER(V495)),IF(V495&gt;CFG_MAXD,1,0),0)</f>
        <v>0</v>
      </c>
    </row>
    <row r="496">
      <c r="A496" s="71" t="str">
        <f>IF(Y496=1,ROW()-5,"")</f>
        <v/>
      </c>
      <c r="B496" s="72" t="n"/>
      <c r="C496" s="71" t="str">
        <f>IF(ISNUMBER(B496),CHOOSE(WEEKDAY(B496,2),"Lun","Mar","Mié","Jue","Vie","Sáb","Dom"),"")</f>
        <v/>
      </c>
      <c r="D496" s="73" t="n"/>
      <c r="E496" s="74" t="n"/>
      <c r="F496" s="74" t="n"/>
      <c r="G496" s="74" t="n"/>
      <c r="H496" s="75" t="n"/>
      <c r="I496" s="75" t="n"/>
      <c r="J496" s="76" t="n"/>
      <c r="K496" s="77" t="str">
        <f>IF(AB496=1,ROUND(AG496/60,4),"")</f>
        <v/>
      </c>
      <c r="L496" s="77" t="str">
        <f>IF(BD496=1,ROUND(AP496/60,4),"")</f>
        <v/>
      </c>
      <c r="M496" s="77" t="str">
        <f>IF(BD496=1,ROUND(AQ496/60,4),"")</f>
        <v/>
      </c>
      <c r="N496" s="71" t="str">
        <f>IF(AND(D496="proMX",AB496=1),ROUND(AG496/CFG_BLK,2),"")</f>
        <v/>
      </c>
      <c r="O496" s="77" t="str">
        <f>IF(D496="proMX",IF(BD496=1,ROUND(AG496/60,4),0),"")</f>
        <v/>
      </c>
      <c r="P496" s="78" t="str">
        <f>IF(Y496=0,"",IF(BD496=1,"OK",IF(D496="proMX","Revisar bloques: ","Revisar: ")&amp;BC496))</f>
        <v/>
      </c>
      <c r="Q496" s="78" t="str">
        <f>IF(NOT(ISNUMBER(B496)),"",IF(COUNTIFS(FER_F,INT(B496))&gt;0,"Feriado"&amp;IF(AH496=1," (laborable)"," (no laborable)"),IF(AH496=1,"Laborable",IF(WEEKDAY(B496,2)&gt;5,"Fin de semana","No laborable"))))</f>
        <v/>
      </c>
      <c r="R496" s="73" t="n"/>
      <c r="S496" s="72" t="n"/>
      <c r="T496" s="72" t="n"/>
      <c r="U496" s="74" t="n"/>
      <c r="V496" s="79" t="str">
        <f>IF(AND(D496="proMX",OR(R496="Submitted",R496="Recall Requested"),ISNUMBER(S496)),CFG_TODAY-INT(S496),"")</f>
        <v/>
      </c>
      <c r="W496" s="78" t="str">
        <f>IF(BD496=0,"",IF(BA496&gt;0,"⚠ Se superpone con un registro de la otra empresa",IF(D496="Malcolm",IF(COUNTA(R496,S496,T496)&gt;0,"Estado/fechas proMX se ignoran en Malcolm",""),IF(BF496="Cancelled","Cancelado: excluido de totales",IF(R496="","Sin estado: se trata como Draft",IF(BF496="Submitted",IF(ISNUMBER(V496),IF(V496&gt;CFG_MAXD,"⚠ "&amp;V496&amp;" días en Submitted (máx. "&amp;CFG_MAXD&amp;")",""),"Falta fecha de envío"),IF(BF496="Returned","⚠ Devuelto: corregir y reenviar",IF(BF496="Recall Requested","Retirada solicitada: pendiente",IF(AND(BF496="Approved",NOT(ISNUMBER(T496))),"Falta fecha de aprobación",IF(AND(ISNUMBER(S496),ISNUMBER(T496),T496&lt;S496),"Aprobación anterior al envío","")))))))))</f>
        <v/>
      </c>
      <c r="Y496" s="80">
        <f>IF(COUNTA(B496,D496,E496,F496,G496,H496,I496,J496,R496,S496,T496)&gt;0,1,0)</f>
        <v>0</v>
      </c>
      <c r="Z496" s="80" t="str">
        <f>IF(AND(ISNUMBER(H496),H496&gt;=0,H496&lt;1),ROUND(H496*1440,0),"")</f>
        <v/>
      </c>
      <c r="AA496" s="80" t="str">
        <f>IF(AND(ISNUMBER(I496),I496&gt;=0,I496&lt;1),ROUND(I496*1440,0),"")</f>
        <v/>
      </c>
      <c r="AB496" s="80">
        <f>IF(AND(ISNUMBER(B496),D496&lt;&gt;"",ISNUMBER(Z496),ISNUMBER(AA496)),IF(Z496=AA496,0,1),0)</f>
        <v>0</v>
      </c>
      <c r="AC496" s="80">
        <f>IF(AB496=1,IF(AA496&lt;Z496,1,0),0)</f>
        <v>0</v>
      </c>
      <c r="AD496" s="80">
        <f>IF(AB496=1,IF(AC496=1,1440-Z496+AA496,AA496-Z496),0)</f>
        <v>0</v>
      </c>
      <c r="AE496" s="80">
        <f>IF(J496="",0,IF(ISNUMBER(J496),J496,-1))</f>
        <v>0</v>
      </c>
      <c r="AF496" s="80">
        <f>MIN(MAX(0,AE496),AD496)</f>
        <v>0</v>
      </c>
      <c r="AG496" s="80">
        <f>MAX(0,AD496-MAX(0,AE496))</f>
        <v>0</v>
      </c>
      <c r="AH496" s="80">
        <f>IF(ISNUMBER(B496),IF(AND(INDEX(CFG_WDAYS,WEEKDAY(INT(B496),2))="Sí",IF(D496="proMX",COUNTIFS(FER_F,INT(B496),FER_NLP,"Sí"),COUNTIFS(FER_F,INT(B496),FER_NLM,"Sí"))=0),1,0),0)</f>
        <v>0</v>
      </c>
      <c r="AI496" s="80">
        <f>IF(AC496=1,IF(AND(INDEX(CFG_WDAYS,WEEKDAY(INT(B496)+1,2))="Sí",IF(D496="proMX",COUNTIFS(FER_F,INT(B496)+1,FER_NLP,"Sí"),COUNTIFS(FER_F,INT(B496)+1,FER_NLM,"Sí"))=0),1,0),0)</f>
        <v>0</v>
      </c>
      <c r="AJ496" s="80">
        <f>IF(AC496=1,1440-Z496,AD496)</f>
        <v>0</v>
      </c>
      <c r="AK496" s="80">
        <f>IF(AND(AB496=1,AH496=1),MAX(0,MIN(IF(AC496=1,1440,AA496),CFG_WEM)-MAX(Z496,CFG_WSM)),0)</f>
        <v>0</v>
      </c>
      <c r="AL496" s="80">
        <f>IF(AND(AC496=1,AI496=1),MAX(0,MIN(AA496,CFG_WEM)-CFG_WSM),0)</f>
        <v>0</v>
      </c>
      <c r="AM496" s="80">
        <f>AK496+AL496</f>
        <v>0</v>
      </c>
      <c r="AN496" s="80">
        <f>IF(CFG_BRK="Proporcional",IF(AD496=0,0,AF496*AM496/AD496),IF(CFG_BRK="Extras primero",MIN(AM496,MAX(0,AF496-(AD496-AM496))),MIN(AF496,AM496)))</f>
        <v>0</v>
      </c>
      <c r="AO496" s="80">
        <f>AF496-AN496</f>
        <v>0</v>
      </c>
      <c r="AP496" s="80">
        <f>AM496-AN496</f>
        <v>0</v>
      </c>
      <c r="AQ496" s="80">
        <f>AD496-AM496-AO496</f>
        <v>0</v>
      </c>
      <c r="AR496" s="80">
        <f>IF(AM496=0,0,AK496-AN496*AK496/AM496)</f>
        <v>0</v>
      </c>
      <c r="AS496" s="80">
        <f>IF(AD496-AM496=0,0,(AJ496-AK496)-AO496*(AJ496-AK496)/(AD496-AM496))</f>
        <v>0</v>
      </c>
      <c r="AT496" s="80" t="str">
        <f>IF(AC496=1,INT(B496)+1,"")</f>
        <v/>
      </c>
      <c r="AU496" s="80">
        <f>IF(AND(D496="proMX",R496="Cancelled"),0,1)</f>
        <v>1</v>
      </c>
      <c r="AV496" s="80">
        <f>IF(AND(AB496=1,AU496=1),IF(COUNTIFS($D$5:D495,D496,$B$5:B495,B496,$Z$5:Z495,Z496,$AA$5:AA495,AA496,$F$5:F495,F496&amp;"",$AU$5:AU495,1)&gt;0,1,0),0)</f>
        <v>0</v>
      </c>
      <c r="AW496" s="80" t="str">
        <f>IF(AB496=1,INT(B496)*1440+Z496,"")</f>
        <v/>
      </c>
      <c r="AX496" s="80" t="str">
        <f>IF(AB496=1,AW496+AD496,"")</f>
        <v/>
      </c>
      <c r="AY496" s="80">
        <f>IF(AND(AB496=1,AV496=0,AU496=1),1,0)</f>
        <v>0</v>
      </c>
      <c r="AZ496" s="80">
        <f>IF(AY496=1,COUNTIFS(R_Emp,D496,R_SAbs,"&lt;"&amp;AX496,R_EAbs,"&gt;"&amp;AW496,R_OKey,1)-1,0)</f>
        <v>0</v>
      </c>
      <c r="BA496" s="80">
        <f>IF(AY496=1,COUNTIFS(R_Emp,"&lt;&gt;"&amp;D496,R_SAbs,"&lt;"&amp;AX496,R_EAbs,"&gt;"&amp;AW496,R_OKey,1),0)</f>
        <v>0</v>
      </c>
      <c r="BB496" s="80">
        <f>IF(AND(AB496=1,D496="proMX"),IF(AND(MOD(Z496,CFG_BLK)=0,MOD(AA496,CFG_BLK)=0,MOD(AG496,CFG_BLK)=0,AG496&gt;0),1,0),1)</f>
        <v>1</v>
      </c>
      <c r="BC496" s="80" t="str">
        <f>IF(Y496=0,"",IF(NOT(ISNUMBER(B496)),"Falta fecha o fecha inválida",IF(D496="","Falta empresa",IF(AND(D496&lt;&gt;"Malcolm",D496&lt;&gt;"proMX"),"Empresa inválida",IF(OR(INT(B496)&lt;CFG_PSTART,INT(B496)&gt;CFG_PEND),"Fecha fuera del período",IF(OR(NOT(ISNUMBER(Z496)),NOT(ISNUMBER(AA496))),"Falta hora inicio/fin o formato inválido",IF(AB496=0,"Hora inicio = hora fin",IF(AE496&lt;0,"Descanso inválido",IF(AE496&gt;=AD496,"Descanso ≥ duración",IF(AV496=1,"Registro duplicado",IF(AZ496&gt;0,"Se superpone con otro registro "&amp;D496,IF(BB496=0,"inicio, fin y duración neta deben ser múltiplos de "&amp;CFG_BLK&amp;" min",""))))))))))))</f>
        <v/>
      </c>
      <c r="BD496" s="80">
        <f>IF(AND(Y496=1,BC496=""),1,0)</f>
        <v>0</v>
      </c>
      <c r="BE496" s="80">
        <f>IF(AND(BD496=1,AU496=1),1,0)</f>
        <v>0</v>
      </c>
      <c r="BF496" s="80" t="str">
        <f>IF(AND(D496="proMX",BD496=1),IF(R496="","Draft",R496),"")</f>
        <v/>
      </c>
      <c r="BG496" s="80">
        <f>IF(BD496=1,ROUND(AG496/60,6),0)</f>
        <v>0</v>
      </c>
      <c r="BH496" s="80">
        <f>IF(BE496=1,ROUND(AG496/60,6),0)</f>
        <v>0</v>
      </c>
      <c r="BI496" s="80">
        <f>IF(BE496=1,ROUND(AP496/60,6),0)</f>
        <v>0</v>
      </c>
      <c r="BJ496" s="80">
        <f>IF(BE496=1,ROUND(AQ496/60,6),0)</f>
        <v>0</v>
      </c>
      <c r="BK496" s="80">
        <f>IF(BE496=1,ROUND((AR496+AS496)/60,6),0)</f>
        <v>0</v>
      </c>
      <c r="BL496" s="80">
        <f>ROUND(BH496-BK496,6)</f>
        <v>0</v>
      </c>
      <c r="BM496" s="80">
        <f>IF(BE496=1,ROUND(AR496/60,6),0)</f>
        <v>0</v>
      </c>
      <c r="BN496" s="80">
        <f>ROUND(BI496-BM496,6)</f>
        <v>0</v>
      </c>
      <c r="BO496" s="80">
        <f>IF(BE496=1,ROUND(AS496/60,6),0)</f>
        <v>0</v>
      </c>
      <c r="BP496" s="80">
        <f>ROUND(BJ496-BO496,6)</f>
        <v>0</v>
      </c>
      <c r="BQ496" s="80">
        <f>IF(BE496=1,AW496,0)</f>
        <v>0</v>
      </c>
      <c r="BR496" s="80">
        <f>IF(BE496=1,AX496,0)</f>
        <v>0</v>
      </c>
      <c r="BS496" s="80">
        <f>IF(AND(BE496=1,D496="Malcolm",BA496&gt;0),MIN(BH496,SUMPRODUCT((R_Emp="proMX")*(R_EN&gt;0)*((R_EN-(R_EN&gt;BR496)*(R_EN-BR496))&gt;(R_SN+(R_SN&lt;BQ496)*(BQ496-R_SN)))*((R_EN-(R_EN&gt;BR496)*(R_EN-BR496))-(R_SN+(R_SN&lt;BQ496)*(BQ496-R_SN))))/60),0)</f>
        <v>0</v>
      </c>
      <c r="BT496" s="80">
        <f>IF(AND(BE496=1,D496="proMX"),ROUND(BI496*CFG_RATE+BJ496*CFG_OTRATE,6),0)</f>
        <v>0</v>
      </c>
      <c r="BU496" s="80">
        <f>IF(AND(BD496=1,D496="proMX"),ROUND(AG496/CFG_BLK,6),0)</f>
        <v>0</v>
      </c>
      <c r="BV496" s="80" t="str">
        <f>IF(BF496="Approved",IF(ISNUMBER(T496),INT(T496),INT(B496)),"")</f>
        <v/>
      </c>
      <c r="BW496" s="80">
        <f>IF(ISNUMBER(B496),IF(DB_MON="Todos",1,IF(AND(INT(B496)&gt;=DB_MS,INT(B496)&lt;=DB_ME),1,0)),0)</f>
        <v>0</v>
      </c>
      <c r="BX496" s="80">
        <f>IF(DB_PROJ="Todos",1,IF(E496&amp;""=DB_PROJ&amp;"",1,0))</f>
        <v>1</v>
      </c>
      <c r="BY496" s="80">
        <f>BW496*BX496</f>
        <v>0</v>
      </c>
      <c r="BZ496" s="80" t="str">
        <f>IF(Y496=1,F496&amp;IF(AND(F496&amp;""&lt;&gt;"",E496&amp;""&lt;&gt;"")," · ","")&amp;E496,"")</f>
        <v/>
      </c>
      <c r="CA496" s="80" t="str">
        <f>IF(AND(BD496=1,E496&amp;""&lt;&gt;""),IF(COUNTIFS($E$5:E495,E496,$BD$5:BD495,1)=0,MAX($CA$5:CA495)+1,""),"")</f>
        <v/>
      </c>
      <c r="CB496" s="80" t="str">
        <f>IF(AND(BE496=1,D496="Malcolm",E496&amp;""&lt;&gt;""),IF(COUNTIFS($D$5:D495,"Malcolm",$E$5:E495,E496,$BE$5:BE495,1)=0,MAX($CB$5:CB495)+1,""),"")</f>
        <v/>
      </c>
      <c r="CC496" s="80" t="str">
        <f>IF(AND(BD496=1,D496="proMX",E496&amp;""&lt;&gt;""),IF(COUNTIFS($D$5:D495,"proMX",$E$5:E495,E496,$BD$5:BD495,1)=0,MAX($CC$5:CC495)+1,""),"")</f>
        <v/>
      </c>
      <c r="CD496" s="80" t="str">
        <f>IF(AND(BE496=1,D496="Malcolm",F496&amp;""&lt;&gt;""),IF(COUNTIFS($D$5:D495,"Malcolm",$F$5:F495,F496,$BE$5:BE495,1)=0,MAX($CD$5:CD495)+1,""),"")</f>
        <v/>
      </c>
      <c r="CE496" s="80" t="str">
        <f>IF(AND(BD496=1,D496="proMX",F496&amp;""&lt;&gt;""),IF(COUNTIFS($D$5:D495,"proMX",$F$5:F495,F496,$BD$5:BD495,1)=0,MAX($CE$5:CE495)+1,""),"")</f>
        <v/>
      </c>
      <c r="CF496" s="80" t="str">
        <f>IF(AND(D496="proMX",BD496=1),IF(OR(BF496="Draft",BF496="Submitted",BF496="Returned",BF496="Recall Requested"),MAX($CF$5:CF495)+1,""),"")</f>
        <v/>
      </c>
      <c r="CG496" s="80">
        <f>IF(BD496=0,0,IF(D496="Malcolm",1,MATCH(BF496,{"Draft","Submitted","Approved","Returned","Recall Requested","Cancelled"},0)+1))</f>
        <v>0</v>
      </c>
      <c r="CH496" s="80">
        <f>IF(AND(BF496="Submitted",ISNUMBER(V496)),IF(V496&gt;CFG_MAXD,1,0),0)</f>
        <v>0</v>
      </c>
    </row>
    <row r="497">
      <c r="A497" s="71" t="str">
        <f>IF(Y497=1,ROW()-5,"")</f>
        <v/>
      </c>
      <c r="B497" s="72" t="n"/>
      <c r="C497" s="71" t="str">
        <f>IF(ISNUMBER(B497),CHOOSE(WEEKDAY(B497,2),"Lun","Mar","Mié","Jue","Vie","Sáb","Dom"),"")</f>
        <v/>
      </c>
      <c r="D497" s="73" t="n"/>
      <c r="E497" s="74" t="n"/>
      <c r="F497" s="74" t="n"/>
      <c r="G497" s="74" t="n"/>
      <c r="H497" s="75" t="n"/>
      <c r="I497" s="75" t="n"/>
      <c r="J497" s="76" t="n"/>
      <c r="K497" s="77" t="str">
        <f>IF(AB497=1,ROUND(AG497/60,4),"")</f>
        <v/>
      </c>
      <c r="L497" s="77" t="str">
        <f>IF(BD497=1,ROUND(AP497/60,4),"")</f>
        <v/>
      </c>
      <c r="M497" s="77" t="str">
        <f>IF(BD497=1,ROUND(AQ497/60,4),"")</f>
        <v/>
      </c>
      <c r="N497" s="71" t="str">
        <f>IF(AND(D497="proMX",AB497=1),ROUND(AG497/CFG_BLK,2),"")</f>
        <v/>
      </c>
      <c r="O497" s="77" t="str">
        <f>IF(D497="proMX",IF(BD497=1,ROUND(AG497/60,4),0),"")</f>
        <v/>
      </c>
      <c r="P497" s="78" t="str">
        <f>IF(Y497=0,"",IF(BD497=1,"OK",IF(D497="proMX","Revisar bloques: ","Revisar: ")&amp;BC497))</f>
        <v/>
      </c>
      <c r="Q497" s="78" t="str">
        <f>IF(NOT(ISNUMBER(B497)),"",IF(COUNTIFS(FER_F,INT(B497))&gt;0,"Feriado"&amp;IF(AH497=1," (laborable)"," (no laborable)"),IF(AH497=1,"Laborable",IF(WEEKDAY(B497,2)&gt;5,"Fin de semana","No laborable"))))</f>
        <v/>
      </c>
      <c r="R497" s="73" t="n"/>
      <c r="S497" s="72" t="n"/>
      <c r="T497" s="72" t="n"/>
      <c r="U497" s="74" t="n"/>
      <c r="V497" s="79" t="str">
        <f>IF(AND(D497="proMX",OR(R497="Submitted",R497="Recall Requested"),ISNUMBER(S497)),CFG_TODAY-INT(S497),"")</f>
        <v/>
      </c>
      <c r="W497" s="78" t="str">
        <f>IF(BD497=0,"",IF(BA497&gt;0,"⚠ Se superpone con un registro de la otra empresa",IF(D497="Malcolm",IF(COUNTA(R497,S497,T497)&gt;0,"Estado/fechas proMX se ignoran en Malcolm",""),IF(BF497="Cancelled","Cancelado: excluido de totales",IF(R497="","Sin estado: se trata como Draft",IF(BF497="Submitted",IF(ISNUMBER(V497),IF(V497&gt;CFG_MAXD,"⚠ "&amp;V497&amp;" días en Submitted (máx. "&amp;CFG_MAXD&amp;")",""),"Falta fecha de envío"),IF(BF497="Returned","⚠ Devuelto: corregir y reenviar",IF(BF497="Recall Requested","Retirada solicitada: pendiente",IF(AND(BF497="Approved",NOT(ISNUMBER(T497))),"Falta fecha de aprobación",IF(AND(ISNUMBER(S497),ISNUMBER(T497),T497&lt;S497),"Aprobación anterior al envío","")))))))))</f>
        <v/>
      </c>
      <c r="Y497" s="80">
        <f>IF(COUNTA(B497,D497,E497,F497,G497,H497,I497,J497,R497,S497,T497)&gt;0,1,0)</f>
        <v>0</v>
      </c>
      <c r="Z497" s="80" t="str">
        <f>IF(AND(ISNUMBER(H497),H497&gt;=0,H497&lt;1),ROUND(H497*1440,0),"")</f>
        <v/>
      </c>
      <c r="AA497" s="80" t="str">
        <f>IF(AND(ISNUMBER(I497),I497&gt;=0,I497&lt;1),ROUND(I497*1440,0),"")</f>
        <v/>
      </c>
      <c r="AB497" s="80">
        <f>IF(AND(ISNUMBER(B497),D497&lt;&gt;"",ISNUMBER(Z497),ISNUMBER(AA497)),IF(Z497=AA497,0,1),0)</f>
        <v>0</v>
      </c>
      <c r="AC497" s="80">
        <f>IF(AB497=1,IF(AA497&lt;Z497,1,0),0)</f>
        <v>0</v>
      </c>
      <c r="AD497" s="80">
        <f>IF(AB497=1,IF(AC497=1,1440-Z497+AA497,AA497-Z497),0)</f>
        <v>0</v>
      </c>
      <c r="AE497" s="80">
        <f>IF(J497="",0,IF(ISNUMBER(J497),J497,-1))</f>
        <v>0</v>
      </c>
      <c r="AF497" s="80">
        <f>MIN(MAX(0,AE497),AD497)</f>
        <v>0</v>
      </c>
      <c r="AG497" s="80">
        <f>MAX(0,AD497-MAX(0,AE497))</f>
        <v>0</v>
      </c>
      <c r="AH497" s="80">
        <f>IF(ISNUMBER(B497),IF(AND(INDEX(CFG_WDAYS,WEEKDAY(INT(B497),2))="Sí",IF(D497="proMX",COUNTIFS(FER_F,INT(B497),FER_NLP,"Sí"),COUNTIFS(FER_F,INT(B497),FER_NLM,"Sí"))=0),1,0),0)</f>
        <v>0</v>
      </c>
      <c r="AI497" s="80">
        <f>IF(AC497=1,IF(AND(INDEX(CFG_WDAYS,WEEKDAY(INT(B497)+1,2))="Sí",IF(D497="proMX",COUNTIFS(FER_F,INT(B497)+1,FER_NLP,"Sí"),COUNTIFS(FER_F,INT(B497)+1,FER_NLM,"Sí"))=0),1,0),0)</f>
        <v>0</v>
      </c>
      <c r="AJ497" s="80">
        <f>IF(AC497=1,1440-Z497,AD497)</f>
        <v>0</v>
      </c>
      <c r="AK497" s="80">
        <f>IF(AND(AB497=1,AH497=1),MAX(0,MIN(IF(AC497=1,1440,AA497),CFG_WEM)-MAX(Z497,CFG_WSM)),0)</f>
        <v>0</v>
      </c>
      <c r="AL497" s="80">
        <f>IF(AND(AC497=1,AI497=1),MAX(0,MIN(AA497,CFG_WEM)-CFG_WSM),0)</f>
        <v>0</v>
      </c>
      <c r="AM497" s="80">
        <f>AK497+AL497</f>
        <v>0</v>
      </c>
      <c r="AN497" s="80">
        <f>IF(CFG_BRK="Proporcional",IF(AD497=0,0,AF497*AM497/AD497),IF(CFG_BRK="Extras primero",MIN(AM497,MAX(0,AF497-(AD497-AM497))),MIN(AF497,AM497)))</f>
        <v>0</v>
      </c>
      <c r="AO497" s="80">
        <f>AF497-AN497</f>
        <v>0</v>
      </c>
      <c r="AP497" s="80">
        <f>AM497-AN497</f>
        <v>0</v>
      </c>
      <c r="AQ497" s="80">
        <f>AD497-AM497-AO497</f>
        <v>0</v>
      </c>
      <c r="AR497" s="80">
        <f>IF(AM497=0,0,AK497-AN497*AK497/AM497)</f>
        <v>0</v>
      </c>
      <c r="AS497" s="80">
        <f>IF(AD497-AM497=0,0,(AJ497-AK497)-AO497*(AJ497-AK497)/(AD497-AM497))</f>
        <v>0</v>
      </c>
      <c r="AT497" s="80" t="str">
        <f>IF(AC497=1,INT(B497)+1,"")</f>
        <v/>
      </c>
      <c r="AU497" s="80">
        <f>IF(AND(D497="proMX",R497="Cancelled"),0,1)</f>
        <v>1</v>
      </c>
      <c r="AV497" s="80">
        <f>IF(AND(AB497=1,AU497=1),IF(COUNTIFS($D$5:D496,D497,$B$5:B496,B497,$Z$5:Z496,Z497,$AA$5:AA496,AA497,$F$5:F496,F497&amp;"",$AU$5:AU496,1)&gt;0,1,0),0)</f>
        <v>0</v>
      </c>
      <c r="AW497" s="80" t="str">
        <f>IF(AB497=1,INT(B497)*1440+Z497,"")</f>
        <v/>
      </c>
      <c r="AX497" s="80" t="str">
        <f>IF(AB497=1,AW497+AD497,"")</f>
        <v/>
      </c>
      <c r="AY497" s="80">
        <f>IF(AND(AB497=1,AV497=0,AU497=1),1,0)</f>
        <v>0</v>
      </c>
      <c r="AZ497" s="80">
        <f>IF(AY497=1,COUNTIFS(R_Emp,D497,R_SAbs,"&lt;"&amp;AX497,R_EAbs,"&gt;"&amp;AW497,R_OKey,1)-1,0)</f>
        <v>0</v>
      </c>
      <c r="BA497" s="80">
        <f>IF(AY497=1,COUNTIFS(R_Emp,"&lt;&gt;"&amp;D497,R_SAbs,"&lt;"&amp;AX497,R_EAbs,"&gt;"&amp;AW497,R_OKey,1),0)</f>
        <v>0</v>
      </c>
      <c r="BB497" s="80">
        <f>IF(AND(AB497=1,D497="proMX"),IF(AND(MOD(Z497,CFG_BLK)=0,MOD(AA497,CFG_BLK)=0,MOD(AG497,CFG_BLK)=0,AG497&gt;0),1,0),1)</f>
        <v>1</v>
      </c>
      <c r="BC497" s="80" t="str">
        <f>IF(Y497=0,"",IF(NOT(ISNUMBER(B497)),"Falta fecha o fecha inválida",IF(D497="","Falta empresa",IF(AND(D497&lt;&gt;"Malcolm",D497&lt;&gt;"proMX"),"Empresa inválida",IF(OR(INT(B497)&lt;CFG_PSTART,INT(B497)&gt;CFG_PEND),"Fecha fuera del período",IF(OR(NOT(ISNUMBER(Z497)),NOT(ISNUMBER(AA497))),"Falta hora inicio/fin o formato inválido",IF(AB497=0,"Hora inicio = hora fin",IF(AE497&lt;0,"Descanso inválido",IF(AE497&gt;=AD497,"Descanso ≥ duración",IF(AV497=1,"Registro duplicado",IF(AZ497&gt;0,"Se superpone con otro registro "&amp;D497,IF(BB497=0,"inicio, fin y duración neta deben ser múltiplos de "&amp;CFG_BLK&amp;" min",""))))))))))))</f>
        <v/>
      </c>
      <c r="BD497" s="80">
        <f>IF(AND(Y497=1,BC497=""),1,0)</f>
        <v>0</v>
      </c>
      <c r="BE497" s="80">
        <f>IF(AND(BD497=1,AU497=1),1,0)</f>
        <v>0</v>
      </c>
      <c r="BF497" s="80" t="str">
        <f>IF(AND(D497="proMX",BD497=1),IF(R497="","Draft",R497),"")</f>
        <v/>
      </c>
      <c r="BG497" s="80">
        <f>IF(BD497=1,ROUND(AG497/60,6),0)</f>
        <v>0</v>
      </c>
      <c r="BH497" s="80">
        <f>IF(BE497=1,ROUND(AG497/60,6),0)</f>
        <v>0</v>
      </c>
      <c r="BI497" s="80">
        <f>IF(BE497=1,ROUND(AP497/60,6),0)</f>
        <v>0</v>
      </c>
      <c r="BJ497" s="80">
        <f>IF(BE497=1,ROUND(AQ497/60,6),0)</f>
        <v>0</v>
      </c>
      <c r="BK497" s="80">
        <f>IF(BE497=1,ROUND((AR497+AS497)/60,6),0)</f>
        <v>0</v>
      </c>
      <c r="BL497" s="80">
        <f>ROUND(BH497-BK497,6)</f>
        <v>0</v>
      </c>
      <c r="BM497" s="80">
        <f>IF(BE497=1,ROUND(AR497/60,6),0)</f>
        <v>0</v>
      </c>
      <c r="BN497" s="80">
        <f>ROUND(BI497-BM497,6)</f>
        <v>0</v>
      </c>
      <c r="BO497" s="80">
        <f>IF(BE497=1,ROUND(AS497/60,6),0)</f>
        <v>0</v>
      </c>
      <c r="BP497" s="80">
        <f>ROUND(BJ497-BO497,6)</f>
        <v>0</v>
      </c>
      <c r="BQ497" s="80">
        <f>IF(BE497=1,AW497,0)</f>
        <v>0</v>
      </c>
      <c r="BR497" s="80">
        <f>IF(BE497=1,AX497,0)</f>
        <v>0</v>
      </c>
      <c r="BS497" s="80">
        <f>IF(AND(BE497=1,D497="Malcolm",BA497&gt;0),MIN(BH497,SUMPRODUCT((R_Emp="proMX")*(R_EN&gt;0)*((R_EN-(R_EN&gt;BR497)*(R_EN-BR497))&gt;(R_SN+(R_SN&lt;BQ497)*(BQ497-R_SN)))*((R_EN-(R_EN&gt;BR497)*(R_EN-BR497))-(R_SN+(R_SN&lt;BQ497)*(BQ497-R_SN))))/60),0)</f>
        <v>0</v>
      </c>
      <c r="BT497" s="80">
        <f>IF(AND(BE497=1,D497="proMX"),ROUND(BI497*CFG_RATE+BJ497*CFG_OTRATE,6),0)</f>
        <v>0</v>
      </c>
      <c r="BU497" s="80">
        <f>IF(AND(BD497=1,D497="proMX"),ROUND(AG497/CFG_BLK,6),0)</f>
        <v>0</v>
      </c>
      <c r="BV497" s="80" t="str">
        <f>IF(BF497="Approved",IF(ISNUMBER(T497),INT(T497),INT(B497)),"")</f>
        <v/>
      </c>
      <c r="BW497" s="80">
        <f>IF(ISNUMBER(B497),IF(DB_MON="Todos",1,IF(AND(INT(B497)&gt;=DB_MS,INT(B497)&lt;=DB_ME),1,0)),0)</f>
        <v>0</v>
      </c>
      <c r="BX497" s="80">
        <f>IF(DB_PROJ="Todos",1,IF(E497&amp;""=DB_PROJ&amp;"",1,0))</f>
        <v>1</v>
      </c>
      <c r="BY497" s="80">
        <f>BW497*BX497</f>
        <v>0</v>
      </c>
      <c r="BZ497" s="80" t="str">
        <f>IF(Y497=1,F497&amp;IF(AND(F497&amp;""&lt;&gt;"",E497&amp;""&lt;&gt;"")," · ","")&amp;E497,"")</f>
        <v/>
      </c>
      <c r="CA497" s="80" t="str">
        <f>IF(AND(BD497=1,E497&amp;""&lt;&gt;""),IF(COUNTIFS($E$5:E496,E497,$BD$5:BD496,1)=0,MAX($CA$5:CA496)+1,""),"")</f>
        <v/>
      </c>
      <c r="CB497" s="80" t="str">
        <f>IF(AND(BE497=1,D497="Malcolm",E497&amp;""&lt;&gt;""),IF(COUNTIFS($D$5:D496,"Malcolm",$E$5:E496,E497,$BE$5:BE496,1)=0,MAX($CB$5:CB496)+1,""),"")</f>
        <v/>
      </c>
      <c r="CC497" s="80" t="str">
        <f>IF(AND(BD497=1,D497="proMX",E497&amp;""&lt;&gt;""),IF(COUNTIFS($D$5:D496,"proMX",$E$5:E496,E497,$BD$5:BD496,1)=0,MAX($CC$5:CC496)+1,""),"")</f>
        <v/>
      </c>
      <c r="CD497" s="80" t="str">
        <f>IF(AND(BE497=1,D497="Malcolm",F497&amp;""&lt;&gt;""),IF(COUNTIFS($D$5:D496,"Malcolm",$F$5:F496,F497,$BE$5:BE496,1)=0,MAX($CD$5:CD496)+1,""),"")</f>
        <v/>
      </c>
      <c r="CE497" s="80" t="str">
        <f>IF(AND(BD497=1,D497="proMX",F497&amp;""&lt;&gt;""),IF(COUNTIFS($D$5:D496,"proMX",$F$5:F496,F497,$BD$5:BD496,1)=0,MAX($CE$5:CE496)+1,""),"")</f>
        <v/>
      </c>
      <c r="CF497" s="80" t="str">
        <f>IF(AND(D497="proMX",BD497=1),IF(OR(BF497="Draft",BF497="Submitted",BF497="Returned",BF497="Recall Requested"),MAX($CF$5:CF496)+1,""),"")</f>
        <v/>
      </c>
      <c r="CG497" s="80">
        <f>IF(BD497=0,0,IF(D497="Malcolm",1,MATCH(BF497,{"Draft","Submitted","Approved","Returned","Recall Requested","Cancelled"},0)+1))</f>
        <v>0</v>
      </c>
      <c r="CH497" s="80">
        <f>IF(AND(BF497="Submitted",ISNUMBER(V497)),IF(V497&gt;CFG_MAXD,1,0),0)</f>
        <v>0</v>
      </c>
    </row>
    <row r="498">
      <c r="A498" s="71" t="str">
        <f>IF(Y498=1,ROW()-5,"")</f>
        <v/>
      </c>
      <c r="B498" s="72" t="n"/>
      <c r="C498" s="71" t="str">
        <f>IF(ISNUMBER(B498),CHOOSE(WEEKDAY(B498,2),"Lun","Mar","Mié","Jue","Vie","Sáb","Dom"),"")</f>
        <v/>
      </c>
      <c r="D498" s="73" t="n"/>
      <c r="E498" s="74" t="n"/>
      <c r="F498" s="74" t="n"/>
      <c r="G498" s="74" t="n"/>
      <c r="H498" s="75" t="n"/>
      <c r="I498" s="75" t="n"/>
      <c r="J498" s="76" t="n"/>
      <c r="K498" s="77" t="str">
        <f>IF(AB498=1,ROUND(AG498/60,4),"")</f>
        <v/>
      </c>
      <c r="L498" s="77" t="str">
        <f>IF(BD498=1,ROUND(AP498/60,4),"")</f>
        <v/>
      </c>
      <c r="M498" s="77" t="str">
        <f>IF(BD498=1,ROUND(AQ498/60,4),"")</f>
        <v/>
      </c>
      <c r="N498" s="71" t="str">
        <f>IF(AND(D498="proMX",AB498=1),ROUND(AG498/CFG_BLK,2),"")</f>
        <v/>
      </c>
      <c r="O498" s="77" t="str">
        <f>IF(D498="proMX",IF(BD498=1,ROUND(AG498/60,4),0),"")</f>
        <v/>
      </c>
      <c r="P498" s="78" t="str">
        <f>IF(Y498=0,"",IF(BD498=1,"OK",IF(D498="proMX","Revisar bloques: ","Revisar: ")&amp;BC498))</f>
        <v/>
      </c>
      <c r="Q498" s="78" t="str">
        <f>IF(NOT(ISNUMBER(B498)),"",IF(COUNTIFS(FER_F,INT(B498))&gt;0,"Feriado"&amp;IF(AH498=1," (laborable)"," (no laborable)"),IF(AH498=1,"Laborable",IF(WEEKDAY(B498,2)&gt;5,"Fin de semana","No laborable"))))</f>
        <v/>
      </c>
      <c r="R498" s="73" t="n"/>
      <c r="S498" s="72" t="n"/>
      <c r="T498" s="72" t="n"/>
      <c r="U498" s="74" t="n"/>
      <c r="V498" s="79" t="str">
        <f>IF(AND(D498="proMX",OR(R498="Submitted",R498="Recall Requested"),ISNUMBER(S498)),CFG_TODAY-INT(S498),"")</f>
        <v/>
      </c>
      <c r="W498" s="78" t="str">
        <f>IF(BD498=0,"",IF(BA498&gt;0,"⚠ Se superpone con un registro de la otra empresa",IF(D498="Malcolm",IF(COUNTA(R498,S498,T498)&gt;0,"Estado/fechas proMX se ignoran en Malcolm",""),IF(BF498="Cancelled","Cancelado: excluido de totales",IF(R498="","Sin estado: se trata como Draft",IF(BF498="Submitted",IF(ISNUMBER(V498),IF(V498&gt;CFG_MAXD,"⚠ "&amp;V498&amp;" días en Submitted (máx. "&amp;CFG_MAXD&amp;")",""),"Falta fecha de envío"),IF(BF498="Returned","⚠ Devuelto: corregir y reenviar",IF(BF498="Recall Requested","Retirada solicitada: pendiente",IF(AND(BF498="Approved",NOT(ISNUMBER(T498))),"Falta fecha de aprobación",IF(AND(ISNUMBER(S498),ISNUMBER(T498),T498&lt;S498),"Aprobación anterior al envío","")))))))))</f>
        <v/>
      </c>
      <c r="Y498" s="80">
        <f>IF(COUNTA(B498,D498,E498,F498,G498,H498,I498,J498,R498,S498,T498)&gt;0,1,0)</f>
        <v>0</v>
      </c>
      <c r="Z498" s="80" t="str">
        <f>IF(AND(ISNUMBER(H498),H498&gt;=0,H498&lt;1),ROUND(H498*1440,0),"")</f>
        <v/>
      </c>
      <c r="AA498" s="80" t="str">
        <f>IF(AND(ISNUMBER(I498),I498&gt;=0,I498&lt;1),ROUND(I498*1440,0),"")</f>
        <v/>
      </c>
      <c r="AB498" s="80">
        <f>IF(AND(ISNUMBER(B498),D498&lt;&gt;"",ISNUMBER(Z498),ISNUMBER(AA498)),IF(Z498=AA498,0,1),0)</f>
        <v>0</v>
      </c>
      <c r="AC498" s="80">
        <f>IF(AB498=1,IF(AA498&lt;Z498,1,0),0)</f>
        <v>0</v>
      </c>
      <c r="AD498" s="80">
        <f>IF(AB498=1,IF(AC498=1,1440-Z498+AA498,AA498-Z498),0)</f>
        <v>0</v>
      </c>
      <c r="AE498" s="80">
        <f>IF(J498="",0,IF(ISNUMBER(J498),J498,-1))</f>
        <v>0</v>
      </c>
      <c r="AF498" s="80">
        <f>MIN(MAX(0,AE498),AD498)</f>
        <v>0</v>
      </c>
      <c r="AG498" s="80">
        <f>MAX(0,AD498-MAX(0,AE498))</f>
        <v>0</v>
      </c>
      <c r="AH498" s="80">
        <f>IF(ISNUMBER(B498),IF(AND(INDEX(CFG_WDAYS,WEEKDAY(INT(B498),2))="Sí",IF(D498="proMX",COUNTIFS(FER_F,INT(B498),FER_NLP,"Sí"),COUNTIFS(FER_F,INT(B498),FER_NLM,"Sí"))=0),1,0),0)</f>
        <v>0</v>
      </c>
      <c r="AI498" s="80">
        <f>IF(AC498=1,IF(AND(INDEX(CFG_WDAYS,WEEKDAY(INT(B498)+1,2))="Sí",IF(D498="proMX",COUNTIFS(FER_F,INT(B498)+1,FER_NLP,"Sí"),COUNTIFS(FER_F,INT(B498)+1,FER_NLM,"Sí"))=0),1,0),0)</f>
        <v>0</v>
      </c>
      <c r="AJ498" s="80">
        <f>IF(AC498=1,1440-Z498,AD498)</f>
        <v>0</v>
      </c>
      <c r="AK498" s="80">
        <f>IF(AND(AB498=1,AH498=1),MAX(0,MIN(IF(AC498=1,1440,AA498),CFG_WEM)-MAX(Z498,CFG_WSM)),0)</f>
        <v>0</v>
      </c>
      <c r="AL498" s="80">
        <f>IF(AND(AC498=1,AI498=1),MAX(0,MIN(AA498,CFG_WEM)-CFG_WSM),0)</f>
        <v>0</v>
      </c>
      <c r="AM498" s="80">
        <f>AK498+AL498</f>
        <v>0</v>
      </c>
      <c r="AN498" s="80">
        <f>IF(CFG_BRK="Proporcional",IF(AD498=0,0,AF498*AM498/AD498),IF(CFG_BRK="Extras primero",MIN(AM498,MAX(0,AF498-(AD498-AM498))),MIN(AF498,AM498)))</f>
        <v>0</v>
      </c>
      <c r="AO498" s="80">
        <f>AF498-AN498</f>
        <v>0</v>
      </c>
      <c r="AP498" s="80">
        <f>AM498-AN498</f>
        <v>0</v>
      </c>
      <c r="AQ498" s="80">
        <f>AD498-AM498-AO498</f>
        <v>0</v>
      </c>
      <c r="AR498" s="80">
        <f>IF(AM498=0,0,AK498-AN498*AK498/AM498)</f>
        <v>0</v>
      </c>
      <c r="AS498" s="80">
        <f>IF(AD498-AM498=0,0,(AJ498-AK498)-AO498*(AJ498-AK498)/(AD498-AM498))</f>
        <v>0</v>
      </c>
      <c r="AT498" s="80" t="str">
        <f>IF(AC498=1,INT(B498)+1,"")</f>
        <v/>
      </c>
      <c r="AU498" s="80">
        <f>IF(AND(D498="proMX",R498="Cancelled"),0,1)</f>
        <v>1</v>
      </c>
      <c r="AV498" s="80">
        <f>IF(AND(AB498=1,AU498=1),IF(COUNTIFS($D$5:D497,D498,$B$5:B497,B498,$Z$5:Z497,Z498,$AA$5:AA497,AA498,$F$5:F497,F498&amp;"",$AU$5:AU497,1)&gt;0,1,0),0)</f>
        <v>0</v>
      </c>
      <c r="AW498" s="80" t="str">
        <f>IF(AB498=1,INT(B498)*1440+Z498,"")</f>
        <v/>
      </c>
      <c r="AX498" s="80" t="str">
        <f>IF(AB498=1,AW498+AD498,"")</f>
        <v/>
      </c>
      <c r="AY498" s="80">
        <f>IF(AND(AB498=1,AV498=0,AU498=1),1,0)</f>
        <v>0</v>
      </c>
      <c r="AZ498" s="80">
        <f>IF(AY498=1,COUNTIFS(R_Emp,D498,R_SAbs,"&lt;"&amp;AX498,R_EAbs,"&gt;"&amp;AW498,R_OKey,1)-1,0)</f>
        <v>0</v>
      </c>
      <c r="BA498" s="80">
        <f>IF(AY498=1,COUNTIFS(R_Emp,"&lt;&gt;"&amp;D498,R_SAbs,"&lt;"&amp;AX498,R_EAbs,"&gt;"&amp;AW498,R_OKey,1),0)</f>
        <v>0</v>
      </c>
      <c r="BB498" s="80">
        <f>IF(AND(AB498=1,D498="proMX"),IF(AND(MOD(Z498,CFG_BLK)=0,MOD(AA498,CFG_BLK)=0,MOD(AG498,CFG_BLK)=0,AG498&gt;0),1,0),1)</f>
        <v>1</v>
      </c>
      <c r="BC498" s="80" t="str">
        <f>IF(Y498=0,"",IF(NOT(ISNUMBER(B498)),"Falta fecha o fecha inválida",IF(D498="","Falta empresa",IF(AND(D498&lt;&gt;"Malcolm",D498&lt;&gt;"proMX"),"Empresa inválida",IF(OR(INT(B498)&lt;CFG_PSTART,INT(B498)&gt;CFG_PEND),"Fecha fuera del período",IF(OR(NOT(ISNUMBER(Z498)),NOT(ISNUMBER(AA498))),"Falta hora inicio/fin o formato inválido",IF(AB498=0,"Hora inicio = hora fin",IF(AE498&lt;0,"Descanso inválido",IF(AE498&gt;=AD498,"Descanso ≥ duración",IF(AV498=1,"Registro duplicado",IF(AZ498&gt;0,"Se superpone con otro registro "&amp;D498,IF(BB498=0,"inicio, fin y duración neta deben ser múltiplos de "&amp;CFG_BLK&amp;" min",""))))))))))))</f>
        <v/>
      </c>
      <c r="BD498" s="80">
        <f>IF(AND(Y498=1,BC498=""),1,0)</f>
        <v>0</v>
      </c>
      <c r="BE498" s="80">
        <f>IF(AND(BD498=1,AU498=1),1,0)</f>
        <v>0</v>
      </c>
      <c r="BF498" s="80" t="str">
        <f>IF(AND(D498="proMX",BD498=1),IF(R498="","Draft",R498),"")</f>
        <v/>
      </c>
      <c r="BG498" s="80">
        <f>IF(BD498=1,ROUND(AG498/60,6),0)</f>
        <v>0</v>
      </c>
      <c r="BH498" s="80">
        <f>IF(BE498=1,ROUND(AG498/60,6),0)</f>
        <v>0</v>
      </c>
      <c r="BI498" s="80">
        <f>IF(BE498=1,ROUND(AP498/60,6),0)</f>
        <v>0</v>
      </c>
      <c r="BJ498" s="80">
        <f>IF(BE498=1,ROUND(AQ498/60,6),0)</f>
        <v>0</v>
      </c>
      <c r="BK498" s="80">
        <f>IF(BE498=1,ROUND((AR498+AS498)/60,6),0)</f>
        <v>0</v>
      </c>
      <c r="BL498" s="80">
        <f>ROUND(BH498-BK498,6)</f>
        <v>0</v>
      </c>
      <c r="BM498" s="80">
        <f>IF(BE498=1,ROUND(AR498/60,6),0)</f>
        <v>0</v>
      </c>
      <c r="BN498" s="80">
        <f>ROUND(BI498-BM498,6)</f>
        <v>0</v>
      </c>
      <c r="BO498" s="80">
        <f>IF(BE498=1,ROUND(AS498/60,6),0)</f>
        <v>0</v>
      </c>
      <c r="BP498" s="80">
        <f>ROUND(BJ498-BO498,6)</f>
        <v>0</v>
      </c>
      <c r="BQ498" s="80">
        <f>IF(BE498=1,AW498,0)</f>
        <v>0</v>
      </c>
      <c r="BR498" s="80">
        <f>IF(BE498=1,AX498,0)</f>
        <v>0</v>
      </c>
      <c r="BS498" s="80">
        <f>IF(AND(BE498=1,D498="Malcolm",BA498&gt;0),MIN(BH498,SUMPRODUCT((R_Emp="proMX")*(R_EN&gt;0)*((R_EN-(R_EN&gt;BR498)*(R_EN-BR498))&gt;(R_SN+(R_SN&lt;BQ498)*(BQ498-R_SN)))*((R_EN-(R_EN&gt;BR498)*(R_EN-BR498))-(R_SN+(R_SN&lt;BQ498)*(BQ498-R_SN))))/60),0)</f>
        <v>0</v>
      </c>
      <c r="BT498" s="80">
        <f>IF(AND(BE498=1,D498="proMX"),ROUND(BI498*CFG_RATE+BJ498*CFG_OTRATE,6),0)</f>
        <v>0</v>
      </c>
      <c r="BU498" s="80">
        <f>IF(AND(BD498=1,D498="proMX"),ROUND(AG498/CFG_BLK,6),0)</f>
        <v>0</v>
      </c>
      <c r="BV498" s="80" t="str">
        <f>IF(BF498="Approved",IF(ISNUMBER(T498),INT(T498),INT(B498)),"")</f>
        <v/>
      </c>
      <c r="BW498" s="80">
        <f>IF(ISNUMBER(B498),IF(DB_MON="Todos",1,IF(AND(INT(B498)&gt;=DB_MS,INT(B498)&lt;=DB_ME),1,0)),0)</f>
        <v>0</v>
      </c>
      <c r="BX498" s="80">
        <f>IF(DB_PROJ="Todos",1,IF(E498&amp;""=DB_PROJ&amp;"",1,0))</f>
        <v>1</v>
      </c>
      <c r="BY498" s="80">
        <f>BW498*BX498</f>
        <v>0</v>
      </c>
      <c r="BZ498" s="80" t="str">
        <f>IF(Y498=1,F498&amp;IF(AND(F498&amp;""&lt;&gt;"",E498&amp;""&lt;&gt;"")," · ","")&amp;E498,"")</f>
        <v/>
      </c>
      <c r="CA498" s="80" t="str">
        <f>IF(AND(BD498=1,E498&amp;""&lt;&gt;""),IF(COUNTIFS($E$5:E497,E498,$BD$5:BD497,1)=0,MAX($CA$5:CA497)+1,""),"")</f>
        <v/>
      </c>
      <c r="CB498" s="80" t="str">
        <f>IF(AND(BE498=1,D498="Malcolm",E498&amp;""&lt;&gt;""),IF(COUNTIFS($D$5:D497,"Malcolm",$E$5:E497,E498,$BE$5:BE497,1)=0,MAX($CB$5:CB497)+1,""),"")</f>
        <v/>
      </c>
      <c r="CC498" s="80" t="str">
        <f>IF(AND(BD498=1,D498="proMX",E498&amp;""&lt;&gt;""),IF(COUNTIFS($D$5:D497,"proMX",$E$5:E497,E498,$BD$5:BD497,1)=0,MAX($CC$5:CC497)+1,""),"")</f>
        <v/>
      </c>
      <c r="CD498" s="80" t="str">
        <f>IF(AND(BE498=1,D498="Malcolm",F498&amp;""&lt;&gt;""),IF(COUNTIFS($D$5:D497,"Malcolm",$F$5:F497,F498,$BE$5:BE497,1)=0,MAX($CD$5:CD497)+1,""),"")</f>
        <v/>
      </c>
      <c r="CE498" s="80" t="str">
        <f>IF(AND(BD498=1,D498="proMX",F498&amp;""&lt;&gt;""),IF(COUNTIFS($D$5:D497,"proMX",$F$5:F497,F498,$BD$5:BD497,1)=0,MAX($CE$5:CE497)+1,""),"")</f>
        <v/>
      </c>
      <c r="CF498" s="80" t="str">
        <f>IF(AND(D498="proMX",BD498=1),IF(OR(BF498="Draft",BF498="Submitted",BF498="Returned",BF498="Recall Requested"),MAX($CF$5:CF497)+1,""),"")</f>
        <v/>
      </c>
      <c r="CG498" s="80">
        <f>IF(BD498=0,0,IF(D498="Malcolm",1,MATCH(BF498,{"Draft","Submitted","Approved","Returned","Recall Requested","Cancelled"},0)+1))</f>
        <v>0</v>
      </c>
      <c r="CH498" s="80">
        <f>IF(AND(BF498="Submitted",ISNUMBER(V498)),IF(V498&gt;CFG_MAXD,1,0),0)</f>
        <v>0</v>
      </c>
    </row>
    <row r="499">
      <c r="A499" s="71" t="str">
        <f>IF(Y499=1,ROW()-5,"")</f>
        <v/>
      </c>
      <c r="B499" s="72" t="n"/>
      <c r="C499" s="71" t="str">
        <f>IF(ISNUMBER(B499),CHOOSE(WEEKDAY(B499,2),"Lun","Mar","Mié","Jue","Vie","Sáb","Dom"),"")</f>
        <v/>
      </c>
      <c r="D499" s="73" t="n"/>
      <c r="E499" s="74" t="n"/>
      <c r="F499" s="74" t="n"/>
      <c r="G499" s="74" t="n"/>
      <c r="H499" s="75" t="n"/>
      <c r="I499" s="75" t="n"/>
      <c r="J499" s="76" t="n"/>
      <c r="K499" s="77" t="str">
        <f>IF(AB499=1,ROUND(AG499/60,4),"")</f>
        <v/>
      </c>
      <c r="L499" s="77" t="str">
        <f>IF(BD499=1,ROUND(AP499/60,4),"")</f>
        <v/>
      </c>
      <c r="M499" s="77" t="str">
        <f>IF(BD499=1,ROUND(AQ499/60,4),"")</f>
        <v/>
      </c>
      <c r="N499" s="71" t="str">
        <f>IF(AND(D499="proMX",AB499=1),ROUND(AG499/CFG_BLK,2),"")</f>
        <v/>
      </c>
      <c r="O499" s="77" t="str">
        <f>IF(D499="proMX",IF(BD499=1,ROUND(AG499/60,4),0),"")</f>
        <v/>
      </c>
      <c r="P499" s="78" t="str">
        <f>IF(Y499=0,"",IF(BD499=1,"OK",IF(D499="proMX","Revisar bloques: ","Revisar: ")&amp;BC499))</f>
        <v/>
      </c>
      <c r="Q499" s="78" t="str">
        <f>IF(NOT(ISNUMBER(B499)),"",IF(COUNTIFS(FER_F,INT(B499))&gt;0,"Feriado"&amp;IF(AH499=1," (laborable)"," (no laborable)"),IF(AH499=1,"Laborable",IF(WEEKDAY(B499,2)&gt;5,"Fin de semana","No laborable"))))</f>
        <v/>
      </c>
      <c r="R499" s="73" t="n"/>
      <c r="S499" s="72" t="n"/>
      <c r="T499" s="72" t="n"/>
      <c r="U499" s="74" t="n"/>
      <c r="V499" s="79" t="str">
        <f>IF(AND(D499="proMX",OR(R499="Submitted",R499="Recall Requested"),ISNUMBER(S499)),CFG_TODAY-INT(S499),"")</f>
        <v/>
      </c>
      <c r="W499" s="78" t="str">
        <f>IF(BD499=0,"",IF(BA499&gt;0,"⚠ Se superpone con un registro de la otra empresa",IF(D499="Malcolm",IF(COUNTA(R499,S499,T499)&gt;0,"Estado/fechas proMX se ignoran en Malcolm",""),IF(BF499="Cancelled","Cancelado: excluido de totales",IF(R499="","Sin estado: se trata como Draft",IF(BF499="Submitted",IF(ISNUMBER(V499),IF(V499&gt;CFG_MAXD,"⚠ "&amp;V499&amp;" días en Submitted (máx. "&amp;CFG_MAXD&amp;")",""),"Falta fecha de envío"),IF(BF499="Returned","⚠ Devuelto: corregir y reenviar",IF(BF499="Recall Requested","Retirada solicitada: pendiente",IF(AND(BF499="Approved",NOT(ISNUMBER(T499))),"Falta fecha de aprobación",IF(AND(ISNUMBER(S499),ISNUMBER(T499),T499&lt;S499),"Aprobación anterior al envío","")))))))))</f>
        <v/>
      </c>
      <c r="Y499" s="80">
        <f>IF(COUNTA(B499,D499,E499,F499,G499,H499,I499,J499,R499,S499,T499)&gt;0,1,0)</f>
        <v>0</v>
      </c>
      <c r="Z499" s="80" t="str">
        <f>IF(AND(ISNUMBER(H499),H499&gt;=0,H499&lt;1),ROUND(H499*1440,0),"")</f>
        <v/>
      </c>
      <c r="AA499" s="80" t="str">
        <f>IF(AND(ISNUMBER(I499),I499&gt;=0,I499&lt;1),ROUND(I499*1440,0),"")</f>
        <v/>
      </c>
      <c r="AB499" s="80">
        <f>IF(AND(ISNUMBER(B499),D499&lt;&gt;"",ISNUMBER(Z499),ISNUMBER(AA499)),IF(Z499=AA499,0,1),0)</f>
        <v>0</v>
      </c>
      <c r="AC499" s="80">
        <f>IF(AB499=1,IF(AA499&lt;Z499,1,0),0)</f>
        <v>0</v>
      </c>
      <c r="AD499" s="80">
        <f>IF(AB499=1,IF(AC499=1,1440-Z499+AA499,AA499-Z499),0)</f>
        <v>0</v>
      </c>
      <c r="AE499" s="80">
        <f>IF(J499="",0,IF(ISNUMBER(J499),J499,-1))</f>
        <v>0</v>
      </c>
      <c r="AF499" s="80">
        <f>MIN(MAX(0,AE499),AD499)</f>
        <v>0</v>
      </c>
      <c r="AG499" s="80">
        <f>MAX(0,AD499-MAX(0,AE499))</f>
        <v>0</v>
      </c>
      <c r="AH499" s="80">
        <f>IF(ISNUMBER(B499),IF(AND(INDEX(CFG_WDAYS,WEEKDAY(INT(B499),2))="Sí",IF(D499="proMX",COUNTIFS(FER_F,INT(B499),FER_NLP,"Sí"),COUNTIFS(FER_F,INT(B499),FER_NLM,"Sí"))=0),1,0),0)</f>
        <v>0</v>
      </c>
      <c r="AI499" s="80">
        <f>IF(AC499=1,IF(AND(INDEX(CFG_WDAYS,WEEKDAY(INT(B499)+1,2))="Sí",IF(D499="proMX",COUNTIFS(FER_F,INT(B499)+1,FER_NLP,"Sí"),COUNTIFS(FER_F,INT(B499)+1,FER_NLM,"Sí"))=0),1,0),0)</f>
        <v>0</v>
      </c>
      <c r="AJ499" s="80">
        <f>IF(AC499=1,1440-Z499,AD499)</f>
        <v>0</v>
      </c>
      <c r="AK499" s="80">
        <f>IF(AND(AB499=1,AH499=1),MAX(0,MIN(IF(AC499=1,1440,AA499),CFG_WEM)-MAX(Z499,CFG_WSM)),0)</f>
        <v>0</v>
      </c>
      <c r="AL499" s="80">
        <f>IF(AND(AC499=1,AI499=1),MAX(0,MIN(AA499,CFG_WEM)-CFG_WSM),0)</f>
        <v>0</v>
      </c>
      <c r="AM499" s="80">
        <f>AK499+AL499</f>
        <v>0</v>
      </c>
      <c r="AN499" s="80">
        <f>IF(CFG_BRK="Proporcional",IF(AD499=0,0,AF499*AM499/AD499),IF(CFG_BRK="Extras primero",MIN(AM499,MAX(0,AF499-(AD499-AM499))),MIN(AF499,AM499)))</f>
        <v>0</v>
      </c>
      <c r="AO499" s="80">
        <f>AF499-AN499</f>
        <v>0</v>
      </c>
      <c r="AP499" s="80">
        <f>AM499-AN499</f>
        <v>0</v>
      </c>
      <c r="AQ499" s="80">
        <f>AD499-AM499-AO499</f>
        <v>0</v>
      </c>
      <c r="AR499" s="80">
        <f>IF(AM499=0,0,AK499-AN499*AK499/AM499)</f>
        <v>0</v>
      </c>
      <c r="AS499" s="80">
        <f>IF(AD499-AM499=0,0,(AJ499-AK499)-AO499*(AJ499-AK499)/(AD499-AM499))</f>
        <v>0</v>
      </c>
      <c r="AT499" s="80" t="str">
        <f>IF(AC499=1,INT(B499)+1,"")</f>
        <v/>
      </c>
      <c r="AU499" s="80">
        <f>IF(AND(D499="proMX",R499="Cancelled"),0,1)</f>
        <v>1</v>
      </c>
      <c r="AV499" s="80">
        <f>IF(AND(AB499=1,AU499=1),IF(COUNTIFS($D$5:D498,D499,$B$5:B498,B499,$Z$5:Z498,Z499,$AA$5:AA498,AA499,$F$5:F498,F499&amp;"",$AU$5:AU498,1)&gt;0,1,0),0)</f>
        <v>0</v>
      </c>
      <c r="AW499" s="80" t="str">
        <f>IF(AB499=1,INT(B499)*1440+Z499,"")</f>
        <v/>
      </c>
      <c r="AX499" s="80" t="str">
        <f>IF(AB499=1,AW499+AD499,"")</f>
        <v/>
      </c>
      <c r="AY499" s="80">
        <f>IF(AND(AB499=1,AV499=0,AU499=1),1,0)</f>
        <v>0</v>
      </c>
      <c r="AZ499" s="80">
        <f>IF(AY499=1,COUNTIFS(R_Emp,D499,R_SAbs,"&lt;"&amp;AX499,R_EAbs,"&gt;"&amp;AW499,R_OKey,1)-1,0)</f>
        <v>0</v>
      </c>
      <c r="BA499" s="80">
        <f>IF(AY499=1,COUNTIFS(R_Emp,"&lt;&gt;"&amp;D499,R_SAbs,"&lt;"&amp;AX499,R_EAbs,"&gt;"&amp;AW499,R_OKey,1),0)</f>
        <v>0</v>
      </c>
      <c r="BB499" s="80">
        <f>IF(AND(AB499=1,D499="proMX"),IF(AND(MOD(Z499,CFG_BLK)=0,MOD(AA499,CFG_BLK)=0,MOD(AG499,CFG_BLK)=0,AG499&gt;0),1,0),1)</f>
        <v>1</v>
      </c>
      <c r="BC499" s="80" t="str">
        <f>IF(Y499=0,"",IF(NOT(ISNUMBER(B499)),"Falta fecha o fecha inválida",IF(D499="","Falta empresa",IF(AND(D499&lt;&gt;"Malcolm",D499&lt;&gt;"proMX"),"Empresa inválida",IF(OR(INT(B499)&lt;CFG_PSTART,INT(B499)&gt;CFG_PEND),"Fecha fuera del período",IF(OR(NOT(ISNUMBER(Z499)),NOT(ISNUMBER(AA499))),"Falta hora inicio/fin o formato inválido",IF(AB499=0,"Hora inicio = hora fin",IF(AE499&lt;0,"Descanso inválido",IF(AE499&gt;=AD499,"Descanso ≥ duración",IF(AV499=1,"Registro duplicado",IF(AZ499&gt;0,"Se superpone con otro registro "&amp;D499,IF(BB499=0,"inicio, fin y duración neta deben ser múltiplos de "&amp;CFG_BLK&amp;" min",""))))))))))))</f>
        <v/>
      </c>
      <c r="BD499" s="80">
        <f>IF(AND(Y499=1,BC499=""),1,0)</f>
        <v>0</v>
      </c>
      <c r="BE499" s="80">
        <f>IF(AND(BD499=1,AU499=1),1,0)</f>
        <v>0</v>
      </c>
      <c r="BF499" s="80" t="str">
        <f>IF(AND(D499="proMX",BD499=1),IF(R499="","Draft",R499),"")</f>
        <v/>
      </c>
      <c r="BG499" s="80">
        <f>IF(BD499=1,ROUND(AG499/60,6),0)</f>
        <v>0</v>
      </c>
      <c r="BH499" s="80">
        <f>IF(BE499=1,ROUND(AG499/60,6),0)</f>
        <v>0</v>
      </c>
      <c r="BI499" s="80">
        <f>IF(BE499=1,ROUND(AP499/60,6),0)</f>
        <v>0</v>
      </c>
      <c r="BJ499" s="80">
        <f>IF(BE499=1,ROUND(AQ499/60,6),0)</f>
        <v>0</v>
      </c>
      <c r="BK499" s="80">
        <f>IF(BE499=1,ROUND((AR499+AS499)/60,6),0)</f>
        <v>0</v>
      </c>
      <c r="BL499" s="80">
        <f>ROUND(BH499-BK499,6)</f>
        <v>0</v>
      </c>
      <c r="BM499" s="80">
        <f>IF(BE499=1,ROUND(AR499/60,6),0)</f>
        <v>0</v>
      </c>
      <c r="BN499" s="80">
        <f>ROUND(BI499-BM499,6)</f>
        <v>0</v>
      </c>
      <c r="BO499" s="80">
        <f>IF(BE499=1,ROUND(AS499/60,6),0)</f>
        <v>0</v>
      </c>
      <c r="BP499" s="80">
        <f>ROUND(BJ499-BO499,6)</f>
        <v>0</v>
      </c>
      <c r="BQ499" s="80">
        <f>IF(BE499=1,AW499,0)</f>
        <v>0</v>
      </c>
      <c r="BR499" s="80">
        <f>IF(BE499=1,AX499,0)</f>
        <v>0</v>
      </c>
      <c r="BS499" s="80">
        <f>IF(AND(BE499=1,D499="Malcolm",BA499&gt;0),MIN(BH499,SUMPRODUCT((R_Emp="proMX")*(R_EN&gt;0)*((R_EN-(R_EN&gt;BR499)*(R_EN-BR499))&gt;(R_SN+(R_SN&lt;BQ499)*(BQ499-R_SN)))*((R_EN-(R_EN&gt;BR499)*(R_EN-BR499))-(R_SN+(R_SN&lt;BQ499)*(BQ499-R_SN))))/60),0)</f>
        <v>0</v>
      </c>
      <c r="BT499" s="80">
        <f>IF(AND(BE499=1,D499="proMX"),ROUND(BI499*CFG_RATE+BJ499*CFG_OTRATE,6),0)</f>
        <v>0</v>
      </c>
      <c r="BU499" s="80">
        <f>IF(AND(BD499=1,D499="proMX"),ROUND(AG499/CFG_BLK,6),0)</f>
        <v>0</v>
      </c>
      <c r="BV499" s="80" t="str">
        <f>IF(BF499="Approved",IF(ISNUMBER(T499),INT(T499),INT(B499)),"")</f>
        <v/>
      </c>
      <c r="BW499" s="80">
        <f>IF(ISNUMBER(B499),IF(DB_MON="Todos",1,IF(AND(INT(B499)&gt;=DB_MS,INT(B499)&lt;=DB_ME),1,0)),0)</f>
        <v>0</v>
      </c>
      <c r="BX499" s="80">
        <f>IF(DB_PROJ="Todos",1,IF(E499&amp;""=DB_PROJ&amp;"",1,0))</f>
        <v>1</v>
      </c>
      <c r="BY499" s="80">
        <f>BW499*BX499</f>
        <v>0</v>
      </c>
      <c r="BZ499" s="80" t="str">
        <f>IF(Y499=1,F499&amp;IF(AND(F499&amp;""&lt;&gt;"",E499&amp;""&lt;&gt;"")," · ","")&amp;E499,"")</f>
        <v/>
      </c>
      <c r="CA499" s="80" t="str">
        <f>IF(AND(BD499=1,E499&amp;""&lt;&gt;""),IF(COUNTIFS($E$5:E498,E499,$BD$5:BD498,1)=0,MAX($CA$5:CA498)+1,""),"")</f>
        <v/>
      </c>
      <c r="CB499" s="80" t="str">
        <f>IF(AND(BE499=1,D499="Malcolm",E499&amp;""&lt;&gt;""),IF(COUNTIFS($D$5:D498,"Malcolm",$E$5:E498,E499,$BE$5:BE498,1)=0,MAX($CB$5:CB498)+1,""),"")</f>
        <v/>
      </c>
      <c r="CC499" s="80" t="str">
        <f>IF(AND(BD499=1,D499="proMX",E499&amp;""&lt;&gt;""),IF(COUNTIFS($D$5:D498,"proMX",$E$5:E498,E499,$BD$5:BD498,1)=0,MAX($CC$5:CC498)+1,""),"")</f>
        <v/>
      </c>
      <c r="CD499" s="80" t="str">
        <f>IF(AND(BE499=1,D499="Malcolm",F499&amp;""&lt;&gt;""),IF(COUNTIFS($D$5:D498,"Malcolm",$F$5:F498,F499,$BE$5:BE498,1)=0,MAX($CD$5:CD498)+1,""),"")</f>
        <v/>
      </c>
      <c r="CE499" s="80" t="str">
        <f>IF(AND(BD499=1,D499="proMX",F499&amp;""&lt;&gt;""),IF(COUNTIFS($D$5:D498,"proMX",$F$5:F498,F499,$BD$5:BD498,1)=0,MAX($CE$5:CE498)+1,""),"")</f>
        <v/>
      </c>
      <c r="CF499" s="80" t="str">
        <f>IF(AND(D499="proMX",BD499=1),IF(OR(BF499="Draft",BF499="Submitted",BF499="Returned",BF499="Recall Requested"),MAX($CF$5:CF498)+1,""),"")</f>
        <v/>
      </c>
      <c r="CG499" s="80">
        <f>IF(BD499=0,0,IF(D499="Malcolm",1,MATCH(BF499,{"Draft","Submitted","Approved","Returned","Recall Requested","Cancelled"},0)+1))</f>
        <v>0</v>
      </c>
      <c r="CH499" s="80">
        <f>IF(AND(BF499="Submitted",ISNUMBER(V499)),IF(V499&gt;CFG_MAXD,1,0),0)</f>
        <v>0</v>
      </c>
    </row>
    <row r="500">
      <c r="A500" s="71" t="str">
        <f>IF(Y500=1,ROW()-5,"")</f>
        <v/>
      </c>
      <c r="B500" s="72" t="n"/>
      <c r="C500" s="71" t="str">
        <f>IF(ISNUMBER(B500),CHOOSE(WEEKDAY(B500,2),"Lun","Mar","Mié","Jue","Vie","Sáb","Dom"),"")</f>
        <v/>
      </c>
      <c r="D500" s="73" t="n"/>
      <c r="E500" s="74" t="n"/>
      <c r="F500" s="74" t="n"/>
      <c r="G500" s="74" t="n"/>
      <c r="H500" s="75" t="n"/>
      <c r="I500" s="75" t="n"/>
      <c r="J500" s="76" t="n"/>
      <c r="K500" s="77" t="str">
        <f>IF(AB500=1,ROUND(AG500/60,4),"")</f>
        <v/>
      </c>
      <c r="L500" s="77" t="str">
        <f>IF(BD500=1,ROUND(AP500/60,4),"")</f>
        <v/>
      </c>
      <c r="M500" s="77" t="str">
        <f>IF(BD500=1,ROUND(AQ500/60,4),"")</f>
        <v/>
      </c>
      <c r="N500" s="71" t="str">
        <f>IF(AND(D500="proMX",AB500=1),ROUND(AG500/CFG_BLK,2),"")</f>
        <v/>
      </c>
      <c r="O500" s="77" t="str">
        <f>IF(D500="proMX",IF(BD500=1,ROUND(AG500/60,4),0),"")</f>
        <v/>
      </c>
      <c r="P500" s="78" t="str">
        <f>IF(Y500=0,"",IF(BD500=1,"OK",IF(D500="proMX","Revisar bloques: ","Revisar: ")&amp;BC500))</f>
        <v/>
      </c>
      <c r="Q500" s="78" t="str">
        <f>IF(NOT(ISNUMBER(B500)),"",IF(COUNTIFS(FER_F,INT(B500))&gt;0,"Feriado"&amp;IF(AH500=1," (laborable)"," (no laborable)"),IF(AH500=1,"Laborable",IF(WEEKDAY(B500,2)&gt;5,"Fin de semana","No laborable"))))</f>
        <v/>
      </c>
      <c r="R500" s="73" t="n"/>
      <c r="S500" s="72" t="n"/>
      <c r="T500" s="72" t="n"/>
      <c r="U500" s="74" t="n"/>
      <c r="V500" s="79" t="str">
        <f>IF(AND(D500="proMX",OR(R500="Submitted",R500="Recall Requested"),ISNUMBER(S500)),CFG_TODAY-INT(S500),"")</f>
        <v/>
      </c>
      <c r="W500" s="78" t="str">
        <f>IF(BD500=0,"",IF(BA500&gt;0,"⚠ Se superpone con un registro de la otra empresa",IF(D500="Malcolm",IF(COUNTA(R500,S500,T500)&gt;0,"Estado/fechas proMX se ignoran en Malcolm",""),IF(BF500="Cancelled","Cancelado: excluido de totales",IF(R500="","Sin estado: se trata como Draft",IF(BF500="Submitted",IF(ISNUMBER(V500),IF(V500&gt;CFG_MAXD,"⚠ "&amp;V500&amp;" días en Submitted (máx. "&amp;CFG_MAXD&amp;")",""),"Falta fecha de envío"),IF(BF500="Returned","⚠ Devuelto: corregir y reenviar",IF(BF500="Recall Requested","Retirada solicitada: pendiente",IF(AND(BF500="Approved",NOT(ISNUMBER(T500))),"Falta fecha de aprobación",IF(AND(ISNUMBER(S500),ISNUMBER(T500),T500&lt;S500),"Aprobación anterior al envío","")))))))))</f>
        <v/>
      </c>
      <c r="Y500" s="80">
        <f>IF(COUNTA(B500,D500,E500,F500,G500,H500,I500,J500,R500,S500,T500)&gt;0,1,0)</f>
        <v>0</v>
      </c>
      <c r="Z500" s="80" t="str">
        <f>IF(AND(ISNUMBER(H500),H500&gt;=0,H500&lt;1),ROUND(H500*1440,0),"")</f>
        <v/>
      </c>
      <c r="AA500" s="80" t="str">
        <f>IF(AND(ISNUMBER(I500),I500&gt;=0,I500&lt;1),ROUND(I500*1440,0),"")</f>
        <v/>
      </c>
      <c r="AB500" s="80">
        <f>IF(AND(ISNUMBER(B500),D500&lt;&gt;"",ISNUMBER(Z500),ISNUMBER(AA500)),IF(Z500=AA500,0,1),0)</f>
        <v>0</v>
      </c>
      <c r="AC500" s="80">
        <f>IF(AB500=1,IF(AA500&lt;Z500,1,0),0)</f>
        <v>0</v>
      </c>
      <c r="AD500" s="80">
        <f>IF(AB500=1,IF(AC500=1,1440-Z500+AA500,AA500-Z500),0)</f>
        <v>0</v>
      </c>
      <c r="AE500" s="80">
        <f>IF(J500="",0,IF(ISNUMBER(J500),J500,-1))</f>
        <v>0</v>
      </c>
      <c r="AF500" s="80">
        <f>MIN(MAX(0,AE500),AD500)</f>
        <v>0</v>
      </c>
      <c r="AG500" s="80">
        <f>MAX(0,AD500-MAX(0,AE500))</f>
        <v>0</v>
      </c>
      <c r="AH500" s="80">
        <f>IF(ISNUMBER(B500),IF(AND(INDEX(CFG_WDAYS,WEEKDAY(INT(B500),2))="Sí",IF(D500="proMX",COUNTIFS(FER_F,INT(B500),FER_NLP,"Sí"),COUNTIFS(FER_F,INT(B500),FER_NLM,"Sí"))=0),1,0),0)</f>
        <v>0</v>
      </c>
      <c r="AI500" s="80">
        <f>IF(AC500=1,IF(AND(INDEX(CFG_WDAYS,WEEKDAY(INT(B500)+1,2))="Sí",IF(D500="proMX",COUNTIFS(FER_F,INT(B500)+1,FER_NLP,"Sí"),COUNTIFS(FER_F,INT(B500)+1,FER_NLM,"Sí"))=0),1,0),0)</f>
        <v>0</v>
      </c>
      <c r="AJ500" s="80">
        <f>IF(AC500=1,1440-Z500,AD500)</f>
        <v>0</v>
      </c>
      <c r="AK500" s="80">
        <f>IF(AND(AB500=1,AH500=1),MAX(0,MIN(IF(AC500=1,1440,AA500),CFG_WEM)-MAX(Z500,CFG_WSM)),0)</f>
        <v>0</v>
      </c>
      <c r="AL500" s="80">
        <f>IF(AND(AC500=1,AI500=1),MAX(0,MIN(AA500,CFG_WEM)-CFG_WSM),0)</f>
        <v>0</v>
      </c>
      <c r="AM500" s="80">
        <f>AK500+AL500</f>
        <v>0</v>
      </c>
      <c r="AN500" s="80">
        <f>IF(CFG_BRK="Proporcional",IF(AD500=0,0,AF500*AM500/AD500),IF(CFG_BRK="Extras primero",MIN(AM500,MAX(0,AF500-(AD500-AM500))),MIN(AF500,AM500)))</f>
        <v>0</v>
      </c>
      <c r="AO500" s="80">
        <f>AF500-AN500</f>
        <v>0</v>
      </c>
      <c r="AP500" s="80">
        <f>AM500-AN500</f>
        <v>0</v>
      </c>
      <c r="AQ500" s="80">
        <f>AD500-AM500-AO500</f>
        <v>0</v>
      </c>
      <c r="AR500" s="80">
        <f>IF(AM500=0,0,AK500-AN500*AK500/AM500)</f>
        <v>0</v>
      </c>
      <c r="AS500" s="80">
        <f>IF(AD500-AM500=0,0,(AJ500-AK500)-AO500*(AJ500-AK500)/(AD500-AM500))</f>
        <v>0</v>
      </c>
      <c r="AT500" s="80" t="str">
        <f>IF(AC500=1,INT(B500)+1,"")</f>
        <v/>
      </c>
      <c r="AU500" s="80">
        <f>IF(AND(D500="proMX",R500="Cancelled"),0,1)</f>
        <v>1</v>
      </c>
      <c r="AV500" s="80">
        <f>IF(AND(AB500=1,AU500=1),IF(COUNTIFS($D$5:D499,D500,$B$5:B499,B500,$Z$5:Z499,Z500,$AA$5:AA499,AA500,$F$5:F499,F500&amp;"",$AU$5:AU499,1)&gt;0,1,0),0)</f>
        <v>0</v>
      </c>
      <c r="AW500" s="80" t="str">
        <f>IF(AB500=1,INT(B500)*1440+Z500,"")</f>
        <v/>
      </c>
      <c r="AX500" s="80" t="str">
        <f>IF(AB500=1,AW500+AD500,"")</f>
        <v/>
      </c>
      <c r="AY500" s="80">
        <f>IF(AND(AB500=1,AV500=0,AU500=1),1,0)</f>
        <v>0</v>
      </c>
      <c r="AZ500" s="80">
        <f>IF(AY500=1,COUNTIFS(R_Emp,D500,R_SAbs,"&lt;"&amp;AX500,R_EAbs,"&gt;"&amp;AW500,R_OKey,1)-1,0)</f>
        <v>0</v>
      </c>
      <c r="BA500" s="80">
        <f>IF(AY500=1,COUNTIFS(R_Emp,"&lt;&gt;"&amp;D500,R_SAbs,"&lt;"&amp;AX500,R_EAbs,"&gt;"&amp;AW500,R_OKey,1),0)</f>
        <v>0</v>
      </c>
      <c r="BB500" s="80">
        <f>IF(AND(AB500=1,D500="proMX"),IF(AND(MOD(Z500,CFG_BLK)=0,MOD(AA500,CFG_BLK)=0,MOD(AG500,CFG_BLK)=0,AG500&gt;0),1,0),1)</f>
        <v>1</v>
      </c>
      <c r="BC500" s="80" t="str">
        <f>IF(Y500=0,"",IF(NOT(ISNUMBER(B500)),"Falta fecha o fecha inválida",IF(D500="","Falta empresa",IF(AND(D500&lt;&gt;"Malcolm",D500&lt;&gt;"proMX"),"Empresa inválida",IF(OR(INT(B500)&lt;CFG_PSTART,INT(B500)&gt;CFG_PEND),"Fecha fuera del período",IF(OR(NOT(ISNUMBER(Z500)),NOT(ISNUMBER(AA500))),"Falta hora inicio/fin o formato inválido",IF(AB500=0,"Hora inicio = hora fin",IF(AE500&lt;0,"Descanso inválido",IF(AE500&gt;=AD500,"Descanso ≥ duración",IF(AV500=1,"Registro duplicado",IF(AZ500&gt;0,"Se superpone con otro registro "&amp;D500,IF(BB500=0,"inicio, fin y duración neta deben ser múltiplos de "&amp;CFG_BLK&amp;" min",""))))))))))))</f>
        <v/>
      </c>
      <c r="BD500" s="80">
        <f>IF(AND(Y500=1,BC500=""),1,0)</f>
        <v>0</v>
      </c>
      <c r="BE500" s="80">
        <f>IF(AND(BD500=1,AU500=1),1,0)</f>
        <v>0</v>
      </c>
      <c r="BF500" s="80" t="str">
        <f>IF(AND(D500="proMX",BD500=1),IF(R500="","Draft",R500),"")</f>
        <v/>
      </c>
      <c r="BG500" s="80">
        <f>IF(BD500=1,ROUND(AG500/60,6),0)</f>
        <v>0</v>
      </c>
      <c r="BH500" s="80">
        <f>IF(BE500=1,ROUND(AG500/60,6),0)</f>
        <v>0</v>
      </c>
      <c r="BI500" s="80">
        <f>IF(BE500=1,ROUND(AP500/60,6),0)</f>
        <v>0</v>
      </c>
      <c r="BJ500" s="80">
        <f>IF(BE500=1,ROUND(AQ500/60,6),0)</f>
        <v>0</v>
      </c>
      <c r="BK500" s="80">
        <f>IF(BE500=1,ROUND((AR500+AS500)/60,6),0)</f>
        <v>0</v>
      </c>
      <c r="BL500" s="80">
        <f>ROUND(BH500-BK500,6)</f>
        <v>0</v>
      </c>
      <c r="BM500" s="80">
        <f>IF(BE500=1,ROUND(AR500/60,6),0)</f>
        <v>0</v>
      </c>
      <c r="BN500" s="80">
        <f>ROUND(BI500-BM500,6)</f>
        <v>0</v>
      </c>
      <c r="BO500" s="80">
        <f>IF(BE500=1,ROUND(AS500/60,6),0)</f>
        <v>0</v>
      </c>
      <c r="BP500" s="80">
        <f>ROUND(BJ500-BO500,6)</f>
        <v>0</v>
      </c>
      <c r="BQ500" s="80">
        <f>IF(BE500=1,AW500,0)</f>
        <v>0</v>
      </c>
      <c r="BR500" s="80">
        <f>IF(BE500=1,AX500,0)</f>
        <v>0</v>
      </c>
      <c r="BS500" s="80">
        <f>IF(AND(BE500=1,D500="Malcolm",BA500&gt;0),MIN(BH500,SUMPRODUCT((R_Emp="proMX")*(R_EN&gt;0)*((R_EN-(R_EN&gt;BR500)*(R_EN-BR500))&gt;(R_SN+(R_SN&lt;BQ500)*(BQ500-R_SN)))*((R_EN-(R_EN&gt;BR500)*(R_EN-BR500))-(R_SN+(R_SN&lt;BQ500)*(BQ500-R_SN))))/60),0)</f>
        <v>0</v>
      </c>
      <c r="BT500" s="80">
        <f>IF(AND(BE500=1,D500="proMX"),ROUND(BI500*CFG_RATE+BJ500*CFG_OTRATE,6),0)</f>
        <v>0</v>
      </c>
      <c r="BU500" s="80">
        <f>IF(AND(BD500=1,D500="proMX"),ROUND(AG500/CFG_BLK,6),0)</f>
        <v>0</v>
      </c>
      <c r="BV500" s="80" t="str">
        <f>IF(BF500="Approved",IF(ISNUMBER(T500),INT(T500),INT(B500)),"")</f>
        <v/>
      </c>
      <c r="BW500" s="80">
        <f>IF(ISNUMBER(B500),IF(DB_MON="Todos",1,IF(AND(INT(B500)&gt;=DB_MS,INT(B500)&lt;=DB_ME),1,0)),0)</f>
        <v>0</v>
      </c>
      <c r="BX500" s="80">
        <f>IF(DB_PROJ="Todos",1,IF(E500&amp;""=DB_PROJ&amp;"",1,0))</f>
        <v>1</v>
      </c>
      <c r="BY500" s="80">
        <f>BW500*BX500</f>
        <v>0</v>
      </c>
      <c r="BZ500" s="80" t="str">
        <f>IF(Y500=1,F500&amp;IF(AND(F500&amp;""&lt;&gt;"",E500&amp;""&lt;&gt;"")," · ","")&amp;E500,"")</f>
        <v/>
      </c>
      <c r="CA500" s="80" t="str">
        <f>IF(AND(BD500=1,E500&amp;""&lt;&gt;""),IF(COUNTIFS($E$5:E499,E500,$BD$5:BD499,1)=0,MAX($CA$5:CA499)+1,""),"")</f>
        <v/>
      </c>
      <c r="CB500" s="80" t="str">
        <f>IF(AND(BE500=1,D500="Malcolm",E500&amp;""&lt;&gt;""),IF(COUNTIFS($D$5:D499,"Malcolm",$E$5:E499,E500,$BE$5:BE499,1)=0,MAX($CB$5:CB499)+1,""),"")</f>
        <v/>
      </c>
      <c r="CC500" s="80" t="str">
        <f>IF(AND(BD500=1,D500="proMX",E500&amp;""&lt;&gt;""),IF(COUNTIFS($D$5:D499,"proMX",$E$5:E499,E500,$BD$5:BD499,1)=0,MAX($CC$5:CC499)+1,""),"")</f>
        <v/>
      </c>
      <c r="CD500" s="80" t="str">
        <f>IF(AND(BE500=1,D500="Malcolm",F500&amp;""&lt;&gt;""),IF(COUNTIFS($D$5:D499,"Malcolm",$F$5:F499,F500,$BE$5:BE499,1)=0,MAX($CD$5:CD499)+1,""),"")</f>
        <v/>
      </c>
      <c r="CE500" s="80" t="str">
        <f>IF(AND(BD500=1,D500="proMX",F500&amp;""&lt;&gt;""),IF(COUNTIFS($D$5:D499,"proMX",$F$5:F499,F500,$BD$5:BD499,1)=0,MAX($CE$5:CE499)+1,""),"")</f>
        <v/>
      </c>
      <c r="CF500" s="80" t="str">
        <f>IF(AND(D500="proMX",BD500=1),IF(OR(BF500="Draft",BF500="Submitted",BF500="Returned",BF500="Recall Requested"),MAX($CF$5:CF499)+1,""),"")</f>
        <v/>
      </c>
      <c r="CG500" s="80">
        <f>IF(BD500=0,0,IF(D500="Malcolm",1,MATCH(BF500,{"Draft","Submitted","Approved","Returned","Recall Requested","Cancelled"},0)+1))</f>
        <v>0</v>
      </c>
      <c r="CH500" s="80">
        <f>IF(AND(BF500="Submitted",ISNUMBER(V500)),IF(V500&gt;CFG_MAXD,1,0),0)</f>
        <v>0</v>
      </c>
    </row>
    <row r="501">
      <c r="A501" s="71" t="str">
        <f>IF(Y501=1,ROW()-5,"")</f>
        <v/>
      </c>
      <c r="B501" s="72" t="n"/>
      <c r="C501" s="71" t="str">
        <f>IF(ISNUMBER(B501),CHOOSE(WEEKDAY(B501,2),"Lun","Mar","Mié","Jue","Vie","Sáb","Dom"),"")</f>
        <v/>
      </c>
      <c r="D501" s="73" t="n"/>
      <c r="E501" s="74" t="n"/>
      <c r="F501" s="74" t="n"/>
      <c r="G501" s="74" t="n"/>
      <c r="H501" s="75" t="n"/>
      <c r="I501" s="75" t="n"/>
      <c r="J501" s="76" t="n"/>
      <c r="K501" s="77" t="str">
        <f>IF(AB501=1,ROUND(AG501/60,4),"")</f>
        <v/>
      </c>
      <c r="L501" s="77" t="str">
        <f>IF(BD501=1,ROUND(AP501/60,4),"")</f>
        <v/>
      </c>
      <c r="M501" s="77" t="str">
        <f>IF(BD501=1,ROUND(AQ501/60,4),"")</f>
        <v/>
      </c>
      <c r="N501" s="71" t="str">
        <f>IF(AND(D501="proMX",AB501=1),ROUND(AG501/CFG_BLK,2),"")</f>
        <v/>
      </c>
      <c r="O501" s="77" t="str">
        <f>IF(D501="proMX",IF(BD501=1,ROUND(AG501/60,4),0),"")</f>
        <v/>
      </c>
      <c r="P501" s="78" t="str">
        <f>IF(Y501=0,"",IF(BD501=1,"OK",IF(D501="proMX","Revisar bloques: ","Revisar: ")&amp;BC501))</f>
        <v/>
      </c>
      <c r="Q501" s="78" t="str">
        <f>IF(NOT(ISNUMBER(B501)),"",IF(COUNTIFS(FER_F,INT(B501))&gt;0,"Feriado"&amp;IF(AH501=1," (laborable)"," (no laborable)"),IF(AH501=1,"Laborable",IF(WEEKDAY(B501,2)&gt;5,"Fin de semana","No laborable"))))</f>
        <v/>
      </c>
      <c r="R501" s="73" t="n"/>
      <c r="S501" s="72" t="n"/>
      <c r="T501" s="72" t="n"/>
      <c r="U501" s="74" t="n"/>
      <c r="V501" s="79" t="str">
        <f>IF(AND(D501="proMX",OR(R501="Submitted",R501="Recall Requested"),ISNUMBER(S501)),CFG_TODAY-INT(S501),"")</f>
        <v/>
      </c>
      <c r="W501" s="78" t="str">
        <f>IF(BD501=0,"",IF(BA501&gt;0,"⚠ Se superpone con un registro de la otra empresa",IF(D501="Malcolm",IF(COUNTA(R501,S501,T501)&gt;0,"Estado/fechas proMX se ignoran en Malcolm",""),IF(BF501="Cancelled","Cancelado: excluido de totales",IF(R501="","Sin estado: se trata como Draft",IF(BF501="Submitted",IF(ISNUMBER(V501),IF(V501&gt;CFG_MAXD,"⚠ "&amp;V501&amp;" días en Submitted (máx. "&amp;CFG_MAXD&amp;")",""),"Falta fecha de envío"),IF(BF501="Returned","⚠ Devuelto: corregir y reenviar",IF(BF501="Recall Requested","Retirada solicitada: pendiente",IF(AND(BF501="Approved",NOT(ISNUMBER(T501))),"Falta fecha de aprobación",IF(AND(ISNUMBER(S501),ISNUMBER(T501),T501&lt;S501),"Aprobación anterior al envío","")))))))))</f>
        <v/>
      </c>
      <c r="Y501" s="80">
        <f>IF(COUNTA(B501,D501,E501,F501,G501,H501,I501,J501,R501,S501,T501)&gt;0,1,0)</f>
        <v>0</v>
      </c>
      <c r="Z501" s="80" t="str">
        <f>IF(AND(ISNUMBER(H501),H501&gt;=0,H501&lt;1),ROUND(H501*1440,0),"")</f>
        <v/>
      </c>
      <c r="AA501" s="80" t="str">
        <f>IF(AND(ISNUMBER(I501),I501&gt;=0,I501&lt;1),ROUND(I501*1440,0),"")</f>
        <v/>
      </c>
      <c r="AB501" s="80">
        <f>IF(AND(ISNUMBER(B501),D501&lt;&gt;"",ISNUMBER(Z501),ISNUMBER(AA501)),IF(Z501=AA501,0,1),0)</f>
        <v>0</v>
      </c>
      <c r="AC501" s="80">
        <f>IF(AB501=1,IF(AA501&lt;Z501,1,0),0)</f>
        <v>0</v>
      </c>
      <c r="AD501" s="80">
        <f>IF(AB501=1,IF(AC501=1,1440-Z501+AA501,AA501-Z501),0)</f>
        <v>0</v>
      </c>
      <c r="AE501" s="80">
        <f>IF(J501="",0,IF(ISNUMBER(J501),J501,-1))</f>
        <v>0</v>
      </c>
      <c r="AF501" s="80">
        <f>MIN(MAX(0,AE501),AD501)</f>
        <v>0</v>
      </c>
      <c r="AG501" s="80">
        <f>MAX(0,AD501-MAX(0,AE501))</f>
        <v>0</v>
      </c>
      <c r="AH501" s="80">
        <f>IF(ISNUMBER(B501),IF(AND(INDEX(CFG_WDAYS,WEEKDAY(INT(B501),2))="Sí",IF(D501="proMX",COUNTIFS(FER_F,INT(B501),FER_NLP,"Sí"),COUNTIFS(FER_F,INT(B501),FER_NLM,"Sí"))=0),1,0),0)</f>
        <v>0</v>
      </c>
      <c r="AI501" s="80">
        <f>IF(AC501=1,IF(AND(INDEX(CFG_WDAYS,WEEKDAY(INT(B501)+1,2))="Sí",IF(D501="proMX",COUNTIFS(FER_F,INT(B501)+1,FER_NLP,"Sí"),COUNTIFS(FER_F,INT(B501)+1,FER_NLM,"Sí"))=0),1,0),0)</f>
        <v>0</v>
      </c>
      <c r="AJ501" s="80">
        <f>IF(AC501=1,1440-Z501,AD501)</f>
        <v>0</v>
      </c>
      <c r="AK501" s="80">
        <f>IF(AND(AB501=1,AH501=1),MAX(0,MIN(IF(AC501=1,1440,AA501),CFG_WEM)-MAX(Z501,CFG_WSM)),0)</f>
        <v>0</v>
      </c>
      <c r="AL501" s="80">
        <f>IF(AND(AC501=1,AI501=1),MAX(0,MIN(AA501,CFG_WEM)-CFG_WSM),0)</f>
        <v>0</v>
      </c>
      <c r="AM501" s="80">
        <f>AK501+AL501</f>
        <v>0</v>
      </c>
      <c r="AN501" s="80">
        <f>IF(CFG_BRK="Proporcional",IF(AD501=0,0,AF501*AM501/AD501),IF(CFG_BRK="Extras primero",MIN(AM501,MAX(0,AF501-(AD501-AM501))),MIN(AF501,AM501)))</f>
        <v>0</v>
      </c>
      <c r="AO501" s="80">
        <f>AF501-AN501</f>
        <v>0</v>
      </c>
      <c r="AP501" s="80">
        <f>AM501-AN501</f>
        <v>0</v>
      </c>
      <c r="AQ501" s="80">
        <f>AD501-AM501-AO501</f>
        <v>0</v>
      </c>
      <c r="AR501" s="80">
        <f>IF(AM501=0,0,AK501-AN501*AK501/AM501)</f>
        <v>0</v>
      </c>
      <c r="AS501" s="80">
        <f>IF(AD501-AM501=0,0,(AJ501-AK501)-AO501*(AJ501-AK501)/(AD501-AM501))</f>
        <v>0</v>
      </c>
      <c r="AT501" s="80" t="str">
        <f>IF(AC501=1,INT(B501)+1,"")</f>
        <v/>
      </c>
      <c r="AU501" s="80">
        <f>IF(AND(D501="proMX",R501="Cancelled"),0,1)</f>
        <v>1</v>
      </c>
      <c r="AV501" s="80">
        <f>IF(AND(AB501=1,AU501=1),IF(COUNTIFS($D$5:D500,D501,$B$5:B500,B501,$Z$5:Z500,Z501,$AA$5:AA500,AA501,$F$5:F500,F501&amp;"",$AU$5:AU500,1)&gt;0,1,0),0)</f>
        <v>0</v>
      </c>
      <c r="AW501" s="80" t="str">
        <f>IF(AB501=1,INT(B501)*1440+Z501,"")</f>
        <v/>
      </c>
      <c r="AX501" s="80" t="str">
        <f>IF(AB501=1,AW501+AD501,"")</f>
        <v/>
      </c>
      <c r="AY501" s="80">
        <f>IF(AND(AB501=1,AV501=0,AU501=1),1,0)</f>
        <v>0</v>
      </c>
      <c r="AZ501" s="80">
        <f>IF(AY501=1,COUNTIFS(R_Emp,D501,R_SAbs,"&lt;"&amp;AX501,R_EAbs,"&gt;"&amp;AW501,R_OKey,1)-1,0)</f>
        <v>0</v>
      </c>
      <c r="BA501" s="80">
        <f>IF(AY501=1,COUNTIFS(R_Emp,"&lt;&gt;"&amp;D501,R_SAbs,"&lt;"&amp;AX501,R_EAbs,"&gt;"&amp;AW501,R_OKey,1),0)</f>
        <v>0</v>
      </c>
      <c r="BB501" s="80">
        <f>IF(AND(AB501=1,D501="proMX"),IF(AND(MOD(Z501,CFG_BLK)=0,MOD(AA501,CFG_BLK)=0,MOD(AG501,CFG_BLK)=0,AG501&gt;0),1,0),1)</f>
        <v>1</v>
      </c>
      <c r="BC501" s="80" t="str">
        <f>IF(Y501=0,"",IF(NOT(ISNUMBER(B501)),"Falta fecha o fecha inválida",IF(D501="","Falta empresa",IF(AND(D501&lt;&gt;"Malcolm",D501&lt;&gt;"proMX"),"Empresa inválida",IF(OR(INT(B501)&lt;CFG_PSTART,INT(B501)&gt;CFG_PEND),"Fecha fuera del período",IF(OR(NOT(ISNUMBER(Z501)),NOT(ISNUMBER(AA501))),"Falta hora inicio/fin o formato inválido",IF(AB501=0,"Hora inicio = hora fin",IF(AE501&lt;0,"Descanso inválido",IF(AE501&gt;=AD501,"Descanso ≥ duración",IF(AV501=1,"Registro duplicado",IF(AZ501&gt;0,"Se superpone con otro registro "&amp;D501,IF(BB501=0,"inicio, fin y duración neta deben ser múltiplos de "&amp;CFG_BLK&amp;" min",""))))))))))))</f>
        <v/>
      </c>
      <c r="BD501" s="80">
        <f>IF(AND(Y501=1,BC501=""),1,0)</f>
        <v>0</v>
      </c>
      <c r="BE501" s="80">
        <f>IF(AND(BD501=1,AU501=1),1,0)</f>
        <v>0</v>
      </c>
      <c r="BF501" s="80" t="str">
        <f>IF(AND(D501="proMX",BD501=1),IF(R501="","Draft",R501),"")</f>
        <v/>
      </c>
      <c r="BG501" s="80">
        <f>IF(BD501=1,ROUND(AG501/60,6),0)</f>
        <v>0</v>
      </c>
      <c r="BH501" s="80">
        <f>IF(BE501=1,ROUND(AG501/60,6),0)</f>
        <v>0</v>
      </c>
      <c r="BI501" s="80">
        <f>IF(BE501=1,ROUND(AP501/60,6),0)</f>
        <v>0</v>
      </c>
      <c r="BJ501" s="80">
        <f>IF(BE501=1,ROUND(AQ501/60,6),0)</f>
        <v>0</v>
      </c>
      <c r="BK501" s="80">
        <f>IF(BE501=1,ROUND((AR501+AS501)/60,6),0)</f>
        <v>0</v>
      </c>
      <c r="BL501" s="80">
        <f>ROUND(BH501-BK501,6)</f>
        <v>0</v>
      </c>
      <c r="BM501" s="80">
        <f>IF(BE501=1,ROUND(AR501/60,6),0)</f>
        <v>0</v>
      </c>
      <c r="BN501" s="80">
        <f>ROUND(BI501-BM501,6)</f>
        <v>0</v>
      </c>
      <c r="BO501" s="80">
        <f>IF(BE501=1,ROUND(AS501/60,6),0)</f>
        <v>0</v>
      </c>
      <c r="BP501" s="80">
        <f>ROUND(BJ501-BO501,6)</f>
        <v>0</v>
      </c>
      <c r="BQ501" s="80">
        <f>IF(BE501=1,AW501,0)</f>
        <v>0</v>
      </c>
      <c r="BR501" s="80">
        <f>IF(BE501=1,AX501,0)</f>
        <v>0</v>
      </c>
      <c r="BS501" s="80">
        <f>IF(AND(BE501=1,D501="Malcolm",BA501&gt;0),MIN(BH501,SUMPRODUCT((R_Emp="proMX")*(R_EN&gt;0)*((R_EN-(R_EN&gt;BR501)*(R_EN-BR501))&gt;(R_SN+(R_SN&lt;BQ501)*(BQ501-R_SN)))*((R_EN-(R_EN&gt;BR501)*(R_EN-BR501))-(R_SN+(R_SN&lt;BQ501)*(BQ501-R_SN))))/60),0)</f>
        <v>0</v>
      </c>
      <c r="BT501" s="80">
        <f>IF(AND(BE501=1,D501="proMX"),ROUND(BI501*CFG_RATE+BJ501*CFG_OTRATE,6),0)</f>
        <v>0</v>
      </c>
      <c r="BU501" s="80">
        <f>IF(AND(BD501=1,D501="proMX"),ROUND(AG501/CFG_BLK,6),0)</f>
        <v>0</v>
      </c>
      <c r="BV501" s="80" t="str">
        <f>IF(BF501="Approved",IF(ISNUMBER(T501),INT(T501),INT(B501)),"")</f>
        <v/>
      </c>
      <c r="BW501" s="80">
        <f>IF(ISNUMBER(B501),IF(DB_MON="Todos",1,IF(AND(INT(B501)&gt;=DB_MS,INT(B501)&lt;=DB_ME),1,0)),0)</f>
        <v>0</v>
      </c>
      <c r="BX501" s="80">
        <f>IF(DB_PROJ="Todos",1,IF(E501&amp;""=DB_PROJ&amp;"",1,0))</f>
        <v>1</v>
      </c>
      <c r="BY501" s="80">
        <f>BW501*BX501</f>
        <v>0</v>
      </c>
      <c r="BZ501" s="80" t="str">
        <f>IF(Y501=1,F501&amp;IF(AND(F501&amp;""&lt;&gt;"",E501&amp;""&lt;&gt;"")," · ","")&amp;E501,"")</f>
        <v/>
      </c>
      <c r="CA501" s="80" t="str">
        <f>IF(AND(BD501=1,E501&amp;""&lt;&gt;""),IF(COUNTIFS($E$5:E500,E501,$BD$5:BD500,1)=0,MAX($CA$5:CA500)+1,""),"")</f>
        <v/>
      </c>
      <c r="CB501" s="80" t="str">
        <f>IF(AND(BE501=1,D501="Malcolm",E501&amp;""&lt;&gt;""),IF(COUNTIFS($D$5:D500,"Malcolm",$E$5:E500,E501,$BE$5:BE500,1)=0,MAX($CB$5:CB500)+1,""),"")</f>
        <v/>
      </c>
      <c r="CC501" s="80" t="str">
        <f>IF(AND(BD501=1,D501="proMX",E501&amp;""&lt;&gt;""),IF(COUNTIFS($D$5:D500,"proMX",$E$5:E500,E501,$BD$5:BD500,1)=0,MAX($CC$5:CC500)+1,""),"")</f>
        <v/>
      </c>
      <c r="CD501" s="80" t="str">
        <f>IF(AND(BE501=1,D501="Malcolm",F501&amp;""&lt;&gt;""),IF(COUNTIFS($D$5:D500,"Malcolm",$F$5:F500,F501,$BE$5:BE500,1)=0,MAX($CD$5:CD500)+1,""),"")</f>
        <v/>
      </c>
      <c r="CE501" s="80" t="str">
        <f>IF(AND(BD501=1,D501="proMX",F501&amp;""&lt;&gt;""),IF(COUNTIFS($D$5:D500,"proMX",$F$5:F500,F501,$BD$5:BD500,1)=0,MAX($CE$5:CE500)+1,""),"")</f>
        <v/>
      </c>
      <c r="CF501" s="80" t="str">
        <f>IF(AND(D501="proMX",BD501=1),IF(OR(BF501="Draft",BF501="Submitted",BF501="Returned",BF501="Recall Requested"),MAX($CF$5:CF500)+1,""),"")</f>
        <v/>
      </c>
      <c r="CG501" s="80">
        <f>IF(BD501=0,0,IF(D501="Malcolm",1,MATCH(BF501,{"Draft","Submitted","Approved","Returned","Recall Requested","Cancelled"},0)+1))</f>
        <v>0</v>
      </c>
      <c r="CH501" s="80">
        <f>IF(AND(BF501="Submitted",ISNUMBER(V501)),IF(V501&gt;CFG_MAXD,1,0),0)</f>
        <v>0</v>
      </c>
    </row>
    <row r="502">
      <c r="A502" s="71" t="str">
        <f>IF(Y502=1,ROW()-5,"")</f>
        <v/>
      </c>
      <c r="B502" s="72" t="n"/>
      <c r="C502" s="71" t="str">
        <f>IF(ISNUMBER(B502),CHOOSE(WEEKDAY(B502,2),"Lun","Mar","Mié","Jue","Vie","Sáb","Dom"),"")</f>
        <v/>
      </c>
      <c r="D502" s="73" t="n"/>
      <c r="E502" s="74" t="n"/>
      <c r="F502" s="74" t="n"/>
      <c r="G502" s="74" t="n"/>
      <c r="H502" s="75" t="n"/>
      <c r="I502" s="75" t="n"/>
      <c r="J502" s="76" t="n"/>
      <c r="K502" s="77" t="str">
        <f>IF(AB502=1,ROUND(AG502/60,4),"")</f>
        <v/>
      </c>
      <c r="L502" s="77" t="str">
        <f>IF(BD502=1,ROUND(AP502/60,4),"")</f>
        <v/>
      </c>
      <c r="M502" s="77" t="str">
        <f>IF(BD502=1,ROUND(AQ502/60,4),"")</f>
        <v/>
      </c>
      <c r="N502" s="71" t="str">
        <f>IF(AND(D502="proMX",AB502=1),ROUND(AG502/CFG_BLK,2),"")</f>
        <v/>
      </c>
      <c r="O502" s="77" t="str">
        <f>IF(D502="proMX",IF(BD502=1,ROUND(AG502/60,4),0),"")</f>
        <v/>
      </c>
      <c r="P502" s="78" t="str">
        <f>IF(Y502=0,"",IF(BD502=1,"OK",IF(D502="proMX","Revisar bloques: ","Revisar: ")&amp;BC502))</f>
        <v/>
      </c>
      <c r="Q502" s="78" t="str">
        <f>IF(NOT(ISNUMBER(B502)),"",IF(COUNTIFS(FER_F,INT(B502))&gt;0,"Feriado"&amp;IF(AH502=1," (laborable)"," (no laborable)"),IF(AH502=1,"Laborable",IF(WEEKDAY(B502,2)&gt;5,"Fin de semana","No laborable"))))</f>
        <v/>
      </c>
      <c r="R502" s="73" t="n"/>
      <c r="S502" s="72" t="n"/>
      <c r="T502" s="72" t="n"/>
      <c r="U502" s="74" t="n"/>
      <c r="V502" s="79" t="str">
        <f>IF(AND(D502="proMX",OR(R502="Submitted",R502="Recall Requested"),ISNUMBER(S502)),CFG_TODAY-INT(S502),"")</f>
        <v/>
      </c>
      <c r="W502" s="78" t="str">
        <f>IF(BD502=0,"",IF(BA502&gt;0,"⚠ Se superpone con un registro de la otra empresa",IF(D502="Malcolm",IF(COUNTA(R502,S502,T502)&gt;0,"Estado/fechas proMX se ignoran en Malcolm",""),IF(BF502="Cancelled","Cancelado: excluido de totales",IF(R502="","Sin estado: se trata como Draft",IF(BF502="Submitted",IF(ISNUMBER(V502),IF(V502&gt;CFG_MAXD,"⚠ "&amp;V502&amp;" días en Submitted (máx. "&amp;CFG_MAXD&amp;")",""),"Falta fecha de envío"),IF(BF502="Returned","⚠ Devuelto: corregir y reenviar",IF(BF502="Recall Requested","Retirada solicitada: pendiente",IF(AND(BF502="Approved",NOT(ISNUMBER(T502))),"Falta fecha de aprobación",IF(AND(ISNUMBER(S502),ISNUMBER(T502),T502&lt;S502),"Aprobación anterior al envío","")))))))))</f>
        <v/>
      </c>
      <c r="Y502" s="80">
        <f>IF(COUNTA(B502,D502,E502,F502,G502,H502,I502,J502,R502,S502,T502)&gt;0,1,0)</f>
        <v>0</v>
      </c>
      <c r="Z502" s="80" t="str">
        <f>IF(AND(ISNUMBER(H502),H502&gt;=0,H502&lt;1),ROUND(H502*1440,0),"")</f>
        <v/>
      </c>
      <c r="AA502" s="80" t="str">
        <f>IF(AND(ISNUMBER(I502),I502&gt;=0,I502&lt;1),ROUND(I502*1440,0),"")</f>
        <v/>
      </c>
      <c r="AB502" s="80">
        <f>IF(AND(ISNUMBER(B502),D502&lt;&gt;"",ISNUMBER(Z502),ISNUMBER(AA502)),IF(Z502=AA502,0,1),0)</f>
        <v>0</v>
      </c>
      <c r="AC502" s="80">
        <f>IF(AB502=1,IF(AA502&lt;Z502,1,0),0)</f>
        <v>0</v>
      </c>
      <c r="AD502" s="80">
        <f>IF(AB502=1,IF(AC502=1,1440-Z502+AA502,AA502-Z502),0)</f>
        <v>0</v>
      </c>
      <c r="AE502" s="80">
        <f>IF(J502="",0,IF(ISNUMBER(J502),J502,-1))</f>
        <v>0</v>
      </c>
      <c r="AF502" s="80">
        <f>MIN(MAX(0,AE502),AD502)</f>
        <v>0</v>
      </c>
      <c r="AG502" s="80">
        <f>MAX(0,AD502-MAX(0,AE502))</f>
        <v>0</v>
      </c>
      <c r="AH502" s="80">
        <f>IF(ISNUMBER(B502),IF(AND(INDEX(CFG_WDAYS,WEEKDAY(INT(B502),2))="Sí",IF(D502="proMX",COUNTIFS(FER_F,INT(B502),FER_NLP,"Sí"),COUNTIFS(FER_F,INT(B502),FER_NLM,"Sí"))=0),1,0),0)</f>
        <v>0</v>
      </c>
      <c r="AI502" s="80">
        <f>IF(AC502=1,IF(AND(INDEX(CFG_WDAYS,WEEKDAY(INT(B502)+1,2))="Sí",IF(D502="proMX",COUNTIFS(FER_F,INT(B502)+1,FER_NLP,"Sí"),COUNTIFS(FER_F,INT(B502)+1,FER_NLM,"Sí"))=0),1,0),0)</f>
        <v>0</v>
      </c>
      <c r="AJ502" s="80">
        <f>IF(AC502=1,1440-Z502,AD502)</f>
        <v>0</v>
      </c>
      <c r="AK502" s="80">
        <f>IF(AND(AB502=1,AH502=1),MAX(0,MIN(IF(AC502=1,1440,AA502),CFG_WEM)-MAX(Z502,CFG_WSM)),0)</f>
        <v>0</v>
      </c>
      <c r="AL502" s="80">
        <f>IF(AND(AC502=1,AI502=1),MAX(0,MIN(AA502,CFG_WEM)-CFG_WSM),0)</f>
        <v>0</v>
      </c>
      <c r="AM502" s="80">
        <f>AK502+AL502</f>
        <v>0</v>
      </c>
      <c r="AN502" s="80">
        <f>IF(CFG_BRK="Proporcional",IF(AD502=0,0,AF502*AM502/AD502),IF(CFG_BRK="Extras primero",MIN(AM502,MAX(0,AF502-(AD502-AM502))),MIN(AF502,AM502)))</f>
        <v>0</v>
      </c>
      <c r="AO502" s="80">
        <f>AF502-AN502</f>
        <v>0</v>
      </c>
      <c r="AP502" s="80">
        <f>AM502-AN502</f>
        <v>0</v>
      </c>
      <c r="AQ502" s="80">
        <f>AD502-AM502-AO502</f>
        <v>0</v>
      </c>
      <c r="AR502" s="80">
        <f>IF(AM502=0,0,AK502-AN502*AK502/AM502)</f>
        <v>0</v>
      </c>
      <c r="AS502" s="80">
        <f>IF(AD502-AM502=0,0,(AJ502-AK502)-AO502*(AJ502-AK502)/(AD502-AM502))</f>
        <v>0</v>
      </c>
      <c r="AT502" s="80" t="str">
        <f>IF(AC502=1,INT(B502)+1,"")</f>
        <v/>
      </c>
      <c r="AU502" s="80">
        <f>IF(AND(D502="proMX",R502="Cancelled"),0,1)</f>
        <v>1</v>
      </c>
      <c r="AV502" s="80">
        <f>IF(AND(AB502=1,AU502=1),IF(COUNTIFS($D$5:D501,D502,$B$5:B501,B502,$Z$5:Z501,Z502,$AA$5:AA501,AA502,$F$5:F501,F502&amp;"",$AU$5:AU501,1)&gt;0,1,0),0)</f>
        <v>0</v>
      </c>
      <c r="AW502" s="80" t="str">
        <f>IF(AB502=1,INT(B502)*1440+Z502,"")</f>
        <v/>
      </c>
      <c r="AX502" s="80" t="str">
        <f>IF(AB502=1,AW502+AD502,"")</f>
        <v/>
      </c>
      <c r="AY502" s="80">
        <f>IF(AND(AB502=1,AV502=0,AU502=1),1,0)</f>
        <v>0</v>
      </c>
      <c r="AZ502" s="80">
        <f>IF(AY502=1,COUNTIFS(R_Emp,D502,R_SAbs,"&lt;"&amp;AX502,R_EAbs,"&gt;"&amp;AW502,R_OKey,1)-1,0)</f>
        <v>0</v>
      </c>
      <c r="BA502" s="80">
        <f>IF(AY502=1,COUNTIFS(R_Emp,"&lt;&gt;"&amp;D502,R_SAbs,"&lt;"&amp;AX502,R_EAbs,"&gt;"&amp;AW502,R_OKey,1),0)</f>
        <v>0</v>
      </c>
      <c r="BB502" s="80">
        <f>IF(AND(AB502=1,D502="proMX"),IF(AND(MOD(Z502,CFG_BLK)=0,MOD(AA502,CFG_BLK)=0,MOD(AG502,CFG_BLK)=0,AG502&gt;0),1,0),1)</f>
        <v>1</v>
      </c>
      <c r="BC502" s="80" t="str">
        <f>IF(Y502=0,"",IF(NOT(ISNUMBER(B502)),"Falta fecha o fecha inválida",IF(D502="","Falta empresa",IF(AND(D502&lt;&gt;"Malcolm",D502&lt;&gt;"proMX"),"Empresa inválida",IF(OR(INT(B502)&lt;CFG_PSTART,INT(B502)&gt;CFG_PEND),"Fecha fuera del período",IF(OR(NOT(ISNUMBER(Z502)),NOT(ISNUMBER(AA502))),"Falta hora inicio/fin o formato inválido",IF(AB502=0,"Hora inicio = hora fin",IF(AE502&lt;0,"Descanso inválido",IF(AE502&gt;=AD502,"Descanso ≥ duración",IF(AV502=1,"Registro duplicado",IF(AZ502&gt;0,"Se superpone con otro registro "&amp;D502,IF(BB502=0,"inicio, fin y duración neta deben ser múltiplos de "&amp;CFG_BLK&amp;" min",""))))))))))))</f>
        <v/>
      </c>
      <c r="BD502" s="80">
        <f>IF(AND(Y502=1,BC502=""),1,0)</f>
        <v>0</v>
      </c>
      <c r="BE502" s="80">
        <f>IF(AND(BD502=1,AU502=1),1,0)</f>
        <v>0</v>
      </c>
      <c r="BF502" s="80" t="str">
        <f>IF(AND(D502="proMX",BD502=1),IF(R502="","Draft",R502),"")</f>
        <v/>
      </c>
      <c r="BG502" s="80">
        <f>IF(BD502=1,ROUND(AG502/60,6),0)</f>
        <v>0</v>
      </c>
      <c r="BH502" s="80">
        <f>IF(BE502=1,ROUND(AG502/60,6),0)</f>
        <v>0</v>
      </c>
      <c r="BI502" s="80">
        <f>IF(BE502=1,ROUND(AP502/60,6),0)</f>
        <v>0</v>
      </c>
      <c r="BJ502" s="80">
        <f>IF(BE502=1,ROUND(AQ502/60,6),0)</f>
        <v>0</v>
      </c>
      <c r="BK502" s="80">
        <f>IF(BE502=1,ROUND((AR502+AS502)/60,6),0)</f>
        <v>0</v>
      </c>
      <c r="BL502" s="80">
        <f>ROUND(BH502-BK502,6)</f>
        <v>0</v>
      </c>
      <c r="BM502" s="80">
        <f>IF(BE502=1,ROUND(AR502/60,6),0)</f>
        <v>0</v>
      </c>
      <c r="BN502" s="80">
        <f>ROUND(BI502-BM502,6)</f>
        <v>0</v>
      </c>
      <c r="BO502" s="80">
        <f>IF(BE502=1,ROUND(AS502/60,6),0)</f>
        <v>0</v>
      </c>
      <c r="BP502" s="80">
        <f>ROUND(BJ502-BO502,6)</f>
        <v>0</v>
      </c>
      <c r="BQ502" s="80">
        <f>IF(BE502=1,AW502,0)</f>
        <v>0</v>
      </c>
      <c r="BR502" s="80">
        <f>IF(BE502=1,AX502,0)</f>
        <v>0</v>
      </c>
      <c r="BS502" s="80">
        <f>IF(AND(BE502=1,D502="Malcolm",BA502&gt;0),MIN(BH502,SUMPRODUCT((R_Emp="proMX")*(R_EN&gt;0)*((R_EN-(R_EN&gt;BR502)*(R_EN-BR502))&gt;(R_SN+(R_SN&lt;BQ502)*(BQ502-R_SN)))*((R_EN-(R_EN&gt;BR502)*(R_EN-BR502))-(R_SN+(R_SN&lt;BQ502)*(BQ502-R_SN))))/60),0)</f>
        <v>0</v>
      </c>
      <c r="BT502" s="80">
        <f>IF(AND(BE502=1,D502="proMX"),ROUND(BI502*CFG_RATE+BJ502*CFG_OTRATE,6),0)</f>
        <v>0</v>
      </c>
      <c r="BU502" s="80">
        <f>IF(AND(BD502=1,D502="proMX"),ROUND(AG502/CFG_BLK,6),0)</f>
        <v>0</v>
      </c>
      <c r="BV502" s="80" t="str">
        <f>IF(BF502="Approved",IF(ISNUMBER(T502),INT(T502),INT(B502)),"")</f>
        <v/>
      </c>
      <c r="BW502" s="80">
        <f>IF(ISNUMBER(B502),IF(DB_MON="Todos",1,IF(AND(INT(B502)&gt;=DB_MS,INT(B502)&lt;=DB_ME),1,0)),0)</f>
        <v>0</v>
      </c>
      <c r="BX502" s="80">
        <f>IF(DB_PROJ="Todos",1,IF(E502&amp;""=DB_PROJ&amp;"",1,0))</f>
        <v>1</v>
      </c>
      <c r="BY502" s="80">
        <f>BW502*BX502</f>
        <v>0</v>
      </c>
      <c r="BZ502" s="80" t="str">
        <f>IF(Y502=1,F502&amp;IF(AND(F502&amp;""&lt;&gt;"",E502&amp;""&lt;&gt;"")," · ","")&amp;E502,"")</f>
        <v/>
      </c>
      <c r="CA502" s="80" t="str">
        <f>IF(AND(BD502=1,E502&amp;""&lt;&gt;""),IF(COUNTIFS($E$5:E501,E502,$BD$5:BD501,1)=0,MAX($CA$5:CA501)+1,""),"")</f>
        <v/>
      </c>
      <c r="CB502" s="80" t="str">
        <f>IF(AND(BE502=1,D502="Malcolm",E502&amp;""&lt;&gt;""),IF(COUNTIFS($D$5:D501,"Malcolm",$E$5:E501,E502,$BE$5:BE501,1)=0,MAX($CB$5:CB501)+1,""),"")</f>
        <v/>
      </c>
      <c r="CC502" s="80" t="str">
        <f>IF(AND(BD502=1,D502="proMX",E502&amp;""&lt;&gt;""),IF(COUNTIFS($D$5:D501,"proMX",$E$5:E501,E502,$BD$5:BD501,1)=0,MAX($CC$5:CC501)+1,""),"")</f>
        <v/>
      </c>
      <c r="CD502" s="80" t="str">
        <f>IF(AND(BE502=1,D502="Malcolm",F502&amp;""&lt;&gt;""),IF(COUNTIFS($D$5:D501,"Malcolm",$F$5:F501,F502,$BE$5:BE501,1)=0,MAX($CD$5:CD501)+1,""),"")</f>
        <v/>
      </c>
      <c r="CE502" s="80" t="str">
        <f>IF(AND(BD502=1,D502="proMX",F502&amp;""&lt;&gt;""),IF(COUNTIFS($D$5:D501,"proMX",$F$5:F501,F502,$BD$5:BD501,1)=0,MAX($CE$5:CE501)+1,""),"")</f>
        <v/>
      </c>
      <c r="CF502" s="80" t="str">
        <f>IF(AND(D502="proMX",BD502=1),IF(OR(BF502="Draft",BF502="Submitted",BF502="Returned",BF502="Recall Requested"),MAX($CF$5:CF501)+1,""),"")</f>
        <v/>
      </c>
      <c r="CG502" s="80">
        <f>IF(BD502=0,0,IF(D502="Malcolm",1,MATCH(BF502,{"Draft","Submitted","Approved","Returned","Recall Requested","Cancelled"},0)+1))</f>
        <v>0</v>
      </c>
      <c r="CH502" s="80">
        <f>IF(AND(BF502="Submitted",ISNUMBER(V502)),IF(V502&gt;CFG_MAXD,1,0),0)</f>
        <v>0</v>
      </c>
    </row>
    <row r="503">
      <c r="A503" s="71" t="str">
        <f>IF(Y503=1,ROW()-5,"")</f>
        <v/>
      </c>
      <c r="B503" s="72" t="n"/>
      <c r="C503" s="71" t="str">
        <f>IF(ISNUMBER(B503),CHOOSE(WEEKDAY(B503,2),"Lun","Mar","Mié","Jue","Vie","Sáb","Dom"),"")</f>
        <v/>
      </c>
      <c r="D503" s="73" t="n"/>
      <c r="E503" s="74" t="n"/>
      <c r="F503" s="74" t="n"/>
      <c r="G503" s="74" t="n"/>
      <c r="H503" s="75" t="n"/>
      <c r="I503" s="75" t="n"/>
      <c r="J503" s="76" t="n"/>
      <c r="K503" s="77" t="str">
        <f>IF(AB503=1,ROUND(AG503/60,4),"")</f>
        <v/>
      </c>
      <c r="L503" s="77" t="str">
        <f>IF(BD503=1,ROUND(AP503/60,4),"")</f>
        <v/>
      </c>
      <c r="M503" s="77" t="str">
        <f>IF(BD503=1,ROUND(AQ503/60,4),"")</f>
        <v/>
      </c>
      <c r="N503" s="71" t="str">
        <f>IF(AND(D503="proMX",AB503=1),ROUND(AG503/CFG_BLK,2),"")</f>
        <v/>
      </c>
      <c r="O503" s="77" t="str">
        <f>IF(D503="proMX",IF(BD503=1,ROUND(AG503/60,4),0),"")</f>
        <v/>
      </c>
      <c r="P503" s="78" t="str">
        <f>IF(Y503=0,"",IF(BD503=1,"OK",IF(D503="proMX","Revisar bloques: ","Revisar: ")&amp;BC503))</f>
        <v/>
      </c>
      <c r="Q503" s="78" t="str">
        <f>IF(NOT(ISNUMBER(B503)),"",IF(COUNTIFS(FER_F,INT(B503))&gt;0,"Feriado"&amp;IF(AH503=1," (laborable)"," (no laborable)"),IF(AH503=1,"Laborable",IF(WEEKDAY(B503,2)&gt;5,"Fin de semana","No laborable"))))</f>
        <v/>
      </c>
      <c r="R503" s="73" t="n"/>
      <c r="S503" s="72" t="n"/>
      <c r="T503" s="72" t="n"/>
      <c r="U503" s="74" t="n"/>
      <c r="V503" s="79" t="str">
        <f>IF(AND(D503="proMX",OR(R503="Submitted",R503="Recall Requested"),ISNUMBER(S503)),CFG_TODAY-INT(S503),"")</f>
        <v/>
      </c>
      <c r="W503" s="78" t="str">
        <f>IF(BD503=0,"",IF(BA503&gt;0,"⚠ Se superpone con un registro de la otra empresa",IF(D503="Malcolm",IF(COUNTA(R503,S503,T503)&gt;0,"Estado/fechas proMX se ignoran en Malcolm",""),IF(BF503="Cancelled","Cancelado: excluido de totales",IF(R503="","Sin estado: se trata como Draft",IF(BF503="Submitted",IF(ISNUMBER(V503),IF(V503&gt;CFG_MAXD,"⚠ "&amp;V503&amp;" días en Submitted (máx. "&amp;CFG_MAXD&amp;")",""),"Falta fecha de envío"),IF(BF503="Returned","⚠ Devuelto: corregir y reenviar",IF(BF503="Recall Requested","Retirada solicitada: pendiente",IF(AND(BF503="Approved",NOT(ISNUMBER(T503))),"Falta fecha de aprobación",IF(AND(ISNUMBER(S503),ISNUMBER(T503),T503&lt;S503),"Aprobación anterior al envío","")))))))))</f>
        <v/>
      </c>
      <c r="Y503" s="80">
        <f>IF(COUNTA(B503,D503,E503,F503,G503,H503,I503,J503,R503,S503,T503)&gt;0,1,0)</f>
        <v>0</v>
      </c>
      <c r="Z503" s="80" t="str">
        <f>IF(AND(ISNUMBER(H503),H503&gt;=0,H503&lt;1),ROUND(H503*1440,0),"")</f>
        <v/>
      </c>
      <c r="AA503" s="80" t="str">
        <f>IF(AND(ISNUMBER(I503),I503&gt;=0,I503&lt;1),ROUND(I503*1440,0),"")</f>
        <v/>
      </c>
      <c r="AB503" s="80">
        <f>IF(AND(ISNUMBER(B503),D503&lt;&gt;"",ISNUMBER(Z503),ISNUMBER(AA503)),IF(Z503=AA503,0,1),0)</f>
        <v>0</v>
      </c>
      <c r="AC503" s="80">
        <f>IF(AB503=1,IF(AA503&lt;Z503,1,0),0)</f>
        <v>0</v>
      </c>
      <c r="AD503" s="80">
        <f>IF(AB503=1,IF(AC503=1,1440-Z503+AA503,AA503-Z503),0)</f>
        <v>0</v>
      </c>
      <c r="AE503" s="80">
        <f>IF(J503="",0,IF(ISNUMBER(J503),J503,-1))</f>
        <v>0</v>
      </c>
      <c r="AF503" s="80">
        <f>MIN(MAX(0,AE503),AD503)</f>
        <v>0</v>
      </c>
      <c r="AG503" s="80">
        <f>MAX(0,AD503-MAX(0,AE503))</f>
        <v>0</v>
      </c>
      <c r="AH503" s="80">
        <f>IF(ISNUMBER(B503),IF(AND(INDEX(CFG_WDAYS,WEEKDAY(INT(B503),2))="Sí",IF(D503="proMX",COUNTIFS(FER_F,INT(B503),FER_NLP,"Sí"),COUNTIFS(FER_F,INT(B503),FER_NLM,"Sí"))=0),1,0),0)</f>
        <v>0</v>
      </c>
      <c r="AI503" s="80">
        <f>IF(AC503=1,IF(AND(INDEX(CFG_WDAYS,WEEKDAY(INT(B503)+1,2))="Sí",IF(D503="proMX",COUNTIFS(FER_F,INT(B503)+1,FER_NLP,"Sí"),COUNTIFS(FER_F,INT(B503)+1,FER_NLM,"Sí"))=0),1,0),0)</f>
        <v>0</v>
      </c>
      <c r="AJ503" s="80">
        <f>IF(AC503=1,1440-Z503,AD503)</f>
        <v>0</v>
      </c>
      <c r="AK503" s="80">
        <f>IF(AND(AB503=1,AH503=1),MAX(0,MIN(IF(AC503=1,1440,AA503),CFG_WEM)-MAX(Z503,CFG_WSM)),0)</f>
        <v>0</v>
      </c>
      <c r="AL503" s="80">
        <f>IF(AND(AC503=1,AI503=1),MAX(0,MIN(AA503,CFG_WEM)-CFG_WSM),0)</f>
        <v>0</v>
      </c>
      <c r="AM503" s="80">
        <f>AK503+AL503</f>
        <v>0</v>
      </c>
      <c r="AN503" s="80">
        <f>IF(CFG_BRK="Proporcional",IF(AD503=0,0,AF503*AM503/AD503),IF(CFG_BRK="Extras primero",MIN(AM503,MAX(0,AF503-(AD503-AM503))),MIN(AF503,AM503)))</f>
        <v>0</v>
      </c>
      <c r="AO503" s="80">
        <f>AF503-AN503</f>
        <v>0</v>
      </c>
      <c r="AP503" s="80">
        <f>AM503-AN503</f>
        <v>0</v>
      </c>
      <c r="AQ503" s="80">
        <f>AD503-AM503-AO503</f>
        <v>0</v>
      </c>
      <c r="AR503" s="80">
        <f>IF(AM503=0,0,AK503-AN503*AK503/AM503)</f>
        <v>0</v>
      </c>
      <c r="AS503" s="80">
        <f>IF(AD503-AM503=0,0,(AJ503-AK503)-AO503*(AJ503-AK503)/(AD503-AM503))</f>
        <v>0</v>
      </c>
      <c r="AT503" s="80" t="str">
        <f>IF(AC503=1,INT(B503)+1,"")</f>
        <v/>
      </c>
      <c r="AU503" s="80">
        <f>IF(AND(D503="proMX",R503="Cancelled"),0,1)</f>
        <v>1</v>
      </c>
      <c r="AV503" s="80">
        <f>IF(AND(AB503=1,AU503=1),IF(COUNTIFS($D$5:D502,D503,$B$5:B502,B503,$Z$5:Z502,Z503,$AA$5:AA502,AA503,$F$5:F502,F503&amp;"",$AU$5:AU502,1)&gt;0,1,0),0)</f>
        <v>0</v>
      </c>
      <c r="AW503" s="80" t="str">
        <f>IF(AB503=1,INT(B503)*1440+Z503,"")</f>
        <v/>
      </c>
      <c r="AX503" s="80" t="str">
        <f>IF(AB503=1,AW503+AD503,"")</f>
        <v/>
      </c>
      <c r="AY503" s="80">
        <f>IF(AND(AB503=1,AV503=0,AU503=1),1,0)</f>
        <v>0</v>
      </c>
      <c r="AZ503" s="80">
        <f>IF(AY503=1,COUNTIFS(R_Emp,D503,R_SAbs,"&lt;"&amp;AX503,R_EAbs,"&gt;"&amp;AW503,R_OKey,1)-1,0)</f>
        <v>0</v>
      </c>
      <c r="BA503" s="80">
        <f>IF(AY503=1,COUNTIFS(R_Emp,"&lt;&gt;"&amp;D503,R_SAbs,"&lt;"&amp;AX503,R_EAbs,"&gt;"&amp;AW503,R_OKey,1),0)</f>
        <v>0</v>
      </c>
      <c r="BB503" s="80">
        <f>IF(AND(AB503=1,D503="proMX"),IF(AND(MOD(Z503,CFG_BLK)=0,MOD(AA503,CFG_BLK)=0,MOD(AG503,CFG_BLK)=0,AG503&gt;0),1,0),1)</f>
        <v>1</v>
      </c>
      <c r="BC503" s="80" t="str">
        <f>IF(Y503=0,"",IF(NOT(ISNUMBER(B503)),"Falta fecha o fecha inválida",IF(D503="","Falta empresa",IF(AND(D503&lt;&gt;"Malcolm",D503&lt;&gt;"proMX"),"Empresa inválida",IF(OR(INT(B503)&lt;CFG_PSTART,INT(B503)&gt;CFG_PEND),"Fecha fuera del período",IF(OR(NOT(ISNUMBER(Z503)),NOT(ISNUMBER(AA503))),"Falta hora inicio/fin o formato inválido",IF(AB503=0,"Hora inicio = hora fin",IF(AE503&lt;0,"Descanso inválido",IF(AE503&gt;=AD503,"Descanso ≥ duración",IF(AV503=1,"Registro duplicado",IF(AZ503&gt;0,"Se superpone con otro registro "&amp;D503,IF(BB503=0,"inicio, fin y duración neta deben ser múltiplos de "&amp;CFG_BLK&amp;" min",""))))))))))))</f>
        <v/>
      </c>
      <c r="BD503" s="80">
        <f>IF(AND(Y503=1,BC503=""),1,0)</f>
        <v>0</v>
      </c>
      <c r="BE503" s="80">
        <f>IF(AND(BD503=1,AU503=1),1,0)</f>
        <v>0</v>
      </c>
      <c r="BF503" s="80" t="str">
        <f>IF(AND(D503="proMX",BD503=1),IF(R503="","Draft",R503),"")</f>
        <v/>
      </c>
      <c r="BG503" s="80">
        <f>IF(BD503=1,ROUND(AG503/60,6),0)</f>
        <v>0</v>
      </c>
      <c r="BH503" s="80">
        <f>IF(BE503=1,ROUND(AG503/60,6),0)</f>
        <v>0</v>
      </c>
      <c r="BI503" s="80">
        <f>IF(BE503=1,ROUND(AP503/60,6),0)</f>
        <v>0</v>
      </c>
      <c r="BJ503" s="80">
        <f>IF(BE503=1,ROUND(AQ503/60,6),0)</f>
        <v>0</v>
      </c>
      <c r="BK503" s="80">
        <f>IF(BE503=1,ROUND((AR503+AS503)/60,6),0)</f>
        <v>0</v>
      </c>
      <c r="BL503" s="80">
        <f>ROUND(BH503-BK503,6)</f>
        <v>0</v>
      </c>
      <c r="BM503" s="80">
        <f>IF(BE503=1,ROUND(AR503/60,6),0)</f>
        <v>0</v>
      </c>
      <c r="BN503" s="80">
        <f>ROUND(BI503-BM503,6)</f>
        <v>0</v>
      </c>
      <c r="BO503" s="80">
        <f>IF(BE503=1,ROUND(AS503/60,6),0)</f>
        <v>0</v>
      </c>
      <c r="BP503" s="80">
        <f>ROUND(BJ503-BO503,6)</f>
        <v>0</v>
      </c>
      <c r="BQ503" s="80">
        <f>IF(BE503=1,AW503,0)</f>
        <v>0</v>
      </c>
      <c r="BR503" s="80">
        <f>IF(BE503=1,AX503,0)</f>
        <v>0</v>
      </c>
      <c r="BS503" s="80">
        <f>IF(AND(BE503=1,D503="Malcolm",BA503&gt;0),MIN(BH503,SUMPRODUCT((R_Emp="proMX")*(R_EN&gt;0)*((R_EN-(R_EN&gt;BR503)*(R_EN-BR503))&gt;(R_SN+(R_SN&lt;BQ503)*(BQ503-R_SN)))*((R_EN-(R_EN&gt;BR503)*(R_EN-BR503))-(R_SN+(R_SN&lt;BQ503)*(BQ503-R_SN))))/60),0)</f>
        <v>0</v>
      </c>
      <c r="BT503" s="80">
        <f>IF(AND(BE503=1,D503="proMX"),ROUND(BI503*CFG_RATE+BJ503*CFG_OTRATE,6),0)</f>
        <v>0</v>
      </c>
      <c r="BU503" s="80">
        <f>IF(AND(BD503=1,D503="proMX"),ROUND(AG503/CFG_BLK,6),0)</f>
        <v>0</v>
      </c>
      <c r="BV503" s="80" t="str">
        <f>IF(BF503="Approved",IF(ISNUMBER(T503),INT(T503),INT(B503)),"")</f>
        <v/>
      </c>
      <c r="BW503" s="80">
        <f>IF(ISNUMBER(B503),IF(DB_MON="Todos",1,IF(AND(INT(B503)&gt;=DB_MS,INT(B503)&lt;=DB_ME),1,0)),0)</f>
        <v>0</v>
      </c>
      <c r="BX503" s="80">
        <f>IF(DB_PROJ="Todos",1,IF(E503&amp;""=DB_PROJ&amp;"",1,0))</f>
        <v>1</v>
      </c>
      <c r="BY503" s="80">
        <f>BW503*BX503</f>
        <v>0</v>
      </c>
      <c r="BZ503" s="80" t="str">
        <f>IF(Y503=1,F503&amp;IF(AND(F503&amp;""&lt;&gt;"",E503&amp;""&lt;&gt;"")," · ","")&amp;E503,"")</f>
        <v/>
      </c>
      <c r="CA503" s="80" t="str">
        <f>IF(AND(BD503=1,E503&amp;""&lt;&gt;""),IF(COUNTIFS($E$5:E502,E503,$BD$5:BD502,1)=0,MAX($CA$5:CA502)+1,""),"")</f>
        <v/>
      </c>
      <c r="CB503" s="80" t="str">
        <f>IF(AND(BE503=1,D503="Malcolm",E503&amp;""&lt;&gt;""),IF(COUNTIFS($D$5:D502,"Malcolm",$E$5:E502,E503,$BE$5:BE502,1)=0,MAX($CB$5:CB502)+1,""),"")</f>
        <v/>
      </c>
      <c r="CC503" s="80" t="str">
        <f>IF(AND(BD503=1,D503="proMX",E503&amp;""&lt;&gt;""),IF(COUNTIFS($D$5:D502,"proMX",$E$5:E502,E503,$BD$5:BD502,1)=0,MAX($CC$5:CC502)+1,""),"")</f>
        <v/>
      </c>
      <c r="CD503" s="80" t="str">
        <f>IF(AND(BE503=1,D503="Malcolm",F503&amp;""&lt;&gt;""),IF(COUNTIFS($D$5:D502,"Malcolm",$F$5:F502,F503,$BE$5:BE502,1)=0,MAX($CD$5:CD502)+1,""),"")</f>
        <v/>
      </c>
      <c r="CE503" s="80" t="str">
        <f>IF(AND(BD503=1,D503="proMX",F503&amp;""&lt;&gt;""),IF(COUNTIFS($D$5:D502,"proMX",$F$5:F502,F503,$BD$5:BD502,1)=0,MAX($CE$5:CE502)+1,""),"")</f>
        <v/>
      </c>
      <c r="CF503" s="80" t="str">
        <f>IF(AND(D503="proMX",BD503=1),IF(OR(BF503="Draft",BF503="Submitted",BF503="Returned",BF503="Recall Requested"),MAX($CF$5:CF502)+1,""),"")</f>
        <v/>
      </c>
      <c r="CG503" s="80">
        <f>IF(BD503=0,0,IF(D503="Malcolm",1,MATCH(BF503,{"Draft","Submitted","Approved","Returned","Recall Requested","Cancelled"},0)+1))</f>
        <v>0</v>
      </c>
      <c r="CH503" s="80">
        <f>IF(AND(BF503="Submitted",ISNUMBER(V503)),IF(V503&gt;CFG_MAXD,1,0),0)</f>
        <v>0</v>
      </c>
    </row>
    <row r="504">
      <c r="A504" s="71" t="str">
        <f>IF(Y504=1,ROW()-5,"")</f>
        <v/>
      </c>
      <c r="B504" s="72" t="n"/>
      <c r="C504" s="71" t="str">
        <f>IF(ISNUMBER(B504),CHOOSE(WEEKDAY(B504,2),"Lun","Mar","Mié","Jue","Vie","Sáb","Dom"),"")</f>
        <v/>
      </c>
      <c r="D504" s="73" t="n"/>
      <c r="E504" s="74" t="n"/>
      <c r="F504" s="74" t="n"/>
      <c r="G504" s="74" t="n"/>
      <c r="H504" s="75" t="n"/>
      <c r="I504" s="75" t="n"/>
      <c r="J504" s="76" t="n"/>
      <c r="K504" s="77" t="str">
        <f>IF(AB504=1,ROUND(AG504/60,4),"")</f>
        <v/>
      </c>
      <c r="L504" s="77" t="str">
        <f>IF(BD504=1,ROUND(AP504/60,4),"")</f>
        <v/>
      </c>
      <c r="M504" s="77" t="str">
        <f>IF(BD504=1,ROUND(AQ504/60,4),"")</f>
        <v/>
      </c>
      <c r="N504" s="71" t="str">
        <f>IF(AND(D504="proMX",AB504=1),ROUND(AG504/CFG_BLK,2),"")</f>
        <v/>
      </c>
      <c r="O504" s="77" t="str">
        <f>IF(D504="proMX",IF(BD504=1,ROUND(AG504/60,4),0),"")</f>
        <v/>
      </c>
      <c r="P504" s="78" t="str">
        <f>IF(Y504=0,"",IF(BD504=1,"OK",IF(D504="proMX","Revisar bloques: ","Revisar: ")&amp;BC504))</f>
        <v/>
      </c>
      <c r="Q504" s="78" t="str">
        <f>IF(NOT(ISNUMBER(B504)),"",IF(COUNTIFS(FER_F,INT(B504))&gt;0,"Feriado"&amp;IF(AH504=1," (laborable)"," (no laborable)"),IF(AH504=1,"Laborable",IF(WEEKDAY(B504,2)&gt;5,"Fin de semana","No laborable"))))</f>
        <v/>
      </c>
      <c r="R504" s="73" t="n"/>
      <c r="S504" s="72" t="n"/>
      <c r="T504" s="72" t="n"/>
      <c r="U504" s="74" t="n"/>
      <c r="V504" s="79" t="str">
        <f>IF(AND(D504="proMX",OR(R504="Submitted",R504="Recall Requested"),ISNUMBER(S504)),CFG_TODAY-INT(S504),"")</f>
        <v/>
      </c>
      <c r="W504" s="78" t="str">
        <f>IF(BD504=0,"",IF(BA504&gt;0,"⚠ Se superpone con un registro de la otra empresa",IF(D504="Malcolm",IF(COUNTA(R504,S504,T504)&gt;0,"Estado/fechas proMX se ignoran en Malcolm",""),IF(BF504="Cancelled","Cancelado: excluido de totales",IF(R504="","Sin estado: se trata como Draft",IF(BF504="Submitted",IF(ISNUMBER(V504),IF(V504&gt;CFG_MAXD,"⚠ "&amp;V504&amp;" días en Submitted (máx. "&amp;CFG_MAXD&amp;")",""),"Falta fecha de envío"),IF(BF504="Returned","⚠ Devuelto: corregir y reenviar",IF(BF504="Recall Requested","Retirada solicitada: pendiente",IF(AND(BF504="Approved",NOT(ISNUMBER(T504))),"Falta fecha de aprobación",IF(AND(ISNUMBER(S504),ISNUMBER(T504),T504&lt;S504),"Aprobación anterior al envío","")))))))))</f>
        <v/>
      </c>
      <c r="Y504" s="80">
        <f>IF(COUNTA(B504,D504,E504,F504,G504,H504,I504,J504,R504,S504,T504)&gt;0,1,0)</f>
        <v>0</v>
      </c>
      <c r="Z504" s="80" t="str">
        <f>IF(AND(ISNUMBER(H504),H504&gt;=0,H504&lt;1),ROUND(H504*1440,0),"")</f>
        <v/>
      </c>
      <c r="AA504" s="80" t="str">
        <f>IF(AND(ISNUMBER(I504),I504&gt;=0,I504&lt;1),ROUND(I504*1440,0),"")</f>
        <v/>
      </c>
      <c r="AB504" s="80">
        <f>IF(AND(ISNUMBER(B504),D504&lt;&gt;"",ISNUMBER(Z504),ISNUMBER(AA504)),IF(Z504=AA504,0,1),0)</f>
        <v>0</v>
      </c>
      <c r="AC504" s="80">
        <f>IF(AB504=1,IF(AA504&lt;Z504,1,0),0)</f>
        <v>0</v>
      </c>
      <c r="AD504" s="80">
        <f>IF(AB504=1,IF(AC504=1,1440-Z504+AA504,AA504-Z504),0)</f>
        <v>0</v>
      </c>
      <c r="AE504" s="80">
        <f>IF(J504="",0,IF(ISNUMBER(J504),J504,-1))</f>
        <v>0</v>
      </c>
      <c r="AF504" s="80">
        <f>MIN(MAX(0,AE504),AD504)</f>
        <v>0</v>
      </c>
      <c r="AG504" s="80">
        <f>MAX(0,AD504-MAX(0,AE504))</f>
        <v>0</v>
      </c>
      <c r="AH504" s="80">
        <f>IF(ISNUMBER(B504),IF(AND(INDEX(CFG_WDAYS,WEEKDAY(INT(B504),2))="Sí",IF(D504="proMX",COUNTIFS(FER_F,INT(B504),FER_NLP,"Sí"),COUNTIFS(FER_F,INT(B504),FER_NLM,"Sí"))=0),1,0),0)</f>
        <v>0</v>
      </c>
      <c r="AI504" s="80">
        <f>IF(AC504=1,IF(AND(INDEX(CFG_WDAYS,WEEKDAY(INT(B504)+1,2))="Sí",IF(D504="proMX",COUNTIFS(FER_F,INT(B504)+1,FER_NLP,"Sí"),COUNTIFS(FER_F,INT(B504)+1,FER_NLM,"Sí"))=0),1,0),0)</f>
        <v>0</v>
      </c>
      <c r="AJ504" s="80">
        <f>IF(AC504=1,1440-Z504,AD504)</f>
        <v>0</v>
      </c>
      <c r="AK504" s="80">
        <f>IF(AND(AB504=1,AH504=1),MAX(0,MIN(IF(AC504=1,1440,AA504),CFG_WEM)-MAX(Z504,CFG_WSM)),0)</f>
        <v>0</v>
      </c>
      <c r="AL504" s="80">
        <f>IF(AND(AC504=1,AI504=1),MAX(0,MIN(AA504,CFG_WEM)-CFG_WSM),0)</f>
        <v>0</v>
      </c>
      <c r="AM504" s="80">
        <f>AK504+AL504</f>
        <v>0</v>
      </c>
      <c r="AN504" s="80">
        <f>IF(CFG_BRK="Proporcional",IF(AD504=0,0,AF504*AM504/AD504),IF(CFG_BRK="Extras primero",MIN(AM504,MAX(0,AF504-(AD504-AM504))),MIN(AF504,AM504)))</f>
        <v>0</v>
      </c>
      <c r="AO504" s="80">
        <f>AF504-AN504</f>
        <v>0</v>
      </c>
      <c r="AP504" s="80">
        <f>AM504-AN504</f>
        <v>0</v>
      </c>
      <c r="AQ504" s="80">
        <f>AD504-AM504-AO504</f>
        <v>0</v>
      </c>
      <c r="AR504" s="80">
        <f>IF(AM504=0,0,AK504-AN504*AK504/AM504)</f>
        <v>0</v>
      </c>
      <c r="AS504" s="80">
        <f>IF(AD504-AM504=0,0,(AJ504-AK504)-AO504*(AJ504-AK504)/(AD504-AM504))</f>
        <v>0</v>
      </c>
      <c r="AT504" s="80" t="str">
        <f>IF(AC504=1,INT(B504)+1,"")</f>
        <v/>
      </c>
      <c r="AU504" s="80">
        <f>IF(AND(D504="proMX",R504="Cancelled"),0,1)</f>
        <v>1</v>
      </c>
      <c r="AV504" s="80">
        <f>IF(AND(AB504=1,AU504=1),IF(COUNTIFS($D$5:D503,D504,$B$5:B503,B504,$Z$5:Z503,Z504,$AA$5:AA503,AA504,$F$5:F503,F504&amp;"",$AU$5:AU503,1)&gt;0,1,0),0)</f>
        <v>0</v>
      </c>
      <c r="AW504" s="80" t="str">
        <f>IF(AB504=1,INT(B504)*1440+Z504,"")</f>
        <v/>
      </c>
      <c r="AX504" s="80" t="str">
        <f>IF(AB504=1,AW504+AD504,"")</f>
        <v/>
      </c>
      <c r="AY504" s="80">
        <f>IF(AND(AB504=1,AV504=0,AU504=1),1,0)</f>
        <v>0</v>
      </c>
      <c r="AZ504" s="80">
        <f>IF(AY504=1,COUNTIFS(R_Emp,D504,R_SAbs,"&lt;"&amp;AX504,R_EAbs,"&gt;"&amp;AW504,R_OKey,1)-1,0)</f>
        <v>0</v>
      </c>
      <c r="BA504" s="80">
        <f>IF(AY504=1,COUNTIFS(R_Emp,"&lt;&gt;"&amp;D504,R_SAbs,"&lt;"&amp;AX504,R_EAbs,"&gt;"&amp;AW504,R_OKey,1),0)</f>
        <v>0</v>
      </c>
      <c r="BB504" s="80">
        <f>IF(AND(AB504=1,D504="proMX"),IF(AND(MOD(Z504,CFG_BLK)=0,MOD(AA504,CFG_BLK)=0,MOD(AG504,CFG_BLK)=0,AG504&gt;0),1,0),1)</f>
        <v>1</v>
      </c>
      <c r="BC504" s="80" t="str">
        <f>IF(Y504=0,"",IF(NOT(ISNUMBER(B504)),"Falta fecha o fecha inválida",IF(D504="","Falta empresa",IF(AND(D504&lt;&gt;"Malcolm",D504&lt;&gt;"proMX"),"Empresa inválida",IF(OR(INT(B504)&lt;CFG_PSTART,INT(B504)&gt;CFG_PEND),"Fecha fuera del período",IF(OR(NOT(ISNUMBER(Z504)),NOT(ISNUMBER(AA504))),"Falta hora inicio/fin o formato inválido",IF(AB504=0,"Hora inicio = hora fin",IF(AE504&lt;0,"Descanso inválido",IF(AE504&gt;=AD504,"Descanso ≥ duración",IF(AV504=1,"Registro duplicado",IF(AZ504&gt;0,"Se superpone con otro registro "&amp;D504,IF(BB504=0,"inicio, fin y duración neta deben ser múltiplos de "&amp;CFG_BLK&amp;" min",""))))))))))))</f>
        <v/>
      </c>
      <c r="BD504" s="80">
        <f>IF(AND(Y504=1,BC504=""),1,0)</f>
        <v>0</v>
      </c>
      <c r="BE504" s="80">
        <f>IF(AND(BD504=1,AU504=1),1,0)</f>
        <v>0</v>
      </c>
      <c r="BF504" s="80" t="str">
        <f>IF(AND(D504="proMX",BD504=1),IF(R504="","Draft",R504),"")</f>
        <v/>
      </c>
      <c r="BG504" s="80">
        <f>IF(BD504=1,ROUND(AG504/60,6),0)</f>
        <v>0</v>
      </c>
      <c r="BH504" s="80">
        <f>IF(BE504=1,ROUND(AG504/60,6),0)</f>
        <v>0</v>
      </c>
      <c r="BI504" s="80">
        <f>IF(BE504=1,ROUND(AP504/60,6),0)</f>
        <v>0</v>
      </c>
      <c r="BJ504" s="80">
        <f>IF(BE504=1,ROUND(AQ504/60,6),0)</f>
        <v>0</v>
      </c>
      <c r="BK504" s="80">
        <f>IF(BE504=1,ROUND((AR504+AS504)/60,6),0)</f>
        <v>0</v>
      </c>
      <c r="BL504" s="80">
        <f>ROUND(BH504-BK504,6)</f>
        <v>0</v>
      </c>
      <c r="BM504" s="80">
        <f>IF(BE504=1,ROUND(AR504/60,6),0)</f>
        <v>0</v>
      </c>
      <c r="BN504" s="80">
        <f>ROUND(BI504-BM504,6)</f>
        <v>0</v>
      </c>
      <c r="BO504" s="80">
        <f>IF(BE504=1,ROUND(AS504/60,6),0)</f>
        <v>0</v>
      </c>
      <c r="BP504" s="80">
        <f>ROUND(BJ504-BO504,6)</f>
        <v>0</v>
      </c>
      <c r="BQ504" s="80">
        <f>IF(BE504=1,AW504,0)</f>
        <v>0</v>
      </c>
      <c r="BR504" s="80">
        <f>IF(BE504=1,AX504,0)</f>
        <v>0</v>
      </c>
      <c r="BS504" s="80">
        <f>IF(AND(BE504=1,D504="Malcolm",BA504&gt;0),MIN(BH504,SUMPRODUCT((R_Emp="proMX")*(R_EN&gt;0)*((R_EN-(R_EN&gt;BR504)*(R_EN-BR504))&gt;(R_SN+(R_SN&lt;BQ504)*(BQ504-R_SN)))*((R_EN-(R_EN&gt;BR504)*(R_EN-BR504))-(R_SN+(R_SN&lt;BQ504)*(BQ504-R_SN))))/60),0)</f>
        <v>0</v>
      </c>
      <c r="BT504" s="80">
        <f>IF(AND(BE504=1,D504="proMX"),ROUND(BI504*CFG_RATE+BJ504*CFG_OTRATE,6),0)</f>
        <v>0</v>
      </c>
      <c r="BU504" s="80">
        <f>IF(AND(BD504=1,D504="proMX"),ROUND(AG504/CFG_BLK,6),0)</f>
        <v>0</v>
      </c>
      <c r="BV504" s="80" t="str">
        <f>IF(BF504="Approved",IF(ISNUMBER(T504),INT(T504),INT(B504)),"")</f>
        <v/>
      </c>
      <c r="BW504" s="80">
        <f>IF(ISNUMBER(B504),IF(DB_MON="Todos",1,IF(AND(INT(B504)&gt;=DB_MS,INT(B504)&lt;=DB_ME),1,0)),0)</f>
        <v>0</v>
      </c>
      <c r="BX504" s="80">
        <f>IF(DB_PROJ="Todos",1,IF(E504&amp;""=DB_PROJ&amp;"",1,0))</f>
        <v>1</v>
      </c>
      <c r="BY504" s="80">
        <f>BW504*BX504</f>
        <v>0</v>
      </c>
      <c r="BZ504" s="80" t="str">
        <f>IF(Y504=1,F504&amp;IF(AND(F504&amp;""&lt;&gt;"",E504&amp;""&lt;&gt;"")," · ","")&amp;E504,"")</f>
        <v/>
      </c>
      <c r="CA504" s="80" t="str">
        <f>IF(AND(BD504=1,E504&amp;""&lt;&gt;""),IF(COUNTIFS($E$5:E503,E504,$BD$5:BD503,1)=0,MAX($CA$5:CA503)+1,""),"")</f>
        <v/>
      </c>
      <c r="CB504" s="80" t="str">
        <f>IF(AND(BE504=1,D504="Malcolm",E504&amp;""&lt;&gt;""),IF(COUNTIFS($D$5:D503,"Malcolm",$E$5:E503,E504,$BE$5:BE503,1)=0,MAX($CB$5:CB503)+1,""),"")</f>
        <v/>
      </c>
      <c r="CC504" s="80" t="str">
        <f>IF(AND(BD504=1,D504="proMX",E504&amp;""&lt;&gt;""),IF(COUNTIFS($D$5:D503,"proMX",$E$5:E503,E504,$BD$5:BD503,1)=0,MAX($CC$5:CC503)+1,""),"")</f>
        <v/>
      </c>
      <c r="CD504" s="80" t="str">
        <f>IF(AND(BE504=1,D504="Malcolm",F504&amp;""&lt;&gt;""),IF(COUNTIFS($D$5:D503,"Malcolm",$F$5:F503,F504,$BE$5:BE503,1)=0,MAX($CD$5:CD503)+1,""),"")</f>
        <v/>
      </c>
      <c r="CE504" s="80" t="str">
        <f>IF(AND(BD504=1,D504="proMX",F504&amp;""&lt;&gt;""),IF(COUNTIFS($D$5:D503,"proMX",$F$5:F503,F504,$BD$5:BD503,1)=0,MAX($CE$5:CE503)+1,""),"")</f>
        <v/>
      </c>
      <c r="CF504" s="80" t="str">
        <f>IF(AND(D504="proMX",BD504=1),IF(OR(BF504="Draft",BF504="Submitted",BF504="Returned",BF504="Recall Requested"),MAX($CF$5:CF503)+1,""),"")</f>
        <v/>
      </c>
      <c r="CG504" s="80">
        <f>IF(BD504=0,0,IF(D504="Malcolm",1,MATCH(BF504,{"Draft","Submitted","Approved","Returned","Recall Requested","Cancelled"},0)+1))</f>
        <v>0</v>
      </c>
      <c r="CH504" s="80">
        <f>IF(AND(BF504="Submitted",ISNUMBER(V504)),IF(V504&gt;CFG_MAXD,1,0),0)</f>
        <v>0</v>
      </c>
    </row>
    <row r="505">
      <c r="A505" s="71" t="str">
        <f>IF(Y505=1,ROW()-5,"")</f>
        <v/>
      </c>
      <c r="B505" s="72" t="n"/>
      <c r="C505" s="71" t="str">
        <f>IF(ISNUMBER(B505),CHOOSE(WEEKDAY(B505,2),"Lun","Mar","Mié","Jue","Vie","Sáb","Dom"),"")</f>
        <v/>
      </c>
      <c r="D505" s="73" t="n"/>
      <c r="E505" s="74" t="n"/>
      <c r="F505" s="74" t="n"/>
      <c r="G505" s="74" t="n"/>
      <c r="H505" s="75" t="n"/>
      <c r="I505" s="75" t="n"/>
      <c r="J505" s="76" t="n"/>
      <c r="K505" s="77" t="str">
        <f>IF(AB505=1,ROUND(AG505/60,4),"")</f>
        <v/>
      </c>
      <c r="L505" s="77" t="str">
        <f>IF(BD505=1,ROUND(AP505/60,4),"")</f>
        <v/>
      </c>
      <c r="M505" s="77" t="str">
        <f>IF(BD505=1,ROUND(AQ505/60,4),"")</f>
        <v/>
      </c>
      <c r="N505" s="71" t="str">
        <f>IF(AND(D505="proMX",AB505=1),ROUND(AG505/CFG_BLK,2),"")</f>
        <v/>
      </c>
      <c r="O505" s="77" t="str">
        <f>IF(D505="proMX",IF(BD505=1,ROUND(AG505/60,4),0),"")</f>
        <v/>
      </c>
      <c r="P505" s="78" t="str">
        <f>IF(Y505=0,"",IF(BD505=1,"OK",IF(D505="proMX","Revisar bloques: ","Revisar: ")&amp;BC505))</f>
        <v/>
      </c>
      <c r="Q505" s="78" t="str">
        <f>IF(NOT(ISNUMBER(B505)),"",IF(COUNTIFS(FER_F,INT(B505))&gt;0,"Feriado"&amp;IF(AH505=1," (laborable)"," (no laborable)"),IF(AH505=1,"Laborable",IF(WEEKDAY(B505,2)&gt;5,"Fin de semana","No laborable"))))</f>
        <v/>
      </c>
      <c r="R505" s="73" t="n"/>
      <c r="S505" s="72" t="n"/>
      <c r="T505" s="72" t="n"/>
      <c r="U505" s="74" t="n"/>
      <c r="V505" s="79" t="str">
        <f>IF(AND(D505="proMX",OR(R505="Submitted",R505="Recall Requested"),ISNUMBER(S505)),CFG_TODAY-INT(S505),"")</f>
        <v/>
      </c>
      <c r="W505" s="78" t="str">
        <f>IF(BD505=0,"",IF(BA505&gt;0,"⚠ Se superpone con un registro de la otra empresa",IF(D505="Malcolm",IF(COUNTA(R505,S505,T505)&gt;0,"Estado/fechas proMX se ignoran en Malcolm",""),IF(BF505="Cancelled","Cancelado: excluido de totales",IF(R505="","Sin estado: se trata como Draft",IF(BF505="Submitted",IF(ISNUMBER(V505),IF(V505&gt;CFG_MAXD,"⚠ "&amp;V505&amp;" días en Submitted (máx. "&amp;CFG_MAXD&amp;")",""),"Falta fecha de envío"),IF(BF505="Returned","⚠ Devuelto: corregir y reenviar",IF(BF505="Recall Requested","Retirada solicitada: pendiente",IF(AND(BF505="Approved",NOT(ISNUMBER(T505))),"Falta fecha de aprobación",IF(AND(ISNUMBER(S505),ISNUMBER(T505),T505&lt;S505),"Aprobación anterior al envío","")))))))))</f>
        <v/>
      </c>
      <c r="Y505" s="80">
        <f>IF(COUNTA(B505,D505,E505,F505,G505,H505,I505,J505,R505,S505,T505)&gt;0,1,0)</f>
        <v>0</v>
      </c>
      <c r="Z505" s="80" t="str">
        <f>IF(AND(ISNUMBER(H505),H505&gt;=0,H505&lt;1),ROUND(H505*1440,0),"")</f>
        <v/>
      </c>
      <c r="AA505" s="80" t="str">
        <f>IF(AND(ISNUMBER(I505),I505&gt;=0,I505&lt;1),ROUND(I505*1440,0),"")</f>
        <v/>
      </c>
      <c r="AB505" s="80">
        <f>IF(AND(ISNUMBER(B505),D505&lt;&gt;"",ISNUMBER(Z505),ISNUMBER(AA505)),IF(Z505=AA505,0,1),0)</f>
        <v>0</v>
      </c>
      <c r="AC505" s="80">
        <f>IF(AB505=1,IF(AA505&lt;Z505,1,0),0)</f>
        <v>0</v>
      </c>
      <c r="AD505" s="80">
        <f>IF(AB505=1,IF(AC505=1,1440-Z505+AA505,AA505-Z505),0)</f>
        <v>0</v>
      </c>
      <c r="AE505" s="80">
        <f>IF(J505="",0,IF(ISNUMBER(J505),J505,-1))</f>
        <v>0</v>
      </c>
      <c r="AF505" s="80">
        <f>MIN(MAX(0,AE505),AD505)</f>
        <v>0</v>
      </c>
      <c r="AG505" s="80">
        <f>MAX(0,AD505-MAX(0,AE505))</f>
        <v>0</v>
      </c>
      <c r="AH505" s="80">
        <f>IF(ISNUMBER(B505),IF(AND(INDEX(CFG_WDAYS,WEEKDAY(INT(B505),2))="Sí",IF(D505="proMX",COUNTIFS(FER_F,INT(B505),FER_NLP,"Sí"),COUNTIFS(FER_F,INT(B505),FER_NLM,"Sí"))=0),1,0),0)</f>
        <v>0</v>
      </c>
      <c r="AI505" s="80">
        <f>IF(AC505=1,IF(AND(INDEX(CFG_WDAYS,WEEKDAY(INT(B505)+1,2))="Sí",IF(D505="proMX",COUNTIFS(FER_F,INT(B505)+1,FER_NLP,"Sí"),COUNTIFS(FER_F,INT(B505)+1,FER_NLM,"Sí"))=0),1,0),0)</f>
        <v>0</v>
      </c>
      <c r="AJ505" s="80">
        <f>IF(AC505=1,1440-Z505,AD505)</f>
        <v>0</v>
      </c>
      <c r="AK505" s="80">
        <f>IF(AND(AB505=1,AH505=1),MAX(0,MIN(IF(AC505=1,1440,AA505),CFG_WEM)-MAX(Z505,CFG_WSM)),0)</f>
        <v>0</v>
      </c>
      <c r="AL505" s="80">
        <f>IF(AND(AC505=1,AI505=1),MAX(0,MIN(AA505,CFG_WEM)-CFG_WSM),0)</f>
        <v>0</v>
      </c>
      <c r="AM505" s="80">
        <f>AK505+AL505</f>
        <v>0</v>
      </c>
      <c r="AN505" s="80">
        <f>IF(CFG_BRK="Proporcional",IF(AD505=0,0,AF505*AM505/AD505),IF(CFG_BRK="Extras primero",MIN(AM505,MAX(0,AF505-(AD505-AM505))),MIN(AF505,AM505)))</f>
        <v>0</v>
      </c>
      <c r="AO505" s="80">
        <f>AF505-AN505</f>
        <v>0</v>
      </c>
      <c r="AP505" s="80">
        <f>AM505-AN505</f>
        <v>0</v>
      </c>
      <c r="AQ505" s="80">
        <f>AD505-AM505-AO505</f>
        <v>0</v>
      </c>
      <c r="AR505" s="80">
        <f>IF(AM505=0,0,AK505-AN505*AK505/AM505)</f>
        <v>0</v>
      </c>
      <c r="AS505" s="80">
        <f>IF(AD505-AM505=0,0,(AJ505-AK505)-AO505*(AJ505-AK505)/(AD505-AM505))</f>
        <v>0</v>
      </c>
      <c r="AT505" s="80" t="str">
        <f>IF(AC505=1,INT(B505)+1,"")</f>
        <v/>
      </c>
      <c r="AU505" s="80">
        <f>IF(AND(D505="proMX",R505="Cancelled"),0,1)</f>
        <v>1</v>
      </c>
      <c r="AV505" s="80">
        <f>IF(AND(AB505=1,AU505=1),IF(COUNTIFS($D$5:D504,D505,$B$5:B504,B505,$Z$5:Z504,Z505,$AA$5:AA504,AA505,$F$5:F504,F505&amp;"",$AU$5:AU504,1)&gt;0,1,0),0)</f>
        <v>0</v>
      </c>
      <c r="AW505" s="80" t="str">
        <f>IF(AB505=1,INT(B505)*1440+Z505,"")</f>
        <v/>
      </c>
      <c r="AX505" s="80" t="str">
        <f>IF(AB505=1,AW505+AD505,"")</f>
        <v/>
      </c>
      <c r="AY505" s="80">
        <f>IF(AND(AB505=1,AV505=0,AU505=1),1,0)</f>
        <v>0</v>
      </c>
      <c r="AZ505" s="80">
        <f>IF(AY505=1,COUNTIFS(R_Emp,D505,R_SAbs,"&lt;"&amp;AX505,R_EAbs,"&gt;"&amp;AW505,R_OKey,1)-1,0)</f>
        <v>0</v>
      </c>
      <c r="BA505" s="80">
        <f>IF(AY505=1,COUNTIFS(R_Emp,"&lt;&gt;"&amp;D505,R_SAbs,"&lt;"&amp;AX505,R_EAbs,"&gt;"&amp;AW505,R_OKey,1),0)</f>
        <v>0</v>
      </c>
      <c r="BB505" s="80">
        <f>IF(AND(AB505=1,D505="proMX"),IF(AND(MOD(Z505,CFG_BLK)=0,MOD(AA505,CFG_BLK)=0,MOD(AG505,CFG_BLK)=0,AG505&gt;0),1,0),1)</f>
        <v>1</v>
      </c>
      <c r="BC505" s="80" t="str">
        <f>IF(Y505=0,"",IF(NOT(ISNUMBER(B505)),"Falta fecha o fecha inválida",IF(D505="","Falta empresa",IF(AND(D505&lt;&gt;"Malcolm",D505&lt;&gt;"proMX"),"Empresa inválida",IF(OR(INT(B505)&lt;CFG_PSTART,INT(B505)&gt;CFG_PEND),"Fecha fuera del período",IF(OR(NOT(ISNUMBER(Z505)),NOT(ISNUMBER(AA505))),"Falta hora inicio/fin o formato inválido",IF(AB505=0,"Hora inicio = hora fin",IF(AE505&lt;0,"Descanso inválido",IF(AE505&gt;=AD505,"Descanso ≥ duración",IF(AV505=1,"Registro duplicado",IF(AZ505&gt;0,"Se superpone con otro registro "&amp;D505,IF(BB505=0,"inicio, fin y duración neta deben ser múltiplos de "&amp;CFG_BLK&amp;" min",""))))))))))))</f>
        <v/>
      </c>
      <c r="BD505" s="80">
        <f>IF(AND(Y505=1,BC505=""),1,0)</f>
        <v>0</v>
      </c>
      <c r="BE505" s="80">
        <f>IF(AND(BD505=1,AU505=1),1,0)</f>
        <v>0</v>
      </c>
      <c r="BF505" s="80" t="str">
        <f>IF(AND(D505="proMX",BD505=1),IF(R505="","Draft",R505),"")</f>
        <v/>
      </c>
      <c r="BG505" s="80">
        <f>IF(BD505=1,ROUND(AG505/60,6),0)</f>
        <v>0</v>
      </c>
      <c r="BH505" s="80">
        <f>IF(BE505=1,ROUND(AG505/60,6),0)</f>
        <v>0</v>
      </c>
      <c r="BI505" s="80">
        <f>IF(BE505=1,ROUND(AP505/60,6),0)</f>
        <v>0</v>
      </c>
      <c r="BJ505" s="80">
        <f>IF(BE505=1,ROUND(AQ505/60,6),0)</f>
        <v>0</v>
      </c>
      <c r="BK505" s="80">
        <f>IF(BE505=1,ROUND((AR505+AS505)/60,6),0)</f>
        <v>0</v>
      </c>
      <c r="BL505" s="80">
        <f>ROUND(BH505-BK505,6)</f>
        <v>0</v>
      </c>
      <c r="BM505" s="80">
        <f>IF(BE505=1,ROUND(AR505/60,6),0)</f>
        <v>0</v>
      </c>
      <c r="BN505" s="80">
        <f>ROUND(BI505-BM505,6)</f>
        <v>0</v>
      </c>
      <c r="BO505" s="80">
        <f>IF(BE505=1,ROUND(AS505/60,6),0)</f>
        <v>0</v>
      </c>
      <c r="BP505" s="80">
        <f>ROUND(BJ505-BO505,6)</f>
        <v>0</v>
      </c>
      <c r="BQ505" s="80">
        <f>IF(BE505=1,AW505,0)</f>
        <v>0</v>
      </c>
      <c r="BR505" s="80">
        <f>IF(BE505=1,AX505,0)</f>
        <v>0</v>
      </c>
      <c r="BS505" s="80">
        <f>IF(AND(BE505=1,D505="Malcolm",BA505&gt;0),MIN(BH505,SUMPRODUCT((R_Emp="proMX")*(R_EN&gt;0)*((R_EN-(R_EN&gt;BR505)*(R_EN-BR505))&gt;(R_SN+(R_SN&lt;BQ505)*(BQ505-R_SN)))*((R_EN-(R_EN&gt;BR505)*(R_EN-BR505))-(R_SN+(R_SN&lt;BQ505)*(BQ505-R_SN))))/60),0)</f>
        <v>0</v>
      </c>
      <c r="BT505" s="80">
        <f>IF(AND(BE505=1,D505="proMX"),ROUND(BI505*CFG_RATE+BJ505*CFG_OTRATE,6),0)</f>
        <v>0</v>
      </c>
      <c r="BU505" s="80">
        <f>IF(AND(BD505=1,D505="proMX"),ROUND(AG505/CFG_BLK,6),0)</f>
        <v>0</v>
      </c>
      <c r="BV505" s="80" t="str">
        <f>IF(BF505="Approved",IF(ISNUMBER(T505),INT(T505),INT(B505)),"")</f>
        <v/>
      </c>
      <c r="BW505" s="80">
        <f>IF(ISNUMBER(B505),IF(DB_MON="Todos",1,IF(AND(INT(B505)&gt;=DB_MS,INT(B505)&lt;=DB_ME),1,0)),0)</f>
        <v>0</v>
      </c>
      <c r="BX505" s="80">
        <f>IF(DB_PROJ="Todos",1,IF(E505&amp;""=DB_PROJ&amp;"",1,0))</f>
        <v>1</v>
      </c>
      <c r="BY505" s="80">
        <f>BW505*BX505</f>
        <v>0</v>
      </c>
      <c r="BZ505" s="80" t="str">
        <f>IF(Y505=1,F505&amp;IF(AND(F505&amp;""&lt;&gt;"",E505&amp;""&lt;&gt;"")," · ","")&amp;E505,"")</f>
        <v/>
      </c>
      <c r="CA505" s="80" t="str">
        <f>IF(AND(BD505=1,E505&amp;""&lt;&gt;""),IF(COUNTIFS($E$5:E504,E505,$BD$5:BD504,1)=0,MAX($CA$5:CA504)+1,""),"")</f>
        <v/>
      </c>
      <c r="CB505" s="80" t="str">
        <f>IF(AND(BE505=1,D505="Malcolm",E505&amp;""&lt;&gt;""),IF(COUNTIFS($D$5:D504,"Malcolm",$E$5:E504,E505,$BE$5:BE504,1)=0,MAX($CB$5:CB504)+1,""),"")</f>
        <v/>
      </c>
      <c r="CC505" s="80" t="str">
        <f>IF(AND(BD505=1,D505="proMX",E505&amp;""&lt;&gt;""),IF(COUNTIFS($D$5:D504,"proMX",$E$5:E504,E505,$BD$5:BD504,1)=0,MAX($CC$5:CC504)+1,""),"")</f>
        <v/>
      </c>
      <c r="CD505" s="80" t="str">
        <f>IF(AND(BE505=1,D505="Malcolm",F505&amp;""&lt;&gt;""),IF(COUNTIFS($D$5:D504,"Malcolm",$F$5:F504,F505,$BE$5:BE504,1)=0,MAX($CD$5:CD504)+1,""),"")</f>
        <v/>
      </c>
      <c r="CE505" s="80" t="str">
        <f>IF(AND(BD505=1,D505="proMX",F505&amp;""&lt;&gt;""),IF(COUNTIFS($D$5:D504,"proMX",$F$5:F504,F505,$BD$5:BD504,1)=0,MAX($CE$5:CE504)+1,""),"")</f>
        <v/>
      </c>
      <c r="CF505" s="80" t="str">
        <f>IF(AND(D505="proMX",BD505=1),IF(OR(BF505="Draft",BF505="Submitted",BF505="Returned",BF505="Recall Requested"),MAX($CF$5:CF504)+1,""),"")</f>
        <v/>
      </c>
      <c r="CG505" s="80">
        <f>IF(BD505=0,0,IF(D505="Malcolm",1,MATCH(BF505,{"Draft","Submitted","Approved","Returned","Recall Requested","Cancelled"},0)+1))</f>
        <v>0</v>
      </c>
      <c r="CH505" s="80">
        <f>IF(AND(BF505="Submitted",ISNUMBER(V505)),IF(V505&gt;CFG_MAXD,1,0),0)</f>
        <v>0</v>
      </c>
    </row>
    <row r="506">
      <c r="A506" s="71" t="str">
        <f>IF(Y506=1,ROW()-5,"")</f>
        <v/>
      </c>
      <c r="B506" s="72" t="n"/>
      <c r="C506" s="71" t="str">
        <f>IF(ISNUMBER(B506),CHOOSE(WEEKDAY(B506,2),"Lun","Mar","Mié","Jue","Vie","Sáb","Dom"),"")</f>
        <v/>
      </c>
      <c r="D506" s="73" t="n"/>
      <c r="E506" s="74" t="n"/>
      <c r="F506" s="74" t="n"/>
      <c r="G506" s="74" t="n"/>
      <c r="H506" s="75" t="n"/>
      <c r="I506" s="75" t="n"/>
      <c r="J506" s="76" t="n"/>
      <c r="K506" s="77" t="str">
        <f>IF(AB506=1,ROUND(AG506/60,4),"")</f>
        <v/>
      </c>
      <c r="L506" s="77" t="str">
        <f>IF(BD506=1,ROUND(AP506/60,4),"")</f>
        <v/>
      </c>
      <c r="M506" s="77" t="str">
        <f>IF(BD506=1,ROUND(AQ506/60,4),"")</f>
        <v/>
      </c>
      <c r="N506" s="71" t="str">
        <f>IF(AND(D506="proMX",AB506=1),ROUND(AG506/CFG_BLK,2),"")</f>
        <v/>
      </c>
      <c r="O506" s="77" t="str">
        <f>IF(D506="proMX",IF(BD506=1,ROUND(AG506/60,4),0),"")</f>
        <v/>
      </c>
      <c r="P506" s="78" t="str">
        <f>IF(Y506=0,"",IF(BD506=1,"OK",IF(D506="proMX","Revisar bloques: ","Revisar: ")&amp;BC506))</f>
        <v/>
      </c>
      <c r="Q506" s="78" t="str">
        <f>IF(NOT(ISNUMBER(B506)),"",IF(COUNTIFS(FER_F,INT(B506))&gt;0,"Feriado"&amp;IF(AH506=1," (laborable)"," (no laborable)"),IF(AH506=1,"Laborable",IF(WEEKDAY(B506,2)&gt;5,"Fin de semana","No laborable"))))</f>
        <v/>
      </c>
      <c r="R506" s="73" t="n"/>
      <c r="S506" s="72" t="n"/>
      <c r="T506" s="72" t="n"/>
      <c r="U506" s="74" t="n"/>
      <c r="V506" s="79" t="str">
        <f>IF(AND(D506="proMX",OR(R506="Submitted",R506="Recall Requested"),ISNUMBER(S506)),CFG_TODAY-INT(S506),"")</f>
        <v/>
      </c>
      <c r="W506" s="78" t="str">
        <f>IF(BD506=0,"",IF(BA506&gt;0,"⚠ Se superpone con un registro de la otra empresa",IF(D506="Malcolm",IF(COUNTA(R506,S506,T506)&gt;0,"Estado/fechas proMX se ignoran en Malcolm",""),IF(BF506="Cancelled","Cancelado: excluido de totales",IF(R506="","Sin estado: se trata como Draft",IF(BF506="Submitted",IF(ISNUMBER(V506),IF(V506&gt;CFG_MAXD,"⚠ "&amp;V506&amp;" días en Submitted (máx. "&amp;CFG_MAXD&amp;")",""),"Falta fecha de envío"),IF(BF506="Returned","⚠ Devuelto: corregir y reenviar",IF(BF506="Recall Requested","Retirada solicitada: pendiente",IF(AND(BF506="Approved",NOT(ISNUMBER(T506))),"Falta fecha de aprobación",IF(AND(ISNUMBER(S506),ISNUMBER(T506),T506&lt;S506),"Aprobación anterior al envío","")))))))))</f>
        <v/>
      </c>
      <c r="Y506" s="80">
        <f>IF(COUNTA(B506,D506,E506,F506,G506,H506,I506,J506,R506,S506,T506)&gt;0,1,0)</f>
        <v>0</v>
      </c>
      <c r="Z506" s="80" t="str">
        <f>IF(AND(ISNUMBER(H506),H506&gt;=0,H506&lt;1),ROUND(H506*1440,0),"")</f>
        <v/>
      </c>
      <c r="AA506" s="80" t="str">
        <f>IF(AND(ISNUMBER(I506),I506&gt;=0,I506&lt;1),ROUND(I506*1440,0),"")</f>
        <v/>
      </c>
      <c r="AB506" s="80">
        <f>IF(AND(ISNUMBER(B506),D506&lt;&gt;"",ISNUMBER(Z506),ISNUMBER(AA506)),IF(Z506=AA506,0,1),0)</f>
        <v>0</v>
      </c>
      <c r="AC506" s="80">
        <f>IF(AB506=1,IF(AA506&lt;Z506,1,0),0)</f>
        <v>0</v>
      </c>
      <c r="AD506" s="80">
        <f>IF(AB506=1,IF(AC506=1,1440-Z506+AA506,AA506-Z506),0)</f>
        <v>0</v>
      </c>
      <c r="AE506" s="80">
        <f>IF(J506="",0,IF(ISNUMBER(J506),J506,-1))</f>
        <v>0</v>
      </c>
      <c r="AF506" s="80">
        <f>MIN(MAX(0,AE506),AD506)</f>
        <v>0</v>
      </c>
      <c r="AG506" s="80">
        <f>MAX(0,AD506-MAX(0,AE506))</f>
        <v>0</v>
      </c>
      <c r="AH506" s="80">
        <f>IF(ISNUMBER(B506),IF(AND(INDEX(CFG_WDAYS,WEEKDAY(INT(B506),2))="Sí",IF(D506="proMX",COUNTIFS(FER_F,INT(B506),FER_NLP,"Sí"),COUNTIFS(FER_F,INT(B506),FER_NLM,"Sí"))=0),1,0),0)</f>
        <v>0</v>
      </c>
      <c r="AI506" s="80">
        <f>IF(AC506=1,IF(AND(INDEX(CFG_WDAYS,WEEKDAY(INT(B506)+1,2))="Sí",IF(D506="proMX",COUNTIFS(FER_F,INT(B506)+1,FER_NLP,"Sí"),COUNTIFS(FER_F,INT(B506)+1,FER_NLM,"Sí"))=0),1,0),0)</f>
        <v>0</v>
      </c>
      <c r="AJ506" s="80">
        <f>IF(AC506=1,1440-Z506,AD506)</f>
        <v>0</v>
      </c>
      <c r="AK506" s="80">
        <f>IF(AND(AB506=1,AH506=1),MAX(0,MIN(IF(AC506=1,1440,AA506),CFG_WEM)-MAX(Z506,CFG_WSM)),0)</f>
        <v>0</v>
      </c>
      <c r="AL506" s="80">
        <f>IF(AND(AC506=1,AI506=1),MAX(0,MIN(AA506,CFG_WEM)-CFG_WSM),0)</f>
        <v>0</v>
      </c>
      <c r="AM506" s="80">
        <f>AK506+AL506</f>
        <v>0</v>
      </c>
      <c r="AN506" s="80">
        <f>IF(CFG_BRK="Proporcional",IF(AD506=0,0,AF506*AM506/AD506),IF(CFG_BRK="Extras primero",MIN(AM506,MAX(0,AF506-(AD506-AM506))),MIN(AF506,AM506)))</f>
        <v>0</v>
      </c>
      <c r="AO506" s="80">
        <f>AF506-AN506</f>
        <v>0</v>
      </c>
      <c r="AP506" s="80">
        <f>AM506-AN506</f>
        <v>0</v>
      </c>
      <c r="AQ506" s="80">
        <f>AD506-AM506-AO506</f>
        <v>0</v>
      </c>
      <c r="AR506" s="80">
        <f>IF(AM506=0,0,AK506-AN506*AK506/AM506)</f>
        <v>0</v>
      </c>
      <c r="AS506" s="80">
        <f>IF(AD506-AM506=0,0,(AJ506-AK506)-AO506*(AJ506-AK506)/(AD506-AM506))</f>
        <v>0</v>
      </c>
      <c r="AT506" s="80" t="str">
        <f>IF(AC506=1,INT(B506)+1,"")</f>
        <v/>
      </c>
      <c r="AU506" s="80">
        <f>IF(AND(D506="proMX",R506="Cancelled"),0,1)</f>
        <v>1</v>
      </c>
      <c r="AV506" s="80">
        <f>IF(AND(AB506=1,AU506=1),IF(COUNTIFS($D$5:D505,D506,$B$5:B505,B506,$Z$5:Z505,Z506,$AA$5:AA505,AA506,$F$5:F505,F506&amp;"",$AU$5:AU505,1)&gt;0,1,0),0)</f>
        <v>0</v>
      </c>
      <c r="AW506" s="80" t="str">
        <f>IF(AB506=1,INT(B506)*1440+Z506,"")</f>
        <v/>
      </c>
      <c r="AX506" s="80" t="str">
        <f>IF(AB506=1,AW506+AD506,"")</f>
        <v/>
      </c>
      <c r="AY506" s="80">
        <f>IF(AND(AB506=1,AV506=0,AU506=1),1,0)</f>
        <v>0</v>
      </c>
      <c r="AZ506" s="80">
        <f>IF(AY506=1,COUNTIFS(R_Emp,D506,R_SAbs,"&lt;"&amp;AX506,R_EAbs,"&gt;"&amp;AW506,R_OKey,1)-1,0)</f>
        <v>0</v>
      </c>
      <c r="BA506" s="80">
        <f>IF(AY506=1,COUNTIFS(R_Emp,"&lt;&gt;"&amp;D506,R_SAbs,"&lt;"&amp;AX506,R_EAbs,"&gt;"&amp;AW506,R_OKey,1),0)</f>
        <v>0</v>
      </c>
      <c r="BB506" s="80">
        <f>IF(AND(AB506=1,D506="proMX"),IF(AND(MOD(Z506,CFG_BLK)=0,MOD(AA506,CFG_BLK)=0,MOD(AG506,CFG_BLK)=0,AG506&gt;0),1,0),1)</f>
        <v>1</v>
      </c>
      <c r="BC506" s="80" t="str">
        <f>IF(Y506=0,"",IF(NOT(ISNUMBER(B506)),"Falta fecha o fecha inválida",IF(D506="","Falta empresa",IF(AND(D506&lt;&gt;"Malcolm",D506&lt;&gt;"proMX"),"Empresa inválida",IF(OR(INT(B506)&lt;CFG_PSTART,INT(B506)&gt;CFG_PEND),"Fecha fuera del período",IF(OR(NOT(ISNUMBER(Z506)),NOT(ISNUMBER(AA506))),"Falta hora inicio/fin o formato inválido",IF(AB506=0,"Hora inicio = hora fin",IF(AE506&lt;0,"Descanso inválido",IF(AE506&gt;=AD506,"Descanso ≥ duración",IF(AV506=1,"Registro duplicado",IF(AZ506&gt;0,"Se superpone con otro registro "&amp;D506,IF(BB506=0,"inicio, fin y duración neta deben ser múltiplos de "&amp;CFG_BLK&amp;" min",""))))))))))))</f>
        <v/>
      </c>
      <c r="BD506" s="80">
        <f>IF(AND(Y506=1,BC506=""),1,0)</f>
        <v>0</v>
      </c>
      <c r="BE506" s="80">
        <f>IF(AND(BD506=1,AU506=1),1,0)</f>
        <v>0</v>
      </c>
      <c r="BF506" s="80" t="str">
        <f>IF(AND(D506="proMX",BD506=1),IF(R506="","Draft",R506),"")</f>
        <v/>
      </c>
      <c r="BG506" s="80">
        <f>IF(BD506=1,ROUND(AG506/60,6),0)</f>
        <v>0</v>
      </c>
      <c r="BH506" s="80">
        <f>IF(BE506=1,ROUND(AG506/60,6),0)</f>
        <v>0</v>
      </c>
      <c r="BI506" s="80">
        <f>IF(BE506=1,ROUND(AP506/60,6),0)</f>
        <v>0</v>
      </c>
      <c r="BJ506" s="80">
        <f>IF(BE506=1,ROUND(AQ506/60,6),0)</f>
        <v>0</v>
      </c>
      <c r="BK506" s="80">
        <f>IF(BE506=1,ROUND((AR506+AS506)/60,6),0)</f>
        <v>0</v>
      </c>
      <c r="BL506" s="80">
        <f>ROUND(BH506-BK506,6)</f>
        <v>0</v>
      </c>
      <c r="BM506" s="80">
        <f>IF(BE506=1,ROUND(AR506/60,6),0)</f>
        <v>0</v>
      </c>
      <c r="BN506" s="80">
        <f>ROUND(BI506-BM506,6)</f>
        <v>0</v>
      </c>
      <c r="BO506" s="80">
        <f>IF(BE506=1,ROUND(AS506/60,6),0)</f>
        <v>0</v>
      </c>
      <c r="BP506" s="80">
        <f>ROUND(BJ506-BO506,6)</f>
        <v>0</v>
      </c>
      <c r="BQ506" s="80">
        <f>IF(BE506=1,AW506,0)</f>
        <v>0</v>
      </c>
      <c r="BR506" s="80">
        <f>IF(BE506=1,AX506,0)</f>
        <v>0</v>
      </c>
      <c r="BS506" s="80">
        <f>IF(AND(BE506=1,D506="Malcolm",BA506&gt;0),MIN(BH506,SUMPRODUCT((R_Emp="proMX")*(R_EN&gt;0)*((R_EN-(R_EN&gt;BR506)*(R_EN-BR506))&gt;(R_SN+(R_SN&lt;BQ506)*(BQ506-R_SN)))*((R_EN-(R_EN&gt;BR506)*(R_EN-BR506))-(R_SN+(R_SN&lt;BQ506)*(BQ506-R_SN))))/60),0)</f>
        <v>0</v>
      </c>
      <c r="BT506" s="80">
        <f>IF(AND(BE506=1,D506="proMX"),ROUND(BI506*CFG_RATE+BJ506*CFG_OTRATE,6),0)</f>
        <v>0</v>
      </c>
      <c r="BU506" s="80">
        <f>IF(AND(BD506=1,D506="proMX"),ROUND(AG506/CFG_BLK,6),0)</f>
        <v>0</v>
      </c>
      <c r="BV506" s="80" t="str">
        <f>IF(BF506="Approved",IF(ISNUMBER(T506),INT(T506),INT(B506)),"")</f>
        <v/>
      </c>
      <c r="BW506" s="80">
        <f>IF(ISNUMBER(B506),IF(DB_MON="Todos",1,IF(AND(INT(B506)&gt;=DB_MS,INT(B506)&lt;=DB_ME),1,0)),0)</f>
        <v>0</v>
      </c>
      <c r="BX506" s="80">
        <f>IF(DB_PROJ="Todos",1,IF(E506&amp;""=DB_PROJ&amp;"",1,0))</f>
        <v>1</v>
      </c>
      <c r="BY506" s="80">
        <f>BW506*BX506</f>
        <v>0</v>
      </c>
      <c r="BZ506" s="80" t="str">
        <f>IF(Y506=1,F506&amp;IF(AND(F506&amp;""&lt;&gt;"",E506&amp;""&lt;&gt;"")," · ","")&amp;E506,"")</f>
        <v/>
      </c>
      <c r="CA506" s="80" t="str">
        <f>IF(AND(BD506=1,E506&amp;""&lt;&gt;""),IF(COUNTIFS($E$5:E505,E506,$BD$5:BD505,1)=0,MAX($CA$5:CA505)+1,""),"")</f>
        <v/>
      </c>
      <c r="CB506" s="80" t="str">
        <f>IF(AND(BE506=1,D506="Malcolm",E506&amp;""&lt;&gt;""),IF(COUNTIFS($D$5:D505,"Malcolm",$E$5:E505,E506,$BE$5:BE505,1)=0,MAX($CB$5:CB505)+1,""),"")</f>
        <v/>
      </c>
      <c r="CC506" s="80" t="str">
        <f>IF(AND(BD506=1,D506="proMX",E506&amp;""&lt;&gt;""),IF(COUNTIFS($D$5:D505,"proMX",$E$5:E505,E506,$BD$5:BD505,1)=0,MAX($CC$5:CC505)+1,""),"")</f>
        <v/>
      </c>
      <c r="CD506" s="80" t="str">
        <f>IF(AND(BE506=1,D506="Malcolm",F506&amp;""&lt;&gt;""),IF(COUNTIFS($D$5:D505,"Malcolm",$F$5:F505,F506,$BE$5:BE505,1)=0,MAX($CD$5:CD505)+1,""),"")</f>
        <v/>
      </c>
      <c r="CE506" s="80" t="str">
        <f>IF(AND(BD506=1,D506="proMX",F506&amp;""&lt;&gt;""),IF(COUNTIFS($D$5:D505,"proMX",$F$5:F505,F506,$BD$5:BD505,1)=0,MAX($CE$5:CE505)+1,""),"")</f>
        <v/>
      </c>
      <c r="CF506" s="80" t="str">
        <f>IF(AND(D506="proMX",BD506=1),IF(OR(BF506="Draft",BF506="Submitted",BF506="Returned",BF506="Recall Requested"),MAX($CF$5:CF505)+1,""),"")</f>
        <v/>
      </c>
      <c r="CG506" s="80">
        <f>IF(BD506=0,0,IF(D506="Malcolm",1,MATCH(BF506,{"Draft","Submitted","Approved","Returned","Recall Requested","Cancelled"},0)+1))</f>
        <v>0</v>
      </c>
      <c r="CH506" s="80">
        <f>IF(AND(BF506="Submitted",ISNUMBER(V506)),IF(V506&gt;CFG_MAXD,1,0),0)</f>
        <v>0</v>
      </c>
    </row>
    <row r="507">
      <c r="A507" s="71" t="str">
        <f>IF(Y507=1,ROW()-5,"")</f>
        <v/>
      </c>
      <c r="B507" s="72" t="n"/>
      <c r="C507" s="71" t="str">
        <f>IF(ISNUMBER(B507),CHOOSE(WEEKDAY(B507,2),"Lun","Mar","Mié","Jue","Vie","Sáb","Dom"),"")</f>
        <v/>
      </c>
      <c r="D507" s="73" t="n"/>
      <c r="E507" s="74" t="n"/>
      <c r="F507" s="74" t="n"/>
      <c r="G507" s="74" t="n"/>
      <c r="H507" s="75" t="n"/>
      <c r="I507" s="75" t="n"/>
      <c r="J507" s="76" t="n"/>
      <c r="K507" s="77" t="str">
        <f>IF(AB507=1,ROUND(AG507/60,4),"")</f>
        <v/>
      </c>
      <c r="L507" s="77" t="str">
        <f>IF(BD507=1,ROUND(AP507/60,4),"")</f>
        <v/>
      </c>
      <c r="M507" s="77" t="str">
        <f>IF(BD507=1,ROUND(AQ507/60,4),"")</f>
        <v/>
      </c>
      <c r="N507" s="71" t="str">
        <f>IF(AND(D507="proMX",AB507=1),ROUND(AG507/CFG_BLK,2),"")</f>
        <v/>
      </c>
      <c r="O507" s="77" t="str">
        <f>IF(D507="proMX",IF(BD507=1,ROUND(AG507/60,4),0),"")</f>
        <v/>
      </c>
      <c r="P507" s="78" t="str">
        <f>IF(Y507=0,"",IF(BD507=1,"OK",IF(D507="proMX","Revisar bloques: ","Revisar: ")&amp;BC507))</f>
        <v/>
      </c>
      <c r="Q507" s="78" t="str">
        <f>IF(NOT(ISNUMBER(B507)),"",IF(COUNTIFS(FER_F,INT(B507))&gt;0,"Feriado"&amp;IF(AH507=1," (laborable)"," (no laborable)"),IF(AH507=1,"Laborable",IF(WEEKDAY(B507,2)&gt;5,"Fin de semana","No laborable"))))</f>
        <v/>
      </c>
      <c r="R507" s="73" t="n"/>
      <c r="S507" s="72" t="n"/>
      <c r="T507" s="72" t="n"/>
      <c r="U507" s="74" t="n"/>
      <c r="V507" s="79" t="str">
        <f>IF(AND(D507="proMX",OR(R507="Submitted",R507="Recall Requested"),ISNUMBER(S507)),CFG_TODAY-INT(S507),"")</f>
        <v/>
      </c>
      <c r="W507" s="78" t="str">
        <f>IF(BD507=0,"",IF(BA507&gt;0,"⚠ Se superpone con un registro de la otra empresa",IF(D507="Malcolm",IF(COUNTA(R507,S507,T507)&gt;0,"Estado/fechas proMX se ignoran en Malcolm",""),IF(BF507="Cancelled","Cancelado: excluido de totales",IF(R507="","Sin estado: se trata como Draft",IF(BF507="Submitted",IF(ISNUMBER(V507),IF(V507&gt;CFG_MAXD,"⚠ "&amp;V507&amp;" días en Submitted (máx. "&amp;CFG_MAXD&amp;")",""),"Falta fecha de envío"),IF(BF507="Returned","⚠ Devuelto: corregir y reenviar",IF(BF507="Recall Requested","Retirada solicitada: pendiente",IF(AND(BF507="Approved",NOT(ISNUMBER(T507))),"Falta fecha de aprobación",IF(AND(ISNUMBER(S507),ISNUMBER(T507),T507&lt;S507),"Aprobación anterior al envío","")))))))))</f>
        <v/>
      </c>
      <c r="Y507" s="80">
        <f>IF(COUNTA(B507,D507,E507,F507,G507,H507,I507,J507,R507,S507,T507)&gt;0,1,0)</f>
        <v>0</v>
      </c>
      <c r="Z507" s="80" t="str">
        <f>IF(AND(ISNUMBER(H507),H507&gt;=0,H507&lt;1),ROUND(H507*1440,0),"")</f>
        <v/>
      </c>
      <c r="AA507" s="80" t="str">
        <f>IF(AND(ISNUMBER(I507),I507&gt;=0,I507&lt;1),ROUND(I507*1440,0),"")</f>
        <v/>
      </c>
      <c r="AB507" s="80">
        <f>IF(AND(ISNUMBER(B507),D507&lt;&gt;"",ISNUMBER(Z507),ISNUMBER(AA507)),IF(Z507=AA507,0,1),0)</f>
        <v>0</v>
      </c>
      <c r="AC507" s="80">
        <f>IF(AB507=1,IF(AA507&lt;Z507,1,0),0)</f>
        <v>0</v>
      </c>
      <c r="AD507" s="80">
        <f>IF(AB507=1,IF(AC507=1,1440-Z507+AA507,AA507-Z507),0)</f>
        <v>0</v>
      </c>
      <c r="AE507" s="80">
        <f>IF(J507="",0,IF(ISNUMBER(J507),J507,-1))</f>
        <v>0</v>
      </c>
      <c r="AF507" s="80">
        <f>MIN(MAX(0,AE507),AD507)</f>
        <v>0</v>
      </c>
      <c r="AG507" s="80">
        <f>MAX(0,AD507-MAX(0,AE507))</f>
        <v>0</v>
      </c>
      <c r="AH507" s="80">
        <f>IF(ISNUMBER(B507),IF(AND(INDEX(CFG_WDAYS,WEEKDAY(INT(B507),2))="Sí",IF(D507="proMX",COUNTIFS(FER_F,INT(B507),FER_NLP,"Sí"),COUNTIFS(FER_F,INT(B507),FER_NLM,"Sí"))=0),1,0),0)</f>
        <v>0</v>
      </c>
      <c r="AI507" s="80">
        <f>IF(AC507=1,IF(AND(INDEX(CFG_WDAYS,WEEKDAY(INT(B507)+1,2))="Sí",IF(D507="proMX",COUNTIFS(FER_F,INT(B507)+1,FER_NLP,"Sí"),COUNTIFS(FER_F,INT(B507)+1,FER_NLM,"Sí"))=0),1,0),0)</f>
        <v>0</v>
      </c>
      <c r="AJ507" s="80">
        <f>IF(AC507=1,1440-Z507,AD507)</f>
        <v>0</v>
      </c>
      <c r="AK507" s="80">
        <f>IF(AND(AB507=1,AH507=1),MAX(0,MIN(IF(AC507=1,1440,AA507),CFG_WEM)-MAX(Z507,CFG_WSM)),0)</f>
        <v>0</v>
      </c>
      <c r="AL507" s="80">
        <f>IF(AND(AC507=1,AI507=1),MAX(0,MIN(AA507,CFG_WEM)-CFG_WSM),0)</f>
        <v>0</v>
      </c>
      <c r="AM507" s="80">
        <f>AK507+AL507</f>
        <v>0</v>
      </c>
      <c r="AN507" s="80">
        <f>IF(CFG_BRK="Proporcional",IF(AD507=0,0,AF507*AM507/AD507),IF(CFG_BRK="Extras primero",MIN(AM507,MAX(0,AF507-(AD507-AM507))),MIN(AF507,AM507)))</f>
        <v>0</v>
      </c>
      <c r="AO507" s="80">
        <f>AF507-AN507</f>
        <v>0</v>
      </c>
      <c r="AP507" s="80">
        <f>AM507-AN507</f>
        <v>0</v>
      </c>
      <c r="AQ507" s="80">
        <f>AD507-AM507-AO507</f>
        <v>0</v>
      </c>
      <c r="AR507" s="80">
        <f>IF(AM507=0,0,AK507-AN507*AK507/AM507)</f>
        <v>0</v>
      </c>
      <c r="AS507" s="80">
        <f>IF(AD507-AM507=0,0,(AJ507-AK507)-AO507*(AJ507-AK507)/(AD507-AM507))</f>
        <v>0</v>
      </c>
      <c r="AT507" s="80" t="str">
        <f>IF(AC507=1,INT(B507)+1,"")</f>
        <v/>
      </c>
      <c r="AU507" s="80">
        <f>IF(AND(D507="proMX",R507="Cancelled"),0,1)</f>
        <v>1</v>
      </c>
      <c r="AV507" s="80">
        <f>IF(AND(AB507=1,AU507=1),IF(COUNTIFS($D$5:D506,D507,$B$5:B506,B507,$Z$5:Z506,Z507,$AA$5:AA506,AA507,$F$5:F506,F507&amp;"",$AU$5:AU506,1)&gt;0,1,0),0)</f>
        <v>0</v>
      </c>
      <c r="AW507" s="80" t="str">
        <f>IF(AB507=1,INT(B507)*1440+Z507,"")</f>
        <v/>
      </c>
      <c r="AX507" s="80" t="str">
        <f>IF(AB507=1,AW507+AD507,"")</f>
        <v/>
      </c>
      <c r="AY507" s="80">
        <f>IF(AND(AB507=1,AV507=0,AU507=1),1,0)</f>
        <v>0</v>
      </c>
      <c r="AZ507" s="80">
        <f>IF(AY507=1,COUNTIFS(R_Emp,D507,R_SAbs,"&lt;"&amp;AX507,R_EAbs,"&gt;"&amp;AW507,R_OKey,1)-1,0)</f>
        <v>0</v>
      </c>
      <c r="BA507" s="80">
        <f>IF(AY507=1,COUNTIFS(R_Emp,"&lt;&gt;"&amp;D507,R_SAbs,"&lt;"&amp;AX507,R_EAbs,"&gt;"&amp;AW507,R_OKey,1),0)</f>
        <v>0</v>
      </c>
      <c r="BB507" s="80">
        <f>IF(AND(AB507=1,D507="proMX"),IF(AND(MOD(Z507,CFG_BLK)=0,MOD(AA507,CFG_BLK)=0,MOD(AG507,CFG_BLK)=0,AG507&gt;0),1,0),1)</f>
        <v>1</v>
      </c>
      <c r="BC507" s="80" t="str">
        <f>IF(Y507=0,"",IF(NOT(ISNUMBER(B507)),"Falta fecha o fecha inválida",IF(D507="","Falta empresa",IF(AND(D507&lt;&gt;"Malcolm",D507&lt;&gt;"proMX"),"Empresa inválida",IF(OR(INT(B507)&lt;CFG_PSTART,INT(B507)&gt;CFG_PEND),"Fecha fuera del período",IF(OR(NOT(ISNUMBER(Z507)),NOT(ISNUMBER(AA507))),"Falta hora inicio/fin o formato inválido",IF(AB507=0,"Hora inicio = hora fin",IF(AE507&lt;0,"Descanso inválido",IF(AE507&gt;=AD507,"Descanso ≥ duración",IF(AV507=1,"Registro duplicado",IF(AZ507&gt;0,"Se superpone con otro registro "&amp;D507,IF(BB507=0,"inicio, fin y duración neta deben ser múltiplos de "&amp;CFG_BLK&amp;" min",""))))))))))))</f>
        <v/>
      </c>
      <c r="BD507" s="80">
        <f>IF(AND(Y507=1,BC507=""),1,0)</f>
        <v>0</v>
      </c>
      <c r="BE507" s="80">
        <f>IF(AND(BD507=1,AU507=1),1,0)</f>
        <v>0</v>
      </c>
      <c r="BF507" s="80" t="str">
        <f>IF(AND(D507="proMX",BD507=1),IF(R507="","Draft",R507),"")</f>
        <v/>
      </c>
      <c r="BG507" s="80">
        <f>IF(BD507=1,ROUND(AG507/60,6),0)</f>
        <v>0</v>
      </c>
      <c r="BH507" s="80">
        <f>IF(BE507=1,ROUND(AG507/60,6),0)</f>
        <v>0</v>
      </c>
      <c r="BI507" s="80">
        <f>IF(BE507=1,ROUND(AP507/60,6),0)</f>
        <v>0</v>
      </c>
      <c r="BJ507" s="80">
        <f>IF(BE507=1,ROUND(AQ507/60,6),0)</f>
        <v>0</v>
      </c>
      <c r="BK507" s="80">
        <f>IF(BE507=1,ROUND((AR507+AS507)/60,6),0)</f>
        <v>0</v>
      </c>
      <c r="BL507" s="80">
        <f>ROUND(BH507-BK507,6)</f>
        <v>0</v>
      </c>
      <c r="BM507" s="80">
        <f>IF(BE507=1,ROUND(AR507/60,6),0)</f>
        <v>0</v>
      </c>
      <c r="BN507" s="80">
        <f>ROUND(BI507-BM507,6)</f>
        <v>0</v>
      </c>
      <c r="BO507" s="80">
        <f>IF(BE507=1,ROUND(AS507/60,6),0)</f>
        <v>0</v>
      </c>
      <c r="BP507" s="80">
        <f>ROUND(BJ507-BO507,6)</f>
        <v>0</v>
      </c>
      <c r="BQ507" s="80">
        <f>IF(BE507=1,AW507,0)</f>
        <v>0</v>
      </c>
      <c r="BR507" s="80">
        <f>IF(BE507=1,AX507,0)</f>
        <v>0</v>
      </c>
      <c r="BS507" s="80">
        <f>IF(AND(BE507=1,D507="Malcolm",BA507&gt;0),MIN(BH507,SUMPRODUCT((R_Emp="proMX")*(R_EN&gt;0)*((R_EN-(R_EN&gt;BR507)*(R_EN-BR507))&gt;(R_SN+(R_SN&lt;BQ507)*(BQ507-R_SN)))*((R_EN-(R_EN&gt;BR507)*(R_EN-BR507))-(R_SN+(R_SN&lt;BQ507)*(BQ507-R_SN))))/60),0)</f>
        <v>0</v>
      </c>
      <c r="BT507" s="80">
        <f>IF(AND(BE507=1,D507="proMX"),ROUND(BI507*CFG_RATE+BJ507*CFG_OTRATE,6),0)</f>
        <v>0</v>
      </c>
      <c r="BU507" s="80">
        <f>IF(AND(BD507=1,D507="proMX"),ROUND(AG507/CFG_BLK,6),0)</f>
        <v>0</v>
      </c>
      <c r="BV507" s="80" t="str">
        <f>IF(BF507="Approved",IF(ISNUMBER(T507),INT(T507),INT(B507)),"")</f>
        <v/>
      </c>
      <c r="BW507" s="80">
        <f>IF(ISNUMBER(B507),IF(DB_MON="Todos",1,IF(AND(INT(B507)&gt;=DB_MS,INT(B507)&lt;=DB_ME),1,0)),0)</f>
        <v>0</v>
      </c>
      <c r="BX507" s="80">
        <f>IF(DB_PROJ="Todos",1,IF(E507&amp;""=DB_PROJ&amp;"",1,0))</f>
        <v>1</v>
      </c>
      <c r="BY507" s="80">
        <f>BW507*BX507</f>
        <v>0</v>
      </c>
      <c r="BZ507" s="80" t="str">
        <f>IF(Y507=1,F507&amp;IF(AND(F507&amp;""&lt;&gt;"",E507&amp;""&lt;&gt;"")," · ","")&amp;E507,"")</f>
        <v/>
      </c>
      <c r="CA507" s="80" t="str">
        <f>IF(AND(BD507=1,E507&amp;""&lt;&gt;""),IF(COUNTIFS($E$5:E506,E507,$BD$5:BD506,1)=0,MAX($CA$5:CA506)+1,""),"")</f>
        <v/>
      </c>
      <c r="CB507" s="80" t="str">
        <f>IF(AND(BE507=1,D507="Malcolm",E507&amp;""&lt;&gt;""),IF(COUNTIFS($D$5:D506,"Malcolm",$E$5:E506,E507,$BE$5:BE506,1)=0,MAX($CB$5:CB506)+1,""),"")</f>
        <v/>
      </c>
      <c r="CC507" s="80" t="str">
        <f>IF(AND(BD507=1,D507="proMX",E507&amp;""&lt;&gt;""),IF(COUNTIFS($D$5:D506,"proMX",$E$5:E506,E507,$BD$5:BD506,1)=0,MAX($CC$5:CC506)+1,""),"")</f>
        <v/>
      </c>
      <c r="CD507" s="80" t="str">
        <f>IF(AND(BE507=1,D507="Malcolm",F507&amp;""&lt;&gt;""),IF(COUNTIFS($D$5:D506,"Malcolm",$F$5:F506,F507,$BE$5:BE506,1)=0,MAX($CD$5:CD506)+1,""),"")</f>
        <v/>
      </c>
      <c r="CE507" s="80" t="str">
        <f>IF(AND(BD507=1,D507="proMX",F507&amp;""&lt;&gt;""),IF(COUNTIFS($D$5:D506,"proMX",$F$5:F506,F507,$BD$5:BD506,1)=0,MAX($CE$5:CE506)+1,""),"")</f>
        <v/>
      </c>
      <c r="CF507" s="80" t="str">
        <f>IF(AND(D507="proMX",BD507=1),IF(OR(BF507="Draft",BF507="Submitted",BF507="Returned",BF507="Recall Requested"),MAX($CF$5:CF506)+1,""),"")</f>
        <v/>
      </c>
      <c r="CG507" s="80">
        <f>IF(BD507=0,0,IF(D507="Malcolm",1,MATCH(BF507,{"Draft","Submitted","Approved","Returned","Recall Requested","Cancelled"},0)+1))</f>
        <v>0</v>
      </c>
      <c r="CH507" s="80">
        <f>IF(AND(BF507="Submitted",ISNUMBER(V507)),IF(V507&gt;CFG_MAXD,1,0),0)</f>
        <v>0</v>
      </c>
    </row>
    <row r="508">
      <c r="A508" s="71" t="str">
        <f>IF(Y508=1,ROW()-5,"")</f>
        <v/>
      </c>
      <c r="B508" s="72" t="n"/>
      <c r="C508" s="71" t="str">
        <f>IF(ISNUMBER(B508),CHOOSE(WEEKDAY(B508,2),"Lun","Mar","Mié","Jue","Vie","Sáb","Dom"),"")</f>
        <v/>
      </c>
      <c r="D508" s="73" t="n"/>
      <c r="E508" s="74" t="n"/>
      <c r="F508" s="74" t="n"/>
      <c r="G508" s="74" t="n"/>
      <c r="H508" s="75" t="n"/>
      <c r="I508" s="75" t="n"/>
      <c r="J508" s="76" t="n"/>
      <c r="K508" s="77" t="str">
        <f>IF(AB508=1,ROUND(AG508/60,4),"")</f>
        <v/>
      </c>
      <c r="L508" s="77" t="str">
        <f>IF(BD508=1,ROUND(AP508/60,4),"")</f>
        <v/>
      </c>
      <c r="M508" s="77" t="str">
        <f>IF(BD508=1,ROUND(AQ508/60,4),"")</f>
        <v/>
      </c>
      <c r="N508" s="71" t="str">
        <f>IF(AND(D508="proMX",AB508=1),ROUND(AG508/CFG_BLK,2),"")</f>
        <v/>
      </c>
      <c r="O508" s="77" t="str">
        <f>IF(D508="proMX",IF(BD508=1,ROUND(AG508/60,4),0),"")</f>
        <v/>
      </c>
      <c r="P508" s="78" t="str">
        <f>IF(Y508=0,"",IF(BD508=1,"OK",IF(D508="proMX","Revisar bloques: ","Revisar: ")&amp;BC508))</f>
        <v/>
      </c>
      <c r="Q508" s="78" t="str">
        <f>IF(NOT(ISNUMBER(B508)),"",IF(COUNTIFS(FER_F,INT(B508))&gt;0,"Feriado"&amp;IF(AH508=1," (laborable)"," (no laborable)"),IF(AH508=1,"Laborable",IF(WEEKDAY(B508,2)&gt;5,"Fin de semana","No laborable"))))</f>
        <v/>
      </c>
      <c r="R508" s="73" t="n"/>
      <c r="S508" s="72" t="n"/>
      <c r="T508" s="72" t="n"/>
      <c r="U508" s="74" t="n"/>
      <c r="V508" s="79" t="str">
        <f>IF(AND(D508="proMX",OR(R508="Submitted",R508="Recall Requested"),ISNUMBER(S508)),CFG_TODAY-INT(S508),"")</f>
        <v/>
      </c>
      <c r="W508" s="78" t="str">
        <f>IF(BD508=0,"",IF(BA508&gt;0,"⚠ Se superpone con un registro de la otra empresa",IF(D508="Malcolm",IF(COUNTA(R508,S508,T508)&gt;0,"Estado/fechas proMX se ignoran en Malcolm",""),IF(BF508="Cancelled","Cancelado: excluido de totales",IF(R508="","Sin estado: se trata como Draft",IF(BF508="Submitted",IF(ISNUMBER(V508),IF(V508&gt;CFG_MAXD,"⚠ "&amp;V508&amp;" días en Submitted (máx. "&amp;CFG_MAXD&amp;")",""),"Falta fecha de envío"),IF(BF508="Returned","⚠ Devuelto: corregir y reenviar",IF(BF508="Recall Requested","Retirada solicitada: pendiente",IF(AND(BF508="Approved",NOT(ISNUMBER(T508))),"Falta fecha de aprobación",IF(AND(ISNUMBER(S508),ISNUMBER(T508),T508&lt;S508),"Aprobación anterior al envío","")))))))))</f>
        <v/>
      </c>
      <c r="Y508" s="80">
        <f>IF(COUNTA(B508,D508,E508,F508,G508,H508,I508,J508,R508,S508,T508)&gt;0,1,0)</f>
        <v>0</v>
      </c>
      <c r="Z508" s="80" t="str">
        <f>IF(AND(ISNUMBER(H508),H508&gt;=0,H508&lt;1),ROUND(H508*1440,0),"")</f>
        <v/>
      </c>
      <c r="AA508" s="80" t="str">
        <f>IF(AND(ISNUMBER(I508),I508&gt;=0,I508&lt;1),ROUND(I508*1440,0),"")</f>
        <v/>
      </c>
      <c r="AB508" s="80">
        <f>IF(AND(ISNUMBER(B508),D508&lt;&gt;"",ISNUMBER(Z508),ISNUMBER(AA508)),IF(Z508=AA508,0,1),0)</f>
        <v>0</v>
      </c>
      <c r="AC508" s="80">
        <f>IF(AB508=1,IF(AA508&lt;Z508,1,0),0)</f>
        <v>0</v>
      </c>
      <c r="AD508" s="80">
        <f>IF(AB508=1,IF(AC508=1,1440-Z508+AA508,AA508-Z508),0)</f>
        <v>0</v>
      </c>
      <c r="AE508" s="80">
        <f>IF(J508="",0,IF(ISNUMBER(J508),J508,-1))</f>
        <v>0</v>
      </c>
      <c r="AF508" s="80">
        <f>MIN(MAX(0,AE508),AD508)</f>
        <v>0</v>
      </c>
      <c r="AG508" s="80">
        <f>MAX(0,AD508-MAX(0,AE508))</f>
        <v>0</v>
      </c>
      <c r="AH508" s="80">
        <f>IF(ISNUMBER(B508),IF(AND(INDEX(CFG_WDAYS,WEEKDAY(INT(B508),2))="Sí",IF(D508="proMX",COUNTIFS(FER_F,INT(B508),FER_NLP,"Sí"),COUNTIFS(FER_F,INT(B508),FER_NLM,"Sí"))=0),1,0),0)</f>
        <v>0</v>
      </c>
      <c r="AI508" s="80">
        <f>IF(AC508=1,IF(AND(INDEX(CFG_WDAYS,WEEKDAY(INT(B508)+1,2))="Sí",IF(D508="proMX",COUNTIFS(FER_F,INT(B508)+1,FER_NLP,"Sí"),COUNTIFS(FER_F,INT(B508)+1,FER_NLM,"Sí"))=0),1,0),0)</f>
        <v>0</v>
      </c>
      <c r="AJ508" s="80">
        <f>IF(AC508=1,1440-Z508,AD508)</f>
        <v>0</v>
      </c>
      <c r="AK508" s="80">
        <f>IF(AND(AB508=1,AH508=1),MAX(0,MIN(IF(AC508=1,1440,AA508),CFG_WEM)-MAX(Z508,CFG_WSM)),0)</f>
        <v>0</v>
      </c>
      <c r="AL508" s="80">
        <f>IF(AND(AC508=1,AI508=1),MAX(0,MIN(AA508,CFG_WEM)-CFG_WSM),0)</f>
        <v>0</v>
      </c>
      <c r="AM508" s="80">
        <f>AK508+AL508</f>
        <v>0</v>
      </c>
      <c r="AN508" s="80">
        <f>IF(CFG_BRK="Proporcional",IF(AD508=0,0,AF508*AM508/AD508),IF(CFG_BRK="Extras primero",MIN(AM508,MAX(0,AF508-(AD508-AM508))),MIN(AF508,AM508)))</f>
        <v>0</v>
      </c>
      <c r="AO508" s="80">
        <f>AF508-AN508</f>
        <v>0</v>
      </c>
      <c r="AP508" s="80">
        <f>AM508-AN508</f>
        <v>0</v>
      </c>
      <c r="AQ508" s="80">
        <f>AD508-AM508-AO508</f>
        <v>0</v>
      </c>
      <c r="AR508" s="80">
        <f>IF(AM508=0,0,AK508-AN508*AK508/AM508)</f>
        <v>0</v>
      </c>
      <c r="AS508" s="80">
        <f>IF(AD508-AM508=0,0,(AJ508-AK508)-AO508*(AJ508-AK508)/(AD508-AM508))</f>
        <v>0</v>
      </c>
      <c r="AT508" s="80" t="str">
        <f>IF(AC508=1,INT(B508)+1,"")</f>
        <v/>
      </c>
      <c r="AU508" s="80">
        <f>IF(AND(D508="proMX",R508="Cancelled"),0,1)</f>
        <v>1</v>
      </c>
      <c r="AV508" s="80">
        <f>IF(AND(AB508=1,AU508=1),IF(COUNTIFS($D$5:D507,D508,$B$5:B507,B508,$Z$5:Z507,Z508,$AA$5:AA507,AA508,$F$5:F507,F508&amp;"",$AU$5:AU507,1)&gt;0,1,0),0)</f>
        <v>0</v>
      </c>
      <c r="AW508" s="80" t="str">
        <f>IF(AB508=1,INT(B508)*1440+Z508,"")</f>
        <v/>
      </c>
      <c r="AX508" s="80" t="str">
        <f>IF(AB508=1,AW508+AD508,"")</f>
        <v/>
      </c>
      <c r="AY508" s="80">
        <f>IF(AND(AB508=1,AV508=0,AU508=1),1,0)</f>
        <v>0</v>
      </c>
      <c r="AZ508" s="80">
        <f>IF(AY508=1,COUNTIFS(R_Emp,D508,R_SAbs,"&lt;"&amp;AX508,R_EAbs,"&gt;"&amp;AW508,R_OKey,1)-1,0)</f>
        <v>0</v>
      </c>
      <c r="BA508" s="80">
        <f>IF(AY508=1,COUNTIFS(R_Emp,"&lt;&gt;"&amp;D508,R_SAbs,"&lt;"&amp;AX508,R_EAbs,"&gt;"&amp;AW508,R_OKey,1),0)</f>
        <v>0</v>
      </c>
      <c r="BB508" s="80">
        <f>IF(AND(AB508=1,D508="proMX"),IF(AND(MOD(Z508,CFG_BLK)=0,MOD(AA508,CFG_BLK)=0,MOD(AG508,CFG_BLK)=0,AG508&gt;0),1,0),1)</f>
        <v>1</v>
      </c>
      <c r="BC508" s="80" t="str">
        <f>IF(Y508=0,"",IF(NOT(ISNUMBER(B508)),"Falta fecha o fecha inválida",IF(D508="","Falta empresa",IF(AND(D508&lt;&gt;"Malcolm",D508&lt;&gt;"proMX"),"Empresa inválida",IF(OR(INT(B508)&lt;CFG_PSTART,INT(B508)&gt;CFG_PEND),"Fecha fuera del período",IF(OR(NOT(ISNUMBER(Z508)),NOT(ISNUMBER(AA508))),"Falta hora inicio/fin o formato inválido",IF(AB508=0,"Hora inicio = hora fin",IF(AE508&lt;0,"Descanso inválido",IF(AE508&gt;=AD508,"Descanso ≥ duración",IF(AV508=1,"Registro duplicado",IF(AZ508&gt;0,"Se superpone con otro registro "&amp;D508,IF(BB508=0,"inicio, fin y duración neta deben ser múltiplos de "&amp;CFG_BLK&amp;" min",""))))))))))))</f>
        <v/>
      </c>
      <c r="BD508" s="80">
        <f>IF(AND(Y508=1,BC508=""),1,0)</f>
        <v>0</v>
      </c>
      <c r="BE508" s="80">
        <f>IF(AND(BD508=1,AU508=1),1,0)</f>
        <v>0</v>
      </c>
      <c r="BF508" s="80" t="str">
        <f>IF(AND(D508="proMX",BD508=1),IF(R508="","Draft",R508),"")</f>
        <v/>
      </c>
      <c r="BG508" s="80">
        <f>IF(BD508=1,ROUND(AG508/60,6),0)</f>
        <v>0</v>
      </c>
      <c r="BH508" s="80">
        <f>IF(BE508=1,ROUND(AG508/60,6),0)</f>
        <v>0</v>
      </c>
      <c r="BI508" s="80">
        <f>IF(BE508=1,ROUND(AP508/60,6),0)</f>
        <v>0</v>
      </c>
      <c r="BJ508" s="80">
        <f>IF(BE508=1,ROUND(AQ508/60,6),0)</f>
        <v>0</v>
      </c>
      <c r="BK508" s="80">
        <f>IF(BE508=1,ROUND((AR508+AS508)/60,6),0)</f>
        <v>0</v>
      </c>
      <c r="BL508" s="80">
        <f>ROUND(BH508-BK508,6)</f>
        <v>0</v>
      </c>
      <c r="BM508" s="80">
        <f>IF(BE508=1,ROUND(AR508/60,6),0)</f>
        <v>0</v>
      </c>
      <c r="BN508" s="80">
        <f>ROUND(BI508-BM508,6)</f>
        <v>0</v>
      </c>
      <c r="BO508" s="80">
        <f>IF(BE508=1,ROUND(AS508/60,6),0)</f>
        <v>0</v>
      </c>
      <c r="BP508" s="80">
        <f>ROUND(BJ508-BO508,6)</f>
        <v>0</v>
      </c>
      <c r="BQ508" s="80">
        <f>IF(BE508=1,AW508,0)</f>
        <v>0</v>
      </c>
      <c r="BR508" s="80">
        <f>IF(BE508=1,AX508,0)</f>
        <v>0</v>
      </c>
      <c r="BS508" s="80">
        <f>IF(AND(BE508=1,D508="Malcolm",BA508&gt;0),MIN(BH508,SUMPRODUCT((R_Emp="proMX")*(R_EN&gt;0)*((R_EN-(R_EN&gt;BR508)*(R_EN-BR508))&gt;(R_SN+(R_SN&lt;BQ508)*(BQ508-R_SN)))*((R_EN-(R_EN&gt;BR508)*(R_EN-BR508))-(R_SN+(R_SN&lt;BQ508)*(BQ508-R_SN))))/60),0)</f>
        <v>0</v>
      </c>
      <c r="BT508" s="80">
        <f>IF(AND(BE508=1,D508="proMX"),ROUND(BI508*CFG_RATE+BJ508*CFG_OTRATE,6),0)</f>
        <v>0</v>
      </c>
      <c r="BU508" s="80">
        <f>IF(AND(BD508=1,D508="proMX"),ROUND(AG508/CFG_BLK,6),0)</f>
        <v>0</v>
      </c>
      <c r="BV508" s="80" t="str">
        <f>IF(BF508="Approved",IF(ISNUMBER(T508),INT(T508),INT(B508)),"")</f>
        <v/>
      </c>
      <c r="BW508" s="80">
        <f>IF(ISNUMBER(B508),IF(DB_MON="Todos",1,IF(AND(INT(B508)&gt;=DB_MS,INT(B508)&lt;=DB_ME),1,0)),0)</f>
        <v>0</v>
      </c>
      <c r="BX508" s="80">
        <f>IF(DB_PROJ="Todos",1,IF(E508&amp;""=DB_PROJ&amp;"",1,0))</f>
        <v>1</v>
      </c>
      <c r="BY508" s="80">
        <f>BW508*BX508</f>
        <v>0</v>
      </c>
      <c r="BZ508" s="80" t="str">
        <f>IF(Y508=1,F508&amp;IF(AND(F508&amp;""&lt;&gt;"",E508&amp;""&lt;&gt;"")," · ","")&amp;E508,"")</f>
        <v/>
      </c>
      <c r="CA508" s="80" t="str">
        <f>IF(AND(BD508=1,E508&amp;""&lt;&gt;""),IF(COUNTIFS($E$5:E507,E508,$BD$5:BD507,1)=0,MAX($CA$5:CA507)+1,""),"")</f>
        <v/>
      </c>
      <c r="CB508" s="80" t="str">
        <f>IF(AND(BE508=1,D508="Malcolm",E508&amp;""&lt;&gt;""),IF(COUNTIFS($D$5:D507,"Malcolm",$E$5:E507,E508,$BE$5:BE507,1)=0,MAX($CB$5:CB507)+1,""),"")</f>
        <v/>
      </c>
      <c r="CC508" s="80" t="str">
        <f>IF(AND(BD508=1,D508="proMX",E508&amp;""&lt;&gt;""),IF(COUNTIFS($D$5:D507,"proMX",$E$5:E507,E508,$BD$5:BD507,1)=0,MAX($CC$5:CC507)+1,""),"")</f>
        <v/>
      </c>
      <c r="CD508" s="80" t="str">
        <f>IF(AND(BE508=1,D508="Malcolm",F508&amp;""&lt;&gt;""),IF(COUNTIFS($D$5:D507,"Malcolm",$F$5:F507,F508,$BE$5:BE507,1)=0,MAX($CD$5:CD507)+1,""),"")</f>
        <v/>
      </c>
      <c r="CE508" s="80" t="str">
        <f>IF(AND(BD508=1,D508="proMX",F508&amp;""&lt;&gt;""),IF(COUNTIFS($D$5:D507,"proMX",$F$5:F507,F508,$BD$5:BD507,1)=0,MAX($CE$5:CE507)+1,""),"")</f>
        <v/>
      </c>
      <c r="CF508" s="80" t="str">
        <f>IF(AND(D508="proMX",BD508=1),IF(OR(BF508="Draft",BF508="Submitted",BF508="Returned",BF508="Recall Requested"),MAX($CF$5:CF507)+1,""),"")</f>
        <v/>
      </c>
      <c r="CG508" s="80">
        <f>IF(BD508=0,0,IF(D508="Malcolm",1,MATCH(BF508,{"Draft","Submitted","Approved","Returned","Recall Requested","Cancelled"},0)+1))</f>
        <v>0</v>
      </c>
      <c r="CH508" s="80">
        <f>IF(AND(BF508="Submitted",ISNUMBER(V508)),IF(V508&gt;CFG_MAXD,1,0),0)</f>
        <v>0</v>
      </c>
    </row>
    <row r="509">
      <c r="A509" s="71" t="str">
        <f>IF(Y509=1,ROW()-5,"")</f>
        <v/>
      </c>
      <c r="B509" s="72" t="n"/>
      <c r="C509" s="71" t="str">
        <f>IF(ISNUMBER(B509),CHOOSE(WEEKDAY(B509,2),"Lun","Mar","Mié","Jue","Vie","Sáb","Dom"),"")</f>
        <v/>
      </c>
      <c r="D509" s="73" t="n"/>
      <c r="E509" s="74" t="n"/>
      <c r="F509" s="74" t="n"/>
      <c r="G509" s="74" t="n"/>
      <c r="H509" s="75" t="n"/>
      <c r="I509" s="75" t="n"/>
      <c r="J509" s="76" t="n"/>
      <c r="K509" s="77" t="str">
        <f>IF(AB509=1,ROUND(AG509/60,4),"")</f>
        <v/>
      </c>
      <c r="L509" s="77" t="str">
        <f>IF(BD509=1,ROUND(AP509/60,4),"")</f>
        <v/>
      </c>
      <c r="M509" s="77" t="str">
        <f>IF(BD509=1,ROUND(AQ509/60,4),"")</f>
        <v/>
      </c>
      <c r="N509" s="71" t="str">
        <f>IF(AND(D509="proMX",AB509=1),ROUND(AG509/CFG_BLK,2),"")</f>
        <v/>
      </c>
      <c r="O509" s="77" t="str">
        <f>IF(D509="proMX",IF(BD509=1,ROUND(AG509/60,4),0),"")</f>
        <v/>
      </c>
      <c r="P509" s="78" t="str">
        <f>IF(Y509=0,"",IF(BD509=1,"OK",IF(D509="proMX","Revisar bloques: ","Revisar: ")&amp;BC509))</f>
        <v/>
      </c>
      <c r="Q509" s="78" t="str">
        <f>IF(NOT(ISNUMBER(B509)),"",IF(COUNTIFS(FER_F,INT(B509))&gt;0,"Feriado"&amp;IF(AH509=1," (laborable)"," (no laborable)"),IF(AH509=1,"Laborable",IF(WEEKDAY(B509,2)&gt;5,"Fin de semana","No laborable"))))</f>
        <v/>
      </c>
      <c r="R509" s="73" t="n"/>
      <c r="S509" s="72" t="n"/>
      <c r="T509" s="72" t="n"/>
      <c r="U509" s="74" t="n"/>
      <c r="V509" s="79" t="str">
        <f>IF(AND(D509="proMX",OR(R509="Submitted",R509="Recall Requested"),ISNUMBER(S509)),CFG_TODAY-INT(S509),"")</f>
        <v/>
      </c>
      <c r="W509" s="78" t="str">
        <f>IF(BD509=0,"",IF(BA509&gt;0,"⚠ Se superpone con un registro de la otra empresa",IF(D509="Malcolm",IF(COUNTA(R509,S509,T509)&gt;0,"Estado/fechas proMX se ignoran en Malcolm",""),IF(BF509="Cancelled","Cancelado: excluido de totales",IF(R509="","Sin estado: se trata como Draft",IF(BF509="Submitted",IF(ISNUMBER(V509),IF(V509&gt;CFG_MAXD,"⚠ "&amp;V509&amp;" días en Submitted (máx. "&amp;CFG_MAXD&amp;")",""),"Falta fecha de envío"),IF(BF509="Returned","⚠ Devuelto: corregir y reenviar",IF(BF509="Recall Requested","Retirada solicitada: pendiente",IF(AND(BF509="Approved",NOT(ISNUMBER(T509))),"Falta fecha de aprobación",IF(AND(ISNUMBER(S509),ISNUMBER(T509),T509&lt;S509),"Aprobación anterior al envío","")))))))))</f>
        <v/>
      </c>
      <c r="Y509" s="80">
        <f>IF(COUNTA(B509,D509,E509,F509,G509,H509,I509,J509,R509,S509,T509)&gt;0,1,0)</f>
        <v>0</v>
      </c>
      <c r="Z509" s="80" t="str">
        <f>IF(AND(ISNUMBER(H509),H509&gt;=0,H509&lt;1),ROUND(H509*1440,0),"")</f>
        <v/>
      </c>
      <c r="AA509" s="80" t="str">
        <f>IF(AND(ISNUMBER(I509),I509&gt;=0,I509&lt;1),ROUND(I509*1440,0),"")</f>
        <v/>
      </c>
      <c r="AB509" s="80">
        <f>IF(AND(ISNUMBER(B509),D509&lt;&gt;"",ISNUMBER(Z509),ISNUMBER(AA509)),IF(Z509=AA509,0,1),0)</f>
        <v>0</v>
      </c>
      <c r="AC509" s="80">
        <f>IF(AB509=1,IF(AA509&lt;Z509,1,0),0)</f>
        <v>0</v>
      </c>
      <c r="AD509" s="80">
        <f>IF(AB509=1,IF(AC509=1,1440-Z509+AA509,AA509-Z509),0)</f>
        <v>0</v>
      </c>
      <c r="AE509" s="80">
        <f>IF(J509="",0,IF(ISNUMBER(J509),J509,-1))</f>
        <v>0</v>
      </c>
      <c r="AF509" s="80">
        <f>MIN(MAX(0,AE509),AD509)</f>
        <v>0</v>
      </c>
      <c r="AG509" s="80">
        <f>MAX(0,AD509-MAX(0,AE509))</f>
        <v>0</v>
      </c>
      <c r="AH509" s="80">
        <f>IF(ISNUMBER(B509),IF(AND(INDEX(CFG_WDAYS,WEEKDAY(INT(B509),2))="Sí",IF(D509="proMX",COUNTIFS(FER_F,INT(B509),FER_NLP,"Sí"),COUNTIFS(FER_F,INT(B509),FER_NLM,"Sí"))=0),1,0),0)</f>
        <v>0</v>
      </c>
      <c r="AI509" s="80">
        <f>IF(AC509=1,IF(AND(INDEX(CFG_WDAYS,WEEKDAY(INT(B509)+1,2))="Sí",IF(D509="proMX",COUNTIFS(FER_F,INT(B509)+1,FER_NLP,"Sí"),COUNTIFS(FER_F,INT(B509)+1,FER_NLM,"Sí"))=0),1,0),0)</f>
        <v>0</v>
      </c>
      <c r="AJ509" s="80">
        <f>IF(AC509=1,1440-Z509,AD509)</f>
        <v>0</v>
      </c>
      <c r="AK509" s="80">
        <f>IF(AND(AB509=1,AH509=1),MAX(0,MIN(IF(AC509=1,1440,AA509),CFG_WEM)-MAX(Z509,CFG_WSM)),0)</f>
        <v>0</v>
      </c>
      <c r="AL509" s="80">
        <f>IF(AND(AC509=1,AI509=1),MAX(0,MIN(AA509,CFG_WEM)-CFG_WSM),0)</f>
        <v>0</v>
      </c>
      <c r="AM509" s="80">
        <f>AK509+AL509</f>
        <v>0</v>
      </c>
      <c r="AN509" s="80">
        <f>IF(CFG_BRK="Proporcional",IF(AD509=0,0,AF509*AM509/AD509),IF(CFG_BRK="Extras primero",MIN(AM509,MAX(0,AF509-(AD509-AM509))),MIN(AF509,AM509)))</f>
        <v>0</v>
      </c>
      <c r="AO509" s="80">
        <f>AF509-AN509</f>
        <v>0</v>
      </c>
      <c r="AP509" s="80">
        <f>AM509-AN509</f>
        <v>0</v>
      </c>
      <c r="AQ509" s="80">
        <f>AD509-AM509-AO509</f>
        <v>0</v>
      </c>
      <c r="AR509" s="80">
        <f>IF(AM509=0,0,AK509-AN509*AK509/AM509)</f>
        <v>0</v>
      </c>
      <c r="AS509" s="80">
        <f>IF(AD509-AM509=0,0,(AJ509-AK509)-AO509*(AJ509-AK509)/(AD509-AM509))</f>
        <v>0</v>
      </c>
      <c r="AT509" s="80" t="str">
        <f>IF(AC509=1,INT(B509)+1,"")</f>
        <v/>
      </c>
      <c r="AU509" s="80">
        <f>IF(AND(D509="proMX",R509="Cancelled"),0,1)</f>
        <v>1</v>
      </c>
      <c r="AV509" s="80">
        <f>IF(AND(AB509=1,AU509=1),IF(COUNTIFS($D$5:D508,D509,$B$5:B508,B509,$Z$5:Z508,Z509,$AA$5:AA508,AA509,$F$5:F508,F509&amp;"",$AU$5:AU508,1)&gt;0,1,0),0)</f>
        <v>0</v>
      </c>
      <c r="AW509" s="80" t="str">
        <f>IF(AB509=1,INT(B509)*1440+Z509,"")</f>
        <v/>
      </c>
      <c r="AX509" s="80" t="str">
        <f>IF(AB509=1,AW509+AD509,"")</f>
        <v/>
      </c>
      <c r="AY509" s="80">
        <f>IF(AND(AB509=1,AV509=0,AU509=1),1,0)</f>
        <v>0</v>
      </c>
      <c r="AZ509" s="80">
        <f>IF(AY509=1,COUNTIFS(R_Emp,D509,R_SAbs,"&lt;"&amp;AX509,R_EAbs,"&gt;"&amp;AW509,R_OKey,1)-1,0)</f>
        <v>0</v>
      </c>
      <c r="BA509" s="80">
        <f>IF(AY509=1,COUNTIFS(R_Emp,"&lt;&gt;"&amp;D509,R_SAbs,"&lt;"&amp;AX509,R_EAbs,"&gt;"&amp;AW509,R_OKey,1),0)</f>
        <v>0</v>
      </c>
      <c r="BB509" s="80">
        <f>IF(AND(AB509=1,D509="proMX"),IF(AND(MOD(Z509,CFG_BLK)=0,MOD(AA509,CFG_BLK)=0,MOD(AG509,CFG_BLK)=0,AG509&gt;0),1,0),1)</f>
        <v>1</v>
      </c>
      <c r="BC509" s="80" t="str">
        <f>IF(Y509=0,"",IF(NOT(ISNUMBER(B509)),"Falta fecha o fecha inválida",IF(D509="","Falta empresa",IF(AND(D509&lt;&gt;"Malcolm",D509&lt;&gt;"proMX"),"Empresa inválida",IF(OR(INT(B509)&lt;CFG_PSTART,INT(B509)&gt;CFG_PEND),"Fecha fuera del período",IF(OR(NOT(ISNUMBER(Z509)),NOT(ISNUMBER(AA509))),"Falta hora inicio/fin o formato inválido",IF(AB509=0,"Hora inicio = hora fin",IF(AE509&lt;0,"Descanso inválido",IF(AE509&gt;=AD509,"Descanso ≥ duración",IF(AV509=1,"Registro duplicado",IF(AZ509&gt;0,"Se superpone con otro registro "&amp;D509,IF(BB509=0,"inicio, fin y duración neta deben ser múltiplos de "&amp;CFG_BLK&amp;" min",""))))))))))))</f>
        <v/>
      </c>
      <c r="BD509" s="80">
        <f>IF(AND(Y509=1,BC509=""),1,0)</f>
        <v>0</v>
      </c>
      <c r="BE509" s="80">
        <f>IF(AND(BD509=1,AU509=1),1,0)</f>
        <v>0</v>
      </c>
      <c r="BF509" s="80" t="str">
        <f>IF(AND(D509="proMX",BD509=1),IF(R509="","Draft",R509),"")</f>
        <v/>
      </c>
      <c r="BG509" s="80">
        <f>IF(BD509=1,ROUND(AG509/60,6),0)</f>
        <v>0</v>
      </c>
      <c r="BH509" s="80">
        <f>IF(BE509=1,ROUND(AG509/60,6),0)</f>
        <v>0</v>
      </c>
      <c r="BI509" s="80">
        <f>IF(BE509=1,ROUND(AP509/60,6),0)</f>
        <v>0</v>
      </c>
      <c r="BJ509" s="80">
        <f>IF(BE509=1,ROUND(AQ509/60,6),0)</f>
        <v>0</v>
      </c>
      <c r="BK509" s="80">
        <f>IF(BE509=1,ROUND((AR509+AS509)/60,6),0)</f>
        <v>0</v>
      </c>
      <c r="BL509" s="80">
        <f>ROUND(BH509-BK509,6)</f>
        <v>0</v>
      </c>
      <c r="BM509" s="80">
        <f>IF(BE509=1,ROUND(AR509/60,6),0)</f>
        <v>0</v>
      </c>
      <c r="BN509" s="80">
        <f>ROUND(BI509-BM509,6)</f>
        <v>0</v>
      </c>
      <c r="BO509" s="80">
        <f>IF(BE509=1,ROUND(AS509/60,6),0)</f>
        <v>0</v>
      </c>
      <c r="BP509" s="80">
        <f>ROUND(BJ509-BO509,6)</f>
        <v>0</v>
      </c>
      <c r="BQ509" s="80">
        <f>IF(BE509=1,AW509,0)</f>
        <v>0</v>
      </c>
      <c r="BR509" s="80">
        <f>IF(BE509=1,AX509,0)</f>
        <v>0</v>
      </c>
      <c r="BS509" s="80">
        <f>IF(AND(BE509=1,D509="Malcolm",BA509&gt;0),MIN(BH509,SUMPRODUCT((R_Emp="proMX")*(R_EN&gt;0)*((R_EN-(R_EN&gt;BR509)*(R_EN-BR509))&gt;(R_SN+(R_SN&lt;BQ509)*(BQ509-R_SN)))*((R_EN-(R_EN&gt;BR509)*(R_EN-BR509))-(R_SN+(R_SN&lt;BQ509)*(BQ509-R_SN))))/60),0)</f>
        <v>0</v>
      </c>
      <c r="BT509" s="80">
        <f>IF(AND(BE509=1,D509="proMX"),ROUND(BI509*CFG_RATE+BJ509*CFG_OTRATE,6),0)</f>
        <v>0</v>
      </c>
      <c r="BU509" s="80">
        <f>IF(AND(BD509=1,D509="proMX"),ROUND(AG509/CFG_BLK,6),0)</f>
        <v>0</v>
      </c>
      <c r="BV509" s="80" t="str">
        <f>IF(BF509="Approved",IF(ISNUMBER(T509),INT(T509),INT(B509)),"")</f>
        <v/>
      </c>
      <c r="BW509" s="80">
        <f>IF(ISNUMBER(B509),IF(DB_MON="Todos",1,IF(AND(INT(B509)&gt;=DB_MS,INT(B509)&lt;=DB_ME),1,0)),0)</f>
        <v>0</v>
      </c>
      <c r="BX509" s="80">
        <f>IF(DB_PROJ="Todos",1,IF(E509&amp;""=DB_PROJ&amp;"",1,0))</f>
        <v>1</v>
      </c>
      <c r="BY509" s="80">
        <f>BW509*BX509</f>
        <v>0</v>
      </c>
      <c r="BZ509" s="80" t="str">
        <f>IF(Y509=1,F509&amp;IF(AND(F509&amp;""&lt;&gt;"",E509&amp;""&lt;&gt;"")," · ","")&amp;E509,"")</f>
        <v/>
      </c>
      <c r="CA509" s="80" t="str">
        <f>IF(AND(BD509=1,E509&amp;""&lt;&gt;""),IF(COUNTIFS($E$5:E508,E509,$BD$5:BD508,1)=0,MAX($CA$5:CA508)+1,""),"")</f>
        <v/>
      </c>
      <c r="CB509" s="80" t="str">
        <f>IF(AND(BE509=1,D509="Malcolm",E509&amp;""&lt;&gt;""),IF(COUNTIFS($D$5:D508,"Malcolm",$E$5:E508,E509,$BE$5:BE508,1)=0,MAX($CB$5:CB508)+1,""),"")</f>
        <v/>
      </c>
      <c r="CC509" s="80" t="str">
        <f>IF(AND(BD509=1,D509="proMX",E509&amp;""&lt;&gt;""),IF(COUNTIFS($D$5:D508,"proMX",$E$5:E508,E509,$BD$5:BD508,1)=0,MAX($CC$5:CC508)+1,""),"")</f>
        <v/>
      </c>
      <c r="CD509" s="80" t="str">
        <f>IF(AND(BE509=1,D509="Malcolm",F509&amp;""&lt;&gt;""),IF(COUNTIFS($D$5:D508,"Malcolm",$F$5:F508,F509,$BE$5:BE508,1)=0,MAX($CD$5:CD508)+1,""),"")</f>
        <v/>
      </c>
      <c r="CE509" s="80" t="str">
        <f>IF(AND(BD509=1,D509="proMX",F509&amp;""&lt;&gt;""),IF(COUNTIFS($D$5:D508,"proMX",$F$5:F508,F509,$BD$5:BD508,1)=0,MAX($CE$5:CE508)+1,""),"")</f>
        <v/>
      </c>
      <c r="CF509" s="80" t="str">
        <f>IF(AND(D509="proMX",BD509=1),IF(OR(BF509="Draft",BF509="Submitted",BF509="Returned",BF509="Recall Requested"),MAX($CF$5:CF508)+1,""),"")</f>
        <v/>
      </c>
      <c r="CG509" s="80">
        <f>IF(BD509=0,0,IF(D509="Malcolm",1,MATCH(BF509,{"Draft","Submitted","Approved","Returned","Recall Requested","Cancelled"},0)+1))</f>
        <v>0</v>
      </c>
      <c r="CH509" s="80">
        <f>IF(AND(BF509="Submitted",ISNUMBER(V509)),IF(V509&gt;CFG_MAXD,1,0),0)</f>
        <v>0</v>
      </c>
    </row>
    <row r="510">
      <c r="A510" s="71" t="str">
        <f>IF(Y510=1,ROW()-5,"")</f>
        <v/>
      </c>
      <c r="B510" s="72" t="n"/>
      <c r="C510" s="71" t="str">
        <f>IF(ISNUMBER(B510),CHOOSE(WEEKDAY(B510,2),"Lun","Mar","Mié","Jue","Vie","Sáb","Dom"),"")</f>
        <v/>
      </c>
      <c r="D510" s="73" t="n"/>
      <c r="E510" s="74" t="n"/>
      <c r="F510" s="74" t="n"/>
      <c r="G510" s="74" t="n"/>
      <c r="H510" s="75" t="n"/>
      <c r="I510" s="75" t="n"/>
      <c r="J510" s="76" t="n"/>
      <c r="K510" s="77" t="str">
        <f>IF(AB510=1,ROUND(AG510/60,4),"")</f>
        <v/>
      </c>
      <c r="L510" s="77" t="str">
        <f>IF(BD510=1,ROUND(AP510/60,4),"")</f>
        <v/>
      </c>
      <c r="M510" s="77" t="str">
        <f>IF(BD510=1,ROUND(AQ510/60,4),"")</f>
        <v/>
      </c>
      <c r="N510" s="71" t="str">
        <f>IF(AND(D510="proMX",AB510=1),ROUND(AG510/CFG_BLK,2),"")</f>
        <v/>
      </c>
      <c r="O510" s="77" t="str">
        <f>IF(D510="proMX",IF(BD510=1,ROUND(AG510/60,4),0),"")</f>
        <v/>
      </c>
      <c r="P510" s="78" t="str">
        <f>IF(Y510=0,"",IF(BD510=1,"OK",IF(D510="proMX","Revisar bloques: ","Revisar: ")&amp;BC510))</f>
        <v/>
      </c>
      <c r="Q510" s="78" t="str">
        <f>IF(NOT(ISNUMBER(B510)),"",IF(COUNTIFS(FER_F,INT(B510))&gt;0,"Feriado"&amp;IF(AH510=1," (laborable)"," (no laborable)"),IF(AH510=1,"Laborable",IF(WEEKDAY(B510,2)&gt;5,"Fin de semana","No laborable"))))</f>
        <v/>
      </c>
      <c r="R510" s="73" t="n"/>
      <c r="S510" s="72" t="n"/>
      <c r="T510" s="72" t="n"/>
      <c r="U510" s="74" t="n"/>
      <c r="V510" s="79" t="str">
        <f>IF(AND(D510="proMX",OR(R510="Submitted",R510="Recall Requested"),ISNUMBER(S510)),CFG_TODAY-INT(S510),"")</f>
        <v/>
      </c>
      <c r="W510" s="78" t="str">
        <f>IF(BD510=0,"",IF(BA510&gt;0,"⚠ Se superpone con un registro de la otra empresa",IF(D510="Malcolm",IF(COUNTA(R510,S510,T510)&gt;0,"Estado/fechas proMX se ignoran en Malcolm",""),IF(BF510="Cancelled","Cancelado: excluido de totales",IF(R510="","Sin estado: se trata como Draft",IF(BF510="Submitted",IF(ISNUMBER(V510),IF(V510&gt;CFG_MAXD,"⚠ "&amp;V510&amp;" días en Submitted (máx. "&amp;CFG_MAXD&amp;")",""),"Falta fecha de envío"),IF(BF510="Returned","⚠ Devuelto: corregir y reenviar",IF(BF510="Recall Requested","Retirada solicitada: pendiente",IF(AND(BF510="Approved",NOT(ISNUMBER(T510))),"Falta fecha de aprobación",IF(AND(ISNUMBER(S510),ISNUMBER(T510),T510&lt;S510),"Aprobación anterior al envío","")))))))))</f>
        <v/>
      </c>
      <c r="Y510" s="80">
        <f>IF(COUNTA(B510,D510,E510,F510,G510,H510,I510,J510,R510,S510,T510)&gt;0,1,0)</f>
        <v>0</v>
      </c>
      <c r="Z510" s="80" t="str">
        <f>IF(AND(ISNUMBER(H510),H510&gt;=0,H510&lt;1),ROUND(H510*1440,0),"")</f>
        <v/>
      </c>
      <c r="AA510" s="80" t="str">
        <f>IF(AND(ISNUMBER(I510),I510&gt;=0,I510&lt;1),ROUND(I510*1440,0),"")</f>
        <v/>
      </c>
      <c r="AB510" s="80">
        <f>IF(AND(ISNUMBER(B510),D510&lt;&gt;"",ISNUMBER(Z510),ISNUMBER(AA510)),IF(Z510=AA510,0,1),0)</f>
        <v>0</v>
      </c>
      <c r="AC510" s="80">
        <f>IF(AB510=1,IF(AA510&lt;Z510,1,0),0)</f>
        <v>0</v>
      </c>
      <c r="AD510" s="80">
        <f>IF(AB510=1,IF(AC510=1,1440-Z510+AA510,AA510-Z510),0)</f>
        <v>0</v>
      </c>
      <c r="AE510" s="80">
        <f>IF(J510="",0,IF(ISNUMBER(J510),J510,-1))</f>
        <v>0</v>
      </c>
      <c r="AF510" s="80">
        <f>MIN(MAX(0,AE510),AD510)</f>
        <v>0</v>
      </c>
      <c r="AG510" s="80">
        <f>MAX(0,AD510-MAX(0,AE510))</f>
        <v>0</v>
      </c>
      <c r="AH510" s="80">
        <f>IF(ISNUMBER(B510),IF(AND(INDEX(CFG_WDAYS,WEEKDAY(INT(B510),2))="Sí",IF(D510="proMX",COUNTIFS(FER_F,INT(B510),FER_NLP,"Sí"),COUNTIFS(FER_F,INT(B510),FER_NLM,"Sí"))=0),1,0),0)</f>
        <v>0</v>
      </c>
      <c r="AI510" s="80">
        <f>IF(AC510=1,IF(AND(INDEX(CFG_WDAYS,WEEKDAY(INT(B510)+1,2))="Sí",IF(D510="proMX",COUNTIFS(FER_F,INT(B510)+1,FER_NLP,"Sí"),COUNTIFS(FER_F,INT(B510)+1,FER_NLM,"Sí"))=0),1,0),0)</f>
        <v>0</v>
      </c>
      <c r="AJ510" s="80">
        <f>IF(AC510=1,1440-Z510,AD510)</f>
        <v>0</v>
      </c>
      <c r="AK510" s="80">
        <f>IF(AND(AB510=1,AH510=1),MAX(0,MIN(IF(AC510=1,1440,AA510),CFG_WEM)-MAX(Z510,CFG_WSM)),0)</f>
        <v>0</v>
      </c>
      <c r="AL510" s="80">
        <f>IF(AND(AC510=1,AI510=1),MAX(0,MIN(AA510,CFG_WEM)-CFG_WSM),0)</f>
        <v>0</v>
      </c>
      <c r="AM510" s="80">
        <f>AK510+AL510</f>
        <v>0</v>
      </c>
      <c r="AN510" s="80">
        <f>IF(CFG_BRK="Proporcional",IF(AD510=0,0,AF510*AM510/AD510),IF(CFG_BRK="Extras primero",MIN(AM510,MAX(0,AF510-(AD510-AM510))),MIN(AF510,AM510)))</f>
        <v>0</v>
      </c>
      <c r="AO510" s="80">
        <f>AF510-AN510</f>
        <v>0</v>
      </c>
      <c r="AP510" s="80">
        <f>AM510-AN510</f>
        <v>0</v>
      </c>
      <c r="AQ510" s="80">
        <f>AD510-AM510-AO510</f>
        <v>0</v>
      </c>
      <c r="AR510" s="80">
        <f>IF(AM510=0,0,AK510-AN510*AK510/AM510)</f>
        <v>0</v>
      </c>
      <c r="AS510" s="80">
        <f>IF(AD510-AM510=0,0,(AJ510-AK510)-AO510*(AJ510-AK510)/(AD510-AM510))</f>
        <v>0</v>
      </c>
      <c r="AT510" s="80" t="str">
        <f>IF(AC510=1,INT(B510)+1,"")</f>
        <v/>
      </c>
      <c r="AU510" s="80">
        <f>IF(AND(D510="proMX",R510="Cancelled"),0,1)</f>
        <v>1</v>
      </c>
      <c r="AV510" s="80">
        <f>IF(AND(AB510=1,AU510=1),IF(COUNTIFS($D$5:D509,D510,$B$5:B509,B510,$Z$5:Z509,Z510,$AA$5:AA509,AA510,$F$5:F509,F510&amp;"",$AU$5:AU509,1)&gt;0,1,0),0)</f>
        <v>0</v>
      </c>
      <c r="AW510" s="80" t="str">
        <f>IF(AB510=1,INT(B510)*1440+Z510,"")</f>
        <v/>
      </c>
      <c r="AX510" s="80" t="str">
        <f>IF(AB510=1,AW510+AD510,"")</f>
        <v/>
      </c>
      <c r="AY510" s="80">
        <f>IF(AND(AB510=1,AV510=0,AU510=1),1,0)</f>
        <v>0</v>
      </c>
      <c r="AZ510" s="80">
        <f>IF(AY510=1,COUNTIFS(R_Emp,D510,R_SAbs,"&lt;"&amp;AX510,R_EAbs,"&gt;"&amp;AW510,R_OKey,1)-1,0)</f>
        <v>0</v>
      </c>
      <c r="BA510" s="80">
        <f>IF(AY510=1,COUNTIFS(R_Emp,"&lt;&gt;"&amp;D510,R_SAbs,"&lt;"&amp;AX510,R_EAbs,"&gt;"&amp;AW510,R_OKey,1),0)</f>
        <v>0</v>
      </c>
      <c r="BB510" s="80">
        <f>IF(AND(AB510=1,D510="proMX"),IF(AND(MOD(Z510,CFG_BLK)=0,MOD(AA510,CFG_BLK)=0,MOD(AG510,CFG_BLK)=0,AG510&gt;0),1,0),1)</f>
        <v>1</v>
      </c>
      <c r="BC510" s="80" t="str">
        <f>IF(Y510=0,"",IF(NOT(ISNUMBER(B510)),"Falta fecha o fecha inválida",IF(D510="","Falta empresa",IF(AND(D510&lt;&gt;"Malcolm",D510&lt;&gt;"proMX"),"Empresa inválida",IF(OR(INT(B510)&lt;CFG_PSTART,INT(B510)&gt;CFG_PEND),"Fecha fuera del período",IF(OR(NOT(ISNUMBER(Z510)),NOT(ISNUMBER(AA510))),"Falta hora inicio/fin o formato inválido",IF(AB510=0,"Hora inicio = hora fin",IF(AE510&lt;0,"Descanso inválido",IF(AE510&gt;=AD510,"Descanso ≥ duración",IF(AV510=1,"Registro duplicado",IF(AZ510&gt;0,"Se superpone con otro registro "&amp;D510,IF(BB510=0,"inicio, fin y duración neta deben ser múltiplos de "&amp;CFG_BLK&amp;" min",""))))))))))))</f>
        <v/>
      </c>
      <c r="BD510" s="80">
        <f>IF(AND(Y510=1,BC510=""),1,0)</f>
        <v>0</v>
      </c>
      <c r="BE510" s="80">
        <f>IF(AND(BD510=1,AU510=1),1,0)</f>
        <v>0</v>
      </c>
      <c r="BF510" s="80" t="str">
        <f>IF(AND(D510="proMX",BD510=1),IF(R510="","Draft",R510),"")</f>
        <v/>
      </c>
      <c r="BG510" s="80">
        <f>IF(BD510=1,ROUND(AG510/60,6),0)</f>
        <v>0</v>
      </c>
      <c r="BH510" s="80">
        <f>IF(BE510=1,ROUND(AG510/60,6),0)</f>
        <v>0</v>
      </c>
      <c r="BI510" s="80">
        <f>IF(BE510=1,ROUND(AP510/60,6),0)</f>
        <v>0</v>
      </c>
      <c r="BJ510" s="80">
        <f>IF(BE510=1,ROUND(AQ510/60,6),0)</f>
        <v>0</v>
      </c>
      <c r="BK510" s="80">
        <f>IF(BE510=1,ROUND((AR510+AS510)/60,6),0)</f>
        <v>0</v>
      </c>
      <c r="BL510" s="80">
        <f>ROUND(BH510-BK510,6)</f>
        <v>0</v>
      </c>
      <c r="BM510" s="80">
        <f>IF(BE510=1,ROUND(AR510/60,6),0)</f>
        <v>0</v>
      </c>
      <c r="BN510" s="80">
        <f>ROUND(BI510-BM510,6)</f>
        <v>0</v>
      </c>
      <c r="BO510" s="80">
        <f>IF(BE510=1,ROUND(AS510/60,6),0)</f>
        <v>0</v>
      </c>
      <c r="BP510" s="80">
        <f>ROUND(BJ510-BO510,6)</f>
        <v>0</v>
      </c>
      <c r="BQ510" s="80">
        <f>IF(BE510=1,AW510,0)</f>
        <v>0</v>
      </c>
      <c r="BR510" s="80">
        <f>IF(BE510=1,AX510,0)</f>
        <v>0</v>
      </c>
      <c r="BS510" s="80">
        <f>IF(AND(BE510=1,D510="Malcolm",BA510&gt;0),MIN(BH510,SUMPRODUCT((R_Emp="proMX")*(R_EN&gt;0)*((R_EN-(R_EN&gt;BR510)*(R_EN-BR510))&gt;(R_SN+(R_SN&lt;BQ510)*(BQ510-R_SN)))*((R_EN-(R_EN&gt;BR510)*(R_EN-BR510))-(R_SN+(R_SN&lt;BQ510)*(BQ510-R_SN))))/60),0)</f>
        <v>0</v>
      </c>
      <c r="BT510" s="80">
        <f>IF(AND(BE510=1,D510="proMX"),ROUND(BI510*CFG_RATE+BJ510*CFG_OTRATE,6),0)</f>
        <v>0</v>
      </c>
      <c r="BU510" s="80">
        <f>IF(AND(BD510=1,D510="proMX"),ROUND(AG510/CFG_BLK,6),0)</f>
        <v>0</v>
      </c>
      <c r="BV510" s="80" t="str">
        <f>IF(BF510="Approved",IF(ISNUMBER(T510),INT(T510),INT(B510)),"")</f>
        <v/>
      </c>
      <c r="BW510" s="80">
        <f>IF(ISNUMBER(B510),IF(DB_MON="Todos",1,IF(AND(INT(B510)&gt;=DB_MS,INT(B510)&lt;=DB_ME),1,0)),0)</f>
        <v>0</v>
      </c>
      <c r="BX510" s="80">
        <f>IF(DB_PROJ="Todos",1,IF(E510&amp;""=DB_PROJ&amp;"",1,0))</f>
        <v>1</v>
      </c>
      <c r="BY510" s="80">
        <f>BW510*BX510</f>
        <v>0</v>
      </c>
      <c r="BZ510" s="80" t="str">
        <f>IF(Y510=1,F510&amp;IF(AND(F510&amp;""&lt;&gt;"",E510&amp;""&lt;&gt;"")," · ","")&amp;E510,"")</f>
        <v/>
      </c>
      <c r="CA510" s="80" t="str">
        <f>IF(AND(BD510=1,E510&amp;""&lt;&gt;""),IF(COUNTIFS($E$5:E509,E510,$BD$5:BD509,1)=0,MAX($CA$5:CA509)+1,""),"")</f>
        <v/>
      </c>
      <c r="CB510" s="80" t="str">
        <f>IF(AND(BE510=1,D510="Malcolm",E510&amp;""&lt;&gt;""),IF(COUNTIFS($D$5:D509,"Malcolm",$E$5:E509,E510,$BE$5:BE509,1)=0,MAX($CB$5:CB509)+1,""),"")</f>
        <v/>
      </c>
      <c r="CC510" s="80" t="str">
        <f>IF(AND(BD510=1,D510="proMX",E510&amp;""&lt;&gt;""),IF(COUNTIFS($D$5:D509,"proMX",$E$5:E509,E510,$BD$5:BD509,1)=0,MAX($CC$5:CC509)+1,""),"")</f>
        <v/>
      </c>
      <c r="CD510" s="80" t="str">
        <f>IF(AND(BE510=1,D510="Malcolm",F510&amp;""&lt;&gt;""),IF(COUNTIFS($D$5:D509,"Malcolm",$F$5:F509,F510,$BE$5:BE509,1)=0,MAX($CD$5:CD509)+1,""),"")</f>
        <v/>
      </c>
      <c r="CE510" s="80" t="str">
        <f>IF(AND(BD510=1,D510="proMX",F510&amp;""&lt;&gt;""),IF(COUNTIFS($D$5:D509,"proMX",$F$5:F509,F510,$BD$5:BD509,1)=0,MAX($CE$5:CE509)+1,""),"")</f>
        <v/>
      </c>
      <c r="CF510" s="80" t="str">
        <f>IF(AND(D510="proMX",BD510=1),IF(OR(BF510="Draft",BF510="Submitted",BF510="Returned",BF510="Recall Requested"),MAX($CF$5:CF509)+1,""),"")</f>
        <v/>
      </c>
      <c r="CG510" s="80">
        <f>IF(BD510=0,0,IF(D510="Malcolm",1,MATCH(BF510,{"Draft","Submitted","Approved","Returned","Recall Requested","Cancelled"},0)+1))</f>
        <v>0</v>
      </c>
      <c r="CH510" s="80">
        <f>IF(AND(BF510="Submitted",ISNUMBER(V510)),IF(V510&gt;CFG_MAXD,1,0),0)</f>
        <v>0</v>
      </c>
    </row>
    <row r="511">
      <c r="A511" s="71" t="str">
        <f>IF(Y511=1,ROW()-5,"")</f>
        <v/>
      </c>
      <c r="B511" s="72" t="n"/>
      <c r="C511" s="71" t="str">
        <f>IF(ISNUMBER(B511),CHOOSE(WEEKDAY(B511,2),"Lun","Mar","Mié","Jue","Vie","Sáb","Dom"),"")</f>
        <v/>
      </c>
      <c r="D511" s="73" t="n"/>
      <c r="E511" s="74" t="n"/>
      <c r="F511" s="74" t="n"/>
      <c r="G511" s="74" t="n"/>
      <c r="H511" s="75" t="n"/>
      <c r="I511" s="75" t="n"/>
      <c r="J511" s="76" t="n"/>
      <c r="K511" s="77" t="str">
        <f>IF(AB511=1,ROUND(AG511/60,4),"")</f>
        <v/>
      </c>
      <c r="L511" s="77" t="str">
        <f>IF(BD511=1,ROUND(AP511/60,4),"")</f>
        <v/>
      </c>
      <c r="M511" s="77" t="str">
        <f>IF(BD511=1,ROUND(AQ511/60,4),"")</f>
        <v/>
      </c>
      <c r="N511" s="71" t="str">
        <f>IF(AND(D511="proMX",AB511=1),ROUND(AG511/CFG_BLK,2),"")</f>
        <v/>
      </c>
      <c r="O511" s="77" t="str">
        <f>IF(D511="proMX",IF(BD511=1,ROUND(AG511/60,4),0),"")</f>
        <v/>
      </c>
      <c r="P511" s="78" t="str">
        <f>IF(Y511=0,"",IF(BD511=1,"OK",IF(D511="proMX","Revisar bloques: ","Revisar: ")&amp;BC511))</f>
        <v/>
      </c>
      <c r="Q511" s="78" t="str">
        <f>IF(NOT(ISNUMBER(B511)),"",IF(COUNTIFS(FER_F,INT(B511))&gt;0,"Feriado"&amp;IF(AH511=1," (laborable)"," (no laborable)"),IF(AH511=1,"Laborable",IF(WEEKDAY(B511,2)&gt;5,"Fin de semana","No laborable"))))</f>
        <v/>
      </c>
      <c r="R511" s="73" t="n"/>
      <c r="S511" s="72" t="n"/>
      <c r="T511" s="72" t="n"/>
      <c r="U511" s="74" t="n"/>
      <c r="V511" s="79" t="str">
        <f>IF(AND(D511="proMX",OR(R511="Submitted",R511="Recall Requested"),ISNUMBER(S511)),CFG_TODAY-INT(S511),"")</f>
        <v/>
      </c>
      <c r="W511" s="78" t="str">
        <f>IF(BD511=0,"",IF(BA511&gt;0,"⚠ Se superpone con un registro de la otra empresa",IF(D511="Malcolm",IF(COUNTA(R511,S511,T511)&gt;0,"Estado/fechas proMX se ignoran en Malcolm",""),IF(BF511="Cancelled","Cancelado: excluido de totales",IF(R511="","Sin estado: se trata como Draft",IF(BF511="Submitted",IF(ISNUMBER(V511),IF(V511&gt;CFG_MAXD,"⚠ "&amp;V511&amp;" días en Submitted (máx. "&amp;CFG_MAXD&amp;")",""),"Falta fecha de envío"),IF(BF511="Returned","⚠ Devuelto: corregir y reenviar",IF(BF511="Recall Requested","Retirada solicitada: pendiente",IF(AND(BF511="Approved",NOT(ISNUMBER(T511))),"Falta fecha de aprobación",IF(AND(ISNUMBER(S511),ISNUMBER(T511),T511&lt;S511),"Aprobación anterior al envío","")))))))))</f>
        <v/>
      </c>
      <c r="Y511" s="80">
        <f>IF(COUNTA(B511,D511,E511,F511,G511,H511,I511,J511,R511,S511,T511)&gt;0,1,0)</f>
        <v>0</v>
      </c>
      <c r="Z511" s="80" t="str">
        <f>IF(AND(ISNUMBER(H511),H511&gt;=0,H511&lt;1),ROUND(H511*1440,0),"")</f>
        <v/>
      </c>
      <c r="AA511" s="80" t="str">
        <f>IF(AND(ISNUMBER(I511),I511&gt;=0,I511&lt;1),ROUND(I511*1440,0),"")</f>
        <v/>
      </c>
      <c r="AB511" s="80">
        <f>IF(AND(ISNUMBER(B511),D511&lt;&gt;"",ISNUMBER(Z511),ISNUMBER(AA511)),IF(Z511=AA511,0,1),0)</f>
        <v>0</v>
      </c>
      <c r="AC511" s="80">
        <f>IF(AB511=1,IF(AA511&lt;Z511,1,0),0)</f>
        <v>0</v>
      </c>
      <c r="AD511" s="80">
        <f>IF(AB511=1,IF(AC511=1,1440-Z511+AA511,AA511-Z511),0)</f>
        <v>0</v>
      </c>
      <c r="AE511" s="80">
        <f>IF(J511="",0,IF(ISNUMBER(J511),J511,-1))</f>
        <v>0</v>
      </c>
      <c r="AF511" s="80">
        <f>MIN(MAX(0,AE511),AD511)</f>
        <v>0</v>
      </c>
      <c r="AG511" s="80">
        <f>MAX(0,AD511-MAX(0,AE511))</f>
        <v>0</v>
      </c>
      <c r="AH511" s="80">
        <f>IF(ISNUMBER(B511),IF(AND(INDEX(CFG_WDAYS,WEEKDAY(INT(B511),2))="Sí",IF(D511="proMX",COUNTIFS(FER_F,INT(B511),FER_NLP,"Sí"),COUNTIFS(FER_F,INT(B511),FER_NLM,"Sí"))=0),1,0),0)</f>
        <v>0</v>
      </c>
      <c r="AI511" s="80">
        <f>IF(AC511=1,IF(AND(INDEX(CFG_WDAYS,WEEKDAY(INT(B511)+1,2))="Sí",IF(D511="proMX",COUNTIFS(FER_F,INT(B511)+1,FER_NLP,"Sí"),COUNTIFS(FER_F,INT(B511)+1,FER_NLM,"Sí"))=0),1,0),0)</f>
        <v>0</v>
      </c>
      <c r="AJ511" s="80">
        <f>IF(AC511=1,1440-Z511,AD511)</f>
        <v>0</v>
      </c>
      <c r="AK511" s="80">
        <f>IF(AND(AB511=1,AH511=1),MAX(0,MIN(IF(AC511=1,1440,AA511),CFG_WEM)-MAX(Z511,CFG_WSM)),0)</f>
        <v>0</v>
      </c>
      <c r="AL511" s="80">
        <f>IF(AND(AC511=1,AI511=1),MAX(0,MIN(AA511,CFG_WEM)-CFG_WSM),0)</f>
        <v>0</v>
      </c>
      <c r="AM511" s="80">
        <f>AK511+AL511</f>
        <v>0</v>
      </c>
      <c r="AN511" s="80">
        <f>IF(CFG_BRK="Proporcional",IF(AD511=0,0,AF511*AM511/AD511),IF(CFG_BRK="Extras primero",MIN(AM511,MAX(0,AF511-(AD511-AM511))),MIN(AF511,AM511)))</f>
        <v>0</v>
      </c>
      <c r="AO511" s="80">
        <f>AF511-AN511</f>
        <v>0</v>
      </c>
      <c r="AP511" s="80">
        <f>AM511-AN511</f>
        <v>0</v>
      </c>
      <c r="AQ511" s="80">
        <f>AD511-AM511-AO511</f>
        <v>0</v>
      </c>
      <c r="AR511" s="80">
        <f>IF(AM511=0,0,AK511-AN511*AK511/AM511)</f>
        <v>0</v>
      </c>
      <c r="AS511" s="80">
        <f>IF(AD511-AM511=0,0,(AJ511-AK511)-AO511*(AJ511-AK511)/(AD511-AM511))</f>
        <v>0</v>
      </c>
      <c r="AT511" s="80" t="str">
        <f>IF(AC511=1,INT(B511)+1,"")</f>
        <v/>
      </c>
      <c r="AU511" s="80">
        <f>IF(AND(D511="proMX",R511="Cancelled"),0,1)</f>
        <v>1</v>
      </c>
      <c r="AV511" s="80">
        <f>IF(AND(AB511=1,AU511=1),IF(COUNTIFS($D$5:D510,D511,$B$5:B510,B511,$Z$5:Z510,Z511,$AA$5:AA510,AA511,$F$5:F510,F511&amp;"",$AU$5:AU510,1)&gt;0,1,0),0)</f>
        <v>0</v>
      </c>
      <c r="AW511" s="80" t="str">
        <f>IF(AB511=1,INT(B511)*1440+Z511,"")</f>
        <v/>
      </c>
      <c r="AX511" s="80" t="str">
        <f>IF(AB511=1,AW511+AD511,"")</f>
        <v/>
      </c>
      <c r="AY511" s="80">
        <f>IF(AND(AB511=1,AV511=0,AU511=1),1,0)</f>
        <v>0</v>
      </c>
      <c r="AZ511" s="80">
        <f>IF(AY511=1,COUNTIFS(R_Emp,D511,R_SAbs,"&lt;"&amp;AX511,R_EAbs,"&gt;"&amp;AW511,R_OKey,1)-1,0)</f>
        <v>0</v>
      </c>
      <c r="BA511" s="80">
        <f>IF(AY511=1,COUNTIFS(R_Emp,"&lt;&gt;"&amp;D511,R_SAbs,"&lt;"&amp;AX511,R_EAbs,"&gt;"&amp;AW511,R_OKey,1),0)</f>
        <v>0</v>
      </c>
      <c r="BB511" s="80">
        <f>IF(AND(AB511=1,D511="proMX"),IF(AND(MOD(Z511,CFG_BLK)=0,MOD(AA511,CFG_BLK)=0,MOD(AG511,CFG_BLK)=0,AG511&gt;0),1,0),1)</f>
        <v>1</v>
      </c>
      <c r="BC511" s="80" t="str">
        <f>IF(Y511=0,"",IF(NOT(ISNUMBER(B511)),"Falta fecha o fecha inválida",IF(D511="","Falta empresa",IF(AND(D511&lt;&gt;"Malcolm",D511&lt;&gt;"proMX"),"Empresa inválida",IF(OR(INT(B511)&lt;CFG_PSTART,INT(B511)&gt;CFG_PEND),"Fecha fuera del período",IF(OR(NOT(ISNUMBER(Z511)),NOT(ISNUMBER(AA511))),"Falta hora inicio/fin o formato inválido",IF(AB511=0,"Hora inicio = hora fin",IF(AE511&lt;0,"Descanso inválido",IF(AE511&gt;=AD511,"Descanso ≥ duración",IF(AV511=1,"Registro duplicado",IF(AZ511&gt;0,"Se superpone con otro registro "&amp;D511,IF(BB511=0,"inicio, fin y duración neta deben ser múltiplos de "&amp;CFG_BLK&amp;" min",""))))))))))))</f>
        <v/>
      </c>
      <c r="BD511" s="80">
        <f>IF(AND(Y511=1,BC511=""),1,0)</f>
        <v>0</v>
      </c>
      <c r="BE511" s="80">
        <f>IF(AND(BD511=1,AU511=1),1,0)</f>
        <v>0</v>
      </c>
      <c r="BF511" s="80" t="str">
        <f>IF(AND(D511="proMX",BD511=1),IF(R511="","Draft",R511),"")</f>
        <v/>
      </c>
      <c r="BG511" s="80">
        <f>IF(BD511=1,ROUND(AG511/60,6),0)</f>
        <v>0</v>
      </c>
      <c r="BH511" s="80">
        <f>IF(BE511=1,ROUND(AG511/60,6),0)</f>
        <v>0</v>
      </c>
      <c r="BI511" s="80">
        <f>IF(BE511=1,ROUND(AP511/60,6),0)</f>
        <v>0</v>
      </c>
      <c r="BJ511" s="80">
        <f>IF(BE511=1,ROUND(AQ511/60,6),0)</f>
        <v>0</v>
      </c>
      <c r="BK511" s="80">
        <f>IF(BE511=1,ROUND((AR511+AS511)/60,6),0)</f>
        <v>0</v>
      </c>
      <c r="BL511" s="80">
        <f>ROUND(BH511-BK511,6)</f>
        <v>0</v>
      </c>
      <c r="BM511" s="80">
        <f>IF(BE511=1,ROUND(AR511/60,6),0)</f>
        <v>0</v>
      </c>
      <c r="BN511" s="80">
        <f>ROUND(BI511-BM511,6)</f>
        <v>0</v>
      </c>
      <c r="BO511" s="80">
        <f>IF(BE511=1,ROUND(AS511/60,6),0)</f>
        <v>0</v>
      </c>
      <c r="BP511" s="80">
        <f>ROUND(BJ511-BO511,6)</f>
        <v>0</v>
      </c>
      <c r="BQ511" s="80">
        <f>IF(BE511=1,AW511,0)</f>
        <v>0</v>
      </c>
      <c r="BR511" s="80">
        <f>IF(BE511=1,AX511,0)</f>
        <v>0</v>
      </c>
      <c r="BS511" s="80">
        <f>IF(AND(BE511=1,D511="Malcolm",BA511&gt;0),MIN(BH511,SUMPRODUCT((R_Emp="proMX")*(R_EN&gt;0)*((R_EN-(R_EN&gt;BR511)*(R_EN-BR511))&gt;(R_SN+(R_SN&lt;BQ511)*(BQ511-R_SN)))*((R_EN-(R_EN&gt;BR511)*(R_EN-BR511))-(R_SN+(R_SN&lt;BQ511)*(BQ511-R_SN))))/60),0)</f>
        <v>0</v>
      </c>
      <c r="BT511" s="80">
        <f>IF(AND(BE511=1,D511="proMX"),ROUND(BI511*CFG_RATE+BJ511*CFG_OTRATE,6),0)</f>
        <v>0</v>
      </c>
      <c r="BU511" s="80">
        <f>IF(AND(BD511=1,D511="proMX"),ROUND(AG511/CFG_BLK,6),0)</f>
        <v>0</v>
      </c>
      <c r="BV511" s="80" t="str">
        <f>IF(BF511="Approved",IF(ISNUMBER(T511),INT(T511),INT(B511)),"")</f>
        <v/>
      </c>
      <c r="BW511" s="80">
        <f>IF(ISNUMBER(B511),IF(DB_MON="Todos",1,IF(AND(INT(B511)&gt;=DB_MS,INT(B511)&lt;=DB_ME),1,0)),0)</f>
        <v>0</v>
      </c>
      <c r="BX511" s="80">
        <f>IF(DB_PROJ="Todos",1,IF(E511&amp;""=DB_PROJ&amp;"",1,0))</f>
        <v>1</v>
      </c>
      <c r="BY511" s="80">
        <f>BW511*BX511</f>
        <v>0</v>
      </c>
      <c r="BZ511" s="80" t="str">
        <f>IF(Y511=1,F511&amp;IF(AND(F511&amp;""&lt;&gt;"",E511&amp;""&lt;&gt;"")," · ","")&amp;E511,"")</f>
        <v/>
      </c>
      <c r="CA511" s="80" t="str">
        <f>IF(AND(BD511=1,E511&amp;""&lt;&gt;""),IF(COUNTIFS($E$5:E510,E511,$BD$5:BD510,1)=0,MAX($CA$5:CA510)+1,""),"")</f>
        <v/>
      </c>
      <c r="CB511" s="80" t="str">
        <f>IF(AND(BE511=1,D511="Malcolm",E511&amp;""&lt;&gt;""),IF(COUNTIFS($D$5:D510,"Malcolm",$E$5:E510,E511,$BE$5:BE510,1)=0,MAX($CB$5:CB510)+1,""),"")</f>
        <v/>
      </c>
      <c r="CC511" s="80" t="str">
        <f>IF(AND(BD511=1,D511="proMX",E511&amp;""&lt;&gt;""),IF(COUNTIFS($D$5:D510,"proMX",$E$5:E510,E511,$BD$5:BD510,1)=0,MAX($CC$5:CC510)+1,""),"")</f>
        <v/>
      </c>
      <c r="CD511" s="80" t="str">
        <f>IF(AND(BE511=1,D511="Malcolm",F511&amp;""&lt;&gt;""),IF(COUNTIFS($D$5:D510,"Malcolm",$F$5:F510,F511,$BE$5:BE510,1)=0,MAX($CD$5:CD510)+1,""),"")</f>
        <v/>
      </c>
      <c r="CE511" s="80" t="str">
        <f>IF(AND(BD511=1,D511="proMX",F511&amp;""&lt;&gt;""),IF(COUNTIFS($D$5:D510,"proMX",$F$5:F510,F511,$BD$5:BD510,1)=0,MAX($CE$5:CE510)+1,""),"")</f>
        <v/>
      </c>
      <c r="CF511" s="80" t="str">
        <f>IF(AND(D511="proMX",BD511=1),IF(OR(BF511="Draft",BF511="Submitted",BF511="Returned",BF511="Recall Requested"),MAX($CF$5:CF510)+1,""),"")</f>
        <v/>
      </c>
      <c r="CG511" s="80">
        <f>IF(BD511=0,0,IF(D511="Malcolm",1,MATCH(BF511,{"Draft","Submitted","Approved","Returned","Recall Requested","Cancelled"},0)+1))</f>
        <v>0</v>
      </c>
      <c r="CH511" s="80">
        <f>IF(AND(BF511="Submitted",ISNUMBER(V511)),IF(V511&gt;CFG_MAXD,1,0),0)</f>
        <v>0</v>
      </c>
    </row>
    <row r="512">
      <c r="A512" s="71" t="str">
        <f>IF(Y512=1,ROW()-5,"")</f>
        <v/>
      </c>
      <c r="B512" s="72" t="n"/>
      <c r="C512" s="71" t="str">
        <f>IF(ISNUMBER(B512),CHOOSE(WEEKDAY(B512,2),"Lun","Mar","Mié","Jue","Vie","Sáb","Dom"),"")</f>
        <v/>
      </c>
      <c r="D512" s="73" t="n"/>
      <c r="E512" s="74" t="n"/>
      <c r="F512" s="74" t="n"/>
      <c r="G512" s="74" t="n"/>
      <c r="H512" s="75" t="n"/>
      <c r="I512" s="75" t="n"/>
      <c r="J512" s="76" t="n"/>
      <c r="K512" s="77" t="str">
        <f>IF(AB512=1,ROUND(AG512/60,4),"")</f>
        <v/>
      </c>
      <c r="L512" s="77" t="str">
        <f>IF(BD512=1,ROUND(AP512/60,4),"")</f>
        <v/>
      </c>
      <c r="M512" s="77" t="str">
        <f>IF(BD512=1,ROUND(AQ512/60,4),"")</f>
        <v/>
      </c>
      <c r="N512" s="71" t="str">
        <f>IF(AND(D512="proMX",AB512=1),ROUND(AG512/CFG_BLK,2),"")</f>
        <v/>
      </c>
      <c r="O512" s="77" t="str">
        <f>IF(D512="proMX",IF(BD512=1,ROUND(AG512/60,4),0),"")</f>
        <v/>
      </c>
      <c r="P512" s="78" t="str">
        <f>IF(Y512=0,"",IF(BD512=1,"OK",IF(D512="proMX","Revisar bloques: ","Revisar: ")&amp;BC512))</f>
        <v/>
      </c>
      <c r="Q512" s="78" t="str">
        <f>IF(NOT(ISNUMBER(B512)),"",IF(COUNTIFS(FER_F,INT(B512))&gt;0,"Feriado"&amp;IF(AH512=1," (laborable)"," (no laborable)"),IF(AH512=1,"Laborable",IF(WEEKDAY(B512,2)&gt;5,"Fin de semana","No laborable"))))</f>
        <v/>
      </c>
      <c r="R512" s="73" t="n"/>
      <c r="S512" s="72" t="n"/>
      <c r="T512" s="72" t="n"/>
      <c r="U512" s="74" t="n"/>
      <c r="V512" s="79" t="str">
        <f>IF(AND(D512="proMX",OR(R512="Submitted",R512="Recall Requested"),ISNUMBER(S512)),CFG_TODAY-INT(S512),"")</f>
        <v/>
      </c>
      <c r="W512" s="78" t="str">
        <f>IF(BD512=0,"",IF(BA512&gt;0,"⚠ Se superpone con un registro de la otra empresa",IF(D512="Malcolm",IF(COUNTA(R512,S512,T512)&gt;0,"Estado/fechas proMX se ignoran en Malcolm",""),IF(BF512="Cancelled","Cancelado: excluido de totales",IF(R512="","Sin estado: se trata como Draft",IF(BF512="Submitted",IF(ISNUMBER(V512),IF(V512&gt;CFG_MAXD,"⚠ "&amp;V512&amp;" días en Submitted (máx. "&amp;CFG_MAXD&amp;")",""),"Falta fecha de envío"),IF(BF512="Returned","⚠ Devuelto: corregir y reenviar",IF(BF512="Recall Requested","Retirada solicitada: pendiente",IF(AND(BF512="Approved",NOT(ISNUMBER(T512))),"Falta fecha de aprobación",IF(AND(ISNUMBER(S512),ISNUMBER(T512),T512&lt;S512),"Aprobación anterior al envío","")))))))))</f>
        <v/>
      </c>
      <c r="Y512" s="80">
        <f>IF(COUNTA(B512,D512,E512,F512,G512,H512,I512,J512,R512,S512,T512)&gt;0,1,0)</f>
        <v>0</v>
      </c>
      <c r="Z512" s="80" t="str">
        <f>IF(AND(ISNUMBER(H512),H512&gt;=0,H512&lt;1),ROUND(H512*1440,0),"")</f>
        <v/>
      </c>
      <c r="AA512" s="80" t="str">
        <f>IF(AND(ISNUMBER(I512),I512&gt;=0,I512&lt;1),ROUND(I512*1440,0),"")</f>
        <v/>
      </c>
      <c r="AB512" s="80">
        <f>IF(AND(ISNUMBER(B512),D512&lt;&gt;"",ISNUMBER(Z512),ISNUMBER(AA512)),IF(Z512=AA512,0,1),0)</f>
        <v>0</v>
      </c>
      <c r="AC512" s="80">
        <f>IF(AB512=1,IF(AA512&lt;Z512,1,0),0)</f>
        <v>0</v>
      </c>
      <c r="AD512" s="80">
        <f>IF(AB512=1,IF(AC512=1,1440-Z512+AA512,AA512-Z512),0)</f>
        <v>0</v>
      </c>
      <c r="AE512" s="80">
        <f>IF(J512="",0,IF(ISNUMBER(J512),J512,-1))</f>
        <v>0</v>
      </c>
      <c r="AF512" s="80">
        <f>MIN(MAX(0,AE512),AD512)</f>
        <v>0</v>
      </c>
      <c r="AG512" s="80">
        <f>MAX(0,AD512-MAX(0,AE512))</f>
        <v>0</v>
      </c>
      <c r="AH512" s="80">
        <f>IF(ISNUMBER(B512),IF(AND(INDEX(CFG_WDAYS,WEEKDAY(INT(B512),2))="Sí",IF(D512="proMX",COUNTIFS(FER_F,INT(B512),FER_NLP,"Sí"),COUNTIFS(FER_F,INT(B512),FER_NLM,"Sí"))=0),1,0),0)</f>
        <v>0</v>
      </c>
      <c r="AI512" s="80">
        <f>IF(AC512=1,IF(AND(INDEX(CFG_WDAYS,WEEKDAY(INT(B512)+1,2))="Sí",IF(D512="proMX",COUNTIFS(FER_F,INT(B512)+1,FER_NLP,"Sí"),COUNTIFS(FER_F,INT(B512)+1,FER_NLM,"Sí"))=0),1,0),0)</f>
        <v>0</v>
      </c>
      <c r="AJ512" s="80">
        <f>IF(AC512=1,1440-Z512,AD512)</f>
        <v>0</v>
      </c>
      <c r="AK512" s="80">
        <f>IF(AND(AB512=1,AH512=1),MAX(0,MIN(IF(AC512=1,1440,AA512),CFG_WEM)-MAX(Z512,CFG_WSM)),0)</f>
        <v>0</v>
      </c>
      <c r="AL512" s="80">
        <f>IF(AND(AC512=1,AI512=1),MAX(0,MIN(AA512,CFG_WEM)-CFG_WSM),0)</f>
        <v>0</v>
      </c>
      <c r="AM512" s="80">
        <f>AK512+AL512</f>
        <v>0</v>
      </c>
      <c r="AN512" s="80">
        <f>IF(CFG_BRK="Proporcional",IF(AD512=0,0,AF512*AM512/AD512),IF(CFG_BRK="Extras primero",MIN(AM512,MAX(0,AF512-(AD512-AM512))),MIN(AF512,AM512)))</f>
        <v>0</v>
      </c>
      <c r="AO512" s="80">
        <f>AF512-AN512</f>
        <v>0</v>
      </c>
      <c r="AP512" s="80">
        <f>AM512-AN512</f>
        <v>0</v>
      </c>
      <c r="AQ512" s="80">
        <f>AD512-AM512-AO512</f>
        <v>0</v>
      </c>
      <c r="AR512" s="80">
        <f>IF(AM512=0,0,AK512-AN512*AK512/AM512)</f>
        <v>0</v>
      </c>
      <c r="AS512" s="80">
        <f>IF(AD512-AM512=0,0,(AJ512-AK512)-AO512*(AJ512-AK512)/(AD512-AM512))</f>
        <v>0</v>
      </c>
      <c r="AT512" s="80" t="str">
        <f>IF(AC512=1,INT(B512)+1,"")</f>
        <v/>
      </c>
      <c r="AU512" s="80">
        <f>IF(AND(D512="proMX",R512="Cancelled"),0,1)</f>
        <v>1</v>
      </c>
      <c r="AV512" s="80">
        <f>IF(AND(AB512=1,AU512=1),IF(COUNTIFS($D$5:D511,D512,$B$5:B511,B512,$Z$5:Z511,Z512,$AA$5:AA511,AA512,$F$5:F511,F512&amp;"",$AU$5:AU511,1)&gt;0,1,0),0)</f>
        <v>0</v>
      </c>
      <c r="AW512" s="80" t="str">
        <f>IF(AB512=1,INT(B512)*1440+Z512,"")</f>
        <v/>
      </c>
      <c r="AX512" s="80" t="str">
        <f>IF(AB512=1,AW512+AD512,"")</f>
        <v/>
      </c>
      <c r="AY512" s="80">
        <f>IF(AND(AB512=1,AV512=0,AU512=1),1,0)</f>
        <v>0</v>
      </c>
      <c r="AZ512" s="80">
        <f>IF(AY512=1,COUNTIFS(R_Emp,D512,R_SAbs,"&lt;"&amp;AX512,R_EAbs,"&gt;"&amp;AW512,R_OKey,1)-1,0)</f>
        <v>0</v>
      </c>
      <c r="BA512" s="80">
        <f>IF(AY512=1,COUNTIFS(R_Emp,"&lt;&gt;"&amp;D512,R_SAbs,"&lt;"&amp;AX512,R_EAbs,"&gt;"&amp;AW512,R_OKey,1),0)</f>
        <v>0</v>
      </c>
      <c r="BB512" s="80">
        <f>IF(AND(AB512=1,D512="proMX"),IF(AND(MOD(Z512,CFG_BLK)=0,MOD(AA512,CFG_BLK)=0,MOD(AG512,CFG_BLK)=0,AG512&gt;0),1,0),1)</f>
        <v>1</v>
      </c>
      <c r="BC512" s="80" t="str">
        <f>IF(Y512=0,"",IF(NOT(ISNUMBER(B512)),"Falta fecha o fecha inválida",IF(D512="","Falta empresa",IF(AND(D512&lt;&gt;"Malcolm",D512&lt;&gt;"proMX"),"Empresa inválida",IF(OR(INT(B512)&lt;CFG_PSTART,INT(B512)&gt;CFG_PEND),"Fecha fuera del período",IF(OR(NOT(ISNUMBER(Z512)),NOT(ISNUMBER(AA512))),"Falta hora inicio/fin o formato inválido",IF(AB512=0,"Hora inicio = hora fin",IF(AE512&lt;0,"Descanso inválido",IF(AE512&gt;=AD512,"Descanso ≥ duración",IF(AV512=1,"Registro duplicado",IF(AZ512&gt;0,"Se superpone con otro registro "&amp;D512,IF(BB512=0,"inicio, fin y duración neta deben ser múltiplos de "&amp;CFG_BLK&amp;" min",""))))))))))))</f>
        <v/>
      </c>
      <c r="BD512" s="80">
        <f>IF(AND(Y512=1,BC512=""),1,0)</f>
        <v>0</v>
      </c>
      <c r="BE512" s="80">
        <f>IF(AND(BD512=1,AU512=1),1,0)</f>
        <v>0</v>
      </c>
      <c r="BF512" s="80" t="str">
        <f>IF(AND(D512="proMX",BD512=1),IF(R512="","Draft",R512),"")</f>
        <v/>
      </c>
      <c r="BG512" s="80">
        <f>IF(BD512=1,ROUND(AG512/60,6),0)</f>
        <v>0</v>
      </c>
      <c r="BH512" s="80">
        <f>IF(BE512=1,ROUND(AG512/60,6),0)</f>
        <v>0</v>
      </c>
      <c r="BI512" s="80">
        <f>IF(BE512=1,ROUND(AP512/60,6),0)</f>
        <v>0</v>
      </c>
      <c r="BJ512" s="80">
        <f>IF(BE512=1,ROUND(AQ512/60,6),0)</f>
        <v>0</v>
      </c>
      <c r="BK512" s="80">
        <f>IF(BE512=1,ROUND((AR512+AS512)/60,6),0)</f>
        <v>0</v>
      </c>
      <c r="BL512" s="80">
        <f>ROUND(BH512-BK512,6)</f>
        <v>0</v>
      </c>
      <c r="BM512" s="80">
        <f>IF(BE512=1,ROUND(AR512/60,6),0)</f>
        <v>0</v>
      </c>
      <c r="BN512" s="80">
        <f>ROUND(BI512-BM512,6)</f>
        <v>0</v>
      </c>
      <c r="BO512" s="80">
        <f>IF(BE512=1,ROUND(AS512/60,6),0)</f>
        <v>0</v>
      </c>
      <c r="BP512" s="80">
        <f>ROUND(BJ512-BO512,6)</f>
        <v>0</v>
      </c>
      <c r="BQ512" s="80">
        <f>IF(BE512=1,AW512,0)</f>
        <v>0</v>
      </c>
      <c r="BR512" s="80">
        <f>IF(BE512=1,AX512,0)</f>
        <v>0</v>
      </c>
      <c r="BS512" s="80">
        <f>IF(AND(BE512=1,D512="Malcolm",BA512&gt;0),MIN(BH512,SUMPRODUCT((R_Emp="proMX")*(R_EN&gt;0)*((R_EN-(R_EN&gt;BR512)*(R_EN-BR512))&gt;(R_SN+(R_SN&lt;BQ512)*(BQ512-R_SN)))*((R_EN-(R_EN&gt;BR512)*(R_EN-BR512))-(R_SN+(R_SN&lt;BQ512)*(BQ512-R_SN))))/60),0)</f>
        <v>0</v>
      </c>
      <c r="BT512" s="80">
        <f>IF(AND(BE512=1,D512="proMX"),ROUND(BI512*CFG_RATE+BJ512*CFG_OTRATE,6),0)</f>
        <v>0</v>
      </c>
      <c r="BU512" s="80">
        <f>IF(AND(BD512=1,D512="proMX"),ROUND(AG512/CFG_BLK,6),0)</f>
        <v>0</v>
      </c>
      <c r="BV512" s="80" t="str">
        <f>IF(BF512="Approved",IF(ISNUMBER(T512),INT(T512),INT(B512)),"")</f>
        <v/>
      </c>
      <c r="BW512" s="80">
        <f>IF(ISNUMBER(B512),IF(DB_MON="Todos",1,IF(AND(INT(B512)&gt;=DB_MS,INT(B512)&lt;=DB_ME),1,0)),0)</f>
        <v>0</v>
      </c>
      <c r="BX512" s="80">
        <f>IF(DB_PROJ="Todos",1,IF(E512&amp;""=DB_PROJ&amp;"",1,0))</f>
        <v>1</v>
      </c>
      <c r="BY512" s="80">
        <f>BW512*BX512</f>
        <v>0</v>
      </c>
      <c r="BZ512" s="80" t="str">
        <f>IF(Y512=1,F512&amp;IF(AND(F512&amp;""&lt;&gt;"",E512&amp;""&lt;&gt;"")," · ","")&amp;E512,"")</f>
        <v/>
      </c>
      <c r="CA512" s="80" t="str">
        <f>IF(AND(BD512=1,E512&amp;""&lt;&gt;""),IF(COUNTIFS($E$5:E511,E512,$BD$5:BD511,1)=0,MAX($CA$5:CA511)+1,""),"")</f>
        <v/>
      </c>
      <c r="CB512" s="80" t="str">
        <f>IF(AND(BE512=1,D512="Malcolm",E512&amp;""&lt;&gt;""),IF(COUNTIFS($D$5:D511,"Malcolm",$E$5:E511,E512,$BE$5:BE511,1)=0,MAX($CB$5:CB511)+1,""),"")</f>
        <v/>
      </c>
      <c r="CC512" s="80" t="str">
        <f>IF(AND(BD512=1,D512="proMX",E512&amp;""&lt;&gt;""),IF(COUNTIFS($D$5:D511,"proMX",$E$5:E511,E512,$BD$5:BD511,1)=0,MAX($CC$5:CC511)+1,""),"")</f>
        <v/>
      </c>
      <c r="CD512" s="80" t="str">
        <f>IF(AND(BE512=1,D512="Malcolm",F512&amp;""&lt;&gt;""),IF(COUNTIFS($D$5:D511,"Malcolm",$F$5:F511,F512,$BE$5:BE511,1)=0,MAX($CD$5:CD511)+1,""),"")</f>
        <v/>
      </c>
      <c r="CE512" s="80" t="str">
        <f>IF(AND(BD512=1,D512="proMX",F512&amp;""&lt;&gt;""),IF(COUNTIFS($D$5:D511,"proMX",$F$5:F511,F512,$BD$5:BD511,1)=0,MAX($CE$5:CE511)+1,""),"")</f>
        <v/>
      </c>
      <c r="CF512" s="80" t="str">
        <f>IF(AND(D512="proMX",BD512=1),IF(OR(BF512="Draft",BF512="Submitted",BF512="Returned",BF512="Recall Requested"),MAX($CF$5:CF511)+1,""),"")</f>
        <v/>
      </c>
      <c r="CG512" s="80">
        <f>IF(BD512=0,0,IF(D512="Malcolm",1,MATCH(BF512,{"Draft","Submitted","Approved","Returned","Recall Requested","Cancelled"},0)+1))</f>
        <v>0</v>
      </c>
      <c r="CH512" s="80">
        <f>IF(AND(BF512="Submitted",ISNUMBER(V512)),IF(V512&gt;CFG_MAXD,1,0),0)</f>
        <v>0</v>
      </c>
    </row>
    <row r="513">
      <c r="A513" s="71" t="str">
        <f>IF(Y513=1,ROW()-5,"")</f>
        <v/>
      </c>
      <c r="B513" s="72" t="n"/>
      <c r="C513" s="71" t="str">
        <f>IF(ISNUMBER(B513),CHOOSE(WEEKDAY(B513,2),"Lun","Mar","Mié","Jue","Vie","Sáb","Dom"),"")</f>
        <v/>
      </c>
      <c r="D513" s="73" t="n"/>
      <c r="E513" s="74" t="n"/>
      <c r="F513" s="74" t="n"/>
      <c r="G513" s="74" t="n"/>
      <c r="H513" s="75" t="n"/>
      <c r="I513" s="75" t="n"/>
      <c r="J513" s="76" t="n"/>
      <c r="K513" s="77" t="str">
        <f>IF(AB513=1,ROUND(AG513/60,4),"")</f>
        <v/>
      </c>
      <c r="L513" s="77" t="str">
        <f>IF(BD513=1,ROUND(AP513/60,4),"")</f>
        <v/>
      </c>
      <c r="M513" s="77" t="str">
        <f>IF(BD513=1,ROUND(AQ513/60,4),"")</f>
        <v/>
      </c>
      <c r="N513" s="71" t="str">
        <f>IF(AND(D513="proMX",AB513=1),ROUND(AG513/CFG_BLK,2),"")</f>
        <v/>
      </c>
      <c r="O513" s="77" t="str">
        <f>IF(D513="proMX",IF(BD513=1,ROUND(AG513/60,4),0),"")</f>
        <v/>
      </c>
      <c r="P513" s="78" t="str">
        <f>IF(Y513=0,"",IF(BD513=1,"OK",IF(D513="proMX","Revisar bloques: ","Revisar: ")&amp;BC513))</f>
        <v/>
      </c>
      <c r="Q513" s="78" t="str">
        <f>IF(NOT(ISNUMBER(B513)),"",IF(COUNTIFS(FER_F,INT(B513))&gt;0,"Feriado"&amp;IF(AH513=1," (laborable)"," (no laborable)"),IF(AH513=1,"Laborable",IF(WEEKDAY(B513,2)&gt;5,"Fin de semana","No laborable"))))</f>
        <v/>
      </c>
      <c r="R513" s="73" t="n"/>
      <c r="S513" s="72" t="n"/>
      <c r="T513" s="72" t="n"/>
      <c r="U513" s="74" t="n"/>
      <c r="V513" s="79" t="str">
        <f>IF(AND(D513="proMX",OR(R513="Submitted",R513="Recall Requested"),ISNUMBER(S513)),CFG_TODAY-INT(S513),"")</f>
        <v/>
      </c>
      <c r="W513" s="78" t="str">
        <f>IF(BD513=0,"",IF(BA513&gt;0,"⚠ Se superpone con un registro de la otra empresa",IF(D513="Malcolm",IF(COUNTA(R513,S513,T513)&gt;0,"Estado/fechas proMX se ignoran en Malcolm",""),IF(BF513="Cancelled","Cancelado: excluido de totales",IF(R513="","Sin estado: se trata como Draft",IF(BF513="Submitted",IF(ISNUMBER(V513),IF(V513&gt;CFG_MAXD,"⚠ "&amp;V513&amp;" días en Submitted (máx. "&amp;CFG_MAXD&amp;")",""),"Falta fecha de envío"),IF(BF513="Returned","⚠ Devuelto: corregir y reenviar",IF(BF513="Recall Requested","Retirada solicitada: pendiente",IF(AND(BF513="Approved",NOT(ISNUMBER(T513))),"Falta fecha de aprobación",IF(AND(ISNUMBER(S513),ISNUMBER(T513),T513&lt;S513),"Aprobación anterior al envío","")))))))))</f>
        <v/>
      </c>
      <c r="Y513" s="80">
        <f>IF(COUNTA(B513,D513,E513,F513,G513,H513,I513,J513,R513,S513,T513)&gt;0,1,0)</f>
        <v>0</v>
      </c>
      <c r="Z513" s="80" t="str">
        <f>IF(AND(ISNUMBER(H513),H513&gt;=0,H513&lt;1),ROUND(H513*1440,0),"")</f>
        <v/>
      </c>
      <c r="AA513" s="80" t="str">
        <f>IF(AND(ISNUMBER(I513),I513&gt;=0,I513&lt;1),ROUND(I513*1440,0),"")</f>
        <v/>
      </c>
      <c r="AB513" s="80">
        <f>IF(AND(ISNUMBER(B513),D513&lt;&gt;"",ISNUMBER(Z513),ISNUMBER(AA513)),IF(Z513=AA513,0,1),0)</f>
        <v>0</v>
      </c>
      <c r="AC513" s="80">
        <f>IF(AB513=1,IF(AA513&lt;Z513,1,0),0)</f>
        <v>0</v>
      </c>
      <c r="AD513" s="80">
        <f>IF(AB513=1,IF(AC513=1,1440-Z513+AA513,AA513-Z513),0)</f>
        <v>0</v>
      </c>
      <c r="AE513" s="80">
        <f>IF(J513="",0,IF(ISNUMBER(J513),J513,-1))</f>
        <v>0</v>
      </c>
      <c r="AF513" s="80">
        <f>MIN(MAX(0,AE513),AD513)</f>
        <v>0</v>
      </c>
      <c r="AG513" s="80">
        <f>MAX(0,AD513-MAX(0,AE513))</f>
        <v>0</v>
      </c>
      <c r="AH513" s="80">
        <f>IF(ISNUMBER(B513),IF(AND(INDEX(CFG_WDAYS,WEEKDAY(INT(B513),2))="Sí",IF(D513="proMX",COUNTIFS(FER_F,INT(B513),FER_NLP,"Sí"),COUNTIFS(FER_F,INT(B513),FER_NLM,"Sí"))=0),1,0),0)</f>
        <v>0</v>
      </c>
      <c r="AI513" s="80">
        <f>IF(AC513=1,IF(AND(INDEX(CFG_WDAYS,WEEKDAY(INT(B513)+1,2))="Sí",IF(D513="proMX",COUNTIFS(FER_F,INT(B513)+1,FER_NLP,"Sí"),COUNTIFS(FER_F,INT(B513)+1,FER_NLM,"Sí"))=0),1,0),0)</f>
        <v>0</v>
      </c>
      <c r="AJ513" s="80">
        <f>IF(AC513=1,1440-Z513,AD513)</f>
        <v>0</v>
      </c>
      <c r="AK513" s="80">
        <f>IF(AND(AB513=1,AH513=1),MAX(0,MIN(IF(AC513=1,1440,AA513),CFG_WEM)-MAX(Z513,CFG_WSM)),0)</f>
        <v>0</v>
      </c>
      <c r="AL513" s="80">
        <f>IF(AND(AC513=1,AI513=1),MAX(0,MIN(AA513,CFG_WEM)-CFG_WSM),0)</f>
        <v>0</v>
      </c>
      <c r="AM513" s="80">
        <f>AK513+AL513</f>
        <v>0</v>
      </c>
      <c r="AN513" s="80">
        <f>IF(CFG_BRK="Proporcional",IF(AD513=0,0,AF513*AM513/AD513),IF(CFG_BRK="Extras primero",MIN(AM513,MAX(0,AF513-(AD513-AM513))),MIN(AF513,AM513)))</f>
        <v>0</v>
      </c>
      <c r="AO513" s="80">
        <f>AF513-AN513</f>
        <v>0</v>
      </c>
      <c r="AP513" s="80">
        <f>AM513-AN513</f>
        <v>0</v>
      </c>
      <c r="AQ513" s="80">
        <f>AD513-AM513-AO513</f>
        <v>0</v>
      </c>
      <c r="AR513" s="80">
        <f>IF(AM513=0,0,AK513-AN513*AK513/AM513)</f>
        <v>0</v>
      </c>
      <c r="AS513" s="80">
        <f>IF(AD513-AM513=0,0,(AJ513-AK513)-AO513*(AJ513-AK513)/(AD513-AM513))</f>
        <v>0</v>
      </c>
      <c r="AT513" s="80" t="str">
        <f>IF(AC513=1,INT(B513)+1,"")</f>
        <v/>
      </c>
      <c r="AU513" s="80">
        <f>IF(AND(D513="proMX",R513="Cancelled"),0,1)</f>
        <v>1</v>
      </c>
      <c r="AV513" s="80">
        <f>IF(AND(AB513=1,AU513=1),IF(COUNTIFS($D$5:D512,D513,$B$5:B512,B513,$Z$5:Z512,Z513,$AA$5:AA512,AA513,$F$5:F512,F513&amp;"",$AU$5:AU512,1)&gt;0,1,0),0)</f>
        <v>0</v>
      </c>
      <c r="AW513" s="80" t="str">
        <f>IF(AB513=1,INT(B513)*1440+Z513,"")</f>
        <v/>
      </c>
      <c r="AX513" s="80" t="str">
        <f>IF(AB513=1,AW513+AD513,"")</f>
        <v/>
      </c>
      <c r="AY513" s="80">
        <f>IF(AND(AB513=1,AV513=0,AU513=1),1,0)</f>
        <v>0</v>
      </c>
      <c r="AZ513" s="80">
        <f>IF(AY513=1,COUNTIFS(R_Emp,D513,R_SAbs,"&lt;"&amp;AX513,R_EAbs,"&gt;"&amp;AW513,R_OKey,1)-1,0)</f>
        <v>0</v>
      </c>
      <c r="BA513" s="80">
        <f>IF(AY513=1,COUNTIFS(R_Emp,"&lt;&gt;"&amp;D513,R_SAbs,"&lt;"&amp;AX513,R_EAbs,"&gt;"&amp;AW513,R_OKey,1),0)</f>
        <v>0</v>
      </c>
      <c r="BB513" s="80">
        <f>IF(AND(AB513=1,D513="proMX"),IF(AND(MOD(Z513,CFG_BLK)=0,MOD(AA513,CFG_BLK)=0,MOD(AG513,CFG_BLK)=0,AG513&gt;0),1,0),1)</f>
        <v>1</v>
      </c>
      <c r="BC513" s="80" t="str">
        <f>IF(Y513=0,"",IF(NOT(ISNUMBER(B513)),"Falta fecha o fecha inválida",IF(D513="","Falta empresa",IF(AND(D513&lt;&gt;"Malcolm",D513&lt;&gt;"proMX"),"Empresa inválida",IF(OR(INT(B513)&lt;CFG_PSTART,INT(B513)&gt;CFG_PEND),"Fecha fuera del período",IF(OR(NOT(ISNUMBER(Z513)),NOT(ISNUMBER(AA513))),"Falta hora inicio/fin o formato inválido",IF(AB513=0,"Hora inicio = hora fin",IF(AE513&lt;0,"Descanso inválido",IF(AE513&gt;=AD513,"Descanso ≥ duración",IF(AV513=1,"Registro duplicado",IF(AZ513&gt;0,"Se superpone con otro registro "&amp;D513,IF(BB513=0,"inicio, fin y duración neta deben ser múltiplos de "&amp;CFG_BLK&amp;" min",""))))))))))))</f>
        <v/>
      </c>
      <c r="BD513" s="80">
        <f>IF(AND(Y513=1,BC513=""),1,0)</f>
        <v>0</v>
      </c>
      <c r="BE513" s="80">
        <f>IF(AND(BD513=1,AU513=1),1,0)</f>
        <v>0</v>
      </c>
      <c r="BF513" s="80" t="str">
        <f>IF(AND(D513="proMX",BD513=1),IF(R513="","Draft",R513),"")</f>
        <v/>
      </c>
      <c r="BG513" s="80">
        <f>IF(BD513=1,ROUND(AG513/60,6),0)</f>
        <v>0</v>
      </c>
      <c r="BH513" s="80">
        <f>IF(BE513=1,ROUND(AG513/60,6),0)</f>
        <v>0</v>
      </c>
      <c r="BI513" s="80">
        <f>IF(BE513=1,ROUND(AP513/60,6),0)</f>
        <v>0</v>
      </c>
      <c r="BJ513" s="80">
        <f>IF(BE513=1,ROUND(AQ513/60,6),0)</f>
        <v>0</v>
      </c>
      <c r="BK513" s="80">
        <f>IF(BE513=1,ROUND((AR513+AS513)/60,6),0)</f>
        <v>0</v>
      </c>
      <c r="BL513" s="80">
        <f>ROUND(BH513-BK513,6)</f>
        <v>0</v>
      </c>
      <c r="BM513" s="80">
        <f>IF(BE513=1,ROUND(AR513/60,6),0)</f>
        <v>0</v>
      </c>
      <c r="BN513" s="80">
        <f>ROUND(BI513-BM513,6)</f>
        <v>0</v>
      </c>
      <c r="BO513" s="80">
        <f>IF(BE513=1,ROUND(AS513/60,6),0)</f>
        <v>0</v>
      </c>
      <c r="BP513" s="80">
        <f>ROUND(BJ513-BO513,6)</f>
        <v>0</v>
      </c>
      <c r="BQ513" s="80">
        <f>IF(BE513=1,AW513,0)</f>
        <v>0</v>
      </c>
      <c r="BR513" s="80">
        <f>IF(BE513=1,AX513,0)</f>
        <v>0</v>
      </c>
      <c r="BS513" s="80">
        <f>IF(AND(BE513=1,D513="Malcolm",BA513&gt;0),MIN(BH513,SUMPRODUCT((R_Emp="proMX")*(R_EN&gt;0)*((R_EN-(R_EN&gt;BR513)*(R_EN-BR513))&gt;(R_SN+(R_SN&lt;BQ513)*(BQ513-R_SN)))*((R_EN-(R_EN&gt;BR513)*(R_EN-BR513))-(R_SN+(R_SN&lt;BQ513)*(BQ513-R_SN))))/60),0)</f>
        <v>0</v>
      </c>
      <c r="BT513" s="80">
        <f>IF(AND(BE513=1,D513="proMX"),ROUND(BI513*CFG_RATE+BJ513*CFG_OTRATE,6),0)</f>
        <v>0</v>
      </c>
      <c r="BU513" s="80">
        <f>IF(AND(BD513=1,D513="proMX"),ROUND(AG513/CFG_BLK,6),0)</f>
        <v>0</v>
      </c>
      <c r="BV513" s="80" t="str">
        <f>IF(BF513="Approved",IF(ISNUMBER(T513),INT(T513),INT(B513)),"")</f>
        <v/>
      </c>
      <c r="BW513" s="80">
        <f>IF(ISNUMBER(B513),IF(DB_MON="Todos",1,IF(AND(INT(B513)&gt;=DB_MS,INT(B513)&lt;=DB_ME),1,0)),0)</f>
        <v>0</v>
      </c>
      <c r="BX513" s="80">
        <f>IF(DB_PROJ="Todos",1,IF(E513&amp;""=DB_PROJ&amp;"",1,0))</f>
        <v>1</v>
      </c>
      <c r="BY513" s="80">
        <f>BW513*BX513</f>
        <v>0</v>
      </c>
      <c r="BZ513" s="80" t="str">
        <f>IF(Y513=1,F513&amp;IF(AND(F513&amp;""&lt;&gt;"",E513&amp;""&lt;&gt;"")," · ","")&amp;E513,"")</f>
        <v/>
      </c>
      <c r="CA513" s="80" t="str">
        <f>IF(AND(BD513=1,E513&amp;""&lt;&gt;""),IF(COUNTIFS($E$5:E512,E513,$BD$5:BD512,1)=0,MAX($CA$5:CA512)+1,""),"")</f>
        <v/>
      </c>
      <c r="CB513" s="80" t="str">
        <f>IF(AND(BE513=1,D513="Malcolm",E513&amp;""&lt;&gt;""),IF(COUNTIFS($D$5:D512,"Malcolm",$E$5:E512,E513,$BE$5:BE512,1)=0,MAX($CB$5:CB512)+1,""),"")</f>
        <v/>
      </c>
      <c r="CC513" s="80" t="str">
        <f>IF(AND(BD513=1,D513="proMX",E513&amp;""&lt;&gt;""),IF(COUNTIFS($D$5:D512,"proMX",$E$5:E512,E513,$BD$5:BD512,1)=0,MAX($CC$5:CC512)+1,""),"")</f>
        <v/>
      </c>
      <c r="CD513" s="80" t="str">
        <f>IF(AND(BE513=1,D513="Malcolm",F513&amp;""&lt;&gt;""),IF(COUNTIFS($D$5:D512,"Malcolm",$F$5:F512,F513,$BE$5:BE512,1)=0,MAX($CD$5:CD512)+1,""),"")</f>
        <v/>
      </c>
      <c r="CE513" s="80" t="str">
        <f>IF(AND(BD513=1,D513="proMX",F513&amp;""&lt;&gt;""),IF(COUNTIFS($D$5:D512,"proMX",$F$5:F512,F513,$BD$5:BD512,1)=0,MAX($CE$5:CE512)+1,""),"")</f>
        <v/>
      </c>
      <c r="CF513" s="80" t="str">
        <f>IF(AND(D513="proMX",BD513=1),IF(OR(BF513="Draft",BF513="Submitted",BF513="Returned",BF513="Recall Requested"),MAX($CF$5:CF512)+1,""),"")</f>
        <v/>
      </c>
      <c r="CG513" s="80">
        <f>IF(BD513=0,0,IF(D513="Malcolm",1,MATCH(BF513,{"Draft","Submitted","Approved","Returned","Recall Requested","Cancelled"},0)+1))</f>
        <v>0</v>
      </c>
      <c r="CH513" s="80">
        <f>IF(AND(BF513="Submitted",ISNUMBER(V513)),IF(V513&gt;CFG_MAXD,1,0),0)</f>
        <v>0</v>
      </c>
    </row>
    <row r="514">
      <c r="A514" s="71" t="str">
        <f>IF(Y514=1,ROW()-5,"")</f>
        <v/>
      </c>
      <c r="B514" s="72" t="n"/>
      <c r="C514" s="71" t="str">
        <f>IF(ISNUMBER(B514),CHOOSE(WEEKDAY(B514,2),"Lun","Mar","Mié","Jue","Vie","Sáb","Dom"),"")</f>
        <v/>
      </c>
      <c r="D514" s="73" t="n"/>
      <c r="E514" s="74" t="n"/>
      <c r="F514" s="74" t="n"/>
      <c r="G514" s="74" t="n"/>
      <c r="H514" s="75" t="n"/>
      <c r="I514" s="75" t="n"/>
      <c r="J514" s="76" t="n"/>
      <c r="K514" s="77" t="str">
        <f>IF(AB514=1,ROUND(AG514/60,4),"")</f>
        <v/>
      </c>
      <c r="L514" s="77" t="str">
        <f>IF(BD514=1,ROUND(AP514/60,4),"")</f>
        <v/>
      </c>
      <c r="M514" s="77" t="str">
        <f>IF(BD514=1,ROUND(AQ514/60,4),"")</f>
        <v/>
      </c>
      <c r="N514" s="71" t="str">
        <f>IF(AND(D514="proMX",AB514=1),ROUND(AG514/CFG_BLK,2),"")</f>
        <v/>
      </c>
      <c r="O514" s="77" t="str">
        <f>IF(D514="proMX",IF(BD514=1,ROUND(AG514/60,4),0),"")</f>
        <v/>
      </c>
      <c r="P514" s="78" t="str">
        <f>IF(Y514=0,"",IF(BD514=1,"OK",IF(D514="proMX","Revisar bloques: ","Revisar: ")&amp;BC514))</f>
        <v/>
      </c>
      <c r="Q514" s="78" t="str">
        <f>IF(NOT(ISNUMBER(B514)),"",IF(COUNTIFS(FER_F,INT(B514))&gt;0,"Feriado"&amp;IF(AH514=1," (laborable)"," (no laborable)"),IF(AH514=1,"Laborable",IF(WEEKDAY(B514,2)&gt;5,"Fin de semana","No laborable"))))</f>
        <v/>
      </c>
      <c r="R514" s="73" t="n"/>
      <c r="S514" s="72" t="n"/>
      <c r="T514" s="72" t="n"/>
      <c r="U514" s="74" t="n"/>
      <c r="V514" s="79" t="str">
        <f>IF(AND(D514="proMX",OR(R514="Submitted",R514="Recall Requested"),ISNUMBER(S514)),CFG_TODAY-INT(S514),"")</f>
        <v/>
      </c>
      <c r="W514" s="78" t="str">
        <f>IF(BD514=0,"",IF(BA514&gt;0,"⚠ Se superpone con un registro de la otra empresa",IF(D514="Malcolm",IF(COUNTA(R514,S514,T514)&gt;0,"Estado/fechas proMX se ignoran en Malcolm",""),IF(BF514="Cancelled","Cancelado: excluido de totales",IF(R514="","Sin estado: se trata como Draft",IF(BF514="Submitted",IF(ISNUMBER(V514),IF(V514&gt;CFG_MAXD,"⚠ "&amp;V514&amp;" días en Submitted (máx. "&amp;CFG_MAXD&amp;")",""),"Falta fecha de envío"),IF(BF514="Returned","⚠ Devuelto: corregir y reenviar",IF(BF514="Recall Requested","Retirada solicitada: pendiente",IF(AND(BF514="Approved",NOT(ISNUMBER(T514))),"Falta fecha de aprobación",IF(AND(ISNUMBER(S514),ISNUMBER(T514),T514&lt;S514),"Aprobación anterior al envío","")))))))))</f>
        <v/>
      </c>
      <c r="Y514" s="80">
        <f>IF(COUNTA(B514,D514,E514,F514,G514,H514,I514,J514,R514,S514,T514)&gt;0,1,0)</f>
        <v>0</v>
      </c>
      <c r="Z514" s="80" t="str">
        <f>IF(AND(ISNUMBER(H514),H514&gt;=0,H514&lt;1),ROUND(H514*1440,0),"")</f>
        <v/>
      </c>
      <c r="AA514" s="80" t="str">
        <f>IF(AND(ISNUMBER(I514),I514&gt;=0,I514&lt;1),ROUND(I514*1440,0),"")</f>
        <v/>
      </c>
      <c r="AB514" s="80">
        <f>IF(AND(ISNUMBER(B514),D514&lt;&gt;"",ISNUMBER(Z514),ISNUMBER(AA514)),IF(Z514=AA514,0,1),0)</f>
        <v>0</v>
      </c>
      <c r="AC514" s="80">
        <f>IF(AB514=1,IF(AA514&lt;Z514,1,0),0)</f>
        <v>0</v>
      </c>
      <c r="AD514" s="80">
        <f>IF(AB514=1,IF(AC514=1,1440-Z514+AA514,AA514-Z514),0)</f>
        <v>0</v>
      </c>
      <c r="AE514" s="80">
        <f>IF(J514="",0,IF(ISNUMBER(J514),J514,-1))</f>
        <v>0</v>
      </c>
      <c r="AF514" s="80">
        <f>MIN(MAX(0,AE514),AD514)</f>
        <v>0</v>
      </c>
      <c r="AG514" s="80">
        <f>MAX(0,AD514-MAX(0,AE514))</f>
        <v>0</v>
      </c>
      <c r="AH514" s="80">
        <f>IF(ISNUMBER(B514),IF(AND(INDEX(CFG_WDAYS,WEEKDAY(INT(B514),2))="Sí",IF(D514="proMX",COUNTIFS(FER_F,INT(B514),FER_NLP,"Sí"),COUNTIFS(FER_F,INT(B514),FER_NLM,"Sí"))=0),1,0),0)</f>
        <v>0</v>
      </c>
      <c r="AI514" s="80">
        <f>IF(AC514=1,IF(AND(INDEX(CFG_WDAYS,WEEKDAY(INT(B514)+1,2))="Sí",IF(D514="proMX",COUNTIFS(FER_F,INT(B514)+1,FER_NLP,"Sí"),COUNTIFS(FER_F,INT(B514)+1,FER_NLM,"Sí"))=0),1,0),0)</f>
        <v>0</v>
      </c>
      <c r="AJ514" s="80">
        <f>IF(AC514=1,1440-Z514,AD514)</f>
        <v>0</v>
      </c>
      <c r="AK514" s="80">
        <f>IF(AND(AB514=1,AH514=1),MAX(0,MIN(IF(AC514=1,1440,AA514),CFG_WEM)-MAX(Z514,CFG_WSM)),0)</f>
        <v>0</v>
      </c>
      <c r="AL514" s="80">
        <f>IF(AND(AC514=1,AI514=1),MAX(0,MIN(AA514,CFG_WEM)-CFG_WSM),0)</f>
        <v>0</v>
      </c>
      <c r="AM514" s="80">
        <f>AK514+AL514</f>
        <v>0</v>
      </c>
      <c r="AN514" s="80">
        <f>IF(CFG_BRK="Proporcional",IF(AD514=0,0,AF514*AM514/AD514),IF(CFG_BRK="Extras primero",MIN(AM514,MAX(0,AF514-(AD514-AM514))),MIN(AF514,AM514)))</f>
        <v>0</v>
      </c>
      <c r="AO514" s="80">
        <f>AF514-AN514</f>
        <v>0</v>
      </c>
      <c r="AP514" s="80">
        <f>AM514-AN514</f>
        <v>0</v>
      </c>
      <c r="AQ514" s="80">
        <f>AD514-AM514-AO514</f>
        <v>0</v>
      </c>
      <c r="AR514" s="80">
        <f>IF(AM514=0,0,AK514-AN514*AK514/AM514)</f>
        <v>0</v>
      </c>
      <c r="AS514" s="80">
        <f>IF(AD514-AM514=0,0,(AJ514-AK514)-AO514*(AJ514-AK514)/(AD514-AM514))</f>
        <v>0</v>
      </c>
      <c r="AT514" s="80" t="str">
        <f>IF(AC514=1,INT(B514)+1,"")</f>
        <v/>
      </c>
      <c r="AU514" s="80">
        <f>IF(AND(D514="proMX",R514="Cancelled"),0,1)</f>
        <v>1</v>
      </c>
      <c r="AV514" s="80">
        <f>IF(AND(AB514=1,AU514=1),IF(COUNTIFS($D$5:D513,D514,$B$5:B513,B514,$Z$5:Z513,Z514,$AA$5:AA513,AA514,$F$5:F513,F514&amp;"",$AU$5:AU513,1)&gt;0,1,0),0)</f>
        <v>0</v>
      </c>
      <c r="AW514" s="80" t="str">
        <f>IF(AB514=1,INT(B514)*1440+Z514,"")</f>
        <v/>
      </c>
      <c r="AX514" s="80" t="str">
        <f>IF(AB514=1,AW514+AD514,"")</f>
        <v/>
      </c>
      <c r="AY514" s="80">
        <f>IF(AND(AB514=1,AV514=0,AU514=1),1,0)</f>
        <v>0</v>
      </c>
      <c r="AZ514" s="80">
        <f>IF(AY514=1,COUNTIFS(R_Emp,D514,R_SAbs,"&lt;"&amp;AX514,R_EAbs,"&gt;"&amp;AW514,R_OKey,1)-1,0)</f>
        <v>0</v>
      </c>
      <c r="BA514" s="80">
        <f>IF(AY514=1,COUNTIFS(R_Emp,"&lt;&gt;"&amp;D514,R_SAbs,"&lt;"&amp;AX514,R_EAbs,"&gt;"&amp;AW514,R_OKey,1),0)</f>
        <v>0</v>
      </c>
      <c r="BB514" s="80">
        <f>IF(AND(AB514=1,D514="proMX"),IF(AND(MOD(Z514,CFG_BLK)=0,MOD(AA514,CFG_BLK)=0,MOD(AG514,CFG_BLK)=0,AG514&gt;0),1,0),1)</f>
        <v>1</v>
      </c>
      <c r="BC514" s="80" t="str">
        <f>IF(Y514=0,"",IF(NOT(ISNUMBER(B514)),"Falta fecha o fecha inválida",IF(D514="","Falta empresa",IF(AND(D514&lt;&gt;"Malcolm",D514&lt;&gt;"proMX"),"Empresa inválida",IF(OR(INT(B514)&lt;CFG_PSTART,INT(B514)&gt;CFG_PEND),"Fecha fuera del período",IF(OR(NOT(ISNUMBER(Z514)),NOT(ISNUMBER(AA514))),"Falta hora inicio/fin o formato inválido",IF(AB514=0,"Hora inicio = hora fin",IF(AE514&lt;0,"Descanso inválido",IF(AE514&gt;=AD514,"Descanso ≥ duración",IF(AV514=1,"Registro duplicado",IF(AZ514&gt;0,"Se superpone con otro registro "&amp;D514,IF(BB514=0,"inicio, fin y duración neta deben ser múltiplos de "&amp;CFG_BLK&amp;" min",""))))))))))))</f>
        <v/>
      </c>
      <c r="BD514" s="80">
        <f>IF(AND(Y514=1,BC514=""),1,0)</f>
        <v>0</v>
      </c>
      <c r="BE514" s="80">
        <f>IF(AND(BD514=1,AU514=1),1,0)</f>
        <v>0</v>
      </c>
      <c r="BF514" s="80" t="str">
        <f>IF(AND(D514="proMX",BD514=1),IF(R514="","Draft",R514),"")</f>
        <v/>
      </c>
      <c r="BG514" s="80">
        <f>IF(BD514=1,ROUND(AG514/60,6),0)</f>
        <v>0</v>
      </c>
      <c r="BH514" s="80">
        <f>IF(BE514=1,ROUND(AG514/60,6),0)</f>
        <v>0</v>
      </c>
      <c r="BI514" s="80">
        <f>IF(BE514=1,ROUND(AP514/60,6),0)</f>
        <v>0</v>
      </c>
      <c r="BJ514" s="80">
        <f>IF(BE514=1,ROUND(AQ514/60,6),0)</f>
        <v>0</v>
      </c>
      <c r="BK514" s="80">
        <f>IF(BE514=1,ROUND((AR514+AS514)/60,6),0)</f>
        <v>0</v>
      </c>
      <c r="BL514" s="80">
        <f>ROUND(BH514-BK514,6)</f>
        <v>0</v>
      </c>
      <c r="BM514" s="80">
        <f>IF(BE514=1,ROUND(AR514/60,6),0)</f>
        <v>0</v>
      </c>
      <c r="BN514" s="80">
        <f>ROUND(BI514-BM514,6)</f>
        <v>0</v>
      </c>
      <c r="BO514" s="80">
        <f>IF(BE514=1,ROUND(AS514/60,6),0)</f>
        <v>0</v>
      </c>
      <c r="BP514" s="80">
        <f>ROUND(BJ514-BO514,6)</f>
        <v>0</v>
      </c>
      <c r="BQ514" s="80">
        <f>IF(BE514=1,AW514,0)</f>
        <v>0</v>
      </c>
      <c r="BR514" s="80">
        <f>IF(BE514=1,AX514,0)</f>
        <v>0</v>
      </c>
      <c r="BS514" s="80">
        <f>IF(AND(BE514=1,D514="Malcolm",BA514&gt;0),MIN(BH514,SUMPRODUCT((R_Emp="proMX")*(R_EN&gt;0)*((R_EN-(R_EN&gt;BR514)*(R_EN-BR514))&gt;(R_SN+(R_SN&lt;BQ514)*(BQ514-R_SN)))*((R_EN-(R_EN&gt;BR514)*(R_EN-BR514))-(R_SN+(R_SN&lt;BQ514)*(BQ514-R_SN))))/60),0)</f>
        <v>0</v>
      </c>
      <c r="BT514" s="80">
        <f>IF(AND(BE514=1,D514="proMX"),ROUND(BI514*CFG_RATE+BJ514*CFG_OTRATE,6),0)</f>
        <v>0</v>
      </c>
      <c r="BU514" s="80">
        <f>IF(AND(BD514=1,D514="proMX"),ROUND(AG514/CFG_BLK,6),0)</f>
        <v>0</v>
      </c>
      <c r="BV514" s="80" t="str">
        <f>IF(BF514="Approved",IF(ISNUMBER(T514),INT(T514),INT(B514)),"")</f>
        <v/>
      </c>
      <c r="BW514" s="80">
        <f>IF(ISNUMBER(B514),IF(DB_MON="Todos",1,IF(AND(INT(B514)&gt;=DB_MS,INT(B514)&lt;=DB_ME),1,0)),0)</f>
        <v>0</v>
      </c>
      <c r="BX514" s="80">
        <f>IF(DB_PROJ="Todos",1,IF(E514&amp;""=DB_PROJ&amp;"",1,0))</f>
        <v>1</v>
      </c>
      <c r="BY514" s="80">
        <f>BW514*BX514</f>
        <v>0</v>
      </c>
      <c r="BZ514" s="80" t="str">
        <f>IF(Y514=1,F514&amp;IF(AND(F514&amp;""&lt;&gt;"",E514&amp;""&lt;&gt;"")," · ","")&amp;E514,"")</f>
        <v/>
      </c>
      <c r="CA514" s="80" t="str">
        <f>IF(AND(BD514=1,E514&amp;""&lt;&gt;""),IF(COUNTIFS($E$5:E513,E514,$BD$5:BD513,1)=0,MAX($CA$5:CA513)+1,""),"")</f>
        <v/>
      </c>
      <c r="CB514" s="80" t="str">
        <f>IF(AND(BE514=1,D514="Malcolm",E514&amp;""&lt;&gt;""),IF(COUNTIFS($D$5:D513,"Malcolm",$E$5:E513,E514,$BE$5:BE513,1)=0,MAX($CB$5:CB513)+1,""),"")</f>
        <v/>
      </c>
      <c r="CC514" s="80" t="str">
        <f>IF(AND(BD514=1,D514="proMX",E514&amp;""&lt;&gt;""),IF(COUNTIFS($D$5:D513,"proMX",$E$5:E513,E514,$BD$5:BD513,1)=0,MAX($CC$5:CC513)+1,""),"")</f>
        <v/>
      </c>
      <c r="CD514" s="80" t="str">
        <f>IF(AND(BE514=1,D514="Malcolm",F514&amp;""&lt;&gt;""),IF(COUNTIFS($D$5:D513,"Malcolm",$F$5:F513,F514,$BE$5:BE513,1)=0,MAX($CD$5:CD513)+1,""),"")</f>
        <v/>
      </c>
      <c r="CE514" s="80" t="str">
        <f>IF(AND(BD514=1,D514="proMX",F514&amp;""&lt;&gt;""),IF(COUNTIFS($D$5:D513,"proMX",$F$5:F513,F514,$BD$5:BD513,1)=0,MAX($CE$5:CE513)+1,""),"")</f>
        <v/>
      </c>
      <c r="CF514" s="80" t="str">
        <f>IF(AND(D514="proMX",BD514=1),IF(OR(BF514="Draft",BF514="Submitted",BF514="Returned",BF514="Recall Requested"),MAX($CF$5:CF513)+1,""),"")</f>
        <v/>
      </c>
      <c r="CG514" s="80">
        <f>IF(BD514=0,0,IF(D514="Malcolm",1,MATCH(BF514,{"Draft","Submitted","Approved","Returned","Recall Requested","Cancelled"},0)+1))</f>
        <v>0</v>
      </c>
      <c r="CH514" s="80">
        <f>IF(AND(BF514="Submitted",ISNUMBER(V514)),IF(V514&gt;CFG_MAXD,1,0),0)</f>
        <v>0</v>
      </c>
    </row>
    <row r="515">
      <c r="A515" s="71" t="str">
        <f>IF(Y515=1,ROW()-5,"")</f>
        <v/>
      </c>
      <c r="B515" s="72" t="n"/>
      <c r="C515" s="71" t="str">
        <f>IF(ISNUMBER(B515),CHOOSE(WEEKDAY(B515,2),"Lun","Mar","Mié","Jue","Vie","Sáb","Dom"),"")</f>
        <v/>
      </c>
      <c r="D515" s="73" t="n"/>
      <c r="E515" s="74" t="n"/>
      <c r="F515" s="74" t="n"/>
      <c r="G515" s="74" t="n"/>
      <c r="H515" s="75" t="n"/>
      <c r="I515" s="75" t="n"/>
      <c r="J515" s="76" t="n"/>
      <c r="K515" s="77" t="str">
        <f>IF(AB515=1,ROUND(AG515/60,4),"")</f>
        <v/>
      </c>
      <c r="L515" s="77" t="str">
        <f>IF(BD515=1,ROUND(AP515/60,4),"")</f>
        <v/>
      </c>
      <c r="M515" s="77" t="str">
        <f>IF(BD515=1,ROUND(AQ515/60,4),"")</f>
        <v/>
      </c>
      <c r="N515" s="71" t="str">
        <f>IF(AND(D515="proMX",AB515=1),ROUND(AG515/CFG_BLK,2),"")</f>
        <v/>
      </c>
      <c r="O515" s="77" t="str">
        <f>IF(D515="proMX",IF(BD515=1,ROUND(AG515/60,4),0),"")</f>
        <v/>
      </c>
      <c r="P515" s="78" t="str">
        <f>IF(Y515=0,"",IF(BD515=1,"OK",IF(D515="proMX","Revisar bloques: ","Revisar: ")&amp;BC515))</f>
        <v/>
      </c>
      <c r="Q515" s="78" t="str">
        <f>IF(NOT(ISNUMBER(B515)),"",IF(COUNTIFS(FER_F,INT(B515))&gt;0,"Feriado"&amp;IF(AH515=1," (laborable)"," (no laborable)"),IF(AH515=1,"Laborable",IF(WEEKDAY(B515,2)&gt;5,"Fin de semana","No laborable"))))</f>
        <v/>
      </c>
      <c r="R515" s="73" t="n"/>
      <c r="S515" s="72" t="n"/>
      <c r="T515" s="72" t="n"/>
      <c r="U515" s="74" t="n"/>
      <c r="V515" s="79" t="str">
        <f>IF(AND(D515="proMX",OR(R515="Submitted",R515="Recall Requested"),ISNUMBER(S515)),CFG_TODAY-INT(S515),"")</f>
        <v/>
      </c>
      <c r="W515" s="78" t="str">
        <f>IF(BD515=0,"",IF(BA515&gt;0,"⚠ Se superpone con un registro de la otra empresa",IF(D515="Malcolm",IF(COUNTA(R515,S515,T515)&gt;0,"Estado/fechas proMX se ignoran en Malcolm",""),IF(BF515="Cancelled","Cancelado: excluido de totales",IF(R515="","Sin estado: se trata como Draft",IF(BF515="Submitted",IF(ISNUMBER(V515),IF(V515&gt;CFG_MAXD,"⚠ "&amp;V515&amp;" días en Submitted (máx. "&amp;CFG_MAXD&amp;")",""),"Falta fecha de envío"),IF(BF515="Returned","⚠ Devuelto: corregir y reenviar",IF(BF515="Recall Requested","Retirada solicitada: pendiente",IF(AND(BF515="Approved",NOT(ISNUMBER(T515))),"Falta fecha de aprobación",IF(AND(ISNUMBER(S515),ISNUMBER(T515),T515&lt;S515),"Aprobación anterior al envío","")))))))))</f>
        <v/>
      </c>
      <c r="Y515" s="80">
        <f>IF(COUNTA(B515,D515,E515,F515,G515,H515,I515,J515,R515,S515,T515)&gt;0,1,0)</f>
        <v>0</v>
      </c>
      <c r="Z515" s="80" t="str">
        <f>IF(AND(ISNUMBER(H515),H515&gt;=0,H515&lt;1),ROUND(H515*1440,0),"")</f>
        <v/>
      </c>
      <c r="AA515" s="80" t="str">
        <f>IF(AND(ISNUMBER(I515),I515&gt;=0,I515&lt;1),ROUND(I515*1440,0),"")</f>
        <v/>
      </c>
      <c r="AB515" s="80">
        <f>IF(AND(ISNUMBER(B515),D515&lt;&gt;"",ISNUMBER(Z515),ISNUMBER(AA515)),IF(Z515=AA515,0,1),0)</f>
        <v>0</v>
      </c>
      <c r="AC515" s="80">
        <f>IF(AB515=1,IF(AA515&lt;Z515,1,0),0)</f>
        <v>0</v>
      </c>
      <c r="AD515" s="80">
        <f>IF(AB515=1,IF(AC515=1,1440-Z515+AA515,AA515-Z515),0)</f>
        <v>0</v>
      </c>
      <c r="AE515" s="80">
        <f>IF(J515="",0,IF(ISNUMBER(J515),J515,-1))</f>
        <v>0</v>
      </c>
      <c r="AF515" s="80">
        <f>MIN(MAX(0,AE515),AD515)</f>
        <v>0</v>
      </c>
      <c r="AG515" s="80">
        <f>MAX(0,AD515-MAX(0,AE515))</f>
        <v>0</v>
      </c>
      <c r="AH515" s="80">
        <f>IF(ISNUMBER(B515),IF(AND(INDEX(CFG_WDAYS,WEEKDAY(INT(B515),2))="Sí",IF(D515="proMX",COUNTIFS(FER_F,INT(B515),FER_NLP,"Sí"),COUNTIFS(FER_F,INT(B515),FER_NLM,"Sí"))=0),1,0),0)</f>
        <v>0</v>
      </c>
      <c r="AI515" s="80">
        <f>IF(AC515=1,IF(AND(INDEX(CFG_WDAYS,WEEKDAY(INT(B515)+1,2))="Sí",IF(D515="proMX",COUNTIFS(FER_F,INT(B515)+1,FER_NLP,"Sí"),COUNTIFS(FER_F,INT(B515)+1,FER_NLM,"Sí"))=0),1,0),0)</f>
        <v>0</v>
      </c>
      <c r="AJ515" s="80">
        <f>IF(AC515=1,1440-Z515,AD515)</f>
        <v>0</v>
      </c>
      <c r="AK515" s="80">
        <f>IF(AND(AB515=1,AH515=1),MAX(0,MIN(IF(AC515=1,1440,AA515),CFG_WEM)-MAX(Z515,CFG_WSM)),0)</f>
        <v>0</v>
      </c>
      <c r="AL515" s="80">
        <f>IF(AND(AC515=1,AI515=1),MAX(0,MIN(AA515,CFG_WEM)-CFG_WSM),0)</f>
        <v>0</v>
      </c>
      <c r="AM515" s="80">
        <f>AK515+AL515</f>
        <v>0</v>
      </c>
      <c r="AN515" s="80">
        <f>IF(CFG_BRK="Proporcional",IF(AD515=0,0,AF515*AM515/AD515),IF(CFG_BRK="Extras primero",MIN(AM515,MAX(0,AF515-(AD515-AM515))),MIN(AF515,AM515)))</f>
        <v>0</v>
      </c>
      <c r="AO515" s="80">
        <f>AF515-AN515</f>
        <v>0</v>
      </c>
      <c r="AP515" s="80">
        <f>AM515-AN515</f>
        <v>0</v>
      </c>
      <c r="AQ515" s="80">
        <f>AD515-AM515-AO515</f>
        <v>0</v>
      </c>
      <c r="AR515" s="80">
        <f>IF(AM515=0,0,AK515-AN515*AK515/AM515)</f>
        <v>0</v>
      </c>
      <c r="AS515" s="80">
        <f>IF(AD515-AM515=0,0,(AJ515-AK515)-AO515*(AJ515-AK515)/(AD515-AM515))</f>
        <v>0</v>
      </c>
      <c r="AT515" s="80" t="str">
        <f>IF(AC515=1,INT(B515)+1,"")</f>
        <v/>
      </c>
      <c r="AU515" s="80">
        <f>IF(AND(D515="proMX",R515="Cancelled"),0,1)</f>
        <v>1</v>
      </c>
      <c r="AV515" s="80">
        <f>IF(AND(AB515=1,AU515=1),IF(COUNTIFS($D$5:D514,D515,$B$5:B514,B515,$Z$5:Z514,Z515,$AA$5:AA514,AA515,$F$5:F514,F515&amp;"",$AU$5:AU514,1)&gt;0,1,0),0)</f>
        <v>0</v>
      </c>
      <c r="AW515" s="80" t="str">
        <f>IF(AB515=1,INT(B515)*1440+Z515,"")</f>
        <v/>
      </c>
      <c r="AX515" s="80" t="str">
        <f>IF(AB515=1,AW515+AD515,"")</f>
        <v/>
      </c>
      <c r="AY515" s="80">
        <f>IF(AND(AB515=1,AV515=0,AU515=1),1,0)</f>
        <v>0</v>
      </c>
      <c r="AZ515" s="80">
        <f>IF(AY515=1,COUNTIFS(R_Emp,D515,R_SAbs,"&lt;"&amp;AX515,R_EAbs,"&gt;"&amp;AW515,R_OKey,1)-1,0)</f>
        <v>0</v>
      </c>
      <c r="BA515" s="80">
        <f>IF(AY515=1,COUNTIFS(R_Emp,"&lt;&gt;"&amp;D515,R_SAbs,"&lt;"&amp;AX515,R_EAbs,"&gt;"&amp;AW515,R_OKey,1),0)</f>
        <v>0</v>
      </c>
      <c r="BB515" s="80">
        <f>IF(AND(AB515=1,D515="proMX"),IF(AND(MOD(Z515,CFG_BLK)=0,MOD(AA515,CFG_BLK)=0,MOD(AG515,CFG_BLK)=0,AG515&gt;0),1,0),1)</f>
        <v>1</v>
      </c>
      <c r="BC515" s="80" t="str">
        <f>IF(Y515=0,"",IF(NOT(ISNUMBER(B515)),"Falta fecha o fecha inválida",IF(D515="","Falta empresa",IF(AND(D515&lt;&gt;"Malcolm",D515&lt;&gt;"proMX"),"Empresa inválida",IF(OR(INT(B515)&lt;CFG_PSTART,INT(B515)&gt;CFG_PEND),"Fecha fuera del período",IF(OR(NOT(ISNUMBER(Z515)),NOT(ISNUMBER(AA515))),"Falta hora inicio/fin o formato inválido",IF(AB515=0,"Hora inicio = hora fin",IF(AE515&lt;0,"Descanso inválido",IF(AE515&gt;=AD515,"Descanso ≥ duración",IF(AV515=1,"Registro duplicado",IF(AZ515&gt;0,"Se superpone con otro registro "&amp;D515,IF(BB515=0,"inicio, fin y duración neta deben ser múltiplos de "&amp;CFG_BLK&amp;" min",""))))))))))))</f>
        <v/>
      </c>
      <c r="BD515" s="80">
        <f>IF(AND(Y515=1,BC515=""),1,0)</f>
        <v>0</v>
      </c>
      <c r="BE515" s="80">
        <f>IF(AND(BD515=1,AU515=1),1,0)</f>
        <v>0</v>
      </c>
      <c r="BF515" s="80" t="str">
        <f>IF(AND(D515="proMX",BD515=1),IF(R515="","Draft",R515),"")</f>
        <v/>
      </c>
      <c r="BG515" s="80">
        <f>IF(BD515=1,ROUND(AG515/60,6),0)</f>
        <v>0</v>
      </c>
      <c r="BH515" s="80">
        <f>IF(BE515=1,ROUND(AG515/60,6),0)</f>
        <v>0</v>
      </c>
      <c r="BI515" s="80">
        <f>IF(BE515=1,ROUND(AP515/60,6),0)</f>
        <v>0</v>
      </c>
      <c r="BJ515" s="80">
        <f>IF(BE515=1,ROUND(AQ515/60,6),0)</f>
        <v>0</v>
      </c>
      <c r="BK515" s="80">
        <f>IF(BE515=1,ROUND((AR515+AS515)/60,6),0)</f>
        <v>0</v>
      </c>
      <c r="BL515" s="80">
        <f>ROUND(BH515-BK515,6)</f>
        <v>0</v>
      </c>
      <c r="BM515" s="80">
        <f>IF(BE515=1,ROUND(AR515/60,6),0)</f>
        <v>0</v>
      </c>
      <c r="BN515" s="80">
        <f>ROUND(BI515-BM515,6)</f>
        <v>0</v>
      </c>
      <c r="BO515" s="80">
        <f>IF(BE515=1,ROUND(AS515/60,6),0)</f>
        <v>0</v>
      </c>
      <c r="BP515" s="80">
        <f>ROUND(BJ515-BO515,6)</f>
        <v>0</v>
      </c>
      <c r="BQ515" s="80">
        <f>IF(BE515=1,AW515,0)</f>
        <v>0</v>
      </c>
      <c r="BR515" s="80">
        <f>IF(BE515=1,AX515,0)</f>
        <v>0</v>
      </c>
      <c r="BS515" s="80">
        <f>IF(AND(BE515=1,D515="Malcolm",BA515&gt;0),MIN(BH515,SUMPRODUCT((R_Emp="proMX")*(R_EN&gt;0)*((R_EN-(R_EN&gt;BR515)*(R_EN-BR515))&gt;(R_SN+(R_SN&lt;BQ515)*(BQ515-R_SN)))*((R_EN-(R_EN&gt;BR515)*(R_EN-BR515))-(R_SN+(R_SN&lt;BQ515)*(BQ515-R_SN))))/60),0)</f>
        <v>0</v>
      </c>
      <c r="BT515" s="80">
        <f>IF(AND(BE515=1,D515="proMX"),ROUND(BI515*CFG_RATE+BJ515*CFG_OTRATE,6),0)</f>
        <v>0</v>
      </c>
      <c r="BU515" s="80">
        <f>IF(AND(BD515=1,D515="proMX"),ROUND(AG515/CFG_BLK,6),0)</f>
        <v>0</v>
      </c>
      <c r="BV515" s="80" t="str">
        <f>IF(BF515="Approved",IF(ISNUMBER(T515),INT(T515),INT(B515)),"")</f>
        <v/>
      </c>
      <c r="BW515" s="80">
        <f>IF(ISNUMBER(B515),IF(DB_MON="Todos",1,IF(AND(INT(B515)&gt;=DB_MS,INT(B515)&lt;=DB_ME),1,0)),0)</f>
        <v>0</v>
      </c>
      <c r="BX515" s="80">
        <f>IF(DB_PROJ="Todos",1,IF(E515&amp;""=DB_PROJ&amp;"",1,0))</f>
        <v>1</v>
      </c>
      <c r="BY515" s="80">
        <f>BW515*BX515</f>
        <v>0</v>
      </c>
      <c r="BZ515" s="80" t="str">
        <f>IF(Y515=1,F515&amp;IF(AND(F515&amp;""&lt;&gt;"",E515&amp;""&lt;&gt;"")," · ","")&amp;E515,"")</f>
        <v/>
      </c>
      <c r="CA515" s="80" t="str">
        <f>IF(AND(BD515=1,E515&amp;""&lt;&gt;""),IF(COUNTIFS($E$5:E514,E515,$BD$5:BD514,1)=0,MAX($CA$5:CA514)+1,""),"")</f>
        <v/>
      </c>
      <c r="CB515" s="80" t="str">
        <f>IF(AND(BE515=1,D515="Malcolm",E515&amp;""&lt;&gt;""),IF(COUNTIFS($D$5:D514,"Malcolm",$E$5:E514,E515,$BE$5:BE514,1)=0,MAX($CB$5:CB514)+1,""),"")</f>
        <v/>
      </c>
      <c r="CC515" s="80" t="str">
        <f>IF(AND(BD515=1,D515="proMX",E515&amp;""&lt;&gt;""),IF(COUNTIFS($D$5:D514,"proMX",$E$5:E514,E515,$BD$5:BD514,1)=0,MAX($CC$5:CC514)+1,""),"")</f>
        <v/>
      </c>
      <c r="CD515" s="80" t="str">
        <f>IF(AND(BE515=1,D515="Malcolm",F515&amp;""&lt;&gt;""),IF(COUNTIFS($D$5:D514,"Malcolm",$F$5:F514,F515,$BE$5:BE514,1)=0,MAX($CD$5:CD514)+1,""),"")</f>
        <v/>
      </c>
      <c r="CE515" s="80" t="str">
        <f>IF(AND(BD515=1,D515="proMX",F515&amp;""&lt;&gt;""),IF(COUNTIFS($D$5:D514,"proMX",$F$5:F514,F515,$BD$5:BD514,1)=0,MAX($CE$5:CE514)+1,""),"")</f>
        <v/>
      </c>
      <c r="CF515" s="80" t="str">
        <f>IF(AND(D515="proMX",BD515=1),IF(OR(BF515="Draft",BF515="Submitted",BF515="Returned",BF515="Recall Requested"),MAX($CF$5:CF514)+1,""),"")</f>
        <v/>
      </c>
      <c r="CG515" s="80">
        <f>IF(BD515=0,0,IF(D515="Malcolm",1,MATCH(BF515,{"Draft","Submitted","Approved","Returned","Recall Requested","Cancelled"},0)+1))</f>
        <v>0</v>
      </c>
      <c r="CH515" s="80">
        <f>IF(AND(BF515="Submitted",ISNUMBER(V515)),IF(V515&gt;CFG_MAXD,1,0),0)</f>
        <v>0</v>
      </c>
    </row>
    <row r="516">
      <c r="A516" s="71" t="str">
        <f>IF(Y516=1,ROW()-5,"")</f>
        <v/>
      </c>
      <c r="B516" s="72" t="n"/>
      <c r="C516" s="71" t="str">
        <f>IF(ISNUMBER(B516),CHOOSE(WEEKDAY(B516,2),"Lun","Mar","Mié","Jue","Vie","Sáb","Dom"),"")</f>
        <v/>
      </c>
      <c r="D516" s="73" t="n"/>
      <c r="E516" s="74" t="n"/>
      <c r="F516" s="74" t="n"/>
      <c r="G516" s="74" t="n"/>
      <c r="H516" s="75" t="n"/>
      <c r="I516" s="75" t="n"/>
      <c r="J516" s="76" t="n"/>
      <c r="K516" s="77" t="str">
        <f>IF(AB516=1,ROUND(AG516/60,4),"")</f>
        <v/>
      </c>
      <c r="L516" s="77" t="str">
        <f>IF(BD516=1,ROUND(AP516/60,4),"")</f>
        <v/>
      </c>
      <c r="M516" s="77" t="str">
        <f>IF(BD516=1,ROUND(AQ516/60,4),"")</f>
        <v/>
      </c>
      <c r="N516" s="71" t="str">
        <f>IF(AND(D516="proMX",AB516=1),ROUND(AG516/CFG_BLK,2),"")</f>
        <v/>
      </c>
      <c r="O516" s="77" t="str">
        <f>IF(D516="proMX",IF(BD516=1,ROUND(AG516/60,4),0),"")</f>
        <v/>
      </c>
      <c r="P516" s="78" t="str">
        <f>IF(Y516=0,"",IF(BD516=1,"OK",IF(D516="proMX","Revisar bloques: ","Revisar: ")&amp;BC516))</f>
        <v/>
      </c>
      <c r="Q516" s="78" t="str">
        <f>IF(NOT(ISNUMBER(B516)),"",IF(COUNTIFS(FER_F,INT(B516))&gt;0,"Feriado"&amp;IF(AH516=1," (laborable)"," (no laborable)"),IF(AH516=1,"Laborable",IF(WEEKDAY(B516,2)&gt;5,"Fin de semana","No laborable"))))</f>
        <v/>
      </c>
      <c r="R516" s="73" t="n"/>
      <c r="S516" s="72" t="n"/>
      <c r="T516" s="72" t="n"/>
      <c r="U516" s="74" t="n"/>
      <c r="V516" s="79" t="str">
        <f>IF(AND(D516="proMX",OR(R516="Submitted",R516="Recall Requested"),ISNUMBER(S516)),CFG_TODAY-INT(S516),"")</f>
        <v/>
      </c>
      <c r="W516" s="78" t="str">
        <f>IF(BD516=0,"",IF(BA516&gt;0,"⚠ Se superpone con un registro de la otra empresa",IF(D516="Malcolm",IF(COUNTA(R516,S516,T516)&gt;0,"Estado/fechas proMX se ignoran en Malcolm",""),IF(BF516="Cancelled","Cancelado: excluido de totales",IF(R516="","Sin estado: se trata como Draft",IF(BF516="Submitted",IF(ISNUMBER(V516),IF(V516&gt;CFG_MAXD,"⚠ "&amp;V516&amp;" días en Submitted (máx. "&amp;CFG_MAXD&amp;")",""),"Falta fecha de envío"),IF(BF516="Returned","⚠ Devuelto: corregir y reenviar",IF(BF516="Recall Requested","Retirada solicitada: pendiente",IF(AND(BF516="Approved",NOT(ISNUMBER(T516))),"Falta fecha de aprobación",IF(AND(ISNUMBER(S516),ISNUMBER(T516),T516&lt;S516),"Aprobación anterior al envío","")))))))))</f>
        <v/>
      </c>
      <c r="Y516" s="80">
        <f>IF(COUNTA(B516,D516,E516,F516,G516,H516,I516,J516,R516,S516,T516)&gt;0,1,0)</f>
        <v>0</v>
      </c>
      <c r="Z516" s="80" t="str">
        <f>IF(AND(ISNUMBER(H516),H516&gt;=0,H516&lt;1),ROUND(H516*1440,0),"")</f>
        <v/>
      </c>
      <c r="AA516" s="80" t="str">
        <f>IF(AND(ISNUMBER(I516),I516&gt;=0,I516&lt;1),ROUND(I516*1440,0),"")</f>
        <v/>
      </c>
      <c r="AB516" s="80">
        <f>IF(AND(ISNUMBER(B516),D516&lt;&gt;"",ISNUMBER(Z516),ISNUMBER(AA516)),IF(Z516=AA516,0,1),0)</f>
        <v>0</v>
      </c>
      <c r="AC516" s="80">
        <f>IF(AB516=1,IF(AA516&lt;Z516,1,0),0)</f>
        <v>0</v>
      </c>
      <c r="AD516" s="80">
        <f>IF(AB516=1,IF(AC516=1,1440-Z516+AA516,AA516-Z516),0)</f>
        <v>0</v>
      </c>
      <c r="AE516" s="80">
        <f>IF(J516="",0,IF(ISNUMBER(J516),J516,-1))</f>
        <v>0</v>
      </c>
      <c r="AF516" s="80">
        <f>MIN(MAX(0,AE516),AD516)</f>
        <v>0</v>
      </c>
      <c r="AG516" s="80">
        <f>MAX(0,AD516-MAX(0,AE516))</f>
        <v>0</v>
      </c>
      <c r="AH516" s="80">
        <f>IF(ISNUMBER(B516),IF(AND(INDEX(CFG_WDAYS,WEEKDAY(INT(B516),2))="Sí",IF(D516="proMX",COUNTIFS(FER_F,INT(B516),FER_NLP,"Sí"),COUNTIFS(FER_F,INT(B516),FER_NLM,"Sí"))=0),1,0),0)</f>
        <v>0</v>
      </c>
      <c r="AI516" s="80">
        <f>IF(AC516=1,IF(AND(INDEX(CFG_WDAYS,WEEKDAY(INT(B516)+1,2))="Sí",IF(D516="proMX",COUNTIFS(FER_F,INT(B516)+1,FER_NLP,"Sí"),COUNTIFS(FER_F,INT(B516)+1,FER_NLM,"Sí"))=0),1,0),0)</f>
        <v>0</v>
      </c>
      <c r="AJ516" s="80">
        <f>IF(AC516=1,1440-Z516,AD516)</f>
        <v>0</v>
      </c>
      <c r="AK516" s="80">
        <f>IF(AND(AB516=1,AH516=1),MAX(0,MIN(IF(AC516=1,1440,AA516),CFG_WEM)-MAX(Z516,CFG_WSM)),0)</f>
        <v>0</v>
      </c>
      <c r="AL516" s="80">
        <f>IF(AND(AC516=1,AI516=1),MAX(0,MIN(AA516,CFG_WEM)-CFG_WSM),0)</f>
        <v>0</v>
      </c>
      <c r="AM516" s="80">
        <f>AK516+AL516</f>
        <v>0</v>
      </c>
      <c r="AN516" s="80">
        <f>IF(CFG_BRK="Proporcional",IF(AD516=0,0,AF516*AM516/AD516),IF(CFG_BRK="Extras primero",MIN(AM516,MAX(0,AF516-(AD516-AM516))),MIN(AF516,AM516)))</f>
        <v>0</v>
      </c>
      <c r="AO516" s="80">
        <f>AF516-AN516</f>
        <v>0</v>
      </c>
      <c r="AP516" s="80">
        <f>AM516-AN516</f>
        <v>0</v>
      </c>
      <c r="AQ516" s="80">
        <f>AD516-AM516-AO516</f>
        <v>0</v>
      </c>
      <c r="AR516" s="80">
        <f>IF(AM516=0,0,AK516-AN516*AK516/AM516)</f>
        <v>0</v>
      </c>
      <c r="AS516" s="80">
        <f>IF(AD516-AM516=0,0,(AJ516-AK516)-AO516*(AJ516-AK516)/(AD516-AM516))</f>
        <v>0</v>
      </c>
      <c r="AT516" s="80" t="str">
        <f>IF(AC516=1,INT(B516)+1,"")</f>
        <v/>
      </c>
      <c r="AU516" s="80">
        <f>IF(AND(D516="proMX",R516="Cancelled"),0,1)</f>
        <v>1</v>
      </c>
      <c r="AV516" s="80">
        <f>IF(AND(AB516=1,AU516=1),IF(COUNTIFS($D$5:D515,D516,$B$5:B515,B516,$Z$5:Z515,Z516,$AA$5:AA515,AA516,$F$5:F515,F516&amp;"",$AU$5:AU515,1)&gt;0,1,0),0)</f>
        <v>0</v>
      </c>
      <c r="AW516" s="80" t="str">
        <f>IF(AB516=1,INT(B516)*1440+Z516,"")</f>
        <v/>
      </c>
      <c r="AX516" s="80" t="str">
        <f>IF(AB516=1,AW516+AD516,"")</f>
        <v/>
      </c>
      <c r="AY516" s="80">
        <f>IF(AND(AB516=1,AV516=0,AU516=1),1,0)</f>
        <v>0</v>
      </c>
      <c r="AZ516" s="80">
        <f>IF(AY516=1,COUNTIFS(R_Emp,D516,R_SAbs,"&lt;"&amp;AX516,R_EAbs,"&gt;"&amp;AW516,R_OKey,1)-1,0)</f>
        <v>0</v>
      </c>
      <c r="BA516" s="80">
        <f>IF(AY516=1,COUNTIFS(R_Emp,"&lt;&gt;"&amp;D516,R_SAbs,"&lt;"&amp;AX516,R_EAbs,"&gt;"&amp;AW516,R_OKey,1),0)</f>
        <v>0</v>
      </c>
      <c r="BB516" s="80">
        <f>IF(AND(AB516=1,D516="proMX"),IF(AND(MOD(Z516,CFG_BLK)=0,MOD(AA516,CFG_BLK)=0,MOD(AG516,CFG_BLK)=0,AG516&gt;0),1,0),1)</f>
        <v>1</v>
      </c>
      <c r="BC516" s="80" t="str">
        <f>IF(Y516=0,"",IF(NOT(ISNUMBER(B516)),"Falta fecha o fecha inválida",IF(D516="","Falta empresa",IF(AND(D516&lt;&gt;"Malcolm",D516&lt;&gt;"proMX"),"Empresa inválida",IF(OR(INT(B516)&lt;CFG_PSTART,INT(B516)&gt;CFG_PEND),"Fecha fuera del período",IF(OR(NOT(ISNUMBER(Z516)),NOT(ISNUMBER(AA516))),"Falta hora inicio/fin o formato inválido",IF(AB516=0,"Hora inicio = hora fin",IF(AE516&lt;0,"Descanso inválido",IF(AE516&gt;=AD516,"Descanso ≥ duración",IF(AV516=1,"Registro duplicado",IF(AZ516&gt;0,"Se superpone con otro registro "&amp;D516,IF(BB516=0,"inicio, fin y duración neta deben ser múltiplos de "&amp;CFG_BLK&amp;" min",""))))))))))))</f>
        <v/>
      </c>
      <c r="BD516" s="80">
        <f>IF(AND(Y516=1,BC516=""),1,0)</f>
        <v>0</v>
      </c>
      <c r="BE516" s="80">
        <f>IF(AND(BD516=1,AU516=1),1,0)</f>
        <v>0</v>
      </c>
      <c r="BF516" s="80" t="str">
        <f>IF(AND(D516="proMX",BD516=1),IF(R516="","Draft",R516),"")</f>
        <v/>
      </c>
      <c r="BG516" s="80">
        <f>IF(BD516=1,ROUND(AG516/60,6),0)</f>
        <v>0</v>
      </c>
      <c r="BH516" s="80">
        <f>IF(BE516=1,ROUND(AG516/60,6),0)</f>
        <v>0</v>
      </c>
      <c r="BI516" s="80">
        <f>IF(BE516=1,ROUND(AP516/60,6),0)</f>
        <v>0</v>
      </c>
      <c r="BJ516" s="80">
        <f>IF(BE516=1,ROUND(AQ516/60,6),0)</f>
        <v>0</v>
      </c>
      <c r="BK516" s="80">
        <f>IF(BE516=1,ROUND((AR516+AS516)/60,6),0)</f>
        <v>0</v>
      </c>
      <c r="BL516" s="80">
        <f>ROUND(BH516-BK516,6)</f>
        <v>0</v>
      </c>
      <c r="BM516" s="80">
        <f>IF(BE516=1,ROUND(AR516/60,6),0)</f>
        <v>0</v>
      </c>
      <c r="BN516" s="80">
        <f>ROUND(BI516-BM516,6)</f>
        <v>0</v>
      </c>
      <c r="BO516" s="80">
        <f>IF(BE516=1,ROUND(AS516/60,6),0)</f>
        <v>0</v>
      </c>
      <c r="BP516" s="80">
        <f>ROUND(BJ516-BO516,6)</f>
        <v>0</v>
      </c>
      <c r="BQ516" s="80">
        <f>IF(BE516=1,AW516,0)</f>
        <v>0</v>
      </c>
      <c r="BR516" s="80">
        <f>IF(BE516=1,AX516,0)</f>
        <v>0</v>
      </c>
      <c r="BS516" s="80">
        <f>IF(AND(BE516=1,D516="Malcolm",BA516&gt;0),MIN(BH516,SUMPRODUCT((R_Emp="proMX")*(R_EN&gt;0)*((R_EN-(R_EN&gt;BR516)*(R_EN-BR516))&gt;(R_SN+(R_SN&lt;BQ516)*(BQ516-R_SN)))*((R_EN-(R_EN&gt;BR516)*(R_EN-BR516))-(R_SN+(R_SN&lt;BQ516)*(BQ516-R_SN))))/60),0)</f>
        <v>0</v>
      </c>
      <c r="BT516" s="80">
        <f>IF(AND(BE516=1,D516="proMX"),ROUND(BI516*CFG_RATE+BJ516*CFG_OTRATE,6),0)</f>
        <v>0</v>
      </c>
      <c r="BU516" s="80">
        <f>IF(AND(BD516=1,D516="proMX"),ROUND(AG516/CFG_BLK,6),0)</f>
        <v>0</v>
      </c>
      <c r="BV516" s="80" t="str">
        <f>IF(BF516="Approved",IF(ISNUMBER(T516),INT(T516),INT(B516)),"")</f>
        <v/>
      </c>
      <c r="BW516" s="80">
        <f>IF(ISNUMBER(B516),IF(DB_MON="Todos",1,IF(AND(INT(B516)&gt;=DB_MS,INT(B516)&lt;=DB_ME),1,0)),0)</f>
        <v>0</v>
      </c>
      <c r="BX516" s="80">
        <f>IF(DB_PROJ="Todos",1,IF(E516&amp;""=DB_PROJ&amp;"",1,0))</f>
        <v>1</v>
      </c>
      <c r="BY516" s="80">
        <f>BW516*BX516</f>
        <v>0</v>
      </c>
      <c r="BZ516" s="80" t="str">
        <f>IF(Y516=1,F516&amp;IF(AND(F516&amp;""&lt;&gt;"",E516&amp;""&lt;&gt;"")," · ","")&amp;E516,"")</f>
        <v/>
      </c>
      <c r="CA516" s="80" t="str">
        <f>IF(AND(BD516=1,E516&amp;""&lt;&gt;""),IF(COUNTIFS($E$5:E515,E516,$BD$5:BD515,1)=0,MAX($CA$5:CA515)+1,""),"")</f>
        <v/>
      </c>
      <c r="CB516" s="80" t="str">
        <f>IF(AND(BE516=1,D516="Malcolm",E516&amp;""&lt;&gt;""),IF(COUNTIFS($D$5:D515,"Malcolm",$E$5:E515,E516,$BE$5:BE515,1)=0,MAX($CB$5:CB515)+1,""),"")</f>
        <v/>
      </c>
      <c r="CC516" s="80" t="str">
        <f>IF(AND(BD516=1,D516="proMX",E516&amp;""&lt;&gt;""),IF(COUNTIFS($D$5:D515,"proMX",$E$5:E515,E516,$BD$5:BD515,1)=0,MAX($CC$5:CC515)+1,""),"")</f>
        <v/>
      </c>
      <c r="CD516" s="80" t="str">
        <f>IF(AND(BE516=1,D516="Malcolm",F516&amp;""&lt;&gt;""),IF(COUNTIFS($D$5:D515,"Malcolm",$F$5:F515,F516,$BE$5:BE515,1)=0,MAX($CD$5:CD515)+1,""),"")</f>
        <v/>
      </c>
      <c r="CE516" s="80" t="str">
        <f>IF(AND(BD516=1,D516="proMX",F516&amp;""&lt;&gt;""),IF(COUNTIFS($D$5:D515,"proMX",$F$5:F515,F516,$BD$5:BD515,1)=0,MAX($CE$5:CE515)+1,""),"")</f>
        <v/>
      </c>
      <c r="CF516" s="80" t="str">
        <f>IF(AND(D516="proMX",BD516=1),IF(OR(BF516="Draft",BF516="Submitted",BF516="Returned",BF516="Recall Requested"),MAX($CF$5:CF515)+1,""),"")</f>
        <v/>
      </c>
      <c r="CG516" s="80">
        <f>IF(BD516=0,0,IF(D516="Malcolm",1,MATCH(BF516,{"Draft","Submitted","Approved","Returned","Recall Requested","Cancelled"},0)+1))</f>
        <v>0</v>
      </c>
      <c r="CH516" s="80">
        <f>IF(AND(BF516="Submitted",ISNUMBER(V516)),IF(V516&gt;CFG_MAXD,1,0),0)</f>
        <v>0</v>
      </c>
    </row>
    <row r="517">
      <c r="A517" s="71" t="str">
        <f>IF(Y517=1,ROW()-5,"")</f>
        <v/>
      </c>
      <c r="B517" s="72" t="n"/>
      <c r="C517" s="71" t="str">
        <f>IF(ISNUMBER(B517),CHOOSE(WEEKDAY(B517,2),"Lun","Mar","Mié","Jue","Vie","Sáb","Dom"),"")</f>
        <v/>
      </c>
      <c r="D517" s="73" t="n"/>
      <c r="E517" s="74" t="n"/>
      <c r="F517" s="74" t="n"/>
      <c r="G517" s="74" t="n"/>
      <c r="H517" s="75" t="n"/>
      <c r="I517" s="75" t="n"/>
      <c r="J517" s="76" t="n"/>
      <c r="K517" s="77" t="str">
        <f>IF(AB517=1,ROUND(AG517/60,4),"")</f>
        <v/>
      </c>
      <c r="L517" s="77" t="str">
        <f>IF(BD517=1,ROUND(AP517/60,4),"")</f>
        <v/>
      </c>
      <c r="M517" s="77" t="str">
        <f>IF(BD517=1,ROUND(AQ517/60,4),"")</f>
        <v/>
      </c>
      <c r="N517" s="71" t="str">
        <f>IF(AND(D517="proMX",AB517=1),ROUND(AG517/CFG_BLK,2),"")</f>
        <v/>
      </c>
      <c r="O517" s="77" t="str">
        <f>IF(D517="proMX",IF(BD517=1,ROUND(AG517/60,4),0),"")</f>
        <v/>
      </c>
      <c r="P517" s="78" t="str">
        <f>IF(Y517=0,"",IF(BD517=1,"OK",IF(D517="proMX","Revisar bloques: ","Revisar: ")&amp;BC517))</f>
        <v/>
      </c>
      <c r="Q517" s="78" t="str">
        <f>IF(NOT(ISNUMBER(B517)),"",IF(COUNTIFS(FER_F,INT(B517))&gt;0,"Feriado"&amp;IF(AH517=1," (laborable)"," (no laborable)"),IF(AH517=1,"Laborable",IF(WEEKDAY(B517,2)&gt;5,"Fin de semana","No laborable"))))</f>
        <v/>
      </c>
      <c r="R517" s="73" t="n"/>
      <c r="S517" s="72" t="n"/>
      <c r="T517" s="72" t="n"/>
      <c r="U517" s="74" t="n"/>
      <c r="V517" s="79" t="str">
        <f>IF(AND(D517="proMX",OR(R517="Submitted",R517="Recall Requested"),ISNUMBER(S517)),CFG_TODAY-INT(S517),"")</f>
        <v/>
      </c>
      <c r="W517" s="78" t="str">
        <f>IF(BD517=0,"",IF(BA517&gt;0,"⚠ Se superpone con un registro de la otra empresa",IF(D517="Malcolm",IF(COUNTA(R517,S517,T517)&gt;0,"Estado/fechas proMX se ignoran en Malcolm",""),IF(BF517="Cancelled","Cancelado: excluido de totales",IF(R517="","Sin estado: se trata como Draft",IF(BF517="Submitted",IF(ISNUMBER(V517),IF(V517&gt;CFG_MAXD,"⚠ "&amp;V517&amp;" días en Submitted (máx. "&amp;CFG_MAXD&amp;")",""),"Falta fecha de envío"),IF(BF517="Returned","⚠ Devuelto: corregir y reenviar",IF(BF517="Recall Requested","Retirada solicitada: pendiente",IF(AND(BF517="Approved",NOT(ISNUMBER(T517))),"Falta fecha de aprobación",IF(AND(ISNUMBER(S517),ISNUMBER(T517),T517&lt;S517),"Aprobación anterior al envío","")))))))))</f>
        <v/>
      </c>
      <c r="Y517" s="80">
        <f>IF(COUNTA(B517,D517,E517,F517,G517,H517,I517,J517,R517,S517,T517)&gt;0,1,0)</f>
        <v>0</v>
      </c>
      <c r="Z517" s="80" t="str">
        <f>IF(AND(ISNUMBER(H517),H517&gt;=0,H517&lt;1),ROUND(H517*1440,0),"")</f>
        <v/>
      </c>
      <c r="AA517" s="80" t="str">
        <f>IF(AND(ISNUMBER(I517),I517&gt;=0,I517&lt;1),ROUND(I517*1440,0),"")</f>
        <v/>
      </c>
      <c r="AB517" s="80">
        <f>IF(AND(ISNUMBER(B517),D517&lt;&gt;"",ISNUMBER(Z517),ISNUMBER(AA517)),IF(Z517=AA517,0,1),0)</f>
        <v>0</v>
      </c>
      <c r="AC517" s="80">
        <f>IF(AB517=1,IF(AA517&lt;Z517,1,0),0)</f>
        <v>0</v>
      </c>
      <c r="AD517" s="80">
        <f>IF(AB517=1,IF(AC517=1,1440-Z517+AA517,AA517-Z517),0)</f>
        <v>0</v>
      </c>
      <c r="AE517" s="80">
        <f>IF(J517="",0,IF(ISNUMBER(J517),J517,-1))</f>
        <v>0</v>
      </c>
      <c r="AF517" s="80">
        <f>MIN(MAX(0,AE517),AD517)</f>
        <v>0</v>
      </c>
      <c r="AG517" s="80">
        <f>MAX(0,AD517-MAX(0,AE517))</f>
        <v>0</v>
      </c>
      <c r="AH517" s="80">
        <f>IF(ISNUMBER(B517),IF(AND(INDEX(CFG_WDAYS,WEEKDAY(INT(B517),2))="Sí",IF(D517="proMX",COUNTIFS(FER_F,INT(B517),FER_NLP,"Sí"),COUNTIFS(FER_F,INT(B517),FER_NLM,"Sí"))=0),1,0),0)</f>
        <v>0</v>
      </c>
      <c r="AI517" s="80">
        <f>IF(AC517=1,IF(AND(INDEX(CFG_WDAYS,WEEKDAY(INT(B517)+1,2))="Sí",IF(D517="proMX",COUNTIFS(FER_F,INT(B517)+1,FER_NLP,"Sí"),COUNTIFS(FER_F,INT(B517)+1,FER_NLM,"Sí"))=0),1,0),0)</f>
        <v>0</v>
      </c>
      <c r="AJ517" s="80">
        <f>IF(AC517=1,1440-Z517,AD517)</f>
        <v>0</v>
      </c>
      <c r="AK517" s="80">
        <f>IF(AND(AB517=1,AH517=1),MAX(0,MIN(IF(AC517=1,1440,AA517),CFG_WEM)-MAX(Z517,CFG_WSM)),0)</f>
        <v>0</v>
      </c>
      <c r="AL517" s="80">
        <f>IF(AND(AC517=1,AI517=1),MAX(0,MIN(AA517,CFG_WEM)-CFG_WSM),0)</f>
        <v>0</v>
      </c>
      <c r="AM517" s="80">
        <f>AK517+AL517</f>
        <v>0</v>
      </c>
      <c r="AN517" s="80">
        <f>IF(CFG_BRK="Proporcional",IF(AD517=0,0,AF517*AM517/AD517),IF(CFG_BRK="Extras primero",MIN(AM517,MAX(0,AF517-(AD517-AM517))),MIN(AF517,AM517)))</f>
        <v>0</v>
      </c>
      <c r="AO517" s="80">
        <f>AF517-AN517</f>
        <v>0</v>
      </c>
      <c r="AP517" s="80">
        <f>AM517-AN517</f>
        <v>0</v>
      </c>
      <c r="AQ517" s="80">
        <f>AD517-AM517-AO517</f>
        <v>0</v>
      </c>
      <c r="AR517" s="80">
        <f>IF(AM517=0,0,AK517-AN517*AK517/AM517)</f>
        <v>0</v>
      </c>
      <c r="AS517" s="80">
        <f>IF(AD517-AM517=0,0,(AJ517-AK517)-AO517*(AJ517-AK517)/(AD517-AM517))</f>
        <v>0</v>
      </c>
      <c r="AT517" s="80" t="str">
        <f>IF(AC517=1,INT(B517)+1,"")</f>
        <v/>
      </c>
      <c r="AU517" s="80">
        <f>IF(AND(D517="proMX",R517="Cancelled"),0,1)</f>
        <v>1</v>
      </c>
      <c r="AV517" s="80">
        <f>IF(AND(AB517=1,AU517=1),IF(COUNTIFS($D$5:D516,D517,$B$5:B516,B517,$Z$5:Z516,Z517,$AA$5:AA516,AA517,$F$5:F516,F517&amp;"",$AU$5:AU516,1)&gt;0,1,0),0)</f>
        <v>0</v>
      </c>
      <c r="AW517" s="80" t="str">
        <f>IF(AB517=1,INT(B517)*1440+Z517,"")</f>
        <v/>
      </c>
      <c r="AX517" s="80" t="str">
        <f>IF(AB517=1,AW517+AD517,"")</f>
        <v/>
      </c>
      <c r="AY517" s="80">
        <f>IF(AND(AB517=1,AV517=0,AU517=1),1,0)</f>
        <v>0</v>
      </c>
      <c r="AZ517" s="80">
        <f>IF(AY517=1,COUNTIFS(R_Emp,D517,R_SAbs,"&lt;"&amp;AX517,R_EAbs,"&gt;"&amp;AW517,R_OKey,1)-1,0)</f>
        <v>0</v>
      </c>
      <c r="BA517" s="80">
        <f>IF(AY517=1,COUNTIFS(R_Emp,"&lt;&gt;"&amp;D517,R_SAbs,"&lt;"&amp;AX517,R_EAbs,"&gt;"&amp;AW517,R_OKey,1),0)</f>
        <v>0</v>
      </c>
      <c r="BB517" s="80">
        <f>IF(AND(AB517=1,D517="proMX"),IF(AND(MOD(Z517,CFG_BLK)=0,MOD(AA517,CFG_BLK)=0,MOD(AG517,CFG_BLK)=0,AG517&gt;0),1,0),1)</f>
        <v>1</v>
      </c>
      <c r="BC517" s="80" t="str">
        <f>IF(Y517=0,"",IF(NOT(ISNUMBER(B517)),"Falta fecha o fecha inválida",IF(D517="","Falta empresa",IF(AND(D517&lt;&gt;"Malcolm",D517&lt;&gt;"proMX"),"Empresa inválida",IF(OR(INT(B517)&lt;CFG_PSTART,INT(B517)&gt;CFG_PEND),"Fecha fuera del período",IF(OR(NOT(ISNUMBER(Z517)),NOT(ISNUMBER(AA517))),"Falta hora inicio/fin o formato inválido",IF(AB517=0,"Hora inicio = hora fin",IF(AE517&lt;0,"Descanso inválido",IF(AE517&gt;=AD517,"Descanso ≥ duración",IF(AV517=1,"Registro duplicado",IF(AZ517&gt;0,"Se superpone con otro registro "&amp;D517,IF(BB517=0,"inicio, fin y duración neta deben ser múltiplos de "&amp;CFG_BLK&amp;" min",""))))))))))))</f>
        <v/>
      </c>
      <c r="BD517" s="80">
        <f>IF(AND(Y517=1,BC517=""),1,0)</f>
        <v>0</v>
      </c>
      <c r="BE517" s="80">
        <f>IF(AND(BD517=1,AU517=1),1,0)</f>
        <v>0</v>
      </c>
      <c r="BF517" s="80" t="str">
        <f>IF(AND(D517="proMX",BD517=1),IF(R517="","Draft",R517),"")</f>
        <v/>
      </c>
      <c r="BG517" s="80">
        <f>IF(BD517=1,ROUND(AG517/60,6),0)</f>
        <v>0</v>
      </c>
      <c r="BH517" s="80">
        <f>IF(BE517=1,ROUND(AG517/60,6),0)</f>
        <v>0</v>
      </c>
      <c r="BI517" s="80">
        <f>IF(BE517=1,ROUND(AP517/60,6),0)</f>
        <v>0</v>
      </c>
      <c r="BJ517" s="80">
        <f>IF(BE517=1,ROUND(AQ517/60,6),0)</f>
        <v>0</v>
      </c>
      <c r="BK517" s="80">
        <f>IF(BE517=1,ROUND((AR517+AS517)/60,6),0)</f>
        <v>0</v>
      </c>
      <c r="BL517" s="80">
        <f>ROUND(BH517-BK517,6)</f>
        <v>0</v>
      </c>
      <c r="BM517" s="80">
        <f>IF(BE517=1,ROUND(AR517/60,6),0)</f>
        <v>0</v>
      </c>
      <c r="BN517" s="80">
        <f>ROUND(BI517-BM517,6)</f>
        <v>0</v>
      </c>
      <c r="BO517" s="80">
        <f>IF(BE517=1,ROUND(AS517/60,6),0)</f>
        <v>0</v>
      </c>
      <c r="BP517" s="80">
        <f>ROUND(BJ517-BO517,6)</f>
        <v>0</v>
      </c>
      <c r="BQ517" s="80">
        <f>IF(BE517=1,AW517,0)</f>
        <v>0</v>
      </c>
      <c r="BR517" s="80">
        <f>IF(BE517=1,AX517,0)</f>
        <v>0</v>
      </c>
      <c r="BS517" s="80">
        <f>IF(AND(BE517=1,D517="Malcolm",BA517&gt;0),MIN(BH517,SUMPRODUCT((R_Emp="proMX")*(R_EN&gt;0)*((R_EN-(R_EN&gt;BR517)*(R_EN-BR517))&gt;(R_SN+(R_SN&lt;BQ517)*(BQ517-R_SN)))*((R_EN-(R_EN&gt;BR517)*(R_EN-BR517))-(R_SN+(R_SN&lt;BQ517)*(BQ517-R_SN))))/60),0)</f>
        <v>0</v>
      </c>
      <c r="BT517" s="80">
        <f>IF(AND(BE517=1,D517="proMX"),ROUND(BI517*CFG_RATE+BJ517*CFG_OTRATE,6),0)</f>
        <v>0</v>
      </c>
      <c r="BU517" s="80">
        <f>IF(AND(BD517=1,D517="proMX"),ROUND(AG517/CFG_BLK,6),0)</f>
        <v>0</v>
      </c>
      <c r="BV517" s="80" t="str">
        <f>IF(BF517="Approved",IF(ISNUMBER(T517),INT(T517),INT(B517)),"")</f>
        <v/>
      </c>
      <c r="BW517" s="80">
        <f>IF(ISNUMBER(B517),IF(DB_MON="Todos",1,IF(AND(INT(B517)&gt;=DB_MS,INT(B517)&lt;=DB_ME),1,0)),0)</f>
        <v>0</v>
      </c>
      <c r="BX517" s="80">
        <f>IF(DB_PROJ="Todos",1,IF(E517&amp;""=DB_PROJ&amp;"",1,0))</f>
        <v>1</v>
      </c>
      <c r="BY517" s="80">
        <f>BW517*BX517</f>
        <v>0</v>
      </c>
      <c r="BZ517" s="80" t="str">
        <f>IF(Y517=1,F517&amp;IF(AND(F517&amp;""&lt;&gt;"",E517&amp;""&lt;&gt;"")," · ","")&amp;E517,"")</f>
        <v/>
      </c>
      <c r="CA517" s="80" t="str">
        <f>IF(AND(BD517=1,E517&amp;""&lt;&gt;""),IF(COUNTIFS($E$5:E516,E517,$BD$5:BD516,1)=0,MAX($CA$5:CA516)+1,""),"")</f>
        <v/>
      </c>
      <c r="CB517" s="80" t="str">
        <f>IF(AND(BE517=1,D517="Malcolm",E517&amp;""&lt;&gt;""),IF(COUNTIFS($D$5:D516,"Malcolm",$E$5:E516,E517,$BE$5:BE516,1)=0,MAX($CB$5:CB516)+1,""),"")</f>
        <v/>
      </c>
      <c r="CC517" s="80" t="str">
        <f>IF(AND(BD517=1,D517="proMX",E517&amp;""&lt;&gt;""),IF(COUNTIFS($D$5:D516,"proMX",$E$5:E516,E517,$BD$5:BD516,1)=0,MAX($CC$5:CC516)+1,""),"")</f>
        <v/>
      </c>
      <c r="CD517" s="80" t="str">
        <f>IF(AND(BE517=1,D517="Malcolm",F517&amp;""&lt;&gt;""),IF(COUNTIFS($D$5:D516,"Malcolm",$F$5:F516,F517,$BE$5:BE516,1)=0,MAX($CD$5:CD516)+1,""),"")</f>
        <v/>
      </c>
      <c r="CE517" s="80" t="str">
        <f>IF(AND(BD517=1,D517="proMX",F517&amp;""&lt;&gt;""),IF(COUNTIFS($D$5:D516,"proMX",$F$5:F516,F517,$BD$5:BD516,1)=0,MAX($CE$5:CE516)+1,""),"")</f>
        <v/>
      </c>
      <c r="CF517" s="80" t="str">
        <f>IF(AND(D517="proMX",BD517=1),IF(OR(BF517="Draft",BF517="Submitted",BF517="Returned",BF517="Recall Requested"),MAX($CF$5:CF516)+1,""),"")</f>
        <v/>
      </c>
      <c r="CG517" s="80">
        <f>IF(BD517=0,0,IF(D517="Malcolm",1,MATCH(BF517,{"Draft","Submitted","Approved","Returned","Recall Requested","Cancelled"},0)+1))</f>
        <v>0</v>
      </c>
      <c r="CH517" s="80">
        <f>IF(AND(BF517="Submitted",ISNUMBER(V517)),IF(V517&gt;CFG_MAXD,1,0),0)</f>
        <v>0</v>
      </c>
    </row>
    <row r="518">
      <c r="A518" s="71" t="str">
        <f>IF(Y518=1,ROW()-5,"")</f>
        <v/>
      </c>
      <c r="B518" s="72" t="n"/>
      <c r="C518" s="71" t="str">
        <f>IF(ISNUMBER(B518),CHOOSE(WEEKDAY(B518,2),"Lun","Mar","Mié","Jue","Vie","Sáb","Dom"),"")</f>
        <v/>
      </c>
      <c r="D518" s="73" t="n"/>
      <c r="E518" s="74" t="n"/>
      <c r="F518" s="74" t="n"/>
      <c r="G518" s="74" t="n"/>
      <c r="H518" s="75" t="n"/>
      <c r="I518" s="75" t="n"/>
      <c r="J518" s="76" t="n"/>
      <c r="K518" s="77" t="str">
        <f>IF(AB518=1,ROUND(AG518/60,4),"")</f>
        <v/>
      </c>
      <c r="L518" s="77" t="str">
        <f>IF(BD518=1,ROUND(AP518/60,4),"")</f>
        <v/>
      </c>
      <c r="M518" s="77" t="str">
        <f>IF(BD518=1,ROUND(AQ518/60,4),"")</f>
        <v/>
      </c>
      <c r="N518" s="71" t="str">
        <f>IF(AND(D518="proMX",AB518=1),ROUND(AG518/CFG_BLK,2),"")</f>
        <v/>
      </c>
      <c r="O518" s="77" t="str">
        <f>IF(D518="proMX",IF(BD518=1,ROUND(AG518/60,4),0),"")</f>
        <v/>
      </c>
      <c r="P518" s="78" t="str">
        <f>IF(Y518=0,"",IF(BD518=1,"OK",IF(D518="proMX","Revisar bloques: ","Revisar: ")&amp;BC518))</f>
        <v/>
      </c>
      <c r="Q518" s="78" t="str">
        <f>IF(NOT(ISNUMBER(B518)),"",IF(COUNTIFS(FER_F,INT(B518))&gt;0,"Feriado"&amp;IF(AH518=1," (laborable)"," (no laborable)"),IF(AH518=1,"Laborable",IF(WEEKDAY(B518,2)&gt;5,"Fin de semana","No laborable"))))</f>
        <v/>
      </c>
      <c r="R518" s="73" t="n"/>
      <c r="S518" s="72" t="n"/>
      <c r="T518" s="72" t="n"/>
      <c r="U518" s="74" t="n"/>
      <c r="V518" s="79" t="str">
        <f>IF(AND(D518="proMX",OR(R518="Submitted",R518="Recall Requested"),ISNUMBER(S518)),CFG_TODAY-INT(S518),"")</f>
        <v/>
      </c>
      <c r="W518" s="78" t="str">
        <f>IF(BD518=0,"",IF(BA518&gt;0,"⚠ Se superpone con un registro de la otra empresa",IF(D518="Malcolm",IF(COUNTA(R518,S518,T518)&gt;0,"Estado/fechas proMX se ignoran en Malcolm",""),IF(BF518="Cancelled","Cancelado: excluido de totales",IF(R518="","Sin estado: se trata como Draft",IF(BF518="Submitted",IF(ISNUMBER(V518),IF(V518&gt;CFG_MAXD,"⚠ "&amp;V518&amp;" días en Submitted (máx. "&amp;CFG_MAXD&amp;")",""),"Falta fecha de envío"),IF(BF518="Returned","⚠ Devuelto: corregir y reenviar",IF(BF518="Recall Requested","Retirada solicitada: pendiente",IF(AND(BF518="Approved",NOT(ISNUMBER(T518))),"Falta fecha de aprobación",IF(AND(ISNUMBER(S518),ISNUMBER(T518),T518&lt;S518),"Aprobación anterior al envío","")))))))))</f>
        <v/>
      </c>
      <c r="Y518" s="80">
        <f>IF(COUNTA(B518,D518,E518,F518,G518,H518,I518,J518,R518,S518,T518)&gt;0,1,0)</f>
        <v>0</v>
      </c>
      <c r="Z518" s="80" t="str">
        <f>IF(AND(ISNUMBER(H518),H518&gt;=0,H518&lt;1),ROUND(H518*1440,0),"")</f>
        <v/>
      </c>
      <c r="AA518" s="80" t="str">
        <f>IF(AND(ISNUMBER(I518),I518&gt;=0,I518&lt;1),ROUND(I518*1440,0),"")</f>
        <v/>
      </c>
      <c r="AB518" s="80">
        <f>IF(AND(ISNUMBER(B518),D518&lt;&gt;"",ISNUMBER(Z518),ISNUMBER(AA518)),IF(Z518=AA518,0,1),0)</f>
        <v>0</v>
      </c>
      <c r="AC518" s="80">
        <f>IF(AB518=1,IF(AA518&lt;Z518,1,0),0)</f>
        <v>0</v>
      </c>
      <c r="AD518" s="80">
        <f>IF(AB518=1,IF(AC518=1,1440-Z518+AA518,AA518-Z518),0)</f>
        <v>0</v>
      </c>
      <c r="AE518" s="80">
        <f>IF(J518="",0,IF(ISNUMBER(J518),J518,-1))</f>
        <v>0</v>
      </c>
      <c r="AF518" s="80">
        <f>MIN(MAX(0,AE518),AD518)</f>
        <v>0</v>
      </c>
      <c r="AG518" s="80">
        <f>MAX(0,AD518-MAX(0,AE518))</f>
        <v>0</v>
      </c>
      <c r="AH518" s="80">
        <f>IF(ISNUMBER(B518),IF(AND(INDEX(CFG_WDAYS,WEEKDAY(INT(B518),2))="Sí",IF(D518="proMX",COUNTIFS(FER_F,INT(B518),FER_NLP,"Sí"),COUNTIFS(FER_F,INT(B518),FER_NLM,"Sí"))=0),1,0),0)</f>
        <v>0</v>
      </c>
      <c r="AI518" s="80">
        <f>IF(AC518=1,IF(AND(INDEX(CFG_WDAYS,WEEKDAY(INT(B518)+1,2))="Sí",IF(D518="proMX",COUNTIFS(FER_F,INT(B518)+1,FER_NLP,"Sí"),COUNTIFS(FER_F,INT(B518)+1,FER_NLM,"Sí"))=0),1,0),0)</f>
        <v>0</v>
      </c>
      <c r="AJ518" s="80">
        <f>IF(AC518=1,1440-Z518,AD518)</f>
        <v>0</v>
      </c>
      <c r="AK518" s="80">
        <f>IF(AND(AB518=1,AH518=1),MAX(0,MIN(IF(AC518=1,1440,AA518),CFG_WEM)-MAX(Z518,CFG_WSM)),0)</f>
        <v>0</v>
      </c>
      <c r="AL518" s="80">
        <f>IF(AND(AC518=1,AI518=1),MAX(0,MIN(AA518,CFG_WEM)-CFG_WSM),0)</f>
        <v>0</v>
      </c>
      <c r="AM518" s="80">
        <f>AK518+AL518</f>
        <v>0</v>
      </c>
      <c r="AN518" s="80">
        <f>IF(CFG_BRK="Proporcional",IF(AD518=0,0,AF518*AM518/AD518),IF(CFG_BRK="Extras primero",MIN(AM518,MAX(0,AF518-(AD518-AM518))),MIN(AF518,AM518)))</f>
        <v>0</v>
      </c>
      <c r="AO518" s="80">
        <f>AF518-AN518</f>
        <v>0</v>
      </c>
      <c r="AP518" s="80">
        <f>AM518-AN518</f>
        <v>0</v>
      </c>
      <c r="AQ518" s="80">
        <f>AD518-AM518-AO518</f>
        <v>0</v>
      </c>
      <c r="AR518" s="80">
        <f>IF(AM518=0,0,AK518-AN518*AK518/AM518)</f>
        <v>0</v>
      </c>
      <c r="AS518" s="80">
        <f>IF(AD518-AM518=0,0,(AJ518-AK518)-AO518*(AJ518-AK518)/(AD518-AM518))</f>
        <v>0</v>
      </c>
      <c r="AT518" s="80" t="str">
        <f>IF(AC518=1,INT(B518)+1,"")</f>
        <v/>
      </c>
      <c r="AU518" s="80">
        <f>IF(AND(D518="proMX",R518="Cancelled"),0,1)</f>
        <v>1</v>
      </c>
      <c r="AV518" s="80">
        <f>IF(AND(AB518=1,AU518=1),IF(COUNTIFS($D$5:D517,D518,$B$5:B517,B518,$Z$5:Z517,Z518,$AA$5:AA517,AA518,$F$5:F517,F518&amp;"",$AU$5:AU517,1)&gt;0,1,0),0)</f>
        <v>0</v>
      </c>
      <c r="AW518" s="80" t="str">
        <f>IF(AB518=1,INT(B518)*1440+Z518,"")</f>
        <v/>
      </c>
      <c r="AX518" s="80" t="str">
        <f>IF(AB518=1,AW518+AD518,"")</f>
        <v/>
      </c>
      <c r="AY518" s="80">
        <f>IF(AND(AB518=1,AV518=0,AU518=1),1,0)</f>
        <v>0</v>
      </c>
      <c r="AZ518" s="80">
        <f>IF(AY518=1,COUNTIFS(R_Emp,D518,R_SAbs,"&lt;"&amp;AX518,R_EAbs,"&gt;"&amp;AW518,R_OKey,1)-1,0)</f>
        <v>0</v>
      </c>
      <c r="BA518" s="80">
        <f>IF(AY518=1,COUNTIFS(R_Emp,"&lt;&gt;"&amp;D518,R_SAbs,"&lt;"&amp;AX518,R_EAbs,"&gt;"&amp;AW518,R_OKey,1),0)</f>
        <v>0</v>
      </c>
      <c r="BB518" s="80">
        <f>IF(AND(AB518=1,D518="proMX"),IF(AND(MOD(Z518,CFG_BLK)=0,MOD(AA518,CFG_BLK)=0,MOD(AG518,CFG_BLK)=0,AG518&gt;0),1,0),1)</f>
        <v>1</v>
      </c>
      <c r="BC518" s="80" t="str">
        <f>IF(Y518=0,"",IF(NOT(ISNUMBER(B518)),"Falta fecha o fecha inválida",IF(D518="","Falta empresa",IF(AND(D518&lt;&gt;"Malcolm",D518&lt;&gt;"proMX"),"Empresa inválida",IF(OR(INT(B518)&lt;CFG_PSTART,INT(B518)&gt;CFG_PEND),"Fecha fuera del período",IF(OR(NOT(ISNUMBER(Z518)),NOT(ISNUMBER(AA518))),"Falta hora inicio/fin o formato inválido",IF(AB518=0,"Hora inicio = hora fin",IF(AE518&lt;0,"Descanso inválido",IF(AE518&gt;=AD518,"Descanso ≥ duración",IF(AV518=1,"Registro duplicado",IF(AZ518&gt;0,"Se superpone con otro registro "&amp;D518,IF(BB518=0,"inicio, fin y duración neta deben ser múltiplos de "&amp;CFG_BLK&amp;" min",""))))))))))))</f>
        <v/>
      </c>
      <c r="BD518" s="80">
        <f>IF(AND(Y518=1,BC518=""),1,0)</f>
        <v>0</v>
      </c>
      <c r="BE518" s="80">
        <f>IF(AND(BD518=1,AU518=1),1,0)</f>
        <v>0</v>
      </c>
      <c r="BF518" s="80" t="str">
        <f>IF(AND(D518="proMX",BD518=1),IF(R518="","Draft",R518),"")</f>
        <v/>
      </c>
      <c r="BG518" s="80">
        <f>IF(BD518=1,ROUND(AG518/60,6),0)</f>
        <v>0</v>
      </c>
      <c r="BH518" s="80">
        <f>IF(BE518=1,ROUND(AG518/60,6),0)</f>
        <v>0</v>
      </c>
      <c r="BI518" s="80">
        <f>IF(BE518=1,ROUND(AP518/60,6),0)</f>
        <v>0</v>
      </c>
      <c r="BJ518" s="80">
        <f>IF(BE518=1,ROUND(AQ518/60,6),0)</f>
        <v>0</v>
      </c>
      <c r="BK518" s="80">
        <f>IF(BE518=1,ROUND((AR518+AS518)/60,6),0)</f>
        <v>0</v>
      </c>
      <c r="BL518" s="80">
        <f>ROUND(BH518-BK518,6)</f>
        <v>0</v>
      </c>
      <c r="BM518" s="80">
        <f>IF(BE518=1,ROUND(AR518/60,6),0)</f>
        <v>0</v>
      </c>
      <c r="BN518" s="80">
        <f>ROUND(BI518-BM518,6)</f>
        <v>0</v>
      </c>
      <c r="BO518" s="80">
        <f>IF(BE518=1,ROUND(AS518/60,6),0)</f>
        <v>0</v>
      </c>
      <c r="BP518" s="80">
        <f>ROUND(BJ518-BO518,6)</f>
        <v>0</v>
      </c>
      <c r="BQ518" s="80">
        <f>IF(BE518=1,AW518,0)</f>
        <v>0</v>
      </c>
      <c r="BR518" s="80">
        <f>IF(BE518=1,AX518,0)</f>
        <v>0</v>
      </c>
      <c r="BS518" s="80">
        <f>IF(AND(BE518=1,D518="Malcolm",BA518&gt;0),MIN(BH518,SUMPRODUCT((R_Emp="proMX")*(R_EN&gt;0)*((R_EN-(R_EN&gt;BR518)*(R_EN-BR518))&gt;(R_SN+(R_SN&lt;BQ518)*(BQ518-R_SN)))*((R_EN-(R_EN&gt;BR518)*(R_EN-BR518))-(R_SN+(R_SN&lt;BQ518)*(BQ518-R_SN))))/60),0)</f>
        <v>0</v>
      </c>
      <c r="BT518" s="80">
        <f>IF(AND(BE518=1,D518="proMX"),ROUND(BI518*CFG_RATE+BJ518*CFG_OTRATE,6),0)</f>
        <v>0</v>
      </c>
      <c r="BU518" s="80">
        <f>IF(AND(BD518=1,D518="proMX"),ROUND(AG518/CFG_BLK,6),0)</f>
        <v>0</v>
      </c>
      <c r="BV518" s="80" t="str">
        <f>IF(BF518="Approved",IF(ISNUMBER(T518),INT(T518),INT(B518)),"")</f>
        <v/>
      </c>
      <c r="BW518" s="80">
        <f>IF(ISNUMBER(B518),IF(DB_MON="Todos",1,IF(AND(INT(B518)&gt;=DB_MS,INT(B518)&lt;=DB_ME),1,0)),0)</f>
        <v>0</v>
      </c>
      <c r="BX518" s="80">
        <f>IF(DB_PROJ="Todos",1,IF(E518&amp;""=DB_PROJ&amp;"",1,0))</f>
        <v>1</v>
      </c>
      <c r="BY518" s="80">
        <f>BW518*BX518</f>
        <v>0</v>
      </c>
      <c r="BZ518" s="80" t="str">
        <f>IF(Y518=1,F518&amp;IF(AND(F518&amp;""&lt;&gt;"",E518&amp;""&lt;&gt;"")," · ","")&amp;E518,"")</f>
        <v/>
      </c>
      <c r="CA518" s="80" t="str">
        <f>IF(AND(BD518=1,E518&amp;""&lt;&gt;""),IF(COUNTIFS($E$5:E517,E518,$BD$5:BD517,1)=0,MAX($CA$5:CA517)+1,""),"")</f>
        <v/>
      </c>
      <c r="CB518" s="80" t="str">
        <f>IF(AND(BE518=1,D518="Malcolm",E518&amp;""&lt;&gt;""),IF(COUNTIFS($D$5:D517,"Malcolm",$E$5:E517,E518,$BE$5:BE517,1)=0,MAX($CB$5:CB517)+1,""),"")</f>
        <v/>
      </c>
      <c r="CC518" s="80" t="str">
        <f>IF(AND(BD518=1,D518="proMX",E518&amp;""&lt;&gt;""),IF(COUNTIFS($D$5:D517,"proMX",$E$5:E517,E518,$BD$5:BD517,1)=0,MAX($CC$5:CC517)+1,""),"")</f>
        <v/>
      </c>
      <c r="CD518" s="80" t="str">
        <f>IF(AND(BE518=1,D518="Malcolm",F518&amp;""&lt;&gt;""),IF(COUNTIFS($D$5:D517,"Malcolm",$F$5:F517,F518,$BE$5:BE517,1)=0,MAX($CD$5:CD517)+1,""),"")</f>
        <v/>
      </c>
      <c r="CE518" s="80" t="str">
        <f>IF(AND(BD518=1,D518="proMX",F518&amp;""&lt;&gt;""),IF(COUNTIFS($D$5:D517,"proMX",$F$5:F517,F518,$BD$5:BD517,1)=0,MAX($CE$5:CE517)+1,""),"")</f>
        <v/>
      </c>
      <c r="CF518" s="80" t="str">
        <f>IF(AND(D518="proMX",BD518=1),IF(OR(BF518="Draft",BF518="Submitted",BF518="Returned",BF518="Recall Requested"),MAX($CF$5:CF517)+1,""),"")</f>
        <v/>
      </c>
      <c r="CG518" s="80">
        <f>IF(BD518=0,0,IF(D518="Malcolm",1,MATCH(BF518,{"Draft","Submitted","Approved","Returned","Recall Requested","Cancelled"},0)+1))</f>
        <v>0</v>
      </c>
      <c r="CH518" s="80">
        <f>IF(AND(BF518="Submitted",ISNUMBER(V518)),IF(V518&gt;CFG_MAXD,1,0),0)</f>
        <v>0</v>
      </c>
    </row>
    <row r="519">
      <c r="A519" s="71" t="str">
        <f>IF(Y519=1,ROW()-5,"")</f>
        <v/>
      </c>
      <c r="B519" s="72" t="n"/>
      <c r="C519" s="71" t="str">
        <f>IF(ISNUMBER(B519),CHOOSE(WEEKDAY(B519,2),"Lun","Mar","Mié","Jue","Vie","Sáb","Dom"),"")</f>
        <v/>
      </c>
      <c r="D519" s="73" t="n"/>
      <c r="E519" s="74" t="n"/>
      <c r="F519" s="74" t="n"/>
      <c r="G519" s="74" t="n"/>
      <c r="H519" s="75" t="n"/>
      <c r="I519" s="75" t="n"/>
      <c r="J519" s="76" t="n"/>
      <c r="K519" s="77" t="str">
        <f>IF(AB519=1,ROUND(AG519/60,4),"")</f>
        <v/>
      </c>
      <c r="L519" s="77" t="str">
        <f>IF(BD519=1,ROUND(AP519/60,4),"")</f>
        <v/>
      </c>
      <c r="M519" s="77" t="str">
        <f>IF(BD519=1,ROUND(AQ519/60,4),"")</f>
        <v/>
      </c>
      <c r="N519" s="71" t="str">
        <f>IF(AND(D519="proMX",AB519=1),ROUND(AG519/CFG_BLK,2),"")</f>
        <v/>
      </c>
      <c r="O519" s="77" t="str">
        <f>IF(D519="proMX",IF(BD519=1,ROUND(AG519/60,4),0),"")</f>
        <v/>
      </c>
      <c r="P519" s="78" t="str">
        <f>IF(Y519=0,"",IF(BD519=1,"OK",IF(D519="proMX","Revisar bloques: ","Revisar: ")&amp;BC519))</f>
        <v/>
      </c>
      <c r="Q519" s="78" t="str">
        <f>IF(NOT(ISNUMBER(B519)),"",IF(COUNTIFS(FER_F,INT(B519))&gt;0,"Feriado"&amp;IF(AH519=1," (laborable)"," (no laborable)"),IF(AH519=1,"Laborable",IF(WEEKDAY(B519,2)&gt;5,"Fin de semana","No laborable"))))</f>
        <v/>
      </c>
      <c r="R519" s="73" t="n"/>
      <c r="S519" s="72" t="n"/>
      <c r="T519" s="72" t="n"/>
      <c r="U519" s="74" t="n"/>
      <c r="V519" s="79" t="str">
        <f>IF(AND(D519="proMX",OR(R519="Submitted",R519="Recall Requested"),ISNUMBER(S519)),CFG_TODAY-INT(S519),"")</f>
        <v/>
      </c>
      <c r="W519" s="78" t="str">
        <f>IF(BD519=0,"",IF(BA519&gt;0,"⚠ Se superpone con un registro de la otra empresa",IF(D519="Malcolm",IF(COUNTA(R519,S519,T519)&gt;0,"Estado/fechas proMX se ignoran en Malcolm",""),IF(BF519="Cancelled","Cancelado: excluido de totales",IF(R519="","Sin estado: se trata como Draft",IF(BF519="Submitted",IF(ISNUMBER(V519),IF(V519&gt;CFG_MAXD,"⚠ "&amp;V519&amp;" días en Submitted (máx. "&amp;CFG_MAXD&amp;")",""),"Falta fecha de envío"),IF(BF519="Returned","⚠ Devuelto: corregir y reenviar",IF(BF519="Recall Requested","Retirada solicitada: pendiente",IF(AND(BF519="Approved",NOT(ISNUMBER(T519))),"Falta fecha de aprobación",IF(AND(ISNUMBER(S519),ISNUMBER(T519),T519&lt;S519),"Aprobación anterior al envío","")))))))))</f>
        <v/>
      </c>
      <c r="Y519" s="80">
        <f>IF(COUNTA(B519,D519,E519,F519,G519,H519,I519,J519,R519,S519,T519)&gt;0,1,0)</f>
        <v>0</v>
      </c>
      <c r="Z519" s="80" t="str">
        <f>IF(AND(ISNUMBER(H519),H519&gt;=0,H519&lt;1),ROUND(H519*1440,0),"")</f>
        <v/>
      </c>
      <c r="AA519" s="80" t="str">
        <f>IF(AND(ISNUMBER(I519),I519&gt;=0,I519&lt;1),ROUND(I519*1440,0),"")</f>
        <v/>
      </c>
      <c r="AB519" s="80">
        <f>IF(AND(ISNUMBER(B519),D519&lt;&gt;"",ISNUMBER(Z519),ISNUMBER(AA519)),IF(Z519=AA519,0,1),0)</f>
        <v>0</v>
      </c>
      <c r="AC519" s="80">
        <f>IF(AB519=1,IF(AA519&lt;Z519,1,0),0)</f>
        <v>0</v>
      </c>
      <c r="AD519" s="80">
        <f>IF(AB519=1,IF(AC519=1,1440-Z519+AA519,AA519-Z519),0)</f>
        <v>0</v>
      </c>
      <c r="AE519" s="80">
        <f>IF(J519="",0,IF(ISNUMBER(J519),J519,-1))</f>
        <v>0</v>
      </c>
      <c r="AF519" s="80">
        <f>MIN(MAX(0,AE519),AD519)</f>
        <v>0</v>
      </c>
      <c r="AG519" s="80">
        <f>MAX(0,AD519-MAX(0,AE519))</f>
        <v>0</v>
      </c>
      <c r="AH519" s="80">
        <f>IF(ISNUMBER(B519),IF(AND(INDEX(CFG_WDAYS,WEEKDAY(INT(B519),2))="Sí",IF(D519="proMX",COUNTIFS(FER_F,INT(B519),FER_NLP,"Sí"),COUNTIFS(FER_F,INT(B519),FER_NLM,"Sí"))=0),1,0),0)</f>
        <v>0</v>
      </c>
      <c r="AI519" s="80">
        <f>IF(AC519=1,IF(AND(INDEX(CFG_WDAYS,WEEKDAY(INT(B519)+1,2))="Sí",IF(D519="proMX",COUNTIFS(FER_F,INT(B519)+1,FER_NLP,"Sí"),COUNTIFS(FER_F,INT(B519)+1,FER_NLM,"Sí"))=0),1,0),0)</f>
        <v>0</v>
      </c>
      <c r="AJ519" s="80">
        <f>IF(AC519=1,1440-Z519,AD519)</f>
        <v>0</v>
      </c>
      <c r="AK519" s="80">
        <f>IF(AND(AB519=1,AH519=1),MAX(0,MIN(IF(AC519=1,1440,AA519),CFG_WEM)-MAX(Z519,CFG_WSM)),0)</f>
        <v>0</v>
      </c>
      <c r="AL519" s="80">
        <f>IF(AND(AC519=1,AI519=1),MAX(0,MIN(AA519,CFG_WEM)-CFG_WSM),0)</f>
        <v>0</v>
      </c>
      <c r="AM519" s="80">
        <f>AK519+AL519</f>
        <v>0</v>
      </c>
      <c r="AN519" s="80">
        <f>IF(CFG_BRK="Proporcional",IF(AD519=0,0,AF519*AM519/AD519),IF(CFG_BRK="Extras primero",MIN(AM519,MAX(0,AF519-(AD519-AM519))),MIN(AF519,AM519)))</f>
        <v>0</v>
      </c>
      <c r="AO519" s="80">
        <f>AF519-AN519</f>
        <v>0</v>
      </c>
      <c r="AP519" s="80">
        <f>AM519-AN519</f>
        <v>0</v>
      </c>
      <c r="AQ519" s="80">
        <f>AD519-AM519-AO519</f>
        <v>0</v>
      </c>
      <c r="AR519" s="80">
        <f>IF(AM519=0,0,AK519-AN519*AK519/AM519)</f>
        <v>0</v>
      </c>
      <c r="AS519" s="80">
        <f>IF(AD519-AM519=0,0,(AJ519-AK519)-AO519*(AJ519-AK519)/(AD519-AM519))</f>
        <v>0</v>
      </c>
      <c r="AT519" s="80" t="str">
        <f>IF(AC519=1,INT(B519)+1,"")</f>
        <v/>
      </c>
      <c r="AU519" s="80">
        <f>IF(AND(D519="proMX",R519="Cancelled"),0,1)</f>
        <v>1</v>
      </c>
      <c r="AV519" s="80">
        <f>IF(AND(AB519=1,AU519=1),IF(COUNTIFS($D$5:D518,D519,$B$5:B518,B519,$Z$5:Z518,Z519,$AA$5:AA518,AA519,$F$5:F518,F519&amp;"",$AU$5:AU518,1)&gt;0,1,0),0)</f>
        <v>0</v>
      </c>
      <c r="AW519" s="80" t="str">
        <f>IF(AB519=1,INT(B519)*1440+Z519,"")</f>
        <v/>
      </c>
      <c r="AX519" s="80" t="str">
        <f>IF(AB519=1,AW519+AD519,"")</f>
        <v/>
      </c>
      <c r="AY519" s="80">
        <f>IF(AND(AB519=1,AV519=0,AU519=1),1,0)</f>
        <v>0</v>
      </c>
      <c r="AZ519" s="80">
        <f>IF(AY519=1,COUNTIFS(R_Emp,D519,R_SAbs,"&lt;"&amp;AX519,R_EAbs,"&gt;"&amp;AW519,R_OKey,1)-1,0)</f>
        <v>0</v>
      </c>
      <c r="BA519" s="80">
        <f>IF(AY519=1,COUNTIFS(R_Emp,"&lt;&gt;"&amp;D519,R_SAbs,"&lt;"&amp;AX519,R_EAbs,"&gt;"&amp;AW519,R_OKey,1),0)</f>
        <v>0</v>
      </c>
      <c r="BB519" s="80">
        <f>IF(AND(AB519=1,D519="proMX"),IF(AND(MOD(Z519,CFG_BLK)=0,MOD(AA519,CFG_BLK)=0,MOD(AG519,CFG_BLK)=0,AG519&gt;0),1,0),1)</f>
        <v>1</v>
      </c>
      <c r="BC519" s="80" t="str">
        <f>IF(Y519=0,"",IF(NOT(ISNUMBER(B519)),"Falta fecha o fecha inválida",IF(D519="","Falta empresa",IF(AND(D519&lt;&gt;"Malcolm",D519&lt;&gt;"proMX"),"Empresa inválida",IF(OR(INT(B519)&lt;CFG_PSTART,INT(B519)&gt;CFG_PEND),"Fecha fuera del período",IF(OR(NOT(ISNUMBER(Z519)),NOT(ISNUMBER(AA519))),"Falta hora inicio/fin o formato inválido",IF(AB519=0,"Hora inicio = hora fin",IF(AE519&lt;0,"Descanso inválido",IF(AE519&gt;=AD519,"Descanso ≥ duración",IF(AV519=1,"Registro duplicado",IF(AZ519&gt;0,"Se superpone con otro registro "&amp;D519,IF(BB519=0,"inicio, fin y duración neta deben ser múltiplos de "&amp;CFG_BLK&amp;" min",""))))))))))))</f>
        <v/>
      </c>
      <c r="BD519" s="80">
        <f>IF(AND(Y519=1,BC519=""),1,0)</f>
        <v>0</v>
      </c>
      <c r="BE519" s="80">
        <f>IF(AND(BD519=1,AU519=1),1,0)</f>
        <v>0</v>
      </c>
      <c r="BF519" s="80" t="str">
        <f>IF(AND(D519="proMX",BD519=1),IF(R519="","Draft",R519),"")</f>
        <v/>
      </c>
      <c r="BG519" s="80">
        <f>IF(BD519=1,ROUND(AG519/60,6),0)</f>
        <v>0</v>
      </c>
      <c r="BH519" s="80">
        <f>IF(BE519=1,ROUND(AG519/60,6),0)</f>
        <v>0</v>
      </c>
      <c r="BI519" s="80">
        <f>IF(BE519=1,ROUND(AP519/60,6),0)</f>
        <v>0</v>
      </c>
      <c r="BJ519" s="80">
        <f>IF(BE519=1,ROUND(AQ519/60,6),0)</f>
        <v>0</v>
      </c>
      <c r="BK519" s="80">
        <f>IF(BE519=1,ROUND((AR519+AS519)/60,6),0)</f>
        <v>0</v>
      </c>
      <c r="BL519" s="80">
        <f>ROUND(BH519-BK519,6)</f>
        <v>0</v>
      </c>
      <c r="BM519" s="80">
        <f>IF(BE519=1,ROUND(AR519/60,6),0)</f>
        <v>0</v>
      </c>
      <c r="BN519" s="80">
        <f>ROUND(BI519-BM519,6)</f>
        <v>0</v>
      </c>
      <c r="BO519" s="80">
        <f>IF(BE519=1,ROUND(AS519/60,6),0)</f>
        <v>0</v>
      </c>
      <c r="BP519" s="80">
        <f>ROUND(BJ519-BO519,6)</f>
        <v>0</v>
      </c>
      <c r="BQ519" s="80">
        <f>IF(BE519=1,AW519,0)</f>
        <v>0</v>
      </c>
      <c r="BR519" s="80">
        <f>IF(BE519=1,AX519,0)</f>
        <v>0</v>
      </c>
      <c r="BS519" s="80">
        <f>IF(AND(BE519=1,D519="Malcolm",BA519&gt;0),MIN(BH519,SUMPRODUCT((R_Emp="proMX")*(R_EN&gt;0)*((R_EN-(R_EN&gt;BR519)*(R_EN-BR519))&gt;(R_SN+(R_SN&lt;BQ519)*(BQ519-R_SN)))*((R_EN-(R_EN&gt;BR519)*(R_EN-BR519))-(R_SN+(R_SN&lt;BQ519)*(BQ519-R_SN))))/60),0)</f>
        <v>0</v>
      </c>
      <c r="BT519" s="80">
        <f>IF(AND(BE519=1,D519="proMX"),ROUND(BI519*CFG_RATE+BJ519*CFG_OTRATE,6),0)</f>
        <v>0</v>
      </c>
      <c r="BU519" s="80">
        <f>IF(AND(BD519=1,D519="proMX"),ROUND(AG519/CFG_BLK,6),0)</f>
        <v>0</v>
      </c>
      <c r="BV519" s="80" t="str">
        <f>IF(BF519="Approved",IF(ISNUMBER(T519),INT(T519),INT(B519)),"")</f>
        <v/>
      </c>
      <c r="BW519" s="80">
        <f>IF(ISNUMBER(B519),IF(DB_MON="Todos",1,IF(AND(INT(B519)&gt;=DB_MS,INT(B519)&lt;=DB_ME),1,0)),0)</f>
        <v>0</v>
      </c>
      <c r="BX519" s="80">
        <f>IF(DB_PROJ="Todos",1,IF(E519&amp;""=DB_PROJ&amp;"",1,0))</f>
        <v>1</v>
      </c>
      <c r="BY519" s="80">
        <f>BW519*BX519</f>
        <v>0</v>
      </c>
      <c r="BZ519" s="80" t="str">
        <f>IF(Y519=1,F519&amp;IF(AND(F519&amp;""&lt;&gt;"",E519&amp;""&lt;&gt;"")," · ","")&amp;E519,"")</f>
        <v/>
      </c>
      <c r="CA519" s="80" t="str">
        <f>IF(AND(BD519=1,E519&amp;""&lt;&gt;""),IF(COUNTIFS($E$5:E518,E519,$BD$5:BD518,1)=0,MAX($CA$5:CA518)+1,""),"")</f>
        <v/>
      </c>
      <c r="CB519" s="80" t="str">
        <f>IF(AND(BE519=1,D519="Malcolm",E519&amp;""&lt;&gt;""),IF(COUNTIFS($D$5:D518,"Malcolm",$E$5:E518,E519,$BE$5:BE518,1)=0,MAX($CB$5:CB518)+1,""),"")</f>
        <v/>
      </c>
      <c r="CC519" s="80" t="str">
        <f>IF(AND(BD519=1,D519="proMX",E519&amp;""&lt;&gt;""),IF(COUNTIFS($D$5:D518,"proMX",$E$5:E518,E519,$BD$5:BD518,1)=0,MAX($CC$5:CC518)+1,""),"")</f>
        <v/>
      </c>
      <c r="CD519" s="80" t="str">
        <f>IF(AND(BE519=1,D519="Malcolm",F519&amp;""&lt;&gt;""),IF(COUNTIFS($D$5:D518,"Malcolm",$F$5:F518,F519,$BE$5:BE518,1)=0,MAX($CD$5:CD518)+1,""),"")</f>
        <v/>
      </c>
      <c r="CE519" s="80" t="str">
        <f>IF(AND(BD519=1,D519="proMX",F519&amp;""&lt;&gt;""),IF(COUNTIFS($D$5:D518,"proMX",$F$5:F518,F519,$BD$5:BD518,1)=0,MAX($CE$5:CE518)+1,""),"")</f>
        <v/>
      </c>
      <c r="CF519" s="80" t="str">
        <f>IF(AND(D519="proMX",BD519=1),IF(OR(BF519="Draft",BF519="Submitted",BF519="Returned",BF519="Recall Requested"),MAX($CF$5:CF518)+1,""),"")</f>
        <v/>
      </c>
      <c r="CG519" s="80">
        <f>IF(BD519=0,0,IF(D519="Malcolm",1,MATCH(BF519,{"Draft","Submitted","Approved","Returned","Recall Requested","Cancelled"},0)+1))</f>
        <v>0</v>
      </c>
      <c r="CH519" s="80">
        <f>IF(AND(BF519="Submitted",ISNUMBER(V519)),IF(V519&gt;CFG_MAXD,1,0),0)</f>
        <v>0</v>
      </c>
    </row>
    <row r="520">
      <c r="A520" s="71" t="str">
        <f>IF(Y520=1,ROW()-5,"")</f>
        <v/>
      </c>
      <c r="B520" s="72" t="n"/>
      <c r="C520" s="71" t="str">
        <f>IF(ISNUMBER(B520),CHOOSE(WEEKDAY(B520,2),"Lun","Mar","Mié","Jue","Vie","Sáb","Dom"),"")</f>
        <v/>
      </c>
      <c r="D520" s="73" t="n"/>
      <c r="E520" s="74" t="n"/>
      <c r="F520" s="74" t="n"/>
      <c r="G520" s="74" t="n"/>
      <c r="H520" s="75" t="n"/>
      <c r="I520" s="75" t="n"/>
      <c r="J520" s="76" t="n"/>
      <c r="K520" s="77" t="str">
        <f>IF(AB520=1,ROUND(AG520/60,4),"")</f>
        <v/>
      </c>
      <c r="L520" s="77" t="str">
        <f>IF(BD520=1,ROUND(AP520/60,4),"")</f>
        <v/>
      </c>
      <c r="M520" s="77" t="str">
        <f>IF(BD520=1,ROUND(AQ520/60,4),"")</f>
        <v/>
      </c>
      <c r="N520" s="71" t="str">
        <f>IF(AND(D520="proMX",AB520=1),ROUND(AG520/CFG_BLK,2),"")</f>
        <v/>
      </c>
      <c r="O520" s="77" t="str">
        <f>IF(D520="proMX",IF(BD520=1,ROUND(AG520/60,4),0),"")</f>
        <v/>
      </c>
      <c r="P520" s="78" t="str">
        <f>IF(Y520=0,"",IF(BD520=1,"OK",IF(D520="proMX","Revisar bloques: ","Revisar: ")&amp;BC520))</f>
        <v/>
      </c>
      <c r="Q520" s="78" t="str">
        <f>IF(NOT(ISNUMBER(B520)),"",IF(COUNTIFS(FER_F,INT(B520))&gt;0,"Feriado"&amp;IF(AH520=1," (laborable)"," (no laborable)"),IF(AH520=1,"Laborable",IF(WEEKDAY(B520,2)&gt;5,"Fin de semana","No laborable"))))</f>
        <v/>
      </c>
      <c r="R520" s="73" t="n"/>
      <c r="S520" s="72" t="n"/>
      <c r="T520" s="72" t="n"/>
      <c r="U520" s="74" t="n"/>
      <c r="V520" s="79" t="str">
        <f>IF(AND(D520="proMX",OR(R520="Submitted",R520="Recall Requested"),ISNUMBER(S520)),CFG_TODAY-INT(S520),"")</f>
        <v/>
      </c>
      <c r="W520" s="78" t="str">
        <f>IF(BD520=0,"",IF(BA520&gt;0,"⚠ Se superpone con un registro de la otra empresa",IF(D520="Malcolm",IF(COUNTA(R520,S520,T520)&gt;0,"Estado/fechas proMX se ignoran en Malcolm",""),IF(BF520="Cancelled","Cancelado: excluido de totales",IF(R520="","Sin estado: se trata como Draft",IF(BF520="Submitted",IF(ISNUMBER(V520),IF(V520&gt;CFG_MAXD,"⚠ "&amp;V520&amp;" días en Submitted (máx. "&amp;CFG_MAXD&amp;")",""),"Falta fecha de envío"),IF(BF520="Returned","⚠ Devuelto: corregir y reenviar",IF(BF520="Recall Requested","Retirada solicitada: pendiente",IF(AND(BF520="Approved",NOT(ISNUMBER(T520))),"Falta fecha de aprobación",IF(AND(ISNUMBER(S520),ISNUMBER(T520),T520&lt;S520),"Aprobación anterior al envío","")))))))))</f>
        <v/>
      </c>
      <c r="Y520" s="80">
        <f>IF(COUNTA(B520,D520,E520,F520,G520,H520,I520,J520,R520,S520,T520)&gt;0,1,0)</f>
        <v>0</v>
      </c>
      <c r="Z520" s="80" t="str">
        <f>IF(AND(ISNUMBER(H520),H520&gt;=0,H520&lt;1),ROUND(H520*1440,0),"")</f>
        <v/>
      </c>
      <c r="AA520" s="80" t="str">
        <f>IF(AND(ISNUMBER(I520),I520&gt;=0,I520&lt;1),ROUND(I520*1440,0),"")</f>
        <v/>
      </c>
      <c r="AB520" s="80">
        <f>IF(AND(ISNUMBER(B520),D520&lt;&gt;"",ISNUMBER(Z520),ISNUMBER(AA520)),IF(Z520=AA520,0,1),0)</f>
        <v>0</v>
      </c>
      <c r="AC520" s="80">
        <f>IF(AB520=1,IF(AA520&lt;Z520,1,0),0)</f>
        <v>0</v>
      </c>
      <c r="AD520" s="80">
        <f>IF(AB520=1,IF(AC520=1,1440-Z520+AA520,AA520-Z520),0)</f>
        <v>0</v>
      </c>
      <c r="AE520" s="80">
        <f>IF(J520="",0,IF(ISNUMBER(J520),J520,-1))</f>
        <v>0</v>
      </c>
      <c r="AF520" s="80">
        <f>MIN(MAX(0,AE520),AD520)</f>
        <v>0</v>
      </c>
      <c r="AG520" s="80">
        <f>MAX(0,AD520-MAX(0,AE520))</f>
        <v>0</v>
      </c>
      <c r="AH520" s="80">
        <f>IF(ISNUMBER(B520),IF(AND(INDEX(CFG_WDAYS,WEEKDAY(INT(B520),2))="Sí",IF(D520="proMX",COUNTIFS(FER_F,INT(B520),FER_NLP,"Sí"),COUNTIFS(FER_F,INT(B520),FER_NLM,"Sí"))=0),1,0),0)</f>
        <v>0</v>
      </c>
      <c r="AI520" s="80">
        <f>IF(AC520=1,IF(AND(INDEX(CFG_WDAYS,WEEKDAY(INT(B520)+1,2))="Sí",IF(D520="proMX",COUNTIFS(FER_F,INT(B520)+1,FER_NLP,"Sí"),COUNTIFS(FER_F,INT(B520)+1,FER_NLM,"Sí"))=0),1,0),0)</f>
        <v>0</v>
      </c>
      <c r="AJ520" s="80">
        <f>IF(AC520=1,1440-Z520,AD520)</f>
        <v>0</v>
      </c>
      <c r="AK520" s="80">
        <f>IF(AND(AB520=1,AH520=1),MAX(0,MIN(IF(AC520=1,1440,AA520),CFG_WEM)-MAX(Z520,CFG_WSM)),0)</f>
        <v>0</v>
      </c>
      <c r="AL520" s="80">
        <f>IF(AND(AC520=1,AI520=1),MAX(0,MIN(AA520,CFG_WEM)-CFG_WSM),0)</f>
        <v>0</v>
      </c>
      <c r="AM520" s="80">
        <f>AK520+AL520</f>
        <v>0</v>
      </c>
      <c r="AN520" s="80">
        <f>IF(CFG_BRK="Proporcional",IF(AD520=0,0,AF520*AM520/AD520),IF(CFG_BRK="Extras primero",MIN(AM520,MAX(0,AF520-(AD520-AM520))),MIN(AF520,AM520)))</f>
        <v>0</v>
      </c>
      <c r="AO520" s="80">
        <f>AF520-AN520</f>
        <v>0</v>
      </c>
      <c r="AP520" s="80">
        <f>AM520-AN520</f>
        <v>0</v>
      </c>
      <c r="AQ520" s="80">
        <f>AD520-AM520-AO520</f>
        <v>0</v>
      </c>
      <c r="AR520" s="80">
        <f>IF(AM520=0,0,AK520-AN520*AK520/AM520)</f>
        <v>0</v>
      </c>
      <c r="AS520" s="80">
        <f>IF(AD520-AM520=0,0,(AJ520-AK520)-AO520*(AJ520-AK520)/(AD520-AM520))</f>
        <v>0</v>
      </c>
      <c r="AT520" s="80" t="str">
        <f>IF(AC520=1,INT(B520)+1,"")</f>
        <v/>
      </c>
      <c r="AU520" s="80">
        <f>IF(AND(D520="proMX",R520="Cancelled"),0,1)</f>
        <v>1</v>
      </c>
      <c r="AV520" s="80">
        <f>IF(AND(AB520=1,AU520=1),IF(COUNTIFS($D$5:D519,D520,$B$5:B519,B520,$Z$5:Z519,Z520,$AA$5:AA519,AA520,$F$5:F519,F520&amp;"",$AU$5:AU519,1)&gt;0,1,0),0)</f>
        <v>0</v>
      </c>
      <c r="AW520" s="80" t="str">
        <f>IF(AB520=1,INT(B520)*1440+Z520,"")</f>
        <v/>
      </c>
      <c r="AX520" s="80" t="str">
        <f>IF(AB520=1,AW520+AD520,"")</f>
        <v/>
      </c>
      <c r="AY520" s="80">
        <f>IF(AND(AB520=1,AV520=0,AU520=1),1,0)</f>
        <v>0</v>
      </c>
      <c r="AZ520" s="80">
        <f>IF(AY520=1,COUNTIFS(R_Emp,D520,R_SAbs,"&lt;"&amp;AX520,R_EAbs,"&gt;"&amp;AW520,R_OKey,1)-1,0)</f>
        <v>0</v>
      </c>
      <c r="BA520" s="80">
        <f>IF(AY520=1,COUNTIFS(R_Emp,"&lt;&gt;"&amp;D520,R_SAbs,"&lt;"&amp;AX520,R_EAbs,"&gt;"&amp;AW520,R_OKey,1),0)</f>
        <v>0</v>
      </c>
      <c r="BB520" s="80">
        <f>IF(AND(AB520=1,D520="proMX"),IF(AND(MOD(Z520,CFG_BLK)=0,MOD(AA520,CFG_BLK)=0,MOD(AG520,CFG_BLK)=0,AG520&gt;0),1,0),1)</f>
        <v>1</v>
      </c>
      <c r="BC520" s="80" t="str">
        <f>IF(Y520=0,"",IF(NOT(ISNUMBER(B520)),"Falta fecha o fecha inválida",IF(D520="","Falta empresa",IF(AND(D520&lt;&gt;"Malcolm",D520&lt;&gt;"proMX"),"Empresa inválida",IF(OR(INT(B520)&lt;CFG_PSTART,INT(B520)&gt;CFG_PEND),"Fecha fuera del período",IF(OR(NOT(ISNUMBER(Z520)),NOT(ISNUMBER(AA520))),"Falta hora inicio/fin o formato inválido",IF(AB520=0,"Hora inicio = hora fin",IF(AE520&lt;0,"Descanso inválido",IF(AE520&gt;=AD520,"Descanso ≥ duración",IF(AV520=1,"Registro duplicado",IF(AZ520&gt;0,"Se superpone con otro registro "&amp;D520,IF(BB520=0,"inicio, fin y duración neta deben ser múltiplos de "&amp;CFG_BLK&amp;" min",""))))))))))))</f>
        <v/>
      </c>
      <c r="BD520" s="80">
        <f>IF(AND(Y520=1,BC520=""),1,0)</f>
        <v>0</v>
      </c>
      <c r="BE520" s="80">
        <f>IF(AND(BD520=1,AU520=1),1,0)</f>
        <v>0</v>
      </c>
      <c r="BF520" s="80" t="str">
        <f>IF(AND(D520="proMX",BD520=1),IF(R520="","Draft",R520),"")</f>
        <v/>
      </c>
      <c r="BG520" s="80">
        <f>IF(BD520=1,ROUND(AG520/60,6),0)</f>
        <v>0</v>
      </c>
      <c r="BH520" s="80">
        <f>IF(BE520=1,ROUND(AG520/60,6),0)</f>
        <v>0</v>
      </c>
      <c r="BI520" s="80">
        <f>IF(BE520=1,ROUND(AP520/60,6),0)</f>
        <v>0</v>
      </c>
      <c r="BJ520" s="80">
        <f>IF(BE520=1,ROUND(AQ520/60,6),0)</f>
        <v>0</v>
      </c>
      <c r="BK520" s="80">
        <f>IF(BE520=1,ROUND((AR520+AS520)/60,6),0)</f>
        <v>0</v>
      </c>
      <c r="BL520" s="80">
        <f>ROUND(BH520-BK520,6)</f>
        <v>0</v>
      </c>
      <c r="BM520" s="80">
        <f>IF(BE520=1,ROUND(AR520/60,6),0)</f>
        <v>0</v>
      </c>
      <c r="BN520" s="80">
        <f>ROUND(BI520-BM520,6)</f>
        <v>0</v>
      </c>
      <c r="BO520" s="80">
        <f>IF(BE520=1,ROUND(AS520/60,6),0)</f>
        <v>0</v>
      </c>
      <c r="BP520" s="80">
        <f>ROUND(BJ520-BO520,6)</f>
        <v>0</v>
      </c>
      <c r="BQ520" s="80">
        <f>IF(BE520=1,AW520,0)</f>
        <v>0</v>
      </c>
      <c r="BR520" s="80">
        <f>IF(BE520=1,AX520,0)</f>
        <v>0</v>
      </c>
      <c r="BS520" s="80">
        <f>IF(AND(BE520=1,D520="Malcolm",BA520&gt;0),MIN(BH520,SUMPRODUCT((R_Emp="proMX")*(R_EN&gt;0)*((R_EN-(R_EN&gt;BR520)*(R_EN-BR520))&gt;(R_SN+(R_SN&lt;BQ520)*(BQ520-R_SN)))*((R_EN-(R_EN&gt;BR520)*(R_EN-BR520))-(R_SN+(R_SN&lt;BQ520)*(BQ520-R_SN))))/60),0)</f>
        <v>0</v>
      </c>
      <c r="BT520" s="80">
        <f>IF(AND(BE520=1,D520="proMX"),ROUND(BI520*CFG_RATE+BJ520*CFG_OTRATE,6),0)</f>
        <v>0</v>
      </c>
      <c r="BU520" s="80">
        <f>IF(AND(BD520=1,D520="proMX"),ROUND(AG520/CFG_BLK,6),0)</f>
        <v>0</v>
      </c>
      <c r="BV520" s="80" t="str">
        <f>IF(BF520="Approved",IF(ISNUMBER(T520),INT(T520),INT(B520)),"")</f>
        <v/>
      </c>
      <c r="BW520" s="80">
        <f>IF(ISNUMBER(B520),IF(DB_MON="Todos",1,IF(AND(INT(B520)&gt;=DB_MS,INT(B520)&lt;=DB_ME),1,0)),0)</f>
        <v>0</v>
      </c>
      <c r="BX520" s="80">
        <f>IF(DB_PROJ="Todos",1,IF(E520&amp;""=DB_PROJ&amp;"",1,0))</f>
        <v>1</v>
      </c>
      <c r="BY520" s="80">
        <f>BW520*BX520</f>
        <v>0</v>
      </c>
      <c r="BZ520" s="80" t="str">
        <f>IF(Y520=1,F520&amp;IF(AND(F520&amp;""&lt;&gt;"",E520&amp;""&lt;&gt;"")," · ","")&amp;E520,"")</f>
        <v/>
      </c>
      <c r="CA520" s="80" t="str">
        <f>IF(AND(BD520=1,E520&amp;""&lt;&gt;""),IF(COUNTIFS($E$5:E519,E520,$BD$5:BD519,1)=0,MAX($CA$5:CA519)+1,""),"")</f>
        <v/>
      </c>
      <c r="CB520" s="80" t="str">
        <f>IF(AND(BE520=1,D520="Malcolm",E520&amp;""&lt;&gt;""),IF(COUNTIFS($D$5:D519,"Malcolm",$E$5:E519,E520,$BE$5:BE519,1)=0,MAX($CB$5:CB519)+1,""),"")</f>
        <v/>
      </c>
      <c r="CC520" s="80" t="str">
        <f>IF(AND(BD520=1,D520="proMX",E520&amp;""&lt;&gt;""),IF(COUNTIFS($D$5:D519,"proMX",$E$5:E519,E520,$BD$5:BD519,1)=0,MAX($CC$5:CC519)+1,""),"")</f>
        <v/>
      </c>
      <c r="CD520" s="80" t="str">
        <f>IF(AND(BE520=1,D520="Malcolm",F520&amp;""&lt;&gt;""),IF(COUNTIFS($D$5:D519,"Malcolm",$F$5:F519,F520,$BE$5:BE519,1)=0,MAX($CD$5:CD519)+1,""),"")</f>
        <v/>
      </c>
      <c r="CE520" s="80" t="str">
        <f>IF(AND(BD520=1,D520="proMX",F520&amp;""&lt;&gt;""),IF(COUNTIFS($D$5:D519,"proMX",$F$5:F519,F520,$BD$5:BD519,1)=0,MAX($CE$5:CE519)+1,""),"")</f>
        <v/>
      </c>
      <c r="CF520" s="80" t="str">
        <f>IF(AND(D520="proMX",BD520=1),IF(OR(BF520="Draft",BF520="Submitted",BF520="Returned",BF520="Recall Requested"),MAX($CF$5:CF519)+1,""),"")</f>
        <v/>
      </c>
      <c r="CG520" s="80">
        <f>IF(BD520=0,0,IF(D520="Malcolm",1,MATCH(BF520,{"Draft","Submitted","Approved","Returned","Recall Requested","Cancelled"},0)+1))</f>
        <v>0</v>
      </c>
      <c r="CH520" s="80">
        <f>IF(AND(BF520="Submitted",ISNUMBER(V520)),IF(V520&gt;CFG_MAXD,1,0),0)</f>
        <v>0</v>
      </c>
    </row>
    <row r="521">
      <c r="A521" s="71" t="str">
        <f>IF(Y521=1,ROW()-5,"")</f>
        <v/>
      </c>
      <c r="B521" s="72" t="n"/>
      <c r="C521" s="71" t="str">
        <f>IF(ISNUMBER(B521),CHOOSE(WEEKDAY(B521,2),"Lun","Mar","Mié","Jue","Vie","Sáb","Dom"),"")</f>
        <v/>
      </c>
      <c r="D521" s="73" t="n"/>
      <c r="E521" s="74" t="n"/>
      <c r="F521" s="74" t="n"/>
      <c r="G521" s="74" t="n"/>
      <c r="H521" s="75" t="n"/>
      <c r="I521" s="75" t="n"/>
      <c r="J521" s="76" t="n"/>
      <c r="K521" s="77" t="str">
        <f>IF(AB521=1,ROUND(AG521/60,4),"")</f>
        <v/>
      </c>
      <c r="L521" s="77" t="str">
        <f>IF(BD521=1,ROUND(AP521/60,4),"")</f>
        <v/>
      </c>
      <c r="M521" s="77" t="str">
        <f>IF(BD521=1,ROUND(AQ521/60,4),"")</f>
        <v/>
      </c>
      <c r="N521" s="71" t="str">
        <f>IF(AND(D521="proMX",AB521=1),ROUND(AG521/CFG_BLK,2),"")</f>
        <v/>
      </c>
      <c r="O521" s="77" t="str">
        <f>IF(D521="proMX",IF(BD521=1,ROUND(AG521/60,4),0),"")</f>
        <v/>
      </c>
      <c r="P521" s="78" t="str">
        <f>IF(Y521=0,"",IF(BD521=1,"OK",IF(D521="proMX","Revisar bloques: ","Revisar: ")&amp;BC521))</f>
        <v/>
      </c>
      <c r="Q521" s="78" t="str">
        <f>IF(NOT(ISNUMBER(B521)),"",IF(COUNTIFS(FER_F,INT(B521))&gt;0,"Feriado"&amp;IF(AH521=1," (laborable)"," (no laborable)"),IF(AH521=1,"Laborable",IF(WEEKDAY(B521,2)&gt;5,"Fin de semana","No laborable"))))</f>
        <v/>
      </c>
      <c r="R521" s="73" t="n"/>
      <c r="S521" s="72" t="n"/>
      <c r="T521" s="72" t="n"/>
      <c r="U521" s="74" t="n"/>
      <c r="V521" s="79" t="str">
        <f>IF(AND(D521="proMX",OR(R521="Submitted",R521="Recall Requested"),ISNUMBER(S521)),CFG_TODAY-INT(S521),"")</f>
        <v/>
      </c>
      <c r="W521" s="78" t="str">
        <f>IF(BD521=0,"",IF(BA521&gt;0,"⚠ Se superpone con un registro de la otra empresa",IF(D521="Malcolm",IF(COUNTA(R521,S521,T521)&gt;0,"Estado/fechas proMX se ignoran en Malcolm",""),IF(BF521="Cancelled","Cancelado: excluido de totales",IF(R521="","Sin estado: se trata como Draft",IF(BF521="Submitted",IF(ISNUMBER(V521),IF(V521&gt;CFG_MAXD,"⚠ "&amp;V521&amp;" días en Submitted (máx. "&amp;CFG_MAXD&amp;")",""),"Falta fecha de envío"),IF(BF521="Returned","⚠ Devuelto: corregir y reenviar",IF(BF521="Recall Requested","Retirada solicitada: pendiente",IF(AND(BF521="Approved",NOT(ISNUMBER(T521))),"Falta fecha de aprobación",IF(AND(ISNUMBER(S521),ISNUMBER(T521),T521&lt;S521),"Aprobación anterior al envío","")))))))))</f>
        <v/>
      </c>
      <c r="Y521" s="80">
        <f>IF(COUNTA(B521,D521,E521,F521,G521,H521,I521,J521,R521,S521,T521)&gt;0,1,0)</f>
        <v>0</v>
      </c>
      <c r="Z521" s="80" t="str">
        <f>IF(AND(ISNUMBER(H521),H521&gt;=0,H521&lt;1),ROUND(H521*1440,0),"")</f>
        <v/>
      </c>
      <c r="AA521" s="80" t="str">
        <f>IF(AND(ISNUMBER(I521),I521&gt;=0,I521&lt;1),ROUND(I521*1440,0),"")</f>
        <v/>
      </c>
      <c r="AB521" s="80">
        <f>IF(AND(ISNUMBER(B521),D521&lt;&gt;"",ISNUMBER(Z521),ISNUMBER(AA521)),IF(Z521=AA521,0,1),0)</f>
        <v>0</v>
      </c>
      <c r="AC521" s="80">
        <f>IF(AB521=1,IF(AA521&lt;Z521,1,0),0)</f>
        <v>0</v>
      </c>
      <c r="AD521" s="80">
        <f>IF(AB521=1,IF(AC521=1,1440-Z521+AA521,AA521-Z521),0)</f>
        <v>0</v>
      </c>
      <c r="AE521" s="80">
        <f>IF(J521="",0,IF(ISNUMBER(J521),J521,-1))</f>
        <v>0</v>
      </c>
      <c r="AF521" s="80">
        <f>MIN(MAX(0,AE521),AD521)</f>
        <v>0</v>
      </c>
      <c r="AG521" s="80">
        <f>MAX(0,AD521-MAX(0,AE521))</f>
        <v>0</v>
      </c>
      <c r="AH521" s="80">
        <f>IF(ISNUMBER(B521),IF(AND(INDEX(CFG_WDAYS,WEEKDAY(INT(B521),2))="Sí",IF(D521="proMX",COUNTIFS(FER_F,INT(B521),FER_NLP,"Sí"),COUNTIFS(FER_F,INT(B521),FER_NLM,"Sí"))=0),1,0),0)</f>
        <v>0</v>
      </c>
      <c r="AI521" s="80">
        <f>IF(AC521=1,IF(AND(INDEX(CFG_WDAYS,WEEKDAY(INT(B521)+1,2))="Sí",IF(D521="proMX",COUNTIFS(FER_F,INT(B521)+1,FER_NLP,"Sí"),COUNTIFS(FER_F,INT(B521)+1,FER_NLM,"Sí"))=0),1,0),0)</f>
        <v>0</v>
      </c>
      <c r="AJ521" s="80">
        <f>IF(AC521=1,1440-Z521,AD521)</f>
        <v>0</v>
      </c>
      <c r="AK521" s="80">
        <f>IF(AND(AB521=1,AH521=1),MAX(0,MIN(IF(AC521=1,1440,AA521),CFG_WEM)-MAX(Z521,CFG_WSM)),0)</f>
        <v>0</v>
      </c>
      <c r="AL521" s="80">
        <f>IF(AND(AC521=1,AI521=1),MAX(0,MIN(AA521,CFG_WEM)-CFG_WSM),0)</f>
        <v>0</v>
      </c>
      <c r="AM521" s="80">
        <f>AK521+AL521</f>
        <v>0</v>
      </c>
      <c r="AN521" s="80">
        <f>IF(CFG_BRK="Proporcional",IF(AD521=0,0,AF521*AM521/AD521),IF(CFG_BRK="Extras primero",MIN(AM521,MAX(0,AF521-(AD521-AM521))),MIN(AF521,AM521)))</f>
        <v>0</v>
      </c>
      <c r="AO521" s="80">
        <f>AF521-AN521</f>
        <v>0</v>
      </c>
      <c r="AP521" s="80">
        <f>AM521-AN521</f>
        <v>0</v>
      </c>
      <c r="AQ521" s="80">
        <f>AD521-AM521-AO521</f>
        <v>0</v>
      </c>
      <c r="AR521" s="80">
        <f>IF(AM521=0,0,AK521-AN521*AK521/AM521)</f>
        <v>0</v>
      </c>
      <c r="AS521" s="80">
        <f>IF(AD521-AM521=0,0,(AJ521-AK521)-AO521*(AJ521-AK521)/(AD521-AM521))</f>
        <v>0</v>
      </c>
      <c r="AT521" s="80" t="str">
        <f>IF(AC521=1,INT(B521)+1,"")</f>
        <v/>
      </c>
      <c r="AU521" s="80">
        <f>IF(AND(D521="proMX",R521="Cancelled"),0,1)</f>
        <v>1</v>
      </c>
      <c r="AV521" s="80">
        <f>IF(AND(AB521=1,AU521=1),IF(COUNTIFS($D$5:D520,D521,$B$5:B520,B521,$Z$5:Z520,Z521,$AA$5:AA520,AA521,$F$5:F520,F521&amp;"",$AU$5:AU520,1)&gt;0,1,0),0)</f>
        <v>0</v>
      </c>
      <c r="AW521" s="80" t="str">
        <f>IF(AB521=1,INT(B521)*1440+Z521,"")</f>
        <v/>
      </c>
      <c r="AX521" s="80" t="str">
        <f>IF(AB521=1,AW521+AD521,"")</f>
        <v/>
      </c>
      <c r="AY521" s="80">
        <f>IF(AND(AB521=1,AV521=0,AU521=1),1,0)</f>
        <v>0</v>
      </c>
      <c r="AZ521" s="80">
        <f>IF(AY521=1,COUNTIFS(R_Emp,D521,R_SAbs,"&lt;"&amp;AX521,R_EAbs,"&gt;"&amp;AW521,R_OKey,1)-1,0)</f>
        <v>0</v>
      </c>
      <c r="BA521" s="80">
        <f>IF(AY521=1,COUNTIFS(R_Emp,"&lt;&gt;"&amp;D521,R_SAbs,"&lt;"&amp;AX521,R_EAbs,"&gt;"&amp;AW521,R_OKey,1),0)</f>
        <v>0</v>
      </c>
      <c r="BB521" s="80">
        <f>IF(AND(AB521=1,D521="proMX"),IF(AND(MOD(Z521,CFG_BLK)=0,MOD(AA521,CFG_BLK)=0,MOD(AG521,CFG_BLK)=0,AG521&gt;0),1,0),1)</f>
        <v>1</v>
      </c>
      <c r="BC521" s="80" t="str">
        <f>IF(Y521=0,"",IF(NOT(ISNUMBER(B521)),"Falta fecha o fecha inválida",IF(D521="","Falta empresa",IF(AND(D521&lt;&gt;"Malcolm",D521&lt;&gt;"proMX"),"Empresa inválida",IF(OR(INT(B521)&lt;CFG_PSTART,INT(B521)&gt;CFG_PEND),"Fecha fuera del período",IF(OR(NOT(ISNUMBER(Z521)),NOT(ISNUMBER(AA521))),"Falta hora inicio/fin o formato inválido",IF(AB521=0,"Hora inicio = hora fin",IF(AE521&lt;0,"Descanso inválido",IF(AE521&gt;=AD521,"Descanso ≥ duración",IF(AV521=1,"Registro duplicado",IF(AZ521&gt;0,"Se superpone con otro registro "&amp;D521,IF(BB521=0,"inicio, fin y duración neta deben ser múltiplos de "&amp;CFG_BLK&amp;" min",""))))))))))))</f>
        <v/>
      </c>
      <c r="BD521" s="80">
        <f>IF(AND(Y521=1,BC521=""),1,0)</f>
        <v>0</v>
      </c>
      <c r="BE521" s="80">
        <f>IF(AND(BD521=1,AU521=1),1,0)</f>
        <v>0</v>
      </c>
      <c r="BF521" s="80" t="str">
        <f>IF(AND(D521="proMX",BD521=1),IF(R521="","Draft",R521),"")</f>
        <v/>
      </c>
      <c r="BG521" s="80">
        <f>IF(BD521=1,ROUND(AG521/60,6),0)</f>
        <v>0</v>
      </c>
      <c r="BH521" s="80">
        <f>IF(BE521=1,ROUND(AG521/60,6),0)</f>
        <v>0</v>
      </c>
      <c r="BI521" s="80">
        <f>IF(BE521=1,ROUND(AP521/60,6),0)</f>
        <v>0</v>
      </c>
      <c r="BJ521" s="80">
        <f>IF(BE521=1,ROUND(AQ521/60,6),0)</f>
        <v>0</v>
      </c>
      <c r="BK521" s="80">
        <f>IF(BE521=1,ROUND((AR521+AS521)/60,6),0)</f>
        <v>0</v>
      </c>
      <c r="BL521" s="80">
        <f>ROUND(BH521-BK521,6)</f>
        <v>0</v>
      </c>
      <c r="BM521" s="80">
        <f>IF(BE521=1,ROUND(AR521/60,6),0)</f>
        <v>0</v>
      </c>
      <c r="BN521" s="80">
        <f>ROUND(BI521-BM521,6)</f>
        <v>0</v>
      </c>
      <c r="BO521" s="80">
        <f>IF(BE521=1,ROUND(AS521/60,6),0)</f>
        <v>0</v>
      </c>
      <c r="BP521" s="80">
        <f>ROUND(BJ521-BO521,6)</f>
        <v>0</v>
      </c>
      <c r="BQ521" s="80">
        <f>IF(BE521=1,AW521,0)</f>
        <v>0</v>
      </c>
      <c r="BR521" s="80">
        <f>IF(BE521=1,AX521,0)</f>
        <v>0</v>
      </c>
      <c r="BS521" s="80">
        <f>IF(AND(BE521=1,D521="Malcolm",BA521&gt;0),MIN(BH521,SUMPRODUCT((R_Emp="proMX")*(R_EN&gt;0)*((R_EN-(R_EN&gt;BR521)*(R_EN-BR521))&gt;(R_SN+(R_SN&lt;BQ521)*(BQ521-R_SN)))*((R_EN-(R_EN&gt;BR521)*(R_EN-BR521))-(R_SN+(R_SN&lt;BQ521)*(BQ521-R_SN))))/60),0)</f>
        <v>0</v>
      </c>
      <c r="BT521" s="80">
        <f>IF(AND(BE521=1,D521="proMX"),ROUND(BI521*CFG_RATE+BJ521*CFG_OTRATE,6),0)</f>
        <v>0</v>
      </c>
      <c r="BU521" s="80">
        <f>IF(AND(BD521=1,D521="proMX"),ROUND(AG521/CFG_BLK,6),0)</f>
        <v>0</v>
      </c>
      <c r="BV521" s="80" t="str">
        <f>IF(BF521="Approved",IF(ISNUMBER(T521),INT(T521),INT(B521)),"")</f>
        <v/>
      </c>
      <c r="BW521" s="80">
        <f>IF(ISNUMBER(B521),IF(DB_MON="Todos",1,IF(AND(INT(B521)&gt;=DB_MS,INT(B521)&lt;=DB_ME),1,0)),0)</f>
        <v>0</v>
      </c>
      <c r="BX521" s="80">
        <f>IF(DB_PROJ="Todos",1,IF(E521&amp;""=DB_PROJ&amp;"",1,0))</f>
        <v>1</v>
      </c>
      <c r="BY521" s="80">
        <f>BW521*BX521</f>
        <v>0</v>
      </c>
      <c r="BZ521" s="80" t="str">
        <f>IF(Y521=1,F521&amp;IF(AND(F521&amp;""&lt;&gt;"",E521&amp;""&lt;&gt;"")," · ","")&amp;E521,"")</f>
        <v/>
      </c>
      <c r="CA521" s="80" t="str">
        <f>IF(AND(BD521=1,E521&amp;""&lt;&gt;""),IF(COUNTIFS($E$5:E520,E521,$BD$5:BD520,1)=0,MAX($CA$5:CA520)+1,""),"")</f>
        <v/>
      </c>
      <c r="CB521" s="80" t="str">
        <f>IF(AND(BE521=1,D521="Malcolm",E521&amp;""&lt;&gt;""),IF(COUNTIFS($D$5:D520,"Malcolm",$E$5:E520,E521,$BE$5:BE520,1)=0,MAX($CB$5:CB520)+1,""),"")</f>
        <v/>
      </c>
      <c r="CC521" s="80" t="str">
        <f>IF(AND(BD521=1,D521="proMX",E521&amp;""&lt;&gt;""),IF(COUNTIFS($D$5:D520,"proMX",$E$5:E520,E521,$BD$5:BD520,1)=0,MAX($CC$5:CC520)+1,""),"")</f>
        <v/>
      </c>
      <c r="CD521" s="80" t="str">
        <f>IF(AND(BE521=1,D521="Malcolm",F521&amp;""&lt;&gt;""),IF(COUNTIFS($D$5:D520,"Malcolm",$F$5:F520,F521,$BE$5:BE520,1)=0,MAX($CD$5:CD520)+1,""),"")</f>
        <v/>
      </c>
      <c r="CE521" s="80" t="str">
        <f>IF(AND(BD521=1,D521="proMX",F521&amp;""&lt;&gt;""),IF(COUNTIFS($D$5:D520,"proMX",$F$5:F520,F521,$BD$5:BD520,1)=0,MAX($CE$5:CE520)+1,""),"")</f>
        <v/>
      </c>
      <c r="CF521" s="80" t="str">
        <f>IF(AND(D521="proMX",BD521=1),IF(OR(BF521="Draft",BF521="Submitted",BF521="Returned",BF521="Recall Requested"),MAX($CF$5:CF520)+1,""),"")</f>
        <v/>
      </c>
      <c r="CG521" s="80">
        <f>IF(BD521=0,0,IF(D521="Malcolm",1,MATCH(BF521,{"Draft","Submitted","Approved","Returned","Recall Requested","Cancelled"},0)+1))</f>
        <v>0</v>
      </c>
      <c r="CH521" s="80">
        <f>IF(AND(BF521="Submitted",ISNUMBER(V521)),IF(V521&gt;CFG_MAXD,1,0),0)</f>
        <v>0</v>
      </c>
    </row>
    <row r="522">
      <c r="A522" s="71" t="str">
        <f>IF(Y522=1,ROW()-5,"")</f>
        <v/>
      </c>
      <c r="B522" s="72" t="n"/>
      <c r="C522" s="71" t="str">
        <f>IF(ISNUMBER(B522),CHOOSE(WEEKDAY(B522,2),"Lun","Mar","Mié","Jue","Vie","Sáb","Dom"),"")</f>
        <v/>
      </c>
      <c r="D522" s="73" t="n"/>
      <c r="E522" s="74" t="n"/>
      <c r="F522" s="74" t="n"/>
      <c r="G522" s="74" t="n"/>
      <c r="H522" s="75" t="n"/>
      <c r="I522" s="75" t="n"/>
      <c r="J522" s="76" t="n"/>
      <c r="K522" s="77" t="str">
        <f>IF(AB522=1,ROUND(AG522/60,4),"")</f>
        <v/>
      </c>
      <c r="L522" s="77" t="str">
        <f>IF(BD522=1,ROUND(AP522/60,4),"")</f>
        <v/>
      </c>
      <c r="M522" s="77" t="str">
        <f>IF(BD522=1,ROUND(AQ522/60,4),"")</f>
        <v/>
      </c>
      <c r="N522" s="71" t="str">
        <f>IF(AND(D522="proMX",AB522=1),ROUND(AG522/CFG_BLK,2),"")</f>
        <v/>
      </c>
      <c r="O522" s="77" t="str">
        <f>IF(D522="proMX",IF(BD522=1,ROUND(AG522/60,4),0),"")</f>
        <v/>
      </c>
      <c r="P522" s="78" t="str">
        <f>IF(Y522=0,"",IF(BD522=1,"OK",IF(D522="proMX","Revisar bloques: ","Revisar: ")&amp;BC522))</f>
        <v/>
      </c>
      <c r="Q522" s="78" t="str">
        <f>IF(NOT(ISNUMBER(B522)),"",IF(COUNTIFS(FER_F,INT(B522))&gt;0,"Feriado"&amp;IF(AH522=1," (laborable)"," (no laborable)"),IF(AH522=1,"Laborable",IF(WEEKDAY(B522,2)&gt;5,"Fin de semana","No laborable"))))</f>
        <v/>
      </c>
      <c r="R522" s="73" t="n"/>
      <c r="S522" s="72" t="n"/>
      <c r="T522" s="72" t="n"/>
      <c r="U522" s="74" t="n"/>
      <c r="V522" s="79" t="str">
        <f>IF(AND(D522="proMX",OR(R522="Submitted",R522="Recall Requested"),ISNUMBER(S522)),CFG_TODAY-INT(S522),"")</f>
        <v/>
      </c>
      <c r="W522" s="78" t="str">
        <f>IF(BD522=0,"",IF(BA522&gt;0,"⚠ Se superpone con un registro de la otra empresa",IF(D522="Malcolm",IF(COUNTA(R522,S522,T522)&gt;0,"Estado/fechas proMX se ignoran en Malcolm",""),IF(BF522="Cancelled","Cancelado: excluido de totales",IF(R522="","Sin estado: se trata como Draft",IF(BF522="Submitted",IF(ISNUMBER(V522),IF(V522&gt;CFG_MAXD,"⚠ "&amp;V522&amp;" días en Submitted (máx. "&amp;CFG_MAXD&amp;")",""),"Falta fecha de envío"),IF(BF522="Returned","⚠ Devuelto: corregir y reenviar",IF(BF522="Recall Requested","Retirada solicitada: pendiente",IF(AND(BF522="Approved",NOT(ISNUMBER(T522))),"Falta fecha de aprobación",IF(AND(ISNUMBER(S522),ISNUMBER(T522),T522&lt;S522),"Aprobación anterior al envío","")))))))))</f>
        <v/>
      </c>
      <c r="Y522" s="80">
        <f>IF(COUNTA(B522,D522,E522,F522,G522,H522,I522,J522,R522,S522,T522)&gt;0,1,0)</f>
        <v>0</v>
      </c>
      <c r="Z522" s="80" t="str">
        <f>IF(AND(ISNUMBER(H522),H522&gt;=0,H522&lt;1),ROUND(H522*1440,0),"")</f>
        <v/>
      </c>
      <c r="AA522" s="80" t="str">
        <f>IF(AND(ISNUMBER(I522),I522&gt;=0,I522&lt;1),ROUND(I522*1440,0),"")</f>
        <v/>
      </c>
      <c r="AB522" s="80">
        <f>IF(AND(ISNUMBER(B522),D522&lt;&gt;"",ISNUMBER(Z522),ISNUMBER(AA522)),IF(Z522=AA522,0,1),0)</f>
        <v>0</v>
      </c>
      <c r="AC522" s="80">
        <f>IF(AB522=1,IF(AA522&lt;Z522,1,0),0)</f>
        <v>0</v>
      </c>
      <c r="AD522" s="80">
        <f>IF(AB522=1,IF(AC522=1,1440-Z522+AA522,AA522-Z522),0)</f>
        <v>0</v>
      </c>
      <c r="AE522" s="80">
        <f>IF(J522="",0,IF(ISNUMBER(J522),J522,-1))</f>
        <v>0</v>
      </c>
      <c r="AF522" s="80">
        <f>MIN(MAX(0,AE522),AD522)</f>
        <v>0</v>
      </c>
      <c r="AG522" s="80">
        <f>MAX(0,AD522-MAX(0,AE522))</f>
        <v>0</v>
      </c>
      <c r="AH522" s="80">
        <f>IF(ISNUMBER(B522),IF(AND(INDEX(CFG_WDAYS,WEEKDAY(INT(B522),2))="Sí",IF(D522="proMX",COUNTIFS(FER_F,INT(B522),FER_NLP,"Sí"),COUNTIFS(FER_F,INT(B522),FER_NLM,"Sí"))=0),1,0),0)</f>
        <v>0</v>
      </c>
      <c r="AI522" s="80">
        <f>IF(AC522=1,IF(AND(INDEX(CFG_WDAYS,WEEKDAY(INT(B522)+1,2))="Sí",IF(D522="proMX",COUNTIFS(FER_F,INT(B522)+1,FER_NLP,"Sí"),COUNTIFS(FER_F,INT(B522)+1,FER_NLM,"Sí"))=0),1,0),0)</f>
        <v>0</v>
      </c>
      <c r="AJ522" s="80">
        <f>IF(AC522=1,1440-Z522,AD522)</f>
        <v>0</v>
      </c>
      <c r="AK522" s="80">
        <f>IF(AND(AB522=1,AH522=1),MAX(0,MIN(IF(AC522=1,1440,AA522),CFG_WEM)-MAX(Z522,CFG_WSM)),0)</f>
        <v>0</v>
      </c>
      <c r="AL522" s="80">
        <f>IF(AND(AC522=1,AI522=1),MAX(0,MIN(AA522,CFG_WEM)-CFG_WSM),0)</f>
        <v>0</v>
      </c>
      <c r="AM522" s="80">
        <f>AK522+AL522</f>
        <v>0</v>
      </c>
      <c r="AN522" s="80">
        <f>IF(CFG_BRK="Proporcional",IF(AD522=0,0,AF522*AM522/AD522),IF(CFG_BRK="Extras primero",MIN(AM522,MAX(0,AF522-(AD522-AM522))),MIN(AF522,AM522)))</f>
        <v>0</v>
      </c>
      <c r="AO522" s="80">
        <f>AF522-AN522</f>
        <v>0</v>
      </c>
      <c r="AP522" s="80">
        <f>AM522-AN522</f>
        <v>0</v>
      </c>
      <c r="AQ522" s="80">
        <f>AD522-AM522-AO522</f>
        <v>0</v>
      </c>
      <c r="AR522" s="80">
        <f>IF(AM522=0,0,AK522-AN522*AK522/AM522)</f>
        <v>0</v>
      </c>
      <c r="AS522" s="80">
        <f>IF(AD522-AM522=0,0,(AJ522-AK522)-AO522*(AJ522-AK522)/(AD522-AM522))</f>
        <v>0</v>
      </c>
      <c r="AT522" s="80" t="str">
        <f>IF(AC522=1,INT(B522)+1,"")</f>
        <v/>
      </c>
      <c r="AU522" s="80">
        <f>IF(AND(D522="proMX",R522="Cancelled"),0,1)</f>
        <v>1</v>
      </c>
      <c r="AV522" s="80">
        <f>IF(AND(AB522=1,AU522=1),IF(COUNTIFS($D$5:D521,D522,$B$5:B521,B522,$Z$5:Z521,Z522,$AA$5:AA521,AA522,$F$5:F521,F522&amp;"",$AU$5:AU521,1)&gt;0,1,0),0)</f>
        <v>0</v>
      </c>
      <c r="AW522" s="80" t="str">
        <f>IF(AB522=1,INT(B522)*1440+Z522,"")</f>
        <v/>
      </c>
      <c r="AX522" s="80" t="str">
        <f>IF(AB522=1,AW522+AD522,"")</f>
        <v/>
      </c>
      <c r="AY522" s="80">
        <f>IF(AND(AB522=1,AV522=0,AU522=1),1,0)</f>
        <v>0</v>
      </c>
      <c r="AZ522" s="80">
        <f>IF(AY522=1,COUNTIFS(R_Emp,D522,R_SAbs,"&lt;"&amp;AX522,R_EAbs,"&gt;"&amp;AW522,R_OKey,1)-1,0)</f>
        <v>0</v>
      </c>
      <c r="BA522" s="80">
        <f>IF(AY522=1,COUNTIFS(R_Emp,"&lt;&gt;"&amp;D522,R_SAbs,"&lt;"&amp;AX522,R_EAbs,"&gt;"&amp;AW522,R_OKey,1),0)</f>
        <v>0</v>
      </c>
      <c r="BB522" s="80">
        <f>IF(AND(AB522=1,D522="proMX"),IF(AND(MOD(Z522,CFG_BLK)=0,MOD(AA522,CFG_BLK)=0,MOD(AG522,CFG_BLK)=0,AG522&gt;0),1,0),1)</f>
        <v>1</v>
      </c>
      <c r="BC522" s="80" t="str">
        <f>IF(Y522=0,"",IF(NOT(ISNUMBER(B522)),"Falta fecha o fecha inválida",IF(D522="","Falta empresa",IF(AND(D522&lt;&gt;"Malcolm",D522&lt;&gt;"proMX"),"Empresa inválida",IF(OR(INT(B522)&lt;CFG_PSTART,INT(B522)&gt;CFG_PEND),"Fecha fuera del período",IF(OR(NOT(ISNUMBER(Z522)),NOT(ISNUMBER(AA522))),"Falta hora inicio/fin o formato inválido",IF(AB522=0,"Hora inicio = hora fin",IF(AE522&lt;0,"Descanso inválido",IF(AE522&gt;=AD522,"Descanso ≥ duración",IF(AV522=1,"Registro duplicado",IF(AZ522&gt;0,"Se superpone con otro registro "&amp;D522,IF(BB522=0,"inicio, fin y duración neta deben ser múltiplos de "&amp;CFG_BLK&amp;" min",""))))))))))))</f>
        <v/>
      </c>
      <c r="BD522" s="80">
        <f>IF(AND(Y522=1,BC522=""),1,0)</f>
        <v>0</v>
      </c>
      <c r="BE522" s="80">
        <f>IF(AND(BD522=1,AU522=1),1,0)</f>
        <v>0</v>
      </c>
      <c r="BF522" s="80" t="str">
        <f>IF(AND(D522="proMX",BD522=1),IF(R522="","Draft",R522),"")</f>
        <v/>
      </c>
      <c r="BG522" s="80">
        <f>IF(BD522=1,ROUND(AG522/60,6),0)</f>
        <v>0</v>
      </c>
      <c r="BH522" s="80">
        <f>IF(BE522=1,ROUND(AG522/60,6),0)</f>
        <v>0</v>
      </c>
      <c r="BI522" s="80">
        <f>IF(BE522=1,ROUND(AP522/60,6),0)</f>
        <v>0</v>
      </c>
      <c r="BJ522" s="80">
        <f>IF(BE522=1,ROUND(AQ522/60,6),0)</f>
        <v>0</v>
      </c>
      <c r="BK522" s="80">
        <f>IF(BE522=1,ROUND((AR522+AS522)/60,6),0)</f>
        <v>0</v>
      </c>
      <c r="BL522" s="80">
        <f>ROUND(BH522-BK522,6)</f>
        <v>0</v>
      </c>
      <c r="BM522" s="80">
        <f>IF(BE522=1,ROUND(AR522/60,6),0)</f>
        <v>0</v>
      </c>
      <c r="BN522" s="80">
        <f>ROUND(BI522-BM522,6)</f>
        <v>0</v>
      </c>
      <c r="BO522" s="80">
        <f>IF(BE522=1,ROUND(AS522/60,6),0)</f>
        <v>0</v>
      </c>
      <c r="BP522" s="80">
        <f>ROUND(BJ522-BO522,6)</f>
        <v>0</v>
      </c>
      <c r="BQ522" s="80">
        <f>IF(BE522=1,AW522,0)</f>
        <v>0</v>
      </c>
      <c r="BR522" s="80">
        <f>IF(BE522=1,AX522,0)</f>
        <v>0</v>
      </c>
      <c r="BS522" s="80">
        <f>IF(AND(BE522=1,D522="Malcolm",BA522&gt;0),MIN(BH522,SUMPRODUCT((R_Emp="proMX")*(R_EN&gt;0)*((R_EN-(R_EN&gt;BR522)*(R_EN-BR522))&gt;(R_SN+(R_SN&lt;BQ522)*(BQ522-R_SN)))*((R_EN-(R_EN&gt;BR522)*(R_EN-BR522))-(R_SN+(R_SN&lt;BQ522)*(BQ522-R_SN))))/60),0)</f>
        <v>0</v>
      </c>
      <c r="BT522" s="80">
        <f>IF(AND(BE522=1,D522="proMX"),ROUND(BI522*CFG_RATE+BJ522*CFG_OTRATE,6),0)</f>
        <v>0</v>
      </c>
      <c r="BU522" s="80">
        <f>IF(AND(BD522=1,D522="proMX"),ROUND(AG522/CFG_BLK,6),0)</f>
        <v>0</v>
      </c>
      <c r="BV522" s="80" t="str">
        <f>IF(BF522="Approved",IF(ISNUMBER(T522),INT(T522),INT(B522)),"")</f>
        <v/>
      </c>
      <c r="BW522" s="80">
        <f>IF(ISNUMBER(B522),IF(DB_MON="Todos",1,IF(AND(INT(B522)&gt;=DB_MS,INT(B522)&lt;=DB_ME),1,0)),0)</f>
        <v>0</v>
      </c>
      <c r="BX522" s="80">
        <f>IF(DB_PROJ="Todos",1,IF(E522&amp;""=DB_PROJ&amp;"",1,0))</f>
        <v>1</v>
      </c>
      <c r="BY522" s="80">
        <f>BW522*BX522</f>
        <v>0</v>
      </c>
      <c r="BZ522" s="80" t="str">
        <f>IF(Y522=1,F522&amp;IF(AND(F522&amp;""&lt;&gt;"",E522&amp;""&lt;&gt;"")," · ","")&amp;E522,"")</f>
        <v/>
      </c>
      <c r="CA522" s="80" t="str">
        <f>IF(AND(BD522=1,E522&amp;""&lt;&gt;""),IF(COUNTIFS($E$5:E521,E522,$BD$5:BD521,1)=0,MAX($CA$5:CA521)+1,""),"")</f>
        <v/>
      </c>
      <c r="CB522" s="80" t="str">
        <f>IF(AND(BE522=1,D522="Malcolm",E522&amp;""&lt;&gt;""),IF(COUNTIFS($D$5:D521,"Malcolm",$E$5:E521,E522,$BE$5:BE521,1)=0,MAX($CB$5:CB521)+1,""),"")</f>
        <v/>
      </c>
      <c r="CC522" s="80" t="str">
        <f>IF(AND(BD522=1,D522="proMX",E522&amp;""&lt;&gt;""),IF(COUNTIFS($D$5:D521,"proMX",$E$5:E521,E522,$BD$5:BD521,1)=0,MAX($CC$5:CC521)+1,""),"")</f>
        <v/>
      </c>
      <c r="CD522" s="80" t="str">
        <f>IF(AND(BE522=1,D522="Malcolm",F522&amp;""&lt;&gt;""),IF(COUNTIFS($D$5:D521,"Malcolm",$F$5:F521,F522,$BE$5:BE521,1)=0,MAX($CD$5:CD521)+1,""),"")</f>
        <v/>
      </c>
      <c r="CE522" s="80" t="str">
        <f>IF(AND(BD522=1,D522="proMX",F522&amp;""&lt;&gt;""),IF(COUNTIFS($D$5:D521,"proMX",$F$5:F521,F522,$BD$5:BD521,1)=0,MAX($CE$5:CE521)+1,""),"")</f>
        <v/>
      </c>
      <c r="CF522" s="80" t="str">
        <f>IF(AND(D522="proMX",BD522=1),IF(OR(BF522="Draft",BF522="Submitted",BF522="Returned",BF522="Recall Requested"),MAX($CF$5:CF521)+1,""),"")</f>
        <v/>
      </c>
      <c r="CG522" s="80">
        <f>IF(BD522=0,0,IF(D522="Malcolm",1,MATCH(BF522,{"Draft","Submitted","Approved","Returned","Recall Requested","Cancelled"},0)+1))</f>
        <v>0</v>
      </c>
      <c r="CH522" s="80">
        <f>IF(AND(BF522="Submitted",ISNUMBER(V522)),IF(V522&gt;CFG_MAXD,1,0),0)</f>
        <v>0</v>
      </c>
    </row>
    <row r="523">
      <c r="A523" s="71" t="str">
        <f>IF(Y523=1,ROW()-5,"")</f>
        <v/>
      </c>
      <c r="B523" s="72" t="n"/>
      <c r="C523" s="71" t="str">
        <f>IF(ISNUMBER(B523),CHOOSE(WEEKDAY(B523,2),"Lun","Mar","Mié","Jue","Vie","Sáb","Dom"),"")</f>
        <v/>
      </c>
      <c r="D523" s="73" t="n"/>
      <c r="E523" s="74" t="n"/>
      <c r="F523" s="74" t="n"/>
      <c r="G523" s="74" t="n"/>
      <c r="H523" s="75" t="n"/>
      <c r="I523" s="75" t="n"/>
      <c r="J523" s="76" t="n"/>
      <c r="K523" s="77" t="str">
        <f>IF(AB523=1,ROUND(AG523/60,4),"")</f>
        <v/>
      </c>
      <c r="L523" s="77" t="str">
        <f>IF(BD523=1,ROUND(AP523/60,4),"")</f>
        <v/>
      </c>
      <c r="M523" s="77" t="str">
        <f>IF(BD523=1,ROUND(AQ523/60,4),"")</f>
        <v/>
      </c>
      <c r="N523" s="71" t="str">
        <f>IF(AND(D523="proMX",AB523=1),ROUND(AG523/CFG_BLK,2),"")</f>
        <v/>
      </c>
      <c r="O523" s="77" t="str">
        <f>IF(D523="proMX",IF(BD523=1,ROUND(AG523/60,4),0),"")</f>
        <v/>
      </c>
      <c r="P523" s="78" t="str">
        <f>IF(Y523=0,"",IF(BD523=1,"OK",IF(D523="proMX","Revisar bloques: ","Revisar: ")&amp;BC523))</f>
        <v/>
      </c>
      <c r="Q523" s="78" t="str">
        <f>IF(NOT(ISNUMBER(B523)),"",IF(COUNTIFS(FER_F,INT(B523))&gt;0,"Feriado"&amp;IF(AH523=1," (laborable)"," (no laborable)"),IF(AH523=1,"Laborable",IF(WEEKDAY(B523,2)&gt;5,"Fin de semana","No laborable"))))</f>
        <v/>
      </c>
      <c r="R523" s="73" t="n"/>
      <c r="S523" s="72" t="n"/>
      <c r="T523" s="72" t="n"/>
      <c r="U523" s="74" t="n"/>
      <c r="V523" s="79" t="str">
        <f>IF(AND(D523="proMX",OR(R523="Submitted",R523="Recall Requested"),ISNUMBER(S523)),CFG_TODAY-INT(S523),"")</f>
        <v/>
      </c>
      <c r="W523" s="78" t="str">
        <f>IF(BD523=0,"",IF(BA523&gt;0,"⚠ Se superpone con un registro de la otra empresa",IF(D523="Malcolm",IF(COUNTA(R523,S523,T523)&gt;0,"Estado/fechas proMX se ignoran en Malcolm",""),IF(BF523="Cancelled","Cancelado: excluido de totales",IF(R523="","Sin estado: se trata como Draft",IF(BF523="Submitted",IF(ISNUMBER(V523),IF(V523&gt;CFG_MAXD,"⚠ "&amp;V523&amp;" días en Submitted (máx. "&amp;CFG_MAXD&amp;")",""),"Falta fecha de envío"),IF(BF523="Returned","⚠ Devuelto: corregir y reenviar",IF(BF523="Recall Requested","Retirada solicitada: pendiente",IF(AND(BF523="Approved",NOT(ISNUMBER(T523))),"Falta fecha de aprobación",IF(AND(ISNUMBER(S523),ISNUMBER(T523),T523&lt;S523),"Aprobación anterior al envío","")))))))))</f>
        <v/>
      </c>
      <c r="Y523" s="80">
        <f>IF(COUNTA(B523,D523,E523,F523,G523,H523,I523,J523,R523,S523,T523)&gt;0,1,0)</f>
        <v>0</v>
      </c>
      <c r="Z523" s="80" t="str">
        <f>IF(AND(ISNUMBER(H523),H523&gt;=0,H523&lt;1),ROUND(H523*1440,0),"")</f>
        <v/>
      </c>
      <c r="AA523" s="80" t="str">
        <f>IF(AND(ISNUMBER(I523),I523&gt;=0,I523&lt;1),ROUND(I523*1440,0),"")</f>
        <v/>
      </c>
      <c r="AB523" s="80">
        <f>IF(AND(ISNUMBER(B523),D523&lt;&gt;"",ISNUMBER(Z523),ISNUMBER(AA523)),IF(Z523=AA523,0,1),0)</f>
        <v>0</v>
      </c>
      <c r="AC523" s="80">
        <f>IF(AB523=1,IF(AA523&lt;Z523,1,0),0)</f>
        <v>0</v>
      </c>
      <c r="AD523" s="80">
        <f>IF(AB523=1,IF(AC523=1,1440-Z523+AA523,AA523-Z523),0)</f>
        <v>0</v>
      </c>
      <c r="AE523" s="80">
        <f>IF(J523="",0,IF(ISNUMBER(J523),J523,-1))</f>
        <v>0</v>
      </c>
      <c r="AF523" s="80">
        <f>MIN(MAX(0,AE523),AD523)</f>
        <v>0</v>
      </c>
      <c r="AG523" s="80">
        <f>MAX(0,AD523-MAX(0,AE523))</f>
        <v>0</v>
      </c>
      <c r="AH523" s="80">
        <f>IF(ISNUMBER(B523),IF(AND(INDEX(CFG_WDAYS,WEEKDAY(INT(B523),2))="Sí",IF(D523="proMX",COUNTIFS(FER_F,INT(B523),FER_NLP,"Sí"),COUNTIFS(FER_F,INT(B523),FER_NLM,"Sí"))=0),1,0),0)</f>
        <v>0</v>
      </c>
      <c r="AI523" s="80">
        <f>IF(AC523=1,IF(AND(INDEX(CFG_WDAYS,WEEKDAY(INT(B523)+1,2))="Sí",IF(D523="proMX",COUNTIFS(FER_F,INT(B523)+1,FER_NLP,"Sí"),COUNTIFS(FER_F,INT(B523)+1,FER_NLM,"Sí"))=0),1,0),0)</f>
        <v>0</v>
      </c>
      <c r="AJ523" s="80">
        <f>IF(AC523=1,1440-Z523,AD523)</f>
        <v>0</v>
      </c>
      <c r="AK523" s="80">
        <f>IF(AND(AB523=1,AH523=1),MAX(0,MIN(IF(AC523=1,1440,AA523),CFG_WEM)-MAX(Z523,CFG_WSM)),0)</f>
        <v>0</v>
      </c>
      <c r="AL523" s="80">
        <f>IF(AND(AC523=1,AI523=1),MAX(0,MIN(AA523,CFG_WEM)-CFG_WSM),0)</f>
        <v>0</v>
      </c>
      <c r="AM523" s="80">
        <f>AK523+AL523</f>
        <v>0</v>
      </c>
      <c r="AN523" s="80">
        <f>IF(CFG_BRK="Proporcional",IF(AD523=0,0,AF523*AM523/AD523),IF(CFG_BRK="Extras primero",MIN(AM523,MAX(0,AF523-(AD523-AM523))),MIN(AF523,AM523)))</f>
        <v>0</v>
      </c>
      <c r="AO523" s="80">
        <f>AF523-AN523</f>
        <v>0</v>
      </c>
      <c r="AP523" s="80">
        <f>AM523-AN523</f>
        <v>0</v>
      </c>
      <c r="AQ523" s="80">
        <f>AD523-AM523-AO523</f>
        <v>0</v>
      </c>
      <c r="AR523" s="80">
        <f>IF(AM523=0,0,AK523-AN523*AK523/AM523)</f>
        <v>0</v>
      </c>
      <c r="AS523" s="80">
        <f>IF(AD523-AM523=0,0,(AJ523-AK523)-AO523*(AJ523-AK523)/(AD523-AM523))</f>
        <v>0</v>
      </c>
      <c r="AT523" s="80" t="str">
        <f>IF(AC523=1,INT(B523)+1,"")</f>
        <v/>
      </c>
      <c r="AU523" s="80">
        <f>IF(AND(D523="proMX",R523="Cancelled"),0,1)</f>
        <v>1</v>
      </c>
      <c r="AV523" s="80">
        <f>IF(AND(AB523=1,AU523=1),IF(COUNTIFS($D$5:D522,D523,$B$5:B522,B523,$Z$5:Z522,Z523,$AA$5:AA522,AA523,$F$5:F522,F523&amp;"",$AU$5:AU522,1)&gt;0,1,0),0)</f>
        <v>0</v>
      </c>
      <c r="AW523" s="80" t="str">
        <f>IF(AB523=1,INT(B523)*1440+Z523,"")</f>
        <v/>
      </c>
      <c r="AX523" s="80" t="str">
        <f>IF(AB523=1,AW523+AD523,"")</f>
        <v/>
      </c>
      <c r="AY523" s="80">
        <f>IF(AND(AB523=1,AV523=0,AU523=1),1,0)</f>
        <v>0</v>
      </c>
      <c r="AZ523" s="80">
        <f>IF(AY523=1,COUNTIFS(R_Emp,D523,R_SAbs,"&lt;"&amp;AX523,R_EAbs,"&gt;"&amp;AW523,R_OKey,1)-1,0)</f>
        <v>0</v>
      </c>
      <c r="BA523" s="80">
        <f>IF(AY523=1,COUNTIFS(R_Emp,"&lt;&gt;"&amp;D523,R_SAbs,"&lt;"&amp;AX523,R_EAbs,"&gt;"&amp;AW523,R_OKey,1),0)</f>
        <v>0</v>
      </c>
      <c r="BB523" s="80">
        <f>IF(AND(AB523=1,D523="proMX"),IF(AND(MOD(Z523,CFG_BLK)=0,MOD(AA523,CFG_BLK)=0,MOD(AG523,CFG_BLK)=0,AG523&gt;0),1,0),1)</f>
        <v>1</v>
      </c>
      <c r="BC523" s="80" t="str">
        <f>IF(Y523=0,"",IF(NOT(ISNUMBER(B523)),"Falta fecha o fecha inválida",IF(D523="","Falta empresa",IF(AND(D523&lt;&gt;"Malcolm",D523&lt;&gt;"proMX"),"Empresa inválida",IF(OR(INT(B523)&lt;CFG_PSTART,INT(B523)&gt;CFG_PEND),"Fecha fuera del período",IF(OR(NOT(ISNUMBER(Z523)),NOT(ISNUMBER(AA523))),"Falta hora inicio/fin o formato inválido",IF(AB523=0,"Hora inicio = hora fin",IF(AE523&lt;0,"Descanso inválido",IF(AE523&gt;=AD523,"Descanso ≥ duración",IF(AV523=1,"Registro duplicado",IF(AZ523&gt;0,"Se superpone con otro registro "&amp;D523,IF(BB523=0,"inicio, fin y duración neta deben ser múltiplos de "&amp;CFG_BLK&amp;" min",""))))))))))))</f>
        <v/>
      </c>
      <c r="BD523" s="80">
        <f>IF(AND(Y523=1,BC523=""),1,0)</f>
        <v>0</v>
      </c>
      <c r="BE523" s="80">
        <f>IF(AND(BD523=1,AU523=1),1,0)</f>
        <v>0</v>
      </c>
      <c r="BF523" s="80" t="str">
        <f>IF(AND(D523="proMX",BD523=1),IF(R523="","Draft",R523),"")</f>
        <v/>
      </c>
      <c r="BG523" s="80">
        <f>IF(BD523=1,ROUND(AG523/60,6),0)</f>
        <v>0</v>
      </c>
      <c r="BH523" s="80">
        <f>IF(BE523=1,ROUND(AG523/60,6),0)</f>
        <v>0</v>
      </c>
      <c r="BI523" s="80">
        <f>IF(BE523=1,ROUND(AP523/60,6),0)</f>
        <v>0</v>
      </c>
      <c r="BJ523" s="80">
        <f>IF(BE523=1,ROUND(AQ523/60,6),0)</f>
        <v>0</v>
      </c>
      <c r="BK523" s="80">
        <f>IF(BE523=1,ROUND((AR523+AS523)/60,6),0)</f>
        <v>0</v>
      </c>
      <c r="BL523" s="80">
        <f>ROUND(BH523-BK523,6)</f>
        <v>0</v>
      </c>
      <c r="BM523" s="80">
        <f>IF(BE523=1,ROUND(AR523/60,6),0)</f>
        <v>0</v>
      </c>
      <c r="BN523" s="80">
        <f>ROUND(BI523-BM523,6)</f>
        <v>0</v>
      </c>
      <c r="BO523" s="80">
        <f>IF(BE523=1,ROUND(AS523/60,6),0)</f>
        <v>0</v>
      </c>
      <c r="BP523" s="80">
        <f>ROUND(BJ523-BO523,6)</f>
        <v>0</v>
      </c>
      <c r="BQ523" s="80">
        <f>IF(BE523=1,AW523,0)</f>
        <v>0</v>
      </c>
      <c r="BR523" s="80">
        <f>IF(BE523=1,AX523,0)</f>
        <v>0</v>
      </c>
      <c r="BS523" s="80">
        <f>IF(AND(BE523=1,D523="Malcolm",BA523&gt;0),MIN(BH523,SUMPRODUCT((R_Emp="proMX")*(R_EN&gt;0)*((R_EN-(R_EN&gt;BR523)*(R_EN-BR523))&gt;(R_SN+(R_SN&lt;BQ523)*(BQ523-R_SN)))*((R_EN-(R_EN&gt;BR523)*(R_EN-BR523))-(R_SN+(R_SN&lt;BQ523)*(BQ523-R_SN))))/60),0)</f>
        <v>0</v>
      </c>
      <c r="BT523" s="80">
        <f>IF(AND(BE523=1,D523="proMX"),ROUND(BI523*CFG_RATE+BJ523*CFG_OTRATE,6),0)</f>
        <v>0</v>
      </c>
      <c r="BU523" s="80">
        <f>IF(AND(BD523=1,D523="proMX"),ROUND(AG523/CFG_BLK,6),0)</f>
        <v>0</v>
      </c>
      <c r="BV523" s="80" t="str">
        <f>IF(BF523="Approved",IF(ISNUMBER(T523),INT(T523),INT(B523)),"")</f>
        <v/>
      </c>
      <c r="BW523" s="80">
        <f>IF(ISNUMBER(B523),IF(DB_MON="Todos",1,IF(AND(INT(B523)&gt;=DB_MS,INT(B523)&lt;=DB_ME),1,0)),0)</f>
        <v>0</v>
      </c>
      <c r="BX523" s="80">
        <f>IF(DB_PROJ="Todos",1,IF(E523&amp;""=DB_PROJ&amp;"",1,0))</f>
        <v>1</v>
      </c>
      <c r="BY523" s="80">
        <f>BW523*BX523</f>
        <v>0</v>
      </c>
      <c r="BZ523" s="80" t="str">
        <f>IF(Y523=1,F523&amp;IF(AND(F523&amp;""&lt;&gt;"",E523&amp;""&lt;&gt;"")," · ","")&amp;E523,"")</f>
        <v/>
      </c>
      <c r="CA523" s="80" t="str">
        <f>IF(AND(BD523=1,E523&amp;""&lt;&gt;""),IF(COUNTIFS($E$5:E522,E523,$BD$5:BD522,1)=0,MAX($CA$5:CA522)+1,""),"")</f>
        <v/>
      </c>
      <c r="CB523" s="80" t="str">
        <f>IF(AND(BE523=1,D523="Malcolm",E523&amp;""&lt;&gt;""),IF(COUNTIFS($D$5:D522,"Malcolm",$E$5:E522,E523,$BE$5:BE522,1)=0,MAX($CB$5:CB522)+1,""),"")</f>
        <v/>
      </c>
      <c r="CC523" s="80" t="str">
        <f>IF(AND(BD523=1,D523="proMX",E523&amp;""&lt;&gt;""),IF(COUNTIFS($D$5:D522,"proMX",$E$5:E522,E523,$BD$5:BD522,1)=0,MAX($CC$5:CC522)+1,""),"")</f>
        <v/>
      </c>
      <c r="CD523" s="80" t="str">
        <f>IF(AND(BE523=1,D523="Malcolm",F523&amp;""&lt;&gt;""),IF(COUNTIFS($D$5:D522,"Malcolm",$F$5:F522,F523,$BE$5:BE522,1)=0,MAX($CD$5:CD522)+1,""),"")</f>
        <v/>
      </c>
      <c r="CE523" s="80" t="str">
        <f>IF(AND(BD523=1,D523="proMX",F523&amp;""&lt;&gt;""),IF(COUNTIFS($D$5:D522,"proMX",$F$5:F522,F523,$BD$5:BD522,1)=0,MAX($CE$5:CE522)+1,""),"")</f>
        <v/>
      </c>
      <c r="CF523" s="80" t="str">
        <f>IF(AND(D523="proMX",BD523=1),IF(OR(BF523="Draft",BF523="Submitted",BF523="Returned",BF523="Recall Requested"),MAX($CF$5:CF522)+1,""),"")</f>
        <v/>
      </c>
      <c r="CG523" s="80">
        <f>IF(BD523=0,0,IF(D523="Malcolm",1,MATCH(BF523,{"Draft","Submitted","Approved","Returned","Recall Requested","Cancelled"},0)+1))</f>
        <v>0</v>
      </c>
      <c r="CH523" s="80">
        <f>IF(AND(BF523="Submitted",ISNUMBER(V523)),IF(V523&gt;CFG_MAXD,1,0),0)</f>
        <v>0</v>
      </c>
    </row>
    <row r="524">
      <c r="A524" s="71" t="str">
        <f>IF(Y524=1,ROW()-5,"")</f>
        <v/>
      </c>
      <c r="B524" s="72" t="n"/>
      <c r="C524" s="71" t="str">
        <f>IF(ISNUMBER(B524),CHOOSE(WEEKDAY(B524,2),"Lun","Mar","Mié","Jue","Vie","Sáb","Dom"),"")</f>
        <v/>
      </c>
      <c r="D524" s="73" t="n"/>
      <c r="E524" s="74" t="n"/>
      <c r="F524" s="74" t="n"/>
      <c r="G524" s="74" t="n"/>
      <c r="H524" s="75" t="n"/>
      <c r="I524" s="75" t="n"/>
      <c r="J524" s="76" t="n"/>
      <c r="K524" s="77" t="str">
        <f>IF(AB524=1,ROUND(AG524/60,4),"")</f>
        <v/>
      </c>
      <c r="L524" s="77" t="str">
        <f>IF(BD524=1,ROUND(AP524/60,4),"")</f>
        <v/>
      </c>
      <c r="M524" s="77" t="str">
        <f>IF(BD524=1,ROUND(AQ524/60,4),"")</f>
        <v/>
      </c>
      <c r="N524" s="71" t="str">
        <f>IF(AND(D524="proMX",AB524=1),ROUND(AG524/CFG_BLK,2),"")</f>
        <v/>
      </c>
      <c r="O524" s="77" t="str">
        <f>IF(D524="proMX",IF(BD524=1,ROUND(AG524/60,4),0),"")</f>
        <v/>
      </c>
      <c r="P524" s="78" t="str">
        <f>IF(Y524=0,"",IF(BD524=1,"OK",IF(D524="proMX","Revisar bloques: ","Revisar: ")&amp;BC524))</f>
        <v/>
      </c>
      <c r="Q524" s="78" t="str">
        <f>IF(NOT(ISNUMBER(B524)),"",IF(COUNTIFS(FER_F,INT(B524))&gt;0,"Feriado"&amp;IF(AH524=1," (laborable)"," (no laborable)"),IF(AH524=1,"Laborable",IF(WEEKDAY(B524,2)&gt;5,"Fin de semana","No laborable"))))</f>
        <v/>
      </c>
      <c r="R524" s="73" t="n"/>
      <c r="S524" s="72" t="n"/>
      <c r="T524" s="72" t="n"/>
      <c r="U524" s="74" t="n"/>
      <c r="V524" s="79" t="str">
        <f>IF(AND(D524="proMX",OR(R524="Submitted",R524="Recall Requested"),ISNUMBER(S524)),CFG_TODAY-INT(S524),"")</f>
        <v/>
      </c>
      <c r="W524" s="78" t="str">
        <f>IF(BD524=0,"",IF(BA524&gt;0,"⚠ Se superpone con un registro de la otra empresa",IF(D524="Malcolm",IF(COUNTA(R524,S524,T524)&gt;0,"Estado/fechas proMX se ignoran en Malcolm",""),IF(BF524="Cancelled","Cancelado: excluido de totales",IF(R524="","Sin estado: se trata como Draft",IF(BF524="Submitted",IF(ISNUMBER(V524),IF(V524&gt;CFG_MAXD,"⚠ "&amp;V524&amp;" días en Submitted (máx. "&amp;CFG_MAXD&amp;")",""),"Falta fecha de envío"),IF(BF524="Returned","⚠ Devuelto: corregir y reenviar",IF(BF524="Recall Requested","Retirada solicitada: pendiente",IF(AND(BF524="Approved",NOT(ISNUMBER(T524))),"Falta fecha de aprobación",IF(AND(ISNUMBER(S524),ISNUMBER(T524),T524&lt;S524),"Aprobación anterior al envío","")))))))))</f>
        <v/>
      </c>
      <c r="Y524" s="80">
        <f>IF(COUNTA(B524,D524,E524,F524,G524,H524,I524,J524,R524,S524,T524)&gt;0,1,0)</f>
        <v>0</v>
      </c>
      <c r="Z524" s="80" t="str">
        <f>IF(AND(ISNUMBER(H524),H524&gt;=0,H524&lt;1),ROUND(H524*1440,0),"")</f>
        <v/>
      </c>
      <c r="AA524" s="80" t="str">
        <f>IF(AND(ISNUMBER(I524),I524&gt;=0,I524&lt;1),ROUND(I524*1440,0),"")</f>
        <v/>
      </c>
      <c r="AB524" s="80">
        <f>IF(AND(ISNUMBER(B524),D524&lt;&gt;"",ISNUMBER(Z524),ISNUMBER(AA524)),IF(Z524=AA524,0,1),0)</f>
        <v>0</v>
      </c>
      <c r="AC524" s="80">
        <f>IF(AB524=1,IF(AA524&lt;Z524,1,0),0)</f>
        <v>0</v>
      </c>
      <c r="AD524" s="80">
        <f>IF(AB524=1,IF(AC524=1,1440-Z524+AA524,AA524-Z524),0)</f>
        <v>0</v>
      </c>
      <c r="AE524" s="80">
        <f>IF(J524="",0,IF(ISNUMBER(J524),J524,-1))</f>
        <v>0</v>
      </c>
      <c r="AF524" s="80">
        <f>MIN(MAX(0,AE524),AD524)</f>
        <v>0</v>
      </c>
      <c r="AG524" s="80">
        <f>MAX(0,AD524-MAX(0,AE524))</f>
        <v>0</v>
      </c>
      <c r="AH524" s="80">
        <f>IF(ISNUMBER(B524),IF(AND(INDEX(CFG_WDAYS,WEEKDAY(INT(B524),2))="Sí",IF(D524="proMX",COUNTIFS(FER_F,INT(B524),FER_NLP,"Sí"),COUNTIFS(FER_F,INT(B524),FER_NLM,"Sí"))=0),1,0),0)</f>
        <v>0</v>
      </c>
      <c r="AI524" s="80">
        <f>IF(AC524=1,IF(AND(INDEX(CFG_WDAYS,WEEKDAY(INT(B524)+1,2))="Sí",IF(D524="proMX",COUNTIFS(FER_F,INT(B524)+1,FER_NLP,"Sí"),COUNTIFS(FER_F,INT(B524)+1,FER_NLM,"Sí"))=0),1,0),0)</f>
        <v>0</v>
      </c>
      <c r="AJ524" s="80">
        <f>IF(AC524=1,1440-Z524,AD524)</f>
        <v>0</v>
      </c>
      <c r="AK524" s="80">
        <f>IF(AND(AB524=1,AH524=1),MAX(0,MIN(IF(AC524=1,1440,AA524),CFG_WEM)-MAX(Z524,CFG_WSM)),0)</f>
        <v>0</v>
      </c>
      <c r="AL524" s="80">
        <f>IF(AND(AC524=1,AI524=1),MAX(0,MIN(AA524,CFG_WEM)-CFG_WSM),0)</f>
        <v>0</v>
      </c>
      <c r="AM524" s="80">
        <f>AK524+AL524</f>
        <v>0</v>
      </c>
      <c r="AN524" s="80">
        <f>IF(CFG_BRK="Proporcional",IF(AD524=0,0,AF524*AM524/AD524),IF(CFG_BRK="Extras primero",MIN(AM524,MAX(0,AF524-(AD524-AM524))),MIN(AF524,AM524)))</f>
        <v>0</v>
      </c>
      <c r="AO524" s="80">
        <f>AF524-AN524</f>
        <v>0</v>
      </c>
      <c r="AP524" s="80">
        <f>AM524-AN524</f>
        <v>0</v>
      </c>
      <c r="AQ524" s="80">
        <f>AD524-AM524-AO524</f>
        <v>0</v>
      </c>
      <c r="AR524" s="80">
        <f>IF(AM524=0,0,AK524-AN524*AK524/AM524)</f>
        <v>0</v>
      </c>
      <c r="AS524" s="80">
        <f>IF(AD524-AM524=0,0,(AJ524-AK524)-AO524*(AJ524-AK524)/(AD524-AM524))</f>
        <v>0</v>
      </c>
      <c r="AT524" s="80" t="str">
        <f>IF(AC524=1,INT(B524)+1,"")</f>
        <v/>
      </c>
      <c r="AU524" s="80">
        <f>IF(AND(D524="proMX",R524="Cancelled"),0,1)</f>
        <v>1</v>
      </c>
      <c r="AV524" s="80">
        <f>IF(AND(AB524=1,AU524=1),IF(COUNTIFS($D$5:D523,D524,$B$5:B523,B524,$Z$5:Z523,Z524,$AA$5:AA523,AA524,$F$5:F523,F524&amp;"",$AU$5:AU523,1)&gt;0,1,0),0)</f>
        <v>0</v>
      </c>
      <c r="AW524" s="80" t="str">
        <f>IF(AB524=1,INT(B524)*1440+Z524,"")</f>
        <v/>
      </c>
      <c r="AX524" s="80" t="str">
        <f>IF(AB524=1,AW524+AD524,"")</f>
        <v/>
      </c>
      <c r="AY524" s="80">
        <f>IF(AND(AB524=1,AV524=0,AU524=1),1,0)</f>
        <v>0</v>
      </c>
      <c r="AZ524" s="80">
        <f>IF(AY524=1,COUNTIFS(R_Emp,D524,R_SAbs,"&lt;"&amp;AX524,R_EAbs,"&gt;"&amp;AW524,R_OKey,1)-1,0)</f>
        <v>0</v>
      </c>
      <c r="BA524" s="80">
        <f>IF(AY524=1,COUNTIFS(R_Emp,"&lt;&gt;"&amp;D524,R_SAbs,"&lt;"&amp;AX524,R_EAbs,"&gt;"&amp;AW524,R_OKey,1),0)</f>
        <v>0</v>
      </c>
      <c r="BB524" s="80">
        <f>IF(AND(AB524=1,D524="proMX"),IF(AND(MOD(Z524,CFG_BLK)=0,MOD(AA524,CFG_BLK)=0,MOD(AG524,CFG_BLK)=0,AG524&gt;0),1,0),1)</f>
        <v>1</v>
      </c>
      <c r="BC524" s="80" t="str">
        <f>IF(Y524=0,"",IF(NOT(ISNUMBER(B524)),"Falta fecha o fecha inválida",IF(D524="","Falta empresa",IF(AND(D524&lt;&gt;"Malcolm",D524&lt;&gt;"proMX"),"Empresa inválida",IF(OR(INT(B524)&lt;CFG_PSTART,INT(B524)&gt;CFG_PEND),"Fecha fuera del período",IF(OR(NOT(ISNUMBER(Z524)),NOT(ISNUMBER(AA524))),"Falta hora inicio/fin o formato inválido",IF(AB524=0,"Hora inicio = hora fin",IF(AE524&lt;0,"Descanso inválido",IF(AE524&gt;=AD524,"Descanso ≥ duración",IF(AV524=1,"Registro duplicado",IF(AZ524&gt;0,"Se superpone con otro registro "&amp;D524,IF(BB524=0,"inicio, fin y duración neta deben ser múltiplos de "&amp;CFG_BLK&amp;" min",""))))))))))))</f>
        <v/>
      </c>
      <c r="BD524" s="80">
        <f>IF(AND(Y524=1,BC524=""),1,0)</f>
        <v>0</v>
      </c>
      <c r="BE524" s="80">
        <f>IF(AND(BD524=1,AU524=1),1,0)</f>
        <v>0</v>
      </c>
      <c r="BF524" s="80" t="str">
        <f>IF(AND(D524="proMX",BD524=1),IF(R524="","Draft",R524),"")</f>
        <v/>
      </c>
      <c r="BG524" s="80">
        <f>IF(BD524=1,ROUND(AG524/60,6),0)</f>
        <v>0</v>
      </c>
      <c r="BH524" s="80">
        <f>IF(BE524=1,ROUND(AG524/60,6),0)</f>
        <v>0</v>
      </c>
      <c r="BI524" s="80">
        <f>IF(BE524=1,ROUND(AP524/60,6),0)</f>
        <v>0</v>
      </c>
      <c r="BJ524" s="80">
        <f>IF(BE524=1,ROUND(AQ524/60,6),0)</f>
        <v>0</v>
      </c>
      <c r="BK524" s="80">
        <f>IF(BE524=1,ROUND((AR524+AS524)/60,6),0)</f>
        <v>0</v>
      </c>
      <c r="BL524" s="80">
        <f>ROUND(BH524-BK524,6)</f>
        <v>0</v>
      </c>
      <c r="BM524" s="80">
        <f>IF(BE524=1,ROUND(AR524/60,6),0)</f>
        <v>0</v>
      </c>
      <c r="BN524" s="80">
        <f>ROUND(BI524-BM524,6)</f>
        <v>0</v>
      </c>
      <c r="BO524" s="80">
        <f>IF(BE524=1,ROUND(AS524/60,6),0)</f>
        <v>0</v>
      </c>
      <c r="BP524" s="80">
        <f>ROUND(BJ524-BO524,6)</f>
        <v>0</v>
      </c>
      <c r="BQ524" s="80">
        <f>IF(BE524=1,AW524,0)</f>
        <v>0</v>
      </c>
      <c r="BR524" s="80">
        <f>IF(BE524=1,AX524,0)</f>
        <v>0</v>
      </c>
      <c r="BS524" s="80">
        <f>IF(AND(BE524=1,D524="Malcolm",BA524&gt;0),MIN(BH524,SUMPRODUCT((R_Emp="proMX")*(R_EN&gt;0)*((R_EN-(R_EN&gt;BR524)*(R_EN-BR524))&gt;(R_SN+(R_SN&lt;BQ524)*(BQ524-R_SN)))*((R_EN-(R_EN&gt;BR524)*(R_EN-BR524))-(R_SN+(R_SN&lt;BQ524)*(BQ524-R_SN))))/60),0)</f>
        <v>0</v>
      </c>
      <c r="BT524" s="80">
        <f>IF(AND(BE524=1,D524="proMX"),ROUND(BI524*CFG_RATE+BJ524*CFG_OTRATE,6),0)</f>
        <v>0</v>
      </c>
      <c r="BU524" s="80">
        <f>IF(AND(BD524=1,D524="proMX"),ROUND(AG524/CFG_BLK,6),0)</f>
        <v>0</v>
      </c>
      <c r="BV524" s="80" t="str">
        <f>IF(BF524="Approved",IF(ISNUMBER(T524),INT(T524),INT(B524)),"")</f>
        <v/>
      </c>
      <c r="BW524" s="80">
        <f>IF(ISNUMBER(B524),IF(DB_MON="Todos",1,IF(AND(INT(B524)&gt;=DB_MS,INT(B524)&lt;=DB_ME),1,0)),0)</f>
        <v>0</v>
      </c>
      <c r="BX524" s="80">
        <f>IF(DB_PROJ="Todos",1,IF(E524&amp;""=DB_PROJ&amp;"",1,0))</f>
        <v>1</v>
      </c>
      <c r="BY524" s="80">
        <f>BW524*BX524</f>
        <v>0</v>
      </c>
      <c r="BZ524" s="80" t="str">
        <f>IF(Y524=1,F524&amp;IF(AND(F524&amp;""&lt;&gt;"",E524&amp;""&lt;&gt;"")," · ","")&amp;E524,"")</f>
        <v/>
      </c>
      <c r="CA524" s="80" t="str">
        <f>IF(AND(BD524=1,E524&amp;""&lt;&gt;""),IF(COUNTIFS($E$5:E523,E524,$BD$5:BD523,1)=0,MAX($CA$5:CA523)+1,""),"")</f>
        <v/>
      </c>
      <c r="CB524" s="80" t="str">
        <f>IF(AND(BE524=1,D524="Malcolm",E524&amp;""&lt;&gt;""),IF(COUNTIFS($D$5:D523,"Malcolm",$E$5:E523,E524,$BE$5:BE523,1)=0,MAX($CB$5:CB523)+1,""),"")</f>
        <v/>
      </c>
      <c r="CC524" s="80" t="str">
        <f>IF(AND(BD524=1,D524="proMX",E524&amp;""&lt;&gt;""),IF(COUNTIFS($D$5:D523,"proMX",$E$5:E523,E524,$BD$5:BD523,1)=0,MAX($CC$5:CC523)+1,""),"")</f>
        <v/>
      </c>
      <c r="CD524" s="80" t="str">
        <f>IF(AND(BE524=1,D524="Malcolm",F524&amp;""&lt;&gt;""),IF(COUNTIFS($D$5:D523,"Malcolm",$F$5:F523,F524,$BE$5:BE523,1)=0,MAX($CD$5:CD523)+1,""),"")</f>
        <v/>
      </c>
      <c r="CE524" s="80" t="str">
        <f>IF(AND(BD524=1,D524="proMX",F524&amp;""&lt;&gt;""),IF(COUNTIFS($D$5:D523,"proMX",$F$5:F523,F524,$BD$5:BD523,1)=0,MAX($CE$5:CE523)+1,""),"")</f>
        <v/>
      </c>
      <c r="CF524" s="80" t="str">
        <f>IF(AND(D524="proMX",BD524=1),IF(OR(BF524="Draft",BF524="Submitted",BF524="Returned",BF524="Recall Requested"),MAX($CF$5:CF523)+1,""),"")</f>
        <v/>
      </c>
      <c r="CG524" s="80">
        <f>IF(BD524=0,0,IF(D524="Malcolm",1,MATCH(BF524,{"Draft","Submitted","Approved","Returned","Recall Requested","Cancelled"},0)+1))</f>
        <v>0</v>
      </c>
      <c r="CH524" s="80">
        <f>IF(AND(BF524="Submitted",ISNUMBER(V524)),IF(V524&gt;CFG_MAXD,1,0),0)</f>
        <v>0</v>
      </c>
    </row>
    <row r="525">
      <c r="A525" s="71" t="str">
        <f>IF(Y525=1,ROW()-5,"")</f>
        <v/>
      </c>
      <c r="B525" s="72" t="n"/>
      <c r="C525" s="71" t="str">
        <f>IF(ISNUMBER(B525),CHOOSE(WEEKDAY(B525,2),"Lun","Mar","Mié","Jue","Vie","Sáb","Dom"),"")</f>
        <v/>
      </c>
      <c r="D525" s="73" t="n"/>
      <c r="E525" s="74" t="n"/>
      <c r="F525" s="74" t="n"/>
      <c r="G525" s="74" t="n"/>
      <c r="H525" s="75" t="n"/>
      <c r="I525" s="75" t="n"/>
      <c r="J525" s="76" t="n"/>
      <c r="K525" s="77" t="str">
        <f>IF(AB525=1,ROUND(AG525/60,4),"")</f>
        <v/>
      </c>
      <c r="L525" s="77" t="str">
        <f>IF(BD525=1,ROUND(AP525/60,4),"")</f>
        <v/>
      </c>
      <c r="M525" s="77" t="str">
        <f>IF(BD525=1,ROUND(AQ525/60,4),"")</f>
        <v/>
      </c>
      <c r="N525" s="71" t="str">
        <f>IF(AND(D525="proMX",AB525=1),ROUND(AG525/CFG_BLK,2),"")</f>
        <v/>
      </c>
      <c r="O525" s="77" t="str">
        <f>IF(D525="proMX",IF(BD525=1,ROUND(AG525/60,4),0),"")</f>
        <v/>
      </c>
      <c r="P525" s="78" t="str">
        <f>IF(Y525=0,"",IF(BD525=1,"OK",IF(D525="proMX","Revisar bloques: ","Revisar: ")&amp;BC525))</f>
        <v/>
      </c>
      <c r="Q525" s="78" t="str">
        <f>IF(NOT(ISNUMBER(B525)),"",IF(COUNTIFS(FER_F,INT(B525))&gt;0,"Feriado"&amp;IF(AH525=1," (laborable)"," (no laborable)"),IF(AH525=1,"Laborable",IF(WEEKDAY(B525,2)&gt;5,"Fin de semana","No laborable"))))</f>
        <v/>
      </c>
      <c r="R525" s="73" t="n"/>
      <c r="S525" s="72" t="n"/>
      <c r="T525" s="72" t="n"/>
      <c r="U525" s="74" t="n"/>
      <c r="V525" s="79" t="str">
        <f>IF(AND(D525="proMX",OR(R525="Submitted",R525="Recall Requested"),ISNUMBER(S525)),CFG_TODAY-INT(S525),"")</f>
        <v/>
      </c>
      <c r="W525" s="78" t="str">
        <f>IF(BD525=0,"",IF(BA525&gt;0,"⚠ Se superpone con un registro de la otra empresa",IF(D525="Malcolm",IF(COUNTA(R525,S525,T525)&gt;0,"Estado/fechas proMX se ignoran en Malcolm",""),IF(BF525="Cancelled","Cancelado: excluido de totales",IF(R525="","Sin estado: se trata como Draft",IF(BF525="Submitted",IF(ISNUMBER(V525),IF(V525&gt;CFG_MAXD,"⚠ "&amp;V525&amp;" días en Submitted (máx. "&amp;CFG_MAXD&amp;")",""),"Falta fecha de envío"),IF(BF525="Returned","⚠ Devuelto: corregir y reenviar",IF(BF525="Recall Requested","Retirada solicitada: pendiente",IF(AND(BF525="Approved",NOT(ISNUMBER(T525))),"Falta fecha de aprobación",IF(AND(ISNUMBER(S525),ISNUMBER(T525),T525&lt;S525),"Aprobación anterior al envío","")))))))))</f>
        <v/>
      </c>
      <c r="Y525" s="80">
        <f>IF(COUNTA(B525,D525,E525,F525,G525,H525,I525,J525,R525,S525,T525)&gt;0,1,0)</f>
        <v>0</v>
      </c>
      <c r="Z525" s="80" t="str">
        <f>IF(AND(ISNUMBER(H525),H525&gt;=0,H525&lt;1),ROUND(H525*1440,0),"")</f>
        <v/>
      </c>
      <c r="AA525" s="80" t="str">
        <f>IF(AND(ISNUMBER(I525),I525&gt;=0,I525&lt;1),ROUND(I525*1440,0),"")</f>
        <v/>
      </c>
      <c r="AB525" s="80">
        <f>IF(AND(ISNUMBER(B525),D525&lt;&gt;"",ISNUMBER(Z525),ISNUMBER(AA525)),IF(Z525=AA525,0,1),0)</f>
        <v>0</v>
      </c>
      <c r="AC525" s="80">
        <f>IF(AB525=1,IF(AA525&lt;Z525,1,0),0)</f>
        <v>0</v>
      </c>
      <c r="AD525" s="80">
        <f>IF(AB525=1,IF(AC525=1,1440-Z525+AA525,AA525-Z525),0)</f>
        <v>0</v>
      </c>
      <c r="AE525" s="80">
        <f>IF(J525="",0,IF(ISNUMBER(J525),J525,-1))</f>
        <v>0</v>
      </c>
      <c r="AF525" s="80">
        <f>MIN(MAX(0,AE525),AD525)</f>
        <v>0</v>
      </c>
      <c r="AG525" s="80">
        <f>MAX(0,AD525-MAX(0,AE525))</f>
        <v>0</v>
      </c>
      <c r="AH525" s="80">
        <f>IF(ISNUMBER(B525),IF(AND(INDEX(CFG_WDAYS,WEEKDAY(INT(B525),2))="Sí",IF(D525="proMX",COUNTIFS(FER_F,INT(B525),FER_NLP,"Sí"),COUNTIFS(FER_F,INT(B525),FER_NLM,"Sí"))=0),1,0),0)</f>
        <v>0</v>
      </c>
      <c r="AI525" s="80">
        <f>IF(AC525=1,IF(AND(INDEX(CFG_WDAYS,WEEKDAY(INT(B525)+1,2))="Sí",IF(D525="proMX",COUNTIFS(FER_F,INT(B525)+1,FER_NLP,"Sí"),COUNTIFS(FER_F,INT(B525)+1,FER_NLM,"Sí"))=0),1,0),0)</f>
        <v>0</v>
      </c>
      <c r="AJ525" s="80">
        <f>IF(AC525=1,1440-Z525,AD525)</f>
        <v>0</v>
      </c>
      <c r="AK525" s="80">
        <f>IF(AND(AB525=1,AH525=1),MAX(0,MIN(IF(AC525=1,1440,AA525),CFG_WEM)-MAX(Z525,CFG_WSM)),0)</f>
        <v>0</v>
      </c>
      <c r="AL525" s="80">
        <f>IF(AND(AC525=1,AI525=1),MAX(0,MIN(AA525,CFG_WEM)-CFG_WSM),0)</f>
        <v>0</v>
      </c>
      <c r="AM525" s="80">
        <f>AK525+AL525</f>
        <v>0</v>
      </c>
      <c r="AN525" s="80">
        <f>IF(CFG_BRK="Proporcional",IF(AD525=0,0,AF525*AM525/AD525),IF(CFG_BRK="Extras primero",MIN(AM525,MAX(0,AF525-(AD525-AM525))),MIN(AF525,AM525)))</f>
        <v>0</v>
      </c>
      <c r="AO525" s="80">
        <f>AF525-AN525</f>
        <v>0</v>
      </c>
      <c r="AP525" s="80">
        <f>AM525-AN525</f>
        <v>0</v>
      </c>
      <c r="AQ525" s="80">
        <f>AD525-AM525-AO525</f>
        <v>0</v>
      </c>
      <c r="AR525" s="80">
        <f>IF(AM525=0,0,AK525-AN525*AK525/AM525)</f>
        <v>0</v>
      </c>
      <c r="AS525" s="80">
        <f>IF(AD525-AM525=0,0,(AJ525-AK525)-AO525*(AJ525-AK525)/(AD525-AM525))</f>
        <v>0</v>
      </c>
      <c r="AT525" s="80" t="str">
        <f>IF(AC525=1,INT(B525)+1,"")</f>
        <v/>
      </c>
      <c r="AU525" s="80">
        <f>IF(AND(D525="proMX",R525="Cancelled"),0,1)</f>
        <v>1</v>
      </c>
      <c r="AV525" s="80">
        <f>IF(AND(AB525=1,AU525=1),IF(COUNTIFS($D$5:D524,D525,$B$5:B524,B525,$Z$5:Z524,Z525,$AA$5:AA524,AA525,$F$5:F524,F525&amp;"",$AU$5:AU524,1)&gt;0,1,0),0)</f>
        <v>0</v>
      </c>
      <c r="AW525" s="80" t="str">
        <f>IF(AB525=1,INT(B525)*1440+Z525,"")</f>
        <v/>
      </c>
      <c r="AX525" s="80" t="str">
        <f>IF(AB525=1,AW525+AD525,"")</f>
        <v/>
      </c>
      <c r="AY525" s="80">
        <f>IF(AND(AB525=1,AV525=0,AU525=1),1,0)</f>
        <v>0</v>
      </c>
      <c r="AZ525" s="80">
        <f>IF(AY525=1,COUNTIFS(R_Emp,D525,R_SAbs,"&lt;"&amp;AX525,R_EAbs,"&gt;"&amp;AW525,R_OKey,1)-1,0)</f>
        <v>0</v>
      </c>
      <c r="BA525" s="80">
        <f>IF(AY525=1,COUNTIFS(R_Emp,"&lt;&gt;"&amp;D525,R_SAbs,"&lt;"&amp;AX525,R_EAbs,"&gt;"&amp;AW525,R_OKey,1),0)</f>
        <v>0</v>
      </c>
      <c r="BB525" s="80">
        <f>IF(AND(AB525=1,D525="proMX"),IF(AND(MOD(Z525,CFG_BLK)=0,MOD(AA525,CFG_BLK)=0,MOD(AG525,CFG_BLK)=0,AG525&gt;0),1,0),1)</f>
        <v>1</v>
      </c>
      <c r="BC525" s="80" t="str">
        <f>IF(Y525=0,"",IF(NOT(ISNUMBER(B525)),"Falta fecha o fecha inválida",IF(D525="","Falta empresa",IF(AND(D525&lt;&gt;"Malcolm",D525&lt;&gt;"proMX"),"Empresa inválida",IF(OR(INT(B525)&lt;CFG_PSTART,INT(B525)&gt;CFG_PEND),"Fecha fuera del período",IF(OR(NOT(ISNUMBER(Z525)),NOT(ISNUMBER(AA525))),"Falta hora inicio/fin o formato inválido",IF(AB525=0,"Hora inicio = hora fin",IF(AE525&lt;0,"Descanso inválido",IF(AE525&gt;=AD525,"Descanso ≥ duración",IF(AV525=1,"Registro duplicado",IF(AZ525&gt;0,"Se superpone con otro registro "&amp;D525,IF(BB525=0,"inicio, fin y duración neta deben ser múltiplos de "&amp;CFG_BLK&amp;" min",""))))))))))))</f>
        <v/>
      </c>
      <c r="BD525" s="80">
        <f>IF(AND(Y525=1,BC525=""),1,0)</f>
        <v>0</v>
      </c>
      <c r="BE525" s="80">
        <f>IF(AND(BD525=1,AU525=1),1,0)</f>
        <v>0</v>
      </c>
      <c r="BF525" s="80" t="str">
        <f>IF(AND(D525="proMX",BD525=1),IF(R525="","Draft",R525),"")</f>
        <v/>
      </c>
      <c r="BG525" s="80">
        <f>IF(BD525=1,ROUND(AG525/60,6),0)</f>
        <v>0</v>
      </c>
      <c r="BH525" s="80">
        <f>IF(BE525=1,ROUND(AG525/60,6),0)</f>
        <v>0</v>
      </c>
      <c r="BI525" s="80">
        <f>IF(BE525=1,ROUND(AP525/60,6),0)</f>
        <v>0</v>
      </c>
      <c r="BJ525" s="80">
        <f>IF(BE525=1,ROUND(AQ525/60,6),0)</f>
        <v>0</v>
      </c>
      <c r="BK525" s="80">
        <f>IF(BE525=1,ROUND((AR525+AS525)/60,6),0)</f>
        <v>0</v>
      </c>
      <c r="BL525" s="80">
        <f>ROUND(BH525-BK525,6)</f>
        <v>0</v>
      </c>
      <c r="BM525" s="80">
        <f>IF(BE525=1,ROUND(AR525/60,6),0)</f>
        <v>0</v>
      </c>
      <c r="BN525" s="80">
        <f>ROUND(BI525-BM525,6)</f>
        <v>0</v>
      </c>
      <c r="BO525" s="80">
        <f>IF(BE525=1,ROUND(AS525/60,6),0)</f>
        <v>0</v>
      </c>
      <c r="BP525" s="80">
        <f>ROUND(BJ525-BO525,6)</f>
        <v>0</v>
      </c>
      <c r="BQ525" s="80">
        <f>IF(BE525=1,AW525,0)</f>
        <v>0</v>
      </c>
      <c r="BR525" s="80">
        <f>IF(BE525=1,AX525,0)</f>
        <v>0</v>
      </c>
      <c r="BS525" s="80">
        <f>IF(AND(BE525=1,D525="Malcolm",BA525&gt;0),MIN(BH525,SUMPRODUCT((R_Emp="proMX")*(R_EN&gt;0)*((R_EN-(R_EN&gt;BR525)*(R_EN-BR525))&gt;(R_SN+(R_SN&lt;BQ525)*(BQ525-R_SN)))*((R_EN-(R_EN&gt;BR525)*(R_EN-BR525))-(R_SN+(R_SN&lt;BQ525)*(BQ525-R_SN))))/60),0)</f>
        <v>0</v>
      </c>
      <c r="BT525" s="80">
        <f>IF(AND(BE525=1,D525="proMX"),ROUND(BI525*CFG_RATE+BJ525*CFG_OTRATE,6),0)</f>
        <v>0</v>
      </c>
      <c r="BU525" s="80">
        <f>IF(AND(BD525=1,D525="proMX"),ROUND(AG525/CFG_BLK,6),0)</f>
        <v>0</v>
      </c>
      <c r="BV525" s="80" t="str">
        <f>IF(BF525="Approved",IF(ISNUMBER(T525),INT(T525),INT(B525)),"")</f>
        <v/>
      </c>
      <c r="BW525" s="80">
        <f>IF(ISNUMBER(B525),IF(DB_MON="Todos",1,IF(AND(INT(B525)&gt;=DB_MS,INT(B525)&lt;=DB_ME),1,0)),0)</f>
        <v>0</v>
      </c>
      <c r="BX525" s="80">
        <f>IF(DB_PROJ="Todos",1,IF(E525&amp;""=DB_PROJ&amp;"",1,0))</f>
        <v>1</v>
      </c>
      <c r="BY525" s="80">
        <f>BW525*BX525</f>
        <v>0</v>
      </c>
      <c r="BZ525" s="80" t="str">
        <f>IF(Y525=1,F525&amp;IF(AND(F525&amp;""&lt;&gt;"",E525&amp;""&lt;&gt;"")," · ","")&amp;E525,"")</f>
        <v/>
      </c>
      <c r="CA525" s="80" t="str">
        <f>IF(AND(BD525=1,E525&amp;""&lt;&gt;""),IF(COUNTIFS($E$5:E524,E525,$BD$5:BD524,1)=0,MAX($CA$5:CA524)+1,""),"")</f>
        <v/>
      </c>
      <c r="CB525" s="80" t="str">
        <f>IF(AND(BE525=1,D525="Malcolm",E525&amp;""&lt;&gt;""),IF(COUNTIFS($D$5:D524,"Malcolm",$E$5:E524,E525,$BE$5:BE524,1)=0,MAX($CB$5:CB524)+1,""),"")</f>
        <v/>
      </c>
      <c r="CC525" s="80" t="str">
        <f>IF(AND(BD525=1,D525="proMX",E525&amp;""&lt;&gt;""),IF(COUNTIFS($D$5:D524,"proMX",$E$5:E524,E525,$BD$5:BD524,1)=0,MAX($CC$5:CC524)+1,""),"")</f>
        <v/>
      </c>
      <c r="CD525" s="80" t="str">
        <f>IF(AND(BE525=1,D525="Malcolm",F525&amp;""&lt;&gt;""),IF(COUNTIFS($D$5:D524,"Malcolm",$F$5:F524,F525,$BE$5:BE524,1)=0,MAX($CD$5:CD524)+1,""),"")</f>
        <v/>
      </c>
      <c r="CE525" s="80" t="str">
        <f>IF(AND(BD525=1,D525="proMX",F525&amp;""&lt;&gt;""),IF(COUNTIFS($D$5:D524,"proMX",$F$5:F524,F525,$BD$5:BD524,1)=0,MAX($CE$5:CE524)+1,""),"")</f>
        <v/>
      </c>
      <c r="CF525" s="80" t="str">
        <f>IF(AND(D525="proMX",BD525=1),IF(OR(BF525="Draft",BF525="Submitted",BF525="Returned",BF525="Recall Requested"),MAX($CF$5:CF524)+1,""),"")</f>
        <v/>
      </c>
      <c r="CG525" s="80">
        <f>IF(BD525=0,0,IF(D525="Malcolm",1,MATCH(BF525,{"Draft","Submitted","Approved","Returned","Recall Requested","Cancelled"},0)+1))</f>
        <v>0</v>
      </c>
      <c r="CH525" s="80">
        <f>IF(AND(BF525="Submitted",ISNUMBER(V525)),IF(V525&gt;CFG_MAXD,1,0),0)</f>
        <v>0</v>
      </c>
    </row>
    <row r="526">
      <c r="A526" s="71" t="str">
        <f>IF(Y526=1,ROW()-5,"")</f>
        <v/>
      </c>
      <c r="B526" s="72" t="n"/>
      <c r="C526" s="71" t="str">
        <f>IF(ISNUMBER(B526),CHOOSE(WEEKDAY(B526,2),"Lun","Mar","Mié","Jue","Vie","Sáb","Dom"),"")</f>
        <v/>
      </c>
      <c r="D526" s="73" t="n"/>
      <c r="E526" s="74" t="n"/>
      <c r="F526" s="74" t="n"/>
      <c r="G526" s="74" t="n"/>
      <c r="H526" s="75" t="n"/>
      <c r="I526" s="75" t="n"/>
      <c r="J526" s="76" t="n"/>
      <c r="K526" s="77" t="str">
        <f>IF(AB526=1,ROUND(AG526/60,4),"")</f>
        <v/>
      </c>
      <c r="L526" s="77" t="str">
        <f>IF(BD526=1,ROUND(AP526/60,4),"")</f>
        <v/>
      </c>
      <c r="M526" s="77" t="str">
        <f>IF(BD526=1,ROUND(AQ526/60,4),"")</f>
        <v/>
      </c>
      <c r="N526" s="71" t="str">
        <f>IF(AND(D526="proMX",AB526=1),ROUND(AG526/CFG_BLK,2),"")</f>
        <v/>
      </c>
      <c r="O526" s="77" t="str">
        <f>IF(D526="proMX",IF(BD526=1,ROUND(AG526/60,4),0),"")</f>
        <v/>
      </c>
      <c r="P526" s="78" t="str">
        <f>IF(Y526=0,"",IF(BD526=1,"OK",IF(D526="proMX","Revisar bloques: ","Revisar: ")&amp;BC526))</f>
        <v/>
      </c>
      <c r="Q526" s="78" t="str">
        <f>IF(NOT(ISNUMBER(B526)),"",IF(COUNTIFS(FER_F,INT(B526))&gt;0,"Feriado"&amp;IF(AH526=1," (laborable)"," (no laborable)"),IF(AH526=1,"Laborable",IF(WEEKDAY(B526,2)&gt;5,"Fin de semana","No laborable"))))</f>
        <v/>
      </c>
      <c r="R526" s="73" t="n"/>
      <c r="S526" s="72" t="n"/>
      <c r="T526" s="72" t="n"/>
      <c r="U526" s="74" t="n"/>
      <c r="V526" s="79" t="str">
        <f>IF(AND(D526="proMX",OR(R526="Submitted",R526="Recall Requested"),ISNUMBER(S526)),CFG_TODAY-INT(S526),"")</f>
        <v/>
      </c>
      <c r="W526" s="78" t="str">
        <f>IF(BD526=0,"",IF(BA526&gt;0,"⚠ Se superpone con un registro de la otra empresa",IF(D526="Malcolm",IF(COUNTA(R526,S526,T526)&gt;0,"Estado/fechas proMX se ignoran en Malcolm",""),IF(BF526="Cancelled","Cancelado: excluido de totales",IF(R526="","Sin estado: se trata como Draft",IF(BF526="Submitted",IF(ISNUMBER(V526),IF(V526&gt;CFG_MAXD,"⚠ "&amp;V526&amp;" días en Submitted (máx. "&amp;CFG_MAXD&amp;")",""),"Falta fecha de envío"),IF(BF526="Returned","⚠ Devuelto: corregir y reenviar",IF(BF526="Recall Requested","Retirada solicitada: pendiente",IF(AND(BF526="Approved",NOT(ISNUMBER(T526))),"Falta fecha de aprobación",IF(AND(ISNUMBER(S526),ISNUMBER(T526),T526&lt;S526),"Aprobación anterior al envío","")))))))))</f>
        <v/>
      </c>
      <c r="Y526" s="80">
        <f>IF(COUNTA(B526,D526,E526,F526,G526,H526,I526,J526,R526,S526,T526)&gt;0,1,0)</f>
        <v>0</v>
      </c>
      <c r="Z526" s="80" t="str">
        <f>IF(AND(ISNUMBER(H526),H526&gt;=0,H526&lt;1),ROUND(H526*1440,0),"")</f>
        <v/>
      </c>
      <c r="AA526" s="80" t="str">
        <f>IF(AND(ISNUMBER(I526),I526&gt;=0,I526&lt;1),ROUND(I526*1440,0),"")</f>
        <v/>
      </c>
      <c r="AB526" s="80">
        <f>IF(AND(ISNUMBER(B526),D526&lt;&gt;"",ISNUMBER(Z526),ISNUMBER(AA526)),IF(Z526=AA526,0,1),0)</f>
        <v>0</v>
      </c>
      <c r="AC526" s="80">
        <f>IF(AB526=1,IF(AA526&lt;Z526,1,0),0)</f>
        <v>0</v>
      </c>
      <c r="AD526" s="80">
        <f>IF(AB526=1,IF(AC526=1,1440-Z526+AA526,AA526-Z526),0)</f>
        <v>0</v>
      </c>
      <c r="AE526" s="80">
        <f>IF(J526="",0,IF(ISNUMBER(J526),J526,-1))</f>
        <v>0</v>
      </c>
      <c r="AF526" s="80">
        <f>MIN(MAX(0,AE526),AD526)</f>
        <v>0</v>
      </c>
      <c r="AG526" s="80">
        <f>MAX(0,AD526-MAX(0,AE526))</f>
        <v>0</v>
      </c>
      <c r="AH526" s="80">
        <f>IF(ISNUMBER(B526),IF(AND(INDEX(CFG_WDAYS,WEEKDAY(INT(B526),2))="Sí",IF(D526="proMX",COUNTIFS(FER_F,INT(B526),FER_NLP,"Sí"),COUNTIFS(FER_F,INT(B526),FER_NLM,"Sí"))=0),1,0),0)</f>
        <v>0</v>
      </c>
      <c r="AI526" s="80">
        <f>IF(AC526=1,IF(AND(INDEX(CFG_WDAYS,WEEKDAY(INT(B526)+1,2))="Sí",IF(D526="proMX",COUNTIFS(FER_F,INT(B526)+1,FER_NLP,"Sí"),COUNTIFS(FER_F,INT(B526)+1,FER_NLM,"Sí"))=0),1,0),0)</f>
        <v>0</v>
      </c>
      <c r="AJ526" s="80">
        <f>IF(AC526=1,1440-Z526,AD526)</f>
        <v>0</v>
      </c>
      <c r="AK526" s="80">
        <f>IF(AND(AB526=1,AH526=1),MAX(0,MIN(IF(AC526=1,1440,AA526),CFG_WEM)-MAX(Z526,CFG_WSM)),0)</f>
        <v>0</v>
      </c>
      <c r="AL526" s="80">
        <f>IF(AND(AC526=1,AI526=1),MAX(0,MIN(AA526,CFG_WEM)-CFG_WSM),0)</f>
        <v>0</v>
      </c>
      <c r="AM526" s="80">
        <f>AK526+AL526</f>
        <v>0</v>
      </c>
      <c r="AN526" s="80">
        <f>IF(CFG_BRK="Proporcional",IF(AD526=0,0,AF526*AM526/AD526),IF(CFG_BRK="Extras primero",MIN(AM526,MAX(0,AF526-(AD526-AM526))),MIN(AF526,AM526)))</f>
        <v>0</v>
      </c>
      <c r="AO526" s="80">
        <f>AF526-AN526</f>
        <v>0</v>
      </c>
      <c r="AP526" s="80">
        <f>AM526-AN526</f>
        <v>0</v>
      </c>
      <c r="AQ526" s="80">
        <f>AD526-AM526-AO526</f>
        <v>0</v>
      </c>
      <c r="AR526" s="80">
        <f>IF(AM526=0,0,AK526-AN526*AK526/AM526)</f>
        <v>0</v>
      </c>
      <c r="AS526" s="80">
        <f>IF(AD526-AM526=0,0,(AJ526-AK526)-AO526*(AJ526-AK526)/(AD526-AM526))</f>
        <v>0</v>
      </c>
      <c r="AT526" s="80" t="str">
        <f>IF(AC526=1,INT(B526)+1,"")</f>
        <v/>
      </c>
      <c r="AU526" s="80">
        <f>IF(AND(D526="proMX",R526="Cancelled"),0,1)</f>
        <v>1</v>
      </c>
      <c r="AV526" s="80">
        <f>IF(AND(AB526=1,AU526=1),IF(COUNTIFS($D$5:D525,D526,$B$5:B525,B526,$Z$5:Z525,Z526,$AA$5:AA525,AA526,$F$5:F525,F526&amp;"",$AU$5:AU525,1)&gt;0,1,0),0)</f>
        <v>0</v>
      </c>
      <c r="AW526" s="80" t="str">
        <f>IF(AB526=1,INT(B526)*1440+Z526,"")</f>
        <v/>
      </c>
      <c r="AX526" s="80" t="str">
        <f>IF(AB526=1,AW526+AD526,"")</f>
        <v/>
      </c>
      <c r="AY526" s="80">
        <f>IF(AND(AB526=1,AV526=0,AU526=1),1,0)</f>
        <v>0</v>
      </c>
      <c r="AZ526" s="80">
        <f>IF(AY526=1,COUNTIFS(R_Emp,D526,R_SAbs,"&lt;"&amp;AX526,R_EAbs,"&gt;"&amp;AW526,R_OKey,1)-1,0)</f>
        <v>0</v>
      </c>
      <c r="BA526" s="80">
        <f>IF(AY526=1,COUNTIFS(R_Emp,"&lt;&gt;"&amp;D526,R_SAbs,"&lt;"&amp;AX526,R_EAbs,"&gt;"&amp;AW526,R_OKey,1),0)</f>
        <v>0</v>
      </c>
      <c r="BB526" s="80">
        <f>IF(AND(AB526=1,D526="proMX"),IF(AND(MOD(Z526,CFG_BLK)=0,MOD(AA526,CFG_BLK)=0,MOD(AG526,CFG_BLK)=0,AG526&gt;0),1,0),1)</f>
        <v>1</v>
      </c>
      <c r="BC526" s="80" t="str">
        <f>IF(Y526=0,"",IF(NOT(ISNUMBER(B526)),"Falta fecha o fecha inválida",IF(D526="","Falta empresa",IF(AND(D526&lt;&gt;"Malcolm",D526&lt;&gt;"proMX"),"Empresa inválida",IF(OR(INT(B526)&lt;CFG_PSTART,INT(B526)&gt;CFG_PEND),"Fecha fuera del período",IF(OR(NOT(ISNUMBER(Z526)),NOT(ISNUMBER(AA526))),"Falta hora inicio/fin o formato inválido",IF(AB526=0,"Hora inicio = hora fin",IF(AE526&lt;0,"Descanso inválido",IF(AE526&gt;=AD526,"Descanso ≥ duración",IF(AV526=1,"Registro duplicado",IF(AZ526&gt;0,"Se superpone con otro registro "&amp;D526,IF(BB526=0,"inicio, fin y duración neta deben ser múltiplos de "&amp;CFG_BLK&amp;" min",""))))))))))))</f>
        <v/>
      </c>
      <c r="BD526" s="80">
        <f>IF(AND(Y526=1,BC526=""),1,0)</f>
        <v>0</v>
      </c>
      <c r="BE526" s="80">
        <f>IF(AND(BD526=1,AU526=1),1,0)</f>
        <v>0</v>
      </c>
      <c r="BF526" s="80" t="str">
        <f>IF(AND(D526="proMX",BD526=1),IF(R526="","Draft",R526),"")</f>
        <v/>
      </c>
      <c r="BG526" s="80">
        <f>IF(BD526=1,ROUND(AG526/60,6),0)</f>
        <v>0</v>
      </c>
      <c r="BH526" s="80">
        <f>IF(BE526=1,ROUND(AG526/60,6),0)</f>
        <v>0</v>
      </c>
      <c r="BI526" s="80">
        <f>IF(BE526=1,ROUND(AP526/60,6),0)</f>
        <v>0</v>
      </c>
      <c r="BJ526" s="80">
        <f>IF(BE526=1,ROUND(AQ526/60,6),0)</f>
        <v>0</v>
      </c>
      <c r="BK526" s="80">
        <f>IF(BE526=1,ROUND((AR526+AS526)/60,6),0)</f>
        <v>0</v>
      </c>
      <c r="BL526" s="80">
        <f>ROUND(BH526-BK526,6)</f>
        <v>0</v>
      </c>
      <c r="BM526" s="80">
        <f>IF(BE526=1,ROUND(AR526/60,6),0)</f>
        <v>0</v>
      </c>
      <c r="BN526" s="80">
        <f>ROUND(BI526-BM526,6)</f>
        <v>0</v>
      </c>
      <c r="BO526" s="80">
        <f>IF(BE526=1,ROUND(AS526/60,6),0)</f>
        <v>0</v>
      </c>
      <c r="BP526" s="80">
        <f>ROUND(BJ526-BO526,6)</f>
        <v>0</v>
      </c>
      <c r="BQ526" s="80">
        <f>IF(BE526=1,AW526,0)</f>
        <v>0</v>
      </c>
      <c r="BR526" s="80">
        <f>IF(BE526=1,AX526,0)</f>
        <v>0</v>
      </c>
      <c r="BS526" s="80">
        <f>IF(AND(BE526=1,D526="Malcolm",BA526&gt;0),MIN(BH526,SUMPRODUCT((R_Emp="proMX")*(R_EN&gt;0)*((R_EN-(R_EN&gt;BR526)*(R_EN-BR526))&gt;(R_SN+(R_SN&lt;BQ526)*(BQ526-R_SN)))*((R_EN-(R_EN&gt;BR526)*(R_EN-BR526))-(R_SN+(R_SN&lt;BQ526)*(BQ526-R_SN))))/60),0)</f>
        <v>0</v>
      </c>
      <c r="BT526" s="80">
        <f>IF(AND(BE526=1,D526="proMX"),ROUND(BI526*CFG_RATE+BJ526*CFG_OTRATE,6),0)</f>
        <v>0</v>
      </c>
      <c r="BU526" s="80">
        <f>IF(AND(BD526=1,D526="proMX"),ROUND(AG526/CFG_BLK,6),0)</f>
        <v>0</v>
      </c>
      <c r="BV526" s="80" t="str">
        <f>IF(BF526="Approved",IF(ISNUMBER(T526),INT(T526),INT(B526)),"")</f>
        <v/>
      </c>
      <c r="BW526" s="80">
        <f>IF(ISNUMBER(B526),IF(DB_MON="Todos",1,IF(AND(INT(B526)&gt;=DB_MS,INT(B526)&lt;=DB_ME),1,0)),0)</f>
        <v>0</v>
      </c>
      <c r="BX526" s="80">
        <f>IF(DB_PROJ="Todos",1,IF(E526&amp;""=DB_PROJ&amp;"",1,0))</f>
        <v>1</v>
      </c>
      <c r="BY526" s="80">
        <f>BW526*BX526</f>
        <v>0</v>
      </c>
      <c r="BZ526" s="80" t="str">
        <f>IF(Y526=1,F526&amp;IF(AND(F526&amp;""&lt;&gt;"",E526&amp;""&lt;&gt;"")," · ","")&amp;E526,"")</f>
        <v/>
      </c>
      <c r="CA526" s="80" t="str">
        <f>IF(AND(BD526=1,E526&amp;""&lt;&gt;""),IF(COUNTIFS($E$5:E525,E526,$BD$5:BD525,1)=0,MAX($CA$5:CA525)+1,""),"")</f>
        <v/>
      </c>
      <c r="CB526" s="80" t="str">
        <f>IF(AND(BE526=1,D526="Malcolm",E526&amp;""&lt;&gt;""),IF(COUNTIFS($D$5:D525,"Malcolm",$E$5:E525,E526,$BE$5:BE525,1)=0,MAX($CB$5:CB525)+1,""),"")</f>
        <v/>
      </c>
      <c r="CC526" s="80" t="str">
        <f>IF(AND(BD526=1,D526="proMX",E526&amp;""&lt;&gt;""),IF(COUNTIFS($D$5:D525,"proMX",$E$5:E525,E526,$BD$5:BD525,1)=0,MAX($CC$5:CC525)+1,""),"")</f>
        <v/>
      </c>
      <c r="CD526" s="80" t="str">
        <f>IF(AND(BE526=1,D526="Malcolm",F526&amp;""&lt;&gt;""),IF(COUNTIFS($D$5:D525,"Malcolm",$F$5:F525,F526,$BE$5:BE525,1)=0,MAX($CD$5:CD525)+1,""),"")</f>
        <v/>
      </c>
      <c r="CE526" s="80" t="str">
        <f>IF(AND(BD526=1,D526="proMX",F526&amp;""&lt;&gt;""),IF(COUNTIFS($D$5:D525,"proMX",$F$5:F525,F526,$BD$5:BD525,1)=0,MAX($CE$5:CE525)+1,""),"")</f>
        <v/>
      </c>
      <c r="CF526" s="80" t="str">
        <f>IF(AND(D526="proMX",BD526=1),IF(OR(BF526="Draft",BF526="Submitted",BF526="Returned",BF526="Recall Requested"),MAX($CF$5:CF525)+1,""),"")</f>
        <v/>
      </c>
      <c r="CG526" s="80">
        <f>IF(BD526=0,0,IF(D526="Malcolm",1,MATCH(BF526,{"Draft","Submitted","Approved","Returned","Recall Requested","Cancelled"},0)+1))</f>
        <v>0</v>
      </c>
      <c r="CH526" s="80">
        <f>IF(AND(BF526="Submitted",ISNUMBER(V526)),IF(V526&gt;CFG_MAXD,1,0),0)</f>
        <v>0</v>
      </c>
    </row>
    <row r="527">
      <c r="A527" s="71" t="str">
        <f>IF(Y527=1,ROW()-5,"")</f>
        <v/>
      </c>
      <c r="B527" s="72" t="n"/>
      <c r="C527" s="71" t="str">
        <f>IF(ISNUMBER(B527),CHOOSE(WEEKDAY(B527,2),"Lun","Mar","Mié","Jue","Vie","Sáb","Dom"),"")</f>
        <v/>
      </c>
      <c r="D527" s="73" t="n"/>
      <c r="E527" s="74" t="n"/>
      <c r="F527" s="74" t="n"/>
      <c r="G527" s="74" t="n"/>
      <c r="H527" s="75" t="n"/>
      <c r="I527" s="75" t="n"/>
      <c r="J527" s="76" t="n"/>
      <c r="K527" s="77" t="str">
        <f>IF(AB527=1,ROUND(AG527/60,4),"")</f>
        <v/>
      </c>
      <c r="L527" s="77" t="str">
        <f>IF(BD527=1,ROUND(AP527/60,4),"")</f>
        <v/>
      </c>
      <c r="M527" s="77" t="str">
        <f>IF(BD527=1,ROUND(AQ527/60,4),"")</f>
        <v/>
      </c>
      <c r="N527" s="71" t="str">
        <f>IF(AND(D527="proMX",AB527=1),ROUND(AG527/CFG_BLK,2),"")</f>
        <v/>
      </c>
      <c r="O527" s="77" t="str">
        <f>IF(D527="proMX",IF(BD527=1,ROUND(AG527/60,4),0),"")</f>
        <v/>
      </c>
      <c r="P527" s="78" t="str">
        <f>IF(Y527=0,"",IF(BD527=1,"OK",IF(D527="proMX","Revisar bloques: ","Revisar: ")&amp;BC527))</f>
        <v/>
      </c>
      <c r="Q527" s="78" t="str">
        <f>IF(NOT(ISNUMBER(B527)),"",IF(COUNTIFS(FER_F,INT(B527))&gt;0,"Feriado"&amp;IF(AH527=1," (laborable)"," (no laborable)"),IF(AH527=1,"Laborable",IF(WEEKDAY(B527,2)&gt;5,"Fin de semana","No laborable"))))</f>
        <v/>
      </c>
      <c r="R527" s="73" t="n"/>
      <c r="S527" s="72" t="n"/>
      <c r="T527" s="72" t="n"/>
      <c r="U527" s="74" t="n"/>
      <c r="V527" s="79" t="str">
        <f>IF(AND(D527="proMX",OR(R527="Submitted",R527="Recall Requested"),ISNUMBER(S527)),CFG_TODAY-INT(S527),"")</f>
        <v/>
      </c>
      <c r="W527" s="78" t="str">
        <f>IF(BD527=0,"",IF(BA527&gt;0,"⚠ Se superpone con un registro de la otra empresa",IF(D527="Malcolm",IF(COUNTA(R527,S527,T527)&gt;0,"Estado/fechas proMX se ignoran en Malcolm",""),IF(BF527="Cancelled","Cancelado: excluido de totales",IF(R527="","Sin estado: se trata como Draft",IF(BF527="Submitted",IF(ISNUMBER(V527),IF(V527&gt;CFG_MAXD,"⚠ "&amp;V527&amp;" días en Submitted (máx. "&amp;CFG_MAXD&amp;")",""),"Falta fecha de envío"),IF(BF527="Returned","⚠ Devuelto: corregir y reenviar",IF(BF527="Recall Requested","Retirada solicitada: pendiente",IF(AND(BF527="Approved",NOT(ISNUMBER(T527))),"Falta fecha de aprobación",IF(AND(ISNUMBER(S527),ISNUMBER(T527),T527&lt;S527),"Aprobación anterior al envío","")))))))))</f>
        <v/>
      </c>
      <c r="Y527" s="80">
        <f>IF(COUNTA(B527,D527,E527,F527,G527,H527,I527,J527,R527,S527,T527)&gt;0,1,0)</f>
        <v>0</v>
      </c>
      <c r="Z527" s="80" t="str">
        <f>IF(AND(ISNUMBER(H527),H527&gt;=0,H527&lt;1),ROUND(H527*1440,0),"")</f>
        <v/>
      </c>
      <c r="AA527" s="80" t="str">
        <f>IF(AND(ISNUMBER(I527),I527&gt;=0,I527&lt;1),ROUND(I527*1440,0),"")</f>
        <v/>
      </c>
      <c r="AB527" s="80">
        <f>IF(AND(ISNUMBER(B527),D527&lt;&gt;"",ISNUMBER(Z527),ISNUMBER(AA527)),IF(Z527=AA527,0,1),0)</f>
        <v>0</v>
      </c>
      <c r="AC527" s="80">
        <f>IF(AB527=1,IF(AA527&lt;Z527,1,0),0)</f>
        <v>0</v>
      </c>
      <c r="AD527" s="80">
        <f>IF(AB527=1,IF(AC527=1,1440-Z527+AA527,AA527-Z527),0)</f>
        <v>0</v>
      </c>
      <c r="AE527" s="80">
        <f>IF(J527="",0,IF(ISNUMBER(J527),J527,-1))</f>
        <v>0</v>
      </c>
      <c r="AF527" s="80">
        <f>MIN(MAX(0,AE527),AD527)</f>
        <v>0</v>
      </c>
      <c r="AG527" s="80">
        <f>MAX(0,AD527-MAX(0,AE527))</f>
        <v>0</v>
      </c>
      <c r="AH527" s="80">
        <f>IF(ISNUMBER(B527),IF(AND(INDEX(CFG_WDAYS,WEEKDAY(INT(B527),2))="Sí",IF(D527="proMX",COUNTIFS(FER_F,INT(B527),FER_NLP,"Sí"),COUNTIFS(FER_F,INT(B527),FER_NLM,"Sí"))=0),1,0),0)</f>
        <v>0</v>
      </c>
      <c r="AI527" s="80">
        <f>IF(AC527=1,IF(AND(INDEX(CFG_WDAYS,WEEKDAY(INT(B527)+1,2))="Sí",IF(D527="proMX",COUNTIFS(FER_F,INT(B527)+1,FER_NLP,"Sí"),COUNTIFS(FER_F,INT(B527)+1,FER_NLM,"Sí"))=0),1,0),0)</f>
        <v>0</v>
      </c>
      <c r="AJ527" s="80">
        <f>IF(AC527=1,1440-Z527,AD527)</f>
        <v>0</v>
      </c>
      <c r="AK527" s="80">
        <f>IF(AND(AB527=1,AH527=1),MAX(0,MIN(IF(AC527=1,1440,AA527),CFG_WEM)-MAX(Z527,CFG_WSM)),0)</f>
        <v>0</v>
      </c>
      <c r="AL527" s="80">
        <f>IF(AND(AC527=1,AI527=1),MAX(0,MIN(AA527,CFG_WEM)-CFG_WSM),0)</f>
        <v>0</v>
      </c>
      <c r="AM527" s="80">
        <f>AK527+AL527</f>
        <v>0</v>
      </c>
      <c r="AN527" s="80">
        <f>IF(CFG_BRK="Proporcional",IF(AD527=0,0,AF527*AM527/AD527),IF(CFG_BRK="Extras primero",MIN(AM527,MAX(0,AF527-(AD527-AM527))),MIN(AF527,AM527)))</f>
        <v>0</v>
      </c>
      <c r="AO527" s="80">
        <f>AF527-AN527</f>
        <v>0</v>
      </c>
      <c r="AP527" s="80">
        <f>AM527-AN527</f>
        <v>0</v>
      </c>
      <c r="AQ527" s="80">
        <f>AD527-AM527-AO527</f>
        <v>0</v>
      </c>
      <c r="AR527" s="80">
        <f>IF(AM527=0,0,AK527-AN527*AK527/AM527)</f>
        <v>0</v>
      </c>
      <c r="AS527" s="80">
        <f>IF(AD527-AM527=0,0,(AJ527-AK527)-AO527*(AJ527-AK527)/(AD527-AM527))</f>
        <v>0</v>
      </c>
      <c r="AT527" s="80" t="str">
        <f>IF(AC527=1,INT(B527)+1,"")</f>
        <v/>
      </c>
      <c r="AU527" s="80">
        <f>IF(AND(D527="proMX",R527="Cancelled"),0,1)</f>
        <v>1</v>
      </c>
      <c r="AV527" s="80">
        <f>IF(AND(AB527=1,AU527=1),IF(COUNTIFS($D$5:D526,D527,$B$5:B526,B527,$Z$5:Z526,Z527,$AA$5:AA526,AA527,$F$5:F526,F527&amp;"",$AU$5:AU526,1)&gt;0,1,0),0)</f>
        <v>0</v>
      </c>
      <c r="AW527" s="80" t="str">
        <f>IF(AB527=1,INT(B527)*1440+Z527,"")</f>
        <v/>
      </c>
      <c r="AX527" s="80" t="str">
        <f>IF(AB527=1,AW527+AD527,"")</f>
        <v/>
      </c>
      <c r="AY527" s="80">
        <f>IF(AND(AB527=1,AV527=0,AU527=1),1,0)</f>
        <v>0</v>
      </c>
      <c r="AZ527" s="80">
        <f>IF(AY527=1,COUNTIFS(R_Emp,D527,R_SAbs,"&lt;"&amp;AX527,R_EAbs,"&gt;"&amp;AW527,R_OKey,1)-1,0)</f>
        <v>0</v>
      </c>
      <c r="BA527" s="80">
        <f>IF(AY527=1,COUNTIFS(R_Emp,"&lt;&gt;"&amp;D527,R_SAbs,"&lt;"&amp;AX527,R_EAbs,"&gt;"&amp;AW527,R_OKey,1),0)</f>
        <v>0</v>
      </c>
      <c r="BB527" s="80">
        <f>IF(AND(AB527=1,D527="proMX"),IF(AND(MOD(Z527,CFG_BLK)=0,MOD(AA527,CFG_BLK)=0,MOD(AG527,CFG_BLK)=0,AG527&gt;0),1,0),1)</f>
        <v>1</v>
      </c>
      <c r="BC527" s="80" t="str">
        <f>IF(Y527=0,"",IF(NOT(ISNUMBER(B527)),"Falta fecha o fecha inválida",IF(D527="","Falta empresa",IF(AND(D527&lt;&gt;"Malcolm",D527&lt;&gt;"proMX"),"Empresa inválida",IF(OR(INT(B527)&lt;CFG_PSTART,INT(B527)&gt;CFG_PEND),"Fecha fuera del período",IF(OR(NOT(ISNUMBER(Z527)),NOT(ISNUMBER(AA527))),"Falta hora inicio/fin o formato inválido",IF(AB527=0,"Hora inicio = hora fin",IF(AE527&lt;0,"Descanso inválido",IF(AE527&gt;=AD527,"Descanso ≥ duración",IF(AV527=1,"Registro duplicado",IF(AZ527&gt;0,"Se superpone con otro registro "&amp;D527,IF(BB527=0,"inicio, fin y duración neta deben ser múltiplos de "&amp;CFG_BLK&amp;" min",""))))))))))))</f>
        <v/>
      </c>
      <c r="BD527" s="80">
        <f>IF(AND(Y527=1,BC527=""),1,0)</f>
        <v>0</v>
      </c>
      <c r="BE527" s="80">
        <f>IF(AND(BD527=1,AU527=1),1,0)</f>
        <v>0</v>
      </c>
      <c r="BF527" s="80" t="str">
        <f>IF(AND(D527="proMX",BD527=1),IF(R527="","Draft",R527),"")</f>
        <v/>
      </c>
      <c r="BG527" s="80">
        <f>IF(BD527=1,ROUND(AG527/60,6),0)</f>
        <v>0</v>
      </c>
      <c r="BH527" s="80">
        <f>IF(BE527=1,ROUND(AG527/60,6),0)</f>
        <v>0</v>
      </c>
      <c r="BI527" s="80">
        <f>IF(BE527=1,ROUND(AP527/60,6),0)</f>
        <v>0</v>
      </c>
      <c r="BJ527" s="80">
        <f>IF(BE527=1,ROUND(AQ527/60,6),0)</f>
        <v>0</v>
      </c>
      <c r="BK527" s="80">
        <f>IF(BE527=1,ROUND((AR527+AS527)/60,6),0)</f>
        <v>0</v>
      </c>
      <c r="BL527" s="80">
        <f>ROUND(BH527-BK527,6)</f>
        <v>0</v>
      </c>
      <c r="BM527" s="80">
        <f>IF(BE527=1,ROUND(AR527/60,6),0)</f>
        <v>0</v>
      </c>
      <c r="BN527" s="80">
        <f>ROUND(BI527-BM527,6)</f>
        <v>0</v>
      </c>
      <c r="BO527" s="80">
        <f>IF(BE527=1,ROUND(AS527/60,6),0)</f>
        <v>0</v>
      </c>
      <c r="BP527" s="80">
        <f>ROUND(BJ527-BO527,6)</f>
        <v>0</v>
      </c>
      <c r="BQ527" s="80">
        <f>IF(BE527=1,AW527,0)</f>
        <v>0</v>
      </c>
      <c r="BR527" s="80">
        <f>IF(BE527=1,AX527,0)</f>
        <v>0</v>
      </c>
      <c r="BS527" s="80">
        <f>IF(AND(BE527=1,D527="Malcolm",BA527&gt;0),MIN(BH527,SUMPRODUCT((R_Emp="proMX")*(R_EN&gt;0)*((R_EN-(R_EN&gt;BR527)*(R_EN-BR527))&gt;(R_SN+(R_SN&lt;BQ527)*(BQ527-R_SN)))*((R_EN-(R_EN&gt;BR527)*(R_EN-BR527))-(R_SN+(R_SN&lt;BQ527)*(BQ527-R_SN))))/60),0)</f>
        <v>0</v>
      </c>
      <c r="BT527" s="80">
        <f>IF(AND(BE527=1,D527="proMX"),ROUND(BI527*CFG_RATE+BJ527*CFG_OTRATE,6),0)</f>
        <v>0</v>
      </c>
      <c r="BU527" s="80">
        <f>IF(AND(BD527=1,D527="proMX"),ROUND(AG527/CFG_BLK,6),0)</f>
        <v>0</v>
      </c>
      <c r="BV527" s="80" t="str">
        <f>IF(BF527="Approved",IF(ISNUMBER(T527),INT(T527),INT(B527)),"")</f>
        <v/>
      </c>
      <c r="BW527" s="80">
        <f>IF(ISNUMBER(B527),IF(DB_MON="Todos",1,IF(AND(INT(B527)&gt;=DB_MS,INT(B527)&lt;=DB_ME),1,0)),0)</f>
        <v>0</v>
      </c>
      <c r="BX527" s="80">
        <f>IF(DB_PROJ="Todos",1,IF(E527&amp;""=DB_PROJ&amp;"",1,0))</f>
        <v>1</v>
      </c>
      <c r="BY527" s="80">
        <f>BW527*BX527</f>
        <v>0</v>
      </c>
      <c r="BZ527" s="80" t="str">
        <f>IF(Y527=1,F527&amp;IF(AND(F527&amp;""&lt;&gt;"",E527&amp;""&lt;&gt;"")," · ","")&amp;E527,"")</f>
        <v/>
      </c>
      <c r="CA527" s="80" t="str">
        <f>IF(AND(BD527=1,E527&amp;""&lt;&gt;""),IF(COUNTIFS($E$5:E526,E527,$BD$5:BD526,1)=0,MAX($CA$5:CA526)+1,""),"")</f>
        <v/>
      </c>
      <c r="CB527" s="80" t="str">
        <f>IF(AND(BE527=1,D527="Malcolm",E527&amp;""&lt;&gt;""),IF(COUNTIFS($D$5:D526,"Malcolm",$E$5:E526,E527,$BE$5:BE526,1)=0,MAX($CB$5:CB526)+1,""),"")</f>
        <v/>
      </c>
      <c r="CC527" s="80" t="str">
        <f>IF(AND(BD527=1,D527="proMX",E527&amp;""&lt;&gt;""),IF(COUNTIFS($D$5:D526,"proMX",$E$5:E526,E527,$BD$5:BD526,1)=0,MAX($CC$5:CC526)+1,""),"")</f>
        <v/>
      </c>
      <c r="CD527" s="80" t="str">
        <f>IF(AND(BE527=1,D527="Malcolm",F527&amp;""&lt;&gt;""),IF(COUNTIFS($D$5:D526,"Malcolm",$F$5:F526,F527,$BE$5:BE526,1)=0,MAX($CD$5:CD526)+1,""),"")</f>
        <v/>
      </c>
      <c r="CE527" s="80" t="str">
        <f>IF(AND(BD527=1,D527="proMX",F527&amp;""&lt;&gt;""),IF(COUNTIFS($D$5:D526,"proMX",$F$5:F526,F527,$BD$5:BD526,1)=0,MAX($CE$5:CE526)+1,""),"")</f>
        <v/>
      </c>
      <c r="CF527" s="80" t="str">
        <f>IF(AND(D527="proMX",BD527=1),IF(OR(BF527="Draft",BF527="Submitted",BF527="Returned",BF527="Recall Requested"),MAX($CF$5:CF526)+1,""),"")</f>
        <v/>
      </c>
      <c r="CG527" s="80">
        <f>IF(BD527=0,0,IF(D527="Malcolm",1,MATCH(BF527,{"Draft","Submitted","Approved","Returned","Recall Requested","Cancelled"},0)+1))</f>
        <v>0</v>
      </c>
      <c r="CH527" s="80">
        <f>IF(AND(BF527="Submitted",ISNUMBER(V527)),IF(V527&gt;CFG_MAXD,1,0),0)</f>
        <v>0</v>
      </c>
    </row>
    <row r="528">
      <c r="A528" s="71" t="str">
        <f>IF(Y528=1,ROW()-5,"")</f>
        <v/>
      </c>
      <c r="B528" s="72" t="n"/>
      <c r="C528" s="71" t="str">
        <f>IF(ISNUMBER(B528),CHOOSE(WEEKDAY(B528,2),"Lun","Mar","Mié","Jue","Vie","Sáb","Dom"),"")</f>
        <v/>
      </c>
      <c r="D528" s="73" t="n"/>
      <c r="E528" s="74" t="n"/>
      <c r="F528" s="74" t="n"/>
      <c r="G528" s="74" t="n"/>
      <c r="H528" s="75" t="n"/>
      <c r="I528" s="75" t="n"/>
      <c r="J528" s="76" t="n"/>
      <c r="K528" s="77" t="str">
        <f>IF(AB528=1,ROUND(AG528/60,4),"")</f>
        <v/>
      </c>
      <c r="L528" s="77" t="str">
        <f>IF(BD528=1,ROUND(AP528/60,4),"")</f>
        <v/>
      </c>
      <c r="M528" s="77" t="str">
        <f>IF(BD528=1,ROUND(AQ528/60,4),"")</f>
        <v/>
      </c>
      <c r="N528" s="71" t="str">
        <f>IF(AND(D528="proMX",AB528=1),ROUND(AG528/CFG_BLK,2),"")</f>
        <v/>
      </c>
      <c r="O528" s="77" t="str">
        <f>IF(D528="proMX",IF(BD528=1,ROUND(AG528/60,4),0),"")</f>
        <v/>
      </c>
      <c r="P528" s="78" t="str">
        <f>IF(Y528=0,"",IF(BD528=1,"OK",IF(D528="proMX","Revisar bloques: ","Revisar: ")&amp;BC528))</f>
        <v/>
      </c>
      <c r="Q528" s="78" t="str">
        <f>IF(NOT(ISNUMBER(B528)),"",IF(COUNTIFS(FER_F,INT(B528))&gt;0,"Feriado"&amp;IF(AH528=1," (laborable)"," (no laborable)"),IF(AH528=1,"Laborable",IF(WEEKDAY(B528,2)&gt;5,"Fin de semana","No laborable"))))</f>
        <v/>
      </c>
      <c r="R528" s="73" t="n"/>
      <c r="S528" s="72" t="n"/>
      <c r="T528" s="72" t="n"/>
      <c r="U528" s="74" t="n"/>
      <c r="V528" s="79" t="str">
        <f>IF(AND(D528="proMX",OR(R528="Submitted",R528="Recall Requested"),ISNUMBER(S528)),CFG_TODAY-INT(S528),"")</f>
        <v/>
      </c>
      <c r="W528" s="78" t="str">
        <f>IF(BD528=0,"",IF(BA528&gt;0,"⚠ Se superpone con un registro de la otra empresa",IF(D528="Malcolm",IF(COUNTA(R528,S528,T528)&gt;0,"Estado/fechas proMX se ignoran en Malcolm",""),IF(BF528="Cancelled","Cancelado: excluido de totales",IF(R528="","Sin estado: se trata como Draft",IF(BF528="Submitted",IF(ISNUMBER(V528),IF(V528&gt;CFG_MAXD,"⚠ "&amp;V528&amp;" días en Submitted (máx. "&amp;CFG_MAXD&amp;")",""),"Falta fecha de envío"),IF(BF528="Returned","⚠ Devuelto: corregir y reenviar",IF(BF528="Recall Requested","Retirada solicitada: pendiente",IF(AND(BF528="Approved",NOT(ISNUMBER(T528))),"Falta fecha de aprobación",IF(AND(ISNUMBER(S528),ISNUMBER(T528),T528&lt;S528),"Aprobación anterior al envío","")))))))))</f>
        <v/>
      </c>
      <c r="Y528" s="80">
        <f>IF(COUNTA(B528,D528,E528,F528,G528,H528,I528,J528,R528,S528,T528)&gt;0,1,0)</f>
        <v>0</v>
      </c>
      <c r="Z528" s="80" t="str">
        <f>IF(AND(ISNUMBER(H528),H528&gt;=0,H528&lt;1),ROUND(H528*1440,0),"")</f>
        <v/>
      </c>
      <c r="AA528" s="80" t="str">
        <f>IF(AND(ISNUMBER(I528),I528&gt;=0,I528&lt;1),ROUND(I528*1440,0),"")</f>
        <v/>
      </c>
      <c r="AB528" s="80">
        <f>IF(AND(ISNUMBER(B528),D528&lt;&gt;"",ISNUMBER(Z528),ISNUMBER(AA528)),IF(Z528=AA528,0,1),0)</f>
        <v>0</v>
      </c>
      <c r="AC528" s="80">
        <f>IF(AB528=1,IF(AA528&lt;Z528,1,0),0)</f>
        <v>0</v>
      </c>
      <c r="AD528" s="80">
        <f>IF(AB528=1,IF(AC528=1,1440-Z528+AA528,AA528-Z528),0)</f>
        <v>0</v>
      </c>
      <c r="AE528" s="80">
        <f>IF(J528="",0,IF(ISNUMBER(J528),J528,-1))</f>
        <v>0</v>
      </c>
      <c r="AF528" s="80">
        <f>MIN(MAX(0,AE528),AD528)</f>
        <v>0</v>
      </c>
      <c r="AG528" s="80">
        <f>MAX(0,AD528-MAX(0,AE528))</f>
        <v>0</v>
      </c>
      <c r="AH528" s="80">
        <f>IF(ISNUMBER(B528),IF(AND(INDEX(CFG_WDAYS,WEEKDAY(INT(B528),2))="Sí",IF(D528="proMX",COUNTIFS(FER_F,INT(B528),FER_NLP,"Sí"),COUNTIFS(FER_F,INT(B528),FER_NLM,"Sí"))=0),1,0),0)</f>
        <v>0</v>
      </c>
      <c r="AI528" s="80">
        <f>IF(AC528=1,IF(AND(INDEX(CFG_WDAYS,WEEKDAY(INT(B528)+1,2))="Sí",IF(D528="proMX",COUNTIFS(FER_F,INT(B528)+1,FER_NLP,"Sí"),COUNTIFS(FER_F,INT(B528)+1,FER_NLM,"Sí"))=0),1,0),0)</f>
        <v>0</v>
      </c>
      <c r="AJ528" s="80">
        <f>IF(AC528=1,1440-Z528,AD528)</f>
        <v>0</v>
      </c>
      <c r="AK528" s="80">
        <f>IF(AND(AB528=1,AH528=1),MAX(0,MIN(IF(AC528=1,1440,AA528),CFG_WEM)-MAX(Z528,CFG_WSM)),0)</f>
        <v>0</v>
      </c>
      <c r="AL528" s="80">
        <f>IF(AND(AC528=1,AI528=1),MAX(0,MIN(AA528,CFG_WEM)-CFG_WSM),0)</f>
        <v>0</v>
      </c>
      <c r="AM528" s="80">
        <f>AK528+AL528</f>
        <v>0</v>
      </c>
      <c r="AN528" s="80">
        <f>IF(CFG_BRK="Proporcional",IF(AD528=0,0,AF528*AM528/AD528),IF(CFG_BRK="Extras primero",MIN(AM528,MAX(0,AF528-(AD528-AM528))),MIN(AF528,AM528)))</f>
        <v>0</v>
      </c>
      <c r="AO528" s="80">
        <f>AF528-AN528</f>
        <v>0</v>
      </c>
      <c r="AP528" s="80">
        <f>AM528-AN528</f>
        <v>0</v>
      </c>
      <c r="AQ528" s="80">
        <f>AD528-AM528-AO528</f>
        <v>0</v>
      </c>
      <c r="AR528" s="80">
        <f>IF(AM528=0,0,AK528-AN528*AK528/AM528)</f>
        <v>0</v>
      </c>
      <c r="AS528" s="80">
        <f>IF(AD528-AM528=0,0,(AJ528-AK528)-AO528*(AJ528-AK528)/(AD528-AM528))</f>
        <v>0</v>
      </c>
      <c r="AT528" s="80" t="str">
        <f>IF(AC528=1,INT(B528)+1,"")</f>
        <v/>
      </c>
      <c r="AU528" s="80">
        <f>IF(AND(D528="proMX",R528="Cancelled"),0,1)</f>
        <v>1</v>
      </c>
      <c r="AV528" s="80">
        <f>IF(AND(AB528=1,AU528=1),IF(COUNTIFS($D$5:D527,D528,$B$5:B527,B528,$Z$5:Z527,Z528,$AA$5:AA527,AA528,$F$5:F527,F528&amp;"",$AU$5:AU527,1)&gt;0,1,0),0)</f>
        <v>0</v>
      </c>
      <c r="AW528" s="80" t="str">
        <f>IF(AB528=1,INT(B528)*1440+Z528,"")</f>
        <v/>
      </c>
      <c r="AX528" s="80" t="str">
        <f>IF(AB528=1,AW528+AD528,"")</f>
        <v/>
      </c>
      <c r="AY528" s="80">
        <f>IF(AND(AB528=1,AV528=0,AU528=1),1,0)</f>
        <v>0</v>
      </c>
      <c r="AZ528" s="80">
        <f>IF(AY528=1,COUNTIFS(R_Emp,D528,R_SAbs,"&lt;"&amp;AX528,R_EAbs,"&gt;"&amp;AW528,R_OKey,1)-1,0)</f>
        <v>0</v>
      </c>
      <c r="BA528" s="80">
        <f>IF(AY528=1,COUNTIFS(R_Emp,"&lt;&gt;"&amp;D528,R_SAbs,"&lt;"&amp;AX528,R_EAbs,"&gt;"&amp;AW528,R_OKey,1),0)</f>
        <v>0</v>
      </c>
      <c r="BB528" s="80">
        <f>IF(AND(AB528=1,D528="proMX"),IF(AND(MOD(Z528,CFG_BLK)=0,MOD(AA528,CFG_BLK)=0,MOD(AG528,CFG_BLK)=0,AG528&gt;0),1,0),1)</f>
        <v>1</v>
      </c>
      <c r="BC528" s="80" t="str">
        <f>IF(Y528=0,"",IF(NOT(ISNUMBER(B528)),"Falta fecha o fecha inválida",IF(D528="","Falta empresa",IF(AND(D528&lt;&gt;"Malcolm",D528&lt;&gt;"proMX"),"Empresa inválida",IF(OR(INT(B528)&lt;CFG_PSTART,INT(B528)&gt;CFG_PEND),"Fecha fuera del período",IF(OR(NOT(ISNUMBER(Z528)),NOT(ISNUMBER(AA528))),"Falta hora inicio/fin o formato inválido",IF(AB528=0,"Hora inicio = hora fin",IF(AE528&lt;0,"Descanso inválido",IF(AE528&gt;=AD528,"Descanso ≥ duración",IF(AV528=1,"Registro duplicado",IF(AZ528&gt;0,"Se superpone con otro registro "&amp;D528,IF(BB528=0,"inicio, fin y duración neta deben ser múltiplos de "&amp;CFG_BLK&amp;" min",""))))))))))))</f>
        <v/>
      </c>
      <c r="BD528" s="80">
        <f>IF(AND(Y528=1,BC528=""),1,0)</f>
        <v>0</v>
      </c>
      <c r="BE528" s="80">
        <f>IF(AND(BD528=1,AU528=1),1,0)</f>
        <v>0</v>
      </c>
      <c r="BF528" s="80" t="str">
        <f>IF(AND(D528="proMX",BD528=1),IF(R528="","Draft",R528),"")</f>
        <v/>
      </c>
      <c r="BG528" s="80">
        <f>IF(BD528=1,ROUND(AG528/60,6),0)</f>
        <v>0</v>
      </c>
      <c r="BH528" s="80">
        <f>IF(BE528=1,ROUND(AG528/60,6),0)</f>
        <v>0</v>
      </c>
      <c r="BI528" s="80">
        <f>IF(BE528=1,ROUND(AP528/60,6),0)</f>
        <v>0</v>
      </c>
      <c r="BJ528" s="80">
        <f>IF(BE528=1,ROUND(AQ528/60,6),0)</f>
        <v>0</v>
      </c>
      <c r="BK528" s="80">
        <f>IF(BE528=1,ROUND((AR528+AS528)/60,6),0)</f>
        <v>0</v>
      </c>
      <c r="BL528" s="80">
        <f>ROUND(BH528-BK528,6)</f>
        <v>0</v>
      </c>
      <c r="BM528" s="80">
        <f>IF(BE528=1,ROUND(AR528/60,6),0)</f>
        <v>0</v>
      </c>
      <c r="BN528" s="80">
        <f>ROUND(BI528-BM528,6)</f>
        <v>0</v>
      </c>
      <c r="BO528" s="80">
        <f>IF(BE528=1,ROUND(AS528/60,6),0)</f>
        <v>0</v>
      </c>
      <c r="BP528" s="80">
        <f>ROUND(BJ528-BO528,6)</f>
        <v>0</v>
      </c>
      <c r="BQ528" s="80">
        <f>IF(BE528=1,AW528,0)</f>
        <v>0</v>
      </c>
      <c r="BR528" s="80">
        <f>IF(BE528=1,AX528,0)</f>
        <v>0</v>
      </c>
      <c r="BS528" s="80">
        <f>IF(AND(BE528=1,D528="Malcolm",BA528&gt;0),MIN(BH528,SUMPRODUCT((R_Emp="proMX")*(R_EN&gt;0)*((R_EN-(R_EN&gt;BR528)*(R_EN-BR528))&gt;(R_SN+(R_SN&lt;BQ528)*(BQ528-R_SN)))*((R_EN-(R_EN&gt;BR528)*(R_EN-BR528))-(R_SN+(R_SN&lt;BQ528)*(BQ528-R_SN))))/60),0)</f>
        <v>0</v>
      </c>
      <c r="BT528" s="80">
        <f>IF(AND(BE528=1,D528="proMX"),ROUND(BI528*CFG_RATE+BJ528*CFG_OTRATE,6),0)</f>
        <v>0</v>
      </c>
      <c r="BU528" s="80">
        <f>IF(AND(BD528=1,D528="proMX"),ROUND(AG528/CFG_BLK,6),0)</f>
        <v>0</v>
      </c>
      <c r="BV528" s="80" t="str">
        <f>IF(BF528="Approved",IF(ISNUMBER(T528),INT(T528),INT(B528)),"")</f>
        <v/>
      </c>
      <c r="BW528" s="80">
        <f>IF(ISNUMBER(B528),IF(DB_MON="Todos",1,IF(AND(INT(B528)&gt;=DB_MS,INT(B528)&lt;=DB_ME),1,0)),0)</f>
        <v>0</v>
      </c>
      <c r="BX528" s="80">
        <f>IF(DB_PROJ="Todos",1,IF(E528&amp;""=DB_PROJ&amp;"",1,0))</f>
        <v>1</v>
      </c>
      <c r="BY528" s="80">
        <f>BW528*BX528</f>
        <v>0</v>
      </c>
      <c r="BZ528" s="80" t="str">
        <f>IF(Y528=1,F528&amp;IF(AND(F528&amp;""&lt;&gt;"",E528&amp;""&lt;&gt;"")," · ","")&amp;E528,"")</f>
        <v/>
      </c>
      <c r="CA528" s="80" t="str">
        <f>IF(AND(BD528=1,E528&amp;""&lt;&gt;""),IF(COUNTIFS($E$5:E527,E528,$BD$5:BD527,1)=0,MAX($CA$5:CA527)+1,""),"")</f>
        <v/>
      </c>
      <c r="CB528" s="80" t="str">
        <f>IF(AND(BE528=1,D528="Malcolm",E528&amp;""&lt;&gt;""),IF(COUNTIFS($D$5:D527,"Malcolm",$E$5:E527,E528,$BE$5:BE527,1)=0,MAX($CB$5:CB527)+1,""),"")</f>
        <v/>
      </c>
      <c r="CC528" s="80" t="str">
        <f>IF(AND(BD528=1,D528="proMX",E528&amp;""&lt;&gt;""),IF(COUNTIFS($D$5:D527,"proMX",$E$5:E527,E528,$BD$5:BD527,1)=0,MAX($CC$5:CC527)+1,""),"")</f>
        <v/>
      </c>
      <c r="CD528" s="80" t="str">
        <f>IF(AND(BE528=1,D528="Malcolm",F528&amp;""&lt;&gt;""),IF(COUNTIFS($D$5:D527,"Malcolm",$F$5:F527,F528,$BE$5:BE527,1)=0,MAX($CD$5:CD527)+1,""),"")</f>
        <v/>
      </c>
      <c r="CE528" s="80" t="str">
        <f>IF(AND(BD528=1,D528="proMX",F528&amp;""&lt;&gt;""),IF(COUNTIFS($D$5:D527,"proMX",$F$5:F527,F528,$BD$5:BD527,1)=0,MAX($CE$5:CE527)+1,""),"")</f>
        <v/>
      </c>
      <c r="CF528" s="80" t="str">
        <f>IF(AND(D528="proMX",BD528=1),IF(OR(BF528="Draft",BF528="Submitted",BF528="Returned",BF528="Recall Requested"),MAX($CF$5:CF527)+1,""),"")</f>
        <v/>
      </c>
      <c r="CG528" s="80">
        <f>IF(BD528=0,0,IF(D528="Malcolm",1,MATCH(BF528,{"Draft","Submitted","Approved","Returned","Recall Requested","Cancelled"},0)+1))</f>
        <v>0</v>
      </c>
      <c r="CH528" s="80">
        <f>IF(AND(BF528="Submitted",ISNUMBER(V528)),IF(V528&gt;CFG_MAXD,1,0),0)</f>
        <v>0</v>
      </c>
    </row>
    <row r="529">
      <c r="A529" s="71" t="str">
        <f>IF(Y529=1,ROW()-5,"")</f>
        <v/>
      </c>
      <c r="B529" s="72" t="n"/>
      <c r="C529" s="71" t="str">
        <f>IF(ISNUMBER(B529),CHOOSE(WEEKDAY(B529,2),"Lun","Mar","Mié","Jue","Vie","Sáb","Dom"),"")</f>
        <v/>
      </c>
      <c r="D529" s="73" t="n"/>
      <c r="E529" s="74" t="n"/>
      <c r="F529" s="74" t="n"/>
      <c r="G529" s="74" t="n"/>
      <c r="H529" s="75" t="n"/>
      <c r="I529" s="75" t="n"/>
      <c r="J529" s="76" t="n"/>
      <c r="K529" s="77" t="str">
        <f>IF(AB529=1,ROUND(AG529/60,4),"")</f>
        <v/>
      </c>
      <c r="L529" s="77" t="str">
        <f>IF(BD529=1,ROUND(AP529/60,4),"")</f>
        <v/>
      </c>
      <c r="M529" s="77" t="str">
        <f>IF(BD529=1,ROUND(AQ529/60,4),"")</f>
        <v/>
      </c>
      <c r="N529" s="71" t="str">
        <f>IF(AND(D529="proMX",AB529=1),ROUND(AG529/CFG_BLK,2),"")</f>
        <v/>
      </c>
      <c r="O529" s="77" t="str">
        <f>IF(D529="proMX",IF(BD529=1,ROUND(AG529/60,4),0),"")</f>
        <v/>
      </c>
      <c r="P529" s="78" t="str">
        <f>IF(Y529=0,"",IF(BD529=1,"OK",IF(D529="proMX","Revisar bloques: ","Revisar: ")&amp;BC529))</f>
        <v/>
      </c>
      <c r="Q529" s="78" t="str">
        <f>IF(NOT(ISNUMBER(B529)),"",IF(COUNTIFS(FER_F,INT(B529))&gt;0,"Feriado"&amp;IF(AH529=1," (laborable)"," (no laborable)"),IF(AH529=1,"Laborable",IF(WEEKDAY(B529,2)&gt;5,"Fin de semana","No laborable"))))</f>
        <v/>
      </c>
      <c r="R529" s="73" t="n"/>
      <c r="S529" s="72" t="n"/>
      <c r="T529" s="72" t="n"/>
      <c r="U529" s="74" t="n"/>
      <c r="V529" s="79" t="str">
        <f>IF(AND(D529="proMX",OR(R529="Submitted",R529="Recall Requested"),ISNUMBER(S529)),CFG_TODAY-INT(S529),"")</f>
        <v/>
      </c>
      <c r="W529" s="78" t="str">
        <f>IF(BD529=0,"",IF(BA529&gt;0,"⚠ Se superpone con un registro de la otra empresa",IF(D529="Malcolm",IF(COUNTA(R529,S529,T529)&gt;0,"Estado/fechas proMX se ignoran en Malcolm",""),IF(BF529="Cancelled","Cancelado: excluido de totales",IF(R529="","Sin estado: se trata como Draft",IF(BF529="Submitted",IF(ISNUMBER(V529),IF(V529&gt;CFG_MAXD,"⚠ "&amp;V529&amp;" días en Submitted (máx. "&amp;CFG_MAXD&amp;")",""),"Falta fecha de envío"),IF(BF529="Returned","⚠ Devuelto: corregir y reenviar",IF(BF529="Recall Requested","Retirada solicitada: pendiente",IF(AND(BF529="Approved",NOT(ISNUMBER(T529))),"Falta fecha de aprobación",IF(AND(ISNUMBER(S529),ISNUMBER(T529),T529&lt;S529),"Aprobación anterior al envío","")))))))))</f>
        <v/>
      </c>
      <c r="Y529" s="80">
        <f>IF(COUNTA(B529,D529,E529,F529,G529,H529,I529,J529,R529,S529,T529)&gt;0,1,0)</f>
        <v>0</v>
      </c>
      <c r="Z529" s="80" t="str">
        <f>IF(AND(ISNUMBER(H529),H529&gt;=0,H529&lt;1),ROUND(H529*1440,0),"")</f>
        <v/>
      </c>
      <c r="AA529" s="80" t="str">
        <f>IF(AND(ISNUMBER(I529),I529&gt;=0,I529&lt;1),ROUND(I529*1440,0),"")</f>
        <v/>
      </c>
      <c r="AB529" s="80">
        <f>IF(AND(ISNUMBER(B529),D529&lt;&gt;"",ISNUMBER(Z529),ISNUMBER(AA529)),IF(Z529=AA529,0,1),0)</f>
        <v>0</v>
      </c>
      <c r="AC529" s="80">
        <f>IF(AB529=1,IF(AA529&lt;Z529,1,0),0)</f>
        <v>0</v>
      </c>
      <c r="AD529" s="80">
        <f>IF(AB529=1,IF(AC529=1,1440-Z529+AA529,AA529-Z529),0)</f>
        <v>0</v>
      </c>
      <c r="AE529" s="80">
        <f>IF(J529="",0,IF(ISNUMBER(J529),J529,-1))</f>
        <v>0</v>
      </c>
      <c r="AF529" s="80">
        <f>MIN(MAX(0,AE529),AD529)</f>
        <v>0</v>
      </c>
      <c r="AG529" s="80">
        <f>MAX(0,AD529-MAX(0,AE529))</f>
        <v>0</v>
      </c>
      <c r="AH529" s="80">
        <f>IF(ISNUMBER(B529),IF(AND(INDEX(CFG_WDAYS,WEEKDAY(INT(B529),2))="Sí",IF(D529="proMX",COUNTIFS(FER_F,INT(B529),FER_NLP,"Sí"),COUNTIFS(FER_F,INT(B529),FER_NLM,"Sí"))=0),1,0),0)</f>
        <v>0</v>
      </c>
      <c r="AI529" s="80">
        <f>IF(AC529=1,IF(AND(INDEX(CFG_WDAYS,WEEKDAY(INT(B529)+1,2))="Sí",IF(D529="proMX",COUNTIFS(FER_F,INT(B529)+1,FER_NLP,"Sí"),COUNTIFS(FER_F,INT(B529)+1,FER_NLM,"Sí"))=0),1,0),0)</f>
        <v>0</v>
      </c>
      <c r="AJ529" s="80">
        <f>IF(AC529=1,1440-Z529,AD529)</f>
        <v>0</v>
      </c>
      <c r="AK529" s="80">
        <f>IF(AND(AB529=1,AH529=1),MAX(0,MIN(IF(AC529=1,1440,AA529),CFG_WEM)-MAX(Z529,CFG_WSM)),0)</f>
        <v>0</v>
      </c>
      <c r="AL529" s="80">
        <f>IF(AND(AC529=1,AI529=1),MAX(0,MIN(AA529,CFG_WEM)-CFG_WSM),0)</f>
        <v>0</v>
      </c>
      <c r="AM529" s="80">
        <f>AK529+AL529</f>
        <v>0</v>
      </c>
      <c r="AN529" s="80">
        <f>IF(CFG_BRK="Proporcional",IF(AD529=0,0,AF529*AM529/AD529),IF(CFG_BRK="Extras primero",MIN(AM529,MAX(0,AF529-(AD529-AM529))),MIN(AF529,AM529)))</f>
        <v>0</v>
      </c>
      <c r="AO529" s="80">
        <f>AF529-AN529</f>
        <v>0</v>
      </c>
      <c r="AP529" s="80">
        <f>AM529-AN529</f>
        <v>0</v>
      </c>
      <c r="AQ529" s="80">
        <f>AD529-AM529-AO529</f>
        <v>0</v>
      </c>
      <c r="AR529" s="80">
        <f>IF(AM529=0,0,AK529-AN529*AK529/AM529)</f>
        <v>0</v>
      </c>
      <c r="AS529" s="80">
        <f>IF(AD529-AM529=0,0,(AJ529-AK529)-AO529*(AJ529-AK529)/(AD529-AM529))</f>
        <v>0</v>
      </c>
      <c r="AT529" s="80" t="str">
        <f>IF(AC529=1,INT(B529)+1,"")</f>
        <v/>
      </c>
      <c r="AU529" s="80">
        <f>IF(AND(D529="proMX",R529="Cancelled"),0,1)</f>
        <v>1</v>
      </c>
      <c r="AV529" s="80">
        <f>IF(AND(AB529=1,AU529=1),IF(COUNTIFS($D$5:D528,D529,$B$5:B528,B529,$Z$5:Z528,Z529,$AA$5:AA528,AA529,$F$5:F528,F529&amp;"",$AU$5:AU528,1)&gt;0,1,0),0)</f>
        <v>0</v>
      </c>
      <c r="AW529" s="80" t="str">
        <f>IF(AB529=1,INT(B529)*1440+Z529,"")</f>
        <v/>
      </c>
      <c r="AX529" s="80" t="str">
        <f>IF(AB529=1,AW529+AD529,"")</f>
        <v/>
      </c>
      <c r="AY529" s="80">
        <f>IF(AND(AB529=1,AV529=0,AU529=1),1,0)</f>
        <v>0</v>
      </c>
      <c r="AZ529" s="80">
        <f>IF(AY529=1,COUNTIFS(R_Emp,D529,R_SAbs,"&lt;"&amp;AX529,R_EAbs,"&gt;"&amp;AW529,R_OKey,1)-1,0)</f>
        <v>0</v>
      </c>
      <c r="BA529" s="80">
        <f>IF(AY529=1,COUNTIFS(R_Emp,"&lt;&gt;"&amp;D529,R_SAbs,"&lt;"&amp;AX529,R_EAbs,"&gt;"&amp;AW529,R_OKey,1),0)</f>
        <v>0</v>
      </c>
      <c r="BB529" s="80">
        <f>IF(AND(AB529=1,D529="proMX"),IF(AND(MOD(Z529,CFG_BLK)=0,MOD(AA529,CFG_BLK)=0,MOD(AG529,CFG_BLK)=0,AG529&gt;0),1,0),1)</f>
        <v>1</v>
      </c>
      <c r="BC529" s="80" t="str">
        <f>IF(Y529=0,"",IF(NOT(ISNUMBER(B529)),"Falta fecha o fecha inválida",IF(D529="","Falta empresa",IF(AND(D529&lt;&gt;"Malcolm",D529&lt;&gt;"proMX"),"Empresa inválida",IF(OR(INT(B529)&lt;CFG_PSTART,INT(B529)&gt;CFG_PEND),"Fecha fuera del período",IF(OR(NOT(ISNUMBER(Z529)),NOT(ISNUMBER(AA529))),"Falta hora inicio/fin o formato inválido",IF(AB529=0,"Hora inicio = hora fin",IF(AE529&lt;0,"Descanso inválido",IF(AE529&gt;=AD529,"Descanso ≥ duración",IF(AV529=1,"Registro duplicado",IF(AZ529&gt;0,"Se superpone con otro registro "&amp;D529,IF(BB529=0,"inicio, fin y duración neta deben ser múltiplos de "&amp;CFG_BLK&amp;" min",""))))))))))))</f>
        <v/>
      </c>
      <c r="BD529" s="80">
        <f>IF(AND(Y529=1,BC529=""),1,0)</f>
        <v>0</v>
      </c>
      <c r="BE529" s="80">
        <f>IF(AND(BD529=1,AU529=1),1,0)</f>
        <v>0</v>
      </c>
      <c r="BF529" s="80" t="str">
        <f>IF(AND(D529="proMX",BD529=1),IF(R529="","Draft",R529),"")</f>
        <v/>
      </c>
      <c r="BG529" s="80">
        <f>IF(BD529=1,ROUND(AG529/60,6),0)</f>
        <v>0</v>
      </c>
      <c r="BH529" s="80">
        <f>IF(BE529=1,ROUND(AG529/60,6),0)</f>
        <v>0</v>
      </c>
      <c r="BI529" s="80">
        <f>IF(BE529=1,ROUND(AP529/60,6),0)</f>
        <v>0</v>
      </c>
      <c r="BJ529" s="80">
        <f>IF(BE529=1,ROUND(AQ529/60,6),0)</f>
        <v>0</v>
      </c>
      <c r="BK529" s="80">
        <f>IF(BE529=1,ROUND((AR529+AS529)/60,6),0)</f>
        <v>0</v>
      </c>
      <c r="BL529" s="80">
        <f>ROUND(BH529-BK529,6)</f>
        <v>0</v>
      </c>
      <c r="BM529" s="80">
        <f>IF(BE529=1,ROUND(AR529/60,6),0)</f>
        <v>0</v>
      </c>
      <c r="BN529" s="80">
        <f>ROUND(BI529-BM529,6)</f>
        <v>0</v>
      </c>
      <c r="BO529" s="80">
        <f>IF(BE529=1,ROUND(AS529/60,6),0)</f>
        <v>0</v>
      </c>
      <c r="BP529" s="80">
        <f>ROUND(BJ529-BO529,6)</f>
        <v>0</v>
      </c>
      <c r="BQ529" s="80">
        <f>IF(BE529=1,AW529,0)</f>
        <v>0</v>
      </c>
      <c r="BR529" s="80">
        <f>IF(BE529=1,AX529,0)</f>
        <v>0</v>
      </c>
      <c r="BS529" s="80">
        <f>IF(AND(BE529=1,D529="Malcolm",BA529&gt;0),MIN(BH529,SUMPRODUCT((R_Emp="proMX")*(R_EN&gt;0)*((R_EN-(R_EN&gt;BR529)*(R_EN-BR529))&gt;(R_SN+(R_SN&lt;BQ529)*(BQ529-R_SN)))*((R_EN-(R_EN&gt;BR529)*(R_EN-BR529))-(R_SN+(R_SN&lt;BQ529)*(BQ529-R_SN))))/60),0)</f>
        <v>0</v>
      </c>
      <c r="BT529" s="80">
        <f>IF(AND(BE529=1,D529="proMX"),ROUND(BI529*CFG_RATE+BJ529*CFG_OTRATE,6),0)</f>
        <v>0</v>
      </c>
      <c r="BU529" s="80">
        <f>IF(AND(BD529=1,D529="proMX"),ROUND(AG529/CFG_BLK,6),0)</f>
        <v>0</v>
      </c>
      <c r="BV529" s="80" t="str">
        <f>IF(BF529="Approved",IF(ISNUMBER(T529),INT(T529),INT(B529)),"")</f>
        <v/>
      </c>
      <c r="BW529" s="80">
        <f>IF(ISNUMBER(B529),IF(DB_MON="Todos",1,IF(AND(INT(B529)&gt;=DB_MS,INT(B529)&lt;=DB_ME),1,0)),0)</f>
        <v>0</v>
      </c>
      <c r="BX529" s="80">
        <f>IF(DB_PROJ="Todos",1,IF(E529&amp;""=DB_PROJ&amp;"",1,0))</f>
        <v>1</v>
      </c>
      <c r="BY529" s="80">
        <f>BW529*BX529</f>
        <v>0</v>
      </c>
      <c r="BZ529" s="80" t="str">
        <f>IF(Y529=1,F529&amp;IF(AND(F529&amp;""&lt;&gt;"",E529&amp;""&lt;&gt;"")," · ","")&amp;E529,"")</f>
        <v/>
      </c>
      <c r="CA529" s="80" t="str">
        <f>IF(AND(BD529=1,E529&amp;""&lt;&gt;""),IF(COUNTIFS($E$5:E528,E529,$BD$5:BD528,1)=0,MAX($CA$5:CA528)+1,""),"")</f>
        <v/>
      </c>
      <c r="CB529" s="80" t="str">
        <f>IF(AND(BE529=1,D529="Malcolm",E529&amp;""&lt;&gt;""),IF(COUNTIFS($D$5:D528,"Malcolm",$E$5:E528,E529,$BE$5:BE528,1)=0,MAX($CB$5:CB528)+1,""),"")</f>
        <v/>
      </c>
      <c r="CC529" s="80" t="str">
        <f>IF(AND(BD529=1,D529="proMX",E529&amp;""&lt;&gt;""),IF(COUNTIFS($D$5:D528,"proMX",$E$5:E528,E529,$BD$5:BD528,1)=0,MAX($CC$5:CC528)+1,""),"")</f>
        <v/>
      </c>
      <c r="CD529" s="80" t="str">
        <f>IF(AND(BE529=1,D529="Malcolm",F529&amp;""&lt;&gt;""),IF(COUNTIFS($D$5:D528,"Malcolm",$F$5:F528,F529,$BE$5:BE528,1)=0,MAX($CD$5:CD528)+1,""),"")</f>
        <v/>
      </c>
      <c r="CE529" s="80" t="str">
        <f>IF(AND(BD529=1,D529="proMX",F529&amp;""&lt;&gt;""),IF(COUNTIFS($D$5:D528,"proMX",$F$5:F528,F529,$BD$5:BD528,1)=0,MAX($CE$5:CE528)+1,""),"")</f>
        <v/>
      </c>
      <c r="CF529" s="80" t="str">
        <f>IF(AND(D529="proMX",BD529=1),IF(OR(BF529="Draft",BF529="Submitted",BF529="Returned",BF529="Recall Requested"),MAX($CF$5:CF528)+1,""),"")</f>
        <v/>
      </c>
      <c r="CG529" s="80">
        <f>IF(BD529=0,0,IF(D529="Malcolm",1,MATCH(BF529,{"Draft","Submitted","Approved","Returned","Recall Requested","Cancelled"},0)+1))</f>
        <v>0</v>
      </c>
      <c r="CH529" s="80">
        <f>IF(AND(BF529="Submitted",ISNUMBER(V529)),IF(V529&gt;CFG_MAXD,1,0),0)</f>
        <v>0</v>
      </c>
    </row>
    <row r="530">
      <c r="A530" s="71" t="str">
        <f>IF(Y530=1,ROW()-5,"")</f>
        <v/>
      </c>
      <c r="B530" s="72" t="n"/>
      <c r="C530" s="71" t="str">
        <f>IF(ISNUMBER(B530),CHOOSE(WEEKDAY(B530,2),"Lun","Mar","Mié","Jue","Vie","Sáb","Dom"),"")</f>
        <v/>
      </c>
      <c r="D530" s="73" t="n"/>
      <c r="E530" s="74" t="n"/>
      <c r="F530" s="74" t="n"/>
      <c r="G530" s="74" t="n"/>
      <c r="H530" s="75" t="n"/>
      <c r="I530" s="75" t="n"/>
      <c r="J530" s="76" t="n"/>
      <c r="K530" s="77" t="str">
        <f>IF(AB530=1,ROUND(AG530/60,4),"")</f>
        <v/>
      </c>
      <c r="L530" s="77" t="str">
        <f>IF(BD530=1,ROUND(AP530/60,4),"")</f>
        <v/>
      </c>
      <c r="M530" s="77" t="str">
        <f>IF(BD530=1,ROUND(AQ530/60,4),"")</f>
        <v/>
      </c>
      <c r="N530" s="71" t="str">
        <f>IF(AND(D530="proMX",AB530=1),ROUND(AG530/CFG_BLK,2),"")</f>
        <v/>
      </c>
      <c r="O530" s="77" t="str">
        <f>IF(D530="proMX",IF(BD530=1,ROUND(AG530/60,4),0),"")</f>
        <v/>
      </c>
      <c r="P530" s="78" t="str">
        <f>IF(Y530=0,"",IF(BD530=1,"OK",IF(D530="proMX","Revisar bloques: ","Revisar: ")&amp;BC530))</f>
        <v/>
      </c>
      <c r="Q530" s="78" t="str">
        <f>IF(NOT(ISNUMBER(B530)),"",IF(COUNTIFS(FER_F,INT(B530))&gt;0,"Feriado"&amp;IF(AH530=1," (laborable)"," (no laborable)"),IF(AH530=1,"Laborable",IF(WEEKDAY(B530,2)&gt;5,"Fin de semana","No laborable"))))</f>
        <v/>
      </c>
      <c r="R530" s="73" t="n"/>
      <c r="S530" s="72" t="n"/>
      <c r="T530" s="72" t="n"/>
      <c r="U530" s="74" t="n"/>
      <c r="V530" s="79" t="str">
        <f>IF(AND(D530="proMX",OR(R530="Submitted",R530="Recall Requested"),ISNUMBER(S530)),CFG_TODAY-INT(S530),"")</f>
        <v/>
      </c>
      <c r="W530" s="78" t="str">
        <f>IF(BD530=0,"",IF(BA530&gt;0,"⚠ Se superpone con un registro de la otra empresa",IF(D530="Malcolm",IF(COUNTA(R530,S530,T530)&gt;0,"Estado/fechas proMX se ignoran en Malcolm",""),IF(BF530="Cancelled","Cancelado: excluido de totales",IF(R530="","Sin estado: se trata como Draft",IF(BF530="Submitted",IF(ISNUMBER(V530),IF(V530&gt;CFG_MAXD,"⚠ "&amp;V530&amp;" días en Submitted (máx. "&amp;CFG_MAXD&amp;")",""),"Falta fecha de envío"),IF(BF530="Returned","⚠ Devuelto: corregir y reenviar",IF(BF530="Recall Requested","Retirada solicitada: pendiente",IF(AND(BF530="Approved",NOT(ISNUMBER(T530))),"Falta fecha de aprobación",IF(AND(ISNUMBER(S530),ISNUMBER(T530),T530&lt;S530),"Aprobación anterior al envío","")))))))))</f>
        <v/>
      </c>
      <c r="Y530" s="80">
        <f>IF(COUNTA(B530,D530,E530,F530,G530,H530,I530,J530,R530,S530,T530)&gt;0,1,0)</f>
        <v>0</v>
      </c>
      <c r="Z530" s="80" t="str">
        <f>IF(AND(ISNUMBER(H530),H530&gt;=0,H530&lt;1),ROUND(H530*1440,0),"")</f>
        <v/>
      </c>
      <c r="AA530" s="80" t="str">
        <f>IF(AND(ISNUMBER(I530),I530&gt;=0,I530&lt;1),ROUND(I530*1440,0),"")</f>
        <v/>
      </c>
      <c r="AB530" s="80">
        <f>IF(AND(ISNUMBER(B530),D530&lt;&gt;"",ISNUMBER(Z530),ISNUMBER(AA530)),IF(Z530=AA530,0,1),0)</f>
        <v>0</v>
      </c>
      <c r="AC530" s="80">
        <f>IF(AB530=1,IF(AA530&lt;Z530,1,0),0)</f>
        <v>0</v>
      </c>
      <c r="AD530" s="80">
        <f>IF(AB530=1,IF(AC530=1,1440-Z530+AA530,AA530-Z530),0)</f>
        <v>0</v>
      </c>
      <c r="AE530" s="80">
        <f>IF(J530="",0,IF(ISNUMBER(J530),J530,-1))</f>
        <v>0</v>
      </c>
      <c r="AF530" s="80">
        <f>MIN(MAX(0,AE530),AD530)</f>
        <v>0</v>
      </c>
      <c r="AG530" s="80">
        <f>MAX(0,AD530-MAX(0,AE530))</f>
        <v>0</v>
      </c>
      <c r="AH530" s="80">
        <f>IF(ISNUMBER(B530),IF(AND(INDEX(CFG_WDAYS,WEEKDAY(INT(B530),2))="Sí",IF(D530="proMX",COUNTIFS(FER_F,INT(B530),FER_NLP,"Sí"),COUNTIFS(FER_F,INT(B530),FER_NLM,"Sí"))=0),1,0),0)</f>
        <v>0</v>
      </c>
      <c r="AI530" s="80">
        <f>IF(AC530=1,IF(AND(INDEX(CFG_WDAYS,WEEKDAY(INT(B530)+1,2))="Sí",IF(D530="proMX",COUNTIFS(FER_F,INT(B530)+1,FER_NLP,"Sí"),COUNTIFS(FER_F,INT(B530)+1,FER_NLM,"Sí"))=0),1,0),0)</f>
        <v>0</v>
      </c>
      <c r="AJ530" s="80">
        <f>IF(AC530=1,1440-Z530,AD530)</f>
        <v>0</v>
      </c>
      <c r="AK530" s="80">
        <f>IF(AND(AB530=1,AH530=1),MAX(0,MIN(IF(AC530=1,1440,AA530),CFG_WEM)-MAX(Z530,CFG_WSM)),0)</f>
        <v>0</v>
      </c>
      <c r="AL530" s="80">
        <f>IF(AND(AC530=1,AI530=1),MAX(0,MIN(AA530,CFG_WEM)-CFG_WSM),0)</f>
        <v>0</v>
      </c>
      <c r="AM530" s="80">
        <f>AK530+AL530</f>
        <v>0</v>
      </c>
      <c r="AN530" s="80">
        <f>IF(CFG_BRK="Proporcional",IF(AD530=0,0,AF530*AM530/AD530),IF(CFG_BRK="Extras primero",MIN(AM530,MAX(0,AF530-(AD530-AM530))),MIN(AF530,AM530)))</f>
        <v>0</v>
      </c>
      <c r="AO530" s="80">
        <f>AF530-AN530</f>
        <v>0</v>
      </c>
      <c r="AP530" s="80">
        <f>AM530-AN530</f>
        <v>0</v>
      </c>
      <c r="AQ530" s="80">
        <f>AD530-AM530-AO530</f>
        <v>0</v>
      </c>
      <c r="AR530" s="80">
        <f>IF(AM530=0,0,AK530-AN530*AK530/AM530)</f>
        <v>0</v>
      </c>
      <c r="AS530" s="80">
        <f>IF(AD530-AM530=0,0,(AJ530-AK530)-AO530*(AJ530-AK530)/(AD530-AM530))</f>
        <v>0</v>
      </c>
      <c r="AT530" s="80" t="str">
        <f>IF(AC530=1,INT(B530)+1,"")</f>
        <v/>
      </c>
      <c r="AU530" s="80">
        <f>IF(AND(D530="proMX",R530="Cancelled"),0,1)</f>
        <v>1</v>
      </c>
      <c r="AV530" s="80">
        <f>IF(AND(AB530=1,AU530=1),IF(COUNTIFS($D$5:D529,D530,$B$5:B529,B530,$Z$5:Z529,Z530,$AA$5:AA529,AA530,$F$5:F529,F530&amp;"",$AU$5:AU529,1)&gt;0,1,0),0)</f>
        <v>0</v>
      </c>
      <c r="AW530" s="80" t="str">
        <f>IF(AB530=1,INT(B530)*1440+Z530,"")</f>
        <v/>
      </c>
      <c r="AX530" s="80" t="str">
        <f>IF(AB530=1,AW530+AD530,"")</f>
        <v/>
      </c>
      <c r="AY530" s="80">
        <f>IF(AND(AB530=1,AV530=0,AU530=1),1,0)</f>
        <v>0</v>
      </c>
      <c r="AZ530" s="80">
        <f>IF(AY530=1,COUNTIFS(R_Emp,D530,R_SAbs,"&lt;"&amp;AX530,R_EAbs,"&gt;"&amp;AW530,R_OKey,1)-1,0)</f>
        <v>0</v>
      </c>
      <c r="BA530" s="80">
        <f>IF(AY530=1,COUNTIFS(R_Emp,"&lt;&gt;"&amp;D530,R_SAbs,"&lt;"&amp;AX530,R_EAbs,"&gt;"&amp;AW530,R_OKey,1),0)</f>
        <v>0</v>
      </c>
      <c r="BB530" s="80">
        <f>IF(AND(AB530=1,D530="proMX"),IF(AND(MOD(Z530,CFG_BLK)=0,MOD(AA530,CFG_BLK)=0,MOD(AG530,CFG_BLK)=0,AG530&gt;0),1,0),1)</f>
        <v>1</v>
      </c>
      <c r="BC530" s="80" t="str">
        <f>IF(Y530=0,"",IF(NOT(ISNUMBER(B530)),"Falta fecha o fecha inválida",IF(D530="","Falta empresa",IF(AND(D530&lt;&gt;"Malcolm",D530&lt;&gt;"proMX"),"Empresa inválida",IF(OR(INT(B530)&lt;CFG_PSTART,INT(B530)&gt;CFG_PEND),"Fecha fuera del período",IF(OR(NOT(ISNUMBER(Z530)),NOT(ISNUMBER(AA530))),"Falta hora inicio/fin o formato inválido",IF(AB530=0,"Hora inicio = hora fin",IF(AE530&lt;0,"Descanso inválido",IF(AE530&gt;=AD530,"Descanso ≥ duración",IF(AV530=1,"Registro duplicado",IF(AZ530&gt;0,"Se superpone con otro registro "&amp;D530,IF(BB530=0,"inicio, fin y duración neta deben ser múltiplos de "&amp;CFG_BLK&amp;" min",""))))))))))))</f>
        <v/>
      </c>
      <c r="BD530" s="80">
        <f>IF(AND(Y530=1,BC530=""),1,0)</f>
        <v>0</v>
      </c>
      <c r="BE530" s="80">
        <f>IF(AND(BD530=1,AU530=1),1,0)</f>
        <v>0</v>
      </c>
      <c r="BF530" s="80" t="str">
        <f>IF(AND(D530="proMX",BD530=1),IF(R530="","Draft",R530),"")</f>
        <v/>
      </c>
      <c r="BG530" s="80">
        <f>IF(BD530=1,ROUND(AG530/60,6),0)</f>
        <v>0</v>
      </c>
      <c r="BH530" s="80">
        <f>IF(BE530=1,ROUND(AG530/60,6),0)</f>
        <v>0</v>
      </c>
      <c r="BI530" s="80">
        <f>IF(BE530=1,ROUND(AP530/60,6),0)</f>
        <v>0</v>
      </c>
      <c r="BJ530" s="80">
        <f>IF(BE530=1,ROUND(AQ530/60,6),0)</f>
        <v>0</v>
      </c>
      <c r="BK530" s="80">
        <f>IF(BE530=1,ROUND((AR530+AS530)/60,6),0)</f>
        <v>0</v>
      </c>
      <c r="BL530" s="80">
        <f>ROUND(BH530-BK530,6)</f>
        <v>0</v>
      </c>
      <c r="BM530" s="80">
        <f>IF(BE530=1,ROUND(AR530/60,6),0)</f>
        <v>0</v>
      </c>
      <c r="BN530" s="80">
        <f>ROUND(BI530-BM530,6)</f>
        <v>0</v>
      </c>
      <c r="BO530" s="80">
        <f>IF(BE530=1,ROUND(AS530/60,6),0)</f>
        <v>0</v>
      </c>
      <c r="BP530" s="80">
        <f>ROUND(BJ530-BO530,6)</f>
        <v>0</v>
      </c>
      <c r="BQ530" s="80">
        <f>IF(BE530=1,AW530,0)</f>
        <v>0</v>
      </c>
      <c r="BR530" s="80">
        <f>IF(BE530=1,AX530,0)</f>
        <v>0</v>
      </c>
      <c r="BS530" s="80">
        <f>IF(AND(BE530=1,D530="Malcolm",BA530&gt;0),MIN(BH530,SUMPRODUCT((R_Emp="proMX")*(R_EN&gt;0)*((R_EN-(R_EN&gt;BR530)*(R_EN-BR530))&gt;(R_SN+(R_SN&lt;BQ530)*(BQ530-R_SN)))*((R_EN-(R_EN&gt;BR530)*(R_EN-BR530))-(R_SN+(R_SN&lt;BQ530)*(BQ530-R_SN))))/60),0)</f>
        <v>0</v>
      </c>
      <c r="BT530" s="80">
        <f>IF(AND(BE530=1,D530="proMX"),ROUND(BI530*CFG_RATE+BJ530*CFG_OTRATE,6),0)</f>
        <v>0</v>
      </c>
      <c r="BU530" s="80">
        <f>IF(AND(BD530=1,D530="proMX"),ROUND(AG530/CFG_BLK,6),0)</f>
        <v>0</v>
      </c>
      <c r="BV530" s="80" t="str">
        <f>IF(BF530="Approved",IF(ISNUMBER(T530),INT(T530),INT(B530)),"")</f>
        <v/>
      </c>
      <c r="BW530" s="80">
        <f>IF(ISNUMBER(B530),IF(DB_MON="Todos",1,IF(AND(INT(B530)&gt;=DB_MS,INT(B530)&lt;=DB_ME),1,0)),0)</f>
        <v>0</v>
      </c>
      <c r="BX530" s="80">
        <f>IF(DB_PROJ="Todos",1,IF(E530&amp;""=DB_PROJ&amp;"",1,0))</f>
        <v>1</v>
      </c>
      <c r="BY530" s="80">
        <f>BW530*BX530</f>
        <v>0</v>
      </c>
      <c r="BZ530" s="80" t="str">
        <f>IF(Y530=1,F530&amp;IF(AND(F530&amp;""&lt;&gt;"",E530&amp;""&lt;&gt;"")," · ","")&amp;E530,"")</f>
        <v/>
      </c>
      <c r="CA530" s="80" t="str">
        <f>IF(AND(BD530=1,E530&amp;""&lt;&gt;""),IF(COUNTIFS($E$5:E529,E530,$BD$5:BD529,1)=0,MAX($CA$5:CA529)+1,""),"")</f>
        <v/>
      </c>
      <c r="CB530" s="80" t="str">
        <f>IF(AND(BE530=1,D530="Malcolm",E530&amp;""&lt;&gt;""),IF(COUNTIFS($D$5:D529,"Malcolm",$E$5:E529,E530,$BE$5:BE529,1)=0,MAX($CB$5:CB529)+1,""),"")</f>
        <v/>
      </c>
      <c r="CC530" s="80" t="str">
        <f>IF(AND(BD530=1,D530="proMX",E530&amp;""&lt;&gt;""),IF(COUNTIFS($D$5:D529,"proMX",$E$5:E529,E530,$BD$5:BD529,1)=0,MAX($CC$5:CC529)+1,""),"")</f>
        <v/>
      </c>
      <c r="CD530" s="80" t="str">
        <f>IF(AND(BE530=1,D530="Malcolm",F530&amp;""&lt;&gt;""),IF(COUNTIFS($D$5:D529,"Malcolm",$F$5:F529,F530,$BE$5:BE529,1)=0,MAX($CD$5:CD529)+1,""),"")</f>
        <v/>
      </c>
      <c r="CE530" s="80" t="str">
        <f>IF(AND(BD530=1,D530="proMX",F530&amp;""&lt;&gt;""),IF(COUNTIFS($D$5:D529,"proMX",$F$5:F529,F530,$BD$5:BD529,1)=0,MAX($CE$5:CE529)+1,""),"")</f>
        <v/>
      </c>
      <c r="CF530" s="80" t="str">
        <f>IF(AND(D530="proMX",BD530=1),IF(OR(BF530="Draft",BF530="Submitted",BF530="Returned",BF530="Recall Requested"),MAX($CF$5:CF529)+1,""),"")</f>
        <v/>
      </c>
      <c r="CG530" s="80">
        <f>IF(BD530=0,0,IF(D530="Malcolm",1,MATCH(BF530,{"Draft","Submitted","Approved","Returned","Recall Requested","Cancelled"},0)+1))</f>
        <v>0</v>
      </c>
      <c r="CH530" s="80">
        <f>IF(AND(BF530="Submitted",ISNUMBER(V530)),IF(V530&gt;CFG_MAXD,1,0),0)</f>
        <v>0</v>
      </c>
    </row>
    <row r="531">
      <c r="A531" s="71" t="str">
        <f>IF(Y531=1,ROW()-5,"")</f>
        <v/>
      </c>
      <c r="B531" s="72" t="n"/>
      <c r="C531" s="71" t="str">
        <f>IF(ISNUMBER(B531),CHOOSE(WEEKDAY(B531,2),"Lun","Mar","Mié","Jue","Vie","Sáb","Dom"),"")</f>
        <v/>
      </c>
      <c r="D531" s="73" t="n"/>
      <c r="E531" s="74" t="n"/>
      <c r="F531" s="74" t="n"/>
      <c r="G531" s="74" t="n"/>
      <c r="H531" s="75" t="n"/>
      <c r="I531" s="75" t="n"/>
      <c r="J531" s="76" t="n"/>
      <c r="K531" s="77" t="str">
        <f>IF(AB531=1,ROUND(AG531/60,4),"")</f>
        <v/>
      </c>
      <c r="L531" s="77" t="str">
        <f>IF(BD531=1,ROUND(AP531/60,4),"")</f>
        <v/>
      </c>
      <c r="M531" s="77" t="str">
        <f>IF(BD531=1,ROUND(AQ531/60,4),"")</f>
        <v/>
      </c>
      <c r="N531" s="71" t="str">
        <f>IF(AND(D531="proMX",AB531=1),ROUND(AG531/CFG_BLK,2),"")</f>
        <v/>
      </c>
      <c r="O531" s="77" t="str">
        <f>IF(D531="proMX",IF(BD531=1,ROUND(AG531/60,4),0),"")</f>
        <v/>
      </c>
      <c r="P531" s="78" t="str">
        <f>IF(Y531=0,"",IF(BD531=1,"OK",IF(D531="proMX","Revisar bloques: ","Revisar: ")&amp;BC531))</f>
        <v/>
      </c>
      <c r="Q531" s="78" t="str">
        <f>IF(NOT(ISNUMBER(B531)),"",IF(COUNTIFS(FER_F,INT(B531))&gt;0,"Feriado"&amp;IF(AH531=1," (laborable)"," (no laborable)"),IF(AH531=1,"Laborable",IF(WEEKDAY(B531,2)&gt;5,"Fin de semana","No laborable"))))</f>
        <v/>
      </c>
      <c r="R531" s="73" t="n"/>
      <c r="S531" s="72" t="n"/>
      <c r="T531" s="72" t="n"/>
      <c r="U531" s="74" t="n"/>
      <c r="V531" s="79" t="str">
        <f>IF(AND(D531="proMX",OR(R531="Submitted",R531="Recall Requested"),ISNUMBER(S531)),CFG_TODAY-INT(S531),"")</f>
        <v/>
      </c>
      <c r="W531" s="78" t="str">
        <f>IF(BD531=0,"",IF(BA531&gt;0,"⚠ Se superpone con un registro de la otra empresa",IF(D531="Malcolm",IF(COUNTA(R531,S531,T531)&gt;0,"Estado/fechas proMX se ignoran en Malcolm",""),IF(BF531="Cancelled","Cancelado: excluido de totales",IF(R531="","Sin estado: se trata como Draft",IF(BF531="Submitted",IF(ISNUMBER(V531),IF(V531&gt;CFG_MAXD,"⚠ "&amp;V531&amp;" días en Submitted (máx. "&amp;CFG_MAXD&amp;")",""),"Falta fecha de envío"),IF(BF531="Returned","⚠ Devuelto: corregir y reenviar",IF(BF531="Recall Requested","Retirada solicitada: pendiente",IF(AND(BF531="Approved",NOT(ISNUMBER(T531))),"Falta fecha de aprobación",IF(AND(ISNUMBER(S531),ISNUMBER(T531),T531&lt;S531),"Aprobación anterior al envío","")))))))))</f>
        <v/>
      </c>
      <c r="Y531" s="80">
        <f>IF(COUNTA(B531,D531,E531,F531,G531,H531,I531,J531,R531,S531,T531)&gt;0,1,0)</f>
        <v>0</v>
      </c>
      <c r="Z531" s="80" t="str">
        <f>IF(AND(ISNUMBER(H531),H531&gt;=0,H531&lt;1),ROUND(H531*1440,0),"")</f>
        <v/>
      </c>
      <c r="AA531" s="80" t="str">
        <f>IF(AND(ISNUMBER(I531),I531&gt;=0,I531&lt;1),ROUND(I531*1440,0),"")</f>
        <v/>
      </c>
      <c r="AB531" s="80">
        <f>IF(AND(ISNUMBER(B531),D531&lt;&gt;"",ISNUMBER(Z531),ISNUMBER(AA531)),IF(Z531=AA531,0,1),0)</f>
        <v>0</v>
      </c>
      <c r="AC531" s="80">
        <f>IF(AB531=1,IF(AA531&lt;Z531,1,0),0)</f>
        <v>0</v>
      </c>
      <c r="AD531" s="80">
        <f>IF(AB531=1,IF(AC531=1,1440-Z531+AA531,AA531-Z531),0)</f>
        <v>0</v>
      </c>
      <c r="AE531" s="80">
        <f>IF(J531="",0,IF(ISNUMBER(J531),J531,-1))</f>
        <v>0</v>
      </c>
      <c r="AF531" s="80">
        <f>MIN(MAX(0,AE531),AD531)</f>
        <v>0</v>
      </c>
      <c r="AG531" s="80">
        <f>MAX(0,AD531-MAX(0,AE531))</f>
        <v>0</v>
      </c>
      <c r="AH531" s="80">
        <f>IF(ISNUMBER(B531),IF(AND(INDEX(CFG_WDAYS,WEEKDAY(INT(B531),2))="Sí",IF(D531="proMX",COUNTIFS(FER_F,INT(B531),FER_NLP,"Sí"),COUNTIFS(FER_F,INT(B531),FER_NLM,"Sí"))=0),1,0),0)</f>
        <v>0</v>
      </c>
      <c r="AI531" s="80">
        <f>IF(AC531=1,IF(AND(INDEX(CFG_WDAYS,WEEKDAY(INT(B531)+1,2))="Sí",IF(D531="proMX",COUNTIFS(FER_F,INT(B531)+1,FER_NLP,"Sí"),COUNTIFS(FER_F,INT(B531)+1,FER_NLM,"Sí"))=0),1,0),0)</f>
        <v>0</v>
      </c>
      <c r="AJ531" s="80">
        <f>IF(AC531=1,1440-Z531,AD531)</f>
        <v>0</v>
      </c>
      <c r="AK531" s="80">
        <f>IF(AND(AB531=1,AH531=1),MAX(0,MIN(IF(AC531=1,1440,AA531),CFG_WEM)-MAX(Z531,CFG_WSM)),0)</f>
        <v>0</v>
      </c>
      <c r="AL531" s="80">
        <f>IF(AND(AC531=1,AI531=1),MAX(0,MIN(AA531,CFG_WEM)-CFG_WSM),0)</f>
        <v>0</v>
      </c>
      <c r="AM531" s="80">
        <f>AK531+AL531</f>
        <v>0</v>
      </c>
      <c r="AN531" s="80">
        <f>IF(CFG_BRK="Proporcional",IF(AD531=0,0,AF531*AM531/AD531),IF(CFG_BRK="Extras primero",MIN(AM531,MAX(0,AF531-(AD531-AM531))),MIN(AF531,AM531)))</f>
        <v>0</v>
      </c>
      <c r="AO531" s="80">
        <f>AF531-AN531</f>
        <v>0</v>
      </c>
      <c r="AP531" s="80">
        <f>AM531-AN531</f>
        <v>0</v>
      </c>
      <c r="AQ531" s="80">
        <f>AD531-AM531-AO531</f>
        <v>0</v>
      </c>
      <c r="AR531" s="80">
        <f>IF(AM531=0,0,AK531-AN531*AK531/AM531)</f>
        <v>0</v>
      </c>
      <c r="AS531" s="80">
        <f>IF(AD531-AM531=0,0,(AJ531-AK531)-AO531*(AJ531-AK531)/(AD531-AM531))</f>
        <v>0</v>
      </c>
      <c r="AT531" s="80" t="str">
        <f>IF(AC531=1,INT(B531)+1,"")</f>
        <v/>
      </c>
      <c r="AU531" s="80">
        <f>IF(AND(D531="proMX",R531="Cancelled"),0,1)</f>
        <v>1</v>
      </c>
      <c r="AV531" s="80">
        <f>IF(AND(AB531=1,AU531=1),IF(COUNTIFS($D$5:D530,D531,$B$5:B530,B531,$Z$5:Z530,Z531,$AA$5:AA530,AA531,$F$5:F530,F531&amp;"",$AU$5:AU530,1)&gt;0,1,0),0)</f>
        <v>0</v>
      </c>
      <c r="AW531" s="80" t="str">
        <f>IF(AB531=1,INT(B531)*1440+Z531,"")</f>
        <v/>
      </c>
      <c r="AX531" s="80" t="str">
        <f>IF(AB531=1,AW531+AD531,"")</f>
        <v/>
      </c>
      <c r="AY531" s="80">
        <f>IF(AND(AB531=1,AV531=0,AU531=1),1,0)</f>
        <v>0</v>
      </c>
      <c r="AZ531" s="80">
        <f>IF(AY531=1,COUNTIFS(R_Emp,D531,R_SAbs,"&lt;"&amp;AX531,R_EAbs,"&gt;"&amp;AW531,R_OKey,1)-1,0)</f>
        <v>0</v>
      </c>
      <c r="BA531" s="80">
        <f>IF(AY531=1,COUNTIFS(R_Emp,"&lt;&gt;"&amp;D531,R_SAbs,"&lt;"&amp;AX531,R_EAbs,"&gt;"&amp;AW531,R_OKey,1),0)</f>
        <v>0</v>
      </c>
      <c r="BB531" s="80">
        <f>IF(AND(AB531=1,D531="proMX"),IF(AND(MOD(Z531,CFG_BLK)=0,MOD(AA531,CFG_BLK)=0,MOD(AG531,CFG_BLK)=0,AG531&gt;0),1,0),1)</f>
        <v>1</v>
      </c>
      <c r="BC531" s="80" t="str">
        <f>IF(Y531=0,"",IF(NOT(ISNUMBER(B531)),"Falta fecha o fecha inválida",IF(D531="","Falta empresa",IF(AND(D531&lt;&gt;"Malcolm",D531&lt;&gt;"proMX"),"Empresa inválida",IF(OR(INT(B531)&lt;CFG_PSTART,INT(B531)&gt;CFG_PEND),"Fecha fuera del período",IF(OR(NOT(ISNUMBER(Z531)),NOT(ISNUMBER(AA531))),"Falta hora inicio/fin o formato inválido",IF(AB531=0,"Hora inicio = hora fin",IF(AE531&lt;0,"Descanso inválido",IF(AE531&gt;=AD531,"Descanso ≥ duración",IF(AV531=1,"Registro duplicado",IF(AZ531&gt;0,"Se superpone con otro registro "&amp;D531,IF(BB531=0,"inicio, fin y duración neta deben ser múltiplos de "&amp;CFG_BLK&amp;" min",""))))))))))))</f>
        <v/>
      </c>
      <c r="BD531" s="80">
        <f>IF(AND(Y531=1,BC531=""),1,0)</f>
        <v>0</v>
      </c>
      <c r="BE531" s="80">
        <f>IF(AND(BD531=1,AU531=1),1,0)</f>
        <v>0</v>
      </c>
      <c r="BF531" s="80" t="str">
        <f>IF(AND(D531="proMX",BD531=1),IF(R531="","Draft",R531),"")</f>
        <v/>
      </c>
      <c r="BG531" s="80">
        <f>IF(BD531=1,ROUND(AG531/60,6),0)</f>
        <v>0</v>
      </c>
      <c r="BH531" s="80">
        <f>IF(BE531=1,ROUND(AG531/60,6),0)</f>
        <v>0</v>
      </c>
      <c r="BI531" s="80">
        <f>IF(BE531=1,ROUND(AP531/60,6),0)</f>
        <v>0</v>
      </c>
      <c r="BJ531" s="80">
        <f>IF(BE531=1,ROUND(AQ531/60,6),0)</f>
        <v>0</v>
      </c>
      <c r="BK531" s="80">
        <f>IF(BE531=1,ROUND((AR531+AS531)/60,6),0)</f>
        <v>0</v>
      </c>
      <c r="BL531" s="80">
        <f>ROUND(BH531-BK531,6)</f>
        <v>0</v>
      </c>
      <c r="BM531" s="80">
        <f>IF(BE531=1,ROUND(AR531/60,6),0)</f>
        <v>0</v>
      </c>
      <c r="BN531" s="80">
        <f>ROUND(BI531-BM531,6)</f>
        <v>0</v>
      </c>
      <c r="BO531" s="80">
        <f>IF(BE531=1,ROUND(AS531/60,6),0)</f>
        <v>0</v>
      </c>
      <c r="BP531" s="80">
        <f>ROUND(BJ531-BO531,6)</f>
        <v>0</v>
      </c>
      <c r="BQ531" s="80">
        <f>IF(BE531=1,AW531,0)</f>
        <v>0</v>
      </c>
      <c r="BR531" s="80">
        <f>IF(BE531=1,AX531,0)</f>
        <v>0</v>
      </c>
      <c r="BS531" s="80">
        <f>IF(AND(BE531=1,D531="Malcolm",BA531&gt;0),MIN(BH531,SUMPRODUCT((R_Emp="proMX")*(R_EN&gt;0)*((R_EN-(R_EN&gt;BR531)*(R_EN-BR531))&gt;(R_SN+(R_SN&lt;BQ531)*(BQ531-R_SN)))*((R_EN-(R_EN&gt;BR531)*(R_EN-BR531))-(R_SN+(R_SN&lt;BQ531)*(BQ531-R_SN))))/60),0)</f>
        <v>0</v>
      </c>
      <c r="BT531" s="80">
        <f>IF(AND(BE531=1,D531="proMX"),ROUND(BI531*CFG_RATE+BJ531*CFG_OTRATE,6),0)</f>
        <v>0</v>
      </c>
      <c r="BU531" s="80">
        <f>IF(AND(BD531=1,D531="proMX"),ROUND(AG531/CFG_BLK,6),0)</f>
        <v>0</v>
      </c>
      <c r="BV531" s="80" t="str">
        <f>IF(BF531="Approved",IF(ISNUMBER(T531),INT(T531),INT(B531)),"")</f>
        <v/>
      </c>
      <c r="BW531" s="80">
        <f>IF(ISNUMBER(B531),IF(DB_MON="Todos",1,IF(AND(INT(B531)&gt;=DB_MS,INT(B531)&lt;=DB_ME),1,0)),0)</f>
        <v>0</v>
      </c>
      <c r="BX531" s="80">
        <f>IF(DB_PROJ="Todos",1,IF(E531&amp;""=DB_PROJ&amp;"",1,0))</f>
        <v>1</v>
      </c>
      <c r="BY531" s="80">
        <f>BW531*BX531</f>
        <v>0</v>
      </c>
      <c r="BZ531" s="80" t="str">
        <f>IF(Y531=1,F531&amp;IF(AND(F531&amp;""&lt;&gt;"",E531&amp;""&lt;&gt;"")," · ","")&amp;E531,"")</f>
        <v/>
      </c>
      <c r="CA531" s="80" t="str">
        <f>IF(AND(BD531=1,E531&amp;""&lt;&gt;""),IF(COUNTIFS($E$5:E530,E531,$BD$5:BD530,1)=0,MAX($CA$5:CA530)+1,""),"")</f>
        <v/>
      </c>
      <c r="CB531" s="80" t="str">
        <f>IF(AND(BE531=1,D531="Malcolm",E531&amp;""&lt;&gt;""),IF(COUNTIFS($D$5:D530,"Malcolm",$E$5:E530,E531,$BE$5:BE530,1)=0,MAX($CB$5:CB530)+1,""),"")</f>
        <v/>
      </c>
      <c r="CC531" s="80" t="str">
        <f>IF(AND(BD531=1,D531="proMX",E531&amp;""&lt;&gt;""),IF(COUNTIFS($D$5:D530,"proMX",$E$5:E530,E531,$BD$5:BD530,1)=0,MAX($CC$5:CC530)+1,""),"")</f>
        <v/>
      </c>
      <c r="CD531" s="80" t="str">
        <f>IF(AND(BE531=1,D531="Malcolm",F531&amp;""&lt;&gt;""),IF(COUNTIFS($D$5:D530,"Malcolm",$F$5:F530,F531,$BE$5:BE530,1)=0,MAX($CD$5:CD530)+1,""),"")</f>
        <v/>
      </c>
      <c r="CE531" s="80" t="str">
        <f>IF(AND(BD531=1,D531="proMX",F531&amp;""&lt;&gt;""),IF(COUNTIFS($D$5:D530,"proMX",$F$5:F530,F531,$BD$5:BD530,1)=0,MAX($CE$5:CE530)+1,""),"")</f>
        <v/>
      </c>
      <c r="CF531" s="80" t="str">
        <f>IF(AND(D531="proMX",BD531=1),IF(OR(BF531="Draft",BF531="Submitted",BF531="Returned",BF531="Recall Requested"),MAX($CF$5:CF530)+1,""),"")</f>
        <v/>
      </c>
      <c r="CG531" s="80">
        <f>IF(BD531=0,0,IF(D531="Malcolm",1,MATCH(BF531,{"Draft","Submitted","Approved","Returned","Recall Requested","Cancelled"},0)+1))</f>
        <v>0</v>
      </c>
      <c r="CH531" s="80">
        <f>IF(AND(BF531="Submitted",ISNUMBER(V531)),IF(V531&gt;CFG_MAXD,1,0),0)</f>
        <v>0</v>
      </c>
    </row>
    <row r="532">
      <c r="A532" s="71" t="str">
        <f>IF(Y532=1,ROW()-5,"")</f>
        <v/>
      </c>
      <c r="B532" s="72" t="n"/>
      <c r="C532" s="71" t="str">
        <f>IF(ISNUMBER(B532),CHOOSE(WEEKDAY(B532,2),"Lun","Mar","Mié","Jue","Vie","Sáb","Dom"),"")</f>
        <v/>
      </c>
      <c r="D532" s="73" t="n"/>
      <c r="E532" s="74" t="n"/>
      <c r="F532" s="74" t="n"/>
      <c r="G532" s="74" t="n"/>
      <c r="H532" s="75" t="n"/>
      <c r="I532" s="75" t="n"/>
      <c r="J532" s="76" t="n"/>
      <c r="K532" s="77" t="str">
        <f>IF(AB532=1,ROUND(AG532/60,4),"")</f>
        <v/>
      </c>
      <c r="L532" s="77" t="str">
        <f>IF(BD532=1,ROUND(AP532/60,4),"")</f>
        <v/>
      </c>
      <c r="M532" s="77" t="str">
        <f>IF(BD532=1,ROUND(AQ532/60,4),"")</f>
        <v/>
      </c>
      <c r="N532" s="71" t="str">
        <f>IF(AND(D532="proMX",AB532=1),ROUND(AG532/CFG_BLK,2),"")</f>
        <v/>
      </c>
      <c r="O532" s="77" t="str">
        <f>IF(D532="proMX",IF(BD532=1,ROUND(AG532/60,4),0),"")</f>
        <v/>
      </c>
      <c r="P532" s="78" t="str">
        <f>IF(Y532=0,"",IF(BD532=1,"OK",IF(D532="proMX","Revisar bloques: ","Revisar: ")&amp;BC532))</f>
        <v/>
      </c>
      <c r="Q532" s="78" t="str">
        <f>IF(NOT(ISNUMBER(B532)),"",IF(COUNTIFS(FER_F,INT(B532))&gt;0,"Feriado"&amp;IF(AH532=1," (laborable)"," (no laborable)"),IF(AH532=1,"Laborable",IF(WEEKDAY(B532,2)&gt;5,"Fin de semana","No laborable"))))</f>
        <v/>
      </c>
      <c r="R532" s="73" t="n"/>
      <c r="S532" s="72" t="n"/>
      <c r="T532" s="72" t="n"/>
      <c r="U532" s="74" t="n"/>
      <c r="V532" s="79" t="str">
        <f>IF(AND(D532="proMX",OR(R532="Submitted",R532="Recall Requested"),ISNUMBER(S532)),CFG_TODAY-INT(S532),"")</f>
        <v/>
      </c>
      <c r="W532" s="78" t="str">
        <f>IF(BD532=0,"",IF(BA532&gt;0,"⚠ Se superpone con un registro de la otra empresa",IF(D532="Malcolm",IF(COUNTA(R532,S532,T532)&gt;0,"Estado/fechas proMX se ignoran en Malcolm",""),IF(BF532="Cancelled","Cancelado: excluido de totales",IF(R532="","Sin estado: se trata como Draft",IF(BF532="Submitted",IF(ISNUMBER(V532),IF(V532&gt;CFG_MAXD,"⚠ "&amp;V532&amp;" días en Submitted (máx. "&amp;CFG_MAXD&amp;")",""),"Falta fecha de envío"),IF(BF532="Returned","⚠ Devuelto: corregir y reenviar",IF(BF532="Recall Requested","Retirada solicitada: pendiente",IF(AND(BF532="Approved",NOT(ISNUMBER(T532))),"Falta fecha de aprobación",IF(AND(ISNUMBER(S532),ISNUMBER(T532),T532&lt;S532),"Aprobación anterior al envío","")))))))))</f>
        <v/>
      </c>
      <c r="Y532" s="80">
        <f>IF(COUNTA(B532,D532,E532,F532,G532,H532,I532,J532,R532,S532,T532)&gt;0,1,0)</f>
        <v>0</v>
      </c>
      <c r="Z532" s="80" t="str">
        <f>IF(AND(ISNUMBER(H532),H532&gt;=0,H532&lt;1),ROUND(H532*1440,0),"")</f>
        <v/>
      </c>
      <c r="AA532" s="80" t="str">
        <f>IF(AND(ISNUMBER(I532),I532&gt;=0,I532&lt;1),ROUND(I532*1440,0),"")</f>
        <v/>
      </c>
      <c r="AB532" s="80">
        <f>IF(AND(ISNUMBER(B532),D532&lt;&gt;"",ISNUMBER(Z532),ISNUMBER(AA532)),IF(Z532=AA532,0,1),0)</f>
        <v>0</v>
      </c>
      <c r="AC532" s="80">
        <f>IF(AB532=1,IF(AA532&lt;Z532,1,0),0)</f>
        <v>0</v>
      </c>
      <c r="AD532" s="80">
        <f>IF(AB532=1,IF(AC532=1,1440-Z532+AA532,AA532-Z532),0)</f>
        <v>0</v>
      </c>
      <c r="AE532" s="80">
        <f>IF(J532="",0,IF(ISNUMBER(J532),J532,-1))</f>
        <v>0</v>
      </c>
      <c r="AF532" s="80">
        <f>MIN(MAX(0,AE532),AD532)</f>
        <v>0</v>
      </c>
      <c r="AG532" s="80">
        <f>MAX(0,AD532-MAX(0,AE532))</f>
        <v>0</v>
      </c>
      <c r="AH532" s="80">
        <f>IF(ISNUMBER(B532),IF(AND(INDEX(CFG_WDAYS,WEEKDAY(INT(B532),2))="Sí",IF(D532="proMX",COUNTIFS(FER_F,INT(B532),FER_NLP,"Sí"),COUNTIFS(FER_F,INT(B532),FER_NLM,"Sí"))=0),1,0),0)</f>
        <v>0</v>
      </c>
      <c r="AI532" s="80">
        <f>IF(AC532=1,IF(AND(INDEX(CFG_WDAYS,WEEKDAY(INT(B532)+1,2))="Sí",IF(D532="proMX",COUNTIFS(FER_F,INT(B532)+1,FER_NLP,"Sí"),COUNTIFS(FER_F,INT(B532)+1,FER_NLM,"Sí"))=0),1,0),0)</f>
        <v>0</v>
      </c>
      <c r="AJ532" s="80">
        <f>IF(AC532=1,1440-Z532,AD532)</f>
        <v>0</v>
      </c>
      <c r="AK532" s="80">
        <f>IF(AND(AB532=1,AH532=1),MAX(0,MIN(IF(AC532=1,1440,AA532),CFG_WEM)-MAX(Z532,CFG_WSM)),0)</f>
        <v>0</v>
      </c>
      <c r="AL532" s="80">
        <f>IF(AND(AC532=1,AI532=1),MAX(0,MIN(AA532,CFG_WEM)-CFG_WSM),0)</f>
        <v>0</v>
      </c>
      <c r="AM532" s="80">
        <f>AK532+AL532</f>
        <v>0</v>
      </c>
      <c r="AN532" s="80">
        <f>IF(CFG_BRK="Proporcional",IF(AD532=0,0,AF532*AM532/AD532),IF(CFG_BRK="Extras primero",MIN(AM532,MAX(0,AF532-(AD532-AM532))),MIN(AF532,AM532)))</f>
        <v>0</v>
      </c>
      <c r="AO532" s="80">
        <f>AF532-AN532</f>
        <v>0</v>
      </c>
      <c r="AP532" s="80">
        <f>AM532-AN532</f>
        <v>0</v>
      </c>
      <c r="AQ532" s="80">
        <f>AD532-AM532-AO532</f>
        <v>0</v>
      </c>
      <c r="AR532" s="80">
        <f>IF(AM532=0,0,AK532-AN532*AK532/AM532)</f>
        <v>0</v>
      </c>
      <c r="AS532" s="80">
        <f>IF(AD532-AM532=0,0,(AJ532-AK532)-AO532*(AJ532-AK532)/(AD532-AM532))</f>
        <v>0</v>
      </c>
      <c r="AT532" s="80" t="str">
        <f>IF(AC532=1,INT(B532)+1,"")</f>
        <v/>
      </c>
      <c r="AU532" s="80">
        <f>IF(AND(D532="proMX",R532="Cancelled"),0,1)</f>
        <v>1</v>
      </c>
      <c r="AV532" s="80">
        <f>IF(AND(AB532=1,AU532=1),IF(COUNTIFS($D$5:D531,D532,$B$5:B531,B532,$Z$5:Z531,Z532,$AA$5:AA531,AA532,$F$5:F531,F532&amp;"",$AU$5:AU531,1)&gt;0,1,0),0)</f>
        <v>0</v>
      </c>
      <c r="AW532" s="80" t="str">
        <f>IF(AB532=1,INT(B532)*1440+Z532,"")</f>
        <v/>
      </c>
      <c r="AX532" s="80" t="str">
        <f>IF(AB532=1,AW532+AD532,"")</f>
        <v/>
      </c>
      <c r="AY532" s="80">
        <f>IF(AND(AB532=1,AV532=0,AU532=1),1,0)</f>
        <v>0</v>
      </c>
      <c r="AZ532" s="80">
        <f>IF(AY532=1,COUNTIFS(R_Emp,D532,R_SAbs,"&lt;"&amp;AX532,R_EAbs,"&gt;"&amp;AW532,R_OKey,1)-1,0)</f>
        <v>0</v>
      </c>
      <c r="BA532" s="80">
        <f>IF(AY532=1,COUNTIFS(R_Emp,"&lt;&gt;"&amp;D532,R_SAbs,"&lt;"&amp;AX532,R_EAbs,"&gt;"&amp;AW532,R_OKey,1),0)</f>
        <v>0</v>
      </c>
      <c r="BB532" s="80">
        <f>IF(AND(AB532=1,D532="proMX"),IF(AND(MOD(Z532,CFG_BLK)=0,MOD(AA532,CFG_BLK)=0,MOD(AG532,CFG_BLK)=0,AG532&gt;0),1,0),1)</f>
        <v>1</v>
      </c>
      <c r="BC532" s="80" t="str">
        <f>IF(Y532=0,"",IF(NOT(ISNUMBER(B532)),"Falta fecha o fecha inválida",IF(D532="","Falta empresa",IF(AND(D532&lt;&gt;"Malcolm",D532&lt;&gt;"proMX"),"Empresa inválida",IF(OR(INT(B532)&lt;CFG_PSTART,INT(B532)&gt;CFG_PEND),"Fecha fuera del período",IF(OR(NOT(ISNUMBER(Z532)),NOT(ISNUMBER(AA532))),"Falta hora inicio/fin o formato inválido",IF(AB532=0,"Hora inicio = hora fin",IF(AE532&lt;0,"Descanso inválido",IF(AE532&gt;=AD532,"Descanso ≥ duración",IF(AV532=1,"Registro duplicado",IF(AZ532&gt;0,"Se superpone con otro registro "&amp;D532,IF(BB532=0,"inicio, fin y duración neta deben ser múltiplos de "&amp;CFG_BLK&amp;" min",""))))))))))))</f>
        <v/>
      </c>
      <c r="BD532" s="80">
        <f>IF(AND(Y532=1,BC532=""),1,0)</f>
        <v>0</v>
      </c>
      <c r="BE532" s="80">
        <f>IF(AND(BD532=1,AU532=1),1,0)</f>
        <v>0</v>
      </c>
      <c r="BF532" s="80" t="str">
        <f>IF(AND(D532="proMX",BD532=1),IF(R532="","Draft",R532),"")</f>
        <v/>
      </c>
      <c r="BG532" s="80">
        <f>IF(BD532=1,ROUND(AG532/60,6),0)</f>
        <v>0</v>
      </c>
      <c r="BH532" s="80">
        <f>IF(BE532=1,ROUND(AG532/60,6),0)</f>
        <v>0</v>
      </c>
      <c r="BI532" s="80">
        <f>IF(BE532=1,ROUND(AP532/60,6),0)</f>
        <v>0</v>
      </c>
      <c r="BJ532" s="80">
        <f>IF(BE532=1,ROUND(AQ532/60,6),0)</f>
        <v>0</v>
      </c>
      <c r="BK532" s="80">
        <f>IF(BE532=1,ROUND((AR532+AS532)/60,6),0)</f>
        <v>0</v>
      </c>
      <c r="BL532" s="80">
        <f>ROUND(BH532-BK532,6)</f>
        <v>0</v>
      </c>
      <c r="BM532" s="80">
        <f>IF(BE532=1,ROUND(AR532/60,6),0)</f>
        <v>0</v>
      </c>
      <c r="BN532" s="80">
        <f>ROUND(BI532-BM532,6)</f>
        <v>0</v>
      </c>
      <c r="BO532" s="80">
        <f>IF(BE532=1,ROUND(AS532/60,6),0)</f>
        <v>0</v>
      </c>
      <c r="BP532" s="80">
        <f>ROUND(BJ532-BO532,6)</f>
        <v>0</v>
      </c>
      <c r="BQ532" s="80">
        <f>IF(BE532=1,AW532,0)</f>
        <v>0</v>
      </c>
      <c r="BR532" s="80">
        <f>IF(BE532=1,AX532,0)</f>
        <v>0</v>
      </c>
      <c r="BS532" s="80">
        <f>IF(AND(BE532=1,D532="Malcolm",BA532&gt;0),MIN(BH532,SUMPRODUCT((R_Emp="proMX")*(R_EN&gt;0)*((R_EN-(R_EN&gt;BR532)*(R_EN-BR532))&gt;(R_SN+(R_SN&lt;BQ532)*(BQ532-R_SN)))*((R_EN-(R_EN&gt;BR532)*(R_EN-BR532))-(R_SN+(R_SN&lt;BQ532)*(BQ532-R_SN))))/60),0)</f>
        <v>0</v>
      </c>
      <c r="BT532" s="80">
        <f>IF(AND(BE532=1,D532="proMX"),ROUND(BI532*CFG_RATE+BJ532*CFG_OTRATE,6),0)</f>
        <v>0</v>
      </c>
      <c r="BU532" s="80">
        <f>IF(AND(BD532=1,D532="proMX"),ROUND(AG532/CFG_BLK,6),0)</f>
        <v>0</v>
      </c>
      <c r="BV532" s="80" t="str">
        <f>IF(BF532="Approved",IF(ISNUMBER(T532),INT(T532),INT(B532)),"")</f>
        <v/>
      </c>
      <c r="BW532" s="80">
        <f>IF(ISNUMBER(B532),IF(DB_MON="Todos",1,IF(AND(INT(B532)&gt;=DB_MS,INT(B532)&lt;=DB_ME),1,0)),0)</f>
        <v>0</v>
      </c>
      <c r="BX532" s="80">
        <f>IF(DB_PROJ="Todos",1,IF(E532&amp;""=DB_PROJ&amp;"",1,0))</f>
        <v>1</v>
      </c>
      <c r="BY532" s="80">
        <f>BW532*BX532</f>
        <v>0</v>
      </c>
      <c r="BZ532" s="80" t="str">
        <f>IF(Y532=1,F532&amp;IF(AND(F532&amp;""&lt;&gt;"",E532&amp;""&lt;&gt;"")," · ","")&amp;E532,"")</f>
        <v/>
      </c>
      <c r="CA532" s="80" t="str">
        <f>IF(AND(BD532=1,E532&amp;""&lt;&gt;""),IF(COUNTIFS($E$5:E531,E532,$BD$5:BD531,1)=0,MAX($CA$5:CA531)+1,""),"")</f>
        <v/>
      </c>
      <c r="CB532" s="80" t="str">
        <f>IF(AND(BE532=1,D532="Malcolm",E532&amp;""&lt;&gt;""),IF(COUNTIFS($D$5:D531,"Malcolm",$E$5:E531,E532,$BE$5:BE531,1)=0,MAX($CB$5:CB531)+1,""),"")</f>
        <v/>
      </c>
      <c r="CC532" s="80" t="str">
        <f>IF(AND(BD532=1,D532="proMX",E532&amp;""&lt;&gt;""),IF(COUNTIFS($D$5:D531,"proMX",$E$5:E531,E532,$BD$5:BD531,1)=0,MAX($CC$5:CC531)+1,""),"")</f>
        <v/>
      </c>
      <c r="CD532" s="80" t="str">
        <f>IF(AND(BE532=1,D532="Malcolm",F532&amp;""&lt;&gt;""),IF(COUNTIFS($D$5:D531,"Malcolm",$F$5:F531,F532,$BE$5:BE531,1)=0,MAX($CD$5:CD531)+1,""),"")</f>
        <v/>
      </c>
      <c r="CE532" s="80" t="str">
        <f>IF(AND(BD532=1,D532="proMX",F532&amp;""&lt;&gt;""),IF(COUNTIFS($D$5:D531,"proMX",$F$5:F531,F532,$BD$5:BD531,1)=0,MAX($CE$5:CE531)+1,""),"")</f>
        <v/>
      </c>
      <c r="CF532" s="80" t="str">
        <f>IF(AND(D532="proMX",BD532=1),IF(OR(BF532="Draft",BF532="Submitted",BF532="Returned",BF532="Recall Requested"),MAX($CF$5:CF531)+1,""),"")</f>
        <v/>
      </c>
      <c r="CG532" s="80">
        <f>IF(BD532=0,0,IF(D532="Malcolm",1,MATCH(BF532,{"Draft","Submitted","Approved","Returned","Recall Requested","Cancelled"},0)+1))</f>
        <v>0</v>
      </c>
      <c r="CH532" s="80">
        <f>IF(AND(BF532="Submitted",ISNUMBER(V532)),IF(V532&gt;CFG_MAXD,1,0),0)</f>
        <v>0</v>
      </c>
    </row>
    <row r="533">
      <c r="A533" s="71" t="str">
        <f>IF(Y533=1,ROW()-5,"")</f>
        <v/>
      </c>
      <c r="B533" s="72" t="n"/>
      <c r="C533" s="71" t="str">
        <f>IF(ISNUMBER(B533),CHOOSE(WEEKDAY(B533,2),"Lun","Mar","Mié","Jue","Vie","Sáb","Dom"),"")</f>
        <v/>
      </c>
      <c r="D533" s="73" t="n"/>
      <c r="E533" s="74" t="n"/>
      <c r="F533" s="74" t="n"/>
      <c r="G533" s="74" t="n"/>
      <c r="H533" s="75" t="n"/>
      <c r="I533" s="75" t="n"/>
      <c r="J533" s="76" t="n"/>
      <c r="K533" s="77" t="str">
        <f>IF(AB533=1,ROUND(AG533/60,4),"")</f>
        <v/>
      </c>
      <c r="L533" s="77" t="str">
        <f>IF(BD533=1,ROUND(AP533/60,4),"")</f>
        <v/>
      </c>
      <c r="M533" s="77" t="str">
        <f>IF(BD533=1,ROUND(AQ533/60,4),"")</f>
        <v/>
      </c>
      <c r="N533" s="71" t="str">
        <f>IF(AND(D533="proMX",AB533=1),ROUND(AG533/CFG_BLK,2),"")</f>
        <v/>
      </c>
      <c r="O533" s="77" t="str">
        <f>IF(D533="proMX",IF(BD533=1,ROUND(AG533/60,4),0),"")</f>
        <v/>
      </c>
      <c r="P533" s="78" t="str">
        <f>IF(Y533=0,"",IF(BD533=1,"OK",IF(D533="proMX","Revisar bloques: ","Revisar: ")&amp;BC533))</f>
        <v/>
      </c>
      <c r="Q533" s="78" t="str">
        <f>IF(NOT(ISNUMBER(B533)),"",IF(COUNTIFS(FER_F,INT(B533))&gt;0,"Feriado"&amp;IF(AH533=1," (laborable)"," (no laborable)"),IF(AH533=1,"Laborable",IF(WEEKDAY(B533,2)&gt;5,"Fin de semana","No laborable"))))</f>
        <v/>
      </c>
      <c r="R533" s="73" t="n"/>
      <c r="S533" s="72" t="n"/>
      <c r="T533" s="72" t="n"/>
      <c r="U533" s="74" t="n"/>
      <c r="V533" s="79" t="str">
        <f>IF(AND(D533="proMX",OR(R533="Submitted",R533="Recall Requested"),ISNUMBER(S533)),CFG_TODAY-INT(S533),"")</f>
        <v/>
      </c>
      <c r="W533" s="78" t="str">
        <f>IF(BD533=0,"",IF(BA533&gt;0,"⚠ Se superpone con un registro de la otra empresa",IF(D533="Malcolm",IF(COUNTA(R533,S533,T533)&gt;0,"Estado/fechas proMX se ignoran en Malcolm",""),IF(BF533="Cancelled","Cancelado: excluido de totales",IF(R533="","Sin estado: se trata como Draft",IF(BF533="Submitted",IF(ISNUMBER(V533),IF(V533&gt;CFG_MAXD,"⚠ "&amp;V533&amp;" días en Submitted (máx. "&amp;CFG_MAXD&amp;")",""),"Falta fecha de envío"),IF(BF533="Returned","⚠ Devuelto: corregir y reenviar",IF(BF533="Recall Requested","Retirada solicitada: pendiente",IF(AND(BF533="Approved",NOT(ISNUMBER(T533))),"Falta fecha de aprobación",IF(AND(ISNUMBER(S533),ISNUMBER(T533),T533&lt;S533),"Aprobación anterior al envío","")))))))))</f>
        <v/>
      </c>
      <c r="Y533" s="80">
        <f>IF(COUNTA(B533,D533,E533,F533,G533,H533,I533,J533,R533,S533,T533)&gt;0,1,0)</f>
        <v>0</v>
      </c>
      <c r="Z533" s="80" t="str">
        <f>IF(AND(ISNUMBER(H533),H533&gt;=0,H533&lt;1),ROUND(H533*1440,0),"")</f>
        <v/>
      </c>
      <c r="AA533" s="80" t="str">
        <f>IF(AND(ISNUMBER(I533),I533&gt;=0,I533&lt;1),ROUND(I533*1440,0),"")</f>
        <v/>
      </c>
      <c r="AB533" s="80">
        <f>IF(AND(ISNUMBER(B533),D533&lt;&gt;"",ISNUMBER(Z533),ISNUMBER(AA533)),IF(Z533=AA533,0,1),0)</f>
        <v>0</v>
      </c>
      <c r="AC533" s="80">
        <f>IF(AB533=1,IF(AA533&lt;Z533,1,0),0)</f>
        <v>0</v>
      </c>
      <c r="AD533" s="80">
        <f>IF(AB533=1,IF(AC533=1,1440-Z533+AA533,AA533-Z533),0)</f>
        <v>0</v>
      </c>
      <c r="AE533" s="80">
        <f>IF(J533="",0,IF(ISNUMBER(J533),J533,-1))</f>
        <v>0</v>
      </c>
      <c r="AF533" s="80">
        <f>MIN(MAX(0,AE533),AD533)</f>
        <v>0</v>
      </c>
      <c r="AG533" s="80">
        <f>MAX(0,AD533-MAX(0,AE533))</f>
        <v>0</v>
      </c>
      <c r="AH533" s="80">
        <f>IF(ISNUMBER(B533),IF(AND(INDEX(CFG_WDAYS,WEEKDAY(INT(B533),2))="Sí",IF(D533="proMX",COUNTIFS(FER_F,INT(B533),FER_NLP,"Sí"),COUNTIFS(FER_F,INT(B533),FER_NLM,"Sí"))=0),1,0),0)</f>
        <v>0</v>
      </c>
      <c r="AI533" s="80">
        <f>IF(AC533=1,IF(AND(INDEX(CFG_WDAYS,WEEKDAY(INT(B533)+1,2))="Sí",IF(D533="proMX",COUNTIFS(FER_F,INT(B533)+1,FER_NLP,"Sí"),COUNTIFS(FER_F,INT(B533)+1,FER_NLM,"Sí"))=0),1,0),0)</f>
        <v>0</v>
      </c>
      <c r="AJ533" s="80">
        <f>IF(AC533=1,1440-Z533,AD533)</f>
        <v>0</v>
      </c>
      <c r="AK533" s="80">
        <f>IF(AND(AB533=1,AH533=1),MAX(0,MIN(IF(AC533=1,1440,AA533),CFG_WEM)-MAX(Z533,CFG_WSM)),0)</f>
        <v>0</v>
      </c>
      <c r="AL533" s="80">
        <f>IF(AND(AC533=1,AI533=1),MAX(0,MIN(AA533,CFG_WEM)-CFG_WSM),0)</f>
        <v>0</v>
      </c>
      <c r="AM533" s="80">
        <f>AK533+AL533</f>
        <v>0</v>
      </c>
      <c r="AN533" s="80">
        <f>IF(CFG_BRK="Proporcional",IF(AD533=0,0,AF533*AM533/AD533),IF(CFG_BRK="Extras primero",MIN(AM533,MAX(0,AF533-(AD533-AM533))),MIN(AF533,AM533)))</f>
        <v>0</v>
      </c>
      <c r="AO533" s="80">
        <f>AF533-AN533</f>
        <v>0</v>
      </c>
      <c r="AP533" s="80">
        <f>AM533-AN533</f>
        <v>0</v>
      </c>
      <c r="AQ533" s="80">
        <f>AD533-AM533-AO533</f>
        <v>0</v>
      </c>
      <c r="AR533" s="80">
        <f>IF(AM533=0,0,AK533-AN533*AK533/AM533)</f>
        <v>0</v>
      </c>
      <c r="AS533" s="80">
        <f>IF(AD533-AM533=0,0,(AJ533-AK533)-AO533*(AJ533-AK533)/(AD533-AM533))</f>
        <v>0</v>
      </c>
      <c r="AT533" s="80" t="str">
        <f>IF(AC533=1,INT(B533)+1,"")</f>
        <v/>
      </c>
      <c r="AU533" s="80">
        <f>IF(AND(D533="proMX",R533="Cancelled"),0,1)</f>
        <v>1</v>
      </c>
      <c r="AV533" s="80">
        <f>IF(AND(AB533=1,AU533=1),IF(COUNTIFS($D$5:D532,D533,$B$5:B532,B533,$Z$5:Z532,Z533,$AA$5:AA532,AA533,$F$5:F532,F533&amp;"",$AU$5:AU532,1)&gt;0,1,0),0)</f>
        <v>0</v>
      </c>
      <c r="AW533" s="80" t="str">
        <f>IF(AB533=1,INT(B533)*1440+Z533,"")</f>
        <v/>
      </c>
      <c r="AX533" s="80" t="str">
        <f>IF(AB533=1,AW533+AD533,"")</f>
        <v/>
      </c>
      <c r="AY533" s="80">
        <f>IF(AND(AB533=1,AV533=0,AU533=1),1,0)</f>
        <v>0</v>
      </c>
      <c r="AZ533" s="80">
        <f>IF(AY533=1,COUNTIFS(R_Emp,D533,R_SAbs,"&lt;"&amp;AX533,R_EAbs,"&gt;"&amp;AW533,R_OKey,1)-1,0)</f>
        <v>0</v>
      </c>
      <c r="BA533" s="80">
        <f>IF(AY533=1,COUNTIFS(R_Emp,"&lt;&gt;"&amp;D533,R_SAbs,"&lt;"&amp;AX533,R_EAbs,"&gt;"&amp;AW533,R_OKey,1),0)</f>
        <v>0</v>
      </c>
      <c r="BB533" s="80">
        <f>IF(AND(AB533=1,D533="proMX"),IF(AND(MOD(Z533,CFG_BLK)=0,MOD(AA533,CFG_BLK)=0,MOD(AG533,CFG_BLK)=0,AG533&gt;0),1,0),1)</f>
        <v>1</v>
      </c>
      <c r="BC533" s="80" t="str">
        <f>IF(Y533=0,"",IF(NOT(ISNUMBER(B533)),"Falta fecha o fecha inválida",IF(D533="","Falta empresa",IF(AND(D533&lt;&gt;"Malcolm",D533&lt;&gt;"proMX"),"Empresa inválida",IF(OR(INT(B533)&lt;CFG_PSTART,INT(B533)&gt;CFG_PEND),"Fecha fuera del período",IF(OR(NOT(ISNUMBER(Z533)),NOT(ISNUMBER(AA533))),"Falta hora inicio/fin o formato inválido",IF(AB533=0,"Hora inicio = hora fin",IF(AE533&lt;0,"Descanso inválido",IF(AE533&gt;=AD533,"Descanso ≥ duración",IF(AV533=1,"Registro duplicado",IF(AZ533&gt;0,"Se superpone con otro registro "&amp;D533,IF(BB533=0,"inicio, fin y duración neta deben ser múltiplos de "&amp;CFG_BLK&amp;" min",""))))))))))))</f>
        <v/>
      </c>
      <c r="BD533" s="80">
        <f>IF(AND(Y533=1,BC533=""),1,0)</f>
        <v>0</v>
      </c>
      <c r="BE533" s="80">
        <f>IF(AND(BD533=1,AU533=1),1,0)</f>
        <v>0</v>
      </c>
      <c r="BF533" s="80" t="str">
        <f>IF(AND(D533="proMX",BD533=1),IF(R533="","Draft",R533),"")</f>
        <v/>
      </c>
      <c r="BG533" s="80">
        <f>IF(BD533=1,ROUND(AG533/60,6),0)</f>
        <v>0</v>
      </c>
      <c r="BH533" s="80">
        <f>IF(BE533=1,ROUND(AG533/60,6),0)</f>
        <v>0</v>
      </c>
      <c r="BI533" s="80">
        <f>IF(BE533=1,ROUND(AP533/60,6),0)</f>
        <v>0</v>
      </c>
      <c r="BJ533" s="80">
        <f>IF(BE533=1,ROUND(AQ533/60,6),0)</f>
        <v>0</v>
      </c>
      <c r="BK533" s="80">
        <f>IF(BE533=1,ROUND((AR533+AS533)/60,6),0)</f>
        <v>0</v>
      </c>
      <c r="BL533" s="80">
        <f>ROUND(BH533-BK533,6)</f>
        <v>0</v>
      </c>
      <c r="BM533" s="80">
        <f>IF(BE533=1,ROUND(AR533/60,6),0)</f>
        <v>0</v>
      </c>
      <c r="BN533" s="80">
        <f>ROUND(BI533-BM533,6)</f>
        <v>0</v>
      </c>
      <c r="BO533" s="80">
        <f>IF(BE533=1,ROUND(AS533/60,6),0)</f>
        <v>0</v>
      </c>
      <c r="BP533" s="80">
        <f>ROUND(BJ533-BO533,6)</f>
        <v>0</v>
      </c>
      <c r="BQ533" s="80">
        <f>IF(BE533=1,AW533,0)</f>
        <v>0</v>
      </c>
      <c r="BR533" s="80">
        <f>IF(BE533=1,AX533,0)</f>
        <v>0</v>
      </c>
      <c r="BS533" s="80">
        <f>IF(AND(BE533=1,D533="Malcolm",BA533&gt;0),MIN(BH533,SUMPRODUCT((R_Emp="proMX")*(R_EN&gt;0)*((R_EN-(R_EN&gt;BR533)*(R_EN-BR533))&gt;(R_SN+(R_SN&lt;BQ533)*(BQ533-R_SN)))*((R_EN-(R_EN&gt;BR533)*(R_EN-BR533))-(R_SN+(R_SN&lt;BQ533)*(BQ533-R_SN))))/60),0)</f>
        <v>0</v>
      </c>
      <c r="BT533" s="80">
        <f>IF(AND(BE533=1,D533="proMX"),ROUND(BI533*CFG_RATE+BJ533*CFG_OTRATE,6),0)</f>
        <v>0</v>
      </c>
      <c r="BU533" s="80">
        <f>IF(AND(BD533=1,D533="proMX"),ROUND(AG533/CFG_BLK,6),0)</f>
        <v>0</v>
      </c>
      <c r="BV533" s="80" t="str">
        <f>IF(BF533="Approved",IF(ISNUMBER(T533),INT(T533),INT(B533)),"")</f>
        <v/>
      </c>
      <c r="BW533" s="80">
        <f>IF(ISNUMBER(B533),IF(DB_MON="Todos",1,IF(AND(INT(B533)&gt;=DB_MS,INT(B533)&lt;=DB_ME),1,0)),0)</f>
        <v>0</v>
      </c>
      <c r="BX533" s="80">
        <f>IF(DB_PROJ="Todos",1,IF(E533&amp;""=DB_PROJ&amp;"",1,0))</f>
        <v>1</v>
      </c>
      <c r="BY533" s="80">
        <f>BW533*BX533</f>
        <v>0</v>
      </c>
      <c r="BZ533" s="80" t="str">
        <f>IF(Y533=1,F533&amp;IF(AND(F533&amp;""&lt;&gt;"",E533&amp;""&lt;&gt;"")," · ","")&amp;E533,"")</f>
        <v/>
      </c>
      <c r="CA533" s="80" t="str">
        <f>IF(AND(BD533=1,E533&amp;""&lt;&gt;""),IF(COUNTIFS($E$5:E532,E533,$BD$5:BD532,1)=0,MAX($CA$5:CA532)+1,""),"")</f>
        <v/>
      </c>
      <c r="CB533" s="80" t="str">
        <f>IF(AND(BE533=1,D533="Malcolm",E533&amp;""&lt;&gt;""),IF(COUNTIFS($D$5:D532,"Malcolm",$E$5:E532,E533,$BE$5:BE532,1)=0,MAX($CB$5:CB532)+1,""),"")</f>
        <v/>
      </c>
      <c r="CC533" s="80" t="str">
        <f>IF(AND(BD533=1,D533="proMX",E533&amp;""&lt;&gt;""),IF(COUNTIFS($D$5:D532,"proMX",$E$5:E532,E533,$BD$5:BD532,1)=0,MAX($CC$5:CC532)+1,""),"")</f>
        <v/>
      </c>
      <c r="CD533" s="80" t="str">
        <f>IF(AND(BE533=1,D533="Malcolm",F533&amp;""&lt;&gt;""),IF(COUNTIFS($D$5:D532,"Malcolm",$F$5:F532,F533,$BE$5:BE532,1)=0,MAX($CD$5:CD532)+1,""),"")</f>
        <v/>
      </c>
      <c r="CE533" s="80" t="str">
        <f>IF(AND(BD533=1,D533="proMX",F533&amp;""&lt;&gt;""),IF(COUNTIFS($D$5:D532,"proMX",$F$5:F532,F533,$BD$5:BD532,1)=0,MAX($CE$5:CE532)+1,""),"")</f>
        <v/>
      </c>
      <c r="CF533" s="80" t="str">
        <f>IF(AND(D533="proMX",BD533=1),IF(OR(BF533="Draft",BF533="Submitted",BF533="Returned",BF533="Recall Requested"),MAX($CF$5:CF532)+1,""),"")</f>
        <v/>
      </c>
      <c r="CG533" s="80">
        <f>IF(BD533=0,0,IF(D533="Malcolm",1,MATCH(BF533,{"Draft","Submitted","Approved","Returned","Recall Requested","Cancelled"},0)+1))</f>
        <v>0</v>
      </c>
      <c r="CH533" s="80">
        <f>IF(AND(BF533="Submitted",ISNUMBER(V533)),IF(V533&gt;CFG_MAXD,1,0),0)</f>
        <v>0</v>
      </c>
    </row>
    <row r="534">
      <c r="A534" s="71" t="str">
        <f>IF(Y534=1,ROW()-5,"")</f>
        <v/>
      </c>
      <c r="B534" s="72" t="n"/>
      <c r="C534" s="71" t="str">
        <f>IF(ISNUMBER(B534),CHOOSE(WEEKDAY(B534,2),"Lun","Mar","Mié","Jue","Vie","Sáb","Dom"),"")</f>
        <v/>
      </c>
      <c r="D534" s="73" t="n"/>
      <c r="E534" s="74" t="n"/>
      <c r="F534" s="74" t="n"/>
      <c r="G534" s="74" t="n"/>
      <c r="H534" s="75" t="n"/>
      <c r="I534" s="75" t="n"/>
      <c r="J534" s="76" t="n"/>
      <c r="K534" s="77" t="str">
        <f>IF(AB534=1,ROUND(AG534/60,4),"")</f>
        <v/>
      </c>
      <c r="L534" s="77" t="str">
        <f>IF(BD534=1,ROUND(AP534/60,4),"")</f>
        <v/>
      </c>
      <c r="M534" s="77" t="str">
        <f>IF(BD534=1,ROUND(AQ534/60,4),"")</f>
        <v/>
      </c>
      <c r="N534" s="71" t="str">
        <f>IF(AND(D534="proMX",AB534=1),ROUND(AG534/CFG_BLK,2),"")</f>
        <v/>
      </c>
      <c r="O534" s="77" t="str">
        <f>IF(D534="proMX",IF(BD534=1,ROUND(AG534/60,4),0),"")</f>
        <v/>
      </c>
      <c r="P534" s="78" t="str">
        <f>IF(Y534=0,"",IF(BD534=1,"OK",IF(D534="proMX","Revisar bloques: ","Revisar: ")&amp;BC534))</f>
        <v/>
      </c>
      <c r="Q534" s="78" t="str">
        <f>IF(NOT(ISNUMBER(B534)),"",IF(COUNTIFS(FER_F,INT(B534))&gt;0,"Feriado"&amp;IF(AH534=1," (laborable)"," (no laborable)"),IF(AH534=1,"Laborable",IF(WEEKDAY(B534,2)&gt;5,"Fin de semana","No laborable"))))</f>
        <v/>
      </c>
      <c r="R534" s="73" t="n"/>
      <c r="S534" s="72" t="n"/>
      <c r="T534" s="72" t="n"/>
      <c r="U534" s="74" t="n"/>
      <c r="V534" s="79" t="str">
        <f>IF(AND(D534="proMX",OR(R534="Submitted",R534="Recall Requested"),ISNUMBER(S534)),CFG_TODAY-INT(S534),"")</f>
        <v/>
      </c>
      <c r="W534" s="78" t="str">
        <f>IF(BD534=0,"",IF(BA534&gt;0,"⚠ Se superpone con un registro de la otra empresa",IF(D534="Malcolm",IF(COUNTA(R534,S534,T534)&gt;0,"Estado/fechas proMX se ignoran en Malcolm",""),IF(BF534="Cancelled","Cancelado: excluido de totales",IF(R534="","Sin estado: se trata como Draft",IF(BF534="Submitted",IF(ISNUMBER(V534),IF(V534&gt;CFG_MAXD,"⚠ "&amp;V534&amp;" días en Submitted (máx. "&amp;CFG_MAXD&amp;")",""),"Falta fecha de envío"),IF(BF534="Returned","⚠ Devuelto: corregir y reenviar",IF(BF534="Recall Requested","Retirada solicitada: pendiente",IF(AND(BF534="Approved",NOT(ISNUMBER(T534))),"Falta fecha de aprobación",IF(AND(ISNUMBER(S534),ISNUMBER(T534),T534&lt;S534),"Aprobación anterior al envío","")))))))))</f>
        <v/>
      </c>
      <c r="Y534" s="80">
        <f>IF(COUNTA(B534,D534,E534,F534,G534,H534,I534,J534,R534,S534,T534)&gt;0,1,0)</f>
        <v>0</v>
      </c>
      <c r="Z534" s="80" t="str">
        <f>IF(AND(ISNUMBER(H534),H534&gt;=0,H534&lt;1),ROUND(H534*1440,0),"")</f>
        <v/>
      </c>
      <c r="AA534" s="80" t="str">
        <f>IF(AND(ISNUMBER(I534),I534&gt;=0,I534&lt;1),ROUND(I534*1440,0),"")</f>
        <v/>
      </c>
      <c r="AB534" s="80">
        <f>IF(AND(ISNUMBER(B534),D534&lt;&gt;"",ISNUMBER(Z534),ISNUMBER(AA534)),IF(Z534=AA534,0,1),0)</f>
        <v>0</v>
      </c>
      <c r="AC534" s="80">
        <f>IF(AB534=1,IF(AA534&lt;Z534,1,0),0)</f>
        <v>0</v>
      </c>
      <c r="AD534" s="80">
        <f>IF(AB534=1,IF(AC534=1,1440-Z534+AA534,AA534-Z534),0)</f>
        <v>0</v>
      </c>
      <c r="AE534" s="80">
        <f>IF(J534="",0,IF(ISNUMBER(J534),J534,-1))</f>
        <v>0</v>
      </c>
      <c r="AF534" s="80">
        <f>MIN(MAX(0,AE534),AD534)</f>
        <v>0</v>
      </c>
      <c r="AG534" s="80">
        <f>MAX(0,AD534-MAX(0,AE534))</f>
        <v>0</v>
      </c>
      <c r="AH534" s="80">
        <f>IF(ISNUMBER(B534),IF(AND(INDEX(CFG_WDAYS,WEEKDAY(INT(B534),2))="Sí",IF(D534="proMX",COUNTIFS(FER_F,INT(B534),FER_NLP,"Sí"),COUNTIFS(FER_F,INT(B534),FER_NLM,"Sí"))=0),1,0),0)</f>
        <v>0</v>
      </c>
      <c r="AI534" s="80">
        <f>IF(AC534=1,IF(AND(INDEX(CFG_WDAYS,WEEKDAY(INT(B534)+1,2))="Sí",IF(D534="proMX",COUNTIFS(FER_F,INT(B534)+1,FER_NLP,"Sí"),COUNTIFS(FER_F,INT(B534)+1,FER_NLM,"Sí"))=0),1,0),0)</f>
        <v>0</v>
      </c>
      <c r="AJ534" s="80">
        <f>IF(AC534=1,1440-Z534,AD534)</f>
        <v>0</v>
      </c>
      <c r="AK534" s="80">
        <f>IF(AND(AB534=1,AH534=1),MAX(0,MIN(IF(AC534=1,1440,AA534),CFG_WEM)-MAX(Z534,CFG_WSM)),0)</f>
        <v>0</v>
      </c>
      <c r="AL534" s="80">
        <f>IF(AND(AC534=1,AI534=1),MAX(0,MIN(AA534,CFG_WEM)-CFG_WSM),0)</f>
        <v>0</v>
      </c>
      <c r="AM534" s="80">
        <f>AK534+AL534</f>
        <v>0</v>
      </c>
      <c r="AN534" s="80">
        <f>IF(CFG_BRK="Proporcional",IF(AD534=0,0,AF534*AM534/AD534),IF(CFG_BRK="Extras primero",MIN(AM534,MAX(0,AF534-(AD534-AM534))),MIN(AF534,AM534)))</f>
        <v>0</v>
      </c>
      <c r="AO534" s="80">
        <f>AF534-AN534</f>
        <v>0</v>
      </c>
      <c r="AP534" s="80">
        <f>AM534-AN534</f>
        <v>0</v>
      </c>
      <c r="AQ534" s="80">
        <f>AD534-AM534-AO534</f>
        <v>0</v>
      </c>
      <c r="AR534" s="80">
        <f>IF(AM534=0,0,AK534-AN534*AK534/AM534)</f>
        <v>0</v>
      </c>
      <c r="AS534" s="80">
        <f>IF(AD534-AM534=0,0,(AJ534-AK534)-AO534*(AJ534-AK534)/(AD534-AM534))</f>
        <v>0</v>
      </c>
      <c r="AT534" s="80" t="str">
        <f>IF(AC534=1,INT(B534)+1,"")</f>
        <v/>
      </c>
      <c r="AU534" s="80">
        <f>IF(AND(D534="proMX",R534="Cancelled"),0,1)</f>
        <v>1</v>
      </c>
      <c r="AV534" s="80">
        <f>IF(AND(AB534=1,AU534=1),IF(COUNTIFS($D$5:D533,D534,$B$5:B533,B534,$Z$5:Z533,Z534,$AA$5:AA533,AA534,$F$5:F533,F534&amp;"",$AU$5:AU533,1)&gt;0,1,0),0)</f>
        <v>0</v>
      </c>
      <c r="AW534" s="80" t="str">
        <f>IF(AB534=1,INT(B534)*1440+Z534,"")</f>
        <v/>
      </c>
      <c r="AX534" s="80" t="str">
        <f>IF(AB534=1,AW534+AD534,"")</f>
        <v/>
      </c>
      <c r="AY534" s="80">
        <f>IF(AND(AB534=1,AV534=0,AU534=1),1,0)</f>
        <v>0</v>
      </c>
      <c r="AZ534" s="80">
        <f>IF(AY534=1,COUNTIFS(R_Emp,D534,R_SAbs,"&lt;"&amp;AX534,R_EAbs,"&gt;"&amp;AW534,R_OKey,1)-1,0)</f>
        <v>0</v>
      </c>
      <c r="BA534" s="80">
        <f>IF(AY534=1,COUNTIFS(R_Emp,"&lt;&gt;"&amp;D534,R_SAbs,"&lt;"&amp;AX534,R_EAbs,"&gt;"&amp;AW534,R_OKey,1),0)</f>
        <v>0</v>
      </c>
      <c r="BB534" s="80">
        <f>IF(AND(AB534=1,D534="proMX"),IF(AND(MOD(Z534,CFG_BLK)=0,MOD(AA534,CFG_BLK)=0,MOD(AG534,CFG_BLK)=0,AG534&gt;0),1,0),1)</f>
        <v>1</v>
      </c>
      <c r="BC534" s="80" t="str">
        <f>IF(Y534=0,"",IF(NOT(ISNUMBER(B534)),"Falta fecha o fecha inválida",IF(D534="","Falta empresa",IF(AND(D534&lt;&gt;"Malcolm",D534&lt;&gt;"proMX"),"Empresa inválida",IF(OR(INT(B534)&lt;CFG_PSTART,INT(B534)&gt;CFG_PEND),"Fecha fuera del período",IF(OR(NOT(ISNUMBER(Z534)),NOT(ISNUMBER(AA534))),"Falta hora inicio/fin o formato inválido",IF(AB534=0,"Hora inicio = hora fin",IF(AE534&lt;0,"Descanso inválido",IF(AE534&gt;=AD534,"Descanso ≥ duración",IF(AV534=1,"Registro duplicado",IF(AZ534&gt;0,"Se superpone con otro registro "&amp;D534,IF(BB534=0,"inicio, fin y duración neta deben ser múltiplos de "&amp;CFG_BLK&amp;" min",""))))))))))))</f>
        <v/>
      </c>
      <c r="BD534" s="80">
        <f>IF(AND(Y534=1,BC534=""),1,0)</f>
        <v>0</v>
      </c>
      <c r="BE534" s="80">
        <f>IF(AND(BD534=1,AU534=1),1,0)</f>
        <v>0</v>
      </c>
      <c r="BF534" s="80" t="str">
        <f>IF(AND(D534="proMX",BD534=1),IF(R534="","Draft",R534),"")</f>
        <v/>
      </c>
      <c r="BG534" s="80">
        <f>IF(BD534=1,ROUND(AG534/60,6),0)</f>
        <v>0</v>
      </c>
      <c r="BH534" s="80">
        <f>IF(BE534=1,ROUND(AG534/60,6),0)</f>
        <v>0</v>
      </c>
      <c r="BI534" s="80">
        <f>IF(BE534=1,ROUND(AP534/60,6),0)</f>
        <v>0</v>
      </c>
      <c r="BJ534" s="80">
        <f>IF(BE534=1,ROUND(AQ534/60,6),0)</f>
        <v>0</v>
      </c>
      <c r="BK534" s="80">
        <f>IF(BE534=1,ROUND((AR534+AS534)/60,6),0)</f>
        <v>0</v>
      </c>
      <c r="BL534" s="80">
        <f>ROUND(BH534-BK534,6)</f>
        <v>0</v>
      </c>
      <c r="BM534" s="80">
        <f>IF(BE534=1,ROUND(AR534/60,6),0)</f>
        <v>0</v>
      </c>
      <c r="BN534" s="80">
        <f>ROUND(BI534-BM534,6)</f>
        <v>0</v>
      </c>
      <c r="BO534" s="80">
        <f>IF(BE534=1,ROUND(AS534/60,6),0)</f>
        <v>0</v>
      </c>
      <c r="BP534" s="80">
        <f>ROUND(BJ534-BO534,6)</f>
        <v>0</v>
      </c>
      <c r="BQ534" s="80">
        <f>IF(BE534=1,AW534,0)</f>
        <v>0</v>
      </c>
      <c r="BR534" s="80">
        <f>IF(BE534=1,AX534,0)</f>
        <v>0</v>
      </c>
      <c r="BS534" s="80">
        <f>IF(AND(BE534=1,D534="Malcolm",BA534&gt;0),MIN(BH534,SUMPRODUCT((R_Emp="proMX")*(R_EN&gt;0)*((R_EN-(R_EN&gt;BR534)*(R_EN-BR534))&gt;(R_SN+(R_SN&lt;BQ534)*(BQ534-R_SN)))*((R_EN-(R_EN&gt;BR534)*(R_EN-BR534))-(R_SN+(R_SN&lt;BQ534)*(BQ534-R_SN))))/60),0)</f>
        <v>0</v>
      </c>
      <c r="BT534" s="80">
        <f>IF(AND(BE534=1,D534="proMX"),ROUND(BI534*CFG_RATE+BJ534*CFG_OTRATE,6),0)</f>
        <v>0</v>
      </c>
      <c r="BU534" s="80">
        <f>IF(AND(BD534=1,D534="proMX"),ROUND(AG534/CFG_BLK,6),0)</f>
        <v>0</v>
      </c>
      <c r="BV534" s="80" t="str">
        <f>IF(BF534="Approved",IF(ISNUMBER(T534),INT(T534),INT(B534)),"")</f>
        <v/>
      </c>
      <c r="BW534" s="80">
        <f>IF(ISNUMBER(B534),IF(DB_MON="Todos",1,IF(AND(INT(B534)&gt;=DB_MS,INT(B534)&lt;=DB_ME),1,0)),0)</f>
        <v>0</v>
      </c>
      <c r="BX534" s="80">
        <f>IF(DB_PROJ="Todos",1,IF(E534&amp;""=DB_PROJ&amp;"",1,0))</f>
        <v>1</v>
      </c>
      <c r="BY534" s="80">
        <f>BW534*BX534</f>
        <v>0</v>
      </c>
      <c r="BZ534" s="80" t="str">
        <f>IF(Y534=1,F534&amp;IF(AND(F534&amp;""&lt;&gt;"",E534&amp;""&lt;&gt;"")," · ","")&amp;E534,"")</f>
        <v/>
      </c>
      <c r="CA534" s="80" t="str">
        <f>IF(AND(BD534=1,E534&amp;""&lt;&gt;""),IF(COUNTIFS($E$5:E533,E534,$BD$5:BD533,1)=0,MAX($CA$5:CA533)+1,""),"")</f>
        <v/>
      </c>
      <c r="CB534" s="80" t="str">
        <f>IF(AND(BE534=1,D534="Malcolm",E534&amp;""&lt;&gt;""),IF(COUNTIFS($D$5:D533,"Malcolm",$E$5:E533,E534,$BE$5:BE533,1)=0,MAX($CB$5:CB533)+1,""),"")</f>
        <v/>
      </c>
      <c r="CC534" s="80" t="str">
        <f>IF(AND(BD534=1,D534="proMX",E534&amp;""&lt;&gt;""),IF(COUNTIFS($D$5:D533,"proMX",$E$5:E533,E534,$BD$5:BD533,1)=0,MAX($CC$5:CC533)+1,""),"")</f>
        <v/>
      </c>
      <c r="CD534" s="80" t="str">
        <f>IF(AND(BE534=1,D534="Malcolm",F534&amp;""&lt;&gt;""),IF(COUNTIFS($D$5:D533,"Malcolm",$F$5:F533,F534,$BE$5:BE533,1)=0,MAX($CD$5:CD533)+1,""),"")</f>
        <v/>
      </c>
      <c r="CE534" s="80" t="str">
        <f>IF(AND(BD534=1,D534="proMX",F534&amp;""&lt;&gt;""),IF(COUNTIFS($D$5:D533,"proMX",$F$5:F533,F534,$BD$5:BD533,1)=0,MAX($CE$5:CE533)+1,""),"")</f>
        <v/>
      </c>
      <c r="CF534" s="80" t="str">
        <f>IF(AND(D534="proMX",BD534=1),IF(OR(BF534="Draft",BF534="Submitted",BF534="Returned",BF534="Recall Requested"),MAX($CF$5:CF533)+1,""),"")</f>
        <v/>
      </c>
      <c r="CG534" s="80">
        <f>IF(BD534=0,0,IF(D534="Malcolm",1,MATCH(BF534,{"Draft","Submitted","Approved","Returned","Recall Requested","Cancelled"},0)+1))</f>
        <v>0</v>
      </c>
      <c r="CH534" s="80">
        <f>IF(AND(BF534="Submitted",ISNUMBER(V534)),IF(V534&gt;CFG_MAXD,1,0),0)</f>
        <v>0</v>
      </c>
    </row>
    <row r="535">
      <c r="A535" s="71" t="str">
        <f>IF(Y535=1,ROW()-5,"")</f>
        <v/>
      </c>
      <c r="B535" s="72" t="n"/>
      <c r="C535" s="71" t="str">
        <f>IF(ISNUMBER(B535),CHOOSE(WEEKDAY(B535,2),"Lun","Mar","Mié","Jue","Vie","Sáb","Dom"),"")</f>
        <v/>
      </c>
      <c r="D535" s="73" t="n"/>
      <c r="E535" s="74" t="n"/>
      <c r="F535" s="74" t="n"/>
      <c r="G535" s="74" t="n"/>
      <c r="H535" s="75" t="n"/>
      <c r="I535" s="75" t="n"/>
      <c r="J535" s="76" t="n"/>
      <c r="K535" s="77" t="str">
        <f>IF(AB535=1,ROUND(AG535/60,4),"")</f>
        <v/>
      </c>
      <c r="L535" s="77" t="str">
        <f>IF(BD535=1,ROUND(AP535/60,4),"")</f>
        <v/>
      </c>
      <c r="M535" s="77" t="str">
        <f>IF(BD535=1,ROUND(AQ535/60,4),"")</f>
        <v/>
      </c>
      <c r="N535" s="71" t="str">
        <f>IF(AND(D535="proMX",AB535=1),ROUND(AG535/CFG_BLK,2),"")</f>
        <v/>
      </c>
      <c r="O535" s="77" t="str">
        <f>IF(D535="proMX",IF(BD535=1,ROUND(AG535/60,4),0),"")</f>
        <v/>
      </c>
      <c r="P535" s="78" t="str">
        <f>IF(Y535=0,"",IF(BD535=1,"OK",IF(D535="proMX","Revisar bloques: ","Revisar: ")&amp;BC535))</f>
        <v/>
      </c>
      <c r="Q535" s="78" t="str">
        <f>IF(NOT(ISNUMBER(B535)),"",IF(COUNTIFS(FER_F,INT(B535))&gt;0,"Feriado"&amp;IF(AH535=1," (laborable)"," (no laborable)"),IF(AH535=1,"Laborable",IF(WEEKDAY(B535,2)&gt;5,"Fin de semana","No laborable"))))</f>
        <v/>
      </c>
      <c r="R535" s="73" t="n"/>
      <c r="S535" s="72" t="n"/>
      <c r="T535" s="72" t="n"/>
      <c r="U535" s="74" t="n"/>
      <c r="V535" s="79" t="str">
        <f>IF(AND(D535="proMX",OR(R535="Submitted",R535="Recall Requested"),ISNUMBER(S535)),CFG_TODAY-INT(S535),"")</f>
        <v/>
      </c>
      <c r="W535" s="78" t="str">
        <f>IF(BD535=0,"",IF(BA535&gt;0,"⚠ Se superpone con un registro de la otra empresa",IF(D535="Malcolm",IF(COUNTA(R535,S535,T535)&gt;0,"Estado/fechas proMX se ignoran en Malcolm",""),IF(BF535="Cancelled","Cancelado: excluido de totales",IF(R535="","Sin estado: se trata como Draft",IF(BF535="Submitted",IF(ISNUMBER(V535),IF(V535&gt;CFG_MAXD,"⚠ "&amp;V535&amp;" días en Submitted (máx. "&amp;CFG_MAXD&amp;")",""),"Falta fecha de envío"),IF(BF535="Returned","⚠ Devuelto: corregir y reenviar",IF(BF535="Recall Requested","Retirada solicitada: pendiente",IF(AND(BF535="Approved",NOT(ISNUMBER(T535))),"Falta fecha de aprobación",IF(AND(ISNUMBER(S535),ISNUMBER(T535),T535&lt;S535),"Aprobación anterior al envío","")))))))))</f>
        <v/>
      </c>
      <c r="Y535" s="80">
        <f>IF(COUNTA(B535,D535,E535,F535,G535,H535,I535,J535,R535,S535,T535)&gt;0,1,0)</f>
        <v>0</v>
      </c>
      <c r="Z535" s="80" t="str">
        <f>IF(AND(ISNUMBER(H535),H535&gt;=0,H535&lt;1),ROUND(H535*1440,0),"")</f>
        <v/>
      </c>
      <c r="AA535" s="80" t="str">
        <f>IF(AND(ISNUMBER(I535),I535&gt;=0,I535&lt;1),ROUND(I535*1440,0),"")</f>
        <v/>
      </c>
      <c r="AB535" s="80">
        <f>IF(AND(ISNUMBER(B535),D535&lt;&gt;"",ISNUMBER(Z535),ISNUMBER(AA535)),IF(Z535=AA535,0,1),0)</f>
        <v>0</v>
      </c>
      <c r="AC535" s="80">
        <f>IF(AB535=1,IF(AA535&lt;Z535,1,0),0)</f>
        <v>0</v>
      </c>
      <c r="AD535" s="80">
        <f>IF(AB535=1,IF(AC535=1,1440-Z535+AA535,AA535-Z535),0)</f>
        <v>0</v>
      </c>
      <c r="AE535" s="80">
        <f>IF(J535="",0,IF(ISNUMBER(J535),J535,-1))</f>
        <v>0</v>
      </c>
      <c r="AF535" s="80">
        <f>MIN(MAX(0,AE535),AD535)</f>
        <v>0</v>
      </c>
      <c r="AG535" s="80">
        <f>MAX(0,AD535-MAX(0,AE535))</f>
        <v>0</v>
      </c>
      <c r="AH535" s="80">
        <f>IF(ISNUMBER(B535),IF(AND(INDEX(CFG_WDAYS,WEEKDAY(INT(B535),2))="Sí",IF(D535="proMX",COUNTIFS(FER_F,INT(B535),FER_NLP,"Sí"),COUNTIFS(FER_F,INT(B535),FER_NLM,"Sí"))=0),1,0),0)</f>
        <v>0</v>
      </c>
      <c r="AI535" s="80">
        <f>IF(AC535=1,IF(AND(INDEX(CFG_WDAYS,WEEKDAY(INT(B535)+1,2))="Sí",IF(D535="proMX",COUNTIFS(FER_F,INT(B535)+1,FER_NLP,"Sí"),COUNTIFS(FER_F,INT(B535)+1,FER_NLM,"Sí"))=0),1,0),0)</f>
        <v>0</v>
      </c>
      <c r="AJ535" s="80">
        <f>IF(AC535=1,1440-Z535,AD535)</f>
        <v>0</v>
      </c>
      <c r="AK535" s="80">
        <f>IF(AND(AB535=1,AH535=1),MAX(0,MIN(IF(AC535=1,1440,AA535),CFG_WEM)-MAX(Z535,CFG_WSM)),0)</f>
        <v>0</v>
      </c>
      <c r="AL535" s="80">
        <f>IF(AND(AC535=1,AI535=1),MAX(0,MIN(AA535,CFG_WEM)-CFG_WSM),0)</f>
        <v>0</v>
      </c>
      <c r="AM535" s="80">
        <f>AK535+AL535</f>
        <v>0</v>
      </c>
      <c r="AN535" s="80">
        <f>IF(CFG_BRK="Proporcional",IF(AD535=0,0,AF535*AM535/AD535),IF(CFG_BRK="Extras primero",MIN(AM535,MAX(0,AF535-(AD535-AM535))),MIN(AF535,AM535)))</f>
        <v>0</v>
      </c>
      <c r="AO535" s="80">
        <f>AF535-AN535</f>
        <v>0</v>
      </c>
      <c r="AP535" s="80">
        <f>AM535-AN535</f>
        <v>0</v>
      </c>
      <c r="AQ535" s="80">
        <f>AD535-AM535-AO535</f>
        <v>0</v>
      </c>
      <c r="AR535" s="80">
        <f>IF(AM535=0,0,AK535-AN535*AK535/AM535)</f>
        <v>0</v>
      </c>
      <c r="AS535" s="80">
        <f>IF(AD535-AM535=0,0,(AJ535-AK535)-AO535*(AJ535-AK535)/(AD535-AM535))</f>
        <v>0</v>
      </c>
      <c r="AT535" s="80" t="str">
        <f>IF(AC535=1,INT(B535)+1,"")</f>
        <v/>
      </c>
      <c r="AU535" s="80">
        <f>IF(AND(D535="proMX",R535="Cancelled"),0,1)</f>
        <v>1</v>
      </c>
      <c r="AV535" s="80">
        <f>IF(AND(AB535=1,AU535=1),IF(COUNTIFS($D$5:D534,D535,$B$5:B534,B535,$Z$5:Z534,Z535,$AA$5:AA534,AA535,$F$5:F534,F535&amp;"",$AU$5:AU534,1)&gt;0,1,0),0)</f>
        <v>0</v>
      </c>
      <c r="AW535" s="80" t="str">
        <f>IF(AB535=1,INT(B535)*1440+Z535,"")</f>
        <v/>
      </c>
      <c r="AX535" s="80" t="str">
        <f>IF(AB535=1,AW535+AD535,"")</f>
        <v/>
      </c>
      <c r="AY535" s="80">
        <f>IF(AND(AB535=1,AV535=0,AU535=1),1,0)</f>
        <v>0</v>
      </c>
      <c r="AZ535" s="80">
        <f>IF(AY535=1,COUNTIFS(R_Emp,D535,R_SAbs,"&lt;"&amp;AX535,R_EAbs,"&gt;"&amp;AW535,R_OKey,1)-1,0)</f>
        <v>0</v>
      </c>
      <c r="BA535" s="80">
        <f>IF(AY535=1,COUNTIFS(R_Emp,"&lt;&gt;"&amp;D535,R_SAbs,"&lt;"&amp;AX535,R_EAbs,"&gt;"&amp;AW535,R_OKey,1),0)</f>
        <v>0</v>
      </c>
      <c r="BB535" s="80">
        <f>IF(AND(AB535=1,D535="proMX"),IF(AND(MOD(Z535,CFG_BLK)=0,MOD(AA535,CFG_BLK)=0,MOD(AG535,CFG_BLK)=0,AG535&gt;0),1,0),1)</f>
        <v>1</v>
      </c>
      <c r="BC535" s="80" t="str">
        <f>IF(Y535=0,"",IF(NOT(ISNUMBER(B535)),"Falta fecha o fecha inválida",IF(D535="","Falta empresa",IF(AND(D535&lt;&gt;"Malcolm",D535&lt;&gt;"proMX"),"Empresa inválida",IF(OR(INT(B535)&lt;CFG_PSTART,INT(B535)&gt;CFG_PEND),"Fecha fuera del período",IF(OR(NOT(ISNUMBER(Z535)),NOT(ISNUMBER(AA535))),"Falta hora inicio/fin o formato inválido",IF(AB535=0,"Hora inicio = hora fin",IF(AE535&lt;0,"Descanso inválido",IF(AE535&gt;=AD535,"Descanso ≥ duración",IF(AV535=1,"Registro duplicado",IF(AZ535&gt;0,"Se superpone con otro registro "&amp;D535,IF(BB535=0,"inicio, fin y duración neta deben ser múltiplos de "&amp;CFG_BLK&amp;" min",""))))))))))))</f>
        <v/>
      </c>
      <c r="BD535" s="80">
        <f>IF(AND(Y535=1,BC535=""),1,0)</f>
        <v>0</v>
      </c>
      <c r="BE535" s="80">
        <f>IF(AND(BD535=1,AU535=1),1,0)</f>
        <v>0</v>
      </c>
      <c r="BF535" s="80" t="str">
        <f>IF(AND(D535="proMX",BD535=1),IF(R535="","Draft",R535),"")</f>
        <v/>
      </c>
      <c r="BG535" s="80">
        <f>IF(BD535=1,ROUND(AG535/60,6),0)</f>
        <v>0</v>
      </c>
      <c r="BH535" s="80">
        <f>IF(BE535=1,ROUND(AG535/60,6),0)</f>
        <v>0</v>
      </c>
      <c r="BI535" s="80">
        <f>IF(BE535=1,ROUND(AP535/60,6),0)</f>
        <v>0</v>
      </c>
      <c r="BJ535" s="80">
        <f>IF(BE535=1,ROUND(AQ535/60,6),0)</f>
        <v>0</v>
      </c>
      <c r="BK535" s="80">
        <f>IF(BE535=1,ROUND((AR535+AS535)/60,6),0)</f>
        <v>0</v>
      </c>
      <c r="BL535" s="80">
        <f>ROUND(BH535-BK535,6)</f>
        <v>0</v>
      </c>
      <c r="BM535" s="80">
        <f>IF(BE535=1,ROUND(AR535/60,6),0)</f>
        <v>0</v>
      </c>
      <c r="BN535" s="80">
        <f>ROUND(BI535-BM535,6)</f>
        <v>0</v>
      </c>
      <c r="BO535" s="80">
        <f>IF(BE535=1,ROUND(AS535/60,6),0)</f>
        <v>0</v>
      </c>
      <c r="BP535" s="80">
        <f>ROUND(BJ535-BO535,6)</f>
        <v>0</v>
      </c>
      <c r="BQ535" s="80">
        <f>IF(BE535=1,AW535,0)</f>
        <v>0</v>
      </c>
      <c r="BR535" s="80">
        <f>IF(BE535=1,AX535,0)</f>
        <v>0</v>
      </c>
      <c r="BS535" s="80">
        <f>IF(AND(BE535=1,D535="Malcolm",BA535&gt;0),MIN(BH535,SUMPRODUCT((R_Emp="proMX")*(R_EN&gt;0)*((R_EN-(R_EN&gt;BR535)*(R_EN-BR535))&gt;(R_SN+(R_SN&lt;BQ535)*(BQ535-R_SN)))*((R_EN-(R_EN&gt;BR535)*(R_EN-BR535))-(R_SN+(R_SN&lt;BQ535)*(BQ535-R_SN))))/60),0)</f>
        <v>0</v>
      </c>
      <c r="BT535" s="80">
        <f>IF(AND(BE535=1,D535="proMX"),ROUND(BI535*CFG_RATE+BJ535*CFG_OTRATE,6),0)</f>
        <v>0</v>
      </c>
      <c r="BU535" s="80">
        <f>IF(AND(BD535=1,D535="proMX"),ROUND(AG535/CFG_BLK,6),0)</f>
        <v>0</v>
      </c>
      <c r="BV535" s="80" t="str">
        <f>IF(BF535="Approved",IF(ISNUMBER(T535),INT(T535),INT(B535)),"")</f>
        <v/>
      </c>
      <c r="BW535" s="80">
        <f>IF(ISNUMBER(B535),IF(DB_MON="Todos",1,IF(AND(INT(B535)&gt;=DB_MS,INT(B535)&lt;=DB_ME),1,0)),0)</f>
        <v>0</v>
      </c>
      <c r="BX535" s="80">
        <f>IF(DB_PROJ="Todos",1,IF(E535&amp;""=DB_PROJ&amp;"",1,0))</f>
        <v>1</v>
      </c>
      <c r="BY535" s="80">
        <f>BW535*BX535</f>
        <v>0</v>
      </c>
      <c r="BZ535" s="80" t="str">
        <f>IF(Y535=1,F535&amp;IF(AND(F535&amp;""&lt;&gt;"",E535&amp;""&lt;&gt;"")," · ","")&amp;E535,"")</f>
        <v/>
      </c>
      <c r="CA535" s="80" t="str">
        <f>IF(AND(BD535=1,E535&amp;""&lt;&gt;""),IF(COUNTIFS($E$5:E534,E535,$BD$5:BD534,1)=0,MAX($CA$5:CA534)+1,""),"")</f>
        <v/>
      </c>
      <c r="CB535" s="80" t="str">
        <f>IF(AND(BE535=1,D535="Malcolm",E535&amp;""&lt;&gt;""),IF(COUNTIFS($D$5:D534,"Malcolm",$E$5:E534,E535,$BE$5:BE534,1)=0,MAX($CB$5:CB534)+1,""),"")</f>
        <v/>
      </c>
      <c r="CC535" s="80" t="str">
        <f>IF(AND(BD535=1,D535="proMX",E535&amp;""&lt;&gt;""),IF(COUNTIFS($D$5:D534,"proMX",$E$5:E534,E535,$BD$5:BD534,1)=0,MAX($CC$5:CC534)+1,""),"")</f>
        <v/>
      </c>
      <c r="CD535" s="80" t="str">
        <f>IF(AND(BE535=1,D535="Malcolm",F535&amp;""&lt;&gt;""),IF(COUNTIFS($D$5:D534,"Malcolm",$F$5:F534,F535,$BE$5:BE534,1)=0,MAX($CD$5:CD534)+1,""),"")</f>
        <v/>
      </c>
      <c r="CE535" s="80" t="str">
        <f>IF(AND(BD535=1,D535="proMX",F535&amp;""&lt;&gt;""),IF(COUNTIFS($D$5:D534,"proMX",$F$5:F534,F535,$BD$5:BD534,1)=0,MAX($CE$5:CE534)+1,""),"")</f>
        <v/>
      </c>
      <c r="CF535" s="80" t="str">
        <f>IF(AND(D535="proMX",BD535=1),IF(OR(BF535="Draft",BF535="Submitted",BF535="Returned",BF535="Recall Requested"),MAX($CF$5:CF534)+1,""),"")</f>
        <v/>
      </c>
      <c r="CG535" s="80">
        <f>IF(BD535=0,0,IF(D535="Malcolm",1,MATCH(BF535,{"Draft","Submitted","Approved","Returned","Recall Requested","Cancelled"},0)+1))</f>
        <v>0</v>
      </c>
      <c r="CH535" s="80">
        <f>IF(AND(BF535="Submitted",ISNUMBER(V535)),IF(V535&gt;CFG_MAXD,1,0),0)</f>
        <v>0</v>
      </c>
    </row>
    <row r="536">
      <c r="A536" s="71" t="str">
        <f>IF(Y536=1,ROW()-5,"")</f>
        <v/>
      </c>
      <c r="B536" s="72" t="n"/>
      <c r="C536" s="71" t="str">
        <f>IF(ISNUMBER(B536),CHOOSE(WEEKDAY(B536,2),"Lun","Mar","Mié","Jue","Vie","Sáb","Dom"),"")</f>
        <v/>
      </c>
      <c r="D536" s="73" t="n"/>
      <c r="E536" s="74" t="n"/>
      <c r="F536" s="74" t="n"/>
      <c r="G536" s="74" t="n"/>
      <c r="H536" s="75" t="n"/>
      <c r="I536" s="75" t="n"/>
      <c r="J536" s="76" t="n"/>
      <c r="K536" s="77" t="str">
        <f>IF(AB536=1,ROUND(AG536/60,4),"")</f>
        <v/>
      </c>
      <c r="L536" s="77" t="str">
        <f>IF(BD536=1,ROUND(AP536/60,4),"")</f>
        <v/>
      </c>
      <c r="M536" s="77" t="str">
        <f>IF(BD536=1,ROUND(AQ536/60,4),"")</f>
        <v/>
      </c>
      <c r="N536" s="71" t="str">
        <f>IF(AND(D536="proMX",AB536=1),ROUND(AG536/CFG_BLK,2),"")</f>
        <v/>
      </c>
      <c r="O536" s="77" t="str">
        <f>IF(D536="proMX",IF(BD536=1,ROUND(AG536/60,4),0),"")</f>
        <v/>
      </c>
      <c r="P536" s="78" t="str">
        <f>IF(Y536=0,"",IF(BD536=1,"OK",IF(D536="proMX","Revisar bloques: ","Revisar: ")&amp;BC536))</f>
        <v/>
      </c>
      <c r="Q536" s="78" t="str">
        <f>IF(NOT(ISNUMBER(B536)),"",IF(COUNTIFS(FER_F,INT(B536))&gt;0,"Feriado"&amp;IF(AH536=1," (laborable)"," (no laborable)"),IF(AH536=1,"Laborable",IF(WEEKDAY(B536,2)&gt;5,"Fin de semana","No laborable"))))</f>
        <v/>
      </c>
      <c r="R536" s="73" t="n"/>
      <c r="S536" s="72" t="n"/>
      <c r="T536" s="72" t="n"/>
      <c r="U536" s="74" t="n"/>
      <c r="V536" s="79" t="str">
        <f>IF(AND(D536="proMX",OR(R536="Submitted",R536="Recall Requested"),ISNUMBER(S536)),CFG_TODAY-INT(S536),"")</f>
        <v/>
      </c>
      <c r="W536" s="78" t="str">
        <f>IF(BD536=0,"",IF(BA536&gt;0,"⚠ Se superpone con un registro de la otra empresa",IF(D536="Malcolm",IF(COUNTA(R536,S536,T536)&gt;0,"Estado/fechas proMX se ignoran en Malcolm",""),IF(BF536="Cancelled","Cancelado: excluido de totales",IF(R536="","Sin estado: se trata como Draft",IF(BF536="Submitted",IF(ISNUMBER(V536),IF(V536&gt;CFG_MAXD,"⚠ "&amp;V536&amp;" días en Submitted (máx. "&amp;CFG_MAXD&amp;")",""),"Falta fecha de envío"),IF(BF536="Returned","⚠ Devuelto: corregir y reenviar",IF(BF536="Recall Requested","Retirada solicitada: pendiente",IF(AND(BF536="Approved",NOT(ISNUMBER(T536))),"Falta fecha de aprobación",IF(AND(ISNUMBER(S536),ISNUMBER(T536),T536&lt;S536),"Aprobación anterior al envío","")))))))))</f>
        <v/>
      </c>
      <c r="Y536" s="80">
        <f>IF(COUNTA(B536,D536,E536,F536,G536,H536,I536,J536,R536,S536,T536)&gt;0,1,0)</f>
        <v>0</v>
      </c>
      <c r="Z536" s="80" t="str">
        <f>IF(AND(ISNUMBER(H536),H536&gt;=0,H536&lt;1),ROUND(H536*1440,0),"")</f>
        <v/>
      </c>
      <c r="AA536" s="80" t="str">
        <f>IF(AND(ISNUMBER(I536),I536&gt;=0,I536&lt;1),ROUND(I536*1440,0),"")</f>
        <v/>
      </c>
      <c r="AB536" s="80">
        <f>IF(AND(ISNUMBER(B536),D536&lt;&gt;"",ISNUMBER(Z536),ISNUMBER(AA536)),IF(Z536=AA536,0,1),0)</f>
        <v>0</v>
      </c>
      <c r="AC536" s="80">
        <f>IF(AB536=1,IF(AA536&lt;Z536,1,0),0)</f>
        <v>0</v>
      </c>
      <c r="AD536" s="80">
        <f>IF(AB536=1,IF(AC536=1,1440-Z536+AA536,AA536-Z536),0)</f>
        <v>0</v>
      </c>
      <c r="AE536" s="80">
        <f>IF(J536="",0,IF(ISNUMBER(J536),J536,-1))</f>
        <v>0</v>
      </c>
      <c r="AF536" s="80">
        <f>MIN(MAX(0,AE536),AD536)</f>
        <v>0</v>
      </c>
      <c r="AG536" s="80">
        <f>MAX(0,AD536-MAX(0,AE536))</f>
        <v>0</v>
      </c>
      <c r="AH536" s="80">
        <f>IF(ISNUMBER(B536),IF(AND(INDEX(CFG_WDAYS,WEEKDAY(INT(B536),2))="Sí",IF(D536="proMX",COUNTIFS(FER_F,INT(B536),FER_NLP,"Sí"),COUNTIFS(FER_F,INT(B536),FER_NLM,"Sí"))=0),1,0),0)</f>
        <v>0</v>
      </c>
      <c r="AI536" s="80">
        <f>IF(AC536=1,IF(AND(INDEX(CFG_WDAYS,WEEKDAY(INT(B536)+1,2))="Sí",IF(D536="proMX",COUNTIFS(FER_F,INT(B536)+1,FER_NLP,"Sí"),COUNTIFS(FER_F,INT(B536)+1,FER_NLM,"Sí"))=0),1,0),0)</f>
        <v>0</v>
      </c>
      <c r="AJ536" s="80">
        <f>IF(AC536=1,1440-Z536,AD536)</f>
        <v>0</v>
      </c>
      <c r="AK536" s="80">
        <f>IF(AND(AB536=1,AH536=1),MAX(0,MIN(IF(AC536=1,1440,AA536),CFG_WEM)-MAX(Z536,CFG_WSM)),0)</f>
        <v>0</v>
      </c>
      <c r="AL536" s="80">
        <f>IF(AND(AC536=1,AI536=1),MAX(0,MIN(AA536,CFG_WEM)-CFG_WSM),0)</f>
        <v>0</v>
      </c>
      <c r="AM536" s="80">
        <f>AK536+AL536</f>
        <v>0</v>
      </c>
      <c r="AN536" s="80">
        <f>IF(CFG_BRK="Proporcional",IF(AD536=0,0,AF536*AM536/AD536),IF(CFG_BRK="Extras primero",MIN(AM536,MAX(0,AF536-(AD536-AM536))),MIN(AF536,AM536)))</f>
        <v>0</v>
      </c>
      <c r="AO536" s="80">
        <f>AF536-AN536</f>
        <v>0</v>
      </c>
      <c r="AP536" s="80">
        <f>AM536-AN536</f>
        <v>0</v>
      </c>
      <c r="AQ536" s="80">
        <f>AD536-AM536-AO536</f>
        <v>0</v>
      </c>
      <c r="AR536" s="80">
        <f>IF(AM536=0,0,AK536-AN536*AK536/AM536)</f>
        <v>0</v>
      </c>
      <c r="AS536" s="80">
        <f>IF(AD536-AM536=0,0,(AJ536-AK536)-AO536*(AJ536-AK536)/(AD536-AM536))</f>
        <v>0</v>
      </c>
      <c r="AT536" s="80" t="str">
        <f>IF(AC536=1,INT(B536)+1,"")</f>
        <v/>
      </c>
      <c r="AU536" s="80">
        <f>IF(AND(D536="proMX",R536="Cancelled"),0,1)</f>
        <v>1</v>
      </c>
      <c r="AV536" s="80">
        <f>IF(AND(AB536=1,AU536=1),IF(COUNTIFS($D$5:D535,D536,$B$5:B535,B536,$Z$5:Z535,Z536,$AA$5:AA535,AA536,$F$5:F535,F536&amp;"",$AU$5:AU535,1)&gt;0,1,0),0)</f>
        <v>0</v>
      </c>
      <c r="AW536" s="80" t="str">
        <f>IF(AB536=1,INT(B536)*1440+Z536,"")</f>
        <v/>
      </c>
      <c r="AX536" s="80" t="str">
        <f>IF(AB536=1,AW536+AD536,"")</f>
        <v/>
      </c>
      <c r="AY536" s="80">
        <f>IF(AND(AB536=1,AV536=0,AU536=1),1,0)</f>
        <v>0</v>
      </c>
      <c r="AZ536" s="80">
        <f>IF(AY536=1,COUNTIFS(R_Emp,D536,R_SAbs,"&lt;"&amp;AX536,R_EAbs,"&gt;"&amp;AW536,R_OKey,1)-1,0)</f>
        <v>0</v>
      </c>
      <c r="BA536" s="80">
        <f>IF(AY536=1,COUNTIFS(R_Emp,"&lt;&gt;"&amp;D536,R_SAbs,"&lt;"&amp;AX536,R_EAbs,"&gt;"&amp;AW536,R_OKey,1),0)</f>
        <v>0</v>
      </c>
      <c r="BB536" s="80">
        <f>IF(AND(AB536=1,D536="proMX"),IF(AND(MOD(Z536,CFG_BLK)=0,MOD(AA536,CFG_BLK)=0,MOD(AG536,CFG_BLK)=0,AG536&gt;0),1,0),1)</f>
        <v>1</v>
      </c>
      <c r="BC536" s="80" t="str">
        <f>IF(Y536=0,"",IF(NOT(ISNUMBER(B536)),"Falta fecha o fecha inválida",IF(D536="","Falta empresa",IF(AND(D536&lt;&gt;"Malcolm",D536&lt;&gt;"proMX"),"Empresa inválida",IF(OR(INT(B536)&lt;CFG_PSTART,INT(B536)&gt;CFG_PEND),"Fecha fuera del período",IF(OR(NOT(ISNUMBER(Z536)),NOT(ISNUMBER(AA536))),"Falta hora inicio/fin o formato inválido",IF(AB536=0,"Hora inicio = hora fin",IF(AE536&lt;0,"Descanso inválido",IF(AE536&gt;=AD536,"Descanso ≥ duración",IF(AV536=1,"Registro duplicado",IF(AZ536&gt;0,"Se superpone con otro registro "&amp;D536,IF(BB536=0,"inicio, fin y duración neta deben ser múltiplos de "&amp;CFG_BLK&amp;" min",""))))))))))))</f>
        <v/>
      </c>
      <c r="BD536" s="80">
        <f>IF(AND(Y536=1,BC536=""),1,0)</f>
        <v>0</v>
      </c>
      <c r="BE536" s="80">
        <f>IF(AND(BD536=1,AU536=1),1,0)</f>
        <v>0</v>
      </c>
      <c r="BF536" s="80" t="str">
        <f>IF(AND(D536="proMX",BD536=1),IF(R536="","Draft",R536),"")</f>
        <v/>
      </c>
      <c r="BG536" s="80">
        <f>IF(BD536=1,ROUND(AG536/60,6),0)</f>
        <v>0</v>
      </c>
      <c r="BH536" s="80">
        <f>IF(BE536=1,ROUND(AG536/60,6),0)</f>
        <v>0</v>
      </c>
      <c r="BI536" s="80">
        <f>IF(BE536=1,ROUND(AP536/60,6),0)</f>
        <v>0</v>
      </c>
      <c r="BJ536" s="80">
        <f>IF(BE536=1,ROUND(AQ536/60,6),0)</f>
        <v>0</v>
      </c>
      <c r="BK536" s="80">
        <f>IF(BE536=1,ROUND((AR536+AS536)/60,6),0)</f>
        <v>0</v>
      </c>
      <c r="BL536" s="80">
        <f>ROUND(BH536-BK536,6)</f>
        <v>0</v>
      </c>
      <c r="BM536" s="80">
        <f>IF(BE536=1,ROUND(AR536/60,6),0)</f>
        <v>0</v>
      </c>
      <c r="BN536" s="80">
        <f>ROUND(BI536-BM536,6)</f>
        <v>0</v>
      </c>
      <c r="BO536" s="80">
        <f>IF(BE536=1,ROUND(AS536/60,6),0)</f>
        <v>0</v>
      </c>
      <c r="BP536" s="80">
        <f>ROUND(BJ536-BO536,6)</f>
        <v>0</v>
      </c>
      <c r="BQ536" s="80">
        <f>IF(BE536=1,AW536,0)</f>
        <v>0</v>
      </c>
      <c r="BR536" s="80">
        <f>IF(BE536=1,AX536,0)</f>
        <v>0</v>
      </c>
      <c r="BS536" s="80">
        <f>IF(AND(BE536=1,D536="Malcolm",BA536&gt;0),MIN(BH536,SUMPRODUCT((R_Emp="proMX")*(R_EN&gt;0)*((R_EN-(R_EN&gt;BR536)*(R_EN-BR536))&gt;(R_SN+(R_SN&lt;BQ536)*(BQ536-R_SN)))*((R_EN-(R_EN&gt;BR536)*(R_EN-BR536))-(R_SN+(R_SN&lt;BQ536)*(BQ536-R_SN))))/60),0)</f>
        <v>0</v>
      </c>
      <c r="BT536" s="80">
        <f>IF(AND(BE536=1,D536="proMX"),ROUND(BI536*CFG_RATE+BJ536*CFG_OTRATE,6),0)</f>
        <v>0</v>
      </c>
      <c r="BU536" s="80">
        <f>IF(AND(BD536=1,D536="proMX"),ROUND(AG536/CFG_BLK,6),0)</f>
        <v>0</v>
      </c>
      <c r="BV536" s="80" t="str">
        <f>IF(BF536="Approved",IF(ISNUMBER(T536),INT(T536),INT(B536)),"")</f>
        <v/>
      </c>
      <c r="BW536" s="80">
        <f>IF(ISNUMBER(B536),IF(DB_MON="Todos",1,IF(AND(INT(B536)&gt;=DB_MS,INT(B536)&lt;=DB_ME),1,0)),0)</f>
        <v>0</v>
      </c>
      <c r="BX536" s="80">
        <f>IF(DB_PROJ="Todos",1,IF(E536&amp;""=DB_PROJ&amp;"",1,0))</f>
        <v>1</v>
      </c>
      <c r="BY536" s="80">
        <f>BW536*BX536</f>
        <v>0</v>
      </c>
      <c r="BZ536" s="80" t="str">
        <f>IF(Y536=1,F536&amp;IF(AND(F536&amp;""&lt;&gt;"",E536&amp;""&lt;&gt;"")," · ","")&amp;E536,"")</f>
        <v/>
      </c>
      <c r="CA536" s="80" t="str">
        <f>IF(AND(BD536=1,E536&amp;""&lt;&gt;""),IF(COUNTIFS($E$5:E535,E536,$BD$5:BD535,1)=0,MAX($CA$5:CA535)+1,""),"")</f>
        <v/>
      </c>
      <c r="CB536" s="80" t="str">
        <f>IF(AND(BE536=1,D536="Malcolm",E536&amp;""&lt;&gt;""),IF(COUNTIFS($D$5:D535,"Malcolm",$E$5:E535,E536,$BE$5:BE535,1)=0,MAX($CB$5:CB535)+1,""),"")</f>
        <v/>
      </c>
      <c r="CC536" s="80" t="str">
        <f>IF(AND(BD536=1,D536="proMX",E536&amp;""&lt;&gt;""),IF(COUNTIFS($D$5:D535,"proMX",$E$5:E535,E536,$BD$5:BD535,1)=0,MAX($CC$5:CC535)+1,""),"")</f>
        <v/>
      </c>
      <c r="CD536" s="80" t="str">
        <f>IF(AND(BE536=1,D536="Malcolm",F536&amp;""&lt;&gt;""),IF(COUNTIFS($D$5:D535,"Malcolm",$F$5:F535,F536,$BE$5:BE535,1)=0,MAX($CD$5:CD535)+1,""),"")</f>
        <v/>
      </c>
      <c r="CE536" s="80" t="str">
        <f>IF(AND(BD536=1,D536="proMX",F536&amp;""&lt;&gt;""),IF(COUNTIFS($D$5:D535,"proMX",$F$5:F535,F536,$BD$5:BD535,1)=0,MAX($CE$5:CE535)+1,""),"")</f>
        <v/>
      </c>
      <c r="CF536" s="80" t="str">
        <f>IF(AND(D536="proMX",BD536=1),IF(OR(BF536="Draft",BF536="Submitted",BF536="Returned",BF536="Recall Requested"),MAX($CF$5:CF535)+1,""),"")</f>
        <v/>
      </c>
      <c r="CG536" s="80">
        <f>IF(BD536=0,0,IF(D536="Malcolm",1,MATCH(BF536,{"Draft","Submitted","Approved","Returned","Recall Requested","Cancelled"},0)+1))</f>
        <v>0</v>
      </c>
      <c r="CH536" s="80">
        <f>IF(AND(BF536="Submitted",ISNUMBER(V536)),IF(V536&gt;CFG_MAXD,1,0),0)</f>
        <v>0</v>
      </c>
    </row>
    <row r="537">
      <c r="A537" s="71" t="str">
        <f>IF(Y537=1,ROW()-5,"")</f>
        <v/>
      </c>
      <c r="B537" s="72" t="n"/>
      <c r="C537" s="71" t="str">
        <f>IF(ISNUMBER(B537),CHOOSE(WEEKDAY(B537,2),"Lun","Mar","Mié","Jue","Vie","Sáb","Dom"),"")</f>
        <v/>
      </c>
      <c r="D537" s="73" t="n"/>
      <c r="E537" s="74" t="n"/>
      <c r="F537" s="74" t="n"/>
      <c r="G537" s="74" t="n"/>
      <c r="H537" s="75" t="n"/>
      <c r="I537" s="75" t="n"/>
      <c r="J537" s="76" t="n"/>
      <c r="K537" s="77" t="str">
        <f>IF(AB537=1,ROUND(AG537/60,4),"")</f>
        <v/>
      </c>
      <c r="L537" s="77" t="str">
        <f>IF(BD537=1,ROUND(AP537/60,4),"")</f>
        <v/>
      </c>
      <c r="M537" s="77" t="str">
        <f>IF(BD537=1,ROUND(AQ537/60,4),"")</f>
        <v/>
      </c>
      <c r="N537" s="71" t="str">
        <f>IF(AND(D537="proMX",AB537=1),ROUND(AG537/CFG_BLK,2),"")</f>
        <v/>
      </c>
      <c r="O537" s="77" t="str">
        <f>IF(D537="proMX",IF(BD537=1,ROUND(AG537/60,4),0),"")</f>
        <v/>
      </c>
      <c r="P537" s="78" t="str">
        <f>IF(Y537=0,"",IF(BD537=1,"OK",IF(D537="proMX","Revisar bloques: ","Revisar: ")&amp;BC537))</f>
        <v/>
      </c>
      <c r="Q537" s="78" t="str">
        <f>IF(NOT(ISNUMBER(B537)),"",IF(COUNTIFS(FER_F,INT(B537))&gt;0,"Feriado"&amp;IF(AH537=1," (laborable)"," (no laborable)"),IF(AH537=1,"Laborable",IF(WEEKDAY(B537,2)&gt;5,"Fin de semana","No laborable"))))</f>
        <v/>
      </c>
      <c r="R537" s="73" t="n"/>
      <c r="S537" s="72" t="n"/>
      <c r="T537" s="72" t="n"/>
      <c r="U537" s="74" t="n"/>
      <c r="V537" s="79" t="str">
        <f>IF(AND(D537="proMX",OR(R537="Submitted",R537="Recall Requested"),ISNUMBER(S537)),CFG_TODAY-INT(S537),"")</f>
        <v/>
      </c>
      <c r="W537" s="78" t="str">
        <f>IF(BD537=0,"",IF(BA537&gt;0,"⚠ Se superpone con un registro de la otra empresa",IF(D537="Malcolm",IF(COUNTA(R537,S537,T537)&gt;0,"Estado/fechas proMX se ignoran en Malcolm",""),IF(BF537="Cancelled","Cancelado: excluido de totales",IF(R537="","Sin estado: se trata como Draft",IF(BF537="Submitted",IF(ISNUMBER(V537),IF(V537&gt;CFG_MAXD,"⚠ "&amp;V537&amp;" días en Submitted (máx. "&amp;CFG_MAXD&amp;")",""),"Falta fecha de envío"),IF(BF537="Returned","⚠ Devuelto: corregir y reenviar",IF(BF537="Recall Requested","Retirada solicitada: pendiente",IF(AND(BF537="Approved",NOT(ISNUMBER(T537))),"Falta fecha de aprobación",IF(AND(ISNUMBER(S537),ISNUMBER(T537),T537&lt;S537),"Aprobación anterior al envío","")))))))))</f>
        <v/>
      </c>
      <c r="Y537" s="80">
        <f>IF(COUNTA(B537,D537,E537,F537,G537,H537,I537,J537,R537,S537,T537)&gt;0,1,0)</f>
        <v>0</v>
      </c>
      <c r="Z537" s="80" t="str">
        <f>IF(AND(ISNUMBER(H537),H537&gt;=0,H537&lt;1),ROUND(H537*1440,0),"")</f>
        <v/>
      </c>
      <c r="AA537" s="80" t="str">
        <f>IF(AND(ISNUMBER(I537),I537&gt;=0,I537&lt;1),ROUND(I537*1440,0),"")</f>
        <v/>
      </c>
      <c r="AB537" s="80">
        <f>IF(AND(ISNUMBER(B537),D537&lt;&gt;"",ISNUMBER(Z537),ISNUMBER(AA537)),IF(Z537=AA537,0,1),0)</f>
        <v>0</v>
      </c>
      <c r="AC537" s="80">
        <f>IF(AB537=1,IF(AA537&lt;Z537,1,0),0)</f>
        <v>0</v>
      </c>
      <c r="AD537" s="80">
        <f>IF(AB537=1,IF(AC537=1,1440-Z537+AA537,AA537-Z537),0)</f>
        <v>0</v>
      </c>
      <c r="AE537" s="80">
        <f>IF(J537="",0,IF(ISNUMBER(J537),J537,-1))</f>
        <v>0</v>
      </c>
      <c r="AF537" s="80">
        <f>MIN(MAX(0,AE537),AD537)</f>
        <v>0</v>
      </c>
      <c r="AG537" s="80">
        <f>MAX(0,AD537-MAX(0,AE537))</f>
        <v>0</v>
      </c>
      <c r="AH537" s="80">
        <f>IF(ISNUMBER(B537),IF(AND(INDEX(CFG_WDAYS,WEEKDAY(INT(B537),2))="Sí",IF(D537="proMX",COUNTIFS(FER_F,INT(B537),FER_NLP,"Sí"),COUNTIFS(FER_F,INT(B537),FER_NLM,"Sí"))=0),1,0),0)</f>
        <v>0</v>
      </c>
      <c r="AI537" s="80">
        <f>IF(AC537=1,IF(AND(INDEX(CFG_WDAYS,WEEKDAY(INT(B537)+1,2))="Sí",IF(D537="proMX",COUNTIFS(FER_F,INT(B537)+1,FER_NLP,"Sí"),COUNTIFS(FER_F,INT(B537)+1,FER_NLM,"Sí"))=0),1,0),0)</f>
        <v>0</v>
      </c>
      <c r="AJ537" s="80">
        <f>IF(AC537=1,1440-Z537,AD537)</f>
        <v>0</v>
      </c>
      <c r="AK537" s="80">
        <f>IF(AND(AB537=1,AH537=1),MAX(0,MIN(IF(AC537=1,1440,AA537),CFG_WEM)-MAX(Z537,CFG_WSM)),0)</f>
        <v>0</v>
      </c>
      <c r="AL537" s="80">
        <f>IF(AND(AC537=1,AI537=1),MAX(0,MIN(AA537,CFG_WEM)-CFG_WSM),0)</f>
        <v>0</v>
      </c>
      <c r="AM537" s="80">
        <f>AK537+AL537</f>
        <v>0</v>
      </c>
      <c r="AN537" s="80">
        <f>IF(CFG_BRK="Proporcional",IF(AD537=0,0,AF537*AM537/AD537),IF(CFG_BRK="Extras primero",MIN(AM537,MAX(0,AF537-(AD537-AM537))),MIN(AF537,AM537)))</f>
        <v>0</v>
      </c>
      <c r="AO537" s="80">
        <f>AF537-AN537</f>
        <v>0</v>
      </c>
      <c r="AP537" s="80">
        <f>AM537-AN537</f>
        <v>0</v>
      </c>
      <c r="AQ537" s="80">
        <f>AD537-AM537-AO537</f>
        <v>0</v>
      </c>
      <c r="AR537" s="80">
        <f>IF(AM537=0,0,AK537-AN537*AK537/AM537)</f>
        <v>0</v>
      </c>
      <c r="AS537" s="80">
        <f>IF(AD537-AM537=0,0,(AJ537-AK537)-AO537*(AJ537-AK537)/(AD537-AM537))</f>
        <v>0</v>
      </c>
      <c r="AT537" s="80" t="str">
        <f>IF(AC537=1,INT(B537)+1,"")</f>
        <v/>
      </c>
      <c r="AU537" s="80">
        <f>IF(AND(D537="proMX",R537="Cancelled"),0,1)</f>
        <v>1</v>
      </c>
      <c r="AV537" s="80">
        <f>IF(AND(AB537=1,AU537=1),IF(COUNTIFS($D$5:D536,D537,$B$5:B536,B537,$Z$5:Z536,Z537,$AA$5:AA536,AA537,$F$5:F536,F537&amp;"",$AU$5:AU536,1)&gt;0,1,0),0)</f>
        <v>0</v>
      </c>
      <c r="AW537" s="80" t="str">
        <f>IF(AB537=1,INT(B537)*1440+Z537,"")</f>
        <v/>
      </c>
      <c r="AX537" s="80" t="str">
        <f>IF(AB537=1,AW537+AD537,"")</f>
        <v/>
      </c>
      <c r="AY537" s="80">
        <f>IF(AND(AB537=1,AV537=0,AU537=1),1,0)</f>
        <v>0</v>
      </c>
      <c r="AZ537" s="80">
        <f>IF(AY537=1,COUNTIFS(R_Emp,D537,R_SAbs,"&lt;"&amp;AX537,R_EAbs,"&gt;"&amp;AW537,R_OKey,1)-1,0)</f>
        <v>0</v>
      </c>
      <c r="BA537" s="80">
        <f>IF(AY537=1,COUNTIFS(R_Emp,"&lt;&gt;"&amp;D537,R_SAbs,"&lt;"&amp;AX537,R_EAbs,"&gt;"&amp;AW537,R_OKey,1),0)</f>
        <v>0</v>
      </c>
      <c r="BB537" s="80">
        <f>IF(AND(AB537=1,D537="proMX"),IF(AND(MOD(Z537,CFG_BLK)=0,MOD(AA537,CFG_BLK)=0,MOD(AG537,CFG_BLK)=0,AG537&gt;0),1,0),1)</f>
        <v>1</v>
      </c>
      <c r="BC537" s="80" t="str">
        <f>IF(Y537=0,"",IF(NOT(ISNUMBER(B537)),"Falta fecha o fecha inválida",IF(D537="","Falta empresa",IF(AND(D537&lt;&gt;"Malcolm",D537&lt;&gt;"proMX"),"Empresa inválida",IF(OR(INT(B537)&lt;CFG_PSTART,INT(B537)&gt;CFG_PEND),"Fecha fuera del período",IF(OR(NOT(ISNUMBER(Z537)),NOT(ISNUMBER(AA537))),"Falta hora inicio/fin o formato inválido",IF(AB537=0,"Hora inicio = hora fin",IF(AE537&lt;0,"Descanso inválido",IF(AE537&gt;=AD537,"Descanso ≥ duración",IF(AV537=1,"Registro duplicado",IF(AZ537&gt;0,"Se superpone con otro registro "&amp;D537,IF(BB537=0,"inicio, fin y duración neta deben ser múltiplos de "&amp;CFG_BLK&amp;" min",""))))))))))))</f>
        <v/>
      </c>
      <c r="BD537" s="80">
        <f>IF(AND(Y537=1,BC537=""),1,0)</f>
        <v>0</v>
      </c>
      <c r="BE537" s="80">
        <f>IF(AND(BD537=1,AU537=1),1,0)</f>
        <v>0</v>
      </c>
      <c r="BF537" s="80" t="str">
        <f>IF(AND(D537="proMX",BD537=1),IF(R537="","Draft",R537),"")</f>
        <v/>
      </c>
      <c r="BG537" s="80">
        <f>IF(BD537=1,ROUND(AG537/60,6),0)</f>
        <v>0</v>
      </c>
      <c r="BH537" s="80">
        <f>IF(BE537=1,ROUND(AG537/60,6),0)</f>
        <v>0</v>
      </c>
      <c r="BI537" s="80">
        <f>IF(BE537=1,ROUND(AP537/60,6),0)</f>
        <v>0</v>
      </c>
      <c r="BJ537" s="80">
        <f>IF(BE537=1,ROUND(AQ537/60,6),0)</f>
        <v>0</v>
      </c>
      <c r="BK537" s="80">
        <f>IF(BE537=1,ROUND((AR537+AS537)/60,6),0)</f>
        <v>0</v>
      </c>
      <c r="BL537" s="80">
        <f>ROUND(BH537-BK537,6)</f>
        <v>0</v>
      </c>
      <c r="BM537" s="80">
        <f>IF(BE537=1,ROUND(AR537/60,6),0)</f>
        <v>0</v>
      </c>
      <c r="BN537" s="80">
        <f>ROUND(BI537-BM537,6)</f>
        <v>0</v>
      </c>
      <c r="BO537" s="80">
        <f>IF(BE537=1,ROUND(AS537/60,6),0)</f>
        <v>0</v>
      </c>
      <c r="BP537" s="80">
        <f>ROUND(BJ537-BO537,6)</f>
        <v>0</v>
      </c>
      <c r="BQ537" s="80">
        <f>IF(BE537=1,AW537,0)</f>
        <v>0</v>
      </c>
      <c r="BR537" s="80">
        <f>IF(BE537=1,AX537,0)</f>
        <v>0</v>
      </c>
      <c r="BS537" s="80">
        <f>IF(AND(BE537=1,D537="Malcolm",BA537&gt;0),MIN(BH537,SUMPRODUCT((R_Emp="proMX")*(R_EN&gt;0)*((R_EN-(R_EN&gt;BR537)*(R_EN-BR537))&gt;(R_SN+(R_SN&lt;BQ537)*(BQ537-R_SN)))*((R_EN-(R_EN&gt;BR537)*(R_EN-BR537))-(R_SN+(R_SN&lt;BQ537)*(BQ537-R_SN))))/60),0)</f>
        <v>0</v>
      </c>
      <c r="BT537" s="80">
        <f>IF(AND(BE537=1,D537="proMX"),ROUND(BI537*CFG_RATE+BJ537*CFG_OTRATE,6),0)</f>
        <v>0</v>
      </c>
      <c r="BU537" s="80">
        <f>IF(AND(BD537=1,D537="proMX"),ROUND(AG537/CFG_BLK,6),0)</f>
        <v>0</v>
      </c>
      <c r="BV537" s="80" t="str">
        <f>IF(BF537="Approved",IF(ISNUMBER(T537),INT(T537),INT(B537)),"")</f>
        <v/>
      </c>
      <c r="BW537" s="80">
        <f>IF(ISNUMBER(B537),IF(DB_MON="Todos",1,IF(AND(INT(B537)&gt;=DB_MS,INT(B537)&lt;=DB_ME),1,0)),0)</f>
        <v>0</v>
      </c>
      <c r="BX537" s="80">
        <f>IF(DB_PROJ="Todos",1,IF(E537&amp;""=DB_PROJ&amp;"",1,0))</f>
        <v>1</v>
      </c>
      <c r="BY537" s="80">
        <f>BW537*BX537</f>
        <v>0</v>
      </c>
      <c r="BZ537" s="80" t="str">
        <f>IF(Y537=1,F537&amp;IF(AND(F537&amp;""&lt;&gt;"",E537&amp;""&lt;&gt;"")," · ","")&amp;E537,"")</f>
        <v/>
      </c>
      <c r="CA537" s="80" t="str">
        <f>IF(AND(BD537=1,E537&amp;""&lt;&gt;""),IF(COUNTIFS($E$5:E536,E537,$BD$5:BD536,1)=0,MAX($CA$5:CA536)+1,""),"")</f>
        <v/>
      </c>
      <c r="CB537" s="80" t="str">
        <f>IF(AND(BE537=1,D537="Malcolm",E537&amp;""&lt;&gt;""),IF(COUNTIFS($D$5:D536,"Malcolm",$E$5:E536,E537,$BE$5:BE536,1)=0,MAX($CB$5:CB536)+1,""),"")</f>
        <v/>
      </c>
      <c r="CC537" s="80" t="str">
        <f>IF(AND(BD537=1,D537="proMX",E537&amp;""&lt;&gt;""),IF(COUNTIFS($D$5:D536,"proMX",$E$5:E536,E537,$BD$5:BD536,1)=0,MAX($CC$5:CC536)+1,""),"")</f>
        <v/>
      </c>
      <c r="CD537" s="80" t="str">
        <f>IF(AND(BE537=1,D537="Malcolm",F537&amp;""&lt;&gt;""),IF(COUNTIFS($D$5:D536,"Malcolm",$F$5:F536,F537,$BE$5:BE536,1)=0,MAX($CD$5:CD536)+1,""),"")</f>
        <v/>
      </c>
      <c r="CE537" s="80" t="str">
        <f>IF(AND(BD537=1,D537="proMX",F537&amp;""&lt;&gt;""),IF(COUNTIFS($D$5:D536,"proMX",$F$5:F536,F537,$BD$5:BD536,1)=0,MAX($CE$5:CE536)+1,""),"")</f>
        <v/>
      </c>
      <c r="CF537" s="80" t="str">
        <f>IF(AND(D537="proMX",BD537=1),IF(OR(BF537="Draft",BF537="Submitted",BF537="Returned",BF537="Recall Requested"),MAX($CF$5:CF536)+1,""),"")</f>
        <v/>
      </c>
      <c r="CG537" s="80">
        <f>IF(BD537=0,0,IF(D537="Malcolm",1,MATCH(BF537,{"Draft","Submitted","Approved","Returned","Recall Requested","Cancelled"},0)+1))</f>
        <v>0</v>
      </c>
      <c r="CH537" s="80">
        <f>IF(AND(BF537="Submitted",ISNUMBER(V537)),IF(V537&gt;CFG_MAXD,1,0),0)</f>
        <v>0</v>
      </c>
    </row>
    <row r="538">
      <c r="A538" s="71" t="str">
        <f>IF(Y538=1,ROW()-5,"")</f>
        <v/>
      </c>
      <c r="B538" s="72" t="n"/>
      <c r="C538" s="71" t="str">
        <f>IF(ISNUMBER(B538),CHOOSE(WEEKDAY(B538,2),"Lun","Mar","Mié","Jue","Vie","Sáb","Dom"),"")</f>
        <v/>
      </c>
      <c r="D538" s="73" t="n"/>
      <c r="E538" s="74" t="n"/>
      <c r="F538" s="74" t="n"/>
      <c r="G538" s="74" t="n"/>
      <c r="H538" s="75" t="n"/>
      <c r="I538" s="75" t="n"/>
      <c r="J538" s="76" t="n"/>
      <c r="K538" s="77" t="str">
        <f>IF(AB538=1,ROUND(AG538/60,4),"")</f>
        <v/>
      </c>
      <c r="L538" s="77" t="str">
        <f>IF(BD538=1,ROUND(AP538/60,4),"")</f>
        <v/>
      </c>
      <c r="M538" s="77" t="str">
        <f>IF(BD538=1,ROUND(AQ538/60,4),"")</f>
        <v/>
      </c>
      <c r="N538" s="71" t="str">
        <f>IF(AND(D538="proMX",AB538=1),ROUND(AG538/CFG_BLK,2),"")</f>
        <v/>
      </c>
      <c r="O538" s="77" t="str">
        <f>IF(D538="proMX",IF(BD538=1,ROUND(AG538/60,4),0),"")</f>
        <v/>
      </c>
      <c r="P538" s="78" t="str">
        <f>IF(Y538=0,"",IF(BD538=1,"OK",IF(D538="proMX","Revisar bloques: ","Revisar: ")&amp;BC538))</f>
        <v/>
      </c>
      <c r="Q538" s="78" t="str">
        <f>IF(NOT(ISNUMBER(B538)),"",IF(COUNTIFS(FER_F,INT(B538))&gt;0,"Feriado"&amp;IF(AH538=1," (laborable)"," (no laborable)"),IF(AH538=1,"Laborable",IF(WEEKDAY(B538,2)&gt;5,"Fin de semana","No laborable"))))</f>
        <v/>
      </c>
      <c r="R538" s="73" t="n"/>
      <c r="S538" s="72" t="n"/>
      <c r="T538" s="72" t="n"/>
      <c r="U538" s="74" t="n"/>
      <c r="V538" s="79" t="str">
        <f>IF(AND(D538="proMX",OR(R538="Submitted",R538="Recall Requested"),ISNUMBER(S538)),CFG_TODAY-INT(S538),"")</f>
        <v/>
      </c>
      <c r="W538" s="78" t="str">
        <f>IF(BD538=0,"",IF(BA538&gt;0,"⚠ Se superpone con un registro de la otra empresa",IF(D538="Malcolm",IF(COUNTA(R538,S538,T538)&gt;0,"Estado/fechas proMX se ignoran en Malcolm",""),IF(BF538="Cancelled","Cancelado: excluido de totales",IF(R538="","Sin estado: se trata como Draft",IF(BF538="Submitted",IF(ISNUMBER(V538),IF(V538&gt;CFG_MAXD,"⚠ "&amp;V538&amp;" días en Submitted (máx. "&amp;CFG_MAXD&amp;")",""),"Falta fecha de envío"),IF(BF538="Returned","⚠ Devuelto: corregir y reenviar",IF(BF538="Recall Requested","Retirada solicitada: pendiente",IF(AND(BF538="Approved",NOT(ISNUMBER(T538))),"Falta fecha de aprobación",IF(AND(ISNUMBER(S538),ISNUMBER(T538),T538&lt;S538),"Aprobación anterior al envío","")))))))))</f>
        <v/>
      </c>
      <c r="Y538" s="80">
        <f>IF(COUNTA(B538,D538,E538,F538,G538,H538,I538,J538,R538,S538,T538)&gt;0,1,0)</f>
        <v>0</v>
      </c>
      <c r="Z538" s="80" t="str">
        <f>IF(AND(ISNUMBER(H538),H538&gt;=0,H538&lt;1),ROUND(H538*1440,0),"")</f>
        <v/>
      </c>
      <c r="AA538" s="80" t="str">
        <f>IF(AND(ISNUMBER(I538),I538&gt;=0,I538&lt;1),ROUND(I538*1440,0),"")</f>
        <v/>
      </c>
      <c r="AB538" s="80">
        <f>IF(AND(ISNUMBER(B538),D538&lt;&gt;"",ISNUMBER(Z538),ISNUMBER(AA538)),IF(Z538=AA538,0,1),0)</f>
        <v>0</v>
      </c>
      <c r="AC538" s="80">
        <f>IF(AB538=1,IF(AA538&lt;Z538,1,0),0)</f>
        <v>0</v>
      </c>
      <c r="AD538" s="80">
        <f>IF(AB538=1,IF(AC538=1,1440-Z538+AA538,AA538-Z538),0)</f>
        <v>0</v>
      </c>
      <c r="AE538" s="80">
        <f>IF(J538="",0,IF(ISNUMBER(J538),J538,-1))</f>
        <v>0</v>
      </c>
      <c r="AF538" s="80">
        <f>MIN(MAX(0,AE538),AD538)</f>
        <v>0</v>
      </c>
      <c r="AG538" s="80">
        <f>MAX(0,AD538-MAX(0,AE538))</f>
        <v>0</v>
      </c>
      <c r="AH538" s="80">
        <f>IF(ISNUMBER(B538),IF(AND(INDEX(CFG_WDAYS,WEEKDAY(INT(B538),2))="Sí",IF(D538="proMX",COUNTIFS(FER_F,INT(B538),FER_NLP,"Sí"),COUNTIFS(FER_F,INT(B538),FER_NLM,"Sí"))=0),1,0),0)</f>
        <v>0</v>
      </c>
      <c r="AI538" s="80">
        <f>IF(AC538=1,IF(AND(INDEX(CFG_WDAYS,WEEKDAY(INT(B538)+1,2))="Sí",IF(D538="proMX",COUNTIFS(FER_F,INT(B538)+1,FER_NLP,"Sí"),COUNTIFS(FER_F,INT(B538)+1,FER_NLM,"Sí"))=0),1,0),0)</f>
        <v>0</v>
      </c>
      <c r="AJ538" s="80">
        <f>IF(AC538=1,1440-Z538,AD538)</f>
        <v>0</v>
      </c>
      <c r="AK538" s="80">
        <f>IF(AND(AB538=1,AH538=1),MAX(0,MIN(IF(AC538=1,1440,AA538),CFG_WEM)-MAX(Z538,CFG_WSM)),0)</f>
        <v>0</v>
      </c>
      <c r="AL538" s="80">
        <f>IF(AND(AC538=1,AI538=1),MAX(0,MIN(AA538,CFG_WEM)-CFG_WSM),0)</f>
        <v>0</v>
      </c>
      <c r="AM538" s="80">
        <f>AK538+AL538</f>
        <v>0</v>
      </c>
      <c r="AN538" s="80">
        <f>IF(CFG_BRK="Proporcional",IF(AD538=0,0,AF538*AM538/AD538),IF(CFG_BRK="Extras primero",MIN(AM538,MAX(0,AF538-(AD538-AM538))),MIN(AF538,AM538)))</f>
        <v>0</v>
      </c>
      <c r="AO538" s="80">
        <f>AF538-AN538</f>
        <v>0</v>
      </c>
      <c r="AP538" s="80">
        <f>AM538-AN538</f>
        <v>0</v>
      </c>
      <c r="AQ538" s="80">
        <f>AD538-AM538-AO538</f>
        <v>0</v>
      </c>
      <c r="AR538" s="80">
        <f>IF(AM538=0,0,AK538-AN538*AK538/AM538)</f>
        <v>0</v>
      </c>
      <c r="AS538" s="80">
        <f>IF(AD538-AM538=0,0,(AJ538-AK538)-AO538*(AJ538-AK538)/(AD538-AM538))</f>
        <v>0</v>
      </c>
      <c r="AT538" s="80" t="str">
        <f>IF(AC538=1,INT(B538)+1,"")</f>
        <v/>
      </c>
      <c r="AU538" s="80">
        <f>IF(AND(D538="proMX",R538="Cancelled"),0,1)</f>
        <v>1</v>
      </c>
      <c r="AV538" s="80">
        <f>IF(AND(AB538=1,AU538=1),IF(COUNTIFS($D$5:D537,D538,$B$5:B537,B538,$Z$5:Z537,Z538,$AA$5:AA537,AA538,$F$5:F537,F538&amp;"",$AU$5:AU537,1)&gt;0,1,0),0)</f>
        <v>0</v>
      </c>
      <c r="AW538" s="80" t="str">
        <f>IF(AB538=1,INT(B538)*1440+Z538,"")</f>
        <v/>
      </c>
      <c r="AX538" s="80" t="str">
        <f>IF(AB538=1,AW538+AD538,"")</f>
        <v/>
      </c>
      <c r="AY538" s="80">
        <f>IF(AND(AB538=1,AV538=0,AU538=1),1,0)</f>
        <v>0</v>
      </c>
      <c r="AZ538" s="80">
        <f>IF(AY538=1,COUNTIFS(R_Emp,D538,R_SAbs,"&lt;"&amp;AX538,R_EAbs,"&gt;"&amp;AW538,R_OKey,1)-1,0)</f>
        <v>0</v>
      </c>
      <c r="BA538" s="80">
        <f>IF(AY538=1,COUNTIFS(R_Emp,"&lt;&gt;"&amp;D538,R_SAbs,"&lt;"&amp;AX538,R_EAbs,"&gt;"&amp;AW538,R_OKey,1),0)</f>
        <v>0</v>
      </c>
      <c r="BB538" s="80">
        <f>IF(AND(AB538=1,D538="proMX"),IF(AND(MOD(Z538,CFG_BLK)=0,MOD(AA538,CFG_BLK)=0,MOD(AG538,CFG_BLK)=0,AG538&gt;0),1,0),1)</f>
        <v>1</v>
      </c>
      <c r="BC538" s="80" t="str">
        <f>IF(Y538=0,"",IF(NOT(ISNUMBER(B538)),"Falta fecha o fecha inválida",IF(D538="","Falta empresa",IF(AND(D538&lt;&gt;"Malcolm",D538&lt;&gt;"proMX"),"Empresa inválida",IF(OR(INT(B538)&lt;CFG_PSTART,INT(B538)&gt;CFG_PEND),"Fecha fuera del período",IF(OR(NOT(ISNUMBER(Z538)),NOT(ISNUMBER(AA538))),"Falta hora inicio/fin o formato inválido",IF(AB538=0,"Hora inicio = hora fin",IF(AE538&lt;0,"Descanso inválido",IF(AE538&gt;=AD538,"Descanso ≥ duración",IF(AV538=1,"Registro duplicado",IF(AZ538&gt;0,"Se superpone con otro registro "&amp;D538,IF(BB538=0,"inicio, fin y duración neta deben ser múltiplos de "&amp;CFG_BLK&amp;" min",""))))))))))))</f>
        <v/>
      </c>
      <c r="BD538" s="80">
        <f>IF(AND(Y538=1,BC538=""),1,0)</f>
        <v>0</v>
      </c>
      <c r="BE538" s="80">
        <f>IF(AND(BD538=1,AU538=1),1,0)</f>
        <v>0</v>
      </c>
      <c r="BF538" s="80" t="str">
        <f>IF(AND(D538="proMX",BD538=1),IF(R538="","Draft",R538),"")</f>
        <v/>
      </c>
      <c r="BG538" s="80">
        <f>IF(BD538=1,ROUND(AG538/60,6),0)</f>
        <v>0</v>
      </c>
      <c r="BH538" s="80">
        <f>IF(BE538=1,ROUND(AG538/60,6),0)</f>
        <v>0</v>
      </c>
      <c r="BI538" s="80">
        <f>IF(BE538=1,ROUND(AP538/60,6),0)</f>
        <v>0</v>
      </c>
      <c r="BJ538" s="80">
        <f>IF(BE538=1,ROUND(AQ538/60,6),0)</f>
        <v>0</v>
      </c>
      <c r="BK538" s="80">
        <f>IF(BE538=1,ROUND((AR538+AS538)/60,6),0)</f>
        <v>0</v>
      </c>
      <c r="BL538" s="80">
        <f>ROUND(BH538-BK538,6)</f>
        <v>0</v>
      </c>
      <c r="BM538" s="80">
        <f>IF(BE538=1,ROUND(AR538/60,6),0)</f>
        <v>0</v>
      </c>
      <c r="BN538" s="80">
        <f>ROUND(BI538-BM538,6)</f>
        <v>0</v>
      </c>
      <c r="BO538" s="80">
        <f>IF(BE538=1,ROUND(AS538/60,6),0)</f>
        <v>0</v>
      </c>
      <c r="BP538" s="80">
        <f>ROUND(BJ538-BO538,6)</f>
        <v>0</v>
      </c>
      <c r="BQ538" s="80">
        <f>IF(BE538=1,AW538,0)</f>
        <v>0</v>
      </c>
      <c r="BR538" s="80">
        <f>IF(BE538=1,AX538,0)</f>
        <v>0</v>
      </c>
      <c r="BS538" s="80">
        <f>IF(AND(BE538=1,D538="Malcolm",BA538&gt;0),MIN(BH538,SUMPRODUCT((R_Emp="proMX")*(R_EN&gt;0)*((R_EN-(R_EN&gt;BR538)*(R_EN-BR538))&gt;(R_SN+(R_SN&lt;BQ538)*(BQ538-R_SN)))*((R_EN-(R_EN&gt;BR538)*(R_EN-BR538))-(R_SN+(R_SN&lt;BQ538)*(BQ538-R_SN))))/60),0)</f>
        <v>0</v>
      </c>
      <c r="BT538" s="80">
        <f>IF(AND(BE538=1,D538="proMX"),ROUND(BI538*CFG_RATE+BJ538*CFG_OTRATE,6),0)</f>
        <v>0</v>
      </c>
      <c r="BU538" s="80">
        <f>IF(AND(BD538=1,D538="proMX"),ROUND(AG538/CFG_BLK,6),0)</f>
        <v>0</v>
      </c>
      <c r="BV538" s="80" t="str">
        <f>IF(BF538="Approved",IF(ISNUMBER(T538),INT(T538),INT(B538)),"")</f>
        <v/>
      </c>
      <c r="BW538" s="80">
        <f>IF(ISNUMBER(B538),IF(DB_MON="Todos",1,IF(AND(INT(B538)&gt;=DB_MS,INT(B538)&lt;=DB_ME),1,0)),0)</f>
        <v>0</v>
      </c>
      <c r="BX538" s="80">
        <f>IF(DB_PROJ="Todos",1,IF(E538&amp;""=DB_PROJ&amp;"",1,0))</f>
        <v>1</v>
      </c>
      <c r="BY538" s="80">
        <f>BW538*BX538</f>
        <v>0</v>
      </c>
      <c r="BZ538" s="80" t="str">
        <f>IF(Y538=1,F538&amp;IF(AND(F538&amp;""&lt;&gt;"",E538&amp;""&lt;&gt;"")," · ","")&amp;E538,"")</f>
        <v/>
      </c>
      <c r="CA538" s="80" t="str">
        <f>IF(AND(BD538=1,E538&amp;""&lt;&gt;""),IF(COUNTIFS($E$5:E537,E538,$BD$5:BD537,1)=0,MAX($CA$5:CA537)+1,""),"")</f>
        <v/>
      </c>
      <c r="CB538" s="80" t="str">
        <f>IF(AND(BE538=1,D538="Malcolm",E538&amp;""&lt;&gt;""),IF(COUNTIFS($D$5:D537,"Malcolm",$E$5:E537,E538,$BE$5:BE537,1)=0,MAX($CB$5:CB537)+1,""),"")</f>
        <v/>
      </c>
      <c r="CC538" s="80" t="str">
        <f>IF(AND(BD538=1,D538="proMX",E538&amp;""&lt;&gt;""),IF(COUNTIFS($D$5:D537,"proMX",$E$5:E537,E538,$BD$5:BD537,1)=0,MAX($CC$5:CC537)+1,""),"")</f>
        <v/>
      </c>
      <c r="CD538" s="80" t="str">
        <f>IF(AND(BE538=1,D538="Malcolm",F538&amp;""&lt;&gt;""),IF(COUNTIFS($D$5:D537,"Malcolm",$F$5:F537,F538,$BE$5:BE537,1)=0,MAX($CD$5:CD537)+1,""),"")</f>
        <v/>
      </c>
      <c r="CE538" s="80" t="str">
        <f>IF(AND(BD538=1,D538="proMX",F538&amp;""&lt;&gt;""),IF(COUNTIFS($D$5:D537,"proMX",$F$5:F537,F538,$BD$5:BD537,1)=0,MAX($CE$5:CE537)+1,""),"")</f>
        <v/>
      </c>
      <c r="CF538" s="80" t="str">
        <f>IF(AND(D538="proMX",BD538=1),IF(OR(BF538="Draft",BF538="Submitted",BF538="Returned",BF538="Recall Requested"),MAX($CF$5:CF537)+1,""),"")</f>
        <v/>
      </c>
      <c r="CG538" s="80">
        <f>IF(BD538=0,0,IF(D538="Malcolm",1,MATCH(BF538,{"Draft","Submitted","Approved","Returned","Recall Requested","Cancelled"},0)+1))</f>
        <v>0</v>
      </c>
      <c r="CH538" s="80">
        <f>IF(AND(BF538="Submitted",ISNUMBER(V538)),IF(V538&gt;CFG_MAXD,1,0),0)</f>
        <v>0</v>
      </c>
    </row>
    <row r="539">
      <c r="A539" s="71" t="str">
        <f>IF(Y539=1,ROW()-5,"")</f>
        <v/>
      </c>
      <c r="B539" s="72" t="n"/>
      <c r="C539" s="71" t="str">
        <f>IF(ISNUMBER(B539),CHOOSE(WEEKDAY(B539,2),"Lun","Mar","Mié","Jue","Vie","Sáb","Dom"),"")</f>
        <v/>
      </c>
      <c r="D539" s="73" t="n"/>
      <c r="E539" s="74" t="n"/>
      <c r="F539" s="74" t="n"/>
      <c r="G539" s="74" t="n"/>
      <c r="H539" s="75" t="n"/>
      <c r="I539" s="75" t="n"/>
      <c r="J539" s="76" t="n"/>
      <c r="K539" s="77" t="str">
        <f>IF(AB539=1,ROUND(AG539/60,4),"")</f>
        <v/>
      </c>
      <c r="L539" s="77" t="str">
        <f>IF(BD539=1,ROUND(AP539/60,4),"")</f>
        <v/>
      </c>
      <c r="M539" s="77" t="str">
        <f>IF(BD539=1,ROUND(AQ539/60,4),"")</f>
        <v/>
      </c>
      <c r="N539" s="71" t="str">
        <f>IF(AND(D539="proMX",AB539=1),ROUND(AG539/CFG_BLK,2),"")</f>
        <v/>
      </c>
      <c r="O539" s="77" t="str">
        <f>IF(D539="proMX",IF(BD539=1,ROUND(AG539/60,4),0),"")</f>
        <v/>
      </c>
      <c r="P539" s="78" t="str">
        <f>IF(Y539=0,"",IF(BD539=1,"OK",IF(D539="proMX","Revisar bloques: ","Revisar: ")&amp;BC539))</f>
        <v/>
      </c>
      <c r="Q539" s="78" t="str">
        <f>IF(NOT(ISNUMBER(B539)),"",IF(COUNTIFS(FER_F,INT(B539))&gt;0,"Feriado"&amp;IF(AH539=1," (laborable)"," (no laborable)"),IF(AH539=1,"Laborable",IF(WEEKDAY(B539,2)&gt;5,"Fin de semana","No laborable"))))</f>
        <v/>
      </c>
      <c r="R539" s="73" t="n"/>
      <c r="S539" s="72" t="n"/>
      <c r="T539" s="72" t="n"/>
      <c r="U539" s="74" t="n"/>
      <c r="V539" s="79" t="str">
        <f>IF(AND(D539="proMX",OR(R539="Submitted",R539="Recall Requested"),ISNUMBER(S539)),CFG_TODAY-INT(S539),"")</f>
        <v/>
      </c>
      <c r="W539" s="78" t="str">
        <f>IF(BD539=0,"",IF(BA539&gt;0,"⚠ Se superpone con un registro de la otra empresa",IF(D539="Malcolm",IF(COUNTA(R539,S539,T539)&gt;0,"Estado/fechas proMX se ignoran en Malcolm",""),IF(BF539="Cancelled","Cancelado: excluido de totales",IF(R539="","Sin estado: se trata como Draft",IF(BF539="Submitted",IF(ISNUMBER(V539),IF(V539&gt;CFG_MAXD,"⚠ "&amp;V539&amp;" días en Submitted (máx. "&amp;CFG_MAXD&amp;")",""),"Falta fecha de envío"),IF(BF539="Returned","⚠ Devuelto: corregir y reenviar",IF(BF539="Recall Requested","Retirada solicitada: pendiente",IF(AND(BF539="Approved",NOT(ISNUMBER(T539))),"Falta fecha de aprobación",IF(AND(ISNUMBER(S539),ISNUMBER(T539),T539&lt;S539),"Aprobación anterior al envío","")))))))))</f>
        <v/>
      </c>
      <c r="Y539" s="80">
        <f>IF(COUNTA(B539,D539,E539,F539,G539,H539,I539,J539,R539,S539,T539)&gt;0,1,0)</f>
        <v>0</v>
      </c>
      <c r="Z539" s="80" t="str">
        <f>IF(AND(ISNUMBER(H539),H539&gt;=0,H539&lt;1),ROUND(H539*1440,0),"")</f>
        <v/>
      </c>
      <c r="AA539" s="80" t="str">
        <f>IF(AND(ISNUMBER(I539),I539&gt;=0,I539&lt;1),ROUND(I539*1440,0),"")</f>
        <v/>
      </c>
      <c r="AB539" s="80">
        <f>IF(AND(ISNUMBER(B539),D539&lt;&gt;"",ISNUMBER(Z539),ISNUMBER(AA539)),IF(Z539=AA539,0,1),0)</f>
        <v>0</v>
      </c>
      <c r="AC539" s="80">
        <f>IF(AB539=1,IF(AA539&lt;Z539,1,0),0)</f>
        <v>0</v>
      </c>
      <c r="AD539" s="80">
        <f>IF(AB539=1,IF(AC539=1,1440-Z539+AA539,AA539-Z539),0)</f>
        <v>0</v>
      </c>
      <c r="AE539" s="80">
        <f>IF(J539="",0,IF(ISNUMBER(J539),J539,-1))</f>
        <v>0</v>
      </c>
      <c r="AF539" s="80">
        <f>MIN(MAX(0,AE539),AD539)</f>
        <v>0</v>
      </c>
      <c r="AG539" s="80">
        <f>MAX(0,AD539-MAX(0,AE539))</f>
        <v>0</v>
      </c>
      <c r="AH539" s="80">
        <f>IF(ISNUMBER(B539),IF(AND(INDEX(CFG_WDAYS,WEEKDAY(INT(B539),2))="Sí",IF(D539="proMX",COUNTIFS(FER_F,INT(B539),FER_NLP,"Sí"),COUNTIFS(FER_F,INT(B539),FER_NLM,"Sí"))=0),1,0),0)</f>
        <v>0</v>
      </c>
      <c r="AI539" s="80">
        <f>IF(AC539=1,IF(AND(INDEX(CFG_WDAYS,WEEKDAY(INT(B539)+1,2))="Sí",IF(D539="proMX",COUNTIFS(FER_F,INT(B539)+1,FER_NLP,"Sí"),COUNTIFS(FER_F,INT(B539)+1,FER_NLM,"Sí"))=0),1,0),0)</f>
        <v>0</v>
      </c>
      <c r="AJ539" s="80">
        <f>IF(AC539=1,1440-Z539,AD539)</f>
        <v>0</v>
      </c>
      <c r="AK539" s="80">
        <f>IF(AND(AB539=1,AH539=1),MAX(0,MIN(IF(AC539=1,1440,AA539),CFG_WEM)-MAX(Z539,CFG_WSM)),0)</f>
        <v>0</v>
      </c>
      <c r="AL539" s="80">
        <f>IF(AND(AC539=1,AI539=1),MAX(0,MIN(AA539,CFG_WEM)-CFG_WSM),0)</f>
        <v>0</v>
      </c>
      <c r="AM539" s="80">
        <f>AK539+AL539</f>
        <v>0</v>
      </c>
      <c r="AN539" s="80">
        <f>IF(CFG_BRK="Proporcional",IF(AD539=0,0,AF539*AM539/AD539),IF(CFG_BRK="Extras primero",MIN(AM539,MAX(0,AF539-(AD539-AM539))),MIN(AF539,AM539)))</f>
        <v>0</v>
      </c>
      <c r="AO539" s="80">
        <f>AF539-AN539</f>
        <v>0</v>
      </c>
      <c r="AP539" s="80">
        <f>AM539-AN539</f>
        <v>0</v>
      </c>
      <c r="AQ539" s="80">
        <f>AD539-AM539-AO539</f>
        <v>0</v>
      </c>
      <c r="AR539" s="80">
        <f>IF(AM539=0,0,AK539-AN539*AK539/AM539)</f>
        <v>0</v>
      </c>
      <c r="AS539" s="80">
        <f>IF(AD539-AM539=0,0,(AJ539-AK539)-AO539*(AJ539-AK539)/(AD539-AM539))</f>
        <v>0</v>
      </c>
      <c r="AT539" s="80" t="str">
        <f>IF(AC539=1,INT(B539)+1,"")</f>
        <v/>
      </c>
      <c r="AU539" s="80">
        <f>IF(AND(D539="proMX",R539="Cancelled"),0,1)</f>
        <v>1</v>
      </c>
      <c r="AV539" s="80">
        <f>IF(AND(AB539=1,AU539=1),IF(COUNTIFS($D$5:D538,D539,$B$5:B538,B539,$Z$5:Z538,Z539,$AA$5:AA538,AA539,$F$5:F538,F539&amp;"",$AU$5:AU538,1)&gt;0,1,0),0)</f>
        <v>0</v>
      </c>
      <c r="AW539" s="80" t="str">
        <f>IF(AB539=1,INT(B539)*1440+Z539,"")</f>
        <v/>
      </c>
      <c r="AX539" s="80" t="str">
        <f>IF(AB539=1,AW539+AD539,"")</f>
        <v/>
      </c>
      <c r="AY539" s="80">
        <f>IF(AND(AB539=1,AV539=0,AU539=1),1,0)</f>
        <v>0</v>
      </c>
      <c r="AZ539" s="80">
        <f>IF(AY539=1,COUNTIFS(R_Emp,D539,R_SAbs,"&lt;"&amp;AX539,R_EAbs,"&gt;"&amp;AW539,R_OKey,1)-1,0)</f>
        <v>0</v>
      </c>
      <c r="BA539" s="80">
        <f>IF(AY539=1,COUNTIFS(R_Emp,"&lt;&gt;"&amp;D539,R_SAbs,"&lt;"&amp;AX539,R_EAbs,"&gt;"&amp;AW539,R_OKey,1),0)</f>
        <v>0</v>
      </c>
      <c r="BB539" s="80">
        <f>IF(AND(AB539=1,D539="proMX"),IF(AND(MOD(Z539,CFG_BLK)=0,MOD(AA539,CFG_BLK)=0,MOD(AG539,CFG_BLK)=0,AG539&gt;0),1,0),1)</f>
        <v>1</v>
      </c>
      <c r="BC539" s="80" t="str">
        <f>IF(Y539=0,"",IF(NOT(ISNUMBER(B539)),"Falta fecha o fecha inválida",IF(D539="","Falta empresa",IF(AND(D539&lt;&gt;"Malcolm",D539&lt;&gt;"proMX"),"Empresa inválida",IF(OR(INT(B539)&lt;CFG_PSTART,INT(B539)&gt;CFG_PEND),"Fecha fuera del período",IF(OR(NOT(ISNUMBER(Z539)),NOT(ISNUMBER(AA539))),"Falta hora inicio/fin o formato inválido",IF(AB539=0,"Hora inicio = hora fin",IF(AE539&lt;0,"Descanso inválido",IF(AE539&gt;=AD539,"Descanso ≥ duración",IF(AV539=1,"Registro duplicado",IF(AZ539&gt;0,"Se superpone con otro registro "&amp;D539,IF(BB539=0,"inicio, fin y duración neta deben ser múltiplos de "&amp;CFG_BLK&amp;" min",""))))))))))))</f>
        <v/>
      </c>
      <c r="BD539" s="80">
        <f>IF(AND(Y539=1,BC539=""),1,0)</f>
        <v>0</v>
      </c>
      <c r="BE539" s="80">
        <f>IF(AND(BD539=1,AU539=1),1,0)</f>
        <v>0</v>
      </c>
      <c r="BF539" s="80" t="str">
        <f>IF(AND(D539="proMX",BD539=1),IF(R539="","Draft",R539),"")</f>
        <v/>
      </c>
      <c r="BG539" s="80">
        <f>IF(BD539=1,ROUND(AG539/60,6),0)</f>
        <v>0</v>
      </c>
      <c r="BH539" s="80">
        <f>IF(BE539=1,ROUND(AG539/60,6),0)</f>
        <v>0</v>
      </c>
      <c r="BI539" s="80">
        <f>IF(BE539=1,ROUND(AP539/60,6),0)</f>
        <v>0</v>
      </c>
      <c r="BJ539" s="80">
        <f>IF(BE539=1,ROUND(AQ539/60,6),0)</f>
        <v>0</v>
      </c>
      <c r="BK539" s="80">
        <f>IF(BE539=1,ROUND((AR539+AS539)/60,6),0)</f>
        <v>0</v>
      </c>
      <c r="BL539" s="80">
        <f>ROUND(BH539-BK539,6)</f>
        <v>0</v>
      </c>
      <c r="BM539" s="80">
        <f>IF(BE539=1,ROUND(AR539/60,6),0)</f>
        <v>0</v>
      </c>
      <c r="BN539" s="80">
        <f>ROUND(BI539-BM539,6)</f>
        <v>0</v>
      </c>
      <c r="BO539" s="80">
        <f>IF(BE539=1,ROUND(AS539/60,6),0)</f>
        <v>0</v>
      </c>
      <c r="BP539" s="80">
        <f>ROUND(BJ539-BO539,6)</f>
        <v>0</v>
      </c>
      <c r="BQ539" s="80">
        <f>IF(BE539=1,AW539,0)</f>
        <v>0</v>
      </c>
      <c r="BR539" s="80">
        <f>IF(BE539=1,AX539,0)</f>
        <v>0</v>
      </c>
      <c r="BS539" s="80">
        <f>IF(AND(BE539=1,D539="Malcolm",BA539&gt;0),MIN(BH539,SUMPRODUCT((R_Emp="proMX")*(R_EN&gt;0)*((R_EN-(R_EN&gt;BR539)*(R_EN-BR539))&gt;(R_SN+(R_SN&lt;BQ539)*(BQ539-R_SN)))*((R_EN-(R_EN&gt;BR539)*(R_EN-BR539))-(R_SN+(R_SN&lt;BQ539)*(BQ539-R_SN))))/60),0)</f>
        <v>0</v>
      </c>
      <c r="BT539" s="80">
        <f>IF(AND(BE539=1,D539="proMX"),ROUND(BI539*CFG_RATE+BJ539*CFG_OTRATE,6),0)</f>
        <v>0</v>
      </c>
      <c r="BU539" s="80">
        <f>IF(AND(BD539=1,D539="proMX"),ROUND(AG539/CFG_BLK,6),0)</f>
        <v>0</v>
      </c>
      <c r="BV539" s="80" t="str">
        <f>IF(BF539="Approved",IF(ISNUMBER(T539),INT(T539),INT(B539)),"")</f>
        <v/>
      </c>
      <c r="BW539" s="80">
        <f>IF(ISNUMBER(B539),IF(DB_MON="Todos",1,IF(AND(INT(B539)&gt;=DB_MS,INT(B539)&lt;=DB_ME),1,0)),0)</f>
        <v>0</v>
      </c>
      <c r="BX539" s="80">
        <f>IF(DB_PROJ="Todos",1,IF(E539&amp;""=DB_PROJ&amp;"",1,0))</f>
        <v>1</v>
      </c>
      <c r="BY539" s="80">
        <f>BW539*BX539</f>
        <v>0</v>
      </c>
      <c r="BZ539" s="80" t="str">
        <f>IF(Y539=1,F539&amp;IF(AND(F539&amp;""&lt;&gt;"",E539&amp;""&lt;&gt;"")," · ","")&amp;E539,"")</f>
        <v/>
      </c>
      <c r="CA539" s="80" t="str">
        <f>IF(AND(BD539=1,E539&amp;""&lt;&gt;""),IF(COUNTIFS($E$5:E538,E539,$BD$5:BD538,1)=0,MAX($CA$5:CA538)+1,""),"")</f>
        <v/>
      </c>
      <c r="CB539" s="80" t="str">
        <f>IF(AND(BE539=1,D539="Malcolm",E539&amp;""&lt;&gt;""),IF(COUNTIFS($D$5:D538,"Malcolm",$E$5:E538,E539,$BE$5:BE538,1)=0,MAX($CB$5:CB538)+1,""),"")</f>
        <v/>
      </c>
      <c r="CC539" s="80" t="str">
        <f>IF(AND(BD539=1,D539="proMX",E539&amp;""&lt;&gt;""),IF(COUNTIFS($D$5:D538,"proMX",$E$5:E538,E539,$BD$5:BD538,1)=0,MAX($CC$5:CC538)+1,""),"")</f>
        <v/>
      </c>
      <c r="CD539" s="80" t="str">
        <f>IF(AND(BE539=1,D539="Malcolm",F539&amp;""&lt;&gt;""),IF(COUNTIFS($D$5:D538,"Malcolm",$F$5:F538,F539,$BE$5:BE538,1)=0,MAX($CD$5:CD538)+1,""),"")</f>
        <v/>
      </c>
      <c r="CE539" s="80" t="str">
        <f>IF(AND(BD539=1,D539="proMX",F539&amp;""&lt;&gt;""),IF(COUNTIFS($D$5:D538,"proMX",$F$5:F538,F539,$BD$5:BD538,1)=0,MAX($CE$5:CE538)+1,""),"")</f>
        <v/>
      </c>
      <c r="CF539" s="80" t="str">
        <f>IF(AND(D539="proMX",BD539=1),IF(OR(BF539="Draft",BF539="Submitted",BF539="Returned",BF539="Recall Requested"),MAX($CF$5:CF538)+1,""),"")</f>
        <v/>
      </c>
      <c r="CG539" s="80">
        <f>IF(BD539=0,0,IF(D539="Malcolm",1,MATCH(BF539,{"Draft","Submitted","Approved","Returned","Recall Requested","Cancelled"},0)+1))</f>
        <v>0</v>
      </c>
      <c r="CH539" s="80">
        <f>IF(AND(BF539="Submitted",ISNUMBER(V539)),IF(V539&gt;CFG_MAXD,1,0),0)</f>
        <v>0</v>
      </c>
    </row>
    <row r="540">
      <c r="A540" s="71" t="str">
        <f>IF(Y540=1,ROW()-5,"")</f>
        <v/>
      </c>
      <c r="B540" s="72" t="n"/>
      <c r="C540" s="71" t="str">
        <f>IF(ISNUMBER(B540),CHOOSE(WEEKDAY(B540,2),"Lun","Mar","Mié","Jue","Vie","Sáb","Dom"),"")</f>
        <v/>
      </c>
      <c r="D540" s="73" t="n"/>
      <c r="E540" s="74" t="n"/>
      <c r="F540" s="74" t="n"/>
      <c r="G540" s="74" t="n"/>
      <c r="H540" s="75" t="n"/>
      <c r="I540" s="75" t="n"/>
      <c r="J540" s="76" t="n"/>
      <c r="K540" s="77" t="str">
        <f>IF(AB540=1,ROUND(AG540/60,4),"")</f>
        <v/>
      </c>
      <c r="L540" s="77" t="str">
        <f>IF(BD540=1,ROUND(AP540/60,4),"")</f>
        <v/>
      </c>
      <c r="M540" s="77" t="str">
        <f>IF(BD540=1,ROUND(AQ540/60,4),"")</f>
        <v/>
      </c>
      <c r="N540" s="71" t="str">
        <f>IF(AND(D540="proMX",AB540=1),ROUND(AG540/CFG_BLK,2),"")</f>
        <v/>
      </c>
      <c r="O540" s="77" t="str">
        <f>IF(D540="proMX",IF(BD540=1,ROUND(AG540/60,4),0),"")</f>
        <v/>
      </c>
      <c r="P540" s="78" t="str">
        <f>IF(Y540=0,"",IF(BD540=1,"OK",IF(D540="proMX","Revisar bloques: ","Revisar: ")&amp;BC540))</f>
        <v/>
      </c>
      <c r="Q540" s="78" t="str">
        <f>IF(NOT(ISNUMBER(B540)),"",IF(COUNTIFS(FER_F,INT(B540))&gt;0,"Feriado"&amp;IF(AH540=1," (laborable)"," (no laborable)"),IF(AH540=1,"Laborable",IF(WEEKDAY(B540,2)&gt;5,"Fin de semana","No laborable"))))</f>
        <v/>
      </c>
      <c r="R540" s="73" t="n"/>
      <c r="S540" s="72" t="n"/>
      <c r="T540" s="72" t="n"/>
      <c r="U540" s="74" t="n"/>
      <c r="V540" s="79" t="str">
        <f>IF(AND(D540="proMX",OR(R540="Submitted",R540="Recall Requested"),ISNUMBER(S540)),CFG_TODAY-INT(S540),"")</f>
        <v/>
      </c>
      <c r="W540" s="78" t="str">
        <f>IF(BD540=0,"",IF(BA540&gt;0,"⚠ Se superpone con un registro de la otra empresa",IF(D540="Malcolm",IF(COUNTA(R540,S540,T540)&gt;0,"Estado/fechas proMX se ignoran en Malcolm",""),IF(BF540="Cancelled","Cancelado: excluido de totales",IF(R540="","Sin estado: se trata como Draft",IF(BF540="Submitted",IF(ISNUMBER(V540),IF(V540&gt;CFG_MAXD,"⚠ "&amp;V540&amp;" días en Submitted (máx. "&amp;CFG_MAXD&amp;")",""),"Falta fecha de envío"),IF(BF540="Returned","⚠ Devuelto: corregir y reenviar",IF(BF540="Recall Requested","Retirada solicitada: pendiente",IF(AND(BF540="Approved",NOT(ISNUMBER(T540))),"Falta fecha de aprobación",IF(AND(ISNUMBER(S540),ISNUMBER(T540),T540&lt;S540),"Aprobación anterior al envío","")))))))))</f>
        <v/>
      </c>
      <c r="Y540" s="80">
        <f>IF(COUNTA(B540,D540,E540,F540,G540,H540,I540,J540,R540,S540,T540)&gt;0,1,0)</f>
        <v>0</v>
      </c>
      <c r="Z540" s="80" t="str">
        <f>IF(AND(ISNUMBER(H540),H540&gt;=0,H540&lt;1),ROUND(H540*1440,0),"")</f>
        <v/>
      </c>
      <c r="AA540" s="80" t="str">
        <f>IF(AND(ISNUMBER(I540),I540&gt;=0,I540&lt;1),ROUND(I540*1440,0),"")</f>
        <v/>
      </c>
      <c r="AB540" s="80">
        <f>IF(AND(ISNUMBER(B540),D540&lt;&gt;"",ISNUMBER(Z540),ISNUMBER(AA540)),IF(Z540=AA540,0,1),0)</f>
        <v>0</v>
      </c>
      <c r="AC540" s="80">
        <f>IF(AB540=1,IF(AA540&lt;Z540,1,0),0)</f>
        <v>0</v>
      </c>
      <c r="AD540" s="80">
        <f>IF(AB540=1,IF(AC540=1,1440-Z540+AA540,AA540-Z540),0)</f>
        <v>0</v>
      </c>
      <c r="AE540" s="80">
        <f>IF(J540="",0,IF(ISNUMBER(J540),J540,-1))</f>
        <v>0</v>
      </c>
      <c r="AF540" s="80">
        <f>MIN(MAX(0,AE540),AD540)</f>
        <v>0</v>
      </c>
      <c r="AG540" s="80">
        <f>MAX(0,AD540-MAX(0,AE540))</f>
        <v>0</v>
      </c>
      <c r="AH540" s="80">
        <f>IF(ISNUMBER(B540),IF(AND(INDEX(CFG_WDAYS,WEEKDAY(INT(B540),2))="Sí",IF(D540="proMX",COUNTIFS(FER_F,INT(B540),FER_NLP,"Sí"),COUNTIFS(FER_F,INT(B540),FER_NLM,"Sí"))=0),1,0),0)</f>
        <v>0</v>
      </c>
      <c r="AI540" s="80">
        <f>IF(AC540=1,IF(AND(INDEX(CFG_WDAYS,WEEKDAY(INT(B540)+1,2))="Sí",IF(D540="proMX",COUNTIFS(FER_F,INT(B540)+1,FER_NLP,"Sí"),COUNTIFS(FER_F,INT(B540)+1,FER_NLM,"Sí"))=0),1,0),0)</f>
        <v>0</v>
      </c>
      <c r="AJ540" s="80">
        <f>IF(AC540=1,1440-Z540,AD540)</f>
        <v>0</v>
      </c>
      <c r="AK540" s="80">
        <f>IF(AND(AB540=1,AH540=1),MAX(0,MIN(IF(AC540=1,1440,AA540),CFG_WEM)-MAX(Z540,CFG_WSM)),0)</f>
        <v>0</v>
      </c>
      <c r="AL540" s="80">
        <f>IF(AND(AC540=1,AI540=1),MAX(0,MIN(AA540,CFG_WEM)-CFG_WSM),0)</f>
        <v>0</v>
      </c>
      <c r="AM540" s="80">
        <f>AK540+AL540</f>
        <v>0</v>
      </c>
      <c r="AN540" s="80">
        <f>IF(CFG_BRK="Proporcional",IF(AD540=0,0,AF540*AM540/AD540),IF(CFG_BRK="Extras primero",MIN(AM540,MAX(0,AF540-(AD540-AM540))),MIN(AF540,AM540)))</f>
        <v>0</v>
      </c>
      <c r="AO540" s="80">
        <f>AF540-AN540</f>
        <v>0</v>
      </c>
      <c r="AP540" s="80">
        <f>AM540-AN540</f>
        <v>0</v>
      </c>
      <c r="AQ540" s="80">
        <f>AD540-AM540-AO540</f>
        <v>0</v>
      </c>
      <c r="AR540" s="80">
        <f>IF(AM540=0,0,AK540-AN540*AK540/AM540)</f>
        <v>0</v>
      </c>
      <c r="AS540" s="80">
        <f>IF(AD540-AM540=0,0,(AJ540-AK540)-AO540*(AJ540-AK540)/(AD540-AM540))</f>
        <v>0</v>
      </c>
      <c r="AT540" s="80" t="str">
        <f>IF(AC540=1,INT(B540)+1,"")</f>
        <v/>
      </c>
      <c r="AU540" s="80">
        <f>IF(AND(D540="proMX",R540="Cancelled"),0,1)</f>
        <v>1</v>
      </c>
      <c r="AV540" s="80">
        <f>IF(AND(AB540=1,AU540=1),IF(COUNTIFS($D$5:D539,D540,$B$5:B539,B540,$Z$5:Z539,Z540,$AA$5:AA539,AA540,$F$5:F539,F540&amp;"",$AU$5:AU539,1)&gt;0,1,0),0)</f>
        <v>0</v>
      </c>
      <c r="AW540" s="80" t="str">
        <f>IF(AB540=1,INT(B540)*1440+Z540,"")</f>
        <v/>
      </c>
      <c r="AX540" s="80" t="str">
        <f>IF(AB540=1,AW540+AD540,"")</f>
        <v/>
      </c>
      <c r="AY540" s="80">
        <f>IF(AND(AB540=1,AV540=0,AU540=1),1,0)</f>
        <v>0</v>
      </c>
      <c r="AZ540" s="80">
        <f>IF(AY540=1,COUNTIFS(R_Emp,D540,R_SAbs,"&lt;"&amp;AX540,R_EAbs,"&gt;"&amp;AW540,R_OKey,1)-1,0)</f>
        <v>0</v>
      </c>
      <c r="BA540" s="80">
        <f>IF(AY540=1,COUNTIFS(R_Emp,"&lt;&gt;"&amp;D540,R_SAbs,"&lt;"&amp;AX540,R_EAbs,"&gt;"&amp;AW540,R_OKey,1),0)</f>
        <v>0</v>
      </c>
      <c r="BB540" s="80">
        <f>IF(AND(AB540=1,D540="proMX"),IF(AND(MOD(Z540,CFG_BLK)=0,MOD(AA540,CFG_BLK)=0,MOD(AG540,CFG_BLK)=0,AG540&gt;0),1,0),1)</f>
        <v>1</v>
      </c>
      <c r="BC540" s="80" t="str">
        <f>IF(Y540=0,"",IF(NOT(ISNUMBER(B540)),"Falta fecha o fecha inválida",IF(D540="","Falta empresa",IF(AND(D540&lt;&gt;"Malcolm",D540&lt;&gt;"proMX"),"Empresa inválida",IF(OR(INT(B540)&lt;CFG_PSTART,INT(B540)&gt;CFG_PEND),"Fecha fuera del período",IF(OR(NOT(ISNUMBER(Z540)),NOT(ISNUMBER(AA540))),"Falta hora inicio/fin o formato inválido",IF(AB540=0,"Hora inicio = hora fin",IF(AE540&lt;0,"Descanso inválido",IF(AE540&gt;=AD540,"Descanso ≥ duración",IF(AV540=1,"Registro duplicado",IF(AZ540&gt;0,"Se superpone con otro registro "&amp;D540,IF(BB540=0,"inicio, fin y duración neta deben ser múltiplos de "&amp;CFG_BLK&amp;" min",""))))))))))))</f>
        <v/>
      </c>
      <c r="BD540" s="80">
        <f>IF(AND(Y540=1,BC540=""),1,0)</f>
        <v>0</v>
      </c>
      <c r="BE540" s="80">
        <f>IF(AND(BD540=1,AU540=1),1,0)</f>
        <v>0</v>
      </c>
      <c r="BF540" s="80" t="str">
        <f>IF(AND(D540="proMX",BD540=1),IF(R540="","Draft",R540),"")</f>
        <v/>
      </c>
      <c r="BG540" s="80">
        <f>IF(BD540=1,ROUND(AG540/60,6),0)</f>
        <v>0</v>
      </c>
      <c r="BH540" s="80">
        <f>IF(BE540=1,ROUND(AG540/60,6),0)</f>
        <v>0</v>
      </c>
      <c r="BI540" s="80">
        <f>IF(BE540=1,ROUND(AP540/60,6),0)</f>
        <v>0</v>
      </c>
      <c r="BJ540" s="80">
        <f>IF(BE540=1,ROUND(AQ540/60,6),0)</f>
        <v>0</v>
      </c>
      <c r="BK540" s="80">
        <f>IF(BE540=1,ROUND((AR540+AS540)/60,6),0)</f>
        <v>0</v>
      </c>
      <c r="BL540" s="80">
        <f>ROUND(BH540-BK540,6)</f>
        <v>0</v>
      </c>
      <c r="BM540" s="80">
        <f>IF(BE540=1,ROUND(AR540/60,6),0)</f>
        <v>0</v>
      </c>
      <c r="BN540" s="80">
        <f>ROUND(BI540-BM540,6)</f>
        <v>0</v>
      </c>
      <c r="BO540" s="80">
        <f>IF(BE540=1,ROUND(AS540/60,6),0)</f>
        <v>0</v>
      </c>
      <c r="BP540" s="80">
        <f>ROUND(BJ540-BO540,6)</f>
        <v>0</v>
      </c>
      <c r="BQ540" s="80">
        <f>IF(BE540=1,AW540,0)</f>
        <v>0</v>
      </c>
      <c r="BR540" s="80">
        <f>IF(BE540=1,AX540,0)</f>
        <v>0</v>
      </c>
      <c r="BS540" s="80">
        <f>IF(AND(BE540=1,D540="Malcolm",BA540&gt;0),MIN(BH540,SUMPRODUCT((R_Emp="proMX")*(R_EN&gt;0)*((R_EN-(R_EN&gt;BR540)*(R_EN-BR540))&gt;(R_SN+(R_SN&lt;BQ540)*(BQ540-R_SN)))*((R_EN-(R_EN&gt;BR540)*(R_EN-BR540))-(R_SN+(R_SN&lt;BQ540)*(BQ540-R_SN))))/60),0)</f>
        <v>0</v>
      </c>
      <c r="BT540" s="80">
        <f>IF(AND(BE540=1,D540="proMX"),ROUND(BI540*CFG_RATE+BJ540*CFG_OTRATE,6),0)</f>
        <v>0</v>
      </c>
      <c r="BU540" s="80">
        <f>IF(AND(BD540=1,D540="proMX"),ROUND(AG540/CFG_BLK,6),0)</f>
        <v>0</v>
      </c>
      <c r="BV540" s="80" t="str">
        <f>IF(BF540="Approved",IF(ISNUMBER(T540),INT(T540),INT(B540)),"")</f>
        <v/>
      </c>
      <c r="BW540" s="80">
        <f>IF(ISNUMBER(B540),IF(DB_MON="Todos",1,IF(AND(INT(B540)&gt;=DB_MS,INT(B540)&lt;=DB_ME),1,0)),0)</f>
        <v>0</v>
      </c>
      <c r="BX540" s="80">
        <f>IF(DB_PROJ="Todos",1,IF(E540&amp;""=DB_PROJ&amp;"",1,0))</f>
        <v>1</v>
      </c>
      <c r="BY540" s="80">
        <f>BW540*BX540</f>
        <v>0</v>
      </c>
      <c r="BZ540" s="80" t="str">
        <f>IF(Y540=1,F540&amp;IF(AND(F540&amp;""&lt;&gt;"",E540&amp;""&lt;&gt;"")," · ","")&amp;E540,"")</f>
        <v/>
      </c>
      <c r="CA540" s="80" t="str">
        <f>IF(AND(BD540=1,E540&amp;""&lt;&gt;""),IF(COUNTIFS($E$5:E539,E540,$BD$5:BD539,1)=0,MAX($CA$5:CA539)+1,""),"")</f>
        <v/>
      </c>
      <c r="CB540" s="80" t="str">
        <f>IF(AND(BE540=1,D540="Malcolm",E540&amp;""&lt;&gt;""),IF(COUNTIFS($D$5:D539,"Malcolm",$E$5:E539,E540,$BE$5:BE539,1)=0,MAX($CB$5:CB539)+1,""),"")</f>
        <v/>
      </c>
      <c r="CC540" s="80" t="str">
        <f>IF(AND(BD540=1,D540="proMX",E540&amp;""&lt;&gt;""),IF(COUNTIFS($D$5:D539,"proMX",$E$5:E539,E540,$BD$5:BD539,1)=0,MAX($CC$5:CC539)+1,""),"")</f>
        <v/>
      </c>
      <c r="CD540" s="80" t="str">
        <f>IF(AND(BE540=1,D540="Malcolm",F540&amp;""&lt;&gt;""),IF(COUNTIFS($D$5:D539,"Malcolm",$F$5:F539,F540,$BE$5:BE539,1)=0,MAX($CD$5:CD539)+1,""),"")</f>
        <v/>
      </c>
      <c r="CE540" s="80" t="str">
        <f>IF(AND(BD540=1,D540="proMX",F540&amp;""&lt;&gt;""),IF(COUNTIFS($D$5:D539,"proMX",$F$5:F539,F540,$BD$5:BD539,1)=0,MAX($CE$5:CE539)+1,""),"")</f>
        <v/>
      </c>
      <c r="CF540" s="80" t="str">
        <f>IF(AND(D540="proMX",BD540=1),IF(OR(BF540="Draft",BF540="Submitted",BF540="Returned",BF540="Recall Requested"),MAX($CF$5:CF539)+1,""),"")</f>
        <v/>
      </c>
      <c r="CG540" s="80">
        <f>IF(BD540=0,0,IF(D540="Malcolm",1,MATCH(BF540,{"Draft","Submitted","Approved","Returned","Recall Requested","Cancelled"},0)+1))</f>
        <v>0</v>
      </c>
      <c r="CH540" s="80">
        <f>IF(AND(BF540="Submitted",ISNUMBER(V540)),IF(V540&gt;CFG_MAXD,1,0),0)</f>
        <v>0</v>
      </c>
    </row>
    <row r="541">
      <c r="A541" s="71" t="str">
        <f>IF(Y541=1,ROW()-5,"")</f>
        <v/>
      </c>
      <c r="B541" s="72" t="n"/>
      <c r="C541" s="71" t="str">
        <f>IF(ISNUMBER(B541),CHOOSE(WEEKDAY(B541,2),"Lun","Mar","Mié","Jue","Vie","Sáb","Dom"),"")</f>
        <v/>
      </c>
      <c r="D541" s="73" t="n"/>
      <c r="E541" s="74" t="n"/>
      <c r="F541" s="74" t="n"/>
      <c r="G541" s="74" t="n"/>
      <c r="H541" s="75" t="n"/>
      <c r="I541" s="75" t="n"/>
      <c r="J541" s="76" t="n"/>
      <c r="K541" s="77" t="str">
        <f>IF(AB541=1,ROUND(AG541/60,4),"")</f>
        <v/>
      </c>
      <c r="L541" s="77" t="str">
        <f>IF(BD541=1,ROUND(AP541/60,4),"")</f>
        <v/>
      </c>
      <c r="M541" s="77" t="str">
        <f>IF(BD541=1,ROUND(AQ541/60,4),"")</f>
        <v/>
      </c>
      <c r="N541" s="71" t="str">
        <f>IF(AND(D541="proMX",AB541=1),ROUND(AG541/CFG_BLK,2),"")</f>
        <v/>
      </c>
      <c r="O541" s="77" t="str">
        <f>IF(D541="proMX",IF(BD541=1,ROUND(AG541/60,4),0),"")</f>
        <v/>
      </c>
      <c r="P541" s="78" t="str">
        <f>IF(Y541=0,"",IF(BD541=1,"OK",IF(D541="proMX","Revisar bloques: ","Revisar: ")&amp;BC541))</f>
        <v/>
      </c>
      <c r="Q541" s="78" t="str">
        <f>IF(NOT(ISNUMBER(B541)),"",IF(COUNTIFS(FER_F,INT(B541))&gt;0,"Feriado"&amp;IF(AH541=1," (laborable)"," (no laborable)"),IF(AH541=1,"Laborable",IF(WEEKDAY(B541,2)&gt;5,"Fin de semana","No laborable"))))</f>
        <v/>
      </c>
      <c r="R541" s="73" t="n"/>
      <c r="S541" s="72" t="n"/>
      <c r="T541" s="72" t="n"/>
      <c r="U541" s="74" t="n"/>
      <c r="V541" s="79" t="str">
        <f>IF(AND(D541="proMX",OR(R541="Submitted",R541="Recall Requested"),ISNUMBER(S541)),CFG_TODAY-INT(S541),"")</f>
        <v/>
      </c>
      <c r="W541" s="78" t="str">
        <f>IF(BD541=0,"",IF(BA541&gt;0,"⚠ Se superpone con un registro de la otra empresa",IF(D541="Malcolm",IF(COUNTA(R541,S541,T541)&gt;0,"Estado/fechas proMX se ignoran en Malcolm",""),IF(BF541="Cancelled","Cancelado: excluido de totales",IF(R541="","Sin estado: se trata como Draft",IF(BF541="Submitted",IF(ISNUMBER(V541),IF(V541&gt;CFG_MAXD,"⚠ "&amp;V541&amp;" días en Submitted (máx. "&amp;CFG_MAXD&amp;")",""),"Falta fecha de envío"),IF(BF541="Returned","⚠ Devuelto: corregir y reenviar",IF(BF541="Recall Requested","Retirada solicitada: pendiente",IF(AND(BF541="Approved",NOT(ISNUMBER(T541))),"Falta fecha de aprobación",IF(AND(ISNUMBER(S541),ISNUMBER(T541),T541&lt;S541),"Aprobación anterior al envío","")))))))))</f>
        <v/>
      </c>
      <c r="Y541" s="80">
        <f>IF(COUNTA(B541,D541,E541,F541,G541,H541,I541,J541,R541,S541,T541)&gt;0,1,0)</f>
        <v>0</v>
      </c>
      <c r="Z541" s="80" t="str">
        <f>IF(AND(ISNUMBER(H541),H541&gt;=0,H541&lt;1),ROUND(H541*1440,0),"")</f>
        <v/>
      </c>
      <c r="AA541" s="80" t="str">
        <f>IF(AND(ISNUMBER(I541),I541&gt;=0,I541&lt;1),ROUND(I541*1440,0),"")</f>
        <v/>
      </c>
      <c r="AB541" s="80">
        <f>IF(AND(ISNUMBER(B541),D541&lt;&gt;"",ISNUMBER(Z541),ISNUMBER(AA541)),IF(Z541=AA541,0,1),0)</f>
        <v>0</v>
      </c>
      <c r="AC541" s="80">
        <f>IF(AB541=1,IF(AA541&lt;Z541,1,0),0)</f>
        <v>0</v>
      </c>
      <c r="AD541" s="80">
        <f>IF(AB541=1,IF(AC541=1,1440-Z541+AA541,AA541-Z541),0)</f>
        <v>0</v>
      </c>
      <c r="AE541" s="80">
        <f>IF(J541="",0,IF(ISNUMBER(J541),J541,-1))</f>
        <v>0</v>
      </c>
      <c r="AF541" s="80">
        <f>MIN(MAX(0,AE541),AD541)</f>
        <v>0</v>
      </c>
      <c r="AG541" s="80">
        <f>MAX(0,AD541-MAX(0,AE541))</f>
        <v>0</v>
      </c>
      <c r="AH541" s="80">
        <f>IF(ISNUMBER(B541),IF(AND(INDEX(CFG_WDAYS,WEEKDAY(INT(B541),2))="Sí",IF(D541="proMX",COUNTIFS(FER_F,INT(B541),FER_NLP,"Sí"),COUNTIFS(FER_F,INT(B541),FER_NLM,"Sí"))=0),1,0),0)</f>
        <v>0</v>
      </c>
      <c r="AI541" s="80">
        <f>IF(AC541=1,IF(AND(INDEX(CFG_WDAYS,WEEKDAY(INT(B541)+1,2))="Sí",IF(D541="proMX",COUNTIFS(FER_F,INT(B541)+1,FER_NLP,"Sí"),COUNTIFS(FER_F,INT(B541)+1,FER_NLM,"Sí"))=0),1,0),0)</f>
        <v>0</v>
      </c>
      <c r="AJ541" s="80">
        <f>IF(AC541=1,1440-Z541,AD541)</f>
        <v>0</v>
      </c>
      <c r="AK541" s="80">
        <f>IF(AND(AB541=1,AH541=1),MAX(0,MIN(IF(AC541=1,1440,AA541),CFG_WEM)-MAX(Z541,CFG_WSM)),0)</f>
        <v>0</v>
      </c>
      <c r="AL541" s="80">
        <f>IF(AND(AC541=1,AI541=1),MAX(0,MIN(AA541,CFG_WEM)-CFG_WSM),0)</f>
        <v>0</v>
      </c>
      <c r="AM541" s="80">
        <f>AK541+AL541</f>
        <v>0</v>
      </c>
      <c r="AN541" s="80">
        <f>IF(CFG_BRK="Proporcional",IF(AD541=0,0,AF541*AM541/AD541),IF(CFG_BRK="Extras primero",MIN(AM541,MAX(0,AF541-(AD541-AM541))),MIN(AF541,AM541)))</f>
        <v>0</v>
      </c>
      <c r="AO541" s="80">
        <f>AF541-AN541</f>
        <v>0</v>
      </c>
      <c r="AP541" s="80">
        <f>AM541-AN541</f>
        <v>0</v>
      </c>
      <c r="AQ541" s="80">
        <f>AD541-AM541-AO541</f>
        <v>0</v>
      </c>
      <c r="AR541" s="80">
        <f>IF(AM541=0,0,AK541-AN541*AK541/AM541)</f>
        <v>0</v>
      </c>
      <c r="AS541" s="80">
        <f>IF(AD541-AM541=0,0,(AJ541-AK541)-AO541*(AJ541-AK541)/(AD541-AM541))</f>
        <v>0</v>
      </c>
      <c r="AT541" s="80" t="str">
        <f>IF(AC541=1,INT(B541)+1,"")</f>
        <v/>
      </c>
      <c r="AU541" s="80">
        <f>IF(AND(D541="proMX",R541="Cancelled"),0,1)</f>
        <v>1</v>
      </c>
      <c r="AV541" s="80">
        <f>IF(AND(AB541=1,AU541=1),IF(COUNTIFS($D$5:D540,D541,$B$5:B540,B541,$Z$5:Z540,Z541,$AA$5:AA540,AA541,$F$5:F540,F541&amp;"",$AU$5:AU540,1)&gt;0,1,0),0)</f>
        <v>0</v>
      </c>
      <c r="AW541" s="80" t="str">
        <f>IF(AB541=1,INT(B541)*1440+Z541,"")</f>
        <v/>
      </c>
      <c r="AX541" s="80" t="str">
        <f>IF(AB541=1,AW541+AD541,"")</f>
        <v/>
      </c>
      <c r="AY541" s="80">
        <f>IF(AND(AB541=1,AV541=0,AU541=1),1,0)</f>
        <v>0</v>
      </c>
      <c r="AZ541" s="80">
        <f>IF(AY541=1,COUNTIFS(R_Emp,D541,R_SAbs,"&lt;"&amp;AX541,R_EAbs,"&gt;"&amp;AW541,R_OKey,1)-1,0)</f>
        <v>0</v>
      </c>
      <c r="BA541" s="80">
        <f>IF(AY541=1,COUNTIFS(R_Emp,"&lt;&gt;"&amp;D541,R_SAbs,"&lt;"&amp;AX541,R_EAbs,"&gt;"&amp;AW541,R_OKey,1),0)</f>
        <v>0</v>
      </c>
      <c r="BB541" s="80">
        <f>IF(AND(AB541=1,D541="proMX"),IF(AND(MOD(Z541,CFG_BLK)=0,MOD(AA541,CFG_BLK)=0,MOD(AG541,CFG_BLK)=0,AG541&gt;0),1,0),1)</f>
        <v>1</v>
      </c>
      <c r="BC541" s="80" t="str">
        <f>IF(Y541=0,"",IF(NOT(ISNUMBER(B541)),"Falta fecha o fecha inválida",IF(D541="","Falta empresa",IF(AND(D541&lt;&gt;"Malcolm",D541&lt;&gt;"proMX"),"Empresa inválida",IF(OR(INT(B541)&lt;CFG_PSTART,INT(B541)&gt;CFG_PEND),"Fecha fuera del período",IF(OR(NOT(ISNUMBER(Z541)),NOT(ISNUMBER(AA541))),"Falta hora inicio/fin o formato inválido",IF(AB541=0,"Hora inicio = hora fin",IF(AE541&lt;0,"Descanso inválido",IF(AE541&gt;=AD541,"Descanso ≥ duración",IF(AV541=1,"Registro duplicado",IF(AZ541&gt;0,"Se superpone con otro registro "&amp;D541,IF(BB541=0,"inicio, fin y duración neta deben ser múltiplos de "&amp;CFG_BLK&amp;" min",""))))))))))))</f>
        <v/>
      </c>
      <c r="BD541" s="80">
        <f>IF(AND(Y541=1,BC541=""),1,0)</f>
        <v>0</v>
      </c>
      <c r="BE541" s="80">
        <f>IF(AND(BD541=1,AU541=1),1,0)</f>
        <v>0</v>
      </c>
      <c r="BF541" s="80" t="str">
        <f>IF(AND(D541="proMX",BD541=1),IF(R541="","Draft",R541),"")</f>
        <v/>
      </c>
      <c r="BG541" s="80">
        <f>IF(BD541=1,ROUND(AG541/60,6),0)</f>
        <v>0</v>
      </c>
      <c r="BH541" s="80">
        <f>IF(BE541=1,ROUND(AG541/60,6),0)</f>
        <v>0</v>
      </c>
      <c r="BI541" s="80">
        <f>IF(BE541=1,ROUND(AP541/60,6),0)</f>
        <v>0</v>
      </c>
      <c r="BJ541" s="80">
        <f>IF(BE541=1,ROUND(AQ541/60,6),0)</f>
        <v>0</v>
      </c>
      <c r="BK541" s="80">
        <f>IF(BE541=1,ROUND((AR541+AS541)/60,6),0)</f>
        <v>0</v>
      </c>
      <c r="BL541" s="80">
        <f>ROUND(BH541-BK541,6)</f>
        <v>0</v>
      </c>
      <c r="BM541" s="80">
        <f>IF(BE541=1,ROUND(AR541/60,6),0)</f>
        <v>0</v>
      </c>
      <c r="BN541" s="80">
        <f>ROUND(BI541-BM541,6)</f>
        <v>0</v>
      </c>
      <c r="BO541" s="80">
        <f>IF(BE541=1,ROUND(AS541/60,6),0)</f>
        <v>0</v>
      </c>
      <c r="BP541" s="80">
        <f>ROUND(BJ541-BO541,6)</f>
        <v>0</v>
      </c>
      <c r="BQ541" s="80">
        <f>IF(BE541=1,AW541,0)</f>
        <v>0</v>
      </c>
      <c r="BR541" s="80">
        <f>IF(BE541=1,AX541,0)</f>
        <v>0</v>
      </c>
      <c r="BS541" s="80">
        <f>IF(AND(BE541=1,D541="Malcolm",BA541&gt;0),MIN(BH541,SUMPRODUCT((R_Emp="proMX")*(R_EN&gt;0)*((R_EN-(R_EN&gt;BR541)*(R_EN-BR541))&gt;(R_SN+(R_SN&lt;BQ541)*(BQ541-R_SN)))*((R_EN-(R_EN&gt;BR541)*(R_EN-BR541))-(R_SN+(R_SN&lt;BQ541)*(BQ541-R_SN))))/60),0)</f>
        <v>0</v>
      </c>
      <c r="BT541" s="80">
        <f>IF(AND(BE541=1,D541="proMX"),ROUND(BI541*CFG_RATE+BJ541*CFG_OTRATE,6),0)</f>
        <v>0</v>
      </c>
      <c r="BU541" s="80">
        <f>IF(AND(BD541=1,D541="proMX"),ROUND(AG541/CFG_BLK,6),0)</f>
        <v>0</v>
      </c>
      <c r="BV541" s="80" t="str">
        <f>IF(BF541="Approved",IF(ISNUMBER(T541),INT(T541),INT(B541)),"")</f>
        <v/>
      </c>
      <c r="BW541" s="80">
        <f>IF(ISNUMBER(B541),IF(DB_MON="Todos",1,IF(AND(INT(B541)&gt;=DB_MS,INT(B541)&lt;=DB_ME),1,0)),0)</f>
        <v>0</v>
      </c>
      <c r="BX541" s="80">
        <f>IF(DB_PROJ="Todos",1,IF(E541&amp;""=DB_PROJ&amp;"",1,0))</f>
        <v>1</v>
      </c>
      <c r="BY541" s="80">
        <f>BW541*BX541</f>
        <v>0</v>
      </c>
      <c r="BZ541" s="80" t="str">
        <f>IF(Y541=1,F541&amp;IF(AND(F541&amp;""&lt;&gt;"",E541&amp;""&lt;&gt;"")," · ","")&amp;E541,"")</f>
        <v/>
      </c>
      <c r="CA541" s="80" t="str">
        <f>IF(AND(BD541=1,E541&amp;""&lt;&gt;""),IF(COUNTIFS($E$5:E540,E541,$BD$5:BD540,1)=0,MAX($CA$5:CA540)+1,""),"")</f>
        <v/>
      </c>
      <c r="CB541" s="80" t="str">
        <f>IF(AND(BE541=1,D541="Malcolm",E541&amp;""&lt;&gt;""),IF(COUNTIFS($D$5:D540,"Malcolm",$E$5:E540,E541,$BE$5:BE540,1)=0,MAX($CB$5:CB540)+1,""),"")</f>
        <v/>
      </c>
      <c r="CC541" s="80" t="str">
        <f>IF(AND(BD541=1,D541="proMX",E541&amp;""&lt;&gt;""),IF(COUNTIFS($D$5:D540,"proMX",$E$5:E540,E541,$BD$5:BD540,1)=0,MAX($CC$5:CC540)+1,""),"")</f>
        <v/>
      </c>
      <c r="CD541" s="80" t="str">
        <f>IF(AND(BE541=1,D541="Malcolm",F541&amp;""&lt;&gt;""),IF(COUNTIFS($D$5:D540,"Malcolm",$F$5:F540,F541,$BE$5:BE540,1)=0,MAX($CD$5:CD540)+1,""),"")</f>
        <v/>
      </c>
      <c r="CE541" s="80" t="str">
        <f>IF(AND(BD541=1,D541="proMX",F541&amp;""&lt;&gt;""),IF(COUNTIFS($D$5:D540,"proMX",$F$5:F540,F541,$BD$5:BD540,1)=0,MAX($CE$5:CE540)+1,""),"")</f>
        <v/>
      </c>
      <c r="CF541" s="80" t="str">
        <f>IF(AND(D541="proMX",BD541=1),IF(OR(BF541="Draft",BF541="Submitted",BF541="Returned",BF541="Recall Requested"),MAX($CF$5:CF540)+1,""),"")</f>
        <v/>
      </c>
      <c r="CG541" s="80">
        <f>IF(BD541=0,0,IF(D541="Malcolm",1,MATCH(BF541,{"Draft","Submitted","Approved","Returned","Recall Requested","Cancelled"},0)+1))</f>
        <v>0</v>
      </c>
      <c r="CH541" s="80">
        <f>IF(AND(BF541="Submitted",ISNUMBER(V541)),IF(V541&gt;CFG_MAXD,1,0),0)</f>
        <v>0</v>
      </c>
    </row>
    <row r="542">
      <c r="A542" s="71" t="str">
        <f>IF(Y542=1,ROW()-5,"")</f>
        <v/>
      </c>
      <c r="B542" s="72" t="n"/>
      <c r="C542" s="71" t="str">
        <f>IF(ISNUMBER(B542),CHOOSE(WEEKDAY(B542,2),"Lun","Mar","Mié","Jue","Vie","Sáb","Dom"),"")</f>
        <v/>
      </c>
      <c r="D542" s="73" t="n"/>
      <c r="E542" s="74" t="n"/>
      <c r="F542" s="74" t="n"/>
      <c r="G542" s="74" t="n"/>
      <c r="H542" s="75" t="n"/>
      <c r="I542" s="75" t="n"/>
      <c r="J542" s="76" t="n"/>
      <c r="K542" s="77" t="str">
        <f>IF(AB542=1,ROUND(AG542/60,4),"")</f>
        <v/>
      </c>
      <c r="L542" s="77" t="str">
        <f>IF(BD542=1,ROUND(AP542/60,4),"")</f>
        <v/>
      </c>
      <c r="M542" s="77" t="str">
        <f>IF(BD542=1,ROUND(AQ542/60,4),"")</f>
        <v/>
      </c>
      <c r="N542" s="71" t="str">
        <f>IF(AND(D542="proMX",AB542=1),ROUND(AG542/CFG_BLK,2),"")</f>
        <v/>
      </c>
      <c r="O542" s="77" t="str">
        <f>IF(D542="proMX",IF(BD542=1,ROUND(AG542/60,4),0),"")</f>
        <v/>
      </c>
      <c r="P542" s="78" t="str">
        <f>IF(Y542=0,"",IF(BD542=1,"OK",IF(D542="proMX","Revisar bloques: ","Revisar: ")&amp;BC542))</f>
        <v/>
      </c>
      <c r="Q542" s="78" t="str">
        <f>IF(NOT(ISNUMBER(B542)),"",IF(COUNTIFS(FER_F,INT(B542))&gt;0,"Feriado"&amp;IF(AH542=1," (laborable)"," (no laborable)"),IF(AH542=1,"Laborable",IF(WEEKDAY(B542,2)&gt;5,"Fin de semana","No laborable"))))</f>
        <v/>
      </c>
      <c r="R542" s="73" t="n"/>
      <c r="S542" s="72" t="n"/>
      <c r="T542" s="72" t="n"/>
      <c r="U542" s="74" t="n"/>
      <c r="V542" s="79" t="str">
        <f>IF(AND(D542="proMX",OR(R542="Submitted",R542="Recall Requested"),ISNUMBER(S542)),CFG_TODAY-INT(S542),"")</f>
        <v/>
      </c>
      <c r="W542" s="78" t="str">
        <f>IF(BD542=0,"",IF(BA542&gt;0,"⚠ Se superpone con un registro de la otra empresa",IF(D542="Malcolm",IF(COUNTA(R542,S542,T542)&gt;0,"Estado/fechas proMX se ignoran en Malcolm",""),IF(BF542="Cancelled","Cancelado: excluido de totales",IF(R542="","Sin estado: se trata como Draft",IF(BF542="Submitted",IF(ISNUMBER(V542),IF(V542&gt;CFG_MAXD,"⚠ "&amp;V542&amp;" días en Submitted (máx. "&amp;CFG_MAXD&amp;")",""),"Falta fecha de envío"),IF(BF542="Returned","⚠ Devuelto: corregir y reenviar",IF(BF542="Recall Requested","Retirada solicitada: pendiente",IF(AND(BF542="Approved",NOT(ISNUMBER(T542))),"Falta fecha de aprobación",IF(AND(ISNUMBER(S542),ISNUMBER(T542),T542&lt;S542),"Aprobación anterior al envío","")))))))))</f>
        <v/>
      </c>
      <c r="Y542" s="80">
        <f>IF(COUNTA(B542,D542,E542,F542,G542,H542,I542,J542,R542,S542,T542)&gt;0,1,0)</f>
        <v>0</v>
      </c>
      <c r="Z542" s="80" t="str">
        <f>IF(AND(ISNUMBER(H542),H542&gt;=0,H542&lt;1),ROUND(H542*1440,0),"")</f>
        <v/>
      </c>
      <c r="AA542" s="80" t="str">
        <f>IF(AND(ISNUMBER(I542),I542&gt;=0,I542&lt;1),ROUND(I542*1440,0),"")</f>
        <v/>
      </c>
      <c r="AB542" s="80">
        <f>IF(AND(ISNUMBER(B542),D542&lt;&gt;"",ISNUMBER(Z542),ISNUMBER(AA542)),IF(Z542=AA542,0,1),0)</f>
        <v>0</v>
      </c>
      <c r="AC542" s="80">
        <f>IF(AB542=1,IF(AA542&lt;Z542,1,0),0)</f>
        <v>0</v>
      </c>
      <c r="AD542" s="80">
        <f>IF(AB542=1,IF(AC542=1,1440-Z542+AA542,AA542-Z542),0)</f>
        <v>0</v>
      </c>
      <c r="AE542" s="80">
        <f>IF(J542="",0,IF(ISNUMBER(J542),J542,-1))</f>
        <v>0</v>
      </c>
      <c r="AF542" s="80">
        <f>MIN(MAX(0,AE542),AD542)</f>
        <v>0</v>
      </c>
      <c r="AG542" s="80">
        <f>MAX(0,AD542-MAX(0,AE542))</f>
        <v>0</v>
      </c>
      <c r="AH542" s="80">
        <f>IF(ISNUMBER(B542),IF(AND(INDEX(CFG_WDAYS,WEEKDAY(INT(B542),2))="Sí",IF(D542="proMX",COUNTIFS(FER_F,INT(B542),FER_NLP,"Sí"),COUNTIFS(FER_F,INT(B542),FER_NLM,"Sí"))=0),1,0),0)</f>
        <v>0</v>
      </c>
      <c r="AI542" s="80">
        <f>IF(AC542=1,IF(AND(INDEX(CFG_WDAYS,WEEKDAY(INT(B542)+1,2))="Sí",IF(D542="proMX",COUNTIFS(FER_F,INT(B542)+1,FER_NLP,"Sí"),COUNTIFS(FER_F,INT(B542)+1,FER_NLM,"Sí"))=0),1,0),0)</f>
        <v>0</v>
      </c>
      <c r="AJ542" s="80">
        <f>IF(AC542=1,1440-Z542,AD542)</f>
        <v>0</v>
      </c>
      <c r="AK542" s="80">
        <f>IF(AND(AB542=1,AH542=1),MAX(0,MIN(IF(AC542=1,1440,AA542),CFG_WEM)-MAX(Z542,CFG_WSM)),0)</f>
        <v>0</v>
      </c>
      <c r="AL542" s="80">
        <f>IF(AND(AC542=1,AI542=1),MAX(0,MIN(AA542,CFG_WEM)-CFG_WSM),0)</f>
        <v>0</v>
      </c>
      <c r="AM542" s="80">
        <f>AK542+AL542</f>
        <v>0</v>
      </c>
      <c r="AN542" s="80">
        <f>IF(CFG_BRK="Proporcional",IF(AD542=0,0,AF542*AM542/AD542),IF(CFG_BRK="Extras primero",MIN(AM542,MAX(0,AF542-(AD542-AM542))),MIN(AF542,AM542)))</f>
        <v>0</v>
      </c>
      <c r="AO542" s="80">
        <f>AF542-AN542</f>
        <v>0</v>
      </c>
      <c r="AP542" s="80">
        <f>AM542-AN542</f>
        <v>0</v>
      </c>
      <c r="AQ542" s="80">
        <f>AD542-AM542-AO542</f>
        <v>0</v>
      </c>
      <c r="AR542" s="80">
        <f>IF(AM542=0,0,AK542-AN542*AK542/AM542)</f>
        <v>0</v>
      </c>
      <c r="AS542" s="80">
        <f>IF(AD542-AM542=0,0,(AJ542-AK542)-AO542*(AJ542-AK542)/(AD542-AM542))</f>
        <v>0</v>
      </c>
      <c r="AT542" s="80" t="str">
        <f>IF(AC542=1,INT(B542)+1,"")</f>
        <v/>
      </c>
      <c r="AU542" s="80">
        <f>IF(AND(D542="proMX",R542="Cancelled"),0,1)</f>
        <v>1</v>
      </c>
      <c r="AV542" s="80">
        <f>IF(AND(AB542=1,AU542=1),IF(COUNTIFS($D$5:D541,D542,$B$5:B541,B542,$Z$5:Z541,Z542,$AA$5:AA541,AA542,$F$5:F541,F542&amp;"",$AU$5:AU541,1)&gt;0,1,0),0)</f>
        <v>0</v>
      </c>
      <c r="AW542" s="80" t="str">
        <f>IF(AB542=1,INT(B542)*1440+Z542,"")</f>
        <v/>
      </c>
      <c r="AX542" s="80" t="str">
        <f>IF(AB542=1,AW542+AD542,"")</f>
        <v/>
      </c>
      <c r="AY542" s="80">
        <f>IF(AND(AB542=1,AV542=0,AU542=1),1,0)</f>
        <v>0</v>
      </c>
      <c r="AZ542" s="80">
        <f>IF(AY542=1,COUNTIFS(R_Emp,D542,R_SAbs,"&lt;"&amp;AX542,R_EAbs,"&gt;"&amp;AW542,R_OKey,1)-1,0)</f>
        <v>0</v>
      </c>
      <c r="BA542" s="80">
        <f>IF(AY542=1,COUNTIFS(R_Emp,"&lt;&gt;"&amp;D542,R_SAbs,"&lt;"&amp;AX542,R_EAbs,"&gt;"&amp;AW542,R_OKey,1),0)</f>
        <v>0</v>
      </c>
      <c r="BB542" s="80">
        <f>IF(AND(AB542=1,D542="proMX"),IF(AND(MOD(Z542,CFG_BLK)=0,MOD(AA542,CFG_BLK)=0,MOD(AG542,CFG_BLK)=0,AG542&gt;0),1,0),1)</f>
        <v>1</v>
      </c>
      <c r="BC542" s="80" t="str">
        <f>IF(Y542=0,"",IF(NOT(ISNUMBER(B542)),"Falta fecha o fecha inválida",IF(D542="","Falta empresa",IF(AND(D542&lt;&gt;"Malcolm",D542&lt;&gt;"proMX"),"Empresa inválida",IF(OR(INT(B542)&lt;CFG_PSTART,INT(B542)&gt;CFG_PEND),"Fecha fuera del período",IF(OR(NOT(ISNUMBER(Z542)),NOT(ISNUMBER(AA542))),"Falta hora inicio/fin o formato inválido",IF(AB542=0,"Hora inicio = hora fin",IF(AE542&lt;0,"Descanso inválido",IF(AE542&gt;=AD542,"Descanso ≥ duración",IF(AV542=1,"Registro duplicado",IF(AZ542&gt;0,"Se superpone con otro registro "&amp;D542,IF(BB542=0,"inicio, fin y duración neta deben ser múltiplos de "&amp;CFG_BLK&amp;" min",""))))))))))))</f>
        <v/>
      </c>
      <c r="BD542" s="80">
        <f>IF(AND(Y542=1,BC542=""),1,0)</f>
        <v>0</v>
      </c>
      <c r="BE542" s="80">
        <f>IF(AND(BD542=1,AU542=1),1,0)</f>
        <v>0</v>
      </c>
      <c r="BF542" s="80" t="str">
        <f>IF(AND(D542="proMX",BD542=1),IF(R542="","Draft",R542),"")</f>
        <v/>
      </c>
      <c r="BG542" s="80">
        <f>IF(BD542=1,ROUND(AG542/60,6),0)</f>
        <v>0</v>
      </c>
      <c r="BH542" s="80">
        <f>IF(BE542=1,ROUND(AG542/60,6),0)</f>
        <v>0</v>
      </c>
      <c r="BI542" s="80">
        <f>IF(BE542=1,ROUND(AP542/60,6),0)</f>
        <v>0</v>
      </c>
      <c r="BJ542" s="80">
        <f>IF(BE542=1,ROUND(AQ542/60,6),0)</f>
        <v>0</v>
      </c>
      <c r="BK542" s="80">
        <f>IF(BE542=1,ROUND((AR542+AS542)/60,6),0)</f>
        <v>0</v>
      </c>
      <c r="BL542" s="80">
        <f>ROUND(BH542-BK542,6)</f>
        <v>0</v>
      </c>
      <c r="BM542" s="80">
        <f>IF(BE542=1,ROUND(AR542/60,6),0)</f>
        <v>0</v>
      </c>
      <c r="BN542" s="80">
        <f>ROUND(BI542-BM542,6)</f>
        <v>0</v>
      </c>
      <c r="BO542" s="80">
        <f>IF(BE542=1,ROUND(AS542/60,6),0)</f>
        <v>0</v>
      </c>
      <c r="BP542" s="80">
        <f>ROUND(BJ542-BO542,6)</f>
        <v>0</v>
      </c>
      <c r="BQ542" s="80">
        <f>IF(BE542=1,AW542,0)</f>
        <v>0</v>
      </c>
      <c r="BR542" s="80">
        <f>IF(BE542=1,AX542,0)</f>
        <v>0</v>
      </c>
      <c r="BS542" s="80">
        <f>IF(AND(BE542=1,D542="Malcolm",BA542&gt;0),MIN(BH542,SUMPRODUCT((R_Emp="proMX")*(R_EN&gt;0)*((R_EN-(R_EN&gt;BR542)*(R_EN-BR542))&gt;(R_SN+(R_SN&lt;BQ542)*(BQ542-R_SN)))*((R_EN-(R_EN&gt;BR542)*(R_EN-BR542))-(R_SN+(R_SN&lt;BQ542)*(BQ542-R_SN))))/60),0)</f>
        <v>0</v>
      </c>
      <c r="BT542" s="80">
        <f>IF(AND(BE542=1,D542="proMX"),ROUND(BI542*CFG_RATE+BJ542*CFG_OTRATE,6),0)</f>
        <v>0</v>
      </c>
      <c r="BU542" s="80">
        <f>IF(AND(BD542=1,D542="proMX"),ROUND(AG542/CFG_BLK,6),0)</f>
        <v>0</v>
      </c>
      <c r="BV542" s="80" t="str">
        <f>IF(BF542="Approved",IF(ISNUMBER(T542),INT(T542),INT(B542)),"")</f>
        <v/>
      </c>
      <c r="BW542" s="80">
        <f>IF(ISNUMBER(B542),IF(DB_MON="Todos",1,IF(AND(INT(B542)&gt;=DB_MS,INT(B542)&lt;=DB_ME),1,0)),0)</f>
        <v>0</v>
      </c>
      <c r="BX542" s="80">
        <f>IF(DB_PROJ="Todos",1,IF(E542&amp;""=DB_PROJ&amp;"",1,0))</f>
        <v>1</v>
      </c>
      <c r="BY542" s="80">
        <f>BW542*BX542</f>
        <v>0</v>
      </c>
      <c r="BZ542" s="80" t="str">
        <f>IF(Y542=1,F542&amp;IF(AND(F542&amp;""&lt;&gt;"",E542&amp;""&lt;&gt;"")," · ","")&amp;E542,"")</f>
        <v/>
      </c>
      <c r="CA542" s="80" t="str">
        <f>IF(AND(BD542=1,E542&amp;""&lt;&gt;""),IF(COUNTIFS($E$5:E541,E542,$BD$5:BD541,1)=0,MAX($CA$5:CA541)+1,""),"")</f>
        <v/>
      </c>
      <c r="CB542" s="80" t="str">
        <f>IF(AND(BE542=1,D542="Malcolm",E542&amp;""&lt;&gt;""),IF(COUNTIFS($D$5:D541,"Malcolm",$E$5:E541,E542,$BE$5:BE541,1)=0,MAX($CB$5:CB541)+1,""),"")</f>
        <v/>
      </c>
      <c r="CC542" s="80" t="str">
        <f>IF(AND(BD542=1,D542="proMX",E542&amp;""&lt;&gt;""),IF(COUNTIFS($D$5:D541,"proMX",$E$5:E541,E542,$BD$5:BD541,1)=0,MAX($CC$5:CC541)+1,""),"")</f>
        <v/>
      </c>
      <c r="CD542" s="80" t="str">
        <f>IF(AND(BE542=1,D542="Malcolm",F542&amp;""&lt;&gt;""),IF(COUNTIFS($D$5:D541,"Malcolm",$F$5:F541,F542,$BE$5:BE541,1)=0,MAX($CD$5:CD541)+1,""),"")</f>
        <v/>
      </c>
      <c r="CE542" s="80" t="str">
        <f>IF(AND(BD542=1,D542="proMX",F542&amp;""&lt;&gt;""),IF(COUNTIFS($D$5:D541,"proMX",$F$5:F541,F542,$BD$5:BD541,1)=0,MAX($CE$5:CE541)+1,""),"")</f>
        <v/>
      </c>
      <c r="CF542" s="80" t="str">
        <f>IF(AND(D542="proMX",BD542=1),IF(OR(BF542="Draft",BF542="Submitted",BF542="Returned",BF542="Recall Requested"),MAX($CF$5:CF541)+1,""),"")</f>
        <v/>
      </c>
      <c r="CG542" s="80">
        <f>IF(BD542=0,0,IF(D542="Malcolm",1,MATCH(BF542,{"Draft","Submitted","Approved","Returned","Recall Requested","Cancelled"},0)+1))</f>
        <v>0</v>
      </c>
      <c r="CH542" s="80">
        <f>IF(AND(BF542="Submitted",ISNUMBER(V542)),IF(V542&gt;CFG_MAXD,1,0),0)</f>
        <v>0</v>
      </c>
    </row>
    <row r="543">
      <c r="A543" s="71" t="str">
        <f>IF(Y543=1,ROW()-5,"")</f>
        <v/>
      </c>
      <c r="B543" s="72" t="n"/>
      <c r="C543" s="71" t="str">
        <f>IF(ISNUMBER(B543),CHOOSE(WEEKDAY(B543,2),"Lun","Mar","Mié","Jue","Vie","Sáb","Dom"),"")</f>
        <v/>
      </c>
      <c r="D543" s="73" t="n"/>
      <c r="E543" s="74" t="n"/>
      <c r="F543" s="74" t="n"/>
      <c r="G543" s="74" t="n"/>
      <c r="H543" s="75" t="n"/>
      <c r="I543" s="75" t="n"/>
      <c r="J543" s="76" t="n"/>
      <c r="K543" s="77" t="str">
        <f>IF(AB543=1,ROUND(AG543/60,4),"")</f>
        <v/>
      </c>
      <c r="L543" s="77" t="str">
        <f>IF(BD543=1,ROUND(AP543/60,4),"")</f>
        <v/>
      </c>
      <c r="M543" s="77" t="str">
        <f>IF(BD543=1,ROUND(AQ543/60,4),"")</f>
        <v/>
      </c>
      <c r="N543" s="71" t="str">
        <f>IF(AND(D543="proMX",AB543=1),ROUND(AG543/CFG_BLK,2),"")</f>
        <v/>
      </c>
      <c r="O543" s="77" t="str">
        <f>IF(D543="proMX",IF(BD543=1,ROUND(AG543/60,4),0),"")</f>
        <v/>
      </c>
      <c r="P543" s="78" t="str">
        <f>IF(Y543=0,"",IF(BD543=1,"OK",IF(D543="proMX","Revisar bloques: ","Revisar: ")&amp;BC543))</f>
        <v/>
      </c>
      <c r="Q543" s="78" t="str">
        <f>IF(NOT(ISNUMBER(B543)),"",IF(COUNTIFS(FER_F,INT(B543))&gt;0,"Feriado"&amp;IF(AH543=1," (laborable)"," (no laborable)"),IF(AH543=1,"Laborable",IF(WEEKDAY(B543,2)&gt;5,"Fin de semana","No laborable"))))</f>
        <v/>
      </c>
      <c r="R543" s="73" t="n"/>
      <c r="S543" s="72" t="n"/>
      <c r="T543" s="72" t="n"/>
      <c r="U543" s="74" t="n"/>
      <c r="V543" s="79" t="str">
        <f>IF(AND(D543="proMX",OR(R543="Submitted",R543="Recall Requested"),ISNUMBER(S543)),CFG_TODAY-INT(S543),"")</f>
        <v/>
      </c>
      <c r="W543" s="78" t="str">
        <f>IF(BD543=0,"",IF(BA543&gt;0,"⚠ Se superpone con un registro de la otra empresa",IF(D543="Malcolm",IF(COUNTA(R543,S543,T543)&gt;0,"Estado/fechas proMX se ignoran en Malcolm",""),IF(BF543="Cancelled","Cancelado: excluido de totales",IF(R543="","Sin estado: se trata como Draft",IF(BF543="Submitted",IF(ISNUMBER(V543),IF(V543&gt;CFG_MAXD,"⚠ "&amp;V543&amp;" días en Submitted (máx. "&amp;CFG_MAXD&amp;")",""),"Falta fecha de envío"),IF(BF543="Returned","⚠ Devuelto: corregir y reenviar",IF(BF543="Recall Requested","Retirada solicitada: pendiente",IF(AND(BF543="Approved",NOT(ISNUMBER(T543))),"Falta fecha de aprobación",IF(AND(ISNUMBER(S543),ISNUMBER(T543),T543&lt;S543),"Aprobación anterior al envío","")))))))))</f>
        <v/>
      </c>
      <c r="Y543" s="80">
        <f>IF(COUNTA(B543,D543,E543,F543,G543,H543,I543,J543,R543,S543,T543)&gt;0,1,0)</f>
        <v>0</v>
      </c>
      <c r="Z543" s="80" t="str">
        <f>IF(AND(ISNUMBER(H543),H543&gt;=0,H543&lt;1),ROUND(H543*1440,0),"")</f>
        <v/>
      </c>
      <c r="AA543" s="80" t="str">
        <f>IF(AND(ISNUMBER(I543),I543&gt;=0,I543&lt;1),ROUND(I543*1440,0),"")</f>
        <v/>
      </c>
      <c r="AB543" s="80">
        <f>IF(AND(ISNUMBER(B543),D543&lt;&gt;"",ISNUMBER(Z543),ISNUMBER(AA543)),IF(Z543=AA543,0,1),0)</f>
        <v>0</v>
      </c>
      <c r="AC543" s="80">
        <f>IF(AB543=1,IF(AA543&lt;Z543,1,0),0)</f>
        <v>0</v>
      </c>
      <c r="AD543" s="80">
        <f>IF(AB543=1,IF(AC543=1,1440-Z543+AA543,AA543-Z543),0)</f>
        <v>0</v>
      </c>
      <c r="AE543" s="80">
        <f>IF(J543="",0,IF(ISNUMBER(J543),J543,-1))</f>
        <v>0</v>
      </c>
      <c r="AF543" s="80">
        <f>MIN(MAX(0,AE543),AD543)</f>
        <v>0</v>
      </c>
      <c r="AG543" s="80">
        <f>MAX(0,AD543-MAX(0,AE543))</f>
        <v>0</v>
      </c>
      <c r="AH543" s="80">
        <f>IF(ISNUMBER(B543),IF(AND(INDEX(CFG_WDAYS,WEEKDAY(INT(B543),2))="Sí",IF(D543="proMX",COUNTIFS(FER_F,INT(B543),FER_NLP,"Sí"),COUNTIFS(FER_F,INT(B543),FER_NLM,"Sí"))=0),1,0),0)</f>
        <v>0</v>
      </c>
      <c r="AI543" s="80">
        <f>IF(AC543=1,IF(AND(INDEX(CFG_WDAYS,WEEKDAY(INT(B543)+1,2))="Sí",IF(D543="proMX",COUNTIFS(FER_F,INT(B543)+1,FER_NLP,"Sí"),COUNTIFS(FER_F,INT(B543)+1,FER_NLM,"Sí"))=0),1,0),0)</f>
        <v>0</v>
      </c>
      <c r="AJ543" s="80">
        <f>IF(AC543=1,1440-Z543,AD543)</f>
        <v>0</v>
      </c>
      <c r="AK543" s="80">
        <f>IF(AND(AB543=1,AH543=1),MAX(0,MIN(IF(AC543=1,1440,AA543),CFG_WEM)-MAX(Z543,CFG_WSM)),0)</f>
        <v>0</v>
      </c>
      <c r="AL543" s="80">
        <f>IF(AND(AC543=1,AI543=1),MAX(0,MIN(AA543,CFG_WEM)-CFG_WSM),0)</f>
        <v>0</v>
      </c>
      <c r="AM543" s="80">
        <f>AK543+AL543</f>
        <v>0</v>
      </c>
      <c r="AN543" s="80">
        <f>IF(CFG_BRK="Proporcional",IF(AD543=0,0,AF543*AM543/AD543),IF(CFG_BRK="Extras primero",MIN(AM543,MAX(0,AF543-(AD543-AM543))),MIN(AF543,AM543)))</f>
        <v>0</v>
      </c>
      <c r="AO543" s="80">
        <f>AF543-AN543</f>
        <v>0</v>
      </c>
      <c r="AP543" s="80">
        <f>AM543-AN543</f>
        <v>0</v>
      </c>
      <c r="AQ543" s="80">
        <f>AD543-AM543-AO543</f>
        <v>0</v>
      </c>
      <c r="AR543" s="80">
        <f>IF(AM543=0,0,AK543-AN543*AK543/AM543)</f>
        <v>0</v>
      </c>
      <c r="AS543" s="80">
        <f>IF(AD543-AM543=0,0,(AJ543-AK543)-AO543*(AJ543-AK543)/(AD543-AM543))</f>
        <v>0</v>
      </c>
      <c r="AT543" s="80" t="str">
        <f>IF(AC543=1,INT(B543)+1,"")</f>
        <v/>
      </c>
      <c r="AU543" s="80">
        <f>IF(AND(D543="proMX",R543="Cancelled"),0,1)</f>
        <v>1</v>
      </c>
      <c r="AV543" s="80">
        <f>IF(AND(AB543=1,AU543=1),IF(COUNTIFS($D$5:D542,D543,$B$5:B542,B543,$Z$5:Z542,Z543,$AA$5:AA542,AA543,$F$5:F542,F543&amp;"",$AU$5:AU542,1)&gt;0,1,0),0)</f>
        <v>0</v>
      </c>
      <c r="AW543" s="80" t="str">
        <f>IF(AB543=1,INT(B543)*1440+Z543,"")</f>
        <v/>
      </c>
      <c r="AX543" s="80" t="str">
        <f>IF(AB543=1,AW543+AD543,"")</f>
        <v/>
      </c>
      <c r="AY543" s="80">
        <f>IF(AND(AB543=1,AV543=0,AU543=1),1,0)</f>
        <v>0</v>
      </c>
      <c r="AZ543" s="80">
        <f>IF(AY543=1,COUNTIFS(R_Emp,D543,R_SAbs,"&lt;"&amp;AX543,R_EAbs,"&gt;"&amp;AW543,R_OKey,1)-1,0)</f>
        <v>0</v>
      </c>
      <c r="BA543" s="80">
        <f>IF(AY543=1,COUNTIFS(R_Emp,"&lt;&gt;"&amp;D543,R_SAbs,"&lt;"&amp;AX543,R_EAbs,"&gt;"&amp;AW543,R_OKey,1),0)</f>
        <v>0</v>
      </c>
      <c r="BB543" s="80">
        <f>IF(AND(AB543=1,D543="proMX"),IF(AND(MOD(Z543,CFG_BLK)=0,MOD(AA543,CFG_BLK)=0,MOD(AG543,CFG_BLK)=0,AG543&gt;0),1,0),1)</f>
        <v>1</v>
      </c>
      <c r="BC543" s="80" t="str">
        <f>IF(Y543=0,"",IF(NOT(ISNUMBER(B543)),"Falta fecha o fecha inválida",IF(D543="","Falta empresa",IF(AND(D543&lt;&gt;"Malcolm",D543&lt;&gt;"proMX"),"Empresa inválida",IF(OR(INT(B543)&lt;CFG_PSTART,INT(B543)&gt;CFG_PEND),"Fecha fuera del período",IF(OR(NOT(ISNUMBER(Z543)),NOT(ISNUMBER(AA543))),"Falta hora inicio/fin o formato inválido",IF(AB543=0,"Hora inicio = hora fin",IF(AE543&lt;0,"Descanso inválido",IF(AE543&gt;=AD543,"Descanso ≥ duración",IF(AV543=1,"Registro duplicado",IF(AZ543&gt;0,"Se superpone con otro registro "&amp;D543,IF(BB543=0,"inicio, fin y duración neta deben ser múltiplos de "&amp;CFG_BLK&amp;" min",""))))))))))))</f>
        <v/>
      </c>
      <c r="BD543" s="80">
        <f>IF(AND(Y543=1,BC543=""),1,0)</f>
        <v>0</v>
      </c>
      <c r="BE543" s="80">
        <f>IF(AND(BD543=1,AU543=1),1,0)</f>
        <v>0</v>
      </c>
      <c r="BF543" s="80" t="str">
        <f>IF(AND(D543="proMX",BD543=1),IF(R543="","Draft",R543),"")</f>
        <v/>
      </c>
      <c r="BG543" s="80">
        <f>IF(BD543=1,ROUND(AG543/60,6),0)</f>
        <v>0</v>
      </c>
      <c r="BH543" s="80">
        <f>IF(BE543=1,ROUND(AG543/60,6),0)</f>
        <v>0</v>
      </c>
      <c r="BI543" s="80">
        <f>IF(BE543=1,ROUND(AP543/60,6),0)</f>
        <v>0</v>
      </c>
      <c r="BJ543" s="80">
        <f>IF(BE543=1,ROUND(AQ543/60,6),0)</f>
        <v>0</v>
      </c>
      <c r="BK543" s="80">
        <f>IF(BE543=1,ROUND((AR543+AS543)/60,6),0)</f>
        <v>0</v>
      </c>
      <c r="BL543" s="80">
        <f>ROUND(BH543-BK543,6)</f>
        <v>0</v>
      </c>
      <c r="BM543" s="80">
        <f>IF(BE543=1,ROUND(AR543/60,6),0)</f>
        <v>0</v>
      </c>
      <c r="BN543" s="80">
        <f>ROUND(BI543-BM543,6)</f>
        <v>0</v>
      </c>
      <c r="BO543" s="80">
        <f>IF(BE543=1,ROUND(AS543/60,6),0)</f>
        <v>0</v>
      </c>
      <c r="BP543" s="80">
        <f>ROUND(BJ543-BO543,6)</f>
        <v>0</v>
      </c>
      <c r="BQ543" s="80">
        <f>IF(BE543=1,AW543,0)</f>
        <v>0</v>
      </c>
      <c r="BR543" s="80">
        <f>IF(BE543=1,AX543,0)</f>
        <v>0</v>
      </c>
      <c r="BS543" s="80">
        <f>IF(AND(BE543=1,D543="Malcolm",BA543&gt;0),MIN(BH543,SUMPRODUCT((R_Emp="proMX")*(R_EN&gt;0)*((R_EN-(R_EN&gt;BR543)*(R_EN-BR543))&gt;(R_SN+(R_SN&lt;BQ543)*(BQ543-R_SN)))*((R_EN-(R_EN&gt;BR543)*(R_EN-BR543))-(R_SN+(R_SN&lt;BQ543)*(BQ543-R_SN))))/60),0)</f>
        <v>0</v>
      </c>
      <c r="BT543" s="80">
        <f>IF(AND(BE543=1,D543="proMX"),ROUND(BI543*CFG_RATE+BJ543*CFG_OTRATE,6),0)</f>
        <v>0</v>
      </c>
      <c r="BU543" s="80">
        <f>IF(AND(BD543=1,D543="proMX"),ROUND(AG543/CFG_BLK,6),0)</f>
        <v>0</v>
      </c>
      <c r="BV543" s="80" t="str">
        <f>IF(BF543="Approved",IF(ISNUMBER(T543),INT(T543),INT(B543)),"")</f>
        <v/>
      </c>
      <c r="BW543" s="80">
        <f>IF(ISNUMBER(B543),IF(DB_MON="Todos",1,IF(AND(INT(B543)&gt;=DB_MS,INT(B543)&lt;=DB_ME),1,0)),0)</f>
        <v>0</v>
      </c>
      <c r="BX543" s="80">
        <f>IF(DB_PROJ="Todos",1,IF(E543&amp;""=DB_PROJ&amp;"",1,0))</f>
        <v>1</v>
      </c>
      <c r="BY543" s="80">
        <f>BW543*BX543</f>
        <v>0</v>
      </c>
      <c r="BZ543" s="80" t="str">
        <f>IF(Y543=1,F543&amp;IF(AND(F543&amp;""&lt;&gt;"",E543&amp;""&lt;&gt;"")," · ","")&amp;E543,"")</f>
        <v/>
      </c>
      <c r="CA543" s="80" t="str">
        <f>IF(AND(BD543=1,E543&amp;""&lt;&gt;""),IF(COUNTIFS($E$5:E542,E543,$BD$5:BD542,1)=0,MAX($CA$5:CA542)+1,""),"")</f>
        <v/>
      </c>
      <c r="CB543" s="80" t="str">
        <f>IF(AND(BE543=1,D543="Malcolm",E543&amp;""&lt;&gt;""),IF(COUNTIFS($D$5:D542,"Malcolm",$E$5:E542,E543,$BE$5:BE542,1)=0,MAX($CB$5:CB542)+1,""),"")</f>
        <v/>
      </c>
      <c r="CC543" s="80" t="str">
        <f>IF(AND(BD543=1,D543="proMX",E543&amp;""&lt;&gt;""),IF(COUNTIFS($D$5:D542,"proMX",$E$5:E542,E543,$BD$5:BD542,1)=0,MAX($CC$5:CC542)+1,""),"")</f>
        <v/>
      </c>
      <c r="CD543" s="80" t="str">
        <f>IF(AND(BE543=1,D543="Malcolm",F543&amp;""&lt;&gt;""),IF(COUNTIFS($D$5:D542,"Malcolm",$F$5:F542,F543,$BE$5:BE542,1)=0,MAX($CD$5:CD542)+1,""),"")</f>
        <v/>
      </c>
      <c r="CE543" s="80" t="str">
        <f>IF(AND(BD543=1,D543="proMX",F543&amp;""&lt;&gt;""),IF(COUNTIFS($D$5:D542,"proMX",$F$5:F542,F543,$BD$5:BD542,1)=0,MAX($CE$5:CE542)+1,""),"")</f>
        <v/>
      </c>
      <c r="CF543" s="80" t="str">
        <f>IF(AND(D543="proMX",BD543=1),IF(OR(BF543="Draft",BF543="Submitted",BF543="Returned",BF543="Recall Requested"),MAX($CF$5:CF542)+1,""),"")</f>
        <v/>
      </c>
      <c r="CG543" s="80">
        <f>IF(BD543=0,0,IF(D543="Malcolm",1,MATCH(BF543,{"Draft","Submitted","Approved","Returned","Recall Requested","Cancelled"},0)+1))</f>
        <v>0</v>
      </c>
      <c r="CH543" s="80">
        <f>IF(AND(BF543="Submitted",ISNUMBER(V543)),IF(V543&gt;CFG_MAXD,1,0),0)</f>
        <v>0</v>
      </c>
    </row>
    <row r="544">
      <c r="A544" s="71" t="str">
        <f>IF(Y544=1,ROW()-5,"")</f>
        <v/>
      </c>
      <c r="B544" s="72" t="n"/>
      <c r="C544" s="71" t="str">
        <f>IF(ISNUMBER(B544),CHOOSE(WEEKDAY(B544,2),"Lun","Mar","Mié","Jue","Vie","Sáb","Dom"),"")</f>
        <v/>
      </c>
      <c r="D544" s="73" t="n"/>
      <c r="E544" s="74" t="n"/>
      <c r="F544" s="74" t="n"/>
      <c r="G544" s="74" t="n"/>
      <c r="H544" s="75" t="n"/>
      <c r="I544" s="75" t="n"/>
      <c r="J544" s="76" t="n"/>
      <c r="K544" s="77" t="str">
        <f>IF(AB544=1,ROUND(AG544/60,4),"")</f>
        <v/>
      </c>
      <c r="L544" s="77" t="str">
        <f>IF(BD544=1,ROUND(AP544/60,4),"")</f>
        <v/>
      </c>
      <c r="M544" s="77" t="str">
        <f>IF(BD544=1,ROUND(AQ544/60,4),"")</f>
        <v/>
      </c>
      <c r="N544" s="71" t="str">
        <f>IF(AND(D544="proMX",AB544=1),ROUND(AG544/CFG_BLK,2),"")</f>
        <v/>
      </c>
      <c r="O544" s="77" t="str">
        <f>IF(D544="proMX",IF(BD544=1,ROUND(AG544/60,4),0),"")</f>
        <v/>
      </c>
      <c r="P544" s="78" t="str">
        <f>IF(Y544=0,"",IF(BD544=1,"OK",IF(D544="proMX","Revisar bloques: ","Revisar: ")&amp;BC544))</f>
        <v/>
      </c>
      <c r="Q544" s="78" t="str">
        <f>IF(NOT(ISNUMBER(B544)),"",IF(COUNTIFS(FER_F,INT(B544))&gt;0,"Feriado"&amp;IF(AH544=1," (laborable)"," (no laborable)"),IF(AH544=1,"Laborable",IF(WEEKDAY(B544,2)&gt;5,"Fin de semana","No laborable"))))</f>
        <v/>
      </c>
      <c r="R544" s="73" t="n"/>
      <c r="S544" s="72" t="n"/>
      <c r="T544" s="72" t="n"/>
      <c r="U544" s="74" t="n"/>
      <c r="V544" s="79" t="str">
        <f>IF(AND(D544="proMX",OR(R544="Submitted",R544="Recall Requested"),ISNUMBER(S544)),CFG_TODAY-INT(S544),"")</f>
        <v/>
      </c>
      <c r="W544" s="78" t="str">
        <f>IF(BD544=0,"",IF(BA544&gt;0,"⚠ Se superpone con un registro de la otra empresa",IF(D544="Malcolm",IF(COUNTA(R544,S544,T544)&gt;0,"Estado/fechas proMX se ignoran en Malcolm",""),IF(BF544="Cancelled","Cancelado: excluido de totales",IF(R544="","Sin estado: se trata como Draft",IF(BF544="Submitted",IF(ISNUMBER(V544),IF(V544&gt;CFG_MAXD,"⚠ "&amp;V544&amp;" días en Submitted (máx. "&amp;CFG_MAXD&amp;")",""),"Falta fecha de envío"),IF(BF544="Returned","⚠ Devuelto: corregir y reenviar",IF(BF544="Recall Requested","Retirada solicitada: pendiente",IF(AND(BF544="Approved",NOT(ISNUMBER(T544))),"Falta fecha de aprobación",IF(AND(ISNUMBER(S544),ISNUMBER(T544),T544&lt;S544),"Aprobación anterior al envío","")))))))))</f>
        <v/>
      </c>
      <c r="Y544" s="80">
        <f>IF(COUNTA(B544,D544,E544,F544,G544,H544,I544,J544,R544,S544,T544)&gt;0,1,0)</f>
        <v>0</v>
      </c>
      <c r="Z544" s="80" t="str">
        <f>IF(AND(ISNUMBER(H544),H544&gt;=0,H544&lt;1),ROUND(H544*1440,0),"")</f>
        <v/>
      </c>
      <c r="AA544" s="80" t="str">
        <f>IF(AND(ISNUMBER(I544),I544&gt;=0,I544&lt;1),ROUND(I544*1440,0),"")</f>
        <v/>
      </c>
      <c r="AB544" s="80">
        <f>IF(AND(ISNUMBER(B544),D544&lt;&gt;"",ISNUMBER(Z544),ISNUMBER(AA544)),IF(Z544=AA544,0,1),0)</f>
        <v>0</v>
      </c>
      <c r="AC544" s="80">
        <f>IF(AB544=1,IF(AA544&lt;Z544,1,0),0)</f>
        <v>0</v>
      </c>
      <c r="AD544" s="80">
        <f>IF(AB544=1,IF(AC544=1,1440-Z544+AA544,AA544-Z544),0)</f>
        <v>0</v>
      </c>
      <c r="AE544" s="80">
        <f>IF(J544="",0,IF(ISNUMBER(J544),J544,-1))</f>
        <v>0</v>
      </c>
      <c r="AF544" s="80">
        <f>MIN(MAX(0,AE544),AD544)</f>
        <v>0</v>
      </c>
      <c r="AG544" s="80">
        <f>MAX(0,AD544-MAX(0,AE544))</f>
        <v>0</v>
      </c>
      <c r="AH544" s="80">
        <f>IF(ISNUMBER(B544),IF(AND(INDEX(CFG_WDAYS,WEEKDAY(INT(B544),2))="Sí",IF(D544="proMX",COUNTIFS(FER_F,INT(B544),FER_NLP,"Sí"),COUNTIFS(FER_F,INT(B544),FER_NLM,"Sí"))=0),1,0),0)</f>
        <v>0</v>
      </c>
      <c r="AI544" s="80">
        <f>IF(AC544=1,IF(AND(INDEX(CFG_WDAYS,WEEKDAY(INT(B544)+1,2))="Sí",IF(D544="proMX",COUNTIFS(FER_F,INT(B544)+1,FER_NLP,"Sí"),COUNTIFS(FER_F,INT(B544)+1,FER_NLM,"Sí"))=0),1,0),0)</f>
        <v>0</v>
      </c>
      <c r="AJ544" s="80">
        <f>IF(AC544=1,1440-Z544,AD544)</f>
        <v>0</v>
      </c>
      <c r="AK544" s="80">
        <f>IF(AND(AB544=1,AH544=1),MAX(0,MIN(IF(AC544=1,1440,AA544),CFG_WEM)-MAX(Z544,CFG_WSM)),0)</f>
        <v>0</v>
      </c>
      <c r="AL544" s="80">
        <f>IF(AND(AC544=1,AI544=1),MAX(0,MIN(AA544,CFG_WEM)-CFG_WSM),0)</f>
        <v>0</v>
      </c>
      <c r="AM544" s="80">
        <f>AK544+AL544</f>
        <v>0</v>
      </c>
      <c r="AN544" s="80">
        <f>IF(CFG_BRK="Proporcional",IF(AD544=0,0,AF544*AM544/AD544),IF(CFG_BRK="Extras primero",MIN(AM544,MAX(0,AF544-(AD544-AM544))),MIN(AF544,AM544)))</f>
        <v>0</v>
      </c>
      <c r="AO544" s="80">
        <f>AF544-AN544</f>
        <v>0</v>
      </c>
      <c r="AP544" s="80">
        <f>AM544-AN544</f>
        <v>0</v>
      </c>
      <c r="AQ544" s="80">
        <f>AD544-AM544-AO544</f>
        <v>0</v>
      </c>
      <c r="AR544" s="80">
        <f>IF(AM544=0,0,AK544-AN544*AK544/AM544)</f>
        <v>0</v>
      </c>
      <c r="AS544" s="80">
        <f>IF(AD544-AM544=0,0,(AJ544-AK544)-AO544*(AJ544-AK544)/(AD544-AM544))</f>
        <v>0</v>
      </c>
      <c r="AT544" s="80" t="str">
        <f>IF(AC544=1,INT(B544)+1,"")</f>
        <v/>
      </c>
      <c r="AU544" s="80">
        <f>IF(AND(D544="proMX",R544="Cancelled"),0,1)</f>
        <v>1</v>
      </c>
      <c r="AV544" s="80">
        <f>IF(AND(AB544=1,AU544=1),IF(COUNTIFS($D$5:D543,D544,$B$5:B543,B544,$Z$5:Z543,Z544,$AA$5:AA543,AA544,$F$5:F543,F544&amp;"",$AU$5:AU543,1)&gt;0,1,0),0)</f>
        <v>0</v>
      </c>
      <c r="AW544" s="80" t="str">
        <f>IF(AB544=1,INT(B544)*1440+Z544,"")</f>
        <v/>
      </c>
      <c r="AX544" s="80" t="str">
        <f>IF(AB544=1,AW544+AD544,"")</f>
        <v/>
      </c>
      <c r="AY544" s="80">
        <f>IF(AND(AB544=1,AV544=0,AU544=1),1,0)</f>
        <v>0</v>
      </c>
      <c r="AZ544" s="80">
        <f>IF(AY544=1,COUNTIFS(R_Emp,D544,R_SAbs,"&lt;"&amp;AX544,R_EAbs,"&gt;"&amp;AW544,R_OKey,1)-1,0)</f>
        <v>0</v>
      </c>
      <c r="BA544" s="80">
        <f>IF(AY544=1,COUNTIFS(R_Emp,"&lt;&gt;"&amp;D544,R_SAbs,"&lt;"&amp;AX544,R_EAbs,"&gt;"&amp;AW544,R_OKey,1),0)</f>
        <v>0</v>
      </c>
      <c r="BB544" s="80">
        <f>IF(AND(AB544=1,D544="proMX"),IF(AND(MOD(Z544,CFG_BLK)=0,MOD(AA544,CFG_BLK)=0,MOD(AG544,CFG_BLK)=0,AG544&gt;0),1,0),1)</f>
        <v>1</v>
      </c>
      <c r="BC544" s="80" t="str">
        <f>IF(Y544=0,"",IF(NOT(ISNUMBER(B544)),"Falta fecha o fecha inválida",IF(D544="","Falta empresa",IF(AND(D544&lt;&gt;"Malcolm",D544&lt;&gt;"proMX"),"Empresa inválida",IF(OR(INT(B544)&lt;CFG_PSTART,INT(B544)&gt;CFG_PEND),"Fecha fuera del período",IF(OR(NOT(ISNUMBER(Z544)),NOT(ISNUMBER(AA544))),"Falta hora inicio/fin o formato inválido",IF(AB544=0,"Hora inicio = hora fin",IF(AE544&lt;0,"Descanso inválido",IF(AE544&gt;=AD544,"Descanso ≥ duración",IF(AV544=1,"Registro duplicado",IF(AZ544&gt;0,"Se superpone con otro registro "&amp;D544,IF(BB544=0,"inicio, fin y duración neta deben ser múltiplos de "&amp;CFG_BLK&amp;" min",""))))))))))))</f>
        <v/>
      </c>
      <c r="BD544" s="80">
        <f>IF(AND(Y544=1,BC544=""),1,0)</f>
        <v>0</v>
      </c>
      <c r="BE544" s="80">
        <f>IF(AND(BD544=1,AU544=1),1,0)</f>
        <v>0</v>
      </c>
      <c r="BF544" s="80" t="str">
        <f>IF(AND(D544="proMX",BD544=1),IF(R544="","Draft",R544),"")</f>
        <v/>
      </c>
      <c r="BG544" s="80">
        <f>IF(BD544=1,ROUND(AG544/60,6),0)</f>
        <v>0</v>
      </c>
      <c r="BH544" s="80">
        <f>IF(BE544=1,ROUND(AG544/60,6),0)</f>
        <v>0</v>
      </c>
      <c r="BI544" s="80">
        <f>IF(BE544=1,ROUND(AP544/60,6),0)</f>
        <v>0</v>
      </c>
      <c r="BJ544" s="80">
        <f>IF(BE544=1,ROUND(AQ544/60,6),0)</f>
        <v>0</v>
      </c>
      <c r="BK544" s="80">
        <f>IF(BE544=1,ROUND((AR544+AS544)/60,6),0)</f>
        <v>0</v>
      </c>
      <c r="BL544" s="80">
        <f>ROUND(BH544-BK544,6)</f>
        <v>0</v>
      </c>
      <c r="BM544" s="80">
        <f>IF(BE544=1,ROUND(AR544/60,6),0)</f>
        <v>0</v>
      </c>
      <c r="BN544" s="80">
        <f>ROUND(BI544-BM544,6)</f>
        <v>0</v>
      </c>
      <c r="BO544" s="80">
        <f>IF(BE544=1,ROUND(AS544/60,6),0)</f>
        <v>0</v>
      </c>
      <c r="BP544" s="80">
        <f>ROUND(BJ544-BO544,6)</f>
        <v>0</v>
      </c>
      <c r="BQ544" s="80">
        <f>IF(BE544=1,AW544,0)</f>
        <v>0</v>
      </c>
      <c r="BR544" s="80">
        <f>IF(BE544=1,AX544,0)</f>
        <v>0</v>
      </c>
      <c r="BS544" s="80">
        <f>IF(AND(BE544=1,D544="Malcolm",BA544&gt;0),MIN(BH544,SUMPRODUCT((R_Emp="proMX")*(R_EN&gt;0)*((R_EN-(R_EN&gt;BR544)*(R_EN-BR544))&gt;(R_SN+(R_SN&lt;BQ544)*(BQ544-R_SN)))*((R_EN-(R_EN&gt;BR544)*(R_EN-BR544))-(R_SN+(R_SN&lt;BQ544)*(BQ544-R_SN))))/60),0)</f>
        <v>0</v>
      </c>
      <c r="BT544" s="80">
        <f>IF(AND(BE544=1,D544="proMX"),ROUND(BI544*CFG_RATE+BJ544*CFG_OTRATE,6),0)</f>
        <v>0</v>
      </c>
      <c r="BU544" s="80">
        <f>IF(AND(BD544=1,D544="proMX"),ROUND(AG544/CFG_BLK,6),0)</f>
        <v>0</v>
      </c>
      <c r="BV544" s="80" t="str">
        <f>IF(BF544="Approved",IF(ISNUMBER(T544),INT(T544),INT(B544)),"")</f>
        <v/>
      </c>
      <c r="BW544" s="80">
        <f>IF(ISNUMBER(B544),IF(DB_MON="Todos",1,IF(AND(INT(B544)&gt;=DB_MS,INT(B544)&lt;=DB_ME),1,0)),0)</f>
        <v>0</v>
      </c>
      <c r="BX544" s="80">
        <f>IF(DB_PROJ="Todos",1,IF(E544&amp;""=DB_PROJ&amp;"",1,0))</f>
        <v>1</v>
      </c>
      <c r="BY544" s="80">
        <f>BW544*BX544</f>
        <v>0</v>
      </c>
      <c r="BZ544" s="80" t="str">
        <f>IF(Y544=1,F544&amp;IF(AND(F544&amp;""&lt;&gt;"",E544&amp;""&lt;&gt;"")," · ","")&amp;E544,"")</f>
        <v/>
      </c>
      <c r="CA544" s="80" t="str">
        <f>IF(AND(BD544=1,E544&amp;""&lt;&gt;""),IF(COUNTIFS($E$5:E543,E544,$BD$5:BD543,1)=0,MAX($CA$5:CA543)+1,""),"")</f>
        <v/>
      </c>
      <c r="CB544" s="80" t="str">
        <f>IF(AND(BE544=1,D544="Malcolm",E544&amp;""&lt;&gt;""),IF(COUNTIFS($D$5:D543,"Malcolm",$E$5:E543,E544,$BE$5:BE543,1)=0,MAX($CB$5:CB543)+1,""),"")</f>
        <v/>
      </c>
      <c r="CC544" s="80" t="str">
        <f>IF(AND(BD544=1,D544="proMX",E544&amp;""&lt;&gt;""),IF(COUNTIFS($D$5:D543,"proMX",$E$5:E543,E544,$BD$5:BD543,1)=0,MAX($CC$5:CC543)+1,""),"")</f>
        <v/>
      </c>
      <c r="CD544" s="80" t="str">
        <f>IF(AND(BE544=1,D544="Malcolm",F544&amp;""&lt;&gt;""),IF(COUNTIFS($D$5:D543,"Malcolm",$F$5:F543,F544,$BE$5:BE543,1)=0,MAX($CD$5:CD543)+1,""),"")</f>
        <v/>
      </c>
      <c r="CE544" s="80" t="str">
        <f>IF(AND(BD544=1,D544="proMX",F544&amp;""&lt;&gt;""),IF(COUNTIFS($D$5:D543,"proMX",$F$5:F543,F544,$BD$5:BD543,1)=0,MAX($CE$5:CE543)+1,""),"")</f>
        <v/>
      </c>
      <c r="CF544" s="80" t="str">
        <f>IF(AND(D544="proMX",BD544=1),IF(OR(BF544="Draft",BF544="Submitted",BF544="Returned",BF544="Recall Requested"),MAX($CF$5:CF543)+1,""),"")</f>
        <v/>
      </c>
      <c r="CG544" s="80">
        <f>IF(BD544=0,0,IF(D544="Malcolm",1,MATCH(BF544,{"Draft","Submitted","Approved","Returned","Recall Requested","Cancelled"},0)+1))</f>
        <v>0</v>
      </c>
      <c r="CH544" s="80">
        <f>IF(AND(BF544="Submitted",ISNUMBER(V544)),IF(V544&gt;CFG_MAXD,1,0),0)</f>
        <v>0</v>
      </c>
    </row>
    <row r="545">
      <c r="A545" s="71" t="str">
        <f>IF(Y545=1,ROW()-5,"")</f>
        <v/>
      </c>
      <c r="B545" s="72" t="n"/>
      <c r="C545" s="71" t="str">
        <f>IF(ISNUMBER(B545),CHOOSE(WEEKDAY(B545,2),"Lun","Mar","Mié","Jue","Vie","Sáb","Dom"),"")</f>
        <v/>
      </c>
      <c r="D545" s="73" t="n"/>
      <c r="E545" s="74" t="n"/>
      <c r="F545" s="74" t="n"/>
      <c r="G545" s="74" t="n"/>
      <c r="H545" s="75" t="n"/>
      <c r="I545" s="75" t="n"/>
      <c r="J545" s="76" t="n"/>
      <c r="K545" s="77" t="str">
        <f>IF(AB545=1,ROUND(AG545/60,4),"")</f>
        <v/>
      </c>
      <c r="L545" s="77" t="str">
        <f>IF(BD545=1,ROUND(AP545/60,4),"")</f>
        <v/>
      </c>
      <c r="M545" s="77" t="str">
        <f>IF(BD545=1,ROUND(AQ545/60,4),"")</f>
        <v/>
      </c>
      <c r="N545" s="71" t="str">
        <f>IF(AND(D545="proMX",AB545=1),ROUND(AG545/CFG_BLK,2),"")</f>
        <v/>
      </c>
      <c r="O545" s="77" t="str">
        <f>IF(D545="proMX",IF(BD545=1,ROUND(AG545/60,4),0),"")</f>
        <v/>
      </c>
      <c r="P545" s="78" t="str">
        <f>IF(Y545=0,"",IF(BD545=1,"OK",IF(D545="proMX","Revisar bloques: ","Revisar: ")&amp;BC545))</f>
        <v/>
      </c>
      <c r="Q545" s="78" t="str">
        <f>IF(NOT(ISNUMBER(B545)),"",IF(COUNTIFS(FER_F,INT(B545))&gt;0,"Feriado"&amp;IF(AH545=1," (laborable)"," (no laborable)"),IF(AH545=1,"Laborable",IF(WEEKDAY(B545,2)&gt;5,"Fin de semana","No laborable"))))</f>
        <v/>
      </c>
      <c r="R545" s="73" t="n"/>
      <c r="S545" s="72" t="n"/>
      <c r="T545" s="72" t="n"/>
      <c r="U545" s="74" t="n"/>
      <c r="V545" s="79" t="str">
        <f>IF(AND(D545="proMX",OR(R545="Submitted",R545="Recall Requested"),ISNUMBER(S545)),CFG_TODAY-INT(S545),"")</f>
        <v/>
      </c>
      <c r="W545" s="78" t="str">
        <f>IF(BD545=0,"",IF(BA545&gt;0,"⚠ Se superpone con un registro de la otra empresa",IF(D545="Malcolm",IF(COUNTA(R545,S545,T545)&gt;0,"Estado/fechas proMX se ignoran en Malcolm",""),IF(BF545="Cancelled","Cancelado: excluido de totales",IF(R545="","Sin estado: se trata como Draft",IF(BF545="Submitted",IF(ISNUMBER(V545),IF(V545&gt;CFG_MAXD,"⚠ "&amp;V545&amp;" días en Submitted (máx. "&amp;CFG_MAXD&amp;")",""),"Falta fecha de envío"),IF(BF545="Returned","⚠ Devuelto: corregir y reenviar",IF(BF545="Recall Requested","Retirada solicitada: pendiente",IF(AND(BF545="Approved",NOT(ISNUMBER(T545))),"Falta fecha de aprobación",IF(AND(ISNUMBER(S545),ISNUMBER(T545),T545&lt;S545),"Aprobación anterior al envío","")))))))))</f>
        <v/>
      </c>
      <c r="Y545" s="80">
        <f>IF(COUNTA(B545,D545,E545,F545,G545,H545,I545,J545,R545,S545,T545)&gt;0,1,0)</f>
        <v>0</v>
      </c>
      <c r="Z545" s="80" t="str">
        <f>IF(AND(ISNUMBER(H545),H545&gt;=0,H545&lt;1),ROUND(H545*1440,0),"")</f>
        <v/>
      </c>
      <c r="AA545" s="80" t="str">
        <f>IF(AND(ISNUMBER(I545),I545&gt;=0,I545&lt;1),ROUND(I545*1440,0),"")</f>
        <v/>
      </c>
      <c r="AB545" s="80">
        <f>IF(AND(ISNUMBER(B545),D545&lt;&gt;"",ISNUMBER(Z545),ISNUMBER(AA545)),IF(Z545=AA545,0,1),0)</f>
        <v>0</v>
      </c>
      <c r="AC545" s="80">
        <f>IF(AB545=1,IF(AA545&lt;Z545,1,0),0)</f>
        <v>0</v>
      </c>
      <c r="AD545" s="80">
        <f>IF(AB545=1,IF(AC545=1,1440-Z545+AA545,AA545-Z545),0)</f>
        <v>0</v>
      </c>
      <c r="AE545" s="80">
        <f>IF(J545="",0,IF(ISNUMBER(J545),J545,-1))</f>
        <v>0</v>
      </c>
      <c r="AF545" s="80">
        <f>MIN(MAX(0,AE545),AD545)</f>
        <v>0</v>
      </c>
      <c r="AG545" s="80">
        <f>MAX(0,AD545-MAX(0,AE545))</f>
        <v>0</v>
      </c>
      <c r="AH545" s="80">
        <f>IF(ISNUMBER(B545),IF(AND(INDEX(CFG_WDAYS,WEEKDAY(INT(B545),2))="Sí",IF(D545="proMX",COUNTIFS(FER_F,INT(B545),FER_NLP,"Sí"),COUNTIFS(FER_F,INT(B545),FER_NLM,"Sí"))=0),1,0),0)</f>
        <v>0</v>
      </c>
      <c r="AI545" s="80">
        <f>IF(AC545=1,IF(AND(INDEX(CFG_WDAYS,WEEKDAY(INT(B545)+1,2))="Sí",IF(D545="proMX",COUNTIFS(FER_F,INT(B545)+1,FER_NLP,"Sí"),COUNTIFS(FER_F,INT(B545)+1,FER_NLM,"Sí"))=0),1,0),0)</f>
        <v>0</v>
      </c>
      <c r="AJ545" s="80">
        <f>IF(AC545=1,1440-Z545,AD545)</f>
        <v>0</v>
      </c>
      <c r="AK545" s="80">
        <f>IF(AND(AB545=1,AH545=1),MAX(0,MIN(IF(AC545=1,1440,AA545),CFG_WEM)-MAX(Z545,CFG_WSM)),0)</f>
        <v>0</v>
      </c>
      <c r="AL545" s="80">
        <f>IF(AND(AC545=1,AI545=1),MAX(0,MIN(AA545,CFG_WEM)-CFG_WSM),0)</f>
        <v>0</v>
      </c>
      <c r="AM545" s="80">
        <f>AK545+AL545</f>
        <v>0</v>
      </c>
      <c r="AN545" s="80">
        <f>IF(CFG_BRK="Proporcional",IF(AD545=0,0,AF545*AM545/AD545),IF(CFG_BRK="Extras primero",MIN(AM545,MAX(0,AF545-(AD545-AM545))),MIN(AF545,AM545)))</f>
        <v>0</v>
      </c>
      <c r="AO545" s="80">
        <f>AF545-AN545</f>
        <v>0</v>
      </c>
      <c r="AP545" s="80">
        <f>AM545-AN545</f>
        <v>0</v>
      </c>
      <c r="AQ545" s="80">
        <f>AD545-AM545-AO545</f>
        <v>0</v>
      </c>
      <c r="AR545" s="80">
        <f>IF(AM545=0,0,AK545-AN545*AK545/AM545)</f>
        <v>0</v>
      </c>
      <c r="AS545" s="80">
        <f>IF(AD545-AM545=0,0,(AJ545-AK545)-AO545*(AJ545-AK545)/(AD545-AM545))</f>
        <v>0</v>
      </c>
      <c r="AT545" s="80" t="str">
        <f>IF(AC545=1,INT(B545)+1,"")</f>
        <v/>
      </c>
      <c r="AU545" s="80">
        <f>IF(AND(D545="proMX",R545="Cancelled"),0,1)</f>
        <v>1</v>
      </c>
      <c r="AV545" s="80">
        <f>IF(AND(AB545=1,AU545=1),IF(COUNTIFS($D$5:D544,D545,$B$5:B544,B545,$Z$5:Z544,Z545,$AA$5:AA544,AA545,$F$5:F544,F545&amp;"",$AU$5:AU544,1)&gt;0,1,0),0)</f>
        <v>0</v>
      </c>
      <c r="AW545" s="80" t="str">
        <f>IF(AB545=1,INT(B545)*1440+Z545,"")</f>
        <v/>
      </c>
      <c r="AX545" s="80" t="str">
        <f>IF(AB545=1,AW545+AD545,"")</f>
        <v/>
      </c>
      <c r="AY545" s="80">
        <f>IF(AND(AB545=1,AV545=0,AU545=1),1,0)</f>
        <v>0</v>
      </c>
      <c r="AZ545" s="80">
        <f>IF(AY545=1,COUNTIFS(R_Emp,D545,R_SAbs,"&lt;"&amp;AX545,R_EAbs,"&gt;"&amp;AW545,R_OKey,1)-1,0)</f>
        <v>0</v>
      </c>
      <c r="BA545" s="80">
        <f>IF(AY545=1,COUNTIFS(R_Emp,"&lt;&gt;"&amp;D545,R_SAbs,"&lt;"&amp;AX545,R_EAbs,"&gt;"&amp;AW545,R_OKey,1),0)</f>
        <v>0</v>
      </c>
      <c r="BB545" s="80">
        <f>IF(AND(AB545=1,D545="proMX"),IF(AND(MOD(Z545,CFG_BLK)=0,MOD(AA545,CFG_BLK)=0,MOD(AG545,CFG_BLK)=0,AG545&gt;0),1,0),1)</f>
        <v>1</v>
      </c>
      <c r="BC545" s="80" t="str">
        <f>IF(Y545=0,"",IF(NOT(ISNUMBER(B545)),"Falta fecha o fecha inválida",IF(D545="","Falta empresa",IF(AND(D545&lt;&gt;"Malcolm",D545&lt;&gt;"proMX"),"Empresa inválida",IF(OR(INT(B545)&lt;CFG_PSTART,INT(B545)&gt;CFG_PEND),"Fecha fuera del período",IF(OR(NOT(ISNUMBER(Z545)),NOT(ISNUMBER(AA545))),"Falta hora inicio/fin o formato inválido",IF(AB545=0,"Hora inicio = hora fin",IF(AE545&lt;0,"Descanso inválido",IF(AE545&gt;=AD545,"Descanso ≥ duración",IF(AV545=1,"Registro duplicado",IF(AZ545&gt;0,"Se superpone con otro registro "&amp;D545,IF(BB545=0,"inicio, fin y duración neta deben ser múltiplos de "&amp;CFG_BLK&amp;" min",""))))))))))))</f>
        <v/>
      </c>
      <c r="BD545" s="80">
        <f>IF(AND(Y545=1,BC545=""),1,0)</f>
        <v>0</v>
      </c>
      <c r="BE545" s="80">
        <f>IF(AND(BD545=1,AU545=1),1,0)</f>
        <v>0</v>
      </c>
      <c r="BF545" s="80" t="str">
        <f>IF(AND(D545="proMX",BD545=1),IF(R545="","Draft",R545),"")</f>
        <v/>
      </c>
      <c r="BG545" s="80">
        <f>IF(BD545=1,ROUND(AG545/60,6),0)</f>
        <v>0</v>
      </c>
      <c r="BH545" s="80">
        <f>IF(BE545=1,ROUND(AG545/60,6),0)</f>
        <v>0</v>
      </c>
      <c r="BI545" s="80">
        <f>IF(BE545=1,ROUND(AP545/60,6),0)</f>
        <v>0</v>
      </c>
      <c r="BJ545" s="80">
        <f>IF(BE545=1,ROUND(AQ545/60,6),0)</f>
        <v>0</v>
      </c>
      <c r="BK545" s="80">
        <f>IF(BE545=1,ROUND((AR545+AS545)/60,6),0)</f>
        <v>0</v>
      </c>
      <c r="BL545" s="80">
        <f>ROUND(BH545-BK545,6)</f>
        <v>0</v>
      </c>
      <c r="BM545" s="80">
        <f>IF(BE545=1,ROUND(AR545/60,6),0)</f>
        <v>0</v>
      </c>
      <c r="BN545" s="80">
        <f>ROUND(BI545-BM545,6)</f>
        <v>0</v>
      </c>
      <c r="BO545" s="80">
        <f>IF(BE545=1,ROUND(AS545/60,6),0)</f>
        <v>0</v>
      </c>
      <c r="BP545" s="80">
        <f>ROUND(BJ545-BO545,6)</f>
        <v>0</v>
      </c>
      <c r="BQ545" s="80">
        <f>IF(BE545=1,AW545,0)</f>
        <v>0</v>
      </c>
      <c r="BR545" s="80">
        <f>IF(BE545=1,AX545,0)</f>
        <v>0</v>
      </c>
      <c r="BS545" s="80">
        <f>IF(AND(BE545=1,D545="Malcolm",BA545&gt;0),MIN(BH545,SUMPRODUCT((R_Emp="proMX")*(R_EN&gt;0)*((R_EN-(R_EN&gt;BR545)*(R_EN-BR545))&gt;(R_SN+(R_SN&lt;BQ545)*(BQ545-R_SN)))*((R_EN-(R_EN&gt;BR545)*(R_EN-BR545))-(R_SN+(R_SN&lt;BQ545)*(BQ545-R_SN))))/60),0)</f>
        <v>0</v>
      </c>
      <c r="BT545" s="80">
        <f>IF(AND(BE545=1,D545="proMX"),ROUND(BI545*CFG_RATE+BJ545*CFG_OTRATE,6),0)</f>
        <v>0</v>
      </c>
      <c r="BU545" s="80">
        <f>IF(AND(BD545=1,D545="proMX"),ROUND(AG545/CFG_BLK,6),0)</f>
        <v>0</v>
      </c>
      <c r="BV545" s="80" t="str">
        <f>IF(BF545="Approved",IF(ISNUMBER(T545),INT(T545),INT(B545)),"")</f>
        <v/>
      </c>
      <c r="BW545" s="80">
        <f>IF(ISNUMBER(B545),IF(DB_MON="Todos",1,IF(AND(INT(B545)&gt;=DB_MS,INT(B545)&lt;=DB_ME),1,0)),0)</f>
        <v>0</v>
      </c>
      <c r="BX545" s="80">
        <f>IF(DB_PROJ="Todos",1,IF(E545&amp;""=DB_PROJ&amp;"",1,0))</f>
        <v>1</v>
      </c>
      <c r="BY545" s="80">
        <f>BW545*BX545</f>
        <v>0</v>
      </c>
      <c r="BZ545" s="80" t="str">
        <f>IF(Y545=1,F545&amp;IF(AND(F545&amp;""&lt;&gt;"",E545&amp;""&lt;&gt;"")," · ","")&amp;E545,"")</f>
        <v/>
      </c>
      <c r="CA545" s="80" t="str">
        <f>IF(AND(BD545=1,E545&amp;""&lt;&gt;""),IF(COUNTIFS($E$5:E544,E545,$BD$5:BD544,1)=0,MAX($CA$5:CA544)+1,""),"")</f>
        <v/>
      </c>
      <c r="CB545" s="80" t="str">
        <f>IF(AND(BE545=1,D545="Malcolm",E545&amp;""&lt;&gt;""),IF(COUNTIFS($D$5:D544,"Malcolm",$E$5:E544,E545,$BE$5:BE544,1)=0,MAX($CB$5:CB544)+1,""),"")</f>
        <v/>
      </c>
      <c r="CC545" s="80" t="str">
        <f>IF(AND(BD545=1,D545="proMX",E545&amp;""&lt;&gt;""),IF(COUNTIFS($D$5:D544,"proMX",$E$5:E544,E545,$BD$5:BD544,1)=0,MAX($CC$5:CC544)+1,""),"")</f>
        <v/>
      </c>
      <c r="CD545" s="80" t="str">
        <f>IF(AND(BE545=1,D545="Malcolm",F545&amp;""&lt;&gt;""),IF(COUNTIFS($D$5:D544,"Malcolm",$F$5:F544,F545,$BE$5:BE544,1)=0,MAX($CD$5:CD544)+1,""),"")</f>
        <v/>
      </c>
      <c r="CE545" s="80" t="str">
        <f>IF(AND(BD545=1,D545="proMX",F545&amp;""&lt;&gt;""),IF(COUNTIFS($D$5:D544,"proMX",$F$5:F544,F545,$BD$5:BD544,1)=0,MAX($CE$5:CE544)+1,""),"")</f>
        <v/>
      </c>
      <c r="CF545" s="80" t="str">
        <f>IF(AND(D545="proMX",BD545=1),IF(OR(BF545="Draft",BF545="Submitted",BF545="Returned",BF545="Recall Requested"),MAX($CF$5:CF544)+1,""),"")</f>
        <v/>
      </c>
      <c r="CG545" s="80">
        <f>IF(BD545=0,0,IF(D545="Malcolm",1,MATCH(BF545,{"Draft","Submitted","Approved","Returned","Recall Requested","Cancelled"},0)+1))</f>
        <v>0</v>
      </c>
      <c r="CH545" s="80">
        <f>IF(AND(BF545="Submitted",ISNUMBER(V545)),IF(V545&gt;CFG_MAXD,1,0),0)</f>
        <v>0</v>
      </c>
    </row>
    <row r="546">
      <c r="A546" s="71" t="str">
        <f>IF(Y546=1,ROW()-5,"")</f>
        <v/>
      </c>
      <c r="B546" s="72" t="n"/>
      <c r="C546" s="71" t="str">
        <f>IF(ISNUMBER(B546),CHOOSE(WEEKDAY(B546,2),"Lun","Mar","Mié","Jue","Vie","Sáb","Dom"),"")</f>
        <v/>
      </c>
      <c r="D546" s="73" t="n"/>
      <c r="E546" s="74" t="n"/>
      <c r="F546" s="74" t="n"/>
      <c r="G546" s="74" t="n"/>
      <c r="H546" s="75" t="n"/>
      <c r="I546" s="75" t="n"/>
      <c r="J546" s="76" t="n"/>
      <c r="K546" s="77" t="str">
        <f>IF(AB546=1,ROUND(AG546/60,4),"")</f>
        <v/>
      </c>
      <c r="L546" s="77" t="str">
        <f>IF(BD546=1,ROUND(AP546/60,4),"")</f>
        <v/>
      </c>
      <c r="M546" s="77" t="str">
        <f>IF(BD546=1,ROUND(AQ546/60,4),"")</f>
        <v/>
      </c>
      <c r="N546" s="71" t="str">
        <f>IF(AND(D546="proMX",AB546=1),ROUND(AG546/CFG_BLK,2),"")</f>
        <v/>
      </c>
      <c r="O546" s="77" t="str">
        <f>IF(D546="proMX",IF(BD546=1,ROUND(AG546/60,4),0),"")</f>
        <v/>
      </c>
      <c r="P546" s="78" t="str">
        <f>IF(Y546=0,"",IF(BD546=1,"OK",IF(D546="proMX","Revisar bloques: ","Revisar: ")&amp;BC546))</f>
        <v/>
      </c>
      <c r="Q546" s="78" t="str">
        <f>IF(NOT(ISNUMBER(B546)),"",IF(COUNTIFS(FER_F,INT(B546))&gt;0,"Feriado"&amp;IF(AH546=1," (laborable)"," (no laborable)"),IF(AH546=1,"Laborable",IF(WEEKDAY(B546,2)&gt;5,"Fin de semana","No laborable"))))</f>
        <v/>
      </c>
      <c r="R546" s="73" t="n"/>
      <c r="S546" s="72" t="n"/>
      <c r="T546" s="72" t="n"/>
      <c r="U546" s="74" t="n"/>
      <c r="V546" s="79" t="str">
        <f>IF(AND(D546="proMX",OR(R546="Submitted",R546="Recall Requested"),ISNUMBER(S546)),CFG_TODAY-INT(S546),"")</f>
        <v/>
      </c>
      <c r="W546" s="78" t="str">
        <f>IF(BD546=0,"",IF(BA546&gt;0,"⚠ Se superpone con un registro de la otra empresa",IF(D546="Malcolm",IF(COUNTA(R546,S546,T546)&gt;0,"Estado/fechas proMX se ignoran en Malcolm",""),IF(BF546="Cancelled","Cancelado: excluido de totales",IF(R546="","Sin estado: se trata como Draft",IF(BF546="Submitted",IF(ISNUMBER(V546),IF(V546&gt;CFG_MAXD,"⚠ "&amp;V546&amp;" días en Submitted (máx. "&amp;CFG_MAXD&amp;")",""),"Falta fecha de envío"),IF(BF546="Returned","⚠ Devuelto: corregir y reenviar",IF(BF546="Recall Requested","Retirada solicitada: pendiente",IF(AND(BF546="Approved",NOT(ISNUMBER(T546))),"Falta fecha de aprobación",IF(AND(ISNUMBER(S546),ISNUMBER(T546),T546&lt;S546),"Aprobación anterior al envío","")))))))))</f>
        <v/>
      </c>
      <c r="Y546" s="80">
        <f>IF(COUNTA(B546,D546,E546,F546,G546,H546,I546,J546,R546,S546,T546)&gt;0,1,0)</f>
        <v>0</v>
      </c>
      <c r="Z546" s="80" t="str">
        <f>IF(AND(ISNUMBER(H546),H546&gt;=0,H546&lt;1),ROUND(H546*1440,0),"")</f>
        <v/>
      </c>
      <c r="AA546" s="80" t="str">
        <f>IF(AND(ISNUMBER(I546),I546&gt;=0,I546&lt;1),ROUND(I546*1440,0),"")</f>
        <v/>
      </c>
      <c r="AB546" s="80">
        <f>IF(AND(ISNUMBER(B546),D546&lt;&gt;"",ISNUMBER(Z546),ISNUMBER(AA546)),IF(Z546=AA546,0,1),0)</f>
        <v>0</v>
      </c>
      <c r="AC546" s="80">
        <f>IF(AB546=1,IF(AA546&lt;Z546,1,0),0)</f>
        <v>0</v>
      </c>
      <c r="AD546" s="80">
        <f>IF(AB546=1,IF(AC546=1,1440-Z546+AA546,AA546-Z546),0)</f>
        <v>0</v>
      </c>
      <c r="AE546" s="80">
        <f>IF(J546="",0,IF(ISNUMBER(J546),J546,-1))</f>
        <v>0</v>
      </c>
      <c r="AF546" s="80">
        <f>MIN(MAX(0,AE546),AD546)</f>
        <v>0</v>
      </c>
      <c r="AG546" s="80">
        <f>MAX(0,AD546-MAX(0,AE546))</f>
        <v>0</v>
      </c>
      <c r="AH546" s="80">
        <f>IF(ISNUMBER(B546),IF(AND(INDEX(CFG_WDAYS,WEEKDAY(INT(B546),2))="Sí",IF(D546="proMX",COUNTIFS(FER_F,INT(B546),FER_NLP,"Sí"),COUNTIFS(FER_F,INT(B546),FER_NLM,"Sí"))=0),1,0),0)</f>
        <v>0</v>
      </c>
      <c r="AI546" s="80">
        <f>IF(AC546=1,IF(AND(INDEX(CFG_WDAYS,WEEKDAY(INT(B546)+1,2))="Sí",IF(D546="proMX",COUNTIFS(FER_F,INT(B546)+1,FER_NLP,"Sí"),COUNTIFS(FER_F,INT(B546)+1,FER_NLM,"Sí"))=0),1,0),0)</f>
        <v>0</v>
      </c>
      <c r="AJ546" s="80">
        <f>IF(AC546=1,1440-Z546,AD546)</f>
        <v>0</v>
      </c>
      <c r="AK546" s="80">
        <f>IF(AND(AB546=1,AH546=1),MAX(0,MIN(IF(AC546=1,1440,AA546),CFG_WEM)-MAX(Z546,CFG_WSM)),0)</f>
        <v>0</v>
      </c>
      <c r="AL546" s="80">
        <f>IF(AND(AC546=1,AI546=1),MAX(0,MIN(AA546,CFG_WEM)-CFG_WSM),0)</f>
        <v>0</v>
      </c>
      <c r="AM546" s="80">
        <f>AK546+AL546</f>
        <v>0</v>
      </c>
      <c r="AN546" s="80">
        <f>IF(CFG_BRK="Proporcional",IF(AD546=0,0,AF546*AM546/AD546),IF(CFG_BRK="Extras primero",MIN(AM546,MAX(0,AF546-(AD546-AM546))),MIN(AF546,AM546)))</f>
        <v>0</v>
      </c>
      <c r="AO546" s="80">
        <f>AF546-AN546</f>
        <v>0</v>
      </c>
      <c r="AP546" s="80">
        <f>AM546-AN546</f>
        <v>0</v>
      </c>
      <c r="AQ546" s="80">
        <f>AD546-AM546-AO546</f>
        <v>0</v>
      </c>
      <c r="AR546" s="80">
        <f>IF(AM546=0,0,AK546-AN546*AK546/AM546)</f>
        <v>0</v>
      </c>
      <c r="AS546" s="80">
        <f>IF(AD546-AM546=0,0,(AJ546-AK546)-AO546*(AJ546-AK546)/(AD546-AM546))</f>
        <v>0</v>
      </c>
      <c r="AT546" s="80" t="str">
        <f>IF(AC546=1,INT(B546)+1,"")</f>
        <v/>
      </c>
      <c r="AU546" s="80">
        <f>IF(AND(D546="proMX",R546="Cancelled"),0,1)</f>
        <v>1</v>
      </c>
      <c r="AV546" s="80">
        <f>IF(AND(AB546=1,AU546=1),IF(COUNTIFS($D$5:D545,D546,$B$5:B545,B546,$Z$5:Z545,Z546,$AA$5:AA545,AA546,$F$5:F545,F546&amp;"",$AU$5:AU545,1)&gt;0,1,0),0)</f>
        <v>0</v>
      </c>
      <c r="AW546" s="80" t="str">
        <f>IF(AB546=1,INT(B546)*1440+Z546,"")</f>
        <v/>
      </c>
      <c r="AX546" s="80" t="str">
        <f>IF(AB546=1,AW546+AD546,"")</f>
        <v/>
      </c>
      <c r="AY546" s="80">
        <f>IF(AND(AB546=1,AV546=0,AU546=1),1,0)</f>
        <v>0</v>
      </c>
      <c r="AZ546" s="80">
        <f>IF(AY546=1,COUNTIFS(R_Emp,D546,R_SAbs,"&lt;"&amp;AX546,R_EAbs,"&gt;"&amp;AW546,R_OKey,1)-1,0)</f>
        <v>0</v>
      </c>
      <c r="BA546" s="80">
        <f>IF(AY546=1,COUNTIFS(R_Emp,"&lt;&gt;"&amp;D546,R_SAbs,"&lt;"&amp;AX546,R_EAbs,"&gt;"&amp;AW546,R_OKey,1),0)</f>
        <v>0</v>
      </c>
      <c r="BB546" s="80">
        <f>IF(AND(AB546=1,D546="proMX"),IF(AND(MOD(Z546,CFG_BLK)=0,MOD(AA546,CFG_BLK)=0,MOD(AG546,CFG_BLK)=0,AG546&gt;0),1,0),1)</f>
        <v>1</v>
      </c>
      <c r="BC546" s="80" t="str">
        <f>IF(Y546=0,"",IF(NOT(ISNUMBER(B546)),"Falta fecha o fecha inválida",IF(D546="","Falta empresa",IF(AND(D546&lt;&gt;"Malcolm",D546&lt;&gt;"proMX"),"Empresa inválida",IF(OR(INT(B546)&lt;CFG_PSTART,INT(B546)&gt;CFG_PEND),"Fecha fuera del período",IF(OR(NOT(ISNUMBER(Z546)),NOT(ISNUMBER(AA546))),"Falta hora inicio/fin o formato inválido",IF(AB546=0,"Hora inicio = hora fin",IF(AE546&lt;0,"Descanso inválido",IF(AE546&gt;=AD546,"Descanso ≥ duración",IF(AV546=1,"Registro duplicado",IF(AZ546&gt;0,"Se superpone con otro registro "&amp;D546,IF(BB546=0,"inicio, fin y duración neta deben ser múltiplos de "&amp;CFG_BLK&amp;" min",""))))))))))))</f>
        <v/>
      </c>
      <c r="BD546" s="80">
        <f>IF(AND(Y546=1,BC546=""),1,0)</f>
        <v>0</v>
      </c>
      <c r="BE546" s="80">
        <f>IF(AND(BD546=1,AU546=1),1,0)</f>
        <v>0</v>
      </c>
      <c r="BF546" s="80" t="str">
        <f>IF(AND(D546="proMX",BD546=1),IF(R546="","Draft",R546),"")</f>
        <v/>
      </c>
      <c r="BG546" s="80">
        <f>IF(BD546=1,ROUND(AG546/60,6),0)</f>
        <v>0</v>
      </c>
      <c r="BH546" s="80">
        <f>IF(BE546=1,ROUND(AG546/60,6),0)</f>
        <v>0</v>
      </c>
      <c r="BI546" s="80">
        <f>IF(BE546=1,ROUND(AP546/60,6),0)</f>
        <v>0</v>
      </c>
      <c r="BJ546" s="80">
        <f>IF(BE546=1,ROUND(AQ546/60,6),0)</f>
        <v>0</v>
      </c>
      <c r="BK546" s="80">
        <f>IF(BE546=1,ROUND((AR546+AS546)/60,6),0)</f>
        <v>0</v>
      </c>
      <c r="BL546" s="80">
        <f>ROUND(BH546-BK546,6)</f>
        <v>0</v>
      </c>
      <c r="BM546" s="80">
        <f>IF(BE546=1,ROUND(AR546/60,6),0)</f>
        <v>0</v>
      </c>
      <c r="BN546" s="80">
        <f>ROUND(BI546-BM546,6)</f>
        <v>0</v>
      </c>
      <c r="BO546" s="80">
        <f>IF(BE546=1,ROUND(AS546/60,6),0)</f>
        <v>0</v>
      </c>
      <c r="BP546" s="80">
        <f>ROUND(BJ546-BO546,6)</f>
        <v>0</v>
      </c>
      <c r="BQ546" s="80">
        <f>IF(BE546=1,AW546,0)</f>
        <v>0</v>
      </c>
      <c r="BR546" s="80">
        <f>IF(BE546=1,AX546,0)</f>
        <v>0</v>
      </c>
      <c r="BS546" s="80">
        <f>IF(AND(BE546=1,D546="Malcolm",BA546&gt;0),MIN(BH546,SUMPRODUCT((R_Emp="proMX")*(R_EN&gt;0)*((R_EN-(R_EN&gt;BR546)*(R_EN-BR546))&gt;(R_SN+(R_SN&lt;BQ546)*(BQ546-R_SN)))*((R_EN-(R_EN&gt;BR546)*(R_EN-BR546))-(R_SN+(R_SN&lt;BQ546)*(BQ546-R_SN))))/60),0)</f>
        <v>0</v>
      </c>
      <c r="BT546" s="80">
        <f>IF(AND(BE546=1,D546="proMX"),ROUND(BI546*CFG_RATE+BJ546*CFG_OTRATE,6),0)</f>
        <v>0</v>
      </c>
      <c r="BU546" s="80">
        <f>IF(AND(BD546=1,D546="proMX"),ROUND(AG546/CFG_BLK,6),0)</f>
        <v>0</v>
      </c>
      <c r="BV546" s="80" t="str">
        <f>IF(BF546="Approved",IF(ISNUMBER(T546),INT(T546),INT(B546)),"")</f>
        <v/>
      </c>
      <c r="BW546" s="80">
        <f>IF(ISNUMBER(B546),IF(DB_MON="Todos",1,IF(AND(INT(B546)&gt;=DB_MS,INT(B546)&lt;=DB_ME),1,0)),0)</f>
        <v>0</v>
      </c>
      <c r="BX546" s="80">
        <f>IF(DB_PROJ="Todos",1,IF(E546&amp;""=DB_PROJ&amp;"",1,0))</f>
        <v>1</v>
      </c>
      <c r="BY546" s="80">
        <f>BW546*BX546</f>
        <v>0</v>
      </c>
      <c r="BZ546" s="80" t="str">
        <f>IF(Y546=1,F546&amp;IF(AND(F546&amp;""&lt;&gt;"",E546&amp;""&lt;&gt;"")," · ","")&amp;E546,"")</f>
        <v/>
      </c>
      <c r="CA546" s="80" t="str">
        <f>IF(AND(BD546=1,E546&amp;""&lt;&gt;""),IF(COUNTIFS($E$5:E545,E546,$BD$5:BD545,1)=0,MAX($CA$5:CA545)+1,""),"")</f>
        <v/>
      </c>
      <c r="CB546" s="80" t="str">
        <f>IF(AND(BE546=1,D546="Malcolm",E546&amp;""&lt;&gt;""),IF(COUNTIFS($D$5:D545,"Malcolm",$E$5:E545,E546,$BE$5:BE545,1)=0,MAX($CB$5:CB545)+1,""),"")</f>
        <v/>
      </c>
      <c r="CC546" s="80" t="str">
        <f>IF(AND(BD546=1,D546="proMX",E546&amp;""&lt;&gt;""),IF(COUNTIFS($D$5:D545,"proMX",$E$5:E545,E546,$BD$5:BD545,1)=0,MAX($CC$5:CC545)+1,""),"")</f>
        <v/>
      </c>
      <c r="CD546" s="80" t="str">
        <f>IF(AND(BE546=1,D546="Malcolm",F546&amp;""&lt;&gt;""),IF(COUNTIFS($D$5:D545,"Malcolm",$F$5:F545,F546,$BE$5:BE545,1)=0,MAX($CD$5:CD545)+1,""),"")</f>
        <v/>
      </c>
      <c r="CE546" s="80" t="str">
        <f>IF(AND(BD546=1,D546="proMX",F546&amp;""&lt;&gt;""),IF(COUNTIFS($D$5:D545,"proMX",$F$5:F545,F546,$BD$5:BD545,1)=0,MAX($CE$5:CE545)+1,""),"")</f>
        <v/>
      </c>
      <c r="CF546" s="80" t="str">
        <f>IF(AND(D546="proMX",BD546=1),IF(OR(BF546="Draft",BF546="Submitted",BF546="Returned",BF546="Recall Requested"),MAX($CF$5:CF545)+1,""),"")</f>
        <v/>
      </c>
      <c r="CG546" s="80">
        <f>IF(BD546=0,0,IF(D546="Malcolm",1,MATCH(BF546,{"Draft","Submitted","Approved","Returned","Recall Requested","Cancelled"},0)+1))</f>
        <v>0</v>
      </c>
      <c r="CH546" s="80">
        <f>IF(AND(BF546="Submitted",ISNUMBER(V546)),IF(V546&gt;CFG_MAXD,1,0),0)</f>
        <v>0</v>
      </c>
    </row>
    <row r="547">
      <c r="A547" s="71" t="str">
        <f>IF(Y547=1,ROW()-5,"")</f>
        <v/>
      </c>
      <c r="B547" s="72" t="n"/>
      <c r="C547" s="71" t="str">
        <f>IF(ISNUMBER(B547),CHOOSE(WEEKDAY(B547,2),"Lun","Mar","Mié","Jue","Vie","Sáb","Dom"),"")</f>
        <v/>
      </c>
      <c r="D547" s="73" t="n"/>
      <c r="E547" s="74" t="n"/>
      <c r="F547" s="74" t="n"/>
      <c r="G547" s="74" t="n"/>
      <c r="H547" s="75" t="n"/>
      <c r="I547" s="75" t="n"/>
      <c r="J547" s="76" t="n"/>
      <c r="K547" s="77" t="str">
        <f>IF(AB547=1,ROUND(AG547/60,4),"")</f>
        <v/>
      </c>
      <c r="L547" s="77" t="str">
        <f>IF(BD547=1,ROUND(AP547/60,4),"")</f>
        <v/>
      </c>
      <c r="M547" s="77" t="str">
        <f>IF(BD547=1,ROUND(AQ547/60,4),"")</f>
        <v/>
      </c>
      <c r="N547" s="71" t="str">
        <f>IF(AND(D547="proMX",AB547=1),ROUND(AG547/CFG_BLK,2),"")</f>
        <v/>
      </c>
      <c r="O547" s="77" t="str">
        <f>IF(D547="proMX",IF(BD547=1,ROUND(AG547/60,4),0),"")</f>
        <v/>
      </c>
      <c r="P547" s="78" t="str">
        <f>IF(Y547=0,"",IF(BD547=1,"OK",IF(D547="proMX","Revisar bloques: ","Revisar: ")&amp;BC547))</f>
        <v/>
      </c>
      <c r="Q547" s="78" t="str">
        <f>IF(NOT(ISNUMBER(B547)),"",IF(COUNTIFS(FER_F,INT(B547))&gt;0,"Feriado"&amp;IF(AH547=1," (laborable)"," (no laborable)"),IF(AH547=1,"Laborable",IF(WEEKDAY(B547,2)&gt;5,"Fin de semana","No laborable"))))</f>
        <v/>
      </c>
      <c r="R547" s="73" t="n"/>
      <c r="S547" s="72" t="n"/>
      <c r="T547" s="72" t="n"/>
      <c r="U547" s="74" t="n"/>
      <c r="V547" s="79" t="str">
        <f>IF(AND(D547="proMX",OR(R547="Submitted",R547="Recall Requested"),ISNUMBER(S547)),CFG_TODAY-INT(S547),"")</f>
        <v/>
      </c>
      <c r="W547" s="78" t="str">
        <f>IF(BD547=0,"",IF(BA547&gt;0,"⚠ Se superpone con un registro de la otra empresa",IF(D547="Malcolm",IF(COUNTA(R547,S547,T547)&gt;0,"Estado/fechas proMX se ignoran en Malcolm",""),IF(BF547="Cancelled","Cancelado: excluido de totales",IF(R547="","Sin estado: se trata como Draft",IF(BF547="Submitted",IF(ISNUMBER(V547),IF(V547&gt;CFG_MAXD,"⚠ "&amp;V547&amp;" días en Submitted (máx. "&amp;CFG_MAXD&amp;")",""),"Falta fecha de envío"),IF(BF547="Returned","⚠ Devuelto: corregir y reenviar",IF(BF547="Recall Requested","Retirada solicitada: pendiente",IF(AND(BF547="Approved",NOT(ISNUMBER(T547))),"Falta fecha de aprobación",IF(AND(ISNUMBER(S547),ISNUMBER(T547),T547&lt;S547),"Aprobación anterior al envío","")))))))))</f>
        <v/>
      </c>
      <c r="Y547" s="80">
        <f>IF(COUNTA(B547,D547,E547,F547,G547,H547,I547,J547,R547,S547,T547)&gt;0,1,0)</f>
        <v>0</v>
      </c>
      <c r="Z547" s="80" t="str">
        <f>IF(AND(ISNUMBER(H547),H547&gt;=0,H547&lt;1),ROUND(H547*1440,0),"")</f>
        <v/>
      </c>
      <c r="AA547" s="80" t="str">
        <f>IF(AND(ISNUMBER(I547),I547&gt;=0,I547&lt;1),ROUND(I547*1440,0),"")</f>
        <v/>
      </c>
      <c r="AB547" s="80">
        <f>IF(AND(ISNUMBER(B547),D547&lt;&gt;"",ISNUMBER(Z547),ISNUMBER(AA547)),IF(Z547=AA547,0,1),0)</f>
        <v>0</v>
      </c>
      <c r="AC547" s="80">
        <f>IF(AB547=1,IF(AA547&lt;Z547,1,0),0)</f>
        <v>0</v>
      </c>
      <c r="AD547" s="80">
        <f>IF(AB547=1,IF(AC547=1,1440-Z547+AA547,AA547-Z547),0)</f>
        <v>0</v>
      </c>
      <c r="AE547" s="80">
        <f>IF(J547="",0,IF(ISNUMBER(J547),J547,-1))</f>
        <v>0</v>
      </c>
      <c r="AF547" s="80">
        <f>MIN(MAX(0,AE547),AD547)</f>
        <v>0</v>
      </c>
      <c r="AG547" s="80">
        <f>MAX(0,AD547-MAX(0,AE547))</f>
        <v>0</v>
      </c>
      <c r="AH547" s="80">
        <f>IF(ISNUMBER(B547),IF(AND(INDEX(CFG_WDAYS,WEEKDAY(INT(B547),2))="Sí",IF(D547="proMX",COUNTIFS(FER_F,INT(B547),FER_NLP,"Sí"),COUNTIFS(FER_F,INT(B547),FER_NLM,"Sí"))=0),1,0),0)</f>
        <v>0</v>
      </c>
      <c r="AI547" s="80">
        <f>IF(AC547=1,IF(AND(INDEX(CFG_WDAYS,WEEKDAY(INT(B547)+1,2))="Sí",IF(D547="proMX",COUNTIFS(FER_F,INT(B547)+1,FER_NLP,"Sí"),COUNTIFS(FER_F,INT(B547)+1,FER_NLM,"Sí"))=0),1,0),0)</f>
        <v>0</v>
      </c>
      <c r="AJ547" s="80">
        <f>IF(AC547=1,1440-Z547,AD547)</f>
        <v>0</v>
      </c>
      <c r="AK547" s="80">
        <f>IF(AND(AB547=1,AH547=1),MAX(0,MIN(IF(AC547=1,1440,AA547),CFG_WEM)-MAX(Z547,CFG_WSM)),0)</f>
        <v>0</v>
      </c>
      <c r="AL547" s="80">
        <f>IF(AND(AC547=1,AI547=1),MAX(0,MIN(AA547,CFG_WEM)-CFG_WSM),0)</f>
        <v>0</v>
      </c>
      <c r="AM547" s="80">
        <f>AK547+AL547</f>
        <v>0</v>
      </c>
      <c r="AN547" s="80">
        <f>IF(CFG_BRK="Proporcional",IF(AD547=0,0,AF547*AM547/AD547),IF(CFG_BRK="Extras primero",MIN(AM547,MAX(0,AF547-(AD547-AM547))),MIN(AF547,AM547)))</f>
        <v>0</v>
      </c>
      <c r="AO547" s="80">
        <f>AF547-AN547</f>
        <v>0</v>
      </c>
      <c r="AP547" s="80">
        <f>AM547-AN547</f>
        <v>0</v>
      </c>
      <c r="AQ547" s="80">
        <f>AD547-AM547-AO547</f>
        <v>0</v>
      </c>
      <c r="AR547" s="80">
        <f>IF(AM547=0,0,AK547-AN547*AK547/AM547)</f>
        <v>0</v>
      </c>
      <c r="AS547" s="80">
        <f>IF(AD547-AM547=0,0,(AJ547-AK547)-AO547*(AJ547-AK547)/(AD547-AM547))</f>
        <v>0</v>
      </c>
      <c r="AT547" s="80" t="str">
        <f>IF(AC547=1,INT(B547)+1,"")</f>
        <v/>
      </c>
      <c r="AU547" s="80">
        <f>IF(AND(D547="proMX",R547="Cancelled"),0,1)</f>
        <v>1</v>
      </c>
      <c r="AV547" s="80">
        <f>IF(AND(AB547=1,AU547=1),IF(COUNTIFS($D$5:D546,D547,$B$5:B546,B547,$Z$5:Z546,Z547,$AA$5:AA546,AA547,$F$5:F546,F547&amp;"",$AU$5:AU546,1)&gt;0,1,0),0)</f>
        <v>0</v>
      </c>
      <c r="AW547" s="80" t="str">
        <f>IF(AB547=1,INT(B547)*1440+Z547,"")</f>
        <v/>
      </c>
      <c r="AX547" s="80" t="str">
        <f>IF(AB547=1,AW547+AD547,"")</f>
        <v/>
      </c>
      <c r="AY547" s="80">
        <f>IF(AND(AB547=1,AV547=0,AU547=1),1,0)</f>
        <v>0</v>
      </c>
      <c r="AZ547" s="80">
        <f>IF(AY547=1,COUNTIFS(R_Emp,D547,R_SAbs,"&lt;"&amp;AX547,R_EAbs,"&gt;"&amp;AW547,R_OKey,1)-1,0)</f>
        <v>0</v>
      </c>
      <c r="BA547" s="80">
        <f>IF(AY547=1,COUNTIFS(R_Emp,"&lt;&gt;"&amp;D547,R_SAbs,"&lt;"&amp;AX547,R_EAbs,"&gt;"&amp;AW547,R_OKey,1),0)</f>
        <v>0</v>
      </c>
      <c r="BB547" s="80">
        <f>IF(AND(AB547=1,D547="proMX"),IF(AND(MOD(Z547,CFG_BLK)=0,MOD(AA547,CFG_BLK)=0,MOD(AG547,CFG_BLK)=0,AG547&gt;0),1,0),1)</f>
        <v>1</v>
      </c>
      <c r="BC547" s="80" t="str">
        <f>IF(Y547=0,"",IF(NOT(ISNUMBER(B547)),"Falta fecha o fecha inválida",IF(D547="","Falta empresa",IF(AND(D547&lt;&gt;"Malcolm",D547&lt;&gt;"proMX"),"Empresa inválida",IF(OR(INT(B547)&lt;CFG_PSTART,INT(B547)&gt;CFG_PEND),"Fecha fuera del período",IF(OR(NOT(ISNUMBER(Z547)),NOT(ISNUMBER(AA547))),"Falta hora inicio/fin o formato inválido",IF(AB547=0,"Hora inicio = hora fin",IF(AE547&lt;0,"Descanso inválido",IF(AE547&gt;=AD547,"Descanso ≥ duración",IF(AV547=1,"Registro duplicado",IF(AZ547&gt;0,"Se superpone con otro registro "&amp;D547,IF(BB547=0,"inicio, fin y duración neta deben ser múltiplos de "&amp;CFG_BLK&amp;" min",""))))))))))))</f>
        <v/>
      </c>
      <c r="BD547" s="80">
        <f>IF(AND(Y547=1,BC547=""),1,0)</f>
        <v>0</v>
      </c>
      <c r="BE547" s="80">
        <f>IF(AND(BD547=1,AU547=1),1,0)</f>
        <v>0</v>
      </c>
      <c r="BF547" s="80" t="str">
        <f>IF(AND(D547="proMX",BD547=1),IF(R547="","Draft",R547),"")</f>
        <v/>
      </c>
      <c r="BG547" s="80">
        <f>IF(BD547=1,ROUND(AG547/60,6),0)</f>
        <v>0</v>
      </c>
      <c r="BH547" s="80">
        <f>IF(BE547=1,ROUND(AG547/60,6),0)</f>
        <v>0</v>
      </c>
      <c r="BI547" s="80">
        <f>IF(BE547=1,ROUND(AP547/60,6),0)</f>
        <v>0</v>
      </c>
      <c r="BJ547" s="80">
        <f>IF(BE547=1,ROUND(AQ547/60,6),0)</f>
        <v>0</v>
      </c>
      <c r="BK547" s="80">
        <f>IF(BE547=1,ROUND((AR547+AS547)/60,6),0)</f>
        <v>0</v>
      </c>
      <c r="BL547" s="80">
        <f>ROUND(BH547-BK547,6)</f>
        <v>0</v>
      </c>
      <c r="BM547" s="80">
        <f>IF(BE547=1,ROUND(AR547/60,6),0)</f>
        <v>0</v>
      </c>
      <c r="BN547" s="80">
        <f>ROUND(BI547-BM547,6)</f>
        <v>0</v>
      </c>
      <c r="BO547" s="80">
        <f>IF(BE547=1,ROUND(AS547/60,6),0)</f>
        <v>0</v>
      </c>
      <c r="BP547" s="80">
        <f>ROUND(BJ547-BO547,6)</f>
        <v>0</v>
      </c>
      <c r="BQ547" s="80">
        <f>IF(BE547=1,AW547,0)</f>
        <v>0</v>
      </c>
      <c r="BR547" s="80">
        <f>IF(BE547=1,AX547,0)</f>
        <v>0</v>
      </c>
      <c r="BS547" s="80">
        <f>IF(AND(BE547=1,D547="Malcolm",BA547&gt;0),MIN(BH547,SUMPRODUCT((R_Emp="proMX")*(R_EN&gt;0)*((R_EN-(R_EN&gt;BR547)*(R_EN-BR547))&gt;(R_SN+(R_SN&lt;BQ547)*(BQ547-R_SN)))*((R_EN-(R_EN&gt;BR547)*(R_EN-BR547))-(R_SN+(R_SN&lt;BQ547)*(BQ547-R_SN))))/60),0)</f>
        <v>0</v>
      </c>
      <c r="BT547" s="80">
        <f>IF(AND(BE547=1,D547="proMX"),ROUND(BI547*CFG_RATE+BJ547*CFG_OTRATE,6),0)</f>
        <v>0</v>
      </c>
      <c r="BU547" s="80">
        <f>IF(AND(BD547=1,D547="proMX"),ROUND(AG547/CFG_BLK,6),0)</f>
        <v>0</v>
      </c>
      <c r="BV547" s="80" t="str">
        <f>IF(BF547="Approved",IF(ISNUMBER(T547),INT(T547),INT(B547)),"")</f>
        <v/>
      </c>
      <c r="BW547" s="80">
        <f>IF(ISNUMBER(B547),IF(DB_MON="Todos",1,IF(AND(INT(B547)&gt;=DB_MS,INT(B547)&lt;=DB_ME),1,0)),0)</f>
        <v>0</v>
      </c>
      <c r="BX547" s="80">
        <f>IF(DB_PROJ="Todos",1,IF(E547&amp;""=DB_PROJ&amp;"",1,0))</f>
        <v>1</v>
      </c>
      <c r="BY547" s="80">
        <f>BW547*BX547</f>
        <v>0</v>
      </c>
      <c r="BZ547" s="80" t="str">
        <f>IF(Y547=1,F547&amp;IF(AND(F547&amp;""&lt;&gt;"",E547&amp;""&lt;&gt;"")," · ","")&amp;E547,"")</f>
        <v/>
      </c>
      <c r="CA547" s="80" t="str">
        <f>IF(AND(BD547=1,E547&amp;""&lt;&gt;""),IF(COUNTIFS($E$5:E546,E547,$BD$5:BD546,1)=0,MAX($CA$5:CA546)+1,""),"")</f>
        <v/>
      </c>
      <c r="CB547" s="80" t="str">
        <f>IF(AND(BE547=1,D547="Malcolm",E547&amp;""&lt;&gt;""),IF(COUNTIFS($D$5:D546,"Malcolm",$E$5:E546,E547,$BE$5:BE546,1)=0,MAX($CB$5:CB546)+1,""),"")</f>
        <v/>
      </c>
      <c r="CC547" s="80" t="str">
        <f>IF(AND(BD547=1,D547="proMX",E547&amp;""&lt;&gt;""),IF(COUNTIFS($D$5:D546,"proMX",$E$5:E546,E547,$BD$5:BD546,1)=0,MAX($CC$5:CC546)+1,""),"")</f>
        <v/>
      </c>
      <c r="CD547" s="80" t="str">
        <f>IF(AND(BE547=1,D547="Malcolm",F547&amp;""&lt;&gt;""),IF(COUNTIFS($D$5:D546,"Malcolm",$F$5:F546,F547,$BE$5:BE546,1)=0,MAX($CD$5:CD546)+1,""),"")</f>
        <v/>
      </c>
      <c r="CE547" s="80" t="str">
        <f>IF(AND(BD547=1,D547="proMX",F547&amp;""&lt;&gt;""),IF(COUNTIFS($D$5:D546,"proMX",$F$5:F546,F547,$BD$5:BD546,1)=0,MAX($CE$5:CE546)+1,""),"")</f>
        <v/>
      </c>
      <c r="CF547" s="80" t="str">
        <f>IF(AND(D547="proMX",BD547=1),IF(OR(BF547="Draft",BF547="Submitted",BF547="Returned",BF547="Recall Requested"),MAX($CF$5:CF546)+1,""),"")</f>
        <v/>
      </c>
      <c r="CG547" s="80">
        <f>IF(BD547=0,0,IF(D547="Malcolm",1,MATCH(BF547,{"Draft","Submitted","Approved","Returned","Recall Requested","Cancelled"},0)+1))</f>
        <v>0</v>
      </c>
      <c r="CH547" s="80">
        <f>IF(AND(BF547="Submitted",ISNUMBER(V547)),IF(V547&gt;CFG_MAXD,1,0),0)</f>
        <v>0</v>
      </c>
    </row>
    <row r="548">
      <c r="A548" s="71" t="str">
        <f>IF(Y548=1,ROW()-5,"")</f>
        <v/>
      </c>
      <c r="B548" s="72" t="n"/>
      <c r="C548" s="71" t="str">
        <f>IF(ISNUMBER(B548),CHOOSE(WEEKDAY(B548,2),"Lun","Mar","Mié","Jue","Vie","Sáb","Dom"),"")</f>
        <v/>
      </c>
      <c r="D548" s="73" t="n"/>
      <c r="E548" s="74" t="n"/>
      <c r="F548" s="74" t="n"/>
      <c r="G548" s="74" t="n"/>
      <c r="H548" s="75" t="n"/>
      <c r="I548" s="75" t="n"/>
      <c r="J548" s="76" t="n"/>
      <c r="K548" s="77" t="str">
        <f>IF(AB548=1,ROUND(AG548/60,4),"")</f>
        <v/>
      </c>
      <c r="L548" s="77" t="str">
        <f>IF(BD548=1,ROUND(AP548/60,4),"")</f>
        <v/>
      </c>
      <c r="M548" s="77" t="str">
        <f>IF(BD548=1,ROUND(AQ548/60,4),"")</f>
        <v/>
      </c>
      <c r="N548" s="71" t="str">
        <f>IF(AND(D548="proMX",AB548=1),ROUND(AG548/CFG_BLK,2),"")</f>
        <v/>
      </c>
      <c r="O548" s="77" t="str">
        <f>IF(D548="proMX",IF(BD548=1,ROUND(AG548/60,4),0),"")</f>
        <v/>
      </c>
      <c r="P548" s="78" t="str">
        <f>IF(Y548=0,"",IF(BD548=1,"OK",IF(D548="proMX","Revisar bloques: ","Revisar: ")&amp;BC548))</f>
        <v/>
      </c>
      <c r="Q548" s="78" t="str">
        <f>IF(NOT(ISNUMBER(B548)),"",IF(COUNTIFS(FER_F,INT(B548))&gt;0,"Feriado"&amp;IF(AH548=1," (laborable)"," (no laborable)"),IF(AH548=1,"Laborable",IF(WEEKDAY(B548,2)&gt;5,"Fin de semana","No laborable"))))</f>
        <v/>
      </c>
      <c r="R548" s="73" t="n"/>
      <c r="S548" s="72" t="n"/>
      <c r="T548" s="72" t="n"/>
      <c r="U548" s="74" t="n"/>
      <c r="V548" s="79" t="str">
        <f>IF(AND(D548="proMX",OR(R548="Submitted",R548="Recall Requested"),ISNUMBER(S548)),CFG_TODAY-INT(S548),"")</f>
        <v/>
      </c>
      <c r="W548" s="78" t="str">
        <f>IF(BD548=0,"",IF(BA548&gt;0,"⚠ Se superpone con un registro de la otra empresa",IF(D548="Malcolm",IF(COUNTA(R548,S548,T548)&gt;0,"Estado/fechas proMX se ignoran en Malcolm",""),IF(BF548="Cancelled","Cancelado: excluido de totales",IF(R548="","Sin estado: se trata como Draft",IF(BF548="Submitted",IF(ISNUMBER(V548),IF(V548&gt;CFG_MAXD,"⚠ "&amp;V548&amp;" días en Submitted (máx. "&amp;CFG_MAXD&amp;")",""),"Falta fecha de envío"),IF(BF548="Returned","⚠ Devuelto: corregir y reenviar",IF(BF548="Recall Requested","Retirada solicitada: pendiente",IF(AND(BF548="Approved",NOT(ISNUMBER(T548))),"Falta fecha de aprobación",IF(AND(ISNUMBER(S548),ISNUMBER(T548),T548&lt;S548),"Aprobación anterior al envío","")))))))))</f>
        <v/>
      </c>
      <c r="Y548" s="80">
        <f>IF(COUNTA(B548,D548,E548,F548,G548,H548,I548,J548,R548,S548,T548)&gt;0,1,0)</f>
        <v>0</v>
      </c>
      <c r="Z548" s="80" t="str">
        <f>IF(AND(ISNUMBER(H548),H548&gt;=0,H548&lt;1),ROUND(H548*1440,0),"")</f>
        <v/>
      </c>
      <c r="AA548" s="80" t="str">
        <f>IF(AND(ISNUMBER(I548),I548&gt;=0,I548&lt;1),ROUND(I548*1440,0),"")</f>
        <v/>
      </c>
      <c r="AB548" s="80">
        <f>IF(AND(ISNUMBER(B548),D548&lt;&gt;"",ISNUMBER(Z548),ISNUMBER(AA548)),IF(Z548=AA548,0,1),0)</f>
        <v>0</v>
      </c>
      <c r="AC548" s="80">
        <f>IF(AB548=1,IF(AA548&lt;Z548,1,0),0)</f>
        <v>0</v>
      </c>
      <c r="AD548" s="80">
        <f>IF(AB548=1,IF(AC548=1,1440-Z548+AA548,AA548-Z548),0)</f>
        <v>0</v>
      </c>
      <c r="AE548" s="80">
        <f>IF(J548="",0,IF(ISNUMBER(J548),J548,-1))</f>
        <v>0</v>
      </c>
      <c r="AF548" s="80">
        <f>MIN(MAX(0,AE548),AD548)</f>
        <v>0</v>
      </c>
      <c r="AG548" s="80">
        <f>MAX(0,AD548-MAX(0,AE548))</f>
        <v>0</v>
      </c>
      <c r="AH548" s="80">
        <f>IF(ISNUMBER(B548),IF(AND(INDEX(CFG_WDAYS,WEEKDAY(INT(B548),2))="Sí",IF(D548="proMX",COUNTIFS(FER_F,INT(B548),FER_NLP,"Sí"),COUNTIFS(FER_F,INT(B548),FER_NLM,"Sí"))=0),1,0),0)</f>
        <v>0</v>
      </c>
      <c r="AI548" s="80">
        <f>IF(AC548=1,IF(AND(INDEX(CFG_WDAYS,WEEKDAY(INT(B548)+1,2))="Sí",IF(D548="proMX",COUNTIFS(FER_F,INT(B548)+1,FER_NLP,"Sí"),COUNTIFS(FER_F,INT(B548)+1,FER_NLM,"Sí"))=0),1,0),0)</f>
        <v>0</v>
      </c>
      <c r="AJ548" s="80">
        <f>IF(AC548=1,1440-Z548,AD548)</f>
        <v>0</v>
      </c>
      <c r="AK548" s="80">
        <f>IF(AND(AB548=1,AH548=1),MAX(0,MIN(IF(AC548=1,1440,AA548),CFG_WEM)-MAX(Z548,CFG_WSM)),0)</f>
        <v>0</v>
      </c>
      <c r="AL548" s="80">
        <f>IF(AND(AC548=1,AI548=1),MAX(0,MIN(AA548,CFG_WEM)-CFG_WSM),0)</f>
        <v>0</v>
      </c>
      <c r="AM548" s="80">
        <f>AK548+AL548</f>
        <v>0</v>
      </c>
      <c r="AN548" s="80">
        <f>IF(CFG_BRK="Proporcional",IF(AD548=0,0,AF548*AM548/AD548),IF(CFG_BRK="Extras primero",MIN(AM548,MAX(0,AF548-(AD548-AM548))),MIN(AF548,AM548)))</f>
        <v>0</v>
      </c>
      <c r="AO548" s="80">
        <f>AF548-AN548</f>
        <v>0</v>
      </c>
      <c r="AP548" s="80">
        <f>AM548-AN548</f>
        <v>0</v>
      </c>
      <c r="AQ548" s="80">
        <f>AD548-AM548-AO548</f>
        <v>0</v>
      </c>
      <c r="AR548" s="80">
        <f>IF(AM548=0,0,AK548-AN548*AK548/AM548)</f>
        <v>0</v>
      </c>
      <c r="AS548" s="80">
        <f>IF(AD548-AM548=0,0,(AJ548-AK548)-AO548*(AJ548-AK548)/(AD548-AM548))</f>
        <v>0</v>
      </c>
      <c r="AT548" s="80" t="str">
        <f>IF(AC548=1,INT(B548)+1,"")</f>
        <v/>
      </c>
      <c r="AU548" s="80">
        <f>IF(AND(D548="proMX",R548="Cancelled"),0,1)</f>
        <v>1</v>
      </c>
      <c r="AV548" s="80">
        <f>IF(AND(AB548=1,AU548=1),IF(COUNTIFS($D$5:D547,D548,$B$5:B547,B548,$Z$5:Z547,Z548,$AA$5:AA547,AA548,$F$5:F547,F548&amp;"",$AU$5:AU547,1)&gt;0,1,0),0)</f>
        <v>0</v>
      </c>
      <c r="AW548" s="80" t="str">
        <f>IF(AB548=1,INT(B548)*1440+Z548,"")</f>
        <v/>
      </c>
      <c r="AX548" s="80" t="str">
        <f>IF(AB548=1,AW548+AD548,"")</f>
        <v/>
      </c>
      <c r="AY548" s="80">
        <f>IF(AND(AB548=1,AV548=0,AU548=1),1,0)</f>
        <v>0</v>
      </c>
      <c r="AZ548" s="80">
        <f>IF(AY548=1,COUNTIFS(R_Emp,D548,R_SAbs,"&lt;"&amp;AX548,R_EAbs,"&gt;"&amp;AW548,R_OKey,1)-1,0)</f>
        <v>0</v>
      </c>
      <c r="BA548" s="80">
        <f>IF(AY548=1,COUNTIFS(R_Emp,"&lt;&gt;"&amp;D548,R_SAbs,"&lt;"&amp;AX548,R_EAbs,"&gt;"&amp;AW548,R_OKey,1),0)</f>
        <v>0</v>
      </c>
      <c r="BB548" s="80">
        <f>IF(AND(AB548=1,D548="proMX"),IF(AND(MOD(Z548,CFG_BLK)=0,MOD(AA548,CFG_BLK)=0,MOD(AG548,CFG_BLK)=0,AG548&gt;0),1,0),1)</f>
        <v>1</v>
      </c>
      <c r="BC548" s="80" t="str">
        <f>IF(Y548=0,"",IF(NOT(ISNUMBER(B548)),"Falta fecha o fecha inválida",IF(D548="","Falta empresa",IF(AND(D548&lt;&gt;"Malcolm",D548&lt;&gt;"proMX"),"Empresa inválida",IF(OR(INT(B548)&lt;CFG_PSTART,INT(B548)&gt;CFG_PEND),"Fecha fuera del período",IF(OR(NOT(ISNUMBER(Z548)),NOT(ISNUMBER(AA548))),"Falta hora inicio/fin o formato inválido",IF(AB548=0,"Hora inicio = hora fin",IF(AE548&lt;0,"Descanso inválido",IF(AE548&gt;=AD548,"Descanso ≥ duración",IF(AV548=1,"Registro duplicado",IF(AZ548&gt;0,"Se superpone con otro registro "&amp;D548,IF(BB548=0,"inicio, fin y duración neta deben ser múltiplos de "&amp;CFG_BLK&amp;" min",""))))))))))))</f>
        <v/>
      </c>
      <c r="BD548" s="80">
        <f>IF(AND(Y548=1,BC548=""),1,0)</f>
        <v>0</v>
      </c>
      <c r="BE548" s="80">
        <f>IF(AND(BD548=1,AU548=1),1,0)</f>
        <v>0</v>
      </c>
      <c r="BF548" s="80" t="str">
        <f>IF(AND(D548="proMX",BD548=1),IF(R548="","Draft",R548),"")</f>
        <v/>
      </c>
      <c r="BG548" s="80">
        <f>IF(BD548=1,ROUND(AG548/60,6),0)</f>
        <v>0</v>
      </c>
      <c r="BH548" s="80">
        <f>IF(BE548=1,ROUND(AG548/60,6),0)</f>
        <v>0</v>
      </c>
      <c r="BI548" s="80">
        <f>IF(BE548=1,ROUND(AP548/60,6),0)</f>
        <v>0</v>
      </c>
      <c r="BJ548" s="80">
        <f>IF(BE548=1,ROUND(AQ548/60,6),0)</f>
        <v>0</v>
      </c>
      <c r="BK548" s="80">
        <f>IF(BE548=1,ROUND((AR548+AS548)/60,6),0)</f>
        <v>0</v>
      </c>
      <c r="BL548" s="80">
        <f>ROUND(BH548-BK548,6)</f>
        <v>0</v>
      </c>
      <c r="BM548" s="80">
        <f>IF(BE548=1,ROUND(AR548/60,6),0)</f>
        <v>0</v>
      </c>
      <c r="BN548" s="80">
        <f>ROUND(BI548-BM548,6)</f>
        <v>0</v>
      </c>
      <c r="BO548" s="80">
        <f>IF(BE548=1,ROUND(AS548/60,6),0)</f>
        <v>0</v>
      </c>
      <c r="BP548" s="80">
        <f>ROUND(BJ548-BO548,6)</f>
        <v>0</v>
      </c>
      <c r="BQ548" s="80">
        <f>IF(BE548=1,AW548,0)</f>
        <v>0</v>
      </c>
      <c r="BR548" s="80">
        <f>IF(BE548=1,AX548,0)</f>
        <v>0</v>
      </c>
      <c r="BS548" s="80">
        <f>IF(AND(BE548=1,D548="Malcolm",BA548&gt;0),MIN(BH548,SUMPRODUCT((R_Emp="proMX")*(R_EN&gt;0)*((R_EN-(R_EN&gt;BR548)*(R_EN-BR548))&gt;(R_SN+(R_SN&lt;BQ548)*(BQ548-R_SN)))*((R_EN-(R_EN&gt;BR548)*(R_EN-BR548))-(R_SN+(R_SN&lt;BQ548)*(BQ548-R_SN))))/60),0)</f>
        <v>0</v>
      </c>
      <c r="BT548" s="80">
        <f>IF(AND(BE548=1,D548="proMX"),ROUND(BI548*CFG_RATE+BJ548*CFG_OTRATE,6),0)</f>
        <v>0</v>
      </c>
      <c r="BU548" s="80">
        <f>IF(AND(BD548=1,D548="proMX"),ROUND(AG548/CFG_BLK,6),0)</f>
        <v>0</v>
      </c>
      <c r="BV548" s="80" t="str">
        <f>IF(BF548="Approved",IF(ISNUMBER(T548),INT(T548),INT(B548)),"")</f>
        <v/>
      </c>
      <c r="BW548" s="80">
        <f>IF(ISNUMBER(B548),IF(DB_MON="Todos",1,IF(AND(INT(B548)&gt;=DB_MS,INT(B548)&lt;=DB_ME),1,0)),0)</f>
        <v>0</v>
      </c>
      <c r="BX548" s="80">
        <f>IF(DB_PROJ="Todos",1,IF(E548&amp;""=DB_PROJ&amp;"",1,0))</f>
        <v>1</v>
      </c>
      <c r="BY548" s="80">
        <f>BW548*BX548</f>
        <v>0</v>
      </c>
      <c r="BZ548" s="80" t="str">
        <f>IF(Y548=1,F548&amp;IF(AND(F548&amp;""&lt;&gt;"",E548&amp;""&lt;&gt;"")," · ","")&amp;E548,"")</f>
        <v/>
      </c>
      <c r="CA548" s="80" t="str">
        <f>IF(AND(BD548=1,E548&amp;""&lt;&gt;""),IF(COUNTIFS($E$5:E547,E548,$BD$5:BD547,1)=0,MAX($CA$5:CA547)+1,""),"")</f>
        <v/>
      </c>
      <c r="CB548" s="80" t="str">
        <f>IF(AND(BE548=1,D548="Malcolm",E548&amp;""&lt;&gt;""),IF(COUNTIFS($D$5:D547,"Malcolm",$E$5:E547,E548,$BE$5:BE547,1)=0,MAX($CB$5:CB547)+1,""),"")</f>
        <v/>
      </c>
      <c r="CC548" s="80" t="str">
        <f>IF(AND(BD548=1,D548="proMX",E548&amp;""&lt;&gt;""),IF(COUNTIFS($D$5:D547,"proMX",$E$5:E547,E548,$BD$5:BD547,1)=0,MAX($CC$5:CC547)+1,""),"")</f>
        <v/>
      </c>
      <c r="CD548" s="80" t="str">
        <f>IF(AND(BE548=1,D548="Malcolm",F548&amp;""&lt;&gt;""),IF(COUNTIFS($D$5:D547,"Malcolm",$F$5:F547,F548,$BE$5:BE547,1)=0,MAX($CD$5:CD547)+1,""),"")</f>
        <v/>
      </c>
      <c r="CE548" s="80" t="str">
        <f>IF(AND(BD548=1,D548="proMX",F548&amp;""&lt;&gt;""),IF(COUNTIFS($D$5:D547,"proMX",$F$5:F547,F548,$BD$5:BD547,1)=0,MAX($CE$5:CE547)+1,""),"")</f>
        <v/>
      </c>
      <c r="CF548" s="80" t="str">
        <f>IF(AND(D548="proMX",BD548=1),IF(OR(BF548="Draft",BF548="Submitted",BF548="Returned",BF548="Recall Requested"),MAX($CF$5:CF547)+1,""),"")</f>
        <v/>
      </c>
      <c r="CG548" s="80">
        <f>IF(BD548=0,0,IF(D548="Malcolm",1,MATCH(BF548,{"Draft","Submitted","Approved","Returned","Recall Requested","Cancelled"},0)+1))</f>
        <v>0</v>
      </c>
      <c r="CH548" s="80">
        <f>IF(AND(BF548="Submitted",ISNUMBER(V548)),IF(V548&gt;CFG_MAXD,1,0),0)</f>
        <v>0</v>
      </c>
    </row>
    <row r="549">
      <c r="A549" s="71" t="str">
        <f>IF(Y549=1,ROW()-5,"")</f>
        <v/>
      </c>
      <c r="B549" s="72" t="n"/>
      <c r="C549" s="71" t="str">
        <f>IF(ISNUMBER(B549),CHOOSE(WEEKDAY(B549,2),"Lun","Mar","Mié","Jue","Vie","Sáb","Dom"),"")</f>
        <v/>
      </c>
      <c r="D549" s="73" t="n"/>
      <c r="E549" s="74" t="n"/>
      <c r="F549" s="74" t="n"/>
      <c r="G549" s="74" t="n"/>
      <c r="H549" s="75" t="n"/>
      <c r="I549" s="75" t="n"/>
      <c r="J549" s="76" t="n"/>
      <c r="K549" s="77" t="str">
        <f>IF(AB549=1,ROUND(AG549/60,4),"")</f>
        <v/>
      </c>
      <c r="L549" s="77" t="str">
        <f>IF(BD549=1,ROUND(AP549/60,4),"")</f>
        <v/>
      </c>
      <c r="M549" s="77" t="str">
        <f>IF(BD549=1,ROUND(AQ549/60,4),"")</f>
        <v/>
      </c>
      <c r="N549" s="71" t="str">
        <f>IF(AND(D549="proMX",AB549=1),ROUND(AG549/CFG_BLK,2),"")</f>
        <v/>
      </c>
      <c r="O549" s="77" t="str">
        <f>IF(D549="proMX",IF(BD549=1,ROUND(AG549/60,4),0),"")</f>
        <v/>
      </c>
      <c r="P549" s="78" t="str">
        <f>IF(Y549=0,"",IF(BD549=1,"OK",IF(D549="proMX","Revisar bloques: ","Revisar: ")&amp;BC549))</f>
        <v/>
      </c>
      <c r="Q549" s="78" t="str">
        <f>IF(NOT(ISNUMBER(B549)),"",IF(COUNTIFS(FER_F,INT(B549))&gt;0,"Feriado"&amp;IF(AH549=1," (laborable)"," (no laborable)"),IF(AH549=1,"Laborable",IF(WEEKDAY(B549,2)&gt;5,"Fin de semana","No laborable"))))</f>
        <v/>
      </c>
      <c r="R549" s="73" t="n"/>
      <c r="S549" s="72" t="n"/>
      <c r="T549" s="72" t="n"/>
      <c r="U549" s="74" t="n"/>
      <c r="V549" s="79" t="str">
        <f>IF(AND(D549="proMX",OR(R549="Submitted",R549="Recall Requested"),ISNUMBER(S549)),CFG_TODAY-INT(S549),"")</f>
        <v/>
      </c>
      <c r="W549" s="78" t="str">
        <f>IF(BD549=0,"",IF(BA549&gt;0,"⚠ Se superpone con un registro de la otra empresa",IF(D549="Malcolm",IF(COUNTA(R549,S549,T549)&gt;0,"Estado/fechas proMX se ignoran en Malcolm",""),IF(BF549="Cancelled","Cancelado: excluido de totales",IF(R549="","Sin estado: se trata como Draft",IF(BF549="Submitted",IF(ISNUMBER(V549),IF(V549&gt;CFG_MAXD,"⚠ "&amp;V549&amp;" días en Submitted (máx. "&amp;CFG_MAXD&amp;")",""),"Falta fecha de envío"),IF(BF549="Returned","⚠ Devuelto: corregir y reenviar",IF(BF549="Recall Requested","Retirada solicitada: pendiente",IF(AND(BF549="Approved",NOT(ISNUMBER(T549))),"Falta fecha de aprobación",IF(AND(ISNUMBER(S549),ISNUMBER(T549),T549&lt;S549),"Aprobación anterior al envío","")))))))))</f>
        <v/>
      </c>
      <c r="Y549" s="80">
        <f>IF(COUNTA(B549,D549,E549,F549,G549,H549,I549,J549,R549,S549,T549)&gt;0,1,0)</f>
        <v>0</v>
      </c>
      <c r="Z549" s="80" t="str">
        <f>IF(AND(ISNUMBER(H549),H549&gt;=0,H549&lt;1),ROUND(H549*1440,0),"")</f>
        <v/>
      </c>
      <c r="AA549" s="80" t="str">
        <f>IF(AND(ISNUMBER(I549),I549&gt;=0,I549&lt;1),ROUND(I549*1440,0),"")</f>
        <v/>
      </c>
      <c r="AB549" s="80">
        <f>IF(AND(ISNUMBER(B549),D549&lt;&gt;"",ISNUMBER(Z549),ISNUMBER(AA549)),IF(Z549=AA549,0,1),0)</f>
        <v>0</v>
      </c>
      <c r="AC549" s="80">
        <f>IF(AB549=1,IF(AA549&lt;Z549,1,0),0)</f>
        <v>0</v>
      </c>
      <c r="AD549" s="80">
        <f>IF(AB549=1,IF(AC549=1,1440-Z549+AA549,AA549-Z549),0)</f>
        <v>0</v>
      </c>
      <c r="AE549" s="80">
        <f>IF(J549="",0,IF(ISNUMBER(J549),J549,-1))</f>
        <v>0</v>
      </c>
      <c r="AF549" s="80">
        <f>MIN(MAX(0,AE549),AD549)</f>
        <v>0</v>
      </c>
      <c r="AG549" s="80">
        <f>MAX(0,AD549-MAX(0,AE549))</f>
        <v>0</v>
      </c>
      <c r="AH549" s="80">
        <f>IF(ISNUMBER(B549),IF(AND(INDEX(CFG_WDAYS,WEEKDAY(INT(B549),2))="Sí",IF(D549="proMX",COUNTIFS(FER_F,INT(B549),FER_NLP,"Sí"),COUNTIFS(FER_F,INT(B549),FER_NLM,"Sí"))=0),1,0),0)</f>
        <v>0</v>
      </c>
      <c r="AI549" s="80">
        <f>IF(AC549=1,IF(AND(INDEX(CFG_WDAYS,WEEKDAY(INT(B549)+1,2))="Sí",IF(D549="proMX",COUNTIFS(FER_F,INT(B549)+1,FER_NLP,"Sí"),COUNTIFS(FER_F,INT(B549)+1,FER_NLM,"Sí"))=0),1,0),0)</f>
        <v>0</v>
      </c>
      <c r="AJ549" s="80">
        <f>IF(AC549=1,1440-Z549,AD549)</f>
        <v>0</v>
      </c>
      <c r="AK549" s="80">
        <f>IF(AND(AB549=1,AH549=1),MAX(0,MIN(IF(AC549=1,1440,AA549),CFG_WEM)-MAX(Z549,CFG_WSM)),0)</f>
        <v>0</v>
      </c>
      <c r="AL549" s="80">
        <f>IF(AND(AC549=1,AI549=1),MAX(0,MIN(AA549,CFG_WEM)-CFG_WSM),0)</f>
        <v>0</v>
      </c>
      <c r="AM549" s="80">
        <f>AK549+AL549</f>
        <v>0</v>
      </c>
      <c r="AN549" s="80">
        <f>IF(CFG_BRK="Proporcional",IF(AD549=0,0,AF549*AM549/AD549),IF(CFG_BRK="Extras primero",MIN(AM549,MAX(0,AF549-(AD549-AM549))),MIN(AF549,AM549)))</f>
        <v>0</v>
      </c>
      <c r="AO549" s="80">
        <f>AF549-AN549</f>
        <v>0</v>
      </c>
      <c r="AP549" s="80">
        <f>AM549-AN549</f>
        <v>0</v>
      </c>
      <c r="AQ549" s="80">
        <f>AD549-AM549-AO549</f>
        <v>0</v>
      </c>
      <c r="AR549" s="80">
        <f>IF(AM549=0,0,AK549-AN549*AK549/AM549)</f>
        <v>0</v>
      </c>
      <c r="AS549" s="80">
        <f>IF(AD549-AM549=0,0,(AJ549-AK549)-AO549*(AJ549-AK549)/(AD549-AM549))</f>
        <v>0</v>
      </c>
      <c r="AT549" s="80" t="str">
        <f>IF(AC549=1,INT(B549)+1,"")</f>
        <v/>
      </c>
      <c r="AU549" s="80">
        <f>IF(AND(D549="proMX",R549="Cancelled"),0,1)</f>
        <v>1</v>
      </c>
      <c r="AV549" s="80">
        <f>IF(AND(AB549=1,AU549=1),IF(COUNTIFS($D$5:D548,D549,$B$5:B548,B549,$Z$5:Z548,Z549,$AA$5:AA548,AA549,$F$5:F548,F549&amp;"",$AU$5:AU548,1)&gt;0,1,0),0)</f>
        <v>0</v>
      </c>
      <c r="AW549" s="80" t="str">
        <f>IF(AB549=1,INT(B549)*1440+Z549,"")</f>
        <v/>
      </c>
      <c r="AX549" s="80" t="str">
        <f>IF(AB549=1,AW549+AD549,"")</f>
        <v/>
      </c>
      <c r="AY549" s="80">
        <f>IF(AND(AB549=1,AV549=0,AU549=1),1,0)</f>
        <v>0</v>
      </c>
      <c r="AZ549" s="80">
        <f>IF(AY549=1,COUNTIFS(R_Emp,D549,R_SAbs,"&lt;"&amp;AX549,R_EAbs,"&gt;"&amp;AW549,R_OKey,1)-1,0)</f>
        <v>0</v>
      </c>
      <c r="BA549" s="80">
        <f>IF(AY549=1,COUNTIFS(R_Emp,"&lt;&gt;"&amp;D549,R_SAbs,"&lt;"&amp;AX549,R_EAbs,"&gt;"&amp;AW549,R_OKey,1),0)</f>
        <v>0</v>
      </c>
      <c r="BB549" s="80">
        <f>IF(AND(AB549=1,D549="proMX"),IF(AND(MOD(Z549,CFG_BLK)=0,MOD(AA549,CFG_BLK)=0,MOD(AG549,CFG_BLK)=0,AG549&gt;0),1,0),1)</f>
        <v>1</v>
      </c>
      <c r="BC549" s="80" t="str">
        <f>IF(Y549=0,"",IF(NOT(ISNUMBER(B549)),"Falta fecha o fecha inválida",IF(D549="","Falta empresa",IF(AND(D549&lt;&gt;"Malcolm",D549&lt;&gt;"proMX"),"Empresa inválida",IF(OR(INT(B549)&lt;CFG_PSTART,INT(B549)&gt;CFG_PEND),"Fecha fuera del período",IF(OR(NOT(ISNUMBER(Z549)),NOT(ISNUMBER(AA549))),"Falta hora inicio/fin o formato inválido",IF(AB549=0,"Hora inicio = hora fin",IF(AE549&lt;0,"Descanso inválido",IF(AE549&gt;=AD549,"Descanso ≥ duración",IF(AV549=1,"Registro duplicado",IF(AZ549&gt;0,"Se superpone con otro registro "&amp;D549,IF(BB549=0,"inicio, fin y duración neta deben ser múltiplos de "&amp;CFG_BLK&amp;" min",""))))))))))))</f>
        <v/>
      </c>
      <c r="BD549" s="80">
        <f>IF(AND(Y549=1,BC549=""),1,0)</f>
        <v>0</v>
      </c>
      <c r="BE549" s="80">
        <f>IF(AND(BD549=1,AU549=1),1,0)</f>
        <v>0</v>
      </c>
      <c r="BF549" s="80" t="str">
        <f>IF(AND(D549="proMX",BD549=1),IF(R549="","Draft",R549),"")</f>
        <v/>
      </c>
      <c r="BG549" s="80">
        <f>IF(BD549=1,ROUND(AG549/60,6),0)</f>
        <v>0</v>
      </c>
      <c r="BH549" s="80">
        <f>IF(BE549=1,ROUND(AG549/60,6),0)</f>
        <v>0</v>
      </c>
      <c r="BI549" s="80">
        <f>IF(BE549=1,ROUND(AP549/60,6),0)</f>
        <v>0</v>
      </c>
      <c r="BJ549" s="80">
        <f>IF(BE549=1,ROUND(AQ549/60,6),0)</f>
        <v>0</v>
      </c>
      <c r="BK549" s="80">
        <f>IF(BE549=1,ROUND((AR549+AS549)/60,6),0)</f>
        <v>0</v>
      </c>
      <c r="BL549" s="80">
        <f>ROUND(BH549-BK549,6)</f>
        <v>0</v>
      </c>
      <c r="BM549" s="80">
        <f>IF(BE549=1,ROUND(AR549/60,6),0)</f>
        <v>0</v>
      </c>
      <c r="BN549" s="80">
        <f>ROUND(BI549-BM549,6)</f>
        <v>0</v>
      </c>
      <c r="BO549" s="80">
        <f>IF(BE549=1,ROUND(AS549/60,6),0)</f>
        <v>0</v>
      </c>
      <c r="BP549" s="80">
        <f>ROUND(BJ549-BO549,6)</f>
        <v>0</v>
      </c>
      <c r="BQ549" s="80">
        <f>IF(BE549=1,AW549,0)</f>
        <v>0</v>
      </c>
      <c r="BR549" s="80">
        <f>IF(BE549=1,AX549,0)</f>
        <v>0</v>
      </c>
      <c r="BS549" s="80">
        <f>IF(AND(BE549=1,D549="Malcolm",BA549&gt;0),MIN(BH549,SUMPRODUCT((R_Emp="proMX")*(R_EN&gt;0)*((R_EN-(R_EN&gt;BR549)*(R_EN-BR549))&gt;(R_SN+(R_SN&lt;BQ549)*(BQ549-R_SN)))*((R_EN-(R_EN&gt;BR549)*(R_EN-BR549))-(R_SN+(R_SN&lt;BQ549)*(BQ549-R_SN))))/60),0)</f>
        <v>0</v>
      </c>
      <c r="BT549" s="80">
        <f>IF(AND(BE549=1,D549="proMX"),ROUND(BI549*CFG_RATE+BJ549*CFG_OTRATE,6),0)</f>
        <v>0</v>
      </c>
      <c r="BU549" s="80">
        <f>IF(AND(BD549=1,D549="proMX"),ROUND(AG549/CFG_BLK,6),0)</f>
        <v>0</v>
      </c>
      <c r="BV549" s="80" t="str">
        <f>IF(BF549="Approved",IF(ISNUMBER(T549),INT(T549),INT(B549)),"")</f>
        <v/>
      </c>
      <c r="BW549" s="80">
        <f>IF(ISNUMBER(B549),IF(DB_MON="Todos",1,IF(AND(INT(B549)&gt;=DB_MS,INT(B549)&lt;=DB_ME),1,0)),0)</f>
        <v>0</v>
      </c>
      <c r="BX549" s="80">
        <f>IF(DB_PROJ="Todos",1,IF(E549&amp;""=DB_PROJ&amp;"",1,0))</f>
        <v>1</v>
      </c>
      <c r="BY549" s="80">
        <f>BW549*BX549</f>
        <v>0</v>
      </c>
      <c r="BZ549" s="80" t="str">
        <f>IF(Y549=1,F549&amp;IF(AND(F549&amp;""&lt;&gt;"",E549&amp;""&lt;&gt;"")," · ","")&amp;E549,"")</f>
        <v/>
      </c>
      <c r="CA549" s="80" t="str">
        <f>IF(AND(BD549=1,E549&amp;""&lt;&gt;""),IF(COUNTIFS($E$5:E548,E549,$BD$5:BD548,1)=0,MAX($CA$5:CA548)+1,""),"")</f>
        <v/>
      </c>
      <c r="CB549" s="80" t="str">
        <f>IF(AND(BE549=1,D549="Malcolm",E549&amp;""&lt;&gt;""),IF(COUNTIFS($D$5:D548,"Malcolm",$E$5:E548,E549,$BE$5:BE548,1)=0,MAX($CB$5:CB548)+1,""),"")</f>
        <v/>
      </c>
      <c r="CC549" s="80" t="str">
        <f>IF(AND(BD549=1,D549="proMX",E549&amp;""&lt;&gt;""),IF(COUNTIFS($D$5:D548,"proMX",$E$5:E548,E549,$BD$5:BD548,1)=0,MAX($CC$5:CC548)+1,""),"")</f>
        <v/>
      </c>
      <c r="CD549" s="80" t="str">
        <f>IF(AND(BE549=1,D549="Malcolm",F549&amp;""&lt;&gt;""),IF(COUNTIFS($D$5:D548,"Malcolm",$F$5:F548,F549,$BE$5:BE548,1)=0,MAX($CD$5:CD548)+1,""),"")</f>
        <v/>
      </c>
      <c r="CE549" s="80" t="str">
        <f>IF(AND(BD549=1,D549="proMX",F549&amp;""&lt;&gt;""),IF(COUNTIFS($D$5:D548,"proMX",$F$5:F548,F549,$BD$5:BD548,1)=0,MAX($CE$5:CE548)+1,""),"")</f>
        <v/>
      </c>
      <c r="CF549" s="80" t="str">
        <f>IF(AND(D549="proMX",BD549=1),IF(OR(BF549="Draft",BF549="Submitted",BF549="Returned",BF549="Recall Requested"),MAX($CF$5:CF548)+1,""),"")</f>
        <v/>
      </c>
      <c r="CG549" s="80">
        <f>IF(BD549=0,0,IF(D549="Malcolm",1,MATCH(BF549,{"Draft","Submitted","Approved","Returned","Recall Requested","Cancelled"},0)+1))</f>
        <v>0</v>
      </c>
      <c r="CH549" s="80">
        <f>IF(AND(BF549="Submitted",ISNUMBER(V549)),IF(V549&gt;CFG_MAXD,1,0),0)</f>
        <v>0</v>
      </c>
    </row>
    <row r="550">
      <c r="A550" s="71" t="str">
        <f>IF(Y550=1,ROW()-5,"")</f>
        <v/>
      </c>
      <c r="B550" s="72" t="n"/>
      <c r="C550" s="71" t="str">
        <f>IF(ISNUMBER(B550),CHOOSE(WEEKDAY(B550,2),"Lun","Mar","Mié","Jue","Vie","Sáb","Dom"),"")</f>
        <v/>
      </c>
      <c r="D550" s="73" t="n"/>
      <c r="E550" s="74" t="n"/>
      <c r="F550" s="74" t="n"/>
      <c r="G550" s="74" t="n"/>
      <c r="H550" s="75" t="n"/>
      <c r="I550" s="75" t="n"/>
      <c r="J550" s="76" t="n"/>
      <c r="K550" s="77" t="str">
        <f>IF(AB550=1,ROUND(AG550/60,4),"")</f>
        <v/>
      </c>
      <c r="L550" s="77" t="str">
        <f>IF(BD550=1,ROUND(AP550/60,4),"")</f>
        <v/>
      </c>
      <c r="M550" s="77" t="str">
        <f>IF(BD550=1,ROUND(AQ550/60,4),"")</f>
        <v/>
      </c>
      <c r="N550" s="71" t="str">
        <f>IF(AND(D550="proMX",AB550=1),ROUND(AG550/CFG_BLK,2),"")</f>
        <v/>
      </c>
      <c r="O550" s="77" t="str">
        <f>IF(D550="proMX",IF(BD550=1,ROUND(AG550/60,4),0),"")</f>
        <v/>
      </c>
      <c r="P550" s="78" t="str">
        <f>IF(Y550=0,"",IF(BD550=1,"OK",IF(D550="proMX","Revisar bloques: ","Revisar: ")&amp;BC550))</f>
        <v/>
      </c>
      <c r="Q550" s="78" t="str">
        <f>IF(NOT(ISNUMBER(B550)),"",IF(COUNTIFS(FER_F,INT(B550))&gt;0,"Feriado"&amp;IF(AH550=1," (laborable)"," (no laborable)"),IF(AH550=1,"Laborable",IF(WEEKDAY(B550,2)&gt;5,"Fin de semana","No laborable"))))</f>
        <v/>
      </c>
      <c r="R550" s="73" t="n"/>
      <c r="S550" s="72" t="n"/>
      <c r="T550" s="72" t="n"/>
      <c r="U550" s="74" t="n"/>
      <c r="V550" s="79" t="str">
        <f>IF(AND(D550="proMX",OR(R550="Submitted",R550="Recall Requested"),ISNUMBER(S550)),CFG_TODAY-INT(S550),"")</f>
        <v/>
      </c>
      <c r="W550" s="78" t="str">
        <f>IF(BD550=0,"",IF(BA550&gt;0,"⚠ Se superpone con un registro de la otra empresa",IF(D550="Malcolm",IF(COUNTA(R550,S550,T550)&gt;0,"Estado/fechas proMX se ignoran en Malcolm",""),IF(BF550="Cancelled","Cancelado: excluido de totales",IF(R550="","Sin estado: se trata como Draft",IF(BF550="Submitted",IF(ISNUMBER(V550),IF(V550&gt;CFG_MAXD,"⚠ "&amp;V550&amp;" días en Submitted (máx. "&amp;CFG_MAXD&amp;")",""),"Falta fecha de envío"),IF(BF550="Returned","⚠ Devuelto: corregir y reenviar",IF(BF550="Recall Requested","Retirada solicitada: pendiente",IF(AND(BF550="Approved",NOT(ISNUMBER(T550))),"Falta fecha de aprobación",IF(AND(ISNUMBER(S550),ISNUMBER(T550),T550&lt;S550),"Aprobación anterior al envío","")))))))))</f>
        <v/>
      </c>
      <c r="Y550" s="80">
        <f>IF(COUNTA(B550,D550,E550,F550,G550,H550,I550,J550,R550,S550,T550)&gt;0,1,0)</f>
        <v>0</v>
      </c>
      <c r="Z550" s="80" t="str">
        <f>IF(AND(ISNUMBER(H550),H550&gt;=0,H550&lt;1),ROUND(H550*1440,0),"")</f>
        <v/>
      </c>
      <c r="AA550" s="80" t="str">
        <f>IF(AND(ISNUMBER(I550),I550&gt;=0,I550&lt;1),ROUND(I550*1440,0),"")</f>
        <v/>
      </c>
      <c r="AB550" s="80">
        <f>IF(AND(ISNUMBER(B550),D550&lt;&gt;"",ISNUMBER(Z550),ISNUMBER(AA550)),IF(Z550=AA550,0,1),0)</f>
        <v>0</v>
      </c>
      <c r="AC550" s="80">
        <f>IF(AB550=1,IF(AA550&lt;Z550,1,0),0)</f>
        <v>0</v>
      </c>
      <c r="AD550" s="80">
        <f>IF(AB550=1,IF(AC550=1,1440-Z550+AA550,AA550-Z550),0)</f>
        <v>0</v>
      </c>
      <c r="AE550" s="80">
        <f>IF(J550="",0,IF(ISNUMBER(J550),J550,-1))</f>
        <v>0</v>
      </c>
      <c r="AF550" s="80">
        <f>MIN(MAX(0,AE550),AD550)</f>
        <v>0</v>
      </c>
      <c r="AG550" s="80">
        <f>MAX(0,AD550-MAX(0,AE550))</f>
        <v>0</v>
      </c>
      <c r="AH550" s="80">
        <f>IF(ISNUMBER(B550),IF(AND(INDEX(CFG_WDAYS,WEEKDAY(INT(B550),2))="Sí",IF(D550="proMX",COUNTIFS(FER_F,INT(B550),FER_NLP,"Sí"),COUNTIFS(FER_F,INT(B550),FER_NLM,"Sí"))=0),1,0),0)</f>
        <v>0</v>
      </c>
      <c r="AI550" s="80">
        <f>IF(AC550=1,IF(AND(INDEX(CFG_WDAYS,WEEKDAY(INT(B550)+1,2))="Sí",IF(D550="proMX",COUNTIFS(FER_F,INT(B550)+1,FER_NLP,"Sí"),COUNTIFS(FER_F,INT(B550)+1,FER_NLM,"Sí"))=0),1,0),0)</f>
        <v>0</v>
      </c>
      <c r="AJ550" s="80">
        <f>IF(AC550=1,1440-Z550,AD550)</f>
        <v>0</v>
      </c>
      <c r="AK550" s="80">
        <f>IF(AND(AB550=1,AH550=1),MAX(0,MIN(IF(AC550=1,1440,AA550),CFG_WEM)-MAX(Z550,CFG_WSM)),0)</f>
        <v>0</v>
      </c>
      <c r="AL550" s="80">
        <f>IF(AND(AC550=1,AI550=1),MAX(0,MIN(AA550,CFG_WEM)-CFG_WSM),0)</f>
        <v>0</v>
      </c>
      <c r="AM550" s="80">
        <f>AK550+AL550</f>
        <v>0</v>
      </c>
      <c r="AN550" s="80">
        <f>IF(CFG_BRK="Proporcional",IF(AD550=0,0,AF550*AM550/AD550),IF(CFG_BRK="Extras primero",MIN(AM550,MAX(0,AF550-(AD550-AM550))),MIN(AF550,AM550)))</f>
        <v>0</v>
      </c>
      <c r="AO550" s="80">
        <f>AF550-AN550</f>
        <v>0</v>
      </c>
      <c r="AP550" s="80">
        <f>AM550-AN550</f>
        <v>0</v>
      </c>
      <c r="AQ550" s="80">
        <f>AD550-AM550-AO550</f>
        <v>0</v>
      </c>
      <c r="AR550" s="80">
        <f>IF(AM550=0,0,AK550-AN550*AK550/AM550)</f>
        <v>0</v>
      </c>
      <c r="AS550" s="80">
        <f>IF(AD550-AM550=0,0,(AJ550-AK550)-AO550*(AJ550-AK550)/(AD550-AM550))</f>
        <v>0</v>
      </c>
      <c r="AT550" s="80" t="str">
        <f>IF(AC550=1,INT(B550)+1,"")</f>
        <v/>
      </c>
      <c r="AU550" s="80">
        <f>IF(AND(D550="proMX",R550="Cancelled"),0,1)</f>
        <v>1</v>
      </c>
      <c r="AV550" s="80">
        <f>IF(AND(AB550=1,AU550=1),IF(COUNTIFS($D$5:D549,D550,$B$5:B549,B550,$Z$5:Z549,Z550,$AA$5:AA549,AA550,$F$5:F549,F550&amp;"",$AU$5:AU549,1)&gt;0,1,0),0)</f>
        <v>0</v>
      </c>
      <c r="AW550" s="80" t="str">
        <f>IF(AB550=1,INT(B550)*1440+Z550,"")</f>
        <v/>
      </c>
      <c r="AX550" s="80" t="str">
        <f>IF(AB550=1,AW550+AD550,"")</f>
        <v/>
      </c>
      <c r="AY550" s="80">
        <f>IF(AND(AB550=1,AV550=0,AU550=1),1,0)</f>
        <v>0</v>
      </c>
      <c r="AZ550" s="80">
        <f>IF(AY550=1,COUNTIFS(R_Emp,D550,R_SAbs,"&lt;"&amp;AX550,R_EAbs,"&gt;"&amp;AW550,R_OKey,1)-1,0)</f>
        <v>0</v>
      </c>
      <c r="BA550" s="80">
        <f>IF(AY550=1,COUNTIFS(R_Emp,"&lt;&gt;"&amp;D550,R_SAbs,"&lt;"&amp;AX550,R_EAbs,"&gt;"&amp;AW550,R_OKey,1),0)</f>
        <v>0</v>
      </c>
      <c r="BB550" s="80">
        <f>IF(AND(AB550=1,D550="proMX"),IF(AND(MOD(Z550,CFG_BLK)=0,MOD(AA550,CFG_BLK)=0,MOD(AG550,CFG_BLK)=0,AG550&gt;0),1,0),1)</f>
        <v>1</v>
      </c>
      <c r="BC550" s="80" t="str">
        <f>IF(Y550=0,"",IF(NOT(ISNUMBER(B550)),"Falta fecha o fecha inválida",IF(D550="","Falta empresa",IF(AND(D550&lt;&gt;"Malcolm",D550&lt;&gt;"proMX"),"Empresa inválida",IF(OR(INT(B550)&lt;CFG_PSTART,INT(B550)&gt;CFG_PEND),"Fecha fuera del período",IF(OR(NOT(ISNUMBER(Z550)),NOT(ISNUMBER(AA550))),"Falta hora inicio/fin o formato inválido",IF(AB550=0,"Hora inicio = hora fin",IF(AE550&lt;0,"Descanso inválido",IF(AE550&gt;=AD550,"Descanso ≥ duración",IF(AV550=1,"Registro duplicado",IF(AZ550&gt;0,"Se superpone con otro registro "&amp;D550,IF(BB550=0,"inicio, fin y duración neta deben ser múltiplos de "&amp;CFG_BLK&amp;" min",""))))))))))))</f>
        <v/>
      </c>
      <c r="BD550" s="80">
        <f>IF(AND(Y550=1,BC550=""),1,0)</f>
        <v>0</v>
      </c>
      <c r="BE550" s="80">
        <f>IF(AND(BD550=1,AU550=1),1,0)</f>
        <v>0</v>
      </c>
      <c r="BF550" s="80" t="str">
        <f>IF(AND(D550="proMX",BD550=1),IF(R550="","Draft",R550),"")</f>
        <v/>
      </c>
      <c r="BG550" s="80">
        <f>IF(BD550=1,ROUND(AG550/60,6),0)</f>
        <v>0</v>
      </c>
      <c r="BH550" s="80">
        <f>IF(BE550=1,ROUND(AG550/60,6),0)</f>
        <v>0</v>
      </c>
      <c r="BI550" s="80">
        <f>IF(BE550=1,ROUND(AP550/60,6),0)</f>
        <v>0</v>
      </c>
      <c r="BJ550" s="80">
        <f>IF(BE550=1,ROUND(AQ550/60,6),0)</f>
        <v>0</v>
      </c>
      <c r="BK550" s="80">
        <f>IF(BE550=1,ROUND((AR550+AS550)/60,6),0)</f>
        <v>0</v>
      </c>
      <c r="BL550" s="80">
        <f>ROUND(BH550-BK550,6)</f>
        <v>0</v>
      </c>
      <c r="BM550" s="80">
        <f>IF(BE550=1,ROUND(AR550/60,6),0)</f>
        <v>0</v>
      </c>
      <c r="BN550" s="80">
        <f>ROUND(BI550-BM550,6)</f>
        <v>0</v>
      </c>
      <c r="BO550" s="80">
        <f>IF(BE550=1,ROUND(AS550/60,6),0)</f>
        <v>0</v>
      </c>
      <c r="BP550" s="80">
        <f>ROUND(BJ550-BO550,6)</f>
        <v>0</v>
      </c>
      <c r="BQ550" s="80">
        <f>IF(BE550=1,AW550,0)</f>
        <v>0</v>
      </c>
      <c r="BR550" s="80">
        <f>IF(BE550=1,AX550,0)</f>
        <v>0</v>
      </c>
      <c r="BS550" s="80">
        <f>IF(AND(BE550=1,D550="Malcolm",BA550&gt;0),MIN(BH550,SUMPRODUCT((R_Emp="proMX")*(R_EN&gt;0)*((R_EN-(R_EN&gt;BR550)*(R_EN-BR550))&gt;(R_SN+(R_SN&lt;BQ550)*(BQ550-R_SN)))*((R_EN-(R_EN&gt;BR550)*(R_EN-BR550))-(R_SN+(R_SN&lt;BQ550)*(BQ550-R_SN))))/60),0)</f>
        <v>0</v>
      </c>
      <c r="BT550" s="80">
        <f>IF(AND(BE550=1,D550="proMX"),ROUND(BI550*CFG_RATE+BJ550*CFG_OTRATE,6),0)</f>
        <v>0</v>
      </c>
      <c r="BU550" s="80">
        <f>IF(AND(BD550=1,D550="proMX"),ROUND(AG550/CFG_BLK,6),0)</f>
        <v>0</v>
      </c>
      <c r="BV550" s="80" t="str">
        <f>IF(BF550="Approved",IF(ISNUMBER(T550),INT(T550),INT(B550)),"")</f>
        <v/>
      </c>
      <c r="BW550" s="80">
        <f>IF(ISNUMBER(B550),IF(DB_MON="Todos",1,IF(AND(INT(B550)&gt;=DB_MS,INT(B550)&lt;=DB_ME),1,0)),0)</f>
        <v>0</v>
      </c>
      <c r="BX550" s="80">
        <f>IF(DB_PROJ="Todos",1,IF(E550&amp;""=DB_PROJ&amp;"",1,0))</f>
        <v>1</v>
      </c>
      <c r="BY550" s="80">
        <f>BW550*BX550</f>
        <v>0</v>
      </c>
      <c r="BZ550" s="80" t="str">
        <f>IF(Y550=1,F550&amp;IF(AND(F550&amp;""&lt;&gt;"",E550&amp;""&lt;&gt;"")," · ","")&amp;E550,"")</f>
        <v/>
      </c>
      <c r="CA550" s="80" t="str">
        <f>IF(AND(BD550=1,E550&amp;""&lt;&gt;""),IF(COUNTIFS($E$5:E549,E550,$BD$5:BD549,1)=0,MAX($CA$5:CA549)+1,""),"")</f>
        <v/>
      </c>
      <c r="CB550" s="80" t="str">
        <f>IF(AND(BE550=1,D550="Malcolm",E550&amp;""&lt;&gt;""),IF(COUNTIFS($D$5:D549,"Malcolm",$E$5:E549,E550,$BE$5:BE549,1)=0,MAX($CB$5:CB549)+1,""),"")</f>
        <v/>
      </c>
      <c r="CC550" s="80" t="str">
        <f>IF(AND(BD550=1,D550="proMX",E550&amp;""&lt;&gt;""),IF(COUNTIFS($D$5:D549,"proMX",$E$5:E549,E550,$BD$5:BD549,1)=0,MAX($CC$5:CC549)+1,""),"")</f>
        <v/>
      </c>
      <c r="CD550" s="80" t="str">
        <f>IF(AND(BE550=1,D550="Malcolm",F550&amp;""&lt;&gt;""),IF(COUNTIFS($D$5:D549,"Malcolm",$F$5:F549,F550,$BE$5:BE549,1)=0,MAX($CD$5:CD549)+1,""),"")</f>
        <v/>
      </c>
      <c r="CE550" s="80" t="str">
        <f>IF(AND(BD550=1,D550="proMX",F550&amp;""&lt;&gt;""),IF(COUNTIFS($D$5:D549,"proMX",$F$5:F549,F550,$BD$5:BD549,1)=0,MAX($CE$5:CE549)+1,""),"")</f>
        <v/>
      </c>
      <c r="CF550" s="80" t="str">
        <f>IF(AND(D550="proMX",BD550=1),IF(OR(BF550="Draft",BF550="Submitted",BF550="Returned",BF550="Recall Requested"),MAX($CF$5:CF549)+1,""),"")</f>
        <v/>
      </c>
      <c r="CG550" s="80">
        <f>IF(BD550=0,0,IF(D550="Malcolm",1,MATCH(BF550,{"Draft","Submitted","Approved","Returned","Recall Requested","Cancelled"},0)+1))</f>
        <v>0</v>
      </c>
      <c r="CH550" s="80">
        <f>IF(AND(BF550="Submitted",ISNUMBER(V550)),IF(V550&gt;CFG_MAXD,1,0),0)</f>
        <v>0</v>
      </c>
    </row>
    <row r="551">
      <c r="A551" s="71" t="str">
        <f>IF(Y551=1,ROW()-5,"")</f>
        <v/>
      </c>
      <c r="B551" s="72" t="n"/>
      <c r="C551" s="71" t="str">
        <f>IF(ISNUMBER(B551),CHOOSE(WEEKDAY(B551,2),"Lun","Mar","Mié","Jue","Vie","Sáb","Dom"),"")</f>
        <v/>
      </c>
      <c r="D551" s="73" t="n"/>
      <c r="E551" s="74" t="n"/>
      <c r="F551" s="74" t="n"/>
      <c r="G551" s="74" t="n"/>
      <c r="H551" s="75" t="n"/>
      <c r="I551" s="75" t="n"/>
      <c r="J551" s="76" t="n"/>
      <c r="K551" s="77" t="str">
        <f>IF(AB551=1,ROUND(AG551/60,4),"")</f>
        <v/>
      </c>
      <c r="L551" s="77" t="str">
        <f>IF(BD551=1,ROUND(AP551/60,4),"")</f>
        <v/>
      </c>
      <c r="M551" s="77" t="str">
        <f>IF(BD551=1,ROUND(AQ551/60,4),"")</f>
        <v/>
      </c>
      <c r="N551" s="71" t="str">
        <f>IF(AND(D551="proMX",AB551=1),ROUND(AG551/CFG_BLK,2),"")</f>
        <v/>
      </c>
      <c r="O551" s="77" t="str">
        <f>IF(D551="proMX",IF(BD551=1,ROUND(AG551/60,4),0),"")</f>
        <v/>
      </c>
      <c r="P551" s="78" t="str">
        <f>IF(Y551=0,"",IF(BD551=1,"OK",IF(D551="proMX","Revisar bloques: ","Revisar: ")&amp;BC551))</f>
        <v/>
      </c>
      <c r="Q551" s="78" t="str">
        <f>IF(NOT(ISNUMBER(B551)),"",IF(COUNTIFS(FER_F,INT(B551))&gt;0,"Feriado"&amp;IF(AH551=1," (laborable)"," (no laborable)"),IF(AH551=1,"Laborable",IF(WEEKDAY(B551,2)&gt;5,"Fin de semana","No laborable"))))</f>
        <v/>
      </c>
      <c r="R551" s="73" t="n"/>
      <c r="S551" s="72" t="n"/>
      <c r="T551" s="72" t="n"/>
      <c r="U551" s="74" t="n"/>
      <c r="V551" s="79" t="str">
        <f>IF(AND(D551="proMX",OR(R551="Submitted",R551="Recall Requested"),ISNUMBER(S551)),CFG_TODAY-INT(S551),"")</f>
        <v/>
      </c>
      <c r="W551" s="78" t="str">
        <f>IF(BD551=0,"",IF(BA551&gt;0,"⚠ Se superpone con un registro de la otra empresa",IF(D551="Malcolm",IF(COUNTA(R551,S551,T551)&gt;0,"Estado/fechas proMX se ignoran en Malcolm",""),IF(BF551="Cancelled","Cancelado: excluido de totales",IF(R551="","Sin estado: se trata como Draft",IF(BF551="Submitted",IF(ISNUMBER(V551),IF(V551&gt;CFG_MAXD,"⚠ "&amp;V551&amp;" días en Submitted (máx. "&amp;CFG_MAXD&amp;")",""),"Falta fecha de envío"),IF(BF551="Returned","⚠ Devuelto: corregir y reenviar",IF(BF551="Recall Requested","Retirada solicitada: pendiente",IF(AND(BF551="Approved",NOT(ISNUMBER(T551))),"Falta fecha de aprobación",IF(AND(ISNUMBER(S551),ISNUMBER(T551),T551&lt;S551),"Aprobación anterior al envío","")))))))))</f>
        <v/>
      </c>
      <c r="Y551" s="80">
        <f>IF(COUNTA(B551,D551,E551,F551,G551,H551,I551,J551,R551,S551,T551)&gt;0,1,0)</f>
        <v>0</v>
      </c>
      <c r="Z551" s="80" t="str">
        <f>IF(AND(ISNUMBER(H551),H551&gt;=0,H551&lt;1),ROUND(H551*1440,0),"")</f>
        <v/>
      </c>
      <c r="AA551" s="80" t="str">
        <f>IF(AND(ISNUMBER(I551),I551&gt;=0,I551&lt;1),ROUND(I551*1440,0),"")</f>
        <v/>
      </c>
      <c r="AB551" s="80">
        <f>IF(AND(ISNUMBER(B551),D551&lt;&gt;"",ISNUMBER(Z551),ISNUMBER(AA551)),IF(Z551=AA551,0,1),0)</f>
        <v>0</v>
      </c>
      <c r="AC551" s="80">
        <f>IF(AB551=1,IF(AA551&lt;Z551,1,0),0)</f>
        <v>0</v>
      </c>
      <c r="AD551" s="80">
        <f>IF(AB551=1,IF(AC551=1,1440-Z551+AA551,AA551-Z551),0)</f>
        <v>0</v>
      </c>
      <c r="AE551" s="80">
        <f>IF(J551="",0,IF(ISNUMBER(J551),J551,-1))</f>
        <v>0</v>
      </c>
      <c r="AF551" s="80">
        <f>MIN(MAX(0,AE551),AD551)</f>
        <v>0</v>
      </c>
      <c r="AG551" s="80">
        <f>MAX(0,AD551-MAX(0,AE551))</f>
        <v>0</v>
      </c>
      <c r="AH551" s="80">
        <f>IF(ISNUMBER(B551),IF(AND(INDEX(CFG_WDAYS,WEEKDAY(INT(B551),2))="Sí",IF(D551="proMX",COUNTIFS(FER_F,INT(B551),FER_NLP,"Sí"),COUNTIFS(FER_F,INT(B551),FER_NLM,"Sí"))=0),1,0),0)</f>
        <v>0</v>
      </c>
      <c r="AI551" s="80">
        <f>IF(AC551=1,IF(AND(INDEX(CFG_WDAYS,WEEKDAY(INT(B551)+1,2))="Sí",IF(D551="proMX",COUNTIFS(FER_F,INT(B551)+1,FER_NLP,"Sí"),COUNTIFS(FER_F,INT(B551)+1,FER_NLM,"Sí"))=0),1,0),0)</f>
        <v>0</v>
      </c>
      <c r="AJ551" s="80">
        <f>IF(AC551=1,1440-Z551,AD551)</f>
        <v>0</v>
      </c>
      <c r="AK551" s="80">
        <f>IF(AND(AB551=1,AH551=1),MAX(0,MIN(IF(AC551=1,1440,AA551),CFG_WEM)-MAX(Z551,CFG_WSM)),0)</f>
        <v>0</v>
      </c>
      <c r="AL551" s="80">
        <f>IF(AND(AC551=1,AI551=1),MAX(0,MIN(AA551,CFG_WEM)-CFG_WSM),0)</f>
        <v>0</v>
      </c>
      <c r="AM551" s="80">
        <f>AK551+AL551</f>
        <v>0</v>
      </c>
      <c r="AN551" s="80">
        <f>IF(CFG_BRK="Proporcional",IF(AD551=0,0,AF551*AM551/AD551),IF(CFG_BRK="Extras primero",MIN(AM551,MAX(0,AF551-(AD551-AM551))),MIN(AF551,AM551)))</f>
        <v>0</v>
      </c>
      <c r="AO551" s="80">
        <f>AF551-AN551</f>
        <v>0</v>
      </c>
      <c r="AP551" s="80">
        <f>AM551-AN551</f>
        <v>0</v>
      </c>
      <c r="AQ551" s="80">
        <f>AD551-AM551-AO551</f>
        <v>0</v>
      </c>
      <c r="AR551" s="80">
        <f>IF(AM551=0,0,AK551-AN551*AK551/AM551)</f>
        <v>0</v>
      </c>
      <c r="AS551" s="80">
        <f>IF(AD551-AM551=0,0,(AJ551-AK551)-AO551*(AJ551-AK551)/(AD551-AM551))</f>
        <v>0</v>
      </c>
      <c r="AT551" s="80" t="str">
        <f>IF(AC551=1,INT(B551)+1,"")</f>
        <v/>
      </c>
      <c r="AU551" s="80">
        <f>IF(AND(D551="proMX",R551="Cancelled"),0,1)</f>
        <v>1</v>
      </c>
      <c r="AV551" s="80">
        <f>IF(AND(AB551=1,AU551=1),IF(COUNTIFS($D$5:D550,D551,$B$5:B550,B551,$Z$5:Z550,Z551,$AA$5:AA550,AA551,$F$5:F550,F551&amp;"",$AU$5:AU550,1)&gt;0,1,0),0)</f>
        <v>0</v>
      </c>
      <c r="AW551" s="80" t="str">
        <f>IF(AB551=1,INT(B551)*1440+Z551,"")</f>
        <v/>
      </c>
      <c r="AX551" s="80" t="str">
        <f>IF(AB551=1,AW551+AD551,"")</f>
        <v/>
      </c>
      <c r="AY551" s="80">
        <f>IF(AND(AB551=1,AV551=0,AU551=1),1,0)</f>
        <v>0</v>
      </c>
      <c r="AZ551" s="80">
        <f>IF(AY551=1,COUNTIFS(R_Emp,D551,R_SAbs,"&lt;"&amp;AX551,R_EAbs,"&gt;"&amp;AW551,R_OKey,1)-1,0)</f>
        <v>0</v>
      </c>
      <c r="BA551" s="80">
        <f>IF(AY551=1,COUNTIFS(R_Emp,"&lt;&gt;"&amp;D551,R_SAbs,"&lt;"&amp;AX551,R_EAbs,"&gt;"&amp;AW551,R_OKey,1),0)</f>
        <v>0</v>
      </c>
      <c r="BB551" s="80">
        <f>IF(AND(AB551=1,D551="proMX"),IF(AND(MOD(Z551,CFG_BLK)=0,MOD(AA551,CFG_BLK)=0,MOD(AG551,CFG_BLK)=0,AG551&gt;0),1,0),1)</f>
        <v>1</v>
      </c>
      <c r="BC551" s="80" t="str">
        <f>IF(Y551=0,"",IF(NOT(ISNUMBER(B551)),"Falta fecha o fecha inválida",IF(D551="","Falta empresa",IF(AND(D551&lt;&gt;"Malcolm",D551&lt;&gt;"proMX"),"Empresa inválida",IF(OR(INT(B551)&lt;CFG_PSTART,INT(B551)&gt;CFG_PEND),"Fecha fuera del período",IF(OR(NOT(ISNUMBER(Z551)),NOT(ISNUMBER(AA551))),"Falta hora inicio/fin o formato inválido",IF(AB551=0,"Hora inicio = hora fin",IF(AE551&lt;0,"Descanso inválido",IF(AE551&gt;=AD551,"Descanso ≥ duración",IF(AV551=1,"Registro duplicado",IF(AZ551&gt;0,"Se superpone con otro registro "&amp;D551,IF(BB551=0,"inicio, fin y duración neta deben ser múltiplos de "&amp;CFG_BLK&amp;" min",""))))))))))))</f>
        <v/>
      </c>
      <c r="BD551" s="80">
        <f>IF(AND(Y551=1,BC551=""),1,0)</f>
        <v>0</v>
      </c>
      <c r="BE551" s="80">
        <f>IF(AND(BD551=1,AU551=1),1,0)</f>
        <v>0</v>
      </c>
      <c r="BF551" s="80" t="str">
        <f>IF(AND(D551="proMX",BD551=1),IF(R551="","Draft",R551),"")</f>
        <v/>
      </c>
      <c r="BG551" s="80">
        <f>IF(BD551=1,ROUND(AG551/60,6),0)</f>
        <v>0</v>
      </c>
      <c r="BH551" s="80">
        <f>IF(BE551=1,ROUND(AG551/60,6),0)</f>
        <v>0</v>
      </c>
      <c r="BI551" s="80">
        <f>IF(BE551=1,ROUND(AP551/60,6),0)</f>
        <v>0</v>
      </c>
      <c r="BJ551" s="80">
        <f>IF(BE551=1,ROUND(AQ551/60,6),0)</f>
        <v>0</v>
      </c>
      <c r="BK551" s="80">
        <f>IF(BE551=1,ROUND((AR551+AS551)/60,6),0)</f>
        <v>0</v>
      </c>
      <c r="BL551" s="80">
        <f>ROUND(BH551-BK551,6)</f>
        <v>0</v>
      </c>
      <c r="BM551" s="80">
        <f>IF(BE551=1,ROUND(AR551/60,6),0)</f>
        <v>0</v>
      </c>
      <c r="BN551" s="80">
        <f>ROUND(BI551-BM551,6)</f>
        <v>0</v>
      </c>
      <c r="BO551" s="80">
        <f>IF(BE551=1,ROUND(AS551/60,6),0)</f>
        <v>0</v>
      </c>
      <c r="BP551" s="80">
        <f>ROUND(BJ551-BO551,6)</f>
        <v>0</v>
      </c>
      <c r="BQ551" s="80">
        <f>IF(BE551=1,AW551,0)</f>
        <v>0</v>
      </c>
      <c r="BR551" s="80">
        <f>IF(BE551=1,AX551,0)</f>
        <v>0</v>
      </c>
      <c r="BS551" s="80">
        <f>IF(AND(BE551=1,D551="Malcolm",BA551&gt;0),MIN(BH551,SUMPRODUCT((R_Emp="proMX")*(R_EN&gt;0)*((R_EN-(R_EN&gt;BR551)*(R_EN-BR551))&gt;(R_SN+(R_SN&lt;BQ551)*(BQ551-R_SN)))*((R_EN-(R_EN&gt;BR551)*(R_EN-BR551))-(R_SN+(R_SN&lt;BQ551)*(BQ551-R_SN))))/60),0)</f>
        <v>0</v>
      </c>
      <c r="BT551" s="80">
        <f>IF(AND(BE551=1,D551="proMX"),ROUND(BI551*CFG_RATE+BJ551*CFG_OTRATE,6),0)</f>
        <v>0</v>
      </c>
      <c r="BU551" s="80">
        <f>IF(AND(BD551=1,D551="proMX"),ROUND(AG551/CFG_BLK,6),0)</f>
        <v>0</v>
      </c>
      <c r="BV551" s="80" t="str">
        <f>IF(BF551="Approved",IF(ISNUMBER(T551),INT(T551),INT(B551)),"")</f>
        <v/>
      </c>
      <c r="BW551" s="80">
        <f>IF(ISNUMBER(B551),IF(DB_MON="Todos",1,IF(AND(INT(B551)&gt;=DB_MS,INT(B551)&lt;=DB_ME),1,0)),0)</f>
        <v>0</v>
      </c>
      <c r="BX551" s="80">
        <f>IF(DB_PROJ="Todos",1,IF(E551&amp;""=DB_PROJ&amp;"",1,0))</f>
        <v>1</v>
      </c>
      <c r="BY551" s="80">
        <f>BW551*BX551</f>
        <v>0</v>
      </c>
      <c r="BZ551" s="80" t="str">
        <f>IF(Y551=1,F551&amp;IF(AND(F551&amp;""&lt;&gt;"",E551&amp;""&lt;&gt;"")," · ","")&amp;E551,"")</f>
        <v/>
      </c>
      <c r="CA551" s="80" t="str">
        <f>IF(AND(BD551=1,E551&amp;""&lt;&gt;""),IF(COUNTIFS($E$5:E550,E551,$BD$5:BD550,1)=0,MAX($CA$5:CA550)+1,""),"")</f>
        <v/>
      </c>
      <c r="CB551" s="80" t="str">
        <f>IF(AND(BE551=1,D551="Malcolm",E551&amp;""&lt;&gt;""),IF(COUNTIFS($D$5:D550,"Malcolm",$E$5:E550,E551,$BE$5:BE550,1)=0,MAX($CB$5:CB550)+1,""),"")</f>
        <v/>
      </c>
      <c r="CC551" s="80" t="str">
        <f>IF(AND(BD551=1,D551="proMX",E551&amp;""&lt;&gt;""),IF(COUNTIFS($D$5:D550,"proMX",$E$5:E550,E551,$BD$5:BD550,1)=0,MAX($CC$5:CC550)+1,""),"")</f>
        <v/>
      </c>
      <c r="CD551" s="80" t="str">
        <f>IF(AND(BE551=1,D551="Malcolm",F551&amp;""&lt;&gt;""),IF(COUNTIFS($D$5:D550,"Malcolm",$F$5:F550,F551,$BE$5:BE550,1)=0,MAX($CD$5:CD550)+1,""),"")</f>
        <v/>
      </c>
      <c r="CE551" s="80" t="str">
        <f>IF(AND(BD551=1,D551="proMX",F551&amp;""&lt;&gt;""),IF(COUNTIFS($D$5:D550,"proMX",$F$5:F550,F551,$BD$5:BD550,1)=0,MAX($CE$5:CE550)+1,""),"")</f>
        <v/>
      </c>
      <c r="CF551" s="80" t="str">
        <f>IF(AND(D551="proMX",BD551=1),IF(OR(BF551="Draft",BF551="Submitted",BF551="Returned",BF551="Recall Requested"),MAX($CF$5:CF550)+1,""),"")</f>
        <v/>
      </c>
      <c r="CG551" s="80">
        <f>IF(BD551=0,0,IF(D551="Malcolm",1,MATCH(BF551,{"Draft","Submitted","Approved","Returned","Recall Requested","Cancelled"},0)+1))</f>
        <v>0</v>
      </c>
      <c r="CH551" s="80">
        <f>IF(AND(BF551="Submitted",ISNUMBER(V551)),IF(V551&gt;CFG_MAXD,1,0),0)</f>
        <v>0</v>
      </c>
    </row>
    <row r="552">
      <c r="A552" s="71" t="str">
        <f>IF(Y552=1,ROW()-5,"")</f>
        <v/>
      </c>
      <c r="B552" s="72" t="n"/>
      <c r="C552" s="71" t="str">
        <f>IF(ISNUMBER(B552),CHOOSE(WEEKDAY(B552,2),"Lun","Mar","Mié","Jue","Vie","Sáb","Dom"),"")</f>
        <v/>
      </c>
      <c r="D552" s="73" t="n"/>
      <c r="E552" s="74" t="n"/>
      <c r="F552" s="74" t="n"/>
      <c r="G552" s="74" t="n"/>
      <c r="H552" s="75" t="n"/>
      <c r="I552" s="75" t="n"/>
      <c r="J552" s="76" t="n"/>
      <c r="K552" s="77" t="str">
        <f>IF(AB552=1,ROUND(AG552/60,4),"")</f>
        <v/>
      </c>
      <c r="L552" s="77" t="str">
        <f>IF(BD552=1,ROUND(AP552/60,4),"")</f>
        <v/>
      </c>
      <c r="M552" s="77" t="str">
        <f>IF(BD552=1,ROUND(AQ552/60,4),"")</f>
        <v/>
      </c>
      <c r="N552" s="71" t="str">
        <f>IF(AND(D552="proMX",AB552=1),ROUND(AG552/CFG_BLK,2),"")</f>
        <v/>
      </c>
      <c r="O552" s="77" t="str">
        <f>IF(D552="proMX",IF(BD552=1,ROUND(AG552/60,4),0),"")</f>
        <v/>
      </c>
      <c r="P552" s="78" t="str">
        <f>IF(Y552=0,"",IF(BD552=1,"OK",IF(D552="proMX","Revisar bloques: ","Revisar: ")&amp;BC552))</f>
        <v/>
      </c>
      <c r="Q552" s="78" t="str">
        <f>IF(NOT(ISNUMBER(B552)),"",IF(COUNTIFS(FER_F,INT(B552))&gt;0,"Feriado"&amp;IF(AH552=1," (laborable)"," (no laborable)"),IF(AH552=1,"Laborable",IF(WEEKDAY(B552,2)&gt;5,"Fin de semana","No laborable"))))</f>
        <v/>
      </c>
      <c r="R552" s="73" t="n"/>
      <c r="S552" s="72" t="n"/>
      <c r="T552" s="72" t="n"/>
      <c r="U552" s="74" t="n"/>
      <c r="V552" s="79" t="str">
        <f>IF(AND(D552="proMX",OR(R552="Submitted",R552="Recall Requested"),ISNUMBER(S552)),CFG_TODAY-INT(S552),"")</f>
        <v/>
      </c>
      <c r="W552" s="78" t="str">
        <f>IF(BD552=0,"",IF(BA552&gt;0,"⚠ Se superpone con un registro de la otra empresa",IF(D552="Malcolm",IF(COUNTA(R552,S552,T552)&gt;0,"Estado/fechas proMX se ignoran en Malcolm",""),IF(BF552="Cancelled","Cancelado: excluido de totales",IF(R552="","Sin estado: se trata como Draft",IF(BF552="Submitted",IF(ISNUMBER(V552),IF(V552&gt;CFG_MAXD,"⚠ "&amp;V552&amp;" días en Submitted (máx. "&amp;CFG_MAXD&amp;")",""),"Falta fecha de envío"),IF(BF552="Returned","⚠ Devuelto: corregir y reenviar",IF(BF552="Recall Requested","Retirada solicitada: pendiente",IF(AND(BF552="Approved",NOT(ISNUMBER(T552))),"Falta fecha de aprobación",IF(AND(ISNUMBER(S552),ISNUMBER(T552),T552&lt;S552),"Aprobación anterior al envío","")))))))))</f>
        <v/>
      </c>
      <c r="Y552" s="80">
        <f>IF(COUNTA(B552,D552,E552,F552,G552,H552,I552,J552,R552,S552,T552)&gt;0,1,0)</f>
        <v>0</v>
      </c>
      <c r="Z552" s="80" t="str">
        <f>IF(AND(ISNUMBER(H552),H552&gt;=0,H552&lt;1),ROUND(H552*1440,0),"")</f>
        <v/>
      </c>
      <c r="AA552" s="80" t="str">
        <f>IF(AND(ISNUMBER(I552),I552&gt;=0,I552&lt;1),ROUND(I552*1440,0),"")</f>
        <v/>
      </c>
      <c r="AB552" s="80">
        <f>IF(AND(ISNUMBER(B552),D552&lt;&gt;"",ISNUMBER(Z552),ISNUMBER(AA552)),IF(Z552=AA552,0,1),0)</f>
        <v>0</v>
      </c>
      <c r="AC552" s="80">
        <f>IF(AB552=1,IF(AA552&lt;Z552,1,0),0)</f>
        <v>0</v>
      </c>
      <c r="AD552" s="80">
        <f>IF(AB552=1,IF(AC552=1,1440-Z552+AA552,AA552-Z552),0)</f>
        <v>0</v>
      </c>
      <c r="AE552" s="80">
        <f>IF(J552="",0,IF(ISNUMBER(J552),J552,-1))</f>
        <v>0</v>
      </c>
      <c r="AF552" s="80">
        <f>MIN(MAX(0,AE552),AD552)</f>
        <v>0</v>
      </c>
      <c r="AG552" s="80">
        <f>MAX(0,AD552-MAX(0,AE552))</f>
        <v>0</v>
      </c>
      <c r="AH552" s="80">
        <f>IF(ISNUMBER(B552),IF(AND(INDEX(CFG_WDAYS,WEEKDAY(INT(B552),2))="Sí",IF(D552="proMX",COUNTIFS(FER_F,INT(B552),FER_NLP,"Sí"),COUNTIFS(FER_F,INT(B552),FER_NLM,"Sí"))=0),1,0),0)</f>
        <v>0</v>
      </c>
      <c r="AI552" s="80">
        <f>IF(AC552=1,IF(AND(INDEX(CFG_WDAYS,WEEKDAY(INT(B552)+1,2))="Sí",IF(D552="proMX",COUNTIFS(FER_F,INT(B552)+1,FER_NLP,"Sí"),COUNTIFS(FER_F,INT(B552)+1,FER_NLM,"Sí"))=0),1,0),0)</f>
        <v>0</v>
      </c>
      <c r="AJ552" s="80">
        <f>IF(AC552=1,1440-Z552,AD552)</f>
        <v>0</v>
      </c>
      <c r="AK552" s="80">
        <f>IF(AND(AB552=1,AH552=1),MAX(0,MIN(IF(AC552=1,1440,AA552),CFG_WEM)-MAX(Z552,CFG_WSM)),0)</f>
        <v>0</v>
      </c>
      <c r="AL552" s="80">
        <f>IF(AND(AC552=1,AI552=1),MAX(0,MIN(AA552,CFG_WEM)-CFG_WSM),0)</f>
        <v>0</v>
      </c>
      <c r="AM552" s="80">
        <f>AK552+AL552</f>
        <v>0</v>
      </c>
      <c r="AN552" s="80">
        <f>IF(CFG_BRK="Proporcional",IF(AD552=0,0,AF552*AM552/AD552),IF(CFG_BRK="Extras primero",MIN(AM552,MAX(0,AF552-(AD552-AM552))),MIN(AF552,AM552)))</f>
        <v>0</v>
      </c>
      <c r="AO552" s="80">
        <f>AF552-AN552</f>
        <v>0</v>
      </c>
      <c r="AP552" s="80">
        <f>AM552-AN552</f>
        <v>0</v>
      </c>
      <c r="AQ552" s="80">
        <f>AD552-AM552-AO552</f>
        <v>0</v>
      </c>
      <c r="AR552" s="80">
        <f>IF(AM552=0,0,AK552-AN552*AK552/AM552)</f>
        <v>0</v>
      </c>
      <c r="AS552" s="80">
        <f>IF(AD552-AM552=0,0,(AJ552-AK552)-AO552*(AJ552-AK552)/(AD552-AM552))</f>
        <v>0</v>
      </c>
      <c r="AT552" s="80" t="str">
        <f>IF(AC552=1,INT(B552)+1,"")</f>
        <v/>
      </c>
      <c r="AU552" s="80">
        <f>IF(AND(D552="proMX",R552="Cancelled"),0,1)</f>
        <v>1</v>
      </c>
      <c r="AV552" s="80">
        <f>IF(AND(AB552=1,AU552=1),IF(COUNTIFS($D$5:D551,D552,$B$5:B551,B552,$Z$5:Z551,Z552,$AA$5:AA551,AA552,$F$5:F551,F552&amp;"",$AU$5:AU551,1)&gt;0,1,0),0)</f>
        <v>0</v>
      </c>
      <c r="AW552" s="80" t="str">
        <f>IF(AB552=1,INT(B552)*1440+Z552,"")</f>
        <v/>
      </c>
      <c r="AX552" s="80" t="str">
        <f>IF(AB552=1,AW552+AD552,"")</f>
        <v/>
      </c>
      <c r="AY552" s="80">
        <f>IF(AND(AB552=1,AV552=0,AU552=1),1,0)</f>
        <v>0</v>
      </c>
      <c r="AZ552" s="80">
        <f>IF(AY552=1,COUNTIFS(R_Emp,D552,R_SAbs,"&lt;"&amp;AX552,R_EAbs,"&gt;"&amp;AW552,R_OKey,1)-1,0)</f>
        <v>0</v>
      </c>
      <c r="BA552" s="80">
        <f>IF(AY552=1,COUNTIFS(R_Emp,"&lt;&gt;"&amp;D552,R_SAbs,"&lt;"&amp;AX552,R_EAbs,"&gt;"&amp;AW552,R_OKey,1),0)</f>
        <v>0</v>
      </c>
      <c r="BB552" s="80">
        <f>IF(AND(AB552=1,D552="proMX"),IF(AND(MOD(Z552,CFG_BLK)=0,MOD(AA552,CFG_BLK)=0,MOD(AG552,CFG_BLK)=0,AG552&gt;0),1,0),1)</f>
        <v>1</v>
      </c>
      <c r="BC552" s="80" t="str">
        <f>IF(Y552=0,"",IF(NOT(ISNUMBER(B552)),"Falta fecha o fecha inválida",IF(D552="","Falta empresa",IF(AND(D552&lt;&gt;"Malcolm",D552&lt;&gt;"proMX"),"Empresa inválida",IF(OR(INT(B552)&lt;CFG_PSTART,INT(B552)&gt;CFG_PEND),"Fecha fuera del período",IF(OR(NOT(ISNUMBER(Z552)),NOT(ISNUMBER(AA552))),"Falta hora inicio/fin o formato inválido",IF(AB552=0,"Hora inicio = hora fin",IF(AE552&lt;0,"Descanso inválido",IF(AE552&gt;=AD552,"Descanso ≥ duración",IF(AV552=1,"Registro duplicado",IF(AZ552&gt;0,"Se superpone con otro registro "&amp;D552,IF(BB552=0,"inicio, fin y duración neta deben ser múltiplos de "&amp;CFG_BLK&amp;" min",""))))))))))))</f>
        <v/>
      </c>
      <c r="BD552" s="80">
        <f>IF(AND(Y552=1,BC552=""),1,0)</f>
        <v>0</v>
      </c>
      <c r="BE552" s="80">
        <f>IF(AND(BD552=1,AU552=1),1,0)</f>
        <v>0</v>
      </c>
      <c r="BF552" s="80" t="str">
        <f>IF(AND(D552="proMX",BD552=1),IF(R552="","Draft",R552),"")</f>
        <v/>
      </c>
      <c r="BG552" s="80">
        <f>IF(BD552=1,ROUND(AG552/60,6),0)</f>
        <v>0</v>
      </c>
      <c r="BH552" s="80">
        <f>IF(BE552=1,ROUND(AG552/60,6),0)</f>
        <v>0</v>
      </c>
      <c r="BI552" s="80">
        <f>IF(BE552=1,ROUND(AP552/60,6),0)</f>
        <v>0</v>
      </c>
      <c r="BJ552" s="80">
        <f>IF(BE552=1,ROUND(AQ552/60,6),0)</f>
        <v>0</v>
      </c>
      <c r="BK552" s="80">
        <f>IF(BE552=1,ROUND((AR552+AS552)/60,6),0)</f>
        <v>0</v>
      </c>
      <c r="BL552" s="80">
        <f>ROUND(BH552-BK552,6)</f>
        <v>0</v>
      </c>
      <c r="BM552" s="80">
        <f>IF(BE552=1,ROUND(AR552/60,6),0)</f>
        <v>0</v>
      </c>
      <c r="BN552" s="80">
        <f>ROUND(BI552-BM552,6)</f>
        <v>0</v>
      </c>
      <c r="BO552" s="80">
        <f>IF(BE552=1,ROUND(AS552/60,6),0)</f>
        <v>0</v>
      </c>
      <c r="BP552" s="80">
        <f>ROUND(BJ552-BO552,6)</f>
        <v>0</v>
      </c>
      <c r="BQ552" s="80">
        <f>IF(BE552=1,AW552,0)</f>
        <v>0</v>
      </c>
      <c r="BR552" s="80">
        <f>IF(BE552=1,AX552,0)</f>
        <v>0</v>
      </c>
      <c r="BS552" s="80">
        <f>IF(AND(BE552=1,D552="Malcolm",BA552&gt;0),MIN(BH552,SUMPRODUCT((R_Emp="proMX")*(R_EN&gt;0)*((R_EN-(R_EN&gt;BR552)*(R_EN-BR552))&gt;(R_SN+(R_SN&lt;BQ552)*(BQ552-R_SN)))*((R_EN-(R_EN&gt;BR552)*(R_EN-BR552))-(R_SN+(R_SN&lt;BQ552)*(BQ552-R_SN))))/60),0)</f>
        <v>0</v>
      </c>
      <c r="BT552" s="80">
        <f>IF(AND(BE552=1,D552="proMX"),ROUND(BI552*CFG_RATE+BJ552*CFG_OTRATE,6),0)</f>
        <v>0</v>
      </c>
      <c r="BU552" s="80">
        <f>IF(AND(BD552=1,D552="proMX"),ROUND(AG552/CFG_BLK,6),0)</f>
        <v>0</v>
      </c>
      <c r="BV552" s="80" t="str">
        <f>IF(BF552="Approved",IF(ISNUMBER(T552),INT(T552),INT(B552)),"")</f>
        <v/>
      </c>
      <c r="BW552" s="80">
        <f>IF(ISNUMBER(B552),IF(DB_MON="Todos",1,IF(AND(INT(B552)&gt;=DB_MS,INT(B552)&lt;=DB_ME),1,0)),0)</f>
        <v>0</v>
      </c>
      <c r="BX552" s="80">
        <f>IF(DB_PROJ="Todos",1,IF(E552&amp;""=DB_PROJ&amp;"",1,0))</f>
        <v>1</v>
      </c>
      <c r="BY552" s="80">
        <f>BW552*BX552</f>
        <v>0</v>
      </c>
      <c r="BZ552" s="80" t="str">
        <f>IF(Y552=1,F552&amp;IF(AND(F552&amp;""&lt;&gt;"",E552&amp;""&lt;&gt;"")," · ","")&amp;E552,"")</f>
        <v/>
      </c>
      <c r="CA552" s="80" t="str">
        <f>IF(AND(BD552=1,E552&amp;""&lt;&gt;""),IF(COUNTIFS($E$5:E551,E552,$BD$5:BD551,1)=0,MAX($CA$5:CA551)+1,""),"")</f>
        <v/>
      </c>
      <c r="CB552" s="80" t="str">
        <f>IF(AND(BE552=1,D552="Malcolm",E552&amp;""&lt;&gt;""),IF(COUNTIFS($D$5:D551,"Malcolm",$E$5:E551,E552,$BE$5:BE551,1)=0,MAX($CB$5:CB551)+1,""),"")</f>
        <v/>
      </c>
      <c r="CC552" s="80" t="str">
        <f>IF(AND(BD552=1,D552="proMX",E552&amp;""&lt;&gt;""),IF(COUNTIFS($D$5:D551,"proMX",$E$5:E551,E552,$BD$5:BD551,1)=0,MAX($CC$5:CC551)+1,""),"")</f>
        <v/>
      </c>
      <c r="CD552" s="80" t="str">
        <f>IF(AND(BE552=1,D552="Malcolm",F552&amp;""&lt;&gt;""),IF(COUNTIFS($D$5:D551,"Malcolm",$F$5:F551,F552,$BE$5:BE551,1)=0,MAX($CD$5:CD551)+1,""),"")</f>
        <v/>
      </c>
      <c r="CE552" s="80" t="str">
        <f>IF(AND(BD552=1,D552="proMX",F552&amp;""&lt;&gt;""),IF(COUNTIFS($D$5:D551,"proMX",$F$5:F551,F552,$BD$5:BD551,1)=0,MAX($CE$5:CE551)+1,""),"")</f>
        <v/>
      </c>
      <c r="CF552" s="80" t="str">
        <f>IF(AND(D552="proMX",BD552=1),IF(OR(BF552="Draft",BF552="Submitted",BF552="Returned",BF552="Recall Requested"),MAX($CF$5:CF551)+1,""),"")</f>
        <v/>
      </c>
      <c r="CG552" s="80">
        <f>IF(BD552=0,0,IF(D552="Malcolm",1,MATCH(BF552,{"Draft","Submitted","Approved","Returned","Recall Requested","Cancelled"},0)+1))</f>
        <v>0</v>
      </c>
      <c r="CH552" s="80">
        <f>IF(AND(BF552="Submitted",ISNUMBER(V552)),IF(V552&gt;CFG_MAXD,1,0),0)</f>
        <v>0</v>
      </c>
    </row>
    <row r="553">
      <c r="A553" s="71" t="str">
        <f>IF(Y553=1,ROW()-5,"")</f>
        <v/>
      </c>
      <c r="B553" s="72" t="n"/>
      <c r="C553" s="71" t="str">
        <f>IF(ISNUMBER(B553),CHOOSE(WEEKDAY(B553,2),"Lun","Mar","Mié","Jue","Vie","Sáb","Dom"),"")</f>
        <v/>
      </c>
      <c r="D553" s="73" t="n"/>
      <c r="E553" s="74" t="n"/>
      <c r="F553" s="74" t="n"/>
      <c r="G553" s="74" t="n"/>
      <c r="H553" s="75" t="n"/>
      <c r="I553" s="75" t="n"/>
      <c r="J553" s="76" t="n"/>
      <c r="K553" s="77" t="str">
        <f>IF(AB553=1,ROUND(AG553/60,4),"")</f>
        <v/>
      </c>
      <c r="L553" s="77" t="str">
        <f>IF(BD553=1,ROUND(AP553/60,4),"")</f>
        <v/>
      </c>
      <c r="M553" s="77" t="str">
        <f>IF(BD553=1,ROUND(AQ553/60,4),"")</f>
        <v/>
      </c>
      <c r="N553" s="71" t="str">
        <f>IF(AND(D553="proMX",AB553=1),ROUND(AG553/CFG_BLK,2),"")</f>
        <v/>
      </c>
      <c r="O553" s="77" t="str">
        <f>IF(D553="proMX",IF(BD553=1,ROUND(AG553/60,4),0),"")</f>
        <v/>
      </c>
      <c r="P553" s="78" t="str">
        <f>IF(Y553=0,"",IF(BD553=1,"OK",IF(D553="proMX","Revisar bloques: ","Revisar: ")&amp;BC553))</f>
        <v/>
      </c>
      <c r="Q553" s="78" t="str">
        <f>IF(NOT(ISNUMBER(B553)),"",IF(COUNTIFS(FER_F,INT(B553))&gt;0,"Feriado"&amp;IF(AH553=1," (laborable)"," (no laborable)"),IF(AH553=1,"Laborable",IF(WEEKDAY(B553,2)&gt;5,"Fin de semana","No laborable"))))</f>
        <v/>
      </c>
      <c r="R553" s="73" t="n"/>
      <c r="S553" s="72" t="n"/>
      <c r="T553" s="72" t="n"/>
      <c r="U553" s="74" t="n"/>
      <c r="V553" s="79" t="str">
        <f>IF(AND(D553="proMX",OR(R553="Submitted",R553="Recall Requested"),ISNUMBER(S553)),CFG_TODAY-INT(S553),"")</f>
        <v/>
      </c>
      <c r="W553" s="78" t="str">
        <f>IF(BD553=0,"",IF(BA553&gt;0,"⚠ Se superpone con un registro de la otra empresa",IF(D553="Malcolm",IF(COUNTA(R553,S553,T553)&gt;0,"Estado/fechas proMX se ignoran en Malcolm",""),IF(BF553="Cancelled","Cancelado: excluido de totales",IF(R553="","Sin estado: se trata como Draft",IF(BF553="Submitted",IF(ISNUMBER(V553),IF(V553&gt;CFG_MAXD,"⚠ "&amp;V553&amp;" días en Submitted (máx. "&amp;CFG_MAXD&amp;")",""),"Falta fecha de envío"),IF(BF553="Returned","⚠ Devuelto: corregir y reenviar",IF(BF553="Recall Requested","Retirada solicitada: pendiente",IF(AND(BF553="Approved",NOT(ISNUMBER(T553))),"Falta fecha de aprobación",IF(AND(ISNUMBER(S553),ISNUMBER(T553),T553&lt;S553),"Aprobación anterior al envío","")))))))))</f>
        <v/>
      </c>
      <c r="Y553" s="80">
        <f>IF(COUNTA(B553,D553,E553,F553,G553,H553,I553,J553,R553,S553,T553)&gt;0,1,0)</f>
        <v>0</v>
      </c>
      <c r="Z553" s="80" t="str">
        <f>IF(AND(ISNUMBER(H553),H553&gt;=0,H553&lt;1),ROUND(H553*1440,0),"")</f>
        <v/>
      </c>
      <c r="AA553" s="80" t="str">
        <f>IF(AND(ISNUMBER(I553),I553&gt;=0,I553&lt;1),ROUND(I553*1440,0),"")</f>
        <v/>
      </c>
      <c r="AB553" s="80">
        <f>IF(AND(ISNUMBER(B553),D553&lt;&gt;"",ISNUMBER(Z553),ISNUMBER(AA553)),IF(Z553=AA553,0,1),0)</f>
        <v>0</v>
      </c>
      <c r="AC553" s="80">
        <f>IF(AB553=1,IF(AA553&lt;Z553,1,0),0)</f>
        <v>0</v>
      </c>
      <c r="AD553" s="80">
        <f>IF(AB553=1,IF(AC553=1,1440-Z553+AA553,AA553-Z553),0)</f>
        <v>0</v>
      </c>
      <c r="AE553" s="80">
        <f>IF(J553="",0,IF(ISNUMBER(J553),J553,-1))</f>
        <v>0</v>
      </c>
      <c r="AF553" s="80">
        <f>MIN(MAX(0,AE553),AD553)</f>
        <v>0</v>
      </c>
      <c r="AG553" s="80">
        <f>MAX(0,AD553-MAX(0,AE553))</f>
        <v>0</v>
      </c>
      <c r="AH553" s="80">
        <f>IF(ISNUMBER(B553),IF(AND(INDEX(CFG_WDAYS,WEEKDAY(INT(B553),2))="Sí",IF(D553="proMX",COUNTIFS(FER_F,INT(B553),FER_NLP,"Sí"),COUNTIFS(FER_F,INT(B553),FER_NLM,"Sí"))=0),1,0),0)</f>
        <v>0</v>
      </c>
      <c r="AI553" s="80">
        <f>IF(AC553=1,IF(AND(INDEX(CFG_WDAYS,WEEKDAY(INT(B553)+1,2))="Sí",IF(D553="proMX",COUNTIFS(FER_F,INT(B553)+1,FER_NLP,"Sí"),COUNTIFS(FER_F,INT(B553)+1,FER_NLM,"Sí"))=0),1,0),0)</f>
        <v>0</v>
      </c>
      <c r="AJ553" s="80">
        <f>IF(AC553=1,1440-Z553,AD553)</f>
        <v>0</v>
      </c>
      <c r="AK553" s="80">
        <f>IF(AND(AB553=1,AH553=1),MAX(0,MIN(IF(AC553=1,1440,AA553),CFG_WEM)-MAX(Z553,CFG_WSM)),0)</f>
        <v>0</v>
      </c>
      <c r="AL553" s="80">
        <f>IF(AND(AC553=1,AI553=1),MAX(0,MIN(AA553,CFG_WEM)-CFG_WSM),0)</f>
        <v>0</v>
      </c>
      <c r="AM553" s="80">
        <f>AK553+AL553</f>
        <v>0</v>
      </c>
      <c r="AN553" s="80">
        <f>IF(CFG_BRK="Proporcional",IF(AD553=0,0,AF553*AM553/AD553),IF(CFG_BRK="Extras primero",MIN(AM553,MAX(0,AF553-(AD553-AM553))),MIN(AF553,AM553)))</f>
        <v>0</v>
      </c>
      <c r="AO553" s="80">
        <f>AF553-AN553</f>
        <v>0</v>
      </c>
      <c r="AP553" s="80">
        <f>AM553-AN553</f>
        <v>0</v>
      </c>
      <c r="AQ553" s="80">
        <f>AD553-AM553-AO553</f>
        <v>0</v>
      </c>
      <c r="AR553" s="80">
        <f>IF(AM553=0,0,AK553-AN553*AK553/AM553)</f>
        <v>0</v>
      </c>
      <c r="AS553" s="80">
        <f>IF(AD553-AM553=0,0,(AJ553-AK553)-AO553*(AJ553-AK553)/(AD553-AM553))</f>
        <v>0</v>
      </c>
      <c r="AT553" s="80" t="str">
        <f>IF(AC553=1,INT(B553)+1,"")</f>
        <v/>
      </c>
      <c r="AU553" s="80">
        <f>IF(AND(D553="proMX",R553="Cancelled"),0,1)</f>
        <v>1</v>
      </c>
      <c r="AV553" s="80">
        <f>IF(AND(AB553=1,AU553=1),IF(COUNTIFS($D$5:D552,D553,$B$5:B552,B553,$Z$5:Z552,Z553,$AA$5:AA552,AA553,$F$5:F552,F553&amp;"",$AU$5:AU552,1)&gt;0,1,0),0)</f>
        <v>0</v>
      </c>
      <c r="AW553" s="80" t="str">
        <f>IF(AB553=1,INT(B553)*1440+Z553,"")</f>
        <v/>
      </c>
      <c r="AX553" s="80" t="str">
        <f>IF(AB553=1,AW553+AD553,"")</f>
        <v/>
      </c>
      <c r="AY553" s="80">
        <f>IF(AND(AB553=1,AV553=0,AU553=1),1,0)</f>
        <v>0</v>
      </c>
      <c r="AZ553" s="80">
        <f>IF(AY553=1,COUNTIFS(R_Emp,D553,R_SAbs,"&lt;"&amp;AX553,R_EAbs,"&gt;"&amp;AW553,R_OKey,1)-1,0)</f>
        <v>0</v>
      </c>
      <c r="BA553" s="80">
        <f>IF(AY553=1,COUNTIFS(R_Emp,"&lt;&gt;"&amp;D553,R_SAbs,"&lt;"&amp;AX553,R_EAbs,"&gt;"&amp;AW553,R_OKey,1),0)</f>
        <v>0</v>
      </c>
      <c r="BB553" s="80">
        <f>IF(AND(AB553=1,D553="proMX"),IF(AND(MOD(Z553,CFG_BLK)=0,MOD(AA553,CFG_BLK)=0,MOD(AG553,CFG_BLK)=0,AG553&gt;0),1,0),1)</f>
        <v>1</v>
      </c>
      <c r="BC553" s="80" t="str">
        <f>IF(Y553=0,"",IF(NOT(ISNUMBER(B553)),"Falta fecha o fecha inválida",IF(D553="","Falta empresa",IF(AND(D553&lt;&gt;"Malcolm",D553&lt;&gt;"proMX"),"Empresa inválida",IF(OR(INT(B553)&lt;CFG_PSTART,INT(B553)&gt;CFG_PEND),"Fecha fuera del período",IF(OR(NOT(ISNUMBER(Z553)),NOT(ISNUMBER(AA553))),"Falta hora inicio/fin o formato inválido",IF(AB553=0,"Hora inicio = hora fin",IF(AE553&lt;0,"Descanso inválido",IF(AE553&gt;=AD553,"Descanso ≥ duración",IF(AV553=1,"Registro duplicado",IF(AZ553&gt;0,"Se superpone con otro registro "&amp;D553,IF(BB553=0,"inicio, fin y duración neta deben ser múltiplos de "&amp;CFG_BLK&amp;" min",""))))))))))))</f>
        <v/>
      </c>
      <c r="BD553" s="80">
        <f>IF(AND(Y553=1,BC553=""),1,0)</f>
        <v>0</v>
      </c>
      <c r="BE553" s="80">
        <f>IF(AND(BD553=1,AU553=1),1,0)</f>
        <v>0</v>
      </c>
      <c r="BF553" s="80" t="str">
        <f>IF(AND(D553="proMX",BD553=1),IF(R553="","Draft",R553),"")</f>
        <v/>
      </c>
      <c r="BG553" s="80">
        <f>IF(BD553=1,ROUND(AG553/60,6),0)</f>
        <v>0</v>
      </c>
      <c r="BH553" s="80">
        <f>IF(BE553=1,ROUND(AG553/60,6),0)</f>
        <v>0</v>
      </c>
      <c r="BI553" s="80">
        <f>IF(BE553=1,ROUND(AP553/60,6),0)</f>
        <v>0</v>
      </c>
      <c r="BJ553" s="80">
        <f>IF(BE553=1,ROUND(AQ553/60,6),0)</f>
        <v>0</v>
      </c>
      <c r="BK553" s="80">
        <f>IF(BE553=1,ROUND((AR553+AS553)/60,6),0)</f>
        <v>0</v>
      </c>
      <c r="BL553" s="80">
        <f>ROUND(BH553-BK553,6)</f>
        <v>0</v>
      </c>
      <c r="BM553" s="80">
        <f>IF(BE553=1,ROUND(AR553/60,6),0)</f>
        <v>0</v>
      </c>
      <c r="BN553" s="80">
        <f>ROUND(BI553-BM553,6)</f>
        <v>0</v>
      </c>
      <c r="BO553" s="80">
        <f>IF(BE553=1,ROUND(AS553/60,6),0)</f>
        <v>0</v>
      </c>
      <c r="BP553" s="80">
        <f>ROUND(BJ553-BO553,6)</f>
        <v>0</v>
      </c>
      <c r="BQ553" s="80">
        <f>IF(BE553=1,AW553,0)</f>
        <v>0</v>
      </c>
      <c r="BR553" s="80">
        <f>IF(BE553=1,AX553,0)</f>
        <v>0</v>
      </c>
      <c r="BS553" s="80">
        <f>IF(AND(BE553=1,D553="Malcolm",BA553&gt;0),MIN(BH553,SUMPRODUCT((R_Emp="proMX")*(R_EN&gt;0)*((R_EN-(R_EN&gt;BR553)*(R_EN-BR553))&gt;(R_SN+(R_SN&lt;BQ553)*(BQ553-R_SN)))*((R_EN-(R_EN&gt;BR553)*(R_EN-BR553))-(R_SN+(R_SN&lt;BQ553)*(BQ553-R_SN))))/60),0)</f>
        <v>0</v>
      </c>
      <c r="BT553" s="80">
        <f>IF(AND(BE553=1,D553="proMX"),ROUND(BI553*CFG_RATE+BJ553*CFG_OTRATE,6),0)</f>
        <v>0</v>
      </c>
      <c r="BU553" s="80">
        <f>IF(AND(BD553=1,D553="proMX"),ROUND(AG553/CFG_BLK,6),0)</f>
        <v>0</v>
      </c>
      <c r="BV553" s="80" t="str">
        <f>IF(BF553="Approved",IF(ISNUMBER(T553),INT(T553),INT(B553)),"")</f>
        <v/>
      </c>
      <c r="BW553" s="80">
        <f>IF(ISNUMBER(B553),IF(DB_MON="Todos",1,IF(AND(INT(B553)&gt;=DB_MS,INT(B553)&lt;=DB_ME),1,0)),0)</f>
        <v>0</v>
      </c>
      <c r="BX553" s="80">
        <f>IF(DB_PROJ="Todos",1,IF(E553&amp;""=DB_PROJ&amp;"",1,0))</f>
        <v>1</v>
      </c>
      <c r="BY553" s="80">
        <f>BW553*BX553</f>
        <v>0</v>
      </c>
      <c r="BZ553" s="80" t="str">
        <f>IF(Y553=1,F553&amp;IF(AND(F553&amp;""&lt;&gt;"",E553&amp;""&lt;&gt;"")," · ","")&amp;E553,"")</f>
        <v/>
      </c>
      <c r="CA553" s="80" t="str">
        <f>IF(AND(BD553=1,E553&amp;""&lt;&gt;""),IF(COUNTIFS($E$5:E552,E553,$BD$5:BD552,1)=0,MAX($CA$5:CA552)+1,""),"")</f>
        <v/>
      </c>
      <c r="CB553" s="80" t="str">
        <f>IF(AND(BE553=1,D553="Malcolm",E553&amp;""&lt;&gt;""),IF(COUNTIFS($D$5:D552,"Malcolm",$E$5:E552,E553,$BE$5:BE552,1)=0,MAX($CB$5:CB552)+1,""),"")</f>
        <v/>
      </c>
      <c r="CC553" s="80" t="str">
        <f>IF(AND(BD553=1,D553="proMX",E553&amp;""&lt;&gt;""),IF(COUNTIFS($D$5:D552,"proMX",$E$5:E552,E553,$BD$5:BD552,1)=0,MAX($CC$5:CC552)+1,""),"")</f>
        <v/>
      </c>
      <c r="CD553" s="80" t="str">
        <f>IF(AND(BE553=1,D553="Malcolm",F553&amp;""&lt;&gt;""),IF(COUNTIFS($D$5:D552,"Malcolm",$F$5:F552,F553,$BE$5:BE552,1)=0,MAX($CD$5:CD552)+1,""),"")</f>
        <v/>
      </c>
      <c r="CE553" s="80" t="str">
        <f>IF(AND(BD553=1,D553="proMX",F553&amp;""&lt;&gt;""),IF(COUNTIFS($D$5:D552,"proMX",$F$5:F552,F553,$BD$5:BD552,1)=0,MAX($CE$5:CE552)+1,""),"")</f>
        <v/>
      </c>
      <c r="CF553" s="80" t="str">
        <f>IF(AND(D553="proMX",BD553=1),IF(OR(BF553="Draft",BF553="Submitted",BF553="Returned",BF553="Recall Requested"),MAX($CF$5:CF552)+1,""),"")</f>
        <v/>
      </c>
      <c r="CG553" s="80">
        <f>IF(BD553=0,0,IF(D553="Malcolm",1,MATCH(BF553,{"Draft","Submitted","Approved","Returned","Recall Requested","Cancelled"},0)+1))</f>
        <v>0</v>
      </c>
      <c r="CH553" s="80">
        <f>IF(AND(BF553="Submitted",ISNUMBER(V553)),IF(V553&gt;CFG_MAXD,1,0),0)</f>
        <v>0</v>
      </c>
    </row>
    <row r="554">
      <c r="A554" s="71" t="str">
        <f>IF(Y554=1,ROW()-5,"")</f>
        <v/>
      </c>
      <c r="B554" s="72" t="n"/>
      <c r="C554" s="71" t="str">
        <f>IF(ISNUMBER(B554),CHOOSE(WEEKDAY(B554,2),"Lun","Mar","Mié","Jue","Vie","Sáb","Dom"),"")</f>
        <v/>
      </c>
      <c r="D554" s="73" t="n"/>
      <c r="E554" s="74" t="n"/>
      <c r="F554" s="74" t="n"/>
      <c r="G554" s="74" t="n"/>
      <c r="H554" s="75" t="n"/>
      <c r="I554" s="75" t="n"/>
      <c r="J554" s="76" t="n"/>
      <c r="K554" s="77" t="str">
        <f>IF(AB554=1,ROUND(AG554/60,4),"")</f>
        <v/>
      </c>
      <c r="L554" s="77" t="str">
        <f>IF(BD554=1,ROUND(AP554/60,4),"")</f>
        <v/>
      </c>
      <c r="M554" s="77" t="str">
        <f>IF(BD554=1,ROUND(AQ554/60,4),"")</f>
        <v/>
      </c>
      <c r="N554" s="71" t="str">
        <f>IF(AND(D554="proMX",AB554=1),ROUND(AG554/CFG_BLK,2),"")</f>
        <v/>
      </c>
      <c r="O554" s="77" t="str">
        <f>IF(D554="proMX",IF(BD554=1,ROUND(AG554/60,4),0),"")</f>
        <v/>
      </c>
      <c r="P554" s="78" t="str">
        <f>IF(Y554=0,"",IF(BD554=1,"OK",IF(D554="proMX","Revisar bloques: ","Revisar: ")&amp;BC554))</f>
        <v/>
      </c>
      <c r="Q554" s="78" t="str">
        <f>IF(NOT(ISNUMBER(B554)),"",IF(COUNTIFS(FER_F,INT(B554))&gt;0,"Feriado"&amp;IF(AH554=1," (laborable)"," (no laborable)"),IF(AH554=1,"Laborable",IF(WEEKDAY(B554,2)&gt;5,"Fin de semana","No laborable"))))</f>
        <v/>
      </c>
      <c r="R554" s="73" t="n"/>
      <c r="S554" s="72" t="n"/>
      <c r="T554" s="72" t="n"/>
      <c r="U554" s="74" t="n"/>
      <c r="V554" s="79" t="str">
        <f>IF(AND(D554="proMX",OR(R554="Submitted",R554="Recall Requested"),ISNUMBER(S554)),CFG_TODAY-INT(S554),"")</f>
        <v/>
      </c>
      <c r="W554" s="78" t="str">
        <f>IF(BD554=0,"",IF(BA554&gt;0,"⚠ Se superpone con un registro de la otra empresa",IF(D554="Malcolm",IF(COUNTA(R554,S554,T554)&gt;0,"Estado/fechas proMX se ignoran en Malcolm",""),IF(BF554="Cancelled","Cancelado: excluido de totales",IF(R554="","Sin estado: se trata como Draft",IF(BF554="Submitted",IF(ISNUMBER(V554),IF(V554&gt;CFG_MAXD,"⚠ "&amp;V554&amp;" días en Submitted (máx. "&amp;CFG_MAXD&amp;")",""),"Falta fecha de envío"),IF(BF554="Returned","⚠ Devuelto: corregir y reenviar",IF(BF554="Recall Requested","Retirada solicitada: pendiente",IF(AND(BF554="Approved",NOT(ISNUMBER(T554))),"Falta fecha de aprobación",IF(AND(ISNUMBER(S554),ISNUMBER(T554),T554&lt;S554),"Aprobación anterior al envío","")))))))))</f>
        <v/>
      </c>
      <c r="Y554" s="80">
        <f>IF(COUNTA(B554,D554,E554,F554,G554,H554,I554,J554,R554,S554,T554)&gt;0,1,0)</f>
        <v>0</v>
      </c>
      <c r="Z554" s="80" t="str">
        <f>IF(AND(ISNUMBER(H554),H554&gt;=0,H554&lt;1),ROUND(H554*1440,0),"")</f>
        <v/>
      </c>
      <c r="AA554" s="80" t="str">
        <f>IF(AND(ISNUMBER(I554),I554&gt;=0,I554&lt;1),ROUND(I554*1440,0),"")</f>
        <v/>
      </c>
      <c r="AB554" s="80">
        <f>IF(AND(ISNUMBER(B554),D554&lt;&gt;"",ISNUMBER(Z554),ISNUMBER(AA554)),IF(Z554=AA554,0,1),0)</f>
        <v>0</v>
      </c>
      <c r="AC554" s="80">
        <f>IF(AB554=1,IF(AA554&lt;Z554,1,0),0)</f>
        <v>0</v>
      </c>
      <c r="AD554" s="80">
        <f>IF(AB554=1,IF(AC554=1,1440-Z554+AA554,AA554-Z554),0)</f>
        <v>0</v>
      </c>
      <c r="AE554" s="80">
        <f>IF(J554="",0,IF(ISNUMBER(J554),J554,-1))</f>
        <v>0</v>
      </c>
      <c r="AF554" s="80">
        <f>MIN(MAX(0,AE554),AD554)</f>
        <v>0</v>
      </c>
      <c r="AG554" s="80">
        <f>MAX(0,AD554-MAX(0,AE554))</f>
        <v>0</v>
      </c>
      <c r="AH554" s="80">
        <f>IF(ISNUMBER(B554),IF(AND(INDEX(CFG_WDAYS,WEEKDAY(INT(B554),2))="Sí",IF(D554="proMX",COUNTIFS(FER_F,INT(B554),FER_NLP,"Sí"),COUNTIFS(FER_F,INT(B554),FER_NLM,"Sí"))=0),1,0),0)</f>
        <v>0</v>
      </c>
      <c r="AI554" s="80">
        <f>IF(AC554=1,IF(AND(INDEX(CFG_WDAYS,WEEKDAY(INT(B554)+1,2))="Sí",IF(D554="proMX",COUNTIFS(FER_F,INT(B554)+1,FER_NLP,"Sí"),COUNTIFS(FER_F,INT(B554)+1,FER_NLM,"Sí"))=0),1,0),0)</f>
        <v>0</v>
      </c>
      <c r="AJ554" s="80">
        <f>IF(AC554=1,1440-Z554,AD554)</f>
        <v>0</v>
      </c>
      <c r="AK554" s="80">
        <f>IF(AND(AB554=1,AH554=1),MAX(0,MIN(IF(AC554=1,1440,AA554),CFG_WEM)-MAX(Z554,CFG_WSM)),0)</f>
        <v>0</v>
      </c>
      <c r="AL554" s="80">
        <f>IF(AND(AC554=1,AI554=1),MAX(0,MIN(AA554,CFG_WEM)-CFG_WSM),0)</f>
        <v>0</v>
      </c>
      <c r="AM554" s="80">
        <f>AK554+AL554</f>
        <v>0</v>
      </c>
      <c r="AN554" s="80">
        <f>IF(CFG_BRK="Proporcional",IF(AD554=0,0,AF554*AM554/AD554),IF(CFG_BRK="Extras primero",MIN(AM554,MAX(0,AF554-(AD554-AM554))),MIN(AF554,AM554)))</f>
        <v>0</v>
      </c>
      <c r="AO554" s="80">
        <f>AF554-AN554</f>
        <v>0</v>
      </c>
      <c r="AP554" s="80">
        <f>AM554-AN554</f>
        <v>0</v>
      </c>
      <c r="AQ554" s="80">
        <f>AD554-AM554-AO554</f>
        <v>0</v>
      </c>
      <c r="AR554" s="80">
        <f>IF(AM554=0,0,AK554-AN554*AK554/AM554)</f>
        <v>0</v>
      </c>
      <c r="AS554" s="80">
        <f>IF(AD554-AM554=0,0,(AJ554-AK554)-AO554*(AJ554-AK554)/(AD554-AM554))</f>
        <v>0</v>
      </c>
      <c r="AT554" s="80" t="str">
        <f>IF(AC554=1,INT(B554)+1,"")</f>
        <v/>
      </c>
      <c r="AU554" s="80">
        <f>IF(AND(D554="proMX",R554="Cancelled"),0,1)</f>
        <v>1</v>
      </c>
      <c r="AV554" s="80">
        <f>IF(AND(AB554=1,AU554=1),IF(COUNTIFS($D$5:D553,D554,$B$5:B553,B554,$Z$5:Z553,Z554,$AA$5:AA553,AA554,$F$5:F553,F554&amp;"",$AU$5:AU553,1)&gt;0,1,0),0)</f>
        <v>0</v>
      </c>
      <c r="AW554" s="80" t="str">
        <f>IF(AB554=1,INT(B554)*1440+Z554,"")</f>
        <v/>
      </c>
      <c r="AX554" s="80" t="str">
        <f>IF(AB554=1,AW554+AD554,"")</f>
        <v/>
      </c>
      <c r="AY554" s="80">
        <f>IF(AND(AB554=1,AV554=0,AU554=1),1,0)</f>
        <v>0</v>
      </c>
      <c r="AZ554" s="80">
        <f>IF(AY554=1,COUNTIFS(R_Emp,D554,R_SAbs,"&lt;"&amp;AX554,R_EAbs,"&gt;"&amp;AW554,R_OKey,1)-1,0)</f>
        <v>0</v>
      </c>
      <c r="BA554" s="80">
        <f>IF(AY554=1,COUNTIFS(R_Emp,"&lt;&gt;"&amp;D554,R_SAbs,"&lt;"&amp;AX554,R_EAbs,"&gt;"&amp;AW554,R_OKey,1),0)</f>
        <v>0</v>
      </c>
      <c r="BB554" s="80">
        <f>IF(AND(AB554=1,D554="proMX"),IF(AND(MOD(Z554,CFG_BLK)=0,MOD(AA554,CFG_BLK)=0,MOD(AG554,CFG_BLK)=0,AG554&gt;0),1,0),1)</f>
        <v>1</v>
      </c>
      <c r="BC554" s="80" t="str">
        <f>IF(Y554=0,"",IF(NOT(ISNUMBER(B554)),"Falta fecha o fecha inválida",IF(D554="","Falta empresa",IF(AND(D554&lt;&gt;"Malcolm",D554&lt;&gt;"proMX"),"Empresa inválida",IF(OR(INT(B554)&lt;CFG_PSTART,INT(B554)&gt;CFG_PEND),"Fecha fuera del período",IF(OR(NOT(ISNUMBER(Z554)),NOT(ISNUMBER(AA554))),"Falta hora inicio/fin o formato inválido",IF(AB554=0,"Hora inicio = hora fin",IF(AE554&lt;0,"Descanso inválido",IF(AE554&gt;=AD554,"Descanso ≥ duración",IF(AV554=1,"Registro duplicado",IF(AZ554&gt;0,"Se superpone con otro registro "&amp;D554,IF(BB554=0,"inicio, fin y duración neta deben ser múltiplos de "&amp;CFG_BLK&amp;" min",""))))))))))))</f>
        <v/>
      </c>
      <c r="BD554" s="80">
        <f>IF(AND(Y554=1,BC554=""),1,0)</f>
        <v>0</v>
      </c>
      <c r="BE554" s="80">
        <f>IF(AND(BD554=1,AU554=1),1,0)</f>
        <v>0</v>
      </c>
      <c r="BF554" s="80" t="str">
        <f>IF(AND(D554="proMX",BD554=1),IF(R554="","Draft",R554),"")</f>
        <v/>
      </c>
      <c r="BG554" s="80">
        <f>IF(BD554=1,ROUND(AG554/60,6),0)</f>
        <v>0</v>
      </c>
      <c r="BH554" s="80">
        <f>IF(BE554=1,ROUND(AG554/60,6),0)</f>
        <v>0</v>
      </c>
      <c r="BI554" s="80">
        <f>IF(BE554=1,ROUND(AP554/60,6),0)</f>
        <v>0</v>
      </c>
      <c r="BJ554" s="80">
        <f>IF(BE554=1,ROUND(AQ554/60,6),0)</f>
        <v>0</v>
      </c>
      <c r="BK554" s="80">
        <f>IF(BE554=1,ROUND((AR554+AS554)/60,6),0)</f>
        <v>0</v>
      </c>
      <c r="BL554" s="80">
        <f>ROUND(BH554-BK554,6)</f>
        <v>0</v>
      </c>
      <c r="BM554" s="80">
        <f>IF(BE554=1,ROUND(AR554/60,6),0)</f>
        <v>0</v>
      </c>
      <c r="BN554" s="80">
        <f>ROUND(BI554-BM554,6)</f>
        <v>0</v>
      </c>
      <c r="BO554" s="80">
        <f>IF(BE554=1,ROUND(AS554/60,6),0)</f>
        <v>0</v>
      </c>
      <c r="BP554" s="80">
        <f>ROUND(BJ554-BO554,6)</f>
        <v>0</v>
      </c>
      <c r="BQ554" s="80">
        <f>IF(BE554=1,AW554,0)</f>
        <v>0</v>
      </c>
      <c r="BR554" s="80">
        <f>IF(BE554=1,AX554,0)</f>
        <v>0</v>
      </c>
      <c r="BS554" s="80">
        <f>IF(AND(BE554=1,D554="Malcolm",BA554&gt;0),MIN(BH554,SUMPRODUCT((R_Emp="proMX")*(R_EN&gt;0)*((R_EN-(R_EN&gt;BR554)*(R_EN-BR554))&gt;(R_SN+(R_SN&lt;BQ554)*(BQ554-R_SN)))*((R_EN-(R_EN&gt;BR554)*(R_EN-BR554))-(R_SN+(R_SN&lt;BQ554)*(BQ554-R_SN))))/60),0)</f>
        <v>0</v>
      </c>
      <c r="BT554" s="80">
        <f>IF(AND(BE554=1,D554="proMX"),ROUND(BI554*CFG_RATE+BJ554*CFG_OTRATE,6),0)</f>
        <v>0</v>
      </c>
      <c r="BU554" s="80">
        <f>IF(AND(BD554=1,D554="proMX"),ROUND(AG554/CFG_BLK,6),0)</f>
        <v>0</v>
      </c>
      <c r="BV554" s="80" t="str">
        <f>IF(BF554="Approved",IF(ISNUMBER(T554),INT(T554),INT(B554)),"")</f>
        <v/>
      </c>
      <c r="BW554" s="80">
        <f>IF(ISNUMBER(B554),IF(DB_MON="Todos",1,IF(AND(INT(B554)&gt;=DB_MS,INT(B554)&lt;=DB_ME),1,0)),0)</f>
        <v>0</v>
      </c>
      <c r="BX554" s="80">
        <f>IF(DB_PROJ="Todos",1,IF(E554&amp;""=DB_PROJ&amp;"",1,0))</f>
        <v>1</v>
      </c>
      <c r="BY554" s="80">
        <f>BW554*BX554</f>
        <v>0</v>
      </c>
      <c r="BZ554" s="80" t="str">
        <f>IF(Y554=1,F554&amp;IF(AND(F554&amp;""&lt;&gt;"",E554&amp;""&lt;&gt;"")," · ","")&amp;E554,"")</f>
        <v/>
      </c>
      <c r="CA554" s="80" t="str">
        <f>IF(AND(BD554=1,E554&amp;""&lt;&gt;""),IF(COUNTIFS($E$5:E553,E554,$BD$5:BD553,1)=0,MAX($CA$5:CA553)+1,""),"")</f>
        <v/>
      </c>
      <c r="CB554" s="80" t="str">
        <f>IF(AND(BE554=1,D554="Malcolm",E554&amp;""&lt;&gt;""),IF(COUNTIFS($D$5:D553,"Malcolm",$E$5:E553,E554,$BE$5:BE553,1)=0,MAX($CB$5:CB553)+1,""),"")</f>
        <v/>
      </c>
      <c r="CC554" s="80" t="str">
        <f>IF(AND(BD554=1,D554="proMX",E554&amp;""&lt;&gt;""),IF(COUNTIFS($D$5:D553,"proMX",$E$5:E553,E554,$BD$5:BD553,1)=0,MAX($CC$5:CC553)+1,""),"")</f>
        <v/>
      </c>
      <c r="CD554" s="80" t="str">
        <f>IF(AND(BE554=1,D554="Malcolm",F554&amp;""&lt;&gt;""),IF(COUNTIFS($D$5:D553,"Malcolm",$F$5:F553,F554,$BE$5:BE553,1)=0,MAX($CD$5:CD553)+1,""),"")</f>
        <v/>
      </c>
      <c r="CE554" s="80" t="str">
        <f>IF(AND(BD554=1,D554="proMX",F554&amp;""&lt;&gt;""),IF(COUNTIFS($D$5:D553,"proMX",$F$5:F553,F554,$BD$5:BD553,1)=0,MAX($CE$5:CE553)+1,""),"")</f>
        <v/>
      </c>
      <c r="CF554" s="80" t="str">
        <f>IF(AND(D554="proMX",BD554=1),IF(OR(BF554="Draft",BF554="Submitted",BF554="Returned",BF554="Recall Requested"),MAX($CF$5:CF553)+1,""),"")</f>
        <v/>
      </c>
      <c r="CG554" s="80">
        <f>IF(BD554=0,0,IF(D554="Malcolm",1,MATCH(BF554,{"Draft","Submitted","Approved","Returned","Recall Requested","Cancelled"},0)+1))</f>
        <v>0</v>
      </c>
      <c r="CH554" s="80">
        <f>IF(AND(BF554="Submitted",ISNUMBER(V554)),IF(V554&gt;CFG_MAXD,1,0),0)</f>
        <v>0</v>
      </c>
    </row>
    <row r="555">
      <c r="A555" s="71" t="str">
        <f>IF(Y555=1,ROW()-5,"")</f>
        <v/>
      </c>
      <c r="B555" s="72" t="n"/>
      <c r="C555" s="71" t="str">
        <f>IF(ISNUMBER(B555),CHOOSE(WEEKDAY(B555,2),"Lun","Mar","Mié","Jue","Vie","Sáb","Dom"),"")</f>
        <v/>
      </c>
      <c r="D555" s="73" t="n"/>
      <c r="E555" s="74" t="n"/>
      <c r="F555" s="74" t="n"/>
      <c r="G555" s="74" t="n"/>
      <c r="H555" s="75" t="n"/>
      <c r="I555" s="75" t="n"/>
      <c r="J555" s="76" t="n"/>
      <c r="K555" s="77" t="str">
        <f>IF(AB555=1,ROUND(AG555/60,4),"")</f>
        <v/>
      </c>
      <c r="L555" s="77" t="str">
        <f>IF(BD555=1,ROUND(AP555/60,4),"")</f>
        <v/>
      </c>
      <c r="M555" s="77" t="str">
        <f>IF(BD555=1,ROUND(AQ555/60,4),"")</f>
        <v/>
      </c>
      <c r="N555" s="71" t="str">
        <f>IF(AND(D555="proMX",AB555=1),ROUND(AG555/CFG_BLK,2),"")</f>
        <v/>
      </c>
      <c r="O555" s="77" t="str">
        <f>IF(D555="proMX",IF(BD555=1,ROUND(AG555/60,4),0),"")</f>
        <v/>
      </c>
      <c r="P555" s="78" t="str">
        <f>IF(Y555=0,"",IF(BD555=1,"OK",IF(D555="proMX","Revisar bloques: ","Revisar: ")&amp;BC555))</f>
        <v/>
      </c>
      <c r="Q555" s="78" t="str">
        <f>IF(NOT(ISNUMBER(B555)),"",IF(COUNTIFS(FER_F,INT(B555))&gt;0,"Feriado"&amp;IF(AH555=1," (laborable)"," (no laborable)"),IF(AH555=1,"Laborable",IF(WEEKDAY(B555,2)&gt;5,"Fin de semana","No laborable"))))</f>
        <v/>
      </c>
      <c r="R555" s="73" t="n"/>
      <c r="S555" s="72" t="n"/>
      <c r="T555" s="72" t="n"/>
      <c r="U555" s="74" t="n"/>
      <c r="V555" s="79" t="str">
        <f>IF(AND(D555="proMX",OR(R555="Submitted",R555="Recall Requested"),ISNUMBER(S555)),CFG_TODAY-INT(S555),"")</f>
        <v/>
      </c>
      <c r="W555" s="78" t="str">
        <f>IF(BD555=0,"",IF(BA555&gt;0,"⚠ Se superpone con un registro de la otra empresa",IF(D555="Malcolm",IF(COUNTA(R555,S555,T555)&gt;0,"Estado/fechas proMX se ignoran en Malcolm",""),IF(BF555="Cancelled","Cancelado: excluido de totales",IF(R555="","Sin estado: se trata como Draft",IF(BF555="Submitted",IF(ISNUMBER(V555),IF(V555&gt;CFG_MAXD,"⚠ "&amp;V555&amp;" días en Submitted (máx. "&amp;CFG_MAXD&amp;")",""),"Falta fecha de envío"),IF(BF555="Returned","⚠ Devuelto: corregir y reenviar",IF(BF555="Recall Requested","Retirada solicitada: pendiente",IF(AND(BF555="Approved",NOT(ISNUMBER(T555))),"Falta fecha de aprobación",IF(AND(ISNUMBER(S555),ISNUMBER(T555),T555&lt;S555),"Aprobación anterior al envío","")))))))))</f>
        <v/>
      </c>
      <c r="Y555" s="80">
        <f>IF(COUNTA(B555,D555,E555,F555,G555,H555,I555,J555,R555,S555,T555)&gt;0,1,0)</f>
        <v>0</v>
      </c>
      <c r="Z555" s="80" t="str">
        <f>IF(AND(ISNUMBER(H555),H555&gt;=0,H555&lt;1),ROUND(H555*1440,0),"")</f>
        <v/>
      </c>
      <c r="AA555" s="80" t="str">
        <f>IF(AND(ISNUMBER(I555),I555&gt;=0,I555&lt;1),ROUND(I555*1440,0),"")</f>
        <v/>
      </c>
      <c r="AB555" s="80">
        <f>IF(AND(ISNUMBER(B555),D555&lt;&gt;"",ISNUMBER(Z555),ISNUMBER(AA555)),IF(Z555=AA555,0,1),0)</f>
        <v>0</v>
      </c>
      <c r="AC555" s="80">
        <f>IF(AB555=1,IF(AA555&lt;Z555,1,0),0)</f>
        <v>0</v>
      </c>
      <c r="AD555" s="80">
        <f>IF(AB555=1,IF(AC555=1,1440-Z555+AA555,AA555-Z555),0)</f>
        <v>0</v>
      </c>
      <c r="AE555" s="80">
        <f>IF(J555="",0,IF(ISNUMBER(J555),J555,-1))</f>
        <v>0</v>
      </c>
      <c r="AF555" s="80">
        <f>MIN(MAX(0,AE555),AD555)</f>
        <v>0</v>
      </c>
      <c r="AG555" s="80">
        <f>MAX(0,AD555-MAX(0,AE555))</f>
        <v>0</v>
      </c>
      <c r="AH555" s="80">
        <f>IF(ISNUMBER(B555),IF(AND(INDEX(CFG_WDAYS,WEEKDAY(INT(B555),2))="Sí",IF(D555="proMX",COUNTIFS(FER_F,INT(B555),FER_NLP,"Sí"),COUNTIFS(FER_F,INT(B555),FER_NLM,"Sí"))=0),1,0),0)</f>
        <v>0</v>
      </c>
      <c r="AI555" s="80">
        <f>IF(AC555=1,IF(AND(INDEX(CFG_WDAYS,WEEKDAY(INT(B555)+1,2))="Sí",IF(D555="proMX",COUNTIFS(FER_F,INT(B555)+1,FER_NLP,"Sí"),COUNTIFS(FER_F,INT(B555)+1,FER_NLM,"Sí"))=0),1,0),0)</f>
        <v>0</v>
      </c>
      <c r="AJ555" s="80">
        <f>IF(AC555=1,1440-Z555,AD555)</f>
        <v>0</v>
      </c>
      <c r="AK555" s="80">
        <f>IF(AND(AB555=1,AH555=1),MAX(0,MIN(IF(AC555=1,1440,AA555),CFG_WEM)-MAX(Z555,CFG_WSM)),0)</f>
        <v>0</v>
      </c>
      <c r="AL555" s="80">
        <f>IF(AND(AC555=1,AI555=1),MAX(0,MIN(AA555,CFG_WEM)-CFG_WSM),0)</f>
        <v>0</v>
      </c>
      <c r="AM555" s="80">
        <f>AK555+AL555</f>
        <v>0</v>
      </c>
      <c r="AN555" s="80">
        <f>IF(CFG_BRK="Proporcional",IF(AD555=0,0,AF555*AM555/AD555),IF(CFG_BRK="Extras primero",MIN(AM555,MAX(0,AF555-(AD555-AM555))),MIN(AF555,AM555)))</f>
        <v>0</v>
      </c>
      <c r="AO555" s="80">
        <f>AF555-AN555</f>
        <v>0</v>
      </c>
      <c r="AP555" s="80">
        <f>AM555-AN555</f>
        <v>0</v>
      </c>
      <c r="AQ555" s="80">
        <f>AD555-AM555-AO555</f>
        <v>0</v>
      </c>
      <c r="AR555" s="80">
        <f>IF(AM555=0,0,AK555-AN555*AK555/AM555)</f>
        <v>0</v>
      </c>
      <c r="AS555" s="80">
        <f>IF(AD555-AM555=0,0,(AJ555-AK555)-AO555*(AJ555-AK555)/(AD555-AM555))</f>
        <v>0</v>
      </c>
      <c r="AT555" s="80" t="str">
        <f>IF(AC555=1,INT(B555)+1,"")</f>
        <v/>
      </c>
      <c r="AU555" s="80">
        <f>IF(AND(D555="proMX",R555="Cancelled"),0,1)</f>
        <v>1</v>
      </c>
      <c r="AV555" s="80">
        <f>IF(AND(AB555=1,AU555=1),IF(COUNTIFS($D$5:D554,D555,$B$5:B554,B555,$Z$5:Z554,Z555,$AA$5:AA554,AA555,$F$5:F554,F555&amp;"",$AU$5:AU554,1)&gt;0,1,0),0)</f>
        <v>0</v>
      </c>
      <c r="AW555" s="80" t="str">
        <f>IF(AB555=1,INT(B555)*1440+Z555,"")</f>
        <v/>
      </c>
      <c r="AX555" s="80" t="str">
        <f>IF(AB555=1,AW555+AD555,"")</f>
        <v/>
      </c>
      <c r="AY555" s="80">
        <f>IF(AND(AB555=1,AV555=0,AU555=1),1,0)</f>
        <v>0</v>
      </c>
      <c r="AZ555" s="80">
        <f>IF(AY555=1,COUNTIFS(R_Emp,D555,R_SAbs,"&lt;"&amp;AX555,R_EAbs,"&gt;"&amp;AW555,R_OKey,1)-1,0)</f>
        <v>0</v>
      </c>
      <c r="BA555" s="80">
        <f>IF(AY555=1,COUNTIFS(R_Emp,"&lt;&gt;"&amp;D555,R_SAbs,"&lt;"&amp;AX555,R_EAbs,"&gt;"&amp;AW555,R_OKey,1),0)</f>
        <v>0</v>
      </c>
      <c r="BB555" s="80">
        <f>IF(AND(AB555=1,D555="proMX"),IF(AND(MOD(Z555,CFG_BLK)=0,MOD(AA555,CFG_BLK)=0,MOD(AG555,CFG_BLK)=0,AG555&gt;0),1,0),1)</f>
        <v>1</v>
      </c>
      <c r="BC555" s="80" t="str">
        <f>IF(Y555=0,"",IF(NOT(ISNUMBER(B555)),"Falta fecha o fecha inválida",IF(D555="","Falta empresa",IF(AND(D555&lt;&gt;"Malcolm",D555&lt;&gt;"proMX"),"Empresa inválida",IF(OR(INT(B555)&lt;CFG_PSTART,INT(B555)&gt;CFG_PEND),"Fecha fuera del período",IF(OR(NOT(ISNUMBER(Z555)),NOT(ISNUMBER(AA555))),"Falta hora inicio/fin o formato inválido",IF(AB555=0,"Hora inicio = hora fin",IF(AE555&lt;0,"Descanso inválido",IF(AE555&gt;=AD555,"Descanso ≥ duración",IF(AV555=1,"Registro duplicado",IF(AZ555&gt;0,"Se superpone con otro registro "&amp;D555,IF(BB555=0,"inicio, fin y duración neta deben ser múltiplos de "&amp;CFG_BLK&amp;" min",""))))))))))))</f>
        <v/>
      </c>
      <c r="BD555" s="80">
        <f>IF(AND(Y555=1,BC555=""),1,0)</f>
        <v>0</v>
      </c>
      <c r="BE555" s="80">
        <f>IF(AND(BD555=1,AU555=1),1,0)</f>
        <v>0</v>
      </c>
      <c r="BF555" s="80" t="str">
        <f>IF(AND(D555="proMX",BD555=1),IF(R555="","Draft",R555),"")</f>
        <v/>
      </c>
      <c r="BG555" s="80">
        <f>IF(BD555=1,ROUND(AG555/60,6),0)</f>
        <v>0</v>
      </c>
      <c r="BH555" s="80">
        <f>IF(BE555=1,ROUND(AG555/60,6),0)</f>
        <v>0</v>
      </c>
      <c r="BI555" s="80">
        <f>IF(BE555=1,ROUND(AP555/60,6),0)</f>
        <v>0</v>
      </c>
      <c r="BJ555" s="80">
        <f>IF(BE555=1,ROUND(AQ555/60,6),0)</f>
        <v>0</v>
      </c>
      <c r="BK555" s="80">
        <f>IF(BE555=1,ROUND((AR555+AS555)/60,6),0)</f>
        <v>0</v>
      </c>
      <c r="BL555" s="80">
        <f>ROUND(BH555-BK555,6)</f>
        <v>0</v>
      </c>
      <c r="BM555" s="80">
        <f>IF(BE555=1,ROUND(AR555/60,6),0)</f>
        <v>0</v>
      </c>
      <c r="BN555" s="80">
        <f>ROUND(BI555-BM555,6)</f>
        <v>0</v>
      </c>
      <c r="BO555" s="80">
        <f>IF(BE555=1,ROUND(AS555/60,6),0)</f>
        <v>0</v>
      </c>
      <c r="BP555" s="80">
        <f>ROUND(BJ555-BO555,6)</f>
        <v>0</v>
      </c>
      <c r="BQ555" s="80">
        <f>IF(BE555=1,AW555,0)</f>
        <v>0</v>
      </c>
      <c r="BR555" s="80">
        <f>IF(BE555=1,AX555,0)</f>
        <v>0</v>
      </c>
      <c r="BS555" s="80">
        <f>IF(AND(BE555=1,D555="Malcolm",BA555&gt;0),MIN(BH555,SUMPRODUCT((R_Emp="proMX")*(R_EN&gt;0)*((R_EN-(R_EN&gt;BR555)*(R_EN-BR555))&gt;(R_SN+(R_SN&lt;BQ555)*(BQ555-R_SN)))*((R_EN-(R_EN&gt;BR555)*(R_EN-BR555))-(R_SN+(R_SN&lt;BQ555)*(BQ555-R_SN))))/60),0)</f>
        <v>0</v>
      </c>
      <c r="BT555" s="80">
        <f>IF(AND(BE555=1,D555="proMX"),ROUND(BI555*CFG_RATE+BJ555*CFG_OTRATE,6),0)</f>
        <v>0</v>
      </c>
      <c r="BU555" s="80">
        <f>IF(AND(BD555=1,D555="proMX"),ROUND(AG555/CFG_BLK,6),0)</f>
        <v>0</v>
      </c>
      <c r="BV555" s="80" t="str">
        <f>IF(BF555="Approved",IF(ISNUMBER(T555),INT(T555),INT(B555)),"")</f>
        <v/>
      </c>
      <c r="BW555" s="80">
        <f>IF(ISNUMBER(B555),IF(DB_MON="Todos",1,IF(AND(INT(B555)&gt;=DB_MS,INT(B555)&lt;=DB_ME),1,0)),0)</f>
        <v>0</v>
      </c>
      <c r="BX555" s="80">
        <f>IF(DB_PROJ="Todos",1,IF(E555&amp;""=DB_PROJ&amp;"",1,0))</f>
        <v>1</v>
      </c>
      <c r="BY555" s="80">
        <f>BW555*BX555</f>
        <v>0</v>
      </c>
      <c r="BZ555" s="80" t="str">
        <f>IF(Y555=1,F555&amp;IF(AND(F555&amp;""&lt;&gt;"",E555&amp;""&lt;&gt;"")," · ","")&amp;E555,"")</f>
        <v/>
      </c>
      <c r="CA555" s="80" t="str">
        <f>IF(AND(BD555=1,E555&amp;""&lt;&gt;""),IF(COUNTIFS($E$5:E554,E555,$BD$5:BD554,1)=0,MAX($CA$5:CA554)+1,""),"")</f>
        <v/>
      </c>
      <c r="CB555" s="80" t="str">
        <f>IF(AND(BE555=1,D555="Malcolm",E555&amp;""&lt;&gt;""),IF(COUNTIFS($D$5:D554,"Malcolm",$E$5:E554,E555,$BE$5:BE554,1)=0,MAX($CB$5:CB554)+1,""),"")</f>
        <v/>
      </c>
      <c r="CC555" s="80" t="str">
        <f>IF(AND(BD555=1,D555="proMX",E555&amp;""&lt;&gt;""),IF(COUNTIFS($D$5:D554,"proMX",$E$5:E554,E555,$BD$5:BD554,1)=0,MAX($CC$5:CC554)+1,""),"")</f>
        <v/>
      </c>
      <c r="CD555" s="80" t="str">
        <f>IF(AND(BE555=1,D555="Malcolm",F555&amp;""&lt;&gt;""),IF(COUNTIFS($D$5:D554,"Malcolm",$F$5:F554,F555,$BE$5:BE554,1)=0,MAX($CD$5:CD554)+1,""),"")</f>
        <v/>
      </c>
      <c r="CE555" s="80" t="str">
        <f>IF(AND(BD555=1,D555="proMX",F555&amp;""&lt;&gt;""),IF(COUNTIFS($D$5:D554,"proMX",$F$5:F554,F555,$BD$5:BD554,1)=0,MAX($CE$5:CE554)+1,""),"")</f>
        <v/>
      </c>
      <c r="CF555" s="80" t="str">
        <f>IF(AND(D555="proMX",BD555=1),IF(OR(BF555="Draft",BF555="Submitted",BF555="Returned",BF555="Recall Requested"),MAX($CF$5:CF554)+1,""),"")</f>
        <v/>
      </c>
      <c r="CG555" s="80">
        <f>IF(BD555=0,0,IF(D555="Malcolm",1,MATCH(BF555,{"Draft","Submitted","Approved","Returned","Recall Requested","Cancelled"},0)+1))</f>
        <v>0</v>
      </c>
      <c r="CH555" s="80">
        <f>IF(AND(BF555="Submitted",ISNUMBER(V555)),IF(V555&gt;CFG_MAXD,1,0),0)</f>
        <v>0</v>
      </c>
    </row>
    <row r="556">
      <c r="A556" s="71" t="str">
        <f>IF(Y556=1,ROW()-5,"")</f>
        <v/>
      </c>
      <c r="B556" s="72" t="n"/>
      <c r="C556" s="71" t="str">
        <f>IF(ISNUMBER(B556),CHOOSE(WEEKDAY(B556,2),"Lun","Mar","Mié","Jue","Vie","Sáb","Dom"),"")</f>
        <v/>
      </c>
      <c r="D556" s="73" t="n"/>
      <c r="E556" s="74" t="n"/>
      <c r="F556" s="74" t="n"/>
      <c r="G556" s="74" t="n"/>
      <c r="H556" s="75" t="n"/>
      <c r="I556" s="75" t="n"/>
      <c r="J556" s="76" t="n"/>
      <c r="K556" s="77" t="str">
        <f>IF(AB556=1,ROUND(AG556/60,4),"")</f>
        <v/>
      </c>
      <c r="L556" s="77" t="str">
        <f>IF(BD556=1,ROUND(AP556/60,4),"")</f>
        <v/>
      </c>
      <c r="M556" s="77" t="str">
        <f>IF(BD556=1,ROUND(AQ556/60,4),"")</f>
        <v/>
      </c>
      <c r="N556" s="71" t="str">
        <f>IF(AND(D556="proMX",AB556=1),ROUND(AG556/CFG_BLK,2),"")</f>
        <v/>
      </c>
      <c r="O556" s="77" t="str">
        <f>IF(D556="proMX",IF(BD556=1,ROUND(AG556/60,4),0),"")</f>
        <v/>
      </c>
      <c r="P556" s="78" t="str">
        <f>IF(Y556=0,"",IF(BD556=1,"OK",IF(D556="proMX","Revisar bloques: ","Revisar: ")&amp;BC556))</f>
        <v/>
      </c>
      <c r="Q556" s="78" t="str">
        <f>IF(NOT(ISNUMBER(B556)),"",IF(COUNTIFS(FER_F,INT(B556))&gt;0,"Feriado"&amp;IF(AH556=1," (laborable)"," (no laborable)"),IF(AH556=1,"Laborable",IF(WEEKDAY(B556,2)&gt;5,"Fin de semana","No laborable"))))</f>
        <v/>
      </c>
      <c r="R556" s="73" t="n"/>
      <c r="S556" s="72" t="n"/>
      <c r="T556" s="72" t="n"/>
      <c r="U556" s="74" t="n"/>
      <c r="V556" s="79" t="str">
        <f>IF(AND(D556="proMX",OR(R556="Submitted",R556="Recall Requested"),ISNUMBER(S556)),CFG_TODAY-INT(S556),"")</f>
        <v/>
      </c>
      <c r="W556" s="78" t="str">
        <f>IF(BD556=0,"",IF(BA556&gt;0,"⚠ Se superpone con un registro de la otra empresa",IF(D556="Malcolm",IF(COUNTA(R556,S556,T556)&gt;0,"Estado/fechas proMX se ignoran en Malcolm",""),IF(BF556="Cancelled","Cancelado: excluido de totales",IF(R556="","Sin estado: se trata como Draft",IF(BF556="Submitted",IF(ISNUMBER(V556),IF(V556&gt;CFG_MAXD,"⚠ "&amp;V556&amp;" días en Submitted (máx. "&amp;CFG_MAXD&amp;")",""),"Falta fecha de envío"),IF(BF556="Returned","⚠ Devuelto: corregir y reenviar",IF(BF556="Recall Requested","Retirada solicitada: pendiente",IF(AND(BF556="Approved",NOT(ISNUMBER(T556))),"Falta fecha de aprobación",IF(AND(ISNUMBER(S556),ISNUMBER(T556),T556&lt;S556),"Aprobación anterior al envío","")))))))))</f>
        <v/>
      </c>
      <c r="Y556" s="80">
        <f>IF(COUNTA(B556,D556,E556,F556,G556,H556,I556,J556,R556,S556,T556)&gt;0,1,0)</f>
        <v>0</v>
      </c>
      <c r="Z556" s="80" t="str">
        <f>IF(AND(ISNUMBER(H556),H556&gt;=0,H556&lt;1),ROUND(H556*1440,0),"")</f>
        <v/>
      </c>
      <c r="AA556" s="80" t="str">
        <f>IF(AND(ISNUMBER(I556),I556&gt;=0,I556&lt;1),ROUND(I556*1440,0),"")</f>
        <v/>
      </c>
      <c r="AB556" s="80">
        <f>IF(AND(ISNUMBER(B556),D556&lt;&gt;"",ISNUMBER(Z556),ISNUMBER(AA556)),IF(Z556=AA556,0,1),0)</f>
        <v>0</v>
      </c>
      <c r="AC556" s="80">
        <f>IF(AB556=1,IF(AA556&lt;Z556,1,0),0)</f>
        <v>0</v>
      </c>
      <c r="AD556" s="80">
        <f>IF(AB556=1,IF(AC556=1,1440-Z556+AA556,AA556-Z556),0)</f>
        <v>0</v>
      </c>
      <c r="AE556" s="80">
        <f>IF(J556="",0,IF(ISNUMBER(J556),J556,-1))</f>
        <v>0</v>
      </c>
      <c r="AF556" s="80">
        <f>MIN(MAX(0,AE556),AD556)</f>
        <v>0</v>
      </c>
      <c r="AG556" s="80">
        <f>MAX(0,AD556-MAX(0,AE556))</f>
        <v>0</v>
      </c>
      <c r="AH556" s="80">
        <f>IF(ISNUMBER(B556),IF(AND(INDEX(CFG_WDAYS,WEEKDAY(INT(B556),2))="Sí",IF(D556="proMX",COUNTIFS(FER_F,INT(B556),FER_NLP,"Sí"),COUNTIFS(FER_F,INT(B556),FER_NLM,"Sí"))=0),1,0),0)</f>
        <v>0</v>
      </c>
      <c r="AI556" s="80">
        <f>IF(AC556=1,IF(AND(INDEX(CFG_WDAYS,WEEKDAY(INT(B556)+1,2))="Sí",IF(D556="proMX",COUNTIFS(FER_F,INT(B556)+1,FER_NLP,"Sí"),COUNTIFS(FER_F,INT(B556)+1,FER_NLM,"Sí"))=0),1,0),0)</f>
        <v>0</v>
      </c>
      <c r="AJ556" s="80">
        <f>IF(AC556=1,1440-Z556,AD556)</f>
        <v>0</v>
      </c>
      <c r="AK556" s="80">
        <f>IF(AND(AB556=1,AH556=1),MAX(0,MIN(IF(AC556=1,1440,AA556),CFG_WEM)-MAX(Z556,CFG_WSM)),0)</f>
        <v>0</v>
      </c>
      <c r="AL556" s="80">
        <f>IF(AND(AC556=1,AI556=1),MAX(0,MIN(AA556,CFG_WEM)-CFG_WSM),0)</f>
        <v>0</v>
      </c>
      <c r="AM556" s="80">
        <f>AK556+AL556</f>
        <v>0</v>
      </c>
      <c r="AN556" s="80">
        <f>IF(CFG_BRK="Proporcional",IF(AD556=0,0,AF556*AM556/AD556),IF(CFG_BRK="Extras primero",MIN(AM556,MAX(0,AF556-(AD556-AM556))),MIN(AF556,AM556)))</f>
        <v>0</v>
      </c>
      <c r="AO556" s="80">
        <f>AF556-AN556</f>
        <v>0</v>
      </c>
      <c r="AP556" s="80">
        <f>AM556-AN556</f>
        <v>0</v>
      </c>
      <c r="AQ556" s="80">
        <f>AD556-AM556-AO556</f>
        <v>0</v>
      </c>
      <c r="AR556" s="80">
        <f>IF(AM556=0,0,AK556-AN556*AK556/AM556)</f>
        <v>0</v>
      </c>
      <c r="AS556" s="80">
        <f>IF(AD556-AM556=0,0,(AJ556-AK556)-AO556*(AJ556-AK556)/(AD556-AM556))</f>
        <v>0</v>
      </c>
      <c r="AT556" s="80" t="str">
        <f>IF(AC556=1,INT(B556)+1,"")</f>
        <v/>
      </c>
      <c r="AU556" s="80">
        <f>IF(AND(D556="proMX",R556="Cancelled"),0,1)</f>
        <v>1</v>
      </c>
      <c r="AV556" s="80">
        <f>IF(AND(AB556=1,AU556=1),IF(COUNTIFS($D$5:D555,D556,$B$5:B555,B556,$Z$5:Z555,Z556,$AA$5:AA555,AA556,$F$5:F555,F556&amp;"",$AU$5:AU555,1)&gt;0,1,0),0)</f>
        <v>0</v>
      </c>
      <c r="AW556" s="80" t="str">
        <f>IF(AB556=1,INT(B556)*1440+Z556,"")</f>
        <v/>
      </c>
      <c r="AX556" s="80" t="str">
        <f>IF(AB556=1,AW556+AD556,"")</f>
        <v/>
      </c>
      <c r="AY556" s="80">
        <f>IF(AND(AB556=1,AV556=0,AU556=1),1,0)</f>
        <v>0</v>
      </c>
      <c r="AZ556" s="80">
        <f>IF(AY556=1,COUNTIFS(R_Emp,D556,R_SAbs,"&lt;"&amp;AX556,R_EAbs,"&gt;"&amp;AW556,R_OKey,1)-1,0)</f>
        <v>0</v>
      </c>
      <c r="BA556" s="80">
        <f>IF(AY556=1,COUNTIFS(R_Emp,"&lt;&gt;"&amp;D556,R_SAbs,"&lt;"&amp;AX556,R_EAbs,"&gt;"&amp;AW556,R_OKey,1),0)</f>
        <v>0</v>
      </c>
      <c r="BB556" s="80">
        <f>IF(AND(AB556=1,D556="proMX"),IF(AND(MOD(Z556,CFG_BLK)=0,MOD(AA556,CFG_BLK)=0,MOD(AG556,CFG_BLK)=0,AG556&gt;0),1,0),1)</f>
        <v>1</v>
      </c>
      <c r="BC556" s="80" t="str">
        <f>IF(Y556=0,"",IF(NOT(ISNUMBER(B556)),"Falta fecha o fecha inválida",IF(D556="","Falta empresa",IF(AND(D556&lt;&gt;"Malcolm",D556&lt;&gt;"proMX"),"Empresa inválida",IF(OR(INT(B556)&lt;CFG_PSTART,INT(B556)&gt;CFG_PEND),"Fecha fuera del período",IF(OR(NOT(ISNUMBER(Z556)),NOT(ISNUMBER(AA556))),"Falta hora inicio/fin o formato inválido",IF(AB556=0,"Hora inicio = hora fin",IF(AE556&lt;0,"Descanso inválido",IF(AE556&gt;=AD556,"Descanso ≥ duración",IF(AV556=1,"Registro duplicado",IF(AZ556&gt;0,"Se superpone con otro registro "&amp;D556,IF(BB556=0,"inicio, fin y duración neta deben ser múltiplos de "&amp;CFG_BLK&amp;" min",""))))))))))))</f>
        <v/>
      </c>
      <c r="BD556" s="80">
        <f>IF(AND(Y556=1,BC556=""),1,0)</f>
        <v>0</v>
      </c>
      <c r="BE556" s="80">
        <f>IF(AND(BD556=1,AU556=1),1,0)</f>
        <v>0</v>
      </c>
      <c r="BF556" s="80" t="str">
        <f>IF(AND(D556="proMX",BD556=1),IF(R556="","Draft",R556),"")</f>
        <v/>
      </c>
      <c r="BG556" s="80">
        <f>IF(BD556=1,ROUND(AG556/60,6),0)</f>
        <v>0</v>
      </c>
      <c r="BH556" s="80">
        <f>IF(BE556=1,ROUND(AG556/60,6),0)</f>
        <v>0</v>
      </c>
      <c r="BI556" s="80">
        <f>IF(BE556=1,ROUND(AP556/60,6),0)</f>
        <v>0</v>
      </c>
      <c r="BJ556" s="80">
        <f>IF(BE556=1,ROUND(AQ556/60,6),0)</f>
        <v>0</v>
      </c>
      <c r="BK556" s="80">
        <f>IF(BE556=1,ROUND((AR556+AS556)/60,6),0)</f>
        <v>0</v>
      </c>
      <c r="BL556" s="80">
        <f>ROUND(BH556-BK556,6)</f>
        <v>0</v>
      </c>
      <c r="BM556" s="80">
        <f>IF(BE556=1,ROUND(AR556/60,6),0)</f>
        <v>0</v>
      </c>
      <c r="BN556" s="80">
        <f>ROUND(BI556-BM556,6)</f>
        <v>0</v>
      </c>
      <c r="BO556" s="80">
        <f>IF(BE556=1,ROUND(AS556/60,6),0)</f>
        <v>0</v>
      </c>
      <c r="BP556" s="80">
        <f>ROUND(BJ556-BO556,6)</f>
        <v>0</v>
      </c>
      <c r="BQ556" s="80">
        <f>IF(BE556=1,AW556,0)</f>
        <v>0</v>
      </c>
      <c r="BR556" s="80">
        <f>IF(BE556=1,AX556,0)</f>
        <v>0</v>
      </c>
      <c r="BS556" s="80">
        <f>IF(AND(BE556=1,D556="Malcolm",BA556&gt;0),MIN(BH556,SUMPRODUCT((R_Emp="proMX")*(R_EN&gt;0)*((R_EN-(R_EN&gt;BR556)*(R_EN-BR556))&gt;(R_SN+(R_SN&lt;BQ556)*(BQ556-R_SN)))*((R_EN-(R_EN&gt;BR556)*(R_EN-BR556))-(R_SN+(R_SN&lt;BQ556)*(BQ556-R_SN))))/60),0)</f>
        <v>0</v>
      </c>
      <c r="BT556" s="80">
        <f>IF(AND(BE556=1,D556="proMX"),ROUND(BI556*CFG_RATE+BJ556*CFG_OTRATE,6),0)</f>
        <v>0</v>
      </c>
      <c r="BU556" s="80">
        <f>IF(AND(BD556=1,D556="proMX"),ROUND(AG556/CFG_BLK,6),0)</f>
        <v>0</v>
      </c>
      <c r="BV556" s="80" t="str">
        <f>IF(BF556="Approved",IF(ISNUMBER(T556),INT(T556),INT(B556)),"")</f>
        <v/>
      </c>
      <c r="BW556" s="80">
        <f>IF(ISNUMBER(B556),IF(DB_MON="Todos",1,IF(AND(INT(B556)&gt;=DB_MS,INT(B556)&lt;=DB_ME),1,0)),0)</f>
        <v>0</v>
      </c>
      <c r="BX556" s="80">
        <f>IF(DB_PROJ="Todos",1,IF(E556&amp;""=DB_PROJ&amp;"",1,0))</f>
        <v>1</v>
      </c>
      <c r="BY556" s="80">
        <f>BW556*BX556</f>
        <v>0</v>
      </c>
      <c r="BZ556" s="80" t="str">
        <f>IF(Y556=1,F556&amp;IF(AND(F556&amp;""&lt;&gt;"",E556&amp;""&lt;&gt;"")," · ","")&amp;E556,"")</f>
        <v/>
      </c>
      <c r="CA556" s="80" t="str">
        <f>IF(AND(BD556=1,E556&amp;""&lt;&gt;""),IF(COUNTIFS($E$5:E555,E556,$BD$5:BD555,1)=0,MAX($CA$5:CA555)+1,""),"")</f>
        <v/>
      </c>
      <c r="CB556" s="80" t="str">
        <f>IF(AND(BE556=1,D556="Malcolm",E556&amp;""&lt;&gt;""),IF(COUNTIFS($D$5:D555,"Malcolm",$E$5:E555,E556,$BE$5:BE555,1)=0,MAX($CB$5:CB555)+1,""),"")</f>
        <v/>
      </c>
      <c r="CC556" s="80" t="str">
        <f>IF(AND(BD556=1,D556="proMX",E556&amp;""&lt;&gt;""),IF(COUNTIFS($D$5:D555,"proMX",$E$5:E555,E556,$BD$5:BD555,1)=0,MAX($CC$5:CC555)+1,""),"")</f>
        <v/>
      </c>
      <c r="CD556" s="80" t="str">
        <f>IF(AND(BE556=1,D556="Malcolm",F556&amp;""&lt;&gt;""),IF(COUNTIFS($D$5:D555,"Malcolm",$F$5:F555,F556,$BE$5:BE555,1)=0,MAX($CD$5:CD555)+1,""),"")</f>
        <v/>
      </c>
      <c r="CE556" s="80" t="str">
        <f>IF(AND(BD556=1,D556="proMX",F556&amp;""&lt;&gt;""),IF(COUNTIFS($D$5:D555,"proMX",$F$5:F555,F556,$BD$5:BD555,1)=0,MAX($CE$5:CE555)+1,""),"")</f>
        <v/>
      </c>
      <c r="CF556" s="80" t="str">
        <f>IF(AND(D556="proMX",BD556=1),IF(OR(BF556="Draft",BF556="Submitted",BF556="Returned",BF556="Recall Requested"),MAX($CF$5:CF555)+1,""),"")</f>
        <v/>
      </c>
      <c r="CG556" s="80">
        <f>IF(BD556=0,0,IF(D556="Malcolm",1,MATCH(BF556,{"Draft","Submitted","Approved","Returned","Recall Requested","Cancelled"},0)+1))</f>
        <v>0</v>
      </c>
      <c r="CH556" s="80">
        <f>IF(AND(BF556="Submitted",ISNUMBER(V556)),IF(V556&gt;CFG_MAXD,1,0),0)</f>
        <v>0</v>
      </c>
    </row>
    <row r="557">
      <c r="A557" s="71" t="str">
        <f>IF(Y557=1,ROW()-5,"")</f>
        <v/>
      </c>
      <c r="B557" s="72" t="n"/>
      <c r="C557" s="71" t="str">
        <f>IF(ISNUMBER(B557),CHOOSE(WEEKDAY(B557,2),"Lun","Mar","Mié","Jue","Vie","Sáb","Dom"),"")</f>
        <v/>
      </c>
      <c r="D557" s="73" t="n"/>
      <c r="E557" s="74" t="n"/>
      <c r="F557" s="74" t="n"/>
      <c r="G557" s="74" t="n"/>
      <c r="H557" s="75" t="n"/>
      <c r="I557" s="75" t="n"/>
      <c r="J557" s="76" t="n"/>
      <c r="K557" s="77" t="str">
        <f>IF(AB557=1,ROUND(AG557/60,4),"")</f>
        <v/>
      </c>
      <c r="L557" s="77" t="str">
        <f>IF(BD557=1,ROUND(AP557/60,4),"")</f>
        <v/>
      </c>
      <c r="M557" s="77" t="str">
        <f>IF(BD557=1,ROUND(AQ557/60,4),"")</f>
        <v/>
      </c>
      <c r="N557" s="71" t="str">
        <f>IF(AND(D557="proMX",AB557=1),ROUND(AG557/CFG_BLK,2),"")</f>
        <v/>
      </c>
      <c r="O557" s="77" t="str">
        <f>IF(D557="proMX",IF(BD557=1,ROUND(AG557/60,4),0),"")</f>
        <v/>
      </c>
      <c r="P557" s="78" t="str">
        <f>IF(Y557=0,"",IF(BD557=1,"OK",IF(D557="proMX","Revisar bloques: ","Revisar: ")&amp;BC557))</f>
        <v/>
      </c>
      <c r="Q557" s="78" t="str">
        <f>IF(NOT(ISNUMBER(B557)),"",IF(COUNTIFS(FER_F,INT(B557))&gt;0,"Feriado"&amp;IF(AH557=1," (laborable)"," (no laborable)"),IF(AH557=1,"Laborable",IF(WEEKDAY(B557,2)&gt;5,"Fin de semana","No laborable"))))</f>
        <v/>
      </c>
      <c r="R557" s="73" t="n"/>
      <c r="S557" s="72" t="n"/>
      <c r="T557" s="72" t="n"/>
      <c r="U557" s="74" t="n"/>
      <c r="V557" s="79" t="str">
        <f>IF(AND(D557="proMX",OR(R557="Submitted",R557="Recall Requested"),ISNUMBER(S557)),CFG_TODAY-INT(S557),"")</f>
        <v/>
      </c>
      <c r="W557" s="78" t="str">
        <f>IF(BD557=0,"",IF(BA557&gt;0,"⚠ Se superpone con un registro de la otra empresa",IF(D557="Malcolm",IF(COUNTA(R557,S557,T557)&gt;0,"Estado/fechas proMX se ignoran en Malcolm",""),IF(BF557="Cancelled","Cancelado: excluido de totales",IF(R557="","Sin estado: se trata como Draft",IF(BF557="Submitted",IF(ISNUMBER(V557),IF(V557&gt;CFG_MAXD,"⚠ "&amp;V557&amp;" días en Submitted (máx. "&amp;CFG_MAXD&amp;")",""),"Falta fecha de envío"),IF(BF557="Returned","⚠ Devuelto: corregir y reenviar",IF(BF557="Recall Requested","Retirada solicitada: pendiente",IF(AND(BF557="Approved",NOT(ISNUMBER(T557))),"Falta fecha de aprobación",IF(AND(ISNUMBER(S557),ISNUMBER(T557),T557&lt;S557),"Aprobación anterior al envío","")))))))))</f>
        <v/>
      </c>
      <c r="Y557" s="80">
        <f>IF(COUNTA(B557,D557,E557,F557,G557,H557,I557,J557,R557,S557,T557)&gt;0,1,0)</f>
        <v>0</v>
      </c>
      <c r="Z557" s="80" t="str">
        <f>IF(AND(ISNUMBER(H557),H557&gt;=0,H557&lt;1),ROUND(H557*1440,0),"")</f>
        <v/>
      </c>
      <c r="AA557" s="80" t="str">
        <f>IF(AND(ISNUMBER(I557),I557&gt;=0,I557&lt;1),ROUND(I557*1440,0),"")</f>
        <v/>
      </c>
      <c r="AB557" s="80">
        <f>IF(AND(ISNUMBER(B557),D557&lt;&gt;"",ISNUMBER(Z557),ISNUMBER(AA557)),IF(Z557=AA557,0,1),0)</f>
        <v>0</v>
      </c>
      <c r="AC557" s="80">
        <f>IF(AB557=1,IF(AA557&lt;Z557,1,0),0)</f>
        <v>0</v>
      </c>
      <c r="AD557" s="80">
        <f>IF(AB557=1,IF(AC557=1,1440-Z557+AA557,AA557-Z557),0)</f>
        <v>0</v>
      </c>
      <c r="AE557" s="80">
        <f>IF(J557="",0,IF(ISNUMBER(J557),J557,-1))</f>
        <v>0</v>
      </c>
      <c r="AF557" s="80">
        <f>MIN(MAX(0,AE557),AD557)</f>
        <v>0</v>
      </c>
      <c r="AG557" s="80">
        <f>MAX(0,AD557-MAX(0,AE557))</f>
        <v>0</v>
      </c>
      <c r="AH557" s="80">
        <f>IF(ISNUMBER(B557),IF(AND(INDEX(CFG_WDAYS,WEEKDAY(INT(B557),2))="Sí",IF(D557="proMX",COUNTIFS(FER_F,INT(B557),FER_NLP,"Sí"),COUNTIFS(FER_F,INT(B557),FER_NLM,"Sí"))=0),1,0),0)</f>
        <v>0</v>
      </c>
      <c r="AI557" s="80">
        <f>IF(AC557=1,IF(AND(INDEX(CFG_WDAYS,WEEKDAY(INT(B557)+1,2))="Sí",IF(D557="proMX",COUNTIFS(FER_F,INT(B557)+1,FER_NLP,"Sí"),COUNTIFS(FER_F,INT(B557)+1,FER_NLM,"Sí"))=0),1,0),0)</f>
        <v>0</v>
      </c>
      <c r="AJ557" s="80">
        <f>IF(AC557=1,1440-Z557,AD557)</f>
        <v>0</v>
      </c>
      <c r="AK557" s="80">
        <f>IF(AND(AB557=1,AH557=1),MAX(0,MIN(IF(AC557=1,1440,AA557),CFG_WEM)-MAX(Z557,CFG_WSM)),0)</f>
        <v>0</v>
      </c>
      <c r="AL557" s="80">
        <f>IF(AND(AC557=1,AI557=1),MAX(0,MIN(AA557,CFG_WEM)-CFG_WSM),0)</f>
        <v>0</v>
      </c>
      <c r="AM557" s="80">
        <f>AK557+AL557</f>
        <v>0</v>
      </c>
      <c r="AN557" s="80">
        <f>IF(CFG_BRK="Proporcional",IF(AD557=0,0,AF557*AM557/AD557),IF(CFG_BRK="Extras primero",MIN(AM557,MAX(0,AF557-(AD557-AM557))),MIN(AF557,AM557)))</f>
        <v>0</v>
      </c>
      <c r="AO557" s="80">
        <f>AF557-AN557</f>
        <v>0</v>
      </c>
      <c r="AP557" s="80">
        <f>AM557-AN557</f>
        <v>0</v>
      </c>
      <c r="AQ557" s="80">
        <f>AD557-AM557-AO557</f>
        <v>0</v>
      </c>
      <c r="AR557" s="80">
        <f>IF(AM557=0,0,AK557-AN557*AK557/AM557)</f>
        <v>0</v>
      </c>
      <c r="AS557" s="80">
        <f>IF(AD557-AM557=0,0,(AJ557-AK557)-AO557*(AJ557-AK557)/(AD557-AM557))</f>
        <v>0</v>
      </c>
      <c r="AT557" s="80" t="str">
        <f>IF(AC557=1,INT(B557)+1,"")</f>
        <v/>
      </c>
      <c r="AU557" s="80">
        <f>IF(AND(D557="proMX",R557="Cancelled"),0,1)</f>
        <v>1</v>
      </c>
      <c r="AV557" s="80">
        <f>IF(AND(AB557=1,AU557=1),IF(COUNTIFS($D$5:D556,D557,$B$5:B556,B557,$Z$5:Z556,Z557,$AA$5:AA556,AA557,$F$5:F556,F557&amp;"",$AU$5:AU556,1)&gt;0,1,0),0)</f>
        <v>0</v>
      </c>
      <c r="AW557" s="80" t="str">
        <f>IF(AB557=1,INT(B557)*1440+Z557,"")</f>
        <v/>
      </c>
      <c r="AX557" s="80" t="str">
        <f>IF(AB557=1,AW557+AD557,"")</f>
        <v/>
      </c>
      <c r="AY557" s="80">
        <f>IF(AND(AB557=1,AV557=0,AU557=1),1,0)</f>
        <v>0</v>
      </c>
      <c r="AZ557" s="80">
        <f>IF(AY557=1,COUNTIFS(R_Emp,D557,R_SAbs,"&lt;"&amp;AX557,R_EAbs,"&gt;"&amp;AW557,R_OKey,1)-1,0)</f>
        <v>0</v>
      </c>
      <c r="BA557" s="80">
        <f>IF(AY557=1,COUNTIFS(R_Emp,"&lt;&gt;"&amp;D557,R_SAbs,"&lt;"&amp;AX557,R_EAbs,"&gt;"&amp;AW557,R_OKey,1),0)</f>
        <v>0</v>
      </c>
      <c r="BB557" s="80">
        <f>IF(AND(AB557=1,D557="proMX"),IF(AND(MOD(Z557,CFG_BLK)=0,MOD(AA557,CFG_BLK)=0,MOD(AG557,CFG_BLK)=0,AG557&gt;0),1,0),1)</f>
        <v>1</v>
      </c>
      <c r="BC557" s="80" t="str">
        <f>IF(Y557=0,"",IF(NOT(ISNUMBER(B557)),"Falta fecha o fecha inválida",IF(D557="","Falta empresa",IF(AND(D557&lt;&gt;"Malcolm",D557&lt;&gt;"proMX"),"Empresa inválida",IF(OR(INT(B557)&lt;CFG_PSTART,INT(B557)&gt;CFG_PEND),"Fecha fuera del período",IF(OR(NOT(ISNUMBER(Z557)),NOT(ISNUMBER(AA557))),"Falta hora inicio/fin o formato inválido",IF(AB557=0,"Hora inicio = hora fin",IF(AE557&lt;0,"Descanso inválido",IF(AE557&gt;=AD557,"Descanso ≥ duración",IF(AV557=1,"Registro duplicado",IF(AZ557&gt;0,"Se superpone con otro registro "&amp;D557,IF(BB557=0,"inicio, fin y duración neta deben ser múltiplos de "&amp;CFG_BLK&amp;" min",""))))))))))))</f>
        <v/>
      </c>
      <c r="BD557" s="80">
        <f>IF(AND(Y557=1,BC557=""),1,0)</f>
        <v>0</v>
      </c>
      <c r="BE557" s="80">
        <f>IF(AND(BD557=1,AU557=1),1,0)</f>
        <v>0</v>
      </c>
      <c r="BF557" s="80" t="str">
        <f>IF(AND(D557="proMX",BD557=1),IF(R557="","Draft",R557),"")</f>
        <v/>
      </c>
      <c r="BG557" s="80">
        <f>IF(BD557=1,ROUND(AG557/60,6),0)</f>
        <v>0</v>
      </c>
      <c r="BH557" s="80">
        <f>IF(BE557=1,ROUND(AG557/60,6),0)</f>
        <v>0</v>
      </c>
      <c r="BI557" s="80">
        <f>IF(BE557=1,ROUND(AP557/60,6),0)</f>
        <v>0</v>
      </c>
      <c r="BJ557" s="80">
        <f>IF(BE557=1,ROUND(AQ557/60,6),0)</f>
        <v>0</v>
      </c>
      <c r="BK557" s="80">
        <f>IF(BE557=1,ROUND((AR557+AS557)/60,6),0)</f>
        <v>0</v>
      </c>
      <c r="BL557" s="80">
        <f>ROUND(BH557-BK557,6)</f>
        <v>0</v>
      </c>
      <c r="BM557" s="80">
        <f>IF(BE557=1,ROUND(AR557/60,6),0)</f>
        <v>0</v>
      </c>
      <c r="BN557" s="80">
        <f>ROUND(BI557-BM557,6)</f>
        <v>0</v>
      </c>
      <c r="BO557" s="80">
        <f>IF(BE557=1,ROUND(AS557/60,6),0)</f>
        <v>0</v>
      </c>
      <c r="BP557" s="80">
        <f>ROUND(BJ557-BO557,6)</f>
        <v>0</v>
      </c>
      <c r="BQ557" s="80">
        <f>IF(BE557=1,AW557,0)</f>
        <v>0</v>
      </c>
      <c r="BR557" s="80">
        <f>IF(BE557=1,AX557,0)</f>
        <v>0</v>
      </c>
      <c r="BS557" s="80">
        <f>IF(AND(BE557=1,D557="Malcolm",BA557&gt;0),MIN(BH557,SUMPRODUCT((R_Emp="proMX")*(R_EN&gt;0)*((R_EN-(R_EN&gt;BR557)*(R_EN-BR557))&gt;(R_SN+(R_SN&lt;BQ557)*(BQ557-R_SN)))*((R_EN-(R_EN&gt;BR557)*(R_EN-BR557))-(R_SN+(R_SN&lt;BQ557)*(BQ557-R_SN))))/60),0)</f>
        <v>0</v>
      </c>
      <c r="BT557" s="80">
        <f>IF(AND(BE557=1,D557="proMX"),ROUND(BI557*CFG_RATE+BJ557*CFG_OTRATE,6),0)</f>
        <v>0</v>
      </c>
      <c r="BU557" s="80">
        <f>IF(AND(BD557=1,D557="proMX"),ROUND(AG557/CFG_BLK,6),0)</f>
        <v>0</v>
      </c>
      <c r="BV557" s="80" t="str">
        <f>IF(BF557="Approved",IF(ISNUMBER(T557),INT(T557),INT(B557)),"")</f>
        <v/>
      </c>
      <c r="BW557" s="80">
        <f>IF(ISNUMBER(B557),IF(DB_MON="Todos",1,IF(AND(INT(B557)&gt;=DB_MS,INT(B557)&lt;=DB_ME),1,0)),0)</f>
        <v>0</v>
      </c>
      <c r="BX557" s="80">
        <f>IF(DB_PROJ="Todos",1,IF(E557&amp;""=DB_PROJ&amp;"",1,0))</f>
        <v>1</v>
      </c>
      <c r="BY557" s="80">
        <f>BW557*BX557</f>
        <v>0</v>
      </c>
      <c r="BZ557" s="80" t="str">
        <f>IF(Y557=1,F557&amp;IF(AND(F557&amp;""&lt;&gt;"",E557&amp;""&lt;&gt;"")," · ","")&amp;E557,"")</f>
        <v/>
      </c>
      <c r="CA557" s="80" t="str">
        <f>IF(AND(BD557=1,E557&amp;""&lt;&gt;""),IF(COUNTIFS($E$5:E556,E557,$BD$5:BD556,1)=0,MAX($CA$5:CA556)+1,""),"")</f>
        <v/>
      </c>
      <c r="CB557" s="80" t="str">
        <f>IF(AND(BE557=1,D557="Malcolm",E557&amp;""&lt;&gt;""),IF(COUNTIFS($D$5:D556,"Malcolm",$E$5:E556,E557,$BE$5:BE556,1)=0,MAX($CB$5:CB556)+1,""),"")</f>
        <v/>
      </c>
      <c r="CC557" s="80" t="str">
        <f>IF(AND(BD557=1,D557="proMX",E557&amp;""&lt;&gt;""),IF(COUNTIFS($D$5:D556,"proMX",$E$5:E556,E557,$BD$5:BD556,1)=0,MAX($CC$5:CC556)+1,""),"")</f>
        <v/>
      </c>
      <c r="CD557" s="80" t="str">
        <f>IF(AND(BE557=1,D557="Malcolm",F557&amp;""&lt;&gt;""),IF(COUNTIFS($D$5:D556,"Malcolm",$F$5:F556,F557,$BE$5:BE556,1)=0,MAX($CD$5:CD556)+1,""),"")</f>
        <v/>
      </c>
      <c r="CE557" s="80" t="str">
        <f>IF(AND(BD557=1,D557="proMX",F557&amp;""&lt;&gt;""),IF(COUNTIFS($D$5:D556,"proMX",$F$5:F556,F557,$BD$5:BD556,1)=0,MAX($CE$5:CE556)+1,""),"")</f>
        <v/>
      </c>
      <c r="CF557" s="80" t="str">
        <f>IF(AND(D557="proMX",BD557=1),IF(OR(BF557="Draft",BF557="Submitted",BF557="Returned",BF557="Recall Requested"),MAX($CF$5:CF556)+1,""),"")</f>
        <v/>
      </c>
      <c r="CG557" s="80">
        <f>IF(BD557=0,0,IF(D557="Malcolm",1,MATCH(BF557,{"Draft","Submitted","Approved","Returned","Recall Requested","Cancelled"},0)+1))</f>
        <v>0</v>
      </c>
      <c r="CH557" s="80">
        <f>IF(AND(BF557="Submitted",ISNUMBER(V557)),IF(V557&gt;CFG_MAXD,1,0),0)</f>
        <v>0</v>
      </c>
    </row>
    <row r="558">
      <c r="A558" s="71" t="str">
        <f>IF(Y558=1,ROW()-5,"")</f>
        <v/>
      </c>
      <c r="B558" s="72" t="n"/>
      <c r="C558" s="71" t="str">
        <f>IF(ISNUMBER(B558),CHOOSE(WEEKDAY(B558,2),"Lun","Mar","Mié","Jue","Vie","Sáb","Dom"),"")</f>
        <v/>
      </c>
      <c r="D558" s="73" t="n"/>
      <c r="E558" s="74" t="n"/>
      <c r="F558" s="74" t="n"/>
      <c r="G558" s="74" t="n"/>
      <c r="H558" s="75" t="n"/>
      <c r="I558" s="75" t="n"/>
      <c r="J558" s="76" t="n"/>
      <c r="K558" s="77" t="str">
        <f>IF(AB558=1,ROUND(AG558/60,4),"")</f>
        <v/>
      </c>
      <c r="L558" s="77" t="str">
        <f>IF(BD558=1,ROUND(AP558/60,4),"")</f>
        <v/>
      </c>
      <c r="M558" s="77" t="str">
        <f>IF(BD558=1,ROUND(AQ558/60,4),"")</f>
        <v/>
      </c>
      <c r="N558" s="71" t="str">
        <f>IF(AND(D558="proMX",AB558=1),ROUND(AG558/CFG_BLK,2),"")</f>
        <v/>
      </c>
      <c r="O558" s="77" t="str">
        <f>IF(D558="proMX",IF(BD558=1,ROUND(AG558/60,4),0),"")</f>
        <v/>
      </c>
      <c r="P558" s="78" t="str">
        <f>IF(Y558=0,"",IF(BD558=1,"OK",IF(D558="proMX","Revisar bloques: ","Revisar: ")&amp;BC558))</f>
        <v/>
      </c>
      <c r="Q558" s="78" t="str">
        <f>IF(NOT(ISNUMBER(B558)),"",IF(COUNTIFS(FER_F,INT(B558))&gt;0,"Feriado"&amp;IF(AH558=1," (laborable)"," (no laborable)"),IF(AH558=1,"Laborable",IF(WEEKDAY(B558,2)&gt;5,"Fin de semana","No laborable"))))</f>
        <v/>
      </c>
      <c r="R558" s="73" t="n"/>
      <c r="S558" s="72" t="n"/>
      <c r="T558" s="72" t="n"/>
      <c r="U558" s="74" t="n"/>
      <c r="V558" s="79" t="str">
        <f>IF(AND(D558="proMX",OR(R558="Submitted",R558="Recall Requested"),ISNUMBER(S558)),CFG_TODAY-INT(S558),"")</f>
        <v/>
      </c>
      <c r="W558" s="78" t="str">
        <f>IF(BD558=0,"",IF(BA558&gt;0,"⚠ Se superpone con un registro de la otra empresa",IF(D558="Malcolm",IF(COUNTA(R558,S558,T558)&gt;0,"Estado/fechas proMX se ignoran en Malcolm",""),IF(BF558="Cancelled","Cancelado: excluido de totales",IF(R558="","Sin estado: se trata como Draft",IF(BF558="Submitted",IF(ISNUMBER(V558),IF(V558&gt;CFG_MAXD,"⚠ "&amp;V558&amp;" días en Submitted (máx. "&amp;CFG_MAXD&amp;")",""),"Falta fecha de envío"),IF(BF558="Returned","⚠ Devuelto: corregir y reenviar",IF(BF558="Recall Requested","Retirada solicitada: pendiente",IF(AND(BF558="Approved",NOT(ISNUMBER(T558))),"Falta fecha de aprobación",IF(AND(ISNUMBER(S558),ISNUMBER(T558),T558&lt;S558),"Aprobación anterior al envío","")))))))))</f>
        <v/>
      </c>
      <c r="Y558" s="80">
        <f>IF(COUNTA(B558,D558,E558,F558,G558,H558,I558,J558,R558,S558,T558)&gt;0,1,0)</f>
        <v>0</v>
      </c>
      <c r="Z558" s="80" t="str">
        <f>IF(AND(ISNUMBER(H558),H558&gt;=0,H558&lt;1),ROUND(H558*1440,0),"")</f>
        <v/>
      </c>
      <c r="AA558" s="80" t="str">
        <f>IF(AND(ISNUMBER(I558),I558&gt;=0,I558&lt;1),ROUND(I558*1440,0),"")</f>
        <v/>
      </c>
      <c r="AB558" s="80">
        <f>IF(AND(ISNUMBER(B558),D558&lt;&gt;"",ISNUMBER(Z558),ISNUMBER(AA558)),IF(Z558=AA558,0,1),0)</f>
        <v>0</v>
      </c>
      <c r="AC558" s="80">
        <f>IF(AB558=1,IF(AA558&lt;Z558,1,0),0)</f>
        <v>0</v>
      </c>
      <c r="AD558" s="80">
        <f>IF(AB558=1,IF(AC558=1,1440-Z558+AA558,AA558-Z558),0)</f>
        <v>0</v>
      </c>
      <c r="AE558" s="80">
        <f>IF(J558="",0,IF(ISNUMBER(J558),J558,-1))</f>
        <v>0</v>
      </c>
      <c r="AF558" s="80">
        <f>MIN(MAX(0,AE558),AD558)</f>
        <v>0</v>
      </c>
      <c r="AG558" s="80">
        <f>MAX(0,AD558-MAX(0,AE558))</f>
        <v>0</v>
      </c>
      <c r="AH558" s="80">
        <f>IF(ISNUMBER(B558),IF(AND(INDEX(CFG_WDAYS,WEEKDAY(INT(B558),2))="Sí",IF(D558="proMX",COUNTIFS(FER_F,INT(B558),FER_NLP,"Sí"),COUNTIFS(FER_F,INT(B558),FER_NLM,"Sí"))=0),1,0),0)</f>
        <v>0</v>
      </c>
      <c r="AI558" s="80">
        <f>IF(AC558=1,IF(AND(INDEX(CFG_WDAYS,WEEKDAY(INT(B558)+1,2))="Sí",IF(D558="proMX",COUNTIFS(FER_F,INT(B558)+1,FER_NLP,"Sí"),COUNTIFS(FER_F,INT(B558)+1,FER_NLM,"Sí"))=0),1,0),0)</f>
        <v>0</v>
      </c>
      <c r="AJ558" s="80">
        <f>IF(AC558=1,1440-Z558,AD558)</f>
        <v>0</v>
      </c>
      <c r="AK558" s="80">
        <f>IF(AND(AB558=1,AH558=1),MAX(0,MIN(IF(AC558=1,1440,AA558),CFG_WEM)-MAX(Z558,CFG_WSM)),0)</f>
        <v>0</v>
      </c>
      <c r="AL558" s="80">
        <f>IF(AND(AC558=1,AI558=1),MAX(0,MIN(AA558,CFG_WEM)-CFG_WSM),0)</f>
        <v>0</v>
      </c>
      <c r="AM558" s="80">
        <f>AK558+AL558</f>
        <v>0</v>
      </c>
      <c r="AN558" s="80">
        <f>IF(CFG_BRK="Proporcional",IF(AD558=0,0,AF558*AM558/AD558),IF(CFG_BRK="Extras primero",MIN(AM558,MAX(0,AF558-(AD558-AM558))),MIN(AF558,AM558)))</f>
        <v>0</v>
      </c>
      <c r="AO558" s="80">
        <f>AF558-AN558</f>
        <v>0</v>
      </c>
      <c r="AP558" s="80">
        <f>AM558-AN558</f>
        <v>0</v>
      </c>
      <c r="AQ558" s="80">
        <f>AD558-AM558-AO558</f>
        <v>0</v>
      </c>
      <c r="AR558" s="80">
        <f>IF(AM558=0,0,AK558-AN558*AK558/AM558)</f>
        <v>0</v>
      </c>
      <c r="AS558" s="80">
        <f>IF(AD558-AM558=0,0,(AJ558-AK558)-AO558*(AJ558-AK558)/(AD558-AM558))</f>
        <v>0</v>
      </c>
      <c r="AT558" s="80" t="str">
        <f>IF(AC558=1,INT(B558)+1,"")</f>
        <v/>
      </c>
      <c r="AU558" s="80">
        <f>IF(AND(D558="proMX",R558="Cancelled"),0,1)</f>
        <v>1</v>
      </c>
      <c r="AV558" s="80">
        <f>IF(AND(AB558=1,AU558=1),IF(COUNTIFS($D$5:D557,D558,$B$5:B557,B558,$Z$5:Z557,Z558,$AA$5:AA557,AA558,$F$5:F557,F558&amp;"",$AU$5:AU557,1)&gt;0,1,0),0)</f>
        <v>0</v>
      </c>
      <c r="AW558" s="80" t="str">
        <f>IF(AB558=1,INT(B558)*1440+Z558,"")</f>
        <v/>
      </c>
      <c r="AX558" s="80" t="str">
        <f>IF(AB558=1,AW558+AD558,"")</f>
        <v/>
      </c>
      <c r="AY558" s="80">
        <f>IF(AND(AB558=1,AV558=0,AU558=1),1,0)</f>
        <v>0</v>
      </c>
      <c r="AZ558" s="80">
        <f>IF(AY558=1,COUNTIFS(R_Emp,D558,R_SAbs,"&lt;"&amp;AX558,R_EAbs,"&gt;"&amp;AW558,R_OKey,1)-1,0)</f>
        <v>0</v>
      </c>
      <c r="BA558" s="80">
        <f>IF(AY558=1,COUNTIFS(R_Emp,"&lt;&gt;"&amp;D558,R_SAbs,"&lt;"&amp;AX558,R_EAbs,"&gt;"&amp;AW558,R_OKey,1),0)</f>
        <v>0</v>
      </c>
      <c r="BB558" s="80">
        <f>IF(AND(AB558=1,D558="proMX"),IF(AND(MOD(Z558,CFG_BLK)=0,MOD(AA558,CFG_BLK)=0,MOD(AG558,CFG_BLK)=0,AG558&gt;0),1,0),1)</f>
        <v>1</v>
      </c>
      <c r="BC558" s="80" t="str">
        <f>IF(Y558=0,"",IF(NOT(ISNUMBER(B558)),"Falta fecha o fecha inválida",IF(D558="","Falta empresa",IF(AND(D558&lt;&gt;"Malcolm",D558&lt;&gt;"proMX"),"Empresa inválida",IF(OR(INT(B558)&lt;CFG_PSTART,INT(B558)&gt;CFG_PEND),"Fecha fuera del período",IF(OR(NOT(ISNUMBER(Z558)),NOT(ISNUMBER(AA558))),"Falta hora inicio/fin o formato inválido",IF(AB558=0,"Hora inicio = hora fin",IF(AE558&lt;0,"Descanso inválido",IF(AE558&gt;=AD558,"Descanso ≥ duración",IF(AV558=1,"Registro duplicado",IF(AZ558&gt;0,"Se superpone con otro registro "&amp;D558,IF(BB558=0,"inicio, fin y duración neta deben ser múltiplos de "&amp;CFG_BLK&amp;" min",""))))))))))))</f>
        <v/>
      </c>
      <c r="BD558" s="80">
        <f>IF(AND(Y558=1,BC558=""),1,0)</f>
        <v>0</v>
      </c>
      <c r="BE558" s="80">
        <f>IF(AND(BD558=1,AU558=1),1,0)</f>
        <v>0</v>
      </c>
      <c r="BF558" s="80" t="str">
        <f>IF(AND(D558="proMX",BD558=1),IF(R558="","Draft",R558),"")</f>
        <v/>
      </c>
      <c r="BG558" s="80">
        <f>IF(BD558=1,ROUND(AG558/60,6),0)</f>
        <v>0</v>
      </c>
      <c r="BH558" s="80">
        <f>IF(BE558=1,ROUND(AG558/60,6),0)</f>
        <v>0</v>
      </c>
      <c r="BI558" s="80">
        <f>IF(BE558=1,ROUND(AP558/60,6),0)</f>
        <v>0</v>
      </c>
      <c r="BJ558" s="80">
        <f>IF(BE558=1,ROUND(AQ558/60,6),0)</f>
        <v>0</v>
      </c>
      <c r="BK558" s="80">
        <f>IF(BE558=1,ROUND((AR558+AS558)/60,6),0)</f>
        <v>0</v>
      </c>
      <c r="BL558" s="80">
        <f>ROUND(BH558-BK558,6)</f>
        <v>0</v>
      </c>
      <c r="BM558" s="80">
        <f>IF(BE558=1,ROUND(AR558/60,6),0)</f>
        <v>0</v>
      </c>
      <c r="BN558" s="80">
        <f>ROUND(BI558-BM558,6)</f>
        <v>0</v>
      </c>
      <c r="BO558" s="80">
        <f>IF(BE558=1,ROUND(AS558/60,6),0)</f>
        <v>0</v>
      </c>
      <c r="BP558" s="80">
        <f>ROUND(BJ558-BO558,6)</f>
        <v>0</v>
      </c>
      <c r="BQ558" s="80">
        <f>IF(BE558=1,AW558,0)</f>
        <v>0</v>
      </c>
      <c r="BR558" s="80">
        <f>IF(BE558=1,AX558,0)</f>
        <v>0</v>
      </c>
      <c r="BS558" s="80">
        <f>IF(AND(BE558=1,D558="Malcolm",BA558&gt;0),MIN(BH558,SUMPRODUCT((R_Emp="proMX")*(R_EN&gt;0)*((R_EN-(R_EN&gt;BR558)*(R_EN-BR558))&gt;(R_SN+(R_SN&lt;BQ558)*(BQ558-R_SN)))*((R_EN-(R_EN&gt;BR558)*(R_EN-BR558))-(R_SN+(R_SN&lt;BQ558)*(BQ558-R_SN))))/60),0)</f>
        <v>0</v>
      </c>
      <c r="BT558" s="80">
        <f>IF(AND(BE558=1,D558="proMX"),ROUND(BI558*CFG_RATE+BJ558*CFG_OTRATE,6),0)</f>
        <v>0</v>
      </c>
      <c r="BU558" s="80">
        <f>IF(AND(BD558=1,D558="proMX"),ROUND(AG558/CFG_BLK,6),0)</f>
        <v>0</v>
      </c>
      <c r="BV558" s="80" t="str">
        <f>IF(BF558="Approved",IF(ISNUMBER(T558),INT(T558),INT(B558)),"")</f>
        <v/>
      </c>
      <c r="BW558" s="80">
        <f>IF(ISNUMBER(B558),IF(DB_MON="Todos",1,IF(AND(INT(B558)&gt;=DB_MS,INT(B558)&lt;=DB_ME),1,0)),0)</f>
        <v>0</v>
      </c>
      <c r="BX558" s="80">
        <f>IF(DB_PROJ="Todos",1,IF(E558&amp;""=DB_PROJ&amp;"",1,0))</f>
        <v>1</v>
      </c>
      <c r="BY558" s="80">
        <f>BW558*BX558</f>
        <v>0</v>
      </c>
      <c r="BZ558" s="80" t="str">
        <f>IF(Y558=1,F558&amp;IF(AND(F558&amp;""&lt;&gt;"",E558&amp;""&lt;&gt;"")," · ","")&amp;E558,"")</f>
        <v/>
      </c>
      <c r="CA558" s="80" t="str">
        <f>IF(AND(BD558=1,E558&amp;""&lt;&gt;""),IF(COUNTIFS($E$5:E557,E558,$BD$5:BD557,1)=0,MAX($CA$5:CA557)+1,""),"")</f>
        <v/>
      </c>
      <c r="CB558" s="80" t="str">
        <f>IF(AND(BE558=1,D558="Malcolm",E558&amp;""&lt;&gt;""),IF(COUNTIFS($D$5:D557,"Malcolm",$E$5:E557,E558,$BE$5:BE557,1)=0,MAX($CB$5:CB557)+1,""),"")</f>
        <v/>
      </c>
      <c r="CC558" s="80" t="str">
        <f>IF(AND(BD558=1,D558="proMX",E558&amp;""&lt;&gt;""),IF(COUNTIFS($D$5:D557,"proMX",$E$5:E557,E558,$BD$5:BD557,1)=0,MAX($CC$5:CC557)+1,""),"")</f>
        <v/>
      </c>
      <c r="CD558" s="80" t="str">
        <f>IF(AND(BE558=1,D558="Malcolm",F558&amp;""&lt;&gt;""),IF(COUNTIFS($D$5:D557,"Malcolm",$F$5:F557,F558,$BE$5:BE557,1)=0,MAX($CD$5:CD557)+1,""),"")</f>
        <v/>
      </c>
      <c r="CE558" s="80" t="str">
        <f>IF(AND(BD558=1,D558="proMX",F558&amp;""&lt;&gt;""),IF(COUNTIFS($D$5:D557,"proMX",$F$5:F557,F558,$BD$5:BD557,1)=0,MAX($CE$5:CE557)+1,""),"")</f>
        <v/>
      </c>
      <c r="CF558" s="80" t="str">
        <f>IF(AND(D558="proMX",BD558=1),IF(OR(BF558="Draft",BF558="Submitted",BF558="Returned",BF558="Recall Requested"),MAX($CF$5:CF557)+1,""),"")</f>
        <v/>
      </c>
      <c r="CG558" s="80">
        <f>IF(BD558=0,0,IF(D558="Malcolm",1,MATCH(BF558,{"Draft","Submitted","Approved","Returned","Recall Requested","Cancelled"},0)+1))</f>
        <v>0</v>
      </c>
      <c r="CH558" s="80">
        <f>IF(AND(BF558="Submitted",ISNUMBER(V558)),IF(V558&gt;CFG_MAXD,1,0),0)</f>
        <v>0</v>
      </c>
    </row>
    <row r="559">
      <c r="A559" s="71" t="str">
        <f>IF(Y559=1,ROW()-5,"")</f>
        <v/>
      </c>
      <c r="B559" s="72" t="n"/>
      <c r="C559" s="71" t="str">
        <f>IF(ISNUMBER(B559),CHOOSE(WEEKDAY(B559,2),"Lun","Mar","Mié","Jue","Vie","Sáb","Dom"),"")</f>
        <v/>
      </c>
      <c r="D559" s="73" t="n"/>
      <c r="E559" s="74" t="n"/>
      <c r="F559" s="74" t="n"/>
      <c r="G559" s="74" t="n"/>
      <c r="H559" s="75" t="n"/>
      <c r="I559" s="75" t="n"/>
      <c r="J559" s="76" t="n"/>
      <c r="K559" s="77" t="str">
        <f>IF(AB559=1,ROUND(AG559/60,4),"")</f>
        <v/>
      </c>
      <c r="L559" s="77" t="str">
        <f>IF(BD559=1,ROUND(AP559/60,4),"")</f>
        <v/>
      </c>
      <c r="M559" s="77" t="str">
        <f>IF(BD559=1,ROUND(AQ559/60,4),"")</f>
        <v/>
      </c>
      <c r="N559" s="71" t="str">
        <f>IF(AND(D559="proMX",AB559=1),ROUND(AG559/CFG_BLK,2),"")</f>
        <v/>
      </c>
      <c r="O559" s="77" t="str">
        <f>IF(D559="proMX",IF(BD559=1,ROUND(AG559/60,4),0),"")</f>
        <v/>
      </c>
      <c r="P559" s="78" t="str">
        <f>IF(Y559=0,"",IF(BD559=1,"OK",IF(D559="proMX","Revisar bloques: ","Revisar: ")&amp;BC559))</f>
        <v/>
      </c>
      <c r="Q559" s="78" t="str">
        <f>IF(NOT(ISNUMBER(B559)),"",IF(COUNTIFS(FER_F,INT(B559))&gt;0,"Feriado"&amp;IF(AH559=1," (laborable)"," (no laborable)"),IF(AH559=1,"Laborable",IF(WEEKDAY(B559,2)&gt;5,"Fin de semana","No laborable"))))</f>
        <v/>
      </c>
      <c r="R559" s="73" t="n"/>
      <c r="S559" s="72" t="n"/>
      <c r="T559" s="72" t="n"/>
      <c r="U559" s="74" t="n"/>
      <c r="V559" s="79" t="str">
        <f>IF(AND(D559="proMX",OR(R559="Submitted",R559="Recall Requested"),ISNUMBER(S559)),CFG_TODAY-INT(S559),"")</f>
        <v/>
      </c>
      <c r="W559" s="78" t="str">
        <f>IF(BD559=0,"",IF(BA559&gt;0,"⚠ Se superpone con un registro de la otra empresa",IF(D559="Malcolm",IF(COUNTA(R559,S559,T559)&gt;0,"Estado/fechas proMX se ignoran en Malcolm",""),IF(BF559="Cancelled","Cancelado: excluido de totales",IF(R559="","Sin estado: se trata como Draft",IF(BF559="Submitted",IF(ISNUMBER(V559),IF(V559&gt;CFG_MAXD,"⚠ "&amp;V559&amp;" días en Submitted (máx. "&amp;CFG_MAXD&amp;")",""),"Falta fecha de envío"),IF(BF559="Returned","⚠ Devuelto: corregir y reenviar",IF(BF559="Recall Requested","Retirada solicitada: pendiente",IF(AND(BF559="Approved",NOT(ISNUMBER(T559))),"Falta fecha de aprobación",IF(AND(ISNUMBER(S559),ISNUMBER(T559),T559&lt;S559),"Aprobación anterior al envío","")))))))))</f>
        <v/>
      </c>
      <c r="Y559" s="80">
        <f>IF(COUNTA(B559,D559,E559,F559,G559,H559,I559,J559,R559,S559,T559)&gt;0,1,0)</f>
        <v>0</v>
      </c>
      <c r="Z559" s="80" t="str">
        <f>IF(AND(ISNUMBER(H559),H559&gt;=0,H559&lt;1),ROUND(H559*1440,0),"")</f>
        <v/>
      </c>
      <c r="AA559" s="80" t="str">
        <f>IF(AND(ISNUMBER(I559),I559&gt;=0,I559&lt;1),ROUND(I559*1440,0),"")</f>
        <v/>
      </c>
      <c r="AB559" s="80">
        <f>IF(AND(ISNUMBER(B559),D559&lt;&gt;"",ISNUMBER(Z559),ISNUMBER(AA559)),IF(Z559=AA559,0,1),0)</f>
        <v>0</v>
      </c>
      <c r="AC559" s="80">
        <f>IF(AB559=1,IF(AA559&lt;Z559,1,0),0)</f>
        <v>0</v>
      </c>
      <c r="AD559" s="80">
        <f>IF(AB559=1,IF(AC559=1,1440-Z559+AA559,AA559-Z559),0)</f>
        <v>0</v>
      </c>
      <c r="AE559" s="80">
        <f>IF(J559="",0,IF(ISNUMBER(J559),J559,-1))</f>
        <v>0</v>
      </c>
      <c r="AF559" s="80">
        <f>MIN(MAX(0,AE559),AD559)</f>
        <v>0</v>
      </c>
      <c r="AG559" s="80">
        <f>MAX(0,AD559-MAX(0,AE559))</f>
        <v>0</v>
      </c>
      <c r="AH559" s="80">
        <f>IF(ISNUMBER(B559),IF(AND(INDEX(CFG_WDAYS,WEEKDAY(INT(B559),2))="Sí",IF(D559="proMX",COUNTIFS(FER_F,INT(B559),FER_NLP,"Sí"),COUNTIFS(FER_F,INT(B559),FER_NLM,"Sí"))=0),1,0),0)</f>
        <v>0</v>
      </c>
      <c r="AI559" s="80">
        <f>IF(AC559=1,IF(AND(INDEX(CFG_WDAYS,WEEKDAY(INT(B559)+1,2))="Sí",IF(D559="proMX",COUNTIFS(FER_F,INT(B559)+1,FER_NLP,"Sí"),COUNTIFS(FER_F,INT(B559)+1,FER_NLM,"Sí"))=0),1,0),0)</f>
        <v>0</v>
      </c>
      <c r="AJ559" s="80">
        <f>IF(AC559=1,1440-Z559,AD559)</f>
        <v>0</v>
      </c>
      <c r="AK559" s="80">
        <f>IF(AND(AB559=1,AH559=1),MAX(0,MIN(IF(AC559=1,1440,AA559),CFG_WEM)-MAX(Z559,CFG_WSM)),0)</f>
        <v>0</v>
      </c>
      <c r="AL559" s="80">
        <f>IF(AND(AC559=1,AI559=1),MAX(0,MIN(AA559,CFG_WEM)-CFG_WSM),0)</f>
        <v>0</v>
      </c>
      <c r="AM559" s="80">
        <f>AK559+AL559</f>
        <v>0</v>
      </c>
      <c r="AN559" s="80">
        <f>IF(CFG_BRK="Proporcional",IF(AD559=0,0,AF559*AM559/AD559),IF(CFG_BRK="Extras primero",MIN(AM559,MAX(0,AF559-(AD559-AM559))),MIN(AF559,AM559)))</f>
        <v>0</v>
      </c>
      <c r="AO559" s="80">
        <f>AF559-AN559</f>
        <v>0</v>
      </c>
      <c r="AP559" s="80">
        <f>AM559-AN559</f>
        <v>0</v>
      </c>
      <c r="AQ559" s="80">
        <f>AD559-AM559-AO559</f>
        <v>0</v>
      </c>
      <c r="AR559" s="80">
        <f>IF(AM559=0,0,AK559-AN559*AK559/AM559)</f>
        <v>0</v>
      </c>
      <c r="AS559" s="80">
        <f>IF(AD559-AM559=0,0,(AJ559-AK559)-AO559*(AJ559-AK559)/(AD559-AM559))</f>
        <v>0</v>
      </c>
      <c r="AT559" s="80" t="str">
        <f>IF(AC559=1,INT(B559)+1,"")</f>
        <v/>
      </c>
      <c r="AU559" s="80">
        <f>IF(AND(D559="proMX",R559="Cancelled"),0,1)</f>
        <v>1</v>
      </c>
      <c r="AV559" s="80">
        <f>IF(AND(AB559=1,AU559=1),IF(COUNTIFS($D$5:D558,D559,$B$5:B558,B559,$Z$5:Z558,Z559,$AA$5:AA558,AA559,$F$5:F558,F559&amp;"",$AU$5:AU558,1)&gt;0,1,0),0)</f>
        <v>0</v>
      </c>
      <c r="AW559" s="80" t="str">
        <f>IF(AB559=1,INT(B559)*1440+Z559,"")</f>
        <v/>
      </c>
      <c r="AX559" s="80" t="str">
        <f>IF(AB559=1,AW559+AD559,"")</f>
        <v/>
      </c>
      <c r="AY559" s="80">
        <f>IF(AND(AB559=1,AV559=0,AU559=1),1,0)</f>
        <v>0</v>
      </c>
      <c r="AZ559" s="80">
        <f>IF(AY559=1,COUNTIFS(R_Emp,D559,R_SAbs,"&lt;"&amp;AX559,R_EAbs,"&gt;"&amp;AW559,R_OKey,1)-1,0)</f>
        <v>0</v>
      </c>
      <c r="BA559" s="80">
        <f>IF(AY559=1,COUNTIFS(R_Emp,"&lt;&gt;"&amp;D559,R_SAbs,"&lt;"&amp;AX559,R_EAbs,"&gt;"&amp;AW559,R_OKey,1),0)</f>
        <v>0</v>
      </c>
      <c r="BB559" s="80">
        <f>IF(AND(AB559=1,D559="proMX"),IF(AND(MOD(Z559,CFG_BLK)=0,MOD(AA559,CFG_BLK)=0,MOD(AG559,CFG_BLK)=0,AG559&gt;0),1,0),1)</f>
        <v>1</v>
      </c>
      <c r="BC559" s="80" t="str">
        <f>IF(Y559=0,"",IF(NOT(ISNUMBER(B559)),"Falta fecha o fecha inválida",IF(D559="","Falta empresa",IF(AND(D559&lt;&gt;"Malcolm",D559&lt;&gt;"proMX"),"Empresa inválida",IF(OR(INT(B559)&lt;CFG_PSTART,INT(B559)&gt;CFG_PEND),"Fecha fuera del período",IF(OR(NOT(ISNUMBER(Z559)),NOT(ISNUMBER(AA559))),"Falta hora inicio/fin o formato inválido",IF(AB559=0,"Hora inicio = hora fin",IF(AE559&lt;0,"Descanso inválido",IF(AE559&gt;=AD559,"Descanso ≥ duración",IF(AV559=1,"Registro duplicado",IF(AZ559&gt;0,"Se superpone con otro registro "&amp;D559,IF(BB559=0,"inicio, fin y duración neta deben ser múltiplos de "&amp;CFG_BLK&amp;" min",""))))))))))))</f>
        <v/>
      </c>
      <c r="BD559" s="80">
        <f>IF(AND(Y559=1,BC559=""),1,0)</f>
        <v>0</v>
      </c>
      <c r="BE559" s="80">
        <f>IF(AND(BD559=1,AU559=1),1,0)</f>
        <v>0</v>
      </c>
      <c r="BF559" s="80" t="str">
        <f>IF(AND(D559="proMX",BD559=1),IF(R559="","Draft",R559),"")</f>
        <v/>
      </c>
      <c r="BG559" s="80">
        <f>IF(BD559=1,ROUND(AG559/60,6),0)</f>
        <v>0</v>
      </c>
      <c r="BH559" s="80">
        <f>IF(BE559=1,ROUND(AG559/60,6),0)</f>
        <v>0</v>
      </c>
      <c r="BI559" s="80">
        <f>IF(BE559=1,ROUND(AP559/60,6),0)</f>
        <v>0</v>
      </c>
      <c r="BJ559" s="80">
        <f>IF(BE559=1,ROUND(AQ559/60,6),0)</f>
        <v>0</v>
      </c>
      <c r="BK559" s="80">
        <f>IF(BE559=1,ROUND((AR559+AS559)/60,6),0)</f>
        <v>0</v>
      </c>
      <c r="BL559" s="80">
        <f>ROUND(BH559-BK559,6)</f>
        <v>0</v>
      </c>
      <c r="BM559" s="80">
        <f>IF(BE559=1,ROUND(AR559/60,6),0)</f>
        <v>0</v>
      </c>
      <c r="BN559" s="80">
        <f>ROUND(BI559-BM559,6)</f>
        <v>0</v>
      </c>
      <c r="BO559" s="80">
        <f>IF(BE559=1,ROUND(AS559/60,6),0)</f>
        <v>0</v>
      </c>
      <c r="BP559" s="80">
        <f>ROUND(BJ559-BO559,6)</f>
        <v>0</v>
      </c>
      <c r="BQ559" s="80">
        <f>IF(BE559=1,AW559,0)</f>
        <v>0</v>
      </c>
      <c r="BR559" s="80">
        <f>IF(BE559=1,AX559,0)</f>
        <v>0</v>
      </c>
      <c r="BS559" s="80">
        <f>IF(AND(BE559=1,D559="Malcolm",BA559&gt;0),MIN(BH559,SUMPRODUCT((R_Emp="proMX")*(R_EN&gt;0)*((R_EN-(R_EN&gt;BR559)*(R_EN-BR559))&gt;(R_SN+(R_SN&lt;BQ559)*(BQ559-R_SN)))*((R_EN-(R_EN&gt;BR559)*(R_EN-BR559))-(R_SN+(R_SN&lt;BQ559)*(BQ559-R_SN))))/60),0)</f>
        <v>0</v>
      </c>
      <c r="BT559" s="80">
        <f>IF(AND(BE559=1,D559="proMX"),ROUND(BI559*CFG_RATE+BJ559*CFG_OTRATE,6),0)</f>
        <v>0</v>
      </c>
      <c r="BU559" s="80">
        <f>IF(AND(BD559=1,D559="proMX"),ROUND(AG559/CFG_BLK,6),0)</f>
        <v>0</v>
      </c>
      <c r="BV559" s="80" t="str">
        <f>IF(BF559="Approved",IF(ISNUMBER(T559),INT(T559),INT(B559)),"")</f>
        <v/>
      </c>
      <c r="BW559" s="80">
        <f>IF(ISNUMBER(B559),IF(DB_MON="Todos",1,IF(AND(INT(B559)&gt;=DB_MS,INT(B559)&lt;=DB_ME),1,0)),0)</f>
        <v>0</v>
      </c>
      <c r="BX559" s="80">
        <f>IF(DB_PROJ="Todos",1,IF(E559&amp;""=DB_PROJ&amp;"",1,0))</f>
        <v>1</v>
      </c>
      <c r="BY559" s="80">
        <f>BW559*BX559</f>
        <v>0</v>
      </c>
      <c r="BZ559" s="80" t="str">
        <f>IF(Y559=1,F559&amp;IF(AND(F559&amp;""&lt;&gt;"",E559&amp;""&lt;&gt;"")," · ","")&amp;E559,"")</f>
        <v/>
      </c>
      <c r="CA559" s="80" t="str">
        <f>IF(AND(BD559=1,E559&amp;""&lt;&gt;""),IF(COUNTIFS($E$5:E558,E559,$BD$5:BD558,1)=0,MAX($CA$5:CA558)+1,""),"")</f>
        <v/>
      </c>
      <c r="CB559" s="80" t="str">
        <f>IF(AND(BE559=1,D559="Malcolm",E559&amp;""&lt;&gt;""),IF(COUNTIFS($D$5:D558,"Malcolm",$E$5:E558,E559,$BE$5:BE558,1)=0,MAX($CB$5:CB558)+1,""),"")</f>
        <v/>
      </c>
      <c r="CC559" s="80" t="str">
        <f>IF(AND(BD559=1,D559="proMX",E559&amp;""&lt;&gt;""),IF(COUNTIFS($D$5:D558,"proMX",$E$5:E558,E559,$BD$5:BD558,1)=0,MAX($CC$5:CC558)+1,""),"")</f>
        <v/>
      </c>
      <c r="CD559" s="80" t="str">
        <f>IF(AND(BE559=1,D559="Malcolm",F559&amp;""&lt;&gt;""),IF(COUNTIFS($D$5:D558,"Malcolm",$F$5:F558,F559,$BE$5:BE558,1)=0,MAX($CD$5:CD558)+1,""),"")</f>
        <v/>
      </c>
      <c r="CE559" s="80" t="str">
        <f>IF(AND(BD559=1,D559="proMX",F559&amp;""&lt;&gt;""),IF(COUNTIFS($D$5:D558,"proMX",$F$5:F558,F559,$BD$5:BD558,1)=0,MAX($CE$5:CE558)+1,""),"")</f>
        <v/>
      </c>
      <c r="CF559" s="80" t="str">
        <f>IF(AND(D559="proMX",BD559=1),IF(OR(BF559="Draft",BF559="Submitted",BF559="Returned",BF559="Recall Requested"),MAX($CF$5:CF558)+1,""),"")</f>
        <v/>
      </c>
      <c r="CG559" s="80">
        <f>IF(BD559=0,0,IF(D559="Malcolm",1,MATCH(BF559,{"Draft","Submitted","Approved","Returned","Recall Requested","Cancelled"},0)+1))</f>
        <v>0</v>
      </c>
      <c r="CH559" s="80">
        <f>IF(AND(BF559="Submitted",ISNUMBER(V559)),IF(V559&gt;CFG_MAXD,1,0),0)</f>
        <v>0</v>
      </c>
    </row>
    <row r="560">
      <c r="A560" s="71" t="str">
        <f>IF(Y560=1,ROW()-5,"")</f>
        <v/>
      </c>
      <c r="B560" s="72" t="n"/>
      <c r="C560" s="71" t="str">
        <f>IF(ISNUMBER(B560),CHOOSE(WEEKDAY(B560,2),"Lun","Mar","Mié","Jue","Vie","Sáb","Dom"),"")</f>
        <v/>
      </c>
      <c r="D560" s="73" t="n"/>
      <c r="E560" s="74" t="n"/>
      <c r="F560" s="74" t="n"/>
      <c r="G560" s="74" t="n"/>
      <c r="H560" s="75" t="n"/>
      <c r="I560" s="75" t="n"/>
      <c r="J560" s="76" t="n"/>
      <c r="K560" s="77" t="str">
        <f>IF(AB560=1,ROUND(AG560/60,4),"")</f>
        <v/>
      </c>
      <c r="L560" s="77" t="str">
        <f>IF(BD560=1,ROUND(AP560/60,4),"")</f>
        <v/>
      </c>
      <c r="M560" s="77" t="str">
        <f>IF(BD560=1,ROUND(AQ560/60,4),"")</f>
        <v/>
      </c>
      <c r="N560" s="71" t="str">
        <f>IF(AND(D560="proMX",AB560=1),ROUND(AG560/CFG_BLK,2),"")</f>
        <v/>
      </c>
      <c r="O560" s="77" t="str">
        <f>IF(D560="proMX",IF(BD560=1,ROUND(AG560/60,4),0),"")</f>
        <v/>
      </c>
      <c r="P560" s="78" t="str">
        <f>IF(Y560=0,"",IF(BD560=1,"OK",IF(D560="proMX","Revisar bloques: ","Revisar: ")&amp;BC560))</f>
        <v/>
      </c>
      <c r="Q560" s="78" t="str">
        <f>IF(NOT(ISNUMBER(B560)),"",IF(COUNTIFS(FER_F,INT(B560))&gt;0,"Feriado"&amp;IF(AH560=1," (laborable)"," (no laborable)"),IF(AH560=1,"Laborable",IF(WEEKDAY(B560,2)&gt;5,"Fin de semana","No laborable"))))</f>
        <v/>
      </c>
      <c r="R560" s="73" t="n"/>
      <c r="S560" s="72" t="n"/>
      <c r="T560" s="72" t="n"/>
      <c r="U560" s="74" t="n"/>
      <c r="V560" s="79" t="str">
        <f>IF(AND(D560="proMX",OR(R560="Submitted",R560="Recall Requested"),ISNUMBER(S560)),CFG_TODAY-INT(S560),"")</f>
        <v/>
      </c>
      <c r="W560" s="78" t="str">
        <f>IF(BD560=0,"",IF(BA560&gt;0,"⚠ Se superpone con un registro de la otra empresa",IF(D560="Malcolm",IF(COUNTA(R560,S560,T560)&gt;0,"Estado/fechas proMX se ignoran en Malcolm",""),IF(BF560="Cancelled","Cancelado: excluido de totales",IF(R560="","Sin estado: se trata como Draft",IF(BF560="Submitted",IF(ISNUMBER(V560),IF(V560&gt;CFG_MAXD,"⚠ "&amp;V560&amp;" días en Submitted (máx. "&amp;CFG_MAXD&amp;")",""),"Falta fecha de envío"),IF(BF560="Returned","⚠ Devuelto: corregir y reenviar",IF(BF560="Recall Requested","Retirada solicitada: pendiente",IF(AND(BF560="Approved",NOT(ISNUMBER(T560))),"Falta fecha de aprobación",IF(AND(ISNUMBER(S560),ISNUMBER(T560),T560&lt;S560),"Aprobación anterior al envío","")))))))))</f>
        <v/>
      </c>
      <c r="Y560" s="80">
        <f>IF(COUNTA(B560,D560,E560,F560,G560,H560,I560,J560,R560,S560,T560)&gt;0,1,0)</f>
        <v>0</v>
      </c>
      <c r="Z560" s="80" t="str">
        <f>IF(AND(ISNUMBER(H560),H560&gt;=0,H560&lt;1),ROUND(H560*1440,0),"")</f>
        <v/>
      </c>
      <c r="AA560" s="80" t="str">
        <f>IF(AND(ISNUMBER(I560),I560&gt;=0,I560&lt;1),ROUND(I560*1440,0),"")</f>
        <v/>
      </c>
      <c r="AB560" s="80">
        <f>IF(AND(ISNUMBER(B560),D560&lt;&gt;"",ISNUMBER(Z560),ISNUMBER(AA560)),IF(Z560=AA560,0,1),0)</f>
        <v>0</v>
      </c>
      <c r="AC560" s="80">
        <f>IF(AB560=1,IF(AA560&lt;Z560,1,0),0)</f>
        <v>0</v>
      </c>
      <c r="AD560" s="80">
        <f>IF(AB560=1,IF(AC560=1,1440-Z560+AA560,AA560-Z560),0)</f>
        <v>0</v>
      </c>
      <c r="AE560" s="80">
        <f>IF(J560="",0,IF(ISNUMBER(J560),J560,-1))</f>
        <v>0</v>
      </c>
      <c r="AF560" s="80">
        <f>MIN(MAX(0,AE560),AD560)</f>
        <v>0</v>
      </c>
      <c r="AG560" s="80">
        <f>MAX(0,AD560-MAX(0,AE560))</f>
        <v>0</v>
      </c>
      <c r="AH560" s="80">
        <f>IF(ISNUMBER(B560),IF(AND(INDEX(CFG_WDAYS,WEEKDAY(INT(B560),2))="Sí",IF(D560="proMX",COUNTIFS(FER_F,INT(B560),FER_NLP,"Sí"),COUNTIFS(FER_F,INT(B560),FER_NLM,"Sí"))=0),1,0),0)</f>
        <v>0</v>
      </c>
      <c r="AI560" s="80">
        <f>IF(AC560=1,IF(AND(INDEX(CFG_WDAYS,WEEKDAY(INT(B560)+1,2))="Sí",IF(D560="proMX",COUNTIFS(FER_F,INT(B560)+1,FER_NLP,"Sí"),COUNTIFS(FER_F,INT(B560)+1,FER_NLM,"Sí"))=0),1,0),0)</f>
        <v>0</v>
      </c>
      <c r="AJ560" s="80">
        <f>IF(AC560=1,1440-Z560,AD560)</f>
        <v>0</v>
      </c>
      <c r="AK560" s="80">
        <f>IF(AND(AB560=1,AH560=1),MAX(0,MIN(IF(AC560=1,1440,AA560),CFG_WEM)-MAX(Z560,CFG_WSM)),0)</f>
        <v>0</v>
      </c>
      <c r="AL560" s="80">
        <f>IF(AND(AC560=1,AI560=1),MAX(0,MIN(AA560,CFG_WEM)-CFG_WSM),0)</f>
        <v>0</v>
      </c>
      <c r="AM560" s="80">
        <f>AK560+AL560</f>
        <v>0</v>
      </c>
      <c r="AN560" s="80">
        <f>IF(CFG_BRK="Proporcional",IF(AD560=0,0,AF560*AM560/AD560),IF(CFG_BRK="Extras primero",MIN(AM560,MAX(0,AF560-(AD560-AM560))),MIN(AF560,AM560)))</f>
        <v>0</v>
      </c>
      <c r="AO560" s="80">
        <f>AF560-AN560</f>
        <v>0</v>
      </c>
      <c r="AP560" s="80">
        <f>AM560-AN560</f>
        <v>0</v>
      </c>
      <c r="AQ560" s="80">
        <f>AD560-AM560-AO560</f>
        <v>0</v>
      </c>
      <c r="AR560" s="80">
        <f>IF(AM560=0,0,AK560-AN560*AK560/AM560)</f>
        <v>0</v>
      </c>
      <c r="AS560" s="80">
        <f>IF(AD560-AM560=0,0,(AJ560-AK560)-AO560*(AJ560-AK560)/(AD560-AM560))</f>
        <v>0</v>
      </c>
      <c r="AT560" s="80" t="str">
        <f>IF(AC560=1,INT(B560)+1,"")</f>
        <v/>
      </c>
      <c r="AU560" s="80">
        <f>IF(AND(D560="proMX",R560="Cancelled"),0,1)</f>
        <v>1</v>
      </c>
      <c r="AV560" s="80">
        <f>IF(AND(AB560=1,AU560=1),IF(COUNTIFS($D$5:D559,D560,$B$5:B559,B560,$Z$5:Z559,Z560,$AA$5:AA559,AA560,$F$5:F559,F560&amp;"",$AU$5:AU559,1)&gt;0,1,0),0)</f>
        <v>0</v>
      </c>
      <c r="AW560" s="80" t="str">
        <f>IF(AB560=1,INT(B560)*1440+Z560,"")</f>
        <v/>
      </c>
      <c r="AX560" s="80" t="str">
        <f>IF(AB560=1,AW560+AD560,"")</f>
        <v/>
      </c>
      <c r="AY560" s="80">
        <f>IF(AND(AB560=1,AV560=0,AU560=1),1,0)</f>
        <v>0</v>
      </c>
      <c r="AZ560" s="80">
        <f>IF(AY560=1,COUNTIFS(R_Emp,D560,R_SAbs,"&lt;"&amp;AX560,R_EAbs,"&gt;"&amp;AW560,R_OKey,1)-1,0)</f>
        <v>0</v>
      </c>
      <c r="BA560" s="80">
        <f>IF(AY560=1,COUNTIFS(R_Emp,"&lt;&gt;"&amp;D560,R_SAbs,"&lt;"&amp;AX560,R_EAbs,"&gt;"&amp;AW560,R_OKey,1),0)</f>
        <v>0</v>
      </c>
      <c r="BB560" s="80">
        <f>IF(AND(AB560=1,D560="proMX"),IF(AND(MOD(Z560,CFG_BLK)=0,MOD(AA560,CFG_BLK)=0,MOD(AG560,CFG_BLK)=0,AG560&gt;0),1,0),1)</f>
        <v>1</v>
      </c>
      <c r="BC560" s="80" t="str">
        <f>IF(Y560=0,"",IF(NOT(ISNUMBER(B560)),"Falta fecha o fecha inválida",IF(D560="","Falta empresa",IF(AND(D560&lt;&gt;"Malcolm",D560&lt;&gt;"proMX"),"Empresa inválida",IF(OR(INT(B560)&lt;CFG_PSTART,INT(B560)&gt;CFG_PEND),"Fecha fuera del período",IF(OR(NOT(ISNUMBER(Z560)),NOT(ISNUMBER(AA560))),"Falta hora inicio/fin o formato inválido",IF(AB560=0,"Hora inicio = hora fin",IF(AE560&lt;0,"Descanso inválido",IF(AE560&gt;=AD560,"Descanso ≥ duración",IF(AV560=1,"Registro duplicado",IF(AZ560&gt;0,"Se superpone con otro registro "&amp;D560,IF(BB560=0,"inicio, fin y duración neta deben ser múltiplos de "&amp;CFG_BLK&amp;" min",""))))))))))))</f>
        <v/>
      </c>
      <c r="BD560" s="80">
        <f>IF(AND(Y560=1,BC560=""),1,0)</f>
        <v>0</v>
      </c>
      <c r="BE560" s="80">
        <f>IF(AND(BD560=1,AU560=1),1,0)</f>
        <v>0</v>
      </c>
      <c r="BF560" s="80" t="str">
        <f>IF(AND(D560="proMX",BD560=1),IF(R560="","Draft",R560),"")</f>
        <v/>
      </c>
      <c r="BG560" s="80">
        <f>IF(BD560=1,ROUND(AG560/60,6),0)</f>
        <v>0</v>
      </c>
      <c r="BH560" s="80">
        <f>IF(BE560=1,ROUND(AG560/60,6),0)</f>
        <v>0</v>
      </c>
      <c r="BI560" s="80">
        <f>IF(BE560=1,ROUND(AP560/60,6),0)</f>
        <v>0</v>
      </c>
      <c r="BJ560" s="80">
        <f>IF(BE560=1,ROUND(AQ560/60,6),0)</f>
        <v>0</v>
      </c>
      <c r="BK560" s="80">
        <f>IF(BE560=1,ROUND((AR560+AS560)/60,6),0)</f>
        <v>0</v>
      </c>
      <c r="BL560" s="80">
        <f>ROUND(BH560-BK560,6)</f>
        <v>0</v>
      </c>
      <c r="BM560" s="80">
        <f>IF(BE560=1,ROUND(AR560/60,6),0)</f>
        <v>0</v>
      </c>
      <c r="BN560" s="80">
        <f>ROUND(BI560-BM560,6)</f>
        <v>0</v>
      </c>
      <c r="BO560" s="80">
        <f>IF(BE560=1,ROUND(AS560/60,6),0)</f>
        <v>0</v>
      </c>
      <c r="BP560" s="80">
        <f>ROUND(BJ560-BO560,6)</f>
        <v>0</v>
      </c>
      <c r="BQ560" s="80">
        <f>IF(BE560=1,AW560,0)</f>
        <v>0</v>
      </c>
      <c r="BR560" s="80">
        <f>IF(BE560=1,AX560,0)</f>
        <v>0</v>
      </c>
      <c r="BS560" s="80">
        <f>IF(AND(BE560=1,D560="Malcolm",BA560&gt;0),MIN(BH560,SUMPRODUCT((R_Emp="proMX")*(R_EN&gt;0)*((R_EN-(R_EN&gt;BR560)*(R_EN-BR560))&gt;(R_SN+(R_SN&lt;BQ560)*(BQ560-R_SN)))*((R_EN-(R_EN&gt;BR560)*(R_EN-BR560))-(R_SN+(R_SN&lt;BQ560)*(BQ560-R_SN))))/60),0)</f>
        <v>0</v>
      </c>
      <c r="BT560" s="80">
        <f>IF(AND(BE560=1,D560="proMX"),ROUND(BI560*CFG_RATE+BJ560*CFG_OTRATE,6),0)</f>
        <v>0</v>
      </c>
      <c r="BU560" s="80">
        <f>IF(AND(BD560=1,D560="proMX"),ROUND(AG560/CFG_BLK,6),0)</f>
        <v>0</v>
      </c>
      <c r="BV560" s="80" t="str">
        <f>IF(BF560="Approved",IF(ISNUMBER(T560),INT(T560),INT(B560)),"")</f>
        <v/>
      </c>
      <c r="BW560" s="80">
        <f>IF(ISNUMBER(B560),IF(DB_MON="Todos",1,IF(AND(INT(B560)&gt;=DB_MS,INT(B560)&lt;=DB_ME),1,0)),0)</f>
        <v>0</v>
      </c>
      <c r="BX560" s="80">
        <f>IF(DB_PROJ="Todos",1,IF(E560&amp;""=DB_PROJ&amp;"",1,0))</f>
        <v>1</v>
      </c>
      <c r="BY560" s="80">
        <f>BW560*BX560</f>
        <v>0</v>
      </c>
      <c r="BZ560" s="80" t="str">
        <f>IF(Y560=1,F560&amp;IF(AND(F560&amp;""&lt;&gt;"",E560&amp;""&lt;&gt;"")," · ","")&amp;E560,"")</f>
        <v/>
      </c>
      <c r="CA560" s="80" t="str">
        <f>IF(AND(BD560=1,E560&amp;""&lt;&gt;""),IF(COUNTIFS($E$5:E559,E560,$BD$5:BD559,1)=0,MAX($CA$5:CA559)+1,""),"")</f>
        <v/>
      </c>
      <c r="CB560" s="80" t="str">
        <f>IF(AND(BE560=1,D560="Malcolm",E560&amp;""&lt;&gt;""),IF(COUNTIFS($D$5:D559,"Malcolm",$E$5:E559,E560,$BE$5:BE559,1)=0,MAX($CB$5:CB559)+1,""),"")</f>
        <v/>
      </c>
      <c r="CC560" s="80" t="str">
        <f>IF(AND(BD560=1,D560="proMX",E560&amp;""&lt;&gt;""),IF(COUNTIFS($D$5:D559,"proMX",$E$5:E559,E560,$BD$5:BD559,1)=0,MAX($CC$5:CC559)+1,""),"")</f>
        <v/>
      </c>
      <c r="CD560" s="80" t="str">
        <f>IF(AND(BE560=1,D560="Malcolm",F560&amp;""&lt;&gt;""),IF(COUNTIFS($D$5:D559,"Malcolm",$F$5:F559,F560,$BE$5:BE559,1)=0,MAX($CD$5:CD559)+1,""),"")</f>
        <v/>
      </c>
      <c r="CE560" s="80" t="str">
        <f>IF(AND(BD560=1,D560="proMX",F560&amp;""&lt;&gt;""),IF(COUNTIFS($D$5:D559,"proMX",$F$5:F559,F560,$BD$5:BD559,1)=0,MAX($CE$5:CE559)+1,""),"")</f>
        <v/>
      </c>
      <c r="CF560" s="80" t="str">
        <f>IF(AND(D560="proMX",BD560=1),IF(OR(BF560="Draft",BF560="Submitted",BF560="Returned",BF560="Recall Requested"),MAX($CF$5:CF559)+1,""),"")</f>
        <v/>
      </c>
      <c r="CG560" s="80">
        <f>IF(BD560=0,0,IF(D560="Malcolm",1,MATCH(BF560,{"Draft","Submitted","Approved","Returned","Recall Requested","Cancelled"},0)+1))</f>
        <v>0</v>
      </c>
      <c r="CH560" s="80">
        <f>IF(AND(BF560="Submitted",ISNUMBER(V560)),IF(V560&gt;CFG_MAXD,1,0),0)</f>
        <v>0</v>
      </c>
    </row>
    <row r="561">
      <c r="A561" s="71" t="str">
        <f>IF(Y561=1,ROW()-5,"")</f>
        <v/>
      </c>
      <c r="B561" s="72" t="n"/>
      <c r="C561" s="71" t="str">
        <f>IF(ISNUMBER(B561),CHOOSE(WEEKDAY(B561,2),"Lun","Mar","Mié","Jue","Vie","Sáb","Dom"),"")</f>
        <v/>
      </c>
      <c r="D561" s="73" t="n"/>
      <c r="E561" s="74" t="n"/>
      <c r="F561" s="74" t="n"/>
      <c r="G561" s="74" t="n"/>
      <c r="H561" s="75" t="n"/>
      <c r="I561" s="75" t="n"/>
      <c r="J561" s="76" t="n"/>
      <c r="K561" s="77" t="str">
        <f>IF(AB561=1,ROUND(AG561/60,4),"")</f>
        <v/>
      </c>
      <c r="L561" s="77" t="str">
        <f>IF(BD561=1,ROUND(AP561/60,4),"")</f>
        <v/>
      </c>
      <c r="M561" s="77" t="str">
        <f>IF(BD561=1,ROUND(AQ561/60,4),"")</f>
        <v/>
      </c>
      <c r="N561" s="71" t="str">
        <f>IF(AND(D561="proMX",AB561=1),ROUND(AG561/CFG_BLK,2),"")</f>
        <v/>
      </c>
      <c r="O561" s="77" t="str">
        <f>IF(D561="proMX",IF(BD561=1,ROUND(AG561/60,4),0),"")</f>
        <v/>
      </c>
      <c r="P561" s="78" t="str">
        <f>IF(Y561=0,"",IF(BD561=1,"OK",IF(D561="proMX","Revisar bloques: ","Revisar: ")&amp;BC561))</f>
        <v/>
      </c>
      <c r="Q561" s="78" t="str">
        <f>IF(NOT(ISNUMBER(B561)),"",IF(COUNTIFS(FER_F,INT(B561))&gt;0,"Feriado"&amp;IF(AH561=1," (laborable)"," (no laborable)"),IF(AH561=1,"Laborable",IF(WEEKDAY(B561,2)&gt;5,"Fin de semana","No laborable"))))</f>
        <v/>
      </c>
      <c r="R561" s="73" t="n"/>
      <c r="S561" s="72" t="n"/>
      <c r="T561" s="72" t="n"/>
      <c r="U561" s="74" t="n"/>
      <c r="V561" s="79" t="str">
        <f>IF(AND(D561="proMX",OR(R561="Submitted",R561="Recall Requested"),ISNUMBER(S561)),CFG_TODAY-INT(S561),"")</f>
        <v/>
      </c>
      <c r="W561" s="78" t="str">
        <f>IF(BD561=0,"",IF(BA561&gt;0,"⚠ Se superpone con un registro de la otra empresa",IF(D561="Malcolm",IF(COUNTA(R561,S561,T561)&gt;0,"Estado/fechas proMX se ignoran en Malcolm",""),IF(BF561="Cancelled","Cancelado: excluido de totales",IF(R561="","Sin estado: se trata como Draft",IF(BF561="Submitted",IF(ISNUMBER(V561),IF(V561&gt;CFG_MAXD,"⚠ "&amp;V561&amp;" días en Submitted (máx. "&amp;CFG_MAXD&amp;")",""),"Falta fecha de envío"),IF(BF561="Returned","⚠ Devuelto: corregir y reenviar",IF(BF561="Recall Requested","Retirada solicitada: pendiente",IF(AND(BF561="Approved",NOT(ISNUMBER(T561))),"Falta fecha de aprobación",IF(AND(ISNUMBER(S561),ISNUMBER(T561),T561&lt;S561),"Aprobación anterior al envío","")))))))))</f>
        <v/>
      </c>
      <c r="Y561" s="80">
        <f>IF(COUNTA(B561,D561,E561,F561,G561,H561,I561,J561,R561,S561,T561)&gt;0,1,0)</f>
        <v>0</v>
      </c>
      <c r="Z561" s="80" t="str">
        <f>IF(AND(ISNUMBER(H561),H561&gt;=0,H561&lt;1),ROUND(H561*1440,0),"")</f>
        <v/>
      </c>
      <c r="AA561" s="80" t="str">
        <f>IF(AND(ISNUMBER(I561),I561&gt;=0,I561&lt;1),ROUND(I561*1440,0),"")</f>
        <v/>
      </c>
      <c r="AB561" s="80">
        <f>IF(AND(ISNUMBER(B561),D561&lt;&gt;"",ISNUMBER(Z561),ISNUMBER(AA561)),IF(Z561=AA561,0,1),0)</f>
        <v>0</v>
      </c>
      <c r="AC561" s="80">
        <f>IF(AB561=1,IF(AA561&lt;Z561,1,0),0)</f>
        <v>0</v>
      </c>
      <c r="AD561" s="80">
        <f>IF(AB561=1,IF(AC561=1,1440-Z561+AA561,AA561-Z561),0)</f>
        <v>0</v>
      </c>
      <c r="AE561" s="80">
        <f>IF(J561="",0,IF(ISNUMBER(J561),J561,-1))</f>
        <v>0</v>
      </c>
      <c r="AF561" s="80">
        <f>MIN(MAX(0,AE561),AD561)</f>
        <v>0</v>
      </c>
      <c r="AG561" s="80">
        <f>MAX(0,AD561-MAX(0,AE561))</f>
        <v>0</v>
      </c>
      <c r="AH561" s="80">
        <f>IF(ISNUMBER(B561),IF(AND(INDEX(CFG_WDAYS,WEEKDAY(INT(B561),2))="Sí",IF(D561="proMX",COUNTIFS(FER_F,INT(B561),FER_NLP,"Sí"),COUNTIFS(FER_F,INT(B561),FER_NLM,"Sí"))=0),1,0),0)</f>
        <v>0</v>
      </c>
      <c r="AI561" s="80">
        <f>IF(AC561=1,IF(AND(INDEX(CFG_WDAYS,WEEKDAY(INT(B561)+1,2))="Sí",IF(D561="proMX",COUNTIFS(FER_F,INT(B561)+1,FER_NLP,"Sí"),COUNTIFS(FER_F,INT(B561)+1,FER_NLM,"Sí"))=0),1,0),0)</f>
        <v>0</v>
      </c>
      <c r="AJ561" s="80">
        <f>IF(AC561=1,1440-Z561,AD561)</f>
        <v>0</v>
      </c>
      <c r="AK561" s="80">
        <f>IF(AND(AB561=1,AH561=1),MAX(0,MIN(IF(AC561=1,1440,AA561),CFG_WEM)-MAX(Z561,CFG_WSM)),0)</f>
        <v>0</v>
      </c>
      <c r="AL561" s="80">
        <f>IF(AND(AC561=1,AI561=1),MAX(0,MIN(AA561,CFG_WEM)-CFG_WSM),0)</f>
        <v>0</v>
      </c>
      <c r="AM561" s="80">
        <f>AK561+AL561</f>
        <v>0</v>
      </c>
      <c r="AN561" s="80">
        <f>IF(CFG_BRK="Proporcional",IF(AD561=0,0,AF561*AM561/AD561),IF(CFG_BRK="Extras primero",MIN(AM561,MAX(0,AF561-(AD561-AM561))),MIN(AF561,AM561)))</f>
        <v>0</v>
      </c>
      <c r="AO561" s="80">
        <f>AF561-AN561</f>
        <v>0</v>
      </c>
      <c r="AP561" s="80">
        <f>AM561-AN561</f>
        <v>0</v>
      </c>
      <c r="AQ561" s="80">
        <f>AD561-AM561-AO561</f>
        <v>0</v>
      </c>
      <c r="AR561" s="80">
        <f>IF(AM561=0,0,AK561-AN561*AK561/AM561)</f>
        <v>0</v>
      </c>
      <c r="AS561" s="80">
        <f>IF(AD561-AM561=0,0,(AJ561-AK561)-AO561*(AJ561-AK561)/(AD561-AM561))</f>
        <v>0</v>
      </c>
      <c r="AT561" s="80" t="str">
        <f>IF(AC561=1,INT(B561)+1,"")</f>
        <v/>
      </c>
      <c r="AU561" s="80">
        <f>IF(AND(D561="proMX",R561="Cancelled"),0,1)</f>
        <v>1</v>
      </c>
      <c r="AV561" s="80">
        <f>IF(AND(AB561=1,AU561=1),IF(COUNTIFS($D$5:D560,D561,$B$5:B560,B561,$Z$5:Z560,Z561,$AA$5:AA560,AA561,$F$5:F560,F561&amp;"",$AU$5:AU560,1)&gt;0,1,0),0)</f>
        <v>0</v>
      </c>
      <c r="AW561" s="80" t="str">
        <f>IF(AB561=1,INT(B561)*1440+Z561,"")</f>
        <v/>
      </c>
      <c r="AX561" s="80" t="str">
        <f>IF(AB561=1,AW561+AD561,"")</f>
        <v/>
      </c>
      <c r="AY561" s="80">
        <f>IF(AND(AB561=1,AV561=0,AU561=1),1,0)</f>
        <v>0</v>
      </c>
      <c r="AZ561" s="80">
        <f>IF(AY561=1,COUNTIFS(R_Emp,D561,R_SAbs,"&lt;"&amp;AX561,R_EAbs,"&gt;"&amp;AW561,R_OKey,1)-1,0)</f>
        <v>0</v>
      </c>
      <c r="BA561" s="80">
        <f>IF(AY561=1,COUNTIFS(R_Emp,"&lt;&gt;"&amp;D561,R_SAbs,"&lt;"&amp;AX561,R_EAbs,"&gt;"&amp;AW561,R_OKey,1),0)</f>
        <v>0</v>
      </c>
      <c r="BB561" s="80">
        <f>IF(AND(AB561=1,D561="proMX"),IF(AND(MOD(Z561,CFG_BLK)=0,MOD(AA561,CFG_BLK)=0,MOD(AG561,CFG_BLK)=0,AG561&gt;0),1,0),1)</f>
        <v>1</v>
      </c>
      <c r="BC561" s="80" t="str">
        <f>IF(Y561=0,"",IF(NOT(ISNUMBER(B561)),"Falta fecha o fecha inválida",IF(D561="","Falta empresa",IF(AND(D561&lt;&gt;"Malcolm",D561&lt;&gt;"proMX"),"Empresa inválida",IF(OR(INT(B561)&lt;CFG_PSTART,INT(B561)&gt;CFG_PEND),"Fecha fuera del período",IF(OR(NOT(ISNUMBER(Z561)),NOT(ISNUMBER(AA561))),"Falta hora inicio/fin o formato inválido",IF(AB561=0,"Hora inicio = hora fin",IF(AE561&lt;0,"Descanso inválido",IF(AE561&gt;=AD561,"Descanso ≥ duración",IF(AV561=1,"Registro duplicado",IF(AZ561&gt;0,"Se superpone con otro registro "&amp;D561,IF(BB561=0,"inicio, fin y duración neta deben ser múltiplos de "&amp;CFG_BLK&amp;" min",""))))))))))))</f>
        <v/>
      </c>
      <c r="BD561" s="80">
        <f>IF(AND(Y561=1,BC561=""),1,0)</f>
        <v>0</v>
      </c>
      <c r="BE561" s="80">
        <f>IF(AND(BD561=1,AU561=1),1,0)</f>
        <v>0</v>
      </c>
      <c r="BF561" s="80" t="str">
        <f>IF(AND(D561="proMX",BD561=1),IF(R561="","Draft",R561),"")</f>
        <v/>
      </c>
      <c r="BG561" s="80">
        <f>IF(BD561=1,ROUND(AG561/60,6),0)</f>
        <v>0</v>
      </c>
      <c r="BH561" s="80">
        <f>IF(BE561=1,ROUND(AG561/60,6),0)</f>
        <v>0</v>
      </c>
      <c r="BI561" s="80">
        <f>IF(BE561=1,ROUND(AP561/60,6),0)</f>
        <v>0</v>
      </c>
      <c r="BJ561" s="80">
        <f>IF(BE561=1,ROUND(AQ561/60,6),0)</f>
        <v>0</v>
      </c>
      <c r="BK561" s="80">
        <f>IF(BE561=1,ROUND((AR561+AS561)/60,6),0)</f>
        <v>0</v>
      </c>
      <c r="BL561" s="80">
        <f>ROUND(BH561-BK561,6)</f>
        <v>0</v>
      </c>
      <c r="BM561" s="80">
        <f>IF(BE561=1,ROUND(AR561/60,6),0)</f>
        <v>0</v>
      </c>
      <c r="BN561" s="80">
        <f>ROUND(BI561-BM561,6)</f>
        <v>0</v>
      </c>
      <c r="BO561" s="80">
        <f>IF(BE561=1,ROUND(AS561/60,6),0)</f>
        <v>0</v>
      </c>
      <c r="BP561" s="80">
        <f>ROUND(BJ561-BO561,6)</f>
        <v>0</v>
      </c>
      <c r="BQ561" s="80">
        <f>IF(BE561=1,AW561,0)</f>
        <v>0</v>
      </c>
      <c r="BR561" s="80">
        <f>IF(BE561=1,AX561,0)</f>
        <v>0</v>
      </c>
      <c r="BS561" s="80">
        <f>IF(AND(BE561=1,D561="Malcolm",BA561&gt;0),MIN(BH561,SUMPRODUCT((R_Emp="proMX")*(R_EN&gt;0)*((R_EN-(R_EN&gt;BR561)*(R_EN-BR561))&gt;(R_SN+(R_SN&lt;BQ561)*(BQ561-R_SN)))*((R_EN-(R_EN&gt;BR561)*(R_EN-BR561))-(R_SN+(R_SN&lt;BQ561)*(BQ561-R_SN))))/60),0)</f>
        <v>0</v>
      </c>
      <c r="BT561" s="80">
        <f>IF(AND(BE561=1,D561="proMX"),ROUND(BI561*CFG_RATE+BJ561*CFG_OTRATE,6),0)</f>
        <v>0</v>
      </c>
      <c r="BU561" s="80">
        <f>IF(AND(BD561=1,D561="proMX"),ROUND(AG561/CFG_BLK,6),0)</f>
        <v>0</v>
      </c>
      <c r="BV561" s="80" t="str">
        <f>IF(BF561="Approved",IF(ISNUMBER(T561),INT(T561),INT(B561)),"")</f>
        <v/>
      </c>
      <c r="BW561" s="80">
        <f>IF(ISNUMBER(B561),IF(DB_MON="Todos",1,IF(AND(INT(B561)&gt;=DB_MS,INT(B561)&lt;=DB_ME),1,0)),0)</f>
        <v>0</v>
      </c>
      <c r="BX561" s="80">
        <f>IF(DB_PROJ="Todos",1,IF(E561&amp;""=DB_PROJ&amp;"",1,0))</f>
        <v>1</v>
      </c>
      <c r="BY561" s="80">
        <f>BW561*BX561</f>
        <v>0</v>
      </c>
      <c r="BZ561" s="80" t="str">
        <f>IF(Y561=1,F561&amp;IF(AND(F561&amp;""&lt;&gt;"",E561&amp;""&lt;&gt;"")," · ","")&amp;E561,"")</f>
        <v/>
      </c>
      <c r="CA561" s="80" t="str">
        <f>IF(AND(BD561=1,E561&amp;""&lt;&gt;""),IF(COUNTIFS($E$5:E560,E561,$BD$5:BD560,1)=0,MAX($CA$5:CA560)+1,""),"")</f>
        <v/>
      </c>
      <c r="CB561" s="80" t="str">
        <f>IF(AND(BE561=1,D561="Malcolm",E561&amp;""&lt;&gt;""),IF(COUNTIFS($D$5:D560,"Malcolm",$E$5:E560,E561,$BE$5:BE560,1)=0,MAX($CB$5:CB560)+1,""),"")</f>
        <v/>
      </c>
      <c r="CC561" s="80" t="str">
        <f>IF(AND(BD561=1,D561="proMX",E561&amp;""&lt;&gt;""),IF(COUNTIFS($D$5:D560,"proMX",$E$5:E560,E561,$BD$5:BD560,1)=0,MAX($CC$5:CC560)+1,""),"")</f>
        <v/>
      </c>
      <c r="CD561" s="80" t="str">
        <f>IF(AND(BE561=1,D561="Malcolm",F561&amp;""&lt;&gt;""),IF(COUNTIFS($D$5:D560,"Malcolm",$F$5:F560,F561,$BE$5:BE560,1)=0,MAX($CD$5:CD560)+1,""),"")</f>
        <v/>
      </c>
      <c r="CE561" s="80" t="str">
        <f>IF(AND(BD561=1,D561="proMX",F561&amp;""&lt;&gt;""),IF(COUNTIFS($D$5:D560,"proMX",$F$5:F560,F561,$BD$5:BD560,1)=0,MAX($CE$5:CE560)+1,""),"")</f>
        <v/>
      </c>
      <c r="CF561" s="80" t="str">
        <f>IF(AND(D561="proMX",BD561=1),IF(OR(BF561="Draft",BF561="Submitted",BF561="Returned",BF561="Recall Requested"),MAX($CF$5:CF560)+1,""),"")</f>
        <v/>
      </c>
      <c r="CG561" s="80">
        <f>IF(BD561=0,0,IF(D561="Malcolm",1,MATCH(BF561,{"Draft","Submitted","Approved","Returned","Recall Requested","Cancelled"},0)+1))</f>
        <v>0</v>
      </c>
      <c r="CH561" s="80">
        <f>IF(AND(BF561="Submitted",ISNUMBER(V561)),IF(V561&gt;CFG_MAXD,1,0),0)</f>
        <v>0</v>
      </c>
    </row>
    <row r="562">
      <c r="A562" s="71" t="str">
        <f>IF(Y562=1,ROW()-5,"")</f>
        <v/>
      </c>
      <c r="B562" s="72" t="n"/>
      <c r="C562" s="71" t="str">
        <f>IF(ISNUMBER(B562),CHOOSE(WEEKDAY(B562,2),"Lun","Mar","Mié","Jue","Vie","Sáb","Dom"),"")</f>
        <v/>
      </c>
      <c r="D562" s="73" t="n"/>
      <c r="E562" s="74" t="n"/>
      <c r="F562" s="74" t="n"/>
      <c r="G562" s="74" t="n"/>
      <c r="H562" s="75" t="n"/>
      <c r="I562" s="75" t="n"/>
      <c r="J562" s="76" t="n"/>
      <c r="K562" s="77" t="str">
        <f>IF(AB562=1,ROUND(AG562/60,4),"")</f>
        <v/>
      </c>
      <c r="L562" s="77" t="str">
        <f>IF(BD562=1,ROUND(AP562/60,4),"")</f>
        <v/>
      </c>
      <c r="M562" s="77" t="str">
        <f>IF(BD562=1,ROUND(AQ562/60,4),"")</f>
        <v/>
      </c>
      <c r="N562" s="71" t="str">
        <f>IF(AND(D562="proMX",AB562=1),ROUND(AG562/CFG_BLK,2),"")</f>
        <v/>
      </c>
      <c r="O562" s="77" t="str">
        <f>IF(D562="proMX",IF(BD562=1,ROUND(AG562/60,4),0),"")</f>
        <v/>
      </c>
      <c r="P562" s="78" t="str">
        <f>IF(Y562=0,"",IF(BD562=1,"OK",IF(D562="proMX","Revisar bloques: ","Revisar: ")&amp;BC562))</f>
        <v/>
      </c>
      <c r="Q562" s="78" t="str">
        <f>IF(NOT(ISNUMBER(B562)),"",IF(COUNTIFS(FER_F,INT(B562))&gt;0,"Feriado"&amp;IF(AH562=1," (laborable)"," (no laborable)"),IF(AH562=1,"Laborable",IF(WEEKDAY(B562,2)&gt;5,"Fin de semana","No laborable"))))</f>
        <v/>
      </c>
      <c r="R562" s="73" t="n"/>
      <c r="S562" s="72" t="n"/>
      <c r="T562" s="72" t="n"/>
      <c r="U562" s="74" t="n"/>
      <c r="V562" s="79" t="str">
        <f>IF(AND(D562="proMX",OR(R562="Submitted",R562="Recall Requested"),ISNUMBER(S562)),CFG_TODAY-INT(S562),"")</f>
        <v/>
      </c>
      <c r="W562" s="78" t="str">
        <f>IF(BD562=0,"",IF(BA562&gt;0,"⚠ Se superpone con un registro de la otra empresa",IF(D562="Malcolm",IF(COUNTA(R562,S562,T562)&gt;0,"Estado/fechas proMX se ignoran en Malcolm",""),IF(BF562="Cancelled","Cancelado: excluido de totales",IF(R562="","Sin estado: se trata como Draft",IF(BF562="Submitted",IF(ISNUMBER(V562),IF(V562&gt;CFG_MAXD,"⚠ "&amp;V562&amp;" días en Submitted (máx. "&amp;CFG_MAXD&amp;")",""),"Falta fecha de envío"),IF(BF562="Returned","⚠ Devuelto: corregir y reenviar",IF(BF562="Recall Requested","Retirada solicitada: pendiente",IF(AND(BF562="Approved",NOT(ISNUMBER(T562))),"Falta fecha de aprobación",IF(AND(ISNUMBER(S562),ISNUMBER(T562),T562&lt;S562),"Aprobación anterior al envío","")))))))))</f>
        <v/>
      </c>
      <c r="Y562" s="80">
        <f>IF(COUNTA(B562,D562,E562,F562,G562,H562,I562,J562,R562,S562,T562)&gt;0,1,0)</f>
        <v>0</v>
      </c>
      <c r="Z562" s="80" t="str">
        <f>IF(AND(ISNUMBER(H562),H562&gt;=0,H562&lt;1),ROUND(H562*1440,0),"")</f>
        <v/>
      </c>
      <c r="AA562" s="80" t="str">
        <f>IF(AND(ISNUMBER(I562),I562&gt;=0,I562&lt;1),ROUND(I562*1440,0),"")</f>
        <v/>
      </c>
      <c r="AB562" s="80">
        <f>IF(AND(ISNUMBER(B562),D562&lt;&gt;"",ISNUMBER(Z562),ISNUMBER(AA562)),IF(Z562=AA562,0,1),0)</f>
        <v>0</v>
      </c>
      <c r="AC562" s="80">
        <f>IF(AB562=1,IF(AA562&lt;Z562,1,0),0)</f>
        <v>0</v>
      </c>
      <c r="AD562" s="80">
        <f>IF(AB562=1,IF(AC562=1,1440-Z562+AA562,AA562-Z562),0)</f>
        <v>0</v>
      </c>
      <c r="AE562" s="80">
        <f>IF(J562="",0,IF(ISNUMBER(J562),J562,-1))</f>
        <v>0</v>
      </c>
      <c r="AF562" s="80">
        <f>MIN(MAX(0,AE562),AD562)</f>
        <v>0</v>
      </c>
      <c r="AG562" s="80">
        <f>MAX(0,AD562-MAX(0,AE562))</f>
        <v>0</v>
      </c>
      <c r="AH562" s="80">
        <f>IF(ISNUMBER(B562),IF(AND(INDEX(CFG_WDAYS,WEEKDAY(INT(B562),2))="Sí",IF(D562="proMX",COUNTIFS(FER_F,INT(B562),FER_NLP,"Sí"),COUNTIFS(FER_F,INT(B562),FER_NLM,"Sí"))=0),1,0),0)</f>
        <v>0</v>
      </c>
      <c r="AI562" s="80">
        <f>IF(AC562=1,IF(AND(INDEX(CFG_WDAYS,WEEKDAY(INT(B562)+1,2))="Sí",IF(D562="proMX",COUNTIFS(FER_F,INT(B562)+1,FER_NLP,"Sí"),COUNTIFS(FER_F,INT(B562)+1,FER_NLM,"Sí"))=0),1,0),0)</f>
        <v>0</v>
      </c>
      <c r="AJ562" s="80">
        <f>IF(AC562=1,1440-Z562,AD562)</f>
        <v>0</v>
      </c>
      <c r="AK562" s="80">
        <f>IF(AND(AB562=1,AH562=1),MAX(0,MIN(IF(AC562=1,1440,AA562),CFG_WEM)-MAX(Z562,CFG_WSM)),0)</f>
        <v>0</v>
      </c>
      <c r="AL562" s="80">
        <f>IF(AND(AC562=1,AI562=1),MAX(0,MIN(AA562,CFG_WEM)-CFG_WSM),0)</f>
        <v>0</v>
      </c>
      <c r="AM562" s="80">
        <f>AK562+AL562</f>
        <v>0</v>
      </c>
      <c r="AN562" s="80">
        <f>IF(CFG_BRK="Proporcional",IF(AD562=0,0,AF562*AM562/AD562),IF(CFG_BRK="Extras primero",MIN(AM562,MAX(0,AF562-(AD562-AM562))),MIN(AF562,AM562)))</f>
        <v>0</v>
      </c>
      <c r="AO562" s="80">
        <f>AF562-AN562</f>
        <v>0</v>
      </c>
      <c r="AP562" s="80">
        <f>AM562-AN562</f>
        <v>0</v>
      </c>
      <c r="AQ562" s="80">
        <f>AD562-AM562-AO562</f>
        <v>0</v>
      </c>
      <c r="AR562" s="80">
        <f>IF(AM562=0,0,AK562-AN562*AK562/AM562)</f>
        <v>0</v>
      </c>
      <c r="AS562" s="80">
        <f>IF(AD562-AM562=0,0,(AJ562-AK562)-AO562*(AJ562-AK562)/(AD562-AM562))</f>
        <v>0</v>
      </c>
      <c r="AT562" s="80" t="str">
        <f>IF(AC562=1,INT(B562)+1,"")</f>
        <v/>
      </c>
      <c r="AU562" s="80">
        <f>IF(AND(D562="proMX",R562="Cancelled"),0,1)</f>
        <v>1</v>
      </c>
      <c r="AV562" s="80">
        <f>IF(AND(AB562=1,AU562=1),IF(COUNTIFS($D$5:D561,D562,$B$5:B561,B562,$Z$5:Z561,Z562,$AA$5:AA561,AA562,$F$5:F561,F562&amp;"",$AU$5:AU561,1)&gt;0,1,0),0)</f>
        <v>0</v>
      </c>
      <c r="AW562" s="80" t="str">
        <f>IF(AB562=1,INT(B562)*1440+Z562,"")</f>
        <v/>
      </c>
      <c r="AX562" s="80" t="str">
        <f>IF(AB562=1,AW562+AD562,"")</f>
        <v/>
      </c>
      <c r="AY562" s="80">
        <f>IF(AND(AB562=1,AV562=0,AU562=1),1,0)</f>
        <v>0</v>
      </c>
      <c r="AZ562" s="80">
        <f>IF(AY562=1,COUNTIFS(R_Emp,D562,R_SAbs,"&lt;"&amp;AX562,R_EAbs,"&gt;"&amp;AW562,R_OKey,1)-1,0)</f>
        <v>0</v>
      </c>
      <c r="BA562" s="80">
        <f>IF(AY562=1,COUNTIFS(R_Emp,"&lt;&gt;"&amp;D562,R_SAbs,"&lt;"&amp;AX562,R_EAbs,"&gt;"&amp;AW562,R_OKey,1),0)</f>
        <v>0</v>
      </c>
      <c r="BB562" s="80">
        <f>IF(AND(AB562=1,D562="proMX"),IF(AND(MOD(Z562,CFG_BLK)=0,MOD(AA562,CFG_BLK)=0,MOD(AG562,CFG_BLK)=0,AG562&gt;0),1,0),1)</f>
        <v>1</v>
      </c>
      <c r="BC562" s="80" t="str">
        <f>IF(Y562=0,"",IF(NOT(ISNUMBER(B562)),"Falta fecha o fecha inválida",IF(D562="","Falta empresa",IF(AND(D562&lt;&gt;"Malcolm",D562&lt;&gt;"proMX"),"Empresa inválida",IF(OR(INT(B562)&lt;CFG_PSTART,INT(B562)&gt;CFG_PEND),"Fecha fuera del período",IF(OR(NOT(ISNUMBER(Z562)),NOT(ISNUMBER(AA562))),"Falta hora inicio/fin o formato inválido",IF(AB562=0,"Hora inicio = hora fin",IF(AE562&lt;0,"Descanso inválido",IF(AE562&gt;=AD562,"Descanso ≥ duración",IF(AV562=1,"Registro duplicado",IF(AZ562&gt;0,"Se superpone con otro registro "&amp;D562,IF(BB562=0,"inicio, fin y duración neta deben ser múltiplos de "&amp;CFG_BLK&amp;" min",""))))))))))))</f>
        <v/>
      </c>
      <c r="BD562" s="80">
        <f>IF(AND(Y562=1,BC562=""),1,0)</f>
        <v>0</v>
      </c>
      <c r="BE562" s="80">
        <f>IF(AND(BD562=1,AU562=1),1,0)</f>
        <v>0</v>
      </c>
      <c r="BF562" s="80" t="str">
        <f>IF(AND(D562="proMX",BD562=1),IF(R562="","Draft",R562),"")</f>
        <v/>
      </c>
      <c r="BG562" s="80">
        <f>IF(BD562=1,ROUND(AG562/60,6),0)</f>
        <v>0</v>
      </c>
      <c r="BH562" s="80">
        <f>IF(BE562=1,ROUND(AG562/60,6),0)</f>
        <v>0</v>
      </c>
      <c r="BI562" s="80">
        <f>IF(BE562=1,ROUND(AP562/60,6),0)</f>
        <v>0</v>
      </c>
      <c r="BJ562" s="80">
        <f>IF(BE562=1,ROUND(AQ562/60,6),0)</f>
        <v>0</v>
      </c>
      <c r="BK562" s="80">
        <f>IF(BE562=1,ROUND((AR562+AS562)/60,6),0)</f>
        <v>0</v>
      </c>
      <c r="BL562" s="80">
        <f>ROUND(BH562-BK562,6)</f>
        <v>0</v>
      </c>
      <c r="BM562" s="80">
        <f>IF(BE562=1,ROUND(AR562/60,6),0)</f>
        <v>0</v>
      </c>
      <c r="BN562" s="80">
        <f>ROUND(BI562-BM562,6)</f>
        <v>0</v>
      </c>
      <c r="BO562" s="80">
        <f>IF(BE562=1,ROUND(AS562/60,6),0)</f>
        <v>0</v>
      </c>
      <c r="BP562" s="80">
        <f>ROUND(BJ562-BO562,6)</f>
        <v>0</v>
      </c>
      <c r="BQ562" s="80">
        <f>IF(BE562=1,AW562,0)</f>
        <v>0</v>
      </c>
      <c r="BR562" s="80">
        <f>IF(BE562=1,AX562,0)</f>
        <v>0</v>
      </c>
      <c r="BS562" s="80">
        <f>IF(AND(BE562=1,D562="Malcolm",BA562&gt;0),MIN(BH562,SUMPRODUCT((R_Emp="proMX")*(R_EN&gt;0)*((R_EN-(R_EN&gt;BR562)*(R_EN-BR562))&gt;(R_SN+(R_SN&lt;BQ562)*(BQ562-R_SN)))*((R_EN-(R_EN&gt;BR562)*(R_EN-BR562))-(R_SN+(R_SN&lt;BQ562)*(BQ562-R_SN))))/60),0)</f>
        <v>0</v>
      </c>
      <c r="BT562" s="80">
        <f>IF(AND(BE562=1,D562="proMX"),ROUND(BI562*CFG_RATE+BJ562*CFG_OTRATE,6),0)</f>
        <v>0</v>
      </c>
      <c r="BU562" s="80">
        <f>IF(AND(BD562=1,D562="proMX"),ROUND(AG562/CFG_BLK,6),0)</f>
        <v>0</v>
      </c>
      <c r="BV562" s="80" t="str">
        <f>IF(BF562="Approved",IF(ISNUMBER(T562),INT(T562),INT(B562)),"")</f>
        <v/>
      </c>
      <c r="BW562" s="80">
        <f>IF(ISNUMBER(B562),IF(DB_MON="Todos",1,IF(AND(INT(B562)&gt;=DB_MS,INT(B562)&lt;=DB_ME),1,0)),0)</f>
        <v>0</v>
      </c>
      <c r="BX562" s="80">
        <f>IF(DB_PROJ="Todos",1,IF(E562&amp;""=DB_PROJ&amp;"",1,0))</f>
        <v>1</v>
      </c>
      <c r="BY562" s="80">
        <f>BW562*BX562</f>
        <v>0</v>
      </c>
      <c r="BZ562" s="80" t="str">
        <f>IF(Y562=1,F562&amp;IF(AND(F562&amp;""&lt;&gt;"",E562&amp;""&lt;&gt;"")," · ","")&amp;E562,"")</f>
        <v/>
      </c>
      <c r="CA562" s="80" t="str">
        <f>IF(AND(BD562=1,E562&amp;""&lt;&gt;""),IF(COUNTIFS($E$5:E561,E562,$BD$5:BD561,1)=0,MAX($CA$5:CA561)+1,""),"")</f>
        <v/>
      </c>
      <c r="CB562" s="80" t="str">
        <f>IF(AND(BE562=1,D562="Malcolm",E562&amp;""&lt;&gt;""),IF(COUNTIFS($D$5:D561,"Malcolm",$E$5:E561,E562,$BE$5:BE561,1)=0,MAX($CB$5:CB561)+1,""),"")</f>
        <v/>
      </c>
      <c r="CC562" s="80" t="str">
        <f>IF(AND(BD562=1,D562="proMX",E562&amp;""&lt;&gt;""),IF(COUNTIFS($D$5:D561,"proMX",$E$5:E561,E562,$BD$5:BD561,1)=0,MAX($CC$5:CC561)+1,""),"")</f>
        <v/>
      </c>
      <c r="CD562" s="80" t="str">
        <f>IF(AND(BE562=1,D562="Malcolm",F562&amp;""&lt;&gt;""),IF(COUNTIFS($D$5:D561,"Malcolm",$F$5:F561,F562,$BE$5:BE561,1)=0,MAX($CD$5:CD561)+1,""),"")</f>
        <v/>
      </c>
      <c r="CE562" s="80" t="str">
        <f>IF(AND(BD562=1,D562="proMX",F562&amp;""&lt;&gt;""),IF(COUNTIFS($D$5:D561,"proMX",$F$5:F561,F562,$BD$5:BD561,1)=0,MAX($CE$5:CE561)+1,""),"")</f>
        <v/>
      </c>
      <c r="CF562" s="80" t="str">
        <f>IF(AND(D562="proMX",BD562=1),IF(OR(BF562="Draft",BF562="Submitted",BF562="Returned",BF562="Recall Requested"),MAX($CF$5:CF561)+1,""),"")</f>
        <v/>
      </c>
      <c r="CG562" s="80">
        <f>IF(BD562=0,0,IF(D562="Malcolm",1,MATCH(BF562,{"Draft","Submitted","Approved","Returned","Recall Requested","Cancelled"},0)+1))</f>
        <v>0</v>
      </c>
      <c r="CH562" s="80">
        <f>IF(AND(BF562="Submitted",ISNUMBER(V562)),IF(V562&gt;CFG_MAXD,1,0),0)</f>
        <v>0</v>
      </c>
    </row>
    <row r="563">
      <c r="A563" s="71" t="str">
        <f>IF(Y563=1,ROW()-5,"")</f>
        <v/>
      </c>
      <c r="B563" s="72" t="n"/>
      <c r="C563" s="71" t="str">
        <f>IF(ISNUMBER(B563),CHOOSE(WEEKDAY(B563,2),"Lun","Mar","Mié","Jue","Vie","Sáb","Dom"),"")</f>
        <v/>
      </c>
      <c r="D563" s="73" t="n"/>
      <c r="E563" s="74" t="n"/>
      <c r="F563" s="74" t="n"/>
      <c r="G563" s="74" t="n"/>
      <c r="H563" s="75" t="n"/>
      <c r="I563" s="75" t="n"/>
      <c r="J563" s="76" t="n"/>
      <c r="K563" s="77" t="str">
        <f>IF(AB563=1,ROUND(AG563/60,4),"")</f>
        <v/>
      </c>
      <c r="L563" s="77" t="str">
        <f>IF(BD563=1,ROUND(AP563/60,4),"")</f>
        <v/>
      </c>
      <c r="M563" s="77" t="str">
        <f>IF(BD563=1,ROUND(AQ563/60,4),"")</f>
        <v/>
      </c>
      <c r="N563" s="71" t="str">
        <f>IF(AND(D563="proMX",AB563=1),ROUND(AG563/CFG_BLK,2),"")</f>
        <v/>
      </c>
      <c r="O563" s="77" t="str">
        <f>IF(D563="proMX",IF(BD563=1,ROUND(AG563/60,4),0),"")</f>
        <v/>
      </c>
      <c r="P563" s="78" t="str">
        <f>IF(Y563=0,"",IF(BD563=1,"OK",IF(D563="proMX","Revisar bloques: ","Revisar: ")&amp;BC563))</f>
        <v/>
      </c>
      <c r="Q563" s="78" t="str">
        <f>IF(NOT(ISNUMBER(B563)),"",IF(COUNTIFS(FER_F,INT(B563))&gt;0,"Feriado"&amp;IF(AH563=1," (laborable)"," (no laborable)"),IF(AH563=1,"Laborable",IF(WEEKDAY(B563,2)&gt;5,"Fin de semana","No laborable"))))</f>
        <v/>
      </c>
      <c r="R563" s="73" t="n"/>
      <c r="S563" s="72" t="n"/>
      <c r="T563" s="72" t="n"/>
      <c r="U563" s="74" t="n"/>
      <c r="V563" s="79" t="str">
        <f>IF(AND(D563="proMX",OR(R563="Submitted",R563="Recall Requested"),ISNUMBER(S563)),CFG_TODAY-INT(S563),"")</f>
        <v/>
      </c>
      <c r="W563" s="78" t="str">
        <f>IF(BD563=0,"",IF(BA563&gt;0,"⚠ Se superpone con un registro de la otra empresa",IF(D563="Malcolm",IF(COUNTA(R563,S563,T563)&gt;0,"Estado/fechas proMX se ignoran en Malcolm",""),IF(BF563="Cancelled","Cancelado: excluido de totales",IF(R563="","Sin estado: se trata como Draft",IF(BF563="Submitted",IF(ISNUMBER(V563),IF(V563&gt;CFG_MAXD,"⚠ "&amp;V563&amp;" días en Submitted (máx. "&amp;CFG_MAXD&amp;")",""),"Falta fecha de envío"),IF(BF563="Returned","⚠ Devuelto: corregir y reenviar",IF(BF563="Recall Requested","Retirada solicitada: pendiente",IF(AND(BF563="Approved",NOT(ISNUMBER(T563))),"Falta fecha de aprobación",IF(AND(ISNUMBER(S563),ISNUMBER(T563),T563&lt;S563),"Aprobación anterior al envío","")))))))))</f>
        <v/>
      </c>
      <c r="Y563" s="80">
        <f>IF(COUNTA(B563,D563,E563,F563,G563,H563,I563,J563,R563,S563,T563)&gt;0,1,0)</f>
        <v>0</v>
      </c>
      <c r="Z563" s="80" t="str">
        <f>IF(AND(ISNUMBER(H563),H563&gt;=0,H563&lt;1),ROUND(H563*1440,0),"")</f>
        <v/>
      </c>
      <c r="AA563" s="80" t="str">
        <f>IF(AND(ISNUMBER(I563),I563&gt;=0,I563&lt;1),ROUND(I563*1440,0),"")</f>
        <v/>
      </c>
      <c r="AB563" s="80">
        <f>IF(AND(ISNUMBER(B563),D563&lt;&gt;"",ISNUMBER(Z563),ISNUMBER(AA563)),IF(Z563=AA563,0,1),0)</f>
        <v>0</v>
      </c>
      <c r="AC563" s="80">
        <f>IF(AB563=1,IF(AA563&lt;Z563,1,0),0)</f>
        <v>0</v>
      </c>
      <c r="AD563" s="80">
        <f>IF(AB563=1,IF(AC563=1,1440-Z563+AA563,AA563-Z563),0)</f>
        <v>0</v>
      </c>
      <c r="AE563" s="80">
        <f>IF(J563="",0,IF(ISNUMBER(J563),J563,-1))</f>
        <v>0</v>
      </c>
      <c r="AF563" s="80">
        <f>MIN(MAX(0,AE563),AD563)</f>
        <v>0</v>
      </c>
      <c r="AG563" s="80">
        <f>MAX(0,AD563-MAX(0,AE563))</f>
        <v>0</v>
      </c>
      <c r="AH563" s="80">
        <f>IF(ISNUMBER(B563),IF(AND(INDEX(CFG_WDAYS,WEEKDAY(INT(B563),2))="Sí",IF(D563="proMX",COUNTIFS(FER_F,INT(B563),FER_NLP,"Sí"),COUNTIFS(FER_F,INT(B563),FER_NLM,"Sí"))=0),1,0),0)</f>
        <v>0</v>
      </c>
      <c r="AI563" s="80">
        <f>IF(AC563=1,IF(AND(INDEX(CFG_WDAYS,WEEKDAY(INT(B563)+1,2))="Sí",IF(D563="proMX",COUNTIFS(FER_F,INT(B563)+1,FER_NLP,"Sí"),COUNTIFS(FER_F,INT(B563)+1,FER_NLM,"Sí"))=0),1,0),0)</f>
        <v>0</v>
      </c>
      <c r="AJ563" s="80">
        <f>IF(AC563=1,1440-Z563,AD563)</f>
        <v>0</v>
      </c>
      <c r="AK563" s="80">
        <f>IF(AND(AB563=1,AH563=1),MAX(0,MIN(IF(AC563=1,1440,AA563),CFG_WEM)-MAX(Z563,CFG_WSM)),0)</f>
        <v>0</v>
      </c>
      <c r="AL563" s="80">
        <f>IF(AND(AC563=1,AI563=1),MAX(0,MIN(AA563,CFG_WEM)-CFG_WSM),0)</f>
        <v>0</v>
      </c>
      <c r="AM563" s="80">
        <f>AK563+AL563</f>
        <v>0</v>
      </c>
      <c r="AN563" s="80">
        <f>IF(CFG_BRK="Proporcional",IF(AD563=0,0,AF563*AM563/AD563),IF(CFG_BRK="Extras primero",MIN(AM563,MAX(0,AF563-(AD563-AM563))),MIN(AF563,AM563)))</f>
        <v>0</v>
      </c>
      <c r="AO563" s="80">
        <f>AF563-AN563</f>
        <v>0</v>
      </c>
      <c r="AP563" s="80">
        <f>AM563-AN563</f>
        <v>0</v>
      </c>
      <c r="AQ563" s="80">
        <f>AD563-AM563-AO563</f>
        <v>0</v>
      </c>
      <c r="AR563" s="80">
        <f>IF(AM563=0,0,AK563-AN563*AK563/AM563)</f>
        <v>0</v>
      </c>
      <c r="AS563" s="80">
        <f>IF(AD563-AM563=0,0,(AJ563-AK563)-AO563*(AJ563-AK563)/(AD563-AM563))</f>
        <v>0</v>
      </c>
      <c r="AT563" s="80" t="str">
        <f>IF(AC563=1,INT(B563)+1,"")</f>
        <v/>
      </c>
      <c r="AU563" s="80">
        <f>IF(AND(D563="proMX",R563="Cancelled"),0,1)</f>
        <v>1</v>
      </c>
      <c r="AV563" s="80">
        <f>IF(AND(AB563=1,AU563=1),IF(COUNTIFS($D$5:D562,D563,$B$5:B562,B563,$Z$5:Z562,Z563,$AA$5:AA562,AA563,$F$5:F562,F563&amp;"",$AU$5:AU562,1)&gt;0,1,0),0)</f>
        <v>0</v>
      </c>
      <c r="AW563" s="80" t="str">
        <f>IF(AB563=1,INT(B563)*1440+Z563,"")</f>
        <v/>
      </c>
      <c r="AX563" s="80" t="str">
        <f>IF(AB563=1,AW563+AD563,"")</f>
        <v/>
      </c>
      <c r="AY563" s="80">
        <f>IF(AND(AB563=1,AV563=0,AU563=1),1,0)</f>
        <v>0</v>
      </c>
      <c r="AZ563" s="80">
        <f>IF(AY563=1,COUNTIFS(R_Emp,D563,R_SAbs,"&lt;"&amp;AX563,R_EAbs,"&gt;"&amp;AW563,R_OKey,1)-1,0)</f>
        <v>0</v>
      </c>
      <c r="BA563" s="80">
        <f>IF(AY563=1,COUNTIFS(R_Emp,"&lt;&gt;"&amp;D563,R_SAbs,"&lt;"&amp;AX563,R_EAbs,"&gt;"&amp;AW563,R_OKey,1),0)</f>
        <v>0</v>
      </c>
      <c r="BB563" s="80">
        <f>IF(AND(AB563=1,D563="proMX"),IF(AND(MOD(Z563,CFG_BLK)=0,MOD(AA563,CFG_BLK)=0,MOD(AG563,CFG_BLK)=0,AG563&gt;0),1,0),1)</f>
        <v>1</v>
      </c>
      <c r="BC563" s="80" t="str">
        <f>IF(Y563=0,"",IF(NOT(ISNUMBER(B563)),"Falta fecha o fecha inválida",IF(D563="","Falta empresa",IF(AND(D563&lt;&gt;"Malcolm",D563&lt;&gt;"proMX"),"Empresa inválida",IF(OR(INT(B563)&lt;CFG_PSTART,INT(B563)&gt;CFG_PEND),"Fecha fuera del período",IF(OR(NOT(ISNUMBER(Z563)),NOT(ISNUMBER(AA563))),"Falta hora inicio/fin o formato inválido",IF(AB563=0,"Hora inicio = hora fin",IF(AE563&lt;0,"Descanso inválido",IF(AE563&gt;=AD563,"Descanso ≥ duración",IF(AV563=1,"Registro duplicado",IF(AZ563&gt;0,"Se superpone con otro registro "&amp;D563,IF(BB563=0,"inicio, fin y duración neta deben ser múltiplos de "&amp;CFG_BLK&amp;" min",""))))))))))))</f>
        <v/>
      </c>
      <c r="BD563" s="80">
        <f>IF(AND(Y563=1,BC563=""),1,0)</f>
        <v>0</v>
      </c>
      <c r="BE563" s="80">
        <f>IF(AND(BD563=1,AU563=1),1,0)</f>
        <v>0</v>
      </c>
      <c r="BF563" s="80" t="str">
        <f>IF(AND(D563="proMX",BD563=1),IF(R563="","Draft",R563),"")</f>
        <v/>
      </c>
      <c r="BG563" s="80">
        <f>IF(BD563=1,ROUND(AG563/60,6),0)</f>
        <v>0</v>
      </c>
      <c r="BH563" s="80">
        <f>IF(BE563=1,ROUND(AG563/60,6),0)</f>
        <v>0</v>
      </c>
      <c r="BI563" s="80">
        <f>IF(BE563=1,ROUND(AP563/60,6),0)</f>
        <v>0</v>
      </c>
      <c r="BJ563" s="80">
        <f>IF(BE563=1,ROUND(AQ563/60,6),0)</f>
        <v>0</v>
      </c>
      <c r="BK563" s="80">
        <f>IF(BE563=1,ROUND((AR563+AS563)/60,6),0)</f>
        <v>0</v>
      </c>
      <c r="BL563" s="80">
        <f>ROUND(BH563-BK563,6)</f>
        <v>0</v>
      </c>
      <c r="BM563" s="80">
        <f>IF(BE563=1,ROUND(AR563/60,6),0)</f>
        <v>0</v>
      </c>
      <c r="BN563" s="80">
        <f>ROUND(BI563-BM563,6)</f>
        <v>0</v>
      </c>
      <c r="BO563" s="80">
        <f>IF(BE563=1,ROUND(AS563/60,6),0)</f>
        <v>0</v>
      </c>
      <c r="BP563" s="80">
        <f>ROUND(BJ563-BO563,6)</f>
        <v>0</v>
      </c>
      <c r="BQ563" s="80">
        <f>IF(BE563=1,AW563,0)</f>
        <v>0</v>
      </c>
      <c r="BR563" s="80">
        <f>IF(BE563=1,AX563,0)</f>
        <v>0</v>
      </c>
      <c r="BS563" s="80">
        <f>IF(AND(BE563=1,D563="Malcolm",BA563&gt;0),MIN(BH563,SUMPRODUCT((R_Emp="proMX")*(R_EN&gt;0)*((R_EN-(R_EN&gt;BR563)*(R_EN-BR563))&gt;(R_SN+(R_SN&lt;BQ563)*(BQ563-R_SN)))*((R_EN-(R_EN&gt;BR563)*(R_EN-BR563))-(R_SN+(R_SN&lt;BQ563)*(BQ563-R_SN))))/60),0)</f>
        <v>0</v>
      </c>
      <c r="BT563" s="80">
        <f>IF(AND(BE563=1,D563="proMX"),ROUND(BI563*CFG_RATE+BJ563*CFG_OTRATE,6),0)</f>
        <v>0</v>
      </c>
      <c r="BU563" s="80">
        <f>IF(AND(BD563=1,D563="proMX"),ROUND(AG563/CFG_BLK,6),0)</f>
        <v>0</v>
      </c>
      <c r="BV563" s="80" t="str">
        <f>IF(BF563="Approved",IF(ISNUMBER(T563),INT(T563),INT(B563)),"")</f>
        <v/>
      </c>
      <c r="BW563" s="80">
        <f>IF(ISNUMBER(B563),IF(DB_MON="Todos",1,IF(AND(INT(B563)&gt;=DB_MS,INT(B563)&lt;=DB_ME),1,0)),0)</f>
        <v>0</v>
      </c>
      <c r="BX563" s="80">
        <f>IF(DB_PROJ="Todos",1,IF(E563&amp;""=DB_PROJ&amp;"",1,0))</f>
        <v>1</v>
      </c>
      <c r="BY563" s="80">
        <f>BW563*BX563</f>
        <v>0</v>
      </c>
      <c r="BZ563" s="80" t="str">
        <f>IF(Y563=1,F563&amp;IF(AND(F563&amp;""&lt;&gt;"",E563&amp;""&lt;&gt;"")," · ","")&amp;E563,"")</f>
        <v/>
      </c>
      <c r="CA563" s="80" t="str">
        <f>IF(AND(BD563=1,E563&amp;""&lt;&gt;""),IF(COUNTIFS($E$5:E562,E563,$BD$5:BD562,1)=0,MAX($CA$5:CA562)+1,""),"")</f>
        <v/>
      </c>
      <c r="CB563" s="80" t="str">
        <f>IF(AND(BE563=1,D563="Malcolm",E563&amp;""&lt;&gt;""),IF(COUNTIFS($D$5:D562,"Malcolm",$E$5:E562,E563,$BE$5:BE562,1)=0,MAX($CB$5:CB562)+1,""),"")</f>
        <v/>
      </c>
      <c r="CC563" s="80" t="str">
        <f>IF(AND(BD563=1,D563="proMX",E563&amp;""&lt;&gt;""),IF(COUNTIFS($D$5:D562,"proMX",$E$5:E562,E563,$BD$5:BD562,1)=0,MAX($CC$5:CC562)+1,""),"")</f>
        <v/>
      </c>
      <c r="CD563" s="80" t="str">
        <f>IF(AND(BE563=1,D563="Malcolm",F563&amp;""&lt;&gt;""),IF(COUNTIFS($D$5:D562,"Malcolm",$F$5:F562,F563,$BE$5:BE562,1)=0,MAX($CD$5:CD562)+1,""),"")</f>
        <v/>
      </c>
      <c r="CE563" s="80" t="str">
        <f>IF(AND(BD563=1,D563="proMX",F563&amp;""&lt;&gt;""),IF(COUNTIFS($D$5:D562,"proMX",$F$5:F562,F563,$BD$5:BD562,1)=0,MAX($CE$5:CE562)+1,""),"")</f>
        <v/>
      </c>
      <c r="CF563" s="80" t="str">
        <f>IF(AND(D563="proMX",BD563=1),IF(OR(BF563="Draft",BF563="Submitted",BF563="Returned",BF563="Recall Requested"),MAX($CF$5:CF562)+1,""),"")</f>
        <v/>
      </c>
      <c r="CG563" s="80">
        <f>IF(BD563=0,0,IF(D563="Malcolm",1,MATCH(BF563,{"Draft","Submitted","Approved","Returned","Recall Requested","Cancelled"},0)+1))</f>
        <v>0</v>
      </c>
      <c r="CH563" s="80">
        <f>IF(AND(BF563="Submitted",ISNUMBER(V563)),IF(V563&gt;CFG_MAXD,1,0),0)</f>
        <v>0</v>
      </c>
    </row>
    <row r="564">
      <c r="A564" s="71" t="str">
        <f>IF(Y564=1,ROW()-5,"")</f>
        <v/>
      </c>
      <c r="B564" s="72" t="n"/>
      <c r="C564" s="71" t="str">
        <f>IF(ISNUMBER(B564),CHOOSE(WEEKDAY(B564,2),"Lun","Mar","Mié","Jue","Vie","Sáb","Dom"),"")</f>
        <v/>
      </c>
      <c r="D564" s="73" t="n"/>
      <c r="E564" s="74" t="n"/>
      <c r="F564" s="74" t="n"/>
      <c r="G564" s="74" t="n"/>
      <c r="H564" s="75" t="n"/>
      <c r="I564" s="75" t="n"/>
      <c r="J564" s="76" t="n"/>
      <c r="K564" s="77" t="str">
        <f>IF(AB564=1,ROUND(AG564/60,4),"")</f>
        <v/>
      </c>
      <c r="L564" s="77" t="str">
        <f>IF(BD564=1,ROUND(AP564/60,4),"")</f>
        <v/>
      </c>
      <c r="M564" s="77" t="str">
        <f>IF(BD564=1,ROUND(AQ564/60,4),"")</f>
        <v/>
      </c>
      <c r="N564" s="71" t="str">
        <f>IF(AND(D564="proMX",AB564=1),ROUND(AG564/CFG_BLK,2),"")</f>
        <v/>
      </c>
      <c r="O564" s="77" t="str">
        <f>IF(D564="proMX",IF(BD564=1,ROUND(AG564/60,4),0),"")</f>
        <v/>
      </c>
      <c r="P564" s="78" t="str">
        <f>IF(Y564=0,"",IF(BD564=1,"OK",IF(D564="proMX","Revisar bloques: ","Revisar: ")&amp;BC564))</f>
        <v/>
      </c>
      <c r="Q564" s="78" t="str">
        <f>IF(NOT(ISNUMBER(B564)),"",IF(COUNTIFS(FER_F,INT(B564))&gt;0,"Feriado"&amp;IF(AH564=1," (laborable)"," (no laborable)"),IF(AH564=1,"Laborable",IF(WEEKDAY(B564,2)&gt;5,"Fin de semana","No laborable"))))</f>
        <v/>
      </c>
      <c r="R564" s="73" t="n"/>
      <c r="S564" s="72" t="n"/>
      <c r="T564" s="72" t="n"/>
      <c r="U564" s="74" t="n"/>
      <c r="V564" s="79" t="str">
        <f>IF(AND(D564="proMX",OR(R564="Submitted",R564="Recall Requested"),ISNUMBER(S564)),CFG_TODAY-INT(S564),"")</f>
        <v/>
      </c>
      <c r="W564" s="78" t="str">
        <f>IF(BD564=0,"",IF(BA564&gt;0,"⚠ Se superpone con un registro de la otra empresa",IF(D564="Malcolm",IF(COUNTA(R564,S564,T564)&gt;0,"Estado/fechas proMX se ignoran en Malcolm",""),IF(BF564="Cancelled","Cancelado: excluido de totales",IF(R564="","Sin estado: se trata como Draft",IF(BF564="Submitted",IF(ISNUMBER(V564),IF(V564&gt;CFG_MAXD,"⚠ "&amp;V564&amp;" días en Submitted (máx. "&amp;CFG_MAXD&amp;")",""),"Falta fecha de envío"),IF(BF564="Returned","⚠ Devuelto: corregir y reenviar",IF(BF564="Recall Requested","Retirada solicitada: pendiente",IF(AND(BF564="Approved",NOT(ISNUMBER(T564))),"Falta fecha de aprobación",IF(AND(ISNUMBER(S564),ISNUMBER(T564),T564&lt;S564),"Aprobación anterior al envío","")))))))))</f>
        <v/>
      </c>
      <c r="Y564" s="80">
        <f>IF(COUNTA(B564,D564,E564,F564,G564,H564,I564,J564,R564,S564,T564)&gt;0,1,0)</f>
        <v>0</v>
      </c>
      <c r="Z564" s="80" t="str">
        <f>IF(AND(ISNUMBER(H564),H564&gt;=0,H564&lt;1),ROUND(H564*1440,0),"")</f>
        <v/>
      </c>
      <c r="AA564" s="80" t="str">
        <f>IF(AND(ISNUMBER(I564),I564&gt;=0,I564&lt;1),ROUND(I564*1440,0),"")</f>
        <v/>
      </c>
      <c r="AB564" s="80">
        <f>IF(AND(ISNUMBER(B564),D564&lt;&gt;"",ISNUMBER(Z564),ISNUMBER(AA564)),IF(Z564=AA564,0,1),0)</f>
        <v>0</v>
      </c>
      <c r="AC564" s="80">
        <f>IF(AB564=1,IF(AA564&lt;Z564,1,0),0)</f>
        <v>0</v>
      </c>
      <c r="AD564" s="80">
        <f>IF(AB564=1,IF(AC564=1,1440-Z564+AA564,AA564-Z564),0)</f>
        <v>0</v>
      </c>
      <c r="AE564" s="80">
        <f>IF(J564="",0,IF(ISNUMBER(J564),J564,-1))</f>
        <v>0</v>
      </c>
      <c r="AF564" s="80">
        <f>MIN(MAX(0,AE564),AD564)</f>
        <v>0</v>
      </c>
      <c r="AG564" s="80">
        <f>MAX(0,AD564-MAX(0,AE564))</f>
        <v>0</v>
      </c>
      <c r="AH564" s="80">
        <f>IF(ISNUMBER(B564),IF(AND(INDEX(CFG_WDAYS,WEEKDAY(INT(B564),2))="Sí",IF(D564="proMX",COUNTIFS(FER_F,INT(B564),FER_NLP,"Sí"),COUNTIFS(FER_F,INT(B564),FER_NLM,"Sí"))=0),1,0),0)</f>
        <v>0</v>
      </c>
      <c r="AI564" s="80">
        <f>IF(AC564=1,IF(AND(INDEX(CFG_WDAYS,WEEKDAY(INT(B564)+1,2))="Sí",IF(D564="proMX",COUNTIFS(FER_F,INT(B564)+1,FER_NLP,"Sí"),COUNTIFS(FER_F,INT(B564)+1,FER_NLM,"Sí"))=0),1,0),0)</f>
        <v>0</v>
      </c>
      <c r="AJ564" s="80">
        <f>IF(AC564=1,1440-Z564,AD564)</f>
        <v>0</v>
      </c>
      <c r="AK564" s="80">
        <f>IF(AND(AB564=1,AH564=1),MAX(0,MIN(IF(AC564=1,1440,AA564),CFG_WEM)-MAX(Z564,CFG_WSM)),0)</f>
        <v>0</v>
      </c>
      <c r="AL564" s="80">
        <f>IF(AND(AC564=1,AI564=1),MAX(0,MIN(AA564,CFG_WEM)-CFG_WSM),0)</f>
        <v>0</v>
      </c>
      <c r="AM564" s="80">
        <f>AK564+AL564</f>
        <v>0</v>
      </c>
      <c r="AN564" s="80">
        <f>IF(CFG_BRK="Proporcional",IF(AD564=0,0,AF564*AM564/AD564),IF(CFG_BRK="Extras primero",MIN(AM564,MAX(0,AF564-(AD564-AM564))),MIN(AF564,AM564)))</f>
        <v>0</v>
      </c>
      <c r="AO564" s="80">
        <f>AF564-AN564</f>
        <v>0</v>
      </c>
      <c r="AP564" s="80">
        <f>AM564-AN564</f>
        <v>0</v>
      </c>
      <c r="AQ564" s="80">
        <f>AD564-AM564-AO564</f>
        <v>0</v>
      </c>
      <c r="AR564" s="80">
        <f>IF(AM564=0,0,AK564-AN564*AK564/AM564)</f>
        <v>0</v>
      </c>
      <c r="AS564" s="80">
        <f>IF(AD564-AM564=0,0,(AJ564-AK564)-AO564*(AJ564-AK564)/(AD564-AM564))</f>
        <v>0</v>
      </c>
      <c r="AT564" s="80" t="str">
        <f>IF(AC564=1,INT(B564)+1,"")</f>
        <v/>
      </c>
      <c r="AU564" s="80">
        <f>IF(AND(D564="proMX",R564="Cancelled"),0,1)</f>
        <v>1</v>
      </c>
      <c r="AV564" s="80">
        <f>IF(AND(AB564=1,AU564=1),IF(COUNTIFS($D$5:D563,D564,$B$5:B563,B564,$Z$5:Z563,Z564,$AA$5:AA563,AA564,$F$5:F563,F564&amp;"",$AU$5:AU563,1)&gt;0,1,0),0)</f>
        <v>0</v>
      </c>
      <c r="AW564" s="80" t="str">
        <f>IF(AB564=1,INT(B564)*1440+Z564,"")</f>
        <v/>
      </c>
      <c r="AX564" s="80" t="str">
        <f>IF(AB564=1,AW564+AD564,"")</f>
        <v/>
      </c>
      <c r="AY564" s="80">
        <f>IF(AND(AB564=1,AV564=0,AU564=1),1,0)</f>
        <v>0</v>
      </c>
      <c r="AZ564" s="80">
        <f>IF(AY564=1,COUNTIFS(R_Emp,D564,R_SAbs,"&lt;"&amp;AX564,R_EAbs,"&gt;"&amp;AW564,R_OKey,1)-1,0)</f>
        <v>0</v>
      </c>
      <c r="BA564" s="80">
        <f>IF(AY564=1,COUNTIFS(R_Emp,"&lt;&gt;"&amp;D564,R_SAbs,"&lt;"&amp;AX564,R_EAbs,"&gt;"&amp;AW564,R_OKey,1),0)</f>
        <v>0</v>
      </c>
      <c r="BB564" s="80">
        <f>IF(AND(AB564=1,D564="proMX"),IF(AND(MOD(Z564,CFG_BLK)=0,MOD(AA564,CFG_BLK)=0,MOD(AG564,CFG_BLK)=0,AG564&gt;0),1,0),1)</f>
        <v>1</v>
      </c>
      <c r="BC564" s="80" t="str">
        <f>IF(Y564=0,"",IF(NOT(ISNUMBER(B564)),"Falta fecha o fecha inválida",IF(D564="","Falta empresa",IF(AND(D564&lt;&gt;"Malcolm",D564&lt;&gt;"proMX"),"Empresa inválida",IF(OR(INT(B564)&lt;CFG_PSTART,INT(B564)&gt;CFG_PEND),"Fecha fuera del período",IF(OR(NOT(ISNUMBER(Z564)),NOT(ISNUMBER(AA564))),"Falta hora inicio/fin o formato inválido",IF(AB564=0,"Hora inicio = hora fin",IF(AE564&lt;0,"Descanso inválido",IF(AE564&gt;=AD564,"Descanso ≥ duración",IF(AV564=1,"Registro duplicado",IF(AZ564&gt;0,"Se superpone con otro registro "&amp;D564,IF(BB564=0,"inicio, fin y duración neta deben ser múltiplos de "&amp;CFG_BLK&amp;" min",""))))))))))))</f>
        <v/>
      </c>
      <c r="BD564" s="80">
        <f>IF(AND(Y564=1,BC564=""),1,0)</f>
        <v>0</v>
      </c>
      <c r="BE564" s="80">
        <f>IF(AND(BD564=1,AU564=1),1,0)</f>
        <v>0</v>
      </c>
      <c r="BF564" s="80" t="str">
        <f>IF(AND(D564="proMX",BD564=1),IF(R564="","Draft",R564),"")</f>
        <v/>
      </c>
      <c r="BG564" s="80">
        <f>IF(BD564=1,ROUND(AG564/60,6),0)</f>
        <v>0</v>
      </c>
      <c r="BH564" s="80">
        <f>IF(BE564=1,ROUND(AG564/60,6),0)</f>
        <v>0</v>
      </c>
      <c r="BI564" s="80">
        <f>IF(BE564=1,ROUND(AP564/60,6),0)</f>
        <v>0</v>
      </c>
      <c r="BJ564" s="80">
        <f>IF(BE564=1,ROUND(AQ564/60,6),0)</f>
        <v>0</v>
      </c>
      <c r="BK564" s="80">
        <f>IF(BE564=1,ROUND((AR564+AS564)/60,6),0)</f>
        <v>0</v>
      </c>
      <c r="BL564" s="80">
        <f>ROUND(BH564-BK564,6)</f>
        <v>0</v>
      </c>
      <c r="BM564" s="80">
        <f>IF(BE564=1,ROUND(AR564/60,6),0)</f>
        <v>0</v>
      </c>
      <c r="BN564" s="80">
        <f>ROUND(BI564-BM564,6)</f>
        <v>0</v>
      </c>
      <c r="BO564" s="80">
        <f>IF(BE564=1,ROUND(AS564/60,6),0)</f>
        <v>0</v>
      </c>
      <c r="BP564" s="80">
        <f>ROUND(BJ564-BO564,6)</f>
        <v>0</v>
      </c>
      <c r="BQ564" s="80">
        <f>IF(BE564=1,AW564,0)</f>
        <v>0</v>
      </c>
      <c r="BR564" s="80">
        <f>IF(BE564=1,AX564,0)</f>
        <v>0</v>
      </c>
      <c r="BS564" s="80">
        <f>IF(AND(BE564=1,D564="Malcolm",BA564&gt;0),MIN(BH564,SUMPRODUCT((R_Emp="proMX")*(R_EN&gt;0)*((R_EN-(R_EN&gt;BR564)*(R_EN-BR564))&gt;(R_SN+(R_SN&lt;BQ564)*(BQ564-R_SN)))*((R_EN-(R_EN&gt;BR564)*(R_EN-BR564))-(R_SN+(R_SN&lt;BQ564)*(BQ564-R_SN))))/60),0)</f>
        <v>0</v>
      </c>
      <c r="BT564" s="80">
        <f>IF(AND(BE564=1,D564="proMX"),ROUND(BI564*CFG_RATE+BJ564*CFG_OTRATE,6),0)</f>
        <v>0</v>
      </c>
      <c r="BU564" s="80">
        <f>IF(AND(BD564=1,D564="proMX"),ROUND(AG564/CFG_BLK,6),0)</f>
        <v>0</v>
      </c>
      <c r="BV564" s="80" t="str">
        <f>IF(BF564="Approved",IF(ISNUMBER(T564),INT(T564),INT(B564)),"")</f>
        <v/>
      </c>
      <c r="BW564" s="80">
        <f>IF(ISNUMBER(B564),IF(DB_MON="Todos",1,IF(AND(INT(B564)&gt;=DB_MS,INT(B564)&lt;=DB_ME),1,0)),0)</f>
        <v>0</v>
      </c>
      <c r="BX564" s="80">
        <f>IF(DB_PROJ="Todos",1,IF(E564&amp;""=DB_PROJ&amp;"",1,0))</f>
        <v>1</v>
      </c>
      <c r="BY564" s="80">
        <f>BW564*BX564</f>
        <v>0</v>
      </c>
      <c r="BZ564" s="80" t="str">
        <f>IF(Y564=1,F564&amp;IF(AND(F564&amp;""&lt;&gt;"",E564&amp;""&lt;&gt;"")," · ","")&amp;E564,"")</f>
        <v/>
      </c>
      <c r="CA564" s="80" t="str">
        <f>IF(AND(BD564=1,E564&amp;""&lt;&gt;""),IF(COUNTIFS($E$5:E563,E564,$BD$5:BD563,1)=0,MAX($CA$5:CA563)+1,""),"")</f>
        <v/>
      </c>
      <c r="CB564" s="80" t="str">
        <f>IF(AND(BE564=1,D564="Malcolm",E564&amp;""&lt;&gt;""),IF(COUNTIFS($D$5:D563,"Malcolm",$E$5:E563,E564,$BE$5:BE563,1)=0,MAX($CB$5:CB563)+1,""),"")</f>
        <v/>
      </c>
      <c r="CC564" s="80" t="str">
        <f>IF(AND(BD564=1,D564="proMX",E564&amp;""&lt;&gt;""),IF(COUNTIFS($D$5:D563,"proMX",$E$5:E563,E564,$BD$5:BD563,1)=0,MAX($CC$5:CC563)+1,""),"")</f>
        <v/>
      </c>
      <c r="CD564" s="80" t="str">
        <f>IF(AND(BE564=1,D564="Malcolm",F564&amp;""&lt;&gt;""),IF(COUNTIFS($D$5:D563,"Malcolm",$F$5:F563,F564,$BE$5:BE563,1)=0,MAX($CD$5:CD563)+1,""),"")</f>
        <v/>
      </c>
      <c r="CE564" s="80" t="str">
        <f>IF(AND(BD564=1,D564="proMX",F564&amp;""&lt;&gt;""),IF(COUNTIFS($D$5:D563,"proMX",$F$5:F563,F564,$BD$5:BD563,1)=0,MAX($CE$5:CE563)+1,""),"")</f>
        <v/>
      </c>
      <c r="CF564" s="80" t="str">
        <f>IF(AND(D564="proMX",BD564=1),IF(OR(BF564="Draft",BF564="Submitted",BF564="Returned",BF564="Recall Requested"),MAX($CF$5:CF563)+1,""),"")</f>
        <v/>
      </c>
      <c r="CG564" s="80">
        <f>IF(BD564=0,0,IF(D564="Malcolm",1,MATCH(BF564,{"Draft","Submitted","Approved","Returned","Recall Requested","Cancelled"},0)+1))</f>
        <v>0</v>
      </c>
      <c r="CH564" s="80">
        <f>IF(AND(BF564="Submitted",ISNUMBER(V564)),IF(V564&gt;CFG_MAXD,1,0),0)</f>
        <v>0</v>
      </c>
    </row>
    <row r="565">
      <c r="A565" s="71" t="str">
        <f>IF(Y565=1,ROW()-5,"")</f>
        <v/>
      </c>
      <c r="B565" s="72" t="n"/>
      <c r="C565" s="71" t="str">
        <f>IF(ISNUMBER(B565),CHOOSE(WEEKDAY(B565,2),"Lun","Mar","Mié","Jue","Vie","Sáb","Dom"),"")</f>
        <v/>
      </c>
      <c r="D565" s="73" t="n"/>
      <c r="E565" s="74" t="n"/>
      <c r="F565" s="74" t="n"/>
      <c r="G565" s="74" t="n"/>
      <c r="H565" s="75" t="n"/>
      <c r="I565" s="75" t="n"/>
      <c r="J565" s="76" t="n"/>
      <c r="K565" s="77" t="str">
        <f>IF(AB565=1,ROUND(AG565/60,4),"")</f>
        <v/>
      </c>
      <c r="L565" s="77" t="str">
        <f>IF(BD565=1,ROUND(AP565/60,4),"")</f>
        <v/>
      </c>
      <c r="M565" s="77" t="str">
        <f>IF(BD565=1,ROUND(AQ565/60,4),"")</f>
        <v/>
      </c>
      <c r="N565" s="71" t="str">
        <f>IF(AND(D565="proMX",AB565=1),ROUND(AG565/CFG_BLK,2),"")</f>
        <v/>
      </c>
      <c r="O565" s="77" t="str">
        <f>IF(D565="proMX",IF(BD565=1,ROUND(AG565/60,4),0),"")</f>
        <v/>
      </c>
      <c r="P565" s="78" t="str">
        <f>IF(Y565=0,"",IF(BD565=1,"OK",IF(D565="proMX","Revisar bloques: ","Revisar: ")&amp;BC565))</f>
        <v/>
      </c>
      <c r="Q565" s="78" t="str">
        <f>IF(NOT(ISNUMBER(B565)),"",IF(COUNTIFS(FER_F,INT(B565))&gt;0,"Feriado"&amp;IF(AH565=1," (laborable)"," (no laborable)"),IF(AH565=1,"Laborable",IF(WEEKDAY(B565,2)&gt;5,"Fin de semana","No laborable"))))</f>
        <v/>
      </c>
      <c r="R565" s="73" t="n"/>
      <c r="S565" s="72" t="n"/>
      <c r="T565" s="72" t="n"/>
      <c r="U565" s="74" t="n"/>
      <c r="V565" s="79" t="str">
        <f>IF(AND(D565="proMX",OR(R565="Submitted",R565="Recall Requested"),ISNUMBER(S565)),CFG_TODAY-INT(S565),"")</f>
        <v/>
      </c>
      <c r="W565" s="78" t="str">
        <f>IF(BD565=0,"",IF(BA565&gt;0,"⚠ Se superpone con un registro de la otra empresa",IF(D565="Malcolm",IF(COUNTA(R565,S565,T565)&gt;0,"Estado/fechas proMX se ignoran en Malcolm",""),IF(BF565="Cancelled","Cancelado: excluido de totales",IF(R565="","Sin estado: se trata como Draft",IF(BF565="Submitted",IF(ISNUMBER(V565),IF(V565&gt;CFG_MAXD,"⚠ "&amp;V565&amp;" días en Submitted (máx. "&amp;CFG_MAXD&amp;")",""),"Falta fecha de envío"),IF(BF565="Returned","⚠ Devuelto: corregir y reenviar",IF(BF565="Recall Requested","Retirada solicitada: pendiente",IF(AND(BF565="Approved",NOT(ISNUMBER(T565))),"Falta fecha de aprobación",IF(AND(ISNUMBER(S565),ISNUMBER(T565),T565&lt;S565),"Aprobación anterior al envío","")))))))))</f>
        <v/>
      </c>
      <c r="Y565" s="80">
        <f>IF(COUNTA(B565,D565,E565,F565,G565,H565,I565,J565,R565,S565,T565)&gt;0,1,0)</f>
        <v>0</v>
      </c>
      <c r="Z565" s="80" t="str">
        <f>IF(AND(ISNUMBER(H565),H565&gt;=0,H565&lt;1),ROUND(H565*1440,0),"")</f>
        <v/>
      </c>
      <c r="AA565" s="80" t="str">
        <f>IF(AND(ISNUMBER(I565),I565&gt;=0,I565&lt;1),ROUND(I565*1440,0),"")</f>
        <v/>
      </c>
      <c r="AB565" s="80">
        <f>IF(AND(ISNUMBER(B565),D565&lt;&gt;"",ISNUMBER(Z565),ISNUMBER(AA565)),IF(Z565=AA565,0,1),0)</f>
        <v>0</v>
      </c>
      <c r="AC565" s="80">
        <f>IF(AB565=1,IF(AA565&lt;Z565,1,0),0)</f>
        <v>0</v>
      </c>
      <c r="AD565" s="80">
        <f>IF(AB565=1,IF(AC565=1,1440-Z565+AA565,AA565-Z565),0)</f>
        <v>0</v>
      </c>
      <c r="AE565" s="80">
        <f>IF(J565="",0,IF(ISNUMBER(J565),J565,-1))</f>
        <v>0</v>
      </c>
      <c r="AF565" s="80">
        <f>MIN(MAX(0,AE565),AD565)</f>
        <v>0</v>
      </c>
      <c r="AG565" s="80">
        <f>MAX(0,AD565-MAX(0,AE565))</f>
        <v>0</v>
      </c>
      <c r="AH565" s="80">
        <f>IF(ISNUMBER(B565),IF(AND(INDEX(CFG_WDAYS,WEEKDAY(INT(B565),2))="Sí",IF(D565="proMX",COUNTIFS(FER_F,INT(B565),FER_NLP,"Sí"),COUNTIFS(FER_F,INT(B565),FER_NLM,"Sí"))=0),1,0),0)</f>
        <v>0</v>
      </c>
      <c r="AI565" s="80">
        <f>IF(AC565=1,IF(AND(INDEX(CFG_WDAYS,WEEKDAY(INT(B565)+1,2))="Sí",IF(D565="proMX",COUNTIFS(FER_F,INT(B565)+1,FER_NLP,"Sí"),COUNTIFS(FER_F,INT(B565)+1,FER_NLM,"Sí"))=0),1,0),0)</f>
        <v>0</v>
      </c>
      <c r="AJ565" s="80">
        <f>IF(AC565=1,1440-Z565,AD565)</f>
        <v>0</v>
      </c>
      <c r="AK565" s="80">
        <f>IF(AND(AB565=1,AH565=1),MAX(0,MIN(IF(AC565=1,1440,AA565),CFG_WEM)-MAX(Z565,CFG_WSM)),0)</f>
        <v>0</v>
      </c>
      <c r="AL565" s="80">
        <f>IF(AND(AC565=1,AI565=1),MAX(0,MIN(AA565,CFG_WEM)-CFG_WSM),0)</f>
        <v>0</v>
      </c>
      <c r="AM565" s="80">
        <f>AK565+AL565</f>
        <v>0</v>
      </c>
      <c r="AN565" s="80">
        <f>IF(CFG_BRK="Proporcional",IF(AD565=0,0,AF565*AM565/AD565),IF(CFG_BRK="Extras primero",MIN(AM565,MAX(0,AF565-(AD565-AM565))),MIN(AF565,AM565)))</f>
        <v>0</v>
      </c>
      <c r="AO565" s="80">
        <f>AF565-AN565</f>
        <v>0</v>
      </c>
      <c r="AP565" s="80">
        <f>AM565-AN565</f>
        <v>0</v>
      </c>
      <c r="AQ565" s="80">
        <f>AD565-AM565-AO565</f>
        <v>0</v>
      </c>
      <c r="AR565" s="80">
        <f>IF(AM565=0,0,AK565-AN565*AK565/AM565)</f>
        <v>0</v>
      </c>
      <c r="AS565" s="80">
        <f>IF(AD565-AM565=0,0,(AJ565-AK565)-AO565*(AJ565-AK565)/(AD565-AM565))</f>
        <v>0</v>
      </c>
      <c r="AT565" s="80" t="str">
        <f>IF(AC565=1,INT(B565)+1,"")</f>
        <v/>
      </c>
      <c r="AU565" s="80">
        <f>IF(AND(D565="proMX",R565="Cancelled"),0,1)</f>
        <v>1</v>
      </c>
      <c r="AV565" s="80">
        <f>IF(AND(AB565=1,AU565=1),IF(COUNTIFS($D$5:D564,D565,$B$5:B564,B565,$Z$5:Z564,Z565,$AA$5:AA564,AA565,$F$5:F564,F565&amp;"",$AU$5:AU564,1)&gt;0,1,0),0)</f>
        <v>0</v>
      </c>
      <c r="AW565" s="80" t="str">
        <f>IF(AB565=1,INT(B565)*1440+Z565,"")</f>
        <v/>
      </c>
      <c r="AX565" s="80" t="str">
        <f>IF(AB565=1,AW565+AD565,"")</f>
        <v/>
      </c>
      <c r="AY565" s="80">
        <f>IF(AND(AB565=1,AV565=0,AU565=1),1,0)</f>
        <v>0</v>
      </c>
      <c r="AZ565" s="80">
        <f>IF(AY565=1,COUNTIFS(R_Emp,D565,R_SAbs,"&lt;"&amp;AX565,R_EAbs,"&gt;"&amp;AW565,R_OKey,1)-1,0)</f>
        <v>0</v>
      </c>
      <c r="BA565" s="80">
        <f>IF(AY565=1,COUNTIFS(R_Emp,"&lt;&gt;"&amp;D565,R_SAbs,"&lt;"&amp;AX565,R_EAbs,"&gt;"&amp;AW565,R_OKey,1),0)</f>
        <v>0</v>
      </c>
      <c r="BB565" s="80">
        <f>IF(AND(AB565=1,D565="proMX"),IF(AND(MOD(Z565,CFG_BLK)=0,MOD(AA565,CFG_BLK)=0,MOD(AG565,CFG_BLK)=0,AG565&gt;0),1,0),1)</f>
        <v>1</v>
      </c>
      <c r="BC565" s="80" t="str">
        <f>IF(Y565=0,"",IF(NOT(ISNUMBER(B565)),"Falta fecha o fecha inválida",IF(D565="","Falta empresa",IF(AND(D565&lt;&gt;"Malcolm",D565&lt;&gt;"proMX"),"Empresa inválida",IF(OR(INT(B565)&lt;CFG_PSTART,INT(B565)&gt;CFG_PEND),"Fecha fuera del período",IF(OR(NOT(ISNUMBER(Z565)),NOT(ISNUMBER(AA565))),"Falta hora inicio/fin o formato inválido",IF(AB565=0,"Hora inicio = hora fin",IF(AE565&lt;0,"Descanso inválido",IF(AE565&gt;=AD565,"Descanso ≥ duración",IF(AV565=1,"Registro duplicado",IF(AZ565&gt;0,"Se superpone con otro registro "&amp;D565,IF(BB565=0,"inicio, fin y duración neta deben ser múltiplos de "&amp;CFG_BLK&amp;" min",""))))))))))))</f>
        <v/>
      </c>
      <c r="BD565" s="80">
        <f>IF(AND(Y565=1,BC565=""),1,0)</f>
        <v>0</v>
      </c>
      <c r="BE565" s="80">
        <f>IF(AND(BD565=1,AU565=1),1,0)</f>
        <v>0</v>
      </c>
      <c r="BF565" s="80" t="str">
        <f>IF(AND(D565="proMX",BD565=1),IF(R565="","Draft",R565),"")</f>
        <v/>
      </c>
      <c r="BG565" s="80">
        <f>IF(BD565=1,ROUND(AG565/60,6),0)</f>
        <v>0</v>
      </c>
      <c r="BH565" s="80">
        <f>IF(BE565=1,ROUND(AG565/60,6),0)</f>
        <v>0</v>
      </c>
      <c r="BI565" s="80">
        <f>IF(BE565=1,ROUND(AP565/60,6),0)</f>
        <v>0</v>
      </c>
      <c r="BJ565" s="80">
        <f>IF(BE565=1,ROUND(AQ565/60,6),0)</f>
        <v>0</v>
      </c>
      <c r="BK565" s="80">
        <f>IF(BE565=1,ROUND((AR565+AS565)/60,6),0)</f>
        <v>0</v>
      </c>
      <c r="BL565" s="80">
        <f>ROUND(BH565-BK565,6)</f>
        <v>0</v>
      </c>
      <c r="BM565" s="80">
        <f>IF(BE565=1,ROUND(AR565/60,6),0)</f>
        <v>0</v>
      </c>
      <c r="BN565" s="80">
        <f>ROUND(BI565-BM565,6)</f>
        <v>0</v>
      </c>
      <c r="BO565" s="80">
        <f>IF(BE565=1,ROUND(AS565/60,6),0)</f>
        <v>0</v>
      </c>
      <c r="BP565" s="80">
        <f>ROUND(BJ565-BO565,6)</f>
        <v>0</v>
      </c>
      <c r="BQ565" s="80">
        <f>IF(BE565=1,AW565,0)</f>
        <v>0</v>
      </c>
      <c r="BR565" s="80">
        <f>IF(BE565=1,AX565,0)</f>
        <v>0</v>
      </c>
      <c r="BS565" s="80">
        <f>IF(AND(BE565=1,D565="Malcolm",BA565&gt;0),MIN(BH565,SUMPRODUCT((R_Emp="proMX")*(R_EN&gt;0)*((R_EN-(R_EN&gt;BR565)*(R_EN-BR565))&gt;(R_SN+(R_SN&lt;BQ565)*(BQ565-R_SN)))*((R_EN-(R_EN&gt;BR565)*(R_EN-BR565))-(R_SN+(R_SN&lt;BQ565)*(BQ565-R_SN))))/60),0)</f>
        <v>0</v>
      </c>
      <c r="BT565" s="80">
        <f>IF(AND(BE565=1,D565="proMX"),ROUND(BI565*CFG_RATE+BJ565*CFG_OTRATE,6),0)</f>
        <v>0</v>
      </c>
      <c r="BU565" s="80">
        <f>IF(AND(BD565=1,D565="proMX"),ROUND(AG565/CFG_BLK,6),0)</f>
        <v>0</v>
      </c>
      <c r="BV565" s="80" t="str">
        <f>IF(BF565="Approved",IF(ISNUMBER(T565),INT(T565),INT(B565)),"")</f>
        <v/>
      </c>
      <c r="BW565" s="80">
        <f>IF(ISNUMBER(B565),IF(DB_MON="Todos",1,IF(AND(INT(B565)&gt;=DB_MS,INT(B565)&lt;=DB_ME),1,0)),0)</f>
        <v>0</v>
      </c>
      <c r="BX565" s="80">
        <f>IF(DB_PROJ="Todos",1,IF(E565&amp;""=DB_PROJ&amp;"",1,0))</f>
        <v>1</v>
      </c>
      <c r="BY565" s="80">
        <f>BW565*BX565</f>
        <v>0</v>
      </c>
      <c r="BZ565" s="80" t="str">
        <f>IF(Y565=1,F565&amp;IF(AND(F565&amp;""&lt;&gt;"",E565&amp;""&lt;&gt;"")," · ","")&amp;E565,"")</f>
        <v/>
      </c>
      <c r="CA565" s="80" t="str">
        <f>IF(AND(BD565=1,E565&amp;""&lt;&gt;""),IF(COUNTIFS($E$5:E564,E565,$BD$5:BD564,1)=0,MAX($CA$5:CA564)+1,""),"")</f>
        <v/>
      </c>
      <c r="CB565" s="80" t="str">
        <f>IF(AND(BE565=1,D565="Malcolm",E565&amp;""&lt;&gt;""),IF(COUNTIFS($D$5:D564,"Malcolm",$E$5:E564,E565,$BE$5:BE564,1)=0,MAX($CB$5:CB564)+1,""),"")</f>
        <v/>
      </c>
      <c r="CC565" s="80" t="str">
        <f>IF(AND(BD565=1,D565="proMX",E565&amp;""&lt;&gt;""),IF(COUNTIFS($D$5:D564,"proMX",$E$5:E564,E565,$BD$5:BD564,1)=0,MAX($CC$5:CC564)+1,""),"")</f>
        <v/>
      </c>
      <c r="CD565" s="80" t="str">
        <f>IF(AND(BE565=1,D565="Malcolm",F565&amp;""&lt;&gt;""),IF(COUNTIFS($D$5:D564,"Malcolm",$F$5:F564,F565,$BE$5:BE564,1)=0,MAX($CD$5:CD564)+1,""),"")</f>
        <v/>
      </c>
      <c r="CE565" s="80" t="str">
        <f>IF(AND(BD565=1,D565="proMX",F565&amp;""&lt;&gt;""),IF(COUNTIFS($D$5:D564,"proMX",$F$5:F564,F565,$BD$5:BD564,1)=0,MAX($CE$5:CE564)+1,""),"")</f>
        <v/>
      </c>
      <c r="CF565" s="80" t="str">
        <f>IF(AND(D565="proMX",BD565=1),IF(OR(BF565="Draft",BF565="Submitted",BF565="Returned",BF565="Recall Requested"),MAX($CF$5:CF564)+1,""),"")</f>
        <v/>
      </c>
      <c r="CG565" s="80">
        <f>IF(BD565=0,0,IF(D565="Malcolm",1,MATCH(BF565,{"Draft","Submitted","Approved","Returned","Recall Requested","Cancelled"},0)+1))</f>
        <v>0</v>
      </c>
      <c r="CH565" s="80">
        <f>IF(AND(BF565="Submitted",ISNUMBER(V565)),IF(V565&gt;CFG_MAXD,1,0),0)</f>
        <v>0</v>
      </c>
    </row>
    <row r="566">
      <c r="A566" s="71" t="str">
        <f>IF(Y566=1,ROW()-5,"")</f>
        <v/>
      </c>
      <c r="B566" s="72" t="n"/>
      <c r="C566" s="71" t="str">
        <f>IF(ISNUMBER(B566),CHOOSE(WEEKDAY(B566,2),"Lun","Mar","Mié","Jue","Vie","Sáb","Dom"),"")</f>
        <v/>
      </c>
      <c r="D566" s="73" t="n"/>
      <c r="E566" s="74" t="n"/>
      <c r="F566" s="74" t="n"/>
      <c r="G566" s="74" t="n"/>
      <c r="H566" s="75" t="n"/>
      <c r="I566" s="75" t="n"/>
      <c r="J566" s="76" t="n"/>
      <c r="K566" s="77" t="str">
        <f>IF(AB566=1,ROUND(AG566/60,4),"")</f>
        <v/>
      </c>
      <c r="L566" s="77" t="str">
        <f>IF(BD566=1,ROUND(AP566/60,4),"")</f>
        <v/>
      </c>
      <c r="M566" s="77" t="str">
        <f>IF(BD566=1,ROUND(AQ566/60,4),"")</f>
        <v/>
      </c>
      <c r="N566" s="71" t="str">
        <f>IF(AND(D566="proMX",AB566=1),ROUND(AG566/CFG_BLK,2),"")</f>
        <v/>
      </c>
      <c r="O566" s="77" t="str">
        <f>IF(D566="proMX",IF(BD566=1,ROUND(AG566/60,4),0),"")</f>
        <v/>
      </c>
      <c r="P566" s="78" t="str">
        <f>IF(Y566=0,"",IF(BD566=1,"OK",IF(D566="proMX","Revisar bloques: ","Revisar: ")&amp;BC566))</f>
        <v/>
      </c>
      <c r="Q566" s="78" t="str">
        <f>IF(NOT(ISNUMBER(B566)),"",IF(COUNTIFS(FER_F,INT(B566))&gt;0,"Feriado"&amp;IF(AH566=1," (laborable)"," (no laborable)"),IF(AH566=1,"Laborable",IF(WEEKDAY(B566,2)&gt;5,"Fin de semana","No laborable"))))</f>
        <v/>
      </c>
      <c r="R566" s="73" t="n"/>
      <c r="S566" s="72" t="n"/>
      <c r="T566" s="72" t="n"/>
      <c r="U566" s="74" t="n"/>
      <c r="V566" s="79" t="str">
        <f>IF(AND(D566="proMX",OR(R566="Submitted",R566="Recall Requested"),ISNUMBER(S566)),CFG_TODAY-INT(S566),"")</f>
        <v/>
      </c>
      <c r="W566" s="78" t="str">
        <f>IF(BD566=0,"",IF(BA566&gt;0,"⚠ Se superpone con un registro de la otra empresa",IF(D566="Malcolm",IF(COUNTA(R566,S566,T566)&gt;0,"Estado/fechas proMX se ignoran en Malcolm",""),IF(BF566="Cancelled","Cancelado: excluido de totales",IF(R566="","Sin estado: se trata como Draft",IF(BF566="Submitted",IF(ISNUMBER(V566),IF(V566&gt;CFG_MAXD,"⚠ "&amp;V566&amp;" días en Submitted (máx. "&amp;CFG_MAXD&amp;")",""),"Falta fecha de envío"),IF(BF566="Returned","⚠ Devuelto: corregir y reenviar",IF(BF566="Recall Requested","Retirada solicitada: pendiente",IF(AND(BF566="Approved",NOT(ISNUMBER(T566))),"Falta fecha de aprobación",IF(AND(ISNUMBER(S566),ISNUMBER(T566),T566&lt;S566),"Aprobación anterior al envío","")))))))))</f>
        <v/>
      </c>
      <c r="Y566" s="80">
        <f>IF(COUNTA(B566,D566,E566,F566,G566,H566,I566,J566,R566,S566,T566)&gt;0,1,0)</f>
        <v>0</v>
      </c>
      <c r="Z566" s="80" t="str">
        <f>IF(AND(ISNUMBER(H566),H566&gt;=0,H566&lt;1),ROUND(H566*1440,0),"")</f>
        <v/>
      </c>
      <c r="AA566" s="80" t="str">
        <f>IF(AND(ISNUMBER(I566),I566&gt;=0,I566&lt;1),ROUND(I566*1440,0),"")</f>
        <v/>
      </c>
      <c r="AB566" s="80">
        <f>IF(AND(ISNUMBER(B566),D566&lt;&gt;"",ISNUMBER(Z566),ISNUMBER(AA566)),IF(Z566=AA566,0,1),0)</f>
        <v>0</v>
      </c>
      <c r="AC566" s="80">
        <f>IF(AB566=1,IF(AA566&lt;Z566,1,0),0)</f>
        <v>0</v>
      </c>
      <c r="AD566" s="80">
        <f>IF(AB566=1,IF(AC566=1,1440-Z566+AA566,AA566-Z566),0)</f>
        <v>0</v>
      </c>
      <c r="AE566" s="80">
        <f>IF(J566="",0,IF(ISNUMBER(J566),J566,-1))</f>
        <v>0</v>
      </c>
      <c r="AF566" s="80">
        <f>MIN(MAX(0,AE566),AD566)</f>
        <v>0</v>
      </c>
      <c r="AG566" s="80">
        <f>MAX(0,AD566-MAX(0,AE566))</f>
        <v>0</v>
      </c>
      <c r="AH566" s="80">
        <f>IF(ISNUMBER(B566),IF(AND(INDEX(CFG_WDAYS,WEEKDAY(INT(B566),2))="Sí",IF(D566="proMX",COUNTIFS(FER_F,INT(B566),FER_NLP,"Sí"),COUNTIFS(FER_F,INT(B566),FER_NLM,"Sí"))=0),1,0),0)</f>
        <v>0</v>
      </c>
      <c r="AI566" s="80">
        <f>IF(AC566=1,IF(AND(INDEX(CFG_WDAYS,WEEKDAY(INT(B566)+1,2))="Sí",IF(D566="proMX",COUNTIFS(FER_F,INT(B566)+1,FER_NLP,"Sí"),COUNTIFS(FER_F,INT(B566)+1,FER_NLM,"Sí"))=0),1,0),0)</f>
        <v>0</v>
      </c>
      <c r="AJ566" s="80">
        <f>IF(AC566=1,1440-Z566,AD566)</f>
        <v>0</v>
      </c>
      <c r="AK566" s="80">
        <f>IF(AND(AB566=1,AH566=1),MAX(0,MIN(IF(AC566=1,1440,AA566),CFG_WEM)-MAX(Z566,CFG_WSM)),0)</f>
        <v>0</v>
      </c>
      <c r="AL566" s="80">
        <f>IF(AND(AC566=1,AI566=1),MAX(0,MIN(AA566,CFG_WEM)-CFG_WSM),0)</f>
        <v>0</v>
      </c>
      <c r="AM566" s="80">
        <f>AK566+AL566</f>
        <v>0</v>
      </c>
      <c r="AN566" s="80">
        <f>IF(CFG_BRK="Proporcional",IF(AD566=0,0,AF566*AM566/AD566),IF(CFG_BRK="Extras primero",MIN(AM566,MAX(0,AF566-(AD566-AM566))),MIN(AF566,AM566)))</f>
        <v>0</v>
      </c>
      <c r="AO566" s="80">
        <f>AF566-AN566</f>
        <v>0</v>
      </c>
      <c r="AP566" s="80">
        <f>AM566-AN566</f>
        <v>0</v>
      </c>
      <c r="AQ566" s="80">
        <f>AD566-AM566-AO566</f>
        <v>0</v>
      </c>
      <c r="AR566" s="80">
        <f>IF(AM566=0,0,AK566-AN566*AK566/AM566)</f>
        <v>0</v>
      </c>
      <c r="AS566" s="80">
        <f>IF(AD566-AM566=0,0,(AJ566-AK566)-AO566*(AJ566-AK566)/(AD566-AM566))</f>
        <v>0</v>
      </c>
      <c r="AT566" s="80" t="str">
        <f>IF(AC566=1,INT(B566)+1,"")</f>
        <v/>
      </c>
      <c r="AU566" s="80">
        <f>IF(AND(D566="proMX",R566="Cancelled"),0,1)</f>
        <v>1</v>
      </c>
      <c r="AV566" s="80">
        <f>IF(AND(AB566=1,AU566=1),IF(COUNTIFS($D$5:D565,D566,$B$5:B565,B566,$Z$5:Z565,Z566,$AA$5:AA565,AA566,$F$5:F565,F566&amp;"",$AU$5:AU565,1)&gt;0,1,0),0)</f>
        <v>0</v>
      </c>
      <c r="AW566" s="80" t="str">
        <f>IF(AB566=1,INT(B566)*1440+Z566,"")</f>
        <v/>
      </c>
      <c r="AX566" s="80" t="str">
        <f>IF(AB566=1,AW566+AD566,"")</f>
        <v/>
      </c>
      <c r="AY566" s="80">
        <f>IF(AND(AB566=1,AV566=0,AU566=1),1,0)</f>
        <v>0</v>
      </c>
      <c r="AZ566" s="80">
        <f>IF(AY566=1,COUNTIFS(R_Emp,D566,R_SAbs,"&lt;"&amp;AX566,R_EAbs,"&gt;"&amp;AW566,R_OKey,1)-1,0)</f>
        <v>0</v>
      </c>
      <c r="BA566" s="80">
        <f>IF(AY566=1,COUNTIFS(R_Emp,"&lt;&gt;"&amp;D566,R_SAbs,"&lt;"&amp;AX566,R_EAbs,"&gt;"&amp;AW566,R_OKey,1),0)</f>
        <v>0</v>
      </c>
      <c r="BB566" s="80">
        <f>IF(AND(AB566=1,D566="proMX"),IF(AND(MOD(Z566,CFG_BLK)=0,MOD(AA566,CFG_BLK)=0,MOD(AG566,CFG_BLK)=0,AG566&gt;0),1,0),1)</f>
        <v>1</v>
      </c>
      <c r="BC566" s="80" t="str">
        <f>IF(Y566=0,"",IF(NOT(ISNUMBER(B566)),"Falta fecha o fecha inválida",IF(D566="","Falta empresa",IF(AND(D566&lt;&gt;"Malcolm",D566&lt;&gt;"proMX"),"Empresa inválida",IF(OR(INT(B566)&lt;CFG_PSTART,INT(B566)&gt;CFG_PEND),"Fecha fuera del período",IF(OR(NOT(ISNUMBER(Z566)),NOT(ISNUMBER(AA566))),"Falta hora inicio/fin o formato inválido",IF(AB566=0,"Hora inicio = hora fin",IF(AE566&lt;0,"Descanso inválido",IF(AE566&gt;=AD566,"Descanso ≥ duración",IF(AV566=1,"Registro duplicado",IF(AZ566&gt;0,"Se superpone con otro registro "&amp;D566,IF(BB566=0,"inicio, fin y duración neta deben ser múltiplos de "&amp;CFG_BLK&amp;" min",""))))))))))))</f>
        <v/>
      </c>
      <c r="BD566" s="80">
        <f>IF(AND(Y566=1,BC566=""),1,0)</f>
        <v>0</v>
      </c>
      <c r="BE566" s="80">
        <f>IF(AND(BD566=1,AU566=1),1,0)</f>
        <v>0</v>
      </c>
      <c r="BF566" s="80" t="str">
        <f>IF(AND(D566="proMX",BD566=1),IF(R566="","Draft",R566),"")</f>
        <v/>
      </c>
      <c r="BG566" s="80">
        <f>IF(BD566=1,ROUND(AG566/60,6),0)</f>
        <v>0</v>
      </c>
      <c r="BH566" s="80">
        <f>IF(BE566=1,ROUND(AG566/60,6),0)</f>
        <v>0</v>
      </c>
      <c r="BI566" s="80">
        <f>IF(BE566=1,ROUND(AP566/60,6),0)</f>
        <v>0</v>
      </c>
      <c r="BJ566" s="80">
        <f>IF(BE566=1,ROUND(AQ566/60,6),0)</f>
        <v>0</v>
      </c>
      <c r="BK566" s="80">
        <f>IF(BE566=1,ROUND((AR566+AS566)/60,6),0)</f>
        <v>0</v>
      </c>
      <c r="BL566" s="80">
        <f>ROUND(BH566-BK566,6)</f>
        <v>0</v>
      </c>
      <c r="BM566" s="80">
        <f>IF(BE566=1,ROUND(AR566/60,6),0)</f>
        <v>0</v>
      </c>
      <c r="BN566" s="80">
        <f>ROUND(BI566-BM566,6)</f>
        <v>0</v>
      </c>
      <c r="BO566" s="80">
        <f>IF(BE566=1,ROUND(AS566/60,6),0)</f>
        <v>0</v>
      </c>
      <c r="BP566" s="80">
        <f>ROUND(BJ566-BO566,6)</f>
        <v>0</v>
      </c>
      <c r="BQ566" s="80">
        <f>IF(BE566=1,AW566,0)</f>
        <v>0</v>
      </c>
      <c r="BR566" s="80">
        <f>IF(BE566=1,AX566,0)</f>
        <v>0</v>
      </c>
      <c r="BS566" s="80">
        <f>IF(AND(BE566=1,D566="Malcolm",BA566&gt;0),MIN(BH566,SUMPRODUCT((R_Emp="proMX")*(R_EN&gt;0)*((R_EN-(R_EN&gt;BR566)*(R_EN-BR566))&gt;(R_SN+(R_SN&lt;BQ566)*(BQ566-R_SN)))*((R_EN-(R_EN&gt;BR566)*(R_EN-BR566))-(R_SN+(R_SN&lt;BQ566)*(BQ566-R_SN))))/60),0)</f>
        <v>0</v>
      </c>
      <c r="BT566" s="80">
        <f>IF(AND(BE566=1,D566="proMX"),ROUND(BI566*CFG_RATE+BJ566*CFG_OTRATE,6),0)</f>
        <v>0</v>
      </c>
      <c r="BU566" s="80">
        <f>IF(AND(BD566=1,D566="proMX"),ROUND(AG566/CFG_BLK,6),0)</f>
        <v>0</v>
      </c>
      <c r="BV566" s="80" t="str">
        <f>IF(BF566="Approved",IF(ISNUMBER(T566),INT(T566),INT(B566)),"")</f>
        <v/>
      </c>
      <c r="BW566" s="80">
        <f>IF(ISNUMBER(B566),IF(DB_MON="Todos",1,IF(AND(INT(B566)&gt;=DB_MS,INT(B566)&lt;=DB_ME),1,0)),0)</f>
        <v>0</v>
      </c>
      <c r="BX566" s="80">
        <f>IF(DB_PROJ="Todos",1,IF(E566&amp;""=DB_PROJ&amp;"",1,0))</f>
        <v>1</v>
      </c>
      <c r="BY566" s="80">
        <f>BW566*BX566</f>
        <v>0</v>
      </c>
      <c r="BZ566" s="80" t="str">
        <f>IF(Y566=1,F566&amp;IF(AND(F566&amp;""&lt;&gt;"",E566&amp;""&lt;&gt;"")," · ","")&amp;E566,"")</f>
        <v/>
      </c>
      <c r="CA566" s="80" t="str">
        <f>IF(AND(BD566=1,E566&amp;""&lt;&gt;""),IF(COUNTIFS($E$5:E565,E566,$BD$5:BD565,1)=0,MAX($CA$5:CA565)+1,""),"")</f>
        <v/>
      </c>
      <c r="CB566" s="80" t="str">
        <f>IF(AND(BE566=1,D566="Malcolm",E566&amp;""&lt;&gt;""),IF(COUNTIFS($D$5:D565,"Malcolm",$E$5:E565,E566,$BE$5:BE565,1)=0,MAX($CB$5:CB565)+1,""),"")</f>
        <v/>
      </c>
      <c r="CC566" s="80" t="str">
        <f>IF(AND(BD566=1,D566="proMX",E566&amp;""&lt;&gt;""),IF(COUNTIFS($D$5:D565,"proMX",$E$5:E565,E566,$BD$5:BD565,1)=0,MAX($CC$5:CC565)+1,""),"")</f>
        <v/>
      </c>
      <c r="CD566" s="80" t="str">
        <f>IF(AND(BE566=1,D566="Malcolm",F566&amp;""&lt;&gt;""),IF(COUNTIFS($D$5:D565,"Malcolm",$F$5:F565,F566,$BE$5:BE565,1)=0,MAX($CD$5:CD565)+1,""),"")</f>
        <v/>
      </c>
      <c r="CE566" s="80" t="str">
        <f>IF(AND(BD566=1,D566="proMX",F566&amp;""&lt;&gt;""),IF(COUNTIFS($D$5:D565,"proMX",$F$5:F565,F566,$BD$5:BD565,1)=0,MAX($CE$5:CE565)+1,""),"")</f>
        <v/>
      </c>
      <c r="CF566" s="80" t="str">
        <f>IF(AND(D566="proMX",BD566=1),IF(OR(BF566="Draft",BF566="Submitted",BF566="Returned",BF566="Recall Requested"),MAX($CF$5:CF565)+1,""),"")</f>
        <v/>
      </c>
      <c r="CG566" s="80">
        <f>IF(BD566=0,0,IF(D566="Malcolm",1,MATCH(BF566,{"Draft","Submitted","Approved","Returned","Recall Requested","Cancelled"},0)+1))</f>
        <v>0</v>
      </c>
      <c r="CH566" s="80">
        <f>IF(AND(BF566="Submitted",ISNUMBER(V566)),IF(V566&gt;CFG_MAXD,1,0),0)</f>
        <v>0</v>
      </c>
    </row>
    <row r="567">
      <c r="A567" s="71" t="str">
        <f>IF(Y567=1,ROW()-5,"")</f>
        <v/>
      </c>
      <c r="B567" s="72" t="n"/>
      <c r="C567" s="71" t="str">
        <f>IF(ISNUMBER(B567),CHOOSE(WEEKDAY(B567,2),"Lun","Mar","Mié","Jue","Vie","Sáb","Dom"),"")</f>
        <v/>
      </c>
      <c r="D567" s="73" t="n"/>
      <c r="E567" s="74" t="n"/>
      <c r="F567" s="74" t="n"/>
      <c r="G567" s="74" t="n"/>
      <c r="H567" s="75" t="n"/>
      <c r="I567" s="75" t="n"/>
      <c r="J567" s="76" t="n"/>
      <c r="K567" s="77" t="str">
        <f>IF(AB567=1,ROUND(AG567/60,4),"")</f>
        <v/>
      </c>
      <c r="L567" s="77" t="str">
        <f>IF(BD567=1,ROUND(AP567/60,4),"")</f>
        <v/>
      </c>
      <c r="M567" s="77" t="str">
        <f>IF(BD567=1,ROUND(AQ567/60,4),"")</f>
        <v/>
      </c>
      <c r="N567" s="71" t="str">
        <f>IF(AND(D567="proMX",AB567=1),ROUND(AG567/CFG_BLK,2),"")</f>
        <v/>
      </c>
      <c r="O567" s="77" t="str">
        <f>IF(D567="proMX",IF(BD567=1,ROUND(AG567/60,4),0),"")</f>
        <v/>
      </c>
      <c r="P567" s="78" t="str">
        <f>IF(Y567=0,"",IF(BD567=1,"OK",IF(D567="proMX","Revisar bloques: ","Revisar: ")&amp;BC567))</f>
        <v/>
      </c>
      <c r="Q567" s="78" t="str">
        <f>IF(NOT(ISNUMBER(B567)),"",IF(COUNTIFS(FER_F,INT(B567))&gt;0,"Feriado"&amp;IF(AH567=1," (laborable)"," (no laborable)"),IF(AH567=1,"Laborable",IF(WEEKDAY(B567,2)&gt;5,"Fin de semana","No laborable"))))</f>
        <v/>
      </c>
      <c r="R567" s="73" t="n"/>
      <c r="S567" s="72" t="n"/>
      <c r="T567" s="72" t="n"/>
      <c r="U567" s="74" t="n"/>
      <c r="V567" s="79" t="str">
        <f>IF(AND(D567="proMX",OR(R567="Submitted",R567="Recall Requested"),ISNUMBER(S567)),CFG_TODAY-INT(S567),"")</f>
        <v/>
      </c>
      <c r="W567" s="78" t="str">
        <f>IF(BD567=0,"",IF(BA567&gt;0,"⚠ Se superpone con un registro de la otra empresa",IF(D567="Malcolm",IF(COUNTA(R567,S567,T567)&gt;0,"Estado/fechas proMX se ignoran en Malcolm",""),IF(BF567="Cancelled","Cancelado: excluido de totales",IF(R567="","Sin estado: se trata como Draft",IF(BF567="Submitted",IF(ISNUMBER(V567),IF(V567&gt;CFG_MAXD,"⚠ "&amp;V567&amp;" días en Submitted (máx. "&amp;CFG_MAXD&amp;")",""),"Falta fecha de envío"),IF(BF567="Returned","⚠ Devuelto: corregir y reenviar",IF(BF567="Recall Requested","Retirada solicitada: pendiente",IF(AND(BF567="Approved",NOT(ISNUMBER(T567))),"Falta fecha de aprobación",IF(AND(ISNUMBER(S567),ISNUMBER(T567),T567&lt;S567),"Aprobación anterior al envío","")))))))))</f>
        <v/>
      </c>
      <c r="Y567" s="80">
        <f>IF(COUNTA(B567,D567,E567,F567,G567,H567,I567,J567,R567,S567,T567)&gt;0,1,0)</f>
        <v>0</v>
      </c>
      <c r="Z567" s="80" t="str">
        <f>IF(AND(ISNUMBER(H567),H567&gt;=0,H567&lt;1),ROUND(H567*1440,0),"")</f>
        <v/>
      </c>
      <c r="AA567" s="80" t="str">
        <f>IF(AND(ISNUMBER(I567),I567&gt;=0,I567&lt;1),ROUND(I567*1440,0),"")</f>
        <v/>
      </c>
      <c r="AB567" s="80">
        <f>IF(AND(ISNUMBER(B567),D567&lt;&gt;"",ISNUMBER(Z567),ISNUMBER(AA567)),IF(Z567=AA567,0,1),0)</f>
        <v>0</v>
      </c>
      <c r="AC567" s="80">
        <f>IF(AB567=1,IF(AA567&lt;Z567,1,0),0)</f>
        <v>0</v>
      </c>
      <c r="AD567" s="80">
        <f>IF(AB567=1,IF(AC567=1,1440-Z567+AA567,AA567-Z567),0)</f>
        <v>0</v>
      </c>
      <c r="AE567" s="80">
        <f>IF(J567="",0,IF(ISNUMBER(J567),J567,-1))</f>
        <v>0</v>
      </c>
      <c r="AF567" s="80">
        <f>MIN(MAX(0,AE567),AD567)</f>
        <v>0</v>
      </c>
      <c r="AG567" s="80">
        <f>MAX(0,AD567-MAX(0,AE567))</f>
        <v>0</v>
      </c>
      <c r="AH567" s="80">
        <f>IF(ISNUMBER(B567),IF(AND(INDEX(CFG_WDAYS,WEEKDAY(INT(B567),2))="Sí",IF(D567="proMX",COUNTIFS(FER_F,INT(B567),FER_NLP,"Sí"),COUNTIFS(FER_F,INT(B567),FER_NLM,"Sí"))=0),1,0),0)</f>
        <v>0</v>
      </c>
      <c r="AI567" s="80">
        <f>IF(AC567=1,IF(AND(INDEX(CFG_WDAYS,WEEKDAY(INT(B567)+1,2))="Sí",IF(D567="proMX",COUNTIFS(FER_F,INT(B567)+1,FER_NLP,"Sí"),COUNTIFS(FER_F,INT(B567)+1,FER_NLM,"Sí"))=0),1,0),0)</f>
        <v>0</v>
      </c>
      <c r="AJ567" s="80">
        <f>IF(AC567=1,1440-Z567,AD567)</f>
        <v>0</v>
      </c>
      <c r="AK567" s="80">
        <f>IF(AND(AB567=1,AH567=1),MAX(0,MIN(IF(AC567=1,1440,AA567),CFG_WEM)-MAX(Z567,CFG_WSM)),0)</f>
        <v>0</v>
      </c>
      <c r="AL567" s="80">
        <f>IF(AND(AC567=1,AI567=1),MAX(0,MIN(AA567,CFG_WEM)-CFG_WSM),0)</f>
        <v>0</v>
      </c>
      <c r="AM567" s="80">
        <f>AK567+AL567</f>
        <v>0</v>
      </c>
      <c r="AN567" s="80">
        <f>IF(CFG_BRK="Proporcional",IF(AD567=0,0,AF567*AM567/AD567),IF(CFG_BRK="Extras primero",MIN(AM567,MAX(0,AF567-(AD567-AM567))),MIN(AF567,AM567)))</f>
        <v>0</v>
      </c>
      <c r="AO567" s="80">
        <f>AF567-AN567</f>
        <v>0</v>
      </c>
      <c r="AP567" s="80">
        <f>AM567-AN567</f>
        <v>0</v>
      </c>
      <c r="AQ567" s="80">
        <f>AD567-AM567-AO567</f>
        <v>0</v>
      </c>
      <c r="AR567" s="80">
        <f>IF(AM567=0,0,AK567-AN567*AK567/AM567)</f>
        <v>0</v>
      </c>
      <c r="AS567" s="80">
        <f>IF(AD567-AM567=0,0,(AJ567-AK567)-AO567*(AJ567-AK567)/(AD567-AM567))</f>
        <v>0</v>
      </c>
      <c r="AT567" s="80" t="str">
        <f>IF(AC567=1,INT(B567)+1,"")</f>
        <v/>
      </c>
      <c r="AU567" s="80">
        <f>IF(AND(D567="proMX",R567="Cancelled"),0,1)</f>
        <v>1</v>
      </c>
      <c r="AV567" s="80">
        <f>IF(AND(AB567=1,AU567=1),IF(COUNTIFS($D$5:D566,D567,$B$5:B566,B567,$Z$5:Z566,Z567,$AA$5:AA566,AA567,$F$5:F566,F567&amp;"",$AU$5:AU566,1)&gt;0,1,0),0)</f>
        <v>0</v>
      </c>
      <c r="AW567" s="80" t="str">
        <f>IF(AB567=1,INT(B567)*1440+Z567,"")</f>
        <v/>
      </c>
      <c r="AX567" s="80" t="str">
        <f>IF(AB567=1,AW567+AD567,"")</f>
        <v/>
      </c>
      <c r="AY567" s="80">
        <f>IF(AND(AB567=1,AV567=0,AU567=1),1,0)</f>
        <v>0</v>
      </c>
      <c r="AZ567" s="80">
        <f>IF(AY567=1,COUNTIFS(R_Emp,D567,R_SAbs,"&lt;"&amp;AX567,R_EAbs,"&gt;"&amp;AW567,R_OKey,1)-1,0)</f>
        <v>0</v>
      </c>
      <c r="BA567" s="80">
        <f>IF(AY567=1,COUNTIFS(R_Emp,"&lt;&gt;"&amp;D567,R_SAbs,"&lt;"&amp;AX567,R_EAbs,"&gt;"&amp;AW567,R_OKey,1),0)</f>
        <v>0</v>
      </c>
      <c r="BB567" s="80">
        <f>IF(AND(AB567=1,D567="proMX"),IF(AND(MOD(Z567,CFG_BLK)=0,MOD(AA567,CFG_BLK)=0,MOD(AG567,CFG_BLK)=0,AG567&gt;0),1,0),1)</f>
        <v>1</v>
      </c>
      <c r="BC567" s="80" t="str">
        <f>IF(Y567=0,"",IF(NOT(ISNUMBER(B567)),"Falta fecha o fecha inválida",IF(D567="","Falta empresa",IF(AND(D567&lt;&gt;"Malcolm",D567&lt;&gt;"proMX"),"Empresa inválida",IF(OR(INT(B567)&lt;CFG_PSTART,INT(B567)&gt;CFG_PEND),"Fecha fuera del período",IF(OR(NOT(ISNUMBER(Z567)),NOT(ISNUMBER(AA567))),"Falta hora inicio/fin o formato inválido",IF(AB567=0,"Hora inicio = hora fin",IF(AE567&lt;0,"Descanso inválido",IF(AE567&gt;=AD567,"Descanso ≥ duración",IF(AV567=1,"Registro duplicado",IF(AZ567&gt;0,"Se superpone con otro registro "&amp;D567,IF(BB567=0,"inicio, fin y duración neta deben ser múltiplos de "&amp;CFG_BLK&amp;" min",""))))))))))))</f>
        <v/>
      </c>
      <c r="BD567" s="80">
        <f>IF(AND(Y567=1,BC567=""),1,0)</f>
        <v>0</v>
      </c>
      <c r="BE567" s="80">
        <f>IF(AND(BD567=1,AU567=1),1,0)</f>
        <v>0</v>
      </c>
      <c r="BF567" s="80" t="str">
        <f>IF(AND(D567="proMX",BD567=1),IF(R567="","Draft",R567),"")</f>
        <v/>
      </c>
      <c r="BG567" s="80">
        <f>IF(BD567=1,ROUND(AG567/60,6),0)</f>
        <v>0</v>
      </c>
      <c r="BH567" s="80">
        <f>IF(BE567=1,ROUND(AG567/60,6),0)</f>
        <v>0</v>
      </c>
      <c r="BI567" s="80">
        <f>IF(BE567=1,ROUND(AP567/60,6),0)</f>
        <v>0</v>
      </c>
      <c r="BJ567" s="80">
        <f>IF(BE567=1,ROUND(AQ567/60,6),0)</f>
        <v>0</v>
      </c>
      <c r="BK567" s="80">
        <f>IF(BE567=1,ROUND((AR567+AS567)/60,6),0)</f>
        <v>0</v>
      </c>
      <c r="BL567" s="80">
        <f>ROUND(BH567-BK567,6)</f>
        <v>0</v>
      </c>
      <c r="BM567" s="80">
        <f>IF(BE567=1,ROUND(AR567/60,6),0)</f>
        <v>0</v>
      </c>
      <c r="BN567" s="80">
        <f>ROUND(BI567-BM567,6)</f>
        <v>0</v>
      </c>
      <c r="BO567" s="80">
        <f>IF(BE567=1,ROUND(AS567/60,6),0)</f>
        <v>0</v>
      </c>
      <c r="BP567" s="80">
        <f>ROUND(BJ567-BO567,6)</f>
        <v>0</v>
      </c>
      <c r="BQ567" s="80">
        <f>IF(BE567=1,AW567,0)</f>
        <v>0</v>
      </c>
      <c r="BR567" s="80">
        <f>IF(BE567=1,AX567,0)</f>
        <v>0</v>
      </c>
      <c r="BS567" s="80">
        <f>IF(AND(BE567=1,D567="Malcolm",BA567&gt;0),MIN(BH567,SUMPRODUCT((R_Emp="proMX")*(R_EN&gt;0)*((R_EN-(R_EN&gt;BR567)*(R_EN-BR567))&gt;(R_SN+(R_SN&lt;BQ567)*(BQ567-R_SN)))*((R_EN-(R_EN&gt;BR567)*(R_EN-BR567))-(R_SN+(R_SN&lt;BQ567)*(BQ567-R_SN))))/60),0)</f>
        <v>0</v>
      </c>
      <c r="BT567" s="80">
        <f>IF(AND(BE567=1,D567="proMX"),ROUND(BI567*CFG_RATE+BJ567*CFG_OTRATE,6),0)</f>
        <v>0</v>
      </c>
      <c r="BU567" s="80">
        <f>IF(AND(BD567=1,D567="proMX"),ROUND(AG567/CFG_BLK,6),0)</f>
        <v>0</v>
      </c>
      <c r="BV567" s="80" t="str">
        <f>IF(BF567="Approved",IF(ISNUMBER(T567),INT(T567),INT(B567)),"")</f>
        <v/>
      </c>
      <c r="BW567" s="80">
        <f>IF(ISNUMBER(B567),IF(DB_MON="Todos",1,IF(AND(INT(B567)&gt;=DB_MS,INT(B567)&lt;=DB_ME),1,0)),0)</f>
        <v>0</v>
      </c>
      <c r="BX567" s="80">
        <f>IF(DB_PROJ="Todos",1,IF(E567&amp;""=DB_PROJ&amp;"",1,0))</f>
        <v>1</v>
      </c>
      <c r="BY567" s="80">
        <f>BW567*BX567</f>
        <v>0</v>
      </c>
      <c r="BZ567" s="80" t="str">
        <f>IF(Y567=1,F567&amp;IF(AND(F567&amp;""&lt;&gt;"",E567&amp;""&lt;&gt;"")," · ","")&amp;E567,"")</f>
        <v/>
      </c>
      <c r="CA567" s="80" t="str">
        <f>IF(AND(BD567=1,E567&amp;""&lt;&gt;""),IF(COUNTIFS($E$5:E566,E567,$BD$5:BD566,1)=0,MAX($CA$5:CA566)+1,""),"")</f>
        <v/>
      </c>
      <c r="CB567" s="80" t="str">
        <f>IF(AND(BE567=1,D567="Malcolm",E567&amp;""&lt;&gt;""),IF(COUNTIFS($D$5:D566,"Malcolm",$E$5:E566,E567,$BE$5:BE566,1)=0,MAX($CB$5:CB566)+1,""),"")</f>
        <v/>
      </c>
      <c r="CC567" s="80" t="str">
        <f>IF(AND(BD567=1,D567="proMX",E567&amp;""&lt;&gt;""),IF(COUNTIFS($D$5:D566,"proMX",$E$5:E566,E567,$BD$5:BD566,1)=0,MAX($CC$5:CC566)+1,""),"")</f>
        <v/>
      </c>
      <c r="CD567" s="80" t="str">
        <f>IF(AND(BE567=1,D567="Malcolm",F567&amp;""&lt;&gt;""),IF(COUNTIFS($D$5:D566,"Malcolm",$F$5:F566,F567,$BE$5:BE566,1)=0,MAX($CD$5:CD566)+1,""),"")</f>
        <v/>
      </c>
      <c r="CE567" s="80" t="str">
        <f>IF(AND(BD567=1,D567="proMX",F567&amp;""&lt;&gt;""),IF(COUNTIFS($D$5:D566,"proMX",$F$5:F566,F567,$BD$5:BD566,1)=0,MAX($CE$5:CE566)+1,""),"")</f>
        <v/>
      </c>
      <c r="CF567" s="80" t="str">
        <f>IF(AND(D567="proMX",BD567=1),IF(OR(BF567="Draft",BF567="Submitted",BF567="Returned",BF567="Recall Requested"),MAX($CF$5:CF566)+1,""),"")</f>
        <v/>
      </c>
      <c r="CG567" s="80">
        <f>IF(BD567=0,0,IF(D567="Malcolm",1,MATCH(BF567,{"Draft","Submitted","Approved","Returned","Recall Requested","Cancelled"},0)+1))</f>
        <v>0</v>
      </c>
      <c r="CH567" s="80">
        <f>IF(AND(BF567="Submitted",ISNUMBER(V567)),IF(V567&gt;CFG_MAXD,1,0),0)</f>
        <v>0</v>
      </c>
    </row>
    <row r="568">
      <c r="A568" s="71" t="str">
        <f>IF(Y568=1,ROW()-5,"")</f>
        <v/>
      </c>
      <c r="B568" s="72" t="n"/>
      <c r="C568" s="71" t="str">
        <f>IF(ISNUMBER(B568),CHOOSE(WEEKDAY(B568,2),"Lun","Mar","Mié","Jue","Vie","Sáb","Dom"),"")</f>
        <v/>
      </c>
      <c r="D568" s="73" t="n"/>
      <c r="E568" s="74" t="n"/>
      <c r="F568" s="74" t="n"/>
      <c r="G568" s="74" t="n"/>
      <c r="H568" s="75" t="n"/>
      <c r="I568" s="75" t="n"/>
      <c r="J568" s="76" t="n"/>
      <c r="K568" s="77" t="str">
        <f>IF(AB568=1,ROUND(AG568/60,4),"")</f>
        <v/>
      </c>
      <c r="L568" s="77" t="str">
        <f>IF(BD568=1,ROUND(AP568/60,4),"")</f>
        <v/>
      </c>
      <c r="M568" s="77" t="str">
        <f>IF(BD568=1,ROUND(AQ568/60,4),"")</f>
        <v/>
      </c>
      <c r="N568" s="71" t="str">
        <f>IF(AND(D568="proMX",AB568=1),ROUND(AG568/CFG_BLK,2),"")</f>
        <v/>
      </c>
      <c r="O568" s="77" t="str">
        <f>IF(D568="proMX",IF(BD568=1,ROUND(AG568/60,4),0),"")</f>
        <v/>
      </c>
      <c r="P568" s="78" t="str">
        <f>IF(Y568=0,"",IF(BD568=1,"OK",IF(D568="proMX","Revisar bloques: ","Revisar: ")&amp;BC568))</f>
        <v/>
      </c>
      <c r="Q568" s="78" t="str">
        <f>IF(NOT(ISNUMBER(B568)),"",IF(COUNTIFS(FER_F,INT(B568))&gt;0,"Feriado"&amp;IF(AH568=1," (laborable)"," (no laborable)"),IF(AH568=1,"Laborable",IF(WEEKDAY(B568,2)&gt;5,"Fin de semana","No laborable"))))</f>
        <v/>
      </c>
      <c r="R568" s="73" t="n"/>
      <c r="S568" s="72" t="n"/>
      <c r="T568" s="72" t="n"/>
      <c r="U568" s="74" t="n"/>
      <c r="V568" s="79" t="str">
        <f>IF(AND(D568="proMX",OR(R568="Submitted",R568="Recall Requested"),ISNUMBER(S568)),CFG_TODAY-INT(S568),"")</f>
        <v/>
      </c>
      <c r="W568" s="78" t="str">
        <f>IF(BD568=0,"",IF(BA568&gt;0,"⚠ Se superpone con un registro de la otra empresa",IF(D568="Malcolm",IF(COUNTA(R568,S568,T568)&gt;0,"Estado/fechas proMX se ignoran en Malcolm",""),IF(BF568="Cancelled","Cancelado: excluido de totales",IF(R568="","Sin estado: se trata como Draft",IF(BF568="Submitted",IF(ISNUMBER(V568),IF(V568&gt;CFG_MAXD,"⚠ "&amp;V568&amp;" días en Submitted (máx. "&amp;CFG_MAXD&amp;")",""),"Falta fecha de envío"),IF(BF568="Returned","⚠ Devuelto: corregir y reenviar",IF(BF568="Recall Requested","Retirada solicitada: pendiente",IF(AND(BF568="Approved",NOT(ISNUMBER(T568))),"Falta fecha de aprobación",IF(AND(ISNUMBER(S568),ISNUMBER(T568),T568&lt;S568),"Aprobación anterior al envío","")))))))))</f>
        <v/>
      </c>
      <c r="Y568" s="80">
        <f>IF(COUNTA(B568,D568,E568,F568,G568,H568,I568,J568,R568,S568,T568)&gt;0,1,0)</f>
        <v>0</v>
      </c>
      <c r="Z568" s="80" t="str">
        <f>IF(AND(ISNUMBER(H568),H568&gt;=0,H568&lt;1),ROUND(H568*1440,0),"")</f>
        <v/>
      </c>
      <c r="AA568" s="80" t="str">
        <f>IF(AND(ISNUMBER(I568),I568&gt;=0,I568&lt;1),ROUND(I568*1440,0),"")</f>
        <v/>
      </c>
      <c r="AB568" s="80">
        <f>IF(AND(ISNUMBER(B568),D568&lt;&gt;"",ISNUMBER(Z568),ISNUMBER(AA568)),IF(Z568=AA568,0,1),0)</f>
        <v>0</v>
      </c>
      <c r="AC568" s="80">
        <f>IF(AB568=1,IF(AA568&lt;Z568,1,0),0)</f>
        <v>0</v>
      </c>
      <c r="AD568" s="80">
        <f>IF(AB568=1,IF(AC568=1,1440-Z568+AA568,AA568-Z568),0)</f>
        <v>0</v>
      </c>
      <c r="AE568" s="80">
        <f>IF(J568="",0,IF(ISNUMBER(J568),J568,-1))</f>
        <v>0</v>
      </c>
      <c r="AF568" s="80">
        <f>MIN(MAX(0,AE568),AD568)</f>
        <v>0</v>
      </c>
      <c r="AG568" s="80">
        <f>MAX(0,AD568-MAX(0,AE568))</f>
        <v>0</v>
      </c>
      <c r="AH568" s="80">
        <f>IF(ISNUMBER(B568),IF(AND(INDEX(CFG_WDAYS,WEEKDAY(INT(B568),2))="Sí",IF(D568="proMX",COUNTIFS(FER_F,INT(B568),FER_NLP,"Sí"),COUNTIFS(FER_F,INT(B568),FER_NLM,"Sí"))=0),1,0),0)</f>
        <v>0</v>
      </c>
      <c r="AI568" s="80">
        <f>IF(AC568=1,IF(AND(INDEX(CFG_WDAYS,WEEKDAY(INT(B568)+1,2))="Sí",IF(D568="proMX",COUNTIFS(FER_F,INT(B568)+1,FER_NLP,"Sí"),COUNTIFS(FER_F,INT(B568)+1,FER_NLM,"Sí"))=0),1,0),0)</f>
        <v>0</v>
      </c>
      <c r="AJ568" s="80">
        <f>IF(AC568=1,1440-Z568,AD568)</f>
        <v>0</v>
      </c>
      <c r="AK568" s="80">
        <f>IF(AND(AB568=1,AH568=1),MAX(0,MIN(IF(AC568=1,1440,AA568),CFG_WEM)-MAX(Z568,CFG_WSM)),0)</f>
        <v>0</v>
      </c>
      <c r="AL568" s="80">
        <f>IF(AND(AC568=1,AI568=1),MAX(0,MIN(AA568,CFG_WEM)-CFG_WSM),0)</f>
        <v>0</v>
      </c>
      <c r="AM568" s="80">
        <f>AK568+AL568</f>
        <v>0</v>
      </c>
      <c r="AN568" s="80">
        <f>IF(CFG_BRK="Proporcional",IF(AD568=0,0,AF568*AM568/AD568),IF(CFG_BRK="Extras primero",MIN(AM568,MAX(0,AF568-(AD568-AM568))),MIN(AF568,AM568)))</f>
        <v>0</v>
      </c>
      <c r="AO568" s="80">
        <f>AF568-AN568</f>
        <v>0</v>
      </c>
      <c r="AP568" s="80">
        <f>AM568-AN568</f>
        <v>0</v>
      </c>
      <c r="AQ568" s="80">
        <f>AD568-AM568-AO568</f>
        <v>0</v>
      </c>
      <c r="AR568" s="80">
        <f>IF(AM568=0,0,AK568-AN568*AK568/AM568)</f>
        <v>0</v>
      </c>
      <c r="AS568" s="80">
        <f>IF(AD568-AM568=0,0,(AJ568-AK568)-AO568*(AJ568-AK568)/(AD568-AM568))</f>
        <v>0</v>
      </c>
      <c r="AT568" s="80" t="str">
        <f>IF(AC568=1,INT(B568)+1,"")</f>
        <v/>
      </c>
      <c r="AU568" s="80">
        <f>IF(AND(D568="proMX",R568="Cancelled"),0,1)</f>
        <v>1</v>
      </c>
      <c r="AV568" s="80">
        <f>IF(AND(AB568=1,AU568=1),IF(COUNTIFS($D$5:D567,D568,$B$5:B567,B568,$Z$5:Z567,Z568,$AA$5:AA567,AA568,$F$5:F567,F568&amp;"",$AU$5:AU567,1)&gt;0,1,0),0)</f>
        <v>0</v>
      </c>
      <c r="AW568" s="80" t="str">
        <f>IF(AB568=1,INT(B568)*1440+Z568,"")</f>
        <v/>
      </c>
      <c r="AX568" s="80" t="str">
        <f>IF(AB568=1,AW568+AD568,"")</f>
        <v/>
      </c>
      <c r="AY568" s="80">
        <f>IF(AND(AB568=1,AV568=0,AU568=1),1,0)</f>
        <v>0</v>
      </c>
      <c r="AZ568" s="80">
        <f>IF(AY568=1,COUNTIFS(R_Emp,D568,R_SAbs,"&lt;"&amp;AX568,R_EAbs,"&gt;"&amp;AW568,R_OKey,1)-1,0)</f>
        <v>0</v>
      </c>
      <c r="BA568" s="80">
        <f>IF(AY568=1,COUNTIFS(R_Emp,"&lt;&gt;"&amp;D568,R_SAbs,"&lt;"&amp;AX568,R_EAbs,"&gt;"&amp;AW568,R_OKey,1),0)</f>
        <v>0</v>
      </c>
      <c r="BB568" s="80">
        <f>IF(AND(AB568=1,D568="proMX"),IF(AND(MOD(Z568,CFG_BLK)=0,MOD(AA568,CFG_BLK)=0,MOD(AG568,CFG_BLK)=0,AG568&gt;0),1,0),1)</f>
        <v>1</v>
      </c>
      <c r="BC568" s="80" t="str">
        <f>IF(Y568=0,"",IF(NOT(ISNUMBER(B568)),"Falta fecha o fecha inválida",IF(D568="","Falta empresa",IF(AND(D568&lt;&gt;"Malcolm",D568&lt;&gt;"proMX"),"Empresa inválida",IF(OR(INT(B568)&lt;CFG_PSTART,INT(B568)&gt;CFG_PEND),"Fecha fuera del período",IF(OR(NOT(ISNUMBER(Z568)),NOT(ISNUMBER(AA568))),"Falta hora inicio/fin o formato inválido",IF(AB568=0,"Hora inicio = hora fin",IF(AE568&lt;0,"Descanso inválido",IF(AE568&gt;=AD568,"Descanso ≥ duración",IF(AV568=1,"Registro duplicado",IF(AZ568&gt;0,"Se superpone con otro registro "&amp;D568,IF(BB568=0,"inicio, fin y duración neta deben ser múltiplos de "&amp;CFG_BLK&amp;" min",""))))))))))))</f>
        <v/>
      </c>
      <c r="BD568" s="80">
        <f>IF(AND(Y568=1,BC568=""),1,0)</f>
        <v>0</v>
      </c>
      <c r="BE568" s="80">
        <f>IF(AND(BD568=1,AU568=1),1,0)</f>
        <v>0</v>
      </c>
      <c r="BF568" s="80" t="str">
        <f>IF(AND(D568="proMX",BD568=1),IF(R568="","Draft",R568),"")</f>
        <v/>
      </c>
      <c r="BG568" s="80">
        <f>IF(BD568=1,ROUND(AG568/60,6),0)</f>
        <v>0</v>
      </c>
      <c r="BH568" s="80">
        <f>IF(BE568=1,ROUND(AG568/60,6),0)</f>
        <v>0</v>
      </c>
      <c r="BI568" s="80">
        <f>IF(BE568=1,ROUND(AP568/60,6),0)</f>
        <v>0</v>
      </c>
      <c r="BJ568" s="80">
        <f>IF(BE568=1,ROUND(AQ568/60,6),0)</f>
        <v>0</v>
      </c>
      <c r="BK568" s="80">
        <f>IF(BE568=1,ROUND((AR568+AS568)/60,6),0)</f>
        <v>0</v>
      </c>
      <c r="BL568" s="80">
        <f>ROUND(BH568-BK568,6)</f>
        <v>0</v>
      </c>
      <c r="BM568" s="80">
        <f>IF(BE568=1,ROUND(AR568/60,6),0)</f>
        <v>0</v>
      </c>
      <c r="BN568" s="80">
        <f>ROUND(BI568-BM568,6)</f>
        <v>0</v>
      </c>
      <c r="BO568" s="80">
        <f>IF(BE568=1,ROUND(AS568/60,6),0)</f>
        <v>0</v>
      </c>
      <c r="BP568" s="80">
        <f>ROUND(BJ568-BO568,6)</f>
        <v>0</v>
      </c>
      <c r="BQ568" s="80">
        <f>IF(BE568=1,AW568,0)</f>
        <v>0</v>
      </c>
      <c r="BR568" s="80">
        <f>IF(BE568=1,AX568,0)</f>
        <v>0</v>
      </c>
      <c r="BS568" s="80">
        <f>IF(AND(BE568=1,D568="Malcolm",BA568&gt;0),MIN(BH568,SUMPRODUCT((R_Emp="proMX")*(R_EN&gt;0)*((R_EN-(R_EN&gt;BR568)*(R_EN-BR568))&gt;(R_SN+(R_SN&lt;BQ568)*(BQ568-R_SN)))*((R_EN-(R_EN&gt;BR568)*(R_EN-BR568))-(R_SN+(R_SN&lt;BQ568)*(BQ568-R_SN))))/60),0)</f>
        <v>0</v>
      </c>
      <c r="BT568" s="80">
        <f>IF(AND(BE568=1,D568="proMX"),ROUND(BI568*CFG_RATE+BJ568*CFG_OTRATE,6),0)</f>
        <v>0</v>
      </c>
      <c r="BU568" s="80">
        <f>IF(AND(BD568=1,D568="proMX"),ROUND(AG568/CFG_BLK,6),0)</f>
        <v>0</v>
      </c>
      <c r="BV568" s="80" t="str">
        <f>IF(BF568="Approved",IF(ISNUMBER(T568),INT(T568),INT(B568)),"")</f>
        <v/>
      </c>
      <c r="BW568" s="80">
        <f>IF(ISNUMBER(B568),IF(DB_MON="Todos",1,IF(AND(INT(B568)&gt;=DB_MS,INT(B568)&lt;=DB_ME),1,0)),0)</f>
        <v>0</v>
      </c>
      <c r="BX568" s="80">
        <f>IF(DB_PROJ="Todos",1,IF(E568&amp;""=DB_PROJ&amp;"",1,0))</f>
        <v>1</v>
      </c>
      <c r="BY568" s="80">
        <f>BW568*BX568</f>
        <v>0</v>
      </c>
      <c r="BZ568" s="80" t="str">
        <f>IF(Y568=1,F568&amp;IF(AND(F568&amp;""&lt;&gt;"",E568&amp;""&lt;&gt;"")," · ","")&amp;E568,"")</f>
        <v/>
      </c>
      <c r="CA568" s="80" t="str">
        <f>IF(AND(BD568=1,E568&amp;""&lt;&gt;""),IF(COUNTIFS($E$5:E567,E568,$BD$5:BD567,1)=0,MAX($CA$5:CA567)+1,""),"")</f>
        <v/>
      </c>
      <c r="CB568" s="80" t="str">
        <f>IF(AND(BE568=1,D568="Malcolm",E568&amp;""&lt;&gt;""),IF(COUNTIFS($D$5:D567,"Malcolm",$E$5:E567,E568,$BE$5:BE567,1)=0,MAX($CB$5:CB567)+1,""),"")</f>
        <v/>
      </c>
      <c r="CC568" s="80" t="str">
        <f>IF(AND(BD568=1,D568="proMX",E568&amp;""&lt;&gt;""),IF(COUNTIFS($D$5:D567,"proMX",$E$5:E567,E568,$BD$5:BD567,1)=0,MAX($CC$5:CC567)+1,""),"")</f>
        <v/>
      </c>
      <c r="CD568" s="80" t="str">
        <f>IF(AND(BE568=1,D568="Malcolm",F568&amp;""&lt;&gt;""),IF(COUNTIFS($D$5:D567,"Malcolm",$F$5:F567,F568,$BE$5:BE567,1)=0,MAX($CD$5:CD567)+1,""),"")</f>
        <v/>
      </c>
      <c r="CE568" s="80" t="str">
        <f>IF(AND(BD568=1,D568="proMX",F568&amp;""&lt;&gt;""),IF(COUNTIFS($D$5:D567,"proMX",$F$5:F567,F568,$BD$5:BD567,1)=0,MAX($CE$5:CE567)+1,""),"")</f>
        <v/>
      </c>
      <c r="CF568" s="80" t="str">
        <f>IF(AND(D568="proMX",BD568=1),IF(OR(BF568="Draft",BF568="Submitted",BF568="Returned",BF568="Recall Requested"),MAX($CF$5:CF567)+1,""),"")</f>
        <v/>
      </c>
      <c r="CG568" s="80">
        <f>IF(BD568=0,0,IF(D568="Malcolm",1,MATCH(BF568,{"Draft","Submitted","Approved","Returned","Recall Requested","Cancelled"},0)+1))</f>
        <v>0</v>
      </c>
      <c r="CH568" s="80">
        <f>IF(AND(BF568="Submitted",ISNUMBER(V568)),IF(V568&gt;CFG_MAXD,1,0),0)</f>
        <v>0</v>
      </c>
    </row>
    <row r="569">
      <c r="A569" s="71" t="str">
        <f>IF(Y569=1,ROW()-5,"")</f>
        <v/>
      </c>
      <c r="B569" s="72" t="n"/>
      <c r="C569" s="71" t="str">
        <f>IF(ISNUMBER(B569),CHOOSE(WEEKDAY(B569,2),"Lun","Mar","Mié","Jue","Vie","Sáb","Dom"),"")</f>
        <v/>
      </c>
      <c r="D569" s="73" t="n"/>
      <c r="E569" s="74" t="n"/>
      <c r="F569" s="74" t="n"/>
      <c r="G569" s="74" t="n"/>
      <c r="H569" s="75" t="n"/>
      <c r="I569" s="75" t="n"/>
      <c r="J569" s="76" t="n"/>
      <c r="K569" s="77" t="str">
        <f>IF(AB569=1,ROUND(AG569/60,4),"")</f>
        <v/>
      </c>
      <c r="L569" s="77" t="str">
        <f>IF(BD569=1,ROUND(AP569/60,4),"")</f>
        <v/>
      </c>
      <c r="M569" s="77" t="str">
        <f>IF(BD569=1,ROUND(AQ569/60,4),"")</f>
        <v/>
      </c>
      <c r="N569" s="71" t="str">
        <f>IF(AND(D569="proMX",AB569=1),ROUND(AG569/CFG_BLK,2),"")</f>
        <v/>
      </c>
      <c r="O569" s="77" t="str">
        <f>IF(D569="proMX",IF(BD569=1,ROUND(AG569/60,4),0),"")</f>
        <v/>
      </c>
      <c r="P569" s="78" t="str">
        <f>IF(Y569=0,"",IF(BD569=1,"OK",IF(D569="proMX","Revisar bloques: ","Revisar: ")&amp;BC569))</f>
        <v/>
      </c>
      <c r="Q569" s="78" t="str">
        <f>IF(NOT(ISNUMBER(B569)),"",IF(COUNTIFS(FER_F,INT(B569))&gt;0,"Feriado"&amp;IF(AH569=1," (laborable)"," (no laborable)"),IF(AH569=1,"Laborable",IF(WEEKDAY(B569,2)&gt;5,"Fin de semana","No laborable"))))</f>
        <v/>
      </c>
      <c r="R569" s="73" t="n"/>
      <c r="S569" s="72" t="n"/>
      <c r="T569" s="72" t="n"/>
      <c r="U569" s="74" t="n"/>
      <c r="V569" s="79" t="str">
        <f>IF(AND(D569="proMX",OR(R569="Submitted",R569="Recall Requested"),ISNUMBER(S569)),CFG_TODAY-INT(S569),"")</f>
        <v/>
      </c>
      <c r="W569" s="78" t="str">
        <f>IF(BD569=0,"",IF(BA569&gt;0,"⚠ Se superpone con un registro de la otra empresa",IF(D569="Malcolm",IF(COUNTA(R569,S569,T569)&gt;0,"Estado/fechas proMX se ignoran en Malcolm",""),IF(BF569="Cancelled","Cancelado: excluido de totales",IF(R569="","Sin estado: se trata como Draft",IF(BF569="Submitted",IF(ISNUMBER(V569),IF(V569&gt;CFG_MAXD,"⚠ "&amp;V569&amp;" días en Submitted (máx. "&amp;CFG_MAXD&amp;")",""),"Falta fecha de envío"),IF(BF569="Returned","⚠ Devuelto: corregir y reenviar",IF(BF569="Recall Requested","Retirada solicitada: pendiente",IF(AND(BF569="Approved",NOT(ISNUMBER(T569))),"Falta fecha de aprobación",IF(AND(ISNUMBER(S569),ISNUMBER(T569),T569&lt;S569),"Aprobación anterior al envío","")))))))))</f>
        <v/>
      </c>
      <c r="Y569" s="80">
        <f>IF(COUNTA(B569,D569,E569,F569,G569,H569,I569,J569,R569,S569,T569)&gt;0,1,0)</f>
        <v>0</v>
      </c>
      <c r="Z569" s="80" t="str">
        <f>IF(AND(ISNUMBER(H569),H569&gt;=0,H569&lt;1),ROUND(H569*1440,0),"")</f>
        <v/>
      </c>
      <c r="AA569" s="80" t="str">
        <f>IF(AND(ISNUMBER(I569),I569&gt;=0,I569&lt;1),ROUND(I569*1440,0),"")</f>
        <v/>
      </c>
      <c r="AB569" s="80">
        <f>IF(AND(ISNUMBER(B569),D569&lt;&gt;"",ISNUMBER(Z569),ISNUMBER(AA569)),IF(Z569=AA569,0,1),0)</f>
        <v>0</v>
      </c>
      <c r="AC569" s="80">
        <f>IF(AB569=1,IF(AA569&lt;Z569,1,0),0)</f>
        <v>0</v>
      </c>
      <c r="AD569" s="80">
        <f>IF(AB569=1,IF(AC569=1,1440-Z569+AA569,AA569-Z569),0)</f>
        <v>0</v>
      </c>
      <c r="AE569" s="80">
        <f>IF(J569="",0,IF(ISNUMBER(J569),J569,-1))</f>
        <v>0</v>
      </c>
      <c r="AF569" s="80">
        <f>MIN(MAX(0,AE569),AD569)</f>
        <v>0</v>
      </c>
      <c r="AG569" s="80">
        <f>MAX(0,AD569-MAX(0,AE569))</f>
        <v>0</v>
      </c>
      <c r="AH569" s="80">
        <f>IF(ISNUMBER(B569),IF(AND(INDEX(CFG_WDAYS,WEEKDAY(INT(B569),2))="Sí",IF(D569="proMX",COUNTIFS(FER_F,INT(B569),FER_NLP,"Sí"),COUNTIFS(FER_F,INT(B569),FER_NLM,"Sí"))=0),1,0),0)</f>
        <v>0</v>
      </c>
      <c r="AI569" s="80">
        <f>IF(AC569=1,IF(AND(INDEX(CFG_WDAYS,WEEKDAY(INT(B569)+1,2))="Sí",IF(D569="proMX",COUNTIFS(FER_F,INT(B569)+1,FER_NLP,"Sí"),COUNTIFS(FER_F,INT(B569)+1,FER_NLM,"Sí"))=0),1,0),0)</f>
        <v>0</v>
      </c>
      <c r="AJ569" s="80">
        <f>IF(AC569=1,1440-Z569,AD569)</f>
        <v>0</v>
      </c>
      <c r="AK569" s="80">
        <f>IF(AND(AB569=1,AH569=1),MAX(0,MIN(IF(AC569=1,1440,AA569),CFG_WEM)-MAX(Z569,CFG_WSM)),0)</f>
        <v>0</v>
      </c>
      <c r="AL569" s="80">
        <f>IF(AND(AC569=1,AI569=1),MAX(0,MIN(AA569,CFG_WEM)-CFG_WSM),0)</f>
        <v>0</v>
      </c>
      <c r="AM569" s="80">
        <f>AK569+AL569</f>
        <v>0</v>
      </c>
      <c r="AN569" s="80">
        <f>IF(CFG_BRK="Proporcional",IF(AD569=0,0,AF569*AM569/AD569),IF(CFG_BRK="Extras primero",MIN(AM569,MAX(0,AF569-(AD569-AM569))),MIN(AF569,AM569)))</f>
        <v>0</v>
      </c>
      <c r="AO569" s="80">
        <f>AF569-AN569</f>
        <v>0</v>
      </c>
      <c r="AP569" s="80">
        <f>AM569-AN569</f>
        <v>0</v>
      </c>
      <c r="AQ569" s="80">
        <f>AD569-AM569-AO569</f>
        <v>0</v>
      </c>
      <c r="AR569" s="80">
        <f>IF(AM569=0,0,AK569-AN569*AK569/AM569)</f>
        <v>0</v>
      </c>
      <c r="AS569" s="80">
        <f>IF(AD569-AM569=0,0,(AJ569-AK569)-AO569*(AJ569-AK569)/(AD569-AM569))</f>
        <v>0</v>
      </c>
      <c r="AT569" s="80" t="str">
        <f>IF(AC569=1,INT(B569)+1,"")</f>
        <v/>
      </c>
      <c r="AU569" s="80">
        <f>IF(AND(D569="proMX",R569="Cancelled"),0,1)</f>
        <v>1</v>
      </c>
      <c r="AV569" s="80">
        <f>IF(AND(AB569=1,AU569=1),IF(COUNTIFS($D$5:D568,D569,$B$5:B568,B569,$Z$5:Z568,Z569,$AA$5:AA568,AA569,$F$5:F568,F569&amp;"",$AU$5:AU568,1)&gt;0,1,0),0)</f>
        <v>0</v>
      </c>
      <c r="AW569" s="80" t="str">
        <f>IF(AB569=1,INT(B569)*1440+Z569,"")</f>
        <v/>
      </c>
      <c r="AX569" s="80" t="str">
        <f>IF(AB569=1,AW569+AD569,"")</f>
        <v/>
      </c>
      <c r="AY569" s="80">
        <f>IF(AND(AB569=1,AV569=0,AU569=1),1,0)</f>
        <v>0</v>
      </c>
      <c r="AZ569" s="80">
        <f>IF(AY569=1,COUNTIFS(R_Emp,D569,R_SAbs,"&lt;"&amp;AX569,R_EAbs,"&gt;"&amp;AW569,R_OKey,1)-1,0)</f>
        <v>0</v>
      </c>
      <c r="BA569" s="80">
        <f>IF(AY569=1,COUNTIFS(R_Emp,"&lt;&gt;"&amp;D569,R_SAbs,"&lt;"&amp;AX569,R_EAbs,"&gt;"&amp;AW569,R_OKey,1),0)</f>
        <v>0</v>
      </c>
      <c r="BB569" s="80">
        <f>IF(AND(AB569=1,D569="proMX"),IF(AND(MOD(Z569,CFG_BLK)=0,MOD(AA569,CFG_BLK)=0,MOD(AG569,CFG_BLK)=0,AG569&gt;0),1,0),1)</f>
        <v>1</v>
      </c>
      <c r="BC569" s="80" t="str">
        <f>IF(Y569=0,"",IF(NOT(ISNUMBER(B569)),"Falta fecha o fecha inválida",IF(D569="","Falta empresa",IF(AND(D569&lt;&gt;"Malcolm",D569&lt;&gt;"proMX"),"Empresa inválida",IF(OR(INT(B569)&lt;CFG_PSTART,INT(B569)&gt;CFG_PEND),"Fecha fuera del período",IF(OR(NOT(ISNUMBER(Z569)),NOT(ISNUMBER(AA569))),"Falta hora inicio/fin o formato inválido",IF(AB569=0,"Hora inicio = hora fin",IF(AE569&lt;0,"Descanso inválido",IF(AE569&gt;=AD569,"Descanso ≥ duración",IF(AV569=1,"Registro duplicado",IF(AZ569&gt;0,"Se superpone con otro registro "&amp;D569,IF(BB569=0,"inicio, fin y duración neta deben ser múltiplos de "&amp;CFG_BLK&amp;" min",""))))))))))))</f>
        <v/>
      </c>
      <c r="BD569" s="80">
        <f>IF(AND(Y569=1,BC569=""),1,0)</f>
        <v>0</v>
      </c>
      <c r="BE569" s="80">
        <f>IF(AND(BD569=1,AU569=1),1,0)</f>
        <v>0</v>
      </c>
      <c r="BF569" s="80" t="str">
        <f>IF(AND(D569="proMX",BD569=1),IF(R569="","Draft",R569),"")</f>
        <v/>
      </c>
      <c r="BG569" s="80">
        <f>IF(BD569=1,ROUND(AG569/60,6),0)</f>
        <v>0</v>
      </c>
      <c r="BH569" s="80">
        <f>IF(BE569=1,ROUND(AG569/60,6),0)</f>
        <v>0</v>
      </c>
      <c r="BI569" s="80">
        <f>IF(BE569=1,ROUND(AP569/60,6),0)</f>
        <v>0</v>
      </c>
      <c r="BJ569" s="80">
        <f>IF(BE569=1,ROUND(AQ569/60,6),0)</f>
        <v>0</v>
      </c>
      <c r="BK569" s="80">
        <f>IF(BE569=1,ROUND((AR569+AS569)/60,6),0)</f>
        <v>0</v>
      </c>
      <c r="BL569" s="80">
        <f>ROUND(BH569-BK569,6)</f>
        <v>0</v>
      </c>
      <c r="BM569" s="80">
        <f>IF(BE569=1,ROUND(AR569/60,6),0)</f>
        <v>0</v>
      </c>
      <c r="BN569" s="80">
        <f>ROUND(BI569-BM569,6)</f>
        <v>0</v>
      </c>
      <c r="BO569" s="80">
        <f>IF(BE569=1,ROUND(AS569/60,6),0)</f>
        <v>0</v>
      </c>
      <c r="BP569" s="80">
        <f>ROUND(BJ569-BO569,6)</f>
        <v>0</v>
      </c>
      <c r="BQ569" s="80">
        <f>IF(BE569=1,AW569,0)</f>
        <v>0</v>
      </c>
      <c r="BR569" s="80">
        <f>IF(BE569=1,AX569,0)</f>
        <v>0</v>
      </c>
      <c r="BS569" s="80">
        <f>IF(AND(BE569=1,D569="Malcolm",BA569&gt;0),MIN(BH569,SUMPRODUCT((R_Emp="proMX")*(R_EN&gt;0)*((R_EN-(R_EN&gt;BR569)*(R_EN-BR569))&gt;(R_SN+(R_SN&lt;BQ569)*(BQ569-R_SN)))*((R_EN-(R_EN&gt;BR569)*(R_EN-BR569))-(R_SN+(R_SN&lt;BQ569)*(BQ569-R_SN))))/60),0)</f>
        <v>0</v>
      </c>
      <c r="BT569" s="80">
        <f>IF(AND(BE569=1,D569="proMX"),ROUND(BI569*CFG_RATE+BJ569*CFG_OTRATE,6),0)</f>
        <v>0</v>
      </c>
      <c r="BU569" s="80">
        <f>IF(AND(BD569=1,D569="proMX"),ROUND(AG569/CFG_BLK,6),0)</f>
        <v>0</v>
      </c>
      <c r="BV569" s="80" t="str">
        <f>IF(BF569="Approved",IF(ISNUMBER(T569),INT(T569),INT(B569)),"")</f>
        <v/>
      </c>
      <c r="BW569" s="80">
        <f>IF(ISNUMBER(B569),IF(DB_MON="Todos",1,IF(AND(INT(B569)&gt;=DB_MS,INT(B569)&lt;=DB_ME),1,0)),0)</f>
        <v>0</v>
      </c>
      <c r="BX569" s="80">
        <f>IF(DB_PROJ="Todos",1,IF(E569&amp;""=DB_PROJ&amp;"",1,0))</f>
        <v>1</v>
      </c>
      <c r="BY569" s="80">
        <f>BW569*BX569</f>
        <v>0</v>
      </c>
      <c r="BZ569" s="80" t="str">
        <f>IF(Y569=1,F569&amp;IF(AND(F569&amp;""&lt;&gt;"",E569&amp;""&lt;&gt;"")," · ","")&amp;E569,"")</f>
        <v/>
      </c>
      <c r="CA569" s="80" t="str">
        <f>IF(AND(BD569=1,E569&amp;""&lt;&gt;""),IF(COUNTIFS($E$5:E568,E569,$BD$5:BD568,1)=0,MAX($CA$5:CA568)+1,""),"")</f>
        <v/>
      </c>
      <c r="CB569" s="80" t="str">
        <f>IF(AND(BE569=1,D569="Malcolm",E569&amp;""&lt;&gt;""),IF(COUNTIFS($D$5:D568,"Malcolm",$E$5:E568,E569,$BE$5:BE568,1)=0,MAX($CB$5:CB568)+1,""),"")</f>
        <v/>
      </c>
      <c r="CC569" s="80" t="str">
        <f>IF(AND(BD569=1,D569="proMX",E569&amp;""&lt;&gt;""),IF(COUNTIFS($D$5:D568,"proMX",$E$5:E568,E569,$BD$5:BD568,1)=0,MAX($CC$5:CC568)+1,""),"")</f>
        <v/>
      </c>
      <c r="CD569" s="80" t="str">
        <f>IF(AND(BE569=1,D569="Malcolm",F569&amp;""&lt;&gt;""),IF(COUNTIFS($D$5:D568,"Malcolm",$F$5:F568,F569,$BE$5:BE568,1)=0,MAX($CD$5:CD568)+1,""),"")</f>
        <v/>
      </c>
      <c r="CE569" s="80" t="str">
        <f>IF(AND(BD569=1,D569="proMX",F569&amp;""&lt;&gt;""),IF(COUNTIFS($D$5:D568,"proMX",$F$5:F568,F569,$BD$5:BD568,1)=0,MAX($CE$5:CE568)+1,""),"")</f>
        <v/>
      </c>
      <c r="CF569" s="80" t="str">
        <f>IF(AND(D569="proMX",BD569=1),IF(OR(BF569="Draft",BF569="Submitted",BF569="Returned",BF569="Recall Requested"),MAX($CF$5:CF568)+1,""),"")</f>
        <v/>
      </c>
      <c r="CG569" s="80">
        <f>IF(BD569=0,0,IF(D569="Malcolm",1,MATCH(BF569,{"Draft","Submitted","Approved","Returned","Recall Requested","Cancelled"},0)+1))</f>
        <v>0</v>
      </c>
      <c r="CH569" s="80">
        <f>IF(AND(BF569="Submitted",ISNUMBER(V569)),IF(V569&gt;CFG_MAXD,1,0),0)</f>
        <v>0</v>
      </c>
    </row>
    <row r="570">
      <c r="A570" s="71" t="str">
        <f>IF(Y570=1,ROW()-5,"")</f>
        <v/>
      </c>
      <c r="B570" s="72" t="n"/>
      <c r="C570" s="71" t="str">
        <f>IF(ISNUMBER(B570),CHOOSE(WEEKDAY(B570,2),"Lun","Mar","Mié","Jue","Vie","Sáb","Dom"),"")</f>
        <v/>
      </c>
      <c r="D570" s="73" t="n"/>
      <c r="E570" s="74" t="n"/>
      <c r="F570" s="74" t="n"/>
      <c r="G570" s="74" t="n"/>
      <c r="H570" s="75" t="n"/>
      <c r="I570" s="75" t="n"/>
      <c r="J570" s="76" t="n"/>
      <c r="K570" s="77" t="str">
        <f>IF(AB570=1,ROUND(AG570/60,4),"")</f>
        <v/>
      </c>
      <c r="L570" s="77" t="str">
        <f>IF(BD570=1,ROUND(AP570/60,4),"")</f>
        <v/>
      </c>
      <c r="M570" s="77" t="str">
        <f>IF(BD570=1,ROUND(AQ570/60,4),"")</f>
        <v/>
      </c>
      <c r="N570" s="71" t="str">
        <f>IF(AND(D570="proMX",AB570=1),ROUND(AG570/CFG_BLK,2),"")</f>
        <v/>
      </c>
      <c r="O570" s="77" t="str">
        <f>IF(D570="proMX",IF(BD570=1,ROUND(AG570/60,4),0),"")</f>
        <v/>
      </c>
      <c r="P570" s="78" t="str">
        <f>IF(Y570=0,"",IF(BD570=1,"OK",IF(D570="proMX","Revisar bloques: ","Revisar: ")&amp;BC570))</f>
        <v/>
      </c>
      <c r="Q570" s="78" t="str">
        <f>IF(NOT(ISNUMBER(B570)),"",IF(COUNTIFS(FER_F,INT(B570))&gt;0,"Feriado"&amp;IF(AH570=1," (laborable)"," (no laborable)"),IF(AH570=1,"Laborable",IF(WEEKDAY(B570,2)&gt;5,"Fin de semana","No laborable"))))</f>
        <v/>
      </c>
      <c r="R570" s="73" t="n"/>
      <c r="S570" s="72" t="n"/>
      <c r="T570" s="72" t="n"/>
      <c r="U570" s="74" t="n"/>
      <c r="V570" s="79" t="str">
        <f>IF(AND(D570="proMX",OR(R570="Submitted",R570="Recall Requested"),ISNUMBER(S570)),CFG_TODAY-INT(S570),"")</f>
        <v/>
      </c>
      <c r="W570" s="78" t="str">
        <f>IF(BD570=0,"",IF(BA570&gt;0,"⚠ Se superpone con un registro de la otra empresa",IF(D570="Malcolm",IF(COUNTA(R570,S570,T570)&gt;0,"Estado/fechas proMX se ignoran en Malcolm",""),IF(BF570="Cancelled","Cancelado: excluido de totales",IF(R570="","Sin estado: se trata como Draft",IF(BF570="Submitted",IF(ISNUMBER(V570),IF(V570&gt;CFG_MAXD,"⚠ "&amp;V570&amp;" días en Submitted (máx. "&amp;CFG_MAXD&amp;")",""),"Falta fecha de envío"),IF(BF570="Returned","⚠ Devuelto: corregir y reenviar",IF(BF570="Recall Requested","Retirada solicitada: pendiente",IF(AND(BF570="Approved",NOT(ISNUMBER(T570))),"Falta fecha de aprobación",IF(AND(ISNUMBER(S570),ISNUMBER(T570),T570&lt;S570),"Aprobación anterior al envío","")))))))))</f>
        <v/>
      </c>
      <c r="Y570" s="80">
        <f>IF(COUNTA(B570,D570,E570,F570,G570,H570,I570,J570,R570,S570,T570)&gt;0,1,0)</f>
        <v>0</v>
      </c>
      <c r="Z570" s="80" t="str">
        <f>IF(AND(ISNUMBER(H570),H570&gt;=0,H570&lt;1),ROUND(H570*1440,0),"")</f>
        <v/>
      </c>
      <c r="AA570" s="80" t="str">
        <f>IF(AND(ISNUMBER(I570),I570&gt;=0,I570&lt;1),ROUND(I570*1440,0),"")</f>
        <v/>
      </c>
      <c r="AB570" s="80">
        <f>IF(AND(ISNUMBER(B570),D570&lt;&gt;"",ISNUMBER(Z570),ISNUMBER(AA570)),IF(Z570=AA570,0,1),0)</f>
        <v>0</v>
      </c>
      <c r="AC570" s="80">
        <f>IF(AB570=1,IF(AA570&lt;Z570,1,0),0)</f>
        <v>0</v>
      </c>
      <c r="AD570" s="80">
        <f>IF(AB570=1,IF(AC570=1,1440-Z570+AA570,AA570-Z570),0)</f>
        <v>0</v>
      </c>
      <c r="AE570" s="80">
        <f>IF(J570="",0,IF(ISNUMBER(J570),J570,-1))</f>
        <v>0</v>
      </c>
      <c r="AF570" s="80">
        <f>MIN(MAX(0,AE570),AD570)</f>
        <v>0</v>
      </c>
      <c r="AG570" s="80">
        <f>MAX(0,AD570-MAX(0,AE570))</f>
        <v>0</v>
      </c>
      <c r="AH570" s="80">
        <f>IF(ISNUMBER(B570),IF(AND(INDEX(CFG_WDAYS,WEEKDAY(INT(B570),2))="Sí",IF(D570="proMX",COUNTIFS(FER_F,INT(B570),FER_NLP,"Sí"),COUNTIFS(FER_F,INT(B570),FER_NLM,"Sí"))=0),1,0),0)</f>
        <v>0</v>
      </c>
      <c r="AI570" s="80">
        <f>IF(AC570=1,IF(AND(INDEX(CFG_WDAYS,WEEKDAY(INT(B570)+1,2))="Sí",IF(D570="proMX",COUNTIFS(FER_F,INT(B570)+1,FER_NLP,"Sí"),COUNTIFS(FER_F,INT(B570)+1,FER_NLM,"Sí"))=0),1,0),0)</f>
        <v>0</v>
      </c>
      <c r="AJ570" s="80">
        <f>IF(AC570=1,1440-Z570,AD570)</f>
        <v>0</v>
      </c>
      <c r="AK570" s="80">
        <f>IF(AND(AB570=1,AH570=1),MAX(0,MIN(IF(AC570=1,1440,AA570),CFG_WEM)-MAX(Z570,CFG_WSM)),0)</f>
        <v>0</v>
      </c>
      <c r="AL570" s="80">
        <f>IF(AND(AC570=1,AI570=1),MAX(0,MIN(AA570,CFG_WEM)-CFG_WSM),0)</f>
        <v>0</v>
      </c>
      <c r="AM570" s="80">
        <f>AK570+AL570</f>
        <v>0</v>
      </c>
      <c r="AN570" s="80">
        <f>IF(CFG_BRK="Proporcional",IF(AD570=0,0,AF570*AM570/AD570),IF(CFG_BRK="Extras primero",MIN(AM570,MAX(0,AF570-(AD570-AM570))),MIN(AF570,AM570)))</f>
        <v>0</v>
      </c>
      <c r="AO570" s="80">
        <f>AF570-AN570</f>
        <v>0</v>
      </c>
      <c r="AP570" s="80">
        <f>AM570-AN570</f>
        <v>0</v>
      </c>
      <c r="AQ570" s="80">
        <f>AD570-AM570-AO570</f>
        <v>0</v>
      </c>
      <c r="AR570" s="80">
        <f>IF(AM570=0,0,AK570-AN570*AK570/AM570)</f>
        <v>0</v>
      </c>
      <c r="AS570" s="80">
        <f>IF(AD570-AM570=0,0,(AJ570-AK570)-AO570*(AJ570-AK570)/(AD570-AM570))</f>
        <v>0</v>
      </c>
      <c r="AT570" s="80" t="str">
        <f>IF(AC570=1,INT(B570)+1,"")</f>
        <v/>
      </c>
      <c r="AU570" s="80">
        <f>IF(AND(D570="proMX",R570="Cancelled"),0,1)</f>
        <v>1</v>
      </c>
      <c r="AV570" s="80">
        <f>IF(AND(AB570=1,AU570=1),IF(COUNTIFS($D$5:D569,D570,$B$5:B569,B570,$Z$5:Z569,Z570,$AA$5:AA569,AA570,$F$5:F569,F570&amp;"",$AU$5:AU569,1)&gt;0,1,0),0)</f>
        <v>0</v>
      </c>
      <c r="AW570" s="80" t="str">
        <f>IF(AB570=1,INT(B570)*1440+Z570,"")</f>
        <v/>
      </c>
      <c r="AX570" s="80" t="str">
        <f>IF(AB570=1,AW570+AD570,"")</f>
        <v/>
      </c>
      <c r="AY570" s="80">
        <f>IF(AND(AB570=1,AV570=0,AU570=1),1,0)</f>
        <v>0</v>
      </c>
      <c r="AZ570" s="80">
        <f>IF(AY570=1,COUNTIFS(R_Emp,D570,R_SAbs,"&lt;"&amp;AX570,R_EAbs,"&gt;"&amp;AW570,R_OKey,1)-1,0)</f>
        <v>0</v>
      </c>
      <c r="BA570" s="80">
        <f>IF(AY570=1,COUNTIFS(R_Emp,"&lt;&gt;"&amp;D570,R_SAbs,"&lt;"&amp;AX570,R_EAbs,"&gt;"&amp;AW570,R_OKey,1),0)</f>
        <v>0</v>
      </c>
      <c r="BB570" s="80">
        <f>IF(AND(AB570=1,D570="proMX"),IF(AND(MOD(Z570,CFG_BLK)=0,MOD(AA570,CFG_BLK)=0,MOD(AG570,CFG_BLK)=0,AG570&gt;0),1,0),1)</f>
        <v>1</v>
      </c>
      <c r="BC570" s="80" t="str">
        <f>IF(Y570=0,"",IF(NOT(ISNUMBER(B570)),"Falta fecha o fecha inválida",IF(D570="","Falta empresa",IF(AND(D570&lt;&gt;"Malcolm",D570&lt;&gt;"proMX"),"Empresa inválida",IF(OR(INT(B570)&lt;CFG_PSTART,INT(B570)&gt;CFG_PEND),"Fecha fuera del período",IF(OR(NOT(ISNUMBER(Z570)),NOT(ISNUMBER(AA570))),"Falta hora inicio/fin o formato inválido",IF(AB570=0,"Hora inicio = hora fin",IF(AE570&lt;0,"Descanso inválido",IF(AE570&gt;=AD570,"Descanso ≥ duración",IF(AV570=1,"Registro duplicado",IF(AZ570&gt;0,"Se superpone con otro registro "&amp;D570,IF(BB570=0,"inicio, fin y duración neta deben ser múltiplos de "&amp;CFG_BLK&amp;" min",""))))))))))))</f>
        <v/>
      </c>
      <c r="BD570" s="80">
        <f>IF(AND(Y570=1,BC570=""),1,0)</f>
        <v>0</v>
      </c>
      <c r="BE570" s="80">
        <f>IF(AND(BD570=1,AU570=1),1,0)</f>
        <v>0</v>
      </c>
      <c r="BF570" s="80" t="str">
        <f>IF(AND(D570="proMX",BD570=1),IF(R570="","Draft",R570),"")</f>
        <v/>
      </c>
      <c r="BG570" s="80">
        <f>IF(BD570=1,ROUND(AG570/60,6),0)</f>
        <v>0</v>
      </c>
      <c r="BH570" s="80">
        <f>IF(BE570=1,ROUND(AG570/60,6),0)</f>
        <v>0</v>
      </c>
      <c r="BI570" s="80">
        <f>IF(BE570=1,ROUND(AP570/60,6),0)</f>
        <v>0</v>
      </c>
      <c r="BJ570" s="80">
        <f>IF(BE570=1,ROUND(AQ570/60,6),0)</f>
        <v>0</v>
      </c>
      <c r="BK570" s="80">
        <f>IF(BE570=1,ROUND((AR570+AS570)/60,6),0)</f>
        <v>0</v>
      </c>
      <c r="BL570" s="80">
        <f>ROUND(BH570-BK570,6)</f>
        <v>0</v>
      </c>
      <c r="BM570" s="80">
        <f>IF(BE570=1,ROUND(AR570/60,6),0)</f>
        <v>0</v>
      </c>
      <c r="BN570" s="80">
        <f>ROUND(BI570-BM570,6)</f>
        <v>0</v>
      </c>
      <c r="BO570" s="80">
        <f>IF(BE570=1,ROUND(AS570/60,6),0)</f>
        <v>0</v>
      </c>
      <c r="BP570" s="80">
        <f>ROUND(BJ570-BO570,6)</f>
        <v>0</v>
      </c>
      <c r="BQ570" s="80">
        <f>IF(BE570=1,AW570,0)</f>
        <v>0</v>
      </c>
      <c r="BR570" s="80">
        <f>IF(BE570=1,AX570,0)</f>
        <v>0</v>
      </c>
      <c r="BS570" s="80">
        <f>IF(AND(BE570=1,D570="Malcolm",BA570&gt;0),MIN(BH570,SUMPRODUCT((R_Emp="proMX")*(R_EN&gt;0)*((R_EN-(R_EN&gt;BR570)*(R_EN-BR570))&gt;(R_SN+(R_SN&lt;BQ570)*(BQ570-R_SN)))*((R_EN-(R_EN&gt;BR570)*(R_EN-BR570))-(R_SN+(R_SN&lt;BQ570)*(BQ570-R_SN))))/60),0)</f>
        <v>0</v>
      </c>
      <c r="BT570" s="80">
        <f>IF(AND(BE570=1,D570="proMX"),ROUND(BI570*CFG_RATE+BJ570*CFG_OTRATE,6),0)</f>
        <v>0</v>
      </c>
      <c r="BU570" s="80">
        <f>IF(AND(BD570=1,D570="proMX"),ROUND(AG570/CFG_BLK,6),0)</f>
        <v>0</v>
      </c>
      <c r="BV570" s="80" t="str">
        <f>IF(BF570="Approved",IF(ISNUMBER(T570),INT(T570),INT(B570)),"")</f>
        <v/>
      </c>
      <c r="BW570" s="80">
        <f>IF(ISNUMBER(B570),IF(DB_MON="Todos",1,IF(AND(INT(B570)&gt;=DB_MS,INT(B570)&lt;=DB_ME),1,0)),0)</f>
        <v>0</v>
      </c>
      <c r="BX570" s="80">
        <f>IF(DB_PROJ="Todos",1,IF(E570&amp;""=DB_PROJ&amp;"",1,0))</f>
        <v>1</v>
      </c>
      <c r="BY570" s="80">
        <f>BW570*BX570</f>
        <v>0</v>
      </c>
      <c r="BZ570" s="80" t="str">
        <f>IF(Y570=1,F570&amp;IF(AND(F570&amp;""&lt;&gt;"",E570&amp;""&lt;&gt;"")," · ","")&amp;E570,"")</f>
        <v/>
      </c>
      <c r="CA570" s="80" t="str">
        <f>IF(AND(BD570=1,E570&amp;""&lt;&gt;""),IF(COUNTIFS($E$5:E569,E570,$BD$5:BD569,1)=0,MAX($CA$5:CA569)+1,""),"")</f>
        <v/>
      </c>
      <c r="CB570" s="80" t="str">
        <f>IF(AND(BE570=1,D570="Malcolm",E570&amp;""&lt;&gt;""),IF(COUNTIFS($D$5:D569,"Malcolm",$E$5:E569,E570,$BE$5:BE569,1)=0,MAX($CB$5:CB569)+1,""),"")</f>
        <v/>
      </c>
      <c r="CC570" s="80" t="str">
        <f>IF(AND(BD570=1,D570="proMX",E570&amp;""&lt;&gt;""),IF(COUNTIFS($D$5:D569,"proMX",$E$5:E569,E570,$BD$5:BD569,1)=0,MAX($CC$5:CC569)+1,""),"")</f>
        <v/>
      </c>
      <c r="CD570" s="80" t="str">
        <f>IF(AND(BE570=1,D570="Malcolm",F570&amp;""&lt;&gt;""),IF(COUNTIFS($D$5:D569,"Malcolm",$F$5:F569,F570,$BE$5:BE569,1)=0,MAX($CD$5:CD569)+1,""),"")</f>
        <v/>
      </c>
      <c r="CE570" s="80" t="str">
        <f>IF(AND(BD570=1,D570="proMX",F570&amp;""&lt;&gt;""),IF(COUNTIFS($D$5:D569,"proMX",$F$5:F569,F570,$BD$5:BD569,1)=0,MAX($CE$5:CE569)+1,""),"")</f>
        <v/>
      </c>
      <c r="CF570" s="80" t="str">
        <f>IF(AND(D570="proMX",BD570=1),IF(OR(BF570="Draft",BF570="Submitted",BF570="Returned",BF570="Recall Requested"),MAX($CF$5:CF569)+1,""),"")</f>
        <v/>
      </c>
      <c r="CG570" s="80">
        <f>IF(BD570=0,0,IF(D570="Malcolm",1,MATCH(BF570,{"Draft","Submitted","Approved","Returned","Recall Requested","Cancelled"},0)+1))</f>
        <v>0</v>
      </c>
      <c r="CH570" s="80">
        <f>IF(AND(BF570="Submitted",ISNUMBER(V570)),IF(V570&gt;CFG_MAXD,1,0),0)</f>
        <v>0</v>
      </c>
    </row>
    <row r="571">
      <c r="A571" s="71" t="str">
        <f>IF(Y571=1,ROW()-5,"")</f>
        <v/>
      </c>
      <c r="B571" s="72" t="n"/>
      <c r="C571" s="71" t="str">
        <f>IF(ISNUMBER(B571),CHOOSE(WEEKDAY(B571,2),"Lun","Mar","Mié","Jue","Vie","Sáb","Dom"),"")</f>
        <v/>
      </c>
      <c r="D571" s="73" t="n"/>
      <c r="E571" s="74" t="n"/>
      <c r="F571" s="74" t="n"/>
      <c r="G571" s="74" t="n"/>
      <c r="H571" s="75" t="n"/>
      <c r="I571" s="75" t="n"/>
      <c r="J571" s="76" t="n"/>
      <c r="K571" s="77" t="str">
        <f>IF(AB571=1,ROUND(AG571/60,4),"")</f>
        <v/>
      </c>
      <c r="L571" s="77" t="str">
        <f>IF(BD571=1,ROUND(AP571/60,4),"")</f>
        <v/>
      </c>
      <c r="M571" s="77" t="str">
        <f>IF(BD571=1,ROUND(AQ571/60,4),"")</f>
        <v/>
      </c>
      <c r="N571" s="71" t="str">
        <f>IF(AND(D571="proMX",AB571=1),ROUND(AG571/CFG_BLK,2),"")</f>
        <v/>
      </c>
      <c r="O571" s="77" t="str">
        <f>IF(D571="proMX",IF(BD571=1,ROUND(AG571/60,4),0),"")</f>
        <v/>
      </c>
      <c r="P571" s="78" t="str">
        <f>IF(Y571=0,"",IF(BD571=1,"OK",IF(D571="proMX","Revisar bloques: ","Revisar: ")&amp;BC571))</f>
        <v/>
      </c>
      <c r="Q571" s="78" t="str">
        <f>IF(NOT(ISNUMBER(B571)),"",IF(COUNTIFS(FER_F,INT(B571))&gt;0,"Feriado"&amp;IF(AH571=1," (laborable)"," (no laborable)"),IF(AH571=1,"Laborable",IF(WEEKDAY(B571,2)&gt;5,"Fin de semana","No laborable"))))</f>
        <v/>
      </c>
      <c r="R571" s="73" t="n"/>
      <c r="S571" s="72" t="n"/>
      <c r="T571" s="72" t="n"/>
      <c r="U571" s="74" t="n"/>
      <c r="V571" s="79" t="str">
        <f>IF(AND(D571="proMX",OR(R571="Submitted",R571="Recall Requested"),ISNUMBER(S571)),CFG_TODAY-INT(S571),"")</f>
        <v/>
      </c>
      <c r="W571" s="78" t="str">
        <f>IF(BD571=0,"",IF(BA571&gt;0,"⚠ Se superpone con un registro de la otra empresa",IF(D571="Malcolm",IF(COUNTA(R571,S571,T571)&gt;0,"Estado/fechas proMX se ignoran en Malcolm",""),IF(BF571="Cancelled","Cancelado: excluido de totales",IF(R571="","Sin estado: se trata como Draft",IF(BF571="Submitted",IF(ISNUMBER(V571),IF(V571&gt;CFG_MAXD,"⚠ "&amp;V571&amp;" días en Submitted (máx. "&amp;CFG_MAXD&amp;")",""),"Falta fecha de envío"),IF(BF571="Returned","⚠ Devuelto: corregir y reenviar",IF(BF571="Recall Requested","Retirada solicitada: pendiente",IF(AND(BF571="Approved",NOT(ISNUMBER(T571))),"Falta fecha de aprobación",IF(AND(ISNUMBER(S571),ISNUMBER(T571),T571&lt;S571),"Aprobación anterior al envío","")))))))))</f>
        <v/>
      </c>
      <c r="Y571" s="80">
        <f>IF(COUNTA(B571,D571,E571,F571,G571,H571,I571,J571,R571,S571,T571)&gt;0,1,0)</f>
        <v>0</v>
      </c>
      <c r="Z571" s="80" t="str">
        <f>IF(AND(ISNUMBER(H571),H571&gt;=0,H571&lt;1),ROUND(H571*1440,0),"")</f>
        <v/>
      </c>
      <c r="AA571" s="80" t="str">
        <f>IF(AND(ISNUMBER(I571),I571&gt;=0,I571&lt;1),ROUND(I571*1440,0),"")</f>
        <v/>
      </c>
      <c r="AB571" s="80">
        <f>IF(AND(ISNUMBER(B571),D571&lt;&gt;"",ISNUMBER(Z571),ISNUMBER(AA571)),IF(Z571=AA571,0,1),0)</f>
        <v>0</v>
      </c>
      <c r="AC571" s="80">
        <f>IF(AB571=1,IF(AA571&lt;Z571,1,0),0)</f>
        <v>0</v>
      </c>
      <c r="AD571" s="80">
        <f>IF(AB571=1,IF(AC571=1,1440-Z571+AA571,AA571-Z571),0)</f>
        <v>0</v>
      </c>
      <c r="AE571" s="80">
        <f>IF(J571="",0,IF(ISNUMBER(J571),J571,-1))</f>
        <v>0</v>
      </c>
      <c r="AF571" s="80">
        <f>MIN(MAX(0,AE571),AD571)</f>
        <v>0</v>
      </c>
      <c r="AG571" s="80">
        <f>MAX(0,AD571-MAX(0,AE571))</f>
        <v>0</v>
      </c>
      <c r="AH571" s="80">
        <f>IF(ISNUMBER(B571),IF(AND(INDEX(CFG_WDAYS,WEEKDAY(INT(B571),2))="Sí",IF(D571="proMX",COUNTIFS(FER_F,INT(B571),FER_NLP,"Sí"),COUNTIFS(FER_F,INT(B571),FER_NLM,"Sí"))=0),1,0),0)</f>
        <v>0</v>
      </c>
      <c r="AI571" s="80">
        <f>IF(AC571=1,IF(AND(INDEX(CFG_WDAYS,WEEKDAY(INT(B571)+1,2))="Sí",IF(D571="proMX",COUNTIFS(FER_F,INT(B571)+1,FER_NLP,"Sí"),COUNTIFS(FER_F,INT(B571)+1,FER_NLM,"Sí"))=0),1,0),0)</f>
        <v>0</v>
      </c>
      <c r="AJ571" s="80">
        <f>IF(AC571=1,1440-Z571,AD571)</f>
        <v>0</v>
      </c>
      <c r="AK571" s="80">
        <f>IF(AND(AB571=1,AH571=1),MAX(0,MIN(IF(AC571=1,1440,AA571),CFG_WEM)-MAX(Z571,CFG_WSM)),0)</f>
        <v>0</v>
      </c>
      <c r="AL571" s="80">
        <f>IF(AND(AC571=1,AI571=1),MAX(0,MIN(AA571,CFG_WEM)-CFG_WSM),0)</f>
        <v>0</v>
      </c>
      <c r="AM571" s="80">
        <f>AK571+AL571</f>
        <v>0</v>
      </c>
      <c r="AN571" s="80">
        <f>IF(CFG_BRK="Proporcional",IF(AD571=0,0,AF571*AM571/AD571),IF(CFG_BRK="Extras primero",MIN(AM571,MAX(0,AF571-(AD571-AM571))),MIN(AF571,AM571)))</f>
        <v>0</v>
      </c>
      <c r="AO571" s="80">
        <f>AF571-AN571</f>
        <v>0</v>
      </c>
      <c r="AP571" s="80">
        <f>AM571-AN571</f>
        <v>0</v>
      </c>
      <c r="AQ571" s="80">
        <f>AD571-AM571-AO571</f>
        <v>0</v>
      </c>
      <c r="AR571" s="80">
        <f>IF(AM571=0,0,AK571-AN571*AK571/AM571)</f>
        <v>0</v>
      </c>
      <c r="AS571" s="80">
        <f>IF(AD571-AM571=0,0,(AJ571-AK571)-AO571*(AJ571-AK571)/(AD571-AM571))</f>
        <v>0</v>
      </c>
      <c r="AT571" s="80" t="str">
        <f>IF(AC571=1,INT(B571)+1,"")</f>
        <v/>
      </c>
      <c r="AU571" s="80">
        <f>IF(AND(D571="proMX",R571="Cancelled"),0,1)</f>
        <v>1</v>
      </c>
      <c r="AV571" s="80">
        <f>IF(AND(AB571=1,AU571=1),IF(COUNTIFS($D$5:D570,D571,$B$5:B570,B571,$Z$5:Z570,Z571,$AA$5:AA570,AA571,$F$5:F570,F571&amp;"",$AU$5:AU570,1)&gt;0,1,0),0)</f>
        <v>0</v>
      </c>
      <c r="AW571" s="80" t="str">
        <f>IF(AB571=1,INT(B571)*1440+Z571,"")</f>
        <v/>
      </c>
      <c r="AX571" s="80" t="str">
        <f>IF(AB571=1,AW571+AD571,"")</f>
        <v/>
      </c>
      <c r="AY571" s="80">
        <f>IF(AND(AB571=1,AV571=0,AU571=1),1,0)</f>
        <v>0</v>
      </c>
      <c r="AZ571" s="80">
        <f>IF(AY571=1,COUNTIFS(R_Emp,D571,R_SAbs,"&lt;"&amp;AX571,R_EAbs,"&gt;"&amp;AW571,R_OKey,1)-1,0)</f>
        <v>0</v>
      </c>
      <c r="BA571" s="80">
        <f>IF(AY571=1,COUNTIFS(R_Emp,"&lt;&gt;"&amp;D571,R_SAbs,"&lt;"&amp;AX571,R_EAbs,"&gt;"&amp;AW571,R_OKey,1),0)</f>
        <v>0</v>
      </c>
      <c r="BB571" s="80">
        <f>IF(AND(AB571=1,D571="proMX"),IF(AND(MOD(Z571,CFG_BLK)=0,MOD(AA571,CFG_BLK)=0,MOD(AG571,CFG_BLK)=0,AG571&gt;0),1,0),1)</f>
        <v>1</v>
      </c>
      <c r="BC571" s="80" t="str">
        <f>IF(Y571=0,"",IF(NOT(ISNUMBER(B571)),"Falta fecha o fecha inválida",IF(D571="","Falta empresa",IF(AND(D571&lt;&gt;"Malcolm",D571&lt;&gt;"proMX"),"Empresa inválida",IF(OR(INT(B571)&lt;CFG_PSTART,INT(B571)&gt;CFG_PEND),"Fecha fuera del período",IF(OR(NOT(ISNUMBER(Z571)),NOT(ISNUMBER(AA571))),"Falta hora inicio/fin o formato inválido",IF(AB571=0,"Hora inicio = hora fin",IF(AE571&lt;0,"Descanso inválido",IF(AE571&gt;=AD571,"Descanso ≥ duración",IF(AV571=1,"Registro duplicado",IF(AZ571&gt;0,"Se superpone con otro registro "&amp;D571,IF(BB571=0,"inicio, fin y duración neta deben ser múltiplos de "&amp;CFG_BLK&amp;" min",""))))))))))))</f>
        <v/>
      </c>
      <c r="BD571" s="80">
        <f>IF(AND(Y571=1,BC571=""),1,0)</f>
        <v>0</v>
      </c>
      <c r="BE571" s="80">
        <f>IF(AND(BD571=1,AU571=1),1,0)</f>
        <v>0</v>
      </c>
      <c r="BF571" s="80" t="str">
        <f>IF(AND(D571="proMX",BD571=1),IF(R571="","Draft",R571),"")</f>
        <v/>
      </c>
      <c r="BG571" s="80">
        <f>IF(BD571=1,ROUND(AG571/60,6),0)</f>
        <v>0</v>
      </c>
      <c r="BH571" s="80">
        <f>IF(BE571=1,ROUND(AG571/60,6),0)</f>
        <v>0</v>
      </c>
      <c r="BI571" s="80">
        <f>IF(BE571=1,ROUND(AP571/60,6),0)</f>
        <v>0</v>
      </c>
      <c r="BJ571" s="80">
        <f>IF(BE571=1,ROUND(AQ571/60,6),0)</f>
        <v>0</v>
      </c>
      <c r="BK571" s="80">
        <f>IF(BE571=1,ROUND((AR571+AS571)/60,6),0)</f>
        <v>0</v>
      </c>
      <c r="BL571" s="80">
        <f>ROUND(BH571-BK571,6)</f>
        <v>0</v>
      </c>
      <c r="BM571" s="80">
        <f>IF(BE571=1,ROUND(AR571/60,6),0)</f>
        <v>0</v>
      </c>
      <c r="BN571" s="80">
        <f>ROUND(BI571-BM571,6)</f>
        <v>0</v>
      </c>
      <c r="BO571" s="80">
        <f>IF(BE571=1,ROUND(AS571/60,6),0)</f>
        <v>0</v>
      </c>
      <c r="BP571" s="80">
        <f>ROUND(BJ571-BO571,6)</f>
        <v>0</v>
      </c>
      <c r="BQ571" s="80">
        <f>IF(BE571=1,AW571,0)</f>
        <v>0</v>
      </c>
      <c r="BR571" s="80">
        <f>IF(BE571=1,AX571,0)</f>
        <v>0</v>
      </c>
      <c r="BS571" s="80">
        <f>IF(AND(BE571=1,D571="Malcolm",BA571&gt;0),MIN(BH571,SUMPRODUCT((R_Emp="proMX")*(R_EN&gt;0)*((R_EN-(R_EN&gt;BR571)*(R_EN-BR571))&gt;(R_SN+(R_SN&lt;BQ571)*(BQ571-R_SN)))*((R_EN-(R_EN&gt;BR571)*(R_EN-BR571))-(R_SN+(R_SN&lt;BQ571)*(BQ571-R_SN))))/60),0)</f>
        <v>0</v>
      </c>
      <c r="BT571" s="80">
        <f>IF(AND(BE571=1,D571="proMX"),ROUND(BI571*CFG_RATE+BJ571*CFG_OTRATE,6),0)</f>
        <v>0</v>
      </c>
      <c r="BU571" s="80">
        <f>IF(AND(BD571=1,D571="proMX"),ROUND(AG571/CFG_BLK,6),0)</f>
        <v>0</v>
      </c>
      <c r="BV571" s="80" t="str">
        <f>IF(BF571="Approved",IF(ISNUMBER(T571),INT(T571),INT(B571)),"")</f>
        <v/>
      </c>
      <c r="BW571" s="80">
        <f>IF(ISNUMBER(B571),IF(DB_MON="Todos",1,IF(AND(INT(B571)&gt;=DB_MS,INT(B571)&lt;=DB_ME),1,0)),0)</f>
        <v>0</v>
      </c>
      <c r="BX571" s="80">
        <f>IF(DB_PROJ="Todos",1,IF(E571&amp;""=DB_PROJ&amp;"",1,0))</f>
        <v>1</v>
      </c>
      <c r="BY571" s="80">
        <f>BW571*BX571</f>
        <v>0</v>
      </c>
      <c r="BZ571" s="80" t="str">
        <f>IF(Y571=1,F571&amp;IF(AND(F571&amp;""&lt;&gt;"",E571&amp;""&lt;&gt;"")," · ","")&amp;E571,"")</f>
        <v/>
      </c>
      <c r="CA571" s="80" t="str">
        <f>IF(AND(BD571=1,E571&amp;""&lt;&gt;""),IF(COUNTIFS($E$5:E570,E571,$BD$5:BD570,1)=0,MAX($CA$5:CA570)+1,""),"")</f>
        <v/>
      </c>
      <c r="CB571" s="80" t="str">
        <f>IF(AND(BE571=1,D571="Malcolm",E571&amp;""&lt;&gt;""),IF(COUNTIFS($D$5:D570,"Malcolm",$E$5:E570,E571,$BE$5:BE570,1)=0,MAX($CB$5:CB570)+1,""),"")</f>
        <v/>
      </c>
      <c r="CC571" s="80" t="str">
        <f>IF(AND(BD571=1,D571="proMX",E571&amp;""&lt;&gt;""),IF(COUNTIFS($D$5:D570,"proMX",$E$5:E570,E571,$BD$5:BD570,1)=0,MAX($CC$5:CC570)+1,""),"")</f>
        <v/>
      </c>
      <c r="CD571" s="80" t="str">
        <f>IF(AND(BE571=1,D571="Malcolm",F571&amp;""&lt;&gt;""),IF(COUNTIFS($D$5:D570,"Malcolm",$F$5:F570,F571,$BE$5:BE570,1)=0,MAX($CD$5:CD570)+1,""),"")</f>
        <v/>
      </c>
      <c r="CE571" s="80" t="str">
        <f>IF(AND(BD571=1,D571="proMX",F571&amp;""&lt;&gt;""),IF(COUNTIFS($D$5:D570,"proMX",$F$5:F570,F571,$BD$5:BD570,1)=0,MAX($CE$5:CE570)+1,""),"")</f>
        <v/>
      </c>
      <c r="CF571" s="80" t="str">
        <f>IF(AND(D571="proMX",BD571=1),IF(OR(BF571="Draft",BF571="Submitted",BF571="Returned",BF571="Recall Requested"),MAX($CF$5:CF570)+1,""),"")</f>
        <v/>
      </c>
      <c r="CG571" s="80">
        <f>IF(BD571=0,0,IF(D571="Malcolm",1,MATCH(BF571,{"Draft","Submitted","Approved","Returned","Recall Requested","Cancelled"},0)+1))</f>
        <v>0</v>
      </c>
      <c r="CH571" s="80">
        <f>IF(AND(BF571="Submitted",ISNUMBER(V571)),IF(V571&gt;CFG_MAXD,1,0),0)</f>
        <v>0</v>
      </c>
    </row>
    <row r="572">
      <c r="A572" s="71" t="str">
        <f>IF(Y572=1,ROW()-5,"")</f>
        <v/>
      </c>
      <c r="B572" s="72" t="n"/>
      <c r="C572" s="71" t="str">
        <f>IF(ISNUMBER(B572),CHOOSE(WEEKDAY(B572,2),"Lun","Mar","Mié","Jue","Vie","Sáb","Dom"),"")</f>
        <v/>
      </c>
      <c r="D572" s="73" t="n"/>
      <c r="E572" s="74" t="n"/>
      <c r="F572" s="74" t="n"/>
      <c r="G572" s="74" t="n"/>
      <c r="H572" s="75" t="n"/>
      <c r="I572" s="75" t="n"/>
      <c r="J572" s="76" t="n"/>
      <c r="K572" s="77" t="str">
        <f>IF(AB572=1,ROUND(AG572/60,4),"")</f>
        <v/>
      </c>
      <c r="L572" s="77" t="str">
        <f>IF(BD572=1,ROUND(AP572/60,4),"")</f>
        <v/>
      </c>
      <c r="M572" s="77" t="str">
        <f>IF(BD572=1,ROUND(AQ572/60,4),"")</f>
        <v/>
      </c>
      <c r="N572" s="71" t="str">
        <f>IF(AND(D572="proMX",AB572=1),ROUND(AG572/CFG_BLK,2),"")</f>
        <v/>
      </c>
      <c r="O572" s="77" t="str">
        <f>IF(D572="proMX",IF(BD572=1,ROUND(AG572/60,4),0),"")</f>
        <v/>
      </c>
      <c r="P572" s="78" t="str">
        <f>IF(Y572=0,"",IF(BD572=1,"OK",IF(D572="proMX","Revisar bloques: ","Revisar: ")&amp;BC572))</f>
        <v/>
      </c>
      <c r="Q572" s="78" t="str">
        <f>IF(NOT(ISNUMBER(B572)),"",IF(COUNTIFS(FER_F,INT(B572))&gt;0,"Feriado"&amp;IF(AH572=1," (laborable)"," (no laborable)"),IF(AH572=1,"Laborable",IF(WEEKDAY(B572,2)&gt;5,"Fin de semana","No laborable"))))</f>
        <v/>
      </c>
      <c r="R572" s="73" t="n"/>
      <c r="S572" s="72" t="n"/>
      <c r="T572" s="72" t="n"/>
      <c r="U572" s="74" t="n"/>
      <c r="V572" s="79" t="str">
        <f>IF(AND(D572="proMX",OR(R572="Submitted",R572="Recall Requested"),ISNUMBER(S572)),CFG_TODAY-INT(S572),"")</f>
        <v/>
      </c>
      <c r="W572" s="78" t="str">
        <f>IF(BD572=0,"",IF(BA572&gt;0,"⚠ Se superpone con un registro de la otra empresa",IF(D572="Malcolm",IF(COUNTA(R572,S572,T572)&gt;0,"Estado/fechas proMX se ignoran en Malcolm",""),IF(BF572="Cancelled","Cancelado: excluido de totales",IF(R572="","Sin estado: se trata como Draft",IF(BF572="Submitted",IF(ISNUMBER(V572),IF(V572&gt;CFG_MAXD,"⚠ "&amp;V572&amp;" días en Submitted (máx. "&amp;CFG_MAXD&amp;")",""),"Falta fecha de envío"),IF(BF572="Returned","⚠ Devuelto: corregir y reenviar",IF(BF572="Recall Requested","Retirada solicitada: pendiente",IF(AND(BF572="Approved",NOT(ISNUMBER(T572))),"Falta fecha de aprobación",IF(AND(ISNUMBER(S572),ISNUMBER(T572),T572&lt;S572),"Aprobación anterior al envío","")))))))))</f>
        <v/>
      </c>
      <c r="Y572" s="80">
        <f>IF(COUNTA(B572,D572,E572,F572,G572,H572,I572,J572,R572,S572,T572)&gt;0,1,0)</f>
        <v>0</v>
      </c>
      <c r="Z572" s="80" t="str">
        <f>IF(AND(ISNUMBER(H572),H572&gt;=0,H572&lt;1),ROUND(H572*1440,0),"")</f>
        <v/>
      </c>
      <c r="AA572" s="80" t="str">
        <f>IF(AND(ISNUMBER(I572),I572&gt;=0,I572&lt;1),ROUND(I572*1440,0),"")</f>
        <v/>
      </c>
      <c r="AB572" s="80">
        <f>IF(AND(ISNUMBER(B572),D572&lt;&gt;"",ISNUMBER(Z572),ISNUMBER(AA572)),IF(Z572=AA572,0,1),0)</f>
        <v>0</v>
      </c>
      <c r="AC572" s="80">
        <f>IF(AB572=1,IF(AA572&lt;Z572,1,0),0)</f>
        <v>0</v>
      </c>
      <c r="AD572" s="80">
        <f>IF(AB572=1,IF(AC572=1,1440-Z572+AA572,AA572-Z572),0)</f>
        <v>0</v>
      </c>
      <c r="AE572" s="80">
        <f>IF(J572="",0,IF(ISNUMBER(J572),J572,-1))</f>
        <v>0</v>
      </c>
      <c r="AF572" s="80">
        <f>MIN(MAX(0,AE572),AD572)</f>
        <v>0</v>
      </c>
      <c r="AG572" s="80">
        <f>MAX(0,AD572-MAX(0,AE572))</f>
        <v>0</v>
      </c>
      <c r="AH572" s="80">
        <f>IF(ISNUMBER(B572),IF(AND(INDEX(CFG_WDAYS,WEEKDAY(INT(B572),2))="Sí",IF(D572="proMX",COUNTIFS(FER_F,INT(B572),FER_NLP,"Sí"),COUNTIFS(FER_F,INT(B572),FER_NLM,"Sí"))=0),1,0),0)</f>
        <v>0</v>
      </c>
      <c r="AI572" s="80">
        <f>IF(AC572=1,IF(AND(INDEX(CFG_WDAYS,WEEKDAY(INT(B572)+1,2))="Sí",IF(D572="proMX",COUNTIFS(FER_F,INT(B572)+1,FER_NLP,"Sí"),COUNTIFS(FER_F,INT(B572)+1,FER_NLM,"Sí"))=0),1,0),0)</f>
        <v>0</v>
      </c>
      <c r="AJ572" s="80">
        <f>IF(AC572=1,1440-Z572,AD572)</f>
        <v>0</v>
      </c>
      <c r="AK572" s="80">
        <f>IF(AND(AB572=1,AH572=1),MAX(0,MIN(IF(AC572=1,1440,AA572),CFG_WEM)-MAX(Z572,CFG_WSM)),0)</f>
        <v>0</v>
      </c>
      <c r="AL572" s="80">
        <f>IF(AND(AC572=1,AI572=1),MAX(0,MIN(AA572,CFG_WEM)-CFG_WSM),0)</f>
        <v>0</v>
      </c>
      <c r="AM572" s="80">
        <f>AK572+AL572</f>
        <v>0</v>
      </c>
      <c r="AN572" s="80">
        <f>IF(CFG_BRK="Proporcional",IF(AD572=0,0,AF572*AM572/AD572),IF(CFG_BRK="Extras primero",MIN(AM572,MAX(0,AF572-(AD572-AM572))),MIN(AF572,AM572)))</f>
        <v>0</v>
      </c>
      <c r="AO572" s="80">
        <f>AF572-AN572</f>
        <v>0</v>
      </c>
      <c r="AP572" s="80">
        <f>AM572-AN572</f>
        <v>0</v>
      </c>
      <c r="AQ572" s="80">
        <f>AD572-AM572-AO572</f>
        <v>0</v>
      </c>
      <c r="AR572" s="80">
        <f>IF(AM572=0,0,AK572-AN572*AK572/AM572)</f>
        <v>0</v>
      </c>
      <c r="AS572" s="80">
        <f>IF(AD572-AM572=0,0,(AJ572-AK572)-AO572*(AJ572-AK572)/(AD572-AM572))</f>
        <v>0</v>
      </c>
      <c r="AT572" s="80" t="str">
        <f>IF(AC572=1,INT(B572)+1,"")</f>
        <v/>
      </c>
      <c r="AU572" s="80">
        <f>IF(AND(D572="proMX",R572="Cancelled"),0,1)</f>
        <v>1</v>
      </c>
      <c r="AV572" s="80">
        <f>IF(AND(AB572=1,AU572=1),IF(COUNTIFS($D$5:D571,D572,$B$5:B571,B572,$Z$5:Z571,Z572,$AA$5:AA571,AA572,$F$5:F571,F572&amp;"",$AU$5:AU571,1)&gt;0,1,0),0)</f>
        <v>0</v>
      </c>
      <c r="AW572" s="80" t="str">
        <f>IF(AB572=1,INT(B572)*1440+Z572,"")</f>
        <v/>
      </c>
      <c r="AX572" s="80" t="str">
        <f>IF(AB572=1,AW572+AD572,"")</f>
        <v/>
      </c>
      <c r="AY572" s="80">
        <f>IF(AND(AB572=1,AV572=0,AU572=1),1,0)</f>
        <v>0</v>
      </c>
      <c r="AZ572" s="80">
        <f>IF(AY572=1,COUNTIFS(R_Emp,D572,R_SAbs,"&lt;"&amp;AX572,R_EAbs,"&gt;"&amp;AW572,R_OKey,1)-1,0)</f>
        <v>0</v>
      </c>
      <c r="BA572" s="80">
        <f>IF(AY572=1,COUNTIFS(R_Emp,"&lt;&gt;"&amp;D572,R_SAbs,"&lt;"&amp;AX572,R_EAbs,"&gt;"&amp;AW572,R_OKey,1),0)</f>
        <v>0</v>
      </c>
      <c r="BB572" s="80">
        <f>IF(AND(AB572=1,D572="proMX"),IF(AND(MOD(Z572,CFG_BLK)=0,MOD(AA572,CFG_BLK)=0,MOD(AG572,CFG_BLK)=0,AG572&gt;0),1,0),1)</f>
        <v>1</v>
      </c>
      <c r="BC572" s="80" t="str">
        <f>IF(Y572=0,"",IF(NOT(ISNUMBER(B572)),"Falta fecha o fecha inválida",IF(D572="","Falta empresa",IF(AND(D572&lt;&gt;"Malcolm",D572&lt;&gt;"proMX"),"Empresa inválida",IF(OR(INT(B572)&lt;CFG_PSTART,INT(B572)&gt;CFG_PEND),"Fecha fuera del período",IF(OR(NOT(ISNUMBER(Z572)),NOT(ISNUMBER(AA572))),"Falta hora inicio/fin o formato inválido",IF(AB572=0,"Hora inicio = hora fin",IF(AE572&lt;0,"Descanso inválido",IF(AE572&gt;=AD572,"Descanso ≥ duración",IF(AV572=1,"Registro duplicado",IF(AZ572&gt;0,"Se superpone con otro registro "&amp;D572,IF(BB572=0,"inicio, fin y duración neta deben ser múltiplos de "&amp;CFG_BLK&amp;" min",""))))))))))))</f>
        <v/>
      </c>
      <c r="BD572" s="80">
        <f>IF(AND(Y572=1,BC572=""),1,0)</f>
        <v>0</v>
      </c>
      <c r="BE572" s="80">
        <f>IF(AND(BD572=1,AU572=1),1,0)</f>
        <v>0</v>
      </c>
      <c r="BF572" s="80" t="str">
        <f>IF(AND(D572="proMX",BD572=1),IF(R572="","Draft",R572),"")</f>
        <v/>
      </c>
      <c r="BG572" s="80">
        <f>IF(BD572=1,ROUND(AG572/60,6),0)</f>
        <v>0</v>
      </c>
      <c r="BH572" s="80">
        <f>IF(BE572=1,ROUND(AG572/60,6),0)</f>
        <v>0</v>
      </c>
      <c r="BI572" s="80">
        <f>IF(BE572=1,ROUND(AP572/60,6),0)</f>
        <v>0</v>
      </c>
      <c r="BJ572" s="80">
        <f>IF(BE572=1,ROUND(AQ572/60,6),0)</f>
        <v>0</v>
      </c>
      <c r="BK572" s="80">
        <f>IF(BE572=1,ROUND((AR572+AS572)/60,6),0)</f>
        <v>0</v>
      </c>
      <c r="BL572" s="80">
        <f>ROUND(BH572-BK572,6)</f>
        <v>0</v>
      </c>
      <c r="BM572" s="80">
        <f>IF(BE572=1,ROUND(AR572/60,6),0)</f>
        <v>0</v>
      </c>
      <c r="BN572" s="80">
        <f>ROUND(BI572-BM572,6)</f>
        <v>0</v>
      </c>
      <c r="BO572" s="80">
        <f>IF(BE572=1,ROUND(AS572/60,6),0)</f>
        <v>0</v>
      </c>
      <c r="BP572" s="80">
        <f>ROUND(BJ572-BO572,6)</f>
        <v>0</v>
      </c>
      <c r="BQ572" s="80">
        <f>IF(BE572=1,AW572,0)</f>
        <v>0</v>
      </c>
      <c r="BR572" s="80">
        <f>IF(BE572=1,AX572,0)</f>
        <v>0</v>
      </c>
      <c r="BS572" s="80">
        <f>IF(AND(BE572=1,D572="Malcolm",BA572&gt;0),MIN(BH572,SUMPRODUCT((R_Emp="proMX")*(R_EN&gt;0)*((R_EN-(R_EN&gt;BR572)*(R_EN-BR572))&gt;(R_SN+(R_SN&lt;BQ572)*(BQ572-R_SN)))*((R_EN-(R_EN&gt;BR572)*(R_EN-BR572))-(R_SN+(R_SN&lt;BQ572)*(BQ572-R_SN))))/60),0)</f>
        <v>0</v>
      </c>
      <c r="BT572" s="80">
        <f>IF(AND(BE572=1,D572="proMX"),ROUND(BI572*CFG_RATE+BJ572*CFG_OTRATE,6),0)</f>
        <v>0</v>
      </c>
      <c r="BU572" s="80">
        <f>IF(AND(BD572=1,D572="proMX"),ROUND(AG572/CFG_BLK,6),0)</f>
        <v>0</v>
      </c>
      <c r="BV572" s="80" t="str">
        <f>IF(BF572="Approved",IF(ISNUMBER(T572),INT(T572),INT(B572)),"")</f>
        <v/>
      </c>
      <c r="BW572" s="80">
        <f>IF(ISNUMBER(B572),IF(DB_MON="Todos",1,IF(AND(INT(B572)&gt;=DB_MS,INT(B572)&lt;=DB_ME),1,0)),0)</f>
        <v>0</v>
      </c>
      <c r="BX572" s="80">
        <f>IF(DB_PROJ="Todos",1,IF(E572&amp;""=DB_PROJ&amp;"",1,0))</f>
        <v>1</v>
      </c>
      <c r="BY572" s="80">
        <f>BW572*BX572</f>
        <v>0</v>
      </c>
      <c r="BZ572" s="80" t="str">
        <f>IF(Y572=1,F572&amp;IF(AND(F572&amp;""&lt;&gt;"",E572&amp;""&lt;&gt;"")," · ","")&amp;E572,"")</f>
        <v/>
      </c>
      <c r="CA572" s="80" t="str">
        <f>IF(AND(BD572=1,E572&amp;""&lt;&gt;""),IF(COUNTIFS($E$5:E571,E572,$BD$5:BD571,1)=0,MAX($CA$5:CA571)+1,""),"")</f>
        <v/>
      </c>
      <c r="CB572" s="80" t="str">
        <f>IF(AND(BE572=1,D572="Malcolm",E572&amp;""&lt;&gt;""),IF(COUNTIFS($D$5:D571,"Malcolm",$E$5:E571,E572,$BE$5:BE571,1)=0,MAX($CB$5:CB571)+1,""),"")</f>
        <v/>
      </c>
      <c r="CC572" s="80" t="str">
        <f>IF(AND(BD572=1,D572="proMX",E572&amp;""&lt;&gt;""),IF(COUNTIFS($D$5:D571,"proMX",$E$5:E571,E572,$BD$5:BD571,1)=0,MAX($CC$5:CC571)+1,""),"")</f>
        <v/>
      </c>
      <c r="CD572" s="80" t="str">
        <f>IF(AND(BE572=1,D572="Malcolm",F572&amp;""&lt;&gt;""),IF(COUNTIFS($D$5:D571,"Malcolm",$F$5:F571,F572,$BE$5:BE571,1)=0,MAX($CD$5:CD571)+1,""),"")</f>
        <v/>
      </c>
      <c r="CE572" s="80" t="str">
        <f>IF(AND(BD572=1,D572="proMX",F572&amp;""&lt;&gt;""),IF(COUNTIFS($D$5:D571,"proMX",$F$5:F571,F572,$BD$5:BD571,1)=0,MAX($CE$5:CE571)+1,""),"")</f>
        <v/>
      </c>
      <c r="CF572" s="80" t="str">
        <f>IF(AND(D572="proMX",BD572=1),IF(OR(BF572="Draft",BF572="Submitted",BF572="Returned",BF572="Recall Requested"),MAX($CF$5:CF571)+1,""),"")</f>
        <v/>
      </c>
      <c r="CG572" s="80">
        <f>IF(BD572=0,0,IF(D572="Malcolm",1,MATCH(BF572,{"Draft","Submitted","Approved","Returned","Recall Requested","Cancelled"},0)+1))</f>
        <v>0</v>
      </c>
      <c r="CH572" s="80">
        <f>IF(AND(BF572="Submitted",ISNUMBER(V572)),IF(V572&gt;CFG_MAXD,1,0),0)</f>
        <v>0</v>
      </c>
    </row>
    <row r="573">
      <c r="A573" s="71" t="str">
        <f>IF(Y573=1,ROW()-5,"")</f>
        <v/>
      </c>
      <c r="B573" s="72" t="n"/>
      <c r="C573" s="71" t="str">
        <f>IF(ISNUMBER(B573),CHOOSE(WEEKDAY(B573,2),"Lun","Mar","Mié","Jue","Vie","Sáb","Dom"),"")</f>
        <v/>
      </c>
      <c r="D573" s="73" t="n"/>
      <c r="E573" s="74" t="n"/>
      <c r="F573" s="74" t="n"/>
      <c r="G573" s="74" t="n"/>
      <c r="H573" s="75" t="n"/>
      <c r="I573" s="75" t="n"/>
      <c r="J573" s="76" t="n"/>
      <c r="K573" s="77" t="str">
        <f>IF(AB573=1,ROUND(AG573/60,4),"")</f>
        <v/>
      </c>
      <c r="L573" s="77" t="str">
        <f>IF(BD573=1,ROUND(AP573/60,4),"")</f>
        <v/>
      </c>
      <c r="M573" s="77" t="str">
        <f>IF(BD573=1,ROUND(AQ573/60,4),"")</f>
        <v/>
      </c>
      <c r="N573" s="71" t="str">
        <f>IF(AND(D573="proMX",AB573=1),ROUND(AG573/CFG_BLK,2),"")</f>
        <v/>
      </c>
      <c r="O573" s="77" t="str">
        <f>IF(D573="proMX",IF(BD573=1,ROUND(AG573/60,4),0),"")</f>
        <v/>
      </c>
      <c r="P573" s="78" t="str">
        <f>IF(Y573=0,"",IF(BD573=1,"OK",IF(D573="proMX","Revisar bloques: ","Revisar: ")&amp;BC573))</f>
        <v/>
      </c>
      <c r="Q573" s="78" t="str">
        <f>IF(NOT(ISNUMBER(B573)),"",IF(COUNTIFS(FER_F,INT(B573))&gt;0,"Feriado"&amp;IF(AH573=1," (laborable)"," (no laborable)"),IF(AH573=1,"Laborable",IF(WEEKDAY(B573,2)&gt;5,"Fin de semana","No laborable"))))</f>
        <v/>
      </c>
      <c r="R573" s="73" t="n"/>
      <c r="S573" s="72" t="n"/>
      <c r="T573" s="72" t="n"/>
      <c r="U573" s="74" t="n"/>
      <c r="V573" s="79" t="str">
        <f>IF(AND(D573="proMX",OR(R573="Submitted",R573="Recall Requested"),ISNUMBER(S573)),CFG_TODAY-INT(S573),"")</f>
        <v/>
      </c>
      <c r="W573" s="78" t="str">
        <f>IF(BD573=0,"",IF(BA573&gt;0,"⚠ Se superpone con un registro de la otra empresa",IF(D573="Malcolm",IF(COUNTA(R573,S573,T573)&gt;0,"Estado/fechas proMX se ignoran en Malcolm",""),IF(BF573="Cancelled","Cancelado: excluido de totales",IF(R573="","Sin estado: se trata como Draft",IF(BF573="Submitted",IF(ISNUMBER(V573),IF(V573&gt;CFG_MAXD,"⚠ "&amp;V573&amp;" días en Submitted (máx. "&amp;CFG_MAXD&amp;")",""),"Falta fecha de envío"),IF(BF573="Returned","⚠ Devuelto: corregir y reenviar",IF(BF573="Recall Requested","Retirada solicitada: pendiente",IF(AND(BF573="Approved",NOT(ISNUMBER(T573))),"Falta fecha de aprobación",IF(AND(ISNUMBER(S573),ISNUMBER(T573),T573&lt;S573),"Aprobación anterior al envío","")))))))))</f>
        <v/>
      </c>
      <c r="Y573" s="80">
        <f>IF(COUNTA(B573,D573,E573,F573,G573,H573,I573,J573,R573,S573,T573)&gt;0,1,0)</f>
        <v>0</v>
      </c>
      <c r="Z573" s="80" t="str">
        <f>IF(AND(ISNUMBER(H573),H573&gt;=0,H573&lt;1),ROUND(H573*1440,0),"")</f>
        <v/>
      </c>
      <c r="AA573" s="80" t="str">
        <f>IF(AND(ISNUMBER(I573),I573&gt;=0,I573&lt;1),ROUND(I573*1440,0),"")</f>
        <v/>
      </c>
      <c r="AB573" s="80">
        <f>IF(AND(ISNUMBER(B573),D573&lt;&gt;"",ISNUMBER(Z573),ISNUMBER(AA573)),IF(Z573=AA573,0,1),0)</f>
        <v>0</v>
      </c>
      <c r="AC573" s="80">
        <f>IF(AB573=1,IF(AA573&lt;Z573,1,0),0)</f>
        <v>0</v>
      </c>
      <c r="AD573" s="80">
        <f>IF(AB573=1,IF(AC573=1,1440-Z573+AA573,AA573-Z573),0)</f>
        <v>0</v>
      </c>
      <c r="AE573" s="80">
        <f>IF(J573="",0,IF(ISNUMBER(J573),J573,-1))</f>
        <v>0</v>
      </c>
      <c r="AF573" s="80">
        <f>MIN(MAX(0,AE573),AD573)</f>
        <v>0</v>
      </c>
      <c r="AG573" s="80">
        <f>MAX(0,AD573-MAX(0,AE573))</f>
        <v>0</v>
      </c>
      <c r="AH573" s="80">
        <f>IF(ISNUMBER(B573),IF(AND(INDEX(CFG_WDAYS,WEEKDAY(INT(B573),2))="Sí",IF(D573="proMX",COUNTIFS(FER_F,INT(B573),FER_NLP,"Sí"),COUNTIFS(FER_F,INT(B573),FER_NLM,"Sí"))=0),1,0),0)</f>
        <v>0</v>
      </c>
      <c r="AI573" s="80">
        <f>IF(AC573=1,IF(AND(INDEX(CFG_WDAYS,WEEKDAY(INT(B573)+1,2))="Sí",IF(D573="proMX",COUNTIFS(FER_F,INT(B573)+1,FER_NLP,"Sí"),COUNTIFS(FER_F,INT(B573)+1,FER_NLM,"Sí"))=0),1,0),0)</f>
        <v>0</v>
      </c>
      <c r="AJ573" s="80">
        <f>IF(AC573=1,1440-Z573,AD573)</f>
        <v>0</v>
      </c>
      <c r="AK573" s="80">
        <f>IF(AND(AB573=1,AH573=1),MAX(0,MIN(IF(AC573=1,1440,AA573),CFG_WEM)-MAX(Z573,CFG_WSM)),0)</f>
        <v>0</v>
      </c>
      <c r="AL573" s="80">
        <f>IF(AND(AC573=1,AI573=1),MAX(0,MIN(AA573,CFG_WEM)-CFG_WSM),0)</f>
        <v>0</v>
      </c>
      <c r="AM573" s="80">
        <f>AK573+AL573</f>
        <v>0</v>
      </c>
      <c r="AN573" s="80">
        <f>IF(CFG_BRK="Proporcional",IF(AD573=0,0,AF573*AM573/AD573),IF(CFG_BRK="Extras primero",MIN(AM573,MAX(0,AF573-(AD573-AM573))),MIN(AF573,AM573)))</f>
        <v>0</v>
      </c>
      <c r="AO573" s="80">
        <f>AF573-AN573</f>
        <v>0</v>
      </c>
      <c r="AP573" s="80">
        <f>AM573-AN573</f>
        <v>0</v>
      </c>
      <c r="AQ573" s="80">
        <f>AD573-AM573-AO573</f>
        <v>0</v>
      </c>
      <c r="AR573" s="80">
        <f>IF(AM573=0,0,AK573-AN573*AK573/AM573)</f>
        <v>0</v>
      </c>
      <c r="AS573" s="80">
        <f>IF(AD573-AM573=0,0,(AJ573-AK573)-AO573*(AJ573-AK573)/(AD573-AM573))</f>
        <v>0</v>
      </c>
      <c r="AT573" s="80" t="str">
        <f>IF(AC573=1,INT(B573)+1,"")</f>
        <v/>
      </c>
      <c r="AU573" s="80">
        <f>IF(AND(D573="proMX",R573="Cancelled"),0,1)</f>
        <v>1</v>
      </c>
      <c r="AV573" s="80">
        <f>IF(AND(AB573=1,AU573=1),IF(COUNTIFS($D$5:D572,D573,$B$5:B572,B573,$Z$5:Z572,Z573,$AA$5:AA572,AA573,$F$5:F572,F573&amp;"",$AU$5:AU572,1)&gt;0,1,0),0)</f>
        <v>0</v>
      </c>
      <c r="AW573" s="80" t="str">
        <f>IF(AB573=1,INT(B573)*1440+Z573,"")</f>
        <v/>
      </c>
      <c r="AX573" s="80" t="str">
        <f>IF(AB573=1,AW573+AD573,"")</f>
        <v/>
      </c>
      <c r="AY573" s="80">
        <f>IF(AND(AB573=1,AV573=0,AU573=1),1,0)</f>
        <v>0</v>
      </c>
      <c r="AZ573" s="80">
        <f>IF(AY573=1,COUNTIFS(R_Emp,D573,R_SAbs,"&lt;"&amp;AX573,R_EAbs,"&gt;"&amp;AW573,R_OKey,1)-1,0)</f>
        <v>0</v>
      </c>
      <c r="BA573" s="80">
        <f>IF(AY573=1,COUNTIFS(R_Emp,"&lt;&gt;"&amp;D573,R_SAbs,"&lt;"&amp;AX573,R_EAbs,"&gt;"&amp;AW573,R_OKey,1),0)</f>
        <v>0</v>
      </c>
      <c r="BB573" s="80">
        <f>IF(AND(AB573=1,D573="proMX"),IF(AND(MOD(Z573,CFG_BLK)=0,MOD(AA573,CFG_BLK)=0,MOD(AG573,CFG_BLK)=0,AG573&gt;0),1,0),1)</f>
        <v>1</v>
      </c>
      <c r="BC573" s="80" t="str">
        <f>IF(Y573=0,"",IF(NOT(ISNUMBER(B573)),"Falta fecha o fecha inválida",IF(D573="","Falta empresa",IF(AND(D573&lt;&gt;"Malcolm",D573&lt;&gt;"proMX"),"Empresa inválida",IF(OR(INT(B573)&lt;CFG_PSTART,INT(B573)&gt;CFG_PEND),"Fecha fuera del período",IF(OR(NOT(ISNUMBER(Z573)),NOT(ISNUMBER(AA573))),"Falta hora inicio/fin o formato inválido",IF(AB573=0,"Hora inicio = hora fin",IF(AE573&lt;0,"Descanso inválido",IF(AE573&gt;=AD573,"Descanso ≥ duración",IF(AV573=1,"Registro duplicado",IF(AZ573&gt;0,"Se superpone con otro registro "&amp;D573,IF(BB573=0,"inicio, fin y duración neta deben ser múltiplos de "&amp;CFG_BLK&amp;" min",""))))))))))))</f>
        <v/>
      </c>
      <c r="BD573" s="80">
        <f>IF(AND(Y573=1,BC573=""),1,0)</f>
        <v>0</v>
      </c>
      <c r="BE573" s="80">
        <f>IF(AND(BD573=1,AU573=1),1,0)</f>
        <v>0</v>
      </c>
      <c r="BF573" s="80" t="str">
        <f>IF(AND(D573="proMX",BD573=1),IF(R573="","Draft",R573),"")</f>
        <v/>
      </c>
      <c r="BG573" s="80">
        <f>IF(BD573=1,ROUND(AG573/60,6),0)</f>
        <v>0</v>
      </c>
      <c r="BH573" s="80">
        <f>IF(BE573=1,ROUND(AG573/60,6),0)</f>
        <v>0</v>
      </c>
      <c r="BI573" s="80">
        <f>IF(BE573=1,ROUND(AP573/60,6),0)</f>
        <v>0</v>
      </c>
      <c r="BJ573" s="80">
        <f>IF(BE573=1,ROUND(AQ573/60,6),0)</f>
        <v>0</v>
      </c>
      <c r="BK573" s="80">
        <f>IF(BE573=1,ROUND((AR573+AS573)/60,6),0)</f>
        <v>0</v>
      </c>
      <c r="BL573" s="80">
        <f>ROUND(BH573-BK573,6)</f>
        <v>0</v>
      </c>
      <c r="BM573" s="80">
        <f>IF(BE573=1,ROUND(AR573/60,6),0)</f>
        <v>0</v>
      </c>
      <c r="BN573" s="80">
        <f>ROUND(BI573-BM573,6)</f>
        <v>0</v>
      </c>
      <c r="BO573" s="80">
        <f>IF(BE573=1,ROUND(AS573/60,6),0)</f>
        <v>0</v>
      </c>
      <c r="BP573" s="80">
        <f>ROUND(BJ573-BO573,6)</f>
        <v>0</v>
      </c>
      <c r="BQ573" s="80">
        <f>IF(BE573=1,AW573,0)</f>
        <v>0</v>
      </c>
      <c r="BR573" s="80">
        <f>IF(BE573=1,AX573,0)</f>
        <v>0</v>
      </c>
      <c r="BS573" s="80">
        <f>IF(AND(BE573=1,D573="Malcolm",BA573&gt;0),MIN(BH573,SUMPRODUCT((R_Emp="proMX")*(R_EN&gt;0)*((R_EN-(R_EN&gt;BR573)*(R_EN-BR573))&gt;(R_SN+(R_SN&lt;BQ573)*(BQ573-R_SN)))*((R_EN-(R_EN&gt;BR573)*(R_EN-BR573))-(R_SN+(R_SN&lt;BQ573)*(BQ573-R_SN))))/60),0)</f>
        <v>0</v>
      </c>
      <c r="BT573" s="80">
        <f>IF(AND(BE573=1,D573="proMX"),ROUND(BI573*CFG_RATE+BJ573*CFG_OTRATE,6),0)</f>
        <v>0</v>
      </c>
      <c r="BU573" s="80">
        <f>IF(AND(BD573=1,D573="proMX"),ROUND(AG573/CFG_BLK,6),0)</f>
        <v>0</v>
      </c>
      <c r="BV573" s="80" t="str">
        <f>IF(BF573="Approved",IF(ISNUMBER(T573),INT(T573),INT(B573)),"")</f>
        <v/>
      </c>
      <c r="BW573" s="80">
        <f>IF(ISNUMBER(B573),IF(DB_MON="Todos",1,IF(AND(INT(B573)&gt;=DB_MS,INT(B573)&lt;=DB_ME),1,0)),0)</f>
        <v>0</v>
      </c>
      <c r="BX573" s="80">
        <f>IF(DB_PROJ="Todos",1,IF(E573&amp;""=DB_PROJ&amp;"",1,0))</f>
        <v>1</v>
      </c>
      <c r="BY573" s="80">
        <f>BW573*BX573</f>
        <v>0</v>
      </c>
      <c r="BZ573" s="80" t="str">
        <f>IF(Y573=1,F573&amp;IF(AND(F573&amp;""&lt;&gt;"",E573&amp;""&lt;&gt;"")," · ","")&amp;E573,"")</f>
        <v/>
      </c>
      <c r="CA573" s="80" t="str">
        <f>IF(AND(BD573=1,E573&amp;""&lt;&gt;""),IF(COUNTIFS($E$5:E572,E573,$BD$5:BD572,1)=0,MAX($CA$5:CA572)+1,""),"")</f>
        <v/>
      </c>
      <c r="CB573" s="80" t="str">
        <f>IF(AND(BE573=1,D573="Malcolm",E573&amp;""&lt;&gt;""),IF(COUNTIFS($D$5:D572,"Malcolm",$E$5:E572,E573,$BE$5:BE572,1)=0,MAX($CB$5:CB572)+1,""),"")</f>
        <v/>
      </c>
      <c r="CC573" s="80" t="str">
        <f>IF(AND(BD573=1,D573="proMX",E573&amp;""&lt;&gt;""),IF(COUNTIFS($D$5:D572,"proMX",$E$5:E572,E573,$BD$5:BD572,1)=0,MAX($CC$5:CC572)+1,""),"")</f>
        <v/>
      </c>
      <c r="CD573" s="80" t="str">
        <f>IF(AND(BE573=1,D573="Malcolm",F573&amp;""&lt;&gt;""),IF(COUNTIFS($D$5:D572,"Malcolm",$F$5:F572,F573,$BE$5:BE572,1)=0,MAX($CD$5:CD572)+1,""),"")</f>
        <v/>
      </c>
      <c r="CE573" s="80" t="str">
        <f>IF(AND(BD573=1,D573="proMX",F573&amp;""&lt;&gt;""),IF(COUNTIFS($D$5:D572,"proMX",$F$5:F572,F573,$BD$5:BD572,1)=0,MAX($CE$5:CE572)+1,""),"")</f>
        <v/>
      </c>
      <c r="CF573" s="80" t="str">
        <f>IF(AND(D573="proMX",BD573=1),IF(OR(BF573="Draft",BF573="Submitted",BF573="Returned",BF573="Recall Requested"),MAX($CF$5:CF572)+1,""),"")</f>
        <v/>
      </c>
      <c r="CG573" s="80">
        <f>IF(BD573=0,0,IF(D573="Malcolm",1,MATCH(BF573,{"Draft","Submitted","Approved","Returned","Recall Requested","Cancelled"},0)+1))</f>
        <v>0</v>
      </c>
      <c r="CH573" s="80">
        <f>IF(AND(BF573="Submitted",ISNUMBER(V573)),IF(V573&gt;CFG_MAXD,1,0),0)</f>
        <v>0</v>
      </c>
    </row>
    <row r="574">
      <c r="A574" s="71" t="str">
        <f>IF(Y574=1,ROW()-5,"")</f>
        <v/>
      </c>
      <c r="B574" s="72" t="n"/>
      <c r="C574" s="71" t="str">
        <f>IF(ISNUMBER(B574),CHOOSE(WEEKDAY(B574,2),"Lun","Mar","Mié","Jue","Vie","Sáb","Dom"),"")</f>
        <v/>
      </c>
      <c r="D574" s="73" t="n"/>
      <c r="E574" s="74" t="n"/>
      <c r="F574" s="74" t="n"/>
      <c r="G574" s="74" t="n"/>
      <c r="H574" s="75" t="n"/>
      <c r="I574" s="75" t="n"/>
      <c r="J574" s="76" t="n"/>
      <c r="K574" s="77" t="str">
        <f>IF(AB574=1,ROUND(AG574/60,4),"")</f>
        <v/>
      </c>
      <c r="L574" s="77" t="str">
        <f>IF(BD574=1,ROUND(AP574/60,4),"")</f>
        <v/>
      </c>
      <c r="M574" s="77" t="str">
        <f>IF(BD574=1,ROUND(AQ574/60,4),"")</f>
        <v/>
      </c>
      <c r="N574" s="71" t="str">
        <f>IF(AND(D574="proMX",AB574=1),ROUND(AG574/CFG_BLK,2),"")</f>
        <v/>
      </c>
      <c r="O574" s="77" t="str">
        <f>IF(D574="proMX",IF(BD574=1,ROUND(AG574/60,4),0),"")</f>
        <v/>
      </c>
      <c r="P574" s="78" t="str">
        <f>IF(Y574=0,"",IF(BD574=1,"OK",IF(D574="proMX","Revisar bloques: ","Revisar: ")&amp;BC574))</f>
        <v/>
      </c>
      <c r="Q574" s="78" t="str">
        <f>IF(NOT(ISNUMBER(B574)),"",IF(COUNTIFS(FER_F,INT(B574))&gt;0,"Feriado"&amp;IF(AH574=1," (laborable)"," (no laborable)"),IF(AH574=1,"Laborable",IF(WEEKDAY(B574,2)&gt;5,"Fin de semana","No laborable"))))</f>
        <v/>
      </c>
      <c r="R574" s="73" t="n"/>
      <c r="S574" s="72" t="n"/>
      <c r="T574" s="72" t="n"/>
      <c r="U574" s="74" t="n"/>
      <c r="V574" s="79" t="str">
        <f>IF(AND(D574="proMX",OR(R574="Submitted",R574="Recall Requested"),ISNUMBER(S574)),CFG_TODAY-INT(S574),"")</f>
        <v/>
      </c>
      <c r="W574" s="78" t="str">
        <f>IF(BD574=0,"",IF(BA574&gt;0,"⚠ Se superpone con un registro de la otra empresa",IF(D574="Malcolm",IF(COUNTA(R574,S574,T574)&gt;0,"Estado/fechas proMX se ignoran en Malcolm",""),IF(BF574="Cancelled","Cancelado: excluido de totales",IF(R574="","Sin estado: se trata como Draft",IF(BF574="Submitted",IF(ISNUMBER(V574),IF(V574&gt;CFG_MAXD,"⚠ "&amp;V574&amp;" días en Submitted (máx. "&amp;CFG_MAXD&amp;")",""),"Falta fecha de envío"),IF(BF574="Returned","⚠ Devuelto: corregir y reenviar",IF(BF574="Recall Requested","Retirada solicitada: pendiente",IF(AND(BF574="Approved",NOT(ISNUMBER(T574))),"Falta fecha de aprobación",IF(AND(ISNUMBER(S574),ISNUMBER(T574),T574&lt;S574),"Aprobación anterior al envío","")))))))))</f>
        <v/>
      </c>
      <c r="Y574" s="80">
        <f>IF(COUNTA(B574,D574,E574,F574,G574,H574,I574,J574,R574,S574,T574)&gt;0,1,0)</f>
        <v>0</v>
      </c>
      <c r="Z574" s="80" t="str">
        <f>IF(AND(ISNUMBER(H574),H574&gt;=0,H574&lt;1),ROUND(H574*1440,0),"")</f>
        <v/>
      </c>
      <c r="AA574" s="80" t="str">
        <f>IF(AND(ISNUMBER(I574),I574&gt;=0,I574&lt;1),ROUND(I574*1440,0),"")</f>
        <v/>
      </c>
      <c r="AB574" s="80">
        <f>IF(AND(ISNUMBER(B574),D574&lt;&gt;"",ISNUMBER(Z574),ISNUMBER(AA574)),IF(Z574=AA574,0,1),0)</f>
        <v>0</v>
      </c>
      <c r="AC574" s="80">
        <f>IF(AB574=1,IF(AA574&lt;Z574,1,0),0)</f>
        <v>0</v>
      </c>
      <c r="AD574" s="80">
        <f>IF(AB574=1,IF(AC574=1,1440-Z574+AA574,AA574-Z574),0)</f>
        <v>0</v>
      </c>
      <c r="AE574" s="80">
        <f>IF(J574="",0,IF(ISNUMBER(J574),J574,-1))</f>
        <v>0</v>
      </c>
      <c r="AF574" s="80">
        <f>MIN(MAX(0,AE574),AD574)</f>
        <v>0</v>
      </c>
      <c r="AG574" s="80">
        <f>MAX(0,AD574-MAX(0,AE574))</f>
        <v>0</v>
      </c>
      <c r="AH574" s="80">
        <f>IF(ISNUMBER(B574),IF(AND(INDEX(CFG_WDAYS,WEEKDAY(INT(B574),2))="Sí",IF(D574="proMX",COUNTIFS(FER_F,INT(B574),FER_NLP,"Sí"),COUNTIFS(FER_F,INT(B574),FER_NLM,"Sí"))=0),1,0),0)</f>
        <v>0</v>
      </c>
      <c r="AI574" s="80">
        <f>IF(AC574=1,IF(AND(INDEX(CFG_WDAYS,WEEKDAY(INT(B574)+1,2))="Sí",IF(D574="proMX",COUNTIFS(FER_F,INT(B574)+1,FER_NLP,"Sí"),COUNTIFS(FER_F,INT(B574)+1,FER_NLM,"Sí"))=0),1,0),0)</f>
        <v>0</v>
      </c>
      <c r="AJ574" s="80">
        <f>IF(AC574=1,1440-Z574,AD574)</f>
        <v>0</v>
      </c>
      <c r="AK574" s="80">
        <f>IF(AND(AB574=1,AH574=1),MAX(0,MIN(IF(AC574=1,1440,AA574),CFG_WEM)-MAX(Z574,CFG_WSM)),0)</f>
        <v>0</v>
      </c>
      <c r="AL574" s="80">
        <f>IF(AND(AC574=1,AI574=1),MAX(0,MIN(AA574,CFG_WEM)-CFG_WSM),0)</f>
        <v>0</v>
      </c>
      <c r="AM574" s="80">
        <f>AK574+AL574</f>
        <v>0</v>
      </c>
      <c r="AN574" s="80">
        <f>IF(CFG_BRK="Proporcional",IF(AD574=0,0,AF574*AM574/AD574),IF(CFG_BRK="Extras primero",MIN(AM574,MAX(0,AF574-(AD574-AM574))),MIN(AF574,AM574)))</f>
        <v>0</v>
      </c>
      <c r="AO574" s="80">
        <f>AF574-AN574</f>
        <v>0</v>
      </c>
      <c r="AP574" s="80">
        <f>AM574-AN574</f>
        <v>0</v>
      </c>
      <c r="AQ574" s="80">
        <f>AD574-AM574-AO574</f>
        <v>0</v>
      </c>
      <c r="AR574" s="80">
        <f>IF(AM574=0,0,AK574-AN574*AK574/AM574)</f>
        <v>0</v>
      </c>
      <c r="AS574" s="80">
        <f>IF(AD574-AM574=0,0,(AJ574-AK574)-AO574*(AJ574-AK574)/(AD574-AM574))</f>
        <v>0</v>
      </c>
      <c r="AT574" s="80" t="str">
        <f>IF(AC574=1,INT(B574)+1,"")</f>
        <v/>
      </c>
      <c r="AU574" s="80">
        <f>IF(AND(D574="proMX",R574="Cancelled"),0,1)</f>
        <v>1</v>
      </c>
      <c r="AV574" s="80">
        <f>IF(AND(AB574=1,AU574=1),IF(COUNTIFS($D$5:D573,D574,$B$5:B573,B574,$Z$5:Z573,Z574,$AA$5:AA573,AA574,$F$5:F573,F574&amp;"",$AU$5:AU573,1)&gt;0,1,0),0)</f>
        <v>0</v>
      </c>
      <c r="AW574" s="80" t="str">
        <f>IF(AB574=1,INT(B574)*1440+Z574,"")</f>
        <v/>
      </c>
      <c r="AX574" s="80" t="str">
        <f>IF(AB574=1,AW574+AD574,"")</f>
        <v/>
      </c>
      <c r="AY574" s="80">
        <f>IF(AND(AB574=1,AV574=0,AU574=1),1,0)</f>
        <v>0</v>
      </c>
      <c r="AZ574" s="80">
        <f>IF(AY574=1,COUNTIFS(R_Emp,D574,R_SAbs,"&lt;"&amp;AX574,R_EAbs,"&gt;"&amp;AW574,R_OKey,1)-1,0)</f>
        <v>0</v>
      </c>
      <c r="BA574" s="80">
        <f>IF(AY574=1,COUNTIFS(R_Emp,"&lt;&gt;"&amp;D574,R_SAbs,"&lt;"&amp;AX574,R_EAbs,"&gt;"&amp;AW574,R_OKey,1),0)</f>
        <v>0</v>
      </c>
      <c r="BB574" s="80">
        <f>IF(AND(AB574=1,D574="proMX"),IF(AND(MOD(Z574,CFG_BLK)=0,MOD(AA574,CFG_BLK)=0,MOD(AG574,CFG_BLK)=0,AG574&gt;0),1,0),1)</f>
        <v>1</v>
      </c>
      <c r="BC574" s="80" t="str">
        <f>IF(Y574=0,"",IF(NOT(ISNUMBER(B574)),"Falta fecha o fecha inválida",IF(D574="","Falta empresa",IF(AND(D574&lt;&gt;"Malcolm",D574&lt;&gt;"proMX"),"Empresa inválida",IF(OR(INT(B574)&lt;CFG_PSTART,INT(B574)&gt;CFG_PEND),"Fecha fuera del período",IF(OR(NOT(ISNUMBER(Z574)),NOT(ISNUMBER(AA574))),"Falta hora inicio/fin o formato inválido",IF(AB574=0,"Hora inicio = hora fin",IF(AE574&lt;0,"Descanso inválido",IF(AE574&gt;=AD574,"Descanso ≥ duración",IF(AV574=1,"Registro duplicado",IF(AZ574&gt;0,"Se superpone con otro registro "&amp;D574,IF(BB574=0,"inicio, fin y duración neta deben ser múltiplos de "&amp;CFG_BLK&amp;" min",""))))))))))))</f>
        <v/>
      </c>
      <c r="BD574" s="80">
        <f>IF(AND(Y574=1,BC574=""),1,0)</f>
        <v>0</v>
      </c>
      <c r="BE574" s="80">
        <f>IF(AND(BD574=1,AU574=1),1,0)</f>
        <v>0</v>
      </c>
      <c r="BF574" s="80" t="str">
        <f>IF(AND(D574="proMX",BD574=1),IF(R574="","Draft",R574),"")</f>
        <v/>
      </c>
      <c r="BG574" s="80">
        <f>IF(BD574=1,ROUND(AG574/60,6),0)</f>
        <v>0</v>
      </c>
      <c r="BH574" s="80">
        <f>IF(BE574=1,ROUND(AG574/60,6),0)</f>
        <v>0</v>
      </c>
      <c r="BI574" s="80">
        <f>IF(BE574=1,ROUND(AP574/60,6),0)</f>
        <v>0</v>
      </c>
      <c r="BJ574" s="80">
        <f>IF(BE574=1,ROUND(AQ574/60,6),0)</f>
        <v>0</v>
      </c>
      <c r="BK574" s="80">
        <f>IF(BE574=1,ROUND((AR574+AS574)/60,6),0)</f>
        <v>0</v>
      </c>
      <c r="BL574" s="80">
        <f>ROUND(BH574-BK574,6)</f>
        <v>0</v>
      </c>
      <c r="BM574" s="80">
        <f>IF(BE574=1,ROUND(AR574/60,6),0)</f>
        <v>0</v>
      </c>
      <c r="BN574" s="80">
        <f>ROUND(BI574-BM574,6)</f>
        <v>0</v>
      </c>
      <c r="BO574" s="80">
        <f>IF(BE574=1,ROUND(AS574/60,6),0)</f>
        <v>0</v>
      </c>
      <c r="BP574" s="80">
        <f>ROUND(BJ574-BO574,6)</f>
        <v>0</v>
      </c>
      <c r="BQ574" s="80">
        <f>IF(BE574=1,AW574,0)</f>
        <v>0</v>
      </c>
      <c r="BR574" s="80">
        <f>IF(BE574=1,AX574,0)</f>
        <v>0</v>
      </c>
      <c r="BS574" s="80">
        <f>IF(AND(BE574=1,D574="Malcolm",BA574&gt;0),MIN(BH574,SUMPRODUCT((R_Emp="proMX")*(R_EN&gt;0)*((R_EN-(R_EN&gt;BR574)*(R_EN-BR574))&gt;(R_SN+(R_SN&lt;BQ574)*(BQ574-R_SN)))*((R_EN-(R_EN&gt;BR574)*(R_EN-BR574))-(R_SN+(R_SN&lt;BQ574)*(BQ574-R_SN))))/60),0)</f>
        <v>0</v>
      </c>
      <c r="BT574" s="80">
        <f>IF(AND(BE574=1,D574="proMX"),ROUND(BI574*CFG_RATE+BJ574*CFG_OTRATE,6),0)</f>
        <v>0</v>
      </c>
      <c r="BU574" s="80">
        <f>IF(AND(BD574=1,D574="proMX"),ROUND(AG574/CFG_BLK,6),0)</f>
        <v>0</v>
      </c>
      <c r="BV574" s="80" t="str">
        <f>IF(BF574="Approved",IF(ISNUMBER(T574),INT(T574),INT(B574)),"")</f>
        <v/>
      </c>
      <c r="BW574" s="80">
        <f>IF(ISNUMBER(B574),IF(DB_MON="Todos",1,IF(AND(INT(B574)&gt;=DB_MS,INT(B574)&lt;=DB_ME),1,0)),0)</f>
        <v>0</v>
      </c>
      <c r="BX574" s="80">
        <f>IF(DB_PROJ="Todos",1,IF(E574&amp;""=DB_PROJ&amp;"",1,0))</f>
        <v>1</v>
      </c>
      <c r="BY574" s="80">
        <f>BW574*BX574</f>
        <v>0</v>
      </c>
      <c r="BZ574" s="80" t="str">
        <f>IF(Y574=1,F574&amp;IF(AND(F574&amp;""&lt;&gt;"",E574&amp;""&lt;&gt;"")," · ","")&amp;E574,"")</f>
        <v/>
      </c>
      <c r="CA574" s="80" t="str">
        <f>IF(AND(BD574=1,E574&amp;""&lt;&gt;""),IF(COUNTIFS($E$5:E573,E574,$BD$5:BD573,1)=0,MAX($CA$5:CA573)+1,""),"")</f>
        <v/>
      </c>
      <c r="CB574" s="80" t="str">
        <f>IF(AND(BE574=1,D574="Malcolm",E574&amp;""&lt;&gt;""),IF(COUNTIFS($D$5:D573,"Malcolm",$E$5:E573,E574,$BE$5:BE573,1)=0,MAX($CB$5:CB573)+1,""),"")</f>
        <v/>
      </c>
      <c r="CC574" s="80" t="str">
        <f>IF(AND(BD574=1,D574="proMX",E574&amp;""&lt;&gt;""),IF(COUNTIFS($D$5:D573,"proMX",$E$5:E573,E574,$BD$5:BD573,1)=0,MAX($CC$5:CC573)+1,""),"")</f>
        <v/>
      </c>
      <c r="CD574" s="80" t="str">
        <f>IF(AND(BE574=1,D574="Malcolm",F574&amp;""&lt;&gt;""),IF(COUNTIFS($D$5:D573,"Malcolm",$F$5:F573,F574,$BE$5:BE573,1)=0,MAX($CD$5:CD573)+1,""),"")</f>
        <v/>
      </c>
      <c r="CE574" s="80" t="str">
        <f>IF(AND(BD574=1,D574="proMX",F574&amp;""&lt;&gt;""),IF(COUNTIFS($D$5:D573,"proMX",$F$5:F573,F574,$BD$5:BD573,1)=0,MAX($CE$5:CE573)+1,""),"")</f>
        <v/>
      </c>
      <c r="CF574" s="80" t="str">
        <f>IF(AND(D574="proMX",BD574=1),IF(OR(BF574="Draft",BF574="Submitted",BF574="Returned",BF574="Recall Requested"),MAX($CF$5:CF573)+1,""),"")</f>
        <v/>
      </c>
      <c r="CG574" s="80">
        <f>IF(BD574=0,0,IF(D574="Malcolm",1,MATCH(BF574,{"Draft","Submitted","Approved","Returned","Recall Requested","Cancelled"},0)+1))</f>
        <v>0</v>
      </c>
      <c r="CH574" s="80">
        <f>IF(AND(BF574="Submitted",ISNUMBER(V574)),IF(V574&gt;CFG_MAXD,1,0),0)</f>
        <v>0</v>
      </c>
    </row>
    <row r="575">
      <c r="A575" s="71" t="str">
        <f>IF(Y575=1,ROW()-5,"")</f>
        <v/>
      </c>
      <c r="B575" s="72" t="n"/>
      <c r="C575" s="71" t="str">
        <f>IF(ISNUMBER(B575),CHOOSE(WEEKDAY(B575,2),"Lun","Mar","Mié","Jue","Vie","Sáb","Dom"),"")</f>
        <v/>
      </c>
      <c r="D575" s="73" t="n"/>
      <c r="E575" s="74" t="n"/>
      <c r="F575" s="74" t="n"/>
      <c r="G575" s="74" t="n"/>
      <c r="H575" s="75" t="n"/>
      <c r="I575" s="75" t="n"/>
      <c r="J575" s="76" t="n"/>
      <c r="K575" s="77" t="str">
        <f>IF(AB575=1,ROUND(AG575/60,4),"")</f>
        <v/>
      </c>
      <c r="L575" s="77" t="str">
        <f>IF(BD575=1,ROUND(AP575/60,4),"")</f>
        <v/>
      </c>
      <c r="M575" s="77" t="str">
        <f>IF(BD575=1,ROUND(AQ575/60,4),"")</f>
        <v/>
      </c>
      <c r="N575" s="71" t="str">
        <f>IF(AND(D575="proMX",AB575=1),ROUND(AG575/CFG_BLK,2),"")</f>
        <v/>
      </c>
      <c r="O575" s="77" t="str">
        <f>IF(D575="proMX",IF(BD575=1,ROUND(AG575/60,4),0),"")</f>
        <v/>
      </c>
      <c r="P575" s="78" t="str">
        <f>IF(Y575=0,"",IF(BD575=1,"OK",IF(D575="proMX","Revisar bloques: ","Revisar: ")&amp;BC575))</f>
        <v/>
      </c>
      <c r="Q575" s="78" t="str">
        <f>IF(NOT(ISNUMBER(B575)),"",IF(COUNTIFS(FER_F,INT(B575))&gt;0,"Feriado"&amp;IF(AH575=1," (laborable)"," (no laborable)"),IF(AH575=1,"Laborable",IF(WEEKDAY(B575,2)&gt;5,"Fin de semana","No laborable"))))</f>
        <v/>
      </c>
      <c r="R575" s="73" t="n"/>
      <c r="S575" s="72" t="n"/>
      <c r="T575" s="72" t="n"/>
      <c r="U575" s="74" t="n"/>
      <c r="V575" s="79" t="str">
        <f>IF(AND(D575="proMX",OR(R575="Submitted",R575="Recall Requested"),ISNUMBER(S575)),CFG_TODAY-INT(S575),"")</f>
        <v/>
      </c>
      <c r="W575" s="78" t="str">
        <f>IF(BD575=0,"",IF(BA575&gt;0,"⚠ Se superpone con un registro de la otra empresa",IF(D575="Malcolm",IF(COUNTA(R575,S575,T575)&gt;0,"Estado/fechas proMX se ignoran en Malcolm",""),IF(BF575="Cancelled","Cancelado: excluido de totales",IF(R575="","Sin estado: se trata como Draft",IF(BF575="Submitted",IF(ISNUMBER(V575),IF(V575&gt;CFG_MAXD,"⚠ "&amp;V575&amp;" días en Submitted (máx. "&amp;CFG_MAXD&amp;")",""),"Falta fecha de envío"),IF(BF575="Returned","⚠ Devuelto: corregir y reenviar",IF(BF575="Recall Requested","Retirada solicitada: pendiente",IF(AND(BF575="Approved",NOT(ISNUMBER(T575))),"Falta fecha de aprobación",IF(AND(ISNUMBER(S575),ISNUMBER(T575),T575&lt;S575),"Aprobación anterior al envío","")))))))))</f>
        <v/>
      </c>
      <c r="Y575" s="80">
        <f>IF(COUNTA(B575,D575,E575,F575,G575,H575,I575,J575,R575,S575,T575)&gt;0,1,0)</f>
        <v>0</v>
      </c>
      <c r="Z575" s="80" t="str">
        <f>IF(AND(ISNUMBER(H575),H575&gt;=0,H575&lt;1),ROUND(H575*1440,0),"")</f>
        <v/>
      </c>
      <c r="AA575" s="80" t="str">
        <f>IF(AND(ISNUMBER(I575),I575&gt;=0,I575&lt;1),ROUND(I575*1440,0),"")</f>
        <v/>
      </c>
      <c r="AB575" s="80">
        <f>IF(AND(ISNUMBER(B575),D575&lt;&gt;"",ISNUMBER(Z575),ISNUMBER(AA575)),IF(Z575=AA575,0,1),0)</f>
        <v>0</v>
      </c>
      <c r="AC575" s="80">
        <f>IF(AB575=1,IF(AA575&lt;Z575,1,0),0)</f>
        <v>0</v>
      </c>
      <c r="AD575" s="80">
        <f>IF(AB575=1,IF(AC575=1,1440-Z575+AA575,AA575-Z575),0)</f>
        <v>0</v>
      </c>
      <c r="AE575" s="80">
        <f>IF(J575="",0,IF(ISNUMBER(J575),J575,-1))</f>
        <v>0</v>
      </c>
      <c r="AF575" s="80">
        <f>MIN(MAX(0,AE575),AD575)</f>
        <v>0</v>
      </c>
      <c r="AG575" s="80">
        <f>MAX(0,AD575-MAX(0,AE575))</f>
        <v>0</v>
      </c>
      <c r="AH575" s="80">
        <f>IF(ISNUMBER(B575),IF(AND(INDEX(CFG_WDAYS,WEEKDAY(INT(B575),2))="Sí",IF(D575="proMX",COUNTIFS(FER_F,INT(B575),FER_NLP,"Sí"),COUNTIFS(FER_F,INT(B575),FER_NLM,"Sí"))=0),1,0),0)</f>
        <v>0</v>
      </c>
      <c r="AI575" s="80">
        <f>IF(AC575=1,IF(AND(INDEX(CFG_WDAYS,WEEKDAY(INT(B575)+1,2))="Sí",IF(D575="proMX",COUNTIFS(FER_F,INT(B575)+1,FER_NLP,"Sí"),COUNTIFS(FER_F,INT(B575)+1,FER_NLM,"Sí"))=0),1,0),0)</f>
        <v>0</v>
      </c>
      <c r="AJ575" s="80">
        <f>IF(AC575=1,1440-Z575,AD575)</f>
        <v>0</v>
      </c>
      <c r="AK575" s="80">
        <f>IF(AND(AB575=1,AH575=1),MAX(0,MIN(IF(AC575=1,1440,AA575),CFG_WEM)-MAX(Z575,CFG_WSM)),0)</f>
        <v>0</v>
      </c>
      <c r="AL575" s="80">
        <f>IF(AND(AC575=1,AI575=1),MAX(0,MIN(AA575,CFG_WEM)-CFG_WSM),0)</f>
        <v>0</v>
      </c>
      <c r="AM575" s="80">
        <f>AK575+AL575</f>
        <v>0</v>
      </c>
      <c r="AN575" s="80">
        <f>IF(CFG_BRK="Proporcional",IF(AD575=0,0,AF575*AM575/AD575),IF(CFG_BRK="Extras primero",MIN(AM575,MAX(0,AF575-(AD575-AM575))),MIN(AF575,AM575)))</f>
        <v>0</v>
      </c>
      <c r="AO575" s="80">
        <f>AF575-AN575</f>
        <v>0</v>
      </c>
      <c r="AP575" s="80">
        <f>AM575-AN575</f>
        <v>0</v>
      </c>
      <c r="AQ575" s="80">
        <f>AD575-AM575-AO575</f>
        <v>0</v>
      </c>
      <c r="AR575" s="80">
        <f>IF(AM575=0,0,AK575-AN575*AK575/AM575)</f>
        <v>0</v>
      </c>
      <c r="AS575" s="80">
        <f>IF(AD575-AM575=0,0,(AJ575-AK575)-AO575*(AJ575-AK575)/(AD575-AM575))</f>
        <v>0</v>
      </c>
      <c r="AT575" s="80" t="str">
        <f>IF(AC575=1,INT(B575)+1,"")</f>
        <v/>
      </c>
      <c r="AU575" s="80">
        <f>IF(AND(D575="proMX",R575="Cancelled"),0,1)</f>
        <v>1</v>
      </c>
      <c r="AV575" s="80">
        <f>IF(AND(AB575=1,AU575=1),IF(COUNTIFS($D$5:D574,D575,$B$5:B574,B575,$Z$5:Z574,Z575,$AA$5:AA574,AA575,$F$5:F574,F575&amp;"",$AU$5:AU574,1)&gt;0,1,0),0)</f>
        <v>0</v>
      </c>
      <c r="AW575" s="80" t="str">
        <f>IF(AB575=1,INT(B575)*1440+Z575,"")</f>
        <v/>
      </c>
      <c r="AX575" s="80" t="str">
        <f>IF(AB575=1,AW575+AD575,"")</f>
        <v/>
      </c>
      <c r="AY575" s="80">
        <f>IF(AND(AB575=1,AV575=0,AU575=1),1,0)</f>
        <v>0</v>
      </c>
      <c r="AZ575" s="80">
        <f>IF(AY575=1,COUNTIFS(R_Emp,D575,R_SAbs,"&lt;"&amp;AX575,R_EAbs,"&gt;"&amp;AW575,R_OKey,1)-1,0)</f>
        <v>0</v>
      </c>
      <c r="BA575" s="80">
        <f>IF(AY575=1,COUNTIFS(R_Emp,"&lt;&gt;"&amp;D575,R_SAbs,"&lt;"&amp;AX575,R_EAbs,"&gt;"&amp;AW575,R_OKey,1),0)</f>
        <v>0</v>
      </c>
      <c r="BB575" s="80">
        <f>IF(AND(AB575=1,D575="proMX"),IF(AND(MOD(Z575,CFG_BLK)=0,MOD(AA575,CFG_BLK)=0,MOD(AG575,CFG_BLK)=0,AG575&gt;0),1,0),1)</f>
        <v>1</v>
      </c>
      <c r="BC575" s="80" t="str">
        <f>IF(Y575=0,"",IF(NOT(ISNUMBER(B575)),"Falta fecha o fecha inválida",IF(D575="","Falta empresa",IF(AND(D575&lt;&gt;"Malcolm",D575&lt;&gt;"proMX"),"Empresa inválida",IF(OR(INT(B575)&lt;CFG_PSTART,INT(B575)&gt;CFG_PEND),"Fecha fuera del período",IF(OR(NOT(ISNUMBER(Z575)),NOT(ISNUMBER(AA575))),"Falta hora inicio/fin o formato inválido",IF(AB575=0,"Hora inicio = hora fin",IF(AE575&lt;0,"Descanso inválido",IF(AE575&gt;=AD575,"Descanso ≥ duración",IF(AV575=1,"Registro duplicado",IF(AZ575&gt;0,"Se superpone con otro registro "&amp;D575,IF(BB575=0,"inicio, fin y duración neta deben ser múltiplos de "&amp;CFG_BLK&amp;" min",""))))))))))))</f>
        <v/>
      </c>
      <c r="BD575" s="80">
        <f>IF(AND(Y575=1,BC575=""),1,0)</f>
        <v>0</v>
      </c>
      <c r="BE575" s="80">
        <f>IF(AND(BD575=1,AU575=1),1,0)</f>
        <v>0</v>
      </c>
      <c r="BF575" s="80" t="str">
        <f>IF(AND(D575="proMX",BD575=1),IF(R575="","Draft",R575),"")</f>
        <v/>
      </c>
      <c r="BG575" s="80">
        <f>IF(BD575=1,ROUND(AG575/60,6),0)</f>
        <v>0</v>
      </c>
      <c r="BH575" s="80">
        <f>IF(BE575=1,ROUND(AG575/60,6),0)</f>
        <v>0</v>
      </c>
      <c r="BI575" s="80">
        <f>IF(BE575=1,ROUND(AP575/60,6),0)</f>
        <v>0</v>
      </c>
      <c r="BJ575" s="80">
        <f>IF(BE575=1,ROUND(AQ575/60,6),0)</f>
        <v>0</v>
      </c>
      <c r="BK575" s="80">
        <f>IF(BE575=1,ROUND((AR575+AS575)/60,6),0)</f>
        <v>0</v>
      </c>
      <c r="BL575" s="80">
        <f>ROUND(BH575-BK575,6)</f>
        <v>0</v>
      </c>
      <c r="BM575" s="80">
        <f>IF(BE575=1,ROUND(AR575/60,6),0)</f>
        <v>0</v>
      </c>
      <c r="BN575" s="80">
        <f>ROUND(BI575-BM575,6)</f>
        <v>0</v>
      </c>
      <c r="BO575" s="80">
        <f>IF(BE575=1,ROUND(AS575/60,6),0)</f>
        <v>0</v>
      </c>
      <c r="BP575" s="80">
        <f>ROUND(BJ575-BO575,6)</f>
        <v>0</v>
      </c>
      <c r="BQ575" s="80">
        <f>IF(BE575=1,AW575,0)</f>
        <v>0</v>
      </c>
      <c r="BR575" s="80">
        <f>IF(BE575=1,AX575,0)</f>
        <v>0</v>
      </c>
      <c r="BS575" s="80">
        <f>IF(AND(BE575=1,D575="Malcolm",BA575&gt;0),MIN(BH575,SUMPRODUCT((R_Emp="proMX")*(R_EN&gt;0)*((R_EN-(R_EN&gt;BR575)*(R_EN-BR575))&gt;(R_SN+(R_SN&lt;BQ575)*(BQ575-R_SN)))*((R_EN-(R_EN&gt;BR575)*(R_EN-BR575))-(R_SN+(R_SN&lt;BQ575)*(BQ575-R_SN))))/60),0)</f>
        <v>0</v>
      </c>
      <c r="BT575" s="80">
        <f>IF(AND(BE575=1,D575="proMX"),ROUND(BI575*CFG_RATE+BJ575*CFG_OTRATE,6),0)</f>
        <v>0</v>
      </c>
      <c r="BU575" s="80">
        <f>IF(AND(BD575=1,D575="proMX"),ROUND(AG575/CFG_BLK,6),0)</f>
        <v>0</v>
      </c>
      <c r="BV575" s="80" t="str">
        <f>IF(BF575="Approved",IF(ISNUMBER(T575),INT(T575),INT(B575)),"")</f>
        <v/>
      </c>
      <c r="BW575" s="80">
        <f>IF(ISNUMBER(B575),IF(DB_MON="Todos",1,IF(AND(INT(B575)&gt;=DB_MS,INT(B575)&lt;=DB_ME),1,0)),0)</f>
        <v>0</v>
      </c>
      <c r="BX575" s="80">
        <f>IF(DB_PROJ="Todos",1,IF(E575&amp;""=DB_PROJ&amp;"",1,0))</f>
        <v>1</v>
      </c>
      <c r="BY575" s="80">
        <f>BW575*BX575</f>
        <v>0</v>
      </c>
      <c r="BZ575" s="80" t="str">
        <f>IF(Y575=1,F575&amp;IF(AND(F575&amp;""&lt;&gt;"",E575&amp;""&lt;&gt;"")," · ","")&amp;E575,"")</f>
        <v/>
      </c>
      <c r="CA575" s="80" t="str">
        <f>IF(AND(BD575=1,E575&amp;""&lt;&gt;""),IF(COUNTIFS($E$5:E574,E575,$BD$5:BD574,1)=0,MAX($CA$5:CA574)+1,""),"")</f>
        <v/>
      </c>
      <c r="CB575" s="80" t="str">
        <f>IF(AND(BE575=1,D575="Malcolm",E575&amp;""&lt;&gt;""),IF(COUNTIFS($D$5:D574,"Malcolm",$E$5:E574,E575,$BE$5:BE574,1)=0,MAX($CB$5:CB574)+1,""),"")</f>
        <v/>
      </c>
      <c r="CC575" s="80" t="str">
        <f>IF(AND(BD575=1,D575="proMX",E575&amp;""&lt;&gt;""),IF(COUNTIFS($D$5:D574,"proMX",$E$5:E574,E575,$BD$5:BD574,1)=0,MAX($CC$5:CC574)+1,""),"")</f>
        <v/>
      </c>
      <c r="CD575" s="80" t="str">
        <f>IF(AND(BE575=1,D575="Malcolm",F575&amp;""&lt;&gt;""),IF(COUNTIFS($D$5:D574,"Malcolm",$F$5:F574,F575,$BE$5:BE574,1)=0,MAX($CD$5:CD574)+1,""),"")</f>
        <v/>
      </c>
      <c r="CE575" s="80" t="str">
        <f>IF(AND(BD575=1,D575="proMX",F575&amp;""&lt;&gt;""),IF(COUNTIFS($D$5:D574,"proMX",$F$5:F574,F575,$BD$5:BD574,1)=0,MAX($CE$5:CE574)+1,""),"")</f>
        <v/>
      </c>
      <c r="CF575" s="80" t="str">
        <f>IF(AND(D575="proMX",BD575=1),IF(OR(BF575="Draft",BF575="Submitted",BF575="Returned",BF575="Recall Requested"),MAX($CF$5:CF574)+1,""),"")</f>
        <v/>
      </c>
      <c r="CG575" s="80">
        <f>IF(BD575=0,0,IF(D575="Malcolm",1,MATCH(BF575,{"Draft","Submitted","Approved","Returned","Recall Requested","Cancelled"},0)+1))</f>
        <v>0</v>
      </c>
      <c r="CH575" s="80">
        <f>IF(AND(BF575="Submitted",ISNUMBER(V575)),IF(V575&gt;CFG_MAXD,1,0),0)</f>
        <v>0</v>
      </c>
    </row>
    <row r="576">
      <c r="A576" s="71" t="str">
        <f>IF(Y576=1,ROW()-5,"")</f>
        <v/>
      </c>
      <c r="B576" s="72" t="n"/>
      <c r="C576" s="71" t="str">
        <f>IF(ISNUMBER(B576),CHOOSE(WEEKDAY(B576,2),"Lun","Mar","Mié","Jue","Vie","Sáb","Dom"),"")</f>
        <v/>
      </c>
      <c r="D576" s="73" t="n"/>
      <c r="E576" s="74" t="n"/>
      <c r="F576" s="74" t="n"/>
      <c r="G576" s="74" t="n"/>
      <c r="H576" s="75" t="n"/>
      <c r="I576" s="75" t="n"/>
      <c r="J576" s="76" t="n"/>
      <c r="K576" s="77" t="str">
        <f>IF(AB576=1,ROUND(AG576/60,4),"")</f>
        <v/>
      </c>
      <c r="L576" s="77" t="str">
        <f>IF(BD576=1,ROUND(AP576/60,4),"")</f>
        <v/>
      </c>
      <c r="M576" s="77" t="str">
        <f>IF(BD576=1,ROUND(AQ576/60,4),"")</f>
        <v/>
      </c>
      <c r="N576" s="71" t="str">
        <f>IF(AND(D576="proMX",AB576=1),ROUND(AG576/CFG_BLK,2),"")</f>
        <v/>
      </c>
      <c r="O576" s="77" t="str">
        <f>IF(D576="proMX",IF(BD576=1,ROUND(AG576/60,4),0),"")</f>
        <v/>
      </c>
      <c r="P576" s="78" t="str">
        <f>IF(Y576=0,"",IF(BD576=1,"OK",IF(D576="proMX","Revisar bloques: ","Revisar: ")&amp;BC576))</f>
        <v/>
      </c>
      <c r="Q576" s="78" t="str">
        <f>IF(NOT(ISNUMBER(B576)),"",IF(COUNTIFS(FER_F,INT(B576))&gt;0,"Feriado"&amp;IF(AH576=1," (laborable)"," (no laborable)"),IF(AH576=1,"Laborable",IF(WEEKDAY(B576,2)&gt;5,"Fin de semana","No laborable"))))</f>
        <v/>
      </c>
      <c r="R576" s="73" t="n"/>
      <c r="S576" s="72" t="n"/>
      <c r="T576" s="72" t="n"/>
      <c r="U576" s="74" t="n"/>
      <c r="V576" s="79" t="str">
        <f>IF(AND(D576="proMX",OR(R576="Submitted",R576="Recall Requested"),ISNUMBER(S576)),CFG_TODAY-INT(S576),"")</f>
        <v/>
      </c>
      <c r="W576" s="78" t="str">
        <f>IF(BD576=0,"",IF(BA576&gt;0,"⚠ Se superpone con un registro de la otra empresa",IF(D576="Malcolm",IF(COUNTA(R576,S576,T576)&gt;0,"Estado/fechas proMX se ignoran en Malcolm",""),IF(BF576="Cancelled","Cancelado: excluido de totales",IF(R576="","Sin estado: se trata como Draft",IF(BF576="Submitted",IF(ISNUMBER(V576),IF(V576&gt;CFG_MAXD,"⚠ "&amp;V576&amp;" días en Submitted (máx. "&amp;CFG_MAXD&amp;")",""),"Falta fecha de envío"),IF(BF576="Returned","⚠ Devuelto: corregir y reenviar",IF(BF576="Recall Requested","Retirada solicitada: pendiente",IF(AND(BF576="Approved",NOT(ISNUMBER(T576))),"Falta fecha de aprobación",IF(AND(ISNUMBER(S576),ISNUMBER(T576),T576&lt;S576),"Aprobación anterior al envío","")))))))))</f>
        <v/>
      </c>
      <c r="Y576" s="80">
        <f>IF(COUNTA(B576,D576,E576,F576,G576,H576,I576,J576,R576,S576,T576)&gt;0,1,0)</f>
        <v>0</v>
      </c>
      <c r="Z576" s="80" t="str">
        <f>IF(AND(ISNUMBER(H576),H576&gt;=0,H576&lt;1),ROUND(H576*1440,0),"")</f>
        <v/>
      </c>
      <c r="AA576" s="80" t="str">
        <f>IF(AND(ISNUMBER(I576),I576&gt;=0,I576&lt;1),ROUND(I576*1440,0),"")</f>
        <v/>
      </c>
      <c r="AB576" s="80">
        <f>IF(AND(ISNUMBER(B576),D576&lt;&gt;"",ISNUMBER(Z576),ISNUMBER(AA576)),IF(Z576=AA576,0,1),0)</f>
        <v>0</v>
      </c>
      <c r="AC576" s="80">
        <f>IF(AB576=1,IF(AA576&lt;Z576,1,0),0)</f>
        <v>0</v>
      </c>
      <c r="AD576" s="80">
        <f>IF(AB576=1,IF(AC576=1,1440-Z576+AA576,AA576-Z576),0)</f>
        <v>0</v>
      </c>
      <c r="AE576" s="80">
        <f>IF(J576="",0,IF(ISNUMBER(J576),J576,-1))</f>
        <v>0</v>
      </c>
      <c r="AF576" s="80">
        <f>MIN(MAX(0,AE576),AD576)</f>
        <v>0</v>
      </c>
      <c r="AG576" s="80">
        <f>MAX(0,AD576-MAX(0,AE576))</f>
        <v>0</v>
      </c>
      <c r="AH576" s="80">
        <f>IF(ISNUMBER(B576),IF(AND(INDEX(CFG_WDAYS,WEEKDAY(INT(B576),2))="Sí",IF(D576="proMX",COUNTIFS(FER_F,INT(B576),FER_NLP,"Sí"),COUNTIFS(FER_F,INT(B576),FER_NLM,"Sí"))=0),1,0),0)</f>
        <v>0</v>
      </c>
      <c r="AI576" s="80">
        <f>IF(AC576=1,IF(AND(INDEX(CFG_WDAYS,WEEKDAY(INT(B576)+1,2))="Sí",IF(D576="proMX",COUNTIFS(FER_F,INT(B576)+1,FER_NLP,"Sí"),COUNTIFS(FER_F,INT(B576)+1,FER_NLM,"Sí"))=0),1,0),0)</f>
        <v>0</v>
      </c>
      <c r="AJ576" s="80">
        <f>IF(AC576=1,1440-Z576,AD576)</f>
        <v>0</v>
      </c>
      <c r="AK576" s="80">
        <f>IF(AND(AB576=1,AH576=1),MAX(0,MIN(IF(AC576=1,1440,AA576),CFG_WEM)-MAX(Z576,CFG_WSM)),0)</f>
        <v>0</v>
      </c>
      <c r="AL576" s="80">
        <f>IF(AND(AC576=1,AI576=1),MAX(0,MIN(AA576,CFG_WEM)-CFG_WSM),0)</f>
        <v>0</v>
      </c>
      <c r="AM576" s="80">
        <f>AK576+AL576</f>
        <v>0</v>
      </c>
      <c r="AN576" s="80">
        <f>IF(CFG_BRK="Proporcional",IF(AD576=0,0,AF576*AM576/AD576),IF(CFG_BRK="Extras primero",MIN(AM576,MAX(0,AF576-(AD576-AM576))),MIN(AF576,AM576)))</f>
        <v>0</v>
      </c>
      <c r="AO576" s="80">
        <f>AF576-AN576</f>
        <v>0</v>
      </c>
      <c r="AP576" s="80">
        <f>AM576-AN576</f>
        <v>0</v>
      </c>
      <c r="AQ576" s="80">
        <f>AD576-AM576-AO576</f>
        <v>0</v>
      </c>
      <c r="AR576" s="80">
        <f>IF(AM576=0,0,AK576-AN576*AK576/AM576)</f>
        <v>0</v>
      </c>
      <c r="AS576" s="80">
        <f>IF(AD576-AM576=0,0,(AJ576-AK576)-AO576*(AJ576-AK576)/(AD576-AM576))</f>
        <v>0</v>
      </c>
      <c r="AT576" s="80" t="str">
        <f>IF(AC576=1,INT(B576)+1,"")</f>
        <v/>
      </c>
      <c r="AU576" s="80">
        <f>IF(AND(D576="proMX",R576="Cancelled"),0,1)</f>
        <v>1</v>
      </c>
      <c r="AV576" s="80">
        <f>IF(AND(AB576=1,AU576=1),IF(COUNTIFS($D$5:D575,D576,$B$5:B575,B576,$Z$5:Z575,Z576,$AA$5:AA575,AA576,$F$5:F575,F576&amp;"",$AU$5:AU575,1)&gt;0,1,0),0)</f>
        <v>0</v>
      </c>
      <c r="AW576" s="80" t="str">
        <f>IF(AB576=1,INT(B576)*1440+Z576,"")</f>
        <v/>
      </c>
      <c r="AX576" s="80" t="str">
        <f>IF(AB576=1,AW576+AD576,"")</f>
        <v/>
      </c>
      <c r="AY576" s="80">
        <f>IF(AND(AB576=1,AV576=0,AU576=1),1,0)</f>
        <v>0</v>
      </c>
      <c r="AZ576" s="80">
        <f>IF(AY576=1,COUNTIFS(R_Emp,D576,R_SAbs,"&lt;"&amp;AX576,R_EAbs,"&gt;"&amp;AW576,R_OKey,1)-1,0)</f>
        <v>0</v>
      </c>
      <c r="BA576" s="80">
        <f>IF(AY576=1,COUNTIFS(R_Emp,"&lt;&gt;"&amp;D576,R_SAbs,"&lt;"&amp;AX576,R_EAbs,"&gt;"&amp;AW576,R_OKey,1),0)</f>
        <v>0</v>
      </c>
      <c r="BB576" s="80">
        <f>IF(AND(AB576=1,D576="proMX"),IF(AND(MOD(Z576,CFG_BLK)=0,MOD(AA576,CFG_BLK)=0,MOD(AG576,CFG_BLK)=0,AG576&gt;0),1,0),1)</f>
        <v>1</v>
      </c>
      <c r="BC576" s="80" t="str">
        <f>IF(Y576=0,"",IF(NOT(ISNUMBER(B576)),"Falta fecha o fecha inválida",IF(D576="","Falta empresa",IF(AND(D576&lt;&gt;"Malcolm",D576&lt;&gt;"proMX"),"Empresa inválida",IF(OR(INT(B576)&lt;CFG_PSTART,INT(B576)&gt;CFG_PEND),"Fecha fuera del período",IF(OR(NOT(ISNUMBER(Z576)),NOT(ISNUMBER(AA576))),"Falta hora inicio/fin o formato inválido",IF(AB576=0,"Hora inicio = hora fin",IF(AE576&lt;0,"Descanso inválido",IF(AE576&gt;=AD576,"Descanso ≥ duración",IF(AV576=1,"Registro duplicado",IF(AZ576&gt;0,"Se superpone con otro registro "&amp;D576,IF(BB576=0,"inicio, fin y duración neta deben ser múltiplos de "&amp;CFG_BLK&amp;" min",""))))))))))))</f>
        <v/>
      </c>
      <c r="BD576" s="80">
        <f>IF(AND(Y576=1,BC576=""),1,0)</f>
        <v>0</v>
      </c>
      <c r="BE576" s="80">
        <f>IF(AND(BD576=1,AU576=1),1,0)</f>
        <v>0</v>
      </c>
      <c r="BF576" s="80" t="str">
        <f>IF(AND(D576="proMX",BD576=1),IF(R576="","Draft",R576),"")</f>
        <v/>
      </c>
      <c r="BG576" s="80">
        <f>IF(BD576=1,ROUND(AG576/60,6),0)</f>
        <v>0</v>
      </c>
      <c r="BH576" s="80">
        <f>IF(BE576=1,ROUND(AG576/60,6),0)</f>
        <v>0</v>
      </c>
      <c r="BI576" s="80">
        <f>IF(BE576=1,ROUND(AP576/60,6),0)</f>
        <v>0</v>
      </c>
      <c r="BJ576" s="80">
        <f>IF(BE576=1,ROUND(AQ576/60,6),0)</f>
        <v>0</v>
      </c>
      <c r="BK576" s="80">
        <f>IF(BE576=1,ROUND((AR576+AS576)/60,6),0)</f>
        <v>0</v>
      </c>
      <c r="BL576" s="80">
        <f>ROUND(BH576-BK576,6)</f>
        <v>0</v>
      </c>
      <c r="BM576" s="80">
        <f>IF(BE576=1,ROUND(AR576/60,6),0)</f>
        <v>0</v>
      </c>
      <c r="BN576" s="80">
        <f>ROUND(BI576-BM576,6)</f>
        <v>0</v>
      </c>
      <c r="BO576" s="80">
        <f>IF(BE576=1,ROUND(AS576/60,6),0)</f>
        <v>0</v>
      </c>
      <c r="BP576" s="80">
        <f>ROUND(BJ576-BO576,6)</f>
        <v>0</v>
      </c>
      <c r="BQ576" s="80">
        <f>IF(BE576=1,AW576,0)</f>
        <v>0</v>
      </c>
      <c r="BR576" s="80">
        <f>IF(BE576=1,AX576,0)</f>
        <v>0</v>
      </c>
      <c r="BS576" s="80">
        <f>IF(AND(BE576=1,D576="Malcolm",BA576&gt;0),MIN(BH576,SUMPRODUCT((R_Emp="proMX")*(R_EN&gt;0)*((R_EN-(R_EN&gt;BR576)*(R_EN-BR576))&gt;(R_SN+(R_SN&lt;BQ576)*(BQ576-R_SN)))*((R_EN-(R_EN&gt;BR576)*(R_EN-BR576))-(R_SN+(R_SN&lt;BQ576)*(BQ576-R_SN))))/60),0)</f>
        <v>0</v>
      </c>
      <c r="BT576" s="80">
        <f>IF(AND(BE576=1,D576="proMX"),ROUND(BI576*CFG_RATE+BJ576*CFG_OTRATE,6),0)</f>
        <v>0</v>
      </c>
      <c r="BU576" s="80">
        <f>IF(AND(BD576=1,D576="proMX"),ROUND(AG576/CFG_BLK,6),0)</f>
        <v>0</v>
      </c>
      <c r="BV576" s="80" t="str">
        <f>IF(BF576="Approved",IF(ISNUMBER(T576),INT(T576),INT(B576)),"")</f>
        <v/>
      </c>
      <c r="BW576" s="80">
        <f>IF(ISNUMBER(B576),IF(DB_MON="Todos",1,IF(AND(INT(B576)&gt;=DB_MS,INT(B576)&lt;=DB_ME),1,0)),0)</f>
        <v>0</v>
      </c>
      <c r="BX576" s="80">
        <f>IF(DB_PROJ="Todos",1,IF(E576&amp;""=DB_PROJ&amp;"",1,0))</f>
        <v>1</v>
      </c>
      <c r="BY576" s="80">
        <f>BW576*BX576</f>
        <v>0</v>
      </c>
      <c r="BZ576" s="80" t="str">
        <f>IF(Y576=1,F576&amp;IF(AND(F576&amp;""&lt;&gt;"",E576&amp;""&lt;&gt;"")," · ","")&amp;E576,"")</f>
        <v/>
      </c>
      <c r="CA576" s="80" t="str">
        <f>IF(AND(BD576=1,E576&amp;""&lt;&gt;""),IF(COUNTIFS($E$5:E575,E576,$BD$5:BD575,1)=0,MAX($CA$5:CA575)+1,""),"")</f>
        <v/>
      </c>
      <c r="CB576" s="80" t="str">
        <f>IF(AND(BE576=1,D576="Malcolm",E576&amp;""&lt;&gt;""),IF(COUNTIFS($D$5:D575,"Malcolm",$E$5:E575,E576,$BE$5:BE575,1)=0,MAX($CB$5:CB575)+1,""),"")</f>
        <v/>
      </c>
      <c r="CC576" s="80" t="str">
        <f>IF(AND(BD576=1,D576="proMX",E576&amp;""&lt;&gt;""),IF(COUNTIFS($D$5:D575,"proMX",$E$5:E575,E576,$BD$5:BD575,1)=0,MAX($CC$5:CC575)+1,""),"")</f>
        <v/>
      </c>
      <c r="CD576" s="80" t="str">
        <f>IF(AND(BE576=1,D576="Malcolm",F576&amp;""&lt;&gt;""),IF(COUNTIFS($D$5:D575,"Malcolm",$F$5:F575,F576,$BE$5:BE575,1)=0,MAX($CD$5:CD575)+1,""),"")</f>
        <v/>
      </c>
      <c r="CE576" s="80" t="str">
        <f>IF(AND(BD576=1,D576="proMX",F576&amp;""&lt;&gt;""),IF(COUNTIFS($D$5:D575,"proMX",$F$5:F575,F576,$BD$5:BD575,1)=0,MAX($CE$5:CE575)+1,""),"")</f>
        <v/>
      </c>
      <c r="CF576" s="80" t="str">
        <f>IF(AND(D576="proMX",BD576=1),IF(OR(BF576="Draft",BF576="Submitted",BF576="Returned",BF576="Recall Requested"),MAX($CF$5:CF575)+1,""),"")</f>
        <v/>
      </c>
      <c r="CG576" s="80">
        <f>IF(BD576=0,0,IF(D576="Malcolm",1,MATCH(BF576,{"Draft","Submitted","Approved","Returned","Recall Requested","Cancelled"},0)+1))</f>
        <v>0</v>
      </c>
      <c r="CH576" s="80">
        <f>IF(AND(BF576="Submitted",ISNUMBER(V576)),IF(V576&gt;CFG_MAXD,1,0),0)</f>
        <v>0</v>
      </c>
    </row>
    <row r="577">
      <c r="A577" s="71" t="str">
        <f>IF(Y577=1,ROW()-5,"")</f>
        <v/>
      </c>
      <c r="B577" s="72" t="n"/>
      <c r="C577" s="71" t="str">
        <f>IF(ISNUMBER(B577),CHOOSE(WEEKDAY(B577,2),"Lun","Mar","Mié","Jue","Vie","Sáb","Dom"),"")</f>
        <v/>
      </c>
      <c r="D577" s="73" t="n"/>
      <c r="E577" s="74" t="n"/>
      <c r="F577" s="74" t="n"/>
      <c r="G577" s="74" t="n"/>
      <c r="H577" s="75" t="n"/>
      <c r="I577" s="75" t="n"/>
      <c r="J577" s="76" t="n"/>
      <c r="K577" s="77" t="str">
        <f>IF(AB577=1,ROUND(AG577/60,4),"")</f>
        <v/>
      </c>
      <c r="L577" s="77" t="str">
        <f>IF(BD577=1,ROUND(AP577/60,4),"")</f>
        <v/>
      </c>
      <c r="M577" s="77" t="str">
        <f>IF(BD577=1,ROUND(AQ577/60,4),"")</f>
        <v/>
      </c>
      <c r="N577" s="71" t="str">
        <f>IF(AND(D577="proMX",AB577=1),ROUND(AG577/CFG_BLK,2),"")</f>
        <v/>
      </c>
      <c r="O577" s="77" t="str">
        <f>IF(D577="proMX",IF(BD577=1,ROUND(AG577/60,4),0),"")</f>
        <v/>
      </c>
      <c r="P577" s="78" t="str">
        <f>IF(Y577=0,"",IF(BD577=1,"OK",IF(D577="proMX","Revisar bloques: ","Revisar: ")&amp;BC577))</f>
        <v/>
      </c>
      <c r="Q577" s="78" t="str">
        <f>IF(NOT(ISNUMBER(B577)),"",IF(COUNTIFS(FER_F,INT(B577))&gt;0,"Feriado"&amp;IF(AH577=1," (laborable)"," (no laborable)"),IF(AH577=1,"Laborable",IF(WEEKDAY(B577,2)&gt;5,"Fin de semana","No laborable"))))</f>
        <v/>
      </c>
      <c r="R577" s="73" t="n"/>
      <c r="S577" s="72" t="n"/>
      <c r="T577" s="72" t="n"/>
      <c r="U577" s="74" t="n"/>
      <c r="V577" s="79" t="str">
        <f>IF(AND(D577="proMX",OR(R577="Submitted",R577="Recall Requested"),ISNUMBER(S577)),CFG_TODAY-INT(S577),"")</f>
        <v/>
      </c>
      <c r="W577" s="78" t="str">
        <f>IF(BD577=0,"",IF(BA577&gt;0,"⚠ Se superpone con un registro de la otra empresa",IF(D577="Malcolm",IF(COUNTA(R577,S577,T577)&gt;0,"Estado/fechas proMX se ignoran en Malcolm",""),IF(BF577="Cancelled","Cancelado: excluido de totales",IF(R577="","Sin estado: se trata como Draft",IF(BF577="Submitted",IF(ISNUMBER(V577),IF(V577&gt;CFG_MAXD,"⚠ "&amp;V577&amp;" días en Submitted (máx. "&amp;CFG_MAXD&amp;")",""),"Falta fecha de envío"),IF(BF577="Returned","⚠ Devuelto: corregir y reenviar",IF(BF577="Recall Requested","Retirada solicitada: pendiente",IF(AND(BF577="Approved",NOT(ISNUMBER(T577))),"Falta fecha de aprobación",IF(AND(ISNUMBER(S577),ISNUMBER(T577),T577&lt;S577),"Aprobación anterior al envío","")))))))))</f>
        <v/>
      </c>
      <c r="Y577" s="80">
        <f>IF(COUNTA(B577,D577,E577,F577,G577,H577,I577,J577,R577,S577,T577)&gt;0,1,0)</f>
        <v>0</v>
      </c>
      <c r="Z577" s="80" t="str">
        <f>IF(AND(ISNUMBER(H577),H577&gt;=0,H577&lt;1),ROUND(H577*1440,0),"")</f>
        <v/>
      </c>
      <c r="AA577" s="80" t="str">
        <f>IF(AND(ISNUMBER(I577),I577&gt;=0,I577&lt;1),ROUND(I577*1440,0),"")</f>
        <v/>
      </c>
      <c r="AB577" s="80">
        <f>IF(AND(ISNUMBER(B577),D577&lt;&gt;"",ISNUMBER(Z577),ISNUMBER(AA577)),IF(Z577=AA577,0,1),0)</f>
        <v>0</v>
      </c>
      <c r="AC577" s="80">
        <f>IF(AB577=1,IF(AA577&lt;Z577,1,0),0)</f>
        <v>0</v>
      </c>
      <c r="AD577" s="80">
        <f>IF(AB577=1,IF(AC577=1,1440-Z577+AA577,AA577-Z577),0)</f>
        <v>0</v>
      </c>
      <c r="AE577" s="80">
        <f>IF(J577="",0,IF(ISNUMBER(J577),J577,-1))</f>
        <v>0</v>
      </c>
      <c r="AF577" s="80">
        <f>MIN(MAX(0,AE577),AD577)</f>
        <v>0</v>
      </c>
      <c r="AG577" s="80">
        <f>MAX(0,AD577-MAX(0,AE577))</f>
        <v>0</v>
      </c>
      <c r="AH577" s="80">
        <f>IF(ISNUMBER(B577),IF(AND(INDEX(CFG_WDAYS,WEEKDAY(INT(B577),2))="Sí",IF(D577="proMX",COUNTIFS(FER_F,INT(B577),FER_NLP,"Sí"),COUNTIFS(FER_F,INT(B577),FER_NLM,"Sí"))=0),1,0),0)</f>
        <v>0</v>
      </c>
      <c r="AI577" s="80">
        <f>IF(AC577=1,IF(AND(INDEX(CFG_WDAYS,WEEKDAY(INT(B577)+1,2))="Sí",IF(D577="proMX",COUNTIFS(FER_F,INT(B577)+1,FER_NLP,"Sí"),COUNTIFS(FER_F,INT(B577)+1,FER_NLM,"Sí"))=0),1,0),0)</f>
        <v>0</v>
      </c>
      <c r="AJ577" s="80">
        <f>IF(AC577=1,1440-Z577,AD577)</f>
        <v>0</v>
      </c>
      <c r="AK577" s="80">
        <f>IF(AND(AB577=1,AH577=1),MAX(0,MIN(IF(AC577=1,1440,AA577),CFG_WEM)-MAX(Z577,CFG_WSM)),0)</f>
        <v>0</v>
      </c>
      <c r="AL577" s="80">
        <f>IF(AND(AC577=1,AI577=1),MAX(0,MIN(AA577,CFG_WEM)-CFG_WSM),0)</f>
        <v>0</v>
      </c>
      <c r="AM577" s="80">
        <f>AK577+AL577</f>
        <v>0</v>
      </c>
      <c r="AN577" s="80">
        <f>IF(CFG_BRK="Proporcional",IF(AD577=0,0,AF577*AM577/AD577),IF(CFG_BRK="Extras primero",MIN(AM577,MAX(0,AF577-(AD577-AM577))),MIN(AF577,AM577)))</f>
        <v>0</v>
      </c>
      <c r="AO577" s="80">
        <f>AF577-AN577</f>
        <v>0</v>
      </c>
      <c r="AP577" s="80">
        <f>AM577-AN577</f>
        <v>0</v>
      </c>
      <c r="AQ577" s="80">
        <f>AD577-AM577-AO577</f>
        <v>0</v>
      </c>
      <c r="AR577" s="80">
        <f>IF(AM577=0,0,AK577-AN577*AK577/AM577)</f>
        <v>0</v>
      </c>
      <c r="AS577" s="80">
        <f>IF(AD577-AM577=0,0,(AJ577-AK577)-AO577*(AJ577-AK577)/(AD577-AM577))</f>
        <v>0</v>
      </c>
      <c r="AT577" s="80" t="str">
        <f>IF(AC577=1,INT(B577)+1,"")</f>
        <v/>
      </c>
      <c r="AU577" s="80">
        <f>IF(AND(D577="proMX",R577="Cancelled"),0,1)</f>
        <v>1</v>
      </c>
      <c r="AV577" s="80">
        <f>IF(AND(AB577=1,AU577=1),IF(COUNTIFS($D$5:D576,D577,$B$5:B576,B577,$Z$5:Z576,Z577,$AA$5:AA576,AA577,$F$5:F576,F577&amp;"",$AU$5:AU576,1)&gt;0,1,0),0)</f>
        <v>0</v>
      </c>
      <c r="AW577" s="80" t="str">
        <f>IF(AB577=1,INT(B577)*1440+Z577,"")</f>
        <v/>
      </c>
      <c r="AX577" s="80" t="str">
        <f>IF(AB577=1,AW577+AD577,"")</f>
        <v/>
      </c>
      <c r="AY577" s="80">
        <f>IF(AND(AB577=1,AV577=0,AU577=1),1,0)</f>
        <v>0</v>
      </c>
      <c r="AZ577" s="80">
        <f>IF(AY577=1,COUNTIFS(R_Emp,D577,R_SAbs,"&lt;"&amp;AX577,R_EAbs,"&gt;"&amp;AW577,R_OKey,1)-1,0)</f>
        <v>0</v>
      </c>
      <c r="BA577" s="80">
        <f>IF(AY577=1,COUNTIFS(R_Emp,"&lt;&gt;"&amp;D577,R_SAbs,"&lt;"&amp;AX577,R_EAbs,"&gt;"&amp;AW577,R_OKey,1),0)</f>
        <v>0</v>
      </c>
      <c r="BB577" s="80">
        <f>IF(AND(AB577=1,D577="proMX"),IF(AND(MOD(Z577,CFG_BLK)=0,MOD(AA577,CFG_BLK)=0,MOD(AG577,CFG_BLK)=0,AG577&gt;0),1,0),1)</f>
        <v>1</v>
      </c>
      <c r="BC577" s="80" t="str">
        <f>IF(Y577=0,"",IF(NOT(ISNUMBER(B577)),"Falta fecha o fecha inválida",IF(D577="","Falta empresa",IF(AND(D577&lt;&gt;"Malcolm",D577&lt;&gt;"proMX"),"Empresa inválida",IF(OR(INT(B577)&lt;CFG_PSTART,INT(B577)&gt;CFG_PEND),"Fecha fuera del período",IF(OR(NOT(ISNUMBER(Z577)),NOT(ISNUMBER(AA577))),"Falta hora inicio/fin o formato inválido",IF(AB577=0,"Hora inicio = hora fin",IF(AE577&lt;0,"Descanso inválido",IF(AE577&gt;=AD577,"Descanso ≥ duración",IF(AV577=1,"Registro duplicado",IF(AZ577&gt;0,"Se superpone con otro registro "&amp;D577,IF(BB577=0,"inicio, fin y duración neta deben ser múltiplos de "&amp;CFG_BLK&amp;" min",""))))))))))))</f>
        <v/>
      </c>
      <c r="BD577" s="80">
        <f>IF(AND(Y577=1,BC577=""),1,0)</f>
        <v>0</v>
      </c>
      <c r="BE577" s="80">
        <f>IF(AND(BD577=1,AU577=1),1,0)</f>
        <v>0</v>
      </c>
      <c r="BF577" s="80" t="str">
        <f>IF(AND(D577="proMX",BD577=1),IF(R577="","Draft",R577),"")</f>
        <v/>
      </c>
      <c r="BG577" s="80">
        <f>IF(BD577=1,ROUND(AG577/60,6),0)</f>
        <v>0</v>
      </c>
      <c r="BH577" s="80">
        <f>IF(BE577=1,ROUND(AG577/60,6),0)</f>
        <v>0</v>
      </c>
      <c r="BI577" s="80">
        <f>IF(BE577=1,ROUND(AP577/60,6),0)</f>
        <v>0</v>
      </c>
      <c r="BJ577" s="80">
        <f>IF(BE577=1,ROUND(AQ577/60,6),0)</f>
        <v>0</v>
      </c>
      <c r="BK577" s="80">
        <f>IF(BE577=1,ROUND((AR577+AS577)/60,6),0)</f>
        <v>0</v>
      </c>
      <c r="BL577" s="80">
        <f>ROUND(BH577-BK577,6)</f>
        <v>0</v>
      </c>
      <c r="BM577" s="80">
        <f>IF(BE577=1,ROUND(AR577/60,6),0)</f>
        <v>0</v>
      </c>
      <c r="BN577" s="80">
        <f>ROUND(BI577-BM577,6)</f>
        <v>0</v>
      </c>
      <c r="BO577" s="80">
        <f>IF(BE577=1,ROUND(AS577/60,6),0)</f>
        <v>0</v>
      </c>
      <c r="BP577" s="80">
        <f>ROUND(BJ577-BO577,6)</f>
        <v>0</v>
      </c>
      <c r="BQ577" s="80">
        <f>IF(BE577=1,AW577,0)</f>
        <v>0</v>
      </c>
      <c r="BR577" s="80">
        <f>IF(BE577=1,AX577,0)</f>
        <v>0</v>
      </c>
      <c r="BS577" s="80">
        <f>IF(AND(BE577=1,D577="Malcolm",BA577&gt;0),MIN(BH577,SUMPRODUCT((R_Emp="proMX")*(R_EN&gt;0)*((R_EN-(R_EN&gt;BR577)*(R_EN-BR577))&gt;(R_SN+(R_SN&lt;BQ577)*(BQ577-R_SN)))*((R_EN-(R_EN&gt;BR577)*(R_EN-BR577))-(R_SN+(R_SN&lt;BQ577)*(BQ577-R_SN))))/60),0)</f>
        <v>0</v>
      </c>
      <c r="BT577" s="80">
        <f>IF(AND(BE577=1,D577="proMX"),ROUND(BI577*CFG_RATE+BJ577*CFG_OTRATE,6),0)</f>
        <v>0</v>
      </c>
      <c r="BU577" s="80">
        <f>IF(AND(BD577=1,D577="proMX"),ROUND(AG577/CFG_BLK,6),0)</f>
        <v>0</v>
      </c>
      <c r="BV577" s="80" t="str">
        <f>IF(BF577="Approved",IF(ISNUMBER(T577),INT(T577),INT(B577)),"")</f>
        <v/>
      </c>
      <c r="BW577" s="80">
        <f>IF(ISNUMBER(B577),IF(DB_MON="Todos",1,IF(AND(INT(B577)&gt;=DB_MS,INT(B577)&lt;=DB_ME),1,0)),0)</f>
        <v>0</v>
      </c>
      <c r="BX577" s="80">
        <f>IF(DB_PROJ="Todos",1,IF(E577&amp;""=DB_PROJ&amp;"",1,0))</f>
        <v>1</v>
      </c>
      <c r="BY577" s="80">
        <f>BW577*BX577</f>
        <v>0</v>
      </c>
      <c r="BZ577" s="80" t="str">
        <f>IF(Y577=1,F577&amp;IF(AND(F577&amp;""&lt;&gt;"",E577&amp;""&lt;&gt;"")," · ","")&amp;E577,"")</f>
        <v/>
      </c>
      <c r="CA577" s="80" t="str">
        <f>IF(AND(BD577=1,E577&amp;""&lt;&gt;""),IF(COUNTIFS($E$5:E576,E577,$BD$5:BD576,1)=0,MAX($CA$5:CA576)+1,""),"")</f>
        <v/>
      </c>
      <c r="CB577" s="80" t="str">
        <f>IF(AND(BE577=1,D577="Malcolm",E577&amp;""&lt;&gt;""),IF(COUNTIFS($D$5:D576,"Malcolm",$E$5:E576,E577,$BE$5:BE576,1)=0,MAX($CB$5:CB576)+1,""),"")</f>
        <v/>
      </c>
      <c r="CC577" s="80" t="str">
        <f>IF(AND(BD577=1,D577="proMX",E577&amp;""&lt;&gt;""),IF(COUNTIFS($D$5:D576,"proMX",$E$5:E576,E577,$BD$5:BD576,1)=0,MAX($CC$5:CC576)+1,""),"")</f>
        <v/>
      </c>
      <c r="CD577" s="80" t="str">
        <f>IF(AND(BE577=1,D577="Malcolm",F577&amp;""&lt;&gt;""),IF(COUNTIFS($D$5:D576,"Malcolm",$F$5:F576,F577,$BE$5:BE576,1)=0,MAX($CD$5:CD576)+1,""),"")</f>
        <v/>
      </c>
      <c r="CE577" s="80" t="str">
        <f>IF(AND(BD577=1,D577="proMX",F577&amp;""&lt;&gt;""),IF(COUNTIFS($D$5:D576,"proMX",$F$5:F576,F577,$BD$5:BD576,1)=0,MAX($CE$5:CE576)+1,""),"")</f>
        <v/>
      </c>
      <c r="CF577" s="80" t="str">
        <f>IF(AND(D577="proMX",BD577=1),IF(OR(BF577="Draft",BF577="Submitted",BF577="Returned",BF577="Recall Requested"),MAX($CF$5:CF576)+1,""),"")</f>
        <v/>
      </c>
      <c r="CG577" s="80">
        <f>IF(BD577=0,0,IF(D577="Malcolm",1,MATCH(BF577,{"Draft","Submitted","Approved","Returned","Recall Requested","Cancelled"},0)+1))</f>
        <v>0</v>
      </c>
      <c r="CH577" s="80">
        <f>IF(AND(BF577="Submitted",ISNUMBER(V577)),IF(V577&gt;CFG_MAXD,1,0),0)</f>
        <v>0</v>
      </c>
    </row>
    <row r="578">
      <c r="A578" s="71" t="str">
        <f>IF(Y578=1,ROW()-5,"")</f>
        <v/>
      </c>
      <c r="B578" s="72" t="n"/>
      <c r="C578" s="71" t="str">
        <f>IF(ISNUMBER(B578),CHOOSE(WEEKDAY(B578,2),"Lun","Mar","Mié","Jue","Vie","Sáb","Dom"),"")</f>
        <v/>
      </c>
      <c r="D578" s="73" t="n"/>
      <c r="E578" s="74" t="n"/>
      <c r="F578" s="74" t="n"/>
      <c r="G578" s="74" t="n"/>
      <c r="H578" s="75" t="n"/>
      <c r="I578" s="75" t="n"/>
      <c r="J578" s="76" t="n"/>
      <c r="K578" s="77" t="str">
        <f>IF(AB578=1,ROUND(AG578/60,4),"")</f>
        <v/>
      </c>
      <c r="L578" s="77" t="str">
        <f>IF(BD578=1,ROUND(AP578/60,4),"")</f>
        <v/>
      </c>
      <c r="M578" s="77" t="str">
        <f>IF(BD578=1,ROUND(AQ578/60,4),"")</f>
        <v/>
      </c>
      <c r="N578" s="71" t="str">
        <f>IF(AND(D578="proMX",AB578=1),ROUND(AG578/CFG_BLK,2),"")</f>
        <v/>
      </c>
      <c r="O578" s="77" t="str">
        <f>IF(D578="proMX",IF(BD578=1,ROUND(AG578/60,4),0),"")</f>
        <v/>
      </c>
      <c r="P578" s="78" t="str">
        <f>IF(Y578=0,"",IF(BD578=1,"OK",IF(D578="proMX","Revisar bloques: ","Revisar: ")&amp;BC578))</f>
        <v/>
      </c>
      <c r="Q578" s="78" t="str">
        <f>IF(NOT(ISNUMBER(B578)),"",IF(COUNTIFS(FER_F,INT(B578))&gt;0,"Feriado"&amp;IF(AH578=1," (laborable)"," (no laborable)"),IF(AH578=1,"Laborable",IF(WEEKDAY(B578,2)&gt;5,"Fin de semana","No laborable"))))</f>
        <v/>
      </c>
      <c r="R578" s="73" t="n"/>
      <c r="S578" s="72" t="n"/>
      <c r="T578" s="72" t="n"/>
      <c r="U578" s="74" t="n"/>
      <c r="V578" s="79" t="str">
        <f>IF(AND(D578="proMX",OR(R578="Submitted",R578="Recall Requested"),ISNUMBER(S578)),CFG_TODAY-INT(S578),"")</f>
        <v/>
      </c>
      <c r="W578" s="78" t="str">
        <f>IF(BD578=0,"",IF(BA578&gt;0,"⚠ Se superpone con un registro de la otra empresa",IF(D578="Malcolm",IF(COUNTA(R578,S578,T578)&gt;0,"Estado/fechas proMX se ignoran en Malcolm",""),IF(BF578="Cancelled","Cancelado: excluido de totales",IF(R578="","Sin estado: se trata como Draft",IF(BF578="Submitted",IF(ISNUMBER(V578),IF(V578&gt;CFG_MAXD,"⚠ "&amp;V578&amp;" días en Submitted (máx. "&amp;CFG_MAXD&amp;")",""),"Falta fecha de envío"),IF(BF578="Returned","⚠ Devuelto: corregir y reenviar",IF(BF578="Recall Requested","Retirada solicitada: pendiente",IF(AND(BF578="Approved",NOT(ISNUMBER(T578))),"Falta fecha de aprobación",IF(AND(ISNUMBER(S578),ISNUMBER(T578),T578&lt;S578),"Aprobación anterior al envío","")))))))))</f>
        <v/>
      </c>
      <c r="Y578" s="80">
        <f>IF(COUNTA(B578,D578,E578,F578,G578,H578,I578,J578,R578,S578,T578)&gt;0,1,0)</f>
        <v>0</v>
      </c>
      <c r="Z578" s="80" t="str">
        <f>IF(AND(ISNUMBER(H578),H578&gt;=0,H578&lt;1),ROUND(H578*1440,0),"")</f>
        <v/>
      </c>
      <c r="AA578" s="80" t="str">
        <f>IF(AND(ISNUMBER(I578),I578&gt;=0,I578&lt;1),ROUND(I578*1440,0),"")</f>
        <v/>
      </c>
      <c r="AB578" s="80">
        <f>IF(AND(ISNUMBER(B578),D578&lt;&gt;"",ISNUMBER(Z578),ISNUMBER(AA578)),IF(Z578=AA578,0,1),0)</f>
        <v>0</v>
      </c>
      <c r="AC578" s="80">
        <f>IF(AB578=1,IF(AA578&lt;Z578,1,0),0)</f>
        <v>0</v>
      </c>
      <c r="AD578" s="80">
        <f>IF(AB578=1,IF(AC578=1,1440-Z578+AA578,AA578-Z578),0)</f>
        <v>0</v>
      </c>
      <c r="AE578" s="80">
        <f>IF(J578="",0,IF(ISNUMBER(J578),J578,-1))</f>
        <v>0</v>
      </c>
      <c r="AF578" s="80">
        <f>MIN(MAX(0,AE578),AD578)</f>
        <v>0</v>
      </c>
      <c r="AG578" s="80">
        <f>MAX(0,AD578-MAX(0,AE578))</f>
        <v>0</v>
      </c>
      <c r="AH578" s="80">
        <f>IF(ISNUMBER(B578),IF(AND(INDEX(CFG_WDAYS,WEEKDAY(INT(B578),2))="Sí",IF(D578="proMX",COUNTIFS(FER_F,INT(B578),FER_NLP,"Sí"),COUNTIFS(FER_F,INT(B578),FER_NLM,"Sí"))=0),1,0),0)</f>
        <v>0</v>
      </c>
      <c r="AI578" s="80">
        <f>IF(AC578=1,IF(AND(INDEX(CFG_WDAYS,WEEKDAY(INT(B578)+1,2))="Sí",IF(D578="proMX",COUNTIFS(FER_F,INT(B578)+1,FER_NLP,"Sí"),COUNTIFS(FER_F,INT(B578)+1,FER_NLM,"Sí"))=0),1,0),0)</f>
        <v>0</v>
      </c>
      <c r="AJ578" s="80">
        <f>IF(AC578=1,1440-Z578,AD578)</f>
        <v>0</v>
      </c>
      <c r="AK578" s="80">
        <f>IF(AND(AB578=1,AH578=1),MAX(0,MIN(IF(AC578=1,1440,AA578),CFG_WEM)-MAX(Z578,CFG_WSM)),0)</f>
        <v>0</v>
      </c>
      <c r="AL578" s="80">
        <f>IF(AND(AC578=1,AI578=1),MAX(0,MIN(AA578,CFG_WEM)-CFG_WSM),0)</f>
        <v>0</v>
      </c>
      <c r="AM578" s="80">
        <f>AK578+AL578</f>
        <v>0</v>
      </c>
      <c r="AN578" s="80">
        <f>IF(CFG_BRK="Proporcional",IF(AD578=0,0,AF578*AM578/AD578),IF(CFG_BRK="Extras primero",MIN(AM578,MAX(0,AF578-(AD578-AM578))),MIN(AF578,AM578)))</f>
        <v>0</v>
      </c>
      <c r="AO578" s="80">
        <f>AF578-AN578</f>
        <v>0</v>
      </c>
      <c r="AP578" s="80">
        <f>AM578-AN578</f>
        <v>0</v>
      </c>
      <c r="AQ578" s="80">
        <f>AD578-AM578-AO578</f>
        <v>0</v>
      </c>
      <c r="AR578" s="80">
        <f>IF(AM578=0,0,AK578-AN578*AK578/AM578)</f>
        <v>0</v>
      </c>
      <c r="AS578" s="80">
        <f>IF(AD578-AM578=0,0,(AJ578-AK578)-AO578*(AJ578-AK578)/(AD578-AM578))</f>
        <v>0</v>
      </c>
      <c r="AT578" s="80" t="str">
        <f>IF(AC578=1,INT(B578)+1,"")</f>
        <v/>
      </c>
      <c r="AU578" s="80">
        <f>IF(AND(D578="proMX",R578="Cancelled"),0,1)</f>
        <v>1</v>
      </c>
      <c r="AV578" s="80">
        <f>IF(AND(AB578=1,AU578=1),IF(COUNTIFS($D$5:D577,D578,$B$5:B577,B578,$Z$5:Z577,Z578,$AA$5:AA577,AA578,$F$5:F577,F578&amp;"",$AU$5:AU577,1)&gt;0,1,0),0)</f>
        <v>0</v>
      </c>
      <c r="AW578" s="80" t="str">
        <f>IF(AB578=1,INT(B578)*1440+Z578,"")</f>
        <v/>
      </c>
      <c r="AX578" s="80" t="str">
        <f>IF(AB578=1,AW578+AD578,"")</f>
        <v/>
      </c>
      <c r="AY578" s="80">
        <f>IF(AND(AB578=1,AV578=0,AU578=1),1,0)</f>
        <v>0</v>
      </c>
      <c r="AZ578" s="80">
        <f>IF(AY578=1,COUNTIFS(R_Emp,D578,R_SAbs,"&lt;"&amp;AX578,R_EAbs,"&gt;"&amp;AW578,R_OKey,1)-1,0)</f>
        <v>0</v>
      </c>
      <c r="BA578" s="80">
        <f>IF(AY578=1,COUNTIFS(R_Emp,"&lt;&gt;"&amp;D578,R_SAbs,"&lt;"&amp;AX578,R_EAbs,"&gt;"&amp;AW578,R_OKey,1),0)</f>
        <v>0</v>
      </c>
      <c r="BB578" s="80">
        <f>IF(AND(AB578=1,D578="proMX"),IF(AND(MOD(Z578,CFG_BLK)=0,MOD(AA578,CFG_BLK)=0,MOD(AG578,CFG_BLK)=0,AG578&gt;0),1,0),1)</f>
        <v>1</v>
      </c>
      <c r="BC578" s="80" t="str">
        <f>IF(Y578=0,"",IF(NOT(ISNUMBER(B578)),"Falta fecha o fecha inválida",IF(D578="","Falta empresa",IF(AND(D578&lt;&gt;"Malcolm",D578&lt;&gt;"proMX"),"Empresa inválida",IF(OR(INT(B578)&lt;CFG_PSTART,INT(B578)&gt;CFG_PEND),"Fecha fuera del período",IF(OR(NOT(ISNUMBER(Z578)),NOT(ISNUMBER(AA578))),"Falta hora inicio/fin o formato inválido",IF(AB578=0,"Hora inicio = hora fin",IF(AE578&lt;0,"Descanso inválido",IF(AE578&gt;=AD578,"Descanso ≥ duración",IF(AV578=1,"Registro duplicado",IF(AZ578&gt;0,"Se superpone con otro registro "&amp;D578,IF(BB578=0,"inicio, fin y duración neta deben ser múltiplos de "&amp;CFG_BLK&amp;" min",""))))))))))))</f>
        <v/>
      </c>
      <c r="BD578" s="80">
        <f>IF(AND(Y578=1,BC578=""),1,0)</f>
        <v>0</v>
      </c>
      <c r="BE578" s="80">
        <f>IF(AND(BD578=1,AU578=1),1,0)</f>
        <v>0</v>
      </c>
      <c r="BF578" s="80" t="str">
        <f>IF(AND(D578="proMX",BD578=1),IF(R578="","Draft",R578),"")</f>
        <v/>
      </c>
      <c r="BG578" s="80">
        <f>IF(BD578=1,ROUND(AG578/60,6),0)</f>
        <v>0</v>
      </c>
      <c r="BH578" s="80">
        <f>IF(BE578=1,ROUND(AG578/60,6),0)</f>
        <v>0</v>
      </c>
      <c r="BI578" s="80">
        <f>IF(BE578=1,ROUND(AP578/60,6),0)</f>
        <v>0</v>
      </c>
      <c r="BJ578" s="80">
        <f>IF(BE578=1,ROUND(AQ578/60,6),0)</f>
        <v>0</v>
      </c>
      <c r="BK578" s="80">
        <f>IF(BE578=1,ROUND((AR578+AS578)/60,6),0)</f>
        <v>0</v>
      </c>
      <c r="BL578" s="80">
        <f>ROUND(BH578-BK578,6)</f>
        <v>0</v>
      </c>
      <c r="BM578" s="80">
        <f>IF(BE578=1,ROUND(AR578/60,6),0)</f>
        <v>0</v>
      </c>
      <c r="BN578" s="80">
        <f>ROUND(BI578-BM578,6)</f>
        <v>0</v>
      </c>
      <c r="BO578" s="80">
        <f>IF(BE578=1,ROUND(AS578/60,6),0)</f>
        <v>0</v>
      </c>
      <c r="BP578" s="80">
        <f>ROUND(BJ578-BO578,6)</f>
        <v>0</v>
      </c>
      <c r="BQ578" s="80">
        <f>IF(BE578=1,AW578,0)</f>
        <v>0</v>
      </c>
      <c r="BR578" s="80">
        <f>IF(BE578=1,AX578,0)</f>
        <v>0</v>
      </c>
      <c r="BS578" s="80">
        <f>IF(AND(BE578=1,D578="Malcolm",BA578&gt;0),MIN(BH578,SUMPRODUCT((R_Emp="proMX")*(R_EN&gt;0)*((R_EN-(R_EN&gt;BR578)*(R_EN-BR578))&gt;(R_SN+(R_SN&lt;BQ578)*(BQ578-R_SN)))*((R_EN-(R_EN&gt;BR578)*(R_EN-BR578))-(R_SN+(R_SN&lt;BQ578)*(BQ578-R_SN))))/60),0)</f>
        <v>0</v>
      </c>
      <c r="BT578" s="80">
        <f>IF(AND(BE578=1,D578="proMX"),ROUND(BI578*CFG_RATE+BJ578*CFG_OTRATE,6),0)</f>
        <v>0</v>
      </c>
      <c r="BU578" s="80">
        <f>IF(AND(BD578=1,D578="proMX"),ROUND(AG578/CFG_BLK,6),0)</f>
        <v>0</v>
      </c>
      <c r="BV578" s="80" t="str">
        <f>IF(BF578="Approved",IF(ISNUMBER(T578),INT(T578),INT(B578)),"")</f>
        <v/>
      </c>
      <c r="BW578" s="80">
        <f>IF(ISNUMBER(B578),IF(DB_MON="Todos",1,IF(AND(INT(B578)&gt;=DB_MS,INT(B578)&lt;=DB_ME),1,0)),0)</f>
        <v>0</v>
      </c>
      <c r="BX578" s="80">
        <f>IF(DB_PROJ="Todos",1,IF(E578&amp;""=DB_PROJ&amp;"",1,0))</f>
        <v>1</v>
      </c>
      <c r="BY578" s="80">
        <f>BW578*BX578</f>
        <v>0</v>
      </c>
      <c r="BZ578" s="80" t="str">
        <f>IF(Y578=1,F578&amp;IF(AND(F578&amp;""&lt;&gt;"",E578&amp;""&lt;&gt;"")," · ","")&amp;E578,"")</f>
        <v/>
      </c>
      <c r="CA578" s="80" t="str">
        <f>IF(AND(BD578=1,E578&amp;""&lt;&gt;""),IF(COUNTIFS($E$5:E577,E578,$BD$5:BD577,1)=0,MAX($CA$5:CA577)+1,""),"")</f>
        <v/>
      </c>
      <c r="CB578" s="80" t="str">
        <f>IF(AND(BE578=1,D578="Malcolm",E578&amp;""&lt;&gt;""),IF(COUNTIFS($D$5:D577,"Malcolm",$E$5:E577,E578,$BE$5:BE577,1)=0,MAX($CB$5:CB577)+1,""),"")</f>
        <v/>
      </c>
      <c r="CC578" s="80" t="str">
        <f>IF(AND(BD578=1,D578="proMX",E578&amp;""&lt;&gt;""),IF(COUNTIFS($D$5:D577,"proMX",$E$5:E577,E578,$BD$5:BD577,1)=0,MAX($CC$5:CC577)+1,""),"")</f>
        <v/>
      </c>
      <c r="CD578" s="80" t="str">
        <f>IF(AND(BE578=1,D578="Malcolm",F578&amp;""&lt;&gt;""),IF(COUNTIFS($D$5:D577,"Malcolm",$F$5:F577,F578,$BE$5:BE577,1)=0,MAX($CD$5:CD577)+1,""),"")</f>
        <v/>
      </c>
      <c r="CE578" s="80" t="str">
        <f>IF(AND(BD578=1,D578="proMX",F578&amp;""&lt;&gt;""),IF(COUNTIFS($D$5:D577,"proMX",$F$5:F577,F578,$BD$5:BD577,1)=0,MAX($CE$5:CE577)+1,""),"")</f>
        <v/>
      </c>
      <c r="CF578" s="80" t="str">
        <f>IF(AND(D578="proMX",BD578=1),IF(OR(BF578="Draft",BF578="Submitted",BF578="Returned",BF578="Recall Requested"),MAX($CF$5:CF577)+1,""),"")</f>
        <v/>
      </c>
      <c r="CG578" s="80">
        <f>IF(BD578=0,0,IF(D578="Malcolm",1,MATCH(BF578,{"Draft","Submitted","Approved","Returned","Recall Requested","Cancelled"},0)+1))</f>
        <v>0</v>
      </c>
      <c r="CH578" s="80">
        <f>IF(AND(BF578="Submitted",ISNUMBER(V578)),IF(V578&gt;CFG_MAXD,1,0),0)</f>
        <v>0</v>
      </c>
    </row>
    <row r="579">
      <c r="A579" s="71" t="str">
        <f>IF(Y579=1,ROW()-5,"")</f>
        <v/>
      </c>
      <c r="B579" s="72" t="n"/>
      <c r="C579" s="71" t="str">
        <f>IF(ISNUMBER(B579),CHOOSE(WEEKDAY(B579,2),"Lun","Mar","Mié","Jue","Vie","Sáb","Dom"),"")</f>
        <v/>
      </c>
      <c r="D579" s="73" t="n"/>
      <c r="E579" s="74" t="n"/>
      <c r="F579" s="74" t="n"/>
      <c r="G579" s="74" t="n"/>
      <c r="H579" s="75" t="n"/>
      <c r="I579" s="75" t="n"/>
      <c r="J579" s="76" t="n"/>
      <c r="K579" s="77" t="str">
        <f>IF(AB579=1,ROUND(AG579/60,4),"")</f>
        <v/>
      </c>
      <c r="L579" s="77" t="str">
        <f>IF(BD579=1,ROUND(AP579/60,4),"")</f>
        <v/>
      </c>
      <c r="M579" s="77" t="str">
        <f>IF(BD579=1,ROUND(AQ579/60,4),"")</f>
        <v/>
      </c>
      <c r="N579" s="71" t="str">
        <f>IF(AND(D579="proMX",AB579=1),ROUND(AG579/CFG_BLK,2),"")</f>
        <v/>
      </c>
      <c r="O579" s="77" t="str">
        <f>IF(D579="proMX",IF(BD579=1,ROUND(AG579/60,4),0),"")</f>
        <v/>
      </c>
      <c r="P579" s="78" t="str">
        <f>IF(Y579=0,"",IF(BD579=1,"OK",IF(D579="proMX","Revisar bloques: ","Revisar: ")&amp;BC579))</f>
        <v/>
      </c>
      <c r="Q579" s="78" t="str">
        <f>IF(NOT(ISNUMBER(B579)),"",IF(COUNTIFS(FER_F,INT(B579))&gt;0,"Feriado"&amp;IF(AH579=1," (laborable)"," (no laborable)"),IF(AH579=1,"Laborable",IF(WEEKDAY(B579,2)&gt;5,"Fin de semana","No laborable"))))</f>
        <v/>
      </c>
      <c r="R579" s="73" t="n"/>
      <c r="S579" s="72" t="n"/>
      <c r="T579" s="72" t="n"/>
      <c r="U579" s="74" t="n"/>
      <c r="V579" s="79" t="str">
        <f>IF(AND(D579="proMX",OR(R579="Submitted",R579="Recall Requested"),ISNUMBER(S579)),CFG_TODAY-INT(S579),"")</f>
        <v/>
      </c>
      <c r="W579" s="78" t="str">
        <f>IF(BD579=0,"",IF(BA579&gt;0,"⚠ Se superpone con un registro de la otra empresa",IF(D579="Malcolm",IF(COUNTA(R579,S579,T579)&gt;0,"Estado/fechas proMX se ignoran en Malcolm",""),IF(BF579="Cancelled","Cancelado: excluido de totales",IF(R579="","Sin estado: se trata como Draft",IF(BF579="Submitted",IF(ISNUMBER(V579),IF(V579&gt;CFG_MAXD,"⚠ "&amp;V579&amp;" días en Submitted (máx. "&amp;CFG_MAXD&amp;")",""),"Falta fecha de envío"),IF(BF579="Returned","⚠ Devuelto: corregir y reenviar",IF(BF579="Recall Requested","Retirada solicitada: pendiente",IF(AND(BF579="Approved",NOT(ISNUMBER(T579))),"Falta fecha de aprobación",IF(AND(ISNUMBER(S579),ISNUMBER(T579),T579&lt;S579),"Aprobación anterior al envío","")))))))))</f>
        <v/>
      </c>
      <c r="Y579" s="80">
        <f>IF(COUNTA(B579,D579,E579,F579,G579,H579,I579,J579,R579,S579,T579)&gt;0,1,0)</f>
        <v>0</v>
      </c>
      <c r="Z579" s="80" t="str">
        <f>IF(AND(ISNUMBER(H579),H579&gt;=0,H579&lt;1),ROUND(H579*1440,0),"")</f>
        <v/>
      </c>
      <c r="AA579" s="80" t="str">
        <f>IF(AND(ISNUMBER(I579),I579&gt;=0,I579&lt;1),ROUND(I579*1440,0),"")</f>
        <v/>
      </c>
      <c r="AB579" s="80">
        <f>IF(AND(ISNUMBER(B579),D579&lt;&gt;"",ISNUMBER(Z579),ISNUMBER(AA579)),IF(Z579=AA579,0,1),0)</f>
        <v>0</v>
      </c>
      <c r="AC579" s="80">
        <f>IF(AB579=1,IF(AA579&lt;Z579,1,0),0)</f>
        <v>0</v>
      </c>
      <c r="AD579" s="80">
        <f>IF(AB579=1,IF(AC579=1,1440-Z579+AA579,AA579-Z579),0)</f>
        <v>0</v>
      </c>
      <c r="AE579" s="80">
        <f>IF(J579="",0,IF(ISNUMBER(J579),J579,-1))</f>
        <v>0</v>
      </c>
      <c r="AF579" s="80">
        <f>MIN(MAX(0,AE579),AD579)</f>
        <v>0</v>
      </c>
      <c r="AG579" s="80">
        <f>MAX(0,AD579-MAX(0,AE579))</f>
        <v>0</v>
      </c>
      <c r="AH579" s="80">
        <f>IF(ISNUMBER(B579),IF(AND(INDEX(CFG_WDAYS,WEEKDAY(INT(B579),2))="Sí",IF(D579="proMX",COUNTIFS(FER_F,INT(B579),FER_NLP,"Sí"),COUNTIFS(FER_F,INT(B579),FER_NLM,"Sí"))=0),1,0),0)</f>
        <v>0</v>
      </c>
      <c r="AI579" s="80">
        <f>IF(AC579=1,IF(AND(INDEX(CFG_WDAYS,WEEKDAY(INT(B579)+1,2))="Sí",IF(D579="proMX",COUNTIFS(FER_F,INT(B579)+1,FER_NLP,"Sí"),COUNTIFS(FER_F,INT(B579)+1,FER_NLM,"Sí"))=0),1,0),0)</f>
        <v>0</v>
      </c>
      <c r="AJ579" s="80">
        <f>IF(AC579=1,1440-Z579,AD579)</f>
        <v>0</v>
      </c>
      <c r="AK579" s="80">
        <f>IF(AND(AB579=1,AH579=1),MAX(0,MIN(IF(AC579=1,1440,AA579),CFG_WEM)-MAX(Z579,CFG_WSM)),0)</f>
        <v>0</v>
      </c>
      <c r="AL579" s="80">
        <f>IF(AND(AC579=1,AI579=1),MAX(0,MIN(AA579,CFG_WEM)-CFG_WSM),0)</f>
        <v>0</v>
      </c>
      <c r="AM579" s="80">
        <f>AK579+AL579</f>
        <v>0</v>
      </c>
      <c r="AN579" s="80">
        <f>IF(CFG_BRK="Proporcional",IF(AD579=0,0,AF579*AM579/AD579),IF(CFG_BRK="Extras primero",MIN(AM579,MAX(0,AF579-(AD579-AM579))),MIN(AF579,AM579)))</f>
        <v>0</v>
      </c>
      <c r="AO579" s="80">
        <f>AF579-AN579</f>
        <v>0</v>
      </c>
      <c r="AP579" s="80">
        <f>AM579-AN579</f>
        <v>0</v>
      </c>
      <c r="AQ579" s="80">
        <f>AD579-AM579-AO579</f>
        <v>0</v>
      </c>
      <c r="AR579" s="80">
        <f>IF(AM579=0,0,AK579-AN579*AK579/AM579)</f>
        <v>0</v>
      </c>
      <c r="AS579" s="80">
        <f>IF(AD579-AM579=0,0,(AJ579-AK579)-AO579*(AJ579-AK579)/(AD579-AM579))</f>
        <v>0</v>
      </c>
      <c r="AT579" s="80" t="str">
        <f>IF(AC579=1,INT(B579)+1,"")</f>
        <v/>
      </c>
      <c r="AU579" s="80">
        <f>IF(AND(D579="proMX",R579="Cancelled"),0,1)</f>
        <v>1</v>
      </c>
      <c r="AV579" s="80">
        <f>IF(AND(AB579=1,AU579=1),IF(COUNTIFS($D$5:D578,D579,$B$5:B578,B579,$Z$5:Z578,Z579,$AA$5:AA578,AA579,$F$5:F578,F579&amp;"",$AU$5:AU578,1)&gt;0,1,0),0)</f>
        <v>0</v>
      </c>
      <c r="AW579" s="80" t="str">
        <f>IF(AB579=1,INT(B579)*1440+Z579,"")</f>
        <v/>
      </c>
      <c r="AX579" s="80" t="str">
        <f>IF(AB579=1,AW579+AD579,"")</f>
        <v/>
      </c>
      <c r="AY579" s="80">
        <f>IF(AND(AB579=1,AV579=0,AU579=1),1,0)</f>
        <v>0</v>
      </c>
      <c r="AZ579" s="80">
        <f>IF(AY579=1,COUNTIFS(R_Emp,D579,R_SAbs,"&lt;"&amp;AX579,R_EAbs,"&gt;"&amp;AW579,R_OKey,1)-1,0)</f>
        <v>0</v>
      </c>
      <c r="BA579" s="80">
        <f>IF(AY579=1,COUNTIFS(R_Emp,"&lt;&gt;"&amp;D579,R_SAbs,"&lt;"&amp;AX579,R_EAbs,"&gt;"&amp;AW579,R_OKey,1),0)</f>
        <v>0</v>
      </c>
      <c r="BB579" s="80">
        <f>IF(AND(AB579=1,D579="proMX"),IF(AND(MOD(Z579,CFG_BLK)=0,MOD(AA579,CFG_BLK)=0,MOD(AG579,CFG_BLK)=0,AG579&gt;0),1,0),1)</f>
        <v>1</v>
      </c>
      <c r="BC579" s="80" t="str">
        <f>IF(Y579=0,"",IF(NOT(ISNUMBER(B579)),"Falta fecha o fecha inválida",IF(D579="","Falta empresa",IF(AND(D579&lt;&gt;"Malcolm",D579&lt;&gt;"proMX"),"Empresa inválida",IF(OR(INT(B579)&lt;CFG_PSTART,INT(B579)&gt;CFG_PEND),"Fecha fuera del período",IF(OR(NOT(ISNUMBER(Z579)),NOT(ISNUMBER(AA579))),"Falta hora inicio/fin o formato inválido",IF(AB579=0,"Hora inicio = hora fin",IF(AE579&lt;0,"Descanso inválido",IF(AE579&gt;=AD579,"Descanso ≥ duración",IF(AV579=1,"Registro duplicado",IF(AZ579&gt;0,"Se superpone con otro registro "&amp;D579,IF(BB579=0,"inicio, fin y duración neta deben ser múltiplos de "&amp;CFG_BLK&amp;" min",""))))))))))))</f>
        <v/>
      </c>
      <c r="BD579" s="80">
        <f>IF(AND(Y579=1,BC579=""),1,0)</f>
        <v>0</v>
      </c>
      <c r="BE579" s="80">
        <f>IF(AND(BD579=1,AU579=1),1,0)</f>
        <v>0</v>
      </c>
      <c r="BF579" s="80" t="str">
        <f>IF(AND(D579="proMX",BD579=1),IF(R579="","Draft",R579),"")</f>
        <v/>
      </c>
      <c r="BG579" s="80">
        <f>IF(BD579=1,ROUND(AG579/60,6),0)</f>
        <v>0</v>
      </c>
      <c r="BH579" s="80">
        <f>IF(BE579=1,ROUND(AG579/60,6),0)</f>
        <v>0</v>
      </c>
      <c r="BI579" s="80">
        <f>IF(BE579=1,ROUND(AP579/60,6),0)</f>
        <v>0</v>
      </c>
      <c r="BJ579" s="80">
        <f>IF(BE579=1,ROUND(AQ579/60,6),0)</f>
        <v>0</v>
      </c>
      <c r="BK579" s="80">
        <f>IF(BE579=1,ROUND((AR579+AS579)/60,6),0)</f>
        <v>0</v>
      </c>
      <c r="BL579" s="80">
        <f>ROUND(BH579-BK579,6)</f>
        <v>0</v>
      </c>
      <c r="BM579" s="80">
        <f>IF(BE579=1,ROUND(AR579/60,6),0)</f>
        <v>0</v>
      </c>
      <c r="BN579" s="80">
        <f>ROUND(BI579-BM579,6)</f>
        <v>0</v>
      </c>
      <c r="BO579" s="80">
        <f>IF(BE579=1,ROUND(AS579/60,6),0)</f>
        <v>0</v>
      </c>
      <c r="BP579" s="80">
        <f>ROUND(BJ579-BO579,6)</f>
        <v>0</v>
      </c>
      <c r="BQ579" s="80">
        <f>IF(BE579=1,AW579,0)</f>
        <v>0</v>
      </c>
      <c r="BR579" s="80">
        <f>IF(BE579=1,AX579,0)</f>
        <v>0</v>
      </c>
      <c r="BS579" s="80">
        <f>IF(AND(BE579=1,D579="Malcolm",BA579&gt;0),MIN(BH579,SUMPRODUCT((R_Emp="proMX")*(R_EN&gt;0)*((R_EN-(R_EN&gt;BR579)*(R_EN-BR579))&gt;(R_SN+(R_SN&lt;BQ579)*(BQ579-R_SN)))*((R_EN-(R_EN&gt;BR579)*(R_EN-BR579))-(R_SN+(R_SN&lt;BQ579)*(BQ579-R_SN))))/60),0)</f>
        <v>0</v>
      </c>
      <c r="BT579" s="80">
        <f>IF(AND(BE579=1,D579="proMX"),ROUND(BI579*CFG_RATE+BJ579*CFG_OTRATE,6),0)</f>
        <v>0</v>
      </c>
      <c r="BU579" s="80">
        <f>IF(AND(BD579=1,D579="proMX"),ROUND(AG579/CFG_BLK,6),0)</f>
        <v>0</v>
      </c>
      <c r="BV579" s="80" t="str">
        <f>IF(BF579="Approved",IF(ISNUMBER(T579),INT(T579),INT(B579)),"")</f>
        <v/>
      </c>
      <c r="BW579" s="80">
        <f>IF(ISNUMBER(B579),IF(DB_MON="Todos",1,IF(AND(INT(B579)&gt;=DB_MS,INT(B579)&lt;=DB_ME),1,0)),0)</f>
        <v>0</v>
      </c>
      <c r="BX579" s="80">
        <f>IF(DB_PROJ="Todos",1,IF(E579&amp;""=DB_PROJ&amp;"",1,0))</f>
        <v>1</v>
      </c>
      <c r="BY579" s="80">
        <f>BW579*BX579</f>
        <v>0</v>
      </c>
      <c r="BZ579" s="80" t="str">
        <f>IF(Y579=1,F579&amp;IF(AND(F579&amp;""&lt;&gt;"",E579&amp;""&lt;&gt;"")," · ","")&amp;E579,"")</f>
        <v/>
      </c>
      <c r="CA579" s="80" t="str">
        <f>IF(AND(BD579=1,E579&amp;""&lt;&gt;""),IF(COUNTIFS($E$5:E578,E579,$BD$5:BD578,1)=0,MAX($CA$5:CA578)+1,""),"")</f>
        <v/>
      </c>
      <c r="CB579" s="80" t="str">
        <f>IF(AND(BE579=1,D579="Malcolm",E579&amp;""&lt;&gt;""),IF(COUNTIFS($D$5:D578,"Malcolm",$E$5:E578,E579,$BE$5:BE578,1)=0,MAX($CB$5:CB578)+1,""),"")</f>
        <v/>
      </c>
      <c r="CC579" s="80" t="str">
        <f>IF(AND(BD579=1,D579="proMX",E579&amp;""&lt;&gt;""),IF(COUNTIFS($D$5:D578,"proMX",$E$5:E578,E579,$BD$5:BD578,1)=0,MAX($CC$5:CC578)+1,""),"")</f>
        <v/>
      </c>
      <c r="CD579" s="80" t="str">
        <f>IF(AND(BE579=1,D579="Malcolm",F579&amp;""&lt;&gt;""),IF(COUNTIFS($D$5:D578,"Malcolm",$F$5:F578,F579,$BE$5:BE578,1)=0,MAX($CD$5:CD578)+1,""),"")</f>
        <v/>
      </c>
      <c r="CE579" s="80" t="str">
        <f>IF(AND(BD579=1,D579="proMX",F579&amp;""&lt;&gt;""),IF(COUNTIFS($D$5:D578,"proMX",$F$5:F578,F579,$BD$5:BD578,1)=0,MAX($CE$5:CE578)+1,""),"")</f>
        <v/>
      </c>
      <c r="CF579" s="80" t="str">
        <f>IF(AND(D579="proMX",BD579=1),IF(OR(BF579="Draft",BF579="Submitted",BF579="Returned",BF579="Recall Requested"),MAX($CF$5:CF578)+1,""),"")</f>
        <v/>
      </c>
      <c r="CG579" s="80">
        <f>IF(BD579=0,0,IF(D579="Malcolm",1,MATCH(BF579,{"Draft","Submitted","Approved","Returned","Recall Requested","Cancelled"},0)+1))</f>
        <v>0</v>
      </c>
      <c r="CH579" s="80">
        <f>IF(AND(BF579="Submitted",ISNUMBER(V579)),IF(V579&gt;CFG_MAXD,1,0),0)</f>
        <v>0</v>
      </c>
    </row>
    <row r="580">
      <c r="A580" s="71" t="str">
        <f>IF(Y580=1,ROW()-5,"")</f>
        <v/>
      </c>
      <c r="B580" s="72" t="n"/>
      <c r="C580" s="71" t="str">
        <f>IF(ISNUMBER(B580),CHOOSE(WEEKDAY(B580,2),"Lun","Mar","Mié","Jue","Vie","Sáb","Dom"),"")</f>
        <v/>
      </c>
      <c r="D580" s="73" t="n"/>
      <c r="E580" s="74" t="n"/>
      <c r="F580" s="74" t="n"/>
      <c r="G580" s="74" t="n"/>
      <c r="H580" s="75" t="n"/>
      <c r="I580" s="75" t="n"/>
      <c r="J580" s="76" t="n"/>
      <c r="K580" s="77" t="str">
        <f>IF(AB580=1,ROUND(AG580/60,4),"")</f>
        <v/>
      </c>
      <c r="L580" s="77" t="str">
        <f>IF(BD580=1,ROUND(AP580/60,4),"")</f>
        <v/>
      </c>
      <c r="M580" s="77" t="str">
        <f>IF(BD580=1,ROUND(AQ580/60,4),"")</f>
        <v/>
      </c>
      <c r="N580" s="71" t="str">
        <f>IF(AND(D580="proMX",AB580=1),ROUND(AG580/CFG_BLK,2),"")</f>
        <v/>
      </c>
      <c r="O580" s="77" t="str">
        <f>IF(D580="proMX",IF(BD580=1,ROUND(AG580/60,4),0),"")</f>
        <v/>
      </c>
      <c r="P580" s="78" t="str">
        <f>IF(Y580=0,"",IF(BD580=1,"OK",IF(D580="proMX","Revisar bloques: ","Revisar: ")&amp;BC580))</f>
        <v/>
      </c>
      <c r="Q580" s="78" t="str">
        <f>IF(NOT(ISNUMBER(B580)),"",IF(COUNTIFS(FER_F,INT(B580))&gt;0,"Feriado"&amp;IF(AH580=1," (laborable)"," (no laborable)"),IF(AH580=1,"Laborable",IF(WEEKDAY(B580,2)&gt;5,"Fin de semana","No laborable"))))</f>
        <v/>
      </c>
      <c r="R580" s="73" t="n"/>
      <c r="S580" s="72" t="n"/>
      <c r="T580" s="72" t="n"/>
      <c r="U580" s="74" t="n"/>
      <c r="V580" s="79" t="str">
        <f>IF(AND(D580="proMX",OR(R580="Submitted",R580="Recall Requested"),ISNUMBER(S580)),CFG_TODAY-INT(S580),"")</f>
        <v/>
      </c>
      <c r="W580" s="78" t="str">
        <f>IF(BD580=0,"",IF(BA580&gt;0,"⚠ Se superpone con un registro de la otra empresa",IF(D580="Malcolm",IF(COUNTA(R580,S580,T580)&gt;0,"Estado/fechas proMX se ignoran en Malcolm",""),IF(BF580="Cancelled","Cancelado: excluido de totales",IF(R580="","Sin estado: se trata como Draft",IF(BF580="Submitted",IF(ISNUMBER(V580),IF(V580&gt;CFG_MAXD,"⚠ "&amp;V580&amp;" días en Submitted (máx. "&amp;CFG_MAXD&amp;")",""),"Falta fecha de envío"),IF(BF580="Returned","⚠ Devuelto: corregir y reenviar",IF(BF580="Recall Requested","Retirada solicitada: pendiente",IF(AND(BF580="Approved",NOT(ISNUMBER(T580))),"Falta fecha de aprobación",IF(AND(ISNUMBER(S580),ISNUMBER(T580),T580&lt;S580),"Aprobación anterior al envío","")))))))))</f>
        <v/>
      </c>
      <c r="Y580" s="80">
        <f>IF(COUNTA(B580,D580,E580,F580,G580,H580,I580,J580,R580,S580,T580)&gt;0,1,0)</f>
        <v>0</v>
      </c>
      <c r="Z580" s="80" t="str">
        <f>IF(AND(ISNUMBER(H580),H580&gt;=0,H580&lt;1),ROUND(H580*1440,0),"")</f>
        <v/>
      </c>
      <c r="AA580" s="80" t="str">
        <f>IF(AND(ISNUMBER(I580),I580&gt;=0,I580&lt;1),ROUND(I580*1440,0),"")</f>
        <v/>
      </c>
      <c r="AB580" s="80">
        <f>IF(AND(ISNUMBER(B580),D580&lt;&gt;"",ISNUMBER(Z580),ISNUMBER(AA580)),IF(Z580=AA580,0,1),0)</f>
        <v>0</v>
      </c>
      <c r="AC580" s="80">
        <f>IF(AB580=1,IF(AA580&lt;Z580,1,0),0)</f>
        <v>0</v>
      </c>
      <c r="AD580" s="80">
        <f>IF(AB580=1,IF(AC580=1,1440-Z580+AA580,AA580-Z580),0)</f>
        <v>0</v>
      </c>
      <c r="AE580" s="80">
        <f>IF(J580="",0,IF(ISNUMBER(J580),J580,-1))</f>
        <v>0</v>
      </c>
      <c r="AF580" s="80">
        <f>MIN(MAX(0,AE580),AD580)</f>
        <v>0</v>
      </c>
      <c r="AG580" s="80">
        <f>MAX(0,AD580-MAX(0,AE580))</f>
        <v>0</v>
      </c>
      <c r="AH580" s="80">
        <f>IF(ISNUMBER(B580),IF(AND(INDEX(CFG_WDAYS,WEEKDAY(INT(B580),2))="Sí",IF(D580="proMX",COUNTIFS(FER_F,INT(B580),FER_NLP,"Sí"),COUNTIFS(FER_F,INT(B580),FER_NLM,"Sí"))=0),1,0),0)</f>
        <v>0</v>
      </c>
      <c r="AI580" s="80">
        <f>IF(AC580=1,IF(AND(INDEX(CFG_WDAYS,WEEKDAY(INT(B580)+1,2))="Sí",IF(D580="proMX",COUNTIFS(FER_F,INT(B580)+1,FER_NLP,"Sí"),COUNTIFS(FER_F,INT(B580)+1,FER_NLM,"Sí"))=0),1,0),0)</f>
        <v>0</v>
      </c>
      <c r="AJ580" s="80">
        <f>IF(AC580=1,1440-Z580,AD580)</f>
        <v>0</v>
      </c>
      <c r="AK580" s="80">
        <f>IF(AND(AB580=1,AH580=1),MAX(0,MIN(IF(AC580=1,1440,AA580),CFG_WEM)-MAX(Z580,CFG_WSM)),0)</f>
        <v>0</v>
      </c>
      <c r="AL580" s="80">
        <f>IF(AND(AC580=1,AI580=1),MAX(0,MIN(AA580,CFG_WEM)-CFG_WSM),0)</f>
        <v>0</v>
      </c>
      <c r="AM580" s="80">
        <f>AK580+AL580</f>
        <v>0</v>
      </c>
      <c r="AN580" s="80">
        <f>IF(CFG_BRK="Proporcional",IF(AD580=0,0,AF580*AM580/AD580),IF(CFG_BRK="Extras primero",MIN(AM580,MAX(0,AF580-(AD580-AM580))),MIN(AF580,AM580)))</f>
        <v>0</v>
      </c>
      <c r="AO580" s="80">
        <f>AF580-AN580</f>
        <v>0</v>
      </c>
      <c r="AP580" s="80">
        <f>AM580-AN580</f>
        <v>0</v>
      </c>
      <c r="AQ580" s="80">
        <f>AD580-AM580-AO580</f>
        <v>0</v>
      </c>
      <c r="AR580" s="80">
        <f>IF(AM580=0,0,AK580-AN580*AK580/AM580)</f>
        <v>0</v>
      </c>
      <c r="AS580" s="80">
        <f>IF(AD580-AM580=0,0,(AJ580-AK580)-AO580*(AJ580-AK580)/(AD580-AM580))</f>
        <v>0</v>
      </c>
      <c r="AT580" s="80" t="str">
        <f>IF(AC580=1,INT(B580)+1,"")</f>
        <v/>
      </c>
      <c r="AU580" s="80">
        <f>IF(AND(D580="proMX",R580="Cancelled"),0,1)</f>
        <v>1</v>
      </c>
      <c r="AV580" s="80">
        <f>IF(AND(AB580=1,AU580=1),IF(COUNTIFS($D$5:D579,D580,$B$5:B579,B580,$Z$5:Z579,Z580,$AA$5:AA579,AA580,$F$5:F579,F580&amp;"",$AU$5:AU579,1)&gt;0,1,0),0)</f>
        <v>0</v>
      </c>
      <c r="AW580" s="80" t="str">
        <f>IF(AB580=1,INT(B580)*1440+Z580,"")</f>
        <v/>
      </c>
      <c r="AX580" s="80" t="str">
        <f>IF(AB580=1,AW580+AD580,"")</f>
        <v/>
      </c>
      <c r="AY580" s="80">
        <f>IF(AND(AB580=1,AV580=0,AU580=1),1,0)</f>
        <v>0</v>
      </c>
      <c r="AZ580" s="80">
        <f>IF(AY580=1,COUNTIFS(R_Emp,D580,R_SAbs,"&lt;"&amp;AX580,R_EAbs,"&gt;"&amp;AW580,R_OKey,1)-1,0)</f>
        <v>0</v>
      </c>
      <c r="BA580" s="80">
        <f>IF(AY580=1,COUNTIFS(R_Emp,"&lt;&gt;"&amp;D580,R_SAbs,"&lt;"&amp;AX580,R_EAbs,"&gt;"&amp;AW580,R_OKey,1),0)</f>
        <v>0</v>
      </c>
      <c r="BB580" s="80">
        <f>IF(AND(AB580=1,D580="proMX"),IF(AND(MOD(Z580,CFG_BLK)=0,MOD(AA580,CFG_BLK)=0,MOD(AG580,CFG_BLK)=0,AG580&gt;0),1,0),1)</f>
        <v>1</v>
      </c>
      <c r="BC580" s="80" t="str">
        <f>IF(Y580=0,"",IF(NOT(ISNUMBER(B580)),"Falta fecha o fecha inválida",IF(D580="","Falta empresa",IF(AND(D580&lt;&gt;"Malcolm",D580&lt;&gt;"proMX"),"Empresa inválida",IF(OR(INT(B580)&lt;CFG_PSTART,INT(B580)&gt;CFG_PEND),"Fecha fuera del período",IF(OR(NOT(ISNUMBER(Z580)),NOT(ISNUMBER(AA580))),"Falta hora inicio/fin o formato inválido",IF(AB580=0,"Hora inicio = hora fin",IF(AE580&lt;0,"Descanso inválido",IF(AE580&gt;=AD580,"Descanso ≥ duración",IF(AV580=1,"Registro duplicado",IF(AZ580&gt;0,"Se superpone con otro registro "&amp;D580,IF(BB580=0,"inicio, fin y duración neta deben ser múltiplos de "&amp;CFG_BLK&amp;" min",""))))))))))))</f>
        <v/>
      </c>
      <c r="BD580" s="80">
        <f>IF(AND(Y580=1,BC580=""),1,0)</f>
        <v>0</v>
      </c>
      <c r="BE580" s="80">
        <f>IF(AND(BD580=1,AU580=1),1,0)</f>
        <v>0</v>
      </c>
      <c r="BF580" s="80" t="str">
        <f>IF(AND(D580="proMX",BD580=1),IF(R580="","Draft",R580),"")</f>
        <v/>
      </c>
      <c r="BG580" s="80">
        <f>IF(BD580=1,ROUND(AG580/60,6),0)</f>
        <v>0</v>
      </c>
      <c r="BH580" s="80">
        <f>IF(BE580=1,ROUND(AG580/60,6),0)</f>
        <v>0</v>
      </c>
      <c r="BI580" s="80">
        <f>IF(BE580=1,ROUND(AP580/60,6),0)</f>
        <v>0</v>
      </c>
      <c r="BJ580" s="80">
        <f>IF(BE580=1,ROUND(AQ580/60,6),0)</f>
        <v>0</v>
      </c>
      <c r="BK580" s="80">
        <f>IF(BE580=1,ROUND((AR580+AS580)/60,6),0)</f>
        <v>0</v>
      </c>
      <c r="BL580" s="80">
        <f>ROUND(BH580-BK580,6)</f>
        <v>0</v>
      </c>
      <c r="BM580" s="80">
        <f>IF(BE580=1,ROUND(AR580/60,6),0)</f>
        <v>0</v>
      </c>
      <c r="BN580" s="80">
        <f>ROUND(BI580-BM580,6)</f>
        <v>0</v>
      </c>
      <c r="BO580" s="80">
        <f>IF(BE580=1,ROUND(AS580/60,6),0)</f>
        <v>0</v>
      </c>
      <c r="BP580" s="80">
        <f>ROUND(BJ580-BO580,6)</f>
        <v>0</v>
      </c>
      <c r="BQ580" s="80">
        <f>IF(BE580=1,AW580,0)</f>
        <v>0</v>
      </c>
      <c r="BR580" s="80">
        <f>IF(BE580=1,AX580,0)</f>
        <v>0</v>
      </c>
      <c r="BS580" s="80">
        <f>IF(AND(BE580=1,D580="Malcolm",BA580&gt;0),MIN(BH580,SUMPRODUCT((R_Emp="proMX")*(R_EN&gt;0)*((R_EN-(R_EN&gt;BR580)*(R_EN-BR580))&gt;(R_SN+(R_SN&lt;BQ580)*(BQ580-R_SN)))*((R_EN-(R_EN&gt;BR580)*(R_EN-BR580))-(R_SN+(R_SN&lt;BQ580)*(BQ580-R_SN))))/60),0)</f>
        <v>0</v>
      </c>
      <c r="BT580" s="80">
        <f>IF(AND(BE580=1,D580="proMX"),ROUND(BI580*CFG_RATE+BJ580*CFG_OTRATE,6),0)</f>
        <v>0</v>
      </c>
      <c r="BU580" s="80">
        <f>IF(AND(BD580=1,D580="proMX"),ROUND(AG580/CFG_BLK,6),0)</f>
        <v>0</v>
      </c>
      <c r="BV580" s="80" t="str">
        <f>IF(BF580="Approved",IF(ISNUMBER(T580),INT(T580),INT(B580)),"")</f>
        <v/>
      </c>
      <c r="BW580" s="80">
        <f>IF(ISNUMBER(B580),IF(DB_MON="Todos",1,IF(AND(INT(B580)&gt;=DB_MS,INT(B580)&lt;=DB_ME),1,0)),0)</f>
        <v>0</v>
      </c>
      <c r="BX580" s="80">
        <f>IF(DB_PROJ="Todos",1,IF(E580&amp;""=DB_PROJ&amp;"",1,0))</f>
        <v>1</v>
      </c>
      <c r="BY580" s="80">
        <f>BW580*BX580</f>
        <v>0</v>
      </c>
      <c r="BZ580" s="80" t="str">
        <f>IF(Y580=1,F580&amp;IF(AND(F580&amp;""&lt;&gt;"",E580&amp;""&lt;&gt;"")," · ","")&amp;E580,"")</f>
        <v/>
      </c>
      <c r="CA580" s="80" t="str">
        <f>IF(AND(BD580=1,E580&amp;""&lt;&gt;""),IF(COUNTIFS($E$5:E579,E580,$BD$5:BD579,1)=0,MAX($CA$5:CA579)+1,""),"")</f>
        <v/>
      </c>
      <c r="CB580" s="80" t="str">
        <f>IF(AND(BE580=1,D580="Malcolm",E580&amp;""&lt;&gt;""),IF(COUNTIFS($D$5:D579,"Malcolm",$E$5:E579,E580,$BE$5:BE579,1)=0,MAX($CB$5:CB579)+1,""),"")</f>
        <v/>
      </c>
      <c r="CC580" s="80" t="str">
        <f>IF(AND(BD580=1,D580="proMX",E580&amp;""&lt;&gt;""),IF(COUNTIFS($D$5:D579,"proMX",$E$5:E579,E580,$BD$5:BD579,1)=0,MAX($CC$5:CC579)+1,""),"")</f>
        <v/>
      </c>
      <c r="CD580" s="80" t="str">
        <f>IF(AND(BE580=1,D580="Malcolm",F580&amp;""&lt;&gt;""),IF(COUNTIFS($D$5:D579,"Malcolm",$F$5:F579,F580,$BE$5:BE579,1)=0,MAX($CD$5:CD579)+1,""),"")</f>
        <v/>
      </c>
      <c r="CE580" s="80" t="str">
        <f>IF(AND(BD580=1,D580="proMX",F580&amp;""&lt;&gt;""),IF(COUNTIFS($D$5:D579,"proMX",$F$5:F579,F580,$BD$5:BD579,1)=0,MAX($CE$5:CE579)+1,""),"")</f>
        <v/>
      </c>
      <c r="CF580" s="80" t="str">
        <f>IF(AND(D580="proMX",BD580=1),IF(OR(BF580="Draft",BF580="Submitted",BF580="Returned",BF580="Recall Requested"),MAX($CF$5:CF579)+1,""),"")</f>
        <v/>
      </c>
      <c r="CG580" s="80">
        <f>IF(BD580=0,0,IF(D580="Malcolm",1,MATCH(BF580,{"Draft","Submitted","Approved","Returned","Recall Requested","Cancelled"},0)+1))</f>
        <v>0</v>
      </c>
      <c r="CH580" s="80">
        <f>IF(AND(BF580="Submitted",ISNUMBER(V580)),IF(V580&gt;CFG_MAXD,1,0),0)</f>
        <v>0</v>
      </c>
    </row>
    <row r="581">
      <c r="A581" s="71" t="str">
        <f>IF(Y581=1,ROW()-5,"")</f>
        <v/>
      </c>
      <c r="B581" s="72" t="n"/>
      <c r="C581" s="71" t="str">
        <f>IF(ISNUMBER(B581),CHOOSE(WEEKDAY(B581,2),"Lun","Mar","Mié","Jue","Vie","Sáb","Dom"),"")</f>
        <v/>
      </c>
      <c r="D581" s="73" t="n"/>
      <c r="E581" s="74" t="n"/>
      <c r="F581" s="74" t="n"/>
      <c r="G581" s="74" t="n"/>
      <c r="H581" s="75" t="n"/>
      <c r="I581" s="75" t="n"/>
      <c r="J581" s="76" t="n"/>
      <c r="K581" s="77" t="str">
        <f>IF(AB581=1,ROUND(AG581/60,4),"")</f>
        <v/>
      </c>
      <c r="L581" s="77" t="str">
        <f>IF(BD581=1,ROUND(AP581/60,4),"")</f>
        <v/>
      </c>
      <c r="M581" s="77" t="str">
        <f>IF(BD581=1,ROUND(AQ581/60,4),"")</f>
        <v/>
      </c>
      <c r="N581" s="71" t="str">
        <f>IF(AND(D581="proMX",AB581=1),ROUND(AG581/CFG_BLK,2),"")</f>
        <v/>
      </c>
      <c r="O581" s="77" t="str">
        <f>IF(D581="proMX",IF(BD581=1,ROUND(AG581/60,4),0),"")</f>
        <v/>
      </c>
      <c r="P581" s="78" t="str">
        <f>IF(Y581=0,"",IF(BD581=1,"OK",IF(D581="proMX","Revisar bloques: ","Revisar: ")&amp;BC581))</f>
        <v/>
      </c>
      <c r="Q581" s="78" t="str">
        <f>IF(NOT(ISNUMBER(B581)),"",IF(COUNTIFS(FER_F,INT(B581))&gt;0,"Feriado"&amp;IF(AH581=1," (laborable)"," (no laborable)"),IF(AH581=1,"Laborable",IF(WEEKDAY(B581,2)&gt;5,"Fin de semana","No laborable"))))</f>
        <v/>
      </c>
      <c r="R581" s="73" t="n"/>
      <c r="S581" s="72" t="n"/>
      <c r="T581" s="72" t="n"/>
      <c r="U581" s="74" t="n"/>
      <c r="V581" s="79" t="str">
        <f>IF(AND(D581="proMX",OR(R581="Submitted",R581="Recall Requested"),ISNUMBER(S581)),CFG_TODAY-INT(S581),"")</f>
        <v/>
      </c>
      <c r="W581" s="78" t="str">
        <f>IF(BD581=0,"",IF(BA581&gt;0,"⚠ Se superpone con un registro de la otra empresa",IF(D581="Malcolm",IF(COUNTA(R581,S581,T581)&gt;0,"Estado/fechas proMX se ignoran en Malcolm",""),IF(BF581="Cancelled","Cancelado: excluido de totales",IF(R581="","Sin estado: se trata como Draft",IF(BF581="Submitted",IF(ISNUMBER(V581),IF(V581&gt;CFG_MAXD,"⚠ "&amp;V581&amp;" días en Submitted (máx. "&amp;CFG_MAXD&amp;")",""),"Falta fecha de envío"),IF(BF581="Returned","⚠ Devuelto: corregir y reenviar",IF(BF581="Recall Requested","Retirada solicitada: pendiente",IF(AND(BF581="Approved",NOT(ISNUMBER(T581))),"Falta fecha de aprobación",IF(AND(ISNUMBER(S581),ISNUMBER(T581),T581&lt;S581),"Aprobación anterior al envío","")))))))))</f>
        <v/>
      </c>
      <c r="Y581" s="80">
        <f>IF(COUNTA(B581,D581,E581,F581,G581,H581,I581,J581,R581,S581,T581)&gt;0,1,0)</f>
        <v>0</v>
      </c>
      <c r="Z581" s="80" t="str">
        <f>IF(AND(ISNUMBER(H581),H581&gt;=0,H581&lt;1),ROUND(H581*1440,0),"")</f>
        <v/>
      </c>
      <c r="AA581" s="80" t="str">
        <f>IF(AND(ISNUMBER(I581),I581&gt;=0,I581&lt;1),ROUND(I581*1440,0),"")</f>
        <v/>
      </c>
      <c r="AB581" s="80">
        <f>IF(AND(ISNUMBER(B581),D581&lt;&gt;"",ISNUMBER(Z581),ISNUMBER(AA581)),IF(Z581=AA581,0,1),0)</f>
        <v>0</v>
      </c>
      <c r="AC581" s="80">
        <f>IF(AB581=1,IF(AA581&lt;Z581,1,0),0)</f>
        <v>0</v>
      </c>
      <c r="AD581" s="80">
        <f>IF(AB581=1,IF(AC581=1,1440-Z581+AA581,AA581-Z581),0)</f>
        <v>0</v>
      </c>
      <c r="AE581" s="80">
        <f>IF(J581="",0,IF(ISNUMBER(J581),J581,-1))</f>
        <v>0</v>
      </c>
      <c r="AF581" s="80">
        <f>MIN(MAX(0,AE581),AD581)</f>
        <v>0</v>
      </c>
      <c r="AG581" s="80">
        <f>MAX(0,AD581-MAX(0,AE581))</f>
        <v>0</v>
      </c>
      <c r="AH581" s="80">
        <f>IF(ISNUMBER(B581),IF(AND(INDEX(CFG_WDAYS,WEEKDAY(INT(B581),2))="Sí",IF(D581="proMX",COUNTIFS(FER_F,INT(B581),FER_NLP,"Sí"),COUNTIFS(FER_F,INT(B581),FER_NLM,"Sí"))=0),1,0),0)</f>
        <v>0</v>
      </c>
      <c r="AI581" s="80">
        <f>IF(AC581=1,IF(AND(INDEX(CFG_WDAYS,WEEKDAY(INT(B581)+1,2))="Sí",IF(D581="proMX",COUNTIFS(FER_F,INT(B581)+1,FER_NLP,"Sí"),COUNTIFS(FER_F,INT(B581)+1,FER_NLM,"Sí"))=0),1,0),0)</f>
        <v>0</v>
      </c>
      <c r="AJ581" s="80">
        <f>IF(AC581=1,1440-Z581,AD581)</f>
        <v>0</v>
      </c>
      <c r="AK581" s="80">
        <f>IF(AND(AB581=1,AH581=1),MAX(0,MIN(IF(AC581=1,1440,AA581),CFG_WEM)-MAX(Z581,CFG_WSM)),0)</f>
        <v>0</v>
      </c>
      <c r="AL581" s="80">
        <f>IF(AND(AC581=1,AI581=1),MAX(0,MIN(AA581,CFG_WEM)-CFG_WSM),0)</f>
        <v>0</v>
      </c>
      <c r="AM581" s="80">
        <f>AK581+AL581</f>
        <v>0</v>
      </c>
      <c r="AN581" s="80">
        <f>IF(CFG_BRK="Proporcional",IF(AD581=0,0,AF581*AM581/AD581),IF(CFG_BRK="Extras primero",MIN(AM581,MAX(0,AF581-(AD581-AM581))),MIN(AF581,AM581)))</f>
        <v>0</v>
      </c>
      <c r="AO581" s="80">
        <f>AF581-AN581</f>
        <v>0</v>
      </c>
      <c r="AP581" s="80">
        <f>AM581-AN581</f>
        <v>0</v>
      </c>
      <c r="AQ581" s="80">
        <f>AD581-AM581-AO581</f>
        <v>0</v>
      </c>
      <c r="AR581" s="80">
        <f>IF(AM581=0,0,AK581-AN581*AK581/AM581)</f>
        <v>0</v>
      </c>
      <c r="AS581" s="80">
        <f>IF(AD581-AM581=0,0,(AJ581-AK581)-AO581*(AJ581-AK581)/(AD581-AM581))</f>
        <v>0</v>
      </c>
      <c r="AT581" s="80" t="str">
        <f>IF(AC581=1,INT(B581)+1,"")</f>
        <v/>
      </c>
      <c r="AU581" s="80">
        <f>IF(AND(D581="proMX",R581="Cancelled"),0,1)</f>
        <v>1</v>
      </c>
      <c r="AV581" s="80">
        <f>IF(AND(AB581=1,AU581=1),IF(COUNTIFS($D$5:D580,D581,$B$5:B580,B581,$Z$5:Z580,Z581,$AA$5:AA580,AA581,$F$5:F580,F581&amp;"",$AU$5:AU580,1)&gt;0,1,0),0)</f>
        <v>0</v>
      </c>
      <c r="AW581" s="80" t="str">
        <f>IF(AB581=1,INT(B581)*1440+Z581,"")</f>
        <v/>
      </c>
      <c r="AX581" s="80" t="str">
        <f>IF(AB581=1,AW581+AD581,"")</f>
        <v/>
      </c>
      <c r="AY581" s="80">
        <f>IF(AND(AB581=1,AV581=0,AU581=1),1,0)</f>
        <v>0</v>
      </c>
      <c r="AZ581" s="80">
        <f>IF(AY581=1,COUNTIFS(R_Emp,D581,R_SAbs,"&lt;"&amp;AX581,R_EAbs,"&gt;"&amp;AW581,R_OKey,1)-1,0)</f>
        <v>0</v>
      </c>
      <c r="BA581" s="80">
        <f>IF(AY581=1,COUNTIFS(R_Emp,"&lt;&gt;"&amp;D581,R_SAbs,"&lt;"&amp;AX581,R_EAbs,"&gt;"&amp;AW581,R_OKey,1),0)</f>
        <v>0</v>
      </c>
      <c r="BB581" s="80">
        <f>IF(AND(AB581=1,D581="proMX"),IF(AND(MOD(Z581,CFG_BLK)=0,MOD(AA581,CFG_BLK)=0,MOD(AG581,CFG_BLK)=0,AG581&gt;0),1,0),1)</f>
        <v>1</v>
      </c>
      <c r="BC581" s="80" t="str">
        <f>IF(Y581=0,"",IF(NOT(ISNUMBER(B581)),"Falta fecha o fecha inválida",IF(D581="","Falta empresa",IF(AND(D581&lt;&gt;"Malcolm",D581&lt;&gt;"proMX"),"Empresa inválida",IF(OR(INT(B581)&lt;CFG_PSTART,INT(B581)&gt;CFG_PEND),"Fecha fuera del período",IF(OR(NOT(ISNUMBER(Z581)),NOT(ISNUMBER(AA581))),"Falta hora inicio/fin o formato inválido",IF(AB581=0,"Hora inicio = hora fin",IF(AE581&lt;0,"Descanso inválido",IF(AE581&gt;=AD581,"Descanso ≥ duración",IF(AV581=1,"Registro duplicado",IF(AZ581&gt;0,"Se superpone con otro registro "&amp;D581,IF(BB581=0,"inicio, fin y duración neta deben ser múltiplos de "&amp;CFG_BLK&amp;" min",""))))))))))))</f>
        <v/>
      </c>
      <c r="BD581" s="80">
        <f>IF(AND(Y581=1,BC581=""),1,0)</f>
        <v>0</v>
      </c>
      <c r="BE581" s="80">
        <f>IF(AND(BD581=1,AU581=1),1,0)</f>
        <v>0</v>
      </c>
      <c r="BF581" s="80" t="str">
        <f>IF(AND(D581="proMX",BD581=1),IF(R581="","Draft",R581),"")</f>
        <v/>
      </c>
      <c r="BG581" s="80">
        <f>IF(BD581=1,ROUND(AG581/60,6),0)</f>
        <v>0</v>
      </c>
      <c r="BH581" s="80">
        <f>IF(BE581=1,ROUND(AG581/60,6),0)</f>
        <v>0</v>
      </c>
      <c r="BI581" s="80">
        <f>IF(BE581=1,ROUND(AP581/60,6),0)</f>
        <v>0</v>
      </c>
      <c r="BJ581" s="80">
        <f>IF(BE581=1,ROUND(AQ581/60,6),0)</f>
        <v>0</v>
      </c>
      <c r="BK581" s="80">
        <f>IF(BE581=1,ROUND((AR581+AS581)/60,6),0)</f>
        <v>0</v>
      </c>
      <c r="BL581" s="80">
        <f>ROUND(BH581-BK581,6)</f>
        <v>0</v>
      </c>
      <c r="BM581" s="80">
        <f>IF(BE581=1,ROUND(AR581/60,6),0)</f>
        <v>0</v>
      </c>
      <c r="BN581" s="80">
        <f>ROUND(BI581-BM581,6)</f>
        <v>0</v>
      </c>
      <c r="BO581" s="80">
        <f>IF(BE581=1,ROUND(AS581/60,6),0)</f>
        <v>0</v>
      </c>
      <c r="BP581" s="80">
        <f>ROUND(BJ581-BO581,6)</f>
        <v>0</v>
      </c>
      <c r="BQ581" s="80">
        <f>IF(BE581=1,AW581,0)</f>
        <v>0</v>
      </c>
      <c r="BR581" s="80">
        <f>IF(BE581=1,AX581,0)</f>
        <v>0</v>
      </c>
      <c r="BS581" s="80">
        <f>IF(AND(BE581=1,D581="Malcolm",BA581&gt;0),MIN(BH581,SUMPRODUCT((R_Emp="proMX")*(R_EN&gt;0)*((R_EN-(R_EN&gt;BR581)*(R_EN-BR581))&gt;(R_SN+(R_SN&lt;BQ581)*(BQ581-R_SN)))*((R_EN-(R_EN&gt;BR581)*(R_EN-BR581))-(R_SN+(R_SN&lt;BQ581)*(BQ581-R_SN))))/60),0)</f>
        <v>0</v>
      </c>
      <c r="BT581" s="80">
        <f>IF(AND(BE581=1,D581="proMX"),ROUND(BI581*CFG_RATE+BJ581*CFG_OTRATE,6),0)</f>
        <v>0</v>
      </c>
      <c r="BU581" s="80">
        <f>IF(AND(BD581=1,D581="proMX"),ROUND(AG581/CFG_BLK,6),0)</f>
        <v>0</v>
      </c>
      <c r="BV581" s="80" t="str">
        <f>IF(BF581="Approved",IF(ISNUMBER(T581),INT(T581),INT(B581)),"")</f>
        <v/>
      </c>
      <c r="BW581" s="80">
        <f>IF(ISNUMBER(B581),IF(DB_MON="Todos",1,IF(AND(INT(B581)&gt;=DB_MS,INT(B581)&lt;=DB_ME),1,0)),0)</f>
        <v>0</v>
      </c>
      <c r="BX581" s="80">
        <f>IF(DB_PROJ="Todos",1,IF(E581&amp;""=DB_PROJ&amp;"",1,0))</f>
        <v>1</v>
      </c>
      <c r="BY581" s="80">
        <f>BW581*BX581</f>
        <v>0</v>
      </c>
      <c r="BZ581" s="80" t="str">
        <f>IF(Y581=1,F581&amp;IF(AND(F581&amp;""&lt;&gt;"",E581&amp;""&lt;&gt;"")," · ","")&amp;E581,"")</f>
        <v/>
      </c>
      <c r="CA581" s="80" t="str">
        <f>IF(AND(BD581=1,E581&amp;""&lt;&gt;""),IF(COUNTIFS($E$5:E580,E581,$BD$5:BD580,1)=0,MAX($CA$5:CA580)+1,""),"")</f>
        <v/>
      </c>
      <c r="CB581" s="80" t="str">
        <f>IF(AND(BE581=1,D581="Malcolm",E581&amp;""&lt;&gt;""),IF(COUNTIFS($D$5:D580,"Malcolm",$E$5:E580,E581,$BE$5:BE580,1)=0,MAX($CB$5:CB580)+1,""),"")</f>
        <v/>
      </c>
      <c r="CC581" s="80" t="str">
        <f>IF(AND(BD581=1,D581="proMX",E581&amp;""&lt;&gt;""),IF(COUNTIFS($D$5:D580,"proMX",$E$5:E580,E581,$BD$5:BD580,1)=0,MAX($CC$5:CC580)+1,""),"")</f>
        <v/>
      </c>
      <c r="CD581" s="80" t="str">
        <f>IF(AND(BE581=1,D581="Malcolm",F581&amp;""&lt;&gt;""),IF(COUNTIFS($D$5:D580,"Malcolm",$F$5:F580,F581,$BE$5:BE580,1)=0,MAX($CD$5:CD580)+1,""),"")</f>
        <v/>
      </c>
      <c r="CE581" s="80" t="str">
        <f>IF(AND(BD581=1,D581="proMX",F581&amp;""&lt;&gt;""),IF(COUNTIFS($D$5:D580,"proMX",$F$5:F580,F581,$BD$5:BD580,1)=0,MAX($CE$5:CE580)+1,""),"")</f>
        <v/>
      </c>
      <c r="CF581" s="80" t="str">
        <f>IF(AND(D581="proMX",BD581=1),IF(OR(BF581="Draft",BF581="Submitted",BF581="Returned",BF581="Recall Requested"),MAX($CF$5:CF580)+1,""),"")</f>
        <v/>
      </c>
      <c r="CG581" s="80">
        <f>IF(BD581=0,0,IF(D581="Malcolm",1,MATCH(BF581,{"Draft","Submitted","Approved","Returned","Recall Requested","Cancelled"},0)+1))</f>
        <v>0</v>
      </c>
      <c r="CH581" s="80">
        <f>IF(AND(BF581="Submitted",ISNUMBER(V581)),IF(V581&gt;CFG_MAXD,1,0),0)</f>
        <v>0</v>
      </c>
    </row>
    <row r="582">
      <c r="A582" s="71" t="str">
        <f>IF(Y582=1,ROW()-5,"")</f>
        <v/>
      </c>
      <c r="B582" s="72" t="n"/>
      <c r="C582" s="71" t="str">
        <f>IF(ISNUMBER(B582),CHOOSE(WEEKDAY(B582,2),"Lun","Mar","Mié","Jue","Vie","Sáb","Dom"),"")</f>
        <v/>
      </c>
      <c r="D582" s="73" t="n"/>
      <c r="E582" s="74" t="n"/>
      <c r="F582" s="74" t="n"/>
      <c r="G582" s="74" t="n"/>
      <c r="H582" s="75" t="n"/>
      <c r="I582" s="75" t="n"/>
      <c r="J582" s="76" t="n"/>
      <c r="K582" s="77" t="str">
        <f>IF(AB582=1,ROUND(AG582/60,4),"")</f>
        <v/>
      </c>
      <c r="L582" s="77" t="str">
        <f>IF(BD582=1,ROUND(AP582/60,4),"")</f>
        <v/>
      </c>
      <c r="M582" s="77" t="str">
        <f>IF(BD582=1,ROUND(AQ582/60,4),"")</f>
        <v/>
      </c>
      <c r="N582" s="71" t="str">
        <f>IF(AND(D582="proMX",AB582=1),ROUND(AG582/CFG_BLK,2),"")</f>
        <v/>
      </c>
      <c r="O582" s="77" t="str">
        <f>IF(D582="proMX",IF(BD582=1,ROUND(AG582/60,4),0),"")</f>
        <v/>
      </c>
      <c r="P582" s="78" t="str">
        <f>IF(Y582=0,"",IF(BD582=1,"OK",IF(D582="proMX","Revisar bloques: ","Revisar: ")&amp;BC582))</f>
        <v/>
      </c>
      <c r="Q582" s="78" t="str">
        <f>IF(NOT(ISNUMBER(B582)),"",IF(COUNTIFS(FER_F,INT(B582))&gt;0,"Feriado"&amp;IF(AH582=1," (laborable)"," (no laborable)"),IF(AH582=1,"Laborable",IF(WEEKDAY(B582,2)&gt;5,"Fin de semana","No laborable"))))</f>
        <v/>
      </c>
      <c r="R582" s="73" t="n"/>
      <c r="S582" s="72" t="n"/>
      <c r="T582" s="72" t="n"/>
      <c r="U582" s="74" t="n"/>
      <c r="V582" s="79" t="str">
        <f>IF(AND(D582="proMX",OR(R582="Submitted",R582="Recall Requested"),ISNUMBER(S582)),CFG_TODAY-INT(S582),"")</f>
        <v/>
      </c>
      <c r="W582" s="78" t="str">
        <f>IF(BD582=0,"",IF(BA582&gt;0,"⚠ Se superpone con un registro de la otra empresa",IF(D582="Malcolm",IF(COUNTA(R582,S582,T582)&gt;0,"Estado/fechas proMX se ignoran en Malcolm",""),IF(BF582="Cancelled","Cancelado: excluido de totales",IF(R582="","Sin estado: se trata como Draft",IF(BF582="Submitted",IF(ISNUMBER(V582),IF(V582&gt;CFG_MAXD,"⚠ "&amp;V582&amp;" días en Submitted (máx. "&amp;CFG_MAXD&amp;")",""),"Falta fecha de envío"),IF(BF582="Returned","⚠ Devuelto: corregir y reenviar",IF(BF582="Recall Requested","Retirada solicitada: pendiente",IF(AND(BF582="Approved",NOT(ISNUMBER(T582))),"Falta fecha de aprobación",IF(AND(ISNUMBER(S582),ISNUMBER(T582),T582&lt;S582),"Aprobación anterior al envío","")))))))))</f>
        <v/>
      </c>
      <c r="Y582" s="80">
        <f>IF(COUNTA(B582,D582,E582,F582,G582,H582,I582,J582,R582,S582,T582)&gt;0,1,0)</f>
        <v>0</v>
      </c>
      <c r="Z582" s="80" t="str">
        <f>IF(AND(ISNUMBER(H582),H582&gt;=0,H582&lt;1),ROUND(H582*1440,0),"")</f>
        <v/>
      </c>
      <c r="AA582" s="80" t="str">
        <f>IF(AND(ISNUMBER(I582),I582&gt;=0,I582&lt;1),ROUND(I582*1440,0),"")</f>
        <v/>
      </c>
      <c r="AB582" s="80">
        <f>IF(AND(ISNUMBER(B582),D582&lt;&gt;"",ISNUMBER(Z582),ISNUMBER(AA582)),IF(Z582=AA582,0,1),0)</f>
        <v>0</v>
      </c>
      <c r="AC582" s="80">
        <f>IF(AB582=1,IF(AA582&lt;Z582,1,0),0)</f>
        <v>0</v>
      </c>
      <c r="AD582" s="80">
        <f>IF(AB582=1,IF(AC582=1,1440-Z582+AA582,AA582-Z582),0)</f>
        <v>0</v>
      </c>
      <c r="AE582" s="80">
        <f>IF(J582="",0,IF(ISNUMBER(J582),J582,-1))</f>
        <v>0</v>
      </c>
      <c r="AF582" s="80">
        <f>MIN(MAX(0,AE582),AD582)</f>
        <v>0</v>
      </c>
      <c r="AG582" s="80">
        <f>MAX(0,AD582-MAX(0,AE582))</f>
        <v>0</v>
      </c>
      <c r="AH582" s="80">
        <f>IF(ISNUMBER(B582),IF(AND(INDEX(CFG_WDAYS,WEEKDAY(INT(B582),2))="Sí",IF(D582="proMX",COUNTIFS(FER_F,INT(B582),FER_NLP,"Sí"),COUNTIFS(FER_F,INT(B582),FER_NLM,"Sí"))=0),1,0),0)</f>
        <v>0</v>
      </c>
      <c r="AI582" s="80">
        <f>IF(AC582=1,IF(AND(INDEX(CFG_WDAYS,WEEKDAY(INT(B582)+1,2))="Sí",IF(D582="proMX",COUNTIFS(FER_F,INT(B582)+1,FER_NLP,"Sí"),COUNTIFS(FER_F,INT(B582)+1,FER_NLM,"Sí"))=0),1,0),0)</f>
        <v>0</v>
      </c>
      <c r="AJ582" s="80">
        <f>IF(AC582=1,1440-Z582,AD582)</f>
        <v>0</v>
      </c>
      <c r="AK582" s="80">
        <f>IF(AND(AB582=1,AH582=1),MAX(0,MIN(IF(AC582=1,1440,AA582),CFG_WEM)-MAX(Z582,CFG_WSM)),0)</f>
        <v>0</v>
      </c>
      <c r="AL582" s="80">
        <f>IF(AND(AC582=1,AI582=1),MAX(0,MIN(AA582,CFG_WEM)-CFG_WSM),0)</f>
        <v>0</v>
      </c>
      <c r="AM582" s="80">
        <f>AK582+AL582</f>
        <v>0</v>
      </c>
      <c r="AN582" s="80">
        <f>IF(CFG_BRK="Proporcional",IF(AD582=0,0,AF582*AM582/AD582),IF(CFG_BRK="Extras primero",MIN(AM582,MAX(0,AF582-(AD582-AM582))),MIN(AF582,AM582)))</f>
        <v>0</v>
      </c>
      <c r="AO582" s="80">
        <f>AF582-AN582</f>
        <v>0</v>
      </c>
      <c r="AP582" s="80">
        <f>AM582-AN582</f>
        <v>0</v>
      </c>
      <c r="AQ582" s="80">
        <f>AD582-AM582-AO582</f>
        <v>0</v>
      </c>
      <c r="AR582" s="80">
        <f>IF(AM582=0,0,AK582-AN582*AK582/AM582)</f>
        <v>0</v>
      </c>
      <c r="AS582" s="80">
        <f>IF(AD582-AM582=0,0,(AJ582-AK582)-AO582*(AJ582-AK582)/(AD582-AM582))</f>
        <v>0</v>
      </c>
      <c r="AT582" s="80" t="str">
        <f>IF(AC582=1,INT(B582)+1,"")</f>
        <v/>
      </c>
      <c r="AU582" s="80">
        <f>IF(AND(D582="proMX",R582="Cancelled"),0,1)</f>
        <v>1</v>
      </c>
      <c r="AV582" s="80">
        <f>IF(AND(AB582=1,AU582=1),IF(COUNTIFS($D$5:D581,D582,$B$5:B581,B582,$Z$5:Z581,Z582,$AA$5:AA581,AA582,$F$5:F581,F582&amp;"",$AU$5:AU581,1)&gt;0,1,0),0)</f>
        <v>0</v>
      </c>
      <c r="AW582" s="80" t="str">
        <f>IF(AB582=1,INT(B582)*1440+Z582,"")</f>
        <v/>
      </c>
      <c r="AX582" s="80" t="str">
        <f>IF(AB582=1,AW582+AD582,"")</f>
        <v/>
      </c>
      <c r="AY582" s="80">
        <f>IF(AND(AB582=1,AV582=0,AU582=1),1,0)</f>
        <v>0</v>
      </c>
      <c r="AZ582" s="80">
        <f>IF(AY582=1,COUNTIFS(R_Emp,D582,R_SAbs,"&lt;"&amp;AX582,R_EAbs,"&gt;"&amp;AW582,R_OKey,1)-1,0)</f>
        <v>0</v>
      </c>
      <c r="BA582" s="80">
        <f>IF(AY582=1,COUNTIFS(R_Emp,"&lt;&gt;"&amp;D582,R_SAbs,"&lt;"&amp;AX582,R_EAbs,"&gt;"&amp;AW582,R_OKey,1),0)</f>
        <v>0</v>
      </c>
      <c r="BB582" s="80">
        <f>IF(AND(AB582=1,D582="proMX"),IF(AND(MOD(Z582,CFG_BLK)=0,MOD(AA582,CFG_BLK)=0,MOD(AG582,CFG_BLK)=0,AG582&gt;0),1,0),1)</f>
        <v>1</v>
      </c>
      <c r="BC582" s="80" t="str">
        <f>IF(Y582=0,"",IF(NOT(ISNUMBER(B582)),"Falta fecha o fecha inválida",IF(D582="","Falta empresa",IF(AND(D582&lt;&gt;"Malcolm",D582&lt;&gt;"proMX"),"Empresa inválida",IF(OR(INT(B582)&lt;CFG_PSTART,INT(B582)&gt;CFG_PEND),"Fecha fuera del período",IF(OR(NOT(ISNUMBER(Z582)),NOT(ISNUMBER(AA582))),"Falta hora inicio/fin o formato inválido",IF(AB582=0,"Hora inicio = hora fin",IF(AE582&lt;0,"Descanso inválido",IF(AE582&gt;=AD582,"Descanso ≥ duración",IF(AV582=1,"Registro duplicado",IF(AZ582&gt;0,"Se superpone con otro registro "&amp;D582,IF(BB582=0,"inicio, fin y duración neta deben ser múltiplos de "&amp;CFG_BLK&amp;" min",""))))))))))))</f>
        <v/>
      </c>
      <c r="BD582" s="80">
        <f>IF(AND(Y582=1,BC582=""),1,0)</f>
        <v>0</v>
      </c>
      <c r="BE582" s="80">
        <f>IF(AND(BD582=1,AU582=1),1,0)</f>
        <v>0</v>
      </c>
      <c r="BF582" s="80" t="str">
        <f>IF(AND(D582="proMX",BD582=1),IF(R582="","Draft",R582),"")</f>
        <v/>
      </c>
      <c r="BG582" s="80">
        <f>IF(BD582=1,ROUND(AG582/60,6),0)</f>
        <v>0</v>
      </c>
      <c r="BH582" s="80">
        <f>IF(BE582=1,ROUND(AG582/60,6),0)</f>
        <v>0</v>
      </c>
      <c r="BI582" s="80">
        <f>IF(BE582=1,ROUND(AP582/60,6),0)</f>
        <v>0</v>
      </c>
      <c r="BJ582" s="80">
        <f>IF(BE582=1,ROUND(AQ582/60,6),0)</f>
        <v>0</v>
      </c>
      <c r="BK582" s="80">
        <f>IF(BE582=1,ROUND((AR582+AS582)/60,6),0)</f>
        <v>0</v>
      </c>
      <c r="BL582" s="80">
        <f>ROUND(BH582-BK582,6)</f>
        <v>0</v>
      </c>
      <c r="BM582" s="80">
        <f>IF(BE582=1,ROUND(AR582/60,6),0)</f>
        <v>0</v>
      </c>
      <c r="BN582" s="80">
        <f>ROUND(BI582-BM582,6)</f>
        <v>0</v>
      </c>
      <c r="BO582" s="80">
        <f>IF(BE582=1,ROUND(AS582/60,6),0)</f>
        <v>0</v>
      </c>
      <c r="BP582" s="80">
        <f>ROUND(BJ582-BO582,6)</f>
        <v>0</v>
      </c>
      <c r="BQ582" s="80">
        <f>IF(BE582=1,AW582,0)</f>
        <v>0</v>
      </c>
      <c r="BR582" s="80">
        <f>IF(BE582=1,AX582,0)</f>
        <v>0</v>
      </c>
      <c r="BS582" s="80">
        <f>IF(AND(BE582=1,D582="Malcolm",BA582&gt;0),MIN(BH582,SUMPRODUCT((R_Emp="proMX")*(R_EN&gt;0)*((R_EN-(R_EN&gt;BR582)*(R_EN-BR582))&gt;(R_SN+(R_SN&lt;BQ582)*(BQ582-R_SN)))*((R_EN-(R_EN&gt;BR582)*(R_EN-BR582))-(R_SN+(R_SN&lt;BQ582)*(BQ582-R_SN))))/60),0)</f>
        <v>0</v>
      </c>
      <c r="BT582" s="80">
        <f>IF(AND(BE582=1,D582="proMX"),ROUND(BI582*CFG_RATE+BJ582*CFG_OTRATE,6),0)</f>
        <v>0</v>
      </c>
      <c r="BU582" s="80">
        <f>IF(AND(BD582=1,D582="proMX"),ROUND(AG582/CFG_BLK,6),0)</f>
        <v>0</v>
      </c>
      <c r="BV582" s="80" t="str">
        <f>IF(BF582="Approved",IF(ISNUMBER(T582),INT(T582),INT(B582)),"")</f>
        <v/>
      </c>
      <c r="BW582" s="80">
        <f>IF(ISNUMBER(B582),IF(DB_MON="Todos",1,IF(AND(INT(B582)&gt;=DB_MS,INT(B582)&lt;=DB_ME),1,0)),0)</f>
        <v>0</v>
      </c>
      <c r="BX582" s="80">
        <f>IF(DB_PROJ="Todos",1,IF(E582&amp;""=DB_PROJ&amp;"",1,0))</f>
        <v>1</v>
      </c>
      <c r="BY582" s="80">
        <f>BW582*BX582</f>
        <v>0</v>
      </c>
      <c r="BZ582" s="80" t="str">
        <f>IF(Y582=1,F582&amp;IF(AND(F582&amp;""&lt;&gt;"",E582&amp;""&lt;&gt;"")," · ","")&amp;E582,"")</f>
        <v/>
      </c>
      <c r="CA582" s="80" t="str">
        <f>IF(AND(BD582=1,E582&amp;""&lt;&gt;""),IF(COUNTIFS($E$5:E581,E582,$BD$5:BD581,1)=0,MAX($CA$5:CA581)+1,""),"")</f>
        <v/>
      </c>
      <c r="CB582" s="80" t="str">
        <f>IF(AND(BE582=1,D582="Malcolm",E582&amp;""&lt;&gt;""),IF(COUNTIFS($D$5:D581,"Malcolm",$E$5:E581,E582,$BE$5:BE581,1)=0,MAX($CB$5:CB581)+1,""),"")</f>
        <v/>
      </c>
      <c r="CC582" s="80" t="str">
        <f>IF(AND(BD582=1,D582="proMX",E582&amp;""&lt;&gt;""),IF(COUNTIFS($D$5:D581,"proMX",$E$5:E581,E582,$BD$5:BD581,1)=0,MAX($CC$5:CC581)+1,""),"")</f>
        <v/>
      </c>
      <c r="CD582" s="80" t="str">
        <f>IF(AND(BE582=1,D582="Malcolm",F582&amp;""&lt;&gt;""),IF(COUNTIFS($D$5:D581,"Malcolm",$F$5:F581,F582,$BE$5:BE581,1)=0,MAX($CD$5:CD581)+1,""),"")</f>
        <v/>
      </c>
      <c r="CE582" s="80" t="str">
        <f>IF(AND(BD582=1,D582="proMX",F582&amp;""&lt;&gt;""),IF(COUNTIFS($D$5:D581,"proMX",$F$5:F581,F582,$BD$5:BD581,1)=0,MAX($CE$5:CE581)+1,""),"")</f>
        <v/>
      </c>
      <c r="CF582" s="80" t="str">
        <f>IF(AND(D582="proMX",BD582=1),IF(OR(BF582="Draft",BF582="Submitted",BF582="Returned",BF582="Recall Requested"),MAX($CF$5:CF581)+1,""),"")</f>
        <v/>
      </c>
      <c r="CG582" s="80">
        <f>IF(BD582=0,0,IF(D582="Malcolm",1,MATCH(BF582,{"Draft","Submitted","Approved","Returned","Recall Requested","Cancelled"},0)+1))</f>
        <v>0</v>
      </c>
      <c r="CH582" s="80">
        <f>IF(AND(BF582="Submitted",ISNUMBER(V582)),IF(V582&gt;CFG_MAXD,1,0),0)</f>
        <v>0</v>
      </c>
    </row>
    <row r="583">
      <c r="A583" s="71" t="str">
        <f>IF(Y583=1,ROW()-5,"")</f>
        <v/>
      </c>
      <c r="B583" s="72" t="n"/>
      <c r="C583" s="71" t="str">
        <f>IF(ISNUMBER(B583),CHOOSE(WEEKDAY(B583,2),"Lun","Mar","Mié","Jue","Vie","Sáb","Dom"),"")</f>
        <v/>
      </c>
      <c r="D583" s="73" t="n"/>
      <c r="E583" s="74" t="n"/>
      <c r="F583" s="74" t="n"/>
      <c r="G583" s="74" t="n"/>
      <c r="H583" s="75" t="n"/>
      <c r="I583" s="75" t="n"/>
      <c r="J583" s="76" t="n"/>
      <c r="K583" s="77" t="str">
        <f>IF(AB583=1,ROUND(AG583/60,4),"")</f>
        <v/>
      </c>
      <c r="L583" s="77" t="str">
        <f>IF(BD583=1,ROUND(AP583/60,4),"")</f>
        <v/>
      </c>
      <c r="M583" s="77" t="str">
        <f>IF(BD583=1,ROUND(AQ583/60,4),"")</f>
        <v/>
      </c>
      <c r="N583" s="71" t="str">
        <f>IF(AND(D583="proMX",AB583=1),ROUND(AG583/CFG_BLK,2),"")</f>
        <v/>
      </c>
      <c r="O583" s="77" t="str">
        <f>IF(D583="proMX",IF(BD583=1,ROUND(AG583/60,4),0),"")</f>
        <v/>
      </c>
      <c r="P583" s="78" t="str">
        <f>IF(Y583=0,"",IF(BD583=1,"OK",IF(D583="proMX","Revisar bloques: ","Revisar: ")&amp;BC583))</f>
        <v/>
      </c>
      <c r="Q583" s="78" t="str">
        <f>IF(NOT(ISNUMBER(B583)),"",IF(COUNTIFS(FER_F,INT(B583))&gt;0,"Feriado"&amp;IF(AH583=1," (laborable)"," (no laborable)"),IF(AH583=1,"Laborable",IF(WEEKDAY(B583,2)&gt;5,"Fin de semana","No laborable"))))</f>
        <v/>
      </c>
      <c r="R583" s="73" t="n"/>
      <c r="S583" s="72" t="n"/>
      <c r="T583" s="72" t="n"/>
      <c r="U583" s="74" t="n"/>
      <c r="V583" s="79" t="str">
        <f>IF(AND(D583="proMX",OR(R583="Submitted",R583="Recall Requested"),ISNUMBER(S583)),CFG_TODAY-INT(S583),"")</f>
        <v/>
      </c>
      <c r="W583" s="78" t="str">
        <f>IF(BD583=0,"",IF(BA583&gt;0,"⚠ Se superpone con un registro de la otra empresa",IF(D583="Malcolm",IF(COUNTA(R583,S583,T583)&gt;0,"Estado/fechas proMX se ignoran en Malcolm",""),IF(BF583="Cancelled","Cancelado: excluido de totales",IF(R583="","Sin estado: se trata como Draft",IF(BF583="Submitted",IF(ISNUMBER(V583),IF(V583&gt;CFG_MAXD,"⚠ "&amp;V583&amp;" días en Submitted (máx. "&amp;CFG_MAXD&amp;")",""),"Falta fecha de envío"),IF(BF583="Returned","⚠ Devuelto: corregir y reenviar",IF(BF583="Recall Requested","Retirada solicitada: pendiente",IF(AND(BF583="Approved",NOT(ISNUMBER(T583))),"Falta fecha de aprobación",IF(AND(ISNUMBER(S583),ISNUMBER(T583),T583&lt;S583),"Aprobación anterior al envío","")))))))))</f>
        <v/>
      </c>
      <c r="Y583" s="80">
        <f>IF(COUNTA(B583,D583,E583,F583,G583,H583,I583,J583,R583,S583,T583)&gt;0,1,0)</f>
        <v>0</v>
      </c>
      <c r="Z583" s="80" t="str">
        <f>IF(AND(ISNUMBER(H583),H583&gt;=0,H583&lt;1),ROUND(H583*1440,0),"")</f>
        <v/>
      </c>
      <c r="AA583" s="80" t="str">
        <f>IF(AND(ISNUMBER(I583),I583&gt;=0,I583&lt;1),ROUND(I583*1440,0),"")</f>
        <v/>
      </c>
      <c r="AB583" s="80">
        <f>IF(AND(ISNUMBER(B583),D583&lt;&gt;"",ISNUMBER(Z583),ISNUMBER(AA583)),IF(Z583=AA583,0,1),0)</f>
        <v>0</v>
      </c>
      <c r="AC583" s="80">
        <f>IF(AB583=1,IF(AA583&lt;Z583,1,0),0)</f>
        <v>0</v>
      </c>
      <c r="AD583" s="80">
        <f>IF(AB583=1,IF(AC583=1,1440-Z583+AA583,AA583-Z583),0)</f>
        <v>0</v>
      </c>
      <c r="AE583" s="80">
        <f>IF(J583="",0,IF(ISNUMBER(J583),J583,-1))</f>
        <v>0</v>
      </c>
      <c r="AF583" s="80">
        <f>MIN(MAX(0,AE583),AD583)</f>
        <v>0</v>
      </c>
      <c r="AG583" s="80">
        <f>MAX(0,AD583-MAX(0,AE583))</f>
        <v>0</v>
      </c>
      <c r="AH583" s="80">
        <f>IF(ISNUMBER(B583),IF(AND(INDEX(CFG_WDAYS,WEEKDAY(INT(B583),2))="Sí",IF(D583="proMX",COUNTIFS(FER_F,INT(B583),FER_NLP,"Sí"),COUNTIFS(FER_F,INT(B583),FER_NLM,"Sí"))=0),1,0),0)</f>
        <v>0</v>
      </c>
      <c r="AI583" s="80">
        <f>IF(AC583=1,IF(AND(INDEX(CFG_WDAYS,WEEKDAY(INT(B583)+1,2))="Sí",IF(D583="proMX",COUNTIFS(FER_F,INT(B583)+1,FER_NLP,"Sí"),COUNTIFS(FER_F,INT(B583)+1,FER_NLM,"Sí"))=0),1,0),0)</f>
        <v>0</v>
      </c>
      <c r="AJ583" s="80">
        <f>IF(AC583=1,1440-Z583,AD583)</f>
        <v>0</v>
      </c>
      <c r="AK583" s="80">
        <f>IF(AND(AB583=1,AH583=1),MAX(0,MIN(IF(AC583=1,1440,AA583),CFG_WEM)-MAX(Z583,CFG_WSM)),0)</f>
        <v>0</v>
      </c>
      <c r="AL583" s="80">
        <f>IF(AND(AC583=1,AI583=1),MAX(0,MIN(AA583,CFG_WEM)-CFG_WSM),0)</f>
        <v>0</v>
      </c>
      <c r="AM583" s="80">
        <f>AK583+AL583</f>
        <v>0</v>
      </c>
      <c r="AN583" s="80">
        <f>IF(CFG_BRK="Proporcional",IF(AD583=0,0,AF583*AM583/AD583),IF(CFG_BRK="Extras primero",MIN(AM583,MAX(0,AF583-(AD583-AM583))),MIN(AF583,AM583)))</f>
        <v>0</v>
      </c>
      <c r="AO583" s="80">
        <f>AF583-AN583</f>
        <v>0</v>
      </c>
      <c r="AP583" s="80">
        <f>AM583-AN583</f>
        <v>0</v>
      </c>
      <c r="AQ583" s="80">
        <f>AD583-AM583-AO583</f>
        <v>0</v>
      </c>
      <c r="AR583" s="80">
        <f>IF(AM583=0,0,AK583-AN583*AK583/AM583)</f>
        <v>0</v>
      </c>
      <c r="AS583" s="80">
        <f>IF(AD583-AM583=0,0,(AJ583-AK583)-AO583*(AJ583-AK583)/(AD583-AM583))</f>
        <v>0</v>
      </c>
      <c r="AT583" s="80" t="str">
        <f>IF(AC583=1,INT(B583)+1,"")</f>
        <v/>
      </c>
      <c r="AU583" s="80">
        <f>IF(AND(D583="proMX",R583="Cancelled"),0,1)</f>
        <v>1</v>
      </c>
      <c r="AV583" s="80">
        <f>IF(AND(AB583=1,AU583=1),IF(COUNTIFS($D$5:D582,D583,$B$5:B582,B583,$Z$5:Z582,Z583,$AA$5:AA582,AA583,$F$5:F582,F583&amp;"",$AU$5:AU582,1)&gt;0,1,0),0)</f>
        <v>0</v>
      </c>
      <c r="AW583" s="80" t="str">
        <f>IF(AB583=1,INT(B583)*1440+Z583,"")</f>
        <v/>
      </c>
      <c r="AX583" s="80" t="str">
        <f>IF(AB583=1,AW583+AD583,"")</f>
        <v/>
      </c>
      <c r="AY583" s="80">
        <f>IF(AND(AB583=1,AV583=0,AU583=1),1,0)</f>
        <v>0</v>
      </c>
      <c r="AZ583" s="80">
        <f>IF(AY583=1,COUNTIFS(R_Emp,D583,R_SAbs,"&lt;"&amp;AX583,R_EAbs,"&gt;"&amp;AW583,R_OKey,1)-1,0)</f>
        <v>0</v>
      </c>
      <c r="BA583" s="80">
        <f>IF(AY583=1,COUNTIFS(R_Emp,"&lt;&gt;"&amp;D583,R_SAbs,"&lt;"&amp;AX583,R_EAbs,"&gt;"&amp;AW583,R_OKey,1),0)</f>
        <v>0</v>
      </c>
      <c r="BB583" s="80">
        <f>IF(AND(AB583=1,D583="proMX"),IF(AND(MOD(Z583,CFG_BLK)=0,MOD(AA583,CFG_BLK)=0,MOD(AG583,CFG_BLK)=0,AG583&gt;0),1,0),1)</f>
        <v>1</v>
      </c>
      <c r="BC583" s="80" t="str">
        <f>IF(Y583=0,"",IF(NOT(ISNUMBER(B583)),"Falta fecha o fecha inválida",IF(D583="","Falta empresa",IF(AND(D583&lt;&gt;"Malcolm",D583&lt;&gt;"proMX"),"Empresa inválida",IF(OR(INT(B583)&lt;CFG_PSTART,INT(B583)&gt;CFG_PEND),"Fecha fuera del período",IF(OR(NOT(ISNUMBER(Z583)),NOT(ISNUMBER(AA583))),"Falta hora inicio/fin o formato inválido",IF(AB583=0,"Hora inicio = hora fin",IF(AE583&lt;0,"Descanso inválido",IF(AE583&gt;=AD583,"Descanso ≥ duración",IF(AV583=1,"Registro duplicado",IF(AZ583&gt;0,"Se superpone con otro registro "&amp;D583,IF(BB583=0,"inicio, fin y duración neta deben ser múltiplos de "&amp;CFG_BLK&amp;" min",""))))))))))))</f>
        <v/>
      </c>
      <c r="BD583" s="80">
        <f>IF(AND(Y583=1,BC583=""),1,0)</f>
        <v>0</v>
      </c>
      <c r="BE583" s="80">
        <f>IF(AND(BD583=1,AU583=1),1,0)</f>
        <v>0</v>
      </c>
      <c r="BF583" s="80" t="str">
        <f>IF(AND(D583="proMX",BD583=1),IF(R583="","Draft",R583),"")</f>
        <v/>
      </c>
      <c r="BG583" s="80">
        <f>IF(BD583=1,ROUND(AG583/60,6),0)</f>
        <v>0</v>
      </c>
      <c r="BH583" s="80">
        <f>IF(BE583=1,ROUND(AG583/60,6),0)</f>
        <v>0</v>
      </c>
      <c r="BI583" s="80">
        <f>IF(BE583=1,ROUND(AP583/60,6),0)</f>
        <v>0</v>
      </c>
      <c r="BJ583" s="80">
        <f>IF(BE583=1,ROUND(AQ583/60,6),0)</f>
        <v>0</v>
      </c>
      <c r="BK583" s="80">
        <f>IF(BE583=1,ROUND((AR583+AS583)/60,6),0)</f>
        <v>0</v>
      </c>
      <c r="BL583" s="80">
        <f>ROUND(BH583-BK583,6)</f>
        <v>0</v>
      </c>
      <c r="BM583" s="80">
        <f>IF(BE583=1,ROUND(AR583/60,6),0)</f>
        <v>0</v>
      </c>
      <c r="BN583" s="80">
        <f>ROUND(BI583-BM583,6)</f>
        <v>0</v>
      </c>
      <c r="BO583" s="80">
        <f>IF(BE583=1,ROUND(AS583/60,6),0)</f>
        <v>0</v>
      </c>
      <c r="BP583" s="80">
        <f>ROUND(BJ583-BO583,6)</f>
        <v>0</v>
      </c>
      <c r="BQ583" s="80">
        <f>IF(BE583=1,AW583,0)</f>
        <v>0</v>
      </c>
      <c r="BR583" s="80">
        <f>IF(BE583=1,AX583,0)</f>
        <v>0</v>
      </c>
      <c r="BS583" s="80">
        <f>IF(AND(BE583=1,D583="Malcolm",BA583&gt;0),MIN(BH583,SUMPRODUCT((R_Emp="proMX")*(R_EN&gt;0)*((R_EN-(R_EN&gt;BR583)*(R_EN-BR583))&gt;(R_SN+(R_SN&lt;BQ583)*(BQ583-R_SN)))*((R_EN-(R_EN&gt;BR583)*(R_EN-BR583))-(R_SN+(R_SN&lt;BQ583)*(BQ583-R_SN))))/60),0)</f>
        <v>0</v>
      </c>
      <c r="BT583" s="80">
        <f>IF(AND(BE583=1,D583="proMX"),ROUND(BI583*CFG_RATE+BJ583*CFG_OTRATE,6),0)</f>
        <v>0</v>
      </c>
      <c r="BU583" s="80">
        <f>IF(AND(BD583=1,D583="proMX"),ROUND(AG583/CFG_BLK,6),0)</f>
        <v>0</v>
      </c>
      <c r="BV583" s="80" t="str">
        <f>IF(BF583="Approved",IF(ISNUMBER(T583),INT(T583),INT(B583)),"")</f>
        <v/>
      </c>
      <c r="BW583" s="80">
        <f>IF(ISNUMBER(B583),IF(DB_MON="Todos",1,IF(AND(INT(B583)&gt;=DB_MS,INT(B583)&lt;=DB_ME),1,0)),0)</f>
        <v>0</v>
      </c>
      <c r="BX583" s="80">
        <f>IF(DB_PROJ="Todos",1,IF(E583&amp;""=DB_PROJ&amp;"",1,0))</f>
        <v>1</v>
      </c>
      <c r="BY583" s="80">
        <f>BW583*BX583</f>
        <v>0</v>
      </c>
      <c r="BZ583" s="80" t="str">
        <f>IF(Y583=1,F583&amp;IF(AND(F583&amp;""&lt;&gt;"",E583&amp;""&lt;&gt;"")," · ","")&amp;E583,"")</f>
        <v/>
      </c>
      <c r="CA583" s="80" t="str">
        <f>IF(AND(BD583=1,E583&amp;""&lt;&gt;""),IF(COUNTIFS($E$5:E582,E583,$BD$5:BD582,1)=0,MAX($CA$5:CA582)+1,""),"")</f>
        <v/>
      </c>
      <c r="CB583" s="80" t="str">
        <f>IF(AND(BE583=1,D583="Malcolm",E583&amp;""&lt;&gt;""),IF(COUNTIFS($D$5:D582,"Malcolm",$E$5:E582,E583,$BE$5:BE582,1)=0,MAX($CB$5:CB582)+1,""),"")</f>
        <v/>
      </c>
      <c r="CC583" s="80" t="str">
        <f>IF(AND(BD583=1,D583="proMX",E583&amp;""&lt;&gt;""),IF(COUNTIFS($D$5:D582,"proMX",$E$5:E582,E583,$BD$5:BD582,1)=0,MAX($CC$5:CC582)+1,""),"")</f>
        <v/>
      </c>
      <c r="CD583" s="80" t="str">
        <f>IF(AND(BE583=1,D583="Malcolm",F583&amp;""&lt;&gt;""),IF(COUNTIFS($D$5:D582,"Malcolm",$F$5:F582,F583,$BE$5:BE582,1)=0,MAX($CD$5:CD582)+1,""),"")</f>
        <v/>
      </c>
      <c r="CE583" s="80" t="str">
        <f>IF(AND(BD583=1,D583="proMX",F583&amp;""&lt;&gt;""),IF(COUNTIFS($D$5:D582,"proMX",$F$5:F582,F583,$BD$5:BD582,1)=0,MAX($CE$5:CE582)+1,""),"")</f>
        <v/>
      </c>
      <c r="CF583" s="80" t="str">
        <f>IF(AND(D583="proMX",BD583=1),IF(OR(BF583="Draft",BF583="Submitted",BF583="Returned",BF583="Recall Requested"),MAX($CF$5:CF582)+1,""),"")</f>
        <v/>
      </c>
      <c r="CG583" s="80">
        <f>IF(BD583=0,0,IF(D583="Malcolm",1,MATCH(BF583,{"Draft","Submitted","Approved","Returned","Recall Requested","Cancelled"},0)+1))</f>
        <v>0</v>
      </c>
      <c r="CH583" s="80">
        <f>IF(AND(BF583="Submitted",ISNUMBER(V583)),IF(V583&gt;CFG_MAXD,1,0),0)</f>
        <v>0</v>
      </c>
    </row>
    <row r="584">
      <c r="A584" s="71" t="str">
        <f>IF(Y584=1,ROW()-5,"")</f>
        <v/>
      </c>
      <c r="B584" s="72" t="n"/>
      <c r="C584" s="71" t="str">
        <f>IF(ISNUMBER(B584),CHOOSE(WEEKDAY(B584,2),"Lun","Mar","Mié","Jue","Vie","Sáb","Dom"),"")</f>
        <v/>
      </c>
      <c r="D584" s="73" t="n"/>
      <c r="E584" s="74" t="n"/>
      <c r="F584" s="74" t="n"/>
      <c r="G584" s="74" t="n"/>
      <c r="H584" s="75" t="n"/>
      <c r="I584" s="75" t="n"/>
      <c r="J584" s="76" t="n"/>
      <c r="K584" s="77" t="str">
        <f>IF(AB584=1,ROUND(AG584/60,4),"")</f>
        <v/>
      </c>
      <c r="L584" s="77" t="str">
        <f>IF(BD584=1,ROUND(AP584/60,4),"")</f>
        <v/>
      </c>
      <c r="M584" s="77" t="str">
        <f>IF(BD584=1,ROUND(AQ584/60,4),"")</f>
        <v/>
      </c>
      <c r="N584" s="71" t="str">
        <f>IF(AND(D584="proMX",AB584=1),ROUND(AG584/CFG_BLK,2),"")</f>
        <v/>
      </c>
      <c r="O584" s="77" t="str">
        <f>IF(D584="proMX",IF(BD584=1,ROUND(AG584/60,4),0),"")</f>
        <v/>
      </c>
      <c r="P584" s="78" t="str">
        <f>IF(Y584=0,"",IF(BD584=1,"OK",IF(D584="proMX","Revisar bloques: ","Revisar: ")&amp;BC584))</f>
        <v/>
      </c>
      <c r="Q584" s="78" t="str">
        <f>IF(NOT(ISNUMBER(B584)),"",IF(COUNTIFS(FER_F,INT(B584))&gt;0,"Feriado"&amp;IF(AH584=1," (laborable)"," (no laborable)"),IF(AH584=1,"Laborable",IF(WEEKDAY(B584,2)&gt;5,"Fin de semana","No laborable"))))</f>
        <v/>
      </c>
      <c r="R584" s="73" t="n"/>
      <c r="S584" s="72" t="n"/>
      <c r="T584" s="72" t="n"/>
      <c r="U584" s="74" t="n"/>
      <c r="V584" s="79" t="str">
        <f>IF(AND(D584="proMX",OR(R584="Submitted",R584="Recall Requested"),ISNUMBER(S584)),CFG_TODAY-INT(S584),"")</f>
        <v/>
      </c>
      <c r="W584" s="78" t="str">
        <f>IF(BD584=0,"",IF(BA584&gt;0,"⚠ Se superpone con un registro de la otra empresa",IF(D584="Malcolm",IF(COUNTA(R584,S584,T584)&gt;0,"Estado/fechas proMX se ignoran en Malcolm",""),IF(BF584="Cancelled","Cancelado: excluido de totales",IF(R584="","Sin estado: se trata como Draft",IF(BF584="Submitted",IF(ISNUMBER(V584),IF(V584&gt;CFG_MAXD,"⚠ "&amp;V584&amp;" días en Submitted (máx. "&amp;CFG_MAXD&amp;")",""),"Falta fecha de envío"),IF(BF584="Returned","⚠ Devuelto: corregir y reenviar",IF(BF584="Recall Requested","Retirada solicitada: pendiente",IF(AND(BF584="Approved",NOT(ISNUMBER(T584))),"Falta fecha de aprobación",IF(AND(ISNUMBER(S584),ISNUMBER(T584),T584&lt;S584),"Aprobación anterior al envío","")))))))))</f>
        <v/>
      </c>
      <c r="Y584" s="80">
        <f>IF(COUNTA(B584,D584,E584,F584,G584,H584,I584,J584,R584,S584,T584)&gt;0,1,0)</f>
        <v>0</v>
      </c>
      <c r="Z584" s="80" t="str">
        <f>IF(AND(ISNUMBER(H584),H584&gt;=0,H584&lt;1),ROUND(H584*1440,0),"")</f>
        <v/>
      </c>
      <c r="AA584" s="80" t="str">
        <f>IF(AND(ISNUMBER(I584),I584&gt;=0,I584&lt;1),ROUND(I584*1440,0),"")</f>
        <v/>
      </c>
      <c r="AB584" s="80">
        <f>IF(AND(ISNUMBER(B584),D584&lt;&gt;"",ISNUMBER(Z584),ISNUMBER(AA584)),IF(Z584=AA584,0,1),0)</f>
        <v>0</v>
      </c>
      <c r="AC584" s="80">
        <f>IF(AB584=1,IF(AA584&lt;Z584,1,0),0)</f>
        <v>0</v>
      </c>
      <c r="AD584" s="80">
        <f>IF(AB584=1,IF(AC584=1,1440-Z584+AA584,AA584-Z584),0)</f>
        <v>0</v>
      </c>
      <c r="AE584" s="80">
        <f>IF(J584="",0,IF(ISNUMBER(J584),J584,-1))</f>
        <v>0</v>
      </c>
      <c r="AF584" s="80">
        <f>MIN(MAX(0,AE584),AD584)</f>
        <v>0</v>
      </c>
      <c r="AG584" s="80">
        <f>MAX(0,AD584-MAX(0,AE584))</f>
        <v>0</v>
      </c>
      <c r="AH584" s="80">
        <f>IF(ISNUMBER(B584),IF(AND(INDEX(CFG_WDAYS,WEEKDAY(INT(B584),2))="Sí",IF(D584="proMX",COUNTIFS(FER_F,INT(B584),FER_NLP,"Sí"),COUNTIFS(FER_F,INT(B584),FER_NLM,"Sí"))=0),1,0),0)</f>
        <v>0</v>
      </c>
      <c r="AI584" s="80">
        <f>IF(AC584=1,IF(AND(INDEX(CFG_WDAYS,WEEKDAY(INT(B584)+1,2))="Sí",IF(D584="proMX",COUNTIFS(FER_F,INT(B584)+1,FER_NLP,"Sí"),COUNTIFS(FER_F,INT(B584)+1,FER_NLM,"Sí"))=0),1,0),0)</f>
        <v>0</v>
      </c>
      <c r="AJ584" s="80">
        <f>IF(AC584=1,1440-Z584,AD584)</f>
        <v>0</v>
      </c>
      <c r="AK584" s="80">
        <f>IF(AND(AB584=1,AH584=1),MAX(0,MIN(IF(AC584=1,1440,AA584),CFG_WEM)-MAX(Z584,CFG_WSM)),0)</f>
        <v>0</v>
      </c>
      <c r="AL584" s="80">
        <f>IF(AND(AC584=1,AI584=1),MAX(0,MIN(AA584,CFG_WEM)-CFG_WSM),0)</f>
        <v>0</v>
      </c>
      <c r="AM584" s="80">
        <f>AK584+AL584</f>
        <v>0</v>
      </c>
      <c r="AN584" s="80">
        <f>IF(CFG_BRK="Proporcional",IF(AD584=0,0,AF584*AM584/AD584),IF(CFG_BRK="Extras primero",MIN(AM584,MAX(0,AF584-(AD584-AM584))),MIN(AF584,AM584)))</f>
        <v>0</v>
      </c>
      <c r="AO584" s="80">
        <f>AF584-AN584</f>
        <v>0</v>
      </c>
      <c r="AP584" s="80">
        <f>AM584-AN584</f>
        <v>0</v>
      </c>
      <c r="AQ584" s="80">
        <f>AD584-AM584-AO584</f>
        <v>0</v>
      </c>
      <c r="AR584" s="80">
        <f>IF(AM584=0,0,AK584-AN584*AK584/AM584)</f>
        <v>0</v>
      </c>
      <c r="AS584" s="80">
        <f>IF(AD584-AM584=0,0,(AJ584-AK584)-AO584*(AJ584-AK584)/(AD584-AM584))</f>
        <v>0</v>
      </c>
      <c r="AT584" s="80" t="str">
        <f>IF(AC584=1,INT(B584)+1,"")</f>
        <v/>
      </c>
      <c r="AU584" s="80">
        <f>IF(AND(D584="proMX",R584="Cancelled"),0,1)</f>
        <v>1</v>
      </c>
      <c r="AV584" s="80">
        <f>IF(AND(AB584=1,AU584=1),IF(COUNTIFS($D$5:D583,D584,$B$5:B583,B584,$Z$5:Z583,Z584,$AA$5:AA583,AA584,$F$5:F583,F584&amp;"",$AU$5:AU583,1)&gt;0,1,0),0)</f>
        <v>0</v>
      </c>
      <c r="AW584" s="80" t="str">
        <f>IF(AB584=1,INT(B584)*1440+Z584,"")</f>
        <v/>
      </c>
      <c r="AX584" s="80" t="str">
        <f>IF(AB584=1,AW584+AD584,"")</f>
        <v/>
      </c>
      <c r="AY584" s="80">
        <f>IF(AND(AB584=1,AV584=0,AU584=1),1,0)</f>
        <v>0</v>
      </c>
      <c r="AZ584" s="80">
        <f>IF(AY584=1,COUNTIFS(R_Emp,D584,R_SAbs,"&lt;"&amp;AX584,R_EAbs,"&gt;"&amp;AW584,R_OKey,1)-1,0)</f>
        <v>0</v>
      </c>
      <c r="BA584" s="80">
        <f>IF(AY584=1,COUNTIFS(R_Emp,"&lt;&gt;"&amp;D584,R_SAbs,"&lt;"&amp;AX584,R_EAbs,"&gt;"&amp;AW584,R_OKey,1),0)</f>
        <v>0</v>
      </c>
      <c r="BB584" s="80">
        <f>IF(AND(AB584=1,D584="proMX"),IF(AND(MOD(Z584,CFG_BLK)=0,MOD(AA584,CFG_BLK)=0,MOD(AG584,CFG_BLK)=0,AG584&gt;0),1,0),1)</f>
        <v>1</v>
      </c>
      <c r="BC584" s="80" t="str">
        <f>IF(Y584=0,"",IF(NOT(ISNUMBER(B584)),"Falta fecha o fecha inválida",IF(D584="","Falta empresa",IF(AND(D584&lt;&gt;"Malcolm",D584&lt;&gt;"proMX"),"Empresa inválida",IF(OR(INT(B584)&lt;CFG_PSTART,INT(B584)&gt;CFG_PEND),"Fecha fuera del período",IF(OR(NOT(ISNUMBER(Z584)),NOT(ISNUMBER(AA584))),"Falta hora inicio/fin o formato inválido",IF(AB584=0,"Hora inicio = hora fin",IF(AE584&lt;0,"Descanso inválido",IF(AE584&gt;=AD584,"Descanso ≥ duración",IF(AV584=1,"Registro duplicado",IF(AZ584&gt;0,"Se superpone con otro registro "&amp;D584,IF(BB584=0,"inicio, fin y duración neta deben ser múltiplos de "&amp;CFG_BLK&amp;" min",""))))))))))))</f>
        <v/>
      </c>
      <c r="BD584" s="80">
        <f>IF(AND(Y584=1,BC584=""),1,0)</f>
        <v>0</v>
      </c>
      <c r="BE584" s="80">
        <f>IF(AND(BD584=1,AU584=1),1,0)</f>
        <v>0</v>
      </c>
      <c r="BF584" s="80" t="str">
        <f>IF(AND(D584="proMX",BD584=1),IF(R584="","Draft",R584),"")</f>
        <v/>
      </c>
      <c r="BG584" s="80">
        <f>IF(BD584=1,ROUND(AG584/60,6),0)</f>
        <v>0</v>
      </c>
      <c r="BH584" s="80">
        <f>IF(BE584=1,ROUND(AG584/60,6),0)</f>
        <v>0</v>
      </c>
      <c r="BI584" s="80">
        <f>IF(BE584=1,ROUND(AP584/60,6),0)</f>
        <v>0</v>
      </c>
      <c r="BJ584" s="80">
        <f>IF(BE584=1,ROUND(AQ584/60,6),0)</f>
        <v>0</v>
      </c>
      <c r="BK584" s="80">
        <f>IF(BE584=1,ROUND((AR584+AS584)/60,6),0)</f>
        <v>0</v>
      </c>
      <c r="BL584" s="80">
        <f>ROUND(BH584-BK584,6)</f>
        <v>0</v>
      </c>
      <c r="BM584" s="80">
        <f>IF(BE584=1,ROUND(AR584/60,6),0)</f>
        <v>0</v>
      </c>
      <c r="BN584" s="80">
        <f>ROUND(BI584-BM584,6)</f>
        <v>0</v>
      </c>
      <c r="BO584" s="80">
        <f>IF(BE584=1,ROUND(AS584/60,6),0)</f>
        <v>0</v>
      </c>
      <c r="BP584" s="80">
        <f>ROUND(BJ584-BO584,6)</f>
        <v>0</v>
      </c>
      <c r="BQ584" s="80">
        <f>IF(BE584=1,AW584,0)</f>
        <v>0</v>
      </c>
      <c r="BR584" s="80">
        <f>IF(BE584=1,AX584,0)</f>
        <v>0</v>
      </c>
      <c r="BS584" s="80">
        <f>IF(AND(BE584=1,D584="Malcolm",BA584&gt;0),MIN(BH584,SUMPRODUCT((R_Emp="proMX")*(R_EN&gt;0)*((R_EN-(R_EN&gt;BR584)*(R_EN-BR584))&gt;(R_SN+(R_SN&lt;BQ584)*(BQ584-R_SN)))*((R_EN-(R_EN&gt;BR584)*(R_EN-BR584))-(R_SN+(R_SN&lt;BQ584)*(BQ584-R_SN))))/60),0)</f>
        <v>0</v>
      </c>
      <c r="BT584" s="80">
        <f>IF(AND(BE584=1,D584="proMX"),ROUND(BI584*CFG_RATE+BJ584*CFG_OTRATE,6),0)</f>
        <v>0</v>
      </c>
      <c r="BU584" s="80">
        <f>IF(AND(BD584=1,D584="proMX"),ROUND(AG584/CFG_BLK,6),0)</f>
        <v>0</v>
      </c>
      <c r="BV584" s="80" t="str">
        <f>IF(BF584="Approved",IF(ISNUMBER(T584),INT(T584),INT(B584)),"")</f>
        <v/>
      </c>
      <c r="BW584" s="80">
        <f>IF(ISNUMBER(B584),IF(DB_MON="Todos",1,IF(AND(INT(B584)&gt;=DB_MS,INT(B584)&lt;=DB_ME),1,0)),0)</f>
        <v>0</v>
      </c>
      <c r="BX584" s="80">
        <f>IF(DB_PROJ="Todos",1,IF(E584&amp;""=DB_PROJ&amp;"",1,0))</f>
        <v>1</v>
      </c>
      <c r="BY584" s="80">
        <f>BW584*BX584</f>
        <v>0</v>
      </c>
      <c r="BZ584" s="80" t="str">
        <f>IF(Y584=1,F584&amp;IF(AND(F584&amp;""&lt;&gt;"",E584&amp;""&lt;&gt;"")," · ","")&amp;E584,"")</f>
        <v/>
      </c>
      <c r="CA584" s="80" t="str">
        <f>IF(AND(BD584=1,E584&amp;""&lt;&gt;""),IF(COUNTIFS($E$5:E583,E584,$BD$5:BD583,1)=0,MAX($CA$5:CA583)+1,""),"")</f>
        <v/>
      </c>
      <c r="CB584" s="80" t="str">
        <f>IF(AND(BE584=1,D584="Malcolm",E584&amp;""&lt;&gt;""),IF(COUNTIFS($D$5:D583,"Malcolm",$E$5:E583,E584,$BE$5:BE583,1)=0,MAX($CB$5:CB583)+1,""),"")</f>
        <v/>
      </c>
      <c r="CC584" s="80" t="str">
        <f>IF(AND(BD584=1,D584="proMX",E584&amp;""&lt;&gt;""),IF(COUNTIFS($D$5:D583,"proMX",$E$5:E583,E584,$BD$5:BD583,1)=0,MAX($CC$5:CC583)+1,""),"")</f>
        <v/>
      </c>
      <c r="CD584" s="80" t="str">
        <f>IF(AND(BE584=1,D584="Malcolm",F584&amp;""&lt;&gt;""),IF(COUNTIFS($D$5:D583,"Malcolm",$F$5:F583,F584,$BE$5:BE583,1)=0,MAX($CD$5:CD583)+1,""),"")</f>
        <v/>
      </c>
      <c r="CE584" s="80" t="str">
        <f>IF(AND(BD584=1,D584="proMX",F584&amp;""&lt;&gt;""),IF(COUNTIFS($D$5:D583,"proMX",$F$5:F583,F584,$BD$5:BD583,1)=0,MAX($CE$5:CE583)+1,""),"")</f>
        <v/>
      </c>
      <c r="CF584" s="80" t="str">
        <f>IF(AND(D584="proMX",BD584=1),IF(OR(BF584="Draft",BF584="Submitted",BF584="Returned",BF584="Recall Requested"),MAX($CF$5:CF583)+1,""),"")</f>
        <v/>
      </c>
      <c r="CG584" s="80">
        <f>IF(BD584=0,0,IF(D584="Malcolm",1,MATCH(BF584,{"Draft","Submitted","Approved","Returned","Recall Requested","Cancelled"},0)+1))</f>
        <v>0</v>
      </c>
      <c r="CH584" s="80">
        <f>IF(AND(BF584="Submitted",ISNUMBER(V584)),IF(V584&gt;CFG_MAXD,1,0),0)</f>
        <v>0</v>
      </c>
    </row>
    <row r="585">
      <c r="A585" s="71" t="str">
        <f>IF(Y585=1,ROW()-5,"")</f>
        <v/>
      </c>
      <c r="B585" s="72" t="n"/>
      <c r="C585" s="71" t="str">
        <f>IF(ISNUMBER(B585),CHOOSE(WEEKDAY(B585,2),"Lun","Mar","Mié","Jue","Vie","Sáb","Dom"),"")</f>
        <v/>
      </c>
      <c r="D585" s="73" t="n"/>
      <c r="E585" s="74" t="n"/>
      <c r="F585" s="74" t="n"/>
      <c r="G585" s="74" t="n"/>
      <c r="H585" s="75" t="n"/>
      <c r="I585" s="75" t="n"/>
      <c r="J585" s="76" t="n"/>
      <c r="K585" s="77" t="str">
        <f>IF(AB585=1,ROUND(AG585/60,4),"")</f>
        <v/>
      </c>
      <c r="L585" s="77" t="str">
        <f>IF(BD585=1,ROUND(AP585/60,4),"")</f>
        <v/>
      </c>
      <c r="M585" s="77" t="str">
        <f>IF(BD585=1,ROUND(AQ585/60,4),"")</f>
        <v/>
      </c>
      <c r="N585" s="71" t="str">
        <f>IF(AND(D585="proMX",AB585=1),ROUND(AG585/CFG_BLK,2),"")</f>
        <v/>
      </c>
      <c r="O585" s="77" t="str">
        <f>IF(D585="proMX",IF(BD585=1,ROUND(AG585/60,4),0),"")</f>
        <v/>
      </c>
      <c r="P585" s="78" t="str">
        <f>IF(Y585=0,"",IF(BD585=1,"OK",IF(D585="proMX","Revisar bloques: ","Revisar: ")&amp;BC585))</f>
        <v/>
      </c>
      <c r="Q585" s="78" t="str">
        <f>IF(NOT(ISNUMBER(B585)),"",IF(COUNTIFS(FER_F,INT(B585))&gt;0,"Feriado"&amp;IF(AH585=1," (laborable)"," (no laborable)"),IF(AH585=1,"Laborable",IF(WEEKDAY(B585,2)&gt;5,"Fin de semana","No laborable"))))</f>
        <v/>
      </c>
      <c r="R585" s="73" t="n"/>
      <c r="S585" s="72" t="n"/>
      <c r="T585" s="72" t="n"/>
      <c r="U585" s="74" t="n"/>
      <c r="V585" s="79" t="str">
        <f>IF(AND(D585="proMX",OR(R585="Submitted",R585="Recall Requested"),ISNUMBER(S585)),CFG_TODAY-INT(S585),"")</f>
        <v/>
      </c>
      <c r="W585" s="78" t="str">
        <f>IF(BD585=0,"",IF(BA585&gt;0,"⚠ Se superpone con un registro de la otra empresa",IF(D585="Malcolm",IF(COUNTA(R585,S585,T585)&gt;0,"Estado/fechas proMX se ignoran en Malcolm",""),IF(BF585="Cancelled","Cancelado: excluido de totales",IF(R585="","Sin estado: se trata como Draft",IF(BF585="Submitted",IF(ISNUMBER(V585),IF(V585&gt;CFG_MAXD,"⚠ "&amp;V585&amp;" días en Submitted (máx. "&amp;CFG_MAXD&amp;")",""),"Falta fecha de envío"),IF(BF585="Returned","⚠ Devuelto: corregir y reenviar",IF(BF585="Recall Requested","Retirada solicitada: pendiente",IF(AND(BF585="Approved",NOT(ISNUMBER(T585))),"Falta fecha de aprobación",IF(AND(ISNUMBER(S585),ISNUMBER(T585),T585&lt;S585),"Aprobación anterior al envío","")))))))))</f>
        <v/>
      </c>
      <c r="Y585" s="80">
        <f>IF(COUNTA(B585,D585,E585,F585,G585,H585,I585,J585,R585,S585,T585)&gt;0,1,0)</f>
        <v>0</v>
      </c>
      <c r="Z585" s="80" t="str">
        <f>IF(AND(ISNUMBER(H585),H585&gt;=0,H585&lt;1),ROUND(H585*1440,0),"")</f>
        <v/>
      </c>
      <c r="AA585" s="80" t="str">
        <f>IF(AND(ISNUMBER(I585),I585&gt;=0,I585&lt;1),ROUND(I585*1440,0),"")</f>
        <v/>
      </c>
      <c r="AB585" s="80">
        <f>IF(AND(ISNUMBER(B585),D585&lt;&gt;"",ISNUMBER(Z585),ISNUMBER(AA585)),IF(Z585=AA585,0,1),0)</f>
        <v>0</v>
      </c>
      <c r="AC585" s="80">
        <f>IF(AB585=1,IF(AA585&lt;Z585,1,0),0)</f>
        <v>0</v>
      </c>
      <c r="AD585" s="80">
        <f>IF(AB585=1,IF(AC585=1,1440-Z585+AA585,AA585-Z585),0)</f>
        <v>0</v>
      </c>
      <c r="AE585" s="80">
        <f>IF(J585="",0,IF(ISNUMBER(J585),J585,-1))</f>
        <v>0</v>
      </c>
      <c r="AF585" s="80">
        <f>MIN(MAX(0,AE585),AD585)</f>
        <v>0</v>
      </c>
      <c r="AG585" s="80">
        <f>MAX(0,AD585-MAX(0,AE585))</f>
        <v>0</v>
      </c>
      <c r="AH585" s="80">
        <f>IF(ISNUMBER(B585),IF(AND(INDEX(CFG_WDAYS,WEEKDAY(INT(B585),2))="Sí",IF(D585="proMX",COUNTIFS(FER_F,INT(B585),FER_NLP,"Sí"),COUNTIFS(FER_F,INT(B585),FER_NLM,"Sí"))=0),1,0),0)</f>
        <v>0</v>
      </c>
      <c r="AI585" s="80">
        <f>IF(AC585=1,IF(AND(INDEX(CFG_WDAYS,WEEKDAY(INT(B585)+1,2))="Sí",IF(D585="proMX",COUNTIFS(FER_F,INT(B585)+1,FER_NLP,"Sí"),COUNTIFS(FER_F,INT(B585)+1,FER_NLM,"Sí"))=0),1,0),0)</f>
        <v>0</v>
      </c>
      <c r="AJ585" s="80">
        <f>IF(AC585=1,1440-Z585,AD585)</f>
        <v>0</v>
      </c>
      <c r="AK585" s="80">
        <f>IF(AND(AB585=1,AH585=1),MAX(0,MIN(IF(AC585=1,1440,AA585),CFG_WEM)-MAX(Z585,CFG_WSM)),0)</f>
        <v>0</v>
      </c>
      <c r="AL585" s="80">
        <f>IF(AND(AC585=1,AI585=1),MAX(0,MIN(AA585,CFG_WEM)-CFG_WSM),0)</f>
        <v>0</v>
      </c>
      <c r="AM585" s="80">
        <f>AK585+AL585</f>
        <v>0</v>
      </c>
      <c r="AN585" s="80">
        <f>IF(CFG_BRK="Proporcional",IF(AD585=0,0,AF585*AM585/AD585),IF(CFG_BRK="Extras primero",MIN(AM585,MAX(0,AF585-(AD585-AM585))),MIN(AF585,AM585)))</f>
        <v>0</v>
      </c>
      <c r="AO585" s="80">
        <f>AF585-AN585</f>
        <v>0</v>
      </c>
      <c r="AP585" s="80">
        <f>AM585-AN585</f>
        <v>0</v>
      </c>
      <c r="AQ585" s="80">
        <f>AD585-AM585-AO585</f>
        <v>0</v>
      </c>
      <c r="AR585" s="80">
        <f>IF(AM585=0,0,AK585-AN585*AK585/AM585)</f>
        <v>0</v>
      </c>
      <c r="AS585" s="80">
        <f>IF(AD585-AM585=0,0,(AJ585-AK585)-AO585*(AJ585-AK585)/(AD585-AM585))</f>
        <v>0</v>
      </c>
      <c r="AT585" s="80" t="str">
        <f>IF(AC585=1,INT(B585)+1,"")</f>
        <v/>
      </c>
      <c r="AU585" s="80">
        <f>IF(AND(D585="proMX",R585="Cancelled"),0,1)</f>
        <v>1</v>
      </c>
      <c r="AV585" s="80">
        <f>IF(AND(AB585=1,AU585=1),IF(COUNTIFS($D$5:D584,D585,$B$5:B584,B585,$Z$5:Z584,Z585,$AA$5:AA584,AA585,$F$5:F584,F585&amp;"",$AU$5:AU584,1)&gt;0,1,0),0)</f>
        <v>0</v>
      </c>
      <c r="AW585" s="80" t="str">
        <f>IF(AB585=1,INT(B585)*1440+Z585,"")</f>
        <v/>
      </c>
      <c r="AX585" s="80" t="str">
        <f>IF(AB585=1,AW585+AD585,"")</f>
        <v/>
      </c>
      <c r="AY585" s="80">
        <f>IF(AND(AB585=1,AV585=0,AU585=1),1,0)</f>
        <v>0</v>
      </c>
      <c r="AZ585" s="80">
        <f>IF(AY585=1,COUNTIFS(R_Emp,D585,R_SAbs,"&lt;"&amp;AX585,R_EAbs,"&gt;"&amp;AW585,R_OKey,1)-1,0)</f>
        <v>0</v>
      </c>
      <c r="BA585" s="80">
        <f>IF(AY585=1,COUNTIFS(R_Emp,"&lt;&gt;"&amp;D585,R_SAbs,"&lt;"&amp;AX585,R_EAbs,"&gt;"&amp;AW585,R_OKey,1),0)</f>
        <v>0</v>
      </c>
      <c r="BB585" s="80">
        <f>IF(AND(AB585=1,D585="proMX"),IF(AND(MOD(Z585,CFG_BLK)=0,MOD(AA585,CFG_BLK)=0,MOD(AG585,CFG_BLK)=0,AG585&gt;0),1,0),1)</f>
        <v>1</v>
      </c>
      <c r="BC585" s="80" t="str">
        <f>IF(Y585=0,"",IF(NOT(ISNUMBER(B585)),"Falta fecha o fecha inválida",IF(D585="","Falta empresa",IF(AND(D585&lt;&gt;"Malcolm",D585&lt;&gt;"proMX"),"Empresa inválida",IF(OR(INT(B585)&lt;CFG_PSTART,INT(B585)&gt;CFG_PEND),"Fecha fuera del período",IF(OR(NOT(ISNUMBER(Z585)),NOT(ISNUMBER(AA585))),"Falta hora inicio/fin o formato inválido",IF(AB585=0,"Hora inicio = hora fin",IF(AE585&lt;0,"Descanso inválido",IF(AE585&gt;=AD585,"Descanso ≥ duración",IF(AV585=1,"Registro duplicado",IF(AZ585&gt;0,"Se superpone con otro registro "&amp;D585,IF(BB585=0,"inicio, fin y duración neta deben ser múltiplos de "&amp;CFG_BLK&amp;" min",""))))))))))))</f>
        <v/>
      </c>
      <c r="BD585" s="80">
        <f>IF(AND(Y585=1,BC585=""),1,0)</f>
        <v>0</v>
      </c>
      <c r="BE585" s="80">
        <f>IF(AND(BD585=1,AU585=1),1,0)</f>
        <v>0</v>
      </c>
      <c r="BF585" s="80" t="str">
        <f>IF(AND(D585="proMX",BD585=1),IF(R585="","Draft",R585),"")</f>
        <v/>
      </c>
      <c r="BG585" s="80">
        <f>IF(BD585=1,ROUND(AG585/60,6),0)</f>
        <v>0</v>
      </c>
      <c r="BH585" s="80">
        <f>IF(BE585=1,ROUND(AG585/60,6),0)</f>
        <v>0</v>
      </c>
      <c r="BI585" s="80">
        <f>IF(BE585=1,ROUND(AP585/60,6),0)</f>
        <v>0</v>
      </c>
      <c r="BJ585" s="80">
        <f>IF(BE585=1,ROUND(AQ585/60,6),0)</f>
        <v>0</v>
      </c>
      <c r="BK585" s="80">
        <f>IF(BE585=1,ROUND((AR585+AS585)/60,6),0)</f>
        <v>0</v>
      </c>
      <c r="BL585" s="80">
        <f>ROUND(BH585-BK585,6)</f>
        <v>0</v>
      </c>
      <c r="BM585" s="80">
        <f>IF(BE585=1,ROUND(AR585/60,6),0)</f>
        <v>0</v>
      </c>
      <c r="BN585" s="80">
        <f>ROUND(BI585-BM585,6)</f>
        <v>0</v>
      </c>
      <c r="BO585" s="80">
        <f>IF(BE585=1,ROUND(AS585/60,6),0)</f>
        <v>0</v>
      </c>
      <c r="BP585" s="80">
        <f>ROUND(BJ585-BO585,6)</f>
        <v>0</v>
      </c>
      <c r="BQ585" s="80">
        <f>IF(BE585=1,AW585,0)</f>
        <v>0</v>
      </c>
      <c r="BR585" s="80">
        <f>IF(BE585=1,AX585,0)</f>
        <v>0</v>
      </c>
      <c r="BS585" s="80">
        <f>IF(AND(BE585=1,D585="Malcolm",BA585&gt;0),MIN(BH585,SUMPRODUCT((R_Emp="proMX")*(R_EN&gt;0)*((R_EN-(R_EN&gt;BR585)*(R_EN-BR585))&gt;(R_SN+(R_SN&lt;BQ585)*(BQ585-R_SN)))*((R_EN-(R_EN&gt;BR585)*(R_EN-BR585))-(R_SN+(R_SN&lt;BQ585)*(BQ585-R_SN))))/60),0)</f>
        <v>0</v>
      </c>
      <c r="BT585" s="80">
        <f>IF(AND(BE585=1,D585="proMX"),ROUND(BI585*CFG_RATE+BJ585*CFG_OTRATE,6),0)</f>
        <v>0</v>
      </c>
      <c r="BU585" s="80">
        <f>IF(AND(BD585=1,D585="proMX"),ROUND(AG585/CFG_BLK,6),0)</f>
        <v>0</v>
      </c>
      <c r="BV585" s="80" t="str">
        <f>IF(BF585="Approved",IF(ISNUMBER(T585),INT(T585),INT(B585)),"")</f>
        <v/>
      </c>
      <c r="BW585" s="80">
        <f>IF(ISNUMBER(B585),IF(DB_MON="Todos",1,IF(AND(INT(B585)&gt;=DB_MS,INT(B585)&lt;=DB_ME),1,0)),0)</f>
        <v>0</v>
      </c>
      <c r="BX585" s="80">
        <f>IF(DB_PROJ="Todos",1,IF(E585&amp;""=DB_PROJ&amp;"",1,0))</f>
        <v>1</v>
      </c>
      <c r="BY585" s="80">
        <f>BW585*BX585</f>
        <v>0</v>
      </c>
      <c r="BZ585" s="80" t="str">
        <f>IF(Y585=1,F585&amp;IF(AND(F585&amp;""&lt;&gt;"",E585&amp;""&lt;&gt;"")," · ","")&amp;E585,"")</f>
        <v/>
      </c>
      <c r="CA585" s="80" t="str">
        <f>IF(AND(BD585=1,E585&amp;""&lt;&gt;""),IF(COUNTIFS($E$5:E584,E585,$BD$5:BD584,1)=0,MAX($CA$5:CA584)+1,""),"")</f>
        <v/>
      </c>
      <c r="CB585" s="80" t="str">
        <f>IF(AND(BE585=1,D585="Malcolm",E585&amp;""&lt;&gt;""),IF(COUNTIFS($D$5:D584,"Malcolm",$E$5:E584,E585,$BE$5:BE584,1)=0,MAX($CB$5:CB584)+1,""),"")</f>
        <v/>
      </c>
      <c r="CC585" s="80" t="str">
        <f>IF(AND(BD585=1,D585="proMX",E585&amp;""&lt;&gt;""),IF(COUNTIFS($D$5:D584,"proMX",$E$5:E584,E585,$BD$5:BD584,1)=0,MAX($CC$5:CC584)+1,""),"")</f>
        <v/>
      </c>
      <c r="CD585" s="80" t="str">
        <f>IF(AND(BE585=1,D585="Malcolm",F585&amp;""&lt;&gt;""),IF(COUNTIFS($D$5:D584,"Malcolm",$F$5:F584,F585,$BE$5:BE584,1)=0,MAX($CD$5:CD584)+1,""),"")</f>
        <v/>
      </c>
      <c r="CE585" s="80" t="str">
        <f>IF(AND(BD585=1,D585="proMX",F585&amp;""&lt;&gt;""),IF(COUNTIFS($D$5:D584,"proMX",$F$5:F584,F585,$BD$5:BD584,1)=0,MAX($CE$5:CE584)+1,""),"")</f>
        <v/>
      </c>
      <c r="CF585" s="80" t="str">
        <f>IF(AND(D585="proMX",BD585=1),IF(OR(BF585="Draft",BF585="Submitted",BF585="Returned",BF585="Recall Requested"),MAX($CF$5:CF584)+1,""),"")</f>
        <v/>
      </c>
      <c r="CG585" s="80">
        <f>IF(BD585=0,0,IF(D585="Malcolm",1,MATCH(BF585,{"Draft","Submitted","Approved","Returned","Recall Requested","Cancelled"},0)+1))</f>
        <v>0</v>
      </c>
      <c r="CH585" s="80">
        <f>IF(AND(BF585="Submitted",ISNUMBER(V585)),IF(V585&gt;CFG_MAXD,1,0),0)</f>
        <v>0</v>
      </c>
    </row>
    <row r="586">
      <c r="A586" s="71" t="str">
        <f>IF(Y586=1,ROW()-5,"")</f>
        <v/>
      </c>
      <c r="B586" s="72" t="n"/>
      <c r="C586" s="71" t="str">
        <f>IF(ISNUMBER(B586),CHOOSE(WEEKDAY(B586,2),"Lun","Mar","Mié","Jue","Vie","Sáb","Dom"),"")</f>
        <v/>
      </c>
      <c r="D586" s="73" t="n"/>
      <c r="E586" s="74" t="n"/>
      <c r="F586" s="74" t="n"/>
      <c r="G586" s="74" t="n"/>
      <c r="H586" s="75" t="n"/>
      <c r="I586" s="75" t="n"/>
      <c r="J586" s="76" t="n"/>
      <c r="K586" s="77" t="str">
        <f>IF(AB586=1,ROUND(AG586/60,4),"")</f>
        <v/>
      </c>
      <c r="L586" s="77" t="str">
        <f>IF(BD586=1,ROUND(AP586/60,4),"")</f>
        <v/>
      </c>
      <c r="M586" s="77" t="str">
        <f>IF(BD586=1,ROUND(AQ586/60,4),"")</f>
        <v/>
      </c>
      <c r="N586" s="71" t="str">
        <f>IF(AND(D586="proMX",AB586=1),ROUND(AG586/CFG_BLK,2),"")</f>
        <v/>
      </c>
      <c r="O586" s="77" t="str">
        <f>IF(D586="proMX",IF(BD586=1,ROUND(AG586/60,4),0),"")</f>
        <v/>
      </c>
      <c r="P586" s="78" t="str">
        <f>IF(Y586=0,"",IF(BD586=1,"OK",IF(D586="proMX","Revisar bloques: ","Revisar: ")&amp;BC586))</f>
        <v/>
      </c>
      <c r="Q586" s="78" t="str">
        <f>IF(NOT(ISNUMBER(B586)),"",IF(COUNTIFS(FER_F,INT(B586))&gt;0,"Feriado"&amp;IF(AH586=1," (laborable)"," (no laborable)"),IF(AH586=1,"Laborable",IF(WEEKDAY(B586,2)&gt;5,"Fin de semana","No laborable"))))</f>
        <v/>
      </c>
      <c r="R586" s="73" t="n"/>
      <c r="S586" s="72" t="n"/>
      <c r="T586" s="72" t="n"/>
      <c r="U586" s="74" t="n"/>
      <c r="V586" s="79" t="str">
        <f>IF(AND(D586="proMX",OR(R586="Submitted",R586="Recall Requested"),ISNUMBER(S586)),CFG_TODAY-INT(S586),"")</f>
        <v/>
      </c>
      <c r="W586" s="78" t="str">
        <f>IF(BD586=0,"",IF(BA586&gt;0,"⚠ Se superpone con un registro de la otra empresa",IF(D586="Malcolm",IF(COUNTA(R586,S586,T586)&gt;0,"Estado/fechas proMX se ignoran en Malcolm",""),IF(BF586="Cancelled","Cancelado: excluido de totales",IF(R586="","Sin estado: se trata como Draft",IF(BF586="Submitted",IF(ISNUMBER(V586),IF(V586&gt;CFG_MAXD,"⚠ "&amp;V586&amp;" días en Submitted (máx. "&amp;CFG_MAXD&amp;")",""),"Falta fecha de envío"),IF(BF586="Returned","⚠ Devuelto: corregir y reenviar",IF(BF586="Recall Requested","Retirada solicitada: pendiente",IF(AND(BF586="Approved",NOT(ISNUMBER(T586))),"Falta fecha de aprobación",IF(AND(ISNUMBER(S586),ISNUMBER(T586),T586&lt;S586),"Aprobación anterior al envío","")))))))))</f>
        <v/>
      </c>
      <c r="Y586" s="80">
        <f>IF(COUNTA(B586,D586,E586,F586,G586,H586,I586,J586,R586,S586,T586)&gt;0,1,0)</f>
        <v>0</v>
      </c>
      <c r="Z586" s="80" t="str">
        <f>IF(AND(ISNUMBER(H586),H586&gt;=0,H586&lt;1),ROUND(H586*1440,0),"")</f>
        <v/>
      </c>
      <c r="AA586" s="80" t="str">
        <f>IF(AND(ISNUMBER(I586),I586&gt;=0,I586&lt;1),ROUND(I586*1440,0),"")</f>
        <v/>
      </c>
      <c r="AB586" s="80">
        <f>IF(AND(ISNUMBER(B586),D586&lt;&gt;"",ISNUMBER(Z586),ISNUMBER(AA586)),IF(Z586=AA586,0,1),0)</f>
        <v>0</v>
      </c>
      <c r="AC586" s="80">
        <f>IF(AB586=1,IF(AA586&lt;Z586,1,0),0)</f>
        <v>0</v>
      </c>
      <c r="AD586" s="80">
        <f>IF(AB586=1,IF(AC586=1,1440-Z586+AA586,AA586-Z586),0)</f>
        <v>0</v>
      </c>
      <c r="AE586" s="80">
        <f>IF(J586="",0,IF(ISNUMBER(J586),J586,-1))</f>
        <v>0</v>
      </c>
      <c r="AF586" s="80">
        <f>MIN(MAX(0,AE586),AD586)</f>
        <v>0</v>
      </c>
      <c r="AG586" s="80">
        <f>MAX(0,AD586-MAX(0,AE586))</f>
        <v>0</v>
      </c>
      <c r="AH586" s="80">
        <f>IF(ISNUMBER(B586),IF(AND(INDEX(CFG_WDAYS,WEEKDAY(INT(B586),2))="Sí",IF(D586="proMX",COUNTIFS(FER_F,INT(B586),FER_NLP,"Sí"),COUNTIFS(FER_F,INT(B586),FER_NLM,"Sí"))=0),1,0),0)</f>
        <v>0</v>
      </c>
      <c r="AI586" s="80">
        <f>IF(AC586=1,IF(AND(INDEX(CFG_WDAYS,WEEKDAY(INT(B586)+1,2))="Sí",IF(D586="proMX",COUNTIFS(FER_F,INT(B586)+1,FER_NLP,"Sí"),COUNTIFS(FER_F,INT(B586)+1,FER_NLM,"Sí"))=0),1,0),0)</f>
        <v>0</v>
      </c>
      <c r="AJ586" s="80">
        <f>IF(AC586=1,1440-Z586,AD586)</f>
        <v>0</v>
      </c>
      <c r="AK586" s="80">
        <f>IF(AND(AB586=1,AH586=1),MAX(0,MIN(IF(AC586=1,1440,AA586),CFG_WEM)-MAX(Z586,CFG_WSM)),0)</f>
        <v>0</v>
      </c>
      <c r="AL586" s="80">
        <f>IF(AND(AC586=1,AI586=1),MAX(0,MIN(AA586,CFG_WEM)-CFG_WSM),0)</f>
        <v>0</v>
      </c>
      <c r="AM586" s="80">
        <f>AK586+AL586</f>
        <v>0</v>
      </c>
      <c r="AN586" s="80">
        <f>IF(CFG_BRK="Proporcional",IF(AD586=0,0,AF586*AM586/AD586),IF(CFG_BRK="Extras primero",MIN(AM586,MAX(0,AF586-(AD586-AM586))),MIN(AF586,AM586)))</f>
        <v>0</v>
      </c>
      <c r="AO586" s="80">
        <f>AF586-AN586</f>
        <v>0</v>
      </c>
      <c r="AP586" s="80">
        <f>AM586-AN586</f>
        <v>0</v>
      </c>
      <c r="AQ586" s="80">
        <f>AD586-AM586-AO586</f>
        <v>0</v>
      </c>
      <c r="AR586" s="80">
        <f>IF(AM586=0,0,AK586-AN586*AK586/AM586)</f>
        <v>0</v>
      </c>
      <c r="AS586" s="80">
        <f>IF(AD586-AM586=0,0,(AJ586-AK586)-AO586*(AJ586-AK586)/(AD586-AM586))</f>
        <v>0</v>
      </c>
      <c r="AT586" s="80" t="str">
        <f>IF(AC586=1,INT(B586)+1,"")</f>
        <v/>
      </c>
      <c r="AU586" s="80">
        <f>IF(AND(D586="proMX",R586="Cancelled"),0,1)</f>
        <v>1</v>
      </c>
      <c r="AV586" s="80">
        <f>IF(AND(AB586=1,AU586=1),IF(COUNTIFS($D$5:D585,D586,$B$5:B585,B586,$Z$5:Z585,Z586,$AA$5:AA585,AA586,$F$5:F585,F586&amp;"",$AU$5:AU585,1)&gt;0,1,0),0)</f>
        <v>0</v>
      </c>
      <c r="AW586" s="80" t="str">
        <f>IF(AB586=1,INT(B586)*1440+Z586,"")</f>
        <v/>
      </c>
      <c r="AX586" s="80" t="str">
        <f>IF(AB586=1,AW586+AD586,"")</f>
        <v/>
      </c>
      <c r="AY586" s="80">
        <f>IF(AND(AB586=1,AV586=0,AU586=1),1,0)</f>
        <v>0</v>
      </c>
      <c r="AZ586" s="80">
        <f>IF(AY586=1,COUNTIFS(R_Emp,D586,R_SAbs,"&lt;"&amp;AX586,R_EAbs,"&gt;"&amp;AW586,R_OKey,1)-1,0)</f>
        <v>0</v>
      </c>
      <c r="BA586" s="80">
        <f>IF(AY586=1,COUNTIFS(R_Emp,"&lt;&gt;"&amp;D586,R_SAbs,"&lt;"&amp;AX586,R_EAbs,"&gt;"&amp;AW586,R_OKey,1),0)</f>
        <v>0</v>
      </c>
      <c r="BB586" s="80">
        <f>IF(AND(AB586=1,D586="proMX"),IF(AND(MOD(Z586,CFG_BLK)=0,MOD(AA586,CFG_BLK)=0,MOD(AG586,CFG_BLK)=0,AG586&gt;0),1,0),1)</f>
        <v>1</v>
      </c>
      <c r="BC586" s="80" t="str">
        <f>IF(Y586=0,"",IF(NOT(ISNUMBER(B586)),"Falta fecha o fecha inválida",IF(D586="","Falta empresa",IF(AND(D586&lt;&gt;"Malcolm",D586&lt;&gt;"proMX"),"Empresa inválida",IF(OR(INT(B586)&lt;CFG_PSTART,INT(B586)&gt;CFG_PEND),"Fecha fuera del período",IF(OR(NOT(ISNUMBER(Z586)),NOT(ISNUMBER(AA586))),"Falta hora inicio/fin o formato inválido",IF(AB586=0,"Hora inicio = hora fin",IF(AE586&lt;0,"Descanso inválido",IF(AE586&gt;=AD586,"Descanso ≥ duración",IF(AV586=1,"Registro duplicado",IF(AZ586&gt;0,"Se superpone con otro registro "&amp;D586,IF(BB586=0,"inicio, fin y duración neta deben ser múltiplos de "&amp;CFG_BLK&amp;" min",""))))))))))))</f>
        <v/>
      </c>
      <c r="BD586" s="80">
        <f>IF(AND(Y586=1,BC586=""),1,0)</f>
        <v>0</v>
      </c>
      <c r="BE586" s="80">
        <f>IF(AND(BD586=1,AU586=1),1,0)</f>
        <v>0</v>
      </c>
      <c r="BF586" s="80" t="str">
        <f>IF(AND(D586="proMX",BD586=1),IF(R586="","Draft",R586),"")</f>
        <v/>
      </c>
      <c r="BG586" s="80">
        <f>IF(BD586=1,ROUND(AG586/60,6),0)</f>
        <v>0</v>
      </c>
      <c r="BH586" s="80">
        <f>IF(BE586=1,ROUND(AG586/60,6),0)</f>
        <v>0</v>
      </c>
      <c r="BI586" s="80">
        <f>IF(BE586=1,ROUND(AP586/60,6),0)</f>
        <v>0</v>
      </c>
      <c r="BJ586" s="80">
        <f>IF(BE586=1,ROUND(AQ586/60,6),0)</f>
        <v>0</v>
      </c>
      <c r="BK586" s="80">
        <f>IF(BE586=1,ROUND((AR586+AS586)/60,6),0)</f>
        <v>0</v>
      </c>
      <c r="BL586" s="80">
        <f>ROUND(BH586-BK586,6)</f>
        <v>0</v>
      </c>
      <c r="BM586" s="80">
        <f>IF(BE586=1,ROUND(AR586/60,6),0)</f>
        <v>0</v>
      </c>
      <c r="BN586" s="80">
        <f>ROUND(BI586-BM586,6)</f>
        <v>0</v>
      </c>
      <c r="BO586" s="80">
        <f>IF(BE586=1,ROUND(AS586/60,6),0)</f>
        <v>0</v>
      </c>
      <c r="BP586" s="80">
        <f>ROUND(BJ586-BO586,6)</f>
        <v>0</v>
      </c>
      <c r="BQ586" s="80">
        <f>IF(BE586=1,AW586,0)</f>
        <v>0</v>
      </c>
      <c r="BR586" s="80">
        <f>IF(BE586=1,AX586,0)</f>
        <v>0</v>
      </c>
      <c r="BS586" s="80">
        <f>IF(AND(BE586=1,D586="Malcolm",BA586&gt;0),MIN(BH586,SUMPRODUCT((R_Emp="proMX")*(R_EN&gt;0)*((R_EN-(R_EN&gt;BR586)*(R_EN-BR586))&gt;(R_SN+(R_SN&lt;BQ586)*(BQ586-R_SN)))*((R_EN-(R_EN&gt;BR586)*(R_EN-BR586))-(R_SN+(R_SN&lt;BQ586)*(BQ586-R_SN))))/60),0)</f>
        <v>0</v>
      </c>
      <c r="BT586" s="80">
        <f>IF(AND(BE586=1,D586="proMX"),ROUND(BI586*CFG_RATE+BJ586*CFG_OTRATE,6),0)</f>
        <v>0</v>
      </c>
      <c r="BU586" s="80">
        <f>IF(AND(BD586=1,D586="proMX"),ROUND(AG586/CFG_BLK,6),0)</f>
        <v>0</v>
      </c>
      <c r="BV586" s="80" t="str">
        <f>IF(BF586="Approved",IF(ISNUMBER(T586),INT(T586),INT(B586)),"")</f>
        <v/>
      </c>
      <c r="BW586" s="80">
        <f>IF(ISNUMBER(B586),IF(DB_MON="Todos",1,IF(AND(INT(B586)&gt;=DB_MS,INT(B586)&lt;=DB_ME),1,0)),0)</f>
        <v>0</v>
      </c>
      <c r="BX586" s="80">
        <f>IF(DB_PROJ="Todos",1,IF(E586&amp;""=DB_PROJ&amp;"",1,0))</f>
        <v>1</v>
      </c>
      <c r="BY586" s="80">
        <f>BW586*BX586</f>
        <v>0</v>
      </c>
      <c r="BZ586" s="80" t="str">
        <f>IF(Y586=1,F586&amp;IF(AND(F586&amp;""&lt;&gt;"",E586&amp;""&lt;&gt;"")," · ","")&amp;E586,"")</f>
        <v/>
      </c>
      <c r="CA586" s="80" t="str">
        <f>IF(AND(BD586=1,E586&amp;""&lt;&gt;""),IF(COUNTIFS($E$5:E585,E586,$BD$5:BD585,1)=0,MAX($CA$5:CA585)+1,""),"")</f>
        <v/>
      </c>
      <c r="CB586" s="80" t="str">
        <f>IF(AND(BE586=1,D586="Malcolm",E586&amp;""&lt;&gt;""),IF(COUNTIFS($D$5:D585,"Malcolm",$E$5:E585,E586,$BE$5:BE585,1)=0,MAX($CB$5:CB585)+1,""),"")</f>
        <v/>
      </c>
      <c r="CC586" s="80" t="str">
        <f>IF(AND(BD586=1,D586="proMX",E586&amp;""&lt;&gt;""),IF(COUNTIFS($D$5:D585,"proMX",$E$5:E585,E586,$BD$5:BD585,1)=0,MAX($CC$5:CC585)+1,""),"")</f>
        <v/>
      </c>
      <c r="CD586" s="80" t="str">
        <f>IF(AND(BE586=1,D586="Malcolm",F586&amp;""&lt;&gt;""),IF(COUNTIFS($D$5:D585,"Malcolm",$F$5:F585,F586,$BE$5:BE585,1)=0,MAX($CD$5:CD585)+1,""),"")</f>
        <v/>
      </c>
      <c r="CE586" s="80" t="str">
        <f>IF(AND(BD586=1,D586="proMX",F586&amp;""&lt;&gt;""),IF(COUNTIFS($D$5:D585,"proMX",$F$5:F585,F586,$BD$5:BD585,1)=0,MAX($CE$5:CE585)+1,""),"")</f>
        <v/>
      </c>
      <c r="CF586" s="80" t="str">
        <f>IF(AND(D586="proMX",BD586=1),IF(OR(BF586="Draft",BF586="Submitted",BF586="Returned",BF586="Recall Requested"),MAX($CF$5:CF585)+1,""),"")</f>
        <v/>
      </c>
      <c r="CG586" s="80">
        <f>IF(BD586=0,0,IF(D586="Malcolm",1,MATCH(BF586,{"Draft","Submitted","Approved","Returned","Recall Requested","Cancelled"},0)+1))</f>
        <v>0</v>
      </c>
      <c r="CH586" s="80">
        <f>IF(AND(BF586="Submitted",ISNUMBER(V586)),IF(V586&gt;CFG_MAXD,1,0),0)</f>
        <v>0</v>
      </c>
    </row>
    <row r="587">
      <c r="A587" s="71" t="str">
        <f>IF(Y587=1,ROW()-5,"")</f>
        <v/>
      </c>
      <c r="B587" s="72" t="n"/>
      <c r="C587" s="71" t="str">
        <f>IF(ISNUMBER(B587),CHOOSE(WEEKDAY(B587,2),"Lun","Mar","Mié","Jue","Vie","Sáb","Dom"),"")</f>
        <v/>
      </c>
      <c r="D587" s="73" t="n"/>
      <c r="E587" s="74" t="n"/>
      <c r="F587" s="74" t="n"/>
      <c r="G587" s="74" t="n"/>
      <c r="H587" s="75" t="n"/>
      <c r="I587" s="75" t="n"/>
      <c r="J587" s="76" t="n"/>
      <c r="K587" s="77" t="str">
        <f>IF(AB587=1,ROUND(AG587/60,4),"")</f>
        <v/>
      </c>
      <c r="L587" s="77" t="str">
        <f>IF(BD587=1,ROUND(AP587/60,4),"")</f>
        <v/>
      </c>
      <c r="M587" s="77" t="str">
        <f>IF(BD587=1,ROUND(AQ587/60,4),"")</f>
        <v/>
      </c>
      <c r="N587" s="71" t="str">
        <f>IF(AND(D587="proMX",AB587=1),ROUND(AG587/CFG_BLK,2),"")</f>
        <v/>
      </c>
      <c r="O587" s="77" t="str">
        <f>IF(D587="proMX",IF(BD587=1,ROUND(AG587/60,4),0),"")</f>
        <v/>
      </c>
      <c r="P587" s="78" t="str">
        <f>IF(Y587=0,"",IF(BD587=1,"OK",IF(D587="proMX","Revisar bloques: ","Revisar: ")&amp;BC587))</f>
        <v/>
      </c>
      <c r="Q587" s="78" t="str">
        <f>IF(NOT(ISNUMBER(B587)),"",IF(COUNTIFS(FER_F,INT(B587))&gt;0,"Feriado"&amp;IF(AH587=1," (laborable)"," (no laborable)"),IF(AH587=1,"Laborable",IF(WEEKDAY(B587,2)&gt;5,"Fin de semana","No laborable"))))</f>
        <v/>
      </c>
      <c r="R587" s="73" t="n"/>
      <c r="S587" s="72" t="n"/>
      <c r="T587" s="72" t="n"/>
      <c r="U587" s="74" t="n"/>
      <c r="V587" s="79" t="str">
        <f>IF(AND(D587="proMX",OR(R587="Submitted",R587="Recall Requested"),ISNUMBER(S587)),CFG_TODAY-INT(S587),"")</f>
        <v/>
      </c>
      <c r="W587" s="78" t="str">
        <f>IF(BD587=0,"",IF(BA587&gt;0,"⚠ Se superpone con un registro de la otra empresa",IF(D587="Malcolm",IF(COUNTA(R587,S587,T587)&gt;0,"Estado/fechas proMX se ignoran en Malcolm",""),IF(BF587="Cancelled","Cancelado: excluido de totales",IF(R587="","Sin estado: se trata como Draft",IF(BF587="Submitted",IF(ISNUMBER(V587),IF(V587&gt;CFG_MAXD,"⚠ "&amp;V587&amp;" días en Submitted (máx. "&amp;CFG_MAXD&amp;")",""),"Falta fecha de envío"),IF(BF587="Returned","⚠ Devuelto: corregir y reenviar",IF(BF587="Recall Requested","Retirada solicitada: pendiente",IF(AND(BF587="Approved",NOT(ISNUMBER(T587))),"Falta fecha de aprobación",IF(AND(ISNUMBER(S587),ISNUMBER(T587),T587&lt;S587),"Aprobación anterior al envío","")))))))))</f>
        <v/>
      </c>
      <c r="Y587" s="80">
        <f>IF(COUNTA(B587,D587,E587,F587,G587,H587,I587,J587,R587,S587,T587)&gt;0,1,0)</f>
        <v>0</v>
      </c>
      <c r="Z587" s="80" t="str">
        <f>IF(AND(ISNUMBER(H587),H587&gt;=0,H587&lt;1),ROUND(H587*1440,0),"")</f>
        <v/>
      </c>
      <c r="AA587" s="80" t="str">
        <f>IF(AND(ISNUMBER(I587),I587&gt;=0,I587&lt;1),ROUND(I587*1440,0),"")</f>
        <v/>
      </c>
      <c r="AB587" s="80">
        <f>IF(AND(ISNUMBER(B587),D587&lt;&gt;"",ISNUMBER(Z587),ISNUMBER(AA587)),IF(Z587=AA587,0,1),0)</f>
        <v>0</v>
      </c>
      <c r="AC587" s="80">
        <f>IF(AB587=1,IF(AA587&lt;Z587,1,0),0)</f>
        <v>0</v>
      </c>
      <c r="AD587" s="80">
        <f>IF(AB587=1,IF(AC587=1,1440-Z587+AA587,AA587-Z587),0)</f>
        <v>0</v>
      </c>
      <c r="AE587" s="80">
        <f>IF(J587="",0,IF(ISNUMBER(J587),J587,-1))</f>
        <v>0</v>
      </c>
      <c r="AF587" s="80">
        <f>MIN(MAX(0,AE587),AD587)</f>
        <v>0</v>
      </c>
      <c r="AG587" s="80">
        <f>MAX(0,AD587-MAX(0,AE587))</f>
        <v>0</v>
      </c>
      <c r="AH587" s="80">
        <f>IF(ISNUMBER(B587),IF(AND(INDEX(CFG_WDAYS,WEEKDAY(INT(B587),2))="Sí",IF(D587="proMX",COUNTIFS(FER_F,INT(B587),FER_NLP,"Sí"),COUNTIFS(FER_F,INT(B587),FER_NLM,"Sí"))=0),1,0),0)</f>
        <v>0</v>
      </c>
      <c r="AI587" s="80">
        <f>IF(AC587=1,IF(AND(INDEX(CFG_WDAYS,WEEKDAY(INT(B587)+1,2))="Sí",IF(D587="proMX",COUNTIFS(FER_F,INT(B587)+1,FER_NLP,"Sí"),COUNTIFS(FER_F,INT(B587)+1,FER_NLM,"Sí"))=0),1,0),0)</f>
        <v>0</v>
      </c>
      <c r="AJ587" s="80">
        <f>IF(AC587=1,1440-Z587,AD587)</f>
        <v>0</v>
      </c>
      <c r="AK587" s="80">
        <f>IF(AND(AB587=1,AH587=1),MAX(0,MIN(IF(AC587=1,1440,AA587),CFG_WEM)-MAX(Z587,CFG_WSM)),0)</f>
        <v>0</v>
      </c>
      <c r="AL587" s="80">
        <f>IF(AND(AC587=1,AI587=1),MAX(0,MIN(AA587,CFG_WEM)-CFG_WSM),0)</f>
        <v>0</v>
      </c>
      <c r="AM587" s="80">
        <f>AK587+AL587</f>
        <v>0</v>
      </c>
      <c r="AN587" s="80">
        <f>IF(CFG_BRK="Proporcional",IF(AD587=0,0,AF587*AM587/AD587),IF(CFG_BRK="Extras primero",MIN(AM587,MAX(0,AF587-(AD587-AM587))),MIN(AF587,AM587)))</f>
        <v>0</v>
      </c>
      <c r="AO587" s="80">
        <f>AF587-AN587</f>
        <v>0</v>
      </c>
      <c r="AP587" s="80">
        <f>AM587-AN587</f>
        <v>0</v>
      </c>
      <c r="AQ587" s="80">
        <f>AD587-AM587-AO587</f>
        <v>0</v>
      </c>
      <c r="AR587" s="80">
        <f>IF(AM587=0,0,AK587-AN587*AK587/AM587)</f>
        <v>0</v>
      </c>
      <c r="AS587" s="80">
        <f>IF(AD587-AM587=0,0,(AJ587-AK587)-AO587*(AJ587-AK587)/(AD587-AM587))</f>
        <v>0</v>
      </c>
      <c r="AT587" s="80" t="str">
        <f>IF(AC587=1,INT(B587)+1,"")</f>
        <v/>
      </c>
      <c r="AU587" s="80">
        <f>IF(AND(D587="proMX",R587="Cancelled"),0,1)</f>
        <v>1</v>
      </c>
      <c r="AV587" s="80">
        <f>IF(AND(AB587=1,AU587=1),IF(COUNTIFS($D$5:D586,D587,$B$5:B586,B587,$Z$5:Z586,Z587,$AA$5:AA586,AA587,$F$5:F586,F587&amp;"",$AU$5:AU586,1)&gt;0,1,0),0)</f>
        <v>0</v>
      </c>
      <c r="AW587" s="80" t="str">
        <f>IF(AB587=1,INT(B587)*1440+Z587,"")</f>
        <v/>
      </c>
      <c r="AX587" s="80" t="str">
        <f>IF(AB587=1,AW587+AD587,"")</f>
        <v/>
      </c>
      <c r="AY587" s="80">
        <f>IF(AND(AB587=1,AV587=0,AU587=1),1,0)</f>
        <v>0</v>
      </c>
      <c r="AZ587" s="80">
        <f>IF(AY587=1,COUNTIFS(R_Emp,D587,R_SAbs,"&lt;"&amp;AX587,R_EAbs,"&gt;"&amp;AW587,R_OKey,1)-1,0)</f>
        <v>0</v>
      </c>
      <c r="BA587" s="80">
        <f>IF(AY587=1,COUNTIFS(R_Emp,"&lt;&gt;"&amp;D587,R_SAbs,"&lt;"&amp;AX587,R_EAbs,"&gt;"&amp;AW587,R_OKey,1),0)</f>
        <v>0</v>
      </c>
      <c r="BB587" s="80">
        <f>IF(AND(AB587=1,D587="proMX"),IF(AND(MOD(Z587,CFG_BLK)=0,MOD(AA587,CFG_BLK)=0,MOD(AG587,CFG_BLK)=0,AG587&gt;0),1,0),1)</f>
        <v>1</v>
      </c>
      <c r="BC587" s="80" t="str">
        <f>IF(Y587=0,"",IF(NOT(ISNUMBER(B587)),"Falta fecha o fecha inválida",IF(D587="","Falta empresa",IF(AND(D587&lt;&gt;"Malcolm",D587&lt;&gt;"proMX"),"Empresa inválida",IF(OR(INT(B587)&lt;CFG_PSTART,INT(B587)&gt;CFG_PEND),"Fecha fuera del período",IF(OR(NOT(ISNUMBER(Z587)),NOT(ISNUMBER(AA587))),"Falta hora inicio/fin o formato inválido",IF(AB587=0,"Hora inicio = hora fin",IF(AE587&lt;0,"Descanso inválido",IF(AE587&gt;=AD587,"Descanso ≥ duración",IF(AV587=1,"Registro duplicado",IF(AZ587&gt;0,"Se superpone con otro registro "&amp;D587,IF(BB587=0,"inicio, fin y duración neta deben ser múltiplos de "&amp;CFG_BLK&amp;" min",""))))))))))))</f>
        <v/>
      </c>
      <c r="BD587" s="80">
        <f>IF(AND(Y587=1,BC587=""),1,0)</f>
        <v>0</v>
      </c>
      <c r="BE587" s="80">
        <f>IF(AND(BD587=1,AU587=1),1,0)</f>
        <v>0</v>
      </c>
      <c r="BF587" s="80" t="str">
        <f>IF(AND(D587="proMX",BD587=1),IF(R587="","Draft",R587),"")</f>
        <v/>
      </c>
      <c r="BG587" s="80">
        <f>IF(BD587=1,ROUND(AG587/60,6),0)</f>
        <v>0</v>
      </c>
      <c r="BH587" s="80">
        <f>IF(BE587=1,ROUND(AG587/60,6),0)</f>
        <v>0</v>
      </c>
      <c r="BI587" s="80">
        <f>IF(BE587=1,ROUND(AP587/60,6),0)</f>
        <v>0</v>
      </c>
      <c r="BJ587" s="80">
        <f>IF(BE587=1,ROUND(AQ587/60,6),0)</f>
        <v>0</v>
      </c>
      <c r="BK587" s="80">
        <f>IF(BE587=1,ROUND((AR587+AS587)/60,6),0)</f>
        <v>0</v>
      </c>
      <c r="BL587" s="80">
        <f>ROUND(BH587-BK587,6)</f>
        <v>0</v>
      </c>
      <c r="BM587" s="80">
        <f>IF(BE587=1,ROUND(AR587/60,6),0)</f>
        <v>0</v>
      </c>
      <c r="BN587" s="80">
        <f>ROUND(BI587-BM587,6)</f>
        <v>0</v>
      </c>
      <c r="BO587" s="80">
        <f>IF(BE587=1,ROUND(AS587/60,6),0)</f>
        <v>0</v>
      </c>
      <c r="BP587" s="80">
        <f>ROUND(BJ587-BO587,6)</f>
        <v>0</v>
      </c>
      <c r="BQ587" s="80">
        <f>IF(BE587=1,AW587,0)</f>
        <v>0</v>
      </c>
      <c r="BR587" s="80">
        <f>IF(BE587=1,AX587,0)</f>
        <v>0</v>
      </c>
      <c r="BS587" s="80">
        <f>IF(AND(BE587=1,D587="Malcolm",BA587&gt;0),MIN(BH587,SUMPRODUCT((R_Emp="proMX")*(R_EN&gt;0)*((R_EN-(R_EN&gt;BR587)*(R_EN-BR587))&gt;(R_SN+(R_SN&lt;BQ587)*(BQ587-R_SN)))*((R_EN-(R_EN&gt;BR587)*(R_EN-BR587))-(R_SN+(R_SN&lt;BQ587)*(BQ587-R_SN))))/60),0)</f>
        <v>0</v>
      </c>
      <c r="BT587" s="80">
        <f>IF(AND(BE587=1,D587="proMX"),ROUND(BI587*CFG_RATE+BJ587*CFG_OTRATE,6),0)</f>
        <v>0</v>
      </c>
      <c r="BU587" s="80">
        <f>IF(AND(BD587=1,D587="proMX"),ROUND(AG587/CFG_BLK,6),0)</f>
        <v>0</v>
      </c>
      <c r="BV587" s="80" t="str">
        <f>IF(BF587="Approved",IF(ISNUMBER(T587),INT(T587),INT(B587)),"")</f>
        <v/>
      </c>
      <c r="BW587" s="80">
        <f>IF(ISNUMBER(B587),IF(DB_MON="Todos",1,IF(AND(INT(B587)&gt;=DB_MS,INT(B587)&lt;=DB_ME),1,0)),0)</f>
        <v>0</v>
      </c>
      <c r="BX587" s="80">
        <f>IF(DB_PROJ="Todos",1,IF(E587&amp;""=DB_PROJ&amp;"",1,0))</f>
        <v>1</v>
      </c>
      <c r="BY587" s="80">
        <f>BW587*BX587</f>
        <v>0</v>
      </c>
      <c r="BZ587" s="80" t="str">
        <f>IF(Y587=1,F587&amp;IF(AND(F587&amp;""&lt;&gt;"",E587&amp;""&lt;&gt;"")," · ","")&amp;E587,"")</f>
        <v/>
      </c>
      <c r="CA587" s="80" t="str">
        <f>IF(AND(BD587=1,E587&amp;""&lt;&gt;""),IF(COUNTIFS($E$5:E586,E587,$BD$5:BD586,1)=0,MAX($CA$5:CA586)+1,""),"")</f>
        <v/>
      </c>
      <c r="CB587" s="80" t="str">
        <f>IF(AND(BE587=1,D587="Malcolm",E587&amp;""&lt;&gt;""),IF(COUNTIFS($D$5:D586,"Malcolm",$E$5:E586,E587,$BE$5:BE586,1)=0,MAX($CB$5:CB586)+1,""),"")</f>
        <v/>
      </c>
      <c r="CC587" s="80" t="str">
        <f>IF(AND(BD587=1,D587="proMX",E587&amp;""&lt;&gt;""),IF(COUNTIFS($D$5:D586,"proMX",$E$5:E586,E587,$BD$5:BD586,1)=0,MAX($CC$5:CC586)+1,""),"")</f>
        <v/>
      </c>
      <c r="CD587" s="80" t="str">
        <f>IF(AND(BE587=1,D587="Malcolm",F587&amp;""&lt;&gt;""),IF(COUNTIFS($D$5:D586,"Malcolm",$F$5:F586,F587,$BE$5:BE586,1)=0,MAX($CD$5:CD586)+1,""),"")</f>
        <v/>
      </c>
      <c r="CE587" s="80" t="str">
        <f>IF(AND(BD587=1,D587="proMX",F587&amp;""&lt;&gt;""),IF(COUNTIFS($D$5:D586,"proMX",$F$5:F586,F587,$BD$5:BD586,1)=0,MAX($CE$5:CE586)+1,""),"")</f>
        <v/>
      </c>
      <c r="CF587" s="80" t="str">
        <f>IF(AND(D587="proMX",BD587=1),IF(OR(BF587="Draft",BF587="Submitted",BF587="Returned",BF587="Recall Requested"),MAX($CF$5:CF586)+1,""),"")</f>
        <v/>
      </c>
      <c r="CG587" s="80">
        <f>IF(BD587=0,0,IF(D587="Malcolm",1,MATCH(BF587,{"Draft","Submitted","Approved","Returned","Recall Requested","Cancelled"},0)+1))</f>
        <v>0</v>
      </c>
      <c r="CH587" s="80">
        <f>IF(AND(BF587="Submitted",ISNUMBER(V587)),IF(V587&gt;CFG_MAXD,1,0),0)</f>
        <v>0</v>
      </c>
    </row>
    <row r="588">
      <c r="A588" s="71" t="str">
        <f>IF(Y588=1,ROW()-5,"")</f>
        <v/>
      </c>
      <c r="B588" s="72" t="n"/>
      <c r="C588" s="71" t="str">
        <f>IF(ISNUMBER(B588),CHOOSE(WEEKDAY(B588,2),"Lun","Mar","Mié","Jue","Vie","Sáb","Dom"),"")</f>
        <v/>
      </c>
      <c r="D588" s="73" t="n"/>
      <c r="E588" s="74" t="n"/>
      <c r="F588" s="74" t="n"/>
      <c r="G588" s="74" t="n"/>
      <c r="H588" s="75" t="n"/>
      <c r="I588" s="75" t="n"/>
      <c r="J588" s="76" t="n"/>
      <c r="K588" s="77" t="str">
        <f>IF(AB588=1,ROUND(AG588/60,4),"")</f>
        <v/>
      </c>
      <c r="L588" s="77" t="str">
        <f>IF(BD588=1,ROUND(AP588/60,4),"")</f>
        <v/>
      </c>
      <c r="M588" s="77" t="str">
        <f>IF(BD588=1,ROUND(AQ588/60,4),"")</f>
        <v/>
      </c>
      <c r="N588" s="71" t="str">
        <f>IF(AND(D588="proMX",AB588=1),ROUND(AG588/CFG_BLK,2),"")</f>
        <v/>
      </c>
      <c r="O588" s="77" t="str">
        <f>IF(D588="proMX",IF(BD588=1,ROUND(AG588/60,4),0),"")</f>
        <v/>
      </c>
      <c r="P588" s="78" t="str">
        <f>IF(Y588=0,"",IF(BD588=1,"OK",IF(D588="proMX","Revisar bloques: ","Revisar: ")&amp;BC588))</f>
        <v/>
      </c>
      <c r="Q588" s="78" t="str">
        <f>IF(NOT(ISNUMBER(B588)),"",IF(COUNTIFS(FER_F,INT(B588))&gt;0,"Feriado"&amp;IF(AH588=1," (laborable)"," (no laborable)"),IF(AH588=1,"Laborable",IF(WEEKDAY(B588,2)&gt;5,"Fin de semana","No laborable"))))</f>
        <v/>
      </c>
      <c r="R588" s="73" t="n"/>
      <c r="S588" s="72" t="n"/>
      <c r="T588" s="72" t="n"/>
      <c r="U588" s="74" t="n"/>
      <c r="V588" s="79" t="str">
        <f>IF(AND(D588="proMX",OR(R588="Submitted",R588="Recall Requested"),ISNUMBER(S588)),CFG_TODAY-INT(S588),"")</f>
        <v/>
      </c>
      <c r="W588" s="78" t="str">
        <f>IF(BD588=0,"",IF(BA588&gt;0,"⚠ Se superpone con un registro de la otra empresa",IF(D588="Malcolm",IF(COUNTA(R588,S588,T588)&gt;0,"Estado/fechas proMX se ignoran en Malcolm",""),IF(BF588="Cancelled","Cancelado: excluido de totales",IF(R588="","Sin estado: se trata como Draft",IF(BF588="Submitted",IF(ISNUMBER(V588),IF(V588&gt;CFG_MAXD,"⚠ "&amp;V588&amp;" días en Submitted (máx. "&amp;CFG_MAXD&amp;")",""),"Falta fecha de envío"),IF(BF588="Returned","⚠ Devuelto: corregir y reenviar",IF(BF588="Recall Requested","Retirada solicitada: pendiente",IF(AND(BF588="Approved",NOT(ISNUMBER(T588))),"Falta fecha de aprobación",IF(AND(ISNUMBER(S588),ISNUMBER(T588),T588&lt;S588),"Aprobación anterior al envío","")))))))))</f>
        <v/>
      </c>
      <c r="Y588" s="80">
        <f>IF(COUNTA(B588,D588,E588,F588,G588,H588,I588,J588,R588,S588,T588)&gt;0,1,0)</f>
        <v>0</v>
      </c>
      <c r="Z588" s="80" t="str">
        <f>IF(AND(ISNUMBER(H588),H588&gt;=0,H588&lt;1),ROUND(H588*1440,0),"")</f>
        <v/>
      </c>
      <c r="AA588" s="80" t="str">
        <f>IF(AND(ISNUMBER(I588),I588&gt;=0,I588&lt;1),ROUND(I588*1440,0),"")</f>
        <v/>
      </c>
      <c r="AB588" s="80">
        <f>IF(AND(ISNUMBER(B588),D588&lt;&gt;"",ISNUMBER(Z588),ISNUMBER(AA588)),IF(Z588=AA588,0,1),0)</f>
        <v>0</v>
      </c>
      <c r="AC588" s="80">
        <f>IF(AB588=1,IF(AA588&lt;Z588,1,0),0)</f>
        <v>0</v>
      </c>
      <c r="AD588" s="80">
        <f>IF(AB588=1,IF(AC588=1,1440-Z588+AA588,AA588-Z588),0)</f>
        <v>0</v>
      </c>
      <c r="AE588" s="80">
        <f>IF(J588="",0,IF(ISNUMBER(J588),J588,-1))</f>
        <v>0</v>
      </c>
      <c r="AF588" s="80">
        <f>MIN(MAX(0,AE588),AD588)</f>
        <v>0</v>
      </c>
      <c r="AG588" s="80">
        <f>MAX(0,AD588-MAX(0,AE588))</f>
        <v>0</v>
      </c>
      <c r="AH588" s="80">
        <f>IF(ISNUMBER(B588),IF(AND(INDEX(CFG_WDAYS,WEEKDAY(INT(B588),2))="Sí",IF(D588="proMX",COUNTIFS(FER_F,INT(B588),FER_NLP,"Sí"),COUNTIFS(FER_F,INT(B588),FER_NLM,"Sí"))=0),1,0),0)</f>
        <v>0</v>
      </c>
      <c r="AI588" s="80">
        <f>IF(AC588=1,IF(AND(INDEX(CFG_WDAYS,WEEKDAY(INT(B588)+1,2))="Sí",IF(D588="proMX",COUNTIFS(FER_F,INT(B588)+1,FER_NLP,"Sí"),COUNTIFS(FER_F,INT(B588)+1,FER_NLM,"Sí"))=0),1,0),0)</f>
        <v>0</v>
      </c>
      <c r="AJ588" s="80">
        <f>IF(AC588=1,1440-Z588,AD588)</f>
        <v>0</v>
      </c>
      <c r="AK588" s="80">
        <f>IF(AND(AB588=1,AH588=1),MAX(0,MIN(IF(AC588=1,1440,AA588),CFG_WEM)-MAX(Z588,CFG_WSM)),0)</f>
        <v>0</v>
      </c>
      <c r="AL588" s="80">
        <f>IF(AND(AC588=1,AI588=1),MAX(0,MIN(AA588,CFG_WEM)-CFG_WSM),0)</f>
        <v>0</v>
      </c>
      <c r="AM588" s="80">
        <f>AK588+AL588</f>
        <v>0</v>
      </c>
      <c r="AN588" s="80">
        <f>IF(CFG_BRK="Proporcional",IF(AD588=0,0,AF588*AM588/AD588),IF(CFG_BRK="Extras primero",MIN(AM588,MAX(0,AF588-(AD588-AM588))),MIN(AF588,AM588)))</f>
        <v>0</v>
      </c>
      <c r="AO588" s="80">
        <f>AF588-AN588</f>
        <v>0</v>
      </c>
      <c r="AP588" s="80">
        <f>AM588-AN588</f>
        <v>0</v>
      </c>
      <c r="AQ588" s="80">
        <f>AD588-AM588-AO588</f>
        <v>0</v>
      </c>
      <c r="AR588" s="80">
        <f>IF(AM588=0,0,AK588-AN588*AK588/AM588)</f>
        <v>0</v>
      </c>
      <c r="AS588" s="80">
        <f>IF(AD588-AM588=0,0,(AJ588-AK588)-AO588*(AJ588-AK588)/(AD588-AM588))</f>
        <v>0</v>
      </c>
      <c r="AT588" s="80" t="str">
        <f>IF(AC588=1,INT(B588)+1,"")</f>
        <v/>
      </c>
      <c r="AU588" s="80">
        <f>IF(AND(D588="proMX",R588="Cancelled"),0,1)</f>
        <v>1</v>
      </c>
      <c r="AV588" s="80">
        <f>IF(AND(AB588=1,AU588=1),IF(COUNTIFS($D$5:D587,D588,$B$5:B587,B588,$Z$5:Z587,Z588,$AA$5:AA587,AA588,$F$5:F587,F588&amp;"",$AU$5:AU587,1)&gt;0,1,0),0)</f>
        <v>0</v>
      </c>
      <c r="AW588" s="80" t="str">
        <f>IF(AB588=1,INT(B588)*1440+Z588,"")</f>
        <v/>
      </c>
      <c r="AX588" s="80" t="str">
        <f>IF(AB588=1,AW588+AD588,"")</f>
        <v/>
      </c>
      <c r="AY588" s="80">
        <f>IF(AND(AB588=1,AV588=0,AU588=1),1,0)</f>
        <v>0</v>
      </c>
      <c r="AZ588" s="80">
        <f>IF(AY588=1,COUNTIFS(R_Emp,D588,R_SAbs,"&lt;"&amp;AX588,R_EAbs,"&gt;"&amp;AW588,R_OKey,1)-1,0)</f>
        <v>0</v>
      </c>
      <c r="BA588" s="80">
        <f>IF(AY588=1,COUNTIFS(R_Emp,"&lt;&gt;"&amp;D588,R_SAbs,"&lt;"&amp;AX588,R_EAbs,"&gt;"&amp;AW588,R_OKey,1),0)</f>
        <v>0</v>
      </c>
      <c r="BB588" s="80">
        <f>IF(AND(AB588=1,D588="proMX"),IF(AND(MOD(Z588,CFG_BLK)=0,MOD(AA588,CFG_BLK)=0,MOD(AG588,CFG_BLK)=0,AG588&gt;0),1,0),1)</f>
        <v>1</v>
      </c>
      <c r="BC588" s="80" t="str">
        <f>IF(Y588=0,"",IF(NOT(ISNUMBER(B588)),"Falta fecha o fecha inválida",IF(D588="","Falta empresa",IF(AND(D588&lt;&gt;"Malcolm",D588&lt;&gt;"proMX"),"Empresa inválida",IF(OR(INT(B588)&lt;CFG_PSTART,INT(B588)&gt;CFG_PEND),"Fecha fuera del período",IF(OR(NOT(ISNUMBER(Z588)),NOT(ISNUMBER(AA588))),"Falta hora inicio/fin o formato inválido",IF(AB588=0,"Hora inicio = hora fin",IF(AE588&lt;0,"Descanso inválido",IF(AE588&gt;=AD588,"Descanso ≥ duración",IF(AV588=1,"Registro duplicado",IF(AZ588&gt;0,"Se superpone con otro registro "&amp;D588,IF(BB588=0,"inicio, fin y duración neta deben ser múltiplos de "&amp;CFG_BLK&amp;" min",""))))))))))))</f>
        <v/>
      </c>
      <c r="BD588" s="80">
        <f>IF(AND(Y588=1,BC588=""),1,0)</f>
        <v>0</v>
      </c>
      <c r="BE588" s="80">
        <f>IF(AND(BD588=1,AU588=1),1,0)</f>
        <v>0</v>
      </c>
      <c r="BF588" s="80" t="str">
        <f>IF(AND(D588="proMX",BD588=1),IF(R588="","Draft",R588),"")</f>
        <v/>
      </c>
      <c r="BG588" s="80">
        <f>IF(BD588=1,ROUND(AG588/60,6),0)</f>
        <v>0</v>
      </c>
      <c r="BH588" s="80">
        <f>IF(BE588=1,ROUND(AG588/60,6),0)</f>
        <v>0</v>
      </c>
      <c r="BI588" s="80">
        <f>IF(BE588=1,ROUND(AP588/60,6),0)</f>
        <v>0</v>
      </c>
      <c r="BJ588" s="80">
        <f>IF(BE588=1,ROUND(AQ588/60,6),0)</f>
        <v>0</v>
      </c>
      <c r="BK588" s="80">
        <f>IF(BE588=1,ROUND((AR588+AS588)/60,6),0)</f>
        <v>0</v>
      </c>
      <c r="BL588" s="80">
        <f>ROUND(BH588-BK588,6)</f>
        <v>0</v>
      </c>
      <c r="BM588" s="80">
        <f>IF(BE588=1,ROUND(AR588/60,6),0)</f>
        <v>0</v>
      </c>
      <c r="BN588" s="80">
        <f>ROUND(BI588-BM588,6)</f>
        <v>0</v>
      </c>
      <c r="BO588" s="80">
        <f>IF(BE588=1,ROUND(AS588/60,6),0)</f>
        <v>0</v>
      </c>
      <c r="BP588" s="80">
        <f>ROUND(BJ588-BO588,6)</f>
        <v>0</v>
      </c>
      <c r="BQ588" s="80">
        <f>IF(BE588=1,AW588,0)</f>
        <v>0</v>
      </c>
      <c r="BR588" s="80">
        <f>IF(BE588=1,AX588,0)</f>
        <v>0</v>
      </c>
      <c r="BS588" s="80">
        <f>IF(AND(BE588=1,D588="Malcolm",BA588&gt;0),MIN(BH588,SUMPRODUCT((R_Emp="proMX")*(R_EN&gt;0)*((R_EN-(R_EN&gt;BR588)*(R_EN-BR588))&gt;(R_SN+(R_SN&lt;BQ588)*(BQ588-R_SN)))*((R_EN-(R_EN&gt;BR588)*(R_EN-BR588))-(R_SN+(R_SN&lt;BQ588)*(BQ588-R_SN))))/60),0)</f>
        <v>0</v>
      </c>
      <c r="BT588" s="80">
        <f>IF(AND(BE588=1,D588="proMX"),ROUND(BI588*CFG_RATE+BJ588*CFG_OTRATE,6),0)</f>
        <v>0</v>
      </c>
      <c r="BU588" s="80">
        <f>IF(AND(BD588=1,D588="proMX"),ROUND(AG588/CFG_BLK,6),0)</f>
        <v>0</v>
      </c>
      <c r="BV588" s="80" t="str">
        <f>IF(BF588="Approved",IF(ISNUMBER(T588),INT(T588),INT(B588)),"")</f>
        <v/>
      </c>
      <c r="BW588" s="80">
        <f>IF(ISNUMBER(B588),IF(DB_MON="Todos",1,IF(AND(INT(B588)&gt;=DB_MS,INT(B588)&lt;=DB_ME),1,0)),0)</f>
        <v>0</v>
      </c>
      <c r="BX588" s="80">
        <f>IF(DB_PROJ="Todos",1,IF(E588&amp;""=DB_PROJ&amp;"",1,0))</f>
        <v>1</v>
      </c>
      <c r="BY588" s="80">
        <f>BW588*BX588</f>
        <v>0</v>
      </c>
      <c r="BZ588" s="80" t="str">
        <f>IF(Y588=1,F588&amp;IF(AND(F588&amp;""&lt;&gt;"",E588&amp;""&lt;&gt;"")," · ","")&amp;E588,"")</f>
        <v/>
      </c>
      <c r="CA588" s="80" t="str">
        <f>IF(AND(BD588=1,E588&amp;""&lt;&gt;""),IF(COUNTIFS($E$5:E587,E588,$BD$5:BD587,1)=0,MAX($CA$5:CA587)+1,""),"")</f>
        <v/>
      </c>
      <c r="CB588" s="80" t="str">
        <f>IF(AND(BE588=1,D588="Malcolm",E588&amp;""&lt;&gt;""),IF(COUNTIFS($D$5:D587,"Malcolm",$E$5:E587,E588,$BE$5:BE587,1)=0,MAX($CB$5:CB587)+1,""),"")</f>
        <v/>
      </c>
      <c r="CC588" s="80" t="str">
        <f>IF(AND(BD588=1,D588="proMX",E588&amp;""&lt;&gt;""),IF(COUNTIFS($D$5:D587,"proMX",$E$5:E587,E588,$BD$5:BD587,1)=0,MAX($CC$5:CC587)+1,""),"")</f>
        <v/>
      </c>
      <c r="CD588" s="80" t="str">
        <f>IF(AND(BE588=1,D588="Malcolm",F588&amp;""&lt;&gt;""),IF(COUNTIFS($D$5:D587,"Malcolm",$F$5:F587,F588,$BE$5:BE587,1)=0,MAX($CD$5:CD587)+1,""),"")</f>
        <v/>
      </c>
      <c r="CE588" s="80" t="str">
        <f>IF(AND(BD588=1,D588="proMX",F588&amp;""&lt;&gt;""),IF(COUNTIFS($D$5:D587,"proMX",$F$5:F587,F588,$BD$5:BD587,1)=0,MAX($CE$5:CE587)+1,""),"")</f>
        <v/>
      </c>
      <c r="CF588" s="80" t="str">
        <f>IF(AND(D588="proMX",BD588=1),IF(OR(BF588="Draft",BF588="Submitted",BF588="Returned",BF588="Recall Requested"),MAX($CF$5:CF587)+1,""),"")</f>
        <v/>
      </c>
      <c r="CG588" s="80">
        <f>IF(BD588=0,0,IF(D588="Malcolm",1,MATCH(BF588,{"Draft","Submitted","Approved","Returned","Recall Requested","Cancelled"},0)+1))</f>
        <v>0</v>
      </c>
      <c r="CH588" s="80">
        <f>IF(AND(BF588="Submitted",ISNUMBER(V588)),IF(V588&gt;CFG_MAXD,1,0),0)</f>
        <v>0</v>
      </c>
    </row>
    <row r="589">
      <c r="A589" s="71" t="str">
        <f>IF(Y589=1,ROW()-5,"")</f>
        <v/>
      </c>
      <c r="B589" s="72" t="n"/>
      <c r="C589" s="71" t="str">
        <f>IF(ISNUMBER(B589),CHOOSE(WEEKDAY(B589,2),"Lun","Mar","Mié","Jue","Vie","Sáb","Dom"),"")</f>
        <v/>
      </c>
      <c r="D589" s="73" t="n"/>
      <c r="E589" s="74" t="n"/>
      <c r="F589" s="74" t="n"/>
      <c r="G589" s="74" t="n"/>
      <c r="H589" s="75" t="n"/>
      <c r="I589" s="75" t="n"/>
      <c r="J589" s="76" t="n"/>
      <c r="K589" s="77" t="str">
        <f>IF(AB589=1,ROUND(AG589/60,4),"")</f>
        <v/>
      </c>
      <c r="L589" s="77" t="str">
        <f>IF(BD589=1,ROUND(AP589/60,4),"")</f>
        <v/>
      </c>
      <c r="M589" s="77" t="str">
        <f>IF(BD589=1,ROUND(AQ589/60,4),"")</f>
        <v/>
      </c>
      <c r="N589" s="71" t="str">
        <f>IF(AND(D589="proMX",AB589=1),ROUND(AG589/CFG_BLK,2),"")</f>
        <v/>
      </c>
      <c r="O589" s="77" t="str">
        <f>IF(D589="proMX",IF(BD589=1,ROUND(AG589/60,4),0),"")</f>
        <v/>
      </c>
      <c r="P589" s="78" t="str">
        <f>IF(Y589=0,"",IF(BD589=1,"OK",IF(D589="proMX","Revisar bloques: ","Revisar: ")&amp;BC589))</f>
        <v/>
      </c>
      <c r="Q589" s="78" t="str">
        <f>IF(NOT(ISNUMBER(B589)),"",IF(COUNTIFS(FER_F,INT(B589))&gt;0,"Feriado"&amp;IF(AH589=1," (laborable)"," (no laborable)"),IF(AH589=1,"Laborable",IF(WEEKDAY(B589,2)&gt;5,"Fin de semana","No laborable"))))</f>
        <v/>
      </c>
      <c r="R589" s="73" t="n"/>
      <c r="S589" s="72" t="n"/>
      <c r="T589" s="72" t="n"/>
      <c r="U589" s="74" t="n"/>
      <c r="V589" s="79" t="str">
        <f>IF(AND(D589="proMX",OR(R589="Submitted",R589="Recall Requested"),ISNUMBER(S589)),CFG_TODAY-INT(S589),"")</f>
        <v/>
      </c>
      <c r="W589" s="78" t="str">
        <f>IF(BD589=0,"",IF(BA589&gt;0,"⚠ Se superpone con un registro de la otra empresa",IF(D589="Malcolm",IF(COUNTA(R589,S589,T589)&gt;0,"Estado/fechas proMX se ignoran en Malcolm",""),IF(BF589="Cancelled","Cancelado: excluido de totales",IF(R589="","Sin estado: se trata como Draft",IF(BF589="Submitted",IF(ISNUMBER(V589),IF(V589&gt;CFG_MAXD,"⚠ "&amp;V589&amp;" días en Submitted (máx. "&amp;CFG_MAXD&amp;")",""),"Falta fecha de envío"),IF(BF589="Returned","⚠ Devuelto: corregir y reenviar",IF(BF589="Recall Requested","Retirada solicitada: pendiente",IF(AND(BF589="Approved",NOT(ISNUMBER(T589))),"Falta fecha de aprobación",IF(AND(ISNUMBER(S589),ISNUMBER(T589),T589&lt;S589),"Aprobación anterior al envío","")))))))))</f>
        <v/>
      </c>
      <c r="Y589" s="80">
        <f>IF(COUNTA(B589,D589,E589,F589,G589,H589,I589,J589,R589,S589,T589)&gt;0,1,0)</f>
        <v>0</v>
      </c>
      <c r="Z589" s="80" t="str">
        <f>IF(AND(ISNUMBER(H589),H589&gt;=0,H589&lt;1),ROUND(H589*1440,0),"")</f>
        <v/>
      </c>
      <c r="AA589" s="80" t="str">
        <f>IF(AND(ISNUMBER(I589),I589&gt;=0,I589&lt;1),ROUND(I589*1440,0),"")</f>
        <v/>
      </c>
      <c r="AB589" s="80">
        <f>IF(AND(ISNUMBER(B589),D589&lt;&gt;"",ISNUMBER(Z589),ISNUMBER(AA589)),IF(Z589=AA589,0,1),0)</f>
        <v>0</v>
      </c>
      <c r="AC589" s="80">
        <f>IF(AB589=1,IF(AA589&lt;Z589,1,0),0)</f>
        <v>0</v>
      </c>
      <c r="AD589" s="80">
        <f>IF(AB589=1,IF(AC589=1,1440-Z589+AA589,AA589-Z589),0)</f>
        <v>0</v>
      </c>
      <c r="AE589" s="80">
        <f>IF(J589="",0,IF(ISNUMBER(J589),J589,-1))</f>
        <v>0</v>
      </c>
      <c r="AF589" s="80">
        <f>MIN(MAX(0,AE589),AD589)</f>
        <v>0</v>
      </c>
      <c r="AG589" s="80">
        <f>MAX(0,AD589-MAX(0,AE589))</f>
        <v>0</v>
      </c>
      <c r="AH589" s="80">
        <f>IF(ISNUMBER(B589),IF(AND(INDEX(CFG_WDAYS,WEEKDAY(INT(B589),2))="Sí",IF(D589="proMX",COUNTIFS(FER_F,INT(B589),FER_NLP,"Sí"),COUNTIFS(FER_F,INT(B589),FER_NLM,"Sí"))=0),1,0),0)</f>
        <v>0</v>
      </c>
      <c r="AI589" s="80">
        <f>IF(AC589=1,IF(AND(INDEX(CFG_WDAYS,WEEKDAY(INT(B589)+1,2))="Sí",IF(D589="proMX",COUNTIFS(FER_F,INT(B589)+1,FER_NLP,"Sí"),COUNTIFS(FER_F,INT(B589)+1,FER_NLM,"Sí"))=0),1,0),0)</f>
        <v>0</v>
      </c>
      <c r="AJ589" s="80">
        <f>IF(AC589=1,1440-Z589,AD589)</f>
        <v>0</v>
      </c>
      <c r="AK589" s="80">
        <f>IF(AND(AB589=1,AH589=1),MAX(0,MIN(IF(AC589=1,1440,AA589),CFG_WEM)-MAX(Z589,CFG_WSM)),0)</f>
        <v>0</v>
      </c>
      <c r="AL589" s="80">
        <f>IF(AND(AC589=1,AI589=1),MAX(0,MIN(AA589,CFG_WEM)-CFG_WSM),0)</f>
        <v>0</v>
      </c>
      <c r="AM589" s="80">
        <f>AK589+AL589</f>
        <v>0</v>
      </c>
      <c r="AN589" s="80">
        <f>IF(CFG_BRK="Proporcional",IF(AD589=0,0,AF589*AM589/AD589),IF(CFG_BRK="Extras primero",MIN(AM589,MAX(0,AF589-(AD589-AM589))),MIN(AF589,AM589)))</f>
        <v>0</v>
      </c>
      <c r="AO589" s="80">
        <f>AF589-AN589</f>
        <v>0</v>
      </c>
      <c r="AP589" s="80">
        <f>AM589-AN589</f>
        <v>0</v>
      </c>
      <c r="AQ589" s="80">
        <f>AD589-AM589-AO589</f>
        <v>0</v>
      </c>
      <c r="AR589" s="80">
        <f>IF(AM589=0,0,AK589-AN589*AK589/AM589)</f>
        <v>0</v>
      </c>
      <c r="AS589" s="80">
        <f>IF(AD589-AM589=0,0,(AJ589-AK589)-AO589*(AJ589-AK589)/(AD589-AM589))</f>
        <v>0</v>
      </c>
      <c r="AT589" s="80" t="str">
        <f>IF(AC589=1,INT(B589)+1,"")</f>
        <v/>
      </c>
      <c r="AU589" s="80">
        <f>IF(AND(D589="proMX",R589="Cancelled"),0,1)</f>
        <v>1</v>
      </c>
      <c r="AV589" s="80">
        <f>IF(AND(AB589=1,AU589=1),IF(COUNTIFS($D$5:D588,D589,$B$5:B588,B589,$Z$5:Z588,Z589,$AA$5:AA588,AA589,$F$5:F588,F589&amp;"",$AU$5:AU588,1)&gt;0,1,0),0)</f>
        <v>0</v>
      </c>
      <c r="AW589" s="80" t="str">
        <f>IF(AB589=1,INT(B589)*1440+Z589,"")</f>
        <v/>
      </c>
      <c r="AX589" s="80" t="str">
        <f>IF(AB589=1,AW589+AD589,"")</f>
        <v/>
      </c>
      <c r="AY589" s="80">
        <f>IF(AND(AB589=1,AV589=0,AU589=1),1,0)</f>
        <v>0</v>
      </c>
      <c r="AZ589" s="80">
        <f>IF(AY589=1,COUNTIFS(R_Emp,D589,R_SAbs,"&lt;"&amp;AX589,R_EAbs,"&gt;"&amp;AW589,R_OKey,1)-1,0)</f>
        <v>0</v>
      </c>
      <c r="BA589" s="80">
        <f>IF(AY589=1,COUNTIFS(R_Emp,"&lt;&gt;"&amp;D589,R_SAbs,"&lt;"&amp;AX589,R_EAbs,"&gt;"&amp;AW589,R_OKey,1),0)</f>
        <v>0</v>
      </c>
      <c r="BB589" s="80">
        <f>IF(AND(AB589=1,D589="proMX"),IF(AND(MOD(Z589,CFG_BLK)=0,MOD(AA589,CFG_BLK)=0,MOD(AG589,CFG_BLK)=0,AG589&gt;0),1,0),1)</f>
        <v>1</v>
      </c>
      <c r="BC589" s="80" t="str">
        <f>IF(Y589=0,"",IF(NOT(ISNUMBER(B589)),"Falta fecha o fecha inválida",IF(D589="","Falta empresa",IF(AND(D589&lt;&gt;"Malcolm",D589&lt;&gt;"proMX"),"Empresa inválida",IF(OR(INT(B589)&lt;CFG_PSTART,INT(B589)&gt;CFG_PEND),"Fecha fuera del período",IF(OR(NOT(ISNUMBER(Z589)),NOT(ISNUMBER(AA589))),"Falta hora inicio/fin o formato inválido",IF(AB589=0,"Hora inicio = hora fin",IF(AE589&lt;0,"Descanso inválido",IF(AE589&gt;=AD589,"Descanso ≥ duración",IF(AV589=1,"Registro duplicado",IF(AZ589&gt;0,"Se superpone con otro registro "&amp;D589,IF(BB589=0,"inicio, fin y duración neta deben ser múltiplos de "&amp;CFG_BLK&amp;" min",""))))))))))))</f>
        <v/>
      </c>
      <c r="BD589" s="80">
        <f>IF(AND(Y589=1,BC589=""),1,0)</f>
        <v>0</v>
      </c>
      <c r="BE589" s="80">
        <f>IF(AND(BD589=1,AU589=1),1,0)</f>
        <v>0</v>
      </c>
      <c r="BF589" s="80" t="str">
        <f>IF(AND(D589="proMX",BD589=1),IF(R589="","Draft",R589),"")</f>
        <v/>
      </c>
      <c r="BG589" s="80">
        <f>IF(BD589=1,ROUND(AG589/60,6),0)</f>
        <v>0</v>
      </c>
      <c r="BH589" s="80">
        <f>IF(BE589=1,ROUND(AG589/60,6),0)</f>
        <v>0</v>
      </c>
      <c r="BI589" s="80">
        <f>IF(BE589=1,ROUND(AP589/60,6),0)</f>
        <v>0</v>
      </c>
      <c r="BJ589" s="80">
        <f>IF(BE589=1,ROUND(AQ589/60,6),0)</f>
        <v>0</v>
      </c>
      <c r="BK589" s="80">
        <f>IF(BE589=1,ROUND((AR589+AS589)/60,6),0)</f>
        <v>0</v>
      </c>
      <c r="BL589" s="80">
        <f>ROUND(BH589-BK589,6)</f>
        <v>0</v>
      </c>
      <c r="BM589" s="80">
        <f>IF(BE589=1,ROUND(AR589/60,6),0)</f>
        <v>0</v>
      </c>
      <c r="BN589" s="80">
        <f>ROUND(BI589-BM589,6)</f>
        <v>0</v>
      </c>
      <c r="BO589" s="80">
        <f>IF(BE589=1,ROUND(AS589/60,6),0)</f>
        <v>0</v>
      </c>
      <c r="BP589" s="80">
        <f>ROUND(BJ589-BO589,6)</f>
        <v>0</v>
      </c>
      <c r="BQ589" s="80">
        <f>IF(BE589=1,AW589,0)</f>
        <v>0</v>
      </c>
      <c r="BR589" s="80">
        <f>IF(BE589=1,AX589,0)</f>
        <v>0</v>
      </c>
      <c r="BS589" s="80">
        <f>IF(AND(BE589=1,D589="Malcolm",BA589&gt;0),MIN(BH589,SUMPRODUCT((R_Emp="proMX")*(R_EN&gt;0)*((R_EN-(R_EN&gt;BR589)*(R_EN-BR589))&gt;(R_SN+(R_SN&lt;BQ589)*(BQ589-R_SN)))*((R_EN-(R_EN&gt;BR589)*(R_EN-BR589))-(R_SN+(R_SN&lt;BQ589)*(BQ589-R_SN))))/60),0)</f>
        <v>0</v>
      </c>
      <c r="BT589" s="80">
        <f>IF(AND(BE589=1,D589="proMX"),ROUND(BI589*CFG_RATE+BJ589*CFG_OTRATE,6),0)</f>
        <v>0</v>
      </c>
      <c r="BU589" s="80">
        <f>IF(AND(BD589=1,D589="proMX"),ROUND(AG589/CFG_BLK,6),0)</f>
        <v>0</v>
      </c>
      <c r="BV589" s="80" t="str">
        <f>IF(BF589="Approved",IF(ISNUMBER(T589),INT(T589),INT(B589)),"")</f>
        <v/>
      </c>
      <c r="BW589" s="80">
        <f>IF(ISNUMBER(B589),IF(DB_MON="Todos",1,IF(AND(INT(B589)&gt;=DB_MS,INT(B589)&lt;=DB_ME),1,0)),0)</f>
        <v>0</v>
      </c>
      <c r="BX589" s="80">
        <f>IF(DB_PROJ="Todos",1,IF(E589&amp;""=DB_PROJ&amp;"",1,0))</f>
        <v>1</v>
      </c>
      <c r="BY589" s="80">
        <f>BW589*BX589</f>
        <v>0</v>
      </c>
      <c r="BZ589" s="80" t="str">
        <f>IF(Y589=1,F589&amp;IF(AND(F589&amp;""&lt;&gt;"",E589&amp;""&lt;&gt;"")," · ","")&amp;E589,"")</f>
        <v/>
      </c>
      <c r="CA589" s="80" t="str">
        <f>IF(AND(BD589=1,E589&amp;""&lt;&gt;""),IF(COUNTIFS($E$5:E588,E589,$BD$5:BD588,1)=0,MAX($CA$5:CA588)+1,""),"")</f>
        <v/>
      </c>
      <c r="CB589" s="80" t="str">
        <f>IF(AND(BE589=1,D589="Malcolm",E589&amp;""&lt;&gt;""),IF(COUNTIFS($D$5:D588,"Malcolm",$E$5:E588,E589,$BE$5:BE588,1)=0,MAX($CB$5:CB588)+1,""),"")</f>
        <v/>
      </c>
      <c r="CC589" s="80" t="str">
        <f>IF(AND(BD589=1,D589="proMX",E589&amp;""&lt;&gt;""),IF(COUNTIFS($D$5:D588,"proMX",$E$5:E588,E589,$BD$5:BD588,1)=0,MAX($CC$5:CC588)+1,""),"")</f>
        <v/>
      </c>
      <c r="CD589" s="80" t="str">
        <f>IF(AND(BE589=1,D589="Malcolm",F589&amp;""&lt;&gt;""),IF(COUNTIFS($D$5:D588,"Malcolm",$F$5:F588,F589,$BE$5:BE588,1)=0,MAX($CD$5:CD588)+1,""),"")</f>
        <v/>
      </c>
      <c r="CE589" s="80" t="str">
        <f>IF(AND(BD589=1,D589="proMX",F589&amp;""&lt;&gt;""),IF(COUNTIFS($D$5:D588,"proMX",$F$5:F588,F589,$BD$5:BD588,1)=0,MAX($CE$5:CE588)+1,""),"")</f>
        <v/>
      </c>
      <c r="CF589" s="80" t="str">
        <f>IF(AND(D589="proMX",BD589=1),IF(OR(BF589="Draft",BF589="Submitted",BF589="Returned",BF589="Recall Requested"),MAX($CF$5:CF588)+1,""),"")</f>
        <v/>
      </c>
      <c r="CG589" s="80">
        <f>IF(BD589=0,0,IF(D589="Malcolm",1,MATCH(BF589,{"Draft","Submitted","Approved","Returned","Recall Requested","Cancelled"},0)+1))</f>
        <v>0</v>
      </c>
      <c r="CH589" s="80">
        <f>IF(AND(BF589="Submitted",ISNUMBER(V589)),IF(V589&gt;CFG_MAXD,1,0),0)</f>
        <v>0</v>
      </c>
    </row>
    <row r="590">
      <c r="A590" s="71" t="str">
        <f>IF(Y590=1,ROW()-5,"")</f>
        <v/>
      </c>
      <c r="B590" s="72" t="n"/>
      <c r="C590" s="71" t="str">
        <f>IF(ISNUMBER(B590),CHOOSE(WEEKDAY(B590,2),"Lun","Mar","Mié","Jue","Vie","Sáb","Dom"),"")</f>
        <v/>
      </c>
      <c r="D590" s="73" t="n"/>
      <c r="E590" s="74" t="n"/>
      <c r="F590" s="74" t="n"/>
      <c r="G590" s="74" t="n"/>
      <c r="H590" s="75" t="n"/>
      <c r="I590" s="75" t="n"/>
      <c r="J590" s="76" t="n"/>
      <c r="K590" s="77" t="str">
        <f>IF(AB590=1,ROUND(AG590/60,4),"")</f>
        <v/>
      </c>
      <c r="L590" s="77" t="str">
        <f>IF(BD590=1,ROUND(AP590/60,4),"")</f>
        <v/>
      </c>
      <c r="M590" s="77" t="str">
        <f>IF(BD590=1,ROUND(AQ590/60,4),"")</f>
        <v/>
      </c>
      <c r="N590" s="71" t="str">
        <f>IF(AND(D590="proMX",AB590=1),ROUND(AG590/CFG_BLK,2),"")</f>
        <v/>
      </c>
      <c r="O590" s="77" t="str">
        <f>IF(D590="proMX",IF(BD590=1,ROUND(AG590/60,4),0),"")</f>
        <v/>
      </c>
      <c r="P590" s="78" t="str">
        <f>IF(Y590=0,"",IF(BD590=1,"OK",IF(D590="proMX","Revisar bloques: ","Revisar: ")&amp;BC590))</f>
        <v/>
      </c>
      <c r="Q590" s="78" t="str">
        <f>IF(NOT(ISNUMBER(B590)),"",IF(COUNTIFS(FER_F,INT(B590))&gt;0,"Feriado"&amp;IF(AH590=1," (laborable)"," (no laborable)"),IF(AH590=1,"Laborable",IF(WEEKDAY(B590,2)&gt;5,"Fin de semana","No laborable"))))</f>
        <v/>
      </c>
      <c r="R590" s="73" t="n"/>
      <c r="S590" s="72" t="n"/>
      <c r="T590" s="72" t="n"/>
      <c r="U590" s="74" t="n"/>
      <c r="V590" s="79" t="str">
        <f>IF(AND(D590="proMX",OR(R590="Submitted",R590="Recall Requested"),ISNUMBER(S590)),CFG_TODAY-INT(S590),"")</f>
        <v/>
      </c>
      <c r="W590" s="78" t="str">
        <f>IF(BD590=0,"",IF(BA590&gt;0,"⚠ Se superpone con un registro de la otra empresa",IF(D590="Malcolm",IF(COUNTA(R590,S590,T590)&gt;0,"Estado/fechas proMX se ignoran en Malcolm",""),IF(BF590="Cancelled","Cancelado: excluido de totales",IF(R590="","Sin estado: se trata como Draft",IF(BF590="Submitted",IF(ISNUMBER(V590),IF(V590&gt;CFG_MAXD,"⚠ "&amp;V590&amp;" días en Submitted (máx. "&amp;CFG_MAXD&amp;")",""),"Falta fecha de envío"),IF(BF590="Returned","⚠ Devuelto: corregir y reenviar",IF(BF590="Recall Requested","Retirada solicitada: pendiente",IF(AND(BF590="Approved",NOT(ISNUMBER(T590))),"Falta fecha de aprobación",IF(AND(ISNUMBER(S590),ISNUMBER(T590),T590&lt;S590),"Aprobación anterior al envío","")))))))))</f>
        <v/>
      </c>
      <c r="Y590" s="80">
        <f>IF(COUNTA(B590,D590,E590,F590,G590,H590,I590,J590,R590,S590,T590)&gt;0,1,0)</f>
        <v>0</v>
      </c>
      <c r="Z590" s="80" t="str">
        <f>IF(AND(ISNUMBER(H590),H590&gt;=0,H590&lt;1),ROUND(H590*1440,0),"")</f>
        <v/>
      </c>
      <c r="AA590" s="80" t="str">
        <f>IF(AND(ISNUMBER(I590),I590&gt;=0,I590&lt;1),ROUND(I590*1440,0),"")</f>
        <v/>
      </c>
      <c r="AB590" s="80">
        <f>IF(AND(ISNUMBER(B590),D590&lt;&gt;"",ISNUMBER(Z590),ISNUMBER(AA590)),IF(Z590=AA590,0,1),0)</f>
        <v>0</v>
      </c>
      <c r="AC590" s="80">
        <f>IF(AB590=1,IF(AA590&lt;Z590,1,0),0)</f>
        <v>0</v>
      </c>
      <c r="AD590" s="80">
        <f>IF(AB590=1,IF(AC590=1,1440-Z590+AA590,AA590-Z590),0)</f>
        <v>0</v>
      </c>
      <c r="AE590" s="80">
        <f>IF(J590="",0,IF(ISNUMBER(J590),J590,-1))</f>
        <v>0</v>
      </c>
      <c r="AF590" s="80">
        <f>MIN(MAX(0,AE590),AD590)</f>
        <v>0</v>
      </c>
      <c r="AG590" s="80">
        <f>MAX(0,AD590-MAX(0,AE590))</f>
        <v>0</v>
      </c>
      <c r="AH590" s="80">
        <f>IF(ISNUMBER(B590),IF(AND(INDEX(CFG_WDAYS,WEEKDAY(INT(B590),2))="Sí",IF(D590="proMX",COUNTIFS(FER_F,INT(B590),FER_NLP,"Sí"),COUNTIFS(FER_F,INT(B590),FER_NLM,"Sí"))=0),1,0),0)</f>
        <v>0</v>
      </c>
      <c r="AI590" s="80">
        <f>IF(AC590=1,IF(AND(INDEX(CFG_WDAYS,WEEKDAY(INT(B590)+1,2))="Sí",IF(D590="proMX",COUNTIFS(FER_F,INT(B590)+1,FER_NLP,"Sí"),COUNTIFS(FER_F,INT(B590)+1,FER_NLM,"Sí"))=0),1,0),0)</f>
        <v>0</v>
      </c>
      <c r="AJ590" s="80">
        <f>IF(AC590=1,1440-Z590,AD590)</f>
        <v>0</v>
      </c>
      <c r="AK590" s="80">
        <f>IF(AND(AB590=1,AH590=1),MAX(0,MIN(IF(AC590=1,1440,AA590),CFG_WEM)-MAX(Z590,CFG_WSM)),0)</f>
        <v>0</v>
      </c>
      <c r="AL590" s="80">
        <f>IF(AND(AC590=1,AI590=1),MAX(0,MIN(AA590,CFG_WEM)-CFG_WSM),0)</f>
        <v>0</v>
      </c>
      <c r="AM590" s="80">
        <f>AK590+AL590</f>
        <v>0</v>
      </c>
      <c r="AN590" s="80">
        <f>IF(CFG_BRK="Proporcional",IF(AD590=0,0,AF590*AM590/AD590),IF(CFG_BRK="Extras primero",MIN(AM590,MAX(0,AF590-(AD590-AM590))),MIN(AF590,AM590)))</f>
        <v>0</v>
      </c>
      <c r="AO590" s="80">
        <f>AF590-AN590</f>
        <v>0</v>
      </c>
      <c r="AP590" s="80">
        <f>AM590-AN590</f>
        <v>0</v>
      </c>
      <c r="AQ590" s="80">
        <f>AD590-AM590-AO590</f>
        <v>0</v>
      </c>
      <c r="AR590" s="80">
        <f>IF(AM590=0,0,AK590-AN590*AK590/AM590)</f>
        <v>0</v>
      </c>
      <c r="AS590" s="80">
        <f>IF(AD590-AM590=0,0,(AJ590-AK590)-AO590*(AJ590-AK590)/(AD590-AM590))</f>
        <v>0</v>
      </c>
      <c r="AT590" s="80" t="str">
        <f>IF(AC590=1,INT(B590)+1,"")</f>
        <v/>
      </c>
      <c r="AU590" s="80">
        <f>IF(AND(D590="proMX",R590="Cancelled"),0,1)</f>
        <v>1</v>
      </c>
      <c r="AV590" s="80">
        <f>IF(AND(AB590=1,AU590=1),IF(COUNTIFS($D$5:D589,D590,$B$5:B589,B590,$Z$5:Z589,Z590,$AA$5:AA589,AA590,$F$5:F589,F590&amp;"",$AU$5:AU589,1)&gt;0,1,0),0)</f>
        <v>0</v>
      </c>
      <c r="AW590" s="80" t="str">
        <f>IF(AB590=1,INT(B590)*1440+Z590,"")</f>
        <v/>
      </c>
      <c r="AX590" s="80" t="str">
        <f>IF(AB590=1,AW590+AD590,"")</f>
        <v/>
      </c>
      <c r="AY590" s="80">
        <f>IF(AND(AB590=1,AV590=0,AU590=1),1,0)</f>
        <v>0</v>
      </c>
      <c r="AZ590" s="80">
        <f>IF(AY590=1,COUNTIFS(R_Emp,D590,R_SAbs,"&lt;"&amp;AX590,R_EAbs,"&gt;"&amp;AW590,R_OKey,1)-1,0)</f>
        <v>0</v>
      </c>
      <c r="BA590" s="80">
        <f>IF(AY590=1,COUNTIFS(R_Emp,"&lt;&gt;"&amp;D590,R_SAbs,"&lt;"&amp;AX590,R_EAbs,"&gt;"&amp;AW590,R_OKey,1),0)</f>
        <v>0</v>
      </c>
      <c r="BB590" s="80">
        <f>IF(AND(AB590=1,D590="proMX"),IF(AND(MOD(Z590,CFG_BLK)=0,MOD(AA590,CFG_BLK)=0,MOD(AG590,CFG_BLK)=0,AG590&gt;0),1,0),1)</f>
        <v>1</v>
      </c>
      <c r="BC590" s="80" t="str">
        <f>IF(Y590=0,"",IF(NOT(ISNUMBER(B590)),"Falta fecha o fecha inválida",IF(D590="","Falta empresa",IF(AND(D590&lt;&gt;"Malcolm",D590&lt;&gt;"proMX"),"Empresa inválida",IF(OR(INT(B590)&lt;CFG_PSTART,INT(B590)&gt;CFG_PEND),"Fecha fuera del período",IF(OR(NOT(ISNUMBER(Z590)),NOT(ISNUMBER(AA590))),"Falta hora inicio/fin o formato inválido",IF(AB590=0,"Hora inicio = hora fin",IF(AE590&lt;0,"Descanso inválido",IF(AE590&gt;=AD590,"Descanso ≥ duración",IF(AV590=1,"Registro duplicado",IF(AZ590&gt;0,"Se superpone con otro registro "&amp;D590,IF(BB590=0,"inicio, fin y duración neta deben ser múltiplos de "&amp;CFG_BLK&amp;" min",""))))))))))))</f>
        <v/>
      </c>
      <c r="BD590" s="80">
        <f>IF(AND(Y590=1,BC590=""),1,0)</f>
        <v>0</v>
      </c>
      <c r="BE590" s="80">
        <f>IF(AND(BD590=1,AU590=1),1,0)</f>
        <v>0</v>
      </c>
      <c r="BF590" s="80" t="str">
        <f>IF(AND(D590="proMX",BD590=1),IF(R590="","Draft",R590),"")</f>
        <v/>
      </c>
      <c r="BG590" s="80">
        <f>IF(BD590=1,ROUND(AG590/60,6),0)</f>
        <v>0</v>
      </c>
      <c r="BH590" s="80">
        <f>IF(BE590=1,ROUND(AG590/60,6),0)</f>
        <v>0</v>
      </c>
      <c r="BI590" s="80">
        <f>IF(BE590=1,ROUND(AP590/60,6),0)</f>
        <v>0</v>
      </c>
      <c r="BJ590" s="80">
        <f>IF(BE590=1,ROUND(AQ590/60,6),0)</f>
        <v>0</v>
      </c>
      <c r="BK590" s="80">
        <f>IF(BE590=1,ROUND((AR590+AS590)/60,6),0)</f>
        <v>0</v>
      </c>
      <c r="BL590" s="80">
        <f>ROUND(BH590-BK590,6)</f>
        <v>0</v>
      </c>
      <c r="BM590" s="80">
        <f>IF(BE590=1,ROUND(AR590/60,6),0)</f>
        <v>0</v>
      </c>
      <c r="BN590" s="80">
        <f>ROUND(BI590-BM590,6)</f>
        <v>0</v>
      </c>
      <c r="BO590" s="80">
        <f>IF(BE590=1,ROUND(AS590/60,6),0)</f>
        <v>0</v>
      </c>
      <c r="BP590" s="80">
        <f>ROUND(BJ590-BO590,6)</f>
        <v>0</v>
      </c>
      <c r="BQ590" s="80">
        <f>IF(BE590=1,AW590,0)</f>
        <v>0</v>
      </c>
      <c r="BR590" s="80">
        <f>IF(BE590=1,AX590,0)</f>
        <v>0</v>
      </c>
      <c r="BS590" s="80">
        <f>IF(AND(BE590=1,D590="Malcolm",BA590&gt;0),MIN(BH590,SUMPRODUCT((R_Emp="proMX")*(R_EN&gt;0)*((R_EN-(R_EN&gt;BR590)*(R_EN-BR590))&gt;(R_SN+(R_SN&lt;BQ590)*(BQ590-R_SN)))*((R_EN-(R_EN&gt;BR590)*(R_EN-BR590))-(R_SN+(R_SN&lt;BQ590)*(BQ590-R_SN))))/60),0)</f>
        <v>0</v>
      </c>
      <c r="BT590" s="80">
        <f>IF(AND(BE590=1,D590="proMX"),ROUND(BI590*CFG_RATE+BJ590*CFG_OTRATE,6),0)</f>
        <v>0</v>
      </c>
      <c r="BU590" s="80">
        <f>IF(AND(BD590=1,D590="proMX"),ROUND(AG590/CFG_BLK,6),0)</f>
        <v>0</v>
      </c>
      <c r="BV590" s="80" t="str">
        <f>IF(BF590="Approved",IF(ISNUMBER(T590),INT(T590),INT(B590)),"")</f>
        <v/>
      </c>
      <c r="BW590" s="80">
        <f>IF(ISNUMBER(B590),IF(DB_MON="Todos",1,IF(AND(INT(B590)&gt;=DB_MS,INT(B590)&lt;=DB_ME),1,0)),0)</f>
        <v>0</v>
      </c>
      <c r="BX590" s="80">
        <f>IF(DB_PROJ="Todos",1,IF(E590&amp;""=DB_PROJ&amp;"",1,0))</f>
        <v>1</v>
      </c>
      <c r="BY590" s="80">
        <f>BW590*BX590</f>
        <v>0</v>
      </c>
      <c r="BZ590" s="80" t="str">
        <f>IF(Y590=1,F590&amp;IF(AND(F590&amp;""&lt;&gt;"",E590&amp;""&lt;&gt;"")," · ","")&amp;E590,"")</f>
        <v/>
      </c>
      <c r="CA590" s="80" t="str">
        <f>IF(AND(BD590=1,E590&amp;""&lt;&gt;""),IF(COUNTIFS($E$5:E589,E590,$BD$5:BD589,1)=0,MAX($CA$5:CA589)+1,""),"")</f>
        <v/>
      </c>
      <c r="CB590" s="80" t="str">
        <f>IF(AND(BE590=1,D590="Malcolm",E590&amp;""&lt;&gt;""),IF(COUNTIFS($D$5:D589,"Malcolm",$E$5:E589,E590,$BE$5:BE589,1)=0,MAX($CB$5:CB589)+1,""),"")</f>
        <v/>
      </c>
      <c r="CC590" s="80" t="str">
        <f>IF(AND(BD590=1,D590="proMX",E590&amp;""&lt;&gt;""),IF(COUNTIFS($D$5:D589,"proMX",$E$5:E589,E590,$BD$5:BD589,1)=0,MAX($CC$5:CC589)+1,""),"")</f>
        <v/>
      </c>
      <c r="CD590" s="80" t="str">
        <f>IF(AND(BE590=1,D590="Malcolm",F590&amp;""&lt;&gt;""),IF(COUNTIFS($D$5:D589,"Malcolm",$F$5:F589,F590,$BE$5:BE589,1)=0,MAX($CD$5:CD589)+1,""),"")</f>
        <v/>
      </c>
      <c r="CE590" s="80" t="str">
        <f>IF(AND(BD590=1,D590="proMX",F590&amp;""&lt;&gt;""),IF(COUNTIFS($D$5:D589,"proMX",$F$5:F589,F590,$BD$5:BD589,1)=0,MAX($CE$5:CE589)+1,""),"")</f>
        <v/>
      </c>
      <c r="CF590" s="80" t="str">
        <f>IF(AND(D590="proMX",BD590=1),IF(OR(BF590="Draft",BF590="Submitted",BF590="Returned",BF590="Recall Requested"),MAX($CF$5:CF589)+1,""),"")</f>
        <v/>
      </c>
      <c r="CG590" s="80">
        <f>IF(BD590=0,0,IF(D590="Malcolm",1,MATCH(BF590,{"Draft","Submitted","Approved","Returned","Recall Requested","Cancelled"},0)+1))</f>
        <v>0</v>
      </c>
      <c r="CH590" s="80">
        <f>IF(AND(BF590="Submitted",ISNUMBER(V590)),IF(V590&gt;CFG_MAXD,1,0),0)</f>
        <v>0</v>
      </c>
    </row>
    <row r="591">
      <c r="A591" s="71" t="str">
        <f>IF(Y591=1,ROW()-5,"")</f>
        <v/>
      </c>
      <c r="B591" s="72" t="n"/>
      <c r="C591" s="71" t="str">
        <f>IF(ISNUMBER(B591),CHOOSE(WEEKDAY(B591,2),"Lun","Mar","Mié","Jue","Vie","Sáb","Dom"),"")</f>
        <v/>
      </c>
      <c r="D591" s="73" t="n"/>
      <c r="E591" s="74" t="n"/>
      <c r="F591" s="74" t="n"/>
      <c r="G591" s="74" t="n"/>
      <c r="H591" s="75" t="n"/>
      <c r="I591" s="75" t="n"/>
      <c r="J591" s="76" t="n"/>
      <c r="K591" s="77" t="str">
        <f>IF(AB591=1,ROUND(AG591/60,4),"")</f>
        <v/>
      </c>
      <c r="L591" s="77" t="str">
        <f>IF(BD591=1,ROUND(AP591/60,4),"")</f>
        <v/>
      </c>
      <c r="M591" s="77" t="str">
        <f>IF(BD591=1,ROUND(AQ591/60,4),"")</f>
        <v/>
      </c>
      <c r="N591" s="71" t="str">
        <f>IF(AND(D591="proMX",AB591=1),ROUND(AG591/CFG_BLK,2),"")</f>
        <v/>
      </c>
      <c r="O591" s="77" t="str">
        <f>IF(D591="proMX",IF(BD591=1,ROUND(AG591/60,4),0),"")</f>
        <v/>
      </c>
      <c r="P591" s="78" t="str">
        <f>IF(Y591=0,"",IF(BD591=1,"OK",IF(D591="proMX","Revisar bloques: ","Revisar: ")&amp;BC591))</f>
        <v/>
      </c>
      <c r="Q591" s="78" t="str">
        <f>IF(NOT(ISNUMBER(B591)),"",IF(COUNTIFS(FER_F,INT(B591))&gt;0,"Feriado"&amp;IF(AH591=1," (laborable)"," (no laborable)"),IF(AH591=1,"Laborable",IF(WEEKDAY(B591,2)&gt;5,"Fin de semana","No laborable"))))</f>
        <v/>
      </c>
      <c r="R591" s="73" t="n"/>
      <c r="S591" s="72" t="n"/>
      <c r="T591" s="72" t="n"/>
      <c r="U591" s="74" t="n"/>
      <c r="V591" s="79" t="str">
        <f>IF(AND(D591="proMX",OR(R591="Submitted",R591="Recall Requested"),ISNUMBER(S591)),CFG_TODAY-INT(S591),"")</f>
        <v/>
      </c>
      <c r="W591" s="78" t="str">
        <f>IF(BD591=0,"",IF(BA591&gt;0,"⚠ Se superpone con un registro de la otra empresa",IF(D591="Malcolm",IF(COUNTA(R591,S591,T591)&gt;0,"Estado/fechas proMX se ignoran en Malcolm",""),IF(BF591="Cancelled","Cancelado: excluido de totales",IF(R591="","Sin estado: se trata como Draft",IF(BF591="Submitted",IF(ISNUMBER(V591),IF(V591&gt;CFG_MAXD,"⚠ "&amp;V591&amp;" días en Submitted (máx. "&amp;CFG_MAXD&amp;")",""),"Falta fecha de envío"),IF(BF591="Returned","⚠ Devuelto: corregir y reenviar",IF(BF591="Recall Requested","Retirada solicitada: pendiente",IF(AND(BF591="Approved",NOT(ISNUMBER(T591))),"Falta fecha de aprobación",IF(AND(ISNUMBER(S591),ISNUMBER(T591),T591&lt;S591),"Aprobación anterior al envío","")))))))))</f>
        <v/>
      </c>
      <c r="Y591" s="80">
        <f>IF(COUNTA(B591,D591,E591,F591,G591,H591,I591,J591,R591,S591,T591)&gt;0,1,0)</f>
        <v>0</v>
      </c>
      <c r="Z591" s="80" t="str">
        <f>IF(AND(ISNUMBER(H591),H591&gt;=0,H591&lt;1),ROUND(H591*1440,0),"")</f>
        <v/>
      </c>
      <c r="AA591" s="80" t="str">
        <f>IF(AND(ISNUMBER(I591),I591&gt;=0,I591&lt;1),ROUND(I591*1440,0),"")</f>
        <v/>
      </c>
      <c r="AB591" s="80">
        <f>IF(AND(ISNUMBER(B591),D591&lt;&gt;"",ISNUMBER(Z591),ISNUMBER(AA591)),IF(Z591=AA591,0,1),0)</f>
        <v>0</v>
      </c>
      <c r="AC591" s="80">
        <f>IF(AB591=1,IF(AA591&lt;Z591,1,0),0)</f>
        <v>0</v>
      </c>
      <c r="AD591" s="80">
        <f>IF(AB591=1,IF(AC591=1,1440-Z591+AA591,AA591-Z591),0)</f>
        <v>0</v>
      </c>
      <c r="AE591" s="80">
        <f>IF(J591="",0,IF(ISNUMBER(J591),J591,-1))</f>
        <v>0</v>
      </c>
      <c r="AF591" s="80">
        <f>MIN(MAX(0,AE591),AD591)</f>
        <v>0</v>
      </c>
      <c r="AG591" s="80">
        <f>MAX(0,AD591-MAX(0,AE591))</f>
        <v>0</v>
      </c>
      <c r="AH591" s="80">
        <f>IF(ISNUMBER(B591),IF(AND(INDEX(CFG_WDAYS,WEEKDAY(INT(B591),2))="Sí",IF(D591="proMX",COUNTIFS(FER_F,INT(B591),FER_NLP,"Sí"),COUNTIFS(FER_F,INT(B591),FER_NLM,"Sí"))=0),1,0),0)</f>
        <v>0</v>
      </c>
      <c r="AI591" s="80">
        <f>IF(AC591=1,IF(AND(INDEX(CFG_WDAYS,WEEKDAY(INT(B591)+1,2))="Sí",IF(D591="proMX",COUNTIFS(FER_F,INT(B591)+1,FER_NLP,"Sí"),COUNTIFS(FER_F,INT(B591)+1,FER_NLM,"Sí"))=0),1,0),0)</f>
        <v>0</v>
      </c>
      <c r="AJ591" s="80">
        <f>IF(AC591=1,1440-Z591,AD591)</f>
        <v>0</v>
      </c>
      <c r="AK591" s="80">
        <f>IF(AND(AB591=1,AH591=1),MAX(0,MIN(IF(AC591=1,1440,AA591),CFG_WEM)-MAX(Z591,CFG_WSM)),0)</f>
        <v>0</v>
      </c>
      <c r="AL591" s="80">
        <f>IF(AND(AC591=1,AI591=1),MAX(0,MIN(AA591,CFG_WEM)-CFG_WSM),0)</f>
        <v>0</v>
      </c>
      <c r="AM591" s="80">
        <f>AK591+AL591</f>
        <v>0</v>
      </c>
      <c r="AN591" s="80">
        <f>IF(CFG_BRK="Proporcional",IF(AD591=0,0,AF591*AM591/AD591),IF(CFG_BRK="Extras primero",MIN(AM591,MAX(0,AF591-(AD591-AM591))),MIN(AF591,AM591)))</f>
        <v>0</v>
      </c>
      <c r="AO591" s="80">
        <f>AF591-AN591</f>
        <v>0</v>
      </c>
      <c r="AP591" s="80">
        <f>AM591-AN591</f>
        <v>0</v>
      </c>
      <c r="AQ591" s="80">
        <f>AD591-AM591-AO591</f>
        <v>0</v>
      </c>
      <c r="AR591" s="80">
        <f>IF(AM591=0,0,AK591-AN591*AK591/AM591)</f>
        <v>0</v>
      </c>
      <c r="AS591" s="80">
        <f>IF(AD591-AM591=0,0,(AJ591-AK591)-AO591*(AJ591-AK591)/(AD591-AM591))</f>
        <v>0</v>
      </c>
      <c r="AT591" s="80" t="str">
        <f>IF(AC591=1,INT(B591)+1,"")</f>
        <v/>
      </c>
      <c r="AU591" s="80">
        <f>IF(AND(D591="proMX",R591="Cancelled"),0,1)</f>
        <v>1</v>
      </c>
      <c r="AV591" s="80">
        <f>IF(AND(AB591=1,AU591=1),IF(COUNTIFS($D$5:D590,D591,$B$5:B590,B591,$Z$5:Z590,Z591,$AA$5:AA590,AA591,$F$5:F590,F591&amp;"",$AU$5:AU590,1)&gt;0,1,0),0)</f>
        <v>0</v>
      </c>
      <c r="AW591" s="80" t="str">
        <f>IF(AB591=1,INT(B591)*1440+Z591,"")</f>
        <v/>
      </c>
      <c r="AX591" s="80" t="str">
        <f>IF(AB591=1,AW591+AD591,"")</f>
        <v/>
      </c>
      <c r="AY591" s="80">
        <f>IF(AND(AB591=1,AV591=0,AU591=1),1,0)</f>
        <v>0</v>
      </c>
      <c r="AZ591" s="80">
        <f>IF(AY591=1,COUNTIFS(R_Emp,D591,R_SAbs,"&lt;"&amp;AX591,R_EAbs,"&gt;"&amp;AW591,R_OKey,1)-1,0)</f>
        <v>0</v>
      </c>
      <c r="BA591" s="80">
        <f>IF(AY591=1,COUNTIFS(R_Emp,"&lt;&gt;"&amp;D591,R_SAbs,"&lt;"&amp;AX591,R_EAbs,"&gt;"&amp;AW591,R_OKey,1),0)</f>
        <v>0</v>
      </c>
      <c r="BB591" s="80">
        <f>IF(AND(AB591=1,D591="proMX"),IF(AND(MOD(Z591,CFG_BLK)=0,MOD(AA591,CFG_BLK)=0,MOD(AG591,CFG_BLK)=0,AG591&gt;0),1,0),1)</f>
        <v>1</v>
      </c>
      <c r="BC591" s="80" t="str">
        <f>IF(Y591=0,"",IF(NOT(ISNUMBER(B591)),"Falta fecha o fecha inválida",IF(D591="","Falta empresa",IF(AND(D591&lt;&gt;"Malcolm",D591&lt;&gt;"proMX"),"Empresa inválida",IF(OR(INT(B591)&lt;CFG_PSTART,INT(B591)&gt;CFG_PEND),"Fecha fuera del período",IF(OR(NOT(ISNUMBER(Z591)),NOT(ISNUMBER(AA591))),"Falta hora inicio/fin o formato inválido",IF(AB591=0,"Hora inicio = hora fin",IF(AE591&lt;0,"Descanso inválido",IF(AE591&gt;=AD591,"Descanso ≥ duración",IF(AV591=1,"Registro duplicado",IF(AZ591&gt;0,"Se superpone con otro registro "&amp;D591,IF(BB591=0,"inicio, fin y duración neta deben ser múltiplos de "&amp;CFG_BLK&amp;" min",""))))))))))))</f>
        <v/>
      </c>
      <c r="BD591" s="80">
        <f>IF(AND(Y591=1,BC591=""),1,0)</f>
        <v>0</v>
      </c>
      <c r="BE591" s="80">
        <f>IF(AND(BD591=1,AU591=1),1,0)</f>
        <v>0</v>
      </c>
      <c r="BF591" s="80" t="str">
        <f>IF(AND(D591="proMX",BD591=1),IF(R591="","Draft",R591),"")</f>
        <v/>
      </c>
      <c r="BG591" s="80">
        <f>IF(BD591=1,ROUND(AG591/60,6),0)</f>
        <v>0</v>
      </c>
      <c r="BH591" s="80">
        <f>IF(BE591=1,ROUND(AG591/60,6),0)</f>
        <v>0</v>
      </c>
      <c r="BI591" s="80">
        <f>IF(BE591=1,ROUND(AP591/60,6),0)</f>
        <v>0</v>
      </c>
      <c r="BJ591" s="80">
        <f>IF(BE591=1,ROUND(AQ591/60,6),0)</f>
        <v>0</v>
      </c>
      <c r="BK591" s="80">
        <f>IF(BE591=1,ROUND((AR591+AS591)/60,6),0)</f>
        <v>0</v>
      </c>
      <c r="BL591" s="80">
        <f>ROUND(BH591-BK591,6)</f>
        <v>0</v>
      </c>
      <c r="BM591" s="80">
        <f>IF(BE591=1,ROUND(AR591/60,6),0)</f>
        <v>0</v>
      </c>
      <c r="BN591" s="80">
        <f>ROUND(BI591-BM591,6)</f>
        <v>0</v>
      </c>
      <c r="BO591" s="80">
        <f>IF(BE591=1,ROUND(AS591/60,6),0)</f>
        <v>0</v>
      </c>
      <c r="BP591" s="80">
        <f>ROUND(BJ591-BO591,6)</f>
        <v>0</v>
      </c>
      <c r="BQ591" s="80">
        <f>IF(BE591=1,AW591,0)</f>
        <v>0</v>
      </c>
      <c r="BR591" s="80">
        <f>IF(BE591=1,AX591,0)</f>
        <v>0</v>
      </c>
      <c r="BS591" s="80">
        <f>IF(AND(BE591=1,D591="Malcolm",BA591&gt;0),MIN(BH591,SUMPRODUCT((R_Emp="proMX")*(R_EN&gt;0)*((R_EN-(R_EN&gt;BR591)*(R_EN-BR591))&gt;(R_SN+(R_SN&lt;BQ591)*(BQ591-R_SN)))*((R_EN-(R_EN&gt;BR591)*(R_EN-BR591))-(R_SN+(R_SN&lt;BQ591)*(BQ591-R_SN))))/60),0)</f>
        <v>0</v>
      </c>
      <c r="BT591" s="80">
        <f>IF(AND(BE591=1,D591="proMX"),ROUND(BI591*CFG_RATE+BJ591*CFG_OTRATE,6),0)</f>
        <v>0</v>
      </c>
      <c r="BU591" s="80">
        <f>IF(AND(BD591=1,D591="proMX"),ROUND(AG591/CFG_BLK,6),0)</f>
        <v>0</v>
      </c>
      <c r="BV591" s="80" t="str">
        <f>IF(BF591="Approved",IF(ISNUMBER(T591),INT(T591),INT(B591)),"")</f>
        <v/>
      </c>
      <c r="BW591" s="80">
        <f>IF(ISNUMBER(B591),IF(DB_MON="Todos",1,IF(AND(INT(B591)&gt;=DB_MS,INT(B591)&lt;=DB_ME),1,0)),0)</f>
        <v>0</v>
      </c>
      <c r="BX591" s="80">
        <f>IF(DB_PROJ="Todos",1,IF(E591&amp;""=DB_PROJ&amp;"",1,0))</f>
        <v>1</v>
      </c>
      <c r="BY591" s="80">
        <f>BW591*BX591</f>
        <v>0</v>
      </c>
      <c r="BZ591" s="80" t="str">
        <f>IF(Y591=1,F591&amp;IF(AND(F591&amp;""&lt;&gt;"",E591&amp;""&lt;&gt;"")," · ","")&amp;E591,"")</f>
        <v/>
      </c>
      <c r="CA591" s="80" t="str">
        <f>IF(AND(BD591=1,E591&amp;""&lt;&gt;""),IF(COUNTIFS($E$5:E590,E591,$BD$5:BD590,1)=0,MAX($CA$5:CA590)+1,""),"")</f>
        <v/>
      </c>
      <c r="CB591" s="80" t="str">
        <f>IF(AND(BE591=1,D591="Malcolm",E591&amp;""&lt;&gt;""),IF(COUNTIFS($D$5:D590,"Malcolm",$E$5:E590,E591,$BE$5:BE590,1)=0,MAX($CB$5:CB590)+1,""),"")</f>
        <v/>
      </c>
      <c r="CC591" s="80" t="str">
        <f>IF(AND(BD591=1,D591="proMX",E591&amp;""&lt;&gt;""),IF(COUNTIFS($D$5:D590,"proMX",$E$5:E590,E591,$BD$5:BD590,1)=0,MAX($CC$5:CC590)+1,""),"")</f>
        <v/>
      </c>
      <c r="CD591" s="80" t="str">
        <f>IF(AND(BE591=1,D591="Malcolm",F591&amp;""&lt;&gt;""),IF(COUNTIFS($D$5:D590,"Malcolm",$F$5:F590,F591,$BE$5:BE590,1)=0,MAX($CD$5:CD590)+1,""),"")</f>
        <v/>
      </c>
      <c r="CE591" s="80" t="str">
        <f>IF(AND(BD591=1,D591="proMX",F591&amp;""&lt;&gt;""),IF(COUNTIFS($D$5:D590,"proMX",$F$5:F590,F591,$BD$5:BD590,1)=0,MAX($CE$5:CE590)+1,""),"")</f>
        <v/>
      </c>
      <c r="CF591" s="80" t="str">
        <f>IF(AND(D591="proMX",BD591=1),IF(OR(BF591="Draft",BF591="Submitted",BF591="Returned",BF591="Recall Requested"),MAX($CF$5:CF590)+1,""),"")</f>
        <v/>
      </c>
      <c r="CG591" s="80">
        <f>IF(BD591=0,0,IF(D591="Malcolm",1,MATCH(BF591,{"Draft","Submitted","Approved","Returned","Recall Requested","Cancelled"},0)+1))</f>
        <v>0</v>
      </c>
      <c r="CH591" s="80">
        <f>IF(AND(BF591="Submitted",ISNUMBER(V591)),IF(V591&gt;CFG_MAXD,1,0),0)</f>
        <v>0</v>
      </c>
    </row>
    <row r="592">
      <c r="A592" s="71" t="str">
        <f>IF(Y592=1,ROW()-5,"")</f>
        <v/>
      </c>
      <c r="B592" s="72" t="n"/>
      <c r="C592" s="71" t="str">
        <f>IF(ISNUMBER(B592),CHOOSE(WEEKDAY(B592,2),"Lun","Mar","Mié","Jue","Vie","Sáb","Dom"),"")</f>
        <v/>
      </c>
      <c r="D592" s="73" t="n"/>
      <c r="E592" s="74" t="n"/>
      <c r="F592" s="74" t="n"/>
      <c r="G592" s="74" t="n"/>
      <c r="H592" s="75" t="n"/>
      <c r="I592" s="75" t="n"/>
      <c r="J592" s="76" t="n"/>
      <c r="K592" s="77" t="str">
        <f>IF(AB592=1,ROUND(AG592/60,4),"")</f>
        <v/>
      </c>
      <c r="L592" s="77" t="str">
        <f>IF(BD592=1,ROUND(AP592/60,4),"")</f>
        <v/>
      </c>
      <c r="M592" s="77" t="str">
        <f>IF(BD592=1,ROUND(AQ592/60,4),"")</f>
        <v/>
      </c>
      <c r="N592" s="71" t="str">
        <f>IF(AND(D592="proMX",AB592=1),ROUND(AG592/CFG_BLK,2),"")</f>
        <v/>
      </c>
      <c r="O592" s="77" t="str">
        <f>IF(D592="proMX",IF(BD592=1,ROUND(AG592/60,4),0),"")</f>
        <v/>
      </c>
      <c r="P592" s="78" t="str">
        <f>IF(Y592=0,"",IF(BD592=1,"OK",IF(D592="proMX","Revisar bloques: ","Revisar: ")&amp;BC592))</f>
        <v/>
      </c>
      <c r="Q592" s="78" t="str">
        <f>IF(NOT(ISNUMBER(B592)),"",IF(COUNTIFS(FER_F,INT(B592))&gt;0,"Feriado"&amp;IF(AH592=1," (laborable)"," (no laborable)"),IF(AH592=1,"Laborable",IF(WEEKDAY(B592,2)&gt;5,"Fin de semana","No laborable"))))</f>
        <v/>
      </c>
      <c r="R592" s="73" t="n"/>
      <c r="S592" s="72" t="n"/>
      <c r="T592" s="72" t="n"/>
      <c r="U592" s="74" t="n"/>
      <c r="V592" s="79" t="str">
        <f>IF(AND(D592="proMX",OR(R592="Submitted",R592="Recall Requested"),ISNUMBER(S592)),CFG_TODAY-INT(S592),"")</f>
        <v/>
      </c>
      <c r="W592" s="78" t="str">
        <f>IF(BD592=0,"",IF(BA592&gt;0,"⚠ Se superpone con un registro de la otra empresa",IF(D592="Malcolm",IF(COUNTA(R592,S592,T592)&gt;0,"Estado/fechas proMX se ignoran en Malcolm",""),IF(BF592="Cancelled","Cancelado: excluido de totales",IF(R592="","Sin estado: se trata como Draft",IF(BF592="Submitted",IF(ISNUMBER(V592),IF(V592&gt;CFG_MAXD,"⚠ "&amp;V592&amp;" días en Submitted (máx. "&amp;CFG_MAXD&amp;")",""),"Falta fecha de envío"),IF(BF592="Returned","⚠ Devuelto: corregir y reenviar",IF(BF592="Recall Requested","Retirada solicitada: pendiente",IF(AND(BF592="Approved",NOT(ISNUMBER(T592))),"Falta fecha de aprobación",IF(AND(ISNUMBER(S592),ISNUMBER(T592),T592&lt;S592),"Aprobación anterior al envío","")))))))))</f>
        <v/>
      </c>
      <c r="Y592" s="80">
        <f>IF(COUNTA(B592,D592,E592,F592,G592,H592,I592,J592,R592,S592,T592)&gt;0,1,0)</f>
        <v>0</v>
      </c>
      <c r="Z592" s="80" t="str">
        <f>IF(AND(ISNUMBER(H592),H592&gt;=0,H592&lt;1),ROUND(H592*1440,0),"")</f>
        <v/>
      </c>
      <c r="AA592" s="80" t="str">
        <f>IF(AND(ISNUMBER(I592),I592&gt;=0,I592&lt;1),ROUND(I592*1440,0),"")</f>
        <v/>
      </c>
      <c r="AB592" s="80">
        <f>IF(AND(ISNUMBER(B592),D592&lt;&gt;"",ISNUMBER(Z592),ISNUMBER(AA592)),IF(Z592=AA592,0,1),0)</f>
        <v>0</v>
      </c>
      <c r="AC592" s="80">
        <f>IF(AB592=1,IF(AA592&lt;Z592,1,0),0)</f>
        <v>0</v>
      </c>
      <c r="AD592" s="80">
        <f>IF(AB592=1,IF(AC592=1,1440-Z592+AA592,AA592-Z592),0)</f>
        <v>0</v>
      </c>
      <c r="AE592" s="80">
        <f>IF(J592="",0,IF(ISNUMBER(J592),J592,-1))</f>
        <v>0</v>
      </c>
      <c r="AF592" s="80">
        <f>MIN(MAX(0,AE592),AD592)</f>
        <v>0</v>
      </c>
      <c r="AG592" s="80">
        <f>MAX(0,AD592-MAX(0,AE592))</f>
        <v>0</v>
      </c>
      <c r="AH592" s="80">
        <f>IF(ISNUMBER(B592),IF(AND(INDEX(CFG_WDAYS,WEEKDAY(INT(B592),2))="Sí",IF(D592="proMX",COUNTIFS(FER_F,INT(B592),FER_NLP,"Sí"),COUNTIFS(FER_F,INT(B592),FER_NLM,"Sí"))=0),1,0),0)</f>
        <v>0</v>
      </c>
      <c r="AI592" s="80">
        <f>IF(AC592=1,IF(AND(INDEX(CFG_WDAYS,WEEKDAY(INT(B592)+1,2))="Sí",IF(D592="proMX",COUNTIFS(FER_F,INT(B592)+1,FER_NLP,"Sí"),COUNTIFS(FER_F,INT(B592)+1,FER_NLM,"Sí"))=0),1,0),0)</f>
        <v>0</v>
      </c>
      <c r="AJ592" s="80">
        <f>IF(AC592=1,1440-Z592,AD592)</f>
        <v>0</v>
      </c>
      <c r="AK592" s="80">
        <f>IF(AND(AB592=1,AH592=1),MAX(0,MIN(IF(AC592=1,1440,AA592),CFG_WEM)-MAX(Z592,CFG_WSM)),0)</f>
        <v>0</v>
      </c>
      <c r="AL592" s="80">
        <f>IF(AND(AC592=1,AI592=1),MAX(0,MIN(AA592,CFG_WEM)-CFG_WSM),0)</f>
        <v>0</v>
      </c>
      <c r="AM592" s="80">
        <f>AK592+AL592</f>
        <v>0</v>
      </c>
      <c r="AN592" s="80">
        <f>IF(CFG_BRK="Proporcional",IF(AD592=0,0,AF592*AM592/AD592),IF(CFG_BRK="Extras primero",MIN(AM592,MAX(0,AF592-(AD592-AM592))),MIN(AF592,AM592)))</f>
        <v>0</v>
      </c>
      <c r="AO592" s="80">
        <f>AF592-AN592</f>
        <v>0</v>
      </c>
      <c r="AP592" s="80">
        <f>AM592-AN592</f>
        <v>0</v>
      </c>
      <c r="AQ592" s="80">
        <f>AD592-AM592-AO592</f>
        <v>0</v>
      </c>
      <c r="AR592" s="80">
        <f>IF(AM592=0,0,AK592-AN592*AK592/AM592)</f>
        <v>0</v>
      </c>
      <c r="AS592" s="80">
        <f>IF(AD592-AM592=0,0,(AJ592-AK592)-AO592*(AJ592-AK592)/(AD592-AM592))</f>
        <v>0</v>
      </c>
      <c r="AT592" s="80" t="str">
        <f>IF(AC592=1,INT(B592)+1,"")</f>
        <v/>
      </c>
      <c r="AU592" s="80">
        <f>IF(AND(D592="proMX",R592="Cancelled"),0,1)</f>
        <v>1</v>
      </c>
      <c r="AV592" s="80">
        <f>IF(AND(AB592=1,AU592=1),IF(COUNTIFS($D$5:D591,D592,$B$5:B591,B592,$Z$5:Z591,Z592,$AA$5:AA591,AA592,$F$5:F591,F592&amp;"",$AU$5:AU591,1)&gt;0,1,0),0)</f>
        <v>0</v>
      </c>
      <c r="AW592" s="80" t="str">
        <f>IF(AB592=1,INT(B592)*1440+Z592,"")</f>
        <v/>
      </c>
      <c r="AX592" s="80" t="str">
        <f>IF(AB592=1,AW592+AD592,"")</f>
        <v/>
      </c>
      <c r="AY592" s="80">
        <f>IF(AND(AB592=1,AV592=0,AU592=1),1,0)</f>
        <v>0</v>
      </c>
      <c r="AZ592" s="80">
        <f>IF(AY592=1,COUNTIFS(R_Emp,D592,R_SAbs,"&lt;"&amp;AX592,R_EAbs,"&gt;"&amp;AW592,R_OKey,1)-1,0)</f>
        <v>0</v>
      </c>
      <c r="BA592" s="80">
        <f>IF(AY592=1,COUNTIFS(R_Emp,"&lt;&gt;"&amp;D592,R_SAbs,"&lt;"&amp;AX592,R_EAbs,"&gt;"&amp;AW592,R_OKey,1),0)</f>
        <v>0</v>
      </c>
      <c r="BB592" s="80">
        <f>IF(AND(AB592=1,D592="proMX"),IF(AND(MOD(Z592,CFG_BLK)=0,MOD(AA592,CFG_BLK)=0,MOD(AG592,CFG_BLK)=0,AG592&gt;0),1,0),1)</f>
        <v>1</v>
      </c>
      <c r="BC592" s="80" t="str">
        <f>IF(Y592=0,"",IF(NOT(ISNUMBER(B592)),"Falta fecha o fecha inválida",IF(D592="","Falta empresa",IF(AND(D592&lt;&gt;"Malcolm",D592&lt;&gt;"proMX"),"Empresa inválida",IF(OR(INT(B592)&lt;CFG_PSTART,INT(B592)&gt;CFG_PEND),"Fecha fuera del período",IF(OR(NOT(ISNUMBER(Z592)),NOT(ISNUMBER(AA592))),"Falta hora inicio/fin o formato inválido",IF(AB592=0,"Hora inicio = hora fin",IF(AE592&lt;0,"Descanso inválido",IF(AE592&gt;=AD592,"Descanso ≥ duración",IF(AV592=1,"Registro duplicado",IF(AZ592&gt;0,"Se superpone con otro registro "&amp;D592,IF(BB592=0,"inicio, fin y duración neta deben ser múltiplos de "&amp;CFG_BLK&amp;" min",""))))))))))))</f>
        <v/>
      </c>
      <c r="BD592" s="80">
        <f>IF(AND(Y592=1,BC592=""),1,0)</f>
        <v>0</v>
      </c>
      <c r="BE592" s="80">
        <f>IF(AND(BD592=1,AU592=1),1,0)</f>
        <v>0</v>
      </c>
      <c r="BF592" s="80" t="str">
        <f>IF(AND(D592="proMX",BD592=1),IF(R592="","Draft",R592),"")</f>
        <v/>
      </c>
      <c r="BG592" s="80">
        <f>IF(BD592=1,ROUND(AG592/60,6),0)</f>
        <v>0</v>
      </c>
      <c r="BH592" s="80">
        <f>IF(BE592=1,ROUND(AG592/60,6),0)</f>
        <v>0</v>
      </c>
      <c r="BI592" s="80">
        <f>IF(BE592=1,ROUND(AP592/60,6),0)</f>
        <v>0</v>
      </c>
      <c r="BJ592" s="80">
        <f>IF(BE592=1,ROUND(AQ592/60,6),0)</f>
        <v>0</v>
      </c>
      <c r="BK592" s="80">
        <f>IF(BE592=1,ROUND((AR592+AS592)/60,6),0)</f>
        <v>0</v>
      </c>
      <c r="BL592" s="80">
        <f>ROUND(BH592-BK592,6)</f>
        <v>0</v>
      </c>
      <c r="BM592" s="80">
        <f>IF(BE592=1,ROUND(AR592/60,6),0)</f>
        <v>0</v>
      </c>
      <c r="BN592" s="80">
        <f>ROUND(BI592-BM592,6)</f>
        <v>0</v>
      </c>
      <c r="BO592" s="80">
        <f>IF(BE592=1,ROUND(AS592/60,6),0)</f>
        <v>0</v>
      </c>
      <c r="BP592" s="80">
        <f>ROUND(BJ592-BO592,6)</f>
        <v>0</v>
      </c>
      <c r="BQ592" s="80">
        <f>IF(BE592=1,AW592,0)</f>
        <v>0</v>
      </c>
      <c r="BR592" s="80">
        <f>IF(BE592=1,AX592,0)</f>
        <v>0</v>
      </c>
      <c r="BS592" s="80">
        <f>IF(AND(BE592=1,D592="Malcolm",BA592&gt;0),MIN(BH592,SUMPRODUCT((R_Emp="proMX")*(R_EN&gt;0)*((R_EN-(R_EN&gt;BR592)*(R_EN-BR592))&gt;(R_SN+(R_SN&lt;BQ592)*(BQ592-R_SN)))*((R_EN-(R_EN&gt;BR592)*(R_EN-BR592))-(R_SN+(R_SN&lt;BQ592)*(BQ592-R_SN))))/60),0)</f>
        <v>0</v>
      </c>
      <c r="BT592" s="80">
        <f>IF(AND(BE592=1,D592="proMX"),ROUND(BI592*CFG_RATE+BJ592*CFG_OTRATE,6),0)</f>
        <v>0</v>
      </c>
      <c r="BU592" s="80">
        <f>IF(AND(BD592=1,D592="proMX"),ROUND(AG592/CFG_BLK,6),0)</f>
        <v>0</v>
      </c>
      <c r="BV592" s="80" t="str">
        <f>IF(BF592="Approved",IF(ISNUMBER(T592),INT(T592),INT(B592)),"")</f>
        <v/>
      </c>
      <c r="BW592" s="80">
        <f>IF(ISNUMBER(B592),IF(DB_MON="Todos",1,IF(AND(INT(B592)&gt;=DB_MS,INT(B592)&lt;=DB_ME),1,0)),0)</f>
        <v>0</v>
      </c>
      <c r="BX592" s="80">
        <f>IF(DB_PROJ="Todos",1,IF(E592&amp;""=DB_PROJ&amp;"",1,0))</f>
        <v>1</v>
      </c>
      <c r="BY592" s="80">
        <f>BW592*BX592</f>
        <v>0</v>
      </c>
      <c r="BZ592" s="80" t="str">
        <f>IF(Y592=1,F592&amp;IF(AND(F592&amp;""&lt;&gt;"",E592&amp;""&lt;&gt;"")," · ","")&amp;E592,"")</f>
        <v/>
      </c>
      <c r="CA592" s="80" t="str">
        <f>IF(AND(BD592=1,E592&amp;""&lt;&gt;""),IF(COUNTIFS($E$5:E591,E592,$BD$5:BD591,1)=0,MAX($CA$5:CA591)+1,""),"")</f>
        <v/>
      </c>
      <c r="CB592" s="80" t="str">
        <f>IF(AND(BE592=1,D592="Malcolm",E592&amp;""&lt;&gt;""),IF(COUNTIFS($D$5:D591,"Malcolm",$E$5:E591,E592,$BE$5:BE591,1)=0,MAX($CB$5:CB591)+1,""),"")</f>
        <v/>
      </c>
      <c r="CC592" s="80" t="str">
        <f>IF(AND(BD592=1,D592="proMX",E592&amp;""&lt;&gt;""),IF(COUNTIFS($D$5:D591,"proMX",$E$5:E591,E592,$BD$5:BD591,1)=0,MAX($CC$5:CC591)+1,""),"")</f>
        <v/>
      </c>
      <c r="CD592" s="80" t="str">
        <f>IF(AND(BE592=1,D592="Malcolm",F592&amp;""&lt;&gt;""),IF(COUNTIFS($D$5:D591,"Malcolm",$F$5:F591,F592,$BE$5:BE591,1)=0,MAX($CD$5:CD591)+1,""),"")</f>
        <v/>
      </c>
      <c r="CE592" s="80" t="str">
        <f>IF(AND(BD592=1,D592="proMX",F592&amp;""&lt;&gt;""),IF(COUNTIFS($D$5:D591,"proMX",$F$5:F591,F592,$BD$5:BD591,1)=0,MAX($CE$5:CE591)+1,""),"")</f>
        <v/>
      </c>
      <c r="CF592" s="80" t="str">
        <f>IF(AND(D592="proMX",BD592=1),IF(OR(BF592="Draft",BF592="Submitted",BF592="Returned",BF592="Recall Requested"),MAX($CF$5:CF591)+1,""),"")</f>
        <v/>
      </c>
      <c r="CG592" s="80">
        <f>IF(BD592=0,0,IF(D592="Malcolm",1,MATCH(BF592,{"Draft","Submitted","Approved","Returned","Recall Requested","Cancelled"},0)+1))</f>
        <v>0</v>
      </c>
      <c r="CH592" s="80">
        <f>IF(AND(BF592="Submitted",ISNUMBER(V592)),IF(V592&gt;CFG_MAXD,1,0),0)</f>
        <v>0</v>
      </c>
    </row>
    <row r="593">
      <c r="A593" s="71" t="str">
        <f>IF(Y593=1,ROW()-5,"")</f>
        <v/>
      </c>
      <c r="B593" s="72" t="n"/>
      <c r="C593" s="71" t="str">
        <f>IF(ISNUMBER(B593),CHOOSE(WEEKDAY(B593,2),"Lun","Mar","Mié","Jue","Vie","Sáb","Dom"),"")</f>
        <v/>
      </c>
      <c r="D593" s="73" t="n"/>
      <c r="E593" s="74" t="n"/>
      <c r="F593" s="74" t="n"/>
      <c r="G593" s="74" t="n"/>
      <c r="H593" s="75" t="n"/>
      <c r="I593" s="75" t="n"/>
      <c r="J593" s="76" t="n"/>
      <c r="K593" s="77" t="str">
        <f>IF(AB593=1,ROUND(AG593/60,4),"")</f>
        <v/>
      </c>
      <c r="L593" s="77" t="str">
        <f>IF(BD593=1,ROUND(AP593/60,4),"")</f>
        <v/>
      </c>
      <c r="M593" s="77" t="str">
        <f>IF(BD593=1,ROUND(AQ593/60,4),"")</f>
        <v/>
      </c>
      <c r="N593" s="71" t="str">
        <f>IF(AND(D593="proMX",AB593=1),ROUND(AG593/CFG_BLK,2),"")</f>
        <v/>
      </c>
      <c r="O593" s="77" t="str">
        <f>IF(D593="proMX",IF(BD593=1,ROUND(AG593/60,4),0),"")</f>
        <v/>
      </c>
      <c r="P593" s="78" t="str">
        <f>IF(Y593=0,"",IF(BD593=1,"OK",IF(D593="proMX","Revisar bloques: ","Revisar: ")&amp;BC593))</f>
        <v/>
      </c>
      <c r="Q593" s="78" t="str">
        <f>IF(NOT(ISNUMBER(B593)),"",IF(COUNTIFS(FER_F,INT(B593))&gt;0,"Feriado"&amp;IF(AH593=1," (laborable)"," (no laborable)"),IF(AH593=1,"Laborable",IF(WEEKDAY(B593,2)&gt;5,"Fin de semana","No laborable"))))</f>
        <v/>
      </c>
      <c r="R593" s="73" t="n"/>
      <c r="S593" s="72" t="n"/>
      <c r="T593" s="72" t="n"/>
      <c r="U593" s="74" t="n"/>
      <c r="V593" s="79" t="str">
        <f>IF(AND(D593="proMX",OR(R593="Submitted",R593="Recall Requested"),ISNUMBER(S593)),CFG_TODAY-INT(S593),"")</f>
        <v/>
      </c>
      <c r="W593" s="78" t="str">
        <f>IF(BD593=0,"",IF(BA593&gt;0,"⚠ Se superpone con un registro de la otra empresa",IF(D593="Malcolm",IF(COUNTA(R593,S593,T593)&gt;0,"Estado/fechas proMX se ignoran en Malcolm",""),IF(BF593="Cancelled","Cancelado: excluido de totales",IF(R593="","Sin estado: se trata como Draft",IF(BF593="Submitted",IF(ISNUMBER(V593),IF(V593&gt;CFG_MAXD,"⚠ "&amp;V593&amp;" días en Submitted (máx. "&amp;CFG_MAXD&amp;")",""),"Falta fecha de envío"),IF(BF593="Returned","⚠ Devuelto: corregir y reenviar",IF(BF593="Recall Requested","Retirada solicitada: pendiente",IF(AND(BF593="Approved",NOT(ISNUMBER(T593))),"Falta fecha de aprobación",IF(AND(ISNUMBER(S593),ISNUMBER(T593),T593&lt;S593),"Aprobación anterior al envío","")))))))))</f>
        <v/>
      </c>
      <c r="Y593" s="80">
        <f>IF(COUNTA(B593,D593,E593,F593,G593,H593,I593,J593,R593,S593,T593)&gt;0,1,0)</f>
        <v>0</v>
      </c>
      <c r="Z593" s="80" t="str">
        <f>IF(AND(ISNUMBER(H593),H593&gt;=0,H593&lt;1),ROUND(H593*1440,0),"")</f>
        <v/>
      </c>
      <c r="AA593" s="80" t="str">
        <f>IF(AND(ISNUMBER(I593),I593&gt;=0,I593&lt;1),ROUND(I593*1440,0),"")</f>
        <v/>
      </c>
      <c r="AB593" s="80">
        <f>IF(AND(ISNUMBER(B593),D593&lt;&gt;"",ISNUMBER(Z593),ISNUMBER(AA593)),IF(Z593=AA593,0,1),0)</f>
        <v>0</v>
      </c>
      <c r="AC593" s="80">
        <f>IF(AB593=1,IF(AA593&lt;Z593,1,0),0)</f>
        <v>0</v>
      </c>
      <c r="AD593" s="80">
        <f>IF(AB593=1,IF(AC593=1,1440-Z593+AA593,AA593-Z593),0)</f>
        <v>0</v>
      </c>
      <c r="AE593" s="80">
        <f>IF(J593="",0,IF(ISNUMBER(J593),J593,-1))</f>
        <v>0</v>
      </c>
      <c r="AF593" s="80">
        <f>MIN(MAX(0,AE593),AD593)</f>
        <v>0</v>
      </c>
      <c r="AG593" s="80">
        <f>MAX(0,AD593-MAX(0,AE593))</f>
        <v>0</v>
      </c>
      <c r="AH593" s="80">
        <f>IF(ISNUMBER(B593),IF(AND(INDEX(CFG_WDAYS,WEEKDAY(INT(B593),2))="Sí",IF(D593="proMX",COUNTIFS(FER_F,INT(B593),FER_NLP,"Sí"),COUNTIFS(FER_F,INT(B593),FER_NLM,"Sí"))=0),1,0),0)</f>
        <v>0</v>
      </c>
      <c r="AI593" s="80">
        <f>IF(AC593=1,IF(AND(INDEX(CFG_WDAYS,WEEKDAY(INT(B593)+1,2))="Sí",IF(D593="proMX",COUNTIFS(FER_F,INT(B593)+1,FER_NLP,"Sí"),COUNTIFS(FER_F,INT(B593)+1,FER_NLM,"Sí"))=0),1,0),0)</f>
        <v>0</v>
      </c>
      <c r="AJ593" s="80">
        <f>IF(AC593=1,1440-Z593,AD593)</f>
        <v>0</v>
      </c>
      <c r="AK593" s="80">
        <f>IF(AND(AB593=1,AH593=1),MAX(0,MIN(IF(AC593=1,1440,AA593),CFG_WEM)-MAX(Z593,CFG_WSM)),0)</f>
        <v>0</v>
      </c>
      <c r="AL593" s="80">
        <f>IF(AND(AC593=1,AI593=1),MAX(0,MIN(AA593,CFG_WEM)-CFG_WSM),0)</f>
        <v>0</v>
      </c>
      <c r="AM593" s="80">
        <f>AK593+AL593</f>
        <v>0</v>
      </c>
      <c r="AN593" s="80">
        <f>IF(CFG_BRK="Proporcional",IF(AD593=0,0,AF593*AM593/AD593),IF(CFG_BRK="Extras primero",MIN(AM593,MAX(0,AF593-(AD593-AM593))),MIN(AF593,AM593)))</f>
        <v>0</v>
      </c>
      <c r="AO593" s="80">
        <f>AF593-AN593</f>
        <v>0</v>
      </c>
      <c r="AP593" s="80">
        <f>AM593-AN593</f>
        <v>0</v>
      </c>
      <c r="AQ593" s="80">
        <f>AD593-AM593-AO593</f>
        <v>0</v>
      </c>
      <c r="AR593" s="80">
        <f>IF(AM593=0,0,AK593-AN593*AK593/AM593)</f>
        <v>0</v>
      </c>
      <c r="AS593" s="80">
        <f>IF(AD593-AM593=0,0,(AJ593-AK593)-AO593*(AJ593-AK593)/(AD593-AM593))</f>
        <v>0</v>
      </c>
      <c r="AT593" s="80" t="str">
        <f>IF(AC593=1,INT(B593)+1,"")</f>
        <v/>
      </c>
      <c r="AU593" s="80">
        <f>IF(AND(D593="proMX",R593="Cancelled"),0,1)</f>
        <v>1</v>
      </c>
      <c r="AV593" s="80">
        <f>IF(AND(AB593=1,AU593=1),IF(COUNTIFS($D$5:D592,D593,$B$5:B592,B593,$Z$5:Z592,Z593,$AA$5:AA592,AA593,$F$5:F592,F593&amp;"",$AU$5:AU592,1)&gt;0,1,0),0)</f>
        <v>0</v>
      </c>
      <c r="AW593" s="80" t="str">
        <f>IF(AB593=1,INT(B593)*1440+Z593,"")</f>
        <v/>
      </c>
      <c r="AX593" s="80" t="str">
        <f>IF(AB593=1,AW593+AD593,"")</f>
        <v/>
      </c>
      <c r="AY593" s="80">
        <f>IF(AND(AB593=1,AV593=0,AU593=1),1,0)</f>
        <v>0</v>
      </c>
      <c r="AZ593" s="80">
        <f>IF(AY593=1,COUNTIFS(R_Emp,D593,R_SAbs,"&lt;"&amp;AX593,R_EAbs,"&gt;"&amp;AW593,R_OKey,1)-1,0)</f>
        <v>0</v>
      </c>
      <c r="BA593" s="80">
        <f>IF(AY593=1,COUNTIFS(R_Emp,"&lt;&gt;"&amp;D593,R_SAbs,"&lt;"&amp;AX593,R_EAbs,"&gt;"&amp;AW593,R_OKey,1),0)</f>
        <v>0</v>
      </c>
      <c r="BB593" s="80">
        <f>IF(AND(AB593=1,D593="proMX"),IF(AND(MOD(Z593,CFG_BLK)=0,MOD(AA593,CFG_BLK)=0,MOD(AG593,CFG_BLK)=0,AG593&gt;0),1,0),1)</f>
        <v>1</v>
      </c>
      <c r="BC593" s="80" t="str">
        <f>IF(Y593=0,"",IF(NOT(ISNUMBER(B593)),"Falta fecha o fecha inválida",IF(D593="","Falta empresa",IF(AND(D593&lt;&gt;"Malcolm",D593&lt;&gt;"proMX"),"Empresa inválida",IF(OR(INT(B593)&lt;CFG_PSTART,INT(B593)&gt;CFG_PEND),"Fecha fuera del período",IF(OR(NOT(ISNUMBER(Z593)),NOT(ISNUMBER(AA593))),"Falta hora inicio/fin o formato inválido",IF(AB593=0,"Hora inicio = hora fin",IF(AE593&lt;0,"Descanso inválido",IF(AE593&gt;=AD593,"Descanso ≥ duración",IF(AV593=1,"Registro duplicado",IF(AZ593&gt;0,"Se superpone con otro registro "&amp;D593,IF(BB593=0,"inicio, fin y duración neta deben ser múltiplos de "&amp;CFG_BLK&amp;" min",""))))))))))))</f>
        <v/>
      </c>
      <c r="BD593" s="80">
        <f>IF(AND(Y593=1,BC593=""),1,0)</f>
        <v>0</v>
      </c>
      <c r="BE593" s="80">
        <f>IF(AND(BD593=1,AU593=1),1,0)</f>
        <v>0</v>
      </c>
      <c r="BF593" s="80" t="str">
        <f>IF(AND(D593="proMX",BD593=1),IF(R593="","Draft",R593),"")</f>
        <v/>
      </c>
      <c r="BG593" s="80">
        <f>IF(BD593=1,ROUND(AG593/60,6),0)</f>
        <v>0</v>
      </c>
      <c r="BH593" s="80">
        <f>IF(BE593=1,ROUND(AG593/60,6),0)</f>
        <v>0</v>
      </c>
      <c r="BI593" s="80">
        <f>IF(BE593=1,ROUND(AP593/60,6),0)</f>
        <v>0</v>
      </c>
      <c r="BJ593" s="80">
        <f>IF(BE593=1,ROUND(AQ593/60,6),0)</f>
        <v>0</v>
      </c>
      <c r="BK593" s="80">
        <f>IF(BE593=1,ROUND((AR593+AS593)/60,6),0)</f>
        <v>0</v>
      </c>
      <c r="BL593" s="80">
        <f>ROUND(BH593-BK593,6)</f>
        <v>0</v>
      </c>
      <c r="BM593" s="80">
        <f>IF(BE593=1,ROUND(AR593/60,6),0)</f>
        <v>0</v>
      </c>
      <c r="BN593" s="80">
        <f>ROUND(BI593-BM593,6)</f>
        <v>0</v>
      </c>
      <c r="BO593" s="80">
        <f>IF(BE593=1,ROUND(AS593/60,6),0)</f>
        <v>0</v>
      </c>
      <c r="BP593" s="80">
        <f>ROUND(BJ593-BO593,6)</f>
        <v>0</v>
      </c>
      <c r="BQ593" s="80">
        <f>IF(BE593=1,AW593,0)</f>
        <v>0</v>
      </c>
      <c r="BR593" s="80">
        <f>IF(BE593=1,AX593,0)</f>
        <v>0</v>
      </c>
      <c r="BS593" s="80">
        <f>IF(AND(BE593=1,D593="Malcolm",BA593&gt;0),MIN(BH593,SUMPRODUCT((R_Emp="proMX")*(R_EN&gt;0)*((R_EN-(R_EN&gt;BR593)*(R_EN-BR593))&gt;(R_SN+(R_SN&lt;BQ593)*(BQ593-R_SN)))*((R_EN-(R_EN&gt;BR593)*(R_EN-BR593))-(R_SN+(R_SN&lt;BQ593)*(BQ593-R_SN))))/60),0)</f>
        <v>0</v>
      </c>
      <c r="BT593" s="80">
        <f>IF(AND(BE593=1,D593="proMX"),ROUND(BI593*CFG_RATE+BJ593*CFG_OTRATE,6),0)</f>
        <v>0</v>
      </c>
      <c r="BU593" s="80">
        <f>IF(AND(BD593=1,D593="proMX"),ROUND(AG593/CFG_BLK,6),0)</f>
        <v>0</v>
      </c>
      <c r="BV593" s="80" t="str">
        <f>IF(BF593="Approved",IF(ISNUMBER(T593),INT(T593),INT(B593)),"")</f>
        <v/>
      </c>
      <c r="BW593" s="80">
        <f>IF(ISNUMBER(B593),IF(DB_MON="Todos",1,IF(AND(INT(B593)&gt;=DB_MS,INT(B593)&lt;=DB_ME),1,0)),0)</f>
        <v>0</v>
      </c>
      <c r="BX593" s="80">
        <f>IF(DB_PROJ="Todos",1,IF(E593&amp;""=DB_PROJ&amp;"",1,0))</f>
        <v>1</v>
      </c>
      <c r="BY593" s="80">
        <f>BW593*BX593</f>
        <v>0</v>
      </c>
      <c r="BZ593" s="80" t="str">
        <f>IF(Y593=1,F593&amp;IF(AND(F593&amp;""&lt;&gt;"",E593&amp;""&lt;&gt;"")," · ","")&amp;E593,"")</f>
        <v/>
      </c>
      <c r="CA593" s="80" t="str">
        <f>IF(AND(BD593=1,E593&amp;""&lt;&gt;""),IF(COUNTIFS($E$5:E592,E593,$BD$5:BD592,1)=0,MAX($CA$5:CA592)+1,""),"")</f>
        <v/>
      </c>
      <c r="CB593" s="80" t="str">
        <f>IF(AND(BE593=1,D593="Malcolm",E593&amp;""&lt;&gt;""),IF(COUNTIFS($D$5:D592,"Malcolm",$E$5:E592,E593,$BE$5:BE592,1)=0,MAX($CB$5:CB592)+1,""),"")</f>
        <v/>
      </c>
      <c r="CC593" s="80" t="str">
        <f>IF(AND(BD593=1,D593="proMX",E593&amp;""&lt;&gt;""),IF(COUNTIFS($D$5:D592,"proMX",$E$5:E592,E593,$BD$5:BD592,1)=0,MAX($CC$5:CC592)+1,""),"")</f>
        <v/>
      </c>
      <c r="CD593" s="80" t="str">
        <f>IF(AND(BE593=1,D593="Malcolm",F593&amp;""&lt;&gt;""),IF(COUNTIFS($D$5:D592,"Malcolm",$F$5:F592,F593,$BE$5:BE592,1)=0,MAX($CD$5:CD592)+1,""),"")</f>
        <v/>
      </c>
      <c r="CE593" s="80" t="str">
        <f>IF(AND(BD593=1,D593="proMX",F593&amp;""&lt;&gt;""),IF(COUNTIFS($D$5:D592,"proMX",$F$5:F592,F593,$BD$5:BD592,1)=0,MAX($CE$5:CE592)+1,""),"")</f>
        <v/>
      </c>
      <c r="CF593" s="80" t="str">
        <f>IF(AND(D593="proMX",BD593=1),IF(OR(BF593="Draft",BF593="Submitted",BF593="Returned",BF593="Recall Requested"),MAX($CF$5:CF592)+1,""),"")</f>
        <v/>
      </c>
      <c r="CG593" s="80">
        <f>IF(BD593=0,0,IF(D593="Malcolm",1,MATCH(BF593,{"Draft","Submitted","Approved","Returned","Recall Requested","Cancelled"},0)+1))</f>
        <v>0</v>
      </c>
      <c r="CH593" s="80">
        <f>IF(AND(BF593="Submitted",ISNUMBER(V593)),IF(V593&gt;CFG_MAXD,1,0),0)</f>
        <v>0</v>
      </c>
    </row>
    <row r="594">
      <c r="A594" s="71" t="str">
        <f>IF(Y594=1,ROW()-5,"")</f>
        <v/>
      </c>
      <c r="B594" s="72" t="n"/>
      <c r="C594" s="71" t="str">
        <f>IF(ISNUMBER(B594),CHOOSE(WEEKDAY(B594,2),"Lun","Mar","Mié","Jue","Vie","Sáb","Dom"),"")</f>
        <v/>
      </c>
      <c r="D594" s="73" t="n"/>
      <c r="E594" s="74" t="n"/>
      <c r="F594" s="74" t="n"/>
      <c r="G594" s="74" t="n"/>
      <c r="H594" s="75" t="n"/>
      <c r="I594" s="75" t="n"/>
      <c r="J594" s="76" t="n"/>
      <c r="K594" s="77" t="str">
        <f>IF(AB594=1,ROUND(AG594/60,4),"")</f>
        <v/>
      </c>
      <c r="L594" s="77" t="str">
        <f>IF(BD594=1,ROUND(AP594/60,4),"")</f>
        <v/>
      </c>
      <c r="M594" s="77" t="str">
        <f>IF(BD594=1,ROUND(AQ594/60,4),"")</f>
        <v/>
      </c>
      <c r="N594" s="71" t="str">
        <f>IF(AND(D594="proMX",AB594=1),ROUND(AG594/CFG_BLK,2),"")</f>
        <v/>
      </c>
      <c r="O594" s="77" t="str">
        <f>IF(D594="proMX",IF(BD594=1,ROUND(AG594/60,4),0),"")</f>
        <v/>
      </c>
      <c r="P594" s="78" t="str">
        <f>IF(Y594=0,"",IF(BD594=1,"OK",IF(D594="proMX","Revisar bloques: ","Revisar: ")&amp;BC594))</f>
        <v/>
      </c>
      <c r="Q594" s="78" t="str">
        <f>IF(NOT(ISNUMBER(B594)),"",IF(COUNTIFS(FER_F,INT(B594))&gt;0,"Feriado"&amp;IF(AH594=1," (laborable)"," (no laborable)"),IF(AH594=1,"Laborable",IF(WEEKDAY(B594,2)&gt;5,"Fin de semana","No laborable"))))</f>
        <v/>
      </c>
      <c r="R594" s="73" t="n"/>
      <c r="S594" s="72" t="n"/>
      <c r="T594" s="72" t="n"/>
      <c r="U594" s="74" t="n"/>
      <c r="V594" s="79" t="str">
        <f>IF(AND(D594="proMX",OR(R594="Submitted",R594="Recall Requested"),ISNUMBER(S594)),CFG_TODAY-INT(S594),"")</f>
        <v/>
      </c>
      <c r="W594" s="78" t="str">
        <f>IF(BD594=0,"",IF(BA594&gt;0,"⚠ Se superpone con un registro de la otra empresa",IF(D594="Malcolm",IF(COUNTA(R594,S594,T594)&gt;0,"Estado/fechas proMX se ignoran en Malcolm",""),IF(BF594="Cancelled","Cancelado: excluido de totales",IF(R594="","Sin estado: se trata como Draft",IF(BF594="Submitted",IF(ISNUMBER(V594),IF(V594&gt;CFG_MAXD,"⚠ "&amp;V594&amp;" días en Submitted (máx. "&amp;CFG_MAXD&amp;")",""),"Falta fecha de envío"),IF(BF594="Returned","⚠ Devuelto: corregir y reenviar",IF(BF594="Recall Requested","Retirada solicitada: pendiente",IF(AND(BF594="Approved",NOT(ISNUMBER(T594))),"Falta fecha de aprobación",IF(AND(ISNUMBER(S594),ISNUMBER(T594),T594&lt;S594),"Aprobación anterior al envío","")))))))))</f>
        <v/>
      </c>
      <c r="Y594" s="80">
        <f>IF(COUNTA(B594,D594,E594,F594,G594,H594,I594,J594,R594,S594,T594)&gt;0,1,0)</f>
        <v>0</v>
      </c>
      <c r="Z594" s="80" t="str">
        <f>IF(AND(ISNUMBER(H594),H594&gt;=0,H594&lt;1),ROUND(H594*1440,0),"")</f>
        <v/>
      </c>
      <c r="AA594" s="80" t="str">
        <f>IF(AND(ISNUMBER(I594),I594&gt;=0,I594&lt;1),ROUND(I594*1440,0),"")</f>
        <v/>
      </c>
      <c r="AB594" s="80">
        <f>IF(AND(ISNUMBER(B594),D594&lt;&gt;"",ISNUMBER(Z594),ISNUMBER(AA594)),IF(Z594=AA594,0,1),0)</f>
        <v>0</v>
      </c>
      <c r="AC594" s="80">
        <f>IF(AB594=1,IF(AA594&lt;Z594,1,0),0)</f>
        <v>0</v>
      </c>
      <c r="AD594" s="80">
        <f>IF(AB594=1,IF(AC594=1,1440-Z594+AA594,AA594-Z594),0)</f>
        <v>0</v>
      </c>
      <c r="AE594" s="80">
        <f>IF(J594="",0,IF(ISNUMBER(J594),J594,-1))</f>
        <v>0</v>
      </c>
      <c r="AF594" s="80">
        <f>MIN(MAX(0,AE594),AD594)</f>
        <v>0</v>
      </c>
      <c r="AG594" s="80">
        <f>MAX(0,AD594-MAX(0,AE594))</f>
        <v>0</v>
      </c>
      <c r="AH594" s="80">
        <f>IF(ISNUMBER(B594),IF(AND(INDEX(CFG_WDAYS,WEEKDAY(INT(B594),2))="Sí",IF(D594="proMX",COUNTIFS(FER_F,INT(B594),FER_NLP,"Sí"),COUNTIFS(FER_F,INT(B594),FER_NLM,"Sí"))=0),1,0),0)</f>
        <v>0</v>
      </c>
      <c r="AI594" s="80">
        <f>IF(AC594=1,IF(AND(INDEX(CFG_WDAYS,WEEKDAY(INT(B594)+1,2))="Sí",IF(D594="proMX",COUNTIFS(FER_F,INT(B594)+1,FER_NLP,"Sí"),COUNTIFS(FER_F,INT(B594)+1,FER_NLM,"Sí"))=0),1,0),0)</f>
        <v>0</v>
      </c>
      <c r="AJ594" s="80">
        <f>IF(AC594=1,1440-Z594,AD594)</f>
        <v>0</v>
      </c>
      <c r="AK594" s="80">
        <f>IF(AND(AB594=1,AH594=1),MAX(0,MIN(IF(AC594=1,1440,AA594),CFG_WEM)-MAX(Z594,CFG_WSM)),0)</f>
        <v>0</v>
      </c>
      <c r="AL594" s="80">
        <f>IF(AND(AC594=1,AI594=1),MAX(0,MIN(AA594,CFG_WEM)-CFG_WSM),0)</f>
        <v>0</v>
      </c>
      <c r="AM594" s="80">
        <f>AK594+AL594</f>
        <v>0</v>
      </c>
      <c r="AN594" s="80">
        <f>IF(CFG_BRK="Proporcional",IF(AD594=0,0,AF594*AM594/AD594),IF(CFG_BRK="Extras primero",MIN(AM594,MAX(0,AF594-(AD594-AM594))),MIN(AF594,AM594)))</f>
        <v>0</v>
      </c>
      <c r="AO594" s="80">
        <f>AF594-AN594</f>
        <v>0</v>
      </c>
      <c r="AP594" s="80">
        <f>AM594-AN594</f>
        <v>0</v>
      </c>
      <c r="AQ594" s="80">
        <f>AD594-AM594-AO594</f>
        <v>0</v>
      </c>
      <c r="AR594" s="80">
        <f>IF(AM594=0,0,AK594-AN594*AK594/AM594)</f>
        <v>0</v>
      </c>
      <c r="AS594" s="80">
        <f>IF(AD594-AM594=0,0,(AJ594-AK594)-AO594*(AJ594-AK594)/(AD594-AM594))</f>
        <v>0</v>
      </c>
      <c r="AT594" s="80" t="str">
        <f>IF(AC594=1,INT(B594)+1,"")</f>
        <v/>
      </c>
      <c r="AU594" s="80">
        <f>IF(AND(D594="proMX",R594="Cancelled"),0,1)</f>
        <v>1</v>
      </c>
      <c r="AV594" s="80">
        <f>IF(AND(AB594=1,AU594=1),IF(COUNTIFS($D$5:D593,D594,$B$5:B593,B594,$Z$5:Z593,Z594,$AA$5:AA593,AA594,$F$5:F593,F594&amp;"",$AU$5:AU593,1)&gt;0,1,0),0)</f>
        <v>0</v>
      </c>
      <c r="AW594" s="80" t="str">
        <f>IF(AB594=1,INT(B594)*1440+Z594,"")</f>
        <v/>
      </c>
      <c r="AX594" s="80" t="str">
        <f>IF(AB594=1,AW594+AD594,"")</f>
        <v/>
      </c>
      <c r="AY594" s="80">
        <f>IF(AND(AB594=1,AV594=0,AU594=1),1,0)</f>
        <v>0</v>
      </c>
      <c r="AZ594" s="80">
        <f>IF(AY594=1,COUNTIFS(R_Emp,D594,R_SAbs,"&lt;"&amp;AX594,R_EAbs,"&gt;"&amp;AW594,R_OKey,1)-1,0)</f>
        <v>0</v>
      </c>
      <c r="BA594" s="80">
        <f>IF(AY594=1,COUNTIFS(R_Emp,"&lt;&gt;"&amp;D594,R_SAbs,"&lt;"&amp;AX594,R_EAbs,"&gt;"&amp;AW594,R_OKey,1),0)</f>
        <v>0</v>
      </c>
      <c r="BB594" s="80">
        <f>IF(AND(AB594=1,D594="proMX"),IF(AND(MOD(Z594,CFG_BLK)=0,MOD(AA594,CFG_BLK)=0,MOD(AG594,CFG_BLK)=0,AG594&gt;0),1,0),1)</f>
        <v>1</v>
      </c>
      <c r="BC594" s="80" t="str">
        <f>IF(Y594=0,"",IF(NOT(ISNUMBER(B594)),"Falta fecha o fecha inválida",IF(D594="","Falta empresa",IF(AND(D594&lt;&gt;"Malcolm",D594&lt;&gt;"proMX"),"Empresa inválida",IF(OR(INT(B594)&lt;CFG_PSTART,INT(B594)&gt;CFG_PEND),"Fecha fuera del período",IF(OR(NOT(ISNUMBER(Z594)),NOT(ISNUMBER(AA594))),"Falta hora inicio/fin o formato inválido",IF(AB594=0,"Hora inicio = hora fin",IF(AE594&lt;0,"Descanso inválido",IF(AE594&gt;=AD594,"Descanso ≥ duración",IF(AV594=1,"Registro duplicado",IF(AZ594&gt;0,"Se superpone con otro registro "&amp;D594,IF(BB594=0,"inicio, fin y duración neta deben ser múltiplos de "&amp;CFG_BLK&amp;" min",""))))))))))))</f>
        <v/>
      </c>
      <c r="BD594" s="80">
        <f>IF(AND(Y594=1,BC594=""),1,0)</f>
        <v>0</v>
      </c>
      <c r="BE594" s="80">
        <f>IF(AND(BD594=1,AU594=1),1,0)</f>
        <v>0</v>
      </c>
      <c r="BF594" s="80" t="str">
        <f>IF(AND(D594="proMX",BD594=1),IF(R594="","Draft",R594),"")</f>
        <v/>
      </c>
      <c r="BG594" s="80">
        <f>IF(BD594=1,ROUND(AG594/60,6),0)</f>
        <v>0</v>
      </c>
      <c r="BH594" s="80">
        <f>IF(BE594=1,ROUND(AG594/60,6),0)</f>
        <v>0</v>
      </c>
      <c r="BI594" s="80">
        <f>IF(BE594=1,ROUND(AP594/60,6),0)</f>
        <v>0</v>
      </c>
      <c r="BJ594" s="80">
        <f>IF(BE594=1,ROUND(AQ594/60,6),0)</f>
        <v>0</v>
      </c>
      <c r="BK594" s="80">
        <f>IF(BE594=1,ROUND((AR594+AS594)/60,6),0)</f>
        <v>0</v>
      </c>
      <c r="BL594" s="80">
        <f>ROUND(BH594-BK594,6)</f>
        <v>0</v>
      </c>
      <c r="BM594" s="80">
        <f>IF(BE594=1,ROUND(AR594/60,6),0)</f>
        <v>0</v>
      </c>
      <c r="BN594" s="80">
        <f>ROUND(BI594-BM594,6)</f>
        <v>0</v>
      </c>
      <c r="BO594" s="80">
        <f>IF(BE594=1,ROUND(AS594/60,6),0)</f>
        <v>0</v>
      </c>
      <c r="BP594" s="80">
        <f>ROUND(BJ594-BO594,6)</f>
        <v>0</v>
      </c>
      <c r="BQ594" s="80">
        <f>IF(BE594=1,AW594,0)</f>
        <v>0</v>
      </c>
      <c r="BR594" s="80">
        <f>IF(BE594=1,AX594,0)</f>
        <v>0</v>
      </c>
      <c r="BS594" s="80">
        <f>IF(AND(BE594=1,D594="Malcolm",BA594&gt;0),MIN(BH594,SUMPRODUCT((R_Emp="proMX")*(R_EN&gt;0)*((R_EN-(R_EN&gt;BR594)*(R_EN-BR594))&gt;(R_SN+(R_SN&lt;BQ594)*(BQ594-R_SN)))*((R_EN-(R_EN&gt;BR594)*(R_EN-BR594))-(R_SN+(R_SN&lt;BQ594)*(BQ594-R_SN))))/60),0)</f>
        <v>0</v>
      </c>
      <c r="BT594" s="80">
        <f>IF(AND(BE594=1,D594="proMX"),ROUND(BI594*CFG_RATE+BJ594*CFG_OTRATE,6),0)</f>
        <v>0</v>
      </c>
      <c r="BU594" s="80">
        <f>IF(AND(BD594=1,D594="proMX"),ROUND(AG594/CFG_BLK,6),0)</f>
        <v>0</v>
      </c>
      <c r="BV594" s="80" t="str">
        <f>IF(BF594="Approved",IF(ISNUMBER(T594),INT(T594),INT(B594)),"")</f>
        <v/>
      </c>
      <c r="BW594" s="80">
        <f>IF(ISNUMBER(B594),IF(DB_MON="Todos",1,IF(AND(INT(B594)&gt;=DB_MS,INT(B594)&lt;=DB_ME),1,0)),0)</f>
        <v>0</v>
      </c>
      <c r="BX594" s="80">
        <f>IF(DB_PROJ="Todos",1,IF(E594&amp;""=DB_PROJ&amp;"",1,0))</f>
        <v>1</v>
      </c>
      <c r="BY594" s="80">
        <f>BW594*BX594</f>
        <v>0</v>
      </c>
      <c r="BZ594" s="80" t="str">
        <f>IF(Y594=1,F594&amp;IF(AND(F594&amp;""&lt;&gt;"",E594&amp;""&lt;&gt;"")," · ","")&amp;E594,"")</f>
        <v/>
      </c>
      <c r="CA594" s="80" t="str">
        <f>IF(AND(BD594=1,E594&amp;""&lt;&gt;""),IF(COUNTIFS($E$5:E593,E594,$BD$5:BD593,1)=0,MAX($CA$5:CA593)+1,""),"")</f>
        <v/>
      </c>
      <c r="CB594" s="80" t="str">
        <f>IF(AND(BE594=1,D594="Malcolm",E594&amp;""&lt;&gt;""),IF(COUNTIFS($D$5:D593,"Malcolm",$E$5:E593,E594,$BE$5:BE593,1)=0,MAX($CB$5:CB593)+1,""),"")</f>
        <v/>
      </c>
      <c r="CC594" s="80" t="str">
        <f>IF(AND(BD594=1,D594="proMX",E594&amp;""&lt;&gt;""),IF(COUNTIFS($D$5:D593,"proMX",$E$5:E593,E594,$BD$5:BD593,1)=0,MAX($CC$5:CC593)+1,""),"")</f>
        <v/>
      </c>
      <c r="CD594" s="80" t="str">
        <f>IF(AND(BE594=1,D594="Malcolm",F594&amp;""&lt;&gt;""),IF(COUNTIFS($D$5:D593,"Malcolm",$F$5:F593,F594,$BE$5:BE593,1)=0,MAX($CD$5:CD593)+1,""),"")</f>
        <v/>
      </c>
      <c r="CE594" s="80" t="str">
        <f>IF(AND(BD594=1,D594="proMX",F594&amp;""&lt;&gt;""),IF(COUNTIFS($D$5:D593,"proMX",$F$5:F593,F594,$BD$5:BD593,1)=0,MAX($CE$5:CE593)+1,""),"")</f>
        <v/>
      </c>
      <c r="CF594" s="80" t="str">
        <f>IF(AND(D594="proMX",BD594=1),IF(OR(BF594="Draft",BF594="Submitted",BF594="Returned",BF594="Recall Requested"),MAX($CF$5:CF593)+1,""),"")</f>
        <v/>
      </c>
      <c r="CG594" s="80">
        <f>IF(BD594=0,0,IF(D594="Malcolm",1,MATCH(BF594,{"Draft","Submitted","Approved","Returned","Recall Requested","Cancelled"},0)+1))</f>
        <v>0</v>
      </c>
      <c r="CH594" s="80">
        <f>IF(AND(BF594="Submitted",ISNUMBER(V594)),IF(V594&gt;CFG_MAXD,1,0),0)</f>
        <v>0</v>
      </c>
    </row>
    <row r="595">
      <c r="A595" s="71" t="str">
        <f>IF(Y595=1,ROW()-5,"")</f>
        <v/>
      </c>
      <c r="B595" s="72" t="n"/>
      <c r="C595" s="71" t="str">
        <f>IF(ISNUMBER(B595),CHOOSE(WEEKDAY(B595,2),"Lun","Mar","Mié","Jue","Vie","Sáb","Dom"),"")</f>
        <v/>
      </c>
      <c r="D595" s="73" t="n"/>
      <c r="E595" s="74" t="n"/>
      <c r="F595" s="74" t="n"/>
      <c r="G595" s="74" t="n"/>
      <c r="H595" s="75" t="n"/>
      <c r="I595" s="75" t="n"/>
      <c r="J595" s="76" t="n"/>
      <c r="K595" s="77" t="str">
        <f>IF(AB595=1,ROUND(AG595/60,4),"")</f>
        <v/>
      </c>
      <c r="L595" s="77" t="str">
        <f>IF(BD595=1,ROUND(AP595/60,4),"")</f>
        <v/>
      </c>
      <c r="M595" s="77" t="str">
        <f>IF(BD595=1,ROUND(AQ595/60,4),"")</f>
        <v/>
      </c>
      <c r="N595" s="71" t="str">
        <f>IF(AND(D595="proMX",AB595=1),ROUND(AG595/CFG_BLK,2),"")</f>
        <v/>
      </c>
      <c r="O595" s="77" t="str">
        <f>IF(D595="proMX",IF(BD595=1,ROUND(AG595/60,4),0),"")</f>
        <v/>
      </c>
      <c r="P595" s="78" t="str">
        <f>IF(Y595=0,"",IF(BD595=1,"OK",IF(D595="proMX","Revisar bloques: ","Revisar: ")&amp;BC595))</f>
        <v/>
      </c>
      <c r="Q595" s="78" t="str">
        <f>IF(NOT(ISNUMBER(B595)),"",IF(COUNTIFS(FER_F,INT(B595))&gt;0,"Feriado"&amp;IF(AH595=1," (laborable)"," (no laborable)"),IF(AH595=1,"Laborable",IF(WEEKDAY(B595,2)&gt;5,"Fin de semana","No laborable"))))</f>
        <v/>
      </c>
      <c r="R595" s="73" t="n"/>
      <c r="S595" s="72" t="n"/>
      <c r="T595" s="72" t="n"/>
      <c r="U595" s="74" t="n"/>
      <c r="V595" s="79" t="str">
        <f>IF(AND(D595="proMX",OR(R595="Submitted",R595="Recall Requested"),ISNUMBER(S595)),CFG_TODAY-INT(S595),"")</f>
        <v/>
      </c>
      <c r="W595" s="78" t="str">
        <f>IF(BD595=0,"",IF(BA595&gt;0,"⚠ Se superpone con un registro de la otra empresa",IF(D595="Malcolm",IF(COUNTA(R595,S595,T595)&gt;0,"Estado/fechas proMX se ignoran en Malcolm",""),IF(BF595="Cancelled","Cancelado: excluido de totales",IF(R595="","Sin estado: se trata como Draft",IF(BF595="Submitted",IF(ISNUMBER(V595),IF(V595&gt;CFG_MAXD,"⚠ "&amp;V595&amp;" días en Submitted (máx. "&amp;CFG_MAXD&amp;")",""),"Falta fecha de envío"),IF(BF595="Returned","⚠ Devuelto: corregir y reenviar",IF(BF595="Recall Requested","Retirada solicitada: pendiente",IF(AND(BF595="Approved",NOT(ISNUMBER(T595))),"Falta fecha de aprobación",IF(AND(ISNUMBER(S595),ISNUMBER(T595),T595&lt;S595),"Aprobación anterior al envío","")))))))))</f>
        <v/>
      </c>
      <c r="Y595" s="80">
        <f>IF(COUNTA(B595,D595,E595,F595,G595,H595,I595,J595,R595,S595,T595)&gt;0,1,0)</f>
        <v>0</v>
      </c>
      <c r="Z595" s="80" t="str">
        <f>IF(AND(ISNUMBER(H595),H595&gt;=0,H595&lt;1),ROUND(H595*1440,0),"")</f>
        <v/>
      </c>
      <c r="AA595" s="80" t="str">
        <f>IF(AND(ISNUMBER(I595),I595&gt;=0,I595&lt;1),ROUND(I595*1440,0),"")</f>
        <v/>
      </c>
      <c r="AB595" s="80">
        <f>IF(AND(ISNUMBER(B595),D595&lt;&gt;"",ISNUMBER(Z595),ISNUMBER(AA595)),IF(Z595=AA595,0,1),0)</f>
        <v>0</v>
      </c>
      <c r="AC595" s="80">
        <f>IF(AB595=1,IF(AA595&lt;Z595,1,0),0)</f>
        <v>0</v>
      </c>
      <c r="AD595" s="80">
        <f>IF(AB595=1,IF(AC595=1,1440-Z595+AA595,AA595-Z595),0)</f>
        <v>0</v>
      </c>
      <c r="AE595" s="80">
        <f>IF(J595="",0,IF(ISNUMBER(J595),J595,-1))</f>
        <v>0</v>
      </c>
      <c r="AF595" s="80">
        <f>MIN(MAX(0,AE595),AD595)</f>
        <v>0</v>
      </c>
      <c r="AG595" s="80">
        <f>MAX(0,AD595-MAX(0,AE595))</f>
        <v>0</v>
      </c>
      <c r="AH595" s="80">
        <f>IF(ISNUMBER(B595),IF(AND(INDEX(CFG_WDAYS,WEEKDAY(INT(B595),2))="Sí",IF(D595="proMX",COUNTIFS(FER_F,INT(B595),FER_NLP,"Sí"),COUNTIFS(FER_F,INT(B595),FER_NLM,"Sí"))=0),1,0),0)</f>
        <v>0</v>
      </c>
      <c r="AI595" s="80">
        <f>IF(AC595=1,IF(AND(INDEX(CFG_WDAYS,WEEKDAY(INT(B595)+1,2))="Sí",IF(D595="proMX",COUNTIFS(FER_F,INT(B595)+1,FER_NLP,"Sí"),COUNTIFS(FER_F,INT(B595)+1,FER_NLM,"Sí"))=0),1,0),0)</f>
        <v>0</v>
      </c>
      <c r="AJ595" s="80">
        <f>IF(AC595=1,1440-Z595,AD595)</f>
        <v>0</v>
      </c>
      <c r="AK595" s="80">
        <f>IF(AND(AB595=1,AH595=1),MAX(0,MIN(IF(AC595=1,1440,AA595),CFG_WEM)-MAX(Z595,CFG_WSM)),0)</f>
        <v>0</v>
      </c>
      <c r="AL595" s="80">
        <f>IF(AND(AC595=1,AI595=1),MAX(0,MIN(AA595,CFG_WEM)-CFG_WSM),0)</f>
        <v>0</v>
      </c>
      <c r="AM595" s="80">
        <f>AK595+AL595</f>
        <v>0</v>
      </c>
      <c r="AN595" s="80">
        <f>IF(CFG_BRK="Proporcional",IF(AD595=0,0,AF595*AM595/AD595),IF(CFG_BRK="Extras primero",MIN(AM595,MAX(0,AF595-(AD595-AM595))),MIN(AF595,AM595)))</f>
        <v>0</v>
      </c>
      <c r="AO595" s="80">
        <f>AF595-AN595</f>
        <v>0</v>
      </c>
      <c r="AP595" s="80">
        <f>AM595-AN595</f>
        <v>0</v>
      </c>
      <c r="AQ595" s="80">
        <f>AD595-AM595-AO595</f>
        <v>0</v>
      </c>
      <c r="AR595" s="80">
        <f>IF(AM595=0,0,AK595-AN595*AK595/AM595)</f>
        <v>0</v>
      </c>
      <c r="AS595" s="80">
        <f>IF(AD595-AM595=0,0,(AJ595-AK595)-AO595*(AJ595-AK595)/(AD595-AM595))</f>
        <v>0</v>
      </c>
      <c r="AT595" s="80" t="str">
        <f>IF(AC595=1,INT(B595)+1,"")</f>
        <v/>
      </c>
      <c r="AU595" s="80">
        <f>IF(AND(D595="proMX",R595="Cancelled"),0,1)</f>
        <v>1</v>
      </c>
      <c r="AV595" s="80">
        <f>IF(AND(AB595=1,AU595=1),IF(COUNTIFS($D$5:D594,D595,$B$5:B594,B595,$Z$5:Z594,Z595,$AA$5:AA594,AA595,$F$5:F594,F595&amp;"",$AU$5:AU594,1)&gt;0,1,0),0)</f>
        <v>0</v>
      </c>
      <c r="AW595" s="80" t="str">
        <f>IF(AB595=1,INT(B595)*1440+Z595,"")</f>
        <v/>
      </c>
      <c r="AX595" s="80" t="str">
        <f>IF(AB595=1,AW595+AD595,"")</f>
        <v/>
      </c>
      <c r="AY595" s="80">
        <f>IF(AND(AB595=1,AV595=0,AU595=1),1,0)</f>
        <v>0</v>
      </c>
      <c r="AZ595" s="80">
        <f>IF(AY595=1,COUNTIFS(R_Emp,D595,R_SAbs,"&lt;"&amp;AX595,R_EAbs,"&gt;"&amp;AW595,R_OKey,1)-1,0)</f>
        <v>0</v>
      </c>
      <c r="BA595" s="80">
        <f>IF(AY595=1,COUNTIFS(R_Emp,"&lt;&gt;"&amp;D595,R_SAbs,"&lt;"&amp;AX595,R_EAbs,"&gt;"&amp;AW595,R_OKey,1),0)</f>
        <v>0</v>
      </c>
      <c r="BB595" s="80">
        <f>IF(AND(AB595=1,D595="proMX"),IF(AND(MOD(Z595,CFG_BLK)=0,MOD(AA595,CFG_BLK)=0,MOD(AG595,CFG_BLK)=0,AG595&gt;0),1,0),1)</f>
        <v>1</v>
      </c>
      <c r="BC595" s="80" t="str">
        <f>IF(Y595=0,"",IF(NOT(ISNUMBER(B595)),"Falta fecha o fecha inválida",IF(D595="","Falta empresa",IF(AND(D595&lt;&gt;"Malcolm",D595&lt;&gt;"proMX"),"Empresa inválida",IF(OR(INT(B595)&lt;CFG_PSTART,INT(B595)&gt;CFG_PEND),"Fecha fuera del período",IF(OR(NOT(ISNUMBER(Z595)),NOT(ISNUMBER(AA595))),"Falta hora inicio/fin o formato inválido",IF(AB595=0,"Hora inicio = hora fin",IF(AE595&lt;0,"Descanso inválido",IF(AE595&gt;=AD595,"Descanso ≥ duración",IF(AV595=1,"Registro duplicado",IF(AZ595&gt;0,"Se superpone con otro registro "&amp;D595,IF(BB595=0,"inicio, fin y duración neta deben ser múltiplos de "&amp;CFG_BLK&amp;" min",""))))))))))))</f>
        <v/>
      </c>
      <c r="BD595" s="80">
        <f>IF(AND(Y595=1,BC595=""),1,0)</f>
        <v>0</v>
      </c>
      <c r="BE595" s="80">
        <f>IF(AND(BD595=1,AU595=1),1,0)</f>
        <v>0</v>
      </c>
      <c r="BF595" s="80" t="str">
        <f>IF(AND(D595="proMX",BD595=1),IF(R595="","Draft",R595),"")</f>
        <v/>
      </c>
      <c r="BG595" s="80">
        <f>IF(BD595=1,ROUND(AG595/60,6),0)</f>
        <v>0</v>
      </c>
      <c r="BH595" s="80">
        <f>IF(BE595=1,ROUND(AG595/60,6),0)</f>
        <v>0</v>
      </c>
      <c r="BI595" s="80">
        <f>IF(BE595=1,ROUND(AP595/60,6),0)</f>
        <v>0</v>
      </c>
      <c r="BJ595" s="80">
        <f>IF(BE595=1,ROUND(AQ595/60,6),0)</f>
        <v>0</v>
      </c>
      <c r="BK595" s="80">
        <f>IF(BE595=1,ROUND((AR595+AS595)/60,6),0)</f>
        <v>0</v>
      </c>
      <c r="BL595" s="80">
        <f>ROUND(BH595-BK595,6)</f>
        <v>0</v>
      </c>
      <c r="BM595" s="80">
        <f>IF(BE595=1,ROUND(AR595/60,6),0)</f>
        <v>0</v>
      </c>
      <c r="BN595" s="80">
        <f>ROUND(BI595-BM595,6)</f>
        <v>0</v>
      </c>
      <c r="BO595" s="80">
        <f>IF(BE595=1,ROUND(AS595/60,6),0)</f>
        <v>0</v>
      </c>
      <c r="BP595" s="80">
        <f>ROUND(BJ595-BO595,6)</f>
        <v>0</v>
      </c>
      <c r="BQ595" s="80">
        <f>IF(BE595=1,AW595,0)</f>
        <v>0</v>
      </c>
      <c r="BR595" s="80">
        <f>IF(BE595=1,AX595,0)</f>
        <v>0</v>
      </c>
      <c r="BS595" s="80">
        <f>IF(AND(BE595=1,D595="Malcolm",BA595&gt;0),MIN(BH595,SUMPRODUCT((R_Emp="proMX")*(R_EN&gt;0)*((R_EN-(R_EN&gt;BR595)*(R_EN-BR595))&gt;(R_SN+(R_SN&lt;BQ595)*(BQ595-R_SN)))*((R_EN-(R_EN&gt;BR595)*(R_EN-BR595))-(R_SN+(R_SN&lt;BQ595)*(BQ595-R_SN))))/60),0)</f>
        <v>0</v>
      </c>
      <c r="BT595" s="80">
        <f>IF(AND(BE595=1,D595="proMX"),ROUND(BI595*CFG_RATE+BJ595*CFG_OTRATE,6),0)</f>
        <v>0</v>
      </c>
      <c r="BU595" s="80">
        <f>IF(AND(BD595=1,D595="proMX"),ROUND(AG595/CFG_BLK,6),0)</f>
        <v>0</v>
      </c>
      <c r="BV595" s="80" t="str">
        <f>IF(BF595="Approved",IF(ISNUMBER(T595),INT(T595),INT(B595)),"")</f>
        <v/>
      </c>
      <c r="BW595" s="80">
        <f>IF(ISNUMBER(B595),IF(DB_MON="Todos",1,IF(AND(INT(B595)&gt;=DB_MS,INT(B595)&lt;=DB_ME),1,0)),0)</f>
        <v>0</v>
      </c>
      <c r="BX595" s="80">
        <f>IF(DB_PROJ="Todos",1,IF(E595&amp;""=DB_PROJ&amp;"",1,0))</f>
        <v>1</v>
      </c>
      <c r="BY595" s="80">
        <f>BW595*BX595</f>
        <v>0</v>
      </c>
      <c r="BZ595" s="80" t="str">
        <f>IF(Y595=1,F595&amp;IF(AND(F595&amp;""&lt;&gt;"",E595&amp;""&lt;&gt;"")," · ","")&amp;E595,"")</f>
        <v/>
      </c>
      <c r="CA595" s="80" t="str">
        <f>IF(AND(BD595=1,E595&amp;""&lt;&gt;""),IF(COUNTIFS($E$5:E594,E595,$BD$5:BD594,1)=0,MAX($CA$5:CA594)+1,""),"")</f>
        <v/>
      </c>
      <c r="CB595" s="80" t="str">
        <f>IF(AND(BE595=1,D595="Malcolm",E595&amp;""&lt;&gt;""),IF(COUNTIFS($D$5:D594,"Malcolm",$E$5:E594,E595,$BE$5:BE594,1)=0,MAX($CB$5:CB594)+1,""),"")</f>
        <v/>
      </c>
      <c r="CC595" s="80" t="str">
        <f>IF(AND(BD595=1,D595="proMX",E595&amp;""&lt;&gt;""),IF(COUNTIFS($D$5:D594,"proMX",$E$5:E594,E595,$BD$5:BD594,1)=0,MAX($CC$5:CC594)+1,""),"")</f>
        <v/>
      </c>
      <c r="CD595" s="80" t="str">
        <f>IF(AND(BE595=1,D595="Malcolm",F595&amp;""&lt;&gt;""),IF(COUNTIFS($D$5:D594,"Malcolm",$F$5:F594,F595,$BE$5:BE594,1)=0,MAX($CD$5:CD594)+1,""),"")</f>
        <v/>
      </c>
      <c r="CE595" s="80" t="str">
        <f>IF(AND(BD595=1,D595="proMX",F595&amp;""&lt;&gt;""),IF(COUNTIFS($D$5:D594,"proMX",$F$5:F594,F595,$BD$5:BD594,1)=0,MAX($CE$5:CE594)+1,""),"")</f>
        <v/>
      </c>
      <c r="CF595" s="80" t="str">
        <f>IF(AND(D595="proMX",BD595=1),IF(OR(BF595="Draft",BF595="Submitted",BF595="Returned",BF595="Recall Requested"),MAX($CF$5:CF594)+1,""),"")</f>
        <v/>
      </c>
      <c r="CG595" s="80">
        <f>IF(BD595=0,0,IF(D595="Malcolm",1,MATCH(BF595,{"Draft","Submitted","Approved","Returned","Recall Requested","Cancelled"},0)+1))</f>
        <v>0</v>
      </c>
      <c r="CH595" s="80">
        <f>IF(AND(BF595="Submitted",ISNUMBER(V595)),IF(V595&gt;CFG_MAXD,1,0),0)</f>
        <v>0</v>
      </c>
    </row>
    <row r="596">
      <c r="A596" s="71" t="str">
        <f>IF(Y596=1,ROW()-5,"")</f>
        <v/>
      </c>
      <c r="B596" s="72" t="n"/>
      <c r="C596" s="71" t="str">
        <f>IF(ISNUMBER(B596),CHOOSE(WEEKDAY(B596,2),"Lun","Mar","Mié","Jue","Vie","Sáb","Dom"),"")</f>
        <v/>
      </c>
      <c r="D596" s="73" t="n"/>
      <c r="E596" s="74" t="n"/>
      <c r="F596" s="74" t="n"/>
      <c r="G596" s="74" t="n"/>
      <c r="H596" s="75" t="n"/>
      <c r="I596" s="75" t="n"/>
      <c r="J596" s="76" t="n"/>
      <c r="K596" s="77" t="str">
        <f>IF(AB596=1,ROUND(AG596/60,4),"")</f>
        <v/>
      </c>
      <c r="L596" s="77" t="str">
        <f>IF(BD596=1,ROUND(AP596/60,4),"")</f>
        <v/>
      </c>
      <c r="M596" s="77" t="str">
        <f>IF(BD596=1,ROUND(AQ596/60,4),"")</f>
        <v/>
      </c>
      <c r="N596" s="71" t="str">
        <f>IF(AND(D596="proMX",AB596=1),ROUND(AG596/CFG_BLK,2),"")</f>
        <v/>
      </c>
      <c r="O596" s="77" t="str">
        <f>IF(D596="proMX",IF(BD596=1,ROUND(AG596/60,4),0),"")</f>
        <v/>
      </c>
      <c r="P596" s="78" t="str">
        <f>IF(Y596=0,"",IF(BD596=1,"OK",IF(D596="proMX","Revisar bloques: ","Revisar: ")&amp;BC596))</f>
        <v/>
      </c>
      <c r="Q596" s="78" t="str">
        <f>IF(NOT(ISNUMBER(B596)),"",IF(COUNTIFS(FER_F,INT(B596))&gt;0,"Feriado"&amp;IF(AH596=1," (laborable)"," (no laborable)"),IF(AH596=1,"Laborable",IF(WEEKDAY(B596,2)&gt;5,"Fin de semana","No laborable"))))</f>
        <v/>
      </c>
      <c r="R596" s="73" t="n"/>
      <c r="S596" s="72" t="n"/>
      <c r="T596" s="72" t="n"/>
      <c r="U596" s="74" t="n"/>
      <c r="V596" s="79" t="str">
        <f>IF(AND(D596="proMX",OR(R596="Submitted",R596="Recall Requested"),ISNUMBER(S596)),CFG_TODAY-INT(S596),"")</f>
        <v/>
      </c>
      <c r="W596" s="78" t="str">
        <f>IF(BD596=0,"",IF(BA596&gt;0,"⚠ Se superpone con un registro de la otra empresa",IF(D596="Malcolm",IF(COUNTA(R596,S596,T596)&gt;0,"Estado/fechas proMX se ignoran en Malcolm",""),IF(BF596="Cancelled","Cancelado: excluido de totales",IF(R596="","Sin estado: se trata como Draft",IF(BF596="Submitted",IF(ISNUMBER(V596),IF(V596&gt;CFG_MAXD,"⚠ "&amp;V596&amp;" días en Submitted (máx. "&amp;CFG_MAXD&amp;")",""),"Falta fecha de envío"),IF(BF596="Returned","⚠ Devuelto: corregir y reenviar",IF(BF596="Recall Requested","Retirada solicitada: pendiente",IF(AND(BF596="Approved",NOT(ISNUMBER(T596))),"Falta fecha de aprobación",IF(AND(ISNUMBER(S596),ISNUMBER(T596),T596&lt;S596),"Aprobación anterior al envío","")))))))))</f>
        <v/>
      </c>
      <c r="Y596" s="80">
        <f>IF(COUNTA(B596,D596,E596,F596,G596,H596,I596,J596,R596,S596,T596)&gt;0,1,0)</f>
        <v>0</v>
      </c>
      <c r="Z596" s="80" t="str">
        <f>IF(AND(ISNUMBER(H596),H596&gt;=0,H596&lt;1),ROUND(H596*1440,0),"")</f>
        <v/>
      </c>
      <c r="AA596" s="80" t="str">
        <f>IF(AND(ISNUMBER(I596),I596&gt;=0,I596&lt;1),ROUND(I596*1440,0),"")</f>
        <v/>
      </c>
      <c r="AB596" s="80">
        <f>IF(AND(ISNUMBER(B596),D596&lt;&gt;"",ISNUMBER(Z596),ISNUMBER(AA596)),IF(Z596=AA596,0,1),0)</f>
        <v>0</v>
      </c>
      <c r="AC596" s="80">
        <f>IF(AB596=1,IF(AA596&lt;Z596,1,0),0)</f>
        <v>0</v>
      </c>
      <c r="AD596" s="80">
        <f>IF(AB596=1,IF(AC596=1,1440-Z596+AA596,AA596-Z596),0)</f>
        <v>0</v>
      </c>
      <c r="AE596" s="80">
        <f>IF(J596="",0,IF(ISNUMBER(J596),J596,-1))</f>
        <v>0</v>
      </c>
      <c r="AF596" s="80">
        <f>MIN(MAX(0,AE596),AD596)</f>
        <v>0</v>
      </c>
      <c r="AG596" s="80">
        <f>MAX(0,AD596-MAX(0,AE596))</f>
        <v>0</v>
      </c>
      <c r="AH596" s="80">
        <f>IF(ISNUMBER(B596),IF(AND(INDEX(CFG_WDAYS,WEEKDAY(INT(B596),2))="Sí",IF(D596="proMX",COUNTIFS(FER_F,INT(B596),FER_NLP,"Sí"),COUNTIFS(FER_F,INT(B596),FER_NLM,"Sí"))=0),1,0),0)</f>
        <v>0</v>
      </c>
      <c r="AI596" s="80">
        <f>IF(AC596=1,IF(AND(INDEX(CFG_WDAYS,WEEKDAY(INT(B596)+1,2))="Sí",IF(D596="proMX",COUNTIFS(FER_F,INT(B596)+1,FER_NLP,"Sí"),COUNTIFS(FER_F,INT(B596)+1,FER_NLM,"Sí"))=0),1,0),0)</f>
        <v>0</v>
      </c>
      <c r="AJ596" s="80">
        <f>IF(AC596=1,1440-Z596,AD596)</f>
        <v>0</v>
      </c>
      <c r="AK596" s="80">
        <f>IF(AND(AB596=1,AH596=1),MAX(0,MIN(IF(AC596=1,1440,AA596),CFG_WEM)-MAX(Z596,CFG_WSM)),0)</f>
        <v>0</v>
      </c>
      <c r="AL596" s="80">
        <f>IF(AND(AC596=1,AI596=1),MAX(0,MIN(AA596,CFG_WEM)-CFG_WSM),0)</f>
        <v>0</v>
      </c>
      <c r="AM596" s="80">
        <f>AK596+AL596</f>
        <v>0</v>
      </c>
      <c r="AN596" s="80">
        <f>IF(CFG_BRK="Proporcional",IF(AD596=0,0,AF596*AM596/AD596),IF(CFG_BRK="Extras primero",MIN(AM596,MAX(0,AF596-(AD596-AM596))),MIN(AF596,AM596)))</f>
        <v>0</v>
      </c>
      <c r="AO596" s="80">
        <f>AF596-AN596</f>
        <v>0</v>
      </c>
      <c r="AP596" s="80">
        <f>AM596-AN596</f>
        <v>0</v>
      </c>
      <c r="AQ596" s="80">
        <f>AD596-AM596-AO596</f>
        <v>0</v>
      </c>
      <c r="AR596" s="80">
        <f>IF(AM596=0,0,AK596-AN596*AK596/AM596)</f>
        <v>0</v>
      </c>
      <c r="AS596" s="80">
        <f>IF(AD596-AM596=0,0,(AJ596-AK596)-AO596*(AJ596-AK596)/(AD596-AM596))</f>
        <v>0</v>
      </c>
      <c r="AT596" s="80" t="str">
        <f>IF(AC596=1,INT(B596)+1,"")</f>
        <v/>
      </c>
      <c r="AU596" s="80">
        <f>IF(AND(D596="proMX",R596="Cancelled"),0,1)</f>
        <v>1</v>
      </c>
      <c r="AV596" s="80">
        <f>IF(AND(AB596=1,AU596=1),IF(COUNTIFS($D$5:D595,D596,$B$5:B595,B596,$Z$5:Z595,Z596,$AA$5:AA595,AA596,$F$5:F595,F596&amp;"",$AU$5:AU595,1)&gt;0,1,0),0)</f>
        <v>0</v>
      </c>
      <c r="AW596" s="80" t="str">
        <f>IF(AB596=1,INT(B596)*1440+Z596,"")</f>
        <v/>
      </c>
      <c r="AX596" s="80" t="str">
        <f>IF(AB596=1,AW596+AD596,"")</f>
        <v/>
      </c>
      <c r="AY596" s="80">
        <f>IF(AND(AB596=1,AV596=0,AU596=1),1,0)</f>
        <v>0</v>
      </c>
      <c r="AZ596" s="80">
        <f>IF(AY596=1,COUNTIFS(R_Emp,D596,R_SAbs,"&lt;"&amp;AX596,R_EAbs,"&gt;"&amp;AW596,R_OKey,1)-1,0)</f>
        <v>0</v>
      </c>
      <c r="BA596" s="80">
        <f>IF(AY596=1,COUNTIFS(R_Emp,"&lt;&gt;"&amp;D596,R_SAbs,"&lt;"&amp;AX596,R_EAbs,"&gt;"&amp;AW596,R_OKey,1),0)</f>
        <v>0</v>
      </c>
      <c r="BB596" s="80">
        <f>IF(AND(AB596=1,D596="proMX"),IF(AND(MOD(Z596,CFG_BLK)=0,MOD(AA596,CFG_BLK)=0,MOD(AG596,CFG_BLK)=0,AG596&gt;0),1,0),1)</f>
        <v>1</v>
      </c>
      <c r="BC596" s="80" t="str">
        <f>IF(Y596=0,"",IF(NOT(ISNUMBER(B596)),"Falta fecha o fecha inválida",IF(D596="","Falta empresa",IF(AND(D596&lt;&gt;"Malcolm",D596&lt;&gt;"proMX"),"Empresa inválida",IF(OR(INT(B596)&lt;CFG_PSTART,INT(B596)&gt;CFG_PEND),"Fecha fuera del período",IF(OR(NOT(ISNUMBER(Z596)),NOT(ISNUMBER(AA596))),"Falta hora inicio/fin o formato inválido",IF(AB596=0,"Hora inicio = hora fin",IF(AE596&lt;0,"Descanso inválido",IF(AE596&gt;=AD596,"Descanso ≥ duración",IF(AV596=1,"Registro duplicado",IF(AZ596&gt;0,"Se superpone con otro registro "&amp;D596,IF(BB596=0,"inicio, fin y duración neta deben ser múltiplos de "&amp;CFG_BLK&amp;" min",""))))))))))))</f>
        <v/>
      </c>
      <c r="BD596" s="80">
        <f>IF(AND(Y596=1,BC596=""),1,0)</f>
        <v>0</v>
      </c>
      <c r="BE596" s="80">
        <f>IF(AND(BD596=1,AU596=1),1,0)</f>
        <v>0</v>
      </c>
      <c r="BF596" s="80" t="str">
        <f>IF(AND(D596="proMX",BD596=1),IF(R596="","Draft",R596),"")</f>
        <v/>
      </c>
      <c r="BG596" s="80">
        <f>IF(BD596=1,ROUND(AG596/60,6),0)</f>
        <v>0</v>
      </c>
      <c r="BH596" s="80">
        <f>IF(BE596=1,ROUND(AG596/60,6),0)</f>
        <v>0</v>
      </c>
      <c r="BI596" s="80">
        <f>IF(BE596=1,ROUND(AP596/60,6),0)</f>
        <v>0</v>
      </c>
      <c r="BJ596" s="80">
        <f>IF(BE596=1,ROUND(AQ596/60,6),0)</f>
        <v>0</v>
      </c>
      <c r="BK596" s="80">
        <f>IF(BE596=1,ROUND((AR596+AS596)/60,6),0)</f>
        <v>0</v>
      </c>
      <c r="BL596" s="80">
        <f>ROUND(BH596-BK596,6)</f>
        <v>0</v>
      </c>
      <c r="BM596" s="80">
        <f>IF(BE596=1,ROUND(AR596/60,6),0)</f>
        <v>0</v>
      </c>
      <c r="BN596" s="80">
        <f>ROUND(BI596-BM596,6)</f>
        <v>0</v>
      </c>
      <c r="BO596" s="80">
        <f>IF(BE596=1,ROUND(AS596/60,6),0)</f>
        <v>0</v>
      </c>
      <c r="BP596" s="80">
        <f>ROUND(BJ596-BO596,6)</f>
        <v>0</v>
      </c>
      <c r="BQ596" s="80">
        <f>IF(BE596=1,AW596,0)</f>
        <v>0</v>
      </c>
      <c r="BR596" s="80">
        <f>IF(BE596=1,AX596,0)</f>
        <v>0</v>
      </c>
      <c r="BS596" s="80">
        <f>IF(AND(BE596=1,D596="Malcolm",BA596&gt;0),MIN(BH596,SUMPRODUCT((R_Emp="proMX")*(R_EN&gt;0)*((R_EN-(R_EN&gt;BR596)*(R_EN-BR596))&gt;(R_SN+(R_SN&lt;BQ596)*(BQ596-R_SN)))*((R_EN-(R_EN&gt;BR596)*(R_EN-BR596))-(R_SN+(R_SN&lt;BQ596)*(BQ596-R_SN))))/60),0)</f>
        <v>0</v>
      </c>
      <c r="BT596" s="80">
        <f>IF(AND(BE596=1,D596="proMX"),ROUND(BI596*CFG_RATE+BJ596*CFG_OTRATE,6),0)</f>
        <v>0</v>
      </c>
      <c r="BU596" s="80">
        <f>IF(AND(BD596=1,D596="proMX"),ROUND(AG596/CFG_BLK,6),0)</f>
        <v>0</v>
      </c>
      <c r="BV596" s="80" t="str">
        <f>IF(BF596="Approved",IF(ISNUMBER(T596),INT(T596),INT(B596)),"")</f>
        <v/>
      </c>
      <c r="BW596" s="80">
        <f>IF(ISNUMBER(B596),IF(DB_MON="Todos",1,IF(AND(INT(B596)&gt;=DB_MS,INT(B596)&lt;=DB_ME),1,0)),0)</f>
        <v>0</v>
      </c>
      <c r="BX596" s="80">
        <f>IF(DB_PROJ="Todos",1,IF(E596&amp;""=DB_PROJ&amp;"",1,0))</f>
        <v>1</v>
      </c>
      <c r="BY596" s="80">
        <f>BW596*BX596</f>
        <v>0</v>
      </c>
      <c r="BZ596" s="80" t="str">
        <f>IF(Y596=1,F596&amp;IF(AND(F596&amp;""&lt;&gt;"",E596&amp;""&lt;&gt;"")," · ","")&amp;E596,"")</f>
        <v/>
      </c>
      <c r="CA596" s="80" t="str">
        <f>IF(AND(BD596=1,E596&amp;""&lt;&gt;""),IF(COUNTIFS($E$5:E595,E596,$BD$5:BD595,1)=0,MAX($CA$5:CA595)+1,""),"")</f>
        <v/>
      </c>
      <c r="CB596" s="80" t="str">
        <f>IF(AND(BE596=1,D596="Malcolm",E596&amp;""&lt;&gt;""),IF(COUNTIFS($D$5:D595,"Malcolm",$E$5:E595,E596,$BE$5:BE595,1)=0,MAX($CB$5:CB595)+1,""),"")</f>
        <v/>
      </c>
      <c r="CC596" s="80" t="str">
        <f>IF(AND(BD596=1,D596="proMX",E596&amp;""&lt;&gt;""),IF(COUNTIFS($D$5:D595,"proMX",$E$5:E595,E596,$BD$5:BD595,1)=0,MAX($CC$5:CC595)+1,""),"")</f>
        <v/>
      </c>
      <c r="CD596" s="80" t="str">
        <f>IF(AND(BE596=1,D596="Malcolm",F596&amp;""&lt;&gt;""),IF(COUNTIFS($D$5:D595,"Malcolm",$F$5:F595,F596,$BE$5:BE595,1)=0,MAX($CD$5:CD595)+1,""),"")</f>
        <v/>
      </c>
      <c r="CE596" s="80" t="str">
        <f>IF(AND(BD596=1,D596="proMX",F596&amp;""&lt;&gt;""),IF(COUNTIFS($D$5:D595,"proMX",$F$5:F595,F596,$BD$5:BD595,1)=0,MAX($CE$5:CE595)+1,""),"")</f>
        <v/>
      </c>
      <c r="CF596" s="80" t="str">
        <f>IF(AND(D596="proMX",BD596=1),IF(OR(BF596="Draft",BF596="Submitted",BF596="Returned",BF596="Recall Requested"),MAX($CF$5:CF595)+1,""),"")</f>
        <v/>
      </c>
      <c r="CG596" s="80">
        <f>IF(BD596=0,0,IF(D596="Malcolm",1,MATCH(BF596,{"Draft","Submitted","Approved","Returned","Recall Requested","Cancelled"},0)+1))</f>
        <v>0</v>
      </c>
      <c r="CH596" s="80">
        <f>IF(AND(BF596="Submitted",ISNUMBER(V596)),IF(V596&gt;CFG_MAXD,1,0),0)</f>
        <v>0</v>
      </c>
    </row>
    <row r="597">
      <c r="A597" s="71" t="str">
        <f>IF(Y597=1,ROW()-5,"")</f>
        <v/>
      </c>
      <c r="B597" s="72" t="n"/>
      <c r="C597" s="71" t="str">
        <f>IF(ISNUMBER(B597),CHOOSE(WEEKDAY(B597,2),"Lun","Mar","Mié","Jue","Vie","Sáb","Dom"),"")</f>
        <v/>
      </c>
      <c r="D597" s="73" t="n"/>
      <c r="E597" s="74" t="n"/>
      <c r="F597" s="74" t="n"/>
      <c r="G597" s="74" t="n"/>
      <c r="H597" s="75" t="n"/>
      <c r="I597" s="75" t="n"/>
      <c r="J597" s="76" t="n"/>
      <c r="K597" s="77" t="str">
        <f>IF(AB597=1,ROUND(AG597/60,4),"")</f>
        <v/>
      </c>
      <c r="L597" s="77" t="str">
        <f>IF(BD597=1,ROUND(AP597/60,4),"")</f>
        <v/>
      </c>
      <c r="M597" s="77" t="str">
        <f>IF(BD597=1,ROUND(AQ597/60,4),"")</f>
        <v/>
      </c>
      <c r="N597" s="71" t="str">
        <f>IF(AND(D597="proMX",AB597=1),ROUND(AG597/CFG_BLK,2),"")</f>
        <v/>
      </c>
      <c r="O597" s="77" t="str">
        <f>IF(D597="proMX",IF(BD597=1,ROUND(AG597/60,4),0),"")</f>
        <v/>
      </c>
      <c r="P597" s="78" t="str">
        <f>IF(Y597=0,"",IF(BD597=1,"OK",IF(D597="proMX","Revisar bloques: ","Revisar: ")&amp;BC597))</f>
        <v/>
      </c>
      <c r="Q597" s="78" t="str">
        <f>IF(NOT(ISNUMBER(B597)),"",IF(COUNTIFS(FER_F,INT(B597))&gt;0,"Feriado"&amp;IF(AH597=1," (laborable)"," (no laborable)"),IF(AH597=1,"Laborable",IF(WEEKDAY(B597,2)&gt;5,"Fin de semana","No laborable"))))</f>
        <v/>
      </c>
      <c r="R597" s="73" t="n"/>
      <c r="S597" s="72" t="n"/>
      <c r="T597" s="72" t="n"/>
      <c r="U597" s="74" t="n"/>
      <c r="V597" s="79" t="str">
        <f>IF(AND(D597="proMX",OR(R597="Submitted",R597="Recall Requested"),ISNUMBER(S597)),CFG_TODAY-INT(S597),"")</f>
        <v/>
      </c>
      <c r="W597" s="78" t="str">
        <f>IF(BD597=0,"",IF(BA597&gt;0,"⚠ Se superpone con un registro de la otra empresa",IF(D597="Malcolm",IF(COUNTA(R597,S597,T597)&gt;0,"Estado/fechas proMX se ignoran en Malcolm",""),IF(BF597="Cancelled","Cancelado: excluido de totales",IF(R597="","Sin estado: se trata como Draft",IF(BF597="Submitted",IF(ISNUMBER(V597),IF(V597&gt;CFG_MAXD,"⚠ "&amp;V597&amp;" días en Submitted (máx. "&amp;CFG_MAXD&amp;")",""),"Falta fecha de envío"),IF(BF597="Returned","⚠ Devuelto: corregir y reenviar",IF(BF597="Recall Requested","Retirada solicitada: pendiente",IF(AND(BF597="Approved",NOT(ISNUMBER(T597))),"Falta fecha de aprobación",IF(AND(ISNUMBER(S597),ISNUMBER(T597),T597&lt;S597),"Aprobación anterior al envío","")))))))))</f>
        <v/>
      </c>
      <c r="Y597" s="80">
        <f>IF(COUNTA(B597,D597,E597,F597,G597,H597,I597,J597,R597,S597,T597)&gt;0,1,0)</f>
        <v>0</v>
      </c>
      <c r="Z597" s="80" t="str">
        <f>IF(AND(ISNUMBER(H597),H597&gt;=0,H597&lt;1),ROUND(H597*1440,0),"")</f>
        <v/>
      </c>
      <c r="AA597" s="80" t="str">
        <f>IF(AND(ISNUMBER(I597),I597&gt;=0,I597&lt;1),ROUND(I597*1440,0),"")</f>
        <v/>
      </c>
      <c r="AB597" s="80">
        <f>IF(AND(ISNUMBER(B597),D597&lt;&gt;"",ISNUMBER(Z597),ISNUMBER(AA597)),IF(Z597=AA597,0,1),0)</f>
        <v>0</v>
      </c>
      <c r="AC597" s="80">
        <f>IF(AB597=1,IF(AA597&lt;Z597,1,0),0)</f>
        <v>0</v>
      </c>
      <c r="AD597" s="80">
        <f>IF(AB597=1,IF(AC597=1,1440-Z597+AA597,AA597-Z597),0)</f>
        <v>0</v>
      </c>
      <c r="AE597" s="80">
        <f>IF(J597="",0,IF(ISNUMBER(J597),J597,-1))</f>
        <v>0</v>
      </c>
      <c r="AF597" s="80">
        <f>MIN(MAX(0,AE597),AD597)</f>
        <v>0</v>
      </c>
      <c r="AG597" s="80">
        <f>MAX(0,AD597-MAX(0,AE597))</f>
        <v>0</v>
      </c>
      <c r="AH597" s="80">
        <f>IF(ISNUMBER(B597),IF(AND(INDEX(CFG_WDAYS,WEEKDAY(INT(B597),2))="Sí",IF(D597="proMX",COUNTIFS(FER_F,INT(B597),FER_NLP,"Sí"),COUNTIFS(FER_F,INT(B597),FER_NLM,"Sí"))=0),1,0),0)</f>
        <v>0</v>
      </c>
      <c r="AI597" s="80">
        <f>IF(AC597=1,IF(AND(INDEX(CFG_WDAYS,WEEKDAY(INT(B597)+1,2))="Sí",IF(D597="proMX",COUNTIFS(FER_F,INT(B597)+1,FER_NLP,"Sí"),COUNTIFS(FER_F,INT(B597)+1,FER_NLM,"Sí"))=0),1,0),0)</f>
        <v>0</v>
      </c>
      <c r="AJ597" s="80">
        <f>IF(AC597=1,1440-Z597,AD597)</f>
        <v>0</v>
      </c>
      <c r="AK597" s="80">
        <f>IF(AND(AB597=1,AH597=1),MAX(0,MIN(IF(AC597=1,1440,AA597),CFG_WEM)-MAX(Z597,CFG_WSM)),0)</f>
        <v>0</v>
      </c>
      <c r="AL597" s="80">
        <f>IF(AND(AC597=1,AI597=1),MAX(0,MIN(AA597,CFG_WEM)-CFG_WSM),0)</f>
        <v>0</v>
      </c>
      <c r="AM597" s="80">
        <f>AK597+AL597</f>
        <v>0</v>
      </c>
      <c r="AN597" s="80">
        <f>IF(CFG_BRK="Proporcional",IF(AD597=0,0,AF597*AM597/AD597),IF(CFG_BRK="Extras primero",MIN(AM597,MAX(0,AF597-(AD597-AM597))),MIN(AF597,AM597)))</f>
        <v>0</v>
      </c>
      <c r="AO597" s="80">
        <f>AF597-AN597</f>
        <v>0</v>
      </c>
      <c r="AP597" s="80">
        <f>AM597-AN597</f>
        <v>0</v>
      </c>
      <c r="AQ597" s="80">
        <f>AD597-AM597-AO597</f>
        <v>0</v>
      </c>
      <c r="AR597" s="80">
        <f>IF(AM597=0,0,AK597-AN597*AK597/AM597)</f>
        <v>0</v>
      </c>
      <c r="AS597" s="80">
        <f>IF(AD597-AM597=0,0,(AJ597-AK597)-AO597*(AJ597-AK597)/(AD597-AM597))</f>
        <v>0</v>
      </c>
      <c r="AT597" s="80" t="str">
        <f>IF(AC597=1,INT(B597)+1,"")</f>
        <v/>
      </c>
      <c r="AU597" s="80">
        <f>IF(AND(D597="proMX",R597="Cancelled"),0,1)</f>
        <v>1</v>
      </c>
      <c r="AV597" s="80">
        <f>IF(AND(AB597=1,AU597=1),IF(COUNTIFS($D$5:D596,D597,$B$5:B596,B597,$Z$5:Z596,Z597,$AA$5:AA596,AA597,$F$5:F596,F597&amp;"",$AU$5:AU596,1)&gt;0,1,0),0)</f>
        <v>0</v>
      </c>
      <c r="AW597" s="80" t="str">
        <f>IF(AB597=1,INT(B597)*1440+Z597,"")</f>
        <v/>
      </c>
      <c r="AX597" s="80" t="str">
        <f>IF(AB597=1,AW597+AD597,"")</f>
        <v/>
      </c>
      <c r="AY597" s="80">
        <f>IF(AND(AB597=1,AV597=0,AU597=1),1,0)</f>
        <v>0</v>
      </c>
      <c r="AZ597" s="80">
        <f>IF(AY597=1,COUNTIFS(R_Emp,D597,R_SAbs,"&lt;"&amp;AX597,R_EAbs,"&gt;"&amp;AW597,R_OKey,1)-1,0)</f>
        <v>0</v>
      </c>
      <c r="BA597" s="80">
        <f>IF(AY597=1,COUNTIFS(R_Emp,"&lt;&gt;"&amp;D597,R_SAbs,"&lt;"&amp;AX597,R_EAbs,"&gt;"&amp;AW597,R_OKey,1),0)</f>
        <v>0</v>
      </c>
      <c r="BB597" s="80">
        <f>IF(AND(AB597=1,D597="proMX"),IF(AND(MOD(Z597,CFG_BLK)=0,MOD(AA597,CFG_BLK)=0,MOD(AG597,CFG_BLK)=0,AG597&gt;0),1,0),1)</f>
        <v>1</v>
      </c>
      <c r="BC597" s="80" t="str">
        <f>IF(Y597=0,"",IF(NOT(ISNUMBER(B597)),"Falta fecha o fecha inválida",IF(D597="","Falta empresa",IF(AND(D597&lt;&gt;"Malcolm",D597&lt;&gt;"proMX"),"Empresa inválida",IF(OR(INT(B597)&lt;CFG_PSTART,INT(B597)&gt;CFG_PEND),"Fecha fuera del período",IF(OR(NOT(ISNUMBER(Z597)),NOT(ISNUMBER(AA597))),"Falta hora inicio/fin o formato inválido",IF(AB597=0,"Hora inicio = hora fin",IF(AE597&lt;0,"Descanso inválido",IF(AE597&gt;=AD597,"Descanso ≥ duración",IF(AV597=1,"Registro duplicado",IF(AZ597&gt;0,"Se superpone con otro registro "&amp;D597,IF(BB597=0,"inicio, fin y duración neta deben ser múltiplos de "&amp;CFG_BLK&amp;" min",""))))))))))))</f>
        <v/>
      </c>
      <c r="BD597" s="80">
        <f>IF(AND(Y597=1,BC597=""),1,0)</f>
        <v>0</v>
      </c>
      <c r="BE597" s="80">
        <f>IF(AND(BD597=1,AU597=1),1,0)</f>
        <v>0</v>
      </c>
      <c r="BF597" s="80" t="str">
        <f>IF(AND(D597="proMX",BD597=1),IF(R597="","Draft",R597),"")</f>
        <v/>
      </c>
      <c r="BG597" s="80">
        <f>IF(BD597=1,ROUND(AG597/60,6),0)</f>
        <v>0</v>
      </c>
      <c r="BH597" s="80">
        <f>IF(BE597=1,ROUND(AG597/60,6),0)</f>
        <v>0</v>
      </c>
      <c r="BI597" s="80">
        <f>IF(BE597=1,ROUND(AP597/60,6),0)</f>
        <v>0</v>
      </c>
      <c r="BJ597" s="80">
        <f>IF(BE597=1,ROUND(AQ597/60,6),0)</f>
        <v>0</v>
      </c>
      <c r="BK597" s="80">
        <f>IF(BE597=1,ROUND((AR597+AS597)/60,6),0)</f>
        <v>0</v>
      </c>
      <c r="BL597" s="80">
        <f>ROUND(BH597-BK597,6)</f>
        <v>0</v>
      </c>
      <c r="BM597" s="80">
        <f>IF(BE597=1,ROUND(AR597/60,6),0)</f>
        <v>0</v>
      </c>
      <c r="BN597" s="80">
        <f>ROUND(BI597-BM597,6)</f>
        <v>0</v>
      </c>
      <c r="BO597" s="80">
        <f>IF(BE597=1,ROUND(AS597/60,6),0)</f>
        <v>0</v>
      </c>
      <c r="BP597" s="80">
        <f>ROUND(BJ597-BO597,6)</f>
        <v>0</v>
      </c>
      <c r="BQ597" s="80">
        <f>IF(BE597=1,AW597,0)</f>
        <v>0</v>
      </c>
      <c r="BR597" s="80">
        <f>IF(BE597=1,AX597,0)</f>
        <v>0</v>
      </c>
      <c r="BS597" s="80">
        <f>IF(AND(BE597=1,D597="Malcolm",BA597&gt;0),MIN(BH597,SUMPRODUCT((R_Emp="proMX")*(R_EN&gt;0)*((R_EN-(R_EN&gt;BR597)*(R_EN-BR597))&gt;(R_SN+(R_SN&lt;BQ597)*(BQ597-R_SN)))*((R_EN-(R_EN&gt;BR597)*(R_EN-BR597))-(R_SN+(R_SN&lt;BQ597)*(BQ597-R_SN))))/60),0)</f>
        <v>0</v>
      </c>
      <c r="BT597" s="80">
        <f>IF(AND(BE597=1,D597="proMX"),ROUND(BI597*CFG_RATE+BJ597*CFG_OTRATE,6),0)</f>
        <v>0</v>
      </c>
      <c r="BU597" s="80">
        <f>IF(AND(BD597=1,D597="proMX"),ROUND(AG597/CFG_BLK,6),0)</f>
        <v>0</v>
      </c>
      <c r="BV597" s="80" t="str">
        <f>IF(BF597="Approved",IF(ISNUMBER(T597),INT(T597),INT(B597)),"")</f>
        <v/>
      </c>
      <c r="BW597" s="80">
        <f>IF(ISNUMBER(B597),IF(DB_MON="Todos",1,IF(AND(INT(B597)&gt;=DB_MS,INT(B597)&lt;=DB_ME),1,0)),0)</f>
        <v>0</v>
      </c>
      <c r="BX597" s="80">
        <f>IF(DB_PROJ="Todos",1,IF(E597&amp;""=DB_PROJ&amp;"",1,0))</f>
        <v>1</v>
      </c>
      <c r="BY597" s="80">
        <f>BW597*BX597</f>
        <v>0</v>
      </c>
      <c r="BZ597" s="80" t="str">
        <f>IF(Y597=1,F597&amp;IF(AND(F597&amp;""&lt;&gt;"",E597&amp;""&lt;&gt;"")," · ","")&amp;E597,"")</f>
        <v/>
      </c>
      <c r="CA597" s="80" t="str">
        <f>IF(AND(BD597=1,E597&amp;""&lt;&gt;""),IF(COUNTIFS($E$5:E596,E597,$BD$5:BD596,1)=0,MAX($CA$5:CA596)+1,""),"")</f>
        <v/>
      </c>
      <c r="CB597" s="80" t="str">
        <f>IF(AND(BE597=1,D597="Malcolm",E597&amp;""&lt;&gt;""),IF(COUNTIFS($D$5:D596,"Malcolm",$E$5:E596,E597,$BE$5:BE596,1)=0,MAX($CB$5:CB596)+1,""),"")</f>
        <v/>
      </c>
      <c r="CC597" s="80" t="str">
        <f>IF(AND(BD597=1,D597="proMX",E597&amp;""&lt;&gt;""),IF(COUNTIFS($D$5:D596,"proMX",$E$5:E596,E597,$BD$5:BD596,1)=0,MAX($CC$5:CC596)+1,""),"")</f>
        <v/>
      </c>
      <c r="CD597" s="80" t="str">
        <f>IF(AND(BE597=1,D597="Malcolm",F597&amp;""&lt;&gt;""),IF(COUNTIFS($D$5:D596,"Malcolm",$F$5:F596,F597,$BE$5:BE596,1)=0,MAX($CD$5:CD596)+1,""),"")</f>
        <v/>
      </c>
      <c r="CE597" s="80" t="str">
        <f>IF(AND(BD597=1,D597="proMX",F597&amp;""&lt;&gt;""),IF(COUNTIFS($D$5:D596,"proMX",$F$5:F596,F597,$BD$5:BD596,1)=0,MAX($CE$5:CE596)+1,""),"")</f>
        <v/>
      </c>
      <c r="CF597" s="80" t="str">
        <f>IF(AND(D597="proMX",BD597=1),IF(OR(BF597="Draft",BF597="Submitted",BF597="Returned",BF597="Recall Requested"),MAX($CF$5:CF596)+1,""),"")</f>
        <v/>
      </c>
      <c r="CG597" s="80">
        <f>IF(BD597=0,0,IF(D597="Malcolm",1,MATCH(BF597,{"Draft","Submitted","Approved","Returned","Recall Requested","Cancelled"},0)+1))</f>
        <v>0</v>
      </c>
      <c r="CH597" s="80">
        <f>IF(AND(BF597="Submitted",ISNUMBER(V597)),IF(V597&gt;CFG_MAXD,1,0),0)</f>
        <v>0</v>
      </c>
    </row>
    <row r="598">
      <c r="A598" s="71" t="str">
        <f>IF(Y598=1,ROW()-5,"")</f>
        <v/>
      </c>
      <c r="B598" s="72" t="n"/>
      <c r="C598" s="71" t="str">
        <f>IF(ISNUMBER(B598),CHOOSE(WEEKDAY(B598,2),"Lun","Mar","Mié","Jue","Vie","Sáb","Dom"),"")</f>
        <v/>
      </c>
      <c r="D598" s="73" t="n"/>
      <c r="E598" s="74" t="n"/>
      <c r="F598" s="74" t="n"/>
      <c r="G598" s="74" t="n"/>
      <c r="H598" s="75" t="n"/>
      <c r="I598" s="75" t="n"/>
      <c r="J598" s="76" t="n"/>
      <c r="K598" s="77" t="str">
        <f>IF(AB598=1,ROUND(AG598/60,4),"")</f>
        <v/>
      </c>
      <c r="L598" s="77" t="str">
        <f>IF(BD598=1,ROUND(AP598/60,4),"")</f>
        <v/>
      </c>
      <c r="M598" s="77" t="str">
        <f>IF(BD598=1,ROUND(AQ598/60,4),"")</f>
        <v/>
      </c>
      <c r="N598" s="71" t="str">
        <f>IF(AND(D598="proMX",AB598=1),ROUND(AG598/CFG_BLK,2),"")</f>
        <v/>
      </c>
      <c r="O598" s="77" t="str">
        <f>IF(D598="proMX",IF(BD598=1,ROUND(AG598/60,4),0),"")</f>
        <v/>
      </c>
      <c r="P598" s="78" t="str">
        <f>IF(Y598=0,"",IF(BD598=1,"OK",IF(D598="proMX","Revisar bloques: ","Revisar: ")&amp;BC598))</f>
        <v/>
      </c>
      <c r="Q598" s="78" t="str">
        <f>IF(NOT(ISNUMBER(B598)),"",IF(COUNTIFS(FER_F,INT(B598))&gt;0,"Feriado"&amp;IF(AH598=1," (laborable)"," (no laborable)"),IF(AH598=1,"Laborable",IF(WEEKDAY(B598,2)&gt;5,"Fin de semana","No laborable"))))</f>
        <v/>
      </c>
      <c r="R598" s="73" t="n"/>
      <c r="S598" s="72" t="n"/>
      <c r="T598" s="72" t="n"/>
      <c r="U598" s="74" t="n"/>
      <c r="V598" s="79" t="str">
        <f>IF(AND(D598="proMX",OR(R598="Submitted",R598="Recall Requested"),ISNUMBER(S598)),CFG_TODAY-INT(S598),"")</f>
        <v/>
      </c>
      <c r="W598" s="78" t="str">
        <f>IF(BD598=0,"",IF(BA598&gt;0,"⚠ Se superpone con un registro de la otra empresa",IF(D598="Malcolm",IF(COUNTA(R598,S598,T598)&gt;0,"Estado/fechas proMX se ignoran en Malcolm",""),IF(BF598="Cancelled","Cancelado: excluido de totales",IF(R598="","Sin estado: se trata como Draft",IF(BF598="Submitted",IF(ISNUMBER(V598),IF(V598&gt;CFG_MAXD,"⚠ "&amp;V598&amp;" días en Submitted (máx. "&amp;CFG_MAXD&amp;")",""),"Falta fecha de envío"),IF(BF598="Returned","⚠ Devuelto: corregir y reenviar",IF(BF598="Recall Requested","Retirada solicitada: pendiente",IF(AND(BF598="Approved",NOT(ISNUMBER(T598))),"Falta fecha de aprobación",IF(AND(ISNUMBER(S598),ISNUMBER(T598),T598&lt;S598),"Aprobación anterior al envío","")))))))))</f>
        <v/>
      </c>
      <c r="Y598" s="80">
        <f>IF(COUNTA(B598,D598,E598,F598,G598,H598,I598,J598,R598,S598,T598)&gt;0,1,0)</f>
        <v>0</v>
      </c>
      <c r="Z598" s="80" t="str">
        <f>IF(AND(ISNUMBER(H598),H598&gt;=0,H598&lt;1),ROUND(H598*1440,0),"")</f>
        <v/>
      </c>
      <c r="AA598" s="80" t="str">
        <f>IF(AND(ISNUMBER(I598),I598&gt;=0,I598&lt;1),ROUND(I598*1440,0),"")</f>
        <v/>
      </c>
      <c r="AB598" s="80">
        <f>IF(AND(ISNUMBER(B598),D598&lt;&gt;"",ISNUMBER(Z598),ISNUMBER(AA598)),IF(Z598=AA598,0,1),0)</f>
        <v>0</v>
      </c>
      <c r="AC598" s="80">
        <f>IF(AB598=1,IF(AA598&lt;Z598,1,0),0)</f>
        <v>0</v>
      </c>
      <c r="AD598" s="80">
        <f>IF(AB598=1,IF(AC598=1,1440-Z598+AA598,AA598-Z598),0)</f>
        <v>0</v>
      </c>
      <c r="AE598" s="80">
        <f>IF(J598="",0,IF(ISNUMBER(J598),J598,-1))</f>
        <v>0</v>
      </c>
      <c r="AF598" s="80">
        <f>MIN(MAX(0,AE598),AD598)</f>
        <v>0</v>
      </c>
      <c r="AG598" s="80">
        <f>MAX(0,AD598-MAX(0,AE598))</f>
        <v>0</v>
      </c>
      <c r="AH598" s="80">
        <f>IF(ISNUMBER(B598),IF(AND(INDEX(CFG_WDAYS,WEEKDAY(INT(B598),2))="Sí",IF(D598="proMX",COUNTIFS(FER_F,INT(B598),FER_NLP,"Sí"),COUNTIFS(FER_F,INT(B598),FER_NLM,"Sí"))=0),1,0),0)</f>
        <v>0</v>
      </c>
      <c r="AI598" s="80">
        <f>IF(AC598=1,IF(AND(INDEX(CFG_WDAYS,WEEKDAY(INT(B598)+1,2))="Sí",IF(D598="proMX",COUNTIFS(FER_F,INT(B598)+1,FER_NLP,"Sí"),COUNTIFS(FER_F,INT(B598)+1,FER_NLM,"Sí"))=0),1,0),0)</f>
        <v>0</v>
      </c>
      <c r="AJ598" s="80">
        <f>IF(AC598=1,1440-Z598,AD598)</f>
        <v>0</v>
      </c>
      <c r="AK598" s="80">
        <f>IF(AND(AB598=1,AH598=1),MAX(0,MIN(IF(AC598=1,1440,AA598),CFG_WEM)-MAX(Z598,CFG_WSM)),0)</f>
        <v>0</v>
      </c>
      <c r="AL598" s="80">
        <f>IF(AND(AC598=1,AI598=1),MAX(0,MIN(AA598,CFG_WEM)-CFG_WSM),0)</f>
        <v>0</v>
      </c>
      <c r="AM598" s="80">
        <f>AK598+AL598</f>
        <v>0</v>
      </c>
      <c r="AN598" s="80">
        <f>IF(CFG_BRK="Proporcional",IF(AD598=0,0,AF598*AM598/AD598),IF(CFG_BRK="Extras primero",MIN(AM598,MAX(0,AF598-(AD598-AM598))),MIN(AF598,AM598)))</f>
        <v>0</v>
      </c>
      <c r="AO598" s="80">
        <f>AF598-AN598</f>
        <v>0</v>
      </c>
      <c r="AP598" s="80">
        <f>AM598-AN598</f>
        <v>0</v>
      </c>
      <c r="AQ598" s="80">
        <f>AD598-AM598-AO598</f>
        <v>0</v>
      </c>
      <c r="AR598" s="80">
        <f>IF(AM598=0,0,AK598-AN598*AK598/AM598)</f>
        <v>0</v>
      </c>
      <c r="AS598" s="80">
        <f>IF(AD598-AM598=0,0,(AJ598-AK598)-AO598*(AJ598-AK598)/(AD598-AM598))</f>
        <v>0</v>
      </c>
      <c r="AT598" s="80" t="str">
        <f>IF(AC598=1,INT(B598)+1,"")</f>
        <v/>
      </c>
      <c r="AU598" s="80">
        <f>IF(AND(D598="proMX",R598="Cancelled"),0,1)</f>
        <v>1</v>
      </c>
      <c r="AV598" s="80">
        <f>IF(AND(AB598=1,AU598=1),IF(COUNTIFS($D$5:D597,D598,$B$5:B597,B598,$Z$5:Z597,Z598,$AA$5:AA597,AA598,$F$5:F597,F598&amp;"",$AU$5:AU597,1)&gt;0,1,0),0)</f>
        <v>0</v>
      </c>
      <c r="AW598" s="80" t="str">
        <f>IF(AB598=1,INT(B598)*1440+Z598,"")</f>
        <v/>
      </c>
      <c r="AX598" s="80" t="str">
        <f>IF(AB598=1,AW598+AD598,"")</f>
        <v/>
      </c>
      <c r="AY598" s="80">
        <f>IF(AND(AB598=1,AV598=0,AU598=1),1,0)</f>
        <v>0</v>
      </c>
      <c r="AZ598" s="80">
        <f>IF(AY598=1,COUNTIFS(R_Emp,D598,R_SAbs,"&lt;"&amp;AX598,R_EAbs,"&gt;"&amp;AW598,R_OKey,1)-1,0)</f>
        <v>0</v>
      </c>
      <c r="BA598" s="80">
        <f>IF(AY598=1,COUNTIFS(R_Emp,"&lt;&gt;"&amp;D598,R_SAbs,"&lt;"&amp;AX598,R_EAbs,"&gt;"&amp;AW598,R_OKey,1),0)</f>
        <v>0</v>
      </c>
      <c r="BB598" s="80">
        <f>IF(AND(AB598=1,D598="proMX"),IF(AND(MOD(Z598,CFG_BLK)=0,MOD(AA598,CFG_BLK)=0,MOD(AG598,CFG_BLK)=0,AG598&gt;0),1,0),1)</f>
        <v>1</v>
      </c>
      <c r="BC598" s="80" t="str">
        <f>IF(Y598=0,"",IF(NOT(ISNUMBER(B598)),"Falta fecha o fecha inválida",IF(D598="","Falta empresa",IF(AND(D598&lt;&gt;"Malcolm",D598&lt;&gt;"proMX"),"Empresa inválida",IF(OR(INT(B598)&lt;CFG_PSTART,INT(B598)&gt;CFG_PEND),"Fecha fuera del período",IF(OR(NOT(ISNUMBER(Z598)),NOT(ISNUMBER(AA598))),"Falta hora inicio/fin o formato inválido",IF(AB598=0,"Hora inicio = hora fin",IF(AE598&lt;0,"Descanso inválido",IF(AE598&gt;=AD598,"Descanso ≥ duración",IF(AV598=1,"Registro duplicado",IF(AZ598&gt;0,"Se superpone con otro registro "&amp;D598,IF(BB598=0,"inicio, fin y duración neta deben ser múltiplos de "&amp;CFG_BLK&amp;" min",""))))))))))))</f>
        <v/>
      </c>
      <c r="BD598" s="80">
        <f>IF(AND(Y598=1,BC598=""),1,0)</f>
        <v>0</v>
      </c>
      <c r="BE598" s="80">
        <f>IF(AND(BD598=1,AU598=1),1,0)</f>
        <v>0</v>
      </c>
      <c r="BF598" s="80" t="str">
        <f>IF(AND(D598="proMX",BD598=1),IF(R598="","Draft",R598),"")</f>
        <v/>
      </c>
      <c r="BG598" s="80">
        <f>IF(BD598=1,ROUND(AG598/60,6),0)</f>
        <v>0</v>
      </c>
      <c r="BH598" s="80">
        <f>IF(BE598=1,ROUND(AG598/60,6),0)</f>
        <v>0</v>
      </c>
      <c r="BI598" s="80">
        <f>IF(BE598=1,ROUND(AP598/60,6),0)</f>
        <v>0</v>
      </c>
      <c r="BJ598" s="80">
        <f>IF(BE598=1,ROUND(AQ598/60,6),0)</f>
        <v>0</v>
      </c>
      <c r="BK598" s="80">
        <f>IF(BE598=1,ROUND((AR598+AS598)/60,6),0)</f>
        <v>0</v>
      </c>
      <c r="BL598" s="80">
        <f>ROUND(BH598-BK598,6)</f>
        <v>0</v>
      </c>
      <c r="BM598" s="80">
        <f>IF(BE598=1,ROUND(AR598/60,6),0)</f>
        <v>0</v>
      </c>
      <c r="BN598" s="80">
        <f>ROUND(BI598-BM598,6)</f>
        <v>0</v>
      </c>
      <c r="BO598" s="80">
        <f>IF(BE598=1,ROUND(AS598/60,6),0)</f>
        <v>0</v>
      </c>
      <c r="BP598" s="80">
        <f>ROUND(BJ598-BO598,6)</f>
        <v>0</v>
      </c>
      <c r="BQ598" s="80">
        <f>IF(BE598=1,AW598,0)</f>
        <v>0</v>
      </c>
      <c r="BR598" s="80">
        <f>IF(BE598=1,AX598,0)</f>
        <v>0</v>
      </c>
      <c r="BS598" s="80">
        <f>IF(AND(BE598=1,D598="Malcolm",BA598&gt;0),MIN(BH598,SUMPRODUCT((R_Emp="proMX")*(R_EN&gt;0)*((R_EN-(R_EN&gt;BR598)*(R_EN-BR598))&gt;(R_SN+(R_SN&lt;BQ598)*(BQ598-R_SN)))*((R_EN-(R_EN&gt;BR598)*(R_EN-BR598))-(R_SN+(R_SN&lt;BQ598)*(BQ598-R_SN))))/60),0)</f>
        <v>0</v>
      </c>
      <c r="BT598" s="80">
        <f>IF(AND(BE598=1,D598="proMX"),ROUND(BI598*CFG_RATE+BJ598*CFG_OTRATE,6),0)</f>
        <v>0</v>
      </c>
      <c r="BU598" s="80">
        <f>IF(AND(BD598=1,D598="proMX"),ROUND(AG598/CFG_BLK,6),0)</f>
        <v>0</v>
      </c>
      <c r="BV598" s="80" t="str">
        <f>IF(BF598="Approved",IF(ISNUMBER(T598),INT(T598),INT(B598)),"")</f>
        <v/>
      </c>
      <c r="BW598" s="80">
        <f>IF(ISNUMBER(B598),IF(DB_MON="Todos",1,IF(AND(INT(B598)&gt;=DB_MS,INT(B598)&lt;=DB_ME),1,0)),0)</f>
        <v>0</v>
      </c>
      <c r="BX598" s="80">
        <f>IF(DB_PROJ="Todos",1,IF(E598&amp;""=DB_PROJ&amp;"",1,0))</f>
        <v>1</v>
      </c>
      <c r="BY598" s="80">
        <f>BW598*BX598</f>
        <v>0</v>
      </c>
      <c r="BZ598" s="80" t="str">
        <f>IF(Y598=1,F598&amp;IF(AND(F598&amp;""&lt;&gt;"",E598&amp;""&lt;&gt;"")," · ","")&amp;E598,"")</f>
        <v/>
      </c>
      <c r="CA598" s="80" t="str">
        <f>IF(AND(BD598=1,E598&amp;""&lt;&gt;""),IF(COUNTIFS($E$5:E597,E598,$BD$5:BD597,1)=0,MAX($CA$5:CA597)+1,""),"")</f>
        <v/>
      </c>
      <c r="CB598" s="80" t="str">
        <f>IF(AND(BE598=1,D598="Malcolm",E598&amp;""&lt;&gt;""),IF(COUNTIFS($D$5:D597,"Malcolm",$E$5:E597,E598,$BE$5:BE597,1)=0,MAX($CB$5:CB597)+1,""),"")</f>
        <v/>
      </c>
      <c r="CC598" s="80" t="str">
        <f>IF(AND(BD598=1,D598="proMX",E598&amp;""&lt;&gt;""),IF(COUNTIFS($D$5:D597,"proMX",$E$5:E597,E598,$BD$5:BD597,1)=0,MAX($CC$5:CC597)+1,""),"")</f>
        <v/>
      </c>
      <c r="CD598" s="80" t="str">
        <f>IF(AND(BE598=1,D598="Malcolm",F598&amp;""&lt;&gt;""),IF(COUNTIFS($D$5:D597,"Malcolm",$F$5:F597,F598,$BE$5:BE597,1)=0,MAX($CD$5:CD597)+1,""),"")</f>
        <v/>
      </c>
      <c r="CE598" s="80" t="str">
        <f>IF(AND(BD598=1,D598="proMX",F598&amp;""&lt;&gt;""),IF(COUNTIFS($D$5:D597,"proMX",$F$5:F597,F598,$BD$5:BD597,1)=0,MAX($CE$5:CE597)+1,""),"")</f>
        <v/>
      </c>
      <c r="CF598" s="80" t="str">
        <f>IF(AND(D598="proMX",BD598=1),IF(OR(BF598="Draft",BF598="Submitted",BF598="Returned",BF598="Recall Requested"),MAX($CF$5:CF597)+1,""),"")</f>
        <v/>
      </c>
      <c r="CG598" s="80">
        <f>IF(BD598=0,0,IF(D598="Malcolm",1,MATCH(BF598,{"Draft","Submitted","Approved","Returned","Recall Requested","Cancelled"},0)+1))</f>
        <v>0</v>
      </c>
      <c r="CH598" s="80">
        <f>IF(AND(BF598="Submitted",ISNUMBER(V598)),IF(V598&gt;CFG_MAXD,1,0),0)</f>
        <v>0</v>
      </c>
    </row>
    <row r="599">
      <c r="A599" s="71" t="str">
        <f>IF(Y599=1,ROW()-5,"")</f>
        <v/>
      </c>
      <c r="B599" s="72" t="n"/>
      <c r="C599" s="71" t="str">
        <f>IF(ISNUMBER(B599),CHOOSE(WEEKDAY(B599,2),"Lun","Mar","Mié","Jue","Vie","Sáb","Dom"),"")</f>
        <v/>
      </c>
      <c r="D599" s="73" t="n"/>
      <c r="E599" s="74" t="n"/>
      <c r="F599" s="74" t="n"/>
      <c r="G599" s="74" t="n"/>
      <c r="H599" s="75" t="n"/>
      <c r="I599" s="75" t="n"/>
      <c r="J599" s="76" t="n"/>
      <c r="K599" s="77" t="str">
        <f>IF(AB599=1,ROUND(AG599/60,4),"")</f>
        <v/>
      </c>
      <c r="L599" s="77" t="str">
        <f>IF(BD599=1,ROUND(AP599/60,4),"")</f>
        <v/>
      </c>
      <c r="M599" s="77" t="str">
        <f>IF(BD599=1,ROUND(AQ599/60,4),"")</f>
        <v/>
      </c>
      <c r="N599" s="71" t="str">
        <f>IF(AND(D599="proMX",AB599=1),ROUND(AG599/CFG_BLK,2),"")</f>
        <v/>
      </c>
      <c r="O599" s="77" t="str">
        <f>IF(D599="proMX",IF(BD599=1,ROUND(AG599/60,4),0),"")</f>
        <v/>
      </c>
      <c r="P599" s="78" t="str">
        <f>IF(Y599=0,"",IF(BD599=1,"OK",IF(D599="proMX","Revisar bloques: ","Revisar: ")&amp;BC599))</f>
        <v/>
      </c>
      <c r="Q599" s="78" t="str">
        <f>IF(NOT(ISNUMBER(B599)),"",IF(COUNTIFS(FER_F,INT(B599))&gt;0,"Feriado"&amp;IF(AH599=1," (laborable)"," (no laborable)"),IF(AH599=1,"Laborable",IF(WEEKDAY(B599,2)&gt;5,"Fin de semana","No laborable"))))</f>
        <v/>
      </c>
      <c r="R599" s="73" t="n"/>
      <c r="S599" s="72" t="n"/>
      <c r="T599" s="72" t="n"/>
      <c r="U599" s="74" t="n"/>
      <c r="V599" s="79" t="str">
        <f>IF(AND(D599="proMX",OR(R599="Submitted",R599="Recall Requested"),ISNUMBER(S599)),CFG_TODAY-INT(S599),"")</f>
        <v/>
      </c>
      <c r="W599" s="78" t="str">
        <f>IF(BD599=0,"",IF(BA599&gt;0,"⚠ Se superpone con un registro de la otra empresa",IF(D599="Malcolm",IF(COUNTA(R599,S599,T599)&gt;0,"Estado/fechas proMX se ignoran en Malcolm",""),IF(BF599="Cancelled","Cancelado: excluido de totales",IF(R599="","Sin estado: se trata como Draft",IF(BF599="Submitted",IF(ISNUMBER(V599),IF(V599&gt;CFG_MAXD,"⚠ "&amp;V599&amp;" días en Submitted (máx. "&amp;CFG_MAXD&amp;")",""),"Falta fecha de envío"),IF(BF599="Returned","⚠ Devuelto: corregir y reenviar",IF(BF599="Recall Requested","Retirada solicitada: pendiente",IF(AND(BF599="Approved",NOT(ISNUMBER(T599))),"Falta fecha de aprobación",IF(AND(ISNUMBER(S599),ISNUMBER(T599),T599&lt;S599),"Aprobación anterior al envío","")))))))))</f>
        <v/>
      </c>
      <c r="Y599" s="80">
        <f>IF(COUNTA(B599,D599,E599,F599,G599,H599,I599,J599,R599,S599,T599)&gt;0,1,0)</f>
        <v>0</v>
      </c>
      <c r="Z599" s="80" t="str">
        <f>IF(AND(ISNUMBER(H599),H599&gt;=0,H599&lt;1),ROUND(H599*1440,0),"")</f>
        <v/>
      </c>
      <c r="AA599" s="80" t="str">
        <f>IF(AND(ISNUMBER(I599),I599&gt;=0,I599&lt;1),ROUND(I599*1440,0),"")</f>
        <v/>
      </c>
      <c r="AB599" s="80">
        <f>IF(AND(ISNUMBER(B599),D599&lt;&gt;"",ISNUMBER(Z599),ISNUMBER(AA599)),IF(Z599=AA599,0,1),0)</f>
        <v>0</v>
      </c>
      <c r="AC599" s="80">
        <f>IF(AB599=1,IF(AA599&lt;Z599,1,0),0)</f>
        <v>0</v>
      </c>
      <c r="AD599" s="80">
        <f>IF(AB599=1,IF(AC599=1,1440-Z599+AA599,AA599-Z599),0)</f>
        <v>0</v>
      </c>
      <c r="AE599" s="80">
        <f>IF(J599="",0,IF(ISNUMBER(J599),J599,-1))</f>
        <v>0</v>
      </c>
      <c r="AF599" s="80">
        <f>MIN(MAX(0,AE599),AD599)</f>
        <v>0</v>
      </c>
      <c r="AG599" s="80">
        <f>MAX(0,AD599-MAX(0,AE599))</f>
        <v>0</v>
      </c>
      <c r="AH599" s="80">
        <f>IF(ISNUMBER(B599),IF(AND(INDEX(CFG_WDAYS,WEEKDAY(INT(B599),2))="Sí",IF(D599="proMX",COUNTIFS(FER_F,INT(B599),FER_NLP,"Sí"),COUNTIFS(FER_F,INT(B599),FER_NLM,"Sí"))=0),1,0),0)</f>
        <v>0</v>
      </c>
      <c r="AI599" s="80">
        <f>IF(AC599=1,IF(AND(INDEX(CFG_WDAYS,WEEKDAY(INT(B599)+1,2))="Sí",IF(D599="proMX",COUNTIFS(FER_F,INT(B599)+1,FER_NLP,"Sí"),COUNTIFS(FER_F,INT(B599)+1,FER_NLM,"Sí"))=0),1,0),0)</f>
        <v>0</v>
      </c>
      <c r="AJ599" s="80">
        <f>IF(AC599=1,1440-Z599,AD599)</f>
        <v>0</v>
      </c>
      <c r="AK599" s="80">
        <f>IF(AND(AB599=1,AH599=1),MAX(0,MIN(IF(AC599=1,1440,AA599),CFG_WEM)-MAX(Z599,CFG_WSM)),0)</f>
        <v>0</v>
      </c>
      <c r="AL599" s="80">
        <f>IF(AND(AC599=1,AI599=1),MAX(0,MIN(AA599,CFG_WEM)-CFG_WSM),0)</f>
        <v>0</v>
      </c>
      <c r="AM599" s="80">
        <f>AK599+AL599</f>
        <v>0</v>
      </c>
      <c r="AN599" s="80">
        <f>IF(CFG_BRK="Proporcional",IF(AD599=0,0,AF599*AM599/AD599),IF(CFG_BRK="Extras primero",MIN(AM599,MAX(0,AF599-(AD599-AM599))),MIN(AF599,AM599)))</f>
        <v>0</v>
      </c>
      <c r="AO599" s="80">
        <f>AF599-AN599</f>
        <v>0</v>
      </c>
      <c r="AP599" s="80">
        <f>AM599-AN599</f>
        <v>0</v>
      </c>
      <c r="AQ599" s="80">
        <f>AD599-AM599-AO599</f>
        <v>0</v>
      </c>
      <c r="AR599" s="80">
        <f>IF(AM599=0,0,AK599-AN599*AK599/AM599)</f>
        <v>0</v>
      </c>
      <c r="AS599" s="80">
        <f>IF(AD599-AM599=0,0,(AJ599-AK599)-AO599*(AJ599-AK599)/(AD599-AM599))</f>
        <v>0</v>
      </c>
      <c r="AT599" s="80" t="str">
        <f>IF(AC599=1,INT(B599)+1,"")</f>
        <v/>
      </c>
      <c r="AU599" s="80">
        <f>IF(AND(D599="proMX",R599="Cancelled"),0,1)</f>
        <v>1</v>
      </c>
      <c r="AV599" s="80">
        <f>IF(AND(AB599=1,AU599=1),IF(COUNTIFS($D$5:D598,D599,$B$5:B598,B599,$Z$5:Z598,Z599,$AA$5:AA598,AA599,$F$5:F598,F599&amp;"",$AU$5:AU598,1)&gt;0,1,0),0)</f>
        <v>0</v>
      </c>
      <c r="AW599" s="80" t="str">
        <f>IF(AB599=1,INT(B599)*1440+Z599,"")</f>
        <v/>
      </c>
      <c r="AX599" s="80" t="str">
        <f>IF(AB599=1,AW599+AD599,"")</f>
        <v/>
      </c>
      <c r="AY599" s="80">
        <f>IF(AND(AB599=1,AV599=0,AU599=1),1,0)</f>
        <v>0</v>
      </c>
      <c r="AZ599" s="80">
        <f>IF(AY599=1,COUNTIFS(R_Emp,D599,R_SAbs,"&lt;"&amp;AX599,R_EAbs,"&gt;"&amp;AW599,R_OKey,1)-1,0)</f>
        <v>0</v>
      </c>
      <c r="BA599" s="80">
        <f>IF(AY599=1,COUNTIFS(R_Emp,"&lt;&gt;"&amp;D599,R_SAbs,"&lt;"&amp;AX599,R_EAbs,"&gt;"&amp;AW599,R_OKey,1),0)</f>
        <v>0</v>
      </c>
      <c r="BB599" s="80">
        <f>IF(AND(AB599=1,D599="proMX"),IF(AND(MOD(Z599,CFG_BLK)=0,MOD(AA599,CFG_BLK)=0,MOD(AG599,CFG_BLK)=0,AG599&gt;0),1,0),1)</f>
        <v>1</v>
      </c>
      <c r="BC599" s="80" t="str">
        <f>IF(Y599=0,"",IF(NOT(ISNUMBER(B599)),"Falta fecha o fecha inválida",IF(D599="","Falta empresa",IF(AND(D599&lt;&gt;"Malcolm",D599&lt;&gt;"proMX"),"Empresa inválida",IF(OR(INT(B599)&lt;CFG_PSTART,INT(B599)&gt;CFG_PEND),"Fecha fuera del período",IF(OR(NOT(ISNUMBER(Z599)),NOT(ISNUMBER(AA599))),"Falta hora inicio/fin o formato inválido",IF(AB599=0,"Hora inicio = hora fin",IF(AE599&lt;0,"Descanso inválido",IF(AE599&gt;=AD599,"Descanso ≥ duración",IF(AV599=1,"Registro duplicado",IF(AZ599&gt;0,"Se superpone con otro registro "&amp;D599,IF(BB599=0,"inicio, fin y duración neta deben ser múltiplos de "&amp;CFG_BLK&amp;" min",""))))))))))))</f>
        <v/>
      </c>
      <c r="BD599" s="80">
        <f>IF(AND(Y599=1,BC599=""),1,0)</f>
        <v>0</v>
      </c>
      <c r="BE599" s="80">
        <f>IF(AND(BD599=1,AU599=1),1,0)</f>
        <v>0</v>
      </c>
      <c r="BF599" s="80" t="str">
        <f>IF(AND(D599="proMX",BD599=1),IF(R599="","Draft",R599),"")</f>
        <v/>
      </c>
      <c r="BG599" s="80">
        <f>IF(BD599=1,ROUND(AG599/60,6),0)</f>
        <v>0</v>
      </c>
      <c r="BH599" s="80">
        <f>IF(BE599=1,ROUND(AG599/60,6),0)</f>
        <v>0</v>
      </c>
      <c r="BI599" s="80">
        <f>IF(BE599=1,ROUND(AP599/60,6),0)</f>
        <v>0</v>
      </c>
      <c r="BJ599" s="80">
        <f>IF(BE599=1,ROUND(AQ599/60,6),0)</f>
        <v>0</v>
      </c>
      <c r="BK599" s="80">
        <f>IF(BE599=1,ROUND((AR599+AS599)/60,6),0)</f>
        <v>0</v>
      </c>
      <c r="BL599" s="80">
        <f>ROUND(BH599-BK599,6)</f>
        <v>0</v>
      </c>
      <c r="BM599" s="80">
        <f>IF(BE599=1,ROUND(AR599/60,6),0)</f>
        <v>0</v>
      </c>
      <c r="BN599" s="80">
        <f>ROUND(BI599-BM599,6)</f>
        <v>0</v>
      </c>
      <c r="BO599" s="80">
        <f>IF(BE599=1,ROUND(AS599/60,6),0)</f>
        <v>0</v>
      </c>
      <c r="BP599" s="80">
        <f>ROUND(BJ599-BO599,6)</f>
        <v>0</v>
      </c>
      <c r="BQ599" s="80">
        <f>IF(BE599=1,AW599,0)</f>
        <v>0</v>
      </c>
      <c r="BR599" s="80">
        <f>IF(BE599=1,AX599,0)</f>
        <v>0</v>
      </c>
      <c r="BS599" s="80">
        <f>IF(AND(BE599=1,D599="Malcolm",BA599&gt;0),MIN(BH599,SUMPRODUCT((R_Emp="proMX")*(R_EN&gt;0)*((R_EN-(R_EN&gt;BR599)*(R_EN-BR599))&gt;(R_SN+(R_SN&lt;BQ599)*(BQ599-R_SN)))*((R_EN-(R_EN&gt;BR599)*(R_EN-BR599))-(R_SN+(R_SN&lt;BQ599)*(BQ599-R_SN))))/60),0)</f>
        <v>0</v>
      </c>
      <c r="BT599" s="80">
        <f>IF(AND(BE599=1,D599="proMX"),ROUND(BI599*CFG_RATE+BJ599*CFG_OTRATE,6),0)</f>
        <v>0</v>
      </c>
      <c r="BU599" s="80">
        <f>IF(AND(BD599=1,D599="proMX"),ROUND(AG599/CFG_BLK,6),0)</f>
        <v>0</v>
      </c>
      <c r="BV599" s="80" t="str">
        <f>IF(BF599="Approved",IF(ISNUMBER(T599),INT(T599),INT(B599)),"")</f>
        <v/>
      </c>
      <c r="BW599" s="80">
        <f>IF(ISNUMBER(B599),IF(DB_MON="Todos",1,IF(AND(INT(B599)&gt;=DB_MS,INT(B599)&lt;=DB_ME),1,0)),0)</f>
        <v>0</v>
      </c>
      <c r="BX599" s="80">
        <f>IF(DB_PROJ="Todos",1,IF(E599&amp;""=DB_PROJ&amp;"",1,0))</f>
        <v>1</v>
      </c>
      <c r="BY599" s="80">
        <f>BW599*BX599</f>
        <v>0</v>
      </c>
      <c r="BZ599" s="80" t="str">
        <f>IF(Y599=1,F599&amp;IF(AND(F599&amp;""&lt;&gt;"",E599&amp;""&lt;&gt;"")," · ","")&amp;E599,"")</f>
        <v/>
      </c>
      <c r="CA599" s="80" t="str">
        <f>IF(AND(BD599=1,E599&amp;""&lt;&gt;""),IF(COUNTIFS($E$5:E598,E599,$BD$5:BD598,1)=0,MAX($CA$5:CA598)+1,""),"")</f>
        <v/>
      </c>
      <c r="CB599" s="80" t="str">
        <f>IF(AND(BE599=1,D599="Malcolm",E599&amp;""&lt;&gt;""),IF(COUNTIFS($D$5:D598,"Malcolm",$E$5:E598,E599,$BE$5:BE598,1)=0,MAX($CB$5:CB598)+1,""),"")</f>
        <v/>
      </c>
      <c r="CC599" s="80" t="str">
        <f>IF(AND(BD599=1,D599="proMX",E599&amp;""&lt;&gt;""),IF(COUNTIFS($D$5:D598,"proMX",$E$5:E598,E599,$BD$5:BD598,1)=0,MAX($CC$5:CC598)+1,""),"")</f>
        <v/>
      </c>
      <c r="CD599" s="80" t="str">
        <f>IF(AND(BE599=1,D599="Malcolm",F599&amp;""&lt;&gt;""),IF(COUNTIFS($D$5:D598,"Malcolm",$F$5:F598,F599,$BE$5:BE598,1)=0,MAX($CD$5:CD598)+1,""),"")</f>
        <v/>
      </c>
      <c r="CE599" s="80" t="str">
        <f>IF(AND(BD599=1,D599="proMX",F599&amp;""&lt;&gt;""),IF(COUNTIFS($D$5:D598,"proMX",$F$5:F598,F599,$BD$5:BD598,1)=0,MAX($CE$5:CE598)+1,""),"")</f>
        <v/>
      </c>
      <c r="CF599" s="80" t="str">
        <f>IF(AND(D599="proMX",BD599=1),IF(OR(BF599="Draft",BF599="Submitted",BF599="Returned",BF599="Recall Requested"),MAX($CF$5:CF598)+1,""),"")</f>
        <v/>
      </c>
      <c r="CG599" s="80">
        <f>IF(BD599=0,0,IF(D599="Malcolm",1,MATCH(BF599,{"Draft","Submitted","Approved","Returned","Recall Requested","Cancelled"},0)+1))</f>
        <v>0</v>
      </c>
      <c r="CH599" s="80">
        <f>IF(AND(BF599="Submitted",ISNUMBER(V599)),IF(V599&gt;CFG_MAXD,1,0),0)</f>
        <v>0</v>
      </c>
    </row>
    <row r="600">
      <c r="A600" s="71" t="str">
        <f>IF(Y600=1,ROW()-5,"")</f>
        <v/>
      </c>
      <c r="B600" s="72" t="n"/>
      <c r="C600" s="71" t="str">
        <f>IF(ISNUMBER(B600),CHOOSE(WEEKDAY(B600,2),"Lun","Mar","Mié","Jue","Vie","Sáb","Dom"),"")</f>
        <v/>
      </c>
      <c r="D600" s="73" t="n"/>
      <c r="E600" s="74" t="n"/>
      <c r="F600" s="74" t="n"/>
      <c r="G600" s="74" t="n"/>
      <c r="H600" s="75" t="n"/>
      <c r="I600" s="75" t="n"/>
      <c r="J600" s="76" t="n"/>
      <c r="K600" s="77" t="str">
        <f>IF(AB600=1,ROUND(AG600/60,4),"")</f>
        <v/>
      </c>
      <c r="L600" s="77" t="str">
        <f>IF(BD600=1,ROUND(AP600/60,4),"")</f>
        <v/>
      </c>
      <c r="M600" s="77" t="str">
        <f>IF(BD600=1,ROUND(AQ600/60,4),"")</f>
        <v/>
      </c>
      <c r="N600" s="71" t="str">
        <f>IF(AND(D600="proMX",AB600=1),ROUND(AG600/CFG_BLK,2),"")</f>
        <v/>
      </c>
      <c r="O600" s="77" t="str">
        <f>IF(D600="proMX",IF(BD600=1,ROUND(AG600/60,4),0),"")</f>
        <v/>
      </c>
      <c r="P600" s="78" t="str">
        <f>IF(Y600=0,"",IF(BD600=1,"OK",IF(D600="proMX","Revisar bloques: ","Revisar: ")&amp;BC600))</f>
        <v/>
      </c>
      <c r="Q600" s="78" t="str">
        <f>IF(NOT(ISNUMBER(B600)),"",IF(COUNTIFS(FER_F,INT(B600))&gt;0,"Feriado"&amp;IF(AH600=1," (laborable)"," (no laborable)"),IF(AH600=1,"Laborable",IF(WEEKDAY(B600,2)&gt;5,"Fin de semana","No laborable"))))</f>
        <v/>
      </c>
      <c r="R600" s="73" t="n"/>
      <c r="S600" s="72" t="n"/>
      <c r="T600" s="72" t="n"/>
      <c r="U600" s="74" t="n"/>
      <c r="V600" s="79" t="str">
        <f>IF(AND(D600="proMX",OR(R600="Submitted",R600="Recall Requested"),ISNUMBER(S600)),CFG_TODAY-INT(S600),"")</f>
        <v/>
      </c>
      <c r="W600" s="78" t="str">
        <f>IF(BD600=0,"",IF(BA600&gt;0,"⚠ Se superpone con un registro de la otra empresa",IF(D600="Malcolm",IF(COUNTA(R600,S600,T600)&gt;0,"Estado/fechas proMX se ignoran en Malcolm",""),IF(BF600="Cancelled","Cancelado: excluido de totales",IF(R600="","Sin estado: se trata como Draft",IF(BF600="Submitted",IF(ISNUMBER(V600),IF(V600&gt;CFG_MAXD,"⚠ "&amp;V600&amp;" días en Submitted (máx. "&amp;CFG_MAXD&amp;")",""),"Falta fecha de envío"),IF(BF600="Returned","⚠ Devuelto: corregir y reenviar",IF(BF600="Recall Requested","Retirada solicitada: pendiente",IF(AND(BF600="Approved",NOT(ISNUMBER(T600))),"Falta fecha de aprobación",IF(AND(ISNUMBER(S600),ISNUMBER(T600),T600&lt;S600),"Aprobación anterior al envío","")))))))))</f>
        <v/>
      </c>
      <c r="Y600" s="80">
        <f>IF(COUNTA(B600,D600,E600,F600,G600,H600,I600,J600,R600,S600,T600)&gt;0,1,0)</f>
        <v>0</v>
      </c>
      <c r="Z600" s="80" t="str">
        <f>IF(AND(ISNUMBER(H600),H600&gt;=0,H600&lt;1),ROUND(H600*1440,0),"")</f>
        <v/>
      </c>
      <c r="AA600" s="80" t="str">
        <f>IF(AND(ISNUMBER(I600),I600&gt;=0,I600&lt;1),ROUND(I600*1440,0),"")</f>
        <v/>
      </c>
      <c r="AB600" s="80">
        <f>IF(AND(ISNUMBER(B600),D600&lt;&gt;"",ISNUMBER(Z600),ISNUMBER(AA600)),IF(Z600=AA600,0,1),0)</f>
        <v>0</v>
      </c>
      <c r="AC600" s="80">
        <f>IF(AB600=1,IF(AA600&lt;Z600,1,0),0)</f>
        <v>0</v>
      </c>
      <c r="AD600" s="80">
        <f>IF(AB600=1,IF(AC600=1,1440-Z600+AA600,AA600-Z600),0)</f>
        <v>0</v>
      </c>
      <c r="AE600" s="80">
        <f>IF(J600="",0,IF(ISNUMBER(J600),J600,-1))</f>
        <v>0</v>
      </c>
      <c r="AF600" s="80">
        <f>MIN(MAX(0,AE600),AD600)</f>
        <v>0</v>
      </c>
      <c r="AG600" s="80">
        <f>MAX(0,AD600-MAX(0,AE600))</f>
        <v>0</v>
      </c>
      <c r="AH600" s="80">
        <f>IF(ISNUMBER(B600),IF(AND(INDEX(CFG_WDAYS,WEEKDAY(INT(B600),2))="Sí",IF(D600="proMX",COUNTIFS(FER_F,INT(B600),FER_NLP,"Sí"),COUNTIFS(FER_F,INT(B600),FER_NLM,"Sí"))=0),1,0),0)</f>
        <v>0</v>
      </c>
      <c r="AI600" s="80">
        <f>IF(AC600=1,IF(AND(INDEX(CFG_WDAYS,WEEKDAY(INT(B600)+1,2))="Sí",IF(D600="proMX",COUNTIFS(FER_F,INT(B600)+1,FER_NLP,"Sí"),COUNTIFS(FER_F,INT(B600)+1,FER_NLM,"Sí"))=0),1,0),0)</f>
        <v>0</v>
      </c>
      <c r="AJ600" s="80">
        <f>IF(AC600=1,1440-Z600,AD600)</f>
        <v>0</v>
      </c>
      <c r="AK600" s="80">
        <f>IF(AND(AB600=1,AH600=1),MAX(0,MIN(IF(AC600=1,1440,AA600),CFG_WEM)-MAX(Z600,CFG_WSM)),0)</f>
        <v>0</v>
      </c>
      <c r="AL600" s="80">
        <f>IF(AND(AC600=1,AI600=1),MAX(0,MIN(AA600,CFG_WEM)-CFG_WSM),0)</f>
        <v>0</v>
      </c>
      <c r="AM600" s="80">
        <f>AK600+AL600</f>
        <v>0</v>
      </c>
      <c r="AN600" s="80">
        <f>IF(CFG_BRK="Proporcional",IF(AD600=0,0,AF600*AM600/AD600),IF(CFG_BRK="Extras primero",MIN(AM600,MAX(0,AF600-(AD600-AM600))),MIN(AF600,AM600)))</f>
        <v>0</v>
      </c>
      <c r="AO600" s="80">
        <f>AF600-AN600</f>
        <v>0</v>
      </c>
      <c r="AP600" s="80">
        <f>AM600-AN600</f>
        <v>0</v>
      </c>
      <c r="AQ600" s="80">
        <f>AD600-AM600-AO600</f>
        <v>0</v>
      </c>
      <c r="AR600" s="80">
        <f>IF(AM600=0,0,AK600-AN600*AK600/AM600)</f>
        <v>0</v>
      </c>
      <c r="AS600" s="80">
        <f>IF(AD600-AM600=0,0,(AJ600-AK600)-AO600*(AJ600-AK600)/(AD600-AM600))</f>
        <v>0</v>
      </c>
      <c r="AT600" s="80" t="str">
        <f>IF(AC600=1,INT(B600)+1,"")</f>
        <v/>
      </c>
      <c r="AU600" s="80">
        <f>IF(AND(D600="proMX",R600="Cancelled"),0,1)</f>
        <v>1</v>
      </c>
      <c r="AV600" s="80">
        <f>IF(AND(AB600=1,AU600=1),IF(COUNTIFS($D$5:D599,D600,$B$5:B599,B600,$Z$5:Z599,Z600,$AA$5:AA599,AA600,$F$5:F599,F600&amp;"",$AU$5:AU599,1)&gt;0,1,0),0)</f>
        <v>0</v>
      </c>
      <c r="AW600" s="80" t="str">
        <f>IF(AB600=1,INT(B600)*1440+Z600,"")</f>
        <v/>
      </c>
      <c r="AX600" s="80" t="str">
        <f>IF(AB600=1,AW600+AD600,"")</f>
        <v/>
      </c>
      <c r="AY600" s="80">
        <f>IF(AND(AB600=1,AV600=0,AU600=1),1,0)</f>
        <v>0</v>
      </c>
      <c r="AZ600" s="80">
        <f>IF(AY600=1,COUNTIFS(R_Emp,D600,R_SAbs,"&lt;"&amp;AX600,R_EAbs,"&gt;"&amp;AW600,R_OKey,1)-1,0)</f>
        <v>0</v>
      </c>
      <c r="BA600" s="80">
        <f>IF(AY600=1,COUNTIFS(R_Emp,"&lt;&gt;"&amp;D600,R_SAbs,"&lt;"&amp;AX600,R_EAbs,"&gt;"&amp;AW600,R_OKey,1),0)</f>
        <v>0</v>
      </c>
      <c r="BB600" s="80">
        <f>IF(AND(AB600=1,D600="proMX"),IF(AND(MOD(Z600,CFG_BLK)=0,MOD(AA600,CFG_BLK)=0,MOD(AG600,CFG_BLK)=0,AG600&gt;0),1,0),1)</f>
        <v>1</v>
      </c>
      <c r="BC600" s="80" t="str">
        <f>IF(Y600=0,"",IF(NOT(ISNUMBER(B600)),"Falta fecha o fecha inválida",IF(D600="","Falta empresa",IF(AND(D600&lt;&gt;"Malcolm",D600&lt;&gt;"proMX"),"Empresa inválida",IF(OR(INT(B600)&lt;CFG_PSTART,INT(B600)&gt;CFG_PEND),"Fecha fuera del período",IF(OR(NOT(ISNUMBER(Z600)),NOT(ISNUMBER(AA600))),"Falta hora inicio/fin o formato inválido",IF(AB600=0,"Hora inicio = hora fin",IF(AE600&lt;0,"Descanso inválido",IF(AE600&gt;=AD600,"Descanso ≥ duración",IF(AV600=1,"Registro duplicado",IF(AZ600&gt;0,"Se superpone con otro registro "&amp;D600,IF(BB600=0,"inicio, fin y duración neta deben ser múltiplos de "&amp;CFG_BLK&amp;" min",""))))))))))))</f>
        <v/>
      </c>
      <c r="BD600" s="80">
        <f>IF(AND(Y600=1,BC600=""),1,0)</f>
        <v>0</v>
      </c>
      <c r="BE600" s="80">
        <f>IF(AND(BD600=1,AU600=1),1,0)</f>
        <v>0</v>
      </c>
      <c r="BF600" s="80" t="str">
        <f>IF(AND(D600="proMX",BD600=1),IF(R600="","Draft",R600),"")</f>
        <v/>
      </c>
      <c r="BG600" s="80">
        <f>IF(BD600=1,ROUND(AG600/60,6),0)</f>
        <v>0</v>
      </c>
      <c r="BH600" s="80">
        <f>IF(BE600=1,ROUND(AG600/60,6),0)</f>
        <v>0</v>
      </c>
      <c r="BI600" s="80">
        <f>IF(BE600=1,ROUND(AP600/60,6),0)</f>
        <v>0</v>
      </c>
      <c r="BJ600" s="80">
        <f>IF(BE600=1,ROUND(AQ600/60,6),0)</f>
        <v>0</v>
      </c>
      <c r="BK600" s="80">
        <f>IF(BE600=1,ROUND((AR600+AS600)/60,6),0)</f>
        <v>0</v>
      </c>
      <c r="BL600" s="80">
        <f>ROUND(BH600-BK600,6)</f>
        <v>0</v>
      </c>
      <c r="BM600" s="80">
        <f>IF(BE600=1,ROUND(AR600/60,6),0)</f>
        <v>0</v>
      </c>
      <c r="BN600" s="80">
        <f>ROUND(BI600-BM600,6)</f>
        <v>0</v>
      </c>
      <c r="BO600" s="80">
        <f>IF(BE600=1,ROUND(AS600/60,6),0)</f>
        <v>0</v>
      </c>
      <c r="BP600" s="80">
        <f>ROUND(BJ600-BO600,6)</f>
        <v>0</v>
      </c>
      <c r="BQ600" s="80">
        <f>IF(BE600=1,AW600,0)</f>
        <v>0</v>
      </c>
      <c r="BR600" s="80">
        <f>IF(BE600=1,AX600,0)</f>
        <v>0</v>
      </c>
      <c r="BS600" s="80">
        <f>IF(AND(BE600=1,D600="Malcolm",BA600&gt;0),MIN(BH600,SUMPRODUCT((R_Emp="proMX")*(R_EN&gt;0)*((R_EN-(R_EN&gt;BR600)*(R_EN-BR600))&gt;(R_SN+(R_SN&lt;BQ600)*(BQ600-R_SN)))*((R_EN-(R_EN&gt;BR600)*(R_EN-BR600))-(R_SN+(R_SN&lt;BQ600)*(BQ600-R_SN))))/60),0)</f>
        <v>0</v>
      </c>
      <c r="BT600" s="80">
        <f>IF(AND(BE600=1,D600="proMX"),ROUND(BI600*CFG_RATE+BJ600*CFG_OTRATE,6),0)</f>
        <v>0</v>
      </c>
      <c r="BU600" s="80">
        <f>IF(AND(BD600=1,D600="proMX"),ROUND(AG600/CFG_BLK,6),0)</f>
        <v>0</v>
      </c>
      <c r="BV600" s="80" t="str">
        <f>IF(BF600="Approved",IF(ISNUMBER(T600),INT(T600),INT(B600)),"")</f>
        <v/>
      </c>
      <c r="BW600" s="80">
        <f>IF(ISNUMBER(B600),IF(DB_MON="Todos",1,IF(AND(INT(B600)&gt;=DB_MS,INT(B600)&lt;=DB_ME),1,0)),0)</f>
        <v>0</v>
      </c>
      <c r="BX600" s="80">
        <f>IF(DB_PROJ="Todos",1,IF(E600&amp;""=DB_PROJ&amp;"",1,0))</f>
        <v>1</v>
      </c>
      <c r="BY600" s="80">
        <f>BW600*BX600</f>
        <v>0</v>
      </c>
      <c r="BZ600" s="80" t="str">
        <f>IF(Y600=1,F600&amp;IF(AND(F600&amp;""&lt;&gt;"",E600&amp;""&lt;&gt;"")," · ","")&amp;E600,"")</f>
        <v/>
      </c>
      <c r="CA600" s="80" t="str">
        <f>IF(AND(BD600=1,E600&amp;""&lt;&gt;""),IF(COUNTIFS($E$5:E599,E600,$BD$5:BD599,1)=0,MAX($CA$5:CA599)+1,""),"")</f>
        <v/>
      </c>
      <c r="CB600" s="80" t="str">
        <f>IF(AND(BE600=1,D600="Malcolm",E600&amp;""&lt;&gt;""),IF(COUNTIFS($D$5:D599,"Malcolm",$E$5:E599,E600,$BE$5:BE599,1)=0,MAX($CB$5:CB599)+1,""),"")</f>
        <v/>
      </c>
      <c r="CC600" s="80" t="str">
        <f>IF(AND(BD600=1,D600="proMX",E600&amp;""&lt;&gt;""),IF(COUNTIFS($D$5:D599,"proMX",$E$5:E599,E600,$BD$5:BD599,1)=0,MAX($CC$5:CC599)+1,""),"")</f>
        <v/>
      </c>
      <c r="CD600" s="80" t="str">
        <f>IF(AND(BE600=1,D600="Malcolm",F600&amp;""&lt;&gt;""),IF(COUNTIFS($D$5:D599,"Malcolm",$F$5:F599,F600,$BE$5:BE599,1)=0,MAX($CD$5:CD599)+1,""),"")</f>
        <v/>
      </c>
      <c r="CE600" s="80" t="str">
        <f>IF(AND(BD600=1,D600="proMX",F600&amp;""&lt;&gt;""),IF(COUNTIFS($D$5:D599,"proMX",$F$5:F599,F600,$BD$5:BD599,1)=0,MAX($CE$5:CE599)+1,""),"")</f>
        <v/>
      </c>
      <c r="CF600" s="80" t="str">
        <f>IF(AND(D600="proMX",BD600=1),IF(OR(BF600="Draft",BF600="Submitted",BF600="Returned",BF600="Recall Requested"),MAX($CF$5:CF599)+1,""),"")</f>
        <v/>
      </c>
      <c r="CG600" s="80">
        <f>IF(BD600=0,0,IF(D600="Malcolm",1,MATCH(BF600,{"Draft","Submitted","Approved","Returned","Recall Requested","Cancelled"},0)+1))</f>
        <v>0</v>
      </c>
      <c r="CH600" s="80">
        <f>IF(AND(BF600="Submitted",ISNUMBER(V600)),IF(V600&gt;CFG_MAXD,1,0),0)</f>
        <v>0</v>
      </c>
    </row>
    <row r="601">
      <c r="A601" s="71" t="str">
        <f>IF(Y601=1,ROW()-5,"")</f>
        <v/>
      </c>
      <c r="B601" s="72" t="n"/>
      <c r="C601" s="71" t="str">
        <f>IF(ISNUMBER(B601),CHOOSE(WEEKDAY(B601,2),"Lun","Mar","Mié","Jue","Vie","Sáb","Dom"),"")</f>
        <v/>
      </c>
      <c r="D601" s="73" t="n"/>
      <c r="E601" s="74" t="n"/>
      <c r="F601" s="74" t="n"/>
      <c r="G601" s="74" t="n"/>
      <c r="H601" s="75" t="n"/>
      <c r="I601" s="75" t="n"/>
      <c r="J601" s="76" t="n"/>
      <c r="K601" s="77" t="str">
        <f>IF(AB601=1,ROUND(AG601/60,4),"")</f>
        <v/>
      </c>
      <c r="L601" s="77" t="str">
        <f>IF(BD601=1,ROUND(AP601/60,4),"")</f>
        <v/>
      </c>
      <c r="M601" s="77" t="str">
        <f>IF(BD601=1,ROUND(AQ601/60,4),"")</f>
        <v/>
      </c>
      <c r="N601" s="71" t="str">
        <f>IF(AND(D601="proMX",AB601=1),ROUND(AG601/CFG_BLK,2),"")</f>
        <v/>
      </c>
      <c r="O601" s="77" t="str">
        <f>IF(D601="proMX",IF(BD601=1,ROUND(AG601/60,4),0),"")</f>
        <v/>
      </c>
      <c r="P601" s="78" t="str">
        <f>IF(Y601=0,"",IF(BD601=1,"OK",IF(D601="proMX","Revisar bloques: ","Revisar: ")&amp;BC601))</f>
        <v/>
      </c>
      <c r="Q601" s="78" t="str">
        <f>IF(NOT(ISNUMBER(B601)),"",IF(COUNTIFS(FER_F,INT(B601))&gt;0,"Feriado"&amp;IF(AH601=1," (laborable)"," (no laborable)"),IF(AH601=1,"Laborable",IF(WEEKDAY(B601,2)&gt;5,"Fin de semana","No laborable"))))</f>
        <v/>
      </c>
      <c r="R601" s="73" t="n"/>
      <c r="S601" s="72" t="n"/>
      <c r="T601" s="72" t="n"/>
      <c r="U601" s="74" t="n"/>
      <c r="V601" s="79" t="str">
        <f>IF(AND(D601="proMX",OR(R601="Submitted",R601="Recall Requested"),ISNUMBER(S601)),CFG_TODAY-INT(S601),"")</f>
        <v/>
      </c>
      <c r="W601" s="78" t="str">
        <f>IF(BD601=0,"",IF(BA601&gt;0,"⚠ Se superpone con un registro de la otra empresa",IF(D601="Malcolm",IF(COUNTA(R601,S601,T601)&gt;0,"Estado/fechas proMX se ignoran en Malcolm",""),IF(BF601="Cancelled","Cancelado: excluido de totales",IF(R601="","Sin estado: se trata como Draft",IF(BF601="Submitted",IF(ISNUMBER(V601),IF(V601&gt;CFG_MAXD,"⚠ "&amp;V601&amp;" días en Submitted (máx. "&amp;CFG_MAXD&amp;")",""),"Falta fecha de envío"),IF(BF601="Returned","⚠ Devuelto: corregir y reenviar",IF(BF601="Recall Requested","Retirada solicitada: pendiente",IF(AND(BF601="Approved",NOT(ISNUMBER(T601))),"Falta fecha de aprobación",IF(AND(ISNUMBER(S601),ISNUMBER(T601),T601&lt;S601),"Aprobación anterior al envío","")))))))))</f>
        <v/>
      </c>
      <c r="Y601" s="80">
        <f>IF(COUNTA(B601,D601,E601,F601,G601,H601,I601,J601,R601,S601,T601)&gt;0,1,0)</f>
        <v>0</v>
      </c>
      <c r="Z601" s="80" t="str">
        <f>IF(AND(ISNUMBER(H601),H601&gt;=0,H601&lt;1),ROUND(H601*1440,0),"")</f>
        <v/>
      </c>
      <c r="AA601" s="80" t="str">
        <f>IF(AND(ISNUMBER(I601),I601&gt;=0,I601&lt;1),ROUND(I601*1440,0),"")</f>
        <v/>
      </c>
      <c r="AB601" s="80">
        <f>IF(AND(ISNUMBER(B601),D601&lt;&gt;"",ISNUMBER(Z601),ISNUMBER(AA601)),IF(Z601=AA601,0,1),0)</f>
        <v>0</v>
      </c>
      <c r="AC601" s="80">
        <f>IF(AB601=1,IF(AA601&lt;Z601,1,0),0)</f>
        <v>0</v>
      </c>
      <c r="AD601" s="80">
        <f>IF(AB601=1,IF(AC601=1,1440-Z601+AA601,AA601-Z601),0)</f>
        <v>0</v>
      </c>
      <c r="AE601" s="80">
        <f>IF(J601="",0,IF(ISNUMBER(J601),J601,-1))</f>
        <v>0</v>
      </c>
      <c r="AF601" s="80">
        <f>MIN(MAX(0,AE601),AD601)</f>
        <v>0</v>
      </c>
      <c r="AG601" s="80">
        <f>MAX(0,AD601-MAX(0,AE601))</f>
        <v>0</v>
      </c>
      <c r="AH601" s="80">
        <f>IF(ISNUMBER(B601),IF(AND(INDEX(CFG_WDAYS,WEEKDAY(INT(B601),2))="Sí",IF(D601="proMX",COUNTIFS(FER_F,INT(B601),FER_NLP,"Sí"),COUNTIFS(FER_F,INT(B601),FER_NLM,"Sí"))=0),1,0),0)</f>
        <v>0</v>
      </c>
      <c r="AI601" s="80">
        <f>IF(AC601=1,IF(AND(INDEX(CFG_WDAYS,WEEKDAY(INT(B601)+1,2))="Sí",IF(D601="proMX",COUNTIFS(FER_F,INT(B601)+1,FER_NLP,"Sí"),COUNTIFS(FER_F,INT(B601)+1,FER_NLM,"Sí"))=0),1,0),0)</f>
        <v>0</v>
      </c>
      <c r="AJ601" s="80">
        <f>IF(AC601=1,1440-Z601,AD601)</f>
        <v>0</v>
      </c>
      <c r="AK601" s="80">
        <f>IF(AND(AB601=1,AH601=1),MAX(0,MIN(IF(AC601=1,1440,AA601),CFG_WEM)-MAX(Z601,CFG_WSM)),0)</f>
        <v>0</v>
      </c>
      <c r="AL601" s="80">
        <f>IF(AND(AC601=1,AI601=1),MAX(0,MIN(AA601,CFG_WEM)-CFG_WSM),0)</f>
        <v>0</v>
      </c>
      <c r="AM601" s="80">
        <f>AK601+AL601</f>
        <v>0</v>
      </c>
      <c r="AN601" s="80">
        <f>IF(CFG_BRK="Proporcional",IF(AD601=0,0,AF601*AM601/AD601),IF(CFG_BRK="Extras primero",MIN(AM601,MAX(0,AF601-(AD601-AM601))),MIN(AF601,AM601)))</f>
        <v>0</v>
      </c>
      <c r="AO601" s="80">
        <f>AF601-AN601</f>
        <v>0</v>
      </c>
      <c r="AP601" s="80">
        <f>AM601-AN601</f>
        <v>0</v>
      </c>
      <c r="AQ601" s="80">
        <f>AD601-AM601-AO601</f>
        <v>0</v>
      </c>
      <c r="AR601" s="80">
        <f>IF(AM601=0,0,AK601-AN601*AK601/AM601)</f>
        <v>0</v>
      </c>
      <c r="AS601" s="80">
        <f>IF(AD601-AM601=0,0,(AJ601-AK601)-AO601*(AJ601-AK601)/(AD601-AM601))</f>
        <v>0</v>
      </c>
      <c r="AT601" s="80" t="str">
        <f>IF(AC601=1,INT(B601)+1,"")</f>
        <v/>
      </c>
      <c r="AU601" s="80">
        <f>IF(AND(D601="proMX",R601="Cancelled"),0,1)</f>
        <v>1</v>
      </c>
      <c r="AV601" s="80">
        <f>IF(AND(AB601=1,AU601=1),IF(COUNTIFS($D$5:D600,D601,$B$5:B600,B601,$Z$5:Z600,Z601,$AA$5:AA600,AA601,$F$5:F600,F601&amp;"",$AU$5:AU600,1)&gt;0,1,0),0)</f>
        <v>0</v>
      </c>
      <c r="AW601" s="80" t="str">
        <f>IF(AB601=1,INT(B601)*1440+Z601,"")</f>
        <v/>
      </c>
      <c r="AX601" s="80" t="str">
        <f>IF(AB601=1,AW601+AD601,"")</f>
        <v/>
      </c>
      <c r="AY601" s="80">
        <f>IF(AND(AB601=1,AV601=0,AU601=1),1,0)</f>
        <v>0</v>
      </c>
      <c r="AZ601" s="80">
        <f>IF(AY601=1,COUNTIFS(R_Emp,D601,R_SAbs,"&lt;"&amp;AX601,R_EAbs,"&gt;"&amp;AW601,R_OKey,1)-1,0)</f>
        <v>0</v>
      </c>
      <c r="BA601" s="80">
        <f>IF(AY601=1,COUNTIFS(R_Emp,"&lt;&gt;"&amp;D601,R_SAbs,"&lt;"&amp;AX601,R_EAbs,"&gt;"&amp;AW601,R_OKey,1),0)</f>
        <v>0</v>
      </c>
      <c r="BB601" s="80">
        <f>IF(AND(AB601=1,D601="proMX"),IF(AND(MOD(Z601,CFG_BLK)=0,MOD(AA601,CFG_BLK)=0,MOD(AG601,CFG_BLK)=0,AG601&gt;0),1,0),1)</f>
        <v>1</v>
      </c>
      <c r="BC601" s="80" t="str">
        <f>IF(Y601=0,"",IF(NOT(ISNUMBER(B601)),"Falta fecha o fecha inválida",IF(D601="","Falta empresa",IF(AND(D601&lt;&gt;"Malcolm",D601&lt;&gt;"proMX"),"Empresa inválida",IF(OR(INT(B601)&lt;CFG_PSTART,INT(B601)&gt;CFG_PEND),"Fecha fuera del período",IF(OR(NOT(ISNUMBER(Z601)),NOT(ISNUMBER(AA601))),"Falta hora inicio/fin o formato inválido",IF(AB601=0,"Hora inicio = hora fin",IF(AE601&lt;0,"Descanso inválido",IF(AE601&gt;=AD601,"Descanso ≥ duración",IF(AV601=1,"Registro duplicado",IF(AZ601&gt;0,"Se superpone con otro registro "&amp;D601,IF(BB601=0,"inicio, fin y duración neta deben ser múltiplos de "&amp;CFG_BLK&amp;" min",""))))))))))))</f>
        <v/>
      </c>
      <c r="BD601" s="80">
        <f>IF(AND(Y601=1,BC601=""),1,0)</f>
        <v>0</v>
      </c>
      <c r="BE601" s="80">
        <f>IF(AND(BD601=1,AU601=1),1,0)</f>
        <v>0</v>
      </c>
      <c r="BF601" s="80" t="str">
        <f>IF(AND(D601="proMX",BD601=1),IF(R601="","Draft",R601),"")</f>
        <v/>
      </c>
      <c r="BG601" s="80">
        <f>IF(BD601=1,ROUND(AG601/60,6),0)</f>
        <v>0</v>
      </c>
      <c r="BH601" s="80">
        <f>IF(BE601=1,ROUND(AG601/60,6),0)</f>
        <v>0</v>
      </c>
      <c r="BI601" s="80">
        <f>IF(BE601=1,ROUND(AP601/60,6),0)</f>
        <v>0</v>
      </c>
      <c r="BJ601" s="80">
        <f>IF(BE601=1,ROUND(AQ601/60,6),0)</f>
        <v>0</v>
      </c>
      <c r="BK601" s="80">
        <f>IF(BE601=1,ROUND((AR601+AS601)/60,6),0)</f>
        <v>0</v>
      </c>
      <c r="BL601" s="80">
        <f>ROUND(BH601-BK601,6)</f>
        <v>0</v>
      </c>
      <c r="BM601" s="80">
        <f>IF(BE601=1,ROUND(AR601/60,6),0)</f>
        <v>0</v>
      </c>
      <c r="BN601" s="80">
        <f>ROUND(BI601-BM601,6)</f>
        <v>0</v>
      </c>
      <c r="BO601" s="80">
        <f>IF(BE601=1,ROUND(AS601/60,6),0)</f>
        <v>0</v>
      </c>
      <c r="BP601" s="80">
        <f>ROUND(BJ601-BO601,6)</f>
        <v>0</v>
      </c>
      <c r="BQ601" s="80">
        <f>IF(BE601=1,AW601,0)</f>
        <v>0</v>
      </c>
      <c r="BR601" s="80">
        <f>IF(BE601=1,AX601,0)</f>
        <v>0</v>
      </c>
      <c r="BS601" s="80">
        <f>IF(AND(BE601=1,D601="Malcolm",BA601&gt;0),MIN(BH601,SUMPRODUCT((R_Emp="proMX")*(R_EN&gt;0)*((R_EN-(R_EN&gt;BR601)*(R_EN-BR601))&gt;(R_SN+(R_SN&lt;BQ601)*(BQ601-R_SN)))*((R_EN-(R_EN&gt;BR601)*(R_EN-BR601))-(R_SN+(R_SN&lt;BQ601)*(BQ601-R_SN))))/60),0)</f>
        <v>0</v>
      </c>
      <c r="BT601" s="80">
        <f>IF(AND(BE601=1,D601="proMX"),ROUND(BI601*CFG_RATE+BJ601*CFG_OTRATE,6),0)</f>
        <v>0</v>
      </c>
      <c r="BU601" s="80">
        <f>IF(AND(BD601=1,D601="proMX"),ROUND(AG601/CFG_BLK,6),0)</f>
        <v>0</v>
      </c>
      <c r="BV601" s="80" t="str">
        <f>IF(BF601="Approved",IF(ISNUMBER(T601),INT(T601),INT(B601)),"")</f>
        <v/>
      </c>
      <c r="BW601" s="80">
        <f>IF(ISNUMBER(B601),IF(DB_MON="Todos",1,IF(AND(INT(B601)&gt;=DB_MS,INT(B601)&lt;=DB_ME),1,0)),0)</f>
        <v>0</v>
      </c>
      <c r="BX601" s="80">
        <f>IF(DB_PROJ="Todos",1,IF(E601&amp;""=DB_PROJ&amp;"",1,0))</f>
        <v>1</v>
      </c>
      <c r="BY601" s="80">
        <f>BW601*BX601</f>
        <v>0</v>
      </c>
      <c r="BZ601" s="80" t="str">
        <f>IF(Y601=1,F601&amp;IF(AND(F601&amp;""&lt;&gt;"",E601&amp;""&lt;&gt;"")," · ","")&amp;E601,"")</f>
        <v/>
      </c>
      <c r="CA601" s="80" t="str">
        <f>IF(AND(BD601=1,E601&amp;""&lt;&gt;""),IF(COUNTIFS($E$5:E600,E601,$BD$5:BD600,1)=0,MAX($CA$5:CA600)+1,""),"")</f>
        <v/>
      </c>
      <c r="CB601" s="80" t="str">
        <f>IF(AND(BE601=1,D601="Malcolm",E601&amp;""&lt;&gt;""),IF(COUNTIFS($D$5:D600,"Malcolm",$E$5:E600,E601,$BE$5:BE600,1)=0,MAX($CB$5:CB600)+1,""),"")</f>
        <v/>
      </c>
      <c r="CC601" s="80" t="str">
        <f>IF(AND(BD601=1,D601="proMX",E601&amp;""&lt;&gt;""),IF(COUNTIFS($D$5:D600,"proMX",$E$5:E600,E601,$BD$5:BD600,1)=0,MAX($CC$5:CC600)+1,""),"")</f>
        <v/>
      </c>
      <c r="CD601" s="80" t="str">
        <f>IF(AND(BE601=1,D601="Malcolm",F601&amp;""&lt;&gt;""),IF(COUNTIFS($D$5:D600,"Malcolm",$F$5:F600,F601,$BE$5:BE600,1)=0,MAX($CD$5:CD600)+1,""),"")</f>
        <v/>
      </c>
      <c r="CE601" s="80" t="str">
        <f>IF(AND(BD601=1,D601="proMX",F601&amp;""&lt;&gt;""),IF(COUNTIFS($D$5:D600,"proMX",$F$5:F600,F601,$BD$5:BD600,1)=0,MAX($CE$5:CE600)+1,""),"")</f>
        <v/>
      </c>
      <c r="CF601" s="80" t="str">
        <f>IF(AND(D601="proMX",BD601=1),IF(OR(BF601="Draft",BF601="Submitted",BF601="Returned",BF601="Recall Requested"),MAX($CF$5:CF600)+1,""),"")</f>
        <v/>
      </c>
      <c r="CG601" s="80">
        <f>IF(BD601=0,0,IF(D601="Malcolm",1,MATCH(BF601,{"Draft","Submitted","Approved","Returned","Recall Requested","Cancelled"},0)+1))</f>
        <v>0</v>
      </c>
      <c r="CH601" s="80">
        <f>IF(AND(BF601="Submitted",ISNUMBER(V601)),IF(V601&gt;CFG_MAXD,1,0),0)</f>
        <v>0</v>
      </c>
    </row>
    <row r="602">
      <c r="A602" s="71" t="str">
        <f>IF(Y602=1,ROW()-5,"")</f>
        <v/>
      </c>
      <c r="B602" s="72" t="n"/>
      <c r="C602" s="71" t="str">
        <f>IF(ISNUMBER(B602),CHOOSE(WEEKDAY(B602,2),"Lun","Mar","Mié","Jue","Vie","Sáb","Dom"),"")</f>
        <v/>
      </c>
      <c r="D602" s="73" t="n"/>
      <c r="E602" s="74" t="n"/>
      <c r="F602" s="74" t="n"/>
      <c r="G602" s="74" t="n"/>
      <c r="H602" s="75" t="n"/>
      <c r="I602" s="75" t="n"/>
      <c r="J602" s="76" t="n"/>
      <c r="K602" s="77" t="str">
        <f>IF(AB602=1,ROUND(AG602/60,4),"")</f>
        <v/>
      </c>
      <c r="L602" s="77" t="str">
        <f>IF(BD602=1,ROUND(AP602/60,4),"")</f>
        <v/>
      </c>
      <c r="M602" s="77" t="str">
        <f>IF(BD602=1,ROUND(AQ602/60,4),"")</f>
        <v/>
      </c>
      <c r="N602" s="71" t="str">
        <f>IF(AND(D602="proMX",AB602=1),ROUND(AG602/CFG_BLK,2),"")</f>
        <v/>
      </c>
      <c r="O602" s="77" t="str">
        <f>IF(D602="proMX",IF(BD602=1,ROUND(AG602/60,4),0),"")</f>
        <v/>
      </c>
      <c r="P602" s="78" t="str">
        <f>IF(Y602=0,"",IF(BD602=1,"OK",IF(D602="proMX","Revisar bloques: ","Revisar: ")&amp;BC602))</f>
        <v/>
      </c>
      <c r="Q602" s="78" t="str">
        <f>IF(NOT(ISNUMBER(B602)),"",IF(COUNTIFS(FER_F,INT(B602))&gt;0,"Feriado"&amp;IF(AH602=1," (laborable)"," (no laborable)"),IF(AH602=1,"Laborable",IF(WEEKDAY(B602,2)&gt;5,"Fin de semana","No laborable"))))</f>
        <v/>
      </c>
      <c r="R602" s="73" t="n"/>
      <c r="S602" s="72" t="n"/>
      <c r="T602" s="72" t="n"/>
      <c r="U602" s="74" t="n"/>
      <c r="V602" s="79" t="str">
        <f>IF(AND(D602="proMX",OR(R602="Submitted",R602="Recall Requested"),ISNUMBER(S602)),CFG_TODAY-INT(S602),"")</f>
        <v/>
      </c>
      <c r="W602" s="78" t="str">
        <f>IF(BD602=0,"",IF(BA602&gt;0,"⚠ Se superpone con un registro de la otra empresa",IF(D602="Malcolm",IF(COUNTA(R602,S602,T602)&gt;0,"Estado/fechas proMX se ignoran en Malcolm",""),IF(BF602="Cancelled","Cancelado: excluido de totales",IF(R602="","Sin estado: se trata como Draft",IF(BF602="Submitted",IF(ISNUMBER(V602),IF(V602&gt;CFG_MAXD,"⚠ "&amp;V602&amp;" días en Submitted (máx. "&amp;CFG_MAXD&amp;")",""),"Falta fecha de envío"),IF(BF602="Returned","⚠ Devuelto: corregir y reenviar",IF(BF602="Recall Requested","Retirada solicitada: pendiente",IF(AND(BF602="Approved",NOT(ISNUMBER(T602))),"Falta fecha de aprobación",IF(AND(ISNUMBER(S602),ISNUMBER(T602),T602&lt;S602),"Aprobación anterior al envío","")))))))))</f>
        <v/>
      </c>
      <c r="Y602" s="80">
        <f>IF(COUNTA(B602,D602,E602,F602,G602,H602,I602,J602,R602,S602,T602)&gt;0,1,0)</f>
        <v>0</v>
      </c>
      <c r="Z602" s="80" t="str">
        <f>IF(AND(ISNUMBER(H602),H602&gt;=0,H602&lt;1),ROUND(H602*1440,0),"")</f>
        <v/>
      </c>
      <c r="AA602" s="80" t="str">
        <f>IF(AND(ISNUMBER(I602),I602&gt;=0,I602&lt;1),ROUND(I602*1440,0),"")</f>
        <v/>
      </c>
      <c r="AB602" s="80">
        <f>IF(AND(ISNUMBER(B602),D602&lt;&gt;"",ISNUMBER(Z602),ISNUMBER(AA602)),IF(Z602=AA602,0,1),0)</f>
        <v>0</v>
      </c>
      <c r="AC602" s="80">
        <f>IF(AB602=1,IF(AA602&lt;Z602,1,0),0)</f>
        <v>0</v>
      </c>
      <c r="AD602" s="80">
        <f>IF(AB602=1,IF(AC602=1,1440-Z602+AA602,AA602-Z602),0)</f>
        <v>0</v>
      </c>
      <c r="AE602" s="80">
        <f>IF(J602="",0,IF(ISNUMBER(J602),J602,-1))</f>
        <v>0</v>
      </c>
      <c r="AF602" s="80">
        <f>MIN(MAX(0,AE602),AD602)</f>
        <v>0</v>
      </c>
      <c r="AG602" s="80">
        <f>MAX(0,AD602-MAX(0,AE602))</f>
        <v>0</v>
      </c>
      <c r="AH602" s="80">
        <f>IF(ISNUMBER(B602),IF(AND(INDEX(CFG_WDAYS,WEEKDAY(INT(B602),2))="Sí",IF(D602="proMX",COUNTIFS(FER_F,INT(B602),FER_NLP,"Sí"),COUNTIFS(FER_F,INT(B602),FER_NLM,"Sí"))=0),1,0),0)</f>
        <v>0</v>
      </c>
      <c r="AI602" s="80">
        <f>IF(AC602=1,IF(AND(INDEX(CFG_WDAYS,WEEKDAY(INT(B602)+1,2))="Sí",IF(D602="proMX",COUNTIFS(FER_F,INT(B602)+1,FER_NLP,"Sí"),COUNTIFS(FER_F,INT(B602)+1,FER_NLM,"Sí"))=0),1,0),0)</f>
        <v>0</v>
      </c>
      <c r="AJ602" s="80">
        <f>IF(AC602=1,1440-Z602,AD602)</f>
        <v>0</v>
      </c>
      <c r="AK602" s="80">
        <f>IF(AND(AB602=1,AH602=1),MAX(0,MIN(IF(AC602=1,1440,AA602),CFG_WEM)-MAX(Z602,CFG_WSM)),0)</f>
        <v>0</v>
      </c>
      <c r="AL602" s="80">
        <f>IF(AND(AC602=1,AI602=1),MAX(0,MIN(AA602,CFG_WEM)-CFG_WSM),0)</f>
        <v>0</v>
      </c>
      <c r="AM602" s="80">
        <f>AK602+AL602</f>
        <v>0</v>
      </c>
      <c r="AN602" s="80">
        <f>IF(CFG_BRK="Proporcional",IF(AD602=0,0,AF602*AM602/AD602),IF(CFG_BRK="Extras primero",MIN(AM602,MAX(0,AF602-(AD602-AM602))),MIN(AF602,AM602)))</f>
        <v>0</v>
      </c>
      <c r="AO602" s="80">
        <f>AF602-AN602</f>
        <v>0</v>
      </c>
      <c r="AP602" s="80">
        <f>AM602-AN602</f>
        <v>0</v>
      </c>
      <c r="AQ602" s="80">
        <f>AD602-AM602-AO602</f>
        <v>0</v>
      </c>
      <c r="AR602" s="80">
        <f>IF(AM602=0,0,AK602-AN602*AK602/AM602)</f>
        <v>0</v>
      </c>
      <c r="AS602" s="80">
        <f>IF(AD602-AM602=0,0,(AJ602-AK602)-AO602*(AJ602-AK602)/(AD602-AM602))</f>
        <v>0</v>
      </c>
      <c r="AT602" s="80" t="str">
        <f>IF(AC602=1,INT(B602)+1,"")</f>
        <v/>
      </c>
      <c r="AU602" s="80">
        <f>IF(AND(D602="proMX",R602="Cancelled"),0,1)</f>
        <v>1</v>
      </c>
      <c r="AV602" s="80">
        <f>IF(AND(AB602=1,AU602=1),IF(COUNTIFS($D$5:D601,D602,$B$5:B601,B602,$Z$5:Z601,Z602,$AA$5:AA601,AA602,$F$5:F601,F602&amp;"",$AU$5:AU601,1)&gt;0,1,0),0)</f>
        <v>0</v>
      </c>
      <c r="AW602" s="80" t="str">
        <f>IF(AB602=1,INT(B602)*1440+Z602,"")</f>
        <v/>
      </c>
      <c r="AX602" s="80" t="str">
        <f>IF(AB602=1,AW602+AD602,"")</f>
        <v/>
      </c>
      <c r="AY602" s="80">
        <f>IF(AND(AB602=1,AV602=0,AU602=1),1,0)</f>
        <v>0</v>
      </c>
      <c r="AZ602" s="80">
        <f>IF(AY602=1,COUNTIFS(R_Emp,D602,R_SAbs,"&lt;"&amp;AX602,R_EAbs,"&gt;"&amp;AW602,R_OKey,1)-1,0)</f>
        <v>0</v>
      </c>
      <c r="BA602" s="80">
        <f>IF(AY602=1,COUNTIFS(R_Emp,"&lt;&gt;"&amp;D602,R_SAbs,"&lt;"&amp;AX602,R_EAbs,"&gt;"&amp;AW602,R_OKey,1),0)</f>
        <v>0</v>
      </c>
      <c r="BB602" s="80">
        <f>IF(AND(AB602=1,D602="proMX"),IF(AND(MOD(Z602,CFG_BLK)=0,MOD(AA602,CFG_BLK)=0,MOD(AG602,CFG_BLK)=0,AG602&gt;0),1,0),1)</f>
        <v>1</v>
      </c>
      <c r="BC602" s="80" t="str">
        <f>IF(Y602=0,"",IF(NOT(ISNUMBER(B602)),"Falta fecha o fecha inválida",IF(D602="","Falta empresa",IF(AND(D602&lt;&gt;"Malcolm",D602&lt;&gt;"proMX"),"Empresa inválida",IF(OR(INT(B602)&lt;CFG_PSTART,INT(B602)&gt;CFG_PEND),"Fecha fuera del período",IF(OR(NOT(ISNUMBER(Z602)),NOT(ISNUMBER(AA602))),"Falta hora inicio/fin o formato inválido",IF(AB602=0,"Hora inicio = hora fin",IF(AE602&lt;0,"Descanso inválido",IF(AE602&gt;=AD602,"Descanso ≥ duración",IF(AV602=1,"Registro duplicado",IF(AZ602&gt;0,"Se superpone con otro registro "&amp;D602,IF(BB602=0,"inicio, fin y duración neta deben ser múltiplos de "&amp;CFG_BLK&amp;" min",""))))))))))))</f>
        <v/>
      </c>
      <c r="BD602" s="80">
        <f>IF(AND(Y602=1,BC602=""),1,0)</f>
        <v>0</v>
      </c>
      <c r="BE602" s="80">
        <f>IF(AND(BD602=1,AU602=1),1,0)</f>
        <v>0</v>
      </c>
      <c r="BF602" s="80" t="str">
        <f>IF(AND(D602="proMX",BD602=1),IF(R602="","Draft",R602),"")</f>
        <v/>
      </c>
      <c r="BG602" s="80">
        <f>IF(BD602=1,ROUND(AG602/60,6),0)</f>
        <v>0</v>
      </c>
      <c r="BH602" s="80">
        <f>IF(BE602=1,ROUND(AG602/60,6),0)</f>
        <v>0</v>
      </c>
      <c r="BI602" s="80">
        <f>IF(BE602=1,ROUND(AP602/60,6),0)</f>
        <v>0</v>
      </c>
      <c r="BJ602" s="80">
        <f>IF(BE602=1,ROUND(AQ602/60,6),0)</f>
        <v>0</v>
      </c>
      <c r="BK602" s="80">
        <f>IF(BE602=1,ROUND((AR602+AS602)/60,6),0)</f>
        <v>0</v>
      </c>
      <c r="BL602" s="80">
        <f>ROUND(BH602-BK602,6)</f>
        <v>0</v>
      </c>
      <c r="BM602" s="80">
        <f>IF(BE602=1,ROUND(AR602/60,6),0)</f>
        <v>0</v>
      </c>
      <c r="BN602" s="80">
        <f>ROUND(BI602-BM602,6)</f>
        <v>0</v>
      </c>
      <c r="BO602" s="80">
        <f>IF(BE602=1,ROUND(AS602/60,6),0)</f>
        <v>0</v>
      </c>
      <c r="BP602" s="80">
        <f>ROUND(BJ602-BO602,6)</f>
        <v>0</v>
      </c>
      <c r="BQ602" s="80">
        <f>IF(BE602=1,AW602,0)</f>
        <v>0</v>
      </c>
      <c r="BR602" s="80">
        <f>IF(BE602=1,AX602,0)</f>
        <v>0</v>
      </c>
      <c r="BS602" s="80">
        <f>IF(AND(BE602=1,D602="Malcolm",BA602&gt;0),MIN(BH602,SUMPRODUCT((R_Emp="proMX")*(R_EN&gt;0)*((R_EN-(R_EN&gt;BR602)*(R_EN-BR602))&gt;(R_SN+(R_SN&lt;BQ602)*(BQ602-R_SN)))*((R_EN-(R_EN&gt;BR602)*(R_EN-BR602))-(R_SN+(R_SN&lt;BQ602)*(BQ602-R_SN))))/60),0)</f>
        <v>0</v>
      </c>
      <c r="BT602" s="80">
        <f>IF(AND(BE602=1,D602="proMX"),ROUND(BI602*CFG_RATE+BJ602*CFG_OTRATE,6),0)</f>
        <v>0</v>
      </c>
      <c r="BU602" s="80">
        <f>IF(AND(BD602=1,D602="proMX"),ROUND(AG602/CFG_BLK,6),0)</f>
        <v>0</v>
      </c>
      <c r="BV602" s="80" t="str">
        <f>IF(BF602="Approved",IF(ISNUMBER(T602),INT(T602),INT(B602)),"")</f>
        <v/>
      </c>
      <c r="BW602" s="80">
        <f>IF(ISNUMBER(B602),IF(DB_MON="Todos",1,IF(AND(INT(B602)&gt;=DB_MS,INT(B602)&lt;=DB_ME),1,0)),0)</f>
        <v>0</v>
      </c>
      <c r="BX602" s="80">
        <f>IF(DB_PROJ="Todos",1,IF(E602&amp;""=DB_PROJ&amp;"",1,0))</f>
        <v>1</v>
      </c>
      <c r="BY602" s="80">
        <f>BW602*BX602</f>
        <v>0</v>
      </c>
      <c r="BZ602" s="80" t="str">
        <f>IF(Y602=1,F602&amp;IF(AND(F602&amp;""&lt;&gt;"",E602&amp;""&lt;&gt;"")," · ","")&amp;E602,"")</f>
        <v/>
      </c>
      <c r="CA602" s="80" t="str">
        <f>IF(AND(BD602=1,E602&amp;""&lt;&gt;""),IF(COUNTIFS($E$5:E601,E602,$BD$5:BD601,1)=0,MAX($CA$5:CA601)+1,""),"")</f>
        <v/>
      </c>
      <c r="CB602" s="80" t="str">
        <f>IF(AND(BE602=1,D602="Malcolm",E602&amp;""&lt;&gt;""),IF(COUNTIFS($D$5:D601,"Malcolm",$E$5:E601,E602,$BE$5:BE601,1)=0,MAX($CB$5:CB601)+1,""),"")</f>
        <v/>
      </c>
      <c r="CC602" s="80" t="str">
        <f>IF(AND(BD602=1,D602="proMX",E602&amp;""&lt;&gt;""),IF(COUNTIFS($D$5:D601,"proMX",$E$5:E601,E602,$BD$5:BD601,1)=0,MAX($CC$5:CC601)+1,""),"")</f>
        <v/>
      </c>
      <c r="CD602" s="80" t="str">
        <f>IF(AND(BE602=1,D602="Malcolm",F602&amp;""&lt;&gt;""),IF(COUNTIFS($D$5:D601,"Malcolm",$F$5:F601,F602,$BE$5:BE601,1)=0,MAX($CD$5:CD601)+1,""),"")</f>
        <v/>
      </c>
      <c r="CE602" s="80" t="str">
        <f>IF(AND(BD602=1,D602="proMX",F602&amp;""&lt;&gt;""),IF(COUNTIFS($D$5:D601,"proMX",$F$5:F601,F602,$BD$5:BD601,1)=0,MAX($CE$5:CE601)+1,""),"")</f>
        <v/>
      </c>
      <c r="CF602" s="80" t="str">
        <f>IF(AND(D602="proMX",BD602=1),IF(OR(BF602="Draft",BF602="Submitted",BF602="Returned",BF602="Recall Requested"),MAX($CF$5:CF601)+1,""),"")</f>
        <v/>
      </c>
      <c r="CG602" s="80">
        <f>IF(BD602=0,0,IF(D602="Malcolm",1,MATCH(BF602,{"Draft","Submitted","Approved","Returned","Recall Requested","Cancelled"},0)+1))</f>
        <v>0</v>
      </c>
      <c r="CH602" s="80">
        <f>IF(AND(BF602="Submitted",ISNUMBER(V602)),IF(V602&gt;CFG_MAXD,1,0),0)</f>
        <v>0</v>
      </c>
    </row>
    <row r="603">
      <c r="A603" s="71" t="str">
        <f>IF(Y603=1,ROW()-5,"")</f>
        <v/>
      </c>
      <c r="B603" s="72" t="n"/>
      <c r="C603" s="71" t="str">
        <f>IF(ISNUMBER(B603),CHOOSE(WEEKDAY(B603,2),"Lun","Mar","Mié","Jue","Vie","Sáb","Dom"),"")</f>
        <v/>
      </c>
      <c r="D603" s="73" t="n"/>
      <c r="E603" s="74" t="n"/>
      <c r="F603" s="74" t="n"/>
      <c r="G603" s="74" t="n"/>
      <c r="H603" s="75" t="n"/>
      <c r="I603" s="75" t="n"/>
      <c r="J603" s="76" t="n"/>
      <c r="K603" s="77" t="str">
        <f>IF(AB603=1,ROUND(AG603/60,4),"")</f>
        <v/>
      </c>
      <c r="L603" s="77" t="str">
        <f>IF(BD603=1,ROUND(AP603/60,4),"")</f>
        <v/>
      </c>
      <c r="M603" s="77" t="str">
        <f>IF(BD603=1,ROUND(AQ603/60,4),"")</f>
        <v/>
      </c>
      <c r="N603" s="71" t="str">
        <f>IF(AND(D603="proMX",AB603=1),ROUND(AG603/CFG_BLK,2),"")</f>
        <v/>
      </c>
      <c r="O603" s="77" t="str">
        <f>IF(D603="proMX",IF(BD603=1,ROUND(AG603/60,4),0),"")</f>
        <v/>
      </c>
      <c r="P603" s="78" t="str">
        <f>IF(Y603=0,"",IF(BD603=1,"OK",IF(D603="proMX","Revisar bloques: ","Revisar: ")&amp;BC603))</f>
        <v/>
      </c>
      <c r="Q603" s="78" t="str">
        <f>IF(NOT(ISNUMBER(B603)),"",IF(COUNTIFS(FER_F,INT(B603))&gt;0,"Feriado"&amp;IF(AH603=1," (laborable)"," (no laborable)"),IF(AH603=1,"Laborable",IF(WEEKDAY(B603,2)&gt;5,"Fin de semana","No laborable"))))</f>
        <v/>
      </c>
      <c r="R603" s="73" t="n"/>
      <c r="S603" s="72" t="n"/>
      <c r="T603" s="72" t="n"/>
      <c r="U603" s="74" t="n"/>
      <c r="V603" s="79" t="str">
        <f>IF(AND(D603="proMX",OR(R603="Submitted",R603="Recall Requested"),ISNUMBER(S603)),CFG_TODAY-INT(S603),"")</f>
        <v/>
      </c>
      <c r="W603" s="78" t="str">
        <f>IF(BD603=0,"",IF(BA603&gt;0,"⚠ Se superpone con un registro de la otra empresa",IF(D603="Malcolm",IF(COUNTA(R603,S603,T603)&gt;0,"Estado/fechas proMX se ignoran en Malcolm",""),IF(BF603="Cancelled","Cancelado: excluido de totales",IF(R603="","Sin estado: se trata como Draft",IF(BF603="Submitted",IF(ISNUMBER(V603),IF(V603&gt;CFG_MAXD,"⚠ "&amp;V603&amp;" días en Submitted (máx. "&amp;CFG_MAXD&amp;")",""),"Falta fecha de envío"),IF(BF603="Returned","⚠ Devuelto: corregir y reenviar",IF(BF603="Recall Requested","Retirada solicitada: pendiente",IF(AND(BF603="Approved",NOT(ISNUMBER(T603))),"Falta fecha de aprobación",IF(AND(ISNUMBER(S603),ISNUMBER(T603),T603&lt;S603),"Aprobación anterior al envío","")))))))))</f>
        <v/>
      </c>
      <c r="Y603" s="80">
        <f>IF(COUNTA(B603,D603,E603,F603,G603,H603,I603,J603,R603,S603,T603)&gt;0,1,0)</f>
        <v>0</v>
      </c>
      <c r="Z603" s="80" t="str">
        <f>IF(AND(ISNUMBER(H603),H603&gt;=0,H603&lt;1),ROUND(H603*1440,0),"")</f>
        <v/>
      </c>
      <c r="AA603" s="80" t="str">
        <f>IF(AND(ISNUMBER(I603),I603&gt;=0,I603&lt;1),ROUND(I603*1440,0),"")</f>
        <v/>
      </c>
      <c r="AB603" s="80">
        <f>IF(AND(ISNUMBER(B603),D603&lt;&gt;"",ISNUMBER(Z603),ISNUMBER(AA603)),IF(Z603=AA603,0,1),0)</f>
        <v>0</v>
      </c>
      <c r="AC603" s="80">
        <f>IF(AB603=1,IF(AA603&lt;Z603,1,0),0)</f>
        <v>0</v>
      </c>
      <c r="AD603" s="80">
        <f>IF(AB603=1,IF(AC603=1,1440-Z603+AA603,AA603-Z603),0)</f>
        <v>0</v>
      </c>
      <c r="AE603" s="80">
        <f>IF(J603="",0,IF(ISNUMBER(J603),J603,-1))</f>
        <v>0</v>
      </c>
      <c r="AF603" s="80">
        <f>MIN(MAX(0,AE603),AD603)</f>
        <v>0</v>
      </c>
      <c r="AG603" s="80">
        <f>MAX(0,AD603-MAX(0,AE603))</f>
        <v>0</v>
      </c>
      <c r="AH603" s="80">
        <f>IF(ISNUMBER(B603),IF(AND(INDEX(CFG_WDAYS,WEEKDAY(INT(B603),2))="Sí",IF(D603="proMX",COUNTIFS(FER_F,INT(B603),FER_NLP,"Sí"),COUNTIFS(FER_F,INT(B603),FER_NLM,"Sí"))=0),1,0),0)</f>
        <v>0</v>
      </c>
      <c r="AI603" s="80">
        <f>IF(AC603=1,IF(AND(INDEX(CFG_WDAYS,WEEKDAY(INT(B603)+1,2))="Sí",IF(D603="proMX",COUNTIFS(FER_F,INT(B603)+1,FER_NLP,"Sí"),COUNTIFS(FER_F,INT(B603)+1,FER_NLM,"Sí"))=0),1,0),0)</f>
        <v>0</v>
      </c>
      <c r="AJ603" s="80">
        <f>IF(AC603=1,1440-Z603,AD603)</f>
        <v>0</v>
      </c>
      <c r="AK603" s="80">
        <f>IF(AND(AB603=1,AH603=1),MAX(0,MIN(IF(AC603=1,1440,AA603),CFG_WEM)-MAX(Z603,CFG_WSM)),0)</f>
        <v>0</v>
      </c>
      <c r="AL603" s="80">
        <f>IF(AND(AC603=1,AI603=1),MAX(0,MIN(AA603,CFG_WEM)-CFG_WSM),0)</f>
        <v>0</v>
      </c>
      <c r="AM603" s="80">
        <f>AK603+AL603</f>
        <v>0</v>
      </c>
      <c r="AN603" s="80">
        <f>IF(CFG_BRK="Proporcional",IF(AD603=0,0,AF603*AM603/AD603),IF(CFG_BRK="Extras primero",MIN(AM603,MAX(0,AF603-(AD603-AM603))),MIN(AF603,AM603)))</f>
        <v>0</v>
      </c>
      <c r="AO603" s="80">
        <f>AF603-AN603</f>
        <v>0</v>
      </c>
      <c r="AP603" s="80">
        <f>AM603-AN603</f>
        <v>0</v>
      </c>
      <c r="AQ603" s="80">
        <f>AD603-AM603-AO603</f>
        <v>0</v>
      </c>
      <c r="AR603" s="80">
        <f>IF(AM603=0,0,AK603-AN603*AK603/AM603)</f>
        <v>0</v>
      </c>
      <c r="AS603" s="80">
        <f>IF(AD603-AM603=0,0,(AJ603-AK603)-AO603*(AJ603-AK603)/(AD603-AM603))</f>
        <v>0</v>
      </c>
      <c r="AT603" s="80" t="str">
        <f>IF(AC603=1,INT(B603)+1,"")</f>
        <v/>
      </c>
      <c r="AU603" s="80">
        <f>IF(AND(D603="proMX",R603="Cancelled"),0,1)</f>
        <v>1</v>
      </c>
      <c r="AV603" s="80">
        <f>IF(AND(AB603=1,AU603=1),IF(COUNTIFS($D$5:D602,D603,$B$5:B602,B603,$Z$5:Z602,Z603,$AA$5:AA602,AA603,$F$5:F602,F603&amp;"",$AU$5:AU602,1)&gt;0,1,0),0)</f>
        <v>0</v>
      </c>
      <c r="AW603" s="80" t="str">
        <f>IF(AB603=1,INT(B603)*1440+Z603,"")</f>
        <v/>
      </c>
      <c r="AX603" s="80" t="str">
        <f>IF(AB603=1,AW603+AD603,"")</f>
        <v/>
      </c>
      <c r="AY603" s="80">
        <f>IF(AND(AB603=1,AV603=0,AU603=1),1,0)</f>
        <v>0</v>
      </c>
      <c r="AZ603" s="80">
        <f>IF(AY603=1,COUNTIFS(R_Emp,D603,R_SAbs,"&lt;"&amp;AX603,R_EAbs,"&gt;"&amp;AW603,R_OKey,1)-1,0)</f>
        <v>0</v>
      </c>
      <c r="BA603" s="80">
        <f>IF(AY603=1,COUNTIFS(R_Emp,"&lt;&gt;"&amp;D603,R_SAbs,"&lt;"&amp;AX603,R_EAbs,"&gt;"&amp;AW603,R_OKey,1),0)</f>
        <v>0</v>
      </c>
      <c r="BB603" s="80">
        <f>IF(AND(AB603=1,D603="proMX"),IF(AND(MOD(Z603,CFG_BLK)=0,MOD(AA603,CFG_BLK)=0,MOD(AG603,CFG_BLK)=0,AG603&gt;0),1,0),1)</f>
        <v>1</v>
      </c>
      <c r="BC603" s="80" t="str">
        <f>IF(Y603=0,"",IF(NOT(ISNUMBER(B603)),"Falta fecha o fecha inválida",IF(D603="","Falta empresa",IF(AND(D603&lt;&gt;"Malcolm",D603&lt;&gt;"proMX"),"Empresa inválida",IF(OR(INT(B603)&lt;CFG_PSTART,INT(B603)&gt;CFG_PEND),"Fecha fuera del período",IF(OR(NOT(ISNUMBER(Z603)),NOT(ISNUMBER(AA603))),"Falta hora inicio/fin o formato inválido",IF(AB603=0,"Hora inicio = hora fin",IF(AE603&lt;0,"Descanso inválido",IF(AE603&gt;=AD603,"Descanso ≥ duración",IF(AV603=1,"Registro duplicado",IF(AZ603&gt;0,"Se superpone con otro registro "&amp;D603,IF(BB603=0,"inicio, fin y duración neta deben ser múltiplos de "&amp;CFG_BLK&amp;" min",""))))))))))))</f>
        <v/>
      </c>
      <c r="BD603" s="80">
        <f>IF(AND(Y603=1,BC603=""),1,0)</f>
        <v>0</v>
      </c>
      <c r="BE603" s="80">
        <f>IF(AND(BD603=1,AU603=1),1,0)</f>
        <v>0</v>
      </c>
      <c r="BF603" s="80" t="str">
        <f>IF(AND(D603="proMX",BD603=1),IF(R603="","Draft",R603),"")</f>
        <v/>
      </c>
      <c r="BG603" s="80">
        <f>IF(BD603=1,ROUND(AG603/60,6),0)</f>
        <v>0</v>
      </c>
      <c r="BH603" s="80">
        <f>IF(BE603=1,ROUND(AG603/60,6),0)</f>
        <v>0</v>
      </c>
      <c r="BI603" s="80">
        <f>IF(BE603=1,ROUND(AP603/60,6),0)</f>
        <v>0</v>
      </c>
      <c r="BJ603" s="80">
        <f>IF(BE603=1,ROUND(AQ603/60,6),0)</f>
        <v>0</v>
      </c>
      <c r="BK603" s="80">
        <f>IF(BE603=1,ROUND((AR603+AS603)/60,6),0)</f>
        <v>0</v>
      </c>
      <c r="BL603" s="80">
        <f>ROUND(BH603-BK603,6)</f>
        <v>0</v>
      </c>
      <c r="BM603" s="80">
        <f>IF(BE603=1,ROUND(AR603/60,6),0)</f>
        <v>0</v>
      </c>
      <c r="BN603" s="80">
        <f>ROUND(BI603-BM603,6)</f>
        <v>0</v>
      </c>
      <c r="BO603" s="80">
        <f>IF(BE603=1,ROUND(AS603/60,6),0)</f>
        <v>0</v>
      </c>
      <c r="BP603" s="80">
        <f>ROUND(BJ603-BO603,6)</f>
        <v>0</v>
      </c>
      <c r="BQ603" s="80">
        <f>IF(BE603=1,AW603,0)</f>
        <v>0</v>
      </c>
      <c r="BR603" s="80">
        <f>IF(BE603=1,AX603,0)</f>
        <v>0</v>
      </c>
      <c r="BS603" s="80">
        <f>IF(AND(BE603=1,D603="Malcolm",BA603&gt;0),MIN(BH603,SUMPRODUCT((R_Emp="proMX")*(R_EN&gt;0)*((R_EN-(R_EN&gt;BR603)*(R_EN-BR603))&gt;(R_SN+(R_SN&lt;BQ603)*(BQ603-R_SN)))*((R_EN-(R_EN&gt;BR603)*(R_EN-BR603))-(R_SN+(R_SN&lt;BQ603)*(BQ603-R_SN))))/60),0)</f>
        <v>0</v>
      </c>
      <c r="BT603" s="80">
        <f>IF(AND(BE603=1,D603="proMX"),ROUND(BI603*CFG_RATE+BJ603*CFG_OTRATE,6),0)</f>
        <v>0</v>
      </c>
      <c r="BU603" s="80">
        <f>IF(AND(BD603=1,D603="proMX"),ROUND(AG603/CFG_BLK,6),0)</f>
        <v>0</v>
      </c>
      <c r="BV603" s="80" t="str">
        <f>IF(BF603="Approved",IF(ISNUMBER(T603),INT(T603),INT(B603)),"")</f>
        <v/>
      </c>
      <c r="BW603" s="80">
        <f>IF(ISNUMBER(B603),IF(DB_MON="Todos",1,IF(AND(INT(B603)&gt;=DB_MS,INT(B603)&lt;=DB_ME),1,0)),0)</f>
        <v>0</v>
      </c>
      <c r="BX603" s="80">
        <f>IF(DB_PROJ="Todos",1,IF(E603&amp;""=DB_PROJ&amp;"",1,0))</f>
        <v>1</v>
      </c>
      <c r="BY603" s="80">
        <f>BW603*BX603</f>
        <v>0</v>
      </c>
      <c r="BZ603" s="80" t="str">
        <f>IF(Y603=1,F603&amp;IF(AND(F603&amp;""&lt;&gt;"",E603&amp;""&lt;&gt;"")," · ","")&amp;E603,"")</f>
        <v/>
      </c>
      <c r="CA603" s="80" t="str">
        <f>IF(AND(BD603=1,E603&amp;""&lt;&gt;""),IF(COUNTIFS($E$5:E602,E603,$BD$5:BD602,1)=0,MAX($CA$5:CA602)+1,""),"")</f>
        <v/>
      </c>
      <c r="CB603" s="80" t="str">
        <f>IF(AND(BE603=1,D603="Malcolm",E603&amp;""&lt;&gt;""),IF(COUNTIFS($D$5:D602,"Malcolm",$E$5:E602,E603,$BE$5:BE602,1)=0,MAX($CB$5:CB602)+1,""),"")</f>
        <v/>
      </c>
      <c r="CC603" s="80" t="str">
        <f>IF(AND(BD603=1,D603="proMX",E603&amp;""&lt;&gt;""),IF(COUNTIFS($D$5:D602,"proMX",$E$5:E602,E603,$BD$5:BD602,1)=0,MAX($CC$5:CC602)+1,""),"")</f>
        <v/>
      </c>
      <c r="CD603" s="80" t="str">
        <f>IF(AND(BE603=1,D603="Malcolm",F603&amp;""&lt;&gt;""),IF(COUNTIFS($D$5:D602,"Malcolm",$F$5:F602,F603,$BE$5:BE602,1)=0,MAX($CD$5:CD602)+1,""),"")</f>
        <v/>
      </c>
      <c r="CE603" s="80" t="str">
        <f>IF(AND(BD603=1,D603="proMX",F603&amp;""&lt;&gt;""),IF(COUNTIFS($D$5:D602,"proMX",$F$5:F602,F603,$BD$5:BD602,1)=0,MAX($CE$5:CE602)+1,""),"")</f>
        <v/>
      </c>
      <c r="CF603" s="80" t="str">
        <f>IF(AND(D603="proMX",BD603=1),IF(OR(BF603="Draft",BF603="Submitted",BF603="Returned",BF603="Recall Requested"),MAX($CF$5:CF602)+1,""),"")</f>
        <v/>
      </c>
      <c r="CG603" s="80">
        <f>IF(BD603=0,0,IF(D603="Malcolm",1,MATCH(BF603,{"Draft","Submitted","Approved","Returned","Recall Requested","Cancelled"},0)+1))</f>
        <v>0</v>
      </c>
      <c r="CH603" s="80">
        <f>IF(AND(BF603="Submitted",ISNUMBER(V603)),IF(V603&gt;CFG_MAXD,1,0),0)</f>
        <v>0</v>
      </c>
    </row>
    <row r="604">
      <c r="A604" s="71" t="str">
        <f>IF(Y604=1,ROW()-5,"")</f>
        <v/>
      </c>
      <c r="B604" s="72" t="n"/>
      <c r="C604" s="71" t="str">
        <f>IF(ISNUMBER(B604),CHOOSE(WEEKDAY(B604,2),"Lun","Mar","Mié","Jue","Vie","Sáb","Dom"),"")</f>
        <v/>
      </c>
      <c r="D604" s="73" t="n"/>
      <c r="E604" s="74" t="n"/>
      <c r="F604" s="74" t="n"/>
      <c r="G604" s="74" t="n"/>
      <c r="H604" s="75" t="n"/>
      <c r="I604" s="75" t="n"/>
      <c r="J604" s="76" t="n"/>
      <c r="K604" s="77" t="str">
        <f>IF(AB604=1,ROUND(AG604/60,4),"")</f>
        <v/>
      </c>
      <c r="L604" s="77" t="str">
        <f>IF(BD604=1,ROUND(AP604/60,4),"")</f>
        <v/>
      </c>
      <c r="M604" s="77" t="str">
        <f>IF(BD604=1,ROUND(AQ604/60,4),"")</f>
        <v/>
      </c>
      <c r="N604" s="71" t="str">
        <f>IF(AND(D604="proMX",AB604=1),ROUND(AG604/CFG_BLK,2),"")</f>
        <v/>
      </c>
      <c r="O604" s="77" t="str">
        <f>IF(D604="proMX",IF(BD604=1,ROUND(AG604/60,4),0),"")</f>
        <v/>
      </c>
      <c r="P604" s="78" t="str">
        <f>IF(Y604=0,"",IF(BD604=1,"OK",IF(D604="proMX","Revisar bloques: ","Revisar: ")&amp;BC604))</f>
        <v/>
      </c>
      <c r="Q604" s="78" t="str">
        <f>IF(NOT(ISNUMBER(B604)),"",IF(COUNTIFS(FER_F,INT(B604))&gt;0,"Feriado"&amp;IF(AH604=1," (laborable)"," (no laborable)"),IF(AH604=1,"Laborable",IF(WEEKDAY(B604,2)&gt;5,"Fin de semana","No laborable"))))</f>
        <v/>
      </c>
      <c r="R604" s="73" t="n"/>
      <c r="S604" s="72" t="n"/>
      <c r="T604" s="72" t="n"/>
      <c r="U604" s="74" t="n"/>
      <c r="V604" s="79" t="str">
        <f>IF(AND(D604="proMX",OR(R604="Submitted",R604="Recall Requested"),ISNUMBER(S604)),CFG_TODAY-INT(S604),"")</f>
        <v/>
      </c>
      <c r="W604" s="78" t="str">
        <f>IF(BD604=0,"",IF(BA604&gt;0,"⚠ Se superpone con un registro de la otra empresa",IF(D604="Malcolm",IF(COUNTA(R604,S604,T604)&gt;0,"Estado/fechas proMX se ignoran en Malcolm",""),IF(BF604="Cancelled","Cancelado: excluido de totales",IF(R604="","Sin estado: se trata como Draft",IF(BF604="Submitted",IF(ISNUMBER(V604),IF(V604&gt;CFG_MAXD,"⚠ "&amp;V604&amp;" días en Submitted (máx. "&amp;CFG_MAXD&amp;")",""),"Falta fecha de envío"),IF(BF604="Returned","⚠ Devuelto: corregir y reenviar",IF(BF604="Recall Requested","Retirada solicitada: pendiente",IF(AND(BF604="Approved",NOT(ISNUMBER(T604))),"Falta fecha de aprobación",IF(AND(ISNUMBER(S604),ISNUMBER(T604),T604&lt;S604),"Aprobación anterior al envío","")))))))))</f>
        <v/>
      </c>
      <c r="Y604" s="80">
        <f>IF(COUNTA(B604,D604,E604,F604,G604,H604,I604,J604,R604,S604,T604)&gt;0,1,0)</f>
        <v>0</v>
      </c>
      <c r="Z604" s="80" t="str">
        <f>IF(AND(ISNUMBER(H604),H604&gt;=0,H604&lt;1),ROUND(H604*1440,0),"")</f>
        <v/>
      </c>
      <c r="AA604" s="80" t="str">
        <f>IF(AND(ISNUMBER(I604),I604&gt;=0,I604&lt;1),ROUND(I604*1440,0),"")</f>
        <v/>
      </c>
      <c r="AB604" s="80">
        <f>IF(AND(ISNUMBER(B604),D604&lt;&gt;"",ISNUMBER(Z604),ISNUMBER(AA604)),IF(Z604=AA604,0,1),0)</f>
        <v>0</v>
      </c>
      <c r="AC604" s="80">
        <f>IF(AB604=1,IF(AA604&lt;Z604,1,0),0)</f>
        <v>0</v>
      </c>
      <c r="AD604" s="80">
        <f>IF(AB604=1,IF(AC604=1,1440-Z604+AA604,AA604-Z604),0)</f>
        <v>0</v>
      </c>
      <c r="AE604" s="80">
        <f>IF(J604="",0,IF(ISNUMBER(J604),J604,-1))</f>
        <v>0</v>
      </c>
      <c r="AF604" s="80">
        <f>MIN(MAX(0,AE604),AD604)</f>
        <v>0</v>
      </c>
      <c r="AG604" s="80">
        <f>MAX(0,AD604-MAX(0,AE604))</f>
        <v>0</v>
      </c>
      <c r="AH604" s="80">
        <f>IF(ISNUMBER(B604),IF(AND(INDEX(CFG_WDAYS,WEEKDAY(INT(B604),2))="Sí",IF(D604="proMX",COUNTIFS(FER_F,INT(B604),FER_NLP,"Sí"),COUNTIFS(FER_F,INT(B604),FER_NLM,"Sí"))=0),1,0),0)</f>
        <v>0</v>
      </c>
      <c r="AI604" s="80">
        <f>IF(AC604=1,IF(AND(INDEX(CFG_WDAYS,WEEKDAY(INT(B604)+1,2))="Sí",IF(D604="proMX",COUNTIFS(FER_F,INT(B604)+1,FER_NLP,"Sí"),COUNTIFS(FER_F,INT(B604)+1,FER_NLM,"Sí"))=0),1,0),0)</f>
        <v>0</v>
      </c>
      <c r="AJ604" s="80">
        <f>IF(AC604=1,1440-Z604,AD604)</f>
        <v>0</v>
      </c>
      <c r="AK604" s="80">
        <f>IF(AND(AB604=1,AH604=1),MAX(0,MIN(IF(AC604=1,1440,AA604),CFG_WEM)-MAX(Z604,CFG_WSM)),0)</f>
        <v>0</v>
      </c>
      <c r="AL604" s="80">
        <f>IF(AND(AC604=1,AI604=1),MAX(0,MIN(AA604,CFG_WEM)-CFG_WSM),0)</f>
        <v>0</v>
      </c>
      <c r="AM604" s="80">
        <f>AK604+AL604</f>
        <v>0</v>
      </c>
      <c r="AN604" s="80">
        <f>IF(CFG_BRK="Proporcional",IF(AD604=0,0,AF604*AM604/AD604),IF(CFG_BRK="Extras primero",MIN(AM604,MAX(0,AF604-(AD604-AM604))),MIN(AF604,AM604)))</f>
        <v>0</v>
      </c>
      <c r="AO604" s="80">
        <f>AF604-AN604</f>
        <v>0</v>
      </c>
      <c r="AP604" s="80">
        <f>AM604-AN604</f>
        <v>0</v>
      </c>
      <c r="AQ604" s="80">
        <f>AD604-AM604-AO604</f>
        <v>0</v>
      </c>
      <c r="AR604" s="80">
        <f>IF(AM604=0,0,AK604-AN604*AK604/AM604)</f>
        <v>0</v>
      </c>
      <c r="AS604" s="80">
        <f>IF(AD604-AM604=0,0,(AJ604-AK604)-AO604*(AJ604-AK604)/(AD604-AM604))</f>
        <v>0</v>
      </c>
      <c r="AT604" s="80" t="str">
        <f>IF(AC604=1,INT(B604)+1,"")</f>
        <v/>
      </c>
      <c r="AU604" s="80">
        <f>IF(AND(D604="proMX",R604="Cancelled"),0,1)</f>
        <v>1</v>
      </c>
      <c r="AV604" s="80">
        <f>IF(AND(AB604=1,AU604=1),IF(COUNTIFS($D$5:D603,D604,$B$5:B603,B604,$Z$5:Z603,Z604,$AA$5:AA603,AA604,$F$5:F603,F604&amp;"",$AU$5:AU603,1)&gt;0,1,0),0)</f>
        <v>0</v>
      </c>
      <c r="AW604" s="80" t="str">
        <f>IF(AB604=1,INT(B604)*1440+Z604,"")</f>
        <v/>
      </c>
      <c r="AX604" s="80" t="str">
        <f>IF(AB604=1,AW604+AD604,"")</f>
        <v/>
      </c>
      <c r="AY604" s="80">
        <f>IF(AND(AB604=1,AV604=0,AU604=1),1,0)</f>
        <v>0</v>
      </c>
      <c r="AZ604" s="80">
        <f>IF(AY604=1,COUNTIFS(R_Emp,D604,R_SAbs,"&lt;"&amp;AX604,R_EAbs,"&gt;"&amp;AW604,R_OKey,1)-1,0)</f>
        <v>0</v>
      </c>
      <c r="BA604" s="80">
        <f>IF(AY604=1,COUNTIFS(R_Emp,"&lt;&gt;"&amp;D604,R_SAbs,"&lt;"&amp;AX604,R_EAbs,"&gt;"&amp;AW604,R_OKey,1),0)</f>
        <v>0</v>
      </c>
      <c r="BB604" s="80">
        <f>IF(AND(AB604=1,D604="proMX"),IF(AND(MOD(Z604,CFG_BLK)=0,MOD(AA604,CFG_BLK)=0,MOD(AG604,CFG_BLK)=0,AG604&gt;0),1,0),1)</f>
        <v>1</v>
      </c>
      <c r="BC604" s="80" t="str">
        <f>IF(Y604=0,"",IF(NOT(ISNUMBER(B604)),"Falta fecha o fecha inválida",IF(D604="","Falta empresa",IF(AND(D604&lt;&gt;"Malcolm",D604&lt;&gt;"proMX"),"Empresa inválida",IF(OR(INT(B604)&lt;CFG_PSTART,INT(B604)&gt;CFG_PEND),"Fecha fuera del período",IF(OR(NOT(ISNUMBER(Z604)),NOT(ISNUMBER(AA604))),"Falta hora inicio/fin o formato inválido",IF(AB604=0,"Hora inicio = hora fin",IF(AE604&lt;0,"Descanso inválido",IF(AE604&gt;=AD604,"Descanso ≥ duración",IF(AV604=1,"Registro duplicado",IF(AZ604&gt;0,"Se superpone con otro registro "&amp;D604,IF(BB604=0,"inicio, fin y duración neta deben ser múltiplos de "&amp;CFG_BLK&amp;" min",""))))))))))))</f>
        <v/>
      </c>
      <c r="BD604" s="80">
        <f>IF(AND(Y604=1,BC604=""),1,0)</f>
        <v>0</v>
      </c>
      <c r="BE604" s="80">
        <f>IF(AND(BD604=1,AU604=1),1,0)</f>
        <v>0</v>
      </c>
      <c r="BF604" s="80" t="str">
        <f>IF(AND(D604="proMX",BD604=1),IF(R604="","Draft",R604),"")</f>
        <v/>
      </c>
      <c r="BG604" s="80">
        <f>IF(BD604=1,ROUND(AG604/60,6),0)</f>
        <v>0</v>
      </c>
      <c r="BH604" s="80">
        <f>IF(BE604=1,ROUND(AG604/60,6),0)</f>
        <v>0</v>
      </c>
      <c r="BI604" s="80">
        <f>IF(BE604=1,ROUND(AP604/60,6),0)</f>
        <v>0</v>
      </c>
      <c r="BJ604" s="80">
        <f>IF(BE604=1,ROUND(AQ604/60,6),0)</f>
        <v>0</v>
      </c>
      <c r="BK604" s="80">
        <f>IF(BE604=1,ROUND((AR604+AS604)/60,6),0)</f>
        <v>0</v>
      </c>
      <c r="BL604" s="80">
        <f>ROUND(BH604-BK604,6)</f>
        <v>0</v>
      </c>
      <c r="BM604" s="80">
        <f>IF(BE604=1,ROUND(AR604/60,6),0)</f>
        <v>0</v>
      </c>
      <c r="BN604" s="80">
        <f>ROUND(BI604-BM604,6)</f>
        <v>0</v>
      </c>
      <c r="BO604" s="80">
        <f>IF(BE604=1,ROUND(AS604/60,6),0)</f>
        <v>0</v>
      </c>
      <c r="BP604" s="80">
        <f>ROUND(BJ604-BO604,6)</f>
        <v>0</v>
      </c>
      <c r="BQ604" s="80">
        <f>IF(BE604=1,AW604,0)</f>
        <v>0</v>
      </c>
      <c r="BR604" s="80">
        <f>IF(BE604=1,AX604,0)</f>
        <v>0</v>
      </c>
      <c r="BS604" s="80">
        <f>IF(AND(BE604=1,D604="Malcolm",BA604&gt;0),MIN(BH604,SUMPRODUCT((R_Emp="proMX")*(R_EN&gt;0)*((R_EN-(R_EN&gt;BR604)*(R_EN-BR604))&gt;(R_SN+(R_SN&lt;BQ604)*(BQ604-R_SN)))*((R_EN-(R_EN&gt;BR604)*(R_EN-BR604))-(R_SN+(R_SN&lt;BQ604)*(BQ604-R_SN))))/60),0)</f>
        <v>0</v>
      </c>
      <c r="BT604" s="80">
        <f>IF(AND(BE604=1,D604="proMX"),ROUND(BI604*CFG_RATE+BJ604*CFG_OTRATE,6),0)</f>
        <v>0</v>
      </c>
      <c r="BU604" s="80">
        <f>IF(AND(BD604=1,D604="proMX"),ROUND(AG604/CFG_BLK,6),0)</f>
        <v>0</v>
      </c>
      <c r="BV604" s="80" t="str">
        <f>IF(BF604="Approved",IF(ISNUMBER(T604),INT(T604),INT(B604)),"")</f>
        <v/>
      </c>
      <c r="BW604" s="80">
        <f>IF(ISNUMBER(B604),IF(DB_MON="Todos",1,IF(AND(INT(B604)&gt;=DB_MS,INT(B604)&lt;=DB_ME),1,0)),0)</f>
        <v>0</v>
      </c>
      <c r="BX604" s="80">
        <f>IF(DB_PROJ="Todos",1,IF(E604&amp;""=DB_PROJ&amp;"",1,0))</f>
        <v>1</v>
      </c>
      <c r="BY604" s="80">
        <f>BW604*BX604</f>
        <v>0</v>
      </c>
      <c r="BZ604" s="80" t="str">
        <f>IF(Y604=1,F604&amp;IF(AND(F604&amp;""&lt;&gt;"",E604&amp;""&lt;&gt;"")," · ","")&amp;E604,"")</f>
        <v/>
      </c>
      <c r="CA604" s="80" t="str">
        <f>IF(AND(BD604=1,E604&amp;""&lt;&gt;""),IF(COUNTIFS($E$5:E603,E604,$BD$5:BD603,1)=0,MAX($CA$5:CA603)+1,""),"")</f>
        <v/>
      </c>
      <c r="CB604" s="80" t="str">
        <f>IF(AND(BE604=1,D604="Malcolm",E604&amp;""&lt;&gt;""),IF(COUNTIFS($D$5:D603,"Malcolm",$E$5:E603,E604,$BE$5:BE603,1)=0,MAX($CB$5:CB603)+1,""),"")</f>
        <v/>
      </c>
      <c r="CC604" s="80" t="str">
        <f>IF(AND(BD604=1,D604="proMX",E604&amp;""&lt;&gt;""),IF(COUNTIFS($D$5:D603,"proMX",$E$5:E603,E604,$BD$5:BD603,1)=0,MAX($CC$5:CC603)+1,""),"")</f>
        <v/>
      </c>
      <c r="CD604" s="80" t="str">
        <f>IF(AND(BE604=1,D604="Malcolm",F604&amp;""&lt;&gt;""),IF(COUNTIFS($D$5:D603,"Malcolm",$F$5:F603,F604,$BE$5:BE603,1)=0,MAX($CD$5:CD603)+1,""),"")</f>
        <v/>
      </c>
      <c r="CE604" s="80" t="str">
        <f>IF(AND(BD604=1,D604="proMX",F604&amp;""&lt;&gt;""),IF(COUNTIFS($D$5:D603,"proMX",$F$5:F603,F604,$BD$5:BD603,1)=0,MAX($CE$5:CE603)+1,""),"")</f>
        <v/>
      </c>
      <c r="CF604" s="80" t="str">
        <f>IF(AND(D604="proMX",BD604=1),IF(OR(BF604="Draft",BF604="Submitted",BF604="Returned",BF604="Recall Requested"),MAX($CF$5:CF603)+1,""),"")</f>
        <v/>
      </c>
      <c r="CG604" s="80">
        <f>IF(BD604=0,0,IF(D604="Malcolm",1,MATCH(BF604,{"Draft","Submitted","Approved","Returned","Recall Requested","Cancelled"},0)+1))</f>
        <v>0</v>
      </c>
      <c r="CH604" s="80">
        <f>IF(AND(BF604="Submitted",ISNUMBER(V604)),IF(V604&gt;CFG_MAXD,1,0),0)</f>
        <v>0</v>
      </c>
    </row>
    <row r="605">
      <c r="A605" s="71" t="str">
        <f>IF(Y605=1,ROW()-5,"")</f>
        <v/>
      </c>
      <c r="B605" s="72" t="n"/>
      <c r="C605" s="71" t="str">
        <f>IF(ISNUMBER(B605),CHOOSE(WEEKDAY(B605,2),"Lun","Mar","Mié","Jue","Vie","Sáb","Dom"),"")</f>
        <v/>
      </c>
      <c r="D605" s="73" t="n"/>
      <c r="E605" s="74" t="n"/>
      <c r="F605" s="74" t="n"/>
      <c r="G605" s="74" t="n"/>
      <c r="H605" s="75" t="n"/>
      <c r="I605" s="75" t="n"/>
      <c r="J605" s="76" t="n"/>
      <c r="K605" s="77" t="str">
        <f>IF(AB605=1,ROUND(AG605/60,4),"")</f>
        <v/>
      </c>
      <c r="L605" s="77" t="str">
        <f>IF(BD605=1,ROUND(AP605/60,4),"")</f>
        <v/>
      </c>
      <c r="M605" s="77" t="str">
        <f>IF(BD605=1,ROUND(AQ605/60,4),"")</f>
        <v/>
      </c>
      <c r="N605" s="71" t="str">
        <f>IF(AND(D605="proMX",AB605=1),ROUND(AG605/CFG_BLK,2),"")</f>
        <v/>
      </c>
      <c r="O605" s="77" t="str">
        <f>IF(D605="proMX",IF(BD605=1,ROUND(AG605/60,4),0),"")</f>
        <v/>
      </c>
      <c r="P605" s="78" t="str">
        <f>IF(Y605=0,"",IF(BD605=1,"OK",IF(D605="proMX","Revisar bloques: ","Revisar: ")&amp;BC605))</f>
        <v/>
      </c>
      <c r="Q605" s="78" t="str">
        <f>IF(NOT(ISNUMBER(B605)),"",IF(COUNTIFS(FER_F,INT(B605))&gt;0,"Feriado"&amp;IF(AH605=1," (laborable)"," (no laborable)"),IF(AH605=1,"Laborable",IF(WEEKDAY(B605,2)&gt;5,"Fin de semana","No laborable"))))</f>
        <v/>
      </c>
      <c r="R605" s="73" t="n"/>
      <c r="S605" s="72" t="n"/>
      <c r="T605" s="72" t="n"/>
      <c r="U605" s="74" t="n"/>
      <c r="V605" s="79" t="str">
        <f>IF(AND(D605="proMX",OR(R605="Submitted",R605="Recall Requested"),ISNUMBER(S605)),CFG_TODAY-INT(S605),"")</f>
        <v/>
      </c>
      <c r="W605" s="78" t="str">
        <f>IF(BD605=0,"",IF(BA605&gt;0,"⚠ Se superpone con un registro de la otra empresa",IF(D605="Malcolm",IF(COUNTA(R605,S605,T605)&gt;0,"Estado/fechas proMX se ignoran en Malcolm",""),IF(BF605="Cancelled","Cancelado: excluido de totales",IF(R605="","Sin estado: se trata como Draft",IF(BF605="Submitted",IF(ISNUMBER(V605),IF(V605&gt;CFG_MAXD,"⚠ "&amp;V605&amp;" días en Submitted (máx. "&amp;CFG_MAXD&amp;")",""),"Falta fecha de envío"),IF(BF605="Returned","⚠ Devuelto: corregir y reenviar",IF(BF605="Recall Requested","Retirada solicitada: pendiente",IF(AND(BF605="Approved",NOT(ISNUMBER(T605))),"Falta fecha de aprobación",IF(AND(ISNUMBER(S605),ISNUMBER(T605),T605&lt;S605),"Aprobación anterior al envío","")))))))))</f>
        <v/>
      </c>
      <c r="Y605" s="80">
        <f>IF(COUNTA(B605,D605,E605,F605,G605,H605,I605,J605,R605,S605,T605)&gt;0,1,0)</f>
        <v>0</v>
      </c>
      <c r="Z605" s="80" t="str">
        <f>IF(AND(ISNUMBER(H605),H605&gt;=0,H605&lt;1),ROUND(H605*1440,0),"")</f>
        <v/>
      </c>
      <c r="AA605" s="80" t="str">
        <f>IF(AND(ISNUMBER(I605),I605&gt;=0,I605&lt;1),ROUND(I605*1440,0),"")</f>
        <v/>
      </c>
      <c r="AB605" s="80">
        <f>IF(AND(ISNUMBER(B605),D605&lt;&gt;"",ISNUMBER(Z605),ISNUMBER(AA605)),IF(Z605=AA605,0,1),0)</f>
        <v>0</v>
      </c>
      <c r="AC605" s="80">
        <f>IF(AB605=1,IF(AA605&lt;Z605,1,0),0)</f>
        <v>0</v>
      </c>
      <c r="AD605" s="80">
        <f>IF(AB605=1,IF(AC605=1,1440-Z605+AA605,AA605-Z605),0)</f>
        <v>0</v>
      </c>
      <c r="AE605" s="80">
        <f>IF(J605="",0,IF(ISNUMBER(J605),J605,-1))</f>
        <v>0</v>
      </c>
      <c r="AF605" s="80">
        <f>MIN(MAX(0,AE605),AD605)</f>
        <v>0</v>
      </c>
      <c r="AG605" s="80">
        <f>MAX(0,AD605-MAX(0,AE605))</f>
        <v>0</v>
      </c>
      <c r="AH605" s="80">
        <f>IF(ISNUMBER(B605),IF(AND(INDEX(CFG_WDAYS,WEEKDAY(INT(B605),2))="Sí",IF(D605="proMX",COUNTIFS(FER_F,INT(B605),FER_NLP,"Sí"),COUNTIFS(FER_F,INT(B605),FER_NLM,"Sí"))=0),1,0),0)</f>
        <v>0</v>
      </c>
      <c r="AI605" s="80">
        <f>IF(AC605=1,IF(AND(INDEX(CFG_WDAYS,WEEKDAY(INT(B605)+1,2))="Sí",IF(D605="proMX",COUNTIFS(FER_F,INT(B605)+1,FER_NLP,"Sí"),COUNTIFS(FER_F,INT(B605)+1,FER_NLM,"Sí"))=0),1,0),0)</f>
        <v>0</v>
      </c>
      <c r="AJ605" s="80">
        <f>IF(AC605=1,1440-Z605,AD605)</f>
        <v>0</v>
      </c>
      <c r="AK605" s="80">
        <f>IF(AND(AB605=1,AH605=1),MAX(0,MIN(IF(AC605=1,1440,AA605),CFG_WEM)-MAX(Z605,CFG_WSM)),0)</f>
        <v>0</v>
      </c>
      <c r="AL605" s="80">
        <f>IF(AND(AC605=1,AI605=1),MAX(0,MIN(AA605,CFG_WEM)-CFG_WSM),0)</f>
        <v>0</v>
      </c>
      <c r="AM605" s="80">
        <f>AK605+AL605</f>
        <v>0</v>
      </c>
      <c r="AN605" s="80">
        <f>IF(CFG_BRK="Proporcional",IF(AD605=0,0,AF605*AM605/AD605),IF(CFG_BRK="Extras primero",MIN(AM605,MAX(0,AF605-(AD605-AM605))),MIN(AF605,AM605)))</f>
        <v>0</v>
      </c>
      <c r="AO605" s="80">
        <f>AF605-AN605</f>
        <v>0</v>
      </c>
      <c r="AP605" s="80">
        <f>AM605-AN605</f>
        <v>0</v>
      </c>
      <c r="AQ605" s="80">
        <f>AD605-AM605-AO605</f>
        <v>0</v>
      </c>
      <c r="AR605" s="80">
        <f>IF(AM605=0,0,AK605-AN605*AK605/AM605)</f>
        <v>0</v>
      </c>
      <c r="AS605" s="80">
        <f>IF(AD605-AM605=0,0,(AJ605-AK605)-AO605*(AJ605-AK605)/(AD605-AM605))</f>
        <v>0</v>
      </c>
      <c r="AT605" s="80" t="str">
        <f>IF(AC605=1,INT(B605)+1,"")</f>
        <v/>
      </c>
      <c r="AU605" s="80">
        <f>IF(AND(D605="proMX",R605="Cancelled"),0,1)</f>
        <v>1</v>
      </c>
      <c r="AV605" s="80">
        <f>IF(AND(AB605=1,AU605=1),IF(COUNTIFS($D$5:D604,D605,$B$5:B604,B605,$Z$5:Z604,Z605,$AA$5:AA604,AA605,$F$5:F604,F605&amp;"",$AU$5:AU604,1)&gt;0,1,0),0)</f>
        <v>0</v>
      </c>
      <c r="AW605" s="80" t="str">
        <f>IF(AB605=1,INT(B605)*1440+Z605,"")</f>
        <v/>
      </c>
      <c r="AX605" s="80" t="str">
        <f>IF(AB605=1,AW605+AD605,"")</f>
        <v/>
      </c>
      <c r="AY605" s="80">
        <f>IF(AND(AB605=1,AV605=0,AU605=1),1,0)</f>
        <v>0</v>
      </c>
      <c r="AZ605" s="80">
        <f>IF(AY605=1,COUNTIFS(R_Emp,D605,R_SAbs,"&lt;"&amp;AX605,R_EAbs,"&gt;"&amp;AW605,R_OKey,1)-1,0)</f>
        <v>0</v>
      </c>
      <c r="BA605" s="80">
        <f>IF(AY605=1,COUNTIFS(R_Emp,"&lt;&gt;"&amp;D605,R_SAbs,"&lt;"&amp;AX605,R_EAbs,"&gt;"&amp;AW605,R_OKey,1),0)</f>
        <v>0</v>
      </c>
      <c r="BB605" s="80">
        <f>IF(AND(AB605=1,D605="proMX"),IF(AND(MOD(Z605,CFG_BLK)=0,MOD(AA605,CFG_BLK)=0,MOD(AG605,CFG_BLK)=0,AG605&gt;0),1,0),1)</f>
        <v>1</v>
      </c>
      <c r="BC605" s="80" t="str">
        <f>IF(Y605=0,"",IF(NOT(ISNUMBER(B605)),"Falta fecha o fecha inválida",IF(D605="","Falta empresa",IF(AND(D605&lt;&gt;"Malcolm",D605&lt;&gt;"proMX"),"Empresa inválida",IF(OR(INT(B605)&lt;CFG_PSTART,INT(B605)&gt;CFG_PEND),"Fecha fuera del período",IF(OR(NOT(ISNUMBER(Z605)),NOT(ISNUMBER(AA605))),"Falta hora inicio/fin o formato inválido",IF(AB605=0,"Hora inicio = hora fin",IF(AE605&lt;0,"Descanso inválido",IF(AE605&gt;=AD605,"Descanso ≥ duración",IF(AV605=1,"Registro duplicado",IF(AZ605&gt;0,"Se superpone con otro registro "&amp;D605,IF(BB605=0,"inicio, fin y duración neta deben ser múltiplos de "&amp;CFG_BLK&amp;" min",""))))))))))))</f>
        <v/>
      </c>
      <c r="BD605" s="80">
        <f>IF(AND(Y605=1,BC605=""),1,0)</f>
        <v>0</v>
      </c>
      <c r="BE605" s="80">
        <f>IF(AND(BD605=1,AU605=1),1,0)</f>
        <v>0</v>
      </c>
      <c r="BF605" s="80" t="str">
        <f>IF(AND(D605="proMX",BD605=1),IF(R605="","Draft",R605),"")</f>
        <v/>
      </c>
      <c r="BG605" s="80">
        <f>IF(BD605=1,ROUND(AG605/60,6),0)</f>
        <v>0</v>
      </c>
      <c r="BH605" s="80">
        <f>IF(BE605=1,ROUND(AG605/60,6),0)</f>
        <v>0</v>
      </c>
      <c r="BI605" s="80">
        <f>IF(BE605=1,ROUND(AP605/60,6),0)</f>
        <v>0</v>
      </c>
      <c r="BJ605" s="80">
        <f>IF(BE605=1,ROUND(AQ605/60,6),0)</f>
        <v>0</v>
      </c>
      <c r="BK605" s="80">
        <f>IF(BE605=1,ROUND((AR605+AS605)/60,6),0)</f>
        <v>0</v>
      </c>
      <c r="BL605" s="80">
        <f>ROUND(BH605-BK605,6)</f>
        <v>0</v>
      </c>
      <c r="BM605" s="80">
        <f>IF(BE605=1,ROUND(AR605/60,6),0)</f>
        <v>0</v>
      </c>
      <c r="BN605" s="80">
        <f>ROUND(BI605-BM605,6)</f>
        <v>0</v>
      </c>
      <c r="BO605" s="80">
        <f>IF(BE605=1,ROUND(AS605/60,6),0)</f>
        <v>0</v>
      </c>
      <c r="BP605" s="80">
        <f>ROUND(BJ605-BO605,6)</f>
        <v>0</v>
      </c>
      <c r="BQ605" s="80">
        <f>IF(BE605=1,AW605,0)</f>
        <v>0</v>
      </c>
      <c r="BR605" s="80">
        <f>IF(BE605=1,AX605,0)</f>
        <v>0</v>
      </c>
      <c r="BS605" s="80">
        <f>IF(AND(BE605=1,D605="Malcolm",BA605&gt;0),MIN(BH605,SUMPRODUCT((R_Emp="proMX")*(R_EN&gt;0)*((R_EN-(R_EN&gt;BR605)*(R_EN-BR605))&gt;(R_SN+(R_SN&lt;BQ605)*(BQ605-R_SN)))*((R_EN-(R_EN&gt;BR605)*(R_EN-BR605))-(R_SN+(R_SN&lt;BQ605)*(BQ605-R_SN))))/60),0)</f>
        <v>0</v>
      </c>
      <c r="BT605" s="80">
        <f>IF(AND(BE605=1,D605="proMX"),ROUND(BI605*CFG_RATE+BJ605*CFG_OTRATE,6),0)</f>
        <v>0</v>
      </c>
      <c r="BU605" s="80">
        <f>IF(AND(BD605=1,D605="proMX"),ROUND(AG605/CFG_BLK,6),0)</f>
        <v>0</v>
      </c>
      <c r="BV605" s="80" t="str">
        <f>IF(BF605="Approved",IF(ISNUMBER(T605),INT(T605),INT(B605)),"")</f>
        <v/>
      </c>
      <c r="BW605" s="80">
        <f>IF(ISNUMBER(B605),IF(DB_MON="Todos",1,IF(AND(INT(B605)&gt;=DB_MS,INT(B605)&lt;=DB_ME),1,0)),0)</f>
        <v>0</v>
      </c>
      <c r="BX605" s="80">
        <f>IF(DB_PROJ="Todos",1,IF(E605&amp;""=DB_PROJ&amp;"",1,0))</f>
        <v>1</v>
      </c>
      <c r="BY605" s="80">
        <f>BW605*BX605</f>
        <v>0</v>
      </c>
      <c r="BZ605" s="80" t="str">
        <f>IF(Y605=1,F605&amp;IF(AND(F605&amp;""&lt;&gt;"",E605&amp;""&lt;&gt;"")," · ","")&amp;E605,"")</f>
        <v/>
      </c>
      <c r="CA605" s="80" t="str">
        <f>IF(AND(BD605=1,E605&amp;""&lt;&gt;""),IF(COUNTIFS($E$5:E604,E605,$BD$5:BD604,1)=0,MAX($CA$5:CA604)+1,""),"")</f>
        <v/>
      </c>
      <c r="CB605" s="80" t="str">
        <f>IF(AND(BE605=1,D605="Malcolm",E605&amp;""&lt;&gt;""),IF(COUNTIFS($D$5:D604,"Malcolm",$E$5:E604,E605,$BE$5:BE604,1)=0,MAX($CB$5:CB604)+1,""),"")</f>
        <v/>
      </c>
      <c r="CC605" s="80" t="str">
        <f>IF(AND(BD605=1,D605="proMX",E605&amp;""&lt;&gt;""),IF(COUNTIFS($D$5:D604,"proMX",$E$5:E604,E605,$BD$5:BD604,1)=0,MAX($CC$5:CC604)+1,""),"")</f>
        <v/>
      </c>
      <c r="CD605" s="80" t="str">
        <f>IF(AND(BE605=1,D605="Malcolm",F605&amp;""&lt;&gt;""),IF(COUNTIFS($D$5:D604,"Malcolm",$F$5:F604,F605,$BE$5:BE604,1)=0,MAX($CD$5:CD604)+1,""),"")</f>
        <v/>
      </c>
      <c r="CE605" s="80" t="str">
        <f>IF(AND(BD605=1,D605="proMX",F605&amp;""&lt;&gt;""),IF(COUNTIFS($D$5:D604,"proMX",$F$5:F604,F605,$BD$5:BD604,1)=0,MAX($CE$5:CE604)+1,""),"")</f>
        <v/>
      </c>
      <c r="CF605" s="80" t="str">
        <f>IF(AND(D605="proMX",BD605=1),IF(OR(BF605="Draft",BF605="Submitted",BF605="Returned",BF605="Recall Requested"),MAX($CF$5:CF604)+1,""),"")</f>
        <v/>
      </c>
      <c r="CG605" s="80">
        <f>IF(BD605=0,0,IF(D605="Malcolm",1,MATCH(BF605,{"Draft","Submitted","Approved","Returned","Recall Requested","Cancelled"},0)+1))</f>
        <v>0</v>
      </c>
      <c r="CH605" s="80">
        <f>IF(AND(BF605="Submitted",ISNUMBER(V605)),IF(V605&gt;CFG_MAXD,1,0),0)</f>
        <v>0</v>
      </c>
    </row>
    <row r="606">
      <c r="A606" s="71" t="str">
        <f>IF(Y606=1,ROW()-5,"")</f>
        <v/>
      </c>
      <c r="B606" s="72" t="n"/>
      <c r="C606" s="71" t="str">
        <f>IF(ISNUMBER(B606),CHOOSE(WEEKDAY(B606,2),"Lun","Mar","Mié","Jue","Vie","Sáb","Dom"),"")</f>
        <v/>
      </c>
      <c r="D606" s="73" t="n"/>
      <c r="E606" s="74" t="n"/>
      <c r="F606" s="74" t="n"/>
      <c r="G606" s="74" t="n"/>
      <c r="H606" s="75" t="n"/>
      <c r="I606" s="75" t="n"/>
      <c r="J606" s="76" t="n"/>
      <c r="K606" s="77" t="str">
        <f>IF(AB606=1,ROUND(AG606/60,4),"")</f>
        <v/>
      </c>
      <c r="L606" s="77" t="str">
        <f>IF(BD606=1,ROUND(AP606/60,4),"")</f>
        <v/>
      </c>
      <c r="M606" s="77" t="str">
        <f>IF(BD606=1,ROUND(AQ606/60,4),"")</f>
        <v/>
      </c>
      <c r="N606" s="71" t="str">
        <f>IF(AND(D606="proMX",AB606=1),ROUND(AG606/CFG_BLK,2),"")</f>
        <v/>
      </c>
      <c r="O606" s="77" t="str">
        <f>IF(D606="proMX",IF(BD606=1,ROUND(AG606/60,4),0),"")</f>
        <v/>
      </c>
      <c r="P606" s="78" t="str">
        <f>IF(Y606=0,"",IF(BD606=1,"OK",IF(D606="proMX","Revisar bloques: ","Revisar: ")&amp;BC606))</f>
        <v/>
      </c>
      <c r="Q606" s="78" t="str">
        <f>IF(NOT(ISNUMBER(B606)),"",IF(COUNTIFS(FER_F,INT(B606))&gt;0,"Feriado"&amp;IF(AH606=1," (laborable)"," (no laborable)"),IF(AH606=1,"Laborable",IF(WEEKDAY(B606,2)&gt;5,"Fin de semana","No laborable"))))</f>
        <v/>
      </c>
      <c r="R606" s="73" t="n"/>
      <c r="S606" s="72" t="n"/>
      <c r="T606" s="72" t="n"/>
      <c r="U606" s="74" t="n"/>
      <c r="V606" s="79" t="str">
        <f>IF(AND(D606="proMX",OR(R606="Submitted",R606="Recall Requested"),ISNUMBER(S606)),CFG_TODAY-INT(S606),"")</f>
        <v/>
      </c>
      <c r="W606" s="78" t="str">
        <f>IF(BD606=0,"",IF(BA606&gt;0,"⚠ Se superpone con un registro de la otra empresa",IF(D606="Malcolm",IF(COUNTA(R606,S606,T606)&gt;0,"Estado/fechas proMX se ignoran en Malcolm",""),IF(BF606="Cancelled","Cancelado: excluido de totales",IF(R606="","Sin estado: se trata como Draft",IF(BF606="Submitted",IF(ISNUMBER(V606),IF(V606&gt;CFG_MAXD,"⚠ "&amp;V606&amp;" días en Submitted (máx. "&amp;CFG_MAXD&amp;")",""),"Falta fecha de envío"),IF(BF606="Returned","⚠ Devuelto: corregir y reenviar",IF(BF606="Recall Requested","Retirada solicitada: pendiente",IF(AND(BF606="Approved",NOT(ISNUMBER(T606))),"Falta fecha de aprobación",IF(AND(ISNUMBER(S606),ISNUMBER(T606),T606&lt;S606),"Aprobación anterior al envío","")))))))))</f>
        <v/>
      </c>
      <c r="Y606" s="80">
        <f>IF(COUNTA(B606,D606,E606,F606,G606,H606,I606,J606,R606,S606,T606)&gt;0,1,0)</f>
        <v>0</v>
      </c>
      <c r="Z606" s="80" t="str">
        <f>IF(AND(ISNUMBER(H606),H606&gt;=0,H606&lt;1),ROUND(H606*1440,0),"")</f>
        <v/>
      </c>
      <c r="AA606" s="80" t="str">
        <f>IF(AND(ISNUMBER(I606),I606&gt;=0,I606&lt;1),ROUND(I606*1440,0),"")</f>
        <v/>
      </c>
      <c r="AB606" s="80">
        <f>IF(AND(ISNUMBER(B606),D606&lt;&gt;"",ISNUMBER(Z606),ISNUMBER(AA606)),IF(Z606=AA606,0,1),0)</f>
        <v>0</v>
      </c>
      <c r="AC606" s="80">
        <f>IF(AB606=1,IF(AA606&lt;Z606,1,0),0)</f>
        <v>0</v>
      </c>
      <c r="AD606" s="80">
        <f>IF(AB606=1,IF(AC606=1,1440-Z606+AA606,AA606-Z606),0)</f>
        <v>0</v>
      </c>
      <c r="AE606" s="80">
        <f>IF(J606="",0,IF(ISNUMBER(J606),J606,-1))</f>
        <v>0</v>
      </c>
      <c r="AF606" s="80">
        <f>MIN(MAX(0,AE606),AD606)</f>
        <v>0</v>
      </c>
      <c r="AG606" s="80">
        <f>MAX(0,AD606-MAX(0,AE606))</f>
        <v>0</v>
      </c>
      <c r="AH606" s="80">
        <f>IF(ISNUMBER(B606),IF(AND(INDEX(CFG_WDAYS,WEEKDAY(INT(B606),2))="Sí",IF(D606="proMX",COUNTIFS(FER_F,INT(B606),FER_NLP,"Sí"),COUNTIFS(FER_F,INT(B606),FER_NLM,"Sí"))=0),1,0),0)</f>
        <v>0</v>
      </c>
      <c r="AI606" s="80">
        <f>IF(AC606=1,IF(AND(INDEX(CFG_WDAYS,WEEKDAY(INT(B606)+1,2))="Sí",IF(D606="proMX",COUNTIFS(FER_F,INT(B606)+1,FER_NLP,"Sí"),COUNTIFS(FER_F,INT(B606)+1,FER_NLM,"Sí"))=0),1,0),0)</f>
        <v>0</v>
      </c>
      <c r="AJ606" s="80">
        <f>IF(AC606=1,1440-Z606,AD606)</f>
        <v>0</v>
      </c>
      <c r="AK606" s="80">
        <f>IF(AND(AB606=1,AH606=1),MAX(0,MIN(IF(AC606=1,1440,AA606),CFG_WEM)-MAX(Z606,CFG_WSM)),0)</f>
        <v>0</v>
      </c>
      <c r="AL606" s="80">
        <f>IF(AND(AC606=1,AI606=1),MAX(0,MIN(AA606,CFG_WEM)-CFG_WSM),0)</f>
        <v>0</v>
      </c>
      <c r="AM606" s="80">
        <f>AK606+AL606</f>
        <v>0</v>
      </c>
      <c r="AN606" s="80">
        <f>IF(CFG_BRK="Proporcional",IF(AD606=0,0,AF606*AM606/AD606),IF(CFG_BRK="Extras primero",MIN(AM606,MAX(0,AF606-(AD606-AM606))),MIN(AF606,AM606)))</f>
        <v>0</v>
      </c>
      <c r="AO606" s="80">
        <f>AF606-AN606</f>
        <v>0</v>
      </c>
      <c r="AP606" s="80">
        <f>AM606-AN606</f>
        <v>0</v>
      </c>
      <c r="AQ606" s="80">
        <f>AD606-AM606-AO606</f>
        <v>0</v>
      </c>
      <c r="AR606" s="80">
        <f>IF(AM606=0,0,AK606-AN606*AK606/AM606)</f>
        <v>0</v>
      </c>
      <c r="AS606" s="80">
        <f>IF(AD606-AM606=0,0,(AJ606-AK606)-AO606*(AJ606-AK606)/(AD606-AM606))</f>
        <v>0</v>
      </c>
      <c r="AT606" s="80" t="str">
        <f>IF(AC606=1,INT(B606)+1,"")</f>
        <v/>
      </c>
      <c r="AU606" s="80">
        <f>IF(AND(D606="proMX",R606="Cancelled"),0,1)</f>
        <v>1</v>
      </c>
      <c r="AV606" s="80">
        <f>IF(AND(AB606=1,AU606=1),IF(COUNTIFS($D$5:D605,D606,$B$5:B605,B606,$Z$5:Z605,Z606,$AA$5:AA605,AA606,$F$5:F605,F606&amp;"",$AU$5:AU605,1)&gt;0,1,0),0)</f>
        <v>0</v>
      </c>
      <c r="AW606" s="80" t="str">
        <f>IF(AB606=1,INT(B606)*1440+Z606,"")</f>
        <v/>
      </c>
      <c r="AX606" s="80" t="str">
        <f>IF(AB606=1,AW606+AD606,"")</f>
        <v/>
      </c>
      <c r="AY606" s="80">
        <f>IF(AND(AB606=1,AV606=0,AU606=1),1,0)</f>
        <v>0</v>
      </c>
      <c r="AZ606" s="80">
        <f>IF(AY606=1,COUNTIFS(R_Emp,D606,R_SAbs,"&lt;"&amp;AX606,R_EAbs,"&gt;"&amp;AW606,R_OKey,1)-1,0)</f>
        <v>0</v>
      </c>
      <c r="BA606" s="80">
        <f>IF(AY606=1,COUNTIFS(R_Emp,"&lt;&gt;"&amp;D606,R_SAbs,"&lt;"&amp;AX606,R_EAbs,"&gt;"&amp;AW606,R_OKey,1),0)</f>
        <v>0</v>
      </c>
      <c r="BB606" s="80">
        <f>IF(AND(AB606=1,D606="proMX"),IF(AND(MOD(Z606,CFG_BLK)=0,MOD(AA606,CFG_BLK)=0,MOD(AG606,CFG_BLK)=0,AG606&gt;0),1,0),1)</f>
        <v>1</v>
      </c>
      <c r="BC606" s="80" t="str">
        <f>IF(Y606=0,"",IF(NOT(ISNUMBER(B606)),"Falta fecha o fecha inválida",IF(D606="","Falta empresa",IF(AND(D606&lt;&gt;"Malcolm",D606&lt;&gt;"proMX"),"Empresa inválida",IF(OR(INT(B606)&lt;CFG_PSTART,INT(B606)&gt;CFG_PEND),"Fecha fuera del período",IF(OR(NOT(ISNUMBER(Z606)),NOT(ISNUMBER(AA606))),"Falta hora inicio/fin o formato inválido",IF(AB606=0,"Hora inicio = hora fin",IF(AE606&lt;0,"Descanso inválido",IF(AE606&gt;=AD606,"Descanso ≥ duración",IF(AV606=1,"Registro duplicado",IF(AZ606&gt;0,"Se superpone con otro registro "&amp;D606,IF(BB606=0,"inicio, fin y duración neta deben ser múltiplos de "&amp;CFG_BLK&amp;" min",""))))))))))))</f>
        <v/>
      </c>
      <c r="BD606" s="80">
        <f>IF(AND(Y606=1,BC606=""),1,0)</f>
        <v>0</v>
      </c>
      <c r="BE606" s="80">
        <f>IF(AND(BD606=1,AU606=1),1,0)</f>
        <v>0</v>
      </c>
      <c r="BF606" s="80" t="str">
        <f>IF(AND(D606="proMX",BD606=1),IF(R606="","Draft",R606),"")</f>
        <v/>
      </c>
      <c r="BG606" s="80">
        <f>IF(BD606=1,ROUND(AG606/60,6),0)</f>
        <v>0</v>
      </c>
      <c r="BH606" s="80">
        <f>IF(BE606=1,ROUND(AG606/60,6),0)</f>
        <v>0</v>
      </c>
      <c r="BI606" s="80">
        <f>IF(BE606=1,ROUND(AP606/60,6),0)</f>
        <v>0</v>
      </c>
      <c r="BJ606" s="80">
        <f>IF(BE606=1,ROUND(AQ606/60,6),0)</f>
        <v>0</v>
      </c>
      <c r="BK606" s="80">
        <f>IF(BE606=1,ROUND((AR606+AS606)/60,6),0)</f>
        <v>0</v>
      </c>
      <c r="BL606" s="80">
        <f>ROUND(BH606-BK606,6)</f>
        <v>0</v>
      </c>
      <c r="BM606" s="80">
        <f>IF(BE606=1,ROUND(AR606/60,6),0)</f>
        <v>0</v>
      </c>
      <c r="BN606" s="80">
        <f>ROUND(BI606-BM606,6)</f>
        <v>0</v>
      </c>
      <c r="BO606" s="80">
        <f>IF(BE606=1,ROUND(AS606/60,6),0)</f>
        <v>0</v>
      </c>
      <c r="BP606" s="80">
        <f>ROUND(BJ606-BO606,6)</f>
        <v>0</v>
      </c>
      <c r="BQ606" s="80">
        <f>IF(BE606=1,AW606,0)</f>
        <v>0</v>
      </c>
      <c r="BR606" s="80">
        <f>IF(BE606=1,AX606,0)</f>
        <v>0</v>
      </c>
      <c r="BS606" s="80">
        <f>IF(AND(BE606=1,D606="Malcolm",BA606&gt;0),MIN(BH606,SUMPRODUCT((R_Emp="proMX")*(R_EN&gt;0)*((R_EN-(R_EN&gt;BR606)*(R_EN-BR606))&gt;(R_SN+(R_SN&lt;BQ606)*(BQ606-R_SN)))*((R_EN-(R_EN&gt;BR606)*(R_EN-BR606))-(R_SN+(R_SN&lt;BQ606)*(BQ606-R_SN))))/60),0)</f>
        <v>0</v>
      </c>
      <c r="BT606" s="80">
        <f>IF(AND(BE606=1,D606="proMX"),ROUND(BI606*CFG_RATE+BJ606*CFG_OTRATE,6),0)</f>
        <v>0</v>
      </c>
      <c r="BU606" s="80">
        <f>IF(AND(BD606=1,D606="proMX"),ROUND(AG606/CFG_BLK,6),0)</f>
        <v>0</v>
      </c>
      <c r="BV606" s="80" t="str">
        <f>IF(BF606="Approved",IF(ISNUMBER(T606),INT(T606),INT(B606)),"")</f>
        <v/>
      </c>
      <c r="BW606" s="80">
        <f>IF(ISNUMBER(B606),IF(DB_MON="Todos",1,IF(AND(INT(B606)&gt;=DB_MS,INT(B606)&lt;=DB_ME),1,0)),0)</f>
        <v>0</v>
      </c>
      <c r="BX606" s="80">
        <f>IF(DB_PROJ="Todos",1,IF(E606&amp;""=DB_PROJ&amp;"",1,0))</f>
        <v>1</v>
      </c>
      <c r="BY606" s="80">
        <f>BW606*BX606</f>
        <v>0</v>
      </c>
      <c r="BZ606" s="80" t="str">
        <f>IF(Y606=1,F606&amp;IF(AND(F606&amp;""&lt;&gt;"",E606&amp;""&lt;&gt;"")," · ","")&amp;E606,"")</f>
        <v/>
      </c>
      <c r="CA606" s="80" t="str">
        <f>IF(AND(BD606=1,E606&amp;""&lt;&gt;""),IF(COUNTIFS($E$5:E605,E606,$BD$5:BD605,1)=0,MAX($CA$5:CA605)+1,""),"")</f>
        <v/>
      </c>
      <c r="CB606" s="80" t="str">
        <f>IF(AND(BE606=1,D606="Malcolm",E606&amp;""&lt;&gt;""),IF(COUNTIFS($D$5:D605,"Malcolm",$E$5:E605,E606,$BE$5:BE605,1)=0,MAX($CB$5:CB605)+1,""),"")</f>
        <v/>
      </c>
      <c r="CC606" s="80" t="str">
        <f>IF(AND(BD606=1,D606="proMX",E606&amp;""&lt;&gt;""),IF(COUNTIFS($D$5:D605,"proMX",$E$5:E605,E606,$BD$5:BD605,1)=0,MAX($CC$5:CC605)+1,""),"")</f>
        <v/>
      </c>
      <c r="CD606" s="80" t="str">
        <f>IF(AND(BE606=1,D606="Malcolm",F606&amp;""&lt;&gt;""),IF(COUNTIFS($D$5:D605,"Malcolm",$F$5:F605,F606,$BE$5:BE605,1)=0,MAX($CD$5:CD605)+1,""),"")</f>
        <v/>
      </c>
      <c r="CE606" s="80" t="str">
        <f>IF(AND(BD606=1,D606="proMX",F606&amp;""&lt;&gt;""),IF(COUNTIFS($D$5:D605,"proMX",$F$5:F605,F606,$BD$5:BD605,1)=0,MAX($CE$5:CE605)+1,""),"")</f>
        <v/>
      </c>
      <c r="CF606" s="80" t="str">
        <f>IF(AND(D606="proMX",BD606=1),IF(OR(BF606="Draft",BF606="Submitted",BF606="Returned",BF606="Recall Requested"),MAX($CF$5:CF605)+1,""),"")</f>
        <v/>
      </c>
      <c r="CG606" s="80">
        <f>IF(BD606=0,0,IF(D606="Malcolm",1,MATCH(BF606,{"Draft","Submitted","Approved","Returned","Recall Requested","Cancelled"},0)+1))</f>
        <v>0</v>
      </c>
      <c r="CH606" s="80">
        <f>IF(AND(BF606="Submitted",ISNUMBER(V606)),IF(V606&gt;CFG_MAXD,1,0),0)</f>
        <v>0</v>
      </c>
    </row>
    <row r="607">
      <c r="A607" s="71" t="str">
        <f>IF(Y607=1,ROW()-5,"")</f>
        <v/>
      </c>
      <c r="B607" s="72" t="n"/>
      <c r="C607" s="71" t="str">
        <f>IF(ISNUMBER(B607),CHOOSE(WEEKDAY(B607,2),"Lun","Mar","Mié","Jue","Vie","Sáb","Dom"),"")</f>
        <v/>
      </c>
      <c r="D607" s="73" t="n"/>
      <c r="E607" s="74" t="n"/>
      <c r="F607" s="74" t="n"/>
      <c r="G607" s="74" t="n"/>
      <c r="H607" s="75" t="n"/>
      <c r="I607" s="75" t="n"/>
      <c r="J607" s="76" t="n"/>
      <c r="K607" s="77" t="str">
        <f>IF(AB607=1,ROUND(AG607/60,4),"")</f>
        <v/>
      </c>
      <c r="L607" s="77" t="str">
        <f>IF(BD607=1,ROUND(AP607/60,4),"")</f>
        <v/>
      </c>
      <c r="M607" s="77" t="str">
        <f>IF(BD607=1,ROUND(AQ607/60,4),"")</f>
        <v/>
      </c>
      <c r="N607" s="71" t="str">
        <f>IF(AND(D607="proMX",AB607=1),ROUND(AG607/CFG_BLK,2),"")</f>
        <v/>
      </c>
      <c r="O607" s="77" t="str">
        <f>IF(D607="proMX",IF(BD607=1,ROUND(AG607/60,4),0),"")</f>
        <v/>
      </c>
      <c r="P607" s="78" t="str">
        <f>IF(Y607=0,"",IF(BD607=1,"OK",IF(D607="proMX","Revisar bloques: ","Revisar: ")&amp;BC607))</f>
        <v/>
      </c>
      <c r="Q607" s="78" t="str">
        <f>IF(NOT(ISNUMBER(B607)),"",IF(COUNTIFS(FER_F,INT(B607))&gt;0,"Feriado"&amp;IF(AH607=1," (laborable)"," (no laborable)"),IF(AH607=1,"Laborable",IF(WEEKDAY(B607,2)&gt;5,"Fin de semana","No laborable"))))</f>
        <v/>
      </c>
      <c r="R607" s="73" t="n"/>
      <c r="S607" s="72" t="n"/>
      <c r="T607" s="72" t="n"/>
      <c r="U607" s="74" t="n"/>
      <c r="V607" s="79" t="str">
        <f>IF(AND(D607="proMX",OR(R607="Submitted",R607="Recall Requested"),ISNUMBER(S607)),CFG_TODAY-INT(S607),"")</f>
        <v/>
      </c>
      <c r="W607" s="78" t="str">
        <f>IF(BD607=0,"",IF(BA607&gt;0,"⚠ Se superpone con un registro de la otra empresa",IF(D607="Malcolm",IF(COUNTA(R607,S607,T607)&gt;0,"Estado/fechas proMX se ignoran en Malcolm",""),IF(BF607="Cancelled","Cancelado: excluido de totales",IF(R607="","Sin estado: se trata como Draft",IF(BF607="Submitted",IF(ISNUMBER(V607),IF(V607&gt;CFG_MAXD,"⚠ "&amp;V607&amp;" días en Submitted (máx. "&amp;CFG_MAXD&amp;")",""),"Falta fecha de envío"),IF(BF607="Returned","⚠ Devuelto: corregir y reenviar",IF(BF607="Recall Requested","Retirada solicitada: pendiente",IF(AND(BF607="Approved",NOT(ISNUMBER(T607))),"Falta fecha de aprobación",IF(AND(ISNUMBER(S607),ISNUMBER(T607),T607&lt;S607),"Aprobación anterior al envío","")))))))))</f>
        <v/>
      </c>
      <c r="Y607" s="80">
        <f>IF(COUNTA(B607,D607,E607,F607,G607,H607,I607,J607,R607,S607,T607)&gt;0,1,0)</f>
        <v>0</v>
      </c>
      <c r="Z607" s="80" t="str">
        <f>IF(AND(ISNUMBER(H607),H607&gt;=0,H607&lt;1),ROUND(H607*1440,0),"")</f>
        <v/>
      </c>
      <c r="AA607" s="80" t="str">
        <f>IF(AND(ISNUMBER(I607),I607&gt;=0,I607&lt;1),ROUND(I607*1440,0),"")</f>
        <v/>
      </c>
      <c r="AB607" s="80">
        <f>IF(AND(ISNUMBER(B607),D607&lt;&gt;"",ISNUMBER(Z607),ISNUMBER(AA607)),IF(Z607=AA607,0,1),0)</f>
        <v>0</v>
      </c>
      <c r="AC607" s="80">
        <f>IF(AB607=1,IF(AA607&lt;Z607,1,0),0)</f>
        <v>0</v>
      </c>
      <c r="AD607" s="80">
        <f>IF(AB607=1,IF(AC607=1,1440-Z607+AA607,AA607-Z607),0)</f>
        <v>0</v>
      </c>
      <c r="AE607" s="80">
        <f>IF(J607="",0,IF(ISNUMBER(J607),J607,-1))</f>
        <v>0</v>
      </c>
      <c r="AF607" s="80">
        <f>MIN(MAX(0,AE607),AD607)</f>
        <v>0</v>
      </c>
      <c r="AG607" s="80">
        <f>MAX(0,AD607-MAX(0,AE607))</f>
        <v>0</v>
      </c>
      <c r="AH607" s="80">
        <f>IF(ISNUMBER(B607),IF(AND(INDEX(CFG_WDAYS,WEEKDAY(INT(B607),2))="Sí",IF(D607="proMX",COUNTIFS(FER_F,INT(B607),FER_NLP,"Sí"),COUNTIFS(FER_F,INT(B607),FER_NLM,"Sí"))=0),1,0),0)</f>
        <v>0</v>
      </c>
      <c r="AI607" s="80">
        <f>IF(AC607=1,IF(AND(INDEX(CFG_WDAYS,WEEKDAY(INT(B607)+1,2))="Sí",IF(D607="proMX",COUNTIFS(FER_F,INT(B607)+1,FER_NLP,"Sí"),COUNTIFS(FER_F,INT(B607)+1,FER_NLM,"Sí"))=0),1,0),0)</f>
        <v>0</v>
      </c>
      <c r="AJ607" s="80">
        <f>IF(AC607=1,1440-Z607,AD607)</f>
        <v>0</v>
      </c>
      <c r="AK607" s="80">
        <f>IF(AND(AB607=1,AH607=1),MAX(0,MIN(IF(AC607=1,1440,AA607),CFG_WEM)-MAX(Z607,CFG_WSM)),0)</f>
        <v>0</v>
      </c>
      <c r="AL607" s="80">
        <f>IF(AND(AC607=1,AI607=1),MAX(0,MIN(AA607,CFG_WEM)-CFG_WSM),0)</f>
        <v>0</v>
      </c>
      <c r="AM607" s="80">
        <f>AK607+AL607</f>
        <v>0</v>
      </c>
      <c r="AN607" s="80">
        <f>IF(CFG_BRK="Proporcional",IF(AD607=0,0,AF607*AM607/AD607),IF(CFG_BRK="Extras primero",MIN(AM607,MAX(0,AF607-(AD607-AM607))),MIN(AF607,AM607)))</f>
        <v>0</v>
      </c>
      <c r="AO607" s="80">
        <f>AF607-AN607</f>
        <v>0</v>
      </c>
      <c r="AP607" s="80">
        <f>AM607-AN607</f>
        <v>0</v>
      </c>
      <c r="AQ607" s="80">
        <f>AD607-AM607-AO607</f>
        <v>0</v>
      </c>
      <c r="AR607" s="80">
        <f>IF(AM607=0,0,AK607-AN607*AK607/AM607)</f>
        <v>0</v>
      </c>
      <c r="AS607" s="80">
        <f>IF(AD607-AM607=0,0,(AJ607-AK607)-AO607*(AJ607-AK607)/(AD607-AM607))</f>
        <v>0</v>
      </c>
      <c r="AT607" s="80" t="str">
        <f>IF(AC607=1,INT(B607)+1,"")</f>
        <v/>
      </c>
      <c r="AU607" s="80">
        <f>IF(AND(D607="proMX",R607="Cancelled"),0,1)</f>
        <v>1</v>
      </c>
      <c r="AV607" s="80">
        <f>IF(AND(AB607=1,AU607=1),IF(COUNTIFS($D$5:D606,D607,$B$5:B606,B607,$Z$5:Z606,Z607,$AA$5:AA606,AA607,$F$5:F606,F607&amp;"",$AU$5:AU606,1)&gt;0,1,0),0)</f>
        <v>0</v>
      </c>
      <c r="AW607" s="80" t="str">
        <f>IF(AB607=1,INT(B607)*1440+Z607,"")</f>
        <v/>
      </c>
      <c r="AX607" s="80" t="str">
        <f>IF(AB607=1,AW607+AD607,"")</f>
        <v/>
      </c>
      <c r="AY607" s="80">
        <f>IF(AND(AB607=1,AV607=0,AU607=1),1,0)</f>
        <v>0</v>
      </c>
      <c r="AZ607" s="80">
        <f>IF(AY607=1,COUNTIFS(R_Emp,D607,R_SAbs,"&lt;"&amp;AX607,R_EAbs,"&gt;"&amp;AW607,R_OKey,1)-1,0)</f>
        <v>0</v>
      </c>
      <c r="BA607" s="80">
        <f>IF(AY607=1,COUNTIFS(R_Emp,"&lt;&gt;"&amp;D607,R_SAbs,"&lt;"&amp;AX607,R_EAbs,"&gt;"&amp;AW607,R_OKey,1),0)</f>
        <v>0</v>
      </c>
      <c r="BB607" s="80">
        <f>IF(AND(AB607=1,D607="proMX"),IF(AND(MOD(Z607,CFG_BLK)=0,MOD(AA607,CFG_BLK)=0,MOD(AG607,CFG_BLK)=0,AG607&gt;0),1,0),1)</f>
        <v>1</v>
      </c>
      <c r="BC607" s="80" t="str">
        <f>IF(Y607=0,"",IF(NOT(ISNUMBER(B607)),"Falta fecha o fecha inválida",IF(D607="","Falta empresa",IF(AND(D607&lt;&gt;"Malcolm",D607&lt;&gt;"proMX"),"Empresa inválida",IF(OR(INT(B607)&lt;CFG_PSTART,INT(B607)&gt;CFG_PEND),"Fecha fuera del período",IF(OR(NOT(ISNUMBER(Z607)),NOT(ISNUMBER(AA607))),"Falta hora inicio/fin o formato inválido",IF(AB607=0,"Hora inicio = hora fin",IF(AE607&lt;0,"Descanso inválido",IF(AE607&gt;=AD607,"Descanso ≥ duración",IF(AV607=1,"Registro duplicado",IF(AZ607&gt;0,"Se superpone con otro registro "&amp;D607,IF(BB607=0,"inicio, fin y duración neta deben ser múltiplos de "&amp;CFG_BLK&amp;" min",""))))))))))))</f>
        <v/>
      </c>
      <c r="BD607" s="80">
        <f>IF(AND(Y607=1,BC607=""),1,0)</f>
        <v>0</v>
      </c>
      <c r="BE607" s="80">
        <f>IF(AND(BD607=1,AU607=1),1,0)</f>
        <v>0</v>
      </c>
      <c r="BF607" s="80" t="str">
        <f>IF(AND(D607="proMX",BD607=1),IF(R607="","Draft",R607),"")</f>
        <v/>
      </c>
      <c r="BG607" s="80">
        <f>IF(BD607=1,ROUND(AG607/60,6),0)</f>
        <v>0</v>
      </c>
      <c r="BH607" s="80">
        <f>IF(BE607=1,ROUND(AG607/60,6),0)</f>
        <v>0</v>
      </c>
      <c r="BI607" s="80">
        <f>IF(BE607=1,ROUND(AP607/60,6),0)</f>
        <v>0</v>
      </c>
      <c r="BJ607" s="80">
        <f>IF(BE607=1,ROUND(AQ607/60,6),0)</f>
        <v>0</v>
      </c>
      <c r="BK607" s="80">
        <f>IF(BE607=1,ROUND((AR607+AS607)/60,6),0)</f>
        <v>0</v>
      </c>
      <c r="BL607" s="80">
        <f>ROUND(BH607-BK607,6)</f>
        <v>0</v>
      </c>
      <c r="BM607" s="80">
        <f>IF(BE607=1,ROUND(AR607/60,6),0)</f>
        <v>0</v>
      </c>
      <c r="BN607" s="80">
        <f>ROUND(BI607-BM607,6)</f>
        <v>0</v>
      </c>
      <c r="BO607" s="80">
        <f>IF(BE607=1,ROUND(AS607/60,6),0)</f>
        <v>0</v>
      </c>
      <c r="BP607" s="80">
        <f>ROUND(BJ607-BO607,6)</f>
        <v>0</v>
      </c>
      <c r="BQ607" s="80">
        <f>IF(BE607=1,AW607,0)</f>
        <v>0</v>
      </c>
      <c r="BR607" s="80">
        <f>IF(BE607=1,AX607,0)</f>
        <v>0</v>
      </c>
      <c r="BS607" s="80">
        <f>IF(AND(BE607=1,D607="Malcolm",BA607&gt;0),MIN(BH607,SUMPRODUCT((R_Emp="proMX")*(R_EN&gt;0)*((R_EN-(R_EN&gt;BR607)*(R_EN-BR607))&gt;(R_SN+(R_SN&lt;BQ607)*(BQ607-R_SN)))*((R_EN-(R_EN&gt;BR607)*(R_EN-BR607))-(R_SN+(R_SN&lt;BQ607)*(BQ607-R_SN))))/60),0)</f>
        <v>0</v>
      </c>
      <c r="BT607" s="80">
        <f>IF(AND(BE607=1,D607="proMX"),ROUND(BI607*CFG_RATE+BJ607*CFG_OTRATE,6),0)</f>
        <v>0</v>
      </c>
      <c r="BU607" s="80">
        <f>IF(AND(BD607=1,D607="proMX"),ROUND(AG607/CFG_BLK,6),0)</f>
        <v>0</v>
      </c>
      <c r="BV607" s="80" t="str">
        <f>IF(BF607="Approved",IF(ISNUMBER(T607),INT(T607),INT(B607)),"")</f>
        <v/>
      </c>
      <c r="BW607" s="80">
        <f>IF(ISNUMBER(B607),IF(DB_MON="Todos",1,IF(AND(INT(B607)&gt;=DB_MS,INT(B607)&lt;=DB_ME),1,0)),0)</f>
        <v>0</v>
      </c>
      <c r="BX607" s="80">
        <f>IF(DB_PROJ="Todos",1,IF(E607&amp;""=DB_PROJ&amp;"",1,0))</f>
        <v>1</v>
      </c>
      <c r="BY607" s="80">
        <f>BW607*BX607</f>
        <v>0</v>
      </c>
      <c r="BZ607" s="80" t="str">
        <f>IF(Y607=1,F607&amp;IF(AND(F607&amp;""&lt;&gt;"",E607&amp;""&lt;&gt;"")," · ","")&amp;E607,"")</f>
        <v/>
      </c>
      <c r="CA607" s="80" t="str">
        <f>IF(AND(BD607=1,E607&amp;""&lt;&gt;""),IF(COUNTIFS($E$5:E606,E607,$BD$5:BD606,1)=0,MAX($CA$5:CA606)+1,""),"")</f>
        <v/>
      </c>
      <c r="CB607" s="80" t="str">
        <f>IF(AND(BE607=1,D607="Malcolm",E607&amp;""&lt;&gt;""),IF(COUNTIFS($D$5:D606,"Malcolm",$E$5:E606,E607,$BE$5:BE606,1)=0,MAX($CB$5:CB606)+1,""),"")</f>
        <v/>
      </c>
      <c r="CC607" s="80" t="str">
        <f>IF(AND(BD607=1,D607="proMX",E607&amp;""&lt;&gt;""),IF(COUNTIFS($D$5:D606,"proMX",$E$5:E606,E607,$BD$5:BD606,1)=0,MAX($CC$5:CC606)+1,""),"")</f>
        <v/>
      </c>
      <c r="CD607" s="80" t="str">
        <f>IF(AND(BE607=1,D607="Malcolm",F607&amp;""&lt;&gt;""),IF(COUNTIFS($D$5:D606,"Malcolm",$F$5:F606,F607,$BE$5:BE606,1)=0,MAX($CD$5:CD606)+1,""),"")</f>
        <v/>
      </c>
      <c r="CE607" s="80" t="str">
        <f>IF(AND(BD607=1,D607="proMX",F607&amp;""&lt;&gt;""),IF(COUNTIFS($D$5:D606,"proMX",$F$5:F606,F607,$BD$5:BD606,1)=0,MAX($CE$5:CE606)+1,""),"")</f>
        <v/>
      </c>
      <c r="CF607" s="80" t="str">
        <f>IF(AND(D607="proMX",BD607=1),IF(OR(BF607="Draft",BF607="Submitted",BF607="Returned",BF607="Recall Requested"),MAX($CF$5:CF606)+1,""),"")</f>
        <v/>
      </c>
      <c r="CG607" s="80">
        <f>IF(BD607=0,0,IF(D607="Malcolm",1,MATCH(BF607,{"Draft","Submitted","Approved","Returned","Recall Requested","Cancelled"},0)+1))</f>
        <v>0</v>
      </c>
      <c r="CH607" s="80">
        <f>IF(AND(BF607="Submitted",ISNUMBER(V607)),IF(V607&gt;CFG_MAXD,1,0),0)</f>
        <v>0</v>
      </c>
    </row>
    <row r="608">
      <c r="A608" s="71" t="str">
        <f>IF(Y608=1,ROW()-5,"")</f>
        <v/>
      </c>
      <c r="B608" s="72" t="n"/>
      <c r="C608" s="71" t="str">
        <f>IF(ISNUMBER(B608),CHOOSE(WEEKDAY(B608,2),"Lun","Mar","Mié","Jue","Vie","Sáb","Dom"),"")</f>
        <v/>
      </c>
      <c r="D608" s="73" t="n"/>
      <c r="E608" s="74" t="n"/>
      <c r="F608" s="74" t="n"/>
      <c r="G608" s="74" t="n"/>
      <c r="H608" s="75" t="n"/>
      <c r="I608" s="75" t="n"/>
      <c r="J608" s="76" t="n"/>
      <c r="K608" s="77" t="str">
        <f>IF(AB608=1,ROUND(AG608/60,4),"")</f>
        <v/>
      </c>
      <c r="L608" s="77" t="str">
        <f>IF(BD608=1,ROUND(AP608/60,4),"")</f>
        <v/>
      </c>
      <c r="M608" s="77" t="str">
        <f>IF(BD608=1,ROUND(AQ608/60,4),"")</f>
        <v/>
      </c>
      <c r="N608" s="71" t="str">
        <f>IF(AND(D608="proMX",AB608=1),ROUND(AG608/CFG_BLK,2),"")</f>
        <v/>
      </c>
      <c r="O608" s="77" t="str">
        <f>IF(D608="proMX",IF(BD608=1,ROUND(AG608/60,4),0),"")</f>
        <v/>
      </c>
      <c r="P608" s="78" t="str">
        <f>IF(Y608=0,"",IF(BD608=1,"OK",IF(D608="proMX","Revisar bloques: ","Revisar: ")&amp;BC608))</f>
        <v/>
      </c>
      <c r="Q608" s="78" t="str">
        <f>IF(NOT(ISNUMBER(B608)),"",IF(COUNTIFS(FER_F,INT(B608))&gt;0,"Feriado"&amp;IF(AH608=1," (laborable)"," (no laborable)"),IF(AH608=1,"Laborable",IF(WEEKDAY(B608,2)&gt;5,"Fin de semana","No laborable"))))</f>
        <v/>
      </c>
      <c r="R608" s="73" t="n"/>
      <c r="S608" s="72" t="n"/>
      <c r="T608" s="72" t="n"/>
      <c r="U608" s="74" t="n"/>
      <c r="V608" s="79" t="str">
        <f>IF(AND(D608="proMX",OR(R608="Submitted",R608="Recall Requested"),ISNUMBER(S608)),CFG_TODAY-INT(S608),"")</f>
        <v/>
      </c>
      <c r="W608" s="78" t="str">
        <f>IF(BD608=0,"",IF(BA608&gt;0,"⚠ Se superpone con un registro de la otra empresa",IF(D608="Malcolm",IF(COUNTA(R608,S608,T608)&gt;0,"Estado/fechas proMX se ignoran en Malcolm",""),IF(BF608="Cancelled","Cancelado: excluido de totales",IF(R608="","Sin estado: se trata como Draft",IF(BF608="Submitted",IF(ISNUMBER(V608),IF(V608&gt;CFG_MAXD,"⚠ "&amp;V608&amp;" días en Submitted (máx. "&amp;CFG_MAXD&amp;")",""),"Falta fecha de envío"),IF(BF608="Returned","⚠ Devuelto: corregir y reenviar",IF(BF608="Recall Requested","Retirada solicitada: pendiente",IF(AND(BF608="Approved",NOT(ISNUMBER(T608))),"Falta fecha de aprobación",IF(AND(ISNUMBER(S608),ISNUMBER(T608),T608&lt;S608),"Aprobación anterior al envío","")))))))))</f>
        <v/>
      </c>
      <c r="Y608" s="80">
        <f>IF(COUNTA(B608,D608,E608,F608,G608,H608,I608,J608,R608,S608,T608)&gt;0,1,0)</f>
        <v>0</v>
      </c>
      <c r="Z608" s="80" t="str">
        <f>IF(AND(ISNUMBER(H608),H608&gt;=0,H608&lt;1),ROUND(H608*1440,0),"")</f>
        <v/>
      </c>
      <c r="AA608" s="80" t="str">
        <f>IF(AND(ISNUMBER(I608),I608&gt;=0,I608&lt;1),ROUND(I608*1440,0),"")</f>
        <v/>
      </c>
      <c r="AB608" s="80">
        <f>IF(AND(ISNUMBER(B608),D608&lt;&gt;"",ISNUMBER(Z608),ISNUMBER(AA608)),IF(Z608=AA608,0,1),0)</f>
        <v>0</v>
      </c>
      <c r="AC608" s="80">
        <f>IF(AB608=1,IF(AA608&lt;Z608,1,0),0)</f>
        <v>0</v>
      </c>
      <c r="AD608" s="80">
        <f>IF(AB608=1,IF(AC608=1,1440-Z608+AA608,AA608-Z608),0)</f>
        <v>0</v>
      </c>
      <c r="AE608" s="80">
        <f>IF(J608="",0,IF(ISNUMBER(J608),J608,-1))</f>
        <v>0</v>
      </c>
      <c r="AF608" s="80">
        <f>MIN(MAX(0,AE608),AD608)</f>
        <v>0</v>
      </c>
      <c r="AG608" s="80">
        <f>MAX(0,AD608-MAX(0,AE608))</f>
        <v>0</v>
      </c>
      <c r="AH608" s="80">
        <f>IF(ISNUMBER(B608),IF(AND(INDEX(CFG_WDAYS,WEEKDAY(INT(B608),2))="Sí",IF(D608="proMX",COUNTIFS(FER_F,INT(B608),FER_NLP,"Sí"),COUNTIFS(FER_F,INT(B608),FER_NLM,"Sí"))=0),1,0),0)</f>
        <v>0</v>
      </c>
      <c r="AI608" s="80">
        <f>IF(AC608=1,IF(AND(INDEX(CFG_WDAYS,WEEKDAY(INT(B608)+1,2))="Sí",IF(D608="proMX",COUNTIFS(FER_F,INT(B608)+1,FER_NLP,"Sí"),COUNTIFS(FER_F,INT(B608)+1,FER_NLM,"Sí"))=0),1,0),0)</f>
        <v>0</v>
      </c>
      <c r="AJ608" s="80">
        <f>IF(AC608=1,1440-Z608,AD608)</f>
        <v>0</v>
      </c>
      <c r="AK608" s="80">
        <f>IF(AND(AB608=1,AH608=1),MAX(0,MIN(IF(AC608=1,1440,AA608),CFG_WEM)-MAX(Z608,CFG_WSM)),0)</f>
        <v>0</v>
      </c>
      <c r="AL608" s="80">
        <f>IF(AND(AC608=1,AI608=1),MAX(0,MIN(AA608,CFG_WEM)-CFG_WSM),0)</f>
        <v>0</v>
      </c>
      <c r="AM608" s="80">
        <f>AK608+AL608</f>
        <v>0</v>
      </c>
      <c r="AN608" s="80">
        <f>IF(CFG_BRK="Proporcional",IF(AD608=0,0,AF608*AM608/AD608),IF(CFG_BRK="Extras primero",MIN(AM608,MAX(0,AF608-(AD608-AM608))),MIN(AF608,AM608)))</f>
        <v>0</v>
      </c>
      <c r="AO608" s="80">
        <f>AF608-AN608</f>
        <v>0</v>
      </c>
      <c r="AP608" s="80">
        <f>AM608-AN608</f>
        <v>0</v>
      </c>
      <c r="AQ608" s="80">
        <f>AD608-AM608-AO608</f>
        <v>0</v>
      </c>
      <c r="AR608" s="80">
        <f>IF(AM608=0,0,AK608-AN608*AK608/AM608)</f>
        <v>0</v>
      </c>
      <c r="AS608" s="80">
        <f>IF(AD608-AM608=0,0,(AJ608-AK608)-AO608*(AJ608-AK608)/(AD608-AM608))</f>
        <v>0</v>
      </c>
      <c r="AT608" s="80" t="str">
        <f>IF(AC608=1,INT(B608)+1,"")</f>
        <v/>
      </c>
      <c r="AU608" s="80">
        <f>IF(AND(D608="proMX",R608="Cancelled"),0,1)</f>
        <v>1</v>
      </c>
      <c r="AV608" s="80">
        <f>IF(AND(AB608=1,AU608=1),IF(COUNTIFS($D$5:D607,D608,$B$5:B607,B608,$Z$5:Z607,Z608,$AA$5:AA607,AA608,$F$5:F607,F608&amp;"",$AU$5:AU607,1)&gt;0,1,0),0)</f>
        <v>0</v>
      </c>
      <c r="AW608" s="80" t="str">
        <f>IF(AB608=1,INT(B608)*1440+Z608,"")</f>
        <v/>
      </c>
      <c r="AX608" s="80" t="str">
        <f>IF(AB608=1,AW608+AD608,"")</f>
        <v/>
      </c>
      <c r="AY608" s="80">
        <f>IF(AND(AB608=1,AV608=0,AU608=1),1,0)</f>
        <v>0</v>
      </c>
      <c r="AZ608" s="80">
        <f>IF(AY608=1,COUNTIFS(R_Emp,D608,R_SAbs,"&lt;"&amp;AX608,R_EAbs,"&gt;"&amp;AW608,R_OKey,1)-1,0)</f>
        <v>0</v>
      </c>
      <c r="BA608" s="80">
        <f>IF(AY608=1,COUNTIFS(R_Emp,"&lt;&gt;"&amp;D608,R_SAbs,"&lt;"&amp;AX608,R_EAbs,"&gt;"&amp;AW608,R_OKey,1),0)</f>
        <v>0</v>
      </c>
      <c r="BB608" s="80">
        <f>IF(AND(AB608=1,D608="proMX"),IF(AND(MOD(Z608,CFG_BLK)=0,MOD(AA608,CFG_BLK)=0,MOD(AG608,CFG_BLK)=0,AG608&gt;0),1,0),1)</f>
        <v>1</v>
      </c>
      <c r="BC608" s="80" t="str">
        <f>IF(Y608=0,"",IF(NOT(ISNUMBER(B608)),"Falta fecha o fecha inválida",IF(D608="","Falta empresa",IF(AND(D608&lt;&gt;"Malcolm",D608&lt;&gt;"proMX"),"Empresa inválida",IF(OR(INT(B608)&lt;CFG_PSTART,INT(B608)&gt;CFG_PEND),"Fecha fuera del período",IF(OR(NOT(ISNUMBER(Z608)),NOT(ISNUMBER(AA608))),"Falta hora inicio/fin o formato inválido",IF(AB608=0,"Hora inicio = hora fin",IF(AE608&lt;0,"Descanso inválido",IF(AE608&gt;=AD608,"Descanso ≥ duración",IF(AV608=1,"Registro duplicado",IF(AZ608&gt;0,"Se superpone con otro registro "&amp;D608,IF(BB608=0,"inicio, fin y duración neta deben ser múltiplos de "&amp;CFG_BLK&amp;" min",""))))))))))))</f>
        <v/>
      </c>
      <c r="BD608" s="80">
        <f>IF(AND(Y608=1,BC608=""),1,0)</f>
        <v>0</v>
      </c>
      <c r="BE608" s="80">
        <f>IF(AND(BD608=1,AU608=1),1,0)</f>
        <v>0</v>
      </c>
      <c r="BF608" s="80" t="str">
        <f>IF(AND(D608="proMX",BD608=1),IF(R608="","Draft",R608),"")</f>
        <v/>
      </c>
      <c r="BG608" s="80">
        <f>IF(BD608=1,ROUND(AG608/60,6),0)</f>
        <v>0</v>
      </c>
      <c r="BH608" s="80">
        <f>IF(BE608=1,ROUND(AG608/60,6),0)</f>
        <v>0</v>
      </c>
      <c r="BI608" s="80">
        <f>IF(BE608=1,ROUND(AP608/60,6),0)</f>
        <v>0</v>
      </c>
      <c r="BJ608" s="80">
        <f>IF(BE608=1,ROUND(AQ608/60,6),0)</f>
        <v>0</v>
      </c>
      <c r="BK608" s="80">
        <f>IF(BE608=1,ROUND((AR608+AS608)/60,6),0)</f>
        <v>0</v>
      </c>
      <c r="BL608" s="80">
        <f>ROUND(BH608-BK608,6)</f>
        <v>0</v>
      </c>
      <c r="BM608" s="80">
        <f>IF(BE608=1,ROUND(AR608/60,6),0)</f>
        <v>0</v>
      </c>
      <c r="BN608" s="80">
        <f>ROUND(BI608-BM608,6)</f>
        <v>0</v>
      </c>
      <c r="BO608" s="80">
        <f>IF(BE608=1,ROUND(AS608/60,6),0)</f>
        <v>0</v>
      </c>
      <c r="BP608" s="80">
        <f>ROUND(BJ608-BO608,6)</f>
        <v>0</v>
      </c>
      <c r="BQ608" s="80">
        <f>IF(BE608=1,AW608,0)</f>
        <v>0</v>
      </c>
      <c r="BR608" s="80">
        <f>IF(BE608=1,AX608,0)</f>
        <v>0</v>
      </c>
      <c r="BS608" s="80">
        <f>IF(AND(BE608=1,D608="Malcolm",BA608&gt;0),MIN(BH608,SUMPRODUCT((R_Emp="proMX")*(R_EN&gt;0)*((R_EN-(R_EN&gt;BR608)*(R_EN-BR608))&gt;(R_SN+(R_SN&lt;BQ608)*(BQ608-R_SN)))*((R_EN-(R_EN&gt;BR608)*(R_EN-BR608))-(R_SN+(R_SN&lt;BQ608)*(BQ608-R_SN))))/60),0)</f>
        <v>0</v>
      </c>
      <c r="BT608" s="80">
        <f>IF(AND(BE608=1,D608="proMX"),ROUND(BI608*CFG_RATE+BJ608*CFG_OTRATE,6),0)</f>
        <v>0</v>
      </c>
      <c r="BU608" s="80">
        <f>IF(AND(BD608=1,D608="proMX"),ROUND(AG608/CFG_BLK,6),0)</f>
        <v>0</v>
      </c>
      <c r="BV608" s="80" t="str">
        <f>IF(BF608="Approved",IF(ISNUMBER(T608),INT(T608),INT(B608)),"")</f>
        <v/>
      </c>
      <c r="BW608" s="80">
        <f>IF(ISNUMBER(B608),IF(DB_MON="Todos",1,IF(AND(INT(B608)&gt;=DB_MS,INT(B608)&lt;=DB_ME),1,0)),0)</f>
        <v>0</v>
      </c>
      <c r="BX608" s="80">
        <f>IF(DB_PROJ="Todos",1,IF(E608&amp;""=DB_PROJ&amp;"",1,0))</f>
        <v>1</v>
      </c>
      <c r="BY608" s="80">
        <f>BW608*BX608</f>
        <v>0</v>
      </c>
      <c r="BZ608" s="80" t="str">
        <f>IF(Y608=1,F608&amp;IF(AND(F608&amp;""&lt;&gt;"",E608&amp;""&lt;&gt;"")," · ","")&amp;E608,"")</f>
        <v/>
      </c>
      <c r="CA608" s="80" t="str">
        <f>IF(AND(BD608=1,E608&amp;""&lt;&gt;""),IF(COUNTIFS($E$5:E607,E608,$BD$5:BD607,1)=0,MAX($CA$5:CA607)+1,""),"")</f>
        <v/>
      </c>
      <c r="CB608" s="80" t="str">
        <f>IF(AND(BE608=1,D608="Malcolm",E608&amp;""&lt;&gt;""),IF(COUNTIFS($D$5:D607,"Malcolm",$E$5:E607,E608,$BE$5:BE607,1)=0,MAX($CB$5:CB607)+1,""),"")</f>
        <v/>
      </c>
      <c r="CC608" s="80" t="str">
        <f>IF(AND(BD608=1,D608="proMX",E608&amp;""&lt;&gt;""),IF(COUNTIFS($D$5:D607,"proMX",$E$5:E607,E608,$BD$5:BD607,1)=0,MAX($CC$5:CC607)+1,""),"")</f>
        <v/>
      </c>
      <c r="CD608" s="80" t="str">
        <f>IF(AND(BE608=1,D608="Malcolm",F608&amp;""&lt;&gt;""),IF(COUNTIFS($D$5:D607,"Malcolm",$F$5:F607,F608,$BE$5:BE607,1)=0,MAX($CD$5:CD607)+1,""),"")</f>
        <v/>
      </c>
      <c r="CE608" s="80" t="str">
        <f>IF(AND(BD608=1,D608="proMX",F608&amp;""&lt;&gt;""),IF(COUNTIFS($D$5:D607,"proMX",$F$5:F607,F608,$BD$5:BD607,1)=0,MAX($CE$5:CE607)+1,""),"")</f>
        <v/>
      </c>
      <c r="CF608" s="80" t="str">
        <f>IF(AND(D608="proMX",BD608=1),IF(OR(BF608="Draft",BF608="Submitted",BF608="Returned",BF608="Recall Requested"),MAX($CF$5:CF607)+1,""),"")</f>
        <v/>
      </c>
      <c r="CG608" s="80">
        <f>IF(BD608=0,0,IF(D608="Malcolm",1,MATCH(BF608,{"Draft","Submitted","Approved","Returned","Recall Requested","Cancelled"},0)+1))</f>
        <v>0</v>
      </c>
      <c r="CH608" s="80">
        <f>IF(AND(BF608="Submitted",ISNUMBER(V608)),IF(V608&gt;CFG_MAXD,1,0),0)</f>
        <v>0</v>
      </c>
    </row>
    <row r="609">
      <c r="A609" s="71" t="str">
        <f>IF(Y609=1,ROW()-5,"")</f>
        <v/>
      </c>
      <c r="B609" s="72" t="n"/>
      <c r="C609" s="71" t="str">
        <f>IF(ISNUMBER(B609),CHOOSE(WEEKDAY(B609,2),"Lun","Mar","Mié","Jue","Vie","Sáb","Dom"),"")</f>
        <v/>
      </c>
      <c r="D609" s="73" t="n"/>
      <c r="E609" s="74" t="n"/>
      <c r="F609" s="74" t="n"/>
      <c r="G609" s="74" t="n"/>
      <c r="H609" s="75" t="n"/>
      <c r="I609" s="75" t="n"/>
      <c r="J609" s="76" t="n"/>
      <c r="K609" s="77" t="str">
        <f>IF(AB609=1,ROUND(AG609/60,4),"")</f>
        <v/>
      </c>
      <c r="L609" s="77" t="str">
        <f>IF(BD609=1,ROUND(AP609/60,4),"")</f>
        <v/>
      </c>
      <c r="M609" s="77" t="str">
        <f>IF(BD609=1,ROUND(AQ609/60,4),"")</f>
        <v/>
      </c>
      <c r="N609" s="71" t="str">
        <f>IF(AND(D609="proMX",AB609=1),ROUND(AG609/CFG_BLK,2),"")</f>
        <v/>
      </c>
      <c r="O609" s="77" t="str">
        <f>IF(D609="proMX",IF(BD609=1,ROUND(AG609/60,4),0),"")</f>
        <v/>
      </c>
      <c r="P609" s="78" t="str">
        <f>IF(Y609=0,"",IF(BD609=1,"OK",IF(D609="proMX","Revisar bloques: ","Revisar: ")&amp;BC609))</f>
        <v/>
      </c>
      <c r="Q609" s="78" t="str">
        <f>IF(NOT(ISNUMBER(B609)),"",IF(COUNTIFS(FER_F,INT(B609))&gt;0,"Feriado"&amp;IF(AH609=1," (laborable)"," (no laborable)"),IF(AH609=1,"Laborable",IF(WEEKDAY(B609,2)&gt;5,"Fin de semana","No laborable"))))</f>
        <v/>
      </c>
      <c r="R609" s="73" t="n"/>
      <c r="S609" s="72" t="n"/>
      <c r="T609" s="72" t="n"/>
      <c r="U609" s="74" t="n"/>
      <c r="V609" s="79" t="str">
        <f>IF(AND(D609="proMX",OR(R609="Submitted",R609="Recall Requested"),ISNUMBER(S609)),CFG_TODAY-INT(S609),"")</f>
        <v/>
      </c>
      <c r="W609" s="78" t="str">
        <f>IF(BD609=0,"",IF(BA609&gt;0,"⚠ Se superpone con un registro de la otra empresa",IF(D609="Malcolm",IF(COUNTA(R609,S609,T609)&gt;0,"Estado/fechas proMX se ignoran en Malcolm",""),IF(BF609="Cancelled","Cancelado: excluido de totales",IF(R609="","Sin estado: se trata como Draft",IF(BF609="Submitted",IF(ISNUMBER(V609),IF(V609&gt;CFG_MAXD,"⚠ "&amp;V609&amp;" días en Submitted (máx. "&amp;CFG_MAXD&amp;")",""),"Falta fecha de envío"),IF(BF609="Returned","⚠ Devuelto: corregir y reenviar",IF(BF609="Recall Requested","Retirada solicitada: pendiente",IF(AND(BF609="Approved",NOT(ISNUMBER(T609))),"Falta fecha de aprobación",IF(AND(ISNUMBER(S609),ISNUMBER(T609),T609&lt;S609),"Aprobación anterior al envío","")))))))))</f>
        <v/>
      </c>
      <c r="Y609" s="80">
        <f>IF(COUNTA(B609,D609,E609,F609,G609,H609,I609,J609,R609,S609,T609)&gt;0,1,0)</f>
        <v>0</v>
      </c>
      <c r="Z609" s="80" t="str">
        <f>IF(AND(ISNUMBER(H609),H609&gt;=0,H609&lt;1),ROUND(H609*1440,0),"")</f>
        <v/>
      </c>
      <c r="AA609" s="80" t="str">
        <f>IF(AND(ISNUMBER(I609),I609&gt;=0,I609&lt;1),ROUND(I609*1440,0),"")</f>
        <v/>
      </c>
      <c r="AB609" s="80">
        <f>IF(AND(ISNUMBER(B609),D609&lt;&gt;"",ISNUMBER(Z609),ISNUMBER(AA609)),IF(Z609=AA609,0,1),0)</f>
        <v>0</v>
      </c>
      <c r="AC609" s="80">
        <f>IF(AB609=1,IF(AA609&lt;Z609,1,0),0)</f>
        <v>0</v>
      </c>
      <c r="AD609" s="80">
        <f>IF(AB609=1,IF(AC609=1,1440-Z609+AA609,AA609-Z609),0)</f>
        <v>0</v>
      </c>
      <c r="AE609" s="80">
        <f>IF(J609="",0,IF(ISNUMBER(J609),J609,-1))</f>
        <v>0</v>
      </c>
      <c r="AF609" s="80">
        <f>MIN(MAX(0,AE609),AD609)</f>
        <v>0</v>
      </c>
      <c r="AG609" s="80">
        <f>MAX(0,AD609-MAX(0,AE609))</f>
        <v>0</v>
      </c>
      <c r="AH609" s="80">
        <f>IF(ISNUMBER(B609),IF(AND(INDEX(CFG_WDAYS,WEEKDAY(INT(B609),2))="Sí",IF(D609="proMX",COUNTIFS(FER_F,INT(B609),FER_NLP,"Sí"),COUNTIFS(FER_F,INT(B609),FER_NLM,"Sí"))=0),1,0),0)</f>
        <v>0</v>
      </c>
      <c r="AI609" s="80">
        <f>IF(AC609=1,IF(AND(INDEX(CFG_WDAYS,WEEKDAY(INT(B609)+1,2))="Sí",IF(D609="proMX",COUNTIFS(FER_F,INT(B609)+1,FER_NLP,"Sí"),COUNTIFS(FER_F,INT(B609)+1,FER_NLM,"Sí"))=0),1,0),0)</f>
        <v>0</v>
      </c>
      <c r="AJ609" s="80">
        <f>IF(AC609=1,1440-Z609,AD609)</f>
        <v>0</v>
      </c>
      <c r="AK609" s="80">
        <f>IF(AND(AB609=1,AH609=1),MAX(0,MIN(IF(AC609=1,1440,AA609),CFG_WEM)-MAX(Z609,CFG_WSM)),0)</f>
        <v>0</v>
      </c>
      <c r="AL609" s="80">
        <f>IF(AND(AC609=1,AI609=1),MAX(0,MIN(AA609,CFG_WEM)-CFG_WSM),0)</f>
        <v>0</v>
      </c>
      <c r="AM609" s="80">
        <f>AK609+AL609</f>
        <v>0</v>
      </c>
      <c r="AN609" s="80">
        <f>IF(CFG_BRK="Proporcional",IF(AD609=0,0,AF609*AM609/AD609),IF(CFG_BRK="Extras primero",MIN(AM609,MAX(0,AF609-(AD609-AM609))),MIN(AF609,AM609)))</f>
        <v>0</v>
      </c>
      <c r="AO609" s="80">
        <f>AF609-AN609</f>
        <v>0</v>
      </c>
      <c r="AP609" s="80">
        <f>AM609-AN609</f>
        <v>0</v>
      </c>
      <c r="AQ609" s="80">
        <f>AD609-AM609-AO609</f>
        <v>0</v>
      </c>
      <c r="AR609" s="80">
        <f>IF(AM609=0,0,AK609-AN609*AK609/AM609)</f>
        <v>0</v>
      </c>
      <c r="AS609" s="80">
        <f>IF(AD609-AM609=0,0,(AJ609-AK609)-AO609*(AJ609-AK609)/(AD609-AM609))</f>
        <v>0</v>
      </c>
      <c r="AT609" s="80" t="str">
        <f>IF(AC609=1,INT(B609)+1,"")</f>
        <v/>
      </c>
      <c r="AU609" s="80">
        <f>IF(AND(D609="proMX",R609="Cancelled"),0,1)</f>
        <v>1</v>
      </c>
      <c r="AV609" s="80">
        <f>IF(AND(AB609=1,AU609=1),IF(COUNTIFS($D$5:D608,D609,$B$5:B608,B609,$Z$5:Z608,Z609,$AA$5:AA608,AA609,$F$5:F608,F609&amp;"",$AU$5:AU608,1)&gt;0,1,0),0)</f>
        <v>0</v>
      </c>
      <c r="AW609" s="80" t="str">
        <f>IF(AB609=1,INT(B609)*1440+Z609,"")</f>
        <v/>
      </c>
      <c r="AX609" s="80" t="str">
        <f>IF(AB609=1,AW609+AD609,"")</f>
        <v/>
      </c>
      <c r="AY609" s="80">
        <f>IF(AND(AB609=1,AV609=0,AU609=1),1,0)</f>
        <v>0</v>
      </c>
      <c r="AZ609" s="80">
        <f>IF(AY609=1,COUNTIFS(R_Emp,D609,R_SAbs,"&lt;"&amp;AX609,R_EAbs,"&gt;"&amp;AW609,R_OKey,1)-1,0)</f>
        <v>0</v>
      </c>
      <c r="BA609" s="80">
        <f>IF(AY609=1,COUNTIFS(R_Emp,"&lt;&gt;"&amp;D609,R_SAbs,"&lt;"&amp;AX609,R_EAbs,"&gt;"&amp;AW609,R_OKey,1),0)</f>
        <v>0</v>
      </c>
      <c r="BB609" s="80">
        <f>IF(AND(AB609=1,D609="proMX"),IF(AND(MOD(Z609,CFG_BLK)=0,MOD(AA609,CFG_BLK)=0,MOD(AG609,CFG_BLK)=0,AG609&gt;0),1,0),1)</f>
        <v>1</v>
      </c>
      <c r="BC609" s="80" t="str">
        <f>IF(Y609=0,"",IF(NOT(ISNUMBER(B609)),"Falta fecha o fecha inválida",IF(D609="","Falta empresa",IF(AND(D609&lt;&gt;"Malcolm",D609&lt;&gt;"proMX"),"Empresa inválida",IF(OR(INT(B609)&lt;CFG_PSTART,INT(B609)&gt;CFG_PEND),"Fecha fuera del período",IF(OR(NOT(ISNUMBER(Z609)),NOT(ISNUMBER(AA609))),"Falta hora inicio/fin o formato inválido",IF(AB609=0,"Hora inicio = hora fin",IF(AE609&lt;0,"Descanso inválido",IF(AE609&gt;=AD609,"Descanso ≥ duración",IF(AV609=1,"Registro duplicado",IF(AZ609&gt;0,"Se superpone con otro registro "&amp;D609,IF(BB609=0,"inicio, fin y duración neta deben ser múltiplos de "&amp;CFG_BLK&amp;" min",""))))))))))))</f>
        <v/>
      </c>
      <c r="BD609" s="80">
        <f>IF(AND(Y609=1,BC609=""),1,0)</f>
        <v>0</v>
      </c>
      <c r="BE609" s="80">
        <f>IF(AND(BD609=1,AU609=1),1,0)</f>
        <v>0</v>
      </c>
      <c r="BF609" s="80" t="str">
        <f>IF(AND(D609="proMX",BD609=1),IF(R609="","Draft",R609),"")</f>
        <v/>
      </c>
      <c r="BG609" s="80">
        <f>IF(BD609=1,ROUND(AG609/60,6),0)</f>
        <v>0</v>
      </c>
      <c r="BH609" s="80">
        <f>IF(BE609=1,ROUND(AG609/60,6),0)</f>
        <v>0</v>
      </c>
      <c r="BI609" s="80">
        <f>IF(BE609=1,ROUND(AP609/60,6),0)</f>
        <v>0</v>
      </c>
      <c r="BJ609" s="80">
        <f>IF(BE609=1,ROUND(AQ609/60,6),0)</f>
        <v>0</v>
      </c>
      <c r="BK609" s="80">
        <f>IF(BE609=1,ROUND((AR609+AS609)/60,6),0)</f>
        <v>0</v>
      </c>
      <c r="BL609" s="80">
        <f>ROUND(BH609-BK609,6)</f>
        <v>0</v>
      </c>
      <c r="BM609" s="80">
        <f>IF(BE609=1,ROUND(AR609/60,6),0)</f>
        <v>0</v>
      </c>
      <c r="BN609" s="80">
        <f>ROUND(BI609-BM609,6)</f>
        <v>0</v>
      </c>
      <c r="BO609" s="80">
        <f>IF(BE609=1,ROUND(AS609/60,6),0)</f>
        <v>0</v>
      </c>
      <c r="BP609" s="80">
        <f>ROUND(BJ609-BO609,6)</f>
        <v>0</v>
      </c>
      <c r="BQ609" s="80">
        <f>IF(BE609=1,AW609,0)</f>
        <v>0</v>
      </c>
      <c r="BR609" s="80">
        <f>IF(BE609=1,AX609,0)</f>
        <v>0</v>
      </c>
      <c r="BS609" s="80">
        <f>IF(AND(BE609=1,D609="Malcolm",BA609&gt;0),MIN(BH609,SUMPRODUCT((R_Emp="proMX")*(R_EN&gt;0)*((R_EN-(R_EN&gt;BR609)*(R_EN-BR609))&gt;(R_SN+(R_SN&lt;BQ609)*(BQ609-R_SN)))*((R_EN-(R_EN&gt;BR609)*(R_EN-BR609))-(R_SN+(R_SN&lt;BQ609)*(BQ609-R_SN))))/60),0)</f>
        <v>0</v>
      </c>
      <c r="BT609" s="80">
        <f>IF(AND(BE609=1,D609="proMX"),ROUND(BI609*CFG_RATE+BJ609*CFG_OTRATE,6),0)</f>
        <v>0</v>
      </c>
      <c r="BU609" s="80">
        <f>IF(AND(BD609=1,D609="proMX"),ROUND(AG609/CFG_BLK,6),0)</f>
        <v>0</v>
      </c>
      <c r="BV609" s="80" t="str">
        <f>IF(BF609="Approved",IF(ISNUMBER(T609),INT(T609),INT(B609)),"")</f>
        <v/>
      </c>
      <c r="BW609" s="80">
        <f>IF(ISNUMBER(B609),IF(DB_MON="Todos",1,IF(AND(INT(B609)&gt;=DB_MS,INT(B609)&lt;=DB_ME),1,0)),0)</f>
        <v>0</v>
      </c>
      <c r="BX609" s="80">
        <f>IF(DB_PROJ="Todos",1,IF(E609&amp;""=DB_PROJ&amp;"",1,0))</f>
        <v>1</v>
      </c>
      <c r="BY609" s="80">
        <f>BW609*BX609</f>
        <v>0</v>
      </c>
      <c r="BZ609" s="80" t="str">
        <f>IF(Y609=1,F609&amp;IF(AND(F609&amp;""&lt;&gt;"",E609&amp;""&lt;&gt;"")," · ","")&amp;E609,"")</f>
        <v/>
      </c>
      <c r="CA609" s="80" t="str">
        <f>IF(AND(BD609=1,E609&amp;""&lt;&gt;""),IF(COUNTIFS($E$5:E608,E609,$BD$5:BD608,1)=0,MAX($CA$5:CA608)+1,""),"")</f>
        <v/>
      </c>
      <c r="CB609" s="80" t="str">
        <f>IF(AND(BE609=1,D609="Malcolm",E609&amp;""&lt;&gt;""),IF(COUNTIFS($D$5:D608,"Malcolm",$E$5:E608,E609,$BE$5:BE608,1)=0,MAX($CB$5:CB608)+1,""),"")</f>
        <v/>
      </c>
      <c r="CC609" s="80" t="str">
        <f>IF(AND(BD609=1,D609="proMX",E609&amp;""&lt;&gt;""),IF(COUNTIFS($D$5:D608,"proMX",$E$5:E608,E609,$BD$5:BD608,1)=0,MAX($CC$5:CC608)+1,""),"")</f>
        <v/>
      </c>
      <c r="CD609" s="80" t="str">
        <f>IF(AND(BE609=1,D609="Malcolm",F609&amp;""&lt;&gt;""),IF(COUNTIFS($D$5:D608,"Malcolm",$F$5:F608,F609,$BE$5:BE608,1)=0,MAX($CD$5:CD608)+1,""),"")</f>
        <v/>
      </c>
      <c r="CE609" s="80" t="str">
        <f>IF(AND(BD609=1,D609="proMX",F609&amp;""&lt;&gt;""),IF(COUNTIFS($D$5:D608,"proMX",$F$5:F608,F609,$BD$5:BD608,1)=0,MAX($CE$5:CE608)+1,""),"")</f>
        <v/>
      </c>
      <c r="CF609" s="80" t="str">
        <f>IF(AND(D609="proMX",BD609=1),IF(OR(BF609="Draft",BF609="Submitted",BF609="Returned",BF609="Recall Requested"),MAX($CF$5:CF608)+1,""),"")</f>
        <v/>
      </c>
      <c r="CG609" s="80">
        <f>IF(BD609=0,0,IF(D609="Malcolm",1,MATCH(BF609,{"Draft","Submitted","Approved","Returned","Recall Requested","Cancelled"},0)+1))</f>
        <v>0</v>
      </c>
      <c r="CH609" s="80">
        <f>IF(AND(BF609="Submitted",ISNUMBER(V609)),IF(V609&gt;CFG_MAXD,1,0),0)</f>
        <v>0</v>
      </c>
    </row>
    <row r="610">
      <c r="A610" s="71" t="str">
        <f>IF(Y610=1,ROW()-5,"")</f>
        <v/>
      </c>
      <c r="B610" s="72" t="n"/>
      <c r="C610" s="71" t="str">
        <f>IF(ISNUMBER(B610),CHOOSE(WEEKDAY(B610,2),"Lun","Mar","Mié","Jue","Vie","Sáb","Dom"),"")</f>
        <v/>
      </c>
      <c r="D610" s="73" t="n"/>
      <c r="E610" s="74" t="n"/>
      <c r="F610" s="74" t="n"/>
      <c r="G610" s="74" t="n"/>
      <c r="H610" s="75" t="n"/>
      <c r="I610" s="75" t="n"/>
      <c r="J610" s="76" t="n"/>
      <c r="K610" s="77" t="str">
        <f>IF(AB610=1,ROUND(AG610/60,4),"")</f>
        <v/>
      </c>
      <c r="L610" s="77" t="str">
        <f>IF(BD610=1,ROUND(AP610/60,4),"")</f>
        <v/>
      </c>
      <c r="M610" s="77" t="str">
        <f>IF(BD610=1,ROUND(AQ610/60,4),"")</f>
        <v/>
      </c>
      <c r="N610" s="71" t="str">
        <f>IF(AND(D610="proMX",AB610=1),ROUND(AG610/CFG_BLK,2),"")</f>
        <v/>
      </c>
      <c r="O610" s="77" t="str">
        <f>IF(D610="proMX",IF(BD610=1,ROUND(AG610/60,4),0),"")</f>
        <v/>
      </c>
      <c r="P610" s="78" t="str">
        <f>IF(Y610=0,"",IF(BD610=1,"OK",IF(D610="proMX","Revisar bloques: ","Revisar: ")&amp;BC610))</f>
        <v/>
      </c>
      <c r="Q610" s="78" t="str">
        <f>IF(NOT(ISNUMBER(B610)),"",IF(COUNTIFS(FER_F,INT(B610))&gt;0,"Feriado"&amp;IF(AH610=1," (laborable)"," (no laborable)"),IF(AH610=1,"Laborable",IF(WEEKDAY(B610,2)&gt;5,"Fin de semana","No laborable"))))</f>
        <v/>
      </c>
      <c r="R610" s="73" t="n"/>
      <c r="S610" s="72" t="n"/>
      <c r="T610" s="72" t="n"/>
      <c r="U610" s="74" t="n"/>
      <c r="V610" s="79" t="str">
        <f>IF(AND(D610="proMX",OR(R610="Submitted",R610="Recall Requested"),ISNUMBER(S610)),CFG_TODAY-INT(S610),"")</f>
        <v/>
      </c>
      <c r="W610" s="78" t="str">
        <f>IF(BD610=0,"",IF(BA610&gt;0,"⚠ Se superpone con un registro de la otra empresa",IF(D610="Malcolm",IF(COUNTA(R610,S610,T610)&gt;0,"Estado/fechas proMX se ignoran en Malcolm",""),IF(BF610="Cancelled","Cancelado: excluido de totales",IF(R610="","Sin estado: se trata como Draft",IF(BF610="Submitted",IF(ISNUMBER(V610),IF(V610&gt;CFG_MAXD,"⚠ "&amp;V610&amp;" días en Submitted (máx. "&amp;CFG_MAXD&amp;")",""),"Falta fecha de envío"),IF(BF610="Returned","⚠ Devuelto: corregir y reenviar",IF(BF610="Recall Requested","Retirada solicitada: pendiente",IF(AND(BF610="Approved",NOT(ISNUMBER(T610))),"Falta fecha de aprobación",IF(AND(ISNUMBER(S610),ISNUMBER(T610),T610&lt;S610),"Aprobación anterior al envío","")))))))))</f>
        <v/>
      </c>
      <c r="Y610" s="80">
        <f>IF(COUNTA(B610,D610,E610,F610,G610,H610,I610,J610,R610,S610,T610)&gt;0,1,0)</f>
        <v>0</v>
      </c>
      <c r="Z610" s="80" t="str">
        <f>IF(AND(ISNUMBER(H610),H610&gt;=0,H610&lt;1),ROUND(H610*1440,0),"")</f>
        <v/>
      </c>
      <c r="AA610" s="80" t="str">
        <f>IF(AND(ISNUMBER(I610),I610&gt;=0,I610&lt;1),ROUND(I610*1440,0),"")</f>
        <v/>
      </c>
      <c r="AB610" s="80">
        <f>IF(AND(ISNUMBER(B610),D610&lt;&gt;"",ISNUMBER(Z610),ISNUMBER(AA610)),IF(Z610=AA610,0,1),0)</f>
        <v>0</v>
      </c>
      <c r="AC610" s="80">
        <f>IF(AB610=1,IF(AA610&lt;Z610,1,0),0)</f>
        <v>0</v>
      </c>
      <c r="AD610" s="80">
        <f>IF(AB610=1,IF(AC610=1,1440-Z610+AA610,AA610-Z610),0)</f>
        <v>0</v>
      </c>
      <c r="AE610" s="80">
        <f>IF(J610="",0,IF(ISNUMBER(J610),J610,-1))</f>
        <v>0</v>
      </c>
      <c r="AF610" s="80">
        <f>MIN(MAX(0,AE610),AD610)</f>
        <v>0</v>
      </c>
      <c r="AG610" s="80">
        <f>MAX(0,AD610-MAX(0,AE610))</f>
        <v>0</v>
      </c>
      <c r="AH610" s="80">
        <f>IF(ISNUMBER(B610),IF(AND(INDEX(CFG_WDAYS,WEEKDAY(INT(B610),2))="Sí",IF(D610="proMX",COUNTIFS(FER_F,INT(B610),FER_NLP,"Sí"),COUNTIFS(FER_F,INT(B610),FER_NLM,"Sí"))=0),1,0),0)</f>
        <v>0</v>
      </c>
      <c r="AI610" s="80">
        <f>IF(AC610=1,IF(AND(INDEX(CFG_WDAYS,WEEKDAY(INT(B610)+1,2))="Sí",IF(D610="proMX",COUNTIFS(FER_F,INT(B610)+1,FER_NLP,"Sí"),COUNTIFS(FER_F,INT(B610)+1,FER_NLM,"Sí"))=0),1,0),0)</f>
        <v>0</v>
      </c>
      <c r="AJ610" s="80">
        <f>IF(AC610=1,1440-Z610,AD610)</f>
        <v>0</v>
      </c>
      <c r="AK610" s="80">
        <f>IF(AND(AB610=1,AH610=1),MAX(0,MIN(IF(AC610=1,1440,AA610),CFG_WEM)-MAX(Z610,CFG_WSM)),0)</f>
        <v>0</v>
      </c>
      <c r="AL610" s="80">
        <f>IF(AND(AC610=1,AI610=1),MAX(0,MIN(AA610,CFG_WEM)-CFG_WSM),0)</f>
        <v>0</v>
      </c>
      <c r="AM610" s="80">
        <f>AK610+AL610</f>
        <v>0</v>
      </c>
      <c r="AN610" s="80">
        <f>IF(CFG_BRK="Proporcional",IF(AD610=0,0,AF610*AM610/AD610),IF(CFG_BRK="Extras primero",MIN(AM610,MAX(0,AF610-(AD610-AM610))),MIN(AF610,AM610)))</f>
        <v>0</v>
      </c>
      <c r="AO610" s="80">
        <f>AF610-AN610</f>
        <v>0</v>
      </c>
      <c r="AP610" s="80">
        <f>AM610-AN610</f>
        <v>0</v>
      </c>
      <c r="AQ610" s="80">
        <f>AD610-AM610-AO610</f>
        <v>0</v>
      </c>
      <c r="AR610" s="80">
        <f>IF(AM610=0,0,AK610-AN610*AK610/AM610)</f>
        <v>0</v>
      </c>
      <c r="AS610" s="80">
        <f>IF(AD610-AM610=0,0,(AJ610-AK610)-AO610*(AJ610-AK610)/(AD610-AM610))</f>
        <v>0</v>
      </c>
      <c r="AT610" s="80" t="str">
        <f>IF(AC610=1,INT(B610)+1,"")</f>
        <v/>
      </c>
      <c r="AU610" s="80">
        <f>IF(AND(D610="proMX",R610="Cancelled"),0,1)</f>
        <v>1</v>
      </c>
      <c r="AV610" s="80">
        <f>IF(AND(AB610=1,AU610=1),IF(COUNTIFS($D$5:D609,D610,$B$5:B609,B610,$Z$5:Z609,Z610,$AA$5:AA609,AA610,$F$5:F609,F610&amp;"",$AU$5:AU609,1)&gt;0,1,0),0)</f>
        <v>0</v>
      </c>
      <c r="AW610" s="80" t="str">
        <f>IF(AB610=1,INT(B610)*1440+Z610,"")</f>
        <v/>
      </c>
      <c r="AX610" s="80" t="str">
        <f>IF(AB610=1,AW610+AD610,"")</f>
        <v/>
      </c>
      <c r="AY610" s="80">
        <f>IF(AND(AB610=1,AV610=0,AU610=1),1,0)</f>
        <v>0</v>
      </c>
      <c r="AZ610" s="80">
        <f>IF(AY610=1,COUNTIFS(R_Emp,D610,R_SAbs,"&lt;"&amp;AX610,R_EAbs,"&gt;"&amp;AW610,R_OKey,1)-1,0)</f>
        <v>0</v>
      </c>
      <c r="BA610" s="80">
        <f>IF(AY610=1,COUNTIFS(R_Emp,"&lt;&gt;"&amp;D610,R_SAbs,"&lt;"&amp;AX610,R_EAbs,"&gt;"&amp;AW610,R_OKey,1),0)</f>
        <v>0</v>
      </c>
      <c r="BB610" s="80">
        <f>IF(AND(AB610=1,D610="proMX"),IF(AND(MOD(Z610,CFG_BLK)=0,MOD(AA610,CFG_BLK)=0,MOD(AG610,CFG_BLK)=0,AG610&gt;0),1,0),1)</f>
        <v>1</v>
      </c>
      <c r="BC610" s="80" t="str">
        <f>IF(Y610=0,"",IF(NOT(ISNUMBER(B610)),"Falta fecha o fecha inválida",IF(D610="","Falta empresa",IF(AND(D610&lt;&gt;"Malcolm",D610&lt;&gt;"proMX"),"Empresa inválida",IF(OR(INT(B610)&lt;CFG_PSTART,INT(B610)&gt;CFG_PEND),"Fecha fuera del período",IF(OR(NOT(ISNUMBER(Z610)),NOT(ISNUMBER(AA610))),"Falta hora inicio/fin o formato inválido",IF(AB610=0,"Hora inicio = hora fin",IF(AE610&lt;0,"Descanso inválido",IF(AE610&gt;=AD610,"Descanso ≥ duración",IF(AV610=1,"Registro duplicado",IF(AZ610&gt;0,"Se superpone con otro registro "&amp;D610,IF(BB610=0,"inicio, fin y duración neta deben ser múltiplos de "&amp;CFG_BLK&amp;" min",""))))))))))))</f>
        <v/>
      </c>
      <c r="BD610" s="80">
        <f>IF(AND(Y610=1,BC610=""),1,0)</f>
        <v>0</v>
      </c>
      <c r="BE610" s="80">
        <f>IF(AND(BD610=1,AU610=1),1,0)</f>
        <v>0</v>
      </c>
      <c r="BF610" s="80" t="str">
        <f>IF(AND(D610="proMX",BD610=1),IF(R610="","Draft",R610),"")</f>
        <v/>
      </c>
      <c r="BG610" s="80">
        <f>IF(BD610=1,ROUND(AG610/60,6),0)</f>
        <v>0</v>
      </c>
      <c r="BH610" s="80">
        <f>IF(BE610=1,ROUND(AG610/60,6),0)</f>
        <v>0</v>
      </c>
      <c r="BI610" s="80">
        <f>IF(BE610=1,ROUND(AP610/60,6),0)</f>
        <v>0</v>
      </c>
      <c r="BJ610" s="80">
        <f>IF(BE610=1,ROUND(AQ610/60,6),0)</f>
        <v>0</v>
      </c>
      <c r="BK610" s="80">
        <f>IF(BE610=1,ROUND((AR610+AS610)/60,6),0)</f>
        <v>0</v>
      </c>
      <c r="BL610" s="80">
        <f>ROUND(BH610-BK610,6)</f>
        <v>0</v>
      </c>
      <c r="BM610" s="80">
        <f>IF(BE610=1,ROUND(AR610/60,6),0)</f>
        <v>0</v>
      </c>
      <c r="BN610" s="80">
        <f>ROUND(BI610-BM610,6)</f>
        <v>0</v>
      </c>
      <c r="BO610" s="80">
        <f>IF(BE610=1,ROUND(AS610/60,6),0)</f>
        <v>0</v>
      </c>
      <c r="BP610" s="80">
        <f>ROUND(BJ610-BO610,6)</f>
        <v>0</v>
      </c>
      <c r="BQ610" s="80">
        <f>IF(BE610=1,AW610,0)</f>
        <v>0</v>
      </c>
      <c r="BR610" s="80">
        <f>IF(BE610=1,AX610,0)</f>
        <v>0</v>
      </c>
      <c r="BS610" s="80">
        <f>IF(AND(BE610=1,D610="Malcolm",BA610&gt;0),MIN(BH610,SUMPRODUCT((R_Emp="proMX")*(R_EN&gt;0)*((R_EN-(R_EN&gt;BR610)*(R_EN-BR610))&gt;(R_SN+(R_SN&lt;BQ610)*(BQ610-R_SN)))*((R_EN-(R_EN&gt;BR610)*(R_EN-BR610))-(R_SN+(R_SN&lt;BQ610)*(BQ610-R_SN))))/60),0)</f>
        <v>0</v>
      </c>
      <c r="BT610" s="80">
        <f>IF(AND(BE610=1,D610="proMX"),ROUND(BI610*CFG_RATE+BJ610*CFG_OTRATE,6),0)</f>
        <v>0</v>
      </c>
      <c r="BU610" s="80">
        <f>IF(AND(BD610=1,D610="proMX"),ROUND(AG610/CFG_BLK,6),0)</f>
        <v>0</v>
      </c>
      <c r="BV610" s="80" t="str">
        <f>IF(BF610="Approved",IF(ISNUMBER(T610),INT(T610),INT(B610)),"")</f>
        <v/>
      </c>
      <c r="BW610" s="80">
        <f>IF(ISNUMBER(B610),IF(DB_MON="Todos",1,IF(AND(INT(B610)&gt;=DB_MS,INT(B610)&lt;=DB_ME),1,0)),0)</f>
        <v>0</v>
      </c>
      <c r="BX610" s="80">
        <f>IF(DB_PROJ="Todos",1,IF(E610&amp;""=DB_PROJ&amp;"",1,0))</f>
        <v>1</v>
      </c>
      <c r="BY610" s="80">
        <f>BW610*BX610</f>
        <v>0</v>
      </c>
      <c r="BZ610" s="80" t="str">
        <f>IF(Y610=1,F610&amp;IF(AND(F610&amp;""&lt;&gt;"",E610&amp;""&lt;&gt;"")," · ","")&amp;E610,"")</f>
        <v/>
      </c>
      <c r="CA610" s="80" t="str">
        <f>IF(AND(BD610=1,E610&amp;""&lt;&gt;""),IF(COUNTIFS($E$5:E609,E610,$BD$5:BD609,1)=0,MAX($CA$5:CA609)+1,""),"")</f>
        <v/>
      </c>
      <c r="CB610" s="80" t="str">
        <f>IF(AND(BE610=1,D610="Malcolm",E610&amp;""&lt;&gt;""),IF(COUNTIFS($D$5:D609,"Malcolm",$E$5:E609,E610,$BE$5:BE609,1)=0,MAX($CB$5:CB609)+1,""),"")</f>
        <v/>
      </c>
      <c r="CC610" s="80" t="str">
        <f>IF(AND(BD610=1,D610="proMX",E610&amp;""&lt;&gt;""),IF(COUNTIFS($D$5:D609,"proMX",$E$5:E609,E610,$BD$5:BD609,1)=0,MAX($CC$5:CC609)+1,""),"")</f>
        <v/>
      </c>
      <c r="CD610" s="80" t="str">
        <f>IF(AND(BE610=1,D610="Malcolm",F610&amp;""&lt;&gt;""),IF(COUNTIFS($D$5:D609,"Malcolm",$F$5:F609,F610,$BE$5:BE609,1)=0,MAX($CD$5:CD609)+1,""),"")</f>
        <v/>
      </c>
      <c r="CE610" s="80" t="str">
        <f>IF(AND(BD610=1,D610="proMX",F610&amp;""&lt;&gt;""),IF(COUNTIFS($D$5:D609,"proMX",$F$5:F609,F610,$BD$5:BD609,1)=0,MAX($CE$5:CE609)+1,""),"")</f>
        <v/>
      </c>
      <c r="CF610" s="80" t="str">
        <f>IF(AND(D610="proMX",BD610=1),IF(OR(BF610="Draft",BF610="Submitted",BF610="Returned",BF610="Recall Requested"),MAX($CF$5:CF609)+1,""),"")</f>
        <v/>
      </c>
      <c r="CG610" s="80">
        <f>IF(BD610=0,0,IF(D610="Malcolm",1,MATCH(BF610,{"Draft","Submitted","Approved","Returned","Recall Requested","Cancelled"},0)+1))</f>
        <v>0</v>
      </c>
      <c r="CH610" s="80">
        <f>IF(AND(BF610="Submitted",ISNUMBER(V610)),IF(V610&gt;CFG_MAXD,1,0),0)</f>
        <v>0</v>
      </c>
    </row>
    <row r="611">
      <c r="A611" s="71" t="str">
        <f>IF(Y611=1,ROW()-5,"")</f>
        <v/>
      </c>
      <c r="B611" s="72" t="n"/>
      <c r="C611" s="71" t="str">
        <f>IF(ISNUMBER(B611),CHOOSE(WEEKDAY(B611,2),"Lun","Mar","Mié","Jue","Vie","Sáb","Dom"),"")</f>
        <v/>
      </c>
      <c r="D611" s="73" t="n"/>
      <c r="E611" s="74" t="n"/>
      <c r="F611" s="74" t="n"/>
      <c r="G611" s="74" t="n"/>
      <c r="H611" s="75" t="n"/>
      <c r="I611" s="75" t="n"/>
      <c r="J611" s="76" t="n"/>
      <c r="K611" s="77" t="str">
        <f>IF(AB611=1,ROUND(AG611/60,4),"")</f>
        <v/>
      </c>
      <c r="L611" s="77" t="str">
        <f>IF(BD611=1,ROUND(AP611/60,4),"")</f>
        <v/>
      </c>
      <c r="M611" s="77" t="str">
        <f>IF(BD611=1,ROUND(AQ611/60,4),"")</f>
        <v/>
      </c>
      <c r="N611" s="71" t="str">
        <f>IF(AND(D611="proMX",AB611=1),ROUND(AG611/CFG_BLK,2),"")</f>
        <v/>
      </c>
      <c r="O611" s="77" t="str">
        <f>IF(D611="proMX",IF(BD611=1,ROUND(AG611/60,4),0),"")</f>
        <v/>
      </c>
      <c r="P611" s="78" t="str">
        <f>IF(Y611=0,"",IF(BD611=1,"OK",IF(D611="proMX","Revisar bloques: ","Revisar: ")&amp;BC611))</f>
        <v/>
      </c>
      <c r="Q611" s="78" t="str">
        <f>IF(NOT(ISNUMBER(B611)),"",IF(COUNTIFS(FER_F,INT(B611))&gt;0,"Feriado"&amp;IF(AH611=1," (laborable)"," (no laborable)"),IF(AH611=1,"Laborable",IF(WEEKDAY(B611,2)&gt;5,"Fin de semana","No laborable"))))</f>
        <v/>
      </c>
      <c r="R611" s="73" t="n"/>
      <c r="S611" s="72" t="n"/>
      <c r="T611" s="72" t="n"/>
      <c r="U611" s="74" t="n"/>
      <c r="V611" s="79" t="str">
        <f>IF(AND(D611="proMX",OR(R611="Submitted",R611="Recall Requested"),ISNUMBER(S611)),CFG_TODAY-INT(S611),"")</f>
        <v/>
      </c>
      <c r="W611" s="78" t="str">
        <f>IF(BD611=0,"",IF(BA611&gt;0,"⚠ Se superpone con un registro de la otra empresa",IF(D611="Malcolm",IF(COUNTA(R611,S611,T611)&gt;0,"Estado/fechas proMX se ignoran en Malcolm",""),IF(BF611="Cancelled","Cancelado: excluido de totales",IF(R611="","Sin estado: se trata como Draft",IF(BF611="Submitted",IF(ISNUMBER(V611),IF(V611&gt;CFG_MAXD,"⚠ "&amp;V611&amp;" días en Submitted (máx. "&amp;CFG_MAXD&amp;")",""),"Falta fecha de envío"),IF(BF611="Returned","⚠ Devuelto: corregir y reenviar",IF(BF611="Recall Requested","Retirada solicitada: pendiente",IF(AND(BF611="Approved",NOT(ISNUMBER(T611))),"Falta fecha de aprobación",IF(AND(ISNUMBER(S611),ISNUMBER(T611),T611&lt;S611),"Aprobación anterior al envío","")))))))))</f>
        <v/>
      </c>
      <c r="Y611" s="80">
        <f>IF(COUNTA(B611,D611,E611,F611,G611,H611,I611,J611,R611,S611,T611)&gt;0,1,0)</f>
        <v>0</v>
      </c>
      <c r="Z611" s="80" t="str">
        <f>IF(AND(ISNUMBER(H611),H611&gt;=0,H611&lt;1),ROUND(H611*1440,0),"")</f>
        <v/>
      </c>
      <c r="AA611" s="80" t="str">
        <f>IF(AND(ISNUMBER(I611),I611&gt;=0,I611&lt;1),ROUND(I611*1440,0),"")</f>
        <v/>
      </c>
      <c r="AB611" s="80">
        <f>IF(AND(ISNUMBER(B611),D611&lt;&gt;"",ISNUMBER(Z611),ISNUMBER(AA611)),IF(Z611=AA611,0,1),0)</f>
        <v>0</v>
      </c>
      <c r="AC611" s="80">
        <f>IF(AB611=1,IF(AA611&lt;Z611,1,0),0)</f>
        <v>0</v>
      </c>
      <c r="AD611" s="80">
        <f>IF(AB611=1,IF(AC611=1,1440-Z611+AA611,AA611-Z611),0)</f>
        <v>0</v>
      </c>
      <c r="AE611" s="80">
        <f>IF(J611="",0,IF(ISNUMBER(J611),J611,-1))</f>
        <v>0</v>
      </c>
      <c r="AF611" s="80">
        <f>MIN(MAX(0,AE611),AD611)</f>
        <v>0</v>
      </c>
      <c r="AG611" s="80">
        <f>MAX(0,AD611-MAX(0,AE611))</f>
        <v>0</v>
      </c>
      <c r="AH611" s="80">
        <f>IF(ISNUMBER(B611),IF(AND(INDEX(CFG_WDAYS,WEEKDAY(INT(B611),2))="Sí",IF(D611="proMX",COUNTIFS(FER_F,INT(B611),FER_NLP,"Sí"),COUNTIFS(FER_F,INT(B611),FER_NLM,"Sí"))=0),1,0),0)</f>
        <v>0</v>
      </c>
      <c r="AI611" s="80">
        <f>IF(AC611=1,IF(AND(INDEX(CFG_WDAYS,WEEKDAY(INT(B611)+1,2))="Sí",IF(D611="proMX",COUNTIFS(FER_F,INT(B611)+1,FER_NLP,"Sí"),COUNTIFS(FER_F,INT(B611)+1,FER_NLM,"Sí"))=0),1,0),0)</f>
        <v>0</v>
      </c>
      <c r="AJ611" s="80">
        <f>IF(AC611=1,1440-Z611,AD611)</f>
        <v>0</v>
      </c>
      <c r="AK611" s="80">
        <f>IF(AND(AB611=1,AH611=1),MAX(0,MIN(IF(AC611=1,1440,AA611),CFG_WEM)-MAX(Z611,CFG_WSM)),0)</f>
        <v>0</v>
      </c>
      <c r="AL611" s="80">
        <f>IF(AND(AC611=1,AI611=1),MAX(0,MIN(AA611,CFG_WEM)-CFG_WSM),0)</f>
        <v>0</v>
      </c>
      <c r="AM611" s="80">
        <f>AK611+AL611</f>
        <v>0</v>
      </c>
      <c r="AN611" s="80">
        <f>IF(CFG_BRK="Proporcional",IF(AD611=0,0,AF611*AM611/AD611),IF(CFG_BRK="Extras primero",MIN(AM611,MAX(0,AF611-(AD611-AM611))),MIN(AF611,AM611)))</f>
        <v>0</v>
      </c>
      <c r="AO611" s="80">
        <f>AF611-AN611</f>
        <v>0</v>
      </c>
      <c r="AP611" s="80">
        <f>AM611-AN611</f>
        <v>0</v>
      </c>
      <c r="AQ611" s="80">
        <f>AD611-AM611-AO611</f>
        <v>0</v>
      </c>
      <c r="AR611" s="80">
        <f>IF(AM611=0,0,AK611-AN611*AK611/AM611)</f>
        <v>0</v>
      </c>
      <c r="AS611" s="80">
        <f>IF(AD611-AM611=0,0,(AJ611-AK611)-AO611*(AJ611-AK611)/(AD611-AM611))</f>
        <v>0</v>
      </c>
      <c r="AT611" s="80" t="str">
        <f>IF(AC611=1,INT(B611)+1,"")</f>
        <v/>
      </c>
      <c r="AU611" s="80">
        <f>IF(AND(D611="proMX",R611="Cancelled"),0,1)</f>
        <v>1</v>
      </c>
      <c r="AV611" s="80">
        <f>IF(AND(AB611=1,AU611=1),IF(COUNTIFS($D$5:D610,D611,$B$5:B610,B611,$Z$5:Z610,Z611,$AA$5:AA610,AA611,$F$5:F610,F611&amp;"",$AU$5:AU610,1)&gt;0,1,0),0)</f>
        <v>0</v>
      </c>
      <c r="AW611" s="80" t="str">
        <f>IF(AB611=1,INT(B611)*1440+Z611,"")</f>
        <v/>
      </c>
      <c r="AX611" s="80" t="str">
        <f>IF(AB611=1,AW611+AD611,"")</f>
        <v/>
      </c>
      <c r="AY611" s="80">
        <f>IF(AND(AB611=1,AV611=0,AU611=1),1,0)</f>
        <v>0</v>
      </c>
      <c r="AZ611" s="80">
        <f>IF(AY611=1,COUNTIFS(R_Emp,D611,R_SAbs,"&lt;"&amp;AX611,R_EAbs,"&gt;"&amp;AW611,R_OKey,1)-1,0)</f>
        <v>0</v>
      </c>
      <c r="BA611" s="80">
        <f>IF(AY611=1,COUNTIFS(R_Emp,"&lt;&gt;"&amp;D611,R_SAbs,"&lt;"&amp;AX611,R_EAbs,"&gt;"&amp;AW611,R_OKey,1),0)</f>
        <v>0</v>
      </c>
      <c r="BB611" s="80">
        <f>IF(AND(AB611=1,D611="proMX"),IF(AND(MOD(Z611,CFG_BLK)=0,MOD(AA611,CFG_BLK)=0,MOD(AG611,CFG_BLK)=0,AG611&gt;0),1,0),1)</f>
        <v>1</v>
      </c>
      <c r="BC611" s="80" t="str">
        <f>IF(Y611=0,"",IF(NOT(ISNUMBER(B611)),"Falta fecha o fecha inválida",IF(D611="","Falta empresa",IF(AND(D611&lt;&gt;"Malcolm",D611&lt;&gt;"proMX"),"Empresa inválida",IF(OR(INT(B611)&lt;CFG_PSTART,INT(B611)&gt;CFG_PEND),"Fecha fuera del período",IF(OR(NOT(ISNUMBER(Z611)),NOT(ISNUMBER(AA611))),"Falta hora inicio/fin o formato inválido",IF(AB611=0,"Hora inicio = hora fin",IF(AE611&lt;0,"Descanso inválido",IF(AE611&gt;=AD611,"Descanso ≥ duración",IF(AV611=1,"Registro duplicado",IF(AZ611&gt;0,"Se superpone con otro registro "&amp;D611,IF(BB611=0,"inicio, fin y duración neta deben ser múltiplos de "&amp;CFG_BLK&amp;" min",""))))))))))))</f>
        <v/>
      </c>
      <c r="BD611" s="80">
        <f>IF(AND(Y611=1,BC611=""),1,0)</f>
        <v>0</v>
      </c>
      <c r="BE611" s="80">
        <f>IF(AND(BD611=1,AU611=1),1,0)</f>
        <v>0</v>
      </c>
      <c r="BF611" s="80" t="str">
        <f>IF(AND(D611="proMX",BD611=1),IF(R611="","Draft",R611),"")</f>
        <v/>
      </c>
      <c r="BG611" s="80">
        <f>IF(BD611=1,ROUND(AG611/60,6),0)</f>
        <v>0</v>
      </c>
      <c r="BH611" s="80">
        <f>IF(BE611=1,ROUND(AG611/60,6),0)</f>
        <v>0</v>
      </c>
      <c r="BI611" s="80">
        <f>IF(BE611=1,ROUND(AP611/60,6),0)</f>
        <v>0</v>
      </c>
      <c r="BJ611" s="80">
        <f>IF(BE611=1,ROUND(AQ611/60,6),0)</f>
        <v>0</v>
      </c>
      <c r="BK611" s="80">
        <f>IF(BE611=1,ROUND((AR611+AS611)/60,6),0)</f>
        <v>0</v>
      </c>
      <c r="BL611" s="80">
        <f>ROUND(BH611-BK611,6)</f>
        <v>0</v>
      </c>
      <c r="BM611" s="80">
        <f>IF(BE611=1,ROUND(AR611/60,6),0)</f>
        <v>0</v>
      </c>
      <c r="BN611" s="80">
        <f>ROUND(BI611-BM611,6)</f>
        <v>0</v>
      </c>
      <c r="BO611" s="80">
        <f>IF(BE611=1,ROUND(AS611/60,6),0)</f>
        <v>0</v>
      </c>
      <c r="BP611" s="80">
        <f>ROUND(BJ611-BO611,6)</f>
        <v>0</v>
      </c>
      <c r="BQ611" s="80">
        <f>IF(BE611=1,AW611,0)</f>
        <v>0</v>
      </c>
      <c r="BR611" s="80">
        <f>IF(BE611=1,AX611,0)</f>
        <v>0</v>
      </c>
      <c r="BS611" s="80">
        <f>IF(AND(BE611=1,D611="Malcolm",BA611&gt;0),MIN(BH611,SUMPRODUCT((R_Emp="proMX")*(R_EN&gt;0)*((R_EN-(R_EN&gt;BR611)*(R_EN-BR611))&gt;(R_SN+(R_SN&lt;BQ611)*(BQ611-R_SN)))*((R_EN-(R_EN&gt;BR611)*(R_EN-BR611))-(R_SN+(R_SN&lt;BQ611)*(BQ611-R_SN))))/60),0)</f>
        <v>0</v>
      </c>
      <c r="BT611" s="80">
        <f>IF(AND(BE611=1,D611="proMX"),ROUND(BI611*CFG_RATE+BJ611*CFG_OTRATE,6),0)</f>
        <v>0</v>
      </c>
      <c r="BU611" s="80">
        <f>IF(AND(BD611=1,D611="proMX"),ROUND(AG611/CFG_BLK,6),0)</f>
        <v>0</v>
      </c>
      <c r="BV611" s="80" t="str">
        <f>IF(BF611="Approved",IF(ISNUMBER(T611),INT(T611),INT(B611)),"")</f>
        <v/>
      </c>
      <c r="BW611" s="80">
        <f>IF(ISNUMBER(B611),IF(DB_MON="Todos",1,IF(AND(INT(B611)&gt;=DB_MS,INT(B611)&lt;=DB_ME),1,0)),0)</f>
        <v>0</v>
      </c>
      <c r="BX611" s="80">
        <f>IF(DB_PROJ="Todos",1,IF(E611&amp;""=DB_PROJ&amp;"",1,0))</f>
        <v>1</v>
      </c>
      <c r="BY611" s="80">
        <f>BW611*BX611</f>
        <v>0</v>
      </c>
      <c r="BZ611" s="80" t="str">
        <f>IF(Y611=1,F611&amp;IF(AND(F611&amp;""&lt;&gt;"",E611&amp;""&lt;&gt;"")," · ","")&amp;E611,"")</f>
        <v/>
      </c>
      <c r="CA611" s="80" t="str">
        <f>IF(AND(BD611=1,E611&amp;""&lt;&gt;""),IF(COUNTIFS($E$5:E610,E611,$BD$5:BD610,1)=0,MAX($CA$5:CA610)+1,""),"")</f>
        <v/>
      </c>
      <c r="CB611" s="80" t="str">
        <f>IF(AND(BE611=1,D611="Malcolm",E611&amp;""&lt;&gt;""),IF(COUNTIFS($D$5:D610,"Malcolm",$E$5:E610,E611,$BE$5:BE610,1)=0,MAX($CB$5:CB610)+1,""),"")</f>
        <v/>
      </c>
      <c r="CC611" s="80" t="str">
        <f>IF(AND(BD611=1,D611="proMX",E611&amp;""&lt;&gt;""),IF(COUNTIFS($D$5:D610,"proMX",$E$5:E610,E611,$BD$5:BD610,1)=0,MAX($CC$5:CC610)+1,""),"")</f>
        <v/>
      </c>
      <c r="CD611" s="80" t="str">
        <f>IF(AND(BE611=1,D611="Malcolm",F611&amp;""&lt;&gt;""),IF(COUNTIFS($D$5:D610,"Malcolm",$F$5:F610,F611,$BE$5:BE610,1)=0,MAX($CD$5:CD610)+1,""),"")</f>
        <v/>
      </c>
      <c r="CE611" s="80" t="str">
        <f>IF(AND(BD611=1,D611="proMX",F611&amp;""&lt;&gt;""),IF(COUNTIFS($D$5:D610,"proMX",$F$5:F610,F611,$BD$5:BD610,1)=0,MAX($CE$5:CE610)+1,""),"")</f>
        <v/>
      </c>
      <c r="CF611" s="80" t="str">
        <f>IF(AND(D611="proMX",BD611=1),IF(OR(BF611="Draft",BF611="Submitted",BF611="Returned",BF611="Recall Requested"),MAX($CF$5:CF610)+1,""),"")</f>
        <v/>
      </c>
      <c r="CG611" s="80">
        <f>IF(BD611=0,0,IF(D611="Malcolm",1,MATCH(BF611,{"Draft","Submitted","Approved","Returned","Recall Requested","Cancelled"},0)+1))</f>
        <v>0</v>
      </c>
      <c r="CH611" s="80">
        <f>IF(AND(BF611="Submitted",ISNUMBER(V611)),IF(V611&gt;CFG_MAXD,1,0),0)</f>
        <v>0</v>
      </c>
    </row>
    <row r="612">
      <c r="A612" s="71" t="str">
        <f>IF(Y612=1,ROW()-5,"")</f>
        <v/>
      </c>
      <c r="B612" s="72" t="n"/>
      <c r="C612" s="71" t="str">
        <f>IF(ISNUMBER(B612),CHOOSE(WEEKDAY(B612,2),"Lun","Mar","Mié","Jue","Vie","Sáb","Dom"),"")</f>
        <v/>
      </c>
      <c r="D612" s="73" t="n"/>
      <c r="E612" s="74" t="n"/>
      <c r="F612" s="74" t="n"/>
      <c r="G612" s="74" t="n"/>
      <c r="H612" s="75" t="n"/>
      <c r="I612" s="75" t="n"/>
      <c r="J612" s="76" t="n"/>
      <c r="K612" s="77" t="str">
        <f>IF(AB612=1,ROUND(AG612/60,4),"")</f>
        <v/>
      </c>
      <c r="L612" s="77" t="str">
        <f>IF(BD612=1,ROUND(AP612/60,4),"")</f>
        <v/>
      </c>
      <c r="M612" s="77" t="str">
        <f>IF(BD612=1,ROUND(AQ612/60,4),"")</f>
        <v/>
      </c>
      <c r="N612" s="71" t="str">
        <f>IF(AND(D612="proMX",AB612=1),ROUND(AG612/CFG_BLK,2),"")</f>
        <v/>
      </c>
      <c r="O612" s="77" t="str">
        <f>IF(D612="proMX",IF(BD612=1,ROUND(AG612/60,4),0),"")</f>
        <v/>
      </c>
      <c r="P612" s="78" t="str">
        <f>IF(Y612=0,"",IF(BD612=1,"OK",IF(D612="proMX","Revisar bloques: ","Revisar: ")&amp;BC612))</f>
        <v/>
      </c>
      <c r="Q612" s="78" t="str">
        <f>IF(NOT(ISNUMBER(B612)),"",IF(COUNTIFS(FER_F,INT(B612))&gt;0,"Feriado"&amp;IF(AH612=1," (laborable)"," (no laborable)"),IF(AH612=1,"Laborable",IF(WEEKDAY(B612,2)&gt;5,"Fin de semana","No laborable"))))</f>
        <v/>
      </c>
      <c r="R612" s="73" t="n"/>
      <c r="S612" s="72" t="n"/>
      <c r="T612" s="72" t="n"/>
      <c r="U612" s="74" t="n"/>
      <c r="V612" s="79" t="str">
        <f>IF(AND(D612="proMX",OR(R612="Submitted",R612="Recall Requested"),ISNUMBER(S612)),CFG_TODAY-INT(S612),"")</f>
        <v/>
      </c>
      <c r="W612" s="78" t="str">
        <f>IF(BD612=0,"",IF(BA612&gt;0,"⚠ Se superpone con un registro de la otra empresa",IF(D612="Malcolm",IF(COUNTA(R612,S612,T612)&gt;0,"Estado/fechas proMX se ignoran en Malcolm",""),IF(BF612="Cancelled","Cancelado: excluido de totales",IF(R612="","Sin estado: se trata como Draft",IF(BF612="Submitted",IF(ISNUMBER(V612),IF(V612&gt;CFG_MAXD,"⚠ "&amp;V612&amp;" días en Submitted (máx. "&amp;CFG_MAXD&amp;")",""),"Falta fecha de envío"),IF(BF612="Returned","⚠ Devuelto: corregir y reenviar",IF(BF612="Recall Requested","Retirada solicitada: pendiente",IF(AND(BF612="Approved",NOT(ISNUMBER(T612))),"Falta fecha de aprobación",IF(AND(ISNUMBER(S612),ISNUMBER(T612),T612&lt;S612),"Aprobación anterior al envío","")))))))))</f>
        <v/>
      </c>
      <c r="Y612" s="80">
        <f>IF(COUNTA(B612,D612,E612,F612,G612,H612,I612,J612,R612,S612,T612)&gt;0,1,0)</f>
        <v>0</v>
      </c>
      <c r="Z612" s="80" t="str">
        <f>IF(AND(ISNUMBER(H612),H612&gt;=0,H612&lt;1),ROUND(H612*1440,0),"")</f>
        <v/>
      </c>
      <c r="AA612" s="80" t="str">
        <f>IF(AND(ISNUMBER(I612),I612&gt;=0,I612&lt;1),ROUND(I612*1440,0),"")</f>
        <v/>
      </c>
      <c r="AB612" s="80">
        <f>IF(AND(ISNUMBER(B612),D612&lt;&gt;"",ISNUMBER(Z612),ISNUMBER(AA612)),IF(Z612=AA612,0,1),0)</f>
        <v>0</v>
      </c>
      <c r="AC612" s="80">
        <f>IF(AB612=1,IF(AA612&lt;Z612,1,0),0)</f>
        <v>0</v>
      </c>
      <c r="AD612" s="80">
        <f>IF(AB612=1,IF(AC612=1,1440-Z612+AA612,AA612-Z612),0)</f>
        <v>0</v>
      </c>
      <c r="AE612" s="80">
        <f>IF(J612="",0,IF(ISNUMBER(J612),J612,-1))</f>
        <v>0</v>
      </c>
      <c r="AF612" s="80">
        <f>MIN(MAX(0,AE612),AD612)</f>
        <v>0</v>
      </c>
      <c r="AG612" s="80">
        <f>MAX(0,AD612-MAX(0,AE612))</f>
        <v>0</v>
      </c>
      <c r="AH612" s="80">
        <f>IF(ISNUMBER(B612),IF(AND(INDEX(CFG_WDAYS,WEEKDAY(INT(B612),2))="Sí",IF(D612="proMX",COUNTIFS(FER_F,INT(B612),FER_NLP,"Sí"),COUNTIFS(FER_F,INT(B612),FER_NLM,"Sí"))=0),1,0),0)</f>
        <v>0</v>
      </c>
      <c r="AI612" s="80">
        <f>IF(AC612=1,IF(AND(INDEX(CFG_WDAYS,WEEKDAY(INT(B612)+1,2))="Sí",IF(D612="proMX",COUNTIFS(FER_F,INT(B612)+1,FER_NLP,"Sí"),COUNTIFS(FER_F,INT(B612)+1,FER_NLM,"Sí"))=0),1,0),0)</f>
        <v>0</v>
      </c>
      <c r="AJ612" s="80">
        <f>IF(AC612=1,1440-Z612,AD612)</f>
        <v>0</v>
      </c>
      <c r="AK612" s="80">
        <f>IF(AND(AB612=1,AH612=1),MAX(0,MIN(IF(AC612=1,1440,AA612),CFG_WEM)-MAX(Z612,CFG_WSM)),0)</f>
        <v>0</v>
      </c>
      <c r="AL612" s="80">
        <f>IF(AND(AC612=1,AI612=1),MAX(0,MIN(AA612,CFG_WEM)-CFG_WSM),0)</f>
        <v>0</v>
      </c>
      <c r="AM612" s="80">
        <f>AK612+AL612</f>
        <v>0</v>
      </c>
      <c r="AN612" s="80">
        <f>IF(CFG_BRK="Proporcional",IF(AD612=0,0,AF612*AM612/AD612),IF(CFG_BRK="Extras primero",MIN(AM612,MAX(0,AF612-(AD612-AM612))),MIN(AF612,AM612)))</f>
        <v>0</v>
      </c>
      <c r="AO612" s="80">
        <f>AF612-AN612</f>
        <v>0</v>
      </c>
      <c r="AP612" s="80">
        <f>AM612-AN612</f>
        <v>0</v>
      </c>
      <c r="AQ612" s="80">
        <f>AD612-AM612-AO612</f>
        <v>0</v>
      </c>
      <c r="AR612" s="80">
        <f>IF(AM612=0,0,AK612-AN612*AK612/AM612)</f>
        <v>0</v>
      </c>
      <c r="AS612" s="80">
        <f>IF(AD612-AM612=0,0,(AJ612-AK612)-AO612*(AJ612-AK612)/(AD612-AM612))</f>
        <v>0</v>
      </c>
      <c r="AT612" s="80" t="str">
        <f>IF(AC612=1,INT(B612)+1,"")</f>
        <v/>
      </c>
      <c r="AU612" s="80">
        <f>IF(AND(D612="proMX",R612="Cancelled"),0,1)</f>
        <v>1</v>
      </c>
      <c r="AV612" s="80">
        <f>IF(AND(AB612=1,AU612=1),IF(COUNTIFS($D$5:D611,D612,$B$5:B611,B612,$Z$5:Z611,Z612,$AA$5:AA611,AA612,$F$5:F611,F612&amp;"",$AU$5:AU611,1)&gt;0,1,0),0)</f>
        <v>0</v>
      </c>
      <c r="AW612" s="80" t="str">
        <f>IF(AB612=1,INT(B612)*1440+Z612,"")</f>
        <v/>
      </c>
      <c r="AX612" s="80" t="str">
        <f>IF(AB612=1,AW612+AD612,"")</f>
        <v/>
      </c>
      <c r="AY612" s="80">
        <f>IF(AND(AB612=1,AV612=0,AU612=1),1,0)</f>
        <v>0</v>
      </c>
      <c r="AZ612" s="80">
        <f>IF(AY612=1,COUNTIFS(R_Emp,D612,R_SAbs,"&lt;"&amp;AX612,R_EAbs,"&gt;"&amp;AW612,R_OKey,1)-1,0)</f>
        <v>0</v>
      </c>
      <c r="BA612" s="80">
        <f>IF(AY612=1,COUNTIFS(R_Emp,"&lt;&gt;"&amp;D612,R_SAbs,"&lt;"&amp;AX612,R_EAbs,"&gt;"&amp;AW612,R_OKey,1),0)</f>
        <v>0</v>
      </c>
      <c r="BB612" s="80">
        <f>IF(AND(AB612=1,D612="proMX"),IF(AND(MOD(Z612,CFG_BLK)=0,MOD(AA612,CFG_BLK)=0,MOD(AG612,CFG_BLK)=0,AG612&gt;0),1,0),1)</f>
        <v>1</v>
      </c>
      <c r="BC612" s="80" t="str">
        <f>IF(Y612=0,"",IF(NOT(ISNUMBER(B612)),"Falta fecha o fecha inválida",IF(D612="","Falta empresa",IF(AND(D612&lt;&gt;"Malcolm",D612&lt;&gt;"proMX"),"Empresa inválida",IF(OR(INT(B612)&lt;CFG_PSTART,INT(B612)&gt;CFG_PEND),"Fecha fuera del período",IF(OR(NOT(ISNUMBER(Z612)),NOT(ISNUMBER(AA612))),"Falta hora inicio/fin o formato inválido",IF(AB612=0,"Hora inicio = hora fin",IF(AE612&lt;0,"Descanso inválido",IF(AE612&gt;=AD612,"Descanso ≥ duración",IF(AV612=1,"Registro duplicado",IF(AZ612&gt;0,"Se superpone con otro registro "&amp;D612,IF(BB612=0,"inicio, fin y duración neta deben ser múltiplos de "&amp;CFG_BLK&amp;" min",""))))))))))))</f>
        <v/>
      </c>
      <c r="BD612" s="80">
        <f>IF(AND(Y612=1,BC612=""),1,0)</f>
        <v>0</v>
      </c>
      <c r="BE612" s="80">
        <f>IF(AND(BD612=1,AU612=1),1,0)</f>
        <v>0</v>
      </c>
      <c r="BF612" s="80" t="str">
        <f>IF(AND(D612="proMX",BD612=1),IF(R612="","Draft",R612),"")</f>
        <v/>
      </c>
      <c r="BG612" s="80">
        <f>IF(BD612=1,ROUND(AG612/60,6),0)</f>
        <v>0</v>
      </c>
      <c r="BH612" s="80">
        <f>IF(BE612=1,ROUND(AG612/60,6),0)</f>
        <v>0</v>
      </c>
      <c r="BI612" s="80">
        <f>IF(BE612=1,ROUND(AP612/60,6),0)</f>
        <v>0</v>
      </c>
      <c r="BJ612" s="80">
        <f>IF(BE612=1,ROUND(AQ612/60,6),0)</f>
        <v>0</v>
      </c>
      <c r="BK612" s="80">
        <f>IF(BE612=1,ROUND((AR612+AS612)/60,6),0)</f>
        <v>0</v>
      </c>
      <c r="BL612" s="80">
        <f>ROUND(BH612-BK612,6)</f>
        <v>0</v>
      </c>
      <c r="BM612" s="80">
        <f>IF(BE612=1,ROUND(AR612/60,6),0)</f>
        <v>0</v>
      </c>
      <c r="BN612" s="80">
        <f>ROUND(BI612-BM612,6)</f>
        <v>0</v>
      </c>
      <c r="BO612" s="80">
        <f>IF(BE612=1,ROUND(AS612/60,6),0)</f>
        <v>0</v>
      </c>
      <c r="BP612" s="80">
        <f>ROUND(BJ612-BO612,6)</f>
        <v>0</v>
      </c>
      <c r="BQ612" s="80">
        <f>IF(BE612=1,AW612,0)</f>
        <v>0</v>
      </c>
      <c r="BR612" s="80">
        <f>IF(BE612=1,AX612,0)</f>
        <v>0</v>
      </c>
      <c r="BS612" s="80">
        <f>IF(AND(BE612=1,D612="Malcolm",BA612&gt;0),MIN(BH612,SUMPRODUCT((R_Emp="proMX")*(R_EN&gt;0)*((R_EN-(R_EN&gt;BR612)*(R_EN-BR612))&gt;(R_SN+(R_SN&lt;BQ612)*(BQ612-R_SN)))*((R_EN-(R_EN&gt;BR612)*(R_EN-BR612))-(R_SN+(R_SN&lt;BQ612)*(BQ612-R_SN))))/60),0)</f>
        <v>0</v>
      </c>
      <c r="BT612" s="80">
        <f>IF(AND(BE612=1,D612="proMX"),ROUND(BI612*CFG_RATE+BJ612*CFG_OTRATE,6),0)</f>
        <v>0</v>
      </c>
      <c r="BU612" s="80">
        <f>IF(AND(BD612=1,D612="proMX"),ROUND(AG612/CFG_BLK,6),0)</f>
        <v>0</v>
      </c>
      <c r="BV612" s="80" t="str">
        <f>IF(BF612="Approved",IF(ISNUMBER(T612),INT(T612),INT(B612)),"")</f>
        <v/>
      </c>
      <c r="BW612" s="80">
        <f>IF(ISNUMBER(B612),IF(DB_MON="Todos",1,IF(AND(INT(B612)&gt;=DB_MS,INT(B612)&lt;=DB_ME),1,0)),0)</f>
        <v>0</v>
      </c>
      <c r="BX612" s="80">
        <f>IF(DB_PROJ="Todos",1,IF(E612&amp;""=DB_PROJ&amp;"",1,0))</f>
        <v>1</v>
      </c>
      <c r="BY612" s="80">
        <f>BW612*BX612</f>
        <v>0</v>
      </c>
      <c r="BZ612" s="80" t="str">
        <f>IF(Y612=1,F612&amp;IF(AND(F612&amp;""&lt;&gt;"",E612&amp;""&lt;&gt;"")," · ","")&amp;E612,"")</f>
        <v/>
      </c>
      <c r="CA612" s="80" t="str">
        <f>IF(AND(BD612=1,E612&amp;""&lt;&gt;""),IF(COUNTIFS($E$5:E611,E612,$BD$5:BD611,1)=0,MAX($CA$5:CA611)+1,""),"")</f>
        <v/>
      </c>
      <c r="CB612" s="80" t="str">
        <f>IF(AND(BE612=1,D612="Malcolm",E612&amp;""&lt;&gt;""),IF(COUNTIFS($D$5:D611,"Malcolm",$E$5:E611,E612,$BE$5:BE611,1)=0,MAX($CB$5:CB611)+1,""),"")</f>
        <v/>
      </c>
      <c r="CC612" s="80" t="str">
        <f>IF(AND(BD612=1,D612="proMX",E612&amp;""&lt;&gt;""),IF(COUNTIFS($D$5:D611,"proMX",$E$5:E611,E612,$BD$5:BD611,1)=0,MAX($CC$5:CC611)+1,""),"")</f>
        <v/>
      </c>
      <c r="CD612" s="80" t="str">
        <f>IF(AND(BE612=1,D612="Malcolm",F612&amp;""&lt;&gt;""),IF(COUNTIFS($D$5:D611,"Malcolm",$F$5:F611,F612,$BE$5:BE611,1)=0,MAX($CD$5:CD611)+1,""),"")</f>
        <v/>
      </c>
      <c r="CE612" s="80" t="str">
        <f>IF(AND(BD612=1,D612="proMX",F612&amp;""&lt;&gt;""),IF(COUNTIFS($D$5:D611,"proMX",$F$5:F611,F612,$BD$5:BD611,1)=0,MAX($CE$5:CE611)+1,""),"")</f>
        <v/>
      </c>
      <c r="CF612" s="80" t="str">
        <f>IF(AND(D612="proMX",BD612=1),IF(OR(BF612="Draft",BF612="Submitted",BF612="Returned",BF612="Recall Requested"),MAX($CF$5:CF611)+1,""),"")</f>
        <v/>
      </c>
      <c r="CG612" s="80">
        <f>IF(BD612=0,0,IF(D612="Malcolm",1,MATCH(BF612,{"Draft","Submitted","Approved","Returned","Recall Requested","Cancelled"},0)+1))</f>
        <v>0</v>
      </c>
      <c r="CH612" s="80">
        <f>IF(AND(BF612="Submitted",ISNUMBER(V612)),IF(V612&gt;CFG_MAXD,1,0),0)</f>
        <v>0</v>
      </c>
    </row>
    <row r="613">
      <c r="A613" s="71" t="str">
        <f>IF(Y613=1,ROW()-5,"")</f>
        <v/>
      </c>
      <c r="B613" s="72" t="n"/>
      <c r="C613" s="71" t="str">
        <f>IF(ISNUMBER(B613),CHOOSE(WEEKDAY(B613,2),"Lun","Mar","Mié","Jue","Vie","Sáb","Dom"),"")</f>
        <v/>
      </c>
      <c r="D613" s="73" t="n"/>
      <c r="E613" s="74" t="n"/>
      <c r="F613" s="74" t="n"/>
      <c r="G613" s="74" t="n"/>
      <c r="H613" s="75" t="n"/>
      <c r="I613" s="75" t="n"/>
      <c r="J613" s="76" t="n"/>
      <c r="K613" s="77" t="str">
        <f>IF(AB613=1,ROUND(AG613/60,4),"")</f>
        <v/>
      </c>
      <c r="L613" s="77" t="str">
        <f>IF(BD613=1,ROUND(AP613/60,4),"")</f>
        <v/>
      </c>
      <c r="M613" s="77" t="str">
        <f>IF(BD613=1,ROUND(AQ613/60,4),"")</f>
        <v/>
      </c>
      <c r="N613" s="71" t="str">
        <f>IF(AND(D613="proMX",AB613=1),ROUND(AG613/CFG_BLK,2),"")</f>
        <v/>
      </c>
      <c r="O613" s="77" t="str">
        <f>IF(D613="proMX",IF(BD613=1,ROUND(AG613/60,4),0),"")</f>
        <v/>
      </c>
      <c r="P613" s="78" t="str">
        <f>IF(Y613=0,"",IF(BD613=1,"OK",IF(D613="proMX","Revisar bloques: ","Revisar: ")&amp;BC613))</f>
        <v/>
      </c>
      <c r="Q613" s="78" t="str">
        <f>IF(NOT(ISNUMBER(B613)),"",IF(COUNTIFS(FER_F,INT(B613))&gt;0,"Feriado"&amp;IF(AH613=1," (laborable)"," (no laborable)"),IF(AH613=1,"Laborable",IF(WEEKDAY(B613,2)&gt;5,"Fin de semana","No laborable"))))</f>
        <v/>
      </c>
      <c r="R613" s="73" t="n"/>
      <c r="S613" s="72" t="n"/>
      <c r="T613" s="72" t="n"/>
      <c r="U613" s="74" t="n"/>
      <c r="V613" s="79" t="str">
        <f>IF(AND(D613="proMX",OR(R613="Submitted",R613="Recall Requested"),ISNUMBER(S613)),CFG_TODAY-INT(S613),"")</f>
        <v/>
      </c>
      <c r="W613" s="78" t="str">
        <f>IF(BD613=0,"",IF(BA613&gt;0,"⚠ Se superpone con un registro de la otra empresa",IF(D613="Malcolm",IF(COUNTA(R613,S613,T613)&gt;0,"Estado/fechas proMX se ignoran en Malcolm",""),IF(BF613="Cancelled","Cancelado: excluido de totales",IF(R613="","Sin estado: se trata como Draft",IF(BF613="Submitted",IF(ISNUMBER(V613),IF(V613&gt;CFG_MAXD,"⚠ "&amp;V613&amp;" días en Submitted (máx. "&amp;CFG_MAXD&amp;")",""),"Falta fecha de envío"),IF(BF613="Returned","⚠ Devuelto: corregir y reenviar",IF(BF613="Recall Requested","Retirada solicitada: pendiente",IF(AND(BF613="Approved",NOT(ISNUMBER(T613))),"Falta fecha de aprobación",IF(AND(ISNUMBER(S613),ISNUMBER(T613),T613&lt;S613),"Aprobación anterior al envío","")))))))))</f>
        <v/>
      </c>
      <c r="Y613" s="80">
        <f>IF(COUNTA(B613,D613,E613,F613,G613,H613,I613,J613,R613,S613,T613)&gt;0,1,0)</f>
        <v>0</v>
      </c>
      <c r="Z613" s="80" t="str">
        <f>IF(AND(ISNUMBER(H613),H613&gt;=0,H613&lt;1),ROUND(H613*1440,0),"")</f>
        <v/>
      </c>
      <c r="AA613" s="80" t="str">
        <f>IF(AND(ISNUMBER(I613),I613&gt;=0,I613&lt;1),ROUND(I613*1440,0),"")</f>
        <v/>
      </c>
      <c r="AB613" s="80">
        <f>IF(AND(ISNUMBER(B613),D613&lt;&gt;"",ISNUMBER(Z613),ISNUMBER(AA613)),IF(Z613=AA613,0,1),0)</f>
        <v>0</v>
      </c>
      <c r="AC613" s="80">
        <f>IF(AB613=1,IF(AA613&lt;Z613,1,0),0)</f>
        <v>0</v>
      </c>
      <c r="AD613" s="80">
        <f>IF(AB613=1,IF(AC613=1,1440-Z613+AA613,AA613-Z613),0)</f>
        <v>0</v>
      </c>
      <c r="AE613" s="80">
        <f>IF(J613="",0,IF(ISNUMBER(J613),J613,-1))</f>
        <v>0</v>
      </c>
      <c r="AF613" s="80">
        <f>MIN(MAX(0,AE613),AD613)</f>
        <v>0</v>
      </c>
      <c r="AG613" s="80">
        <f>MAX(0,AD613-MAX(0,AE613))</f>
        <v>0</v>
      </c>
      <c r="AH613" s="80">
        <f>IF(ISNUMBER(B613),IF(AND(INDEX(CFG_WDAYS,WEEKDAY(INT(B613),2))="Sí",IF(D613="proMX",COUNTIFS(FER_F,INT(B613),FER_NLP,"Sí"),COUNTIFS(FER_F,INT(B613),FER_NLM,"Sí"))=0),1,0),0)</f>
        <v>0</v>
      </c>
      <c r="AI613" s="80">
        <f>IF(AC613=1,IF(AND(INDEX(CFG_WDAYS,WEEKDAY(INT(B613)+1,2))="Sí",IF(D613="proMX",COUNTIFS(FER_F,INT(B613)+1,FER_NLP,"Sí"),COUNTIFS(FER_F,INT(B613)+1,FER_NLM,"Sí"))=0),1,0),0)</f>
        <v>0</v>
      </c>
      <c r="AJ613" s="80">
        <f>IF(AC613=1,1440-Z613,AD613)</f>
        <v>0</v>
      </c>
      <c r="AK613" s="80">
        <f>IF(AND(AB613=1,AH613=1),MAX(0,MIN(IF(AC613=1,1440,AA613),CFG_WEM)-MAX(Z613,CFG_WSM)),0)</f>
        <v>0</v>
      </c>
      <c r="AL613" s="80">
        <f>IF(AND(AC613=1,AI613=1),MAX(0,MIN(AA613,CFG_WEM)-CFG_WSM),0)</f>
        <v>0</v>
      </c>
      <c r="AM613" s="80">
        <f>AK613+AL613</f>
        <v>0</v>
      </c>
      <c r="AN613" s="80">
        <f>IF(CFG_BRK="Proporcional",IF(AD613=0,0,AF613*AM613/AD613),IF(CFG_BRK="Extras primero",MIN(AM613,MAX(0,AF613-(AD613-AM613))),MIN(AF613,AM613)))</f>
        <v>0</v>
      </c>
      <c r="AO613" s="80">
        <f>AF613-AN613</f>
        <v>0</v>
      </c>
      <c r="AP613" s="80">
        <f>AM613-AN613</f>
        <v>0</v>
      </c>
      <c r="AQ613" s="80">
        <f>AD613-AM613-AO613</f>
        <v>0</v>
      </c>
      <c r="AR613" s="80">
        <f>IF(AM613=0,0,AK613-AN613*AK613/AM613)</f>
        <v>0</v>
      </c>
      <c r="AS613" s="80">
        <f>IF(AD613-AM613=0,0,(AJ613-AK613)-AO613*(AJ613-AK613)/(AD613-AM613))</f>
        <v>0</v>
      </c>
      <c r="AT613" s="80" t="str">
        <f>IF(AC613=1,INT(B613)+1,"")</f>
        <v/>
      </c>
      <c r="AU613" s="80">
        <f>IF(AND(D613="proMX",R613="Cancelled"),0,1)</f>
        <v>1</v>
      </c>
      <c r="AV613" s="80">
        <f>IF(AND(AB613=1,AU613=1),IF(COUNTIFS($D$5:D612,D613,$B$5:B612,B613,$Z$5:Z612,Z613,$AA$5:AA612,AA613,$F$5:F612,F613&amp;"",$AU$5:AU612,1)&gt;0,1,0),0)</f>
        <v>0</v>
      </c>
      <c r="AW613" s="80" t="str">
        <f>IF(AB613=1,INT(B613)*1440+Z613,"")</f>
        <v/>
      </c>
      <c r="AX613" s="80" t="str">
        <f>IF(AB613=1,AW613+AD613,"")</f>
        <v/>
      </c>
      <c r="AY613" s="80">
        <f>IF(AND(AB613=1,AV613=0,AU613=1),1,0)</f>
        <v>0</v>
      </c>
      <c r="AZ613" s="80">
        <f>IF(AY613=1,COUNTIFS(R_Emp,D613,R_SAbs,"&lt;"&amp;AX613,R_EAbs,"&gt;"&amp;AW613,R_OKey,1)-1,0)</f>
        <v>0</v>
      </c>
      <c r="BA613" s="80">
        <f>IF(AY613=1,COUNTIFS(R_Emp,"&lt;&gt;"&amp;D613,R_SAbs,"&lt;"&amp;AX613,R_EAbs,"&gt;"&amp;AW613,R_OKey,1),0)</f>
        <v>0</v>
      </c>
      <c r="BB613" s="80">
        <f>IF(AND(AB613=1,D613="proMX"),IF(AND(MOD(Z613,CFG_BLK)=0,MOD(AA613,CFG_BLK)=0,MOD(AG613,CFG_BLK)=0,AG613&gt;0),1,0),1)</f>
        <v>1</v>
      </c>
      <c r="BC613" s="80" t="str">
        <f>IF(Y613=0,"",IF(NOT(ISNUMBER(B613)),"Falta fecha o fecha inválida",IF(D613="","Falta empresa",IF(AND(D613&lt;&gt;"Malcolm",D613&lt;&gt;"proMX"),"Empresa inválida",IF(OR(INT(B613)&lt;CFG_PSTART,INT(B613)&gt;CFG_PEND),"Fecha fuera del período",IF(OR(NOT(ISNUMBER(Z613)),NOT(ISNUMBER(AA613))),"Falta hora inicio/fin o formato inválido",IF(AB613=0,"Hora inicio = hora fin",IF(AE613&lt;0,"Descanso inválido",IF(AE613&gt;=AD613,"Descanso ≥ duración",IF(AV613=1,"Registro duplicado",IF(AZ613&gt;0,"Se superpone con otro registro "&amp;D613,IF(BB613=0,"inicio, fin y duración neta deben ser múltiplos de "&amp;CFG_BLK&amp;" min",""))))))))))))</f>
        <v/>
      </c>
      <c r="BD613" s="80">
        <f>IF(AND(Y613=1,BC613=""),1,0)</f>
        <v>0</v>
      </c>
      <c r="BE613" s="80">
        <f>IF(AND(BD613=1,AU613=1),1,0)</f>
        <v>0</v>
      </c>
      <c r="BF613" s="80" t="str">
        <f>IF(AND(D613="proMX",BD613=1),IF(R613="","Draft",R613),"")</f>
        <v/>
      </c>
      <c r="BG613" s="80">
        <f>IF(BD613=1,ROUND(AG613/60,6),0)</f>
        <v>0</v>
      </c>
      <c r="BH613" s="80">
        <f>IF(BE613=1,ROUND(AG613/60,6),0)</f>
        <v>0</v>
      </c>
      <c r="BI613" s="80">
        <f>IF(BE613=1,ROUND(AP613/60,6),0)</f>
        <v>0</v>
      </c>
      <c r="BJ613" s="80">
        <f>IF(BE613=1,ROUND(AQ613/60,6),0)</f>
        <v>0</v>
      </c>
      <c r="BK613" s="80">
        <f>IF(BE613=1,ROUND((AR613+AS613)/60,6),0)</f>
        <v>0</v>
      </c>
      <c r="BL613" s="80">
        <f>ROUND(BH613-BK613,6)</f>
        <v>0</v>
      </c>
      <c r="BM613" s="80">
        <f>IF(BE613=1,ROUND(AR613/60,6),0)</f>
        <v>0</v>
      </c>
      <c r="BN613" s="80">
        <f>ROUND(BI613-BM613,6)</f>
        <v>0</v>
      </c>
      <c r="BO613" s="80">
        <f>IF(BE613=1,ROUND(AS613/60,6),0)</f>
        <v>0</v>
      </c>
      <c r="BP613" s="80">
        <f>ROUND(BJ613-BO613,6)</f>
        <v>0</v>
      </c>
      <c r="BQ613" s="80">
        <f>IF(BE613=1,AW613,0)</f>
        <v>0</v>
      </c>
      <c r="BR613" s="80">
        <f>IF(BE613=1,AX613,0)</f>
        <v>0</v>
      </c>
      <c r="BS613" s="80">
        <f>IF(AND(BE613=1,D613="Malcolm",BA613&gt;0),MIN(BH613,SUMPRODUCT((R_Emp="proMX")*(R_EN&gt;0)*((R_EN-(R_EN&gt;BR613)*(R_EN-BR613))&gt;(R_SN+(R_SN&lt;BQ613)*(BQ613-R_SN)))*((R_EN-(R_EN&gt;BR613)*(R_EN-BR613))-(R_SN+(R_SN&lt;BQ613)*(BQ613-R_SN))))/60),0)</f>
        <v>0</v>
      </c>
      <c r="BT613" s="80">
        <f>IF(AND(BE613=1,D613="proMX"),ROUND(BI613*CFG_RATE+BJ613*CFG_OTRATE,6),0)</f>
        <v>0</v>
      </c>
      <c r="BU613" s="80">
        <f>IF(AND(BD613=1,D613="proMX"),ROUND(AG613/CFG_BLK,6),0)</f>
        <v>0</v>
      </c>
      <c r="BV613" s="80" t="str">
        <f>IF(BF613="Approved",IF(ISNUMBER(T613),INT(T613),INT(B613)),"")</f>
        <v/>
      </c>
      <c r="BW613" s="80">
        <f>IF(ISNUMBER(B613),IF(DB_MON="Todos",1,IF(AND(INT(B613)&gt;=DB_MS,INT(B613)&lt;=DB_ME),1,0)),0)</f>
        <v>0</v>
      </c>
      <c r="BX613" s="80">
        <f>IF(DB_PROJ="Todos",1,IF(E613&amp;""=DB_PROJ&amp;"",1,0))</f>
        <v>1</v>
      </c>
      <c r="BY613" s="80">
        <f>BW613*BX613</f>
        <v>0</v>
      </c>
      <c r="BZ613" s="80" t="str">
        <f>IF(Y613=1,F613&amp;IF(AND(F613&amp;""&lt;&gt;"",E613&amp;""&lt;&gt;"")," · ","")&amp;E613,"")</f>
        <v/>
      </c>
      <c r="CA613" s="80" t="str">
        <f>IF(AND(BD613=1,E613&amp;""&lt;&gt;""),IF(COUNTIFS($E$5:E612,E613,$BD$5:BD612,1)=0,MAX($CA$5:CA612)+1,""),"")</f>
        <v/>
      </c>
      <c r="CB613" s="80" t="str">
        <f>IF(AND(BE613=1,D613="Malcolm",E613&amp;""&lt;&gt;""),IF(COUNTIFS($D$5:D612,"Malcolm",$E$5:E612,E613,$BE$5:BE612,1)=0,MAX($CB$5:CB612)+1,""),"")</f>
        <v/>
      </c>
      <c r="CC613" s="80" t="str">
        <f>IF(AND(BD613=1,D613="proMX",E613&amp;""&lt;&gt;""),IF(COUNTIFS($D$5:D612,"proMX",$E$5:E612,E613,$BD$5:BD612,1)=0,MAX($CC$5:CC612)+1,""),"")</f>
        <v/>
      </c>
      <c r="CD613" s="80" t="str">
        <f>IF(AND(BE613=1,D613="Malcolm",F613&amp;""&lt;&gt;""),IF(COUNTIFS($D$5:D612,"Malcolm",$F$5:F612,F613,$BE$5:BE612,1)=0,MAX($CD$5:CD612)+1,""),"")</f>
        <v/>
      </c>
      <c r="CE613" s="80" t="str">
        <f>IF(AND(BD613=1,D613="proMX",F613&amp;""&lt;&gt;""),IF(COUNTIFS($D$5:D612,"proMX",$F$5:F612,F613,$BD$5:BD612,1)=0,MAX($CE$5:CE612)+1,""),"")</f>
        <v/>
      </c>
      <c r="CF613" s="80" t="str">
        <f>IF(AND(D613="proMX",BD613=1),IF(OR(BF613="Draft",BF613="Submitted",BF613="Returned",BF613="Recall Requested"),MAX($CF$5:CF612)+1,""),"")</f>
        <v/>
      </c>
      <c r="CG613" s="80">
        <f>IF(BD613=0,0,IF(D613="Malcolm",1,MATCH(BF613,{"Draft","Submitted","Approved","Returned","Recall Requested","Cancelled"},0)+1))</f>
        <v>0</v>
      </c>
      <c r="CH613" s="80">
        <f>IF(AND(BF613="Submitted",ISNUMBER(V613)),IF(V613&gt;CFG_MAXD,1,0),0)</f>
        <v>0</v>
      </c>
    </row>
    <row r="614">
      <c r="A614" s="71" t="str">
        <f>IF(Y614=1,ROW()-5,"")</f>
        <v/>
      </c>
      <c r="B614" s="72" t="n"/>
      <c r="C614" s="71" t="str">
        <f>IF(ISNUMBER(B614),CHOOSE(WEEKDAY(B614,2),"Lun","Mar","Mié","Jue","Vie","Sáb","Dom"),"")</f>
        <v/>
      </c>
      <c r="D614" s="73" t="n"/>
      <c r="E614" s="74" t="n"/>
      <c r="F614" s="74" t="n"/>
      <c r="G614" s="74" t="n"/>
      <c r="H614" s="75" t="n"/>
      <c r="I614" s="75" t="n"/>
      <c r="J614" s="76" t="n"/>
      <c r="K614" s="77" t="str">
        <f>IF(AB614=1,ROUND(AG614/60,4),"")</f>
        <v/>
      </c>
      <c r="L614" s="77" t="str">
        <f>IF(BD614=1,ROUND(AP614/60,4),"")</f>
        <v/>
      </c>
      <c r="M614" s="77" t="str">
        <f>IF(BD614=1,ROUND(AQ614/60,4),"")</f>
        <v/>
      </c>
      <c r="N614" s="71" t="str">
        <f>IF(AND(D614="proMX",AB614=1),ROUND(AG614/CFG_BLK,2),"")</f>
        <v/>
      </c>
      <c r="O614" s="77" t="str">
        <f>IF(D614="proMX",IF(BD614=1,ROUND(AG614/60,4),0),"")</f>
        <v/>
      </c>
      <c r="P614" s="78" t="str">
        <f>IF(Y614=0,"",IF(BD614=1,"OK",IF(D614="proMX","Revisar bloques: ","Revisar: ")&amp;BC614))</f>
        <v/>
      </c>
      <c r="Q614" s="78" t="str">
        <f>IF(NOT(ISNUMBER(B614)),"",IF(COUNTIFS(FER_F,INT(B614))&gt;0,"Feriado"&amp;IF(AH614=1," (laborable)"," (no laborable)"),IF(AH614=1,"Laborable",IF(WEEKDAY(B614,2)&gt;5,"Fin de semana","No laborable"))))</f>
        <v/>
      </c>
      <c r="R614" s="73" t="n"/>
      <c r="S614" s="72" t="n"/>
      <c r="T614" s="72" t="n"/>
      <c r="U614" s="74" t="n"/>
      <c r="V614" s="79" t="str">
        <f>IF(AND(D614="proMX",OR(R614="Submitted",R614="Recall Requested"),ISNUMBER(S614)),CFG_TODAY-INT(S614),"")</f>
        <v/>
      </c>
      <c r="W614" s="78" t="str">
        <f>IF(BD614=0,"",IF(BA614&gt;0,"⚠ Se superpone con un registro de la otra empresa",IF(D614="Malcolm",IF(COUNTA(R614,S614,T614)&gt;0,"Estado/fechas proMX se ignoran en Malcolm",""),IF(BF614="Cancelled","Cancelado: excluido de totales",IF(R614="","Sin estado: se trata como Draft",IF(BF614="Submitted",IF(ISNUMBER(V614),IF(V614&gt;CFG_MAXD,"⚠ "&amp;V614&amp;" días en Submitted (máx. "&amp;CFG_MAXD&amp;")",""),"Falta fecha de envío"),IF(BF614="Returned","⚠ Devuelto: corregir y reenviar",IF(BF614="Recall Requested","Retirada solicitada: pendiente",IF(AND(BF614="Approved",NOT(ISNUMBER(T614))),"Falta fecha de aprobación",IF(AND(ISNUMBER(S614),ISNUMBER(T614),T614&lt;S614),"Aprobación anterior al envío","")))))))))</f>
        <v/>
      </c>
      <c r="Y614" s="80">
        <f>IF(COUNTA(B614,D614,E614,F614,G614,H614,I614,J614,R614,S614,T614)&gt;0,1,0)</f>
        <v>0</v>
      </c>
      <c r="Z614" s="80" t="str">
        <f>IF(AND(ISNUMBER(H614),H614&gt;=0,H614&lt;1),ROUND(H614*1440,0),"")</f>
        <v/>
      </c>
      <c r="AA614" s="80" t="str">
        <f>IF(AND(ISNUMBER(I614),I614&gt;=0,I614&lt;1),ROUND(I614*1440,0),"")</f>
        <v/>
      </c>
      <c r="AB614" s="80">
        <f>IF(AND(ISNUMBER(B614),D614&lt;&gt;"",ISNUMBER(Z614),ISNUMBER(AA614)),IF(Z614=AA614,0,1),0)</f>
        <v>0</v>
      </c>
      <c r="AC614" s="80">
        <f>IF(AB614=1,IF(AA614&lt;Z614,1,0),0)</f>
        <v>0</v>
      </c>
      <c r="AD614" s="80">
        <f>IF(AB614=1,IF(AC614=1,1440-Z614+AA614,AA614-Z614),0)</f>
        <v>0</v>
      </c>
      <c r="AE614" s="80">
        <f>IF(J614="",0,IF(ISNUMBER(J614),J614,-1))</f>
        <v>0</v>
      </c>
      <c r="AF614" s="80">
        <f>MIN(MAX(0,AE614),AD614)</f>
        <v>0</v>
      </c>
      <c r="AG614" s="80">
        <f>MAX(0,AD614-MAX(0,AE614))</f>
        <v>0</v>
      </c>
      <c r="AH614" s="80">
        <f>IF(ISNUMBER(B614),IF(AND(INDEX(CFG_WDAYS,WEEKDAY(INT(B614),2))="Sí",IF(D614="proMX",COUNTIFS(FER_F,INT(B614),FER_NLP,"Sí"),COUNTIFS(FER_F,INT(B614),FER_NLM,"Sí"))=0),1,0),0)</f>
        <v>0</v>
      </c>
      <c r="AI614" s="80">
        <f>IF(AC614=1,IF(AND(INDEX(CFG_WDAYS,WEEKDAY(INT(B614)+1,2))="Sí",IF(D614="proMX",COUNTIFS(FER_F,INT(B614)+1,FER_NLP,"Sí"),COUNTIFS(FER_F,INT(B614)+1,FER_NLM,"Sí"))=0),1,0),0)</f>
        <v>0</v>
      </c>
      <c r="AJ614" s="80">
        <f>IF(AC614=1,1440-Z614,AD614)</f>
        <v>0</v>
      </c>
      <c r="AK614" s="80">
        <f>IF(AND(AB614=1,AH614=1),MAX(0,MIN(IF(AC614=1,1440,AA614),CFG_WEM)-MAX(Z614,CFG_WSM)),0)</f>
        <v>0</v>
      </c>
      <c r="AL614" s="80">
        <f>IF(AND(AC614=1,AI614=1),MAX(0,MIN(AA614,CFG_WEM)-CFG_WSM),0)</f>
        <v>0</v>
      </c>
      <c r="AM614" s="80">
        <f>AK614+AL614</f>
        <v>0</v>
      </c>
      <c r="AN614" s="80">
        <f>IF(CFG_BRK="Proporcional",IF(AD614=0,0,AF614*AM614/AD614),IF(CFG_BRK="Extras primero",MIN(AM614,MAX(0,AF614-(AD614-AM614))),MIN(AF614,AM614)))</f>
        <v>0</v>
      </c>
      <c r="AO614" s="80">
        <f>AF614-AN614</f>
        <v>0</v>
      </c>
      <c r="AP614" s="80">
        <f>AM614-AN614</f>
        <v>0</v>
      </c>
      <c r="AQ614" s="80">
        <f>AD614-AM614-AO614</f>
        <v>0</v>
      </c>
      <c r="AR614" s="80">
        <f>IF(AM614=0,0,AK614-AN614*AK614/AM614)</f>
        <v>0</v>
      </c>
      <c r="AS614" s="80">
        <f>IF(AD614-AM614=0,0,(AJ614-AK614)-AO614*(AJ614-AK614)/(AD614-AM614))</f>
        <v>0</v>
      </c>
      <c r="AT614" s="80" t="str">
        <f>IF(AC614=1,INT(B614)+1,"")</f>
        <v/>
      </c>
      <c r="AU614" s="80">
        <f>IF(AND(D614="proMX",R614="Cancelled"),0,1)</f>
        <v>1</v>
      </c>
      <c r="AV614" s="80">
        <f>IF(AND(AB614=1,AU614=1),IF(COUNTIFS($D$5:D613,D614,$B$5:B613,B614,$Z$5:Z613,Z614,$AA$5:AA613,AA614,$F$5:F613,F614&amp;"",$AU$5:AU613,1)&gt;0,1,0),0)</f>
        <v>0</v>
      </c>
      <c r="AW614" s="80" t="str">
        <f>IF(AB614=1,INT(B614)*1440+Z614,"")</f>
        <v/>
      </c>
      <c r="AX614" s="80" t="str">
        <f>IF(AB614=1,AW614+AD614,"")</f>
        <v/>
      </c>
      <c r="AY614" s="80">
        <f>IF(AND(AB614=1,AV614=0,AU614=1),1,0)</f>
        <v>0</v>
      </c>
      <c r="AZ614" s="80">
        <f>IF(AY614=1,COUNTIFS(R_Emp,D614,R_SAbs,"&lt;"&amp;AX614,R_EAbs,"&gt;"&amp;AW614,R_OKey,1)-1,0)</f>
        <v>0</v>
      </c>
      <c r="BA614" s="80">
        <f>IF(AY614=1,COUNTIFS(R_Emp,"&lt;&gt;"&amp;D614,R_SAbs,"&lt;"&amp;AX614,R_EAbs,"&gt;"&amp;AW614,R_OKey,1),0)</f>
        <v>0</v>
      </c>
      <c r="BB614" s="80">
        <f>IF(AND(AB614=1,D614="proMX"),IF(AND(MOD(Z614,CFG_BLK)=0,MOD(AA614,CFG_BLK)=0,MOD(AG614,CFG_BLK)=0,AG614&gt;0),1,0),1)</f>
        <v>1</v>
      </c>
      <c r="BC614" s="80" t="str">
        <f>IF(Y614=0,"",IF(NOT(ISNUMBER(B614)),"Falta fecha o fecha inválida",IF(D614="","Falta empresa",IF(AND(D614&lt;&gt;"Malcolm",D614&lt;&gt;"proMX"),"Empresa inválida",IF(OR(INT(B614)&lt;CFG_PSTART,INT(B614)&gt;CFG_PEND),"Fecha fuera del período",IF(OR(NOT(ISNUMBER(Z614)),NOT(ISNUMBER(AA614))),"Falta hora inicio/fin o formato inválido",IF(AB614=0,"Hora inicio = hora fin",IF(AE614&lt;0,"Descanso inválido",IF(AE614&gt;=AD614,"Descanso ≥ duración",IF(AV614=1,"Registro duplicado",IF(AZ614&gt;0,"Se superpone con otro registro "&amp;D614,IF(BB614=0,"inicio, fin y duración neta deben ser múltiplos de "&amp;CFG_BLK&amp;" min",""))))))))))))</f>
        <v/>
      </c>
      <c r="BD614" s="80">
        <f>IF(AND(Y614=1,BC614=""),1,0)</f>
        <v>0</v>
      </c>
      <c r="BE614" s="80">
        <f>IF(AND(BD614=1,AU614=1),1,0)</f>
        <v>0</v>
      </c>
      <c r="BF614" s="80" t="str">
        <f>IF(AND(D614="proMX",BD614=1),IF(R614="","Draft",R614),"")</f>
        <v/>
      </c>
      <c r="BG614" s="80">
        <f>IF(BD614=1,ROUND(AG614/60,6),0)</f>
        <v>0</v>
      </c>
      <c r="BH614" s="80">
        <f>IF(BE614=1,ROUND(AG614/60,6),0)</f>
        <v>0</v>
      </c>
      <c r="BI614" s="80">
        <f>IF(BE614=1,ROUND(AP614/60,6),0)</f>
        <v>0</v>
      </c>
      <c r="BJ614" s="80">
        <f>IF(BE614=1,ROUND(AQ614/60,6),0)</f>
        <v>0</v>
      </c>
      <c r="BK614" s="80">
        <f>IF(BE614=1,ROUND((AR614+AS614)/60,6),0)</f>
        <v>0</v>
      </c>
      <c r="BL614" s="80">
        <f>ROUND(BH614-BK614,6)</f>
        <v>0</v>
      </c>
      <c r="BM614" s="80">
        <f>IF(BE614=1,ROUND(AR614/60,6),0)</f>
        <v>0</v>
      </c>
      <c r="BN614" s="80">
        <f>ROUND(BI614-BM614,6)</f>
        <v>0</v>
      </c>
      <c r="BO614" s="80">
        <f>IF(BE614=1,ROUND(AS614/60,6),0)</f>
        <v>0</v>
      </c>
      <c r="BP614" s="80">
        <f>ROUND(BJ614-BO614,6)</f>
        <v>0</v>
      </c>
      <c r="BQ614" s="80">
        <f>IF(BE614=1,AW614,0)</f>
        <v>0</v>
      </c>
      <c r="BR614" s="80">
        <f>IF(BE614=1,AX614,0)</f>
        <v>0</v>
      </c>
      <c r="BS614" s="80">
        <f>IF(AND(BE614=1,D614="Malcolm",BA614&gt;0),MIN(BH614,SUMPRODUCT((R_Emp="proMX")*(R_EN&gt;0)*((R_EN-(R_EN&gt;BR614)*(R_EN-BR614))&gt;(R_SN+(R_SN&lt;BQ614)*(BQ614-R_SN)))*((R_EN-(R_EN&gt;BR614)*(R_EN-BR614))-(R_SN+(R_SN&lt;BQ614)*(BQ614-R_SN))))/60),0)</f>
        <v>0</v>
      </c>
      <c r="BT614" s="80">
        <f>IF(AND(BE614=1,D614="proMX"),ROUND(BI614*CFG_RATE+BJ614*CFG_OTRATE,6),0)</f>
        <v>0</v>
      </c>
      <c r="BU614" s="80">
        <f>IF(AND(BD614=1,D614="proMX"),ROUND(AG614/CFG_BLK,6),0)</f>
        <v>0</v>
      </c>
      <c r="BV614" s="80" t="str">
        <f>IF(BF614="Approved",IF(ISNUMBER(T614),INT(T614),INT(B614)),"")</f>
        <v/>
      </c>
      <c r="BW614" s="80">
        <f>IF(ISNUMBER(B614),IF(DB_MON="Todos",1,IF(AND(INT(B614)&gt;=DB_MS,INT(B614)&lt;=DB_ME),1,0)),0)</f>
        <v>0</v>
      </c>
      <c r="BX614" s="80">
        <f>IF(DB_PROJ="Todos",1,IF(E614&amp;""=DB_PROJ&amp;"",1,0))</f>
        <v>1</v>
      </c>
      <c r="BY614" s="80">
        <f>BW614*BX614</f>
        <v>0</v>
      </c>
      <c r="BZ614" s="80" t="str">
        <f>IF(Y614=1,F614&amp;IF(AND(F614&amp;""&lt;&gt;"",E614&amp;""&lt;&gt;"")," · ","")&amp;E614,"")</f>
        <v/>
      </c>
      <c r="CA614" s="80" t="str">
        <f>IF(AND(BD614=1,E614&amp;""&lt;&gt;""),IF(COUNTIFS($E$5:E613,E614,$BD$5:BD613,1)=0,MAX($CA$5:CA613)+1,""),"")</f>
        <v/>
      </c>
      <c r="CB614" s="80" t="str">
        <f>IF(AND(BE614=1,D614="Malcolm",E614&amp;""&lt;&gt;""),IF(COUNTIFS($D$5:D613,"Malcolm",$E$5:E613,E614,$BE$5:BE613,1)=0,MAX($CB$5:CB613)+1,""),"")</f>
        <v/>
      </c>
      <c r="CC614" s="80" t="str">
        <f>IF(AND(BD614=1,D614="proMX",E614&amp;""&lt;&gt;""),IF(COUNTIFS($D$5:D613,"proMX",$E$5:E613,E614,$BD$5:BD613,1)=0,MAX($CC$5:CC613)+1,""),"")</f>
        <v/>
      </c>
      <c r="CD614" s="80" t="str">
        <f>IF(AND(BE614=1,D614="Malcolm",F614&amp;""&lt;&gt;""),IF(COUNTIFS($D$5:D613,"Malcolm",$F$5:F613,F614,$BE$5:BE613,1)=0,MAX($CD$5:CD613)+1,""),"")</f>
        <v/>
      </c>
      <c r="CE614" s="80" t="str">
        <f>IF(AND(BD614=1,D614="proMX",F614&amp;""&lt;&gt;""),IF(COUNTIFS($D$5:D613,"proMX",$F$5:F613,F614,$BD$5:BD613,1)=0,MAX($CE$5:CE613)+1,""),"")</f>
        <v/>
      </c>
      <c r="CF614" s="80" t="str">
        <f>IF(AND(D614="proMX",BD614=1),IF(OR(BF614="Draft",BF614="Submitted",BF614="Returned",BF614="Recall Requested"),MAX($CF$5:CF613)+1,""),"")</f>
        <v/>
      </c>
      <c r="CG614" s="80">
        <f>IF(BD614=0,0,IF(D614="Malcolm",1,MATCH(BF614,{"Draft","Submitted","Approved","Returned","Recall Requested","Cancelled"},0)+1))</f>
        <v>0</v>
      </c>
      <c r="CH614" s="80">
        <f>IF(AND(BF614="Submitted",ISNUMBER(V614)),IF(V614&gt;CFG_MAXD,1,0),0)</f>
        <v>0</v>
      </c>
    </row>
    <row r="615">
      <c r="A615" s="71" t="str">
        <f>IF(Y615=1,ROW()-5,"")</f>
        <v/>
      </c>
      <c r="B615" s="72" t="n"/>
      <c r="C615" s="71" t="str">
        <f>IF(ISNUMBER(B615),CHOOSE(WEEKDAY(B615,2),"Lun","Mar","Mié","Jue","Vie","Sáb","Dom"),"")</f>
        <v/>
      </c>
      <c r="D615" s="73" t="n"/>
      <c r="E615" s="74" t="n"/>
      <c r="F615" s="74" t="n"/>
      <c r="G615" s="74" t="n"/>
      <c r="H615" s="75" t="n"/>
      <c r="I615" s="75" t="n"/>
      <c r="J615" s="76" t="n"/>
      <c r="K615" s="77" t="str">
        <f>IF(AB615=1,ROUND(AG615/60,4),"")</f>
        <v/>
      </c>
      <c r="L615" s="77" t="str">
        <f>IF(BD615=1,ROUND(AP615/60,4),"")</f>
        <v/>
      </c>
      <c r="M615" s="77" t="str">
        <f>IF(BD615=1,ROUND(AQ615/60,4),"")</f>
        <v/>
      </c>
      <c r="N615" s="71" t="str">
        <f>IF(AND(D615="proMX",AB615=1),ROUND(AG615/CFG_BLK,2),"")</f>
        <v/>
      </c>
      <c r="O615" s="77" t="str">
        <f>IF(D615="proMX",IF(BD615=1,ROUND(AG615/60,4),0),"")</f>
        <v/>
      </c>
      <c r="P615" s="78" t="str">
        <f>IF(Y615=0,"",IF(BD615=1,"OK",IF(D615="proMX","Revisar bloques: ","Revisar: ")&amp;BC615))</f>
        <v/>
      </c>
      <c r="Q615" s="78" t="str">
        <f>IF(NOT(ISNUMBER(B615)),"",IF(COUNTIFS(FER_F,INT(B615))&gt;0,"Feriado"&amp;IF(AH615=1," (laborable)"," (no laborable)"),IF(AH615=1,"Laborable",IF(WEEKDAY(B615,2)&gt;5,"Fin de semana","No laborable"))))</f>
        <v/>
      </c>
      <c r="R615" s="73" t="n"/>
      <c r="S615" s="72" t="n"/>
      <c r="T615" s="72" t="n"/>
      <c r="U615" s="74" t="n"/>
      <c r="V615" s="79" t="str">
        <f>IF(AND(D615="proMX",OR(R615="Submitted",R615="Recall Requested"),ISNUMBER(S615)),CFG_TODAY-INT(S615),"")</f>
        <v/>
      </c>
      <c r="W615" s="78" t="str">
        <f>IF(BD615=0,"",IF(BA615&gt;0,"⚠ Se superpone con un registro de la otra empresa",IF(D615="Malcolm",IF(COUNTA(R615,S615,T615)&gt;0,"Estado/fechas proMX se ignoran en Malcolm",""),IF(BF615="Cancelled","Cancelado: excluido de totales",IF(R615="","Sin estado: se trata como Draft",IF(BF615="Submitted",IF(ISNUMBER(V615),IF(V615&gt;CFG_MAXD,"⚠ "&amp;V615&amp;" días en Submitted (máx. "&amp;CFG_MAXD&amp;")",""),"Falta fecha de envío"),IF(BF615="Returned","⚠ Devuelto: corregir y reenviar",IF(BF615="Recall Requested","Retirada solicitada: pendiente",IF(AND(BF615="Approved",NOT(ISNUMBER(T615))),"Falta fecha de aprobación",IF(AND(ISNUMBER(S615),ISNUMBER(T615),T615&lt;S615),"Aprobación anterior al envío","")))))))))</f>
        <v/>
      </c>
      <c r="Y615" s="80">
        <f>IF(COUNTA(B615,D615,E615,F615,G615,H615,I615,J615,R615,S615,T615)&gt;0,1,0)</f>
        <v>0</v>
      </c>
      <c r="Z615" s="80" t="str">
        <f>IF(AND(ISNUMBER(H615),H615&gt;=0,H615&lt;1),ROUND(H615*1440,0),"")</f>
        <v/>
      </c>
      <c r="AA615" s="80" t="str">
        <f>IF(AND(ISNUMBER(I615),I615&gt;=0,I615&lt;1),ROUND(I615*1440,0),"")</f>
        <v/>
      </c>
      <c r="AB615" s="80">
        <f>IF(AND(ISNUMBER(B615),D615&lt;&gt;"",ISNUMBER(Z615),ISNUMBER(AA615)),IF(Z615=AA615,0,1),0)</f>
        <v>0</v>
      </c>
      <c r="AC615" s="80">
        <f>IF(AB615=1,IF(AA615&lt;Z615,1,0),0)</f>
        <v>0</v>
      </c>
      <c r="AD615" s="80">
        <f>IF(AB615=1,IF(AC615=1,1440-Z615+AA615,AA615-Z615),0)</f>
        <v>0</v>
      </c>
      <c r="AE615" s="80">
        <f>IF(J615="",0,IF(ISNUMBER(J615),J615,-1))</f>
        <v>0</v>
      </c>
      <c r="AF615" s="80">
        <f>MIN(MAX(0,AE615),AD615)</f>
        <v>0</v>
      </c>
      <c r="AG615" s="80">
        <f>MAX(0,AD615-MAX(0,AE615))</f>
        <v>0</v>
      </c>
      <c r="AH615" s="80">
        <f>IF(ISNUMBER(B615),IF(AND(INDEX(CFG_WDAYS,WEEKDAY(INT(B615),2))="Sí",IF(D615="proMX",COUNTIFS(FER_F,INT(B615),FER_NLP,"Sí"),COUNTIFS(FER_F,INT(B615),FER_NLM,"Sí"))=0),1,0),0)</f>
        <v>0</v>
      </c>
      <c r="AI615" s="80">
        <f>IF(AC615=1,IF(AND(INDEX(CFG_WDAYS,WEEKDAY(INT(B615)+1,2))="Sí",IF(D615="proMX",COUNTIFS(FER_F,INT(B615)+1,FER_NLP,"Sí"),COUNTIFS(FER_F,INT(B615)+1,FER_NLM,"Sí"))=0),1,0),0)</f>
        <v>0</v>
      </c>
      <c r="AJ615" s="80">
        <f>IF(AC615=1,1440-Z615,AD615)</f>
        <v>0</v>
      </c>
      <c r="AK615" s="80">
        <f>IF(AND(AB615=1,AH615=1),MAX(0,MIN(IF(AC615=1,1440,AA615),CFG_WEM)-MAX(Z615,CFG_WSM)),0)</f>
        <v>0</v>
      </c>
      <c r="AL615" s="80">
        <f>IF(AND(AC615=1,AI615=1),MAX(0,MIN(AA615,CFG_WEM)-CFG_WSM),0)</f>
        <v>0</v>
      </c>
      <c r="AM615" s="80">
        <f>AK615+AL615</f>
        <v>0</v>
      </c>
      <c r="AN615" s="80">
        <f>IF(CFG_BRK="Proporcional",IF(AD615=0,0,AF615*AM615/AD615),IF(CFG_BRK="Extras primero",MIN(AM615,MAX(0,AF615-(AD615-AM615))),MIN(AF615,AM615)))</f>
        <v>0</v>
      </c>
      <c r="AO615" s="80">
        <f>AF615-AN615</f>
        <v>0</v>
      </c>
      <c r="AP615" s="80">
        <f>AM615-AN615</f>
        <v>0</v>
      </c>
      <c r="AQ615" s="80">
        <f>AD615-AM615-AO615</f>
        <v>0</v>
      </c>
      <c r="AR615" s="80">
        <f>IF(AM615=0,0,AK615-AN615*AK615/AM615)</f>
        <v>0</v>
      </c>
      <c r="AS615" s="80">
        <f>IF(AD615-AM615=0,0,(AJ615-AK615)-AO615*(AJ615-AK615)/(AD615-AM615))</f>
        <v>0</v>
      </c>
      <c r="AT615" s="80" t="str">
        <f>IF(AC615=1,INT(B615)+1,"")</f>
        <v/>
      </c>
      <c r="AU615" s="80">
        <f>IF(AND(D615="proMX",R615="Cancelled"),0,1)</f>
        <v>1</v>
      </c>
      <c r="AV615" s="80">
        <f>IF(AND(AB615=1,AU615=1),IF(COUNTIFS($D$5:D614,D615,$B$5:B614,B615,$Z$5:Z614,Z615,$AA$5:AA614,AA615,$F$5:F614,F615&amp;"",$AU$5:AU614,1)&gt;0,1,0),0)</f>
        <v>0</v>
      </c>
      <c r="AW615" s="80" t="str">
        <f>IF(AB615=1,INT(B615)*1440+Z615,"")</f>
        <v/>
      </c>
      <c r="AX615" s="80" t="str">
        <f>IF(AB615=1,AW615+AD615,"")</f>
        <v/>
      </c>
      <c r="AY615" s="80">
        <f>IF(AND(AB615=1,AV615=0,AU615=1),1,0)</f>
        <v>0</v>
      </c>
      <c r="AZ615" s="80">
        <f>IF(AY615=1,COUNTIFS(R_Emp,D615,R_SAbs,"&lt;"&amp;AX615,R_EAbs,"&gt;"&amp;AW615,R_OKey,1)-1,0)</f>
        <v>0</v>
      </c>
      <c r="BA615" s="80">
        <f>IF(AY615=1,COUNTIFS(R_Emp,"&lt;&gt;"&amp;D615,R_SAbs,"&lt;"&amp;AX615,R_EAbs,"&gt;"&amp;AW615,R_OKey,1),0)</f>
        <v>0</v>
      </c>
      <c r="BB615" s="80">
        <f>IF(AND(AB615=1,D615="proMX"),IF(AND(MOD(Z615,CFG_BLK)=0,MOD(AA615,CFG_BLK)=0,MOD(AG615,CFG_BLK)=0,AG615&gt;0),1,0),1)</f>
        <v>1</v>
      </c>
      <c r="BC615" s="80" t="str">
        <f>IF(Y615=0,"",IF(NOT(ISNUMBER(B615)),"Falta fecha o fecha inválida",IF(D615="","Falta empresa",IF(AND(D615&lt;&gt;"Malcolm",D615&lt;&gt;"proMX"),"Empresa inválida",IF(OR(INT(B615)&lt;CFG_PSTART,INT(B615)&gt;CFG_PEND),"Fecha fuera del período",IF(OR(NOT(ISNUMBER(Z615)),NOT(ISNUMBER(AA615))),"Falta hora inicio/fin o formato inválido",IF(AB615=0,"Hora inicio = hora fin",IF(AE615&lt;0,"Descanso inválido",IF(AE615&gt;=AD615,"Descanso ≥ duración",IF(AV615=1,"Registro duplicado",IF(AZ615&gt;0,"Se superpone con otro registro "&amp;D615,IF(BB615=0,"inicio, fin y duración neta deben ser múltiplos de "&amp;CFG_BLK&amp;" min",""))))))))))))</f>
        <v/>
      </c>
      <c r="BD615" s="80">
        <f>IF(AND(Y615=1,BC615=""),1,0)</f>
        <v>0</v>
      </c>
      <c r="BE615" s="80">
        <f>IF(AND(BD615=1,AU615=1),1,0)</f>
        <v>0</v>
      </c>
      <c r="BF615" s="80" t="str">
        <f>IF(AND(D615="proMX",BD615=1),IF(R615="","Draft",R615),"")</f>
        <v/>
      </c>
      <c r="BG615" s="80">
        <f>IF(BD615=1,ROUND(AG615/60,6),0)</f>
        <v>0</v>
      </c>
      <c r="BH615" s="80">
        <f>IF(BE615=1,ROUND(AG615/60,6),0)</f>
        <v>0</v>
      </c>
      <c r="BI615" s="80">
        <f>IF(BE615=1,ROUND(AP615/60,6),0)</f>
        <v>0</v>
      </c>
      <c r="BJ615" s="80">
        <f>IF(BE615=1,ROUND(AQ615/60,6),0)</f>
        <v>0</v>
      </c>
      <c r="BK615" s="80">
        <f>IF(BE615=1,ROUND((AR615+AS615)/60,6),0)</f>
        <v>0</v>
      </c>
      <c r="BL615" s="80">
        <f>ROUND(BH615-BK615,6)</f>
        <v>0</v>
      </c>
      <c r="BM615" s="80">
        <f>IF(BE615=1,ROUND(AR615/60,6),0)</f>
        <v>0</v>
      </c>
      <c r="BN615" s="80">
        <f>ROUND(BI615-BM615,6)</f>
        <v>0</v>
      </c>
      <c r="BO615" s="80">
        <f>IF(BE615=1,ROUND(AS615/60,6),0)</f>
        <v>0</v>
      </c>
      <c r="BP615" s="80">
        <f>ROUND(BJ615-BO615,6)</f>
        <v>0</v>
      </c>
      <c r="BQ615" s="80">
        <f>IF(BE615=1,AW615,0)</f>
        <v>0</v>
      </c>
      <c r="BR615" s="80">
        <f>IF(BE615=1,AX615,0)</f>
        <v>0</v>
      </c>
      <c r="BS615" s="80">
        <f>IF(AND(BE615=1,D615="Malcolm",BA615&gt;0),MIN(BH615,SUMPRODUCT((R_Emp="proMX")*(R_EN&gt;0)*((R_EN-(R_EN&gt;BR615)*(R_EN-BR615))&gt;(R_SN+(R_SN&lt;BQ615)*(BQ615-R_SN)))*((R_EN-(R_EN&gt;BR615)*(R_EN-BR615))-(R_SN+(R_SN&lt;BQ615)*(BQ615-R_SN))))/60),0)</f>
        <v>0</v>
      </c>
      <c r="BT615" s="80">
        <f>IF(AND(BE615=1,D615="proMX"),ROUND(BI615*CFG_RATE+BJ615*CFG_OTRATE,6),0)</f>
        <v>0</v>
      </c>
      <c r="BU615" s="80">
        <f>IF(AND(BD615=1,D615="proMX"),ROUND(AG615/CFG_BLK,6),0)</f>
        <v>0</v>
      </c>
      <c r="BV615" s="80" t="str">
        <f>IF(BF615="Approved",IF(ISNUMBER(T615),INT(T615),INT(B615)),"")</f>
        <v/>
      </c>
      <c r="BW615" s="80">
        <f>IF(ISNUMBER(B615),IF(DB_MON="Todos",1,IF(AND(INT(B615)&gt;=DB_MS,INT(B615)&lt;=DB_ME),1,0)),0)</f>
        <v>0</v>
      </c>
      <c r="BX615" s="80">
        <f>IF(DB_PROJ="Todos",1,IF(E615&amp;""=DB_PROJ&amp;"",1,0))</f>
        <v>1</v>
      </c>
      <c r="BY615" s="80">
        <f>BW615*BX615</f>
        <v>0</v>
      </c>
      <c r="BZ615" s="80" t="str">
        <f>IF(Y615=1,F615&amp;IF(AND(F615&amp;""&lt;&gt;"",E615&amp;""&lt;&gt;"")," · ","")&amp;E615,"")</f>
        <v/>
      </c>
      <c r="CA615" s="80" t="str">
        <f>IF(AND(BD615=1,E615&amp;""&lt;&gt;""),IF(COUNTIFS($E$5:E614,E615,$BD$5:BD614,1)=0,MAX($CA$5:CA614)+1,""),"")</f>
        <v/>
      </c>
      <c r="CB615" s="80" t="str">
        <f>IF(AND(BE615=1,D615="Malcolm",E615&amp;""&lt;&gt;""),IF(COUNTIFS($D$5:D614,"Malcolm",$E$5:E614,E615,$BE$5:BE614,1)=0,MAX($CB$5:CB614)+1,""),"")</f>
        <v/>
      </c>
      <c r="CC615" s="80" t="str">
        <f>IF(AND(BD615=1,D615="proMX",E615&amp;""&lt;&gt;""),IF(COUNTIFS($D$5:D614,"proMX",$E$5:E614,E615,$BD$5:BD614,1)=0,MAX($CC$5:CC614)+1,""),"")</f>
        <v/>
      </c>
      <c r="CD615" s="80" t="str">
        <f>IF(AND(BE615=1,D615="Malcolm",F615&amp;""&lt;&gt;""),IF(COUNTIFS($D$5:D614,"Malcolm",$F$5:F614,F615,$BE$5:BE614,1)=0,MAX($CD$5:CD614)+1,""),"")</f>
        <v/>
      </c>
      <c r="CE615" s="80" t="str">
        <f>IF(AND(BD615=1,D615="proMX",F615&amp;""&lt;&gt;""),IF(COUNTIFS($D$5:D614,"proMX",$F$5:F614,F615,$BD$5:BD614,1)=0,MAX($CE$5:CE614)+1,""),"")</f>
        <v/>
      </c>
      <c r="CF615" s="80" t="str">
        <f>IF(AND(D615="proMX",BD615=1),IF(OR(BF615="Draft",BF615="Submitted",BF615="Returned",BF615="Recall Requested"),MAX($CF$5:CF614)+1,""),"")</f>
        <v/>
      </c>
      <c r="CG615" s="80">
        <f>IF(BD615=0,0,IF(D615="Malcolm",1,MATCH(BF615,{"Draft","Submitted","Approved","Returned","Recall Requested","Cancelled"},0)+1))</f>
        <v>0</v>
      </c>
      <c r="CH615" s="80">
        <f>IF(AND(BF615="Submitted",ISNUMBER(V615)),IF(V615&gt;CFG_MAXD,1,0),0)</f>
        <v>0</v>
      </c>
    </row>
    <row r="616">
      <c r="A616" s="71" t="str">
        <f>IF(Y616=1,ROW()-5,"")</f>
        <v/>
      </c>
      <c r="B616" s="72" t="n"/>
      <c r="C616" s="71" t="str">
        <f>IF(ISNUMBER(B616),CHOOSE(WEEKDAY(B616,2),"Lun","Mar","Mié","Jue","Vie","Sáb","Dom"),"")</f>
        <v/>
      </c>
      <c r="D616" s="73" t="n"/>
      <c r="E616" s="74" t="n"/>
      <c r="F616" s="74" t="n"/>
      <c r="G616" s="74" t="n"/>
      <c r="H616" s="75" t="n"/>
      <c r="I616" s="75" t="n"/>
      <c r="J616" s="76" t="n"/>
      <c r="K616" s="77" t="str">
        <f>IF(AB616=1,ROUND(AG616/60,4),"")</f>
        <v/>
      </c>
      <c r="L616" s="77" t="str">
        <f>IF(BD616=1,ROUND(AP616/60,4),"")</f>
        <v/>
      </c>
      <c r="M616" s="77" t="str">
        <f>IF(BD616=1,ROUND(AQ616/60,4),"")</f>
        <v/>
      </c>
      <c r="N616" s="71" t="str">
        <f>IF(AND(D616="proMX",AB616=1),ROUND(AG616/CFG_BLK,2),"")</f>
        <v/>
      </c>
      <c r="O616" s="77" t="str">
        <f>IF(D616="proMX",IF(BD616=1,ROUND(AG616/60,4),0),"")</f>
        <v/>
      </c>
      <c r="P616" s="78" t="str">
        <f>IF(Y616=0,"",IF(BD616=1,"OK",IF(D616="proMX","Revisar bloques: ","Revisar: ")&amp;BC616))</f>
        <v/>
      </c>
      <c r="Q616" s="78" t="str">
        <f>IF(NOT(ISNUMBER(B616)),"",IF(COUNTIFS(FER_F,INT(B616))&gt;0,"Feriado"&amp;IF(AH616=1," (laborable)"," (no laborable)"),IF(AH616=1,"Laborable",IF(WEEKDAY(B616,2)&gt;5,"Fin de semana","No laborable"))))</f>
        <v/>
      </c>
      <c r="R616" s="73" t="n"/>
      <c r="S616" s="72" t="n"/>
      <c r="T616" s="72" t="n"/>
      <c r="U616" s="74" t="n"/>
      <c r="V616" s="79" t="str">
        <f>IF(AND(D616="proMX",OR(R616="Submitted",R616="Recall Requested"),ISNUMBER(S616)),CFG_TODAY-INT(S616),"")</f>
        <v/>
      </c>
      <c r="W616" s="78" t="str">
        <f>IF(BD616=0,"",IF(BA616&gt;0,"⚠ Se superpone con un registro de la otra empresa",IF(D616="Malcolm",IF(COUNTA(R616,S616,T616)&gt;0,"Estado/fechas proMX se ignoran en Malcolm",""),IF(BF616="Cancelled","Cancelado: excluido de totales",IF(R616="","Sin estado: se trata como Draft",IF(BF616="Submitted",IF(ISNUMBER(V616),IF(V616&gt;CFG_MAXD,"⚠ "&amp;V616&amp;" días en Submitted (máx. "&amp;CFG_MAXD&amp;")",""),"Falta fecha de envío"),IF(BF616="Returned","⚠ Devuelto: corregir y reenviar",IF(BF616="Recall Requested","Retirada solicitada: pendiente",IF(AND(BF616="Approved",NOT(ISNUMBER(T616))),"Falta fecha de aprobación",IF(AND(ISNUMBER(S616),ISNUMBER(T616),T616&lt;S616),"Aprobación anterior al envío","")))))))))</f>
        <v/>
      </c>
      <c r="Y616" s="80">
        <f>IF(COUNTA(B616,D616,E616,F616,G616,H616,I616,J616,R616,S616,T616)&gt;0,1,0)</f>
        <v>0</v>
      </c>
      <c r="Z616" s="80" t="str">
        <f>IF(AND(ISNUMBER(H616),H616&gt;=0,H616&lt;1),ROUND(H616*1440,0),"")</f>
        <v/>
      </c>
      <c r="AA616" s="80" t="str">
        <f>IF(AND(ISNUMBER(I616),I616&gt;=0,I616&lt;1),ROUND(I616*1440,0),"")</f>
        <v/>
      </c>
      <c r="AB616" s="80">
        <f>IF(AND(ISNUMBER(B616),D616&lt;&gt;"",ISNUMBER(Z616),ISNUMBER(AA616)),IF(Z616=AA616,0,1),0)</f>
        <v>0</v>
      </c>
      <c r="AC616" s="80">
        <f>IF(AB616=1,IF(AA616&lt;Z616,1,0),0)</f>
        <v>0</v>
      </c>
      <c r="AD616" s="80">
        <f>IF(AB616=1,IF(AC616=1,1440-Z616+AA616,AA616-Z616),0)</f>
        <v>0</v>
      </c>
      <c r="AE616" s="80">
        <f>IF(J616="",0,IF(ISNUMBER(J616),J616,-1))</f>
        <v>0</v>
      </c>
      <c r="AF616" s="80">
        <f>MIN(MAX(0,AE616),AD616)</f>
        <v>0</v>
      </c>
      <c r="AG616" s="80">
        <f>MAX(0,AD616-MAX(0,AE616))</f>
        <v>0</v>
      </c>
      <c r="AH616" s="80">
        <f>IF(ISNUMBER(B616),IF(AND(INDEX(CFG_WDAYS,WEEKDAY(INT(B616),2))="Sí",IF(D616="proMX",COUNTIFS(FER_F,INT(B616),FER_NLP,"Sí"),COUNTIFS(FER_F,INT(B616),FER_NLM,"Sí"))=0),1,0),0)</f>
        <v>0</v>
      </c>
      <c r="AI616" s="80">
        <f>IF(AC616=1,IF(AND(INDEX(CFG_WDAYS,WEEKDAY(INT(B616)+1,2))="Sí",IF(D616="proMX",COUNTIFS(FER_F,INT(B616)+1,FER_NLP,"Sí"),COUNTIFS(FER_F,INT(B616)+1,FER_NLM,"Sí"))=0),1,0),0)</f>
        <v>0</v>
      </c>
      <c r="AJ616" s="80">
        <f>IF(AC616=1,1440-Z616,AD616)</f>
        <v>0</v>
      </c>
      <c r="AK616" s="80">
        <f>IF(AND(AB616=1,AH616=1),MAX(0,MIN(IF(AC616=1,1440,AA616),CFG_WEM)-MAX(Z616,CFG_WSM)),0)</f>
        <v>0</v>
      </c>
      <c r="AL616" s="80">
        <f>IF(AND(AC616=1,AI616=1),MAX(0,MIN(AA616,CFG_WEM)-CFG_WSM),0)</f>
        <v>0</v>
      </c>
      <c r="AM616" s="80">
        <f>AK616+AL616</f>
        <v>0</v>
      </c>
      <c r="AN616" s="80">
        <f>IF(CFG_BRK="Proporcional",IF(AD616=0,0,AF616*AM616/AD616),IF(CFG_BRK="Extras primero",MIN(AM616,MAX(0,AF616-(AD616-AM616))),MIN(AF616,AM616)))</f>
        <v>0</v>
      </c>
      <c r="AO616" s="80">
        <f>AF616-AN616</f>
        <v>0</v>
      </c>
      <c r="AP616" s="80">
        <f>AM616-AN616</f>
        <v>0</v>
      </c>
      <c r="AQ616" s="80">
        <f>AD616-AM616-AO616</f>
        <v>0</v>
      </c>
      <c r="AR616" s="80">
        <f>IF(AM616=0,0,AK616-AN616*AK616/AM616)</f>
        <v>0</v>
      </c>
      <c r="AS616" s="80">
        <f>IF(AD616-AM616=0,0,(AJ616-AK616)-AO616*(AJ616-AK616)/(AD616-AM616))</f>
        <v>0</v>
      </c>
      <c r="AT616" s="80" t="str">
        <f>IF(AC616=1,INT(B616)+1,"")</f>
        <v/>
      </c>
      <c r="AU616" s="80">
        <f>IF(AND(D616="proMX",R616="Cancelled"),0,1)</f>
        <v>1</v>
      </c>
      <c r="AV616" s="80">
        <f>IF(AND(AB616=1,AU616=1),IF(COUNTIFS($D$5:D615,D616,$B$5:B615,B616,$Z$5:Z615,Z616,$AA$5:AA615,AA616,$F$5:F615,F616&amp;"",$AU$5:AU615,1)&gt;0,1,0),0)</f>
        <v>0</v>
      </c>
      <c r="AW616" s="80" t="str">
        <f>IF(AB616=1,INT(B616)*1440+Z616,"")</f>
        <v/>
      </c>
      <c r="AX616" s="80" t="str">
        <f>IF(AB616=1,AW616+AD616,"")</f>
        <v/>
      </c>
      <c r="AY616" s="80">
        <f>IF(AND(AB616=1,AV616=0,AU616=1),1,0)</f>
        <v>0</v>
      </c>
      <c r="AZ616" s="80">
        <f>IF(AY616=1,COUNTIFS(R_Emp,D616,R_SAbs,"&lt;"&amp;AX616,R_EAbs,"&gt;"&amp;AW616,R_OKey,1)-1,0)</f>
        <v>0</v>
      </c>
      <c r="BA616" s="80">
        <f>IF(AY616=1,COUNTIFS(R_Emp,"&lt;&gt;"&amp;D616,R_SAbs,"&lt;"&amp;AX616,R_EAbs,"&gt;"&amp;AW616,R_OKey,1),0)</f>
        <v>0</v>
      </c>
      <c r="BB616" s="80">
        <f>IF(AND(AB616=1,D616="proMX"),IF(AND(MOD(Z616,CFG_BLK)=0,MOD(AA616,CFG_BLK)=0,MOD(AG616,CFG_BLK)=0,AG616&gt;0),1,0),1)</f>
        <v>1</v>
      </c>
      <c r="BC616" s="80" t="str">
        <f>IF(Y616=0,"",IF(NOT(ISNUMBER(B616)),"Falta fecha o fecha inválida",IF(D616="","Falta empresa",IF(AND(D616&lt;&gt;"Malcolm",D616&lt;&gt;"proMX"),"Empresa inválida",IF(OR(INT(B616)&lt;CFG_PSTART,INT(B616)&gt;CFG_PEND),"Fecha fuera del período",IF(OR(NOT(ISNUMBER(Z616)),NOT(ISNUMBER(AA616))),"Falta hora inicio/fin o formato inválido",IF(AB616=0,"Hora inicio = hora fin",IF(AE616&lt;0,"Descanso inválido",IF(AE616&gt;=AD616,"Descanso ≥ duración",IF(AV616=1,"Registro duplicado",IF(AZ616&gt;0,"Se superpone con otro registro "&amp;D616,IF(BB616=0,"inicio, fin y duración neta deben ser múltiplos de "&amp;CFG_BLK&amp;" min",""))))))))))))</f>
        <v/>
      </c>
      <c r="BD616" s="80">
        <f>IF(AND(Y616=1,BC616=""),1,0)</f>
        <v>0</v>
      </c>
      <c r="BE616" s="80">
        <f>IF(AND(BD616=1,AU616=1),1,0)</f>
        <v>0</v>
      </c>
      <c r="BF616" s="80" t="str">
        <f>IF(AND(D616="proMX",BD616=1),IF(R616="","Draft",R616),"")</f>
        <v/>
      </c>
      <c r="BG616" s="80">
        <f>IF(BD616=1,ROUND(AG616/60,6),0)</f>
        <v>0</v>
      </c>
      <c r="BH616" s="80">
        <f>IF(BE616=1,ROUND(AG616/60,6),0)</f>
        <v>0</v>
      </c>
      <c r="BI616" s="80">
        <f>IF(BE616=1,ROUND(AP616/60,6),0)</f>
        <v>0</v>
      </c>
      <c r="BJ616" s="80">
        <f>IF(BE616=1,ROUND(AQ616/60,6),0)</f>
        <v>0</v>
      </c>
      <c r="BK616" s="80">
        <f>IF(BE616=1,ROUND((AR616+AS616)/60,6),0)</f>
        <v>0</v>
      </c>
      <c r="BL616" s="80">
        <f>ROUND(BH616-BK616,6)</f>
        <v>0</v>
      </c>
      <c r="BM616" s="80">
        <f>IF(BE616=1,ROUND(AR616/60,6),0)</f>
        <v>0</v>
      </c>
      <c r="BN616" s="80">
        <f>ROUND(BI616-BM616,6)</f>
        <v>0</v>
      </c>
      <c r="BO616" s="80">
        <f>IF(BE616=1,ROUND(AS616/60,6),0)</f>
        <v>0</v>
      </c>
      <c r="BP616" s="80">
        <f>ROUND(BJ616-BO616,6)</f>
        <v>0</v>
      </c>
      <c r="BQ616" s="80">
        <f>IF(BE616=1,AW616,0)</f>
        <v>0</v>
      </c>
      <c r="BR616" s="80">
        <f>IF(BE616=1,AX616,0)</f>
        <v>0</v>
      </c>
      <c r="BS616" s="80">
        <f>IF(AND(BE616=1,D616="Malcolm",BA616&gt;0),MIN(BH616,SUMPRODUCT((R_Emp="proMX")*(R_EN&gt;0)*((R_EN-(R_EN&gt;BR616)*(R_EN-BR616))&gt;(R_SN+(R_SN&lt;BQ616)*(BQ616-R_SN)))*((R_EN-(R_EN&gt;BR616)*(R_EN-BR616))-(R_SN+(R_SN&lt;BQ616)*(BQ616-R_SN))))/60),0)</f>
        <v>0</v>
      </c>
      <c r="BT616" s="80">
        <f>IF(AND(BE616=1,D616="proMX"),ROUND(BI616*CFG_RATE+BJ616*CFG_OTRATE,6),0)</f>
        <v>0</v>
      </c>
      <c r="BU616" s="80">
        <f>IF(AND(BD616=1,D616="proMX"),ROUND(AG616/CFG_BLK,6),0)</f>
        <v>0</v>
      </c>
      <c r="BV616" s="80" t="str">
        <f>IF(BF616="Approved",IF(ISNUMBER(T616),INT(T616),INT(B616)),"")</f>
        <v/>
      </c>
      <c r="BW616" s="80">
        <f>IF(ISNUMBER(B616),IF(DB_MON="Todos",1,IF(AND(INT(B616)&gt;=DB_MS,INT(B616)&lt;=DB_ME),1,0)),0)</f>
        <v>0</v>
      </c>
      <c r="BX616" s="80">
        <f>IF(DB_PROJ="Todos",1,IF(E616&amp;""=DB_PROJ&amp;"",1,0))</f>
        <v>1</v>
      </c>
      <c r="BY616" s="80">
        <f>BW616*BX616</f>
        <v>0</v>
      </c>
      <c r="BZ616" s="80" t="str">
        <f>IF(Y616=1,F616&amp;IF(AND(F616&amp;""&lt;&gt;"",E616&amp;""&lt;&gt;"")," · ","")&amp;E616,"")</f>
        <v/>
      </c>
      <c r="CA616" s="80" t="str">
        <f>IF(AND(BD616=1,E616&amp;""&lt;&gt;""),IF(COUNTIFS($E$5:E615,E616,$BD$5:BD615,1)=0,MAX($CA$5:CA615)+1,""),"")</f>
        <v/>
      </c>
      <c r="CB616" s="80" t="str">
        <f>IF(AND(BE616=1,D616="Malcolm",E616&amp;""&lt;&gt;""),IF(COUNTIFS($D$5:D615,"Malcolm",$E$5:E615,E616,$BE$5:BE615,1)=0,MAX($CB$5:CB615)+1,""),"")</f>
        <v/>
      </c>
      <c r="CC616" s="80" t="str">
        <f>IF(AND(BD616=1,D616="proMX",E616&amp;""&lt;&gt;""),IF(COUNTIFS($D$5:D615,"proMX",$E$5:E615,E616,$BD$5:BD615,1)=0,MAX($CC$5:CC615)+1,""),"")</f>
        <v/>
      </c>
      <c r="CD616" s="80" t="str">
        <f>IF(AND(BE616=1,D616="Malcolm",F616&amp;""&lt;&gt;""),IF(COUNTIFS($D$5:D615,"Malcolm",$F$5:F615,F616,$BE$5:BE615,1)=0,MAX($CD$5:CD615)+1,""),"")</f>
        <v/>
      </c>
      <c r="CE616" s="80" t="str">
        <f>IF(AND(BD616=1,D616="proMX",F616&amp;""&lt;&gt;""),IF(COUNTIFS($D$5:D615,"proMX",$F$5:F615,F616,$BD$5:BD615,1)=0,MAX($CE$5:CE615)+1,""),"")</f>
        <v/>
      </c>
      <c r="CF616" s="80" t="str">
        <f>IF(AND(D616="proMX",BD616=1),IF(OR(BF616="Draft",BF616="Submitted",BF616="Returned",BF616="Recall Requested"),MAX($CF$5:CF615)+1,""),"")</f>
        <v/>
      </c>
      <c r="CG616" s="80">
        <f>IF(BD616=0,0,IF(D616="Malcolm",1,MATCH(BF616,{"Draft","Submitted","Approved","Returned","Recall Requested","Cancelled"},0)+1))</f>
        <v>0</v>
      </c>
      <c r="CH616" s="80">
        <f>IF(AND(BF616="Submitted",ISNUMBER(V616)),IF(V616&gt;CFG_MAXD,1,0),0)</f>
        <v>0</v>
      </c>
    </row>
    <row r="617">
      <c r="A617" s="71" t="str">
        <f>IF(Y617=1,ROW()-5,"")</f>
        <v/>
      </c>
      <c r="B617" s="72" t="n"/>
      <c r="C617" s="71" t="str">
        <f>IF(ISNUMBER(B617),CHOOSE(WEEKDAY(B617,2),"Lun","Mar","Mié","Jue","Vie","Sáb","Dom"),"")</f>
        <v/>
      </c>
      <c r="D617" s="73" t="n"/>
      <c r="E617" s="74" t="n"/>
      <c r="F617" s="74" t="n"/>
      <c r="G617" s="74" t="n"/>
      <c r="H617" s="75" t="n"/>
      <c r="I617" s="75" t="n"/>
      <c r="J617" s="76" t="n"/>
      <c r="K617" s="77" t="str">
        <f>IF(AB617=1,ROUND(AG617/60,4),"")</f>
        <v/>
      </c>
      <c r="L617" s="77" t="str">
        <f>IF(BD617=1,ROUND(AP617/60,4),"")</f>
        <v/>
      </c>
      <c r="M617" s="77" t="str">
        <f>IF(BD617=1,ROUND(AQ617/60,4),"")</f>
        <v/>
      </c>
      <c r="N617" s="71" t="str">
        <f>IF(AND(D617="proMX",AB617=1),ROUND(AG617/CFG_BLK,2),"")</f>
        <v/>
      </c>
      <c r="O617" s="77" t="str">
        <f>IF(D617="proMX",IF(BD617=1,ROUND(AG617/60,4),0),"")</f>
        <v/>
      </c>
      <c r="P617" s="78" t="str">
        <f>IF(Y617=0,"",IF(BD617=1,"OK",IF(D617="proMX","Revisar bloques: ","Revisar: ")&amp;BC617))</f>
        <v/>
      </c>
      <c r="Q617" s="78" t="str">
        <f>IF(NOT(ISNUMBER(B617)),"",IF(COUNTIFS(FER_F,INT(B617))&gt;0,"Feriado"&amp;IF(AH617=1," (laborable)"," (no laborable)"),IF(AH617=1,"Laborable",IF(WEEKDAY(B617,2)&gt;5,"Fin de semana","No laborable"))))</f>
        <v/>
      </c>
      <c r="R617" s="73" t="n"/>
      <c r="S617" s="72" t="n"/>
      <c r="T617" s="72" t="n"/>
      <c r="U617" s="74" t="n"/>
      <c r="V617" s="79" t="str">
        <f>IF(AND(D617="proMX",OR(R617="Submitted",R617="Recall Requested"),ISNUMBER(S617)),CFG_TODAY-INT(S617),"")</f>
        <v/>
      </c>
      <c r="W617" s="78" t="str">
        <f>IF(BD617=0,"",IF(BA617&gt;0,"⚠ Se superpone con un registro de la otra empresa",IF(D617="Malcolm",IF(COUNTA(R617,S617,T617)&gt;0,"Estado/fechas proMX se ignoran en Malcolm",""),IF(BF617="Cancelled","Cancelado: excluido de totales",IF(R617="","Sin estado: se trata como Draft",IF(BF617="Submitted",IF(ISNUMBER(V617),IF(V617&gt;CFG_MAXD,"⚠ "&amp;V617&amp;" días en Submitted (máx. "&amp;CFG_MAXD&amp;")",""),"Falta fecha de envío"),IF(BF617="Returned","⚠ Devuelto: corregir y reenviar",IF(BF617="Recall Requested","Retirada solicitada: pendiente",IF(AND(BF617="Approved",NOT(ISNUMBER(T617))),"Falta fecha de aprobación",IF(AND(ISNUMBER(S617),ISNUMBER(T617),T617&lt;S617),"Aprobación anterior al envío","")))))))))</f>
        <v/>
      </c>
      <c r="Y617" s="80">
        <f>IF(COUNTA(B617,D617,E617,F617,G617,H617,I617,J617,R617,S617,T617)&gt;0,1,0)</f>
        <v>0</v>
      </c>
      <c r="Z617" s="80" t="str">
        <f>IF(AND(ISNUMBER(H617),H617&gt;=0,H617&lt;1),ROUND(H617*1440,0),"")</f>
        <v/>
      </c>
      <c r="AA617" s="80" t="str">
        <f>IF(AND(ISNUMBER(I617),I617&gt;=0,I617&lt;1),ROUND(I617*1440,0),"")</f>
        <v/>
      </c>
      <c r="AB617" s="80">
        <f>IF(AND(ISNUMBER(B617),D617&lt;&gt;"",ISNUMBER(Z617),ISNUMBER(AA617)),IF(Z617=AA617,0,1),0)</f>
        <v>0</v>
      </c>
      <c r="AC617" s="80">
        <f>IF(AB617=1,IF(AA617&lt;Z617,1,0),0)</f>
        <v>0</v>
      </c>
      <c r="AD617" s="80">
        <f>IF(AB617=1,IF(AC617=1,1440-Z617+AA617,AA617-Z617),0)</f>
        <v>0</v>
      </c>
      <c r="AE617" s="80">
        <f>IF(J617="",0,IF(ISNUMBER(J617),J617,-1))</f>
        <v>0</v>
      </c>
      <c r="AF617" s="80">
        <f>MIN(MAX(0,AE617),AD617)</f>
        <v>0</v>
      </c>
      <c r="AG617" s="80">
        <f>MAX(0,AD617-MAX(0,AE617))</f>
        <v>0</v>
      </c>
      <c r="AH617" s="80">
        <f>IF(ISNUMBER(B617),IF(AND(INDEX(CFG_WDAYS,WEEKDAY(INT(B617),2))="Sí",IF(D617="proMX",COUNTIFS(FER_F,INT(B617),FER_NLP,"Sí"),COUNTIFS(FER_F,INT(B617),FER_NLM,"Sí"))=0),1,0),0)</f>
        <v>0</v>
      </c>
      <c r="AI617" s="80">
        <f>IF(AC617=1,IF(AND(INDEX(CFG_WDAYS,WEEKDAY(INT(B617)+1,2))="Sí",IF(D617="proMX",COUNTIFS(FER_F,INT(B617)+1,FER_NLP,"Sí"),COUNTIFS(FER_F,INT(B617)+1,FER_NLM,"Sí"))=0),1,0),0)</f>
        <v>0</v>
      </c>
      <c r="AJ617" s="80">
        <f>IF(AC617=1,1440-Z617,AD617)</f>
        <v>0</v>
      </c>
      <c r="AK617" s="80">
        <f>IF(AND(AB617=1,AH617=1),MAX(0,MIN(IF(AC617=1,1440,AA617),CFG_WEM)-MAX(Z617,CFG_WSM)),0)</f>
        <v>0</v>
      </c>
      <c r="AL617" s="80">
        <f>IF(AND(AC617=1,AI617=1),MAX(0,MIN(AA617,CFG_WEM)-CFG_WSM),0)</f>
        <v>0</v>
      </c>
      <c r="AM617" s="80">
        <f>AK617+AL617</f>
        <v>0</v>
      </c>
      <c r="AN617" s="80">
        <f>IF(CFG_BRK="Proporcional",IF(AD617=0,0,AF617*AM617/AD617),IF(CFG_BRK="Extras primero",MIN(AM617,MAX(0,AF617-(AD617-AM617))),MIN(AF617,AM617)))</f>
        <v>0</v>
      </c>
      <c r="AO617" s="80">
        <f>AF617-AN617</f>
        <v>0</v>
      </c>
      <c r="AP617" s="80">
        <f>AM617-AN617</f>
        <v>0</v>
      </c>
      <c r="AQ617" s="80">
        <f>AD617-AM617-AO617</f>
        <v>0</v>
      </c>
      <c r="AR617" s="80">
        <f>IF(AM617=0,0,AK617-AN617*AK617/AM617)</f>
        <v>0</v>
      </c>
      <c r="AS617" s="80">
        <f>IF(AD617-AM617=0,0,(AJ617-AK617)-AO617*(AJ617-AK617)/(AD617-AM617))</f>
        <v>0</v>
      </c>
      <c r="AT617" s="80" t="str">
        <f>IF(AC617=1,INT(B617)+1,"")</f>
        <v/>
      </c>
      <c r="AU617" s="80">
        <f>IF(AND(D617="proMX",R617="Cancelled"),0,1)</f>
        <v>1</v>
      </c>
      <c r="AV617" s="80">
        <f>IF(AND(AB617=1,AU617=1),IF(COUNTIFS($D$5:D616,D617,$B$5:B616,B617,$Z$5:Z616,Z617,$AA$5:AA616,AA617,$F$5:F616,F617&amp;"",$AU$5:AU616,1)&gt;0,1,0),0)</f>
        <v>0</v>
      </c>
      <c r="AW617" s="80" t="str">
        <f>IF(AB617=1,INT(B617)*1440+Z617,"")</f>
        <v/>
      </c>
      <c r="AX617" s="80" t="str">
        <f>IF(AB617=1,AW617+AD617,"")</f>
        <v/>
      </c>
      <c r="AY617" s="80">
        <f>IF(AND(AB617=1,AV617=0,AU617=1),1,0)</f>
        <v>0</v>
      </c>
      <c r="AZ617" s="80">
        <f>IF(AY617=1,COUNTIFS(R_Emp,D617,R_SAbs,"&lt;"&amp;AX617,R_EAbs,"&gt;"&amp;AW617,R_OKey,1)-1,0)</f>
        <v>0</v>
      </c>
      <c r="BA617" s="80">
        <f>IF(AY617=1,COUNTIFS(R_Emp,"&lt;&gt;"&amp;D617,R_SAbs,"&lt;"&amp;AX617,R_EAbs,"&gt;"&amp;AW617,R_OKey,1),0)</f>
        <v>0</v>
      </c>
      <c r="BB617" s="80">
        <f>IF(AND(AB617=1,D617="proMX"),IF(AND(MOD(Z617,CFG_BLK)=0,MOD(AA617,CFG_BLK)=0,MOD(AG617,CFG_BLK)=0,AG617&gt;0),1,0),1)</f>
        <v>1</v>
      </c>
      <c r="BC617" s="80" t="str">
        <f>IF(Y617=0,"",IF(NOT(ISNUMBER(B617)),"Falta fecha o fecha inválida",IF(D617="","Falta empresa",IF(AND(D617&lt;&gt;"Malcolm",D617&lt;&gt;"proMX"),"Empresa inválida",IF(OR(INT(B617)&lt;CFG_PSTART,INT(B617)&gt;CFG_PEND),"Fecha fuera del período",IF(OR(NOT(ISNUMBER(Z617)),NOT(ISNUMBER(AA617))),"Falta hora inicio/fin o formato inválido",IF(AB617=0,"Hora inicio = hora fin",IF(AE617&lt;0,"Descanso inválido",IF(AE617&gt;=AD617,"Descanso ≥ duración",IF(AV617=1,"Registro duplicado",IF(AZ617&gt;0,"Se superpone con otro registro "&amp;D617,IF(BB617=0,"inicio, fin y duración neta deben ser múltiplos de "&amp;CFG_BLK&amp;" min",""))))))))))))</f>
        <v/>
      </c>
      <c r="BD617" s="80">
        <f>IF(AND(Y617=1,BC617=""),1,0)</f>
        <v>0</v>
      </c>
      <c r="BE617" s="80">
        <f>IF(AND(BD617=1,AU617=1),1,0)</f>
        <v>0</v>
      </c>
      <c r="BF617" s="80" t="str">
        <f>IF(AND(D617="proMX",BD617=1),IF(R617="","Draft",R617),"")</f>
        <v/>
      </c>
      <c r="BG617" s="80">
        <f>IF(BD617=1,ROUND(AG617/60,6),0)</f>
        <v>0</v>
      </c>
      <c r="BH617" s="80">
        <f>IF(BE617=1,ROUND(AG617/60,6),0)</f>
        <v>0</v>
      </c>
      <c r="BI617" s="80">
        <f>IF(BE617=1,ROUND(AP617/60,6),0)</f>
        <v>0</v>
      </c>
      <c r="BJ617" s="80">
        <f>IF(BE617=1,ROUND(AQ617/60,6),0)</f>
        <v>0</v>
      </c>
      <c r="BK617" s="80">
        <f>IF(BE617=1,ROUND((AR617+AS617)/60,6),0)</f>
        <v>0</v>
      </c>
      <c r="BL617" s="80">
        <f>ROUND(BH617-BK617,6)</f>
        <v>0</v>
      </c>
      <c r="BM617" s="80">
        <f>IF(BE617=1,ROUND(AR617/60,6),0)</f>
        <v>0</v>
      </c>
      <c r="BN617" s="80">
        <f>ROUND(BI617-BM617,6)</f>
        <v>0</v>
      </c>
      <c r="BO617" s="80">
        <f>IF(BE617=1,ROUND(AS617/60,6),0)</f>
        <v>0</v>
      </c>
      <c r="BP617" s="80">
        <f>ROUND(BJ617-BO617,6)</f>
        <v>0</v>
      </c>
      <c r="BQ617" s="80">
        <f>IF(BE617=1,AW617,0)</f>
        <v>0</v>
      </c>
      <c r="BR617" s="80">
        <f>IF(BE617=1,AX617,0)</f>
        <v>0</v>
      </c>
      <c r="BS617" s="80">
        <f>IF(AND(BE617=1,D617="Malcolm",BA617&gt;0),MIN(BH617,SUMPRODUCT((R_Emp="proMX")*(R_EN&gt;0)*((R_EN-(R_EN&gt;BR617)*(R_EN-BR617))&gt;(R_SN+(R_SN&lt;BQ617)*(BQ617-R_SN)))*((R_EN-(R_EN&gt;BR617)*(R_EN-BR617))-(R_SN+(R_SN&lt;BQ617)*(BQ617-R_SN))))/60),0)</f>
        <v>0</v>
      </c>
      <c r="BT617" s="80">
        <f>IF(AND(BE617=1,D617="proMX"),ROUND(BI617*CFG_RATE+BJ617*CFG_OTRATE,6),0)</f>
        <v>0</v>
      </c>
      <c r="BU617" s="80">
        <f>IF(AND(BD617=1,D617="proMX"),ROUND(AG617/CFG_BLK,6),0)</f>
        <v>0</v>
      </c>
      <c r="BV617" s="80" t="str">
        <f>IF(BF617="Approved",IF(ISNUMBER(T617),INT(T617),INT(B617)),"")</f>
        <v/>
      </c>
      <c r="BW617" s="80">
        <f>IF(ISNUMBER(B617),IF(DB_MON="Todos",1,IF(AND(INT(B617)&gt;=DB_MS,INT(B617)&lt;=DB_ME),1,0)),0)</f>
        <v>0</v>
      </c>
      <c r="BX617" s="80">
        <f>IF(DB_PROJ="Todos",1,IF(E617&amp;""=DB_PROJ&amp;"",1,0))</f>
        <v>1</v>
      </c>
      <c r="BY617" s="80">
        <f>BW617*BX617</f>
        <v>0</v>
      </c>
      <c r="BZ617" s="80" t="str">
        <f>IF(Y617=1,F617&amp;IF(AND(F617&amp;""&lt;&gt;"",E617&amp;""&lt;&gt;"")," · ","")&amp;E617,"")</f>
        <v/>
      </c>
      <c r="CA617" s="80" t="str">
        <f>IF(AND(BD617=1,E617&amp;""&lt;&gt;""),IF(COUNTIFS($E$5:E616,E617,$BD$5:BD616,1)=0,MAX($CA$5:CA616)+1,""),"")</f>
        <v/>
      </c>
      <c r="CB617" s="80" t="str">
        <f>IF(AND(BE617=1,D617="Malcolm",E617&amp;""&lt;&gt;""),IF(COUNTIFS($D$5:D616,"Malcolm",$E$5:E616,E617,$BE$5:BE616,1)=0,MAX($CB$5:CB616)+1,""),"")</f>
        <v/>
      </c>
      <c r="CC617" s="80" t="str">
        <f>IF(AND(BD617=1,D617="proMX",E617&amp;""&lt;&gt;""),IF(COUNTIFS($D$5:D616,"proMX",$E$5:E616,E617,$BD$5:BD616,1)=0,MAX($CC$5:CC616)+1,""),"")</f>
        <v/>
      </c>
      <c r="CD617" s="80" t="str">
        <f>IF(AND(BE617=1,D617="Malcolm",F617&amp;""&lt;&gt;""),IF(COUNTIFS($D$5:D616,"Malcolm",$F$5:F616,F617,$BE$5:BE616,1)=0,MAX($CD$5:CD616)+1,""),"")</f>
        <v/>
      </c>
      <c r="CE617" s="80" t="str">
        <f>IF(AND(BD617=1,D617="proMX",F617&amp;""&lt;&gt;""),IF(COUNTIFS($D$5:D616,"proMX",$F$5:F616,F617,$BD$5:BD616,1)=0,MAX($CE$5:CE616)+1,""),"")</f>
        <v/>
      </c>
      <c r="CF617" s="80" t="str">
        <f>IF(AND(D617="proMX",BD617=1),IF(OR(BF617="Draft",BF617="Submitted",BF617="Returned",BF617="Recall Requested"),MAX($CF$5:CF616)+1,""),"")</f>
        <v/>
      </c>
      <c r="CG617" s="80">
        <f>IF(BD617=0,0,IF(D617="Malcolm",1,MATCH(BF617,{"Draft","Submitted","Approved","Returned","Recall Requested","Cancelled"},0)+1))</f>
        <v>0</v>
      </c>
      <c r="CH617" s="80">
        <f>IF(AND(BF617="Submitted",ISNUMBER(V617)),IF(V617&gt;CFG_MAXD,1,0),0)</f>
        <v>0</v>
      </c>
    </row>
    <row r="618">
      <c r="A618" s="71" t="str">
        <f>IF(Y618=1,ROW()-5,"")</f>
        <v/>
      </c>
      <c r="B618" s="72" t="n"/>
      <c r="C618" s="71" t="str">
        <f>IF(ISNUMBER(B618),CHOOSE(WEEKDAY(B618,2),"Lun","Mar","Mié","Jue","Vie","Sáb","Dom"),"")</f>
        <v/>
      </c>
      <c r="D618" s="73" t="n"/>
      <c r="E618" s="74" t="n"/>
      <c r="F618" s="74" t="n"/>
      <c r="G618" s="74" t="n"/>
      <c r="H618" s="75" t="n"/>
      <c r="I618" s="75" t="n"/>
      <c r="J618" s="76" t="n"/>
      <c r="K618" s="77" t="str">
        <f>IF(AB618=1,ROUND(AG618/60,4),"")</f>
        <v/>
      </c>
      <c r="L618" s="77" t="str">
        <f>IF(BD618=1,ROUND(AP618/60,4),"")</f>
        <v/>
      </c>
      <c r="M618" s="77" t="str">
        <f>IF(BD618=1,ROUND(AQ618/60,4),"")</f>
        <v/>
      </c>
      <c r="N618" s="71" t="str">
        <f>IF(AND(D618="proMX",AB618=1),ROUND(AG618/CFG_BLK,2),"")</f>
        <v/>
      </c>
      <c r="O618" s="77" t="str">
        <f>IF(D618="proMX",IF(BD618=1,ROUND(AG618/60,4),0),"")</f>
        <v/>
      </c>
      <c r="P618" s="78" t="str">
        <f>IF(Y618=0,"",IF(BD618=1,"OK",IF(D618="proMX","Revisar bloques: ","Revisar: ")&amp;BC618))</f>
        <v/>
      </c>
      <c r="Q618" s="78" t="str">
        <f>IF(NOT(ISNUMBER(B618)),"",IF(COUNTIFS(FER_F,INT(B618))&gt;0,"Feriado"&amp;IF(AH618=1," (laborable)"," (no laborable)"),IF(AH618=1,"Laborable",IF(WEEKDAY(B618,2)&gt;5,"Fin de semana","No laborable"))))</f>
        <v/>
      </c>
      <c r="R618" s="73" t="n"/>
      <c r="S618" s="72" t="n"/>
      <c r="T618" s="72" t="n"/>
      <c r="U618" s="74" t="n"/>
      <c r="V618" s="79" t="str">
        <f>IF(AND(D618="proMX",OR(R618="Submitted",R618="Recall Requested"),ISNUMBER(S618)),CFG_TODAY-INT(S618),"")</f>
        <v/>
      </c>
      <c r="W618" s="78" t="str">
        <f>IF(BD618=0,"",IF(BA618&gt;0,"⚠ Se superpone con un registro de la otra empresa",IF(D618="Malcolm",IF(COUNTA(R618,S618,T618)&gt;0,"Estado/fechas proMX se ignoran en Malcolm",""),IF(BF618="Cancelled","Cancelado: excluido de totales",IF(R618="","Sin estado: se trata como Draft",IF(BF618="Submitted",IF(ISNUMBER(V618),IF(V618&gt;CFG_MAXD,"⚠ "&amp;V618&amp;" días en Submitted (máx. "&amp;CFG_MAXD&amp;")",""),"Falta fecha de envío"),IF(BF618="Returned","⚠ Devuelto: corregir y reenviar",IF(BF618="Recall Requested","Retirada solicitada: pendiente",IF(AND(BF618="Approved",NOT(ISNUMBER(T618))),"Falta fecha de aprobación",IF(AND(ISNUMBER(S618),ISNUMBER(T618),T618&lt;S618),"Aprobación anterior al envío","")))))))))</f>
        <v/>
      </c>
      <c r="Y618" s="80">
        <f>IF(COUNTA(B618,D618,E618,F618,G618,H618,I618,J618,R618,S618,T618)&gt;0,1,0)</f>
        <v>0</v>
      </c>
      <c r="Z618" s="80" t="str">
        <f>IF(AND(ISNUMBER(H618),H618&gt;=0,H618&lt;1),ROUND(H618*1440,0),"")</f>
        <v/>
      </c>
      <c r="AA618" s="80" t="str">
        <f>IF(AND(ISNUMBER(I618),I618&gt;=0,I618&lt;1),ROUND(I618*1440,0),"")</f>
        <v/>
      </c>
      <c r="AB618" s="80">
        <f>IF(AND(ISNUMBER(B618),D618&lt;&gt;"",ISNUMBER(Z618),ISNUMBER(AA618)),IF(Z618=AA618,0,1),0)</f>
        <v>0</v>
      </c>
      <c r="AC618" s="80">
        <f>IF(AB618=1,IF(AA618&lt;Z618,1,0),0)</f>
        <v>0</v>
      </c>
      <c r="AD618" s="80">
        <f>IF(AB618=1,IF(AC618=1,1440-Z618+AA618,AA618-Z618),0)</f>
        <v>0</v>
      </c>
      <c r="AE618" s="80">
        <f>IF(J618="",0,IF(ISNUMBER(J618),J618,-1))</f>
        <v>0</v>
      </c>
      <c r="AF618" s="80">
        <f>MIN(MAX(0,AE618),AD618)</f>
        <v>0</v>
      </c>
      <c r="AG618" s="80">
        <f>MAX(0,AD618-MAX(0,AE618))</f>
        <v>0</v>
      </c>
      <c r="AH618" s="80">
        <f>IF(ISNUMBER(B618),IF(AND(INDEX(CFG_WDAYS,WEEKDAY(INT(B618),2))="Sí",IF(D618="proMX",COUNTIFS(FER_F,INT(B618),FER_NLP,"Sí"),COUNTIFS(FER_F,INT(B618),FER_NLM,"Sí"))=0),1,0),0)</f>
        <v>0</v>
      </c>
      <c r="AI618" s="80">
        <f>IF(AC618=1,IF(AND(INDEX(CFG_WDAYS,WEEKDAY(INT(B618)+1,2))="Sí",IF(D618="proMX",COUNTIFS(FER_F,INT(B618)+1,FER_NLP,"Sí"),COUNTIFS(FER_F,INT(B618)+1,FER_NLM,"Sí"))=0),1,0),0)</f>
        <v>0</v>
      </c>
      <c r="AJ618" s="80">
        <f>IF(AC618=1,1440-Z618,AD618)</f>
        <v>0</v>
      </c>
      <c r="AK618" s="80">
        <f>IF(AND(AB618=1,AH618=1),MAX(0,MIN(IF(AC618=1,1440,AA618),CFG_WEM)-MAX(Z618,CFG_WSM)),0)</f>
        <v>0</v>
      </c>
      <c r="AL618" s="80">
        <f>IF(AND(AC618=1,AI618=1),MAX(0,MIN(AA618,CFG_WEM)-CFG_WSM),0)</f>
        <v>0</v>
      </c>
      <c r="AM618" s="80">
        <f>AK618+AL618</f>
        <v>0</v>
      </c>
      <c r="AN618" s="80">
        <f>IF(CFG_BRK="Proporcional",IF(AD618=0,0,AF618*AM618/AD618),IF(CFG_BRK="Extras primero",MIN(AM618,MAX(0,AF618-(AD618-AM618))),MIN(AF618,AM618)))</f>
        <v>0</v>
      </c>
      <c r="AO618" s="80">
        <f>AF618-AN618</f>
        <v>0</v>
      </c>
      <c r="AP618" s="80">
        <f>AM618-AN618</f>
        <v>0</v>
      </c>
      <c r="AQ618" s="80">
        <f>AD618-AM618-AO618</f>
        <v>0</v>
      </c>
      <c r="AR618" s="80">
        <f>IF(AM618=0,0,AK618-AN618*AK618/AM618)</f>
        <v>0</v>
      </c>
      <c r="AS618" s="80">
        <f>IF(AD618-AM618=0,0,(AJ618-AK618)-AO618*(AJ618-AK618)/(AD618-AM618))</f>
        <v>0</v>
      </c>
      <c r="AT618" s="80" t="str">
        <f>IF(AC618=1,INT(B618)+1,"")</f>
        <v/>
      </c>
      <c r="AU618" s="80">
        <f>IF(AND(D618="proMX",R618="Cancelled"),0,1)</f>
        <v>1</v>
      </c>
      <c r="AV618" s="80">
        <f>IF(AND(AB618=1,AU618=1),IF(COUNTIFS($D$5:D617,D618,$B$5:B617,B618,$Z$5:Z617,Z618,$AA$5:AA617,AA618,$F$5:F617,F618&amp;"",$AU$5:AU617,1)&gt;0,1,0),0)</f>
        <v>0</v>
      </c>
      <c r="AW618" s="80" t="str">
        <f>IF(AB618=1,INT(B618)*1440+Z618,"")</f>
        <v/>
      </c>
      <c r="AX618" s="80" t="str">
        <f>IF(AB618=1,AW618+AD618,"")</f>
        <v/>
      </c>
      <c r="AY618" s="80">
        <f>IF(AND(AB618=1,AV618=0,AU618=1),1,0)</f>
        <v>0</v>
      </c>
      <c r="AZ618" s="80">
        <f>IF(AY618=1,COUNTIFS(R_Emp,D618,R_SAbs,"&lt;"&amp;AX618,R_EAbs,"&gt;"&amp;AW618,R_OKey,1)-1,0)</f>
        <v>0</v>
      </c>
      <c r="BA618" s="80">
        <f>IF(AY618=1,COUNTIFS(R_Emp,"&lt;&gt;"&amp;D618,R_SAbs,"&lt;"&amp;AX618,R_EAbs,"&gt;"&amp;AW618,R_OKey,1),0)</f>
        <v>0</v>
      </c>
      <c r="BB618" s="80">
        <f>IF(AND(AB618=1,D618="proMX"),IF(AND(MOD(Z618,CFG_BLK)=0,MOD(AA618,CFG_BLK)=0,MOD(AG618,CFG_BLK)=0,AG618&gt;0),1,0),1)</f>
        <v>1</v>
      </c>
      <c r="BC618" s="80" t="str">
        <f>IF(Y618=0,"",IF(NOT(ISNUMBER(B618)),"Falta fecha o fecha inválida",IF(D618="","Falta empresa",IF(AND(D618&lt;&gt;"Malcolm",D618&lt;&gt;"proMX"),"Empresa inválida",IF(OR(INT(B618)&lt;CFG_PSTART,INT(B618)&gt;CFG_PEND),"Fecha fuera del período",IF(OR(NOT(ISNUMBER(Z618)),NOT(ISNUMBER(AA618))),"Falta hora inicio/fin o formato inválido",IF(AB618=0,"Hora inicio = hora fin",IF(AE618&lt;0,"Descanso inválido",IF(AE618&gt;=AD618,"Descanso ≥ duración",IF(AV618=1,"Registro duplicado",IF(AZ618&gt;0,"Se superpone con otro registro "&amp;D618,IF(BB618=0,"inicio, fin y duración neta deben ser múltiplos de "&amp;CFG_BLK&amp;" min",""))))))))))))</f>
        <v/>
      </c>
      <c r="BD618" s="80">
        <f>IF(AND(Y618=1,BC618=""),1,0)</f>
        <v>0</v>
      </c>
      <c r="BE618" s="80">
        <f>IF(AND(BD618=1,AU618=1),1,0)</f>
        <v>0</v>
      </c>
      <c r="BF618" s="80" t="str">
        <f>IF(AND(D618="proMX",BD618=1),IF(R618="","Draft",R618),"")</f>
        <v/>
      </c>
      <c r="BG618" s="80">
        <f>IF(BD618=1,ROUND(AG618/60,6),0)</f>
        <v>0</v>
      </c>
      <c r="BH618" s="80">
        <f>IF(BE618=1,ROUND(AG618/60,6),0)</f>
        <v>0</v>
      </c>
      <c r="BI618" s="80">
        <f>IF(BE618=1,ROUND(AP618/60,6),0)</f>
        <v>0</v>
      </c>
      <c r="BJ618" s="80">
        <f>IF(BE618=1,ROUND(AQ618/60,6),0)</f>
        <v>0</v>
      </c>
      <c r="BK618" s="80">
        <f>IF(BE618=1,ROUND((AR618+AS618)/60,6),0)</f>
        <v>0</v>
      </c>
      <c r="BL618" s="80">
        <f>ROUND(BH618-BK618,6)</f>
        <v>0</v>
      </c>
      <c r="BM618" s="80">
        <f>IF(BE618=1,ROUND(AR618/60,6),0)</f>
        <v>0</v>
      </c>
      <c r="BN618" s="80">
        <f>ROUND(BI618-BM618,6)</f>
        <v>0</v>
      </c>
      <c r="BO618" s="80">
        <f>IF(BE618=1,ROUND(AS618/60,6),0)</f>
        <v>0</v>
      </c>
      <c r="BP618" s="80">
        <f>ROUND(BJ618-BO618,6)</f>
        <v>0</v>
      </c>
      <c r="BQ618" s="80">
        <f>IF(BE618=1,AW618,0)</f>
        <v>0</v>
      </c>
      <c r="BR618" s="80">
        <f>IF(BE618=1,AX618,0)</f>
        <v>0</v>
      </c>
      <c r="BS618" s="80">
        <f>IF(AND(BE618=1,D618="Malcolm",BA618&gt;0),MIN(BH618,SUMPRODUCT((R_Emp="proMX")*(R_EN&gt;0)*((R_EN-(R_EN&gt;BR618)*(R_EN-BR618))&gt;(R_SN+(R_SN&lt;BQ618)*(BQ618-R_SN)))*((R_EN-(R_EN&gt;BR618)*(R_EN-BR618))-(R_SN+(R_SN&lt;BQ618)*(BQ618-R_SN))))/60),0)</f>
        <v>0</v>
      </c>
      <c r="BT618" s="80">
        <f>IF(AND(BE618=1,D618="proMX"),ROUND(BI618*CFG_RATE+BJ618*CFG_OTRATE,6),0)</f>
        <v>0</v>
      </c>
      <c r="BU618" s="80">
        <f>IF(AND(BD618=1,D618="proMX"),ROUND(AG618/CFG_BLK,6),0)</f>
        <v>0</v>
      </c>
      <c r="BV618" s="80" t="str">
        <f>IF(BF618="Approved",IF(ISNUMBER(T618),INT(T618),INT(B618)),"")</f>
        <v/>
      </c>
      <c r="BW618" s="80">
        <f>IF(ISNUMBER(B618),IF(DB_MON="Todos",1,IF(AND(INT(B618)&gt;=DB_MS,INT(B618)&lt;=DB_ME),1,0)),0)</f>
        <v>0</v>
      </c>
      <c r="BX618" s="80">
        <f>IF(DB_PROJ="Todos",1,IF(E618&amp;""=DB_PROJ&amp;"",1,0))</f>
        <v>1</v>
      </c>
      <c r="BY618" s="80">
        <f>BW618*BX618</f>
        <v>0</v>
      </c>
      <c r="BZ618" s="80" t="str">
        <f>IF(Y618=1,F618&amp;IF(AND(F618&amp;""&lt;&gt;"",E618&amp;""&lt;&gt;"")," · ","")&amp;E618,"")</f>
        <v/>
      </c>
      <c r="CA618" s="80" t="str">
        <f>IF(AND(BD618=1,E618&amp;""&lt;&gt;""),IF(COUNTIFS($E$5:E617,E618,$BD$5:BD617,1)=0,MAX($CA$5:CA617)+1,""),"")</f>
        <v/>
      </c>
      <c r="CB618" s="80" t="str">
        <f>IF(AND(BE618=1,D618="Malcolm",E618&amp;""&lt;&gt;""),IF(COUNTIFS($D$5:D617,"Malcolm",$E$5:E617,E618,$BE$5:BE617,1)=0,MAX($CB$5:CB617)+1,""),"")</f>
        <v/>
      </c>
      <c r="CC618" s="80" t="str">
        <f>IF(AND(BD618=1,D618="proMX",E618&amp;""&lt;&gt;""),IF(COUNTIFS($D$5:D617,"proMX",$E$5:E617,E618,$BD$5:BD617,1)=0,MAX($CC$5:CC617)+1,""),"")</f>
        <v/>
      </c>
      <c r="CD618" s="80" t="str">
        <f>IF(AND(BE618=1,D618="Malcolm",F618&amp;""&lt;&gt;""),IF(COUNTIFS($D$5:D617,"Malcolm",$F$5:F617,F618,$BE$5:BE617,1)=0,MAX($CD$5:CD617)+1,""),"")</f>
        <v/>
      </c>
      <c r="CE618" s="80" t="str">
        <f>IF(AND(BD618=1,D618="proMX",F618&amp;""&lt;&gt;""),IF(COUNTIFS($D$5:D617,"proMX",$F$5:F617,F618,$BD$5:BD617,1)=0,MAX($CE$5:CE617)+1,""),"")</f>
        <v/>
      </c>
      <c r="CF618" s="80" t="str">
        <f>IF(AND(D618="proMX",BD618=1),IF(OR(BF618="Draft",BF618="Submitted",BF618="Returned",BF618="Recall Requested"),MAX($CF$5:CF617)+1,""),"")</f>
        <v/>
      </c>
      <c r="CG618" s="80">
        <f>IF(BD618=0,0,IF(D618="Malcolm",1,MATCH(BF618,{"Draft","Submitted","Approved","Returned","Recall Requested","Cancelled"},0)+1))</f>
        <v>0</v>
      </c>
      <c r="CH618" s="80">
        <f>IF(AND(BF618="Submitted",ISNUMBER(V618)),IF(V618&gt;CFG_MAXD,1,0),0)</f>
        <v>0</v>
      </c>
    </row>
    <row r="619">
      <c r="A619" s="71" t="str">
        <f>IF(Y619=1,ROW()-5,"")</f>
        <v/>
      </c>
      <c r="B619" s="72" t="n"/>
      <c r="C619" s="71" t="str">
        <f>IF(ISNUMBER(B619),CHOOSE(WEEKDAY(B619,2),"Lun","Mar","Mié","Jue","Vie","Sáb","Dom"),"")</f>
        <v/>
      </c>
      <c r="D619" s="73" t="n"/>
      <c r="E619" s="74" t="n"/>
      <c r="F619" s="74" t="n"/>
      <c r="G619" s="74" t="n"/>
      <c r="H619" s="75" t="n"/>
      <c r="I619" s="75" t="n"/>
      <c r="J619" s="76" t="n"/>
      <c r="K619" s="77" t="str">
        <f>IF(AB619=1,ROUND(AG619/60,4),"")</f>
        <v/>
      </c>
      <c r="L619" s="77" t="str">
        <f>IF(BD619=1,ROUND(AP619/60,4),"")</f>
        <v/>
      </c>
      <c r="M619" s="77" t="str">
        <f>IF(BD619=1,ROUND(AQ619/60,4),"")</f>
        <v/>
      </c>
      <c r="N619" s="71" t="str">
        <f>IF(AND(D619="proMX",AB619=1),ROUND(AG619/CFG_BLK,2),"")</f>
        <v/>
      </c>
      <c r="O619" s="77" t="str">
        <f>IF(D619="proMX",IF(BD619=1,ROUND(AG619/60,4),0),"")</f>
        <v/>
      </c>
      <c r="P619" s="78" t="str">
        <f>IF(Y619=0,"",IF(BD619=1,"OK",IF(D619="proMX","Revisar bloques: ","Revisar: ")&amp;BC619))</f>
        <v/>
      </c>
      <c r="Q619" s="78" t="str">
        <f>IF(NOT(ISNUMBER(B619)),"",IF(COUNTIFS(FER_F,INT(B619))&gt;0,"Feriado"&amp;IF(AH619=1," (laborable)"," (no laborable)"),IF(AH619=1,"Laborable",IF(WEEKDAY(B619,2)&gt;5,"Fin de semana","No laborable"))))</f>
        <v/>
      </c>
      <c r="R619" s="73" t="n"/>
      <c r="S619" s="72" t="n"/>
      <c r="T619" s="72" t="n"/>
      <c r="U619" s="74" t="n"/>
      <c r="V619" s="79" t="str">
        <f>IF(AND(D619="proMX",OR(R619="Submitted",R619="Recall Requested"),ISNUMBER(S619)),CFG_TODAY-INT(S619),"")</f>
        <v/>
      </c>
      <c r="W619" s="78" t="str">
        <f>IF(BD619=0,"",IF(BA619&gt;0,"⚠ Se superpone con un registro de la otra empresa",IF(D619="Malcolm",IF(COUNTA(R619,S619,T619)&gt;0,"Estado/fechas proMX se ignoran en Malcolm",""),IF(BF619="Cancelled","Cancelado: excluido de totales",IF(R619="","Sin estado: se trata como Draft",IF(BF619="Submitted",IF(ISNUMBER(V619),IF(V619&gt;CFG_MAXD,"⚠ "&amp;V619&amp;" días en Submitted (máx. "&amp;CFG_MAXD&amp;")",""),"Falta fecha de envío"),IF(BF619="Returned","⚠ Devuelto: corregir y reenviar",IF(BF619="Recall Requested","Retirada solicitada: pendiente",IF(AND(BF619="Approved",NOT(ISNUMBER(T619))),"Falta fecha de aprobación",IF(AND(ISNUMBER(S619),ISNUMBER(T619),T619&lt;S619),"Aprobación anterior al envío","")))))))))</f>
        <v/>
      </c>
      <c r="Y619" s="80">
        <f>IF(COUNTA(B619,D619,E619,F619,G619,H619,I619,J619,R619,S619,T619)&gt;0,1,0)</f>
        <v>0</v>
      </c>
      <c r="Z619" s="80" t="str">
        <f>IF(AND(ISNUMBER(H619),H619&gt;=0,H619&lt;1),ROUND(H619*1440,0),"")</f>
        <v/>
      </c>
      <c r="AA619" s="80" t="str">
        <f>IF(AND(ISNUMBER(I619),I619&gt;=0,I619&lt;1),ROUND(I619*1440,0),"")</f>
        <v/>
      </c>
      <c r="AB619" s="80">
        <f>IF(AND(ISNUMBER(B619),D619&lt;&gt;"",ISNUMBER(Z619),ISNUMBER(AA619)),IF(Z619=AA619,0,1),0)</f>
        <v>0</v>
      </c>
      <c r="AC619" s="80">
        <f>IF(AB619=1,IF(AA619&lt;Z619,1,0),0)</f>
        <v>0</v>
      </c>
      <c r="AD619" s="80">
        <f>IF(AB619=1,IF(AC619=1,1440-Z619+AA619,AA619-Z619),0)</f>
        <v>0</v>
      </c>
      <c r="AE619" s="80">
        <f>IF(J619="",0,IF(ISNUMBER(J619),J619,-1))</f>
        <v>0</v>
      </c>
      <c r="AF619" s="80">
        <f>MIN(MAX(0,AE619),AD619)</f>
        <v>0</v>
      </c>
      <c r="AG619" s="80">
        <f>MAX(0,AD619-MAX(0,AE619))</f>
        <v>0</v>
      </c>
      <c r="AH619" s="80">
        <f>IF(ISNUMBER(B619),IF(AND(INDEX(CFG_WDAYS,WEEKDAY(INT(B619),2))="Sí",IF(D619="proMX",COUNTIFS(FER_F,INT(B619),FER_NLP,"Sí"),COUNTIFS(FER_F,INT(B619),FER_NLM,"Sí"))=0),1,0),0)</f>
        <v>0</v>
      </c>
      <c r="AI619" s="80">
        <f>IF(AC619=1,IF(AND(INDEX(CFG_WDAYS,WEEKDAY(INT(B619)+1,2))="Sí",IF(D619="proMX",COUNTIFS(FER_F,INT(B619)+1,FER_NLP,"Sí"),COUNTIFS(FER_F,INT(B619)+1,FER_NLM,"Sí"))=0),1,0),0)</f>
        <v>0</v>
      </c>
      <c r="AJ619" s="80">
        <f>IF(AC619=1,1440-Z619,AD619)</f>
        <v>0</v>
      </c>
      <c r="AK619" s="80">
        <f>IF(AND(AB619=1,AH619=1),MAX(0,MIN(IF(AC619=1,1440,AA619),CFG_WEM)-MAX(Z619,CFG_WSM)),0)</f>
        <v>0</v>
      </c>
      <c r="AL619" s="80">
        <f>IF(AND(AC619=1,AI619=1),MAX(0,MIN(AA619,CFG_WEM)-CFG_WSM),0)</f>
        <v>0</v>
      </c>
      <c r="AM619" s="80">
        <f>AK619+AL619</f>
        <v>0</v>
      </c>
      <c r="AN619" s="80">
        <f>IF(CFG_BRK="Proporcional",IF(AD619=0,0,AF619*AM619/AD619),IF(CFG_BRK="Extras primero",MIN(AM619,MAX(0,AF619-(AD619-AM619))),MIN(AF619,AM619)))</f>
        <v>0</v>
      </c>
      <c r="AO619" s="80">
        <f>AF619-AN619</f>
        <v>0</v>
      </c>
      <c r="AP619" s="80">
        <f>AM619-AN619</f>
        <v>0</v>
      </c>
      <c r="AQ619" s="80">
        <f>AD619-AM619-AO619</f>
        <v>0</v>
      </c>
      <c r="AR619" s="80">
        <f>IF(AM619=0,0,AK619-AN619*AK619/AM619)</f>
        <v>0</v>
      </c>
      <c r="AS619" s="80">
        <f>IF(AD619-AM619=0,0,(AJ619-AK619)-AO619*(AJ619-AK619)/(AD619-AM619))</f>
        <v>0</v>
      </c>
      <c r="AT619" s="80" t="str">
        <f>IF(AC619=1,INT(B619)+1,"")</f>
        <v/>
      </c>
      <c r="AU619" s="80">
        <f>IF(AND(D619="proMX",R619="Cancelled"),0,1)</f>
        <v>1</v>
      </c>
      <c r="AV619" s="80">
        <f>IF(AND(AB619=1,AU619=1),IF(COUNTIFS($D$5:D618,D619,$B$5:B618,B619,$Z$5:Z618,Z619,$AA$5:AA618,AA619,$F$5:F618,F619&amp;"",$AU$5:AU618,1)&gt;0,1,0),0)</f>
        <v>0</v>
      </c>
      <c r="AW619" s="80" t="str">
        <f>IF(AB619=1,INT(B619)*1440+Z619,"")</f>
        <v/>
      </c>
      <c r="AX619" s="80" t="str">
        <f>IF(AB619=1,AW619+AD619,"")</f>
        <v/>
      </c>
      <c r="AY619" s="80">
        <f>IF(AND(AB619=1,AV619=0,AU619=1),1,0)</f>
        <v>0</v>
      </c>
      <c r="AZ619" s="80">
        <f>IF(AY619=1,COUNTIFS(R_Emp,D619,R_SAbs,"&lt;"&amp;AX619,R_EAbs,"&gt;"&amp;AW619,R_OKey,1)-1,0)</f>
        <v>0</v>
      </c>
      <c r="BA619" s="80">
        <f>IF(AY619=1,COUNTIFS(R_Emp,"&lt;&gt;"&amp;D619,R_SAbs,"&lt;"&amp;AX619,R_EAbs,"&gt;"&amp;AW619,R_OKey,1),0)</f>
        <v>0</v>
      </c>
      <c r="BB619" s="80">
        <f>IF(AND(AB619=1,D619="proMX"),IF(AND(MOD(Z619,CFG_BLK)=0,MOD(AA619,CFG_BLK)=0,MOD(AG619,CFG_BLK)=0,AG619&gt;0),1,0),1)</f>
        <v>1</v>
      </c>
      <c r="BC619" s="80" t="str">
        <f>IF(Y619=0,"",IF(NOT(ISNUMBER(B619)),"Falta fecha o fecha inválida",IF(D619="","Falta empresa",IF(AND(D619&lt;&gt;"Malcolm",D619&lt;&gt;"proMX"),"Empresa inválida",IF(OR(INT(B619)&lt;CFG_PSTART,INT(B619)&gt;CFG_PEND),"Fecha fuera del período",IF(OR(NOT(ISNUMBER(Z619)),NOT(ISNUMBER(AA619))),"Falta hora inicio/fin o formato inválido",IF(AB619=0,"Hora inicio = hora fin",IF(AE619&lt;0,"Descanso inválido",IF(AE619&gt;=AD619,"Descanso ≥ duración",IF(AV619=1,"Registro duplicado",IF(AZ619&gt;0,"Se superpone con otro registro "&amp;D619,IF(BB619=0,"inicio, fin y duración neta deben ser múltiplos de "&amp;CFG_BLK&amp;" min",""))))))))))))</f>
        <v/>
      </c>
      <c r="BD619" s="80">
        <f>IF(AND(Y619=1,BC619=""),1,0)</f>
        <v>0</v>
      </c>
      <c r="BE619" s="80">
        <f>IF(AND(BD619=1,AU619=1),1,0)</f>
        <v>0</v>
      </c>
      <c r="BF619" s="80" t="str">
        <f>IF(AND(D619="proMX",BD619=1),IF(R619="","Draft",R619),"")</f>
        <v/>
      </c>
      <c r="BG619" s="80">
        <f>IF(BD619=1,ROUND(AG619/60,6),0)</f>
        <v>0</v>
      </c>
      <c r="BH619" s="80">
        <f>IF(BE619=1,ROUND(AG619/60,6),0)</f>
        <v>0</v>
      </c>
      <c r="BI619" s="80">
        <f>IF(BE619=1,ROUND(AP619/60,6),0)</f>
        <v>0</v>
      </c>
      <c r="BJ619" s="80">
        <f>IF(BE619=1,ROUND(AQ619/60,6),0)</f>
        <v>0</v>
      </c>
      <c r="BK619" s="80">
        <f>IF(BE619=1,ROUND((AR619+AS619)/60,6),0)</f>
        <v>0</v>
      </c>
      <c r="BL619" s="80">
        <f>ROUND(BH619-BK619,6)</f>
        <v>0</v>
      </c>
      <c r="BM619" s="80">
        <f>IF(BE619=1,ROUND(AR619/60,6),0)</f>
        <v>0</v>
      </c>
      <c r="BN619" s="80">
        <f>ROUND(BI619-BM619,6)</f>
        <v>0</v>
      </c>
      <c r="BO619" s="80">
        <f>IF(BE619=1,ROUND(AS619/60,6),0)</f>
        <v>0</v>
      </c>
      <c r="BP619" s="80">
        <f>ROUND(BJ619-BO619,6)</f>
        <v>0</v>
      </c>
      <c r="BQ619" s="80">
        <f>IF(BE619=1,AW619,0)</f>
        <v>0</v>
      </c>
      <c r="BR619" s="80">
        <f>IF(BE619=1,AX619,0)</f>
        <v>0</v>
      </c>
      <c r="BS619" s="80">
        <f>IF(AND(BE619=1,D619="Malcolm",BA619&gt;0),MIN(BH619,SUMPRODUCT((R_Emp="proMX")*(R_EN&gt;0)*((R_EN-(R_EN&gt;BR619)*(R_EN-BR619))&gt;(R_SN+(R_SN&lt;BQ619)*(BQ619-R_SN)))*((R_EN-(R_EN&gt;BR619)*(R_EN-BR619))-(R_SN+(R_SN&lt;BQ619)*(BQ619-R_SN))))/60),0)</f>
        <v>0</v>
      </c>
      <c r="BT619" s="80">
        <f>IF(AND(BE619=1,D619="proMX"),ROUND(BI619*CFG_RATE+BJ619*CFG_OTRATE,6),0)</f>
        <v>0</v>
      </c>
      <c r="BU619" s="80">
        <f>IF(AND(BD619=1,D619="proMX"),ROUND(AG619/CFG_BLK,6),0)</f>
        <v>0</v>
      </c>
      <c r="BV619" s="80" t="str">
        <f>IF(BF619="Approved",IF(ISNUMBER(T619),INT(T619),INT(B619)),"")</f>
        <v/>
      </c>
      <c r="BW619" s="80">
        <f>IF(ISNUMBER(B619),IF(DB_MON="Todos",1,IF(AND(INT(B619)&gt;=DB_MS,INT(B619)&lt;=DB_ME),1,0)),0)</f>
        <v>0</v>
      </c>
      <c r="BX619" s="80">
        <f>IF(DB_PROJ="Todos",1,IF(E619&amp;""=DB_PROJ&amp;"",1,0))</f>
        <v>1</v>
      </c>
      <c r="BY619" s="80">
        <f>BW619*BX619</f>
        <v>0</v>
      </c>
      <c r="BZ619" s="80" t="str">
        <f>IF(Y619=1,F619&amp;IF(AND(F619&amp;""&lt;&gt;"",E619&amp;""&lt;&gt;"")," · ","")&amp;E619,"")</f>
        <v/>
      </c>
      <c r="CA619" s="80" t="str">
        <f>IF(AND(BD619=1,E619&amp;""&lt;&gt;""),IF(COUNTIFS($E$5:E618,E619,$BD$5:BD618,1)=0,MAX($CA$5:CA618)+1,""),"")</f>
        <v/>
      </c>
      <c r="CB619" s="80" t="str">
        <f>IF(AND(BE619=1,D619="Malcolm",E619&amp;""&lt;&gt;""),IF(COUNTIFS($D$5:D618,"Malcolm",$E$5:E618,E619,$BE$5:BE618,1)=0,MAX($CB$5:CB618)+1,""),"")</f>
        <v/>
      </c>
      <c r="CC619" s="80" t="str">
        <f>IF(AND(BD619=1,D619="proMX",E619&amp;""&lt;&gt;""),IF(COUNTIFS($D$5:D618,"proMX",$E$5:E618,E619,$BD$5:BD618,1)=0,MAX($CC$5:CC618)+1,""),"")</f>
        <v/>
      </c>
      <c r="CD619" s="80" t="str">
        <f>IF(AND(BE619=1,D619="Malcolm",F619&amp;""&lt;&gt;""),IF(COUNTIFS($D$5:D618,"Malcolm",$F$5:F618,F619,$BE$5:BE618,1)=0,MAX($CD$5:CD618)+1,""),"")</f>
        <v/>
      </c>
      <c r="CE619" s="80" t="str">
        <f>IF(AND(BD619=1,D619="proMX",F619&amp;""&lt;&gt;""),IF(COUNTIFS($D$5:D618,"proMX",$F$5:F618,F619,$BD$5:BD618,1)=0,MAX($CE$5:CE618)+1,""),"")</f>
        <v/>
      </c>
      <c r="CF619" s="80" t="str">
        <f>IF(AND(D619="proMX",BD619=1),IF(OR(BF619="Draft",BF619="Submitted",BF619="Returned",BF619="Recall Requested"),MAX($CF$5:CF618)+1,""),"")</f>
        <v/>
      </c>
      <c r="CG619" s="80">
        <f>IF(BD619=0,0,IF(D619="Malcolm",1,MATCH(BF619,{"Draft","Submitted","Approved","Returned","Recall Requested","Cancelled"},0)+1))</f>
        <v>0</v>
      </c>
      <c r="CH619" s="80">
        <f>IF(AND(BF619="Submitted",ISNUMBER(V619)),IF(V619&gt;CFG_MAXD,1,0),0)</f>
        <v>0</v>
      </c>
    </row>
    <row r="620">
      <c r="A620" s="71" t="str">
        <f>IF(Y620=1,ROW()-5,"")</f>
        <v/>
      </c>
      <c r="B620" s="72" t="n"/>
      <c r="C620" s="71" t="str">
        <f>IF(ISNUMBER(B620),CHOOSE(WEEKDAY(B620,2),"Lun","Mar","Mié","Jue","Vie","Sáb","Dom"),"")</f>
        <v/>
      </c>
      <c r="D620" s="73" t="n"/>
      <c r="E620" s="74" t="n"/>
      <c r="F620" s="74" t="n"/>
      <c r="G620" s="74" t="n"/>
      <c r="H620" s="75" t="n"/>
      <c r="I620" s="75" t="n"/>
      <c r="J620" s="76" t="n"/>
      <c r="K620" s="77" t="str">
        <f>IF(AB620=1,ROUND(AG620/60,4),"")</f>
        <v/>
      </c>
      <c r="L620" s="77" t="str">
        <f>IF(BD620=1,ROUND(AP620/60,4),"")</f>
        <v/>
      </c>
      <c r="M620" s="77" t="str">
        <f>IF(BD620=1,ROUND(AQ620/60,4),"")</f>
        <v/>
      </c>
      <c r="N620" s="71" t="str">
        <f>IF(AND(D620="proMX",AB620=1),ROUND(AG620/CFG_BLK,2),"")</f>
        <v/>
      </c>
      <c r="O620" s="77" t="str">
        <f>IF(D620="proMX",IF(BD620=1,ROUND(AG620/60,4),0),"")</f>
        <v/>
      </c>
      <c r="P620" s="78" t="str">
        <f>IF(Y620=0,"",IF(BD620=1,"OK",IF(D620="proMX","Revisar bloques: ","Revisar: ")&amp;BC620))</f>
        <v/>
      </c>
      <c r="Q620" s="78" t="str">
        <f>IF(NOT(ISNUMBER(B620)),"",IF(COUNTIFS(FER_F,INT(B620))&gt;0,"Feriado"&amp;IF(AH620=1," (laborable)"," (no laborable)"),IF(AH620=1,"Laborable",IF(WEEKDAY(B620,2)&gt;5,"Fin de semana","No laborable"))))</f>
        <v/>
      </c>
      <c r="R620" s="73" t="n"/>
      <c r="S620" s="72" t="n"/>
      <c r="T620" s="72" t="n"/>
      <c r="U620" s="74" t="n"/>
      <c r="V620" s="79" t="str">
        <f>IF(AND(D620="proMX",OR(R620="Submitted",R620="Recall Requested"),ISNUMBER(S620)),CFG_TODAY-INT(S620),"")</f>
        <v/>
      </c>
      <c r="W620" s="78" t="str">
        <f>IF(BD620=0,"",IF(BA620&gt;0,"⚠ Se superpone con un registro de la otra empresa",IF(D620="Malcolm",IF(COUNTA(R620,S620,T620)&gt;0,"Estado/fechas proMX se ignoran en Malcolm",""),IF(BF620="Cancelled","Cancelado: excluido de totales",IF(R620="","Sin estado: se trata como Draft",IF(BF620="Submitted",IF(ISNUMBER(V620),IF(V620&gt;CFG_MAXD,"⚠ "&amp;V620&amp;" días en Submitted (máx. "&amp;CFG_MAXD&amp;")",""),"Falta fecha de envío"),IF(BF620="Returned","⚠ Devuelto: corregir y reenviar",IF(BF620="Recall Requested","Retirada solicitada: pendiente",IF(AND(BF620="Approved",NOT(ISNUMBER(T620))),"Falta fecha de aprobación",IF(AND(ISNUMBER(S620),ISNUMBER(T620),T620&lt;S620),"Aprobación anterior al envío","")))))))))</f>
        <v/>
      </c>
      <c r="Y620" s="80">
        <f>IF(COUNTA(B620,D620,E620,F620,G620,H620,I620,J620,R620,S620,T620)&gt;0,1,0)</f>
        <v>0</v>
      </c>
      <c r="Z620" s="80" t="str">
        <f>IF(AND(ISNUMBER(H620),H620&gt;=0,H620&lt;1),ROUND(H620*1440,0),"")</f>
        <v/>
      </c>
      <c r="AA620" s="80" t="str">
        <f>IF(AND(ISNUMBER(I620),I620&gt;=0,I620&lt;1),ROUND(I620*1440,0),"")</f>
        <v/>
      </c>
      <c r="AB620" s="80">
        <f>IF(AND(ISNUMBER(B620),D620&lt;&gt;"",ISNUMBER(Z620),ISNUMBER(AA620)),IF(Z620=AA620,0,1),0)</f>
        <v>0</v>
      </c>
      <c r="AC620" s="80">
        <f>IF(AB620=1,IF(AA620&lt;Z620,1,0),0)</f>
        <v>0</v>
      </c>
      <c r="AD620" s="80">
        <f>IF(AB620=1,IF(AC620=1,1440-Z620+AA620,AA620-Z620),0)</f>
        <v>0</v>
      </c>
      <c r="AE620" s="80">
        <f>IF(J620="",0,IF(ISNUMBER(J620),J620,-1))</f>
        <v>0</v>
      </c>
      <c r="AF620" s="80">
        <f>MIN(MAX(0,AE620),AD620)</f>
        <v>0</v>
      </c>
      <c r="AG620" s="80">
        <f>MAX(0,AD620-MAX(0,AE620))</f>
        <v>0</v>
      </c>
      <c r="AH620" s="80">
        <f>IF(ISNUMBER(B620),IF(AND(INDEX(CFG_WDAYS,WEEKDAY(INT(B620),2))="Sí",IF(D620="proMX",COUNTIFS(FER_F,INT(B620),FER_NLP,"Sí"),COUNTIFS(FER_F,INT(B620),FER_NLM,"Sí"))=0),1,0),0)</f>
        <v>0</v>
      </c>
      <c r="AI620" s="80">
        <f>IF(AC620=1,IF(AND(INDEX(CFG_WDAYS,WEEKDAY(INT(B620)+1,2))="Sí",IF(D620="proMX",COUNTIFS(FER_F,INT(B620)+1,FER_NLP,"Sí"),COUNTIFS(FER_F,INT(B620)+1,FER_NLM,"Sí"))=0),1,0),0)</f>
        <v>0</v>
      </c>
      <c r="AJ620" s="80">
        <f>IF(AC620=1,1440-Z620,AD620)</f>
        <v>0</v>
      </c>
      <c r="AK620" s="80">
        <f>IF(AND(AB620=1,AH620=1),MAX(0,MIN(IF(AC620=1,1440,AA620),CFG_WEM)-MAX(Z620,CFG_WSM)),0)</f>
        <v>0</v>
      </c>
      <c r="AL620" s="80">
        <f>IF(AND(AC620=1,AI620=1),MAX(0,MIN(AA620,CFG_WEM)-CFG_WSM),0)</f>
        <v>0</v>
      </c>
      <c r="AM620" s="80">
        <f>AK620+AL620</f>
        <v>0</v>
      </c>
      <c r="AN620" s="80">
        <f>IF(CFG_BRK="Proporcional",IF(AD620=0,0,AF620*AM620/AD620),IF(CFG_BRK="Extras primero",MIN(AM620,MAX(0,AF620-(AD620-AM620))),MIN(AF620,AM620)))</f>
        <v>0</v>
      </c>
      <c r="AO620" s="80">
        <f>AF620-AN620</f>
        <v>0</v>
      </c>
      <c r="AP620" s="80">
        <f>AM620-AN620</f>
        <v>0</v>
      </c>
      <c r="AQ620" s="80">
        <f>AD620-AM620-AO620</f>
        <v>0</v>
      </c>
      <c r="AR620" s="80">
        <f>IF(AM620=0,0,AK620-AN620*AK620/AM620)</f>
        <v>0</v>
      </c>
      <c r="AS620" s="80">
        <f>IF(AD620-AM620=0,0,(AJ620-AK620)-AO620*(AJ620-AK620)/(AD620-AM620))</f>
        <v>0</v>
      </c>
      <c r="AT620" s="80" t="str">
        <f>IF(AC620=1,INT(B620)+1,"")</f>
        <v/>
      </c>
      <c r="AU620" s="80">
        <f>IF(AND(D620="proMX",R620="Cancelled"),0,1)</f>
        <v>1</v>
      </c>
      <c r="AV620" s="80">
        <f>IF(AND(AB620=1,AU620=1),IF(COUNTIFS($D$5:D619,D620,$B$5:B619,B620,$Z$5:Z619,Z620,$AA$5:AA619,AA620,$F$5:F619,F620&amp;"",$AU$5:AU619,1)&gt;0,1,0),0)</f>
        <v>0</v>
      </c>
      <c r="AW620" s="80" t="str">
        <f>IF(AB620=1,INT(B620)*1440+Z620,"")</f>
        <v/>
      </c>
      <c r="AX620" s="80" t="str">
        <f>IF(AB620=1,AW620+AD620,"")</f>
        <v/>
      </c>
      <c r="AY620" s="80">
        <f>IF(AND(AB620=1,AV620=0,AU620=1),1,0)</f>
        <v>0</v>
      </c>
      <c r="AZ620" s="80">
        <f>IF(AY620=1,COUNTIFS(R_Emp,D620,R_SAbs,"&lt;"&amp;AX620,R_EAbs,"&gt;"&amp;AW620,R_OKey,1)-1,0)</f>
        <v>0</v>
      </c>
      <c r="BA620" s="80">
        <f>IF(AY620=1,COUNTIFS(R_Emp,"&lt;&gt;"&amp;D620,R_SAbs,"&lt;"&amp;AX620,R_EAbs,"&gt;"&amp;AW620,R_OKey,1),0)</f>
        <v>0</v>
      </c>
      <c r="BB620" s="80">
        <f>IF(AND(AB620=1,D620="proMX"),IF(AND(MOD(Z620,CFG_BLK)=0,MOD(AA620,CFG_BLK)=0,MOD(AG620,CFG_BLK)=0,AG620&gt;0),1,0),1)</f>
        <v>1</v>
      </c>
      <c r="BC620" s="80" t="str">
        <f>IF(Y620=0,"",IF(NOT(ISNUMBER(B620)),"Falta fecha o fecha inválida",IF(D620="","Falta empresa",IF(AND(D620&lt;&gt;"Malcolm",D620&lt;&gt;"proMX"),"Empresa inválida",IF(OR(INT(B620)&lt;CFG_PSTART,INT(B620)&gt;CFG_PEND),"Fecha fuera del período",IF(OR(NOT(ISNUMBER(Z620)),NOT(ISNUMBER(AA620))),"Falta hora inicio/fin o formato inválido",IF(AB620=0,"Hora inicio = hora fin",IF(AE620&lt;0,"Descanso inválido",IF(AE620&gt;=AD620,"Descanso ≥ duración",IF(AV620=1,"Registro duplicado",IF(AZ620&gt;0,"Se superpone con otro registro "&amp;D620,IF(BB620=0,"inicio, fin y duración neta deben ser múltiplos de "&amp;CFG_BLK&amp;" min",""))))))))))))</f>
        <v/>
      </c>
      <c r="BD620" s="80">
        <f>IF(AND(Y620=1,BC620=""),1,0)</f>
        <v>0</v>
      </c>
      <c r="BE620" s="80">
        <f>IF(AND(BD620=1,AU620=1),1,0)</f>
        <v>0</v>
      </c>
      <c r="BF620" s="80" t="str">
        <f>IF(AND(D620="proMX",BD620=1),IF(R620="","Draft",R620),"")</f>
        <v/>
      </c>
      <c r="BG620" s="80">
        <f>IF(BD620=1,ROUND(AG620/60,6),0)</f>
        <v>0</v>
      </c>
      <c r="BH620" s="80">
        <f>IF(BE620=1,ROUND(AG620/60,6),0)</f>
        <v>0</v>
      </c>
      <c r="BI620" s="80">
        <f>IF(BE620=1,ROUND(AP620/60,6),0)</f>
        <v>0</v>
      </c>
      <c r="BJ620" s="80">
        <f>IF(BE620=1,ROUND(AQ620/60,6),0)</f>
        <v>0</v>
      </c>
      <c r="BK620" s="80">
        <f>IF(BE620=1,ROUND((AR620+AS620)/60,6),0)</f>
        <v>0</v>
      </c>
      <c r="BL620" s="80">
        <f>ROUND(BH620-BK620,6)</f>
        <v>0</v>
      </c>
      <c r="BM620" s="80">
        <f>IF(BE620=1,ROUND(AR620/60,6),0)</f>
        <v>0</v>
      </c>
      <c r="BN620" s="80">
        <f>ROUND(BI620-BM620,6)</f>
        <v>0</v>
      </c>
      <c r="BO620" s="80">
        <f>IF(BE620=1,ROUND(AS620/60,6),0)</f>
        <v>0</v>
      </c>
      <c r="BP620" s="80">
        <f>ROUND(BJ620-BO620,6)</f>
        <v>0</v>
      </c>
      <c r="BQ620" s="80">
        <f>IF(BE620=1,AW620,0)</f>
        <v>0</v>
      </c>
      <c r="BR620" s="80">
        <f>IF(BE620=1,AX620,0)</f>
        <v>0</v>
      </c>
      <c r="BS620" s="80">
        <f>IF(AND(BE620=1,D620="Malcolm",BA620&gt;0),MIN(BH620,SUMPRODUCT((R_Emp="proMX")*(R_EN&gt;0)*((R_EN-(R_EN&gt;BR620)*(R_EN-BR620))&gt;(R_SN+(R_SN&lt;BQ620)*(BQ620-R_SN)))*((R_EN-(R_EN&gt;BR620)*(R_EN-BR620))-(R_SN+(R_SN&lt;BQ620)*(BQ620-R_SN))))/60),0)</f>
        <v>0</v>
      </c>
      <c r="BT620" s="80">
        <f>IF(AND(BE620=1,D620="proMX"),ROUND(BI620*CFG_RATE+BJ620*CFG_OTRATE,6),0)</f>
        <v>0</v>
      </c>
      <c r="BU620" s="80">
        <f>IF(AND(BD620=1,D620="proMX"),ROUND(AG620/CFG_BLK,6),0)</f>
        <v>0</v>
      </c>
      <c r="BV620" s="80" t="str">
        <f>IF(BF620="Approved",IF(ISNUMBER(T620),INT(T620),INT(B620)),"")</f>
        <v/>
      </c>
      <c r="BW620" s="80">
        <f>IF(ISNUMBER(B620),IF(DB_MON="Todos",1,IF(AND(INT(B620)&gt;=DB_MS,INT(B620)&lt;=DB_ME),1,0)),0)</f>
        <v>0</v>
      </c>
      <c r="BX620" s="80">
        <f>IF(DB_PROJ="Todos",1,IF(E620&amp;""=DB_PROJ&amp;"",1,0))</f>
        <v>1</v>
      </c>
      <c r="BY620" s="80">
        <f>BW620*BX620</f>
        <v>0</v>
      </c>
      <c r="BZ620" s="80" t="str">
        <f>IF(Y620=1,F620&amp;IF(AND(F620&amp;""&lt;&gt;"",E620&amp;""&lt;&gt;"")," · ","")&amp;E620,"")</f>
        <v/>
      </c>
      <c r="CA620" s="80" t="str">
        <f>IF(AND(BD620=1,E620&amp;""&lt;&gt;""),IF(COUNTIFS($E$5:E619,E620,$BD$5:BD619,1)=0,MAX($CA$5:CA619)+1,""),"")</f>
        <v/>
      </c>
      <c r="CB620" s="80" t="str">
        <f>IF(AND(BE620=1,D620="Malcolm",E620&amp;""&lt;&gt;""),IF(COUNTIFS($D$5:D619,"Malcolm",$E$5:E619,E620,$BE$5:BE619,1)=0,MAX($CB$5:CB619)+1,""),"")</f>
        <v/>
      </c>
      <c r="CC620" s="80" t="str">
        <f>IF(AND(BD620=1,D620="proMX",E620&amp;""&lt;&gt;""),IF(COUNTIFS($D$5:D619,"proMX",$E$5:E619,E620,$BD$5:BD619,1)=0,MAX($CC$5:CC619)+1,""),"")</f>
        <v/>
      </c>
      <c r="CD620" s="80" t="str">
        <f>IF(AND(BE620=1,D620="Malcolm",F620&amp;""&lt;&gt;""),IF(COUNTIFS($D$5:D619,"Malcolm",$F$5:F619,F620,$BE$5:BE619,1)=0,MAX($CD$5:CD619)+1,""),"")</f>
        <v/>
      </c>
      <c r="CE620" s="80" t="str">
        <f>IF(AND(BD620=1,D620="proMX",F620&amp;""&lt;&gt;""),IF(COUNTIFS($D$5:D619,"proMX",$F$5:F619,F620,$BD$5:BD619,1)=0,MAX($CE$5:CE619)+1,""),"")</f>
        <v/>
      </c>
      <c r="CF620" s="80" t="str">
        <f>IF(AND(D620="proMX",BD620=1),IF(OR(BF620="Draft",BF620="Submitted",BF620="Returned",BF620="Recall Requested"),MAX($CF$5:CF619)+1,""),"")</f>
        <v/>
      </c>
      <c r="CG620" s="80">
        <f>IF(BD620=0,0,IF(D620="Malcolm",1,MATCH(BF620,{"Draft","Submitted","Approved","Returned","Recall Requested","Cancelled"},0)+1))</f>
        <v>0</v>
      </c>
      <c r="CH620" s="80">
        <f>IF(AND(BF620="Submitted",ISNUMBER(V620)),IF(V620&gt;CFG_MAXD,1,0),0)</f>
        <v>0</v>
      </c>
    </row>
    <row r="621">
      <c r="A621" s="71" t="str">
        <f>IF(Y621=1,ROW()-5,"")</f>
        <v/>
      </c>
      <c r="B621" s="72" t="n"/>
      <c r="C621" s="71" t="str">
        <f>IF(ISNUMBER(B621),CHOOSE(WEEKDAY(B621,2),"Lun","Mar","Mié","Jue","Vie","Sáb","Dom"),"")</f>
        <v/>
      </c>
      <c r="D621" s="73" t="n"/>
      <c r="E621" s="74" t="n"/>
      <c r="F621" s="74" t="n"/>
      <c r="G621" s="74" t="n"/>
      <c r="H621" s="75" t="n"/>
      <c r="I621" s="75" t="n"/>
      <c r="J621" s="76" t="n"/>
      <c r="K621" s="77" t="str">
        <f>IF(AB621=1,ROUND(AG621/60,4),"")</f>
        <v/>
      </c>
      <c r="L621" s="77" t="str">
        <f>IF(BD621=1,ROUND(AP621/60,4),"")</f>
        <v/>
      </c>
      <c r="M621" s="77" t="str">
        <f>IF(BD621=1,ROUND(AQ621/60,4),"")</f>
        <v/>
      </c>
      <c r="N621" s="71" t="str">
        <f>IF(AND(D621="proMX",AB621=1),ROUND(AG621/CFG_BLK,2),"")</f>
        <v/>
      </c>
      <c r="O621" s="77" t="str">
        <f>IF(D621="proMX",IF(BD621=1,ROUND(AG621/60,4),0),"")</f>
        <v/>
      </c>
      <c r="P621" s="78" t="str">
        <f>IF(Y621=0,"",IF(BD621=1,"OK",IF(D621="proMX","Revisar bloques: ","Revisar: ")&amp;BC621))</f>
        <v/>
      </c>
      <c r="Q621" s="78" t="str">
        <f>IF(NOT(ISNUMBER(B621)),"",IF(COUNTIFS(FER_F,INT(B621))&gt;0,"Feriado"&amp;IF(AH621=1," (laborable)"," (no laborable)"),IF(AH621=1,"Laborable",IF(WEEKDAY(B621,2)&gt;5,"Fin de semana","No laborable"))))</f>
        <v/>
      </c>
      <c r="R621" s="73" t="n"/>
      <c r="S621" s="72" t="n"/>
      <c r="T621" s="72" t="n"/>
      <c r="U621" s="74" t="n"/>
      <c r="V621" s="79" t="str">
        <f>IF(AND(D621="proMX",OR(R621="Submitted",R621="Recall Requested"),ISNUMBER(S621)),CFG_TODAY-INT(S621),"")</f>
        <v/>
      </c>
      <c r="W621" s="78" t="str">
        <f>IF(BD621=0,"",IF(BA621&gt;0,"⚠ Se superpone con un registro de la otra empresa",IF(D621="Malcolm",IF(COUNTA(R621,S621,T621)&gt;0,"Estado/fechas proMX se ignoran en Malcolm",""),IF(BF621="Cancelled","Cancelado: excluido de totales",IF(R621="","Sin estado: se trata como Draft",IF(BF621="Submitted",IF(ISNUMBER(V621),IF(V621&gt;CFG_MAXD,"⚠ "&amp;V621&amp;" días en Submitted (máx. "&amp;CFG_MAXD&amp;")",""),"Falta fecha de envío"),IF(BF621="Returned","⚠ Devuelto: corregir y reenviar",IF(BF621="Recall Requested","Retirada solicitada: pendiente",IF(AND(BF621="Approved",NOT(ISNUMBER(T621))),"Falta fecha de aprobación",IF(AND(ISNUMBER(S621),ISNUMBER(T621),T621&lt;S621),"Aprobación anterior al envío","")))))))))</f>
        <v/>
      </c>
      <c r="Y621" s="80">
        <f>IF(COUNTA(B621,D621,E621,F621,G621,H621,I621,J621,R621,S621,T621)&gt;0,1,0)</f>
        <v>0</v>
      </c>
      <c r="Z621" s="80" t="str">
        <f>IF(AND(ISNUMBER(H621),H621&gt;=0,H621&lt;1),ROUND(H621*1440,0),"")</f>
        <v/>
      </c>
      <c r="AA621" s="80" t="str">
        <f>IF(AND(ISNUMBER(I621),I621&gt;=0,I621&lt;1),ROUND(I621*1440,0),"")</f>
        <v/>
      </c>
      <c r="AB621" s="80">
        <f>IF(AND(ISNUMBER(B621),D621&lt;&gt;"",ISNUMBER(Z621),ISNUMBER(AA621)),IF(Z621=AA621,0,1),0)</f>
        <v>0</v>
      </c>
      <c r="AC621" s="80">
        <f>IF(AB621=1,IF(AA621&lt;Z621,1,0),0)</f>
        <v>0</v>
      </c>
      <c r="AD621" s="80">
        <f>IF(AB621=1,IF(AC621=1,1440-Z621+AA621,AA621-Z621),0)</f>
        <v>0</v>
      </c>
      <c r="AE621" s="80">
        <f>IF(J621="",0,IF(ISNUMBER(J621),J621,-1))</f>
        <v>0</v>
      </c>
      <c r="AF621" s="80">
        <f>MIN(MAX(0,AE621),AD621)</f>
        <v>0</v>
      </c>
      <c r="AG621" s="80">
        <f>MAX(0,AD621-MAX(0,AE621))</f>
        <v>0</v>
      </c>
      <c r="AH621" s="80">
        <f>IF(ISNUMBER(B621),IF(AND(INDEX(CFG_WDAYS,WEEKDAY(INT(B621),2))="Sí",IF(D621="proMX",COUNTIFS(FER_F,INT(B621),FER_NLP,"Sí"),COUNTIFS(FER_F,INT(B621),FER_NLM,"Sí"))=0),1,0),0)</f>
        <v>0</v>
      </c>
      <c r="AI621" s="80">
        <f>IF(AC621=1,IF(AND(INDEX(CFG_WDAYS,WEEKDAY(INT(B621)+1,2))="Sí",IF(D621="proMX",COUNTIFS(FER_F,INT(B621)+1,FER_NLP,"Sí"),COUNTIFS(FER_F,INT(B621)+1,FER_NLM,"Sí"))=0),1,0),0)</f>
        <v>0</v>
      </c>
      <c r="AJ621" s="80">
        <f>IF(AC621=1,1440-Z621,AD621)</f>
        <v>0</v>
      </c>
      <c r="AK621" s="80">
        <f>IF(AND(AB621=1,AH621=1),MAX(0,MIN(IF(AC621=1,1440,AA621),CFG_WEM)-MAX(Z621,CFG_WSM)),0)</f>
        <v>0</v>
      </c>
      <c r="AL621" s="80">
        <f>IF(AND(AC621=1,AI621=1),MAX(0,MIN(AA621,CFG_WEM)-CFG_WSM),0)</f>
        <v>0</v>
      </c>
      <c r="AM621" s="80">
        <f>AK621+AL621</f>
        <v>0</v>
      </c>
      <c r="AN621" s="80">
        <f>IF(CFG_BRK="Proporcional",IF(AD621=0,0,AF621*AM621/AD621),IF(CFG_BRK="Extras primero",MIN(AM621,MAX(0,AF621-(AD621-AM621))),MIN(AF621,AM621)))</f>
        <v>0</v>
      </c>
      <c r="AO621" s="80">
        <f>AF621-AN621</f>
        <v>0</v>
      </c>
      <c r="AP621" s="80">
        <f>AM621-AN621</f>
        <v>0</v>
      </c>
      <c r="AQ621" s="80">
        <f>AD621-AM621-AO621</f>
        <v>0</v>
      </c>
      <c r="AR621" s="80">
        <f>IF(AM621=0,0,AK621-AN621*AK621/AM621)</f>
        <v>0</v>
      </c>
      <c r="AS621" s="80">
        <f>IF(AD621-AM621=0,0,(AJ621-AK621)-AO621*(AJ621-AK621)/(AD621-AM621))</f>
        <v>0</v>
      </c>
      <c r="AT621" s="80" t="str">
        <f>IF(AC621=1,INT(B621)+1,"")</f>
        <v/>
      </c>
      <c r="AU621" s="80">
        <f>IF(AND(D621="proMX",R621="Cancelled"),0,1)</f>
        <v>1</v>
      </c>
      <c r="AV621" s="80">
        <f>IF(AND(AB621=1,AU621=1),IF(COUNTIFS($D$5:D620,D621,$B$5:B620,B621,$Z$5:Z620,Z621,$AA$5:AA620,AA621,$F$5:F620,F621&amp;"",$AU$5:AU620,1)&gt;0,1,0),0)</f>
        <v>0</v>
      </c>
      <c r="AW621" s="80" t="str">
        <f>IF(AB621=1,INT(B621)*1440+Z621,"")</f>
        <v/>
      </c>
      <c r="AX621" s="80" t="str">
        <f>IF(AB621=1,AW621+AD621,"")</f>
        <v/>
      </c>
      <c r="AY621" s="80">
        <f>IF(AND(AB621=1,AV621=0,AU621=1),1,0)</f>
        <v>0</v>
      </c>
      <c r="AZ621" s="80">
        <f>IF(AY621=1,COUNTIFS(R_Emp,D621,R_SAbs,"&lt;"&amp;AX621,R_EAbs,"&gt;"&amp;AW621,R_OKey,1)-1,0)</f>
        <v>0</v>
      </c>
      <c r="BA621" s="80">
        <f>IF(AY621=1,COUNTIFS(R_Emp,"&lt;&gt;"&amp;D621,R_SAbs,"&lt;"&amp;AX621,R_EAbs,"&gt;"&amp;AW621,R_OKey,1),0)</f>
        <v>0</v>
      </c>
      <c r="BB621" s="80">
        <f>IF(AND(AB621=1,D621="proMX"),IF(AND(MOD(Z621,CFG_BLK)=0,MOD(AA621,CFG_BLK)=0,MOD(AG621,CFG_BLK)=0,AG621&gt;0),1,0),1)</f>
        <v>1</v>
      </c>
      <c r="BC621" s="80" t="str">
        <f>IF(Y621=0,"",IF(NOT(ISNUMBER(B621)),"Falta fecha o fecha inválida",IF(D621="","Falta empresa",IF(AND(D621&lt;&gt;"Malcolm",D621&lt;&gt;"proMX"),"Empresa inválida",IF(OR(INT(B621)&lt;CFG_PSTART,INT(B621)&gt;CFG_PEND),"Fecha fuera del período",IF(OR(NOT(ISNUMBER(Z621)),NOT(ISNUMBER(AA621))),"Falta hora inicio/fin o formato inválido",IF(AB621=0,"Hora inicio = hora fin",IF(AE621&lt;0,"Descanso inválido",IF(AE621&gt;=AD621,"Descanso ≥ duración",IF(AV621=1,"Registro duplicado",IF(AZ621&gt;0,"Se superpone con otro registro "&amp;D621,IF(BB621=0,"inicio, fin y duración neta deben ser múltiplos de "&amp;CFG_BLK&amp;" min",""))))))))))))</f>
        <v/>
      </c>
      <c r="BD621" s="80">
        <f>IF(AND(Y621=1,BC621=""),1,0)</f>
        <v>0</v>
      </c>
      <c r="BE621" s="80">
        <f>IF(AND(BD621=1,AU621=1),1,0)</f>
        <v>0</v>
      </c>
      <c r="BF621" s="80" t="str">
        <f>IF(AND(D621="proMX",BD621=1),IF(R621="","Draft",R621),"")</f>
        <v/>
      </c>
      <c r="BG621" s="80">
        <f>IF(BD621=1,ROUND(AG621/60,6),0)</f>
        <v>0</v>
      </c>
      <c r="BH621" s="80">
        <f>IF(BE621=1,ROUND(AG621/60,6),0)</f>
        <v>0</v>
      </c>
      <c r="BI621" s="80">
        <f>IF(BE621=1,ROUND(AP621/60,6),0)</f>
        <v>0</v>
      </c>
      <c r="BJ621" s="80">
        <f>IF(BE621=1,ROUND(AQ621/60,6),0)</f>
        <v>0</v>
      </c>
      <c r="BK621" s="80">
        <f>IF(BE621=1,ROUND((AR621+AS621)/60,6),0)</f>
        <v>0</v>
      </c>
      <c r="BL621" s="80">
        <f>ROUND(BH621-BK621,6)</f>
        <v>0</v>
      </c>
      <c r="BM621" s="80">
        <f>IF(BE621=1,ROUND(AR621/60,6),0)</f>
        <v>0</v>
      </c>
      <c r="BN621" s="80">
        <f>ROUND(BI621-BM621,6)</f>
        <v>0</v>
      </c>
      <c r="BO621" s="80">
        <f>IF(BE621=1,ROUND(AS621/60,6),0)</f>
        <v>0</v>
      </c>
      <c r="BP621" s="80">
        <f>ROUND(BJ621-BO621,6)</f>
        <v>0</v>
      </c>
      <c r="BQ621" s="80">
        <f>IF(BE621=1,AW621,0)</f>
        <v>0</v>
      </c>
      <c r="BR621" s="80">
        <f>IF(BE621=1,AX621,0)</f>
        <v>0</v>
      </c>
      <c r="BS621" s="80">
        <f>IF(AND(BE621=1,D621="Malcolm",BA621&gt;0),MIN(BH621,SUMPRODUCT((R_Emp="proMX")*(R_EN&gt;0)*((R_EN-(R_EN&gt;BR621)*(R_EN-BR621))&gt;(R_SN+(R_SN&lt;BQ621)*(BQ621-R_SN)))*((R_EN-(R_EN&gt;BR621)*(R_EN-BR621))-(R_SN+(R_SN&lt;BQ621)*(BQ621-R_SN))))/60),0)</f>
        <v>0</v>
      </c>
      <c r="BT621" s="80">
        <f>IF(AND(BE621=1,D621="proMX"),ROUND(BI621*CFG_RATE+BJ621*CFG_OTRATE,6),0)</f>
        <v>0</v>
      </c>
      <c r="BU621" s="80">
        <f>IF(AND(BD621=1,D621="proMX"),ROUND(AG621/CFG_BLK,6),0)</f>
        <v>0</v>
      </c>
      <c r="BV621" s="80" t="str">
        <f>IF(BF621="Approved",IF(ISNUMBER(T621),INT(T621),INT(B621)),"")</f>
        <v/>
      </c>
      <c r="BW621" s="80">
        <f>IF(ISNUMBER(B621),IF(DB_MON="Todos",1,IF(AND(INT(B621)&gt;=DB_MS,INT(B621)&lt;=DB_ME),1,0)),0)</f>
        <v>0</v>
      </c>
      <c r="BX621" s="80">
        <f>IF(DB_PROJ="Todos",1,IF(E621&amp;""=DB_PROJ&amp;"",1,0))</f>
        <v>1</v>
      </c>
      <c r="BY621" s="80">
        <f>BW621*BX621</f>
        <v>0</v>
      </c>
      <c r="BZ621" s="80" t="str">
        <f>IF(Y621=1,F621&amp;IF(AND(F621&amp;""&lt;&gt;"",E621&amp;""&lt;&gt;"")," · ","")&amp;E621,"")</f>
        <v/>
      </c>
      <c r="CA621" s="80" t="str">
        <f>IF(AND(BD621=1,E621&amp;""&lt;&gt;""),IF(COUNTIFS($E$5:E620,E621,$BD$5:BD620,1)=0,MAX($CA$5:CA620)+1,""),"")</f>
        <v/>
      </c>
      <c r="CB621" s="80" t="str">
        <f>IF(AND(BE621=1,D621="Malcolm",E621&amp;""&lt;&gt;""),IF(COUNTIFS($D$5:D620,"Malcolm",$E$5:E620,E621,$BE$5:BE620,1)=0,MAX($CB$5:CB620)+1,""),"")</f>
        <v/>
      </c>
      <c r="CC621" s="80" t="str">
        <f>IF(AND(BD621=1,D621="proMX",E621&amp;""&lt;&gt;""),IF(COUNTIFS($D$5:D620,"proMX",$E$5:E620,E621,$BD$5:BD620,1)=0,MAX($CC$5:CC620)+1,""),"")</f>
        <v/>
      </c>
      <c r="CD621" s="80" t="str">
        <f>IF(AND(BE621=1,D621="Malcolm",F621&amp;""&lt;&gt;""),IF(COUNTIFS($D$5:D620,"Malcolm",$F$5:F620,F621,$BE$5:BE620,1)=0,MAX($CD$5:CD620)+1,""),"")</f>
        <v/>
      </c>
      <c r="CE621" s="80" t="str">
        <f>IF(AND(BD621=1,D621="proMX",F621&amp;""&lt;&gt;""),IF(COUNTIFS($D$5:D620,"proMX",$F$5:F620,F621,$BD$5:BD620,1)=0,MAX($CE$5:CE620)+1,""),"")</f>
        <v/>
      </c>
      <c r="CF621" s="80" t="str">
        <f>IF(AND(D621="proMX",BD621=1),IF(OR(BF621="Draft",BF621="Submitted",BF621="Returned",BF621="Recall Requested"),MAX($CF$5:CF620)+1,""),"")</f>
        <v/>
      </c>
      <c r="CG621" s="80">
        <f>IF(BD621=0,0,IF(D621="Malcolm",1,MATCH(BF621,{"Draft","Submitted","Approved","Returned","Recall Requested","Cancelled"},0)+1))</f>
        <v>0</v>
      </c>
      <c r="CH621" s="80">
        <f>IF(AND(BF621="Submitted",ISNUMBER(V621)),IF(V621&gt;CFG_MAXD,1,0),0)</f>
        <v>0</v>
      </c>
    </row>
    <row r="622">
      <c r="A622" s="71" t="str">
        <f>IF(Y622=1,ROW()-5,"")</f>
        <v/>
      </c>
      <c r="B622" s="72" t="n"/>
      <c r="C622" s="71" t="str">
        <f>IF(ISNUMBER(B622),CHOOSE(WEEKDAY(B622,2),"Lun","Mar","Mié","Jue","Vie","Sáb","Dom"),"")</f>
        <v/>
      </c>
      <c r="D622" s="73" t="n"/>
      <c r="E622" s="74" t="n"/>
      <c r="F622" s="74" t="n"/>
      <c r="G622" s="74" t="n"/>
      <c r="H622" s="75" t="n"/>
      <c r="I622" s="75" t="n"/>
      <c r="J622" s="76" t="n"/>
      <c r="K622" s="77" t="str">
        <f>IF(AB622=1,ROUND(AG622/60,4),"")</f>
        <v/>
      </c>
      <c r="L622" s="77" t="str">
        <f>IF(BD622=1,ROUND(AP622/60,4),"")</f>
        <v/>
      </c>
      <c r="M622" s="77" t="str">
        <f>IF(BD622=1,ROUND(AQ622/60,4),"")</f>
        <v/>
      </c>
      <c r="N622" s="71" t="str">
        <f>IF(AND(D622="proMX",AB622=1),ROUND(AG622/CFG_BLK,2),"")</f>
        <v/>
      </c>
      <c r="O622" s="77" t="str">
        <f>IF(D622="proMX",IF(BD622=1,ROUND(AG622/60,4),0),"")</f>
        <v/>
      </c>
      <c r="P622" s="78" t="str">
        <f>IF(Y622=0,"",IF(BD622=1,"OK",IF(D622="proMX","Revisar bloques: ","Revisar: ")&amp;BC622))</f>
        <v/>
      </c>
      <c r="Q622" s="78" t="str">
        <f>IF(NOT(ISNUMBER(B622)),"",IF(COUNTIFS(FER_F,INT(B622))&gt;0,"Feriado"&amp;IF(AH622=1," (laborable)"," (no laborable)"),IF(AH622=1,"Laborable",IF(WEEKDAY(B622,2)&gt;5,"Fin de semana","No laborable"))))</f>
        <v/>
      </c>
      <c r="R622" s="73" t="n"/>
      <c r="S622" s="72" t="n"/>
      <c r="T622" s="72" t="n"/>
      <c r="U622" s="74" t="n"/>
      <c r="V622" s="79" t="str">
        <f>IF(AND(D622="proMX",OR(R622="Submitted",R622="Recall Requested"),ISNUMBER(S622)),CFG_TODAY-INT(S622),"")</f>
        <v/>
      </c>
      <c r="W622" s="78" t="str">
        <f>IF(BD622=0,"",IF(BA622&gt;0,"⚠ Se superpone con un registro de la otra empresa",IF(D622="Malcolm",IF(COUNTA(R622,S622,T622)&gt;0,"Estado/fechas proMX se ignoran en Malcolm",""),IF(BF622="Cancelled","Cancelado: excluido de totales",IF(R622="","Sin estado: se trata como Draft",IF(BF622="Submitted",IF(ISNUMBER(V622),IF(V622&gt;CFG_MAXD,"⚠ "&amp;V622&amp;" días en Submitted (máx. "&amp;CFG_MAXD&amp;")",""),"Falta fecha de envío"),IF(BF622="Returned","⚠ Devuelto: corregir y reenviar",IF(BF622="Recall Requested","Retirada solicitada: pendiente",IF(AND(BF622="Approved",NOT(ISNUMBER(T622))),"Falta fecha de aprobación",IF(AND(ISNUMBER(S622),ISNUMBER(T622),T622&lt;S622),"Aprobación anterior al envío","")))))))))</f>
        <v/>
      </c>
      <c r="Y622" s="80">
        <f>IF(COUNTA(B622,D622,E622,F622,G622,H622,I622,J622,R622,S622,T622)&gt;0,1,0)</f>
        <v>0</v>
      </c>
      <c r="Z622" s="80" t="str">
        <f>IF(AND(ISNUMBER(H622),H622&gt;=0,H622&lt;1),ROUND(H622*1440,0),"")</f>
        <v/>
      </c>
      <c r="AA622" s="80" t="str">
        <f>IF(AND(ISNUMBER(I622),I622&gt;=0,I622&lt;1),ROUND(I622*1440,0),"")</f>
        <v/>
      </c>
      <c r="AB622" s="80">
        <f>IF(AND(ISNUMBER(B622),D622&lt;&gt;"",ISNUMBER(Z622),ISNUMBER(AA622)),IF(Z622=AA622,0,1),0)</f>
        <v>0</v>
      </c>
      <c r="AC622" s="80">
        <f>IF(AB622=1,IF(AA622&lt;Z622,1,0),0)</f>
        <v>0</v>
      </c>
      <c r="AD622" s="80">
        <f>IF(AB622=1,IF(AC622=1,1440-Z622+AA622,AA622-Z622),0)</f>
        <v>0</v>
      </c>
      <c r="AE622" s="80">
        <f>IF(J622="",0,IF(ISNUMBER(J622),J622,-1))</f>
        <v>0</v>
      </c>
      <c r="AF622" s="80">
        <f>MIN(MAX(0,AE622),AD622)</f>
        <v>0</v>
      </c>
      <c r="AG622" s="80">
        <f>MAX(0,AD622-MAX(0,AE622))</f>
        <v>0</v>
      </c>
      <c r="AH622" s="80">
        <f>IF(ISNUMBER(B622),IF(AND(INDEX(CFG_WDAYS,WEEKDAY(INT(B622),2))="Sí",IF(D622="proMX",COUNTIFS(FER_F,INT(B622),FER_NLP,"Sí"),COUNTIFS(FER_F,INT(B622),FER_NLM,"Sí"))=0),1,0),0)</f>
        <v>0</v>
      </c>
      <c r="AI622" s="80">
        <f>IF(AC622=1,IF(AND(INDEX(CFG_WDAYS,WEEKDAY(INT(B622)+1,2))="Sí",IF(D622="proMX",COUNTIFS(FER_F,INT(B622)+1,FER_NLP,"Sí"),COUNTIFS(FER_F,INT(B622)+1,FER_NLM,"Sí"))=0),1,0),0)</f>
        <v>0</v>
      </c>
      <c r="AJ622" s="80">
        <f>IF(AC622=1,1440-Z622,AD622)</f>
        <v>0</v>
      </c>
      <c r="AK622" s="80">
        <f>IF(AND(AB622=1,AH622=1),MAX(0,MIN(IF(AC622=1,1440,AA622),CFG_WEM)-MAX(Z622,CFG_WSM)),0)</f>
        <v>0</v>
      </c>
      <c r="AL622" s="80">
        <f>IF(AND(AC622=1,AI622=1),MAX(0,MIN(AA622,CFG_WEM)-CFG_WSM),0)</f>
        <v>0</v>
      </c>
      <c r="AM622" s="80">
        <f>AK622+AL622</f>
        <v>0</v>
      </c>
      <c r="AN622" s="80">
        <f>IF(CFG_BRK="Proporcional",IF(AD622=0,0,AF622*AM622/AD622),IF(CFG_BRK="Extras primero",MIN(AM622,MAX(0,AF622-(AD622-AM622))),MIN(AF622,AM622)))</f>
        <v>0</v>
      </c>
      <c r="AO622" s="80">
        <f>AF622-AN622</f>
        <v>0</v>
      </c>
      <c r="AP622" s="80">
        <f>AM622-AN622</f>
        <v>0</v>
      </c>
      <c r="AQ622" s="80">
        <f>AD622-AM622-AO622</f>
        <v>0</v>
      </c>
      <c r="AR622" s="80">
        <f>IF(AM622=0,0,AK622-AN622*AK622/AM622)</f>
        <v>0</v>
      </c>
      <c r="AS622" s="80">
        <f>IF(AD622-AM622=0,0,(AJ622-AK622)-AO622*(AJ622-AK622)/(AD622-AM622))</f>
        <v>0</v>
      </c>
      <c r="AT622" s="80" t="str">
        <f>IF(AC622=1,INT(B622)+1,"")</f>
        <v/>
      </c>
      <c r="AU622" s="80">
        <f>IF(AND(D622="proMX",R622="Cancelled"),0,1)</f>
        <v>1</v>
      </c>
      <c r="AV622" s="80">
        <f>IF(AND(AB622=1,AU622=1),IF(COUNTIFS($D$5:D621,D622,$B$5:B621,B622,$Z$5:Z621,Z622,$AA$5:AA621,AA622,$F$5:F621,F622&amp;"",$AU$5:AU621,1)&gt;0,1,0),0)</f>
        <v>0</v>
      </c>
      <c r="AW622" s="80" t="str">
        <f>IF(AB622=1,INT(B622)*1440+Z622,"")</f>
        <v/>
      </c>
      <c r="AX622" s="80" t="str">
        <f>IF(AB622=1,AW622+AD622,"")</f>
        <v/>
      </c>
      <c r="AY622" s="80">
        <f>IF(AND(AB622=1,AV622=0,AU622=1),1,0)</f>
        <v>0</v>
      </c>
      <c r="AZ622" s="80">
        <f>IF(AY622=1,COUNTIFS(R_Emp,D622,R_SAbs,"&lt;"&amp;AX622,R_EAbs,"&gt;"&amp;AW622,R_OKey,1)-1,0)</f>
        <v>0</v>
      </c>
      <c r="BA622" s="80">
        <f>IF(AY622=1,COUNTIFS(R_Emp,"&lt;&gt;"&amp;D622,R_SAbs,"&lt;"&amp;AX622,R_EAbs,"&gt;"&amp;AW622,R_OKey,1),0)</f>
        <v>0</v>
      </c>
      <c r="BB622" s="80">
        <f>IF(AND(AB622=1,D622="proMX"),IF(AND(MOD(Z622,CFG_BLK)=0,MOD(AA622,CFG_BLK)=0,MOD(AG622,CFG_BLK)=0,AG622&gt;0),1,0),1)</f>
        <v>1</v>
      </c>
      <c r="BC622" s="80" t="str">
        <f>IF(Y622=0,"",IF(NOT(ISNUMBER(B622)),"Falta fecha o fecha inválida",IF(D622="","Falta empresa",IF(AND(D622&lt;&gt;"Malcolm",D622&lt;&gt;"proMX"),"Empresa inválida",IF(OR(INT(B622)&lt;CFG_PSTART,INT(B622)&gt;CFG_PEND),"Fecha fuera del período",IF(OR(NOT(ISNUMBER(Z622)),NOT(ISNUMBER(AA622))),"Falta hora inicio/fin o formato inválido",IF(AB622=0,"Hora inicio = hora fin",IF(AE622&lt;0,"Descanso inválido",IF(AE622&gt;=AD622,"Descanso ≥ duración",IF(AV622=1,"Registro duplicado",IF(AZ622&gt;0,"Se superpone con otro registro "&amp;D622,IF(BB622=0,"inicio, fin y duración neta deben ser múltiplos de "&amp;CFG_BLK&amp;" min",""))))))))))))</f>
        <v/>
      </c>
      <c r="BD622" s="80">
        <f>IF(AND(Y622=1,BC622=""),1,0)</f>
        <v>0</v>
      </c>
      <c r="BE622" s="80">
        <f>IF(AND(BD622=1,AU622=1),1,0)</f>
        <v>0</v>
      </c>
      <c r="BF622" s="80" t="str">
        <f>IF(AND(D622="proMX",BD622=1),IF(R622="","Draft",R622),"")</f>
        <v/>
      </c>
      <c r="BG622" s="80">
        <f>IF(BD622=1,ROUND(AG622/60,6),0)</f>
        <v>0</v>
      </c>
      <c r="BH622" s="80">
        <f>IF(BE622=1,ROUND(AG622/60,6),0)</f>
        <v>0</v>
      </c>
      <c r="BI622" s="80">
        <f>IF(BE622=1,ROUND(AP622/60,6),0)</f>
        <v>0</v>
      </c>
      <c r="BJ622" s="80">
        <f>IF(BE622=1,ROUND(AQ622/60,6),0)</f>
        <v>0</v>
      </c>
      <c r="BK622" s="80">
        <f>IF(BE622=1,ROUND((AR622+AS622)/60,6),0)</f>
        <v>0</v>
      </c>
      <c r="BL622" s="80">
        <f>ROUND(BH622-BK622,6)</f>
        <v>0</v>
      </c>
      <c r="BM622" s="80">
        <f>IF(BE622=1,ROUND(AR622/60,6),0)</f>
        <v>0</v>
      </c>
      <c r="BN622" s="80">
        <f>ROUND(BI622-BM622,6)</f>
        <v>0</v>
      </c>
      <c r="BO622" s="80">
        <f>IF(BE622=1,ROUND(AS622/60,6),0)</f>
        <v>0</v>
      </c>
      <c r="BP622" s="80">
        <f>ROUND(BJ622-BO622,6)</f>
        <v>0</v>
      </c>
      <c r="BQ622" s="80">
        <f>IF(BE622=1,AW622,0)</f>
        <v>0</v>
      </c>
      <c r="BR622" s="80">
        <f>IF(BE622=1,AX622,0)</f>
        <v>0</v>
      </c>
      <c r="BS622" s="80">
        <f>IF(AND(BE622=1,D622="Malcolm",BA622&gt;0),MIN(BH622,SUMPRODUCT((R_Emp="proMX")*(R_EN&gt;0)*((R_EN-(R_EN&gt;BR622)*(R_EN-BR622))&gt;(R_SN+(R_SN&lt;BQ622)*(BQ622-R_SN)))*((R_EN-(R_EN&gt;BR622)*(R_EN-BR622))-(R_SN+(R_SN&lt;BQ622)*(BQ622-R_SN))))/60),0)</f>
        <v>0</v>
      </c>
      <c r="BT622" s="80">
        <f>IF(AND(BE622=1,D622="proMX"),ROUND(BI622*CFG_RATE+BJ622*CFG_OTRATE,6),0)</f>
        <v>0</v>
      </c>
      <c r="BU622" s="80">
        <f>IF(AND(BD622=1,D622="proMX"),ROUND(AG622/CFG_BLK,6),0)</f>
        <v>0</v>
      </c>
      <c r="BV622" s="80" t="str">
        <f>IF(BF622="Approved",IF(ISNUMBER(T622),INT(T622),INT(B622)),"")</f>
        <v/>
      </c>
      <c r="BW622" s="80">
        <f>IF(ISNUMBER(B622),IF(DB_MON="Todos",1,IF(AND(INT(B622)&gt;=DB_MS,INT(B622)&lt;=DB_ME),1,0)),0)</f>
        <v>0</v>
      </c>
      <c r="BX622" s="80">
        <f>IF(DB_PROJ="Todos",1,IF(E622&amp;""=DB_PROJ&amp;"",1,0))</f>
        <v>1</v>
      </c>
      <c r="BY622" s="80">
        <f>BW622*BX622</f>
        <v>0</v>
      </c>
      <c r="BZ622" s="80" t="str">
        <f>IF(Y622=1,F622&amp;IF(AND(F622&amp;""&lt;&gt;"",E622&amp;""&lt;&gt;"")," · ","")&amp;E622,"")</f>
        <v/>
      </c>
      <c r="CA622" s="80" t="str">
        <f>IF(AND(BD622=1,E622&amp;""&lt;&gt;""),IF(COUNTIFS($E$5:E621,E622,$BD$5:BD621,1)=0,MAX($CA$5:CA621)+1,""),"")</f>
        <v/>
      </c>
      <c r="CB622" s="80" t="str">
        <f>IF(AND(BE622=1,D622="Malcolm",E622&amp;""&lt;&gt;""),IF(COUNTIFS($D$5:D621,"Malcolm",$E$5:E621,E622,$BE$5:BE621,1)=0,MAX($CB$5:CB621)+1,""),"")</f>
        <v/>
      </c>
      <c r="CC622" s="80" t="str">
        <f>IF(AND(BD622=1,D622="proMX",E622&amp;""&lt;&gt;""),IF(COUNTIFS($D$5:D621,"proMX",$E$5:E621,E622,$BD$5:BD621,1)=0,MAX($CC$5:CC621)+1,""),"")</f>
        <v/>
      </c>
      <c r="CD622" s="80" t="str">
        <f>IF(AND(BE622=1,D622="Malcolm",F622&amp;""&lt;&gt;""),IF(COUNTIFS($D$5:D621,"Malcolm",$F$5:F621,F622,$BE$5:BE621,1)=0,MAX($CD$5:CD621)+1,""),"")</f>
        <v/>
      </c>
      <c r="CE622" s="80" t="str">
        <f>IF(AND(BD622=1,D622="proMX",F622&amp;""&lt;&gt;""),IF(COUNTIFS($D$5:D621,"proMX",$F$5:F621,F622,$BD$5:BD621,1)=0,MAX($CE$5:CE621)+1,""),"")</f>
        <v/>
      </c>
      <c r="CF622" s="80" t="str">
        <f>IF(AND(D622="proMX",BD622=1),IF(OR(BF622="Draft",BF622="Submitted",BF622="Returned",BF622="Recall Requested"),MAX($CF$5:CF621)+1,""),"")</f>
        <v/>
      </c>
      <c r="CG622" s="80">
        <f>IF(BD622=0,0,IF(D622="Malcolm",1,MATCH(BF622,{"Draft","Submitted","Approved","Returned","Recall Requested","Cancelled"},0)+1))</f>
        <v>0</v>
      </c>
      <c r="CH622" s="80">
        <f>IF(AND(BF622="Submitted",ISNUMBER(V622)),IF(V622&gt;CFG_MAXD,1,0),0)</f>
        <v>0</v>
      </c>
    </row>
    <row r="623">
      <c r="A623" s="71" t="str">
        <f>IF(Y623=1,ROW()-5,"")</f>
        <v/>
      </c>
      <c r="B623" s="72" t="n"/>
      <c r="C623" s="71" t="str">
        <f>IF(ISNUMBER(B623),CHOOSE(WEEKDAY(B623,2),"Lun","Mar","Mié","Jue","Vie","Sáb","Dom"),"")</f>
        <v/>
      </c>
      <c r="D623" s="73" t="n"/>
      <c r="E623" s="74" t="n"/>
      <c r="F623" s="74" t="n"/>
      <c r="G623" s="74" t="n"/>
      <c r="H623" s="75" t="n"/>
      <c r="I623" s="75" t="n"/>
      <c r="J623" s="76" t="n"/>
      <c r="K623" s="77" t="str">
        <f>IF(AB623=1,ROUND(AG623/60,4),"")</f>
        <v/>
      </c>
      <c r="L623" s="77" t="str">
        <f>IF(BD623=1,ROUND(AP623/60,4),"")</f>
        <v/>
      </c>
      <c r="M623" s="77" t="str">
        <f>IF(BD623=1,ROUND(AQ623/60,4),"")</f>
        <v/>
      </c>
      <c r="N623" s="71" t="str">
        <f>IF(AND(D623="proMX",AB623=1),ROUND(AG623/CFG_BLK,2),"")</f>
        <v/>
      </c>
      <c r="O623" s="77" t="str">
        <f>IF(D623="proMX",IF(BD623=1,ROUND(AG623/60,4),0),"")</f>
        <v/>
      </c>
      <c r="P623" s="78" t="str">
        <f>IF(Y623=0,"",IF(BD623=1,"OK",IF(D623="proMX","Revisar bloques: ","Revisar: ")&amp;BC623))</f>
        <v/>
      </c>
      <c r="Q623" s="78" t="str">
        <f>IF(NOT(ISNUMBER(B623)),"",IF(COUNTIFS(FER_F,INT(B623))&gt;0,"Feriado"&amp;IF(AH623=1," (laborable)"," (no laborable)"),IF(AH623=1,"Laborable",IF(WEEKDAY(B623,2)&gt;5,"Fin de semana","No laborable"))))</f>
        <v/>
      </c>
      <c r="R623" s="73" t="n"/>
      <c r="S623" s="72" t="n"/>
      <c r="T623" s="72" t="n"/>
      <c r="U623" s="74" t="n"/>
      <c r="V623" s="79" t="str">
        <f>IF(AND(D623="proMX",OR(R623="Submitted",R623="Recall Requested"),ISNUMBER(S623)),CFG_TODAY-INT(S623),"")</f>
        <v/>
      </c>
      <c r="W623" s="78" t="str">
        <f>IF(BD623=0,"",IF(BA623&gt;0,"⚠ Se superpone con un registro de la otra empresa",IF(D623="Malcolm",IF(COUNTA(R623,S623,T623)&gt;0,"Estado/fechas proMX se ignoran en Malcolm",""),IF(BF623="Cancelled","Cancelado: excluido de totales",IF(R623="","Sin estado: se trata como Draft",IF(BF623="Submitted",IF(ISNUMBER(V623),IF(V623&gt;CFG_MAXD,"⚠ "&amp;V623&amp;" días en Submitted (máx. "&amp;CFG_MAXD&amp;")",""),"Falta fecha de envío"),IF(BF623="Returned","⚠ Devuelto: corregir y reenviar",IF(BF623="Recall Requested","Retirada solicitada: pendiente",IF(AND(BF623="Approved",NOT(ISNUMBER(T623))),"Falta fecha de aprobación",IF(AND(ISNUMBER(S623),ISNUMBER(T623),T623&lt;S623),"Aprobación anterior al envío","")))))))))</f>
        <v/>
      </c>
      <c r="Y623" s="80">
        <f>IF(COUNTA(B623,D623,E623,F623,G623,H623,I623,J623,R623,S623,T623)&gt;0,1,0)</f>
        <v>0</v>
      </c>
      <c r="Z623" s="80" t="str">
        <f>IF(AND(ISNUMBER(H623),H623&gt;=0,H623&lt;1),ROUND(H623*1440,0),"")</f>
        <v/>
      </c>
      <c r="AA623" s="80" t="str">
        <f>IF(AND(ISNUMBER(I623),I623&gt;=0,I623&lt;1),ROUND(I623*1440,0),"")</f>
        <v/>
      </c>
      <c r="AB623" s="80">
        <f>IF(AND(ISNUMBER(B623),D623&lt;&gt;"",ISNUMBER(Z623),ISNUMBER(AA623)),IF(Z623=AA623,0,1),0)</f>
        <v>0</v>
      </c>
      <c r="AC623" s="80">
        <f>IF(AB623=1,IF(AA623&lt;Z623,1,0),0)</f>
        <v>0</v>
      </c>
      <c r="AD623" s="80">
        <f>IF(AB623=1,IF(AC623=1,1440-Z623+AA623,AA623-Z623),0)</f>
        <v>0</v>
      </c>
      <c r="AE623" s="80">
        <f>IF(J623="",0,IF(ISNUMBER(J623),J623,-1))</f>
        <v>0</v>
      </c>
      <c r="AF623" s="80">
        <f>MIN(MAX(0,AE623),AD623)</f>
        <v>0</v>
      </c>
      <c r="AG623" s="80">
        <f>MAX(0,AD623-MAX(0,AE623))</f>
        <v>0</v>
      </c>
      <c r="AH623" s="80">
        <f>IF(ISNUMBER(B623),IF(AND(INDEX(CFG_WDAYS,WEEKDAY(INT(B623),2))="Sí",IF(D623="proMX",COUNTIFS(FER_F,INT(B623),FER_NLP,"Sí"),COUNTIFS(FER_F,INT(B623),FER_NLM,"Sí"))=0),1,0),0)</f>
        <v>0</v>
      </c>
      <c r="AI623" s="80">
        <f>IF(AC623=1,IF(AND(INDEX(CFG_WDAYS,WEEKDAY(INT(B623)+1,2))="Sí",IF(D623="proMX",COUNTIFS(FER_F,INT(B623)+1,FER_NLP,"Sí"),COUNTIFS(FER_F,INT(B623)+1,FER_NLM,"Sí"))=0),1,0),0)</f>
        <v>0</v>
      </c>
      <c r="AJ623" s="80">
        <f>IF(AC623=1,1440-Z623,AD623)</f>
        <v>0</v>
      </c>
      <c r="AK623" s="80">
        <f>IF(AND(AB623=1,AH623=1),MAX(0,MIN(IF(AC623=1,1440,AA623),CFG_WEM)-MAX(Z623,CFG_WSM)),0)</f>
        <v>0</v>
      </c>
      <c r="AL623" s="80">
        <f>IF(AND(AC623=1,AI623=1),MAX(0,MIN(AA623,CFG_WEM)-CFG_WSM),0)</f>
        <v>0</v>
      </c>
      <c r="AM623" s="80">
        <f>AK623+AL623</f>
        <v>0</v>
      </c>
      <c r="AN623" s="80">
        <f>IF(CFG_BRK="Proporcional",IF(AD623=0,0,AF623*AM623/AD623),IF(CFG_BRK="Extras primero",MIN(AM623,MAX(0,AF623-(AD623-AM623))),MIN(AF623,AM623)))</f>
        <v>0</v>
      </c>
      <c r="AO623" s="80">
        <f>AF623-AN623</f>
        <v>0</v>
      </c>
      <c r="AP623" s="80">
        <f>AM623-AN623</f>
        <v>0</v>
      </c>
      <c r="AQ623" s="80">
        <f>AD623-AM623-AO623</f>
        <v>0</v>
      </c>
      <c r="AR623" s="80">
        <f>IF(AM623=0,0,AK623-AN623*AK623/AM623)</f>
        <v>0</v>
      </c>
      <c r="AS623" s="80">
        <f>IF(AD623-AM623=0,0,(AJ623-AK623)-AO623*(AJ623-AK623)/(AD623-AM623))</f>
        <v>0</v>
      </c>
      <c r="AT623" s="80" t="str">
        <f>IF(AC623=1,INT(B623)+1,"")</f>
        <v/>
      </c>
      <c r="AU623" s="80">
        <f>IF(AND(D623="proMX",R623="Cancelled"),0,1)</f>
        <v>1</v>
      </c>
      <c r="AV623" s="80">
        <f>IF(AND(AB623=1,AU623=1),IF(COUNTIFS($D$5:D622,D623,$B$5:B622,B623,$Z$5:Z622,Z623,$AA$5:AA622,AA623,$F$5:F622,F623&amp;"",$AU$5:AU622,1)&gt;0,1,0),0)</f>
        <v>0</v>
      </c>
      <c r="AW623" s="80" t="str">
        <f>IF(AB623=1,INT(B623)*1440+Z623,"")</f>
        <v/>
      </c>
      <c r="AX623" s="80" t="str">
        <f>IF(AB623=1,AW623+AD623,"")</f>
        <v/>
      </c>
      <c r="AY623" s="80">
        <f>IF(AND(AB623=1,AV623=0,AU623=1),1,0)</f>
        <v>0</v>
      </c>
      <c r="AZ623" s="80">
        <f>IF(AY623=1,COUNTIFS(R_Emp,D623,R_SAbs,"&lt;"&amp;AX623,R_EAbs,"&gt;"&amp;AW623,R_OKey,1)-1,0)</f>
        <v>0</v>
      </c>
      <c r="BA623" s="80">
        <f>IF(AY623=1,COUNTIFS(R_Emp,"&lt;&gt;"&amp;D623,R_SAbs,"&lt;"&amp;AX623,R_EAbs,"&gt;"&amp;AW623,R_OKey,1),0)</f>
        <v>0</v>
      </c>
      <c r="BB623" s="80">
        <f>IF(AND(AB623=1,D623="proMX"),IF(AND(MOD(Z623,CFG_BLK)=0,MOD(AA623,CFG_BLK)=0,MOD(AG623,CFG_BLK)=0,AG623&gt;0),1,0),1)</f>
        <v>1</v>
      </c>
      <c r="BC623" s="80" t="str">
        <f>IF(Y623=0,"",IF(NOT(ISNUMBER(B623)),"Falta fecha o fecha inválida",IF(D623="","Falta empresa",IF(AND(D623&lt;&gt;"Malcolm",D623&lt;&gt;"proMX"),"Empresa inválida",IF(OR(INT(B623)&lt;CFG_PSTART,INT(B623)&gt;CFG_PEND),"Fecha fuera del período",IF(OR(NOT(ISNUMBER(Z623)),NOT(ISNUMBER(AA623))),"Falta hora inicio/fin o formato inválido",IF(AB623=0,"Hora inicio = hora fin",IF(AE623&lt;0,"Descanso inválido",IF(AE623&gt;=AD623,"Descanso ≥ duración",IF(AV623=1,"Registro duplicado",IF(AZ623&gt;0,"Se superpone con otro registro "&amp;D623,IF(BB623=0,"inicio, fin y duración neta deben ser múltiplos de "&amp;CFG_BLK&amp;" min",""))))))))))))</f>
        <v/>
      </c>
      <c r="BD623" s="80">
        <f>IF(AND(Y623=1,BC623=""),1,0)</f>
        <v>0</v>
      </c>
      <c r="BE623" s="80">
        <f>IF(AND(BD623=1,AU623=1),1,0)</f>
        <v>0</v>
      </c>
      <c r="BF623" s="80" t="str">
        <f>IF(AND(D623="proMX",BD623=1),IF(R623="","Draft",R623),"")</f>
        <v/>
      </c>
      <c r="BG623" s="80">
        <f>IF(BD623=1,ROUND(AG623/60,6),0)</f>
        <v>0</v>
      </c>
      <c r="BH623" s="80">
        <f>IF(BE623=1,ROUND(AG623/60,6),0)</f>
        <v>0</v>
      </c>
      <c r="BI623" s="80">
        <f>IF(BE623=1,ROUND(AP623/60,6),0)</f>
        <v>0</v>
      </c>
      <c r="BJ623" s="80">
        <f>IF(BE623=1,ROUND(AQ623/60,6),0)</f>
        <v>0</v>
      </c>
      <c r="BK623" s="80">
        <f>IF(BE623=1,ROUND((AR623+AS623)/60,6),0)</f>
        <v>0</v>
      </c>
      <c r="BL623" s="80">
        <f>ROUND(BH623-BK623,6)</f>
        <v>0</v>
      </c>
      <c r="BM623" s="80">
        <f>IF(BE623=1,ROUND(AR623/60,6),0)</f>
        <v>0</v>
      </c>
      <c r="BN623" s="80">
        <f>ROUND(BI623-BM623,6)</f>
        <v>0</v>
      </c>
      <c r="BO623" s="80">
        <f>IF(BE623=1,ROUND(AS623/60,6),0)</f>
        <v>0</v>
      </c>
      <c r="BP623" s="80">
        <f>ROUND(BJ623-BO623,6)</f>
        <v>0</v>
      </c>
      <c r="BQ623" s="80">
        <f>IF(BE623=1,AW623,0)</f>
        <v>0</v>
      </c>
      <c r="BR623" s="80">
        <f>IF(BE623=1,AX623,0)</f>
        <v>0</v>
      </c>
      <c r="BS623" s="80">
        <f>IF(AND(BE623=1,D623="Malcolm",BA623&gt;0),MIN(BH623,SUMPRODUCT((R_Emp="proMX")*(R_EN&gt;0)*((R_EN-(R_EN&gt;BR623)*(R_EN-BR623))&gt;(R_SN+(R_SN&lt;BQ623)*(BQ623-R_SN)))*((R_EN-(R_EN&gt;BR623)*(R_EN-BR623))-(R_SN+(R_SN&lt;BQ623)*(BQ623-R_SN))))/60),0)</f>
        <v>0</v>
      </c>
      <c r="BT623" s="80">
        <f>IF(AND(BE623=1,D623="proMX"),ROUND(BI623*CFG_RATE+BJ623*CFG_OTRATE,6),0)</f>
        <v>0</v>
      </c>
      <c r="BU623" s="80">
        <f>IF(AND(BD623=1,D623="proMX"),ROUND(AG623/CFG_BLK,6),0)</f>
        <v>0</v>
      </c>
      <c r="BV623" s="80" t="str">
        <f>IF(BF623="Approved",IF(ISNUMBER(T623),INT(T623),INT(B623)),"")</f>
        <v/>
      </c>
      <c r="BW623" s="80">
        <f>IF(ISNUMBER(B623),IF(DB_MON="Todos",1,IF(AND(INT(B623)&gt;=DB_MS,INT(B623)&lt;=DB_ME),1,0)),0)</f>
        <v>0</v>
      </c>
      <c r="BX623" s="80">
        <f>IF(DB_PROJ="Todos",1,IF(E623&amp;""=DB_PROJ&amp;"",1,0))</f>
        <v>1</v>
      </c>
      <c r="BY623" s="80">
        <f>BW623*BX623</f>
        <v>0</v>
      </c>
      <c r="BZ623" s="80" t="str">
        <f>IF(Y623=1,F623&amp;IF(AND(F623&amp;""&lt;&gt;"",E623&amp;""&lt;&gt;"")," · ","")&amp;E623,"")</f>
        <v/>
      </c>
      <c r="CA623" s="80" t="str">
        <f>IF(AND(BD623=1,E623&amp;""&lt;&gt;""),IF(COUNTIFS($E$5:E622,E623,$BD$5:BD622,1)=0,MAX($CA$5:CA622)+1,""),"")</f>
        <v/>
      </c>
      <c r="CB623" s="80" t="str">
        <f>IF(AND(BE623=1,D623="Malcolm",E623&amp;""&lt;&gt;""),IF(COUNTIFS($D$5:D622,"Malcolm",$E$5:E622,E623,$BE$5:BE622,1)=0,MAX($CB$5:CB622)+1,""),"")</f>
        <v/>
      </c>
      <c r="CC623" s="80" t="str">
        <f>IF(AND(BD623=1,D623="proMX",E623&amp;""&lt;&gt;""),IF(COUNTIFS($D$5:D622,"proMX",$E$5:E622,E623,$BD$5:BD622,1)=0,MAX($CC$5:CC622)+1,""),"")</f>
        <v/>
      </c>
      <c r="CD623" s="80" t="str">
        <f>IF(AND(BE623=1,D623="Malcolm",F623&amp;""&lt;&gt;""),IF(COUNTIFS($D$5:D622,"Malcolm",$F$5:F622,F623,$BE$5:BE622,1)=0,MAX($CD$5:CD622)+1,""),"")</f>
        <v/>
      </c>
      <c r="CE623" s="80" t="str">
        <f>IF(AND(BD623=1,D623="proMX",F623&amp;""&lt;&gt;""),IF(COUNTIFS($D$5:D622,"proMX",$F$5:F622,F623,$BD$5:BD622,1)=0,MAX($CE$5:CE622)+1,""),"")</f>
        <v/>
      </c>
      <c r="CF623" s="80" t="str">
        <f>IF(AND(D623="proMX",BD623=1),IF(OR(BF623="Draft",BF623="Submitted",BF623="Returned",BF623="Recall Requested"),MAX($CF$5:CF622)+1,""),"")</f>
        <v/>
      </c>
      <c r="CG623" s="80">
        <f>IF(BD623=0,0,IF(D623="Malcolm",1,MATCH(BF623,{"Draft","Submitted","Approved","Returned","Recall Requested","Cancelled"},0)+1))</f>
        <v>0</v>
      </c>
      <c r="CH623" s="80">
        <f>IF(AND(BF623="Submitted",ISNUMBER(V623)),IF(V623&gt;CFG_MAXD,1,0),0)</f>
        <v>0</v>
      </c>
    </row>
    <row r="624">
      <c r="A624" s="71" t="str">
        <f>IF(Y624=1,ROW()-5,"")</f>
        <v/>
      </c>
      <c r="B624" s="72" t="n"/>
      <c r="C624" s="71" t="str">
        <f>IF(ISNUMBER(B624),CHOOSE(WEEKDAY(B624,2),"Lun","Mar","Mié","Jue","Vie","Sáb","Dom"),"")</f>
        <v/>
      </c>
      <c r="D624" s="73" t="n"/>
      <c r="E624" s="74" t="n"/>
      <c r="F624" s="74" t="n"/>
      <c r="G624" s="74" t="n"/>
      <c r="H624" s="75" t="n"/>
      <c r="I624" s="75" t="n"/>
      <c r="J624" s="76" t="n"/>
      <c r="K624" s="77" t="str">
        <f>IF(AB624=1,ROUND(AG624/60,4),"")</f>
        <v/>
      </c>
      <c r="L624" s="77" t="str">
        <f>IF(BD624=1,ROUND(AP624/60,4),"")</f>
        <v/>
      </c>
      <c r="M624" s="77" t="str">
        <f>IF(BD624=1,ROUND(AQ624/60,4),"")</f>
        <v/>
      </c>
      <c r="N624" s="71" t="str">
        <f>IF(AND(D624="proMX",AB624=1),ROUND(AG624/CFG_BLK,2),"")</f>
        <v/>
      </c>
      <c r="O624" s="77" t="str">
        <f>IF(D624="proMX",IF(BD624=1,ROUND(AG624/60,4),0),"")</f>
        <v/>
      </c>
      <c r="P624" s="78" t="str">
        <f>IF(Y624=0,"",IF(BD624=1,"OK",IF(D624="proMX","Revisar bloques: ","Revisar: ")&amp;BC624))</f>
        <v/>
      </c>
      <c r="Q624" s="78" t="str">
        <f>IF(NOT(ISNUMBER(B624)),"",IF(COUNTIFS(FER_F,INT(B624))&gt;0,"Feriado"&amp;IF(AH624=1," (laborable)"," (no laborable)"),IF(AH624=1,"Laborable",IF(WEEKDAY(B624,2)&gt;5,"Fin de semana","No laborable"))))</f>
        <v/>
      </c>
      <c r="R624" s="73" t="n"/>
      <c r="S624" s="72" t="n"/>
      <c r="T624" s="72" t="n"/>
      <c r="U624" s="74" t="n"/>
      <c r="V624" s="79" t="str">
        <f>IF(AND(D624="proMX",OR(R624="Submitted",R624="Recall Requested"),ISNUMBER(S624)),CFG_TODAY-INT(S624),"")</f>
        <v/>
      </c>
      <c r="W624" s="78" t="str">
        <f>IF(BD624=0,"",IF(BA624&gt;0,"⚠ Se superpone con un registro de la otra empresa",IF(D624="Malcolm",IF(COUNTA(R624,S624,T624)&gt;0,"Estado/fechas proMX se ignoran en Malcolm",""),IF(BF624="Cancelled","Cancelado: excluido de totales",IF(R624="","Sin estado: se trata como Draft",IF(BF624="Submitted",IF(ISNUMBER(V624),IF(V624&gt;CFG_MAXD,"⚠ "&amp;V624&amp;" días en Submitted (máx. "&amp;CFG_MAXD&amp;")",""),"Falta fecha de envío"),IF(BF624="Returned","⚠ Devuelto: corregir y reenviar",IF(BF624="Recall Requested","Retirada solicitada: pendiente",IF(AND(BF624="Approved",NOT(ISNUMBER(T624))),"Falta fecha de aprobación",IF(AND(ISNUMBER(S624),ISNUMBER(T624),T624&lt;S624),"Aprobación anterior al envío","")))))))))</f>
        <v/>
      </c>
      <c r="Y624" s="80">
        <f>IF(COUNTA(B624,D624,E624,F624,G624,H624,I624,J624,R624,S624,T624)&gt;0,1,0)</f>
        <v>0</v>
      </c>
      <c r="Z624" s="80" t="str">
        <f>IF(AND(ISNUMBER(H624),H624&gt;=0,H624&lt;1),ROUND(H624*1440,0),"")</f>
        <v/>
      </c>
      <c r="AA624" s="80" t="str">
        <f>IF(AND(ISNUMBER(I624),I624&gt;=0,I624&lt;1),ROUND(I624*1440,0),"")</f>
        <v/>
      </c>
      <c r="AB624" s="80">
        <f>IF(AND(ISNUMBER(B624),D624&lt;&gt;"",ISNUMBER(Z624),ISNUMBER(AA624)),IF(Z624=AA624,0,1),0)</f>
        <v>0</v>
      </c>
      <c r="AC624" s="80">
        <f>IF(AB624=1,IF(AA624&lt;Z624,1,0),0)</f>
        <v>0</v>
      </c>
      <c r="AD624" s="80">
        <f>IF(AB624=1,IF(AC624=1,1440-Z624+AA624,AA624-Z624),0)</f>
        <v>0</v>
      </c>
      <c r="AE624" s="80">
        <f>IF(J624="",0,IF(ISNUMBER(J624),J624,-1))</f>
        <v>0</v>
      </c>
      <c r="AF624" s="80">
        <f>MIN(MAX(0,AE624),AD624)</f>
        <v>0</v>
      </c>
      <c r="AG624" s="80">
        <f>MAX(0,AD624-MAX(0,AE624))</f>
        <v>0</v>
      </c>
      <c r="AH624" s="80">
        <f>IF(ISNUMBER(B624),IF(AND(INDEX(CFG_WDAYS,WEEKDAY(INT(B624),2))="Sí",IF(D624="proMX",COUNTIFS(FER_F,INT(B624),FER_NLP,"Sí"),COUNTIFS(FER_F,INT(B624),FER_NLM,"Sí"))=0),1,0),0)</f>
        <v>0</v>
      </c>
      <c r="AI624" s="80">
        <f>IF(AC624=1,IF(AND(INDEX(CFG_WDAYS,WEEKDAY(INT(B624)+1,2))="Sí",IF(D624="proMX",COUNTIFS(FER_F,INT(B624)+1,FER_NLP,"Sí"),COUNTIFS(FER_F,INT(B624)+1,FER_NLM,"Sí"))=0),1,0),0)</f>
        <v>0</v>
      </c>
      <c r="AJ624" s="80">
        <f>IF(AC624=1,1440-Z624,AD624)</f>
        <v>0</v>
      </c>
      <c r="AK624" s="80">
        <f>IF(AND(AB624=1,AH624=1),MAX(0,MIN(IF(AC624=1,1440,AA624),CFG_WEM)-MAX(Z624,CFG_WSM)),0)</f>
        <v>0</v>
      </c>
      <c r="AL624" s="80">
        <f>IF(AND(AC624=1,AI624=1),MAX(0,MIN(AA624,CFG_WEM)-CFG_WSM),0)</f>
        <v>0</v>
      </c>
      <c r="AM624" s="80">
        <f>AK624+AL624</f>
        <v>0</v>
      </c>
      <c r="AN624" s="80">
        <f>IF(CFG_BRK="Proporcional",IF(AD624=0,0,AF624*AM624/AD624),IF(CFG_BRK="Extras primero",MIN(AM624,MAX(0,AF624-(AD624-AM624))),MIN(AF624,AM624)))</f>
        <v>0</v>
      </c>
      <c r="AO624" s="80">
        <f>AF624-AN624</f>
        <v>0</v>
      </c>
      <c r="AP624" s="80">
        <f>AM624-AN624</f>
        <v>0</v>
      </c>
      <c r="AQ624" s="80">
        <f>AD624-AM624-AO624</f>
        <v>0</v>
      </c>
      <c r="AR624" s="80">
        <f>IF(AM624=0,0,AK624-AN624*AK624/AM624)</f>
        <v>0</v>
      </c>
      <c r="AS624" s="80">
        <f>IF(AD624-AM624=0,0,(AJ624-AK624)-AO624*(AJ624-AK624)/(AD624-AM624))</f>
        <v>0</v>
      </c>
      <c r="AT624" s="80" t="str">
        <f>IF(AC624=1,INT(B624)+1,"")</f>
        <v/>
      </c>
      <c r="AU624" s="80">
        <f>IF(AND(D624="proMX",R624="Cancelled"),0,1)</f>
        <v>1</v>
      </c>
      <c r="AV624" s="80">
        <f>IF(AND(AB624=1,AU624=1),IF(COUNTIFS($D$5:D623,D624,$B$5:B623,B624,$Z$5:Z623,Z624,$AA$5:AA623,AA624,$F$5:F623,F624&amp;"",$AU$5:AU623,1)&gt;0,1,0),0)</f>
        <v>0</v>
      </c>
      <c r="AW624" s="80" t="str">
        <f>IF(AB624=1,INT(B624)*1440+Z624,"")</f>
        <v/>
      </c>
      <c r="AX624" s="80" t="str">
        <f>IF(AB624=1,AW624+AD624,"")</f>
        <v/>
      </c>
      <c r="AY624" s="80">
        <f>IF(AND(AB624=1,AV624=0,AU624=1),1,0)</f>
        <v>0</v>
      </c>
      <c r="AZ624" s="80">
        <f>IF(AY624=1,COUNTIFS(R_Emp,D624,R_SAbs,"&lt;"&amp;AX624,R_EAbs,"&gt;"&amp;AW624,R_OKey,1)-1,0)</f>
        <v>0</v>
      </c>
      <c r="BA624" s="80">
        <f>IF(AY624=1,COUNTIFS(R_Emp,"&lt;&gt;"&amp;D624,R_SAbs,"&lt;"&amp;AX624,R_EAbs,"&gt;"&amp;AW624,R_OKey,1),0)</f>
        <v>0</v>
      </c>
      <c r="BB624" s="80">
        <f>IF(AND(AB624=1,D624="proMX"),IF(AND(MOD(Z624,CFG_BLK)=0,MOD(AA624,CFG_BLK)=0,MOD(AG624,CFG_BLK)=0,AG624&gt;0),1,0),1)</f>
        <v>1</v>
      </c>
      <c r="BC624" s="80" t="str">
        <f>IF(Y624=0,"",IF(NOT(ISNUMBER(B624)),"Falta fecha o fecha inválida",IF(D624="","Falta empresa",IF(AND(D624&lt;&gt;"Malcolm",D624&lt;&gt;"proMX"),"Empresa inválida",IF(OR(INT(B624)&lt;CFG_PSTART,INT(B624)&gt;CFG_PEND),"Fecha fuera del período",IF(OR(NOT(ISNUMBER(Z624)),NOT(ISNUMBER(AA624))),"Falta hora inicio/fin o formato inválido",IF(AB624=0,"Hora inicio = hora fin",IF(AE624&lt;0,"Descanso inválido",IF(AE624&gt;=AD624,"Descanso ≥ duración",IF(AV624=1,"Registro duplicado",IF(AZ624&gt;0,"Se superpone con otro registro "&amp;D624,IF(BB624=0,"inicio, fin y duración neta deben ser múltiplos de "&amp;CFG_BLK&amp;" min",""))))))))))))</f>
        <v/>
      </c>
      <c r="BD624" s="80">
        <f>IF(AND(Y624=1,BC624=""),1,0)</f>
        <v>0</v>
      </c>
      <c r="BE624" s="80">
        <f>IF(AND(BD624=1,AU624=1),1,0)</f>
        <v>0</v>
      </c>
      <c r="BF624" s="80" t="str">
        <f>IF(AND(D624="proMX",BD624=1),IF(R624="","Draft",R624),"")</f>
        <v/>
      </c>
      <c r="BG624" s="80">
        <f>IF(BD624=1,ROUND(AG624/60,6),0)</f>
        <v>0</v>
      </c>
      <c r="BH624" s="80">
        <f>IF(BE624=1,ROUND(AG624/60,6),0)</f>
        <v>0</v>
      </c>
      <c r="BI624" s="80">
        <f>IF(BE624=1,ROUND(AP624/60,6),0)</f>
        <v>0</v>
      </c>
      <c r="BJ624" s="80">
        <f>IF(BE624=1,ROUND(AQ624/60,6),0)</f>
        <v>0</v>
      </c>
      <c r="BK624" s="80">
        <f>IF(BE624=1,ROUND((AR624+AS624)/60,6),0)</f>
        <v>0</v>
      </c>
      <c r="BL624" s="80">
        <f>ROUND(BH624-BK624,6)</f>
        <v>0</v>
      </c>
      <c r="BM624" s="80">
        <f>IF(BE624=1,ROUND(AR624/60,6),0)</f>
        <v>0</v>
      </c>
      <c r="BN624" s="80">
        <f>ROUND(BI624-BM624,6)</f>
        <v>0</v>
      </c>
      <c r="BO624" s="80">
        <f>IF(BE624=1,ROUND(AS624/60,6),0)</f>
        <v>0</v>
      </c>
      <c r="BP624" s="80">
        <f>ROUND(BJ624-BO624,6)</f>
        <v>0</v>
      </c>
      <c r="BQ624" s="80">
        <f>IF(BE624=1,AW624,0)</f>
        <v>0</v>
      </c>
      <c r="BR624" s="80">
        <f>IF(BE624=1,AX624,0)</f>
        <v>0</v>
      </c>
      <c r="BS624" s="80">
        <f>IF(AND(BE624=1,D624="Malcolm",BA624&gt;0),MIN(BH624,SUMPRODUCT((R_Emp="proMX")*(R_EN&gt;0)*((R_EN-(R_EN&gt;BR624)*(R_EN-BR624))&gt;(R_SN+(R_SN&lt;BQ624)*(BQ624-R_SN)))*((R_EN-(R_EN&gt;BR624)*(R_EN-BR624))-(R_SN+(R_SN&lt;BQ624)*(BQ624-R_SN))))/60),0)</f>
        <v>0</v>
      </c>
      <c r="BT624" s="80">
        <f>IF(AND(BE624=1,D624="proMX"),ROUND(BI624*CFG_RATE+BJ624*CFG_OTRATE,6),0)</f>
        <v>0</v>
      </c>
      <c r="BU624" s="80">
        <f>IF(AND(BD624=1,D624="proMX"),ROUND(AG624/CFG_BLK,6),0)</f>
        <v>0</v>
      </c>
      <c r="BV624" s="80" t="str">
        <f>IF(BF624="Approved",IF(ISNUMBER(T624),INT(T624),INT(B624)),"")</f>
        <v/>
      </c>
      <c r="BW624" s="80">
        <f>IF(ISNUMBER(B624),IF(DB_MON="Todos",1,IF(AND(INT(B624)&gt;=DB_MS,INT(B624)&lt;=DB_ME),1,0)),0)</f>
        <v>0</v>
      </c>
      <c r="BX624" s="80">
        <f>IF(DB_PROJ="Todos",1,IF(E624&amp;""=DB_PROJ&amp;"",1,0))</f>
        <v>1</v>
      </c>
      <c r="BY624" s="80">
        <f>BW624*BX624</f>
        <v>0</v>
      </c>
      <c r="BZ624" s="80" t="str">
        <f>IF(Y624=1,F624&amp;IF(AND(F624&amp;""&lt;&gt;"",E624&amp;""&lt;&gt;"")," · ","")&amp;E624,"")</f>
        <v/>
      </c>
      <c r="CA624" s="80" t="str">
        <f>IF(AND(BD624=1,E624&amp;""&lt;&gt;""),IF(COUNTIFS($E$5:E623,E624,$BD$5:BD623,1)=0,MAX($CA$5:CA623)+1,""),"")</f>
        <v/>
      </c>
      <c r="CB624" s="80" t="str">
        <f>IF(AND(BE624=1,D624="Malcolm",E624&amp;""&lt;&gt;""),IF(COUNTIFS($D$5:D623,"Malcolm",$E$5:E623,E624,$BE$5:BE623,1)=0,MAX($CB$5:CB623)+1,""),"")</f>
        <v/>
      </c>
      <c r="CC624" s="80" t="str">
        <f>IF(AND(BD624=1,D624="proMX",E624&amp;""&lt;&gt;""),IF(COUNTIFS($D$5:D623,"proMX",$E$5:E623,E624,$BD$5:BD623,1)=0,MAX($CC$5:CC623)+1,""),"")</f>
        <v/>
      </c>
      <c r="CD624" s="80" t="str">
        <f>IF(AND(BE624=1,D624="Malcolm",F624&amp;""&lt;&gt;""),IF(COUNTIFS($D$5:D623,"Malcolm",$F$5:F623,F624,$BE$5:BE623,1)=0,MAX($CD$5:CD623)+1,""),"")</f>
        <v/>
      </c>
      <c r="CE624" s="80" t="str">
        <f>IF(AND(BD624=1,D624="proMX",F624&amp;""&lt;&gt;""),IF(COUNTIFS($D$5:D623,"proMX",$F$5:F623,F624,$BD$5:BD623,1)=0,MAX($CE$5:CE623)+1,""),"")</f>
        <v/>
      </c>
      <c r="CF624" s="80" t="str">
        <f>IF(AND(D624="proMX",BD624=1),IF(OR(BF624="Draft",BF624="Submitted",BF624="Returned",BF624="Recall Requested"),MAX($CF$5:CF623)+1,""),"")</f>
        <v/>
      </c>
      <c r="CG624" s="80">
        <f>IF(BD624=0,0,IF(D624="Malcolm",1,MATCH(BF624,{"Draft","Submitted","Approved","Returned","Recall Requested","Cancelled"},0)+1))</f>
        <v>0</v>
      </c>
      <c r="CH624" s="80">
        <f>IF(AND(BF624="Submitted",ISNUMBER(V624)),IF(V624&gt;CFG_MAXD,1,0),0)</f>
        <v>0</v>
      </c>
    </row>
    <row r="625">
      <c r="A625" s="71" t="str">
        <f>IF(Y625=1,ROW()-5,"")</f>
        <v/>
      </c>
      <c r="B625" s="72" t="n"/>
      <c r="C625" s="71" t="str">
        <f>IF(ISNUMBER(B625),CHOOSE(WEEKDAY(B625,2),"Lun","Mar","Mié","Jue","Vie","Sáb","Dom"),"")</f>
        <v/>
      </c>
      <c r="D625" s="73" t="n"/>
      <c r="E625" s="74" t="n"/>
      <c r="F625" s="74" t="n"/>
      <c r="G625" s="74" t="n"/>
      <c r="H625" s="75" t="n"/>
      <c r="I625" s="75" t="n"/>
      <c r="J625" s="76" t="n"/>
      <c r="K625" s="77" t="str">
        <f>IF(AB625=1,ROUND(AG625/60,4),"")</f>
        <v/>
      </c>
      <c r="L625" s="77" t="str">
        <f>IF(BD625=1,ROUND(AP625/60,4),"")</f>
        <v/>
      </c>
      <c r="M625" s="77" t="str">
        <f>IF(BD625=1,ROUND(AQ625/60,4),"")</f>
        <v/>
      </c>
      <c r="N625" s="71" t="str">
        <f>IF(AND(D625="proMX",AB625=1),ROUND(AG625/CFG_BLK,2),"")</f>
        <v/>
      </c>
      <c r="O625" s="77" t="str">
        <f>IF(D625="proMX",IF(BD625=1,ROUND(AG625/60,4),0),"")</f>
        <v/>
      </c>
      <c r="P625" s="78" t="str">
        <f>IF(Y625=0,"",IF(BD625=1,"OK",IF(D625="proMX","Revisar bloques: ","Revisar: ")&amp;BC625))</f>
        <v/>
      </c>
      <c r="Q625" s="78" t="str">
        <f>IF(NOT(ISNUMBER(B625)),"",IF(COUNTIFS(FER_F,INT(B625))&gt;0,"Feriado"&amp;IF(AH625=1," (laborable)"," (no laborable)"),IF(AH625=1,"Laborable",IF(WEEKDAY(B625,2)&gt;5,"Fin de semana","No laborable"))))</f>
        <v/>
      </c>
      <c r="R625" s="73" t="n"/>
      <c r="S625" s="72" t="n"/>
      <c r="T625" s="72" t="n"/>
      <c r="U625" s="74" t="n"/>
      <c r="V625" s="79" t="str">
        <f>IF(AND(D625="proMX",OR(R625="Submitted",R625="Recall Requested"),ISNUMBER(S625)),CFG_TODAY-INT(S625),"")</f>
        <v/>
      </c>
      <c r="W625" s="78" t="str">
        <f>IF(BD625=0,"",IF(BA625&gt;0,"⚠ Se superpone con un registro de la otra empresa",IF(D625="Malcolm",IF(COUNTA(R625,S625,T625)&gt;0,"Estado/fechas proMX se ignoran en Malcolm",""),IF(BF625="Cancelled","Cancelado: excluido de totales",IF(R625="","Sin estado: se trata como Draft",IF(BF625="Submitted",IF(ISNUMBER(V625),IF(V625&gt;CFG_MAXD,"⚠ "&amp;V625&amp;" días en Submitted (máx. "&amp;CFG_MAXD&amp;")",""),"Falta fecha de envío"),IF(BF625="Returned","⚠ Devuelto: corregir y reenviar",IF(BF625="Recall Requested","Retirada solicitada: pendiente",IF(AND(BF625="Approved",NOT(ISNUMBER(T625))),"Falta fecha de aprobación",IF(AND(ISNUMBER(S625),ISNUMBER(T625),T625&lt;S625),"Aprobación anterior al envío","")))))))))</f>
        <v/>
      </c>
      <c r="Y625" s="80">
        <f>IF(COUNTA(B625,D625,E625,F625,G625,H625,I625,J625,R625,S625,T625)&gt;0,1,0)</f>
        <v>0</v>
      </c>
      <c r="Z625" s="80" t="str">
        <f>IF(AND(ISNUMBER(H625),H625&gt;=0,H625&lt;1),ROUND(H625*1440,0),"")</f>
        <v/>
      </c>
      <c r="AA625" s="80" t="str">
        <f>IF(AND(ISNUMBER(I625),I625&gt;=0,I625&lt;1),ROUND(I625*1440,0),"")</f>
        <v/>
      </c>
      <c r="AB625" s="80">
        <f>IF(AND(ISNUMBER(B625),D625&lt;&gt;"",ISNUMBER(Z625),ISNUMBER(AA625)),IF(Z625=AA625,0,1),0)</f>
        <v>0</v>
      </c>
      <c r="AC625" s="80">
        <f>IF(AB625=1,IF(AA625&lt;Z625,1,0),0)</f>
        <v>0</v>
      </c>
      <c r="AD625" s="80">
        <f>IF(AB625=1,IF(AC625=1,1440-Z625+AA625,AA625-Z625),0)</f>
        <v>0</v>
      </c>
      <c r="AE625" s="80">
        <f>IF(J625="",0,IF(ISNUMBER(J625),J625,-1))</f>
        <v>0</v>
      </c>
      <c r="AF625" s="80">
        <f>MIN(MAX(0,AE625),AD625)</f>
        <v>0</v>
      </c>
      <c r="AG625" s="80">
        <f>MAX(0,AD625-MAX(0,AE625))</f>
        <v>0</v>
      </c>
      <c r="AH625" s="80">
        <f>IF(ISNUMBER(B625),IF(AND(INDEX(CFG_WDAYS,WEEKDAY(INT(B625),2))="Sí",IF(D625="proMX",COUNTIFS(FER_F,INT(B625),FER_NLP,"Sí"),COUNTIFS(FER_F,INT(B625),FER_NLM,"Sí"))=0),1,0),0)</f>
        <v>0</v>
      </c>
      <c r="AI625" s="80">
        <f>IF(AC625=1,IF(AND(INDEX(CFG_WDAYS,WEEKDAY(INT(B625)+1,2))="Sí",IF(D625="proMX",COUNTIFS(FER_F,INT(B625)+1,FER_NLP,"Sí"),COUNTIFS(FER_F,INT(B625)+1,FER_NLM,"Sí"))=0),1,0),0)</f>
        <v>0</v>
      </c>
      <c r="AJ625" s="80">
        <f>IF(AC625=1,1440-Z625,AD625)</f>
        <v>0</v>
      </c>
      <c r="AK625" s="80">
        <f>IF(AND(AB625=1,AH625=1),MAX(0,MIN(IF(AC625=1,1440,AA625),CFG_WEM)-MAX(Z625,CFG_WSM)),0)</f>
        <v>0</v>
      </c>
      <c r="AL625" s="80">
        <f>IF(AND(AC625=1,AI625=1),MAX(0,MIN(AA625,CFG_WEM)-CFG_WSM),0)</f>
        <v>0</v>
      </c>
      <c r="AM625" s="80">
        <f>AK625+AL625</f>
        <v>0</v>
      </c>
      <c r="AN625" s="80">
        <f>IF(CFG_BRK="Proporcional",IF(AD625=0,0,AF625*AM625/AD625),IF(CFG_BRK="Extras primero",MIN(AM625,MAX(0,AF625-(AD625-AM625))),MIN(AF625,AM625)))</f>
        <v>0</v>
      </c>
      <c r="AO625" s="80">
        <f>AF625-AN625</f>
        <v>0</v>
      </c>
      <c r="AP625" s="80">
        <f>AM625-AN625</f>
        <v>0</v>
      </c>
      <c r="AQ625" s="80">
        <f>AD625-AM625-AO625</f>
        <v>0</v>
      </c>
      <c r="AR625" s="80">
        <f>IF(AM625=0,0,AK625-AN625*AK625/AM625)</f>
        <v>0</v>
      </c>
      <c r="AS625" s="80">
        <f>IF(AD625-AM625=0,0,(AJ625-AK625)-AO625*(AJ625-AK625)/(AD625-AM625))</f>
        <v>0</v>
      </c>
      <c r="AT625" s="80" t="str">
        <f>IF(AC625=1,INT(B625)+1,"")</f>
        <v/>
      </c>
      <c r="AU625" s="80">
        <f>IF(AND(D625="proMX",R625="Cancelled"),0,1)</f>
        <v>1</v>
      </c>
      <c r="AV625" s="80">
        <f>IF(AND(AB625=1,AU625=1),IF(COUNTIFS($D$5:D624,D625,$B$5:B624,B625,$Z$5:Z624,Z625,$AA$5:AA624,AA625,$F$5:F624,F625&amp;"",$AU$5:AU624,1)&gt;0,1,0),0)</f>
        <v>0</v>
      </c>
      <c r="AW625" s="80" t="str">
        <f>IF(AB625=1,INT(B625)*1440+Z625,"")</f>
        <v/>
      </c>
      <c r="AX625" s="80" t="str">
        <f>IF(AB625=1,AW625+AD625,"")</f>
        <v/>
      </c>
      <c r="AY625" s="80">
        <f>IF(AND(AB625=1,AV625=0,AU625=1),1,0)</f>
        <v>0</v>
      </c>
      <c r="AZ625" s="80">
        <f>IF(AY625=1,COUNTIFS(R_Emp,D625,R_SAbs,"&lt;"&amp;AX625,R_EAbs,"&gt;"&amp;AW625,R_OKey,1)-1,0)</f>
        <v>0</v>
      </c>
      <c r="BA625" s="80">
        <f>IF(AY625=1,COUNTIFS(R_Emp,"&lt;&gt;"&amp;D625,R_SAbs,"&lt;"&amp;AX625,R_EAbs,"&gt;"&amp;AW625,R_OKey,1),0)</f>
        <v>0</v>
      </c>
      <c r="BB625" s="80">
        <f>IF(AND(AB625=1,D625="proMX"),IF(AND(MOD(Z625,CFG_BLK)=0,MOD(AA625,CFG_BLK)=0,MOD(AG625,CFG_BLK)=0,AG625&gt;0),1,0),1)</f>
        <v>1</v>
      </c>
      <c r="BC625" s="80" t="str">
        <f>IF(Y625=0,"",IF(NOT(ISNUMBER(B625)),"Falta fecha o fecha inválida",IF(D625="","Falta empresa",IF(AND(D625&lt;&gt;"Malcolm",D625&lt;&gt;"proMX"),"Empresa inválida",IF(OR(INT(B625)&lt;CFG_PSTART,INT(B625)&gt;CFG_PEND),"Fecha fuera del período",IF(OR(NOT(ISNUMBER(Z625)),NOT(ISNUMBER(AA625))),"Falta hora inicio/fin o formato inválido",IF(AB625=0,"Hora inicio = hora fin",IF(AE625&lt;0,"Descanso inválido",IF(AE625&gt;=AD625,"Descanso ≥ duración",IF(AV625=1,"Registro duplicado",IF(AZ625&gt;0,"Se superpone con otro registro "&amp;D625,IF(BB625=0,"inicio, fin y duración neta deben ser múltiplos de "&amp;CFG_BLK&amp;" min",""))))))))))))</f>
        <v/>
      </c>
      <c r="BD625" s="80">
        <f>IF(AND(Y625=1,BC625=""),1,0)</f>
        <v>0</v>
      </c>
      <c r="BE625" s="80">
        <f>IF(AND(BD625=1,AU625=1),1,0)</f>
        <v>0</v>
      </c>
      <c r="BF625" s="80" t="str">
        <f>IF(AND(D625="proMX",BD625=1),IF(R625="","Draft",R625),"")</f>
        <v/>
      </c>
      <c r="BG625" s="80">
        <f>IF(BD625=1,ROUND(AG625/60,6),0)</f>
        <v>0</v>
      </c>
      <c r="BH625" s="80">
        <f>IF(BE625=1,ROUND(AG625/60,6),0)</f>
        <v>0</v>
      </c>
      <c r="BI625" s="80">
        <f>IF(BE625=1,ROUND(AP625/60,6),0)</f>
        <v>0</v>
      </c>
      <c r="BJ625" s="80">
        <f>IF(BE625=1,ROUND(AQ625/60,6),0)</f>
        <v>0</v>
      </c>
      <c r="BK625" s="80">
        <f>IF(BE625=1,ROUND((AR625+AS625)/60,6),0)</f>
        <v>0</v>
      </c>
      <c r="BL625" s="80">
        <f>ROUND(BH625-BK625,6)</f>
        <v>0</v>
      </c>
      <c r="BM625" s="80">
        <f>IF(BE625=1,ROUND(AR625/60,6),0)</f>
        <v>0</v>
      </c>
      <c r="BN625" s="80">
        <f>ROUND(BI625-BM625,6)</f>
        <v>0</v>
      </c>
      <c r="BO625" s="80">
        <f>IF(BE625=1,ROUND(AS625/60,6),0)</f>
        <v>0</v>
      </c>
      <c r="BP625" s="80">
        <f>ROUND(BJ625-BO625,6)</f>
        <v>0</v>
      </c>
      <c r="BQ625" s="80">
        <f>IF(BE625=1,AW625,0)</f>
        <v>0</v>
      </c>
      <c r="BR625" s="80">
        <f>IF(BE625=1,AX625,0)</f>
        <v>0</v>
      </c>
      <c r="BS625" s="80">
        <f>IF(AND(BE625=1,D625="Malcolm",BA625&gt;0),MIN(BH625,SUMPRODUCT((R_Emp="proMX")*(R_EN&gt;0)*((R_EN-(R_EN&gt;BR625)*(R_EN-BR625))&gt;(R_SN+(R_SN&lt;BQ625)*(BQ625-R_SN)))*((R_EN-(R_EN&gt;BR625)*(R_EN-BR625))-(R_SN+(R_SN&lt;BQ625)*(BQ625-R_SN))))/60),0)</f>
        <v>0</v>
      </c>
      <c r="BT625" s="80">
        <f>IF(AND(BE625=1,D625="proMX"),ROUND(BI625*CFG_RATE+BJ625*CFG_OTRATE,6),0)</f>
        <v>0</v>
      </c>
      <c r="BU625" s="80">
        <f>IF(AND(BD625=1,D625="proMX"),ROUND(AG625/CFG_BLK,6),0)</f>
        <v>0</v>
      </c>
      <c r="BV625" s="80" t="str">
        <f>IF(BF625="Approved",IF(ISNUMBER(T625),INT(T625),INT(B625)),"")</f>
        <v/>
      </c>
      <c r="BW625" s="80">
        <f>IF(ISNUMBER(B625),IF(DB_MON="Todos",1,IF(AND(INT(B625)&gt;=DB_MS,INT(B625)&lt;=DB_ME),1,0)),0)</f>
        <v>0</v>
      </c>
      <c r="BX625" s="80">
        <f>IF(DB_PROJ="Todos",1,IF(E625&amp;""=DB_PROJ&amp;"",1,0))</f>
        <v>1</v>
      </c>
      <c r="BY625" s="80">
        <f>BW625*BX625</f>
        <v>0</v>
      </c>
      <c r="BZ625" s="80" t="str">
        <f>IF(Y625=1,F625&amp;IF(AND(F625&amp;""&lt;&gt;"",E625&amp;""&lt;&gt;"")," · ","")&amp;E625,"")</f>
        <v/>
      </c>
      <c r="CA625" s="80" t="str">
        <f>IF(AND(BD625=1,E625&amp;""&lt;&gt;""),IF(COUNTIFS($E$5:E624,E625,$BD$5:BD624,1)=0,MAX($CA$5:CA624)+1,""),"")</f>
        <v/>
      </c>
      <c r="CB625" s="80" t="str">
        <f>IF(AND(BE625=1,D625="Malcolm",E625&amp;""&lt;&gt;""),IF(COUNTIFS($D$5:D624,"Malcolm",$E$5:E624,E625,$BE$5:BE624,1)=0,MAX($CB$5:CB624)+1,""),"")</f>
        <v/>
      </c>
      <c r="CC625" s="80" t="str">
        <f>IF(AND(BD625=1,D625="proMX",E625&amp;""&lt;&gt;""),IF(COUNTIFS($D$5:D624,"proMX",$E$5:E624,E625,$BD$5:BD624,1)=0,MAX($CC$5:CC624)+1,""),"")</f>
        <v/>
      </c>
      <c r="CD625" s="80" t="str">
        <f>IF(AND(BE625=1,D625="Malcolm",F625&amp;""&lt;&gt;""),IF(COUNTIFS($D$5:D624,"Malcolm",$F$5:F624,F625,$BE$5:BE624,1)=0,MAX($CD$5:CD624)+1,""),"")</f>
        <v/>
      </c>
      <c r="CE625" s="80" t="str">
        <f>IF(AND(BD625=1,D625="proMX",F625&amp;""&lt;&gt;""),IF(COUNTIFS($D$5:D624,"proMX",$F$5:F624,F625,$BD$5:BD624,1)=0,MAX($CE$5:CE624)+1,""),"")</f>
        <v/>
      </c>
      <c r="CF625" s="80" t="str">
        <f>IF(AND(D625="proMX",BD625=1),IF(OR(BF625="Draft",BF625="Submitted",BF625="Returned",BF625="Recall Requested"),MAX($CF$5:CF624)+1,""),"")</f>
        <v/>
      </c>
      <c r="CG625" s="80">
        <f>IF(BD625=0,0,IF(D625="Malcolm",1,MATCH(BF625,{"Draft","Submitted","Approved","Returned","Recall Requested","Cancelled"},0)+1))</f>
        <v>0</v>
      </c>
      <c r="CH625" s="80">
        <f>IF(AND(BF625="Submitted",ISNUMBER(V625)),IF(V625&gt;CFG_MAXD,1,0),0)</f>
        <v>0</v>
      </c>
    </row>
    <row r="626">
      <c r="A626" s="71" t="str">
        <f>IF(Y626=1,ROW()-5,"")</f>
        <v/>
      </c>
      <c r="B626" s="72" t="n"/>
      <c r="C626" s="71" t="str">
        <f>IF(ISNUMBER(B626),CHOOSE(WEEKDAY(B626,2),"Lun","Mar","Mié","Jue","Vie","Sáb","Dom"),"")</f>
        <v/>
      </c>
      <c r="D626" s="73" t="n"/>
      <c r="E626" s="74" t="n"/>
      <c r="F626" s="74" t="n"/>
      <c r="G626" s="74" t="n"/>
      <c r="H626" s="75" t="n"/>
      <c r="I626" s="75" t="n"/>
      <c r="J626" s="76" t="n"/>
      <c r="K626" s="77" t="str">
        <f>IF(AB626=1,ROUND(AG626/60,4),"")</f>
        <v/>
      </c>
      <c r="L626" s="77" t="str">
        <f>IF(BD626=1,ROUND(AP626/60,4),"")</f>
        <v/>
      </c>
      <c r="M626" s="77" t="str">
        <f>IF(BD626=1,ROUND(AQ626/60,4),"")</f>
        <v/>
      </c>
      <c r="N626" s="71" t="str">
        <f>IF(AND(D626="proMX",AB626=1),ROUND(AG626/CFG_BLK,2),"")</f>
        <v/>
      </c>
      <c r="O626" s="77" t="str">
        <f>IF(D626="proMX",IF(BD626=1,ROUND(AG626/60,4),0),"")</f>
        <v/>
      </c>
      <c r="P626" s="78" t="str">
        <f>IF(Y626=0,"",IF(BD626=1,"OK",IF(D626="proMX","Revisar bloques: ","Revisar: ")&amp;BC626))</f>
        <v/>
      </c>
      <c r="Q626" s="78" t="str">
        <f>IF(NOT(ISNUMBER(B626)),"",IF(COUNTIFS(FER_F,INT(B626))&gt;0,"Feriado"&amp;IF(AH626=1," (laborable)"," (no laborable)"),IF(AH626=1,"Laborable",IF(WEEKDAY(B626,2)&gt;5,"Fin de semana","No laborable"))))</f>
        <v/>
      </c>
      <c r="R626" s="73" t="n"/>
      <c r="S626" s="72" t="n"/>
      <c r="T626" s="72" t="n"/>
      <c r="U626" s="74" t="n"/>
      <c r="V626" s="79" t="str">
        <f>IF(AND(D626="proMX",OR(R626="Submitted",R626="Recall Requested"),ISNUMBER(S626)),CFG_TODAY-INT(S626),"")</f>
        <v/>
      </c>
      <c r="W626" s="78" t="str">
        <f>IF(BD626=0,"",IF(BA626&gt;0,"⚠ Se superpone con un registro de la otra empresa",IF(D626="Malcolm",IF(COUNTA(R626,S626,T626)&gt;0,"Estado/fechas proMX se ignoran en Malcolm",""),IF(BF626="Cancelled","Cancelado: excluido de totales",IF(R626="","Sin estado: se trata como Draft",IF(BF626="Submitted",IF(ISNUMBER(V626),IF(V626&gt;CFG_MAXD,"⚠ "&amp;V626&amp;" días en Submitted (máx. "&amp;CFG_MAXD&amp;")",""),"Falta fecha de envío"),IF(BF626="Returned","⚠ Devuelto: corregir y reenviar",IF(BF626="Recall Requested","Retirada solicitada: pendiente",IF(AND(BF626="Approved",NOT(ISNUMBER(T626))),"Falta fecha de aprobación",IF(AND(ISNUMBER(S626),ISNUMBER(T626),T626&lt;S626),"Aprobación anterior al envío","")))))))))</f>
        <v/>
      </c>
      <c r="Y626" s="80">
        <f>IF(COUNTA(B626,D626,E626,F626,G626,H626,I626,J626,R626,S626,T626)&gt;0,1,0)</f>
        <v>0</v>
      </c>
      <c r="Z626" s="80" t="str">
        <f>IF(AND(ISNUMBER(H626),H626&gt;=0,H626&lt;1),ROUND(H626*1440,0),"")</f>
        <v/>
      </c>
      <c r="AA626" s="80" t="str">
        <f>IF(AND(ISNUMBER(I626),I626&gt;=0,I626&lt;1),ROUND(I626*1440,0),"")</f>
        <v/>
      </c>
      <c r="AB626" s="80">
        <f>IF(AND(ISNUMBER(B626),D626&lt;&gt;"",ISNUMBER(Z626),ISNUMBER(AA626)),IF(Z626=AA626,0,1),0)</f>
        <v>0</v>
      </c>
      <c r="AC626" s="80">
        <f>IF(AB626=1,IF(AA626&lt;Z626,1,0),0)</f>
        <v>0</v>
      </c>
      <c r="AD626" s="80">
        <f>IF(AB626=1,IF(AC626=1,1440-Z626+AA626,AA626-Z626),0)</f>
        <v>0</v>
      </c>
      <c r="AE626" s="80">
        <f>IF(J626="",0,IF(ISNUMBER(J626),J626,-1))</f>
        <v>0</v>
      </c>
      <c r="AF626" s="80">
        <f>MIN(MAX(0,AE626),AD626)</f>
        <v>0</v>
      </c>
      <c r="AG626" s="80">
        <f>MAX(0,AD626-MAX(0,AE626))</f>
        <v>0</v>
      </c>
      <c r="AH626" s="80">
        <f>IF(ISNUMBER(B626),IF(AND(INDEX(CFG_WDAYS,WEEKDAY(INT(B626),2))="Sí",IF(D626="proMX",COUNTIFS(FER_F,INT(B626),FER_NLP,"Sí"),COUNTIFS(FER_F,INT(B626),FER_NLM,"Sí"))=0),1,0),0)</f>
        <v>0</v>
      </c>
      <c r="AI626" s="80">
        <f>IF(AC626=1,IF(AND(INDEX(CFG_WDAYS,WEEKDAY(INT(B626)+1,2))="Sí",IF(D626="proMX",COUNTIFS(FER_F,INT(B626)+1,FER_NLP,"Sí"),COUNTIFS(FER_F,INT(B626)+1,FER_NLM,"Sí"))=0),1,0),0)</f>
        <v>0</v>
      </c>
      <c r="AJ626" s="80">
        <f>IF(AC626=1,1440-Z626,AD626)</f>
        <v>0</v>
      </c>
      <c r="AK626" s="80">
        <f>IF(AND(AB626=1,AH626=1),MAX(0,MIN(IF(AC626=1,1440,AA626),CFG_WEM)-MAX(Z626,CFG_WSM)),0)</f>
        <v>0</v>
      </c>
      <c r="AL626" s="80">
        <f>IF(AND(AC626=1,AI626=1),MAX(0,MIN(AA626,CFG_WEM)-CFG_WSM),0)</f>
        <v>0</v>
      </c>
      <c r="AM626" s="80">
        <f>AK626+AL626</f>
        <v>0</v>
      </c>
      <c r="AN626" s="80">
        <f>IF(CFG_BRK="Proporcional",IF(AD626=0,0,AF626*AM626/AD626),IF(CFG_BRK="Extras primero",MIN(AM626,MAX(0,AF626-(AD626-AM626))),MIN(AF626,AM626)))</f>
        <v>0</v>
      </c>
      <c r="AO626" s="80">
        <f>AF626-AN626</f>
        <v>0</v>
      </c>
      <c r="AP626" s="80">
        <f>AM626-AN626</f>
        <v>0</v>
      </c>
      <c r="AQ626" s="80">
        <f>AD626-AM626-AO626</f>
        <v>0</v>
      </c>
      <c r="AR626" s="80">
        <f>IF(AM626=0,0,AK626-AN626*AK626/AM626)</f>
        <v>0</v>
      </c>
      <c r="AS626" s="80">
        <f>IF(AD626-AM626=0,0,(AJ626-AK626)-AO626*(AJ626-AK626)/(AD626-AM626))</f>
        <v>0</v>
      </c>
      <c r="AT626" s="80" t="str">
        <f>IF(AC626=1,INT(B626)+1,"")</f>
        <v/>
      </c>
      <c r="AU626" s="80">
        <f>IF(AND(D626="proMX",R626="Cancelled"),0,1)</f>
        <v>1</v>
      </c>
      <c r="AV626" s="80">
        <f>IF(AND(AB626=1,AU626=1),IF(COUNTIFS($D$5:D625,D626,$B$5:B625,B626,$Z$5:Z625,Z626,$AA$5:AA625,AA626,$F$5:F625,F626&amp;"",$AU$5:AU625,1)&gt;0,1,0),0)</f>
        <v>0</v>
      </c>
      <c r="AW626" s="80" t="str">
        <f>IF(AB626=1,INT(B626)*1440+Z626,"")</f>
        <v/>
      </c>
      <c r="AX626" s="80" t="str">
        <f>IF(AB626=1,AW626+AD626,"")</f>
        <v/>
      </c>
      <c r="AY626" s="80">
        <f>IF(AND(AB626=1,AV626=0,AU626=1),1,0)</f>
        <v>0</v>
      </c>
      <c r="AZ626" s="80">
        <f>IF(AY626=1,COUNTIFS(R_Emp,D626,R_SAbs,"&lt;"&amp;AX626,R_EAbs,"&gt;"&amp;AW626,R_OKey,1)-1,0)</f>
        <v>0</v>
      </c>
      <c r="BA626" s="80">
        <f>IF(AY626=1,COUNTIFS(R_Emp,"&lt;&gt;"&amp;D626,R_SAbs,"&lt;"&amp;AX626,R_EAbs,"&gt;"&amp;AW626,R_OKey,1),0)</f>
        <v>0</v>
      </c>
      <c r="BB626" s="80">
        <f>IF(AND(AB626=1,D626="proMX"),IF(AND(MOD(Z626,CFG_BLK)=0,MOD(AA626,CFG_BLK)=0,MOD(AG626,CFG_BLK)=0,AG626&gt;0),1,0),1)</f>
        <v>1</v>
      </c>
      <c r="BC626" s="80" t="str">
        <f>IF(Y626=0,"",IF(NOT(ISNUMBER(B626)),"Falta fecha o fecha inválida",IF(D626="","Falta empresa",IF(AND(D626&lt;&gt;"Malcolm",D626&lt;&gt;"proMX"),"Empresa inválida",IF(OR(INT(B626)&lt;CFG_PSTART,INT(B626)&gt;CFG_PEND),"Fecha fuera del período",IF(OR(NOT(ISNUMBER(Z626)),NOT(ISNUMBER(AA626))),"Falta hora inicio/fin o formato inválido",IF(AB626=0,"Hora inicio = hora fin",IF(AE626&lt;0,"Descanso inválido",IF(AE626&gt;=AD626,"Descanso ≥ duración",IF(AV626=1,"Registro duplicado",IF(AZ626&gt;0,"Se superpone con otro registro "&amp;D626,IF(BB626=0,"inicio, fin y duración neta deben ser múltiplos de "&amp;CFG_BLK&amp;" min",""))))))))))))</f>
        <v/>
      </c>
      <c r="BD626" s="80">
        <f>IF(AND(Y626=1,BC626=""),1,0)</f>
        <v>0</v>
      </c>
      <c r="BE626" s="80">
        <f>IF(AND(BD626=1,AU626=1),1,0)</f>
        <v>0</v>
      </c>
      <c r="BF626" s="80" t="str">
        <f>IF(AND(D626="proMX",BD626=1),IF(R626="","Draft",R626),"")</f>
        <v/>
      </c>
      <c r="BG626" s="80">
        <f>IF(BD626=1,ROUND(AG626/60,6),0)</f>
        <v>0</v>
      </c>
      <c r="BH626" s="80">
        <f>IF(BE626=1,ROUND(AG626/60,6),0)</f>
        <v>0</v>
      </c>
      <c r="BI626" s="80">
        <f>IF(BE626=1,ROUND(AP626/60,6),0)</f>
        <v>0</v>
      </c>
      <c r="BJ626" s="80">
        <f>IF(BE626=1,ROUND(AQ626/60,6),0)</f>
        <v>0</v>
      </c>
      <c r="BK626" s="80">
        <f>IF(BE626=1,ROUND((AR626+AS626)/60,6),0)</f>
        <v>0</v>
      </c>
      <c r="BL626" s="80">
        <f>ROUND(BH626-BK626,6)</f>
        <v>0</v>
      </c>
      <c r="BM626" s="80">
        <f>IF(BE626=1,ROUND(AR626/60,6),0)</f>
        <v>0</v>
      </c>
      <c r="BN626" s="80">
        <f>ROUND(BI626-BM626,6)</f>
        <v>0</v>
      </c>
      <c r="BO626" s="80">
        <f>IF(BE626=1,ROUND(AS626/60,6),0)</f>
        <v>0</v>
      </c>
      <c r="BP626" s="80">
        <f>ROUND(BJ626-BO626,6)</f>
        <v>0</v>
      </c>
      <c r="BQ626" s="80">
        <f>IF(BE626=1,AW626,0)</f>
        <v>0</v>
      </c>
      <c r="BR626" s="80">
        <f>IF(BE626=1,AX626,0)</f>
        <v>0</v>
      </c>
      <c r="BS626" s="80">
        <f>IF(AND(BE626=1,D626="Malcolm",BA626&gt;0),MIN(BH626,SUMPRODUCT((R_Emp="proMX")*(R_EN&gt;0)*((R_EN-(R_EN&gt;BR626)*(R_EN-BR626))&gt;(R_SN+(R_SN&lt;BQ626)*(BQ626-R_SN)))*((R_EN-(R_EN&gt;BR626)*(R_EN-BR626))-(R_SN+(R_SN&lt;BQ626)*(BQ626-R_SN))))/60),0)</f>
        <v>0</v>
      </c>
      <c r="BT626" s="80">
        <f>IF(AND(BE626=1,D626="proMX"),ROUND(BI626*CFG_RATE+BJ626*CFG_OTRATE,6),0)</f>
        <v>0</v>
      </c>
      <c r="BU626" s="80">
        <f>IF(AND(BD626=1,D626="proMX"),ROUND(AG626/CFG_BLK,6),0)</f>
        <v>0</v>
      </c>
      <c r="BV626" s="80" t="str">
        <f>IF(BF626="Approved",IF(ISNUMBER(T626),INT(T626),INT(B626)),"")</f>
        <v/>
      </c>
      <c r="BW626" s="80">
        <f>IF(ISNUMBER(B626),IF(DB_MON="Todos",1,IF(AND(INT(B626)&gt;=DB_MS,INT(B626)&lt;=DB_ME),1,0)),0)</f>
        <v>0</v>
      </c>
      <c r="BX626" s="80">
        <f>IF(DB_PROJ="Todos",1,IF(E626&amp;""=DB_PROJ&amp;"",1,0))</f>
        <v>1</v>
      </c>
      <c r="BY626" s="80">
        <f>BW626*BX626</f>
        <v>0</v>
      </c>
      <c r="BZ626" s="80" t="str">
        <f>IF(Y626=1,F626&amp;IF(AND(F626&amp;""&lt;&gt;"",E626&amp;""&lt;&gt;"")," · ","")&amp;E626,"")</f>
        <v/>
      </c>
      <c r="CA626" s="80" t="str">
        <f>IF(AND(BD626=1,E626&amp;""&lt;&gt;""),IF(COUNTIFS($E$5:E625,E626,$BD$5:BD625,1)=0,MAX($CA$5:CA625)+1,""),"")</f>
        <v/>
      </c>
      <c r="CB626" s="80" t="str">
        <f>IF(AND(BE626=1,D626="Malcolm",E626&amp;""&lt;&gt;""),IF(COUNTIFS($D$5:D625,"Malcolm",$E$5:E625,E626,$BE$5:BE625,1)=0,MAX($CB$5:CB625)+1,""),"")</f>
        <v/>
      </c>
      <c r="CC626" s="80" t="str">
        <f>IF(AND(BD626=1,D626="proMX",E626&amp;""&lt;&gt;""),IF(COUNTIFS($D$5:D625,"proMX",$E$5:E625,E626,$BD$5:BD625,1)=0,MAX($CC$5:CC625)+1,""),"")</f>
        <v/>
      </c>
      <c r="CD626" s="80" t="str">
        <f>IF(AND(BE626=1,D626="Malcolm",F626&amp;""&lt;&gt;""),IF(COUNTIFS($D$5:D625,"Malcolm",$F$5:F625,F626,$BE$5:BE625,1)=0,MAX($CD$5:CD625)+1,""),"")</f>
        <v/>
      </c>
      <c r="CE626" s="80" t="str">
        <f>IF(AND(BD626=1,D626="proMX",F626&amp;""&lt;&gt;""),IF(COUNTIFS($D$5:D625,"proMX",$F$5:F625,F626,$BD$5:BD625,1)=0,MAX($CE$5:CE625)+1,""),"")</f>
        <v/>
      </c>
      <c r="CF626" s="80" t="str">
        <f>IF(AND(D626="proMX",BD626=1),IF(OR(BF626="Draft",BF626="Submitted",BF626="Returned",BF626="Recall Requested"),MAX($CF$5:CF625)+1,""),"")</f>
        <v/>
      </c>
      <c r="CG626" s="80">
        <f>IF(BD626=0,0,IF(D626="Malcolm",1,MATCH(BF626,{"Draft","Submitted","Approved","Returned","Recall Requested","Cancelled"},0)+1))</f>
        <v>0</v>
      </c>
      <c r="CH626" s="80">
        <f>IF(AND(BF626="Submitted",ISNUMBER(V626)),IF(V626&gt;CFG_MAXD,1,0),0)</f>
        <v>0</v>
      </c>
    </row>
    <row r="627">
      <c r="A627" s="71" t="str">
        <f>IF(Y627=1,ROW()-5,"")</f>
        <v/>
      </c>
      <c r="B627" s="72" t="n"/>
      <c r="C627" s="71" t="str">
        <f>IF(ISNUMBER(B627),CHOOSE(WEEKDAY(B627,2),"Lun","Mar","Mié","Jue","Vie","Sáb","Dom"),"")</f>
        <v/>
      </c>
      <c r="D627" s="73" t="n"/>
      <c r="E627" s="74" t="n"/>
      <c r="F627" s="74" t="n"/>
      <c r="G627" s="74" t="n"/>
      <c r="H627" s="75" t="n"/>
      <c r="I627" s="75" t="n"/>
      <c r="J627" s="76" t="n"/>
      <c r="K627" s="77" t="str">
        <f>IF(AB627=1,ROUND(AG627/60,4),"")</f>
        <v/>
      </c>
      <c r="L627" s="77" t="str">
        <f>IF(BD627=1,ROUND(AP627/60,4),"")</f>
        <v/>
      </c>
      <c r="M627" s="77" t="str">
        <f>IF(BD627=1,ROUND(AQ627/60,4),"")</f>
        <v/>
      </c>
      <c r="N627" s="71" t="str">
        <f>IF(AND(D627="proMX",AB627=1),ROUND(AG627/CFG_BLK,2),"")</f>
        <v/>
      </c>
      <c r="O627" s="77" t="str">
        <f>IF(D627="proMX",IF(BD627=1,ROUND(AG627/60,4),0),"")</f>
        <v/>
      </c>
      <c r="P627" s="78" t="str">
        <f>IF(Y627=0,"",IF(BD627=1,"OK",IF(D627="proMX","Revisar bloques: ","Revisar: ")&amp;BC627))</f>
        <v/>
      </c>
      <c r="Q627" s="78" t="str">
        <f>IF(NOT(ISNUMBER(B627)),"",IF(COUNTIFS(FER_F,INT(B627))&gt;0,"Feriado"&amp;IF(AH627=1," (laborable)"," (no laborable)"),IF(AH627=1,"Laborable",IF(WEEKDAY(B627,2)&gt;5,"Fin de semana","No laborable"))))</f>
        <v/>
      </c>
      <c r="R627" s="73" t="n"/>
      <c r="S627" s="72" t="n"/>
      <c r="T627" s="72" t="n"/>
      <c r="U627" s="74" t="n"/>
      <c r="V627" s="79" t="str">
        <f>IF(AND(D627="proMX",OR(R627="Submitted",R627="Recall Requested"),ISNUMBER(S627)),CFG_TODAY-INT(S627),"")</f>
        <v/>
      </c>
      <c r="W627" s="78" t="str">
        <f>IF(BD627=0,"",IF(BA627&gt;0,"⚠ Se superpone con un registro de la otra empresa",IF(D627="Malcolm",IF(COUNTA(R627,S627,T627)&gt;0,"Estado/fechas proMX se ignoran en Malcolm",""),IF(BF627="Cancelled","Cancelado: excluido de totales",IF(R627="","Sin estado: se trata como Draft",IF(BF627="Submitted",IF(ISNUMBER(V627),IF(V627&gt;CFG_MAXD,"⚠ "&amp;V627&amp;" días en Submitted (máx. "&amp;CFG_MAXD&amp;")",""),"Falta fecha de envío"),IF(BF627="Returned","⚠ Devuelto: corregir y reenviar",IF(BF627="Recall Requested","Retirada solicitada: pendiente",IF(AND(BF627="Approved",NOT(ISNUMBER(T627))),"Falta fecha de aprobación",IF(AND(ISNUMBER(S627),ISNUMBER(T627),T627&lt;S627),"Aprobación anterior al envío","")))))))))</f>
        <v/>
      </c>
      <c r="Y627" s="80">
        <f>IF(COUNTA(B627,D627,E627,F627,G627,H627,I627,J627,R627,S627,T627)&gt;0,1,0)</f>
        <v>0</v>
      </c>
      <c r="Z627" s="80" t="str">
        <f>IF(AND(ISNUMBER(H627),H627&gt;=0,H627&lt;1),ROUND(H627*1440,0),"")</f>
        <v/>
      </c>
      <c r="AA627" s="80" t="str">
        <f>IF(AND(ISNUMBER(I627),I627&gt;=0,I627&lt;1),ROUND(I627*1440,0),"")</f>
        <v/>
      </c>
      <c r="AB627" s="80">
        <f>IF(AND(ISNUMBER(B627),D627&lt;&gt;"",ISNUMBER(Z627),ISNUMBER(AA627)),IF(Z627=AA627,0,1),0)</f>
        <v>0</v>
      </c>
      <c r="AC627" s="80">
        <f>IF(AB627=1,IF(AA627&lt;Z627,1,0),0)</f>
        <v>0</v>
      </c>
      <c r="AD627" s="80">
        <f>IF(AB627=1,IF(AC627=1,1440-Z627+AA627,AA627-Z627),0)</f>
        <v>0</v>
      </c>
      <c r="AE627" s="80">
        <f>IF(J627="",0,IF(ISNUMBER(J627),J627,-1))</f>
        <v>0</v>
      </c>
      <c r="AF627" s="80">
        <f>MIN(MAX(0,AE627),AD627)</f>
        <v>0</v>
      </c>
      <c r="AG627" s="80">
        <f>MAX(0,AD627-MAX(0,AE627))</f>
        <v>0</v>
      </c>
      <c r="AH627" s="80">
        <f>IF(ISNUMBER(B627),IF(AND(INDEX(CFG_WDAYS,WEEKDAY(INT(B627),2))="Sí",IF(D627="proMX",COUNTIFS(FER_F,INT(B627),FER_NLP,"Sí"),COUNTIFS(FER_F,INT(B627),FER_NLM,"Sí"))=0),1,0),0)</f>
        <v>0</v>
      </c>
      <c r="AI627" s="80">
        <f>IF(AC627=1,IF(AND(INDEX(CFG_WDAYS,WEEKDAY(INT(B627)+1,2))="Sí",IF(D627="proMX",COUNTIFS(FER_F,INT(B627)+1,FER_NLP,"Sí"),COUNTIFS(FER_F,INT(B627)+1,FER_NLM,"Sí"))=0),1,0),0)</f>
        <v>0</v>
      </c>
      <c r="AJ627" s="80">
        <f>IF(AC627=1,1440-Z627,AD627)</f>
        <v>0</v>
      </c>
      <c r="AK627" s="80">
        <f>IF(AND(AB627=1,AH627=1),MAX(0,MIN(IF(AC627=1,1440,AA627),CFG_WEM)-MAX(Z627,CFG_WSM)),0)</f>
        <v>0</v>
      </c>
      <c r="AL627" s="80">
        <f>IF(AND(AC627=1,AI627=1),MAX(0,MIN(AA627,CFG_WEM)-CFG_WSM),0)</f>
        <v>0</v>
      </c>
      <c r="AM627" s="80">
        <f>AK627+AL627</f>
        <v>0</v>
      </c>
      <c r="AN627" s="80">
        <f>IF(CFG_BRK="Proporcional",IF(AD627=0,0,AF627*AM627/AD627),IF(CFG_BRK="Extras primero",MIN(AM627,MAX(0,AF627-(AD627-AM627))),MIN(AF627,AM627)))</f>
        <v>0</v>
      </c>
      <c r="AO627" s="80">
        <f>AF627-AN627</f>
        <v>0</v>
      </c>
      <c r="AP627" s="80">
        <f>AM627-AN627</f>
        <v>0</v>
      </c>
      <c r="AQ627" s="80">
        <f>AD627-AM627-AO627</f>
        <v>0</v>
      </c>
      <c r="AR627" s="80">
        <f>IF(AM627=0,0,AK627-AN627*AK627/AM627)</f>
        <v>0</v>
      </c>
      <c r="AS627" s="80">
        <f>IF(AD627-AM627=0,0,(AJ627-AK627)-AO627*(AJ627-AK627)/(AD627-AM627))</f>
        <v>0</v>
      </c>
      <c r="AT627" s="80" t="str">
        <f>IF(AC627=1,INT(B627)+1,"")</f>
        <v/>
      </c>
      <c r="AU627" s="80">
        <f>IF(AND(D627="proMX",R627="Cancelled"),0,1)</f>
        <v>1</v>
      </c>
      <c r="AV627" s="80">
        <f>IF(AND(AB627=1,AU627=1),IF(COUNTIFS($D$5:D626,D627,$B$5:B626,B627,$Z$5:Z626,Z627,$AA$5:AA626,AA627,$F$5:F626,F627&amp;"",$AU$5:AU626,1)&gt;0,1,0),0)</f>
        <v>0</v>
      </c>
      <c r="AW627" s="80" t="str">
        <f>IF(AB627=1,INT(B627)*1440+Z627,"")</f>
        <v/>
      </c>
      <c r="AX627" s="80" t="str">
        <f>IF(AB627=1,AW627+AD627,"")</f>
        <v/>
      </c>
      <c r="AY627" s="80">
        <f>IF(AND(AB627=1,AV627=0,AU627=1),1,0)</f>
        <v>0</v>
      </c>
      <c r="AZ627" s="80">
        <f>IF(AY627=1,COUNTIFS(R_Emp,D627,R_SAbs,"&lt;"&amp;AX627,R_EAbs,"&gt;"&amp;AW627,R_OKey,1)-1,0)</f>
        <v>0</v>
      </c>
      <c r="BA627" s="80">
        <f>IF(AY627=1,COUNTIFS(R_Emp,"&lt;&gt;"&amp;D627,R_SAbs,"&lt;"&amp;AX627,R_EAbs,"&gt;"&amp;AW627,R_OKey,1),0)</f>
        <v>0</v>
      </c>
      <c r="BB627" s="80">
        <f>IF(AND(AB627=1,D627="proMX"),IF(AND(MOD(Z627,CFG_BLK)=0,MOD(AA627,CFG_BLK)=0,MOD(AG627,CFG_BLK)=0,AG627&gt;0),1,0),1)</f>
        <v>1</v>
      </c>
      <c r="BC627" s="80" t="str">
        <f>IF(Y627=0,"",IF(NOT(ISNUMBER(B627)),"Falta fecha o fecha inválida",IF(D627="","Falta empresa",IF(AND(D627&lt;&gt;"Malcolm",D627&lt;&gt;"proMX"),"Empresa inválida",IF(OR(INT(B627)&lt;CFG_PSTART,INT(B627)&gt;CFG_PEND),"Fecha fuera del período",IF(OR(NOT(ISNUMBER(Z627)),NOT(ISNUMBER(AA627))),"Falta hora inicio/fin o formato inválido",IF(AB627=0,"Hora inicio = hora fin",IF(AE627&lt;0,"Descanso inválido",IF(AE627&gt;=AD627,"Descanso ≥ duración",IF(AV627=1,"Registro duplicado",IF(AZ627&gt;0,"Se superpone con otro registro "&amp;D627,IF(BB627=0,"inicio, fin y duración neta deben ser múltiplos de "&amp;CFG_BLK&amp;" min",""))))))))))))</f>
        <v/>
      </c>
      <c r="BD627" s="80">
        <f>IF(AND(Y627=1,BC627=""),1,0)</f>
        <v>0</v>
      </c>
      <c r="BE627" s="80">
        <f>IF(AND(BD627=1,AU627=1),1,0)</f>
        <v>0</v>
      </c>
      <c r="BF627" s="80" t="str">
        <f>IF(AND(D627="proMX",BD627=1),IF(R627="","Draft",R627),"")</f>
        <v/>
      </c>
      <c r="BG627" s="80">
        <f>IF(BD627=1,ROUND(AG627/60,6),0)</f>
        <v>0</v>
      </c>
      <c r="BH627" s="80">
        <f>IF(BE627=1,ROUND(AG627/60,6),0)</f>
        <v>0</v>
      </c>
      <c r="BI627" s="80">
        <f>IF(BE627=1,ROUND(AP627/60,6),0)</f>
        <v>0</v>
      </c>
      <c r="BJ627" s="80">
        <f>IF(BE627=1,ROUND(AQ627/60,6),0)</f>
        <v>0</v>
      </c>
      <c r="BK627" s="80">
        <f>IF(BE627=1,ROUND((AR627+AS627)/60,6),0)</f>
        <v>0</v>
      </c>
      <c r="BL627" s="80">
        <f>ROUND(BH627-BK627,6)</f>
        <v>0</v>
      </c>
      <c r="BM627" s="80">
        <f>IF(BE627=1,ROUND(AR627/60,6),0)</f>
        <v>0</v>
      </c>
      <c r="BN627" s="80">
        <f>ROUND(BI627-BM627,6)</f>
        <v>0</v>
      </c>
      <c r="BO627" s="80">
        <f>IF(BE627=1,ROUND(AS627/60,6),0)</f>
        <v>0</v>
      </c>
      <c r="BP627" s="80">
        <f>ROUND(BJ627-BO627,6)</f>
        <v>0</v>
      </c>
      <c r="BQ627" s="80">
        <f>IF(BE627=1,AW627,0)</f>
        <v>0</v>
      </c>
      <c r="BR627" s="80">
        <f>IF(BE627=1,AX627,0)</f>
        <v>0</v>
      </c>
      <c r="BS627" s="80">
        <f>IF(AND(BE627=1,D627="Malcolm",BA627&gt;0),MIN(BH627,SUMPRODUCT((R_Emp="proMX")*(R_EN&gt;0)*((R_EN-(R_EN&gt;BR627)*(R_EN-BR627))&gt;(R_SN+(R_SN&lt;BQ627)*(BQ627-R_SN)))*((R_EN-(R_EN&gt;BR627)*(R_EN-BR627))-(R_SN+(R_SN&lt;BQ627)*(BQ627-R_SN))))/60),0)</f>
        <v>0</v>
      </c>
      <c r="BT627" s="80">
        <f>IF(AND(BE627=1,D627="proMX"),ROUND(BI627*CFG_RATE+BJ627*CFG_OTRATE,6),0)</f>
        <v>0</v>
      </c>
      <c r="BU627" s="80">
        <f>IF(AND(BD627=1,D627="proMX"),ROUND(AG627/CFG_BLK,6),0)</f>
        <v>0</v>
      </c>
      <c r="BV627" s="80" t="str">
        <f>IF(BF627="Approved",IF(ISNUMBER(T627),INT(T627),INT(B627)),"")</f>
        <v/>
      </c>
      <c r="BW627" s="80">
        <f>IF(ISNUMBER(B627),IF(DB_MON="Todos",1,IF(AND(INT(B627)&gt;=DB_MS,INT(B627)&lt;=DB_ME),1,0)),0)</f>
        <v>0</v>
      </c>
      <c r="BX627" s="80">
        <f>IF(DB_PROJ="Todos",1,IF(E627&amp;""=DB_PROJ&amp;"",1,0))</f>
        <v>1</v>
      </c>
      <c r="BY627" s="80">
        <f>BW627*BX627</f>
        <v>0</v>
      </c>
      <c r="BZ627" s="80" t="str">
        <f>IF(Y627=1,F627&amp;IF(AND(F627&amp;""&lt;&gt;"",E627&amp;""&lt;&gt;"")," · ","")&amp;E627,"")</f>
        <v/>
      </c>
      <c r="CA627" s="80" t="str">
        <f>IF(AND(BD627=1,E627&amp;""&lt;&gt;""),IF(COUNTIFS($E$5:E626,E627,$BD$5:BD626,1)=0,MAX($CA$5:CA626)+1,""),"")</f>
        <v/>
      </c>
      <c r="CB627" s="80" t="str">
        <f>IF(AND(BE627=1,D627="Malcolm",E627&amp;""&lt;&gt;""),IF(COUNTIFS($D$5:D626,"Malcolm",$E$5:E626,E627,$BE$5:BE626,1)=0,MAX($CB$5:CB626)+1,""),"")</f>
        <v/>
      </c>
      <c r="CC627" s="80" t="str">
        <f>IF(AND(BD627=1,D627="proMX",E627&amp;""&lt;&gt;""),IF(COUNTIFS($D$5:D626,"proMX",$E$5:E626,E627,$BD$5:BD626,1)=0,MAX($CC$5:CC626)+1,""),"")</f>
        <v/>
      </c>
      <c r="CD627" s="80" t="str">
        <f>IF(AND(BE627=1,D627="Malcolm",F627&amp;""&lt;&gt;""),IF(COUNTIFS($D$5:D626,"Malcolm",$F$5:F626,F627,$BE$5:BE626,1)=0,MAX($CD$5:CD626)+1,""),"")</f>
        <v/>
      </c>
      <c r="CE627" s="80" t="str">
        <f>IF(AND(BD627=1,D627="proMX",F627&amp;""&lt;&gt;""),IF(COUNTIFS($D$5:D626,"proMX",$F$5:F626,F627,$BD$5:BD626,1)=0,MAX($CE$5:CE626)+1,""),"")</f>
        <v/>
      </c>
      <c r="CF627" s="80" t="str">
        <f>IF(AND(D627="proMX",BD627=1),IF(OR(BF627="Draft",BF627="Submitted",BF627="Returned",BF627="Recall Requested"),MAX($CF$5:CF626)+1,""),"")</f>
        <v/>
      </c>
      <c r="CG627" s="80">
        <f>IF(BD627=0,0,IF(D627="Malcolm",1,MATCH(BF627,{"Draft","Submitted","Approved","Returned","Recall Requested","Cancelled"},0)+1))</f>
        <v>0</v>
      </c>
      <c r="CH627" s="80">
        <f>IF(AND(BF627="Submitted",ISNUMBER(V627)),IF(V627&gt;CFG_MAXD,1,0),0)</f>
        <v>0</v>
      </c>
    </row>
    <row r="628">
      <c r="A628" s="71" t="str">
        <f>IF(Y628=1,ROW()-5,"")</f>
        <v/>
      </c>
      <c r="B628" s="72" t="n"/>
      <c r="C628" s="71" t="str">
        <f>IF(ISNUMBER(B628),CHOOSE(WEEKDAY(B628,2),"Lun","Mar","Mié","Jue","Vie","Sáb","Dom"),"")</f>
        <v/>
      </c>
      <c r="D628" s="73" t="n"/>
      <c r="E628" s="74" t="n"/>
      <c r="F628" s="74" t="n"/>
      <c r="G628" s="74" t="n"/>
      <c r="H628" s="75" t="n"/>
      <c r="I628" s="75" t="n"/>
      <c r="J628" s="76" t="n"/>
      <c r="K628" s="77" t="str">
        <f>IF(AB628=1,ROUND(AG628/60,4),"")</f>
        <v/>
      </c>
      <c r="L628" s="77" t="str">
        <f>IF(BD628=1,ROUND(AP628/60,4),"")</f>
        <v/>
      </c>
      <c r="M628" s="77" t="str">
        <f>IF(BD628=1,ROUND(AQ628/60,4),"")</f>
        <v/>
      </c>
      <c r="N628" s="71" t="str">
        <f>IF(AND(D628="proMX",AB628=1),ROUND(AG628/CFG_BLK,2),"")</f>
        <v/>
      </c>
      <c r="O628" s="77" t="str">
        <f>IF(D628="proMX",IF(BD628=1,ROUND(AG628/60,4),0),"")</f>
        <v/>
      </c>
      <c r="P628" s="78" t="str">
        <f>IF(Y628=0,"",IF(BD628=1,"OK",IF(D628="proMX","Revisar bloques: ","Revisar: ")&amp;BC628))</f>
        <v/>
      </c>
      <c r="Q628" s="78" t="str">
        <f>IF(NOT(ISNUMBER(B628)),"",IF(COUNTIFS(FER_F,INT(B628))&gt;0,"Feriado"&amp;IF(AH628=1," (laborable)"," (no laborable)"),IF(AH628=1,"Laborable",IF(WEEKDAY(B628,2)&gt;5,"Fin de semana","No laborable"))))</f>
        <v/>
      </c>
      <c r="R628" s="73" t="n"/>
      <c r="S628" s="72" t="n"/>
      <c r="T628" s="72" t="n"/>
      <c r="U628" s="74" t="n"/>
      <c r="V628" s="79" t="str">
        <f>IF(AND(D628="proMX",OR(R628="Submitted",R628="Recall Requested"),ISNUMBER(S628)),CFG_TODAY-INT(S628),"")</f>
        <v/>
      </c>
      <c r="W628" s="78" t="str">
        <f>IF(BD628=0,"",IF(BA628&gt;0,"⚠ Se superpone con un registro de la otra empresa",IF(D628="Malcolm",IF(COUNTA(R628,S628,T628)&gt;0,"Estado/fechas proMX se ignoran en Malcolm",""),IF(BF628="Cancelled","Cancelado: excluido de totales",IF(R628="","Sin estado: se trata como Draft",IF(BF628="Submitted",IF(ISNUMBER(V628),IF(V628&gt;CFG_MAXD,"⚠ "&amp;V628&amp;" días en Submitted (máx. "&amp;CFG_MAXD&amp;")",""),"Falta fecha de envío"),IF(BF628="Returned","⚠ Devuelto: corregir y reenviar",IF(BF628="Recall Requested","Retirada solicitada: pendiente",IF(AND(BF628="Approved",NOT(ISNUMBER(T628))),"Falta fecha de aprobación",IF(AND(ISNUMBER(S628),ISNUMBER(T628),T628&lt;S628),"Aprobación anterior al envío","")))))))))</f>
        <v/>
      </c>
      <c r="Y628" s="80">
        <f>IF(COUNTA(B628,D628,E628,F628,G628,H628,I628,J628,R628,S628,T628)&gt;0,1,0)</f>
        <v>0</v>
      </c>
      <c r="Z628" s="80" t="str">
        <f>IF(AND(ISNUMBER(H628),H628&gt;=0,H628&lt;1),ROUND(H628*1440,0),"")</f>
        <v/>
      </c>
      <c r="AA628" s="80" t="str">
        <f>IF(AND(ISNUMBER(I628),I628&gt;=0,I628&lt;1),ROUND(I628*1440,0),"")</f>
        <v/>
      </c>
      <c r="AB628" s="80">
        <f>IF(AND(ISNUMBER(B628),D628&lt;&gt;"",ISNUMBER(Z628),ISNUMBER(AA628)),IF(Z628=AA628,0,1),0)</f>
        <v>0</v>
      </c>
      <c r="AC628" s="80">
        <f>IF(AB628=1,IF(AA628&lt;Z628,1,0),0)</f>
        <v>0</v>
      </c>
      <c r="AD628" s="80">
        <f>IF(AB628=1,IF(AC628=1,1440-Z628+AA628,AA628-Z628),0)</f>
        <v>0</v>
      </c>
      <c r="AE628" s="80">
        <f>IF(J628="",0,IF(ISNUMBER(J628),J628,-1))</f>
        <v>0</v>
      </c>
      <c r="AF628" s="80">
        <f>MIN(MAX(0,AE628),AD628)</f>
        <v>0</v>
      </c>
      <c r="AG628" s="80">
        <f>MAX(0,AD628-MAX(0,AE628))</f>
        <v>0</v>
      </c>
      <c r="AH628" s="80">
        <f>IF(ISNUMBER(B628),IF(AND(INDEX(CFG_WDAYS,WEEKDAY(INT(B628),2))="Sí",IF(D628="proMX",COUNTIFS(FER_F,INT(B628),FER_NLP,"Sí"),COUNTIFS(FER_F,INT(B628),FER_NLM,"Sí"))=0),1,0),0)</f>
        <v>0</v>
      </c>
      <c r="AI628" s="80">
        <f>IF(AC628=1,IF(AND(INDEX(CFG_WDAYS,WEEKDAY(INT(B628)+1,2))="Sí",IF(D628="proMX",COUNTIFS(FER_F,INT(B628)+1,FER_NLP,"Sí"),COUNTIFS(FER_F,INT(B628)+1,FER_NLM,"Sí"))=0),1,0),0)</f>
        <v>0</v>
      </c>
      <c r="AJ628" s="80">
        <f>IF(AC628=1,1440-Z628,AD628)</f>
        <v>0</v>
      </c>
      <c r="AK628" s="80">
        <f>IF(AND(AB628=1,AH628=1),MAX(0,MIN(IF(AC628=1,1440,AA628),CFG_WEM)-MAX(Z628,CFG_WSM)),0)</f>
        <v>0</v>
      </c>
      <c r="AL628" s="80">
        <f>IF(AND(AC628=1,AI628=1),MAX(0,MIN(AA628,CFG_WEM)-CFG_WSM),0)</f>
        <v>0</v>
      </c>
      <c r="AM628" s="80">
        <f>AK628+AL628</f>
        <v>0</v>
      </c>
      <c r="AN628" s="80">
        <f>IF(CFG_BRK="Proporcional",IF(AD628=0,0,AF628*AM628/AD628),IF(CFG_BRK="Extras primero",MIN(AM628,MAX(0,AF628-(AD628-AM628))),MIN(AF628,AM628)))</f>
        <v>0</v>
      </c>
      <c r="AO628" s="80">
        <f>AF628-AN628</f>
        <v>0</v>
      </c>
      <c r="AP628" s="80">
        <f>AM628-AN628</f>
        <v>0</v>
      </c>
      <c r="AQ628" s="80">
        <f>AD628-AM628-AO628</f>
        <v>0</v>
      </c>
      <c r="AR628" s="80">
        <f>IF(AM628=0,0,AK628-AN628*AK628/AM628)</f>
        <v>0</v>
      </c>
      <c r="AS628" s="80">
        <f>IF(AD628-AM628=0,0,(AJ628-AK628)-AO628*(AJ628-AK628)/(AD628-AM628))</f>
        <v>0</v>
      </c>
      <c r="AT628" s="80" t="str">
        <f>IF(AC628=1,INT(B628)+1,"")</f>
        <v/>
      </c>
      <c r="AU628" s="80">
        <f>IF(AND(D628="proMX",R628="Cancelled"),0,1)</f>
        <v>1</v>
      </c>
      <c r="AV628" s="80">
        <f>IF(AND(AB628=1,AU628=1),IF(COUNTIFS($D$5:D627,D628,$B$5:B627,B628,$Z$5:Z627,Z628,$AA$5:AA627,AA628,$F$5:F627,F628&amp;"",$AU$5:AU627,1)&gt;0,1,0),0)</f>
        <v>0</v>
      </c>
      <c r="AW628" s="80" t="str">
        <f>IF(AB628=1,INT(B628)*1440+Z628,"")</f>
        <v/>
      </c>
      <c r="AX628" s="80" t="str">
        <f>IF(AB628=1,AW628+AD628,"")</f>
        <v/>
      </c>
      <c r="AY628" s="80">
        <f>IF(AND(AB628=1,AV628=0,AU628=1),1,0)</f>
        <v>0</v>
      </c>
      <c r="AZ628" s="80">
        <f>IF(AY628=1,COUNTIFS(R_Emp,D628,R_SAbs,"&lt;"&amp;AX628,R_EAbs,"&gt;"&amp;AW628,R_OKey,1)-1,0)</f>
        <v>0</v>
      </c>
      <c r="BA628" s="80">
        <f>IF(AY628=1,COUNTIFS(R_Emp,"&lt;&gt;"&amp;D628,R_SAbs,"&lt;"&amp;AX628,R_EAbs,"&gt;"&amp;AW628,R_OKey,1),0)</f>
        <v>0</v>
      </c>
      <c r="BB628" s="80">
        <f>IF(AND(AB628=1,D628="proMX"),IF(AND(MOD(Z628,CFG_BLK)=0,MOD(AA628,CFG_BLK)=0,MOD(AG628,CFG_BLK)=0,AG628&gt;0),1,0),1)</f>
        <v>1</v>
      </c>
      <c r="BC628" s="80" t="str">
        <f>IF(Y628=0,"",IF(NOT(ISNUMBER(B628)),"Falta fecha o fecha inválida",IF(D628="","Falta empresa",IF(AND(D628&lt;&gt;"Malcolm",D628&lt;&gt;"proMX"),"Empresa inválida",IF(OR(INT(B628)&lt;CFG_PSTART,INT(B628)&gt;CFG_PEND),"Fecha fuera del período",IF(OR(NOT(ISNUMBER(Z628)),NOT(ISNUMBER(AA628))),"Falta hora inicio/fin o formato inválido",IF(AB628=0,"Hora inicio = hora fin",IF(AE628&lt;0,"Descanso inválido",IF(AE628&gt;=AD628,"Descanso ≥ duración",IF(AV628=1,"Registro duplicado",IF(AZ628&gt;0,"Se superpone con otro registro "&amp;D628,IF(BB628=0,"inicio, fin y duración neta deben ser múltiplos de "&amp;CFG_BLK&amp;" min",""))))))))))))</f>
        <v/>
      </c>
      <c r="BD628" s="80">
        <f>IF(AND(Y628=1,BC628=""),1,0)</f>
        <v>0</v>
      </c>
      <c r="BE628" s="80">
        <f>IF(AND(BD628=1,AU628=1),1,0)</f>
        <v>0</v>
      </c>
      <c r="BF628" s="80" t="str">
        <f>IF(AND(D628="proMX",BD628=1),IF(R628="","Draft",R628),"")</f>
        <v/>
      </c>
      <c r="BG628" s="80">
        <f>IF(BD628=1,ROUND(AG628/60,6),0)</f>
        <v>0</v>
      </c>
      <c r="BH628" s="80">
        <f>IF(BE628=1,ROUND(AG628/60,6),0)</f>
        <v>0</v>
      </c>
      <c r="BI628" s="80">
        <f>IF(BE628=1,ROUND(AP628/60,6),0)</f>
        <v>0</v>
      </c>
      <c r="BJ628" s="80">
        <f>IF(BE628=1,ROUND(AQ628/60,6),0)</f>
        <v>0</v>
      </c>
      <c r="BK628" s="80">
        <f>IF(BE628=1,ROUND((AR628+AS628)/60,6),0)</f>
        <v>0</v>
      </c>
      <c r="BL628" s="80">
        <f>ROUND(BH628-BK628,6)</f>
        <v>0</v>
      </c>
      <c r="BM628" s="80">
        <f>IF(BE628=1,ROUND(AR628/60,6),0)</f>
        <v>0</v>
      </c>
      <c r="BN628" s="80">
        <f>ROUND(BI628-BM628,6)</f>
        <v>0</v>
      </c>
      <c r="BO628" s="80">
        <f>IF(BE628=1,ROUND(AS628/60,6),0)</f>
        <v>0</v>
      </c>
      <c r="BP628" s="80">
        <f>ROUND(BJ628-BO628,6)</f>
        <v>0</v>
      </c>
      <c r="BQ628" s="80">
        <f>IF(BE628=1,AW628,0)</f>
        <v>0</v>
      </c>
      <c r="BR628" s="80">
        <f>IF(BE628=1,AX628,0)</f>
        <v>0</v>
      </c>
      <c r="BS628" s="80">
        <f>IF(AND(BE628=1,D628="Malcolm",BA628&gt;0),MIN(BH628,SUMPRODUCT((R_Emp="proMX")*(R_EN&gt;0)*((R_EN-(R_EN&gt;BR628)*(R_EN-BR628))&gt;(R_SN+(R_SN&lt;BQ628)*(BQ628-R_SN)))*((R_EN-(R_EN&gt;BR628)*(R_EN-BR628))-(R_SN+(R_SN&lt;BQ628)*(BQ628-R_SN))))/60),0)</f>
        <v>0</v>
      </c>
      <c r="BT628" s="80">
        <f>IF(AND(BE628=1,D628="proMX"),ROUND(BI628*CFG_RATE+BJ628*CFG_OTRATE,6),0)</f>
        <v>0</v>
      </c>
      <c r="BU628" s="80">
        <f>IF(AND(BD628=1,D628="proMX"),ROUND(AG628/CFG_BLK,6),0)</f>
        <v>0</v>
      </c>
      <c r="BV628" s="80" t="str">
        <f>IF(BF628="Approved",IF(ISNUMBER(T628),INT(T628),INT(B628)),"")</f>
        <v/>
      </c>
      <c r="BW628" s="80">
        <f>IF(ISNUMBER(B628),IF(DB_MON="Todos",1,IF(AND(INT(B628)&gt;=DB_MS,INT(B628)&lt;=DB_ME),1,0)),0)</f>
        <v>0</v>
      </c>
      <c r="BX628" s="80">
        <f>IF(DB_PROJ="Todos",1,IF(E628&amp;""=DB_PROJ&amp;"",1,0))</f>
        <v>1</v>
      </c>
      <c r="BY628" s="80">
        <f>BW628*BX628</f>
        <v>0</v>
      </c>
      <c r="BZ628" s="80" t="str">
        <f>IF(Y628=1,F628&amp;IF(AND(F628&amp;""&lt;&gt;"",E628&amp;""&lt;&gt;"")," · ","")&amp;E628,"")</f>
        <v/>
      </c>
      <c r="CA628" s="80" t="str">
        <f>IF(AND(BD628=1,E628&amp;""&lt;&gt;""),IF(COUNTIFS($E$5:E627,E628,$BD$5:BD627,1)=0,MAX($CA$5:CA627)+1,""),"")</f>
        <v/>
      </c>
      <c r="CB628" s="80" t="str">
        <f>IF(AND(BE628=1,D628="Malcolm",E628&amp;""&lt;&gt;""),IF(COUNTIFS($D$5:D627,"Malcolm",$E$5:E627,E628,$BE$5:BE627,1)=0,MAX($CB$5:CB627)+1,""),"")</f>
        <v/>
      </c>
      <c r="CC628" s="80" t="str">
        <f>IF(AND(BD628=1,D628="proMX",E628&amp;""&lt;&gt;""),IF(COUNTIFS($D$5:D627,"proMX",$E$5:E627,E628,$BD$5:BD627,1)=0,MAX($CC$5:CC627)+1,""),"")</f>
        <v/>
      </c>
      <c r="CD628" s="80" t="str">
        <f>IF(AND(BE628=1,D628="Malcolm",F628&amp;""&lt;&gt;""),IF(COUNTIFS($D$5:D627,"Malcolm",$F$5:F627,F628,$BE$5:BE627,1)=0,MAX($CD$5:CD627)+1,""),"")</f>
        <v/>
      </c>
      <c r="CE628" s="80" t="str">
        <f>IF(AND(BD628=1,D628="proMX",F628&amp;""&lt;&gt;""),IF(COUNTIFS($D$5:D627,"proMX",$F$5:F627,F628,$BD$5:BD627,1)=0,MAX($CE$5:CE627)+1,""),"")</f>
        <v/>
      </c>
      <c r="CF628" s="80" t="str">
        <f>IF(AND(D628="proMX",BD628=1),IF(OR(BF628="Draft",BF628="Submitted",BF628="Returned",BF628="Recall Requested"),MAX($CF$5:CF627)+1,""),"")</f>
        <v/>
      </c>
      <c r="CG628" s="80">
        <f>IF(BD628=0,0,IF(D628="Malcolm",1,MATCH(BF628,{"Draft","Submitted","Approved","Returned","Recall Requested","Cancelled"},0)+1))</f>
        <v>0</v>
      </c>
      <c r="CH628" s="80">
        <f>IF(AND(BF628="Submitted",ISNUMBER(V628)),IF(V628&gt;CFG_MAXD,1,0),0)</f>
        <v>0</v>
      </c>
    </row>
    <row r="629">
      <c r="A629" s="71" t="str">
        <f>IF(Y629=1,ROW()-5,"")</f>
        <v/>
      </c>
      <c r="B629" s="72" t="n"/>
      <c r="C629" s="71" t="str">
        <f>IF(ISNUMBER(B629),CHOOSE(WEEKDAY(B629,2),"Lun","Mar","Mié","Jue","Vie","Sáb","Dom"),"")</f>
        <v/>
      </c>
      <c r="D629" s="73" t="n"/>
      <c r="E629" s="74" t="n"/>
      <c r="F629" s="74" t="n"/>
      <c r="G629" s="74" t="n"/>
      <c r="H629" s="75" t="n"/>
      <c r="I629" s="75" t="n"/>
      <c r="J629" s="76" t="n"/>
      <c r="K629" s="77" t="str">
        <f>IF(AB629=1,ROUND(AG629/60,4),"")</f>
        <v/>
      </c>
      <c r="L629" s="77" t="str">
        <f>IF(BD629=1,ROUND(AP629/60,4),"")</f>
        <v/>
      </c>
      <c r="M629" s="77" t="str">
        <f>IF(BD629=1,ROUND(AQ629/60,4),"")</f>
        <v/>
      </c>
      <c r="N629" s="71" t="str">
        <f>IF(AND(D629="proMX",AB629=1),ROUND(AG629/CFG_BLK,2),"")</f>
        <v/>
      </c>
      <c r="O629" s="77" t="str">
        <f>IF(D629="proMX",IF(BD629=1,ROUND(AG629/60,4),0),"")</f>
        <v/>
      </c>
      <c r="P629" s="78" t="str">
        <f>IF(Y629=0,"",IF(BD629=1,"OK",IF(D629="proMX","Revisar bloques: ","Revisar: ")&amp;BC629))</f>
        <v/>
      </c>
      <c r="Q629" s="78" t="str">
        <f>IF(NOT(ISNUMBER(B629)),"",IF(COUNTIFS(FER_F,INT(B629))&gt;0,"Feriado"&amp;IF(AH629=1," (laborable)"," (no laborable)"),IF(AH629=1,"Laborable",IF(WEEKDAY(B629,2)&gt;5,"Fin de semana","No laborable"))))</f>
        <v/>
      </c>
      <c r="R629" s="73" t="n"/>
      <c r="S629" s="72" t="n"/>
      <c r="T629" s="72" t="n"/>
      <c r="U629" s="74" t="n"/>
      <c r="V629" s="79" t="str">
        <f>IF(AND(D629="proMX",OR(R629="Submitted",R629="Recall Requested"),ISNUMBER(S629)),CFG_TODAY-INT(S629),"")</f>
        <v/>
      </c>
      <c r="W629" s="78" t="str">
        <f>IF(BD629=0,"",IF(BA629&gt;0,"⚠ Se superpone con un registro de la otra empresa",IF(D629="Malcolm",IF(COUNTA(R629,S629,T629)&gt;0,"Estado/fechas proMX se ignoran en Malcolm",""),IF(BF629="Cancelled","Cancelado: excluido de totales",IF(R629="","Sin estado: se trata como Draft",IF(BF629="Submitted",IF(ISNUMBER(V629),IF(V629&gt;CFG_MAXD,"⚠ "&amp;V629&amp;" días en Submitted (máx. "&amp;CFG_MAXD&amp;")",""),"Falta fecha de envío"),IF(BF629="Returned","⚠ Devuelto: corregir y reenviar",IF(BF629="Recall Requested","Retirada solicitada: pendiente",IF(AND(BF629="Approved",NOT(ISNUMBER(T629))),"Falta fecha de aprobación",IF(AND(ISNUMBER(S629),ISNUMBER(T629),T629&lt;S629),"Aprobación anterior al envío","")))))))))</f>
        <v/>
      </c>
      <c r="Y629" s="80">
        <f>IF(COUNTA(B629,D629,E629,F629,G629,H629,I629,J629,R629,S629,T629)&gt;0,1,0)</f>
        <v>0</v>
      </c>
      <c r="Z629" s="80" t="str">
        <f>IF(AND(ISNUMBER(H629),H629&gt;=0,H629&lt;1),ROUND(H629*1440,0),"")</f>
        <v/>
      </c>
      <c r="AA629" s="80" t="str">
        <f>IF(AND(ISNUMBER(I629),I629&gt;=0,I629&lt;1),ROUND(I629*1440,0),"")</f>
        <v/>
      </c>
      <c r="AB629" s="80">
        <f>IF(AND(ISNUMBER(B629),D629&lt;&gt;"",ISNUMBER(Z629),ISNUMBER(AA629)),IF(Z629=AA629,0,1),0)</f>
        <v>0</v>
      </c>
      <c r="AC629" s="80">
        <f>IF(AB629=1,IF(AA629&lt;Z629,1,0),0)</f>
        <v>0</v>
      </c>
      <c r="AD629" s="80">
        <f>IF(AB629=1,IF(AC629=1,1440-Z629+AA629,AA629-Z629),0)</f>
        <v>0</v>
      </c>
      <c r="AE629" s="80">
        <f>IF(J629="",0,IF(ISNUMBER(J629),J629,-1))</f>
        <v>0</v>
      </c>
      <c r="AF629" s="80">
        <f>MIN(MAX(0,AE629),AD629)</f>
        <v>0</v>
      </c>
      <c r="AG629" s="80">
        <f>MAX(0,AD629-MAX(0,AE629))</f>
        <v>0</v>
      </c>
      <c r="AH629" s="80">
        <f>IF(ISNUMBER(B629),IF(AND(INDEX(CFG_WDAYS,WEEKDAY(INT(B629),2))="Sí",IF(D629="proMX",COUNTIFS(FER_F,INT(B629),FER_NLP,"Sí"),COUNTIFS(FER_F,INT(B629),FER_NLM,"Sí"))=0),1,0),0)</f>
        <v>0</v>
      </c>
      <c r="AI629" s="80">
        <f>IF(AC629=1,IF(AND(INDEX(CFG_WDAYS,WEEKDAY(INT(B629)+1,2))="Sí",IF(D629="proMX",COUNTIFS(FER_F,INT(B629)+1,FER_NLP,"Sí"),COUNTIFS(FER_F,INT(B629)+1,FER_NLM,"Sí"))=0),1,0),0)</f>
        <v>0</v>
      </c>
      <c r="AJ629" s="80">
        <f>IF(AC629=1,1440-Z629,AD629)</f>
        <v>0</v>
      </c>
      <c r="AK629" s="80">
        <f>IF(AND(AB629=1,AH629=1),MAX(0,MIN(IF(AC629=1,1440,AA629),CFG_WEM)-MAX(Z629,CFG_WSM)),0)</f>
        <v>0</v>
      </c>
      <c r="AL629" s="80">
        <f>IF(AND(AC629=1,AI629=1),MAX(0,MIN(AA629,CFG_WEM)-CFG_WSM),0)</f>
        <v>0</v>
      </c>
      <c r="AM629" s="80">
        <f>AK629+AL629</f>
        <v>0</v>
      </c>
      <c r="AN629" s="80">
        <f>IF(CFG_BRK="Proporcional",IF(AD629=0,0,AF629*AM629/AD629),IF(CFG_BRK="Extras primero",MIN(AM629,MAX(0,AF629-(AD629-AM629))),MIN(AF629,AM629)))</f>
        <v>0</v>
      </c>
      <c r="AO629" s="80">
        <f>AF629-AN629</f>
        <v>0</v>
      </c>
      <c r="AP629" s="80">
        <f>AM629-AN629</f>
        <v>0</v>
      </c>
      <c r="AQ629" s="80">
        <f>AD629-AM629-AO629</f>
        <v>0</v>
      </c>
      <c r="AR629" s="80">
        <f>IF(AM629=0,0,AK629-AN629*AK629/AM629)</f>
        <v>0</v>
      </c>
      <c r="AS629" s="80">
        <f>IF(AD629-AM629=0,0,(AJ629-AK629)-AO629*(AJ629-AK629)/(AD629-AM629))</f>
        <v>0</v>
      </c>
      <c r="AT629" s="80" t="str">
        <f>IF(AC629=1,INT(B629)+1,"")</f>
        <v/>
      </c>
      <c r="AU629" s="80">
        <f>IF(AND(D629="proMX",R629="Cancelled"),0,1)</f>
        <v>1</v>
      </c>
      <c r="AV629" s="80">
        <f>IF(AND(AB629=1,AU629=1),IF(COUNTIFS($D$5:D628,D629,$B$5:B628,B629,$Z$5:Z628,Z629,$AA$5:AA628,AA629,$F$5:F628,F629&amp;"",$AU$5:AU628,1)&gt;0,1,0),0)</f>
        <v>0</v>
      </c>
      <c r="AW629" s="80" t="str">
        <f>IF(AB629=1,INT(B629)*1440+Z629,"")</f>
        <v/>
      </c>
      <c r="AX629" s="80" t="str">
        <f>IF(AB629=1,AW629+AD629,"")</f>
        <v/>
      </c>
      <c r="AY629" s="80">
        <f>IF(AND(AB629=1,AV629=0,AU629=1),1,0)</f>
        <v>0</v>
      </c>
      <c r="AZ629" s="80">
        <f>IF(AY629=1,COUNTIFS(R_Emp,D629,R_SAbs,"&lt;"&amp;AX629,R_EAbs,"&gt;"&amp;AW629,R_OKey,1)-1,0)</f>
        <v>0</v>
      </c>
      <c r="BA629" s="80">
        <f>IF(AY629=1,COUNTIFS(R_Emp,"&lt;&gt;"&amp;D629,R_SAbs,"&lt;"&amp;AX629,R_EAbs,"&gt;"&amp;AW629,R_OKey,1),0)</f>
        <v>0</v>
      </c>
      <c r="BB629" s="80">
        <f>IF(AND(AB629=1,D629="proMX"),IF(AND(MOD(Z629,CFG_BLK)=0,MOD(AA629,CFG_BLK)=0,MOD(AG629,CFG_BLK)=0,AG629&gt;0),1,0),1)</f>
        <v>1</v>
      </c>
      <c r="BC629" s="80" t="str">
        <f>IF(Y629=0,"",IF(NOT(ISNUMBER(B629)),"Falta fecha o fecha inválida",IF(D629="","Falta empresa",IF(AND(D629&lt;&gt;"Malcolm",D629&lt;&gt;"proMX"),"Empresa inválida",IF(OR(INT(B629)&lt;CFG_PSTART,INT(B629)&gt;CFG_PEND),"Fecha fuera del período",IF(OR(NOT(ISNUMBER(Z629)),NOT(ISNUMBER(AA629))),"Falta hora inicio/fin o formato inválido",IF(AB629=0,"Hora inicio = hora fin",IF(AE629&lt;0,"Descanso inválido",IF(AE629&gt;=AD629,"Descanso ≥ duración",IF(AV629=1,"Registro duplicado",IF(AZ629&gt;0,"Se superpone con otro registro "&amp;D629,IF(BB629=0,"inicio, fin y duración neta deben ser múltiplos de "&amp;CFG_BLK&amp;" min",""))))))))))))</f>
        <v/>
      </c>
      <c r="BD629" s="80">
        <f>IF(AND(Y629=1,BC629=""),1,0)</f>
        <v>0</v>
      </c>
      <c r="BE629" s="80">
        <f>IF(AND(BD629=1,AU629=1),1,0)</f>
        <v>0</v>
      </c>
      <c r="BF629" s="80" t="str">
        <f>IF(AND(D629="proMX",BD629=1),IF(R629="","Draft",R629),"")</f>
        <v/>
      </c>
      <c r="BG629" s="80">
        <f>IF(BD629=1,ROUND(AG629/60,6),0)</f>
        <v>0</v>
      </c>
      <c r="BH629" s="80">
        <f>IF(BE629=1,ROUND(AG629/60,6),0)</f>
        <v>0</v>
      </c>
      <c r="BI629" s="80">
        <f>IF(BE629=1,ROUND(AP629/60,6),0)</f>
        <v>0</v>
      </c>
      <c r="BJ629" s="80">
        <f>IF(BE629=1,ROUND(AQ629/60,6),0)</f>
        <v>0</v>
      </c>
      <c r="BK629" s="80">
        <f>IF(BE629=1,ROUND((AR629+AS629)/60,6),0)</f>
        <v>0</v>
      </c>
      <c r="BL629" s="80">
        <f>ROUND(BH629-BK629,6)</f>
        <v>0</v>
      </c>
      <c r="BM629" s="80">
        <f>IF(BE629=1,ROUND(AR629/60,6),0)</f>
        <v>0</v>
      </c>
      <c r="BN629" s="80">
        <f>ROUND(BI629-BM629,6)</f>
        <v>0</v>
      </c>
      <c r="BO629" s="80">
        <f>IF(BE629=1,ROUND(AS629/60,6),0)</f>
        <v>0</v>
      </c>
      <c r="BP629" s="80">
        <f>ROUND(BJ629-BO629,6)</f>
        <v>0</v>
      </c>
      <c r="BQ629" s="80">
        <f>IF(BE629=1,AW629,0)</f>
        <v>0</v>
      </c>
      <c r="BR629" s="80">
        <f>IF(BE629=1,AX629,0)</f>
        <v>0</v>
      </c>
      <c r="BS629" s="80">
        <f>IF(AND(BE629=1,D629="Malcolm",BA629&gt;0),MIN(BH629,SUMPRODUCT((R_Emp="proMX")*(R_EN&gt;0)*((R_EN-(R_EN&gt;BR629)*(R_EN-BR629))&gt;(R_SN+(R_SN&lt;BQ629)*(BQ629-R_SN)))*((R_EN-(R_EN&gt;BR629)*(R_EN-BR629))-(R_SN+(R_SN&lt;BQ629)*(BQ629-R_SN))))/60),0)</f>
        <v>0</v>
      </c>
      <c r="BT629" s="80">
        <f>IF(AND(BE629=1,D629="proMX"),ROUND(BI629*CFG_RATE+BJ629*CFG_OTRATE,6),0)</f>
        <v>0</v>
      </c>
      <c r="BU629" s="80">
        <f>IF(AND(BD629=1,D629="proMX"),ROUND(AG629/CFG_BLK,6),0)</f>
        <v>0</v>
      </c>
      <c r="BV629" s="80" t="str">
        <f>IF(BF629="Approved",IF(ISNUMBER(T629),INT(T629),INT(B629)),"")</f>
        <v/>
      </c>
      <c r="BW629" s="80">
        <f>IF(ISNUMBER(B629),IF(DB_MON="Todos",1,IF(AND(INT(B629)&gt;=DB_MS,INT(B629)&lt;=DB_ME),1,0)),0)</f>
        <v>0</v>
      </c>
      <c r="BX629" s="80">
        <f>IF(DB_PROJ="Todos",1,IF(E629&amp;""=DB_PROJ&amp;"",1,0))</f>
        <v>1</v>
      </c>
      <c r="BY629" s="80">
        <f>BW629*BX629</f>
        <v>0</v>
      </c>
      <c r="BZ629" s="80" t="str">
        <f>IF(Y629=1,F629&amp;IF(AND(F629&amp;""&lt;&gt;"",E629&amp;""&lt;&gt;"")," · ","")&amp;E629,"")</f>
        <v/>
      </c>
      <c r="CA629" s="80" t="str">
        <f>IF(AND(BD629=1,E629&amp;""&lt;&gt;""),IF(COUNTIFS($E$5:E628,E629,$BD$5:BD628,1)=0,MAX($CA$5:CA628)+1,""),"")</f>
        <v/>
      </c>
      <c r="CB629" s="80" t="str">
        <f>IF(AND(BE629=1,D629="Malcolm",E629&amp;""&lt;&gt;""),IF(COUNTIFS($D$5:D628,"Malcolm",$E$5:E628,E629,$BE$5:BE628,1)=0,MAX($CB$5:CB628)+1,""),"")</f>
        <v/>
      </c>
      <c r="CC629" s="80" t="str">
        <f>IF(AND(BD629=1,D629="proMX",E629&amp;""&lt;&gt;""),IF(COUNTIFS($D$5:D628,"proMX",$E$5:E628,E629,$BD$5:BD628,1)=0,MAX($CC$5:CC628)+1,""),"")</f>
        <v/>
      </c>
      <c r="CD629" s="80" t="str">
        <f>IF(AND(BE629=1,D629="Malcolm",F629&amp;""&lt;&gt;""),IF(COUNTIFS($D$5:D628,"Malcolm",$F$5:F628,F629,$BE$5:BE628,1)=0,MAX($CD$5:CD628)+1,""),"")</f>
        <v/>
      </c>
      <c r="CE629" s="80" t="str">
        <f>IF(AND(BD629=1,D629="proMX",F629&amp;""&lt;&gt;""),IF(COUNTIFS($D$5:D628,"proMX",$F$5:F628,F629,$BD$5:BD628,1)=0,MAX($CE$5:CE628)+1,""),"")</f>
        <v/>
      </c>
      <c r="CF629" s="80" t="str">
        <f>IF(AND(D629="proMX",BD629=1),IF(OR(BF629="Draft",BF629="Submitted",BF629="Returned",BF629="Recall Requested"),MAX($CF$5:CF628)+1,""),"")</f>
        <v/>
      </c>
      <c r="CG629" s="80">
        <f>IF(BD629=0,0,IF(D629="Malcolm",1,MATCH(BF629,{"Draft","Submitted","Approved","Returned","Recall Requested","Cancelled"},0)+1))</f>
        <v>0</v>
      </c>
      <c r="CH629" s="80">
        <f>IF(AND(BF629="Submitted",ISNUMBER(V629)),IF(V629&gt;CFG_MAXD,1,0),0)</f>
        <v>0</v>
      </c>
    </row>
    <row r="630">
      <c r="A630" s="71" t="str">
        <f>IF(Y630=1,ROW()-5,"")</f>
        <v/>
      </c>
      <c r="B630" s="72" t="n"/>
      <c r="C630" s="71" t="str">
        <f>IF(ISNUMBER(B630),CHOOSE(WEEKDAY(B630,2),"Lun","Mar","Mié","Jue","Vie","Sáb","Dom"),"")</f>
        <v/>
      </c>
      <c r="D630" s="73" t="n"/>
      <c r="E630" s="74" t="n"/>
      <c r="F630" s="74" t="n"/>
      <c r="G630" s="74" t="n"/>
      <c r="H630" s="75" t="n"/>
      <c r="I630" s="75" t="n"/>
      <c r="J630" s="76" t="n"/>
      <c r="K630" s="77" t="str">
        <f>IF(AB630=1,ROUND(AG630/60,4),"")</f>
        <v/>
      </c>
      <c r="L630" s="77" t="str">
        <f>IF(BD630=1,ROUND(AP630/60,4),"")</f>
        <v/>
      </c>
      <c r="M630" s="77" t="str">
        <f>IF(BD630=1,ROUND(AQ630/60,4),"")</f>
        <v/>
      </c>
      <c r="N630" s="71" t="str">
        <f>IF(AND(D630="proMX",AB630=1),ROUND(AG630/CFG_BLK,2),"")</f>
        <v/>
      </c>
      <c r="O630" s="77" t="str">
        <f>IF(D630="proMX",IF(BD630=1,ROUND(AG630/60,4),0),"")</f>
        <v/>
      </c>
      <c r="P630" s="78" t="str">
        <f>IF(Y630=0,"",IF(BD630=1,"OK",IF(D630="proMX","Revisar bloques: ","Revisar: ")&amp;BC630))</f>
        <v/>
      </c>
      <c r="Q630" s="78" t="str">
        <f>IF(NOT(ISNUMBER(B630)),"",IF(COUNTIFS(FER_F,INT(B630))&gt;0,"Feriado"&amp;IF(AH630=1," (laborable)"," (no laborable)"),IF(AH630=1,"Laborable",IF(WEEKDAY(B630,2)&gt;5,"Fin de semana","No laborable"))))</f>
        <v/>
      </c>
      <c r="R630" s="73" t="n"/>
      <c r="S630" s="72" t="n"/>
      <c r="T630" s="72" t="n"/>
      <c r="U630" s="74" t="n"/>
      <c r="V630" s="79" t="str">
        <f>IF(AND(D630="proMX",OR(R630="Submitted",R630="Recall Requested"),ISNUMBER(S630)),CFG_TODAY-INT(S630),"")</f>
        <v/>
      </c>
      <c r="W630" s="78" t="str">
        <f>IF(BD630=0,"",IF(BA630&gt;0,"⚠ Se superpone con un registro de la otra empresa",IF(D630="Malcolm",IF(COUNTA(R630,S630,T630)&gt;0,"Estado/fechas proMX se ignoran en Malcolm",""),IF(BF630="Cancelled","Cancelado: excluido de totales",IF(R630="","Sin estado: se trata como Draft",IF(BF630="Submitted",IF(ISNUMBER(V630),IF(V630&gt;CFG_MAXD,"⚠ "&amp;V630&amp;" días en Submitted (máx. "&amp;CFG_MAXD&amp;")",""),"Falta fecha de envío"),IF(BF630="Returned","⚠ Devuelto: corregir y reenviar",IF(BF630="Recall Requested","Retirada solicitada: pendiente",IF(AND(BF630="Approved",NOT(ISNUMBER(T630))),"Falta fecha de aprobación",IF(AND(ISNUMBER(S630),ISNUMBER(T630),T630&lt;S630),"Aprobación anterior al envío","")))))))))</f>
        <v/>
      </c>
      <c r="Y630" s="80">
        <f>IF(COUNTA(B630,D630,E630,F630,G630,H630,I630,J630,R630,S630,T630)&gt;0,1,0)</f>
        <v>0</v>
      </c>
      <c r="Z630" s="80" t="str">
        <f>IF(AND(ISNUMBER(H630),H630&gt;=0,H630&lt;1),ROUND(H630*1440,0),"")</f>
        <v/>
      </c>
      <c r="AA630" s="80" t="str">
        <f>IF(AND(ISNUMBER(I630),I630&gt;=0,I630&lt;1),ROUND(I630*1440,0),"")</f>
        <v/>
      </c>
      <c r="AB630" s="80">
        <f>IF(AND(ISNUMBER(B630),D630&lt;&gt;"",ISNUMBER(Z630),ISNUMBER(AA630)),IF(Z630=AA630,0,1),0)</f>
        <v>0</v>
      </c>
      <c r="AC630" s="80">
        <f>IF(AB630=1,IF(AA630&lt;Z630,1,0),0)</f>
        <v>0</v>
      </c>
      <c r="AD630" s="80">
        <f>IF(AB630=1,IF(AC630=1,1440-Z630+AA630,AA630-Z630),0)</f>
        <v>0</v>
      </c>
      <c r="AE630" s="80">
        <f>IF(J630="",0,IF(ISNUMBER(J630),J630,-1))</f>
        <v>0</v>
      </c>
      <c r="AF630" s="80">
        <f>MIN(MAX(0,AE630),AD630)</f>
        <v>0</v>
      </c>
      <c r="AG630" s="80">
        <f>MAX(0,AD630-MAX(0,AE630))</f>
        <v>0</v>
      </c>
      <c r="AH630" s="80">
        <f>IF(ISNUMBER(B630),IF(AND(INDEX(CFG_WDAYS,WEEKDAY(INT(B630),2))="Sí",IF(D630="proMX",COUNTIFS(FER_F,INT(B630),FER_NLP,"Sí"),COUNTIFS(FER_F,INT(B630),FER_NLM,"Sí"))=0),1,0),0)</f>
        <v>0</v>
      </c>
      <c r="AI630" s="80">
        <f>IF(AC630=1,IF(AND(INDEX(CFG_WDAYS,WEEKDAY(INT(B630)+1,2))="Sí",IF(D630="proMX",COUNTIFS(FER_F,INT(B630)+1,FER_NLP,"Sí"),COUNTIFS(FER_F,INT(B630)+1,FER_NLM,"Sí"))=0),1,0),0)</f>
        <v>0</v>
      </c>
      <c r="AJ630" s="80">
        <f>IF(AC630=1,1440-Z630,AD630)</f>
        <v>0</v>
      </c>
      <c r="AK630" s="80">
        <f>IF(AND(AB630=1,AH630=1),MAX(0,MIN(IF(AC630=1,1440,AA630),CFG_WEM)-MAX(Z630,CFG_WSM)),0)</f>
        <v>0</v>
      </c>
      <c r="AL630" s="80">
        <f>IF(AND(AC630=1,AI630=1),MAX(0,MIN(AA630,CFG_WEM)-CFG_WSM),0)</f>
        <v>0</v>
      </c>
      <c r="AM630" s="80">
        <f>AK630+AL630</f>
        <v>0</v>
      </c>
      <c r="AN630" s="80">
        <f>IF(CFG_BRK="Proporcional",IF(AD630=0,0,AF630*AM630/AD630),IF(CFG_BRK="Extras primero",MIN(AM630,MAX(0,AF630-(AD630-AM630))),MIN(AF630,AM630)))</f>
        <v>0</v>
      </c>
      <c r="AO630" s="80">
        <f>AF630-AN630</f>
        <v>0</v>
      </c>
      <c r="AP630" s="80">
        <f>AM630-AN630</f>
        <v>0</v>
      </c>
      <c r="AQ630" s="80">
        <f>AD630-AM630-AO630</f>
        <v>0</v>
      </c>
      <c r="AR630" s="80">
        <f>IF(AM630=0,0,AK630-AN630*AK630/AM630)</f>
        <v>0</v>
      </c>
      <c r="AS630" s="80">
        <f>IF(AD630-AM630=0,0,(AJ630-AK630)-AO630*(AJ630-AK630)/(AD630-AM630))</f>
        <v>0</v>
      </c>
      <c r="AT630" s="80" t="str">
        <f>IF(AC630=1,INT(B630)+1,"")</f>
        <v/>
      </c>
      <c r="AU630" s="80">
        <f>IF(AND(D630="proMX",R630="Cancelled"),0,1)</f>
        <v>1</v>
      </c>
      <c r="AV630" s="80">
        <f>IF(AND(AB630=1,AU630=1),IF(COUNTIFS($D$5:D629,D630,$B$5:B629,B630,$Z$5:Z629,Z630,$AA$5:AA629,AA630,$F$5:F629,F630&amp;"",$AU$5:AU629,1)&gt;0,1,0),0)</f>
        <v>0</v>
      </c>
      <c r="AW630" s="80" t="str">
        <f>IF(AB630=1,INT(B630)*1440+Z630,"")</f>
        <v/>
      </c>
      <c r="AX630" s="80" t="str">
        <f>IF(AB630=1,AW630+AD630,"")</f>
        <v/>
      </c>
      <c r="AY630" s="80">
        <f>IF(AND(AB630=1,AV630=0,AU630=1),1,0)</f>
        <v>0</v>
      </c>
      <c r="AZ630" s="80">
        <f>IF(AY630=1,COUNTIFS(R_Emp,D630,R_SAbs,"&lt;"&amp;AX630,R_EAbs,"&gt;"&amp;AW630,R_OKey,1)-1,0)</f>
        <v>0</v>
      </c>
      <c r="BA630" s="80">
        <f>IF(AY630=1,COUNTIFS(R_Emp,"&lt;&gt;"&amp;D630,R_SAbs,"&lt;"&amp;AX630,R_EAbs,"&gt;"&amp;AW630,R_OKey,1),0)</f>
        <v>0</v>
      </c>
      <c r="BB630" s="80">
        <f>IF(AND(AB630=1,D630="proMX"),IF(AND(MOD(Z630,CFG_BLK)=0,MOD(AA630,CFG_BLK)=0,MOD(AG630,CFG_BLK)=0,AG630&gt;0),1,0),1)</f>
        <v>1</v>
      </c>
      <c r="BC630" s="80" t="str">
        <f>IF(Y630=0,"",IF(NOT(ISNUMBER(B630)),"Falta fecha o fecha inválida",IF(D630="","Falta empresa",IF(AND(D630&lt;&gt;"Malcolm",D630&lt;&gt;"proMX"),"Empresa inválida",IF(OR(INT(B630)&lt;CFG_PSTART,INT(B630)&gt;CFG_PEND),"Fecha fuera del período",IF(OR(NOT(ISNUMBER(Z630)),NOT(ISNUMBER(AA630))),"Falta hora inicio/fin o formato inválido",IF(AB630=0,"Hora inicio = hora fin",IF(AE630&lt;0,"Descanso inválido",IF(AE630&gt;=AD630,"Descanso ≥ duración",IF(AV630=1,"Registro duplicado",IF(AZ630&gt;0,"Se superpone con otro registro "&amp;D630,IF(BB630=0,"inicio, fin y duración neta deben ser múltiplos de "&amp;CFG_BLK&amp;" min",""))))))))))))</f>
        <v/>
      </c>
      <c r="BD630" s="80">
        <f>IF(AND(Y630=1,BC630=""),1,0)</f>
        <v>0</v>
      </c>
      <c r="BE630" s="80">
        <f>IF(AND(BD630=1,AU630=1),1,0)</f>
        <v>0</v>
      </c>
      <c r="BF630" s="80" t="str">
        <f>IF(AND(D630="proMX",BD630=1),IF(R630="","Draft",R630),"")</f>
        <v/>
      </c>
      <c r="BG630" s="80">
        <f>IF(BD630=1,ROUND(AG630/60,6),0)</f>
        <v>0</v>
      </c>
      <c r="BH630" s="80">
        <f>IF(BE630=1,ROUND(AG630/60,6),0)</f>
        <v>0</v>
      </c>
      <c r="BI630" s="80">
        <f>IF(BE630=1,ROUND(AP630/60,6),0)</f>
        <v>0</v>
      </c>
      <c r="BJ630" s="80">
        <f>IF(BE630=1,ROUND(AQ630/60,6),0)</f>
        <v>0</v>
      </c>
      <c r="BK630" s="80">
        <f>IF(BE630=1,ROUND((AR630+AS630)/60,6),0)</f>
        <v>0</v>
      </c>
      <c r="BL630" s="80">
        <f>ROUND(BH630-BK630,6)</f>
        <v>0</v>
      </c>
      <c r="BM630" s="80">
        <f>IF(BE630=1,ROUND(AR630/60,6),0)</f>
        <v>0</v>
      </c>
      <c r="BN630" s="80">
        <f>ROUND(BI630-BM630,6)</f>
        <v>0</v>
      </c>
      <c r="BO630" s="80">
        <f>IF(BE630=1,ROUND(AS630/60,6),0)</f>
        <v>0</v>
      </c>
      <c r="BP630" s="80">
        <f>ROUND(BJ630-BO630,6)</f>
        <v>0</v>
      </c>
      <c r="BQ630" s="80">
        <f>IF(BE630=1,AW630,0)</f>
        <v>0</v>
      </c>
      <c r="BR630" s="80">
        <f>IF(BE630=1,AX630,0)</f>
        <v>0</v>
      </c>
      <c r="BS630" s="80">
        <f>IF(AND(BE630=1,D630="Malcolm",BA630&gt;0),MIN(BH630,SUMPRODUCT((R_Emp="proMX")*(R_EN&gt;0)*((R_EN-(R_EN&gt;BR630)*(R_EN-BR630))&gt;(R_SN+(R_SN&lt;BQ630)*(BQ630-R_SN)))*((R_EN-(R_EN&gt;BR630)*(R_EN-BR630))-(R_SN+(R_SN&lt;BQ630)*(BQ630-R_SN))))/60),0)</f>
        <v>0</v>
      </c>
      <c r="BT630" s="80">
        <f>IF(AND(BE630=1,D630="proMX"),ROUND(BI630*CFG_RATE+BJ630*CFG_OTRATE,6),0)</f>
        <v>0</v>
      </c>
      <c r="BU630" s="80">
        <f>IF(AND(BD630=1,D630="proMX"),ROUND(AG630/CFG_BLK,6),0)</f>
        <v>0</v>
      </c>
      <c r="BV630" s="80" t="str">
        <f>IF(BF630="Approved",IF(ISNUMBER(T630),INT(T630),INT(B630)),"")</f>
        <v/>
      </c>
      <c r="BW630" s="80">
        <f>IF(ISNUMBER(B630),IF(DB_MON="Todos",1,IF(AND(INT(B630)&gt;=DB_MS,INT(B630)&lt;=DB_ME),1,0)),0)</f>
        <v>0</v>
      </c>
      <c r="BX630" s="80">
        <f>IF(DB_PROJ="Todos",1,IF(E630&amp;""=DB_PROJ&amp;"",1,0))</f>
        <v>1</v>
      </c>
      <c r="BY630" s="80">
        <f>BW630*BX630</f>
        <v>0</v>
      </c>
      <c r="BZ630" s="80" t="str">
        <f>IF(Y630=1,F630&amp;IF(AND(F630&amp;""&lt;&gt;"",E630&amp;""&lt;&gt;"")," · ","")&amp;E630,"")</f>
        <v/>
      </c>
      <c r="CA630" s="80" t="str">
        <f>IF(AND(BD630=1,E630&amp;""&lt;&gt;""),IF(COUNTIFS($E$5:E629,E630,$BD$5:BD629,1)=0,MAX($CA$5:CA629)+1,""),"")</f>
        <v/>
      </c>
      <c r="CB630" s="80" t="str">
        <f>IF(AND(BE630=1,D630="Malcolm",E630&amp;""&lt;&gt;""),IF(COUNTIFS($D$5:D629,"Malcolm",$E$5:E629,E630,$BE$5:BE629,1)=0,MAX($CB$5:CB629)+1,""),"")</f>
        <v/>
      </c>
      <c r="CC630" s="80" t="str">
        <f>IF(AND(BD630=1,D630="proMX",E630&amp;""&lt;&gt;""),IF(COUNTIFS($D$5:D629,"proMX",$E$5:E629,E630,$BD$5:BD629,1)=0,MAX($CC$5:CC629)+1,""),"")</f>
        <v/>
      </c>
      <c r="CD630" s="80" t="str">
        <f>IF(AND(BE630=1,D630="Malcolm",F630&amp;""&lt;&gt;""),IF(COUNTIFS($D$5:D629,"Malcolm",$F$5:F629,F630,$BE$5:BE629,1)=0,MAX($CD$5:CD629)+1,""),"")</f>
        <v/>
      </c>
      <c r="CE630" s="80" t="str">
        <f>IF(AND(BD630=1,D630="proMX",F630&amp;""&lt;&gt;""),IF(COUNTIFS($D$5:D629,"proMX",$F$5:F629,F630,$BD$5:BD629,1)=0,MAX($CE$5:CE629)+1,""),"")</f>
        <v/>
      </c>
      <c r="CF630" s="80" t="str">
        <f>IF(AND(D630="proMX",BD630=1),IF(OR(BF630="Draft",BF630="Submitted",BF630="Returned",BF630="Recall Requested"),MAX($CF$5:CF629)+1,""),"")</f>
        <v/>
      </c>
      <c r="CG630" s="80">
        <f>IF(BD630=0,0,IF(D630="Malcolm",1,MATCH(BF630,{"Draft","Submitted","Approved","Returned","Recall Requested","Cancelled"},0)+1))</f>
        <v>0</v>
      </c>
      <c r="CH630" s="80">
        <f>IF(AND(BF630="Submitted",ISNUMBER(V630)),IF(V630&gt;CFG_MAXD,1,0),0)</f>
        <v>0</v>
      </c>
    </row>
    <row r="631">
      <c r="A631" s="71" t="str">
        <f>IF(Y631=1,ROW()-5,"")</f>
        <v/>
      </c>
      <c r="B631" s="72" t="n"/>
      <c r="C631" s="71" t="str">
        <f>IF(ISNUMBER(B631),CHOOSE(WEEKDAY(B631,2),"Lun","Mar","Mié","Jue","Vie","Sáb","Dom"),"")</f>
        <v/>
      </c>
      <c r="D631" s="73" t="n"/>
      <c r="E631" s="74" t="n"/>
      <c r="F631" s="74" t="n"/>
      <c r="G631" s="74" t="n"/>
      <c r="H631" s="75" t="n"/>
      <c r="I631" s="75" t="n"/>
      <c r="J631" s="76" t="n"/>
      <c r="K631" s="77" t="str">
        <f>IF(AB631=1,ROUND(AG631/60,4),"")</f>
        <v/>
      </c>
      <c r="L631" s="77" t="str">
        <f>IF(BD631=1,ROUND(AP631/60,4),"")</f>
        <v/>
      </c>
      <c r="M631" s="77" t="str">
        <f>IF(BD631=1,ROUND(AQ631/60,4),"")</f>
        <v/>
      </c>
      <c r="N631" s="71" t="str">
        <f>IF(AND(D631="proMX",AB631=1),ROUND(AG631/CFG_BLK,2),"")</f>
        <v/>
      </c>
      <c r="O631" s="77" t="str">
        <f>IF(D631="proMX",IF(BD631=1,ROUND(AG631/60,4),0),"")</f>
        <v/>
      </c>
      <c r="P631" s="78" t="str">
        <f>IF(Y631=0,"",IF(BD631=1,"OK",IF(D631="proMX","Revisar bloques: ","Revisar: ")&amp;BC631))</f>
        <v/>
      </c>
      <c r="Q631" s="78" t="str">
        <f>IF(NOT(ISNUMBER(B631)),"",IF(COUNTIFS(FER_F,INT(B631))&gt;0,"Feriado"&amp;IF(AH631=1," (laborable)"," (no laborable)"),IF(AH631=1,"Laborable",IF(WEEKDAY(B631,2)&gt;5,"Fin de semana","No laborable"))))</f>
        <v/>
      </c>
      <c r="R631" s="73" t="n"/>
      <c r="S631" s="72" t="n"/>
      <c r="T631" s="72" t="n"/>
      <c r="U631" s="74" t="n"/>
      <c r="V631" s="79" t="str">
        <f>IF(AND(D631="proMX",OR(R631="Submitted",R631="Recall Requested"),ISNUMBER(S631)),CFG_TODAY-INT(S631),"")</f>
        <v/>
      </c>
      <c r="W631" s="78" t="str">
        <f>IF(BD631=0,"",IF(BA631&gt;0,"⚠ Se superpone con un registro de la otra empresa",IF(D631="Malcolm",IF(COUNTA(R631,S631,T631)&gt;0,"Estado/fechas proMX se ignoran en Malcolm",""),IF(BF631="Cancelled","Cancelado: excluido de totales",IF(R631="","Sin estado: se trata como Draft",IF(BF631="Submitted",IF(ISNUMBER(V631),IF(V631&gt;CFG_MAXD,"⚠ "&amp;V631&amp;" días en Submitted (máx. "&amp;CFG_MAXD&amp;")",""),"Falta fecha de envío"),IF(BF631="Returned","⚠ Devuelto: corregir y reenviar",IF(BF631="Recall Requested","Retirada solicitada: pendiente",IF(AND(BF631="Approved",NOT(ISNUMBER(T631))),"Falta fecha de aprobación",IF(AND(ISNUMBER(S631),ISNUMBER(T631),T631&lt;S631),"Aprobación anterior al envío","")))))))))</f>
        <v/>
      </c>
      <c r="Y631" s="80">
        <f>IF(COUNTA(B631,D631,E631,F631,G631,H631,I631,J631,R631,S631,T631)&gt;0,1,0)</f>
        <v>0</v>
      </c>
      <c r="Z631" s="80" t="str">
        <f>IF(AND(ISNUMBER(H631),H631&gt;=0,H631&lt;1),ROUND(H631*1440,0),"")</f>
        <v/>
      </c>
      <c r="AA631" s="80" t="str">
        <f>IF(AND(ISNUMBER(I631),I631&gt;=0,I631&lt;1),ROUND(I631*1440,0),"")</f>
        <v/>
      </c>
      <c r="AB631" s="80">
        <f>IF(AND(ISNUMBER(B631),D631&lt;&gt;"",ISNUMBER(Z631),ISNUMBER(AA631)),IF(Z631=AA631,0,1),0)</f>
        <v>0</v>
      </c>
      <c r="AC631" s="80">
        <f>IF(AB631=1,IF(AA631&lt;Z631,1,0),0)</f>
        <v>0</v>
      </c>
      <c r="AD631" s="80">
        <f>IF(AB631=1,IF(AC631=1,1440-Z631+AA631,AA631-Z631),0)</f>
        <v>0</v>
      </c>
      <c r="AE631" s="80">
        <f>IF(J631="",0,IF(ISNUMBER(J631),J631,-1))</f>
        <v>0</v>
      </c>
      <c r="AF631" s="80">
        <f>MIN(MAX(0,AE631),AD631)</f>
        <v>0</v>
      </c>
      <c r="AG631" s="80">
        <f>MAX(0,AD631-MAX(0,AE631))</f>
        <v>0</v>
      </c>
      <c r="AH631" s="80">
        <f>IF(ISNUMBER(B631),IF(AND(INDEX(CFG_WDAYS,WEEKDAY(INT(B631),2))="Sí",IF(D631="proMX",COUNTIFS(FER_F,INT(B631),FER_NLP,"Sí"),COUNTIFS(FER_F,INT(B631),FER_NLM,"Sí"))=0),1,0),0)</f>
        <v>0</v>
      </c>
      <c r="AI631" s="80">
        <f>IF(AC631=1,IF(AND(INDEX(CFG_WDAYS,WEEKDAY(INT(B631)+1,2))="Sí",IF(D631="proMX",COUNTIFS(FER_F,INT(B631)+1,FER_NLP,"Sí"),COUNTIFS(FER_F,INT(B631)+1,FER_NLM,"Sí"))=0),1,0),0)</f>
        <v>0</v>
      </c>
      <c r="AJ631" s="80">
        <f>IF(AC631=1,1440-Z631,AD631)</f>
        <v>0</v>
      </c>
      <c r="AK631" s="80">
        <f>IF(AND(AB631=1,AH631=1),MAX(0,MIN(IF(AC631=1,1440,AA631),CFG_WEM)-MAX(Z631,CFG_WSM)),0)</f>
        <v>0</v>
      </c>
      <c r="AL631" s="80">
        <f>IF(AND(AC631=1,AI631=1),MAX(0,MIN(AA631,CFG_WEM)-CFG_WSM),0)</f>
        <v>0</v>
      </c>
      <c r="AM631" s="80">
        <f>AK631+AL631</f>
        <v>0</v>
      </c>
      <c r="AN631" s="80">
        <f>IF(CFG_BRK="Proporcional",IF(AD631=0,0,AF631*AM631/AD631),IF(CFG_BRK="Extras primero",MIN(AM631,MAX(0,AF631-(AD631-AM631))),MIN(AF631,AM631)))</f>
        <v>0</v>
      </c>
      <c r="AO631" s="80">
        <f>AF631-AN631</f>
        <v>0</v>
      </c>
      <c r="AP631" s="80">
        <f>AM631-AN631</f>
        <v>0</v>
      </c>
      <c r="AQ631" s="80">
        <f>AD631-AM631-AO631</f>
        <v>0</v>
      </c>
      <c r="AR631" s="80">
        <f>IF(AM631=0,0,AK631-AN631*AK631/AM631)</f>
        <v>0</v>
      </c>
      <c r="AS631" s="80">
        <f>IF(AD631-AM631=0,0,(AJ631-AK631)-AO631*(AJ631-AK631)/(AD631-AM631))</f>
        <v>0</v>
      </c>
      <c r="AT631" s="80" t="str">
        <f>IF(AC631=1,INT(B631)+1,"")</f>
        <v/>
      </c>
      <c r="AU631" s="80">
        <f>IF(AND(D631="proMX",R631="Cancelled"),0,1)</f>
        <v>1</v>
      </c>
      <c r="AV631" s="80">
        <f>IF(AND(AB631=1,AU631=1),IF(COUNTIFS($D$5:D630,D631,$B$5:B630,B631,$Z$5:Z630,Z631,$AA$5:AA630,AA631,$F$5:F630,F631&amp;"",$AU$5:AU630,1)&gt;0,1,0),0)</f>
        <v>0</v>
      </c>
      <c r="AW631" s="80" t="str">
        <f>IF(AB631=1,INT(B631)*1440+Z631,"")</f>
        <v/>
      </c>
      <c r="AX631" s="80" t="str">
        <f>IF(AB631=1,AW631+AD631,"")</f>
        <v/>
      </c>
      <c r="AY631" s="80">
        <f>IF(AND(AB631=1,AV631=0,AU631=1),1,0)</f>
        <v>0</v>
      </c>
      <c r="AZ631" s="80">
        <f>IF(AY631=1,COUNTIFS(R_Emp,D631,R_SAbs,"&lt;"&amp;AX631,R_EAbs,"&gt;"&amp;AW631,R_OKey,1)-1,0)</f>
        <v>0</v>
      </c>
      <c r="BA631" s="80">
        <f>IF(AY631=1,COUNTIFS(R_Emp,"&lt;&gt;"&amp;D631,R_SAbs,"&lt;"&amp;AX631,R_EAbs,"&gt;"&amp;AW631,R_OKey,1),0)</f>
        <v>0</v>
      </c>
      <c r="BB631" s="80">
        <f>IF(AND(AB631=1,D631="proMX"),IF(AND(MOD(Z631,CFG_BLK)=0,MOD(AA631,CFG_BLK)=0,MOD(AG631,CFG_BLK)=0,AG631&gt;0),1,0),1)</f>
        <v>1</v>
      </c>
      <c r="BC631" s="80" t="str">
        <f>IF(Y631=0,"",IF(NOT(ISNUMBER(B631)),"Falta fecha o fecha inválida",IF(D631="","Falta empresa",IF(AND(D631&lt;&gt;"Malcolm",D631&lt;&gt;"proMX"),"Empresa inválida",IF(OR(INT(B631)&lt;CFG_PSTART,INT(B631)&gt;CFG_PEND),"Fecha fuera del período",IF(OR(NOT(ISNUMBER(Z631)),NOT(ISNUMBER(AA631))),"Falta hora inicio/fin o formato inválido",IF(AB631=0,"Hora inicio = hora fin",IF(AE631&lt;0,"Descanso inválido",IF(AE631&gt;=AD631,"Descanso ≥ duración",IF(AV631=1,"Registro duplicado",IF(AZ631&gt;0,"Se superpone con otro registro "&amp;D631,IF(BB631=0,"inicio, fin y duración neta deben ser múltiplos de "&amp;CFG_BLK&amp;" min",""))))))))))))</f>
        <v/>
      </c>
      <c r="BD631" s="80">
        <f>IF(AND(Y631=1,BC631=""),1,0)</f>
        <v>0</v>
      </c>
      <c r="BE631" s="80">
        <f>IF(AND(BD631=1,AU631=1),1,0)</f>
        <v>0</v>
      </c>
      <c r="BF631" s="80" t="str">
        <f>IF(AND(D631="proMX",BD631=1),IF(R631="","Draft",R631),"")</f>
        <v/>
      </c>
      <c r="BG631" s="80">
        <f>IF(BD631=1,ROUND(AG631/60,6),0)</f>
        <v>0</v>
      </c>
      <c r="BH631" s="80">
        <f>IF(BE631=1,ROUND(AG631/60,6),0)</f>
        <v>0</v>
      </c>
      <c r="BI631" s="80">
        <f>IF(BE631=1,ROUND(AP631/60,6),0)</f>
        <v>0</v>
      </c>
      <c r="BJ631" s="80">
        <f>IF(BE631=1,ROUND(AQ631/60,6),0)</f>
        <v>0</v>
      </c>
      <c r="BK631" s="80">
        <f>IF(BE631=1,ROUND((AR631+AS631)/60,6),0)</f>
        <v>0</v>
      </c>
      <c r="BL631" s="80">
        <f>ROUND(BH631-BK631,6)</f>
        <v>0</v>
      </c>
      <c r="BM631" s="80">
        <f>IF(BE631=1,ROUND(AR631/60,6),0)</f>
        <v>0</v>
      </c>
      <c r="BN631" s="80">
        <f>ROUND(BI631-BM631,6)</f>
        <v>0</v>
      </c>
      <c r="BO631" s="80">
        <f>IF(BE631=1,ROUND(AS631/60,6),0)</f>
        <v>0</v>
      </c>
      <c r="BP631" s="80">
        <f>ROUND(BJ631-BO631,6)</f>
        <v>0</v>
      </c>
      <c r="BQ631" s="80">
        <f>IF(BE631=1,AW631,0)</f>
        <v>0</v>
      </c>
      <c r="BR631" s="80">
        <f>IF(BE631=1,AX631,0)</f>
        <v>0</v>
      </c>
      <c r="BS631" s="80">
        <f>IF(AND(BE631=1,D631="Malcolm",BA631&gt;0),MIN(BH631,SUMPRODUCT((R_Emp="proMX")*(R_EN&gt;0)*((R_EN-(R_EN&gt;BR631)*(R_EN-BR631))&gt;(R_SN+(R_SN&lt;BQ631)*(BQ631-R_SN)))*((R_EN-(R_EN&gt;BR631)*(R_EN-BR631))-(R_SN+(R_SN&lt;BQ631)*(BQ631-R_SN))))/60),0)</f>
        <v>0</v>
      </c>
      <c r="BT631" s="80">
        <f>IF(AND(BE631=1,D631="proMX"),ROUND(BI631*CFG_RATE+BJ631*CFG_OTRATE,6),0)</f>
        <v>0</v>
      </c>
      <c r="BU631" s="80">
        <f>IF(AND(BD631=1,D631="proMX"),ROUND(AG631/CFG_BLK,6),0)</f>
        <v>0</v>
      </c>
      <c r="BV631" s="80" t="str">
        <f>IF(BF631="Approved",IF(ISNUMBER(T631),INT(T631),INT(B631)),"")</f>
        <v/>
      </c>
      <c r="BW631" s="80">
        <f>IF(ISNUMBER(B631),IF(DB_MON="Todos",1,IF(AND(INT(B631)&gt;=DB_MS,INT(B631)&lt;=DB_ME),1,0)),0)</f>
        <v>0</v>
      </c>
      <c r="BX631" s="80">
        <f>IF(DB_PROJ="Todos",1,IF(E631&amp;""=DB_PROJ&amp;"",1,0))</f>
        <v>1</v>
      </c>
      <c r="BY631" s="80">
        <f>BW631*BX631</f>
        <v>0</v>
      </c>
      <c r="BZ631" s="80" t="str">
        <f>IF(Y631=1,F631&amp;IF(AND(F631&amp;""&lt;&gt;"",E631&amp;""&lt;&gt;"")," · ","")&amp;E631,"")</f>
        <v/>
      </c>
      <c r="CA631" s="80" t="str">
        <f>IF(AND(BD631=1,E631&amp;""&lt;&gt;""),IF(COUNTIFS($E$5:E630,E631,$BD$5:BD630,1)=0,MAX($CA$5:CA630)+1,""),"")</f>
        <v/>
      </c>
      <c r="CB631" s="80" t="str">
        <f>IF(AND(BE631=1,D631="Malcolm",E631&amp;""&lt;&gt;""),IF(COUNTIFS($D$5:D630,"Malcolm",$E$5:E630,E631,$BE$5:BE630,1)=0,MAX($CB$5:CB630)+1,""),"")</f>
        <v/>
      </c>
      <c r="CC631" s="80" t="str">
        <f>IF(AND(BD631=1,D631="proMX",E631&amp;""&lt;&gt;""),IF(COUNTIFS($D$5:D630,"proMX",$E$5:E630,E631,$BD$5:BD630,1)=0,MAX($CC$5:CC630)+1,""),"")</f>
        <v/>
      </c>
      <c r="CD631" s="80" t="str">
        <f>IF(AND(BE631=1,D631="Malcolm",F631&amp;""&lt;&gt;""),IF(COUNTIFS($D$5:D630,"Malcolm",$F$5:F630,F631,$BE$5:BE630,1)=0,MAX($CD$5:CD630)+1,""),"")</f>
        <v/>
      </c>
      <c r="CE631" s="80" t="str">
        <f>IF(AND(BD631=1,D631="proMX",F631&amp;""&lt;&gt;""),IF(COUNTIFS($D$5:D630,"proMX",$F$5:F630,F631,$BD$5:BD630,1)=0,MAX($CE$5:CE630)+1,""),"")</f>
        <v/>
      </c>
      <c r="CF631" s="80" t="str">
        <f>IF(AND(D631="proMX",BD631=1),IF(OR(BF631="Draft",BF631="Submitted",BF631="Returned",BF631="Recall Requested"),MAX($CF$5:CF630)+1,""),"")</f>
        <v/>
      </c>
      <c r="CG631" s="80">
        <f>IF(BD631=0,0,IF(D631="Malcolm",1,MATCH(BF631,{"Draft","Submitted","Approved","Returned","Recall Requested","Cancelled"},0)+1))</f>
        <v>0</v>
      </c>
      <c r="CH631" s="80">
        <f>IF(AND(BF631="Submitted",ISNUMBER(V631)),IF(V631&gt;CFG_MAXD,1,0),0)</f>
        <v>0</v>
      </c>
    </row>
    <row r="632">
      <c r="A632" s="71" t="str">
        <f>IF(Y632=1,ROW()-5,"")</f>
        <v/>
      </c>
      <c r="B632" s="72" t="n"/>
      <c r="C632" s="71" t="str">
        <f>IF(ISNUMBER(B632),CHOOSE(WEEKDAY(B632,2),"Lun","Mar","Mié","Jue","Vie","Sáb","Dom"),"")</f>
        <v/>
      </c>
      <c r="D632" s="73" t="n"/>
      <c r="E632" s="74" t="n"/>
      <c r="F632" s="74" t="n"/>
      <c r="G632" s="74" t="n"/>
      <c r="H632" s="75" t="n"/>
      <c r="I632" s="75" t="n"/>
      <c r="J632" s="76" t="n"/>
      <c r="K632" s="77" t="str">
        <f>IF(AB632=1,ROUND(AG632/60,4),"")</f>
        <v/>
      </c>
      <c r="L632" s="77" t="str">
        <f>IF(BD632=1,ROUND(AP632/60,4),"")</f>
        <v/>
      </c>
      <c r="M632" s="77" t="str">
        <f>IF(BD632=1,ROUND(AQ632/60,4),"")</f>
        <v/>
      </c>
      <c r="N632" s="71" t="str">
        <f>IF(AND(D632="proMX",AB632=1),ROUND(AG632/CFG_BLK,2),"")</f>
        <v/>
      </c>
      <c r="O632" s="77" t="str">
        <f>IF(D632="proMX",IF(BD632=1,ROUND(AG632/60,4),0),"")</f>
        <v/>
      </c>
      <c r="P632" s="78" t="str">
        <f>IF(Y632=0,"",IF(BD632=1,"OK",IF(D632="proMX","Revisar bloques: ","Revisar: ")&amp;BC632))</f>
        <v/>
      </c>
      <c r="Q632" s="78" t="str">
        <f>IF(NOT(ISNUMBER(B632)),"",IF(COUNTIFS(FER_F,INT(B632))&gt;0,"Feriado"&amp;IF(AH632=1," (laborable)"," (no laborable)"),IF(AH632=1,"Laborable",IF(WEEKDAY(B632,2)&gt;5,"Fin de semana","No laborable"))))</f>
        <v/>
      </c>
      <c r="R632" s="73" t="n"/>
      <c r="S632" s="72" t="n"/>
      <c r="T632" s="72" t="n"/>
      <c r="U632" s="74" t="n"/>
      <c r="V632" s="79" t="str">
        <f>IF(AND(D632="proMX",OR(R632="Submitted",R632="Recall Requested"),ISNUMBER(S632)),CFG_TODAY-INT(S632),"")</f>
        <v/>
      </c>
      <c r="W632" s="78" t="str">
        <f>IF(BD632=0,"",IF(BA632&gt;0,"⚠ Se superpone con un registro de la otra empresa",IF(D632="Malcolm",IF(COUNTA(R632,S632,T632)&gt;0,"Estado/fechas proMX se ignoran en Malcolm",""),IF(BF632="Cancelled","Cancelado: excluido de totales",IF(R632="","Sin estado: se trata como Draft",IF(BF632="Submitted",IF(ISNUMBER(V632),IF(V632&gt;CFG_MAXD,"⚠ "&amp;V632&amp;" días en Submitted (máx. "&amp;CFG_MAXD&amp;")",""),"Falta fecha de envío"),IF(BF632="Returned","⚠ Devuelto: corregir y reenviar",IF(BF632="Recall Requested","Retirada solicitada: pendiente",IF(AND(BF632="Approved",NOT(ISNUMBER(T632))),"Falta fecha de aprobación",IF(AND(ISNUMBER(S632),ISNUMBER(T632),T632&lt;S632),"Aprobación anterior al envío","")))))))))</f>
        <v/>
      </c>
      <c r="Y632" s="80">
        <f>IF(COUNTA(B632,D632,E632,F632,G632,H632,I632,J632,R632,S632,T632)&gt;0,1,0)</f>
        <v>0</v>
      </c>
      <c r="Z632" s="80" t="str">
        <f>IF(AND(ISNUMBER(H632),H632&gt;=0,H632&lt;1),ROUND(H632*1440,0),"")</f>
        <v/>
      </c>
      <c r="AA632" s="80" t="str">
        <f>IF(AND(ISNUMBER(I632),I632&gt;=0,I632&lt;1),ROUND(I632*1440,0),"")</f>
        <v/>
      </c>
      <c r="AB632" s="80">
        <f>IF(AND(ISNUMBER(B632),D632&lt;&gt;"",ISNUMBER(Z632),ISNUMBER(AA632)),IF(Z632=AA632,0,1),0)</f>
        <v>0</v>
      </c>
      <c r="AC632" s="80">
        <f>IF(AB632=1,IF(AA632&lt;Z632,1,0),0)</f>
        <v>0</v>
      </c>
      <c r="AD632" s="80">
        <f>IF(AB632=1,IF(AC632=1,1440-Z632+AA632,AA632-Z632),0)</f>
        <v>0</v>
      </c>
      <c r="AE632" s="80">
        <f>IF(J632="",0,IF(ISNUMBER(J632),J632,-1))</f>
        <v>0</v>
      </c>
      <c r="AF632" s="80">
        <f>MIN(MAX(0,AE632),AD632)</f>
        <v>0</v>
      </c>
      <c r="AG632" s="80">
        <f>MAX(0,AD632-MAX(0,AE632))</f>
        <v>0</v>
      </c>
      <c r="AH632" s="80">
        <f>IF(ISNUMBER(B632),IF(AND(INDEX(CFG_WDAYS,WEEKDAY(INT(B632),2))="Sí",IF(D632="proMX",COUNTIFS(FER_F,INT(B632),FER_NLP,"Sí"),COUNTIFS(FER_F,INT(B632),FER_NLM,"Sí"))=0),1,0),0)</f>
        <v>0</v>
      </c>
      <c r="AI632" s="80">
        <f>IF(AC632=1,IF(AND(INDEX(CFG_WDAYS,WEEKDAY(INT(B632)+1,2))="Sí",IF(D632="proMX",COUNTIFS(FER_F,INT(B632)+1,FER_NLP,"Sí"),COUNTIFS(FER_F,INT(B632)+1,FER_NLM,"Sí"))=0),1,0),0)</f>
        <v>0</v>
      </c>
      <c r="AJ632" s="80">
        <f>IF(AC632=1,1440-Z632,AD632)</f>
        <v>0</v>
      </c>
      <c r="AK632" s="80">
        <f>IF(AND(AB632=1,AH632=1),MAX(0,MIN(IF(AC632=1,1440,AA632),CFG_WEM)-MAX(Z632,CFG_WSM)),0)</f>
        <v>0</v>
      </c>
      <c r="AL632" s="80">
        <f>IF(AND(AC632=1,AI632=1),MAX(0,MIN(AA632,CFG_WEM)-CFG_WSM),0)</f>
        <v>0</v>
      </c>
      <c r="AM632" s="80">
        <f>AK632+AL632</f>
        <v>0</v>
      </c>
      <c r="AN632" s="80">
        <f>IF(CFG_BRK="Proporcional",IF(AD632=0,0,AF632*AM632/AD632),IF(CFG_BRK="Extras primero",MIN(AM632,MAX(0,AF632-(AD632-AM632))),MIN(AF632,AM632)))</f>
        <v>0</v>
      </c>
      <c r="AO632" s="80">
        <f>AF632-AN632</f>
        <v>0</v>
      </c>
      <c r="AP632" s="80">
        <f>AM632-AN632</f>
        <v>0</v>
      </c>
      <c r="AQ632" s="80">
        <f>AD632-AM632-AO632</f>
        <v>0</v>
      </c>
      <c r="AR632" s="80">
        <f>IF(AM632=0,0,AK632-AN632*AK632/AM632)</f>
        <v>0</v>
      </c>
      <c r="AS632" s="80">
        <f>IF(AD632-AM632=0,0,(AJ632-AK632)-AO632*(AJ632-AK632)/(AD632-AM632))</f>
        <v>0</v>
      </c>
      <c r="AT632" s="80" t="str">
        <f>IF(AC632=1,INT(B632)+1,"")</f>
        <v/>
      </c>
      <c r="AU632" s="80">
        <f>IF(AND(D632="proMX",R632="Cancelled"),0,1)</f>
        <v>1</v>
      </c>
      <c r="AV632" s="80">
        <f>IF(AND(AB632=1,AU632=1),IF(COUNTIFS($D$5:D631,D632,$B$5:B631,B632,$Z$5:Z631,Z632,$AA$5:AA631,AA632,$F$5:F631,F632&amp;"",$AU$5:AU631,1)&gt;0,1,0),0)</f>
        <v>0</v>
      </c>
      <c r="AW632" s="80" t="str">
        <f>IF(AB632=1,INT(B632)*1440+Z632,"")</f>
        <v/>
      </c>
      <c r="AX632" s="80" t="str">
        <f>IF(AB632=1,AW632+AD632,"")</f>
        <v/>
      </c>
      <c r="AY632" s="80">
        <f>IF(AND(AB632=1,AV632=0,AU632=1),1,0)</f>
        <v>0</v>
      </c>
      <c r="AZ632" s="80">
        <f>IF(AY632=1,COUNTIFS(R_Emp,D632,R_SAbs,"&lt;"&amp;AX632,R_EAbs,"&gt;"&amp;AW632,R_OKey,1)-1,0)</f>
        <v>0</v>
      </c>
      <c r="BA632" s="80">
        <f>IF(AY632=1,COUNTIFS(R_Emp,"&lt;&gt;"&amp;D632,R_SAbs,"&lt;"&amp;AX632,R_EAbs,"&gt;"&amp;AW632,R_OKey,1),0)</f>
        <v>0</v>
      </c>
      <c r="BB632" s="80">
        <f>IF(AND(AB632=1,D632="proMX"),IF(AND(MOD(Z632,CFG_BLK)=0,MOD(AA632,CFG_BLK)=0,MOD(AG632,CFG_BLK)=0,AG632&gt;0),1,0),1)</f>
        <v>1</v>
      </c>
      <c r="BC632" s="80" t="str">
        <f>IF(Y632=0,"",IF(NOT(ISNUMBER(B632)),"Falta fecha o fecha inválida",IF(D632="","Falta empresa",IF(AND(D632&lt;&gt;"Malcolm",D632&lt;&gt;"proMX"),"Empresa inválida",IF(OR(INT(B632)&lt;CFG_PSTART,INT(B632)&gt;CFG_PEND),"Fecha fuera del período",IF(OR(NOT(ISNUMBER(Z632)),NOT(ISNUMBER(AA632))),"Falta hora inicio/fin o formato inválido",IF(AB632=0,"Hora inicio = hora fin",IF(AE632&lt;0,"Descanso inválido",IF(AE632&gt;=AD632,"Descanso ≥ duración",IF(AV632=1,"Registro duplicado",IF(AZ632&gt;0,"Se superpone con otro registro "&amp;D632,IF(BB632=0,"inicio, fin y duración neta deben ser múltiplos de "&amp;CFG_BLK&amp;" min",""))))))))))))</f>
        <v/>
      </c>
      <c r="BD632" s="80">
        <f>IF(AND(Y632=1,BC632=""),1,0)</f>
        <v>0</v>
      </c>
      <c r="BE632" s="80">
        <f>IF(AND(BD632=1,AU632=1),1,0)</f>
        <v>0</v>
      </c>
      <c r="BF632" s="80" t="str">
        <f>IF(AND(D632="proMX",BD632=1),IF(R632="","Draft",R632),"")</f>
        <v/>
      </c>
      <c r="BG632" s="80">
        <f>IF(BD632=1,ROUND(AG632/60,6),0)</f>
        <v>0</v>
      </c>
      <c r="BH632" s="80">
        <f>IF(BE632=1,ROUND(AG632/60,6),0)</f>
        <v>0</v>
      </c>
      <c r="BI632" s="80">
        <f>IF(BE632=1,ROUND(AP632/60,6),0)</f>
        <v>0</v>
      </c>
      <c r="BJ632" s="80">
        <f>IF(BE632=1,ROUND(AQ632/60,6),0)</f>
        <v>0</v>
      </c>
      <c r="BK632" s="80">
        <f>IF(BE632=1,ROUND((AR632+AS632)/60,6),0)</f>
        <v>0</v>
      </c>
      <c r="BL632" s="80">
        <f>ROUND(BH632-BK632,6)</f>
        <v>0</v>
      </c>
      <c r="BM632" s="80">
        <f>IF(BE632=1,ROUND(AR632/60,6),0)</f>
        <v>0</v>
      </c>
      <c r="BN632" s="80">
        <f>ROUND(BI632-BM632,6)</f>
        <v>0</v>
      </c>
      <c r="BO632" s="80">
        <f>IF(BE632=1,ROUND(AS632/60,6),0)</f>
        <v>0</v>
      </c>
      <c r="BP632" s="80">
        <f>ROUND(BJ632-BO632,6)</f>
        <v>0</v>
      </c>
      <c r="BQ632" s="80">
        <f>IF(BE632=1,AW632,0)</f>
        <v>0</v>
      </c>
      <c r="BR632" s="80">
        <f>IF(BE632=1,AX632,0)</f>
        <v>0</v>
      </c>
      <c r="BS632" s="80">
        <f>IF(AND(BE632=1,D632="Malcolm",BA632&gt;0),MIN(BH632,SUMPRODUCT((R_Emp="proMX")*(R_EN&gt;0)*((R_EN-(R_EN&gt;BR632)*(R_EN-BR632))&gt;(R_SN+(R_SN&lt;BQ632)*(BQ632-R_SN)))*((R_EN-(R_EN&gt;BR632)*(R_EN-BR632))-(R_SN+(R_SN&lt;BQ632)*(BQ632-R_SN))))/60),0)</f>
        <v>0</v>
      </c>
      <c r="BT632" s="80">
        <f>IF(AND(BE632=1,D632="proMX"),ROUND(BI632*CFG_RATE+BJ632*CFG_OTRATE,6),0)</f>
        <v>0</v>
      </c>
      <c r="BU632" s="80">
        <f>IF(AND(BD632=1,D632="proMX"),ROUND(AG632/CFG_BLK,6),0)</f>
        <v>0</v>
      </c>
      <c r="BV632" s="80" t="str">
        <f>IF(BF632="Approved",IF(ISNUMBER(T632),INT(T632),INT(B632)),"")</f>
        <v/>
      </c>
      <c r="BW632" s="80">
        <f>IF(ISNUMBER(B632),IF(DB_MON="Todos",1,IF(AND(INT(B632)&gt;=DB_MS,INT(B632)&lt;=DB_ME),1,0)),0)</f>
        <v>0</v>
      </c>
      <c r="BX632" s="80">
        <f>IF(DB_PROJ="Todos",1,IF(E632&amp;""=DB_PROJ&amp;"",1,0))</f>
        <v>1</v>
      </c>
      <c r="BY632" s="80">
        <f>BW632*BX632</f>
        <v>0</v>
      </c>
      <c r="BZ632" s="80" t="str">
        <f>IF(Y632=1,F632&amp;IF(AND(F632&amp;""&lt;&gt;"",E632&amp;""&lt;&gt;"")," · ","")&amp;E632,"")</f>
        <v/>
      </c>
      <c r="CA632" s="80" t="str">
        <f>IF(AND(BD632=1,E632&amp;""&lt;&gt;""),IF(COUNTIFS($E$5:E631,E632,$BD$5:BD631,1)=0,MAX($CA$5:CA631)+1,""),"")</f>
        <v/>
      </c>
      <c r="CB632" s="80" t="str">
        <f>IF(AND(BE632=1,D632="Malcolm",E632&amp;""&lt;&gt;""),IF(COUNTIFS($D$5:D631,"Malcolm",$E$5:E631,E632,$BE$5:BE631,1)=0,MAX($CB$5:CB631)+1,""),"")</f>
        <v/>
      </c>
      <c r="CC632" s="80" t="str">
        <f>IF(AND(BD632=1,D632="proMX",E632&amp;""&lt;&gt;""),IF(COUNTIFS($D$5:D631,"proMX",$E$5:E631,E632,$BD$5:BD631,1)=0,MAX($CC$5:CC631)+1,""),"")</f>
        <v/>
      </c>
      <c r="CD632" s="80" t="str">
        <f>IF(AND(BE632=1,D632="Malcolm",F632&amp;""&lt;&gt;""),IF(COUNTIFS($D$5:D631,"Malcolm",$F$5:F631,F632,$BE$5:BE631,1)=0,MAX($CD$5:CD631)+1,""),"")</f>
        <v/>
      </c>
      <c r="CE632" s="80" t="str">
        <f>IF(AND(BD632=1,D632="proMX",F632&amp;""&lt;&gt;""),IF(COUNTIFS($D$5:D631,"proMX",$F$5:F631,F632,$BD$5:BD631,1)=0,MAX($CE$5:CE631)+1,""),"")</f>
        <v/>
      </c>
      <c r="CF632" s="80" t="str">
        <f>IF(AND(D632="proMX",BD632=1),IF(OR(BF632="Draft",BF632="Submitted",BF632="Returned",BF632="Recall Requested"),MAX($CF$5:CF631)+1,""),"")</f>
        <v/>
      </c>
      <c r="CG632" s="80">
        <f>IF(BD632=0,0,IF(D632="Malcolm",1,MATCH(BF632,{"Draft","Submitted","Approved","Returned","Recall Requested","Cancelled"},0)+1))</f>
        <v>0</v>
      </c>
      <c r="CH632" s="80">
        <f>IF(AND(BF632="Submitted",ISNUMBER(V632)),IF(V632&gt;CFG_MAXD,1,0),0)</f>
        <v>0</v>
      </c>
    </row>
    <row r="633">
      <c r="A633" s="71" t="str">
        <f>IF(Y633=1,ROW()-5,"")</f>
        <v/>
      </c>
      <c r="B633" s="72" t="n"/>
      <c r="C633" s="71" t="str">
        <f>IF(ISNUMBER(B633),CHOOSE(WEEKDAY(B633,2),"Lun","Mar","Mié","Jue","Vie","Sáb","Dom"),"")</f>
        <v/>
      </c>
      <c r="D633" s="73" t="n"/>
      <c r="E633" s="74" t="n"/>
      <c r="F633" s="74" t="n"/>
      <c r="G633" s="74" t="n"/>
      <c r="H633" s="75" t="n"/>
      <c r="I633" s="75" t="n"/>
      <c r="J633" s="76" t="n"/>
      <c r="K633" s="77" t="str">
        <f>IF(AB633=1,ROUND(AG633/60,4),"")</f>
        <v/>
      </c>
      <c r="L633" s="77" t="str">
        <f>IF(BD633=1,ROUND(AP633/60,4),"")</f>
        <v/>
      </c>
      <c r="M633" s="77" t="str">
        <f>IF(BD633=1,ROUND(AQ633/60,4),"")</f>
        <v/>
      </c>
      <c r="N633" s="71" t="str">
        <f>IF(AND(D633="proMX",AB633=1),ROUND(AG633/CFG_BLK,2),"")</f>
        <v/>
      </c>
      <c r="O633" s="77" t="str">
        <f>IF(D633="proMX",IF(BD633=1,ROUND(AG633/60,4),0),"")</f>
        <v/>
      </c>
      <c r="P633" s="78" t="str">
        <f>IF(Y633=0,"",IF(BD633=1,"OK",IF(D633="proMX","Revisar bloques: ","Revisar: ")&amp;BC633))</f>
        <v/>
      </c>
      <c r="Q633" s="78" t="str">
        <f>IF(NOT(ISNUMBER(B633)),"",IF(COUNTIFS(FER_F,INT(B633))&gt;0,"Feriado"&amp;IF(AH633=1," (laborable)"," (no laborable)"),IF(AH633=1,"Laborable",IF(WEEKDAY(B633,2)&gt;5,"Fin de semana","No laborable"))))</f>
        <v/>
      </c>
      <c r="R633" s="73" t="n"/>
      <c r="S633" s="72" t="n"/>
      <c r="T633" s="72" t="n"/>
      <c r="U633" s="74" t="n"/>
      <c r="V633" s="79" t="str">
        <f>IF(AND(D633="proMX",OR(R633="Submitted",R633="Recall Requested"),ISNUMBER(S633)),CFG_TODAY-INT(S633),"")</f>
        <v/>
      </c>
      <c r="W633" s="78" t="str">
        <f>IF(BD633=0,"",IF(BA633&gt;0,"⚠ Se superpone con un registro de la otra empresa",IF(D633="Malcolm",IF(COUNTA(R633,S633,T633)&gt;0,"Estado/fechas proMX se ignoran en Malcolm",""),IF(BF633="Cancelled","Cancelado: excluido de totales",IF(R633="","Sin estado: se trata como Draft",IF(BF633="Submitted",IF(ISNUMBER(V633),IF(V633&gt;CFG_MAXD,"⚠ "&amp;V633&amp;" días en Submitted (máx. "&amp;CFG_MAXD&amp;")",""),"Falta fecha de envío"),IF(BF633="Returned","⚠ Devuelto: corregir y reenviar",IF(BF633="Recall Requested","Retirada solicitada: pendiente",IF(AND(BF633="Approved",NOT(ISNUMBER(T633))),"Falta fecha de aprobación",IF(AND(ISNUMBER(S633),ISNUMBER(T633),T633&lt;S633),"Aprobación anterior al envío","")))))))))</f>
        <v/>
      </c>
      <c r="Y633" s="80">
        <f>IF(COUNTA(B633,D633,E633,F633,G633,H633,I633,J633,R633,S633,T633)&gt;0,1,0)</f>
        <v>0</v>
      </c>
      <c r="Z633" s="80" t="str">
        <f>IF(AND(ISNUMBER(H633),H633&gt;=0,H633&lt;1),ROUND(H633*1440,0),"")</f>
        <v/>
      </c>
      <c r="AA633" s="80" t="str">
        <f>IF(AND(ISNUMBER(I633),I633&gt;=0,I633&lt;1),ROUND(I633*1440,0),"")</f>
        <v/>
      </c>
      <c r="AB633" s="80">
        <f>IF(AND(ISNUMBER(B633),D633&lt;&gt;"",ISNUMBER(Z633),ISNUMBER(AA633)),IF(Z633=AA633,0,1),0)</f>
        <v>0</v>
      </c>
      <c r="AC633" s="80">
        <f>IF(AB633=1,IF(AA633&lt;Z633,1,0),0)</f>
        <v>0</v>
      </c>
      <c r="AD633" s="80">
        <f>IF(AB633=1,IF(AC633=1,1440-Z633+AA633,AA633-Z633),0)</f>
        <v>0</v>
      </c>
      <c r="AE633" s="80">
        <f>IF(J633="",0,IF(ISNUMBER(J633),J633,-1))</f>
        <v>0</v>
      </c>
      <c r="AF633" s="80">
        <f>MIN(MAX(0,AE633),AD633)</f>
        <v>0</v>
      </c>
      <c r="AG633" s="80">
        <f>MAX(0,AD633-MAX(0,AE633))</f>
        <v>0</v>
      </c>
      <c r="AH633" s="80">
        <f>IF(ISNUMBER(B633),IF(AND(INDEX(CFG_WDAYS,WEEKDAY(INT(B633),2))="Sí",IF(D633="proMX",COUNTIFS(FER_F,INT(B633),FER_NLP,"Sí"),COUNTIFS(FER_F,INT(B633),FER_NLM,"Sí"))=0),1,0),0)</f>
        <v>0</v>
      </c>
      <c r="AI633" s="80">
        <f>IF(AC633=1,IF(AND(INDEX(CFG_WDAYS,WEEKDAY(INT(B633)+1,2))="Sí",IF(D633="proMX",COUNTIFS(FER_F,INT(B633)+1,FER_NLP,"Sí"),COUNTIFS(FER_F,INT(B633)+1,FER_NLM,"Sí"))=0),1,0),0)</f>
        <v>0</v>
      </c>
      <c r="AJ633" s="80">
        <f>IF(AC633=1,1440-Z633,AD633)</f>
        <v>0</v>
      </c>
      <c r="AK633" s="80">
        <f>IF(AND(AB633=1,AH633=1),MAX(0,MIN(IF(AC633=1,1440,AA633),CFG_WEM)-MAX(Z633,CFG_WSM)),0)</f>
        <v>0</v>
      </c>
      <c r="AL633" s="80">
        <f>IF(AND(AC633=1,AI633=1),MAX(0,MIN(AA633,CFG_WEM)-CFG_WSM),0)</f>
        <v>0</v>
      </c>
      <c r="AM633" s="80">
        <f>AK633+AL633</f>
        <v>0</v>
      </c>
      <c r="AN633" s="80">
        <f>IF(CFG_BRK="Proporcional",IF(AD633=0,0,AF633*AM633/AD633),IF(CFG_BRK="Extras primero",MIN(AM633,MAX(0,AF633-(AD633-AM633))),MIN(AF633,AM633)))</f>
        <v>0</v>
      </c>
      <c r="AO633" s="80">
        <f>AF633-AN633</f>
        <v>0</v>
      </c>
      <c r="AP633" s="80">
        <f>AM633-AN633</f>
        <v>0</v>
      </c>
      <c r="AQ633" s="80">
        <f>AD633-AM633-AO633</f>
        <v>0</v>
      </c>
      <c r="AR633" s="80">
        <f>IF(AM633=0,0,AK633-AN633*AK633/AM633)</f>
        <v>0</v>
      </c>
      <c r="AS633" s="80">
        <f>IF(AD633-AM633=0,0,(AJ633-AK633)-AO633*(AJ633-AK633)/(AD633-AM633))</f>
        <v>0</v>
      </c>
      <c r="AT633" s="80" t="str">
        <f>IF(AC633=1,INT(B633)+1,"")</f>
        <v/>
      </c>
      <c r="AU633" s="80">
        <f>IF(AND(D633="proMX",R633="Cancelled"),0,1)</f>
        <v>1</v>
      </c>
      <c r="AV633" s="80">
        <f>IF(AND(AB633=1,AU633=1),IF(COUNTIFS($D$5:D632,D633,$B$5:B632,B633,$Z$5:Z632,Z633,$AA$5:AA632,AA633,$F$5:F632,F633&amp;"",$AU$5:AU632,1)&gt;0,1,0),0)</f>
        <v>0</v>
      </c>
      <c r="AW633" s="80" t="str">
        <f>IF(AB633=1,INT(B633)*1440+Z633,"")</f>
        <v/>
      </c>
      <c r="AX633" s="80" t="str">
        <f>IF(AB633=1,AW633+AD633,"")</f>
        <v/>
      </c>
      <c r="AY633" s="80">
        <f>IF(AND(AB633=1,AV633=0,AU633=1),1,0)</f>
        <v>0</v>
      </c>
      <c r="AZ633" s="80">
        <f>IF(AY633=1,COUNTIFS(R_Emp,D633,R_SAbs,"&lt;"&amp;AX633,R_EAbs,"&gt;"&amp;AW633,R_OKey,1)-1,0)</f>
        <v>0</v>
      </c>
      <c r="BA633" s="80">
        <f>IF(AY633=1,COUNTIFS(R_Emp,"&lt;&gt;"&amp;D633,R_SAbs,"&lt;"&amp;AX633,R_EAbs,"&gt;"&amp;AW633,R_OKey,1),0)</f>
        <v>0</v>
      </c>
      <c r="BB633" s="80">
        <f>IF(AND(AB633=1,D633="proMX"),IF(AND(MOD(Z633,CFG_BLK)=0,MOD(AA633,CFG_BLK)=0,MOD(AG633,CFG_BLK)=0,AG633&gt;0),1,0),1)</f>
        <v>1</v>
      </c>
      <c r="BC633" s="80" t="str">
        <f>IF(Y633=0,"",IF(NOT(ISNUMBER(B633)),"Falta fecha o fecha inválida",IF(D633="","Falta empresa",IF(AND(D633&lt;&gt;"Malcolm",D633&lt;&gt;"proMX"),"Empresa inválida",IF(OR(INT(B633)&lt;CFG_PSTART,INT(B633)&gt;CFG_PEND),"Fecha fuera del período",IF(OR(NOT(ISNUMBER(Z633)),NOT(ISNUMBER(AA633))),"Falta hora inicio/fin o formato inválido",IF(AB633=0,"Hora inicio = hora fin",IF(AE633&lt;0,"Descanso inválido",IF(AE633&gt;=AD633,"Descanso ≥ duración",IF(AV633=1,"Registro duplicado",IF(AZ633&gt;0,"Se superpone con otro registro "&amp;D633,IF(BB633=0,"inicio, fin y duración neta deben ser múltiplos de "&amp;CFG_BLK&amp;" min",""))))))))))))</f>
        <v/>
      </c>
      <c r="BD633" s="80">
        <f>IF(AND(Y633=1,BC633=""),1,0)</f>
        <v>0</v>
      </c>
      <c r="BE633" s="80">
        <f>IF(AND(BD633=1,AU633=1),1,0)</f>
        <v>0</v>
      </c>
      <c r="BF633" s="80" t="str">
        <f>IF(AND(D633="proMX",BD633=1),IF(R633="","Draft",R633),"")</f>
        <v/>
      </c>
      <c r="BG633" s="80">
        <f>IF(BD633=1,ROUND(AG633/60,6),0)</f>
        <v>0</v>
      </c>
      <c r="BH633" s="80">
        <f>IF(BE633=1,ROUND(AG633/60,6),0)</f>
        <v>0</v>
      </c>
      <c r="BI633" s="80">
        <f>IF(BE633=1,ROUND(AP633/60,6),0)</f>
        <v>0</v>
      </c>
      <c r="BJ633" s="80">
        <f>IF(BE633=1,ROUND(AQ633/60,6),0)</f>
        <v>0</v>
      </c>
      <c r="BK633" s="80">
        <f>IF(BE633=1,ROUND((AR633+AS633)/60,6),0)</f>
        <v>0</v>
      </c>
      <c r="BL633" s="80">
        <f>ROUND(BH633-BK633,6)</f>
        <v>0</v>
      </c>
      <c r="BM633" s="80">
        <f>IF(BE633=1,ROUND(AR633/60,6),0)</f>
        <v>0</v>
      </c>
      <c r="BN633" s="80">
        <f>ROUND(BI633-BM633,6)</f>
        <v>0</v>
      </c>
      <c r="BO633" s="80">
        <f>IF(BE633=1,ROUND(AS633/60,6),0)</f>
        <v>0</v>
      </c>
      <c r="BP633" s="80">
        <f>ROUND(BJ633-BO633,6)</f>
        <v>0</v>
      </c>
      <c r="BQ633" s="80">
        <f>IF(BE633=1,AW633,0)</f>
        <v>0</v>
      </c>
      <c r="BR633" s="80">
        <f>IF(BE633=1,AX633,0)</f>
        <v>0</v>
      </c>
      <c r="BS633" s="80">
        <f>IF(AND(BE633=1,D633="Malcolm",BA633&gt;0),MIN(BH633,SUMPRODUCT((R_Emp="proMX")*(R_EN&gt;0)*((R_EN-(R_EN&gt;BR633)*(R_EN-BR633))&gt;(R_SN+(R_SN&lt;BQ633)*(BQ633-R_SN)))*((R_EN-(R_EN&gt;BR633)*(R_EN-BR633))-(R_SN+(R_SN&lt;BQ633)*(BQ633-R_SN))))/60),0)</f>
        <v>0</v>
      </c>
      <c r="BT633" s="80">
        <f>IF(AND(BE633=1,D633="proMX"),ROUND(BI633*CFG_RATE+BJ633*CFG_OTRATE,6),0)</f>
        <v>0</v>
      </c>
      <c r="BU633" s="80">
        <f>IF(AND(BD633=1,D633="proMX"),ROUND(AG633/CFG_BLK,6),0)</f>
        <v>0</v>
      </c>
      <c r="BV633" s="80" t="str">
        <f>IF(BF633="Approved",IF(ISNUMBER(T633),INT(T633),INT(B633)),"")</f>
        <v/>
      </c>
      <c r="BW633" s="80">
        <f>IF(ISNUMBER(B633),IF(DB_MON="Todos",1,IF(AND(INT(B633)&gt;=DB_MS,INT(B633)&lt;=DB_ME),1,0)),0)</f>
        <v>0</v>
      </c>
      <c r="BX633" s="80">
        <f>IF(DB_PROJ="Todos",1,IF(E633&amp;""=DB_PROJ&amp;"",1,0))</f>
        <v>1</v>
      </c>
      <c r="BY633" s="80">
        <f>BW633*BX633</f>
        <v>0</v>
      </c>
      <c r="BZ633" s="80" t="str">
        <f>IF(Y633=1,F633&amp;IF(AND(F633&amp;""&lt;&gt;"",E633&amp;""&lt;&gt;"")," · ","")&amp;E633,"")</f>
        <v/>
      </c>
      <c r="CA633" s="80" t="str">
        <f>IF(AND(BD633=1,E633&amp;""&lt;&gt;""),IF(COUNTIFS($E$5:E632,E633,$BD$5:BD632,1)=0,MAX($CA$5:CA632)+1,""),"")</f>
        <v/>
      </c>
      <c r="CB633" s="80" t="str">
        <f>IF(AND(BE633=1,D633="Malcolm",E633&amp;""&lt;&gt;""),IF(COUNTIFS($D$5:D632,"Malcolm",$E$5:E632,E633,$BE$5:BE632,1)=0,MAX($CB$5:CB632)+1,""),"")</f>
        <v/>
      </c>
      <c r="CC633" s="80" t="str">
        <f>IF(AND(BD633=1,D633="proMX",E633&amp;""&lt;&gt;""),IF(COUNTIFS($D$5:D632,"proMX",$E$5:E632,E633,$BD$5:BD632,1)=0,MAX($CC$5:CC632)+1,""),"")</f>
        <v/>
      </c>
      <c r="CD633" s="80" t="str">
        <f>IF(AND(BE633=1,D633="Malcolm",F633&amp;""&lt;&gt;""),IF(COUNTIFS($D$5:D632,"Malcolm",$F$5:F632,F633,$BE$5:BE632,1)=0,MAX($CD$5:CD632)+1,""),"")</f>
        <v/>
      </c>
      <c r="CE633" s="80" t="str">
        <f>IF(AND(BD633=1,D633="proMX",F633&amp;""&lt;&gt;""),IF(COUNTIFS($D$5:D632,"proMX",$F$5:F632,F633,$BD$5:BD632,1)=0,MAX($CE$5:CE632)+1,""),"")</f>
        <v/>
      </c>
      <c r="CF633" s="80" t="str">
        <f>IF(AND(D633="proMX",BD633=1),IF(OR(BF633="Draft",BF633="Submitted",BF633="Returned",BF633="Recall Requested"),MAX($CF$5:CF632)+1,""),"")</f>
        <v/>
      </c>
      <c r="CG633" s="80">
        <f>IF(BD633=0,0,IF(D633="Malcolm",1,MATCH(BF633,{"Draft","Submitted","Approved","Returned","Recall Requested","Cancelled"},0)+1))</f>
        <v>0</v>
      </c>
      <c r="CH633" s="80">
        <f>IF(AND(BF633="Submitted",ISNUMBER(V633)),IF(V633&gt;CFG_MAXD,1,0),0)</f>
        <v>0</v>
      </c>
    </row>
    <row r="634">
      <c r="A634" s="71" t="str">
        <f>IF(Y634=1,ROW()-5,"")</f>
        <v/>
      </c>
      <c r="B634" s="72" t="n"/>
      <c r="C634" s="71" t="str">
        <f>IF(ISNUMBER(B634),CHOOSE(WEEKDAY(B634,2),"Lun","Mar","Mié","Jue","Vie","Sáb","Dom"),"")</f>
        <v/>
      </c>
      <c r="D634" s="73" t="n"/>
      <c r="E634" s="74" t="n"/>
      <c r="F634" s="74" t="n"/>
      <c r="G634" s="74" t="n"/>
      <c r="H634" s="75" t="n"/>
      <c r="I634" s="75" t="n"/>
      <c r="J634" s="76" t="n"/>
      <c r="K634" s="77" t="str">
        <f>IF(AB634=1,ROUND(AG634/60,4),"")</f>
        <v/>
      </c>
      <c r="L634" s="77" t="str">
        <f>IF(BD634=1,ROUND(AP634/60,4),"")</f>
        <v/>
      </c>
      <c r="M634" s="77" t="str">
        <f>IF(BD634=1,ROUND(AQ634/60,4),"")</f>
        <v/>
      </c>
      <c r="N634" s="71" t="str">
        <f>IF(AND(D634="proMX",AB634=1),ROUND(AG634/CFG_BLK,2),"")</f>
        <v/>
      </c>
      <c r="O634" s="77" t="str">
        <f>IF(D634="proMX",IF(BD634=1,ROUND(AG634/60,4),0),"")</f>
        <v/>
      </c>
      <c r="P634" s="78" t="str">
        <f>IF(Y634=0,"",IF(BD634=1,"OK",IF(D634="proMX","Revisar bloques: ","Revisar: ")&amp;BC634))</f>
        <v/>
      </c>
      <c r="Q634" s="78" t="str">
        <f>IF(NOT(ISNUMBER(B634)),"",IF(COUNTIFS(FER_F,INT(B634))&gt;0,"Feriado"&amp;IF(AH634=1," (laborable)"," (no laborable)"),IF(AH634=1,"Laborable",IF(WEEKDAY(B634,2)&gt;5,"Fin de semana","No laborable"))))</f>
        <v/>
      </c>
      <c r="R634" s="73" t="n"/>
      <c r="S634" s="72" t="n"/>
      <c r="T634" s="72" t="n"/>
      <c r="U634" s="74" t="n"/>
      <c r="V634" s="79" t="str">
        <f>IF(AND(D634="proMX",OR(R634="Submitted",R634="Recall Requested"),ISNUMBER(S634)),CFG_TODAY-INT(S634),"")</f>
        <v/>
      </c>
      <c r="W634" s="78" t="str">
        <f>IF(BD634=0,"",IF(BA634&gt;0,"⚠ Se superpone con un registro de la otra empresa",IF(D634="Malcolm",IF(COUNTA(R634,S634,T634)&gt;0,"Estado/fechas proMX se ignoran en Malcolm",""),IF(BF634="Cancelled","Cancelado: excluido de totales",IF(R634="","Sin estado: se trata como Draft",IF(BF634="Submitted",IF(ISNUMBER(V634),IF(V634&gt;CFG_MAXD,"⚠ "&amp;V634&amp;" días en Submitted (máx. "&amp;CFG_MAXD&amp;")",""),"Falta fecha de envío"),IF(BF634="Returned","⚠ Devuelto: corregir y reenviar",IF(BF634="Recall Requested","Retirada solicitada: pendiente",IF(AND(BF634="Approved",NOT(ISNUMBER(T634))),"Falta fecha de aprobación",IF(AND(ISNUMBER(S634),ISNUMBER(T634),T634&lt;S634),"Aprobación anterior al envío","")))))))))</f>
        <v/>
      </c>
      <c r="Y634" s="80">
        <f>IF(COUNTA(B634,D634,E634,F634,G634,H634,I634,J634,R634,S634,T634)&gt;0,1,0)</f>
        <v>0</v>
      </c>
      <c r="Z634" s="80" t="str">
        <f>IF(AND(ISNUMBER(H634),H634&gt;=0,H634&lt;1),ROUND(H634*1440,0),"")</f>
        <v/>
      </c>
      <c r="AA634" s="80" t="str">
        <f>IF(AND(ISNUMBER(I634),I634&gt;=0,I634&lt;1),ROUND(I634*1440,0),"")</f>
        <v/>
      </c>
      <c r="AB634" s="80">
        <f>IF(AND(ISNUMBER(B634),D634&lt;&gt;"",ISNUMBER(Z634),ISNUMBER(AA634)),IF(Z634=AA634,0,1),0)</f>
        <v>0</v>
      </c>
      <c r="AC634" s="80">
        <f>IF(AB634=1,IF(AA634&lt;Z634,1,0),0)</f>
        <v>0</v>
      </c>
      <c r="AD634" s="80">
        <f>IF(AB634=1,IF(AC634=1,1440-Z634+AA634,AA634-Z634),0)</f>
        <v>0</v>
      </c>
      <c r="AE634" s="80">
        <f>IF(J634="",0,IF(ISNUMBER(J634),J634,-1))</f>
        <v>0</v>
      </c>
      <c r="AF634" s="80">
        <f>MIN(MAX(0,AE634),AD634)</f>
        <v>0</v>
      </c>
      <c r="AG634" s="80">
        <f>MAX(0,AD634-MAX(0,AE634))</f>
        <v>0</v>
      </c>
      <c r="AH634" s="80">
        <f>IF(ISNUMBER(B634),IF(AND(INDEX(CFG_WDAYS,WEEKDAY(INT(B634),2))="Sí",IF(D634="proMX",COUNTIFS(FER_F,INT(B634),FER_NLP,"Sí"),COUNTIFS(FER_F,INT(B634),FER_NLM,"Sí"))=0),1,0),0)</f>
        <v>0</v>
      </c>
      <c r="AI634" s="80">
        <f>IF(AC634=1,IF(AND(INDEX(CFG_WDAYS,WEEKDAY(INT(B634)+1,2))="Sí",IF(D634="proMX",COUNTIFS(FER_F,INT(B634)+1,FER_NLP,"Sí"),COUNTIFS(FER_F,INT(B634)+1,FER_NLM,"Sí"))=0),1,0),0)</f>
        <v>0</v>
      </c>
      <c r="AJ634" s="80">
        <f>IF(AC634=1,1440-Z634,AD634)</f>
        <v>0</v>
      </c>
      <c r="AK634" s="80">
        <f>IF(AND(AB634=1,AH634=1),MAX(0,MIN(IF(AC634=1,1440,AA634),CFG_WEM)-MAX(Z634,CFG_WSM)),0)</f>
        <v>0</v>
      </c>
      <c r="AL634" s="80">
        <f>IF(AND(AC634=1,AI634=1),MAX(0,MIN(AA634,CFG_WEM)-CFG_WSM),0)</f>
        <v>0</v>
      </c>
      <c r="AM634" s="80">
        <f>AK634+AL634</f>
        <v>0</v>
      </c>
      <c r="AN634" s="80">
        <f>IF(CFG_BRK="Proporcional",IF(AD634=0,0,AF634*AM634/AD634),IF(CFG_BRK="Extras primero",MIN(AM634,MAX(0,AF634-(AD634-AM634))),MIN(AF634,AM634)))</f>
        <v>0</v>
      </c>
      <c r="AO634" s="80">
        <f>AF634-AN634</f>
        <v>0</v>
      </c>
      <c r="AP634" s="80">
        <f>AM634-AN634</f>
        <v>0</v>
      </c>
      <c r="AQ634" s="80">
        <f>AD634-AM634-AO634</f>
        <v>0</v>
      </c>
      <c r="AR634" s="80">
        <f>IF(AM634=0,0,AK634-AN634*AK634/AM634)</f>
        <v>0</v>
      </c>
      <c r="AS634" s="80">
        <f>IF(AD634-AM634=0,0,(AJ634-AK634)-AO634*(AJ634-AK634)/(AD634-AM634))</f>
        <v>0</v>
      </c>
      <c r="AT634" s="80" t="str">
        <f>IF(AC634=1,INT(B634)+1,"")</f>
        <v/>
      </c>
      <c r="AU634" s="80">
        <f>IF(AND(D634="proMX",R634="Cancelled"),0,1)</f>
        <v>1</v>
      </c>
      <c r="AV634" s="80">
        <f>IF(AND(AB634=1,AU634=1),IF(COUNTIFS($D$5:D633,D634,$B$5:B633,B634,$Z$5:Z633,Z634,$AA$5:AA633,AA634,$F$5:F633,F634&amp;"",$AU$5:AU633,1)&gt;0,1,0),0)</f>
        <v>0</v>
      </c>
      <c r="AW634" s="80" t="str">
        <f>IF(AB634=1,INT(B634)*1440+Z634,"")</f>
        <v/>
      </c>
      <c r="AX634" s="80" t="str">
        <f>IF(AB634=1,AW634+AD634,"")</f>
        <v/>
      </c>
      <c r="AY634" s="80">
        <f>IF(AND(AB634=1,AV634=0,AU634=1),1,0)</f>
        <v>0</v>
      </c>
      <c r="AZ634" s="80">
        <f>IF(AY634=1,COUNTIFS(R_Emp,D634,R_SAbs,"&lt;"&amp;AX634,R_EAbs,"&gt;"&amp;AW634,R_OKey,1)-1,0)</f>
        <v>0</v>
      </c>
      <c r="BA634" s="80">
        <f>IF(AY634=1,COUNTIFS(R_Emp,"&lt;&gt;"&amp;D634,R_SAbs,"&lt;"&amp;AX634,R_EAbs,"&gt;"&amp;AW634,R_OKey,1),0)</f>
        <v>0</v>
      </c>
      <c r="BB634" s="80">
        <f>IF(AND(AB634=1,D634="proMX"),IF(AND(MOD(Z634,CFG_BLK)=0,MOD(AA634,CFG_BLK)=0,MOD(AG634,CFG_BLK)=0,AG634&gt;0),1,0),1)</f>
        <v>1</v>
      </c>
      <c r="BC634" s="80" t="str">
        <f>IF(Y634=0,"",IF(NOT(ISNUMBER(B634)),"Falta fecha o fecha inválida",IF(D634="","Falta empresa",IF(AND(D634&lt;&gt;"Malcolm",D634&lt;&gt;"proMX"),"Empresa inválida",IF(OR(INT(B634)&lt;CFG_PSTART,INT(B634)&gt;CFG_PEND),"Fecha fuera del período",IF(OR(NOT(ISNUMBER(Z634)),NOT(ISNUMBER(AA634))),"Falta hora inicio/fin o formato inválido",IF(AB634=0,"Hora inicio = hora fin",IF(AE634&lt;0,"Descanso inválido",IF(AE634&gt;=AD634,"Descanso ≥ duración",IF(AV634=1,"Registro duplicado",IF(AZ634&gt;0,"Se superpone con otro registro "&amp;D634,IF(BB634=0,"inicio, fin y duración neta deben ser múltiplos de "&amp;CFG_BLK&amp;" min",""))))))))))))</f>
        <v/>
      </c>
      <c r="BD634" s="80">
        <f>IF(AND(Y634=1,BC634=""),1,0)</f>
        <v>0</v>
      </c>
      <c r="BE634" s="80">
        <f>IF(AND(BD634=1,AU634=1),1,0)</f>
        <v>0</v>
      </c>
      <c r="BF634" s="80" t="str">
        <f>IF(AND(D634="proMX",BD634=1),IF(R634="","Draft",R634),"")</f>
        <v/>
      </c>
      <c r="BG634" s="80">
        <f>IF(BD634=1,ROUND(AG634/60,6),0)</f>
        <v>0</v>
      </c>
      <c r="BH634" s="80">
        <f>IF(BE634=1,ROUND(AG634/60,6),0)</f>
        <v>0</v>
      </c>
      <c r="BI634" s="80">
        <f>IF(BE634=1,ROUND(AP634/60,6),0)</f>
        <v>0</v>
      </c>
      <c r="BJ634" s="80">
        <f>IF(BE634=1,ROUND(AQ634/60,6),0)</f>
        <v>0</v>
      </c>
      <c r="BK634" s="80">
        <f>IF(BE634=1,ROUND((AR634+AS634)/60,6),0)</f>
        <v>0</v>
      </c>
      <c r="BL634" s="80">
        <f>ROUND(BH634-BK634,6)</f>
        <v>0</v>
      </c>
      <c r="BM634" s="80">
        <f>IF(BE634=1,ROUND(AR634/60,6),0)</f>
        <v>0</v>
      </c>
      <c r="BN634" s="80">
        <f>ROUND(BI634-BM634,6)</f>
        <v>0</v>
      </c>
      <c r="BO634" s="80">
        <f>IF(BE634=1,ROUND(AS634/60,6),0)</f>
        <v>0</v>
      </c>
      <c r="BP634" s="80">
        <f>ROUND(BJ634-BO634,6)</f>
        <v>0</v>
      </c>
      <c r="BQ634" s="80">
        <f>IF(BE634=1,AW634,0)</f>
        <v>0</v>
      </c>
      <c r="BR634" s="80">
        <f>IF(BE634=1,AX634,0)</f>
        <v>0</v>
      </c>
      <c r="BS634" s="80">
        <f>IF(AND(BE634=1,D634="Malcolm",BA634&gt;0),MIN(BH634,SUMPRODUCT((R_Emp="proMX")*(R_EN&gt;0)*((R_EN-(R_EN&gt;BR634)*(R_EN-BR634))&gt;(R_SN+(R_SN&lt;BQ634)*(BQ634-R_SN)))*((R_EN-(R_EN&gt;BR634)*(R_EN-BR634))-(R_SN+(R_SN&lt;BQ634)*(BQ634-R_SN))))/60),0)</f>
        <v>0</v>
      </c>
      <c r="BT634" s="80">
        <f>IF(AND(BE634=1,D634="proMX"),ROUND(BI634*CFG_RATE+BJ634*CFG_OTRATE,6),0)</f>
        <v>0</v>
      </c>
      <c r="BU634" s="80">
        <f>IF(AND(BD634=1,D634="proMX"),ROUND(AG634/CFG_BLK,6),0)</f>
        <v>0</v>
      </c>
      <c r="BV634" s="80" t="str">
        <f>IF(BF634="Approved",IF(ISNUMBER(T634),INT(T634),INT(B634)),"")</f>
        <v/>
      </c>
      <c r="BW634" s="80">
        <f>IF(ISNUMBER(B634),IF(DB_MON="Todos",1,IF(AND(INT(B634)&gt;=DB_MS,INT(B634)&lt;=DB_ME),1,0)),0)</f>
        <v>0</v>
      </c>
      <c r="BX634" s="80">
        <f>IF(DB_PROJ="Todos",1,IF(E634&amp;""=DB_PROJ&amp;"",1,0))</f>
        <v>1</v>
      </c>
      <c r="BY634" s="80">
        <f>BW634*BX634</f>
        <v>0</v>
      </c>
      <c r="BZ634" s="80" t="str">
        <f>IF(Y634=1,F634&amp;IF(AND(F634&amp;""&lt;&gt;"",E634&amp;""&lt;&gt;"")," · ","")&amp;E634,"")</f>
        <v/>
      </c>
      <c r="CA634" s="80" t="str">
        <f>IF(AND(BD634=1,E634&amp;""&lt;&gt;""),IF(COUNTIFS($E$5:E633,E634,$BD$5:BD633,1)=0,MAX($CA$5:CA633)+1,""),"")</f>
        <v/>
      </c>
      <c r="CB634" s="80" t="str">
        <f>IF(AND(BE634=1,D634="Malcolm",E634&amp;""&lt;&gt;""),IF(COUNTIFS($D$5:D633,"Malcolm",$E$5:E633,E634,$BE$5:BE633,1)=0,MAX($CB$5:CB633)+1,""),"")</f>
        <v/>
      </c>
      <c r="CC634" s="80" t="str">
        <f>IF(AND(BD634=1,D634="proMX",E634&amp;""&lt;&gt;""),IF(COUNTIFS($D$5:D633,"proMX",$E$5:E633,E634,$BD$5:BD633,1)=0,MAX($CC$5:CC633)+1,""),"")</f>
        <v/>
      </c>
      <c r="CD634" s="80" t="str">
        <f>IF(AND(BE634=1,D634="Malcolm",F634&amp;""&lt;&gt;""),IF(COUNTIFS($D$5:D633,"Malcolm",$F$5:F633,F634,$BE$5:BE633,1)=0,MAX($CD$5:CD633)+1,""),"")</f>
        <v/>
      </c>
      <c r="CE634" s="80" t="str">
        <f>IF(AND(BD634=1,D634="proMX",F634&amp;""&lt;&gt;""),IF(COUNTIFS($D$5:D633,"proMX",$F$5:F633,F634,$BD$5:BD633,1)=0,MAX($CE$5:CE633)+1,""),"")</f>
        <v/>
      </c>
      <c r="CF634" s="80" t="str">
        <f>IF(AND(D634="proMX",BD634=1),IF(OR(BF634="Draft",BF634="Submitted",BF634="Returned",BF634="Recall Requested"),MAX($CF$5:CF633)+1,""),"")</f>
        <v/>
      </c>
      <c r="CG634" s="80">
        <f>IF(BD634=0,0,IF(D634="Malcolm",1,MATCH(BF634,{"Draft","Submitted","Approved","Returned","Recall Requested","Cancelled"},0)+1))</f>
        <v>0</v>
      </c>
      <c r="CH634" s="80">
        <f>IF(AND(BF634="Submitted",ISNUMBER(V634)),IF(V634&gt;CFG_MAXD,1,0),0)</f>
        <v>0</v>
      </c>
    </row>
    <row r="635">
      <c r="A635" s="71" t="str">
        <f>IF(Y635=1,ROW()-5,"")</f>
        <v/>
      </c>
      <c r="B635" s="72" t="n"/>
      <c r="C635" s="71" t="str">
        <f>IF(ISNUMBER(B635),CHOOSE(WEEKDAY(B635,2),"Lun","Mar","Mié","Jue","Vie","Sáb","Dom"),"")</f>
        <v/>
      </c>
      <c r="D635" s="73" t="n"/>
      <c r="E635" s="74" t="n"/>
      <c r="F635" s="74" t="n"/>
      <c r="G635" s="74" t="n"/>
      <c r="H635" s="75" t="n"/>
      <c r="I635" s="75" t="n"/>
      <c r="J635" s="76" t="n"/>
      <c r="K635" s="77" t="str">
        <f>IF(AB635=1,ROUND(AG635/60,4),"")</f>
        <v/>
      </c>
      <c r="L635" s="77" t="str">
        <f>IF(BD635=1,ROUND(AP635/60,4),"")</f>
        <v/>
      </c>
      <c r="M635" s="77" t="str">
        <f>IF(BD635=1,ROUND(AQ635/60,4),"")</f>
        <v/>
      </c>
      <c r="N635" s="71" t="str">
        <f>IF(AND(D635="proMX",AB635=1),ROUND(AG635/CFG_BLK,2),"")</f>
        <v/>
      </c>
      <c r="O635" s="77" t="str">
        <f>IF(D635="proMX",IF(BD635=1,ROUND(AG635/60,4),0),"")</f>
        <v/>
      </c>
      <c r="P635" s="78" t="str">
        <f>IF(Y635=0,"",IF(BD635=1,"OK",IF(D635="proMX","Revisar bloques: ","Revisar: ")&amp;BC635))</f>
        <v/>
      </c>
      <c r="Q635" s="78" t="str">
        <f>IF(NOT(ISNUMBER(B635)),"",IF(COUNTIFS(FER_F,INT(B635))&gt;0,"Feriado"&amp;IF(AH635=1," (laborable)"," (no laborable)"),IF(AH635=1,"Laborable",IF(WEEKDAY(B635,2)&gt;5,"Fin de semana","No laborable"))))</f>
        <v/>
      </c>
      <c r="R635" s="73" t="n"/>
      <c r="S635" s="72" t="n"/>
      <c r="T635" s="72" t="n"/>
      <c r="U635" s="74" t="n"/>
      <c r="V635" s="79" t="str">
        <f>IF(AND(D635="proMX",OR(R635="Submitted",R635="Recall Requested"),ISNUMBER(S635)),CFG_TODAY-INT(S635),"")</f>
        <v/>
      </c>
      <c r="W635" s="78" t="str">
        <f>IF(BD635=0,"",IF(BA635&gt;0,"⚠ Se superpone con un registro de la otra empresa",IF(D635="Malcolm",IF(COUNTA(R635,S635,T635)&gt;0,"Estado/fechas proMX se ignoran en Malcolm",""),IF(BF635="Cancelled","Cancelado: excluido de totales",IF(R635="","Sin estado: se trata como Draft",IF(BF635="Submitted",IF(ISNUMBER(V635),IF(V635&gt;CFG_MAXD,"⚠ "&amp;V635&amp;" días en Submitted (máx. "&amp;CFG_MAXD&amp;")",""),"Falta fecha de envío"),IF(BF635="Returned","⚠ Devuelto: corregir y reenviar",IF(BF635="Recall Requested","Retirada solicitada: pendiente",IF(AND(BF635="Approved",NOT(ISNUMBER(T635))),"Falta fecha de aprobación",IF(AND(ISNUMBER(S635),ISNUMBER(T635),T635&lt;S635),"Aprobación anterior al envío","")))))))))</f>
        <v/>
      </c>
      <c r="Y635" s="80">
        <f>IF(COUNTA(B635,D635,E635,F635,G635,H635,I635,J635,R635,S635,T635)&gt;0,1,0)</f>
        <v>0</v>
      </c>
      <c r="Z635" s="80" t="str">
        <f>IF(AND(ISNUMBER(H635),H635&gt;=0,H635&lt;1),ROUND(H635*1440,0),"")</f>
        <v/>
      </c>
      <c r="AA635" s="80" t="str">
        <f>IF(AND(ISNUMBER(I635),I635&gt;=0,I635&lt;1),ROUND(I635*1440,0),"")</f>
        <v/>
      </c>
      <c r="AB635" s="80">
        <f>IF(AND(ISNUMBER(B635),D635&lt;&gt;"",ISNUMBER(Z635),ISNUMBER(AA635)),IF(Z635=AA635,0,1),0)</f>
        <v>0</v>
      </c>
      <c r="AC635" s="80">
        <f>IF(AB635=1,IF(AA635&lt;Z635,1,0),0)</f>
        <v>0</v>
      </c>
      <c r="AD635" s="80">
        <f>IF(AB635=1,IF(AC635=1,1440-Z635+AA635,AA635-Z635),0)</f>
        <v>0</v>
      </c>
      <c r="AE635" s="80">
        <f>IF(J635="",0,IF(ISNUMBER(J635),J635,-1))</f>
        <v>0</v>
      </c>
      <c r="AF635" s="80">
        <f>MIN(MAX(0,AE635),AD635)</f>
        <v>0</v>
      </c>
      <c r="AG635" s="80">
        <f>MAX(0,AD635-MAX(0,AE635))</f>
        <v>0</v>
      </c>
      <c r="AH635" s="80">
        <f>IF(ISNUMBER(B635),IF(AND(INDEX(CFG_WDAYS,WEEKDAY(INT(B635),2))="Sí",IF(D635="proMX",COUNTIFS(FER_F,INT(B635),FER_NLP,"Sí"),COUNTIFS(FER_F,INT(B635),FER_NLM,"Sí"))=0),1,0),0)</f>
        <v>0</v>
      </c>
      <c r="AI635" s="80">
        <f>IF(AC635=1,IF(AND(INDEX(CFG_WDAYS,WEEKDAY(INT(B635)+1,2))="Sí",IF(D635="proMX",COUNTIFS(FER_F,INT(B635)+1,FER_NLP,"Sí"),COUNTIFS(FER_F,INT(B635)+1,FER_NLM,"Sí"))=0),1,0),0)</f>
        <v>0</v>
      </c>
      <c r="AJ635" s="80">
        <f>IF(AC635=1,1440-Z635,AD635)</f>
        <v>0</v>
      </c>
      <c r="AK635" s="80">
        <f>IF(AND(AB635=1,AH635=1),MAX(0,MIN(IF(AC635=1,1440,AA635),CFG_WEM)-MAX(Z635,CFG_WSM)),0)</f>
        <v>0</v>
      </c>
      <c r="AL635" s="80">
        <f>IF(AND(AC635=1,AI635=1),MAX(0,MIN(AA635,CFG_WEM)-CFG_WSM),0)</f>
        <v>0</v>
      </c>
      <c r="AM635" s="80">
        <f>AK635+AL635</f>
        <v>0</v>
      </c>
      <c r="AN635" s="80">
        <f>IF(CFG_BRK="Proporcional",IF(AD635=0,0,AF635*AM635/AD635),IF(CFG_BRK="Extras primero",MIN(AM635,MAX(0,AF635-(AD635-AM635))),MIN(AF635,AM635)))</f>
        <v>0</v>
      </c>
      <c r="AO635" s="80">
        <f>AF635-AN635</f>
        <v>0</v>
      </c>
      <c r="AP635" s="80">
        <f>AM635-AN635</f>
        <v>0</v>
      </c>
      <c r="AQ635" s="80">
        <f>AD635-AM635-AO635</f>
        <v>0</v>
      </c>
      <c r="AR635" s="80">
        <f>IF(AM635=0,0,AK635-AN635*AK635/AM635)</f>
        <v>0</v>
      </c>
      <c r="AS635" s="80">
        <f>IF(AD635-AM635=0,0,(AJ635-AK635)-AO635*(AJ635-AK635)/(AD635-AM635))</f>
        <v>0</v>
      </c>
      <c r="AT635" s="80" t="str">
        <f>IF(AC635=1,INT(B635)+1,"")</f>
        <v/>
      </c>
      <c r="AU635" s="80">
        <f>IF(AND(D635="proMX",R635="Cancelled"),0,1)</f>
        <v>1</v>
      </c>
      <c r="AV635" s="80">
        <f>IF(AND(AB635=1,AU635=1),IF(COUNTIFS($D$5:D634,D635,$B$5:B634,B635,$Z$5:Z634,Z635,$AA$5:AA634,AA635,$F$5:F634,F635&amp;"",$AU$5:AU634,1)&gt;0,1,0),0)</f>
        <v>0</v>
      </c>
      <c r="AW635" s="80" t="str">
        <f>IF(AB635=1,INT(B635)*1440+Z635,"")</f>
        <v/>
      </c>
      <c r="AX635" s="80" t="str">
        <f>IF(AB635=1,AW635+AD635,"")</f>
        <v/>
      </c>
      <c r="AY635" s="80">
        <f>IF(AND(AB635=1,AV635=0,AU635=1),1,0)</f>
        <v>0</v>
      </c>
      <c r="AZ635" s="80">
        <f>IF(AY635=1,COUNTIFS(R_Emp,D635,R_SAbs,"&lt;"&amp;AX635,R_EAbs,"&gt;"&amp;AW635,R_OKey,1)-1,0)</f>
        <v>0</v>
      </c>
      <c r="BA635" s="80">
        <f>IF(AY635=1,COUNTIFS(R_Emp,"&lt;&gt;"&amp;D635,R_SAbs,"&lt;"&amp;AX635,R_EAbs,"&gt;"&amp;AW635,R_OKey,1),0)</f>
        <v>0</v>
      </c>
      <c r="BB635" s="80">
        <f>IF(AND(AB635=1,D635="proMX"),IF(AND(MOD(Z635,CFG_BLK)=0,MOD(AA635,CFG_BLK)=0,MOD(AG635,CFG_BLK)=0,AG635&gt;0),1,0),1)</f>
        <v>1</v>
      </c>
      <c r="BC635" s="80" t="str">
        <f>IF(Y635=0,"",IF(NOT(ISNUMBER(B635)),"Falta fecha o fecha inválida",IF(D635="","Falta empresa",IF(AND(D635&lt;&gt;"Malcolm",D635&lt;&gt;"proMX"),"Empresa inválida",IF(OR(INT(B635)&lt;CFG_PSTART,INT(B635)&gt;CFG_PEND),"Fecha fuera del período",IF(OR(NOT(ISNUMBER(Z635)),NOT(ISNUMBER(AA635))),"Falta hora inicio/fin o formato inválido",IF(AB635=0,"Hora inicio = hora fin",IF(AE635&lt;0,"Descanso inválido",IF(AE635&gt;=AD635,"Descanso ≥ duración",IF(AV635=1,"Registro duplicado",IF(AZ635&gt;0,"Se superpone con otro registro "&amp;D635,IF(BB635=0,"inicio, fin y duración neta deben ser múltiplos de "&amp;CFG_BLK&amp;" min",""))))))))))))</f>
        <v/>
      </c>
      <c r="BD635" s="80">
        <f>IF(AND(Y635=1,BC635=""),1,0)</f>
        <v>0</v>
      </c>
      <c r="BE635" s="80">
        <f>IF(AND(BD635=1,AU635=1),1,0)</f>
        <v>0</v>
      </c>
      <c r="BF635" s="80" t="str">
        <f>IF(AND(D635="proMX",BD635=1),IF(R635="","Draft",R635),"")</f>
        <v/>
      </c>
      <c r="BG635" s="80">
        <f>IF(BD635=1,ROUND(AG635/60,6),0)</f>
        <v>0</v>
      </c>
      <c r="BH635" s="80">
        <f>IF(BE635=1,ROUND(AG635/60,6),0)</f>
        <v>0</v>
      </c>
      <c r="BI635" s="80">
        <f>IF(BE635=1,ROUND(AP635/60,6),0)</f>
        <v>0</v>
      </c>
      <c r="BJ635" s="80">
        <f>IF(BE635=1,ROUND(AQ635/60,6),0)</f>
        <v>0</v>
      </c>
      <c r="BK635" s="80">
        <f>IF(BE635=1,ROUND((AR635+AS635)/60,6),0)</f>
        <v>0</v>
      </c>
      <c r="BL635" s="80">
        <f>ROUND(BH635-BK635,6)</f>
        <v>0</v>
      </c>
      <c r="BM635" s="80">
        <f>IF(BE635=1,ROUND(AR635/60,6),0)</f>
        <v>0</v>
      </c>
      <c r="BN635" s="80">
        <f>ROUND(BI635-BM635,6)</f>
        <v>0</v>
      </c>
      <c r="BO635" s="80">
        <f>IF(BE635=1,ROUND(AS635/60,6),0)</f>
        <v>0</v>
      </c>
      <c r="BP635" s="80">
        <f>ROUND(BJ635-BO635,6)</f>
        <v>0</v>
      </c>
      <c r="BQ635" s="80">
        <f>IF(BE635=1,AW635,0)</f>
        <v>0</v>
      </c>
      <c r="BR635" s="80">
        <f>IF(BE635=1,AX635,0)</f>
        <v>0</v>
      </c>
      <c r="BS635" s="80">
        <f>IF(AND(BE635=1,D635="Malcolm",BA635&gt;0),MIN(BH635,SUMPRODUCT((R_Emp="proMX")*(R_EN&gt;0)*((R_EN-(R_EN&gt;BR635)*(R_EN-BR635))&gt;(R_SN+(R_SN&lt;BQ635)*(BQ635-R_SN)))*((R_EN-(R_EN&gt;BR635)*(R_EN-BR635))-(R_SN+(R_SN&lt;BQ635)*(BQ635-R_SN))))/60),0)</f>
        <v>0</v>
      </c>
      <c r="BT635" s="80">
        <f>IF(AND(BE635=1,D635="proMX"),ROUND(BI635*CFG_RATE+BJ635*CFG_OTRATE,6),0)</f>
        <v>0</v>
      </c>
      <c r="BU635" s="80">
        <f>IF(AND(BD635=1,D635="proMX"),ROUND(AG635/CFG_BLK,6),0)</f>
        <v>0</v>
      </c>
      <c r="BV635" s="80" t="str">
        <f>IF(BF635="Approved",IF(ISNUMBER(T635),INT(T635),INT(B635)),"")</f>
        <v/>
      </c>
      <c r="BW635" s="80">
        <f>IF(ISNUMBER(B635),IF(DB_MON="Todos",1,IF(AND(INT(B635)&gt;=DB_MS,INT(B635)&lt;=DB_ME),1,0)),0)</f>
        <v>0</v>
      </c>
      <c r="BX635" s="80">
        <f>IF(DB_PROJ="Todos",1,IF(E635&amp;""=DB_PROJ&amp;"",1,0))</f>
        <v>1</v>
      </c>
      <c r="BY635" s="80">
        <f>BW635*BX635</f>
        <v>0</v>
      </c>
      <c r="BZ635" s="80" t="str">
        <f>IF(Y635=1,F635&amp;IF(AND(F635&amp;""&lt;&gt;"",E635&amp;""&lt;&gt;"")," · ","")&amp;E635,"")</f>
        <v/>
      </c>
      <c r="CA635" s="80" t="str">
        <f>IF(AND(BD635=1,E635&amp;""&lt;&gt;""),IF(COUNTIFS($E$5:E634,E635,$BD$5:BD634,1)=0,MAX($CA$5:CA634)+1,""),"")</f>
        <v/>
      </c>
      <c r="CB635" s="80" t="str">
        <f>IF(AND(BE635=1,D635="Malcolm",E635&amp;""&lt;&gt;""),IF(COUNTIFS($D$5:D634,"Malcolm",$E$5:E634,E635,$BE$5:BE634,1)=0,MAX($CB$5:CB634)+1,""),"")</f>
        <v/>
      </c>
      <c r="CC635" s="80" t="str">
        <f>IF(AND(BD635=1,D635="proMX",E635&amp;""&lt;&gt;""),IF(COUNTIFS($D$5:D634,"proMX",$E$5:E634,E635,$BD$5:BD634,1)=0,MAX($CC$5:CC634)+1,""),"")</f>
        <v/>
      </c>
      <c r="CD635" s="80" t="str">
        <f>IF(AND(BE635=1,D635="Malcolm",F635&amp;""&lt;&gt;""),IF(COUNTIFS($D$5:D634,"Malcolm",$F$5:F634,F635,$BE$5:BE634,1)=0,MAX($CD$5:CD634)+1,""),"")</f>
        <v/>
      </c>
      <c r="CE635" s="80" t="str">
        <f>IF(AND(BD635=1,D635="proMX",F635&amp;""&lt;&gt;""),IF(COUNTIFS($D$5:D634,"proMX",$F$5:F634,F635,$BD$5:BD634,1)=0,MAX($CE$5:CE634)+1,""),"")</f>
        <v/>
      </c>
      <c r="CF635" s="80" t="str">
        <f>IF(AND(D635="proMX",BD635=1),IF(OR(BF635="Draft",BF635="Submitted",BF635="Returned",BF635="Recall Requested"),MAX($CF$5:CF634)+1,""),"")</f>
        <v/>
      </c>
      <c r="CG635" s="80">
        <f>IF(BD635=0,0,IF(D635="Malcolm",1,MATCH(BF635,{"Draft","Submitted","Approved","Returned","Recall Requested","Cancelled"},0)+1))</f>
        <v>0</v>
      </c>
      <c r="CH635" s="80">
        <f>IF(AND(BF635="Submitted",ISNUMBER(V635)),IF(V635&gt;CFG_MAXD,1,0),0)</f>
        <v>0</v>
      </c>
    </row>
    <row r="636">
      <c r="A636" s="71" t="str">
        <f>IF(Y636=1,ROW()-5,"")</f>
        <v/>
      </c>
      <c r="B636" s="72" t="n"/>
      <c r="C636" s="71" t="str">
        <f>IF(ISNUMBER(B636),CHOOSE(WEEKDAY(B636,2),"Lun","Mar","Mié","Jue","Vie","Sáb","Dom"),"")</f>
        <v/>
      </c>
      <c r="D636" s="73" t="n"/>
      <c r="E636" s="74" t="n"/>
      <c r="F636" s="74" t="n"/>
      <c r="G636" s="74" t="n"/>
      <c r="H636" s="75" t="n"/>
      <c r="I636" s="75" t="n"/>
      <c r="J636" s="76" t="n"/>
      <c r="K636" s="77" t="str">
        <f>IF(AB636=1,ROUND(AG636/60,4),"")</f>
        <v/>
      </c>
      <c r="L636" s="77" t="str">
        <f>IF(BD636=1,ROUND(AP636/60,4),"")</f>
        <v/>
      </c>
      <c r="M636" s="77" t="str">
        <f>IF(BD636=1,ROUND(AQ636/60,4),"")</f>
        <v/>
      </c>
      <c r="N636" s="71" t="str">
        <f>IF(AND(D636="proMX",AB636=1),ROUND(AG636/CFG_BLK,2),"")</f>
        <v/>
      </c>
      <c r="O636" s="77" t="str">
        <f>IF(D636="proMX",IF(BD636=1,ROUND(AG636/60,4),0),"")</f>
        <v/>
      </c>
      <c r="P636" s="78" t="str">
        <f>IF(Y636=0,"",IF(BD636=1,"OK",IF(D636="proMX","Revisar bloques: ","Revisar: ")&amp;BC636))</f>
        <v/>
      </c>
      <c r="Q636" s="78" t="str">
        <f>IF(NOT(ISNUMBER(B636)),"",IF(COUNTIFS(FER_F,INT(B636))&gt;0,"Feriado"&amp;IF(AH636=1," (laborable)"," (no laborable)"),IF(AH636=1,"Laborable",IF(WEEKDAY(B636,2)&gt;5,"Fin de semana","No laborable"))))</f>
        <v/>
      </c>
      <c r="R636" s="73" t="n"/>
      <c r="S636" s="72" t="n"/>
      <c r="T636" s="72" t="n"/>
      <c r="U636" s="74" t="n"/>
      <c r="V636" s="79" t="str">
        <f>IF(AND(D636="proMX",OR(R636="Submitted",R636="Recall Requested"),ISNUMBER(S636)),CFG_TODAY-INT(S636),"")</f>
        <v/>
      </c>
      <c r="W636" s="78" t="str">
        <f>IF(BD636=0,"",IF(BA636&gt;0,"⚠ Se superpone con un registro de la otra empresa",IF(D636="Malcolm",IF(COUNTA(R636,S636,T636)&gt;0,"Estado/fechas proMX se ignoran en Malcolm",""),IF(BF636="Cancelled","Cancelado: excluido de totales",IF(R636="","Sin estado: se trata como Draft",IF(BF636="Submitted",IF(ISNUMBER(V636),IF(V636&gt;CFG_MAXD,"⚠ "&amp;V636&amp;" días en Submitted (máx. "&amp;CFG_MAXD&amp;")",""),"Falta fecha de envío"),IF(BF636="Returned","⚠ Devuelto: corregir y reenviar",IF(BF636="Recall Requested","Retirada solicitada: pendiente",IF(AND(BF636="Approved",NOT(ISNUMBER(T636))),"Falta fecha de aprobación",IF(AND(ISNUMBER(S636),ISNUMBER(T636),T636&lt;S636),"Aprobación anterior al envío","")))))))))</f>
        <v/>
      </c>
      <c r="Y636" s="80">
        <f>IF(COUNTA(B636,D636,E636,F636,G636,H636,I636,J636,R636,S636,T636)&gt;0,1,0)</f>
        <v>0</v>
      </c>
      <c r="Z636" s="80" t="str">
        <f>IF(AND(ISNUMBER(H636),H636&gt;=0,H636&lt;1),ROUND(H636*1440,0),"")</f>
        <v/>
      </c>
      <c r="AA636" s="80" t="str">
        <f>IF(AND(ISNUMBER(I636),I636&gt;=0,I636&lt;1),ROUND(I636*1440,0),"")</f>
        <v/>
      </c>
      <c r="AB636" s="80">
        <f>IF(AND(ISNUMBER(B636),D636&lt;&gt;"",ISNUMBER(Z636),ISNUMBER(AA636)),IF(Z636=AA636,0,1),0)</f>
        <v>0</v>
      </c>
      <c r="AC636" s="80">
        <f>IF(AB636=1,IF(AA636&lt;Z636,1,0),0)</f>
        <v>0</v>
      </c>
      <c r="AD636" s="80">
        <f>IF(AB636=1,IF(AC636=1,1440-Z636+AA636,AA636-Z636),0)</f>
        <v>0</v>
      </c>
      <c r="AE636" s="80">
        <f>IF(J636="",0,IF(ISNUMBER(J636),J636,-1))</f>
        <v>0</v>
      </c>
      <c r="AF636" s="80">
        <f>MIN(MAX(0,AE636),AD636)</f>
        <v>0</v>
      </c>
      <c r="AG636" s="80">
        <f>MAX(0,AD636-MAX(0,AE636))</f>
        <v>0</v>
      </c>
      <c r="AH636" s="80">
        <f>IF(ISNUMBER(B636),IF(AND(INDEX(CFG_WDAYS,WEEKDAY(INT(B636),2))="Sí",IF(D636="proMX",COUNTIFS(FER_F,INT(B636),FER_NLP,"Sí"),COUNTIFS(FER_F,INT(B636),FER_NLM,"Sí"))=0),1,0),0)</f>
        <v>0</v>
      </c>
      <c r="AI636" s="80">
        <f>IF(AC636=1,IF(AND(INDEX(CFG_WDAYS,WEEKDAY(INT(B636)+1,2))="Sí",IF(D636="proMX",COUNTIFS(FER_F,INT(B636)+1,FER_NLP,"Sí"),COUNTIFS(FER_F,INT(B636)+1,FER_NLM,"Sí"))=0),1,0),0)</f>
        <v>0</v>
      </c>
      <c r="AJ636" s="80">
        <f>IF(AC636=1,1440-Z636,AD636)</f>
        <v>0</v>
      </c>
      <c r="AK636" s="80">
        <f>IF(AND(AB636=1,AH636=1),MAX(0,MIN(IF(AC636=1,1440,AA636),CFG_WEM)-MAX(Z636,CFG_WSM)),0)</f>
        <v>0</v>
      </c>
      <c r="AL636" s="80">
        <f>IF(AND(AC636=1,AI636=1),MAX(0,MIN(AA636,CFG_WEM)-CFG_WSM),0)</f>
        <v>0</v>
      </c>
      <c r="AM636" s="80">
        <f>AK636+AL636</f>
        <v>0</v>
      </c>
      <c r="AN636" s="80">
        <f>IF(CFG_BRK="Proporcional",IF(AD636=0,0,AF636*AM636/AD636),IF(CFG_BRK="Extras primero",MIN(AM636,MAX(0,AF636-(AD636-AM636))),MIN(AF636,AM636)))</f>
        <v>0</v>
      </c>
      <c r="AO636" s="80">
        <f>AF636-AN636</f>
        <v>0</v>
      </c>
      <c r="AP636" s="80">
        <f>AM636-AN636</f>
        <v>0</v>
      </c>
      <c r="AQ636" s="80">
        <f>AD636-AM636-AO636</f>
        <v>0</v>
      </c>
      <c r="AR636" s="80">
        <f>IF(AM636=0,0,AK636-AN636*AK636/AM636)</f>
        <v>0</v>
      </c>
      <c r="AS636" s="80">
        <f>IF(AD636-AM636=0,0,(AJ636-AK636)-AO636*(AJ636-AK636)/(AD636-AM636))</f>
        <v>0</v>
      </c>
      <c r="AT636" s="80" t="str">
        <f>IF(AC636=1,INT(B636)+1,"")</f>
        <v/>
      </c>
      <c r="AU636" s="80">
        <f>IF(AND(D636="proMX",R636="Cancelled"),0,1)</f>
        <v>1</v>
      </c>
      <c r="AV636" s="80">
        <f>IF(AND(AB636=1,AU636=1),IF(COUNTIFS($D$5:D635,D636,$B$5:B635,B636,$Z$5:Z635,Z636,$AA$5:AA635,AA636,$F$5:F635,F636&amp;"",$AU$5:AU635,1)&gt;0,1,0),0)</f>
        <v>0</v>
      </c>
      <c r="AW636" s="80" t="str">
        <f>IF(AB636=1,INT(B636)*1440+Z636,"")</f>
        <v/>
      </c>
      <c r="AX636" s="80" t="str">
        <f>IF(AB636=1,AW636+AD636,"")</f>
        <v/>
      </c>
      <c r="AY636" s="80">
        <f>IF(AND(AB636=1,AV636=0,AU636=1),1,0)</f>
        <v>0</v>
      </c>
      <c r="AZ636" s="80">
        <f>IF(AY636=1,COUNTIFS(R_Emp,D636,R_SAbs,"&lt;"&amp;AX636,R_EAbs,"&gt;"&amp;AW636,R_OKey,1)-1,0)</f>
        <v>0</v>
      </c>
      <c r="BA636" s="80">
        <f>IF(AY636=1,COUNTIFS(R_Emp,"&lt;&gt;"&amp;D636,R_SAbs,"&lt;"&amp;AX636,R_EAbs,"&gt;"&amp;AW636,R_OKey,1),0)</f>
        <v>0</v>
      </c>
      <c r="BB636" s="80">
        <f>IF(AND(AB636=1,D636="proMX"),IF(AND(MOD(Z636,CFG_BLK)=0,MOD(AA636,CFG_BLK)=0,MOD(AG636,CFG_BLK)=0,AG636&gt;0),1,0),1)</f>
        <v>1</v>
      </c>
      <c r="BC636" s="80" t="str">
        <f>IF(Y636=0,"",IF(NOT(ISNUMBER(B636)),"Falta fecha o fecha inválida",IF(D636="","Falta empresa",IF(AND(D636&lt;&gt;"Malcolm",D636&lt;&gt;"proMX"),"Empresa inválida",IF(OR(INT(B636)&lt;CFG_PSTART,INT(B636)&gt;CFG_PEND),"Fecha fuera del período",IF(OR(NOT(ISNUMBER(Z636)),NOT(ISNUMBER(AA636))),"Falta hora inicio/fin o formato inválido",IF(AB636=0,"Hora inicio = hora fin",IF(AE636&lt;0,"Descanso inválido",IF(AE636&gt;=AD636,"Descanso ≥ duración",IF(AV636=1,"Registro duplicado",IF(AZ636&gt;0,"Se superpone con otro registro "&amp;D636,IF(BB636=0,"inicio, fin y duración neta deben ser múltiplos de "&amp;CFG_BLK&amp;" min",""))))))))))))</f>
        <v/>
      </c>
      <c r="BD636" s="80">
        <f>IF(AND(Y636=1,BC636=""),1,0)</f>
        <v>0</v>
      </c>
      <c r="BE636" s="80">
        <f>IF(AND(BD636=1,AU636=1),1,0)</f>
        <v>0</v>
      </c>
      <c r="BF636" s="80" t="str">
        <f>IF(AND(D636="proMX",BD636=1),IF(R636="","Draft",R636),"")</f>
        <v/>
      </c>
      <c r="BG636" s="80">
        <f>IF(BD636=1,ROUND(AG636/60,6),0)</f>
        <v>0</v>
      </c>
      <c r="BH636" s="80">
        <f>IF(BE636=1,ROUND(AG636/60,6),0)</f>
        <v>0</v>
      </c>
      <c r="BI636" s="80">
        <f>IF(BE636=1,ROUND(AP636/60,6),0)</f>
        <v>0</v>
      </c>
      <c r="BJ636" s="80">
        <f>IF(BE636=1,ROUND(AQ636/60,6),0)</f>
        <v>0</v>
      </c>
      <c r="BK636" s="80">
        <f>IF(BE636=1,ROUND((AR636+AS636)/60,6),0)</f>
        <v>0</v>
      </c>
      <c r="BL636" s="80">
        <f>ROUND(BH636-BK636,6)</f>
        <v>0</v>
      </c>
      <c r="BM636" s="80">
        <f>IF(BE636=1,ROUND(AR636/60,6),0)</f>
        <v>0</v>
      </c>
      <c r="BN636" s="80">
        <f>ROUND(BI636-BM636,6)</f>
        <v>0</v>
      </c>
      <c r="BO636" s="80">
        <f>IF(BE636=1,ROUND(AS636/60,6),0)</f>
        <v>0</v>
      </c>
      <c r="BP636" s="80">
        <f>ROUND(BJ636-BO636,6)</f>
        <v>0</v>
      </c>
      <c r="BQ636" s="80">
        <f>IF(BE636=1,AW636,0)</f>
        <v>0</v>
      </c>
      <c r="BR636" s="80">
        <f>IF(BE636=1,AX636,0)</f>
        <v>0</v>
      </c>
      <c r="BS636" s="80">
        <f>IF(AND(BE636=1,D636="Malcolm",BA636&gt;0),MIN(BH636,SUMPRODUCT((R_Emp="proMX")*(R_EN&gt;0)*((R_EN-(R_EN&gt;BR636)*(R_EN-BR636))&gt;(R_SN+(R_SN&lt;BQ636)*(BQ636-R_SN)))*((R_EN-(R_EN&gt;BR636)*(R_EN-BR636))-(R_SN+(R_SN&lt;BQ636)*(BQ636-R_SN))))/60),0)</f>
        <v>0</v>
      </c>
      <c r="BT636" s="80">
        <f>IF(AND(BE636=1,D636="proMX"),ROUND(BI636*CFG_RATE+BJ636*CFG_OTRATE,6),0)</f>
        <v>0</v>
      </c>
      <c r="BU636" s="80">
        <f>IF(AND(BD636=1,D636="proMX"),ROUND(AG636/CFG_BLK,6),0)</f>
        <v>0</v>
      </c>
      <c r="BV636" s="80" t="str">
        <f>IF(BF636="Approved",IF(ISNUMBER(T636),INT(T636),INT(B636)),"")</f>
        <v/>
      </c>
      <c r="BW636" s="80">
        <f>IF(ISNUMBER(B636),IF(DB_MON="Todos",1,IF(AND(INT(B636)&gt;=DB_MS,INT(B636)&lt;=DB_ME),1,0)),0)</f>
        <v>0</v>
      </c>
      <c r="BX636" s="80">
        <f>IF(DB_PROJ="Todos",1,IF(E636&amp;""=DB_PROJ&amp;"",1,0))</f>
        <v>1</v>
      </c>
      <c r="BY636" s="80">
        <f>BW636*BX636</f>
        <v>0</v>
      </c>
      <c r="BZ636" s="80" t="str">
        <f>IF(Y636=1,F636&amp;IF(AND(F636&amp;""&lt;&gt;"",E636&amp;""&lt;&gt;"")," · ","")&amp;E636,"")</f>
        <v/>
      </c>
      <c r="CA636" s="80" t="str">
        <f>IF(AND(BD636=1,E636&amp;""&lt;&gt;""),IF(COUNTIFS($E$5:E635,E636,$BD$5:BD635,1)=0,MAX($CA$5:CA635)+1,""),"")</f>
        <v/>
      </c>
      <c r="CB636" s="80" t="str">
        <f>IF(AND(BE636=1,D636="Malcolm",E636&amp;""&lt;&gt;""),IF(COUNTIFS($D$5:D635,"Malcolm",$E$5:E635,E636,$BE$5:BE635,1)=0,MAX($CB$5:CB635)+1,""),"")</f>
        <v/>
      </c>
      <c r="CC636" s="80" t="str">
        <f>IF(AND(BD636=1,D636="proMX",E636&amp;""&lt;&gt;""),IF(COUNTIFS($D$5:D635,"proMX",$E$5:E635,E636,$BD$5:BD635,1)=0,MAX($CC$5:CC635)+1,""),"")</f>
        <v/>
      </c>
      <c r="CD636" s="80" t="str">
        <f>IF(AND(BE636=1,D636="Malcolm",F636&amp;""&lt;&gt;""),IF(COUNTIFS($D$5:D635,"Malcolm",$F$5:F635,F636,$BE$5:BE635,1)=0,MAX($CD$5:CD635)+1,""),"")</f>
        <v/>
      </c>
      <c r="CE636" s="80" t="str">
        <f>IF(AND(BD636=1,D636="proMX",F636&amp;""&lt;&gt;""),IF(COUNTIFS($D$5:D635,"proMX",$F$5:F635,F636,$BD$5:BD635,1)=0,MAX($CE$5:CE635)+1,""),"")</f>
        <v/>
      </c>
      <c r="CF636" s="80" t="str">
        <f>IF(AND(D636="proMX",BD636=1),IF(OR(BF636="Draft",BF636="Submitted",BF636="Returned",BF636="Recall Requested"),MAX($CF$5:CF635)+1,""),"")</f>
        <v/>
      </c>
      <c r="CG636" s="80">
        <f>IF(BD636=0,0,IF(D636="Malcolm",1,MATCH(BF636,{"Draft","Submitted","Approved","Returned","Recall Requested","Cancelled"},0)+1))</f>
        <v>0</v>
      </c>
      <c r="CH636" s="80">
        <f>IF(AND(BF636="Submitted",ISNUMBER(V636)),IF(V636&gt;CFG_MAXD,1,0),0)</f>
        <v>0</v>
      </c>
    </row>
    <row r="637">
      <c r="A637" s="71" t="str">
        <f>IF(Y637=1,ROW()-5,"")</f>
        <v/>
      </c>
      <c r="B637" s="72" t="n"/>
      <c r="C637" s="71" t="str">
        <f>IF(ISNUMBER(B637),CHOOSE(WEEKDAY(B637,2),"Lun","Mar","Mié","Jue","Vie","Sáb","Dom"),"")</f>
        <v/>
      </c>
      <c r="D637" s="73" t="n"/>
      <c r="E637" s="74" t="n"/>
      <c r="F637" s="74" t="n"/>
      <c r="G637" s="74" t="n"/>
      <c r="H637" s="75" t="n"/>
      <c r="I637" s="75" t="n"/>
      <c r="J637" s="76" t="n"/>
      <c r="K637" s="77" t="str">
        <f>IF(AB637=1,ROUND(AG637/60,4),"")</f>
        <v/>
      </c>
      <c r="L637" s="77" t="str">
        <f>IF(BD637=1,ROUND(AP637/60,4),"")</f>
        <v/>
      </c>
      <c r="M637" s="77" t="str">
        <f>IF(BD637=1,ROUND(AQ637/60,4),"")</f>
        <v/>
      </c>
      <c r="N637" s="71" t="str">
        <f>IF(AND(D637="proMX",AB637=1),ROUND(AG637/CFG_BLK,2),"")</f>
        <v/>
      </c>
      <c r="O637" s="77" t="str">
        <f>IF(D637="proMX",IF(BD637=1,ROUND(AG637/60,4),0),"")</f>
        <v/>
      </c>
      <c r="P637" s="78" t="str">
        <f>IF(Y637=0,"",IF(BD637=1,"OK",IF(D637="proMX","Revisar bloques: ","Revisar: ")&amp;BC637))</f>
        <v/>
      </c>
      <c r="Q637" s="78" t="str">
        <f>IF(NOT(ISNUMBER(B637)),"",IF(COUNTIFS(FER_F,INT(B637))&gt;0,"Feriado"&amp;IF(AH637=1," (laborable)"," (no laborable)"),IF(AH637=1,"Laborable",IF(WEEKDAY(B637,2)&gt;5,"Fin de semana","No laborable"))))</f>
        <v/>
      </c>
      <c r="R637" s="73" t="n"/>
      <c r="S637" s="72" t="n"/>
      <c r="T637" s="72" t="n"/>
      <c r="U637" s="74" t="n"/>
      <c r="V637" s="79" t="str">
        <f>IF(AND(D637="proMX",OR(R637="Submitted",R637="Recall Requested"),ISNUMBER(S637)),CFG_TODAY-INT(S637),"")</f>
        <v/>
      </c>
      <c r="W637" s="78" t="str">
        <f>IF(BD637=0,"",IF(BA637&gt;0,"⚠ Se superpone con un registro de la otra empresa",IF(D637="Malcolm",IF(COUNTA(R637,S637,T637)&gt;0,"Estado/fechas proMX se ignoran en Malcolm",""),IF(BF637="Cancelled","Cancelado: excluido de totales",IF(R637="","Sin estado: se trata como Draft",IF(BF637="Submitted",IF(ISNUMBER(V637),IF(V637&gt;CFG_MAXD,"⚠ "&amp;V637&amp;" días en Submitted (máx. "&amp;CFG_MAXD&amp;")",""),"Falta fecha de envío"),IF(BF637="Returned","⚠ Devuelto: corregir y reenviar",IF(BF637="Recall Requested","Retirada solicitada: pendiente",IF(AND(BF637="Approved",NOT(ISNUMBER(T637))),"Falta fecha de aprobación",IF(AND(ISNUMBER(S637),ISNUMBER(T637),T637&lt;S637),"Aprobación anterior al envío","")))))))))</f>
        <v/>
      </c>
      <c r="Y637" s="80">
        <f>IF(COUNTA(B637,D637,E637,F637,G637,H637,I637,J637,R637,S637,T637)&gt;0,1,0)</f>
        <v>0</v>
      </c>
      <c r="Z637" s="80" t="str">
        <f>IF(AND(ISNUMBER(H637),H637&gt;=0,H637&lt;1),ROUND(H637*1440,0),"")</f>
        <v/>
      </c>
      <c r="AA637" s="80" t="str">
        <f>IF(AND(ISNUMBER(I637),I637&gt;=0,I637&lt;1),ROUND(I637*1440,0),"")</f>
        <v/>
      </c>
      <c r="AB637" s="80">
        <f>IF(AND(ISNUMBER(B637),D637&lt;&gt;"",ISNUMBER(Z637),ISNUMBER(AA637)),IF(Z637=AA637,0,1),0)</f>
        <v>0</v>
      </c>
      <c r="AC637" s="80">
        <f>IF(AB637=1,IF(AA637&lt;Z637,1,0),0)</f>
        <v>0</v>
      </c>
      <c r="AD637" s="80">
        <f>IF(AB637=1,IF(AC637=1,1440-Z637+AA637,AA637-Z637),0)</f>
        <v>0</v>
      </c>
      <c r="AE637" s="80">
        <f>IF(J637="",0,IF(ISNUMBER(J637),J637,-1))</f>
        <v>0</v>
      </c>
      <c r="AF637" s="80">
        <f>MIN(MAX(0,AE637),AD637)</f>
        <v>0</v>
      </c>
      <c r="AG637" s="80">
        <f>MAX(0,AD637-MAX(0,AE637))</f>
        <v>0</v>
      </c>
      <c r="AH637" s="80">
        <f>IF(ISNUMBER(B637),IF(AND(INDEX(CFG_WDAYS,WEEKDAY(INT(B637),2))="Sí",IF(D637="proMX",COUNTIFS(FER_F,INT(B637),FER_NLP,"Sí"),COUNTIFS(FER_F,INT(B637),FER_NLM,"Sí"))=0),1,0),0)</f>
        <v>0</v>
      </c>
      <c r="AI637" s="80">
        <f>IF(AC637=1,IF(AND(INDEX(CFG_WDAYS,WEEKDAY(INT(B637)+1,2))="Sí",IF(D637="proMX",COUNTIFS(FER_F,INT(B637)+1,FER_NLP,"Sí"),COUNTIFS(FER_F,INT(B637)+1,FER_NLM,"Sí"))=0),1,0),0)</f>
        <v>0</v>
      </c>
      <c r="AJ637" s="80">
        <f>IF(AC637=1,1440-Z637,AD637)</f>
        <v>0</v>
      </c>
      <c r="AK637" s="80">
        <f>IF(AND(AB637=1,AH637=1),MAX(0,MIN(IF(AC637=1,1440,AA637),CFG_WEM)-MAX(Z637,CFG_WSM)),0)</f>
        <v>0</v>
      </c>
      <c r="AL637" s="80">
        <f>IF(AND(AC637=1,AI637=1),MAX(0,MIN(AA637,CFG_WEM)-CFG_WSM),0)</f>
        <v>0</v>
      </c>
      <c r="AM637" s="80">
        <f>AK637+AL637</f>
        <v>0</v>
      </c>
      <c r="AN637" s="80">
        <f>IF(CFG_BRK="Proporcional",IF(AD637=0,0,AF637*AM637/AD637),IF(CFG_BRK="Extras primero",MIN(AM637,MAX(0,AF637-(AD637-AM637))),MIN(AF637,AM637)))</f>
        <v>0</v>
      </c>
      <c r="AO637" s="80">
        <f>AF637-AN637</f>
        <v>0</v>
      </c>
      <c r="AP637" s="80">
        <f>AM637-AN637</f>
        <v>0</v>
      </c>
      <c r="AQ637" s="80">
        <f>AD637-AM637-AO637</f>
        <v>0</v>
      </c>
      <c r="AR637" s="80">
        <f>IF(AM637=0,0,AK637-AN637*AK637/AM637)</f>
        <v>0</v>
      </c>
      <c r="AS637" s="80">
        <f>IF(AD637-AM637=0,0,(AJ637-AK637)-AO637*(AJ637-AK637)/(AD637-AM637))</f>
        <v>0</v>
      </c>
      <c r="AT637" s="80" t="str">
        <f>IF(AC637=1,INT(B637)+1,"")</f>
        <v/>
      </c>
      <c r="AU637" s="80">
        <f>IF(AND(D637="proMX",R637="Cancelled"),0,1)</f>
        <v>1</v>
      </c>
      <c r="AV637" s="80">
        <f>IF(AND(AB637=1,AU637=1),IF(COUNTIFS($D$5:D636,D637,$B$5:B636,B637,$Z$5:Z636,Z637,$AA$5:AA636,AA637,$F$5:F636,F637&amp;"",$AU$5:AU636,1)&gt;0,1,0),0)</f>
        <v>0</v>
      </c>
      <c r="AW637" s="80" t="str">
        <f>IF(AB637=1,INT(B637)*1440+Z637,"")</f>
        <v/>
      </c>
      <c r="AX637" s="80" t="str">
        <f>IF(AB637=1,AW637+AD637,"")</f>
        <v/>
      </c>
      <c r="AY637" s="80">
        <f>IF(AND(AB637=1,AV637=0,AU637=1),1,0)</f>
        <v>0</v>
      </c>
      <c r="AZ637" s="80">
        <f>IF(AY637=1,COUNTIFS(R_Emp,D637,R_SAbs,"&lt;"&amp;AX637,R_EAbs,"&gt;"&amp;AW637,R_OKey,1)-1,0)</f>
        <v>0</v>
      </c>
      <c r="BA637" s="80">
        <f>IF(AY637=1,COUNTIFS(R_Emp,"&lt;&gt;"&amp;D637,R_SAbs,"&lt;"&amp;AX637,R_EAbs,"&gt;"&amp;AW637,R_OKey,1),0)</f>
        <v>0</v>
      </c>
      <c r="BB637" s="80">
        <f>IF(AND(AB637=1,D637="proMX"),IF(AND(MOD(Z637,CFG_BLK)=0,MOD(AA637,CFG_BLK)=0,MOD(AG637,CFG_BLK)=0,AG637&gt;0),1,0),1)</f>
        <v>1</v>
      </c>
      <c r="BC637" s="80" t="str">
        <f>IF(Y637=0,"",IF(NOT(ISNUMBER(B637)),"Falta fecha o fecha inválida",IF(D637="","Falta empresa",IF(AND(D637&lt;&gt;"Malcolm",D637&lt;&gt;"proMX"),"Empresa inválida",IF(OR(INT(B637)&lt;CFG_PSTART,INT(B637)&gt;CFG_PEND),"Fecha fuera del período",IF(OR(NOT(ISNUMBER(Z637)),NOT(ISNUMBER(AA637))),"Falta hora inicio/fin o formato inválido",IF(AB637=0,"Hora inicio = hora fin",IF(AE637&lt;0,"Descanso inválido",IF(AE637&gt;=AD637,"Descanso ≥ duración",IF(AV637=1,"Registro duplicado",IF(AZ637&gt;0,"Se superpone con otro registro "&amp;D637,IF(BB637=0,"inicio, fin y duración neta deben ser múltiplos de "&amp;CFG_BLK&amp;" min",""))))))))))))</f>
        <v/>
      </c>
      <c r="BD637" s="80">
        <f>IF(AND(Y637=1,BC637=""),1,0)</f>
        <v>0</v>
      </c>
      <c r="BE637" s="80">
        <f>IF(AND(BD637=1,AU637=1),1,0)</f>
        <v>0</v>
      </c>
      <c r="BF637" s="80" t="str">
        <f>IF(AND(D637="proMX",BD637=1),IF(R637="","Draft",R637),"")</f>
        <v/>
      </c>
      <c r="BG637" s="80">
        <f>IF(BD637=1,ROUND(AG637/60,6),0)</f>
        <v>0</v>
      </c>
      <c r="BH637" s="80">
        <f>IF(BE637=1,ROUND(AG637/60,6),0)</f>
        <v>0</v>
      </c>
      <c r="BI637" s="80">
        <f>IF(BE637=1,ROUND(AP637/60,6),0)</f>
        <v>0</v>
      </c>
      <c r="BJ637" s="80">
        <f>IF(BE637=1,ROUND(AQ637/60,6),0)</f>
        <v>0</v>
      </c>
      <c r="BK637" s="80">
        <f>IF(BE637=1,ROUND((AR637+AS637)/60,6),0)</f>
        <v>0</v>
      </c>
      <c r="BL637" s="80">
        <f>ROUND(BH637-BK637,6)</f>
        <v>0</v>
      </c>
      <c r="BM637" s="80">
        <f>IF(BE637=1,ROUND(AR637/60,6),0)</f>
        <v>0</v>
      </c>
      <c r="BN637" s="80">
        <f>ROUND(BI637-BM637,6)</f>
        <v>0</v>
      </c>
      <c r="BO637" s="80">
        <f>IF(BE637=1,ROUND(AS637/60,6),0)</f>
        <v>0</v>
      </c>
      <c r="BP637" s="80">
        <f>ROUND(BJ637-BO637,6)</f>
        <v>0</v>
      </c>
      <c r="BQ637" s="80">
        <f>IF(BE637=1,AW637,0)</f>
        <v>0</v>
      </c>
      <c r="BR637" s="80">
        <f>IF(BE637=1,AX637,0)</f>
        <v>0</v>
      </c>
      <c r="BS637" s="80">
        <f>IF(AND(BE637=1,D637="Malcolm",BA637&gt;0),MIN(BH637,SUMPRODUCT((R_Emp="proMX")*(R_EN&gt;0)*((R_EN-(R_EN&gt;BR637)*(R_EN-BR637))&gt;(R_SN+(R_SN&lt;BQ637)*(BQ637-R_SN)))*((R_EN-(R_EN&gt;BR637)*(R_EN-BR637))-(R_SN+(R_SN&lt;BQ637)*(BQ637-R_SN))))/60),0)</f>
        <v>0</v>
      </c>
      <c r="BT637" s="80">
        <f>IF(AND(BE637=1,D637="proMX"),ROUND(BI637*CFG_RATE+BJ637*CFG_OTRATE,6),0)</f>
        <v>0</v>
      </c>
      <c r="BU637" s="80">
        <f>IF(AND(BD637=1,D637="proMX"),ROUND(AG637/CFG_BLK,6),0)</f>
        <v>0</v>
      </c>
      <c r="BV637" s="80" t="str">
        <f>IF(BF637="Approved",IF(ISNUMBER(T637),INT(T637),INT(B637)),"")</f>
        <v/>
      </c>
      <c r="BW637" s="80">
        <f>IF(ISNUMBER(B637),IF(DB_MON="Todos",1,IF(AND(INT(B637)&gt;=DB_MS,INT(B637)&lt;=DB_ME),1,0)),0)</f>
        <v>0</v>
      </c>
      <c r="BX637" s="80">
        <f>IF(DB_PROJ="Todos",1,IF(E637&amp;""=DB_PROJ&amp;"",1,0))</f>
        <v>1</v>
      </c>
      <c r="BY637" s="80">
        <f>BW637*BX637</f>
        <v>0</v>
      </c>
      <c r="BZ637" s="80" t="str">
        <f>IF(Y637=1,F637&amp;IF(AND(F637&amp;""&lt;&gt;"",E637&amp;""&lt;&gt;"")," · ","")&amp;E637,"")</f>
        <v/>
      </c>
      <c r="CA637" s="80" t="str">
        <f>IF(AND(BD637=1,E637&amp;""&lt;&gt;""),IF(COUNTIFS($E$5:E636,E637,$BD$5:BD636,1)=0,MAX($CA$5:CA636)+1,""),"")</f>
        <v/>
      </c>
      <c r="CB637" s="80" t="str">
        <f>IF(AND(BE637=1,D637="Malcolm",E637&amp;""&lt;&gt;""),IF(COUNTIFS($D$5:D636,"Malcolm",$E$5:E636,E637,$BE$5:BE636,1)=0,MAX($CB$5:CB636)+1,""),"")</f>
        <v/>
      </c>
      <c r="CC637" s="80" t="str">
        <f>IF(AND(BD637=1,D637="proMX",E637&amp;""&lt;&gt;""),IF(COUNTIFS($D$5:D636,"proMX",$E$5:E636,E637,$BD$5:BD636,1)=0,MAX($CC$5:CC636)+1,""),"")</f>
        <v/>
      </c>
      <c r="CD637" s="80" t="str">
        <f>IF(AND(BE637=1,D637="Malcolm",F637&amp;""&lt;&gt;""),IF(COUNTIFS($D$5:D636,"Malcolm",$F$5:F636,F637,$BE$5:BE636,1)=0,MAX($CD$5:CD636)+1,""),"")</f>
        <v/>
      </c>
      <c r="CE637" s="80" t="str">
        <f>IF(AND(BD637=1,D637="proMX",F637&amp;""&lt;&gt;""),IF(COUNTIFS($D$5:D636,"proMX",$F$5:F636,F637,$BD$5:BD636,1)=0,MAX($CE$5:CE636)+1,""),"")</f>
        <v/>
      </c>
      <c r="CF637" s="80" t="str">
        <f>IF(AND(D637="proMX",BD637=1),IF(OR(BF637="Draft",BF637="Submitted",BF637="Returned",BF637="Recall Requested"),MAX($CF$5:CF636)+1,""),"")</f>
        <v/>
      </c>
      <c r="CG637" s="80">
        <f>IF(BD637=0,0,IF(D637="Malcolm",1,MATCH(BF637,{"Draft","Submitted","Approved","Returned","Recall Requested","Cancelled"},0)+1))</f>
        <v>0</v>
      </c>
      <c r="CH637" s="80">
        <f>IF(AND(BF637="Submitted",ISNUMBER(V637)),IF(V637&gt;CFG_MAXD,1,0),0)</f>
        <v>0</v>
      </c>
    </row>
    <row r="638">
      <c r="A638" s="71" t="str">
        <f>IF(Y638=1,ROW()-5,"")</f>
        <v/>
      </c>
      <c r="B638" s="72" t="n"/>
      <c r="C638" s="71" t="str">
        <f>IF(ISNUMBER(B638),CHOOSE(WEEKDAY(B638,2),"Lun","Mar","Mié","Jue","Vie","Sáb","Dom"),"")</f>
        <v/>
      </c>
      <c r="D638" s="73" t="n"/>
      <c r="E638" s="74" t="n"/>
      <c r="F638" s="74" t="n"/>
      <c r="G638" s="74" t="n"/>
      <c r="H638" s="75" t="n"/>
      <c r="I638" s="75" t="n"/>
      <c r="J638" s="76" t="n"/>
      <c r="K638" s="77" t="str">
        <f>IF(AB638=1,ROUND(AG638/60,4),"")</f>
        <v/>
      </c>
      <c r="L638" s="77" t="str">
        <f>IF(BD638=1,ROUND(AP638/60,4),"")</f>
        <v/>
      </c>
      <c r="M638" s="77" t="str">
        <f>IF(BD638=1,ROUND(AQ638/60,4),"")</f>
        <v/>
      </c>
      <c r="N638" s="71" t="str">
        <f>IF(AND(D638="proMX",AB638=1),ROUND(AG638/CFG_BLK,2),"")</f>
        <v/>
      </c>
      <c r="O638" s="77" t="str">
        <f>IF(D638="proMX",IF(BD638=1,ROUND(AG638/60,4),0),"")</f>
        <v/>
      </c>
      <c r="P638" s="78" t="str">
        <f>IF(Y638=0,"",IF(BD638=1,"OK",IF(D638="proMX","Revisar bloques: ","Revisar: ")&amp;BC638))</f>
        <v/>
      </c>
      <c r="Q638" s="78" t="str">
        <f>IF(NOT(ISNUMBER(B638)),"",IF(COUNTIFS(FER_F,INT(B638))&gt;0,"Feriado"&amp;IF(AH638=1," (laborable)"," (no laborable)"),IF(AH638=1,"Laborable",IF(WEEKDAY(B638,2)&gt;5,"Fin de semana","No laborable"))))</f>
        <v/>
      </c>
      <c r="R638" s="73" t="n"/>
      <c r="S638" s="72" t="n"/>
      <c r="T638" s="72" t="n"/>
      <c r="U638" s="74" t="n"/>
      <c r="V638" s="79" t="str">
        <f>IF(AND(D638="proMX",OR(R638="Submitted",R638="Recall Requested"),ISNUMBER(S638)),CFG_TODAY-INT(S638),"")</f>
        <v/>
      </c>
      <c r="W638" s="78" t="str">
        <f>IF(BD638=0,"",IF(BA638&gt;0,"⚠ Se superpone con un registro de la otra empresa",IF(D638="Malcolm",IF(COUNTA(R638,S638,T638)&gt;0,"Estado/fechas proMX se ignoran en Malcolm",""),IF(BF638="Cancelled","Cancelado: excluido de totales",IF(R638="","Sin estado: se trata como Draft",IF(BF638="Submitted",IF(ISNUMBER(V638),IF(V638&gt;CFG_MAXD,"⚠ "&amp;V638&amp;" días en Submitted (máx. "&amp;CFG_MAXD&amp;")",""),"Falta fecha de envío"),IF(BF638="Returned","⚠ Devuelto: corregir y reenviar",IF(BF638="Recall Requested","Retirada solicitada: pendiente",IF(AND(BF638="Approved",NOT(ISNUMBER(T638))),"Falta fecha de aprobación",IF(AND(ISNUMBER(S638),ISNUMBER(T638),T638&lt;S638),"Aprobación anterior al envío","")))))))))</f>
        <v/>
      </c>
      <c r="Y638" s="80">
        <f>IF(COUNTA(B638,D638,E638,F638,G638,H638,I638,J638,R638,S638,T638)&gt;0,1,0)</f>
        <v>0</v>
      </c>
      <c r="Z638" s="80" t="str">
        <f>IF(AND(ISNUMBER(H638),H638&gt;=0,H638&lt;1),ROUND(H638*1440,0),"")</f>
        <v/>
      </c>
      <c r="AA638" s="80" t="str">
        <f>IF(AND(ISNUMBER(I638),I638&gt;=0,I638&lt;1),ROUND(I638*1440,0),"")</f>
        <v/>
      </c>
      <c r="AB638" s="80">
        <f>IF(AND(ISNUMBER(B638),D638&lt;&gt;"",ISNUMBER(Z638),ISNUMBER(AA638)),IF(Z638=AA638,0,1),0)</f>
        <v>0</v>
      </c>
      <c r="AC638" s="80">
        <f>IF(AB638=1,IF(AA638&lt;Z638,1,0),0)</f>
        <v>0</v>
      </c>
      <c r="AD638" s="80">
        <f>IF(AB638=1,IF(AC638=1,1440-Z638+AA638,AA638-Z638),0)</f>
        <v>0</v>
      </c>
      <c r="AE638" s="80">
        <f>IF(J638="",0,IF(ISNUMBER(J638),J638,-1))</f>
        <v>0</v>
      </c>
      <c r="AF638" s="80">
        <f>MIN(MAX(0,AE638),AD638)</f>
        <v>0</v>
      </c>
      <c r="AG638" s="80">
        <f>MAX(0,AD638-MAX(0,AE638))</f>
        <v>0</v>
      </c>
      <c r="AH638" s="80">
        <f>IF(ISNUMBER(B638),IF(AND(INDEX(CFG_WDAYS,WEEKDAY(INT(B638),2))="Sí",IF(D638="proMX",COUNTIFS(FER_F,INT(B638),FER_NLP,"Sí"),COUNTIFS(FER_F,INT(B638),FER_NLM,"Sí"))=0),1,0),0)</f>
        <v>0</v>
      </c>
      <c r="AI638" s="80">
        <f>IF(AC638=1,IF(AND(INDEX(CFG_WDAYS,WEEKDAY(INT(B638)+1,2))="Sí",IF(D638="proMX",COUNTIFS(FER_F,INT(B638)+1,FER_NLP,"Sí"),COUNTIFS(FER_F,INT(B638)+1,FER_NLM,"Sí"))=0),1,0),0)</f>
        <v>0</v>
      </c>
      <c r="AJ638" s="80">
        <f>IF(AC638=1,1440-Z638,AD638)</f>
        <v>0</v>
      </c>
      <c r="AK638" s="80">
        <f>IF(AND(AB638=1,AH638=1),MAX(0,MIN(IF(AC638=1,1440,AA638),CFG_WEM)-MAX(Z638,CFG_WSM)),0)</f>
        <v>0</v>
      </c>
      <c r="AL638" s="80">
        <f>IF(AND(AC638=1,AI638=1),MAX(0,MIN(AA638,CFG_WEM)-CFG_WSM),0)</f>
        <v>0</v>
      </c>
      <c r="AM638" s="80">
        <f>AK638+AL638</f>
        <v>0</v>
      </c>
      <c r="AN638" s="80">
        <f>IF(CFG_BRK="Proporcional",IF(AD638=0,0,AF638*AM638/AD638),IF(CFG_BRK="Extras primero",MIN(AM638,MAX(0,AF638-(AD638-AM638))),MIN(AF638,AM638)))</f>
        <v>0</v>
      </c>
      <c r="AO638" s="80">
        <f>AF638-AN638</f>
        <v>0</v>
      </c>
      <c r="AP638" s="80">
        <f>AM638-AN638</f>
        <v>0</v>
      </c>
      <c r="AQ638" s="80">
        <f>AD638-AM638-AO638</f>
        <v>0</v>
      </c>
      <c r="AR638" s="80">
        <f>IF(AM638=0,0,AK638-AN638*AK638/AM638)</f>
        <v>0</v>
      </c>
      <c r="AS638" s="80">
        <f>IF(AD638-AM638=0,0,(AJ638-AK638)-AO638*(AJ638-AK638)/(AD638-AM638))</f>
        <v>0</v>
      </c>
      <c r="AT638" s="80" t="str">
        <f>IF(AC638=1,INT(B638)+1,"")</f>
        <v/>
      </c>
      <c r="AU638" s="80">
        <f>IF(AND(D638="proMX",R638="Cancelled"),0,1)</f>
        <v>1</v>
      </c>
      <c r="AV638" s="80">
        <f>IF(AND(AB638=1,AU638=1),IF(COUNTIFS($D$5:D637,D638,$B$5:B637,B638,$Z$5:Z637,Z638,$AA$5:AA637,AA638,$F$5:F637,F638&amp;"",$AU$5:AU637,1)&gt;0,1,0),0)</f>
        <v>0</v>
      </c>
      <c r="AW638" s="80" t="str">
        <f>IF(AB638=1,INT(B638)*1440+Z638,"")</f>
        <v/>
      </c>
      <c r="AX638" s="80" t="str">
        <f>IF(AB638=1,AW638+AD638,"")</f>
        <v/>
      </c>
      <c r="AY638" s="80">
        <f>IF(AND(AB638=1,AV638=0,AU638=1),1,0)</f>
        <v>0</v>
      </c>
      <c r="AZ638" s="80">
        <f>IF(AY638=1,COUNTIFS(R_Emp,D638,R_SAbs,"&lt;"&amp;AX638,R_EAbs,"&gt;"&amp;AW638,R_OKey,1)-1,0)</f>
        <v>0</v>
      </c>
      <c r="BA638" s="80">
        <f>IF(AY638=1,COUNTIFS(R_Emp,"&lt;&gt;"&amp;D638,R_SAbs,"&lt;"&amp;AX638,R_EAbs,"&gt;"&amp;AW638,R_OKey,1),0)</f>
        <v>0</v>
      </c>
      <c r="BB638" s="80">
        <f>IF(AND(AB638=1,D638="proMX"),IF(AND(MOD(Z638,CFG_BLK)=0,MOD(AA638,CFG_BLK)=0,MOD(AG638,CFG_BLK)=0,AG638&gt;0),1,0),1)</f>
        <v>1</v>
      </c>
      <c r="BC638" s="80" t="str">
        <f>IF(Y638=0,"",IF(NOT(ISNUMBER(B638)),"Falta fecha o fecha inválida",IF(D638="","Falta empresa",IF(AND(D638&lt;&gt;"Malcolm",D638&lt;&gt;"proMX"),"Empresa inválida",IF(OR(INT(B638)&lt;CFG_PSTART,INT(B638)&gt;CFG_PEND),"Fecha fuera del período",IF(OR(NOT(ISNUMBER(Z638)),NOT(ISNUMBER(AA638))),"Falta hora inicio/fin o formato inválido",IF(AB638=0,"Hora inicio = hora fin",IF(AE638&lt;0,"Descanso inválido",IF(AE638&gt;=AD638,"Descanso ≥ duración",IF(AV638=1,"Registro duplicado",IF(AZ638&gt;0,"Se superpone con otro registro "&amp;D638,IF(BB638=0,"inicio, fin y duración neta deben ser múltiplos de "&amp;CFG_BLK&amp;" min",""))))))))))))</f>
        <v/>
      </c>
      <c r="BD638" s="80">
        <f>IF(AND(Y638=1,BC638=""),1,0)</f>
        <v>0</v>
      </c>
      <c r="BE638" s="80">
        <f>IF(AND(BD638=1,AU638=1),1,0)</f>
        <v>0</v>
      </c>
      <c r="BF638" s="80" t="str">
        <f>IF(AND(D638="proMX",BD638=1),IF(R638="","Draft",R638),"")</f>
        <v/>
      </c>
      <c r="BG638" s="80">
        <f>IF(BD638=1,ROUND(AG638/60,6),0)</f>
        <v>0</v>
      </c>
      <c r="BH638" s="80">
        <f>IF(BE638=1,ROUND(AG638/60,6),0)</f>
        <v>0</v>
      </c>
      <c r="BI638" s="80">
        <f>IF(BE638=1,ROUND(AP638/60,6),0)</f>
        <v>0</v>
      </c>
      <c r="BJ638" s="80">
        <f>IF(BE638=1,ROUND(AQ638/60,6),0)</f>
        <v>0</v>
      </c>
      <c r="BK638" s="80">
        <f>IF(BE638=1,ROUND((AR638+AS638)/60,6),0)</f>
        <v>0</v>
      </c>
      <c r="BL638" s="80">
        <f>ROUND(BH638-BK638,6)</f>
        <v>0</v>
      </c>
      <c r="BM638" s="80">
        <f>IF(BE638=1,ROUND(AR638/60,6),0)</f>
        <v>0</v>
      </c>
      <c r="BN638" s="80">
        <f>ROUND(BI638-BM638,6)</f>
        <v>0</v>
      </c>
      <c r="BO638" s="80">
        <f>IF(BE638=1,ROUND(AS638/60,6),0)</f>
        <v>0</v>
      </c>
      <c r="BP638" s="80">
        <f>ROUND(BJ638-BO638,6)</f>
        <v>0</v>
      </c>
      <c r="BQ638" s="80">
        <f>IF(BE638=1,AW638,0)</f>
        <v>0</v>
      </c>
      <c r="BR638" s="80">
        <f>IF(BE638=1,AX638,0)</f>
        <v>0</v>
      </c>
      <c r="BS638" s="80">
        <f>IF(AND(BE638=1,D638="Malcolm",BA638&gt;0),MIN(BH638,SUMPRODUCT((R_Emp="proMX")*(R_EN&gt;0)*((R_EN-(R_EN&gt;BR638)*(R_EN-BR638))&gt;(R_SN+(R_SN&lt;BQ638)*(BQ638-R_SN)))*((R_EN-(R_EN&gt;BR638)*(R_EN-BR638))-(R_SN+(R_SN&lt;BQ638)*(BQ638-R_SN))))/60),0)</f>
        <v>0</v>
      </c>
      <c r="BT638" s="80">
        <f>IF(AND(BE638=1,D638="proMX"),ROUND(BI638*CFG_RATE+BJ638*CFG_OTRATE,6),0)</f>
        <v>0</v>
      </c>
      <c r="BU638" s="80">
        <f>IF(AND(BD638=1,D638="proMX"),ROUND(AG638/CFG_BLK,6),0)</f>
        <v>0</v>
      </c>
      <c r="BV638" s="80" t="str">
        <f>IF(BF638="Approved",IF(ISNUMBER(T638),INT(T638),INT(B638)),"")</f>
        <v/>
      </c>
      <c r="BW638" s="80">
        <f>IF(ISNUMBER(B638),IF(DB_MON="Todos",1,IF(AND(INT(B638)&gt;=DB_MS,INT(B638)&lt;=DB_ME),1,0)),0)</f>
        <v>0</v>
      </c>
      <c r="BX638" s="80">
        <f>IF(DB_PROJ="Todos",1,IF(E638&amp;""=DB_PROJ&amp;"",1,0))</f>
        <v>1</v>
      </c>
      <c r="BY638" s="80">
        <f>BW638*BX638</f>
        <v>0</v>
      </c>
      <c r="BZ638" s="80" t="str">
        <f>IF(Y638=1,F638&amp;IF(AND(F638&amp;""&lt;&gt;"",E638&amp;""&lt;&gt;"")," · ","")&amp;E638,"")</f>
        <v/>
      </c>
      <c r="CA638" s="80" t="str">
        <f>IF(AND(BD638=1,E638&amp;""&lt;&gt;""),IF(COUNTIFS($E$5:E637,E638,$BD$5:BD637,1)=0,MAX($CA$5:CA637)+1,""),"")</f>
        <v/>
      </c>
      <c r="CB638" s="80" t="str">
        <f>IF(AND(BE638=1,D638="Malcolm",E638&amp;""&lt;&gt;""),IF(COUNTIFS($D$5:D637,"Malcolm",$E$5:E637,E638,$BE$5:BE637,1)=0,MAX($CB$5:CB637)+1,""),"")</f>
        <v/>
      </c>
      <c r="CC638" s="80" t="str">
        <f>IF(AND(BD638=1,D638="proMX",E638&amp;""&lt;&gt;""),IF(COUNTIFS($D$5:D637,"proMX",$E$5:E637,E638,$BD$5:BD637,1)=0,MAX($CC$5:CC637)+1,""),"")</f>
        <v/>
      </c>
      <c r="CD638" s="80" t="str">
        <f>IF(AND(BE638=1,D638="Malcolm",F638&amp;""&lt;&gt;""),IF(COUNTIFS($D$5:D637,"Malcolm",$F$5:F637,F638,$BE$5:BE637,1)=0,MAX($CD$5:CD637)+1,""),"")</f>
        <v/>
      </c>
      <c r="CE638" s="80" t="str">
        <f>IF(AND(BD638=1,D638="proMX",F638&amp;""&lt;&gt;""),IF(COUNTIFS($D$5:D637,"proMX",$F$5:F637,F638,$BD$5:BD637,1)=0,MAX($CE$5:CE637)+1,""),"")</f>
        <v/>
      </c>
      <c r="CF638" s="80" t="str">
        <f>IF(AND(D638="proMX",BD638=1),IF(OR(BF638="Draft",BF638="Submitted",BF638="Returned",BF638="Recall Requested"),MAX($CF$5:CF637)+1,""),"")</f>
        <v/>
      </c>
      <c r="CG638" s="80">
        <f>IF(BD638=0,0,IF(D638="Malcolm",1,MATCH(BF638,{"Draft","Submitted","Approved","Returned","Recall Requested","Cancelled"},0)+1))</f>
        <v>0</v>
      </c>
      <c r="CH638" s="80">
        <f>IF(AND(BF638="Submitted",ISNUMBER(V638)),IF(V638&gt;CFG_MAXD,1,0),0)</f>
        <v>0</v>
      </c>
    </row>
    <row r="639">
      <c r="A639" s="71" t="str">
        <f>IF(Y639=1,ROW()-5,"")</f>
        <v/>
      </c>
      <c r="B639" s="72" t="n"/>
      <c r="C639" s="71" t="str">
        <f>IF(ISNUMBER(B639),CHOOSE(WEEKDAY(B639,2),"Lun","Mar","Mié","Jue","Vie","Sáb","Dom"),"")</f>
        <v/>
      </c>
      <c r="D639" s="73" t="n"/>
      <c r="E639" s="74" t="n"/>
      <c r="F639" s="74" t="n"/>
      <c r="G639" s="74" t="n"/>
      <c r="H639" s="75" t="n"/>
      <c r="I639" s="75" t="n"/>
      <c r="J639" s="76" t="n"/>
      <c r="K639" s="77" t="str">
        <f>IF(AB639=1,ROUND(AG639/60,4),"")</f>
        <v/>
      </c>
      <c r="L639" s="77" t="str">
        <f>IF(BD639=1,ROUND(AP639/60,4),"")</f>
        <v/>
      </c>
      <c r="M639" s="77" t="str">
        <f>IF(BD639=1,ROUND(AQ639/60,4),"")</f>
        <v/>
      </c>
      <c r="N639" s="71" t="str">
        <f>IF(AND(D639="proMX",AB639=1),ROUND(AG639/CFG_BLK,2),"")</f>
        <v/>
      </c>
      <c r="O639" s="77" t="str">
        <f>IF(D639="proMX",IF(BD639=1,ROUND(AG639/60,4),0),"")</f>
        <v/>
      </c>
      <c r="P639" s="78" t="str">
        <f>IF(Y639=0,"",IF(BD639=1,"OK",IF(D639="proMX","Revisar bloques: ","Revisar: ")&amp;BC639))</f>
        <v/>
      </c>
      <c r="Q639" s="78" t="str">
        <f>IF(NOT(ISNUMBER(B639)),"",IF(COUNTIFS(FER_F,INT(B639))&gt;0,"Feriado"&amp;IF(AH639=1," (laborable)"," (no laborable)"),IF(AH639=1,"Laborable",IF(WEEKDAY(B639,2)&gt;5,"Fin de semana","No laborable"))))</f>
        <v/>
      </c>
      <c r="R639" s="73" t="n"/>
      <c r="S639" s="72" t="n"/>
      <c r="T639" s="72" t="n"/>
      <c r="U639" s="74" t="n"/>
      <c r="V639" s="79" t="str">
        <f>IF(AND(D639="proMX",OR(R639="Submitted",R639="Recall Requested"),ISNUMBER(S639)),CFG_TODAY-INT(S639),"")</f>
        <v/>
      </c>
      <c r="W639" s="78" t="str">
        <f>IF(BD639=0,"",IF(BA639&gt;0,"⚠ Se superpone con un registro de la otra empresa",IF(D639="Malcolm",IF(COUNTA(R639,S639,T639)&gt;0,"Estado/fechas proMX se ignoran en Malcolm",""),IF(BF639="Cancelled","Cancelado: excluido de totales",IF(R639="","Sin estado: se trata como Draft",IF(BF639="Submitted",IF(ISNUMBER(V639),IF(V639&gt;CFG_MAXD,"⚠ "&amp;V639&amp;" días en Submitted (máx. "&amp;CFG_MAXD&amp;")",""),"Falta fecha de envío"),IF(BF639="Returned","⚠ Devuelto: corregir y reenviar",IF(BF639="Recall Requested","Retirada solicitada: pendiente",IF(AND(BF639="Approved",NOT(ISNUMBER(T639))),"Falta fecha de aprobación",IF(AND(ISNUMBER(S639),ISNUMBER(T639),T639&lt;S639),"Aprobación anterior al envío","")))))))))</f>
        <v/>
      </c>
      <c r="Y639" s="80">
        <f>IF(COUNTA(B639,D639,E639,F639,G639,H639,I639,J639,R639,S639,T639)&gt;0,1,0)</f>
        <v>0</v>
      </c>
      <c r="Z639" s="80" t="str">
        <f>IF(AND(ISNUMBER(H639),H639&gt;=0,H639&lt;1),ROUND(H639*1440,0),"")</f>
        <v/>
      </c>
      <c r="AA639" s="80" t="str">
        <f>IF(AND(ISNUMBER(I639),I639&gt;=0,I639&lt;1),ROUND(I639*1440,0),"")</f>
        <v/>
      </c>
      <c r="AB639" s="80">
        <f>IF(AND(ISNUMBER(B639),D639&lt;&gt;"",ISNUMBER(Z639),ISNUMBER(AA639)),IF(Z639=AA639,0,1),0)</f>
        <v>0</v>
      </c>
      <c r="AC639" s="80">
        <f>IF(AB639=1,IF(AA639&lt;Z639,1,0),0)</f>
        <v>0</v>
      </c>
      <c r="AD639" s="80">
        <f>IF(AB639=1,IF(AC639=1,1440-Z639+AA639,AA639-Z639),0)</f>
        <v>0</v>
      </c>
      <c r="AE639" s="80">
        <f>IF(J639="",0,IF(ISNUMBER(J639),J639,-1))</f>
        <v>0</v>
      </c>
      <c r="AF639" s="80">
        <f>MIN(MAX(0,AE639),AD639)</f>
        <v>0</v>
      </c>
      <c r="AG639" s="80">
        <f>MAX(0,AD639-MAX(0,AE639))</f>
        <v>0</v>
      </c>
      <c r="AH639" s="80">
        <f>IF(ISNUMBER(B639),IF(AND(INDEX(CFG_WDAYS,WEEKDAY(INT(B639),2))="Sí",IF(D639="proMX",COUNTIFS(FER_F,INT(B639),FER_NLP,"Sí"),COUNTIFS(FER_F,INT(B639),FER_NLM,"Sí"))=0),1,0),0)</f>
        <v>0</v>
      </c>
      <c r="AI639" s="80">
        <f>IF(AC639=1,IF(AND(INDEX(CFG_WDAYS,WEEKDAY(INT(B639)+1,2))="Sí",IF(D639="proMX",COUNTIFS(FER_F,INT(B639)+1,FER_NLP,"Sí"),COUNTIFS(FER_F,INT(B639)+1,FER_NLM,"Sí"))=0),1,0),0)</f>
        <v>0</v>
      </c>
      <c r="AJ639" s="80">
        <f>IF(AC639=1,1440-Z639,AD639)</f>
        <v>0</v>
      </c>
      <c r="AK639" s="80">
        <f>IF(AND(AB639=1,AH639=1),MAX(0,MIN(IF(AC639=1,1440,AA639),CFG_WEM)-MAX(Z639,CFG_WSM)),0)</f>
        <v>0</v>
      </c>
      <c r="AL639" s="80">
        <f>IF(AND(AC639=1,AI639=1),MAX(0,MIN(AA639,CFG_WEM)-CFG_WSM),0)</f>
        <v>0</v>
      </c>
      <c r="AM639" s="80">
        <f>AK639+AL639</f>
        <v>0</v>
      </c>
      <c r="AN639" s="80">
        <f>IF(CFG_BRK="Proporcional",IF(AD639=0,0,AF639*AM639/AD639),IF(CFG_BRK="Extras primero",MIN(AM639,MAX(0,AF639-(AD639-AM639))),MIN(AF639,AM639)))</f>
        <v>0</v>
      </c>
      <c r="AO639" s="80">
        <f>AF639-AN639</f>
        <v>0</v>
      </c>
      <c r="AP639" s="80">
        <f>AM639-AN639</f>
        <v>0</v>
      </c>
      <c r="AQ639" s="80">
        <f>AD639-AM639-AO639</f>
        <v>0</v>
      </c>
      <c r="AR639" s="80">
        <f>IF(AM639=0,0,AK639-AN639*AK639/AM639)</f>
        <v>0</v>
      </c>
      <c r="AS639" s="80">
        <f>IF(AD639-AM639=0,0,(AJ639-AK639)-AO639*(AJ639-AK639)/(AD639-AM639))</f>
        <v>0</v>
      </c>
      <c r="AT639" s="80" t="str">
        <f>IF(AC639=1,INT(B639)+1,"")</f>
        <v/>
      </c>
      <c r="AU639" s="80">
        <f>IF(AND(D639="proMX",R639="Cancelled"),0,1)</f>
        <v>1</v>
      </c>
      <c r="AV639" s="80">
        <f>IF(AND(AB639=1,AU639=1),IF(COUNTIFS($D$5:D638,D639,$B$5:B638,B639,$Z$5:Z638,Z639,$AA$5:AA638,AA639,$F$5:F638,F639&amp;"",$AU$5:AU638,1)&gt;0,1,0),0)</f>
        <v>0</v>
      </c>
      <c r="AW639" s="80" t="str">
        <f>IF(AB639=1,INT(B639)*1440+Z639,"")</f>
        <v/>
      </c>
      <c r="AX639" s="80" t="str">
        <f>IF(AB639=1,AW639+AD639,"")</f>
        <v/>
      </c>
      <c r="AY639" s="80">
        <f>IF(AND(AB639=1,AV639=0,AU639=1),1,0)</f>
        <v>0</v>
      </c>
      <c r="AZ639" s="80">
        <f>IF(AY639=1,COUNTIFS(R_Emp,D639,R_SAbs,"&lt;"&amp;AX639,R_EAbs,"&gt;"&amp;AW639,R_OKey,1)-1,0)</f>
        <v>0</v>
      </c>
      <c r="BA639" s="80">
        <f>IF(AY639=1,COUNTIFS(R_Emp,"&lt;&gt;"&amp;D639,R_SAbs,"&lt;"&amp;AX639,R_EAbs,"&gt;"&amp;AW639,R_OKey,1),0)</f>
        <v>0</v>
      </c>
      <c r="BB639" s="80">
        <f>IF(AND(AB639=1,D639="proMX"),IF(AND(MOD(Z639,CFG_BLK)=0,MOD(AA639,CFG_BLK)=0,MOD(AG639,CFG_BLK)=0,AG639&gt;0),1,0),1)</f>
        <v>1</v>
      </c>
      <c r="BC639" s="80" t="str">
        <f>IF(Y639=0,"",IF(NOT(ISNUMBER(B639)),"Falta fecha o fecha inválida",IF(D639="","Falta empresa",IF(AND(D639&lt;&gt;"Malcolm",D639&lt;&gt;"proMX"),"Empresa inválida",IF(OR(INT(B639)&lt;CFG_PSTART,INT(B639)&gt;CFG_PEND),"Fecha fuera del período",IF(OR(NOT(ISNUMBER(Z639)),NOT(ISNUMBER(AA639))),"Falta hora inicio/fin o formato inválido",IF(AB639=0,"Hora inicio = hora fin",IF(AE639&lt;0,"Descanso inválido",IF(AE639&gt;=AD639,"Descanso ≥ duración",IF(AV639=1,"Registro duplicado",IF(AZ639&gt;0,"Se superpone con otro registro "&amp;D639,IF(BB639=0,"inicio, fin y duración neta deben ser múltiplos de "&amp;CFG_BLK&amp;" min",""))))))))))))</f>
        <v/>
      </c>
      <c r="BD639" s="80">
        <f>IF(AND(Y639=1,BC639=""),1,0)</f>
        <v>0</v>
      </c>
      <c r="BE639" s="80">
        <f>IF(AND(BD639=1,AU639=1),1,0)</f>
        <v>0</v>
      </c>
      <c r="BF639" s="80" t="str">
        <f>IF(AND(D639="proMX",BD639=1),IF(R639="","Draft",R639),"")</f>
        <v/>
      </c>
      <c r="BG639" s="80">
        <f>IF(BD639=1,ROUND(AG639/60,6),0)</f>
        <v>0</v>
      </c>
      <c r="BH639" s="80">
        <f>IF(BE639=1,ROUND(AG639/60,6),0)</f>
        <v>0</v>
      </c>
      <c r="BI639" s="80">
        <f>IF(BE639=1,ROUND(AP639/60,6),0)</f>
        <v>0</v>
      </c>
      <c r="BJ639" s="80">
        <f>IF(BE639=1,ROUND(AQ639/60,6),0)</f>
        <v>0</v>
      </c>
      <c r="BK639" s="80">
        <f>IF(BE639=1,ROUND((AR639+AS639)/60,6),0)</f>
        <v>0</v>
      </c>
      <c r="BL639" s="80">
        <f>ROUND(BH639-BK639,6)</f>
        <v>0</v>
      </c>
      <c r="BM639" s="80">
        <f>IF(BE639=1,ROUND(AR639/60,6),0)</f>
        <v>0</v>
      </c>
      <c r="BN639" s="80">
        <f>ROUND(BI639-BM639,6)</f>
        <v>0</v>
      </c>
      <c r="BO639" s="80">
        <f>IF(BE639=1,ROUND(AS639/60,6),0)</f>
        <v>0</v>
      </c>
      <c r="BP639" s="80">
        <f>ROUND(BJ639-BO639,6)</f>
        <v>0</v>
      </c>
      <c r="BQ639" s="80">
        <f>IF(BE639=1,AW639,0)</f>
        <v>0</v>
      </c>
      <c r="BR639" s="80">
        <f>IF(BE639=1,AX639,0)</f>
        <v>0</v>
      </c>
      <c r="BS639" s="80">
        <f>IF(AND(BE639=1,D639="Malcolm",BA639&gt;0),MIN(BH639,SUMPRODUCT((R_Emp="proMX")*(R_EN&gt;0)*((R_EN-(R_EN&gt;BR639)*(R_EN-BR639))&gt;(R_SN+(R_SN&lt;BQ639)*(BQ639-R_SN)))*((R_EN-(R_EN&gt;BR639)*(R_EN-BR639))-(R_SN+(R_SN&lt;BQ639)*(BQ639-R_SN))))/60),0)</f>
        <v>0</v>
      </c>
      <c r="BT639" s="80">
        <f>IF(AND(BE639=1,D639="proMX"),ROUND(BI639*CFG_RATE+BJ639*CFG_OTRATE,6),0)</f>
        <v>0</v>
      </c>
      <c r="BU639" s="80">
        <f>IF(AND(BD639=1,D639="proMX"),ROUND(AG639/CFG_BLK,6),0)</f>
        <v>0</v>
      </c>
      <c r="BV639" s="80" t="str">
        <f>IF(BF639="Approved",IF(ISNUMBER(T639),INT(T639),INT(B639)),"")</f>
        <v/>
      </c>
      <c r="BW639" s="80">
        <f>IF(ISNUMBER(B639),IF(DB_MON="Todos",1,IF(AND(INT(B639)&gt;=DB_MS,INT(B639)&lt;=DB_ME),1,0)),0)</f>
        <v>0</v>
      </c>
      <c r="BX639" s="80">
        <f>IF(DB_PROJ="Todos",1,IF(E639&amp;""=DB_PROJ&amp;"",1,0))</f>
        <v>1</v>
      </c>
      <c r="BY639" s="80">
        <f>BW639*BX639</f>
        <v>0</v>
      </c>
      <c r="BZ639" s="80" t="str">
        <f>IF(Y639=1,F639&amp;IF(AND(F639&amp;""&lt;&gt;"",E639&amp;""&lt;&gt;"")," · ","")&amp;E639,"")</f>
        <v/>
      </c>
      <c r="CA639" s="80" t="str">
        <f>IF(AND(BD639=1,E639&amp;""&lt;&gt;""),IF(COUNTIFS($E$5:E638,E639,$BD$5:BD638,1)=0,MAX($CA$5:CA638)+1,""),"")</f>
        <v/>
      </c>
      <c r="CB639" s="80" t="str">
        <f>IF(AND(BE639=1,D639="Malcolm",E639&amp;""&lt;&gt;""),IF(COUNTIFS($D$5:D638,"Malcolm",$E$5:E638,E639,$BE$5:BE638,1)=0,MAX($CB$5:CB638)+1,""),"")</f>
        <v/>
      </c>
      <c r="CC639" s="80" t="str">
        <f>IF(AND(BD639=1,D639="proMX",E639&amp;""&lt;&gt;""),IF(COUNTIFS($D$5:D638,"proMX",$E$5:E638,E639,$BD$5:BD638,1)=0,MAX($CC$5:CC638)+1,""),"")</f>
        <v/>
      </c>
      <c r="CD639" s="80" t="str">
        <f>IF(AND(BE639=1,D639="Malcolm",F639&amp;""&lt;&gt;""),IF(COUNTIFS($D$5:D638,"Malcolm",$F$5:F638,F639,$BE$5:BE638,1)=0,MAX($CD$5:CD638)+1,""),"")</f>
        <v/>
      </c>
      <c r="CE639" s="80" t="str">
        <f>IF(AND(BD639=1,D639="proMX",F639&amp;""&lt;&gt;""),IF(COUNTIFS($D$5:D638,"proMX",$F$5:F638,F639,$BD$5:BD638,1)=0,MAX($CE$5:CE638)+1,""),"")</f>
        <v/>
      </c>
      <c r="CF639" s="80" t="str">
        <f>IF(AND(D639="proMX",BD639=1),IF(OR(BF639="Draft",BF639="Submitted",BF639="Returned",BF639="Recall Requested"),MAX($CF$5:CF638)+1,""),"")</f>
        <v/>
      </c>
      <c r="CG639" s="80">
        <f>IF(BD639=0,0,IF(D639="Malcolm",1,MATCH(BF639,{"Draft","Submitted","Approved","Returned","Recall Requested","Cancelled"},0)+1))</f>
        <v>0</v>
      </c>
      <c r="CH639" s="80">
        <f>IF(AND(BF639="Submitted",ISNUMBER(V639)),IF(V639&gt;CFG_MAXD,1,0),0)</f>
        <v>0</v>
      </c>
    </row>
    <row r="640">
      <c r="A640" s="71" t="str">
        <f>IF(Y640=1,ROW()-5,"")</f>
        <v/>
      </c>
      <c r="B640" s="72" t="n"/>
      <c r="C640" s="71" t="str">
        <f>IF(ISNUMBER(B640),CHOOSE(WEEKDAY(B640,2),"Lun","Mar","Mié","Jue","Vie","Sáb","Dom"),"")</f>
        <v/>
      </c>
      <c r="D640" s="73" t="n"/>
      <c r="E640" s="74" t="n"/>
      <c r="F640" s="74" t="n"/>
      <c r="G640" s="74" t="n"/>
      <c r="H640" s="75" t="n"/>
      <c r="I640" s="75" t="n"/>
      <c r="J640" s="76" t="n"/>
      <c r="K640" s="77" t="str">
        <f>IF(AB640=1,ROUND(AG640/60,4),"")</f>
        <v/>
      </c>
      <c r="L640" s="77" t="str">
        <f>IF(BD640=1,ROUND(AP640/60,4),"")</f>
        <v/>
      </c>
      <c r="M640" s="77" t="str">
        <f>IF(BD640=1,ROUND(AQ640/60,4),"")</f>
        <v/>
      </c>
      <c r="N640" s="71" t="str">
        <f>IF(AND(D640="proMX",AB640=1),ROUND(AG640/CFG_BLK,2),"")</f>
        <v/>
      </c>
      <c r="O640" s="77" t="str">
        <f>IF(D640="proMX",IF(BD640=1,ROUND(AG640/60,4),0),"")</f>
        <v/>
      </c>
      <c r="P640" s="78" t="str">
        <f>IF(Y640=0,"",IF(BD640=1,"OK",IF(D640="proMX","Revisar bloques: ","Revisar: ")&amp;BC640))</f>
        <v/>
      </c>
      <c r="Q640" s="78" t="str">
        <f>IF(NOT(ISNUMBER(B640)),"",IF(COUNTIFS(FER_F,INT(B640))&gt;0,"Feriado"&amp;IF(AH640=1," (laborable)"," (no laborable)"),IF(AH640=1,"Laborable",IF(WEEKDAY(B640,2)&gt;5,"Fin de semana","No laborable"))))</f>
        <v/>
      </c>
      <c r="R640" s="73" t="n"/>
      <c r="S640" s="72" t="n"/>
      <c r="T640" s="72" t="n"/>
      <c r="U640" s="74" t="n"/>
      <c r="V640" s="79" t="str">
        <f>IF(AND(D640="proMX",OR(R640="Submitted",R640="Recall Requested"),ISNUMBER(S640)),CFG_TODAY-INT(S640),"")</f>
        <v/>
      </c>
      <c r="W640" s="78" t="str">
        <f>IF(BD640=0,"",IF(BA640&gt;0,"⚠ Se superpone con un registro de la otra empresa",IF(D640="Malcolm",IF(COUNTA(R640,S640,T640)&gt;0,"Estado/fechas proMX se ignoran en Malcolm",""),IF(BF640="Cancelled","Cancelado: excluido de totales",IF(R640="","Sin estado: se trata como Draft",IF(BF640="Submitted",IF(ISNUMBER(V640),IF(V640&gt;CFG_MAXD,"⚠ "&amp;V640&amp;" días en Submitted (máx. "&amp;CFG_MAXD&amp;")",""),"Falta fecha de envío"),IF(BF640="Returned","⚠ Devuelto: corregir y reenviar",IF(BF640="Recall Requested","Retirada solicitada: pendiente",IF(AND(BF640="Approved",NOT(ISNUMBER(T640))),"Falta fecha de aprobación",IF(AND(ISNUMBER(S640),ISNUMBER(T640),T640&lt;S640),"Aprobación anterior al envío","")))))))))</f>
        <v/>
      </c>
      <c r="Y640" s="80">
        <f>IF(COUNTA(B640,D640,E640,F640,G640,H640,I640,J640,R640,S640,T640)&gt;0,1,0)</f>
        <v>0</v>
      </c>
      <c r="Z640" s="80" t="str">
        <f>IF(AND(ISNUMBER(H640),H640&gt;=0,H640&lt;1),ROUND(H640*1440,0),"")</f>
        <v/>
      </c>
      <c r="AA640" s="80" t="str">
        <f>IF(AND(ISNUMBER(I640),I640&gt;=0,I640&lt;1),ROUND(I640*1440,0),"")</f>
        <v/>
      </c>
      <c r="AB640" s="80">
        <f>IF(AND(ISNUMBER(B640),D640&lt;&gt;"",ISNUMBER(Z640),ISNUMBER(AA640)),IF(Z640=AA640,0,1),0)</f>
        <v>0</v>
      </c>
      <c r="AC640" s="80">
        <f>IF(AB640=1,IF(AA640&lt;Z640,1,0),0)</f>
        <v>0</v>
      </c>
      <c r="AD640" s="80">
        <f>IF(AB640=1,IF(AC640=1,1440-Z640+AA640,AA640-Z640),0)</f>
        <v>0</v>
      </c>
      <c r="AE640" s="80">
        <f>IF(J640="",0,IF(ISNUMBER(J640),J640,-1))</f>
        <v>0</v>
      </c>
      <c r="AF640" s="80">
        <f>MIN(MAX(0,AE640),AD640)</f>
        <v>0</v>
      </c>
      <c r="AG640" s="80">
        <f>MAX(0,AD640-MAX(0,AE640))</f>
        <v>0</v>
      </c>
      <c r="AH640" s="80">
        <f>IF(ISNUMBER(B640),IF(AND(INDEX(CFG_WDAYS,WEEKDAY(INT(B640),2))="Sí",IF(D640="proMX",COUNTIFS(FER_F,INT(B640),FER_NLP,"Sí"),COUNTIFS(FER_F,INT(B640),FER_NLM,"Sí"))=0),1,0),0)</f>
        <v>0</v>
      </c>
      <c r="AI640" s="80">
        <f>IF(AC640=1,IF(AND(INDEX(CFG_WDAYS,WEEKDAY(INT(B640)+1,2))="Sí",IF(D640="proMX",COUNTIFS(FER_F,INT(B640)+1,FER_NLP,"Sí"),COUNTIFS(FER_F,INT(B640)+1,FER_NLM,"Sí"))=0),1,0),0)</f>
        <v>0</v>
      </c>
      <c r="AJ640" s="80">
        <f>IF(AC640=1,1440-Z640,AD640)</f>
        <v>0</v>
      </c>
      <c r="AK640" s="80">
        <f>IF(AND(AB640=1,AH640=1),MAX(0,MIN(IF(AC640=1,1440,AA640),CFG_WEM)-MAX(Z640,CFG_WSM)),0)</f>
        <v>0</v>
      </c>
      <c r="AL640" s="80">
        <f>IF(AND(AC640=1,AI640=1),MAX(0,MIN(AA640,CFG_WEM)-CFG_WSM),0)</f>
        <v>0</v>
      </c>
      <c r="AM640" s="80">
        <f>AK640+AL640</f>
        <v>0</v>
      </c>
      <c r="AN640" s="80">
        <f>IF(CFG_BRK="Proporcional",IF(AD640=0,0,AF640*AM640/AD640),IF(CFG_BRK="Extras primero",MIN(AM640,MAX(0,AF640-(AD640-AM640))),MIN(AF640,AM640)))</f>
        <v>0</v>
      </c>
      <c r="AO640" s="80">
        <f>AF640-AN640</f>
        <v>0</v>
      </c>
      <c r="AP640" s="80">
        <f>AM640-AN640</f>
        <v>0</v>
      </c>
      <c r="AQ640" s="80">
        <f>AD640-AM640-AO640</f>
        <v>0</v>
      </c>
      <c r="AR640" s="80">
        <f>IF(AM640=0,0,AK640-AN640*AK640/AM640)</f>
        <v>0</v>
      </c>
      <c r="AS640" s="80">
        <f>IF(AD640-AM640=0,0,(AJ640-AK640)-AO640*(AJ640-AK640)/(AD640-AM640))</f>
        <v>0</v>
      </c>
      <c r="AT640" s="80" t="str">
        <f>IF(AC640=1,INT(B640)+1,"")</f>
        <v/>
      </c>
      <c r="AU640" s="80">
        <f>IF(AND(D640="proMX",R640="Cancelled"),0,1)</f>
        <v>1</v>
      </c>
      <c r="AV640" s="80">
        <f>IF(AND(AB640=1,AU640=1),IF(COUNTIFS($D$5:D639,D640,$B$5:B639,B640,$Z$5:Z639,Z640,$AA$5:AA639,AA640,$F$5:F639,F640&amp;"",$AU$5:AU639,1)&gt;0,1,0),0)</f>
        <v>0</v>
      </c>
      <c r="AW640" s="80" t="str">
        <f>IF(AB640=1,INT(B640)*1440+Z640,"")</f>
        <v/>
      </c>
      <c r="AX640" s="80" t="str">
        <f>IF(AB640=1,AW640+AD640,"")</f>
        <v/>
      </c>
      <c r="AY640" s="80">
        <f>IF(AND(AB640=1,AV640=0,AU640=1),1,0)</f>
        <v>0</v>
      </c>
      <c r="AZ640" s="80">
        <f>IF(AY640=1,COUNTIFS(R_Emp,D640,R_SAbs,"&lt;"&amp;AX640,R_EAbs,"&gt;"&amp;AW640,R_OKey,1)-1,0)</f>
        <v>0</v>
      </c>
      <c r="BA640" s="80">
        <f>IF(AY640=1,COUNTIFS(R_Emp,"&lt;&gt;"&amp;D640,R_SAbs,"&lt;"&amp;AX640,R_EAbs,"&gt;"&amp;AW640,R_OKey,1),0)</f>
        <v>0</v>
      </c>
      <c r="BB640" s="80">
        <f>IF(AND(AB640=1,D640="proMX"),IF(AND(MOD(Z640,CFG_BLK)=0,MOD(AA640,CFG_BLK)=0,MOD(AG640,CFG_BLK)=0,AG640&gt;0),1,0),1)</f>
        <v>1</v>
      </c>
      <c r="BC640" s="80" t="str">
        <f>IF(Y640=0,"",IF(NOT(ISNUMBER(B640)),"Falta fecha o fecha inválida",IF(D640="","Falta empresa",IF(AND(D640&lt;&gt;"Malcolm",D640&lt;&gt;"proMX"),"Empresa inválida",IF(OR(INT(B640)&lt;CFG_PSTART,INT(B640)&gt;CFG_PEND),"Fecha fuera del período",IF(OR(NOT(ISNUMBER(Z640)),NOT(ISNUMBER(AA640))),"Falta hora inicio/fin o formato inválido",IF(AB640=0,"Hora inicio = hora fin",IF(AE640&lt;0,"Descanso inválido",IF(AE640&gt;=AD640,"Descanso ≥ duración",IF(AV640=1,"Registro duplicado",IF(AZ640&gt;0,"Se superpone con otro registro "&amp;D640,IF(BB640=0,"inicio, fin y duración neta deben ser múltiplos de "&amp;CFG_BLK&amp;" min",""))))))))))))</f>
        <v/>
      </c>
      <c r="BD640" s="80">
        <f>IF(AND(Y640=1,BC640=""),1,0)</f>
        <v>0</v>
      </c>
      <c r="BE640" s="80">
        <f>IF(AND(BD640=1,AU640=1),1,0)</f>
        <v>0</v>
      </c>
      <c r="BF640" s="80" t="str">
        <f>IF(AND(D640="proMX",BD640=1),IF(R640="","Draft",R640),"")</f>
        <v/>
      </c>
      <c r="BG640" s="80">
        <f>IF(BD640=1,ROUND(AG640/60,6),0)</f>
        <v>0</v>
      </c>
      <c r="BH640" s="80">
        <f>IF(BE640=1,ROUND(AG640/60,6),0)</f>
        <v>0</v>
      </c>
      <c r="BI640" s="80">
        <f>IF(BE640=1,ROUND(AP640/60,6),0)</f>
        <v>0</v>
      </c>
      <c r="BJ640" s="80">
        <f>IF(BE640=1,ROUND(AQ640/60,6),0)</f>
        <v>0</v>
      </c>
      <c r="BK640" s="80">
        <f>IF(BE640=1,ROUND((AR640+AS640)/60,6),0)</f>
        <v>0</v>
      </c>
      <c r="BL640" s="80">
        <f>ROUND(BH640-BK640,6)</f>
        <v>0</v>
      </c>
      <c r="BM640" s="80">
        <f>IF(BE640=1,ROUND(AR640/60,6),0)</f>
        <v>0</v>
      </c>
      <c r="BN640" s="80">
        <f>ROUND(BI640-BM640,6)</f>
        <v>0</v>
      </c>
      <c r="BO640" s="80">
        <f>IF(BE640=1,ROUND(AS640/60,6),0)</f>
        <v>0</v>
      </c>
      <c r="BP640" s="80">
        <f>ROUND(BJ640-BO640,6)</f>
        <v>0</v>
      </c>
      <c r="BQ640" s="80">
        <f>IF(BE640=1,AW640,0)</f>
        <v>0</v>
      </c>
      <c r="BR640" s="80">
        <f>IF(BE640=1,AX640,0)</f>
        <v>0</v>
      </c>
      <c r="BS640" s="80">
        <f>IF(AND(BE640=1,D640="Malcolm",BA640&gt;0),MIN(BH640,SUMPRODUCT((R_Emp="proMX")*(R_EN&gt;0)*((R_EN-(R_EN&gt;BR640)*(R_EN-BR640))&gt;(R_SN+(R_SN&lt;BQ640)*(BQ640-R_SN)))*((R_EN-(R_EN&gt;BR640)*(R_EN-BR640))-(R_SN+(R_SN&lt;BQ640)*(BQ640-R_SN))))/60),0)</f>
        <v>0</v>
      </c>
      <c r="BT640" s="80">
        <f>IF(AND(BE640=1,D640="proMX"),ROUND(BI640*CFG_RATE+BJ640*CFG_OTRATE,6),0)</f>
        <v>0</v>
      </c>
      <c r="BU640" s="80">
        <f>IF(AND(BD640=1,D640="proMX"),ROUND(AG640/CFG_BLK,6),0)</f>
        <v>0</v>
      </c>
      <c r="BV640" s="80" t="str">
        <f>IF(BF640="Approved",IF(ISNUMBER(T640),INT(T640),INT(B640)),"")</f>
        <v/>
      </c>
      <c r="BW640" s="80">
        <f>IF(ISNUMBER(B640),IF(DB_MON="Todos",1,IF(AND(INT(B640)&gt;=DB_MS,INT(B640)&lt;=DB_ME),1,0)),0)</f>
        <v>0</v>
      </c>
      <c r="BX640" s="80">
        <f>IF(DB_PROJ="Todos",1,IF(E640&amp;""=DB_PROJ&amp;"",1,0))</f>
        <v>1</v>
      </c>
      <c r="BY640" s="80">
        <f>BW640*BX640</f>
        <v>0</v>
      </c>
      <c r="BZ640" s="80" t="str">
        <f>IF(Y640=1,F640&amp;IF(AND(F640&amp;""&lt;&gt;"",E640&amp;""&lt;&gt;"")," · ","")&amp;E640,"")</f>
        <v/>
      </c>
      <c r="CA640" s="80" t="str">
        <f>IF(AND(BD640=1,E640&amp;""&lt;&gt;""),IF(COUNTIFS($E$5:E639,E640,$BD$5:BD639,1)=0,MAX($CA$5:CA639)+1,""),"")</f>
        <v/>
      </c>
      <c r="CB640" s="80" t="str">
        <f>IF(AND(BE640=1,D640="Malcolm",E640&amp;""&lt;&gt;""),IF(COUNTIFS($D$5:D639,"Malcolm",$E$5:E639,E640,$BE$5:BE639,1)=0,MAX($CB$5:CB639)+1,""),"")</f>
        <v/>
      </c>
      <c r="CC640" s="80" t="str">
        <f>IF(AND(BD640=1,D640="proMX",E640&amp;""&lt;&gt;""),IF(COUNTIFS($D$5:D639,"proMX",$E$5:E639,E640,$BD$5:BD639,1)=0,MAX($CC$5:CC639)+1,""),"")</f>
        <v/>
      </c>
      <c r="CD640" s="80" t="str">
        <f>IF(AND(BE640=1,D640="Malcolm",F640&amp;""&lt;&gt;""),IF(COUNTIFS($D$5:D639,"Malcolm",$F$5:F639,F640,$BE$5:BE639,1)=0,MAX($CD$5:CD639)+1,""),"")</f>
        <v/>
      </c>
      <c r="CE640" s="80" t="str">
        <f>IF(AND(BD640=1,D640="proMX",F640&amp;""&lt;&gt;""),IF(COUNTIFS($D$5:D639,"proMX",$F$5:F639,F640,$BD$5:BD639,1)=0,MAX($CE$5:CE639)+1,""),"")</f>
        <v/>
      </c>
      <c r="CF640" s="80" t="str">
        <f>IF(AND(D640="proMX",BD640=1),IF(OR(BF640="Draft",BF640="Submitted",BF640="Returned",BF640="Recall Requested"),MAX($CF$5:CF639)+1,""),"")</f>
        <v/>
      </c>
      <c r="CG640" s="80">
        <f>IF(BD640=0,0,IF(D640="Malcolm",1,MATCH(BF640,{"Draft","Submitted","Approved","Returned","Recall Requested","Cancelled"},0)+1))</f>
        <v>0</v>
      </c>
      <c r="CH640" s="80">
        <f>IF(AND(BF640="Submitted",ISNUMBER(V640)),IF(V640&gt;CFG_MAXD,1,0),0)</f>
        <v>0</v>
      </c>
    </row>
    <row r="641">
      <c r="A641" s="71" t="str">
        <f>IF(Y641=1,ROW()-5,"")</f>
        <v/>
      </c>
      <c r="B641" s="72" t="n"/>
      <c r="C641" s="71" t="str">
        <f>IF(ISNUMBER(B641),CHOOSE(WEEKDAY(B641,2),"Lun","Mar","Mié","Jue","Vie","Sáb","Dom"),"")</f>
        <v/>
      </c>
      <c r="D641" s="73" t="n"/>
      <c r="E641" s="74" t="n"/>
      <c r="F641" s="74" t="n"/>
      <c r="G641" s="74" t="n"/>
      <c r="H641" s="75" t="n"/>
      <c r="I641" s="75" t="n"/>
      <c r="J641" s="76" t="n"/>
      <c r="K641" s="77" t="str">
        <f>IF(AB641=1,ROUND(AG641/60,4),"")</f>
        <v/>
      </c>
      <c r="L641" s="77" t="str">
        <f>IF(BD641=1,ROUND(AP641/60,4),"")</f>
        <v/>
      </c>
      <c r="M641" s="77" t="str">
        <f>IF(BD641=1,ROUND(AQ641/60,4),"")</f>
        <v/>
      </c>
      <c r="N641" s="71" t="str">
        <f>IF(AND(D641="proMX",AB641=1),ROUND(AG641/CFG_BLK,2),"")</f>
        <v/>
      </c>
      <c r="O641" s="77" t="str">
        <f>IF(D641="proMX",IF(BD641=1,ROUND(AG641/60,4),0),"")</f>
        <v/>
      </c>
      <c r="P641" s="78" t="str">
        <f>IF(Y641=0,"",IF(BD641=1,"OK",IF(D641="proMX","Revisar bloques: ","Revisar: ")&amp;BC641))</f>
        <v/>
      </c>
      <c r="Q641" s="78" t="str">
        <f>IF(NOT(ISNUMBER(B641)),"",IF(COUNTIFS(FER_F,INT(B641))&gt;0,"Feriado"&amp;IF(AH641=1," (laborable)"," (no laborable)"),IF(AH641=1,"Laborable",IF(WEEKDAY(B641,2)&gt;5,"Fin de semana","No laborable"))))</f>
        <v/>
      </c>
      <c r="R641" s="73" t="n"/>
      <c r="S641" s="72" t="n"/>
      <c r="T641" s="72" t="n"/>
      <c r="U641" s="74" t="n"/>
      <c r="V641" s="79" t="str">
        <f>IF(AND(D641="proMX",OR(R641="Submitted",R641="Recall Requested"),ISNUMBER(S641)),CFG_TODAY-INT(S641),"")</f>
        <v/>
      </c>
      <c r="W641" s="78" t="str">
        <f>IF(BD641=0,"",IF(BA641&gt;0,"⚠ Se superpone con un registro de la otra empresa",IF(D641="Malcolm",IF(COUNTA(R641,S641,T641)&gt;0,"Estado/fechas proMX se ignoran en Malcolm",""),IF(BF641="Cancelled","Cancelado: excluido de totales",IF(R641="","Sin estado: se trata como Draft",IF(BF641="Submitted",IF(ISNUMBER(V641),IF(V641&gt;CFG_MAXD,"⚠ "&amp;V641&amp;" días en Submitted (máx. "&amp;CFG_MAXD&amp;")",""),"Falta fecha de envío"),IF(BF641="Returned","⚠ Devuelto: corregir y reenviar",IF(BF641="Recall Requested","Retirada solicitada: pendiente",IF(AND(BF641="Approved",NOT(ISNUMBER(T641))),"Falta fecha de aprobación",IF(AND(ISNUMBER(S641),ISNUMBER(T641),T641&lt;S641),"Aprobación anterior al envío","")))))))))</f>
        <v/>
      </c>
      <c r="Y641" s="80">
        <f>IF(COUNTA(B641,D641,E641,F641,G641,H641,I641,J641,R641,S641,T641)&gt;0,1,0)</f>
        <v>0</v>
      </c>
      <c r="Z641" s="80" t="str">
        <f>IF(AND(ISNUMBER(H641),H641&gt;=0,H641&lt;1),ROUND(H641*1440,0),"")</f>
        <v/>
      </c>
      <c r="AA641" s="80" t="str">
        <f>IF(AND(ISNUMBER(I641),I641&gt;=0,I641&lt;1),ROUND(I641*1440,0),"")</f>
        <v/>
      </c>
      <c r="AB641" s="80">
        <f>IF(AND(ISNUMBER(B641),D641&lt;&gt;"",ISNUMBER(Z641),ISNUMBER(AA641)),IF(Z641=AA641,0,1),0)</f>
        <v>0</v>
      </c>
      <c r="AC641" s="80">
        <f>IF(AB641=1,IF(AA641&lt;Z641,1,0),0)</f>
        <v>0</v>
      </c>
      <c r="AD641" s="80">
        <f>IF(AB641=1,IF(AC641=1,1440-Z641+AA641,AA641-Z641),0)</f>
        <v>0</v>
      </c>
      <c r="AE641" s="80">
        <f>IF(J641="",0,IF(ISNUMBER(J641),J641,-1))</f>
        <v>0</v>
      </c>
      <c r="AF641" s="80">
        <f>MIN(MAX(0,AE641),AD641)</f>
        <v>0</v>
      </c>
      <c r="AG641" s="80">
        <f>MAX(0,AD641-MAX(0,AE641))</f>
        <v>0</v>
      </c>
      <c r="AH641" s="80">
        <f>IF(ISNUMBER(B641),IF(AND(INDEX(CFG_WDAYS,WEEKDAY(INT(B641),2))="Sí",IF(D641="proMX",COUNTIFS(FER_F,INT(B641),FER_NLP,"Sí"),COUNTIFS(FER_F,INT(B641),FER_NLM,"Sí"))=0),1,0),0)</f>
        <v>0</v>
      </c>
      <c r="AI641" s="80">
        <f>IF(AC641=1,IF(AND(INDEX(CFG_WDAYS,WEEKDAY(INT(B641)+1,2))="Sí",IF(D641="proMX",COUNTIFS(FER_F,INT(B641)+1,FER_NLP,"Sí"),COUNTIFS(FER_F,INT(B641)+1,FER_NLM,"Sí"))=0),1,0),0)</f>
        <v>0</v>
      </c>
      <c r="AJ641" s="80">
        <f>IF(AC641=1,1440-Z641,AD641)</f>
        <v>0</v>
      </c>
      <c r="AK641" s="80">
        <f>IF(AND(AB641=1,AH641=1),MAX(0,MIN(IF(AC641=1,1440,AA641),CFG_WEM)-MAX(Z641,CFG_WSM)),0)</f>
        <v>0</v>
      </c>
      <c r="AL641" s="80">
        <f>IF(AND(AC641=1,AI641=1),MAX(0,MIN(AA641,CFG_WEM)-CFG_WSM),0)</f>
        <v>0</v>
      </c>
      <c r="AM641" s="80">
        <f>AK641+AL641</f>
        <v>0</v>
      </c>
      <c r="AN641" s="80">
        <f>IF(CFG_BRK="Proporcional",IF(AD641=0,0,AF641*AM641/AD641),IF(CFG_BRK="Extras primero",MIN(AM641,MAX(0,AF641-(AD641-AM641))),MIN(AF641,AM641)))</f>
        <v>0</v>
      </c>
      <c r="AO641" s="80">
        <f>AF641-AN641</f>
        <v>0</v>
      </c>
      <c r="AP641" s="80">
        <f>AM641-AN641</f>
        <v>0</v>
      </c>
      <c r="AQ641" s="80">
        <f>AD641-AM641-AO641</f>
        <v>0</v>
      </c>
      <c r="AR641" s="80">
        <f>IF(AM641=0,0,AK641-AN641*AK641/AM641)</f>
        <v>0</v>
      </c>
      <c r="AS641" s="80">
        <f>IF(AD641-AM641=0,0,(AJ641-AK641)-AO641*(AJ641-AK641)/(AD641-AM641))</f>
        <v>0</v>
      </c>
      <c r="AT641" s="80" t="str">
        <f>IF(AC641=1,INT(B641)+1,"")</f>
        <v/>
      </c>
      <c r="AU641" s="80">
        <f>IF(AND(D641="proMX",R641="Cancelled"),0,1)</f>
        <v>1</v>
      </c>
      <c r="AV641" s="80">
        <f>IF(AND(AB641=1,AU641=1),IF(COUNTIFS($D$5:D640,D641,$B$5:B640,B641,$Z$5:Z640,Z641,$AA$5:AA640,AA641,$F$5:F640,F641&amp;"",$AU$5:AU640,1)&gt;0,1,0),0)</f>
        <v>0</v>
      </c>
      <c r="AW641" s="80" t="str">
        <f>IF(AB641=1,INT(B641)*1440+Z641,"")</f>
        <v/>
      </c>
      <c r="AX641" s="80" t="str">
        <f>IF(AB641=1,AW641+AD641,"")</f>
        <v/>
      </c>
      <c r="AY641" s="80">
        <f>IF(AND(AB641=1,AV641=0,AU641=1),1,0)</f>
        <v>0</v>
      </c>
      <c r="AZ641" s="80">
        <f>IF(AY641=1,COUNTIFS(R_Emp,D641,R_SAbs,"&lt;"&amp;AX641,R_EAbs,"&gt;"&amp;AW641,R_OKey,1)-1,0)</f>
        <v>0</v>
      </c>
      <c r="BA641" s="80">
        <f>IF(AY641=1,COUNTIFS(R_Emp,"&lt;&gt;"&amp;D641,R_SAbs,"&lt;"&amp;AX641,R_EAbs,"&gt;"&amp;AW641,R_OKey,1),0)</f>
        <v>0</v>
      </c>
      <c r="BB641" s="80">
        <f>IF(AND(AB641=1,D641="proMX"),IF(AND(MOD(Z641,CFG_BLK)=0,MOD(AA641,CFG_BLK)=0,MOD(AG641,CFG_BLK)=0,AG641&gt;0),1,0),1)</f>
        <v>1</v>
      </c>
      <c r="BC641" s="80" t="str">
        <f>IF(Y641=0,"",IF(NOT(ISNUMBER(B641)),"Falta fecha o fecha inválida",IF(D641="","Falta empresa",IF(AND(D641&lt;&gt;"Malcolm",D641&lt;&gt;"proMX"),"Empresa inválida",IF(OR(INT(B641)&lt;CFG_PSTART,INT(B641)&gt;CFG_PEND),"Fecha fuera del período",IF(OR(NOT(ISNUMBER(Z641)),NOT(ISNUMBER(AA641))),"Falta hora inicio/fin o formato inválido",IF(AB641=0,"Hora inicio = hora fin",IF(AE641&lt;0,"Descanso inválido",IF(AE641&gt;=AD641,"Descanso ≥ duración",IF(AV641=1,"Registro duplicado",IF(AZ641&gt;0,"Se superpone con otro registro "&amp;D641,IF(BB641=0,"inicio, fin y duración neta deben ser múltiplos de "&amp;CFG_BLK&amp;" min",""))))))))))))</f>
        <v/>
      </c>
      <c r="BD641" s="80">
        <f>IF(AND(Y641=1,BC641=""),1,0)</f>
        <v>0</v>
      </c>
      <c r="BE641" s="80">
        <f>IF(AND(BD641=1,AU641=1),1,0)</f>
        <v>0</v>
      </c>
      <c r="BF641" s="80" t="str">
        <f>IF(AND(D641="proMX",BD641=1),IF(R641="","Draft",R641),"")</f>
        <v/>
      </c>
      <c r="BG641" s="80">
        <f>IF(BD641=1,ROUND(AG641/60,6),0)</f>
        <v>0</v>
      </c>
      <c r="BH641" s="80">
        <f>IF(BE641=1,ROUND(AG641/60,6),0)</f>
        <v>0</v>
      </c>
      <c r="BI641" s="80">
        <f>IF(BE641=1,ROUND(AP641/60,6),0)</f>
        <v>0</v>
      </c>
      <c r="BJ641" s="80">
        <f>IF(BE641=1,ROUND(AQ641/60,6),0)</f>
        <v>0</v>
      </c>
      <c r="BK641" s="80">
        <f>IF(BE641=1,ROUND((AR641+AS641)/60,6),0)</f>
        <v>0</v>
      </c>
      <c r="BL641" s="80">
        <f>ROUND(BH641-BK641,6)</f>
        <v>0</v>
      </c>
      <c r="BM641" s="80">
        <f>IF(BE641=1,ROUND(AR641/60,6),0)</f>
        <v>0</v>
      </c>
      <c r="BN641" s="80">
        <f>ROUND(BI641-BM641,6)</f>
        <v>0</v>
      </c>
      <c r="BO641" s="80">
        <f>IF(BE641=1,ROUND(AS641/60,6),0)</f>
        <v>0</v>
      </c>
      <c r="BP641" s="80">
        <f>ROUND(BJ641-BO641,6)</f>
        <v>0</v>
      </c>
      <c r="BQ641" s="80">
        <f>IF(BE641=1,AW641,0)</f>
        <v>0</v>
      </c>
      <c r="BR641" s="80">
        <f>IF(BE641=1,AX641,0)</f>
        <v>0</v>
      </c>
      <c r="BS641" s="80">
        <f>IF(AND(BE641=1,D641="Malcolm",BA641&gt;0),MIN(BH641,SUMPRODUCT((R_Emp="proMX")*(R_EN&gt;0)*((R_EN-(R_EN&gt;BR641)*(R_EN-BR641))&gt;(R_SN+(R_SN&lt;BQ641)*(BQ641-R_SN)))*((R_EN-(R_EN&gt;BR641)*(R_EN-BR641))-(R_SN+(R_SN&lt;BQ641)*(BQ641-R_SN))))/60),0)</f>
        <v>0</v>
      </c>
      <c r="BT641" s="80">
        <f>IF(AND(BE641=1,D641="proMX"),ROUND(BI641*CFG_RATE+BJ641*CFG_OTRATE,6),0)</f>
        <v>0</v>
      </c>
      <c r="BU641" s="80">
        <f>IF(AND(BD641=1,D641="proMX"),ROUND(AG641/CFG_BLK,6),0)</f>
        <v>0</v>
      </c>
      <c r="BV641" s="80" t="str">
        <f>IF(BF641="Approved",IF(ISNUMBER(T641),INT(T641),INT(B641)),"")</f>
        <v/>
      </c>
      <c r="BW641" s="80">
        <f>IF(ISNUMBER(B641),IF(DB_MON="Todos",1,IF(AND(INT(B641)&gt;=DB_MS,INT(B641)&lt;=DB_ME),1,0)),0)</f>
        <v>0</v>
      </c>
      <c r="BX641" s="80">
        <f>IF(DB_PROJ="Todos",1,IF(E641&amp;""=DB_PROJ&amp;"",1,0))</f>
        <v>1</v>
      </c>
      <c r="BY641" s="80">
        <f>BW641*BX641</f>
        <v>0</v>
      </c>
      <c r="BZ641" s="80" t="str">
        <f>IF(Y641=1,F641&amp;IF(AND(F641&amp;""&lt;&gt;"",E641&amp;""&lt;&gt;"")," · ","")&amp;E641,"")</f>
        <v/>
      </c>
      <c r="CA641" s="80" t="str">
        <f>IF(AND(BD641=1,E641&amp;""&lt;&gt;""),IF(COUNTIFS($E$5:E640,E641,$BD$5:BD640,1)=0,MAX($CA$5:CA640)+1,""),"")</f>
        <v/>
      </c>
      <c r="CB641" s="80" t="str">
        <f>IF(AND(BE641=1,D641="Malcolm",E641&amp;""&lt;&gt;""),IF(COUNTIFS($D$5:D640,"Malcolm",$E$5:E640,E641,$BE$5:BE640,1)=0,MAX($CB$5:CB640)+1,""),"")</f>
        <v/>
      </c>
      <c r="CC641" s="80" t="str">
        <f>IF(AND(BD641=1,D641="proMX",E641&amp;""&lt;&gt;""),IF(COUNTIFS($D$5:D640,"proMX",$E$5:E640,E641,$BD$5:BD640,1)=0,MAX($CC$5:CC640)+1,""),"")</f>
        <v/>
      </c>
      <c r="CD641" s="80" t="str">
        <f>IF(AND(BE641=1,D641="Malcolm",F641&amp;""&lt;&gt;""),IF(COUNTIFS($D$5:D640,"Malcolm",$F$5:F640,F641,$BE$5:BE640,1)=0,MAX($CD$5:CD640)+1,""),"")</f>
        <v/>
      </c>
      <c r="CE641" s="80" t="str">
        <f>IF(AND(BD641=1,D641="proMX",F641&amp;""&lt;&gt;""),IF(COUNTIFS($D$5:D640,"proMX",$F$5:F640,F641,$BD$5:BD640,1)=0,MAX($CE$5:CE640)+1,""),"")</f>
        <v/>
      </c>
      <c r="CF641" s="80" t="str">
        <f>IF(AND(D641="proMX",BD641=1),IF(OR(BF641="Draft",BF641="Submitted",BF641="Returned",BF641="Recall Requested"),MAX($CF$5:CF640)+1,""),"")</f>
        <v/>
      </c>
      <c r="CG641" s="80">
        <f>IF(BD641=0,0,IF(D641="Malcolm",1,MATCH(BF641,{"Draft","Submitted","Approved","Returned","Recall Requested","Cancelled"},0)+1))</f>
        <v>0</v>
      </c>
      <c r="CH641" s="80">
        <f>IF(AND(BF641="Submitted",ISNUMBER(V641)),IF(V641&gt;CFG_MAXD,1,0),0)</f>
        <v>0</v>
      </c>
    </row>
    <row r="642">
      <c r="A642" s="71" t="str">
        <f>IF(Y642=1,ROW()-5,"")</f>
        <v/>
      </c>
      <c r="B642" s="72" t="n"/>
      <c r="C642" s="71" t="str">
        <f>IF(ISNUMBER(B642),CHOOSE(WEEKDAY(B642,2),"Lun","Mar","Mié","Jue","Vie","Sáb","Dom"),"")</f>
        <v/>
      </c>
      <c r="D642" s="73" t="n"/>
      <c r="E642" s="74" t="n"/>
      <c r="F642" s="74" t="n"/>
      <c r="G642" s="74" t="n"/>
      <c r="H642" s="75" t="n"/>
      <c r="I642" s="75" t="n"/>
      <c r="J642" s="76" t="n"/>
      <c r="K642" s="77" t="str">
        <f>IF(AB642=1,ROUND(AG642/60,4),"")</f>
        <v/>
      </c>
      <c r="L642" s="77" t="str">
        <f>IF(BD642=1,ROUND(AP642/60,4),"")</f>
        <v/>
      </c>
      <c r="M642" s="77" t="str">
        <f>IF(BD642=1,ROUND(AQ642/60,4),"")</f>
        <v/>
      </c>
      <c r="N642" s="71" t="str">
        <f>IF(AND(D642="proMX",AB642=1),ROUND(AG642/CFG_BLK,2),"")</f>
        <v/>
      </c>
      <c r="O642" s="77" t="str">
        <f>IF(D642="proMX",IF(BD642=1,ROUND(AG642/60,4),0),"")</f>
        <v/>
      </c>
      <c r="P642" s="78" t="str">
        <f>IF(Y642=0,"",IF(BD642=1,"OK",IF(D642="proMX","Revisar bloques: ","Revisar: ")&amp;BC642))</f>
        <v/>
      </c>
      <c r="Q642" s="78" t="str">
        <f>IF(NOT(ISNUMBER(B642)),"",IF(COUNTIFS(FER_F,INT(B642))&gt;0,"Feriado"&amp;IF(AH642=1," (laborable)"," (no laborable)"),IF(AH642=1,"Laborable",IF(WEEKDAY(B642,2)&gt;5,"Fin de semana","No laborable"))))</f>
        <v/>
      </c>
      <c r="R642" s="73" t="n"/>
      <c r="S642" s="72" t="n"/>
      <c r="T642" s="72" t="n"/>
      <c r="U642" s="74" t="n"/>
      <c r="V642" s="79" t="str">
        <f>IF(AND(D642="proMX",OR(R642="Submitted",R642="Recall Requested"),ISNUMBER(S642)),CFG_TODAY-INT(S642),"")</f>
        <v/>
      </c>
      <c r="W642" s="78" t="str">
        <f>IF(BD642=0,"",IF(BA642&gt;0,"⚠ Se superpone con un registro de la otra empresa",IF(D642="Malcolm",IF(COUNTA(R642,S642,T642)&gt;0,"Estado/fechas proMX se ignoran en Malcolm",""),IF(BF642="Cancelled","Cancelado: excluido de totales",IF(R642="","Sin estado: se trata como Draft",IF(BF642="Submitted",IF(ISNUMBER(V642),IF(V642&gt;CFG_MAXD,"⚠ "&amp;V642&amp;" días en Submitted (máx. "&amp;CFG_MAXD&amp;")",""),"Falta fecha de envío"),IF(BF642="Returned","⚠ Devuelto: corregir y reenviar",IF(BF642="Recall Requested","Retirada solicitada: pendiente",IF(AND(BF642="Approved",NOT(ISNUMBER(T642))),"Falta fecha de aprobación",IF(AND(ISNUMBER(S642),ISNUMBER(T642),T642&lt;S642),"Aprobación anterior al envío","")))))))))</f>
        <v/>
      </c>
      <c r="Y642" s="80">
        <f>IF(COUNTA(B642,D642,E642,F642,G642,H642,I642,J642,R642,S642,T642)&gt;0,1,0)</f>
        <v>0</v>
      </c>
      <c r="Z642" s="80" t="str">
        <f>IF(AND(ISNUMBER(H642),H642&gt;=0,H642&lt;1),ROUND(H642*1440,0),"")</f>
        <v/>
      </c>
      <c r="AA642" s="80" t="str">
        <f>IF(AND(ISNUMBER(I642),I642&gt;=0,I642&lt;1),ROUND(I642*1440,0),"")</f>
        <v/>
      </c>
      <c r="AB642" s="80">
        <f>IF(AND(ISNUMBER(B642),D642&lt;&gt;"",ISNUMBER(Z642),ISNUMBER(AA642)),IF(Z642=AA642,0,1),0)</f>
        <v>0</v>
      </c>
      <c r="AC642" s="80">
        <f>IF(AB642=1,IF(AA642&lt;Z642,1,0),0)</f>
        <v>0</v>
      </c>
      <c r="AD642" s="80">
        <f>IF(AB642=1,IF(AC642=1,1440-Z642+AA642,AA642-Z642),0)</f>
        <v>0</v>
      </c>
      <c r="AE642" s="80">
        <f>IF(J642="",0,IF(ISNUMBER(J642),J642,-1))</f>
        <v>0</v>
      </c>
      <c r="AF642" s="80">
        <f>MIN(MAX(0,AE642),AD642)</f>
        <v>0</v>
      </c>
      <c r="AG642" s="80">
        <f>MAX(0,AD642-MAX(0,AE642))</f>
        <v>0</v>
      </c>
      <c r="AH642" s="80">
        <f>IF(ISNUMBER(B642),IF(AND(INDEX(CFG_WDAYS,WEEKDAY(INT(B642),2))="Sí",IF(D642="proMX",COUNTIFS(FER_F,INT(B642),FER_NLP,"Sí"),COUNTIFS(FER_F,INT(B642),FER_NLM,"Sí"))=0),1,0),0)</f>
        <v>0</v>
      </c>
      <c r="AI642" s="80">
        <f>IF(AC642=1,IF(AND(INDEX(CFG_WDAYS,WEEKDAY(INT(B642)+1,2))="Sí",IF(D642="proMX",COUNTIFS(FER_F,INT(B642)+1,FER_NLP,"Sí"),COUNTIFS(FER_F,INT(B642)+1,FER_NLM,"Sí"))=0),1,0),0)</f>
        <v>0</v>
      </c>
      <c r="AJ642" s="80">
        <f>IF(AC642=1,1440-Z642,AD642)</f>
        <v>0</v>
      </c>
      <c r="AK642" s="80">
        <f>IF(AND(AB642=1,AH642=1),MAX(0,MIN(IF(AC642=1,1440,AA642),CFG_WEM)-MAX(Z642,CFG_WSM)),0)</f>
        <v>0</v>
      </c>
      <c r="AL642" s="80">
        <f>IF(AND(AC642=1,AI642=1),MAX(0,MIN(AA642,CFG_WEM)-CFG_WSM),0)</f>
        <v>0</v>
      </c>
      <c r="AM642" s="80">
        <f>AK642+AL642</f>
        <v>0</v>
      </c>
      <c r="AN642" s="80">
        <f>IF(CFG_BRK="Proporcional",IF(AD642=0,0,AF642*AM642/AD642),IF(CFG_BRK="Extras primero",MIN(AM642,MAX(0,AF642-(AD642-AM642))),MIN(AF642,AM642)))</f>
        <v>0</v>
      </c>
      <c r="AO642" s="80">
        <f>AF642-AN642</f>
        <v>0</v>
      </c>
      <c r="AP642" s="80">
        <f>AM642-AN642</f>
        <v>0</v>
      </c>
      <c r="AQ642" s="80">
        <f>AD642-AM642-AO642</f>
        <v>0</v>
      </c>
      <c r="AR642" s="80">
        <f>IF(AM642=0,0,AK642-AN642*AK642/AM642)</f>
        <v>0</v>
      </c>
      <c r="AS642" s="80">
        <f>IF(AD642-AM642=0,0,(AJ642-AK642)-AO642*(AJ642-AK642)/(AD642-AM642))</f>
        <v>0</v>
      </c>
      <c r="AT642" s="80" t="str">
        <f>IF(AC642=1,INT(B642)+1,"")</f>
        <v/>
      </c>
      <c r="AU642" s="80">
        <f>IF(AND(D642="proMX",R642="Cancelled"),0,1)</f>
        <v>1</v>
      </c>
      <c r="AV642" s="80">
        <f>IF(AND(AB642=1,AU642=1),IF(COUNTIFS($D$5:D641,D642,$B$5:B641,B642,$Z$5:Z641,Z642,$AA$5:AA641,AA642,$F$5:F641,F642&amp;"",$AU$5:AU641,1)&gt;0,1,0),0)</f>
        <v>0</v>
      </c>
      <c r="AW642" s="80" t="str">
        <f>IF(AB642=1,INT(B642)*1440+Z642,"")</f>
        <v/>
      </c>
      <c r="AX642" s="80" t="str">
        <f>IF(AB642=1,AW642+AD642,"")</f>
        <v/>
      </c>
      <c r="AY642" s="80">
        <f>IF(AND(AB642=1,AV642=0,AU642=1),1,0)</f>
        <v>0</v>
      </c>
      <c r="AZ642" s="80">
        <f>IF(AY642=1,COUNTIFS(R_Emp,D642,R_SAbs,"&lt;"&amp;AX642,R_EAbs,"&gt;"&amp;AW642,R_OKey,1)-1,0)</f>
        <v>0</v>
      </c>
      <c r="BA642" s="80">
        <f>IF(AY642=1,COUNTIFS(R_Emp,"&lt;&gt;"&amp;D642,R_SAbs,"&lt;"&amp;AX642,R_EAbs,"&gt;"&amp;AW642,R_OKey,1),0)</f>
        <v>0</v>
      </c>
      <c r="BB642" s="80">
        <f>IF(AND(AB642=1,D642="proMX"),IF(AND(MOD(Z642,CFG_BLK)=0,MOD(AA642,CFG_BLK)=0,MOD(AG642,CFG_BLK)=0,AG642&gt;0),1,0),1)</f>
        <v>1</v>
      </c>
      <c r="BC642" s="80" t="str">
        <f>IF(Y642=0,"",IF(NOT(ISNUMBER(B642)),"Falta fecha o fecha inválida",IF(D642="","Falta empresa",IF(AND(D642&lt;&gt;"Malcolm",D642&lt;&gt;"proMX"),"Empresa inválida",IF(OR(INT(B642)&lt;CFG_PSTART,INT(B642)&gt;CFG_PEND),"Fecha fuera del período",IF(OR(NOT(ISNUMBER(Z642)),NOT(ISNUMBER(AA642))),"Falta hora inicio/fin o formato inválido",IF(AB642=0,"Hora inicio = hora fin",IF(AE642&lt;0,"Descanso inválido",IF(AE642&gt;=AD642,"Descanso ≥ duración",IF(AV642=1,"Registro duplicado",IF(AZ642&gt;0,"Se superpone con otro registro "&amp;D642,IF(BB642=0,"inicio, fin y duración neta deben ser múltiplos de "&amp;CFG_BLK&amp;" min",""))))))))))))</f>
        <v/>
      </c>
      <c r="BD642" s="80">
        <f>IF(AND(Y642=1,BC642=""),1,0)</f>
        <v>0</v>
      </c>
      <c r="BE642" s="80">
        <f>IF(AND(BD642=1,AU642=1),1,0)</f>
        <v>0</v>
      </c>
      <c r="BF642" s="80" t="str">
        <f>IF(AND(D642="proMX",BD642=1),IF(R642="","Draft",R642),"")</f>
        <v/>
      </c>
      <c r="BG642" s="80">
        <f>IF(BD642=1,ROUND(AG642/60,6),0)</f>
        <v>0</v>
      </c>
      <c r="BH642" s="80">
        <f>IF(BE642=1,ROUND(AG642/60,6),0)</f>
        <v>0</v>
      </c>
      <c r="BI642" s="80">
        <f>IF(BE642=1,ROUND(AP642/60,6),0)</f>
        <v>0</v>
      </c>
      <c r="BJ642" s="80">
        <f>IF(BE642=1,ROUND(AQ642/60,6),0)</f>
        <v>0</v>
      </c>
      <c r="BK642" s="80">
        <f>IF(BE642=1,ROUND((AR642+AS642)/60,6),0)</f>
        <v>0</v>
      </c>
      <c r="BL642" s="80">
        <f>ROUND(BH642-BK642,6)</f>
        <v>0</v>
      </c>
      <c r="BM642" s="80">
        <f>IF(BE642=1,ROUND(AR642/60,6),0)</f>
        <v>0</v>
      </c>
      <c r="BN642" s="80">
        <f>ROUND(BI642-BM642,6)</f>
        <v>0</v>
      </c>
      <c r="BO642" s="80">
        <f>IF(BE642=1,ROUND(AS642/60,6),0)</f>
        <v>0</v>
      </c>
      <c r="BP642" s="80">
        <f>ROUND(BJ642-BO642,6)</f>
        <v>0</v>
      </c>
      <c r="BQ642" s="80">
        <f>IF(BE642=1,AW642,0)</f>
        <v>0</v>
      </c>
      <c r="BR642" s="80">
        <f>IF(BE642=1,AX642,0)</f>
        <v>0</v>
      </c>
      <c r="BS642" s="80">
        <f>IF(AND(BE642=1,D642="Malcolm",BA642&gt;0),MIN(BH642,SUMPRODUCT((R_Emp="proMX")*(R_EN&gt;0)*((R_EN-(R_EN&gt;BR642)*(R_EN-BR642))&gt;(R_SN+(R_SN&lt;BQ642)*(BQ642-R_SN)))*((R_EN-(R_EN&gt;BR642)*(R_EN-BR642))-(R_SN+(R_SN&lt;BQ642)*(BQ642-R_SN))))/60),0)</f>
        <v>0</v>
      </c>
      <c r="BT642" s="80">
        <f>IF(AND(BE642=1,D642="proMX"),ROUND(BI642*CFG_RATE+BJ642*CFG_OTRATE,6),0)</f>
        <v>0</v>
      </c>
      <c r="BU642" s="80">
        <f>IF(AND(BD642=1,D642="proMX"),ROUND(AG642/CFG_BLK,6),0)</f>
        <v>0</v>
      </c>
      <c r="BV642" s="80" t="str">
        <f>IF(BF642="Approved",IF(ISNUMBER(T642),INT(T642),INT(B642)),"")</f>
        <v/>
      </c>
      <c r="BW642" s="80">
        <f>IF(ISNUMBER(B642),IF(DB_MON="Todos",1,IF(AND(INT(B642)&gt;=DB_MS,INT(B642)&lt;=DB_ME),1,0)),0)</f>
        <v>0</v>
      </c>
      <c r="BX642" s="80">
        <f>IF(DB_PROJ="Todos",1,IF(E642&amp;""=DB_PROJ&amp;"",1,0))</f>
        <v>1</v>
      </c>
      <c r="BY642" s="80">
        <f>BW642*BX642</f>
        <v>0</v>
      </c>
      <c r="BZ642" s="80" t="str">
        <f>IF(Y642=1,F642&amp;IF(AND(F642&amp;""&lt;&gt;"",E642&amp;""&lt;&gt;"")," · ","")&amp;E642,"")</f>
        <v/>
      </c>
      <c r="CA642" s="80" t="str">
        <f>IF(AND(BD642=1,E642&amp;""&lt;&gt;""),IF(COUNTIFS($E$5:E641,E642,$BD$5:BD641,1)=0,MAX($CA$5:CA641)+1,""),"")</f>
        <v/>
      </c>
      <c r="CB642" s="80" t="str">
        <f>IF(AND(BE642=1,D642="Malcolm",E642&amp;""&lt;&gt;""),IF(COUNTIFS($D$5:D641,"Malcolm",$E$5:E641,E642,$BE$5:BE641,1)=0,MAX($CB$5:CB641)+1,""),"")</f>
        <v/>
      </c>
      <c r="CC642" s="80" t="str">
        <f>IF(AND(BD642=1,D642="proMX",E642&amp;""&lt;&gt;""),IF(COUNTIFS($D$5:D641,"proMX",$E$5:E641,E642,$BD$5:BD641,1)=0,MAX($CC$5:CC641)+1,""),"")</f>
        <v/>
      </c>
      <c r="CD642" s="80" t="str">
        <f>IF(AND(BE642=1,D642="Malcolm",F642&amp;""&lt;&gt;""),IF(COUNTIFS($D$5:D641,"Malcolm",$F$5:F641,F642,$BE$5:BE641,1)=0,MAX($CD$5:CD641)+1,""),"")</f>
        <v/>
      </c>
      <c r="CE642" s="80" t="str">
        <f>IF(AND(BD642=1,D642="proMX",F642&amp;""&lt;&gt;""),IF(COUNTIFS($D$5:D641,"proMX",$F$5:F641,F642,$BD$5:BD641,1)=0,MAX($CE$5:CE641)+1,""),"")</f>
        <v/>
      </c>
      <c r="CF642" s="80" t="str">
        <f>IF(AND(D642="proMX",BD642=1),IF(OR(BF642="Draft",BF642="Submitted",BF642="Returned",BF642="Recall Requested"),MAX($CF$5:CF641)+1,""),"")</f>
        <v/>
      </c>
      <c r="CG642" s="80">
        <f>IF(BD642=0,0,IF(D642="Malcolm",1,MATCH(BF642,{"Draft","Submitted","Approved","Returned","Recall Requested","Cancelled"},0)+1))</f>
        <v>0</v>
      </c>
      <c r="CH642" s="80">
        <f>IF(AND(BF642="Submitted",ISNUMBER(V642)),IF(V642&gt;CFG_MAXD,1,0),0)</f>
        <v>0</v>
      </c>
    </row>
    <row r="643">
      <c r="A643" s="71" t="str">
        <f>IF(Y643=1,ROW()-5,"")</f>
        <v/>
      </c>
      <c r="B643" s="72" t="n"/>
      <c r="C643" s="71" t="str">
        <f>IF(ISNUMBER(B643),CHOOSE(WEEKDAY(B643,2),"Lun","Mar","Mié","Jue","Vie","Sáb","Dom"),"")</f>
        <v/>
      </c>
      <c r="D643" s="73" t="n"/>
      <c r="E643" s="74" t="n"/>
      <c r="F643" s="74" t="n"/>
      <c r="G643" s="74" t="n"/>
      <c r="H643" s="75" t="n"/>
      <c r="I643" s="75" t="n"/>
      <c r="J643" s="76" t="n"/>
      <c r="K643" s="77" t="str">
        <f>IF(AB643=1,ROUND(AG643/60,4),"")</f>
        <v/>
      </c>
      <c r="L643" s="77" t="str">
        <f>IF(BD643=1,ROUND(AP643/60,4),"")</f>
        <v/>
      </c>
      <c r="M643" s="77" t="str">
        <f>IF(BD643=1,ROUND(AQ643/60,4),"")</f>
        <v/>
      </c>
      <c r="N643" s="71" t="str">
        <f>IF(AND(D643="proMX",AB643=1),ROUND(AG643/CFG_BLK,2),"")</f>
        <v/>
      </c>
      <c r="O643" s="77" t="str">
        <f>IF(D643="proMX",IF(BD643=1,ROUND(AG643/60,4),0),"")</f>
        <v/>
      </c>
      <c r="P643" s="78" t="str">
        <f>IF(Y643=0,"",IF(BD643=1,"OK",IF(D643="proMX","Revisar bloques: ","Revisar: ")&amp;BC643))</f>
        <v/>
      </c>
      <c r="Q643" s="78" t="str">
        <f>IF(NOT(ISNUMBER(B643)),"",IF(COUNTIFS(FER_F,INT(B643))&gt;0,"Feriado"&amp;IF(AH643=1," (laborable)"," (no laborable)"),IF(AH643=1,"Laborable",IF(WEEKDAY(B643,2)&gt;5,"Fin de semana","No laborable"))))</f>
        <v/>
      </c>
      <c r="R643" s="73" t="n"/>
      <c r="S643" s="72" t="n"/>
      <c r="T643" s="72" t="n"/>
      <c r="U643" s="74" t="n"/>
      <c r="V643" s="79" t="str">
        <f>IF(AND(D643="proMX",OR(R643="Submitted",R643="Recall Requested"),ISNUMBER(S643)),CFG_TODAY-INT(S643),"")</f>
        <v/>
      </c>
      <c r="W643" s="78" t="str">
        <f>IF(BD643=0,"",IF(BA643&gt;0,"⚠ Se superpone con un registro de la otra empresa",IF(D643="Malcolm",IF(COUNTA(R643,S643,T643)&gt;0,"Estado/fechas proMX se ignoran en Malcolm",""),IF(BF643="Cancelled","Cancelado: excluido de totales",IF(R643="","Sin estado: se trata como Draft",IF(BF643="Submitted",IF(ISNUMBER(V643),IF(V643&gt;CFG_MAXD,"⚠ "&amp;V643&amp;" días en Submitted (máx. "&amp;CFG_MAXD&amp;")",""),"Falta fecha de envío"),IF(BF643="Returned","⚠ Devuelto: corregir y reenviar",IF(BF643="Recall Requested","Retirada solicitada: pendiente",IF(AND(BF643="Approved",NOT(ISNUMBER(T643))),"Falta fecha de aprobación",IF(AND(ISNUMBER(S643),ISNUMBER(T643),T643&lt;S643),"Aprobación anterior al envío","")))))))))</f>
        <v/>
      </c>
      <c r="Y643" s="80">
        <f>IF(COUNTA(B643,D643,E643,F643,G643,H643,I643,J643,R643,S643,T643)&gt;0,1,0)</f>
        <v>0</v>
      </c>
      <c r="Z643" s="80" t="str">
        <f>IF(AND(ISNUMBER(H643),H643&gt;=0,H643&lt;1),ROUND(H643*1440,0),"")</f>
        <v/>
      </c>
      <c r="AA643" s="80" t="str">
        <f>IF(AND(ISNUMBER(I643),I643&gt;=0,I643&lt;1),ROUND(I643*1440,0),"")</f>
        <v/>
      </c>
      <c r="AB643" s="80">
        <f>IF(AND(ISNUMBER(B643),D643&lt;&gt;"",ISNUMBER(Z643),ISNUMBER(AA643)),IF(Z643=AA643,0,1),0)</f>
        <v>0</v>
      </c>
      <c r="AC643" s="80">
        <f>IF(AB643=1,IF(AA643&lt;Z643,1,0),0)</f>
        <v>0</v>
      </c>
      <c r="AD643" s="80">
        <f>IF(AB643=1,IF(AC643=1,1440-Z643+AA643,AA643-Z643),0)</f>
        <v>0</v>
      </c>
      <c r="AE643" s="80">
        <f>IF(J643="",0,IF(ISNUMBER(J643),J643,-1))</f>
        <v>0</v>
      </c>
      <c r="AF643" s="80">
        <f>MIN(MAX(0,AE643),AD643)</f>
        <v>0</v>
      </c>
      <c r="AG643" s="80">
        <f>MAX(0,AD643-MAX(0,AE643))</f>
        <v>0</v>
      </c>
      <c r="AH643" s="80">
        <f>IF(ISNUMBER(B643),IF(AND(INDEX(CFG_WDAYS,WEEKDAY(INT(B643),2))="Sí",IF(D643="proMX",COUNTIFS(FER_F,INT(B643),FER_NLP,"Sí"),COUNTIFS(FER_F,INT(B643),FER_NLM,"Sí"))=0),1,0),0)</f>
        <v>0</v>
      </c>
      <c r="AI643" s="80">
        <f>IF(AC643=1,IF(AND(INDEX(CFG_WDAYS,WEEKDAY(INT(B643)+1,2))="Sí",IF(D643="proMX",COUNTIFS(FER_F,INT(B643)+1,FER_NLP,"Sí"),COUNTIFS(FER_F,INT(B643)+1,FER_NLM,"Sí"))=0),1,0),0)</f>
        <v>0</v>
      </c>
      <c r="AJ643" s="80">
        <f>IF(AC643=1,1440-Z643,AD643)</f>
        <v>0</v>
      </c>
      <c r="AK643" s="80">
        <f>IF(AND(AB643=1,AH643=1),MAX(0,MIN(IF(AC643=1,1440,AA643),CFG_WEM)-MAX(Z643,CFG_WSM)),0)</f>
        <v>0</v>
      </c>
      <c r="AL643" s="80">
        <f>IF(AND(AC643=1,AI643=1),MAX(0,MIN(AA643,CFG_WEM)-CFG_WSM),0)</f>
        <v>0</v>
      </c>
      <c r="AM643" s="80">
        <f>AK643+AL643</f>
        <v>0</v>
      </c>
      <c r="AN643" s="80">
        <f>IF(CFG_BRK="Proporcional",IF(AD643=0,0,AF643*AM643/AD643),IF(CFG_BRK="Extras primero",MIN(AM643,MAX(0,AF643-(AD643-AM643))),MIN(AF643,AM643)))</f>
        <v>0</v>
      </c>
      <c r="AO643" s="80">
        <f>AF643-AN643</f>
        <v>0</v>
      </c>
      <c r="AP643" s="80">
        <f>AM643-AN643</f>
        <v>0</v>
      </c>
      <c r="AQ643" s="80">
        <f>AD643-AM643-AO643</f>
        <v>0</v>
      </c>
      <c r="AR643" s="80">
        <f>IF(AM643=0,0,AK643-AN643*AK643/AM643)</f>
        <v>0</v>
      </c>
      <c r="AS643" s="80">
        <f>IF(AD643-AM643=0,0,(AJ643-AK643)-AO643*(AJ643-AK643)/(AD643-AM643))</f>
        <v>0</v>
      </c>
      <c r="AT643" s="80" t="str">
        <f>IF(AC643=1,INT(B643)+1,"")</f>
        <v/>
      </c>
      <c r="AU643" s="80">
        <f>IF(AND(D643="proMX",R643="Cancelled"),0,1)</f>
        <v>1</v>
      </c>
      <c r="AV643" s="80">
        <f>IF(AND(AB643=1,AU643=1),IF(COUNTIFS($D$5:D642,D643,$B$5:B642,B643,$Z$5:Z642,Z643,$AA$5:AA642,AA643,$F$5:F642,F643&amp;"",$AU$5:AU642,1)&gt;0,1,0),0)</f>
        <v>0</v>
      </c>
      <c r="AW643" s="80" t="str">
        <f>IF(AB643=1,INT(B643)*1440+Z643,"")</f>
        <v/>
      </c>
      <c r="AX643" s="80" t="str">
        <f>IF(AB643=1,AW643+AD643,"")</f>
        <v/>
      </c>
      <c r="AY643" s="80">
        <f>IF(AND(AB643=1,AV643=0,AU643=1),1,0)</f>
        <v>0</v>
      </c>
      <c r="AZ643" s="80">
        <f>IF(AY643=1,COUNTIFS(R_Emp,D643,R_SAbs,"&lt;"&amp;AX643,R_EAbs,"&gt;"&amp;AW643,R_OKey,1)-1,0)</f>
        <v>0</v>
      </c>
      <c r="BA643" s="80">
        <f>IF(AY643=1,COUNTIFS(R_Emp,"&lt;&gt;"&amp;D643,R_SAbs,"&lt;"&amp;AX643,R_EAbs,"&gt;"&amp;AW643,R_OKey,1),0)</f>
        <v>0</v>
      </c>
      <c r="BB643" s="80">
        <f>IF(AND(AB643=1,D643="proMX"),IF(AND(MOD(Z643,CFG_BLK)=0,MOD(AA643,CFG_BLK)=0,MOD(AG643,CFG_BLK)=0,AG643&gt;0),1,0),1)</f>
        <v>1</v>
      </c>
      <c r="BC643" s="80" t="str">
        <f>IF(Y643=0,"",IF(NOT(ISNUMBER(B643)),"Falta fecha o fecha inválida",IF(D643="","Falta empresa",IF(AND(D643&lt;&gt;"Malcolm",D643&lt;&gt;"proMX"),"Empresa inválida",IF(OR(INT(B643)&lt;CFG_PSTART,INT(B643)&gt;CFG_PEND),"Fecha fuera del período",IF(OR(NOT(ISNUMBER(Z643)),NOT(ISNUMBER(AA643))),"Falta hora inicio/fin o formato inválido",IF(AB643=0,"Hora inicio = hora fin",IF(AE643&lt;0,"Descanso inválido",IF(AE643&gt;=AD643,"Descanso ≥ duración",IF(AV643=1,"Registro duplicado",IF(AZ643&gt;0,"Se superpone con otro registro "&amp;D643,IF(BB643=0,"inicio, fin y duración neta deben ser múltiplos de "&amp;CFG_BLK&amp;" min",""))))))))))))</f>
        <v/>
      </c>
      <c r="BD643" s="80">
        <f>IF(AND(Y643=1,BC643=""),1,0)</f>
        <v>0</v>
      </c>
      <c r="BE643" s="80">
        <f>IF(AND(BD643=1,AU643=1),1,0)</f>
        <v>0</v>
      </c>
      <c r="BF643" s="80" t="str">
        <f>IF(AND(D643="proMX",BD643=1),IF(R643="","Draft",R643),"")</f>
        <v/>
      </c>
      <c r="BG643" s="80">
        <f>IF(BD643=1,ROUND(AG643/60,6),0)</f>
        <v>0</v>
      </c>
      <c r="BH643" s="80">
        <f>IF(BE643=1,ROUND(AG643/60,6),0)</f>
        <v>0</v>
      </c>
      <c r="BI643" s="80">
        <f>IF(BE643=1,ROUND(AP643/60,6),0)</f>
        <v>0</v>
      </c>
      <c r="BJ643" s="80">
        <f>IF(BE643=1,ROUND(AQ643/60,6),0)</f>
        <v>0</v>
      </c>
      <c r="BK643" s="80">
        <f>IF(BE643=1,ROUND((AR643+AS643)/60,6),0)</f>
        <v>0</v>
      </c>
      <c r="BL643" s="80">
        <f>ROUND(BH643-BK643,6)</f>
        <v>0</v>
      </c>
      <c r="BM643" s="80">
        <f>IF(BE643=1,ROUND(AR643/60,6),0)</f>
        <v>0</v>
      </c>
      <c r="BN643" s="80">
        <f>ROUND(BI643-BM643,6)</f>
        <v>0</v>
      </c>
      <c r="BO643" s="80">
        <f>IF(BE643=1,ROUND(AS643/60,6),0)</f>
        <v>0</v>
      </c>
      <c r="BP643" s="80">
        <f>ROUND(BJ643-BO643,6)</f>
        <v>0</v>
      </c>
      <c r="BQ643" s="80">
        <f>IF(BE643=1,AW643,0)</f>
        <v>0</v>
      </c>
      <c r="BR643" s="80">
        <f>IF(BE643=1,AX643,0)</f>
        <v>0</v>
      </c>
      <c r="BS643" s="80">
        <f>IF(AND(BE643=1,D643="Malcolm",BA643&gt;0),MIN(BH643,SUMPRODUCT((R_Emp="proMX")*(R_EN&gt;0)*((R_EN-(R_EN&gt;BR643)*(R_EN-BR643))&gt;(R_SN+(R_SN&lt;BQ643)*(BQ643-R_SN)))*((R_EN-(R_EN&gt;BR643)*(R_EN-BR643))-(R_SN+(R_SN&lt;BQ643)*(BQ643-R_SN))))/60),0)</f>
        <v>0</v>
      </c>
      <c r="BT643" s="80">
        <f>IF(AND(BE643=1,D643="proMX"),ROUND(BI643*CFG_RATE+BJ643*CFG_OTRATE,6),0)</f>
        <v>0</v>
      </c>
      <c r="BU643" s="80">
        <f>IF(AND(BD643=1,D643="proMX"),ROUND(AG643/CFG_BLK,6),0)</f>
        <v>0</v>
      </c>
      <c r="BV643" s="80" t="str">
        <f>IF(BF643="Approved",IF(ISNUMBER(T643),INT(T643),INT(B643)),"")</f>
        <v/>
      </c>
      <c r="BW643" s="80">
        <f>IF(ISNUMBER(B643),IF(DB_MON="Todos",1,IF(AND(INT(B643)&gt;=DB_MS,INT(B643)&lt;=DB_ME),1,0)),0)</f>
        <v>0</v>
      </c>
      <c r="BX643" s="80">
        <f>IF(DB_PROJ="Todos",1,IF(E643&amp;""=DB_PROJ&amp;"",1,0))</f>
        <v>1</v>
      </c>
      <c r="BY643" s="80">
        <f>BW643*BX643</f>
        <v>0</v>
      </c>
      <c r="BZ643" s="80" t="str">
        <f>IF(Y643=1,F643&amp;IF(AND(F643&amp;""&lt;&gt;"",E643&amp;""&lt;&gt;"")," · ","")&amp;E643,"")</f>
        <v/>
      </c>
      <c r="CA643" s="80" t="str">
        <f>IF(AND(BD643=1,E643&amp;""&lt;&gt;""),IF(COUNTIFS($E$5:E642,E643,$BD$5:BD642,1)=0,MAX($CA$5:CA642)+1,""),"")</f>
        <v/>
      </c>
      <c r="CB643" s="80" t="str">
        <f>IF(AND(BE643=1,D643="Malcolm",E643&amp;""&lt;&gt;""),IF(COUNTIFS($D$5:D642,"Malcolm",$E$5:E642,E643,$BE$5:BE642,1)=0,MAX($CB$5:CB642)+1,""),"")</f>
        <v/>
      </c>
      <c r="CC643" s="80" t="str">
        <f>IF(AND(BD643=1,D643="proMX",E643&amp;""&lt;&gt;""),IF(COUNTIFS($D$5:D642,"proMX",$E$5:E642,E643,$BD$5:BD642,1)=0,MAX($CC$5:CC642)+1,""),"")</f>
        <v/>
      </c>
      <c r="CD643" s="80" t="str">
        <f>IF(AND(BE643=1,D643="Malcolm",F643&amp;""&lt;&gt;""),IF(COUNTIFS($D$5:D642,"Malcolm",$F$5:F642,F643,$BE$5:BE642,1)=0,MAX($CD$5:CD642)+1,""),"")</f>
        <v/>
      </c>
      <c r="CE643" s="80" t="str">
        <f>IF(AND(BD643=1,D643="proMX",F643&amp;""&lt;&gt;""),IF(COUNTIFS($D$5:D642,"proMX",$F$5:F642,F643,$BD$5:BD642,1)=0,MAX($CE$5:CE642)+1,""),"")</f>
        <v/>
      </c>
      <c r="CF643" s="80" t="str">
        <f>IF(AND(D643="proMX",BD643=1),IF(OR(BF643="Draft",BF643="Submitted",BF643="Returned",BF643="Recall Requested"),MAX($CF$5:CF642)+1,""),"")</f>
        <v/>
      </c>
      <c r="CG643" s="80">
        <f>IF(BD643=0,0,IF(D643="Malcolm",1,MATCH(BF643,{"Draft","Submitted","Approved","Returned","Recall Requested","Cancelled"},0)+1))</f>
        <v>0</v>
      </c>
      <c r="CH643" s="80">
        <f>IF(AND(BF643="Submitted",ISNUMBER(V643)),IF(V643&gt;CFG_MAXD,1,0),0)</f>
        <v>0</v>
      </c>
    </row>
    <row r="644">
      <c r="A644" s="71" t="str">
        <f>IF(Y644=1,ROW()-5,"")</f>
        <v/>
      </c>
      <c r="B644" s="72" t="n"/>
      <c r="C644" s="71" t="str">
        <f>IF(ISNUMBER(B644),CHOOSE(WEEKDAY(B644,2),"Lun","Mar","Mié","Jue","Vie","Sáb","Dom"),"")</f>
        <v/>
      </c>
      <c r="D644" s="73" t="n"/>
      <c r="E644" s="74" t="n"/>
      <c r="F644" s="74" t="n"/>
      <c r="G644" s="74" t="n"/>
      <c r="H644" s="75" t="n"/>
      <c r="I644" s="75" t="n"/>
      <c r="J644" s="76" t="n"/>
      <c r="K644" s="77" t="str">
        <f>IF(AB644=1,ROUND(AG644/60,4),"")</f>
        <v/>
      </c>
      <c r="L644" s="77" t="str">
        <f>IF(BD644=1,ROUND(AP644/60,4),"")</f>
        <v/>
      </c>
      <c r="M644" s="77" t="str">
        <f>IF(BD644=1,ROUND(AQ644/60,4),"")</f>
        <v/>
      </c>
      <c r="N644" s="71" t="str">
        <f>IF(AND(D644="proMX",AB644=1),ROUND(AG644/CFG_BLK,2),"")</f>
        <v/>
      </c>
      <c r="O644" s="77" t="str">
        <f>IF(D644="proMX",IF(BD644=1,ROUND(AG644/60,4),0),"")</f>
        <v/>
      </c>
      <c r="P644" s="78" t="str">
        <f>IF(Y644=0,"",IF(BD644=1,"OK",IF(D644="proMX","Revisar bloques: ","Revisar: ")&amp;BC644))</f>
        <v/>
      </c>
      <c r="Q644" s="78" t="str">
        <f>IF(NOT(ISNUMBER(B644)),"",IF(COUNTIFS(FER_F,INT(B644))&gt;0,"Feriado"&amp;IF(AH644=1," (laborable)"," (no laborable)"),IF(AH644=1,"Laborable",IF(WEEKDAY(B644,2)&gt;5,"Fin de semana","No laborable"))))</f>
        <v/>
      </c>
      <c r="R644" s="73" t="n"/>
      <c r="S644" s="72" t="n"/>
      <c r="T644" s="72" t="n"/>
      <c r="U644" s="74" t="n"/>
      <c r="V644" s="79" t="str">
        <f>IF(AND(D644="proMX",OR(R644="Submitted",R644="Recall Requested"),ISNUMBER(S644)),CFG_TODAY-INT(S644),"")</f>
        <v/>
      </c>
      <c r="W644" s="78" t="str">
        <f>IF(BD644=0,"",IF(BA644&gt;0,"⚠ Se superpone con un registro de la otra empresa",IF(D644="Malcolm",IF(COUNTA(R644,S644,T644)&gt;0,"Estado/fechas proMX se ignoran en Malcolm",""),IF(BF644="Cancelled","Cancelado: excluido de totales",IF(R644="","Sin estado: se trata como Draft",IF(BF644="Submitted",IF(ISNUMBER(V644),IF(V644&gt;CFG_MAXD,"⚠ "&amp;V644&amp;" días en Submitted (máx. "&amp;CFG_MAXD&amp;")",""),"Falta fecha de envío"),IF(BF644="Returned","⚠ Devuelto: corregir y reenviar",IF(BF644="Recall Requested","Retirada solicitada: pendiente",IF(AND(BF644="Approved",NOT(ISNUMBER(T644))),"Falta fecha de aprobación",IF(AND(ISNUMBER(S644),ISNUMBER(T644),T644&lt;S644),"Aprobación anterior al envío","")))))))))</f>
        <v/>
      </c>
      <c r="Y644" s="80">
        <f>IF(COUNTA(B644,D644,E644,F644,G644,H644,I644,J644,R644,S644,T644)&gt;0,1,0)</f>
        <v>0</v>
      </c>
      <c r="Z644" s="80" t="str">
        <f>IF(AND(ISNUMBER(H644),H644&gt;=0,H644&lt;1),ROUND(H644*1440,0),"")</f>
        <v/>
      </c>
      <c r="AA644" s="80" t="str">
        <f>IF(AND(ISNUMBER(I644),I644&gt;=0,I644&lt;1),ROUND(I644*1440,0),"")</f>
        <v/>
      </c>
      <c r="AB644" s="80">
        <f>IF(AND(ISNUMBER(B644),D644&lt;&gt;"",ISNUMBER(Z644),ISNUMBER(AA644)),IF(Z644=AA644,0,1),0)</f>
        <v>0</v>
      </c>
      <c r="AC644" s="80">
        <f>IF(AB644=1,IF(AA644&lt;Z644,1,0),0)</f>
        <v>0</v>
      </c>
      <c r="AD644" s="80">
        <f>IF(AB644=1,IF(AC644=1,1440-Z644+AA644,AA644-Z644),0)</f>
        <v>0</v>
      </c>
      <c r="AE644" s="80">
        <f>IF(J644="",0,IF(ISNUMBER(J644),J644,-1))</f>
        <v>0</v>
      </c>
      <c r="AF644" s="80">
        <f>MIN(MAX(0,AE644),AD644)</f>
        <v>0</v>
      </c>
      <c r="AG644" s="80">
        <f>MAX(0,AD644-MAX(0,AE644))</f>
        <v>0</v>
      </c>
      <c r="AH644" s="80">
        <f>IF(ISNUMBER(B644),IF(AND(INDEX(CFG_WDAYS,WEEKDAY(INT(B644),2))="Sí",IF(D644="proMX",COUNTIFS(FER_F,INT(B644),FER_NLP,"Sí"),COUNTIFS(FER_F,INT(B644),FER_NLM,"Sí"))=0),1,0),0)</f>
        <v>0</v>
      </c>
      <c r="AI644" s="80">
        <f>IF(AC644=1,IF(AND(INDEX(CFG_WDAYS,WEEKDAY(INT(B644)+1,2))="Sí",IF(D644="proMX",COUNTIFS(FER_F,INT(B644)+1,FER_NLP,"Sí"),COUNTIFS(FER_F,INT(B644)+1,FER_NLM,"Sí"))=0),1,0),0)</f>
        <v>0</v>
      </c>
      <c r="AJ644" s="80">
        <f>IF(AC644=1,1440-Z644,AD644)</f>
        <v>0</v>
      </c>
      <c r="AK644" s="80">
        <f>IF(AND(AB644=1,AH644=1),MAX(0,MIN(IF(AC644=1,1440,AA644),CFG_WEM)-MAX(Z644,CFG_WSM)),0)</f>
        <v>0</v>
      </c>
      <c r="AL644" s="80">
        <f>IF(AND(AC644=1,AI644=1),MAX(0,MIN(AA644,CFG_WEM)-CFG_WSM),0)</f>
        <v>0</v>
      </c>
      <c r="AM644" s="80">
        <f>AK644+AL644</f>
        <v>0</v>
      </c>
      <c r="AN644" s="80">
        <f>IF(CFG_BRK="Proporcional",IF(AD644=0,0,AF644*AM644/AD644),IF(CFG_BRK="Extras primero",MIN(AM644,MAX(0,AF644-(AD644-AM644))),MIN(AF644,AM644)))</f>
        <v>0</v>
      </c>
      <c r="AO644" s="80">
        <f>AF644-AN644</f>
        <v>0</v>
      </c>
      <c r="AP644" s="80">
        <f>AM644-AN644</f>
        <v>0</v>
      </c>
      <c r="AQ644" s="80">
        <f>AD644-AM644-AO644</f>
        <v>0</v>
      </c>
      <c r="AR644" s="80">
        <f>IF(AM644=0,0,AK644-AN644*AK644/AM644)</f>
        <v>0</v>
      </c>
      <c r="AS644" s="80">
        <f>IF(AD644-AM644=0,0,(AJ644-AK644)-AO644*(AJ644-AK644)/(AD644-AM644))</f>
        <v>0</v>
      </c>
      <c r="AT644" s="80" t="str">
        <f>IF(AC644=1,INT(B644)+1,"")</f>
        <v/>
      </c>
      <c r="AU644" s="80">
        <f>IF(AND(D644="proMX",R644="Cancelled"),0,1)</f>
        <v>1</v>
      </c>
      <c r="AV644" s="80">
        <f>IF(AND(AB644=1,AU644=1),IF(COUNTIFS($D$5:D643,D644,$B$5:B643,B644,$Z$5:Z643,Z644,$AA$5:AA643,AA644,$F$5:F643,F644&amp;"",$AU$5:AU643,1)&gt;0,1,0),0)</f>
        <v>0</v>
      </c>
      <c r="AW644" s="80" t="str">
        <f>IF(AB644=1,INT(B644)*1440+Z644,"")</f>
        <v/>
      </c>
      <c r="AX644" s="80" t="str">
        <f>IF(AB644=1,AW644+AD644,"")</f>
        <v/>
      </c>
      <c r="AY644" s="80">
        <f>IF(AND(AB644=1,AV644=0,AU644=1),1,0)</f>
        <v>0</v>
      </c>
      <c r="AZ644" s="80">
        <f>IF(AY644=1,COUNTIFS(R_Emp,D644,R_SAbs,"&lt;"&amp;AX644,R_EAbs,"&gt;"&amp;AW644,R_OKey,1)-1,0)</f>
        <v>0</v>
      </c>
      <c r="BA644" s="80">
        <f>IF(AY644=1,COUNTIFS(R_Emp,"&lt;&gt;"&amp;D644,R_SAbs,"&lt;"&amp;AX644,R_EAbs,"&gt;"&amp;AW644,R_OKey,1),0)</f>
        <v>0</v>
      </c>
      <c r="BB644" s="80">
        <f>IF(AND(AB644=1,D644="proMX"),IF(AND(MOD(Z644,CFG_BLK)=0,MOD(AA644,CFG_BLK)=0,MOD(AG644,CFG_BLK)=0,AG644&gt;0),1,0),1)</f>
        <v>1</v>
      </c>
      <c r="BC644" s="80" t="str">
        <f>IF(Y644=0,"",IF(NOT(ISNUMBER(B644)),"Falta fecha o fecha inválida",IF(D644="","Falta empresa",IF(AND(D644&lt;&gt;"Malcolm",D644&lt;&gt;"proMX"),"Empresa inválida",IF(OR(INT(B644)&lt;CFG_PSTART,INT(B644)&gt;CFG_PEND),"Fecha fuera del período",IF(OR(NOT(ISNUMBER(Z644)),NOT(ISNUMBER(AA644))),"Falta hora inicio/fin o formato inválido",IF(AB644=0,"Hora inicio = hora fin",IF(AE644&lt;0,"Descanso inválido",IF(AE644&gt;=AD644,"Descanso ≥ duración",IF(AV644=1,"Registro duplicado",IF(AZ644&gt;0,"Se superpone con otro registro "&amp;D644,IF(BB644=0,"inicio, fin y duración neta deben ser múltiplos de "&amp;CFG_BLK&amp;" min",""))))))))))))</f>
        <v/>
      </c>
      <c r="BD644" s="80">
        <f>IF(AND(Y644=1,BC644=""),1,0)</f>
        <v>0</v>
      </c>
      <c r="BE644" s="80">
        <f>IF(AND(BD644=1,AU644=1),1,0)</f>
        <v>0</v>
      </c>
      <c r="BF644" s="80" t="str">
        <f>IF(AND(D644="proMX",BD644=1),IF(R644="","Draft",R644),"")</f>
        <v/>
      </c>
      <c r="BG644" s="80">
        <f>IF(BD644=1,ROUND(AG644/60,6),0)</f>
        <v>0</v>
      </c>
      <c r="BH644" s="80">
        <f>IF(BE644=1,ROUND(AG644/60,6),0)</f>
        <v>0</v>
      </c>
      <c r="BI644" s="80">
        <f>IF(BE644=1,ROUND(AP644/60,6),0)</f>
        <v>0</v>
      </c>
      <c r="BJ644" s="80">
        <f>IF(BE644=1,ROUND(AQ644/60,6),0)</f>
        <v>0</v>
      </c>
      <c r="BK644" s="80">
        <f>IF(BE644=1,ROUND((AR644+AS644)/60,6),0)</f>
        <v>0</v>
      </c>
      <c r="BL644" s="80">
        <f>ROUND(BH644-BK644,6)</f>
        <v>0</v>
      </c>
      <c r="BM644" s="80">
        <f>IF(BE644=1,ROUND(AR644/60,6),0)</f>
        <v>0</v>
      </c>
      <c r="BN644" s="80">
        <f>ROUND(BI644-BM644,6)</f>
        <v>0</v>
      </c>
      <c r="BO644" s="80">
        <f>IF(BE644=1,ROUND(AS644/60,6),0)</f>
        <v>0</v>
      </c>
      <c r="BP644" s="80">
        <f>ROUND(BJ644-BO644,6)</f>
        <v>0</v>
      </c>
      <c r="BQ644" s="80">
        <f>IF(BE644=1,AW644,0)</f>
        <v>0</v>
      </c>
      <c r="BR644" s="80">
        <f>IF(BE644=1,AX644,0)</f>
        <v>0</v>
      </c>
      <c r="BS644" s="80">
        <f>IF(AND(BE644=1,D644="Malcolm",BA644&gt;0),MIN(BH644,SUMPRODUCT((R_Emp="proMX")*(R_EN&gt;0)*((R_EN-(R_EN&gt;BR644)*(R_EN-BR644))&gt;(R_SN+(R_SN&lt;BQ644)*(BQ644-R_SN)))*((R_EN-(R_EN&gt;BR644)*(R_EN-BR644))-(R_SN+(R_SN&lt;BQ644)*(BQ644-R_SN))))/60),0)</f>
        <v>0</v>
      </c>
      <c r="BT644" s="80">
        <f>IF(AND(BE644=1,D644="proMX"),ROUND(BI644*CFG_RATE+BJ644*CFG_OTRATE,6),0)</f>
        <v>0</v>
      </c>
      <c r="BU644" s="80">
        <f>IF(AND(BD644=1,D644="proMX"),ROUND(AG644/CFG_BLK,6),0)</f>
        <v>0</v>
      </c>
      <c r="BV644" s="80" t="str">
        <f>IF(BF644="Approved",IF(ISNUMBER(T644),INT(T644),INT(B644)),"")</f>
        <v/>
      </c>
      <c r="BW644" s="80">
        <f>IF(ISNUMBER(B644),IF(DB_MON="Todos",1,IF(AND(INT(B644)&gt;=DB_MS,INT(B644)&lt;=DB_ME),1,0)),0)</f>
        <v>0</v>
      </c>
      <c r="BX644" s="80">
        <f>IF(DB_PROJ="Todos",1,IF(E644&amp;""=DB_PROJ&amp;"",1,0))</f>
        <v>1</v>
      </c>
      <c r="BY644" s="80">
        <f>BW644*BX644</f>
        <v>0</v>
      </c>
      <c r="BZ644" s="80" t="str">
        <f>IF(Y644=1,F644&amp;IF(AND(F644&amp;""&lt;&gt;"",E644&amp;""&lt;&gt;"")," · ","")&amp;E644,"")</f>
        <v/>
      </c>
      <c r="CA644" s="80" t="str">
        <f>IF(AND(BD644=1,E644&amp;""&lt;&gt;""),IF(COUNTIFS($E$5:E643,E644,$BD$5:BD643,1)=0,MAX($CA$5:CA643)+1,""),"")</f>
        <v/>
      </c>
      <c r="CB644" s="80" t="str">
        <f>IF(AND(BE644=1,D644="Malcolm",E644&amp;""&lt;&gt;""),IF(COUNTIFS($D$5:D643,"Malcolm",$E$5:E643,E644,$BE$5:BE643,1)=0,MAX($CB$5:CB643)+1,""),"")</f>
        <v/>
      </c>
      <c r="CC644" s="80" t="str">
        <f>IF(AND(BD644=1,D644="proMX",E644&amp;""&lt;&gt;""),IF(COUNTIFS($D$5:D643,"proMX",$E$5:E643,E644,$BD$5:BD643,1)=0,MAX($CC$5:CC643)+1,""),"")</f>
        <v/>
      </c>
      <c r="CD644" s="80" t="str">
        <f>IF(AND(BE644=1,D644="Malcolm",F644&amp;""&lt;&gt;""),IF(COUNTIFS($D$5:D643,"Malcolm",$F$5:F643,F644,$BE$5:BE643,1)=0,MAX($CD$5:CD643)+1,""),"")</f>
        <v/>
      </c>
      <c r="CE644" s="80" t="str">
        <f>IF(AND(BD644=1,D644="proMX",F644&amp;""&lt;&gt;""),IF(COUNTIFS($D$5:D643,"proMX",$F$5:F643,F644,$BD$5:BD643,1)=0,MAX($CE$5:CE643)+1,""),"")</f>
        <v/>
      </c>
      <c r="CF644" s="80" t="str">
        <f>IF(AND(D644="proMX",BD644=1),IF(OR(BF644="Draft",BF644="Submitted",BF644="Returned",BF644="Recall Requested"),MAX($CF$5:CF643)+1,""),"")</f>
        <v/>
      </c>
      <c r="CG644" s="80">
        <f>IF(BD644=0,0,IF(D644="Malcolm",1,MATCH(BF644,{"Draft","Submitted","Approved","Returned","Recall Requested","Cancelled"},0)+1))</f>
        <v>0</v>
      </c>
      <c r="CH644" s="80">
        <f>IF(AND(BF644="Submitted",ISNUMBER(V644)),IF(V644&gt;CFG_MAXD,1,0),0)</f>
        <v>0</v>
      </c>
    </row>
    <row r="645">
      <c r="A645" s="71" t="str">
        <f>IF(Y645=1,ROW()-5,"")</f>
        <v/>
      </c>
      <c r="B645" s="72" t="n"/>
      <c r="C645" s="71" t="str">
        <f>IF(ISNUMBER(B645),CHOOSE(WEEKDAY(B645,2),"Lun","Mar","Mié","Jue","Vie","Sáb","Dom"),"")</f>
        <v/>
      </c>
      <c r="D645" s="73" t="n"/>
      <c r="E645" s="74" t="n"/>
      <c r="F645" s="74" t="n"/>
      <c r="G645" s="74" t="n"/>
      <c r="H645" s="75" t="n"/>
      <c r="I645" s="75" t="n"/>
      <c r="J645" s="76" t="n"/>
      <c r="K645" s="77" t="str">
        <f>IF(AB645=1,ROUND(AG645/60,4),"")</f>
        <v/>
      </c>
      <c r="L645" s="77" t="str">
        <f>IF(BD645=1,ROUND(AP645/60,4),"")</f>
        <v/>
      </c>
      <c r="M645" s="77" t="str">
        <f>IF(BD645=1,ROUND(AQ645/60,4),"")</f>
        <v/>
      </c>
      <c r="N645" s="71" t="str">
        <f>IF(AND(D645="proMX",AB645=1),ROUND(AG645/CFG_BLK,2),"")</f>
        <v/>
      </c>
      <c r="O645" s="77" t="str">
        <f>IF(D645="proMX",IF(BD645=1,ROUND(AG645/60,4),0),"")</f>
        <v/>
      </c>
      <c r="P645" s="78" t="str">
        <f>IF(Y645=0,"",IF(BD645=1,"OK",IF(D645="proMX","Revisar bloques: ","Revisar: ")&amp;BC645))</f>
        <v/>
      </c>
      <c r="Q645" s="78" t="str">
        <f>IF(NOT(ISNUMBER(B645)),"",IF(COUNTIFS(FER_F,INT(B645))&gt;0,"Feriado"&amp;IF(AH645=1," (laborable)"," (no laborable)"),IF(AH645=1,"Laborable",IF(WEEKDAY(B645,2)&gt;5,"Fin de semana","No laborable"))))</f>
        <v/>
      </c>
      <c r="R645" s="73" t="n"/>
      <c r="S645" s="72" t="n"/>
      <c r="T645" s="72" t="n"/>
      <c r="U645" s="74" t="n"/>
      <c r="V645" s="79" t="str">
        <f>IF(AND(D645="proMX",OR(R645="Submitted",R645="Recall Requested"),ISNUMBER(S645)),CFG_TODAY-INT(S645),"")</f>
        <v/>
      </c>
      <c r="W645" s="78" t="str">
        <f>IF(BD645=0,"",IF(BA645&gt;0,"⚠ Se superpone con un registro de la otra empresa",IF(D645="Malcolm",IF(COUNTA(R645,S645,T645)&gt;0,"Estado/fechas proMX se ignoran en Malcolm",""),IF(BF645="Cancelled","Cancelado: excluido de totales",IF(R645="","Sin estado: se trata como Draft",IF(BF645="Submitted",IF(ISNUMBER(V645),IF(V645&gt;CFG_MAXD,"⚠ "&amp;V645&amp;" días en Submitted (máx. "&amp;CFG_MAXD&amp;")",""),"Falta fecha de envío"),IF(BF645="Returned","⚠ Devuelto: corregir y reenviar",IF(BF645="Recall Requested","Retirada solicitada: pendiente",IF(AND(BF645="Approved",NOT(ISNUMBER(T645))),"Falta fecha de aprobación",IF(AND(ISNUMBER(S645),ISNUMBER(T645),T645&lt;S645),"Aprobación anterior al envío","")))))))))</f>
        <v/>
      </c>
      <c r="Y645" s="80">
        <f>IF(COUNTA(B645,D645,E645,F645,G645,H645,I645,J645,R645,S645,T645)&gt;0,1,0)</f>
        <v>0</v>
      </c>
      <c r="Z645" s="80" t="str">
        <f>IF(AND(ISNUMBER(H645),H645&gt;=0,H645&lt;1),ROUND(H645*1440,0),"")</f>
        <v/>
      </c>
      <c r="AA645" s="80" t="str">
        <f>IF(AND(ISNUMBER(I645),I645&gt;=0,I645&lt;1),ROUND(I645*1440,0),"")</f>
        <v/>
      </c>
      <c r="AB645" s="80">
        <f>IF(AND(ISNUMBER(B645),D645&lt;&gt;"",ISNUMBER(Z645),ISNUMBER(AA645)),IF(Z645=AA645,0,1),0)</f>
        <v>0</v>
      </c>
      <c r="AC645" s="80">
        <f>IF(AB645=1,IF(AA645&lt;Z645,1,0),0)</f>
        <v>0</v>
      </c>
      <c r="AD645" s="80">
        <f>IF(AB645=1,IF(AC645=1,1440-Z645+AA645,AA645-Z645),0)</f>
        <v>0</v>
      </c>
      <c r="AE645" s="80">
        <f>IF(J645="",0,IF(ISNUMBER(J645),J645,-1))</f>
        <v>0</v>
      </c>
      <c r="AF645" s="80">
        <f>MIN(MAX(0,AE645),AD645)</f>
        <v>0</v>
      </c>
      <c r="AG645" s="80">
        <f>MAX(0,AD645-MAX(0,AE645))</f>
        <v>0</v>
      </c>
      <c r="AH645" s="80">
        <f>IF(ISNUMBER(B645),IF(AND(INDEX(CFG_WDAYS,WEEKDAY(INT(B645),2))="Sí",IF(D645="proMX",COUNTIFS(FER_F,INT(B645),FER_NLP,"Sí"),COUNTIFS(FER_F,INT(B645),FER_NLM,"Sí"))=0),1,0),0)</f>
        <v>0</v>
      </c>
      <c r="AI645" s="80">
        <f>IF(AC645=1,IF(AND(INDEX(CFG_WDAYS,WEEKDAY(INT(B645)+1,2))="Sí",IF(D645="proMX",COUNTIFS(FER_F,INT(B645)+1,FER_NLP,"Sí"),COUNTIFS(FER_F,INT(B645)+1,FER_NLM,"Sí"))=0),1,0),0)</f>
        <v>0</v>
      </c>
      <c r="AJ645" s="80">
        <f>IF(AC645=1,1440-Z645,AD645)</f>
        <v>0</v>
      </c>
      <c r="AK645" s="80">
        <f>IF(AND(AB645=1,AH645=1),MAX(0,MIN(IF(AC645=1,1440,AA645),CFG_WEM)-MAX(Z645,CFG_WSM)),0)</f>
        <v>0</v>
      </c>
      <c r="AL645" s="80">
        <f>IF(AND(AC645=1,AI645=1),MAX(0,MIN(AA645,CFG_WEM)-CFG_WSM),0)</f>
        <v>0</v>
      </c>
      <c r="AM645" s="80">
        <f>AK645+AL645</f>
        <v>0</v>
      </c>
      <c r="AN645" s="80">
        <f>IF(CFG_BRK="Proporcional",IF(AD645=0,0,AF645*AM645/AD645),IF(CFG_BRK="Extras primero",MIN(AM645,MAX(0,AF645-(AD645-AM645))),MIN(AF645,AM645)))</f>
        <v>0</v>
      </c>
      <c r="AO645" s="80">
        <f>AF645-AN645</f>
        <v>0</v>
      </c>
      <c r="AP645" s="80">
        <f>AM645-AN645</f>
        <v>0</v>
      </c>
      <c r="AQ645" s="80">
        <f>AD645-AM645-AO645</f>
        <v>0</v>
      </c>
      <c r="AR645" s="80">
        <f>IF(AM645=0,0,AK645-AN645*AK645/AM645)</f>
        <v>0</v>
      </c>
      <c r="AS645" s="80">
        <f>IF(AD645-AM645=0,0,(AJ645-AK645)-AO645*(AJ645-AK645)/(AD645-AM645))</f>
        <v>0</v>
      </c>
      <c r="AT645" s="80" t="str">
        <f>IF(AC645=1,INT(B645)+1,"")</f>
        <v/>
      </c>
      <c r="AU645" s="80">
        <f>IF(AND(D645="proMX",R645="Cancelled"),0,1)</f>
        <v>1</v>
      </c>
      <c r="AV645" s="80">
        <f>IF(AND(AB645=1,AU645=1),IF(COUNTIFS($D$5:D644,D645,$B$5:B644,B645,$Z$5:Z644,Z645,$AA$5:AA644,AA645,$F$5:F644,F645&amp;"",$AU$5:AU644,1)&gt;0,1,0),0)</f>
        <v>0</v>
      </c>
      <c r="AW645" s="80" t="str">
        <f>IF(AB645=1,INT(B645)*1440+Z645,"")</f>
        <v/>
      </c>
      <c r="AX645" s="80" t="str">
        <f>IF(AB645=1,AW645+AD645,"")</f>
        <v/>
      </c>
      <c r="AY645" s="80">
        <f>IF(AND(AB645=1,AV645=0,AU645=1),1,0)</f>
        <v>0</v>
      </c>
      <c r="AZ645" s="80">
        <f>IF(AY645=1,COUNTIFS(R_Emp,D645,R_SAbs,"&lt;"&amp;AX645,R_EAbs,"&gt;"&amp;AW645,R_OKey,1)-1,0)</f>
        <v>0</v>
      </c>
      <c r="BA645" s="80">
        <f>IF(AY645=1,COUNTIFS(R_Emp,"&lt;&gt;"&amp;D645,R_SAbs,"&lt;"&amp;AX645,R_EAbs,"&gt;"&amp;AW645,R_OKey,1),0)</f>
        <v>0</v>
      </c>
      <c r="BB645" s="80">
        <f>IF(AND(AB645=1,D645="proMX"),IF(AND(MOD(Z645,CFG_BLK)=0,MOD(AA645,CFG_BLK)=0,MOD(AG645,CFG_BLK)=0,AG645&gt;0),1,0),1)</f>
        <v>1</v>
      </c>
      <c r="BC645" s="80" t="str">
        <f>IF(Y645=0,"",IF(NOT(ISNUMBER(B645)),"Falta fecha o fecha inválida",IF(D645="","Falta empresa",IF(AND(D645&lt;&gt;"Malcolm",D645&lt;&gt;"proMX"),"Empresa inválida",IF(OR(INT(B645)&lt;CFG_PSTART,INT(B645)&gt;CFG_PEND),"Fecha fuera del período",IF(OR(NOT(ISNUMBER(Z645)),NOT(ISNUMBER(AA645))),"Falta hora inicio/fin o formato inválido",IF(AB645=0,"Hora inicio = hora fin",IF(AE645&lt;0,"Descanso inválido",IF(AE645&gt;=AD645,"Descanso ≥ duración",IF(AV645=1,"Registro duplicado",IF(AZ645&gt;0,"Se superpone con otro registro "&amp;D645,IF(BB645=0,"inicio, fin y duración neta deben ser múltiplos de "&amp;CFG_BLK&amp;" min",""))))))))))))</f>
        <v/>
      </c>
      <c r="BD645" s="80">
        <f>IF(AND(Y645=1,BC645=""),1,0)</f>
        <v>0</v>
      </c>
      <c r="BE645" s="80">
        <f>IF(AND(BD645=1,AU645=1),1,0)</f>
        <v>0</v>
      </c>
      <c r="BF645" s="80" t="str">
        <f>IF(AND(D645="proMX",BD645=1),IF(R645="","Draft",R645),"")</f>
        <v/>
      </c>
      <c r="BG645" s="80">
        <f>IF(BD645=1,ROUND(AG645/60,6),0)</f>
        <v>0</v>
      </c>
      <c r="BH645" s="80">
        <f>IF(BE645=1,ROUND(AG645/60,6),0)</f>
        <v>0</v>
      </c>
      <c r="BI645" s="80">
        <f>IF(BE645=1,ROUND(AP645/60,6),0)</f>
        <v>0</v>
      </c>
      <c r="BJ645" s="80">
        <f>IF(BE645=1,ROUND(AQ645/60,6),0)</f>
        <v>0</v>
      </c>
      <c r="BK645" s="80">
        <f>IF(BE645=1,ROUND((AR645+AS645)/60,6),0)</f>
        <v>0</v>
      </c>
      <c r="BL645" s="80">
        <f>ROUND(BH645-BK645,6)</f>
        <v>0</v>
      </c>
      <c r="BM645" s="80">
        <f>IF(BE645=1,ROUND(AR645/60,6),0)</f>
        <v>0</v>
      </c>
      <c r="BN645" s="80">
        <f>ROUND(BI645-BM645,6)</f>
        <v>0</v>
      </c>
      <c r="BO645" s="80">
        <f>IF(BE645=1,ROUND(AS645/60,6),0)</f>
        <v>0</v>
      </c>
      <c r="BP645" s="80">
        <f>ROUND(BJ645-BO645,6)</f>
        <v>0</v>
      </c>
      <c r="BQ645" s="80">
        <f>IF(BE645=1,AW645,0)</f>
        <v>0</v>
      </c>
      <c r="BR645" s="80">
        <f>IF(BE645=1,AX645,0)</f>
        <v>0</v>
      </c>
      <c r="BS645" s="80">
        <f>IF(AND(BE645=1,D645="Malcolm",BA645&gt;0),MIN(BH645,SUMPRODUCT((R_Emp="proMX")*(R_EN&gt;0)*((R_EN-(R_EN&gt;BR645)*(R_EN-BR645))&gt;(R_SN+(R_SN&lt;BQ645)*(BQ645-R_SN)))*((R_EN-(R_EN&gt;BR645)*(R_EN-BR645))-(R_SN+(R_SN&lt;BQ645)*(BQ645-R_SN))))/60),0)</f>
        <v>0</v>
      </c>
      <c r="BT645" s="80">
        <f>IF(AND(BE645=1,D645="proMX"),ROUND(BI645*CFG_RATE+BJ645*CFG_OTRATE,6),0)</f>
        <v>0</v>
      </c>
      <c r="BU645" s="80">
        <f>IF(AND(BD645=1,D645="proMX"),ROUND(AG645/CFG_BLK,6),0)</f>
        <v>0</v>
      </c>
      <c r="BV645" s="80" t="str">
        <f>IF(BF645="Approved",IF(ISNUMBER(T645),INT(T645),INT(B645)),"")</f>
        <v/>
      </c>
      <c r="BW645" s="80">
        <f>IF(ISNUMBER(B645),IF(DB_MON="Todos",1,IF(AND(INT(B645)&gt;=DB_MS,INT(B645)&lt;=DB_ME),1,0)),0)</f>
        <v>0</v>
      </c>
      <c r="BX645" s="80">
        <f>IF(DB_PROJ="Todos",1,IF(E645&amp;""=DB_PROJ&amp;"",1,0))</f>
        <v>1</v>
      </c>
      <c r="BY645" s="80">
        <f>BW645*BX645</f>
        <v>0</v>
      </c>
      <c r="BZ645" s="80" t="str">
        <f>IF(Y645=1,F645&amp;IF(AND(F645&amp;""&lt;&gt;"",E645&amp;""&lt;&gt;"")," · ","")&amp;E645,"")</f>
        <v/>
      </c>
      <c r="CA645" s="80" t="str">
        <f>IF(AND(BD645=1,E645&amp;""&lt;&gt;""),IF(COUNTIFS($E$5:E644,E645,$BD$5:BD644,1)=0,MAX($CA$5:CA644)+1,""),"")</f>
        <v/>
      </c>
      <c r="CB645" s="80" t="str">
        <f>IF(AND(BE645=1,D645="Malcolm",E645&amp;""&lt;&gt;""),IF(COUNTIFS($D$5:D644,"Malcolm",$E$5:E644,E645,$BE$5:BE644,1)=0,MAX($CB$5:CB644)+1,""),"")</f>
        <v/>
      </c>
      <c r="CC645" s="80" t="str">
        <f>IF(AND(BD645=1,D645="proMX",E645&amp;""&lt;&gt;""),IF(COUNTIFS($D$5:D644,"proMX",$E$5:E644,E645,$BD$5:BD644,1)=0,MAX($CC$5:CC644)+1,""),"")</f>
        <v/>
      </c>
      <c r="CD645" s="80" t="str">
        <f>IF(AND(BE645=1,D645="Malcolm",F645&amp;""&lt;&gt;""),IF(COUNTIFS($D$5:D644,"Malcolm",$F$5:F644,F645,$BE$5:BE644,1)=0,MAX($CD$5:CD644)+1,""),"")</f>
        <v/>
      </c>
      <c r="CE645" s="80" t="str">
        <f>IF(AND(BD645=1,D645="proMX",F645&amp;""&lt;&gt;""),IF(COUNTIFS($D$5:D644,"proMX",$F$5:F644,F645,$BD$5:BD644,1)=0,MAX($CE$5:CE644)+1,""),"")</f>
        <v/>
      </c>
      <c r="CF645" s="80" t="str">
        <f>IF(AND(D645="proMX",BD645=1),IF(OR(BF645="Draft",BF645="Submitted",BF645="Returned",BF645="Recall Requested"),MAX($CF$5:CF644)+1,""),"")</f>
        <v/>
      </c>
      <c r="CG645" s="80">
        <f>IF(BD645=0,0,IF(D645="Malcolm",1,MATCH(BF645,{"Draft","Submitted","Approved","Returned","Recall Requested","Cancelled"},0)+1))</f>
        <v>0</v>
      </c>
      <c r="CH645" s="80">
        <f>IF(AND(BF645="Submitted",ISNUMBER(V645)),IF(V645&gt;CFG_MAXD,1,0),0)</f>
        <v>0</v>
      </c>
    </row>
    <row r="646">
      <c r="A646" s="71" t="str">
        <f>IF(Y646=1,ROW()-5,"")</f>
        <v/>
      </c>
      <c r="B646" s="72" t="n"/>
      <c r="C646" s="71" t="str">
        <f>IF(ISNUMBER(B646),CHOOSE(WEEKDAY(B646,2),"Lun","Mar","Mié","Jue","Vie","Sáb","Dom"),"")</f>
        <v/>
      </c>
      <c r="D646" s="73" t="n"/>
      <c r="E646" s="74" t="n"/>
      <c r="F646" s="74" t="n"/>
      <c r="G646" s="74" t="n"/>
      <c r="H646" s="75" t="n"/>
      <c r="I646" s="75" t="n"/>
      <c r="J646" s="76" t="n"/>
      <c r="K646" s="77" t="str">
        <f>IF(AB646=1,ROUND(AG646/60,4),"")</f>
        <v/>
      </c>
      <c r="L646" s="77" t="str">
        <f>IF(BD646=1,ROUND(AP646/60,4),"")</f>
        <v/>
      </c>
      <c r="M646" s="77" t="str">
        <f>IF(BD646=1,ROUND(AQ646/60,4),"")</f>
        <v/>
      </c>
      <c r="N646" s="71" t="str">
        <f>IF(AND(D646="proMX",AB646=1),ROUND(AG646/CFG_BLK,2),"")</f>
        <v/>
      </c>
      <c r="O646" s="77" t="str">
        <f>IF(D646="proMX",IF(BD646=1,ROUND(AG646/60,4),0),"")</f>
        <v/>
      </c>
      <c r="P646" s="78" t="str">
        <f>IF(Y646=0,"",IF(BD646=1,"OK",IF(D646="proMX","Revisar bloques: ","Revisar: ")&amp;BC646))</f>
        <v/>
      </c>
      <c r="Q646" s="78" t="str">
        <f>IF(NOT(ISNUMBER(B646)),"",IF(COUNTIFS(FER_F,INT(B646))&gt;0,"Feriado"&amp;IF(AH646=1," (laborable)"," (no laborable)"),IF(AH646=1,"Laborable",IF(WEEKDAY(B646,2)&gt;5,"Fin de semana","No laborable"))))</f>
        <v/>
      </c>
      <c r="R646" s="73" t="n"/>
      <c r="S646" s="72" t="n"/>
      <c r="T646" s="72" t="n"/>
      <c r="U646" s="74" t="n"/>
      <c r="V646" s="79" t="str">
        <f>IF(AND(D646="proMX",OR(R646="Submitted",R646="Recall Requested"),ISNUMBER(S646)),CFG_TODAY-INT(S646),"")</f>
        <v/>
      </c>
      <c r="W646" s="78" t="str">
        <f>IF(BD646=0,"",IF(BA646&gt;0,"⚠ Se superpone con un registro de la otra empresa",IF(D646="Malcolm",IF(COUNTA(R646,S646,T646)&gt;0,"Estado/fechas proMX se ignoran en Malcolm",""),IF(BF646="Cancelled","Cancelado: excluido de totales",IF(R646="","Sin estado: se trata como Draft",IF(BF646="Submitted",IF(ISNUMBER(V646),IF(V646&gt;CFG_MAXD,"⚠ "&amp;V646&amp;" días en Submitted (máx. "&amp;CFG_MAXD&amp;")",""),"Falta fecha de envío"),IF(BF646="Returned","⚠ Devuelto: corregir y reenviar",IF(BF646="Recall Requested","Retirada solicitada: pendiente",IF(AND(BF646="Approved",NOT(ISNUMBER(T646))),"Falta fecha de aprobación",IF(AND(ISNUMBER(S646),ISNUMBER(T646),T646&lt;S646),"Aprobación anterior al envío","")))))))))</f>
        <v/>
      </c>
      <c r="Y646" s="80">
        <f>IF(COUNTA(B646,D646,E646,F646,G646,H646,I646,J646,R646,S646,T646)&gt;0,1,0)</f>
        <v>0</v>
      </c>
      <c r="Z646" s="80" t="str">
        <f>IF(AND(ISNUMBER(H646),H646&gt;=0,H646&lt;1),ROUND(H646*1440,0),"")</f>
        <v/>
      </c>
      <c r="AA646" s="80" t="str">
        <f>IF(AND(ISNUMBER(I646),I646&gt;=0,I646&lt;1),ROUND(I646*1440,0),"")</f>
        <v/>
      </c>
      <c r="AB646" s="80">
        <f>IF(AND(ISNUMBER(B646),D646&lt;&gt;"",ISNUMBER(Z646),ISNUMBER(AA646)),IF(Z646=AA646,0,1),0)</f>
        <v>0</v>
      </c>
      <c r="AC646" s="80">
        <f>IF(AB646=1,IF(AA646&lt;Z646,1,0),0)</f>
        <v>0</v>
      </c>
      <c r="AD646" s="80">
        <f>IF(AB646=1,IF(AC646=1,1440-Z646+AA646,AA646-Z646),0)</f>
        <v>0</v>
      </c>
      <c r="AE646" s="80">
        <f>IF(J646="",0,IF(ISNUMBER(J646),J646,-1))</f>
        <v>0</v>
      </c>
      <c r="AF646" s="80">
        <f>MIN(MAX(0,AE646),AD646)</f>
        <v>0</v>
      </c>
      <c r="AG646" s="80">
        <f>MAX(0,AD646-MAX(0,AE646))</f>
        <v>0</v>
      </c>
      <c r="AH646" s="80">
        <f>IF(ISNUMBER(B646),IF(AND(INDEX(CFG_WDAYS,WEEKDAY(INT(B646),2))="Sí",IF(D646="proMX",COUNTIFS(FER_F,INT(B646),FER_NLP,"Sí"),COUNTIFS(FER_F,INT(B646),FER_NLM,"Sí"))=0),1,0),0)</f>
        <v>0</v>
      </c>
      <c r="AI646" s="80">
        <f>IF(AC646=1,IF(AND(INDEX(CFG_WDAYS,WEEKDAY(INT(B646)+1,2))="Sí",IF(D646="proMX",COUNTIFS(FER_F,INT(B646)+1,FER_NLP,"Sí"),COUNTIFS(FER_F,INT(B646)+1,FER_NLM,"Sí"))=0),1,0),0)</f>
        <v>0</v>
      </c>
      <c r="AJ646" s="80">
        <f>IF(AC646=1,1440-Z646,AD646)</f>
        <v>0</v>
      </c>
      <c r="AK646" s="80">
        <f>IF(AND(AB646=1,AH646=1),MAX(0,MIN(IF(AC646=1,1440,AA646),CFG_WEM)-MAX(Z646,CFG_WSM)),0)</f>
        <v>0</v>
      </c>
      <c r="AL646" s="80">
        <f>IF(AND(AC646=1,AI646=1),MAX(0,MIN(AA646,CFG_WEM)-CFG_WSM),0)</f>
        <v>0</v>
      </c>
      <c r="AM646" s="80">
        <f>AK646+AL646</f>
        <v>0</v>
      </c>
      <c r="AN646" s="80">
        <f>IF(CFG_BRK="Proporcional",IF(AD646=0,0,AF646*AM646/AD646),IF(CFG_BRK="Extras primero",MIN(AM646,MAX(0,AF646-(AD646-AM646))),MIN(AF646,AM646)))</f>
        <v>0</v>
      </c>
      <c r="AO646" s="80">
        <f>AF646-AN646</f>
        <v>0</v>
      </c>
      <c r="AP646" s="80">
        <f>AM646-AN646</f>
        <v>0</v>
      </c>
      <c r="AQ646" s="80">
        <f>AD646-AM646-AO646</f>
        <v>0</v>
      </c>
      <c r="AR646" s="80">
        <f>IF(AM646=0,0,AK646-AN646*AK646/AM646)</f>
        <v>0</v>
      </c>
      <c r="AS646" s="80">
        <f>IF(AD646-AM646=0,0,(AJ646-AK646)-AO646*(AJ646-AK646)/(AD646-AM646))</f>
        <v>0</v>
      </c>
      <c r="AT646" s="80" t="str">
        <f>IF(AC646=1,INT(B646)+1,"")</f>
        <v/>
      </c>
      <c r="AU646" s="80">
        <f>IF(AND(D646="proMX",R646="Cancelled"),0,1)</f>
        <v>1</v>
      </c>
      <c r="AV646" s="80">
        <f>IF(AND(AB646=1,AU646=1),IF(COUNTIFS($D$5:D645,D646,$B$5:B645,B646,$Z$5:Z645,Z646,$AA$5:AA645,AA646,$F$5:F645,F646&amp;"",$AU$5:AU645,1)&gt;0,1,0),0)</f>
        <v>0</v>
      </c>
      <c r="AW646" s="80" t="str">
        <f>IF(AB646=1,INT(B646)*1440+Z646,"")</f>
        <v/>
      </c>
      <c r="AX646" s="80" t="str">
        <f>IF(AB646=1,AW646+AD646,"")</f>
        <v/>
      </c>
      <c r="AY646" s="80">
        <f>IF(AND(AB646=1,AV646=0,AU646=1),1,0)</f>
        <v>0</v>
      </c>
      <c r="AZ646" s="80">
        <f>IF(AY646=1,COUNTIFS(R_Emp,D646,R_SAbs,"&lt;"&amp;AX646,R_EAbs,"&gt;"&amp;AW646,R_OKey,1)-1,0)</f>
        <v>0</v>
      </c>
      <c r="BA646" s="80">
        <f>IF(AY646=1,COUNTIFS(R_Emp,"&lt;&gt;"&amp;D646,R_SAbs,"&lt;"&amp;AX646,R_EAbs,"&gt;"&amp;AW646,R_OKey,1),0)</f>
        <v>0</v>
      </c>
      <c r="BB646" s="80">
        <f>IF(AND(AB646=1,D646="proMX"),IF(AND(MOD(Z646,CFG_BLK)=0,MOD(AA646,CFG_BLK)=0,MOD(AG646,CFG_BLK)=0,AG646&gt;0),1,0),1)</f>
        <v>1</v>
      </c>
      <c r="BC646" s="80" t="str">
        <f>IF(Y646=0,"",IF(NOT(ISNUMBER(B646)),"Falta fecha o fecha inválida",IF(D646="","Falta empresa",IF(AND(D646&lt;&gt;"Malcolm",D646&lt;&gt;"proMX"),"Empresa inválida",IF(OR(INT(B646)&lt;CFG_PSTART,INT(B646)&gt;CFG_PEND),"Fecha fuera del período",IF(OR(NOT(ISNUMBER(Z646)),NOT(ISNUMBER(AA646))),"Falta hora inicio/fin o formato inválido",IF(AB646=0,"Hora inicio = hora fin",IF(AE646&lt;0,"Descanso inválido",IF(AE646&gt;=AD646,"Descanso ≥ duración",IF(AV646=1,"Registro duplicado",IF(AZ646&gt;0,"Se superpone con otro registro "&amp;D646,IF(BB646=0,"inicio, fin y duración neta deben ser múltiplos de "&amp;CFG_BLK&amp;" min",""))))))))))))</f>
        <v/>
      </c>
      <c r="BD646" s="80">
        <f>IF(AND(Y646=1,BC646=""),1,0)</f>
        <v>0</v>
      </c>
      <c r="BE646" s="80">
        <f>IF(AND(BD646=1,AU646=1),1,0)</f>
        <v>0</v>
      </c>
      <c r="BF646" s="80" t="str">
        <f>IF(AND(D646="proMX",BD646=1),IF(R646="","Draft",R646),"")</f>
        <v/>
      </c>
      <c r="BG646" s="80">
        <f>IF(BD646=1,ROUND(AG646/60,6),0)</f>
        <v>0</v>
      </c>
      <c r="BH646" s="80">
        <f>IF(BE646=1,ROUND(AG646/60,6),0)</f>
        <v>0</v>
      </c>
      <c r="BI646" s="80">
        <f>IF(BE646=1,ROUND(AP646/60,6),0)</f>
        <v>0</v>
      </c>
      <c r="BJ646" s="80">
        <f>IF(BE646=1,ROUND(AQ646/60,6),0)</f>
        <v>0</v>
      </c>
      <c r="BK646" s="80">
        <f>IF(BE646=1,ROUND((AR646+AS646)/60,6),0)</f>
        <v>0</v>
      </c>
      <c r="BL646" s="80">
        <f>ROUND(BH646-BK646,6)</f>
        <v>0</v>
      </c>
      <c r="BM646" s="80">
        <f>IF(BE646=1,ROUND(AR646/60,6),0)</f>
        <v>0</v>
      </c>
      <c r="BN646" s="80">
        <f>ROUND(BI646-BM646,6)</f>
        <v>0</v>
      </c>
      <c r="BO646" s="80">
        <f>IF(BE646=1,ROUND(AS646/60,6),0)</f>
        <v>0</v>
      </c>
      <c r="BP646" s="80">
        <f>ROUND(BJ646-BO646,6)</f>
        <v>0</v>
      </c>
      <c r="BQ646" s="80">
        <f>IF(BE646=1,AW646,0)</f>
        <v>0</v>
      </c>
      <c r="BR646" s="80">
        <f>IF(BE646=1,AX646,0)</f>
        <v>0</v>
      </c>
      <c r="BS646" s="80">
        <f>IF(AND(BE646=1,D646="Malcolm",BA646&gt;0),MIN(BH646,SUMPRODUCT((R_Emp="proMX")*(R_EN&gt;0)*((R_EN-(R_EN&gt;BR646)*(R_EN-BR646))&gt;(R_SN+(R_SN&lt;BQ646)*(BQ646-R_SN)))*((R_EN-(R_EN&gt;BR646)*(R_EN-BR646))-(R_SN+(R_SN&lt;BQ646)*(BQ646-R_SN))))/60),0)</f>
        <v>0</v>
      </c>
      <c r="BT646" s="80">
        <f>IF(AND(BE646=1,D646="proMX"),ROUND(BI646*CFG_RATE+BJ646*CFG_OTRATE,6),0)</f>
        <v>0</v>
      </c>
      <c r="BU646" s="80">
        <f>IF(AND(BD646=1,D646="proMX"),ROUND(AG646/CFG_BLK,6),0)</f>
        <v>0</v>
      </c>
      <c r="BV646" s="80" t="str">
        <f>IF(BF646="Approved",IF(ISNUMBER(T646),INT(T646),INT(B646)),"")</f>
        <v/>
      </c>
      <c r="BW646" s="80">
        <f>IF(ISNUMBER(B646),IF(DB_MON="Todos",1,IF(AND(INT(B646)&gt;=DB_MS,INT(B646)&lt;=DB_ME),1,0)),0)</f>
        <v>0</v>
      </c>
      <c r="BX646" s="80">
        <f>IF(DB_PROJ="Todos",1,IF(E646&amp;""=DB_PROJ&amp;"",1,0))</f>
        <v>1</v>
      </c>
      <c r="BY646" s="80">
        <f>BW646*BX646</f>
        <v>0</v>
      </c>
      <c r="BZ646" s="80" t="str">
        <f>IF(Y646=1,F646&amp;IF(AND(F646&amp;""&lt;&gt;"",E646&amp;""&lt;&gt;"")," · ","")&amp;E646,"")</f>
        <v/>
      </c>
      <c r="CA646" s="80" t="str">
        <f>IF(AND(BD646=1,E646&amp;""&lt;&gt;""),IF(COUNTIFS($E$5:E645,E646,$BD$5:BD645,1)=0,MAX($CA$5:CA645)+1,""),"")</f>
        <v/>
      </c>
      <c r="CB646" s="80" t="str">
        <f>IF(AND(BE646=1,D646="Malcolm",E646&amp;""&lt;&gt;""),IF(COUNTIFS($D$5:D645,"Malcolm",$E$5:E645,E646,$BE$5:BE645,1)=0,MAX($CB$5:CB645)+1,""),"")</f>
        <v/>
      </c>
      <c r="CC646" s="80" t="str">
        <f>IF(AND(BD646=1,D646="proMX",E646&amp;""&lt;&gt;""),IF(COUNTIFS($D$5:D645,"proMX",$E$5:E645,E646,$BD$5:BD645,1)=0,MAX($CC$5:CC645)+1,""),"")</f>
        <v/>
      </c>
      <c r="CD646" s="80" t="str">
        <f>IF(AND(BE646=1,D646="Malcolm",F646&amp;""&lt;&gt;""),IF(COUNTIFS($D$5:D645,"Malcolm",$F$5:F645,F646,$BE$5:BE645,1)=0,MAX($CD$5:CD645)+1,""),"")</f>
        <v/>
      </c>
      <c r="CE646" s="80" t="str">
        <f>IF(AND(BD646=1,D646="proMX",F646&amp;""&lt;&gt;""),IF(COUNTIFS($D$5:D645,"proMX",$F$5:F645,F646,$BD$5:BD645,1)=0,MAX($CE$5:CE645)+1,""),"")</f>
        <v/>
      </c>
      <c r="CF646" s="80" t="str">
        <f>IF(AND(D646="proMX",BD646=1),IF(OR(BF646="Draft",BF646="Submitted",BF646="Returned",BF646="Recall Requested"),MAX($CF$5:CF645)+1,""),"")</f>
        <v/>
      </c>
      <c r="CG646" s="80">
        <f>IF(BD646=0,0,IF(D646="Malcolm",1,MATCH(BF646,{"Draft","Submitted","Approved","Returned","Recall Requested","Cancelled"},0)+1))</f>
        <v>0</v>
      </c>
      <c r="CH646" s="80">
        <f>IF(AND(BF646="Submitted",ISNUMBER(V646)),IF(V646&gt;CFG_MAXD,1,0),0)</f>
        <v>0</v>
      </c>
    </row>
    <row r="647">
      <c r="A647" s="71" t="str">
        <f>IF(Y647=1,ROW()-5,"")</f>
        <v/>
      </c>
      <c r="B647" s="72" t="n"/>
      <c r="C647" s="71" t="str">
        <f>IF(ISNUMBER(B647),CHOOSE(WEEKDAY(B647,2),"Lun","Mar","Mié","Jue","Vie","Sáb","Dom"),"")</f>
        <v/>
      </c>
      <c r="D647" s="73" t="n"/>
      <c r="E647" s="74" t="n"/>
      <c r="F647" s="74" t="n"/>
      <c r="G647" s="74" t="n"/>
      <c r="H647" s="75" t="n"/>
      <c r="I647" s="75" t="n"/>
      <c r="J647" s="76" t="n"/>
      <c r="K647" s="77" t="str">
        <f>IF(AB647=1,ROUND(AG647/60,4),"")</f>
        <v/>
      </c>
      <c r="L647" s="77" t="str">
        <f>IF(BD647=1,ROUND(AP647/60,4),"")</f>
        <v/>
      </c>
      <c r="M647" s="77" t="str">
        <f>IF(BD647=1,ROUND(AQ647/60,4),"")</f>
        <v/>
      </c>
      <c r="N647" s="71" t="str">
        <f>IF(AND(D647="proMX",AB647=1),ROUND(AG647/CFG_BLK,2),"")</f>
        <v/>
      </c>
      <c r="O647" s="77" t="str">
        <f>IF(D647="proMX",IF(BD647=1,ROUND(AG647/60,4),0),"")</f>
        <v/>
      </c>
      <c r="P647" s="78" t="str">
        <f>IF(Y647=0,"",IF(BD647=1,"OK",IF(D647="proMX","Revisar bloques: ","Revisar: ")&amp;BC647))</f>
        <v/>
      </c>
      <c r="Q647" s="78" t="str">
        <f>IF(NOT(ISNUMBER(B647)),"",IF(COUNTIFS(FER_F,INT(B647))&gt;0,"Feriado"&amp;IF(AH647=1," (laborable)"," (no laborable)"),IF(AH647=1,"Laborable",IF(WEEKDAY(B647,2)&gt;5,"Fin de semana","No laborable"))))</f>
        <v/>
      </c>
      <c r="R647" s="73" t="n"/>
      <c r="S647" s="72" t="n"/>
      <c r="T647" s="72" t="n"/>
      <c r="U647" s="74" t="n"/>
      <c r="V647" s="79" t="str">
        <f>IF(AND(D647="proMX",OR(R647="Submitted",R647="Recall Requested"),ISNUMBER(S647)),CFG_TODAY-INT(S647),"")</f>
        <v/>
      </c>
      <c r="W647" s="78" t="str">
        <f>IF(BD647=0,"",IF(BA647&gt;0,"⚠ Se superpone con un registro de la otra empresa",IF(D647="Malcolm",IF(COUNTA(R647,S647,T647)&gt;0,"Estado/fechas proMX se ignoran en Malcolm",""),IF(BF647="Cancelled","Cancelado: excluido de totales",IF(R647="","Sin estado: se trata como Draft",IF(BF647="Submitted",IF(ISNUMBER(V647),IF(V647&gt;CFG_MAXD,"⚠ "&amp;V647&amp;" días en Submitted (máx. "&amp;CFG_MAXD&amp;")",""),"Falta fecha de envío"),IF(BF647="Returned","⚠ Devuelto: corregir y reenviar",IF(BF647="Recall Requested","Retirada solicitada: pendiente",IF(AND(BF647="Approved",NOT(ISNUMBER(T647))),"Falta fecha de aprobación",IF(AND(ISNUMBER(S647),ISNUMBER(T647),T647&lt;S647),"Aprobación anterior al envío","")))))))))</f>
        <v/>
      </c>
      <c r="Y647" s="80">
        <f>IF(COUNTA(B647,D647,E647,F647,G647,H647,I647,J647,R647,S647,T647)&gt;0,1,0)</f>
        <v>0</v>
      </c>
      <c r="Z647" s="80" t="str">
        <f>IF(AND(ISNUMBER(H647),H647&gt;=0,H647&lt;1),ROUND(H647*1440,0),"")</f>
        <v/>
      </c>
      <c r="AA647" s="80" t="str">
        <f>IF(AND(ISNUMBER(I647),I647&gt;=0,I647&lt;1),ROUND(I647*1440,0),"")</f>
        <v/>
      </c>
      <c r="AB647" s="80">
        <f>IF(AND(ISNUMBER(B647),D647&lt;&gt;"",ISNUMBER(Z647),ISNUMBER(AA647)),IF(Z647=AA647,0,1),0)</f>
        <v>0</v>
      </c>
      <c r="AC647" s="80">
        <f>IF(AB647=1,IF(AA647&lt;Z647,1,0),0)</f>
        <v>0</v>
      </c>
      <c r="AD647" s="80">
        <f>IF(AB647=1,IF(AC647=1,1440-Z647+AA647,AA647-Z647),0)</f>
        <v>0</v>
      </c>
      <c r="AE647" s="80">
        <f>IF(J647="",0,IF(ISNUMBER(J647),J647,-1))</f>
        <v>0</v>
      </c>
      <c r="AF647" s="80">
        <f>MIN(MAX(0,AE647),AD647)</f>
        <v>0</v>
      </c>
      <c r="AG647" s="80">
        <f>MAX(0,AD647-MAX(0,AE647))</f>
        <v>0</v>
      </c>
      <c r="AH647" s="80">
        <f>IF(ISNUMBER(B647),IF(AND(INDEX(CFG_WDAYS,WEEKDAY(INT(B647),2))="Sí",IF(D647="proMX",COUNTIFS(FER_F,INT(B647),FER_NLP,"Sí"),COUNTIFS(FER_F,INT(B647),FER_NLM,"Sí"))=0),1,0),0)</f>
        <v>0</v>
      </c>
      <c r="AI647" s="80">
        <f>IF(AC647=1,IF(AND(INDEX(CFG_WDAYS,WEEKDAY(INT(B647)+1,2))="Sí",IF(D647="proMX",COUNTIFS(FER_F,INT(B647)+1,FER_NLP,"Sí"),COUNTIFS(FER_F,INT(B647)+1,FER_NLM,"Sí"))=0),1,0),0)</f>
        <v>0</v>
      </c>
      <c r="AJ647" s="80">
        <f>IF(AC647=1,1440-Z647,AD647)</f>
        <v>0</v>
      </c>
      <c r="AK647" s="80">
        <f>IF(AND(AB647=1,AH647=1),MAX(0,MIN(IF(AC647=1,1440,AA647),CFG_WEM)-MAX(Z647,CFG_WSM)),0)</f>
        <v>0</v>
      </c>
      <c r="AL647" s="80">
        <f>IF(AND(AC647=1,AI647=1),MAX(0,MIN(AA647,CFG_WEM)-CFG_WSM),0)</f>
        <v>0</v>
      </c>
      <c r="AM647" s="80">
        <f>AK647+AL647</f>
        <v>0</v>
      </c>
      <c r="AN647" s="80">
        <f>IF(CFG_BRK="Proporcional",IF(AD647=0,0,AF647*AM647/AD647),IF(CFG_BRK="Extras primero",MIN(AM647,MAX(0,AF647-(AD647-AM647))),MIN(AF647,AM647)))</f>
        <v>0</v>
      </c>
      <c r="AO647" s="80">
        <f>AF647-AN647</f>
        <v>0</v>
      </c>
      <c r="AP647" s="80">
        <f>AM647-AN647</f>
        <v>0</v>
      </c>
      <c r="AQ647" s="80">
        <f>AD647-AM647-AO647</f>
        <v>0</v>
      </c>
      <c r="AR647" s="80">
        <f>IF(AM647=0,0,AK647-AN647*AK647/AM647)</f>
        <v>0</v>
      </c>
      <c r="AS647" s="80">
        <f>IF(AD647-AM647=0,0,(AJ647-AK647)-AO647*(AJ647-AK647)/(AD647-AM647))</f>
        <v>0</v>
      </c>
      <c r="AT647" s="80" t="str">
        <f>IF(AC647=1,INT(B647)+1,"")</f>
        <v/>
      </c>
      <c r="AU647" s="80">
        <f>IF(AND(D647="proMX",R647="Cancelled"),0,1)</f>
        <v>1</v>
      </c>
      <c r="AV647" s="80">
        <f>IF(AND(AB647=1,AU647=1),IF(COUNTIFS($D$5:D646,D647,$B$5:B646,B647,$Z$5:Z646,Z647,$AA$5:AA646,AA647,$F$5:F646,F647&amp;"",$AU$5:AU646,1)&gt;0,1,0),0)</f>
        <v>0</v>
      </c>
      <c r="AW647" s="80" t="str">
        <f>IF(AB647=1,INT(B647)*1440+Z647,"")</f>
        <v/>
      </c>
      <c r="AX647" s="80" t="str">
        <f>IF(AB647=1,AW647+AD647,"")</f>
        <v/>
      </c>
      <c r="AY647" s="80">
        <f>IF(AND(AB647=1,AV647=0,AU647=1),1,0)</f>
        <v>0</v>
      </c>
      <c r="AZ647" s="80">
        <f>IF(AY647=1,COUNTIFS(R_Emp,D647,R_SAbs,"&lt;"&amp;AX647,R_EAbs,"&gt;"&amp;AW647,R_OKey,1)-1,0)</f>
        <v>0</v>
      </c>
      <c r="BA647" s="80">
        <f>IF(AY647=1,COUNTIFS(R_Emp,"&lt;&gt;"&amp;D647,R_SAbs,"&lt;"&amp;AX647,R_EAbs,"&gt;"&amp;AW647,R_OKey,1),0)</f>
        <v>0</v>
      </c>
      <c r="BB647" s="80">
        <f>IF(AND(AB647=1,D647="proMX"),IF(AND(MOD(Z647,CFG_BLK)=0,MOD(AA647,CFG_BLK)=0,MOD(AG647,CFG_BLK)=0,AG647&gt;0),1,0),1)</f>
        <v>1</v>
      </c>
      <c r="BC647" s="80" t="str">
        <f>IF(Y647=0,"",IF(NOT(ISNUMBER(B647)),"Falta fecha o fecha inválida",IF(D647="","Falta empresa",IF(AND(D647&lt;&gt;"Malcolm",D647&lt;&gt;"proMX"),"Empresa inválida",IF(OR(INT(B647)&lt;CFG_PSTART,INT(B647)&gt;CFG_PEND),"Fecha fuera del período",IF(OR(NOT(ISNUMBER(Z647)),NOT(ISNUMBER(AA647))),"Falta hora inicio/fin o formato inválido",IF(AB647=0,"Hora inicio = hora fin",IF(AE647&lt;0,"Descanso inválido",IF(AE647&gt;=AD647,"Descanso ≥ duración",IF(AV647=1,"Registro duplicado",IF(AZ647&gt;0,"Se superpone con otro registro "&amp;D647,IF(BB647=0,"inicio, fin y duración neta deben ser múltiplos de "&amp;CFG_BLK&amp;" min",""))))))))))))</f>
        <v/>
      </c>
      <c r="BD647" s="80">
        <f>IF(AND(Y647=1,BC647=""),1,0)</f>
        <v>0</v>
      </c>
      <c r="BE647" s="80">
        <f>IF(AND(BD647=1,AU647=1),1,0)</f>
        <v>0</v>
      </c>
      <c r="BF647" s="80" t="str">
        <f>IF(AND(D647="proMX",BD647=1),IF(R647="","Draft",R647),"")</f>
        <v/>
      </c>
      <c r="BG647" s="80">
        <f>IF(BD647=1,ROUND(AG647/60,6),0)</f>
        <v>0</v>
      </c>
      <c r="BH647" s="80">
        <f>IF(BE647=1,ROUND(AG647/60,6),0)</f>
        <v>0</v>
      </c>
      <c r="BI647" s="80">
        <f>IF(BE647=1,ROUND(AP647/60,6),0)</f>
        <v>0</v>
      </c>
      <c r="BJ647" s="80">
        <f>IF(BE647=1,ROUND(AQ647/60,6),0)</f>
        <v>0</v>
      </c>
      <c r="BK647" s="80">
        <f>IF(BE647=1,ROUND((AR647+AS647)/60,6),0)</f>
        <v>0</v>
      </c>
      <c r="BL647" s="80">
        <f>ROUND(BH647-BK647,6)</f>
        <v>0</v>
      </c>
      <c r="BM647" s="80">
        <f>IF(BE647=1,ROUND(AR647/60,6),0)</f>
        <v>0</v>
      </c>
      <c r="BN647" s="80">
        <f>ROUND(BI647-BM647,6)</f>
        <v>0</v>
      </c>
      <c r="BO647" s="80">
        <f>IF(BE647=1,ROUND(AS647/60,6),0)</f>
        <v>0</v>
      </c>
      <c r="BP647" s="80">
        <f>ROUND(BJ647-BO647,6)</f>
        <v>0</v>
      </c>
      <c r="BQ647" s="80">
        <f>IF(BE647=1,AW647,0)</f>
        <v>0</v>
      </c>
      <c r="BR647" s="80">
        <f>IF(BE647=1,AX647,0)</f>
        <v>0</v>
      </c>
      <c r="BS647" s="80">
        <f>IF(AND(BE647=1,D647="Malcolm",BA647&gt;0),MIN(BH647,SUMPRODUCT((R_Emp="proMX")*(R_EN&gt;0)*((R_EN-(R_EN&gt;BR647)*(R_EN-BR647))&gt;(R_SN+(R_SN&lt;BQ647)*(BQ647-R_SN)))*((R_EN-(R_EN&gt;BR647)*(R_EN-BR647))-(R_SN+(R_SN&lt;BQ647)*(BQ647-R_SN))))/60),0)</f>
        <v>0</v>
      </c>
      <c r="BT647" s="80">
        <f>IF(AND(BE647=1,D647="proMX"),ROUND(BI647*CFG_RATE+BJ647*CFG_OTRATE,6),0)</f>
        <v>0</v>
      </c>
      <c r="BU647" s="80">
        <f>IF(AND(BD647=1,D647="proMX"),ROUND(AG647/CFG_BLK,6),0)</f>
        <v>0</v>
      </c>
      <c r="BV647" s="80" t="str">
        <f>IF(BF647="Approved",IF(ISNUMBER(T647),INT(T647),INT(B647)),"")</f>
        <v/>
      </c>
      <c r="BW647" s="80">
        <f>IF(ISNUMBER(B647),IF(DB_MON="Todos",1,IF(AND(INT(B647)&gt;=DB_MS,INT(B647)&lt;=DB_ME),1,0)),0)</f>
        <v>0</v>
      </c>
      <c r="BX647" s="80">
        <f>IF(DB_PROJ="Todos",1,IF(E647&amp;""=DB_PROJ&amp;"",1,0))</f>
        <v>1</v>
      </c>
      <c r="BY647" s="80">
        <f>BW647*BX647</f>
        <v>0</v>
      </c>
      <c r="BZ647" s="80" t="str">
        <f>IF(Y647=1,F647&amp;IF(AND(F647&amp;""&lt;&gt;"",E647&amp;""&lt;&gt;"")," · ","")&amp;E647,"")</f>
        <v/>
      </c>
      <c r="CA647" s="80" t="str">
        <f>IF(AND(BD647=1,E647&amp;""&lt;&gt;""),IF(COUNTIFS($E$5:E646,E647,$BD$5:BD646,1)=0,MAX($CA$5:CA646)+1,""),"")</f>
        <v/>
      </c>
      <c r="CB647" s="80" t="str">
        <f>IF(AND(BE647=1,D647="Malcolm",E647&amp;""&lt;&gt;""),IF(COUNTIFS($D$5:D646,"Malcolm",$E$5:E646,E647,$BE$5:BE646,1)=0,MAX($CB$5:CB646)+1,""),"")</f>
        <v/>
      </c>
      <c r="CC647" s="80" t="str">
        <f>IF(AND(BD647=1,D647="proMX",E647&amp;""&lt;&gt;""),IF(COUNTIFS($D$5:D646,"proMX",$E$5:E646,E647,$BD$5:BD646,1)=0,MAX($CC$5:CC646)+1,""),"")</f>
        <v/>
      </c>
      <c r="CD647" s="80" t="str">
        <f>IF(AND(BE647=1,D647="Malcolm",F647&amp;""&lt;&gt;""),IF(COUNTIFS($D$5:D646,"Malcolm",$F$5:F646,F647,$BE$5:BE646,1)=0,MAX($CD$5:CD646)+1,""),"")</f>
        <v/>
      </c>
      <c r="CE647" s="80" t="str">
        <f>IF(AND(BD647=1,D647="proMX",F647&amp;""&lt;&gt;""),IF(COUNTIFS($D$5:D646,"proMX",$F$5:F646,F647,$BD$5:BD646,1)=0,MAX($CE$5:CE646)+1,""),"")</f>
        <v/>
      </c>
      <c r="CF647" s="80" t="str">
        <f>IF(AND(D647="proMX",BD647=1),IF(OR(BF647="Draft",BF647="Submitted",BF647="Returned",BF647="Recall Requested"),MAX($CF$5:CF646)+1,""),"")</f>
        <v/>
      </c>
      <c r="CG647" s="80">
        <f>IF(BD647=0,0,IF(D647="Malcolm",1,MATCH(BF647,{"Draft","Submitted","Approved","Returned","Recall Requested","Cancelled"},0)+1))</f>
        <v>0</v>
      </c>
      <c r="CH647" s="80">
        <f>IF(AND(BF647="Submitted",ISNUMBER(V647)),IF(V647&gt;CFG_MAXD,1,0),0)</f>
        <v>0</v>
      </c>
    </row>
    <row r="648">
      <c r="A648" s="71" t="str">
        <f>IF(Y648=1,ROW()-5,"")</f>
        <v/>
      </c>
      <c r="B648" s="72" t="n"/>
      <c r="C648" s="71" t="str">
        <f>IF(ISNUMBER(B648),CHOOSE(WEEKDAY(B648,2),"Lun","Mar","Mié","Jue","Vie","Sáb","Dom"),"")</f>
        <v/>
      </c>
      <c r="D648" s="73" t="n"/>
      <c r="E648" s="74" t="n"/>
      <c r="F648" s="74" t="n"/>
      <c r="G648" s="74" t="n"/>
      <c r="H648" s="75" t="n"/>
      <c r="I648" s="75" t="n"/>
      <c r="J648" s="76" t="n"/>
      <c r="K648" s="77" t="str">
        <f>IF(AB648=1,ROUND(AG648/60,4),"")</f>
        <v/>
      </c>
      <c r="L648" s="77" t="str">
        <f>IF(BD648=1,ROUND(AP648/60,4),"")</f>
        <v/>
      </c>
      <c r="M648" s="77" t="str">
        <f>IF(BD648=1,ROUND(AQ648/60,4),"")</f>
        <v/>
      </c>
      <c r="N648" s="71" t="str">
        <f>IF(AND(D648="proMX",AB648=1),ROUND(AG648/CFG_BLK,2),"")</f>
        <v/>
      </c>
      <c r="O648" s="77" t="str">
        <f>IF(D648="proMX",IF(BD648=1,ROUND(AG648/60,4),0),"")</f>
        <v/>
      </c>
      <c r="P648" s="78" t="str">
        <f>IF(Y648=0,"",IF(BD648=1,"OK",IF(D648="proMX","Revisar bloques: ","Revisar: ")&amp;BC648))</f>
        <v/>
      </c>
      <c r="Q648" s="78" t="str">
        <f>IF(NOT(ISNUMBER(B648)),"",IF(COUNTIFS(FER_F,INT(B648))&gt;0,"Feriado"&amp;IF(AH648=1," (laborable)"," (no laborable)"),IF(AH648=1,"Laborable",IF(WEEKDAY(B648,2)&gt;5,"Fin de semana","No laborable"))))</f>
        <v/>
      </c>
      <c r="R648" s="73" t="n"/>
      <c r="S648" s="72" t="n"/>
      <c r="T648" s="72" t="n"/>
      <c r="U648" s="74" t="n"/>
      <c r="V648" s="79" t="str">
        <f>IF(AND(D648="proMX",OR(R648="Submitted",R648="Recall Requested"),ISNUMBER(S648)),CFG_TODAY-INT(S648),"")</f>
        <v/>
      </c>
      <c r="W648" s="78" t="str">
        <f>IF(BD648=0,"",IF(BA648&gt;0,"⚠ Se superpone con un registro de la otra empresa",IF(D648="Malcolm",IF(COUNTA(R648,S648,T648)&gt;0,"Estado/fechas proMX se ignoran en Malcolm",""),IF(BF648="Cancelled","Cancelado: excluido de totales",IF(R648="","Sin estado: se trata como Draft",IF(BF648="Submitted",IF(ISNUMBER(V648),IF(V648&gt;CFG_MAXD,"⚠ "&amp;V648&amp;" días en Submitted (máx. "&amp;CFG_MAXD&amp;")",""),"Falta fecha de envío"),IF(BF648="Returned","⚠ Devuelto: corregir y reenviar",IF(BF648="Recall Requested","Retirada solicitada: pendiente",IF(AND(BF648="Approved",NOT(ISNUMBER(T648))),"Falta fecha de aprobación",IF(AND(ISNUMBER(S648),ISNUMBER(T648),T648&lt;S648),"Aprobación anterior al envío","")))))))))</f>
        <v/>
      </c>
      <c r="Y648" s="80">
        <f>IF(COUNTA(B648,D648,E648,F648,G648,H648,I648,J648,R648,S648,T648)&gt;0,1,0)</f>
        <v>0</v>
      </c>
      <c r="Z648" s="80" t="str">
        <f>IF(AND(ISNUMBER(H648),H648&gt;=0,H648&lt;1),ROUND(H648*1440,0),"")</f>
        <v/>
      </c>
      <c r="AA648" s="80" t="str">
        <f>IF(AND(ISNUMBER(I648),I648&gt;=0,I648&lt;1),ROUND(I648*1440,0),"")</f>
        <v/>
      </c>
      <c r="AB648" s="80">
        <f>IF(AND(ISNUMBER(B648),D648&lt;&gt;"",ISNUMBER(Z648),ISNUMBER(AA648)),IF(Z648=AA648,0,1),0)</f>
        <v>0</v>
      </c>
      <c r="AC648" s="80">
        <f>IF(AB648=1,IF(AA648&lt;Z648,1,0),0)</f>
        <v>0</v>
      </c>
      <c r="AD648" s="80">
        <f>IF(AB648=1,IF(AC648=1,1440-Z648+AA648,AA648-Z648),0)</f>
        <v>0</v>
      </c>
      <c r="AE648" s="80">
        <f>IF(J648="",0,IF(ISNUMBER(J648),J648,-1))</f>
        <v>0</v>
      </c>
      <c r="AF648" s="80">
        <f>MIN(MAX(0,AE648),AD648)</f>
        <v>0</v>
      </c>
      <c r="AG648" s="80">
        <f>MAX(0,AD648-MAX(0,AE648))</f>
        <v>0</v>
      </c>
      <c r="AH648" s="80">
        <f>IF(ISNUMBER(B648),IF(AND(INDEX(CFG_WDAYS,WEEKDAY(INT(B648),2))="Sí",IF(D648="proMX",COUNTIFS(FER_F,INT(B648),FER_NLP,"Sí"),COUNTIFS(FER_F,INT(B648),FER_NLM,"Sí"))=0),1,0),0)</f>
        <v>0</v>
      </c>
      <c r="AI648" s="80">
        <f>IF(AC648=1,IF(AND(INDEX(CFG_WDAYS,WEEKDAY(INT(B648)+1,2))="Sí",IF(D648="proMX",COUNTIFS(FER_F,INT(B648)+1,FER_NLP,"Sí"),COUNTIFS(FER_F,INT(B648)+1,FER_NLM,"Sí"))=0),1,0),0)</f>
        <v>0</v>
      </c>
      <c r="AJ648" s="80">
        <f>IF(AC648=1,1440-Z648,AD648)</f>
        <v>0</v>
      </c>
      <c r="AK648" s="80">
        <f>IF(AND(AB648=1,AH648=1),MAX(0,MIN(IF(AC648=1,1440,AA648),CFG_WEM)-MAX(Z648,CFG_WSM)),0)</f>
        <v>0</v>
      </c>
      <c r="AL648" s="80">
        <f>IF(AND(AC648=1,AI648=1),MAX(0,MIN(AA648,CFG_WEM)-CFG_WSM),0)</f>
        <v>0</v>
      </c>
      <c r="AM648" s="80">
        <f>AK648+AL648</f>
        <v>0</v>
      </c>
      <c r="AN648" s="80">
        <f>IF(CFG_BRK="Proporcional",IF(AD648=0,0,AF648*AM648/AD648),IF(CFG_BRK="Extras primero",MIN(AM648,MAX(0,AF648-(AD648-AM648))),MIN(AF648,AM648)))</f>
        <v>0</v>
      </c>
      <c r="AO648" s="80">
        <f>AF648-AN648</f>
        <v>0</v>
      </c>
      <c r="AP648" s="80">
        <f>AM648-AN648</f>
        <v>0</v>
      </c>
      <c r="AQ648" s="80">
        <f>AD648-AM648-AO648</f>
        <v>0</v>
      </c>
      <c r="AR648" s="80">
        <f>IF(AM648=0,0,AK648-AN648*AK648/AM648)</f>
        <v>0</v>
      </c>
      <c r="AS648" s="80">
        <f>IF(AD648-AM648=0,0,(AJ648-AK648)-AO648*(AJ648-AK648)/(AD648-AM648))</f>
        <v>0</v>
      </c>
      <c r="AT648" s="80" t="str">
        <f>IF(AC648=1,INT(B648)+1,"")</f>
        <v/>
      </c>
      <c r="AU648" s="80">
        <f>IF(AND(D648="proMX",R648="Cancelled"),0,1)</f>
        <v>1</v>
      </c>
      <c r="AV648" s="80">
        <f>IF(AND(AB648=1,AU648=1),IF(COUNTIFS($D$5:D647,D648,$B$5:B647,B648,$Z$5:Z647,Z648,$AA$5:AA647,AA648,$F$5:F647,F648&amp;"",$AU$5:AU647,1)&gt;0,1,0),0)</f>
        <v>0</v>
      </c>
      <c r="AW648" s="80" t="str">
        <f>IF(AB648=1,INT(B648)*1440+Z648,"")</f>
        <v/>
      </c>
      <c r="AX648" s="80" t="str">
        <f>IF(AB648=1,AW648+AD648,"")</f>
        <v/>
      </c>
      <c r="AY648" s="80">
        <f>IF(AND(AB648=1,AV648=0,AU648=1),1,0)</f>
        <v>0</v>
      </c>
      <c r="AZ648" s="80">
        <f>IF(AY648=1,COUNTIFS(R_Emp,D648,R_SAbs,"&lt;"&amp;AX648,R_EAbs,"&gt;"&amp;AW648,R_OKey,1)-1,0)</f>
        <v>0</v>
      </c>
      <c r="BA648" s="80">
        <f>IF(AY648=1,COUNTIFS(R_Emp,"&lt;&gt;"&amp;D648,R_SAbs,"&lt;"&amp;AX648,R_EAbs,"&gt;"&amp;AW648,R_OKey,1),0)</f>
        <v>0</v>
      </c>
      <c r="BB648" s="80">
        <f>IF(AND(AB648=1,D648="proMX"),IF(AND(MOD(Z648,CFG_BLK)=0,MOD(AA648,CFG_BLK)=0,MOD(AG648,CFG_BLK)=0,AG648&gt;0),1,0),1)</f>
        <v>1</v>
      </c>
      <c r="BC648" s="80" t="str">
        <f>IF(Y648=0,"",IF(NOT(ISNUMBER(B648)),"Falta fecha o fecha inválida",IF(D648="","Falta empresa",IF(AND(D648&lt;&gt;"Malcolm",D648&lt;&gt;"proMX"),"Empresa inválida",IF(OR(INT(B648)&lt;CFG_PSTART,INT(B648)&gt;CFG_PEND),"Fecha fuera del período",IF(OR(NOT(ISNUMBER(Z648)),NOT(ISNUMBER(AA648))),"Falta hora inicio/fin o formato inválido",IF(AB648=0,"Hora inicio = hora fin",IF(AE648&lt;0,"Descanso inválido",IF(AE648&gt;=AD648,"Descanso ≥ duración",IF(AV648=1,"Registro duplicado",IF(AZ648&gt;0,"Se superpone con otro registro "&amp;D648,IF(BB648=0,"inicio, fin y duración neta deben ser múltiplos de "&amp;CFG_BLK&amp;" min",""))))))))))))</f>
        <v/>
      </c>
      <c r="BD648" s="80">
        <f>IF(AND(Y648=1,BC648=""),1,0)</f>
        <v>0</v>
      </c>
      <c r="BE648" s="80">
        <f>IF(AND(BD648=1,AU648=1),1,0)</f>
        <v>0</v>
      </c>
      <c r="BF648" s="80" t="str">
        <f>IF(AND(D648="proMX",BD648=1),IF(R648="","Draft",R648),"")</f>
        <v/>
      </c>
      <c r="BG648" s="80">
        <f>IF(BD648=1,ROUND(AG648/60,6),0)</f>
        <v>0</v>
      </c>
      <c r="BH648" s="80">
        <f>IF(BE648=1,ROUND(AG648/60,6),0)</f>
        <v>0</v>
      </c>
      <c r="BI648" s="80">
        <f>IF(BE648=1,ROUND(AP648/60,6),0)</f>
        <v>0</v>
      </c>
      <c r="BJ648" s="80">
        <f>IF(BE648=1,ROUND(AQ648/60,6),0)</f>
        <v>0</v>
      </c>
      <c r="BK648" s="80">
        <f>IF(BE648=1,ROUND((AR648+AS648)/60,6),0)</f>
        <v>0</v>
      </c>
      <c r="BL648" s="80">
        <f>ROUND(BH648-BK648,6)</f>
        <v>0</v>
      </c>
      <c r="BM648" s="80">
        <f>IF(BE648=1,ROUND(AR648/60,6),0)</f>
        <v>0</v>
      </c>
      <c r="BN648" s="80">
        <f>ROUND(BI648-BM648,6)</f>
        <v>0</v>
      </c>
      <c r="BO648" s="80">
        <f>IF(BE648=1,ROUND(AS648/60,6),0)</f>
        <v>0</v>
      </c>
      <c r="BP648" s="80">
        <f>ROUND(BJ648-BO648,6)</f>
        <v>0</v>
      </c>
      <c r="BQ648" s="80">
        <f>IF(BE648=1,AW648,0)</f>
        <v>0</v>
      </c>
      <c r="BR648" s="80">
        <f>IF(BE648=1,AX648,0)</f>
        <v>0</v>
      </c>
      <c r="BS648" s="80">
        <f>IF(AND(BE648=1,D648="Malcolm",BA648&gt;0),MIN(BH648,SUMPRODUCT((R_Emp="proMX")*(R_EN&gt;0)*((R_EN-(R_EN&gt;BR648)*(R_EN-BR648))&gt;(R_SN+(R_SN&lt;BQ648)*(BQ648-R_SN)))*((R_EN-(R_EN&gt;BR648)*(R_EN-BR648))-(R_SN+(R_SN&lt;BQ648)*(BQ648-R_SN))))/60),0)</f>
        <v>0</v>
      </c>
      <c r="BT648" s="80">
        <f>IF(AND(BE648=1,D648="proMX"),ROUND(BI648*CFG_RATE+BJ648*CFG_OTRATE,6),0)</f>
        <v>0</v>
      </c>
      <c r="BU648" s="80">
        <f>IF(AND(BD648=1,D648="proMX"),ROUND(AG648/CFG_BLK,6),0)</f>
        <v>0</v>
      </c>
      <c r="BV648" s="80" t="str">
        <f>IF(BF648="Approved",IF(ISNUMBER(T648),INT(T648),INT(B648)),"")</f>
        <v/>
      </c>
      <c r="BW648" s="80">
        <f>IF(ISNUMBER(B648),IF(DB_MON="Todos",1,IF(AND(INT(B648)&gt;=DB_MS,INT(B648)&lt;=DB_ME),1,0)),0)</f>
        <v>0</v>
      </c>
      <c r="BX648" s="80">
        <f>IF(DB_PROJ="Todos",1,IF(E648&amp;""=DB_PROJ&amp;"",1,0))</f>
        <v>1</v>
      </c>
      <c r="BY648" s="80">
        <f>BW648*BX648</f>
        <v>0</v>
      </c>
      <c r="BZ648" s="80" t="str">
        <f>IF(Y648=1,F648&amp;IF(AND(F648&amp;""&lt;&gt;"",E648&amp;""&lt;&gt;"")," · ","")&amp;E648,"")</f>
        <v/>
      </c>
      <c r="CA648" s="80" t="str">
        <f>IF(AND(BD648=1,E648&amp;""&lt;&gt;""),IF(COUNTIFS($E$5:E647,E648,$BD$5:BD647,1)=0,MAX($CA$5:CA647)+1,""),"")</f>
        <v/>
      </c>
      <c r="CB648" s="80" t="str">
        <f>IF(AND(BE648=1,D648="Malcolm",E648&amp;""&lt;&gt;""),IF(COUNTIFS($D$5:D647,"Malcolm",$E$5:E647,E648,$BE$5:BE647,1)=0,MAX($CB$5:CB647)+1,""),"")</f>
        <v/>
      </c>
      <c r="CC648" s="80" t="str">
        <f>IF(AND(BD648=1,D648="proMX",E648&amp;""&lt;&gt;""),IF(COUNTIFS($D$5:D647,"proMX",$E$5:E647,E648,$BD$5:BD647,1)=0,MAX($CC$5:CC647)+1,""),"")</f>
        <v/>
      </c>
      <c r="CD648" s="80" t="str">
        <f>IF(AND(BE648=1,D648="Malcolm",F648&amp;""&lt;&gt;""),IF(COUNTIFS($D$5:D647,"Malcolm",$F$5:F647,F648,$BE$5:BE647,1)=0,MAX($CD$5:CD647)+1,""),"")</f>
        <v/>
      </c>
      <c r="CE648" s="80" t="str">
        <f>IF(AND(BD648=1,D648="proMX",F648&amp;""&lt;&gt;""),IF(COUNTIFS($D$5:D647,"proMX",$F$5:F647,F648,$BD$5:BD647,1)=0,MAX($CE$5:CE647)+1,""),"")</f>
        <v/>
      </c>
      <c r="CF648" s="80" t="str">
        <f>IF(AND(D648="proMX",BD648=1),IF(OR(BF648="Draft",BF648="Submitted",BF648="Returned",BF648="Recall Requested"),MAX($CF$5:CF647)+1,""),"")</f>
        <v/>
      </c>
      <c r="CG648" s="80">
        <f>IF(BD648=0,0,IF(D648="Malcolm",1,MATCH(BF648,{"Draft","Submitted","Approved","Returned","Recall Requested","Cancelled"},0)+1))</f>
        <v>0</v>
      </c>
      <c r="CH648" s="80">
        <f>IF(AND(BF648="Submitted",ISNUMBER(V648)),IF(V648&gt;CFG_MAXD,1,0),0)</f>
        <v>0</v>
      </c>
    </row>
    <row r="649">
      <c r="A649" s="71" t="str">
        <f>IF(Y649=1,ROW()-5,"")</f>
        <v/>
      </c>
      <c r="B649" s="72" t="n"/>
      <c r="C649" s="71" t="str">
        <f>IF(ISNUMBER(B649),CHOOSE(WEEKDAY(B649,2),"Lun","Mar","Mié","Jue","Vie","Sáb","Dom"),"")</f>
        <v/>
      </c>
      <c r="D649" s="73" t="n"/>
      <c r="E649" s="74" t="n"/>
      <c r="F649" s="74" t="n"/>
      <c r="G649" s="74" t="n"/>
      <c r="H649" s="75" t="n"/>
      <c r="I649" s="75" t="n"/>
      <c r="J649" s="76" t="n"/>
      <c r="K649" s="77" t="str">
        <f>IF(AB649=1,ROUND(AG649/60,4),"")</f>
        <v/>
      </c>
      <c r="L649" s="77" t="str">
        <f>IF(BD649=1,ROUND(AP649/60,4),"")</f>
        <v/>
      </c>
      <c r="M649" s="77" t="str">
        <f>IF(BD649=1,ROUND(AQ649/60,4),"")</f>
        <v/>
      </c>
      <c r="N649" s="71" t="str">
        <f>IF(AND(D649="proMX",AB649=1),ROUND(AG649/CFG_BLK,2),"")</f>
        <v/>
      </c>
      <c r="O649" s="77" t="str">
        <f>IF(D649="proMX",IF(BD649=1,ROUND(AG649/60,4),0),"")</f>
        <v/>
      </c>
      <c r="P649" s="78" t="str">
        <f>IF(Y649=0,"",IF(BD649=1,"OK",IF(D649="proMX","Revisar bloques: ","Revisar: ")&amp;BC649))</f>
        <v/>
      </c>
      <c r="Q649" s="78" t="str">
        <f>IF(NOT(ISNUMBER(B649)),"",IF(COUNTIFS(FER_F,INT(B649))&gt;0,"Feriado"&amp;IF(AH649=1," (laborable)"," (no laborable)"),IF(AH649=1,"Laborable",IF(WEEKDAY(B649,2)&gt;5,"Fin de semana","No laborable"))))</f>
        <v/>
      </c>
      <c r="R649" s="73" t="n"/>
      <c r="S649" s="72" t="n"/>
      <c r="T649" s="72" t="n"/>
      <c r="U649" s="74" t="n"/>
      <c r="V649" s="79" t="str">
        <f>IF(AND(D649="proMX",OR(R649="Submitted",R649="Recall Requested"),ISNUMBER(S649)),CFG_TODAY-INT(S649),"")</f>
        <v/>
      </c>
      <c r="W649" s="78" t="str">
        <f>IF(BD649=0,"",IF(BA649&gt;0,"⚠ Se superpone con un registro de la otra empresa",IF(D649="Malcolm",IF(COUNTA(R649,S649,T649)&gt;0,"Estado/fechas proMX se ignoran en Malcolm",""),IF(BF649="Cancelled","Cancelado: excluido de totales",IF(R649="","Sin estado: se trata como Draft",IF(BF649="Submitted",IF(ISNUMBER(V649),IF(V649&gt;CFG_MAXD,"⚠ "&amp;V649&amp;" días en Submitted (máx. "&amp;CFG_MAXD&amp;")",""),"Falta fecha de envío"),IF(BF649="Returned","⚠ Devuelto: corregir y reenviar",IF(BF649="Recall Requested","Retirada solicitada: pendiente",IF(AND(BF649="Approved",NOT(ISNUMBER(T649))),"Falta fecha de aprobación",IF(AND(ISNUMBER(S649),ISNUMBER(T649),T649&lt;S649),"Aprobación anterior al envío","")))))))))</f>
        <v/>
      </c>
      <c r="Y649" s="80">
        <f>IF(COUNTA(B649,D649,E649,F649,G649,H649,I649,J649,R649,S649,T649)&gt;0,1,0)</f>
        <v>0</v>
      </c>
      <c r="Z649" s="80" t="str">
        <f>IF(AND(ISNUMBER(H649),H649&gt;=0,H649&lt;1),ROUND(H649*1440,0),"")</f>
        <v/>
      </c>
      <c r="AA649" s="80" t="str">
        <f>IF(AND(ISNUMBER(I649),I649&gt;=0,I649&lt;1),ROUND(I649*1440,0),"")</f>
        <v/>
      </c>
      <c r="AB649" s="80">
        <f>IF(AND(ISNUMBER(B649),D649&lt;&gt;"",ISNUMBER(Z649),ISNUMBER(AA649)),IF(Z649=AA649,0,1),0)</f>
        <v>0</v>
      </c>
      <c r="AC649" s="80">
        <f>IF(AB649=1,IF(AA649&lt;Z649,1,0),0)</f>
        <v>0</v>
      </c>
      <c r="AD649" s="80">
        <f>IF(AB649=1,IF(AC649=1,1440-Z649+AA649,AA649-Z649),0)</f>
        <v>0</v>
      </c>
      <c r="AE649" s="80">
        <f>IF(J649="",0,IF(ISNUMBER(J649),J649,-1))</f>
        <v>0</v>
      </c>
      <c r="AF649" s="80">
        <f>MIN(MAX(0,AE649),AD649)</f>
        <v>0</v>
      </c>
      <c r="AG649" s="80">
        <f>MAX(0,AD649-MAX(0,AE649))</f>
        <v>0</v>
      </c>
      <c r="AH649" s="80">
        <f>IF(ISNUMBER(B649),IF(AND(INDEX(CFG_WDAYS,WEEKDAY(INT(B649),2))="Sí",IF(D649="proMX",COUNTIFS(FER_F,INT(B649),FER_NLP,"Sí"),COUNTIFS(FER_F,INT(B649),FER_NLM,"Sí"))=0),1,0),0)</f>
        <v>0</v>
      </c>
      <c r="AI649" s="80">
        <f>IF(AC649=1,IF(AND(INDEX(CFG_WDAYS,WEEKDAY(INT(B649)+1,2))="Sí",IF(D649="proMX",COUNTIFS(FER_F,INT(B649)+1,FER_NLP,"Sí"),COUNTIFS(FER_F,INT(B649)+1,FER_NLM,"Sí"))=0),1,0),0)</f>
        <v>0</v>
      </c>
      <c r="AJ649" s="80">
        <f>IF(AC649=1,1440-Z649,AD649)</f>
        <v>0</v>
      </c>
      <c r="AK649" s="80">
        <f>IF(AND(AB649=1,AH649=1),MAX(0,MIN(IF(AC649=1,1440,AA649),CFG_WEM)-MAX(Z649,CFG_WSM)),0)</f>
        <v>0</v>
      </c>
      <c r="AL649" s="80">
        <f>IF(AND(AC649=1,AI649=1),MAX(0,MIN(AA649,CFG_WEM)-CFG_WSM),0)</f>
        <v>0</v>
      </c>
      <c r="AM649" s="80">
        <f>AK649+AL649</f>
        <v>0</v>
      </c>
      <c r="AN649" s="80">
        <f>IF(CFG_BRK="Proporcional",IF(AD649=0,0,AF649*AM649/AD649),IF(CFG_BRK="Extras primero",MIN(AM649,MAX(0,AF649-(AD649-AM649))),MIN(AF649,AM649)))</f>
        <v>0</v>
      </c>
      <c r="AO649" s="80">
        <f>AF649-AN649</f>
        <v>0</v>
      </c>
      <c r="AP649" s="80">
        <f>AM649-AN649</f>
        <v>0</v>
      </c>
      <c r="AQ649" s="80">
        <f>AD649-AM649-AO649</f>
        <v>0</v>
      </c>
      <c r="AR649" s="80">
        <f>IF(AM649=0,0,AK649-AN649*AK649/AM649)</f>
        <v>0</v>
      </c>
      <c r="AS649" s="80">
        <f>IF(AD649-AM649=0,0,(AJ649-AK649)-AO649*(AJ649-AK649)/(AD649-AM649))</f>
        <v>0</v>
      </c>
      <c r="AT649" s="80" t="str">
        <f>IF(AC649=1,INT(B649)+1,"")</f>
        <v/>
      </c>
      <c r="AU649" s="80">
        <f>IF(AND(D649="proMX",R649="Cancelled"),0,1)</f>
        <v>1</v>
      </c>
      <c r="AV649" s="80">
        <f>IF(AND(AB649=1,AU649=1),IF(COUNTIFS($D$5:D648,D649,$B$5:B648,B649,$Z$5:Z648,Z649,$AA$5:AA648,AA649,$F$5:F648,F649&amp;"",$AU$5:AU648,1)&gt;0,1,0),0)</f>
        <v>0</v>
      </c>
      <c r="AW649" s="80" t="str">
        <f>IF(AB649=1,INT(B649)*1440+Z649,"")</f>
        <v/>
      </c>
      <c r="AX649" s="80" t="str">
        <f>IF(AB649=1,AW649+AD649,"")</f>
        <v/>
      </c>
      <c r="AY649" s="80">
        <f>IF(AND(AB649=1,AV649=0,AU649=1),1,0)</f>
        <v>0</v>
      </c>
      <c r="AZ649" s="80">
        <f>IF(AY649=1,COUNTIFS(R_Emp,D649,R_SAbs,"&lt;"&amp;AX649,R_EAbs,"&gt;"&amp;AW649,R_OKey,1)-1,0)</f>
        <v>0</v>
      </c>
      <c r="BA649" s="80">
        <f>IF(AY649=1,COUNTIFS(R_Emp,"&lt;&gt;"&amp;D649,R_SAbs,"&lt;"&amp;AX649,R_EAbs,"&gt;"&amp;AW649,R_OKey,1),0)</f>
        <v>0</v>
      </c>
      <c r="BB649" s="80">
        <f>IF(AND(AB649=1,D649="proMX"),IF(AND(MOD(Z649,CFG_BLK)=0,MOD(AA649,CFG_BLK)=0,MOD(AG649,CFG_BLK)=0,AG649&gt;0),1,0),1)</f>
        <v>1</v>
      </c>
      <c r="BC649" s="80" t="str">
        <f>IF(Y649=0,"",IF(NOT(ISNUMBER(B649)),"Falta fecha o fecha inválida",IF(D649="","Falta empresa",IF(AND(D649&lt;&gt;"Malcolm",D649&lt;&gt;"proMX"),"Empresa inválida",IF(OR(INT(B649)&lt;CFG_PSTART,INT(B649)&gt;CFG_PEND),"Fecha fuera del período",IF(OR(NOT(ISNUMBER(Z649)),NOT(ISNUMBER(AA649))),"Falta hora inicio/fin o formato inválido",IF(AB649=0,"Hora inicio = hora fin",IF(AE649&lt;0,"Descanso inválido",IF(AE649&gt;=AD649,"Descanso ≥ duración",IF(AV649=1,"Registro duplicado",IF(AZ649&gt;0,"Se superpone con otro registro "&amp;D649,IF(BB649=0,"inicio, fin y duración neta deben ser múltiplos de "&amp;CFG_BLK&amp;" min",""))))))))))))</f>
        <v/>
      </c>
      <c r="BD649" s="80">
        <f>IF(AND(Y649=1,BC649=""),1,0)</f>
        <v>0</v>
      </c>
      <c r="BE649" s="80">
        <f>IF(AND(BD649=1,AU649=1),1,0)</f>
        <v>0</v>
      </c>
      <c r="BF649" s="80" t="str">
        <f>IF(AND(D649="proMX",BD649=1),IF(R649="","Draft",R649),"")</f>
        <v/>
      </c>
      <c r="BG649" s="80">
        <f>IF(BD649=1,ROUND(AG649/60,6),0)</f>
        <v>0</v>
      </c>
      <c r="BH649" s="80">
        <f>IF(BE649=1,ROUND(AG649/60,6),0)</f>
        <v>0</v>
      </c>
      <c r="BI649" s="80">
        <f>IF(BE649=1,ROUND(AP649/60,6),0)</f>
        <v>0</v>
      </c>
      <c r="BJ649" s="80">
        <f>IF(BE649=1,ROUND(AQ649/60,6),0)</f>
        <v>0</v>
      </c>
      <c r="BK649" s="80">
        <f>IF(BE649=1,ROUND((AR649+AS649)/60,6),0)</f>
        <v>0</v>
      </c>
      <c r="BL649" s="80">
        <f>ROUND(BH649-BK649,6)</f>
        <v>0</v>
      </c>
      <c r="BM649" s="80">
        <f>IF(BE649=1,ROUND(AR649/60,6),0)</f>
        <v>0</v>
      </c>
      <c r="BN649" s="80">
        <f>ROUND(BI649-BM649,6)</f>
        <v>0</v>
      </c>
      <c r="BO649" s="80">
        <f>IF(BE649=1,ROUND(AS649/60,6),0)</f>
        <v>0</v>
      </c>
      <c r="BP649" s="80">
        <f>ROUND(BJ649-BO649,6)</f>
        <v>0</v>
      </c>
      <c r="BQ649" s="80">
        <f>IF(BE649=1,AW649,0)</f>
        <v>0</v>
      </c>
      <c r="BR649" s="80">
        <f>IF(BE649=1,AX649,0)</f>
        <v>0</v>
      </c>
      <c r="BS649" s="80">
        <f>IF(AND(BE649=1,D649="Malcolm",BA649&gt;0),MIN(BH649,SUMPRODUCT((R_Emp="proMX")*(R_EN&gt;0)*((R_EN-(R_EN&gt;BR649)*(R_EN-BR649))&gt;(R_SN+(R_SN&lt;BQ649)*(BQ649-R_SN)))*((R_EN-(R_EN&gt;BR649)*(R_EN-BR649))-(R_SN+(R_SN&lt;BQ649)*(BQ649-R_SN))))/60),0)</f>
        <v>0</v>
      </c>
      <c r="BT649" s="80">
        <f>IF(AND(BE649=1,D649="proMX"),ROUND(BI649*CFG_RATE+BJ649*CFG_OTRATE,6),0)</f>
        <v>0</v>
      </c>
      <c r="BU649" s="80">
        <f>IF(AND(BD649=1,D649="proMX"),ROUND(AG649/CFG_BLK,6),0)</f>
        <v>0</v>
      </c>
      <c r="BV649" s="80" t="str">
        <f>IF(BF649="Approved",IF(ISNUMBER(T649),INT(T649),INT(B649)),"")</f>
        <v/>
      </c>
      <c r="BW649" s="80">
        <f>IF(ISNUMBER(B649),IF(DB_MON="Todos",1,IF(AND(INT(B649)&gt;=DB_MS,INT(B649)&lt;=DB_ME),1,0)),0)</f>
        <v>0</v>
      </c>
      <c r="BX649" s="80">
        <f>IF(DB_PROJ="Todos",1,IF(E649&amp;""=DB_PROJ&amp;"",1,0))</f>
        <v>1</v>
      </c>
      <c r="BY649" s="80">
        <f>BW649*BX649</f>
        <v>0</v>
      </c>
      <c r="BZ649" s="80" t="str">
        <f>IF(Y649=1,F649&amp;IF(AND(F649&amp;""&lt;&gt;"",E649&amp;""&lt;&gt;"")," · ","")&amp;E649,"")</f>
        <v/>
      </c>
      <c r="CA649" s="80" t="str">
        <f>IF(AND(BD649=1,E649&amp;""&lt;&gt;""),IF(COUNTIFS($E$5:E648,E649,$BD$5:BD648,1)=0,MAX($CA$5:CA648)+1,""),"")</f>
        <v/>
      </c>
      <c r="CB649" s="80" t="str">
        <f>IF(AND(BE649=1,D649="Malcolm",E649&amp;""&lt;&gt;""),IF(COUNTIFS($D$5:D648,"Malcolm",$E$5:E648,E649,$BE$5:BE648,1)=0,MAX($CB$5:CB648)+1,""),"")</f>
        <v/>
      </c>
      <c r="CC649" s="80" t="str">
        <f>IF(AND(BD649=1,D649="proMX",E649&amp;""&lt;&gt;""),IF(COUNTIFS($D$5:D648,"proMX",$E$5:E648,E649,$BD$5:BD648,1)=0,MAX($CC$5:CC648)+1,""),"")</f>
        <v/>
      </c>
      <c r="CD649" s="80" t="str">
        <f>IF(AND(BE649=1,D649="Malcolm",F649&amp;""&lt;&gt;""),IF(COUNTIFS($D$5:D648,"Malcolm",$F$5:F648,F649,$BE$5:BE648,1)=0,MAX($CD$5:CD648)+1,""),"")</f>
        <v/>
      </c>
      <c r="CE649" s="80" t="str">
        <f>IF(AND(BD649=1,D649="proMX",F649&amp;""&lt;&gt;""),IF(COUNTIFS($D$5:D648,"proMX",$F$5:F648,F649,$BD$5:BD648,1)=0,MAX($CE$5:CE648)+1,""),"")</f>
        <v/>
      </c>
      <c r="CF649" s="80" t="str">
        <f>IF(AND(D649="proMX",BD649=1),IF(OR(BF649="Draft",BF649="Submitted",BF649="Returned",BF649="Recall Requested"),MAX($CF$5:CF648)+1,""),"")</f>
        <v/>
      </c>
      <c r="CG649" s="80">
        <f>IF(BD649=0,0,IF(D649="Malcolm",1,MATCH(BF649,{"Draft","Submitted","Approved","Returned","Recall Requested","Cancelled"},0)+1))</f>
        <v>0</v>
      </c>
      <c r="CH649" s="80">
        <f>IF(AND(BF649="Submitted",ISNUMBER(V649)),IF(V649&gt;CFG_MAXD,1,0),0)</f>
        <v>0</v>
      </c>
    </row>
    <row r="650">
      <c r="A650" s="71" t="str">
        <f>IF(Y650=1,ROW()-5,"")</f>
        <v/>
      </c>
      <c r="B650" s="72" t="n"/>
      <c r="C650" s="71" t="str">
        <f>IF(ISNUMBER(B650),CHOOSE(WEEKDAY(B650,2),"Lun","Mar","Mié","Jue","Vie","Sáb","Dom"),"")</f>
        <v/>
      </c>
      <c r="D650" s="73" t="n"/>
      <c r="E650" s="74" t="n"/>
      <c r="F650" s="74" t="n"/>
      <c r="G650" s="74" t="n"/>
      <c r="H650" s="75" t="n"/>
      <c r="I650" s="75" t="n"/>
      <c r="J650" s="76" t="n"/>
      <c r="K650" s="77" t="str">
        <f>IF(AB650=1,ROUND(AG650/60,4),"")</f>
        <v/>
      </c>
      <c r="L650" s="77" t="str">
        <f>IF(BD650=1,ROUND(AP650/60,4),"")</f>
        <v/>
      </c>
      <c r="M650" s="77" t="str">
        <f>IF(BD650=1,ROUND(AQ650/60,4),"")</f>
        <v/>
      </c>
      <c r="N650" s="71" t="str">
        <f>IF(AND(D650="proMX",AB650=1),ROUND(AG650/CFG_BLK,2),"")</f>
        <v/>
      </c>
      <c r="O650" s="77" t="str">
        <f>IF(D650="proMX",IF(BD650=1,ROUND(AG650/60,4),0),"")</f>
        <v/>
      </c>
      <c r="P650" s="78" t="str">
        <f>IF(Y650=0,"",IF(BD650=1,"OK",IF(D650="proMX","Revisar bloques: ","Revisar: ")&amp;BC650))</f>
        <v/>
      </c>
      <c r="Q650" s="78" t="str">
        <f>IF(NOT(ISNUMBER(B650)),"",IF(COUNTIFS(FER_F,INT(B650))&gt;0,"Feriado"&amp;IF(AH650=1," (laborable)"," (no laborable)"),IF(AH650=1,"Laborable",IF(WEEKDAY(B650,2)&gt;5,"Fin de semana","No laborable"))))</f>
        <v/>
      </c>
      <c r="R650" s="73" t="n"/>
      <c r="S650" s="72" t="n"/>
      <c r="T650" s="72" t="n"/>
      <c r="U650" s="74" t="n"/>
      <c r="V650" s="79" t="str">
        <f>IF(AND(D650="proMX",OR(R650="Submitted",R650="Recall Requested"),ISNUMBER(S650)),CFG_TODAY-INT(S650),"")</f>
        <v/>
      </c>
      <c r="W650" s="78" t="str">
        <f>IF(BD650=0,"",IF(BA650&gt;0,"⚠ Se superpone con un registro de la otra empresa",IF(D650="Malcolm",IF(COUNTA(R650,S650,T650)&gt;0,"Estado/fechas proMX se ignoran en Malcolm",""),IF(BF650="Cancelled","Cancelado: excluido de totales",IF(R650="","Sin estado: se trata como Draft",IF(BF650="Submitted",IF(ISNUMBER(V650),IF(V650&gt;CFG_MAXD,"⚠ "&amp;V650&amp;" días en Submitted (máx. "&amp;CFG_MAXD&amp;")",""),"Falta fecha de envío"),IF(BF650="Returned","⚠ Devuelto: corregir y reenviar",IF(BF650="Recall Requested","Retirada solicitada: pendiente",IF(AND(BF650="Approved",NOT(ISNUMBER(T650))),"Falta fecha de aprobación",IF(AND(ISNUMBER(S650),ISNUMBER(T650),T650&lt;S650),"Aprobación anterior al envío","")))))))))</f>
        <v/>
      </c>
      <c r="Y650" s="80">
        <f>IF(COUNTA(B650,D650,E650,F650,G650,H650,I650,J650,R650,S650,T650)&gt;0,1,0)</f>
        <v>0</v>
      </c>
      <c r="Z650" s="80" t="str">
        <f>IF(AND(ISNUMBER(H650),H650&gt;=0,H650&lt;1),ROUND(H650*1440,0),"")</f>
        <v/>
      </c>
      <c r="AA650" s="80" t="str">
        <f>IF(AND(ISNUMBER(I650),I650&gt;=0,I650&lt;1),ROUND(I650*1440,0),"")</f>
        <v/>
      </c>
      <c r="AB650" s="80">
        <f>IF(AND(ISNUMBER(B650),D650&lt;&gt;"",ISNUMBER(Z650),ISNUMBER(AA650)),IF(Z650=AA650,0,1),0)</f>
        <v>0</v>
      </c>
      <c r="AC650" s="80">
        <f>IF(AB650=1,IF(AA650&lt;Z650,1,0),0)</f>
        <v>0</v>
      </c>
      <c r="AD650" s="80">
        <f>IF(AB650=1,IF(AC650=1,1440-Z650+AA650,AA650-Z650),0)</f>
        <v>0</v>
      </c>
      <c r="AE650" s="80">
        <f>IF(J650="",0,IF(ISNUMBER(J650),J650,-1))</f>
        <v>0</v>
      </c>
      <c r="AF650" s="80">
        <f>MIN(MAX(0,AE650),AD650)</f>
        <v>0</v>
      </c>
      <c r="AG650" s="80">
        <f>MAX(0,AD650-MAX(0,AE650))</f>
        <v>0</v>
      </c>
      <c r="AH650" s="80">
        <f>IF(ISNUMBER(B650),IF(AND(INDEX(CFG_WDAYS,WEEKDAY(INT(B650),2))="Sí",IF(D650="proMX",COUNTIFS(FER_F,INT(B650),FER_NLP,"Sí"),COUNTIFS(FER_F,INT(B650),FER_NLM,"Sí"))=0),1,0),0)</f>
        <v>0</v>
      </c>
      <c r="AI650" s="80">
        <f>IF(AC650=1,IF(AND(INDEX(CFG_WDAYS,WEEKDAY(INT(B650)+1,2))="Sí",IF(D650="proMX",COUNTIFS(FER_F,INT(B650)+1,FER_NLP,"Sí"),COUNTIFS(FER_F,INT(B650)+1,FER_NLM,"Sí"))=0),1,0),0)</f>
        <v>0</v>
      </c>
      <c r="AJ650" s="80">
        <f>IF(AC650=1,1440-Z650,AD650)</f>
        <v>0</v>
      </c>
      <c r="AK650" s="80">
        <f>IF(AND(AB650=1,AH650=1),MAX(0,MIN(IF(AC650=1,1440,AA650),CFG_WEM)-MAX(Z650,CFG_WSM)),0)</f>
        <v>0</v>
      </c>
      <c r="AL650" s="80">
        <f>IF(AND(AC650=1,AI650=1),MAX(0,MIN(AA650,CFG_WEM)-CFG_WSM),0)</f>
        <v>0</v>
      </c>
      <c r="AM650" s="80">
        <f>AK650+AL650</f>
        <v>0</v>
      </c>
      <c r="AN650" s="80">
        <f>IF(CFG_BRK="Proporcional",IF(AD650=0,0,AF650*AM650/AD650),IF(CFG_BRK="Extras primero",MIN(AM650,MAX(0,AF650-(AD650-AM650))),MIN(AF650,AM650)))</f>
        <v>0</v>
      </c>
      <c r="AO650" s="80">
        <f>AF650-AN650</f>
        <v>0</v>
      </c>
      <c r="AP650" s="80">
        <f>AM650-AN650</f>
        <v>0</v>
      </c>
      <c r="AQ650" s="80">
        <f>AD650-AM650-AO650</f>
        <v>0</v>
      </c>
      <c r="AR650" s="80">
        <f>IF(AM650=0,0,AK650-AN650*AK650/AM650)</f>
        <v>0</v>
      </c>
      <c r="AS650" s="80">
        <f>IF(AD650-AM650=0,0,(AJ650-AK650)-AO650*(AJ650-AK650)/(AD650-AM650))</f>
        <v>0</v>
      </c>
      <c r="AT650" s="80" t="str">
        <f>IF(AC650=1,INT(B650)+1,"")</f>
        <v/>
      </c>
      <c r="AU650" s="80">
        <f>IF(AND(D650="proMX",R650="Cancelled"),0,1)</f>
        <v>1</v>
      </c>
      <c r="AV650" s="80">
        <f>IF(AND(AB650=1,AU650=1),IF(COUNTIFS($D$5:D649,D650,$B$5:B649,B650,$Z$5:Z649,Z650,$AA$5:AA649,AA650,$F$5:F649,F650&amp;"",$AU$5:AU649,1)&gt;0,1,0),0)</f>
        <v>0</v>
      </c>
      <c r="AW650" s="80" t="str">
        <f>IF(AB650=1,INT(B650)*1440+Z650,"")</f>
        <v/>
      </c>
      <c r="AX650" s="80" t="str">
        <f>IF(AB650=1,AW650+AD650,"")</f>
        <v/>
      </c>
      <c r="AY650" s="80">
        <f>IF(AND(AB650=1,AV650=0,AU650=1),1,0)</f>
        <v>0</v>
      </c>
      <c r="AZ650" s="80">
        <f>IF(AY650=1,COUNTIFS(R_Emp,D650,R_SAbs,"&lt;"&amp;AX650,R_EAbs,"&gt;"&amp;AW650,R_OKey,1)-1,0)</f>
        <v>0</v>
      </c>
      <c r="BA650" s="80">
        <f>IF(AY650=1,COUNTIFS(R_Emp,"&lt;&gt;"&amp;D650,R_SAbs,"&lt;"&amp;AX650,R_EAbs,"&gt;"&amp;AW650,R_OKey,1),0)</f>
        <v>0</v>
      </c>
      <c r="BB650" s="80">
        <f>IF(AND(AB650=1,D650="proMX"),IF(AND(MOD(Z650,CFG_BLK)=0,MOD(AA650,CFG_BLK)=0,MOD(AG650,CFG_BLK)=0,AG650&gt;0),1,0),1)</f>
        <v>1</v>
      </c>
      <c r="BC650" s="80" t="str">
        <f>IF(Y650=0,"",IF(NOT(ISNUMBER(B650)),"Falta fecha o fecha inválida",IF(D650="","Falta empresa",IF(AND(D650&lt;&gt;"Malcolm",D650&lt;&gt;"proMX"),"Empresa inválida",IF(OR(INT(B650)&lt;CFG_PSTART,INT(B650)&gt;CFG_PEND),"Fecha fuera del período",IF(OR(NOT(ISNUMBER(Z650)),NOT(ISNUMBER(AA650))),"Falta hora inicio/fin o formato inválido",IF(AB650=0,"Hora inicio = hora fin",IF(AE650&lt;0,"Descanso inválido",IF(AE650&gt;=AD650,"Descanso ≥ duración",IF(AV650=1,"Registro duplicado",IF(AZ650&gt;0,"Se superpone con otro registro "&amp;D650,IF(BB650=0,"inicio, fin y duración neta deben ser múltiplos de "&amp;CFG_BLK&amp;" min",""))))))))))))</f>
        <v/>
      </c>
      <c r="BD650" s="80">
        <f>IF(AND(Y650=1,BC650=""),1,0)</f>
        <v>0</v>
      </c>
      <c r="BE650" s="80">
        <f>IF(AND(BD650=1,AU650=1),1,0)</f>
        <v>0</v>
      </c>
      <c r="BF650" s="80" t="str">
        <f>IF(AND(D650="proMX",BD650=1),IF(R650="","Draft",R650),"")</f>
        <v/>
      </c>
      <c r="BG650" s="80">
        <f>IF(BD650=1,ROUND(AG650/60,6),0)</f>
        <v>0</v>
      </c>
      <c r="BH650" s="80">
        <f>IF(BE650=1,ROUND(AG650/60,6),0)</f>
        <v>0</v>
      </c>
      <c r="BI650" s="80">
        <f>IF(BE650=1,ROUND(AP650/60,6),0)</f>
        <v>0</v>
      </c>
      <c r="BJ650" s="80">
        <f>IF(BE650=1,ROUND(AQ650/60,6),0)</f>
        <v>0</v>
      </c>
      <c r="BK650" s="80">
        <f>IF(BE650=1,ROUND((AR650+AS650)/60,6),0)</f>
        <v>0</v>
      </c>
      <c r="BL650" s="80">
        <f>ROUND(BH650-BK650,6)</f>
        <v>0</v>
      </c>
      <c r="BM650" s="80">
        <f>IF(BE650=1,ROUND(AR650/60,6),0)</f>
        <v>0</v>
      </c>
      <c r="BN650" s="80">
        <f>ROUND(BI650-BM650,6)</f>
        <v>0</v>
      </c>
      <c r="BO650" s="80">
        <f>IF(BE650=1,ROUND(AS650/60,6),0)</f>
        <v>0</v>
      </c>
      <c r="BP650" s="80">
        <f>ROUND(BJ650-BO650,6)</f>
        <v>0</v>
      </c>
      <c r="BQ650" s="80">
        <f>IF(BE650=1,AW650,0)</f>
        <v>0</v>
      </c>
      <c r="BR650" s="80">
        <f>IF(BE650=1,AX650,0)</f>
        <v>0</v>
      </c>
      <c r="BS650" s="80">
        <f>IF(AND(BE650=1,D650="Malcolm",BA650&gt;0),MIN(BH650,SUMPRODUCT((R_Emp="proMX")*(R_EN&gt;0)*((R_EN-(R_EN&gt;BR650)*(R_EN-BR650))&gt;(R_SN+(R_SN&lt;BQ650)*(BQ650-R_SN)))*((R_EN-(R_EN&gt;BR650)*(R_EN-BR650))-(R_SN+(R_SN&lt;BQ650)*(BQ650-R_SN))))/60),0)</f>
        <v>0</v>
      </c>
      <c r="BT650" s="80">
        <f>IF(AND(BE650=1,D650="proMX"),ROUND(BI650*CFG_RATE+BJ650*CFG_OTRATE,6),0)</f>
        <v>0</v>
      </c>
      <c r="BU650" s="80">
        <f>IF(AND(BD650=1,D650="proMX"),ROUND(AG650/CFG_BLK,6),0)</f>
        <v>0</v>
      </c>
      <c r="BV650" s="80" t="str">
        <f>IF(BF650="Approved",IF(ISNUMBER(T650),INT(T650),INT(B650)),"")</f>
        <v/>
      </c>
      <c r="BW650" s="80">
        <f>IF(ISNUMBER(B650),IF(DB_MON="Todos",1,IF(AND(INT(B650)&gt;=DB_MS,INT(B650)&lt;=DB_ME),1,0)),0)</f>
        <v>0</v>
      </c>
      <c r="BX650" s="80">
        <f>IF(DB_PROJ="Todos",1,IF(E650&amp;""=DB_PROJ&amp;"",1,0))</f>
        <v>1</v>
      </c>
      <c r="BY650" s="80">
        <f>BW650*BX650</f>
        <v>0</v>
      </c>
      <c r="BZ650" s="80" t="str">
        <f>IF(Y650=1,F650&amp;IF(AND(F650&amp;""&lt;&gt;"",E650&amp;""&lt;&gt;"")," · ","")&amp;E650,"")</f>
        <v/>
      </c>
      <c r="CA650" s="80" t="str">
        <f>IF(AND(BD650=1,E650&amp;""&lt;&gt;""),IF(COUNTIFS($E$5:E649,E650,$BD$5:BD649,1)=0,MAX($CA$5:CA649)+1,""),"")</f>
        <v/>
      </c>
      <c r="CB650" s="80" t="str">
        <f>IF(AND(BE650=1,D650="Malcolm",E650&amp;""&lt;&gt;""),IF(COUNTIFS($D$5:D649,"Malcolm",$E$5:E649,E650,$BE$5:BE649,1)=0,MAX($CB$5:CB649)+1,""),"")</f>
        <v/>
      </c>
      <c r="CC650" s="80" t="str">
        <f>IF(AND(BD650=1,D650="proMX",E650&amp;""&lt;&gt;""),IF(COUNTIFS($D$5:D649,"proMX",$E$5:E649,E650,$BD$5:BD649,1)=0,MAX($CC$5:CC649)+1,""),"")</f>
        <v/>
      </c>
      <c r="CD650" s="80" t="str">
        <f>IF(AND(BE650=1,D650="Malcolm",F650&amp;""&lt;&gt;""),IF(COUNTIFS($D$5:D649,"Malcolm",$F$5:F649,F650,$BE$5:BE649,1)=0,MAX($CD$5:CD649)+1,""),"")</f>
        <v/>
      </c>
      <c r="CE650" s="80" t="str">
        <f>IF(AND(BD650=1,D650="proMX",F650&amp;""&lt;&gt;""),IF(COUNTIFS($D$5:D649,"proMX",$F$5:F649,F650,$BD$5:BD649,1)=0,MAX($CE$5:CE649)+1,""),"")</f>
        <v/>
      </c>
      <c r="CF650" s="80" t="str">
        <f>IF(AND(D650="proMX",BD650=1),IF(OR(BF650="Draft",BF650="Submitted",BF650="Returned",BF650="Recall Requested"),MAX($CF$5:CF649)+1,""),"")</f>
        <v/>
      </c>
      <c r="CG650" s="80">
        <f>IF(BD650=0,0,IF(D650="Malcolm",1,MATCH(BF650,{"Draft","Submitted","Approved","Returned","Recall Requested","Cancelled"},0)+1))</f>
        <v>0</v>
      </c>
      <c r="CH650" s="80">
        <f>IF(AND(BF650="Submitted",ISNUMBER(V650)),IF(V650&gt;CFG_MAXD,1,0),0)</f>
        <v>0</v>
      </c>
    </row>
    <row r="651">
      <c r="A651" s="71" t="str">
        <f>IF(Y651=1,ROW()-5,"")</f>
        <v/>
      </c>
      <c r="B651" s="72" t="n"/>
      <c r="C651" s="71" t="str">
        <f>IF(ISNUMBER(B651),CHOOSE(WEEKDAY(B651,2),"Lun","Mar","Mié","Jue","Vie","Sáb","Dom"),"")</f>
        <v/>
      </c>
      <c r="D651" s="73" t="n"/>
      <c r="E651" s="74" t="n"/>
      <c r="F651" s="74" t="n"/>
      <c r="G651" s="74" t="n"/>
      <c r="H651" s="75" t="n"/>
      <c r="I651" s="75" t="n"/>
      <c r="J651" s="76" t="n"/>
      <c r="K651" s="77" t="str">
        <f>IF(AB651=1,ROUND(AG651/60,4),"")</f>
        <v/>
      </c>
      <c r="L651" s="77" t="str">
        <f>IF(BD651=1,ROUND(AP651/60,4),"")</f>
        <v/>
      </c>
      <c r="M651" s="77" t="str">
        <f>IF(BD651=1,ROUND(AQ651/60,4),"")</f>
        <v/>
      </c>
      <c r="N651" s="71" t="str">
        <f>IF(AND(D651="proMX",AB651=1),ROUND(AG651/CFG_BLK,2),"")</f>
        <v/>
      </c>
      <c r="O651" s="77" t="str">
        <f>IF(D651="proMX",IF(BD651=1,ROUND(AG651/60,4),0),"")</f>
        <v/>
      </c>
      <c r="P651" s="78" t="str">
        <f>IF(Y651=0,"",IF(BD651=1,"OK",IF(D651="proMX","Revisar bloques: ","Revisar: ")&amp;BC651))</f>
        <v/>
      </c>
      <c r="Q651" s="78" t="str">
        <f>IF(NOT(ISNUMBER(B651)),"",IF(COUNTIFS(FER_F,INT(B651))&gt;0,"Feriado"&amp;IF(AH651=1," (laborable)"," (no laborable)"),IF(AH651=1,"Laborable",IF(WEEKDAY(B651,2)&gt;5,"Fin de semana","No laborable"))))</f>
        <v/>
      </c>
      <c r="R651" s="73" t="n"/>
      <c r="S651" s="72" t="n"/>
      <c r="T651" s="72" t="n"/>
      <c r="U651" s="74" t="n"/>
      <c r="V651" s="79" t="str">
        <f>IF(AND(D651="proMX",OR(R651="Submitted",R651="Recall Requested"),ISNUMBER(S651)),CFG_TODAY-INT(S651),"")</f>
        <v/>
      </c>
      <c r="W651" s="78" t="str">
        <f>IF(BD651=0,"",IF(BA651&gt;0,"⚠ Se superpone con un registro de la otra empresa",IF(D651="Malcolm",IF(COUNTA(R651,S651,T651)&gt;0,"Estado/fechas proMX se ignoran en Malcolm",""),IF(BF651="Cancelled","Cancelado: excluido de totales",IF(R651="","Sin estado: se trata como Draft",IF(BF651="Submitted",IF(ISNUMBER(V651),IF(V651&gt;CFG_MAXD,"⚠ "&amp;V651&amp;" días en Submitted (máx. "&amp;CFG_MAXD&amp;")",""),"Falta fecha de envío"),IF(BF651="Returned","⚠ Devuelto: corregir y reenviar",IF(BF651="Recall Requested","Retirada solicitada: pendiente",IF(AND(BF651="Approved",NOT(ISNUMBER(T651))),"Falta fecha de aprobación",IF(AND(ISNUMBER(S651),ISNUMBER(T651),T651&lt;S651),"Aprobación anterior al envío","")))))))))</f>
        <v/>
      </c>
      <c r="Y651" s="80">
        <f>IF(COUNTA(B651,D651,E651,F651,G651,H651,I651,J651,R651,S651,T651)&gt;0,1,0)</f>
        <v>0</v>
      </c>
      <c r="Z651" s="80" t="str">
        <f>IF(AND(ISNUMBER(H651),H651&gt;=0,H651&lt;1),ROUND(H651*1440,0),"")</f>
        <v/>
      </c>
      <c r="AA651" s="80" t="str">
        <f>IF(AND(ISNUMBER(I651),I651&gt;=0,I651&lt;1),ROUND(I651*1440,0),"")</f>
        <v/>
      </c>
      <c r="AB651" s="80">
        <f>IF(AND(ISNUMBER(B651),D651&lt;&gt;"",ISNUMBER(Z651),ISNUMBER(AA651)),IF(Z651=AA651,0,1),0)</f>
        <v>0</v>
      </c>
      <c r="AC651" s="80">
        <f>IF(AB651=1,IF(AA651&lt;Z651,1,0),0)</f>
        <v>0</v>
      </c>
      <c r="AD651" s="80">
        <f>IF(AB651=1,IF(AC651=1,1440-Z651+AA651,AA651-Z651),0)</f>
        <v>0</v>
      </c>
      <c r="AE651" s="80">
        <f>IF(J651="",0,IF(ISNUMBER(J651),J651,-1))</f>
        <v>0</v>
      </c>
      <c r="AF651" s="80">
        <f>MIN(MAX(0,AE651),AD651)</f>
        <v>0</v>
      </c>
      <c r="AG651" s="80">
        <f>MAX(0,AD651-MAX(0,AE651))</f>
        <v>0</v>
      </c>
      <c r="AH651" s="80">
        <f>IF(ISNUMBER(B651),IF(AND(INDEX(CFG_WDAYS,WEEKDAY(INT(B651),2))="Sí",IF(D651="proMX",COUNTIFS(FER_F,INT(B651),FER_NLP,"Sí"),COUNTIFS(FER_F,INT(B651),FER_NLM,"Sí"))=0),1,0),0)</f>
        <v>0</v>
      </c>
      <c r="AI651" s="80">
        <f>IF(AC651=1,IF(AND(INDEX(CFG_WDAYS,WEEKDAY(INT(B651)+1,2))="Sí",IF(D651="proMX",COUNTIFS(FER_F,INT(B651)+1,FER_NLP,"Sí"),COUNTIFS(FER_F,INT(B651)+1,FER_NLM,"Sí"))=0),1,0),0)</f>
        <v>0</v>
      </c>
      <c r="AJ651" s="80">
        <f>IF(AC651=1,1440-Z651,AD651)</f>
        <v>0</v>
      </c>
      <c r="AK651" s="80">
        <f>IF(AND(AB651=1,AH651=1),MAX(0,MIN(IF(AC651=1,1440,AA651),CFG_WEM)-MAX(Z651,CFG_WSM)),0)</f>
        <v>0</v>
      </c>
      <c r="AL651" s="80">
        <f>IF(AND(AC651=1,AI651=1),MAX(0,MIN(AA651,CFG_WEM)-CFG_WSM),0)</f>
        <v>0</v>
      </c>
      <c r="AM651" s="80">
        <f>AK651+AL651</f>
        <v>0</v>
      </c>
      <c r="AN651" s="80">
        <f>IF(CFG_BRK="Proporcional",IF(AD651=0,0,AF651*AM651/AD651),IF(CFG_BRK="Extras primero",MIN(AM651,MAX(0,AF651-(AD651-AM651))),MIN(AF651,AM651)))</f>
        <v>0</v>
      </c>
      <c r="AO651" s="80">
        <f>AF651-AN651</f>
        <v>0</v>
      </c>
      <c r="AP651" s="80">
        <f>AM651-AN651</f>
        <v>0</v>
      </c>
      <c r="AQ651" s="80">
        <f>AD651-AM651-AO651</f>
        <v>0</v>
      </c>
      <c r="AR651" s="80">
        <f>IF(AM651=0,0,AK651-AN651*AK651/AM651)</f>
        <v>0</v>
      </c>
      <c r="AS651" s="80">
        <f>IF(AD651-AM651=0,0,(AJ651-AK651)-AO651*(AJ651-AK651)/(AD651-AM651))</f>
        <v>0</v>
      </c>
      <c r="AT651" s="80" t="str">
        <f>IF(AC651=1,INT(B651)+1,"")</f>
        <v/>
      </c>
      <c r="AU651" s="80">
        <f>IF(AND(D651="proMX",R651="Cancelled"),0,1)</f>
        <v>1</v>
      </c>
      <c r="AV651" s="80">
        <f>IF(AND(AB651=1,AU651=1),IF(COUNTIFS($D$5:D650,D651,$B$5:B650,B651,$Z$5:Z650,Z651,$AA$5:AA650,AA651,$F$5:F650,F651&amp;"",$AU$5:AU650,1)&gt;0,1,0),0)</f>
        <v>0</v>
      </c>
      <c r="AW651" s="80" t="str">
        <f>IF(AB651=1,INT(B651)*1440+Z651,"")</f>
        <v/>
      </c>
      <c r="AX651" s="80" t="str">
        <f>IF(AB651=1,AW651+AD651,"")</f>
        <v/>
      </c>
      <c r="AY651" s="80">
        <f>IF(AND(AB651=1,AV651=0,AU651=1),1,0)</f>
        <v>0</v>
      </c>
      <c r="AZ651" s="80">
        <f>IF(AY651=1,COUNTIFS(R_Emp,D651,R_SAbs,"&lt;"&amp;AX651,R_EAbs,"&gt;"&amp;AW651,R_OKey,1)-1,0)</f>
        <v>0</v>
      </c>
      <c r="BA651" s="80">
        <f>IF(AY651=1,COUNTIFS(R_Emp,"&lt;&gt;"&amp;D651,R_SAbs,"&lt;"&amp;AX651,R_EAbs,"&gt;"&amp;AW651,R_OKey,1),0)</f>
        <v>0</v>
      </c>
      <c r="BB651" s="80">
        <f>IF(AND(AB651=1,D651="proMX"),IF(AND(MOD(Z651,CFG_BLK)=0,MOD(AA651,CFG_BLK)=0,MOD(AG651,CFG_BLK)=0,AG651&gt;0),1,0),1)</f>
        <v>1</v>
      </c>
      <c r="BC651" s="80" t="str">
        <f>IF(Y651=0,"",IF(NOT(ISNUMBER(B651)),"Falta fecha o fecha inválida",IF(D651="","Falta empresa",IF(AND(D651&lt;&gt;"Malcolm",D651&lt;&gt;"proMX"),"Empresa inválida",IF(OR(INT(B651)&lt;CFG_PSTART,INT(B651)&gt;CFG_PEND),"Fecha fuera del período",IF(OR(NOT(ISNUMBER(Z651)),NOT(ISNUMBER(AA651))),"Falta hora inicio/fin o formato inválido",IF(AB651=0,"Hora inicio = hora fin",IF(AE651&lt;0,"Descanso inválido",IF(AE651&gt;=AD651,"Descanso ≥ duración",IF(AV651=1,"Registro duplicado",IF(AZ651&gt;0,"Se superpone con otro registro "&amp;D651,IF(BB651=0,"inicio, fin y duración neta deben ser múltiplos de "&amp;CFG_BLK&amp;" min",""))))))))))))</f>
        <v/>
      </c>
      <c r="BD651" s="80">
        <f>IF(AND(Y651=1,BC651=""),1,0)</f>
        <v>0</v>
      </c>
      <c r="BE651" s="80">
        <f>IF(AND(BD651=1,AU651=1),1,0)</f>
        <v>0</v>
      </c>
      <c r="BF651" s="80" t="str">
        <f>IF(AND(D651="proMX",BD651=1),IF(R651="","Draft",R651),"")</f>
        <v/>
      </c>
      <c r="BG651" s="80">
        <f>IF(BD651=1,ROUND(AG651/60,6),0)</f>
        <v>0</v>
      </c>
      <c r="BH651" s="80">
        <f>IF(BE651=1,ROUND(AG651/60,6),0)</f>
        <v>0</v>
      </c>
      <c r="BI651" s="80">
        <f>IF(BE651=1,ROUND(AP651/60,6),0)</f>
        <v>0</v>
      </c>
      <c r="BJ651" s="80">
        <f>IF(BE651=1,ROUND(AQ651/60,6),0)</f>
        <v>0</v>
      </c>
      <c r="BK651" s="80">
        <f>IF(BE651=1,ROUND((AR651+AS651)/60,6),0)</f>
        <v>0</v>
      </c>
      <c r="BL651" s="80">
        <f>ROUND(BH651-BK651,6)</f>
        <v>0</v>
      </c>
      <c r="BM651" s="80">
        <f>IF(BE651=1,ROUND(AR651/60,6),0)</f>
        <v>0</v>
      </c>
      <c r="BN651" s="80">
        <f>ROUND(BI651-BM651,6)</f>
        <v>0</v>
      </c>
      <c r="BO651" s="80">
        <f>IF(BE651=1,ROUND(AS651/60,6),0)</f>
        <v>0</v>
      </c>
      <c r="BP651" s="80">
        <f>ROUND(BJ651-BO651,6)</f>
        <v>0</v>
      </c>
      <c r="BQ651" s="80">
        <f>IF(BE651=1,AW651,0)</f>
        <v>0</v>
      </c>
      <c r="BR651" s="80">
        <f>IF(BE651=1,AX651,0)</f>
        <v>0</v>
      </c>
      <c r="BS651" s="80">
        <f>IF(AND(BE651=1,D651="Malcolm",BA651&gt;0),MIN(BH651,SUMPRODUCT((R_Emp="proMX")*(R_EN&gt;0)*((R_EN-(R_EN&gt;BR651)*(R_EN-BR651))&gt;(R_SN+(R_SN&lt;BQ651)*(BQ651-R_SN)))*((R_EN-(R_EN&gt;BR651)*(R_EN-BR651))-(R_SN+(R_SN&lt;BQ651)*(BQ651-R_SN))))/60),0)</f>
        <v>0</v>
      </c>
      <c r="BT651" s="80">
        <f>IF(AND(BE651=1,D651="proMX"),ROUND(BI651*CFG_RATE+BJ651*CFG_OTRATE,6),0)</f>
        <v>0</v>
      </c>
      <c r="BU651" s="80">
        <f>IF(AND(BD651=1,D651="proMX"),ROUND(AG651/CFG_BLK,6),0)</f>
        <v>0</v>
      </c>
      <c r="BV651" s="80" t="str">
        <f>IF(BF651="Approved",IF(ISNUMBER(T651),INT(T651),INT(B651)),"")</f>
        <v/>
      </c>
      <c r="BW651" s="80">
        <f>IF(ISNUMBER(B651),IF(DB_MON="Todos",1,IF(AND(INT(B651)&gt;=DB_MS,INT(B651)&lt;=DB_ME),1,0)),0)</f>
        <v>0</v>
      </c>
      <c r="BX651" s="80">
        <f>IF(DB_PROJ="Todos",1,IF(E651&amp;""=DB_PROJ&amp;"",1,0))</f>
        <v>1</v>
      </c>
      <c r="BY651" s="80">
        <f>BW651*BX651</f>
        <v>0</v>
      </c>
      <c r="BZ651" s="80" t="str">
        <f>IF(Y651=1,F651&amp;IF(AND(F651&amp;""&lt;&gt;"",E651&amp;""&lt;&gt;"")," · ","")&amp;E651,"")</f>
        <v/>
      </c>
      <c r="CA651" s="80" t="str">
        <f>IF(AND(BD651=1,E651&amp;""&lt;&gt;""),IF(COUNTIFS($E$5:E650,E651,$BD$5:BD650,1)=0,MAX($CA$5:CA650)+1,""),"")</f>
        <v/>
      </c>
      <c r="CB651" s="80" t="str">
        <f>IF(AND(BE651=1,D651="Malcolm",E651&amp;""&lt;&gt;""),IF(COUNTIFS($D$5:D650,"Malcolm",$E$5:E650,E651,$BE$5:BE650,1)=0,MAX($CB$5:CB650)+1,""),"")</f>
        <v/>
      </c>
      <c r="CC651" s="80" t="str">
        <f>IF(AND(BD651=1,D651="proMX",E651&amp;""&lt;&gt;""),IF(COUNTIFS($D$5:D650,"proMX",$E$5:E650,E651,$BD$5:BD650,1)=0,MAX($CC$5:CC650)+1,""),"")</f>
        <v/>
      </c>
      <c r="CD651" s="80" t="str">
        <f>IF(AND(BE651=1,D651="Malcolm",F651&amp;""&lt;&gt;""),IF(COUNTIFS($D$5:D650,"Malcolm",$F$5:F650,F651,$BE$5:BE650,1)=0,MAX($CD$5:CD650)+1,""),"")</f>
        <v/>
      </c>
      <c r="CE651" s="80" t="str">
        <f>IF(AND(BD651=1,D651="proMX",F651&amp;""&lt;&gt;""),IF(COUNTIFS($D$5:D650,"proMX",$F$5:F650,F651,$BD$5:BD650,1)=0,MAX($CE$5:CE650)+1,""),"")</f>
        <v/>
      </c>
      <c r="CF651" s="80" t="str">
        <f>IF(AND(D651="proMX",BD651=1),IF(OR(BF651="Draft",BF651="Submitted",BF651="Returned",BF651="Recall Requested"),MAX($CF$5:CF650)+1,""),"")</f>
        <v/>
      </c>
      <c r="CG651" s="80">
        <f>IF(BD651=0,0,IF(D651="Malcolm",1,MATCH(BF651,{"Draft","Submitted","Approved","Returned","Recall Requested","Cancelled"},0)+1))</f>
        <v>0</v>
      </c>
      <c r="CH651" s="80">
        <f>IF(AND(BF651="Submitted",ISNUMBER(V651)),IF(V651&gt;CFG_MAXD,1,0),0)</f>
        <v>0</v>
      </c>
    </row>
    <row r="652">
      <c r="A652" s="71" t="str">
        <f>IF(Y652=1,ROW()-5,"")</f>
        <v/>
      </c>
      <c r="B652" s="72" t="n"/>
      <c r="C652" s="71" t="str">
        <f>IF(ISNUMBER(B652),CHOOSE(WEEKDAY(B652,2),"Lun","Mar","Mié","Jue","Vie","Sáb","Dom"),"")</f>
        <v/>
      </c>
      <c r="D652" s="73" t="n"/>
      <c r="E652" s="74" t="n"/>
      <c r="F652" s="74" t="n"/>
      <c r="G652" s="74" t="n"/>
      <c r="H652" s="75" t="n"/>
      <c r="I652" s="75" t="n"/>
      <c r="J652" s="76" t="n"/>
      <c r="K652" s="77" t="str">
        <f>IF(AB652=1,ROUND(AG652/60,4),"")</f>
        <v/>
      </c>
      <c r="L652" s="77" t="str">
        <f>IF(BD652=1,ROUND(AP652/60,4),"")</f>
        <v/>
      </c>
      <c r="M652" s="77" t="str">
        <f>IF(BD652=1,ROUND(AQ652/60,4),"")</f>
        <v/>
      </c>
      <c r="N652" s="71" t="str">
        <f>IF(AND(D652="proMX",AB652=1),ROUND(AG652/CFG_BLK,2),"")</f>
        <v/>
      </c>
      <c r="O652" s="77" t="str">
        <f>IF(D652="proMX",IF(BD652=1,ROUND(AG652/60,4),0),"")</f>
        <v/>
      </c>
      <c r="P652" s="78" t="str">
        <f>IF(Y652=0,"",IF(BD652=1,"OK",IF(D652="proMX","Revisar bloques: ","Revisar: ")&amp;BC652))</f>
        <v/>
      </c>
      <c r="Q652" s="78" t="str">
        <f>IF(NOT(ISNUMBER(B652)),"",IF(COUNTIFS(FER_F,INT(B652))&gt;0,"Feriado"&amp;IF(AH652=1," (laborable)"," (no laborable)"),IF(AH652=1,"Laborable",IF(WEEKDAY(B652,2)&gt;5,"Fin de semana","No laborable"))))</f>
        <v/>
      </c>
      <c r="R652" s="73" t="n"/>
      <c r="S652" s="72" t="n"/>
      <c r="T652" s="72" t="n"/>
      <c r="U652" s="74" t="n"/>
      <c r="V652" s="79" t="str">
        <f>IF(AND(D652="proMX",OR(R652="Submitted",R652="Recall Requested"),ISNUMBER(S652)),CFG_TODAY-INT(S652),"")</f>
        <v/>
      </c>
      <c r="W652" s="78" t="str">
        <f>IF(BD652=0,"",IF(BA652&gt;0,"⚠ Se superpone con un registro de la otra empresa",IF(D652="Malcolm",IF(COUNTA(R652,S652,T652)&gt;0,"Estado/fechas proMX se ignoran en Malcolm",""),IF(BF652="Cancelled","Cancelado: excluido de totales",IF(R652="","Sin estado: se trata como Draft",IF(BF652="Submitted",IF(ISNUMBER(V652),IF(V652&gt;CFG_MAXD,"⚠ "&amp;V652&amp;" días en Submitted (máx. "&amp;CFG_MAXD&amp;")",""),"Falta fecha de envío"),IF(BF652="Returned","⚠ Devuelto: corregir y reenviar",IF(BF652="Recall Requested","Retirada solicitada: pendiente",IF(AND(BF652="Approved",NOT(ISNUMBER(T652))),"Falta fecha de aprobación",IF(AND(ISNUMBER(S652),ISNUMBER(T652),T652&lt;S652),"Aprobación anterior al envío","")))))))))</f>
        <v/>
      </c>
      <c r="Y652" s="80">
        <f>IF(COUNTA(B652,D652,E652,F652,G652,H652,I652,J652,R652,S652,T652)&gt;0,1,0)</f>
        <v>0</v>
      </c>
      <c r="Z652" s="80" t="str">
        <f>IF(AND(ISNUMBER(H652),H652&gt;=0,H652&lt;1),ROUND(H652*1440,0),"")</f>
        <v/>
      </c>
      <c r="AA652" s="80" t="str">
        <f>IF(AND(ISNUMBER(I652),I652&gt;=0,I652&lt;1),ROUND(I652*1440,0),"")</f>
        <v/>
      </c>
      <c r="AB652" s="80">
        <f>IF(AND(ISNUMBER(B652),D652&lt;&gt;"",ISNUMBER(Z652),ISNUMBER(AA652)),IF(Z652=AA652,0,1),0)</f>
        <v>0</v>
      </c>
      <c r="AC652" s="80">
        <f>IF(AB652=1,IF(AA652&lt;Z652,1,0),0)</f>
        <v>0</v>
      </c>
      <c r="AD652" s="80">
        <f>IF(AB652=1,IF(AC652=1,1440-Z652+AA652,AA652-Z652),0)</f>
        <v>0</v>
      </c>
      <c r="AE652" s="80">
        <f>IF(J652="",0,IF(ISNUMBER(J652),J652,-1))</f>
        <v>0</v>
      </c>
      <c r="AF652" s="80">
        <f>MIN(MAX(0,AE652),AD652)</f>
        <v>0</v>
      </c>
      <c r="AG652" s="80">
        <f>MAX(0,AD652-MAX(0,AE652))</f>
        <v>0</v>
      </c>
      <c r="AH652" s="80">
        <f>IF(ISNUMBER(B652),IF(AND(INDEX(CFG_WDAYS,WEEKDAY(INT(B652),2))="Sí",IF(D652="proMX",COUNTIFS(FER_F,INT(B652),FER_NLP,"Sí"),COUNTIFS(FER_F,INT(B652),FER_NLM,"Sí"))=0),1,0),0)</f>
        <v>0</v>
      </c>
      <c r="AI652" s="80">
        <f>IF(AC652=1,IF(AND(INDEX(CFG_WDAYS,WEEKDAY(INT(B652)+1,2))="Sí",IF(D652="proMX",COUNTIFS(FER_F,INT(B652)+1,FER_NLP,"Sí"),COUNTIFS(FER_F,INT(B652)+1,FER_NLM,"Sí"))=0),1,0),0)</f>
        <v>0</v>
      </c>
      <c r="AJ652" s="80">
        <f>IF(AC652=1,1440-Z652,AD652)</f>
        <v>0</v>
      </c>
      <c r="AK652" s="80">
        <f>IF(AND(AB652=1,AH652=1),MAX(0,MIN(IF(AC652=1,1440,AA652),CFG_WEM)-MAX(Z652,CFG_WSM)),0)</f>
        <v>0</v>
      </c>
      <c r="AL652" s="80">
        <f>IF(AND(AC652=1,AI652=1),MAX(0,MIN(AA652,CFG_WEM)-CFG_WSM),0)</f>
        <v>0</v>
      </c>
      <c r="AM652" s="80">
        <f>AK652+AL652</f>
        <v>0</v>
      </c>
      <c r="AN652" s="80">
        <f>IF(CFG_BRK="Proporcional",IF(AD652=0,0,AF652*AM652/AD652),IF(CFG_BRK="Extras primero",MIN(AM652,MAX(0,AF652-(AD652-AM652))),MIN(AF652,AM652)))</f>
        <v>0</v>
      </c>
      <c r="AO652" s="80">
        <f>AF652-AN652</f>
        <v>0</v>
      </c>
      <c r="AP652" s="80">
        <f>AM652-AN652</f>
        <v>0</v>
      </c>
      <c r="AQ652" s="80">
        <f>AD652-AM652-AO652</f>
        <v>0</v>
      </c>
      <c r="AR652" s="80">
        <f>IF(AM652=0,0,AK652-AN652*AK652/AM652)</f>
        <v>0</v>
      </c>
      <c r="AS652" s="80">
        <f>IF(AD652-AM652=0,0,(AJ652-AK652)-AO652*(AJ652-AK652)/(AD652-AM652))</f>
        <v>0</v>
      </c>
      <c r="AT652" s="80" t="str">
        <f>IF(AC652=1,INT(B652)+1,"")</f>
        <v/>
      </c>
      <c r="AU652" s="80">
        <f>IF(AND(D652="proMX",R652="Cancelled"),0,1)</f>
        <v>1</v>
      </c>
      <c r="AV652" s="80">
        <f>IF(AND(AB652=1,AU652=1),IF(COUNTIFS($D$5:D651,D652,$B$5:B651,B652,$Z$5:Z651,Z652,$AA$5:AA651,AA652,$F$5:F651,F652&amp;"",$AU$5:AU651,1)&gt;0,1,0),0)</f>
        <v>0</v>
      </c>
      <c r="AW652" s="80" t="str">
        <f>IF(AB652=1,INT(B652)*1440+Z652,"")</f>
        <v/>
      </c>
      <c r="AX652" s="80" t="str">
        <f>IF(AB652=1,AW652+AD652,"")</f>
        <v/>
      </c>
      <c r="AY652" s="80">
        <f>IF(AND(AB652=1,AV652=0,AU652=1),1,0)</f>
        <v>0</v>
      </c>
      <c r="AZ652" s="80">
        <f>IF(AY652=1,COUNTIFS(R_Emp,D652,R_SAbs,"&lt;"&amp;AX652,R_EAbs,"&gt;"&amp;AW652,R_OKey,1)-1,0)</f>
        <v>0</v>
      </c>
      <c r="BA652" s="80">
        <f>IF(AY652=1,COUNTIFS(R_Emp,"&lt;&gt;"&amp;D652,R_SAbs,"&lt;"&amp;AX652,R_EAbs,"&gt;"&amp;AW652,R_OKey,1),0)</f>
        <v>0</v>
      </c>
      <c r="BB652" s="80">
        <f>IF(AND(AB652=1,D652="proMX"),IF(AND(MOD(Z652,CFG_BLK)=0,MOD(AA652,CFG_BLK)=0,MOD(AG652,CFG_BLK)=0,AG652&gt;0),1,0),1)</f>
        <v>1</v>
      </c>
      <c r="BC652" s="80" t="str">
        <f>IF(Y652=0,"",IF(NOT(ISNUMBER(B652)),"Falta fecha o fecha inválida",IF(D652="","Falta empresa",IF(AND(D652&lt;&gt;"Malcolm",D652&lt;&gt;"proMX"),"Empresa inválida",IF(OR(INT(B652)&lt;CFG_PSTART,INT(B652)&gt;CFG_PEND),"Fecha fuera del período",IF(OR(NOT(ISNUMBER(Z652)),NOT(ISNUMBER(AA652))),"Falta hora inicio/fin o formato inválido",IF(AB652=0,"Hora inicio = hora fin",IF(AE652&lt;0,"Descanso inválido",IF(AE652&gt;=AD652,"Descanso ≥ duración",IF(AV652=1,"Registro duplicado",IF(AZ652&gt;0,"Se superpone con otro registro "&amp;D652,IF(BB652=0,"inicio, fin y duración neta deben ser múltiplos de "&amp;CFG_BLK&amp;" min",""))))))))))))</f>
        <v/>
      </c>
      <c r="BD652" s="80">
        <f>IF(AND(Y652=1,BC652=""),1,0)</f>
        <v>0</v>
      </c>
      <c r="BE652" s="80">
        <f>IF(AND(BD652=1,AU652=1),1,0)</f>
        <v>0</v>
      </c>
      <c r="BF652" s="80" t="str">
        <f>IF(AND(D652="proMX",BD652=1),IF(R652="","Draft",R652),"")</f>
        <v/>
      </c>
      <c r="BG652" s="80">
        <f>IF(BD652=1,ROUND(AG652/60,6),0)</f>
        <v>0</v>
      </c>
      <c r="BH652" s="80">
        <f>IF(BE652=1,ROUND(AG652/60,6),0)</f>
        <v>0</v>
      </c>
      <c r="BI652" s="80">
        <f>IF(BE652=1,ROUND(AP652/60,6),0)</f>
        <v>0</v>
      </c>
      <c r="BJ652" s="80">
        <f>IF(BE652=1,ROUND(AQ652/60,6),0)</f>
        <v>0</v>
      </c>
      <c r="BK652" s="80">
        <f>IF(BE652=1,ROUND((AR652+AS652)/60,6),0)</f>
        <v>0</v>
      </c>
      <c r="BL652" s="80">
        <f>ROUND(BH652-BK652,6)</f>
        <v>0</v>
      </c>
      <c r="BM652" s="80">
        <f>IF(BE652=1,ROUND(AR652/60,6),0)</f>
        <v>0</v>
      </c>
      <c r="BN652" s="80">
        <f>ROUND(BI652-BM652,6)</f>
        <v>0</v>
      </c>
      <c r="BO652" s="80">
        <f>IF(BE652=1,ROUND(AS652/60,6),0)</f>
        <v>0</v>
      </c>
      <c r="BP652" s="80">
        <f>ROUND(BJ652-BO652,6)</f>
        <v>0</v>
      </c>
      <c r="BQ652" s="80">
        <f>IF(BE652=1,AW652,0)</f>
        <v>0</v>
      </c>
      <c r="BR652" s="80">
        <f>IF(BE652=1,AX652,0)</f>
        <v>0</v>
      </c>
      <c r="BS652" s="80">
        <f>IF(AND(BE652=1,D652="Malcolm",BA652&gt;0),MIN(BH652,SUMPRODUCT((R_Emp="proMX")*(R_EN&gt;0)*((R_EN-(R_EN&gt;BR652)*(R_EN-BR652))&gt;(R_SN+(R_SN&lt;BQ652)*(BQ652-R_SN)))*((R_EN-(R_EN&gt;BR652)*(R_EN-BR652))-(R_SN+(R_SN&lt;BQ652)*(BQ652-R_SN))))/60),0)</f>
        <v>0</v>
      </c>
      <c r="BT652" s="80">
        <f>IF(AND(BE652=1,D652="proMX"),ROUND(BI652*CFG_RATE+BJ652*CFG_OTRATE,6),0)</f>
        <v>0</v>
      </c>
      <c r="BU652" s="80">
        <f>IF(AND(BD652=1,D652="proMX"),ROUND(AG652/CFG_BLK,6),0)</f>
        <v>0</v>
      </c>
      <c r="BV652" s="80" t="str">
        <f>IF(BF652="Approved",IF(ISNUMBER(T652),INT(T652),INT(B652)),"")</f>
        <v/>
      </c>
      <c r="BW652" s="80">
        <f>IF(ISNUMBER(B652),IF(DB_MON="Todos",1,IF(AND(INT(B652)&gt;=DB_MS,INT(B652)&lt;=DB_ME),1,0)),0)</f>
        <v>0</v>
      </c>
      <c r="BX652" s="80">
        <f>IF(DB_PROJ="Todos",1,IF(E652&amp;""=DB_PROJ&amp;"",1,0))</f>
        <v>1</v>
      </c>
      <c r="BY652" s="80">
        <f>BW652*BX652</f>
        <v>0</v>
      </c>
      <c r="BZ652" s="80" t="str">
        <f>IF(Y652=1,F652&amp;IF(AND(F652&amp;""&lt;&gt;"",E652&amp;""&lt;&gt;"")," · ","")&amp;E652,"")</f>
        <v/>
      </c>
      <c r="CA652" s="80" t="str">
        <f>IF(AND(BD652=1,E652&amp;""&lt;&gt;""),IF(COUNTIFS($E$5:E651,E652,$BD$5:BD651,1)=0,MAX($CA$5:CA651)+1,""),"")</f>
        <v/>
      </c>
      <c r="CB652" s="80" t="str">
        <f>IF(AND(BE652=1,D652="Malcolm",E652&amp;""&lt;&gt;""),IF(COUNTIFS($D$5:D651,"Malcolm",$E$5:E651,E652,$BE$5:BE651,1)=0,MAX($CB$5:CB651)+1,""),"")</f>
        <v/>
      </c>
      <c r="CC652" s="80" t="str">
        <f>IF(AND(BD652=1,D652="proMX",E652&amp;""&lt;&gt;""),IF(COUNTIFS($D$5:D651,"proMX",$E$5:E651,E652,$BD$5:BD651,1)=0,MAX($CC$5:CC651)+1,""),"")</f>
        <v/>
      </c>
      <c r="CD652" s="80" t="str">
        <f>IF(AND(BE652=1,D652="Malcolm",F652&amp;""&lt;&gt;""),IF(COUNTIFS($D$5:D651,"Malcolm",$F$5:F651,F652,$BE$5:BE651,1)=0,MAX($CD$5:CD651)+1,""),"")</f>
        <v/>
      </c>
      <c r="CE652" s="80" t="str">
        <f>IF(AND(BD652=1,D652="proMX",F652&amp;""&lt;&gt;""),IF(COUNTIFS($D$5:D651,"proMX",$F$5:F651,F652,$BD$5:BD651,1)=0,MAX($CE$5:CE651)+1,""),"")</f>
        <v/>
      </c>
      <c r="CF652" s="80" t="str">
        <f>IF(AND(D652="proMX",BD652=1),IF(OR(BF652="Draft",BF652="Submitted",BF652="Returned",BF652="Recall Requested"),MAX($CF$5:CF651)+1,""),"")</f>
        <v/>
      </c>
      <c r="CG652" s="80">
        <f>IF(BD652=0,0,IF(D652="Malcolm",1,MATCH(BF652,{"Draft","Submitted","Approved","Returned","Recall Requested","Cancelled"},0)+1))</f>
        <v>0</v>
      </c>
      <c r="CH652" s="80">
        <f>IF(AND(BF652="Submitted",ISNUMBER(V652)),IF(V652&gt;CFG_MAXD,1,0),0)</f>
        <v>0</v>
      </c>
    </row>
    <row r="653">
      <c r="A653" s="71" t="str">
        <f>IF(Y653=1,ROW()-5,"")</f>
        <v/>
      </c>
      <c r="B653" s="72" t="n"/>
      <c r="C653" s="71" t="str">
        <f>IF(ISNUMBER(B653),CHOOSE(WEEKDAY(B653,2),"Lun","Mar","Mié","Jue","Vie","Sáb","Dom"),"")</f>
        <v/>
      </c>
      <c r="D653" s="73" t="n"/>
      <c r="E653" s="74" t="n"/>
      <c r="F653" s="74" t="n"/>
      <c r="G653" s="74" t="n"/>
      <c r="H653" s="75" t="n"/>
      <c r="I653" s="75" t="n"/>
      <c r="J653" s="76" t="n"/>
      <c r="K653" s="77" t="str">
        <f>IF(AB653=1,ROUND(AG653/60,4),"")</f>
        <v/>
      </c>
      <c r="L653" s="77" t="str">
        <f>IF(BD653=1,ROUND(AP653/60,4),"")</f>
        <v/>
      </c>
      <c r="M653" s="77" t="str">
        <f>IF(BD653=1,ROUND(AQ653/60,4),"")</f>
        <v/>
      </c>
      <c r="N653" s="71" t="str">
        <f>IF(AND(D653="proMX",AB653=1),ROUND(AG653/CFG_BLK,2),"")</f>
        <v/>
      </c>
      <c r="O653" s="77" t="str">
        <f>IF(D653="proMX",IF(BD653=1,ROUND(AG653/60,4),0),"")</f>
        <v/>
      </c>
      <c r="P653" s="78" t="str">
        <f>IF(Y653=0,"",IF(BD653=1,"OK",IF(D653="proMX","Revisar bloques: ","Revisar: ")&amp;BC653))</f>
        <v/>
      </c>
      <c r="Q653" s="78" t="str">
        <f>IF(NOT(ISNUMBER(B653)),"",IF(COUNTIFS(FER_F,INT(B653))&gt;0,"Feriado"&amp;IF(AH653=1," (laborable)"," (no laborable)"),IF(AH653=1,"Laborable",IF(WEEKDAY(B653,2)&gt;5,"Fin de semana","No laborable"))))</f>
        <v/>
      </c>
      <c r="R653" s="73" t="n"/>
      <c r="S653" s="72" t="n"/>
      <c r="T653" s="72" t="n"/>
      <c r="U653" s="74" t="n"/>
      <c r="V653" s="79" t="str">
        <f>IF(AND(D653="proMX",OR(R653="Submitted",R653="Recall Requested"),ISNUMBER(S653)),CFG_TODAY-INT(S653),"")</f>
        <v/>
      </c>
      <c r="W653" s="78" t="str">
        <f>IF(BD653=0,"",IF(BA653&gt;0,"⚠ Se superpone con un registro de la otra empresa",IF(D653="Malcolm",IF(COUNTA(R653,S653,T653)&gt;0,"Estado/fechas proMX se ignoran en Malcolm",""),IF(BF653="Cancelled","Cancelado: excluido de totales",IF(R653="","Sin estado: se trata como Draft",IF(BF653="Submitted",IF(ISNUMBER(V653),IF(V653&gt;CFG_MAXD,"⚠ "&amp;V653&amp;" días en Submitted (máx. "&amp;CFG_MAXD&amp;")",""),"Falta fecha de envío"),IF(BF653="Returned","⚠ Devuelto: corregir y reenviar",IF(BF653="Recall Requested","Retirada solicitada: pendiente",IF(AND(BF653="Approved",NOT(ISNUMBER(T653))),"Falta fecha de aprobación",IF(AND(ISNUMBER(S653),ISNUMBER(T653),T653&lt;S653),"Aprobación anterior al envío","")))))))))</f>
        <v/>
      </c>
      <c r="Y653" s="80">
        <f>IF(COUNTA(B653,D653,E653,F653,G653,H653,I653,J653,R653,S653,T653)&gt;0,1,0)</f>
        <v>0</v>
      </c>
      <c r="Z653" s="80" t="str">
        <f>IF(AND(ISNUMBER(H653),H653&gt;=0,H653&lt;1),ROUND(H653*1440,0),"")</f>
        <v/>
      </c>
      <c r="AA653" s="80" t="str">
        <f>IF(AND(ISNUMBER(I653),I653&gt;=0,I653&lt;1),ROUND(I653*1440,0),"")</f>
        <v/>
      </c>
      <c r="AB653" s="80">
        <f>IF(AND(ISNUMBER(B653),D653&lt;&gt;"",ISNUMBER(Z653),ISNUMBER(AA653)),IF(Z653=AA653,0,1),0)</f>
        <v>0</v>
      </c>
      <c r="AC653" s="80">
        <f>IF(AB653=1,IF(AA653&lt;Z653,1,0),0)</f>
        <v>0</v>
      </c>
      <c r="AD653" s="80">
        <f>IF(AB653=1,IF(AC653=1,1440-Z653+AA653,AA653-Z653),0)</f>
        <v>0</v>
      </c>
      <c r="AE653" s="80">
        <f>IF(J653="",0,IF(ISNUMBER(J653),J653,-1))</f>
        <v>0</v>
      </c>
      <c r="AF653" s="80">
        <f>MIN(MAX(0,AE653),AD653)</f>
        <v>0</v>
      </c>
      <c r="AG653" s="80">
        <f>MAX(0,AD653-MAX(0,AE653))</f>
        <v>0</v>
      </c>
      <c r="AH653" s="80">
        <f>IF(ISNUMBER(B653),IF(AND(INDEX(CFG_WDAYS,WEEKDAY(INT(B653),2))="Sí",IF(D653="proMX",COUNTIFS(FER_F,INT(B653),FER_NLP,"Sí"),COUNTIFS(FER_F,INT(B653),FER_NLM,"Sí"))=0),1,0),0)</f>
        <v>0</v>
      </c>
      <c r="AI653" s="80">
        <f>IF(AC653=1,IF(AND(INDEX(CFG_WDAYS,WEEKDAY(INT(B653)+1,2))="Sí",IF(D653="proMX",COUNTIFS(FER_F,INT(B653)+1,FER_NLP,"Sí"),COUNTIFS(FER_F,INT(B653)+1,FER_NLM,"Sí"))=0),1,0),0)</f>
        <v>0</v>
      </c>
      <c r="AJ653" s="80">
        <f>IF(AC653=1,1440-Z653,AD653)</f>
        <v>0</v>
      </c>
      <c r="AK653" s="80">
        <f>IF(AND(AB653=1,AH653=1),MAX(0,MIN(IF(AC653=1,1440,AA653),CFG_WEM)-MAX(Z653,CFG_WSM)),0)</f>
        <v>0</v>
      </c>
      <c r="AL653" s="80">
        <f>IF(AND(AC653=1,AI653=1),MAX(0,MIN(AA653,CFG_WEM)-CFG_WSM),0)</f>
        <v>0</v>
      </c>
      <c r="AM653" s="80">
        <f>AK653+AL653</f>
        <v>0</v>
      </c>
      <c r="AN653" s="80">
        <f>IF(CFG_BRK="Proporcional",IF(AD653=0,0,AF653*AM653/AD653),IF(CFG_BRK="Extras primero",MIN(AM653,MAX(0,AF653-(AD653-AM653))),MIN(AF653,AM653)))</f>
        <v>0</v>
      </c>
      <c r="AO653" s="80">
        <f>AF653-AN653</f>
        <v>0</v>
      </c>
      <c r="AP653" s="80">
        <f>AM653-AN653</f>
        <v>0</v>
      </c>
      <c r="AQ653" s="80">
        <f>AD653-AM653-AO653</f>
        <v>0</v>
      </c>
      <c r="AR653" s="80">
        <f>IF(AM653=0,0,AK653-AN653*AK653/AM653)</f>
        <v>0</v>
      </c>
      <c r="AS653" s="80">
        <f>IF(AD653-AM653=0,0,(AJ653-AK653)-AO653*(AJ653-AK653)/(AD653-AM653))</f>
        <v>0</v>
      </c>
      <c r="AT653" s="80" t="str">
        <f>IF(AC653=1,INT(B653)+1,"")</f>
        <v/>
      </c>
      <c r="AU653" s="80">
        <f>IF(AND(D653="proMX",R653="Cancelled"),0,1)</f>
        <v>1</v>
      </c>
      <c r="AV653" s="80">
        <f>IF(AND(AB653=1,AU653=1),IF(COUNTIFS($D$5:D652,D653,$B$5:B652,B653,$Z$5:Z652,Z653,$AA$5:AA652,AA653,$F$5:F652,F653&amp;"",$AU$5:AU652,1)&gt;0,1,0),0)</f>
        <v>0</v>
      </c>
      <c r="AW653" s="80" t="str">
        <f>IF(AB653=1,INT(B653)*1440+Z653,"")</f>
        <v/>
      </c>
      <c r="AX653" s="80" t="str">
        <f>IF(AB653=1,AW653+AD653,"")</f>
        <v/>
      </c>
      <c r="AY653" s="80">
        <f>IF(AND(AB653=1,AV653=0,AU653=1),1,0)</f>
        <v>0</v>
      </c>
      <c r="AZ653" s="80">
        <f>IF(AY653=1,COUNTIFS(R_Emp,D653,R_SAbs,"&lt;"&amp;AX653,R_EAbs,"&gt;"&amp;AW653,R_OKey,1)-1,0)</f>
        <v>0</v>
      </c>
      <c r="BA653" s="80">
        <f>IF(AY653=1,COUNTIFS(R_Emp,"&lt;&gt;"&amp;D653,R_SAbs,"&lt;"&amp;AX653,R_EAbs,"&gt;"&amp;AW653,R_OKey,1),0)</f>
        <v>0</v>
      </c>
      <c r="BB653" s="80">
        <f>IF(AND(AB653=1,D653="proMX"),IF(AND(MOD(Z653,CFG_BLK)=0,MOD(AA653,CFG_BLK)=0,MOD(AG653,CFG_BLK)=0,AG653&gt;0),1,0),1)</f>
        <v>1</v>
      </c>
      <c r="BC653" s="80" t="str">
        <f>IF(Y653=0,"",IF(NOT(ISNUMBER(B653)),"Falta fecha o fecha inválida",IF(D653="","Falta empresa",IF(AND(D653&lt;&gt;"Malcolm",D653&lt;&gt;"proMX"),"Empresa inválida",IF(OR(INT(B653)&lt;CFG_PSTART,INT(B653)&gt;CFG_PEND),"Fecha fuera del período",IF(OR(NOT(ISNUMBER(Z653)),NOT(ISNUMBER(AA653))),"Falta hora inicio/fin o formato inválido",IF(AB653=0,"Hora inicio = hora fin",IF(AE653&lt;0,"Descanso inválido",IF(AE653&gt;=AD653,"Descanso ≥ duración",IF(AV653=1,"Registro duplicado",IF(AZ653&gt;0,"Se superpone con otro registro "&amp;D653,IF(BB653=0,"inicio, fin y duración neta deben ser múltiplos de "&amp;CFG_BLK&amp;" min",""))))))))))))</f>
        <v/>
      </c>
      <c r="BD653" s="80">
        <f>IF(AND(Y653=1,BC653=""),1,0)</f>
        <v>0</v>
      </c>
      <c r="BE653" s="80">
        <f>IF(AND(BD653=1,AU653=1),1,0)</f>
        <v>0</v>
      </c>
      <c r="BF653" s="80" t="str">
        <f>IF(AND(D653="proMX",BD653=1),IF(R653="","Draft",R653),"")</f>
        <v/>
      </c>
      <c r="BG653" s="80">
        <f>IF(BD653=1,ROUND(AG653/60,6),0)</f>
        <v>0</v>
      </c>
      <c r="BH653" s="80">
        <f>IF(BE653=1,ROUND(AG653/60,6),0)</f>
        <v>0</v>
      </c>
      <c r="BI653" s="80">
        <f>IF(BE653=1,ROUND(AP653/60,6),0)</f>
        <v>0</v>
      </c>
      <c r="BJ653" s="80">
        <f>IF(BE653=1,ROUND(AQ653/60,6),0)</f>
        <v>0</v>
      </c>
      <c r="BK653" s="80">
        <f>IF(BE653=1,ROUND((AR653+AS653)/60,6),0)</f>
        <v>0</v>
      </c>
      <c r="BL653" s="80">
        <f>ROUND(BH653-BK653,6)</f>
        <v>0</v>
      </c>
      <c r="BM653" s="80">
        <f>IF(BE653=1,ROUND(AR653/60,6),0)</f>
        <v>0</v>
      </c>
      <c r="BN653" s="80">
        <f>ROUND(BI653-BM653,6)</f>
        <v>0</v>
      </c>
      <c r="BO653" s="80">
        <f>IF(BE653=1,ROUND(AS653/60,6),0)</f>
        <v>0</v>
      </c>
      <c r="BP653" s="80">
        <f>ROUND(BJ653-BO653,6)</f>
        <v>0</v>
      </c>
      <c r="BQ653" s="80">
        <f>IF(BE653=1,AW653,0)</f>
        <v>0</v>
      </c>
      <c r="BR653" s="80">
        <f>IF(BE653=1,AX653,0)</f>
        <v>0</v>
      </c>
      <c r="BS653" s="80">
        <f>IF(AND(BE653=1,D653="Malcolm",BA653&gt;0),MIN(BH653,SUMPRODUCT((R_Emp="proMX")*(R_EN&gt;0)*((R_EN-(R_EN&gt;BR653)*(R_EN-BR653))&gt;(R_SN+(R_SN&lt;BQ653)*(BQ653-R_SN)))*((R_EN-(R_EN&gt;BR653)*(R_EN-BR653))-(R_SN+(R_SN&lt;BQ653)*(BQ653-R_SN))))/60),0)</f>
        <v>0</v>
      </c>
      <c r="BT653" s="80">
        <f>IF(AND(BE653=1,D653="proMX"),ROUND(BI653*CFG_RATE+BJ653*CFG_OTRATE,6),0)</f>
        <v>0</v>
      </c>
      <c r="BU653" s="80">
        <f>IF(AND(BD653=1,D653="proMX"),ROUND(AG653/CFG_BLK,6),0)</f>
        <v>0</v>
      </c>
      <c r="BV653" s="80" t="str">
        <f>IF(BF653="Approved",IF(ISNUMBER(T653),INT(T653),INT(B653)),"")</f>
        <v/>
      </c>
      <c r="BW653" s="80">
        <f>IF(ISNUMBER(B653),IF(DB_MON="Todos",1,IF(AND(INT(B653)&gt;=DB_MS,INT(B653)&lt;=DB_ME),1,0)),0)</f>
        <v>0</v>
      </c>
      <c r="BX653" s="80">
        <f>IF(DB_PROJ="Todos",1,IF(E653&amp;""=DB_PROJ&amp;"",1,0))</f>
        <v>1</v>
      </c>
      <c r="BY653" s="80">
        <f>BW653*BX653</f>
        <v>0</v>
      </c>
      <c r="BZ653" s="80" t="str">
        <f>IF(Y653=1,F653&amp;IF(AND(F653&amp;""&lt;&gt;"",E653&amp;""&lt;&gt;"")," · ","")&amp;E653,"")</f>
        <v/>
      </c>
      <c r="CA653" s="80" t="str">
        <f>IF(AND(BD653=1,E653&amp;""&lt;&gt;""),IF(COUNTIFS($E$5:E652,E653,$BD$5:BD652,1)=0,MAX($CA$5:CA652)+1,""),"")</f>
        <v/>
      </c>
      <c r="CB653" s="80" t="str">
        <f>IF(AND(BE653=1,D653="Malcolm",E653&amp;""&lt;&gt;""),IF(COUNTIFS($D$5:D652,"Malcolm",$E$5:E652,E653,$BE$5:BE652,1)=0,MAX($CB$5:CB652)+1,""),"")</f>
        <v/>
      </c>
      <c r="CC653" s="80" t="str">
        <f>IF(AND(BD653=1,D653="proMX",E653&amp;""&lt;&gt;""),IF(COUNTIFS($D$5:D652,"proMX",$E$5:E652,E653,$BD$5:BD652,1)=0,MAX($CC$5:CC652)+1,""),"")</f>
        <v/>
      </c>
      <c r="CD653" s="80" t="str">
        <f>IF(AND(BE653=1,D653="Malcolm",F653&amp;""&lt;&gt;""),IF(COUNTIFS($D$5:D652,"Malcolm",$F$5:F652,F653,$BE$5:BE652,1)=0,MAX($CD$5:CD652)+1,""),"")</f>
        <v/>
      </c>
      <c r="CE653" s="80" t="str">
        <f>IF(AND(BD653=1,D653="proMX",F653&amp;""&lt;&gt;""),IF(COUNTIFS($D$5:D652,"proMX",$F$5:F652,F653,$BD$5:BD652,1)=0,MAX($CE$5:CE652)+1,""),"")</f>
        <v/>
      </c>
      <c r="CF653" s="80" t="str">
        <f>IF(AND(D653="proMX",BD653=1),IF(OR(BF653="Draft",BF653="Submitted",BF653="Returned",BF653="Recall Requested"),MAX($CF$5:CF652)+1,""),"")</f>
        <v/>
      </c>
      <c r="CG653" s="80">
        <f>IF(BD653=0,0,IF(D653="Malcolm",1,MATCH(BF653,{"Draft","Submitted","Approved","Returned","Recall Requested","Cancelled"},0)+1))</f>
        <v>0</v>
      </c>
      <c r="CH653" s="80">
        <f>IF(AND(BF653="Submitted",ISNUMBER(V653)),IF(V653&gt;CFG_MAXD,1,0),0)</f>
        <v>0</v>
      </c>
    </row>
    <row r="654">
      <c r="A654" s="71" t="str">
        <f>IF(Y654=1,ROW()-5,"")</f>
        <v/>
      </c>
      <c r="B654" s="72" t="n"/>
      <c r="C654" s="71" t="str">
        <f>IF(ISNUMBER(B654),CHOOSE(WEEKDAY(B654,2),"Lun","Mar","Mié","Jue","Vie","Sáb","Dom"),"")</f>
        <v/>
      </c>
      <c r="D654" s="73" t="n"/>
      <c r="E654" s="74" t="n"/>
      <c r="F654" s="74" t="n"/>
      <c r="G654" s="74" t="n"/>
      <c r="H654" s="75" t="n"/>
      <c r="I654" s="75" t="n"/>
      <c r="J654" s="76" t="n"/>
      <c r="K654" s="77" t="str">
        <f>IF(AB654=1,ROUND(AG654/60,4),"")</f>
        <v/>
      </c>
      <c r="L654" s="77" t="str">
        <f>IF(BD654=1,ROUND(AP654/60,4),"")</f>
        <v/>
      </c>
      <c r="M654" s="77" t="str">
        <f>IF(BD654=1,ROUND(AQ654/60,4),"")</f>
        <v/>
      </c>
      <c r="N654" s="71" t="str">
        <f>IF(AND(D654="proMX",AB654=1),ROUND(AG654/CFG_BLK,2),"")</f>
        <v/>
      </c>
      <c r="O654" s="77" t="str">
        <f>IF(D654="proMX",IF(BD654=1,ROUND(AG654/60,4),0),"")</f>
        <v/>
      </c>
      <c r="P654" s="78" t="str">
        <f>IF(Y654=0,"",IF(BD654=1,"OK",IF(D654="proMX","Revisar bloques: ","Revisar: ")&amp;BC654))</f>
        <v/>
      </c>
      <c r="Q654" s="78" t="str">
        <f>IF(NOT(ISNUMBER(B654)),"",IF(COUNTIFS(FER_F,INT(B654))&gt;0,"Feriado"&amp;IF(AH654=1," (laborable)"," (no laborable)"),IF(AH654=1,"Laborable",IF(WEEKDAY(B654,2)&gt;5,"Fin de semana","No laborable"))))</f>
        <v/>
      </c>
      <c r="R654" s="73" t="n"/>
      <c r="S654" s="72" t="n"/>
      <c r="T654" s="72" t="n"/>
      <c r="U654" s="74" t="n"/>
      <c r="V654" s="79" t="str">
        <f>IF(AND(D654="proMX",OR(R654="Submitted",R654="Recall Requested"),ISNUMBER(S654)),CFG_TODAY-INT(S654),"")</f>
        <v/>
      </c>
      <c r="W654" s="78" t="str">
        <f>IF(BD654=0,"",IF(BA654&gt;0,"⚠ Se superpone con un registro de la otra empresa",IF(D654="Malcolm",IF(COUNTA(R654,S654,T654)&gt;0,"Estado/fechas proMX se ignoran en Malcolm",""),IF(BF654="Cancelled","Cancelado: excluido de totales",IF(R654="","Sin estado: se trata como Draft",IF(BF654="Submitted",IF(ISNUMBER(V654),IF(V654&gt;CFG_MAXD,"⚠ "&amp;V654&amp;" días en Submitted (máx. "&amp;CFG_MAXD&amp;")",""),"Falta fecha de envío"),IF(BF654="Returned","⚠ Devuelto: corregir y reenviar",IF(BF654="Recall Requested","Retirada solicitada: pendiente",IF(AND(BF654="Approved",NOT(ISNUMBER(T654))),"Falta fecha de aprobación",IF(AND(ISNUMBER(S654),ISNUMBER(T654),T654&lt;S654),"Aprobación anterior al envío","")))))))))</f>
        <v/>
      </c>
      <c r="Y654" s="80">
        <f>IF(COUNTA(B654,D654,E654,F654,G654,H654,I654,J654,R654,S654,T654)&gt;0,1,0)</f>
        <v>0</v>
      </c>
      <c r="Z654" s="80" t="str">
        <f>IF(AND(ISNUMBER(H654),H654&gt;=0,H654&lt;1),ROUND(H654*1440,0),"")</f>
        <v/>
      </c>
      <c r="AA654" s="80" t="str">
        <f>IF(AND(ISNUMBER(I654),I654&gt;=0,I654&lt;1),ROUND(I654*1440,0),"")</f>
        <v/>
      </c>
      <c r="AB654" s="80">
        <f>IF(AND(ISNUMBER(B654),D654&lt;&gt;"",ISNUMBER(Z654),ISNUMBER(AA654)),IF(Z654=AA654,0,1),0)</f>
        <v>0</v>
      </c>
      <c r="AC654" s="80">
        <f>IF(AB654=1,IF(AA654&lt;Z654,1,0),0)</f>
        <v>0</v>
      </c>
      <c r="AD654" s="80">
        <f>IF(AB654=1,IF(AC654=1,1440-Z654+AA654,AA654-Z654),0)</f>
        <v>0</v>
      </c>
      <c r="AE654" s="80">
        <f>IF(J654="",0,IF(ISNUMBER(J654),J654,-1))</f>
        <v>0</v>
      </c>
      <c r="AF654" s="80">
        <f>MIN(MAX(0,AE654),AD654)</f>
        <v>0</v>
      </c>
      <c r="AG654" s="80">
        <f>MAX(0,AD654-MAX(0,AE654))</f>
        <v>0</v>
      </c>
      <c r="AH654" s="80">
        <f>IF(ISNUMBER(B654),IF(AND(INDEX(CFG_WDAYS,WEEKDAY(INT(B654),2))="Sí",IF(D654="proMX",COUNTIFS(FER_F,INT(B654),FER_NLP,"Sí"),COUNTIFS(FER_F,INT(B654),FER_NLM,"Sí"))=0),1,0),0)</f>
        <v>0</v>
      </c>
      <c r="AI654" s="80">
        <f>IF(AC654=1,IF(AND(INDEX(CFG_WDAYS,WEEKDAY(INT(B654)+1,2))="Sí",IF(D654="proMX",COUNTIFS(FER_F,INT(B654)+1,FER_NLP,"Sí"),COUNTIFS(FER_F,INT(B654)+1,FER_NLM,"Sí"))=0),1,0),0)</f>
        <v>0</v>
      </c>
      <c r="AJ654" s="80">
        <f>IF(AC654=1,1440-Z654,AD654)</f>
        <v>0</v>
      </c>
      <c r="AK654" s="80">
        <f>IF(AND(AB654=1,AH654=1),MAX(0,MIN(IF(AC654=1,1440,AA654),CFG_WEM)-MAX(Z654,CFG_WSM)),0)</f>
        <v>0</v>
      </c>
      <c r="AL654" s="80">
        <f>IF(AND(AC654=1,AI654=1),MAX(0,MIN(AA654,CFG_WEM)-CFG_WSM),0)</f>
        <v>0</v>
      </c>
      <c r="AM654" s="80">
        <f>AK654+AL654</f>
        <v>0</v>
      </c>
      <c r="AN654" s="80">
        <f>IF(CFG_BRK="Proporcional",IF(AD654=0,0,AF654*AM654/AD654),IF(CFG_BRK="Extras primero",MIN(AM654,MAX(0,AF654-(AD654-AM654))),MIN(AF654,AM654)))</f>
        <v>0</v>
      </c>
      <c r="AO654" s="80">
        <f>AF654-AN654</f>
        <v>0</v>
      </c>
      <c r="AP654" s="80">
        <f>AM654-AN654</f>
        <v>0</v>
      </c>
      <c r="AQ654" s="80">
        <f>AD654-AM654-AO654</f>
        <v>0</v>
      </c>
      <c r="AR654" s="80">
        <f>IF(AM654=0,0,AK654-AN654*AK654/AM654)</f>
        <v>0</v>
      </c>
      <c r="AS654" s="80">
        <f>IF(AD654-AM654=0,0,(AJ654-AK654)-AO654*(AJ654-AK654)/(AD654-AM654))</f>
        <v>0</v>
      </c>
      <c r="AT654" s="80" t="str">
        <f>IF(AC654=1,INT(B654)+1,"")</f>
        <v/>
      </c>
      <c r="AU654" s="80">
        <f>IF(AND(D654="proMX",R654="Cancelled"),0,1)</f>
        <v>1</v>
      </c>
      <c r="AV654" s="80">
        <f>IF(AND(AB654=1,AU654=1),IF(COUNTIFS($D$5:D653,D654,$B$5:B653,B654,$Z$5:Z653,Z654,$AA$5:AA653,AA654,$F$5:F653,F654&amp;"",$AU$5:AU653,1)&gt;0,1,0),0)</f>
        <v>0</v>
      </c>
      <c r="AW654" s="80" t="str">
        <f>IF(AB654=1,INT(B654)*1440+Z654,"")</f>
        <v/>
      </c>
      <c r="AX654" s="80" t="str">
        <f>IF(AB654=1,AW654+AD654,"")</f>
        <v/>
      </c>
      <c r="AY654" s="80">
        <f>IF(AND(AB654=1,AV654=0,AU654=1),1,0)</f>
        <v>0</v>
      </c>
      <c r="AZ654" s="80">
        <f>IF(AY654=1,COUNTIFS(R_Emp,D654,R_SAbs,"&lt;"&amp;AX654,R_EAbs,"&gt;"&amp;AW654,R_OKey,1)-1,0)</f>
        <v>0</v>
      </c>
      <c r="BA654" s="80">
        <f>IF(AY654=1,COUNTIFS(R_Emp,"&lt;&gt;"&amp;D654,R_SAbs,"&lt;"&amp;AX654,R_EAbs,"&gt;"&amp;AW654,R_OKey,1),0)</f>
        <v>0</v>
      </c>
      <c r="BB654" s="80">
        <f>IF(AND(AB654=1,D654="proMX"),IF(AND(MOD(Z654,CFG_BLK)=0,MOD(AA654,CFG_BLK)=0,MOD(AG654,CFG_BLK)=0,AG654&gt;0),1,0),1)</f>
        <v>1</v>
      </c>
      <c r="BC654" s="80" t="str">
        <f>IF(Y654=0,"",IF(NOT(ISNUMBER(B654)),"Falta fecha o fecha inválida",IF(D654="","Falta empresa",IF(AND(D654&lt;&gt;"Malcolm",D654&lt;&gt;"proMX"),"Empresa inválida",IF(OR(INT(B654)&lt;CFG_PSTART,INT(B654)&gt;CFG_PEND),"Fecha fuera del período",IF(OR(NOT(ISNUMBER(Z654)),NOT(ISNUMBER(AA654))),"Falta hora inicio/fin o formato inválido",IF(AB654=0,"Hora inicio = hora fin",IF(AE654&lt;0,"Descanso inválido",IF(AE654&gt;=AD654,"Descanso ≥ duración",IF(AV654=1,"Registro duplicado",IF(AZ654&gt;0,"Se superpone con otro registro "&amp;D654,IF(BB654=0,"inicio, fin y duración neta deben ser múltiplos de "&amp;CFG_BLK&amp;" min",""))))))))))))</f>
        <v/>
      </c>
      <c r="BD654" s="80">
        <f>IF(AND(Y654=1,BC654=""),1,0)</f>
        <v>0</v>
      </c>
      <c r="BE654" s="80">
        <f>IF(AND(BD654=1,AU654=1),1,0)</f>
        <v>0</v>
      </c>
      <c r="BF654" s="80" t="str">
        <f>IF(AND(D654="proMX",BD654=1),IF(R654="","Draft",R654),"")</f>
        <v/>
      </c>
      <c r="BG654" s="80">
        <f>IF(BD654=1,ROUND(AG654/60,6),0)</f>
        <v>0</v>
      </c>
      <c r="BH654" s="80">
        <f>IF(BE654=1,ROUND(AG654/60,6),0)</f>
        <v>0</v>
      </c>
      <c r="BI654" s="80">
        <f>IF(BE654=1,ROUND(AP654/60,6),0)</f>
        <v>0</v>
      </c>
      <c r="BJ654" s="80">
        <f>IF(BE654=1,ROUND(AQ654/60,6),0)</f>
        <v>0</v>
      </c>
      <c r="BK654" s="80">
        <f>IF(BE654=1,ROUND((AR654+AS654)/60,6),0)</f>
        <v>0</v>
      </c>
      <c r="BL654" s="80">
        <f>ROUND(BH654-BK654,6)</f>
        <v>0</v>
      </c>
      <c r="BM654" s="80">
        <f>IF(BE654=1,ROUND(AR654/60,6),0)</f>
        <v>0</v>
      </c>
      <c r="BN654" s="80">
        <f>ROUND(BI654-BM654,6)</f>
        <v>0</v>
      </c>
      <c r="BO654" s="80">
        <f>IF(BE654=1,ROUND(AS654/60,6),0)</f>
        <v>0</v>
      </c>
      <c r="BP654" s="80">
        <f>ROUND(BJ654-BO654,6)</f>
        <v>0</v>
      </c>
      <c r="BQ654" s="80">
        <f>IF(BE654=1,AW654,0)</f>
        <v>0</v>
      </c>
      <c r="BR654" s="80">
        <f>IF(BE654=1,AX654,0)</f>
        <v>0</v>
      </c>
      <c r="BS654" s="80">
        <f>IF(AND(BE654=1,D654="Malcolm",BA654&gt;0),MIN(BH654,SUMPRODUCT((R_Emp="proMX")*(R_EN&gt;0)*((R_EN-(R_EN&gt;BR654)*(R_EN-BR654))&gt;(R_SN+(R_SN&lt;BQ654)*(BQ654-R_SN)))*((R_EN-(R_EN&gt;BR654)*(R_EN-BR654))-(R_SN+(R_SN&lt;BQ654)*(BQ654-R_SN))))/60),0)</f>
        <v>0</v>
      </c>
      <c r="BT654" s="80">
        <f>IF(AND(BE654=1,D654="proMX"),ROUND(BI654*CFG_RATE+BJ654*CFG_OTRATE,6),0)</f>
        <v>0</v>
      </c>
      <c r="BU654" s="80">
        <f>IF(AND(BD654=1,D654="proMX"),ROUND(AG654/CFG_BLK,6),0)</f>
        <v>0</v>
      </c>
      <c r="BV654" s="80" t="str">
        <f>IF(BF654="Approved",IF(ISNUMBER(T654),INT(T654),INT(B654)),"")</f>
        <v/>
      </c>
      <c r="BW654" s="80">
        <f>IF(ISNUMBER(B654),IF(DB_MON="Todos",1,IF(AND(INT(B654)&gt;=DB_MS,INT(B654)&lt;=DB_ME),1,0)),0)</f>
        <v>0</v>
      </c>
      <c r="BX654" s="80">
        <f>IF(DB_PROJ="Todos",1,IF(E654&amp;""=DB_PROJ&amp;"",1,0))</f>
        <v>1</v>
      </c>
      <c r="BY654" s="80">
        <f>BW654*BX654</f>
        <v>0</v>
      </c>
      <c r="BZ654" s="80" t="str">
        <f>IF(Y654=1,F654&amp;IF(AND(F654&amp;""&lt;&gt;"",E654&amp;""&lt;&gt;"")," · ","")&amp;E654,"")</f>
        <v/>
      </c>
      <c r="CA654" s="80" t="str">
        <f>IF(AND(BD654=1,E654&amp;""&lt;&gt;""),IF(COUNTIFS($E$5:E653,E654,$BD$5:BD653,1)=0,MAX($CA$5:CA653)+1,""),"")</f>
        <v/>
      </c>
      <c r="CB654" s="80" t="str">
        <f>IF(AND(BE654=1,D654="Malcolm",E654&amp;""&lt;&gt;""),IF(COUNTIFS($D$5:D653,"Malcolm",$E$5:E653,E654,$BE$5:BE653,1)=0,MAX($CB$5:CB653)+1,""),"")</f>
        <v/>
      </c>
      <c r="CC654" s="80" t="str">
        <f>IF(AND(BD654=1,D654="proMX",E654&amp;""&lt;&gt;""),IF(COUNTIFS($D$5:D653,"proMX",$E$5:E653,E654,$BD$5:BD653,1)=0,MAX($CC$5:CC653)+1,""),"")</f>
        <v/>
      </c>
      <c r="CD654" s="80" t="str">
        <f>IF(AND(BE654=1,D654="Malcolm",F654&amp;""&lt;&gt;""),IF(COUNTIFS($D$5:D653,"Malcolm",$F$5:F653,F654,$BE$5:BE653,1)=0,MAX($CD$5:CD653)+1,""),"")</f>
        <v/>
      </c>
      <c r="CE654" s="80" t="str">
        <f>IF(AND(BD654=1,D654="proMX",F654&amp;""&lt;&gt;""),IF(COUNTIFS($D$5:D653,"proMX",$F$5:F653,F654,$BD$5:BD653,1)=0,MAX($CE$5:CE653)+1,""),"")</f>
        <v/>
      </c>
      <c r="CF654" s="80" t="str">
        <f>IF(AND(D654="proMX",BD654=1),IF(OR(BF654="Draft",BF654="Submitted",BF654="Returned",BF654="Recall Requested"),MAX($CF$5:CF653)+1,""),"")</f>
        <v/>
      </c>
      <c r="CG654" s="80">
        <f>IF(BD654=0,0,IF(D654="Malcolm",1,MATCH(BF654,{"Draft","Submitted","Approved","Returned","Recall Requested","Cancelled"},0)+1))</f>
        <v>0</v>
      </c>
      <c r="CH654" s="80">
        <f>IF(AND(BF654="Submitted",ISNUMBER(V654)),IF(V654&gt;CFG_MAXD,1,0),0)</f>
        <v>0</v>
      </c>
    </row>
    <row r="655">
      <c r="A655" s="71" t="str">
        <f>IF(Y655=1,ROW()-5,"")</f>
        <v/>
      </c>
      <c r="B655" s="72" t="n"/>
      <c r="C655" s="71" t="str">
        <f>IF(ISNUMBER(B655),CHOOSE(WEEKDAY(B655,2),"Lun","Mar","Mié","Jue","Vie","Sáb","Dom"),"")</f>
        <v/>
      </c>
      <c r="D655" s="73" t="n"/>
      <c r="E655" s="74" t="n"/>
      <c r="F655" s="74" t="n"/>
      <c r="G655" s="74" t="n"/>
      <c r="H655" s="75" t="n"/>
      <c r="I655" s="75" t="n"/>
      <c r="J655" s="76" t="n"/>
      <c r="K655" s="77" t="str">
        <f>IF(AB655=1,ROUND(AG655/60,4),"")</f>
        <v/>
      </c>
      <c r="L655" s="77" t="str">
        <f>IF(BD655=1,ROUND(AP655/60,4),"")</f>
        <v/>
      </c>
      <c r="M655" s="77" t="str">
        <f>IF(BD655=1,ROUND(AQ655/60,4),"")</f>
        <v/>
      </c>
      <c r="N655" s="71" t="str">
        <f>IF(AND(D655="proMX",AB655=1),ROUND(AG655/CFG_BLK,2),"")</f>
        <v/>
      </c>
      <c r="O655" s="77" t="str">
        <f>IF(D655="proMX",IF(BD655=1,ROUND(AG655/60,4),0),"")</f>
        <v/>
      </c>
      <c r="P655" s="78" t="str">
        <f>IF(Y655=0,"",IF(BD655=1,"OK",IF(D655="proMX","Revisar bloques: ","Revisar: ")&amp;BC655))</f>
        <v/>
      </c>
      <c r="Q655" s="78" t="str">
        <f>IF(NOT(ISNUMBER(B655)),"",IF(COUNTIFS(FER_F,INT(B655))&gt;0,"Feriado"&amp;IF(AH655=1," (laborable)"," (no laborable)"),IF(AH655=1,"Laborable",IF(WEEKDAY(B655,2)&gt;5,"Fin de semana","No laborable"))))</f>
        <v/>
      </c>
      <c r="R655" s="73" t="n"/>
      <c r="S655" s="72" t="n"/>
      <c r="T655" s="72" t="n"/>
      <c r="U655" s="74" t="n"/>
      <c r="V655" s="79" t="str">
        <f>IF(AND(D655="proMX",OR(R655="Submitted",R655="Recall Requested"),ISNUMBER(S655)),CFG_TODAY-INT(S655),"")</f>
        <v/>
      </c>
      <c r="W655" s="78" t="str">
        <f>IF(BD655=0,"",IF(BA655&gt;0,"⚠ Se superpone con un registro de la otra empresa",IF(D655="Malcolm",IF(COUNTA(R655,S655,T655)&gt;0,"Estado/fechas proMX se ignoran en Malcolm",""),IF(BF655="Cancelled","Cancelado: excluido de totales",IF(R655="","Sin estado: se trata como Draft",IF(BF655="Submitted",IF(ISNUMBER(V655),IF(V655&gt;CFG_MAXD,"⚠ "&amp;V655&amp;" días en Submitted (máx. "&amp;CFG_MAXD&amp;")",""),"Falta fecha de envío"),IF(BF655="Returned","⚠ Devuelto: corregir y reenviar",IF(BF655="Recall Requested","Retirada solicitada: pendiente",IF(AND(BF655="Approved",NOT(ISNUMBER(T655))),"Falta fecha de aprobación",IF(AND(ISNUMBER(S655),ISNUMBER(T655),T655&lt;S655),"Aprobación anterior al envío","")))))))))</f>
        <v/>
      </c>
      <c r="Y655" s="80">
        <f>IF(COUNTA(B655,D655,E655,F655,G655,H655,I655,J655,R655,S655,T655)&gt;0,1,0)</f>
        <v>0</v>
      </c>
      <c r="Z655" s="80" t="str">
        <f>IF(AND(ISNUMBER(H655),H655&gt;=0,H655&lt;1),ROUND(H655*1440,0),"")</f>
        <v/>
      </c>
      <c r="AA655" s="80" t="str">
        <f>IF(AND(ISNUMBER(I655),I655&gt;=0,I655&lt;1),ROUND(I655*1440,0),"")</f>
        <v/>
      </c>
      <c r="AB655" s="80">
        <f>IF(AND(ISNUMBER(B655),D655&lt;&gt;"",ISNUMBER(Z655),ISNUMBER(AA655)),IF(Z655=AA655,0,1),0)</f>
        <v>0</v>
      </c>
      <c r="AC655" s="80">
        <f>IF(AB655=1,IF(AA655&lt;Z655,1,0),0)</f>
        <v>0</v>
      </c>
      <c r="AD655" s="80">
        <f>IF(AB655=1,IF(AC655=1,1440-Z655+AA655,AA655-Z655),0)</f>
        <v>0</v>
      </c>
      <c r="AE655" s="80">
        <f>IF(J655="",0,IF(ISNUMBER(J655),J655,-1))</f>
        <v>0</v>
      </c>
      <c r="AF655" s="80">
        <f>MIN(MAX(0,AE655),AD655)</f>
        <v>0</v>
      </c>
      <c r="AG655" s="80">
        <f>MAX(0,AD655-MAX(0,AE655))</f>
        <v>0</v>
      </c>
      <c r="AH655" s="80">
        <f>IF(ISNUMBER(B655),IF(AND(INDEX(CFG_WDAYS,WEEKDAY(INT(B655),2))="Sí",IF(D655="proMX",COUNTIFS(FER_F,INT(B655),FER_NLP,"Sí"),COUNTIFS(FER_F,INT(B655),FER_NLM,"Sí"))=0),1,0),0)</f>
        <v>0</v>
      </c>
      <c r="AI655" s="80">
        <f>IF(AC655=1,IF(AND(INDEX(CFG_WDAYS,WEEKDAY(INT(B655)+1,2))="Sí",IF(D655="proMX",COUNTIFS(FER_F,INT(B655)+1,FER_NLP,"Sí"),COUNTIFS(FER_F,INT(B655)+1,FER_NLM,"Sí"))=0),1,0),0)</f>
        <v>0</v>
      </c>
      <c r="AJ655" s="80">
        <f>IF(AC655=1,1440-Z655,AD655)</f>
        <v>0</v>
      </c>
      <c r="AK655" s="80">
        <f>IF(AND(AB655=1,AH655=1),MAX(0,MIN(IF(AC655=1,1440,AA655),CFG_WEM)-MAX(Z655,CFG_WSM)),0)</f>
        <v>0</v>
      </c>
      <c r="AL655" s="80">
        <f>IF(AND(AC655=1,AI655=1),MAX(0,MIN(AA655,CFG_WEM)-CFG_WSM),0)</f>
        <v>0</v>
      </c>
      <c r="AM655" s="80">
        <f>AK655+AL655</f>
        <v>0</v>
      </c>
      <c r="AN655" s="80">
        <f>IF(CFG_BRK="Proporcional",IF(AD655=0,0,AF655*AM655/AD655),IF(CFG_BRK="Extras primero",MIN(AM655,MAX(0,AF655-(AD655-AM655))),MIN(AF655,AM655)))</f>
        <v>0</v>
      </c>
      <c r="AO655" s="80">
        <f>AF655-AN655</f>
        <v>0</v>
      </c>
      <c r="AP655" s="80">
        <f>AM655-AN655</f>
        <v>0</v>
      </c>
      <c r="AQ655" s="80">
        <f>AD655-AM655-AO655</f>
        <v>0</v>
      </c>
      <c r="AR655" s="80">
        <f>IF(AM655=0,0,AK655-AN655*AK655/AM655)</f>
        <v>0</v>
      </c>
      <c r="AS655" s="80">
        <f>IF(AD655-AM655=0,0,(AJ655-AK655)-AO655*(AJ655-AK655)/(AD655-AM655))</f>
        <v>0</v>
      </c>
      <c r="AT655" s="80" t="str">
        <f>IF(AC655=1,INT(B655)+1,"")</f>
        <v/>
      </c>
      <c r="AU655" s="80">
        <f>IF(AND(D655="proMX",R655="Cancelled"),0,1)</f>
        <v>1</v>
      </c>
      <c r="AV655" s="80">
        <f>IF(AND(AB655=1,AU655=1),IF(COUNTIFS($D$5:D654,D655,$B$5:B654,B655,$Z$5:Z654,Z655,$AA$5:AA654,AA655,$F$5:F654,F655&amp;"",$AU$5:AU654,1)&gt;0,1,0),0)</f>
        <v>0</v>
      </c>
      <c r="AW655" s="80" t="str">
        <f>IF(AB655=1,INT(B655)*1440+Z655,"")</f>
        <v/>
      </c>
      <c r="AX655" s="80" t="str">
        <f>IF(AB655=1,AW655+AD655,"")</f>
        <v/>
      </c>
      <c r="AY655" s="80">
        <f>IF(AND(AB655=1,AV655=0,AU655=1),1,0)</f>
        <v>0</v>
      </c>
      <c r="AZ655" s="80">
        <f>IF(AY655=1,COUNTIFS(R_Emp,D655,R_SAbs,"&lt;"&amp;AX655,R_EAbs,"&gt;"&amp;AW655,R_OKey,1)-1,0)</f>
        <v>0</v>
      </c>
      <c r="BA655" s="80">
        <f>IF(AY655=1,COUNTIFS(R_Emp,"&lt;&gt;"&amp;D655,R_SAbs,"&lt;"&amp;AX655,R_EAbs,"&gt;"&amp;AW655,R_OKey,1),0)</f>
        <v>0</v>
      </c>
      <c r="BB655" s="80">
        <f>IF(AND(AB655=1,D655="proMX"),IF(AND(MOD(Z655,CFG_BLK)=0,MOD(AA655,CFG_BLK)=0,MOD(AG655,CFG_BLK)=0,AG655&gt;0),1,0),1)</f>
        <v>1</v>
      </c>
      <c r="BC655" s="80" t="str">
        <f>IF(Y655=0,"",IF(NOT(ISNUMBER(B655)),"Falta fecha o fecha inválida",IF(D655="","Falta empresa",IF(AND(D655&lt;&gt;"Malcolm",D655&lt;&gt;"proMX"),"Empresa inválida",IF(OR(INT(B655)&lt;CFG_PSTART,INT(B655)&gt;CFG_PEND),"Fecha fuera del período",IF(OR(NOT(ISNUMBER(Z655)),NOT(ISNUMBER(AA655))),"Falta hora inicio/fin o formato inválido",IF(AB655=0,"Hora inicio = hora fin",IF(AE655&lt;0,"Descanso inválido",IF(AE655&gt;=AD655,"Descanso ≥ duración",IF(AV655=1,"Registro duplicado",IF(AZ655&gt;0,"Se superpone con otro registro "&amp;D655,IF(BB655=0,"inicio, fin y duración neta deben ser múltiplos de "&amp;CFG_BLK&amp;" min",""))))))))))))</f>
        <v/>
      </c>
      <c r="BD655" s="80">
        <f>IF(AND(Y655=1,BC655=""),1,0)</f>
        <v>0</v>
      </c>
      <c r="BE655" s="80">
        <f>IF(AND(BD655=1,AU655=1),1,0)</f>
        <v>0</v>
      </c>
      <c r="BF655" s="80" t="str">
        <f>IF(AND(D655="proMX",BD655=1),IF(R655="","Draft",R655),"")</f>
        <v/>
      </c>
      <c r="BG655" s="80">
        <f>IF(BD655=1,ROUND(AG655/60,6),0)</f>
        <v>0</v>
      </c>
      <c r="BH655" s="80">
        <f>IF(BE655=1,ROUND(AG655/60,6),0)</f>
        <v>0</v>
      </c>
      <c r="BI655" s="80">
        <f>IF(BE655=1,ROUND(AP655/60,6),0)</f>
        <v>0</v>
      </c>
      <c r="BJ655" s="80">
        <f>IF(BE655=1,ROUND(AQ655/60,6),0)</f>
        <v>0</v>
      </c>
      <c r="BK655" s="80">
        <f>IF(BE655=1,ROUND((AR655+AS655)/60,6),0)</f>
        <v>0</v>
      </c>
      <c r="BL655" s="80">
        <f>ROUND(BH655-BK655,6)</f>
        <v>0</v>
      </c>
      <c r="BM655" s="80">
        <f>IF(BE655=1,ROUND(AR655/60,6),0)</f>
        <v>0</v>
      </c>
      <c r="BN655" s="80">
        <f>ROUND(BI655-BM655,6)</f>
        <v>0</v>
      </c>
      <c r="BO655" s="80">
        <f>IF(BE655=1,ROUND(AS655/60,6),0)</f>
        <v>0</v>
      </c>
      <c r="BP655" s="80">
        <f>ROUND(BJ655-BO655,6)</f>
        <v>0</v>
      </c>
      <c r="BQ655" s="80">
        <f>IF(BE655=1,AW655,0)</f>
        <v>0</v>
      </c>
      <c r="BR655" s="80">
        <f>IF(BE655=1,AX655,0)</f>
        <v>0</v>
      </c>
      <c r="BS655" s="80">
        <f>IF(AND(BE655=1,D655="Malcolm",BA655&gt;0),MIN(BH655,SUMPRODUCT((R_Emp="proMX")*(R_EN&gt;0)*((R_EN-(R_EN&gt;BR655)*(R_EN-BR655))&gt;(R_SN+(R_SN&lt;BQ655)*(BQ655-R_SN)))*((R_EN-(R_EN&gt;BR655)*(R_EN-BR655))-(R_SN+(R_SN&lt;BQ655)*(BQ655-R_SN))))/60),0)</f>
        <v>0</v>
      </c>
      <c r="BT655" s="80">
        <f>IF(AND(BE655=1,D655="proMX"),ROUND(BI655*CFG_RATE+BJ655*CFG_OTRATE,6),0)</f>
        <v>0</v>
      </c>
      <c r="BU655" s="80">
        <f>IF(AND(BD655=1,D655="proMX"),ROUND(AG655/CFG_BLK,6),0)</f>
        <v>0</v>
      </c>
      <c r="BV655" s="80" t="str">
        <f>IF(BF655="Approved",IF(ISNUMBER(T655),INT(T655),INT(B655)),"")</f>
        <v/>
      </c>
      <c r="BW655" s="80">
        <f>IF(ISNUMBER(B655),IF(DB_MON="Todos",1,IF(AND(INT(B655)&gt;=DB_MS,INT(B655)&lt;=DB_ME),1,0)),0)</f>
        <v>0</v>
      </c>
      <c r="BX655" s="80">
        <f>IF(DB_PROJ="Todos",1,IF(E655&amp;""=DB_PROJ&amp;"",1,0))</f>
        <v>1</v>
      </c>
      <c r="BY655" s="80">
        <f>BW655*BX655</f>
        <v>0</v>
      </c>
      <c r="BZ655" s="80" t="str">
        <f>IF(Y655=1,F655&amp;IF(AND(F655&amp;""&lt;&gt;"",E655&amp;""&lt;&gt;"")," · ","")&amp;E655,"")</f>
        <v/>
      </c>
      <c r="CA655" s="80" t="str">
        <f>IF(AND(BD655=1,E655&amp;""&lt;&gt;""),IF(COUNTIFS($E$5:E654,E655,$BD$5:BD654,1)=0,MAX($CA$5:CA654)+1,""),"")</f>
        <v/>
      </c>
      <c r="CB655" s="80" t="str">
        <f>IF(AND(BE655=1,D655="Malcolm",E655&amp;""&lt;&gt;""),IF(COUNTIFS($D$5:D654,"Malcolm",$E$5:E654,E655,$BE$5:BE654,1)=0,MAX($CB$5:CB654)+1,""),"")</f>
        <v/>
      </c>
      <c r="CC655" s="80" t="str">
        <f>IF(AND(BD655=1,D655="proMX",E655&amp;""&lt;&gt;""),IF(COUNTIFS($D$5:D654,"proMX",$E$5:E654,E655,$BD$5:BD654,1)=0,MAX($CC$5:CC654)+1,""),"")</f>
        <v/>
      </c>
      <c r="CD655" s="80" t="str">
        <f>IF(AND(BE655=1,D655="Malcolm",F655&amp;""&lt;&gt;""),IF(COUNTIFS($D$5:D654,"Malcolm",$F$5:F654,F655,$BE$5:BE654,1)=0,MAX($CD$5:CD654)+1,""),"")</f>
        <v/>
      </c>
      <c r="CE655" s="80" t="str">
        <f>IF(AND(BD655=1,D655="proMX",F655&amp;""&lt;&gt;""),IF(COUNTIFS($D$5:D654,"proMX",$F$5:F654,F655,$BD$5:BD654,1)=0,MAX($CE$5:CE654)+1,""),"")</f>
        <v/>
      </c>
      <c r="CF655" s="80" t="str">
        <f>IF(AND(D655="proMX",BD655=1),IF(OR(BF655="Draft",BF655="Submitted",BF655="Returned",BF655="Recall Requested"),MAX($CF$5:CF654)+1,""),"")</f>
        <v/>
      </c>
      <c r="CG655" s="80">
        <f>IF(BD655=0,0,IF(D655="Malcolm",1,MATCH(BF655,{"Draft","Submitted","Approved","Returned","Recall Requested","Cancelled"},0)+1))</f>
        <v>0</v>
      </c>
      <c r="CH655" s="80">
        <f>IF(AND(BF655="Submitted",ISNUMBER(V655)),IF(V655&gt;CFG_MAXD,1,0),0)</f>
        <v>0</v>
      </c>
    </row>
    <row r="656">
      <c r="A656" s="71" t="str">
        <f>IF(Y656=1,ROW()-5,"")</f>
        <v/>
      </c>
      <c r="B656" s="72" t="n"/>
      <c r="C656" s="71" t="str">
        <f>IF(ISNUMBER(B656),CHOOSE(WEEKDAY(B656,2),"Lun","Mar","Mié","Jue","Vie","Sáb","Dom"),"")</f>
        <v/>
      </c>
      <c r="D656" s="73" t="n"/>
      <c r="E656" s="74" t="n"/>
      <c r="F656" s="74" t="n"/>
      <c r="G656" s="74" t="n"/>
      <c r="H656" s="75" t="n"/>
      <c r="I656" s="75" t="n"/>
      <c r="J656" s="76" t="n"/>
      <c r="K656" s="77" t="str">
        <f>IF(AB656=1,ROUND(AG656/60,4),"")</f>
        <v/>
      </c>
      <c r="L656" s="77" t="str">
        <f>IF(BD656=1,ROUND(AP656/60,4),"")</f>
        <v/>
      </c>
      <c r="M656" s="77" t="str">
        <f>IF(BD656=1,ROUND(AQ656/60,4),"")</f>
        <v/>
      </c>
      <c r="N656" s="71" t="str">
        <f>IF(AND(D656="proMX",AB656=1),ROUND(AG656/CFG_BLK,2),"")</f>
        <v/>
      </c>
      <c r="O656" s="77" t="str">
        <f>IF(D656="proMX",IF(BD656=1,ROUND(AG656/60,4),0),"")</f>
        <v/>
      </c>
      <c r="P656" s="78" t="str">
        <f>IF(Y656=0,"",IF(BD656=1,"OK",IF(D656="proMX","Revisar bloques: ","Revisar: ")&amp;BC656))</f>
        <v/>
      </c>
      <c r="Q656" s="78" t="str">
        <f>IF(NOT(ISNUMBER(B656)),"",IF(COUNTIFS(FER_F,INT(B656))&gt;0,"Feriado"&amp;IF(AH656=1," (laborable)"," (no laborable)"),IF(AH656=1,"Laborable",IF(WEEKDAY(B656,2)&gt;5,"Fin de semana","No laborable"))))</f>
        <v/>
      </c>
      <c r="R656" s="73" t="n"/>
      <c r="S656" s="72" t="n"/>
      <c r="T656" s="72" t="n"/>
      <c r="U656" s="74" t="n"/>
      <c r="V656" s="79" t="str">
        <f>IF(AND(D656="proMX",OR(R656="Submitted",R656="Recall Requested"),ISNUMBER(S656)),CFG_TODAY-INT(S656),"")</f>
        <v/>
      </c>
      <c r="W656" s="78" t="str">
        <f>IF(BD656=0,"",IF(BA656&gt;0,"⚠ Se superpone con un registro de la otra empresa",IF(D656="Malcolm",IF(COUNTA(R656,S656,T656)&gt;0,"Estado/fechas proMX se ignoran en Malcolm",""),IF(BF656="Cancelled","Cancelado: excluido de totales",IF(R656="","Sin estado: se trata como Draft",IF(BF656="Submitted",IF(ISNUMBER(V656),IF(V656&gt;CFG_MAXD,"⚠ "&amp;V656&amp;" días en Submitted (máx. "&amp;CFG_MAXD&amp;")",""),"Falta fecha de envío"),IF(BF656="Returned","⚠ Devuelto: corregir y reenviar",IF(BF656="Recall Requested","Retirada solicitada: pendiente",IF(AND(BF656="Approved",NOT(ISNUMBER(T656))),"Falta fecha de aprobación",IF(AND(ISNUMBER(S656),ISNUMBER(T656),T656&lt;S656),"Aprobación anterior al envío","")))))))))</f>
        <v/>
      </c>
      <c r="Y656" s="80">
        <f>IF(COUNTA(B656,D656,E656,F656,G656,H656,I656,J656,R656,S656,T656)&gt;0,1,0)</f>
        <v>0</v>
      </c>
      <c r="Z656" s="80" t="str">
        <f>IF(AND(ISNUMBER(H656),H656&gt;=0,H656&lt;1),ROUND(H656*1440,0),"")</f>
        <v/>
      </c>
      <c r="AA656" s="80" t="str">
        <f>IF(AND(ISNUMBER(I656),I656&gt;=0,I656&lt;1),ROUND(I656*1440,0),"")</f>
        <v/>
      </c>
      <c r="AB656" s="80">
        <f>IF(AND(ISNUMBER(B656),D656&lt;&gt;"",ISNUMBER(Z656),ISNUMBER(AA656)),IF(Z656=AA656,0,1),0)</f>
        <v>0</v>
      </c>
      <c r="AC656" s="80">
        <f>IF(AB656=1,IF(AA656&lt;Z656,1,0),0)</f>
        <v>0</v>
      </c>
      <c r="AD656" s="80">
        <f>IF(AB656=1,IF(AC656=1,1440-Z656+AA656,AA656-Z656),0)</f>
        <v>0</v>
      </c>
      <c r="AE656" s="80">
        <f>IF(J656="",0,IF(ISNUMBER(J656),J656,-1))</f>
        <v>0</v>
      </c>
      <c r="AF656" s="80">
        <f>MIN(MAX(0,AE656),AD656)</f>
        <v>0</v>
      </c>
      <c r="AG656" s="80">
        <f>MAX(0,AD656-MAX(0,AE656))</f>
        <v>0</v>
      </c>
      <c r="AH656" s="80">
        <f>IF(ISNUMBER(B656),IF(AND(INDEX(CFG_WDAYS,WEEKDAY(INT(B656),2))="Sí",IF(D656="proMX",COUNTIFS(FER_F,INT(B656),FER_NLP,"Sí"),COUNTIFS(FER_F,INT(B656),FER_NLM,"Sí"))=0),1,0),0)</f>
        <v>0</v>
      </c>
      <c r="AI656" s="80">
        <f>IF(AC656=1,IF(AND(INDEX(CFG_WDAYS,WEEKDAY(INT(B656)+1,2))="Sí",IF(D656="proMX",COUNTIFS(FER_F,INT(B656)+1,FER_NLP,"Sí"),COUNTIFS(FER_F,INT(B656)+1,FER_NLM,"Sí"))=0),1,0),0)</f>
        <v>0</v>
      </c>
      <c r="AJ656" s="80">
        <f>IF(AC656=1,1440-Z656,AD656)</f>
        <v>0</v>
      </c>
      <c r="AK656" s="80">
        <f>IF(AND(AB656=1,AH656=1),MAX(0,MIN(IF(AC656=1,1440,AA656),CFG_WEM)-MAX(Z656,CFG_WSM)),0)</f>
        <v>0</v>
      </c>
      <c r="AL656" s="80">
        <f>IF(AND(AC656=1,AI656=1),MAX(0,MIN(AA656,CFG_WEM)-CFG_WSM),0)</f>
        <v>0</v>
      </c>
      <c r="AM656" s="80">
        <f>AK656+AL656</f>
        <v>0</v>
      </c>
      <c r="AN656" s="80">
        <f>IF(CFG_BRK="Proporcional",IF(AD656=0,0,AF656*AM656/AD656),IF(CFG_BRK="Extras primero",MIN(AM656,MAX(0,AF656-(AD656-AM656))),MIN(AF656,AM656)))</f>
        <v>0</v>
      </c>
      <c r="AO656" s="80">
        <f>AF656-AN656</f>
        <v>0</v>
      </c>
      <c r="AP656" s="80">
        <f>AM656-AN656</f>
        <v>0</v>
      </c>
      <c r="AQ656" s="80">
        <f>AD656-AM656-AO656</f>
        <v>0</v>
      </c>
      <c r="AR656" s="80">
        <f>IF(AM656=0,0,AK656-AN656*AK656/AM656)</f>
        <v>0</v>
      </c>
      <c r="AS656" s="80">
        <f>IF(AD656-AM656=0,0,(AJ656-AK656)-AO656*(AJ656-AK656)/(AD656-AM656))</f>
        <v>0</v>
      </c>
      <c r="AT656" s="80" t="str">
        <f>IF(AC656=1,INT(B656)+1,"")</f>
        <v/>
      </c>
      <c r="AU656" s="80">
        <f>IF(AND(D656="proMX",R656="Cancelled"),0,1)</f>
        <v>1</v>
      </c>
      <c r="AV656" s="80">
        <f>IF(AND(AB656=1,AU656=1),IF(COUNTIFS($D$5:D655,D656,$B$5:B655,B656,$Z$5:Z655,Z656,$AA$5:AA655,AA656,$F$5:F655,F656&amp;"",$AU$5:AU655,1)&gt;0,1,0),0)</f>
        <v>0</v>
      </c>
      <c r="AW656" s="80" t="str">
        <f>IF(AB656=1,INT(B656)*1440+Z656,"")</f>
        <v/>
      </c>
      <c r="AX656" s="80" t="str">
        <f>IF(AB656=1,AW656+AD656,"")</f>
        <v/>
      </c>
      <c r="AY656" s="80">
        <f>IF(AND(AB656=1,AV656=0,AU656=1),1,0)</f>
        <v>0</v>
      </c>
      <c r="AZ656" s="80">
        <f>IF(AY656=1,COUNTIFS(R_Emp,D656,R_SAbs,"&lt;"&amp;AX656,R_EAbs,"&gt;"&amp;AW656,R_OKey,1)-1,0)</f>
        <v>0</v>
      </c>
      <c r="BA656" s="80">
        <f>IF(AY656=1,COUNTIFS(R_Emp,"&lt;&gt;"&amp;D656,R_SAbs,"&lt;"&amp;AX656,R_EAbs,"&gt;"&amp;AW656,R_OKey,1),0)</f>
        <v>0</v>
      </c>
      <c r="BB656" s="80">
        <f>IF(AND(AB656=1,D656="proMX"),IF(AND(MOD(Z656,CFG_BLK)=0,MOD(AA656,CFG_BLK)=0,MOD(AG656,CFG_BLK)=0,AG656&gt;0),1,0),1)</f>
        <v>1</v>
      </c>
      <c r="BC656" s="80" t="str">
        <f>IF(Y656=0,"",IF(NOT(ISNUMBER(B656)),"Falta fecha o fecha inválida",IF(D656="","Falta empresa",IF(AND(D656&lt;&gt;"Malcolm",D656&lt;&gt;"proMX"),"Empresa inválida",IF(OR(INT(B656)&lt;CFG_PSTART,INT(B656)&gt;CFG_PEND),"Fecha fuera del período",IF(OR(NOT(ISNUMBER(Z656)),NOT(ISNUMBER(AA656))),"Falta hora inicio/fin o formato inválido",IF(AB656=0,"Hora inicio = hora fin",IF(AE656&lt;0,"Descanso inválido",IF(AE656&gt;=AD656,"Descanso ≥ duración",IF(AV656=1,"Registro duplicado",IF(AZ656&gt;0,"Se superpone con otro registro "&amp;D656,IF(BB656=0,"inicio, fin y duración neta deben ser múltiplos de "&amp;CFG_BLK&amp;" min",""))))))))))))</f>
        <v/>
      </c>
      <c r="BD656" s="80">
        <f>IF(AND(Y656=1,BC656=""),1,0)</f>
        <v>0</v>
      </c>
      <c r="BE656" s="80">
        <f>IF(AND(BD656=1,AU656=1),1,0)</f>
        <v>0</v>
      </c>
      <c r="BF656" s="80" t="str">
        <f>IF(AND(D656="proMX",BD656=1),IF(R656="","Draft",R656),"")</f>
        <v/>
      </c>
      <c r="BG656" s="80">
        <f>IF(BD656=1,ROUND(AG656/60,6),0)</f>
        <v>0</v>
      </c>
      <c r="BH656" s="80">
        <f>IF(BE656=1,ROUND(AG656/60,6),0)</f>
        <v>0</v>
      </c>
      <c r="BI656" s="80">
        <f>IF(BE656=1,ROUND(AP656/60,6),0)</f>
        <v>0</v>
      </c>
      <c r="BJ656" s="80">
        <f>IF(BE656=1,ROUND(AQ656/60,6),0)</f>
        <v>0</v>
      </c>
      <c r="BK656" s="80">
        <f>IF(BE656=1,ROUND((AR656+AS656)/60,6),0)</f>
        <v>0</v>
      </c>
      <c r="BL656" s="80">
        <f>ROUND(BH656-BK656,6)</f>
        <v>0</v>
      </c>
      <c r="BM656" s="80">
        <f>IF(BE656=1,ROUND(AR656/60,6),0)</f>
        <v>0</v>
      </c>
      <c r="BN656" s="80">
        <f>ROUND(BI656-BM656,6)</f>
        <v>0</v>
      </c>
      <c r="BO656" s="80">
        <f>IF(BE656=1,ROUND(AS656/60,6),0)</f>
        <v>0</v>
      </c>
      <c r="BP656" s="80">
        <f>ROUND(BJ656-BO656,6)</f>
        <v>0</v>
      </c>
      <c r="BQ656" s="80">
        <f>IF(BE656=1,AW656,0)</f>
        <v>0</v>
      </c>
      <c r="BR656" s="80">
        <f>IF(BE656=1,AX656,0)</f>
        <v>0</v>
      </c>
      <c r="BS656" s="80">
        <f>IF(AND(BE656=1,D656="Malcolm",BA656&gt;0),MIN(BH656,SUMPRODUCT((R_Emp="proMX")*(R_EN&gt;0)*((R_EN-(R_EN&gt;BR656)*(R_EN-BR656))&gt;(R_SN+(R_SN&lt;BQ656)*(BQ656-R_SN)))*((R_EN-(R_EN&gt;BR656)*(R_EN-BR656))-(R_SN+(R_SN&lt;BQ656)*(BQ656-R_SN))))/60),0)</f>
        <v>0</v>
      </c>
      <c r="BT656" s="80">
        <f>IF(AND(BE656=1,D656="proMX"),ROUND(BI656*CFG_RATE+BJ656*CFG_OTRATE,6),0)</f>
        <v>0</v>
      </c>
      <c r="BU656" s="80">
        <f>IF(AND(BD656=1,D656="proMX"),ROUND(AG656/CFG_BLK,6),0)</f>
        <v>0</v>
      </c>
      <c r="BV656" s="80" t="str">
        <f>IF(BF656="Approved",IF(ISNUMBER(T656),INT(T656),INT(B656)),"")</f>
        <v/>
      </c>
      <c r="BW656" s="80">
        <f>IF(ISNUMBER(B656),IF(DB_MON="Todos",1,IF(AND(INT(B656)&gt;=DB_MS,INT(B656)&lt;=DB_ME),1,0)),0)</f>
        <v>0</v>
      </c>
      <c r="BX656" s="80">
        <f>IF(DB_PROJ="Todos",1,IF(E656&amp;""=DB_PROJ&amp;"",1,0))</f>
        <v>1</v>
      </c>
      <c r="BY656" s="80">
        <f>BW656*BX656</f>
        <v>0</v>
      </c>
      <c r="BZ656" s="80" t="str">
        <f>IF(Y656=1,F656&amp;IF(AND(F656&amp;""&lt;&gt;"",E656&amp;""&lt;&gt;"")," · ","")&amp;E656,"")</f>
        <v/>
      </c>
      <c r="CA656" s="80" t="str">
        <f>IF(AND(BD656=1,E656&amp;""&lt;&gt;""),IF(COUNTIFS($E$5:E655,E656,$BD$5:BD655,1)=0,MAX($CA$5:CA655)+1,""),"")</f>
        <v/>
      </c>
      <c r="CB656" s="80" t="str">
        <f>IF(AND(BE656=1,D656="Malcolm",E656&amp;""&lt;&gt;""),IF(COUNTIFS($D$5:D655,"Malcolm",$E$5:E655,E656,$BE$5:BE655,1)=0,MAX($CB$5:CB655)+1,""),"")</f>
        <v/>
      </c>
      <c r="CC656" s="80" t="str">
        <f>IF(AND(BD656=1,D656="proMX",E656&amp;""&lt;&gt;""),IF(COUNTIFS($D$5:D655,"proMX",$E$5:E655,E656,$BD$5:BD655,1)=0,MAX($CC$5:CC655)+1,""),"")</f>
        <v/>
      </c>
      <c r="CD656" s="80" t="str">
        <f>IF(AND(BE656=1,D656="Malcolm",F656&amp;""&lt;&gt;""),IF(COUNTIFS($D$5:D655,"Malcolm",$F$5:F655,F656,$BE$5:BE655,1)=0,MAX($CD$5:CD655)+1,""),"")</f>
        <v/>
      </c>
      <c r="CE656" s="80" t="str">
        <f>IF(AND(BD656=1,D656="proMX",F656&amp;""&lt;&gt;""),IF(COUNTIFS($D$5:D655,"proMX",$F$5:F655,F656,$BD$5:BD655,1)=0,MAX($CE$5:CE655)+1,""),"")</f>
        <v/>
      </c>
      <c r="CF656" s="80" t="str">
        <f>IF(AND(D656="proMX",BD656=1),IF(OR(BF656="Draft",BF656="Submitted",BF656="Returned",BF656="Recall Requested"),MAX($CF$5:CF655)+1,""),"")</f>
        <v/>
      </c>
      <c r="CG656" s="80">
        <f>IF(BD656=0,0,IF(D656="Malcolm",1,MATCH(BF656,{"Draft","Submitted","Approved","Returned","Recall Requested","Cancelled"},0)+1))</f>
        <v>0</v>
      </c>
      <c r="CH656" s="80">
        <f>IF(AND(BF656="Submitted",ISNUMBER(V656)),IF(V656&gt;CFG_MAXD,1,0),0)</f>
        <v>0</v>
      </c>
    </row>
    <row r="657">
      <c r="A657" s="71" t="str">
        <f>IF(Y657=1,ROW()-5,"")</f>
        <v/>
      </c>
      <c r="B657" s="72" t="n"/>
      <c r="C657" s="71" t="str">
        <f>IF(ISNUMBER(B657),CHOOSE(WEEKDAY(B657,2),"Lun","Mar","Mié","Jue","Vie","Sáb","Dom"),"")</f>
        <v/>
      </c>
      <c r="D657" s="73" t="n"/>
      <c r="E657" s="74" t="n"/>
      <c r="F657" s="74" t="n"/>
      <c r="G657" s="74" t="n"/>
      <c r="H657" s="75" t="n"/>
      <c r="I657" s="75" t="n"/>
      <c r="J657" s="76" t="n"/>
      <c r="K657" s="77" t="str">
        <f>IF(AB657=1,ROUND(AG657/60,4),"")</f>
        <v/>
      </c>
      <c r="L657" s="77" t="str">
        <f>IF(BD657=1,ROUND(AP657/60,4),"")</f>
        <v/>
      </c>
      <c r="M657" s="77" t="str">
        <f>IF(BD657=1,ROUND(AQ657/60,4),"")</f>
        <v/>
      </c>
      <c r="N657" s="71" t="str">
        <f>IF(AND(D657="proMX",AB657=1),ROUND(AG657/CFG_BLK,2),"")</f>
        <v/>
      </c>
      <c r="O657" s="77" t="str">
        <f>IF(D657="proMX",IF(BD657=1,ROUND(AG657/60,4),0),"")</f>
        <v/>
      </c>
      <c r="P657" s="78" t="str">
        <f>IF(Y657=0,"",IF(BD657=1,"OK",IF(D657="proMX","Revisar bloques: ","Revisar: ")&amp;BC657))</f>
        <v/>
      </c>
      <c r="Q657" s="78" t="str">
        <f>IF(NOT(ISNUMBER(B657)),"",IF(COUNTIFS(FER_F,INT(B657))&gt;0,"Feriado"&amp;IF(AH657=1," (laborable)"," (no laborable)"),IF(AH657=1,"Laborable",IF(WEEKDAY(B657,2)&gt;5,"Fin de semana","No laborable"))))</f>
        <v/>
      </c>
      <c r="R657" s="73" t="n"/>
      <c r="S657" s="72" t="n"/>
      <c r="T657" s="72" t="n"/>
      <c r="U657" s="74" t="n"/>
      <c r="V657" s="79" t="str">
        <f>IF(AND(D657="proMX",OR(R657="Submitted",R657="Recall Requested"),ISNUMBER(S657)),CFG_TODAY-INT(S657),"")</f>
        <v/>
      </c>
      <c r="W657" s="78" t="str">
        <f>IF(BD657=0,"",IF(BA657&gt;0,"⚠ Se superpone con un registro de la otra empresa",IF(D657="Malcolm",IF(COUNTA(R657,S657,T657)&gt;0,"Estado/fechas proMX se ignoran en Malcolm",""),IF(BF657="Cancelled","Cancelado: excluido de totales",IF(R657="","Sin estado: se trata como Draft",IF(BF657="Submitted",IF(ISNUMBER(V657),IF(V657&gt;CFG_MAXD,"⚠ "&amp;V657&amp;" días en Submitted (máx. "&amp;CFG_MAXD&amp;")",""),"Falta fecha de envío"),IF(BF657="Returned","⚠ Devuelto: corregir y reenviar",IF(BF657="Recall Requested","Retirada solicitada: pendiente",IF(AND(BF657="Approved",NOT(ISNUMBER(T657))),"Falta fecha de aprobación",IF(AND(ISNUMBER(S657),ISNUMBER(T657),T657&lt;S657),"Aprobación anterior al envío","")))))))))</f>
        <v/>
      </c>
      <c r="Y657" s="80">
        <f>IF(COUNTA(B657,D657,E657,F657,G657,H657,I657,J657,R657,S657,T657)&gt;0,1,0)</f>
        <v>0</v>
      </c>
      <c r="Z657" s="80" t="str">
        <f>IF(AND(ISNUMBER(H657),H657&gt;=0,H657&lt;1),ROUND(H657*1440,0),"")</f>
        <v/>
      </c>
      <c r="AA657" s="80" t="str">
        <f>IF(AND(ISNUMBER(I657),I657&gt;=0,I657&lt;1),ROUND(I657*1440,0),"")</f>
        <v/>
      </c>
      <c r="AB657" s="80">
        <f>IF(AND(ISNUMBER(B657),D657&lt;&gt;"",ISNUMBER(Z657),ISNUMBER(AA657)),IF(Z657=AA657,0,1),0)</f>
        <v>0</v>
      </c>
      <c r="AC657" s="80">
        <f>IF(AB657=1,IF(AA657&lt;Z657,1,0),0)</f>
        <v>0</v>
      </c>
      <c r="AD657" s="80">
        <f>IF(AB657=1,IF(AC657=1,1440-Z657+AA657,AA657-Z657),0)</f>
        <v>0</v>
      </c>
      <c r="AE657" s="80">
        <f>IF(J657="",0,IF(ISNUMBER(J657),J657,-1))</f>
        <v>0</v>
      </c>
      <c r="AF657" s="80">
        <f>MIN(MAX(0,AE657),AD657)</f>
        <v>0</v>
      </c>
      <c r="AG657" s="80">
        <f>MAX(0,AD657-MAX(0,AE657))</f>
        <v>0</v>
      </c>
      <c r="AH657" s="80">
        <f>IF(ISNUMBER(B657),IF(AND(INDEX(CFG_WDAYS,WEEKDAY(INT(B657),2))="Sí",IF(D657="proMX",COUNTIFS(FER_F,INT(B657),FER_NLP,"Sí"),COUNTIFS(FER_F,INT(B657),FER_NLM,"Sí"))=0),1,0),0)</f>
        <v>0</v>
      </c>
      <c r="AI657" s="80">
        <f>IF(AC657=1,IF(AND(INDEX(CFG_WDAYS,WEEKDAY(INT(B657)+1,2))="Sí",IF(D657="proMX",COUNTIFS(FER_F,INT(B657)+1,FER_NLP,"Sí"),COUNTIFS(FER_F,INT(B657)+1,FER_NLM,"Sí"))=0),1,0),0)</f>
        <v>0</v>
      </c>
      <c r="AJ657" s="80">
        <f>IF(AC657=1,1440-Z657,AD657)</f>
        <v>0</v>
      </c>
      <c r="AK657" s="80">
        <f>IF(AND(AB657=1,AH657=1),MAX(0,MIN(IF(AC657=1,1440,AA657),CFG_WEM)-MAX(Z657,CFG_WSM)),0)</f>
        <v>0</v>
      </c>
      <c r="AL657" s="80">
        <f>IF(AND(AC657=1,AI657=1),MAX(0,MIN(AA657,CFG_WEM)-CFG_WSM),0)</f>
        <v>0</v>
      </c>
      <c r="AM657" s="80">
        <f>AK657+AL657</f>
        <v>0</v>
      </c>
      <c r="AN657" s="80">
        <f>IF(CFG_BRK="Proporcional",IF(AD657=0,0,AF657*AM657/AD657),IF(CFG_BRK="Extras primero",MIN(AM657,MAX(0,AF657-(AD657-AM657))),MIN(AF657,AM657)))</f>
        <v>0</v>
      </c>
      <c r="AO657" s="80">
        <f>AF657-AN657</f>
        <v>0</v>
      </c>
      <c r="AP657" s="80">
        <f>AM657-AN657</f>
        <v>0</v>
      </c>
      <c r="AQ657" s="80">
        <f>AD657-AM657-AO657</f>
        <v>0</v>
      </c>
      <c r="AR657" s="80">
        <f>IF(AM657=0,0,AK657-AN657*AK657/AM657)</f>
        <v>0</v>
      </c>
      <c r="AS657" s="80">
        <f>IF(AD657-AM657=0,0,(AJ657-AK657)-AO657*(AJ657-AK657)/(AD657-AM657))</f>
        <v>0</v>
      </c>
      <c r="AT657" s="80" t="str">
        <f>IF(AC657=1,INT(B657)+1,"")</f>
        <v/>
      </c>
      <c r="AU657" s="80">
        <f>IF(AND(D657="proMX",R657="Cancelled"),0,1)</f>
        <v>1</v>
      </c>
      <c r="AV657" s="80">
        <f>IF(AND(AB657=1,AU657=1),IF(COUNTIFS($D$5:D656,D657,$B$5:B656,B657,$Z$5:Z656,Z657,$AA$5:AA656,AA657,$F$5:F656,F657&amp;"",$AU$5:AU656,1)&gt;0,1,0),0)</f>
        <v>0</v>
      </c>
      <c r="AW657" s="80" t="str">
        <f>IF(AB657=1,INT(B657)*1440+Z657,"")</f>
        <v/>
      </c>
      <c r="AX657" s="80" t="str">
        <f>IF(AB657=1,AW657+AD657,"")</f>
        <v/>
      </c>
      <c r="AY657" s="80">
        <f>IF(AND(AB657=1,AV657=0,AU657=1),1,0)</f>
        <v>0</v>
      </c>
      <c r="AZ657" s="80">
        <f>IF(AY657=1,COUNTIFS(R_Emp,D657,R_SAbs,"&lt;"&amp;AX657,R_EAbs,"&gt;"&amp;AW657,R_OKey,1)-1,0)</f>
        <v>0</v>
      </c>
      <c r="BA657" s="80">
        <f>IF(AY657=1,COUNTIFS(R_Emp,"&lt;&gt;"&amp;D657,R_SAbs,"&lt;"&amp;AX657,R_EAbs,"&gt;"&amp;AW657,R_OKey,1),0)</f>
        <v>0</v>
      </c>
      <c r="BB657" s="80">
        <f>IF(AND(AB657=1,D657="proMX"),IF(AND(MOD(Z657,CFG_BLK)=0,MOD(AA657,CFG_BLK)=0,MOD(AG657,CFG_BLK)=0,AG657&gt;0),1,0),1)</f>
        <v>1</v>
      </c>
      <c r="BC657" s="80" t="str">
        <f>IF(Y657=0,"",IF(NOT(ISNUMBER(B657)),"Falta fecha o fecha inválida",IF(D657="","Falta empresa",IF(AND(D657&lt;&gt;"Malcolm",D657&lt;&gt;"proMX"),"Empresa inválida",IF(OR(INT(B657)&lt;CFG_PSTART,INT(B657)&gt;CFG_PEND),"Fecha fuera del período",IF(OR(NOT(ISNUMBER(Z657)),NOT(ISNUMBER(AA657))),"Falta hora inicio/fin o formato inválido",IF(AB657=0,"Hora inicio = hora fin",IF(AE657&lt;0,"Descanso inválido",IF(AE657&gt;=AD657,"Descanso ≥ duración",IF(AV657=1,"Registro duplicado",IF(AZ657&gt;0,"Se superpone con otro registro "&amp;D657,IF(BB657=0,"inicio, fin y duración neta deben ser múltiplos de "&amp;CFG_BLK&amp;" min",""))))))))))))</f>
        <v/>
      </c>
      <c r="BD657" s="80">
        <f>IF(AND(Y657=1,BC657=""),1,0)</f>
        <v>0</v>
      </c>
      <c r="BE657" s="80">
        <f>IF(AND(BD657=1,AU657=1),1,0)</f>
        <v>0</v>
      </c>
      <c r="BF657" s="80" t="str">
        <f>IF(AND(D657="proMX",BD657=1),IF(R657="","Draft",R657),"")</f>
        <v/>
      </c>
      <c r="BG657" s="80">
        <f>IF(BD657=1,ROUND(AG657/60,6),0)</f>
        <v>0</v>
      </c>
      <c r="BH657" s="80">
        <f>IF(BE657=1,ROUND(AG657/60,6),0)</f>
        <v>0</v>
      </c>
      <c r="BI657" s="80">
        <f>IF(BE657=1,ROUND(AP657/60,6),0)</f>
        <v>0</v>
      </c>
      <c r="BJ657" s="80">
        <f>IF(BE657=1,ROUND(AQ657/60,6),0)</f>
        <v>0</v>
      </c>
      <c r="BK657" s="80">
        <f>IF(BE657=1,ROUND((AR657+AS657)/60,6),0)</f>
        <v>0</v>
      </c>
      <c r="BL657" s="80">
        <f>ROUND(BH657-BK657,6)</f>
        <v>0</v>
      </c>
      <c r="BM657" s="80">
        <f>IF(BE657=1,ROUND(AR657/60,6),0)</f>
        <v>0</v>
      </c>
      <c r="BN657" s="80">
        <f>ROUND(BI657-BM657,6)</f>
        <v>0</v>
      </c>
      <c r="BO657" s="80">
        <f>IF(BE657=1,ROUND(AS657/60,6),0)</f>
        <v>0</v>
      </c>
      <c r="BP657" s="80">
        <f>ROUND(BJ657-BO657,6)</f>
        <v>0</v>
      </c>
      <c r="BQ657" s="80">
        <f>IF(BE657=1,AW657,0)</f>
        <v>0</v>
      </c>
      <c r="BR657" s="80">
        <f>IF(BE657=1,AX657,0)</f>
        <v>0</v>
      </c>
      <c r="BS657" s="80">
        <f>IF(AND(BE657=1,D657="Malcolm",BA657&gt;0),MIN(BH657,SUMPRODUCT((R_Emp="proMX")*(R_EN&gt;0)*((R_EN-(R_EN&gt;BR657)*(R_EN-BR657))&gt;(R_SN+(R_SN&lt;BQ657)*(BQ657-R_SN)))*((R_EN-(R_EN&gt;BR657)*(R_EN-BR657))-(R_SN+(R_SN&lt;BQ657)*(BQ657-R_SN))))/60),0)</f>
        <v>0</v>
      </c>
      <c r="BT657" s="80">
        <f>IF(AND(BE657=1,D657="proMX"),ROUND(BI657*CFG_RATE+BJ657*CFG_OTRATE,6),0)</f>
        <v>0</v>
      </c>
      <c r="BU657" s="80">
        <f>IF(AND(BD657=1,D657="proMX"),ROUND(AG657/CFG_BLK,6),0)</f>
        <v>0</v>
      </c>
      <c r="BV657" s="80" t="str">
        <f>IF(BF657="Approved",IF(ISNUMBER(T657),INT(T657),INT(B657)),"")</f>
        <v/>
      </c>
      <c r="BW657" s="80">
        <f>IF(ISNUMBER(B657),IF(DB_MON="Todos",1,IF(AND(INT(B657)&gt;=DB_MS,INT(B657)&lt;=DB_ME),1,0)),0)</f>
        <v>0</v>
      </c>
      <c r="BX657" s="80">
        <f>IF(DB_PROJ="Todos",1,IF(E657&amp;""=DB_PROJ&amp;"",1,0))</f>
        <v>1</v>
      </c>
      <c r="BY657" s="80">
        <f>BW657*BX657</f>
        <v>0</v>
      </c>
      <c r="BZ657" s="80" t="str">
        <f>IF(Y657=1,F657&amp;IF(AND(F657&amp;""&lt;&gt;"",E657&amp;""&lt;&gt;"")," · ","")&amp;E657,"")</f>
        <v/>
      </c>
      <c r="CA657" s="80" t="str">
        <f>IF(AND(BD657=1,E657&amp;""&lt;&gt;""),IF(COUNTIFS($E$5:E656,E657,$BD$5:BD656,1)=0,MAX($CA$5:CA656)+1,""),"")</f>
        <v/>
      </c>
      <c r="CB657" s="80" t="str">
        <f>IF(AND(BE657=1,D657="Malcolm",E657&amp;""&lt;&gt;""),IF(COUNTIFS($D$5:D656,"Malcolm",$E$5:E656,E657,$BE$5:BE656,1)=0,MAX($CB$5:CB656)+1,""),"")</f>
        <v/>
      </c>
      <c r="CC657" s="80" t="str">
        <f>IF(AND(BD657=1,D657="proMX",E657&amp;""&lt;&gt;""),IF(COUNTIFS($D$5:D656,"proMX",$E$5:E656,E657,$BD$5:BD656,1)=0,MAX($CC$5:CC656)+1,""),"")</f>
        <v/>
      </c>
      <c r="CD657" s="80" t="str">
        <f>IF(AND(BE657=1,D657="Malcolm",F657&amp;""&lt;&gt;""),IF(COUNTIFS($D$5:D656,"Malcolm",$F$5:F656,F657,$BE$5:BE656,1)=0,MAX($CD$5:CD656)+1,""),"")</f>
        <v/>
      </c>
      <c r="CE657" s="80" t="str">
        <f>IF(AND(BD657=1,D657="proMX",F657&amp;""&lt;&gt;""),IF(COUNTIFS($D$5:D656,"proMX",$F$5:F656,F657,$BD$5:BD656,1)=0,MAX($CE$5:CE656)+1,""),"")</f>
        <v/>
      </c>
      <c r="CF657" s="80" t="str">
        <f>IF(AND(D657="proMX",BD657=1),IF(OR(BF657="Draft",BF657="Submitted",BF657="Returned",BF657="Recall Requested"),MAX($CF$5:CF656)+1,""),"")</f>
        <v/>
      </c>
      <c r="CG657" s="80">
        <f>IF(BD657=0,0,IF(D657="Malcolm",1,MATCH(BF657,{"Draft","Submitted","Approved","Returned","Recall Requested","Cancelled"},0)+1))</f>
        <v>0</v>
      </c>
      <c r="CH657" s="80">
        <f>IF(AND(BF657="Submitted",ISNUMBER(V657)),IF(V657&gt;CFG_MAXD,1,0),0)</f>
        <v>0</v>
      </c>
    </row>
    <row r="658">
      <c r="A658" s="71" t="str">
        <f>IF(Y658=1,ROW()-5,"")</f>
        <v/>
      </c>
      <c r="B658" s="72" t="n"/>
      <c r="C658" s="71" t="str">
        <f>IF(ISNUMBER(B658),CHOOSE(WEEKDAY(B658,2),"Lun","Mar","Mié","Jue","Vie","Sáb","Dom"),"")</f>
        <v/>
      </c>
      <c r="D658" s="73" t="n"/>
      <c r="E658" s="74" t="n"/>
      <c r="F658" s="74" t="n"/>
      <c r="G658" s="74" t="n"/>
      <c r="H658" s="75" t="n"/>
      <c r="I658" s="75" t="n"/>
      <c r="J658" s="76" t="n"/>
      <c r="K658" s="77" t="str">
        <f>IF(AB658=1,ROUND(AG658/60,4),"")</f>
        <v/>
      </c>
      <c r="L658" s="77" t="str">
        <f>IF(BD658=1,ROUND(AP658/60,4),"")</f>
        <v/>
      </c>
      <c r="M658" s="77" t="str">
        <f>IF(BD658=1,ROUND(AQ658/60,4),"")</f>
        <v/>
      </c>
      <c r="N658" s="71" t="str">
        <f>IF(AND(D658="proMX",AB658=1),ROUND(AG658/CFG_BLK,2),"")</f>
        <v/>
      </c>
      <c r="O658" s="77" t="str">
        <f>IF(D658="proMX",IF(BD658=1,ROUND(AG658/60,4),0),"")</f>
        <v/>
      </c>
      <c r="P658" s="78" t="str">
        <f>IF(Y658=0,"",IF(BD658=1,"OK",IF(D658="proMX","Revisar bloques: ","Revisar: ")&amp;BC658))</f>
        <v/>
      </c>
      <c r="Q658" s="78" t="str">
        <f>IF(NOT(ISNUMBER(B658)),"",IF(COUNTIFS(FER_F,INT(B658))&gt;0,"Feriado"&amp;IF(AH658=1," (laborable)"," (no laborable)"),IF(AH658=1,"Laborable",IF(WEEKDAY(B658,2)&gt;5,"Fin de semana","No laborable"))))</f>
        <v/>
      </c>
      <c r="R658" s="73" t="n"/>
      <c r="S658" s="72" t="n"/>
      <c r="T658" s="72" t="n"/>
      <c r="U658" s="74" t="n"/>
      <c r="V658" s="79" t="str">
        <f>IF(AND(D658="proMX",OR(R658="Submitted",R658="Recall Requested"),ISNUMBER(S658)),CFG_TODAY-INT(S658),"")</f>
        <v/>
      </c>
      <c r="W658" s="78" t="str">
        <f>IF(BD658=0,"",IF(BA658&gt;0,"⚠ Se superpone con un registro de la otra empresa",IF(D658="Malcolm",IF(COUNTA(R658,S658,T658)&gt;0,"Estado/fechas proMX se ignoran en Malcolm",""),IF(BF658="Cancelled","Cancelado: excluido de totales",IF(R658="","Sin estado: se trata como Draft",IF(BF658="Submitted",IF(ISNUMBER(V658),IF(V658&gt;CFG_MAXD,"⚠ "&amp;V658&amp;" días en Submitted (máx. "&amp;CFG_MAXD&amp;")",""),"Falta fecha de envío"),IF(BF658="Returned","⚠ Devuelto: corregir y reenviar",IF(BF658="Recall Requested","Retirada solicitada: pendiente",IF(AND(BF658="Approved",NOT(ISNUMBER(T658))),"Falta fecha de aprobación",IF(AND(ISNUMBER(S658),ISNUMBER(T658),T658&lt;S658),"Aprobación anterior al envío","")))))))))</f>
        <v/>
      </c>
      <c r="Y658" s="80">
        <f>IF(COUNTA(B658,D658,E658,F658,G658,H658,I658,J658,R658,S658,T658)&gt;0,1,0)</f>
        <v>0</v>
      </c>
      <c r="Z658" s="80" t="str">
        <f>IF(AND(ISNUMBER(H658),H658&gt;=0,H658&lt;1),ROUND(H658*1440,0),"")</f>
        <v/>
      </c>
      <c r="AA658" s="80" t="str">
        <f>IF(AND(ISNUMBER(I658),I658&gt;=0,I658&lt;1),ROUND(I658*1440,0),"")</f>
        <v/>
      </c>
      <c r="AB658" s="80">
        <f>IF(AND(ISNUMBER(B658),D658&lt;&gt;"",ISNUMBER(Z658),ISNUMBER(AA658)),IF(Z658=AA658,0,1),0)</f>
        <v>0</v>
      </c>
      <c r="AC658" s="80">
        <f>IF(AB658=1,IF(AA658&lt;Z658,1,0),0)</f>
        <v>0</v>
      </c>
      <c r="AD658" s="80">
        <f>IF(AB658=1,IF(AC658=1,1440-Z658+AA658,AA658-Z658),0)</f>
        <v>0</v>
      </c>
      <c r="AE658" s="80">
        <f>IF(J658="",0,IF(ISNUMBER(J658),J658,-1))</f>
        <v>0</v>
      </c>
      <c r="AF658" s="80">
        <f>MIN(MAX(0,AE658),AD658)</f>
        <v>0</v>
      </c>
      <c r="AG658" s="80">
        <f>MAX(0,AD658-MAX(0,AE658))</f>
        <v>0</v>
      </c>
      <c r="AH658" s="80">
        <f>IF(ISNUMBER(B658),IF(AND(INDEX(CFG_WDAYS,WEEKDAY(INT(B658),2))="Sí",IF(D658="proMX",COUNTIFS(FER_F,INT(B658),FER_NLP,"Sí"),COUNTIFS(FER_F,INT(B658),FER_NLM,"Sí"))=0),1,0),0)</f>
        <v>0</v>
      </c>
      <c r="AI658" s="80">
        <f>IF(AC658=1,IF(AND(INDEX(CFG_WDAYS,WEEKDAY(INT(B658)+1,2))="Sí",IF(D658="proMX",COUNTIFS(FER_F,INT(B658)+1,FER_NLP,"Sí"),COUNTIFS(FER_F,INT(B658)+1,FER_NLM,"Sí"))=0),1,0),0)</f>
        <v>0</v>
      </c>
      <c r="AJ658" s="80">
        <f>IF(AC658=1,1440-Z658,AD658)</f>
        <v>0</v>
      </c>
      <c r="AK658" s="80">
        <f>IF(AND(AB658=1,AH658=1),MAX(0,MIN(IF(AC658=1,1440,AA658),CFG_WEM)-MAX(Z658,CFG_WSM)),0)</f>
        <v>0</v>
      </c>
      <c r="AL658" s="80">
        <f>IF(AND(AC658=1,AI658=1),MAX(0,MIN(AA658,CFG_WEM)-CFG_WSM),0)</f>
        <v>0</v>
      </c>
      <c r="AM658" s="80">
        <f>AK658+AL658</f>
        <v>0</v>
      </c>
      <c r="AN658" s="80">
        <f>IF(CFG_BRK="Proporcional",IF(AD658=0,0,AF658*AM658/AD658),IF(CFG_BRK="Extras primero",MIN(AM658,MAX(0,AF658-(AD658-AM658))),MIN(AF658,AM658)))</f>
        <v>0</v>
      </c>
      <c r="AO658" s="80">
        <f>AF658-AN658</f>
        <v>0</v>
      </c>
      <c r="AP658" s="80">
        <f>AM658-AN658</f>
        <v>0</v>
      </c>
      <c r="AQ658" s="80">
        <f>AD658-AM658-AO658</f>
        <v>0</v>
      </c>
      <c r="AR658" s="80">
        <f>IF(AM658=0,0,AK658-AN658*AK658/AM658)</f>
        <v>0</v>
      </c>
      <c r="AS658" s="80">
        <f>IF(AD658-AM658=0,0,(AJ658-AK658)-AO658*(AJ658-AK658)/(AD658-AM658))</f>
        <v>0</v>
      </c>
      <c r="AT658" s="80" t="str">
        <f>IF(AC658=1,INT(B658)+1,"")</f>
        <v/>
      </c>
      <c r="AU658" s="80">
        <f>IF(AND(D658="proMX",R658="Cancelled"),0,1)</f>
        <v>1</v>
      </c>
      <c r="AV658" s="80">
        <f>IF(AND(AB658=1,AU658=1),IF(COUNTIFS($D$5:D657,D658,$B$5:B657,B658,$Z$5:Z657,Z658,$AA$5:AA657,AA658,$F$5:F657,F658&amp;"",$AU$5:AU657,1)&gt;0,1,0),0)</f>
        <v>0</v>
      </c>
      <c r="AW658" s="80" t="str">
        <f>IF(AB658=1,INT(B658)*1440+Z658,"")</f>
        <v/>
      </c>
      <c r="AX658" s="80" t="str">
        <f>IF(AB658=1,AW658+AD658,"")</f>
        <v/>
      </c>
      <c r="AY658" s="80">
        <f>IF(AND(AB658=1,AV658=0,AU658=1),1,0)</f>
        <v>0</v>
      </c>
      <c r="AZ658" s="80">
        <f>IF(AY658=1,COUNTIFS(R_Emp,D658,R_SAbs,"&lt;"&amp;AX658,R_EAbs,"&gt;"&amp;AW658,R_OKey,1)-1,0)</f>
        <v>0</v>
      </c>
      <c r="BA658" s="80">
        <f>IF(AY658=1,COUNTIFS(R_Emp,"&lt;&gt;"&amp;D658,R_SAbs,"&lt;"&amp;AX658,R_EAbs,"&gt;"&amp;AW658,R_OKey,1),0)</f>
        <v>0</v>
      </c>
      <c r="BB658" s="80">
        <f>IF(AND(AB658=1,D658="proMX"),IF(AND(MOD(Z658,CFG_BLK)=0,MOD(AA658,CFG_BLK)=0,MOD(AG658,CFG_BLK)=0,AG658&gt;0),1,0),1)</f>
        <v>1</v>
      </c>
      <c r="BC658" s="80" t="str">
        <f>IF(Y658=0,"",IF(NOT(ISNUMBER(B658)),"Falta fecha o fecha inválida",IF(D658="","Falta empresa",IF(AND(D658&lt;&gt;"Malcolm",D658&lt;&gt;"proMX"),"Empresa inválida",IF(OR(INT(B658)&lt;CFG_PSTART,INT(B658)&gt;CFG_PEND),"Fecha fuera del período",IF(OR(NOT(ISNUMBER(Z658)),NOT(ISNUMBER(AA658))),"Falta hora inicio/fin o formato inválido",IF(AB658=0,"Hora inicio = hora fin",IF(AE658&lt;0,"Descanso inválido",IF(AE658&gt;=AD658,"Descanso ≥ duración",IF(AV658=1,"Registro duplicado",IF(AZ658&gt;0,"Se superpone con otro registro "&amp;D658,IF(BB658=0,"inicio, fin y duración neta deben ser múltiplos de "&amp;CFG_BLK&amp;" min",""))))))))))))</f>
        <v/>
      </c>
      <c r="BD658" s="80">
        <f>IF(AND(Y658=1,BC658=""),1,0)</f>
        <v>0</v>
      </c>
      <c r="BE658" s="80">
        <f>IF(AND(BD658=1,AU658=1),1,0)</f>
        <v>0</v>
      </c>
      <c r="BF658" s="80" t="str">
        <f>IF(AND(D658="proMX",BD658=1),IF(R658="","Draft",R658),"")</f>
        <v/>
      </c>
      <c r="BG658" s="80">
        <f>IF(BD658=1,ROUND(AG658/60,6),0)</f>
        <v>0</v>
      </c>
      <c r="BH658" s="80">
        <f>IF(BE658=1,ROUND(AG658/60,6),0)</f>
        <v>0</v>
      </c>
      <c r="BI658" s="80">
        <f>IF(BE658=1,ROUND(AP658/60,6),0)</f>
        <v>0</v>
      </c>
      <c r="BJ658" s="80">
        <f>IF(BE658=1,ROUND(AQ658/60,6),0)</f>
        <v>0</v>
      </c>
      <c r="BK658" s="80">
        <f>IF(BE658=1,ROUND((AR658+AS658)/60,6),0)</f>
        <v>0</v>
      </c>
      <c r="BL658" s="80">
        <f>ROUND(BH658-BK658,6)</f>
        <v>0</v>
      </c>
      <c r="BM658" s="80">
        <f>IF(BE658=1,ROUND(AR658/60,6),0)</f>
        <v>0</v>
      </c>
      <c r="BN658" s="80">
        <f>ROUND(BI658-BM658,6)</f>
        <v>0</v>
      </c>
      <c r="BO658" s="80">
        <f>IF(BE658=1,ROUND(AS658/60,6),0)</f>
        <v>0</v>
      </c>
      <c r="BP658" s="80">
        <f>ROUND(BJ658-BO658,6)</f>
        <v>0</v>
      </c>
      <c r="BQ658" s="80">
        <f>IF(BE658=1,AW658,0)</f>
        <v>0</v>
      </c>
      <c r="BR658" s="80">
        <f>IF(BE658=1,AX658,0)</f>
        <v>0</v>
      </c>
      <c r="BS658" s="80">
        <f>IF(AND(BE658=1,D658="Malcolm",BA658&gt;0),MIN(BH658,SUMPRODUCT((R_Emp="proMX")*(R_EN&gt;0)*((R_EN-(R_EN&gt;BR658)*(R_EN-BR658))&gt;(R_SN+(R_SN&lt;BQ658)*(BQ658-R_SN)))*((R_EN-(R_EN&gt;BR658)*(R_EN-BR658))-(R_SN+(R_SN&lt;BQ658)*(BQ658-R_SN))))/60),0)</f>
        <v>0</v>
      </c>
      <c r="BT658" s="80">
        <f>IF(AND(BE658=1,D658="proMX"),ROUND(BI658*CFG_RATE+BJ658*CFG_OTRATE,6),0)</f>
        <v>0</v>
      </c>
      <c r="BU658" s="80">
        <f>IF(AND(BD658=1,D658="proMX"),ROUND(AG658/CFG_BLK,6),0)</f>
        <v>0</v>
      </c>
      <c r="BV658" s="80" t="str">
        <f>IF(BF658="Approved",IF(ISNUMBER(T658),INT(T658),INT(B658)),"")</f>
        <v/>
      </c>
      <c r="BW658" s="80">
        <f>IF(ISNUMBER(B658),IF(DB_MON="Todos",1,IF(AND(INT(B658)&gt;=DB_MS,INT(B658)&lt;=DB_ME),1,0)),0)</f>
        <v>0</v>
      </c>
      <c r="BX658" s="80">
        <f>IF(DB_PROJ="Todos",1,IF(E658&amp;""=DB_PROJ&amp;"",1,0))</f>
        <v>1</v>
      </c>
      <c r="BY658" s="80">
        <f>BW658*BX658</f>
        <v>0</v>
      </c>
      <c r="BZ658" s="80" t="str">
        <f>IF(Y658=1,F658&amp;IF(AND(F658&amp;""&lt;&gt;"",E658&amp;""&lt;&gt;"")," · ","")&amp;E658,"")</f>
        <v/>
      </c>
      <c r="CA658" s="80" t="str">
        <f>IF(AND(BD658=1,E658&amp;""&lt;&gt;""),IF(COUNTIFS($E$5:E657,E658,$BD$5:BD657,1)=0,MAX($CA$5:CA657)+1,""),"")</f>
        <v/>
      </c>
      <c r="CB658" s="80" t="str">
        <f>IF(AND(BE658=1,D658="Malcolm",E658&amp;""&lt;&gt;""),IF(COUNTIFS($D$5:D657,"Malcolm",$E$5:E657,E658,$BE$5:BE657,1)=0,MAX($CB$5:CB657)+1,""),"")</f>
        <v/>
      </c>
      <c r="CC658" s="80" t="str">
        <f>IF(AND(BD658=1,D658="proMX",E658&amp;""&lt;&gt;""),IF(COUNTIFS($D$5:D657,"proMX",$E$5:E657,E658,$BD$5:BD657,1)=0,MAX($CC$5:CC657)+1,""),"")</f>
        <v/>
      </c>
      <c r="CD658" s="80" t="str">
        <f>IF(AND(BE658=1,D658="Malcolm",F658&amp;""&lt;&gt;""),IF(COUNTIFS($D$5:D657,"Malcolm",$F$5:F657,F658,$BE$5:BE657,1)=0,MAX($CD$5:CD657)+1,""),"")</f>
        <v/>
      </c>
      <c r="CE658" s="80" t="str">
        <f>IF(AND(BD658=1,D658="proMX",F658&amp;""&lt;&gt;""),IF(COUNTIFS($D$5:D657,"proMX",$F$5:F657,F658,$BD$5:BD657,1)=0,MAX($CE$5:CE657)+1,""),"")</f>
        <v/>
      </c>
      <c r="CF658" s="80" t="str">
        <f>IF(AND(D658="proMX",BD658=1),IF(OR(BF658="Draft",BF658="Submitted",BF658="Returned",BF658="Recall Requested"),MAX($CF$5:CF657)+1,""),"")</f>
        <v/>
      </c>
      <c r="CG658" s="80">
        <f>IF(BD658=0,0,IF(D658="Malcolm",1,MATCH(BF658,{"Draft","Submitted","Approved","Returned","Recall Requested","Cancelled"},0)+1))</f>
        <v>0</v>
      </c>
      <c r="CH658" s="80">
        <f>IF(AND(BF658="Submitted",ISNUMBER(V658)),IF(V658&gt;CFG_MAXD,1,0),0)</f>
        <v>0</v>
      </c>
    </row>
    <row r="659">
      <c r="A659" s="71" t="str">
        <f>IF(Y659=1,ROW()-5,"")</f>
        <v/>
      </c>
      <c r="B659" s="72" t="n"/>
      <c r="C659" s="71" t="str">
        <f>IF(ISNUMBER(B659),CHOOSE(WEEKDAY(B659,2),"Lun","Mar","Mié","Jue","Vie","Sáb","Dom"),"")</f>
        <v/>
      </c>
      <c r="D659" s="73" t="n"/>
      <c r="E659" s="74" t="n"/>
      <c r="F659" s="74" t="n"/>
      <c r="G659" s="74" t="n"/>
      <c r="H659" s="75" t="n"/>
      <c r="I659" s="75" t="n"/>
      <c r="J659" s="76" t="n"/>
      <c r="K659" s="77" t="str">
        <f>IF(AB659=1,ROUND(AG659/60,4),"")</f>
        <v/>
      </c>
      <c r="L659" s="77" t="str">
        <f>IF(BD659=1,ROUND(AP659/60,4),"")</f>
        <v/>
      </c>
      <c r="M659" s="77" t="str">
        <f>IF(BD659=1,ROUND(AQ659/60,4),"")</f>
        <v/>
      </c>
      <c r="N659" s="71" t="str">
        <f>IF(AND(D659="proMX",AB659=1),ROUND(AG659/CFG_BLK,2),"")</f>
        <v/>
      </c>
      <c r="O659" s="77" t="str">
        <f>IF(D659="proMX",IF(BD659=1,ROUND(AG659/60,4),0),"")</f>
        <v/>
      </c>
      <c r="P659" s="78" t="str">
        <f>IF(Y659=0,"",IF(BD659=1,"OK",IF(D659="proMX","Revisar bloques: ","Revisar: ")&amp;BC659))</f>
        <v/>
      </c>
      <c r="Q659" s="78" t="str">
        <f>IF(NOT(ISNUMBER(B659)),"",IF(COUNTIFS(FER_F,INT(B659))&gt;0,"Feriado"&amp;IF(AH659=1," (laborable)"," (no laborable)"),IF(AH659=1,"Laborable",IF(WEEKDAY(B659,2)&gt;5,"Fin de semana","No laborable"))))</f>
        <v/>
      </c>
      <c r="R659" s="73" t="n"/>
      <c r="S659" s="72" t="n"/>
      <c r="T659" s="72" t="n"/>
      <c r="U659" s="74" t="n"/>
      <c r="V659" s="79" t="str">
        <f>IF(AND(D659="proMX",OR(R659="Submitted",R659="Recall Requested"),ISNUMBER(S659)),CFG_TODAY-INT(S659),"")</f>
        <v/>
      </c>
      <c r="W659" s="78" t="str">
        <f>IF(BD659=0,"",IF(BA659&gt;0,"⚠ Se superpone con un registro de la otra empresa",IF(D659="Malcolm",IF(COUNTA(R659,S659,T659)&gt;0,"Estado/fechas proMX se ignoran en Malcolm",""),IF(BF659="Cancelled","Cancelado: excluido de totales",IF(R659="","Sin estado: se trata como Draft",IF(BF659="Submitted",IF(ISNUMBER(V659),IF(V659&gt;CFG_MAXD,"⚠ "&amp;V659&amp;" días en Submitted (máx. "&amp;CFG_MAXD&amp;")",""),"Falta fecha de envío"),IF(BF659="Returned","⚠ Devuelto: corregir y reenviar",IF(BF659="Recall Requested","Retirada solicitada: pendiente",IF(AND(BF659="Approved",NOT(ISNUMBER(T659))),"Falta fecha de aprobación",IF(AND(ISNUMBER(S659),ISNUMBER(T659),T659&lt;S659),"Aprobación anterior al envío","")))))))))</f>
        <v/>
      </c>
      <c r="Y659" s="80">
        <f>IF(COUNTA(B659,D659,E659,F659,G659,H659,I659,J659,R659,S659,T659)&gt;0,1,0)</f>
        <v>0</v>
      </c>
      <c r="Z659" s="80" t="str">
        <f>IF(AND(ISNUMBER(H659),H659&gt;=0,H659&lt;1),ROUND(H659*1440,0),"")</f>
        <v/>
      </c>
      <c r="AA659" s="80" t="str">
        <f>IF(AND(ISNUMBER(I659),I659&gt;=0,I659&lt;1),ROUND(I659*1440,0),"")</f>
        <v/>
      </c>
      <c r="AB659" s="80">
        <f>IF(AND(ISNUMBER(B659),D659&lt;&gt;"",ISNUMBER(Z659),ISNUMBER(AA659)),IF(Z659=AA659,0,1),0)</f>
        <v>0</v>
      </c>
      <c r="AC659" s="80">
        <f>IF(AB659=1,IF(AA659&lt;Z659,1,0),0)</f>
        <v>0</v>
      </c>
      <c r="AD659" s="80">
        <f>IF(AB659=1,IF(AC659=1,1440-Z659+AA659,AA659-Z659),0)</f>
        <v>0</v>
      </c>
      <c r="AE659" s="80">
        <f>IF(J659="",0,IF(ISNUMBER(J659),J659,-1))</f>
        <v>0</v>
      </c>
      <c r="AF659" s="80">
        <f>MIN(MAX(0,AE659),AD659)</f>
        <v>0</v>
      </c>
      <c r="AG659" s="80">
        <f>MAX(0,AD659-MAX(0,AE659))</f>
        <v>0</v>
      </c>
      <c r="AH659" s="80">
        <f>IF(ISNUMBER(B659),IF(AND(INDEX(CFG_WDAYS,WEEKDAY(INT(B659),2))="Sí",IF(D659="proMX",COUNTIFS(FER_F,INT(B659),FER_NLP,"Sí"),COUNTIFS(FER_F,INT(B659),FER_NLM,"Sí"))=0),1,0),0)</f>
        <v>0</v>
      </c>
      <c r="AI659" s="80">
        <f>IF(AC659=1,IF(AND(INDEX(CFG_WDAYS,WEEKDAY(INT(B659)+1,2))="Sí",IF(D659="proMX",COUNTIFS(FER_F,INT(B659)+1,FER_NLP,"Sí"),COUNTIFS(FER_F,INT(B659)+1,FER_NLM,"Sí"))=0),1,0),0)</f>
        <v>0</v>
      </c>
      <c r="AJ659" s="80">
        <f>IF(AC659=1,1440-Z659,AD659)</f>
        <v>0</v>
      </c>
      <c r="AK659" s="80">
        <f>IF(AND(AB659=1,AH659=1),MAX(0,MIN(IF(AC659=1,1440,AA659),CFG_WEM)-MAX(Z659,CFG_WSM)),0)</f>
        <v>0</v>
      </c>
      <c r="AL659" s="80">
        <f>IF(AND(AC659=1,AI659=1),MAX(0,MIN(AA659,CFG_WEM)-CFG_WSM),0)</f>
        <v>0</v>
      </c>
      <c r="AM659" s="80">
        <f>AK659+AL659</f>
        <v>0</v>
      </c>
      <c r="AN659" s="80">
        <f>IF(CFG_BRK="Proporcional",IF(AD659=0,0,AF659*AM659/AD659),IF(CFG_BRK="Extras primero",MIN(AM659,MAX(0,AF659-(AD659-AM659))),MIN(AF659,AM659)))</f>
        <v>0</v>
      </c>
      <c r="AO659" s="80">
        <f>AF659-AN659</f>
        <v>0</v>
      </c>
      <c r="AP659" s="80">
        <f>AM659-AN659</f>
        <v>0</v>
      </c>
      <c r="AQ659" s="80">
        <f>AD659-AM659-AO659</f>
        <v>0</v>
      </c>
      <c r="AR659" s="80">
        <f>IF(AM659=0,0,AK659-AN659*AK659/AM659)</f>
        <v>0</v>
      </c>
      <c r="AS659" s="80">
        <f>IF(AD659-AM659=0,0,(AJ659-AK659)-AO659*(AJ659-AK659)/(AD659-AM659))</f>
        <v>0</v>
      </c>
      <c r="AT659" s="80" t="str">
        <f>IF(AC659=1,INT(B659)+1,"")</f>
        <v/>
      </c>
      <c r="AU659" s="80">
        <f>IF(AND(D659="proMX",R659="Cancelled"),0,1)</f>
        <v>1</v>
      </c>
      <c r="AV659" s="80">
        <f>IF(AND(AB659=1,AU659=1),IF(COUNTIFS($D$5:D658,D659,$B$5:B658,B659,$Z$5:Z658,Z659,$AA$5:AA658,AA659,$F$5:F658,F659&amp;"",$AU$5:AU658,1)&gt;0,1,0),0)</f>
        <v>0</v>
      </c>
      <c r="AW659" s="80" t="str">
        <f>IF(AB659=1,INT(B659)*1440+Z659,"")</f>
        <v/>
      </c>
      <c r="AX659" s="80" t="str">
        <f>IF(AB659=1,AW659+AD659,"")</f>
        <v/>
      </c>
      <c r="AY659" s="80">
        <f>IF(AND(AB659=1,AV659=0,AU659=1),1,0)</f>
        <v>0</v>
      </c>
      <c r="AZ659" s="80">
        <f>IF(AY659=1,COUNTIFS(R_Emp,D659,R_SAbs,"&lt;"&amp;AX659,R_EAbs,"&gt;"&amp;AW659,R_OKey,1)-1,0)</f>
        <v>0</v>
      </c>
      <c r="BA659" s="80">
        <f>IF(AY659=1,COUNTIFS(R_Emp,"&lt;&gt;"&amp;D659,R_SAbs,"&lt;"&amp;AX659,R_EAbs,"&gt;"&amp;AW659,R_OKey,1),0)</f>
        <v>0</v>
      </c>
      <c r="BB659" s="80">
        <f>IF(AND(AB659=1,D659="proMX"),IF(AND(MOD(Z659,CFG_BLK)=0,MOD(AA659,CFG_BLK)=0,MOD(AG659,CFG_BLK)=0,AG659&gt;0),1,0),1)</f>
        <v>1</v>
      </c>
      <c r="BC659" s="80" t="str">
        <f>IF(Y659=0,"",IF(NOT(ISNUMBER(B659)),"Falta fecha o fecha inválida",IF(D659="","Falta empresa",IF(AND(D659&lt;&gt;"Malcolm",D659&lt;&gt;"proMX"),"Empresa inválida",IF(OR(INT(B659)&lt;CFG_PSTART,INT(B659)&gt;CFG_PEND),"Fecha fuera del período",IF(OR(NOT(ISNUMBER(Z659)),NOT(ISNUMBER(AA659))),"Falta hora inicio/fin o formato inválido",IF(AB659=0,"Hora inicio = hora fin",IF(AE659&lt;0,"Descanso inválido",IF(AE659&gt;=AD659,"Descanso ≥ duración",IF(AV659=1,"Registro duplicado",IF(AZ659&gt;0,"Se superpone con otro registro "&amp;D659,IF(BB659=0,"inicio, fin y duración neta deben ser múltiplos de "&amp;CFG_BLK&amp;" min",""))))))))))))</f>
        <v/>
      </c>
      <c r="BD659" s="80">
        <f>IF(AND(Y659=1,BC659=""),1,0)</f>
        <v>0</v>
      </c>
      <c r="BE659" s="80">
        <f>IF(AND(BD659=1,AU659=1),1,0)</f>
        <v>0</v>
      </c>
      <c r="BF659" s="80" t="str">
        <f>IF(AND(D659="proMX",BD659=1),IF(R659="","Draft",R659),"")</f>
        <v/>
      </c>
      <c r="BG659" s="80">
        <f>IF(BD659=1,ROUND(AG659/60,6),0)</f>
        <v>0</v>
      </c>
      <c r="BH659" s="80">
        <f>IF(BE659=1,ROUND(AG659/60,6),0)</f>
        <v>0</v>
      </c>
      <c r="BI659" s="80">
        <f>IF(BE659=1,ROUND(AP659/60,6),0)</f>
        <v>0</v>
      </c>
      <c r="BJ659" s="80">
        <f>IF(BE659=1,ROUND(AQ659/60,6),0)</f>
        <v>0</v>
      </c>
      <c r="BK659" s="80">
        <f>IF(BE659=1,ROUND((AR659+AS659)/60,6),0)</f>
        <v>0</v>
      </c>
      <c r="BL659" s="80">
        <f>ROUND(BH659-BK659,6)</f>
        <v>0</v>
      </c>
      <c r="BM659" s="80">
        <f>IF(BE659=1,ROUND(AR659/60,6),0)</f>
        <v>0</v>
      </c>
      <c r="BN659" s="80">
        <f>ROUND(BI659-BM659,6)</f>
        <v>0</v>
      </c>
      <c r="BO659" s="80">
        <f>IF(BE659=1,ROUND(AS659/60,6),0)</f>
        <v>0</v>
      </c>
      <c r="BP659" s="80">
        <f>ROUND(BJ659-BO659,6)</f>
        <v>0</v>
      </c>
      <c r="BQ659" s="80">
        <f>IF(BE659=1,AW659,0)</f>
        <v>0</v>
      </c>
      <c r="BR659" s="80">
        <f>IF(BE659=1,AX659,0)</f>
        <v>0</v>
      </c>
      <c r="BS659" s="80">
        <f>IF(AND(BE659=1,D659="Malcolm",BA659&gt;0),MIN(BH659,SUMPRODUCT((R_Emp="proMX")*(R_EN&gt;0)*((R_EN-(R_EN&gt;BR659)*(R_EN-BR659))&gt;(R_SN+(R_SN&lt;BQ659)*(BQ659-R_SN)))*((R_EN-(R_EN&gt;BR659)*(R_EN-BR659))-(R_SN+(R_SN&lt;BQ659)*(BQ659-R_SN))))/60),0)</f>
        <v>0</v>
      </c>
      <c r="BT659" s="80">
        <f>IF(AND(BE659=1,D659="proMX"),ROUND(BI659*CFG_RATE+BJ659*CFG_OTRATE,6),0)</f>
        <v>0</v>
      </c>
      <c r="BU659" s="80">
        <f>IF(AND(BD659=1,D659="proMX"),ROUND(AG659/CFG_BLK,6),0)</f>
        <v>0</v>
      </c>
      <c r="BV659" s="80" t="str">
        <f>IF(BF659="Approved",IF(ISNUMBER(T659),INT(T659),INT(B659)),"")</f>
        <v/>
      </c>
      <c r="BW659" s="80">
        <f>IF(ISNUMBER(B659),IF(DB_MON="Todos",1,IF(AND(INT(B659)&gt;=DB_MS,INT(B659)&lt;=DB_ME),1,0)),0)</f>
        <v>0</v>
      </c>
      <c r="BX659" s="80">
        <f>IF(DB_PROJ="Todos",1,IF(E659&amp;""=DB_PROJ&amp;"",1,0))</f>
        <v>1</v>
      </c>
      <c r="BY659" s="80">
        <f>BW659*BX659</f>
        <v>0</v>
      </c>
      <c r="BZ659" s="80" t="str">
        <f>IF(Y659=1,F659&amp;IF(AND(F659&amp;""&lt;&gt;"",E659&amp;""&lt;&gt;"")," · ","")&amp;E659,"")</f>
        <v/>
      </c>
      <c r="CA659" s="80" t="str">
        <f>IF(AND(BD659=1,E659&amp;""&lt;&gt;""),IF(COUNTIFS($E$5:E658,E659,$BD$5:BD658,1)=0,MAX($CA$5:CA658)+1,""),"")</f>
        <v/>
      </c>
      <c r="CB659" s="80" t="str">
        <f>IF(AND(BE659=1,D659="Malcolm",E659&amp;""&lt;&gt;""),IF(COUNTIFS($D$5:D658,"Malcolm",$E$5:E658,E659,$BE$5:BE658,1)=0,MAX($CB$5:CB658)+1,""),"")</f>
        <v/>
      </c>
      <c r="CC659" s="80" t="str">
        <f>IF(AND(BD659=1,D659="proMX",E659&amp;""&lt;&gt;""),IF(COUNTIFS($D$5:D658,"proMX",$E$5:E658,E659,$BD$5:BD658,1)=0,MAX($CC$5:CC658)+1,""),"")</f>
        <v/>
      </c>
      <c r="CD659" s="80" t="str">
        <f>IF(AND(BE659=1,D659="Malcolm",F659&amp;""&lt;&gt;""),IF(COUNTIFS($D$5:D658,"Malcolm",$F$5:F658,F659,$BE$5:BE658,1)=0,MAX($CD$5:CD658)+1,""),"")</f>
        <v/>
      </c>
      <c r="CE659" s="80" t="str">
        <f>IF(AND(BD659=1,D659="proMX",F659&amp;""&lt;&gt;""),IF(COUNTIFS($D$5:D658,"proMX",$F$5:F658,F659,$BD$5:BD658,1)=0,MAX($CE$5:CE658)+1,""),"")</f>
        <v/>
      </c>
      <c r="CF659" s="80" t="str">
        <f>IF(AND(D659="proMX",BD659=1),IF(OR(BF659="Draft",BF659="Submitted",BF659="Returned",BF659="Recall Requested"),MAX($CF$5:CF658)+1,""),"")</f>
        <v/>
      </c>
      <c r="CG659" s="80">
        <f>IF(BD659=0,0,IF(D659="Malcolm",1,MATCH(BF659,{"Draft","Submitted","Approved","Returned","Recall Requested","Cancelled"},0)+1))</f>
        <v>0</v>
      </c>
      <c r="CH659" s="80">
        <f>IF(AND(BF659="Submitted",ISNUMBER(V659)),IF(V659&gt;CFG_MAXD,1,0),0)</f>
        <v>0</v>
      </c>
    </row>
    <row r="660">
      <c r="A660" s="71" t="str">
        <f>IF(Y660=1,ROW()-5,"")</f>
        <v/>
      </c>
      <c r="B660" s="72" t="n"/>
      <c r="C660" s="71" t="str">
        <f>IF(ISNUMBER(B660),CHOOSE(WEEKDAY(B660,2),"Lun","Mar","Mié","Jue","Vie","Sáb","Dom"),"")</f>
        <v/>
      </c>
      <c r="D660" s="73" t="n"/>
      <c r="E660" s="74" t="n"/>
      <c r="F660" s="74" t="n"/>
      <c r="G660" s="74" t="n"/>
      <c r="H660" s="75" t="n"/>
      <c r="I660" s="75" t="n"/>
      <c r="J660" s="76" t="n"/>
      <c r="K660" s="77" t="str">
        <f>IF(AB660=1,ROUND(AG660/60,4),"")</f>
        <v/>
      </c>
      <c r="L660" s="77" t="str">
        <f>IF(BD660=1,ROUND(AP660/60,4),"")</f>
        <v/>
      </c>
      <c r="M660" s="77" t="str">
        <f>IF(BD660=1,ROUND(AQ660/60,4),"")</f>
        <v/>
      </c>
      <c r="N660" s="71" t="str">
        <f>IF(AND(D660="proMX",AB660=1),ROUND(AG660/CFG_BLK,2),"")</f>
        <v/>
      </c>
      <c r="O660" s="77" t="str">
        <f>IF(D660="proMX",IF(BD660=1,ROUND(AG660/60,4),0),"")</f>
        <v/>
      </c>
      <c r="P660" s="78" t="str">
        <f>IF(Y660=0,"",IF(BD660=1,"OK",IF(D660="proMX","Revisar bloques: ","Revisar: ")&amp;BC660))</f>
        <v/>
      </c>
      <c r="Q660" s="78" t="str">
        <f>IF(NOT(ISNUMBER(B660)),"",IF(COUNTIFS(FER_F,INT(B660))&gt;0,"Feriado"&amp;IF(AH660=1," (laborable)"," (no laborable)"),IF(AH660=1,"Laborable",IF(WEEKDAY(B660,2)&gt;5,"Fin de semana","No laborable"))))</f>
        <v/>
      </c>
      <c r="R660" s="73" t="n"/>
      <c r="S660" s="72" t="n"/>
      <c r="T660" s="72" t="n"/>
      <c r="U660" s="74" t="n"/>
      <c r="V660" s="79" t="str">
        <f>IF(AND(D660="proMX",OR(R660="Submitted",R660="Recall Requested"),ISNUMBER(S660)),CFG_TODAY-INT(S660),"")</f>
        <v/>
      </c>
      <c r="W660" s="78" t="str">
        <f>IF(BD660=0,"",IF(BA660&gt;0,"⚠ Se superpone con un registro de la otra empresa",IF(D660="Malcolm",IF(COUNTA(R660,S660,T660)&gt;0,"Estado/fechas proMX se ignoran en Malcolm",""),IF(BF660="Cancelled","Cancelado: excluido de totales",IF(R660="","Sin estado: se trata como Draft",IF(BF660="Submitted",IF(ISNUMBER(V660),IF(V660&gt;CFG_MAXD,"⚠ "&amp;V660&amp;" días en Submitted (máx. "&amp;CFG_MAXD&amp;")",""),"Falta fecha de envío"),IF(BF660="Returned","⚠ Devuelto: corregir y reenviar",IF(BF660="Recall Requested","Retirada solicitada: pendiente",IF(AND(BF660="Approved",NOT(ISNUMBER(T660))),"Falta fecha de aprobación",IF(AND(ISNUMBER(S660),ISNUMBER(T660),T660&lt;S660),"Aprobación anterior al envío","")))))))))</f>
        <v/>
      </c>
      <c r="Y660" s="80">
        <f>IF(COUNTA(B660,D660,E660,F660,G660,H660,I660,J660,R660,S660,T660)&gt;0,1,0)</f>
        <v>0</v>
      </c>
      <c r="Z660" s="80" t="str">
        <f>IF(AND(ISNUMBER(H660),H660&gt;=0,H660&lt;1),ROUND(H660*1440,0),"")</f>
        <v/>
      </c>
      <c r="AA660" s="80" t="str">
        <f>IF(AND(ISNUMBER(I660),I660&gt;=0,I660&lt;1),ROUND(I660*1440,0),"")</f>
        <v/>
      </c>
      <c r="AB660" s="80">
        <f>IF(AND(ISNUMBER(B660),D660&lt;&gt;"",ISNUMBER(Z660),ISNUMBER(AA660)),IF(Z660=AA660,0,1),0)</f>
        <v>0</v>
      </c>
      <c r="AC660" s="80">
        <f>IF(AB660=1,IF(AA660&lt;Z660,1,0),0)</f>
        <v>0</v>
      </c>
      <c r="AD660" s="80">
        <f>IF(AB660=1,IF(AC660=1,1440-Z660+AA660,AA660-Z660),0)</f>
        <v>0</v>
      </c>
      <c r="AE660" s="80">
        <f>IF(J660="",0,IF(ISNUMBER(J660),J660,-1))</f>
        <v>0</v>
      </c>
      <c r="AF660" s="80">
        <f>MIN(MAX(0,AE660),AD660)</f>
        <v>0</v>
      </c>
      <c r="AG660" s="80">
        <f>MAX(0,AD660-MAX(0,AE660))</f>
        <v>0</v>
      </c>
      <c r="AH660" s="80">
        <f>IF(ISNUMBER(B660),IF(AND(INDEX(CFG_WDAYS,WEEKDAY(INT(B660),2))="Sí",IF(D660="proMX",COUNTIFS(FER_F,INT(B660),FER_NLP,"Sí"),COUNTIFS(FER_F,INT(B660),FER_NLM,"Sí"))=0),1,0),0)</f>
        <v>0</v>
      </c>
      <c r="AI660" s="80">
        <f>IF(AC660=1,IF(AND(INDEX(CFG_WDAYS,WEEKDAY(INT(B660)+1,2))="Sí",IF(D660="proMX",COUNTIFS(FER_F,INT(B660)+1,FER_NLP,"Sí"),COUNTIFS(FER_F,INT(B660)+1,FER_NLM,"Sí"))=0),1,0),0)</f>
        <v>0</v>
      </c>
      <c r="AJ660" s="80">
        <f>IF(AC660=1,1440-Z660,AD660)</f>
        <v>0</v>
      </c>
      <c r="AK660" s="80">
        <f>IF(AND(AB660=1,AH660=1),MAX(0,MIN(IF(AC660=1,1440,AA660),CFG_WEM)-MAX(Z660,CFG_WSM)),0)</f>
        <v>0</v>
      </c>
      <c r="AL660" s="80">
        <f>IF(AND(AC660=1,AI660=1),MAX(0,MIN(AA660,CFG_WEM)-CFG_WSM),0)</f>
        <v>0</v>
      </c>
      <c r="AM660" s="80">
        <f>AK660+AL660</f>
        <v>0</v>
      </c>
      <c r="AN660" s="80">
        <f>IF(CFG_BRK="Proporcional",IF(AD660=0,0,AF660*AM660/AD660),IF(CFG_BRK="Extras primero",MIN(AM660,MAX(0,AF660-(AD660-AM660))),MIN(AF660,AM660)))</f>
        <v>0</v>
      </c>
      <c r="AO660" s="80">
        <f>AF660-AN660</f>
        <v>0</v>
      </c>
      <c r="AP660" s="80">
        <f>AM660-AN660</f>
        <v>0</v>
      </c>
      <c r="AQ660" s="80">
        <f>AD660-AM660-AO660</f>
        <v>0</v>
      </c>
      <c r="AR660" s="80">
        <f>IF(AM660=0,0,AK660-AN660*AK660/AM660)</f>
        <v>0</v>
      </c>
      <c r="AS660" s="80">
        <f>IF(AD660-AM660=0,0,(AJ660-AK660)-AO660*(AJ660-AK660)/(AD660-AM660))</f>
        <v>0</v>
      </c>
      <c r="AT660" s="80" t="str">
        <f>IF(AC660=1,INT(B660)+1,"")</f>
        <v/>
      </c>
      <c r="AU660" s="80">
        <f>IF(AND(D660="proMX",R660="Cancelled"),0,1)</f>
        <v>1</v>
      </c>
      <c r="AV660" s="80">
        <f>IF(AND(AB660=1,AU660=1),IF(COUNTIFS($D$5:D659,D660,$B$5:B659,B660,$Z$5:Z659,Z660,$AA$5:AA659,AA660,$F$5:F659,F660&amp;"",$AU$5:AU659,1)&gt;0,1,0),0)</f>
        <v>0</v>
      </c>
      <c r="AW660" s="80" t="str">
        <f>IF(AB660=1,INT(B660)*1440+Z660,"")</f>
        <v/>
      </c>
      <c r="AX660" s="80" t="str">
        <f>IF(AB660=1,AW660+AD660,"")</f>
        <v/>
      </c>
      <c r="AY660" s="80">
        <f>IF(AND(AB660=1,AV660=0,AU660=1),1,0)</f>
        <v>0</v>
      </c>
      <c r="AZ660" s="80">
        <f>IF(AY660=1,COUNTIFS(R_Emp,D660,R_SAbs,"&lt;"&amp;AX660,R_EAbs,"&gt;"&amp;AW660,R_OKey,1)-1,0)</f>
        <v>0</v>
      </c>
      <c r="BA660" s="80">
        <f>IF(AY660=1,COUNTIFS(R_Emp,"&lt;&gt;"&amp;D660,R_SAbs,"&lt;"&amp;AX660,R_EAbs,"&gt;"&amp;AW660,R_OKey,1),0)</f>
        <v>0</v>
      </c>
      <c r="BB660" s="80">
        <f>IF(AND(AB660=1,D660="proMX"),IF(AND(MOD(Z660,CFG_BLK)=0,MOD(AA660,CFG_BLK)=0,MOD(AG660,CFG_BLK)=0,AG660&gt;0),1,0),1)</f>
        <v>1</v>
      </c>
      <c r="BC660" s="80" t="str">
        <f>IF(Y660=0,"",IF(NOT(ISNUMBER(B660)),"Falta fecha o fecha inválida",IF(D660="","Falta empresa",IF(AND(D660&lt;&gt;"Malcolm",D660&lt;&gt;"proMX"),"Empresa inválida",IF(OR(INT(B660)&lt;CFG_PSTART,INT(B660)&gt;CFG_PEND),"Fecha fuera del período",IF(OR(NOT(ISNUMBER(Z660)),NOT(ISNUMBER(AA660))),"Falta hora inicio/fin o formato inválido",IF(AB660=0,"Hora inicio = hora fin",IF(AE660&lt;0,"Descanso inválido",IF(AE660&gt;=AD660,"Descanso ≥ duración",IF(AV660=1,"Registro duplicado",IF(AZ660&gt;0,"Se superpone con otro registro "&amp;D660,IF(BB660=0,"inicio, fin y duración neta deben ser múltiplos de "&amp;CFG_BLK&amp;" min",""))))))))))))</f>
        <v/>
      </c>
      <c r="BD660" s="80">
        <f>IF(AND(Y660=1,BC660=""),1,0)</f>
        <v>0</v>
      </c>
      <c r="BE660" s="80">
        <f>IF(AND(BD660=1,AU660=1),1,0)</f>
        <v>0</v>
      </c>
      <c r="BF660" s="80" t="str">
        <f>IF(AND(D660="proMX",BD660=1),IF(R660="","Draft",R660),"")</f>
        <v/>
      </c>
      <c r="BG660" s="80">
        <f>IF(BD660=1,ROUND(AG660/60,6),0)</f>
        <v>0</v>
      </c>
      <c r="BH660" s="80">
        <f>IF(BE660=1,ROUND(AG660/60,6),0)</f>
        <v>0</v>
      </c>
      <c r="BI660" s="80">
        <f>IF(BE660=1,ROUND(AP660/60,6),0)</f>
        <v>0</v>
      </c>
      <c r="BJ660" s="80">
        <f>IF(BE660=1,ROUND(AQ660/60,6),0)</f>
        <v>0</v>
      </c>
      <c r="BK660" s="80">
        <f>IF(BE660=1,ROUND((AR660+AS660)/60,6),0)</f>
        <v>0</v>
      </c>
      <c r="BL660" s="80">
        <f>ROUND(BH660-BK660,6)</f>
        <v>0</v>
      </c>
      <c r="BM660" s="80">
        <f>IF(BE660=1,ROUND(AR660/60,6),0)</f>
        <v>0</v>
      </c>
      <c r="BN660" s="80">
        <f>ROUND(BI660-BM660,6)</f>
        <v>0</v>
      </c>
      <c r="BO660" s="80">
        <f>IF(BE660=1,ROUND(AS660/60,6),0)</f>
        <v>0</v>
      </c>
      <c r="BP660" s="80">
        <f>ROUND(BJ660-BO660,6)</f>
        <v>0</v>
      </c>
      <c r="BQ660" s="80">
        <f>IF(BE660=1,AW660,0)</f>
        <v>0</v>
      </c>
      <c r="BR660" s="80">
        <f>IF(BE660=1,AX660,0)</f>
        <v>0</v>
      </c>
      <c r="BS660" s="80">
        <f>IF(AND(BE660=1,D660="Malcolm",BA660&gt;0),MIN(BH660,SUMPRODUCT((R_Emp="proMX")*(R_EN&gt;0)*((R_EN-(R_EN&gt;BR660)*(R_EN-BR660))&gt;(R_SN+(R_SN&lt;BQ660)*(BQ660-R_SN)))*((R_EN-(R_EN&gt;BR660)*(R_EN-BR660))-(R_SN+(R_SN&lt;BQ660)*(BQ660-R_SN))))/60),0)</f>
        <v>0</v>
      </c>
      <c r="BT660" s="80">
        <f>IF(AND(BE660=1,D660="proMX"),ROUND(BI660*CFG_RATE+BJ660*CFG_OTRATE,6),0)</f>
        <v>0</v>
      </c>
      <c r="BU660" s="80">
        <f>IF(AND(BD660=1,D660="proMX"),ROUND(AG660/CFG_BLK,6),0)</f>
        <v>0</v>
      </c>
      <c r="BV660" s="80" t="str">
        <f>IF(BF660="Approved",IF(ISNUMBER(T660),INT(T660),INT(B660)),"")</f>
        <v/>
      </c>
      <c r="BW660" s="80">
        <f>IF(ISNUMBER(B660),IF(DB_MON="Todos",1,IF(AND(INT(B660)&gt;=DB_MS,INT(B660)&lt;=DB_ME),1,0)),0)</f>
        <v>0</v>
      </c>
      <c r="BX660" s="80">
        <f>IF(DB_PROJ="Todos",1,IF(E660&amp;""=DB_PROJ&amp;"",1,0))</f>
        <v>1</v>
      </c>
      <c r="BY660" s="80">
        <f>BW660*BX660</f>
        <v>0</v>
      </c>
      <c r="BZ660" s="80" t="str">
        <f>IF(Y660=1,F660&amp;IF(AND(F660&amp;""&lt;&gt;"",E660&amp;""&lt;&gt;"")," · ","")&amp;E660,"")</f>
        <v/>
      </c>
      <c r="CA660" s="80" t="str">
        <f>IF(AND(BD660=1,E660&amp;""&lt;&gt;""),IF(COUNTIFS($E$5:E659,E660,$BD$5:BD659,1)=0,MAX($CA$5:CA659)+1,""),"")</f>
        <v/>
      </c>
      <c r="CB660" s="80" t="str">
        <f>IF(AND(BE660=1,D660="Malcolm",E660&amp;""&lt;&gt;""),IF(COUNTIFS($D$5:D659,"Malcolm",$E$5:E659,E660,$BE$5:BE659,1)=0,MAX($CB$5:CB659)+1,""),"")</f>
        <v/>
      </c>
      <c r="CC660" s="80" t="str">
        <f>IF(AND(BD660=1,D660="proMX",E660&amp;""&lt;&gt;""),IF(COUNTIFS($D$5:D659,"proMX",$E$5:E659,E660,$BD$5:BD659,1)=0,MAX($CC$5:CC659)+1,""),"")</f>
        <v/>
      </c>
      <c r="CD660" s="80" t="str">
        <f>IF(AND(BE660=1,D660="Malcolm",F660&amp;""&lt;&gt;""),IF(COUNTIFS($D$5:D659,"Malcolm",$F$5:F659,F660,$BE$5:BE659,1)=0,MAX($CD$5:CD659)+1,""),"")</f>
        <v/>
      </c>
      <c r="CE660" s="80" t="str">
        <f>IF(AND(BD660=1,D660="proMX",F660&amp;""&lt;&gt;""),IF(COUNTIFS($D$5:D659,"proMX",$F$5:F659,F660,$BD$5:BD659,1)=0,MAX($CE$5:CE659)+1,""),"")</f>
        <v/>
      </c>
      <c r="CF660" s="80" t="str">
        <f>IF(AND(D660="proMX",BD660=1),IF(OR(BF660="Draft",BF660="Submitted",BF660="Returned",BF660="Recall Requested"),MAX($CF$5:CF659)+1,""),"")</f>
        <v/>
      </c>
      <c r="CG660" s="80">
        <f>IF(BD660=0,0,IF(D660="Malcolm",1,MATCH(BF660,{"Draft","Submitted","Approved","Returned","Recall Requested","Cancelled"},0)+1))</f>
        <v>0</v>
      </c>
      <c r="CH660" s="80">
        <f>IF(AND(BF660="Submitted",ISNUMBER(V660)),IF(V660&gt;CFG_MAXD,1,0),0)</f>
        <v>0</v>
      </c>
    </row>
    <row r="661">
      <c r="A661" s="71" t="str">
        <f>IF(Y661=1,ROW()-5,"")</f>
        <v/>
      </c>
      <c r="B661" s="72" t="n"/>
      <c r="C661" s="71" t="str">
        <f>IF(ISNUMBER(B661),CHOOSE(WEEKDAY(B661,2),"Lun","Mar","Mié","Jue","Vie","Sáb","Dom"),"")</f>
        <v/>
      </c>
      <c r="D661" s="73" t="n"/>
      <c r="E661" s="74" t="n"/>
      <c r="F661" s="74" t="n"/>
      <c r="G661" s="74" t="n"/>
      <c r="H661" s="75" t="n"/>
      <c r="I661" s="75" t="n"/>
      <c r="J661" s="76" t="n"/>
      <c r="K661" s="77" t="str">
        <f>IF(AB661=1,ROUND(AG661/60,4),"")</f>
        <v/>
      </c>
      <c r="L661" s="77" t="str">
        <f>IF(BD661=1,ROUND(AP661/60,4),"")</f>
        <v/>
      </c>
      <c r="M661" s="77" t="str">
        <f>IF(BD661=1,ROUND(AQ661/60,4),"")</f>
        <v/>
      </c>
      <c r="N661" s="71" t="str">
        <f>IF(AND(D661="proMX",AB661=1),ROUND(AG661/CFG_BLK,2),"")</f>
        <v/>
      </c>
      <c r="O661" s="77" t="str">
        <f>IF(D661="proMX",IF(BD661=1,ROUND(AG661/60,4),0),"")</f>
        <v/>
      </c>
      <c r="P661" s="78" t="str">
        <f>IF(Y661=0,"",IF(BD661=1,"OK",IF(D661="proMX","Revisar bloques: ","Revisar: ")&amp;BC661))</f>
        <v/>
      </c>
      <c r="Q661" s="78" t="str">
        <f>IF(NOT(ISNUMBER(B661)),"",IF(COUNTIFS(FER_F,INT(B661))&gt;0,"Feriado"&amp;IF(AH661=1," (laborable)"," (no laborable)"),IF(AH661=1,"Laborable",IF(WEEKDAY(B661,2)&gt;5,"Fin de semana","No laborable"))))</f>
        <v/>
      </c>
      <c r="R661" s="73" t="n"/>
      <c r="S661" s="72" t="n"/>
      <c r="T661" s="72" t="n"/>
      <c r="U661" s="74" t="n"/>
      <c r="V661" s="79" t="str">
        <f>IF(AND(D661="proMX",OR(R661="Submitted",R661="Recall Requested"),ISNUMBER(S661)),CFG_TODAY-INT(S661),"")</f>
        <v/>
      </c>
      <c r="W661" s="78" t="str">
        <f>IF(BD661=0,"",IF(BA661&gt;0,"⚠ Se superpone con un registro de la otra empresa",IF(D661="Malcolm",IF(COUNTA(R661,S661,T661)&gt;0,"Estado/fechas proMX se ignoran en Malcolm",""),IF(BF661="Cancelled","Cancelado: excluido de totales",IF(R661="","Sin estado: se trata como Draft",IF(BF661="Submitted",IF(ISNUMBER(V661),IF(V661&gt;CFG_MAXD,"⚠ "&amp;V661&amp;" días en Submitted (máx. "&amp;CFG_MAXD&amp;")",""),"Falta fecha de envío"),IF(BF661="Returned","⚠ Devuelto: corregir y reenviar",IF(BF661="Recall Requested","Retirada solicitada: pendiente",IF(AND(BF661="Approved",NOT(ISNUMBER(T661))),"Falta fecha de aprobación",IF(AND(ISNUMBER(S661),ISNUMBER(T661),T661&lt;S661),"Aprobación anterior al envío","")))))))))</f>
        <v/>
      </c>
      <c r="Y661" s="80">
        <f>IF(COUNTA(B661,D661,E661,F661,G661,H661,I661,J661,R661,S661,T661)&gt;0,1,0)</f>
        <v>0</v>
      </c>
      <c r="Z661" s="80" t="str">
        <f>IF(AND(ISNUMBER(H661),H661&gt;=0,H661&lt;1),ROUND(H661*1440,0),"")</f>
        <v/>
      </c>
      <c r="AA661" s="80" t="str">
        <f>IF(AND(ISNUMBER(I661),I661&gt;=0,I661&lt;1),ROUND(I661*1440,0),"")</f>
        <v/>
      </c>
      <c r="AB661" s="80">
        <f>IF(AND(ISNUMBER(B661),D661&lt;&gt;"",ISNUMBER(Z661),ISNUMBER(AA661)),IF(Z661=AA661,0,1),0)</f>
        <v>0</v>
      </c>
      <c r="AC661" s="80">
        <f>IF(AB661=1,IF(AA661&lt;Z661,1,0),0)</f>
        <v>0</v>
      </c>
      <c r="AD661" s="80">
        <f>IF(AB661=1,IF(AC661=1,1440-Z661+AA661,AA661-Z661),0)</f>
        <v>0</v>
      </c>
      <c r="AE661" s="80">
        <f>IF(J661="",0,IF(ISNUMBER(J661),J661,-1))</f>
        <v>0</v>
      </c>
      <c r="AF661" s="80">
        <f>MIN(MAX(0,AE661),AD661)</f>
        <v>0</v>
      </c>
      <c r="AG661" s="80">
        <f>MAX(0,AD661-MAX(0,AE661))</f>
        <v>0</v>
      </c>
      <c r="AH661" s="80">
        <f>IF(ISNUMBER(B661),IF(AND(INDEX(CFG_WDAYS,WEEKDAY(INT(B661),2))="Sí",IF(D661="proMX",COUNTIFS(FER_F,INT(B661),FER_NLP,"Sí"),COUNTIFS(FER_F,INT(B661),FER_NLM,"Sí"))=0),1,0),0)</f>
        <v>0</v>
      </c>
      <c r="AI661" s="80">
        <f>IF(AC661=1,IF(AND(INDEX(CFG_WDAYS,WEEKDAY(INT(B661)+1,2))="Sí",IF(D661="proMX",COUNTIFS(FER_F,INT(B661)+1,FER_NLP,"Sí"),COUNTIFS(FER_F,INT(B661)+1,FER_NLM,"Sí"))=0),1,0),0)</f>
        <v>0</v>
      </c>
      <c r="AJ661" s="80">
        <f>IF(AC661=1,1440-Z661,AD661)</f>
        <v>0</v>
      </c>
      <c r="AK661" s="80">
        <f>IF(AND(AB661=1,AH661=1),MAX(0,MIN(IF(AC661=1,1440,AA661),CFG_WEM)-MAX(Z661,CFG_WSM)),0)</f>
        <v>0</v>
      </c>
      <c r="AL661" s="80">
        <f>IF(AND(AC661=1,AI661=1),MAX(0,MIN(AA661,CFG_WEM)-CFG_WSM),0)</f>
        <v>0</v>
      </c>
      <c r="AM661" s="80">
        <f>AK661+AL661</f>
        <v>0</v>
      </c>
      <c r="AN661" s="80">
        <f>IF(CFG_BRK="Proporcional",IF(AD661=0,0,AF661*AM661/AD661),IF(CFG_BRK="Extras primero",MIN(AM661,MAX(0,AF661-(AD661-AM661))),MIN(AF661,AM661)))</f>
        <v>0</v>
      </c>
      <c r="AO661" s="80">
        <f>AF661-AN661</f>
        <v>0</v>
      </c>
      <c r="AP661" s="80">
        <f>AM661-AN661</f>
        <v>0</v>
      </c>
      <c r="AQ661" s="80">
        <f>AD661-AM661-AO661</f>
        <v>0</v>
      </c>
      <c r="AR661" s="80">
        <f>IF(AM661=0,0,AK661-AN661*AK661/AM661)</f>
        <v>0</v>
      </c>
      <c r="AS661" s="80">
        <f>IF(AD661-AM661=0,0,(AJ661-AK661)-AO661*(AJ661-AK661)/(AD661-AM661))</f>
        <v>0</v>
      </c>
      <c r="AT661" s="80" t="str">
        <f>IF(AC661=1,INT(B661)+1,"")</f>
        <v/>
      </c>
      <c r="AU661" s="80">
        <f>IF(AND(D661="proMX",R661="Cancelled"),0,1)</f>
        <v>1</v>
      </c>
      <c r="AV661" s="80">
        <f>IF(AND(AB661=1,AU661=1),IF(COUNTIFS($D$5:D660,D661,$B$5:B660,B661,$Z$5:Z660,Z661,$AA$5:AA660,AA661,$F$5:F660,F661&amp;"",$AU$5:AU660,1)&gt;0,1,0),0)</f>
        <v>0</v>
      </c>
      <c r="AW661" s="80" t="str">
        <f>IF(AB661=1,INT(B661)*1440+Z661,"")</f>
        <v/>
      </c>
      <c r="AX661" s="80" t="str">
        <f>IF(AB661=1,AW661+AD661,"")</f>
        <v/>
      </c>
      <c r="AY661" s="80">
        <f>IF(AND(AB661=1,AV661=0,AU661=1),1,0)</f>
        <v>0</v>
      </c>
      <c r="AZ661" s="80">
        <f>IF(AY661=1,COUNTIFS(R_Emp,D661,R_SAbs,"&lt;"&amp;AX661,R_EAbs,"&gt;"&amp;AW661,R_OKey,1)-1,0)</f>
        <v>0</v>
      </c>
      <c r="BA661" s="80">
        <f>IF(AY661=1,COUNTIFS(R_Emp,"&lt;&gt;"&amp;D661,R_SAbs,"&lt;"&amp;AX661,R_EAbs,"&gt;"&amp;AW661,R_OKey,1),0)</f>
        <v>0</v>
      </c>
      <c r="BB661" s="80">
        <f>IF(AND(AB661=1,D661="proMX"),IF(AND(MOD(Z661,CFG_BLK)=0,MOD(AA661,CFG_BLK)=0,MOD(AG661,CFG_BLK)=0,AG661&gt;0),1,0),1)</f>
        <v>1</v>
      </c>
      <c r="BC661" s="80" t="str">
        <f>IF(Y661=0,"",IF(NOT(ISNUMBER(B661)),"Falta fecha o fecha inválida",IF(D661="","Falta empresa",IF(AND(D661&lt;&gt;"Malcolm",D661&lt;&gt;"proMX"),"Empresa inválida",IF(OR(INT(B661)&lt;CFG_PSTART,INT(B661)&gt;CFG_PEND),"Fecha fuera del período",IF(OR(NOT(ISNUMBER(Z661)),NOT(ISNUMBER(AA661))),"Falta hora inicio/fin o formato inválido",IF(AB661=0,"Hora inicio = hora fin",IF(AE661&lt;0,"Descanso inválido",IF(AE661&gt;=AD661,"Descanso ≥ duración",IF(AV661=1,"Registro duplicado",IF(AZ661&gt;0,"Se superpone con otro registro "&amp;D661,IF(BB661=0,"inicio, fin y duración neta deben ser múltiplos de "&amp;CFG_BLK&amp;" min",""))))))))))))</f>
        <v/>
      </c>
      <c r="BD661" s="80">
        <f>IF(AND(Y661=1,BC661=""),1,0)</f>
        <v>0</v>
      </c>
      <c r="BE661" s="80">
        <f>IF(AND(BD661=1,AU661=1),1,0)</f>
        <v>0</v>
      </c>
      <c r="BF661" s="80" t="str">
        <f>IF(AND(D661="proMX",BD661=1),IF(R661="","Draft",R661),"")</f>
        <v/>
      </c>
      <c r="BG661" s="80">
        <f>IF(BD661=1,ROUND(AG661/60,6),0)</f>
        <v>0</v>
      </c>
      <c r="BH661" s="80">
        <f>IF(BE661=1,ROUND(AG661/60,6),0)</f>
        <v>0</v>
      </c>
      <c r="BI661" s="80">
        <f>IF(BE661=1,ROUND(AP661/60,6),0)</f>
        <v>0</v>
      </c>
      <c r="BJ661" s="80">
        <f>IF(BE661=1,ROUND(AQ661/60,6),0)</f>
        <v>0</v>
      </c>
      <c r="BK661" s="80">
        <f>IF(BE661=1,ROUND((AR661+AS661)/60,6),0)</f>
        <v>0</v>
      </c>
      <c r="BL661" s="80">
        <f>ROUND(BH661-BK661,6)</f>
        <v>0</v>
      </c>
      <c r="BM661" s="80">
        <f>IF(BE661=1,ROUND(AR661/60,6),0)</f>
        <v>0</v>
      </c>
      <c r="BN661" s="80">
        <f>ROUND(BI661-BM661,6)</f>
        <v>0</v>
      </c>
      <c r="BO661" s="80">
        <f>IF(BE661=1,ROUND(AS661/60,6),0)</f>
        <v>0</v>
      </c>
      <c r="BP661" s="80">
        <f>ROUND(BJ661-BO661,6)</f>
        <v>0</v>
      </c>
      <c r="BQ661" s="80">
        <f>IF(BE661=1,AW661,0)</f>
        <v>0</v>
      </c>
      <c r="BR661" s="80">
        <f>IF(BE661=1,AX661,0)</f>
        <v>0</v>
      </c>
      <c r="BS661" s="80">
        <f>IF(AND(BE661=1,D661="Malcolm",BA661&gt;0),MIN(BH661,SUMPRODUCT((R_Emp="proMX")*(R_EN&gt;0)*((R_EN-(R_EN&gt;BR661)*(R_EN-BR661))&gt;(R_SN+(R_SN&lt;BQ661)*(BQ661-R_SN)))*((R_EN-(R_EN&gt;BR661)*(R_EN-BR661))-(R_SN+(R_SN&lt;BQ661)*(BQ661-R_SN))))/60),0)</f>
        <v>0</v>
      </c>
      <c r="BT661" s="80">
        <f>IF(AND(BE661=1,D661="proMX"),ROUND(BI661*CFG_RATE+BJ661*CFG_OTRATE,6),0)</f>
        <v>0</v>
      </c>
      <c r="BU661" s="80">
        <f>IF(AND(BD661=1,D661="proMX"),ROUND(AG661/CFG_BLK,6),0)</f>
        <v>0</v>
      </c>
      <c r="BV661" s="80" t="str">
        <f>IF(BF661="Approved",IF(ISNUMBER(T661),INT(T661),INT(B661)),"")</f>
        <v/>
      </c>
      <c r="BW661" s="80">
        <f>IF(ISNUMBER(B661),IF(DB_MON="Todos",1,IF(AND(INT(B661)&gt;=DB_MS,INT(B661)&lt;=DB_ME),1,0)),0)</f>
        <v>0</v>
      </c>
      <c r="BX661" s="80">
        <f>IF(DB_PROJ="Todos",1,IF(E661&amp;""=DB_PROJ&amp;"",1,0))</f>
        <v>1</v>
      </c>
      <c r="BY661" s="80">
        <f>BW661*BX661</f>
        <v>0</v>
      </c>
      <c r="BZ661" s="80" t="str">
        <f>IF(Y661=1,F661&amp;IF(AND(F661&amp;""&lt;&gt;"",E661&amp;""&lt;&gt;"")," · ","")&amp;E661,"")</f>
        <v/>
      </c>
      <c r="CA661" s="80" t="str">
        <f>IF(AND(BD661=1,E661&amp;""&lt;&gt;""),IF(COUNTIFS($E$5:E660,E661,$BD$5:BD660,1)=0,MAX($CA$5:CA660)+1,""),"")</f>
        <v/>
      </c>
      <c r="CB661" s="80" t="str">
        <f>IF(AND(BE661=1,D661="Malcolm",E661&amp;""&lt;&gt;""),IF(COUNTIFS($D$5:D660,"Malcolm",$E$5:E660,E661,$BE$5:BE660,1)=0,MAX($CB$5:CB660)+1,""),"")</f>
        <v/>
      </c>
      <c r="CC661" s="80" t="str">
        <f>IF(AND(BD661=1,D661="proMX",E661&amp;""&lt;&gt;""),IF(COUNTIFS($D$5:D660,"proMX",$E$5:E660,E661,$BD$5:BD660,1)=0,MAX($CC$5:CC660)+1,""),"")</f>
        <v/>
      </c>
      <c r="CD661" s="80" t="str">
        <f>IF(AND(BE661=1,D661="Malcolm",F661&amp;""&lt;&gt;""),IF(COUNTIFS($D$5:D660,"Malcolm",$F$5:F660,F661,$BE$5:BE660,1)=0,MAX($CD$5:CD660)+1,""),"")</f>
        <v/>
      </c>
      <c r="CE661" s="80" t="str">
        <f>IF(AND(BD661=1,D661="proMX",F661&amp;""&lt;&gt;""),IF(COUNTIFS($D$5:D660,"proMX",$F$5:F660,F661,$BD$5:BD660,1)=0,MAX($CE$5:CE660)+1,""),"")</f>
        <v/>
      </c>
      <c r="CF661" s="80" t="str">
        <f>IF(AND(D661="proMX",BD661=1),IF(OR(BF661="Draft",BF661="Submitted",BF661="Returned",BF661="Recall Requested"),MAX($CF$5:CF660)+1,""),"")</f>
        <v/>
      </c>
      <c r="CG661" s="80">
        <f>IF(BD661=0,0,IF(D661="Malcolm",1,MATCH(BF661,{"Draft","Submitted","Approved","Returned","Recall Requested","Cancelled"},0)+1))</f>
        <v>0</v>
      </c>
      <c r="CH661" s="80">
        <f>IF(AND(BF661="Submitted",ISNUMBER(V661)),IF(V661&gt;CFG_MAXD,1,0),0)</f>
        <v>0</v>
      </c>
    </row>
    <row r="662">
      <c r="A662" s="71" t="str">
        <f>IF(Y662=1,ROW()-5,"")</f>
        <v/>
      </c>
      <c r="B662" s="72" t="n"/>
      <c r="C662" s="71" t="str">
        <f>IF(ISNUMBER(B662),CHOOSE(WEEKDAY(B662,2),"Lun","Mar","Mié","Jue","Vie","Sáb","Dom"),"")</f>
        <v/>
      </c>
      <c r="D662" s="73" t="n"/>
      <c r="E662" s="74" t="n"/>
      <c r="F662" s="74" t="n"/>
      <c r="G662" s="74" t="n"/>
      <c r="H662" s="75" t="n"/>
      <c r="I662" s="75" t="n"/>
      <c r="J662" s="76" t="n"/>
      <c r="K662" s="77" t="str">
        <f>IF(AB662=1,ROUND(AG662/60,4),"")</f>
        <v/>
      </c>
      <c r="L662" s="77" t="str">
        <f>IF(BD662=1,ROUND(AP662/60,4),"")</f>
        <v/>
      </c>
      <c r="M662" s="77" t="str">
        <f>IF(BD662=1,ROUND(AQ662/60,4),"")</f>
        <v/>
      </c>
      <c r="N662" s="71" t="str">
        <f>IF(AND(D662="proMX",AB662=1),ROUND(AG662/CFG_BLK,2),"")</f>
        <v/>
      </c>
      <c r="O662" s="77" t="str">
        <f>IF(D662="proMX",IF(BD662=1,ROUND(AG662/60,4),0),"")</f>
        <v/>
      </c>
      <c r="P662" s="78" t="str">
        <f>IF(Y662=0,"",IF(BD662=1,"OK",IF(D662="proMX","Revisar bloques: ","Revisar: ")&amp;BC662))</f>
        <v/>
      </c>
      <c r="Q662" s="78" t="str">
        <f>IF(NOT(ISNUMBER(B662)),"",IF(COUNTIFS(FER_F,INT(B662))&gt;0,"Feriado"&amp;IF(AH662=1," (laborable)"," (no laborable)"),IF(AH662=1,"Laborable",IF(WEEKDAY(B662,2)&gt;5,"Fin de semana","No laborable"))))</f>
        <v/>
      </c>
      <c r="R662" s="73" t="n"/>
      <c r="S662" s="72" t="n"/>
      <c r="T662" s="72" t="n"/>
      <c r="U662" s="74" t="n"/>
      <c r="V662" s="79" t="str">
        <f>IF(AND(D662="proMX",OR(R662="Submitted",R662="Recall Requested"),ISNUMBER(S662)),CFG_TODAY-INT(S662),"")</f>
        <v/>
      </c>
      <c r="W662" s="78" t="str">
        <f>IF(BD662=0,"",IF(BA662&gt;0,"⚠ Se superpone con un registro de la otra empresa",IF(D662="Malcolm",IF(COUNTA(R662,S662,T662)&gt;0,"Estado/fechas proMX se ignoran en Malcolm",""),IF(BF662="Cancelled","Cancelado: excluido de totales",IF(R662="","Sin estado: se trata como Draft",IF(BF662="Submitted",IF(ISNUMBER(V662),IF(V662&gt;CFG_MAXD,"⚠ "&amp;V662&amp;" días en Submitted (máx. "&amp;CFG_MAXD&amp;")",""),"Falta fecha de envío"),IF(BF662="Returned","⚠ Devuelto: corregir y reenviar",IF(BF662="Recall Requested","Retirada solicitada: pendiente",IF(AND(BF662="Approved",NOT(ISNUMBER(T662))),"Falta fecha de aprobación",IF(AND(ISNUMBER(S662),ISNUMBER(T662),T662&lt;S662),"Aprobación anterior al envío","")))))))))</f>
        <v/>
      </c>
      <c r="Y662" s="80">
        <f>IF(COUNTA(B662,D662,E662,F662,G662,H662,I662,J662,R662,S662,T662)&gt;0,1,0)</f>
        <v>0</v>
      </c>
      <c r="Z662" s="80" t="str">
        <f>IF(AND(ISNUMBER(H662),H662&gt;=0,H662&lt;1),ROUND(H662*1440,0),"")</f>
        <v/>
      </c>
      <c r="AA662" s="80" t="str">
        <f>IF(AND(ISNUMBER(I662),I662&gt;=0,I662&lt;1),ROUND(I662*1440,0),"")</f>
        <v/>
      </c>
      <c r="AB662" s="80">
        <f>IF(AND(ISNUMBER(B662),D662&lt;&gt;"",ISNUMBER(Z662),ISNUMBER(AA662)),IF(Z662=AA662,0,1),0)</f>
        <v>0</v>
      </c>
      <c r="AC662" s="80">
        <f>IF(AB662=1,IF(AA662&lt;Z662,1,0),0)</f>
        <v>0</v>
      </c>
      <c r="AD662" s="80">
        <f>IF(AB662=1,IF(AC662=1,1440-Z662+AA662,AA662-Z662),0)</f>
        <v>0</v>
      </c>
      <c r="AE662" s="80">
        <f>IF(J662="",0,IF(ISNUMBER(J662),J662,-1))</f>
        <v>0</v>
      </c>
      <c r="AF662" s="80">
        <f>MIN(MAX(0,AE662),AD662)</f>
        <v>0</v>
      </c>
      <c r="AG662" s="80">
        <f>MAX(0,AD662-MAX(0,AE662))</f>
        <v>0</v>
      </c>
      <c r="AH662" s="80">
        <f>IF(ISNUMBER(B662),IF(AND(INDEX(CFG_WDAYS,WEEKDAY(INT(B662),2))="Sí",IF(D662="proMX",COUNTIFS(FER_F,INT(B662),FER_NLP,"Sí"),COUNTIFS(FER_F,INT(B662),FER_NLM,"Sí"))=0),1,0),0)</f>
        <v>0</v>
      </c>
      <c r="AI662" s="80">
        <f>IF(AC662=1,IF(AND(INDEX(CFG_WDAYS,WEEKDAY(INT(B662)+1,2))="Sí",IF(D662="proMX",COUNTIFS(FER_F,INT(B662)+1,FER_NLP,"Sí"),COUNTIFS(FER_F,INT(B662)+1,FER_NLM,"Sí"))=0),1,0),0)</f>
        <v>0</v>
      </c>
      <c r="AJ662" s="80">
        <f>IF(AC662=1,1440-Z662,AD662)</f>
        <v>0</v>
      </c>
      <c r="AK662" s="80">
        <f>IF(AND(AB662=1,AH662=1),MAX(0,MIN(IF(AC662=1,1440,AA662),CFG_WEM)-MAX(Z662,CFG_WSM)),0)</f>
        <v>0</v>
      </c>
      <c r="AL662" s="80">
        <f>IF(AND(AC662=1,AI662=1),MAX(0,MIN(AA662,CFG_WEM)-CFG_WSM),0)</f>
        <v>0</v>
      </c>
      <c r="AM662" s="80">
        <f>AK662+AL662</f>
        <v>0</v>
      </c>
      <c r="AN662" s="80">
        <f>IF(CFG_BRK="Proporcional",IF(AD662=0,0,AF662*AM662/AD662),IF(CFG_BRK="Extras primero",MIN(AM662,MAX(0,AF662-(AD662-AM662))),MIN(AF662,AM662)))</f>
        <v>0</v>
      </c>
      <c r="AO662" s="80">
        <f>AF662-AN662</f>
        <v>0</v>
      </c>
      <c r="AP662" s="80">
        <f>AM662-AN662</f>
        <v>0</v>
      </c>
      <c r="AQ662" s="80">
        <f>AD662-AM662-AO662</f>
        <v>0</v>
      </c>
      <c r="AR662" s="80">
        <f>IF(AM662=0,0,AK662-AN662*AK662/AM662)</f>
        <v>0</v>
      </c>
      <c r="AS662" s="80">
        <f>IF(AD662-AM662=0,0,(AJ662-AK662)-AO662*(AJ662-AK662)/(AD662-AM662))</f>
        <v>0</v>
      </c>
      <c r="AT662" s="80" t="str">
        <f>IF(AC662=1,INT(B662)+1,"")</f>
        <v/>
      </c>
      <c r="AU662" s="80">
        <f>IF(AND(D662="proMX",R662="Cancelled"),0,1)</f>
        <v>1</v>
      </c>
      <c r="AV662" s="80">
        <f>IF(AND(AB662=1,AU662=1),IF(COUNTIFS($D$5:D661,D662,$B$5:B661,B662,$Z$5:Z661,Z662,$AA$5:AA661,AA662,$F$5:F661,F662&amp;"",$AU$5:AU661,1)&gt;0,1,0),0)</f>
        <v>0</v>
      </c>
      <c r="AW662" s="80" t="str">
        <f>IF(AB662=1,INT(B662)*1440+Z662,"")</f>
        <v/>
      </c>
      <c r="AX662" s="80" t="str">
        <f>IF(AB662=1,AW662+AD662,"")</f>
        <v/>
      </c>
      <c r="AY662" s="80">
        <f>IF(AND(AB662=1,AV662=0,AU662=1),1,0)</f>
        <v>0</v>
      </c>
      <c r="AZ662" s="80">
        <f>IF(AY662=1,COUNTIFS(R_Emp,D662,R_SAbs,"&lt;"&amp;AX662,R_EAbs,"&gt;"&amp;AW662,R_OKey,1)-1,0)</f>
        <v>0</v>
      </c>
      <c r="BA662" s="80">
        <f>IF(AY662=1,COUNTIFS(R_Emp,"&lt;&gt;"&amp;D662,R_SAbs,"&lt;"&amp;AX662,R_EAbs,"&gt;"&amp;AW662,R_OKey,1),0)</f>
        <v>0</v>
      </c>
      <c r="BB662" s="80">
        <f>IF(AND(AB662=1,D662="proMX"),IF(AND(MOD(Z662,CFG_BLK)=0,MOD(AA662,CFG_BLK)=0,MOD(AG662,CFG_BLK)=0,AG662&gt;0),1,0),1)</f>
        <v>1</v>
      </c>
      <c r="BC662" s="80" t="str">
        <f>IF(Y662=0,"",IF(NOT(ISNUMBER(B662)),"Falta fecha o fecha inválida",IF(D662="","Falta empresa",IF(AND(D662&lt;&gt;"Malcolm",D662&lt;&gt;"proMX"),"Empresa inválida",IF(OR(INT(B662)&lt;CFG_PSTART,INT(B662)&gt;CFG_PEND),"Fecha fuera del período",IF(OR(NOT(ISNUMBER(Z662)),NOT(ISNUMBER(AA662))),"Falta hora inicio/fin o formato inválido",IF(AB662=0,"Hora inicio = hora fin",IF(AE662&lt;0,"Descanso inválido",IF(AE662&gt;=AD662,"Descanso ≥ duración",IF(AV662=1,"Registro duplicado",IF(AZ662&gt;0,"Se superpone con otro registro "&amp;D662,IF(BB662=0,"inicio, fin y duración neta deben ser múltiplos de "&amp;CFG_BLK&amp;" min",""))))))))))))</f>
        <v/>
      </c>
      <c r="BD662" s="80">
        <f>IF(AND(Y662=1,BC662=""),1,0)</f>
        <v>0</v>
      </c>
      <c r="BE662" s="80">
        <f>IF(AND(BD662=1,AU662=1),1,0)</f>
        <v>0</v>
      </c>
      <c r="BF662" s="80" t="str">
        <f>IF(AND(D662="proMX",BD662=1),IF(R662="","Draft",R662),"")</f>
        <v/>
      </c>
      <c r="BG662" s="80">
        <f>IF(BD662=1,ROUND(AG662/60,6),0)</f>
        <v>0</v>
      </c>
      <c r="BH662" s="80">
        <f>IF(BE662=1,ROUND(AG662/60,6),0)</f>
        <v>0</v>
      </c>
      <c r="BI662" s="80">
        <f>IF(BE662=1,ROUND(AP662/60,6),0)</f>
        <v>0</v>
      </c>
      <c r="BJ662" s="80">
        <f>IF(BE662=1,ROUND(AQ662/60,6),0)</f>
        <v>0</v>
      </c>
      <c r="BK662" s="80">
        <f>IF(BE662=1,ROUND((AR662+AS662)/60,6),0)</f>
        <v>0</v>
      </c>
      <c r="BL662" s="80">
        <f>ROUND(BH662-BK662,6)</f>
        <v>0</v>
      </c>
      <c r="BM662" s="80">
        <f>IF(BE662=1,ROUND(AR662/60,6),0)</f>
        <v>0</v>
      </c>
      <c r="BN662" s="80">
        <f>ROUND(BI662-BM662,6)</f>
        <v>0</v>
      </c>
      <c r="BO662" s="80">
        <f>IF(BE662=1,ROUND(AS662/60,6),0)</f>
        <v>0</v>
      </c>
      <c r="BP662" s="80">
        <f>ROUND(BJ662-BO662,6)</f>
        <v>0</v>
      </c>
      <c r="BQ662" s="80">
        <f>IF(BE662=1,AW662,0)</f>
        <v>0</v>
      </c>
      <c r="BR662" s="80">
        <f>IF(BE662=1,AX662,0)</f>
        <v>0</v>
      </c>
      <c r="BS662" s="80">
        <f>IF(AND(BE662=1,D662="Malcolm",BA662&gt;0),MIN(BH662,SUMPRODUCT((R_Emp="proMX")*(R_EN&gt;0)*((R_EN-(R_EN&gt;BR662)*(R_EN-BR662))&gt;(R_SN+(R_SN&lt;BQ662)*(BQ662-R_SN)))*((R_EN-(R_EN&gt;BR662)*(R_EN-BR662))-(R_SN+(R_SN&lt;BQ662)*(BQ662-R_SN))))/60),0)</f>
        <v>0</v>
      </c>
      <c r="BT662" s="80">
        <f>IF(AND(BE662=1,D662="proMX"),ROUND(BI662*CFG_RATE+BJ662*CFG_OTRATE,6),0)</f>
        <v>0</v>
      </c>
      <c r="BU662" s="80">
        <f>IF(AND(BD662=1,D662="proMX"),ROUND(AG662/CFG_BLK,6),0)</f>
        <v>0</v>
      </c>
      <c r="BV662" s="80" t="str">
        <f>IF(BF662="Approved",IF(ISNUMBER(T662),INT(T662),INT(B662)),"")</f>
        <v/>
      </c>
      <c r="BW662" s="80">
        <f>IF(ISNUMBER(B662),IF(DB_MON="Todos",1,IF(AND(INT(B662)&gt;=DB_MS,INT(B662)&lt;=DB_ME),1,0)),0)</f>
        <v>0</v>
      </c>
      <c r="BX662" s="80">
        <f>IF(DB_PROJ="Todos",1,IF(E662&amp;""=DB_PROJ&amp;"",1,0))</f>
        <v>1</v>
      </c>
      <c r="BY662" s="80">
        <f>BW662*BX662</f>
        <v>0</v>
      </c>
      <c r="BZ662" s="80" t="str">
        <f>IF(Y662=1,F662&amp;IF(AND(F662&amp;""&lt;&gt;"",E662&amp;""&lt;&gt;"")," · ","")&amp;E662,"")</f>
        <v/>
      </c>
      <c r="CA662" s="80" t="str">
        <f>IF(AND(BD662=1,E662&amp;""&lt;&gt;""),IF(COUNTIFS($E$5:E661,E662,$BD$5:BD661,1)=0,MAX($CA$5:CA661)+1,""),"")</f>
        <v/>
      </c>
      <c r="CB662" s="80" t="str">
        <f>IF(AND(BE662=1,D662="Malcolm",E662&amp;""&lt;&gt;""),IF(COUNTIFS($D$5:D661,"Malcolm",$E$5:E661,E662,$BE$5:BE661,1)=0,MAX($CB$5:CB661)+1,""),"")</f>
        <v/>
      </c>
      <c r="CC662" s="80" t="str">
        <f>IF(AND(BD662=1,D662="proMX",E662&amp;""&lt;&gt;""),IF(COUNTIFS($D$5:D661,"proMX",$E$5:E661,E662,$BD$5:BD661,1)=0,MAX($CC$5:CC661)+1,""),"")</f>
        <v/>
      </c>
      <c r="CD662" s="80" t="str">
        <f>IF(AND(BE662=1,D662="Malcolm",F662&amp;""&lt;&gt;""),IF(COUNTIFS($D$5:D661,"Malcolm",$F$5:F661,F662,$BE$5:BE661,1)=0,MAX($CD$5:CD661)+1,""),"")</f>
        <v/>
      </c>
      <c r="CE662" s="80" t="str">
        <f>IF(AND(BD662=1,D662="proMX",F662&amp;""&lt;&gt;""),IF(COUNTIFS($D$5:D661,"proMX",$F$5:F661,F662,$BD$5:BD661,1)=0,MAX($CE$5:CE661)+1,""),"")</f>
        <v/>
      </c>
      <c r="CF662" s="80" t="str">
        <f>IF(AND(D662="proMX",BD662=1),IF(OR(BF662="Draft",BF662="Submitted",BF662="Returned",BF662="Recall Requested"),MAX($CF$5:CF661)+1,""),"")</f>
        <v/>
      </c>
      <c r="CG662" s="80">
        <f>IF(BD662=0,0,IF(D662="Malcolm",1,MATCH(BF662,{"Draft","Submitted","Approved","Returned","Recall Requested","Cancelled"},0)+1))</f>
        <v>0</v>
      </c>
      <c r="CH662" s="80">
        <f>IF(AND(BF662="Submitted",ISNUMBER(V662)),IF(V662&gt;CFG_MAXD,1,0),0)</f>
        <v>0</v>
      </c>
    </row>
    <row r="663">
      <c r="A663" s="71" t="str">
        <f>IF(Y663=1,ROW()-5,"")</f>
        <v/>
      </c>
      <c r="B663" s="72" t="n"/>
      <c r="C663" s="71" t="str">
        <f>IF(ISNUMBER(B663),CHOOSE(WEEKDAY(B663,2),"Lun","Mar","Mié","Jue","Vie","Sáb","Dom"),"")</f>
        <v/>
      </c>
      <c r="D663" s="73" t="n"/>
      <c r="E663" s="74" t="n"/>
      <c r="F663" s="74" t="n"/>
      <c r="G663" s="74" t="n"/>
      <c r="H663" s="75" t="n"/>
      <c r="I663" s="75" t="n"/>
      <c r="J663" s="76" t="n"/>
      <c r="K663" s="77" t="str">
        <f>IF(AB663=1,ROUND(AG663/60,4),"")</f>
        <v/>
      </c>
      <c r="L663" s="77" t="str">
        <f>IF(BD663=1,ROUND(AP663/60,4),"")</f>
        <v/>
      </c>
      <c r="M663" s="77" t="str">
        <f>IF(BD663=1,ROUND(AQ663/60,4),"")</f>
        <v/>
      </c>
      <c r="N663" s="71" t="str">
        <f>IF(AND(D663="proMX",AB663=1),ROUND(AG663/CFG_BLK,2),"")</f>
        <v/>
      </c>
      <c r="O663" s="77" t="str">
        <f>IF(D663="proMX",IF(BD663=1,ROUND(AG663/60,4),0),"")</f>
        <v/>
      </c>
      <c r="P663" s="78" t="str">
        <f>IF(Y663=0,"",IF(BD663=1,"OK",IF(D663="proMX","Revisar bloques: ","Revisar: ")&amp;BC663))</f>
        <v/>
      </c>
      <c r="Q663" s="78" t="str">
        <f>IF(NOT(ISNUMBER(B663)),"",IF(COUNTIFS(FER_F,INT(B663))&gt;0,"Feriado"&amp;IF(AH663=1," (laborable)"," (no laborable)"),IF(AH663=1,"Laborable",IF(WEEKDAY(B663,2)&gt;5,"Fin de semana","No laborable"))))</f>
        <v/>
      </c>
      <c r="R663" s="73" t="n"/>
      <c r="S663" s="72" t="n"/>
      <c r="T663" s="72" t="n"/>
      <c r="U663" s="74" t="n"/>
      <c r="V663" s="79" t="str">
        <f>IF(AND(D663="proMX",OR(R663="Submitted",R663="Recall Requested"),ISNUMBER(S663)),CFG_TODAY-INT(S663),"")</f>
        <v/>
      </c>
      <c r="W663" s="78" t="str">
        <f>IF(BD663=0,"",IF(BA663&gt;0,"⚠ Se superpone con un registro de la otra empresa",IF(D663="Malcolm",IF(COUNTA(R663,S663,T663)&gt;0,"Estado/fechas proMX se ignoran en Malcolm",""),IF(BF663="Cancelled","Cancelado: excluido de totales",IF(R663="","Sin estado: se trata como Draft",IF(BF663="Submitted",IF(ISNUMBER(V663),IF(V663&gt;CFG_MAXD,"⚠ "&amp;V663&amp;" días en Submitted (máx. "&amp;CFG_MAXD&amp;")",""),"Falta fecha de envío"),IF(BF663="Returned","⚠ Devuelto: corregir y reenviar",IF(BF663="Recall Requested","Retirada solicitada: pendiente",IF(AND(BF663="Approved",NOT(ISNUMBER(T663))),"Falta fecha de aprobación",IF(AND(ISNUMBER(S663),ISNUMBER(T663),T663&lt;S663),"Aprobación anterior al envío","")))))))))</f>
        <v/>
      </c>
      <c r="Y663" s="80">
        <f>IF(COUNTA(B663,D663,E663,F663,G663,H663,I663,J663,R663,S663,T663)&gt;0,1,0)</f>
        <v>0</v>
      </c>
      <c r="Z663" s="80" t="str">
        <f>IF(AND(ISNUMBER(H663),H663&gt;=0,H663&lt;1),ROUND(H663*1440,0),"")</f>
        <v/>
      </c>
      <c r="AA663" s="80" t="str">
        <f>IF(AND(ISNUMBER(I663),I663&gt;=0,I663&lt;1),ROUND(I663*1440,0),"")</f>
        <v/>
      </c>
      <c r="AB663" s="80">
        <f>IF(AND(ISNUMBER(B663),D663&lt;&gt;"",ISNUMBER(Z663),ISNUMBER(AA663)),IF(Z663=AA663,0,1),0)</f>
        <v>0</v>
      </c>
      <c r="AC663" s="80">
        <f>IF(AB663=1,IF(AA663&lt;Z663,1,0),0)</f>
        <v>0</v>
      </c>
      <c r="AD663" s="80">
        <f>IF(AB663=1,IF(AC663=1,1440-Z663+AA663,AA663-Z663),0)</f>
        <v>0</v>
      </c>
      <c r="AE663" s="80">
        <f>IF(J663="",0,IF(ISNUMBER(J663),J663,-1))</f>
        <v>0</v>
      </c>
      <c r="AF663" s="80">
        <f>MIN(MAX(0,AE663),AD663)</f>
        <v>0</v>
      </c>
      <c r="AG663" s="80">
        <f>MAX(0,AD663-MAX(0,AE663))</f>
        <v>0</v>
      </c>
      <c r="AH663" s="80">
        <f>IF(ISNUMBER(B663),IF(AND(INDEX(CFG_WDAYS,WEEKDAY(INT(B663),2))="Sí",IF(D663="proMX",COUNTIFS(FER_F,INT(B663),FER_NLP,"Sí"),COUNTIFS(FER_F,INT(B663),FER_NLM,"Sí"))=0),1,0),0)</f>
        <v>0</v>
      </c>
      <c r="AI663" s="80">
        <f>IF(AC663=1,IF(AND(INDEX(CFG_WDAYS,WEEKDAY(INT(B663)+1,2))="Sí",IF(D663="proMX",COUNTIFS(FER_F,INT(B663)+1,FER_NLP,"Sí"),COUNTIFS(FER_F,INT(B663)+1,FER_NLM,"Sí"))=0),1,0),0)</f>
        <v>0</v>
      </c>
      <c r="AJ663" s="80">
        <f>IF(AC663=1,1440-Z663,AD663)</f>
        <v>0</v>
      </c>
      <c r="AK663" s="80">
        <f>IF(AND(AB663=1,AH663=1),MAX(0,MIN(IF(AC663=1,1440,AA663),CFG_WEM)-MAX(Z663,CFG_WSM)),0)</f>
        <v>0</v>
      </c>
      <c r="AL663" s="80">
        <f>IF(AND(AC663=1,AI663=1),MAX(0,MIN(AA663,CFG_WEM)-CFG_WSM),0)</f>
        <v>0</v>
      </c>
      <c r="AM663" s="80">
        <f>AK663+AL663</f>
        <v>0</v>
      </c>
      <c r="AN663" s="80">
        <f>IF(CFG_BRK="Proporcional",IF(AD663=0,0,AF663*AM663/AD663),IF(CFG_BRK="Extras primero",MIN(AM663,MAX(0,AF663-(AD663-AM663))),MIN(AF663,AM663)))</f>
        <v>0</v>
      </c>
      <c r="AO663" s="80">
        <f>AF663-AN663</f>
        <v>0</v>
      </c>
      <c r="AP663" s="80">
        <f>AM663-AN663</f>
        <v>0</v>
      </c>
      <c r="AQ663" s="80">
        <f>AD663-AM663-AO663</f>
        <v>0</v>
      </c>
      <c r="AR663" s="80">
        <f>IF(AM663=0,0,AK663-AN663*AK663/AM663)</f>
        <v>0</v>
      </c>
      <c r="AS663" s="80">
        <f>IF(AD663-AM663=0,0,(AJ663-AK663)-AO663*(AJ663-AK663)/(AD663-AM663))</f>
        <v>0</v>
      </c>
      <c r="AT663" s="80" t="str">
        <f>IF(AC663=1,INT(B663)+1,"")</f>
        <v/>
      </c>
      <c r="AU663" s="80">
        <f>IF(AND(D663="proMX",R663="Cancelled"),0,1)</f>
        <v>1</v>
      </c>
      <c r="AV663" s="80">
        <f>IF(AND(AB663=1,AU663=1),IF(COUNTIFS($D$5:D662,D663,$B$5:B662,B663,$Z$5:Z662,Z663,$AA$5:AA662,AA663,$F$5:F662,F663&amp;"",$AU$5:AU662,1)&gt;0,1,0),0)</f>
        <v>0</v>
      </c>
      <c r="AW663" s="80" t="str">
        <f>IF(AB663=1,INT(B663)*1440+Z663,"")</f>
        <v/>
      </c>
      <c r="AX663" s="80" t="str">
        <f>IF(AB663=1,AW663+AD663,"")</f>
        <v/>
      </c>
      <c r="AY663" s="80">
        <f>IF(AND(AB663=1,AV663=0,AU663=1),1,0)</f>
        <v>0</v>
      </c>
      <c r="AZ663" s="80">
        <f>IF(AY663=1,COUNTIFS(R_Emp,D663,R_SAbs,"&lt;"&amp;AX663,R_EAbs,"&gt;"&amp;AW663,R_OKey,1)-1,0)</f>
        <v>0</v>
      </c>
      <c r="BA663" s="80">
        <f>IF(AY663=1,COUNTIFS(R_Emp,"&lt;&gt;"&amp;D663,R_SAbs,"&lt;"&amp;AX663,R_EAbs,"&gt;"&amp;AW663,R_OKey,1),0)</f>
        <v>0</v>
      </c>
      <c r="BB663" s="80">
        <f>IF(AND(AB663=1,D663="proMX"),IF(AND(MOD(Z663,CFG_BLK)=0,MOD(AA663,CFG_BLK)=0,MOD(AG663,CFG_BLK)=0,AG663&gt;0),1,0),1)</f>
        <v>1</v>
      </c>
      <c r="BC663" s="80" t="str">
        <f>IF(Y663=0,"",IF(NOT(ISNUMBER(B663)),"Falta fecha o fecha inválida",IF(D663="","Falta empresa",IF(AND(D663&lt;&gt;"Malcolm",D663&lt;&gt;"proMX"),"Empresa inválida",IF(OR(INT(B663)&lt;CFG_PSTART,INT(B663)&gt;CFG_PEND),"Fecha fuera del período",IF(OR(NOT(ISNUMBER(Z663)),NOT(ISNUMBER(AA663))),"Falta hora inicio/fin o formato inválido",IF(AB663=0,"Hora inicio = hora fin",IF(AE663&lt;0,"Descanso inválido",IF(AE663&gt;=AD663,"Descanso ≥ duración",IF(AV663=1,"Registro duplicado",IF(AZ663&gt;0,"Se superpone con otro registro "&amp;D663,IF(BB663=0,"inicio, fin y duración neta deben ser múltiplos de "&amp;CFG_BLK&amp;" min",""))))))))))))</f>
        <v/>
      </c>
      <c r="BD663" s="80">
        <f>IF(AND(Y663=1,BC663=""),1,0)</f>
        <v>0</v>
      </c>
      <c r="BE663" s="80">
        <f>IF(AND(BD663=1,AU663=1),1,0)</f>
        <v>0</v>
      </c>
      <c r="BF663" s="80" t="str">
        <f>IF(AND(D663="proMX",BD663=1),IF(R663="","Draft",R663),"")</f>
        <v/>
      </c>
      <c r="BG663" s="80">
        <f>IF(BD663=1,ROUND(AG663/60,6),0)</f>
        <v>0</v>
      </c>
      <c r="BH663" s="80">
        <f>IF(BE663=1,ROUND(AG663/60,6),0)</f>
        <v>0</v>
      </c>
      <c r="BI663" s="80">
        <f>IF(BE663=1,ROUND(AP663/60,6),0)</f>
        <v>0</v>
      </c>
      <c r="BJ663" s="80">
        <f>IF(BE663=1,ROUND(AQ663/60,6),0)</f>
        <v>0</v>
      </c>
      <c r="BK663" s="80">
        <f>IF(BE663=1,ROUND((AR663+AS663)/60,6),0)</f>
        <v>0</v>
      </c>
      <c r="BL663" s="80">
        <f>ROUND(BH663-BK663,6)</f>
        <v>0</v>
      </c>
      <c r="BM663" s="80">
        <f>IF(BE663=1,ROUND(AR663/60,6),0)</f>
        <v>0</v>
      </c>
      <c r="BN663" s="80">
        <f>ROUND(BI663-BM663,6)</f>
        <v>0</v>
      </c>
      <c r="BO663" s="80">
        <f>IF(BE663=1,ROUND(AS663/60,6),0)</f>
        <v>0</v>
      </c>
      <c r="BP663" s="80">
        <f>ROUND(BJ663-BO663,6)</f>
        <v>0</v>
      </c>
      <c r="BQ663" s="80">
        <f>IF(BE663=1,AW663,0)</f>
        <v>0</v>
      </c>
      <c r="BR663" s="80">
        <f>IF(BE663=1,AX663,0)</f>
        <v>0</v>
      </c>
      <c r="BS663" s="80">
        <f>IF(AND(BE663=1,D663="Malcolm",BA663&gt;0),MIN(BH663,SUMPRODUCT((R_Emp="proMX")*(R_EN&gt;0)*((R_EN-(R_EN&gt;BR663)*(R_EN-BR663))&gt;(R_SN+(R_SN&lt;BQ663)*(BQ663-R_SN)))*((R_EN-(R_EN&gt;BR663)*(R_EN-BR663))-(R_SN+(R_SN&lt;BQ663)*(BQ663-R_SN))))/60),0)</f>
        <v>0</v>
      </c>
      <c r="BT663" s="80">
        <f>IF(AND(BE663=1,D663="proMX"),ROUND(BI663*CFG_RATE+BJ663*CFG_OTRATE,6),0)</f>
        <v>0</v>
      </c>
      <c r="BU663" s="80">
        <f>IF(AND(BD663=1,D663="proMX"),ROUND(AG663/CFG_BLK,6),0)</f>
        <v>0</v>
      </c>
      <c r="BV663" s="80" t="str">
        <f>IF(BF663="Approved",IF(ISNUMBER(T663),INT(T663),INT(B663)),"")</f>
        <v/>
      </c>
      <c r="BW663" s="80">
        <f>IF(ISNUMBER(B663),IF(DB_MON="Todos",1,IF(AND(INT(B663)&gt;=DB_MS,INT(B663)&lt;=DB_ME),1,0)),0)</f>
        <v>0</v>
      </c>
      <c r="BX663" s="80">
        <f>IF(DB_PROJ="Todos",1,IF(E663&amp;""=DB_PROJ&amp;"",1,0))</f>
        <v>1</v>
      </c>
      <c r="BY663" s="80">
        <f>BW663*BX663</f>
        <v>0</v>
      </c>
      <c r="BZ663" s="80" t="str">
        <f>IF(Y663=1,F663&amp;IF(AND(F663&amp;""&lt;&gt;"",E663&amp;""&lt;&gt;"")," · ","")&amp;E663,"")</f>
        <v/>
      </c>
      <c r="CA663" s="80" t="str">
        <f>IF(AND(BD663=1,E663&amp;""&lt;&gt;""),IF(COUNTIFS($E$5:E662,E663,$BD$5:BD662,1)=0,MAX($CA$5:CA662)+1,""),"")</f>
        <v/>
      </c>
      <c r="CB663" s="80" t="str">
        <f>IF(AND(BE663=1,D663="Malcolm",E663&amp;""&lt;&gt;""),IF(COUNTIFS($D$5:D662,"Malcolm",$E$5:E662,E663,$BE$5:BE662,1)=0,MAX($CB$5:CB662)+1,""),"")</f>
        <v/>
      </c>
      <c r="CC663" s="80" t="str">
        <f>IF(AND(BD663=1,D663="proMX",E663&amp;""&lt;&gt;""),IF(COUNTIFS($D$5:D662,"proMX",$E$5:E662,E663,$BD$5:BD662,1)=0,MAX($CC$5:CC662)+1,""),"")</f>
        <v/>
      </c>
      <c r="CD663" s="80" t="str">
        <f>IF(AND(BE663=1,D663="Malcolm",F663&amp;""&lt;&gt;""),IF(COUNTIFS($D$5:D662,"Malcolm",$F$5:F662,F663,$BE$5:BE662,1)=0,MAX($CD$5:CD662)+1,""),"")</f>
        <v/>
      </c>
      <c r="CE663" s="80" t="str">
        <f>IF(AND(BD663=1,D663="proMX",F663&amp;""&lt;&gt;""),IF(COUNTIFS($D$5:D662,"proMX",$F$5:F662,F663,$BD$5:BD662,1)=0,MAX($CE$5:CE662)+1,""),"")</f>
        <v/>
      </c>
      <c r="CF663" s="80" t="str">
        <f>IF(AND(D663="proMX",BD663=1),IF(OR(BF663="Draft",BF663="Submitted",BF663="Returned",BF663="Recall Requested"),MAX($CF$5:CF662)+1,""),"")</f>
        <v/>
      </c>
      <c r="CG663" s="80">
        <f>IF(BD663=0,0,IF(D663="Malcolm",1,MATCH(BF663,{"Draft","Submitted","Approved","Returned","Recall Requested","Cancelled"},0)+1))</f>
        <v>0</v>
      </c>
      <c r="CH663" s="80">
        <f>IF(AND(BF663="Submitted",ISNUMBER(V663)),IF(V663&gt;CFG_MAXD,1,0),0)</f>
        <v>0</v>
      </c>
    </row>
    <row r="664">
      <c r="A664" s="71" t="str">
        <f>IF(Y664=1,ROW()-5,"")</f>
        <v/>
      </c>
      <c r="B664" s="72" t="n"/>
      <c r="C664" s="71" t="str">
        <f>IF(ISNUMBER(B664),CHOOSE(WEEKDAY(B664,2),"Lun","Mar","Mié","Jue","Vie","Sáb","Dom"),"")</f>
        <v/>
      </c>
      <c r="D664" s="73" t="n"/>
      <c r="E664" s="74" t="n"/>
      <c r="F664" s="74" t="n"/>
      <c r="G664" s="74" t="n"/>
      <c r="H664" s="75" t="n"/>
      <c r="I664" s="75" t="n"/>
      <c r="J664" s="76" t="n"/>
      <c r="K664" s="77" t="str">
        <f>IF(AB664=1,ROUND(AG664/60,4),"")</f>
        <v/>
      </c>
      <c r="L664" s="77" t="str">
        <f>IF(BD664=1,ROUND(AP664/60,4),"")</f>
        <v/>
      </c>
      <c r="M664" s="77" t="str">
        <f>IF(BD664=1,ROUND(AQ664/60,4),"")</f>
        <v/>
      </c>
      <c r="N664" s="71" t="str">
        <f>IF(AND(D664="proMX",AB664=1),ROUND(AG664/CFG_BLK,2),"")</f>
        <v/>
      </c>
      <c r="O664" s="77" t="str">
        <f>IF(D664="proMX",IF(BD664=1,ROUND(AG664/60,4),0),"")</f>
        <v/>
      </c>
      <c r="P664" s="78" t="str">
        <f>IF(Y664=0,"",IF(BD664=1,"OK",IF(D664="proMX","Revisar bloques: ","Revisar: ")&amp;BC664))</f>
        <v/>
      </c>
      <c r="Q664" s="78" t="str">
        <f>IF(NOT(ISNUMBER(B664)),"",IF(COUNTIFS(FER_F,INT(B664))&gt;0,"Feriado"&amp;IF(AH664=1," (laborable)"," (no laborable)"),IF(AH664=1,"Laborable",IF(WEEKDAY(B664,2)&gt;5,"Fin de semana","No laborable"))))</f>
        <v/>
      </c>
      <c r="R664" s="73" t="n"/>
      <c r="S664" s="72" t="n"/>
      <c r="T664" s="72" t="n"/>
      <c r="U664" s="74" t="n"/>
      <c r="V664" s="79" t="str">
        <f>IF(AND(D664="proMX",OR(R664="Submitted",R664="Recall Requested"),ISNUMBER(S664)),CFG_TODAY-INT(S664),"")</f>
        <v/>
      </c>
      <c r="W664" s="78" t="str">
        <f>IF(BD664=0,"",IF(BA664&gt;0,"⚠ Se superpone con un registro de la otra empresa",IF(D664="Malcolm",IF(COUNTA(R664,S664,T664)&gt;0,"Estado/fechas proMX se ignoran en Malcolm",""),IF(BF664="Cancelled","Cancelado: excluido de totales",IF(R664="","Sin estado: se trata como Draft",IF(BF664="Submitted",IF(ISNUMBER(V664),IF(V664&gt;CFG_MAXD,"⚠ "&amp;V664&amp;" días en Submitted (máx. "&amp;CFG_MAXD&amp;")",""),"Falta fecha de envío"),IF(BF664="Returned","⚠ Devuelto: corregir y reenviar",IF(BF664="Recall Requested","Retirada solicitada: pendiente",IF(AND(BF664="Approved",NOT(ISNUMBER(T664))),"Falta fecha de aprobación",IF(AND(ISNUMBER(S664),ISNUMBER(T664),T664&lt;S664),"Aprobación anterior al envío","")))))))))</f>
        <v/>
      </c>
      <c r="Y664" s="80">
        <f>IF(COUNTA(B664,D664,E664,F664,G664,H664,I664,J664,R664,S664,T664)&gt;0,1,0)</f>
        <v>0</v>
      </c>
      <c r="Z664" s="80" t="str">
        <f>IF(AND(ISNUMBER(H664),H664&gt;=0,H664&lt;1),ROUND(H664*1440,0),"")</f>
        <v/>
      </c>
      <c r="AA664" s="80" t="str">
        <f>IF(AND(ISNUMBER(I664),I664&gt;=0,I664&lt;1),ROUND(I664*1440,0),"")</f>
        <v/>
      </c>
      <c r="AB664" s="80">
        <f>IF(AND(ISNUMBER(B664),D664&lt;&gt;"",ISNUMBER(Z664),ISNUMBER(AA664)),IF(Z664=AA664,0,1),0)</f>
        <v>0</v>
      </c>
      <c r="AC664" s="80">
        <f>IF(AB664=1,IF(AA664&lt;Z664,1,0),0)</f>
        <v>0</v>
      </c>
      <c r="AD664" s="80">
        <f>IF(AB664=1,IF(AC664=1,1440-Z664+AA664,AA664-Z664),0)</f>
        <v>0</v>
      </c>
      <c r="AE664" s="80">
        <f>IF(J664="",0,IF(ISNUMBER(J664),J664,-1))</f>
        <v>0</v>
      </c>
      <c r="AF664" s="80">
        <f>MIN(MAX(0,AE664),AD664)</f>
        <v>0</v>
      </c>
      <c r="AG664" s="80">
        <f>MAX(0,AD664-MAX(0,AE664))</f>
        <v>0</v>
      </c>
      <c r="AH664" s="80">
        <f>IF(ISNUMBER(B664),IF(AND(INDEX(CFG_WDAYS,WEEKDAY(INT(B664),2))="Sí",IF(D664="proMX",COUNTIFS(FER_F,INT(B664),FER_NLP,"Sí"),COUNTIFS(FER_F,INT(B664),FER_NLM,"Sí"))=0),1,0),0)</f>
        <v>0</v>
      </c>
      <c r="AI664" s="80">
        <f>IF(AC664=1,IF(AND(INDEX(CFG_WDAYS,WEEKDAY(INT(B664)+1,2))="Sí",IF(D664="proMX",COUNTIFS(FER_F,INT(B664)+1,FER_NLP,"Sí"),COUNTIFS(FER_F,INT(B664)+1,FER_NLM,"Sí"))=0),1,0),0)</f>
        <v>0</v>
      </c>
      <c r="AJ664" s="80">
        <f>IF(AC664=1,1440-Z664,AD664)</f>
        <v>0</v>
      </c>
      <c r="AK664" s="80">
        <f>IF(AND(AB664=1,AH664=1),MAX(0,MIN(IF(AC664=1,1440,AA664),CFG_WEM)-MAX(Z664,CFG_WSM)),0)</f>
        <v>0</v>
      </c>
      <c r="AL664" s="80">
        <f>IF(AND(AC664=1,AI664=1),MAX(0,MIN(AA664,CFG_WEM)-CFG_WSM),0)</f>
        <v>0</v>
      </c>
      <c r="AM664" s="80">
        <f>AK664+AL664</f>
        <v>0</v>
      </c>
      <c r="AN664" s="80">
        <f>IF(CFG_BRK="Proporcional",IF(AD664=0,0,AF664*AM664/AD664),IF(CFG_BRK="Extras primero",MIN(AM664,MAX(0,AF664-(AD664-AM664))),MIN(AF664,AM664)))</f>
        <v>0</v>
      </c>
      <c r="AO664" s="80">
        <f>AF664-AN664</f>
        <v>0</v>
      </c>
      <c r="AP664" s="80">
        <f>AM664-AN664</f>
        <v>0</v>
      </c>
      <c r="AQ664" s="80">
        <f>AD664-AM664-AO664</f>
        <v>0</v>
      </c>
      <c r="AR664" s="80">
        <f>IF(AM664=0,0,AK664-AN664*AK664/AM664)</f>
        <v>0</v>
      </c>
      <c r="AS664" s="80">
        <f>IF(AD664-AM664=0,0,(AJ664-AK664)-AO664*(AJ664-AK664)/(AD664-AM664))</f>
        <v>0</v>
      </c>
      <c r="AT664" s="80" t="str">
        <f>IF(AC664=1,INT(B664)+1,"")</f>
        <v/>
      </c>
      <c r="AU664" s="80">
        <f>IF(AND(D664="proMX",R664="Cancelled"),0,1)</f>
        <v>1</v>
      </c>
      <c r="AV664" s="80">
        <f>IF(AND(AB664=1,AU664=1),IF(COUNTIFS($D$5:D663,D664,$B$5:B663,B664,$Z$5:Z663,Z664,$AA$5:AA663,AA664,$F$5:F663,F664&amp;"",$AU$5:AU663,1)&gt;0,1,0),0)</f>
        <v>0</v>
      </c>
      <c r="AW664" s="80" t="str">
        <f>IF(AB664=1,INT(B664)*1440+Z664,"")</f>
        <v/>
      </c>
      <c r="AX664" s="80" t="str">
        <f>IF(AB664=1,AW664+AD664,"")</f>
        <v/>
      </c>
      <c r="AY664" s="80">
        <f>IF(AND(AB664=1,AV664=0,AU664=1),1,0)</f>
        <v>0</v>
      </c>
      <c r="AZ664" s="80">
        <f>IF(AY664=1,COUNTIFS(R_Emp,D664,R_SAbs,"&lt;"&amp;AX664,R_EAbs,"&gt;"&amp;AW664,R_OKey,1)-1,0)</f>
        <v>0</v>
      </c>
      <c r="BA664" s="80">
        <f>IF(AY664=1,COUNTIFS(R_Emp,"&lt;&gt;"&amp;D664,R_SAbs,"&lt;"&amp;AX664,R_EAbs,"&gt;"&amp;AW664,R_OKey,1),0)</f>
        <v>0</v>
      </c>
      <c r="BB664" s="80">
        <f>IF(AND(AB664=1,D664="proMX"),IF(AND(MOD(Z664,CFG_BLK)=0,MOD(AA664,CFG_BLK)=0,MOD(AG664,CFG_BLK)=0,AG664&gt;0),1,0),1)</f>
        <v>1</v>
      </c>
      <c r="BC664" s="80" t="str">
        <f>IF(Y664=0,"",IF(NOT(ISNUMBER(B664)),"Falta fecha o fecha inválida",IF(D664="","Falta empresa",IF(AND(D664&lt;&gt;"Malcolm",D664&lt;&gt;"proMX"),"Empresa inválida",IF(OR(INT(B664)&lt;CFG_PSTART,INT(B664)&gt;CFG_PEND),"Fecha fuera del período",IF(OR(NOT(ISNUMBER(Z664)),NOT(ISNUMBER(AA664))),"Falta hora inicio/fin o formato inválido",IF(AB664=0,"Hora inicio = hora fin",IF(AE664&lt;0,"Descanso inválido",IF(AE664&gt;=AD664,"Descanso ≥ duración",IF(AV664=1,"Registro duplicado",IF(AZ664&gt;0,"Se superpone con otro registro "&amp;D664,IF(BB664=0,"inicio, fin y duración neta deben ser múltiplos de "&amp;CFG_BLK&amp;" min",""))))))))))))</f>
        <v/>
      </c>
      <c r="BD664" s="80">
        <f>IF(AND(Y664=1,BC664=""),1,0)</f>
        <v>0</v>
      </c>
      <c r="BE664" s="80">
        <f>IF(AND(BD664=1,AU664=1),1,0)</f>
        <v>0</v>
      </c>
      <c r="BF664" s="80" t="str">
        <f>IF(AND(D664="proMX",BD664=1),IF(R664="","Draft",R664),"")</f>
        <v/>
      </c>
      <c r="BG664" s="80">
        <f>IF(BD664=1,ROUND(AG664/60,6),0)</f>
        <v>0</v>
      </c>
      <c r="BH664" s="80">
        <f>IF(BE664=1,ROUND(AG664/60,6),0)</f>
        <v>0</v>
      </c>
      <c r="BI664" s="80">
        <f>IF(BE664=1,ROUND(AP664/60,6),0)</f>
        <v>0</v>
      </c>
      <c r="BJ664" s="80">
        <f>IF(BE664=1,ROUND(AQ664/60,6),0)</f>
        <v>0</v>
      </c>
      <c r="BK664" s="80">
        <f>IF(BE664=1,ROUND((AR664+AS664)/60,6),0)</f>
        <v>0</v>
      </c>
      <c r="BL664" s="80">
        <f>ROUND(BH664-BK664,6)</f>
        <v>0</v>
      </c>
      <c r="BM664" s="80">
        <f>IF(BE664=1,ROUND(AR664/60,6),0)</f>
        <v>0</v>
      </c>
      <c r="BN664" s="80">
        <f>ROUND(BI664-BM664,6)</f>
        <v>0</v>
      </c>
      <c r="BO664" s="80">
        <f>IF(BE664=1,ROUND(AS664/60,6),0)</f>
        <v>0</v>
      </c>
      <c r="BP664" s="80">
        <f>ROUND(BJ664-BO664,6)</f>
        <v>0</v>
      </c>
      <c r="BQ664" s="80">
        <f>IF(BE664=1,AW664,0)</f>
        <v>0</v>
      </c>
      <c r="BR664" s="80">
        <f>IF(BE664=1,AX664,0)</f>
        <v>0</v>
      </c>
      <c r="BS664" s="80">
        <f>IF(AND(BE664=1,D664="Malcolm",BA664&gt;0),MIN(BH664,SUMPRODUCT((R_Emp="proMX")*(R_EN&gt;0)*((R_EN-(R_EN&gt;BR664)*(R_EN-BR664))&gt;(R_SN+(R_SN&lt;BQ664)*(BQ664-R_SN)))*((R_EN-(R_EN&gt;BR664)*(R_EN-BR664))-(R_SN+(R_SN&lt;BQ664)*(BQ664-R_SN))))/60),0)</f>
        <v>0</v>
      </c>
      <c r="BT664" s="80">
        <f>IF(AND(BE664=1,D664="proMX"),ROUND(BI664*CFG_RATE+BJ664*CFG_OTRATE,6),0)</f>
        <v>0</v>
      </c>
      <c r="BU664" s="80">
        <f>IF(AND(BD664=1,D664="proMX"),ROUND(AG664/CFG_BLK,6),0)</f>
        <v>0</v>
      </c>
      <c r="BV664" s="80" t="str">
        <f>IF(BF664="Approved",IF(ISNUMBER(T664),INT(T664),INT(B664)),"")</f>
        <v/>
      </c>
      <c r="BW664" s="80">
        <f>IF(ISNUMBER(B664),IF(DB_MON="Todos",1,IF(AND(INT(B664)&gt;=DB_MS,INT(B664)&lt;=DB_ME),1,0)),0)</f>
        <v>0</v>
      </c>
      <c r="BX664" s="80">
        <f>IF(DB_PROJ="Todos",1,IF(E664&amp;""=DB_PROJ&amp;"",1,0))</f>
        <v>1</v>
      </c>
      <c r="BY664" s="80">
        <f>BW664*BX664</f>
        <v>0</v>
      </c>
      <c r="BZ664" s="80" t="str">
        <f>IF(Y664=1,F664&amp;IF(AND(F664&amp;""&lt;&gt;"",E664&amp;""&lt;&gt;"")," · ","")&amp;E664,"")</f>
        <v/>
      </c>
      <c r="CA664" s="80" t="str">
        <f>IF(AND(BD664=1,E664&amp;""&lt;&gt;""),IF(COUNTIFS($E$5:E663,E664,$BD$5:BD663,1)=0,MAX($CA$5:CA663)+1,""),"")</f>
        <v/>
      </c>
      <c r="CB664" s="80" t="str">
        <f>IF(AND(BE664=1,D664="Malcolm",E664&amp;""&lt;&gt;""),IF(COUNTIFS($D$5:D663,"Malcolm",$E$5:E663,E664,$BE$5:BE663,1)=0,MAX($CB$5:CB663)+1,""),"")</f>
        <v/>
      </c>
      <c r="CC664" s="80" t="str">
        <f>IF(AND(BD664=1,D664="proMX",E664&amp;""&lt;&gt;""),IF(COUNTIFS($D$5:D663,"proMX",$E$5:E663,E664,$BD$5:BD663,1)=0,MAX($CC$5:CC663)+1,""),"")</f>
        <v/>
      </c>
      <c r="CD664" s="80" t="str">
        <f>IF(AND(BE664=1,D664="Malcolm",F664&amp;""&lt;&gt;""),IF(COUNTIFS($D$5:D663,"Malcolm",$F$5:F663,F664,$BE$5:BE663,1)=0,MAX($CD$5:CD663)+1,""),"")</f>
        <v/>
      </c>
      <c r="CE664" s="80" t="str">
        <f>IF(AND(BD664=1,D664="proMX",F664&amp;""&lt;&gt;""),IF(COUNTIFS($D$5:D663,"proMX",$F$5:F663,F664,$BD$5:BD663,1)=0,MAX($CE$5:CE663)+1,""),"")</f>
        <v/>
      </c>
      <c r="CF664" s="80" t="str">
        <f>IF(AND(D664="proMX",BD664=1),IF(OR(BF664="Draft",BF664="Submitted",BF664="Returned",BF664="Recall Requested"),MAX($CF$5:CF663)+1,""),"")</f>
        <v/>
      </c>
      <c r="CG664" s="80">
        <f>IF(BD664=0,0,IF(D664="Malcolm",1,MATCH(BF664,{"Draft","Submitted","Approved","Returned","Recall Requested","Cancelled"},0)+1))</f>
        <v>0</v>
      </c>
      <c r="CH664" s="80">
        <f>IF(AND(BF664="Submitted",ISNUMBER(V664)),IF(V664&gt;CFG_MAXD,1,0),0)</f>
        <v>0</v>
      </c>
    </row>
    <row r="665">
      <c r="A665" s="71" t="str">
        <f>IF(Y665=1,ROW()-5,"")</f>
        <v/>
      </c>
      <c r="B665" s="72" t="n"/>
      <c r="C665" s="71" t="str">
        <f>IF(ISNUMBER(B665),CHOOSE(WEEKDAY(B665,2),"Lun","Mar","Mié","Jue","Vie","Sáb","Dom"),"")</f>
        <v/>
      </c>
      <c r="D665" s="73" t="n"/>
      <c r="E665" s="74" t="n"/>
      <c r="F665" s="74" t="n"/>
      <c r="G665" s="74" t="n"/>
      <c r="H665" s="75" t="n"/>
      <c r="I665" s="75" t="n"/>
      <c r="J665" s="76" t="n"/>
      <c r="K665" s="77" t="str">
        <f>IF(AB665=1,ROUND(AG665/60,4),"")</f>
        <v/>
      </c>
      <c r="L665" s="77" t="str">
        <f>IF(BD665=1,ROUND(AP665/60,4),"")</f>
        <v/>
      </c>
      <c r="M665" s="77" t="str">
        <f>IF(BD665=1,ROUND(AQ665/60,4),"")</f>
        <v/>
      </c>
      <c r="N665" s="71" t="str">
        <f>IF(AND(D665="proMX",AB665=1),ROUND(AG665/CFG_BLK,2),"")</f>
        <v/>
      </c>
      <c r="O665" s="77" t="str">
        <f>IF(D665="proMX",IF(BD665=1,ROUND(AG665/60,4),0),"")</f>
        <v/>
      </c>
      <c r="P665" s="78" t="str">
        <f>IF(Y665=0,"",IF(BD665=1,"OK",IF(D665="proMX","Revisar bloques: ","Revisar: ")&amp;BC665))</f>
        <v/>
      </c>
      <c r="Q665" s="78" t="str">
        <f>IF(NOT(ISNUMBER(B665)),"",IF(COUNTIFS(FER_F,INT(B665))&gt;0,"Feriado"&amp;IF(AH665=1," (laborable)"," (no laborable)"),IF(AH665=1,"Laborable",IF(WEEKDAY(B665,2)&gt;5,"Fin de semana","No laborable"))))</f>
        <v/>
      </c>
      <c r="R665" s="73" t="n"/>
      <c r="S665" s="72" t="n"/>
      <c r="T665" s="72" t="n"/>
      <c r="U665" s="74" t="n"/>
      <c r="V665" s="79" t="str">
        <f>IF(AND(D665="proMX",OR(R665="Submitted",R665="Recall Requested"),ISNUMBER(S665)),CFG_TODAY-INT(S665),"")</f>
        <v/>
      </c>
      <c r="W665" s="78" t="str">
        <f>IF(BD665=0,"",IF(BA665&gt;0,"⚠ Se superpone con un registro de la otra empresa",IF(D665="Malcolm",IF(COUNTA(R665,S665,T665)&gt;0,"Estado/fechas proMX se ignoran en Malcolm",""),IF(BF665="Cancelled","Cancelado: excluido de totales",IF(R665="","Sin estado: se trata como Draft",IF(BF665="Submitted",IF(ISNUMBER(V665),IF(V665&gt;CFG_MAXD,"⚠ "&amp;V665&amp;" días en Submitted (máx. "&amp;CFG_MAXD&amp;")",""),"Falta fecha de envío"),IF(BF665="Returned","⚠ Devuelto: corregir y reenviar",IF(BF665="Recall Requested","Retirada solicitada: pendiente",IF(AND(BF665="Approved",NOT(ISNUMBER(T665))),"Falta fecha de aprobación",IF(AND(ISNUMBER(S665),ISNUMBER(T665),T665&lt;S665),"Aprobación anterior al envío","")))))))))</f>
        <v/>
      </c>
      <c r="Y665" s="80">
        <f>IF(COUNTA(B665,D665,E665,F665,G665,H665,I665,J665,R665,S665,T665)&gt;0,1,0)</f>
        <v>0</v>
      </c>
      <c r="Z665" s="80" t="str">
        <f>IF(AND(ISNUMBER(H665),H665&gt;=0,H665&lt;1),ROUND(H665*1440,0),"")</f>
        <v/>
      </c>
      <c r="AA665" s="80" t="str">
        <f>IF(AND(ISNUMBER(I665),I665&gt;=0,I665&lt;1),ROUND(I665*1440,0),"")</f>
        <v/>
      </c>
      <c r="AB665" s="80">
        <f>IF(AND(ISNUMBER(B665),D665&lt;&gt;"",ISNUMBER(Z665),ISNUMBER(AA665)),IF(Z665=AA665,0,1),0)</f>
        <v>0</v>
      </c>
      <c r="AC665" s="80">
        <f>IF(AB665=1,IF(AA665&lt;Z665,1,0),0)</f>
        <v>0</v>
      </c>
      <c r="AD665" s="80">
        <f>IF(AB665=1,IF(AC665=1,1440-Z665+AA665,AA665-Z665),0)</f>
        <v>0</v>
      </c>
      <c r="AE665" s="80">
        <f>IF(J665="",0,IF(ISNUMBER(J665),J665,-1))</f>
        <v>0</v>
      </c>
      <c r="AF665" s="80">
        <f>MIN(MAX(0,AE665),AD665)</f>
        <v>0</v>
      </c>
      <c r="AG665" s="80">
        <f>MAX(0,AD665-MAX(0,AE665))</f>
        <v>0</v>
      </c>
      <c r="AH665" s="80">
        <f>IF(ISNUMBER(B665),IF(AND(INDEX(CFG_WDAYS,WEEKDAY(INT(B665),2))="Sí",IF(D665="proMX",COUNTIFS(FER_F,INT(B665),FER_NLP,"Sí"),COUNTIFS(FER_F,INT(B665),FER_NLM,"Sí"))=0),1,0),0)</f>
        <v>0</v>
      </c>
      <c r="AI665" s="80">
        <f>IF(AC665=1,IF(AND(INDEX(CFG_WDAYS,WEEKDAY(INT(B665)+1,2))="Sí",IF(D665="proMX",COUNTIFS(FER_F,INT(B665)+1,FER_NLP,"Sí"),COUNTIFS(FER_F,INT(B665)+1,FER_NLM,"Sí"))=0),1,0),0)</f>
        <v>0</v>
      </c>
      <c r="AJ665" s="80">
        <f>IF(AC665=1,1440-Z665,AD665)</f>
        <v>0</v>
      </c>
      <c r="AK665" s="80">
        <f>IF(AND(AB665=1,AH665=1),MAX(0,MIN(IF(AC665=1,1440,AA665),CFG_WEM)-MAX(Z665,CFG_WSM)),0)</f>
        <v>0</v>
      </c>
      <c r="AL665" s="80">
        <f>IF(AND(AC665=1,AI665=1),MAX(0,MIN(AA665,CFG_WEM)-CFG_WSM),0)</f>
        <v>0</v>
      </c>
      <c r="AM665" s="80">
        <f>AK665+AL665</f>
        <v>0</v>
      </c>
      <c r="AN665" s="80">
        <f>IF(CFG_BRK="Proporcional",IF(AD665=0,0,AF665*AM665/AD665),IF(CFG_BRK="Extras primero",MIN(AM665,MAX(0,AF665-(AD665-AM665))),MIN(AF665,AM665)))</f>
        <v>0</v>
      </c>
      <c r="AO665" s="80">
        <f>AF665-AN665</f>
        <v>0</v>
      </c>
      <c r="AP665" s="80">
        <f>AM665-AN665</f>
        <v>0</v>
      </c>
      <c r="AQ665" s="80">
        <f>AD665-AM665-AO665</f>
        <v>0</v>
      </c>
      <c r="AR665" s="80">
        <f>IF(AM665=0,0,AK665-AN665*AK665/AM665)</f>
        <v>0</v>
      </c>
      <c r="AS665" s="80">
        <f>IF(AD665-AM665=0,0,(AJ665-AK665)-AO665*(AJ665-AK665)/(AD665-AM665))</f>
        <v>0</v>
      </c>
      <c r="AT665" s="80" t="str">
        <f>IF(AC665=1,INT(B665)+1,"")</f>
        <v/>
      </c>
      <c r="AU665" s="80">
        <f>IF(AND(D665="proMX",R665="Cancelled"),0,1)</f>
        <v>1</v>
      </c>
      <c r="AV665" s="80">
        <f>IF(AND(AB665=1,AU665=1),IF(COUNTIFS($D$5:D664,D665,$B$5:B664,B665,$Z$5:Z664,Z665,$AA$5:AA664,AA665,$F$5:F664,F665&amp;"",$AU$5:AU664,1)&gt;0,1,0),0)</f>
        <v>0</v>
      </c>
      <c r="AW665" s="80" t="str">
        <f>IF(AB665=1,INT(B665)*1440+Z665,"")</f>
        <v/>
      </c>
      <c r="AX665" s="80" t="str">
        <f>IF(AB665=1,AW665+AD665,"")</f>
        <v/>
      </c>
      <c r="AY665" s="80">
        <f>IF(AND(AB665=1,AV665=0,AU665=1),1,0)</f>
        <v>0</v>
      </c>
      <c r="AZ665" s="80">
        <f>IF(AY665=1,COUNTIFS(R_Emp,D665,R_SAbs,"&lt;"&amp;AX665,R_EAbs,"&gt;"&amp;AW665,R_OKey,1)-1,0)</f>
        <v>0</v>
      </c>
      <c r="BA665" s="80">
        <f>IF(AY665=1,COUNTIFS(R_Emp,"&lt;&gt;"&amp;D665,R_SAbs,"&lt;"&amp;AX665,R_EAbs,"&gt;"&amp;AW665,R_OKey,1),0)</f>
        <v>0</v>
      </c>
      <c r="BB665" s="80">
        <f>IF(AND(AB665=1,D665="proMX"),IF(AND(MOD(Z665,CFG_BLK)=0,MOD(AA665,CFG_BLK)=0,MOD(AG665,CFG_BLK)=0,AG665&gt;0),1,0),1)</f>
        <v>1</v>
      </c>
      <c r="BC665" s="80" t="str">
        <f>IF(Y665=0,"",IF(NOT(ISNUMBER(B665)),"Falta fecha o fecha inválida",IF(D665="","Falta empresa",IF(AND(D665&lt;&gt;"Malcolm",D665&lt;&gt;"proMX"),"Empresa inválida",IF(OR(INT(B665)&lt;CFG_PSTART,INT(B665)&gt;CFG_PEND),"Fecha fuera del período",IF(OR(NOT(ISNUMBER(Z665)),NOT(ISNUMBER(AA665))),"Falta hora inicio/fin o formato inválido",IF(AB665=0,"Hora inicio = hora fin",IF(AE665&lt;0,"Descanso inválido",IF(AE665&gt;=AD665,"Descanso ≥ duración",IF(AV665=1,"Registro duplicado",IF(AZ665&gt;0,"Se superpone con otro registro "&amp;D665,IF(BB665=0,"inicio, fin y duración neta deben ser múltiplos de "&amp;CFG_BLK&amp;" min",""))))))))))))</f>
        <v/>
      </c>
      <c r="BD665" s="80">
        <f>IF(AND(Y665=1,BC665=""),1,0)</f>
        <v>0</v>
      </c>
      <c r="BE665" s="80">
        <f>IF(AND(BD665=1,AU665=1),1,0)</f>
        <v>0</v>
      </c>
      <c r="BF665" s="80" t="str">
        <f>IF(AND(D665="proMX",BD665=1),IF(R665="","Draft",R665),"")</f>
        <v/>
      </c>
      <c r="BG665" s="80">
        <f>IF(BD665=1,ROUND(AG665/60,6),0)</f>
        <v>0</v>
      </c>
      <c r="BH665" s="80">
        <f>IF(BE665=1,ROUND(AG665/60,6),0)</f>
        <v>0</v>
      </c>
      <c r="BI665" s="80">
        <f>IF(BE665=1,ROUND(AP665/60,6),0)</f>
        <v>0</v>
      </c>
      <c r="BJ665" s="80">
        <f>IF(BE665=1,ROUND(AQ665/60,6),0)</f>
        <v>0</v>
      </c>
      <c r="BK665" s="80">
        <f>IF(BE665=1,ROUND((AR665+AS665)/60,6),0)</f>
        <v>0</v>
      </c>
      <c r="BL665" s="80">
        <f>ROUND(BH665-BK665,6)</f>
        <v>0</v>
      </c>
      <c r="BM665" s="80">
        <f>IF(BE665=1,ROUND(AR665/60,6),0)</f>
        <v>0</v>
      </c>
      <c r="BN665" s="80">
        <f>ROUND(BI665-BM665,6)</f>
        <v>0</v>
      </c>
      <c r="BO665" s="80">
        <f>IF(BE665=1,ROUND(AS665/60,6),0)</f>
        <v>0</v>
      </c>
      <c r="BP665" s="80">
        <f>ROUND(BJ665-BO665,6)</f>
        <v>0</v>
      </c>
      <c r="BQ665" s="80">
        <f>IF(BE665=1,AW665,0)</f>
        <v>0</v>
      </c>
      <c r="BR665" s="80">
        <f>IF(BE665=1,AX665,0)</f>
        <v>0</v>
      </c>
      <c r="BS665" s="80">
        <f>IF(AND(BE665=1,D665="Malcolm",BA665&gt;0),MIN(BH665,SUMPRODUCT((R_Emp="proMX")*(R_EN&gt;0)*((R_EN-(R_EN&gt;BR665)*(R_EN-BR665))&gt;(R_SN+(R_SN&lt;BQ665)*(BQ665-R_SN)))*((R_EN-(R_EN&gt;BR665)*(R_EN-BR665))-(R_SN+(R_SN&lt;BQ665)*(BQ665-R_SN))))/60),0)</f>
        <v>0</v>
      </c>
      <c r="BT665" s="80">
        <f>IF(AND(BE665=1,D665="proMX"),ROUND(BI665*CFG_RATE+BJ665*CFG_OTRATE,6),0)</f>
        <v>0</v>
      </c>
      <c r="BU665" s="80">
        <f>IF(AND(BD665=1,D665="proMX"),ROUND(AG665/CFG_BLK,6),0)</f>
        <v>0</v>
      </c>
      <c r="BV665" s="80" t="str">
        <f>IF(BF665="Approved",IF(ISNUMBER(T665),INT(T665),INT(B665)),"")</f>
        <v/>
      </c>
      <c r="BW665" s="80">
        <f>IF(ISNUMBER(B665),IF(DB_MON="Todos",1,IF(AND(INT(B665)&gt;=DB_MS,INT(B665)&lt;=DB_ME),1,0)),0)</f>
        <v>0</v>
      </c>
      <c r="BX665" s="80">
        <f>IF(DB_PROJ="Todos",1,IF(E665&amp;""=DB_PROJ&amp;"",1,0))</f>
        <v>1</v>
      </c>
      <c r="BY665" s="80">
        <f>BW665*BX665</f>
        <v>0</v>
      </c>
      <c r="BZ665" s="80" t="str">
        <f>IF(Y665=1,F665&amp;IF(AND(F665&amp;""&lt;&gt;"",E665&amp;""&lt;&gt;"")," · ","")&amp;E665,"")</f>
        <v/>
      </c>
      <c r="CA665" s="80" t="str">
        <f>IF(AND(BD665=1,E665&amp;""&lt;&gt;""),IF(COUNTIFS($E$5:E664,E665,$BD$5:BD664,1)=0,MAX($CA$5:CA664)+1,""),"")</f>
        <v/>
      </c>
      <c r="CB665" s="80" t="str">
        <f>IF(AND(BE665=1,D665="Malcolm",E665&amp;""&lt;&gt;""),IF(COUNTIFS($D$5:D664,"Malcolm",$E$5:E664,E665,$BE$5:BE664,1)=0,MAX($CB$5:CB664)+1,""),"")</f>
        <v/>
      </c>
      <c r="CC665" s="80" t="str">
        <f>IF(AND(BD665=1,D665="proMX",E665&amp;""&lt;&gt;""),IF(COUNTIFS($D$5:D664,"proMX",$E$5:E664,E665,$BD$5:BD664,1)=0,MAX($CC$5:CC664)+1,""),"")</f>
        <v/>
      </c>
      <c r="CD665" s="80" t="str">
        <f>IF(AND(BE665=1,D665="Malcolm",F665&amp;""&lt;&gt;""),IF(COUNTIFS($D$5:D664,"Malcolm",$F$5:F664,F665,$BE$5:BE664,1)=0,MAX($CD$5:CD664)+1,""),"")</f>
        <v/>
      </c>
      <c r="CE665" s="80" t="str">
        <f>IF(AND(BD665=1,D665="proMX",F665&amp;""&lt;&gt;""),IF(COUNTIFS($D$5:D664,"proMX",$F$5:F664,F665,$BD$5:BD664,1)=0,MAX($CE$5:CE664)+1,""),"")</f>
        <v/>
      </c>
      <c r="CF665" s="80" t="str">
        <f>IF(AND(D665="proMX",BD665=1),IF(OR(BF665="Draft",BF665="Submitted",BF665="Returned",BF665="Recall Requested"),MAX($CF$5:CF664)+1,""),"")</f>
        <v/>
      </c>
      <c r="CG665" s="80">
        <f>IF(BD665=0,0,IF(D665="Malcolm",1,MATCH(BF665,{"Draft","Submitted","Approved","Returned","Recall Requested","Cancelled"},0)+1))</f>
        <v>0</v>
      </c>
      <c r="CH665" s="80">
        <f>IF(AND(BF665="Submitted",ISNUMBER(V665)),IF(V665&gt;CFG_MAXD,1,0),0)</f>
        <v>0</v>
      </c>
    </row>
    <row r="666">
      <c r="A666" s="71" t="str">
        <f>IF(Y666=1,ROW()-5,"")</f>
        <v/>
      </c>
      <c r="B666" s="72" t="n"/>
      <c r="C666" s="71" t="str">
        <f>IF(ISNUMBER(B666),CHOOSE(WEEKDAY(B666,2),"Lun","Mar","Mié","Jue","Vie","Sáb","Dom"),"")</f>
        <v/>
      </c>
      <c r="D666" s="73" t="n"/>
      <c r="E666" s="74" t="n"/>
      <c r="F666" s="74" t="n"/>
      <c r="G666" s="74" t="n"/>
      <c r="H666" s="75" t="n"/>
      <c r="I666" s="75" t="n"/>
      <c r="J666" s="76" t="n"/>
      <c r="K666" s="77" t="str">
        <f>IF(AB666=1,ROUND(AG666/60,4),"")</f>
        <v/>
      </c>
      <c r="L666" s="77" t="str">
        <f>IF(BD666=1,ROUND(AP666/60,4),"")</f>
        <v/>
      </c>
      <c r="M666" s="77" t="str">
        <f>IF(BD666=1,ROUND(AQ666/60,4),"")</f>
        <v/>
      </c>
      <c r="N666" s="71" t="str">
        <f>IF(AND(D666="proMX",AB666=1),ROUND(AG666/CFG_BLK,2),"")</f>
        <v/>
      </c>
      <c r="O666" s="77" t="str">
        <f>IF(D666="proMX",IF(BD666=1,ROUND(AG666/60,4),0),"")</f>
        <v/>
      </c>
      <c r="P666" s="78" t="str">
        <f>IF(Y666=0,"",IF(BD666=1,"OK",IF(D666="proMX","Revisar bloques: ","Revisar: ")&amp;BC666))</f>
        <v/>
      </c>
      <c r="Q666" s="78" t="str">
        <f>IF(NOT(ISNUMBER(B666)),"",IF(COUNTIFS(FER_F,INT(B666))&gt;0,"Feriado"&amp;IF(AH666=1," (laborable)"," (no laborable)"),IF(AH666=1,"Laborable",IF(WEEKDAY(B666,2)&gt;5,"Fin de semana","No laborable"))))</f>
        <v/>
      </c>
      <c r="R666" s="73" t="n"/>
      <c r="S666" s="72" t="n"/>
      <c r="T666" s="72" t="n"/>
      <c r="U666" s="74" t="n"/>
      <c r="V666" s="79" t="str">
        <f>IF(AND(D666="proMX",OR(R666="Submitted",R666="Recall Requested"),ISNUMBER(S666)),CFG_TODAY-INT(S666),"")</f>
        <v/>
      </c>
      <c r="W666" s="78" t="str">
        <f>IF(BD666=0,"",IF(BA666&gt;0,"⚠ Se superpone con un registro de la otra empresa",IF(D666="Malcolm",IF(COUNTA(R666,S666,T666)&gt;0,"Estado/fechas proMX se ignoran en Malcolm",""),IF(BF666="Cancelled","Cancelado: excluido de totales",IF(R666="","Sin estado: se trata como Draft",IF(BF666="Submitted",IF(ISNUMBER(V666),IF(V666&gt;CFG_MAXD,"⚠ "&amp;V666&amp;" días en Submitted (máx. "&amp;CFG_MAXD&amp;")",""),"Falta fecha de envío"),IF(BF666="Returned","⚠ Devuelto: corregir y reenviar",IF(BF666="Recall Requested","Retirada solicitada: pendiente",IF(AND(BF666="Approved",NOT(ISNUMBER(T666))),"Falta fecha de aprobación",IF(AND(ISNUMBER(S666),ISNUMBER(T666),T666&lt;S666),"Aprobación anterior al envío","")))))))))</f>
        <v/>
      </c>
      <c r="Y666" s="80">
        <f>IF(COUNTA(B666,D666,E666,F666,G666,H666,I666,J666,R666,S666,T666)&gt;0,1,0)</f>
        <v>0</v>
      </c>
      <c r="Z666" s="80" t="str">
        <f>IF(AND(ISNUMBER(H666),H666&gt;=0,H666&lt;1),ROUND(H666*1440,0),"")</f>
        <v/>
      </c>
      <c r="AA666" s="80" t="str">
        <f>IF(AND(ISNUMBER(I666),I666&gt;=0,I666&lt;1),ROUND(I666*1440,0),"")</f>
        <v/>
      </c>
      <c r="AB666" s="80">
        <f>IF(AND(ISNUMBER(B666),D666&lt;&gt;"",ISNUMBER(Z666),ISNUMBER(AA666)),IF(Z666=AA666,0,1),0)</f>
        <v>0</v>
      </c>
      <c r="AC666" s="80">
        <f>IF(AB666=1,IF(AA666&lt;Z666,1,0),0)</f>
        <v>0</v>
      </c>
      <c r="AD666" s="80">
        <f>IF(AB666=1,IF(AC666=1,1440-Z666+AA666,AA666-Z666),0)</f>
        <v>0</v>
      </c>
      <c r="AE666" s="80">
        <f>IF(J666="",0,IF(ISNUMBER(J666),J666,-1))</f>
        <v>0</v>
      </c>
      <c r="AF666" s="80">
        <f>MIN(MAX(0,AE666),AD666)</f>
        <v>0</v>
      </c>
      <c r="AG666" s="80">
        <f>MAX(0,AD666-MAX(0,AE666))</f>
        <v>0</v>
      </c>
      <c r="AH666" s="80">
        <f>IF(ISNUMBER(B666),IF(AND(INDEX(CFG_WDAYS,WEEKDAY(INT(B666),2))="Sí",IF(D666="proMX",COUNTIFS(FER_F,INT(B666),FER_NLP,"Sí"),COUNTIFS(FER_F,INT(B666),FER_NLM,"Sí"))=0),1,0),0)</f>
        <v>0</v>
      </c>
      <c r="AI666" s="80">
        <f>IF(AC666=1,IF(AND(INDEX(CFG_WDAYS,WEEKDAY(INT(B666)+1,2))="Sí",IF(D666="proMX",COUNTIFS(FER_F,INT(B666)+1,FER_NLP,"Sí"),COUNTIFS(FER_F,INT(B666)+1,FER_NLM,"Sí"))=0),1,0),0)</f>
        <v>0</v>
      </c>
      <c r="AJ666" s="80">
        <f>IF(AC666=1,1440-Z666,AD666)</f>
        <v>0</v>
      </c>
      <c r="AK666" s="80">
        <f>IF(AND(AB666=1,AH666=1),MAX(0,MIN(IF(AC666=1,1440,AA666),CFG_WEM)-MAX(Z666,CFG_WSM)),0)</f>
        <v>0</v>
      </c>
      <c r="AL666" s="80">
        <f>IF(AND(AC666=1,AI666=1),MAX(0,MIN(AA666,CFG_WEM)-CFG_WSM),0)</f>
        <v>0</v>
      </c>
      <c r="AM666" s="80">
        <f>AK666+AL666</f>
        <v>0</v>
      </c>
      <c r="AN666" s="80">
        <f>IF(CFG_BRK="Proporcional",IF(AD666=0,0,AF666*AM666/AD666),IF(CFG_BRK="Extras primero",MIN(AM666,MAX(0,AF666-(AD666-AM666))),MIN(AF666,AM666)))</f>
        <v>0</v>
      </c>
      <c r="AO666" s="80">
        <f>AF666-AN666</f>
        <v>0</v>
      </c>
      <c r="AP666" s="80">
        <f>AM666-AN666</f>
        <v>0</v>
      </c>
      <c r="AQ666" s="80">
        <f>AD666-AM666-AO666</f>
        <v>0</v>
      </c>
      <c r="AR666" s="80">
        <f>IF(AM666=0,0,AK666-AN666*AK666/AM666)</f>
        <v>0</v>
      </c>
      <c r="AS666" s="80">
        <f>IF(AD666-AM666=0,0,(AJ666-AK666)-AO666*(AJ666-AK666)/(AD666-AM666))</f>
        <v>0</v>
      </c>
      <c r="AT666" s="80" t="str">
        <f>IF(AC666=1,INT(B666)+1,"")</f>
        <v/>
      </c>
      <c r="AU666" s="80">
        <f>IF(AND(D666="proMX",R666="Cancelled"),0,1)</f>
        <v>1</v>
      </c>
      <c r="AV666" s="80">
        <f>IF(AND(AB666=1,AU666=1),IF(COUNTIFS($D$5:D665,D666,$B$5:B665,B666,$Z$5:Z665,Z666,$AA$5:AA665,AA666,$F$5:F665,F666&amp;"",$AU$5:AU665,1)&gt;0,1,0),0)</f>
        <v>0</v>
      </c>
      <c r="AW666" s="80" t="str">
        <f>IF(AB666=1,INT(B666)*1440+Z666,"")</f>
        <v/>
      </c>
      <c r="AX666" s="80" t="str">
        <f>IF(AB666=1,AW666+AD666,"")</f>
        <v/>
      </c>
      <c r="AY666" s="80">
        <f>IF(AND(AB666=1,AV666=0,AU666=1),1,0)</f>
        <v>0</v>
      </c>
      <c r="AZ666" s="80">
        <f>IF(AY666=1,COUNTIFS(R_Emp,D666,R_SAbs,"&lt;"&amp;AX666,R_EAbs,"&gt;"&amp;AW666,R_OKey,1)-1,0)</f>
        <v>0</v>
      </c>
      <c r="BA666" s="80">
        <f>IF(AY666=1,COUNTIFS(R_Emp,"&lt;&gt;"&amp;D666,R_SAbs,"&lt;"&amp;AX666,R_EAbs,"&gt;"&amp;AW666,R_OKey,1),0)</f>
        <v>0</v>
      </c>
      <c r="BB666" s="80">
        <f>IF(AND(AB666=1,D666="proMX"),IF(AND(MOD(Z666,CFG_BLK)=0,MOD(AA666,CFG_BLK)=0,MOD(AG666,CFG_BLK)=0,AG666&gt;0),1,0),1)</f>
        <v>1</v>
      </c>
      <c r="BC666" s="80" t="str">
        <f>IF(Y666=0,"",IF(NOT(ISNUMBER(B666)),"Falta fecha o fecha inválida",IF(D666="","Falta empresa",IF(AND(D666&lt;&gt;"Malcolm",D666&lt;&gt;"proMX"),"Empresa inválida",IF(OR(INT(B666)&lt;CFG_PSTART,INT(B666)&gt;CFG_PEND),"Fecha fuera del período",IF(OR(NOT(ISNUMBER(Z666)),NOT(ISNUMBER(AA666))),"Falta hora inicio/fin o formato inválido",IF(AB666=0,"Hora inicio = hora fin",IF(AE666&lt;0,"Descanso inválido",IF(AE666&gt;=AD666,"Descanso ≥ duración",IF(AV666=1,"Registro duplicado",IF(AZ666&gt;0,"Se superpone con otro registro "&amp;D666,IF(BB666=0,"inicio, fin y duración neta deben ser múltiplos de "&amp;CFG_BLK&amp;" min",""))))))))))))</f>
        <v/>
      </c>
      <c r="BD666" s="80">
        <f>IF(AND(Y666=1,BC666=""),1,0)</f>
        <v>0</v>
      </c>
      <c r="BE666" s="80">
        <f>IF(AND(BD666=1,AU666=1),1,0)</f>
        <v>0</v>
      </c>
      <c r="BF666" s="80" t="str">
        <f>IF(AND(D666="proMX",BD666=1),IF(R666="","Draft",R666),"")</f>
        <v/>
      </c>
      <c r="BG666" s="80">
        <f>IF(BD666=1,ROUND(AG666/60,6),0)</f>
        <v>0</v>
      </c>
      <c r="BH666" s="80">
        <f>IF(BE666=1,ROUND(AG666/60,6),0)</f>
        <v>0</v>
      </c>
      <c r="BI666" s="80">
        <f>IF(BE666=1,ROUND(AP666/60,6),0)</f>
        <v>0</v>
      </c>
      <c r="BJ666" s="80">
        <f>IF(BE666=1,ROUND(AQ666/60,6),0)</f>
        <v>0</v>
      </c>
      <c r="BK666" s="80">
        <f>IF(BE666=1,ROUND((AR666+AS666)/60,6),0)</f>
        <v>0</v>
      </c>
      <c r="BL666" s="80">
        <f>ROUND(BH666-BK666,6)</f>
        <v>0</v>
      </c>
      <c r="BM666" s="80">
        <f>IF(BE666=1,ROUND(AR666/60,6),0)</f>
        <v>0</v>
      </c>
      <c r="BN666" s="80">
        <f>ROUND(BI666-BM666,6)</f>
        <v>0</v>
      </c>
      <c r="BO666" s="80">
        <f>IF(BE666=1,ROUND(AS666/60,6),0)</f>
        <v>0</v>
      </c>
      <c r="BP666" s="80">
        <f>ROUND(BJ666-BO666,6)</f>
        <v>0</v>
      </c>
      <c r="BQ666" s="80">
        <f>IF(BE666=1,AW666,0)</f>
        <v>0</v>
      </c>
      <c r="BR666" s="80">
        <f>IF(BE666=1,AX666,0)</f>
        <v>0</v>
      </c>
      <c r="BS666" s="80">
        <f>IF(AND(BE666=1,D666="Malcolm",BA666&gt;0),MIN(BH666,SUMPRODUCT((R_Emp="proMX")*(R_EN&gt;0)*((R_EN-(R_EN&gt;BR666)*(R_EN-BR666))&gt;(R_SN+(R_SN&lt;BQ666)*(BQ666-R_SN)))*((R_EN-(R_EN&gt;BR666)*(R_EN-BR666))-(R_SN+(R_SN&lt;BQ666)*(BQ666-R_SN))))/60),0)</f>
        <v>0</v>
      </c>
      <c r="BT666" s="80">
        <f>IF(AND(BE666=1,D666="proMX"),ROUND(BI666*CFG_RATE+BJ666*CFG_OTRATE,6),0)</f>
        <v>0</v>
      </c>
      <c r="BU666" s="80">
        <f>IF(AND(BD666=1,D666="proMX"),ROUND(AG666/CFG_BLK,6),0)</f>
        <v>0</v>
      </c>
      <c r="BV666" s="80" t="str">
        <f>IF(BF666="Approved",IF(ISNUMBER(T666),INT(T666),INT(B666)),"")</f>
        <v/>
      </c>
      <c r="BW666" s="80">
        <f>IF(ISNUMBER(B666),IF(DB_MON="Todos",1,IF(AND(INT(B666)&gt;=DB_MS,INT(B666)&lt;=DB_ME),1,0)),0)</f>
        <v>0</v>
      </c>
      <c r="BX666" s="80">
        <f>IF(DB_PROJ="Todos",1,IF(E666&amp;""=DB_PROJ&amp;"",1,0))</f>
        <v>1</v>
      </c>
      <c r="BY666" s="80">
        <f>BW666*BX666</f>
        <v>0</v>
      </c>
      <c r="BZ666" s="80" t="str">
        <f>IF(Y666=1,F666&amp;IF(AND(F666&amp;""&lt;&gt;"",E666&amp;""&lt;&gt;"")," · ","")&amp;E666,"")</f>
        <v/>
      </c>
      <c r="CA666" s="80" t="str">
        <f>IF(AND(BD666=1,E666&amp;""&lt;&gt;""),IF(COUNTIFS($E$5:E665,E666,$BD$5:BD665,1)=0,MAX($CA$5:CA665)+1,""),"")</f>
        <v/>
      </c>
      <c r="CB666" s="80" t="str">
        <f>IF(AND(BE666=1,D666="Malcolm",E666&amp;""&lt;&gt;""),IF(COUNTIFS($D$5:D665,"Malcolm",$E$5:E665,E666,$BE$5:BE665,1)=0,MAX($CB$5:CB665)+1,""),"")</f>
        <v/>
      </c>
      <c r="CC666" s="80" t="str">
        <f>IF(AND(BD666=1,D666="proMX",E666&amp;""&lt;&gt;""),IF(COUNTIFS($D$5:D665,"proMX",$E$5:E665,E666,$BD$5:BD665,1)=0,MAX($CC$5:CC665)+1,""),"")</f>
        <v/>
      </c>
      <c r="CD666" s="80" t="str">
        <f>IF(AND(BE666=1,D666="Malcolm",F666&amp;""&lt;&gt;""),IF(COUNTIFS($D$5:D665,"Malcolm",$F$5:F665,F666,$BE$5:BE665,1)=0,MAX($CD$5:CD665)+1,""),"")</f>
        <v/>
      </c>
      <c r="CE666" s="80" t="str">
        <f>IF(AND(BD666=1,D666="proMX",F666&amp;""&lt;&gt;""),IF(COUNTIFS($D$5:D665,"proMX",$F$5:F665,F666,$BD$5:BD665,1)=0,MAX($CE$5:CE665)+1,""),"")</f>
        <v/>
      </c>
      <c r="CF666" s="80" t="str">
        <f>IF(AND(D666="proMX",BD666=1),IF(OR(BF666="Draft",BF666="Submitted",BF666="Returned",BF666="Recall Requested"),MAX($CF$5:CF665)+1,""),"")</f>
        <v/>
      </c>
      <c r="CG666" s="80">
        <f>IF(BD666=0,0,IF(D666="Malcolm",1,MATCH(BF666,{"Draft","Submitted","Approved","Returned","Recall Requested","Cancelled"},0)+1))</f>
        <v>0</v>
      </c>
      <c r="CH666" s="80">
        <f>IF(AND(BF666="Submitted",ISNUMBER(V666)),IF(V666&gt;CFG_MAXD,1,0),0)</f>
        <v>0</v>
      </c>
    </row>
    <row r="667">
      <c r="A667" s="71" t="str">
        <f>IF(Y667=1,ROW()-5,"")</f>
        <v/>
      </c>
      <c r="B667" s="72" t="n"/>
      <c r="C667" s="71" t="str">
        <f>IF(ISNUMBER(B667),CHOOSE(WEEKDAY(B667,2),"Lun","Mar","Mié","Jue","Vie","Sáb","Dom"),"")</f>
        <v/>
      </c>
      <c r="D667" s="73" t="n"/>
      <c r="E667" s="74" t="n"/>
      <c r="F667" s="74" t="n"/>
      <c r="G667" s="74" t="n"/>
      <c r="H667" s="75" t="n"/>
      <c r="I667" s="75" t="n"/>
      <c r="J667" s="76" t="n"/>
      <c r="K667" s="77" t="str">
        <f>IF(AB667=1,ROUND(AG667/60,4),"")</f>
        <v/>
      </c>
      <c r="L667" s="77" t="str">
        <f>IF(BD667=1,ROUND(AP667/60,4),"")</f>
        <v/>
      </c>
      <c r="M667" s="77" t="str">
        <f>IF(BD667=1,ROUND(AQ667/60,4),"")</f>
        <v/>
      </c>
      <c r="N667" s="71" t="str">
        <f>IF(AND(D667="proMX",AB667=1),ROUND(AG667/CFG_BLK,2),"")</f>
        <v/>
      </c>
      <c r="O667" s="77" t="str">
        <f>IF(D667="proMX",IF(BD667=1,ROUND(AG667/60,4),0),"")</f>
        <v/>
      </c>
      <c r="P667" s="78" t="str">
        <f>IF(Y667=0,"",IF(BD667=1,"OK",IF(D667="proMX","Revisar bloques: ","Revisar: ")&amp;BC667))</f>
        <v/>
      </c>
      <c r="Q667" s="78" t="str">
        <f>IF(NOT(ISNUMBER(B667)),"",IF(COUNTIFS(FER_F,INT(B667))&gt;0,"Feriado"&amp;IF(AH667=1," (laborable)"," (no laborable)"),IF(AH667=1,"Laborable",IF(WEEKDAY(B667,2)&gt;5,"Fin de semana","No laborable"))))</f>
        <v/>
      </c>
      <c r="R667" s="73" t="n"/>
      <c r="S667" s="72" t="n"/>
      <c r="T667" s="72" t="n"/>
      <c r="U667" s="74" t="n"/>
      <c r="V667" s="79" t="str">
        <f>IF(AND(D667="proMX",OR(R667="Submitted",R667="Recall Requested"),ISNUMBER(S667)),CFG_TODAY-INT(S667),"")</f>
        <v/>
      </c>
      <c r="W667" s="78" t="str">
        <f>IF(BD667=0,"",IF(BA667&gt;0,"⚠ Se superpone con un registro de la otra empresa",IF(D667="Malcolm",IF(COUNTA(R667,S667,T667)&gt;0,"Estado/fechas proMX se ignoran en Malcolm",""),IF(BF667="Cancelled","Cancelado: excluido de totales",IF(R667="","Sin estado: se trata como Draft",IF(BF667="Submitted",IF(ISNUMBER(V667),IF(V667&gt;CFG_MAXD,"⚠ "&amp;V667&amp;" días en Submitted (máx. "&amp;CFG_MAXD&amp;")",""),"Falta fecha de envío"),IF(BF667="Returned","⚠ Devuelto: corregir y reenviar",IF(BF667="Recall Requested","Retirada solicitada: pendiente",IF(AND(BF667="Approved",NOT(ISNUMBER(T667))),"Falta fecha de aprobación",IF(AND(ISNUMBER(S667),ISNUMBER(T667),T667&lt;S667),"Aprobación anterior al envío","")))))))))</f>
        <v/>
      </c>
      <c r="Y667" s="80">
        <f>IF(COUNTA(B667,D667,E667,F667,G667,H667,I667,J667,R667,S667,T667)&gt;0,1,0)</f>
        <v>0</v>
      </c>
      <c r="Z667" s="80" t="str">
        <f>IF(AND(ISNUMBER(H667),H667&gt;=0,H667&lt;1),ROUND(H667*1440,0),"")</f>
        <v/>
      </c>
      <c r="AA667" s="80" t="str">
        <f>IF(AND(ISNUMBER(I667),I667&gt;=0,I667&lt;1),ROUND(I667*1440,0),"")</f>
        <v/>
      </c>
      <c r="AB667" s="80">
        <f>IF(AND(ISNUMBER(B667),D667&lt;&gt;"",ISNUMBER(Z667),ISNUMBER(AA667)),IF(Z667=AA667,0,1),0)</f>
        <v>0</v>
      </c>
      <c r="AC667" s="80">
        <f>IF(AB667=1,IF(AA667&lt;Z667,1,0),0)</f>
        <v>0</v>
      </c>
      <c r="AD667" s="80">
        <f>IF(AB667=1,IF(AC667=1,1440-Z667+AA667,AA667-Z667),0)</f>
        <v>0</v>
      </c>
      <c r="AE667" s="80">
        <f>IF(J667="",0,IF(ISNUMBER(J667),J667,-1))</f>
        <v>0</v>
      </c>
      <c r="AF667" s="80">
        <f>MIN(MAX(0,AE667),AD667)</f>
        <v>0</v>
      </c>
      <c r="AG667" s="80">
        <f>MAX(0,AD667-MAX(0,AE667))</f>
        <v>0</v>
      </c>
      <c r="AH667" s="80">
        <f>IF(ISNUMBER(B667),IF(AND(INDEX(CFG_WDAYS,WEEKDAY(INT(B667),2))="Sí",IF(D667="proMX",COUNTIFS(FER_F,INT(B667),FER_NLP,"Sí"),COUNTIFS(FER_F,INT(B667),FER_NLM,"Sí"))=0),1,0),0)</f>
        <v>0</v>
      </c>
      <c r="AI667" s="80">
        <f>IF(AC667=1,IF(AND(INDEX(CFG_WDAYS,WEEKDAY(INT(B667)+1,2))="Sí",IF(D667="proMX",COUNTIFS(FER_F,INT(B667)+1,FER_NLP,"Sí"),COUNTIFS(FER_F,INT(B667)+1,FER_NLM,"Sí"))=0),1,0),0)</f>
        <v>0</v>
      </c>
      <c r="AJ667" s="80">
        <f>IF(AC667=1,1440-Z667,AD667)</f>
        <v>0</v>
      </c>
      <c r="AK667" s="80">
        <f>IF(AND(AB667=1,AH667=1),MAX(0,MIN(IF(AC667=1,1440,AA667),CFG_WEM)-MAX(Z667,CFG_WSM)),0)</f>
        <v>0</v>
      </c>
      <c r="AL667" s="80">
        <f>IF(AND(AC667=1,AI667=1),MAX(0,MIN(AA667,CFG_WEM)-CFG_WSM),0)</f>
        <v>0</v>
      </c>
      <c r="AM667" s="80">
        <f>AK667+AL667</f>
        <v>0</v>
      </c>
      <c r="AN667" s="80">
        <f>IF(CFG_BRK="Proporcional",IF(AD667=0,0,AF667*AM667/AD667),IF(CFG_BRK="Extras primero",MIN(AM667,MAX(0,AF667-(AD667-AM667))),MIN(AF667,AM667)))</f>
        <v>0</v>
      </c>
      <c r="AO667" s="80">
        <f>AF667-AN667</f>
        <v>0</v>
      </c>
      <c r="AP667" s="80">
        <f>AM667-AN667</f>
        <v>0</v>
      </c>
      <c r="AQ667" s="80">
        <f>AD667-AM667-AO667</f>
        <v>0</v>
      </c>
      <c r="AR667" s="80">
        <f>IF(AM667=0,0,AK667-AN667*AK667/AM667)</f>
        <v>0</v>
      </c>
      <c r="AS667" s="80">
        <f>IF(AD667-AM667=0,0,(AJ667-AK667)-AO667*(AJ667-AK667)/(AD667-AM667))</f>
        <v>0</v>
      </c>
      <c r="AT667" s="80" t="str">
        <f>IF(AC667=1,INT(B667)+1,"")</f>
        <v/>
      </c>
      <c r="AU667" s="80">
        <f>IF(AND(D667="proMX",R667="Cancelled"),0,1)</f>
        <v>1</v>
      </c>
      <c r="AV667" s="80">
        <f>IF(AND(AB667=1,AU667=1),IF(COUNTIFS($D$5:D666,D667,$B$5:B666,B667,$Z$5:Z666,Z667,$AA$5:AA666,AA667,$F$5:F666,F667&amp;"",$AU$5:AU666,1)&gt;0,1,0),0)</f>
        <v>0</v>
      </c>
      <c r="AW667" s="80" t="str">
        <f>IF(AB667=1,INT(B667)*1440+Z667,"")</f>
        <v/>
      </c>
      <c r="AX667" s="80" t="str">
        <f>IF(AB667=1,AW667+AD667,"")</f>
        <v/>
      </c>
      <c r="AY667" s="80">
        <f>IF(AND(AB667=1,AV667=0,AU667=1),1,0)</f>
        <v>0</v>
      </c>
      <c r="AZ667" s="80">
        <f>IF(AY667=1,COUNTIFS(R_Emp,D667,R_SAbs,"&lt;"&amp;AX667,R_EAbs,"&gt;"&amp;AW667,R_OKey,1)-1,0)</f>
        <v>0</v>
      </c>
      <c r="BA667" s="80">
        <f>IF(AY667=1,COUNTIFS(R_Emp,"&lt;&gt;"&amp;D667,R_SAbs,"&lt;"&amp;AX667,R_EAbs,"&gt;"&amp;AW667,R_OKey,1),0)</f>
        <v>0</v>
      </c>
      <c r="BB667" s="80">
        <f>IF(AND(AB667=1,D667="proMX"),IF(AND(MOD(Z667,CFG_BLK)=0,MOD(AA667,CFG_BLK)=0,MOD(AG667,CFG_BLK)=0,AG667&gt;0),1,0),1)</f>
        <v>1</v>
      </c>
      <c r="BC667" s="80" t="str">
        <f>IF(Y667=0,"",IF(NOT(ISNUMBER(B667)),"Falta fecha o fecha inválida",IF(D667="","Falta empresa",IF(AND(D667&lt;&gt;"Malcolm",D667&lt;&gt;"proMX"),"Empresa inválida",IF(OR(INT(B667)&lt;CFG_PSTART,INT(B667)&gt;CFG_PEND),"Fecha fuera del período",IF(OR(NOT(ISNUMBER(Z667)),NOT(ISNUMBER(AA667))),"Falta hora inicio/fin o formato inválido",IF(AB667=0,"Hora inicio = hora fin",IF(AE667&lt;0,"Descanso inválido",IF(AE667&gt;=AD667,"Descanso ≥ duración",IF(AV667=1,"Registro duplicado",IF(AZ667&gt;0,"Se superpone con otro registro "&amp;D667,IF(BB667=0,"inicio, fin y duración neta deben ser múltiplos de "&amp;CFG_BLK&amp;" min",""))))))))))))</f>
        <v/>
      </c>
      <c r="BD667" s="80">
        <f>IF(AND(Y667=1,BC667=""),1,0)</f>
        <v>0</v>
      </c>
      <c r="BE667" s="80">
        <f>IF(AND(BD667=1,AU667=1),1,0)</f>
        <v>0</v>
      </c>
      <c r="BF667" s="80" t="str">
        <f>IF(AND(D667="proMX",BD667=1),IF(R667="","Draft",R667),"")</f>
        <v/>
      </c>
      <c r="BG667" s="80">
        <f>IF(BD667=1,ROUND(AG667/60,6),0)</f>
        <v>0</v>
      </c>
      <c r="BH667" s="80">
        <f>IF(BE667=1,ROUND(AG667/60,6),0)</f>
        <v>0</v>
      </c>
      <c r="BI667" s="80">
        <f>IF(BE667=1,ROUND(AP667/60,6),0)</f>
        <v>0</v>
      </c>
      <c r="BJ667" s="80">
        <f>IF(BE667=1,ROUND(AQ667/60,6),0)</f>
        <v>0</v>
      </c>
      <c r="BK667" s="80">
        <f>IF(BE667=1,ROUND((AR667+AS667)/60,6),0)</f>
        <v>0</v>
      </c>
      <c r="BL667" s="80">
        <f>ROUND(BH667-BK667,6)</f>
        <v>0</v>
      </c>
      <c r="BM667" s="80">
        <f>IF(BE667=1,ROUND(AR667/60,6),0)</f>
        <v>0</v>
      </c>
      <c r="BN667" s="80">
        <f>ROUND(BI667-BM667,6)</f>
        <v>0</v>
      </c>
      <c r="BO667" s="80">
        <f>IF(BE667=1,ROUND(AS667/60,6),0)</f>
        <v>0</v>
      </c>
      <c r="BP667" s="80">
        <f>ROUND(BJ667-BO667,6)</f>
        <v>0</v>
      </c>
      <c r="BQ667" s="80">
        <f>IF(BE667=1,AW667,0)</f>
        <v>0</v>
      </c>
      <c r="BR667" s="80">
        <f>IF(BE667=1,AX667,0)</f>
        <v>0</v>
      </c>
      <c r="BS667" s="80">
        <f>IF(AND(BE667=1,D667="Malcolm",BA667&gt;0),MIN(BH667,SUMPRODUCT((R_Emp="proMX")*(R_EN&gt;0)*((R_EN-(R_EN&gt;BR667)*(R_EN-BR667))&gt;(R_SN+(R_SN&lt;BQ667)*(BQ667-R_SN)))*((R_EN-(R_EN&gt;BR667)*(R_EN-BR667))-(R_SN+(R_SN&lt;BQ667)*(BQ667-R_SN))))/60),0)</f>
        <v>0</v>
      </c>
      <c r="BT667" s="80">
        <f>IF(AND(BE667=1,D667="proMX"),ROUND(BI667*CFG_RATE+BJ667*CFG_OTRATE,6),0)</f>
        <v>0</v>
      </c>
      <c r="BU667" s="80">
        <f>IF(AND(BD667=1,D667="proMX"),ROUND(AG667/CFG_BLK,6),0)</f>
        <v>0</v>
      </c>
      <c r="BV667" s="80" t="str">
        <f>IF(BF667="Approved",IF(ISNUMBER(T667),INT(T667),INT(B667)),"")</f>
        <v/>
      </c>
      <c r="BW667" s="80">
        <f>IF(ISNUMBER(B667),IF(DB_MON="Todos",1,IF(AND(INT(B667)&gt;=DB_MS,INT(B667)&lt;=DB_ME),1,0)),0)</f>
        <v>0</v>
      </c>
      <c r="BX667" s="80">
        <f>IF(DB_PROJ="Todos",1,IF(E667&amp;""=DB_PROJ&amp;"",1,0))</f>
        <v>1</v>
      </c>
      <c r="BY667" s="80">
        <f>BW667*BX667</f>
        <v>0</v>
      </c>
      <c r="BZ667" s="80" t="str">
        <f>IF(Y667=1,F667&amp;IF(AND(F667&amp;""&lt;&gt;"",E667&amp;""&lt;&gt;"")," · ","")&amp;E667,"")</f>
        <v/>
      </c>
      <c r="CA667" s="80" t="str">
        <f>IF(AND(BD667=1,E667&amp;""&lt;&gt;""),IF(COUNTIFS($E$5:E666,E667,$BD$5:BD666,1)=0,MAX($CA$5:CA666)+1,""),"")</f>
        <v/>
      </c>
      <c r="CB667" s="80" t="str">
        <f>IF(AND(BE667=1,D667="Malcolm",E667&amp;""&lt;&gt;""),IF(COUNTIFS($D$5:D666,"Malcolm",$E$5:E666,E667,$BE$5:BE666,1)=0,MAX($CB$5:CB666)+1,""),"")</f>
        <v/>
      </c>
      <c r="CC667" s="80" t="str">
        <f>IF(AND(BD667=1,D667="proMX",E667&amp;""&lt;&gt;""),IF(COUNTIFS($D$5:D666,"proMX",$E$5:E666,E667,$BD$5:BD666,1)=0,MAX($CC$5:CC666)+1,""),"")</f>
        <v/>
      </c>
      <c r="CD667" s="80" t="str">
        <f>IF(AND(BE667=1,D667="Malcolm",F667&amp;""&lt;&gt;""),IF(COUNTIFS($D$5:D666,"Malcolm",$F$5:F666,F667,$BE$5:BE666,1)=0,MAX($CD$5:CD666)+1,""),"")</f>
        <v/>
      </c>
      <c r="CE667" s="80" t="str">
        <f>IF(AND(BD667=1,D667="proMX",F667&amp;""&lt;&gt;""),IF(COUNTIFS($D$5:D666,"proMX",$F$5:F666,F667,$BD$5:BD666,1)=0,MAX($CE$5:CE666)+1,""),"")</f>
        <v/>
      </c>
      <c r="CF667" s="80" t="str">
        <f>IF(AND(D667="proMX",BD667=1),IF(OR(BF667="Draft",BF667="Submitted",BF667="Returned",BF667="Recall Requested"),MAX($CF$5:CF666)+1,""),"")</f>
        <v/>
      </c>
      <c r="CG667" s="80">
        <f>IF(BD667=0,0,IF(D667="Malcolm",1,MATCH(BF667,{"Draft","Submitted","Approved","Returned","Recall Requested","Cancelled"},0)+1))</f>
        <v>0</v>
      </c>
      <c r="CH667" s="80">
        <f>IF(AND(BF667="Submitted",ISNUMBER(V667)),IF(V667&gt;CFG_MAXD,1,0),0)</f>
        <v>0</v>
      </c>
    </row>
    <row r="668">
      <c r="A668" s="71" t="str">
        <f>IF(Y668=1,ROW()-5,"")</f>
        <v/>
      </c>
      <c r="B668" s="72" t="n"/>
      <c r="C668" s="71" t="str">
        <f>IF(ISNUMBER(B668),CHOOSE(WEEKDAY(B668,2),"Lun","Mar","Mié","Jue","Vie","Sáb","Dom"),"")</f>
        <v/>
      </c>
      <c r="D668" s="73" t="n"/>
      <c r="E668" s="74" t="n"/>
      <c r="F668" s="74" t="n"/>
      <c r="G668" s="74" t="n"/>
      <c r="H668" s="75" t="n"/>
      <c r="I668" s="75" t="n"/>
      <c r="J668" s="76" t="n"/>
      <c r="K668" s="77" t="str">
        <f>IF(AB668=1,ROUND(AG668/60,4),"")</f>
        <v/>
      </c>
      <c r="L668" s="77" t="str">
        <f>IF(BD668=1,ROUND(AP668/60,4),"")</f>
        <v/>
      </c>
      <c r="M668" s="77" t="str">
        <f>IF(BD668=1,ROUND(AQ668/60,4),"")</f>
        <v/>
      </c>
      <c r="N668" s="71" t="str">
        <f>IF(AND(D668="proMX",AB668=1),ROUND(AG668/CFG_BLK,2),"")</f>
        <v/>
      </c>
      <c r="O668" s="77" t="str">
        <f>IF(D668="proMX",IF(BD668=1,ROUND(AG668/60,4),0),"")</f>
        <v/>
      </c>
      <c r="P668" s="78" t="str">
        <f>IF(Y668=0,"",IF(BD668=1,"OK",IF(D668="proMX","Revisar bloques: ","Revisar: ")&amp;BC668))</f>
        <v/>
      </c>
      <c r="Q668" s="78" t="str">
        <f>IF(NOT(ISNUMBER(B668)),"",IF(COUNTIFS(FER_F,INT(B668))&gt;0,"Feriado"&amp;IF(AH668=1," (laborable)"," (no laborable)"),IF(AH668=1,"Laborable",IF(WEEKDAY(B668,2)&gt;5,"Fin de semana","No laborable"))))</f>
        <v/>
      </c>
      <c r="R668" s="73" t="n"/>
      <c r="S668" s="72" t="n"/>
      <c r="T668" s="72" t="n"/>
      <c r="U668" s="74" t="n"/>
      <c r="V668" s="79" t="str">
        <f>IF(AND(D668="proMX",OR(R668="Submitted",R668="Recall Requested"),ISNUMBER(S668)),CFG_TODAY-INT(S668),"")</f>
        <v/>
      </c>
      <c r="W668" s="78" t="str">
        <f>IF(BD668=0,"",IF(BA668&gt;0,"⚠ Se superpone con un registro de la otra empresa",IF(D668="Malcolm",IF(COUNTA(R668,S668,T668)&gt;0,"Estado/fechas proMX se ignoran en Malcolm",""),IF(BF668="Cancelled","Cancelado: excluido de totales",IF(R668="","Sin estado: se trata como Draft",IF(BF668="Submitted",IF(ISNUMBER(V668),IF(V668&gt;CFG_MAXD,"⚠ "&amp;V668&amp;" días en Submitted (máx. "&amp;CFG_MAXD&amp;")",""),"Falta fecha de envío"),IF(BF668="Returned","⚠ Devuelto: corregir y reenviar",IF(BF668="Recall Requested","Retirada solicitada: pendiente",IF(AND(BF668="Approved",NOT(ISNUMBER(T668))),"Falta fecha de aprobación",IF(AND(ISNUMBER(S668),ISNUMBER(T668),T668&lt;S668),"Aprobación anterior al envío","")))))))))</f>
        <v/>
      </c>
      <c r="Y668" s="80">
        <f>IF(COUNTA(B668,D668,E668,F668,G668,H668,I668,J668,R668,S668,T668)&gt;0,1,0)</f>
        <v>0</v>
      </c>
      <c r="Z668" s="80" t="str">
        <f>IF(AND(ISNUMBER(H668),H668&gt;=0,H668&lt;1),ROUND(H668*1440,0),"")</f>
        <v/>
      </c>
      <c r="AA668" s="80" t="str">
        <f>IF(AND(ISNUMBER(I668),I668&gt;=0,I668&lt;1),ROUND(I668*1440,0),"")</f>
        <v/>
      </c>
      <c r="AB668" s="80">
        <f>IF(AND(ISNUMBER(B668),D668&lt;&gt;"",ISNUMBER(Z668),ISNUMBER(AA668)),IF(Z668=AA668,0,1),0)</f>
        <v>0</v>
      </c>
      <c r="AC668" s="80">
        <f>IF(AB668=1,IF(AA668&lt;Z668,1,0),0)</f>
        <v>0</v>
      </c>
      <c r="AD668" s="80">
        <f>IF(AB668=1,IF(AC668=1,1440-Z668+AA668,AA668-Z668),0)</f>
        <v>0</v>
      </c>
      <c r="AE668" s="80">
        <f>IF(J668="",0,IF(ISNUMBER(J668),J668,-1))</f>
        <v>0</v>
      </c>
      <c r="AF668" s="80">
        <f>MIN(MAX(0,AE668),AD668)</f>
        <v>0</v>
      </c>
      <c r="AG668" s="80">
        <f>MAX(0,AD668-MAX(0,AE668))</f>
        <v>0</v>
      </c>
      <c r="AH668" s="80">
        <f>IF(ISNUMBER(B668),IF(AND(INDEX(CFG_WDAYS,WEEKDAY(INT(B668),2))="Sí",IF(D668="proMX",COUNTIFS(FER_F,INT(B668),FER_NLP,"Sí"),COUNTIFS(FER_F,INT(B668),FER_NLM,"Sí"))=0),1,0),0)</f>
        <v>0</v>
      </c>
      <c r="AI668" s="80">
        <f>IF(AC668=1,IF(AND(INDEX(CFG_WDAYS,WEEKDAY(INT(B668)+1,2))="Sí",IF(D668="proMX",COUNTIFS(FER_F,INT(B668)+1,FER_NLP,"Sí"),COUNTIFS(FER_F,INT(B668)+1,FER_NLM,"Sí"))=0),1,0),0)</f>
        <v>0</v>
      </c>
      <c r="AJ668" s="80">
        <f>IF(AC668=1,1440-Z668,AD668)</f>
        <v>0</v>
      </c>
      <c r="AK668" s="80">
        <f>IF(AND(AB668=1,AH668=1),MAX(0,MIN(IF(AC668=1,1440,AA668),CFG_WEM)-MAX(Z668,CFG_WSM)),0)</f>
        <v>0</v>
      </c>
      <c r="AL668" s="80">
        <f>IF(AND(AC668=1,AI668=1),MAX(0,MIN(AA668,CFG_WEM)-CFG_WSM),0)</f>
        <v>0</v>
      </c>
      <c r="AM668" s="80">
        <f>AK668+AL668</f>
        <v>0</v>
      </c>
      <c r="AN668" s="80">
        <f>IF(CFG_BRK="Proporcional",IF(AD668=0,0,AF668*AM668/AD668),IF(CFG_BRK="Extras primero",MIN(AM668,MAX(0,AF668-(AD668-AM668))),MIN(AF668,AM668)))</f>
        <v>0</v>
      </c>
      <c r="AO668" s="80">
        <f>AF668-AN668</f>
        <v>0</v>
      </c>
      <c r="AP668" s="80">
        <f>AM668-AN668</f>
        <v>0</v>
      </c>
      <c r="AQ668" s="80">
        <f>AD668-AM668-AO668</f>
        <v>0</v>
      </c>
      <c r="AR668" s="80">
        <f>IF(AM668=0,0,AK668-AN668*AK668/AM668)</f>
        <v>0</v>
      </c>
      <c r="AS668" s="80">
        <f>IF(AD668-AM668=0,0,(AJ668-AK668)-AO668*(AJ668-AK668)/(AD668-AM668))</f>
        <v>0</v>
      </c>
      <c r="AT668" s="80" t="str">
        <f>IF(AC668=1,INT(B668)+1,"")</f>
        <v/>
      </c>
      <c r="AU668" s="80">
        <f>IF(AND(D668="proMX",R668="Cancelled"),0,1)</f>
        <v>1</v>
      </c>
      <c r="AV668" s="80">
        <f>IF(AND(AB668=1,AU668=1),IF(COUNTIFS($D$5:D667,D668,$B$5:B667,B668,$Z$5:Z667,Z668,$AA$5:AA667,AA668,$F$5:F667,F668&amp;"",$AU$5:AU667,1)&gt;0,1,0),0)</f>
        <v>0</v>
      </c>
      <c r="AW668" s="80" t="str">
        <f>IF(AB668=1,INT(B668)*1440+Z668,"")</f>
        <v/>
      </c>
      <c r="AX668" s="80" t="str">
        <f>IF(AB668=1,AW668+AD668,"")</f>
        <v/>
      </c>
      <c r="AY668" s="80">
        <f>IF(AND(AB668=1,AV668=0,AU668=1),1,0)</f>
        <v>0</v>
      </c>
      <c r="AZ668" s="80">
        <f>IF(AY668=1,COUNTIFS(R_Emp,D668,R_SAbs,"&lt;"&amp;AX668,R_EAbs,"&gt;"&amp;AW668,R_OKey,1)-1,0)</f>
        <v>0</v>
      </c>
      <c r="BA668" s="80">
        <f>IF(AY668=1,COUNTIFS(R_Emp,"&lt;&gt;"&amp;D668,R_SAbs,"&lt;"&amp;AX668,R_EAbs,"&gt;"&amp;AW668,R_OKey,1),0)</f>
        <v>0</v>
      </c>
      <c r="BB668" s="80">
        <f>IF(AND(AB668=1,D668="proMX"),IF(AND(MOD(Z668,CFG_BLK)=0,MOD(AA668,CFG_BLK)=0,MOD(AG668,CFG_BLK)=0,AG668&gt;0),1,0),1)</f>
        <v>1</v>
      </c>
      <c r="BC668" s="80" t="str">
        <f>IF(Y668=0,"",IF(NOT(ISNUMBER(B668)),"Falta fecha o fecha inválida",IF(D668="","Falta empresa",IF(AND(D668&lt;&gt;"Malcolm",D668&lt;&gt;"proMX"),"Empresa inválida",IF(OR(INT(B668)&lt;CFG_PSTART,INT(B668)&gt;CFG_PEND),"Fecha fuera del período",IF(OR(NOT(ISNUMBER(Z668)),NOT(ISNUMBER(AA668))),"Falta hora inicio/fin o formato inválido",IF(AB668=0,"Hora inicio = hora fin",IF(AE668&lt;0,"Descanso inválido",IF(AE668&gt;=AD668,"Descanso ≥ duración",IF(AV668=1,"Registro duplicado",IF(AZ668&gt;0,"Se superpone con otro registro "&amp;D668,IF(BB668=0,"inicio, fin y duración neta deben ser múltiplos de "&amp;CFG_BLK&amp;" min",""))))))))))))</f>
        <v/>
      </c>
      <c r="BD668" s="80">
        <f>IF(AND(Y668=1,BC668=""),1,0)</f>
        <v>0</v>
      </c>
      <c r="BE668" s="80">
        <f>IF(AND(BD668=1,AU668=1),1,0)</f>
        <v>0</v>
      </c>
      <c r="BF668" s="80" t="str">
        <f>IF(AND(D668="proMX",BD668=1),IF(R668="","Draft",R668),"")</f>
        <v/>
      </c>
      <c r="BG668" s="80">
        <f>IF(BD668=1,ROUND(AG668/60,6),0)</f>
        <v>0</v>
      </c>
      <c r="BH668" s="80">
        <f>IF(BE668=1,ROUND(AG668/60,6),0)</f>
        <v>0</v>
      </c>
      <c r="BI668" s="80">
        <f>IF(BE668=1,ROUND(AP668/60,6),0)</f>
        <v>0</v>
      </c>
      <c r="BJ668" s="80">
        <f>IF(BE668=1,ROUND(AQ668/60,6),0)</f>
        <v>0</v>
      </c>
      <c r="BK668" s="80">
        <f>IF(BE668=1,ROUND((AR668+AS668)/60,6),0)</f>
        <v>0</v>
      </c>
      <c r="BL668" s="80">
        <f>ROUND(BH668-BK668,6)</f>
        <v>0</v>
      </c>
      <c r="BM668" s="80">
        <f>IF(BE668=1,ROUND(AR668/60,6),0)</f>
        <v>0</v>
      </c>
      <c r="BN668" s="80">
        <f>ROUND(BI668-BM668,6)</f>
        <v>0</v>
      </c>
      <c r="BO668" s="80">
        <f>IF(BE668=1,ROUND(AS668/60,6),0)</f>
        <v>0</v>
      </c>
      <c r="BP668" s="80">
        <f>ROUND(BJ668-BO668,6)</f>
        <v>0</v>
      </c>
      <c r="BQ668" s="80">
        <f>IF(BE668=1,AW668,0)</f>
        <v>0</v>
      </c>
      <c r="BR668" s="80">
        <f>IF(BE668=1,AX668,0)</f>
        <v>0</v>
      </c>
      <c r="BS668" s="80">
        <f>IF(AND(BE668=1,D668="Malcolm",BA668&gt;0),MIN(BH668,SUMPRODUCT((R_Emp="proMX")*(R_EN&gt;0)*((R_EN-(R_EN&gt;BR668)*(R_EN-BR668))&gt;(R_SN+(R_SN&lt;BQ668)*(BQ668-R_SN)))*((R_EN-(R_EN&gt;BR668)*(R_EN-BR668))-(R_SN+(R_SN&lt;BQ668)*(BQ668-R_SN))))/60),0)</f>
        <v>0</v>
      </c>
      <c r="BT668" s="80">
        <f>IF(AND(BE668=1,D668="proMX"),ROUND(BI668*CFG_RATE+BJ668*CFG_OTRATE,6),0)</f>
        <v>0</v>
      </c>
      <c r="BU668" s="80">
        <f>IF(AND(BD668=1,D668="proMX"),ROUND(AG668/CFG_BLK,6),0)</f>
        <v>0</v>
      </c>
      <c r="BV668" s="80" t="str">
        <f>IF(BF668="Approved",IF(ISNUMBER(T668),INT(T668),INT(B668)),"")</f>
        <v/>
      </c>
      <c r="BW668" s="80">
        <f>IF(ISNUMBER(B668),IF(DB_MON="Todos",1,IF(AND(INT(B668)&gt;=DB_MS,INT(B668)&lt;=DB_ME),1,0)),0)</f>
        <v>0</v>
      </c>
      <c r="BX668" s="80">
        <f>IF(DB_PROJ="Todos",1,IF(E668&amp;""=DB_PROJ&amp;"",1,0))</f>
        <v>1</v>
      </c>
      <c r="BY668" s="80">
        <f>BW668*BX668</f>
        <v>0</v>
      </c>
      <c r="BZ668" s="80" t="str">
        <f>IF(Y668=1,F668&amp;IF(AND(F668&amp;""&lt;&gt;"",E668&amp;""&lt;&gt;"")," · ","")&amp;E668,"")</f>
        <v/>
      </c>
      <c r="CA668" s="80" t="str">
        <f>IF(AND(BD668=1,E668&amp;""&lt;&gt;""),IF(COUNTIFS($E$5:E667,E668,$BD$5:BD667,1)=0,MAX($CA$5:CA667)+1,""),"")</f>
        <v/>
      </c>
      <c r="CB668" s="80" t="str">
        <f>IF(AND(BE668=1,D668="Malcolm",E668&amp;""&lt;&gt;""),IF(COUNTIFS($D$5:D667,"Malcolm",$E$5:E667,E668,$BE$5:BE667,1)=0,MAX($CB$5:CB667)+1,""),"")</f>
        <v/>
      </c>
      <c r="CC668" s="80" t="str">
        <f>IF(AND(BD668=1,D668="proMX",E668&amp;""&lt;&gt;""),IF(COUNTIFS($D$5:D667,"proMX",$E$5:E667,E668,$BD$5:BD667,1)=0,MAX($CC$5:CC667)+1,""),"")</f>
        <v/>
      </c>
      <c r="CD668" s="80" t="str">
        <f>IF(AND(BE668=1,D668="Malcolm",F668&amp;""&lt;&gt;""),IF(COUNTIFS($D$5:D667,"Malcolm",$F$5:F667,F668,$BE$5:BE667,1)=0,MAX($CD$5:CD667)+1,""),"")</f>
        <v/>
      </c>
      <c r="CE668" s="80" t="str">
        <f>IF(AND(BD668=1,D668="proMX",F668&amp;""&lt;&gt;""),IF(COUNTIFS($D$5:D667,"proMX",$F$5:F667,F668,$BD$5:BD667,1)=0,MAX($CE$5:CE667)+1,""),"")</f>
        <v/>
      </c>
      <c r="CF668" s="80" t="str">
        <f>IF(AND(D668="proMX",BD668=1),IF(OR(BF668="Draft",BF668="Submitted",BF668="Returned",BF668="Recall Requested"),MAX($CF$5:CF667)+1,""),"")</f>
        <v/>
      </c>
      <c r="CG668" s="80">
        <f>IF(BD668=0,0,IF(D668="Malcolm",1,MATCH(BF668,{"Draft","Submitted","Approved","Returned","Recall Requested","Cancelled"},0)+1))</f>
        <v>0</v>
      </c>
      <c r="CH668" s="80">
        <f>IF(AND(BF668="Submitted",ISNUMBER(V668)),IF(V668&gt;CFG_MAXD,1,0),0)</f>
        <v>0</v>
      </c>
    </row>
    <row r="669">
      <c r="A669" s="71" t="str">
        <f>IF(Y669=1,ROW()-5,"")</f>
        <v/>
      </c>
      <c r="B669" s="72" t="n"/>
      <c r="C669" s="71" t="str">
        <f>IF(ISNUMBER(B669),CHOOSE(WEEKDAY(B669,2),"Lun","Mar","Mié","Jue","Vie","Sáb","Dom"),"")</f>
        <v/>
      </c>
      <c r="D669" s="73" t="n"/>
      <c r="E669" s="74" t="n"/>
      <c r="F669" s="74" t="n"/>
      <c r="G669" s="74" t="n"/>
      <c r="H669" s="75" t="n"/>
      <c r="I669" s="75" t="n"/>
      <c r="J669" s="76" t="n"/>
      <c r="K669" s="77" t="str">
        <f>IF(AB669=1,ROUND(AG669/60,4),"")</f>
        <v/>
      </c>
      <c r="L669" s="77" t="str">
        <f>IF(BD669=1,ROUND(AP669/60,4),"")</f>
        <v/>
      </c>
      <c r="M669" s="77" t="str">
        <f>IF(BD669=1,ROUND(AQ669/60,4),"")</f>
        <v/>
      </c>
      <c r="N669" s="71" t="str">
        <f>IF(AND(D669="proMX",AB669=1),ROUND(AG669/CFG_BLK,2),"")</f>
        <v/>
      </c>
      <c r="O669" s="77" t="str">
        <f>IF(D669="proMX",IF(BD669=1,ROUND(AG669/60,4),0),"")</f>
        <v/>
      </c>
      <c r="P669" s="78" t="str">
        <f>IF(Y669=0,"",IF(BD669=1,"OK",IF(D669="proMX","Revisar bloques: ","Revisar: ")&amp;BC669))</f>
        <v/>
      </c>
      <c r="Q669" s="78" t="str">
        <f>IF(NOT(ISNUMBER(B669)),"",IF(COUNTIFS(FER_F,INT(B669))&gt;0,"Feriado"&amp;IF(AH669=1," (laborable)"," (no laborable)"),IF(AH669=1,"Laborable",IF(WEEKDAY(B669,2)&gt;5,"Fin de semana","No laborable"))))</f>
        <v/>
      </c>
      <c r="R669" s="73" t="n"/>
      <c r="S669" s="72" t="n"/>
      <c r="T669" s="72" t="n"/>
      <c r="U669" s="74" t="n"/>
      <c r="V669" s="79" t="str">
        <f>IF(AND(D669="proMX",OR(R669="Submitted",R669="Recall Requested"),ISNUMBER(S669)),CFG_TODAY-INT(S669),"")</f>
        <v/>
      </c>
      <c r="W669" s="78" t="str">
        <f>IF(BD669=0,"",IF(BA669&gt;0,"⚠ Se superpone con un registro de la otra empresa",IF(D669="Malcolm",IF(COUNTA(R669,S669,T669)&gt;0,"Estado/fechas proMX se ignoran en Malcolm",""),IF(BF669="Cancelled","Cancelado: excluido de totales",IF(R669="","Sin estado: se trata como Draft",IF(BF669="Submitted",IF(ISNUMBER(V669),IF(V669&gt;CFG_MAXD,"⚠ "&amp;V669&amp;" días en Submitted (máx. "&amp;CFG_MAXD&amp;")",""),"Falta fecha de envío"),IF(BF669="Returned","⚠ Devuelto: corregir y reenviar",IF(BF669="Recall Requested","Retirada solicitada: pendiente",IF(AND(BF669="Approved",NOT(ISNUMBER(T669))),"Falta fecha de aprobación",IF(AND(ISNUMBER(S669),ISNUMBER(T669),T669&lt;S669),"Aprobación anterior al envío","")))))))))</f>
        <v/>
      </c>
      <c r="Y669" s="80">
        <f>IF(COUNTA(B669,D669,E669,F669,G669,H669,I669,J669,R669,S669,T669)&gt;0,1,0)</f>
        <v>0</v>
      </c>
      <c r="Z669" s="80" t="str">
        <f>IF(AND(ISNUMBER(H669),H669&gt;=0,H669&lt;1),ROUND(H669*1440,0),"")</f>
        <v/>
      </c>
      <c r="AA669" s="80" t="str">
        <f>IF(AND(ISNUMBER(I669),I669&gt;=0,I669&lt;1),ROUND(I669*1440,0),"")</f>
        <v/>
      </c>
      <c r="AB669" s="80">
        <f>IF(AND(ISNUMBER(B669),D669&lt;&gt;"",ISNUMBER(Z669),ISNUMBER(AA669)),IF(Z669=AA669,0,1),0)</f>
        <v>0</v>
      </c>
      <c r="AC669" s="80">
        <f>IF(AB669=1,IF(AA669&lt;Z669,1,0),0)</f>
        <v>0</v>
      </c>
      <c r="AD669" s="80">
        <f>IF(AB669=1,IF(AC669=1,1440-Z669+AA669,AA669-Z669),0)</f>
        <v>0</v>
      </c>
      <c r="AE669" s="80">
        <f>IF(J669="",0,IF(ISNUMBER(J669),J669,-1))</f>
        <v>0</v>
      </c>
      <c r="AF669" s="80">
        <f>MIN(MAX(0,AE669),AD669)</f>
        <v>0</v>
      </c>
      <c r="AG669" s="80">
        <f>MAX(0,AD669-MAX(0,AE669))</f>
        <v>0</v>
      </c>
      <c r="AH669" s="80">
        <f>IF(ISNUMBER(B669),IF(AND(INDEX(CFG_WDAYS,WEEKDAY(INT(B669),2))="Sí",IF(D669="proMX",COUNTIFS(FER_F,INT(B669),FER_NLP,"Sí"),COUNTIFS(FER_F,INT(B669),FER_NLM,"Sí"))=0),1,0),0)</f>
        <v>0</v>
      </c>
      <c r="AI669" s="80">
        <f>IF(AC669=1,IF(AND(INDEX(CFG_WDAYS,WEEKDAY(INT(B669)+1,2))="Sí",IF(D669="proMX",COUNTIFS(FER_F,INT(B669)+1,FER_NLP,"Sí"),COUNTIFS(FER_F,INT(B669)+1,FER_NLM,"Sí"))=0),1,0),0)</f>
        <v>0</v>
      </c>
      <c r="AJ669" s="80">
        <f>IF(AC669=1,1440-Z669,AD669)</f>
        <v>0</v>
      </c>
      <c r="AK669" s="80">
        <f>IF(AND(AB669=1,AH669=1),MAX(0,MIN(IF(AC669=1,1440,AA669),CFG_WEM)-MAX(Z669,CFG_WSM)),0)</f>
        <v>0</v>
      </c>
      <c r="AL669" s="80">
        <f>IF(AND(AC669=1,AI669=1),MAX(0,MIN(AA669,CFG_WEM)-CFG_WSM),0)</f>
        <v>0</v>
      </c>
      <c r="AM669" s="80">
        <f>AK669+AL669</f>
        <v>0</v>
      </c>
      <c r="AN669" s="80">
        <f>IF(CFG_BRK="Proporcional",IF(AD669=0,0,AF669*AM669/AD669),IF(CFG_BRK="Extras primero",MIN(AM669,MAX(0,AF669-(AD669-AM669))),MIN(AF669,AM669)))</f>
        <v>0</v>
      </c>
      <c r="AO669" s="80">
        <f>AF669-AN669</f>
        <v>0</v>
      </c>
      <c r="AP669" s="80">
        <f>AM669-AN669</f>
        <v>0</v>
      </c>
      <c r="AQ669" s="80">
        <f>AD669-AM669-AO669</f>
        <v>0</v>
      </c>
      <c r="AR669" s="80">
        <f>IF(AM669=0,0,AK669-AN669*AK669/AM669)</f>
        <v>0</v>
      </c>
      <c r="AS669" s="80">
        <f>IF(AD669-AM669=0,0,(AJ669-AK669)-AO669*(AJ669-AK669)/(AD669-AM669))</f>
        <v>0</v>
      </c>
      <c r="AT669" s="80" t="str">
        <f>IF(AC669=1,INT(B669)+1,"")</f>
        <v/>
      </c>
      <c r="AU669" s="80">
        <f>IF(AND(D669="proMX",R669="Cancelled"),0,1)</f>
        <v>1</v>
      </c>
      <c r="AV669" s="80">
        <f>IF(AND(AB669=1,AU669=1),IF(COUNTIFS($D$5:D668,D669,$B$5:B668,B669,$Z$5:Z668,Z669,$AA$5:AA668,AA669,$F$5:F668,F669&amp;"",$AU$5:AU668,1)&gt;0,1,0),0)</f>
        <v>0</v>
      </c>
      <c r="AW669" s="80" t="str">
        <f>IF(AB669=1,INT(B669)*1440+Z669,"")</f>
        <v/>
      </c>
      <c r="AX669" s="80" t="str">
        <f>IF(AB669=1,AW669+AD669,"")</f>
        <v/>
      </c>
      <c r="AY669" s="80">
        <f>IF(AND(AB669=1,AV669=0,AU669=1),1,0)</f>
        <v>0</v>
      </c>
      <c r="AZ669" s="80">
        <f>IF(AY669=1,COUNTIFS(R_Emp,D669,R_SAbs,"&lt;"&amp;AX669,R_EAbs,"&gt;"&amp;AW669,R_OKey,1)-1,0)</f>
        <v>0</v>
      </c>
      <c r="BA669" s="80">
        <f>IF(AY669=1,COUNTIFS(R_Emp,"&lt;&gt;"&amp;D669,R_SAbs,"&lt;"&amp;AX669,R_EAbs,"&gt;"&amp;AW669,R_OKey,1),0)</f>
        <v>0</v>
      </c>
      <c r="BB669" s="80">
        <f>IF(AND(AB669=1,D669="proMX"),IF(AND(MOD(Z669,CFG_BLK)=0,MOD(AA669,CFG_BLK)=0,MOD(AG669,CFG_BLK)=0,AG669&gt;0),1,0),1)</f>
        <v>1</v>
      </c>
      <c r="BC669" s="80" t="str">
        <f>IF(Y669=0,"",IF(NOT(ISNUMBER(B669)),"Falta fecha o fecha inválida",IF(D669="","Falta empresa",IF(AND(D669&lt;&gt;"Malcolm",D669&lt;&gt;"proMX"),"Empresa inválida",IF(OR(INT(B669)&lt;CFG_PSTART,INT(B669)&gt;CFG_PEND),"Fecha fuera del período",IF(OR(NOT(ISNUMBER(Z669)),NOT(ISNUMBER(AA669))),"Falta hora inicio/fin o formato inválido",IF(AB669=0,"Hora inicio = hora fin",IF(AE669&lt;0,"Descanso inválido",IF(AE669&gt;=AD669,"Descanso ≥ duración",IF(AV669=1,"Registro duplicado",IF(AZ669&gt;0,"Se superpone con otro registro "&amp;D669,IF(BB669=0,"inicio, fin y duración neta deben ser múltiplos de "&amp;CFG_BLK&amp;" min",""))))))))))))</f>
        <v/>
      </c>
      <c r="BD669" s="80">
        <f>IF(AND(Y669=1,BC669=""),1,0)</f>
        <v>0</v>
      </c>
      <c r="BE669" s="80">
        <f>IF(AND(BD669=1,AU669=1),1,0)</f>
        <v>0</v>
      </c>
      <c r="BF669" s="80" t="str">
        <f>IF(AND(D669="proMX",BD669=1),IF(R669="","Draft",R669),"")</f>
        <v/>
      </c>
      <c r="BG669" s="80">
        <f>IF(BD669=1,ROUND(AG669/60,6),0)</f>
        <v>0</v>
      </c>
      <c r="BH669" s="80">
        <f>IF(BE669=1,ROUND(AG669/60,6),0)</f>
        <v>0</v>
      </c>
      <c r="BI669" s="80">
        <f>IF(BE669=1,ROUND(AP669/60,6),0)</f>
        <v>0</v>
      </c>
      <c r="BJ669" s="80">
        <f>IF(BE669=1,ROUND(AQ669/60,6),0)</f>
        <v>0</v>
      </c>
      <c r="BK669" s="80">
        <f>IF(BE669=1,ROUND((AR669+AS669)/60,6),0)</f>
        <v>0</v>
      </c>
      <c r="BL669" s="80">
        <f>ROUND(BH669-BK669,6)</f>
        <v>0</v>
      </c>
      <c r="BM669" s="80">
        <f>IF(BE669=1,ROUND(AR669/60,6),0)</f>
        <v>0</v>
      </c>
      <c r="BN669" s="80">
        <f>ROUND(BI669-BM669,6)</f>
        <v>0</v>
      </c>
      <c r="BO669" s="80">
        <f>IF(BE669=1,ROUND(AS669/60,6),0)</f>
        <v>0</v>
      </c>
      <c r="BP669" s="80">
        <f>ROUND(BJ669-BO669,6)</f>
        <v>0</v>
      </c>
      <c r="BQ669" s="80">
        <f>IF(BE669=1,AW669,0)</f>
        <v>0</v>
      </c>
      <c r="BR669" s="80">
        <f>IF(BE669=1,AX669,0)</f>
        <v>0</v>
      </c>
      <c r="BS669" s="80">
        <f>IF(AND(BE669=1,D669="Malcolm",BA669&gt;0),MIN(BH669,SUMPRODUCT((R_Emp="proMX")*(R_EN&gt;0)*((R_EN-(R_EN&gt;BR669)*(R_EN-BR669))&gt;(R_SN+(R_SN&lt;BQ669)*(BQ669-R_SN)))*((R_EN-(R_EN&gt;BR669)*(R_EN-BR669))-(R_SN+(R_SN&lt;BQ669)*(BQ669-R_SN))))/60),0)</f>
        <v>0</v>
      </c>
      <c r="BT669" s="80">
        <f>IF(AND(BE669=1,D669="proMX"),ROUND(BI669*CFG_RATE+BJ669*CFG_OTRATE,6),0)</f>
        <v>0</v>
      </c>
      <c r="BU669" s="80">
        <f>IF(AND(BD669=1,D669="proMX"),ROUND(AG669/CFG_BLK,6),0)</f>
        <v>0</v>
      </c>
      <c r="BV669" s="80" t="str">
        <f>IF(BF669="Approved",IF(ISNUMBER(T669),INT(T669),INT(B669)),"")</f>
        <v/>
      </c>
      <c r="BW669" s="80">
        <f>IF(ISNUMBER(B669),IF(DB_MON="Todos",1,IF(AND(INT(B669)&gt;=DB_MS,INT(B669)&lt;=DB_ME),1,0)),0)</f>
        <v>0</v>
      </c>
      <c r="BX669" s="80">
        <f>IF(DB_PROJ="Todos",1,IF(E669&amp;""=DB_PROJ&amp;"",1,0))</f>
        <v>1</v>
      </c>
      <c r="BY669" s="80">
        <f>BW669*BX669</f>
        <v>0</v>
      </c>
      <c r="BZ669" s="80" t="str">
        <f>IF(Y669=1,F669&amp;IF(AND(F669&amp;""&lt;&gt;"",E669&amp;""&lt;&gt;"")," · ","")&amp;E669,"")</f>
        <v/>
      </c>
      <c r="CA669" s="80" t="str">
        <f>IF(AND(BD669=1,E669&amp;""&lt;&gt;""),IF(COUNTIFS($E$5:E668,E669,$BD$5:BD668,1)=0,MAX($CA$5:CA668)+1,""),"")</f>
        <v/>
      </c>
      <c r="CB669" s="80" t="str">
        <f>IF(AND(BE669=1,D669="Malcolm",E669&amp;""&lt;&gt;""),IF(COUNTIFS($D$5:D668,"Malcolm",$E$5:E668,E669,$BE$5:BE668,1)=0,MAX($CB$5:CB668)+1,""),"")</f>
        <v/>
      </c>
      <c r="CC669" s="80" t="str">
        <f>IF(AND(BD669=1,D669="proMX",E669&amp;""&lt;&gt;""),IF(COUNTIFS($D$5:D668,"proMX",$E$5:E668,E669,$BD$5:BD668,1)=0,MAX($CC$5:CC668)+1,""),"")</f>
        <v/>
      </c>
      <c r="CD669" s="80" t="str">
        <f>IF(AND(BE669=1,D669="Malcolm",F669&amp;""&lt;&gt;""),IF(COUNTIFS($D$5:D668,"Malcolm",$F$5:F668,F669,$BE$5:BE668,1)=0,MAX($CD$5:CD668)+1,""),"")</f>
        <v/>
      </c>
      <c r="CE669" s="80" t="str">
        <f>IF(AND(BD669=1,D669="proMX",F669&amp;""&lt;&gt;""),IF(COUNTIFS($D$5:D668,"proMX",$F$5:F668,F669,$BD$5:BD668,1)=0,MAX($CE$5:CE668)+1,""),"")</f>
        <v/>
      </c>
      <c r="CF669" s="80" t="str">
        <f>IF(AND(D669="proMX",BD669=1),IF(OR(BF669="Draft",BF669="Submitted",BF669="Returned",BF669="Recall Requested"),MAX($CF$5:CF668)+1,""),"")</f>
        <v/>
      </c>
      <c r="CG669" s="80">
        <f>IF(BD669=0,0,IF(D669="Malcolm",1,MATCH(BF669,{"Draft","Submitted","Approved","Returned","Recall Requested","Cancelled"},0)+1))</f>
        <v>0</v>
      </c>
      <c r="CH669" s="80">
        <f>IF(AND(BF669="Submitted",ISNUMBER(V669)),IF(V669&gt;CFG_MAXD,1,0),0)</f>
        <v>0</v>
      </c>
    </row>
    <row r="670">
      <c r="A670" s="71" t="str">
        <f>IF(Y670=1,ROW()-5,"")</f>
        <v/>
      </c>
      <c r="B670" s="72" t="n"/>
      <c r="C670" s="71" t="str">
        <f>IF(ISNUMBER(B670),CHOOSE(WEEKDAY(B670,2),"Lun","Mar","Mié","Jue","Vie","Sáb","Dom"),"")</f>
        <v/>
      </c>
      <c r="D670" s="73" t="n"/>
      <c r="E670" s="74" t="n"/>
      <c r="F670" s="74" t="n"/>
      <c r="G670" s="74" t="n"/>
      <c r="H670" s="75" t="n"/>
      <c r="I670" s="75" t="n"/>
      <c r="J670" s="76" t="n"/>
      <c r="K670" s="77" t="str">
        <f>IF(AB670=1,ROUND(AG670/60,4),"")</f>
        <v/>
      </c>
      <c r="L670" s="77" t="str">
        <f>IF(BD670=1,ROUND(AP670/60,4),"")</f>
        <v/>
      </c>
      <c r="M670" s="77" t="str">
        <f>IF(BD670=1,ROUND(AQ670/60,4),"")</f>
        <v/>
      </c>
      <c r="N670" s="71" t="str">
        <f>IF(AND(D670="proMX",AB670=1),ROUND(AG670/CFG_BLK,2),"")</f>
        <v/>
      </c>
      <c r="O670" s="77" t="str">
        <f>IF(D670="proMX",IF(BD670=1,ROUND(AG670/60,4),0),"")</f>
        <v/>
      </c>
      <c r="P670" s="78" t="str">
        <f>IF(Y670=0,"",IF(BD670=1,"OK",IF(D670="proMX","Revisar bloques: ","Revisar: ")&amp;BC670))</f>
        <v/>
      </c>
      <c r="Q670" s="78" t="str">
        <f>IF(NOT(ISNUMBER(B670)),"",IF(COUNTIFS(FER_F,INT(B670))&gt;0,"Feriado"&amp;IF(AH670=1," (laborable)"," (no laborable)"),IF(AH670=1,"Laborable",IF(WEEKDAY(B670,2)&gt;5,"Fin de semana","No laborable"))))</f>
        <v/>
      </c>
      <c r="R670" s="73" t="n"/>
      <c r="S670" s="72" t="n"/>
      <c r="T670" s="72" t="n"/>
      <c r="U670" s="74" t="n"/>
      <c r="V670" s="79" t="str">
        <f>IF(AND(D670="proMX",OR(R670="Submitted",R670="Recall Requested"),ISNUMBER(S670)),CFG_TODAY-INT(S670),"")</f>
        <v/>
      </c>
      <c r="W670" s="78" t="str">
        <f>IF(BD670=0,"",IF(BA670&gt;0,"⚠ Se superpone con un registro de la otra empresa",IF(D670="Malcolm",IF(COUNTA(R670,S670,T670)&gt;0,"Estado/fechas proMX se ignoran en Malcolm",""),IF(BF670="Cancelled","Cancelado: excluido de totales",IF(R670="","Sin estado: se trata como Draft",IF(BF670="Submitted",IF(ISNUMBER(V670),IF(V670&gt;CFG_MAXD,"⚠ "&amp;V670&amp;" días en Submitted (máx. "&amp;CFG_MAXD&amp;")",""),"Falta fecha de envío"),IF(BF670="Returned","⚠ Devuelto: corregir y reenviar",IF(BF670="Recall Requested","Retirada solicitada: pendiente",IF(AND(BF670="Approved",NOT(ISNUMBER(T670))),"Falta fecha de aprobación",IF(AND(ISNUMBER(S670),ISNUMBER(T670),T670&lt;S670),"Aprobación anterior al envío","")))))))))</f>
        <v/>
      </c>
      <c r="Y670" s="80">
        <f>IF(COUNTA(B670,D670,E670,F670,G670,H670,I670,J670,R670,S670,T670)&gt;0,1,0)</f>
        <v>0</v>
      </c>
      <c r="Z670" s="80" t="str">
        <f>IF(AND(ISNUMBER(H670),H670&gt;=0,H670&lt;1),ROUND(H670*1440,0),"")</f>
        <v/>
      </c>
      <c r="AA670" s="80" t="str">
        <f>IF(AND(ISNUMBER(I670),I670&gt;=0,I670&lt;1),ROUND(I670*1440,0),"")</f>
        <v/>
      </c>
      <c r="AB670" s="80">
        <f>IF(AND(ISNUMBER(B670),D670&lt;&gt;"",ISNUMBER(Z670),ISNUMBER(AA670)),IF(Z670=AA670,0,1),0)</f>
        <v>0</v>
      </c>
      <c r="AC670" s="80">
        <f>IF(AB670=1,IF(AA670&lt;Z670,1,0),0)</f>
        <v>0</v>
      </c>
      <c r="AD670" s="80">
        <f>IF(AB670=1,IF(AC670=1,1440-Z670+AA670,AA670-Z670),0)</f>
        <v>0</v>
      </c>
      <c r="AE670" s="80">
        <f>IF(J670="",0,IF(ISNUMBER(J670),J670,-1))</f>
        <v>0</v>
      </c>
      <c r="AF670" s="80">
        <f>MIN(MAX(0,AE670),AD670)</f>
        <v>0</v>
      </c>
      <c r="AG670" s="80">
        <f>MAX(0,AD670-MAX(0,AE670))</f>
        <v>0</v>
      </c>
      <c r="AH670" s="80">
        <f>IF(ISNUMBER(B670),IF(AND(INDEX(CFG_WDAYS,WEEKDAY(INT(B670),2))="Sí",IF(D670="proMX",COUNTIFS(FER_F,INT(B670),FER_NLP,"Sí"),COUNTIFS(FER_F,INT(B670),FER_NLM,"Sí"))=0),1,0),0)</f>
        <v>0</v>
      </c>
      <c r="AI670" s="80">
        <f>IF(AC670=1,IF(AND(INDEX(CFG_WDAYS,WEEKDAY(INT(B670)+1,2))="Sí",IF(D670="proMX",COUNTIFS(FER_F,INT(B670)+1,FER_NLP,"Sí"),COUNTIFS(FER_F,INT(B670)+1,FER_NLM,"Sí"))=0),1,0),0)</f>
        <v>0</v>
      </c>
      <c r="AJ670" s="80">
        <f>IF(AC670=1,1440-Z670,AD670)</f>
        <v>0</v>
      </c>
      <c r="AK670" s="80">
        <f>IF(AND(AB670=1,AH670=1),MAX(0,MIN(IF(AC670=1,1440,AA670),CFG_WEM)-MAX(Z670,CFG_WSM)),0)</f>
        <v>0</v>
      </c>
      <c r="AL670" s="80">
        <f>IF(AND(AC670=1,AI670=1),MAX(0,MIN(AA670,CFG_WEM)-CFG_WSM),0)</f>
        <v>0</v>
      </c>
      <c r="AM670" s="80">
        <f>AK670+AL670</f>
        <v>0</v>
      </c>
      <c r="AN670" s="80">
        <f>IF(CFG_BRK="Proporcional",IF(AD670=0,0,AF670*AM670/AD670),IF(CFG_BRK="Extras primero",MIN(AM670,MAX(0,AF670-(AD670-AM670))),MIN(AF670,AM670)))</f>
        <v>0</v>
      </c>
      <c r="AO670" s="80">
        <f>AF670-AN670</f>
        <v>0</v>
      </c>
      <c r="AP670" s="80">
        <f>AM670-AN670</f>
        <v>0</v>
      </c>
      <c r="AQ670" s="80">
        <f>AD670-AM670-AO670</f>
        <v>0</v>
      </c>
      <c r="AR670" s="80">
        <f>IF(AM670=0,0,AK670-AN670*AK670/AM670)</f>
        <v>0</v>
      </c>
      <c r="AS670" s="80">
        <f>IF(AD670-AM670=0,0,(AJ670-AK670)-AO670*(AJ670-AK670)/(AD670-AM670))</f>
        <v>0</v>
      </c>
      <c r="AT670" s="80" t="str">
        <f>IF(AC670=1,INT(B670)+1,"")</f>
        <v/>
      </c>
      <c r="AU670" s="80">
        <f>IF(AND(D670="proMX",R670="Cancelled"),0,1)</f>
        <v>1</v>
      </c>
      <c r="AV670" s="80">
        <f>IF(AND(AB670=1,AU670=1),IF(COUNTIFS($D$5:D669,D670,$B$5:B669,B670,$Z$5:Z669,Z670,$AA$5:AA669,AA670,$F$5:F669,F670&amp;"",$AU$5:AU669,1)&gt;0,1,0),0)</f>
        <v>0</v>
      </c>
      <c r="AW670" s="80" t="str">
        <f>IF(AB670=1,INT(B670)*1440+Z670,"")</f>
        <v/>
      </c>
      <c r="AX670" s="80" t="str">
        <f>IF(AB670=1,AW670+AD670,"")</f>
        <v/>
      </c>
      <c r="AY670" s="80">
        <f>IF(AND(AB670=1,AV670=0,AU670=1),1,0)</f>
        <v>0</v>
      </c>
      <c r="AZ670" s="80">
        <f>IF(AY670=1,COUNTIFS(R_Emp,D670,R_SAbs,"&lt;"&amp;AX670,R_EAbs,"&gt;"&amp;AW670,R_OKey,1)-1,0)</f>
        <v>0</v>
      </c>
      <c r="BA670" s="80">
        <f>IF(AY670=1,COUNTIFS(R_Emp,"&lt;&gt;"&amp;D670,R_SAbs,"&lt;"&amp;AX670,R_EAbs,"&gt;"&amp;AW670,R_OKey,1),0)</f>
        <v>0</v>
      </c>
      <c r="BB670" s="80">
        <f>IF(AND(AB670=1,D670="proMX"),IF(AND(MOD(Z670,CFG_BLK)=0,MOD(AA670,CFG_BLK)=0,MOD(AG670,CFG_BLK)=0,AG670&gt;0),1,0),1)</f>
        <v>1</v>
      </c>
      <c r="BC670" s="80" t="str">
        <f>IF(Y670=0,"",IF(NOT(ISNUMBER(B670)),"Falta fecha o fecha inválida",IF(D670="","Falta empresa",IF(AND(D670&lt;&gt;"Malcolm",D670&lt;&gt;"proMX"),"Empresa inválida",IF(OR(INT(B670)&lt;CFG_PSTART,INT(B670)&gt;CFG_PEND),"Fecha fuera del período",IF(OR(NOT(ISNUMBER(Z670)),NOT(ISNUMBER(AA670))),"Falta hora inicio/fin o formato inválido",IF(AB670=0,"Hora inicio = hora fin",IF(AE670&lt;0,"Descanso inválido",IF(AE670&gt;=AD670,"Descanso ≥ duración",IF(AV670=1,"Registro duplicado",IF(AZ670&gt;0,"Se superpone con otro registro "&amp;D670,IF(BB670=0,"inicio, fin y duración neta deben ser múltiplos de "&amp;CFG_BLK&amp;" min",""))))))))))))</f>
        <v/>
      </c>
      <c r="BD670" s="80">
        <f>IF(AND(Y670=1,BC670=""),1,0)</f>
        <v>0</v>
      </c>
      <c r="BE670" s="80">
        <f>IF(AND(BD670=1,AU670=1),1,0)</f>
        <v>0</v>
      </c>
      <c r="BF670" s="80" t="str">
        <f>IF(AND(D670="proMX",BD670=1),IF(R670="","Draft",R670),"")</f>
        <v/>
      </c>
      <c r="BG670" s="80">
        <f>IF(BD670=1,ROUND(AG670/60,6),0)</f>
        <v>0</v>
      </c>
      <c r="BH670" s="80">
        <f>IF(BE670=1,ROUND(AG670/60,6),0)</f>
        <v>0</v>
      </c>
      <c r="BI670" s="80">
        <f>IF(BE670=1,ROUND(AP670/60,6),0)</f>
        <v>0</v>
      </c>
      <c r="BJ670" s="80">
        <f>IF(BE670=1,ROUND(AQ670/60,6),0)</f>
        <v>0</v>
      </c>
      <c r="BK670" s="80">
        <f>IF(BE670=1,ROUND((AR670+AS670)/60,6),0)</f>
        <v>0</v>
      </c>
      <c r="BL670" s="80">
        <f>ROUND(BH670-BK670,6)</f>
        <v>0</v>
      </c>
      <c r="BM670" s="80">
        <f>IF(BE670=1,ROUND(AR670/60,6),0)</f>
        <v>0</v>
      </c>
      <c r="BN670" s="80">
        <f>ROUND(BI670-BM670,6)</f>
        <v>0</v>
      </c>
      <c r="BO670" s="80">
        <f>IF(BE670=1,ROUND(AS670/60,6),0)</f>
        <v>0</v>
      </c>
      <c r="BP670" s="80">
        <f>ROUND(BJ670-BO670,6)</f>
        <v>0</v>
      </c>
      <c r="BQ670" s="80">
        <f>IF(BE670=1,AW670,0)</f>
        <v>0</v>
      </c>
      <c r="BR670" s="80">
        <f>IF(BE670=1,AX670,0)</f>
        <v>0</v>
      </c>
      <c r="BS670" s="80">
        <f>IF(AND(BE670=1,D670="Malcolm",BA670&gt;0),MIN(BH670,SUMPRODUCT((R_Emp="proMX")*(R_EN&gt;0)*((R_EN-(R_EN&gt;BR670)*(R_EN-BR670))&gt;(R_SN+(R_SN&lt;BQ670)*(BQ670-R_SN)))*((R_EN-(R_EN&gt;BR670)*(R_EN-BR670))-(R_SN+(R_SN&lt;BQ670)*(BQ670-R_SN))))/60),0)</f>
        <v>0</v>
      </c>
      <c r="BT670" s="80">
        <f>IF(AND(BE670=1,D670="proMX"),ROUND(BI670*CFG_RATE+BJ670*CFG_OTRATE,6),0)</f>
        <v>0</v>
      </c>
      <c r="BU670" s="80">
        <f>IF(AND(BD670=1,D670="proMX"),ROUND(AG670/CFG_BLK,6),0)</f>
        <v>0</v>
      </c>
      <c r="BV670" s="80" t="str">
        <f>IF(BF670="Approved",IF(ISNUMBER(T670),INT(T670),INT(B670)),"")</f>
        <v/>
      </c>
      <c r="BW670" s="80">
        <f>IF(ISNUMBER(B670),IF(DB_MON="Todos",1,IF(AND(INT(B670)&gt;=DB_MS,INT(B670)&lt;=DB_ME),1,0)),0)</f>
        <v>0</v>
      </c>
      <c r="BX670" s="80">
        <f>IF(DB_PROJ="Todos",1,IF(E670&amp;""=DB_PROJ&amp;"",1,0))</f>
        <v>1</v>
      </c>
      <c r="BY670" s="80">
        <f>BW670*BX670</f>
        <v>0</v>
      </c>
      <c r="BZ670" s="80" t="str">
        <f>IF(Y670=1,F670&amp;IF(AND(F670&amp;""&lt;&gt;"",E670&amp;""&lt;&gt;"")," · ","")&amp;E670,"")</f>
        <v/>
      </c>
      <c r="CA670" s="80" t="str">
        <f>IF(AND(BD670=1,E670&amp;""&lt;&gt;""),IF(COUNTIFS($E$5:E669,E670,$BD$5:BD669,1)=0,MAX($CA$5:CA669)+1,""),"")</f>
        <v/>
      </c>
      <c r="CB670" s="80" t="str">
        <f>IF(AND(BE670=1,D670="Malcolm",E670&amp;""&lt;&gt;""),IF(COUNTIFS($D$5:D669,"Malcolm",$E$5:E669,E670,$BE$5:BE669,1)=0,MAX($CB$5:CB669)+1,""),"")</f>
        <v/>
      </c>
      <c r="CC670" s="80" t="str">
        <f>IF(AND(BD670=1,D670="proMX",E670&amp;""&lt;&gt;""),IF(COUNTIFS($D$5:D669,"proMX",$E$5:E669,E670,$BD$5:BD669,1)=0,MAX($CC$5:CC669)+1,""),"")</f>
        <v/>
      </c>
      <c r="CD670" s="80" t="str">
        <f>IF(AND(BE670=1,D670="Malcolm",F670&amp;""&lt;&gt;""),IF(COUNTIFS($D$5:D669,"Malcolm",$F$5:F669,F670,$BE$5:BE669,1)=0,MAX($CD$5:CD669)+1,""),"")</f>
        <v/>
      </c>
      <c r="CE670" s="80" t="str">
        <f>IF(AND(BD670=1,D670="proMX",F670&amp;""&lt;&gt;""),IF(COUNTIFS($D$5:D669,"proMX",$F$5:F669,F670,$BD$5:BD669,1)=0,MAX($CE$5:CE669)+1,""),"")</f>
        <v/>
      </c>
      <c r="CF670" s="80" t="str">
        <f>IF(AND(D670="proMX",BD670=1),IF(OR(BF670="Draft",BF670="Submitted",BF670="Returned",BF670="Recall Requested"),MAX($CF$5:CF669)+1,""),"")</f>
        <v/>
      </c>
      <c r="CG670" s="80">
        <f>IF(BD670=0,0,IF(D670="Malcolm",1,MATCH(BF670,{"Draft","Submitted","Approved","Returned","Recall Requested","Cancelled"},0)+1))</f>
        <v>0</v>
      </c>
      <c r="CH670" s="80">
        <f>IF(AND(BF670="Submitted",ISNUMBER(V670)),IF(V670&gt;CFG_MAXD,1,0),0)</f>
        <v>0</v>
      </c>
    </row>
    <row r="671">
      <c r="A671" s="71" t="str">
        <f>IF(Y671=1,ROW()-5,"")</f>
        <v/>
      </c>
      <c r="B671" s="72" t="n"/>
      <c r="C671" s="71" t="str">
        <f>IF(ISNUMBER(B671),CHOOSE(WEEKDAY(B671,2),"Lun","Mar","Mié","Jue","Vie","Sáb","Dom"),"")</f>
        <v/>
      </c>
      <c r="D671" s="73" t="n"/>
      <c r="E671" s="74" t="n"/>
      <c r="F671" s="74" t="n"/>
      <c r="G671" s="74" t="n"/>
      <c r="H671" s="75" t="n"/>
      <c r="I671" s="75" t="n"/>
      <c r="J671" s="76" t="n"/>
      <c r="K671" s="77" t="str">
        <f>IF(AB671=1,ROUND(AG671/60,4),"")</f>
        <v/>
      </c>
      <c r="L671" s="77" t="str">
        <f>IF(BD671=1,ROUND(AP671/60,4),"")</f>
        <v/>
      </c>
      <c r="M671" s="77" t="str">
        <f>IF(BD671=1,ROUND(AQ671/60,4),"")</f>
        <v/>
      </c>
      <c r="N671" s="71" t="str">
        <f>IF(AND(D671="proMX",AB671=1),ROUND(AG671/CFG_BLK,2),"")</f>
        <v/>
      </c>
      <c r="O671" s="77" t="str">
        <f>IF(D671="proMX",IF(BD671=1,ROUND(AG671/60,4),0),"")</f>
        <v/>
      </c>
      <c r="P671" s="78" t="str">
        <f>IF(Y671=0,"",IF(BD671=1,"OK",IF(D671="proMX","Revisar bloques: ","Revisar: ")&amp;BC671))</f>
        <v/>
      </c>
      <c r="Q671" s="78" t="str">
        <f>IF(NOT(ISNUMBER(B671)),"",IF(COUNTIFS(FER_F,INT(B671))&gt;0,"Feriado"&amp;IF(AH671=1," (laborable)"," (no laborable)"),IF(AH671=1,"Laborable",IF(WEEKDAY(B671,2)&gt;5,"Fin de semana","No laborable"))))</f>
        <v/>
      </c>
      <c r="R671" s="73" t="n"/>
      <c r="S671" s="72" t="n"/>
      <c r="T671" s="72" t="n"/>
      <c r="U671" s="74" t="n"/>
      <c r="V671" s="79" t="str">
        <f>IF(AND(D671="proMX",OR(R671="Submitted",R671="Recall Requested"),ISNUMBER(S671)),CFG_TODAY-INT(S671),"")</f>
        <v/>
      </c>
      <c r="W671" s="78" t="str">
        <f>IF(BD671=0,"",IF(BA671&gt;0,"⚠ Se superpone con un registro de la otra empresa",IF(D671="Malcolm",IF(COUNTA(R671,S671,T671)&gt;0,"Estado/fechas proMX se ignoran en Malcolm",""),IF(BF671="Cancelled","Cancelado: excluido de totales",IF(R671="","Sin estado: se trata como Draft",IF(BF671="Submitted",IF(ISNUMBER(V671),IF(V671&gt;CFG_MAXD,"⚠ "&amp;V671&amp;" días en Submitted (máx. "&amp;CFG_MAXD&amp;")",""),"Falta fecha de envío"),IF(BF671="Returned","⚠ Devuelto: corregir y reenviar",IF(BF671="Recall Requested","Retirada solicitada: pendiente",IF(AND(BF671="Approved",NOT(ISNUMBER(T671))),"Falta fecha de aprobación",IF(AND(ISNUMBER(S671),ISNUMBER(T671),T671&lt;S671),"Aprobación anterior al envío","")))))))))</f>
        <v/>
      </c>
      <c r="Y671" s="80">
        <f>IF(COUNTA(B671,D671,E671,F671,G671,H671,I671,J671,R671,S671,T671)&gt;0,1,0)</f>
        <v>0</v>
      </c>
      <c r="Z671" s="80" t="str">
        <f>IF(AND(ISNUMBER(H671),H671&gt;=0,H671&lt;1),ROUND(H671*1440,0),"")</f>
        <v/>
      </c>
      <c r="AA671" s="80" t="str">
        <f>IF(AND(ISNUMBER(I671),I671&gt;=0,I671&lt;1),ROUND(I671*1440,0),"")</f>
        <v/>
      </c>
      <c r="AB671" s="80">
        <f>IF(AND(ISNUMBER(B671),D671&lt;&gt;"",ISNUMBER(Z671),ISNUMBER(AA671)),IF(Z671=AA671,0,1),0)</f>
        <v>0</v>
      </c>
      <c r="AC671" s="80">
        <f>IF(AB671=1,IF(AA671&lt;Z671,1,0),0)</f>
        <v>0</v>
      </c>
      <c r="AD671" s="80">
        <f>IF(AB671=1,IF(AC671=1,1440-Z671+AA671,AA671-Z671),0)</f>
        <v>0</v>
      </c>
      <c r="AE671" s="80">
        <f>IF(J671="",0,IF(ISNUMBER(J671),J671,-1))</f>
        <v>0</v>
      </c>
      <c r="AF671" s="80">
        <f>MIN(MAX(0,AE671),AD671)</f>
        <v>0</v>
      </c>
      <c r="AG671" s="80">
        <f>MAX(0,AD671-MAX(0,AE671))</f>
        <v>0</v>
      </c>
      <c r="AH671" s="80">
        <f>IF(ISNUMBER(B671),IF(AND(INDEX(CFG_WDAYS,WEEKDAY(INT(B671),2))="Sí",IF(D671="proMX",COUNTIFS(FER_F,INT(B671),FER_NLP,"Sí"),COUNTIFS(FER_F,INT(B671),FER_NLM,"Sí"))=0),1,0),0)</f>
        <v>0</v>
      </c>
      <c r="AI671" s="80">
        <f>IF(AC671=1,IF(AND(INDEX(CFG_WDAYS,WEEKDAY(INT(B671)+1,2))="Sí",IF(D671="proMX",COUNTIFS(FER_F,INT(B671)+1,FER_NLP,"Sí"),COUNTIFS(FER_F,INT(B671)+1,FER_NLM,"Sí"))=0),1,0),0)</f>
        <v>0</v>
      </c>
      <c r="AJ671" s="80">
        <f>IF(AC671=1,1440-Z671,AD671)</f>
        <v>0</v>
      </c>
      <c r="AK671" s="80">
        <f>IF(AND(AB671=1,AH671=1),MAX(0,MIN(IF(AC671=1,1440,AA671),CFG_WEM)-MAX(Z671,CFG_WSM)),0)</f>
        <v>0</v>
      </c>
      <c r="AL671" s="80">
        <f>IF(AND(AC671=1,AI671=1),MAX(0,MIN(AA671,CFG_WEM)-CFG_WSM),0)</f>
        <v>0</v>
      </c>
      <c r="AM671" s="80">
        <f>AK671+AL671</f>
        <v>0</v>
      </c>
      <c r="AN671" s="80">
        <f>IF(CFG_BRK="Proporcional",IF(AD671=0,0,AF671*AM671/AD671),IF(CFG_BRK="Extras primero",MIN(AM671,MAX(0,AF671-(AD671-AM671))),MIN(AF671,AM671)))</f>
        <v>0</v>
      </c>
      <c r="AO671" s="80">
        <f>AF671-AN671</f>
        <v>0</v>
      </c>
      <c r="AP671" s="80">
        <f>AM671-AN671</f>
        <v>0</v>
      </c>
      <c r="AQ671" s="80">
        <f>AD671-AM671-AO671</f>
        <v>0</v>
      </c>
      <c r="AR671" s="80">
        <f>IF(AM671=0,0,AK671-AN671*AK671/AM671)</f>
        <v>0</v>
      </c>
      <c r="AS671" s="80">
        <f>IF(AD671-AM671=0,0,(AJ671-AK671)-AO671*(AJ671-AK671)/(AD671-AM671))</f>
        <v>0</v>
      </c>
      <c r="AT671" s="80" t="str">
        <f>IF(AC671=1,INT(B671)+1,"")</f>
        <v/>
      </c>
      <c r="AU671" s="80">
        <f>IF(AND(D671="proMX",R671="Cancelled"),0,1)</f>
        <v>1</v>
      </c>
      <c r="AV671" s="80">
        <f>IF(AND(AB671=1,AU671=1),IF(COUNTIFS($D$5:D670,D671,$B$5:B670,B671,$Z$5:Z670,Z671,$AA$5:AA670,AA671,$F$5:F670,F671&amp;"",$AU$5:AU670,1)&gt;0,1,0),0)</f>
        <v>0</v>
      </c>
      <c r="AW671" s="80" t="str">
        <f>IF(AB671=1,INT(B671)*1440+Z671,"")</f>
        <v/>
      </c>
      <c r="AX671" s="80" t="str">
        <f>IF(AB671=1,AW671+AD671,"")</f>
        <v/>
      </c>
      <c r="AY671" s="80">
        <f>IF(AND(AB671=1,AV671=0,AU671=1),1,0)</f>
        <v>0</v>
      </c>
      <c r="AZ671" s="80">
        <f>IF(AY671=1,COUNTIFS(R_Emp,D671,R_SAbs,"&lt;"&amp;AX671,R_EAbs,"&gt;"&amp;AW671,R_OKey,1)-1,0)</f>
        <v>0</v>
      </c>
      <c r="BA671" s="80">
        <f>IF(AY671=1,COUNTIFS(R_Emp,"&lt;&gt;"&amp;D671,R_SAbs,"&lt;"&amp;AX671,R_EAbs,"&gt;"&amp;AW671,R_OKey,1),0)</f>
        <v>0</v>
      </c>
      <c r="BB671" s="80">
        <f>IF(AND(AB671=1,D671="proMX"),IF(AND(MOD(Z671,CFG_BLK)=0,MOD(AA671,CFG_BLK)=0,MOD(AG671,CFG_BLK)=0,AG671&gt;0),1,0),1)</f>
        <v>1</v>
      </c>
      <c r="BC671" s="80" t="str">
        <f>IF(Y671=0,"",IF(NOT(ISNUMBER(B671)),"Falta fecha o fecha inválida",IF(D671="","Falta empresa",IF(AND(D671&lt;&gt;"Malcolm",D671&lt;&gt;"proMX"),"Empresa inválida",IF(OR(INT(B671)&lt;CFG_PSTART,INT(B671)&gt;CFG_PEND),"Fecha fuera del período",IF(OR(NOT(ISNUMBER(Z671)),NOT(ISNUMBER(AA671))),"Falta hora inicio/fin o formato inválido",IF(AB671=0,"Hora inicio = hora fin",IF(AE671&lt;0,"Descanso inválido",IF(AE671&gt;=AD671,"Descanso ≥ duración",IF(AV671=1,"Registro duplicado",IF(AZ671&gt;0,"Se superpone con otro registro "&amp;D671,IF(BB671=0,"inicio, fin y duración neta deben ser múltiplos de "&amp;CFG_BLK&amp;" min",""))))))))))))</f>
        <v/>
      </c>
      <c r="BD671" s="80">
        <f>IF(AND(Y671=1,BC671=""),1,0)</f>
        <v>0</v>
      </c>
      <c r="BE671" s="80">
        <f>IF(AND(BD671=1,AU671=1),1,0)</f>
        <v>0</v>
      </c>
      <c r="BF671" s="80" t="str">
        <f>IF(AND(D671="proMX",BD671=1),IF(R671="","Draft",R671),"")</f>
        <v/>
      </c>
      <c r="BG671" s="80">
        <f>IF(BD671=1,ROUND(AG671/60,6),0)</f>
        <v>0</v>
      </c>
      <c r="BH671" s="80">
        <f>IF(BE671=1,ROUND(AG671/60,6),0)</f>
        <v>0</v>
      </c>
      <c r="BI671" s="80">
        <f>IF(BE671=1,ROUND(AP671/60,6),0)</f>
        <v>0</v>
      </c>
      <c r="BJ671" s="80">
        <f>IF(BE671=1,ROUND(AQ671/60,6),0)</f>
        <v>0</v>
      </c>
      <c r="BK671" s="80">
        <f>IF(BE671=1,ROUND((AR671+AS671)/60,6),0)</f>
        <v>0</v>
      </c>
      <c r="BL671" s="80">
        <f>ROUND(BH671-BK671,6)</f>
        <v>0</v>
      </c>
      <c r="BM671" s="80">
        <f>IF(BE671=1,ROUND(AR671/60,6),0)</f>
        <v>0</v>
      </c>
      <c r="BN671" s="80">
        <f>ROUND(BI671-BM671,6)</f>
        <v>0</v>
      </c>
      <c r="BO671" s="80">
        <f>IF(BE671=1,ROUND(AS671/60,6),0)</f>
        <v>0</v>
      </c>
      <c r="BP671" s="80">
        <f>ROUND(BJ671-BO671,6)</f>
        <v>0</v>
      </c>
      <c r="BQ671" s="80">
        <f>IF(BE671=1,AW671,0)</f>
        <v>0</v>
      </c>
      <c r="BR671" s="80">
        <f>IF(BE671=1,AX671,0)</f>
        <v>0</v>
      </c>
      <c r="BS671" s="80">
        <f>IF(AND(BE671=1,D671="Malcolm",BA671&gt;0),MIN(BH671,SUMPRODUCT((R_Emp="proMX")*(R_EN&gt;0)*((R_EN-(R_EN&gt;BR671)*(R_EN-BR671))&gt;(R_SN+(R_SN&lt;BQ671)*(BQ671-R_SN)))*((R_EN-(R_EN&gt;BR671)*(R_EN-BR671))-(R_SN+(R_SN&lt;BQ671)*(BQ671-R_SN))))/60),0)</f>
        <v>0</v>
      </c>
      <c r="BT671" s="80">
        <f>IF(AND(BE671=1,D671="proMX"),ROUND(BI671*CFG_RATE+BJ671*CFG_OTRATE,6),0)</f>
        <v>0</v>
      </c>
      <c r="BU671" s="80">
        <f>IF(AND(BD671=1,D671="proMX"),ROUND(AG671/CFG_BLK,6),0)</f>
        <v>0</v>
      </c>
      <c r="BV671" s="80" t="str">
        <f>IF(BF671="Approved",IF(ISNUMBER(T671),INT(T671),INT(B671)),"")</f>
        <v/>
      </c>
      <c r="BW671" s="80">
        <f>IF(ISNUMBER(B671),IF(DB_MON="Todos",1,IF(AND(INT(B671)&gt;=DB_MS,INT(B671)&lt;=DB_ME),1,0)),0)</f>
        <v>0</v>
      </c>
      <c r="BX671" s="80">
        <f>IF(DB_PROJ="Todos",1,IF(E671&amp;""=DB_PROJ&amp;"",1,0))</f>
        <v>1</v>
      </c>
      <c r="BY671" s="80">
        <f>BW671*BX671</f>
        <v>0</v>
      </c>
      <c r="BZ671" s="80" t="str">
        <f>IF(Y671=1,F671&amp;IF(AND(F671&amp;""&lt;&gt;"",E671&amp;""&lt;&gt;"")," · ","")&amp;E671,"")</f>
        <v/>
      </c>
      <c r="CA671" s="80" t="str">
        <f>IF(AND(BD671=1,E671&amp;""&lt;&gt;""),IF(COUNTIFS($E$5:E670,E671,$BD$5:BD670,1)=0,MAX($CA$5:CA670)+1,""),"")</f>
        <v/>
      </c>
      <c r="CB671" s="80" t="str">
        <f>IF(AND(BE671=1,D671="Malcolm",E671&amp;""&lt;&gt;""),IF(COUNTIFS($D$5:D670,"Malcolm",$E$5:E670,E671,$BE$5:BE670,1)=0,MAX($CB$5:CB670)+1,""),"")</f>
        <v/>
      </c>
      <c r="CC671" s="80" t="str">
        <f>IF(AND(BD671=1,D671="proMX",E671&amp;""&lt;&gt;""),IF(COUNTIFS($D$5:D670,"proMX",$E$5:E670,E671,$BD$5:BD670,1)=0,MAX($CC$5:CC670)+1,""),"")</f>
        <v/>
      </c>
      <c r="CD671" s="80" t="str">
        <f>IF(AND(BE671=1,D671="Malcolm",F671&amp;""&lt;&gt;""),IF(COUNTIFS($D$5:D670,"Malcolm",$F$5:F670,F671,$BE$5:BE670,1)=0,MAX($CD$5:CD670)+1,""),"")</f>
        <v/>
      </c>
      <c r="CE671" s="80" t="str">
        <f>IF(AND(BD671=1,D671="proMX",F671&amp;""&lt;&gt;""),IF(COUNTIFS($D$5:D670,"proMX",$F$5:F670,F671,$BD$5:BD670,1)=0,MAX($CE$5:CE670)+1,""),"")</f>
        <v/>
      </c>
      <c r="CF671" s="80" t="str">
        <f>IF(AND(D671="proMX",BD671=1),IF(OR(BF671="Draft",BF671="Submitted",BF671="Returned",BF671="Recall Requested"),MAX($CF$5:CF670)+1,""),"")</f>
        <v/>
      </c>
      <c r="CG671" s="80">
        <f>IF(BD671=0,0,IF(D671="Malcolm",1,MATCH(BF671,{"Draft","Submitted","Approved","Returned","Recall Requested","Cancelled"},0)+1))</f>
        <v>0</v>
      </c>
      <c r="CH671" s="80">
        <f>IF(AND(BF671="Submitted",ISNUMBER(V671)),IF(V671&gt;CFG_MAXD,1,0),0)</f>
        <v>0</v>
      </c>
    </row>
    <row r="672">
      <c r="A672" s="71" t="str">
        <f>IF(Y672=1,ROW()-5,"")</f>
        <v/>
      </c>
      <c r="B672" s="72" t="n"/>
      <c r="C672" s="71" t="str">
        <f>IF(ISNUMBER(B672),CHOOSE(WEEKDAY(B672,2),"Lun","Mar","Mié","Jue","Vie","Sáb","Dom"),"")</f>
        <v/>
      </c>
      <c r="D672" s="73" t="n"/>
      <c r="E672" s="74" t="n"/>
      <c r="F672" s="74" t="n"/>
      <c r="G672" s="74" t="n"/>
      <c r="H672" s="75" t="n"/>
      <c r="I672" s="75" t="n"/>
      <c r="J672" s="76" t="n"/>
      <c r="K672" s="77" t="str">
        <f>IF(AB672=1,ROUND(AG672/60,4),"")</f>
        <v/>
      </c>
      <c r="L672" s="77" t="str">
        <f>IF(BD672=1,ROUND(AP672/60,4),"")</f>
        <v/>
      </c>
      <c r="M672" s="77" t="str">
        <f>IF(BD672=1,ROUND(AQ672/60,4),"")</f>
        <v/>
      </c>
      <c r="N672" s="71" t="str">
        <f>IF(AND(D672="proMX",AB672=1),ROUND(AG672/CFG_BLK,2),"")</f>
        <v/>
      </c>
      <c r="O672" s="77" t="str">
        <f>IF(D672="proMX",IF(BD672=1,ROUND(AG672/60,4),0),"")</f>
        <v/>
      </c>
      <c r="P672" s="78" t="str">
        <f>IF(Y672=0,"",IF(BD672=1,"OK",IF(D672="proMX","Revisar bloques: ","Revisar: ")&amp;BC672))</f>
        <v/>
      </c>
      <c r="Q672" s="78" t="str">
        <f>IF(NOT(ISNUMBER(B672)),"",IF(COUNTIFS(FER_F,INT(B672))&gt;0,"Feriado"&amp;IF(AH672=1," (laborable)"," (no laborable)"),IF(AH672=1,"Laborable",IF(WEEKDAY(B672,2)&gt;5,"Fin de semana","No laborable"))))</f>
        <v/>
      </c>
      <c r="R672" s="73" t="n"/>
      <c r="S672" s="72" t="n"/>
      <c r="T672" s="72" t="n"/>
      <c r="U672" s="74" t="n"/>
      <c r="V672" s="79" t="str">
        <f>IF(AND(D672="proMX",OR(R672="Submitted",R672="Recall Requested"),ISNUMBER(S672)),CFG_TODAY-INT(S672),"")</f>
        <v/>
      </c>
      <c r="W672" s="78" t="str">
        <f>IF(BD672=0,"",IF(BA672&gt;0,"⚠ Se superpone con un registro de la otra empresa",IF(D672="Malcolm",IF(COUNTA(R672,S672,T672)&gt;0,"Estado/fechas proMX se ignoran en Malcolm",""),IF(BF672="Cancelled","Cancelado: excluido de totales",IF(R672="","Sin estado: se trata como Draft",IF(BF672="Submitted",IF(ISNUMBER(V672),IF(V672&gt;CFG_MAXD,"⚠ "&amp;V672&amp;" días en Submitted (máx. "&amp;CFG_MAXD&amp;")",""),"Falta fecha de envío"),IF(BF672="Returned","⚠ Devuelto: corregir y reenviar",IF(BF672="Recall Requested","Retirada solicitada: pendiente",IF(AND(BF672="Approved",NOT(ISNUMBER(T672))),"Falta fecha de aprobación",IF(AND(ISNUMBER(S672),ISNUMBER(T672),T672&lt;S672),"Aprobación anterior al envío","")))))))))</f>
        <v/>
      </c>
      <c r="Y672" s="80">
        <f>IF(COUNTA(B672,D672,E672,F672,G672,H672,I672,J672,R672,S672,T672)&gt;0,1,0)</f>
        <v>0</v>
      </c>
      <c r="Z672" s="80" t="str">
        <f>IF(AND(ISNUMBER(H672),H672&gt;=0,H672&lt;1),ROUND(H672*1440,0),"")</f>
        <v/>
      </c>
      <c r="AA672" s="80" t="str">
        <f>IF(AND(ISNUMBER(I672),I672&gt;=0,I672&lt;1),ROUND(I672*1440,0),"")</f>
        <v/>
      </c>
      <c r="AB672" s="80">
        <f>IF(AND(ISNUMBER(B672),D672&lt;&gt;"",ISNUMBER(Z672),ISNUMBER(AA672)),IF(Z672=AA672,0,1),0)</f>
        <v>0</v>
      </c>
      <c r="AC672" s="80">
        <f>IF(AB672=1,IF(AA672&lt;Z672,1,0),0)</f>
        <v>0</v>
      </c>
      <c r="AD672" s="80">
        <f>IF(AB672=1,IF(AC672=1,1440-Z672+AA672,AA672-Z672),0)</f>
        <v>0</v>
      </c>
      <c r="AE672" s="80">
        <f>IF(J672="",0,IF(ISNUMBER(J672),J672,-1))</f>
        <v>0</v>
      </c>
      <c r="AF672" s="80">
        <f>MIN(MAX(0,AE672),AD672)</f>
        <v>0</v>
      </c>
      <c r="AG672" s="80">
        <f>MAX(0,AD672-MAX(0,AE672))</f>
        <v>0</v>
      </c>
      <c r="AH672" s="80">
        <f>IF(ISNUMBER(B672),IF(AND(INDEX(CFG_WDAYS,WEEKDAY(INT(B672),2))="Sí",IF(D672="proMX",COUNTIFS(FER_F,INT(B672),FER_NLP,"Sí"),COUNTIFS(FER_F,INT(B672),FER_NLM,"Sí"))=0),1,0),0)</f>
        <v>0</v>
      </c>
      <c r="AI672" s="80">
        <f>IF(AC672=1,IF(AND(INDEX(CFG_WDAYS,WEEKDAY(INT(B672)+1,2))="Sí",IF(D672="proMX",COUNTIFS(FER_F,INT(B672)+1,FER_NLP,"Sí"),COUNTIFS(FER_F,INT(B672)+1,FER_NLM,"Sí"))=0),1,0),0)</f>
        <v>0</v>
      </c>
      <c r="AJ672" s="80">
        <f>IF(AC672=1,1440-Z672,AD672)</f>
        <v>0</v>
      </c>
      <c r="AK672" s="80">
        <f>IF(AND(AB672=1,AH672=1),MAX(0,MIN(IF(AC672=1,1440,AA672),CFG_WEM)-MAX(Z672,CFG_WSM)),0)</f>
        <v>0</v>
      </c>
      <c r="AL672" s="80">
        <f>IF(AND(AC672=1,AI672=1),MAX(0,MIN(AA672,CFG_WEM)-CFG_WSM),0)</f>
        <v>0</v>
      </c>
      <c r="AM672" s="80">
        <f>AK672+AL672</f>
        <v>0</v>
      </c>
      <c r="AN672" s="80">
        <f>IF(CFG_BRK="Proporcional",IF(AD672=0,0,AF672*AM672/AD672),IF(CFG_BRK="Extras primero",MIN(AM672,MAX(0,AF672-(AD672-AM672))),MIN(AF672,AM672)))</f>
        <v>0</v>
      </c>
      <c r="AO672" s="80">
        <f>AF672-AN672</f>
        <v>0</v>
      </c>
      <c r="AP672" s="80">
        <f>AM672-AN672</f>
        <v>0</v>
      </c>
      <c r="AQ672" s="80">
        <f>AD672-AM672-AO672</f>
        <v>0</v>
      </c>
      <c r="AR672" s="80">
        <f>IF(AM672=0,0,AK672-AN672*AK672/AM672)</f>
        <v>0</v>
      </c>
      <c r="AS672" s="80">
        <f>IF(AD672-AM672=0,0,(AJ672-AK672)-AO672*(AJ672-AK672)/(AD672-AM672))</f>
        <v>0</v>
      </c>
      <c r="AT672" s="80" t="str">
        <f>IF(AC672=1,INT(B672)+1,"")</f>
        <v/>
      </c>
      <c r="AU672" s="80">
        <f>IF(AND(D672="proMX",R672="Cancelled"),0,1)</f>
        <v>1</v>
      </c>
      <c r="AV672" s="80">
        <f>IF(AND(AB672=1,AU672=1),IF(COUNTIFS($D$5:D671,D672,$B$5:B671,B672,$Z$5:Z671,Z672,$AA$5:AA671,AA672,$F$5:F671,F672&amp;"",$AU$5:AU671,1)&gt;0,1,0),0)</f>
        <v>0</v>
      </c>
      <c r="AW672" s="80" t="str">
        <f>IF(AB672=1,INT(B672)*1440+Z672,"")</f>
        <v/>
      </c>
      <c r="AX672" s="80" t="str">
        <f>IF(AB672=1,AW672+AD672,"")</f>
        <v/>
      </c>
      <c r="AY672" s="80">
        <f>IF(AND(AB672=1,AV672=0,AU672=1),1,0)</f>
        <v>0</v>
      </c>
      <c r="AZ672" s="80">
        <f>IF(AY672=1,COUNTIFS(R_Emp,D672,R_SAbs,"&lt;"&amp;AX672,R_EAbs,"&gt;"&amp;AW672,R_OKey,1)-1,0)</f>
        <v>0</v>
      </c>
      <c r="BA672" s="80">
        <f>IF(AY672=1,COUNTIFS(R_Emp,"&lt;&gt;"&amp;D672,R_SAbs,"&lt;"&amp;AX672,R_EAbs,"&gt;"&amp;AW672,R_OKey,1),0)</f>
        <v>0</v>
      </c>
      <c r="BB672" s="80">
        <f>IF(AND(AB672=1,D672="proMX"),IF(AND(MOD(Z672,CFG_BLK)=0,MOD(AA672,CFG_BLK)=0,MOD(AG672,CFG_BLK)=0,AG672&gt;0),1,0),1)</f>
        <v>1</v>
      </c>
      <c r="BC672" s="80" t="str">
        <f>IF(Y672=0,"",IF(NOT(ISNUMBER(B672)),"Falta fecha o fecha inválida",IF(D672="","Falta empresa",IF(AND(D672&lt;&gt;"Malcolm",D672&lt;&gt;"proMX"),"Empresa inválida",IF(OR(INT(B672)&lt;CFG_PSTART,INT(B672)&gt;CFG_PEND),"Fecha fuera del período",IF(OR(NOT(ISNUMBER(Z672)),NOT(ISNUMBER(AA672))),"Falta hora inicio/fin o formato inválido",IF(AB672=0,"Hora inicio = hora fin",IF(AE672&lt;0,"Descanso inválido",IF(AE672&gt;=AD672,"Descanso ≥ duración",IF(AV672=1,"Registro duplicado",IF(AZ672&gt;0,"Se superpone con otro registro "&amp;D672,IF(BB672=0,"inicio, fin y duración neta deben ser múltiplos de "&amp;CFG_BLK&amp;" min",""))))))))))))</f>
        <v/>
      </c>
      <c r="BD672" s="80">
        <f>IF(AND(Y672=1,BC672=""),1,0)</f>
        <v>0</v>
      </c>
      <c r="BE672" s="80">
        <f>IF(AND(BD672=1,AU672=1),1,0)</f>
        <v>0</v>
      </c>
      <c r="BF672" s="80" t="str">
        <f>IF(AND(D672="proMX",BD672=1),IF(R672="","Draft",R672),"")</f>
        <v/>
      </c>
      <c r="BG672" s="80">
        <f>IF(BD672=1,ROUND(AG672/60,6),0)</f>
        <v>0</v>
      </c>
      <c r="BH672" s="80">
        <f>IF(BE672=1,ROUND(AG672/60,6),0)</f>
        <v>0</v>
      </c>
      <c r="BI672" s="80">
        <f>IF(BE672=1,ROUND(AP672/60,6),0)</f>
        <v>0</v>
      </c>
      <c r="BJ672" s="80">
        <f>IF(BE672=1,ROUND(AQ672/60,6),0)</f>
        <v>0</v>
      </c>
      <c r="BK672" s="80">
        <f>IF(BE672=1,ROUND((AR672+AS672)/60,6),0)</f>
        <v>0</v>
      </c>
      <c r="BL672" s="80">
        <f>ROUND(BH672-BK672,6)</f>
        <v>0</v>
      </c>
      <c r="BM672" s="80">
        <f>IF(BE672=1,ROUND(AR672/60,6),0)</f>
        <v>0</v>
      </c>
      <c r="BN672" s="80">
        <f>ROUND(BI672-BM672,6)</f>
        <v>0</v>
      </c>
      <c r="BO672" s="80">
        <f>IF(BE672=1,ROUND(AS672/60,6),0)</f>
        <v>0</v>
      </c>
      <c r="BP672" s="80">
        <f>ROUND(BJ672-BO672,6)</f>
        <v>0</v>
      </c>
      <c r="BQ672" s="80">
        <f>IF(BE672=1,AW672,0)</f>
        <v>0</v>
      </c>
      <c r="BR672" s="80">
        <f>IF(BE672=1,AX672,0)</f>
        <v>0</v>
      </c>
      <c r="BS672" s="80">
        <f>IF(AND(BE672=1,D672="Malcolm",BA672&gt;0),MIN(BH672,SUMPRODUCT((R_Emp="proMX")*(R_EN&gt;0)*((R_EN-(R_EN&gt;BR672)*(R_EN-BR672))&gt;(R_SN+(R_SN&lt;BQ672)*(BQ672-R_SN)))*((R_EN-(R_EN&gt;BR672)*(R_EN-BR672))-(R_SN+(R_SN&lt;BQ672)*(BQ672-R_SN))))/60),0)</f>
        <v>0</v>
      </c>
      <c r="BT672" s="80">
        <f>IF(AND(BE672=1,D672="proMX"),ROUND(BI672*CFG_RATE+BJ672*CFG_OTRATE,6),0)</f>
        <v>0</v>
      </c>
      <c r="BU672" s="80">
        <f>IF(AND(BD672=1,D672="proMX"),ROUND(AG672/CFG_BLK,6),0)</f>
        <v>0</v>
      </c>
      <c r="BV672" s="80" t="str">
        <f>IF(BF672="Approved",IF(ISNUMBER(T672),INT(T672),INT(B672)),"")</f>
        <v/>
      </c>
      <c r="BW672" s="80">
        <f>IF(ISNUMBER(B672),IF(DB_MON="Todos",1,IF(AND(INT(B672)&gt;=DB_MS,INT(B672)&lt;=DB_ME),1,0)),0)</f>
        <v>0</v>
      </c>
      <c r="BX672" s="80">
        <f>IF(DB_PROJ="Todos",1,IF(E672&amp;""=DB_PROJ&amp;"",1,0))</f>
        <v>1</v>
      </c>
      <c r="BY672" s="80">
        <f>BW672*BX672</f>
        <v>0</v>
      </c>
      <c r="BZ672" s="80" t="str">
        <f>IF(Y672=1,F672&amp;IF(AND(F672&amp;""&lt;&gt;"",E672&amp;""&lt;&gt;"")," · ","")&amp;E672,"")</f>
        <v/>
      </c>
      <c r="CA672" s="80" t="str">
        <f>IF(AND(BD672=1,E672&amp;""&lt;&gt;""),IF(COUNTIFS($E$5:E671,E672,$BD$5:BD671,1)=0,MAX($CA$5:CA671)+1,""),"")</f>
        <v/>
      </c>
      <c r="CB672" s="80" t="str">
        <f>IF(AND(BE672=1,D672="Malcolm",E672&amp;""&lt;&gt;""),IF(COUNTIFS($D$5:D671,"Malcolm",$E$5:E671,E672,$BE$5:BE671,1)=0,MAX($CB$5:CB671)+1,""),"")</f>
        <v/>
      </c>
      <c r="CC672" s="80" t="str">
        <f>IF(AND(BD672=1,D672="proMX",E672&amp;""&lt;&gt;""),IF(COUNTIFS($D$5:D671,"proMX",$E$5:E671,E672,$BD$5:BD671,1)=0,MAX($CC$5:CC671)+1,""),"")</f>
        <v/>
      </c>
      <c r="CD672" s="80" t="str">
        <f>IF(AND(BE672=1,D672="Malcolm",F672&amp;""&lt;&gt;""),IF(COUNTIFS($D$5:D671,"Malcolm",$F$5:F671,F672,$BE$5:BE671,1)=0,MAX($CD$5:CD671)+1,""),"")</f>
        <v/>
      </c>
      <c r="CE672" s="80" t="str">
        <f>IF(AND(BD672=1,D672="proMX",F672&amp;""&lt;&gt;""),IF(COUNTIFS($D$5:D671,"proMX",$F$5:F671,F672,$BD$5:BD671,1)=0,MAX($CE$5:CE671)+1,""),"")</f>
        <v/>
      </c>
      <c r="CF672" s="80" t="str">
        <f>IF(AND(D672="proMX",BD672=1),IF(OR(BF672="Draft",BF672="Submitted",BF672="Returned",BF672="Recall Requested"),MAX($CF$5:CF671)+1,""),"")</f>
        <v/>
      </c>
      <c r="CG672" s="80">
        <f>IF(BD672=0,0,IF(D672="Malcolm",1,MATCH(BF672,{"Draft","Submitted","Approved","Returned","Recall Requested","Cancelled"},0)+1))</f>
        <v>0</v>
      </c>
      <c r="CH672" s="80">
        <f>IF(AND(BF672="Submitted",ISNUMBER(V672)),IF(V672&gt;CFG_MAXD,1,0),0)</f>
        <v>0</v>
      </c>
    </row>
    <row r="673">
      <c r="A673" s="71" t="str">
        <f>IF(Y673=1,ROW()-5,"")</f>
        <v/>
      </c>
      <c r="B673" s="72" t="n"/>
      <c r="C673" s="71" t="str">
        <f>IF(ISNUMBER(B673),CHOOSE(WEEKDAY(B673,2),"Lun","Mar","Mié","Jue","Vie","Sáb","Dom"),"")</f>
        <v/>
      </c>
      <c r="D673" s="73" t="n"/>
      <c r="E673" s="74" t="n"/>
      <c r="F673" s="74" t="n"/>
      <c r="G673" s="74" t="n"/>
      <c r="H673" s="75" t="n"/>
      <c r="I673" s="75" t="n"/>
      <c r="J673" s="76" t="n"/>
      <c r="K673" s="77" t="str">
        <f>IF(AB673=1,ROUND(AG673/60,4),"")</f>
        <v/>
      </c>
      <c r="L673" s="77" t="str">
        <f>IF(BD673=1,ROUND(AP673/60,4),"")</f>
        <v/>
      </c>
      <c r="M673" s="77" t="str">
        <f>IF(BD673=1,ROUND(AQ673/60,4),"")</f>
        <v/>
      </c>
      <c r="N673" s="71" t="str">
        <f>IF(AND(D673="proMX",AB673=1),ROUND(AG673/CFG_BLK,2),"")</f>
        <v/>
      </c>
      <c r="O673" s="77" t="str">
        <f>IF(D673="proMX",IF(BD673=1,ROUND(AG673/60,4),0),"")</f>
        <v/>
      </c>
      <c r="P673" s="78" t="str">
        <f>IF(Y673=0,"",IF(BD673=1,"OK",IF(D673="proMX","Revisar bloques: ","Revisar: ")&amp;BC673))</f>
        <v/>
      </c>
      <c r="Q673" s="78" t="str">
        <f>IF(NOT(ISNUMBER(B673)),"",IF(COUNTIFS(FER_F,INT(B673))&gt;0,"Feriado"&amp;IF(AH673=1," (laborable)"," (no laborable)"),IF(AH673=1,"Laborable",IF(WEEKDAY(B673,2)&gt;5,"Fin de semana","No laborable"))))</f>
        <v/>
      </c>
      <c r="R673" s="73" t="n"/>
      <c r="S673" s="72" t="n"/>
      <c r="T673" s="72" t="n"/>
      <c r="U673" s="74" t="n"/>
      <c r="V673" s="79" t="str">
        <f>IF(AND(D673="proMX",OR(R673="Submitted",R673="Recall Requested"),ISNUMBER(S673)),CFG_TODAY-INT(S673),"")</f>
        <v/>
      </c>
      <c r="W673" s="78" t="str">
        <f>IF(BD673=0,"",IF(BA673&gt;0,"⚠ Se superpone con un registro de la otra empresa",IF(D673="Malcolm",IF(COUNTA(R673,S673,T673)&gt;0,"Estado/fechas proMX se ignoran en Malcolm",""),IF(BF673="Cancelled","Cancelado: excluido de totales",IF(R673="","Sin estado: se trata como Draft",IF(BF673="Submitted",IF(ISNUMBER(V673),IF(V673&gt;CFG_MAXD,"⚠ "&amp;V673&amp;" días en Submitted (máx. "&amp;CFG_MAXD&amp;")",""),"Falta fecha de envío"),IF(BF673="Returned","⚠ Devuelto: corregir y reenviar",IF(BF673="Recall Requested","Retirada solicitada: pendiente",IF(AND(BF673="Approved",NOT(ISNUMBER(T673))),"Falta fecha de aprobación",IF(AND(ISNUMBER(S673),ISNUMBER(T673),T673&lt;S673),"Aprobación anterior al envío","")))))))))</f>
        <v/>
      </c>
      <c r="Y673" s="80">
        <f>IF(COUNTA(B673,D673,E673,F673,G673,H673,I673,J673,R673,S673,T673)&gt;0,1,0)</f>
        <v>0</v>
      </c>
      <c r="Z673" s="80" t="str">
        <f>IF(AND(ISNUMBER(H673),H673&gt;=0,H673&lt;1),ROUND(H673*1440,0),"")</f>
        <v/>
      </c>
      <c r="AA673" s="80" t="str">
        <f>IF(AND(ISNUMBER(I673),I673&gt;=0,I673&lt;1),ROUND(I673*1440,0),"")</f>
        <v/>
      </c>
      <c r="AB673" s="80">
        <f>IF(AND(ISNUMBER(B673),D673&lt;&gt;"",ISNUMBER(Z673),ISNUMBER(AA673)),IF(Z673=AA673,0,1),0)</f>
        <v>0</v>
      </c>
      <c r="AC673" s="80">
        <f>IF(AB673=1,IF(AA673&lt;Z673,1,0),0)</f>
        <v>0</v>
      </c>
      <c r="AD673" s="80">
        <f>IF(AB673=1,IF(AC673=1,1440-Z673+AA673,AA673-Z673),0)</f>
        <v>0</v>
      </c>
      <c r="AE673" s="80">
        <f>IF(J673="",0,IF(ISNUMBER(J673),J673,-1))</f>
        <v>0</v>
      </c>
      <c r="AF673" s="80">
        <f>MIN(MAX(0,AE673),AD673)</f>
        <v>0</v>
      </c>
      <c r="AG673" s="80">
        <f>MAX(0,AD673-MAX(0,AE673))</f>
        <v>0</v>
      </c>
      <c r="AH673" s="80">
        <f>IF(ISNUMBER(B673),IF(AND(INDEX(CFG_WDAYS,WEEKDAY(INT(B673),2))="Sí",IF(D673="proMX",COUNTIFS(FER_F,INT(B673),FER_NLP,"Sí"),COUNTIFS(FER_F,INT(B673),FER_NLM,"Sí"))=0),1,0),0)</f>
        <v>0</v>
      </c>
      <c r="AI673" s="80">
        <f>IF(AC673=1,IF(AND(INDEX(CFG_WDAYS,WEEKDAY(INT(B673)+1,2))="Sí",IF(D673="proMX",COUNTIFS(FER_F,INT(B673)+1,FER_NLP,"Sí"),COUNTIFS(FER_F,INT(B673)+1,FER_NLM,"Sí"))=0),1,0),0)</f>
        <v>0</v>
      </c>
      <c r="AJ673" s="80">
        <f>IF(AC673=1,1440-Z673,AD673)</f>
        <v>0</v>
      </c>
      <c r="AK673" s="80">
        <f>IF(AND(AB673=1,AH673=1),MAX(0,MIN(IF(AC673=1,1440,AA673),CFG_WEM)-MAX(Z673,CFG_WSM)),0)</f>
        <v>0</v>
      </c>
      <c r="AL673" s="80">
        <f>IF(AND(AC673=1,AI673=1),MAX(0,MIN(AA673,CFG_WEM)-CFG_WSM),0)</f>
        <v>0</v>
      </c>
      <c r="AM673" s="80">
        <f>AK673+AL673</f>
        <v>0</v>
      </c>
      <c r="AN673" s="80">
        <f>IF(CFG_BRK="Proporcional",IF(AD673=0,0,AF673*AM673/AD673),IF(CFG_BRK="Extras primero",MIN(AM673,MAX(0,AF673-(AD673-AM673))),MIN(AF673,AM673)))</f>
        <v>0</v>
      </c>
      <c r="AO673" s="80">
        <f>AF673-AN673</f>
        <v>0</v>
      </c>
      <c r="AP673" s="80">
        <f>AM673-AN673</f>
        <v>0</v>
      </c>
      <c r="AQ673" s="80">
        <f>AD673-AM673-AO673</f>
        <v>0</v>
      </c>
      <c r="AR673" s="80">
        <f>IF(AM673=0,0,AK673-AN673*AK673/AM673)</f>
        <v>0</v>
      </c>
      <c r="AS673" s="80">
        <f>IF(AD673-AM673=0,0,(AJ673-AK673)-AO673*(AJ673-AK673)/(AD673-AM673))</f>
        <v>0</v>
      </c>
      <c r="AT673" s="80" t="str">
        <f>IF(AC673=1,INT(B673)+1,"")</f>
        <v/>
      </c>
      <c r="AU673" s="80">
        <f>IF(AND(D673="proMX",R673="Cancelled"),0,1)</f>
        <v>1</v>
      </c>
      <c r="AV673" s="80">
        <f>IF(AND(AB673=1,AU673=1),IF(COUNTIFS($D$5:D672,D673,$B$5:B672,B673,$Z$5:Z672,Z673,$AA$5:AA672,AA673,$F$5:F672,F673&amp;"",$AU$5:AU672,1)&gt;0,1,0),0)</f>
        <v>0</v>
      </c>
      <c r="AW673" s="80" t="str">
        <f>IF(AB673=1,INT(B673)*1440+Z673,"")</f>
        <v/>
      </c>
      <c r="AX673" s="80" t="str">
        <f>IF(AB673=1,AW673+AD673,"")</f>
        <v/>
      </c>
      <c r="AY673" s="80">
        <f>IF(AND(AB673=1,AV673=0,AU673=1),1,0)</f>
        <v>0</v>
      </c>
      <c r="AZ673" s="80">
        <f>IF(AY673=1,COUNTIFS(R_Emp,D673,R_SAbs,"&lt;"&amp;AX673,R_EAbs,"&gt;"&amp;AW673,R_OKey,1)-1,0)</f>
        <v>0</v>
      </c>
      <c r="BA673" s="80">
        <f>IF(AY673=1,COUNTIFS(R_Emp,"&lt;&gt;"&amp;D673,R_SAbs,"&lt;"&amp;AX673,R_EAbs,"&gt;"&amp;AW673,R_OKey,1),0)</f>
        <v>0</v>
      </c>
      <c r="BB673" s="80">
        <f>IF(AND(AB673=1,D673="proMX"),IF(AND(MOD(Z673,CFG_BLK)=0,MOD(AA673,CFG_BLK)=0,MOD(AG673,CFG_BLK)=0,AG673&gt;0),1,0),1)</f>
        <v>1</v>
      </c>
      <c r="BC673" s="80" t="str">
        <f>IF(Y673=0,"",IF(NOT(ISNUMBER(B673)),"Falta fecha o fecha inválida",IF(D673="","Falta empresa",IF(AND(D673&lt;&gt;"Malcolm",D673&lt;&gt;"proMX"),"Empresa inválida",IF(OR(INT(B673)&lt;CFG_PSTART,INT(B673)&gt;CFG_PEND),"Fecha fuera del período",IF(OR(NOT(ISNUMBER(Z673)),NOT(ISNUMBER(AA673))),"Falta hora inicio/fin o formato inválido",IF(AB673=0,"Hora inicio = hora fin",IF(AE673&lt;0,"Descanso inválido",IF(AE673&gt;=AD673,"Descanso ≥ duración",IF(AV673=1,"Registro duplicado",IF(AZ673&gt;0,"Se superpone con otro registro "&amp;D673,IF(BB673=0,"inicio, fin y duración neta deben ser múltiplos de "&amp;CFG_BLK&amp;" min",""))))))))))))</f>
        <v/>
      </c>
      <c r="BD673" s="80">
        <f>IF(AND(Y673=1,BC673=""),1,0)</f>
        <v>0</v>
      </c>
      <c r="BE673" s="80">
        <f>IF(AND(BD673=1,AU673=1),1,0)</f>
        <v>0</v>
      </c>
      <c r="BF673" s="80" t="str">
        <f>IF(AND(D673="proMX",BD673=1),IF(R673="","Draft",R673),"")</f>
        <v/>
      </c>
      <c r="BG673" s="80">
        <f>IF(BD673=1,ROUND(AG673/60,6),0)</f>
        <v>0</v>
      </c>
      <c r="BH673" s="80">
        <f>IF(BE673=1,ROUND(AG673/60,6),0)</f>
        <v>0</v>
      </c>
      <c r="BI673" s="80">
        <f>IF(BE673=1,ROUND(AP673/60,6),0)</f>
        <v>0</v>
      </c>
      <c r="BJ673" s="80">
        <f>IF(BE673=1,ROUND(AQ673/60,6),0)</f>
        <v>0</v>
      </c>
      <c r="BK673" s="80">
        <f>IF(BE673=1,ROUND((AR673+AS673)/60,6),0)</f>
        <v>0</v>
      </c>
      <c r="BL673" s="80">
        <f>ROUND(BH673-BK673,6)</f>
        <v>0</v>
      </c>
      <c r="BM673" s="80">
        <f>IF(BE673=1,ROUND(AR673/60,6),0)</f>
        <v>0</v>
      </c>
      <c r="BN673" s="80">
        <f>ROUND(BI673-BM673,6)</f>
        <v>0</v>
      </c>
      <c r="BO673" s="80">
        <f>IF(BE673=1,ROUND(AS673/60,6),0)</f>
        <v>0</v>
      </c>
      <c r="BP673" s="80">
        <f>ROUND(BJ673-BO673,6)</f>
        <v>0</v>
      </c>
      <c r="BQ673" s="80">
        <f>IF(BE673=1,AW673,0)</f>
        <v>0</v>
      </c>
      <c r="BR673" s="80">
        <f>IF(BE673=1,AX673,0)</f>
        <v>0</v>
      </c>
      <c r="BS673" s="80">
        <f>IF(AND(BE673=1,D673="Malcolm",BA673&gt;0),MIN(BH673,SUMPRODUCT((R_Emp="proMX")*(R_EN&gt;0)*((R_EN-(R_EN&gt;BR673)*(R_EN-BR673))&gt;(R_SN+(R_SN&lt;BQ673)*(BQ673-R_SN)))*((R_EN-(R_EN&gt;BR673)*(R_EN-BR673))-(R_SN+(R_SN&lt;BQ673)*(BQ673-R_SN))))/60),0)</f>
        <v>0</v>
      </c>
      <c r="BT673" s="80">
        <f>IF(AND(BE673=1,D673="proMX"),ROUND(BI673*CFG_RATE+BJ673*CFG_OTRATE,6),0)</f>
        <v>0</v>
      </c>
      <c r="BU673" s="80">
        <f>IF(AND(BD673=1,D673="proMX"),ROUND(AG673/CFG_BLK,6),0)</f>
        <v>0</v>
      </c>
      <c r="BV673" s="80" t="str">
        <f>IF(BF673="Approved",IF(ISNUMBER(T673),INT(T673),INT(B673)),"")</f>
        <v/>
      </c>
      <c r="BW673" s="80">
        <f>IF(ISNUMBER(B673),IF(DB_MON="Todos",1,IF(AND(INT(B673)&gt;=DB_MS,INT(B673)&lt;=DB_ME),1,0)),0)</f>
        <v>0</v>
      </c>
      <c r="BX673" s="80">
        <f>IF(DB_PROJ="Todos",1,IF(E673&amp;""=DB_PROJ&amp;"",1,0))</f>
        <v>1</v>
      </c>
      <c r="BY673" s="80">
        <f>BW673*BX673</f>
        <v>0</v>
      </c>
      <c r="BZ673" s="80" t="str">
        <f>IF(Y673=1,F673&amp;IF(AND(F673&amp;""&lt;&gt;"",E673&amp;""&lt;&gt;"")," · ","")&amp;E673,"")</f>
        <v/>
      </c>
      <c r="CA673" s="80" t="str">
        <f>IF(AND(BD673=1,E673&amp;""&lt;&gt;""),IF(COUNTIFS($E$5:E672,E673,$BD$5:BD672,1)=0,MAX($CA$5:CA672)+1,""),"")</f>
        <v/>
      </c>
      <c r="CB673" s="80" t="str">
        <f>IF(AND(BE673=1,D673="Malcolm",E673&amp;""&lt;&gt;""),IF(COUNTIFS($D$5:D672,"Malcolm",$E$5:E672,E673,$BE$5:BE672,1)=0,MAX($CB$5:CB672)+1,""),"")</f>
        <v/>
      </c>
      <c r="CC673" s="80" t="str">
        <f>IF(AND(BD673=1,D673="proMX",E673&amp;""&lt;&gt;""),IF(COUNTIFS($D$5:D672,"proMX",$E$5:E672,E673,$BD$5:BD672,1)=0,MAX($CC$5:CC672)+1,""),"")</f>
        <v/>
      </c>
      <c r="CD673" s="80" t="str">
        <f>IF(AND(BE673=1,D673="Malcolm",F673&amp;""&lt;&gt;""),IF(COUNTIFS($D$5:D672,"Malcolm",$F$5:F672,F673,$BE$5:BE672,1)=0,MAX($CD$5:CD672)+1,""),"")</f>
        <v/>
      </c>
      <c r="CE673" s="80" t="str">
        <f>IF(AND(BD673=1,D673="proMX",F673&amp;""&lt;&gt;""),IF(COUNTIFS($D$5:D672,"proMX",$F$5:F672,F673,$BD$5:BD672,1)=0,MAX($CE$5:CE672)+1,""),"")</f>
        <v/>
      </c>
      <c r="CF673" s="80" t="str">
        <f>IF(AND(D673="proMX",BD673=1),IF(OR(BF673="Draft",BF673="Submitted",BF673="Returned",BF673="Recall Requested"),MAX($CF$5:CF672)+1,""),"")</f>
        <v/>
      </c>
      <c r="CG673" s="80">
        <f>IF(BD673=0,0,IF(D673="Malcolm",1,MATCH(BF673,{"Draft","Submitted","Approved","Returned","Recall Requested","Cancelled"},0)+1))</f>
        <v>0</v>
      </c>
      <c r="CH673" s="80">
        <f>IF(AND(BF673="Submitted",ISNUMBER(V673)),IF(V673&gt;CFG_MAXD,1,0),0)</f>
        <v>0</v>
      </c>
    </row>
    <row r="674">
      <c r="A674" s="71" t="str">
        <f>IF(Y674=1,ROW()-5,"")</f>
        <v/>
      </c>
      <c r="B674" s="72" t="n"/>
      <c r="C674" s="71" t="str">
        <f>IF(ISNUMBER(B674),CHOOSE(WEEKDAY(B674,2),"Lun","Mar","Mié","Jue","Vie","Sáb","Dom"),"")</f>
        <v/>
      </c>
      <c r="D674" s="73" t="n"/>
      <c r="E674" s="74" t="n"/>
      <c r="F674" s="74" t="n"/>
      <c r="G674" s="74" t="n"/>
      <c r="H674" s="75" t="n"/>
      <c r="I674" s="75" t="n"/>
      <c r="J674" s="76" t="n"/>
      <c r="K674" s="77" t="str">
        <f>IF(AB674=1,ROUND(AG674/60,4),"")</f>
        <v/>
      </c>
      <c r="L674" s="77" t="str">
        <f>IF(BD674=1,ROUND(AP674/60,4),"")</f>
        <v/>
      </c>
      <c r="M674" s="77" t="str">
        <f>IF(BD674=1,ROUND(AQ674/60,4),"")</f>
        <v/>
      </c>
      <c r="N674" s="71" t="str">
        <f>IF(AND(D674="proMX",AB674=1),ROUND(AG674/CFG_BLK,2),"")</f>
        <v/>
      </c>
      <c r="O674" s="77" t="str">
        <f>IF(D674="proMX",IF(BD674=1,ROUND(AG674/60,4),0),"")</f>
        <v/>
      </c>
      <c r="P674" s="78" t="str">
        <f>IF(Y674=0,"",IF(BD674=1,"OK",IF(D674="proMX","Revisar bloques: ","Revisar: ")&amp;BC674))</f>
        <v/>
      </c>
      <c r="Q674" s="78" t="str">
        <f>IF(NOT(ISNUMBER(B674)),"",IF(COUNTIFS(FER_F,INT(B674))&gt;0,"Feriado"&amp;IF(AH674=1," (laborable)"," (no laborable)"),IF(AH674=1,"Laborable",IF(WEEKDAY(B674,2)&gt;5,"Fin de semana","No laborable"))))</f>
        <v/>
      </c>
      <c r="R674" s="73" t="n"/>
      <c r="S674" s="72" t="n"/>
      <c r="T674" s="72" t="n"/>
      <c r="U674" s="74" t="n"/>
      <c r="V674" s="79" t="str">
        <f>IF(AND(D674="proMX",OR(R674="Submitted",R674="Recall Requested"),ISNUMBER(S674)),CFG_TODAY-INT(S674),"")</f>
        <v/>
      </c>
      <c r="W674" s="78" t="str">
        <f>IF(BD674=0,"",IF(BA674&gt;0,"⚠ Se superpone con un registro de la otra empresa",IF(D674="Malcolm",IF(COUNTA(R674,S674,T674)&gt;0,"Estado/fechas proMX se ignoran en Malcolm",""),IF(BF674="Cancelled","Cancelado: excluido de totales",IF(R674="","Sin estado: se trata como Draft",IF(BF674="Submitted",IF(ISNUMBER(V674),IF(V674&gt;CFG_MAXD,"⚠ "&amp;V674&amp;" días en Submitted (máx. "&amp;CFG_MAXD&amp;")",""),"Falta fecha de envío"),IF(BF674="Returned","⚠ Devuelto: corregir y reenviar",IF(BF674="Recall Requested","Retirada solicitada: pendiente",IF(AND(BF674="Approved",NOT(ISNUMBER(T674))),"Falta fecha de aprobación",IF(AND(ISNUMBER(S674),ISNUMBER(T674),T674&lt;S674),"Aprobación anterior al envío","")))))))))</f>
        <v/>
      </c>
      <c r="Y674" s="80">
        <f>IF(COUNTA(B674,D674,E674,F674,G674,H674,I674,J674,R674,S674,T674)&gt;0,1,0)</f>
        <v>0</v>
      </c>
      <c r="Z674" s="80" t="str">
        <f>IF(AND(ISNUMBER(H674),H674&gt;=0,H674&lt;1),ROUND(H674*1440,0),"")</f>
        <v/>
      </c>
      <c r="AA674" s="80" t="str">
        <f>IF(AND(ISNUMBER(I674),I674&gt;=0,I674&lt;1),ROUND(I674*1440,0),"")</f>
        <v/>
      </c>
      <c r="AB674" s="80">
        <f>IF(AND(ISNUMBER(B674),D674&lt;&gt;"",ISNUMBER(Z674),ISNUMBER(AA674)),IF(Z674=AA674,0,1),0)</f>
        <v>0</v>
      </c>
      <c r="AC674" s="80">
        <f>IF(AB674=1,IF(AA674&lt;Z674,1,0),0)</f>
        <v>0</v>
      </c>
      <c r="AD674" s="80">
        <f>IF(AB674=1,IF(AC674=1,1440-Z674+AA674,AA674-Z674),0)</f>
        <v>0</v>
      </c>
      <c r="AE674" s="80">
        <f>IF(J674="",0,IF(ISNUMBER(J674),J674,-1))</f>
        <v>0</v>
      </c>
      <c r="AF674" s="80">
        <f>MIN(MAX(0,AE674),AD674)</f>
        <v>0</v>
      </c>
      <c r="AG674" s="80">
        <f>MAX(0,AD674-MAX(0,AE674))</f>
        <v>0</v>
      </c>
      <c r="AH674" s="80">
        <f>IF(ISNUMBER(B674),IF(AND(INDEX(CFG_WDAYS,WEEKDAY(INT(B674),2))="Sí",IF(D674="proMX",COUNTIFS(FER_F,INT(B674),FER_NLP,"Sí"),COUNTIFS(FER_F,INT(B674),FER_NLM,"Sí"))=0),1,0),0)</f>
        <v>0</v>
      </c>
      <c r="AI674" s="80">
        <f>IF(AC674=1,IF(AND(INDEX(CFG_WDAYS,WEEKDAY(INT(B674)+1,2))="Sí",IF(D674="proMX",COUNTIFS(FER_F,INT(B674)+1,FER_NLP,"Sí"),COUNTIFS(FER_F,INT(B674)+1,FER_NLM,"Sí"))=0),1,0),0)</f>
        <v>0</v>
      </c>
      <c r="AJ674" s="80">
        <f>IF(AC674=1,1440-Z674,AD674)</f>
        <v>0</v>
      </c>
      <c r="AK674" s="80">
        <f>IF(AND(AB674=1,AH674=1),MAX(0,MIN(IF(AC674=1,1440,AA674),CFG_WEM)-MAX(Z674,CFG_WSM)),0)</f>
        <v>0</v>
      </c>
      <c r="AL674" s="80">
        <f>IF(AND(AC674=1,AI674=1),MAX(0,MIN(AA674,CFG_WEM)-CFG_WSM),0)</f>
        <v>0</v>
      </c>
      <c r="AM674" s="80">
        <f>AK674+AL674</f>
        <v>0</v>
      </c>
      <c r="AN674" s="80">
        <f>IF(CFG_BRK="Proporcional",IF(AD674=0,0,AF674*AM674/AD674),IF(CFG_BRK="Extras primero",MIN(AM674,MAX(0,AF674-(AD674-AM674))),MIN(AF674,AM674)))</f>
        <v>0</v>
      </c>
      <c r="AO674" s="80">
        <f>AF674-AN674</f>
        <v>0</v>
      </c>
      <c r="AP674" s="80">
        <f>AM674-AN674</f>
        <v>0</v>
      </c>
      <c r="AQ674" s="80">
        <f>AD674-AM674-AO674</f>
        <v>0</v>
      </c>
      <c r="AR674" s="80">
        <f>IF(AM674=0,0,AK674-AN674*AK674/AM674)</f>
        <v>0</v>
      </c>
      <c r="AS674" s="80">
        <f>IF(AD674-AM674=0,0,(AJ674-AK674)-AO674*(AJ674-AK674)/(AD674-AM674))</f>
        <v>0</v>
      </c>
      <c r="AT674" s="80" t="str">
        <f>IF(AC674=1,INT(B674)+1,"")</f>
        <v/>
      </c>
      <c r="AU674" s="80">
        <f>IF(AND(D674="proMX",R674="Cancelled"),0,1)</f>
        <v>1</v>
      </c>
      <c r="AV674" s="80">
        <f>IF(AND(AB674=1,AU674=1),IF(COUNTIFS($D$5:D673,D674,$B$5:B673,B674,$Z$5:Z673,Z674,$AA$5:AA673,AA674,$F$5:F673,F674&amp;"",$AU$5:AU673,1)&gt;0,1,0),0)</f>
        <v>0</v>
      </c>
      <c r="AW674" s="80" t="str">
        <f>IF(AB674=1,INT(B674)*1440+Z674,"")</f>
        <v/>
      </c>
      <c r="AX674" s="80" t="str">
        <f>IF(AB674=1,AW674+AD674,"")</f>
        <v/>
      </c>
      <c r="AY674" s="80">
        <f>IF(AND(AB674=1,AV674=0,AU674=1),1,0)</f>
        <v>0</v>
      </c>
      <c r="AZ674" s="80">
        <f>IF(AY674=1,COUNTIFS(R_Emp,D674,R_SAbs,"&lt;"&amp;AX674,R_EAbs,"&gt;"&amp;AW674,R_OKey,1)-1,0)</f>
        <v>0</v>
      </c>
      <c r="BA674" s="80">
        <f>IF(AY674=1,COUNTIFS(R_Emp,"&lt;&gt;"&amp;D674,R_SAbs,"&lt;"&amp;AX674,R_EAbs,"&gt;"&amp;AW674,R_OKey,1),0)</f>
        <v>0</v>
      </c>
      <c r="BB674" s="80">
        <f>IF(AND(AB674=1,D674="proMX"),IF(AND(MOD(Z674,CFG_BLK)=0,MOD(AA674,CFG_BLK)=0,MOD(AG674,CFG_BLK)=0,AG674&gt;0),1,0),1)</f>
        <v>1</v>
      </c>
      <c r="BC674" s="80" t="str">
        <f>IF(Y674=0,"",IF(NOT(ISNUMBER(B674)),"Falta fecha o fecha inválida",IF(D674="","Falta empresa",IF(AND(D674&lt;&gt;"Malcolm",D674&lt;&gt;"proMX"),"Empresa inválida",IF(OR(INT(B674)&lt;CFG_PSTART,INT(B674)&gt;CFG_PEND),"Fecha fuera del período",IF(OR(NOT(ISNUMBER(Z674)),NOT(ISNUMBER(AA674))),"Falta hora inicio/fin o formato inválido",IF(AB674=0,"Hora inicio = hora fin",IF(AE674&lt;0,"Descanso inválido",IF(AE674&gt;=AD674,"Descanso ≥ duración",IF(AV674=1,"Registro duplicado",IF(AZ674&gt;0,"Se superpone con otro registro "&amp;D674,IF(BB674=0,"inicio, fin y duración neta deben ser múltiplos de "&amp;CFG_BLK&amp;" min",""))))))))))))</f>
        <v/>
      </c>
      <c r="BD674" s="80">
        <f>IF(AND(Y674=1,BC674=""),1,0)</f>
        <v>0</v>
      </c>
      <c r="BE674" s="80">
        <f>IF(AND(BD674=1,AU674=1),1,0)</f>
        <v>0</v>
      </c>
      <c r="BF674" s="80" t="str">
        <f>IF(AND(D674="proMX",BD674=1),IF(R674="","Draft",R674),"")</f>
        <v/>
      </c>
      <c r="BG674" s="80">
        <f>IF(BD674=1,ROUND(AG674/60,6),0)</f>
        <v>0</v>
      </c>
      <c r="BH674" s="80">
        <f>IF(BE674=1,ROUND(AG674/60,6),0)</f>
        <v>0</v>
      </c>
      <c r="BI674" s="80">
        <f>IF(BE674=1,ROUND(AP674/60,6),0)</f>
        <v>0</v>
      </c>
      <c r="BJ674" s="80">
        <f>IF(BE674=1,ROUND(AQ674/60,6),0)</f>
        <v>0</v>
      </c>
      <c r="BK674" s="80">
        <f>IF(BE674=1,ROUND((AR674+AS674)/60,6),0)</f>
        <v>0</v>
      </c>
      <c r="BL674" s="80">
        <f>ROUND(BH674-BK674,6)</f>
        <v>0</v>
      </c>
      <c r="BM674" s="80">
        <f>IF(BE674=1,ROUND(AR674/60,6),0)</f>
        <v>0</v>
      </c>
      <c r="BN674" s="80">
        <f>ROUND(BI674-BM674,6)</f>
        <v>0</v>
      </c>
      <c r="BO674" s="80">
        <f>IF(BE674=1,ROUND(AS674/60,6),0)</f>
        <v>0</v>
      </c>
      <c r="BP674" s="80">
        <f>ROUND(BJ674-BO674,6)</f>
        <v>0</v>
      </c>
      <c r="BQ674" s="80">
        <f>IF(BE674=1,AW674,0)</f>
        <v>0</v>
      </c>
      <c r="BR674" s="80">
        <f>IF(BE674=1,AX674,0)</f>
        <v>0</v>
      </c>
      <c r="BS674" s="80">
        <f>IF(AND(BE674=1,D674="Malcolm",BA674&gt;0),MIN(BH674,SUMPRODUCT((R_Emp="proMX")*(R_EN&gt;0)*((R_EN-(R_EN&gt;BR674)*(R_EN-BR674))&gt;(R_SN+(R_SN&lt;BQ674)*(BQ674-R_SN)))*((R_EN-(R_EN&gt;BR674)*(R_EN-BR674))-(R_SN+(R_SN&lt;BQ674)*(BQ674-R_SN))))/60),0)</f>
        <v>0</v>
      </c>
      <c r="BT674" s="80">
        <f>IF(AND(BE674=1,D674="proMX"),ROUND(BI674*CFG_RATE+BJ674*CFG_OTRATE,6),0)</f>
        <v>0</v>
      </c>
      <c r="BU674" s="80">
        <f>IF(AND(BD674=1,D674="proMX"),ROUND(AG674/CFG_BLK,6),0)</f>
        <v>0</v>
      </c>
      <c r="BV674" s="80" t="str">
        <f>IF(BF674="Approved",IF(ISNUMBER(T674),INT(T674),INT(B674)),"")</f>
        <v/>
      </c>
      <c r="BW674" s="80">
        <f>IF(ISNUMBER(B674),IF(DB_MON="Todos",1,IF(AND(INT(B674)&gt;=DB_MS,INT(B674)&lt;=DB_ME),1,0)),0)</f>
        <v>0</v>
      </c>
      <c r="BX674" s="80">
        <f>IF(DB_PROJ="Todos",1,IF(E674&amp;""=DB_PROJ&amp;"",1,0))</f>
        <v>1</v>
      </c>
      <c r="BY674" s="80">
        <f>BW674*BX674</f>
        <v>0</v>
      </c>
      <c r="BZ674" s="80" t="str">
        <f>IF(Y674=1,F674&amp;IF(AND(F674&amp;""&lt;&gt;"",E674&amp;""&lt;&gt;"")," · ","")&amp;E674,"")</f>
        <v/>
      </c>
      <c r="CA674" s="80" t="str">
        <f>IF(AND(BD674=1,E674&amp;""&lt;&gt;""),IF(COUNTIFS($E$5:E673,E674,$BD$5:BD673,1)=0,MAX($CA$5:CA673)+1,""),"")</f>
        <v/>
      </c>
      <c r="CB674" s="80" t="str">
        <f>IF(AND(BE674=1,D674="Malcolm",E674&amp;""&lt;&gt;""),IF(COUNTIFS($D$5:D673,"Malcolm",$E$5:E673,E674,$BE$5:BE673,1)=0,MAX($CB$5:CB673)+1,""),"")</f>
        <v/>
      </c>
      <c r="CC674" s="80" t="str">
        <f>IF(AND(BD674=1,D674="proMX",E674&amp;""&lt;&gt;""),IF(COUNTIFS($D$5:D673,"proMX",$E$5:E673,E674,$BD$5:BD673,1)=0,MAX($CC$5:CC673)+1,""),"")</f>
        <v/>
      </c>
      <c r="CD674" s="80" t="str">
        <f>IF(AND(BE674=1,D674="Malcolm",F674&amp;""&lt;&gt;""),IF(COUNTIFS($D$5:D673,"Malcolm",$F$5:F673,F674,$BE$5:BE673,1)=0,MAX($CD$5:CD673)+1,""),"")</f>
        <v/>
      </c>
      <c r="CE674" s="80" t="str">
        <f>IF(AND(BD674=1,D674="proMX",F674&amp;""&lt;&gt;""),IF(COUNTIFS($D$5:D673,"proMX",$F$5:F673,F674,$BD$5:BD673,1)=0,MAX($CE$5:CE673)+1,""),"")</f>
        <v/>
      </c>
      <c r="CF674" s="80" t="str">
        <f>IF(AND(D674="proMX",BD674=1),IF(OR(BF674="Draft",BF674="Submitted",BF674="Returned",BF674="Recall Requested"),MAX($CF$5:CF673)+1,""),"")</f>
        <v/>
      </c>
      <c r="CG674" s="80">
        <f>IF(BD674=0,0,IF(D674="Malcolm",1,MATCH(BF674,{"Draft","Submitted","Approved","Returned","Recall Requested","Cancelled"},0)+1))</f>
        <v>0</v>
      </c>
      <c r="CH674" s="80">
        <f>IF(AND(BF674="Submitted",ISNUMBER(V674)),IF(V674&gt;CFG_MAXD,1,0),0)</f>
        <v>0</v>
      </c>
    </row>
    <row r="675">
      <c r="A675" s="71" t="str">
        <f>IF(Y675=1,ROW()-5,"")</f>
        <v/>
      </c>
      <c r="B675" s="72" t="n"/>
      <c r="C675" s="71" t="str">
        <f>IF(ISNUMBER(B675),CHOOSE(WEEKDAY(B675,2),"Lun","Mar","Mié","Jue","Vie","Sáb","Dom"),"")</f>
        <v/>
      </c>
      <c r="D675" s="73" t="n"/>
      <c r="E675" s="74" t="n"/>
      <c r="F675" s="74" t="n"/>
      <c r="G675" s="74" t="n"/>
      <c r="H675" s="75" t="n"/>
      <c r="I675" s="75" t="n"/>
      <c r="J675" s="76" t="n"/>
      <c r="K675" s="77" t="str">
        <f>IF(AB675=1,ROUND(AG675/60,4),"")</f>
        <v/>
      </c>
      <c r="L675" s="77" t="str">
        <f>IF(BD675=1,ROUND(AP675/60,4),"")</f>
        <v/>
      </c>
      <c r="M675" s="77" t="str">
        <f>IF(BD675=1,ROUND(AQ675/60,4),"")</f>
        <v/>
      </c>
      <c r="N675" s="71" t="str">
        <f>IF(AND(D675="proMX",AB675=1),ROUND(AG675/CFG_BLK,2),"")</f>
        <v/>
      </c>
      <c r="O675" s="77" t="str">
        <f>IF(D675="proMX",IF(BD675=1,ROUND(AG675/60,4),0),"")</f>
        <v/>
      </c>
      <c r="P675" s="78" t="str">
        <f>IF(Y675=0,"",IF(BD675=1,"OK",IF(D675="proMX","Revisar bloques: ","Revisar: ")&amp;BC675))</f>
        <v/>
      </c>
      <c r="Q675" s="78" t="str">
        <f>IF(NOT(ISNUMBER(B675)),"",IF(COUNTIFS(FER_F,INT(B675))&gt;0,"Feriado"&amp;IF(AH675=1," (laborable)"," (no laborable)"),IF(AH675=1,"Laborable",IF(WEEKDAY(B675,2)&gt;5,"Fin de semana","No laborable"))))</f>
        <v/>
      </c>
      <c r="R675" s="73" t="n"/>
      <c r="S675" s="72" t="n"/>
      <c r="T675" s="72" t="n"/>
      <c r="U675" s="74" t="n"/>
      <c r="V675" s="79" t="str">
        <f>IF(AND(D675="proMX",OR(R675="Submitted",R675="Recall Requested"),ISNUMBER(S675)),CFG_TODAY-INT(S675),"")</f>
        <v/>
      </c>
      <c r="W675" s="78" t="str">
        <f>IF(BD675=0,"",IF(BA675&gt;0,"⚠ Se superpone con un registro de la otra empresa",IF(D675="Malcolm",IF(COUNTA(R675,S675,T675)&gt;0,"Estado/fechas proMX se ignoran en Malcolm",""),IF(BF675="Cancelled","Cancelado: excluido de totales",IF(R675="","Sin estado: se trata como Draft",IF(BF675="Submitted",IF(ISNUMBER(V675),IF(V675&gt;CFG_MAXD,"⚠ "&amp;V675&amp;" días en Submitted (máx. "&amp;CFG_MAXD&amp;")",""),"Falta fecha de envío"),IF(BF675="Returned","⚠ Devuelto: corregir y reenviar",IF(BF675="Recall Requested","Retirada solicitada: pendiente",IF(AND(BF675="Approved",NOT(ISNUMBER(T675))),"Falta fecha de aprobación",IF(AND(ISNUMBER(S675),ISNUMBER(T675),T675&lt;S675),"Aprobación anterior al envío","")))))))))</f>
        <v/>
      </c>
      <c r="Y675" s="80">
        <f>IF(COUNTA(B675,D675,E675,F675,G675,H675,I675,J675,R675,S675,T675)&gt;0,1,0)</f>
        <v>0</v>
      </c>
      <c r="Z675" s="80" t="str">
        <f>IF(AND(ISNUMBER(H675),H675&gt;=0,H675&lt;1),ROUND(H675*1440,0),"")</f>
        <v/>
      </c>
      <c r="AA675" s="80" t="str">
        <f>IF(AND(ISNUMBER(I675),I675&gt;=0,I675&lt;1),ROUND(I675*1440,0),"")</f>
        <v/>
      </c>
      <c r="AB675" s="80">
        <f>IF(AND(ISNUMBER(B675),D675&lt;&gt;"",ISNUMBER(Z675),ISNUMBER(AA675)),IF(Z675=AA675,0,1),0)</f>
        <v>0</v>
      </c>
      <c r="AC675" s="80">
        <f>IF(AB675=1,IF(AA675&lt;Z675,1,0),0)</f>
        <v>0</v>
      </c>
      <c r="AD675" s="80">
        <f>IF(AB675=1,IF(AC675=1,1440-Z675+AA675,AA675-Z675),0)</f>
        <v>0</v>
      </c>
      <c r="AE675" s="80">
        <f>IF(J675="",0,IF(ISNUMBER(J675),J675,-1))</f>
        <v>0</v>
      </c>
      <c r="AF675" s="80">
        <f>MIN(MAX(0,AE675),AD675)</f>
        <v>0</v>
      </c>
      <c r="AG675" s="80">
        <f>MAX(0,AD675-MAX(0,AE675))</f>
        <v>0</v>
      </c>
      <c r="AH675" s="80">
        <f>IF(ISNUMBER(B675),IF(AND(INDEX(CFG_WDAYS,WEEKDAY(INT(B675),2))="Sí",IF(D675="proMX",COUNTIFS(FER_F,INT(B675),FER_NLP,"Sí"),COUNTIFS(FER_F,INT(B675),FER_NLM,"Sí"))=0),1,0),0)</f>
        <v>0</v>
      </c>
      <c r="AI675" s="80">
        <f>IF(AC675=1,IF(AND(INDEX(CFG_WDAYS,WEEKDAY(INT(B675)+1,2))="Sí",IF(D675="proMX",COUNTIFS(FER_F,INT(B675)+1,FER_NLP,"Sí"),COUNTIFS(FER_F,INT(B675)+1,FER_NLM,"Sí"))=0),1,0),0)</f>
        <v>0</v>
      </c>
      <c r="AJ675" s="80">
        <f>IF(AC675=1,1440-Z675,AD675)</f>
        <v>0</v>
      </c>
      <c r="AK675" s="80">
        <f>IF(AND(AB675=1,AH675=1),MAX(0,MIN(IF(AC675=1,1440,AA675),CFG_WEM)-MAX(Z675,CFG_WSM)),0)</f>
        <v>0</v>
      </c>
      <c r="AL675" s="80">
        <f>IF(AND(AC675=1,AI675=1),MAX(0,MIN(AA675,CFG_WEM)-CFG_WSM),0)</f>
        <v>0</v>
      </c>
      <c r="AM675" s="80">
        <f>AK675+AL675</f>
        <v>0</v>
      </c>
      <c r="AN675" s="80">
        <f>IF(CFG_BRK="Proporcional",IF(AD675=0,0,AF675*AM675/AD675),IF(CFG_BRK="Extras primero",MIN(AM675,MAX(0,AF675-(AD675-AM675))),MIN(AF675,AM675)))</f>
        <v>0</v>
      </c>
      <c r="AO675" s="80">
        <f>AF675-AN675</f>
        <v>0</v>
      </c>
      <c r="AP675" s="80">
        <f>AM675-AN675</f>
        <v>0</v>
      </c>
      <c r="AQ675" s="80">
        <f>AD675-AM675-AO675</f>
        <v>0</v>
      </c>
      <c r="AR675" s="80">
        <f>IF(AM675=0,0,AK675-AN675*AK675/AM675)</f>
        <v>0</v>
      </c>
      <c r="AS675" s="80">
        <f>IF(AD675-AM675=0,0,(AJ675-AK675)-AO675*(AJ675-AK675)/(AD675-AM675))</f>
        <v>0</v>
      </c>
      <c r="AT675" s="80" t="str">
        <f>IF(AC675=1,INT(B675)+1,"")</f>
        <v/>
      </c>
      <c r="AU675" s="80">
        <f>IF(AND(D675="proMX",R675="Cancelled"),0,1)</f>
        <v>1</v>
      </c>
      <c r="AV675" s="80">
        <f>IF(AND(AB675=1,AU675=1),IF(COUNTIFS($D$5:D674,D675,$B$5:B674,B675,$Z$5:Z674,Z675,$AA$5:AA674,AA675,$F$5:F674,F675&amp;"",$AU$5:AU674,1)&gt;0,1,0),0)</f>
        <v>0</v>
      </c>
      <c r="AW675" s="80" t="str">
        <f>IF(AB675=1,INT(B675)*1440+Z675,"")</f>
        <v/>
      </c>
      <c r="AX675" s="80" t="str">
        <f>IF(AB675=1,AW675+AD675,"")</f>
        <v/>
      </c>
      <c r="AY675" s="80">
        <f>IF(AND(AB675=1,AV675=0,AU675=1),1,0)</f>
        <v>0</v>
      </c>
      <c r="AZ675" s="80">
        <f>IF(AY675=1,COUNTIFS(R_Emp,D675,R_SAbs,"&lt;"&amp;AX675,R_EAbs,"&gt;"&amp;AW675,R_OKey,1)-1,0)</f>
        <v>0</v>
      </c>
      <c r="BA675" s="80">
        <f>IF(AY675=1,COUNTIFS(R_Emp,"&lt;&gt;"&amp;D675,R_SAbs,"&lt;"&amp;AX675,R_EAbs,"&gt;"&amp;AW675,R_OKey,1),0)</f>
        <v>0</v>
      </c>
      <c r="BB675" s="80">
        <f>IF(AND(AB675=1,D675="proMX"),IF(AND(MOD(Z675,CFG_BLK)=0,MOD(AA675,CFG_BLK)=0,MOD(AG675,CFG_BLK)=0,AG675&gt;0),1,0),1)</f>
        <v>1</v>
      </c>
      <c r="BC675" s="80" t="str">
        <f>IF(Y675=0,"",IF(NOT(ISNUMBER(B675)),"Falta fecha o fecha inválida",IF(D675="","Falta empresa",IF(AND(D675&lt;&gt;"Malcolm",D675&lt;&gt;"proMX"),"Empresa inválida",IF(OR(INT(B675)&lt;CFG_PSTART,INT(B675)&gt;CFG_PEND),"Fecha fuera del período",IF(OR(NOT(ISNUMBER(Z675)),NOT(ISNUMBER(AA675))),"Falta hora inicio/fin o formato inválido",IF(AB675=0,"Hora inicio = hora fin",IF(AE675&lt;0,"Descanso inválido",IF(AE675&gt;=AD675,"Descanso ≥ duración",IF(AV675=1,"Registro duplicado",IF(AZ675&gt;0,"Se superpone con otro registro "&amp;D675,IF(BB675=0,"inicio, fin y duración neta deben ser múltiplos de "&amp;CFG_BLK&amp;" min",""))))))))))))</f>
        <v/>
      </c>
      <c r="BD675" s="80">
        <f>IF(AND(Y675=1,BC675=""),1,0)</f>
        <v>0</v>
      </c>
      <c r="BE675" s="80">
        <f>IF(AND(BD675=1,AU675=1),1,0)</f>
        <v>0</v>
      </c>
      <c r="BF675" s="80" t="str">
        <f>IF(AND(D675="proMX",BD675=1),IF(R675="","Draft",R675),"")</f>
        <v/>
      </c>
      <c r="BG675" s="80">
        <f>IF(BD675=1,ROUND(AG675/60,6),0)</f>
        <v>0</v>
      </c>
      <c r="BH675" s="80">
        <f>IF(BE675=1,ROUND(AG675/60,6),0)</f>
        <v>0</v>
      </c>
      <c r="BI675" s="80">
        <f>IF(BE675=1,ROUND(AP675/60,6),0)</f>
        <v>0</v>
      </c>
      <c r="BJ675" s="80">
        <f>IF(BE675=1,ROUND(AQ675/60,6),0)</f>
        <v>0</v>
      </c>
      <c r="BK675" s="80">
        <f>IF(BE675=1,ROUND((AR675+AS675)/60,6),0)</f>
        <v>0</v>
      </c>
      <c r="BL675" s="80">
        <f>ROUND(BH675-BK675,6)</f>
        <v>0</v>
      </c>
      <c r="BM675" s="80">
        <f>IF(BE675=1,ROUND(AR675/60,6),0)</f>
        <v>0</v>
      </c>
      <c r="BN675" s="80">
        <f>ROUND(BI675-BM675,6)</f>
        <v>0</v>
      </c>
      <c r="BO675" s="80">
        <f>IF(BE675=1,ROUND(AS675/60,6),0)</f>
        <v>0</v>
      </c>
      <c r="BP675" s="80">
        <f>ROUND(BJ675-BO675,6)</f>
        <v>0</v>
      </c>
      <c r="BQ675" s="80">
        <f>IF(BE675=1,AW675,0)</f>
        <v>0</v>
      </c>
      <c r="BR675" s="80">
        <f>IF(BE675=1,AX675,0)</f>
        <v>0</v>
      </c>
      <c r="BS675" s="80">
        <f>IF(AND(BE675=1,D675="Malcolm",BA675&gt;0),MIN(BH675,SUMPRODUCT((R_Emp="proMX")*(R_EN&gt;0)*((R_EN-(R_EN&gt;BR675)*(R_EN-BR675))&gt;(R_SN+(R_SN&lt;BQ675)*(BQ675-R_SN)))*((R_EN-(R_EN&gt;BR675)*(R_EN-BR675))-(R_SN+(R_SN&lt;BQ675)*(BQ675-R_SN))))/60),0)</f>
        <v>0</v>
      </c>
      <c r="BT675" s="80">
        <f>IF(AND(BE675=1,D675="proMX"),ROUND(BI675*CFG_RATE+BJ675*CFG_OTRATE,6),0)</f>
        <v>0</v>
      </c>
      <c r="BU675" s="80">
        <f>IF(AND(BD675=1,D675="proMX"),ROUND(AG675/CFG_BLK,6),0)</f>
        <v>0</v>
      </c>
      <c r="BV675" s="80" t="str">
        <f>IF(BF675="Approved",IF(ISNUMBER(T675),INT(T675),INT(B675)),"")</f>
        <v/>
      </c>
      <c r="BW675" s="80">
        <f>IF(ISNUMBER(B675),IF(DB_MON="Todos",1,IF(AND(INT(B675)&gt;=DB_MS,INT(B675)&lt;=DB_ME),1,0)),0)</f>
        <v>0</v>
      </c>
      <c r="BX675" s="80">
        <f>IF(DB_PROJ="Todos",1,IF(E675&amp;""=DB_PROJ&amp;"",1,0))</f>
        <v>1</v>
      </c>
      <c r="BY675" s="80">
        <f>BW675*BX675</f>
        <v>0</v>
      </c>
      <c r="BZ675" s="80" t="str">
        <f>IF(Y675=1,F675&amp;IF(AND(F675&amp;""&lt;&gt;"",E675&amp;""&lt;&gt;"")," · ","")&amp;E675,"")</f>
        <v/>
      </c>
      <c r="CA675" s="80" t="str">
        <f>IF(AND(BD675=1,E675&amp;""&lt;&gt;""),IF(COUNTIFS($E$5:E674,E675,$BD$5:BD674,1)=0,MAX($CA$5:CA674)+1,""),"")</f>
        <v/>
      </c>
      <c r="CB675" s="80" t="str">
        <f>IF(AND(BE675=1,D675="Malcolm",E675&amp;""&lt;&gt;""),IF(COUNTIFS($D$5:D674,"Malcolm",$E$5:E674,E675,$BE$5:BE674,1)=0,MAX($CB$5:CB674)+1,""),"")</f>
        <v/>
      </c>
      <c r="CC675" s="80" t="str">
        <f>IF(AND(BD675=1,D675="proMX",E675&amp;""&lt;&gt;""),IF(COUNTIFS($D$5:D674,"proMX",$E$5:E674,E675,$BD$5:BD674,1)=0,MAX($CC$5:CC674)+1,""),"")</f>
        <v/>
      </c>
      <c r="CD675" s="80" t="str">
        <f>IF(AND(BE675=1,D675="Malcolm",F675&amp;""&lt;&gt;""),IF(COUNTIFS($D$5:D674,"Malcolm",$F$5:F674,F675,$BE$5:BE674,1)=0,MAX($CD$5:CD674)+1,""),"")</f>
        <v/>
      </c>
      <c r="CE675" s="80" t="str">
        <f>IF(AND(BD675=1,D675="proMX",F675&amp;""&lt;&gt;""),IF(COUNTIFS($D$5:D674,"proMX",$F$5:F674,F675,$BD$5:BD674,1)=0,MAX($CE$5:CE674)+1,""),"")</f>
        <v/>
      </c>
      <c r="CF675" s="80" t="str">
        <f>IF(AND(D675="proMX",BD675=1),IF(OR(BF675="Draft",BF675="Submitted",BF675="Returned",BF675="Recall Requested"),MAX($CF$5:CF674)+1,""),"")</f>
        <v/>
      </c>
      <c r="CG675" s="80">
        <f>IF(BD675=0,0,IF(D675="Malcolm",1,MATCH(BF675,{"Draft","Submitted","Approved","Returned","Recall Requested","Cancelled"},0)+1))</f>
        <v>0</v>
      </c>
      <c r="CH675" s="80">
        <f>IF(AND(BF675="Submitted",ISNUMBER(V675)),IF(V675&gt;CFG_MAXD,1,0),0)</f>
        <v>0</v>
      </c>
    </row>
    <row r="676">
      <c r="A676" s="71" t="str">
        <f>IF(Y676=1,ROW()-5,"")</f>
        <v/>
      </c>
      <c r="B676" s="72" t="n"/>
      <c r="C676" s="71" t="str">
        <f>IF(ISNUMBER(B676),CHOOSE(WEEKDAY(B676,2),"Lun","Mar","Mié","Jue","Vie","Sáb","Dom"),"")</f>
        <v/>
      </c>
      <c r="D676" s="73" t="n"/>
      <c r="E676" s="74" t="n"/>
      <c r="F676" s="74" t="n"/>
      <c r="G676" s="74" t="n"/>
      <c r="H676" s="75" t="n"/>
      <c r="I676" s="75" t="n"/>
      <c r="J676" s="76" t="n"/>
      <c r="K676" s="77" t="str">
        <f>IF(AB676=1,ROUND(AG676/60,4),"")</f>
        <v/>
      </c>
      <c r="L676" s="77" t="str">
        <f>IF(BD676=1,ROUND(AP676/60,4),"")</f>
        <v/>
      </c>
      <c r="M676" s="77" t="str">
        <f>IF(BD676=1,ROUND(AQ676/60,4),"")</f>
        <v/>
      </c>
      <c r="N676" s="71" t="str">
        <f>IF(AND(D676="proMX",AB676=1),ROUND(AG676/CFG_BLK,2),"")</f>
        <v/>
      </c>
      <c r="O676" s="77" t="str">
        <f>IF(D676="proMX",IF(BD676=1,ROUND(AG676/60,4),0),"")</f>
        <v/>
      </c>
      <c r="P676" s="78" t="str">
        <f>IF(Y676=0,"",IF(BD676=1,"OK",IF(D676="proMX","Revisar bloques: ","Revisar: ")&amp;BC676))</f>
        <v/>
      </c>
      <c r="Q676" s="78" t="str">
        <f>IF(NOT(ISNUMBER(B676)),"",IF(COUNTIFS(FER_F,INT(B676))&gt;0,"Feriado"&amp;IF(AH676=1," (laborable)"," (no laborable)"),IF(AH676=1,"Laborable",IF(WEEKDAY(B676,2)&gt;5,"Fin de semana","No laborable"))))</f>
        <v/>
      </c>
      <c r="R676" s="73" t="n"/>
      <c r="S676" s="72" t="n"/>
      <c r="T676" s="72" t="n"/>
      <c r="U676" s="74" t="n"/>
      <c r="V676" s="79" t="str">
        <f>IF(AND(D676="proMX",OR(R676="Submitted",R676="Recall Requested"),ISNUMBER(S676)),CFG_TODAY-INT(S676),"")</f>
        <v/>
      </c>
      <c r="W676" s="78" t="str">
        <f>IF(BD676=0,"",IF(BA676&gt;0,"⚠ Se superpone con un registro de la otra empresa",IF(D676="Malcolm",IF(COUNTA(R676,S676,T676)&gt;0,"Estado/fechas proMX se ignoran en Malcolm",""),IF(BF676="Cancelled","Cancelado: excluido de totales",IF(R676="","Sin estado: se trata como Draft",IF(BF676="Submitted",IF(ISNUMBER(V676),IF(V676&gt;CFG_MAXD,"⚠ "&amp;V676&amp;" días en Submitted (máx. "&amp;CFG_MAXD&amp;")",""),"Falta fecha de envío"),IF(BF676="Returned","⚠ Devuelto: corregir y reenviar",IF(BF676="Recall Requested","Retirada solicitada: pendiente",IF(AND(BF676="Approved",NOT(ISNUMBER(T676))),"Falta fecha de aprobación",IF(AND(ISNUMBER(S676),ISNUMBER(T676),T676&lt;S676),"Aprobación anterior al envío","")))))))))</f>
        <v/>
      </c>
      <c r="Y676" s="80">
        <f>IF(COUNTA(B676,D676,E676,F676,G676,H676,I676,J676,R676,S676,T676)&gt;0,1,0)</f>
        <v>0</v>
      </c>
      <c r="Z676" s="80" t="str">
        <f>IF(AND(ISNUMBER(H676),H676&gt;=0,H676&lt;1),ROUND(H676*1440,0),"")</f>
        <v/>
      </c>
      <c r="AA676" s="80" t="str">
        <f>IF(AND(ISNUMBER(I676),I676&gt;=0,I676&lt;1),ROUND(I676*1440,0),"")</f>
        <v/>
      </c>
      <c r="AB676" s="80">
        <f>IF(AND(ISNUMBER(B676),D676&lt;&gt;"",ISNUMBER(Z676),ISNUMBER(AA676)),IF(Z676=AA676,0,1),0)</f>
        <v>0</v>
      </c>
      <c r="AC676" s="80">
        <f>IF(AB676=1,IF(AA676&lt;Z676,1,0),0)</f>
        <v>0</v>
      </c>
      <c r="AD676" s="80">
        <f>IF(AB676=1,IF(AC676=1,1440-Z676+AA676,AA676-Z676),0)</f>
        <v>0</v>
      </c>
      <c r="AE676" s="80">
        <f>IF(J676="",0,IF(ISNUMBER(J676),J676,-1))</f>
        <v>0</v>
      </c>
      <c r="AF676" s="80">
        <f>MIN(MAX(0,AE676),AD676)</f>
        <v>0</v>
      </c>
      <c r="AG676" s="80">
        <f>MAX(0,AD676-MAX(0,AE676))</f>
        <v>0</v>
      </c>
      <c r="AH676" s="80">
        <f>IF(ISNUMBER(B676),IF(AND(INDEX(CFG_WDAYS,WEEKDAY(INT(B676),2))="Sí",IF(D676="proMX",COUNTIFS(FER_F,INT(B676),FER_NLP,"Sí"),COUNTIFS(FER_F,INT(B676),FER_NLM,"Sí"))=0),1,0),0)</f>
        <v>0</v>
      </c>
      <c r="AI676" s="80">
        <f>IF(AC676=1,IF(AND(INDEX(CFG_WDAYS,WEEKDAY(INT(B676)+1,2))="Sí",IF(D676="proMX",COUNTIFS(FER_F,INT(B676)+1,FER_NLP,"Sí"),COUNTIFS(FER_F,INT(B676)+1,FER_NLM,"Sí"))=0),1,0),0)</f>
        <v>0</v>
      </c>
      <c r="AJ676" s="80">
        <f>IF(AC676=1,1440-Z676,AD676)</f>
        <v>0</v>
      </c>
      <c r="AK676" s="80">
        <f>IF(AND(AB676=1,AH676=1),MAX(0,MIN(IF(AC676=1,1440,AA676),CFG_WEM)-MAX(Z676,CFG_WSM)),0)</f>
        <v>0</v>
      </c>
      <c r="AL676" s="80">
        <f>IF(AND(AC676=1,AI676=1),MAX(0,MIN(AA676,CFG_WEM)-CFG_WSM),0)</f>
        <v>0</v>
      </c>
      <c r="AM676" s="80">
        <f>AK676+AL676</f>
        <v>0</v>
      </c>
      <c r="AN676" s="80">
        <f>IF(CFG_BRK="Proporcional",IF(AD676=0,0,AF676*AM676/AD676),IF(CFG_BRK="Extras primero",MIN(AM676,MAX(0,AF676-(AD676-AM676))),MIN(AF676,AM676)))</f>
        <v>0</v>
      </c>
      <c r="AO676" s="80">
        <f>AF676-AN676</f>
        <v>0</v>
      </c>
      <c r="AP676" s="80">
        <f>AM676-AN676</f>
        <v>0</v>
      </c>
      <c r="AQ676" s="80">
        <f>AD676-AM676-AO676</f>
        <v>0</v>
      </c>
      <c r="AR676" s="80">
        <f>IF(AM676=0,0,AK676-AN676*AK676/AM676)</f>
        <v>0</v>
      </c>
      <c r="AS676" s="80">
        <f>IF(AD676-AM676=0,0,(AJ676-AK676)-AO676*(AJ676-AK676)/(AD676-AM676))</f>
        <v>0</v>
      </c>
      <c r="AT676" s="80" t="str">
        <f>IF(AC676=1,INT(B676)+1,"")</f>
        <v/>
      </c>
      <c r="AU676" s="80">
        <f>IF(AND(D676="proMX",R676="Cancelled"),0,1)</f>
        <v>1</v>
      </c>
      <c r="AV676" s="80">
        <f>IF(AND(AB676=1,AU676=1),IF(COUNTIFS($D$5:D675,D676,$B$5:B675,B676,$Z$5:Z675,Z676,$AA$5:AA675,AA676,$F$5:F675,F676&amp;"",$AU$5:AU675,1)&gt;0,1,0),0)</f>
        <v>0</v>
      </c>
      <c r="AW676" s="80" t="str">
        <f>IF(AB676=1,INT(B676)*1440+Z676,"")</f>
        <v/>
      </c>
      <c r="AX676" s="80" t="str">
        <f>IF(AB676=1,AW676+AD676,"")</f>
        <v/>
      </c>
      <c r="AY676" s="80">
        <f>IF(AND(AB676=1,AV676=0,AU676=1),1,0)</f>
        <v>0</v>
      </c>
      <c r="AZ676" s="80">
        <f>IF(AY676=1,COUNTIFS(R_Emp,D676,R_SAbs,"&lt;"&amp;AX676,R_EAbs,"&gt;"&amp;AW676,R_OKey,1)-1,0)</f>
        <v>0</v>
      </c>
      <c r="BA676" s="80">
        <f>IF(AY676=1,COUNTIFS(R_Emp,"&lt;&gt;"&amp;D676,R_SAbs,"&lt;"&amp;AX676,R_EAbs,"&gt;"&amp;AW676,R_OKey,1),0)</f>
        <v>0</v>
      </c>
      <c r="BB676" s="80">
        <f>IF(AND(AB676=1,D676="proMX"),IF(AND(MOD(Z676,CFG_BLK)=0,MOD(AA676,CFG_BLK)=0,MOD(AG676,CFG_BLK)=0,AG676&gt;0),1,0),1)</f>
        <v>1</v>
      </c>
      <c r="BC676" s="80" t="str">
        <f>IF(Y676=0,"",IF(NOT(ISNUMBER(B676)),"Falta fecha o fecha inválida",IF(D676="","Falta empresa",IF(AND(D676&lt;&gt;"Malcolm",D676&lt;&gt;"proMX"),"Empresa inválida",IF(OR(INT(B676)&lt;CFG_PSTART,INT(B676)&gt;CFG_PEND),"Fecha fuera del período",IF(OR(NOT(ISNUMBER(Z676)),NOT(ISNUMBER(AA676))),"Falta hora inicio/fin o formato inválido",IF(AB676=0,"Hora inicio = hora fin",IF(AE676&lt;0,"Descanso inválido",IF(AE676&gt;=AD676,"Descanso ≥ duración",IF(AV676=1,"Registro duplicado",IF(AZ676&gt;0,"Se superpone con otro registro "&amp;D676,IF(BB676=0,"inicio, fin y duración neta deben ser múltiplos de "&amp;CFG_BLK&amp;" min",""))))))))))))</f>
        <v/>
      </c>
      <c r="BD676" s="80">
        <f>IF(AND(Y676=1,BC676=""),1,0)</f>
        <v>0</v>
      </c>
      <c r="BE676" s="80">
        <f>IF(AND(BD676=1,AU676=1),1,0)</f>
        <v>0</v>
      </c>
      <c r="BF676" s="80" t="str">
        <f>IF(AND(D676="proMX",BD676=1),IF(R676="","Draft",R676),"")</f>
        <v/>
      </c>
      <c r="BG676" s="80">
        <f>IF(BD676=1,ROUND(AG676/60,6),0)</f>
        <v>0</v>
      </c>
      <c r="BH676" s="80">
        <f>IF(BE676=1,ROUND(AG676/60,6),0)</f>
        <v>0</v>
      </c>
      <c r="BI676" s="80">
        <f>IF(BE676=1,ROUND(AP676/60,6),0)</f>
        <v>0</v>
      </c>
      <c r="BJ676" s="80">
        <f>IF(BE676=1,ROUND(AQ676/60,6),0)</f>
        <v>0</v>
      </c>
      <c r="BK676" s="80">
        <f>IF(BE676=1,ROUND((AR676+AS676)/60,6),0)</f>
        <v>0</v>
      </c>
      <c r="BL676" s="80">
        <f>ROUND(BH676-BK676,6)</f>
        <v>0</v>
      </c>
      <c r="BM676" s="80">
        <f>IF(BE676=1,ROUND(AR676/60,6),0)</f>
        <v>0</v>
      </c>
      <c r="BN676" s="80">
        <f>ROUND(BI676-BM676,6)</f>
        <v>0</v>
      </c>
      <c r="BO676" s="80">
        <f>IF(BE676=1,ROUND(AS676/60,6),0)</f>
        <v>0</v>
      </c>
      <c r="BP676" s="80">
        <f>ROUND(BJ676-BO676,6)</f>
        <v>0</v>
      </c>
      <c r="BQ676" s="80">
        <f>IF(BE676=1,AW676,0)</f>
        <v>0</v>
      </c>
      <c r="BR676" s="80">
        <f>IF(BE676=1,AX676,0)</f>
        <v>0</v>
      </c>
      <c r="BS676" s="80">
        <f>IF(AND(BE676=1,D676="Malcolm",BA676&gt;0),MIN(BH676,SUMPRODUCT((R_Emp="proMX")*(R_EN&gt;0)*((R_EN-(R_EN&gt;BR676)*(R_EN-BR676))&gt;(R_SN+(R_SN&lt;BQ676)*(BQ676-R_SN)))*((R_EN-(R_EN&gt;BR676)*(R_EN-BR676))-(R_SN+(R_SN&lt;BQ676)*(BQ676-R_SN))))/60),0)</f>
        <v>0</v>
      </c>
      <c r="BT676" s="80">
        <f>IF(AND(BE676=1,D676="proMX"),ROUND(BI676*CFG_RATE+BJ676*CFG_OTRATE,6),0)</f>
        <v>0</v>
      </c>
      <c r="BU676" s="80">
        <f>IF(AND(BD676=1,D676="proMX"),ROUND(AG676/CFG_BLK,6),0)</f>
        <v>0</v>
      </c>
      <c r="BV676" s="80" t="str">
        <f>IF(BF676="Approved",IF(ISNUMBER(T676),INT(T676),INT(B676)),"")</f>
        <v/>
      </c>
      <c r="BW676" s="80">
        <f>IF(ISNUMBER(B676),IF(DB_MON="Todos",1,IF(AND(INT(B676)&gt;=DB_MS,INT(B676)&lt;=DB_ME),1,0)),0)</f>
        <v>0</v>
      </c>
      <c r="BX676" s="80">
        <f>IF(DB_PROJ="Todos",1,IF(E676&amp;""=DB_PROJ&amp;"",1,0))</f>
        <v>1</v>
      </c>
      <c r="BY676" s="80">
        <f>BW676*BX676</f>
        <v>0</v>
      </c>
      <c r="BZ676" s="80" t="str">
        <f>IF(Y676=1,F676&amp;IF(AND(F676&amp;""&lt;&gt;"",E676&amp;""&lt;&gt;"")," · ","")&amp;E676,"")</f>
        <v/>
      </c>
      <c r="CA676" s="80" t="str">
        <f>IF(AND(BD676=1,E676&amp;""&lt;&gt;""),IF(COUNTIFS($E$5:E675,E676,$BD$5:BD675,1)=0,MAX($CA$5:CA675)+1,""),"")</f>
        <v/>
      </c>
      <c r="CB676" s="80" t="str">
        <f>IF(AND(BE676=1,D676="Malcolm",E676&amp;""&lt;&gt;""),IF(COUNTIFS($D$5:D675,"Malcolm",$E$5:E675,E676,$BE$5:BE675,1)=0,MAX($CB$5:CB675)+1,""),"")</f>
        <v/>
      </c>
      <c r="CC676" s="80" t="str">
        <f>IF(AND(BD676=1,D676="proMX",E676&amp;""&lt;&gt;""),IF(COUNTIFS($D$5:D675,"proMX",$E$5:E675,E676,$BD$5:BD675,1)=0,MAX($CC$5:CC675)+1,""),"")</f>
        <v/>
      </c>
      <c r="CD676" s="80" t="str">
        <f>IF(AND(BE676=1,D676="Malcolm",F676&amp;""&lt;&gt;""),IF(COUNTIFS($D$5:D675,"Malcolm",$F$5:F675,F676,$BE$5:BE675,1)=0,MAX($CD$5:CD675)+1,""),"")</f>
        <v/>
      </c>
      <c r="CE676" s="80" t="str">
        <f>IF(AND(BD676=1,D676="proMX",F676&amp;""&lt;&gt;""),IF(COUNTIFS($D$5:D675,"proMX",$F$5:F675,F676,$BD$5:BD675,1)=0,MAX($CE$5:CE675)+1,""),"")</f>
        <v/>
      </c>
      <c r="CF676" s="80" t="str">
        <f>IF(AND(D676="proMX",BD676=1),IF(OR(BF676="Draft",BF676="Submitted",BF676="Returned",BF676="Recall Requested"),MAX($CF$5:CF675)+1,""),"")</f>
        <v/>
      </c>
      <c r="CG676" s="80">
        <f>IF(BD676=0,0,IF(D676="Malcolm",1,MATCH(BF676,{"Draft","Submitted","Approved","Returned","Recall Requested","Cancelled"},0)+1))</f>
        <v>0</v>
      </c>
      <c r="CH676" s="80">
        <f>IF(AND(BF676="Submitted",ISNUMBER(V676)),IF(V676&gt;CFG_MAXD,1,0),0)</f>
        <v>0</v>
      </c>
    </row>
    <row r="677">
      <c r="A677" s="71" t="str">
        <f>IF(Y677=1,ROW()-5,"")</f>
        <v/>
      </c>
      <c r="B677" s="72" t="n"/>
      <c r="C677" s="71" t="str">
        <f>IF(ISNUMBER(B677),CHOOSE(WEEKDAY(B677,2),"Lun","Mar","Mié","Jue","Vie","Sáb","Dom"),"")</f>
        <v/>
      </c>
      <c r="D677" s="73" t="n"/>
      <c r="E677" s="74" t="n"/>
      <c r="F677" s="74" t="n"/>
      <c r="G677" s="74" t="n"/>
      <c r="H677" s="75" t="n"/>
      <c r="I677" s="75" t="n"/>
      <c r="J677" s="76" t="n"/>
      <c r="K677" s="77" t="str">
        <f>IF(AB677=1,ROUND(AG677/60,4),"")</f>
        <v/>
      </c>
      <c r="L677" s="77" t="str">
        <f>IF(BD677=1,ROUND(AP677/60,4),"")</f>
        <v/>
      </c>
      <c r="M677" s="77" t="str">
        <f>IF(BD677=1,ROUND(AQ677/60,4),"")</f>
        <v/>
      </c>
      <c r="N677" s="71" t="str">
        <f>IF(AND(D677="proMX",AB677=1),ROUND(AG677/CFG_BLK,2),"")</f>
        <v/>
      </c>
      <c r="O677" s="77" t="str">
        <f>IF(D677="proMX",IF(BD677=1,ROUND(AG677/60,4),0),"")</f>
        <v/>
      </c>
      <c r="P677" s="78" t="str">
        <f>IF(Y677=0,"",IF(BD677=1,"OK",IF(D677="proMX","Revisar bloques: ","Revisar: ")&amp;BC677))</f>
        <v/>
      </c>
      <c r="Q677" s="78" t="str">
        <f>IF(NOT(ISNUMBER(B677)),"",IF(COUNTIFS(FER_F,INT(B677))&gt;0,"Feriado"&amp;IF(AH677=1," (laborable)"," (no laborable)"),IF(AH677=1,"Laborable",IF(WEEKDAY(B677,2)&gt;5,"Fin de semana","No laborable"))))</f>
        <v/>
      </c>
      <c r="R677" s="73" t="n"/>
      <c r="S677" s="72" t="n"/>
      <c r="T677" s="72" t="n"/>
      <c r="U677" s="74" t="n"/>
      <c r="V677" s="79" t="str">
        <f>IF(AND(D677="proMX",OR(R677="Submitted",R677="Recall Requested"),ISNUMBER(S677)),CFG_TODAY-INT(S677),"")</f>
        <v/>
      </c>
      <c r="W677" s="78" t="str">
        <f>IF(BD677=0,"",IF(BA677&gt;0,"⚠ Se superpone con un registro de la otra empresa",IF(D677="Malcolm",IF(COUNTA(R677,S677,T677)&gt;0,"Estado/fechas proMX se ignoran en Malcolm",""),IF(BF677="Cancelled","Cancelado: excluido de totales",IF(R677="","Sin estado: se trata como Draft",IF(BF677="Submitted",IF(ISNUMBER(V677),IF(V677&gt;CFG_MAXD,"⚠ "&amp;V677&amp;" días en Submitted (máx. "&amp;CFG_MAXD&amp;")",""),"Falta fecha de envío"),IF(BF677="Returned","⚠ Devuelto: corregir y reenviar",IF(BF677="Recall Requested","Retirada solicitada: pendiente",IF(AND(BF677="Approved",NOT(ISNUMBER(T677))),"Falta fecha de aprobación",IF(AND(ISNUMBER(S677),ISNUMBER(T677),T677&lt;S677),"Aprobación anterior al envío","")))))))))</f>
        <v/>
      </c>
      <c r="Y677" s="80">
        <f>IF(COUNTA(B677,D677,E677,F677,G677,H677,I677,J677,R677,S677,T677)&gt;0,1,0)</f>
        <v>0</v>
      </c>
      <c r="Z677" s="80" t="str">
        <f>IF(AND(ISNUMBER(H677),H677&gt;=0,H677&lt;1),ROUND(H677*1440,0),"")</f>
        <v/>
      </c>
      <c r="AA677" s="80" t="str">
        <f>IF(AND(ISNUMBER(I677),I677&gt;=0,I677&lt;1),ROUND(I677*1440,0),"")</f>
        <v/>
      </c>
      <c r="AB677" s="80">
        <f>IF(AND(ISNUMBER(B677),D677&lt;&gt;"",ISNUMBER(Z677),ISNUMBER(AA677)),IF(Z677=AA677,0,1),0)</f>
        <v>0</v>
      </c>
      <c r="AC677" s="80">
        <f>IF(AB677=1,IF(AA677&lt;Z677,1,0),0)</f>
        <v>0</v>
      </c>
      <c r="AD677" s="80">
        <f>IF(AB677=1,IF(AC677=1,1440-Z677+AA677,AA677-Z677),0)</f>
        <v>0</v>
      </c>
      <c r="AE677" s="80">
        <f>IF(J677="",0,IF(ISNUMBER(J677),J677,-1))</f>
        <v>0</v>
      </c>
      <c r="AF677" s="80">
        <f>MIN(MAX(0,AE677),AD677)</f>
        <v>0</v>
      </c>
      <c r="AG677" s="80">
        <f>MAX(0,AD677-MAX(0,AE677))</f>
        <v>0</v>
      </c>
      <c r="AH677" s="80">
        <f>IF(ISNUMBER(B677),IF(AND(INDEX(CFG_WDAYS,WEEKDAY(INT(B677),2))="Sí",IF(D677="proMX",COUNTIFS(FER_F,INT(B677),FER_NLP,"Sí"),COUNTIFS(FER_F,INT(B677),FER_NLM,"Sí"))=0),1,0),0)</f>
        <v>0</v>
      </c>
      <c r="AI677" s="80">
        <f>IF(AC677=1,IF(AND(INDEX(CFG_WDAYS,WEEKDAY(INT(B677)+1,2))="Sí",IF(D677="proMX",COUNTIFS(FER_F,INT(B677)+1,FER_NLP,"Sí"),COUNTIFS(FER_F,INT(B677)+1,FER_NLM,"Sí"))=0),1,0),0)</f>
        <v>0</v>
      </c>
      <c r="AJ677" s="80">
        <f>IF(AC677=1,1440-Z677,AD677)</f>
        <v>0</v>
      </c>
      <c r="AK677" s="80">
        <f>IF(AND(AB677=1,AH677=1),MAX(0,MIN(IF(AC677=1,1440,AA677),CFG_WEM)-MAX(Z677,CFG_WSM)),0)</f>
        <v>0</v>
      </c>
      <c r="AL677" s="80">
        <f>IF(AND(AC677=1,AI677=1),MAX(0,MIN(AA677,CFG_WEM)-CFG_WSM),0)</f>
        <v>0</v>
      </c>
      <c r="AM677" s="80">
        <f>AK677+AL677</f>
        <v>0</v>
      </c>
      <c r="AN677" s="80">
        <f>IF(CFG_BRK="Proporcional",IF(AD677=0,0,AF677*AM677/AD677),IF(CFG_BRK="Extras primero",MIN(AM677,MAX(0,AF677-(AD677-AM677))),MIN(AF677,AM677)))</f>
        <v>0</v>
      </c>
      <c r="AO677" s="80">
        <f>AF677-AN677</f>
        <v>0</v>
      </c>
      <c r="AP677" s="80">
        <f>AM677-AN677</f>
        <v>0</v>
      </c>
      <c r="AQ677" s="80">
        <f>AD677-AM677-AO677</f>
        <v>0</v>
      </c>
      <c r="AR677" s="80">
        <f>IF(AM677=0,0,AK677-AN677*AK677/AM677)</f>
        <v>0</v>
      </c>
      <c r="AS677" s="80">
        <f>IF(AD677-AM677=0,0,(AJ677-AK677)-AO677*(AJ677-AK677)/(AD677-AM677))</f>
        <v>0</v>
      </c>
      <c r="AT677" s="80" t="str">
        <f>IF(AC677=1,INT(B677)+1,"")</f>
        <v/>
      </c>
      <c r="AU677" s="80">
        <f>IF(AND(D677="proMX",R677="Cancelled"),0,1)</f>
        <v>1</v>
      </c>
      <c r="AV677" s="80">
        <f>IF(AND(AB677=1,AU677=1),IF(COUNTIFS($D$5:D676,D677,$B$5:B676,B677,$Z$5:Z676,Z677,$AA$5:AA676,AA677,$F$5:F676,F677&amp;"",$AU$5:AU676,1)&gt;0,1,0),0)</f>
        <v>0</v>
      </c>
      <c r="AW677" s="80" t="str">
        <f>IF(AB677=1,INT(B677)*1440+Z677,"")</f>
        <v/>
      </c>
      <c r="AX677" s="80" t="str">
        <f>IF(AB677=1,AW677+AD677,"")</f>
        <v/>
      </c>
      <c r="AY677" s="80">
        <f>IF(AND(AB677=1,AV677=0,AU677=1),1,0)</f>
        <v>0</v>
      </c>
      <c r="AZ677" s="80">
        <f>IF(AY677=1,COUNTIFS(R_Emp,D677,R_SAbs,"&lt;"&amp;AX677,R_EAbs,"&gt;"&amp;AW677,R_OKey,1)-1,0)</f>
        <v>0</v>
      </c>
      <c r="BA677" s="80">
        <f>IF(AY677=1,COUNTIFS(R_Emp,"&lt;&gt;"&amp;D677,R_SAbs,"&lt;"&amp;AX677,R_EAbs,"&gt;"&amp;AW677,R_OKey,1),0)</f>
        <v>0</v>
      </c>
      <c r="BB677" s="80">
        <f>IF(AND(AB677=1,D677="proMX"),IF(AND(MOD(Z677,CFG_BLK)=0,MOD(AA677,CFG_BLK)=0,MOD(AG677,CFG_BLK)=0,AG677&gt;0),1,0),1)</f>
        <v>1</v>
      </c>
      <c r="BC677" s="80" t="str">
        <f>IF(Y677=0,"",IF(NOT(ISNUMBER(B677)),"Falta fecha o fecha inválida",IF(D677="","Falta empresa",IF(AND(D677&lt;&gt;"Malcolm",D677&lt;&gt;"proMX"),"Empresa inválida",IF(OR(INT(B677)&lt;CFG_PSTART,INT(B677)&gt;CFG_PEND),"Fecha fuera del período",IF(OR(NOT(ISNUMBER(Z677)),NOT(ISNUMBER(AA677))),"Falta hora inicio/fin o formato inválido",IF(AB677=0,"Hora inicio = hora fin",IF(AE677&lt;0,"Descanso inválido",IF(AE677&gt;=AD677,"Descanso ≥ duración",IF(AV677=1,"Registro duplicado",IF(AZ677&gt;0,"Se superpone con otro registro "&amp;D677,IF(BB677=0,"inicio, fin y duración neta deben ser múltiplos de "&amp;CFG_BLK&amp;" min",""))))))))))))</f>
        <v/>
      </c>
      <c r="BD677" s="80">
        <f>IF(AND(Y677=1,BC677=""),1,0)</f>
        <v>0</v>
      </c>
      <c r="BE677" s="80">
        <f>IF(AND(BD677=1,AU677=1),1,0)</f>
        <v>0</v>
      </c>
      <c r="BF677" s="80" t="str">
        <f>IF(AND(D677="proMX",BD677=1),IF(R677="","Draft",R677),"")</f>
        <v/>
      </c>
      <c r="BG677" s="80">
        <f>IF(BD677=1,ROUND(AG677/60,6),0)</f>
        <v>0</v>
      </c>
      <c r="BH677" s="80">
        <f>IF(BE677=1,ROUND(AG677/60,6),0)</f>
        <v>0</v>
      </c>
      <c r="BI677" s="80">
        <f>IF(BE677=1,ROUND(AP677/60,6),0)</f>
        <v>0</v>
      </c>
      <c r="BJ677" s="80">
        <f>IF(BE677=1,ROUND(AQ677/60,6),0)</f>
        <v>0</v>
      </c>
      <c r="BK677" s="80">
        <f>IF(BE677=1,ROUND((AR677+AS677)/60,6),0)</f>
        <v>0</v>
      </c>
      <c r="BL677" s="80">
        <f>ROUND(BH677-BK677,6)</f>
        <v>0</v>
      </c>
      <c r="BM677" s="80">
        <f>IF(BE677=1,ROUND(AR677/60,6),0)</f>
        <v>0</v>
      </c>
      <c r="BN677" s="80">
        <f>ROUND(BI677-BM677,6)</f>
        <v>0</v>
      </c>
      <c r="BO677" s="80">
        <f>IF(BE677=1,ROUND(AS677/60,6),0)</f>
        <v>0</v>
      </c>
      <c r="BP677" s="80">
        <f>ROUND(BJ677-BO677,6)</f>
        <v>0</v>
      </c>
      <c r="BQ677" s="80">
        <f>IF(BE677=1,AW677,0)</f>
        <v>0</v>
      </c>
      <c r="BR677" s="80">
        <f>IF(BE677=1,AX677,0)</f>
        <v>0</v>
      </c>
      <c r="BS677" s="80">
        <f>IF(AND(BE677=1,D677="Malcolm",BA677&gt;0),MIN(BH677,SUMPRODUCT((R_Emp="proMX")*(R_EN&gt;0)*((R_EN-(R_EN&gt;BR677)*(R_EN-BR677))&gt;(R_SN+(R_SN&lt;BQ677)*(BQ677-R_SN)))*((R_EN-(R_EN&gt;BR677)*(R_EN-BR677))-(R_SN+(R_SN&lt;BQ677)*(BQ677-R_SN))))/60),0)</f>
        <v>0</v>
      </c>
      <c r="BT677" s="80">
        <f>IF(AND(BE677=1,D677="proMX"),ROUND(BI677*CFG_RATE+BJ677*CFG_OTRATE,6),0)</f>
        <v>0</v>
      </c>
      <c r="BU677" s="80">
        <f>IF(AND(BD677=1,D677="proMX"),ROUND(AG677/CFG_BLK,6),0)</f>
        <v>0</v>
      </c>
      <c r="BV677" s="80" t="str">
        <f>IF(BF677="Approved",IF(ISNUMBER(T677),INT(T677),INT(B677)),"")</f>
        <v/>
      </c>
      <c r="BW677" s="80">
        <f>IF(ISNUMBER(B677),IF(DB_MON="Todos",1,IF(AND(INT(B677)&gt;=DB_MS,INT(B677)&lt;=DB_ME),1,0)),0)</f>
        <v>0</v>
      </c>
      <c r="BX677" s="80">
        <f>IF(DB_PROJ="Todos",1,IF(E677&amp;""=DB_PROJ&amp;"",1,0))</f>
        <v>1</v>
      </c>
      <c r="BY677" s="80">
        <f>BW677*BX677</f>
        <v>0</v>
      </c>
      <c r="BZ677" s="80" t="str">
        <f>IF(Y677=1,F677&amp;IF(AND(F677&amp;""&lt;&gt;"",E677&amp;""&lt;&gt;"")," · ","")&amp;E677,"")</f>
        <v/>
      </c>
      <c r="CA677" s="80" t="str">
        <f>IF(AND(BD677=1,E677&amp;""&lt;&gt;""),IF(COUNTIFS($E$5:E676,E677,$BD$5:BD676,1)=0,MAX($CA$5:CA676)+1,""),"")</f>
        <v/>
      </c>
      <c r="CB677" s="80" t="str">
        <f>IF(AND(BE677=1,D677="Malcolm",E677&amp;""&lt;&gt;""),IF(COUNTIFS($D$5:D676,"Malcolm",$E$5:E676,E677,$BE$5:BE676,1)=0,MAX($CB$5:CB676)+1,""),"")</f>
        <v/>
      </c>
      <c r="CC677" s="80" t="str">
        <f>IF(AND(BD677=1,D677="proMX",E677&amp;""&lt;&gt;""),IF(COUNTIFS($D$5:D676,"proMX",$E$5:E676,E677,$BD$5:BD676,1)=0,MAX($CC$5:CC676)+1,""),"")</f>
        <v/>
      </c>
      <c r="CD677" s="80" t="str">
        <f>IF(AND(BE677=1,D677="Malcolm",F677&amp;""&lt;&gt;""),IF(COUNTIFS($D$5:D676,"Malcolm",$F$5:F676,F677,$BE$5:BE676,1)=0,MAX($CD$5:CD676)+1,""),"")</f>
        <v/>
      </c>
      <c r="CE677" s="80" t="str">
        <f>IF(AND(BD677=1,D677="proMX",F677&amp;""&lt;&gt;""),IF(COUNTIFS($D$5:D676,"proMX",$F$5:F676,F677,$BD$5:BD676,1)=0,MAX($CE$5:CE676)+1,""),"")</f>
        <v/>
      </c>
      <c r="CF677" s="80" t="str">
        <f>IF(AND(D677="proMX",BD677=1),IF(OR(BF677="Draft",BF677="Submitted",BF677="Returned",BF677="Recall Requested"),MAX($CF$5:CF676)+1,""),"")</f>
        <v/>
      </c>
      <c r="CG677" s="80">
        <f>IF(BD677=0,0,IF(D677="Malcolm",1,MATCH(BF677,{"Draft","Submitted","Approved","Returned","Recall Requested","Cancelled"},0)+1))</f>
        <v>0</v>
      </c>
      <c r="CH677" s="80">
        <f>IF(AND(BF677="Submitted",ISNUMBER(V677)),IF(V677&gt;CFG_MAXD,1,0),0)</f>
        <v>0</v>
      </c>
    </row>
    <row r="678">
      <c r="A678" s="71" t="str">
        <f>IF(Y678=1,ROW()-5,"")</f>
        <v/>
      </c>
      <c r="B678" s="72" t="n"/>
      <c r="C678" s="71" t="str">
        <f>IF(ISNUMBER(B678),CHOOSE(WEEKDAY(B678,2),"Lun","Mar","Mié","Jue","Vie","Sáb","Dom"),"")</f>
        <v/>
      </c>
      <c r="D678" s="73" t="n"/>
      <c r="E678" s="74" t="n"/>
      <c r="F678" s="74" t="n"/>
      <c r="G678" s="74" t="n"/>
      <c r="H678" s="75" t="n"/>
      <c r="I678" s="75" t="n"/>
      <c r="J678" s="76" t="n"/>
      <c r="K678" s="77" t="str">
        <f>IF(AB678=1,ROUND(AG678/60,4),"")</f>
        <v/>
      </c>
      <c r="L678" s="77" t="str">
        <f>IF(BD678=1,ROUND(AP678/60,4),"")</f>
        <v/>
      </c>
      <c r="M678" s="77" t="str">
        <f>IF(BD678=1,ROUND(AQ678/60,4),"")</f>
        <v/>
      </c>
      <c r="N678" s="71" t="str">
        <f>IF(AND(D678="proMX",AB678=1),ROUND(AG678/CFG_BLK,2),"")</f>
        <v/>
      </c>
      <c r="O678" s="77" t="str">
        <f>IF(D678="proMX",IF(BD678=1,ROUND(AG678/60,4),0),"")</f>
        <v/>
      </c>
      <c r="P678" s="78" t="str">
        <f>IF(Y678=0,"",IF(BD678=1,"OK",IF(D678="proMX","Revisar bloques: ","Revisar: ")&amp;BC678))</f>
        <v/>
      </c>
      <c r="Q678" s="78" t="str">
        <f>IF(NOT(ISNUMBER(B678)),"",IF(COUNTIFS(FER_F,INT(B678))&gt;0,"Feriado"&amp;IF(AH678=1," (laborable)"," (no laborable)"),IF(AH678=1,"Laborable",IF(WEEKDAY(B678,2)&gt;5,"Fin de semana","No laborable"))))</f>
        <v/>
      </c>
      <c r="R678" s="73" t="n"/>
      <c r="S678" s="72" t="n"/>
      <c r="T678" s="72" t="n"/>
      <c r="U678" s="74" t="n"/>
      <c r="V678" s="79" t="str">
        <f>IF(AND(D678="proMX",OR(R678="Submitted",R678="Recall Requested"),ISNUMBER(S678)),CFG_TODAY-INT(S678),"")</f>
        <v/>
      </c>
      <c r="W678" s="78" t="str">
        <f>IF(BD678=0,"",IF(BA678&gt;0,"⚠ Se superpone con un registro de la otra empresa",IF(D678="Malcolm",IF(COUNTA(R678,S678,T678)&gt;0,"Estado/fechas proMX se ignoran en Malcolm",""),IF(BF678="Cancelled","Cancelado: excluido de totales",IF(R678="","Sin estado: se trata como Draft",IF(BF678="Submitted",IF(ISNUMBER(V678),IF(V678&gt;CFG_MAXD,"⚠ "&amp;V678&amp;" días en Submitted (máx. "&amp;CFG_MAXD&amp;")",""),"Falta fecha de envío"),IF(BF678="Returned","⚠ Devuelto: corregir y reenviar",IF(BF678="Recall Requested","Retirada solicitada: pendiente",IF(AND(BF678="Approved",NOT(ISNUMBER(T678))),"Falta fecha de aprobación",IF(AND(ISNUMBER(S678),ISNUMBER(T678),T678&lt;S678),"Aprobación anterior al envío","")))))))))</f>
        <v/>
      </c>
      <c r="Y678" s="80">
        <f>IF(COUNTA(B678,D678,E678,F678,G678,H678,I678,J678,R678,S678,T678)&gt;0,1,0)</f>
        <v>0</v>
      </c>
      <c r="Z678" s="80" t="str">
        <f>IF(AND(ISNUMBER(H678),H678&gt;=0,H678&lt;1),ROUND(H678*1440,0),"")</f>
        <v/>
      </c>
      <c r="AA678" s="80" t="str">
        <f>IF(AND(ISNUMBER(I678),I678&gt;=0,I678&lt;1),ROUND(I678*1440,0),"")</f>
        <v/>
      </c>
      <c r="AB678" s="80">
        <f>IF(AND(ISNUMBER(B678),D678&lt;&gt;"",ISNUMBER(Z678),ISNUMBER(AA678)),IF(Z678=AA678,0,1),0)</f>
        <v>0</v>
      </c>
      <c r="AC678" s="80">
        <f>IF(AB678=1,IF(AA678&lt;Z678,1,0),0)</f>
        <v>0</v>
      </c>
      <c r="AD678" s="80">
        <f>IF(AB678=1,IF(AC678=1,1440-Z678+AA678,AA678-Z678),0)</f>
        <v>0</v>
      </c>
      <c r="AE678" s="80">
        <f>IF(J678="",0,IF(ISNUMBER(J678),J678,-1))</f>
        <v>0</v>
      </c>
      <c r="AF678" s="80">
        <f>MIN(MAX(0,AE678),AD678)</f>
        <v>0</v>
      </c>
      <c r="AG678" s="80">
        <f>MAX(0,AD678-MAX(0,AE678))</f>
        <v>0</v>
      </c>
      <c r="AH678" s="80">
        <f>IF(ISNUMBER(B678),IF(AND(INDEX(CFG_WDAYS,WEEKDAY(INT(B678),2))="Sí",IF(D678="proMX",COUNTIFS(FER_F,INT(B678),FER_NLP,"Sí"),COUNTIFS(FER_F,INT(B678),FER_NLM,"Sí"))=0),1,0),0)</f>
        <v>0</v>
      </c>
      <c r="AI678" s="80">
        <f>IF(AC678=1,IF(AND(INDEX(CFG_WDAYS,WEEKDAY(INT(B678)+1,2))="Sí",IF(D678="proMX",COUNTIFS(FER_F,INT(B678)+1,FER_NLP,"Sí"),COUNTIFS(FER_F,INT(B678)+1,FER_NLM,"Sí"))=0),1,0),0)</f>
        <v>0</v>
      </c>
      <c r="AJ678" s="80">
        <f>IF(AC678=1,1440-Z678,AD678)</f>
        <v>0</v>
      </c>
      <c r="AK678" s="80">
        <f>IF(AND(AB678=1,AH678=1),MAX(0,MIN(IF(AC678=1,1440,AA678),CFG_WEM)-MAX(Z678,CFG_WSM)),0)</f>
        <v>0</v>
      </c>
      <c r="AL678" s="80">
        <f>IF(AND(AC678=1,AI678=1),MAX(0,MIN(AA678,CFG_WEM)-CFG_WSM),0)</f>
        <v>0</v>
      </c>
      <c r="AM678" s="80">
        <f>AK678+AL678</f>
        <v>0</v>
      </c>
      <c r="AN678" s="80">
        <f>IF(CFG_BRK="Proporcional",IF(AD678=0,0,AF678*AM678/AD678),IF(CFG_BRK="Extras primero",MIN(AM678,MAX(0,AF678-(AD678-AM678))),MIN(AF678,AM678)))</f>
        <v>0</v>
      </c>
      <c r="AO678" s="80">
        <f>AF678-AN678</f>
        <v>0</v>
      </c>
      <c r="AP678" s="80">
        <f>AM678-AN678</f>
        <v>0</v>
      </c>
      <c r="AQ678" s="80">
        <f>AD678-AM678-AO678</f>
        <v>0</v>
      </c>
      <c r="AR678" s="80">
        <f>IF(AM678=0,0,AK678-AN678*AK678/AM678)</f>
        <v>0</v>
      </c>
      <c r="AS678" s="80">
        <f>IF(AD678-AM678=0,0,(AJ678-AK678)-AO678*(AJ678-AK678)/(AD678-AM678))</f>
        <v>0</v>
      </c>
      <c r="AT678" s="80" t="str">
        <f>IF(AC678=1,INT(B678)+1,"")</f>
        <v/>
      </c>
      <c r="AU678" s="80">
        <f>IF(AND(D678="proMX",R678="Cancelled"),0,1)</f>
        <v>1</v>
      </c>
      <c r="AV678" s="80">
        <f>IF(AND(AB678=1,AU678=1),IF(COUNTIFS($D$5:D677,D678,$B$5:B677,B678,$Z$5:Z677,Z678,$AA$5:AA677,AA678,$F$5:F677,F678&amp;"",$AU$5:AU677,1)&gt;0,1,0),0)</f>
        <v>0</v>
      </c>
      <c r="AW678" s="80" t="str">
        <f>IF(AB678=1,INT(B678)*1440+Z678,"")</f>
        <v/>
      </c>
      <c r="AX678" s="80" t="str">
        <f>IF(AB678=1,AW678+AD678,"")</f>
        <v/>
      </c>
      <c r="AY678" s="80">
        <f>IF(AND(AB678=1,AV678=0,AU678=1),1,0)</f>
        <v>0</v>
      </c>
      <c r="AZ678" s="80">
        <f>IF(AY678=1,COUNTIFS(R_Emp,D678,R_SAbs,"&lt;"&amp;AX678,R_EAbs,"&gt;"&amp;AW678,R_OKey,1)-1,0)</f>
        <v>0</v>
      </c>
      <c r="BA678" s="80">
        <f>IF(AY678=1,COUNTIFS(R_Emp,"&lt;&gt;"&amp;D678,R_SAbs,"&lt;"&amp;AX678,R_EAbs,"&gt;"&amp;AW678,R_OKey,1),0)</f>
        <v>0</v>
      </c>
      <c r="BB678" s="80">
        <f>IF(AND(AB678=1,D678="proMX"),IF(AND(MOD(Z678,CFG_BLK)=0,MOD(AA678,CFG_BLK)=0,MOD(AG678,CFG_BLK)=0,AG678&gt;0),1,0),1)</f>
        <v>1</v>
      </c>
      <c r="BC678" s="80" t="str">
        <f>IF(Y678=0,"",IF(NOT(ISNUMBER(B678)),"Falta fecha o fecha inválida",IF(D678="","Falta empresa",IF(AND(D678&lt;&gt;"Malcolm",D678&lt;&gt;"proMX"),"Empresa inválida",IF(OR(INT(B678)&lt;CFG_PSTART,INT(B678)&gt;CFG_PEND),"Fecha fuera del período",IF(OR(NOT(ISNUMBER(Z678)),NOT(ISNUMBER(AA678))),"Falta hora inicio/fin o formato inválido",IF(AB678=0,"Hora inicio = hora fin",IF(AE678&lt;0,"Descanso inválido",IF(AE678&gt;=AD678,"Descanso ≥ duración",IF(AV678=1,"Registro duplicado",IF(AZ678&gt;0,"Se superpone con otro registro "&amp;D678,IF(BB678=0,"inicio, fin y duración neta deben ser múltiplos de "&amp;CFG_BLK&amp;" min",""))))))))))))</f>
        <v/>
      </c>
      <c r="BD678" s="80">
        <f>IF(AND(Y678=1,BC678=""),1,0)</f>
        <v>0</v>
      </c>
      <c r="BE678" s="80">
        <f>IF(AND(BD678=1,AU678=1),1,0)</f>
        <v>0</v>
      </c>
      <c r="BF678" s="80" t="str">
        <f>IF(AND(D678="proMX",BD678=1),IF(R678="","Draft",R678),"")</f>
        <v/>
      </c>
      <c r="BG678" s="80">
        <f>IF(BD678=1,ROUND(AG678/60,6),0)</f>
        <v>0</v>
      </c>
      <c r="BH678" s="80">
        <f>IF(BE678=1,ROUND(AG678/60,6),0)</f>
        <v>0</v>
      </c>
      <c r="BI678" s="80">
        <f>IF(BE678=1,ROUND(AP678/60,6),0)</f>
        <v>0</v>
      </c>
      <c r="BJ678" s="80">
        <f>IF(BE678=1,ROUND(AQ678/60,6),0)</f>
        <v>0</v>
      </c>
      <c r="BK678" s="80">
        <f>IF(BE678=1,ROUND((AR678+AS678)/60,6),0)</f>
        <v>0</v>
      </c>
      <c r="BL678" s="80">
        <f>ROUND(BH678-BK678,6)</f>
        <v>0</v>
      </c>
      <c r="BM678" s="80">
        <f>IF(BE678=1,ROUND(AR678/60,6),0)</f>
        <v>0</v>
      </c>
      <c r="BN678" s="80">
        <f>ROUND(BI678-BM678,6)</f>
        <v>0</v>
      </c>
      <c r="BO678" s="80">
        <f>IF(BE678=1,ROUND(AS678/60,6),0)</f>
        <v>0</v>
      </c>
      <c r="BP678" s="80">
        <f>ROUND(BJ678-BO678,6)</f>
        <v>0</v>
      </c>
      <c r="BQ678" s="80">
        <f>IF(BE678=1,AW678,0)</f>
        <v>0</v>
      </c>
      <c r="BR678" s="80">
        <f>IF(BE678=1,AX678,0)</f>
        <v>0</v>
      </c>
      <c r="BS678" s="80">
        <f>IF(AND(BE678=1,D678="Malcolm",BA678&gt;0),MIN(BH678,SUMPRODUCT((R_Emp="proMX")*(R_EN&gt;0)*((R_EN-(R_EN&gt;BR678)*(R_EN-BR678))&gt;(R_SN+(R_SN&lt;BQ678)*(BQ678-R_SN)))*((R_EN-(R_EN&gt;BR678)*(R_EN-BR678))-(R_SN+(R_SN&lt;BQ678)*(BQ678-R_SN))))/60),0)</f>
        <v>0</v>
      </c>
      <c r="BT678" s="80">
        <f>IF(AND(BE678=1,D678="proMX"),ROUND(BI678*CFG_RATE+BJ678*CFG_OTRATE,6),0)</f>
        <v>0</v>
      </c>
      <c r="BU678" s="80">
        <f>IF(AND(BD678=1,D678="proMX"),ROUND(AG678/CFG_BLK,6),0)</f>
        <v>0</v>
      </c>
      <c r="BV678" s="80" t="str">
        <f>IF(BF678="Approved",IF(ISNUMBER(T678),INT(T678),INT(B678)),"")</f>
        <v/>
      </c>
      <c r="BW678" s="80">
        <f>IF(ISNUMBER(B678),IF(DB_MON="Todos",1,IF(AND(INT(B678)&gt;=DB_MS,INT(B678)&lt;=DB_ME),1,0)),0)</f>
        <v>0</v>
      </c>
      <c r="BX678" s="80">
        <f>IF(DB_PROJ="Todos",1,IF(E678&amp;""=DB_PROJ&amp;"",1,0))</f>
        <v>1</v>
      </c>
      <c r="BY678" s="80">
        <f>BW678*BX678</f>
        <v>0</v>
      </c>
      <c r="BZ678" s="80" t="str">
        <f>IF(Y678=1,F678&amp;IF(AND(F678&amp;""&lt;&gt;"",E678&amp;""&lt;&gt;"")," · ","")&amp;E678,"")</f>
        <v/>
      </c>
      <c r="CA678" s="80" t="str">
        <f>IF(AND(BD678=1,E678&amp;""&lt;&gt;""),IF(COUNTIFS($E$5:E677,E678,$BD$5:BD677,1)=0,MAX($CA$5:CA677)+1,""),"")</f>
        <v/>
      </c>
      <c r="CB678" s="80" t="str">
        <f>IF(AND(BE678=1,D678="Malcolm",E678&amp;""&lt;&gt;""),IF(COUNTIFS($D$5:D677,"Malcolm",$E$5:E677,E678,$BE$5:BE677,1)=0,MAX($CB$5:CB677)+1,""),"")</f>
        <v/>
      </c>
      <c r="CC678" s="80" t="str">
        <f>IF(AND(BD678=1,D678="proMX",E678&amp;""&lt;&gt;""),IF(COUNTIFS($D$5:D677,"proMX",$E$5:E677,E678,$BD$5:BD677,1)=0,MAX($CC$5:CC677)+1,""),"")</f>
        <v/>
      </c>
      <c r="CD678" s="80" t="str">
        <f>IF(AND(BE678=1,D678="Malcolm",F678&amp;""&lt;&gt;""),IF(COUNTIFS($D$5:D677,"Malcolm",$F$5:F677,F678,$BE$5:BE677,1)=0,MAX($CD$5:CD677)+1,""),"")</f>
        <v/>
      </c>
      <c r="CE678" s="80" t="str">
        <f>IF(AND(BD678=1,D678="proMX",F678&amp;""&lt;&gt;""),IF(COUNTIFS($D$5:D677,"proMX",$F$5:F677,F678,$BD$5:BD677,1)=0,MAX($CE$5:CE677)+1,""),"")</f>
        <v/>
      </c>
      <c r="CF678" s="80" t="str">
        <f>IF(AND(D678="proMX",BD678=1),IF(OR(BF678="Draft",BF678="Submitted",BF678="Returned",BF678="Recall Requested"),MAX($CF$5:CF677)+1,""),"")</f>
        <v/>
      </c>
      <c r="CG678" s="80">
        <f>IF(BD678=0,0,IF(D678="Malcolm",1,MATCH(BF678,{"Draft","Submitted","Approved","Returned","Recall Requested","Cancelled"},0)+1))</f>
        <v>0</v>
      </c>
      <c r="CH678" s="80">
        <f>IF(AND(BF678="Submitted",ISNUMBER(V678)),IF(V678&gt;CFG_MAXD,1,0),0)</f>
        <v>0</v>
      </c>
    </row>
    <row r="679">
      <c r="A679" s="71" t="str">
        <f>IF(Y679=1,ROW()-5,"")</f>
        <v/>
      </c>
      <c r="B679" s="72" t="n"/>
      <c r="C679" s="71" t="str">
        <f>IF(ISNUMBER(B679),CHOOSE(WEEKDAY(B679,2),"Lun","Mar","Mié","Jue","Vie","Sáb","Dom"),"")</f>
        <v/>
      </c>
      <c r="D679" s="73" t="n"/>
      <c r="E679" s="74" t="n"/>
      <c r="F679" s="74" t="n"/>
      <c r="G679" s="74" t="n"/>
      <c r="H679" s="75" t="n"/>
      <c r="I679" s="75" t="n"/>
      <c r="J679" s="76" t="n"/>
      <c r="K679" s="77" t="str">
        <f>IF(AB679=1,ROUND(AG679/60,4),"")</f>
        <v/>
      </c>
      <c r="L679" s="77" t="str">
        <f>IF(BD679=1,ROUND(AP679/60,4),"")</f>
        <v/>
      </c>
      <c r="M679" s="77" t="str">
        <f>IF(BD679=1,ROUND(AQ679/60,4),"")</f>
        <v/>
      </c>
      <c r="N679" s="71" t="str">
        <f>IF(AND(D679="proMX",AB679=1),ROUND(AG679/CFG_BLK,2),"")</f>
        <v/>
      </c>
      <c r="O679" s="77" t="str">
        <f>IF(D679="proMX",IF(BD679=1,ROUND(AG679/60,4),0),"")</f>
        <v/>
      </c>
      <c r="P679" s="78" t="str">
        <f>IF(Y679=0,"",IF(BD679=1,"OK",IF(D679="proMX","Revisar bloques: ","Revisar: ")&amp;BC679))</f>
        <v/>
      </c>
      <c r="Q679" s="78" t="str">
        <f>IF(NOT(ISNUMBER(B679)),"",IF(COUNTIFS(FER_F,INT(B679))&gt;0,"Feriado"&amp;IF(AH679=1," (laborable)"," (no laborable)"),IF(AH679=1,"Laborable",IF(WEEKDAY(B679,2)&gt;5,"Fin de semana","No laborable"))))</f>
        <v/>
      </c>
      <c r="R679" s="73" t="n"/>
      <c r="S679" s="72" t="n"/>
      <c r="T679" s="72" t="n"/>
      <c r="U679" s="74" t="n"/>
      <c r="V679" s="79" t="str">
        <f>IF(AND(D679="proMX",OR(R679="Submitted",R679="Recall Requested"),ISNUMBER(S679)),CFG_TODAY-INT(S679),"")</f>
        <v/>
      </c>
      <c r="W679" s="78" t="str">
        <f>IF(BD679=0,"",IF(BA679&gt;0,"⚠ Se superpone con un registro de la otra empresa",IF(D679="Malcolm",IF(COUNTA(R679,S679,T679)&gt;0,"Estado/fechas proMX se ignoran en Malcolm",""),IF(BF679="Cancelled","Cancelado: excluido de totales",IF(R679="","Sin estado: se trata como Draft",IF(BF679="Submitted",IF(ISNUMBER(V679),IF(V679&gt;CFG_MAXD,"⚠ "&amp;V679&amp;" días en Submitted (máx. "&amp;CFG_MAXD&amp;")",""),"Falta fecha de envío"),IF(BF679="Returned","⚠ Devuelto: corregir y reenviar",IF(BF679="Recall Requested","Retirada solicitada: pendiente",IF(AND(BF679="Approved",NOT(ISNUMBER(T679))),"Falta fecha de aprobación",IF(AND(ISNUMBER(S679),ISNUMBER(T679),T679&lt;S679),"Aprobación anterior al envío","")))))))))</f>
        <v/>
      </c>
      <c r="Y679" s="80">
        <f>IF(COUNTA(B679,D679,E679,F679,G679,H679,I679,J679,R679,S679,T679)&gt;0,1,0)</f>
        <v>0</v>
      </c>
      <c r="Z679" s="80" t="str">
        <f>IF(AND(ISNUMBER(H679),H679&gt;=0,H679&lt;1),ROUND(H679*1440,0),"")</f>
        <v/>
      </c>
      <c r="AA679" s="80" t="str">
        <f>IF(AND(ISNUMBER(I679),I679&gt;=0,I679&lt;1),ROUND(I679*1440,0),"")</f>
        <v/>
      </c>
      <c r="AB679" s="80">
        <f>IF(AND(ISNUMBER(B679),D679&lt;&gt;"",ISNUMBER(Z679),ISNUMBER(AA679)),IF(Z679=AA679,0,1),0)</f>
        <v>0</v>
      </c>
      <c r="AC679" s="80">
        <f>IF(AB679=1,IF(AA679&lt;Z679,1,0),0)</f>
        <v>0</v>
      </c>
      <c r="AD679" s="80">
        <f>IF(AB679=1,IF(AC679=1,1440-Z679+AA679,AA679-Z679),0)</f>
        <v>0</v>
      </c>
      <c r="AE679" s="80">
        <f>IF(J679="",0,IF(ISNUMBER(J679),J679,-1))</f>
        <v>0</v>
      </c>
      <c r="AF679" s="80">
        <f>MIN(MAX(0,AE679),AD679)</f>
        <v>0</v>
      </c>
      <c r="AG679" s="80">
        <f>MAX(0,AD679-MAX(0,AE679))</f>
        <v>0</v>
      </c>
      <c r="AH679" s="80">
        <f>IF(ISNUMBER(B679),IF(AND(INDEX(CFG_WDAYS,WEEKDAY(INT(B679),2))="Sí",IF(D679="proMX",COUNTIFS(FER_F,INT(B679),FER_NLP,"Sí"),COUNTIFS(FER_F,INT(B679),FER_NLM,"Sí"))=0),1,0),0)</f>
        <v>0</v>
      </c>
      <c r="AI679" s="80">
        <f>IF(AC679=1,IF(AND(INDEX(CFG_WDAYS,WEEKDAY(INT(B679)+1,2))="Sí",IF(D679="proMX",COUNTIFS(FER_F,INT(B679)+1,FER_NLP,"Sí"),COUNTIFS(FER_F,INT(B679)+1,FER_NLM,"Sí"))=0),1,0),0)</f>
        <v>0</v>
      </c>
      <c r="AJ679" s="80">
        <f>IF(AC679=1,1440-Z679,AD679)</f>
        <v>0</v>
      </c>
      <c r="AK679" s="80">
        <f>IF(AND(AB679=1,AH679=1),MAX(0,MIN(IF(AC679=1,1440,AA679),CFG_WEM)-MAX(Z679,CFG_WSM)),0)</f>
        <v>0</v>
      </c>
      <c r="AL679" s="80">
        <f>IF(AND(AC679=1,AI679=1),MAX(0,MIN(AA679,CFG_WEM)-CFG_WSM),0)</f>
        <v>0</v>
      </c>
      <c r="AM679" s="80">
        <f>AK679+AL679</f>
        <v>0</v>
      </c>
      <c r="AN679" s="80">
        <f>IF(CFG_BRK="Proporcional",IF(AD679=0,0,AF679*AM679/AD679),IF(CFG_BRK="Extras primero",MIN(AM679,MAX(0,AF679-(AD679-AM679))),MIN(AF679,AM679)))</f>
        <v>0</v>
      </c>
      <c r="AO679" s="80">
        <f>AF679-AN679</f>
        <v>0</v>
      </c>
      <c r="AP679" s="80">
        <f>AM679-AN679</f>
        <v>0</v>
      </c>
      <c r="AQ679" s="80">
        <f>AD679-AM679-AO679</f>
        <v>0</v>
      </c>
      <c r="AR679" s="80">
        <f>IF(AM679=0,0,AK679-AN679*AK679/AM679)</f>
        <v>0</v>
      </c>
      <c r="AS679" s="80">
        <f>IF(AD679-AM679=0,0,(AJ679-AK679)-AO679*(AJ679-AK679)/(AD679-AM679))</f>
        <v>0</v>
      </c>
      <c r="AT679" s="80" t="str">
        <f>IF(AC679=1,INT(B679)+1,"")</f>
        <v/>
      </c>
      <c r="AU679" s="80">
        <f>IF(AND(D679="proMX",R679="Cancelled"),0,1)</f>
        <v>1</v>
      </c>
      <c r="AV679" s="80">
        <f>IF(AND(AB679=1,AU679=1),IF(COUNTIFS($D$5:D678,D679,$B$5:B678,B679,$Z$5:Z678,Z679,$AA$5:AA678,AA679,$F$5:F678,F679&amp;"",$AU$5:AU678,1)&gt;0,1,0),0)</f>
        <v>0</v>
      </c>
      <c r="AW679" s="80" t="str">
        <f>IF(AB679=1,INT(B679)*1440+Z679,"")</f>
        <v/>
      </c>
      <c r="AX679" s="80" t="str">
        <f>IF(AB679=1,AW679+AD679,"")</f>
        <v/>
      </c>
      <c r="AY679" s="80">
        <f>IF(AND(AB679=1,AV679=0,AU679=1),1,0)</f>
        <v>0</v>
      </c>
      <c r="AZ679" s="80">
        <f>IF(AY679=1,COUNTIFS(R_Emp,D679,R_SAbs,"&lt;"&amp;AX679,R_EAbs,"&gt;"&amp;AW679,R_OKey,1)-1,0)</f>
        <v>0</v>
      </c>
      <c r="BA679" s="80">
        <f>IF(AY679=1,COUNTIFS(R_Emp,"&lt;&gt;"&amp;D679,R_SAbs,"&lt;"&amp;AX679,R_EAbs,"&gt;"&amp;AW679,R_OKey,1),0)</f>
        <v>0</v>
      </c>
      <c r="BB679" s="80">
        <f>IF(AND(AB679=1,D679="proMX"),IF(AND(MOD(Z679,CFG_BLK)=0,MOD(AA679,CFG_BLK)=0,MOD(AG679,CFG_BLK)=0,AG679&gt;0),1,0),1)</f>
        <v>1</v>
      </c>
      <c r="BC679" s="80" t="str">
        <f>IF(Y679=0,"",IF(NOT(ISNUMBER(B679)),"Falta fecha o fecha inválida",IF(D679="","Falta empresa",IF(AND(D679&lt;&gt;"Malcolm",D679&lt;&gt;"proMX"),"Empresa inválida",IF(OR(INT(B679)&lt;CFG_PSTART,INT(B679)&gt;CFG_PEND),"Fecha fuera del período",IF(OR(NOT(ISNUMBER(Z679)),NOT(ISNUMBER(AA679))),"Falta hora inicio/fin o formato inválido",IF(AB679=0,"Hora inicio = hora fin",IF(AE679&lt;0,"Descanso inválido",IF(AE679&gt;=AD679,"Descanso ≥ duración",IF(AV679=1,"Registro duplicado",IF(AZ679&gt;0,"Se superpone con otro registro "&amp;D679,IF(BB679=0,"inicio, fin y duración neta deben ser múltiplos de "&amp;CFG_BLK&amp;" min",""))))))))))))</f>
        <v/>
      </c>
      <c r="BD679" s="80">
        <f>IF(AND(Y679=1,BC679=""),1,0)</f>
        <v>0</v>
      </c>
      <c r="BE679" s="80">
        <f>IF(AND(BD679=1,AU679=1),1,0)</f>
        <v>0</v>
      </c>
      <c r="BF679" s="80" t="str">
        <f>IF(AND(D679="proMX",BD679=1),IF(R679="","Draft",R679),"")</f>
        <v/>
      </c>
      <c r="BG679" s="80">
        <f>IF(BD679=1,ROUND(AG679/60,6),0)</f>
        <v>0</v>
      </c>
      <c r="BH679" s="80">
        <f>IF(BE679=1,ROUND(AG679/60,6),0)</f>
        <v>0</v>
      </c>
      <c r="BI679" s="80">
        <f>IF(BE679=1,ROUND(AP679/60,6),0)</f>
        <v>0</v>
      </c>
      <c r="BJ679" s="80">
        <f>IF(BE679=1,ROUND(AQ679/60,6),0)</f>
        <v>0</v>
      </c>
      <c r="BK679" s="80">
        <f>IF(BE679=1,ROUND((AR679+AS679)/60,6),0)</f>
        <v>0</v>
      </c>
      <c r="BL679" s="80">
        <f>ROUND(BH679-BK679,6)</f>
        <v>0</v>
      </c>
      <c r="BM679" s="80">
        <f>IF(BE679=1,ROUND(AR679/60,6),0)</f>
        <v>0</v>
      </c>
      <c r="BN679" s="80">
        <f>ROUND(BI679-BM679,6)</f>
        <v>0</v>
      </c>
      <c r="BO679" s="80">
        <f>IF(BE679=1,ROUND(AS679/60,6),0)</f>
        <v>0</v>
      </c>
      <c r="BP679" s="80">
        <f>ROUND(BJ679-BO679,6)</f>
        <v>0</v>
      </c>
      <c r="BQ679" s="80">
        <f>IF(BE679=1,AW679,0)</f>
        <v>0</v>
      </c>
      <c r="BR679" s="80">
        <f>IF(BE679=1,AX679,0)</f>
        <v>0</v>
      </c>
      <c r="BS679" s="80">
        <f>IF(AND(BE679=1,D679="Malcolm",BA679&gt;0),MIN(BH679,SUMPRODUCT((R_Emp="proMX")*(R_EN&gt;0)*((R_EN-(R_EN&gt;BR679)*(R_EN-BR679))&gt;(R_SN+(R_SN&lt;BQ679)*(BQ679-R_SN)))*((R_EN-(R_EN&gt;BR679)*(R_EN-BR679))-(R_SN+(R_SN&lt;BQ679)*(BQ679-R_SN))))/60),0)</f>
        <v>0</v>
      </c>
      <c r="BT679" s="80">
        <f>IF(AND(BE679=1,D679="proMX"),ROUND(BI679*CFG_RATE+BJ679*CFG_OTRATE,6),0)</f>
        <v>0</v>
      </c>
      <c r="BU679" s="80">
        <f>IF(AND(BD679=1,D679="proMX"),ROUND(AG679/CFG_BLK,6),0)</f>
        <v>0</v>
      </c>
      <c r="BV679" s="80" t="str">
        <f>IF(BF679="Approved",IF(ISNUMBER(T679),INT(T679),INT(B679)),"")</f>
        <v/>
      </c>
      <c r="BW679" s="80">
        <f>IF(ISNUMBER(B679),IF(DB_MON="Todos",1,IF(AND(INT(B679)&gt;=DB_MS,INT(B679)&lt;=DB_ME),1,0)),0)</f>
        <v>0</v>
      </c>
      <c r="BX679" s="80">
        <f>IF(DB_PROJ="Todos",1,IF(E679&amp;""=DB_PROJ&amp;"",1,0))</f>
        <v>1</v>
      </c>
      <c r="BY679" s="80">
        <f>BW679*BX679</f>
        <v>0</v>
      </c>
      <c r="BZ679" s="80" t="str">
        <f>IF(Y679=1,F679&amp;IF(AND(F679&amp;""&lt;&gt;"",E679&amp;""&lt;&gt;"")," · ","")&amp;E679,"")</f>
        <v/>
      </c>
      <c r="CA679" s="80" t="str">
        <f>IF(AND(BD679=1,E679&amp;""&lt;&gt;""),IF(COUNTIFS($E$5:E678,E679,$BD$5:BD678,1)=0,MAX($CA$5:CA678)+1,""),"")</f>
        <v/>
      </c>
      <c r="CB679" s="80" t="str">
        <f>IF(AND(BE679=1,D679="Malcolm",E679&amp;""&lt;&gt;""),IF(COUNTIFS($D$5:D678,"Malcolm",$E$5:E678,E679,$BE$5:BE678,1)=0,MAX($CB$5:CB678)+1,""),"")</f>
        <v/>
      </c>
      <c r="CC679" s="80" t="str">
        <f>IF(AND(BD679=1,D679="proMX",E679&amp;""&lt;&gt;""),IF(COUNTIFS($D$5:D678,"proMX",$E$5:E678,E679,$BD$5:BD678,1)=0,MAX($CC$5:CC678)+1,""),"")</f>
        <v/>
      </c>
      <c r="CD679" s="80" t="str">
        <f>IF(AND(BE679=1,D679="Malcolm",F679&amp;""&lt;&gt;""),IF(COUNTIFS($D$5:D678,"Malcolm",$F$5:F678,F679,$BE$5:BE678,1)=0,MAX($CD$5:CD678)+1,""),"")</f>
        <v/>
      </c>
      <c r="CE679" s="80" t="str">
        <f>IF(AND(BD679=1,D679="proMX",F679&amp;""&lt;&gt;""),IF(COUNTIFS($D$5:D678,"proMX",$F$5:F678,F679,$BD$5:BD678,1)=0,MAX($CE$5:CE678)+1,""),"")</f>
        <v/>
      </c>
      <c r="CF679" s="80" t="str">
        <f>IF(AND(D679="proMX",BD679=1),IF(OR(BF679="Draft",BF679="Submitted",BF679="Returned",BF679="Recall Requested"),MAX($CF$5:CF678)+1,""),"")</f>
        <v/>
      </c>
      <c r="CG679" s="80">
        <f>IF(BD679=0,0,IF(D679="Malcolm",1,MATCH(BF679,{"Draft","Submitted","Approved","Returned","Recall Requested","Cancelled"},0)+1))</f>
        <v>0</v>
      </c>
      <c r="CH679" s="80">
        <f>IF(AND(BF679="Submitted",ISNUMBER(V679)),IF(V679&gt;CFG_MAXD,1,0),0)</f>
        <v>0</v>
      </c>
    </row>
    <row r="680">
      <c r="A680" s="71" t="str">
        <f>IF(Y680=1,ROW()-5,"")</f>
        <v/>
      </c>
      <c r="B680" s="72" t="n"/>
      <c r="C680" s="71" t="str">
        <f>IF(ISNUMBER(B680),CHOOSE(WEEKDAY(B680,2),"Lun","Mar","Mié","Jue","Vie","Sáb","Dom"),"")</f>
        <v/>
      </c>
      <c r="D680" s="73" t="n"/>
      <c r="E680" s="74" t="n"/>
      <c r="F680" s="74" t="n"/>
      <c r="G680" s="74" t="n"/>
      <c r="H680" s="75" t="n"/>
      <c r="I680" s="75" t="n"/>
      <c r="J680" s="76" t="n"/>
      <c r="K680" s="77" t="str">
        <f>IF(AB680=1,ROUND(AG680/60,4),"")</f>
        <v/>
      </c>
      <c r="L680" s="77" t="str">
        <f>IF(BD680=1,ROUND(AP680/60,4),"")</f>
        <v/>
      </c>
      <c r="M680" s="77" t="str">
        <f>IF(BD680=1,ROUND(AQ680/60,4),"")</f>
        <v/>
      </c>
      <c r="N680" s="71" t="str">
        <f>IF(AND(D680="proMX",AB680=1),ROUND(AG680/CFG_BLK,2),"")</f>
        <v/>
      </c>
      <c r="O680" s="77" t="str">
        <f>IF(D680="proMX",IF(BD680=1,ROUND(AG680/60,4),0),"")</f>
        <v/>
      </c>
      <c r="P680" s="78" t="str">
        <f>IF(Y680=0,"",IF(BD680=1,"OK",IF(D680="proMX","Revisar bloques: ","Revisar: ")&amp;BC680))</f>
        <v/>
      </c>
      <c r="Q680" s="78" t="str">
        <f>IF(NOT(ISNUMBER(B680)),"",IF(COUNTIFS(FER_F,INT(B680))&gt;0,"Feriado"&amp;IF(AH680=1," (laborable)"," (no laborable)"),IF(AH680=1,"Laborable",IF(WEEKDAY(B680,2)&gt;5,"Fin de semana","No laborable"))))</f>
        <v/>
      </c>
      <c r="R680" s="73" t="n"/>
      <c r="S680" s="72" t="n"/>
      <c r="T680" s="72" t="n"/>
      <c r="U680" s="74" t="n"/>
      <c r="V680" s="79" t="str">
        <f>IF(AND(D680="proMX",OR(R680="Submitted",R680="Recall Requested"),ISNUMBER(S680)),CFG_TODAY-INT(S680),"")</f>
        <v/>
      </c>
      <c r="W680" s="78" t="str">
        <f>IF(BD680=0,"",IF(BA680&gt;0,"⚠ Se superpone con un registro de la otra empresa",IF(D680="Malcolm",IF(COUNTA(R680,S680,T680)&gt;0,"Estado/fechas proMX se ignoran en Malcolm",""),IF(BF680="Cancelled","Cancelado: excluido de totales",IF(R680="","Sin estado: se trata como Draft",IF(BF680="Submitted",IF(ISNUMBER(V680),IF(V680&gt;CFG_MAXD,"⚠ "&amp;V680&amp;" días en Submitted (máx. "&amp;CFG_MAXD&amp;")",""),"Falta fecha de envío"),IF(BF680="Returned","⚠ Devuelto: corregir y reenviar",IF(BF680="Recall Requested","Retirada solicitada: pendiente",IF(AND(BF680="Approved",NOT(ISNUMBER(T680))),"Falta fecha de aprobación",IF(AND(ISNUMBER(S680),ISNUMBER(T680),T680&lt;S680),"Aprobación anterior al envío","")))))))))</f>
        <v/>
      </c>
      <c r="Y680" s="80">
        <f>IF(COUNTA(B680,D680,E680,F680,G680,H680,I680,J680,R680,S680,T680)&gt;0,1,0)</f>
        <v>0</v>
      </c>
      <c r="Z680" s="80" t="str">
        <f>IF(AND(ISNUMBER(H680),H680&gt;=0,H680&lt;1),ROUND(H680*1440,0),"")</f>
        <v/>
      </c>
      <c r="AA680" s="80" t="str">
        <f>IF(AND(ISNUMBER(I680),I680&gt;=0,I680&lt;1),ROUND(I680*1440,0),"")</f>
        <v/>
      </c>
      <c r="AB680" s="80">
        <f>IF(AND(ISNUMBER(B680),D680&lt;&gt;"",ISNUMBER(Z680),ISNUMBER(AA680)),IF(Z680=AA680,0,1),0)</f>
        <v>0</v>
      </c>
      <c r="AC680" s="80">
        <f>IF(AB680=1,IF(AA680&lt;Z680,1,0),0)</f>
        <v>0</v>
      </c>
      <c r="AD680" s="80">
        <f>IF(AB680=1,IF(AC680=1,1440-Z680+AA680,AA680-Z680),0)</f>
        <v>0</v>
      </c>
      <c r="AE680" s="80">
        <f>IF(J680="",0,IF(ISNUMBER(J680),J680,-1))</f>
        <v>0</v>
      </c>
      <c r="AF680" s="80">
        <f>MIN(MAX(0,AE680),AD680)</f>
        <v>0</v>
      </c>
      <c r="AG680" s="80">
        <f>MAX(0,AD680-MAX(0,AE680))</f>
        <v>0</v>
      </c>
      <c r="AH680" s="80">
        <f>IF(ISNUMBER(B680),IF(AND(INDEX(CFG_WDAYS,WEEKDAY(INT(B680),2))="Sí",IF(D680="proMX",COUNTIFS(FER_F,INT(B680),FER_NLP,"Sí"),COUNTIFS(FER_F,INT(B680),FER_NLM,"Sí"))=0),1,0),0)</f>
        <v>0</v>
      </c>
      <c r="AI680" s="80">
        <f>IF(AC680=1,IF(AND(INDEX(CFG_WDAYS,WEEKDAY(INT(B680)+1,2))="Sí",IF(D680="proMX",COUNTIFS(FER_F,INT(B680)+1,FER_NLP,"Sí"),COUNTIFS(FER_F,INT(B680)+1,FER_NLM,"Sí"))=0),1,0),0)</f>
        <v>0</v>
      </c>
      <c r="AJ680" s="80">
        <f>IF(AC680=1,1440-Z680,AD680)</f>
        <v>0</v>
      </c>
      <c r="AK680" s="80">
        <f>IF(AND(AB680=1,AH680=1),MAX(0,MIN(IF(AC680=1,1440,AA680),CFG_WEM)-MAX(Z680,CFG_WSM)),0)</f>
        <v>0</v>
      </c>
      <c r="AL680" s="80">
        <f>IF(AND(AC680=1,AI680=1),MAX(0,MIN(AA680,CFG_WEM)-CFG_WSM),0)</f>
        <v>0</v>
      </c>
      <c r="AM680" s="80">
        <f>AK680+AL680</f>
        <v>0</v>
      </c>
      <c r="AN680" s="80">
        <f>IF(CFG_BRK="Proporcional",IF(AD680=0,0,AF680*AM680/AD680),IF(CFG_BRK="Extras primero",MIN(AM680,MAX(0,AF680-(AD680-AM680))),MIN(AF680,AM680)))</f>
        <v>0</v>
      </c>
      <c r="AO680" s="80">
        <f>AF680-AN680</f>
        <v>0</v>
      </c>
      <c r="AP680" s="80">
        <f>AM680-AN680</f>
        <v>0</v>
      </c>
      <c r="AQ680" s="80">
        <f>AD680-AM680-AO680</f>
        <v>0</v>
      </c>
      <c r="AR680" s="80">
        <f>IF(AM680=0,0,AK680-AN680*AK680/AM680)</f>
        <v>0</v>
      </c>
      <c r="AS680" s="80">
        <f>IF(AD680-AM680=0,0,(AJ680-AK680)-AO680*(AJ680-AK680)/(AD680-AM680))</f>
        <v>0</v>
      </c>
      <c r="AT680" s="80" t="str">
        <f>IF(AC680=1,INT(B680)+1,"")</f>
        <v/>
      </c>
      <c r="AU680" s="80">
        <f>IF(AND(D680="proMX",R680="Cancelled"),0,1)</f>
        <v>1</v>
      </c>
      <c r="AV680" s="80">
        <f>IF(AND(AB680=1,AU680=1),IF(COUNTIFS($D$5:D679,D680,$B$5:B679,B680,$Z$5:Z679,Z680,$AA$5:AA679,AA680,$F$5:F679,F680&amp;"",$AU$5:AU679,1)&gt;0,1,0),0)</f>
        <v>0</v>
      </c>
      <c r="AW680" s="80" t="str">
        <f>IF(AB680=1,INT(B680)*1440+Z680,"")</f>
        <v/>
      </c>
      <c r="AX680" s="80" t="str">
        <f>IF(AB680=1,AW680+AD680,"")</f>
        <v/>
      </c>
      <c r="AY680" s="80">
        <f>IF(AND(AB680=1,AV680=0,AU680=1),1,0)</f>
        <v>0</v>
      </c>
      <c r="AZ680" s="80">
        <f>IF(AY680=1,COUNTIFS(R_Emp,D680,R_SAbs,"&lt;"&amp;AX680,R_EAbs,"&gt;"&amp;AW680,R_OKey,1)-1,0)</f>
        <v>0</v>
      </c>
      <c r="BA680" s="80">
        <f>IF(AY680=1,COUNTIFS(R_Emp,"&lt;&gt;"&amp;D680,R_SAbs,"&lt;"&amp;AX680,R_EAbs,"&gt;"&amp;AW680,R_OKey,1),0)</f>
        <v>0</v>
      </c>
      <c r="BB680" s="80">
        <f>IF(AND(AB680=1,D680="proMX"),IF(AND(MOD(Z680,CFG_BLK)=0,MOD(AA680,CFG_BLK)=0,MOD(AG680,CFG_BLK)=0,AG680&gt;0),1,0),1)</f>
        <v>1</v>
      </c>
      <c r="BC680" s="80" t="str">
        <f>IF(Y680=0,"",IF(NOT(ISNUMBER(B680)),"Falta fecha o fecha inválida",IF(D680="","Falta empresa",IF(AND(D680&lt;&gt;"Malcolm",D680&lt;&gt;"proMX"),"Empresa inválida",IF(OR(INT(B680)&lt;CFG_PSTART,INT(B680)&gt;CFG_PEND),"Fecha fuera del período",IF(OR(NOT(ISNUMBER(Z680)),NOT(ISNUMBER(AA680))),"Falta hora inicio/fin o formato inválido",IF(AB680=0,"Hora inicio = hora fin",IF(AE680&lt;0,"Descanso inválido",IF(AE680&gt;=AD680,"Descanso ≥ duración",IF(AV680=1,"Registro duplicado",IF(AZ680&gt;0,"Se superpone con otro registro "&amp;D680,IF(BB680=0,"inicio, fin y duración neta deben ser múltiplos de "&amp;CFG_BLK&amp;" min",""))))))))))))</f>
        <v/>
      </c>
      <c r="BD680" s="80">
        <f>IF(AND(Y680=1,BC680=""),1,0)</f>
        <v>0</v>
      </c>
      <c r="BE680" s="80">
        <f>IF(AND(BD680=1,AU680=1),1,0)</f>
        <v>0</v>
      </c>
      <c r="BF680" s="80" t="str">
        <f>IF(AND(D680="proMX",BD680=1),IF(R680="","Draft",R680),"")</f>
        <v/>
      </c>
      <c r="BG680" s="80">
        <f>IF(BD680=1,ROUND(AG680/60,6),0)</f>
        <v>0</v>
      </c>
      <c r="BH680" s="80">
        <f>IF(BE680=1,ROUND(AG680/60,6),0)</f>
        <v>0</v>
      </c>
      <c r="BI680" s="80">
        <f>IF(BE680=1,ROUND(AP680/60,6),0)</f>
        <v>0</v>
      </c>
      <c r="BJ680" s="80">
        <f>IF(BE680=1,ROUND(AQ680/60,6),0)</f>
        <v>0</v>
      </c>
      <c r="BK680" s="80">
        <f>IF(BE680=1,ROUND((AR680+AS680)/60,6),0)</f>
        <v>0</v>
      </c>
      <c r="BL680" s="80">
        <f>ROUND(BH680-BK680,6)</f>
        <v>0</v>
      </c>
      <c r="BM680" s="80">
        <f>IF(BE680=1,ROUND(AR680/60,6),0)</f>
        <v>0</v>
      </c>
      <c r="BN680" s="80">
        <f>ROUND(BI680-BM680,6)</f>
        <v>0</v>
      </c>
      <c r="BO680" s="80">
        <f>IF(BE680=1,ROUND(AS680/60,6),0)</f>
        <v>0</v>
      </c>
      <c r="BP680" s="80">
        <f>ROUND(BJ680-BO680,6)</f>
        <v>0</v>
      </c>
      <c r="BQ680" s="80">
        <f>IF(BE680=1,AW680,0)</f>
        <v>0</v>
      </c>
      <c r="BR680" s="80">
        <f>IF(BE680=1,AX680,0)</f>
        <v>0</v>
      </c>
      <c r="BS680" s="80">
        <f>IF(AND(BE680=1,D680="Malcolm",BA680&gt;0),MIN(BH680,SUMPRODUCT((R_Emp="proMX")*(R_EN&gt;0)*((R_EN-(R_EN&gt;BR680)*(R_EN-BR680))&gt;(R_SN+(R_SN&lt;BQ680)*(BQ680-R_SN)))*((R_EN-(R_EN&gt;BR680)*(R_EN-BR680))-(R_SN+(R_SN&lt;BQ680)*(BQ680-R_SN))))/60),0)</f>
        <v>0</v>
      </c>
      <c r="BT680" s="80">
        <f>IF(AND(BE680=1,D680="proMX"),ROUND(BI680*CFG_RATE+BJ680*CFG_OTRATE,6),0)</f>
        <v>0</v>
      </c>
      <c r="BU680" s="80">
        <f>IF(AND(BD680=1,D680="proMX"),ROUND(AG680/CFG_BLK,6),0)</f>
        <v>0</v>
      </c>
      <c r="BV680" s="80" t="str">
        <f>IF(BF680="Approved",IF(ISNUMBER(T680),INT(T680),INT(B680)),"")</f>
        <v/>
      </c>
      <c r="BW680" s="80">
        <f>IF(ISNUMBER(B680),IF(DB_MON="Todos",1,IF(AND(INT(B680)&gt;=DB_MS,INT(B680)&lt;=DB_ME),1,0)),0)</f>
        <v>0</v>
      </c>
      <c r="BX680" s="80">
        <f>IF(DB_PROJ="Todos",1,IF(E680&amp;""=DB_PROJ&amp;"",1,0))</f>
        <v>1</v>
      </c>
      <c r="BY680" s="80">
        <f>BW680*BX680</f>
        <v>0</v>
      </c>
      <c r="BZ680" s="80" t="str">
        <f>IF(Y680=1,F680&amp;IF(AND(F680&amp;""&lt;&gt;"",E680&amp;""&lt;&gt;"")," · ","")&amp;E680,"")</f>
        <v/>
      </c>
      <c r="CA680" s="80" t="str">
        <f>IF(AND(BD680=1,E680&amp;""&lt;&gt;""),IF(COUNTIFS($E$5:E679,E680,$BD$5:BD679,1)=0,MAX($CA$5:CA679)+1,""),"")</f>
        <v/>
      </c>
      <c r="CB680" s="80" t="str">
        <f>IF(AND(BE680=1,D680="Malcolm",E680&amp;""&lt;&gt;""),IF(COUNTIFS($D$5:D679,"Malcolm",$E$5:E679,E680,$BE$5:BE679,1)=0,MAX($CB$5:CB679)+1,""),"")</f>
        <v/>
      </c>
      <c r="CC680" s="80" t="str">
        <f>IF(AND(BD680=1,D680="proMX",E680&amp;""&lt;&gt;""),IF(COUNTIFS($D$5:D679,"proMX",$E$5:E679,E680,$BD$5:BD679,1)=0,MAX($CC$5:CC679)+1,""),"")</f>
        <v/>
      </c>
      <c r="CD680" s="80" t="str">
        <f>IF(AND(BE680=1,D680="Malcolm",F680&amp;""&lt;&gt;""),IF(COUNTIFS($D$5:D679,"Malcolm",$F$5:F679,F680,$BE$5:BE679,1)=0,MAX($CD$5:CD679)+1,""),"")</f>
        <v/>
      </c>
      <c r="CE680" s="80" t="str">
        <f>IF(AND(BD680=1,D680="proMX",F680&amp;""&lt;&gt;""),IF(COUNTIFS($D$5:D679,"proMX",$F$5:F679,F680,$BD$5:BD679,1)=0,MAX($CE$5:CE679)+1,""),"")</f>
        <v/>
      </c>
      <c r="CF680" s="80" t="str">
        <f>IF(AND(D680="proMX",BD680=1),IF(OR(BF680="Draft",BF680="Submitted",BF680="Returned",BF680="Recall Requested"),MAX($CF$5:CF679)+1,""),"")</f>
        <v/>
      </c>
      <c r="CG680" s="80">
        <f>IF(BD680=0,0,IF(D680="Malcolm",1,MATCH(BF680,{"Draft","Submitted","Approved","Returned","Recall Requested","Cancelled"},0)+1))</f>
        <v>0</v>
      </c>
      <c r="CH680" s="80">
        <f>IF(AND(BF680="Submitted",ISNUMBER(V680)),IF(V680&gt;CFG_MAXD,1,0),0)</f>
        <v>0</v>
      </c>
    </row>
    <row r="681">
      <c r="A681" s="71" t="str">
        <f>IF(Y681=1,ROW()-5,"")</f>
        <v/>
      </c>
      <c r="B681" s="72" t="n"/>
      <c r="C681" s="71" t="str">
        <f>IF(ISNUMBER(B681),CHOOSE(WEEKDAY(B681,2),"Lun","Mar","Mié","Jue","Vie","Sáb","Dom"),"")</f>
        <v/>
      </c>
      <c r="D681" s="73" t="n"/>
      <c r="E681" s="74" t="n"/>
      <c r="F681" s="74" t="n"/>
      <c r="G681" s="74" t="n"/>
      <c r="H681" s="75" t="n"/>
      <c r="I681" s="75" t="n"/>
      <c r="J681" s="76" t="n"/>
      <c r="K681" s="77" t="str">
        <f>IF(AB681=1,ROUND(AG681/60,4),"")</f>
        <v/>
      </c>
      <c r="L681" s="77" t="str">
        <f>IF(BD681=1,ROUND(AP681/60,4),"")</f>
        <v/>
      </c>
      <c r="M681" s="77" t="str">
        <f>IF(BD681=1,ROUND(AQ681/60,4),"")</f>
        <v/>
      </c>
      <c r="N681" s="71" t="str">
        <f>IF(AND(D681="proMX",AB681=1),ROUND(AG681/CFG_BLK,2),"")</f>
        <v/>
      </c>
      <c r="O681" s="77" t="str">
        <f>IF(D681="proMX",IF(BD681=1,ROUND(AG681/60,4),0),"")</f>
        <v/>
      </c>
      <c r="P681" s="78" t="str">
        <f>IF(Y681=0,"",IF(BD681=1,"OK",IF(D681="proMX","Revisar bloques: ","Revisar: ")&amp;BC681))</f>
        <v/>
      </c>
      <c r="Q681" s="78" t="str">
        <f>IF(NOT(ISNUMBER(B681)),"",IF(COUNTIFS(FER_F,INT(B681))&gt;0,"Feriado"&amp;IF(AH681=1," (laborable)"," (no laborable)"),IF(AH681=1,"Laborable",IF(WEEKDAY(B681,2)&gt;5,"Fin de semana","No laborable"))))</f>
        <v/>
      </c>
      <c r="R681" s="73" t="n"/>
      <c r="S681" s="72" t="n"/>
      <c r="T681" s="72" t="n"/>
      <c r="U681" s="74" t="n"/>
      <c r="V681" s="79" t="str">
        <f>IF(AND(D681="proMX",OR(R681="Submitted",R681="Recall Requested"),ISNUMBER(S681)),CFG_TODAY-INT(S681),"")</f>
        <v/>
      </c>
      <c r="W681" s="78" t="str">
        <f>IF(BD681=0,"",IF(BA681&gt;0,"⚠ Se superpone con un registro de la otra empresa",IF(D681="Malcolm",IF(COUNTA(R681,S681,T681)&gt;0,"Estado/fechas proMX se ignoran en Malcolm",""),IF(BF681="Cancelled","Cancelado: excluido de totales",IF(R681="","Sin estado: se trata como Draft",IF(BF681="Submitted",IF(ISNUMBER(V681),IF(V681&gt;CFG_MAXD,"⚠ "&amp;V681&amp;" días en Submitted (máx. "&amp;CFG_MAXD&amp;")",""),"Falta fecha de envío"),IF(BF681="Returned","⚠ Devuelto: corregir y reenviar",IF(BF681="Recall Requested","Retirada solicitada: pendiente",IF(AND(BF681="Approved",NOT(ISNUMBER(T681))),"Falta fecha de aprobación",IF(AND(ISNUMBER(S681),ISNUMBER(T681),T681&lt;S681),"Aprobación anterior al envío","")))))))))</f>
        <v/>
      </c>
      <c r="Y681" s="80">
        <f>IF(COUNTA(B681,D681,E681,F681,G681,H681,I681,J681,R681,S681,T681)&gt;0,1,0)</f>
        <v>0</v>
      </c>
      <c r="Z681" s="80" t="str">
        <f>IF(AND(ISNUMBER(H681),H681&gt;=0,H681&lt;1),ROUND(H681*1440,0),"")</f>
        <v/>
      </c>
      <c r="AA681" s="80" t="str">
        <f>IF(AND(ISNUMBER(I681),I681&gt;=0,I681&lt;1),ROUND(I681*1440,0),"")</f>
        <v/>
      </c>
      <c r="AB681" s="80">
        <f>IF(AND(ISNUMBER(B681),D681&lt;&gt;"",ISNUMBER(Z681),ISNUMBER(AA681)),IF(Z681=AA681,0,1),0)</f>
        <v>0</v>
      </c>
      <c r="AC681" s="80">
        <f>IF(AB681=1,IF(AA681&lt;Z681,1,0),0)</f>
        <v>0</v>
      </c>
      <c r="AD681" s="80">
        <f>IF(AB681=1,IF(AC681=1,1440-Z681+AA681,AA681-Z681),0)</f>
        <v>0</v>
      </c>
      <c r="AE681" s="80">
        <f>IF(J681="",0,IF(ISNUMBER(J681),J681,-1))</f>
        <v>0</v>
      </c>
      <c r="AF681" s="80">
        <f>MIN(MAX(0,AE681),AD681)</f>
        <v>0</v>
      </c>
      <c r="AG681" s="80">
        <f>MAX(0,AD681-MAX(0,AE681))</f>
        <v>0</v>
      </c>
      <c r="AH681" s="80">
        <f>IF(ISNUMBER(B681),IF(AND(INDEX(CFG_WDAYS,WEEKDAY(INT(B681),2))="Sí",IF(D681="proMX",COUNTIFS(FER_F,INT(B681),FER_NLP,"Sí"),COUNTIFS(FER_F,INT(B681),FER_NLM,"Sí"))=0),1,0),0)</f>
        <v>0</v>
      </c>
      <c r="AI681" s="80">
        <f>IF(AC681=1,IF(AND(INDEX(CFG_WDAYS,WEEKDAY(INT(B681)+1,2))="Sí",IF(D681="proMX",COUNTIFS(FER_F,INT(B681)+1,FER_NLP,"Sí"),COUNTIFS(FER_F,INT(B681)+1,FER_NLM,"Sí"))=0),1,0),0)</f>
        <v>0</v>
      </c>
      <c r="AJ681" s="80">
        <f>IF(AC681=1,1440-Z681,AD681)</f>
        <v>0</v>
      </c>
      <c r="AK681" s="80">
        <f>IF(AND(AB681=1,AH681=1),MAX(0,MIN(IF(AC681=1,1440,AA681),CFG_WEM)-MAX(Z681,CFG_WSM)),0)</f>
        <v>0</v>
      </c>
      <c r="AL681" s="80">
        <f>IF(AND(AC681=1,AI681=1),MAX(0,MIN(AA681,CFG_WEM)-CFG_WSM),0)</f>
        <v>0</v>
      </c>
      <c r="AM681" s="80">
        <f>AK681+AL681</f>
        <v>0</v>
      </c>
      <c r="AN681" s="80">
        <f>IF(CFG_BRK="Proporcional",IF(AD681=0,0,AF681*AM681/AD681),IF(CFG_BRK="Extras primero",MIN(AM681,MAX(0,AF681-(AD681-AM681))),MIN(AF681,AM681)))</f>
        <v>0</v>
      </c>
      <c r="AO681" s="80">
        <f>AF681-AN681</f>
        <v>0</v>
      </c>
      <c r="AP681" s="80">
        <f>AM681-AN681</f>
        <v>0</v>
      </c>
      <c r="AQ681" s="80">
        <f>AD681-AM681-AO681</f>
        <v>0</v>
      </c>
      <c r="AR681" s="80">
        <f>IF(AM681=0,0,AK681-AN681*AK681/AM681)</f>
        <v>0</v>
      </c>
      <c r="AS681" s="80">
        <f>IF(AD681-AM681=0,0,(AJ681-AK681)-AO681*(AJ681-AK681)/(AD681-AM681))</f>
        <v>0</v>
      </c>
      <c r="AT681" s="80" t="str">
        <f>IF(AC681=1,INT(B681)+1,"")</f>
        <v/>
      </c>
      <c r="AU681" s="80">
        <f>IF(AND(D681="proMX",R681="Cancelled"),0,1)</f>
        <v>1</v>
      </c>
      <c r="AV681" s="80">
        <f>IF(AND(AB681=1,AU681=1),IF(COUNTIFS($D$5:D680,D681,$B$5:B680,B681,$Z$5:Z680,Z681,$AA$5:AA680,AA681,$F$5:F680,F681&amp;"",$AU$5:AU680,1)&gt;0,1,0),0)</f>
        <v>0</v>
      </c>
      <c r="AW681" s="80" t="str">
        <f>IF(AB681=1,INT(B681)*1440+Z681,"")</f>
        <v/>
      </c>
      <c r="AX681" s="80" t="str">
        <f>IF(AB681=1,AW681+AD681,"")</f>
        <v/>
      </c>
      <c r="AY681" s="80">
        <f>IF(AND(AB681=1,AV681=0,AU681=1),1,0)</f>
        <v>0</v>
      </c>
      <c r="AZ681" s="80">
        <f>IF(AY681=1,COUNTIFS(R_Emp,D681,R_SAbs,"&lt;"&amp;AX681,R_EAbs,"&gt;"&amp;AW681,R_OKey,1)-1,0)</f>
        <v>0</v>
      </c>
      <c r="BA681" s="80">
        <f>IF(AY681=1,COUNTIFS(R_Emp,"&lt;&gt;"&amp;D681,R_SAbs,"&lt;"&amp;AX681,R_EAbs,"&gt;"&amp;AW681,R_OKey,1),0)</f>
        <v>0</v>
      </c>
      <c r="BB681" s="80">
        <f>IF(AND(AB681=1,D681="proMX"),IF(AND(MOD(Z681,CFG_BLK)=0,MOD(AA681,CFG_BLK)=0,MOD(AG681,CFG_BLK)=0,AG681&gt;0),1,0),1)</f>
        <v>1</v>
      </c>
      <c r="BC681" s="80" t="str">
        <f>IF(Y681=0,"",IF(NOT(ISNUMBER(B681)),"Falta fecha o fecha inválida",IF(D681="","Falta empresa",IF(AND(D681&lt;&gt;"Malcolm",D681&lt;&gt;"proMX"),"Empresa inválida",IF(OR(INT(B681)&lt;CFG_PSTART,INT(B681)&gt;CFG_PEND),"Fecha fuera del período",IF(OR(NOT(ISNUMBER(Z681)),NOT(ISNUMBER(AA681))),"Falta hora inicio/fin o formato inválido",IF(AB681=0,"Hora inicio = hora fin",IF(AE681&lt;0,"Descanso inválido",IF(AE681&gt;=AD681,"Descanso ≥ duración",IF(AV681=1,"Registro duplicado",IF(AZ681&gt;0,"Se superpone con otro registro "&amp;D681,IF(BB681=0,"inicio, fin y duración neta deben ser múltiplos de "&amp;CFG_BLK&amp;" min",""))))))))))))</f>
        <v/>
      </c>
      <c r="BD681" s="80">
        <f>IF(AND(Y681=1,BC681=""),1,0)</f>
        <v>0</v>
      </c>
      <c r="BE681" s="80">
        <f>IF(AND(BD681=1,AU681=1),1,0)</f>
        <v>0</v>
      </c>
      <c r="BF681" s="80" t="str">
        <f>IF(AND(D681="proMX",BD681=1),IF(R681="","Draft",R681),"")</f>
        <v/>
      </c>
      <c r="BG681" s="80">
        <f>IF(BD681=1,ROUND(AG681/60,6),0)</f>
        <v>0</v>
      </c>
      <c r="BH681" s="80">
        <f>IF(BE681=1,ROUND(AG681/60,6),0)</f>
        <v>0</v>
      </c>
      <c r="BI681" s="80">
        <f>IF(BE681=1,ROUND(AP681/60,6),0)</f>
        <v>0</v>
      </c>
      <c r="BJ681" s="80">
        <f>IF(BE681=1,ROUND(AQ681/60,6),0)</f>
        <v>0</v>
      </c>
      <c r="BK681" s="80">
        <f>IF(BE681=1,ROUND((AR681+AS681)/60,6),0)</f>
        <v>0</v>
      </c>
      <c r="BL681" s="80">
        <f>ROUND(BH681-BK681,6)</f>
        <v>0</v>
      </c>
      <c r="BM681" s="80">
        <f>IF(BE681=1,ROUND(AR681/60,6),0)</f>
        <v>0</v>
      </c>
      <c r="BN681" s="80">
        <f>ROUND(BI681-BM681,6)</f>
        <v>0</v>
      </c>
      <c r="BO681" s="80">
        <f>IF(BE681=1,ROUND(AS681/60,6),0)</f>
        <v>0</v>
      </c>
      <c r="BP681" s="80">
        <f>ROUND(BJ681-BO681,6)</f>
        <v>0</v>
      </c>
      <c r="BQ681" s="80">
        <f>IF(BE681=1,AW681,0)</f>
        <v>0</v>
      </c>
      <c r="BR681" s="80">
        <f>IF(BE681=1,AX681,0)</f>
        <v>0</v>
      </c>
      <c r="BS681" s="80">
        <f>IF(AND(BE681=1,D681="Malcolm",BA681&gt;0),MIN(BH681,SUMPRODUCT((R_Emp="proMX")*(R_EN&gt;0)*((R_EN-(R_EN&gt;BR681)*(R_EN-BR681))&gt;(R_SN+(R_SN&lt;BQ681)*(BQ681-R_SN)))*((R_EN-(R_EN&gt;BR681)*(R_EN-BR681))-(R_SN+(R_SN&lt;BQ681)*(BQ681-R_SN))))/60),0)</f>
        <v>0</v>
      </c>
      <c r="BT681" s="80">
        <f>IF(AND(BE681=1,D681="proMX"),ROUND(BI681*CFG_RATE+BJ681*CFG_OTRATE,6),0)</f>
        <v>0</v>
      </c>
      <c r="BU681" s="80">
        <f>IF(AND(BD681=1,D681="proMX"),ROUND(AG681/CFG_BLK,6),0)</f>
        <v>0</v>
      </c>
      <c r="BV681" s="80" t="str">
        <f>IF(BF681="Approved",IF(ISNUMBER(T681),INT(T681),INT(B681)),"")</f>
        <v/>
      </c>
      <c r="BW681" s="80">
        <f>IF(ISNUMBER(B681),IF(DB_MON="Todos",1,IF(AND(INT(B681)&gt;=DB_MS,INT(B681)&lt;=DB_ME),1,0)),0)</f>
        <v>0</v>
      </c>
      <c r="BX681" s="80">
        <f>IF(DB_PROJ="Todos",1,IF(E681&amp;""=DB_PROJ&amp;"",1,0))</f>
        <v>1</v>
      </c>
      <c r="BY681" s="80">
        <f>BW681*BX681</f>
        <v>0</v>
      </c>
      <c r="BZ681" s="80" t="str">
        <f>IF(Y681=1,F681&amp;IF(AND(F681&amp;""&lt;&gt;"",E681&amp;""&lt;&gt;"")," · ","")&amp;E681,"")</f>
        <v/>
      </c>
      <c r="CA681" s="80" t="str">
        <f>IF(AND(BD681=1,E681&amp;""&lt;&gt;""),IF(COUNTIFS($E$5:E680,E681,$BD$5:BD680,1)=0,MAX($CA$5:CA680)+1,""),"")</f>
        <v/>
      </c>
      <c r="CB681" s="80" t="str">
        <f>IF(AND(BE681=1,D681="Malcolm",E681&amp;""&lt;&gt;""),IF(COUNTIFS($D$5:D680,"Malcolm",$E$5:E680,E681,$BE$5:BE680,1)=0,MAX($CB$5:CB680)+1,""),"")</f>
        <v/>
      </c>
      <c r="CC681" s="80" t="str">
        <f>IF(AND(BD681=1,D681="proMX",E681&amp;""&lt;&gt;""),IF(COUNTIFS($D$5:D680,"proMX",$E$5:E680,E681,$BD$5:BD680,1)=0,MAX($CC$5:CC680)+1,""),"")</f>
        <v/>
      </c>
      <c r="CD681" s="80" t="str">
        <f>IF(AND(BE681=1,D681="Malcolm",F681&amp;""&lt;&gt;""),IF(COUNTIFS($D$5:D680,"Malcolm",$F$5:F680,F681,$BE$5:BE680,1)=0,MAX($CD$5:CD680)+1,""),"")</f>
        <v/>
      </c>
      <c r="CE681" s="80" t="str">
        <f>IF(AND(BD681=1,D681="proMX",F681&amp;""&lt;&gt;""),IF(COUNTIFS($D$5:D680,"proMX",$F$5:F680,F681,$BD$5:BD680,1)=0,MAX($CE$5:CE680)+1,""),"")</f>
        <v/>
      </c>
      <c r="CF681" s="80" t="str">
        <f>IF(AND(D681="proMX",BD681=1),IF(OR(BF681="Draft",BF681="Submitted",BF681="Returned",BF681="Recall Requested"),MAX($CF$5:CF680)+1,""),"")</f>
        <v/>
      </c>
      <c r="CG681" s="80">
        <f>IF(BD681=0,0,IF(D681="Malcolm",1,MATCH(BF681,{"Draft","Submitted","Approved","Returned","Recall Requested","Cancelled"},0)+1))</f>
        <v>0</v>
      </c>
      <c r="CH681" s="80">
        <f>IF(AND(BF681="Submitted",ISNUMBER(V681)),IF(V681&gt;CFG_MAXD,1,0),0)</f>
        <v>0</v>
      </c>
    </row>
    <row r="682">
      <c r="A682" s="71" t="str">
        <f>IF(Y682=1,ROW()-5,"")</f>
        <v/>
      </c>
      <c r="B682" s="72" t="n"/>
      <c r="C682" s="71" t="str">
        <f>IF(ISNUMBER(B682),CHOOSE(WEEKDAY(B682,2),"Lun","Mar","Mié","Jue","Vie","Sáb","Dom"),"")</f>
        <v/>
      </c>
      <c r="D682" s="73" t="n"/>
      <c r="E682" s="74" t="n"/>
      <c r="F682" s="74" t="n"/>
      <c r="G682" s="74" t="n"/>
      <c r="H682" s="75" t="n"/>
      <c r="I682" s="75" t="n"/>
      <c r="J682" s="76" t="n"/>
      <c r="K682" s="77" t="str">
        <f>IF(AB682=1,ROUND(AG682/60,4),"")</f>
        <v/>
      </c>
      <c r="L682" s="77" t="str">
        <f>IF(BD682=1,ROUND(AP682/60,4),"")</f>
        <v/>
      </c>
      <c r="M682" s="77" t="str">
        <f>IF(BD682=1,ROUND(AQ682/60,4),"")</f>
        <v/>
      </c>
      <c r="N682" s="71" t="str">
        <f>IF(AND(D682="proMX",AB682=1),ROUND(AG682/CFG_BLK,2),"")</f>
        <v/>
      </c>
      <c r="O682" s="77" t="str">
        <f>IF(D682="proMX",IF(BD682=1,ROUND(AG682/60,4),0),"")</f>
        <v/>
      </c>
      <c r="P682" s="78" t="str">
        <f>IF(Y682=0,"",IF(BD682=1,"OK",IF(D682="proMX","Revisar bloques: ","Revisar: ")&amp;BC682))</f>
        <v/>
      </c>
      <c r="Q682" s="78" t="str">
        <f>IF(NOT(ISNUMBER(B682)),"",IF(COUNTIFS(FER_F,INT(B682))&gt;0,"Feriado"&amp;IF(AH682=1," (laborable)"," (no laborable)"),IF(AH682=1,"Laborable",IF(WEEKDAY(B682,2)&gt;5,"Fin de semana","No laborable"))))</f>
        <v/>
      </c>
      <c r="R682" s="73" t="n"/>
      <c r="S682" s="72" t="n"/>
      <c r="T682" s="72" t="n"/>
      <c r="U682" s="74" t="n"/>
      <c r="V682" s="79" t="str">
        <f>IF(AND(D682="proMX",OR(R682="Submitted",R682="Recall Requested"),ISNUMBER(S682)),CFG_TODAY-INT(S682),"")</f>
        <v/>
      </c>
      <c r="W682" s="78" t="str">
        <f>IF(BD682=0,"",IF(BA682&gt;0,"⚠ Se superpone con un registro de la otra empresa",IF(D682="Malcolm",IF(COUNTA(R682,S682,T682)&gt;0,"Estado/fechas proMX se ignoran en Malcolm",""),IF(BF682="Cancelled","Cancelado: excluido de totales",IF(R682="","Sin estado: se trata como Draft",IF(BF682="Submitted",IF(ISNUMBER(V682),IF(V682&gt;CFG_MAXD,"⚠ "&amp;V682&amp;" días en Submitted (máx. "&amp;CFG_MAXD&amp;")",""),"Falta fecha de envío"),IF(BF682="Returned","⚠ Devuelto: corregir y reenviar",IF(BF682="Recall Requested","Retirada solicitada: pendiente",IF(AND(BF682="Approved",NOT(ISNUMBER(T682))),"Falta fecha de aprobación",IF(AND(ISNUMBER(S682),ISNUMBER(T682),T682&lt;S682),"Aprobación anterior al envío","")))))))))</f>
        <v/>
      </c>
      <c r="Y682" s="80">
        <f>IF(COUNTA(B682,D682,E682,F682,G682,H682,I682,J682,R682,S682,T682)&gt;0,1,0)</f>
        <v>0</v>
      </c>
      <c r="Z682" s="80" t="str">
        <f>IF(AND(ISNUMBER(H682),H682&gt;=0,H682&lt;1),ROUND(H682*1440,0),"")</f>
        <v/>
      </c>
      <c r="AA682" s="80" t="str">
        <f>IF(AND(ISNUMBER(I682),I682&gt;=0,I682&lt;1),ROUND(I682*1440,0),"")</f>
        <v/>
      </c>
      <c r="AB682" s="80">
        <f>IF(AND(ISNUMBER(B682),D682&lt;&gt;"",ISNUMBER(Z682),ISNUMBER(AA682)),IF(Z682=AA682,0,1),0)</f>
        <v>0</v>
      </c>
      <c r="AC682" s="80">
        <f>IF(AB682=1,IF(AA682&lt;Z682,1,0),0)</f>
        <v>0</v>
      </c>
      <c r="AD682" s="80">
        <f>IF(AB682=1,IF(AC682=1,1440-Z682+AA682,AA682-Z682),0)</f>
        <v>0</v>
      </c>
      <c r="AE682" s="80">
        <f>IF(J682="",0,IF(ISNUMBER(J682),J682,-1))</f>
        <v>0</v>
      </c>
      <c r="AF682" s="80">
        <f>MIN(MAX(0,AE682),AD682)</f>
        <v>0</v>
      </c>
      <c r="AG682" s="80">
        <f>MAX(0,AD682-MAX(0,AE682))</f>
        <v>0</v>
      </c>
      <c r="AH682" s="80">
        <f>IF(ISNUMBER(B682),IF(AND(INDEX(CFG_WDAYS,WEEKDAY(INT(B682),2))="Sí",IF(D682="proMX",COUNTIFS(FER_F,INT(B682),FER_NLP,"Sí"),COUNTIFS(FER_F,INT(B682),FER_NLM,"Sí"))=0),1,0),0)</f>
        <v>0</v>
      </c>
      <c r="AI682" s="80">
        <f>IF(AC682=1,IF(AND(INDEX(CFG_WDAYS,WEEKDAY(INT(B682)+1,2))="Sí",IF(D682="proMX",COUNTIFS(FER_F,INT(B682)+1,FER_NLP,"Sí"),COUNTIFS(FER_F,INT(B682)+1,FER_NLM,"Sí"))=0),1,0),0)</f>
        <v>0</v>
      </c>
      <c r="AJ682" s="80">
        <f>IF(AC682=1,1440-Z682,AD682)</f>
        <v>0</v>
      </c>
      <c r="AK682" s="80">
        <f>IF(AND(AB682=1,AH682=1),MAX(0,MIN(IF(AC682=1,1440,AA682),CFG_WEM)-MAX(Z682,CFG_WSM)),0)</f>
        <v>0</v>
      </c>
      <c r="AL682" s="80">
        <f>IF(AND(AC682=1,AI682=1),MAX(0,MIN(AA682,CFG_WEM)-CFG_WSM),0)</f>
        <v>0</v>
      </c>
      <c r="AM682" s="80">
        <f>AK682+AL682</f>
        <v>0</v>
      </c>
      <c r="AN682" s="80">
        <f>IF(CFG_BRK="Proporcional",IF(AD682=0,0,AF682*AM682/AD682),IF(CFG_BRK="Extras primero",MIN(AM682,MAX(0,AF682-(AD682-AM682))),MIN(AF682,AM682)))</f>
        <v>0</v>
      </c>
      <c r="AO682" s="80">
        <f>AF682-AN682</f>
        <v>0</v>
      </c>
      <c r="AP682" s="80">
        <f>AM682-AN682</f>
        <v>0</v>
      </c>
      <c r="AQ682" s="80">
        <f>AD682-AM682-AO682</f>
        <v>0</v>
      </c>
      <c r="AR682" s="80">
        <f>IF(AM682=0,0,AK682-AN682*AK682/AM682)</f>
        <v>0</v>
      </c>
      <c r="AS682" s="80">
        <f>IF(AD682-AM682=0,0,(AJ682-AK682)-AO682*(AJ682-AK682)/(AD682-AM682))</f>
        <v>0</v>
      </c>
      <c r="AT682" s="80" t="str">
        <f>IF(AC682=1,INT(B682)+1,"")</f>
        <v/>
      </c>
      <c r="AU682" s="80">
        <f>IF(AND(D682="proMX",R682="Cancelled"),0,1)</f>
        <v>1</v>
      </c>
      <c r="AV682" s="80">
        <f>IF(AND(AB682=1,AU682=1),IF(COUNTIFS($D$5:D681,D682,$B$5:B681,B682,$Z$5:Z681,Z682,$AA$5:AA681,AA682,$F$5:F681,F682&amp;"",$AU$5:AU681,1)&gt;0,1,0),0)</f>
        <v>0</v>
      </c>
      <c r="AW682" s="80" t="str">
        <f>IF(AB682=1,INT(B682)*1440+Z682,"")</f>
        <v/>
      </c>
      <c r="AX682" s="80" t="str">
        <f>IF(AB682=1,AW682+AD682,"")</f>
        <v/>
      </c>
      <c r="AY682" s="80">
        <f>IF(AND(AB682=1,AV682=0,AU682=1),1,0)</f>
        <v>0</v>
      </c>
      <c r="AZ682" s="80">
        <f>IF(AY682=1,COUNTIFS(R_Emp,D682,R_SAbs,"&lt;"&amp;AX682,R_EAbs,"&gt;"&amp;AW682,R_OKey,1)-1,0)</f>
        <v>0</v>
      </c>
      <c r="BA682" s="80">
        <f>IF(AY682=1,COUNTIFS(R_Emp,"&lt;&gt;"&amp;D682,R_SAbs,"&lt;"&amp;AX682,R_EAbs,"&gt;"&amp;AW682,R_OKey,1),0)</f>
        <v>0</v>
      </c>
      <c r="BB682" s="80">
        <f>IF(AND(AB682=1,D682="proMX"),IF(AND(MOD(Z682,CFG_BLK)=0,MOD(AA682,CFG_BLK)=0,MOD(AG682,CFG_BLK)=0,AG682&gt;0),1,0),1)</f>
        <v>1</v>
      </c>
      <c r="BC682" s="80" t="str">
        <f>IF(Y682=0,"",IF(NOT(ISNUMBER(B682)),"Falta fecha o fecha inválida",IF(D682="","Falta empresa",IF(AND(D682&lt;&gt;"Malcolm",D682&lt;&gt;"proMX"),"Empresa inválida",IF(OR(INT(B682)&lt;CFG_PSTART,INT(B682)&gt;CFG_PEND),"Fecha fuera del período",IF(OR(NOT(ISNUMBER(Z682)),NOT(ISNUMBER(AA682))),"Falta hora inicio/fin o formato inválido",IF(AB682=0,"Hora inicio = hora fin",IF(AE682&lt;0,"Descanso inválido",IF(AE682&gt;=AD682,"Descanso ≥ duración",IF(AV682=1,"Registro duplicado",IF(AZ682&gt;0,"Se superpone con otro registro "&amp;D682,IF(BB682=0,"inicio, fin y duración neta deben ser múltiplos de "&amp;CFG_BLK&amp;" min",""))))))))))))</f>
        <v/>
      </c>
      <c r="BD682" s="80">
        <f>IF(AND(Y682=1,BC682=""),1,0)</f>
        <v>0</v>
      </c>
      <c r="BE682" s="80">
        <f>IF(AND(BD682=1,AU682=1),1,0)</f>
        <v>0</v>
      </c>
      <c r="BF682" s="80" t="str">
        <f>IF(AND(D682="proMX",BD682=1),IF(R682="","Draft",R682),"")</f>
        <v/>
      </c>
      <c r="BG682" s="80">
        <f>IF(BD682=1,ROUND(AG682/60,6),0)</f>
        <v>0</v>
      </c>
      <c r="BH682" s="80">
        <f>IF(BE682=1,ROUND(AG682/60,6),0)</f>
        <v>0</v>
      </c>
      <c r="BI682" s="80">
        <f>IF(BE682=1,ROUND(AP682/60,6),0)</f>
        <v>0</v>
      </c>
      <c r="BJ682" s="80">
        <f>IF(BE682=1,ROUND(AQ682/60,6),0)</f>
        <v>0</v>
      </c>
      <c r="BK682" s="80">
        <f>IF(BE682=1,ROUND((AR682+AS682)/60,6),0)</f>
        <v>0</v>
      </c>
      <c r="BL682" s="80">
        <f>ROUND(BH682-BK682,6)</f>
        <v>0</v>
      </c>
      <c r="BM682" s="80">
        <f>IF(BE682=1,ROUND(AR682/60,6),0)</f>
        <v>0</v>
      </c>
      <c r="BN682" s="80">
        <f>ROUND(BI682-BM682,6)</f>
        <v>0</v>
      </c>
      <c r="BO682" s="80">
        <f>IF(BE682=1,ROUND(AS682/60,6),0)</f>
        <v>0</v>
      </c>
      <c r="BP682" s="80">
        <f>ROUND(BJ682-BO682,6)</f>
        <v>0</v>
      </c>
      <c r="BQ682" s="80">
        <f>IF(BE682=1,AW682,0)</f>
        <v>0</v>
      </c>
      <c r="BR682" s="80">
        <f>IF(BE682=1,AX682,0)</f>
        <v>0</v>
      </c>
      <c r="BS682" s="80">
        <f>IF(AND(BE682=1,D682="Malcolm",BA682&gt;0),MIN(BH682,SUMPRODUCT((R_Emp="proMX")*(R_EN&gt;0)*((R_EN-(R_EN&gt;BR682)*(R_EN-BR682))&gt;(R_SN+(R_SN&lt;BQ682)*(BQ682-R_SN)))*((R_EN-(R_EN&gt;BR682)*(R_EN-BR682))-(R_SN+(R_SN&lt;BQ682)*(BQ682-R_SN))))/60),0)</f>
        <v>0</v>
      </c>
      <c r="BT682" s="80">
        <f>IF(AND(BE682=1,D682="proMX"),ROUND(BI682*CFG_RATE+BJ682*CFG_OTRATE,6),0)</f>
        <v>0</v>
      </c>
      <c r="BU682" s="80">
        <f>IF(AND(BD682=1,D682="proMX"),ROUND(AG682/CFG_BLK,6),0)</f>
        <v>0</v>
      </c>
      <c r="BV682" s="80" t="str">
        <f>IF(BF682="Approved",IF(ISNUMBER(T682),INT(T682),INT(B682)),"")</f>
        <v/>
      </c>
      <c r="BW682" s="80">
        <f>IF(ISNUMBER(B682),IF(DB_MON="Todos",1,IF(AND(INT(B682)&gt;=DB_MS,INT(B682)&lt;=DB_ME),1,0)),0)</f>
        <v>0</v>
      </c>
      <c r="BX682" s="80">
        <f>IF(DB_PROJ="Todos",1,IF(E682&amp;""=DB_PROJ&amp;"",1,0))</f>
        <v>1</v>
      </c>
      <c r="BY682" s="80">
        <f>BW682*BX682</f>
        <v>0</v>
      </c>
      <c r="BZ682" s="80" t="str">
        <f>IF(Y682=1,F682&amp;IF(AND(F682&amp;""&lt;&gt;"",E682&amp;""&lt;&gt;"")," · ","")&amp;E682,"")</f>
        <v/>
      </c>
      <c r="CA682" s="80" t="str">
        <f>IF(AND(BD682=1,E682&amp;""&lt;&gt;""),IF(COUNTIFS($E$5:E681,E682,$BD$5:BD681,1)=0,MAX($CA$5:CA681)+1,""),"")</f>
        <v/>
      </c>
      <c r="CB682" s="80" t="str">
        <f>IF(AND(BE682=1,D682="Malcolm",E682&amp;""&lt;&gt;""),IF(COUNTIFS($D$5:D681,"Malcolm",$E$5:E681,E682,$BE$5:BE681,1)=0,MAX($CB$5:CB681)+1,""),"")</f>
        <v/>
      </c>
      <c r="CC682" s="80" t="str">
        <f>IF(AND(BD682=1,D682="proMX",E682&amp;""&lt;&gt;""),IF(COUNTIFS($D$5:D681,"proMX",$E$5:E681,E682,$BD$5:BD681,1)=0,MAX($CC$5:CC681)+1,""),"")</f>
        <v/>
      </c>
      <c r="CD682" s="80" t="str">
        <f>IF(AND(BE682=1,D682="Malcolm",F682&amp;""&lt;&gt;""),IF(COUNTIFS($D$5:D681,"Malcolm",$F$5:F681,F682,$BE$5:BE681,1)=0,MAX($CD$5:CD681)+1,""),"")</f>
        <v/>
      </c>
      <c r="CE682" s="80" t="str">
        <f>IF(AND(BD682=1,D682="proMX",F682&amp;""&lt;&gt;""),IF(COUNTIFS($D$5:D681,"proMX",$F$5:F681,F682,$BD$5:BD681,1)=0,MAX($CE$5:CE681)+1,""),"")</f>
        <v/>
      </c>
      <c r="CF682" s="80" t="str">
        <f>IF(AND(D682="proMX",BD682=1),IF(OR(BF682="Draft",BF682="Submitted",BF682="Returned",BF682="Recall Requested"),MAX($CF$5:CF681)+1,""),"")</f>
        <v/>
      </c>
      <c r="CG682" s="80">
        <f>IF(BD682=0,0,IF(D682="Malcolm",1,MATCH(BF682,{"Draft","Submitted","Approved","Returned","Recall Requested","Cancelled"},0)+1))</f>
        <v>0</v>
      </c>
      <c r="CH682" s="80">
        <f>IF(AND(BF682="Submitted",ISNUMBER(V682)),IF(V682&gt;CFG_MAXD,1,0),0)</f>
        <v>0</v>
      </c>
    </row>
    <row r="683">
      <c r="A683" s="71" t="str">
        <f>IF(Y683=1,ROW()-5,"")</f>
        <v/>
      </c>
      <c r="B683" s="72" t="n"/>
      <c r="C683" s="71" t="str">
        <f>IF(ISNUMBER(B683),CHOOSE(WEEKDAY(B683,2),"Lun","Mar","Mié","Jue","Vie","Sáb","Dom"),"")</f>
        <v/>
      </c>
      <c r="D683" s="73" t="n"/>
      <c r="E683" s="74" t="n"/>
      <c r="F683" s="74" t="n"/>
      <c r="G683" s="74" t="n"/>
      <c r="H683" s="75" t="n"/>
      <c r="I683" s="75" t="n"/>
      <c r="J683" s="76" t="n"/>
      <c r="K683" s="77" t="str">
        <f>IF(AB683=1,ROUND(AG683/60,4),"")</f>
        <v/>
      </c>
      <c r="L683" s="77" t="str">
        <f>IF(BD683=1,ROUND(AP683/60,4),"")</f>
        <v/>
      </c>
      <c r="M683" s="77" t="str">
        <f>IF(BD683=1,ROUND(AQ683/60,4),"")</f>
        <v/>
      </c>
      <c r="N683" s="71" t="str">
        <f>IF(AND(D683="proMX",AB683=1),ROUND(AG683/CFG_BLK,2),"")</f>
        <v/>
      </c>
      <c r="O683" s="77" t="str">
        <f>IF(D683="proMX",IF(BD683=1,ROUND(AG683/60,4),0),"")</f>
        <v/>
      </c>
      <c r="P683" s="78" t="str">
        <f>IF(Y683=0,"",IF(BD683=1,"OK",IF(D683="proMX","Revisar bloques: ","Revisar: ")&amp;BC683))</f>
        <v/>
      </c>
      <c r="Q683" s="78" t="str">
        <f>IF(NOT(ISNUMBER(B683)),"",IF(COUNTIFS(FER_F,INT(B683))&gt;0,"Feriado"&amp;IF(AH683=1," (laborable)"," (no laborable)"),IF(AH683=1,"Laborable",IF(WEEKDAY(B683,2)&gt;5,"Fin de semana","No laborable"))))</f>
        <v/>
      </c>
      <c r="R683" s="73" t="n"/>
      <c r="S683" s="72" t="n"/>
      <c r="T683" s="72" t="n"/>
      <c r="U683" s="74" t="n"/>
      <c r="V683" s="79" t="str">
        <f>IF(AND(D683="proMX",OR(R683="Submitted",R683="Recall Requested"),ISNUMBER(S683)),CFG_TODAY-INT(S683),"")</f>
        <v/>
      </c>
      <c r="W683" s="78" t="str">
        <f>IF(BD683=0,"",IF(BA683&gt;0,"⚠ Se superpone con un registro de la otra empresa",IF(D683="Malcolm",IF(COUNTA(R683,S683,T683)&gt;0,"Estado/fechas proMX se ignoran en Malcolm",""),IF(BF683="Cancelled","Cancelado: excluido de totales",IF(R683="","Sin estado: se trata como Draft",IF(BF683="Submitted",IF(ISNUMBER(V683),IF(V683&gt;CFG_MAXD,"⚠ "&amp;V683&amp;" días en Submitted (máx. "&amp;CFG_MAXD&amp;")",""),"Falta fecha de envío"),IF(BF683="Returned","⚠ Devuelto: corregir y reenviar",IF(BF683="Recall Requested","Retirada solicitada: pendiente",IF(AND(BF683="Approved",NOT(ISNUMBER(T683))),"Falta fecha de aprobación",IF(AND(ISNUMBER(S683),ISNUMBER(T683),T683&lt;S683),"Aprobación anterior al envío","")))))))))</f>
        <v/>
      </c>
      <c r="Y683" s="80">
        <f>IF(COUNTA(B683,D683,E683,F683,G683,H683,I683,J683,R683,S683,T683)&gt;0,1,0)</f>
        <v>0</v>
      </c>
      <c r="Z683" s="80" t="str">
        <f>IF(AND(ISNUMBER(H683),H683&gt;=0,H683&lt;1),ROUND(H683*1440,0),"")</f>
        <v/>
      </c>
      <c r="AA683" s="80" t="str">
        <f>IF(AND(ISNUMBER(I683),I683&gt;=0,I683&lt;1),ROUND(I683*1440,0),"")</f>
        <v/>
      </c>
      <c r="AB683" s="80">
        <f>IF(AND(ISNUMBER(B683),D683&lt;&gt;"",ISNUMBER(Z683),ISNUMBER(AA683)),IF(Z683=AA683,0,1),0)</f>
        <v>0</v>
      </c>
      <c r="AC683" s="80">
        <f>IF(AB683=1,IF(AA683&lt;Z683,1,0),0)</f>
        <v>0</v>
      </c>
      <c r="AD683" s="80">
        <f>IF(AB683=1,IF(AC683=1,1440-Z683+AA683,AA683-Z683),0)</f>
        <v>0</v>
      </c>
      <c r="AE683" s="80">
        <f>IF(J683="",0,IF(ISNUMBER(J683),J683,-1))</f>
        <v>0</v>
      </c>
      <c r="AF683" s="80">
        <f>MIN(MAX(0,AE683),AD683)</f>
        <v>0</v>
      </c>
      <c r="AG683" s="80">
        <f>MAX(0,AD683-MAX(0,AE683))</f>
        <v>0</v>
      </c>
      <c r="AH683" s="80">
        <f>IF(ISNUMBER(B683),IF(AND(INDEX(CFG_WDAYS,WEEKDAY(INT(B683),2))="Sí",IF(D683="proMX",COUNTIFS(FER_F,INT(B683),FER_NLP,"Sí"),COUNTIFS(FER_F,INT(B683),FER_NLM,"Sí"))=0),1,0),0)</f>
        <v>0</v>
      </c>
      <c r="AI683" s="80">
        <f>IF(AC683=1,IF(AND(INDEX(CFG_WDAYS,WEEKDAY(INT(B683)+1,2))="Sí",IF(D683="proMX",COUNTIFS(FER_F,INT(B683)+1,FER_NLP,"Sí"),COUNTIFS(FER_F,INT(B683)+1,FER_NLM,"Sí"))=0),1,0),0)</f>
        <v>0</v>
      </c>
      <c r="AJ683" s="80">
        <f>IF(AC683=1,1440-Z683,AD683)</f>
        <v>0</v>
      </c>
      <c r="AK683" s="80">
        <f>IF(AND(AB683=1,AH683=1),MAX(0,MIN(IF(AC683=1,1440,AA683),CFG_WEM)-MAX(Z683,CFG_WSM)),0)</f>
        <v>0</v>
      </c>
      <c r="AL683" s="80">
        <f>IF(AND(AC683=1,AI683=1),MAX(0,MIN(AA683,CFG_WEM)-CFG_WSM),0)</f>
        <v>0</v>
      </c>
      <c r="AM683" s="80">
        <f>AK683+AL683</f>
        <v>0</v>
      </c>
      <c r="AN683" s="80">
        <f>IF(CFG_BRK="Proporcional",IF(AD683=0,0,AF683*AM683/AD683),IF(CFG_BRK="Extras primero",MIN(AM683,MAX(0,AF683-(AD683-AM683))),MIN(AF683,AM683)))</f>
        <v>0</v>
      </c>
      <c r="AO683" s="80">
        <f>AF683-AN683</f>
        <v>0</v>
      </c>
      <c r="AP683" s="80">
        <f>AM683-AN683</f>
        <v>0</v>
      </c>
      <c r="AQ683" s="80">
        <f>AD683-AM683-AO683</f>
        <v>0</v>
      </c>
      <c r="AR683" s="80">
        <f>IF(AM683=0,0,AK683-AN683*AK683/AM683)</f>
        <v>0</v>
      </c>
      <c r="AS683" s="80">
        <f>IF(AD683-AM683=0,0,(AJ683-AK683)-AO683*(AJ683-AK683)/(AD683-AM683))</f>
        <v>0</v>
      </c>
      <c r="AT683" s="80" t="str">
        <f>IF(AC683=1,INT(B683)+1,"")</f>
        <v/>
      </c>
      <c r="AU683" s="80">
        <f>IF(AND(D683="proMX",R683="Cancelled"),0,1)</f>
        <v>1</v>
      </c>
      <c r="AV683" s="80">
        <f>IF(AND(AB683=1,AU683=1),IF(COUNTIFS($D$5:D682,D683,$B$5:B682,B683,$Z$5:Z682,Z683,$AA$5:AA682,AA683,$F$5:F682,F683&amp;"",$AU$5:AU682,1)&gt;0,1,0),0)</f>
        <v>0</v>
      </c>
      <c r="AW683" s="80" t="str">
        <f>IF(AB683=1,INT(B683)*1440+Z683,"")</f>
        <v/>
      </c>
      <c r="AX683" s="80" t="str">
        <f>IF(AB683=1,AW683+AD683,"")</f>
        <v/>
      </c>
      <c r="AY683" s="80">
        <f>IF(AND(AB683=1,AV683=0,AU683=1),1,0)</f>
        <v>0</v>
      </c>
      <c r="AZ683" s="80">
        <f>IF(AY683=1,COUNTIFS(R_Emp,D683,R_SAbs,"&lt;"&amp;AX683,R_EAbs,"&gt;"&amp;AW683,R_OKey,1)-1,0)</f>
        <v>0</v>
      </c>
      <c r="BA683" s="80">
        <f>IF(AY683=1,COUNTIFS(R_Emp,"&lt;&gt;"&amp;D683,R_SAbs,"&lt;"&amp;AX683,R_EAbs,"&gt;"&amp;AW683,R_OKey,1),0)</f>
        <v>0</v>
      </c>
      <c r="BB683" s="80">
        <f>IF(AND(AB683=1,D683="proMX"),IF(AND(MOD(Z683,CFG_BLK)=0,MOD(AA683,CFG_BLK)=0,MOD(AG683,CFG_BLK)=0,AG683&gt;0),1,0),1)</f>
        <v>1</v>
      </c>
      <c r="BC683" s="80" t="str">
        <f>IF(Y683=0,"",IF(NOT(ISNUMBER(B683)),"Falta fecha o fecha inválida",IF(D683="","Falta empresa",IF(AND(D683&lt;&gt;"Malcolm",D683&lt;&gt;"proMX"),"Empresa inválida",IF(OR(INT(B683)&lt;CFG_PSTART,INT(B683)&gt;CFG_PEND),"Fecha fuera del período",IF(OR(NOT(ISNUMBER(Z683)),NOT(ISNUMBER(AA683))),"Falta hora inicio/fin o formato inválido",IF(AB683=0,"Hora inicio = hora fin",IF(AE683&lt;0,"Descanso inválido",IF(AE683&gt;=AD683,"Descanso ≥ duración",IF(AV683=1,"Registro duplicado",IF(AZ683&gt;0,"Se superpone con otro registro "&amp;D683,IF(BB683=0,"inicio, fin y duración neta deben ser múltiplos de "&amp;CFG_BLK&amp;" min",""))))))))))))</f>
        <v/>
      </c>
      <c r="BD683" s="80">
        <f>IF(AND(Y683=1,BC683=""),1,0)</f>
        <v>0</v>
      </c>
      <c r="BE683" s="80">
        <f>IF(AND(BD683=1,AU683=1),1,0)</f>
        <v>0</v>
      </c>
      <c r="BF683" s="80" t="str">
        <f>IF(AND(D683="proMX",BD683=1),IF(R683="","Draft",R683),"")</f>
        <v/>
      </c>
      <c r="BG683" s="80">
        <f>IF(BD683=1,ROUND(AG683/60,6),0)</f>
        <v>0</v>
      </c>
      <c r="BH683" s="80">
        <f>IF(BE683=1,ROUND(AG683/60,6),0)</f>
        <v>0</v>
      </c>
      <c r="BI683" s="80">
        <f>IF(BE683=1,ROUND(AP683/60,6),0)</f>
        <v>0</v>
      </c>
      <c r="BJ683" s="80">
        <f>IF(BE683=1,ROUND(AQ683/60,6),0)</f>
        <v>0</v>
      </c>
      <c r="BK683" s="80">
        <f>IF(BE683=1,ROUND((AR683+AS683)/60,6),0)</f>
        <v>0</v>
      </c>
      <c r="BL683" s="80">
        <f>ROUND(BH683-BK683,6)</f>
        <v>0</v>
      </c>
      <c r="BM683" s="80">
        <f>IF(BE683=1,ROUND(AR683/60,6),0)</f>
        <v>0</v>
      </c>
      <c r="BN683" s="80">
        <f>ROUND(BI683-BM683,6)</f>
        <v>0</v>
      </c>
      <c r="BO683" s="80">
        <f>IF(BE683=1,ROUND(AS683/60,6),0)</f>
        <v>0</v>
      </c>
      <c r="BP683" s="80">
        <f>ROUND(BJ683-BO683,6)</f>
        <v>0</v>
      </c>
      <c r="BQ683" s="80">
        <f>IF(BE683=1,AW683,0)</f>
        <v>0</v>
      </c>
      <c r="BR683" s="80">
        <f>IF(BE683=1,AX683,0)</f>
        <v>0</v>
      </c>
      <c r="BS683" s="80">
        <f>IF(AND(BE683=1,D683="Malcolm",BA683&gt;0),MIN(BH683,SUMPRODUCT((R_Emp="proMX")*(R_EN&gt;0)*((R_EN-(R_EN&gt;BR683)*(R_EN-BR683))&gt;(R_SN+(R_SN&lt;BQ683)*(BQ683-R_SN)))*((R_EN-(R_EN&gt;BR683)*(R_EN-BR683))-(R_SN+(R_SN&lt;BQ683)*(BQ683-R_SN))))/60),0)</f>
        <v>0</v>
      </c>
      <c r="BT683" s="80">
        <f>IF(AND(BE683=1,D683="proMX"),ROUND(BI683*CFG_RATE+BJ683*CFG_OTRATE,6),0)</f>
        <v>0</v>
      </c>
      <c r="BU683" s="80">
        <f>IF(AND(BD683=1,D683="proMX"),ROUND(AG683/CFG_BLK,6),0)</f>
        <v>0</v>
      </c>
      <c r="BV683" s="80" t="str">
        <f>IF(BF683="Approved",IF(ISNUMBER(T683),INT(T683),INT(B683)),"")</f>
        <v/>
      </c>
      <c r="BW683" s="80">
        <f>IF(ISNUMBER(B683),IF(DB_MON="Todos",1,IF(AND(INT(B683)&gt;=DB_MS,INT(B683)&lt;=DB_ME),1,0)),0)</f>
        <v>0</v>
      </c>
      <c r="BX683" s="80">
        <f>IF(DB_PROJ="Todos",1,IF(E683&amp;""=DB_PROJ&amp;"",1,0))</f>
        <v>1</v>
      </c>
      <c r="BY683" s="80">
        <f>BW683*BX683</f>
        <v>0</v>
      </c>
      <c r="BZ683" s="80" t="str">
        <f>IF(Y683=1,F683&amp;IF(AND(F683&amp;""&lt;&gt;"",E683&amp;""&lt;&gt;"")," · ","")&amp;E683,"")</f>
        <v/>
      </c>
      <c r="CA683" s="80" t="str">
        <f>IF(AND(BD683=1,E683&amp;""&lt;&gt;""),IF(COUNTIFS($E$5:E682,E683,$BD$5:BD682,1)=0,MAX($CA$5:CA682)+1,""),"")</f>
        <v/>
      </c>
      <c r="CB683" s="80" t="str">
        <f>IF(AND(BE683=1,D683="Malcolm",E683&amp;""&lt;&gt;""),IF(COUNTIFS($D$5:D682,"Malcolm",$E$5:E682,E683,$BE$5:BE682,1)=0,MAX($CB$5:CB682)+1,""),"")</f>
        <v/>
      </c>
      <c r="CC683" s="80" t="str">
        <f>IF(AND(BD683=1,D683="proMX",E683&amp;""&lt;&gt;""),IF(COUNTIFS($D$5:D682,"proMX",$E$5:E682,E683,$BD$5:BD682,1)=0,MAX($CC$5:CC682)+1,""),"")</f>
        <v/>
      </c>
      <c r="CD683" s="80" t="str">
        <f>IF(AND(BE683=1,D683="Malcolm",F683&amp;""&lt;&gt;""),IF(COUNTIFS($D$5:D682,"Malcolm",$F$5:F682,F683,$BE$5:BE682,1)=0,MAX($CD$5:CD682)+1,""),"")</f>
        <v/>
      </c>
      <c r="CE683" s="80" t="str">
        <f>IF(AND(BD683=1,D683="proMX",F683&amp;""&lt;&gt;""),IF(COUNTIFS($D$5:D682,"proMX",$F$5:F682,F683,$BD$5:BD682,1)=0,MAX($CE$5:CE682)+1,""),"")</f>
        <v/>
      </c>
      <c r="CF683" s="80" t="str">
        <f>IF(AND(D683="proMX",BD683=1),IF(OR(BF683="Draft",BF683="Submitted",BF683="Returned",BF683="Recall Requested"),MAX($CF$5:CF682)+1,""),"")</f>
        <v/>
      </c>
      <c r="CG683" s="80">
        <f>IF(BD683=0,0,IF(D683="Malcolm",1,MATCH(BF683,{"Draft","Submitted","Approved","Returned","Recall Requested","Cancelled"},0)+1))</f>
        <v>0</v>
      </c>
      <c r="CH683" s="80">
        <f>IF(AND(BF683="Submitted",ISNUMBER(V683)),IF(V683&gt;CFG_MAXD,1,0),0)</f>
        <v>0</v>
      </c>
    </row>
    <row r="684">
      <c r="A684" s="71" t="str">
        <f>IF(Y684=1,ROW()-5,"")</f>
        <v/>
      </c>
      <c r="B684" s="72" t="n"/>
      <c r="C684" s="71" t="str">
        <f>IF(ISNUMBER(B684),CHOOSE(WEEKDAY(B684,2),"Lun","Mar","Mié","Jue","Vie","Sáb","Dom"),"")</f>
        <v/>
      </c>
      <c r="D684" s="73" t="n"/>
      <c r="E684" s="74" t="n"/>
      <c r="F684" s="74" t="n"/>
      <c r="G684" s="74" t="n"/>
      <c r="H684" s="75" t="n"/>
      <c r="I684" s="75" t="n"/>
      <c r="J684" s="76" t="n"/>
      <c r="K684" s="77" t="str">
        <f>IF(AB684=1,ROUND(AG684/60,4),"")</f>
        <v/>
      </c>
      <c r="L684" s="77" t="str">
        <f>IF(BD684=1,ROUND(AP684/60,4),"")</f>
        <v/>
      </c>
      <c r="M684" s="77" t="str">
        <f>IF(BD684=1,ROUND(AQ684/60,4),"")</f>
        <v/>
      </c>
      <c r="N684" s="71" t="str">
        <f>IF(AND(D684="proMX",AB684=1),ROUND(AG684/CFG_BLK,2),"")</f>
        <v/>
      </c>
      <c r="O684" s="77" t="str">
        <f>IF(D684="proMX",IF(BD684=1,ROUND(AG684/60,4),0),"")</f>
        <v/>
      </c>
      <c r="P684" s="78" t="str">
        <f>IF(Y684=0,"",IF(BD684=1,"OK",IF(D684="proMX","Revisar bloques: ","Revisar: ")&amp;BC684))</f>
        <v/>
      </c>
      <c r="Q684" s="78" t="str">
        <f>IF(NOT(ISNUMBER(B684)),"",IF(COUNTIFS(FER_F,INT(B684))&gt;0,"Feriado"&amp;IF(AH684=1," (laborable)"," (no laborable)"),IF(AH684=1,"Laborable",IF(WEEKDAY(B684,2)&gt;5,"Fin de semana","No laborable"))))</f>
        <v/>
      </c>
      <c r="R684" s="73" t="n"/>
      <c r="S684" s="72" t="n"/>
      <c r="T684" s="72" t="n"/>
      <c r="U684" s="74" t="n"/>
      <c r="V684" s="79" t="str">
        <f>IF(AND(D684="proMX",OR(R684="Submitted",R684="Recall Requested"),ISNUMBER(S684)),CFG_TODAY-INT(S684),"")</f>
        <v/>
      </c>
      <c r="W684" s="78" t="str">
        <f>IF(BD684=0,"",IF(BA684&gt;0,"⚠ Se superpone con un registro de la otra empresa",IF(D684="Malcolm",IF(COUNTA(R684,S684,T684)&gt;0,"Estado/fechas proMX se ignoran en Malcolm",""),IF(BF684="Cancelled","Cancelado: excluido de totales",IF(R684="","Sin estado: se trata como Draft",IF(BF684="Submitted",IF(ISNUMBER(V684),IF(V684&gt;CFG_MAXD,"⚠ "&amp;V684&amp;" días en Submitted (máx. "&amp;CFG_MAXD&amp;")",""),"Falta fecha de envío"),IF(BF684="Returned","⚠ Devuelto: corregir y reenviar",IF(BF684="Recall Requested","Retirada solicitada: pendiente",IF(AND(BF684="Approved",NOT(ISNUMBER(T684))),"Falta fecha de aprobación",IF(AND(ISNUMBER(S684),ISNUMBER(T684),T684&lt;S684),"Aprobación anterior al envío","")))))))))</f>
        <v/>
      </c>
      <c r="Y684" s="80">
        <f>IF(COUNTA(B684,D684,E684,F684,G684,H684,I684,J684,R684,S684,T684)&gt;0,1,0)</f>
        <v>0</v>
      </c>
      <c r="Z684" s="80" t="str">
        <f>IF(AND(ISNUMBER(H684),H684&gt;=0,H684&lt;1),ROUND(H684*1440,0),"")</f>
        <v/>
      </c>
      <c r="AA684" s="80" t="str">
        <f>IF(AND(ISNUMBER(I684),I684&gt;=0,I684&lt;1),ROUND(I684*1440,0),"")</f>
        <v/>
      </c>
      <c r="AB684" s="80">
        <f>IF(AND(ISNUMBER(B684),D684&lt;&gt;"",ISNUMBER(Z684),ISNUMBER(AA684)),IF(Z684=AA684,0,1),0)</f>
        <v>0</v>
      </c>
      <c r="AC684" s="80">
        <f>IF(AB684=1,IF(AA684&lt;Z684,1,0),0)</f>
        <v>0</v>
      </c>
      <c r="AD684" s="80">
        <f>IF(AB684=1,IF(AC684=1,1440-Z684+AA684,AA684-Z684),0)</f>
        <v>0</v>
      </c>
      <c r="AE684" s="80">
        <f>IF(J684="",0,IF(ISNUMBER(J684),J684,-1))</f>
        <v>0</v>
      </c>
      <c r="AF684" s="80">
        <f>MIN(MAX(0,AE684),AD684)</f>
        <v>0</v>
      </c>
      <c r="AG684" s="80">
        <f>MAX(0,AD684-MAX(0,AE684))</f>
        <v>0</v>
      </c>
      <c r="AH684" s="80">
        <f>IF(ISNUMBER(B684),IF(AND(INDEX(CFG_WDAYS,WEEKDAY(INT(B684),2))="Sí",IF(D684="proMX",COUNTIFS(FER_F,INT(B684),FER_NLP,"Sí"),COUNTIFS(FER_F,INT(B684),FER_NLM,"Sí"))=0),1,0),0)</f>
        <v>0</v>
      </c>
      <c r="AI684" s="80">
        <f>IF(AC684=1,IF(AND(INDEX(CFG_WDAYS,WEEKDAY(INT(B684)+1,2))="Sí",IF(D684="proMX",COUNTIFS(FER_F,INT(B684)+1,FER_NLP,"Sí"),COUNTIFS(FER_F,INT(B684)+1,FER_NLM,"Sí"))=0),1,0),0)</f>
        <v>0</v>
      </c>
      <c r="AJ684" s="80">
        <f>IF(AC684=1,1440-Z684,AD684)</f>
        <v>0</v>
      </c>
      <c r="AK684" s="80">
        <f>IF(AND(AB684=1,AH684=1),MAX(0,MIN(IF(AC684=1,1440,AA684),CFG_WEM)-MAX(Z684,CFG_WSM)),0)</f>
        <v>0</v>
      </c>
      <c r="AL684" s="80">
        <f>IF(AND(AC684=1,AI684=1),MAX(0,MIN(AA684,CFG_WEM)-CFG_WSM),0)</f>
        <v>0</v>
      </c>
      <c r="AM684" s="80">
        <f>AK684+AL684</f>
        <v>0</v>
      </c>
      <c r="AN684" s="80">
        <f>IF(CFG_BRK="Proporcional",IF(AD684=0,0,AF684*AM684/AD684),IF(CFG_BRK="Extras primero",MIN(AM684,MAX(0,AF684-(AD684-AM684))),MIN(AF684,AM684)))</f>
        <v>0</v>
      </c>
      <c r="AO684" s="80">
        <f>AF684-AN684</f>
        <v>0</v>
      </c>
      <c r="AP684" s="80">
        <f>AM684-AN684</f>
        <v>0</v>
      </c>
      <c r="AQ684" s="80">
        <f>AD684-AM684-AO684</f>
        <v>0</v>
      </c>
      <c r="AR684" s="80">
        <f>IF(AM684=0,0,AK684-AN684*AK684/AM684)</f>
        <v>0</v>
      </c>
      <c r="AS684" s="80">
        <f>IF(AD684-AM684=0,0,(AJ684-AK684)-AO684*(AJ684-AK684)/(AD684-AM684))</f>
        <v>0</v>
      </c>
      <c r="AT684" s="80" t="str">
        <f>IF(AC684=1,INT(B684)+1,"")</f>
        <v/>
      </c>
      <c r="AU684" s="80">
        <f>IF(AND(D684="proMX",R684="Cancelled"),0,1)</f>
        <v>1</v>
      </c>
      <c r="AV684" s="80">
        <f>IF(AND(AB684=1,AU684=1),IF(COUNTIFS($D$5:D683,D684,$B$5:B683,B684,$Z$5:Z683,Z684,$AA$5:AA683,AA684,$F$5:F683,F684&amp;"",$AU$5:AU683,1)&gt;0,1,0),0)</f>
        <v>0</v>
      </c>
      <c r="AW684" s="80" t="str">
        <f>IF(AB684=1,INT(B684)*1440+Z684,"")</f>
        <v/>
      </c>
      <c r="AX684" s="80" t="str">
        <f>IF(AB684=1,AW684+AD684,"")</f>
        <v/>
      </c>
      <c r="AY684" s="80">
        <f>IF(AND(AB684=1,AV684=0,AU684=1),1,0)</f>
        <v>0</v>
      </c>
      <c r="AZ684" s="80">
        <f>IF(AY684=1,COUNTIFS(R_Emp,D684,R_SAbs,"&lt;"&amp;AX684,R_EAbs,"&gt;"&amp;AW684,R_OKey,1)-1,0)</f>
        <v>0</v>
      </c>
      <c r="BA684" s="80">
        <f>IF(AY684=1,COUNTIFS(R_Emp,"&lt;&gt;"&amp;D684,R_SAbs,"&lt;"&amp;AX684,R_EAbs,"&gt;"&amp;AW684,R_OKey,1),0)</f>
        <v>0</v>
      </c>
      <c r="BB684" s="80">
        <f>IF(AND(AB684=1,D684="proMX"),IF(AND(MOD(Z684,CFG_BLK)=0,MOD(AA684,CFG_BLK)=0,MOD(AG684,CFG_BLK)=0,AG684&gt;0),1,0),1)</f>
        <v>1</v>
      </c>
      <c r="BC684" s="80" t="str">
        <f>IF(Y684=0,"",IF(NOT(ISNUMBER(B684)),"Falta fecha o fecha inválida",IF(D684="","Falta empresa",IF(AND(D684&lt;&gt;"Malcolm",D684&lt;&gt;"proMX"),"Empresa inválida",IF(OR(INT(B684)&lt;CFG_PSTART,INT(B684)&gt;CFG_PEND),"Fecha fuera del período",IF(OR(NOT(ISNUMBER(Z684)),NOT(ISNUMBER(AA684))),"Falta hora inicio/fin o formato inválido",IF(AB684=0,"Hora inicio = hora fin",IF(AE684&lt;0,"Descanso inválido",IF(AE684&gt;=AD684,"Descanso ≥ duración",IF(AV684=1,"Registro duplicado",IF(AZ684&gt;0,"Se superpone con otro registro "&amp;D684,IF(BB684=0,"inicio, fin y duración neta deben ser múltiplos de "&amp;CFG_BLK&amp;" min",""))))))))))))</f>
        <v/>
      </c>
      <c r="BD684" s="80">
        <f>IF(AND(Y684=1,BC684=""),1,0)</f>
        <v>0</v>
      </c>
      <c r="BE684" s="80">
        <f>IF(AND(BD684=1,AU684=1),1,0)</f>
        <v>0</v>
      </c>
      <c r="BF684" s="80" t="str">
        <f>IF(AND(D684="proMX",BD684=1),IF(R684="","Draft",R684),"")</f>
        <v/>
      </c>
      <c r="BG684" s="80">
        <f>IF(BD684=1,ROUND(AG684/60,6),0)</f>
        <v>0</v>
      </c>
      <c r="BH684" s="80">
        <f>IF(BE684=1,ROUND(AG684/60,6),0)</f>
        <v>0</v>
      </c>
      <c r="BI684" s="80">
        <f>IF(BE684=1,ROUND(AP684/60,6),0)</f>
        <v>0</v>
      </c>
      <c r="BJ684" s="80">
        <f>IF(BE684=1,ROUND(AQ684/60,6),0)</f>
        <v>0</v>
      </c>
      <c r="BK684" s="80">
        <f>IF(BE684=1,ROUND((AR684+AS684)/60,6),0)</f>
        <v>0</v>
      </c>
      <c r="BL684" s="80">
        <f>ROUND(BH684-BK684,6)</f>
        <v>0</v>
      </c>
      <c r="BM684" s="80">
        <f>IF(BE684=1,ROUND(AR684/60,6),0)</f>
        <v>0</v>
      </c>
      <c r="BN684" s="80">
        <f>ROUND(BI684-BM684,6)</f>
        <v>0</v>
      </c>
      <c r="BO684" s="80">
        <f>IF(BE684=1,ROUND(AS684/60,6),0)</f>
        <v>0</v>
      </c>
      <c r="BP684" s="80">
        <f>ROUND(BJ684-BO684,6)</f>
        <v>0</v>
      </c>
      <c r="BQ684" s="80">
        <f>IF(BE684=1,AW684,0)</f>
        <v>0</v>
      </c>
      <c r="BR684" s="80">
        <f>IF(BE684=1,AX684,0)</f>
        <v>0</v>
      </c>
      <c r="BS684" s="80">
        <f>IF(AND(BE684=1,D684="Malcolm",BA684&gt;0),MIN(BH684,SUMPRODUCT((R_Emp="proMX")*(R_EN&gt;0)*((R_EN-(R_EN&gt;BR684)*(R_EN-BR684))&gt;(R_SN+(R_SN&lt;BQ684)*(BQ684-R_SN)))*((R_EN-(R_EN&gt;BR684)*(R_EN-BR684))-(R_SN+(R_SN&lt;BQ684)*(BQ684-R_SN))))/60),0)</f>
        <v>0</v>
      </c>
      <c r="BT684" s="80">
        <f>IF(AND(BE684=1,D684="proMX"),ROUND(BI684*CFG_RATE+BJ684*CFG_OTRATE,6),0)</f>
        <v>0</v>
      </c>
      <c r="BU684" s="80">
        <f>IF(AND(BD684=1,D684="proMX"),ROUND(AG684/CFG_BLK,6),0)</f>
        <v>0</v>
      </c>
      <c r="BV684" s="80" t="str">
        <f>IF(BF684="Approved",IF(ISNUMBER(T684),INT(T684),INT(B684)),"")</f>
        <v/>
      </c>
      <c r="BW684" s="80">
        <f>IF(ISNUMBER(B684),IF(DB_MON="Todos",1,IF(AND(INT(B684)&gt;=DB_MS,INT(B684)&lt;=DB_ME),1,0)),0)</f>
        <v>0</v>
      </c>
      <c r="BX684" s="80">
        <f>IF(DB_PROJ="Todos",1,IF(E684&amp;""=DB_PROJ&amp;"",1,0))</f>
        <v>1</v>
      </c>
      <c r="BY684" s="80">
        <f>BW684*BX684</f>
        <v>0</v>
      </c>
      <c r="BZ684" s="80" t="str">
        <f>IF(Y684=1,F684&amp;IF(AND(F684&amp;""&lt;&gt;"",E684&amp;""&lt;&gt;"")," · ","")&amp;E684,"")</f>
        <v/>
      </c>
      <c r="CA684" s="80" t="str">
        <f>IF(AND(BD684=1,E684&amp;""&lt;&gt;""),IF(COUNTIFS($E$5:E683,E684,$BD$5:BD683,1)=0,MAX($CA$5:CA683)+1,""),"")</f>
        <v/>
      </c>
      <c r="CB684" s="80" t="str">
        <f>IF(AND(BE684=1,D684="Malcolm",E684&amp;""&lt;&gt;""),IF(COUNTIFS($D$5:D683,"Malcolm",$E$5:E683,E684,$BE$5:BE683,1)=0,MAX($CB$5:CB683)+1,""),"")</f>
        <v/>
      </c>
      <c r="CC684" s="80" t="str">
        <f>IF(AND(BD684=1,D684="proMX",E684&amp;""&lt;&gt;""),IF(COUNTIFS($D$5:D683,"proMX",$E$5:E683,E684,$BD$5:BD683,1)=0,MAX($CC$5:CC683)+1,""),"")</f>
        <v/>
      </c>
      <c r="CD684" s="80" t="str">
        <f>IF(AND(BE684=1,D684="Malcolm",F684&amp;""&lt;&gt;""),IF(COUNTIFS($D$5:D683,"Malcolm",$F$5:F683,F684,$BE$5:BE683,1)=0,MAX($CD$5:CD683)+1,""),"")</f>
        <v/>
      </c>
      <c r="CE684" s="80" t="str">
        <f>IF(AND(BD684=1,D684="proMX",F684&amp;""&lt;&gt;""),IF(COUNTIFS($D$5:D683,"proMX",$F$5:F683,F684,$BD$5:BD683,1)=0,MAX($CE$5:CE683)+1,""),"")</f>
        <v/>
      </c>
      <c r="CF684" s="80" t="str">
        <f>IF(AND(D684="proMX",BD684=1),IF(OR(BF684="Draft",BF684="Submitted",BF684="Returned",BF684="Recall Requested"),MAX($CF$5:CF683)+1,""),"")</f>
        <v/>
      </c>
      <c r="CG684" s="80">
        <f>IF(BD684=0,0,IF(D684="Malcolm",1,MATCH(BF684,{"Draft","Submitted","Approved","Returned","Recall Requested","Cancelled"},0)+1))</f>
        <v>0</v>
      </c>
      <c r="CH684" s="80">
        <f>IF(AND(BF684="Submitted",ISNUMBER(V684)),IF(V684&gt;CFG_MAXD,1,0),0)</f>
        <v>0</v>
      </c>
    </row>
    <row r="685">
      <c r="A685" s="71" t="str">
        <f>IF(Y685=1,ROW()-5,"")</f>
        <v/>
      </c>
      <c r="B685" s="72" t="n"/>
      <c r="C685" s="71" t="str">
        <f>IF(ISNUMBER(B685),CHOOSE(WEEKDAY(B685,2),"Lun","Mar","Mié","Jue","Vie","Sáb","Dom"),"")</f>
        <v/>
      </c>
      <c r="D685" s="73" t="n"/>
      <c r="E685" s="74" t="n"/>
      <c r="F685" s="74" t="n"/>
      <c r="G685" s="74" t="n"/>
      <c r="H685" s="75" t="n"/>
      <c r="I685" s="75" t="n"/>
      <c r="J685" s="76" t="n"/>
      <c r="K685" s="77" t="str">
        <f>IF(AB685=1,ROUND(AG685/60,4),"")</f>
        <v/>
      </c>
      <c r="L685" s="77" t="str">
        <f>IF(BD685=1,ROUND(AP685/60,4),"")</f>
        <v/>
      </c>
      <c r="M685" s="77" t="str">
        <f>IF(BD685=1,ROUND(AQ685/60,4),"")</f>
        <v/>
      </c>
      <c r="N685" s="71" t="str">
        <f>IF(AND(D685="proMX",AB685=1),ROUND(AG685/CFG_BLK,2),"")</f>
        <v/>
      </c>
      <c r="O685" s="77" t="str">
        <f>IF(D685="proMX",IF(BD685=1,ROUND(AG685/60,4),0),"")</f>
        <v/>
      </c>
      <c r="P685" s="78" t="str">
        <f>IF(Y685=0,"",IF(BD685=1,"OK",IF(D685="proMX","Revisar bloques: ","Revisar: ")&amp;BC685))</f>
        <v/>
      </c>
      <c r="Q685" s="78" t="str">
        <f>IF(NOT(ISNUMBER(B685)),"",IF(COUNTIFS(FER_F,INT(B685))&gt;0,"Feriado"&amp;IF(AH685=1," (laborable)"," (no laborable)"),IF(AH685=1,"Laborable",IF(WEEKDAY(B685,2)&gt;5,"Fin de semana","No laborable"))))</f>
        <v/>
      </c>
      <c r="R685" s="73" t="n"/>
      <c r="S685" s="72" t="n"/>
      <c r="T685" s="72" t="n"/>
      <c r="U685" s="74" t="n"/>
      <c r="V685" s="79" t="str">
        <f>IF(AND(D685="proMX",OR(R685="Submitted",R685="Recall Requested"),ISNUMBER(S685)),CFG_TODAY-INT(S685),"")</f>
        <v/>
      </c>
      <c r="W685" s="78" t="str">
        <f>IF(BD685=0,"",IF(BA685&gt;0,"⚠ Se superpone con un registro de la otra empresa",IF(D685="Malcolm",IF(COUNTA(R685,S685,T685)&gt;0,"Estado/fechas proMX se ignoran en Malcolm",""),IF(BF685="Cancelled","Cancelado: excluido de totales",IF(R685="","Sin estado: se trata como Draft",IF(BF685="Submitted",IF(ISNUMBER(V685),IF(V685&gt;CFG_MAXD,"⚠ "&amp;V685&amp;" días en Submitted (máx. "&amp;CFG_MAXD&amp;")",""),"Falta fecha de envío"),IF(BF685="Returned","⚠ Devuelto: corregir y reenviar",IF(BF685="Recall Requested","Retirada solicitada: pendiente",IF(AND(BF685="Approved",NOT(ISNUMBER(T685))),"Falta fecha de aprobación",IF(AND(ISNUMBER(S685),ISNUMBER(T685),T685&lt;S685),"Aprobación anterior al envío","")))))))))</f>
        <v/>
      </c>
      <c r="Y685" s="80">
        <f>IF(COUNTA(B685,D685,E685,F685,G685,H685,I685,J685,R685,S685,T685)&gt;0,1,0)</f>
        <v>0</v>
      </c>
      <c r="Z685" s="80" t="str">
        <f>IF(AND(ISNUMBER(H685),H685&gt;=0,H685&lt;1),ROUND(H685*1440,0),"")</f>
        <v/>
      </c>
      <c r="AA685" s="80" t="str">
        <f>IF(AND(ISNUMBER(I685),I685&gt;=0,I685&lt;1),ROUND(I685*1440,0),"")</f>
        <v/>
      </c>
      <c r="AB685" s="80">
        <f>IF(AND(ISNUMBER(B685),D685&lt;&gt;"",ISNUMBER(Z685),ISNUMBER(AA685)),IF(Z685=AA685,0,1),0)</f>
        <v>0</v>
      </c>
      <c r="AC685" s="80">
        <f>IF(AB685=1,IF(AA685&lt;Z685,1,0),0)</f>
        <v>0</v>
      </c>
      <c r="AD685" s="80">
        <f>IF(AB685=1,IF(AC685=1,1440-Z685+AA685,AA685-Z685),0)</f>
        <v>0</v>
      </c>
      <c r="AE685" s="80">
        <f>IF(J685="",0,IF(ISNUMBER(J685),J685,-1))</f>
        <v>0</v>
      </c>
      <c r="AF685" s="80">
        <f>MIN(MAX(0,AE685),AD685)</f>
        <v>0</v>
      </c>
      <c r="AG685" s="80">
        <f>MAX(0,AD685-MAX(0,AE685))</f>
        <v>0</v>
      </c>
      <c r="AH685" s="80">
        <f>IF(ISNUMBER(B685),IF(AND(INDEX(CFG_WDAYS,WEEKDAY(INT(B685),2))="Sí",IF(D685="proMX",COUNTIFS(FER_F,INT(B685),FER_NLP,"Sí"),COUNTIFS(FER_F,INT(B685),FER_NLM,"Sí"))=0),1,0),0)</f>
        <v>0</v>
      </c>
      <c r="AI685" s="80">
        <f>IF(AC685=1,IF(AND(INDEX(CFG_WDAYS,WEEKDAY(INT(B685)+1,2))="Sí",IF(D685="proMX",COUNTIFS(FER_F,INT(B685)+1,FER_NLP,"Sí"),COUNTIFS(FER_F,INT(B685)+1,FER_NLM,"Sí"))=0),1,0),0)</f>
        <v>0</v>
      </c>
      <c r="AJ685" s="80">
        <f>IF(AC685=1,1440-Z685,AD685)</f>
        <v>0</v>
      </c>
      <c r="AK685" s="80">
        <f>IF(AND(AB685=1,AH685=1),MAX(0,MIN(IF(AC685=1,1440,AA685),CFG_WEM)-MAX(Z685,CFG_WSM)),0)</f>
        <v>0</v>
      </c>
      <c r="AL685" s="80">
        <f>IF(AND(AC685=1,AI685=1),MAX(0,MIN(AA685,CFG_WEM)-CFG_WSM),0)</f>
        <v>0</v>
      </c>
      <c r="AM685" s="80">
        <f>AK685+AL685</f>
        <v>0</v>
      </c>
      <c r="AN685" s="80">
        <f>IF(CFG_BRK="Proporcional",IF(AD685=0,0,AF685*AM685/AD685),IF(CFG_BRK="Extras primero",MIN(AM685,MAX(0,AF685-(AD685-AM685))),MIN(AF685,AM685)))</f>
        <v>0</v>
      </c>
      <c r="AO685" s="80">
        <f>AF685-AN685</f>
        <v>0</v>
      </c>
      <c r="AP685" s="80">
        <f>AM685-AN685</f>
        <v>0</v>
      </c>
      <c r="AQ685" s="80">
        <f>AD685-AM685-AO685</f>
        <v>0</v>
      </c>
      <c r="AR685" s="80">
        <f>IF(AM685=0,0,AK685-AN685*AK685/AM685)</f>
        <v>0</v>
      </c>
      <c r="AS685" s="80">
        <f>IF(AD685-AM685=0,0,(AJ685-AK685)-AO685*(AJ685-AK685)/(AD685-AM685))</f>
        <v>0</v>
      </c>
      <c r="AT685" s="80" t="str">
        <f>IF(AC685=1,INT(B685)+1,"")</f>
        <v/>
      </c>
      <c r="AU685" s="80">
        <f>IF(AND(D685="proMX",R685="Cancelled"),0,1)</f>
        <v>1</v>
      </c>
      <c r="AV685" s="80">
        <f>IF(AND(AB685=1,AU685=1),IF(COUNTIFS($D$5:D684,D685,$B$5:B684,B685,$Z$5:Z684,Z685,$AA$5:AA684,AA685,$F$5:F684,F685&amp;"",$AU$5:AU684,1)&gt;0,1,0),0)</f>
        <v>0</v>
      </c>
      <c r="AW685" s="80" t="str">
        <f>IF(AB685=1,INT(B685)*1440+Z685,"")</f>
        <v/>
      </c>
      <c r="AX685" s="80" t="str">
        <f>IF(AB685=1,AW685+AD685,"")</f>
        <v/>
      </c>
      <c r="AY685" s="80">
        <f>IF(AND(AB685=1,AV685=0,AU685=1),1,0)</f>
        <v>0</v>
      </c>
      <c r="AZ685" s="80">
        <f>IF(AY685=1,COUNTIFS(R_Emp,D685,R_SAbs,"&lt;"&amp;AX685,R_EAbs,"&gt;"&amp;AW685,R_OKey,1)-1,0)</f>
        <v>0</v>
      </c>
      <c r="BA685" s="80">
        <f>IF(AY685=1,COUNTIFS(R_Emp,"&lt;&gt;"&amp;D685,R_SAbs,"&lt;"&amp;AX685,R_EAbs,"&gt;"&amp;AW685,R_OKey,1),0)</f>
        <v>0</v>
      </c>
      <c r="BB685" s="80">
        <f>IF(AND(AB685=1,D685="proMX"),IF(AND(MOD(Z685,CFG_BLK)=0,MOD(AA685,CFG_BLK)=0,MOD(AG685,CFG_BLK)=0,AG685&gt;0),1,0),1)</f>
        <v>1</v>
      </c>
      <c r="BC685" s="80" t="str">
        <f>IF(Y685=0,"",IF(NOT(ISNUMBER(B685)),"Falta fecha o fecha inválida",IF(D685="","Falta empresa",IF(AND(D685&lt;&gt;"Malcolm",D685&lt;&gt;"proMX"),"Empresa inválida",IF(OR(INT(B685)&lt;CFG_PSTART,INT(B685)&gt;CFG_PEND),"Fecha fuera del período",IF(OR(NOT(ISNUMBER(Z685)),NOT(ISNUMBER(AA685))),"Falta hora inicio/fin o formato inválido",IF(AB685=0,"Hora inicio = hora fin",IF(AE685&lt;0,"Descanso inválido",IF(AE685&gt;=AD685,"Descanso ≥ duración",IF(AV685=1,"Registro duplicado",IF(AZ685&gt;0,"Se superpone con otro registro "&amp;D685,IF(BB685=0,"inicio, fin y duración neta deben ser múltiplos de "&amp;CFG_BLK&amp;" min",""))))))))))))</f>
        <v/>
      </c>
      <c r="BD685" s="80">
        <f>IF(AND(Y685=1,BC685=""),1,0)</f>
        <v>0</v>
      </c>
      <c r="BE685" s="80">
        <f>IF(AND(BD685=1,AU685=1),1,0)</f>
        <v>0</v>
      </c>
      <c r="BF685" s="80" t="str">
        <f>IF(AND(D685="proMX",BD685=1),IF(R685="","Draft",R685),"")</f>
        <v/>
      </c>
      <c r="BG685" s="80">
        <f>IF(BD685=1,ROUND(AG685/60,6),0)</f>
        <v>0</v>
      </c>
      <c r="BH685" s="80">
        <f>IF(BE685=1,ROUND(AG685/60,6),0)</f>
        <v>0</v>
      </c>
      <c r="BI685" s="80">
        <f>IF(BE685=1,ROUND(AP685/60,6),0)</f>
        <v>0</v>
      </c>
      <c r="BJ685" s="80">
        <f>IF(BE685=1,ROUND(AQ685/60,6),0)</f>
        <v>0</v>
      </c>
      <c r="BK685" s="80">
        <f>IF(BE685=1,ROUND((AR685+AS685)/60,6),0)</f>
        <v>0</v>
      </c>
      <c r="BL685" s="80">
        <f>ROUND(BH685-BK685,6)</f>
        <v>0</v>
      </c>
      <c r="BM685" s="80">
        <f>IF(BE685=1,ROUND(AR685/60,6),0)</f>
        <v>0</v>
      </c>
      <c r="BN685" s="80">
        <f>ROUND(BI685-BM685,6)</f>
        <v>0</v>
      </c>
      <c r="BO685" s="80">
        <f>IF(BE685=1,ROUND(AS685/60,6),0)</f>
        <v>0</v>
      </c>
      <c r="BP685" s="80">
        <f>ROUND(BJ685-BO685,6)</f>
        <v>0</v>
      </c>
      <c r="BQ685" s="80">
        <f>IF(BE685=1,AW685,0)</f>
        <v>0</v>
      </c>
      <c r="BR685" s="80">
        <f>IF(BE685=1,AX685,0)</f>
        <v>0</v>
      </c>
      <c r="BS685" s="80">
        <f>IF(AND(BE685=1,D685="Malcolm",BA685&gt;0),MIN(BH685,SUMPRODUCT((R_Emp="proMX")*(R_EN&gt;0)*((R_EN-(R_EN&gt;BR685)*(R_EN-BR685))&gt;(R_SN+(R_SN&lt;BQ685)*(BQ685-R_SN)))*((R_EN-(R_EN&gt;BR685)*(R_EN-BR685))-(R_SN+(R_SN&lt;BQ685)*(BQ685-R_SN))))/60),0)</f>
        <v>0</v>
      </c>
      <c r="BT685" s="80">
        <f>IF(AND(BE685=1,D685="proMX"),ROUND(BI685*CFG_RATE+BJ685*CFG_OTRATE,6),0)</f>
        <v>0</v>
      </c>
      <c r="BU685" s="80">
        <f>IF(AND(BD685=1,D685="proMX"),ROUND(AG685/CFG_BLK,6),0)</f>
        <v>0</v>
      </c>
      <c r="BV685" s="80" t="str">
        <f>IF(BF685="Approved",IF(ISNUMBER(T685),INT(T685),INT(B685)),"")</f>
        <v/>
      </c>
      <c r="BW685" s="80">
        <f>IF(ISNUMBER(B685),IF(DB_MON="Todos",1,IF(AND(INT(B685)&gt;=DB_MS,INT(B685)&lt;=DB_ME),1,0)),0)</f>
        <v>0</v>
      </c>
      <c r="BX685" s="80">
        <f>IF(DB_PROJ="Todos",1,IF(E685&amp;""=DB_PROJ&amp;"",1,0))</f>
        <v>1</v>
      </c>
      <c r="BY685" s="80">
        <f>BW685*BX685</f>
        <v>0</v>
      </c>
      <c r="BZ685" s="80" t="str">
        <f>IF(Y685=1,F685&amp;IF(AND(F685&amp;""&lt;&gt;"",E685&amp;""&lt;&gt;"")," · ","")&amp;E685,"")</f>
        <v/>
      </c>
      <c r="CA685" s="80" t="str">
        <f>IF(AND(BD685=1,E685&amp;""&lt;&gt;""),IF(COUNTIFS($E$5:E684,E685,$BD$5:BD684,1)=0,MAX($CA$5:CA684)+1,""),"")</f>
        <v/>
      </c>
      <c r="CB685" s="80" t="str">
        <f>IF(AND(BE685=1,D685="Malcolm",E685&amp;""&lt;&gt;""),IF(COUNTIFS($D$5:D684,"Malcolm",$E$5:E684,E685,$BE$5:BE684,1)=0,MAX($CB$5:CB684)+1,""),"")</f>
        <v/>
      </c>
      <c r="CC685" s="80" t="str">
        <f>IF(AND(BD685=1,D685="proMX",E685&amp;""&lt;&gt;""),IF(COUNTIFS($D$5:D684,"proMX",$E$5:E684,E685,$BD$5:BD684,1)=0,MAX($CC$5:CC684)+1,""),"")</f>
        <v/>
      </c>
      <c r="CD685" s="80" t="str">
        <f>IF(AND(BE685=1,D685="Malcolm",F685&amp;""&lt;&gt;""),IF(COUNTIFS($D$5:D684,"Malcolm",$F$5:F684,F685,$BE$5:BE684,1)=0,MAX($CD$5:CD684)+1,""),"")</f>
        <v/>
      </c>
      <c r="CE685" s="80" t="str">
        <f>IF(AND(BD685=1,D685="proMX",F685&amp;""&lt;&gt;""),IF(COUNTIFS($D$5:D684,"proMX",$F$5:F684,F685,$BD$5:BD684,1)=0,MAX($CE$5:CE684)+1,""),"")</f>
        <v/>
      </c>
      <c r="CF685" s="80" t="str">
        <f>IF(AND(D685="proMX",BD685=1),IF(OR(BF685="Draft",BF685="Submitted",BF685="Returned",BF685="Recall Requested"),MAX($CF$5:CF684)+1,""),"")</f>
        <v/>
      </c>
      <c r="CG685" s="80">
        <f>IF(BD685=0,0,IF(D685="Malcolm",1,MATCH(BF685,{"Draft","Submitted","Approved","Returned","Recall Requested","Cancelled"},0)+1))</f>
        <v>0</v>
      </c>
      <c r="CH685" s="80">
        <f>IF(AND(BF685="Submitted",ISNUMBER(V685)),IF(V685&gt;CFG_MAXD,1,0),0)</f>
        <v>0</v>
      </c>
    </row>
    <row r="686">
      <c r="A686" s="71" t="str">
        <f>IF(Y686=1,ROW()-5,"")</f>
        <v/>
      </c>
      <c r="B686" s="72" t="n"/>
      <c r="C686" s="71" t="str">
        <f>IF(ISNUMBER(B686),CHOOSE(WEEKDAY(B686,2),"Lun","Mar","Mié","Jue","Vie","Sáb","Dom"),"")</f>
        <v/>
      </c>
      <c r="D686" s="73" t="n"/>
      <c r="E686" s="74" t="n"/>
      <c r="F686" s="74" t="n"/>
      <c r="G686" s="74" t="n"/>
      <c r="H686" s="75" t="n"/>
      <c r="I686" s="75" t="n"/>
      <c r="J686" s="76" t="n"/>
      <c r="K686" s="77" t="str">
        <f>IF(AB686=1,ROUND(AG686/60,4),"")</f>
        <v/>
      </c>
      <c r="L686" s="77" t="str">
        <f>IF(BD686=1,ROUND(AP686/60,4),"")</f>
        <v/>
      </c>
      <c r="M686" s="77" t="str">
        <f>IF(BD686=1,ROUND(AQ686/60,4),"")</f>
        <v/>
      </c>
      <c r="N686" s="71" t="str">
        <f>IF(AND(D686="proMX",AB686=1),ROUND(AG686/CFG_BLK,2),"")</f>
        <v/>
      </c>
      <c r="O686" s="77" t="str">
        <f>IF(D686="proMX",IF(BD686=1,ROUND(AG686/60,4),0),"")</f>
        <v/>
      </c>
      <c r="P686" s="78" t="str">
        <f>IF(Y686=0,"",IF(BD686=1,"OK",IF(D686="proMX","Revisar bloques: ","Revisar: ")&amp;BC686))</f>
        <v/>
      </c>
      <c r="Q686" s="78" t="str">
        <f>IF(NOT(ISNUMBER(B686)),"",IF(COUNTIFS(FER_F,INT(B686))&gt;0,"Feriado"&amp;IF(AH686=1," (laborable)"," (no laborable)"),IF(AH686=1,"Laborable",IF(WEEKDAY(B686,2)&gt;5,"Fin de semana","No laborable"))))</f>
        <v/>
      </c>
      <c r="R686" s="73" t="n"/>
      <c r="S686" s="72" t="n"/>
      <c r="T686" s="72" t="n"/>
      <c r="U686" s="74" t="n"/>
      <c r="V686" s="79" t="str">
        <f>IF(AND(D686="proMX",OR(R686="Submitted",R686="Recall Requested"),ISNUMBER(S686)),CFG_TODAY-INT(S686),"")</f>
        <v/>
      </c>
      <c r="W686" s="78" t="str">
        <f>IF(BD686=0,"",IF(BA686&gt;0,"⚠ Se superpone con un registro de la otra empresa",IF(D686="Malcolm",IF(COUNTA(R686,S686,T686)&gt;0,"Estado/fechas proMX se ignoran en Malcolm",""),IF(BF686="Cancelled","Cancelado: excluido de totales",IF(R686="","Sin estado: se trata como Draft",IF(BF686="Submitted",IF(ISNUMBER(V686),IF(V686&gt;CFG_MAXD,"⚠ "&amp;V686&amp;" días en Submitted (máx. "&amp;CFG_MAXD&amp;")",""),"Falta fecha de envío"),IF(BF686="Returned","⚠ Devuelto: corregir y reenviar",IF(BF686="Recall Requested","Retirada solicitada: pendiente",IF(AND(BF686="Approved",NOT(ISNUMBER(T686))),"Falta fecha de aprobación",IF(AND(ISNUMBER(S686),ISNUMBER(T686),T686&lt;S686),"Aprobación anterior al envío","")))))))))</f>
        <v/>
      </c>
      <c r="Y686" s="80">
        <f>IF(COUNTA(B686,D686,E686,F686,G686,H686,I686,J686,R686,S686,T686)&gt;0,1,0)</f>
        <v>0</v>
      </c>
      <c r="Z686" s="80" t="str">
        <f>IF(AND(ISNUMBER(H686),H686&gt;=0,H686&lt;1),ROUND(H686*1440,0),"")</f>
        <v/>
      </c>
      <c r="AA686" s="80" t="str">
        <f>IF(AND(ISNUMBER(I686),I686&gt;=0,I686&lt;1),ROUND(I686*1440,0),"")</f>
        <v/>
      </c>
      <c r="AB686" s="80">
        <f>IF(AND(ISNUMBER(B686),D686&lt;&gt;"",ISNUMBER(Z686),ISNUMBER(AA686)),IF(Z686=AA686,0,1),0)</f>
        <v>0</v>
      </c>
      <c r="AC686" s="80">
        <f>IF(AB686=1,IF(AA686&lt;Z686,1,0),0)</f>
        <v>0</v>
      </c>
      <c r="AD686" s="80">
        <f>IF(AB686=1,IF(AC686=1,1440-Z686+AA686,AA686-Z686),0)</f>
        <v>0</v>
      </c>
      <c r="AE686" s="80">
        <f>IF(J686="",0,IF(ISNUMBER(J686),J686,-1))</f>
        <v>0</v>
      </c>
      <c r="AF686" s="80">
        <f>MIN(MAX(0,AE686),AD686)</f>
        <v>0</v>
      </c>
      <c r="AG686" s="80">
        <f>MAX(0,AD686-MAX(0,AE686))</f>
        <v>0</v>
      </c>
      <c r="AH686" s="80">
        <f>IF(ISNUMBER(B686),IF(AND(INDEX(CFG_WDAYS,WEEKDAY(INT(B686),2))="Sí",IF(D686="proMX",COUNTIFS(FER_F,INT(B686),FER_NLP,"Sí"),COUNTIFS(FER_F,INT(B686),FER_NLM,"Sí"))=0),1,0),0)</f>
        <v>0</v>
      </c>
      <c r="AI686" s="80">
        <f>IF(AC686=1,IF(AND(INDEX(CFG_WDAYS,WEEKDAY(INT(B686)+1,2))="Sí",IF(D686="proMX",COUNTIFS(FER_F,INT(B686)+1,FER_NLP,"Sí"),COUNTIFS(FER_F,INT(B686)+1,FER_NLM,"Sí"))=0),1,0),0)</f>
        <v>0</v>
      </c>
      <c r="AJ686" s="80">
        <f>IF(AC686=1,1440-Z686,AD686)</f>
        <v>0</v>
      </c>
      <c r="AK686" s="80">
        <f>IF(AND(AB686=1,AH686=1),MAX(0,MIN(IF(AC686=1,1440,AA686),CFG_WEM)-MAX(Z686,CFG_WSM)),0)</f>
        <v>0</v>
      </c>
      <c r="AL686" s="80">
        <f>IF(AND(AC686=1,AI686=1),MAX(0,MIN(AA686,CFG_WEM)-CFG_WSM),0)</f>
        <v>0</v>
      </c>
      <c r="AM686" s="80">
        <f>AK686+AL686</f>
        <v>0</v>
      </c>
      <c r="AN686" s="80">
        <f>IF(CFG_BRK="Proporcional",IF(AD686=0,0,AF686*AM686/AD686),IF(CFG_BRK="Extras primero",MIN(AM686,MAX(0,AF686-(AD686-AM686))),MIN(AF686,AM686)))</f>
        <v>0</v>
      </c>
      <c r="AO686" s="80">
        <f>AF686-AN686</f>
        <v>0</v>
      </c>
      <c r="AP686" s="80">
        <f>AM686-AN686</f>
        <v>0</v>
      </c>
      <c r="AQ686" s="80">
        <f>AD686-AM686-AO686</f>
        <v>0</v>
      </c>
      <c r="AR686" s="80">
        <f>IF(AM686=0,0,AK686-AN686*AK686/AM686)</f>
        <v>0</v>
      </c>
      <c r="AS686" s="80">
        <f>IF(AD686-AM686=0,0,(AJ686-AK686)-AO686*(AJ686-AK686)/(AD686-AM686))</f>
        <v>0</v>
      </c>
      <c r="AT686" s="80" t="str">
        <f>IF(AC686=1,INT(B686)+1,"")</f>
        <v/>
      </c>
      <c r="AU686" s="80">
        <f>IF(AND(D686="proMX",R686="Cancelled"),0,1)</f>
        <v>1</v>
      </c>
      <c r="AV686" s="80">
        <f>IF(AND(AB686=1,AU686=1),IF(COUNTIFS($D$5:D685,D686,$B$5:B685,B686,$Z$5:Z685,Z686,$AA$5:AA685,AA686,$F$5:F685,F686&amp;"",$AU$5:AU685,1)&gt;0,1,0),0)</f>
        <v>0</v>
      </c>
      <c r="AW686" s="80" t="str">
        <f>IF(AB686=1,INT(B686)*1440+Z686,"")</f>
        <v/>
      </c>
      <c r="AX686" s="80" t="str">
        <f>IF(AB686=1,AW686+AD686,"")</f>
        <v/>
      </c>
      <c r="AY686" s="80">
        <f>IF(AND(AB686=1,AV686=0,AU686=1),1,0)</f>
        <v>0</v>
      </c>
      <c r="AZ686" s="80">
        <f>IF(AY686=1,COUNTIFS(R_Emp,D686,R_SAbs,"&lt;"&amp;AX686,R_EAbs,"&gt;"&amp;AW686,R_OKey,1)-1,0)</f>
        <v>0</v>
      </c>
      <c r="BA686" s="80">
        <f>IF(AY686=1,COUNTIFS(R_Emp,"&lt;&gt;"&amp;D686,R_SAbs,"&lt;"&amp;AX686,R_EAbs,"&gt;"&amp;AW686,R_OKey,1),0)</f>
        <v>0</v>
      </c>
      <c r="BB686" s="80">
        <f>IF(AND(AB686=1,D686="proMX"),IF(AND(MOD(Z686,CFG_BLK)=0,MOD(AA686,CFG_BLK)=0,MOD(AG686,CFG_BLK)=0,AG686&gt;0),1,0),1)</f>
        <v>1</v>
      </c>
      <c r="BC686" s="80" t="str">
        <f>IF(Y686=0,"",IF(NOT(ISNUMBER(B686)),"Falta fecha o fecha inválida",IF(D686="","Falta empresa",IF(AND(D686&lt;&gt;"Malcolm",D686&lt;&gt;"proMX"),"Empresa inválida",IF(OR(INT(B686)&lt;CFG_PSTART,INT(B686)&gt;CFG_PEND),"Fecha fuera del período",IF(OR(NOT(ISNUMBER(Z686)),NOT(ISNUMBER(AA686))),"Falta hora inicio/fin o formato inválido",IF(AB686=0,"Hora inicio = hora fin",IF(AE686&lt;0,"Descanso inválido",IF(AE686&gt;=AD686,"Descanso ≥ duración",IF(AV686=1,"Registro duplicado",IF(AZ686&gt;0,"Se superpone con otro registro "&amp;D686,IF(BB686=0,"inicio, fin y duración neta deben ser múltiplos de "&amp;CFG_BLK&amp;" min",""))))))))))))</f>
        <v/>
      </c>
      <c r="BD686" s="80">
        <f>IF(AND(Y686=1,BC686=""),1,0)</f>
        <v>0</v>
      </c>
      <c r="BE686" s="80">
        <f>IF(AND(BD686=1,AU686=1),1,0)</f>
        <v>0</v>
      </c>
      <c r="BF686" s="80" t="str">
        <f>IF(AND(D686="proMX",BD686=1),IF(R686="","Draft",R686),"")</f>
        <v/>
      </c>
      <c r="BG686" s="80">
        <f>IF(BD686=1,ROUND(AG686/60,6),0)</f>
        <v>0</v>
      </c>
      <c r="BH686" s="80">
        <f>IF(BE686=1,ROUND(AG686/60,6),0)</f>
        <v>0</v>
      </c>
      <c r="BI686" s="80">
        <f>IF(BE686=1,ROUND(AP686/60,6),0)</f>
        <v>0</v>
      </c>
      <c r="BJ686" s="80">
        <f>IF(BE686=1,ROUND(AQ686/60,6),0)</f>
        <v>0</v>
      </c>
      <c r="BK686" s="80">
        <f>IF(BE686=1,ROUND((AR686+AS686)/60,6),0)</f>
        <v>0</v>
      </c>
      <c r="BL686" s="80">
        <f>ROUND(BH686-BK686,6)</f>
        <v>0</v>
      </c>
      <c r="BM686" s="80">
        <f>IF(BE686=1,ROUND(AR686/60,6),0)</f>
        <v>0</v>
      </c>
      <c r="BN686" s="80">
        <f>ROUND(BI686-BM686,6)</f>
        <v>0</v>
      </c>
      <c r="BO686" s="80">
        <f>IF(BE686=1,ROUND(AS686/60,6),0)</f>
        <v>0</v>
      </c>
      <c r="BP686" s="80">
        <f>ROUND(BJ686-BO686,6)</f>
        <v>0</v>
      </c>
      <c r="BQ686" s="80">
        <f>IF(BE686=1,AW686,0)</f>
        <v>0</v>
      </c>
      <c r="BR686" s="80">
        <f>IF(BE686=1,AX686,0)</f>
        <v>0</v>
      </c>
      <c r="BS686" s="80">
        <f>IF(AND(BE686=1,D686="Malcolm",BA686&gt;0),MIN(BH686,SUMPRODUCT((R_Emp="proMX")*(R_EN&gt;0)*((R_EN-(R_EN&gt;BR686)*(R_EN-BR686))&gt;(R_SN+(R_SN&lt;BQ686)*(BQ686-R_SN)))*((R_EN-(R_EN&gt;BR686)*(R_EN-BR686))-(R_SN+(R_SN&lt;BQ686)*(BQ686-R_SN))))/60),0)</f>
        <v>0</v>
      </c>
      <c r="BT686" s="80">
        <f>IF(AND(BE686=1,D686="proMX"),ROUND(BI686*CFG_RATE+BJ686*CFG_OTRATE,6),0)</f>
        <v>0</v>
      </c>
      <c r="BU686" s="80">
        <f>IF(AND(BD686=1,D686="proMX"),ROUND(AG686/CFG_BLK,6),0)</f>
        <v>0</v>
      </c>
      <c r="BV686" s="80" t="str">
        <f>IF(BF686="Approved",IF(ISNUMBER(T686),INT(T686),INT(B686)),"")</f>
        <v/>
      </c>
      <c r="BW686" s="80">
        <f>IF(ISNUMBER(B686),IF(DB_MON="Todos",1,IF(AND(INT(B686)&gt;=DB_MS,INT(B686)&lt;=DB_ME),1,0)),0)</f>
        <v>0</v>
      </c>
      <c r="BX686" s="80">
        <f>IF(DB_PROJ="Todos",1,IF(E686&amp;""=DB_PROJ&amp;"",1,0))</f>
        <v>1</v>
      </c>
      <c r="BY686" s="80">
        <f>BW686*BX686</f>
        <v>0</v>
      </c>
      <c r="BZ686" s="80" t="str">
        <f>IF(Y686=1,F686&amp;IF(AND(F686&amp;""&lt;&gt;"",E686&amp;""&lt;&gt;"")," · ","")&amp;E686,"")</f>
        <v/>
      </c>
      <c r="CA686" s="80" t="str">
        <f>IF(AND(BD686=1,E686&amp;""&lt;&gt;""),IF(COUNTIFS($E$5:E685,E686,$BD$5:BD685,1)=0,MAX($CA$5:CA685)+1,""),"")</f>
        <v/>
      </c>
      <c r="CB686" s="80" t="str">
        <f>IF(AND(BE686=1,D686="Malcolm",E686&amp;""&lt;&gt;""),IF(COUNTIFS($D$5:D685,"Malcolm",$E$5:E685,E686,$BE$5:BE685,1)=0,MAX($CB$5:CB685)+1,""),"")</f>
        <v/>
      </c>
      <c r="CC686" s="80" t="str">
        <f>IF(AND(BD686=1,D686="proMX",E686&amp;""&lt;&gt;""),IF(COUNTIFS($D$5:D685,"proMX",$E$5:E685,E686,$BD$5:BD685,1)=0,MAX($CC$5:CC685)+1,""),"")</f>
        <v/>
      </c>
      <c r="CD686" s="80" t="str">
        <f>IF(AND(BE686=1,D686="Malcolm",F686&amp;""&lt;&gt;""),IF(COUNTIFS($D$5:D685,"Malcolm",$F$5:F685,F686,$BE$5:BE685,1)=0,MAX($CD$5:CD685)+1,""),"")</f>
        <v/>
      </c>
      <c r="CE686" s="80" t="str">
        <f>IF(AND(BD686=1,D686="proMX",F686&amp;""&lt;&gt;""),IF(COUNTIFS($D$5:D685,"proMX",$F$5:F685,F686,$BD$5:BD685,1)=0,MAX($CE$5:CE685)+1,""),"")</f>
        <v/>
      </c>
      <c r="CF686" s="80" t="str">
        <f>IF(AND(D686="proMX",BD686=1),IF(OR(BF686="Draft",BF686="Submitted",BF686="Returned",BF686="Recall Requested"),MAX($CF$5:CF685)+1,""),"")</f>
        <v/>
      </c>
      <c r="CG686" s="80">
        <f>IF(BD686=0,0,IF(D686="Malcolm",1,MATCH(BF686,{"Draft","Submitted","Approved","Returned","Recall Requested","Cancelled"},0)+1))</f>
        <v>0</v>
      </c>
      <c r="CH686" s="80">
        <f>IF(AND(BF686="Submitted",ISNUMBER(V686)),IF(V686&gt;CFG_MAXD,1,0),0)</f>
        <v>0</v>
      </c>
    </row>
    <row r="687">
      <c r="A687" s="71" t="str">
        <f>IF(Y687=1,ROW()-5,"")</f>
        <v/>
      </c>
      <c r="B687" s="72" t="n"/>
      <c r="C687" s="71" t="str">
        <f>IF(ISNUMBER(B687),CHOOSE(WEEKDAY(B687,2),"Lun","Mar","Mié","Jue","Vie","Sáb","Dom"),"")</f>
        <v/>
      </c>
      <c r="D687" s="73" t="n"/>
      <c r="E687" s="74" t="n"/>
      <c r="F687" s="74" t="n"/>
      <c r="G687" s="74" t="n"/>
      <c r="H687" s="75" t="n"/>
      <c r="I687" s="75" t="n"/>
      <c r="J687" s="76" t="n"/>
      <c r="K687" s="77" t="str">
        <f>IF(AB687=1,ROUND(AG687/60,4),"")</f>
        <v/>
      </c>
      <c r="L687" s="77" t="str">
        <f>IF(BD687=1,ROUND(AP687/60,4),"")</f>
        <v/>
      </c>
      <c r="M687" s="77" t="str">
        <f>IF(BD687=1,ROUND(AQ687/60,4),"")</f>
        <v/>
      </c>
      <c r="N687" s="71" t="str">
        <f>IF(AND(D687="proMX",AB687=1),ROUND(AG687/CFG_BLK,2),"")</f>
        <v/>
      </c>
      <c r="O687" s="77" t="str">
        <f>IF(D687="proMX",IF(BD687=1,ROUND(AG687/60,4),0),"")</f>
        <v/>
      </c>
      <c r="P687" s="78" t="str">
        <f>IF(Y687=0,"",IF(BD687=1,"OK",IF(D687="proMX","Revisar bloques: ","Revisar: ")&amp;BC687))</f>
        <v/>
      </c>
      <c r="Q687" s="78" t="str">
        <f>IF(NOT(ISNUMBER(B687)),"",IF(COUNTIFS(FER_F,INT(B687))&gt;0,"Feriado"&amp;IF(AH687=1," (laborable)"," (no laborable)"),IF(AH687=1,"Laborable",IF(WEEKDAY(B687,2)&gt;5,"Fin de semana","No laborable"))))</f>
        <v/>
      </c>
      <c r="R687" s="73" t="n"/>
      <c r="S687" s="72" t="n"/>
      <c r="T687" s="72" t="n"/>
      <c r="U687" s="74" t="n"/>
      <c r="V687" s="79" t="str">
        <f>IF(AND(D687="proMX",OR(R687="Submitted",R687="Recall Requested"),ISNUMBER(S687)),CFG_TODAY-INT(S687),"")</f>
        <v/>
      </c>
      <c r="W687" s="78" t="str">
        <f>IF(BD687=0,"",IF(BA687&gt;0,"⚠ Se superpone con un registro de la otra empresa",IF(D687="Malcolm",IF(COUNTA(R687,S687,T687)&gt;0,"Estado/fechas proMX se ignoran en Malcolm",""),IF(BF687="Cancelled","Cancelado: excluido de totales",IF(R687="","Sin estado: se trata como Draft",IF(BF687="Submitted",IF(ISNUMBER(V687),IF(V687&gt;CFG_MAXD,"⚠ "&amp;V687&amp;" días en Submitted (máx. "&amp;CFG_MAXD&amp;")",""),"Falta fecha de envío"),IF(BF687="Returned","⚠ Devuelto: corregir y reenviar",IF(BF687="Recall Requested","Retirada solicitada: pendiente",IF(AND(BF687="Approved",NOT(ISNUMBER(T687))),"Falta fecha de aprobación",IF(AND(ISNUMBER(S687),ISNUMBER(T687),T687&lt;S687),"Aprobación anterior al envío","")))))))))</f>
        <v/>
      </c>
      <c r="Y687" s="80">
        <f>IF(COUNTA(B687,D687,E687,F687,G687,H687,I687,J687,R687,S687,T687)&gt;0,1,0)</f>
        <v>0</v>
      </c>
      <c r="Z687" s="80" t="str">
        <f>IF(AND(ISNUMBER(H687),H687&gt;=0,H687&lt;1),ROUND(H687*1440,0),"")</f>
        <v/>
      </c>
      <c r="AA687" s="80" t="str">
        <f>IF(AND(ISNUMBER(I687),I687&gt;=0,I687&lt;1),ROUND(I687*1440,0),"")</f>
        <v/>
      </c>
      <c r="AB687" s="80">
        <f>IF(AND(ISNUMBER(B687),D687&lt;&gt;"",ISNUMBER(Z687),ISNUMBER(AA687)),IF(Z687=AA687,0,1),0)</f>
        <v>0</v>
      </c>
      <c r="AC687" s="80">
        <f>IF(AB687=1,IF(AA687&lt;Z687,1,0),0)</f>
        <v>0</v>
      </c>
      <c r="AD687" s="80">
        <f>IF(AB687=1,IF(AC687=1,1440-Z687+AA687,AA687-Z687),0)</f>
        <v>0</v>
      </c>
      <c r="AE687" s="80">
        <f>IF(J687="",0,IF(ISNUMBER(J687),J687,-1))</f>
        <v>0</v>
      </c>
      <c r="AF687" s="80">
        <f>MIN(MAX(0,AE687),AD687)</f>
        <v>0</v>
      </c>
      <c r="AG687" s="80">
        <f>MAX(0,AD687-MAX(0,AE687))</f>
        <v>0</v>
      </c>
      <c r="AH687" s="80">
        <f>IF(ISNUMBER(B687),IF(AND(INDEX(CFG_WDAYS,WEEKDAY(INT(B687),2))="Sí",IF(D687="proMX",COUNTIFS(FER_F,INT(B687),FER_NLP,"Sí"),COUNTIFS(FER_F,INT(B687),FER_NLM,"Sí"))=0),1,0),0)</f>
        <v>0</v>
      </c>
      <c r="AI687" s="80">
        <f>IF(AC687=1,IF(AND(INDEX(CFG_WDAYS,WEEKDAY(INT(B687)+1,2))="Sí",IF(D687="proMX",COUNTIFS(FER_F,INT(B687)+1,FER_NLP,"Sí"),COUNTIFS(FER_F,INT(B687)+1,FER_NLM,"Sí"))=0),1,0),0)</f>
        <v>0</v>
      </c>
      <c r="AJ687" s="80">
        <f>IF(AC687=1,1440-Z687,AD687)</f>
        <v>0</v>
      </c>
      <c r="AK687" s="80">
        <f>IF(AND(AB687=1,AH687=1),MAX(0,MIN(IF(AC687=1,1440,AA687),CFG_WEM)-MAX(Z687,CFG_WSM)),0)</f>
        <v>0</v>
      </c>
      <c r="AL687" s="80">
        <f>IF(AND(AC687=1,AI687=1),MAX(0,MIN(AA687,CFG_WEM)-CFG_WSM),0)</f>
        <v>0</v>
      </c>
      <c r="AM687" s="80">
        <f>AK687+AL687</f>
        <v>0</v>
      </c>
      <c r="AN687" s="80">
        <f>IF(CFG_BRK="Proporcional",IF(AD687=0,0,AF687*AM687/AD687),IF(CFG_BRK="Extras primero",MIN(AM687,MAX(0,AF687-(AD687-AM687))),MIN(AF687,AM687)))</f>
        <v>0</v>
      </c>
      <c r="AO687" s="80">
        <f>AF687-AN687</f>
        <v>0</v>
      </c>
      <c r="AP687" s="80">
        <f>AM687-AN687</f>
        <v>0</v>
      </c>
      <c r="AQ687" s="80">
        <f>AD687-AM687-AO687</f>
        <v>0</v>
      </c>
      <c r="AR687" s="80">
        <f>IF(AM687=0,0,AK687-AN687*AK687/AM687)</f>
        <v>0</v>
      </c>
      <c r="AS687" s="80">
        <f>IF(AD687-AM687=0,0,(AJ687-AK687)-AO687*(AJ687-AK687)/(AD687-AM687))</f>
        <v>0</v>
      </c>
      <c r="AT687" s="80" t="str">
        <f>IF(AC687=1,INT(B687)+1,"")</f>
        <v/>
      </c>
      <c r="AU687" s="80">
        <f>IF(AND(D687="proMX",R687="Cancelled"),0,1)</f>
        <v>1</v>
      </c>
      <c r="AV687" s="80">
        <f>IF(AND(AB687=1,AU687=1),IF(COUNTIFS($D$5:D686,D687,$B$5:B686,B687,$Z$5:Z686,Z687,$AA$5:AA686,AA687,$F$5:F686,F687&amp;"",$AU$5:AU686,1)&gt;0,1,0),0)</f>
        <v>0</v>
      </c>
      <c r="AW687" s="80" t="str">
        <f>IF(AB687=1,INT(B687)*1440+Z687,"")</f>
        <v/>
      </c>
      <c r="AX687" s="80" t="str">
        <f>IF(AB687=1,AW687+AD687,"")</f>
        <v/>
      </c>
      <c r="AY687" s="80">
        <f>IF(AND(AB687=1,AV687=0,AU687=1),1,0)</f>
        <v>0</v>
      </c>
      <c r="AZ687" s="80">
        <f>IF(AY687=1,COUNTIFS(R_Emp,D687,R_SAbs,"&lt;"&amp;AX687,R_EAbs,"&gt;"&amp;AW687,R_OKey,1)-1,0)</f>
        <v>0</v>
      </c>
      <c r="BA687" s="80">
        <f>IF(AY687=1,COUNTIFS(R_Emp,"&lt;&gt;"&amp;D687,R_SAbs,"&lt;"&amp;AX687,R_EAbs,"&gt;"&amp;AW687,R_OKey,1),0)</f>
        <v>0</v>
      </c>
      <c r="BB687" s="80">
        <f>IF(AND(AB687=1,D687="proMX"),IF(AND(MOD(Z687,CFG_BLK)=0,MOD(AA687,CFG_BLK)=0,MOD(AG687,CFG_BLK)=0,AG687&gt;0),1,0),1)</f>
        <v>1</v>
      </c>
      <c r="BC687" s="80" t="str">
        <f>IF(Y687=0,"",IF(NOT(ISNUMBER(B687)),"Falta fecha o fecha inválida",IF(D687="","Falta empresa",IF(AND(D687&lt;&gt;"Malcolm",D687&lt;&gt;"proMX"),"Empresa inválida",IF(OR(INT(B687)&lt;CFG_PSTART,INT(B687)&gt;CFG_PEND),"Fecha fuera del período",IF(OR(NOT(ISNUMBER(Z687)),NOT(ISNUMBER(AA687))),"Falta hora inicio/fin o formato inválido",IF(AB687=0,"Hora inicio = hora fin",IF(AE687&lt;0,"Descanso inválido",IF(AE687&gt;=AD687,"Descanso ≥ duración",IF(AV687=1,"Registro duplicado",IF(AZ687&gt;0,"Se superpone con otro registro "&amp;D687,IF(BB687=0,"inicio, fin y duración neta deben ser múltiplos de "&amp;CFG_BLK&amp;" min",""))))))))))))</f>
        <v/>
      </c>
      <c r="BD687" s="80">
        <f>IF(AND(Y687=1,BC687=""),1,0)</f>
        <v>0</v>
      </c>
      <c r="BE687" s="80">
        <f>IF(AND(BD687=1,AU687=1),1,0)</f>
        <v>0</v>
      </c>
      <c r="BF687" s="80" t="str">
        <f>IF(AND(D687="proMX",BD687=1),IF(R687="","Draft",R687),"")</f>
        <v/>
      </c>
      <c r="BG687" s="80">
        <f>IF(BD687=1,ROUND(AG687/60,6),0)</f>
        <v>0</v>
      </c>
      <c r="BH687" s="80">
        <f>IF(BE687=1,ROUND(AG687/60,6),0)</f>
        <v>0</v>
      </c>
      <c r="BI687" s="80">
        <f>IF(BE687=1,ROUND(AP687/60,6),0)</f>
        <v>0</v>
      </c>
      <c r="BJ687" s="80">
        <f>IF(BE687=1,ROUND(AQ687/60,6),0)</f>
        <v>0</v>
      </c>
      <c r="BK687" s="80">
        <f>IF(BE687=1,ROUND((AR687+AS687)/60,6),0)</f>
        <v>0</v>
      </c>
      <c r="BL687" s="80">
        <f>ROUND(BH687-BK687,6)</f>
        <v>0</v>
      </c>
      <c r="BM687" s="80">
        <f>IF(BE687=1,ROUND(AR687/60,6),0)</f>
        <v>0</v>
      </c>
      <c r="BN687" s="80">
        <f>ROUND(BI687-BM687,6)</f>
        <v>0</v>
      </c>
      <c r="BO687" s="80">
        <f>IF(BE687=1,ROUND(AS687/60,6),0)</f>
        <v>0</v>
      </c>
      <c r="BP687" s="80">
        <f>ROUND(BJ687-BO687,6)</f>
        <v>0</v>
      </c>
      <c r="BQ687" s="80">
        <f>IF(BE687=1,AW687,0)</f>
        <v>0</v>
      </c>
      <c r="BR687" s="80">
        <f>IF(BE687=1,AX687,0)</f>
        <v>0</v>
      </c>
      <c r="BS687" s="80">
        <f>IF(AND(BE687=1,D687="Malcolm",BA687&gt;0),MIN(BH687,SUMPRODUCT((R_Emp="proMX")*(R_EN&gt;0)*((R_EN-(R_EN&gt;BR687)*(R_EN-BR687))&gt;(R_SN+(R_SN&lt;BQ687)*(BQ687-R_SN)))*((R_EN-(R_EN&gt;BR687)*(R_EN-BR687))-(R_SN+(R_SN&lt;BQ687)*(BQ687-R_SN))))/60),0)</f>
        <v>0</v>
      </c>
      <c r="BT687" s="80">
        <f>IF(AND(BE687=1,D687="proMX"),ROUND(BI687*CFG_RATE+BJ687*CFG_OTRATE,6),0)</f>
        <v>0</v>
      </c>
      <c r="BU687" s="80">
        <f>IF(AND(BD687=1,D687="proMX"),ROUND(AG687/CFG_BLK,6),0)</f>
        <v>0</v>
      </c>
      <c r="BV687" s="80" t="str">
        <f>IF(BF687="Approved",IF(ISNUMBER(T687),INT(T687),INT(B687)),"")</f>
        <v/>
      </c>
      <c r="BW687" s="80">
        <f>IF(ISNUMBER(B687),IF(DB_MON="Todos",1,IF(AND(INT(B687)&gt;=DB_MS,INT(B687)&lt;=DB_ME),1,0)),0)</f>
        <v>0</v>
      </c>
      <c r="BX687" s="80">
        <f>IF(DB_PROJ="Todos",1,IF(E687&amp;""=DB_PROJ&amp;"",1,0))</f>
        <v>1</v>
      </c>
      <c r="BY687" s="80">
        <f>BW687*BX687</f>
        <v>0</v>
      </c>
      <c r="BZ687" s="80" t="str">
        <f>IF(Y687=1,F687&amp;IF(AND(F687&amp;""&lt;&gt;"",E687&amp;""&lt;&gt;"")," · ","")&amp;E687,"")</f>
        <v/>
      </c>
      <c r="CA687" s="80" t="str">
        <f>IF(AND(BD687=1,E687&amp;""&lt;&gt;""),IF(COUNTIFS($E$5:E686,E687,$BD$5:BD686,1)=0,MAX($CA$5:CA686)+1,""),"")</f>
        <v/>
      </c>
      <c r="CB687" s="80" t="str">
        <f>IF(AND(BE687=1,D687="Malcolm",E687&amp;""&lt;&gt;""),IF(COUNTIFS($D$5:D686,"Malcolm",$E$5:E686,E687,$BE$5:BE686,1)=0,MAX($CB$5:CB686)+1,""),"")</f>
        <v/>
      </c>
      <c r="CC687" s="80" t="str">
        <f>IF(AND(BD687=1,D687="proMX",E687&amp;""&lt;&gt;""),IF(COUNTIFS($D$5:D686,"proMX",$E$5:E686,E687,$BD$5:BD686,1)=0,MAX($CC$5:CC686)+1,""),"")</f>
        <v/>
      </c>
      <c r="CD687" s="80" t="str">
        <f>IF(AND(BE687=1,D687="Malcolm",F687&amp;""&lt;&gt;""),IF(COUNTIFS($D$5:D686,"Malcolm",$F$5:F686,F687,$BE$5:BE686,1)=0,MAX($CD$5:CD686)+1,""),"")</f>
        <v/>
      </c>
      <c r="CE687" s="80" t="str">
        <f>IF(AND(BD687=1,D687="proMX",F687&amp;""&lt;&gt;""),IF(COUNTIFS($D$5:D686,"proMX",$F$5:F686,F687,$BD$5:BD686,1)=0,MAX($CE$5:CE686)+1,""),"")</f>
        <v/>
      </c>
      <c r="CF687" s="80" t="str">
        <f>IF(AND(D687="proMX",BD687=1),IF(OR(BF687="Draft",BF687="Submitted",BF687="Returned",BF687="Recall Requested"),MAX($CF$5:CF686)+1,""),"")</f>
        <v/>
      </c>
      <c r="CG687" s="80">
        <f>IF(BD687=0,0,IF(D687="Malcolm",1,MATCH(BF687,{"Draft","Submitted","Approved","Returned","Recall Requested","Cancelled"},0)+1))</f>
        <v>0</v>
      </c>
      <c r="CH687" s="80">
        <f>IF(AND(BF687="Submitted",ISNUMBER(V687)),IF(V687&gt;CFG_MAXD,1,0),0)</f>
        <v>0</v>
      </c>
    </row>
    <row r="688">
      <c r="A688" s="71" t="str">
        <f>IF(Y688=1,ROW()-5,"")</f>
        <v/>
      </c>
      <c r="B688" s="72" t="n"/>
      <c r="C688" s="71" t="str">
        <f>IF(ISNUMBER(B688),CHOOSE(WEEKDAY(B688,2),"Lun","Mar","Mié","Jue","Vie","Sáb","Dom"),"")</f>
        <v/>
      </c>
      <c r="D688" s="73" t="n"/>
      <c r="E688" s="74" t="n"/>
      <c r="F688" s="74" t="n"/>
      <c r="G688" s="74" t="n"/>
      <c r="H688" s="75" t="n"/>
      <c r="I688" s="75" t="n"/>
      <c r="J688" s="76" t="n"/>
      <c r="K688" s="77" t="str">
        <f>IF(AB688=1,ROUND(AG688/60,4),"")</f>
        <v/>
      </c>
      <c r="L688" s="77" t="str">
        <f>IF(BD688=1,ROUND(AP688/60,4),"")</f>
        <v/>
      </c>
      <c r="M688" s="77" t="str">
        <f>IF(BD688=1,ROUND(AQ688/60,4),"")</f>
        <v/>
      </c>
      <c r="N688" s="71" t="str">
        <f>IF(AND(D688="proMX",AB688=1),ROUND(AG688/CFG_BLK,2),"")</f>
        <v/>
      </c>
      <c r="O688" s="77" t="str">
        <f>IF(D688="proMX",IF(BD688=1,ROUND(AG688/60,4),0),"")</f>
        <v/>
      </c>
      <c r="P688" s="78" t="str">
        <f>IF(Y688=0,"",IF(BD688=1,"OK",IF(D688="proMX","Revisar bloques: ","Revisar: ")&amp;BC688))</f>
        <v/>
      </c>
      <c r="Q688" s="78" t="str">
        <f>IF(NOT(ISNUMBER(B688)),"",IF(COUNTIFS(FER_F,INT(B688))&gt;0,"Feriado"&amp;IF(AH688=1," (laborable)"," (no laborable)"),IF(AH688=1,"Laborable",IF(WEEKDAY(B688,2)&gt;5,"Fin de semana","No laborable"))))</f>
        <v/>
      </c>
      <c r="R688" s="73" t="n"/>
      <c r="S688" s="72" t="n"/>
      <c r="T688" s="72" t="n"/>
      <c r="U688" s="74" t="n"/>
      <c r="V688" s="79" t="str">
        <f>IF(AND(D688="proMX",OR(R688="Submitted",R688="Recall Requested"),ISNUMBER(S688)),CFG_TODAY-INT(S688),"")</f>
        <v/>
      </c>
      <c r="W688" s="78" t="str">
        <f>IF(BD688=0,"",IF(BA688&gt;0,"⚠ Se superpone con un registro de la otra empresa",IF(D688="Malcolm",IF(COUNTA(R688,S688,T688)&gt;0,"Estado/fechas proMX se ignoran en Malcolm",""),IF(BF688="Cancelled","Cancelado: excluido de totales",IF(R688="","Sin estado: se trata como Draft",IF(BF688="Submitted",IF(ISNUMBER(V688),IF(V688&gt;CFG_MAXD,"⚠ "&amp;V688&amp;" días en Submitted (máx. "&amp;CFG_MAXD&amp;")",""),"Falta fecha de envío"),IF(BF688="Returned","⚠ Devuelto: corregir y reenviar",IF(BF688="Recall Requested","Retirada solicitada: pendiente",IF(AND(BF688="Approved",NOT(ISNUMBER(T688))),"Falta fecha de aprobación",IF(AND(ISNUMBER(S688),ISNUMBER(T688),T688&lt;S688),"Aprobación anterior al envío","")))))))))</f>
        <v/>
      </c>
      <c r="Y688" s="80">
        <f>IF(COUNTA(B688,D688,E688,F688,G688,H688,I688,J688,R688,S688,T688)&gt;0,1,0)</f>
        <v>0</v>
      </c>
      <c r="Z688" s="80" t="str">
        <f>IF(AND(ISNUMBER(H688),H688&gt;=0,H688&lt;1),ROUND(H688*1440,0),"")</f>
        <v/>
      </c>
      <c r="AA688" s="80" t="str">
        <f>IF(AND(ISNUMBER(I688),I688&gt;=0,I688&lt;1),ROUND(I688*1440,0),"")</f>
        <v/>
      </c>
      <c r="AB688" s="80">
        <f>IF(AND(ISNUMBER(B688),D688&lt;&gt;"",ISNUMBER(Z688),ISNUMBER(AA688)),IF(Z688=AA688,0,1),0)</f>
        <v>0</v>
      </c>
      <c r="AC688" s="80">
        <f>IF(AB688=1,IF(AA688&lt;Z688,1,0),0)</f>
        <v>0</v>
      </c>
      <c r="AD688" s="80">
        <f>IF(AB688=1,IF(AC688=1,1440-Z688+AA688,AA688-Z688),0)</f>
        <v>0</v>
      </c>
      <c r="AE688" s="80">
        <f>IF(J688="",0,IF(ISNUMBER(J688),J688,-1))</f>
        <v>0</v>
      </c>
      <c r="AF688" s="80">
        <f>MIN(MAX(0,AE688),AD688)</f>
        <v>0</v>
      </c>
      <c r="AG688" s="80">
        <f>MAX(0,AD688-MAX(0,AE688))</f>
        <v>0</v>
      </c>
      <c r="AH688" s="80">
        <f>IF(ISNUMBER(B688),IF(AND(INDEX(CFG_WDAYS,WEEKDAY(INT(B688),2))="Sí",IF(D688="proMX",COUNTIFS(FER_F,INT(B688),FER_NLP,"Sí"),COUNTIFS(FER_F,INT(B688),FER_NLM,"Sí"))=0),1,0),0)</f>
        <v>0</v>
      </c>
      <c r="AI688" s="80">
        <f>IF(AC688=1,IF(AND(INDEX(CFG_WDAYS,WEEKDAY(INT(B688)+1,2))="Sí",IF(D688="proMX",COUNTIFS(FER_F,INT(B688)+1,FER_NLP,"Sí"),COUNTIFS(FER_F,INT(B688)+1,FER_NLM,"Sí"))=0),1,0),0)</f>
        <v>0</v>
      </c>
      <c r="AJ688" s="80">
        <f>IF(AC688=1,1440-Z688,AD688)</f>
        <v>0</v>
      </c>
      <c r="AK688" s="80">
        <f>IF(AND(AB688=1,AH688=1),MAX(0,MIN(IF(AC688=1,1440,AA688),CFG_WEM)-MAX(Z688,CFG_WSM)),0)</f>
        <v>0</v>
      </c>
      <c r="AL688" s="80">
        <f>IF(AND(AC688=1,AI688=1),MAX(0,MIN(AA688,CFG_WEM)-CFG_WSM),0)</f>
        <v>0</v>
      </c>
      <c r="AM688" s="80">
        <f>AK688+AL688</f>
        <v>0</v>
      </c>
      <c r="AN688" s="80">
        <f>IF(CFG_BRK="Proporcional",IF(AD688=0,0,AF688*AM688/AD688),IF(CFG_BRK="Extras primero",MIN(AM688,MAX(0,AF688-(AD688-AM688))),MIN(AF688,AM688)))</f>
        <v>0</v>
      </c>
      <c r="AO688" s="80">
        <f>AF688-AN688</f>
        <v>0</v>
      </c>
      <c r="AP688" s="80">
        <f>AM688-AN688</f>
        <v>0</v>
      </c>
      <c r="AQ688" s="80">
        <f>AD688-AM688-AO688</f>
        <v>0</v>
      </c>
      <c r="AR688" s="80">
        <f>IF(AM688=0,0,AK688-AN688*AK688/AM688)</f>
        <v>0</v>
      </c>
      <c r="AS688" s="80">
        <f>IF(AD688-AM688=0,0,(AJ688-AK688)-AO688*(AJ688-AK688)/(AD688-AM688))</f>
        <v>0</v>
      </c>
      <c r="AT688" s="80" t="str">
        <f>IF(AC688=1,INT(B688)+1,"")</f>
        <v/>
      </c>
      <c r="AU688" s="80">
        <f>IF(AND(D688="proMX",R688="Cancelled"),0,1)</f>
        <v>1</v>
      </c>
      <c r="AV688" s="80">
        <f>IF(AND(AB688=1,AU688=1),IF(COUNTIFS($D$5:D687,D688,$B$5:B687,B688,$Z$5:Z687,Z688,$AA$5:AA687,AA688,$F$5:F687,F688&amp;"",$AU$5:AU687,1)&gt;0,1,0),0)</f>
        <v>0</v>
      </c>
      <c r="AW688" s="80" t="str">
        <f>IF(AB688=1,INT(B688)*1440+Z688,"")</f>
        <v/>
      </c>
      <c r="AX688" s="80" t="str">
        <f>IF(AB688=1,AW688+AD688,"")</f>
        <v/>
      </c>
      <c r="AY688" s="80">
        <f>IF(AND(AB688=1,AV688=0,AU688=1),1,0)</f>
        <v>0</v>
      </c>
      <c r="AZ688" s="80">
        <f>IF(AY688=1,COUNTIFS(R_Emp,D688,R_SAbs,"&lt;"&amp;AX688,R_EAbs,"&gt;"&amp;AW688,R_OKey,1)-1,0)</f>
        <v>0</v>
      </c>
      <c r="BA688" s="80">
        <f>IF(AY688=1,COUNTIFS(R_Emp,"&lt;&gt;"&amp;D688,R_SAbs,"&lt;"&amp;AX688,R_EAbs,"&gt;"&amp;AW688,R_OKey,1),0)</f>
        <v>0</v>
      </c>
      <c r="BB688" s="80">
        <f>IF(AND(AB688=1,D688="proMX"),IF(AND(MOD(Z688,CFG_BLK)=0,MOD(AA688,CFG_BLK)=0,MOD(AG688,CFG_BLK)=0,AG688&gt;0),1,0),1)</f>
        <v>1</v>
      </c>
      <c r="BC688" s="80" t="str">
        <f>IF(Y688=0,"",IF(NOT(ISNUMBER(B688)),"Falta fecha o fecha inválida",IF(D688="","Falta empresa",IF(AND(D688&lt;&gt;"Malcolm",D688&lt;&gt;"proMX"),"Empresa inválida",IF(OR(INT(B688)&lt;CFG_PSTART,INT(B688)&gt;CFG_PEND),"Fecha fuera del período",IF(OR(NOT(ISNUMBER(Z688)),NOT(ISNUMBER(AA688))),"Falta hora inicio/fin o formato inválido",IF(AB688=0,"Hora inicio = hora fin",IF(AE688&lt;0,"Descanso inválido",IF(AE688&gt;=AD688,"Descanso ≥ duración",IF(AV688=1,"Registro duplicado",IF(AZ688&gt;0,"Se superpone con otro registro "&amp;D688,IF(BB688=0,"inicio, fin y duración neta deben ser múltiplos de "&amp;CFG_BLK&amp;" min",""))))))))))))</f>
        <v/>
      </c>
      <c r="BD688" s="80">
        <f>IF(AND(Y688=1,BC688=""),1,0)</f>
        <v>0</v>
      </c>
      <c r="BE688" s="80">
        <f>IF(AND(BD688=1,AU688=1),1,0)</f>
        <v>0</v>
      </c>
      <c r="BF688" s="80" t="str">
        <f>IF(AND(D688="proMX",BD688=1),IF(R688="","Draft",R688),"")</f>
        <v/>
      </c>
      <c r="BG688" s="80">
        <f>IF(BD688=1,ROUND(AG688/60,6),0)</f>
        <v>0</v>
      </c>
      <c r="BH688" s="80">
        <f>IF(BE688=1,ROUND(AG688/60,6),0)</f>
        <v>0</v>
      </c>
      <c r="BI688" s="80">
        <f>IF(BE688=1,ROUND(AP688/60,6),0)</f>
        <v>0</v>
      </c>
      <c r="BJ688" s="80">
        <f>IF(BE688=1,ROUND(AQ688/60,6),0)</f>
        <v>0</v>
      </c>
      <c r="BK688" s="80">
        <f>IF(BE688=1,ROUND((AR688+AS688)/60,6),0)</f>
        <v>0</v>
      </c>
      <c r="BL688" s="80">
        <f>ROUND(BH688-BK688,6)</f>
        <v>0</v>
      </c>
      <c r="BM688" s="80">
        <f>IF(BE688=1,ROUND(AR688/60,6),0)</f>
        <v>0</v>
      </c>
      <c r="BN688" s="80">
        <f>ROUND(BI688-BM688,6)</f>
        <v>0</v>
      </c>
      <c r="BO688" s="80">
        <f>IF(BE688=1,ROUND(AS688/60,6),0)</f>
        <v>0</v>
      </c>
      <c r="BP688" s="80">
        <f>ROUND(BJ688-BO688,6)</f>
        <v>0</v>
      </c>
      <c r="BQ688" s="80">
        <f>IF(BE688=1,AW688,0)</f>
        <v>0</v>
      </c>
      <c r="BR688" s="80">
        <f>IF(BE688=1,AX688,0)</f>
        <v>0</v>
      </c>
      <c r="BS688" s="80">
        <f>IF(AND(BE688=1,D688="Malcolm",BA688&gt;0),MIN(BH688,SUMPRODUCT((R_Emp="proMX")*(R_EN&gt;0)*((R_EN-(R_EN&gt;BR688)*(R_EN-BR688))&gt;(R_SN+(R_SN&lt;BQ688)*(BQ688-R_SN)))*((R_EN-(R_EN&gt;BR688)*(R_EN-BR688))-(R_SN+(R_SN&lt;BQ688)*(BQ688-R_SN))))/60),0)</f>
        <v>0</v>
      </c>
      <c r="BT688" s="80">
        <f>IF(AND(BE688=1,D688="proMX"),ROUND(BI688*CFG_RATE+BJ688*CFG_OTRATE,6),0)</f>
        <v>0</v>
      </c>
      <c r="BU688" s="80">
        <f>IF(AND(BD688=1,D688="proMX"),ROUND(AG688/CFG_BLK,6),0)</f>
        <v>0</v>
      </c>
      <c r="BV688" s="80" t="str">
        <f>IF(BF688="Approved",IF(ISNUMBER(T688),INT(T688),INT(B688)),"")</f>
        <v/>
      </c>
      <c r="BW688" s="80">
        <f>IF(ISNUMBER(B688),IF(DB_MON="Todos",1,IF(AND(INT(B688)&gt;=DB_MS,INT(B688)&lt;=DB_ME),1,0)),0)</f>
        <v>0</v>
      </c>
      <c r="BX688" s="80">
        <f>IF(DB_PROJ="Todos",1,IF(E688&amp;""=DB_PROJ&amp;"",1,0))</f>
        <v>1</v>
      </c>
      <c r="BY688" s="80">
        <f>BW688*BX688</f>
        <v>0</v>
      </c>
      <c r="BZ688" s="80" t="str">
        <f>IF(Y688=1,F688&amp;IF(AND(F688&amp;""&lt;&gt;"",E688&amp;""&lt;&gt;"")," · ","")&amp;E688,"")</f>
        <v/>
      </c>
      <c r="CA688" s="80" t="str">
        <f>IF(AND(BD688=1,E688&amp;""&lt;&gt;""),IF(COUNTIFS($E$5:E687,E688,$BD$5:BD687,1)=0,MAX($CA$5:CA687)+1,""),"")</f>
        <v/>
      </c>
      <c r="CB688" s="80" t="str">
        <f>IF(AND(BE688=1,D688="Malcolm",E688&amp;""&lt;&gt;""),IF(COUNTIFS($D$5:D687,"Malcolm",$E$5:E687,E688,$BE$5:BE687,1)=0,MAX($CB$5:CB687)+1,""),"")</f>
        <v/>
      </c>
      <c r="CC688" s="80" t="str">
        <f>IF(AND(BD688=1,D688="proMX",E688&amp;""&lt;&gt;""),IF(COUNTIFS($D$5:D687,"proMX",$E$5:E687,E688,$BD$5:BD687,1)=0,MAX($CC$5:CC687)+1,""),"")</f>
        <v/>
      </c>
      <c r="CD688" s="80" t="str">
        <f>IF(AND(BE688=1,D688="Malcolm",F688&amp;""&lt;&gt;""),IF(COUNTIFS($D$5:D687,"Malcolm",$F$5:F687,F688,$BE$5:BE687,1)=0,MAX($CD$5:CD687)+1,""),"")</f>
        <v/>
      </c>
      <c r="CE688" s="80" t="str">
        <f>IF(AND(BD688=1,D688="proMX",F688&amp;""&lt;&gt;""),IF(COUNTIFS($D$5:D687,"proMX",$F$5:F687,F688,$BD$5:BD687,1)=0,MAX($CE$5:CE687)+1,""),"")</f>
        <v/>
      </c>
      <c r="CF688" s="80" t="str">
        <f>IF(AND(D688="proMX",BD688=1),IF(OR(BF688="Draft",BF688="Submitted",BF688="Returned",BF688="Recall Requested"),MAX($CF$5:CF687)+1,""),"")</f>
        <v/>
      </c>
      <c r="CG688" s="80">
        <f>IF(BD688=0,0,IF(D688="Malcolm",1,MATCH(BF688,{"Draft","Submitted","Approved","Returned","Recall Requested","Cancelled"},0)+1))</f>
        <v>0</v>
      </c>
      <c r="CH688" s="80">
        <f>IF(AND(BF688="Submitted",ISNUMBER(V688)),IF(V688&gt;CFG_MAXD,1,0),0)</f>
        <v>0</v>
      </c>
    </row>
    <row r="689">
      <c r="A689" s="71" t="str">
        <f>IF(Y689=1,ROW()-5,"")</f>
        <v/>
      </c>
      <c r="B689" s="72" t="n"/>
      <c r="C689" s="71" t="str">
        <f>IF(ISNUMBER(B689),CHOOSE(WEEKDAY(B689,2),"Lun","Mar","Mié","Jue","Vie","Sáb","Dom"),"")</f>
        <v/>
      </c>
      <c r="D689" s="73" t="n"/>
      <c r="E689" s="74" t="n"/>
      <c r="F689" s="74" t="n"/>
      <c r="G689" s="74" t="n"/>
      <c r="H689" s="75" t="n"/>
      <c r="I689" s="75" t="n"/>
      <c r="J689" s="76" t="n"/>
      <c r="K689" s="77" t="str">
        <f>IF(AB689=1,ROUND(AG689/60,4),"")</f>
        <v/>
      </c>
      <c r="L689" s="77" t="str">
        <f>IF(BD689=1,ROUND(AP689/60,4),"")</f>
        <v/>
      </c>
      <c r="M689" s="77" t="str">
        <f>IF(BD689=1,ROUND(AQ689/60,4),"")</f>
        <v/>
      </c>
      <c r="N689" s="71" t="str">
        <f>IF(AND(D689="proMX",AB689=1),ROUND(AG689/CFG_BLK,2),"")</f>
        <v/>
      </c>
      <c r="O689" s="77" t="str">
        <f>IF(D689="proMX",IF(BD689=1,ROUND(AG689/60,4),0),"")</f>
        <v/>
      </c>
      <c r="P689" s="78" t="str">
        <f>IF(Y689=0,"",IF(BD689=1,"OK",IF(D689="proMX","Revisar bloques: ","Revisar: ")&amp;BC689))</f>
        <v/>
      </c>
      <c r="Q689" s="78" t="str">
        <f>IF(NOT(ISNUMBER(B689)),"",IF(COUNTIFS(FER_F,INT(B689))&gt;0,"Feriado"&amp;IF(AH689=1," (laborable)"," (no laborable)"),IF(AH689=1,"Laborable",IF(WEEKDAY(B689,2)&gt;5,"Fin de semana","No laborable"))))</f>
        <v/>
      </c>
      <c r="R689" s="73" t="n"/>
      <c r="S689" s="72" t="n"/>
      <c r="T689" s="72" t="n"/>
      <c r="U689" s="74" t="n"/>
      <c r="V689" s="79" t="str">
        <f>IF(AND(D689="proMX",OR(R689="Submitted",R689="Recall Requested"),ISNUMBER(S689)),CFG_TODAY-INT(S689),"")</f>
        <v/>
      </c>
      <c r="W689" s="78" t="str">
        <f>IF(BD689=0,"",IF(BA689&gt;0,"⚠ Se superpone con un registro de la otra empresa",IF(D689="Malcolm",IF(COUNTA(R689,S689,T689)&gt;0,"Estado/fechas proMX se ignoran en Malcolm",""),IF(BF689="Cancelled","Cancelado: excluido de totales",IF(R689="","Sin estado: se trata como Draft",IF(BF689="Submitted",IF(ISNUMBER(V689),IF(V689&gt;CFG_MAXD,"⚠ "&amp;V689&amp;" días en Submitted (máx. "&amp;CFG_MAXD&amp;")",""),"Falta fecha de envío"),IF(BF689="Returned","⚠ Devuelto: corregir y reenviar",IF(BF689="Recall Requested","Retirada solicitada: pendiente",IF(AND(BF689="Approved",NOT(ISNUMBER(T689))),"Falta fecha de aprobación",IF(AND(ISNUMBER(S689),ISNUMBER(T689),T689&lt;S689),"Aprobación anterior al envío","")))))))))</f>
        <v/>
      </c>
      <c r="Y689" s="80">
        <f>IF(COUNTA(B689,D689,E689,F689,G689,H689,I689,J689,R689,S689,T689)&gt;0,1,0)</f>
        <v>0</v>
      </c>
      <c r="Z689" s="80" t="str">
        <f>IF(AND(ISNUMBER(H689),H689&gt;=0,H689&lt;1),ROUND(H689*1440,0),"")</f>
        <v/>
      </c>
      <c r="AA689" s="80" t="str">
        <f>IF(AND(ISNUMBER(I689),I689&gt;=0,I689&lt;1),ROUND(I689*1440,0),"")</f>
        <v/>
      </c>
      <c r="AB689" s="80">
        <f>IF(AND(ISNUMBER(B689),D689&lt;&gt;"",ISNUMBER(Z689),ISNUMBER(AA689)),IF(Z689=AA689,0,1),0)</f>
        <v>0</v>
      </c>
      <c r="AC689" s="80">
        <f>IF(AB689=1,IF(AA689&lt;Z689,1,0),0)</f>
        <v>0</v>
      </c>
      <c r="AD689" s="80">
        <f>IF(AB689=1,IF(AC689=1,1440-Z689+AA689,AA689-Z689),0)</f>
        <v>0</v>
      </c>
      <c r="AE689" s="80">
        <f>IF(J689="",0,IF(ISNUMBER(J689),J689,-1))</f>
        <v>0</v>
      </c>
      <c r="AF689" s="80">
        <f>MIN(MAX(0,AE689),AD689)</f>
        <v>0</v>
      </c>
      <c r="AG689" s="80">
        <f>MAX(0,AD689-MAX(0,AE689))</f>
        <v>0</v>
      </c>
      <c r="AH689" s="80">
        <f>IF(ISNUMBER(B689),IF(AND(INDEX(CFG_WDAYS,WEEKDAY(INT(B689),2))="Sí",IF(D689="proMX",COUNTIFS(FER_F,INT(B689),FER_NLP,"Sí"),COUNTIFS(FER_F,INT(B689),FER_NLM,"Sí"))=0),1,0),0)</f>
        <v>0</v>
      </c>
      <c r="AI689" s="80">
        <f>IF(AC689=1,IF(AND(INDEX(CFG_WDAYS,WEEKDAY(INT(B689)+1,2))="Sí",IF(D689="proMX",COUNTIFS(FER_F,INT(B689)+1,FER_NLP,"Sí"),COUNTIFS(FER_F,INT(B689)+1,FER_NLM,"Sí"))=0),1,0),0)</f>
        <v>0</v>
      </c>
      <c r="AJ689" s="80">
        <f>IF(AC689=1,1440-Z689,AD689)</f>
        <v>0</v>
      </c>
      <c r="AK689" s="80">
        <f>IF(AND(AB689=1,AH689=1),MAX(0,MIN(IF(AC689=1,1440,AA689),CFG_WEM)-MAX(Z689,CFG_WSM)),0)</f>
        <v>0</v>
      </c>
      <c r="AL689" s="80">
        <f>IF(AND(AC689=1,AI689=1),MAX(0,MIN(AA689,CFG_WEM)-CFG_WSM),0)</f>
        <v>0</v>
      </c>
      <c r="AM689" s="80">
        <f>AK689+AL689</f>
        <v>0</v>
      </c>
      <c r="AN689" s="80">
        <f>IF(CFG_BRK="Proporcional",IF(AD689=0,0,AF689*AM689/AD689),IF(CFG_BRK="Extras primero",MIN(AM689,MAX(0,AF689-(AD689-AM689))),MIN(AF689,AM689)))</f>
        <v>0</v>
      </c>
      <c r="AO689" s="80">
        <f>AF689-AN689</f>
        <v>0</v>
      </c>
      <c r="AP689" s="80">
        <f>AM689-AN689</f>
        <v>0</v>
      </c>
      <c r="AQ689" s="80">
        <f>AD689-AM689-AO689</f>
        <v>0</v>
      </c>
      <c r="AR689" s="80">
        <f>IF(AM689=0,0,AK689-AN689*AK689/AM689)</f>
        <v>0</v>
      </c>
      <c r="AS689" s="80">
        <f>IF(AD689-AM689=0,0,(AJ689-AK689)-AO689*(AJ689-AK689)/(AD689-AM689))</f>
        <v>0</v>
      </c>
      <c r="AT689" s="80" t="str">
        <f>IF(AC689=1,INT(B689)+1,"")</f>
        <v/>
      </c>
      <c r="AU689" s="80">
        <f>IF(AND(D689="proMX",R689="Cancelled"),0,1)</f>
        <v>1</v>
      </c>
      <c r="AV689" s="80">
        <f>IF(AND(AB689=1,AU689=1),IF(COUNTIFS($D$5:D688,D689,$B$5:B688,B689,$Z$5:Z688,Z689,$AA$5:AA688,AA689,$F$5:F688,F689&amp;"",$AU$5:AU688,1)&gt;0,1,0),0)</f>
        <v>0</v>
      </c>
      <c r="AW689" s="80" t="str">
        <f>IF(AB689=1,INT(B689)*1440+Z689,"")</f>
        <v/>
      </c>
      <c r="AX689" s="80" t="str">
        <f>IF(AB689=1,AW689+AD689,"")</f>
        <v/>
      </c>
      <c r="AY689" s="80">
        <f>IF(AND(AB689=1,AV689=0,AU689=1),1,0)</f>
        <v>0</v>
      </c>
      <c r="AZ689" s="80">
        <f>IF(AY689=1,COUNTIFS(R_Emp,D689,R_SAbs,"&lt;"&amp;AX689,R_EAbs,"&gt;"&amp;AW689,R_OKey,1)-1,0)</f>
        <v>0</v>
      </c>
      <c r="BA689" s="80">
        <f>IF(AY689=1,COUNTIFS(R_Emp,"&lt;&gt;"&amp;D689,R_SAbs,"&lt;"&amp;AX689,R_EAbs,"&gt;"&amp;AW689,R_OKey,1),0)</f>
        <v>0</v>
      </c>
      <c r="BB689" s="80">
        <f>IF(AND(AB689=1,D689="proMX"),IF(AND(MOD(Z689,CFG_BLK)=0,MOD(AA689,CFG_BLK)=0,MOD(AG689,CFG_BLK)=0,AG689&gt;0),1,0),1)</f>
        <v>1</v>
      </c>
      <c r="BC689" s="80" t="str">
        <f>IF(Y689=0,"",IF(NOT(ISNUMBER(B689)),"Falta fecha o fecha inválida",IF(D689="","Falta empresa",IF(AND(D689&lt;&gt;"Malcolm",D689&lt;&gt;"proMX"),"Empresa inválida",IF(OR(INT(B689)&lt;CFG_PSTART,INT(B689)&gt;CFG_PEND),"Fecha fuera del período",IF(OR(NOT(ISNUMBER(Z689)),NOT(ISNUMBER(AA689))),"Falta hora inicio/fin o formato inválido",IF(AB689=0,"Hora inicio = hora fin",IF(AE689&lt;0,"Descanso inválido",IF(AE689&gt;=AD689,"Descanso ≥ duración",IF(AV689=1,"Registro duplicado",IF(AZ689&gt;0,"Se superpone con otro registro "&amp;D689,IF(BB689=0,"inicio, fin y duración neta deben ser múltiplos de "&amp;CFG_BLK&amp;" min",""))))))))))))</f>
        <v/>
      </c>
      <c r="BD689" s="80">
        <f>IF(AND(Y689=1,BC689=""),1,0)</f>
        <v>0</v>
      </c>
      <c r="BE689" s="80">
        <f>IF(AND(BD689=1,AU689=1),1,0)</f>
        <v>0</v>
      </c>
      <c r="BF689" s="80" t="str">
        <f>IF(AND(D689="proMX",BD689=1),IF(R689="","Draft",R689),"")</f>
        <v/>
      </c>
      <c r="BG689" s="80">
        <f>IF(BD689=1,ROUND(AG689/60,6),0)</f>
        <v>0</v>
      </c>
      <c r="BH689" s="80">
        <f>IF(BE689=1,ROUND(AG689/60,6),0)</f>
        <v>0</v>
      </c>
      <c r="BI689" s="80">
        <f>IF(BE689=1,ROUND(AP689/60,6),0)</f>
        <v>0</v>
      </c>
      <c r="BJ689" s="80">
        <f>IF(BE689=1,ROUND(AQ689/60,6),0)</f>
        <v>0</v>
      </c>
      <c r="BK689" s="80">
        <f>IF(BE689=1,ROUND((AR689+AS689)/60,6),0)</f>
        <v>0</v>
      </c>
      <c r="BL689" s="80">
        <f>ROUND(BH689-BK689,6)</f>
        <v>0</v>
      </c>
      <c r="BM689" s="80">
        <f>IF(BE689=1,ROUND(AR689/60,6),0)</f>
        <v>0</v>
      </c>
      <c r="BN689" s="80">
        <f>ROUND(BI689-BM689,6)</f>
        <v>0</v>
      </c>
      <c r="BO689" s="80">
        <f>IF(BE689=1,ROUND(AS689/60,6),0)</f>
        <v>0</v>
      </c>
      <c r="BP689" s="80">
        <f>ROUND(BJ689-BO689,6)</f>
        <v>0</v>
      </c>
      <c r="BQ689" s="80">
        <f>IF(BE689=1,AW689,0)</f>
        <v>0</v>
      </c>
      <c r="BR689" s="80">
        <f>IF(BE689=1,AX689,0)</f>
        <v>0</v>
      </c>
      <c r="BS689" s="80">
        <f>IF(AND(BE689=1,D689="Malcolm",BA689&gt;0),MIN(BH689,SUMPRODUCT((R_Emp="proMX")*(R_EN&gt;0)*((R_EN-(R_EN&gt;BR689)*(R_EN-BR689))&gt;(R_SN+(R_SN&lt;BQ689)*(BQ689-R_SN)))*((R_EN-(R_EN&gt;BR689)*(R_EN-BR689))-(R_SN+(R_SN&lt;BQ689)*(BQ689-R_SN))))/60),0)</f>
        <v>0</v>
      </c>
      <c r="BT689" s="80">
        <f>IF(AND(BE689=1,D689="proMX"),ROUND(BI689*CFG_RATE+BJ689*CFG_OTRATE,6),0)</f>
        <v>0</v>
      </c>
      <c r="BU689" s="80">
        <f>IF(AND(BD689=1,D689="proMX"),ROUND(AG689/CFG_BLK,6),0)</f>
        <v>0</v>
      </c>
      <c r="BV689" s="80" t="str">
        <f>IF(BF689="Approved",IF(ISNUMBER(T689),INT(T689),INT(B689)),"")</f>
        <v/>
      </c>
      <c r="BW689" s="80">
        <f>IF(ISNUMBER(B689),IF(DB_MON="Todos",1,IF(AND(INT(B689)&gt;=DB_MS,INT(B689)&lt;=DB_ME),1,0)),0)</f>
        <v>0</v>
      </c>
      <c r="BX689" s="80">
        <f>IF(DB_PROJ="Todos",1,IF(E689&amp;""=DB_PROJ&amp;"",1,0))</f>
        <v>1</v>
      </c>
      <c r="BY689" s="80">
        <f>BW689*BX689</f>
        <v>0</v>
      </c>
      <c r="BZ689" s="80" t="str">
        <f>IF(Y689=1,F689&amp;IF(AND(F689&amp;""&lt;&gt;"",E689&amp;""&lt;&gt;"")," · ","")&amp;E689,"")</f>
        <v/>
      </c>
      <c r="CA689" s="80" t="str">
        <f>IF(AND(BD689=1,E689&amp;""&lt;&gt;""),IF(COUNTIFS($E$5:E688,E689,$BD$5:BD688,1)=0,MAX($CA$5:CA688)+1,""),"")</f>
        <v/>
      </c>
      <c r="CB689" s="80" t="str">
        <f>IF(AND(BE689=1,D689="Malcolm",E689&amp;""&lt;&gt;""),IF(COUNTIFS($D$5:D688,"Malcolm",$E$5:E688,E689,$BE$5:BE688,1)=0,MAX($CB$5:CB688)+1,""),"")</f>
        <v/>
      </c>
      <c r="CC689" s="80" t="str">
        <f>IF(AND(BD689=1,D689="proMX",E689&amp;""&lt;&gt;""),IF(COUNTIFS($D$5:D688,"proMX",$E$5:E688,E689,$BD$5:BD688,1)=0,MAX($CC$5:CC688)+1,""),"")</f>
        <v/>
      </c>
      <c r="CD689" s="80" t="str">
        <f>IF(AND(BE689=1,D689="Malcolm",F689&amp;""&lt;&gt;""),IF(COUNTIFS($D$5:D688,"Malcolm",$F$5:F688,F689,$BE$5:BE688,1)=0,MAX($CD$5:CD688)+1,""),"")</f>
        <v/>
      </c>
      <c r="CE689" s="80" t="str">
        <f>IF(AND(BD689=1,D689="proMX",F689&amp;""&lt;&gt;""),IF(COUNTIFS($D$5:D688,"proMX",$F$5:F688,F689,$BD$5:BD688,1)=0,MAX($CE$5:CE688)+1,""),"")</f>
        <v/>
      </c>
      <c r="CF689" s="80" t="str">
        <f>IF(AND(D689="proMX",BD689=1),IF(OR(BF689="Draft",BF689="Submitted",BF689="Returned",BF689="Recall Requested"),MAX($CF$5:CF688)+1,""),"")</f>
        <v/>
      </c>
      <c r="CG689" s="80">
        <f>IF(BD689=0,0,IF(D689="Malcolm",1,MATCH(BF689,{"Draft","Submitted","Approved","Returned","Recall Requested","Cancelled"},0)+1))</f>
        <v>0</v>
      </c>
      <c r="CH689" s="80">
        <f>IF(AND(BF689="Submitted",ISNUMBER(V689)),IF(V689&gt;CFG_MAXD,1,0),0)</f>
        <v>0</v>
      </c>
    </row>
    <row r="690">
      <c r="A690" s="71" t="str">
        <f>IF(Y690=1,ROW()-5,"")</f>
        <v/>
      </c>
      <c r="B690" s="72" t="n"/>
      <c r="C690" s="71" t="str">
        <f>IF(ISNUMBER(B690),CHOOSE(WEEKDAY(B690,2),"Lun","Mar","Mié","Jue","Vie","Sáb","Dom"),"")</f>
        <v/>
      </c>
      <c r="D690" s="73" t="n"/>
      <c r="E690" s="74" t="n"/>
      <c r="F690" s="74" t="n"/>
      <c r="G690" s="74" t="n"/>
      <c r="H690" s="75" t="n"/>
      <c r="I690" s="75" t="n"/>
      <c r="J690" s="76" t="n"/>
      <c r="K690" s="77" t="str">
        <f>IF(AB690=1,ROUND(AG690/60,4),"")</f>
        <v/>
      </c>
      <c r="L690" s="77" t="str">
        <f>IF(BD690=1,ROUND(AP690/60,4),"")</f>
        <v/>
      </c>
      <c r="M690" s="77" t="str">
        <f>IF(BD690=1,ROUND(AQ690/60,4),"")</f>
        <v/>
      </c>
      <c r="N690" s="71" t="str">
        <f>IF(AND(D690="proMX",AB690=1),ROUND(AG690/CFG_BLK,2),"")</f>
        <v/>
      </c>
      <c r="O690" s="77" t="str">
        <f>IF(D690="proMX",IF(BD690=1,ROUND(AG690/60,4),0),"")</f>
        <v/>
      </c>
      <c r="P690" s="78" t="str">
        <f>IF(Y690=0,"",IF(BD690=1,"OK",IF(D690="proMX","Revisar bloques: ","Revisar: ")&amp;BC690))</f>
        <v/>
      </c>
      <c r="Q690" s="78" t="str">
        <f>IF(NOT(ISNUMBER(B690)),"",IF(COUNTIFS(FER_F,INT(B690))&gt;0,"Feriado"&amp;IF(AH690=1," (laborable)"," (no laborable)"),IF(AH690=1,"Laborable",IF(WEEKDAY(B690,2)&gt;5,"Fin de semana","No laborable"))))</f>
        <v/>
      </c>
      <c r="R690" s="73" t="n"/>
      <c r="S690" s="72" t="n"/>
      <c r="T690" s="72" t="n"/>
      <c r="U690" s="74" t="n"/>
      <c r="V690" s="79" t="str">
        <f>IF(AND(D690="proMX",OR(R690="Submitted",R690="Recall Requested"),ISNUMBER(S690)),CFG_TODAY-INT(S690),"")</f>
        <v/>
      </c>
      <c r="W690" s="78" t="str">
        <f>IF(BD690=0,"",IF(BA690&gt;0,"⚠ Se superpone con un registro de la otra empresa",IF(D690="Malcolm",IF(COUNTA(R690,S690,T690)&gt;0,"Estado/fechas proMX se ignoran en Malcolm",""),IF(BF690="Cancelled","Cancelado: excluido de totales",IF(R690="","Sin estado: se trata como Draft",IF(BF690="Submitted",IF(ISNUMBER(V690),IF(V690&gt;CFG_MAXD,"⚠ "&amp;V690&amp;" días en Submitted (máx. "&amp;CFG_MAXD&amp;")",""),"Falta fecha de envío"),IF(BF690="Returned","⚠ Devuelto: corregir y reenviar",IF(BF690="Recall Requested","Retirada solicitada: pendiente",IF(AND(BF690="Approved",NOT(ISNUMBER(T690))),"Falta fecha de aprobación",IF(AND(ISNUMBER(S690),ISNUMBER(T690),T690&lt;S690),"Aprobación anterior al envío","")))))))))</f>
        <v/>
      </c>
      <c r="Y690" s="80">
        <f>IF(COUNTA(B690,D690,E690,F690,G690,H690,I690,J690,R690,S690,T690)&gt;0,1,0)</f>
        <v>0</v>
      </c>
      <c r="Z690" s="80" t="str">
        <f>IF(AND(ISNUMBER(H690),H690&gt;=0,H690&lt;1),ROUND(H690*1440,0),"")</f>
        <v/>
      </c>
      <c r="AA690" s="80" t="str">
        <f>IF(AND(ISNUMBER(I690),I690&gt;=0,I690&lt;1),ROUND(I690*1440,0),"")</f>
        <v/>
      </c>
      <c r="AB690" s="80">
        <f>IF(AND(ISNUMBER(B690),D690&lt;&gt;"",ISNUMBER(Z690),ISNUMBER(AA690)),IF(Z690=AA690,0,1),0)</f>
        <v>0</v>
      </c>
      <c r="AC690" s="80">
        <f>IF(AB690=1,IF(AA690&lt;Z690,1,0),0)</f>
        <v>0</v>
      </c>
      <c r="AD690" s="80">
        <f>IF(AB690=1,IF(AC690=1,1440-Z690+AA690,AA690-Z690),0)</f>
        <v>0</v>
      </c>
      <c r="AE690" s="80">
        <f>IF(J690="",0,IF(ISNUMBER(J690),J690,-1))</f>
        <v>0</v>
      </c>
      <c r="AF690" s="80">
        <f>MIN(MAX(0,AE690),AD690)</f>
        <v>0</v>
      </c>
      <c r="AG690" s="80">
        <f>MAX(0,AD690-MAX(0,AE690))</f>
        <v>0</v>
      </c>
      <c r="AH690" s="80">
        <f>IF(ISNUMBER(B690),IF(AND(INDEX(CFG_WDAYS,WEEKDAY(INT(B690),2))="Sí",IF(D690="proMX",COUNTIFS(FER_F,INT(B690),FER_NLP,"Sí"),COUNTIFS(FER_F,INT(B690),FER_NLM,"Sí"))=0),1,0),0)</f>
        <v>0</v>
      </c>
      <c r="AI690" s="80">
        <f>IF(AC690=1,IF(AND(INDEX(CFG_WDAYS,WEEKDAY(INT(B690)+1,2))="Sí",IF(D690="proMX",COUNTIFS(FER_F,INT(B690)+1,FER_NLP,"Sí"),COUNTIFS(FER_F,INT(B690)+1,FER_NLM,"Sí"))=0),1,0),0)</f>
        <v>0</v>
      </c>
      <c r="AJ690" s="80">
        <f>IF(AC690=1,1440-Z690,AD690)</f>
        <v>0</v>
      </c>
      <c r="AK690" s="80">
        <f>IF(AND(AB690=1,AH690=1),MAX(0,MIN(IF(AC690=1,1440,AA690),CFG_WEM)-MAX(Z690,CFG_WSM)),0)</f>
        <v>0</v>
      </c>
      <c r="AL690" s="80">
        <f>IF(AND(AC690=1,AI690=1),MAX(0,MIN(AA690,CFG_WEM)-CFG_WSM),0)</f>
        <v>0</v>
      </c>
      <c r="AM690" s="80">
        <f>AK690+AL690</f>
        <v>0</v>
      </c>
      <c r="AN690" s="80">
        <f>IF(CFG_BRK="Proporcional",IF(AD690=0,0,AF690*AM690/AD690),IF(CFG_BRK="Extras primero",MIN(AM690,MAX(0,AF690-(AD690-AM690))),MIN(AF690,AM690)))</f>
        <v>0</v>
      </c>
      <c r="AO690" s="80">
        <f>AF690-AN690</f>
        <v>0</v>
      </c>
      <c r="AP690" s="80">
        <f>AM690-AN690</f>
        <v>0</v>
      </c>
      <c r="AQ690" s="80">
        <f>AD690-AM690-AO690</f>
        <v>0</v>
      </c>
      <c r="AR690" s="80">
        <f>IF(AM690=0,0,AK690-AN690*AK690/AM690)</f>
        <v>0</v>
      </c>
      <c r="AS690" s="80">
        <f>IF(AD690-AM690=0,0,(AJ690-AK690)-AO690*(AJ690-AK690)/(AD690-AM690))</f>
        <v>0</v>
      </c>
      <c r="AT690" s="80" t="str">
        <f>IF(AC690=1,INT(B690)+1,"")</f>
        <v/>
      </c>
      <c r="AU690" s="80">
        <f>IF(AND(D690="proMX",R690="Cancelled"),0,1)</f>
        <v>1</v>
      </c>
      <c r="AV690" s="80">
        <f>IF(AND(AB690=1,AU690=1),IF(COUNTIFS($D$5:D689,D690,$B$5:B689,B690,$Z$5:Z689,Z690,$AA$5:AA689,AA690,$F$5:F689,F690&amp;"",$AU$5:AU689,1)&gt;0,1,0),0)</f>
        <v>0</v>
      </c>
      <c r="AW690" s="80" t="str">
        <f>IF(AB690=1,INT(B690)*1440+Z690,"")</f>
        <v/>
      </c>
      <c r="AX690" s="80" t="str">
        <f>IF(AB690=1,AW690+AD690,"")</f>
        <v/>
      </c>
      <c r="AY690" s="80">
        <f>IF(AND(AB690=1,AV690=0,AU690=1),1,0)</f>
        <v>0</v>
      </c>
      <c r="AZ690" s="80">
        <f>IF(AY690=1,COUNTIFS(R_Emp,D690,R_SAbs,"&lt;"&amp;AX690,R_EAbs,"&gt;"&amp;AW690,R_OKey,1)-1,0)</f>
        <v>0</v>
      </c>
      <c r="BA690" s="80">
        <f>IF(AY690=1,COUNTIFS(R_Emp,"&lt;&gt;"&amp;D690,R_SAbs,"&lt;"&amp;AX690,R_EAbs,"&gt;"&amp;AW690,R_OKey,1),0)</f>
        <v>0</v>
      </c>
      <c r="BB690" s="80">
        <f>IF(AND(AB690=1,D690="proMX"),IF(AND(MOD(Z690,CFG_BLK)=0,MOD(AA690,CFG_BLK)=0,MOD(AG690,CFG_BLK)=0,AG690&gt;0),1,0),1)</f>
        <v>1</v>
      </c>
      <c r="BC690" s="80" t="str">
        <f>IF(Y690=0,"",IF(NOT(ISNUMBER(B690)),"Falta fecha o fecha inválida",IF(D690="","Falta empresa",IF(AND(D690&lt;&gt;"Malcolm",D690&lt;&gt;"proMX"),"Empresa inválida",IF(OR(INT(B690)&lt;CFG_PSTART,INT(B690)&gt;CFG_PEND),"Fecha fuera del período",IF(OR(NOT(ISNUMBER(Z690)),NOT(ISNUMBER(AA690))),"Falta hora inicio/fin o formato inválido",IF(AB690=0,"Hora inicio = hora fin",IF(AE690&lt;0,"Descanso inválido",IF(AE690&gt;=AD690,"Descanso ≥ duración",IF(AV690=1,"Registro duplicado",IF(AZ690&gt;0,"Se superpone con otro registro "&amp;D690,IF(BB690=0,"inicio, fin y duración neta deben ser múltiplos de "&amp;CFG_BLK&amp;" min",""))))))))))))</f>
        <v/>
      </c>
      <c r="BD690" s="80">
        <f>IF(AND(Y690=1,BC690=""),1,0)</f>
        <v>0</v>
      </c>
      <c r="BE690" s="80">
        <f>IF(AND(BD690=1,AU690=1),1,0)</f>
        <v>0</v>
      </c>
      <c r="BF690" s="80" t="str">
        <f>IF(AND(D690="proMX",BD690=1),IF(R690="","Draft",R690),"")</f>
        <v/>
      </c>
      <c r="BG690" s="80">
        <f>IF(BD690=1,ROUND(AG690/60,6),0)</f>
        <v>0</v>
      </c>
      <c r="BH690" s="80">
        <f>IF(BE690=1,ROUND(AG690/60,6),0)</f>
        <v>0</v>
      </c>
      <c r="BI690" s="80">
        <f>IF(BE690=1,ROUND(AP690/60,6),0)</f>
        <v>0</v>
      </c>
      <c r="BJ690" s="80">
        <f>IF(BE690=1,ROUND(AQ690/60,6),0)</f>
        <v>0</v>
      </c>
      <c r="BK690" s="80">
        <f>IF(BE690=1,ROUND((AR690+AS690)/60,6),0)</f>
        <v>0</v>
      </c>
      <c r="BL690" s="80">
        <f>ROUND(BH690-BK690,6)</f>
        <v>0</v>
      </c>
      <c r="BM690" s="80">
        <f>IF(BE690=1,ROUND(AR690/60,6),0)</f>
        <v>0</v>
      </c>
      <c r="BN690" s="80">
        <f>ROUND(BI690-BM690,6)</f>
        <v>0</v>
      </c>
      <c r="BO690" s="80">
        <f>IF(BE690=1,ROUND(AS690/60,6),0)</f>
        <v>0</v>
      </c>
      <c r="BP690" s="80">
        <f>ROUND(BJ690-BO690,6)</f>
        <v>0</v>
      </c>
      <c r="BQ690" s="80">
        <f>IF(BE690=1,AW690,0)</f>
        <v>0</v>
      </c>
      <c r="BR690" s="80">
        <f>IF(BE690=1,AX690,0)</f>
        <v>0</v>
      </c>
      <c r="BS690" s="80">
        <f>IF(AND(BE690=1,D690="Malcolm",BA690&gt;0),MIN(BH690,SUMPRODUCT((R_Emp="proMX")*(R_EN&gt;0)*((R_EN-(R_EN&gt;BR690)*(R_EN-BR690))&gt;(R_SN+(R_SN&lt;BQ690)*(BQ690-R_SN)))*((R_EN-(R_EN&gt;BR690)*(R_EN-BR690))-(R_SN+(R_SN&lt;BQ690)*(BQ690-R_SN))))/60),0)</f>
        <v>0</v>
      </c>
      <c r="BT690" s="80">
        <f>IF(AND(BE690=1,D690="proMX"),ROUND(BI690*CFG_RATE+BJ690*CFG_OTRATE,6),0)</f>
        <v>0</v>
      </c>
      <c r="BU690" s="80">
        <f>IF(AND(BD690=1,D690="proMX"),ROUND(AG690/CFG_BLK,6),0)</f>
        <v>0</v>
      </c>
      <c r="BV690" s="80" t="str">
        <f>IF(BF690="Approved",IF(ISNUMBER(T690),INT(T690),INT(B690)),"")</f>
        <v/>
      </c>
      <c r="BW690" s="80">
        <f>IF(ISNUMBER(B690),IF(DB_MON="Todos",1,IF(AND(INT(B690)&gt;=DB_MS,INT(B690)&lt;=DB_ME),1,0)),0)</f>
        <v>0</v>
      </c>
      <c r="BX690" s="80">
        <f>IF(DB_PROJ="Todos",1,IF(E690&amp;""=DB_PROJ&amp;"",1,0))</f>
        <v>1</v>
      </c>
      <c r="BY690" s="80">
        <f>BW690*BX690</f>
        <v>0</v>
      </c>
      <c r="BZ690" s="80" t="str">
        <f>IF(Y690=1,F690&amp;IF(AND(F690&amp;""&lt;&gt;"",E690&amp;""&lt;&gt;"")," · ","")&amp;E690,"")</f>
        <v/>
      </c>
      <c r="CA690" s="80" t="str">
        <f>IF(AND(BD690=1,E690&amp;""&lt;&gt;""),IF(COUNTIFS($E$5:E689,E690,$BD$5:BD689,1)=0,MAX($CA$5:CA689)+1,""),"")</f>
        <v/>
      </c>
      <c r="CB690" s="80" t="str">
        <f>IF(AND(BE690=1,D690="Malcolm",E690&amp;""&lt;&gt;""),IF(COUNTIFS($D$5:D689,"Malcolm",$E$5:E689,E690,$BE$5:BE689,1)=0,MAX($CB$5:CB689)+1,""),"")</f>
        <v/>
      </c>
      <c r="CC690" s="80" t="str">
        <f>IF(AND(BD690=1,D690="proMX",E690&amp;""&lt;&gt;""),IF(COUNTIFS($D$5:D689,"proMX",$E$5:E689,E690,$BD$5:BD689,1)=0,MAX($CC$5:CC689)+1,""),"")</f>
        <v/>
      </c>
      <c r="CD690" s="80" t="str">
        <f>IF(AND(BE690=1,D690="Malcolm",F690&amp;""&lt;&gt;""),IF(COUNTIFS($D$5:D689,"Malcolm",$F$5:F689,F690,$BE$5:BE689,1)=0,MAX($CD$5:CD689)+1,""),"")</f>
        <v/>
      </c>
      <c r="CE690" s="80" t="str">
        <f>IF(AND(BD690=1,D690="proMX",F690&amp;""&lt;&gt;""),IF(COUNTIFS($D$5:D689,"proMX",$F$5:F689,F690,$BD$5:BD689,1)=0,MAX($CE$5:CE689)+1,""),"")</f>
        <v/>
      </c>
      <c r="CF690" s="80" t="str">
        <f>IF(AND(D690="proMX",BD690=1),IF(OR(BF690="Draft",BF690="Submitted",BF690="Returned",BF690="Recall Requested"),MAX($CF$5:CF689)+1,""),"")</f>
        <v/>
      </c>
      <c r="CG690" s="80">
        <f>IF(BD690=0,0,IF(D690="Malcolm",1,MATCH(BF690,{"Draft","Submitted","Approved","Returned","Recall Requested","Cancelled"},0)+1))</f>
        <v>0</v>
      </c>
      <c r="CH690" s="80">
        <f>IF(AND(BF690="Submitted",ISNUMBER(V690)),IF(V690&gt;CFG_MAXD,1,0),0)</f>
        <v>0</v>
      </c>
    </row>
    <row r="691">
      <c r="A691" s="71" t="str">
        <f>IF(Y691=1,ROW()-5,"")</f>
        <v/>
      </c>
      <c r="B691" s="72" t="n"/>
      <c r="C691" s="71" t="str">
        <f>IF(ISNUMBER(B691),CHOOSE(WEEKDAY(B691,2),"Lun","Mar","Mié","Jue","Vie","Sáb","Dom"),"")</f>
        <v/>
      </c>
      <c r="D691" s="73" t="n"/>
      <c r="E691" s="74" t="n"/>
      <c r="F691" s="74" t="n"/>
      <c r="G691" s="74" t="n"/>
      <c r="H691" s="75" t="n"/>
      <c r="I691" s="75" t="n"/>
      <c r="J691" s="76" t="n"/>
      <c r="K691" s="77" t="str">
        <f>IF(AB691=1,ROUND(AG691/60,4),"")</f>
        <v/>
      </c>
      <c r="L691" s="77" t="str">
        <f>IF(BD691=1,ROUND(AP691/60,4),"")</f>
        <v/>
      </c>
      <c r="M691" s="77" t="str">
        <f>IF(BD691=1,ROUND(AQ691/60,4),"")</f>
        <v/>
      </c>
      <c r="N691" s="71" t="str">
        <f>IF(AND(D691="proMX",AB691=1),ROUND(AG691/CFG_BLK,2),"")</f>
        <v/>
      </c>
      <c r="O691" s="77" t="str">
        <f>IF(D691="proMX",IF(BD691=1,ROUND(AG691/60,4),0),"")</f>
        <v/>
      </c>
      <c r="P691" s="78" t="str">
        <f>IF(Y691=0,"",IF(BD691=1,"OK",IF(D691="proMX","Revisar bloques: ","Revisar: ")&amp;BC691))</f>
        <v/>
      </c>
      <c r="Q691" s="78" t="str">
        <f>IF(NOT(ISNUMBER(B691)),"",IF(COUNTIFS(FER_F,INT(B691))&gt;0,"Feriado"&amp;IF(AH691=1," (laborable)"," (no laborable)"),IF(AH691=1,"Laborable",IF(WEEKDAY(B691,2)&gt;5,"Fin de semana","No laborable"))))</f>
        <v/>
      </c>
      <c r="R691" s="73" t="n"/>
      <c r="S691" s="72" t="n"/>
      <c r="T691" s="72" t="n"/>
      <c r="U691" s="74" t="n"/>
      <c r="V691" s="79" t="str">
        <f>IF(AND(D691="proMX",OR(R691="Submitted",R691="Recall Requested"),ISNUMBER(S691)),CFG_TODAY-INT(S691),"")</f>
        <v/>
      </c>
      <c r="W691" s="78" t="str">
        <f>IF(BD691=0,"",IF(BA691&gt;0,"⚠ Se superpone con un registro de la otra empresa",IF(D691="Malcolm",IF(COUNTA(R691,S691,T691)&gt;0,"Estado/fechas proMX se ignoran en Malcolm",""),IF(BF691="Cancelled","Cancelado: excluido de totales",IF(R691="","Sin estado: se trata como Draft",IF(BF691="Submitted",IF(ISNUMBER(V691),IF(V691&gt;CFG_MAXD,"⚠ "&amp;V691&amp;" días en Submitted (máx. "&amp;CFG_MAXD&amp;")",""),"Falta fecha de envío"),IF(BF691="Returned","⚠ Devuelto: corregir y reenviar",IF(BF691="Recall Requested","Retirada solicitada: pendiente",IF(AND(BF691="Approved",NOT(ISNUMBER(T691))),"Falta fecha de aprobación",IF(AND(ISNUMBER(S691),ISNUMBER(T691),T691&lt;S691),"Aprobación anterior al envío","")))))))))</f>
        <v/>
      </c>
      <c r="Y691" s="80">
        <f>IF(COUNTA(B691,D691,E691,F691,G691,H691,I691,J691,R691,S691,T691)&gt;0,1,0)</f>
        <v>0</v>
      </c>
      <c r="Z691" s="80" t="str">
        <f>IF(AND(ISNUMBER(H691),H691&gt;=0,H691&lt;1),ROUND(H691*1440,0),"")</f>
        <v/>
      </c>
      <c r="AA691" s="80" t="str">
        <f>IF(AND(ISNUMBER(I691),I691&gt;=0,I691&lt;1),ROUND(I691*1440,0),"")</f>
        <v/>
      </c>
      <c r="AB691" s="80">
        <f>IF(AND(ISNUMBER(B691),D691&lt;&gt;"",ISNUMBER(Z691),ISNUMBER(AA691)),IF(Z691=AA691,0,1),0)</f>
        <v>0</v>
      </c>
      <c r="AC691" s="80">
        <f>IF(AB691=1,IF(AA691&lt;Z691,1,0),0)</f>
        <v>0</v>
      </c>
      <c r="AD691" s="80">
        <f>IF(AB691=1,IF(AC691=1,1440-Z691+AA691,AA691-Z691),0)</f>
        <v>0</v>
      </c>
      <c r="AE691" s="80">
        <f>IF(J691="",0,IF(ISNUMBER(J691),J691,-1))</f>
        <v>0</v>
      </c>
      <c r="AF691" s="80">
        <f>MIN(MAX(0,AE691),AD691)</f>
        <v>0</v>
      </c>
      <c r="AG691" s="80">
        <f>MAX(0,AD691-MAX(0,AE691))</f>
        <v>0</v>
      </c>
      <c r="AH691" s="80">
        <f>IF(ISNUMBER(B691),IF(AND(INDEX(CFG_WDAYS,WEEKDAY(INT(B691),2))="Sí",IF(D691="proMX",COUNTIFS(FER_F,INT(B691),FER_NLP,"Sí"),COUNTIFS(FER_F,INT(B691),FER_NLM,"Sí"))=0),1,0),0)</f>
        <v>0</v>
      </c>
      <c r="AI691" s="80">
        <f>IF(AC691=1,IF(AND(INDEX(CFG_WDAYS,WEEKDAY(INT(B691)+1,2))="Sí",IF(D691="proMX",COUNTIFS(FER_F,INT(B691)+1,FER_NLP,"Sí"),COUNTIFS(FER_F,INT(B691)+1,FER_NLM,"Sí"))=0),1,0),0)</f>
        <v>0</v>
      </c>
      <c r="AJ691" s="80">
        <f>IF(AC691=1,1440-Z691,AD691)</f>
        <v>0</v>
      </c>
      <c r="AK691" s="80">
        <f>IF(AND(AB691=1,AH691=1),MAX(0,MIN(IF(AC691=1,1440,AA691),CFG_WEM)-MAX(Z691,CFG_WSM)),0)</f>
        <v>0</v>
      </c>
      <c r="AL691" s="80">
        <f>IF(AND(AC691=1,AI691=1),MAX(0,MIN(AA691,CFG_WEM)-CFG_WSM),0)</f>
        <v>0</v>
      </c>
      <c r="AM691" s="80">
        <f>AK691+AL691</f>
        <v>0</v>
      </c>
      <c r="AN691" s="80">
        <f>IF(CFG_BRK="Proporcional",IF(AD691=0,0,AF691*AM691/AD691),IF(CFG_BRK="Extras primero",MIN(AM691,MAX(0,AF691-(AD691-AM691))),MIN(AF691,AM691)))</f>
        <v>0</v>
      </c>
      <c r="AO691" s="80">
        <f>AF691-AN691</f>
        <v>0</v>
      </c>
      <c r="AP691" s="80">
        <f>AM691-AN691</f>
        <v>0</v>
      </c>
      <c r="AQ691" s="80">
        <f>AD691-AM691-AO691</f>
        <v>0</v>
      </c>
      <c r="AR691" s="80">
        <f>IF(AM691=0,0,AK691-AN691*AK691/AM691)</f>
        <v>0</v>
      </c>
      <c r="AS691" s="80">
        <f>IF(AD691-AM691=0,0,(AJ691-AK691)-AO691*(AJ691-AK691)/(AD691-AM691))</f>
        <v>0</v>
      </c>
      <c r="AT691" s="80" t="str">
        <f>IF(AC691=1,INT(B691)+1,"")</f>
        <v/>
      </c>
      <c r="AU691" s="80">
        <f>IF(AND(D691="proMX",R691="Cancelled"),0,1)</f>
        <v>1</v>
      </c>
      <c r="AV691" s="80">
        <f>IF(AND(AB691=1,AU691=1),IF(COUNTIFS($D$5:D690,D691,$B$5:B690,B691,$Z$5:Z690,Z691,$AA$5:AA690,AA691,$F$5:F690,F691&amp;"",$AU$5:AU690,1)&gt;0,1,0),0)</f>
        <v>0</v>
      </c>
      <c r="AW691" s="80" t="str">
        <f>IF(AB691=1,INT(B691)*1440+Z691,"")</f>
        <v/>
      </c>
      <c r="AX691" s="80" t="str">
        <f>IF(AB691=1,AW691+AD691,"")</f>
        <v/>
      </c>
      <c r="AY691" s="80">
        <f>IF(AND(AB691=1,AV691=0,AU691=1),1,0)</f>
        <v>0</v>
      </c>
      <c r="AZ691" s="80">
        <f>IF(AY691=1,COUNTIFS(R_Emp,D691,R_SAbs,"&lt;"&amp;AX691,R_EAbs,"&gt;"&amp;AW691,R_OKey,1)-1,0)</f>
        <v>0</v>
      </c>
      <c r="BA691" s="80">
        <f>IF(AY691=1,COUNTIFS(R_Emp,"&lt;&gt;"&amp;D691,R_SAbs,"&lt;"&amp;AX691,R_EAbs,"&gt;"&amp;AW691,R_OKey,1),0)</f>
        <v>0</v>
      </c>
      <c r="BB691" s="80">
        <f>IF(AND(AB691=1,D691="proMX"),IF(AND(MOD(Z691,CFG_BLK)=0,MOD(AA691,CFG_BLK)=0,MOD(AG691,CFG_BLK)=0,AG691&gt;0),1,0),1)</f>
        <v>1</v>
      </c>
      <c r="BC691" s="80" t="str">
        <f>IF(Y691=0,"",IF(NOT(ISNUMBER(B691)),"Falta fecha o fecha inválida",IF(D691="","Falta empresa",IF(AND(D691&lt;&gt;"Malcolm",D691&lt;&gt;"proMX"),"Empresa inválida",IF(OR(INT(B691)&lt;CFG_PSTART,INT(B691)&gt;CFG_PEND),"Fecha fuera del período",IF(OR(NOT(ISNUMBER(Z691)),NOT(ISNUMBER(AA691))),"Falta hora inicio/fin o formato inválido",IF(AB691=0,"Hora inicio = hora fin",IF(AE691&lt;0,"Descanso inválido",IF(AE691&gt;=AD691,"Descanso ≥ duración",IF(AV691=1,"Registro duplicado",IF(AZ691&gt;0,"Se superpone con otro registro "&amp;D691,IF(BB691=0,"inicio, fin y duración neta deben ser múltiplos de "&amp;CFG_BLK&amp;" min",""))))))))))))</f>
        <v/>
      </c>
      <c r="BD691" s="80">
        <f>IF(AND(Y691=1,BC691=""),1,0)</f>
        <v>0</v>
      </c>
      <c r="BE691" s="80">
        <f>IF(AND(BD691=1,AU691=1),1,0)</f>
        <v>0</v>
      </c>
      <c r="BF691" s="80" t="str">
        <f>IF(AND(D691="proMX",BD691=1),IF(R691="","Draft",R691),"")</f>
        <v/>
      </c>
      <c r="BG691" s="80">
        <f>IF(BD691=1,ROUND(AG691/60,6),0)</f>
        <v>0</v>
      </c>
      <c r="BH691" s="80">
        <f>IF(BE691=1,ROUND(AG691/60,6),0)</f>
        <v>0</v>
      </c>
      <c r="BI691" s="80">
        <f>IF(BE691=1,ROUND(AP691/60,6),0)</f>
        <v>0</v>
      </c>
      <c r="BJ691" s="80">
        <f>IF(BE691=1,ROUND(AQ691/60,6),0)</f>
        <v>0</v>
      </c>
      <c r="BK691" s="80">
        <f>IF(BE691=1,ROUND((AR691+AS691)/60,6),0)</f>
        <v>0</v>
      </c>
      <c r="BL691" s="80">
        <f>ROUND(BH691-BK691,6)</f>
        <v>0</v>
      </c>
      <c r="BM691" s="80">
        <f>IF(BE691=1,ROUND(AR691/60,6),0)</f>
        <v>0</v>
      </c>
      <c r="BN691" s="80">
        <f>ROUND(BI691-BM691,6)</f>
        <v>0</v>
      </c>
      <c r="BO691" s="80">
        <f>IF(BE691=1,ROUND(AS691/60,6),0)</f>
        <v>0</v>
      </c>
      <c r="BP691" s="80">
        <f>ROUND(BJ691-BO691,6)</f>
        <v>0</v>
      </c>
      <c r="BQ691" s="80">
        <f>IF(BE691=1,AW691,0)</f>
        <v>0</v>
      </c>
      <c r="BR691" s="80">
        <f>IF(BE691=1,AX691,0)</f>
        <v>0</v>
      </c>
      <c r="BS691" s="80">
        <f>IF(AND(BE691=1,D691="Malcolm",BA691&gt;0),MIN(BH691,SUMPRODUCT((R_Emp="proMX")*(R_EN&gt;0)*((R_EN-(R_EN&gt;BR691)*(R_EN-BR691))&gt;(R_SN+(R_SN&lt;BQ691)*(BQ691-R_SN)))*((R_EN-(R_EN&gt;BR691)*(R_EN-BR691))-(R_SN+(R_SN&lt;BQ691)*(BQ691-R_SN))))/60),0)</f>
        <v>0</v>
      </c>
      <c r="BT691" s="80">
        <f>IF(AND(BE691=1,D691="proMX"),ROUND(BI691*CFG_RATE+BJ691*CFG_OTRATE,6),0)</f>
        <v>0</v>
      </c>
      <c r="BU691" s="80">
        <f>IF(AND(BD691=1,D691="proMX"),ROUND(AG691/CFG_BLK,6),0)</f>
        <v>0</v>
      </c>
      <c r="BV691" s="80" t="str">
        <f>IF(BF691="Approved",IF(ISNUMBER(T691),INT(T691),INT(B691)),"")</f>
        <v/>
      </c>
      <c r="BW691" s="80">
        <f>IF(ISNUMBER(B691),IF(DB_MON="Todos",1,IF(AND(INT(B691)&gt;=DB_MS,INT(B691)&lt;=DB_ME),1,0)),0)</f>
        <v>0</v>
      </c>
      <c r="BX691" s="80">
        <f>IF(DB_PROJ="Todos",1,IF(E691&amp;""=DB_PROJ&amp;"",1,0))</f>
        <v>1</v>
      </c>
      <c r="BY691" s="80">
        <f>BW691*BX691</f>
        <v>0</v>
      </c>
      <c r="BZ691" s="80" t="str">
        <f>IF(Y691=1,F691&amp;IF(AND(F691&amp;""&lt;&gt;"",E691&amp;""&lt;&gt;"")," · ","")&amp;E691,"")</f>
        <v/>
      </c>
      <c r="CA691" s="80" t="str">
        <f>IF(AND(BD691=1,E691&amp;""&lt;&gt;""),IF(COUNTIFS($E$5:E690,E691,$BD$5:BD690,1)=0,MAX($CA$5:CA690)+1,""),"")</f>
        <v/>
      </c>
      <c r="CB691" s="80" t="str">
        <f>IF(AND(BE691=1,D691="Malcolm",E691&amp;""&lt;&gt;""),IF(COUNTIFS($D$5:D690,"Malcolm",$E$5:E690,E691,$BE$5:BE690,1)=0,MAX($CB$5:CB690)+1,""),"")</f>
        <v/>
      </c>
      <c r="CC691" s="80" t="str">
        <f>IF(AND(BD691=1,D691="proMX",E691&amp;""&lt;&gt;""),IF(COUNTIFS($D$5:D690,"proMX",$E$5:E690,E691,$BD$5:BD690,1)=0,MAX($CC$5:CC690)+1,""),"")</f>
        <v/>
      </c>
      <c r="CD691" s="80" t="str">
        <f>IF(AND(BE691=1,D691="Malcolm",F691&amp;""&lt;&gt;""),IF(COUNTIFS($D$5:D690,"Malcolm",$F$5:F690,F691,$BE$5:BE690,1)=0,MAX($CD$5:CD690)+1,""),"")</f>
        <v/>
      </c>
      <c r="CE691" s="80" t="str">
        <f>IF(AND(BD691=1,D691="proMX",F691&amp;""&lt;&gt;""),IF(COUNTIFS($D$5:D690,"proMX",$F$5:F690,F691,$BD$5:BD690,1)=0,MAX($CE$5:CE690)+1,""),"")</f>
        <v/>
      </c>
      <c r="CF691" s="80" t="str">
        <f>IF(AND(D691="proMX",BD691=1),IF(OR(BF691="Draft",BF691="Submitted",BF691="Returned",BF691="Recall Requested"),MAX($CF$5:CF690)+1,""),"")</f>
        <v/>
      </c>
      <c r="CG691" s="80">
        <f>IF(BD691=0,0,IF(D691="Malcolm",1,MATCH(BF691,{"Draft","Submitted","Approved","Returned","Recall Requested","Cancelled"},0)+1))</f>
        <v>0</v>
      </c>
      <c r="CH691" s="80">
        <f>IF(AND(BF691="Submitted",ISNUMBER(V691)),IF(V691&gt;CFG_MAXD,1,0),0)</f>
        <v>0</v>
      </c>
    </row>
    <row r="692">
      <c r="A692" s="71" t="str">
        <f>IF(Y692=1,ROW()-5,"")</f>
        <v/>
      </c>
      <c r="B692" s="72" t="n"/>
      <c r="C692" s="71" t="str">
        <f>IF(ISNUMBER(B692),CHOOSE(WEEKDAY(B692,2),"Lun","Mar","Mié","Jue","Vie","Sáb","Dom"),"")</f>
        <v/>
      </c>
      <c r="D692" s="73" t="n"/>
      <c r="E692" s="74" t="n"/>
      <c r="F692" s="74" t="n"/>
      <c r="G692" s="74" t="n"/>
      <c r="H692" s="75" t="n"/>
      <c r="I692" s="75" t="n"/>
      <c r="J692" s="76" t="n"/>
      <c r="K692" s="77" t="str">
        <f>IF(AB692=1,ROUND(AG692/60,4),"")</f>
        <v/>
      </c>
      <c r="L692" s="77" t="str">
        <f>IF(BD692=1,ROUND(AP692/60,4),"")</f>
        <v/>
      </c>
      <c r="M692" s="77" t="str">
        <f>IF(BD692=1,ROUND(AQ692/60,4),"")</f>
        <v/>
      </c>
      <c r="N692" s="71" t="str">
        <f>IF(AND(D692="proMX",AB692=1),ROUND(AG692/CFG_BLK,2),"")</f>
        <v/>
      </c>
      <c r="O692" s="77" t="str">
        <f>IF(D692="proMX",IF(BD692=1,ROUND(AG692/60,4),0),"")</f>
        <v/>
      </c>
      <c r="P692" s="78" t="str">
        <f>IF(Y692=0,"",IF(BD692=1,"OK",IF(D692="proMX","Revisar bloques: ","Revisar: ")&amp;BC692))</f>
        <v/>
      </c>
      <c r="Q692" s="78" t="str">
        <f>IF(NOT(ISNUMBER(B692)),"",IF(COUNTIFS(FER_F,INT(B692))&gt;0,"Feriado"&amp;IF(AH692=1," (laborable)"," (no laborable)"),IF(AH692=1,"Laborable",IF(WEEKDAY(B692,2)&gt;5,"Fin de semana","No laborable"))))</f>
        <v/>
      </c>
      <c r="R692" s="73" t="n"/>
      <c r="S692" s="72" t="n"/>
      <c r="T692" s="72" t="n"/>
      <c r="U692" s="74" t="n"/>
      <c r="V692" s="79" t="str">
        <f>IF(AND(D692="proMX",OR(R692="Submitted",R692="Recall Requested"),ISNUMBER(S692)),CFG_TODAY-INT(S692),"")</f>
        <v/>
      </c>
      <c r="W692" s="78" t="str">
        <f>IF(BD692=0,"",IF(BA692&gt;0,"⚠ Se superpone con un registro de la otra empresa",IF(D692="Malcolm",IF(COUNTA(R692,S692,T692)&gt;0,"Estado/fechas proMX se ignoran en Malcolm",""),IF(BF692="Cancelled","Cancelado: excluido de totales",IF(R692="","Sin estado: se trata como Draft",IF(BF692="Submitted",IF(ISNUMBER(V692),IF(V692&gt;CFG_MAXD,"⚠ "&amp;V692&amp;" días en Submitted (máx. "&amp;CFG_MAXD&amp;")",""),"Falta fecha de envío"),IF(BF692="Returned","⚠ Devuelto: corregir y reenviar",IF(BF692="Recall Requested","Retirada solicitada: pendiente",IF(AND(BF692="Approved",NOT(ISNUMBER(T692))),"Falta fecha de aprobación",IF(AND(ISNUMBER(S692),ISNUMBER(T692),T692&lt;S692),"Aprobación anterior al envío","")))))))))</f>
        <v/>
      </c>
      <c r="Y692" s="80">
        <f>IF(COUNTA(B692,D692,E692,F692,G692,H692,I692,J692,R692,S692,T692)&gt;0,1,0)</f>
        <v>0</v>
      </c>
      <c r="Z692" s="80" t="str">
        <f>IF(AND(ISNUMBER(H692),H692&gt;=0,H692&lt;1),ROUND(H692*1440,0),"")</f>
        <v/>
      </c>
      <c r="AA692" s="80" t="str">
        <f>IF(AND(ISNUMBER(I692),I692&gt;=0,I692&lt;1),ROUND(I692*1440,0),"")</f>
        <v/>
      </c>
      <c r="AB692" s="80">
        <f>IF(AND(ISNUMBER(B692),D692&lt;&gt;"",ISNUMBER(Z692),ISNUMBER(AA692)),IF(Z692=AA692,0,1),0)</f>
        <v>0</v>
      </c>
      <c r="AC692" s="80">
        <f>IF(AB692=1,IF(AA692&lt;Z692,1,0),0)</f>
        <v>0</v>
      </c>
      <c r="AD692" s="80">
        <f>IF(AB692=1,IF(AC692=1,1440-Z692+AA692,AA692-Z692),0)</f>
        <v>0</v>
      </c>
      <c r="AE692" s="80">
        <f>IF(J692="",0,IF(ISNUMBER(J692),J692,-1))</f>
        <v>0</v>
      </c>
      <c r="AF692" s="80">
        <f>MIN(MAX(0,AE692),AD692)</f>
        <v>0</v>
      </c>
      <c r="AG692" s="80">
        <f>MAX(0,AD692-MAX(0,AE692))</f>
        <v>0</v>
      </c>
      <c r="AH692" s="80">
        <f>IF(ISNUMBER(B692),IF(AND(INDEX(CFG_WDAYS,WEEKDAY(INT(B692),2))="Sí",IF(D692="proMX",COUNTIFS(FER_F,INT(B692),FER_NLP,"Sí"),COUNTIFS(FER_F,INT(B692),FER_NLM,"Sí"))=0),1,0),0)</f>
        <v>0</v>
      </c>
      <c r="AI692" s="80">
        <f>IF(AC692=1,IF(AND(INDEX(CFG_WDAYS,WEEKDAY(INT(B692)+1,2))="Sí",IF(D692="proMX",COUNTIFS(FER_F,INT(B692)+1,FER_NLP,"Sí"),COUNTIFS(FER_F,INT(B692)+1,FER_NLM,"Sí"))=0),1,0),0)</f>
        <v>0</v>
      </c>
      <c r="AJ692" s="80">
        <f>IF(AC692=1,1440-Z692,AD692)</f>
        <v>0</v>
      </c>
      <c r="AK692" s="80">
        <f>IF(AND(AB692=1,AH692=1),MAX(0,MIN(IF(AC692=1,1440,AA692),CFG_WEM)-MAX(Z692,CFG_WSM)),0)</f>
        <v>0</v>
      </c>
      <c r="AL692" s="80">
        <f>IF(AND(AC692=1,AI692=1),MAX(0,MIN(AA692,CFG_WEM)-CFG_WSM),0)</f>
        <v>0</v>
      </c>
      <c r="AM692" s="80">
        <f>AK692+AL692</f>
        <v>0</v>
      </c>
      <c r="AN692" s="80">
        <f>IF(CFG_BRK="Proporcional",IF(AD692=0,0,AF692*AM692/AD692),IF(CFG_BRK="Extras primero",MIN(AM692,MAX(0,AF692-(AD692-AM692))),MIN(AF692,AM692)))</f>
        <v>0</v>
      </c>
      <c r="AO692" s="80">
        <f>AF692-AN692</f>
        <v>0</v>
      </c>
      <c r="AP692" s="80">
        <f>AM692-AN692</f>
        <v>0</v>
      </c>
      <c r="AQ692" s="80">
        <f>AD692-AM692-AO692</f>
        <v>0</v>
      </c>
      <c r="AR692" s="80">
        <f>IF(AM692=0,0,AK692-AN692*AK692/AM692)</f>
        <v>0</v>
      </c>
      <c r="AS692" s="80">
        <f>IF(AD692-AM692=0,0,(AJ692-AK692)-AO692*(AJ692-AK692)/(AD692-AM692))</f>
        <v>0</v>
      </c>
      <c r="AT692" s="80" t="str">
        <f>IF(AC692=1,INT(B692)+1,"")</f>
        <v/>
      </c>
      <c r="AU692" s="80">
        <f>IF(AND(D692="proMX",R692="Cancelled"),0,1)</f>
        <v>1</v>
      </c>
      <c r="AV692" s="80">
        <f>IF(AND(AB692=1,AU692=1),IF(COUNTIFS($D$5:D691,D692,$B$5:B691,B692,$Z$5:Z691,Z692,$AA$5:AA691,AA692,$F$5:F691,F692&amp;"",$AU$5:AU691,1)&gt;0,1,0),0)</f>
        <v>0</v>
      </c>
      <c r="AW692" s="80" t="str">
        <f>IF(AB692=1,INT(B692)*1440+Z692,"")</f>
        <v/>
      </c>
      <c r="AX692" s="80" t="str">
        <f>IF(AB692=1,AW692+AD692,"")</f>
        <v/>
      </c>
      <c r="AY692" s="80">
        <f>IF(AND(AB692=1,AV692=0,AU692=1),1,0)</f>
        <v>0</v>
      </c>
      <c r="AZ692" s="80">
        <f>IF(AY692=1,COUNTIFS(R_Emp,D692,R_SAbs,"&lt;"&amp;AX692,R_EAbs,"&gt;"&amp;AW692,R_OKey,1)-1,0)</f>
        <v>0</v>
      </c>
      <c r="BA692" s="80">
        <f>IF(AY692=1,COUNTIFS(R_Emp,"&lt;&gt;"&amp;D692,R_SAbs,"&lt;"&amp;AX692,R_EAbs,"&gt;"&amp;AW692,R_OKey,1),0)</f>
        <v>0</v>
      </c>
      <c r="BB692" s="80">
        <f>IF(AND(AB692=1,D692="proMX"),IF(AND(MOD(Z692,CFG_BLK)=0,MOD(AA692,CFG_BLK)=0,MOD(AG692,CFG_BLK)=0,AG692&gt;0),1,0),1)</f>
        <v>1</v>
      </c>
      <c r="BC692" s="80" t="str">
        <f>IF(Y692=0,"",IF(NOT(ISNUMBER(B692)),"Falta fecha o fecha inválida",IF(D692="","Falta empresa",IF(AND(D692&lt;&gt;"Malcolm",D692&lt;&gt;"proMX"),"Empresa inválida",IF(OR(INT(B692)&lt;CFG_PSTART,INT(B692)&gt;CFG_PEND),"Fecha fuera del período",IF(OR(NOT(ISNUMBER(Z692)),NOT(ISNUMBER(AA692))),"Falta hora inicio/fin o formato inválido",IF(AB692=0,"Hora inicio = hora fin",IF(AE692&lt;0,"Descanso inválido",IF(AE692&gt;=AD692,"Descanso ≥ duración",IF(AV692=1,"Registro duplicado",IF(AZ692&gt;0,"Se superpone con otro registro "&amp;D692,IF(BB692=0,"inicio, fin y duración neta deben ser múltiplos de "&amp;CFG_BLK&amp;" min",""))))))))))))</f>
        <v/>
      </c>
      <c r="BD692" s="80">
        <f>IF(AND(Y692=1,BC692=""),1,0)</f>
        <v>0</v>
      </c>
      <c r="BE692" s="80">
        <f>IF(AND(BD692=1,AU692=1),1,0)</f>
        <v>0</v>
      </c>
      <c r="BF692" s="80" t="str">
        <f>IF(AND(D692="proMX",BD692=1),IF(R692="","Draft",R692),"")</f>
        <v/>
      </c>
      <c r="BG692" s="80">
        <f>IF(BD692=1,ROUND(AG692/60,6),0)</f>
        <v>0</v>
      </c>
      <c r="BH692" s="80">
        <f>IF(BE692=1,ROUND(AG692/60,6),0)</f>
        <v>0</v>
      </c>
      <c r="BI692" s="80">
        <f>IF(BE692=1,ROUND(AP692/60,6),0)</f>
        <v>0</v>
      </c>
      <c r="BJ692" s="80">
        <f>IF(BE692=1,ROUND(AQ692/60,6),0)</f>
        <v>0</v>
      </c>
      <c r="BK692" s="80">
        <f>IF(BE692=1,ROUND((AR692+AS692)/60,6),0)</f>
        <v>0</v>
      </c>
      <c r="BL692" s="80">
        <f>ROUND(BH692-BK692,6)</f>
        <v>0</v>
      </c>
      <c r="BM692" s="80">
        <f>IF(BE692=1,ROUND(AR692/60,6),0)</f>
        <v>0</v>
      </c>
      <c r="BN692" s="80">
        <f>ROUND(BI692-BM692,6)</f>
        <v>0</v>
      </c>
      <c r="BO692" s="80">
        <f>IF(BE692=1,ROUND(AS692/60,6),0)</f>
        <v>0</v>
      </c>
      <c r="BP692" s="80">
        <f>ROUND(BJ692-BO692,6)</f>
        <v>0</v>
      </c>
      <c r="BQ692" s="80">
        <f>IF(BE692=1,AW692,0)</f>
        <v>0</v>
      </c>
      <c r="BR692" s="80">
        <f>IF(BE692=1,AX692,0)</f>
        <v>0</v>
      </c>
      <c r="BS692" s="80">
        <f>IF(AND(BE692=1,D692="Malcolm",BA692&gt;0),MIN(BH692,SUMPRODUCT((R_Emp="proMX")*(R_EN&gt;0)*((R_EN-(R_EN&gt;BR692)*(R_EN-BR692))&gt;(R_SN+(R_SN&lt;BQ692)*(BQ692-R_SN)))*((R_EN-(R_EN&gt;BR692)*(R_EN-BR692))-(R_SN+(R_SN&lt;BQ692)*(BQ692-R_SN))))/60),0)</f>
        <v>0</v>
      </c>
      <c r="BT692" s="80">
        <f>IF(AND(BE692=1,D692="proMX"),ROUND(BI692*CFG_RATE+BJ692*CFG_OTRATE,6),0)</f>
        <v>0</v>
      </c>
      <c r="BU692" s="80">
        <f>IF(AND(BD692=1,D692="proMX"),ROUND(AG692/CFG_BLK,6),0)</f>
        <v>0</v>
      </c>
      <c r="BV692" s="80" t="str">
        <f>IF(BF692="Approved",IF(ISNUMBER(T692),INT(T692),INT(B692)),"")</f>
        <v/>
      </c>
      <c r="BW692" s="80">
        <f>IF(ISNUMBER(B692),IF(DB_MON="Todos",1,IF(AND(INT(B692)&gt;=DB_MS,INT(B692)&lt;=DB_ME),1,0)),0)</f>
        <v>0</v>
      </c>
      <c r="BX692" s="80">
        <f>IF(DB_PROJ="Todos",1,IF(E692&amp;""=DB_PROJ&amp;"",1,0))</f>
        <v>1</v>
      </c>
      <c r="BY692" s="80">
        <f>BW692*BX692</f>
        <v>0</v>
      </c>
      <c r="BZ692" s="80" t="str">
        <f>IF(Y692=1,F692&amp;IF(AND(F692&amp;""&lt;&gt;"",E692&amp;""&lt;&gt;"")," · ","")&amp;E692,"")</f>
        <v/>
      </c>
      <c r="CA692" s="80" t="str">
        <f>IF(AND(BD692=1,E692&amp;""&lt;&gt;""),IF(COUNTIFS($E$5:E691,E692,$BD$5:BD691,1)=0,MAX($CA$5:CA691)+1,""),"")</f>
        <v/>
      </c>
      <c r="CB692" s="80" t="str">
        <f>IF(AND(BE692=1,D692="Malcolm",E692&amp;""&lt;&gt;""),IF(COUNTIFS($D$5:D691,"Malcolm",$E$5:E691,E692,$BE$5:BE691,1)=0,MAX($CB$5:CB691)+1,""),"")</f>
        <v/>
      </c>
      <c r="CC692" s="80" t="str">
        <f>IF(AND(BD692=1,D692="proMX",E692&amp;""&lt;&gt;""),IF(COUNTIFS($D$5:D691,"proMX",$E$5:E691,E692,$BD$5:BD691,1)=0,MAX($CC$5:CC691)+1,""),"")</f>
        <v/>
      </c>
      <c r="CD692" s="80" t="str">
        <f>IF(AND(BE692=1,D692="Malcolm",F692&amp;""&lt;&gt;""),IF(COUNTIFS($D$5:D691,"Malcolm",$F$5:F691,F692,$BE$5:BE691,1)=0,MAX($CD$5:CD691)+1,""),"")</f>
        <v/>
      </c>
      <c r="CE692" s="80" t="str">
        <f>IF(AND(BD692=1,D692="proMX",F692&amp;""&lt;&gt;""),IF(COUNTIFS($D$5:D691,"proMX",$F$5:F691,F692,$BD$5:BD691,1)=0,MAX($CE$5:CE691)+1,""),"")</f>
        <v/>
      </c>
      <c r="CF692" s="80" t="str">
        <f>IF(AND(D692="proMX",BD692=1),IF(OR(BF692="Draft",BF692="Submitted",BF692="Returned",BF692="Recall Requested"),MAX($CF$5:CF691)+1,""),"")</f>
        <v/>
      </c>
      <c r="CG692" s="80">
        <f>IF(BD692=0,0,IF(D692="Malcolm",1,MATCH(BF692,{"Draft","Submitted","Approved","Returned","Recall Requested","Cancelled"},0)+1))</f>
        <v>0</v>
      </c>
      <c r="CH692" s="80">
        <f>IF(AND(BF692="Submitted",ISNUMBER(V692)),IF(V692&gt;CFG_MAXD,1,0),0)</f>
        <v>0</v>
      </c>
    </row>
    <row r="693">
      <c r="A693" s="71" t="str">
        <f>IF(Y693=1,ROW()-5,"")</f>
        <v/>
      </c>
      <c r="B693" s="72" t="n"/>
      <c r="C693" s="71" t="str">
        <f>IF(ISNUMBER(B693),CHOOSE(WEEKDAY(B693,2),"Lun","Mar","Mié","Jue","Vie","Sáb","Dom"),"")</f>
        <v/>
      </c>
      <c r="D693" s="73" t="n"/>
      <c r="E693" s="74" t="n"/>
      <c r="F693" s="74" t="n"/>
      <c r="G693" s="74" t="n"/>
      <c r="H693" s="75" t="n"/>
      <c r="I693" s="75" t="n"/>
      <c r="J693" s="76" t="n"/>
      <c r="K693" s="77" t="str">
        <f>IF(AB693=1,ROUND(AG693/60,4),"")</f>
        <v/>
      </c>
      <c r="L693" s="77" t="str">
        <f>IF(BD693=1,ROUND(AP693/60,4),"")</f>
        <v/>
      </c>
      <c r="M693" s="77" t="str">
        <f>IF(BD693=1,ROUND(AQ693/60,4),"")</f>
        <v/>
      </c>
      <c r="N693" s="71" t="str">
        <f>IF(AND(D693="proMX",AB693=1),ROUND(AG693/CFG_BLK,2),"")</f>
        <v/>
      </c>
      <c r="O693" s="77" t="str">
        <f>IF(D693="proMX",IF(BD693=1,ROUND(AG693/60,4),0),"")</f>
        <v/>
      </c>
      <c r="P693" s="78" t="str">
        <f>IF(Y693=0,"",IF(BD693=1,"OK",IF(D693="proMX","Revisar bloques: ","Revisar: ")&amp;BC693))</f>
        <v/>
      </c>
      <c r="Q693" s="78" t="str">
        <f>IF(NOT(ISNUMBER(B693)),"",IF(COUNTIFS(FER_F,INT(B693))&gt;0,"Feriado"&amp;IF(AH693=1," (laborable)"," (no laborable)"),IF(AH693=1,"Laborable",IF(WEEKDAY(B693,2)&gt;5,"Fin de semana","No laborable"))))</f>
        <v/>
      </c>
      <c r="R693" s="73" t="n"/>
      <c r="S693" s="72" t="n"/>
      <c r="T693" s="72" t="n"/>
      <c r="U693" s="74" t="n"/>
      <c r="V693" s="79" t="str">
        <f>IF(AND(D693="proMX",OR(R693="Submitted",R693="Recall Requested"),ISNUMBER(S693)),CFG_TODAY-INT(S693),"")</f>
        <v/>
      </c>
      <c r="W693" s="78" t="str">
        <f>IF(BD693=0,"",IF(BA693&gt;0,"⚠ Se superpone con un registro de la otra empresa",IF(D693="Malcolm",IF(COUNTA(R693,S693,T693)&gt;0,"Estado/fechas proMX se ignoran en Malcolm",""),IF(BF693="Cancelled","Cancelado: excluido de totales",IF(R693="","Sin estado: se trata como Draft",IF(BF693="Submitted",IF(ISNUMBER(V693),IF(V693&gt;CFG_MAXD,"⚠ "&amp;V693&amp;" días en Submitted (máx. "&amp;CFG_MAXD&amp;")",""),"Falta fecha de envío"),IF(BF693="Returned","⚠ Devuelto: corregir y reenviar",IF(BF693="Recall Requested","Retirada solicitada: pendiente",IF(AND(BF693="Approved",NOT(ISNUMBER(T693))),"Falta fecha de aprobación",IF(AND(ISNUMBER(S693),ISNUMBER(T693),T693&lt;S693),"Aprobación anterior al envío","")))))))))</f>
        <v/>
      </c>
      <c r="Y693" s="80">
        <f>IF(COUNTA(B693,D693,E693,F693,G693,H693,I693,J693,R693,S693,T693)&gt;0,1,0)</f>
        <v>0</v>
      </c>
      <c r="Z693" s="80" t="str">
        <f>IF(AND(ISNUMBER(H693),H693&gt;=0,H693&lt;1),ROUND(H693*1440,0),"")</f>
        <v/>
      </c>
      <c r="AA693" s="80" t="str">
        <f>IF(AND(ISNUMBER(I693),I693&gt;=0,I693&lt;1),ROUND(I693*1440,0),"")</f>
        <v/>
      </c>
      <c r="AB693" s="80">
        <f>IF(AND(ISNUMBER(B693),D693&lt;&gt;"",ISNUMBER(Z693),ISNUMBER(AA693)),IF(Z693=AA693,0,1),0)</f>
        <v>0</v>
      </c>
      <c r="AC693" s="80">
        <f>IF(AB693=1,IF(AA693&lt;Z693,1,0),0)</f>
        <v>0</v>
      </c>
      <c r="AD693" s="80">
        <f>IF(AB693=1,IF(AC693=1,1440-Z693+AA693,AA693-Z693),0)</f>
        <v>0</v>
      </c>
      <c r="AE693" s="80">
        <f>IF(J693="",0,IF(ISNUMBER(J693),J693,-1))</f>
        <v>0</v>
      </c>
      <c r="AF693" s="80">
        <f>MIN(MAX(0,AE693),AD693)</f>
        <v>0</v>
      </c>
      <c r="AG693" s="80">
        <f>MAX(0,AD693-MAX(0,AE693))</f>
        <v>0</v>
      </c>
      <c r="AH693" s="80">
        <f>IF(ISNUMBER(B693),IF(AND(INDEX(CFG_WDAYS,WEEKDAY(INT(B693),2))="Sí",IF(D693="proMX",COUNTIFS(FER_F,INT(B693),FER_NLP,"Sí"),COUNTIFS(FER_F,INT(B693),FER_NLM,"Sí"))=0),1,0),0)</f>
        <v>0</v>
      </c>
      <c r="AI693" s="80">
        <f>IF(AC693=1,IF(AND(INDEX(CFG_WDAYS,WEEKDAY(INT(B693)+1,2))="Sí",IF(D693="proMX",COUNTIFS(FER_F,INT(B693)+1,FER_NLP,"Sí"),COUNTIFS(FER_F,INT(B693)+1,FER_NLM,"Sí"))=0),1,0),0)</f>
        <v>0</v>
      </c>
      <c r="AJ693" s="80">
        <f>IF(AC693=1,1440-Z693,AD693)</f>
        <v>0</v>
      </c>
      <c r="AK693" s="80">
        <f>IF(AND(AB693=1,AH693=1),MAX(0,MIN(IF(AC693=1,1440,AA693),CFG_WEM)-MAX(Z693,CFG_WSM)),0)</f>
        <v>0</v>
      </c>
      <c r="AL693" s="80">
        <f>IF(AND(AC693=1,AI693=1),MAX(0,MIN(AA693,CFG_WEM)-CFG_WSM),0)</f>
        <v>0</v>
      </c>
      <c r="AM693" s="80">
        <f>AK693+AL693</f>
        <v>0</v>
      </c>
      <c r="AN693" s="80">
        <f>IF(CFG_BRK="Proporcional",IF(AD693=0,0,AF693*AM693/AD693),IF(CFG_BRK="Extras primero",MIN(AM693,MAX(0,AF693-(AD693-AM693))),MIN(AF693,AM693)))</f>
        <v>0</v>
      </c>
      <c r="AO693" s="80">
        <f>AF693-AN693</f>
        <v>0</v>
      </c>
      <c r="AP693" s="80">
        <f>AM693-AN693</f>
        <v>0</v>
      </c>
      <c r="AQ693" s="80">
        <f>AD693-AM693-AO693</f>
        <v>0</v>
      </c>
      <c r="AR693" s="80">
        <f>IF(AM693=0,0,AK693-AN693*AK693/AM693)</f>
        <v>0</v>
      </c>
      <c r="AS693" s="80">
        <f>IF(AD693-AM693=0,0,(AJ693-AK693)-AO693*(AJ693-AK693)/(AD693-AM693))</f>
        <v>0</v>
      </c>
      <c r="AT693" s="80" t="str">
        <f>IF(AC693=1,INT(B693)+1,"")</f>
        <v/>
      </c>
      <c r="AU693" s="80">
        <f>IF(AND(D693="proMX",R693="Cancelled"),0,1)</f>
        <v>1</v>
      </c>
      <c r="AV693" s="80">
        <f>IF(AND(AB693=1,AU693=1),IF(COUNTIFS($D$5:D692,D693,$B$5:B692,B693,$Z$5:Z692,Z693,$AA$5:AA692,AA693,$F$5:F692,F693&amp;"",$AU$5:AU692,1)&gt;0,1,0),0)</f>
        <v>0</v>
      </c>
      <c r="AW693" s="80" t="str">
        <f>IF(AB693=1,INT(B693)*1440+Z693,"")</f>
        <v/>
      </c>
      <c r="AX693" s="80" t="str">
        <f>IF(AB693=1,AW693+AD693,"")</f>
        <v/>
      </c>
      <c r="AY693" s="80">
        <f>IF(AND(AB693=1,AV693=0,AU693=1),1,0)</f>
        <v>0</v>
      </c>
      <c r="AZ693" s="80">
        <f>IF(AY693=1,COUNTIFS(R_Emp,D693,R_SAbs,"&lt;"&amp;AX693,R_EAbs,"&gt;"&amp;AW693,R_OKey,1)-1,0)</f>
        <v>0</v>
      </c>
      <c r="BA693" s="80">
        <f>IF(AY693=1,COUNTIFS(R_Emp,"&lt;&gt;"&amp;D693,R_SAbs,"&lt;"&amp;AX693,R_EAbs,"&gt;"&amp;AW693,R_OKey,1),0)</f>
        <v>0</v>
      </c>
      <c r="BB693" s="80">
        <f>IF(AND(AB693=1,D693="proMX"),IF(AND(MOD(Z693,CFG_BLK)=0,MOD(AA693,CFG_BLK)=0,MOD(AG693,CFG_BLK)=0,AG693&gt;0),1,0),1)</f>
        <v>1</v>
      </c>
      <c r="BC693" s="80" t="str">
        <f>IF(Y693=0,"",IF(NOT(ISNUMBER(B693)),"Falta fecha o fecha inválida",IF(D693="","Falta empresa",IF(AND(D693&lt;&gt;"Malcolm",D693&lt;&gt;"proMX"),"Empresa inválida",IF(OR(INT(B693)&lt;CFG_PSTART,INT(B693)&gt;CFG_PEND),"Fecha fuera del período",IF(OR(NOT(ISNUMBER(Z693)),NOT(ISNUMBER(AA693))),"Falta hora inicio/fin o formato inválido",IF(AB693=0,"Hora inicio = hora fin",IF(AE693&lt;0,"Descanso inválido",IF(AE693&gt;=AD693,"Descanso ≥ duración",IF(AV693=1,"Registro duplicado",IF(AZ693&gt;0,"Se superpone con otro registro "&amp;D693,IF(BB693=0,"inicio, fin y duración neta deben ser múltiplos de "&amp;CFG_BLK&amp;" min",""))))))))))))</f>
        <v/>
      </c>
      <c r="BD693" s="80">
        <f>IF(AND(Y693=1,BC693=""),1,0)</f>
        <v>0</v>
      </c>
      <c r="BE693" s="80">
        <f>IF(AND(BD693=1,AU693=1),1,0)</f>
        <v>0</v>
      </c>
      <c r="BF693" s="80" t="str">
        <f>IF(AND(D693="proMX",BD693=1),IF(R693="","Draft",R693),"")</f>
        <v/>
      </c>
      <c r="BG693" s="80">
        <f>IF(BD693=1,ROUND(AG693/60,6),0)</f>
        <v>0</v>
      </c>
      <c r="BH693" s="80">
        <f>IF(BE693=1,ROUND(AG693/60,6),0)</f>
        <v>0</v>
      </c>
      <c r="BI693" s="80">
        <f>IF(BE693=1,ROUND(AP693/60,6),0)</f>
        <v>0</v>
      </c>
      <c r="BJ693" s="80">
        <f>IF(BE693=1,ROUND(AQ693/60,6),0)</f>
        <v>0</v>
      </c>
      <c r="BK693" s="80">
        <f>IF(BE693=1,ROUND((AR693+AS693)/60,6),0)</f>
        <v>0</v>
      </c>
      <c r="BL693" s="80">
        <f>ROUND(BH693-BK693,6)</f>
        <v>0</v>
      </c>
      <c r="BM693" s="80">
        <f>IF(BE693=1,ROUND(AR693/60,6),0)</f>
        <v>0</v>
      </c>
      <c r="BN693" s="80">
        <f>ROUND(BI693-BM693,6)</f>
        <v>0</v>
      </c>
      <c r="BO693" s="80">
        <f>IF(BE693=1,ROUND(AS693/60,6),0)</f>
        <v>0</v>
      </c>
      <c r="BP693" s="80">
        <f>ROUND(BJ693-BO693,6)</f>
        <v>0</v>
      </c>
      <c r="BQ693" s="80">
        <f>IF(BE693=1,AW693,0)</f>
        <v>0</v>
      </c>
      <c r="BR693" s="80">
        <f>IF(BE693=1,AX693,0)</f>
        <v>0</v>
      </c>
      <c r="BS693" s="80">
        <f>IF(AND(BE693=1,D693="Malcolm",BA693&gt;0),MIN(BH693,SUMPRODUCT((R_Emp="proMX")*(R_EN&gt;0)*((R_EN-(R_EN&gt;BR693)*(R_EN-BR693))&gt;(R_SN+(R_SN&lt;BQ693)*(BQ693-R_SN)))*((R_EN-(R_EN&gt;BR693)*(R_EN-BR693))-(R_SN+(R_SN&lt;BQ693)*(BQ693-R_SN))))/60),0)</f>
        <v>0</v>
      </c>
      <c r="BT693" s="80">
        <f>IF(AND(BE693=1,D693="proMX"),ROUND(BI693*CFG_RATE+BJ693*CFG_OTRATE,6),0)</f>
        <v>0</v>
      </c>
      <c r="BU693" s="80">
        <f>IF(AND(BD693=1,D693="proMX"),ROUND(AG693/CFG_BLK,6),0)</f>
        <v>0</v>
      </c>
      <c r="BV693" s="80" t="str">
        <f>IF(BF693="Approved",IF(ISNUMBER(T693),INT(T693),INT(B693)),"")</f>
        <v/>
      </c>
      <c r="BW693" s="80">
        <f>IF(ISNUMBER(B693),IF(DB_MON="Todos",1,IF(AND(INT(B693)&gt;=DB_MS,INT(B693)&lt;=DB_ME),1,0)),0)</f>
        <v>0</v>
      </c>
      <c r="BX693" s="80">
        <f>IF(DB_PROJ="Todos",1,IF(E693&amp;""=DB_PROJ&amp;"",1,0))</f>
        <v>1</v>
      </c>
      <c r="BY693" s="80">
        <f>BW693*BX693</f>
        <v>0</v>
      </c>
      <c r="BZ693" s="80" t="str">
        <f>IF(Y693=1,F693&amp;IF(AND(F693&amp;""&lt;&gt;"",E693&amp;""&lt;&gt;"")," · ","")&amp;E693,"")</f>
        <v/>
      </c>
      <c r="CA693" s="80" t="str">
        <f>IF(AND(BD693=1,E693&amp;""&lt;&gt;""),IF(COUNTIFS($E$5:E692,E693,$BD$5:BD692,1)=0,MAX($CA$5:CA692)+1,""),"")</f>
        <v/>
      </c>
      <c r="CB693" s="80" t="str">
        <f>IF(AND(BE693=1,D693="Malcolm",E693&amp;""&lt;&gt;""),IF(COUNTIFS($D$5:D692,"Malcolm",$E$5:E692,E693,$BE$5:BE692,1)=0,MAX($CB$5:CB692)+1,""),"")</f>
        <v/>
      </c>
      <c r="CC693" s="80" t="str">
        <f>IF(AND(BD693=1,D693="proMX",E693&amp;""&lt;&gt;""),IF(COUNTIFS($D$5:D692,"proMX",$E$5:E692,E693,$BD$5:BD692,1)=0,MAX($CC$5:CC692)+1,""),"")</f>
        <v/>
      </c>
      <c r="CD693" s="80" t="str">
        <f>IF(AND(BE693=1,D693="Malcolm",F693&amp;""&lt;&gt;""),IF(COUNTIFS($D$5:D692,"Malcolm",$F$5:F692,F693,$BE$5:BE692,1)=0,MAX($CD$5:CD692)+1,""),"")</f>
        <v/>
      </c>
      <c r="CE693" s="80" t="str">
        <f>IF(AND(BD693=1,D693="proMX",F693&amp;""&lt;&gt;""),IF(COUNTIFS($D$5:D692,"proMX",$F$5:F692,F693,$BD$5:BD692,1)=0,MAX($CE$5:CE692)+1,""),"")</f>
        <v/>
      </c>
      <c r="CF693" s="80" t="str">
        <f>IF(AND(D693="proMX",BD693=1),IF(OR(BF693="Draft",BF693="Submitted",BF693="Returned",BF693="Recall Requested"),MAX($CF$5:CF692)+1,""),"")</f>
        <v/>
      </c>
      <c r="CG693" s="80">
        <f>IF(BD693=0,0,IF(D693="Malcolm",1,MATCH(BF693,{"Draft","Submitted","Approved","Returned","Recall Requested","Cancelled"},0)+1))</f>
        <v>0</v>
      </c>
      <c r="CH693" s="80">
        <f>IF(AND(BF693="Submitted",ISNUMBER(V693)),IF(V693&gt;CFG_MAXD,1,0),0)</f>
        <v>0</v>
      </c>
    </row>
    <row r="694">
      <c r="A694" s="71" t="str">
        <f>IF(Y694=1,ROW()-5,"")</f>
        <v/>
      </c>
      <c r="B694" s="72" t="n"/>
      <c r="C694" s="71" t="str">
        <f>IF(ISNUMBER(B694),CHOOSE(WEEKDAY(B694,2),"Lun","Mar","Mié","Jue","Vie","Sáb","Dom"),"")</f>
        <v/>
      </c>
      <c r="D694" s="73" t="n"/>
      <c r="E694" s="74" t="n"/>
      <c r="F694" s="74" t="n"/>
      <c r="G694" s="74" t="n"/>
      <c r="H694" s="75" t="n"/>
      <c r="I694" s="75" t="n"/>
      <c r="J694" s="76" t="n"/>
      <c r="K694" s="77" t="str">
        <f>IF(AB694=1,ROUND(AG694/60,4),"")</f>
        <v/>
      </c>
      <c r="L694" s="77" t="str">
        <f>IF(BD694=1,ROUND(AP694/60,4),"")</f>
        <v/>
      </c>
      <c r="M694" s="77" t="str">
        <f>IF(BD694=1,ROUND(AQ694/60,4),"")</f>
        <v/>
      </c>
      <c r="N694" s="71" t="str">
        <f>IF(AND(D694="proMX",AB694=1),ROUND(AG694/CFG_BLK,2),"")</f>
        <v/>
      </c>
      <c r="O694" s="77" t="str">
        <f>IF(D694="proMX",IF(BD694=1,ROUND(AG694/60,4),0),"")</f>
        <v/>
      </c>
      <c r="P694" s="78" t="str">
        <f>IF(Y694=0,"",IF(BD694=1,"OK",IF(D694="proMX","Revisar bloques: ","Revisar: ")&amp;BC694))</f>
        <v/>
      </c>
      <c r="Q694" s="78" t="str">
        <f>IF(NOT(ISNUMBER(B694)),"",IF(COUNTIFS(FER_F,INT(B694))&gt;0,"Feriado"&amp;IF(AH694=1," (laborable)"," (no laborable)"),IF(AH694=1,"Laborable",IF(WEEKDAY(B694,2)&gt;5,"Fin de semana","No laborable"))))</f>
        <v/>
      </c>
      <c r="R694" s="73" t="n"/>
      <c r="S694" s="72" t="n"/>
      <c r="T694" s="72" t="n"/>
      <c r="U694" s="74" t="n"/>
      <c r="V694" s="79" t="str">
        <f>IF(AND(D694="proMX",OR(R694="Submitted",R694="Recall Requested"),ISNUMBER(S694)),CFG_TODAY-INT(S694),"")</f>
        <v/>
      </c>
      <c r="W694" s="78" t="str">
        <f>IF(BD694=0,"",IF(BA694&gt;0,"⚠ Se superpone con un registro de la otra empresa",IF(D694="Malcolm",IF(COUNTA(R694,S694,T694)&gt;0,"Estado/fechas proMX se ignoran en Malcolm",""),IF(BF694="Cancelled","Cancelado: excluido de totales",IF(R694="","Sin estado: se trata como Draft",IF(BF694="Submitted",IF(ISNUMBER(V694),IF(V694&gt;CFG_MAXD,"⚠ "&amp;V694&amp;" días en Submitted (máx. "&amp;CFG_MAXD&amp;")",""),"Falta fecha de envío"),IF(BF694="Returned","⚠ Devuelto: corregir y reenviar",IF(BF694="Recall Requested","Retirada solicitada: pendiente",IF(AND(BF694="Approved",NOT(ISNUMBER(T694))),"Falta fecha de aprobación",IF(AND(ISNUMBER(S694),ISNUMBER(T694),T694&lt;S694),"Aprobación anterior al envío","")))))))))</f>
        <v/>
      </c>
      <c r="Y694" s="80">
        <f>IF(COUNTA(B694,D694,E694,F694,G694,H694,I694,J694,R694,S694,T694)&gt;0,1,0)</f>
        <v>0</v>
      </c>
      <c r="Z694" s="80" t="str">
        <f>IF(AND(ISNUMBER(H694),H694&gt;=0,H694&lt;1),ROUND(H694*1440,0),"")</f>
        <v/>
      </c>
      <c r="AA694" s="80" t="str">
        <f>IF(AND(ISNUMBER(I694),I694&gt;=0,I694&lt;1),ROUND(I694*1440,0),"")</f>
        <v/>
      </c>
      <c r="AB694" s="80">
        <f>IF(AND(ISNUMBER(B694),D694&lt;&gt;"",ISNUMBER(Z694),ISNUMBER(AA694)),IF(Z694=AA694,0,1),0)</f>
        <v>0</v>
      </c>
      <c r="AC694" s="80">
        <f>IF(AB694=1,IF(AA694&lt;Z694,1,0),0)</f>
        <v>0</v>
      </c>
      <c r="AD694" s="80">
        <f>IF(AB694=1,IF(AC694=1,1440-Z694+AA694,AA694-Z694),0)</f>
        <v>0</v>
      </c>
      <c r="AE694" s="80">
        <f>IF(J694="",0,IF(ISNUMBER(J694),J694,-1))</f>
        <v>0</v>
      </c>
      <c r="AF694" s="80">
        <f>MIN(MAX(0,AE694),AD694)</f>
        <v>0</v>
      </c>
      <c r="AG694" s="80">
        <f>MAX(0,AD694-MAX(0,AE694))</f>
        <v>0</v>
      </c>
      <c r="AH694" s="80">
        <f>IF(ISNUMBER(B694),IF(AND(INDEX(CFG_WDAYS,WEEKDAY(INT(B694),2))="Sí",IF(D694="proMX",COUNTIFS(FER_F,INT(B694),FER_NLP,"Sí"),COUNTIFS(FER_F,INT(B694),FER_NLM,"Sí"))=0),1,0),0)</f>
        <v>0</v>
      </c>
      <c r="AI694" s="80">
        <f>IF(AC694=1,IF(AND(INDEX(CFG_WDAYS,WEEKDAY(INT(B694)+1,2))="Sí",IF(D694="proMX",COUNTIFS(FER_F,INT(B694)+1,FER_NLP,"Sí"),COUNTIFS(FER_F,INT(B694)+1,FER_NLM,"Sí"))=0),1,0),0)</f>
        <v>0</v>
      </c>
      <c r="AJ694" s="80">
        <f>IF(AC694=1,1440-Z694,AD694)</f>
        <v>0</v>
      </c>
      <c r="AK694" s="80">
        <f>IF(AND(AB694=1,AH694=1),MAX(0,MIN(IF(AC694=1,1440,AA694),CFG_WEM)-MAX(Z694,CFG_WSM)),0)</f>
        <v>0</v>
      </c>
      <c r="AL694" s="80">
        <f>IF(AND(AC694=1,AI694=1),MAX(0,MIN(AA694,CFG_WEM)-CFG_WSM),0)</f>
        <v>0</v>
      </c>
      <c r="AM694" s="80">
        <f>AK694+AL694</f>
        <v>0</v>
      </c>
      <c r="AN694" s="80">
        <f>IF(CFG_BRK="Proporcional",IF(AD694=0,0,AF694*AM694/AD694),IF(CFG_BRK="Extras primero",MIN(AM694,MAX(0,AF694-(AD694-AM694))),MIN(AF694,AM694)))</f>
        <v>0</v>
      </c>
      <c r="AO694" s="80">
        <f>AF694-AN694</f>
        <v>0</v>
      </c>
      <c r="AP694" s="80">
        <f>AM694-AN694</f>
        <v>0</v>
      </c>
      <c r="AQ694" s="80">
        <f>AD694-AM694-AO694</f>
        <v>0</v>
      </c>
      <c r="AR694" s="80">
        <f>IF(AM694=0,0,AK694-AN694*AK694/AM694)</f>
        <v>0</v>
      </c>
      <c r="AS694" s="80">
        <f>IF(AD694-AM694=0,0,(AJ694-AK694)-AO694*(AJ694-AK694)/(AD694-AM694))</f>
        <v>0</v>
      </c>
      <c r="AT694" s="80" t="str">
        <f>IF(AC694=1,INT(B694)+1,"")</f>
        <v/>
      </c>
      <c r="AU694" s="80">
        <f>IF(AND(D694="proMX",R694="Cancelled"),0,1)</f>
        <v>1</v>
      </c>
      <c r="AV694" s="80">
        <f>IF(AND(AB694=1,AU694=1),IF(COUNTIFS($D$5:D693,D694,$B$5:B693,B694,$Z$5:Z693,Z694,$AA$5:AA693,AA694,$F$5:F693,F694&amp;"",$AU$5:AU693,1)&gt;0,1,0),0)</f>
        <v>0</v>
      </c>
      <c r="AW694" s="80" t="str">
        <f>IF(AB694=1,INT(B694)*1440+Z694,"")</f>
        <v/>
      </c>
      <c r="AX694" s="80" t="str">
        <f>IF(AB694=1,AW694+AD694,"")</f>
        <v/>
      </c>
      <c r="AY694" s="80">
        <f>IF(AND(AB694=1,AV694=0,AU694=1),1,0)</f>
        <v>0</v>
      </c>
      <c r="AZ694" s="80">
        <f>IF(AY694=1,COUNTIFS(R_Emp,D694,R_SAbs,"&lt;"&amp;AX694,R_EAbs,"&gt;"&amp;AW694,R_OKey,1)-1,0)</f>
        <v>0</v>
      </c>
      <c r="BA694" s="80">
        <f>IF(AY694=1,COUNTIFS(R_Emp,"&lt;&gt;"&amp;D694,R_SAbs,"&lt;"&amp;AX694,R_EAbs,"&gt;"&amp;AW694,R_OKey,1),0)</f>
        <v>0</v>
      </c>
      <c r="BB694" s="80">
        <f>IF(AND(AB694=1,D694="proMX"),IF(AND(MOD(Z694,CFG_BLK)=0,MOD(AA694,CFG_BLK)=0,MOD(AG694,CFG_BLK)=0,AG694&gt;0),1,0),1)</f>
        <v>1</v>
      </c>
      <c r="BC694" s="80" t="str">
        <f>IF(Y694=0,"",IF(NOT(ISNUMBER(B694)),"Falta fecha o fecha inválida",IF(D694="","Falta empresa",IF(AND(D694&lt;&gt;"Malcolm",D694&lt;&gt;"proMX"),"Empresa inválida",IF(OR(INT(B694)&lt;CFG_PSTART,INT(B694)&gt;CFG_PEND),"Fecha fuera del período",IF(OR(NOT(ISNUMBER(Z694)),NOT(ISNUMBER(AA694))),"Falta hora inicio/fin o formato inválido",IF(AB694=0,"Hora inicio = hora fin",IF(AE694&lt;0,"Descanso inválido",IF(AE694&gt;=AD694,"Descanso ≥ duración",IF(AV694=1,"Registro duplicado",IF(AZ694&gt;0,"Se superpone con otro registro "&amp;D694,IF(BB694=0,"inicio, fin y duración neta deben ser múltiplos de "&amp;CFG_BLK&amp;" min",""))))))))))))</f>
        <v/>
      </c>
      <c r="BD694" s="80">
        <f>IF(AND(Y694=1,BC694=""),1,0)</f>
        <v>0</v>
      </c>
      <c r="BE694" s="80">
        <f>IF(AND(BD694=1,AU694=1),1,0)</f>
        <v>0</v>
      </c>
      <c r="BF694" s="80" t="str">
        <f>IF(AND(D694="proMX",BD694=1),IF(R694="","Draft",R694),"")</f>
        <v/>
      </c>
      <c r="BG694" s="80">
        <f>IF(BD694=1,ROUND(AG694/60,6),0)</f>
        <v>0</v>
      </c>
      <c r="BH694" s="80">
        <f>IF(BE694=1,ROUND(AG694/60,6),0)</f>
        <v>0</v>
      </c>
      <c r="BI694" s="80">
        <f>IF(BE694=1,ROUND(AP694/60,6),0)</f>
        <v>0</v>
      </c>
      <c r="BJ694" s="80">
        <f>IF(BE694=1,ROUND(AQ694/60,6),0)</f>
        <v>0</v>
      </c>
      <c r="BK694" s="80">
        <f>IF(BE694=1,ROUND((AR694+AS694)/60,6),0)</f>
        <v>0</v>
      </c>
      <c r="BL694" s="80">
        <f>ROUND(BH694-BK694,6)</f>
        <v>0</v>
      </c>
      <c r="BM694" s="80">
        <f>IF(BE694=1,ROUND(AR694/60,6),0)</f>
        <v>0</v>
      </c>
      <c r="BN694" s="80">
        <f>ROUND(BI694-BM694,6)</f>
        <v>0</v>
      </c>
      <c r="BO694" s="80">
        <f>IF(BE694=1,ROUND(AS694/60,6),0)</f>
        <v>0</v>
      </c>
      <c r="BP694" s="80">
        <f>ROUND(BJ694-BO694,6)</f>
        <v>0</v>
      </c>
      <c r="BQ694" s="80">
        <f>IF(BE694=1,AW694,0)</f>
        <v>0</v>
      </c>
      <c r="BR694" s="80">
        <f>IF(BE694=1,AX694,0)</f>
        <v>0</v>
      </c>
      <c r="BS694" s="80">
        <f>IF(AND(BE694=1,D694="Malcolm",BA694&gt;0),MIN(BH694,SUMPRODUCT((R_Emp="proMX")*(R_EN&gt;0)*((R_EN-(R_EN&gt;BR694)*(R_EN-BR694))&gt;(R_SN+(R_SN&lt;BQ694)*(BQ694-R_SN)))*((R_EN-(R_EN&gt;BR694)*(R_EN-BR694))-(R_SN+(R_SN&lt;BQ694)*(BQ694-R_SN))))/60),0)</f>
        <v>0</v>
      </c>
      <c r="BT694" s="80">
        <f>IF(AND(BE694=1,D694="proMX"),ROUND(BI694*CFG_RATE+BJ694*CFG_OTRATE,6),0)</f>
        <v>0</v>
      </c>
      <c r="BU694" s="80">
        <f>IF(AND(BD694=1,D694="proMX"),ROUND(AG694/CFG_BLK,6),0)</f>
        <v>0</v>
      </c>
      <c r="BV694" s="80" t="str">
        <f>IF(BF694="Approved",IF(ISNUMBER(T694),INT(T694),INT(B694)),"")</f>
        <v/>
      </c>
      <c r="BW694" s="80">
        <f>IF(ISNUMBER(B694),IF(DB_MON="Todos",1,IF(AND(INT(B694)&gt;=DB_MS,INT(B694)&lt;=DB_ME),1,0)),0)</f>
        <v>0</v>
      </c>
      <c r="BX694" s="80">
        <f>IF(DB_PROJ="Todos",1,IF(E694&amp;""=DB_PROJ&amp;"",1,0))</f>
        <v>1</v>
      </c>
      <c r="BY694" s="80">
        <f>BW694*BX694</f>
        <v>0</v>
      </c>
      <c r="BZ694" s="80" t="str">
        <f>IF(Y694=1,F694&amp;IF(AND(F694&amp;""&lt;&gt;"",E694&amp;""&lt;&gt;"")," · ","")&amp;E694,"")</f>
        <v/>
      </c>
      <c r="CA694" s="80" t="str">
        <f>IF(AND(BD694=1,E694&amp;""&lt;&gt;""),IF(COUNTIFS($E$5:E693,E694,$BD$5:BD693,1)=0,MAX($CA$5:CA693)+1,""),"")</f>
        <v/>
      </c>
      <c r="CB694" s="80" t="str">
        <f>IF(AND(BE694=1,D694="Malcolm",E694&amp;""&lt;&gt;""),IF(COUNTIFS($D$5:D693,"Malcolm",$E$5:E693,E694,$BE$5:BE693,1)=0,MAX($CB$5:CB693)+1,""),"")</f>
        <v/>
      </c>
      <c r="CC694" s="80" t="str">
        <f>IF(AND(BD694=1,D694="proMX",E694&amp;""&lt;&gt;""),IF(COUNTIFS($D$5:D693,"proMX",$E$5:E693,E694,$BD$5:BD693,1)=0,MAX($CC$5:CC693)+1,""),"")</f>
        <v/>
      </c>
      <c r="CD694" s="80" t="str">
        <f>IF(AND(BE694=1,D694="Malcolm",F694&amp;""&lt;&gt;""),IF(COUNTIFS($D$5:D693,"Malcolm",$F$5:F693,F694,$BE$5:BE693,1)=0,MAX($CD$5:CD693)+1,""),"")</f>
        <v/>
      </c>
      <c r="CE694" s="80" t="str">
        <f>IF(AND(BD694=1,D694="proMX",F694&amp;""&lt;&gt;""),IF(COUNTIFS($D$5:D693,"proMX",$F$5:F693,F694,$BD$5:BD693,1)=0,MAX($CE$5:CE693)+1,""),"")</f>
        <v/>
      </c>
      <c r="CF694" s="80" t="str">
        <f>IF(AND(D694="proMX",BD694=1),IF(OR(BF694="Draft",BF694="Submitted",BF694="Returned",BF694="Recall Requested"),MAX($CF$5:CF693)+1,""),"")</f>
        <v/>
      </c>
      <c r="CG694" s="80">
        <f>IF(BD694=0,0,IF(D694="Malcolm",1,MATCH(BF694,{"Draft","Submitted","Approved","Returned","Recall Requested","Cancelled"},0)+1))</f>
        <v>0</v>
      </c>
      <c r="CH694" s="80">
        <f>IF(AND(BF694="Submitted",ISNUMBER(V694)),IF(V694&gt;CFG_MAXD,1,0),0)</f>
        <v>0</v>
      </c>
    </row>
    <row r="695">
      <c r="A695" s="71" t="str">
        <f>IF(Y695=1,ROW()-5,"")</f>
        <v/>
      </c>
      <c r="B695" s="72" t="n"/>
      <c r="C695" s="71" t="str">
        <f>IF(ISNUMBER(B695),CHOOSE(WEEKDAY(B695,2),"Lun","Mar","Mié","Jue","Vie","Sáb","Dom"),"")</f>
        <v/>
      </c>
      <c r="D695" s="73" t="n"/>
      <c r="E695" s="74" t="n"/>
      <c r="F695" s="74" t="n"/>
      <c r="G695" s="74" t="n"/>
      <c r="H695" s="75" t="n"/>
      <c r="I695" s="75" t="n"/>
      <c r="J695" s="76" t="n"/>
      <c r="K695" s="77" t="str">
        <f>IF(AB695=1,ROUND(AG695/60,4),"")</f>
        <v/>
      </c>
      <c r="L695" s="77" t="str">
        <f>IF(BD695=1,ROUND(AP695/60,4),"")</f>
        <v/>
      </c>
      <c r="M695" s="77" t="str">
        <f>IF(BD695=1,ROUND(AQ695/60,4),"")</f>
        <v/>
      </c>
      <c r="N695" s="71" t="str">
        <f>IF(AND(D695="proMX",AB695=1),ROUND(AG695/CFG_BLK,2),"")</f>
        <v/>
      </c>
      <c r="O695" s="77" t="str">
        <f>IF(D695="proMX",IF(BD695=1,ROUND(AG695/60,4),0),"")</f>
        <v/>
      </c>
      <c r="P695" s="78" t="str">
        <f>IF(Y695=0,"",IF(BD695=1,"OK",IF(D695="proMX","Revisar bloques: ","Revisar: ")&amp;BC695))</f>
        <v/>
      </c>
      <c r="Q695" s="78" t="str">
        <f>IF(NOT(ISNUMBER(B695)),"",IF(COUNTIFS(FER_F,INT(B695))&gt;0,"Feriado"&amp;IF(AH695=1," (laborable)"," (no laborable)"),IF(AH695=1,"Laborable",IF(WEEKDAY(B695,2)&gt;5,"Fin de semana","No laborable"))))</f>
        <v/>
      </c>
      <c r="R695" s="73" t="n"/>
      <c r="S695" s="72" t="n"/>
      <c r="T695" s="72" t="n"/>
      <c r="U695" s="74" t="n"/>
      <c r="V695" s="79" t="str">
        <f>IF(AND(D695="proMX",OR(R695="Submitted",R695="Recall Requested"),ISNUMBER(S695)),CFG_TODAY-INT(S695),"")</f>
        <v/>
      </c>
      <c r="W695" s="78" t="str">
        <f>IF(BD695=0,"",IF(BA695&gt;0,"⚠ Se superpone con un registro de la otra empresa",IF(D695="Malcolm",IF(COUNTA(R695,S695,T695)&gt;0,"Estado/fechas proMX se ignoran en Malcolm",""),IF(BF695="Cancelled","Cancelado: excluido de totales",IF(R695="","Sin estado: se trata como Draft",IF(BF695="Submitted",IF(ISNUMBER(V695),IF(V695&gt;CFG_MAXD,"⚠ "&amp;V695&amp;" días en Submitted (máx. "&amp;CFG_MAXD&amp;")",""),"Falta fecha de envío"),IF(BF695="Returned","⚠ Devuelto: corregir y reenviar",IF(BF695="Recall Requested","Retirada solicitada: pendiente",IF(AND(BF695="Approved",NOT(ISNUMBER(T695))),"Falta fecha de aprobación",IF(AND(ISNUMBER(S695),ISNUMBER(T695),T695&lt;S695),"Aprobación anterior al envío","")))))))))</f>
        <v/>
      </c>
      <c r="Y695" s="80">
        <f>IF(COUNTA(B695,D695,E695,F695,G695,H695,I695,J695,R695,S695,T695)&gt;0,1,0)</f>
        <v>0</v>
      </c>
      <c r="Z695" s="80" t="str">
        <f>IF(AND(ISNUMBER(H695),H695&gt;=0,H695&lt;1),ROUND(H695*1440,0),"")</f>
        <v/>
      </c>
      <c r="AA695" s="80" t="str">
        <f>IF(AND(ISNUMBER(I695),I695&gt;=0,I695&lt;1),ROUND(I695*1440,0),"")</f>
        <v/>
      </c>
      <c r="AB695" s="80">
        <f>IF(AND(ISNUMBER(B695),D695&lt;&gt;"",ISNUMBER(Z695),ISNUMBER(AA695)),IF(Z695=AA695,0,1),0)</f>
        <v>0</v>
      </c>
      <c r="AC695" s="80">
        <f>IF(AB695=1,IF(AA695&lt;Z695,1,0),0)</f>
        <v>0</v>
      </c>
      <c r="AD695" s="80">
        <f>IF(AB695=1,IF(AC695=1,1440-Z695+AA695,AA695-Z695),0)</f>
        <v>0</v>
      </c>
      <c r="AE695" s="80">
        <f>IF(J695="",0,IF(ISNUMBER(J695),J695,-1))</f>
        <v>0</v>
      </c>
      <c r="AF695" s="80">
        <f>MIN(MAX(0,AE695),AD695)</f>
        <v>0</v>
      </c>
      <c r="AG695" s="80">
        <f>MAX(0,AD695-MAX(0,AE695))</f>
        <v>0</v>
      </c>
      <c r="AH695" s="80">
        <f>IF(ISNUMBER(B695),IF(AND(INDEX(CFG_WDAYS,WEEKDAY(INT(B695),2))="Sí",IF(D695="proMX",COUNTIFS(FER_F,INT(B695),FER_NLP,"Sí"),COUNTIFS(FER_F,INT(B695),FER_NLM,"Sí"))=0),1,0),0)</f>
        <v>0</v>
      </c>
      <c r="AI695" s="80">
        <f>IF(AC695=1,IF(AND(INDEX(CFG_WDAYS,WEEKDAY(INT(B695)+1,2))="Sí",IF(D695="proMX",COUNTIFS(FER_F,INT(B695)+1,FER_NLP,"Sí"),COUNTIFS(FER_F,INT(B695)+1,FER_NLM,"Sí"))=0),1,0),0)</f>
        <v>0</v>
      </c>
      <c r="AJ695" s="80">
        <f>IF(AC695=1,1440-Z695,AD695)</f>
        <v>0</v>
      </c>
      <c r="AK695" s="80">
        <f>IF(AND(AB695=1,AH695=1),MAX(0,MIN(IF(AC695=1,1440,AA695),CFG_WEM)-MAX(Z695,CFG_WSM)),0)</f>
        <v>0</v>
      </c>
      <c r="AL695" s="80">
        <f>IF(AND(AC695=1,AI695=1),MAX(0,MIN(AA695,CFG_WEM)-CFG_WSM),0)</f>
        <v>0</v>
      </c>
      <c r="AM695" s="80">
        <f>AK695+AL695</f>
        <v>0</v>
      </c>
      <c r="AN695" s="80">
        <f>IF(CFG_BRK="Proporcional",IF(AD695=0,0,AF695*AM695/AD695),IF(CFG_BRK="Extras primero",MIN(AM695,MAX(0,AF695-(AD695-AM695))),MIN(AF695,AM695)))</f>
        <v>0</v>
      </c>
      <c r="AO695" s="80">
        <f>AF695-AN695</f>
        <v>0</v>
      </c>
      <c r="AP695" s="80">
        <f>AM695-AN695</f>
        <v>0</v>
      </c>
      <c r="AQ695" s="80">
        <f>AD695-AM695-AO695</f>
        <v>0</v>
      </c>
      <c r="AR695" s="80">
        <f>IF(AM695=0,0,AK695-AN695*AK695/AM695)</f>
        <v>0</v>
      </c>
      <c r="AS695" s="80">
        <f>IF(AD695-AM695=0,0,(AJ695-AK695)-AO695*(AJ695-AK695)/(AD695-AM695))</f>
        <v>0</v>
      </c>
      <c r="AT695" s="80" t="str">
        <f>IF(AC695=1,INT(B695)+1,"")</f>
        <v/>
      </c>
      <c r="AU695" s="80">
        <f>IF(AND(D695="proMX",R695="Cancelled"),0,1)</f>
        <v>1</v>
      </c>
      <c r="AV695" s="80">
        <f>IF(AND(AB695=1,AU695=1),IF(COUNTIFS($D$5:D694,D695,$B$5:B694,B695,$Z$5:Z694,Z695,$AA$5:AA694,AA695,$F$5:F694,F695&amp;"",$AU$5:AU694,1)&gt;0,1,0),0)</f>
        <v>0</v>
      </c>
      <c r="AW695" s="80" t="str">
        <f>IF(AB695=1,INT(B695)*1440+Z695,"")</f>
        <v/>
      </c>
      <c r="AX695" s="80" t="str">
        <f>IF(AB695=1,AW695+AD695,"")</f>
        <v/>
      </c>
      <c r="AY695" s="80">
        <f>IF(AND(AB695=1,AV695=0,AU695=1),1,0)</f>
        <v>0</v>
      </c>
      <c r="AZ695" s="80">
        <f>IF(AY695=1,COUNTIFS(R_Emp,D695,R_SAbs,"&lt;"&amp;AX695,R_EAbs,"&gt;"&amp;AW695,R_OKey,1)-1,0)</f>
        <v>0</v>
      </c>
      <c r="BA695" s="80">
        <f>IF(AY695=1,COUNTIFS(R_Emp,"&lt;&gt;"&amp;D695,R_SAbs,"&lt;"&amp;AX695,R_EAbs,"&gt;"&amp;AW695,R_OKey,1),0)</f>
        <v>0</v>
      </c>
      <c r="BB695" s="80">
        <f>IF(AND(AB695=1,D695="proMX"),IF(AND(MOD(Z695,CFG_BLK)=0,MOD(AA695,CFG_BLK)=0,MOD(AG695,CFG_BLK)=0,AG695&gt;0),1,0),1)</f>
        <v>1</v>
      </c>
      <c r="BC695" s="80" t="str">
        <f>IF(Y695=0,"",IF(NOT(ISNUMBER(B695)),"Falta fecha o fecha inválida",IF(D695="","Falta empresa",IF(AND(D695&lt;&gt;"Malcolm",D695&lt;&gt;"proMX"),"Empresa inválida",IF(OR(INT(B695)&lt;CFG_PSTART,INT(B695)&gt;CFG_PEND),"Fecha fuera del período",IF(OR(NOT(ISNUMBER(Z695)),NOT(ISNUMBER(AA695))),"Falta hora inicio/fin o formato inválido",IF(AB695=0,"Hora inicio = hora fin",IF(AE695&lt;0,"Descanso inválido",IF(AE695&gt;=AD695,"Descanso ≥ duración",IF(AV695=1,"Registro duplicado",IF(AZ695&gt;0,"Se superpone con otro registro "&amp;D695,IF(BB695=0,"inicio, fin y duración neta deben ser múltiplos de "&amp;CFG_BLK&amp;" min",""))))))))))))</f>
        <v/>
      </c>
      <c r="BD695" s="80">
        <f>IF(AND(Y695=1,BC695=""),1,0)</f>
        <v>0</v>
      </c>
      <c r="BE695" s="80">
        <f>IF(AND(BD695=1,AU695=1),1,0)</f>
        <v>0</v>
      </c>
      <c r="BF695" s="80" t="str">
        <f>IF(AND(D695="proMX",BD695=1),IF(R695="","Draft",R695),"")</f>
        <v/>
      </c>
      <c r="BG695" s="80">
        <f>IF(BD695=1,ROUND(AG695/60,6),0)</f>
        <v>0</v>
      </c>
      <c r="BH695" s="80">
        <f>IF(BE695=1,ROUND(AG695/60,6),0)</f>
        <v>0</v>
      </c>
      <c r="BI695" s="80">
        <f>IF(BE695=1,ROUND(AP695/60,6),0)</f>
        <v>0</v>
      </c>
      <c r="BJ695" s="80">
        <f>IF(BE695=1,ROUND(AQ695/60,6),0)</f>
        <v>0</v>
      </c>
      <c r="BK695" s="80">
        <f>IF(BE695=1,ROUND((AR695+AS695)/60,6),0)</f>
        <v>0</v>
      </c>
      <c r="BL695" s="80">
        <f>ROUND(BH695-BK695,6)</f>
        <v>0</v>
      </c>
      <c r="BM695" s="80">
        <f>IF(BE695=1,ROUND(AR695/60,6),0)</f>
        <v>0</v>
      </c>
      <c r="BN695" s="80">
        <f>ROUND(BI695-BM695,6)</f>
        <v>0</v>
      </c>
      <c r="BO695" s="80">
        <f>IF(BE695=1,ROUND(AS695/60,6),0)</f>
        <v>0</v>
      </c>
      <c r="BP695" s="80">
        <f>ROUND(BJ695-BO695,6)</f>
        <v>0</v>
      </c>
      <c r="BQ695" s="80">
        <f>IF(BE695=1,AW695,0)</f>
        <v>0</v>
      </c>
      <c r="BR695" s="80">
        <f>IF(BE695=1,AX695,0)</f>
        <v>0</v>
      </c>
      <c r="BS695" s="80">
        <f>IF(AND(BE695=1,D695="Malcolm",BA695&gt;0),MIN(BH695,SUMPRODUCT((R_Emp="proMX")*(R_EN&gt;0)*((R_EN-(R_EN&gt;BR695)*(R_EN-BR695))&gt;(R_SN+(R_SN&lt;BQ695)*(BQ695-R_SN)))*((R_EN-(R_EN&gt;BR695)*(R_EN-BR695))-(R_SN+(R_SN&lt;BQ695)*(BQ695-R_SN))))/60),0)</f>
        <v>0</v>
      </c>
      <c r="BT695" s="80">
        <f>IF(AND(BE695=1,D695="proMX"),ROUND(BI695*CFG_RATE+BJ695*CFG_OTRATE,6),0)</f>
        <v>0</v>
      </c>
      <c r="BU695" s="80">
        <f>IF(AND(BD695=1,D695="proMX"),ROUND(AG695/CFG_BLK,6),0)</f>
        <v>0</v>
      </c>
      <c r="BV695" s="80" t="str">
        <f>IF(BF695="Approved",IF(ISNUMBER(T695),INT(T695),INT(B695)),"")</f>
        <v/>
      </c>
      <c r="BW695" s="80">
        <f>IF(ISNUMBER(B695),IF(DB_MON="Todos",1,IF(AND(INT(B695)&gt;=DB_MS,INT(B695)&lt;=DB_ME),1,0)),0)</f>
        <v>0</v>
      </c>
      <c r="BX695" s="80">
        <f>IF(DB_PROJ="Todos",1,IF(E695&amp;""=DB_PROJ&amp;"",1,0))</f>
        <v>1</v>
      </c>
      <c r="BY695" s="80">
        <f>BW695*BX695</f>
        <v>0</v>
      </c>
      <c r="BZ695" s="80" t="str">
        <f>IF(Y695=1,F695&amp;IF(AND(F695&amp;""&lt;&gt;"",E695&amp;""&lt;&gt;"")," · ","")&amp;E695,"")</f>
        <v/>
      </c>
      <c r="CA695" s="80" t="str">
        <f>IF(AND(BD695=1,E695&amp;""&lt;&gt;""),IF(COUNTIFS($E$5:E694,E695,$BD$5:BD694,1)=0,MAX($CA$5:CA694)+1,""),"")</f>
        <v/>
      </c>
      <c r="CB695" s="80" t="str">
        <f>IF(AND(BE695=1,D695="Malcolm",E695&amp;""&lt;&gt;""),IF(COUNTIFS($D$5:D694,"Malcolm",$E$5:E694,E695,$BE$5:BE694,1)=0,MAX($CB$5:CB694)+1,""),"")</f>
        <v/>
      </c>
      <c r="CC695" s="80" t="str">
        <f>IF(AND(BD695=1,D695="proMX",E695&amp;""&lt;&gt;""),IF(COUNTIFS($D$5:D694,"proMX",$E$5:E694,E695,$BD$5:BD694,1)=0,MAX($CC$5:CC694)+1,""),"")</f>
        <v/>
      </c>
      <c r="CD695" s="80" t="str">
        <f>IF(AND(BE695=1,D695="Malcolm",F695&amp;""&lt;&gt;""),IF(COUNTIFS($D$5:D694,"Malcolm",$F$5:F694,F695,$BE$5:BE694,1)=0,MAX($CD$5:CD694)+1,""),"")</f>
        <v/>
      </c>
      <c r="CE695" s="80" t="str">
        <f>IF(AND(BD695=1,D695="proMX",F695&amp;""&lt;&gt;""),IF(COUNTIFS($D$5:D694,"proMX",$F$5:F694,F695,$BD$5:BD694,1)=0,MAX($CE$5:CE694)+1,""),"")</f>
        <v/>
      </c>
      <c r="CF695" s="80" t="str">
        <f>IF(AND(D695="proMX",BD695=1),IF(OR(BF695="Draft",BF695="Submitted",BF695="Returned",BF695="Recall Requested"),MAX($CF$5:CF694)+1,""),"")</f>
        <v/>
      </c>
      <c r="CG695" s="80">
        <f>IF(BD695=0,0,IF(D695="Malcolm",1,MATCH(BF695,{"Draft","Submitted","Approved","Returned","Recall Requested","Cancelled"},0)+1))</f>
        <v>0</v>
      </c>
      <c r="CH695" s="80">
        <f>IF(AND(BF695="Submitted",ISNUMBER(V695)),IF(V695&gt;CFG_MAXD,1,0),0)</f>
        <v>0</v>
      </c>
    </row>
    <row r="696">
      <c r="A696" s="71" t="str">
        <f>IF(Y696=1,ROW()-5,"")</f>
        <v/>
      </c>
      <c r="B696" s="72" t="n"/>
      <c r="C696" s="71" t="str">
        <f>IF(ISNUMBER(B696),CHOOSE(WEEKDAY(B696,2),"Lun","Mar","Mié","Jue","Vie","Sáb","Dom"),"")</f>
        <v/>
      </c>
      <c r="D696" s="73" t="n"/>
      <c r="E696" s="74" t="n"/>
      <c r="F696" s="74" t="n"/>
      <c r="G696" s="74" t="n"/>
      <c r="H696" s="75" t="n"/>
      <c r="I696" s="75" t="n"/>
      <c r="J696" s="76" t="n"/>
      <c r="K696" s="77" t="str">
        <f>IF(AB696=1,ROUND(AG696/60,4),"")</f>
        <v/>
      </c>
      <c r="L696" s="77" t="str">
        <f>IF(BD696=1,ROUND(AP696/60,4),"")</f>
        <v/>
      </c>
      <c r="M696" s="77" t="str">
        <f>IF(BD696=1,ROUND(AQ696/60,4),"")</f>
        <v/>
      </c>
      <c r="N696" s="71" t="str">
        <f>IF(AND(D696="proMX",AB696=1),ROUND(AG696/CFG_BLK,2),"")</f>
        <v/>
      </c>
      <c r="O696" s="77" t="str">
        <f>IF(D696="proMX",IF(BD696=1,ROUND(AG696/60,4),0),"")</f>
        <v/>
      </c>
      <c r="P696" s="78" t="str">
        <f>IF(Y696=0,"",IF(BD696=1,"OK",IF(D696="proMX","Revisar bloques: ","Revisar: ")&amp;BC696))</f>
        <v/>
      </c>
      <c r="Q696" s="78" t="str">
        <f>IF(NOT(ISNUMBER(B696)),"",IF(COUNTIFS(FER_F,INT(B696))&gt;0,"Feriado"&amp;IF(AH696=1," (laborable)"," (no laborable)"),IF(AH696=1,"Laborable",IF(WEEKDAY(B696,2)&gt;5,"Fin de semana","No laborable"))))</f>
        <v/>
      </c>
      <c r="R696" s="73" t="n"/>
      <c r="S696" s="72" t="n"/>
      <c r="T696" s="72" t="n"/>
      <c r="U696" s="74" t="n"/>
      <c r="V696" s="79" t="str">
        <f>IF(AND(D696="proMX",OR(R696="Submitted",R696="Recall Requested"),ISNUMBER(S696)),CFG_TODAY-INT(S696),"")</f>
        <v/>
      </c>
      <c r="W696" s="78" t="str">
        <f>IF(BD696=0,"",IF(BA696&gt;0,"⚠ Se superpone con un registro de la otra empresa",IF(D696="Malcolm",IF(COUNTA(R696,S696,T696)&gt;0,"Estado/fechas proMX se ignoran en Malcolm",""),IF(BF696="Cancelled","Cancelado: excluido de totales",IF(R696="","Sin estado: se trata como Draft",IF(BF696="Submitted",IF(ISNUMBER(V696),IF(V696&gt;CFG_MAXD,"⚠ "&amp;V696&amp;" días en Submitted (máx. "&amp;CFG_MAXD&amp;")",""),"Falta fecha de envío"),IF(BF696="Returned","⚠ Devuelto: corregir y reenviar",IF(BF696="Recall Requested","Retirada solicitada: pendiente",IF(AND(BF696="Approved",NOT(ISNUMBER(T696))),"Falta fecha de aprobación",IF(AND(ISNUMBER(S696),ISNUMBER(T696),T696&lt;S696),"Aprobación anterior al envío","")))))))))</f>
        <v/>
      </c>
      <c r="Y696" s="80">
        <f>IF(COUNTA(B696,D696,E696,F696,G696,H696,I696,J696,R696,S696,T696)&gt;0,1,0)</f>
        <v>0</v>
      </c>
      <c r="Z696" s="80" t="str">
        <f>IF(AND(ISNUMBER(H696),H696&gt;=0,H696&lt;1),ROUND(H696*1440,0),"")</f>
        <v/>
      </c>
      <c r="AA696" s="80" t="str">
        <f>IF(AND(ISNUMBER(I696),I696&gt;=0,I696&lt;1),ROUND(I696*1440,0),"")</f>
        <v/>
      </c>
      <c r="AB696" s="80">
        <f>IF(AND(ISNUMBER(B696),D696&lt;&gt;"",ISNUMBER(Z696),ISNUMBER(AA696)),IF(Z696=AA696,0,1),0)</f>
        <v>0</v>
      </c>
      <c r="AC696" s="80">
        <f>IF(AB696=1,IF(AA696&lt;Z696,1,0),0)</f>
        <v>0</v>
      </c>
      <c r="AD696" s="80">
        <f>IF(AB696=1,IF(AC696=1,1440-Z696+AA696,AA696-Z696),0)</f>
        <v>0</v>
      </c>
      <c r="AE696" s="80">
        <f>IF(J696="",0,IF(ISNUMBER(J696),J696,-1))</f>
        <v>0</v>
      </c>
      <c r="AF696" s="80">
        <f>MIN(MAX(0,AE696),AD696)</f>
        <v>0</v>
      </c>
      <c r="AG696" s="80">
        <f>MAX(0,AD696-MAX(0,AE696))</f>
        <v>0</v>
      </c>
      <c r="AH696" s="80">
        <f>IF(ISNUMBER(B696),IF(AND(INDEX(CFG_WDAYS,WEEKDAY(INT(B696),2))="Sí",IF(D696="proMX",COUNTIFS(FER_F,INT(B696),FER_NLP,"Sí"),COUNTIFS(FER_F,INT(B696),FER_NLM,"Sí"))=0),1,0),0)</f>
        <v>0</v>
      </c>
      <c r="AI696" s="80">
        <f>IF(AC696=1,IF(AND(INDEX(CFG_WDAYS,WEEKDAY(INT(B696)+1,2))="Sí",IF(D696="proMX",COUNTIFS(FER_F,INT(B696)+1,FER_NLP,"Sí"),COUNTIFS(FER_F,INT(B696)+1,FER_NLM,"Sí"))=0),1,0),0)</f>
        <v>0</v>
      </c>
      <c r="AJ696" s="80">
        <f>IF(AC696=1,1440-Z696,AD696)</f>
        <v>0</v>
      </c>
      <c r="AK696" s="80">
        <f>IF(AND(AB696=1,AH696=1),MAX(0,MIN(IF(AC696=1,1440,AA696),CFG_WEM)-MAX(Z696,CFG_WSM)),0)</f>
        <v>0</v>
      </c>
      <c r="AL696" s="80">
        <f>IF(AND(AC696=1,AI696=1),MAX(0,MIN(AA696,CFG_WEM)-CFG_WSM),0)</f>
        <v>0</v>
      </c>
      <c r="AM696" s="80">
        <f>AK696+AL696</f>
        <v>0</v>
      </c>
      <c r="AN696" s="80">
        <f>IF(CFG_BRK="Proporcional",IF(AD696=0,0,AF696*AM696/AD696),IF(CFG_BRK="Extras primero",MIN(AM696,MAX(0,AF696-(AD696-AM696))),MIN(AF696,AM696)))</f>
        <v>0</v>
      </c>
      <c r="AO696" s="80">
        <f>AF696-AN696</f>
        <v>0</v>
      </c>
      <c r="AP696" s="80">
        <f>AM696-AN696</f>
        <v>0</v>
      </c>
      <c r="AQ696" s="80">
        <f>AD696-AM696-AO696</f>
        <v>0</v>
      </c>
      <c r="AR696" s="80">
        <f>IF(AM696=0,0,AK696-AN696*AK696/AM696)</f>
        <v>0</v>
      </c>
      <c r="AS696" s="80">
        <f>IF(AD696-AM696=0,0,(AJ696-AK696)-AO696*(AJ696-AK696)/(AD696-AM696))</f>
        <v>0</v>
      </c>
      <c r="AT696" s="80" t="str">
        <f>IF(AC696=1,INT(B696)+1,"")</f>
        <v/>
      </c>
      <c r="AU696" s="80">
        <f>IF(AND(D696="proMX",R696="Cancelled"),0,1)</f>
        <v>1</v>
      </c>
      <c r="AV696" s="80">
        <f>IF(AND(AB696=1,AU696=1),IF(COUNTIFS($D$5:D695,D696,$B$5:B695,B696,$Z$5:Z695,Z696,$AA$5:AA695,AA696,$F$5:F695,F696&amp;"",$AU$5:AU695,1)&gt;0,1,0),0)</f>
        <v>0</v>
      </c>
      <c r="AW696" s="80" t="str">
        <f>IF(AB696=1,INT(B696)*1440+Z696,"")</f>
        <v/>
      </c>
      <c r="AX696" s="80" t="str">
        <f>IF(AB696=1,AW696+AD696,"")</f>
        <v/>
      </c>
      <c r="AY696" s="80">
        <f>IF(AND(AB696=1,AV696=0,AU696=1),1,0)</f>
        <v>0</v>
      </c>
      <c r="AZ696" s="80">
        <f>IF(AY696=1,COUNTIFS(R_Emp,D696,R_SAbs,"&lt;"&amp;AX696,R_EAbs,"&gt;"&amp;AW696,R_OKey,1)-1,0)</f>
        <v>0</v>
      </c>
      <c r="BA696" s="80">
        <f>IF(AY696=1,COUNTIFS(R_Emp,"&lt;&gt;"&amp;D696,R_SAbs,"&lt;"&amp;AX696,R_EAbs,"&gt;"&amp;AW696,R_OKey,1),0)</f>
        <v>0</v>
      </c>
      <c r="BB696" s="80">
        <f>IF(AND(AB696=1,D696="proMX"),IF(AND(MOD(Z696,CFG_BLK)=0,MOD(AA696,CFG_BLK)=0,MOD(AG696,CFG_BLK)=0,AG696&gt;0),1,0),1)</f>
        <v>1</v>
      </c>
      <c r="BC696" s="80" t="str">
        <f>IF(Y696=0,"",IF(NOT(ISNUMBER(B696)),"Falta fecha o fecha inválida",IF(D696="","Falta empresa",IF(AND(D696&lt;&gt;"Malcolm",D696&lt;&gt;"proMX"),"Empresa inválida",IF(OR(INT(B696)&lt;CFG_PSTART,INT(B696)&gt;CFG_PEND),"Fecha fuera del período",IF(OR(NOT(ISNUMBER(Z696)),NOT(ISNUMBER(AA696))),"Falta hora inicio/fin o formato inválido",IF(AB696=0,"Hora inicio = hora fin",IF(AE696&lt;0,"Descanso inválido",IF(AE696&gt;=AD696,"Descanso ≥ duración",IF(AV696=1,"Registro duplicado",IF(AZ696&gt;0,"Se superpone con otro registro "&amp;D696,IF(BB696=0,"inicio, fin y duración neta deben ser múltiplos de "&amp;CFG_BLK&amp;" min",""))))))))))))</f>
        <v/>
      </c>
      <c r="BD696" s="80">
        <f>IF(AND(Y696=1,BC696=""),1,0)</f>
        <v>0</v>
      </c>
      <c r="BE696" s="80">
        <f>IF(AND(BD696=1,AU696=1),1,0)</f>
        <v>0</v>
      </c>
      <c r="BF696" s="80" t="str">
        <f>IF(AND(D696="proMX",BD696=1),IF(R696="","Draft",R696),"")</f>
        <v/>
      </c>
      <c r="BG696" s="80">
        <f>IF(BD696=1,ROUND(AG696/60,6),0)</f>
        <v>0</v>
      </c>
      <c r="BH696" s="80">
        <f>IF(BE696=1,ROUND(AG696/60,6),0)</f>
        <v>0</v>
      </c>
      <c r="BI696" s="80">
        <f>IF(BE696=1,ROUND(AP696/60,6),0)</f>
        <v>0</v>
      </c>
      <c r="BJ696" s="80">
        <f>IF(BE696=1,ROUND(AQ696/60,6),0)</f>
        <v>0</v>
      </c>
      <c r="BK696" s="80">
        <f>IF(BE696=1,ROUND((AR696+AS696)/60,6),0)</f>
        <v>0</v>
      </c>
      <c r="BL696" s="80">
        <f>ROUND(BH696-BK696,6)</f>
        <v>0</v>
      </c>
      <c r="BM696" s="80">
        <f>IF(BE696=1,ROUND(AR696/60,6),0)</f>
        <v>0</v>
      </c>
      <c r="BN696" s="80">
        <f>ROUND(BI696-BM696,6)</f>
        <v>0</v>
      </c>
      <c r="BO696" s="80">
        <f>IF(BE696=1,ROUND(AS696/60,6),0)</f>
        <v>0</v>
      </c>
      <c r="BP696" s="80">
        <f>ROUND(BJ696-BO696,6)</f>
        <v>0</v>
      </c>
      <c r="BQ696" s="80">
        <f>IF(BE696=1,AW696,0)</f>
        <v>0</v>
      </c>
      <c r="BR696" s="80">
        <f>IF(BE696=1,AX696,0)</f>
        <v>0</v>
      </c>
      <c r="BS696" s="80">
        <f>IF(AND(BE696=1,D696="Malcolm",BA696&gt;0),MIN(BH696,SUMPRODUCT((R_Emp="proMX")*(R_EN&gt;0)*((R_EN-(R_EN&gt;BR696)*(R_EN-BR696))&gt;(R_SN+(R_SN&lt;BQ696)*(BQ696-R_SN)))*((R_EN-(R_EN&gt;BR696)*(R_EN-BR696))-(R_SN+(R_SN&lt;BQ696)*(BQ696-R_SN))))/60),0)</f>
        <v>0</v>
      </c>
      <c r="BT696" s="80">
        <f>IF(AND(BE696=1,D696="proMX"),ROUND(BI696*CFG_RATE+BJ696*CFG_OTRATE,6),0)</f>
        <v>0</v>
      </c>
      <c r="BU696" s="80">
        <f>IF(AND(BD696=1,D696="proMX"),ROUND(AG696/CFG_BLK,6),0)</f>
        <v>0</v>
      </c>
      <c r="BV696" s="80" t="str">
        <f>IF(BF696="Approved",IF(ISNUMBER(T696),INT(T696),INT(B696)),"")</f>
        <v/>
      </c>
      <c r="BW696" s="80">
        <f>IF(ISNUMBER(B696),IF(DB_MON="Todos",1,IF(AND(INT(B696)&gt;=DB_MS,INT(B696)&lt;=DB_ME),1,0)),0)</f>
        <v>0</v>
      </c>
      <c r="BX696" s="80">
        <f>IF(DB_PROJ="Todos",1,IF(E696&amp;""=DB_PROJ&amp;"",1,0))</f>
        <v>1</v>
      </c>
      <c r="BY696" s="80">
        <f>BW696*BX696</f>
        <v>0</v>
      </c>
      <c r="BZ696" s="80" t="str">
        <f>IF(Y696=1,F696&amp;IF(AND(F696&amp;""&lt;&gt;"",E696&amp;""&lt;&gt;"")," · ","")&amp;E696,"")</f>
        <v/>
      </c>
      <c r="CA696" s="80" t="str">
        <f>IF(AND(BD696=1,E696&amp;""&lt;&gt;""),IF(COUNTIFS($E$5:E695,E696,$BD$5:BD695,1)=0,MAX($CA$5:CA695)+1,""),"")</f>
        <v/>
      </c>
      <c r="CB696" s="80" t="str">
        <f>IF(AND(BE696=1,D696="Malcolm",E696&amp;""&lt;&gt;""),IF(COUNTIFS($D$5:D695,"Malcolm",$E$5:E695,E696,$BE$5:BE695,1)=0,MAX($CB$5:CB695)+1,""),"")</f>
        <v/>
      </c>
      <c r="CC696" s="80" t="str">
        <f>IF(AND(BD696=1,D696="proMX",E696&amp;""&lt;&gt;""),IF(COUNTIFS($D$5:D695,"proMX",$E$5:E695,E696,$BD$5:BD695,1)=0,MAX($CC$5:CC695)+1,""),"")</f>
        <v/>
      </c>
      <c r="CD696" s="80" t="str">
        <f>IF(AND(BE696=1,D696="Malcolm",F696&amp;""&lt;&gt;""),IF(COUNTIFS($D$5:D695,"Malcolm",$F$5:F695,F696,$BE$5:BE695,1)=0,MAX($CD$5:CD695)+1,""),"")</f>
        <v/>
      </c>
      <c r="CE696" s="80" t="str">
        <f>IF(AND(BD696=1,D696="proMX",F696&amp;""&lt;&gt;""),IF(COUNTIFS($D$5:D695,"proMX",$F$5:F695,F696,$BD$5:BD695,1)=0,MAX($CE$5:CE695)+1,""),"")</f>
        <v/>
      </c>
      <c r="CF696" s="80" t="str">
        <f>IF(AND(D696="proMX",BD696=1),IF(OR(BF696="Draft",BF696="Submitted",BF696="Returned",BF696="Recall Requested"),MAX($CF$5:CF695)+1,""),"")</f>
        <v/>
      </c>
      <c r="CG696" s="80">
        <f>IF(BD696=0,0,IF(D696="Malcolm",1,MATCH(BF696,{"Draft","Submitted","Approved","Returned","Recall Requested","Cancelled"},0)+1))</f>
        <v>0</v>
      </c>
      <c r="CH696" s="80">
        <f>IF(AND(BF696="Submitted",ISNUMBER(V696)),IF(V696&gt;CFG_MAXD,1,0),0)</f>
        <v>0</v>
      </c>
    </row>
    <row r="697">
      <c r="A697" s="71" t="str">
        <f>IF(Y697=1,ROW()-5,"")</f>
        <v/>
      </c>
      <c r="B697" s="72" t="n"/>
      <c r="C697" s="71" t="str">
        <f>IF(ISNUMBER(B697),CHOOSE(WEEKDAY(B697,2),"Lun","Mar","Mié","Jue","Vie","Sáb","Dom"),"")</f>
        <v/>
      </c>
      <c r="D697" s="73" t="n"/>
      <c r="E697" s="74" t="n"/>
      <c r="F697" s="74" t="n"/>
      <c r="G697" s="74" t="n"/>
      <c r="H697" s="75" t="n"/>
      <c r="I697" s="75" t="n"/>
      <c r="J697" s="76" t="n"/>
      <c r="K697" s="77" t="str">
        <f>IF(AB697=1,ROUND(AG697/60,4),"")</f>
        <v/>
      </c>
      <c r="L697" s="77" t="str">
        <f>IF(BD697=1,ROUND(AP697/60,4),"")</f>
        <v/>
      </c>
      <c r="M697" s="77" t="str">
        <f>IF(BD697=1,ROUND(AQ697/60,4),"")</f>
        <v/>
      </c>
      <c r="N697" s="71" t="str">
        <f>IF(AND(D697="proMX",AB697=1),ROUND(AG697/CFG_BLK,2),"")</f>
        <v/>
      </c>
      <c r="O697" s="77" t="str">
        <f>IF(D697="proMX",IF(BD697=1,ROUND(AG697/60,4),0),"")</f>
        <v/>
      </c>
      <c r="P697" s="78" t="str">
        <f>IF(Y697=0,"",IF(BD697=1,"OK",IF(D697="proMX","Revisar bloques: ","Revisar: ")&amp;BC697))</f>
        <v/>
      </c>
      <c r="Q697" s="78" t="str">
        <f>IF(NOT(ISNUMBER(B697)),"",IF(COUNTIFS(FER_F,INT(B697))&gt;0,"Feriado"&amp;IF(AH697=1," (laborable)"," (no laborable)"),IF(AH697=1,"Laborable",IF(WEEKDAY(B697,2)&gt;5,"Fin de semana","No laborable"))))</f>
        <v/>
      </c>
      <c r="R697" s="73" t="n"/>
      <c r="S697" s="72" t="n"/>
      <c r="T697" s="72" t="n"/>
      <c r="U697" s="74" t="n"/>
      <c r="V697" s="79" t="str">
        <f>IF(AND(D697="proMX",OR(R697="Submitted",R697="Recall Requested"),ISNUMBER(S697)),CFG_TODAY-INT(S697),"")</f>
        <v/>
      </c>
      <c r="W697" s="78" t="str">
        <f>IF(BD697=0,"",IF(BA697&gt;0,"⚠ Se superpone con un registro de la otra empresa",IF(D697="Malcolm",IF(COUNTA(R697,S697,T697)&gt;0,"Estado/fechas proMX se ignoran en Malcolm",""),IF(BF697="Cancelled","Cancelado: excluido de totales",IF(R697="","Sin estado: se trata como Draft",IF(BF697="Submitted",IF(ISNUMBER(V697),IF(V697&gt;CFG_MAXD,"⚠ "&amp;V697&amp;" días en Submitted (máx. "&amp;CFG_MAXD&amp;")",""),"Falta fecha de envío"),IF(BF697="Returned","⚠ Devuelto: corregir y reenviar",IF(BF697="Recall Requested","Retirada solicitada: pendiente",IF(AND(BF697="Approved",NOT(ISNUMBER(T697))),"Falta fecha de aprobación",IF(AND(ISNUMBER(S697),ISNUMBER(T697),T697&lt;S697),"Aprobación anterior al envío","")))))))))</f>
        <v/>
      </c>
      <c r="Y697" s="80">
        <f>IF(COUNTA(B697,D697,E697,F697,G697,H697,I697,J697,R697,S697,T697)&gt;0,1,0)</f>
        <v>0</v>
      </c>
      <c r="Z697" s="80" t="str">
        <f>IF(AND(ISNUMBER(H697),H697&gt;=0,H697&lt;1),ROUND(H697*1440,0),"")</f>
        <v/>
      </c>
      <c r="AA697" s="80" t="str">
        <f>IF(AND(ISNUMBER(I697),I697&gt;=0,I697&lt;1),ROUND(I697*1440,0),"")</f>
        <v/>
      </c>
      <c r="AB697" s="80">
        <f>IF(AND(ISNUMBER(B697),D697&lt;&gt;"",ISNUMBER(Z697),ISNUMBER(AA697)),IF(Z697=AA697,0,1),0)</f>
        <v>0</v>
      </c>
      <c r="AC697" s="80">
        <f>IF(AB697=1,IF(AA697&lt;Z697,1,0),0)</f>
        <v>0</v>
      </c>
      <c r="AD697" s="80">
        <f>IF(AB697=1,IF(AC697=1,1440-Z697+AA697,AA697-Z697),0)</f>
        <v>0</v>
      </c>
      <c r="AE697" s="80">
        <f>IF(J697="",0,IF(ISNUMBER(J697),J697,-1))</f>
        <v>0</v>
      </c>
      <c r="AF697" s="80">
        <f>MIN(MAX(0,AE697),AD697)</f>
        <v>0</v>
      </c>
      <c r="AG697" s="80">
        <f>MAX(0,AD697-MAX(0,AE697))</f>
        <v>0</v>
      </c>
      <c r="AH697" s="80">
        <f>IF(ISNUMBER(B697),IF(AND(INDEX(CFG_WDAYS,WEEKDAY(INT(B697),2))="Sí",IF(D697="proMX",COUNTIFS(FER_F,INT(B697),FER_NLP,"Sí"),COUNTIFS(FER_F,INT(B697),FER_NLM,"Sí"))=0),1,0),0)</f>
        <v>0</v>
      </c>
      <c r="AI697" s="80">
        <f>IF(AC697=1,IF(AND(INDEX(CFG_WDAYS,WEEKDAY(INT(B697)+1,2))="Sí",IF(D697="proMX",COUNTIFS(FER_F,INT(B697)+1,FER_NLP,"Sí"),COUNTIFS(FER_F,INT(B697)+1,FER_NLM,"Sí"))=0),1,0),0)</f>
        <v>0</v>
      </c>
      <c r="AJ697" s="80">
        <f>IF(AC697=1,1440-Z697,AD697)</f>
        <v>0</v>
      </c>
      <c r="AK697" s="80">
        <f>IF(AND(AB697=1,AH697=1),MAX(0,MIN(IF(AC697=1,1440,AA697),CFG_WEM)-MAX(Z697,CFG_WSM)),0)</f>
        <v>0</v>
      </c>
      <c r="AL697" s="80">
        <f>IF(AND(AC697=1,AI697=1),MAX(0,MIN(AA697,CFG_WEM)-CFG_WSM),0)</f>
        <v>0</v>
      </c>
      <c r="AM697" s="80">
        <f>AK697+AL697</f>
        <v>0</v>
      </c>
      <c r="AN697" s="80">
        <f>IF(CFG_BRK="Proporcional",IF(AD697=0,0,AF697*AM697/AD697),IF(CFG_BRK="Extras primero",MIN(AM697,MAX(0,AF697-(AD697-AM697))),MIN(AF697,AM697)))</f>
        <v>0</v>
      </c>
      <c r="AO697" s="80">
        <f>AF697-AN697</f>
        <v>0</v>
      </c>
      <c r="AP697" s="80">
        <f>AM697-AN697</f>
        <v>0</v>
      </c>
      <c r="AQ697" s="80">
        <f>AD697-AM697-AO697</f>
        <v>0</v>
      </c>
      <c r="AR697" s="80">
        <f>IF(AM697=0,0,AK697-AN697*AK697/AM697)</f>
        <v>0</v>
      </c>
      <c r="AS697" s="80">
        <f>IF(AD697-AM697=0,0,(AJ697-AK697)-AO697*(AJ697-AK697)/(AD697-AM697))</f>
        <v>0</v>
      </c>
      <c r="AT697" s="80" t="str">
        <f>IF(AC697=1,INT(B697)+1,"")</f>
        <v/>
      </c>
      <c r="AU697" s="80">
        <f>IF(AND(D697="proMX",R697="Cancelled"),0,1)</f>
        <v>1</v>
      </c>
      <c r="AV697" s="80">
        <f>IF(AND(AB697=1,AU697=1),IF(COUNTIFS($D$5:D696,D697,$B$5:B696,B697,$Z$5:Z696,Z697,$AA$5:AA696,AA697,$F$5:F696,F697&amp;"",$AU$5:AU696,1)&gt;0,1,0),0)</f>
        <v>0</v>
      </c>
      <c r="AW697" s="80" t="str">
        <f>IF(AB697=1,INT(B697)*1440+Z697,"")</f>
        <v/>
      </c>
      <c r="AX697" s="80" t="str">
        <f>IF(AB697=1,AW697+AD697,"")</f>
        <v/>
      </c>
      <c r="AY697" s="80">
        <f>IF(AND(AB697=1,AV697=0,AU697=1),1,0)</f>
        <v>0</v>
      </c>
      <c r="AZ697" s="80">
        <f>IF(AY697=1,COUNTIFS(R_Emp,D697,R_SAbs,"&lt;"&amp;AX697,R_EAbs,"&gt;"&amp;AW697,R_OKey,1)-1,0)</f>
        <v>0</v>
      </c>
      <c r="BA697" s="80">
        <f>IF(AY697=1,COUNTIFS(R_Emp,"&lt;&gt;"&amp;D697,R_SAbs,"&lt;"&amp;AX697,R_EAbs,"&gt;"&amp;AW697,R_OKey,1),0)</f>
        <v>0</v>
      </c>
      <c r="BB697" s="80">
        <f>IF(AND(AB697=1,D697="proMX"),IF(AND(MOD(Z697,CFG_BLK)=0,MOD(AA697,CFG_BLK)=0,MOD(AG697,CFG_BLK)=0,AG697&gt;0),1,0),1)</f>
        <v>1</v>
      </c>
      <c r="BC697" s="80" t="str">
        <f>IF(Y697=0,"",IF(NOT(ISNUMBER(B697)),"Falta fecha o fecha inválida",IF(D697="","Falta empresa",IF(AND(D697&lt;&gt;"Malcolm",D697&lt;&gt;"proMX"),"Empresa inválida",IF(OR(INT(B697)&lt;CFG_PSTART,INT(B697)&gt;CFG_PEND),"Fecha fuera del período",IF(OR(NOT(ISNUMBER(Z697)),NOT(ISNUMBER(AA697))),"Falta hora inicio/fin o formato inválido",IF(AB697=0,"Hora inicio = hora fin",IF(AE697&lt;0,"Descanso inválido",IF(AE697&gt;=AD697,"Descanso ≥ duración",IF(AV697=1,"Registro duplicado",IF(AZ697&gt;0,"Se superpone con otro registro "&amp;D697,IF(BB697=0,"inicio, fin y duración neta deben ser múltiplos de "&amp;CFG_BLK&amp;" min",""))))))))))))</f>
        <v/>
      </c>
      <c r="BD697" s="80">
        <f>IF(AND(Y697=1,BC697=""),1,0)</f>
        <v>0</v>
      </c>
      <c r="BE697" s="80">
        <f>IF(AND(BD697=1,AU697=1),1,0)</f>
        <v>0</v>
      </c>
      <c r="BF697" s="80" t="str">
        <f>IF(AND(D697="proMX",BD697=1),IF(R697="","Draft",R697),"")</f>
        <v/>
      </c>
      <c r="BG697" s="80">
        <f>IF(BD697=1,ROUND(AG697/60,6),0)</f>
        <v>0</v>
      </c>
      <c r="BH697" s="80">
        <f>IF(BE697=1,ROUND(AG697/60,6),0)</f>
        <v>0</v>
      </c>
      <c r="BI697" s="80">
        <f>IF(BE697=1,ROUND(AP697/60,6),0)</f>
        <v>0</v>
      </c>
      <c r="BJ697" s="80">
        <f>IF(BE697=1,ROUND(AQ697/60,6),0)</f>
        <v>0</v>
      </c>
      <c r="BK697" s="80">
        <f>IF(BE697=1,ROUND((AR697+AS697)/60,6),0)</f>
        <v>0</v>
      </c>
      <c r="BL697" s="80">
        <f>ROUND(BH697-BK697,6)</f>
        <v>0</v>
      </c>
      <c r="BM697" s="80">
        <f>IF(BE697=1,ROUND(AR697/60,6),0)</f>
        <v>0</v>
      </c>
      <c r="BN697" s="80">
        <f>ROUND(BI697-BM697,6)</f>
        <v>0</v>
      </c>
      <c r="BO697" s="80">
        <f>IF(BE697=1,ROUND(AS697/60,6),0)</f>
        <v>0</v>
      </c>
      <c r="BP697" s="80">
        <f>ROUND(BJ697-BO697,6)</f>
        <v>0</v>
      </c>
      <c r="BQ697" s="80">
        <f>IF(BE697=1,AW697,0)</f>
        <v>0</v>
      </c>
      <c r="BR697" s="80">
        <f>IF(BE697=1,AX697,0)</f>
        <v>0</v>
      </c>
      <c r="BS697" s="80">
        <f>IF(AND(BE697=1,D697="Malcolm",BA697&gt;0),MIN(BH697,SUMPRODUCT((R_Emp="proMX")*(R_EN&gt;0)*((R_EN-(R_EN&gt;BR697)*(R_EN-BR697))&gt;(R_SN+(R_SN&lt;BQ697)*(BQ697-R_SN)))*((R_EN-(R_EN&gt;BR697)*(R_EN-BR697))-(R_SN+(R_SN&lt;BQ697)*(BQ697-R_SN))))/60),0)</f>
        <v>0</v>
      </c>
      <c r="BT697" s="80">
        <f>IF(AND(BE697=1,D697="proMX"),ROUND(BI697*CFG_RATE+BJ697*CFG_OTRATE,6),0)</f>
        <v>0</v>
      </c>
      <c r="BU697" s="80">
        <f>IF(AND(BD697=1,D697="proMX"),ROUND(AG697/CFG_BLK,6),0)</f>
        <v>0</v>
      </c>
      <c r="BV697" s="80" t="str">
        <f>IF(BF697="Approved",IF(ISNUMBER(T697),INT(T697),INT(B697)),"")</f>
        <v/>
      </c>
      <c r="BW697" s="80">
        <f>IF(ISNUMBER(B697),IF(DB_MON="Todos",1,IF(AND(INT(B697)&gt;=DB_MS,INT(B697)&lt;=DB_ME),1,0)),0)</f>
        <v>0</v>
      </c>
      <c r="BX697" s="80">
        <f>IF(DB_PROJ="Todos",1,IF(E697&amp;""=DB_PROJ&amp;"",1,0))</f>
        <v>1</v>
      </c>
      <c r="BY697" s="80">
        <f>BW697*BX697</f>
        <v>0</v>
      </c>
      <c r="BZ697" s="80" t="str">
        <f>IF(Y697=1,F697&amp;IF(AND(F697&amp;""&lt;&gt;"",E697&amp;""&lt;&gt;"")," · ","")&amp;E697,"")</f>
        <v/>
      </c>
      <c r="CA697" s="80" t="str">
        <f>IF(AND(BD697=1,E697&amp;""&lt;&gt;""),IF(COUNTIFS($E$5:E696,E697,$BD$5:BD696,1)=0,MAX($CA$5:CA696)+1,""),"")</f>
        <v/>
      </c>
      <c r="CB697" s="80" t="str">
        <f>IF(AND(BE697=1,D697="Malcolm",E697&amp;""&lt;&gt;""),IF(COUNTIFS($D$5:D696,"Malcolm",$E$5:E696,E697,$BE$5:BE696,1)=0,MAX($CB$5:CB696)+1,""),"")</f>
        <v/>
      </c>
      <c r="CC697" s="80" t="str">
        <f>IF(AND(BD697=1,D697="proMX",E697&amp;""&lt;&gt;""),IF(COUNTIFS($D$5:D696,"proMX",$E$5:E696,E697,$BD$5:BD696,1)=0,MAX($CC$5:CC696)+1,""),"")</f>
        <v/>
      </c>
      <c r="CD697" s="80" t="str">
        <f>IF(AND(BE697=1,D697="Malcolm",F697&amp;""&lt;&gt;""),IF(COUNTIFS($D$5:D696,"Malcolm",$F$5:F696,F697,$BE$5:BE696,1)=0,MAX($CD$5:CD696)+1,""),"")</f>
        <v/>
      </c>
      <c r="CE697" s="80" t="str">
        <f>IF(AND(BD697=1,D697="proMX",F697&amp;""&lt;&gt;""),IF(COUNTIFS($D$5:D696,"proMX",$F$5:F696,F697,$BD$5:BD696,1)=0,MAX($CE$5:CE696)+1,""),"")</f>
        <v/>
      </c>
      <c r="CF697" s="80" t="str">
        <f>IF(AND(D697="proMX",BD697=1),IF(OR(BF697="Draft",BF697="Submitted",BF697="Returned",BF697="Recall Requested"),MAX($CF$5:CF696)+1,""),"")</f>
        <v/>
      </c>
      <c r="CG697" s="80">
        <f>IF(BD697=0,0,IF(D697="Malcolm",1,MATCH(BF697,{"Draft","Submitted","Approved","Returned","Recall Requested","Cancelled"},0)+1))</f>
        <v>0</v>
      </c>
      <c r="CH697" s="80">
        <f>IF(AND(BF697="Submitted",ISNUMBER(V697)),IF(V697&gt;CFG_MAXD,1,0),0)</f>
        <v>0</v>
      </c>
    </row>
    <row r="698">
      <c r="A698" s="71" t="str">
        <f>IF(Y698=1,ROW()-5,"")</f>
        <v/>
      </c>
      <c r="B698" s="72" t="n"/>
      <c r="C698" s="71" t="str">
        <f>IF(ISNUMBER(B698),CHOOSE(WEEKDAY(B698,2),"Lun","Mar","Mié","Jue","Vie","Sáb","Dom"),"")</f>
        <v/>
      </c>
      <c r="D698" s="73" t="n"/>
      <c r="E698" s="74" t="n"/>
      <c r="F698" s="74" t="n"/>
      <c r="G698" s="74" t="n"/>
      <c r="H698" s="75" t="n"/>
      <c r="I698" s="75" t="n"/>
      <c r="J698" s="76" t="n"/>
      <c r="K698" s="77" t="str">
        <f>IF(AB698=1,ROUND(AG698/60,4),"")</f>
        <v/>
      </c>
      <c r="L698" s="77" t="str">
        <f>IF(BD698=1,ROUND(AP698/60,4),"")</f>
        <v/>
      </c>
      <c r="M698" s="77" t="str">
        <f>IF(BD698=1,ROUND(AQ698/60,4),"")</f>
        <v/>
      </c>
      <c r="N698" s="71" t="str">
        <f>IF(AND(D698="proMX",AB698=1),ROUND(AG698/CFG_BLK,2),"")</f>
        <v/>
      </c>
      <c r="O698" s="77" t="str">
        <f>IF(D698="proMX",IF(BD698=1,ROUND(AG698/60,4),0),"")</f>
        <v/>
      </c>
      <c r="P698" s="78" t="str">
        <f>IF(Y698=0,"",IF(BD698=1,"OK",IF(D698="proMX","Revisar bloques: ","Revisar: ")&amp;BC698))</f>
        <v/>
      </c>
      <c r="Q698" s="78" t="str">
        <f>IF(NOT(ISNUMBER(B698)),"",IF(COUNTIFS(FER_F,INT(B698))&gt;0,"Feriado"&amp;IF(AH698=1," (laborable)"," (no laborable)"),IF(AH698=1,"Laborable",IF(WEEKDAY(B698,2)&gt;5,"Fin de semana","No laborable"))))</f>
        <v/>
      </c>
      <c r="R698" s="73" t="n"/>
      <c r="S698" s="72" t="n"/>
      <c r="T698" s="72" t="n"/>
      <c r="U698" s="74" t="n"/>
      <c r="V698" s="79" t="str">
        <f>IF(AND(D698="proMX",OR(R698="Submitted",R698="Recall Requested"),ISNUMBER(S698)),CFG_TODAY-INT(S698),"")</f>
        <v/>
      </c>
      <c r="W698" s="78" t="str">
        <f>IF(BD698=0,"",IF(BA698&gt;0,"⚠ Se superpone con un registro de la otra empresa",IF(D698="Malcolm",IF(COUNTA(R698,S698,T698)&gt;0,"Estado/fechas proMX se ignoran en Malcolm",""),IF(BF698="Cancelled","Cancelado: excluido de totales",IF(R698="","Sin estado: se trata como Draft",IF(BF698="Submitted",IF(ISNUMBER(V698),IF(V698&gt;CFG_MAXD,"⚠ "&amp;V698&amp;" días en Submitted (máx. "&amp;CFG_MAXD&amp;")",""),"Falta fecha de envío"),IF(BF698="Returned","⚠ Devuelto: corregir y reenviar",IF(BF698="Recall Requested","Retirada solicitada: pendiente",IF(AND(BF698="Approved",NOT(ISNUMBER(T698))),"Falta fecha de aprobación",IF(AND(ISNUMBER(S698),ISNUMBER(T698),T698&lt;S698),"Aprobación anterior al envío","")))))))))</f>
        <v/>
      </c>
      <c r="Y698" s="80">
        <f>IF(COUNTA(B698,D698,E698,F698,G698,H698,I698,J698,R698,S698,T698)&gt;0,1,0)</f>
        <v>0</v>
      </c>
      <c r="Z698" s="80" t="str">
        <f>IF(AND(ISNUMBER(H698),H698&gt;=0,H698&lt;1),ROUND(H698*1440,0),"")</f>
        <v/>
      </c>
      <c r="AA698" s="80" t="str">
        <f>IF(AND(ISNUMBER(I698),I698&gt;=0,I698&lt;1),ROUND(I698*1440,0),"")</f>
        <v/>
      </c>
      <c r="AB698" s="80">
        <f>IF(AND(ISNUMBER(B698),D698&lt;&gt;"",ISNUMBER(Z698),ISNUMBER(AA698)),IF(Z698=AA698,0,1),0)</f>
        <v>0</v>
      </c>
      <c r="AC698" s="80">
        <f>IF(AB698=1,IF(AA698&lt;Z698,1,0),0)</f>
        <v>0</v>
      </c>
      <c r="AD698" s="80">
        <f>IF(AB698=1,IF(AC698=1,1440-Z698+AA698,AA698-Z698),0)</f>
        <v>0</v>
      </c>
      <c r="AE698" s="80">
        <f>IF(J698="",0,IF(ISNUMBER(J698),J698,-1))</f>
        <v>0</v>
      </c>
      <c r="AF698" s="80">
        <f>MIN(MAX(0,AE698),AD698)</f>
        <v>0</v>
      </c>
      <c r="AG698" s="80">
        <f>MAX(0,AD698-MAX(0,AE698))</f>
        <v>0</v>
      </c>
      <c r="AH698" s="80">
        <f>IF(ISNUMBER(B698),IF(AND(INDEX(CFG_WDAYS,WEEKDAY(INT(B698),2))="Sí",IF(D698="proMX",COUNTIFS(FER_F,INT(B698),FER_NLP,"Sí"),COUNTIFS(FER_F,INT(B698),FER_NLM,"Sí"))=0),1,0),0)</f>
        <v>0</v>
      </c>
      <c r="AI698" s="80">
        <f>IF(AC698=1,IF(AND(INDEX(CFG_WDAYS,WEEKDAY(INT(B698)+1,2))="Sí",IF(D698="proMX",COUNTIFS(FER_F,INT(B698)+1,FER_NLP,"Sí"),COUNTIFS(FER_F,INT(B698)+1,FER_NLM,"Sí"))=0),1,0),0)</f>
        <v>0</v>
      </c>
      <c r="AJ698" s="80">
        <f>IF(AC698=1,1440-Z698,AD698)</f>
        <v>0</v>
      </c>
      <c r="AK698" s="80">
        <f>IF(AND(AB698=1,AH698=1),MAX(0,MIN(IF(AC698=1,1440,AA698),CFG_WEM)-MAX(Z698,CFG_WSM)),0)</f>
        <v>0</v>
      </c>
      <c r="AL698" s="80">
        <f>IF(AND(AC698=1,AI698=1),MAX(0,MIN(AA698,CFG_WEM)-CFG_WSM),0)</f>
        <v>0</v>
      </c>
      <c r="AM698" s="80">
        <f>AK698+AL698</f>
        <v>0</v>
      </c>
      <c r="AN698" s="80">
        <f>IF(CFG_BRK="Proporcional",IF(AD698=0,0,AF698*AM698/AD698),IF(CFG_BRK="Extras primero",MIN(AM698,MAX(0,AF698-(AD698-AM698))),MIN(AF698,AM698)))</f>
        <v>0</v>
      </c>
      <c r="AO698" s="80">
        <f>AF698-AN698</f>
        <v>0</v>
      </c>
      <c r="AP698" s="80">
        <f>AM698-AN698</f>
        <v>0</v>
      </c>
      <c r="AQ698" s="80">
        <f>AD698-AM698-AO698</f>
        <v>0</v>
      </c>
      <c r="AR698" s="80">
        <f>IF(AM698=0,0,AK698-AN698*AK698/AM698)</f>
        <v>0</v>
      </c>
      <c r="AS698" s="80">
        <f>IF(AD698-AM698=0,0,(AJ698-AK698)-AO698*(AJ698-AK698)/(AD698-AM698))</f>
        <v>0</v>
      </c>
      <c r="AT698" s="80" t="str">
        <f>IF(AC698=1,INT(B698)+1,"")</f>
        <v/>
      </c>
      <c r="AU698" s="80">
        <f>IF(AND(D698="proMX",R698="Cancelled"),0,1)</f>
        <v>1</v>
      </c>
      <c r="AV698" s="80">
        <f>IF(AND(AB698=1,AU698=1),IF(COUNTIFS($D$5:D697,D698,$B$5:B697,B698,$Z$5:Z697,Z698,$AA$5:AA697,AA698,$F$5:F697,F698&amp;"",$AU$5:AU697,1)&gt;0,1,0),0)</f>
        <v>0</v>
      </c>
      <c r="AW698" s="80" t="str">
        <f>IF(AB698=1,INT(B698)*1440+Z698,"")</f>
        <v/>
      </c>
      <c r="AX698" s="80" t="str">
        <f>IF(AB698=1,AW698+AD698,"")</f>
        <v/>
      </c>
      <c r="AY698" s="80">
        <f>IF(AND(AB698=1,AV698=0,AU698=1),1,0)</f>
        <v>0</v>
      </c>
      <c r="AZ698" s="80">
        <f>IF(AY698=1,COUNTIFS(R_Emp,D698,R_SAbs,"&lt;"&amp;AX698,R_EAbs,"&gt;"&amp;AW698,R_OKey,1)-1,0)</f>
        <v>0</v>
      </c>
      <c r="BA698" s="80">
        <f>IF(AY698=1,COUNTIFS(R_Emp,"&lt;&gt;"&amp;D698,R_SAbs,"&lt;"&amp;AX698,R_EAbs,"&gt;"&amp;AW698,R_OKey,1),0)</f>
        <v>0</v>
      </c>
      <c r="BB698" s="80">
        <f>IF(AND(AB698=1,D698="proMX"),IF(AND(MOD(Z698,CFG_BLK)=0,MOD(AA698,CFG_BLK)=0,MOD(AG698,CFG_BLK)=0,AG698&gt;0),1,0),1)</f>
        <v>1</v>
      </c>
      <c r="BC698" s="80" t="str">
        <f>IF(Y698=0,"",IF(NOT(ISNUMBER(B698)),"Falta fecha o fecha inválida",IF(D698="","Falta empresa",IF(AND(D698&lt;&gt;"Malcolm",D698&lt;&gt;"proMX"),"Empresa inválida",IF(OR(INT(B698)&lt;CFG_PSTART,INT(B698)&gt;CFG_PEND),"Fecha fuera del período",IF(OR(NOT(ISNUMBER(Z698)),NOT(ISNUMBER(AA698))),"Falta hora inicio/fin o formato inválido",IF(AB698=0,"Hora inicio = hora fin",IF(AE698&lt;0,"Descanso inválido",IF(AE698&gt;=AD698,"Descanso ≥ duración",IF(AV698=1,"Registro duplicado",IF(AZ698&gt;0,"Se superpone con otro registro "&amp;D698,IF(BB698=0,"inicio, fin y duración neta deben ser múltiplos de "&amp;CFG_BLK&amp;" min",""))))))))))))</f>
        <v/>
      </c>
      <c r="BD698" s="80">
        <f>IF(AND(Y698=1,BC698=""),1,0)</f>
        <v>0</v>
      </c>
      <c r="BE698" s="80">
        <f>IF(AND(BD698=1,AU698=1),1,0)</f>
        <v>0</v>
      </c>
      <c r="BF698" s="80" t="str">
        <f>IF(AND(D698="proMX",BD698=1),IF(R698="","Draft",R698),"")</f>
        <v/>
      </c>
      <c r="BG698" s="80">
        <f>IF(BD698=1,ROUND(AG698/60,6),0)</f>
        <v>0</v>
      </c>
      <c r="BH698" s="80">
        <f>IF(BE698=1,ROUND(AG698/60,6),0)</f>
        <v>0</v>
      </c>
      <c r="BI698" s="80">
        <f>IF(BE698=1,ROUND(AP698/60,6),0)</f>
        <v>0</v>
      </c>
      <c r="BJ698" s="80">
        <f>IF(BE698=1,ROUND(AQ698/60,6),0)</f>
        <v>0</v>
      </c>
      <c r="BK698" s="80">
        <f>IF(BE698=1,ROUND((AR698+AS698)/60,6),0)</f>
        <v>0</v>
      </c>
      <c r="BL698" s="80">
        <f>ROUND(BH698-BK698,6)</f>
        <v>0</v>
      </c>
      <c r="BM698" s="80">
        <f>IF(BE698=1,ROUND(AR698/60,6),0)</f>
        <v>0</v>
      </c>
      <c r="BN698" s="80">
        <f>ROUND(BI698-BM698,6)</f>
        <v>0</v>
      </c>
      <c r="BO698" s="80">
        <f>IF(BE698=1,ROUND(AS698/60,6),0)</f>
        <v>0</v>
      </c>
      <c r="BP698" s="80">
        <f>ROUND(BJ698-BO698,6)</f>
        <v>0</v>
      </c>
      <c r="BQ698" s="80">
        <f>IF(BE698=1,AW698,0)</f>
        <v>0</v>
      </c>
      <c r="BR698" s="80">
        <f>IF(BE698=1,AX698,0)</f>
        <v>0</v>
      </c>
      <c r="BS698" s="80">
        <f>IF(AND(BE698=1,D698="Malcolm",BA698&gt;0),MIN(BH698,SUMPRODUCT((R_Emp="proMX")*(R_EN&gt;0)*((R_EN-(R_EN&gt;BR698)*(R_EN-BR698))&gt;(R_SN+(R_SN&lt;BQ698)*(BQ698-R_SN)))*((R_EN-(R_EN&gt;BR698)*(R_EN-BR698))-(R_SN+(R_SN&lt;BQ698)*(BQ698-R_SN))))/60),0)</f>
        <v>0</v>
      </c>
      <c r="BT698" s="80">
        <f>IF(AND(BE698=1,D698="proMX"),ROUND(BI698*CFG_RATE+BJ698*CFG_OTRATE,6),0)</f>
        <v>0</v>
      </c>
      <c r="BU698" s="80">
        <f>IF(AND(BD698=1,D698="proMX"),ROUND(AG698/CFG_BLK,6),0)</f>
        <v>0</v>
      </c>
      <c r="BV698" s="80" t="str">
        <f>IF(BF698="Approved",IF(ISNUMBER(T698),INT(T698),INT(B698)),"")</f>
        <v/>
      </c>
      <c r="BW698" s="80">
        <f>IF(ISNUMBER(B698),IF(DB_MON="Todos",1,IF(AND(INT(B698)&gt;=DB_MS,INT(B698)&lt;=DB_ME),1,0)),0)</f>
        <v>0</v>
      </c>
      <c r="BX698" s="80">
        <f>IF(DB_PROJ="Todos",1,IF(E698&amp;""=DB_PROJ&amp;"",1,0))</f>
        <v>1</v>
      </c>
      <c r="BY698" s="80">
        <f>BW698*BX698</f>
        <v>0</v>
      </c>
      <c r="BZ698" s="80" t="str">
        <f>IF(Y698=1,F698&amp;IF(AND(F698&amp;""&lt;&gt;"",E698&amp;""&lt;&gt;"")," · ","")&amp;E698,"")</f>
        <v/>
      </c>
      <c r="CA698" s="80" t="str">
        <f>IF(AND(BD698=1,E698&amp;""&lt;&gt;""),IF(COUNTIFS($E$5:E697,E698,$BD$5:BD697,1)=0,MAX($CA$5:CA697)+1,""),"")</f>
        <v/>
      </c>
      <c r="CB698" s="80" t="str">
        <f>IF(AND(BE698=1,D698="Malcolm",E698&amp;""&lt;&gt;""),IF(COUNTIFS($D$5:D697,"Malcolm",$E$5:E697,E698,$BE$5:BE697,1)=0,MAX($CB$5:CB697)+1,""),"")</f>
        <v/>
      </c>
      <c r="CC698" s="80" t="str">
        <f>IF(AND(BD698=1,D698="proMX",E698&amp;""&lt;&gt;""),IF(COUNTIFS($D$5:D697,"proMX",$E$5:E697,E698,$BD$5:BD697,1)=0,MAX($CC$5:CC697)+1,""),"")</f>
        <v/>
      </c>
      <c r="CD698" s="80" t="str">
        <f>IF(AND(BE698=1,D698="Malcolm",F698&amp;""&lt;&gt;""),IF(COUNTIFS($D$5:D697,"Malcolm",$F$5:F697,F698,$BE$5:BE697,1)=0,MAX($CD$5:CD697)+1,""),"")</f>
        <v/>
      </c>
      <c r="CE698" s="80" t="str">
        <f>IF(AND(BD698=1,D698="proMX",F698&amp;""&lt;&gt;""),IF(COUNTIFS($D$5:D697,"proMX",$F$5:F697,F698,$BD$5:BD697,1)=0,MAX($CE$5:CE697)+1,""),"")</f>
        <v/>
      </c>
      <c r="CF698" s="80" t="str">
        <f>IF(AND(D698="proMX",BD698=1),IF(OR(BF698="Draft",BF698="Submitted",BF698="Returned",BF698="Recall Requested"),MAX($CF$5:CF697)+1,""),"")</f>
        <v/>
      </c>
      <c r="CG698" s="80">
        <f>IF(BD698=0,0,IF(D698="Malcolm",1,MATCH(BF698,{"Draft","Submitted","Approved","Returned","Recall Requested","Cancelled"},0)+1))</f>
        <v>0</v>
      </c>
      <c r="CH698" s="80">
        <f>IF(AND(BF698="Submitted",ISNUMBER(V698)),IF(V698&gt;CFG_MAXD,1,0),0)</f>
        <v>0</v>
      </c>
    </row>
    <row r="699">
      <c r="A699" s="71" t="str">
        <f>IF(Y699=1,ROW()-5,"")</f>
        <v/>
      </c>
      <c r="B699" s="72" t="n"/>
      <c r="C699" s="71" t="str">
        <f>IF(ISNUMBER(B699),CHOOSE(WEEKDAY(B699,2),"Lun","Mar","Mié","Jue","Vie","Sáb","Dom"),"")</f>
        <v/>
      </c>
      <c r="D699" s="73" t="n"/>
      <c r="E699" s="74" t="n"/>
      <c r="F699" s="74" t="n"/>
      <c r="G699" s="74" t="n"/>
      <c r="H699" s="75" t="n"/>
      <c r="I699" s="75" t="n"/>
      <c r="J699" s="76" t="n"/>
      <c r="K699" s="77" t="str">
        <f>IF(AB699=1,ROUND(AG699/60,4),"")</f>
        <v/>
      </c>
      <c r="L699" s="77" t="str">
        <f>IF(BD699=1,ROUND(AP699/60,4),"")</f>
        <v/>
      </c>
      <c r="M699" s="77" t="str">
        <f>IF(BD699=1,ROUND(AQ699/60,4),"")</f>
        <v/>
      </c>
      <c r="N699" s="71" t="str">
        <f>IF(AND(D699="proMX",AB699=1),ROUND(AG699/CFG_BLK,2),"")</f>
        <v/>
      </c>
      <c r="O699" s="77" t="str">
        <f>IF(D699="proMX",IF(BD699=1,ROUND(AG699/60,4),0),"")</f>
        <v/>
      </c>
      <c r="P699" s="78" t="str">
        <f>IF(Y699=0,"",IF(BD699=1,"OK",IF(D699="proMX","Revisar bloques: ","Revisar: ")&amp;BC699))</f>
        <v/>
      </c>
      <c r="Q699" s="78" t="str">
        <f>IF(NOT(ISNUMBER(B699)),"",IF(COUNTIFS(FER_F,INT(B699))&gt;0,"Feriado"&amp;IF(AH699=1," (laborable)"," (no laborable)"),IF(AH699=1,"Laborable",IF(WEEKDAY(B699,2)&gt;5,"Fin de semana","No laborable"))))</f>
        <v/>
      </c>
      <c r="R699" s="73" t="n"/>
      <c r="S699" s="72" t="n"/>
      <c r="T699" s="72" t="n"/>
      <c r="U699" s="74" t="n"/>
      <c r="V699" s="79" t="str">
        <f>IF(AND(D699="proMX",OR(R699="Submitted",R699="Recall Requested"),ISNUMBER(S699)),CFG_TODAY-INT(S699),"")</f>
        <v/>
      </c>
      <c r="W699" s="78" t="str">
        <f>IF(BD699=0,"",IF(BA699&gt;0,"⚠ Se superpone con un registro de la otra empresa",IF(D699="Malcolm",IF(COUNTA(R699,S699,T699)&gt;0,"Estado/fechas proMX se ignoran en Malcolm",""),IF(BF699="Cancelled","Cancelado: excluido de totales",IF(R699="","Sin estado: se trata como Draft",IF(BF699="Submitted",IF(ISNUMBER(V699),IF(V699&gt;CFG_MAXD,"⚠ "&amp;V699&amp;" días en Submitted (máx. "&amp;CFG_MAXD&amp;")",""),"Falta fecha de envío"),IF(BF699="Returned","⚠ Devuelto: corregir y reenviar",IF(BF699="Recall Requested","Retirada solicitada: pendiente",IF(AND(BF699="Approved",NOT(ISNUMBER(T699))),"Falta fecha de aprobación",IF(AND(ISNUMBER(S699),ISNUMBER(T699),T699&lt;S699),"Aprobación anterior al envío","")))))))))</f>
        <v/>
      </c>
      <c r="Y699" s="80">
        <f>IF(COUNTA(B699,D699,E699,F699,G699,H699,I699,J699,R699,S699,T699)&gt;0,1,0)</f>
        <v>0</v>
      </c>
      <c r="Z699" s="80" t="str">
        <f>IF(AND(ISNUMBER(H699),H699&gt;=0,H699&lt;1),ROUND(H699*1440,0),"")</f>
        <v/>
      </c>
      <c r="AA699" s="80" t="str">
        <f>IF(AND(ISNUMBER(I699),I699&gt;=0,I699&lt;1),ROUND(I699*1440,0),"")</f>
        <v/>
      </c>
      <c r="AB699" s="80">
        <f>IF(AND(ISNUMBER(B699),D699&lt;&gt;"",ISNUMBER(Z699),ISNUMBER(AA699)),IF(Z699=AA699,0,1),0)</f>
        <v>0</v>
      </c>
      <c r="AC699" s="80">
        <f>IF(AB699=1,IF(AA699&lt;Z699,1,0),0)</f>
        <v>0</v>
      </c>
      <c r="AD699" s="80">
        <f>IF(AB699=1,IF(AC699=1,1440-Z699+AA699,AA699-Z699),0)</f>
        <v>0</v>
      </c>
      <c r="AE699" s="80">
        <f>IF(J699="",0,IF(ISNUMBER(J699),J699,-1))</f>
        <v>0</v>
      </c>
      <c r="AF699" s="80">
        <f>MIN(MAX(0,AE699),AD699)</f>
        <v>0</v>
      </c>
      <c r="AG699" s="80">
        <f>MAX(0,AD699-MAX(0,AE699))</f>
        <v>0</v>
      </c>
      <c r="AH699" s="80">
        <f>IF(ISNUMBER(B699),IF(AND(INDEX(CFG_WDAYS,WEEKDAY(INT(B699),2))="Sí",IF(D699="proMX",COUNTIFS(FER_F,INT(B699),FER_NLP,"Sí"),COUNTIFS(FER_F,INT(B699),FER_NLM,"Sí"))=0),1,0),0)</f>
        <v>0</v>
      </c>
      <c r="AI699" s="80">
        <f>IF(AC699=1,IF(AND(INDEX(CFG_WDAYS,WEEKDAY(INT(B699)+1,2))="Sí",IF(D699="proMX",COUNTIFS(FER_F,INT(B699)+1,FER_NLP,"Sí"),COUNTIFS(FER_F,INT(B699)+1,FER_NLM,"Sí"))=0),1,0),0)</f>
        <v>0</v>
      </c>
      <c r="AJ699" s="80">
        <f>IF(AC699=1,1440-Z699,AD699)</f>
        <v>0</v>
      </c>
      <c r="AK699" s="80">
        <f>IF(AND(AB699=1,AH699=1),MAX(0,MIN(IF(AC699=1,1440,AA699),CFG_WEM)-MAX(Z699,CFG_WSM)),0)</f>
        <v>0</v>
      </c>
      <c r="AL699" s="80">
        <f>IF(AND(AC699=1,AI699=1),MAX(0,MIN(AA699,CFG_WEM)-CFG_WSM),0)</f>
        <v>0</v>
      </c>
      <c r="AM699" s="80">
        <f>AK699+AL699</f>
        <v>0</v>
      </c>
      <c r="AN699" s="80">
        <f>IF(CFG_BRK="Proporcional",IF(AD699=0,0,AF699*AM699/AD699),IF(CFG_BRK="Extras primero",MIN(AM699,MAX(0,AF699-(AD699-AM699))),MIN(AF699,AM699)))</f>
        <v>0</v>
      </c>
      <c r="AO699" s="80">
        <f>AF699-AN699</f>
        <v>0</v>
      </c>
      <c r="AP699" s="80">
        <f>AM699-AN699</f>
        <v>0</v>
      </c>
      <c r="AQ699" s="80">
        <f>AD699-AM699-AO699</f>
        <v>0</v>
      </c>
      <c r="AR699" s="80">
        <f>IF(AM699=0,0,AK699-AN699*AK699/AM699)</f>
        <v>0</v>
      </c>
      <c r="AS699" s="80">
        <f>IF(AD699-AM699=0,0,(AJ699-AK699)-AO699*(AJ699-AK699)/(AD699-AM699))</f>
        <v>0</v>
      </c>
      <c r="AT699" s="80" t="str">
        <f>IF(AC699=1,INT(B699)+1,"")</f>
        <v/>
      </c>
      <c r="AU699" s="80">
        <f>IF(AND(D699="proMX",R699="Cancelled"),0,1)</f>
        <v>1</v>
      </c>
      <c r="AV699" s="80">
        <f>IF(AND(AB699=1,AU699=1),IF(COUNTIFS($D$5:D698,D699,$B$5:B698,B699,$Z$5:Z698,Z699,$AA$5:AA698,AA699,$F$5:F698,F699&amp;"",$AU$5:AU698,1)&gt;0,1,0),0)</f>
        <v>0</v>
      </c>
      <c r="AW699" s="80" t="str">
        <f>IF(AB699=1,INT(B699)*1440+Z699,"")</f>
        <v/>
      </c>
      <c r="AX699" s="80" t="str">
        <f>IF(AB699=1,AW699+AD699,"")</f>
        <v/>
      </c>
      <c r="AY699" s="80">
        <f>IF(AND(AB699=1,AV699=0,AU699=1),1,0)</f>
        <v>0</v>
      </c>
      <c r="AZ699" s="80">
        <f>IF(AY699=1,COUNTIFS(R_Emp,D699,R_SAbs,"&lt;"&amp;AX699,R_EAbs,"&gt;"&amp;AW699,R_OKey,1)-1,0)</f>
        <v>0</v>
      </c>
      <c r="BA699" s="80">
        <f>IF(AY699=1,COUNTIFS(R_Emp,"&lt;&gt;"&amp;D699,R_SAbs,"&lt;"&amp;AX699,R_EAbs,"&gt;"&amp;AW699,R_OKey,1),0)</f>
        <v>0</v>
      </c>
      <c r="BB699" s="80">
        <f>IF(AND(AB699=1,D699="proMX"),IF(AND(MOD(Z699,CFG_BLK)=0,MOD(AA699,CFG_BLK)=0,MOD(AG699,CFG_BLK)=0,AG699&gt;0),1,0),1)</f>
        <v>1</v>
      </c>
      <c r="BC699" s="80" t="str">
        <f>IF(Y699=0,"",IF(NOT(ISNUMBER(B699)),"Falta fecha o fecha inválida",IF(D699="","Falta empresa",IF(AND(D699&lt;&gt;"Malcolm",D699&lt;&gt;"proMX"),"Empresa inválida",IF(OR(INT(B699)&lt;CFG_PSTART,INT(B699)&gt;CFG_PEND),"Fecha fuera del período",IF(OR(NOT(ISNUMBER(Z699)),NOT(ISNUMBER(AA699))),"Falta hora inicio/fin o formato inválido",IF(AB699=0,"Hora inicio = hora fin",IF(AE699&lt;0,"Descanso inválido",IF(AE699&gt;=AD699,"Descanso ≥ duración",IF(AV699=1,"Registro duplicado",IF(AZ699&gt;0,"Se superpone con otro registro "&amp;D699,IF(BB699=0,"inicio, fin y duración neta deben ser múltiplos de "&amp;CFG_BLK&amp;" min",""))))))))))))</f>
        <v/>
      </c>
      <c r="BD699" s="80">
        <f>IF(AND(Y699=1,BC699=""),1,0)</f>
        <v>0</v>
      </c>
      <c r="BE699" s="80">
        <f>IF(AND(BD699=1,AU699=1),1,0)</f>
        <v>0</v>
      </c>
      <c r="BF699" s="80" t="str">
        <f>IF(AND(D699="proMX",BD699=1),IF(R699="","Draft",R699),"")</f>
        <v/>
      </c>
      <c r="BG699" s="80">
        <f>IF(BD699=1,ROUND(AG699/60,6),0)</f>
        <v>0</v>
      </c>
      <c r="BH699" s="80">
        <f>IF(BE699=1,ROUND(AG699/60,6),0)</f>
        <v>0</v>
      </c>
      <c r="BI699" s="80">
        <f>IF(BE699=1,ROUND(AP699/60,6),0)</f>
        <v>0</v>
      </c>
      <c r="BJ699" s="80">
        <f>IF(BE699=1,ROUND(AQ699/60,6),0)</f>
        <v>0</v>
      </c>
      <c r="BK699" s="80">
        <f>IF(BE699=1,ROUND((AR699+AS699)/60,6),0)</f>
        <v>0</v>
      </c>
      <c r="BL699" s="80">
        <f>ROUND(BH699-BK699,6)</f>
        <v>0</v>
      </c>
      <c r="BM699" s="80">
        <f>IF(BE699=1,ROUND(AR699/60,6),0)</f>
        <v>0</v>
      </c>
      <c r="BN699" s="80">
        <f>ROUND(BI699-BM699,6)</f>
        <v>0</v>
      </c>
      <c r="BO699" s="80">
        <f>IF(BE699=1,ROUND(AS699/60,6),0)</f>
        <v>0</v>
      </c>
      <c r="BP699" s="80">
        <f>ROUND(BJ699-BO699,6)</f>
        <v>0</v>
      </c>
      <c r="BQ699" s="80">
        <f>IF(BE699=1,AW699,0)</f>
        <v>0</v>
      </c>
      <c r="BR699" s="80">
        <f>IF(BE699=1,AX699,0)</f>
        <v>0</v>
      </c>
      <c r="BS699" s="80">
        <f>IF(AND(BE699=1,D699="Malcolm",BA699&gt;0),MIN(BH699,SUMPRODUCT((R_Emp="proMX")*(R_EN&gt;0)*((R_EN-(R_EN&gt;BR699)*(R_EN-BR699))&gt;(R_SN+(R_SN&lt;BQ699)*(BQ699-R_SN)))*((R_EN-(R_EN&gt;BR699)*(R_EN-BR699))-(R_SN+(R_SN&lt;BQ699)*(BQ699-R_SN))))/60),0)</f>
        <v>0</v>
      </c>
      <c r="BT699" s="80">
        <f>IF(AND(BE699=1,D699="proMX"),ROUND(BI699*CFG_RATE+BJ699*CFG_OTRATE,6),0)</f>
        <v>0</v>
      </c>
      <c r="BU699" s="80">
        <f>IF(AND(BD699=1,D699="proMX"),ROUND(AG699/CFG_BLK,6),0)</f>
        <v>0</v>
      </c>
      <c r="BV699" s="80" t="str">
        <f>IF(BF699="Approved",IF(ISNUMBER(T699),INT(T699),INT(B699)),"")</f>
        <v/>
      </c>
      <c r="BW699" s="80">
        <f>IF(ISNUMBER(B699),IF(DB_MON="Todos",1,IF(AND(INT(B699)&gt;=DB_MS,INT(B699)&lt;=DB_ME),1,0)),0)</f>
        <v>0</v>
      </c>
      <c r="BX699" s="80">
        <f>IF(DB_PROJ="Todos",1,IF(E699&amp;""=DB_PROJ&amp;"",1,0))</f>
        <v>1</v>
      </c>
      <c r="BY699" s="80">
        <f>BW699*BX699</f>
        <v>0</v>
      </c>
      <c r="BZ699" s="80" t="str">
        <f>IF(Y699=1,F699&amp;IF(AND(F699&amp;""&lt;&gt;"",E699&amp;""&lt;&gt;"")," · ","")&amp;E699,"")</f>
        <v/>
      </c>
      <c r="CA699" s="80" t="str">
        <f>IF(AND(BD699=1,E699&amp;""&lt;&gt;""),IF(COUNTIFS($E$5:E698,E699,$BD$5:BD698,1)=0,MAX($CA$5:CA698)+1,""),"")</f>
        <v/>
      </c>
      <c r="CB699" s="80" t="str">
        <f>IF(AND(BE699=1,D699="Malcolm",E699&amp;""&lt;&gt;""),IF(COUNTIFS($D$5:D698,"Malcolm",$E$5:E698,E699,$BE$5:BE698,1)=0,MAX($CB$5:CB698)+1,""),"")</f>
        <v/>
      </c>
      <c r="CC699" s="80" t="str">
        <f>IF(AND(BD699=1,D699="proMX",E699&amp;""&lt;&gt;""),IF(COUNTIFS($D$5:D698,"proMX",$E$5:E698,E699,$BD$5:BD698,1)=0,MAX($CC$5:CC698)+1,""),"")</f>
        <v/>
      </c>
      <c r="CD699" s="80" t="str">
        <f>IF(AND(BE699=1,D699="Malcolm",F699&amp;""&lt;&gt;""),IF(COUNTIFS($D$5:D698,"Malcolm",$F$5:F698,F699,$BE$5:BE698,1)=0,MAX($CD$5:CD698)+1,""),"")</f>
        <v/>
      </c>
      <c r="CE699" s="80" t="str">
        <f>IF(AND(BD699=1,D699="proMX",F699&amp;""&lt;&gt;""),IF(COUNTIFS($D$5:D698,"proMX",$F$5:F698,F699,$BD$5:BD698,1)=0,MAX($CE$5:CE698)+1,""),"")</f>
        <v/>
      </c>
      <c r="CF699" s="80" t="str">
        <f>IF(AND(D699="proMX",BD699=1),IF(OR(BF699="Draft",BF699="Submitted",BF699="Returned",BF699="Recall Requested"),MAX($CF$5:CF698)+1,""),"")</f>
        <v/>
      </c>
      <c r="CG699" s="80">
        <f>IF(BD699=0,0,IF(D699="Malcolm",1,MATCH(BF699,{"Draft","Submitted","Approved","Returned","Recall Requested","Cancelled"},0)+1))</f>
        <v>0</v>
      </c>
      <c r="CH699" s="80">
        <f>IF(AND(BF699="Submitted",ISNUMBER(V699)),IF(V699&gt;CFG_MAXD,1,0),0)</f>
        <v>0</v>
      </c>
    </row>
    <row r="700">
      <c r="A700" s="71" t="str">
        <f>IF(Y700=1,ROW()-5,"")</f>
        <v/>
      </c>
      <c r="B700" s="72" t="n"/>
      <c r="C700" s="71" t="str">
        <f>IF(ISNUMBER(B700),CHOOSE(WEEKDAY(B700,2),"Lun","Mar","Mié","Jue","Vie","Sáb","Dom"),"")</f>
        <v/>
      </c>
      <c r="D700" s="73" t="n"/>
      <c r="E700" s="74" t="n"/>
      <c r="F700" s="74" t="n"/>
      <c r="G700" s="74" t="n"/>
      <c r="H700" s="75" t="n"/>
      <c r="I700" s="75" t="n"/>
      <c r="J700" s="76" t="n"/>
      <c r="K700" s="77" t="str">
        <f>IF(AB700=1,ROUND(AG700/60,4),"")</f>
        <v/>
      </c>
      <c r="L700" s="77" t="str">
        <f>IF(BD700=1,ROUND(AP700/60,4),"")</f>
        <v/>
      </c>
      <c r="M700" s="77" t="str">
        <f>IF(BD700=1,ROUND(AQ700/60,4),"")</f>
        <v/>
      </c>
      <c r="N700" s="71" t="str">
        <f>IF(AND(D700="proMX",AB700=1),ROUND(AG700/CFG_BLK,2),"")</f>
        <v/>
      </c>
      <c r="O700" s="77" t="str">
        <f>IF(D700="proMX",IF(BD700=1,ROUND(AG700/60,4),0),"")</f>
        <v/>
      </c>
      <c r="P700" s="78" t="str">
        <f>IF(Y700=0,"",IF(BD700=1,"OK",IF(D700="proMX","Revisar bloques: ","Revisar: ")&amp;BC700))</f>
        <v/>
      </c>
      <c r="Q700" s="78" t="str">
        <f>IF(NOT(ISNUMBER(B700)),"",IF(COUNTIFS(FER_F,INT(B700))&gt;0,"Feriado"&amp;IF(AH700=1," (laborable)"," (no laborable)"),IF(AH700=1,"Laborable",IF(WEEKDAY(B700,2)&gt;5,"Fin de semana","No laborable"))))</f>
        <v/>
      </c>
      <c r="R700" s="73" t="n"/>
      <c r="S700" s="72" t="n"/>
      <c r="T700" s="72" t="n"/>
      <c r="U700" s="74" t="n"/>
      <c r="V700" s="79" t="str">
        <f>IF(AND(D700="proMX",OR(R700="Submitted",R700="Recall Requested"),ISNUMBER(S700)),CFG_TODAY-INT(S700),"")</f>
        <v/>
      </c>
      <c r="W700" s="78" t="str">
        <f>IF(BD700=0,"",IF(BA700&gt;0,"⚠ Se superpone con un registro de la otra empresa",IF(D700="Malcolm",IF(COUNTA(R700,S700,T700)&gt;0,"Estado/fechas proMX se ignoran en Malcolm",""),IF(BF700="Cancelled","Cancelado: excluido de totales",IF(R700="","Sin estado: se trata como Draft",IF(BF700="Submitted",IF(ISNUMBER(V700),IF(V700&gt;CFG_MAXD,"⚠ "&amp;V700&amp;" días en Submitted (máx. "&amp;CFG_MAXD&amp;")",""),"Falta fecha de envío"),IF(BF700="Returned","⚠ Devuelto: corregir y reenviar",IF(BF700="Recall Requested","Retirada solicitada: pendiente",IF(AND(BF700="Approved",NOT(ISNUMBER(T700))),"Falta fecha de aprobación",IF(AND(ISNUMBER(S700),ISNUMBER(T700),T700&lt;S700),"Aprobación anterior al envío","")))))))))</f>
        <v/>
      </c>
      <c r="Y700" s="80">
        <f>IF(COUNTA(B700,D700,E700,F700,G700,H700,I700,J700,R700,S700,T700)&gt;0,1,0)</f>
        <v>0</v>
      </c>
      <c r="Z700" s="80" t="str">
        <f>IF(AND(ISNUMBER(H700),H700&gt;=0,H700&lt;1),ROUND(H700*1440,0),"")</f>
        <v/>
      </c>
      <c r="AA700" s="80" t="str">
        <f>IF(AND(ISNUMBER(I700),I700&gt;=0,I700&lt;1),ROUND(I700*1440,0),"")</f>
        <v/>
      </c>
      <c r="AB700" s="80">
        <f>IF(AND(ISNUMBER(B700),D700&lt;&gt;"",ISNUMBER(Z700),ISNUMBER(AA700)),IF(Z700=AA700,0,1),0)</f>
        <v>0</v>
      </c>
      <c r="AC700" s="80">
        <f>IF(AB700=1,IF(AA700&lt;Z700,1,0),0)</f>
        <v>0</v>
      </c>
      <c r="AD700" s="80">
        <f>IF(AB700=1,IF(AC700=1,1440-Z700+AA700,AA700-Z700),0)</f>
        <v>0</v>
      </c>
      <c r="AE700" s="80">
        <f>IF(J700="",0,IF(ISNUMBER(J700),J700,-1))</f>
        <v>0</v>
      </c>
      <c r="AF700" s="80">
        <f>MIN(MAX(0,AE700),AD700)</f>
        <v>0</v>
      </c>
      <c r="AG700" s="80">
        <f>MAX(0,AD700-MAX(0,AE700))</f>
        <v>0</v>
      </c>
      <c r="AH700" s="80">
        <f>IF(ISNUMBER(B700),IF(AND(INDEX(CFG_WDAYS,WEEKDAY(INT(B700),2))="Sí",IF(D700="proMX",COUNTIFS(FER_F,INT(B700),FER_NLP,"Sí"),COUNTIFS(FER_F,INT(B700),FER_NLM,"Sí"))=0),1,0),0)</f>
        <v>0</v>
      </c>
      <c r="AI700" s="80">
        <f>IF(AC700=1,IF(AND(INDEX(CFG_WDAYS,WEEKDAY(INT(B700)+1,2))="Sí",IF(D700="proMX",COUNTIFS(FER_F,INT(B700)+1,FER_NLP,"Sí"),COUNTIFS(FER_F,INT(B700)+1,FER_NLM,"Sí"))=0),1,0),0)</f>
        <v>0</v>
      </c>
      <c r="AJ700" s="80">
        <f>IF(AC700=1,1440-Z700,AD700)</f>
        <v>0</v>
      </c>
      <c r="AK700" s="80">
        <f>IF(AND(AB700=1,AH700=1),MAX(0,MIN(IF(AC700=1,1440,AA700),CFG_WEM)-MAX(Z700,CFG_WSM)),0)</f>
        <v>0</v>
      </c>
      <c r="AL700" s="80">
        <f>IF(AND(AC700=1,AI700=1),MAX(0,MIN(AA700,CFG_WEM)-CFG_WSM),0)</f>
        <v>0</v>
      </c>
      <c r="AM700" s="80">
        <f>AK700+AL700</f>
        <v>0</v>
      </c>
      <c r="AN700" s="80">
        <f>IF(CFG_BRK="Proporcional",IF(AD700=0,0,AF700*AM700/AD700),IF(CFG_BRK="Extras primero",MIN(AM700,MAX(0,AF700-(AD700-AM700))),MIN(AF700,AM700)))</f>
        <v>0</v>
      </c>
      <c r="AO700" s="80">
        <f>AF700-AN700</f>
        <v>0</v>
      </c>
      <c r="AP700" s="80">
        <f>AM700-AN700</f>
        <v>0</v>
      </c>
      <c r="AQ700" s="80">
        <f>AD700-AM700-AO700</f>
        <v>0</v>
      </c>
      <c r="AR700" s="80">
        <f>IF(AM700=0,0,AK700-AN700*AK700/AM700)</f>
        <v>0</v>
      </c>
      <c r="AS700" s="80">
        <f>IF(AD700-AM700=0,0,(AJ700-AK700)-AO700*(AJ700-AK700)/(AD700-AM700))</f>
        <v>0</v>
      </c>
      <c r="AT700" s="80" t="str">
        <f>IF(AC700=1,INT(B700)+1,"")</f>
        <v/>
      </c>
      <c r="AU700" s="80">
        <f>IF(AND(D700="proMX",R700="Cancelled"),0,1)</f>
        <v>1</v>
      </c>
      <c r="AV700" s="80">
        <f>IF(AND(AB700=1,AU700=1),IF(COUNTIFS($D$5:D699,D700,$B$5:B699,B700,$Z$5:Z699,Z700,$AA$5:AA699,AA700,$F$5:F699,F700&amp;"",$AU$5:AU699,1)&gt;0,1,0),0)</f>
        <v>0</v>
      </c>
      <c r="AW700" s="80" t="str">
        <f>IF(AB700=1,INT(B700)*1440+Z700,"")</f>
        <v/>
      </c>
      <c r="AX700" s="80" t="str">
        <f>IF(AB700=1,AW700+AD700,"")</f>
        <v/>
      </c>
      <c r="AY700" s="80">
        <f>IF(AND(AB700=1,AV700=0,AU700=1),1,0)</f>
        <v>0</v>
      </c>
      <c r="AZ700" s="80">
        <f>IF(AY700=1,COUNTIFS(R_Emp,D700,R_SAbs,"&lt;"&amp;AX700,R_EAbs,"&gt;"&amp;AW700,R_OKey,1)-1,0)</f>
        <v>0</v>
      </c>
      <c r="BA700" s="80">
        <f>IF(AY700=1,COUNTIFS(R_Emp,"&lt;&gt;"&amp;D700,R_SAbs,"&lt;"&amp;AX700,R_EAbs,"&gt;"&amp;AW700,R_OKey,1),0)</f>
        <v>0</v>
      </c>
      <c r="BB700" s="80">
        <f>IF(AND(AB700=1,D700="proMX"),IF(AND(MOD(Z700,CFG_BLK)=0,MOD(AA700,CFG_BLK)=0,MOD(AG700,CFG_BLK)=0,AG700&gt;0),1,0),1)</f>
        <v>1</v>
      </c>
      <c r="BC700" s="80" t="str">
        <f>IF(Y700=0,"",IF(NOT(ISNUMBER(B700)),"Falta fecha o fecha inválida",IF(D700="","Falta empresa",IF(AND(D700&lt;&gt;"Malcolm",D700&lt;&gt;"proMX"),"Empresa inválida",IF(OR(INT(B700)&lt;CFG_PSTART,INT(B700)&gt;CFG_PEND),"Fecha fuera del período",IF(OR(NOT(ISNUMBER(Z700)),NOT(ISNUMBER(AA700))),"Falta hora inicio/fin o formato inválido",IF(AB700=0,"Hora inicio = hora fin",IF(AE700&lt;0,"Descanso inválido",IF(AE700&gt;=AD700,"Descanso ≥ duración",IF(AV700=1,"Registro duplicado",IF(AZ700&gt;0,"Se superpone con otro registro "&amp;D700,IF(BB700=0,"inicio, fin y duración neta deben ser múltiplos de "&amp;CFG_BLK&amp;" min",""))))))))))))</f>
        <v/>
      </c>
      <c r="BD700" s="80">
        <f>IF(AND(Y700=1,BC700=""),1,0)</f>
        <v>0</v>
      </c>
      <c r="BE700" s="80">
        <f>IF(AND(BD700=1,AU700=1),1,0)</f>
        <v>0</v>
      </c>
      <c r="BF700" s="80" t="str">
        <f>IF(AND(D700="proMX",BD700=1),IF(R700="","Draft",R700),"")</f>
        <v/>
      </c>
      <c r="BG700" s="80">
        <f>IF(BD700=1,ROUND(AG700/60,6),0)</f>
        <v>0</v>
      </c>
      <c r="BH700" s="80">
        <f>IF(BE700=1,ROUND(AG700/60,6),0)</f>
        <v>0</v>
      </c>
      <c r="BI700" s="80">
        <f>IF(BE700=1,ROUND(AP700/60,6),0)</f>
        <v>0</v>
      </c>
      <c r="BJ700" s="80">
        <f>IF(BE700=1,ROUND(AQ700/60,6),0)</f>
        <v>0</v>
      </c>
      <c r="BK700" s="80">
        <f>IF(BE700=1,ROUND((AR700+AS700)/60,6),0)</f>
        <v>0</v>
      </c>
      <c r="BL700" s="80">
        <f>ROUND(BH700-BK700,6)</f>
        <v>0</v>
      </c>
      <c r="BM700" s="80">
        <f>IF(BE700=1,ROUND(AR700/60,6),0)</f>
        <v>0</v>
      </c>
      <c r="BN700" s="80">
        <f>ROUND(BI700-BM700,6)</f>
        <v>0</v>
      </c>
      <c r="BO700" s="80">
        <f>IF(BE700=1,ROUND(AS700/60,6),0)</f>
        <v>0</v>
      </c>
      <c r="BP700" s="80">
        <f>ROUND(BJ700-BO700,6)</f>
        <v>0</v>
      </c>
      <c r="BQ700" s="80">
        <f>IF(BE700=1,AW700,0)</f>
        <v>0</v>
      </c>
      <c r="BR700" s="80">
        <f>IF(BE700=1,AX700,0)</f>
        <v>0</v>
      </c>
      <c r="BS700" s="80">
        <f>IF(AND(BE700=1,D700="Malcolm",BA700&gt;0),MIN(BH700,SUMPRODUCT((R_Emp="proMX")*(R_EN&gt;0)*((R_EN-(R_EN&gt;BR700)*(R_EN-BR700))&gt;(R_SN+(R_SN&lt;BQ700)*(BQ700-R_SN)))*((R_EN-(R_EN&gt;BR700)*(R_EN-BR700))-(R_SN+(R_SN&lt;BQ700)*(BQ700-R_SN))))/60),0)</f>
        <v>0</v>
      </c>
      <c r="BT700" s="80">
        <f>IF(AND(BE700=1,D700="proMX"),ROUND(BI700*CFG_RATE+BJ700*CFG_OTRATE,6),0)</f>
        <v>0</v>
      </c>
      <c r="BU700" s="80">
        <f>IF(AND(BD700=1,D700="proMX"),ROUND(AG700/CFG_BLK,6),0)</f>
        <v>0</v>
      </c>
      <c r="BV700" s="80" t="str">
        <f>IF(BF700="Approved",IF(ISNUMBER(T700),INT(T700),INT(B700)),"")</f>
        <v/>
      </c>
      <c r="BW700" s="80">
        <f>IF(ISNUMBER(B700),IF(DB_MON="Todos",1,IF(AND(INT(B700)&gt;=DB_MS,INT(B700)&lt;=DB_ME),1,0)),0)</f>
        <v>0</v>
      </c>
      <c r="BX700" s="80">
        <f>IF(DB_PROJ="Todos",1,IF(E700&amp;""=DB_PROJ&amp;"",1,0))</f>
        <v>1</v>
      </c>
      <c r="BY700" s="80">
        <f>BW700*BX700</f>
        <v>0</v>
      </c>
      <c r="BZ700" s="80" t="str">
        <f>IF(Y700=1,F700&amp;IF(AND(F700&amp;""&lt;&gt;"",E700&amp;""&lt;&gt;"")," · ","")&amp;E700,"")</f>
        <v/>
      </c>
      <c r="CA700" s="80" t="str">
        <f>IF(AND(BD700=1,E700&amp;""&lt;&gt;""),IF(COUNTIFS($E$5:E699,E700,$BD$5:BD699,1)=0,MAX($CA$5:CA699)+1,""),"")</f>
        <v/>
      </c>
      <c r="CB700" s="80" t="str">
        <f>IF(AND(BE700=1,D700="Malcolm",E700&amp;""&lt;&gt;""),IF(COUNTIFS($D$5:D699,"Malcolm",$E$5:E699,E700,$BE$5:BE699,1)=0,MAX($CB$5:CB699)+1,""),"")</f>
        <v/>
      </c>
      <c r="CC700" s="80" t="str">
        <f>IF(AND(BD700=1,D700="proMX",E700&amp;""&lt;&gt;""),IF(COUNTIFS($D$5:D699,"proMX",$E$5:E699,E700,$BD$5:BD699,1)=0,MAX($CC$5:CC699)+1,""),"")</f>
        <v/>
      </c>
      <c r="CD700" s="80" t="str">
        <f>IF(AND(BE700=1,D700="Malcolm",F700&amp;""&lt;&gt;""),IF(COUNTIFS($D$5:D699,"Malcolm",$F$5:F699,F700,$BE$5:BE699,1)=0,MAX($CD$5:CD699)+1,""),"")</f>
        <v/>
      </c>
      <c r="CE700" s="80" t="str">
        <f>IF(AND(BD700=1,D700="proMX",F700&amp;""&lt;&gt;""),IF(COUNTIFS($D$5:D699,"proMX",$F$5:F699,F700,$BD$5:BD699,1)=0,MAX($CE$5:CE699)+1,""),"")</f>
        <v/>
      </c>
      <c r="CF700" s="80" t="str">
        <f>IF(AND(D700="proMX",BD700=1),IF(OR(BF700="Draft",BF700="Submitted",BF700="Returned",BF700="Recall Requested"),MAX($CF$5:CF699)+1,""),"")</f>
        <v/>
      </c>
      <c r="CG700" s="80">
        <f>IF(BD700=0,0,IF(D700="Malcolm",1,MATCH(BF700,{"Draft","Submitted","Approved","Returned","Recall Requested","Cancelled"},0)+1))</f>
        <v>0</v>
      </c>
      <c r="CH700" s="80">
        <f>IF(AND(BF700="Submitted",ISNUMBER(V700)),IF(V700&gt;CFG_MAXD,1,0),0)</f>
        <v>0</v>
      </c>
    </row>
    <row r="701">
      <c r="A701" s="71" t="str">
        <f>IF(Y701=1,ROW()-5,"")</f>
        <v/>
      </c>
      <c r="B701" s="72" t="n"/>
      <c r="C701" s="71" t="str">
        <f>IF(ISNUMBER(B701),CHOOSE(WEEKDAY(B701,2),"Lun","Mar","Mié","Jue","Vie","Sáb","Dom"),"")</f>
        <v/>
      </c>
      <c r="D701" s="73" t="n"/>
      <c r="E701" s="74" t="n"/>
      <c r="F701" s="74" t="n"/>
      <c r="G701" s="74" t="n"/>
      <c r="H701" s="75" t="n"/>
      <c r="I701" s="75" t="n"/>
      <c r="J701" s="76" t="n"/>
      <c r="K701" s="77" t="str">
        <f>IF(AB701=1,ROUND(AG701/60,4),"")</f>
        <v/>
      </c>
      <c r="L701" s="77" t="str">
        <f>IF(BD701=1,ROUND(AP701/60,4),"")</f>
        <v/>
      </c>
      <c r="M701" s="77" t="str">
        <f>IF(BD701=1,ROUND(AQ701/60,4),"")</f>
        <v/>
      </c>
      <c r="N701" s="71" t="str">
        <f>IF(AND(D701="proMX",AB701=1),ROUND(AG701/CFG_BLK,2),"")</f>
        <v/>
      </c>
      <c r="O701" s="77" t="str">
        <f>IF(D701="proMX",IF(BD701=1,ROUND(AG701/60,4),0),"")</f>
        <v/>
      </c>
      <c r="P701" s="78" t="str">
        <f>IF(Y701=0,"",IF(BD701=1,"OK",IF(D701="proMX","Revisar bloques: ","Revisar: ")&amp;BC701))</f>
        <v/>
      </c>
      <c r="Q701" s="78" t="str">
        <f>IF(NOT(ISNUMBER(B701)),"",IF(COUNTIFS(FER_F,INT(B701))&gt;0,"Feriado"&amp;IF(AH701=1," (laborable)"," (no laborable)"),IF(AH701=1,"Laborable",IF(WEEKDAY(B701,2)&gt;5,"Fin de semana","No laborable"))))</f>
        <v/>
      </c>
      <c r="R701" s="73" t="n"/>
      <c r="S701" s="72" t="n"/>
      <c r="T701" s="72" t="n"/>
      <c r="U701" s="74" t="n"/>
      <c r="V701" s="79" t="str">
        <f>IF(AND(D701="proMX",OR(R701="Submitted",R701="Recall Requested"),ISNUMBER(S701)),CFG_TODAY-INT(S701),"")</f>
        <v/>
      </c>
      <c r="W701" s="78" t="str">
        <f>IF(BD701=0,"",IF(BA701&gt;0,"⚠ Se superpone con un registro de la otra empresa",IF(D701="Malcolm",IF(COUNTA(R701,S701,T701)&gt;0,"Estado/fechas proMX se ignoran en Malcolm",""),IF(BF701="Cancelled","Cancelado: excluido de totales",IF(R701="","Sin estado: se trata como Draft",IF(BF701="Submitted",IF(ISNUMBER(V701),IF(V701&gt;CFG_MAXD,"⚠ "&amp;V701&amp;" días en Submitted (máx. "&amp;CFG_MAXD&amp;")",""),"Falta fecha de envío"),IF(BF701="Returned","⚠ Devuelto: corregir y reenviar",IF(BF701="Recall Requested","Retirada solicitada: pendiente",IF(AND(BF701="Approved",NOT(ISNUMBER(T701))),"Falta fecha de aprobación",IF(AND(ISNUMBER(S701),ISNUMBER(T701),T701&lt;S701),"Aprobación anterior al envío","")))))))))</f>
        <v/>
      </c>
      <c r="Y701" s="80">
        <f>IF(COUNTA(B701,D701,E701,F701,G701,H701,I701,J701,R701,S701,T701)&gt;0,1,0)</f>
        <v>0</v>
      </c>
      <c r="Z701" s="80" t="str">
        <f>IF(AND(ISNUMBER(H701),H701&gt;=0,H701&lt;1),ROUND(H701*1440,0),"")</f>
        <v/>
      </c>
      <c r="AA701" s="80" t="str">
        <f>IF(AND(ISNUMBER(I701),I701&gt;=0,I701&lt;1),ROUND(I701*1440,0),"")</f>
        <v/>
      </c>
      <c r="AB701" s="80">
        <f>IF(AND(ISNUMBER(B701),D701&lt;&gt;"",ISNUMBER(Z701),ISNUMBER(AA701)),IF(Z701=AA701,0,1),0)</f>
        <v>0</v>
      </c>
      <c r="AC701" s="80">
        <f>IF(AB701=1,IF(AA701&lt;Z701,1,0),0)</f>
        <v>0</v>
      </c>
      <c r="AD701" s="80">
        <f>IF(AB701=1,IF(AC701=1,1440-Z701+AA701,AA701-Z701),0)</f>
        <v>0</v>
      </c>
      <c r="AE701" s="80">
        <f>IF(J701="",0,IF(ISNUMBER(J701),J701,-1))</f>
        <v>0</v>
      </c>
      <c r="AF701" s="80">
        <f>MIN(MAX(0,AE701),AD701)</f>
        <v>0</v>
      </c>
      <c r="AG701" s="80">
        <f>MAX(0,AD701-MAX(0,AE701))</f>
        <v>0</v>
      </c>
      <c r="AH701" s="80">
        <f>IF(ISNUMBER(B701),IF(AND(INDEX(CFG_WDAYS,WEEKDAY(INT(B701),2))="Sí",IF(D701="proMX",COUNTIFS(FER_F,INT(B701),FER_NLP,"Sí"),COUNTIFS(FER_F,INT(B701),FER_NLM,"Sí"))=0),1,0),0)</f>
        <v>0</v>
      </c>
      <c r="AI701" s="80">
        <f>IF(AC701=1,IF(AND(INDEX(CFG_WDAYS,WEEKDAY(INT(B701)+1,2))="Sí",IF(D701="proMX",COUNTIFS(FER_F,INT(B701)+1,FER_NLP,"Sí"),COUNTIFS(FER_F,INT(B701)+1,FER_NLM,"Sí"))=0),1,0),0)</f>
        <v>0</v>
      </c>
      <c r="AJ701" s="80">
        <f>IF(AC701=1,1440-Z701,AD701)</f>
        <v>0</v>
      </c>
      <c r="AK701" s="80">
        <f>IF(AND(AB701=1,AH701=1),MAX(0,MIN(IF(AC701=1,1440,AA701),CFG_WEM)-MAX(Z701,CFG_WSM)),0)</f>
        <v>0</v>
      </c>
      <c r="AL701" s="80">
        <f>IF(AND(AC701=1,AI701=1),MAX(0,MIN(AA701,CFG_WEM)-CFG_WSM),0)</f>
        <v>0</v>
      </c>
      <c r="AM701" s="80">
        <f>AK701+AL701</f>
        <v>0</v>
      </c>
      <c r="AN701" s="80">
        <f>IF(CFG_BRK="Proporcional",IF(AD701=0,0,AF701*AM701/AD701),IF(CFG_BRK="Extras primero",MIN(AM701,MAX(0,AF701-(AD701-AM701))),MIN(AF701,AM701)))</f>
        <v>0</v>
      </c>
      <c r="AO701" s="80">
        <f>AF701-AN701</f>
        <v>0</v>
      </c>
      <c r="AP701" s="80">
        <f>AM701-AN701</f>
        <v>0</v>
      </c>
      <c r="AQ701" s="80">
        <f>AD701-AM701-AO701</f>
        <v>0</v>
      </c>
      <c r="AR701" s="80">
        <f>IF(AM701=0,0,AK701-AN701*AK701/AM701)</f>
        <v>0</v>
      </c>
      <c r="AS701" s="80">
        <f>IF(AD701-AM701=0,0,(AJ701-AK701)-AO701*(AJ701-AK701)/(AD701-AM701))</f>
        <v>0</v>
      </c>
      <c r="AT701" s="80" t="str">
        <f>IF(AC701=1,INT(B701)+1,"")</f>
        <v/>
      </c>
      <c r="AU701" s="80">
        <f>IF(AND(D701="proMX",R701="Cancelled"),0,1)</f>
        <v>1</v>
      </c>
      <c r="AV701" s="80">
        <f>IF(AND(AB701=1,AU701=1),IF(COUNTIFS($D$5:D700,D701,$B$5:B700,B701,$Z$5:Z700,Z701,$AA$5:AA700,AA701,$F$5:F700,F701&amp;"",$AU$5:AU700,1)&gt;0,1,0),0)</f>
        <v>0</v>
      </c>
      <c r="AW701" s="80" t="str">
        <f>IF(AB701=1,INT(B701)*1440+Z701,"")</f>
        <v/>
      </c>
      <c r="AX701" s="80" t="str">
        <f>IF(AB701=1,AW701+AD701,"")</f>
        <v/>
      </c>
      <c r="AY701" s="80">
        <f>IF(AND(AB701=1,AV701=0,AU701=1),1,0)</f>
        <v>0</v>
      </c>
      <c r="AZ701" s="80">
        <f>IF(AY701=1,COUNTIFS(R_Emp,D701,R_SAbs,"&lt;"&amp;AX701,R_EAbs,"&gt;"&amp;AW701,R_OKey,1)-1,0)</f>
        <v>0</v>
      </c>
      <c r="BA701" s="80">
        <f>IF(AY701=1,COUNTIFS(R_Emp,"&lt;&gt;"&amp;D701,R_SAbs,"&lt;"&amp;AX701,R_EAbs,"&gt;"&amp;AW701,R_OKey,1),0)</f>
        <v>0</v>
      </c>
      <c r="BB701" s="80">
        <f>IF(AND(AB701=1,D701="proMX"),IF(AND(MOD(Z701,CFG_BLK)=0,MOD(AA701,CFG_BLK)=0,MOD(AG701,CFG_BLK)=0,AG701&gt;0),1,0),1)</f>
        <v>1</v>
      </c>
      <c r="BC701" s="80" t="str">
        <f>IF(Y701=0,"",IF(NOT(ISNUMBER(B701)),"Falta fecha o fecha inválida",IF(D701="","Falta empresa",IF(AND(D701&lt;&gt;"Malcolm",D701&lt;&gt;"proMX"),"Empresa inválida",IF(OR(INT(B701)&lt;CFG_PSTART,INT(B701)&gt;CFG_PEND),"Fecha fuera del período",IF(OR(NOT(ISNUMBER(Z701)),NOT(ISNUMBER(AA701))),"Falta hora inicio/fin o formato inválido",IF(AB701=0,"Hora inicio = hora fin",IF(AE701&lt;0,"Descanso inválido",IF(AE701&gt;=AD701,"Descanso ≥ duración",IF(AV701=1,"Registro duplicado",IF(AZ701&gt;0,"Se superpone con otro registro "&amp;D701,IF(BB701=0,"inicio, fin y duración neta deben ser múltiplos de "&amp;CFG_BLK&amp;" min",""))))))))))))</f>
        <v/>
      </c>
      <c r="BD701" s="80">
        <f>IF(AND(Y701=1,BC701=""),1,0)</f>
        <v>0</v>
      </c>
      <c r="BE701" s="80">
        <f>IF(AND(BD701=1,AU701=1),1,0)</f>
        <v>0</v>
      </c>
      <c r="BF701" s="80" t="str">
        <f>IF(AND(D701="proMX",BD701=1),IF(R701="","Draft",R701),"")</f>
        <v/>
      </c>
      <c r="BG701" s="80">
        <f>IF(BD701=1,ROUND(AG701/60,6),0)</f>
        <v>0</v>
      </c>
      <c r="BH701" s="80">
        <f>IF(BE701=1,ROUND(AG701/60,6),0)</f>
        <v>0</v>
      </c>
      <c r="BI701" s="80">
        <f>IF(BE701=1,ROUND(AP701/60,6),0)</f>
        <v>0</v>
      </c>
      <c r="BJ701" s="80">
        <f>IF(BE701=1,ROUND(AQ701/60,6),0)</f>
        <v>0</v>
      </c>
      <c r="BK701" s="80">
        <f>IF(BE701=1,ROUND((AR701+AS701)/60,6),0)</f>
        <v>0</v>
      </c>
      <c r="BL701" s="80">
        <f>ROUND(BH701-BK701,6)</f>
        <v>0</v>
      </c>
      <c r="BM701" s="80">
        <f>IF(BE701=1,ROUND(AR701/60,6),0)</f>
        <v>0</v>
      </c>
      <c r="BN701" s="80">
        <f>ROUND(BI701-BM701,6)</f>
        <v>0</v>
      </c>
      <c r="BO701" s="80">
        <f>IF(BE701=1,ROUND(AS701/60,6),0)</f>
        <v>0</v>
      </c>
      <c r="BP701" s="80">
        <f>ROUND(BJ701-BO701,6)</f>
        <v>0</v>
      </c>
      <c r="BQ701" s="80">
        <f>IF(BE701=1,AW701,0)</f>
        <v>0</v>
      </c>
      <c r="BR701" s="80">
        <f>IF(BE701=1,AX701,0)</f>
        <v>0</v>
      </c>
      <c r="BS701" s="80">
        <f>IF(AND(BE701=1,D701="Malcolm",BA701&gt;0),MIN(BH701,SUMPRODUCT((R_Emp="proMX")*(R_EN&gt;0)*((R_EN-(R_EN&gt;BR701)*(R_EN-BR701))&gt;(R_SN+(R_SN&lt;BQ701)*(BQ701-R_SN)))*((R_EN-(R_EN&gt;BR701)*(R_EN-BR701))-(R_SN+(R_SN&lt;BQ701)*(BQ701-R_SN))))/60),0)</f>
        <v>0</v>
      </c>
      <c r="BT701" s="80">
        <f>IF(AND(BE701=1,D701="proMX"),ROUND(BI701*CFG_RATE+BJ701*CFG_OTRATE,6),0)</f>
        <v>0</v>
      </c>
      <c r="BU701" s="80">
        <f>IF(AND(BD701=1,D701="proMX"),ROUND(AG701/CFG_BLK,6),0)</f>
        <v>0</v>
      </c>
      <c r="BV701" s="80" t="str">
        <f>IF(BF701="Approved",IF(ISNUMBER(T701),INT(T701),INT(B701)),"")</f>
        <v/>
      </c>
      <c r="BW701" s="80">
        <f>IF(ISNUMBER(B701),IF(DB_MON="Todos",1,IF(AND(INT(B701)&gt;=DB_MS,INT(B701)&lt;=DB_ME),1,0)),0)</f>
        <v>0</v>
      </c>
      <c r="BX701" s="80">
        <f>IF(DB_PROJ="Todos",1,IF(E701&amp;""=DB_PROJ&amp;"",1,0))</f>
        <v>1</v>
      </c>
      <c r="BY701" s="80">
        <f>BW701*BX701</f>
        <v>0</v>
      </c>
      <c r="BZ701" s="80" t="str">
        <f>IF(Y701=1,F701&amp;IF(AND(F701&amp;""&lt;&gt;"",E701&amp;""&lt;&gt;"")," · ","")&amp;E701,"")</f>
        <v/>
      </c>
      <c r="CA701" s="80" t="str">
        <f>IF(AND(BD701=1,E701&amp;""&lt;&gt;""),IF(COUNTIFS($E$5:E700,E701,$BD$5:BD700,1)=0,MAX($CA$5:CA700)+1,""),"")</f>
        <v/>
      </c>
      <c r="CB701" s="80" t="str">
        <f>IF(AND(BE701=1,D701="Malcolm",E701&amp;""&lt;&gt;""),IF(COUNTIFS($D$5:D700,"Malcolm",$E$5:E700,E701,$BE$5:BE700,1)=0,MAX($CB$5:CB700)+1,""),"")</f>
        <v/>
      </c>
      <c r="CC701" s="80" t="str">
        <f>IF(AND(BD701=1,D701="proMX",E701&amp;""&lt;&gt;""),IF(COUNTIFS($D$5:D700,"proMX",$E$5:E700,E701,$BD$5:BD700,1)=0,MAX($CC$5:CC700)+1,""),"")</f>
        <v/>
      </c>
      <c r="CD701" s="80" t="str">
        <f>IF(AND(BE701=1,D701="Malcolm",F701&amp;""&lt;&gt;""),IF(COUNTIFS($D$5:D700,"Malcolm",$F$5:F700,F701,$BE$5:BE700,1)=0,MAX($CD$5:CD700)+1,""),"")</f>
        <v/>
      </c>
      <c r="CE701" s="80" t="str">
        <f>IF(AND(BD701=1,D701="proMX",F701&amp;""&lt;&gt;""),IF(COUNTIFS($D$5:D700,"proMX",$F$5:F700,F701,$BD$5:BD700,1)=0,MAX($CE$5:CE700)+1,""),"")</f>
        <v/>
      </c>
      <c r="CF701" s="80" t="str">
        <f>IF(AND(D701="proMX",BD701=1),IF(OR(BF701="Draft",BF701="Submitted",BF701="Returned",BF701="Recall Requested"),MAX($CF$5:CF700)+1,""),"")</f>
        <v/>
      </c>
      <c r="CG701" s="80">
        <f>IF(BD701=0,0,IF(D701="Malcolm",1,MATCH(BF701,{"Draft","Submitted","Approved","Returned","Recall Requested","Cancelled"},0)+1))</f>
        <v>0</v>
      </c>
      <c r="CH701" s="80">
        <f>IF(AND(BF701="Submitted",ISNUMBER(V701)),IF(V701&gt;CFG_MAXD,1,0),0)</f>
        <v>0</v>
      </c>
    </row>
    <row r="702">
      <c r="A702" s="71" t="str">
        <f>IF(Y702=1,ROW()-5,"")</f>
        <v/>
      </c>
      <c r="B702" s="72" t="n"/>
      <c r="C702" s="71" t="str">
        <f>IF(ISNUMBER(B702),CHOOSE(WEEKDAY(B702,2),"Lun","Mar","Mié","Jue","Vie","Sáb","Dom"),"")</f>
        <v/>
      </c>
      <c r="D702" s="73" t="n"/>
      <c r="E702" s="74" t="n"/>
      <c r="F702" s="74" t="n"/>
      <c r="G702" s="74" t="n"/>
      <c r="H702" s="75" t="n"/>
      <c r="I702" s="75" t="n"/>
      <c r="J702" s="76" t="n"/>
      <c r="K702" s="77" t="str">
        <f>IF(AB702=1,ROUND(AG702/60,4),"")</f>
        <v/>
      </c>
      <c r="L702" s="77" t="str">
        <f>IF(BD702=1,ROUND(AP702/60,4),"")</f>
        <v/>
      </c>
      <c r="M702" s="77" t="str">
        <f>IF(BD702=1,ROUND(AQ702/60,4),"")</f>
        <v/>
      </c>
      <c r="N702" s="71" t="str">
        <f>IF(AND(D702="proMX",AB702=1),ROUND(AG702/CFG_BLK,2),"")</f>
        <v/>
      </c>
      <c r="O702" s="77" t="str">
        <f>IF(D702="proMX",IF(BD702=1,ROUND(AG702/60,4),0),"")</f>
        <v/>
      </c>
      <c r="P702" s="78" t="str">
        <f>IF(Y702=0,"",IF(BD702=1,"OK",IF(D702="proMX","Revisar bloques: ","Revisar: ")&amp;BC702))</f>
        <v/>
      </c>
      <c r="Q702" s="78" t="str">
        <f>IF(NOT(ISNUMBER(B702)),"",IF(COUNTIFS(FER_F,INT(B702))&gt;0,"Feriado"&amp;IF(AH702=1," (laborable)"," (no laborable)"),IF(AH702=1,"Laborable",IF(WEEKDAY(B702,2)&gt;5,"Fin de semana","No laborable"))))</f>
        <v/>
      </c>
      <c r="R702" s="73" t="n"/>
      <c r="S702" s="72" t="n"/>
      <c r="T702" s="72" t="n"/>
      <c r="U702" s="74" t="n"/>
      <c r="V702" s="79" t="str">
        <f>IF(AND(D702="proMX",OR(R702="Submitted",R702="Recall Requested"),ISNUMBER(S702)),CFG_TODAY-INT(S702),"")</f>
        <v/>
      </c>
      <c r="W702" s="78" t="str">
        <f>IF(BD702=0,"",IF(BA702&gt;0,"⚠ Se superpone con un registro de la otra empresa",IF(D702="Malcolm",IF(COUNTA(R702,S702,T702)&gt;0,"Estado/fechas proMX se ignoran en Malcolm",""),IF(BF702="Cancelled","Cancelado: excluido de totales",IF(R702="","Sin estado: se trata como Draft",IF(BF702="Submitted",IF(ISNUMBER(V702),IF(V702&gt;CFG_MAXD,"⚠ "&amp;V702&amp;" días en Submitted (máx. "&amp;CFG_MAXD&amp;")",""),"Falta fecha de envío"),IF(BF702="Returned","⚠ Devuelto: corregir y reenviar",IF(BF702="Recall Requested","Retirada solicitada: pendiente",IF(AND(BF702="Approved",NOT(ISNUMBER(T702))),"Falta fecha de aprobación",IF(AND(ISNUMBER(S702),ISNUMBER(T702),T702&lt;S702),"Aprobación anterior al envío","")))))))))</f>
        <v/>
      </c>
      <c r="Y702" s="80">
        <f>IF(COUNTA(B702,D702,E702,F702,G702,H702,I702,J702,R702,S702,T702)&gt;0,1,0)</f>
        <v>0</v>
      </c>
      <c r="Z702" s="80" t="str">
        <f>IF(AND(ISNUMBER(H702),H702&gt;=0,H702&lt;1),ROUND(H702*1440,0),"")</f>
        <v/>
      </c>
      <c r="AA702" s="80" t="str">
        <f>IF(AND(ISNUMBER(I702),I702&gt;=0,I702&lt;1),ROUND(I702*1440,0),"")</f>
        <v/>
      </c>
      <c r="AB702" s="80">
        <f>IF(AND(ISNUMBER(B702),D702&lt;&gt;"",ISNUMBER(Z702),ISNUMBER(AA702)),IF(Z702=AA702,0,1),0)</f>
        <v>0</v>
      </c>
      <c r="AC702" s="80">
        <f>IF(AB702=1,IF(AA702&lt;Z702,1,0),0)</f>
        <v>0</v>
      </c>
      <c r="AD702" s="80">
        <f>IF(AB702=1,IF(AC702=1,1440-Z702+AA702,AA702-Z702),0)</f>
        <v>0</v>
      </c>
      <c r="AE702" s="80">
        <f>IF(J702="",0,IF(ISNUMBER(J702),J702,-1))</f>
        <v>0</v>
      </c>
      <c r="AF702" s="80">
        <f>MIN(MAX(0,AE702),AD702)</f>
        <v>0</v>
      </c>
      <c r="AG702" s="80">
        <f>MAX(0,AD702-MAX(0,AE702))</f>
        <v>0</v>
      </c>
      <c r="AH702" s="80">
        <f>IF(ISNUMBER(B702),IF(AND(INDEX(CFG_WDAYS,WEEKDAY(INT(B702),2))="Sí",IF(D702="proMX",COUNTIFS(FER_F,INT(B702),FER_NLP,"Sí"),COUNTIFS(FER_F,INT(B702),FER_NLM,"Sí"))=0),1,0),0)</f>
        <v>0</v>
      </c>
      <c r="AI702" s="80">
        <f>IF(AC702=1,IF(AND(INDEX(CFG_WDAYS,WEEKDAY(INT(B702)+1,2))="Sí",IF(D702="proMX",COUNTIFS(FER_F,INT(B702)+1,FER_NLP,"Sí"),COUNTIFS(FER_F,INT(B702)+1,FER_NLM,"Sí"))=0),1,0),0)</f>
        <v>0</v>
      </c>
      <c r="AJ702" s="80">
        <f>IF(AC702=1,1440-Z702,AD702)</f>
        <v>0</v>
      </c>
      <c r="AK702" s="80">
        <f>IF(AND(AB702=1,AH702=1),MAX(0,MIN(IF(AC702=1,1440,AA702),CFG_WEM)-MAX(Z702,CFG_WSM)),0)</f>
        <v>0</v>
      </c>
      <c r="AL702" s="80">
        <f>IF(AND(AC702=1,AI702=1),MAX(0,MIN(AA702,CFG_WEM)-CFG_WSM),0)</f>
        <v>0</v>
      </c>
      <c r="AM702" s="80">
        <f>AK702+AL702</f>
        <v>0</v>
      </c>
      <c r="AN702" s="80">
        <f>IF(CFG_BRK="Proporcional",IF(AD702=0,0,AF702*AM702/AD702),IF(CFG_BRK="Extras primero",MIN(AM702,MAX(0,AF702-(AD702-AM702))),MIN(AF702,AM702)))</f>
        <v>0</v>
      </c>
      <c r="AO702" s="80">
        <f>AF702-AN702</f>
        <v>0</v>
      </c>
      <c r="AP702" s="80">
        <f>AM702-AN702</f>
        <v>0</v>
      </c>
      <c r="AQ702" s="80">
        <f>AD702-AM702-AO702</f>
        <v>0</v>
      </c>
      <c r="AR702" s="80">
        <f>IF(AM702=0,0,AK702-AN702*AK702/AM702)</f>
        <v>0</v>
      </c>
      <c r="AS702" s="80">
        <f>IF(AD702-AM702=0,0,(AJ702-AK702)-AO702*(AJ702-AK702)/(AD702-AM702))</f>
        <v>0</v>
      </c>
      <c r="AT702" s="80" t="str">
        <f>IF(AC702=1,INT(B702)+1,"")</f>
        <v/>
      </c>
      <c r="AU702" s="80">
        <f>IF(AND(D702="proMX",R702="Cancelled"),0,1)</f>
        <v>1</v>
      </c>
      <c r="AV702" s="80">
        <f>IF(AND(AB702=1,AU702=1),IF(COUNTIFS($D$5:D701,D702,$B$5:B701,B702,$Z$5:Z701,Z702,$AA$5:AA701,AA702,$F$5:F701,F702&amp;"",$AU$5:AU701,1)&gt;0,1,0),0)</f>
        <v>0</v>
      </c>
      <c r="AW702" s="80" t="str">
        <f>IF(AB702=1,INT(B702)*1440+Z702,"")</f>
        <v/>
      </c>
      <c r="AX702" s="80" t="str">
        <f>IF(AB702=1,AW702+AD702,"")</f>
        <v/>
      </c>
      <c r="AY702" s="80">
        <f>IF(AND(AB702=1,AV702=0,AU702=1),1,0)</f>
        <v>0</v>
      </c>
      <c r="AZ702" s="80">
        <f>IF(AY702=1,COUNTIFS(R_Emp,D702,R_SAbs,"&lt;"&amp;AX702,R_EAbs,"&gt;"&amp;AW702,R_OKey,1)-1,0)</f>
        <v>0</v>
      </c>
      <c r="BA702" s="80">
        <f>IF(AY702=1,COUNTIFS(R_Emp,"&lt;&gt;"&amp;D702,R_SAbs,"&lt;"&amp;AX702,R_EAbs,"&gt;"&amp;AW702,R_OKey,1),0)</f>
        <v>0</v>
      </c>
      <c r="BB702" s="80">
        <f>IF(AND(AB702=1,D702="proMX"),IF(AND(MOD(Z702,CFG_BLK)=0,MOD(AA702,CFG_BLK)=0,MOD(AG702,CFG_BLK)=0,AG702&gt;0),1,0),1)</f>
        <v>1</v>
      </c>
      <c r="BC702" s="80" t="str">
        <f>IF(Y702=0,"",IF(NOT(ISNUMBER(B702)),"Falta fecha o fecha inválida",IF(D702="","Falta empresa",IF(AND(D702&lt;&gt;"Malcolm",D702&lt;&gt;"proMX"),"Empresa inválida",IF(OR(INT(B702)&lt;CFG_PSTART,INT(B702)&gt;CFG_PEND),"Fecha fuera del período",IF(OR(NOT(ISNUMBER(Z702)),NOT(ISNUMBER(AA702))),"Falta hora inicio/fin o formato inválido",IF(AB702=0,"Hora inicio = hora fin",IF(AE702&lt;0,"Descanso inválido",IF(AE702&gt;=AD702,"Descanso ≥ duración",IF(AV702=1,"Registro duplicado",IF(AZ702&gt;0,"Se superpone con otro registro "&amp;D702,IF(BB702=0,"inicio, fin y duración neta deben ser múltiplos de "&amp;CFG_BLK&amp;" min",""))))))))))))</f>
        <v/>
      </c>
      <c r="BD702" s="80">
        <f>IF(AND(Y702=1,BC702=""),1,0)</f>
        <v>0</v>
      </c>
      <c r="BE702" s="80">
        <f>IF(AND(BD702=1,AU702=1),1,0)</f>
        <v>0</v>
      </c>
      <c r="BF702" s="80" t="str">
        <f>IF(AND(D702="proMX",BD702=1),IF(R702="","Draft",R702),"")</f>
        <v/>
      </c>
      <c r="BG702" s="80">
        <f>IF(BD702=1,ROUND(AG702/60,6),0)</f>
        <v>0</v>
      </c>
      <c r="BH702" s="80">
        <f>IF(BE702=1,ROUND(AG702/60,6),0)</f>
        <v>0</v>
      </c>
      <c r="BI702" s="80">
        <f>IF(BE702=1,ROUND(AP702/60,6),0)</f>
        <v>0</v>
      </c>
      <c r="BJ702" s="80">
        <f>IF(BE702=1,ROUND(AQ702/60,6),0)</f>
        <v>0</v>
      </c>
      <c r="BK702" s="80">
        <f>IF(BE702=1,ROUND((AR702+AS702)/60,6),0)</f>
        <v>0</v>
      </c>
      <c r="BL702" s="80">
        <f>ROUND(BH702-BK702,6)</f>
        <v>0</v>
      </c>
      <c r="BM702" s="80">
        <f>IF(BE702=1,ROUND(AR702/60,6),0)</f>
        <v>0</v>
      </c>
      <c r="BN702" s="80">
        <f>ROUND(BI702-BM702,6)</f>
        <v>0</v>
      </c>
      <c r="BO702" s="80">
        <f>IF(BE702=1,ROUND(AS702/60,6),0)</f>
        <v>0</v>
      </c>
      <c r="BP702" s="80">
        <f>ROUND(BJ702-BO702,6)</f>
        <v>0</v>
      </c>
      <c r="BQ702" s="80">
        <f>IF(BE702=1,AW702,0)</f>
        <v>0</v>
      </c>
      <c r="BR702" s="80">
        <f>IF(BE702=1,AX702,0)</f>
        <v>0</v>
      </c>
      <c r="BS702" s="80">
        <f>IF(AND(BE702=1,D702="Malcolm",BA702&gt;0),MIN(BH702,SUMPRODUCT((R_Emp="proMX")*(R_EN&gt;0)*((R_EN-(R_EN&gt;BR702)*(R_EN-BR702))&gt;(R_SN+(R_SN&lt;BQ702)*(BQ702-R_SN)))*((R_EN-(R_EN&gt;BR702)*(R_EN-BR702))-(R_SN+(R_SN&lt;BQ702)*(BQ702-R_SN))))/60),0)</f>
        <v>0</v>
      </c>
      <c r="BT702" s="80">
        <f>IF(AND(BE702=1,D702="proMX"),ROUND(BI702*CFG_RATE+BJ702*CFG_OTRATE,6),0)</f>
        <v>0</v>
      </c>
      <c r="BU702" s="80">
        <f>IF(AND(BD702=1,D702="proMX"),ROUND(AG702/CFG_BLK,6),0)</f>
        <v>0</v>
      </c>
      <c r="BV702" s="80" t="str">
        <f>IF(BF702="Approved",IF(ISNUMBER(T702),INT(T702),INT(B702)),"")</f>
        <v/>
      </c>
      <c r="BW702" s="80">
        <f>IF(ISNUMBER(B702),IF(DB_MON="Todos",1,IF(AND(INT(B702)&gt;=DB_MS,INT(B702)&lt;=DB_ME),1,0)),0)</f>
        <v>0</v>
      </c>
      <c r="BX702" s="80">
        <f>IF(DB_PROJ="Todos",1,IF(E702&amp;""=DB_PROJ&amp;"",1,0))</f>
        <v>1</v>
      </c>
      <c r="BY702" s="80">
        <f>BW702*BX702</f>
        <v>0</v>
      </c>
      <c r="BZ702" s="80" t="str">
        <f>IF(Y702=1,F702&amp;IF(AND(F702&amp;""&lt;&gt;"",E702&amp;""&lt;&gt;"")," · ","")&amp;E702,"")</f>
        <v/>
      </c>
      <c r="CA702" s="80" t="str">
        <f>IF(AND(BD702=1,E702&amp;""&lt;&gt;""),IF(COUNTIFS($E$5:E701,E702,$BD$5:BD701,1)=0,MAX($CA$5:CA701)+1,""),"")</f>
        <v/>
      </c>
      <c r="CB702" s="80" t="str">
        <f>IF(AND(BE702=1,D702="Malcolm",E702&amp;""&lt;&gt;""),IF(COUNTIFS($D$5:D701,"Malcolm",$E$5:E701,E702,$BE$5:BE701,1)=0,MAX($CB$5:CB701)+1,""),"")</f>
        <v/>
      </c>
      <c r="CC702" s="80" t="str">
        <f>IF(AND(BD702=1,D702="proMX",E702&amp;""&lt;&gt;""),IF(COUNTIFS($D$5:D701,"proMX",$E$5:E701,E702,$BD$5:BD701,1)=0,MAX($CC$5:CC701)+1,""),"")</f>
        <v/>
      </c>
      <c r="CD702" s="80" t="str">
        <f>IF(AND(BE702=1,D702="Malcolm",F702&amp;""&lt;&gt;""),IF(COUNTIFS($D$5:D701,"Malcolm",$F$5:F701,F702,$BE$5:BE701,1)=0,MAX($CD$5:CD701)+1,""),"")</f>
        <v/>
      </c>
      <c r="CE702" s="80" t="str">
        <f>IF(AND(BD702=1,D702="proMX",F702&amp;""&lt;&gt;""),IF(COUNTIFS($D$5:D701,"proMX",$F$5:F701,F702,$BD$5:BD701,1)=0,MAX($CE$5:CE701)+1,""),"")</f>
        <v/>
      </c>
      <c r="CF702" s="80" t="str">
        <f>IF(AND(D702="proMX",BD702=1),IF(OR(BF702="Draft",BF702="Submitted",BF702="Returned",BF702="Recall Requested"),MAX($CF$5:CF701)+1,""),"")</f>
        <v/>
      </c>
      <c r="CG702" s="80">
        <f>IF(BD702=0,0,IF(D702="Malcolm",1,MATCH(BF702,{"Draft","Submitted","Approved","Returned","Recall Requested","Cancelled"},0)+1))</f>
        <v>0</v>
      </c>
      <c r="CH702" s="80">
        <f>IF(AND(BF702="Submitted",ISNUMBER(V702)),IF(V702&gt;CFG_MAXD,1,0),0)</f>
        <v>0</v>
      </c>
    </row>
    <row r="703">
      <c r="A703" s="71" t="str">
        <f>IF(Y703=1,ROW()-5,"")</f>
        <v/>
      </c>
      <c r="B703" s="72" t="n"/>
      <c r="C703" s="71" t="str">
        <f>IF(ISNUMBER(B703),CHOOSE(WEEKDAY(B703,2),"Lun","Mar","Mié","Jue","Vie","Sáb","Dom"),"")</f>
        <v/>
      </c>
      <c r="D703" s="73" t="n"/>
      <c r="E703" s="74" t="n"/>
      <c r="F703" s="74" t="n"/>
      <c r="G703" s="74" t="n"/>
      <c r="H703" s="75" t="n"/>
      <c r="I703" s="75" t="n"/>
      <c r="J703" s="76" t="n"/>
      <c r="K703" s="77" t="str">
        <f>IF(AB703=1,ROUND(AG703/60,4),"")</f>
        <v/>
      </c>
      <c r="L703" s="77" t="str">
        <f>IF(BD703=1,ROUND(AP703/60,4),"")</f>
        <v/>
      </c>
      <c r="M703" s="77" t="str">
        <f>IF(BD703=1,ROUND(AQ703/60,4),"")</f>
        <v/>
      </c>
      <c r="N703" s="71" t="str">
        <f>IF(AND(D703="proMX",AB703=1),ROUND(AG703/CFG_BLK,2),"")</f>
        <v/>
      </c>
      <c r="O703" s="77" t="str">
        <f>IF(D703="proMX",IF(BD703=1,ROUND(AG703/60,4),0),"")</f>
        <v/>
      </c>
      <c r="P703" s="78" t="str">
        <f>IF(Y703=0,"",IF(BD703=1,"OK",IF(D703="proMX","Revisar bloques: ","Revisar: ")&amp;BC703))</f>
        <v/>
      </c>
      <c r="Q703" s="78" t="str">
        <f>IF(NOT(ISNUMBER(B703)),"",IF(COUNTIFS(FER_F,INT(B703))&gt;0,"Feriado"&amp;IF(AH703=1," (laborable)"," (no laborable)"),IF(AH703=1,"Laborable",IF(WEEKDAY(B703,2)&gt;5,"Fin de semana","No laborable"))))</f>
        <v/>
      </c>
      <c r="R703" s="73" t="n"/>
      <c r="S703" s="72" t="n"/>
      <c r="T703" s="72" t="n"/>
      <c r="U703" s="74" t="n"/>
      <c r="V703" s="79" t="str">
        <f>IF(AND(D703="proMX",OR(R703="Submitted",R703="Recall Requested"),ISNUMBER(S703)),CFG_TODAY-INT(S703),"")</f>
        <v/>
      </c>
      <c r="W703" s="78" t="str">
        <f>IF(BD703=0,"",IF(BA703&gt;0,"⚠ Se superpone con un registro de la otra empresa",IF(D703="Malcolm",IF(COUNTA(R703,S703,T703)&gt;0,"Estado/fechas proMX se ignoran en Malcolm",""),IF(BF703="Cancelled","Cancelado: excluido de totales",IF(R703="","Sin estado: se trata como Draft",IF(BF703="Submitted",IF(ISNUMBER(V703),IF(V703&gt;CFG_MAXD,"⚠ "&amp;V703&amp;" días en Submitted (máx. "&amp;CFG_MAXD&amp;")",""),"Falta fecha de envío"),IF(BF703="Returned","⚠ Devuelto: corregir y reenviar",IF(BF703="Recall Requested","Retirada solicitada: pendiente",IF(AND(BF703="Approved",NOT(ISNUMBER(T703))),"Falta fecha de aprobación",IF(AND(ISNUMBER(S703),ISNUMBER(T703),T703&lt;S703),"Aprobación anterior al envío","")))))))))</f>
        <v/>
      </c>
      <c r="Y703" s="80">
        <f>IF(COUNTA(B703,D703,E703,F703,G703,H703,I703,J703,R703,S703,T703)&gt;0,1,0)</f>
        <v>0</v>
      </c>
      <c r="Z703" s="80" t="str">
        <f>IF(AND(ISNUMBER(H703),H703&gt;=0,H703&lt;1),ROUND(H703*1440,0),"")</f>
        <v/>
      </c>
      <c r="AA703" s="80" t="str">
        <f>IF(AND(ISNUMBER(I703),I703&gt;=0,I703&lt;1),ROUND(I703*1440,0),"")</f>
        <v/>
      </c>
      <c r="AB703" s="80">
        <f>IF(AND(ISNUMBER(B703),D703&lt;&gt;"",ISNUMBER(Z703),ISNUMBER(AA703)),IF(Z703=AA703,0,1),0)</f>
        <v>0</v>
      </c>
      <c r="AC703" s="80">
        <f>IF(AB703=1,IF(AA703&lt;Z703,1,0),0)</f>
        <v>0</v>
      </c>
      <c r="AD703" s="80">
        <f>IF(AB703=1,IF(AC703=1,1440-Z703+AA703,AA703-Z703),0)</f>
        <v>0</v>
      </c>
      <c r="AE703" s="80">
        <f>IF(J703="",0,IF(ISNUMBER(J703),J703,-1))</f>
        <v>0</v>
      </c>
      <c r="AF703" s="80">
        <f>MIN(MAX(0,AE703),AD703)</f>
        <v>0</v>
      </c>
      <c r="AG703" s="80">
        <f>MAX(0,AD703-MAX(0,AE703))</f>
        <v>0</v>
      </c>
      <c r="AH703" s="80">
        <f>IF(ISNUMBER(B703),IF(AND(INDEX(CFG_WDAYS,WEEKDAY(INT(B703),2))="Sí",IF(D703="proMX",COUNTIFS(FER_F,INT(B703),FER_NLP,"Sí"),COUNTIFS(FER_F,INT(B703),FER_NLM,"Sí"))=0),1,0),0)</f>
        <v>0</v>
      </c>
      <c r="AI703" s="80">
        <f>IF(AC703=1,IF(AND(INDEX(CFG_WDAYS,WEEKDAY(INT(B703)+1,2))="Sí",IF(D703="proMX",COUNTIFS(FER_F,INT(B703)+1,FER_NLP,"Sí"),COUNTIFS(FER_F,INT(B703)+1,FER_NLM,"Sí"))=0),1,0),0)</f>
        <v>0</v>
      </c>
      <c r="AJ703" s="80">
        <f>IF(AC703=1,1440-Z703,AD703)</f>
        <v>0</v>
      </c>
      <c r="AK703" s="80">
        <f>IF(AND(AB703=1,AH703=1),MAX(0,MIN(IF(AC703=1,1440,AA703),CFG_WEM)-MAX(Z703,CFG_WSM)),0)</f>
        <v>0</v>
      </c>
      <c r="AL703" s="80">
        <f>IF(AND(AC703=1,AI703=1),MAX(0,MIN(AA703,CFG_WEM)-CFG_WSM),0)</f>
        <v>0</v>
      </c>
      <c r="AM703" s="80">
        <f>AK703+AL703</f>
        <v>0</v>
      </c>
      <c r="AN703" s="80">
        <f>IF(CFG_BRK="Proporcional",IF(AD703=0,0,AF703*AM703/AD703),IF(CFG_BRK="Extras primero",MIN(AM703,MAX(0,AF703-(AD703-AM703))),MIN(AF703,AM703)))</f>
        <v>0</v>
      </c>
      <c r="AO703" s="80">
        <f>AF703-AN703</f>
        <v>0</v>
      </c>
      <c r="AP703" s="80">
        <f>AM703-AN703</f>
        <v>0</v>
      </c>
      <c r="AQ703" s="80">
        <f>AD703-AM703-AO703</f>
        <v>0</v>
      </c>
      <c r="AR703" s="80">
        <f>IF(AM703=0,0,AK703-AN703*AK703/AM703)</f>
        <v>0</v>
      </c>
      <c r="AS703" s="80">
        <f>IF(AD703-AM703=0,0,(AJ703-AK703)-AO703*(AJ703-AK703)/(AD703-AM703))</f>
        <v>0</v>
      </c>
      <c r="AT703" s="80" t="str">
        <f>IF(AC703=1,INT(B703)+1,"")</f>
        <v/>
      </c>
      <c r="AU703" s="80">
        <f>IF(AND(D703="proMX",R703="Cancelled"),0,1)</f>
        <v>1</v>
      </c>
      <c r="AV703" s="80">
        <f>IF(AND(AB703=1,AU703=1),IF(COUNTIFS($D$5:D702,D703,$B$5:B702,B703,$Z$5:Z702,Z703,$AA$5:AA702,AA703,$F$5:F702,F703&amp;"",$AU$5:AU702,1)&gt;0,1,0),0)</f>
        <v>0</v>
      </c>
      <c r="AW703" s="80" t="str">
        <f>IF(AB703=1,INT(B703)*1440+Z703,"")</f>
        <v/>
      </c>
      <c r="AX703" s="80" t="str">
        <f>IF(AB703=1,AW703+AD703,"")</f>
        <v/>
      </c>
      <c r="AY703" s="80">
        <f>IF(AND(AB703=1,AV703=0,AU703=1),1,0)</f>
        <v>0</v>
      </c>
      <c r="AZ703" s="80">
        <f>IF(AY703=1,COUNTIFS(R_Emp,D703,R_SAbs,"&lt;"&amp;AX703,R_EAbs,"&gt;"&amp;AW703,R_OKey,1)-1,0)</f>
        <v>0</v>
      </c>
      <c r="BA703" s="80">
        <f>IF(AY703=1,COUNTIFS(R_Emp,"&lt;&gt;"&amp;D703,R_SAbs,"&lt;"&amp;AX703,R_EAbs,"&gt;"&amp;AW703,R_OKey,1),0)</f>
        <v>0</v>
      </c>
      <c r="BB703" s="80">
        <f>IF(AND(AB703=1,D703="proMX"),IF(AND(MOD(Z703,CFG_BLK)=0,MOD(AA703,CFG_BLK)=0,MOD(AG703,CFG_BLK)=0,AG703&gt;0),1,0),1)</f>
        <v>1</v>
      </c>
      <c r="BC703" s="80" t="str">
        <f>IF(Y703=0,"",IF(NOT(ISNUMBER(B703)),"Falta fecha o fecha inválida",IF(D703="","Falta empresa",IF(AND(D703&lt;&gt;"Malcolm",D703&lt;&gt;"proMX"),"Empresa inválida",IF(OR(INT(B703)&lt;CFG_PSTART,INT(B703)&gt;CFG_PEND),"Fecha fuera del período",IF(OR(NOT(ISNUMBER(Z703)),NOT(ISNUMBER(AA703))),"Falta hora inicio/fin o formato inválido",IF(AB703=0,"Hora inicio = hora fin",IF(AE703&lt;0,"Descanso inválido",IF(AE703&gt;=AD703,"Descanso ≥ duración",IF(AV703=1,"Registro duplicado",IF(AZ703&gt;0,"Se superpone con otro registro "&amp;D703,IF(BB703=0,"inicio, fin y duración neta deben ser múltiplos de "&amp;CFG_BLK&amp;" min",""))))))))))))</f>
        <v/>
      </c>
      <c r="BD703" s="80">
        <f>IF(AND(Y703=1,BC703=""),1,0)</f>
        <v>0</v>
      </c>
      <c r="BE703" s="80">
        <f>IF(AND(BD703=1,AU703=1),1,0)</f>
        <v>0</v>
      </c>
      <c r="BF703" s="80" t="str">
        <f>IF(AND(D703="proMX",BD703=1),IF(R703="","Draft",R703),"")</f>
        <v/>
      </c>
      <c r="BG703" s="80">
        <f>IF(BD703=1,ROUND(AG703/60,6),0)</f>
        <v>0</v>
      </c>
      <c r="BH703" s="80">
        <f>IF(BE703=1,ROUND(AG703/60,6),0)</f>
        <v>0</v>
      </c>
      <c r="BI703" s="80">
        <f>IF(BE703=1,ROUND(AP703/60,6),0)</f>
        <v>0</v>
      </c>
      <c r="BJ703" s="80">
        <f>IF(BE703=1,ROUND(AQ703/60,6),0)</f>
        <v>0</v>
      </c>
      <c r="BK703" s="80">
        <f>IF(BE703=1,ROUND((AR703+AS703)/60,6),0)</f>
        <v>0</v>
      </c>
      <c r="BL703" s="80">
        <f>ROUND(BH703-BK703,6)</f>
        <v>0</v>
      </c>
      <c r="BM703" s="80">
        <f>IF(BE703=1,ROUND(AR703/60,6),0)</f>
        <v>0</v>
      </c>
      <c r="BN703" s="80">
        <f>ROUND(BI703-BM703,6)</f>
        <v>0</v>
      </c>
      <c r="BO703" s="80">
        <f>IF(BE703=1,ROUND(AS703/60,6),0)</f>
        <v>0</v>
      </c>
      <c r="BP703" s="80">
        <f>ROUND(BJ703-BO703,6)</f>
        <v>0</v>
      </c>
      <c r="BQ703" s="80">
        <f>IF(BE703=1,AW703,0)</f>
        <v>0</v>
      </c>
      <c r="BR703" s="80">
        <f>IF(BE703=1,AX703,0)</f>
        <v>0</v>
      </c>
      <c r="BS703" s="80">
        <f>IF(AND(BE703=1,D703="Malcolm",BA703&gt;0),MIN(BH703,SUMPRODUCT((R_Emp="proMX")*(R_EN&gt;0)*((R_EN-(R_EN&gt;BR703)*(R_EN-BR703))&gt;(R_SN+(R_SN&lt;BQ703)*(BQ703-R_SN)))*((R_EN-(R_EN&gt;BR703)*(R_EN-BR703))-(R_SN+(R_SN&lt;BQ703)*(BQ703-R_SN))))/60),0)</f>
        <v>0</v>
      </c>
      <c r="BT703" s="80">
        <f>IF(AND(BE703=1,D703="proMX"),ROUND(BI703*CFG_RATE+BJ703*CFG_OTRATE,6),0)</f>
        <v>0</v>
      </c>
      <c r="BU703" s="80">
        <f>IF(AND(BD703=1,D703="proMX"),ROUND(AG703/CFG_BLK,6),0)</f>
        <v>0</v>
      </c>
      <c r="BV703" s="80" t="str">
        <f>IF(BF703="Approved",IF(ISNUMBER(T703),INT(T703),INT(B703)),"")</f>
        <v/>
      </c>
      <c r="BW703" s="80">
        <f>IF(ISNUMBER(B703),IF(DB_MON="Todos",1,IF(AND(INT(B703)&gt;=DB_MS,INT(B703)&lt;=DB_ME),1,0)),0)</f>
        <v>0</v>
      </c>
      <c r="BX703" s="80">
        <f>IF(DB_PROJ="Todos",1,IF(E703&amp;""=DB_PROJ&amp;"",1,0))</f>
        <v>1</v>
      </c>
      <c r="BY703" s="80">
        <f>BW703*BX703</f>
        <v>0</v>
      </c>
      <c r="BZ703" s="80" t="str">
        <f>IF(Y703=1,F703&amp;IF(AND(F703&amp;""&lt;&gt;"",E703&amp;""&lt;&gt;"")," · ","")&amp;E703,"")</f>
        <v/>
      </c>
      <c r="CA703" s="80" t="str">
        <f>IF(AND(BD703=1,E703&amp;""&lt;&gt;""),IF(COUNTIFS($E$5:E702,E703,$BD$5:BD702,1)=0,MAX($CA$5:CA702)+1,""),"")</f>
        <v/>
      </c>
      <c r="CB703" s="80" t="str">
        <f>IF(AND(BE703=1,D703="Malcolm",E703&amp;""&lt;&gt;""),IF(COUNTIFS($D$5:D702,"Malcolm",$E$5:E702,E703,$BE$5:BE702,1)=0,MAX($CB$5:CB702)+1,""),"")</f>
        <v/>
      </c>
      <c r="CC703" s="80" t="str">
        <f>IF(AND(BD703=1,D703="proMX",E703&amp;""&lt;&gt;""),IF(COUNTIFS($D$5:D702,"proMX",$E$5:E702,E703,$BD$5:BD702,1)=0,MAX($CC$5:CC702)+1,""),"")</f>
        <v/>
      </c>
      <c r="CD703" s="80" t="str">
        <f>IF(AND(BE703=1,D703="Malcolm",F703&amp;""&lt;&gt;""),IF(COUNTIFS($D$5:D702,"Malcolm",$F$5:F702,F703,$BE$5:BE702,1)=0,MAX($CD$5:CD702)+1,""),"")</f>
        <v/>
      </c>
      <c r="CE703" s="80" t="str">
        <f>IF(AND(BD703=1,D703="proMX",F703&amp;""&lt;&gt;""),IF(COUNTIFS($D$5:D702,"proMX",$F$5:F702,F703,$BD$5:BD702,1)=0,MAX($CE$5:CE702)+1,""),"")</f>
        <v/>
      </c>
      <c r="CF703" s="80" t="str">
        <f>IF(AND(D703="proMX",BD703=1),IF(OR(BF703="Draft",BF703="Submitted",BF703="Returned",BF703="Recall Requested"),MAX($CF$5:CF702)+1,""),"")</f>
        <v/>
      </c>
      <c r="CG703" s="80">
        <f>IF(BD703=0,0,IF(D703="Malcolm",1,MATCH(BF703,{"Draft","Submitted","Approved","Returned","Recall Requested","Cancelled"},0)+1))</f>
        <v>0</v>
      </c>
      <c r="CH703" s="80">
        <f>IF(AND(BF703="Submitted",ISNUMBER(V703)),IF(V703&gt;CFG_MAXD,1,0),0)</f>
        <v>0</v>
      </c>
    </row>
    <row r="704">
      <c r="A704" s="71" t="str">
        <f>IF(Y704=1,ROW()-5,"")</f>
        <v/>
      </c>
      <c r="B704" s="72" t="n"/>
      <c r="C704" s="71" t="str">
        <f>IF(ISNUMBER(B704),CHOOSE(WEEKDAY(B704,2),"Lun","Mar","Mié","Jue","Vie","Sáb","Dom"),"")</f>
        <v/>
      </c>
      <c r="D704" s="73" t="n"/>
      <c r="E704" s="74" t="n"/>
      <c r="F704" s="74" t="n"/>
      <c r="G704" s="74" t="n"/>
      <c r="H704" s="75" t="n"/>
      <c r="I704" s="75" t="n"/>
      <c r="J704" s="76" t="n"/>
      <c r="K704" s="77" t="str">
        <f>IF(AB704=1,ROUND(AG704/60,4),"")</f>
        <v/>
      </c>
      <c r="L704" s="77" t="str">
        <f>IF(BD704=1,ROUND(AP704/60,4),"")</f>
        <v/>
      </c>
      <c r="M704" s="77" t="str">
        <f>IF(BD704=1,ROUND(AQ704/60,4),"")</f>
        <v/>
      </c>
      <c r="N704" s="71" t="str">
        <f>IF(AND(D704="proMX",AB704=1),ROUND(AG704/CFG_BLK,2),"")</f>
        <v/>
      </c>
      <c r="O704" s="77" t="str">
        <f>IF(D704="proMX",IF(BD704=1,ROUND(AG704/60,4),0),"")</f>
        <v/>
      </c>
      <c r="P704" s="78" t="str">
        <f>IF(Y704=0,"",IF(BD704=1,"OK",IF(D704="proMX","Revisar bloques: ","Revisar: ")&amp;BC704))</f>
        <v/>
      </c>
      <c r="Q704" s="78" t="str">
        <f>IF(NOT(ISNUMBER(B704)),"",IF(COUNTIFS(FER_F,INT(B704))&gt;0,"Feriado"&amp;IF(AH704=1," (laborable)"," (no laborable)"),IF(AH704=1,"Laborable",IF(WEEKDAY(B704,2)&gt;5,"Fin de semana","No laborable"))))</f>
        <v/>
      </c>
      <c r="R704" s="73" t="n"/>
      <c r="S704" s="72" t="n"/>
      <c r="T704" s="72" t="n"/>
      <c r="U704" s="74" t="n"/>
      <c r="V704" s="79" t="str">
        <f>IF(AND(D704="proMX",OR(R704="Submitted",R704="Recall Requested"),ISNUMBER(S704)),CFG_TODAY-INT(S704),"")</f>
        <v/>
      </c>
      <c r="W704" s="78" t="str">
        <f>IF(BD704=0,"",IF(BA704&gt;0,"⚠ Se superpone con un registro de la otra empresa",IF(D704="Malcolm",IF(COUNTA(R704,S704,T704)&gt;0,"Estado/fechas proMX se ignoran en Malcolm",""),IF(BF704="Cancelled","Cancelado: excluido de totales",IF(R704="","Sin estado: se trata como Draft",IF(BF704="Submitted",IF(ISNUMBER(V704),IF(V704&gt;CFG_MAXD,"⚠ "&amp;V704&amp;" días en Submitted (máx. "&amp;CFG_MAXD&amp;")",""),"Falta fecha de envío"),IF(BF704="Returned","⚠ Devuelto: corregir y reenviar",IF(BF704="Recall Requested","Retirada solicitada: pendiente",IF(AND(BF704="Approved",NOT(ISNUMBER(T704))),"Falta fecha de aprobación",IF(AND(ISNUMBER(S704),ISNUMBER(T704),T704&lt;S704),"Aprobación anterior al envío","")))))))))</f>
        <v/>
      </c>
      <c r="Y704" s="80">
        <f>IF(COUNTA(B704,D704,E704,F704,G704,H704,I704,J704,R704,S704,T704)&gt;0,1,0)</f>
        <v>0</v>
      </c>
      <c r="Z704" s="80" t="str">
        <f>IF(AND(ISNUMBER(H704),H704&gt;=0,H704&lt;1),ROUND(H704*1440,0),"")</f>
        <v/>
      </c>
      <c r="AA704" s="80" t="str">
        <f>IF(AND(ISNUMBER(I704),I704&gt;=0,I704&lt;1),ROUND(I704*1440,0),"")</f>
        <v/>
      </c>
      <c r="AB704" s="80">
        <f>IF(AND(ISNUMBER(B704),D704&lt;&gt;"",ISNUMBER(Z704),ISNUMBER(AA704)),IF(Z704=AA704,0,1),0)</f>
        <v>0</v>
      </c>
      <c r="AC704" s="80">
        <f>IF(AB704=1,IF(AA704&lt;Z704,1,0),0)</f>
        <v>0</v>
      </c>
      <c r="AD704" s="80">
        <f>IF(AB704=1,IF(AC704=1,1440-Z704+AA704,AA704-Z704),0)</f>
        <v>0</v>
      </c>
      <c r="AE704" s="80">
        <f>IF(J704="",0,IF(ISNUMBER(J704),J704,-1))</f>
        <v>0</v>
      </c>
      <c r="AF704" s="80">
        <f>MIN(MAX(0,AE704),AD704)</f>
        <v>0</v>
      </c>
      <c r="AG704" s="80">
        <f>MAX(0,AD704-MAX(0,AE704))</f>
        <v>0</v>
      </c>
      <c r="AH704" s="80">
        <f>IF(ISNUMBER(B704),IF(AND(INDEX(CFG_WDAYS,WEEKDAY(INT(B704),2))="Sí",IF(D704="proMX",COUNTIFS(FER_F,INT(B704),FER_NLP,"Sí"),COUNTIFS(FER_F,INT(B704),FER_NLM,"Sí"))=0),1,0),0)</f>
        <v>0</v>
      </c>
      <c r="AI704" s="80">
        <f>IF(AC704=1,IF(AND(INDEX(CFG_WDAYS,WEEKDAY(INT(B704)+1,2))="Sí",IF(D704="proMX",COUNTIFS(FER_F,INT(B704)+1,FER_NLP,"Sí"),COUNTIFS(FER_F,INT(B704)+1,FER_NLM,"Sí"))=0),1,0),0)</f>
        <v>0</v>
      </c>
      <c r="AJ704" s="80">
        <f>IF(AC704=1,1440-Z704,AD704)</f>
        <v>0</v>
      </c>
      <c r="AK704" s="80">
        <f>IF(AND(AB704=1,AH704=1),MAX(0,MIN(IF(AC704=1,1440,AA704),CFG_WEM)-MAX(Z704,CFG_WSM)),0)</f>
        <v>0</v>
      </c>
      <c r="AL704" s="80">
        <f>IF(AND(AC704=1,AI704=1),MAX(0,MIN(AA704,CFG_WEM)-CFG_WSM),0)</f>
        <v>0</v>
      </c>
      <c r="AM704" s="80">
        <f>AK704+AL704</f>
        <v>0</v>
      </c>
      <c r="AN704" s="80">
        <f>IF(CFG_BRK="Proporcional",IF(AD704=0,0,AF704*AM704/AD704),IF(CFG_BRK="Extras primero",MIN(AM704,MAX(0,AF704-(AD704-AM704))),MIN(AF704,AM704)))</f>
        <v>0</v>
      </c>
      <c r="AO704" s="80">
        <f>AF704-AN704</f>
        <v>0</v>
      </c>
      <c r="AP704" s="80">
        <f>AM704-AN704</f>
        <v>0</v>
      </c>
      <c r="AQ704" s="80">
        <f>AD704-AM704-AO704</f>
        <v>0</v>
      </c>
      <c r="AR704" s="80">
        <f>IF(AM704=0,0,AK704-AN704*AK704/AM704)</f>
        <v>0</v>
      </c>
      <c r="AS704" s="80">
        <f>IF(AD704-AM704=0,0,(AJ704-AK704)-AO704*(AJ704-AK704)/(AD704-AM704))</f>
        <v>0</v>
      </c>
      <c r="AT704" s="80" t="str">
        <f>IF(AC704=1,INT(B704)+1,"")</f>
        <v/>
      </c>
      <c r="AU704" s="80">
        <f>IF(AND(D704="proMX",R704="Cancelled"),0,1)</f>
        <v>1</v>
      </c>
      <c r="AV704" s="80">
        <f>IF(AND(AB704=1,AU704=1),IF(COUNTIFS($D$5:D703,D704,$B$5:B703,B704,$Z$5:Z703,Z704,$AA$5:AA703,AA704,$F$5:F703,F704&amp;"",$AU$5:AU703,1)&gt;0,1,0),0)</f>
        <v>0</v>
      </c>
      <c r="AW704" s="80" t="str">
        <f>IF(AB704=1,INT(B704)*1440+Z704,"")</f>
        <v/>
      </c>
      <c r="AX704" s="80" t="str">
        <f>IF(AB704=1,AW704+AD704,"")</f>
        <v/>
      </c>
      <c r="AY704" s="80">
        <f>IF(AND(AB704=1,AV704=0,AU704=1),1,0)</f>
        <v>0</v>
      </c>
      <c r="AZ704" s="80">
        <f>IF(AY704=1,COUNTIFS(R_Emp,D704,R_SAbs,"&lt;"&amp;AX704,R_EAbs,"&gt;"&amp;AW704,R_OKey,1)-1,0)</f>
        <v>0</v>
      </c>
      <c r="BA704" s="80">
        <f>IF(AY704=1,COUNTIFS(R_Emp,"&lt;&gt;"&amp;D704,R_SAbs,"&lt;"&amp;AX704,R_EAbs,"&gt;"&amp;AW704,R_OKey,1),0)</f>
        <v>0</v>
      </c>
      <c r="BB704" s="80">
        <f>IF(AND(AB704=1,D704="proMX"),IF(AND(MOD(Z704,CFG_BLK)=0,MOD(AA704,CFG_BLK)=0,MOD(AG704,CFG_BLK)=0,AG704&gt;0),1,0),1)</f>
        <v>1</v>
      </c>
      <c r="BC704" s="80" t="str">
        <f>IF(Y704=0,"",IF(NOT(ISNUMBER(B704)),"Falta fecha o fecha inválida",IF(D704="","Falta empresa",IF(AND(D704&lt;&gt;"Malcolm",D704&lt;&gt;"proMX"),"Empresa inválida",IF(OR(INT(B704)&lt;CFG_PSTART,INT(B704)&gt;CFG_PEND),"Fecha fuera del período",IF(OR(NOT(ISNUMBER(Z704)),NOT(ISNUMBER(AA704))),"Falta hora inicio/fin o formato inválido",IF(AB704=0,"Hora inicio = hora fin",IF(AE704&lt;0,"Descanso inválido",IF(AE704&gt;=AD704,"Descanso ≥ duración",IF(AV704=1,"Registro duplicado",IF(AZ704&gt;0,"Se superpone con otro registro "&amp;D704,IF(BB704=0,"inicio, fin y duración neta deben ser múltiplos de "&amp;CFG_BLK&amp;" min",""))))))))))))</f>
        <v/>
      </c>
      <c r="BD704" s="80">
        <f>IF(AND(Y704=1,BC704=""),1,0)</f>
        <v>0</v>
      </c>
      <c r="BE704" s="80">
        <f>IF(AND(BD704=1,AU704=1),1,0)</f>
        <v>0</v>
      </c>
      <c r="BF704" s="80" t="str">
        <f>IF(AND(D704="proMX",BD704=1),IF(R704="","Draft",R704),"")</f>
        <v/>
      </c>
      <c r="BG704" s="80">
        <f>IF(BD704=1,ROUND(AG704/60,6),0)</f>
        <v>0</v>
      </c>
      <c r="BH704" s="80">
        <f>IF(BE704=1,ROUND(AG704/60,6),0)</f>
        <v>0</v>
      </c>
      <c r="BI704" s="80">
        <f>IF(BE704=1,ROUND(AP704/60,6),0)</f>
        <v>0</v>
      </c>
      <c r="BJ704" s="80">
        <f>IF(BE704=1,ROUND(AQ704/60,6),0)</f>
        <v>0</v>
      </c>
      <c r="BK704" s="80">
        <f>IF(BE704=1,ROUND((AR704+AS704)/60,6),0)</f>
        <v>0</v>
      </c>
      <c r="BL704" s="80">
        <f>ROUND(BH704-BK704,6)</f>
        <v>0</v>
      </c>
      <c r="BM704" s="80">
        <f>IF(BE704=1,ROUND(AR704/60,6),0)</f>
        <v>0</v>
      </c>
      <c r="BN704" s="80">
        <f>ROUND(BI704-BM704,6)</f>
        <v>0</v>
      </c>
      <c r="BO704" s="80">
        <f>IF(BE704=1,ROUND(AS704/60,6),0)</f>
        <v>0</v>
      </c>
      <c r="BP704" s="80">
        <f>ROUND(BJ704-BO704,6)</f>
        <v>0</v>
      </c>
      <c r="BQ704" s="80">
        <f>IF(BE704=1,AW704,0)</f>
        <v>0</v>
      </c>
      <c r="BR704" s="80">
        <f>IF(BE704=1,AX704,0)</f>
        <v>0</v>
      </c>
      <c r="BS704" s="80">
        <f>IF(AND(BE704=1,D704="Malcolm",BA704&gt;0),MIN(BH704,SUMPRODUCT((R_Emp="proMX")*(R_EN&gt;0)*((R_EN-(R_EN&gt;BR704)*(R_EN-BR704))&gt;(R_SN+(R_SN&lt;BQ704)*(BQ704-R_SN)))*((R_EN-(R_EN&gt;BR704)*(R_EN-BR704))-(R_SN+(R_SN&lt;BQ704)*(BQ704-R_SN))))/60),0)</f>
        <v>0</v>
      </c>
      <c r="BT704" s="80">
        <f>IF(AND(BE704=1,D704="proMX"),ROUND(BI704*CFG_RATE+BJ704*CFG_OTRATE,6),0)</f>
        <v>0</v>
      </c>
      <c r="BU704" s="80">
        <f>IF(AND(BD704=1,D704="proMX"),ROUND(AG704/CFG_BLK,6),0)</f>
        <v>0</v>
      </c>
      <c r="BV704" s="80" t="str">
        <f>IF(BF704="Approved",IF(ISNUMBER(T704),INT(T704),INT(B704)),"")</f>
        <v/>
      </c>
      <c r="BW704" s="80">
        <f>IF(ISNUMBER(B704),IF(DB_MON="Todos",1,IF(AND(INT(B704)&gt;=DB_MS,INT(B704)&lt;=DB_ME),1,0)),0)</f>
        <v>0</v>
      </c>
      <c r="BX704" s="80">
        <f>IF(DB_PROJ="Todos",1,IF(E704&amp;""=DB_PROJ&amp;"",1,0))</f>
        <v>1</v>
      </c>
      <c r="BY704" s="80">
        <f>BW704*BX704</f>
        <v>0</v>
      </c>
      <c r="BZ704" s="80" t="str">
        <f>IF(Y704=1,F704&amp;IF(AND(F704&amp;""&lt;&gt;"",E704&amp;""&lt;&gt;"")," · ","")&amp;E704,"")</f>
        <v/>
      </c>
      <c r="CA704" s="80" t="str">
        <f>IF(AND(BD704=1,E704&amp;""&lt;&gt;""),IF(COUNTIFS($E$5:E703,E704,$BD$5:BD703,1)=0,MAX($CA$5:CA703)+1,""),"")</f>
        <v/>
      </c>
      <c r="CB704" s="80" t="str">
        <f>IF(AND(BE704=1,D704="Malcolm",E704&amp;""&lt;&gt;""),IF(COUNTIFS($D$5:D703,"Malcolm",$E$5:E703,E704,$BE$5:BE703,1)=0,MAX($CB$5:CB703)+1,""),"")</f>
        <v/>
      </c>
      <c r="CC704" s="80" t="str">
        <f>IF(AND(BD704=1,D704="proMX",E704&amp;""&lt;&gt;""),IF(COUNTIFS($D$5:D703,"proMX",$E$5:E703,E704,$BD$5:BD703,1)=0,MAX($CC$5:CC703)+1,""),"")</f>
        <v/>
      </c>
      <c r="CD704" s="80" t="str">
        <f>IF(AND(BE704=1,D704="Malcolm",F704&amp;""&lt;&gt;""),IF(COUNTIFS($D$5:D703,"Malcolm",$F$5:F703,F704,$BE$5:BE703,1)=0,MAX($CD$5:CD703)+1,""),"")</f>
        <v/>
      </c>
      <c r="CE704" s="80" t="str">
        <f>IF(AND(BD704=1,D704="proMX",F704&amp;""&lt;&gt;""),IF(COUNTIFS($D$5:D703,"proMX",$F$5:F703,F704,$BD$5:BD703,1)=0,MAX($CE$5:CE703)+1,""),"")</f>
        <v/>
      </c>
      <c r="CF704" s="80" t="str">
        <f>IF(AND(D704="proMX",BD704=1),IF(OR(BF704="Draft",BF704="Submitted",BF704="Returned",BF704="Recall Requested"),MAX($CF$5:CF703)+1,""),"")</f>
        <v/>
      </c>
      <c r="CG704" s="80">
        <f>IF(BD704=0,0,IF(D704="Malcolm",1,MATCH(BF704,{"Draft","Submitted","Approved","Returned","Recall Requested","Cancelled"},0)+1))</f>
        <v>0</v>
      </c>
      <c r="CH704" s="80">
        <f>IF(AND(BF704="Submitted",ISNUMBER(V704)),IF(V704&gt;CFG_MAXD,1,0),0)</f>
        <v>0</v>
      </c>
    </row>
    <row r="705">
      <c r="A705" s="71" t="str">
        <f>IF(Y705=1,ROW()-5,"")</f>
        <v/>
      </c>
      <c r="B705" s="72" t="n"/>
      <c r="C705" s="71" t="str">
        <f>IF(ISNUMBER(B705),CHOOSE(WEEKDAY(B705,2),"Lun","Mar","Mié","Jue","Vie","Sáb","Dom"),"")</f>
        <v/>
      </c>
      <c r="D705" s="73" t="n"/>
      <c r="E705" s="74" t="n"/>
      <c r="F705" s="74" t="n"/>
      <c r="G705" s="74" t="n"/>
      <c r="H705" s="75" t="n"/>
      <c r="I705" s="75" t="n"/>
      <c r="J705" s="76" t="n"/>
      <c r="K705" s="77" t="str">
        <f>IF(AB705=1,ROUND(AG705/60,4),"")</f>
        <v/>
      </c>
      <c r="L705" s="77" t="str">
        <f>IF(BD705=1,ROUND(AP705/60,4),"")</f>
        <v/>
      </c>
      <c r="M705" s="77" t="str">
        <f>IF(BD705=1,ROUND(AQ705/60,4),"")</f>
        <v/>
      </c>
      <c r="N705" s="71" t="str">
        <f>IF(AND(D705="proMX",AB705=1),ROUND(AG705/CFG_BLK,2),"")</f>
        <v/>
      </c>
      <c r="O705" s="77" t="str">
        <f>IF(D705="proMX",IF(BD705=1,ROUND(AG705/60,4),0),"")</f>
        <v/>
      </c>
      <c r="P705" s="78" t="str">
        <f>IF(Y705=0,"",IF(BD705=1,"OK",IF(D705="proMX","Revisar bloques: ","Revisar: ")&amp;BC705))</f>
        <v/>
      </c>
      <c r="Q705" s="78" t="str">
        <f>IF(NOT(ISNUMBER(B705)),"",IF(COUNTIFS(FER_F,INT(B705))&gt;0,"Feriado"&amp;IF(AH705=1," (laborable)"," (no laborable)"),IF(AH705=1,"Laborable",IF(WEEKDAY(B705,2)&gt;5,"Fin de semana","No laborable"))))</f>
        <v/>
      </c>
      <c r="R705" s="73" t="n"/>
      <c r="S705" s="72" t="n"/>
      <c r="T705" s="72" t="n"/>
      <c r="U705" s="74" t="n"/>
      <c r="V705" s="79" t="str">
        <f>IF(AND(D705="proMX",OR(R705="Submitted",R705="Recall Requested"),ISNUMBER(S705)),CFG_TODAY-INT(S705),"")</f>
        <v/>
      </c>
      <c r="W705" s="78" t="str">
        <f>IF(BD705=0,"",IF(BA705&gt;0,"⚠ Se superpone con un registro de la otra empresa",IF(D705="Malcolm",IF(COUNTA(R705,S705,T705)&gt;0,"Estado/fechas proMX se ignoran en Malcolm",""),IF(BF705="Cancelled","Cancelado: excluido de totales",IF(R705="","Sin estado: se trata como Draft",IF(BF705="Submitted",IF(ISNUMBER(V705),IF(V705&gt;CFG_MAXD,"⚠ "&amp;V705&amp;" días en Submitted (máx. "&amp;CFG_MAXD&amp;")",""),"Falta fecha de envío"),IF(BF705="Returned","⚠ Devuelto: corregir y reenviar",IF(BF705="Recall Requested","Retirada solicitada: pendiente",IF(AND(BF705="Approved",NOT(ISNUMBER(T705))),"Falta fecha de aprobación",IF(AND(ISNUMBER(S705),ISNUMBER(T705),T705&lt;S705),"Aprobación anterior al envío","")))))))))</f>
        <v/>
      </c>
      <c r="Y705" s="80">
        <f>IF(COUNTA(B705,D705,E705,F705,G705,H705,I705,J705,R705,S705,T705)&gt;0,1,0)</f>
        <v>0</v>
      </c>
      <c r="Z705" s="80" t="str">
        <f>IF(AND(ISNUMBER(H705),H705&gt;=0,H705&lt;1),ROUND(H705*1440,0),"")</f>
        <v/>
      </c>
      <c r="AA705" s="80" t="str">
        <f>IF(AND(ISNUMBER(I705),I705&gt;=0,I705&lt;1),ROUND(I705*1440,0),"")</f>
        <v/>
      </c>
      <c r="AB705" s="80">
        <f>IF(AND(ISNUMBER(B705),D705&lt;&gt;"",ISNUMBER(Z705),ISNUMBER(AA705)),IF(Z705=AA705,0,1),0)</f>
        <v>0</v>
      </c>
      <c r="AC705" s="80">
        <f>IF(AB705=1,IF(AA705&lt;Z705,1,0),0)</f>
        <v>0</v>
      </c>
      <c r="AD705" s="80">
        <f>IF(AB705=1,IF(AC705=1,1440-Z705+AA705,AA705-Z705),0)</f>
        <v>0</v>
      </c>
      <c r="AE705" s="80">
        <f>IF(J705="",0,IF(ISNUMBER(J705),J705,-1))</f>
        <v>0</v>
      </c>
      <c r="AF705" s="80">
        <f>MIN(MAX(0,AE705),AD705)</f>
        <v>0</v>
      </c>
      <c r="AG705" s="80">
        <f>MAX(0,AD705-MAX(0,AE705))</f>
        <v>0</v>
      </c>
      <c r="AH705" s="80">
        <f>IF(ISNUMBER(B705),IF(AND(INDEX(CFG_WDAYS,WEEKDAY(INT(B705),2))="Sí",IF(D705="proMX",COUNTIFS(FER_F,INT(B705),FER_NLP,"Sí"),COUNTIFS(FER_F,INT(B705),FER_NLM,"Sí"))=0),1,0),0)</f>
        <v>0</v>
      </c>
      <c r="AI705" s="80">
        <f>IF(AC705=1,IF(AND(INDEX(CFG_WDAYS,WEEKDAY(INT(B705)+1,2))="Sí",IF(D705="proMX",COUNTIFS(FER_F,INT(B705)+1,FER_NLP,"Sí"),COUNTIFS(FER_F,INT(B705)+1,FER_NLM,"Sí"))=0),1,0),0)</f>
        <v>0</v>
      </c>
      <c r="AJ705" s="80">
        <f>IF(AC705=1,1440-Z705,AD705)</f>
        <v>0</v>
      </c>
      <c r="AK705" s="80">
        <f>IF(AND(AB705=1,AH705=1),MAX(0,MIN(IF(AC705=1,1440,AA705),CFG_WEM)-MAX(Z705,CFG_WSM)),0)</f>
        <v>0</v>
      </c>
      <c r="AL705" s="80">
        <f>IF(AND(AC705=1,AI705=1),MAX(0,MIN(AA705,CFG_WEM)-CFG_WSM),0)</f>
        <v>0</v>
      </c>
      <c r="AM705" s="80">
        <f>AK705+AL705</f>
        <v>0</v>
      </c>
      <c r="AN705" s="80">
        <f>IF(CFG_BRK="Proporcional",IF(AD705=0,0,AF705*AM705/AD705),IF(CFG_BRK="Extras primero",MIN(AM705,MAX(0,AF705-(AD705-AM705))),MIN(AF705,AM705)))</f>
        <v>0</v>
      </c>
      <c r="AO705" s="80">
        <f>AF705-AN705</f>
        <v>0</v>
      </c>
      <c r="AP705" s="80">
        <f>AM705-AN705</f>
        <v>0</v>
      </c>
      <c r="AQ705" s="80">
        <f>AD705-AM705-AO705</f>
        <v>0</v>
      </c>
      <c r="AR705" s="80">
        <f>IF(AM705=0,0,AK705-AN705*AK705/AM705)</f>
        <v>0</v>
      </c>
      <c r="AS705" s="80">
        <f>IF(AD705-AM705=0,0,(AJ705-AK705)-AO705*(AJ705-AK705)/(AD705-AM705))</f>
        <v>0</v>
      </c>
      <c r="AT705" s="80" t="str">
        <f>IF(AC705=1,INT(B705)+1,"")</f>
        <v/>
      </c>
      <c r="AU705" s="80">
        <f>IF(AND(D705="proMX",R705="Cancelled"),0,1)</f>
        <v>1</v>
      </c>
      <c r="AV705" s="80">
        <f>IF(AND(AB705=1,AU705=1),IF(COUNTIFS($D$5:D704,D705,$B$5:B704,B705,$Z$5:Z704,Z705,$AA$5:AA704,AA705,$F$5:F704,F705&amp;"",$AU$5:AU704,1)&gt;0,1,0),0)</f>
        <v>0</v>
      </c>
      <c r="AW705" s="80" t="str">
        <f>IF(AB705=1,INT(B705)*1440+Z705,"")</f>
        <v/>
      </c>
      <c r="AX705" s="80" t="str">
        <f>IF(AB705=1,AW705+AD705,"")</f>
        <v/>
      </c>
      <c r="AY705" s="80">
        <f>IF(AND(AB705=1,AV705=0,AU705=1),1,0)</f>
        <v>0</v>
      </c>
      <c r="AZ705" s="80">
        <f>IF(AY705=1,COUNTIFS(R_Emp,D705,R_SAbs,"&lt;"&amp;AX705,R_EAbs,"&gt;"&amp;AW705,R_OKey,1)-1,0)</f>
        <v>0</v>
      </c>
      <c r="BA705" s="80">
        <f>IF(AY705=1,COUNTIFS(R_Emp,"&lt;&gt;"&amp;D705,R_SAbs,"&lt;"&amp;AX705,R_EAbs,"&gt;"&amp;AW705,R_OKey,1),0)</f>
        <v>0</v>
      </c>
      <c r="BB705" s="80">
        <f>IF(AND(AB705=1,D705="proMX"),IF(AND(MOD(Z705,CFG_BLK)=0,MOD(AA705,CFG_BLK)=0,MOD(AG705,CFG_BLK)=0,AG705&gt;0),1,0),1)</f>
        <v>1</v>
      </c>
      <c r="BC705" s="80" t="str">
        <f>IF(Y705=0,"",IF(NOT(ISNUMBER(B705)),"Falta fecha o fecha inválida",IF(D705="","Falta empresa",IF(AND(D705&lt;&gt;"Malcolm",D705&lt;&gt;"proMX"),"Empresa inválida",IF(OR(INT(B705)&lt;CFG_PSTART,INT(B705)&gt;CFG_PEND),"Fecha fuera del período",IF(OR(NOT(ISNUMBER(Z705)),NOT(ISNUMBER(AA705))),"Falta hora inicio/fin o formato inválido",IF(AB705=0,"Hora inicio = hora fin",IF(AE705&lt;0,"Descanso inválido",IF(AE705&gt;=AD705,"Descanso ≥ duración",IF(AV705=1,"Registro duplicado",IF(AZ705&gt;0,"Se superpone con otro registro "&amp;D705,IF(BB705=0,"inicio, fin y duración neta deben ser múltiplos de "&amp;CFG_BLK&amp;" min",""))))))))))))</f>
        <v/>
      </c>
      <c r="BD705" s="80">
        <f>IF(AND(Y705=1,BC705=""),1,0)</f>
        <v>0</v>
      </c>
      <c r="BE705" s="80">
        <f>IF(AND(BD705=1,AU705=1),1,0)</f>
        <v>0</v>
      </c>
      <c r="BF705" s="80" t="str">
        <f>IF(AND(D705="proMX",BD705=1),IF(R705="","Draft",R705),"")</f>
        <v/>
      </c>
      <c r="BG705" s="80">
        <f>IF(BD705=1,ROUND(AG705/60,6),0)</f>
        <v>0</v>
      </c>
      <c r="BH705" s="80">
        <f>IF(BE705=1,ROUND(AG705/60,6),0)</f>
        <v>0</v>
      </c>
      <c r="BI705" s="80">
        <f>IF(BE705=1,ROUND(AP705/60,6),0)</f>
        <v>0</v>
      </c>
      <c r="BJ705" s="80">
        <f>IF(BE705=1,ROUND(AQ705/60,6),0)</f>
        <v>0</v>
      </c>
      <c r="BK705" s="80">
        <f>IF(BE705=1,ROUND((AR705+AS705)/60,6),0)</f>
        <v>0</v>
      </c>
      <c r="BL705" s="80">
        <f>ROUND(BH705-BK705,6)</f>
        <v>0</v>
      </c>
      <c r="BM705" s="80">
        <f>IF(BE705=1,ROUND(AR705/60,6),0)</f>
        <v>0</v>
      </c>
      <c r="BN705" s="80">
        <f>ROUND(BI705-BM705,6)</f>
        <v>0</v>
      </c>
      <c r="BO705" s="80">
        <f>IF(BE705=1,ROUND(AS705/60,6),0)</f>
        <v>0</v>
      </c>
      <c r="BP705" s="80">
        <f>ROUND(BJ705-BO705,6)</f>
        <v>0</v>
      </c>
      <c r="BQ705" s="80">
        <f>IF(BE705=1,AW705,0)</f>
        <v>0</v>
      </c>
      <c r="BR705" s="80">
        <f>IF(BE705=1,AX705,0)</f>
        <v>0</v>
      </c>
      <c r="BS705" s="80">
        <f>IF(AND(BE705=1,D705="Malcolm",BA705&gt;0),MIN(BH705,SUMPRODUCT((R_Emp="proMX")*(R_EN&gt;0)*((R_EN-(R_EN&gt;BR705)*(R_EN-BR705))&gt;(R_SN+(R_SN&lt;BQ705)*(BQ705-R_SN)))*((R_EN-(R_EN&gt;BR705)*(R_EN-BR705))-(R_SN+(R_SN&lt;BQ705)*(BQ705-R_SN))))/60),0)</f>
        <v>0</v>
      </c>
      <c r="BT705" s="80">
        <f>IF(AND(BE705=1,D705="proMX"),ROUND(BI705*CFG_RATE+BJ705*CFG_OTRATE,6),0)</f>
        <v>0</v>
      </c>
      <c r="BU705" s="80">
        <f>IF(AND(BD705=1,D705="proMX"),ROUND(AG705/CFG_BLK,6),0)</f>
        <v>0</v>
      </c>
      <c r="BV705" s="80" t="str">
        <f>IF(BF705="Approved",IF(ISNUMBER(T705),INT(T705),INT(B705)),"")</f>
        <v/>
      </c>
      <c r="BW705" s="80">
        <f>IF(ISNUMBER(B705),IF(DB_MON="Todos",1,IF(AND(INT(B705)&gt;=DB_MS,INT(B705)&lt;=DB_ME),1,0)),0)</f>
        <v>0</v>
      </c>
      <c r="BX705" s="80">
        <f>IF(DB_PROJ="Todos",1,IF(E705&amp;""=DB_PROJ&amp;"",1,0))</f>
        <v>1</v>
      </c>
      <c r="BY705" s="80">
        <f>BW705*BX705</f>
        <v>0</v>
      </c>
      <c r="BZ705" s="80" t="str">
        <f>IF(Y705=1,F705&amp;IF(AND(F705&amp;""&lt;&gt;"",E705&amp;""&lt;&gt;"")," · ","")&amp;E705,"")</f>
        <v/>
      </c>
      <c r="CA705" s="80" t="str">
        <f>IF(AND(BD705=1,E705&amp;""&lt;&gt;""),IF(COUNTIFS($E$5:E704,E705,$BD$5:BD704,1)=0,MAX($CA$5:CA704)+1,""),"")</f>
        <v/>
      </c>
      <c r="CB705" s="80" t="str">
        <f>IF(AND(BE705=1,D705="Malcolm",E705&amp;""&lt;&gt;""),IF(COUNTIFS($D$5:D704,"Malcolm",$E$5:E704,E705,$BE$5:BE704,1)=0,MAX($CB$5:CB704)+1,""),"")</f>
        <v/>
      </c>
      <c r="CC705" s="80" t="str">
        <f>IF(AND(BD705=1,D705="proMX",E705&amp;""&lt;&gt;""),IF(COUNTIFS($D$5:D704,"proMX",$E$5:E704,E705,$BD$5:BD704,1)=0,MAX($CC$5:CC704)+1,""),"")</f>
        <v/>
      </c>
      <c r="CD705" s="80" t="str">
        <f>IF(AND(BE705=1,D705="Malcolm",F705&amp;""&lt;&gt;""),IF(COUNTIFS($D$5:D704,"Malcolm",$F$5:F704,F705,$BE$5:BE704,1)=0,MAX($CD$5:CD704)+1,""),"")</f>
        <v/>
      </c>
      <c r="CE705" s="80" t="str">
        <f>IF(AND(BD705=1,D705="proMX",F705&amp;""&lt;&gt;""),IF(COUNTIFS($D$5:D704,"proMX",$F$5:F704,F705,$BD$5:BD704,1)=0,MAX($CE$5:CE704)+1,""),"")</f>
        <v/>
      </c>
      <c r="CF705" s="80" t="str">
        <f>IF(AND(D705="proMX",BD705=1),IF(OR(BF705="Draft",BF705="Submitted",BF705="Returned",BF705="Recall Requested"),MAX($CF$5:CF704)+1,""),"")</f>
        <v/>
      </c>
      <c r="CG705" s="80">
        <f>IF(BD705=0,0,IF(D705="Malcolm",1,MATCH(BF705,{"Draft","Submitted","Approved","Returned","Recall Requested","Cancelled"},0)+1))</f>
        <v>0</v>
      </c>
      <c r="CH705" s="80">
        <f>IF(AND(BF705="Submitted",ISNUMBER(V705)),IF(V705&gt;CFG_MAXD,1,0),0)</f>
        <v>0</v>
      </c>
    </row>
    <row r="706">
      <c r="A706" s="71" t="str">
        <f>IF(Y706=1,ROW()-5,"")</f>
        <v/>
      </c>
      <c r="B706" s="72" t="n"/>
      <c r="C706" s="71" t="str">
        <f>IF(ISNUMBER(B706),CHOOSE(WEEKDAY(B706,2),"Lun","Mar","Mié","Jue","Vie","Sáb","Dom"),"")</f>
        <v/>
      </c>
      <c r="D706" s="73" t="n"/>
      <c r="E706" s="74" t="n"/>
      <c r="F706" s="74" t="n"/>
      <c r="G706" s="74" t="n"/>
      <c r="H706" s="75" t="n"/>
      <c r="I706" s="75" t="n"/>
      <c r="J706" s="76" t="n"/>
      <c r="K706" s="77" t="str">
        <f>IF(AB706=1,ROUND(AG706/60,4),"")</f>
        <v/>
      </c>
      <c r="L706" s="77" t="str">
        <f>IF(BD706=1,ROUND(AP706/60,4),"")</f>
        <v/>
      </c>
      <c r="M706" s="77" t="str">
        <f>IF(BD706=1,ROUND(AQ706/60,4),"")</f>
        <v/>
      </c>
      <c r="N706" s="71" t="str">
        <f>IF(AND(D706="proMX",AB706=1),ROUND(AG706/CFG_BLK,2),"")</f>
        <v/>
      </c>
      <c r="O706" s="77" t="str">
        <f>IF(D706="proMX",IF(BD706=1,ROUND(AG706/60,4),0),"")</f>
        <v/>
      </c>
      <c r="P706" s="78" t="str">
        <f>IF(Y706=0,"",IF(BD706=1,"OK",IF(D706="proMX","Revisar bloques: ","Revisar: ")&amp;BC706))</f>
        <v/>
      </c>
      <c r="Q706" s="78" t="str">
        <f>IF(NOT(ISNUMBER(B706)),"",IF(COUNTIFS(FER_F,INT(B706))&gt;0,"Feriado"&amp;IF(AH706=1," (laborable)"," (no laborable)"),IF(AH706=1,"Laborable",IF(WEEKDAY(B706,2)&gt;5,"Fin de semana","No laborable"))))</f>
        <v/>
      </c>
      <c r="R706" s="73" t="n"/>
      <c r="S706" s="72" t="n"/>
      <c r="T706" s="72" t="n"/>
      <c r="U706" s="74" t="n"/>
      <c r="V706" s="79" t="str">
        <f>IF(AND(D706="proMX",OR(R706="Submitted",R706="Recall Requested"),ISNUMBER(S706)),CFG_TODAY-INT(S706),"")</f>
        <v/>
      </c>
      <c r="W706" s="78" t="str">
        <f>IF(BD706=0,"",IF(BA706&gt;0,"⚠ Se superpone con un registro de la otra empresa",IF(D706="Malcolm",IF(COUNTA(R706,S706,T706)&gt;0,"Estado/fechas proMX se ignoran en Malcolm",""),IF(BF706="Cancelled","Cancelado: excluido de totales",IF(R706="","Sin estado: se trata como Draft",IF(BF706="Submitted",IF(ISNUMBER(V706),IF(V706&gt;CFG_MAXD,"⚠ "&amp;V706&amp;" días en Submitted (máx. "&amp;CFG_MAXD&amp;")",""),"Falta fecha de envío"),IF(BF706="Returned","⚠ Devuelto: corregir y reenviar",IF(BF706="Recall Requested","Retirada solicitada: pendiente",IF(AND(BF706="Approved",NOT(ISNUMBER(T706))),"Falta fecha de aprobación",IF(AND(ISNUMBER(S706),ISNUMBER(T706),T706&lt;S706),"Aprobación anterior al envío","")))))))))</f>
        <v/>
      </c>
      <c r="Y706" s="80">
        <f>IF(COUNTA(B706,D706,E706,F706,G706,H706,I706,J706,R706,S706,T706)&gt;0,1,0)</f>
        <v>0</v>
      </c>
      <c r="Z706" s="80" t="str">
        <f>IF(AND(ISNUMBER(H706),H706&gt;=0,H706&lt;1),ROUND(H706*1440,0),"")</f>
        <v/>
      </c>
      <c r="AA706" s="80" t="str">
        <f>IF(AND(ISNUMBER(I706),I706&gt;=0,I706&lt;1),ROUND(I706*1440,0),"")</f>
        <v/>
      </c>
      <c r="AB706" s="80">
        <f>IF(AND(ISNUMBER(B706),D706&lt;&gt;"",ISNUMBER(Z706),ISNUMBER(AA706)),IF(Z706=AA706,0,1),0)</f>
        <v>0</v>
      </c>
      <c r="AC706" s="80">
        <f>IF(AB706=1,IF(AA706&lt;Z706,1,0),0)</f>
        <v>0</v>
      </c>
      <c r="AD706" s="80">
        <f>IF(AB706=1,IF(AC706=1,1440-Z706+AA706,AA706-Z706),0)</f>
        <v>0</v>
      </c>
      <c r="AE706" s="80">
        <f>IF(J706="",0,IF(ISNUMBER(J706),J706,-1))</f>
        <v>0</v>
      </c>
      <c r="AF706" s="80">
        <f>MIN(MAX(0,AE706),AD706)</f>
        <v>0</v>
      </c>
      <c r="AG706" s="80">
        <f>MAX(0,AD706-MAX(0,AE706))</f>
        <v>0</v>
      </c>
      <c r="AH706" s="80">
        <f>IF(ISNUMBER(B706),IF(AND(INDEX(CFG_WDAYS,WEEKDAY(INT(B706),2))="Sí",IF(D706="proMX",COUNTIFS(FER_F,INT(B706),FER_NLP,"Sí"),COUNTIFS(FER_F,INT(B706),FER_NLM,"Sí"))=0),1,0),0)</f>
        <v>0</v>
      </c>
      <c r="AI706" s="80">
        <f>IF(AC706=1,IF(AND(INDEX(CFG_WDAYS,WEEKDAY(INT(B706)+1,2))="Sí",IF(D706="proMX",COUNTIFS(FER_F,INT(B706)+1,FER_NLP,"Sí"),COUNTIFS(FER_F,INT(B706)+1,FER_NLM,"Sí"))=0),1,0),0)</f>
        <v>0</v>
      </c>
      <c r="AJ706" s="80">
        <f>IF(AC706=1,1440-Z706,AD706)</f>
        <v>0</v>
      </c>
      <c r="AK706" s="80">
        <f>IF(AND(AB706=1,AH706=1),MAX(0,MIN(IF(AC706=1,1440,AA706),CFG_WEM)-MAX(Z706,CFG_WSM)),0)</f>
        <v>0</v>
      </c>
      <c r="AL706" s="80">
        <f>IF(AND(AC706=1,AI706=1),MAX(0,MIN(AA706,CFG_WEM)-CFG_WSM),0)</f>
        <v>0</v>
      </c>
      <c r="AM706" s="80">
        <f>AK706+AL706</f>
        <v>0</v>
      </c>
      <c r="AN706" s="80">
        <f>IF(CFG_BRK="Proporcional",IF(AD706=0,0,AF706*AM706/AD706),IF(CFG_BRK="Extras primero",MIN(AM706,MAX(0,AF706-(AD706-AM706))),MIN(AF706,AM706)))</f>
        <v>0</v>
      </c>
      <c r="AO706" s="80">
        <f>AF706-AN706</f>
        <v>0</v>
      </c>
      <c r="AP706" s="80">
        <f>AM706-AN706</f>
        <v>0</v>
      </c>
      <c r="AQ706" s="80">
        <f>AD706-AM706-AO706</f>
        <v>0</v>
      </c>
      <c r="AR706" s="80">
        <f>IF(AM706=0,0,AK706-AN706*AK706/AM706)</f>
        <v>0</v>
      </c>
      <c r="AS706" s="80">
        <f>IF(AD706-AM706=0,0,(AJ706-AK706)-AO706*(AJ706-AK706)/(AD706-AM706))</f>
        <v>0</v>
      </c>
      <c r="AT706" s="80" t="str">
        <f>IF(AC706=1,INT(B706)+1,"")</f>
        <v/>
      </c>
      <c r="AU706" s="80">
        <f>IF(AND(D706="proMX",R706="Cancelled"),0,1)</f>
        <v>1</v>
      </c>
      <c r="AV706" s="80">
        <f>IF(AND(AB706=1,AU706=1),IF(COUNTIFS($D$5:D705,D706,$B$5:B705,B706,$Z$5:Z705,Z706,$AA$5:AA705,AA706,$F$5:F705,F706&amp;"",$AU$5:AU705,1)&gt;0,1,0),0)</f>
        <v>0</v>
      </c>
      <c r="AW706" s="80" t="str">
        <f>IF(AB706=1,INT(B706)*1440+Z706,"")</f>
        <v/>
      </c>
      <c r="AX706" s="80" t="str">
        <f>IF(AB706=1,AW706+AD706,"")</f>
        <v/>
      </c>
      <c r="AY706" s="80">
        <f>IF(AND(AB706=1,AV706=0,AU706=1),1,0)</f>
        <v>0</v>
      </c>
      <c r="AZ706" s="80">
        <f>IF(AY706=1,COUNTIFS(R_Emp,D706,R_SAbs,"&lt;"&amp;AX706,R_EAbs,"&gt;"&amp;AW706,R_OKey,1)-1,0)</f>
        <v>0</v>
      </c>
      <c r="BA706" s="80">
        <f>IF(AY706=1,COUNTIFS(R_Emp,"&lt;&gt;"&amp;D706,R_SAbs,"&lt;"&amp;AX706,R_EAbs,"&gt;"&amp;AW706,R_OKey,1),0)</f>
        <v>0</v>
      </c>
      <c r="BB706" s="80">
        <f>IF(AND(AB706=1,D706="proMX"),IF(AND(MOD(Z706,CFG_BLK)=0,MOD(AA706,CFG_BLK)=0,MOD(AG706,CFG_BLK)=0,AG706&gt;0),1,0),1)</f>
        <v>1</v>
      </c>
      <c r="BC706" s="80" t="str">
        <f>IF(Y706=0,"",IF(NOT(ISNUMBER(B706)),"Falta fecha o fecha inválida",IF(D706="","Falta empresa",IF(AND(D706&lt;&gt;"Malcolm",D706&lt;&gt;"proMX"),"Empresa inválida",IF(OR(INT(B706)&lt;CFG_PSTART,INT(B706)&gt;CFG_PEND),"Fecha fuera del período",IF(OR(NOT(ISNUMBER(Z706)),NOT(ISNUMBER(AA706))),"Falta hora inicio/fin o formato inválido",IF(AB706=0,"Hora inicio = hora fin",IF(AE706&lt;0,"Descanso inválido",IF(AE706&gt;=AD706,"Descanso ≥ duración",IF(AV706=1,"Registro duplicado",IF(AZ706&gt;0,"Se superpone con otro registro "&amp;D706,IF(BB706=0,"inicio, fin y duración neta deben ser múltiplos de "&amp;CFG_BLK&amp;" min",""))))))))))))</f>
        <v/>
      </c>
      <c r="BD706" s="80">
        <f>IF(AND(Y706=1,BC706=""),1,0)</f>
        <v>0</v>
      </c>
      <c r="BE706" s="80">
        <f>IF(AND(BD706=1,AU706=1),1,0)</f>
        <v>0</v>
      </c>
      <c r="BF706" s="80" t="str">
        <f>IF(AND(D706="proMX",BD706=1),IF(R706="","Draft",R706),"")</f>
        <v/>
      </c>
      <c r="BG706" s="80">
        <f>IF(BD706=1,ROUND(AG706/60,6),0)</f>
        <v>0</v>
      </c>
      <c r="BH706" s="80">
        <f>IF(BE706=1,ROUND(AG706/60,6),0)</f>
        <v>0</v>
      </c>
      <c r="BI706" s="80">
        <f>IF(BE706=1,ROUND(AP706/60,6),0)</f>
        <v>0</v>
      </c>
      <c r="BJ706" s="80">
        <f>IF(BE706=1,ROUND(AQ706/60,6),0)</f>
        <v>0</v>
      </c>
      <c r="BK706" s="80">
        <f>IF(BE706=1,ROUND((AR706+AS706)/60,6),0)</f>
        <v>0</v>
      </c>
      <c r="BL706" s="80">
        <f>ROUND(BH706-BK706,6)</f>
        <v>0</v>
      </c>
      <c r="BM706" s="80">
        <f>IF(BE706=1,ROUND(AR706/60,6),0)</f>
        <v>0</v>
      </c>
      <c r="BN706" s="80">
        <f>ROUND(BI706-BM706,6)</f>
        <v>0</v>
      </c>
      <c r="BO706" s="80">
        <f>IF(BE706=1,ROUND(AS706/60,6),0)</f>
        <v>0</v>
      </c>
      <c r="BP706" s="80">
        <f>ROUND(BJ706-BO706,6)</f>
        <v>0</v>
      </c>
      <c r="BQ706" s="80">
        <f>IF(BE706=1,AW706,0)</f>
        <v>0</v>
      </c>
      <c r="BR706" s="80">
        <f>IF(BE706=1,AX706,0)</f>
        <v>0</v>
      </c>
      <c r="BS706" s="80">
        <f>IF(AND(BE706=1,D706="Malcolm",BA706&gt;0),MIN(BH706,SUMPRODUCT((R_Emp="proMX")*(R_EN&gt;0)*((R_EN-(R_EN&gt;BR706)*(R_EN-BR706))&gt;(R_SN+(R_SN&lt;BQ706)*(BQ706-R_SN)))*((R_EN-(R_EN&gt;BR706)*(R_EN-BR706))-(R_SN+(R_SN&lt;BQ706)*(BQ706-R_SN))))/60),0)</f>
        <v>0</v>
      </c>
      <c r="BT706" s="80">
        <f>IF(AND(BE706=1,D706="proMX"),ROUND(BI706*CFG_RATE+BJ706*CFG_OTRATE,6),0)</f>
        <v>0</v>
      </c>
      <c r="BU706" s="80">
        <f>IF(AND(BD706=1,D706="proMX"),ROUND(AG706/CFG_BLK,6),0)</f>
        <v>0</v>
      </c>
      <c r="BV706" s="80" t="str">
        <f>IF(BF706="Approved",IF(ISNUMBER(T706),INT(T706),INT(B706)),"")</f>
        <v/>
      </c>
      <c r="BW706" s="80">
        <f>IF(ISNUMBER(B706),IF(DB_MON="Todos",1,IF(AND(INT(B706)&gt;=DB_MS,INT(B706)&lt;=DB_ME),1,0)),0)</f>
        <v>0</v>
      </c>
      <c r="BX706" s="80">
        <f>IF(DB_PROJ="Todos",1,IF(E706&amp;""=DB_PROJ&amp;"",1,0))</f>
        <v>1</v>
      </c>
      <c r="BY706" s="80">
        <f>BW706*BX706</f>
        <v>0</v>
      </c>
      <c r="BZ706" s="80" t="str">
        <f>IF(Y706=1,F706&amp;IF(AND(F706&amp;""&lt;&gt;"",E706&amp;""&lt;&gt;"")," · ","")&amp;E706,"")</f>
        <v/>
      </c>
      <c r="CA706" s="80" t="str">
        <f>IF(AND(BD706=1,E706&amp;""&lt;&gt;""),IF(COUNTIFS($E$5:E705,E706,$BD$5:BD705,1)=0,MAX($CA$5:CA705)+1,""),"")</f>
        <v/>
      </c>
      <c r="CB706" s="80" t="str">
        <f>IF(AND(BE706=1,D706="Malcolm",E706&amp;""&lt;&gt;""),IF(COUNTIFS($D$5:D705,"Malcolm",$E$5:E705,E706,$BE$5:BE705,1)=0,MAX($CB$5:CB705)+1,""),"")</f>
        <v/>
      </c>
      <c r="CC706" s="80" t="str">
        <f>IF(AND(BD706=1,D706="proMX",E706&amp;""&lt;&gt;""),IF(COUNTIFS($D$5:D705,"proMX",$E$5:E705,E706,$BD$5:BD705,1)=0,MAX($CC$5:CC705)+1,""),"")</f>
        <v/>
      </c>
      <c r="CD706" s="80" t="str">
        <f>IF(AND(BE706=1,D706="Malcolm",F706&amp;""&lt;&gt;""),IF(COUNTIFS($D$5:D705,"Malcolm",$F$5:F705,F706,$BE$5:BE705,1)=0,MAX($CD$5:CD705)+1,""),"")</f>
        <v/>
      </c>
      <c r="CE706" s="80" t="str">
        <f>IF(AND(BD706=1,D706="proMX",F706&amp;""&lt;&gt;""),IF(COUNTIFS($D$5:D705,"proMX",$F$5:F705,F706,$BD$5:BD705,1)=0,MAX($CE$5:CE705)+1,""),"")</f>
        <v/>
      </c>
      <c r="CF706" s="80" t="str">
        <f>IF(AND(D706="proMX",BD706=1),IF(OR(BF706="Draft",BF706="Submitted",BF706="Returned",BF706="Recall Requested"),MAX($CF$5:CF705)+1,""),"")</f>
        <v/>
      </c>
      <c r="CG706" s="80">
        <f>IF(BD706=0,0,IF(D706="Malcolm",1,MATCH(BF706,{"Draft","Submitted","Approved","Returned","Recall Requested","Cancelled"},0)+1))</f>
        <v>0</v>
      </c>
      <c r="CH706" s="80">
        <f>IF(AND(BF706="Submitted",ISNUMBER(V706)),IF(V706&gt;CFG_MAXD,1,0),0)</f>
        <v>0</v>
      </c>
    </row>
    <row r="707">
      <c r="A707" s="71" t="str">
        <f>IF(Y707=1,ROW()-5,"")</f>
        <v/>
      </c>
      <c r="B707" s="72" t="n"/>
      <c r="C707" s="71" t="str">
        <f>IF(ISNUMBER(B707),CHOOSE(WEEKDAY(B707,2),"Lun","Mar","Mié","Jue","Vie","Sáb","Dom"),"")</f>
        <v/>
      </c>
      <c r="D707" s="73" t="n"/>
      <c r="E707" s="74" t="n"/>
      <c r="F707" s="74" t="n"/>
      <c r="G707" s="74" t="n"/>
      <c r="H707" s="75" t="n"/>
      <c r="I707" s="75" t="n"/>
      <c r="J707" s="76" t="n"/>
      <c r="K707" s="77" t="str">
        <f>IF(AB707=1,ROUND(AG707/60,4),"")</f>
        <v/>
      </c>
      <c r="L707" s="77" t="str">
        <f>IF(BD707=1,ROUND(AP707/60,4),"")</f>
        <v/>
      </c>
      <c r="M707" s="77" t="str">
        <f>IF(BD707=1,ROUND(AQ707/60,4),"")</f>
        <v/>
      </c>
      <c r="N707" s="71" t="str">
        <f>IF(AND(D707="proMX",AB707=1),ROUND(AG707/CFG_BLK,2),"")</f>
        <v/>
      </c>
      <c r="O707" s="77" t="str">
        <f>IF(D707="proMX",IF(BD707=1,ROUND(AG707/60,4),0),"")</f>
        <v/>
      </c>
      <c r="P707" s="78" t="str">
        <f>IF(Y707=0,"",IF(BD707=1,"OK",IF(D707="proMX","Revisar bloques: ","Revisar: ")&amp;BC707))</f>
        <v/>
      </c>
      <c r="Q707" s="78" t="str">
        <f>IF(NOT(ISNUMBER(B707)),"",IF(COUNTIFS(FER_F,INT(B707))&gt;0,"Feriado"&amp;IF(AH707=1," (laborable)"," (no laborable)"),IF(AH707=1,"Laborable",IF(WEEKDAY(B707,2)&gt;5,"Fin de semana","No laborable"))))</f>
        <v/>
      </c>
      <c r="R707" s="73" t="n"/>
      <c r="S707" s="72" t="n"/>
      <c r="T707" s="72" t="n"/>
      <c r="U707" s="74" t="n"/>
      <c r="V707" s="79" t="str">
        <f>IF(AND(D707="proMX",OR(R707="Submitted",R707="Recall Requested"),ISNUMBER(S707)),CFG_TODAY-INT(S707),"")</f>
        <v/>
      </c>
      <c r="W707" s="78" t="str">
        <f>IF(BD707=0,"",IF(BA707&gt;0,"⚠ Se superpone con un registro de la otra empresa",IF(D707="Malcolm",IF(COUNTA(R707,S707,T707)&gt;0,"Estado/fechas proMX se ignoran en Malcolm",""),IF(BF707="Cancelled","Cancelado: excluido de totales",IF(R707="","Sin estado: se trata como Draft",IF(BF707="Submitted",IF(ISNUMBER(V707),IF(V707&gt;CFG_MAXD,"⚠ "&amp;V707&amp;" días en Submitted (máx. "&amp;CFG_MAXD&amp;")",""),"Falta fecha de envío"),IF(BF707="Returned","⚠ Devuelto: corregir y reenviar",IF(BF707="Recall Requested","Retirada solicitada: pendiente",IF(AND(BF707="Approved",NOT(ISNUMBER(T707))),"Falta fecha de aprobación",IF(AND(ISNUMBER(S707),ISNUMBER(T707),T707&lt;S707),"Aprobación anterior al envío","")))))))))</f>
        <v/>
      </c>
      <c r="Y707" s="80">
        <f>IF(COUNTA(B707,D707,E707,F707,G707,H707,I707,J707,R707,S707,T707)&gt;0,1,0)</f>
        <v>0</v>
      </c>
      <c r="Z707" s="80" t="str">
        <f>IF(AND(ISNUMBER(H707),H707&gt;=0,H707&lt;1),ROUND(H707*1440,0),"")</f>
        <v/>
      </c>
      <c r="AA707" s="80" t="str">
        <f>IF(AND(ISNUMBER(I707),I707&gt;=0,I707&lt;1),ROUND(I707*1440,0),"")</f>
        <v/>
      </c>
      <c r="AB707" s="80">
        <f>IF(AND(ISNUMBER(B707),D707&lt;&gt;"",ISNUMBER(Z707),ISNUMBER(AA707)),IF(Z707=AA707,0,1),0)</f>
        <v>0</v>
      </c>
      <c r="AC707" s="80">
        <f>IF(AB707=1,IF(AA707&lt;Z707,1,0),0)</f>
        <v>0</v>
      </c>
      <c r="AD707" s="80">
        <f>IF(AB707=1,IF(AC707=1,1440-Z707+AA707,AA707-Z707),0)</f>
        <v>0</v>
      </c>
      <c r="AE707" s="80">
        <f>IF(J707="",0,IF(ISNUMBER(J707),J707,-1))</f>
        <v>0</v>
      </c>
      <c r="AF707" s="80">
        <f>MIN(MAX(0,AE707),AD707)</f>
        <v>0</v>
      </c>
      <c r="AG707" s="80">
        <f>MAX(0,AD707-MAX(0,AE707))</f>
        <v>0</v>
      </c>
      <c r="AH707" s="80">
        <f>IF(ISNUMBER(B707),IF(AND(INDEX(CFG_WDAYS,WEEKDAY(INT(B707),2))="Sí",IF(D707="proMX",COUNTIFS(FER_F,INT(B707),FER_NLP,"Sí"),COUNTIFS(FER_F,INT(B707),FER_NLM,"Sí"))=0),1,0),0)</f>
        <v>0</v>
      </c>
      <c r="AI707" s="80">
        <f>IF(AC707=1,IF(AND(INDEX(CFG_WDAYS,WEEKDAY(INT(B707)+1,2))="Sí",IF(D707="proMX",COUNTIFS(FER_F,INT(B707)+1,FER_NLP,"Sí"),COUNTIFS(FER_F,INT(B707)+1,FER_NLM,"Sí"))=0),1,0),0)</f>
        <v>0</v>
      </c>
      <c r="AJ707" s="80">
        <f>IF(AC707=1,1440-Z707,AD707)</f>
        <v>0</v>
      </c>
      <c r="AK707" s="80">
        <f>IF(AND(AB707=1,AH707=1),MAX(0,MIN(IF(AC707=1,1440,AA707),CFG_WEM)-MAX(Z707,CFG_WSM)),0)</f>
        <v>0</v>
      </c>
      <c r="AL707" s="80">
        <f>IF(AND(AC707=1,AI707=1),MAX(0,MIN(AA707,CFG_WEM)-CFG_WSM),0)</f>
        <v>0</v>
      </c>
      <c r="AM707" s="80">
        <f>AK707+AL707</f>
        <v>0</v>
      </c>
      <c r="AN707" s="80">
        <f>IF(CFG_BRK="Proporcional",IF(AD707=0,0,AF707*AM707/AD707),IF(CFG_BRK="Extras primero",MIN(AM707,MAX(0,AF707-(AD707-AM707))),MIN(AF707,AM707)))</f>
        <v>0</v>
      </c>
      <c r="AO707" s="80">
        <f>AF707-AN707</f>
        <v>0</v>
      </c>
      <c r="AP707" s="80">
        <f>AM707-AN707</f>
        <v>0</v>
      </c>
      <c r="AQ707" s="80">
        <f>AD707-AM707-AO707</f>
        <v>0</v>
      </c>
      <c r="AR707" s="80">
        <f>IF(AM707=0,0,AK707-AN707*AK707/AM707)</f>
        <v>0</v>
      </c>
      <c r="AS707" s="80">
        <f>IF(AD707-AM707=0,0,(AJ707-AK707)-AO707*(AJ707-AK707)/(AD707-AM707))</f>
        <v>0</v>
      </c>
      <c r="AT707" s="80" t="str">
        <f>IF(AC707=1,INT(B707)+1,"")</f>
        <v/>
      </c>
      <c r="AU707" s="80">
        <f>IF(AND(D707="proMX",R707="Cancelled"),0,1)</f>
        <v>1</v>
      </c>
      <c r="AV707" s="80">
        <f>IF(AND(AB707=1,AU707=1),IF(COUNTIFS($D$5:D706,D707,$B$5:B706,B707,$Z$5:Z706,Z707,$AA$5:AA706,AA707,$F$5:F706,F707&amp;"",$AU$5:AU706,1)&gt;0,1,0),0)</f>
        <v>0</v>
      </c>
      <c r="AW707" s="80" t="str">
        <f>IF(AB707=1,INT(B707)*1440+Z707,"")</f>
        <v/>
      </c>
      <c r="AX707" s="80" t="str">
        <f>IF(AB707=1,AW707+AD707,"")</f>
        <v/>
      </c>
      <c r="AY707" s="80">
        <f>IF(AND(AB707=1,AV707=0,AU707=1),1,0)</f>
        <v>0</v>
      </c>
      <c r="AZ707" s="80">
        <f>IF(AY707=1,COUNTIFS(R_Emp,D707,R_SAbs,"&lt;"&amp;AX707,R_EAbs,"&gt;"&amp;AW707,R_OKey,1)-1,0)</f>
        <v>0</v>
      </c>
      <c r="BA707" s="80">
        <f>IF(AY707=1,COUNTIFS(R_Emp,"&lt;&gt;"&amp;D707,R_SAbs,"&lt;"&amp;AX707,R_EAbs,"&gt;"&amp;AW707,R_OKey,1),0)</f>
        <v>0</v>
      </c>
      <c r="BB707" s="80">
        <f>IF(AND(AB707=1,D707="proMX"),IF(AND(MOD(Z707,CFG_BLK)=0,MOD(AA707,CFG_BLK)=0,MOD(AG707,CFG_BLK)=0,AG707&gt;0),1,0),1)</f>
        <v>1</v>
      </c>
      <c r="BC707" s="80" t="str">
        <f>IF(Y707=0,"",IF(NOT(ISNUMBER(B707)),"Falta fecha o fecha inválida",IF(D707="","Falta empresa",IF(AND(D707&lt;&gt;"Malcolm",D707&lt;&gt;"proMX"),"Empresa inválida",IF(OR(INT(B707)&lt;CFG_PSTART,INT(B707)&gt;CFG_PEND),"Fecha fuera del período",IF(OR(NOT(ISNUMBER(Z707)),NOT(ISNUMBER(AA707))),"Falta hora inicio/fin o formato inválido",IF(AB707=0,"Hora inicio = hora fin",IF(AE707&lt;0,"Descanso inválido",IF(AE707&gt;=AD707,"Descanso ≥ duración",IF(AV707=1,"Registro duplicado",IF(AZ707&gt;0,"Se superpone con otro registro "&amp;D707,IF(BB707=0,"inicio, fin y duración neta deben ser múltiplos de "&amp;CFG_BLK&amp;" min",""))))))))))))</f>
        <v/>
      </c>
      <c r="BD707" s="80">
        <f>IF(AND(Y707=1,BC707=""),1,0)</f>
        <v>0</v>
      </c>
      <c r="BE707" s="80">
        <f>IF(AND(BD707=1,AU707=1),1,0)</f>
        <v>0</v>
      </c>
      <c r="BF707" s="80" t="str">
        <f>IF(AND(D707="proMX",BD707=1),IF(R707="","Draft",R707),"")</f>
        <v/>
      </c>
      <c r="BG707" s="80">
        <f>IF(BD707=1,ROUND(AG707/60,6),0)</f>
        <v>0</v>
      </c>
      <c r="BH707" s="80">
        <f>IF(BE707=1,ROUND(AG707/60,6),0)</f>
        <v>0</v>
      </c>
      <c r="BI707" s="80">
        <f>IF(BE707=1,ROUND(AP707/60,6),0)</f>
        <v>0</v>
      </c>
      <c r="BJ707" s="80">
        <f>IF(BE707=1,ROUND(AQ707/60,6),0)</f>
        <v>0</v>
      </c>
      <c r="BK707" s="80">
        <f>IF(BE707=1,ROUND((AR707+AS707)/60,6),0)</f>
        <v>0</v>
      </c>
      <c r="BL707" s="80">
        <f>ROUND(BH707-BK707,6)</f>
        <v>0</v>
      </c>
      <c r="BM707" s="80">
        <f>IF(BE707=1,ROUND(AR707/60,6),0)</f>
        <v>0</v>
      </c>
      <c r="BN707" s="80">
        <f>ROUND(BI707-BM707,6)</f>
        <v>0</v>
      </c>
      <c r="BO707" s="80">
        <f>IF(BE707=1,ROUND(AS707/60,6),0)</f>
        <v>0</v>
      </c>
      <c r="BP707" s="80">
        <f>ROUND(BJ707-BO707,6)</f>
        <v>0</v>
      </c>
      <c r="BQ707" s="80">
        <f>IF(BE707=1,AW707,0)</f>
        <v>0</v>
      </c>
      <c r="BR707" s="80">
        <f>IF(BE707=1,AX707,0)</f>
        <v>0</v>
      </c>
      <c r="BS707" s="80">
        <f>IF(AND(BE707=1,D707="Malcolm",BA707&gt;0),MIN(BH707,SUMPRODUCT((R_Emp="proMX")*(R_EN&gt;0)*((R_EN-(R_EN&gt;BR707)*(R_EN-BR707))&gt;(R_SN+(R_SN&lt;BQ707)*(BQ707-R_SN)))*((R_EN-(R_EN&gt;BR707)*(R_EN-BR707))-(R_SN+(R_SN&lt;BQ707)*(BQ707-R_SN))))/60),0)</f>
        <v>0</v>
      </c>
      <c r="BT707" s="80">
        <f>IF(AND(BE707=1,D707="proMX"),ROUND(BI707*CFG_RATE+BJ707*CFG_OTRATE,6),0)</f>
        <v>0</v>
      </c>
      <c r="BU707" s="80">
        <f>IF(AND(BD707=1,D707="proMX"),ROUND(AG707/CFG_BLK,6),0)</f>
        <v>0</v>
      </c>
      <c r="BV707" s="80" t="str">
        <f>IF(BF707="Approved",IF(ISNUMBER(T707),INT(T707),INT(B707)),"")</f>
        <v/>
      </c>
      <c r="BW707" s="80">
        <f>IF(ISNUMBER(B707),IF(DB_MON="Todos",1,IF(AND(INT(B707)&gt;=DB_MS,INT(B707)&lt;=DB_ME),1,0)),0)</f>
        <v>0</v>
      </c>
      <c r="BX707" s="80">
        <f>IF(DB_PROJ="Todos",1,IF(E707&amp;""=DB_PROJ&amp;"",1,0))</f>
        <v>1</v>
      </c>
      <c r="BY707" s="80">
        <f>BW707*BX707</f>
        <v>0</v>
      </c>
      <c r="BZ707" s="80" t="str">
        <f>IF(Y707=1,F707&amp;IF(AND(F707&amp;""&lt;&gt;"",E707&amp;""&lt;&gt;"")," · ","")&amp;E707,"")</f>
        <v/>
      </c>
      <c r="CA707" s="80" t="str">
        <f>IF(AND(BD707=1,E707&amp;""&lt;&gt;""),IF(COUNTIFS($E$5:E706,E707,$BD$5:BD706,1)=0,MAX($CA$5:CA706)+1,""),"")</f>
        <v/>
      </c>
      <c r="CB707" s="80" t="str">
        <f>IF(AND(BE707=1,D707="Malcolm",E707&amp;""&lt;&gt;""),IF(COUNTIFS($D$5:D706,"Malcolm",$E$5:E706,E707,$BE$5:BE706,1)=0,MAX($CB$5:CB706)+1,""),"")</f>
        <v/>
      </c>
      <c r="CC707" s="80" t="str">
        <f>IF(AND(BD707=1,D707="proMX",E707&amp;""&lt;&gt;""),IF(COUNTIFS($D$5:D706,"proMX",$E$5:E706,E707,$BD$5:BD706,1)=0,MAX($CC$5:CC706)+1,""),"")</f>
        <v/>
      </c>
      <c r="CD707" s="80" t="str">
        <f>IF(AND(BE707=1,D707="Malcolm",F707&amp;""&lt;&gt;""),IF(COUNTIFS($D$5:D706,"Malcolm",$F$5:F706,F707,$BE$5:BE706,1)=0,MAX($CD$5:CD706)+1,""),"")</f>
        <v/>
      </c>
      <c r="CE707" s="80" t="str">
        <f>IF(AND(BD707=1,D707="proMX",F707&amp;""&lt;&gt;""),IF(COUNTIFS($D$5:D706,"proMX",$F$5:F706,F707,$BD$5:BD706,1)=0,MAX($CE$5:CE706)+1,""),"")</f>
        <v/>
      </c>
      <c r="CF707" s="80" t="str">
        <f>IF(AND(D707="proMX",BD707=1),IF(OR(BF707="Draft",BF707="Submitted",BF707="Returned",BF707="Recall Requested"),MAX($CF$5:CF706)+1,""),"")</f>
        <v/>
      </c>
      <c r="CG707" s="80">
        <f>IF(BD707=0,0,IF(D707="Malcolm",1,MATCH(BF707,{"Draft","Submitted","Approved","Returned","Recall Requested","Cancelled"},0)+1))</f>
        <v>0</v>
      </c>
      <c r="CH707" s="80">
        <f>IF(AND(BF707="Submitted",ISNUMBER(V707)),IF(V707&gt;CFG_MAXD,1,0),0)</f>
        <v>0</v>
      </c>
    </row>
    <row r="708">
      <c r="A708" s="71" t="str">
        <f>IF(Y708=1,ROW()-5,"")</f>
        <v/>
      </c>
      <c r="B708" s="72" t="n"/>
      <c r="C708" s="71" t="str">
        <f>IF(ISNUMBER(B708),CHOOSE(WEEKDAY(B708,2),"Lun","Mar","Mié","Jue","Vie","Sáb","Dom"),"")</f>
        <v/>
      </c>
      <c r="D708" s="73" t="n"/>
      <c r="E708" s="74" t="n"/>
      <c r="F708" s="74" t="n"/>
      <c r="G708" s="74" t="n"/>
      <c r="H708" s="75" t="n"/>
      <c r="I708" s="75" t="n"/>
      <c r="J708" s="76" t="n"/>
      <c r="K708" s="77" t="str">
        <f>IF(AB708=1,ROUND(AG708/60,4),"")</f>
        <v/>
      </c>
      <c r="L708" s="77" t="str">
        <f>IF(BD708=1,ROUND(AP708/60,4),"")</f>
        <v/>
      </c>
      <c r="M708" s="77" t="str">
        <f>IF(BD708=1,ROUND(AQ708/60,4),"")</f>
        <v/>
      </c>
      <c r="N708" s="71" t="str">
        <f>IF(AND(D708="proMX",AB708=1),ROUND(AG708/CFG_BLK,2),"")</f>
        <v/>
      </c>
      <c r="O708" s="77" t="str">
        <f>IF(D708="proMX",IF(BD708=1,ROUND(AG708/60,4),0),"")</f>
        <v/>
      </c>
      <c r="P708" s="78" t="str">
        <f>IF(Y708=0,"",IF(BD708=1,"OK",IF(D708="proMX","Revisar bloques: ","Revisar: ")&amp;BC708))</f>
        <v/>
      </c>
      <c r="Q708" s="78" t="str">
        <f>IF(NOT(ISNUMBER(B708)),"",IF(COUNTIFS(FER_F,INT(B708))&gt;0,"Feriado"&amp;IF(AH708=1," (laborable)"," (no laborable)"),IF(AH708=1,"Laborable",IF(WEEKDAY(B708,2)&gt;5,"Fin de semana","No laborable"))))</f>
        <v/>
      </c>
      <c r="R708" s="73" t="n"/>
      <c r="S708" s="72" t="n"/>
      <c r="T708" s="72" t="n"/>
      <c r="U708" s="74" t="n"/>
      <c r="V708" s="79" t="str">
        <f>IF(AND(D708="proMX",OR(R708="Submitted",R708="Recall Requested"),ISNUMBER(S708)),CFG_TODAY-INT(S708),"")</f>
        <v/>
      </c>
      <c r="W708" s="78" t="str">
        <f>IF(BD708=0,"",IF(BA708&gt;0,"⚠ Se superpone con un registro de la otra empresa",IF(D708="Malcolm",IF(COUNTA(R708,S708,T708)&gt;0,"Estado/fechas proMX se ignoran en Malcolm",""),IF(BF708="Cancelled","Cancelado: excluido de totales",IF(R708="","Sin estado: se trata como Draft",IF(BF708="Submitted",IF(ISNUMBER(V708),IF(V708&gt;CFG_MAXD,"⚠ "&amp;V708&amp;" días en Submitted (máx. "&amp;CFG_MAXD&amp;")",""),"Falta fecha de envío"),IF(BF708="Returned","⚠ Devuelto: corregir y reenviar",IF(BF708="Recall Requested","Retirada solicitada: pendiente",IF(AND(BF708="Approved",NOT(ISNUMBER(T708))),"Falta fecha de aprobación",IF(AND(ISNUMBER(S708),ISNUMBER(T708),T708&lt;S708),"Aprobación anterior al envío","")))))))))</f>
        <v/>
      </c>
      <c r="Y708" s="80">
        <f>IF(COUNTA(B708,D708,E708,F708,G708,H708,I708,J708,R708,S708,T708)&gt;0,1,0)</f>
        <v>0</v>
      </c>
      <c r="Z708" s="80" t="str">
        <f>IF(AND(ISNUMBER(H708),H708&gt;=0,H708&lt;1),ROUND(H708*1440,0),"")</f>
        <v/>
      </c>
      <c r="AA708" s="80" t="str">
        <f>IF(AND(ISNUMBER(I708),I708&gt;=0,I708&lt;1),ROUND(I708*1440,0),"")</f>
        <v/>
      </c>
      <c r="AB708" s="80">
        <f>IF(AND(ISNUMBER(B708),D708&lt;&gt;"",ISNUMBER(Z708),ISNUMBER(AA708)),IF(Z708=AA708,0,1),0)</f>
        <v>0</v>
      </c>
      <c r="AC708" s="80">
        <f>IF(AB708=1,IF(AA708&lt;Z708,1,0),0)</f>
        <v>0</v>
      </c>
      <c r="AD708" s="80">
        <f>IF(AB708=1,IF(AC708=1,1440-Z708+AA708,AA708-Z708),0)</f>
        <v>0</v>
      </c>
      <c r="AE708" s="80">
        <f>IF(J708="",0,IF(ISNUMBER(J708),J708,-1))</f>
        <v>0</v>
      </c>
      <c r="AF708" s="80">
        <f>MIN(MAX(0,AE708),AD708)</f>
        <v>0</v>
      </c>
      <c r="AG708" s="80">
        <f>MAX(0,AD708-MAX(0,AE708))</f>
        <v>0</v>
      </c>
      <c r="AH708" s="80">
        <f>IF(ISNUMBER(B708),IF(AND(INDEX(CFG_WDAYS,WEEKDAY(INT(B708),2))="Sí",IF(D708="proMX",COUNTIFS(FER_F,INT(B708),FER_NLP,"Sí"),COUNTIFS(FER_F,INT(B708),FER_NLM,"Sí"))=0),1,0),0)</f>
        <v>0</v>
      </c>
      <c r="AI708" s="80">
        <f>IF(AC708=1,IF(AND(INDEX(CFG_WDAYS,WEEKDAY(INT(B708)+1,2))="Sí",IF(D708="proMX",COUNTIFS(FER_F,INT(B708)+1,FER_NLP,"Sí"),COUNTIFS(FER_F,INT(B708)+1,FER_NLM,"Sí"))=0),1,0),0)</f>
        <v>0</v>
      </c>
      <c r="AJ708" s="80">
        <f>IF(AC708=1,1440-Z708,AD708)</f>
        <v>0</v>
      </c>
      <c r="AK708" s="80">
        <f>IF(AND(AB708=1,AH708=1),MAX(0,MIN(IF(AC708=1,1440,AA708),CFG_WEM)-MAX(Z708,CFG_WSM)),0)</f>
        <v>0</v>
      </c>
      <c r="AL708" s="80">
        <f>IF(AND(AC708=1,AI708=1),MAX(0,MIN(AA708,CFG_WEM)-CFG_WSM),0)</f>
        <v>0</v>
      </c>
      <c r="AM708" s="80">
        <f>AK708+AL708</f>
        <v>0</v>
      </c>
      <c r="AN708" s="80">
        <f>IF(CFG_BRK="Proporcional",IF(AD708=0,0,AF708*AM708/AD708),IF(CFG_BRK="Extras primero",MIN(AM708,MAX(0,AF708-(AD708-AM708))),MIN(AF708,AM708)))</f>
        <v>0</v>
      </c>
      <c r="AO708" s="80">
        <f>AF708-AN708</f>
        <v>0</v>
      </c>
      <c r="AP708" s="80">
        <f>AM708-AN708</f>
        <v>0</v>
      </c>
      <c r="AQ708" s="80">
        <f>AD708-AM708-AO708</f>
        <v>0</v>
      </c>
      <c r="AR708" s="80">
        <f>IF(AM708=0,0,AK708-AN708*AK708/AM708)</f>
        <v>0</v>
      </c>
      <c r="AS708" s="80">
        <f>IF(AD708-AM708=0,0,(AJ708-AK708)-AO708*(AJ708-AK708)/(AD708-AM708))</f>
        <v>0</v>
      </c>
      <c r="AT708" s="80" t="str">
        <f>IF(AC708=1,INT(B708)+1,"")</f>
        <v/>
      </c>
      <c r="AU708" s="80">
        <f>IF(AND(D708="proMX",R708="Cancelled"),0,1)</f>
        <v>1</v>
      </c>
      <c r="AV708" s="80">
        <f>IF(AND(AB708=1,AU708=1),IF(COUNTIFS($D$5:D707,D708,$B$5:B707,B708,$Z$5:Z707,Z708,$AA$5:AA707,AA708,$F$5:F707,F708&amp;"",$AU$5:AU707,1)&gt;0,1,0),0)</f>
        <v>0</v>
      </c>
      <c r="AW708" s="80" t="str">
        <f>IF(AB708=1,INT(B708)*1440+Z708,"")</f>
        <v/>
      </c>
      <c r="AX708" s="80" t="str">
        <f>IF(AB708=1,AW708+AD708,"")</f>
        <v/>
      </c>
      <c r="AY708" s="80">
        <f>IF(AND(AB708=1,AV708=0,AU708=1),1,0)</f>
        <v>0</v>
      </c>
      <c r="AZ708" s="80">
        <f>IF(AY708=1,COUNTIFS(R_Emp,D708,R_SAbs,"&lt;"&amp;AX708,R_EAbs,"&gt;"&amp;AW708,R_OKey,1)-1,0)</f>
        <v>0</v>
      </c>
      <c r="BA708" s="80">
        <f>IF(AY708=1,COUNTIFS(R_Emp,"&lt;&gt;"&amp;D708,R_SAbs,"&lt;"&amp;AX708,R_EAbs,"&gt;"&amp;AW708,R_OKey,1),0)</f>
        <v>0</v>
      </c>
      <c r="BB708" s="80">
        <f>IF(AND(AB708=1,D708="proMX"),IF(AND(MOD(Z708,CFG_BLK)=0,MOD(AA708,CFG_BLK)=0,MOD(AG708,CFG_BLK)=0,AG708&gt;0),1,0),1)</f>
        <v>1</v>
      </c>
      <c r="BC708" s="80" t="str">
        <f>IF(Y708=0,"",IF(NOT(ISNUMBER(B708)),"Falta fecha o fecha inválida",IF(D708="","Falta empresa",IF(AND(D708&lt;&gt;"Malcolm",D708&lt;&gt;"proMX"),"Empresa inválida",IF(OR(INT(B708)&lt;CFG_PSTART,INT(B708)&gt;CFG_PEND),"Fecha fuera del período",IF(OR(NOT(ISNUMBER(Z708)),NOT(ISNUMBER(AA708))),"Falta hora inicio/fin o formato inválido",IF(AB708=0,"Hora inicio = hora fin",IF(AE708&lt;0,"Descanso inválido",IF(AE708&gt;=AD708,"Descanso ≥ duración",IF(AV708=1,"Registro duplicado",IF(AZ708&gt;0,"Se superpone con otro registro "&amp;D708,IF(BB708=0,"inicio, fin y duración neta deben ser múltiplos de "&amp;CFG_BLK&amp;" min",""))))))))))))</f>
        <v/>
      </c>
      <c r="BD708" s="80">
        <f>IF(AND(Y708=1,BC708=""),1,0)</f>
        <v>0</v>
      </c>
      <c r="BE708" s="80">
        <f>IF(AND(BD708=1,AU708=1),1,0)</f>
        <v>0</v>
      </c>
      <c r="BF708" s="80" t="str">
        <f>IF(AND(D708="proMX",BD708=1),IF(R708="","Draft",R708),"")</f>
        <v/>
      </c>
      <c r="BG708" s="80">
        <f>IF(BD708=1,ROUND(AG708/60,6),0)</f>
        <v>0</v>
      </c>
      <c r="BH708" s="80">
        <f>IF(BE708=1,ROUND(AG708/60,6),0)</f>
        <v>0</v>
      </c>
      <c r="BI708" s="80">
        <f>IF(BE708=1,ROUND(AP708/60,6),0)</f>
        <v>0</v>
      </c>
      <c r="BJ708" s="80">
        <f>IF(BE708=1,ROUND(AQ708/60,6),0)</f>
        <v>0</v>
      </c>
      <c r="BK708" s="80">
        <f>IF(BE708=1,ROUND((AR708+AS708)/60,6),0)</f>
        <v>0</v>
      </c>
      <c r="BL708" s="80">
        <f>ROUND(BH708-BK708,6)</f>
        <v>0</v>
      </c>
      <c r="BM708" s="80">
        <f>IF(BE708=1,ROUND(AR708/60,6),0)</f>
        <v>0</v>
      </c>
      <c r="BN708" s="80">
        <f>ROUND(BI708-BM708,6)</f>
        <v>0</v>
      </c>
      <c r="BO708" s="80">
        <f>IF(BE708=1,ROUND(AS708/60,6),0)</f>
        <v>0</v>
      </c>
      <c r="BP708" s="80">
        <f>ROUND(BJ708-BO708,6)</f>
        <v>0</v>
      </c>
      <c r="BQ708" s="80">
        <f>IF(BE708=1,AW708,0)</f>
        <v>0</v>
      </c>
      <c r="BR708" s="80">
        <f>IF(BE708=1,AX708,0)</f>
        <v>0</v>
      </c>
      <c r="BS708" s="80">
        <f>IF(AND(BE708=1,D708="Malcolm",BA708&gt;0),MIN(BH708,SUMPRODUCT((R_Emp="proMX")*(R_EN&gt;0)*((R_EN-(R_EN&gt;BR708)*(R_EN-BR708))&gt;(R_SN+(R_SN&lt;BQ708)*(BQ708-R_SN)))*((R_EN-(R_EN&gt;BR708)*(R_EN-BR708))-(R_SN+(R_SN&lt;BQ708)*(BQ708-R_SN))))/60),0)</f>
        <v>0</v>
      </c>
      <c r="BT708" s="80">
        <f>IF(AND(BE708=1,D708="proMX"),ROUND(BI708*CFG_RATE+BJ708*CFG_OTRATE,6),0)</f>
        <v>0</v>
      </c>
      <c r="BU708" s="80">
        <f>IF(AND(BD708=1,D708="proMX"),ROUND(AG708/CFG_BLK,6),0)</f>
        <v>0</v>
      </c>
      <c r="BV708" s="80" t="str">
        <f>IF(BF708="Approved",IF(ISNUMBER(T708),INT(T708),INT(B708)),"")</f>
        <v/>
      </c>
      <c r="BW708" s="80">
        <f>IF(ISNUMBER(B708),IF(DB_MON="Todos",1,IF(AND(INT(B708)&gt;=DB_MS,INT(B708)&lt;=DB_ME),1,0)),0)</f>
        <v>0</v>
      </c>
      <c r="BX708" s="80">
        <f>IF(DB_PROJ="Todos",1,IF(E708&amp;""=DB_PROJ&amp;"",1,0))</f>
        <v>1</v>
      </c>
      <c r="BY708" s="80">
        <f>BW708*BX708</f>
        <v>0</v>
      </c>
      <c r="BZ708" s="80" t="str">
        <f>IF(Y708=1,F708&amp;IF(AND(F708&amp;""&lt;&gt;"",E708&amp;""&lt;&gt;"")," · ","")&amp;E708,"")</f>
        <v/>
      </c>
      <c r="CA708" s="80" t="str">
        <f>IF(AND(BD708=1,E708&amp;""&lt;&gt;""),IF(COUNTIFS($E$5:E707,E708,$BD$5:BD707,1)=0,MAX($CA$5:CA707)+1,""),"")</f>
        <v/>
      </c>
      <c r="CB708" s="80" t="str">
        <f>IF(AND(BE708=1,D708="Malcolm",E708&amp;""&lt;&gt;""),IF(COUNTIFS($D$5:D707,"Malcolm",$E$5:E707,E708,$BE$5:BE707,1)=0,MAX($CB$5:CB707)+1,""),"")</f>
        <v/>
      </c>
      <c r="CC708" s="80" t="str">
        <f>IF(AND(BD708=1,D708="proMX",E708&amp;""&lt;&gt;""),IF(COUNTIFS($D$5:D707,"proMX",$E$5:E707,E708,$BD$5:BD707,1)=0,MAX($CC$5:CC707)+1,""),"")</f>
        <v/>
      </c>
      <c r="CD708" s="80" t="str">
        <f>IF(AND(BE708=1,D708="Malcolm",F708&amp;""&lt;&gt;""),IF(COUNTIFS($D$5:D707,"Malcolm",$F$5:F707,F708,$BE$5:BE707,1)=0,MAX($CD$5:CD707)+1,""),"")</f>
        <v/>
      </c>
      <c r="CE708" s="80" t="str">
        <f>IF(AND(BD708=1,D708="proMX",F708&amp;""&lt;&gt;""),IF(COUNTIFS($D$5:D707,"proMX",$F$5:F707,F708,$BD$5:BD707,1)=0,MAX($CE$5:CE707)+1,""),"")</f>
        <v/>
      </c>
      <c r="CF708" s="80" t="str">
        <f>IF(AND(D708="proMX",BD708=1),IF(OR(BF708="Draft",BF708="Submitted",BF708="Returned",BF708="Recall Requested"),MAX($CF$5:CF707)+1,""),"")</f>
        <v/>
      </c>
      <c r="CG708" s="80">
        <f>IF(BD708=0,0,IF(D708="Malcolm",1,MATCH(BF708,{"Draft","Submitted","Approved","Returned","Recall Requested","Cancelled"},0)+1))</f>
        <v>0</v>
      </c>
      <c r="CH708" s="80">
        <f>IF(AND(BF708="Submitted",ISNUMBER(V708)),IF(V708&gt;CFG_MAXD,1,0),0)</f>
        <v>0</v>
      </c>
    </row>
    <row r="709">
      <c r="A709" s="71" t="str">
        <f>IF(Y709=1,ROW()-5,"")</f>
        <v/>
      </c>
      <c r="B709" s="72" t="n"/>
      <c r="C709" s="71" t="str">
        <f>IF(ISNUMBER(B709),CHOOSE(WEEKDAY(B709,2),"Lun","Mar","Mié","Jue","Vie","Sáb","Dom"),"")</f>
        <v/>
      </c>
      <c r="D709" s="73" t="n"/>
      <c r="E709" s="74" t="n"/>
      <c r="F709" s="74" t="n"/>
      <c r="G709" s="74" t="n"/>
      <c r="H709" s="75" t="n"/>
      <c r="I709" s="75" t="n"/>
      <c r="J709" s="76" t="n"/>
      <c r="K709" s="77" t="str">
        <f>IF(AB709=1,ROUND(AG709/60,4),"")</f>
        <v/>
      </c>
      <c r="L709" s="77" t="str">
        <f>IF(BD709=1,ROUND(AP709/60,4),"")</f>
        <v/>
      </c>
      <c r="M709" s="77" t="str">
        <f>IF(BD709=1,ROUND(AQ709/60,4),"")</f>
        <v/>
      </c>
      <c r="N709" s="71" t="str">
        <f>IF(AND(D709="proMX",AB709=1),ROUND(AG709/CFG_BLK,2),"")</f>
        <v/>
      </c>
      <c r="O709" s="77" t="str">
        <f>IF(D709="proMX",IF(BD709=1,ROUND(AG709/60,4),0),"")</f>
        <v/>
      </c>
      <c r="P709" s="78" t="str">
        <f>IF(Y709=0,"",IF(BD709=1,"OK",IF(D709="proMX","Revisar bloques: ","Revisar: ")&amp;BC709))</f>
        <v/>
      </c>
      <c r="Q709" s="78" t="str">
        <f>IF(NOT(ISNUMBER(B709)),"",IF(COUNTIFS(FER_F,INT(B709))&gt;0,"Feriado"&amp;IF(AH709=1," (laborable)"," (no laborable)"),IF(AH709=1,"Laborable",IF(WEEKDAY(B709,2)&gt;5,"Fin de semana","No laborable"))))</f>
        <v/>
      </c>
      <c r="R709" s="73" t="n"/>
      <c r="S709" s="72" t="n"/>
      <c r="T709" s="72" t="n"/>
      <c r="U709" s="74" t="n"/>
      <c r="V709" s="79" t="str">
        <f>IF(AND(D709="proMX",OR(R709="Submitted",R709="Recall Requested"),ISNUMBER(S709)),CFG_TODAY-INT(S709),"")</f>
        <v/>
      </c>
      <c r="W709" s="78" t="str">
        <f>IF(BD709=0,"",IF(BA709&gt;0,"⚠ Se superpone con un registro de la otra empresa",IF(D709="Malcolm",IF(COUNTA(R709,S709,T709)&gt;0,"Estado/fechas proMX se ignoran en Malcolm",""),IF(BF709="Cancelled","Cancelado: excluido de totales",IF(R709="","Sin estado: se trata como Draft",IF(BF709="Submitted",IF(ISNUMBER(V709),IF(V709&gt;CFG_MAXD,"⚠ "&amp;V709&amp;" días en Submitted (máx. "&amp;CFG_MAXD&amp;")",""),"Falta fecha de envío"),IF(BF709="Returned","⚠ Devuelto: corregir y reenviar",IF(BF709="Recall Requested","Retirada solicitada: pendiente",IF(AND(BF709="Approved",NOT(ISNUMBER(T709))),"Falta fecha de aprobación",IF(AND(ISNUMBER(S709),ISNUMBER(T709),T709&lt;S709),"Aprobación anterior al envío","")))))))))</f>
        <v/>
      </c>
      <c r="Y709" s="80">
        <f>IF(COUNTA(B709,D709,E709,F709,G709,H709,I709,J709,R709,S709,T709)&gt;0,1,0)</f>
        <v>0</v>
      </c>
      <c r="Z709" s="80" t="str">
        <f>IF(AND(ISNUMBER(H709),H709&gt;=0,H709&lt;1),ROUND(H709*1440,0),"")</f>
        <v/>
      </c>
      <c r="AA709" s="80" t="str">
        <f>IF(AND(ISNUMBER(I709),I709&gt;=0,I709&lt;1),ROUND(I709*1440,0),"")</f>
        <v/>
      </c>
      <c r="AB709" s="80">
        <f>IF(AND(ISNUMBER(B709),D709&lt;&gt;"",ISNUMBER(Z709),ISNUMBER(AA709)),IF(Z709=AA709,0,1),0)</f>
        <v>0</v>
      </c>
      <c r="AC709" s="80">
        <f>IF(AB709=1,IF(AA709&lt;Z709,1,0),0)</f>
        <v>0</v>
      </c>
      <c r="AD709" s="80">
        <f>IF(AB709=1,IF(AC709=1,1440-Z709+AA709,AA709-Z709),0)</f>
        <v>0</v>
      </c>
      <c r="AE709" s="80">
        <f>IF(J709="",0,IF(ISNUMBER(J709),J709,-1))</f>
        <v>0</v>
      </c>
      <c r="AF709" s="80">
        <f>MIN(MAX(0,AE709),AD709)</f>
        <v>0</v>
      </c>
      <c r="AG709" s="80">
        <f>MAX(0,AD709-MAX(0,AE709))</f>
        <v>0</v>
      </c>
      <c r="AH709" s="80">
        <f>IF(ISNUMBER(B709),IF(AND(INDEX(CFG_WDAYS,WEEKDAY(INT(B709),2))="Sí",IF(D709="proMX",COUNTIFS(FER_F,INT(B709),FER_NLP,"Sí"),COUNTIFS(FER_F,INT(B709),FER_NLM,"Sí"))=0),1,0),0)</f>
        <v>0</v>
      </c>
      <c r="AI709" s="80">
        <f>IF(AC709=1,IF(AND(INDEX(CFG_WDAYS,WEEKDAY(INT(B709)+1,2))="Sí",IF(D709="proMX",COUNTIFS(FER_F,INT(B709)+1,FER_NLP,"Sí"),COUNTIFS(FER_F,INT(B709)+1,FER_NLM,"Sí"))=0),1,0),0)</f>
        <v>0</v>
      </c>
      <c r="AJ709" s="80">
        <f>IF(AC709=1,1440-Z709,AD709)</f>
        <v>0</v>
      </c>
      <c r="AK709" s="80">
        <f>IF(AND(AB709=1,AH709=1),MAX(0,MIN(IF(AC709=1,1440,AA709),CFG_WEM)-MAX(Z709,CFG_WSM)),0)</f>
        <v>0</v>
      </c>
      <c r="AL709" s="80">
        <f>IF(AND(AC709=1,AI709=1),MAX(0,MIN(AA709,CFG_WEM)-CFG_WSM),0)</f>
        <v>0</v>
      </c>
      <c r="AM709" s="80">
        <f>AK709+AL709</f>
        <v>0</v>
      </c>
      <c r="AN709" s="80">
        <f>IF(CFG_BRK="Proporcional",IF(AD709=0,0,AF709*AM709/AD709),IF(CFG_BRK="Extras primero",MIN(AM709,MAX(0,AF709-(AD709-AM709))),MIN(AF709,AM709)))</f>
        <v>0</v>
      </c>
      <c r="AO709" s="80">
        <f>AF709-AN709</f>
        <v>0</v>
      </c>
      <c r="AP709" s="80">
        <f>AM709-AN709</f>
        <v>0</v>
      </c>
      <c r="AQ709" s="80">
        <f>AD709-AM709-AO709</f>
        <v>0</v>
      </c>
      <c r="AR709" s="80">
        <f>IF(AM709=0,0,AK709-AN709*AK709/AM709)</f>
        <v>0</v>
      </c>
      <c r="AS709" s="80">
        <f>IF(AD709-AM709=0,0,(AJ709-AK709)-AO709*(AJ709-AK709)/(AD709-AM709))</f>
        <v>0</v>
      </c>
      <c r="AT709" s="80" t="str">
        <f>IF(AC709=1,INT(B709)+1,"")</f>
        <v/>
      </c>
      <c r="AU709" s="80">
        <f>IF(AND(D709="proMX",R709="Cancelled"),0,1)</f>
        <v>1</v>
      </c>
      <c r="AV709" s="80">
        <f>IF(AND(AB709=1,AU709=1),IF(COUNTIFS($D$5:D708,D709,$B$5:B708,B709,$Z$5:Z708,Z709,$AA$5:AA708,AA709,$F$5:F708,F709&amp;"",$AU$5:AU708,1)&gt;0,1,0),0)</f>
        <v>0</v>
      </c>
      <c r="AW709" s="80" t="str">
        <f>IF(AB709=1,INT(B709)*1440+Z709,"")</f>
        <v/>
      </c>
      <c r="AX709" s="80" t="str">
        <f>IF(AB709=1,AW709+AD709,"")</f>
        <v/>
      </c>
      <c r="AY709" s="80">
        <f>IF(AND(AB709=1,AV709=0,AU709=1),1,0)</f>
        <v>0</v>
      </c>
      <c r="AZ709" s="80">
        <f>IF(AY709=1,COUNTIFS(R_Emp,D709,R_SAbs,"&lt;"&amp;AX709,R_EAbs,"&gt;"&amp;AW709,R_OKey,1)-1,0)</f>
        <v>0</v>
      </c>
      <c r="BA709" s="80">
        <f>IF(AY709=1,COUNTIFS(R_Emp,"&lt;&gt;"&amp;D709,R_SAbs,"&lt;"&amp;AX709,R_EAbs,"&gt;"&amp;AW709,R_OKey,1),0)</f>
        <v>0</v>
      </c>
      <c r="BB709" s="80">
        <f>IF(AND(AB709=1,D709="proMX"),IF(AND(MOD(Z709,CFG_BLK)=0,MOD(AA709,CFG_BLK)=0,MOD(AG709,CFG_BLK)=0,AG709&gt;0),1,0),1)</f>
        <v>1</v>
      </c>
      <c r="BC709" s="80" t="str">
        <f>IF(Y709=0,"",IF(NOT(ISNUMBER(B709)),"Falta fecha o fecha inválida",IF(D709="","Falta empresa",IF(AND(D709&lt;&gt;"Malcolm",D709&lt;&gt;"proMX"),"Empresa inválida",IF(OR(INT(B709)&lt;CFG_PSTART,INT(B709)&gt;CFG_PEND),"Fecha fuera del período",IF(OR(NOT(ISNUMBER(Z709)),NOT(ISNUMBER(AA709))),"Falta hora inicio/fin o formato inválido",IF(AB709=0,"Hora inicio = hora fin",IF(AE709&lt;0,"Descanso inválido",IF(AE709&gt;=AD709,"Descanso ≥ duración",IF(AV709=1,"Registro duplicado",IF(AZ709&gt;0,"Se superpone con otro registro "&amp;D709,IF(BB709=0,"inicio, fin y duración neta deben ser múltiplos de "&amp;CFG_BLK&amp;" min",""))))))))))))</f>
        <v/>
      </c>
      <c r="BD709" s="80">
        <f>IF(AND(Y709=1,BC709=""),1,0)</f>
        <v>0</v>
      </c>
      <c r="BE709" s="80">
        <f>IF(AND(BD709=1,AU709=1),1,0)</f>
        <v>0</v>
      </c>
      <c r="BF709" s="80" t="str">
        <f>IF(AND(D709="proMX",BD709=1),IF(R709="","Draft",R709),"")</f>
        <v/>
      </c>
      <c r="BG709" s="80">
        <f>IF(BD709=1,ROUND(AG709/60,6),0)</f>
        <v>0</v>
      </c>
      <c r="BH709" s="80">
        <f>IF(BE709=1,ROUND(AG709/60,6),0)</f>
        <v>0</v>
      </c>
      <c r="BI709" s="80">
        <f>IF(BE709=1,ROUND(AP709/60,6),0)</f>
        <v>0</v>
      </c>
      <c r="BJ709" s="80">
        <f>IF(BE709=1,ROUND(AQ709/60,6),0)</f>
        <v>0</v>
      </c>
      <c r="BK709" s="80">
        <f>IF(BE709=1,ROUND((AR709+AS709)/60,6),0)</f>
        <v>0</v>
      </c>
      <c r="BL709" s="80">
        <f>ROUND(BH709-BK709,6)</f>
        <v>0</v>
      </c>
      <c r="BM709" s="80">
        <f>IF(BE709=1,ROUND(AR709/60,6),0)</f>
        <v>0</v>
      </c>
      <c r="BN709" s="80">
        <f>ROUND(BI709-BM709,6)</f>
        <v>0</v>
      </c>
      <c r="BO709" s="80">
        <f>IF(BE709=1,ROUND(AS709/60,6),0)</f>
        <v>0</v>
      </c>
      <c r="BP709" s="80">
        <f>ROUND(BJ709-BO709,6)</f>
        <v>0</v>
      </c>
      <c r="BQ709" s="80">
        <f>IF(BE709=1,AW709,0)</f>
        <v>0</v>
      </c>
      <c r="BR709" s="80">
        <f>IF(BE709=1,AX709,0)</f>
        <v>0</v>
      </c>
      <c r="BS709" s="80">
        <f>IF(AND(BE709=1,D709="Malcolm",BA709&gt;0),MIN(BH709,SUMPRODUCT((R_Emp="proMX")*(R_EN&gt;0)*((R_EN-(R_EN&gt;BR709)*(R_EN-BR709))&gt;(R_SN+(R_SN&lt;BQ709)*(BQ709-R_SN)))*((R_EN-(R_EN&gt;BR709)*(R_EN-BR709))-(R_SN+(R_SN&lt;BQ709)*(BQ709-R_SN))))/60),0)</f>
        <v>0</v>
      </c>
      <c r="BT709" s="80">
        <f>IF(AND(BE709=1,D709="proMX"),ROUND(BI709*CFG_RATE+BJ709*CFG_OTRATE,6),0)</f>
        <v>0</v>
      </c>
      <c r="BU709" s="80">
        <f>IF(AND(BD709=1,D709="proMX"),ROUND(AG709/CFG_BLK,6),0)</f>
        <v>0</v>
      </c>
      <c r="BV709" s="80" t="str">
        <f>IF(BF709="Approved",IF(ISNUMBER(T709),INT(T709),INT(B709)),"")</f>
        <v/>
      </c>
      <c r="BW709" s="80">
        <f>IF(ISNUMBER(B709),IF(DB_MON="Todos",1,IF(AND(INT(B709)&gt;=DB_MS,INT(B709)&lt;=DB_ME),1,0)),0)</f>
        <v>0</v>
      </c>
      <c r="BX709" s="80">
        <f>IF(DB_PROJ="Todos",1,IF(E709&amp;""=DB_PROJ&amp;"",1,0))</f>
        <v>1</v>
      </c>
      <c r="BY709" s="80">
        <f>BW709*BX709</f>
        <v>0</v>
      </c>
      <c r="BZ709" s="80" t="str">
        <f>IF(Y709=1,F709&amp;IF(AND(F709&amp;""&lt;&gt;"",E709&amp;""&lt;&gt;"")," · ","")&amp;E709,"")</f>
        <v/>
      </c>
      <c r="CA709" s="80" t="str">
        <f>IF(AND(BD709=1,E709&amp;""&lt;&gt;""),IF(COUNTIFS($E$5:E708,E709,$BD$5:BD708,1)=0,MAX($CA$5:CA708)+1,""),"")</f>
        <v/>
      </c>
      <c r="CB709" s="80" t="str">
        <f>IF(AND(BE709=1,D709="Malcolm",E709&amp;""&lt;&gt;""),IF(COUNTIFS($D$5:D708,"Malcolm",$E$5:E708,E709,$BE$5:BE708,1)=0,MAX($CB$5:CB708)+1,""),"")</f>
        <v/>
      </c>
      <c r="CC709" s="80" t="str">
        <f>IF(AND(BD709=1,D709="proMX",E709&amp;""&lt;&gt;""),IF(COUNTIFS($D$5:D708,"proMX",$E$5:E708,E709,$BD$5:BD708,1)=0,MAX($CC$5:CC708)+1,""),"")</f>
        <v/>
      </c>
      <c r="CD709" s="80" t="str">
        <f>IF(AND(BE709=1,D709="Malcolm",F709&amp;""&lt;&gt;""),IF(COUNTIFS($D$5:D708,"Malcolm",$F$5:F708,F709,$BE$5:BE708,1)=0,MAX($CD$5:CD708)+1,""),"")</f>
        <v/>
      </c>
      <c r="CE709" s="80" t="str">
        <f>IF(AND(BD709=1,D709="proMX",F709&amp;""&lt;&gt;""),IF(COUNTIFS($D$5:D708,"proMX",$F$5:F708,F709,$BD$5:BD708,1)=0,MAX($CE$5:CE708)+1,""),"")</f>
        <v/>
      </c>
      <c r="CF709" s="80" t="str">
        <f>IF(AND(D709="proMX",BD709=1),IF(OR(BF709="Draft",BF709="Submitted",BF709="Returned",BF709="Recall Requested"),MAX($CF$5:CF708)+1,""),"")</f>
        <v/>
      </c>
      <c r="CG709" s="80">
        <f>IF(BD709=0,0,IF(D709="Malcolm",1,MATCH(BF709,{"Draft","Submitted","Approved","Returned","Recall Requested","Cancelled"},0)+1))</f>
        <v>0</v>
      </c>
      <c r="CH709" s="80">
        <f>IF(AND(BF709="Submitted",ISNUMBER(V709)),IF(V709&gt;CFG_MAXD,1,0),0)</f>
        <v>0</v>
      </c>
    </row>
    <row r="710">
      <c r="A710" s="71" t="str">
        <f>IF(Y710=1,ROW()-5,"")</f>
        <v/>
      </c>
      <c r="B710" s="72" t="n"/>
      <c r="C710" s="71" t="str">
        <f>IF(ISNUMBER(B710),CHOOSE(WEEKDAY(B710,2),"Lun","Mar","Mié","Jue","Vie","Sáb","Dom"),"")</f>
        <v/>
      </c>
      <c r="D710" s="73" t="n"/>
      <c r="E710" s="74" t="n"/>
      <c r="F710" s="74" t="n"/>
      <c r="G710" s="74" t="n"/>
      <c r="H710" s="75" t="n"/>
      <c r="I710" s="75" t="n"/>
      <c r="J710" s="76" t="n"/>
      <c r="K710" s="77" t="str">
        <f>IF(AB710=1,ROUND(AG710/60,4),"")</f>
        <v/>
      </c>
      <c r="L710" s="77" t="str">
        <f>IF(BD710=1,ROUND(AP710/60,4),"")</f>
        <v/>
      </c>
      <c r="M710" s="77" t="str">
        <f>IF(BD710=1,ROUND(AQ710/60,4),"")</f>
        <v/>
      </c>
      <c r="N710" s="71" t="str">
        <f>IF(AND(D710="proMX",AB710=1),ROUND(AG710/CFG_BLK,2),"")</f>
        <v/>
      </c>
      <c r="O710" s="77" t="str">
        <f>IF(D710="proMX",IF(BD710=1,ROUND(AG710/60,4),0),"")</f>
        <v/>
      </c>
      <c r="P710" s="78" t="str">
        <f>IF(Y710=0,"",IF(BD710=1,"OK",IF(D710="proMX","Revisar bloques: ","Revisar: ")&amp;BC710))</f>
        <v/>
      </c>
      <c r="Q710" s="78" t="str">
        <f>IF(NOT(ISNUMBER(B710)),"",IF(COUNTIFS(FER_F,INT(B710))&gt;0,"Feriado"&amp;IF(AH710=1," (laborable)"," (no laborable)"),IF(AH710=1,"Laborable",IF(WEEKDAY(B710,2)&gt;5,"Fin de semana","No laborable"))))</f>
        <v/>
      </c>
      <c r="R710" s="73" t="n"/>
      <c r="S710" s="72" t="n"/>
      <c r="T710" s="72" t="n"/>
      <c r="U710" s="74" t="n"/>
      <c r="V710" s="79" t="str">
        <f>IF(AND(D710="proMX",OR(R710="Submitted",R710="Recall Requested"),ISNUMBER(S710)),CFG_TODAY-INT(S710),"")</f>
        <v/>
      </c>
      <c r="W710" s="78" t="str">
        <f>IF(BD710=0,"",IF(BA710&gt;0,"⚠ Se superpone con un registro de la otra empresa",IF(D710="Malcolm",IF(COUNTA(R710,S710,T710)&gt;0,"Estado/fechas proMX se ignoran en Malcolm",""),IF(BF710="Cancelled","Cancelado: excluido de totales",IF(R710="","Sin estado: se trata como Draft",IF(BF710="Submitted",IF(ISNUMBER(V710),IF(V710&gt;CFG_MAXD,"⚠ "&amp;V710&amp;" días en Submitted (máx. "&amp;CFG_MAXD&amp;")",""),"Falta fecha de envío"),IF(BF710="Returned","⚠ Devuelto: corregir y reenviar",IF(BF710="Recall Requested","Retirada solicitada: pendiente",IF(AND(BF710="Approved",NOT(ISNUMBER(T710))),"Falta fecha de aprobación",IF(AND(ISNUMBER(S710),ISNUMBER(T710),T710&lt;S710),"Aprobación anterior al envío","")))))))))</f>
        <v/>
      </c>
      <c r="Y710" s="80">
        <f>IF(COUNTA(B710,D710,E710,F710,G710,H710,I710,J710,R710,S710,T710)&gt;0,1,0)</f>
        <v>0</v>
      </c>
      <c r="Z710" s="80" t="str">
        <f>IF(AND(ISNUMBER(H710),H710&gt;=0,H710&lt;1),ROUND(H710*1440,0),"")</f>
        <v/>
      </c>
      <c r="AA710" s="80" t="str">
        <f>IF(AND(ISNUMBER(I710),I710&gt;=0,I710&lt;1),ROUND(I710*1440,0),"")</f>
        <v/>
      </c>
      <c r="AB710" s="80">
        <f>IF(AND(ISNUMBER(B710),D710&lt;&gt;"",ISNUMBER(Z710),ISNUMBER(AA710)),IF(Z710=AA710,0,1),0)</f>
        <v>0</v>
      </c>
      <c r="AC710" s="80">
        <f>IF(AB710=1,IF(AA710&lt;Z710,1,0),0)</f>
        <v>0</v>
      </c>
      <c r="AD710" s="80">
        <f>IF(AB710=1,IF(AC710=1,1440-Z710+AA710,AA710-Z710),0)</f>
        <v>0</v>
      </c>
      <c r="AE710" s="80">
        <f>IF(J710="",0,IF(ISNUMBER(J710),J710,-1))</f>
        <v>0</v>
      </c>
      <c r="AF710" s="80">
        <f>MIN(MAX(0,AE710),AD710)</f>
        <v>0</v>
      </c>
      <c r="AG710" s="80">
        <f>MAX(0,AD710-MAX(0,AE710))</f>
        <v>0</v>
      </c>
      <c r="AH710" s="80">
        <f>IF(ISNUMBER(B710),IF(AND(INDEX(CFG_WDAYS,WEEKDAY(INT(B710),2))="Sí",IF(D710="proMX",COUNTIFS(FER_F,INT(B710),FER_NLP,"Sí"),COUNTIFS(FER_F,INT(B710),FER_NLM,"Sí"))=0),1,0),0)</f>
        <v>0</v>
      </c>
      <c r="AI710" s="80">
        <f>IF(AC710=1,IF(AND(INDEX(CFG_WDAYS,WEEKDAY(INT(B710)+1,2))="Sí",IF(D710="proMX",COUNTIFS(FER_F,INT(B710)+1,FER_NLP,"Sí"),COUNTIFS(FER_F,INT(B710)+1,FER_NLM,"Sí"))=0),1,0),0)</f>
        <v>0</v>
      </c>
      <c r="AJ710" s="80">
        <f>IF(AC710=1,1440-Z710,AD710)</f>
        <v>0</v>
      </c>
      <c r="AK710" s="80">
        <f>IF(AND(AB710=1,AH710=1),MAX(0,MIN(IF(AC710=1,1440,AA710),CFG_WEM)-MAX(Z710,CFG_WSM)),0)</f>
        <v>0</v>
      </c>
      <c r="AL710" s="80">
        <f>IF(AND(AC710=1,AI710=1),MAX(0,MIN(AA710,CFG_WEM)-CFG_WSM),0)</f>
        <v>0</v>
      </c>
      <c r="AM710" s="80">
        <f>AK710+AL710</f>
        <v>0</v>
      </c>
      <c r="AN710" s="80">
        <f>IF(CFG_BRK="Proporcional",IF(AD710=0,0,AF710*AM710/AD710),IF(CFG_BRK="Extras primero",MIN(AM710,MAX(0,AF710-(AD710-AM710))),MIN(AF710,AM710)))</f>
        <v>0</v>
      </c>
      <c r="AO710" s="80">
        <f>AF710-AN710</f>
        <v>0</v>
      </c>
      <c r="AP710" s="80">
        <f>AM710-AN710</f>
        <v>0</v>
      </c>
      <c r="AQ710" s="80">
        <f>AD710-AM710-AO710</f>
        <v>0</v>
      </c>
      <c r="AR710" s="80">
        <f>IF(AM710=0,0,AK710-AN710*AK710/AM710)</f>
        <v>0</v>
      </c>
      <c r="AS710" s="80">
        <f>IF(AD710-AM710=0,0,(AJ710-AK710)-AO710*(AJ710-AK710)/(AD710-AM710))</f>
        <v>0</v>
      </c>
      <c r="AT710" s="80" t="str">
        <f>IF(AC710=1,INT(B710)+1,"")</f>
        <v/>
      </c>
      <c r="AU710" s="80">
        <f>IF(AND(D710="proMX",R710="Cancelled"),0,1)</f>
        <v>1</v>
      </c>
      <c r="AV710" s="80">
        <f>IF(AND(AB710=1,AU710=1),IF(COUNTIFS($D$5:D709,D710,$B$5:B709,B710,$Z$5:Z709,Z710,$AA$5:AA709,AA710,$F$5:F709,F710&amp;"",$AU$5:AU709,1)&gt;0,1,0),0)</f>
        <v>0</v>
      </c>
      <c r="AW710" s="80" t="str">
        <f>IF(AB710=1,INT(B710)*1440+Z710,"")</f>
        <v/>
      </c>
      <c r="AX710" s="80" t="str">
        <f>IF(AB710=1,AW710+AD710,"")</f>
        <v/>
      </c>
      <c r="AY710" s="80">
        <f>IF(AND(AB710=1,AV710=0,AU710=1),1,0)</f>
        <v>0</v>
      </c>
      <c r="AZ710" s="80">
        <f>IF(AY710=1,COUNTIFS(R_Emp,D710,R_SAbs,"&lt;"&amp;AX710,R_EAbs,"&gt;"&amp;AW710,R_OKey,1)-1,0)</f>
        <v>0</v>
      </c>
      <c r="BA710" s="80">
        <f>IF(AY710=1,COUNTIFS(R_Emp,"&lt;&gt;"&amp;D710,R_SAbs,"&lt;"&amp;AX710,R_EAbs,"&gt;"&amp;AW710,R_OKey,1),0)</f>
        <v>0</v>
      </c>
      <c r="BB710" s="80">
        <f>IF(AND(AB710=1,D710="proMX"),IF(AND(MOD(Z710,CFG_BLK)=0,MOD(AA710,CFG_BLK)=0,MOD(AG710,CFG_BLK)=0,AG710&gt;0),1,0),1)</f>
        <v>1</v>
      </c>
      <c r="BC710" s="80" t="str">
        <f>IF(Y710=0,"",IF(NOT(ISNUMBER(B710)),"Falta fecha o fecha inválida",IF(D710="","Falta empresa",IF(AND(D710&lt;&gt;"Malcolm",D710&lt;&gt;"proMX"),"Empresa inválida",IF(OR(INT(B710)&lt;CFG_PSTART,INT(B710)&gt;CFG_PEND),"Fecha fuera del período",IF(OR(NOT(ISNUMBER(Z710)),NOT(ISNUMBER(AA710))),"Falta hora inicio/fin o formato inválido",IF(AB710=0,"Hora inicio = hora fin",IF(AE710&lt;0,"Descanso inválido",IF(AE710&gt;=AD710,"Descanso ≥ duración",IF(AV710=1,"Registro duplicado",IF(AZ710&gt;0,"Se superpone con otro registro "&amp;D710,IF(BB710=0,"inicio, fin y duración neta deben ser múltiplos de "&amp;CFG_BLK&amp;" min",""))))))))))))</f>
        <v/>
      </c>
      <c r="BD710" s="80">
        <f>IF(AND(Y710=1,BC710=""),1,0)</f>
        <v>0</v>
      </c>
      <c r="BE710" s="80">
        <f>IF(AND(BD710=1,AU710=1),1,0)</f>
        <v>0</v>
      </c>
      <c r="BF710" s="80" t="str">
        <f>IF(AND(D710="proMX",BD710=1),IF(R710="","Draft",R710),"")</f>
        <v/>
      </c>
      <c r="BG710" s="80">
        <f>IF(BD710=1,ROUND(AG710/60,6),0)</f>
        <v>0</v>
      </c>
      <c r="BH710" s="80">
        <f>IF(BE710=1,ROUND(AG710/60,6),0)</f>
        <v>0</v>
      </c>
      <c r="BI710" s="80">
        <f>IF(BE710=1,ROUND(AP710/60,6),0)</f>
        <v>0</v>
      </c>
      <c r="BJ710" s="80">
        <f>IF(BE710=1,ROUND(AQ710/60,6),0)</f>
        <v>0</v>
      </c>
      <c r="BK710" s="80">
        <f>IF(BE710=1,ROUND((AR710+AS710)/60,6),0)</f>
        <v>0</v>
      </c>
      <c r="BL710" s="80">
        <f>ROUND(BH710-BK710,6)</f>
        <v>0</v>
      </c>
      <c r="BM710" s="80">
        <f>IF(BE710=1,ROUND(AR710/60,6),0)</f>
        <v>0</v>
      </c>
      <c r="BN710" s="80">
        <f>ROUND(BI710-BM710,6)</f>
        <v>0</v>
      </c>
      <c r="BO710" s="80">
        <f>IF(BE710=1,ROUND(AS710/60,6),0)</f>
        <v>0</v>
      </c>
      <c r="BP710" s="80">
        <f>ROUND(BJ710-BO710,6)</f>
        <v>0</v>
      </c>
      <c r="BQ710" s="80">
        <f>IF(BE710=1,AW710,0)</f>
        <v>0</v>
      </c>
      <c r="BR710" s="80">
        <f>IF(BE710=1,AX710,0)</f>
        <v>0</v>
      </c>
      <c r="BS710" s="80">
        <f>IF(AND(BE710=1,D710="Malcolm",BA710&gt;0),MIN(BH710,SUMPRODUCT((R_Emp="proMX")*(R_EN&gt;0)*((R_EN-(R_EN&gt;BR710)*(R_EN-BR710))&gt;(R_SN+(R_SN&lt;BQ710)*(BQ710-R_SN)))*((R_EN-(R_EN&gt;BR710)*(R_EN-BR710))-(R_SN+(R_SN&lt;BQ710)*(BQ710-R_SN))))/60),0)</f>
        <v>0</v>
      </c>
      <c r="BT710" s="80">
        <f>IF(AND(BE710=1,D710="proMX"),ROUND(BI710*CFG_RATE+BJ710*CFG_OTRATE,6),0)</f>
        <v>0</v>
      </c>
      <c r="BU710" s="80">
        <f>IF(AND(BD710=1,D710="proMX"),ROUND(AG710/CFG_BLK,6),0)</f>
        <v>0</v>
      </c>
      <c r="BV710" s="80" t="str">
        <f>IF(BF710="Approved",IF(ISNUMBER(T710),INT(T710),INT(B710)),"")</f>
        <v/>
      </c>
      <c r="BW710" s="80">
        <f>IF(ISNUMBER(B710),IF(DB_MON="Todos",1,IF(AND(INT(B710)&gt;=DB_MS,INT(B710)&lt;=DB_ME),1,0)),0)</f>
        <v>0</v>
      </c>
      <c r="BX710" s="80">
        <f>IF(DB_PROJ="Todos",1,IF(E710&amp;""=DB_PROJ&amp;"",1,0))</f>
        <v>1</v>
      </c>
      <c r="BY710" s="80">
        <f>BW710*BX710</f>
        <v>0</v>
      </c>
      <c r="BZ710" s="80" t="str">
        <f>IF(Y710=1,F710&amp;IF(AND(F710&amp;""&lt;&gt;"",E710&amp;""&lt;&gt;"")," · ","")&amp;E710,"")</f>
        <v/>
      </c>
      <c r="CA710" s="80" t="str">
        <f>IF(AND(BD710=1,E710&amp;""&lt;&gt;""),IF(COUNTIFS($E$5:E709,E710,$BD$5:BD709,1)=0,MAX($CA$5:CA709)+1,""),"")</f>
        <v/>
      </c>
      <c r="CB710" s="80" t="str">
        <f>IF(AND(BE710=1,D710="Malcolm",E710&amp;""&lt;&gt;""),IF(COUNTIFS($D$5:D709,"Malcolm",$E$5:E709,E710,$BE$5:BE709,1)=0,MAX($CB$5:CB709)+1,""),"")</f>
        <v/>
      </c>
      <c r="CC710" s="80" t="str">
        <f>IF(AND(BD710=1,D710="proMX",E710&amp;""&lt;&gt;""),IF(COUNTIFS($D$5:D709,"proMX",$E$5:E709,E710,$BD$5:BD709,1)=0,MAX($CC$5:CC709)+1,""),"")</f>
        <v/>
      </c>
      <c r="CD710" s="80" t="str">
        <f>IF(AND(BE710=1,D710="Malcolm",F710&amp;""&lt;&gt;""),IF(COUNTIFS($D$5:D709,"Malcolm",$F$5:F709,F710,$BE$5:BE709,1)=0,MAX($CD$5:CD709)+1,""),"")</f>
        <v/>
      </c>
      <c r="CE710" s="80" t="str">
        <f>IF(AND(BD710=1,D710="proMX",F710&amp;""&lt;&gt;""),IF(COUNTIFS($D$5:D709,"proMX",$F$5:F709,F710,$BD$5:BD709,1)=0,MAX($CE$5:CE709)+1,""),"")</f>
        <v/>
      </c>
      <c r="CF710" s="80" t="str">
        <f>IF(AND(D710="proMX",BD710=1),IF(OR(BF710="Draft",BF710="Submitted",BF710="Returned",BF710="Recall Requested"),MAX($CF$5:CF709)+1,""),"")</f>
        <v/>
      </c>
      <c r="CG710" s="80">
        <f>IF(BD710=0,0,IF(D710="Malcolm",1,MATCH(BF710,{"Draft","Submitted","Approved","Returned","Recall Requested","Cancelled"},0)+1))</f>
        <v>0</v>
      </c>
      <c r="CH710" s="80">
        <f>IF(AND(BF710="Submitted",ISNUMBER(V710)),IF(V710&gt;CFG_MAXD,1,0),0)</f>
        <v>0</v>
      </c>
    </row>
    <row r="711">
      <c r="A711" s="71" t="str">
        <f>IF(Y711=1,ROW()-5,"")</f>
        <v/>
      </c>
      <c r="B711" s="72" t="n"/>
      <c r="C711" s="71" t="str">
        <f>IF(ISNUMBER(B711),CHOOSE(WEEKDAY(B711,2),"Lun","Mar","Mié","Jue","Vie","Sáb","Dom"),"")</f>
        <v/>
      </c>
      <c r="D711" s="73" t="n"/>
      <c r="E711" s="74" t="n"/>
      <c r="F711" s="74" t="n"/>
      <c r="G711" s="74" t="n"/>
      <c r="H711" s="75" t="n"/>
      <c r="I711" s="75" t="n"/>
      <c r="J711" s="76" t="n"/>
      <c r="K711" s="77" t="str">
        <f>IF(AB711=1,ROUND(AG711/60,4),"")</f>
        <v/>
      </c>
      <c r="L711" s="77" t="str">
        <f>IF(BD711=1,ROUND(AP711/60,4),"")</f>
        <v/>
      </c>
      <c r="M711" s="77" t="str">
        <f>IF(BD711=1,ROUND(AQ711/60,4),"")</f>
        <v/>
      </c>
      <c r="N711" s="71" t="str">
        <f>IF(AND(D711="proMX",AB711=1),ROUND(AG711/CFG_BLK,2),"")</f>
        <v/>
      </c>
      <c r="O711" s="77" t="str">
        <f>IF(D711="proMX",IF(BD711=1,ROUND(AG711/60,4),0),"")</f>
        <v/>
      </c>
      <c r="P711" s="78" t="str">
        <f>IF(Y711=0,"",IF(BD711=1,"OK",IF(D711="proMX","Revisar bloques: ","Revisar: ")&amp;BC711))</f>
        <v/>
      </c>
      <c r="Q711" s="78" t="str">
        <f>IF(NOT(ISNUMBER(B711)),"",IF(COUNTIFS(FER_F,INT(B711))&gt;0,"Feriado"&amp;IF(AH711=1," (laborable)"," (no laborable)"),IF(AH711=1,"Laborable",IF(WEEKDAY(B711,2)&gt;5,"Fin de semana","No laborable"))))</f>
        <v/>
      </c>
      <c r="R711" s="73" t="n"/>
      <c r="S711" s="72" t="n"/>
      <c r="T711" s="72" t="n"/>
      <c r="U711" s="74" t="n"/>
      <c r="V711" s="79" t="str">
        <f>IF(AND(D711="proMX",OR(R711="Submitted",R711="Recall Requested"),ISNUMBER(S711)),CFG_TODAY-INT(S711),"")</f>
        <v/>
      </c>
      <c r="W711" s="78" t="str">
        <f>IF(BD711=0,"",IF(BA711&gt;0,"⚠ Se superpone con un registro de la otra empresa",IF(D711="Malcolm",IF(COUNTA(R711,S711,T711)&gt;0,"Estado/fechas proMX se ignoran en Malcolm",""),IF(BF711="Cancelled","Cancelado: excluido de totales",IF(R711="","Sin estado: se trata como Draft",IF(BF711="Submitted",IF(ISNUMBER(V711),IF(V711&gt;CFG_MAXD,"⚠ "&amp;V711&amp;" días en Submitted (máx. "&amp;CFG_MAXD&amp;")",""),"Falta fecha de envío"),IF(BF711="Returned","⚠ Devuelto: corregir y reenviar",IF(BF711="Recall Requested","Retirada solicitada: pendiente",IF(AND(BF711="Approved",NOT(ISNUMBER(T711))),"Falta fecha de aprobación",IF(AND(ISNUMBER(S711),ISNUMBER(T711),T711&lt;S711),"Aprobación anterior al envío","")))))))))</f>
        <v/>
      </c>
      <c r="Y711" s="80">
        <f>IF(COUNTA(B711,D711,E711,F711,G711,H711,I711,J711,R711,S711,T711)&gt;0,1,0)</f>
        <v>0</v>
      </c>
      <c r="Z711" s="80" t="str">
        <f>IF(AND(ISNUMBER(H711),H711&gt;=0,H711&lt;1),ROUND(H711*1440,0),"")</f>
        <v/>
      </c>
      <c r="AA711" s="80" t="str">
        <f>IF(AND(ISNUMBER(I711),I711&gt;=0,I711&lt;1),ROUND(I711*1440,0),"")</f>
        <v/>
      </c>
      <c r="AB711" s="80">
        <f>IF(AND(ISNUMBER(B711),D711&lt;&gt;"",ISNUMBER(Z711),ISNUMBER(AA711)),IF(Z711=AA711,0,1),0)</f>
        <v>0</v>
      </c>
      <c r="AC711" s="80">
        <f>IF(AB711=1,IF(AA711&lt;Z711,1,0),0)</f>
        <v>0</v>
      </c>
      <c r="AD711" s="80">
        <f>IF(AB711=1,IF(AC711=1,1440-Z711+AA711,AA711-Z711),0)</f>
        <v>0</v>
      </c>
      <c r="AE711" s="80">
        <f>IF(J711="",0,IF(ISNUMBER(J711),J711,-1))</f>
        <v>0</v>
      </c>
      <c r="AF711" s="80">
        <f>MIN(MAX(0,AE711),AD711)</f>
        <v>0</v>
      </c>
      <c r="AG711" s="80">
        <f>MAX(0,AD711-MAX(0,AE711))</f>
        <v>0</v>
      </c>
      <c r="AH711" s="80">
        <f>IF(ISNUMBER(B711),IF(AND(INDEX(CFG_WDAYS,WEEKDAY(INT(B711),2))="Sí",IF(D711="proMX",COUNTIFS(FER_F,INT(B711),FER_NLP,"Sí"),COUNTIFS(FER_F,INT(B711),FER_NLM,"Sí"))=0),1,0),0)</f>
        <v>0</v>
      </c>
      <c r="AI711" s="80">
        <f>IF(AC711=1,IF(AND(INDEX(CFG_WDAYS,WEEKDAY(INT(B711)+1,2))="Sí",IF(D711="proMX",COUNTIFS(FER_F,INT(B711)+1,FER_NLP,"Sí"),COUNTIFS(FER_F,INT(B711)+1,FER_NLM,"Sí"))=0),1,0),0)</f>
        <v>0</v>
      </c>
      <c r="AJ711" s="80">
        <f>IF(AC711=1,1440-Z711,AD711)</f>
        <v>0</v>
      </c>
      <c r="AK711" s="80">
        <f>IF(AND(AB711=1,AH711=1),MAX(0,MIN(IF(AC711=1,1440,AA711),CFG_WEM)-MAX(Z711,CFG_WSM)),0)</f>
        <v>0</v>
      </c>
      <c r="AL711" s="80">
        <f>IF(AND(AC711=1,AI711=1),MAX(0,MIN(AA711,CFG_WEM)-CFG_WSM),0)</f>
        <v>0</v>
      </c>
      <c r="AM711" s="80">
        <f>AK711+AL711</f>
        <v>0</v>
      </c>
      <c r="AN711" s="80">
        <f>IF(CFG_BRK="Proporcional",IF(AD711=0,0,AF711*AM711/AD711),IF(CFG_BRK="Extras primero",MIN(AM711,MAX(0,AF711-(AD711-AM711))),MIN(AF711,AM711)))</f>
        <v>0</v>
      </c>
      <c r="AO711" s="80">
        <f>AF711-AN711</f>
        <v>0</v>
      </c>
      <c r="AP711" s="80">
        <f>AM711-AN711</f>
        <v>0</v>
      </c>
      <c r="AQ711" s="80">
        <f>AD711-AM711-AO711</f>
        <v>0</v>
      </c>
      <c r="AR711" s="80">
        <f>IF(AM711=0,0,AK711-AN711*AK711/AM711)</f>
        <v>0</v>
      </c>
      <c r="AS711" s="80">
        <f>IF(AD711-AM711=0,0,(AJ711-AK711)-AO711*(AJ711-AK711)/(AD711-AM711))</f>
        <v>0</v>
      </c>
      <c r="AT711" s="80" t="str">
        <f>IF(AC711=1,INT(B711)+1,"")</f>
        <v/>
      </c>
      <c r="AU711" s="80">
        <f>IF(AND(D711="proMX",R711="Cancelled"),0,1)</f>
        <v>1</v>
      </c>
      <c r="AV711" s="80">
        <f>IF(AND(AB711=1,AU711=1),IF(COUNTIFS($D$5:D710,D711,$B$5:B710,B711,$Z$5:Z710,Z711,$AA$5:AA710,AA711,$F$5:F710,F711&amp;"",$AU$5:AU710,1)&gt;0,1,0),0)</f>
        <v>0</v>
      </c>
      <c r="AW711" s="80" t="str">
        <f>IF(AB711=1,INT(B711)*1440+Z711,"")</f>
        <v/>
      </c>
      <c r="AX711" s="80" t="str">
        <f>IF(AB711=1,AW711+AD711,"")</f>
        <v/>
      </c>
      <c r="AY711" s="80">
        <f>IF(AND(AB711=1,AV711=0,AU711=1),1,0)</f>
        <v>0</v>
      </c>
      <c r="AZ711" s="80">
        <f>IF(AY711=1,COUNTIFS(R_Emp,D711,R_SAbs,"&lt;"&amp;AX711,R_EAbs,"&gt;"&amp;AW711,R_OKey,1)-1,0)</f>
        <v>0</v>
      </c>
      <c r="BA711" s="80">
        <f>IF(AY711=1,COUNTIFS(R_Emp,"&lt;&gt;"&amp;D711,R_SAbs,"&lt;"&amp;AX711,R_EAbs,"&gt;"&amp;AW711,R_OKey,1),0)</f>
        <v>0</v>
      </c>
      <c r="BB711" s="80">
        <f>IF(AND(AB711=1,D711="proMX"),IF(AND(MOD(Z711,CFG_BLK)=0,MOD(AA711,CFG_BLK)=0,MOD(AG711,CFG_BLK)=0,AG711&gt;0),1,0),1)</f>
        <v>1</v>
      </c>
      <c r="BC711" s="80" t="str">
        <f>IF(Y711=0,"",IF(NOT(ISNUMBER(B711)),"Falta fecha o fecha inválida",IF(D711="","Falta empresa",IF(AND(D711&lt;&gt;"Malcolm",D711&lt;&gt;"proMX"),"Empresa inválida",IF(OR(INT(B711)&lt;CFG_PSTART,INT(B711)&gt;CFG_PEND),"Fecha fuera del período",IF(OR(NOT(ISNUMBER(Z711)),NOT(ISNUMBER(AA711))),"Falta hora inicio/fin o formato inválido",IF(AB711=0,"Hora inicio = hora fin",IF(AE711&lt;0,"Descanso inválido",IF(AE711&gt;=AD711,"Descanso ≥ duración",IF(AV711=1,"Registro duplicado",IF(AZ711&gt;0,"Se superpone con otro registro "&amp;D711,IF(BB711=0,"inicio, fin y duración neta deben ser múltiplos de "&amp;CFG_BLK&amp;" min",""))))))))))))</f>
        <v/>
      </c>
      <c r="BD711" s="80">
        <f>IF(AND(Y711=1,BC711=""),1,0)</f>
        <v>0</v>
      </c>
      <c r="BE711" s="80">
        <f>IF(AND(BD711=1,AU711=1),1,0)</f>
        <v>0</v>
      </c>
      <c r="BF711" s="80" t="str">
        <f>IF(AND(D711="proMX",BD711=1),IF(R711="","Draft",R711),"")</f>
        <v/>
      </c>
      <c r="BG711" s="80">
        <f>IF(BD711=1,ROUND(AG711/60,6),0)</f>
        <v>0</v>
      </c>
      <c r="BH711" s="80">
        <f>IF(BE711=1,ROUND(AG711/60,6),0)</f>
        <v>0</v>
      </c>
      <c r="BI711" s="80">
        <f>IF(BE711=1,ROUND(AP711/60,6),0)</f>
        <v>0</v>
      </c>
      <c r="BJ711" s="80">
        <f>IF(BE711=1,ROUND(AQ711/60,6),0)</f>
        <v>0</v>
      </c>
      <c r="BK711" s="80">
        <f>IF(BE711=1,ROUND((AR711+AS711)/60,6),0)</f>
        <v>0</v>
      </c>
      <c r="BL711" s="80">
        <f>ROUND(BH711-BK711,6)</f>
        <v>0</v>
      </c>
      <c r="BM711" s="80">
        <f>IF(BE711=1,ROUND(AR711/60,6),0)</f>
        <v>0</v>
      </c>
      <c r="BN711" s="80">
        <f>ROUND(BI711-BM711,6)</f>
        <v>0</v>
      </c>
      <c r="BO711" s="80">
        <f>IF(BE711=1,ROUND(AS711/60,6),0)</f>
        <v>0</v>
      </c>
      <c r="BP711" s="80">
        <f>ROUND(BJ711-BO711,6)</f>
        <v>0</v>
      </c>
      <c r="BQ711" s="80">
        <f>IF(BE711=1,AW711,0)</f>
        <v>0</v>
      </c>
      <c r="BR711" s="80">
        <f>IF(BE711=1,AX711,0)</f>
        <v>0</v>
      </c>
      <c r="BS711" s="80">
        <f>IF(AND(BE711=1,D711="Malcolm",BA711&gt;0),MIN(BH711,SUMPRODUCT((R_Emp="proMX")*(R_EN&gt;0)*((R_EN-(R_EN&gt;BR711)*(R_EN-BR711))&gt;(R_SN+(R_SN&lt;BQ711)*(BQ711-R_SN)))*((R_EN-(R_EN&gt;BR711)*(R_EN-BR711))-(R_SN+(R_SN&lt;BQ711)*(BQ711-R_SN))))/60),0)</f>
        <v>0</v>
      </c>
      <c r="BT711" s="80">
        <f>IF(AND(BE711=1,D711="proMX"),ROUND(BI711*CFG_RATE+BJ711*CFG_OTRATE,6),0)</f>
        <v>0</v>
      </c>
      <c r="BU711" s="80">
        <f>IF(AND(BD711=1,D711="proMX"),ROUND(AG711/CFG_BLK,6),0)</f>
        <v>0</v>
      </c>
      <c r="BV711" s="80" t="str">
        <f>IF(BF711="Approved",IF(ISNUMBER(T711),INT(T711),INT(B711)),"")</f>
        <v/>
      </c>
      <c r="BW711" s="80">
        <f>IF(ISNUMBER(B711),IF(DB_MON="Todos",1,IF(AND(INT(B711)&gt;=DB_MS,INT(B711)&lt;=DB_ME),1,0)),0)</f>
        <v>0</v>
      </c>
      <c r="BX711" s="80">
        <f>IF(DB_PROJ="Todos",1,IF(E711&amp;""=DB_PROJ&amp;"",1,0))</f>
        <v>1</v>
      </c>
      <c r="BY711" s="80">
        <f>BW711*BX711</f>
        <v>0</v>
      </c>
      <c r="BZ711" s="80" t="str">
        <f>IF(Y711=1,F711&amp;IF(AND(F711&amp;""&lt;&gt;"",E711&amp;""&lt;&gt;"")," · ","")&amp;E711,"")</f>
        <v/>
      </c>
      <c r="CA711" s="80" t="str">
        <f>IF(AND(BD711=1,E711&amp;""&lt;&gt;""),IF(COUNTIFS($E$5:E710,E711,$BD$5:BD710,1)=0,MAX($CA$5:CA710)+1,""),"")</f>
        <v/>
      </c>
      <c r="CB711" s="80" t="str">
        <f>IF(AND(BE711=1,D711="Malcolm",E711&amp;""&lt;&gt;""),IF(COUNTIFS($D$5:D710,"Malcolm",$E$5:E710,E711,$BE$5:BE710,1)=0,MAX($CB$5:CB710)+1,""),"")</f>
        <v/>
      </c>
      <c r="CC711" s="80" t="str">
        <f>IF(AND(BD711=1,D711="proMX",E711&amp;""&lt;&gt;""),IF(COUNTIFS($D$5:D710,"proMX",$E$5:E710,E711,$BD$5:BD710,1)=0,MAX($CC$5:CC710)+1,""),"")</f>
        <v/>
      </c>
      <c r="CD711" s="80" t="str">
        <f>IF(AND(BE711=1,D711="Malcolm",F711&amp;""&lt;&gt;""),IF(COUNTIFS($D$5:D710,"Malcolm",$F$5:F710,F711,$BE$5:BE710,1)=0,MAX($CD$5:CD710)+1,""),"")</f>
        <v/>
      </c>
      <c r="CE711" s="80" t="str">
        <f>IF(AND(BD711=1,D711="proMX",F711&amp;""&lt;&gt;""),IF(COUNTIFS($D$5:D710,"proMX",$F$5:F710,F711,$BD$5:BD710,1)=0,MAX($CE$5:CE710)+1,""),"")</f>
        <v/>
      </c>
      <c r="CF711" s="80" t="str">
        <f>IF(AND(D711="proMX",BD711=1),IF(OR(BF711="Draft",BF711="Submitted",BF711="Returned",BF711="Recall Requested"),MAX($CF$5:CF710)+1,""),"")</f>
        <v/>
      </c>
      <c r="CG711" s="80">
        <f>IF(BD711=0,0,IF(D711="Malcolm",1,MATCH(BF711,{"Draft","Submitted","Approved","Returned","Recall Requested","Cancelled"},0)+1))</f>
        <v>0</v>
      </c>
      <c r="CH711" s="80">
        <f>IF(AND(BF711="Submitted",ISNUMBER(V711)),IF(V711&gt;CFG_MAXD,1,0),0)</f>
        <v>0</v>
      </c>
    </row>
    <row r="712">
      <c r="A712" s="71" t="str">
        <f>IF(Y712=1,ROW()-5,"")</f>
        <v/>
      </c>
      <c r="B712" s="72" t="n"/>
      <c r="C712" s="71" t="str">
        <f>IF(ISNUMBER(B712),CHOOSE(WEEKDAY(B712,2),"Lun","Mar","Mié","Jue","Vie","Sáb","Dom"),"")</f>
        <v/>
      </c>
      <c r="D712" s="73" t="n"/>
      <c r="E712" s="74" t="n"/>
      <c r="F712" s="74" t="n"/>
      <c r="G712" s="74" t="n"/>
      <c r="H712" s="75" t="n"/>
      <c r="I712" s="75" t="n"/>
      <c r="J712" s="76" t="n"/>
      <c r="K712" s="77" t="str">
        <f>IF(AB712=1,ROUND(AG712/60,4),"")</f>
        <v/>
      </c>
      <c r="L712" s="77" t="str">
        <f>IF(BD712=1,ROUND(AP712/60,4),"")</f>
        <v/>
      </c>
      <c r="M712" s="77" t="str">
        <f>IF(BD712=1,ROUND(AQ712/60,4),"")</f>
        <v/>
      </c>
      <c r="N712" s="71" t="str">
        <f>IF(AND(D712="proMX",AB712=1),ROUND(AG712/CFG_BLK,2),"")</f>
        <v/>
      </c>
      <c r="O712" s="77" t="str">
        <f>IF(D712="proMX",IF(BD712=1,ROUND(AG712/60,4),0),"")</f>
        <v/>
      </c>
      <c r="P712" s="78" t="str">
        <f>IF(Y712=0,"",IF(BD712=1,"OK",IF(D712="proMX","Revisar bloques: ","Revisar: ")&amp;BC712))</f>
        <v/>
      </c>
      <c r="Q712" s="78" t="str">
        <f>IF(NOT(ISNUMBER(B712)),"",IF(COUNTIFS(FER_F,INT(B712))&gt;0,"Feriado"&amp;IF(AH712=1," (laborable)"," (no laborable)"),IF(AH712=1,"Laborable",IF(WEEKDAY(B712,2)&gt;5,"Fin de semana","No laborable"))))</f>
        <v/>
      </c>
      <c r="R712" s="73" t="n"/>
      <c r="S712" s="72" t="n"/>
      <c r="T712" s="72" t="n"/>
      <c r="U712" s="74" t="n"/>
      <c r="V712" s="79" t="str">
        <f>IF(AND(D712="proMX",OR(R712="Submitted",R712="Recall Requested"),ISNUMBER(S712)),CFG_TODAY-INT(S712),"")</f>
        <v/>
      </c>
      <c r="W712" s="78" t="str">
        <f>IF(BD712=0,"",IF(BA712&gt;0,"⚠ Se superpone con un registro de la otra empresa",IF(D712="Malcolm",IF(COUNTA(R712,S712,T712)&gt;0,"Estado/fechas proMX se ignoran en Malcolm",""),IF(BF712="Cancelled","Cancelado: excluido de totales",IF(R712="","Sin estado: se trata como Draft",IF(BF712="Submitted",IF(ISNUMBER(V712),IF(V712&gt;CFG_MAXD,"⚠ "&amp;V712&amp;" días en Submitted (máx. "&amp;CFG_MAXD&amp;")",""),"Falta fecha de envío"),IF(BF712="Returned","⚠ Devuelto: corregir y reenviar",IF(BF712="Recall Requested","Retirada solicitada: pendiente",IF(AND(BF712="Approved",NOT(ISNUMBER(T712))),"Falta fecha de aprobación",IF(AND(ISNUMBER(S712),ISNUMBER(T712),T712&lt;S712),"Aprobación anterior al envío","")))))))))</f>
        <v/>
      </c>
      <c r="Y712" s="80">
        <f>IF(COUNTA(B712,D712,E712,F712,G712,H712,I712,J712,R712,S712,T712)&gt;0,1,0)</f>
        <v>0</v>
      </c>
      <c r="Z712" s="80" t="str">
        <f>IF(AND(ISNUMBER(H712),H712&gt;=0,H712&lt;1),ROUND(H712*1440,0),"")</f>
        <v/>
      </c>
      <c r="AA712" s="80" t="str">
        <f>IF(AND(ISNUMBER(I712),I712&gt;=0,I712&lt;1),ROUND(I712*1440,0),"")</f>
        <v/>
      </c>
      <c r="AB712" s="80">
        <f>IF(AND(ISNUMBER(B712),D712&lt;&gt;"",ISNUMBER(Z712),ISNUMBER(AA712)),IF(Z712=AA712,0,1),0)</f>
        <v>0</v>
      </c>
      <c r="AC712" s="80">
        <f>IF(AB712=1,IF(AA712&lt;Z712,1,0),0)</f>
        <v>0</v>
      </c>
      <c r="AD712" s="80">
        <f>IF(AB712=1,IF(AC712=1,1440-Z712+AA712,AA712-Z712),0)</f>
        <v>0</v>
      </c>
      <c r="AE712" s="80">
        <f>IF(J712="",0,IF(ISNUMBER(J712),J712,-1))</f>
        <v>0</v>
      </c>
      <c r="AF712" s="80">
        <f>MIN(MAX(0,AE712),AD712)</f>
        <v>0</v>
      </c>
      <c r="AG712" s="80">
        <f>MAX(0,AD712-MAX(0,AE712))</f>
        <v>0</v>
      </c>
      <c r="AH712" s="80">
        <f>IF(ISNUMBER(B712),IF(AND(INDEX(CFG_WDAYS,WEEKDAY(INT(B712),2))="Sí",IF(D712="proMX",COUNTIFS(FER_F,INT(B712),FER_NLP,"Sí"),COUNTIFS(FER_F,INT(B712),FER_NLM,"Sí"))=0),1,0),0)</f>
        <v>0</v>
      </c>
      <c r="AI712" s="80">
        <f>IF(AC712=1,IF(AND(INDEX(CFG_WDAYS,WEEKDAY(INT(B712)+1,2))="Sí",IF(D712="proMX",COUNTIFS(FER_F,INT(B712)+1,FER_NLP,"Sí"),COUNTIFS(FER_F,INT(B712)+1,FER_NLM,"Sí"))=0),1,0),0)</f>
        <v>0</v>
      </c>
      <c r="AJ712" s="80">
        <f>IF(AC712=1,1440-Z712,AD712)</f>
        <v>0</v>
      </c>
      <c r="AK712" s="80">
        <f>IF(AND(AB712=1,AH712=1),MAX(0,MIN(IF(AC712=1,1440,AA712),CFG_WEM)-MAX(Z712,CFG_WSM)),0)</f>
        <v>0</v>
      </c>
      <c r="AL712" s="80">
        <f>IF(AND(AC712=1,AI712=1),MAX(0,MIN(AA712,CFG_WEM)-CFG_WSM),0)</f>
        <v>0</v>
      </c>
      <c r="AM712" s="80">
        <f>AK712+AL712</f>
        <v>0</v>
      </c>
      <c r="AN712" s="80">
        <f>IF(CFG_BRK="Proporcional",IF(AD712=0,0,AF712*AM712/AD712),IF(CFG_BRK="Extras primero",MIN(AM712,MAX(0,AF712-(AD712-AM712))),MIN(AF712,AM712)))</f>
        <v>0</v>
      </c>
      <c r="AO712" s="80">
        <f>AF712-AN712</f>
        <v>0</v>
      </c>
      <c r="AP712" s="80">
        <f>AM712-AN712</f>
        <v>0</v>
      </c>
      <c r="AQ712" s="80">
        <f>AD712-AM712-AO712</f>
        <v>0</v>
      </c>
      <c r="AR712" s="80">
        <f>IF(AM712=0,0,AK712-AN712*AK712/AM712)</f>
        <v>0</v>
      </c>
      <c r="AS712" s="80">
        <f>IF(AD712-AM712=0,0,(AJ712-AK712)-AO712*(AJ712-AK712)/(AD712-AM712))</f>
        <v>0</v>
      </c>
      <c r="AT712" s="80" t="str">
        <f>IF(AC712=1,INT(B712)+1,"")</f>
        <v/>
      </c>
      <c r="AU712" s="80">
        <f>IF(AND(D712="proMX",R712="Cancelled"),0,1)</f>
        <v>1</v>
      </c>
      <c r="AV712" s="80">
        <f>IF(AND(AB712=1,AU712=1),IF(COUNTIFS($D$5:D711,D712,$B$5:B711,B712,$Z$5:Z711,Z712,$AA$5:AA711,AA712,$F$5:F711,F712&amp;"",$AU$5:AU711,1)&gt;0,1,0),0)</f>
        <v>0</v>
      </c>
      <c r="AW712" s="80" t="str">
        <f>IF(AB712=1,INT(B712)*1440+Z712,"")</f>
        <v/>
      </c>
      <c r="AX712" s="80" t="str">
        <f>IF(AB712=1,AW712+AD712,"")</f>
        <v/>
      </c>
      <c r="AY712" s="80">
        <f>IF(AND(AB712=1,AV712=0,AU712=1),1,0)</f>
        <v>0</v>
      </c>
      <c r="AZ712" s="80">
        <f>IF(AY712=1,COUNTIFS(R_Emp,D712,R_SAbs,"&lt;"&amp;AX712,R_EAbs,"&gt;"&amp;AW712,R_OKey,1)-1,0)</f>
        <v>0</v>
      </c>
      <c r="BA712" s="80">
        <f>IF(AY712=1,COUNTIFS(R_Emp,"&lt;&gt;"&amp;D712,R_SAbs,"&lt;"&amp;AX712,R_EAbs,"&gt;"&amp;AW712,R_OKey,1),0)</f>
        <v>0</v>
      </c>
      <c r="BB712" s="80">
        <f>IF(AND(AB712=1,D712="proMX"),IF(AND(MOD(Z712,CFG_BLK)=0,MOD(AA712,CFG_BLK)=0,MOD(AG712,CFG_BLK)=0,AG712&gt;0),1,0),1)</f>
        <v>1</v>
      </c>
      <c r="BC712" s="80" t="str">
        <f>IF(Y712=0,"",IF(NOT(ISNUMBER(B712)),"Falta fecha o fecha inválida",IF(D712="","Falta empresa",IF(AND(D712&lt;&gt;"Malcolm",D712&lt;&gt;"proMX"),"Empresa inválida",IF(OR(INT(B712)&lt;CFG_PSTART,INT(B712)&gt;CFG_PEND),"Fecha fuera del período",IF(OR(NOT(ISNUMBER(Z712)),NOT(ISNUMBER(AA712))),"Falta hora inicio/fin o formato inválido",IF(AB712=0,"Hora inicio = hora fin",IF(AE712&lt;0,"Descanso inválido",IF(AE712&gt;=AD712,"Descanso ≥ duración",IF(AV712=1,"Registro duplicado",IF(AZ712&gt;0,"Se superpone con otro registro "&amp;D712,IF(BB712=0,"inicio, fin y duración neta deben ser múltiplos de "&amp;CFG_BLK&amp;" min",""))))))))))))</f>
        <v/>
      </c>
      <c r="BD712" s="80">
        <f>IF(AND(Y712=1,BC712=""),1,0)</f>
        <v>0</v>
      </c>
      <c r="BE712" s="80">
        <f>IF(AND(BD712=1,AU712=1),1,0)</f>
        <v>0</v>
      </c>
      <c r="BF712" s="80" t="str">
        <f>IF(AND(D712="proMX",BD712=1),IF(R712="","Draft",R712),"")</f>
        <v/>
      </c>
      <c r="BG712" s="80">
        <f>IF(BD712=1,ROUND(AG712/60,6),0)</f>
        <v>0</v>
      </c>
      <c r="BH712" s="80">
        <f>IF(BE712=1,ROUND(AG712/60,6),0)</f>
        <v>0</v>
      </c>
      <c r="BI712" s="80">
        <f>IF(BE712=1,ROUND(AP712/60,6),0)</f>
        <v>0</v>
      </c>
      <c r="BJ712" s="80">
        <f>IF(BE712=1,ROUND(AQ712/60,6),0)</f>
        <v>0</v>
      </c>
      <c r="BK712" s="80">
        <f>IF(BE712=1,ROUND((AR712+AS712)/60,6),0)</f>
        <v>0</v>
      </c>
      <c r="BL712" s="80">
        <f>ROUND(BH712-BK712,6)</f>
        <v>0</v>
      </c>
      <c r="BM712" s="80">
        <f>IF(BE712=1,ROUND(AR712/60,6),0)</f>
        <v>0</v>
      </c>
      <c r="BN712" s="80">
        <f>ROUND(BI712-BM712,6)</f>
        <v>0</v>
      </c>
      <c r="BO712" s="80">
        <f>IF(BE712=1,ROUND(AS712/60,6),0)</f>
        <v>0</v>
      </c>
      <c r="BP712" s="80">
        <f>ROUND(BJ712-BO712,6)</f>
        <v>0</v>
      </c>
      <c r="BQ712" s="80">
        <f>IF(BE712=1,AW712,0)</f>
        <v>0</v>
      </c>
      <c r="BR712" s="80">
        <f>IF(BE712=1,AX712,0)</f>
        <v>0</v>
      </c>
      <c r="BS712" s="80">
        <f>IF(AND(BE712=1,D712="Malcolm",BA712&gt;0),MIN(BH712,SUMPRODUCT((R_Emp="proMX")*(R_EN&gt;0)*((R_EN-(R_EN&gt;BR712)*(R_EN-BR712))&gt;(R_SN+(R_SN&lt;BQ712)*(BQ712-R_SN)))*((R_EN-(R_EN&gt;BR712)*(R_EN-BR712))-(R_SN+(R_SN&lt;BQ712)*(BQ712-R_SN))))/60),0)</f>
        <v>0</v>
      </c>
      <c r="BT712" s="80">
        <f>IF(AND(BE712=1,D712="proMX"),ROUND(BI712*CFG_RATE+BJ712*CFG_OTRATE,6),0)</f>
        <v>0</v>
      </c>
      <c r="BU712" s="80">
        <f>IF(AND(BD712=1,D712="proMX"),ROUND(AG712/CFG_BLK,6),0)</f>
        <v>0</v>
      </c>
      <c r="BV712" s="80" t="str">
        <f>IF(BF712="Approved",IF(ISNUMBER(T712),INT(T712),INT(B712)),"")</f>
        <v/>
      </c>
      <c r="BW712" s="80">
        <f>IF(ISNUMBER(B712),IF(DB_MON="Todos",1,IF(AND(INT(B712)&gt;=DB_MS,INT(B712)&lt;=DB_ME),1,0)),0)</f>
        <v>0</v>
      </c>
      <c r="BX712" s="80">
        <f>IF(DB_PROJ="Todos",1,IF(E712&amp;""=DB_PROJ&amp;"",1,0))</f>
        <v>1</v>
      </c>
      <c r="BY712" s="80">
        <f>BW712*BX712</f>
        <v>0</v>
      </c>
      <c r="BZ712" s="80" t="str">
        <f>IF(Y712=1,F712&amp;IF(AND(F712&amp;""&lt;&gt;"",E712&amp;""&lt;&gt;"")," · ","")&amp;E712,"")</f>
        <v/>
      </c>
      <c r="CA712" s="80" t="str">
        <f>IF(AND(BD712=1,E712&amp;""&lt;&gt;""),IF(COUNTIFS($E$5:E711,E712,$BD$5:BD711,1)=0,MAX($CA$5:CA711)+1,""),"")</f>
        <v/>
      </c>
      <c r="CB712" s="80" t="str">
        <f>IF(AND(BE712=1,D712="Malcolm",E712&amp;""&lt;&gt;""),IF(COUNTIFS($D$5:D711,"Malcolm",$E$5:E711,E712,$BE$5:BE711,1)=0,MAX($CB$5:CB711)+1,""),"")</f>
        <v/>
      </c>
      <c r="CC712" s="80" t="str">
        <f>IF(AND(BD712=1,D712="proMX",E712&amp;""&lt;&gt;""),IF(COUNTIFS($D$5:D711,"proMX",$E$5:E711,E712,$BD$5:BD711,1)=0,MAX($CC$5:CC711)+1,""),"")</f>
        <v/>
      </c>
      <c r="CD712" s="80" t="str">
        <f>IF(AND(BE712=1,D712="Malcolm",F712&amp;""&lt;&gt;""),IF(COUNTIFS($D$5:D711,"Malcolm",$F$5:F711,F712,$BE$5:BE711,1)=0,MAX($CD$5:CD711)+1,""),"")</f>
        <v/>
      </c>
      <c r="CE712" s="80" t="str">
        <f>IF(AND(BD712=1,D712="proMX",F712&amp;""&lt;&gt;""),IF(COUNTIFS($D$5:D711,"proMX",$F$5:F711,F712,$BD$5:BD711,1)=0,MAX($CE$5:CE711)+1,""),"")</f>
        <v/>
      </c>
      <c r="CF712" s="80" t="str">
        <f>IF(AND(D712="proMX",BD712=1),IF(OR(BF712="Draft",BF712="Submitted",BF712="Returned",BF712="Recall Requested"),MAX($CF$5:CF711)+1,""),"")</f>
        <v/>
      </c>
      <c r="CG712" s="80">
        <f>IF(BD712=0,0,IF(D712="Malcolm",1,MATCH(BF712,{"Draft","Submitted","Approved","Returned","Recall Requested","Cancelled"},0)+1))</f>
        <v>0</v>
      </c>
      <c r="CH712" s="80">
        <f>IF(AND(BF712="Submitted",ISNUMBER(V712)),IF(V712&gt;CFG_MAXD,1,0),0)</f>
        <v>0</v>
      </c>
    </row>
    <row r="713">
      <c r="A713" s="71" t="str">
        <f>IF(Y713=1,ROW()-5,"")</f>
        <v/>
      </c>
      <c r="B713" s="72" t="n"/>
      <c r="C713" s="71" t="str">
        <f>IF(ISNUMBER(B713),CHOOSE(WEEKDAY(B713,2),"Lun","Mar","Mié","Jue","Vie","Sáb","Dom"),"")</f>
        <v/>
      </c>
      <c r="D713" s="73" t="n"/>
      <c r="E713" s="74" t="n"/>
      <c r="F713" s="74" t="n"/>
      <c r="G713" s="74" t="n"/>
      <c r="H713" s="75" t="n"/>
      <c r="I713" s="75" t="n"/>
      <c r="J713" s="76" t="n"/>
      <c r="K713" s="77" t="str">
        <f>IF(AB713=1,ROUND(AG713/60,4),"")</f>
        <v/>
      </c>
      <c r="L713" s="77" t="str">
        <f>IF(BD713=1,ROUND(AP713/60,4),"")</f>
        <v/>
      </c>
      <c r="M713" s="77" t="str">
        <f>IF(BD713=1,ROUND(AQ713/60,4),"")</f>
        <v/>
      </c>
      <c r="N713" s="71" t="str">
        <f>IF(AND(D713="proMX",AB713=1),ROUND(AG713/CFG_BLK,2),"")</f>
        <v/>
      </c>
      <c r="O713" s="77" t="str">
        <f>IF(D713="proMX",IF(BD713=1,ROUND(AG713/60,4),0),"")</f>
        <v/>
      </c>
      <c r="P713" s="78" t="str">
        <f>IF(Y713=0,"",IF(BD713=1,"OK",IF(D713="proMX","Revisar bloques: ","Revisar: ")&amp;BC713))</f>
        <v/>
      </c>
      <c r="Q713" s="78" t="str">
        <f>IF(NOT(ISNUMBER(B713)),"",IF(COUNTIFS(FER_F,INT(B713))&gt;0,"Feriado"&amp;IF(AH713=1," (laborable)"," (no laborable)"),IF(AH713=1,"Laborable",IF(WEEKDAY(B713,2)&gt;5,"Fin de semana","No laborable"))))</f>
        <v/>
      </c>
      <c r="R713" s="73" t="n"/>
      <c r="S713" s="72" t="n"/>
      <c r="T713" s="72" t="n"/>
      <c r="U713" s="74" t="n"/>
      <c r="V713" s="79" t="str">
        <f>IF(AND(D713="proMX",OR(R713="Submitted",R713="Recall Requested"),ISNUMBER(S713)),CFG_TODAY-INT(S713),"")</f>
        <v/>
      </c>
      <c r="W713" s="78" t="str">
        <f>IF(BD713=0,"",IF(BA713&gt;0,"⚠ Se superpone con un registro de la otra empresa",IF(D713="Malcolm",IF(COUNTA(R713,S713,T713)&gt;0,"Estado/fechas proMX se ignoran en Malcolm",""),IF(BF713="Cancelled","Cancelado: excluido de totales",IF(R713="","Sin estado: se trata como Draft",IF(BF713="Submitted",IF(ISNUMBER(V713),IF(V713&gt;CFG_MAXD,"⚠ "&amp;V713&amp;" días en Submitted (máx. "&amp;CFG_MAXD&amp;")",""),"Falta fecha de envío"),IF(BF713="Returned","⚠ Devuelto: corregir y reenviar",IF(BF713="Recall Requested","Retirada solicitada: pendiente",IF(AND(BF713="Approved",NOT(ISNUMBER(T713))),"Falta fecha de aprobación",IF(AND(ISNUMBER(S713),ISNUMBER(T713),T713&lt;S713),"Aprobación anterior al envío","")))))))))</f>
        <v/>
      </c>
      <c r="Y713" s="80">
        <f>IF(COUNTA(B713,D713,E713,F713,G713,H713,I713,J713,R713,S713,T713)&gt;0,1,0)</f>
        <v>0</v>
      </c>
      <c r="Z713" s="80" t="str">
        <f>IF(AND(ISNUMBER(H713),H713&gt;=0,H713&lt;1),ROUND(H713*1440,0),"")</f>
        <v/>
      </c>
      <c r="AA713" s="80" t="str">
        <f>IF(AND(ISNUMBER(I713),I713&gt;=0,I713&lt;1),ROUND(I713*1440,0),"")</f>
        <v/>
      </c>
      <c r="AB713" s="80">
        <f>IF(AND(ISNUMBER(B713),D713&lt;&gt;"",ISNUMBER(Z713),ISNUMBER(AA713)),IF(Z713=AA713,0,1),0)</f>
        <v>0</v>
      </c>
      <c r="AC713" s="80">
        <f>IF(AB713=1,IF(AA713&lt;Z713,1,0),0)</f>
        <v>0</v>
      </c>
      <c r="AD713" s="80">
        <f>IF(AB713=1,IF(AC713=1,1440-Z713+AA713,AA713-Z713),0)</f>
        <v>0</v>
      </c>
      <c r="AE713" s="80">
        <f>IF(J713="",0,IF(ISNUMBER(J713),J713,-1))</f>
        <v>0</v>
      </c>
      <c r="AF713" s="80">
        <f>MIN(MAX(0,AE713),AD713)</f>
        <v>0</v>
      </c>
      <c r="AG713" s="80">
        <f>MAX(0,AD713-MAX(0,AE713))</f>
        <v>0</v>
      </c>
      <c r="AH713" s="80">
        <f>IF(ISNUMBER(B713),IF(AND(INDEX(CFG_WDAYS,WEEKDAY(INT(B713),2))="Sí",IF(D713="proMX",COUNTIFS(FER_F,INT(B713),FER_NLP,"Sí"),COUNTIFS(FER_F,INT(B713),FER_NLM,"Sí"))=0),1,0),0)</f>
        <v>0</v>
      </c>
      <c r="AI713" s="80">
        <f>IF(AC713=1,IF(AND(INDEX(CFG_WDAYS,WEEKDAY(INT(B713)+1,2))="Sí",IF(D713="proMX",COUNTIFS(FER_F,INT(B713)+1,FER_NLP,"Sí"),COUNTIFS(FER_F,INT(B713)+1,FER_NLM,"Sí"))=0),1,0),0)</f>
        <v>0</v>
      </c>
      <c r="AJ713" s="80">
        <f>IF(AC713=1,1440-Z713,AD713)</f>
        <v>0</v>
      </c>
      <c r="AK713" s="80">
        <f>IF(AND(AB713=1,AH713=1),MAX(0,MIN(IF(AC713=1,1440,AA713),CFG_WEM)-MAX(Z713,CFG_WSM)),0)</f>
        <v>0</v>
      </c>
      <c r="AL713" s="80">
        <f>IF(AND(AC713=1,AI713=1),MAX(0,MIN(AA713,CFG_WEM)-CFG_WSM),0)</f>
        <v>0</v>
      </c>
      <c r="AM713" s="80">
        <f>AK713+AL713</f>
        <v>0</v>
      </c>
      <c r="AN713" s="80">
        <f>IF(CFG_BRK="Proporcional",IF(AD713=0,0,AF713*AM713/AD713),IF(CFG_BRK="Extras primero",MIN(AM713,MAX(0,AF713-(AD713-AM713))),MIN(AF713,AM713)))</f>
        <v>0</v>
      </c>
      <c r="AO713" s="80">
        <f>AF713-AN713</f>
        <v>0</v>
      </c>
      <c r="AP713" s="80">
        <f>AM713-AN713</f>
        <v>0</v>
      </c>
      <c r="AQ713" s="80">
        <f>AD713-AM713-AO713</f>
        <v>0</v>
      </c>
      <c r="AR713" s="80">
        <f>IF(AM713=0,0,AK713-AN713*AK713/AM713)</f>
        <v>0</v>
      </c>
      <c r="AS713" s="80">
        <f>IF(AD713-AM713=0,0,(AJ713-AK713)-AO713*(AJ713-AK713)/(AD713-AM713))</f>
        <v>0</v>
      </c>
      <c r="AT713" s="80" t="str">
        <f>IF(AC713=1,INT(B713)+1,"")</f>
        <v/>
      </c>
      <c r="AU713" s="80">
        <f>IF(AND(D713="proMX",R713="Cancelled"),0,1)</f>
        <v>1</v>
      </c>
      <c r="AV713" s="80">
        <f>IF(AND(AB713=1,AU713=1),IF(COUNTIFS($D$5:D712,D713,$B$5:B712,B713,$Z$5:Z712,Z713,$AA$5:AA712,AA713,$F$5:F712,F713&amp;"",$AU$5:AU712,1)&gt;0,1,0),0)</f>
        <v>0</v>
      </c>
      <c r="AW713" s="80" t="str">
        <f>IF(AB713=1,INT(B713)*1440+Z713,"")</f>
        <v/>
      </c>
      <c r="AX713" s="80" t="str">
        <f>IF(AB713=1,AW713+AD713,"")</f>
        <v/>
      </c>
      <c r="AY713" s="80">
        <f>IF(AND(AB713=1,AV713=0,AU713=1),1,0)</f>
        <v>0</v>
      </c>
      <c r="AZ713" s="80">
        <f>IF(AY713=1,COUNTIFS(R_Emp,D713,R_SAbs,"&lt;"&amp;AX713,R_EAbs,"&gt;"&amp;AW713,R_OKey,1)-1,0)</f>
        <v>0</v>
      </c>
      <c r="BA713" s="80">
        <f>IF(AY713=1,COUNTIFS(R_Emp,"&lt;&gt;"&amp;D713,R_SAbs,"&lt;"&amp;AX713,R_EAbs,"&gt;"&amp;AW713,R_OKey,1),0)</f>
        <v>0</v>
      </c>
      <c r="BB713" s="80">
        <f>IF(AND(AB713=1,D713="proMX"),IF(AND(MOD(Z713,CFG_BLK)=0,MOD(AA713,CFG_BLK)=0,MOD(AG713,CFG_BLK)=0,AG713&gt;0),1,0),1)</f>
        <v>1</v>
      </c>
      <c r="BC713" s="80" t="str">
        <f>IF(Y713=0,"",IF(NOT(ISNUMBER(B713)),"Falta fecha o fecha inválida",IF(D713="","Falta empresa",IF(AND(D713&lt;&gt;"Malcolm",D713&lt;&gt;"proMX"),"Empresa inválida",IF(OR(INT(B713)&lt;CFG_PSTART,INT(B713)&gt;CFG_PEND),"Fecha fuera del período",IF(OR(NOT(ISNUMBER(Z713)),NOT(ISNUMBER(AA713))),"Falta hora inicio/fin o formato inválido",IF(AB713=0,"Hora inicio = hora fin",IF(AE713&lt;0,"Descanso inválido",IF(AE713&gt;=AD713,"Descanso ≥ duración",IF(AV713=1,"Registro duplicado",IF(AZ713&gt;0,"Se superpone con otro registro "&amp;D713,IF(BB713=0,"inicio, fin y duración neta deben ser múltiplos de "&amp;CFG_BLK&amp;" min",""))))))))))))</f>
        <v/>
      </c>
      <c r="BD713" s="80">
        <f>IF(AND(Y713=1,BC713=""),1,0)</f>
        <v>0</v>
      </c>
      <c r="BE713" s="80">
        <f>IF(AND(BD713=1,AU713=1),1,0)</f>
        <v>0</v>
      </c>
      <c r="BF713" s="80" t="str">
        <f>IF(AND(D713="proMX",BD713=1),IF(R713="","Draft",R713),"")</f>
        <v/>
      </c>
      <c r="BG713" s="80">
        <f>IF(BD713=1,ROUND(AG713/60,6),0)</f>
        <v>0</v>
      </c>
      <c r="BH713" s="80">
        <f>IF(BE713=1,ROUND(AG713/60,6),0)</f>
        <v>0</v>
      </c>
      <c r="BI713" s="80">
        <f>IF(BE713=1,ROUND(AP713/60,6),0)</f>
        <v>0</v>
      </c>
      <c r="BJ713" s="80">
        <f>IF(BE713=1,ROUND(AQ713/60,6),0)</f>
        <v>0</v>
      </c>
      <c r="BK713" s="80">
        <f>IF(BE713=1,ROUND((AR713+AS713)/60,6),0)</f>
        <v>0</v>
      </c>
      <c r="BL713" s="80">
        <f>ROUND(BH713-BK713,6)</f>
        <v>0</v>
      </c>
      <c r="BM713" s="80">
        <f>IF(BE713=1,ROUND(AR713/60,6),0)</f>
        <v>0</v>
      </c>
      <c r="BN713" s="80">
        <f>ROUND(BI713-BM713,6)</f>
        <v>0</v>
      </c>
      <c r="BO713" s="80">
        <f>IF(BE713=1,ROUND(AS713/60,6),0)</f>
        <v>0</v>
      </c>
      <c r="BP713" s="80">
        <f>ROUND(BJ713-BO713,6)</f>
        <v>0</v>
      </c>
      <c r="BQ713" s="80">
        <f>IF(BE713=1,AW713,0)</f>
        <v>0</v>
      </c>
      <c r="BR713" s="80">
        <f>IF(BE713=1,AX713,0)</f>
        <v>0</v>
      </c>
      <c r="BS713" s="80">
        <f>IF(AND(BE713=1,D713="Malcolm",BA713&gt;0),MIN(BH713,SUMPRODUCT((R_Emp="proMX")*(R_EN&gt;0)*((R_EN-(R_EN&gt;BR713)*(R_EN-BR713))&gt;(R_SN+(R_SN&lt;BQ713)*(BQ713-R_SN)))*((R_EN-(R_EN&gt;BR713)*(R_EN-BR713))-(R_SN+(R_SN&lt;BQ713)*(BQ713-R_SN))))/60),0)</f>
        <v>0</v>
      </c>
      <c r="BT713" s="80">
        <f>IF(AND(BE713=1,D713="proMX"),ROUND(BI713*CFG_RATE+BJ713*CFG_OTRATE,6),0)</f>
        <v>0</v>
      </c>
      <c r="BU713" s="80">
        <f>IF(AND(BD713=1,D713="proMX"),ROUND(AG713/CFG_BLK,6),0)</f>
        <v>0</v>
      </c>
      <c r="BV713" s="80" t="str">
        <f>IF(BF713="Approved",IF(ISNUMBER(T713),INT(T713),INT(B713)),"")</f>
        <v/>
      </c>
      <c r="BW713" s="80">
        <f>IF(ISNUMBER(B713),IF(DB_MON="Todos",1,IF(AND(INT(B713)&gt;=DB_MS,INT(B713)&lt;=DB_ME),1,0)),0)</f>
        <v>0</v>
      </c>
      <c r="BX713" s="80">
        <f>IF(DB_PROJ="Todos",1,IF(E713&amp;""=DB_PROJ&amp;"",1,0))</f>
        <v>1</v>
      </c>
      <c r="BY713" s="80">
        <f>BW713*BX713</f>
        <v>0</v>
      </c>
      <c r="BZ713" s="80" t="str">
        <f>IF(Y713=1,F713&amp;IF(AND(F713&amp;""&lt;&gt;"",E713&amp;""&lt;&gt;"")," · ","")&amp;E713,"")</f>
        <v/>
      </c>
      <c r="CA713" s="80" t="str">
        <f>IF(AND(BD713=1,E713&amp;""&lt;&gt;""),IF(COUNTIFS($E$5:E712,E713,$BD$5:BD712,1)=0,MAX($CA$5:CA712)+1,""),"")</f>
        <v/>
      </c>
      <c r="CB713" s="80" t="str">
        <f>IF(AND(BE713=1,D713="Malcolm",E713&amp;""&lt;&gt;""),IF(COUNTIFS($D$5:D712,"Malcolm",$E$5:E712,E713,$BE$5:BE712,1)=0,MAX($CB$5:CB712)+1,""),"")</f>
        <v/>
      </c>
      <c r="CC713" s="80" t="str">
        <f>IF(AND(BD713=1,D713="proMX",E713&amp;""&lt;&gt;""),IF(COUNTIFS($D$5:D712,"proMX",$E$5:E712,E713,$BD$5:BD712,1)=0,MAX($CC$5:CC712)+1,""),"")</f>
        <v/>
      </c>
      <c r="CD713" s="80" t="str">
        <f>IF(AND(BE713=1,D713="Malcolm",F713&amp;""&lt;&gt;""),IF(COUNTIFS($D$5:D712,"Malcolm",$F$5:F712,F713,$BE$5:BE712,1)=0,MAX($CD$5:CD712)+1,""),"")</f>
        <v/>
      </c>
      <c r="CE713" s="80" t="str">
        <f>IF(AND(BD713=1,D713="proMX",F713&amp;""&lt;&gt;""),IF(COUNTIFS($D$5:D712,"proMX",$F$5:F712,F713,$BD$5:BD712,1)=0,MAX($CE$5:CE712)+1,""),"")</f>
        <v/>
      </c>
      <c r="CF713" s="80" t="str">
        <f>IF(AND(D713="proMX",BD713=1),IF(OR(BF713="Draft",BF713="Submitted",BF713="Returned",BF713="Recall Requested"),MAX($CF$5:CF712)+1,""),"")</f>
        <v/>
      </c>
      <c r="CG713" s="80">
        <f>IF(BD713=0,0,IF(D713="Malcolm",1,MATCH(BF713,{"Draft","Submitted","Approved","Returned","Recall Requested","Cancelled"},0)+1))</f>
        <v>0</v>
      </c>
      <c r="CH713" s="80">
        <f>IF(AND(BF713="Submitted",ISNUMBER(V713)),IF(V713&gt;CFG_MAXD,1,0),0)</f>
        <v>0</v>
      </c>
    </row>
    <row r="714">
      <c r="A714" s="71" t="str">
        <f>IF(Y714=1,ROW()-5,"")</f>
        <v/>
      </c>
      <c r="B714" s="72" t="n"/>
      <c r="C714" s="71" t="str">
        <f>IF(ISNUMBER(B714),CHOOSE(WEEKDAY(B714,2),"Lun","Mar","Mié","Jue","Vie","Sáb","Dom"),"")</f>
        <v/>
      </c>
      <c r="D714" s="73" t="n"/>
      <c r="E714" s="74" t="n"/>
      <c r="F714" s="74" t="n"/>
      <c r="G714" s="74" t="n"/>
      <c r="H714" s="75" t="n"/>
      <c r="I714" s="75" t="n"/>
      <c r="J714" s="76" t="n"/>
      <c r="K714" s="77" t="str">
        <f>IF(AB714=1,ROUND(AG714/60,4),"")</f>
        <v/>
      </c>
      <c r="L714" s="77" t="str">
        <f>IF(BD714=1,ROUND(AP714/60,4),"")</f>
        <v/>
      </c>
      <c r="M714" s="77" t="str">
        <f>IF(BD714=1,ROUND(AQ714/60,4),"")</f>
        <v/>
      </c>
      <c r="N714" s="71" t="str">
        <f>IF(AND(D714="proMX",AB714=1),ROUND(AG714/CFG_BLK,2),"")</f>
        <v/>
      </c>
      <c r="O714" s="77" t="str">
        <f>IF(D714="proMX",IF(BD714=1,ROUND(AG714/60,4),0),"")</f>
        <v/>
      </c>
      <c r="P714" s="78" t="str">
        <f>IF(Y714=0,"",IF(BD714=1,"OK",IF(D714="proMX","Revisar bloques: ","Revisar: ")&amp;BC714))</f>
        <v/>
      </c>
      <c r="Q714" s="78" t="str">
        <f>IF(NOT(ISNUMBER(B714)),"",IF(COUNTIFS(FER_F,INT(B714))&gt;0,"Feriado"&amp;IF(AH714=1," (laborable)"," (no laborable)"),IF(AH714=1,"Laborable",IF(WEEKDAY(B714,2)&gt;5,"Fin de semana","No laborable"))))</f>
        <v/>
      </c>
      <c r="R714" s="73" t="n"/>
      <c r="S714" s="72" t="n"/>
      <c r="T714" s="72" t="n"/>
      <c r="U714" s="74" t="n"/>
      <c r="V714" s="79" t="str">
        <f>IF(AND(D714="proMX",OR(R714="Submitted",R714="Recall Requested"),ISNUMBER(S714)),CFG_TODAY-INT(S714),"")</f>
        <v/>
      </c>
      <c r="W714" s="78" t="str">
        <f>IF(BD714=0,"",IF(BA714&gt;0,"⚠ Se superpone con un registro de la otra empresa",IF(D714="Malcolm",IF(COUNTA(R714,S714,T714)&gt;0,"Estado/fechas proMX se ignoran en Malcolm",""),IF(BF714="Cancelled","Cancelado: excluido de totales",IF(R714="","Sin estado: se trata como Draft",IF(BF714="Submitted",IF(ISNUMBER(V714),IF(V714&gt;CFG_MAXD,"⚠ "&amp;V714&amp;" días en Submitted (máx. "&amp;CFG_MAXD&amp;")",""),"Falta fecha de envío"),IF(BF714="Returned","⚠ Devuelto: corregir y reenviar",IF(BF714="Recall Requested","Retirada solicitada: pendiente",IF(AND(BF714="Approved",NOT(ISNUMBER(T714))),"Falta fecha de aprobación",IF(AND(ISNUMBER(S714),ISNUMBER(T714),T714&lt;S714),"Aprobación anterior al envío","")))))))))</f>
        <v/>
      </c>
      <c r="Y714" s="80">
        <f>IF(COUNTA(B714,D714,E714,F714,G714,H714,I714,J714,R714,S714,T714)&gt;0,1,0)</f>
        <v>0</v>
      </c>
      <c r="Z714" s="80" t="str">
        <f>IF(AND(ISNUMBER(H714),H714&gt;=0,H714&lt;1),ROUND(H714*1440,0),"")</f>
        <v/>
      </c>
      <c r="AA714" s="80" t="str">
        <f>IF(AND(ISNUMBER(I714),I714&gt;=0,I714&lt;1),ROUND(I714*1440,0),"")</f>
        <v/>
      </c>
      <c r="AB714" s="80">
        <f>IF(AND(ISNUMBER(B714),D714&lt;&gt;"",ISNUMBER(Z714),ISNUMBER(AA714)),IF(Z714=AA714,0,1),0)</f>
        <v>0</v>
      </c>
      <c r="AC714" s="80">
        <f>IF(AB714=1,IF(AA714&lt;Z714,1,0),0)</f>
        <v>0</v>
      </c>
      <c r="AD714" s="80">
        <f>IF(AB714=1,IF(AC714=1,1440-Z714+AA714,AA714-Z714),0)</f>
        <v>0</v>
      </c>
      <c r="AE714" s="80">
        <f>IF(J714="",0,IF(ISNUMBER(J714),J714,-1))</f>
        <v>0</v>
      </c>
      <c r="AF714" s="80">
        <f>MIN(MAX(0,AE714),AD714)</f>
        <v>0</v>
      </c>
      <c r="AG714" s="80">
        <f>MAX(0,AD714-MAX(0,AE714))</f>
        <v>0</v>
      </c>
      <c r="AH714" s="80">
        <f>IF(ISNUMBER(B714),IF(AND(INDEX(CFG_WDAYS,WEEKDAY(INT(B714),2))="Sí",IF(D714="proMX",COUNTIFS(FER_F,INT(B714),FER_NLP,"Sí"),COUNTIFS(FER_F,INT(B714),FER_NLM,"Sí"))=0),1,0),0)</f>
        <v>0</v>
      </c>
      <c r="AI714" s="80">
        <f>IF(AC714=1,IF(AND(INDEX(CFG_WDAYS,WEEKDAY(INT(B714)+1,2))="Sí",IF(D714="proMX",COUNTIFS(FER_F,INT(B714)+1,FER_NLP,"Sí"),COUNTIFS(FER_F,INT(B714)+1,FER_NLM,"Sí"))=0),1,0),0)</f>
        <v>0</v>
      </c>
      <c r="AJ714" s="80">
        <f>IF(AC714=1,1440-Z714,AD714)</f>
        <v>0</v>
      </c>
      <c r="AK714" s="80">
        <f>IF(AND(AB714=1,AH714=1),MAX(0,MIN(IF(AC714=1,1440,AA714),CFG_WEM)-MAX(Z714,CFG_WSM)),0)</f>
        <v>0</v>
      </c>
      <c r="AL714" s="80">
        <f>IF(AND(AC714=1,AI714=1),MAX(0,MIN(AA714,CFG_WEM)-CFG_WSM),0)</f>
        <v>0</v>
      </c>
      <c r="AM714" s="80">
        <f>AK714+AL714</f>
        <v>0</v>
      </c>
      <c r="AN714" s="80">
        <f>IF(CFG_BRK="Proporcional",IF(AD714=0,0,AF714*AM714/AD714),IF(CFG_BRK="Extras primero",MIN(AM714,MAX(0,AF714-(AD714-AM714))),MIN(AF714,AM714)))</f>
        <v>0</v>
      </c>
      <c r="AO714" s="80">
        <f>AF714-AN714</f>
        <v>0</v>
      </c>
      <c r="AP714" s="80">
        <f>AM714-AN714</f>
        <v>0</v>
      </c>
      <c r="AQ714" s="80">
        <f>AD714-AM714-AO714</f>
        <v>0</v>
      </c>
      <c r="AR714" s="80">
        <f>IF(AM714=0,0,AK714-AN714*AK714/AM714)</f>
        <v>0</v>
      </c>
      <c r="AS714" s="80">
        <f>IF(AD714-AM714=0,0,(AJ714-AK714)-AO714*(AJ714-AK714)/(AD714-AM714))</f>
        <v>0</v>
      </c>
      <c r="AT714" s="80" t="str">
        <f>IF(AC714=1,INT(B714)+1,"")</f>
        <v/>
      </c>
      <c r="AU714" s="80">
        <f>IF(AND(D714="proMX",R714="Cancelled"),0,1)</f>
        <v>1</v>
      </c>
      <c r="AV714" s="80">
        <f>IF(AND(AB714=1,AU714=1),IF(COUNTIFS($D$5:D713,D714,$B$5:B713,B714,$Z$5:Z713,Z714,$AA$5:AA713,AA714,$F$5:F713,F714&amp;"",$AU$5:AU713,1)&gt;0,1,0),0)</f>
        <v>0</v>
      </c>
      <c r="AW714" s="80" t="str">
        <f>IF(AB714=1,INT(B714)*1440+Z714,"")</f>
        <v/>
      </c>
      <c r="AX714" s="80" t="str">
        <f>IF(AB714=1,AW714+AD714,"")</f>
        <v/>
      </c>
      <c r="AY714" s="80">
        <f>IF(AND(AB714=1,AV714=0,AU714=1),1,0)</f>
        <v>0</v>
      </c>
      <c r="AZ714" s="80">
        <f>IF(AY714=1,COUNTIFS(R_Emp,D714,R_SAbs,"&lt;"&amp;AX714,R_EAbs,"&gt;"&amp;AW714,R_OKey,1)-1,0)</f>
        <v>0</v>
      </c>
      <c r="BA714" s="80">
        <f>IF(AY714=1,COUNTIFS(R_Emp,"&lt;&gt;"&amp;D714,R_SAbs,"&lt;"&amp;AX714,R_EAbs,"&gt;"&amp;AW714,R_OKey,1),0)</f>
        <v>0</v>
      </c>
      <c r="BB714" s="80">
        <f>IF(AND(AB714=1,D714="proMX"),IF(AND(MOD(Z714,CFG_BLK)=0,MOD(AA714,CFG_BLK)=0,MOD(AG714,CFG_BLK)=0,AG714&gt;0),1,0),1)</f>
        <v>1</v>
      </c>
      <c r="BC714" s="80" t="str">
        <f>IF(Y714=0,"",IF(NOT(ISNUMBER(B714)),"Falta fecha o fecha inválida",IF(D714="","Falta empresa",IF(AND(D714&lt;&gt;"Malcolm",D714&lt;&gt;"proMX"),"Empresa inválida",IF(OR(INT(B714)&lt;CFG_PSTART,INT(B714)&gt;CFG_PEND),"Fecha fuera del período",IF(OR(NOT(ISNUMBER(Z714)),NOT(ISNUMBER(AA714))),"Falta hora inicio/fin o formato inválido",IF(AB714=0,"Hora inicio = hora fin",IF(AE714&lt;0,"Descanso inválido",IF(AE714&gt;=AD714,"Descanso ≥ duración",IF(AV714=1,"Registro duplicado",IF(AZ714&gt;0,"Se superpone con otro registro "&amp;D714,IF(BB714=0,"inicio, fin y duración neta deben ser múltiplos de "&amp;CFG_BLK&amp;" min",""))))))))))))</f>
        <v/>
      </c>
      <c r="BD714" s="80">
        <f>IF(AND(Y714=1,BC714=""),1,0)</f>
        <v>0</v>
      </c>
      <c r="BE714" s="80">
        <f>IF(AND(BD714=1,AU714=1),1,0)</f>
        <v>0</v>
      </c>
      <c r="BF714" s="80" t="str">
        <f>IF(AND(D714="proMX",BD714=1),IF(R714="","Draft",R714),"")</f>
        <v/>
      </c>
      <c r="BG714" s="80">
        <f>IF(BD714=1,ROUND(AG714/60,6),0)</f>
        <v>0</v>
      </c>
      <c r="BH714" s="80">
        <f>IF(BE714=1,ROUND(AG714/60,6),0)</f>
        <v>0</v>
      </c>
      <c r="BI714" s="80">
        <f>IF(BE714=1,ROUND(AP714/60,6),0)</f>
        <v>0</v>
      </c>
      <c r="BJ714" s="80">
        <f>IF(BE714=1,ROUND(AQ714/60,6),0)</f>
        <v>0</v>
      </c>
      <c r="BK714" s="80">
        <f>IF(BE714=1,ROUND((AR714+AS714)/60,6),0)</f>
        <v>0</v>
      </c>
      <c r="BL714" s="80">
        <f>ROUND(BH714-BK714,6)</f>
        <v>0</v>
      </c>
      <c r="BM714" s="80">
        <f>IF(BE714=1,ROUND(AR714/60,6),0)</f>
        <v>0</v>
      </c>
      <c r="BN714" s="80">
        <f>ROUND(BI714-BM714,6)</f>
        <v>0</v>
      </c>
      <c r="BO714" s="80">
        <f>IF(BE714=1,ROUND(AS714/60,6),0)</f>
        <v>0</v>
      </c>
      <c r="BP714" s="80">
        <f>ROUND(BJ714-BO714,6)</f>
        <v>0</v>
      </c>
      <c r="BQ714" s="80">
        <f>IF(BE714=1,AW714,0)</f>
        <v>0</v>
      </c>
      <c r="BR714" s="80">
        <f>IF(BE714=1,AX714,0)</f>
        <v>0</v>
      </c>
      <c r="BS714" s="80">
        <f>IF(AND(BE714=1,D714="Malcolm",BA714&gt;0),MIN(BH714,SUMPRODUCT((R_Emp="proMX")*(R_EN&gt;0)*((R_EN-(R_EN&gt;BR714)*(R_EN-BR714))&gt;(R_SN+(R_SN&lt;BQ714)*(BQ714-R_SN)))*((R_EN-(R_EN&gt;BR714)*(R_EN-BR714))-(R_SN+(R_SN&lt;BQ714)*(BQ714-R_SN))))/60),0)</f>
        <v>0</v>
      </c>
      <c r="BT714" s="80">
        <f>IF(AND(BE714=1,D714="proMX"),ROUND(BI714*CFG_RATE+BJ714*CFG_OTRATE,6),0)</f>
        <v>0</v>
      </c>
      <c r="BU714" s="80">
        <f>IF(AND(BD714=1,D714="proMX"),ROUND(AG714/CFG_BLK,6),0)</f>
        <v>0</v>
      </c>
      <c r="BV714" s="80" t="str">
        <f>IF(BF714="Approved",IF(ISNUMBER(T714),INT(T714),INT(B714)),"")</f>
        <v/>
      </c>
      <c r="BW714" s="80">
        <f>IF(ISNUMBER(B714),IF(DB_MON="Todos",1,IF(AND(INT(B714)&gt;=DB_MS,INT(B714)&lt;=DB_ME),1,0)),0)</f>
        <v>0</v>
      </c>
      <c r="BX714" s="80">
        <f>IF(DB_PROJ="Todos",1,IF(E714&amp;""=DB_PROJ&amp;"",1,0))</f>
        <v>1</v>
      </c>
      <c r="BY714" s="80">
        <f>BW714*BX714</f>
        <v>0</v>
      </c>
      <c r="BZ714" s="80" t="str">
        <f>IF(Y714=1,F714&amp;IF(AND(F714&amp;""&lt;&gt;"",E714&amp;""&lt;&gt;"")," · ","")&amp;E714,"")</f>
        <v/>
      </c>
      <c r="CA714" s="80" t="str">
        <f>IF(AND(BD714=1,E714&amp;""&lt;&gt;""),IF(COUNTIFS($E$5:E713,E714,$BD$5:BD713,1)=0,MAX($CA$5:CA713)+1,""),"")</f>
        <v/>
      </c>
      <c r="CB714" s="80" t="str">
        <f>IF(AND(BE714=1,D714="Malcolm",E714&amp;""&lt;&gt;""),IF(COUNTIFS($D$5:D713,"Malcolm",$E$5:E713,E714,$BE$5:BE713,1)=0,MAX($CB$5:CB713)+1,""),"")</f>
        <v/>
      </c>
      <c r="CC714" s="80" t="str">
        <f>IF(AND(BD714=1,D714="proMX",E714&amp;""&lt;&gt;""),IF(COUNTIFS($D$5:D713,"proMX",$E$5:E713,E714,$BD$5:BD713,1)=0,MAX($CC$5:CC713)+1,""),"")</f>
        <v/>
      </c>
      <c r="CD714" s="80" t="str">
        <f>IF(AND(BE714=1,D714="Malcolm",F714&amp;""&lt;&gt;""),IF(COUNTIFS($D$5:D713,"Malcolm",$F$5:F713,F714,$BE$5:BE713,1)=0,MAX($CD$5:CD713)+1,""),"")</f>
        <v/>
      </c>
      <c r="CE714" s="80" t="str">
        <f>IF(AND(BD714=1,D714="proMX",F714&amp;""&lt;&gt;""),IF(COUNTIFS($D$5:D713,"proMX",$F$5:F713,F714,$BD$5:BD713,1)=0,MAX($CE$5:CE713)+1,""),"")</f>
        <v/>
      </c>
      <c r="CF714" s="80" t="str">
        <f>IF(AND(D714="proMX",BD714=1),IF(OR(BF714="Draft",BF714="Submitted",BF714="Returned",BF714="Recall Requested"),MAX($CF$5:CF713)+1,""),"")</f>
        <v/>
      </c>
      <c r="CG714" s="80">
        <f>IF(BD714=0,0,IF(D714="Malcolm",1,MATCH(BF714,{"Draft","Submitted","Approved","Returned","Recall Requested","Cancelled"},0)+1))</f>
        <v>0</v>
      </c>
      <c r="CH714" s="80">
        <f>IF(AND(BF714="Submitted",ISNUMBER(V714)),IF(V714&gt;CFG_MAXD,1,0),0)</f>
        <v>0</v>
      </c>
    </row>
    <row r="715">
      <c r="A715" s="71" t="str">
        <f>IF(Y715=1,ROW()-5,"")</f>
        <v/>
      </c>
      <c r="B715" s="72" t="n"/>
      <c r="C715" s="71" t="str">
        <f>IF(ISNUMBER(B715),CHOOSE(WEEKDAY(B715,2),"Lun","Mar","Mié","Jue","Vie","Sáb","Dom"),"")</f>
        <v/>
      </c>
      <c r="D715" s="73" t="n"/>
      <c r="E715" s="74" t="n"/>
      <c r="F715" s="74" t="n"/>
      <c r="G715" s="74" t="n"/>
      <c r="H715" s="75" t="n"/>
      <c r="I715" s="75" t="n"/>
      <c r="J715" s="76" t="n"/>
      <c r="K715" s="77" t="str">
        <f>IF(AB715=1,ROUND(AG715/60,4),"")</f>
        <v/>
      </c>
      <c r="L715" s="77" t="str">
        <f>IF(BD715=1,ROUND(AP715/60,4),"")</f>
        <v/>
      </c>
      <c r="M715" s="77" t="str">
        <f>IF(BD715=1,ROUND(AQ715/60,4),"")</f>
        <v/>
      </c>
      <c r="N715" s="71" t="str">
        <f>IF(AND(D715="proMX",AB715=1),ROUND(AG715/CFG_BLK,2),"")</f>
        <v/>
      </c>
      <c r="O715" s="77" t="str">
        <f>IF(D715="proMX",IF(BD715=1,ROUND(AG715/60,4),0),"")</f>
        <v/>
      </c>
      <c r="P715" s="78" t="str">
        <f>IF(Y715=0,"",IF(BD715=1,"OK",IF(D715="proMX","Revisar bloques: ","Revisar: ")&amp;BC715))</f>
        <v/>
      </c>
      <c r="Q715" s="78" t="str">
        <f>IF(NOT(ISNUMBER(B715)),"",IF(COUNTIFS(FER_F,INT(B715))&gt;0,"Feriado"&amp;IF(AH715=1," (laborable)"," (no laborable)"),IF(AH715=1,"Laborable",IF(WEEKDAY(B715,2)&gt;5,"Fin de semana","No laborable"))))</f>
        <v/>
      </c>
      <c r="R715" s="73" t="n"/>
      <c r="S715" s="72" t="n"/>
      <c r="T715" s="72" t="n"/>
      <c r="U715" s="74" t="n"/>
      <c r="V715" s="79" t="str">
        <f>IF(AND(D715="proMX",OR(R715="Submitted",R715="Recall Requested"),ISNUMBER(S715)),CFG_TODAY-INT(S715),"")</f>
        <v/>
      </c>
      <c r="W715" s="78" t="str">
        <f>IF(BD715=0,"",IF(BA715&gt;0,"⚠ Se superpone con un registro de la otra empresa",IF(D715="Malcolm",IF(COUNTA(R715,S715,T715)&gt;0,"Estado/fechas proMX se ignoran en Malcolm",""),IF(BF715="Cancelled","Cancelado: excluido de totales",IF(R715="","Sin estado: se trata como Draft",IF(BF715="Submitted",IF(ISNUMBER(V715),IF(V715&gt;CFG_MAXD,"⚠ "&amp;V715&amp;" días en Submitted (máx. "&amp;CFG_MAXD&amp;")",""),"Falta fecha de envío"),IF(BF715="Returned","⚠ Devuelto: corregir y reenviar",IF(BF715="Recall Requested","Retirada solicitada: pendiente",IF(AND(BF715="Approved",NOT(ISNUMBER(T715))),"Falta fecha de aprobación",IF(AND(ISNUMBER(S715),ISNUMBER(T715),T715&lt;S715),"Aprobación anterior al envío","")))))))))</f>
        <v/>
      </c>
      <c r="Y715" s="80">
        <f>IF(COUNTA(B715,D715,E715,F715,G715,H715,I715,J715,R715,S715,T715)&gt;0,1,0)</f>
        <v>0</v>
      </c>
      <c r="Z715" s="80" t="str">
        <f>IF(AND(ISNUMBER(H715),H715&gt;=0,H715&lt;1),ROUND(H715*1440,0),"")</f>
        <v/>
      </c>
      <c r="AA715" s="80" t="str">
        <f>IF(AND(ISNUMBER(I715),I715&gt;=0,I715&lt;1),ROUND(I715*1440,0),"")</f>
        <v/>
      </c>
      <c r="AB715" s="80">
        <f>IF(AND(ISNUMBER(B715),D715&lt;&gt;"",ISNUMBER(Z715),ISNUMBER(AA715)),IF(Z715=AA715,0,1),0)</f>
        <v>0</v>
      </c>
      <c r="AC715" s="80">
        <f>IF(AB715=1,IF(AA715&lt;Z715,1,0),0)</f>
        <v>0</v>
      </c>
      <c r="AD715" s="80">
        <f>IF(AB715=1,IF(AC715=1,1440-Z715+AA715,AA715-Z715),0)</f>
        <v>0</v>
      </c>
      <c r="AE715" s="80">
        <f>IF(J715="",0,IF(ISNUMBER(J715),J715,-1))</f>
        <v>0</v>
      </c>
      <c r="AF715" s="80">
        <f>MIN(MAX(0,AE715),AD715)</f>
        <v>0</v>
      </c>
      <c r="AG715" s="80">
        <f>MAX(0,AD715-MAX(0,AE715))</f>
        <v>0</v>
      </c>
      <c r="AH715" s="80">
        <f>IF(ISNUMBER(B715),IF(AND(INDEX(CFG_WDAYS,WEEKDAY(INT(B715),2))="Sí",IF(D715="proMX",COUNTIFS(FER_F,INT(B715),FER_NLP,"Sí"),COUNTIFS(FER_F,INT(B715),FER_NLM,"Sí"))=0),1,0),0)</f>
        <v>0</v>
      </c>
      <c r="AI715" s="80">
        <f>IF(AC715=1,IF(AND(INDEX(CFG_WDAYS,WEEKDAY(INT(B715)+1,2))="Sí",IF(D715="proMX",COUNTIFS(FER_F,INT(B715)+1,FER_NLP,"Sí"),COUNTIFS(FER_F,INT(B715)+1,FER_NLM,"Sí"))=0),1,0),0)</f>
        <v>0</v>
      </c>
      <c r="AJ715" s="80">
        <f>IF(AC715=1,1440-Z715,AD715)</f>
        <v>0</v>
      </c>
      <c r="AK715" s="80">
        <f>IF(AND(AB715=1,AH715=1),MAX(0,MIN(IF(AC715=1,1440,AA715),CFG_WEM)-MAX(Z715,CFG_WSM)),0)</f>
        <v>0</v>
      </c>
      <c r="AL715" s="80">
        <f>IF(AND(AC715=1,AI715=1),MAX(0,MIN(AA715,CFG_WEM)-CFG_WSM),0)</f>
        <v>0</v>
      </c>
      <c r="AM715" s="80">
        <f>AK715+AL715</f>
        <v>0</v>
      </c>
      <c r="AN715" s="80">
        <f>IF(CFG_BRK="Proporcional",IF(AD715=0,0,AF715*AM715/AD715),IF(CFG_BRK="Extras primero",MIN(AM715,MAX(0,AF715-(AD715-AM715))),MIN(AF715,AM715)))</f>
        <v>0</v>
      </c>
      <c r="AO715" s="80">
        <f>AF715-AN715</f>
        <v>0</v>
      </c>
      <c r="AP715" s="80">
        <f>AM715-AN715</f>
        <v>0</v>
      </c>
      <c r="AQ715" s="80">
        <f>AD715-AM715-AO715</f>
        <v>0</v>
      </c>
      <c r="AR715" s="80">
        <f>IF(AM715=0,0,AK715-AN715*AK715/AM715)</f>
        <v>0</v>
      </c>
      <c r="AS715" s="80">
        <f>IF(AD715-AM715=0,0,(AJ715-AK715)-AO715*(AJ715-AK715)/(AD715-AM715))</f>
        <v>0</v>
      </c>
      <c r="AT715" s="80" t="str">
        <f>IF(AC715=1,INT(B715)+1,"")</f>
        <v/>
      </c>
      <c r="AU715" s="80">
        <f>IF(AND(D715="proMX",R715="Cancelled"),0,1)</f>
        <v>1</v>
      </c>
      <c r="AV715" s="80">
        <f>IF(AND(AB715=1,AU715=1),IF(COUNTIFS($D$5:D714,D715,$B$5:B714,B715,$Z$5:Z714,Z715,$AA$5:AA714,AA715,$F$5:F714,F715&amp;"",$AU$5:AU714,1)&gt;0,1,0),0)</f>
        <v>0</v>
      </c>
      <c r="AW715" s="80" t="str">
        <f>IF(AB715=1,INT(B715)*1440+Z715,"")</f>
        <v/>
      </c>
      <c r="AX715" s="80" t="str">
        <f>IF(AB715=1,AW715+AD715,"")</f>
        <v/>
      </c>
      <c r="AY715" s="80">
        <f>IF(AND(AB715=1,AV715=0,AU715=1),1,0)</f>
        <v>0</v>
      </c>
      <c r="AZ715" s="80">
        <f>IF(AY715=1,COUNTIFS(R_Emp,D715,R_SAbs,"&lt;"&amp;AX715,R_EAbs,"&gt;"&amp;AW715,R_OKey,1)-1,0)</f>
        <v>0</v>
      </c>
      <c r="BA715" s="80">
        <f>IF(AY715=1,COUNTIFS(R_Emp,"&lt;&gt;"&amp;D715,R_SAbs,"&lt;"&amp;AX715,R_EAbs,"&gt;"&amp;AW715,R_OKey,1),0)</f>
        <v>0</v>
      </c>
      <c r="BB715" s="80">
        <f>IF(AND(AB715=1,D715="proMX"),IF(AND(MOD(Z715,CFG_BLK)=0,MOD(AA715,CFG_BLK)=0,MOD(AG715,CFG_BLK)=0,AG715&gt;0),1,0),1)</f>
        <v>1</v>
      </c>
      <c r="BC715" s="80" t="str">
        <f>IF(Y715=0,"",IF(NOT(ISNUMBER(B715)),"Falta fecha o fecha inválida",IF(D715="","Falta empresa",IF(AND(D715&lt;&gt;"Malcolm",D715&lt;&gt;"proMX"),"Empresa inválida",IF(OR(INT(B715)&lt;CFG_PSTART,INT(B715)&gt;CFG_PEND),"Fecha fuera del período",IF(OR(NOT(ISNUMBER(Z715)),NOT(ISNUMBER(AA715))),"Falta hora inicio/fin o formato inválido",IF(AB715=0,"Hora inicio = hora fin",IF(AE715&lt;0,"Descanso inválido",IF(AE715&gt;=AD715,"Descanso ≥ duración",IF(AV715=1,"Registro duplicado",IF(AZ715&gt;0,"Se superpone con otro registro "&amp;D715,IF(BB715=0,"inicio, fin y duración neta deben ser múltiplos de "&amp;CFG_BLK&amp;" min",""))))))))))))</f>
        <v/>
      </c>
      <c r="BD715" s="80">
        <f>IF(AND(Y715=1,BC715=""),1,0)</f>
        <v>0</v>
      </c>
      <c r="BE715" s="80">
        <f>IF(AND(BD715=1,AU715=1),1,0)</f>
        <v>0</v>
      </c>
      <c r="BF715" s="80" t="str">
        <f>IF(AND(D715="proMX",BD715=1),IF(R715="","Draft",R715),"")</f>
        <v/>
      </c>
      <c r="BG715" s="80">
        <f>IF(BD715=1,ROUND(AG715/60,6),0)</f>
        <v>0</v>
      </c>
      <c r="BH715" s="80">
        <f>IF(BE715=1,ROUND(AG715/60,6),0)</f>
        <v>0</v>
      </c>
      <c r="BI715" s="80">
        <f>IF(BE715=1,ROUND(AP715/60,6),0)</f>
        <v>0</v>
      </c>
      <c r="BJ715" s="80">
        <f>IF(BE715=1,ROUND(AQ715/60,6),0)</f>
        <v>0</v>
      </c>
      <c r="BK715" s="80">
        <f>IF(BE715=1,ROUND((AR715+AS715)/60,6),0)</f>
        <v>0</v>
      </c>
      <c r="BL715" s="80">
        <f>ROUND(BH715-BK715,6)</f>
        <v>0</v>
      </c>
      <c r="BM715" s="80">
        <f>IF(BE715=1,ROUND(AR715/60,6),0)</f>
        <v>0</v>
      </c>
      <c r="BN715" s="80">
        <f>ROUND(BI715-BM715,6)</f>
        <v>0</v>
      </c>
      <c r="BO715" s="80">
        <f>IF(BE715=1,ROUND(AS715/60,6),0)</f>
        <v>0</v>
      </c>
      <c r="BP715" s="80">
        <f>ROUND(BJ715-BO715,6)</f>
        <v>0</v>
      </c>
      <c r="BQ715" s="80">
        <f>IF(BE715=1,AW715,0)</f>
        <v>0</v>
      </c>
      <c r="BR715" s="80">
        <f>IF(BE715=1,AX715,0)</f>
        <v>0</v>
      </c>
      <c r="BS715" s="80">
        <f>IF(AND(BE715=1,D715="Malcolm",BA715&gt;0),MIN(BH715,SUMPRODUCT((R_Emp="proMX")*(R_EN&gt;0)*((R_EN-(R_EN&gt;BR715)*(R_EN-BR715))&gt;(R_SN+(R_SN&lt;BQ715)*(BQ715-R_SN)))*((R_EN-(R_EN&gt;BR715)*(R_EN-BR715))-(R_SN+(R_SN&lt;BQ715)*(BQ715-R_SN))))/60),0)</f>
        <v>0</v>
      </c>
      <c r="BT715" s="80">
        <f>IF(AND(BE715=1,D715="proMX"),ROUND(BI715*CFG_RATE+BJ715*CFG_OTRATE,6),0)</f>
        <v>0</v>
      </c>
      <c r="BU715" s="80">
        <f>IF(AND(BD715=1,D715="proMX"),ROUND(AG715/CFG_BLK,6),0)</f>
        <v>0</v>
      </c>
      <c r="BV715" s="80" t="str">
        <f>IF(BF715="Approved",IF(ISNUMBER(T715),INT(T715),INT(B715)),"")</f>
        <v/>
      </c>
      <c r="BW715" s="80">
        <f>IF(ISNUMBER(B715),IF(DB_MON="Todos",1,IF(AND(INT(B715)&gt;=DB_MS,INT(B715)&lt;=DB_ME),1,0)),0)</f>
        <v>0</v>
      </c>
      <c r="BX715" s="80">
        <f>IF(DB_PROJ="Todos",1,IF(E715&amp;""=DB_PROJ&amp;"",1,0))</f>
        <v>1</v>
      </c>
      <c r="BY715" s="80">
        <f>BW715*BX715</f>
        <v>0</v>
      </c>
      <c r="BZ715" s="80" t="str">
        <f>IF(Y715=1,F715&amp;IF(AND(F715&amp;""&lt;&gt;"",E715&amp;""&lt;&gt;"")," · ","")&amp;E715,"")</f>
        <v/>
      </c>
      <c r="CA715" s="80" t="str">
        <f>IF(AND(BD715=1,E715&amp;""&lt;&gt;""),IF(COUNTIFS($E$5:E714,E715,$BD$5:BD714,1)=0,MAX($CA$5:CA714)+1,""),"")</f>
        <v/>
      </c>
      <c r="CB715" s="80" t="str">
        <f>IF(AND(BE715=1,D715="Malcolm",E715&amp;""&lt;&gt;""),IF(COUNTIFS($D$5:D714,"Malcolm",$E$5:E714,E715,$BE$5:BE714,1)=0,MAX($CB$5:CB714)+1,""),"")</f>
        <v/>
      </c>
      <c r="CC715" s="80" t="str">
        <f>IF(AND(BD715=1,D715="proMX",E715&amp;""&lt;&gt;""),IF(COUNTIFS($D$5:D714,"proMX",$E$5:E714,E715,$BD$5:BD714,1)=0,MAX($CC$5:CC714)+1,""),"")</f>
        <v/>
      </c>
      <c r="CD715" s="80" t="str">
        <f>IF(AND(BE715=1,D715="Malcolm",F715&amp;""&lt;&gt;""),IF(COUNTIFS($D$5:D714,"Malcolm",$F$5:F714,F715,$BE$5:BE714,1)=0,MAX($CD$5:CD714)+1,""),"")</f>
        <v/>
      </c>
      <c r="CE715" s="80" t="str">
        <f>IF(AND(BD715=1,D715="proMX",F715&amp;""&lt;&gt;""),IF(COUNTIFS($D$5:D714,"proMX",$F$5:F714,F715,$BD$5:BD714,1)=0,MAX($CE$5:CE714)+1,""),"")</f>
        <v/>
      </c>
      <c r="CF715" s="80" t="str">
        <f>IF(AND(D715="proMX",BD715=1),IF(OR(BF715="Draft",BF715="Submitted",BF715="Returned",BF715="Recall Requested"),MAX($CF$5:CF714)+1,""),"")</f>
        <v/>
      </c>
      <c r="CG715" s="80">
        <f>IF(BD715=0,0,IF(D715="Malcolm",1,MATCH(BF715,{"Draft","Submitted","Approved","Returned","Recall Requested","Cancelled"},0)+1))</f>
        <v>0</v>
      </c>
      <c r="CH715" s="80">
        <f>IF(AND(BF715="Submitted",ISNUMBER(V715)),IF(V715&gt;CFG_MAXD,1,0),0)</f>
        <v>0</v>
      </c>
    </row>
    <row r="716">
      <c r="A716" s="71" t="str">
        <f>IF(Y716=1,ROW()-5,"")</f>
        <v/>
      </c>
      <c r="B716" s="72" t="n"/>
      <c r="C716" s="71" t="str">
        <f>IF(ISNUMBER(B716),CHOOSE(WEEKDAY(B716,2),"Lun","Mar","Mié","Jue","Vie","Sáb","Dom"),"")</f>
        <v/>
      </c>
      <c r="D716" s="73" t="n"/>
      <c r="E716" s="74" t="n"/>
      <c r="F716" s="74" t="n"/>
      <c r="G716" s="74" t="n"/>
      <c r="H716" s="75" t="n"/>
      <c r="I716" s="75" t="n"/>
      <c r="J716" s="76" t="n"/>
      <c r="K716" s="77" t="str">
        <f>IF(AB716=1,ROUND(AG716/60,4),"")</f>
        <v/>
      </c>
      <c r="L716" s="77" t="str">
        <f>IF(BD716=1,ROUND(AP716/60,4),"")</f>
        <v/>
      </c>
      <c r="M716" s="77" t="str">
        <f>IF(BD716=1,ROUND(AQ716/60,4),"")</f>
        <v/>
      </c>
      <c r="N716" s="71" t="str">
        <f>IF(AND(D716="proMX",AB716=1),ROUND(AG716/CFG_BLK,2),"")</f>
        <v/>
      </c>
      <c r="O716" s="77" t="str">
        <f>IF(D716="proMX",IF(BD716=1,ROUND(AG716/60,4),0),"")</f>
        <v/>
      </c>
      <c r="P716" s="78" t="str">
        <f>IF(Y716=0,"",IF(BD716=1,"OK",IF(D716="proMX","Revisar bloques: ","Revisar: ")&amp;BC716))</f>
        <v/>
      </c>
      <c r="Q716" s="78" t="str">
        <f>IF(NOT(ISNUMBER(B716)),"",IF(COUNTIFS(FER_F,INT(B716))&gt;0,"Feriado"&amp;IF(AH716=1," (laborable)"," (no laborable)"),IF(AH716=1,"Laborable",IF(WEEKDAY(B716,2)&gt;5,"Fin de semana","No laborable"))))</f>
        <v/>
      </c>
      <c r="R716" s="73" t="n"/>
      <c r="S716" s="72" t="n"/>
      <c r="T716" s="72" t="n"/>
      <c r="U716" s="74" t="n"/>
      <c r="V716" s="79" t="str">
        <f>IF(AND(D716="proMX",OR(R716="Submitted",R716="Recall Requested"),ISNUMBER(S716)),CFG_TODAY-INT(S716),"")</f>
        <v/>
      </c>
      <c r="W716" s="78" t="str">
        <f>IF(BD716=0,"",IF(BA716&gt;0,"⚠ Se superpone con un registro de la otra empresa",IF(D716="Malcolm",IF(COUNTA(R716,S716,T716)&gt;0,"Estado/fechas proMX se ignoran en Malcolm",""),IF(BF716="Cancelled","Cancelado: excluido de totales",IF(R716="","Sin estado: se trata como Draft",IF(BF716="Submitted",IF(ISNUMBER(V716),IF(V716&gt;CFG_MAXD,"⚠ "&amp;V716&amp;" días en Submitted (máx. "&amp;CFG_MAXD&amp;")",""),"Falta fecha de envío"),IF(BF716="Returned","⚠ Devuelto: corregir y reenviar",IF(BF716="Recall Requested","Retirada solicitada: pendiente",IF(AND(BF716="Approved",NOT(ISNUMBER(T716))),"Falta fecha de aprobación",IF(AND(ISNUMBER(S716),ISNUMBER(T716),T716&lt;S716),"Aprobación anterior al envío","")))))))))</f>
        <v/>
      </c>
      <c r="Y716" s="80">
        <f>IF(COUNTA(B716,D716,E716,F716,G716,H716,I716,J716,R716,S716,T716)&gt;0,1,0)</f>
        <v>0</v>
      </c>
      <c r="Z716" s="80" t="str">
        <f>IF(AND(ISNUMBER(H716),H716&gt;=0,H716&lt;1),ROUND(H716*1440,0),"")</f>
        <v/>
      </c>
      <c r="AA716" s="80" t="str">
        <f>IF(AND(ISNUMBER(I716),I716&gt;=0,I716&lt;1),ROUND(I716*1440,0),"")</f>
        <v/>
      </c>
      <c r="AB716" s="80">
        <f>IF(AND(ISNUMBER(B716),D716&lt;&gt;"",ISNUMBER(Z716),ISNUMBER(AA716)),IF(Z716=AA716,0,1),0)</f>
        <v>0</v>
      </c>
      <c r="AC716" s="80">
        <f>IF(AB716=1,IF(AA716&lt;Z716,1,0),0)</f>
        <v>0</v>
      </c>
      <c r="AD716" s="80">
        <f>IF(AB716=1,IF(AC716=1,1440-Z716+AA716,AA716-Z716),0)</f>
        <v>0</v>
      </c>
      <c r="AE716" s="80">
        <f>IF(J716="",0,IF(ISNUMBER(J716),J716,-1))</f>
        <v>0</v>
      </c>
      <c r="AF716" s="80">
        <f>MIN(MAX(0,AE716),AD716)</f>
        <v>0</v>
      </c>
      <c r="AG716" s="80">
        <f>MAX(0,AD716-MAX(0,AE716))</f>
        <v>0</v>
      </c>
      <c r="AH716" s="80">
        <f>IF(ISNUMBER(B716),IF(AND(INDEX(CFG_WDAYS,WEEKDAY(INT(B716),2))="Sí",IF(D716="proMX",COUNTIFS(FER_F,INT(B716),FER_NLP,"Sí"),COUNTIFS(FER_F,INT(B716),FER_NLM,"Sí"))=0),1,0),0)</f>
        <v>0</v>
      </c>
      <c r="AI716" s="80">
        <f>IF(AC716=1,IF(AND(INDEX(CFG_WDAYS,WEEKDAY(INT(B716)+1,2))="Sí",IF(D716="proMX",COUNTIFS(FER_F,INT(B716)+1,FER_NLP,"Sí"),COUNTIFS(FER_F,INT(B716)+1,FER_NLM,"Sí"))=0),1,0),0)</f>
        <v>0</v>
      </c>
      <c r="AJ716" s="80">
        <f>IF(AC716=1,1440-Z716,AD716)</f>
        <v>0</v>
      </c>
      <c r="AK716" s="80">
        <f>IF(AND(AB716=1,AH716=1),MAX(0,MIN(IF(AC716=1,1440,AA716),CFG_WEM)-MAX(Z716,CFG_WSM)),0)</f>
        <v>0</v>
      </c>
      <c r="AL716" s="80">
        <f>IF(AND(AC716=1,AI716=1),MAX(0,MIN(AA716,CFG_WEM)-CFG_WSM),0)</f>
        <v>0</v>
      </c>
      <c r="AM716" s="80">
        <f>AK716+AL716</f>
        <v>0</v>
      </c>
      <c r="AN716" s="80">
        <f>IF(CFG_BRK="Proporcional",IF(AD716=0,0,AF716*AM716/AD716),IF(CFG_BRK="Extras primero",MIN(AM716,MAX(0,AF716-(AD716-AM716))),MIN(AF716,AM716)))</f>
        <v>0</v>
      </c>
      <c r="AO716" s="80">
        <f>AF716-AN716</f>
        <v>0</v>
      </c>
      <c r="AP716" s="80">
        <f>AM716-AN716</f>
        <v>0</v>
      </c>
      <c r="AQ716" s="80">
        <f>AD716-AM716-AO716</f>
        <v>0</v>
      </c>
      <c r="AR716" s="80">
        <f>IF(AM716=0,0,AK716-AN716*AK716/AM716)</f>
        <v>0</v>
      </c>
      <c r="AS716" s="80">
        <f>IF(AD716-AM716=0,0,(AJ716-AK716)-AO716*(AJ716-AK716)/(AD716-AM716))</f>
        <v>0</v>
      </c>
      <c r="AT716" s="80" t="str">
        <f>IF(AC716=1,INT(B716)+1,"")</f>
        <v/>
      </c>
      <c r="AU716" s="80">
        <f>IF(AND(D716="proMX",R716="Cancelled"),0,1)</f>
        <v>1</v>
      </c>
      <c r="AV716" s="80">
        <f>IF(AND(AB716=1,AU716=1),IF(COUNTIFS($D$5:D715,D716,$B$5:B715,B716,$Z$5:Z715,Z716,$AA$5:AA715,AA716,$F$5:F715,F716&amp;"",$AU$5:AU715,1)&gt;0,1,0),0)</f>
        <v>0</v>
      </c>
      <c r="AW716" s="80" t="str">
        <f>IF(AB716=1,INT(B716)*1440+Z716,"")</f>
        <v/>
      </c>
      <c r="AX716" s="80" t="str">
        <f>IF(AB716=1,AW716+AD716,"")</f>
        <v/>
      </c>
      <c r="AY716" s="80">
        <f>IF(AND(AB716=1,AV716=0,AU716=1),1,0)</f>
        <v>0</v>
      </c>
      <c r="AZ716" s="80">
        <f>IF(AY716=1,COUNTIFS(R_Emp,D716,R_SAbs,"&lt;"&amp;AX716,R_EAbs,"&gt;"&amp;AW716,R_OKey,1)-1,0)</f>
        <v>0</v>
      </c>
      <c r="BA716" s="80">
        <f>IF(AY716=1,COUNTIFS(R_Emp,"&lt;&gt;"&amp;D716,R_SAbs,"&lt;"&amp;AX716,R_EAbs,"&gt;"&amp;AW716,R_OKey,1),0)</f>
        <v>0</v>
      </c>
      <c r="BB716" s="80">
        <f>IF(AND(AB716=1,D716="proMX"),IF(AND(MOD(Z716,CFG_BLK)=0,MOD(AA716,CFG_BLK)=0,MOD(AG716,CFG_BLK)=0,AG716&gt;0),1,0),1)</f>
        <v>1</v>
      </c>
      <c r="BC716" s="80" t="str">
        <f>IF(Y716=0,"",IF(NOT(ISNUMBER(B716)),"Falta fecha o fecha inválida",IF(D716="","Falta empresa",IF(AND(D716&lt;&gt;"Malcolm",D716&lt;&gt;"proMX"),"Empresa inválida",IF(OR(INT(B716)&lt;CFG_PSTART,INT(B716)&gt;CFG_PEND),"Fecha fuera del período",IF(OR(NOT(ISNUMBER(Z716)),NOT(ISNUMBER(AA716))),"Falta hora inicio/fin o formato inválido",IF(AB716=0,"Hora inicio = hora fin",IF(AE716&lt;0,"Descanso inválido",IF(AE716&gt;=AD716,"Descanso ≥ duración",IF(AV716=1,"Registro duplicado",IF(AZ716&gt;0,"Se superpone con otro registro "&amp;D716,IF(BB716=0,"inicio, fin y duración neta deben ser múltiplos de "&amp;CFG_BLK&amp;" min",""))))))))))))</f>
        <v/>
      </c>
      <c r="BD716" s="80">
        <f>IF(AND(Y716=1,BC716=""),1,0)</f>
        <v>0</v>
      </c>
      <c r="BE716" s="80">
        <f>IF(AND(BD716=1,AU716=1),1,0)</f>
        <v>0</v>
      </c>
      <c r="BF716" s="80" t="str">
        <f>IF(AND(D716="proMX",BD716=1),IF(R716="","Draft",R716),"")</f>
        <v/>
      </c>
      <c r="BG716" s="80">
        <f>IF(BD716=1,ROUND(AG716/60,6),0)</f>
        <v>0</v>
      </c>
      <c r="BH716" s="80">
        <f>IF(BE716=1,ROUND(AG716/60,6),0)</f>
        <v>0</v>
      </c>
      <c r="BI716" s="80">
        <f>IF(BE716=1,ROUND(AP716/60,6),0)</f>
        <v>0</v>
      </c>
      <c r="BJ716" s="80">
        <f>IF(BE716=1,ROUND(AQ716/60,6),0)</f>
        <v>0</v>
      </c>
      <c r="BK716" s="80">
        <f>IF(BE716=1,ROUND((AR716+AS716)/60,6),0)</f>
        <v>0</v>
      </c>
      <c r="BL716" s="80">
        <f>ROUND(BH716-BK716,6)</f>
        <v>0</v>
      </c>
      <c r="BM716" s="80">
        <f>IF(BE716=1,ROUND(AR716/60,6),0)</f>
        <v>0</v>
      </c>
      <c r="BN716" s="80">
        <f>ROUND(BI716-BM716,6)</f>
        <v>0</v>
      </c>
      <c r="BO716" s="80">
        <f>IF(BE716=1,ROUND(AS716/60,6),0)</f>
        <v>0</v>
      </c>
      <c r="BP716" s="80">
        <f>ROUND(BJ716-BO716,6)</f>
        <v>0</v>
      </c>
      <c r="BQ716" s="80">
        <f>IF(BE716=1,AW716,0)</f>
        <v>0</v>
      </c>
      <c r="BR716" s="80">
        <f>IF(BE716=1,AX716,0)</f>
        <v>0</v>
      </c>
      <c r="BS716" s="80">
        <f>IF(AND(BE716=1,D716="Malcolm",BA716&gt;0),MIN(BH716,SUMPRODUCT((R_Emp="proMX")*(R_EN&gt;0)*((R_EN-(R_EN&gt;BR716)*(R_EN-BR716))&gt;(R_SN+(R_SN&lt;BQ716)*(BQ716-R_SN)))*((R_EN-(R_EN&gt;BR716)*(R_EN-BR716))-(R_SN+(R_SN&lt;BQ716)*(BQ716-R_SN))))/60),0)</f>
        <v>0</v>
      </c>
      <c r="BT716" s="80">
        <f>IF(AND(BE716=1,D716="proMX"),ROUND(BI716*CFG_RATE+BJ716*CFG_OTRATE,6),0)</f>
        <v>0</v>
      </c>
      <c r="BU716" s="80">
        <f>IF(AND(BD716=1,D716="proMX"),ROUND(AG716/CFG_BLK,6),0)</f>
        <v>0</v>
      </c>
      <c r="BV716" s="80" t="str">
        <f>IF(BF716="Approved",IF(ISNUMBER(T716),INT(T716),INT(B716)),"")</f>
        <v/>
      </c>
      <c r="BW716" s="80">
        <f>IF(ISNUMBER(B716),IF(DB_MON="Todos",1,IF(AND(INT(B716)&gt;=DB_MS,INT(B716)&lt;=DB_ME),1,0)),0)</f>
        <v>0</v>
      </c>
      <c r="BX716" s="80">
        <f>IF(DB_PROJ="Todos",1,IF(E716&amp;""=DB_PROJ&amp;"",1,0))</f>
        <v>1</v>
      </c>
      <c r="BY716" s="80">
        <f>BW716*BX716</f>
        <v>0</v>
      </c>
      <c r="BZ716" s="80" t="str">
        <f>IF(Y716=1,F716&amp;IF(AND(F716&amp;""&lt;&gt;"",E716&amp;""&lt;&gt;"")," · ","")&amp;E716,"")</f>
        <v/>
      </c>
      <c r="CA716" s="80" t="str">
        <f>IF(AND(BD716=1,E716&amp;""&lt;&gt;""),IF(COUNTIFS($E$5:E715,E716,$BD$5:BD715,1)=0,MAX($CA$5:CA715)+1,""),"")</f>
        <v/>
      </c>
      <c r="CB716" s="80" t="str">
        <f>IF(AND(BE716=1,D716="Malcolm",E716&amp;""&lt;&gt;""),IF(COUNTIFS($D$5:D715,"Malcolm",$E$5:E715,E716,$BE$5:BE715,1)=0,MAX($CB$5:CB715)+1,""),"")</f>
        <v/>
      </c>
      <c r="CC716" s="80" t="str">
        <f>IF(AND(BD716=1,D716="proMX",E716&amp;""&lt;&gt;""),IF(COUNTIFS($D$5:D715,"proMX",$E$5:E715,E716,$BD$5:BD715,1)=0,MAX($CC$5:CC715)+1,""),"")</f>
        <v/>
      </c>
      <c r="CD716" s="80" t="str">
        <f>IF(AND(BE716=1,D716="Malcolm",F716&amp;""&lt;&gt;""),IF(COUNTIFS($D$5:D715,"Malcolm",$F$5:F715,F716,$BE$5:BE715,1)=0,MAX($CD$5:CD715)+1,""),"")</f>
        <v/>
      </c>
      <c r="CE716" s="80" t="str">
        <f>IF(AND(BD716=1,D716="proMX",F716&amp;""&lt;&gt;""),IF(COUNTIFS($D$5:D715,"proMX",$F$5:F715,F716,$BD$5:BD715,1)=0,MAX($CE$5:CE715)+1,""),"")</f>
        <v/>
      </c>
      <c r="CF716" s="80" t="str">
        <f>IF(AND(D716="proMX",BD716=1),IF(OR(BF716="Draft",BF716="Submitted",BF716="Returned",BF716="Recall Requested"),MAX($CF$5:CF715)+1,""),"")</f>
        <v/>
      </c>
      <c r="CG716" s="80">
        <f>IF(BD716=0,0,IF(D716="Malcolm",1,MATCH(BF716,{"Draft","Submitted","Approved","Returned","Recall Requested","Cancelled"},0)+1))</f>
        <v>0</v>
      </c>
      <c r="CH716" s="80">
        <f>IF(AND(BF716="Submitted",ISNUMBER(V716)),IF(V716&gt;CFG_MAXD,1,0),0)</f>
        <v>0</v>
      </c>
    </row>
    <row r="717">
      <c r="A717" s="71" t="str">
        <f>IF(Y717=1,ROW()-5,"")</f>
        <v/>
      </c>
      <c r="B717" s="72" t="n"/>
      <c r="C717" s="71" t="str">
        <f>IF(ISNUMBER(B717),CHOOSE(WEEKDAY(B717,2),"Lun","Mar","Mié","Jue","Vie","Sáb","Dom"),"")</f>
        <v/>
      </c>
      <c r="D717" s="73" t="n"/>
      <c r="E717" s="74" t="n"/>
      <c r="F717" s="74" t="n"/>
      <c r="G717" s="74" t="n"/>
      <c r="H717" s="75" t="n"/>
      <c r="I717" s="75" t="n"/>
      <c r="J717" s="76" t="n"/>
      <c r="K717" s="77" t="str">
        <f>IF(AB717=1,ROUND(AG717/60,4),"")</f>
        <v/>
      </c>
      <c r="L717" s="77" t="str">
        <f>IF(BD717=1,ROUND(AP717/60,4),"")</f>
        <v/>
      </c>
      <c r="M717" s="77" t="str">
        <f>IF(BD717=1,ROUND(AQ717/60,4),"")</f>
        <v/>
      </c>
      <c r="N717" s="71" t="str">
        <f>IF(AND(D717="proMX",AB717=1),ROUND(AG717/CFG_BLK,2),"")</f>
        <v/>
      </c>
      <c r="O717" s="77" t="str">
        <f>IF(D717="proMX",IF(BD717=1,ROUND(AG717/60,4),0),"")</f>
        <v/>
      </c>
      <c r="P717" s="78" t="str">
        <f>IF(Y717=0,"",IF(BD717=1,"OK",IF(D717="proMX","Revisar bloques: ","Revisar: ")&amp;BC717))</f>
        <v/>
      </c>
      <c r="Q717" s="78" t="str">
        <f>IF(NOT(ISNUMBER(B717)),"",IF(COUNTIFS(FER_F,INT(B717))&gt;0,"Feriado"&amp;IF(AH717=1," (laborable)"," (no laborable)"),IF(AH717=1,"Laborable",IF(WEEKDAY(B717,2)&gt;5,"Fin de semana","No laborable"))))</f>
        <v/>
      </c>
      <c r="R717" s="73" t="n"/>
      <c r="S717" s="72" t="n"/>
      <c r="T717" s="72" t="n"/>
      <c r="U717" s="74" t="n"/>
      <c r="V717" s="79" t="str">
        <f>IF(AND(D717="proMX",OR(R717="Submitted",R717="Recall Requested"),ISNUMBER(S717)),CFG_TODAY-INT(S717),"")</f>
        <v/>
      </c>
      <c r="W717" s="78" t="str">
        <f>IF(BD717=0,"",IF(BA717&gt;0,"⚠ Se superpone con un registro de la otra empresa",IF(D717="Malcolm",IF(COUNTA(R717,S717,T717)&gt;0,"Estado/fechas proMX se ignoran en Malcolm",""),IF(BF717="Cancelled","Cancelado: excluido de totales",IF(R717="","Sin estado: se trata como Draft",IF(BF717="Submitted",IF(ISNUMBER(V717),IF(V717&gt;CFG_MAXD,"⚠ "&amp;V717&amp;" días en Submitted (máx. "&amp;CFG_MAXD&amp;")",""),"Falta fecha de envío"),IF(BF717="Returned","⚠ Devuelto: corregir y reenviar",IF(BF717="Recall Requested","Retirada solicitada: pendiente",IF(AND(BF717="Approved",NOT(ISNUMBER(T717))),"Falta fecha de aprobación",IF(AND(ISNUMBER(S717),ISNUMBER(T717),T717&lt;S717),"Aprobación anterior al envío","")))))))))</f>
        <v/>
      </c>
      <c r="Y717" s="80">
        <f>IF(COUNTA(B717,D717,E717,F717,G717,H717,I717,J717,R717,S717,T717)&gt;0,1,0)</f>
        <v>0</v>
      </c>
      <c r="Z717" s="80" t="str">
        <f>IF(AND(ISNUMBER(H717),H717&gt;=0,H717&lt;1),ROUND(H717*1440,0),"")</f>
        <v/>
      </c>
      <c r="AA717" s="80" t="str">
        <f>IF(AND(ISNUMBER(I717),I717&gt;=0,I717&lt;1),ROUND(I717*1440,0),"")</f>
        <v/>
      </c>
      <c r="AB717" s="80">
        <f>IF(AND(ISNUMBER(B717),D717&lt;&gt;"",ISNUMBER(Z717),ISNUMBER(AA717)),IF(Z717=AA717,0,1),0)</f>
        <v>0</v>
      </c>
      <c r="AC717" s="80">
        <f>IF(AB717=1,IF(AA717&lt;Z717,1,0),0)</f>
        <v>0</v>
      </c>
      <c r="AD717" s="80">
        <f>IF(AB717=1,IF(AC717=1,1440-Z717+AA717,AA717-Z717),0)</f>
        <v>0</v>
      </c>
      <c r="AE717" s="80">
        <f>IF(J717="",0,IF(ISNUMBER(J717),J717,-1))</f>
        <v>0</v>
      </c>
      <c r="AF717" s="80">
        <f>MIN(MAX(0,AE717),AD717)</f>
        <v>0</v>
      </c>
      <c r="AG717" s="80">
        <f>MAX(0,AD717-MAX(0,AE717))</f>
        <v>0</v>
      </c>
      <c r="AH717" s="80">
        <f>IF(ISNUMBER(B717),IF(AND(INDEX(CFG_WDAYS,WEEKDAY(INT(B717),2))="Sí",IF(D717="proMX",COUNTIFS(FER_F,INT(B717),FER_NLP,"Sí"),COUNTIFS(FER_F,INT(B717),FER_NLM,"Sí"))=0),1,0),0)</f>
        <v>0</v>
      </c>
      <c r="AI717" s="80">
        <f>IF(AC717=1,IF(AND(INDEX(CFG_WDAYS,WEEKDAY(INT(B717)+1,2))="Sí",IF(D717="proMX",COUNTIFS(FER_F,INT(B717)+1,FER_NLP,"Sí"),COUNTIFS(FER_F,INT(B717)+1,FER_NLM,"Sí"))=0),1,0),0)</f>
        <v>0</v>
      </c>
      <c r="AJ717" s="80">
        <f>IF(AC717=1,1440-Z717,AD717)</f>
        <v>0</v>
      </c>
      <c r="AK717" s="80">
        <f>IF(AND(AB717=1,AH717=1),MAX(0,MIN(IF(AC717=1,1440,AA717),CFG_WEM)-MAX(Z717,CFG_WSM)),0)</f>
        <v>0</v>
      </c>
      <c r="AL717" s="80">
        <f>IF(AND(AC717=1,AI717=1),MAX(0,MIN(AA717,CFG_WEM)-CFG_WSM),0)</f>
        <v>0</v>
      </c>
      <c r="AM717" s="80">
        <f>AK717+AL717</f>
        <v>0</v>
      </c>
      <c r="AN717" s="80">
        <f>IF(CFG_BRK="Proporcional",IF(AD717=0,0,AF717*AM717/AD717),IF(CFG_BRK="Extras primero",MIN(AM717,MAX(0,AF717-(AD717-AM717))),MIN(AF717,AM717)))</f>
        <v>0</v>
      </c>
      <c r="AO717" s="80">
        <f>AF717-AN717</f>
        <v>0</v>
      </c>
      <c r="AP717" s="80">
        <f>AM717-AN717</f>
        <v>0</v>
      </c>
      <c r="AQ717" s="80">
        <f>AD717-AM717-AO717</f>
        <v>0</v>
      </c>
      <c r="AR717" s="80">
        <f>IF(AM717=0,0,AK717-AN717*AK717/AM717)</f>
        <v>0</v>
      </c>
      <c r="AS717" s="80">
        <f>IF(AD717-AM717=0,0,(AJ717-AK717)-AO717*(AJ717-AK717)/(AD717-AM717))</f>
        <v>0</v>
      </c>
      <c r="AT717" s="80" t="str">
        <f>IF(AC717=1,INT(B717)+1,"")</f>
        <v/>
      </c>
      <c r="AU717" s="80">
        <f>IF(AND(D717="proMX",R717="Cancelled"),0,1)</f>
        <v>1</v>
      </c>
      <c r="AV717" s="80">
        <f>IF(AND(AB717=1,AU717=1),IF(COUNTIFS($D$5:D716,D717,$B$5:B716,B717,$Z$5:Z716,Z717,$AA$5:AA716,AA717,$F$5:F716,F717&amp;"",$AU$5:AU716,1)&gt;0,1,0),0)</f>
        <v>0</v>
      </c>
      <c r="AW717" s="80" t="str">
        <f>IF(AB717=1,INT(B717)*1440+Z717,"")</f>
        <v/>
      </c>
      <c r="AX717" s="80" t="str">
        <f>IF(AB717=1,AW717+AD717,"")</f>
        <v/>
      </c>
      <c r="AY717" s="80">
        <f>IF(AND(AB717=1,AV717=0,AU717=1),1,0)</f>
        <v>0</v>
      </c>
      <c r="AZ717" s="80">
        <f>IF(AY717=1,COUNTIFS(R_Emp,D717,R_SAbs,"&lt;"&amp;AX717,R_EAbs,"&gt;"&amp;AW717,R_OKey,1)-1,0)</f>
        <v>0</v>
      </c>
      <c r="BA717" s="80">
        <f>IF(AY717=1,COUNTIFS(R_Emp,"&lt;&gt;"&amp;D717,R_SAbs,"&lt;"&amp;AX717,R_EAbs,"&gt;"&amp;AW717,R_OKey,1),0)</f>
        <v>0</v>
      </c>
      <c r="BB717" s="80">
        <f>IF(AND(AB717=1,D717="proMX"),IF(AND(MOD(Z717,CFG_BLK)=0,MOD(AA717,CFG_BLK)=0,MOD(AG717,CFG_BLK)=0,AG717&gt;0),1,0),1)</f>
        <v>1</v>
      </c>
      <c r="BC717" s="80" t="str">
        <f>IF(Y717=0,"",IF(NOT(ISNUMBER(B717)),"Falta fecha o fecha inválida",IF(D717="","Falta empresa",IF(AND(D717&lt;&gt;"Malcolm",D717&lt;&gt;"proMX"),"Empresa inválida",IF(OR(INT(B717)&lt;CFG_PSTART,INT(B717)&gt;CFG_PEND),"Fecha fuera del período",IF(OR(NOT(ISNUMBER(Z717)),NOT(ISNUMBER(AA717))),"Falta hora inicio/fin o formato inválido",IF(AB717=0,"Hora inicio = hora fin",IF(AE717&lt;0,"Descanso inválido",IF(AE717&gt;=AD717,"Descanso ≥ duración",IF(AV717=1,"Registro duplicado",IF(AZ717&gt;0,"Se superpone con otro registro "&amp;D717,IF(BB717=0,"inicio, fin y duración neta deben ser múltiplos de "&amp;CFG_BLK&amp;" min",""))))))))))))</f>
        <v/>
      </c>
      <c r="BD717" s="80">
        <f>IF(AND(Y717=1,BC717=""),1,0)</f>
        <v>0</v>
      </c>
      <c r="BE717" s="80">
        <f>IF(AND(BD717=1,AU717=1),1,0)</f>
        <v>0</v>
      </c>
      <c r="BF717" s="80" t="str">
        <f>IF(AND(D717="proMX",BD717=1),IF(R717="","Draft",R717),"")</f>
        <v/>
      </c>
      <c r="BG717" s="80">
        <f>IF(BD717=1,ROUND(AG717/60,6),0)</f>
        <v>0</v>
      </c>
      <c r="BH717" s="80">
        <f>IF(BE717=1,ROUND(AG717/60,6),0)</f>
        <v>0</v>
      </c>
      <c r="BI717" s="80">
        <f>IF(BE717=1,ROUND(AP717/60,6),0)</f>
        <v>0</v>
      </c>
      <c r="BJ717" s="80">
        <f>IF(BE717=1,ROUND(AQ717/60,6),0)</f>
        <v>0</v>
      </c>
      <c r="BK717" s="80">
        <f>IF(BE717=1,ROUND((AR717+AS717)/60,6),0)</f>
        <v>0</v>
      </c>
      <c r="BL717" s="80">
        <f>ROUND(BH717-BK717,6)</f>
        <v>0</v>
      </c>
      <c r="BM717" s="80">
        <f>IF(BE717=1,ROUND(AR717/60,6),0)</f>
        <v>0</v>
      </c>
      <c r="BN717" s="80">
        <f>ROUND(BI717-BM717,6)</f>
        <v>0</v>
      </c>
      <c r="BO717" s="80">
        <f>IF(BE717=1,ROUND(AS717/60,6),0)</f>
        <v>0</v>
      </c>
      <c r="BP717" s="80">
        <f>ROUND(BJ717-BO717,6)</f>
        <v>0</v>
      </c>
      <c r="BQ717" s="80">
        <f>IF(BE717=1,AW717,0)</f>
        <v>0</v>
      </c>
      <c r="BR717" s="80">
        <f>IF(BE717=1,AX717,0)</f>
        <v>0</v>
      </c>
      <c r="BS717" s="80">
        <f>IF(AND(BE717=1,D717="Malcolm",BA717&gt;0),MIN(BH717,SUMPRODUCT((R_Emp="proMX")*(R_EN&gt;0)*((R_EN-(R_EN&gt;BR717)*(R_EN-BR717))&gt;(R_SN+(R_SN&lt;BQ717)*(BQ717-R_SN)))*((R_EN-(R_EN&gt;BR717)*(R_EN-BR717))-(R_SN+(R_SN&lt;BQ717)*(BQ717-R_SN))))/60),0)</f>
        <v>0</v>
      </c>
      <c r="BT717" s="80">
        <f>IF(AND(BE717=1,D717="proMX"),ROUND(BI717*CFG_RATE+BJ717*CFG_OTRATE,6),0)</f>
        <v>0</v>
      </c>
      <c r="BU717" s="80">
        <f>IF(AND(BD717=1,D717="proMX"),ROUND(AG717/CFG_BLK,6),0)</f>
        <v>0</v>
      </c>
      <c r="BV717" s="80" t="str">
        <f>IF(BF717="Approved",IF(ISNUMBER(T717),INT(T717),INT(B717)),"")</f>
        <v/>
      </c>
      <c r="BW717" s="80">
        <f>IF(ISNUMBER(B717),IF(DB_MON="Todos",1,IF(AND(INT(B717)&gt;=DB_MS,INT(B717)&lt;=DB_ME),1,0)),0)</f>
        <v>0</v>
      </c>
      <c r="BX717" s="80">
        <f>IF(DB_PROJ="Todos",1,IF(E717&amp;""=DB_PROJ&amp;"",1,0))</f>
        <v>1</v>
      </c>
      <c r="BY717" s="80">
        <f>BW717*BX717</f>
        <v>0</v>
      </c>
      <c r="BZ717" s="80" t="str">
        <f>IF(Y717=1,F717&amp;IF(AND(F717&amp;""&lt;&gt;"",E717&amp;""&lt;&gt;"")," · ","")&amp;E717,"")</f>
        <v/>
      </c>
      <c r="CA717" s="80" t="str">
        <f>IF(AND(BD717=1,E717&amp;""&lt;&gt;""),IF(COUNTIFS($E$5:E716,E717,$BD$5:BD716,1)=0,MAX($CA$5:CA716)+1,""),"")</f>
        <v/>
      </c>
      <c r="CB717" s="80" t="str">
        <f>IF(AND(BE717=1,D717="Malcolm",E717&amp;""&lt;&gt;""),IF(COUNTIFS($D$5:D716,"Malcolm",$E$5:E716,E717,$BE$5:BE716,1)=0,MAX($CB$5:CB716)+1,""),"")</f>
        <v/>
      </c>
      <c r="CC717" s="80" t="str">
        <f>IF(AND(BD717=1,D717="proMX",E717&amp;""&lt;&gt;""),IF(COUNTIFS($D$5:D716,"proMX",$E$5:E716,E717,$BD$5:BD716,1)=0,MAX($CC$5:CC716)+1,""),"")</f>
        <v/>
      </c>
      <c r="CD717" s="80" t="str">
        <f>IF(AND(BE717=1,D717="Malcolm",F717&amp;""&lt;&gt;""),IF(COUNTIFS($D$5:D716,"Malcolm",$F$5:F716,F717,$BE$5:BE716,1)=0,MAX($CD$5:CD716)+1,""),"")</f>
        <v/>
      </c>
      <c r="CE717" s="80" t="str">
        <f>IF(AND(BD717=1,D717="proMX",F717&amp;""&lt;&gt;""),IF(COUNTIFS($D$5:D716,"proMX",$F$5:F716,F717,$BD$5:BD716,1)=0,MAX($CE$5:CE716)+1,""),"")</f>
        <v/>
      </c>
      <c r="CF717" s="80" t="str">
        <f>IF(AND(D717="proMX",BD717=1),IF(OR(BF717="Draft",BF717="Submitted",BF717="Returned",BF717="Recall Requested"),MAX($CF$5:CF716)+1,""),"")</f>
        <v/>
      </c>
      <c r="CG717" s="80">
        <f>IF(BD717=0,0,IF(D717="Malcolm",1,MATCH(BF717,{"Draft","Submitted","Approved","Returned","Recall Requested","Cancelled"},0)+1))</f>
        <v>0</v>
      </c>
      <c r="CH717" s="80">
        <f>IF(AND(BF717="Submitted",ISNUMBER(V717)),IF(V717&gt;CFG_MAXD,1,0),0)</f>
        <v>0</v>
      </c>
    </row>
    <row r="718">
      <c r="A718" s="71" t="str">
        <f>IF(Y718=1,ROW()-5,"")</f>
        <v/>
      </c>
      <c r="B718" s="72" t="n"/>
      <c r="C718" s="71" t="str">
        <f>IF(ISNUMBER(B718),CHOOSE(WEEKDAY(B718,2),"Lun","Mar","Mié","Jue","Vie","Sáb","Dom"),"")</f>
        <v/>
      </c>
      <c r="D718" s="73" t="n"/>
      <c r="E718" s="74" t="n"/>
      <c r="F718" s="74" t="n"/>
      <c r="G718" s="74" t="n"/>
      <c r="H718" s="75" t="n"/>
      <c r="I718" s="75" t="n"/>
      <c r="J718" s="76" t="n"/>
      <c r="K718" s="77" t="str">
        <f>IF(AB718=1,ROUND(AG718/60,4),"")</f>
        <v/>
      </c>
      <c r="L718" s="77" t="str">
        <f>IF(BD718=1,ROUND(AP718/60,4),"")</f>
        <v/>
      </c>
      <c r="M718" s="77" t="str">
        <f>IF(BD718=1,ROUND(AQ718/60,4),"")</f>
        <v/>
      </c>
      <c r="N718" s="71" t="str">
        <f>IF(AND(D718="proMX",AB718=1),ROUND(AG718/CFG_BLK,2),"")</f>
        <v/>
      </c>
      <c r="O718" s="77" t="str">
        <f>IF(D718="proMX",IF(BD718=1,ROUND(AG718/60,4),0),"")</f>
        <v/>
      </c>
      <c r="P718" s="78" t="str">
        <f>IF(Y718=0,"",IF(BD718=1,"OK",IF(D718="proMX","Revisar bloques: ","Revisar: ")&amp;BC718))</f>
        <v/>
      </c>
      <c r="Q718" s="78" t="str">
        <f>IF(NOT(ISNUMBER(B718)),"",IF(COUNTIFS(FER_F,INT(B718))&gt;0,"Feriado"&amp;IF(AH718=1," (laborable)"," (no laborable)"),IF(AH718=1,"Laborable",IF(WEEKDAY(B718,2)&gt;5,"Fin de semana","No laborable"))))</f>
        <v/>
      </c>
      <c r="R718" s="73" t="n"/>
      <c r="S718" s="72" t="n"/>
      <c r="T718" s="72" t="n"/>
      <c r="U718" s="74" t="n"/>
      <c r="V718" s="79" t="str">
        <f>IF(AND(D718="proMX",OR(R718="Submitted",R718="Recall Requested"),ISNUMBER(S718)),CFG_TODAY-INT(S718),"")</f>
        <v/>
      </c>
      <c r="W718" s="78" t="str">
        <f>IF(BD718=0,"",IF(BA718&gt;0,"⚠ Se superpone con un registro de la otra empresa",IF(D718="Malcolm",IF(COUNTA(R718,S718,T718)&gt;0,"Estado/fechas proMX se ignoran en Malcolm",""),IF(BF718="Cancelled","Cancelado: excluido de totales",IF(R718="","Sin estado: se trata como Draft",IF(BF718="Submitted",IF(ISNUMBER(V718),IF(V718&gt;CFG_MAXD,"⚠ "&amp;V718&amp;" días en Submitted (máx. "&amp;CFG_MAXD&amp;")",""),"Falta fecha de envío"),IF(BF718="Returned","⚠ Devuelto: corregir y reenviar",IF(BF718="Recall Requested","Retirada solicitada: pendiente",IF(AND(BF718="Approved",NOT(ISNUMBER(T718))),"Falta fecha de aprobación",IF(AND(ISNUMBER(S718),ISNUMBER(T718),T718&lt;S718),"Aprobación anterior al envío","")))))))))</f>
        <v/>
      </c>
      <c r="Y718" s="80">
        <f>IF(COUNTA(B718,D718,E718,F718,G718,H718,I718,J718,R718,S718,T718)&gt;0,1,0)</f>
        <v>0</v>
      </c>
      <c r="Z718" s="80" t="str">
        <f>IF(AND(ISNUMBER(H718),H718&gt;=0,H718&lt;1),ROUND(H718*1440,0),"")</f>
        <v/>
      </c>
      <c r="AA718" s="80" t="str">
        <f>IF(AND(ISNUMBER(I718),I718&gt;=0,I718&lt;1),ROUND(I718*1440,0),"")</f>
        <v/>
      </c>
      <c r="AB718" s="80">
        <f>IF(AND(ISNUMBER(B718),D718&lt;&gt;"",ISNUMBER(Z718),ISNUMBER(AA718)),IF(Z718=AA718,0,1),0)</f>
        <v>0</v>
      </c>
      <c r="AC718" s="80">
        <f>IF(AB718=1,IF(AA718&lt;Z718,1,0),0)</f>
        <v>0</v>
      </c>
      <c r="AD718" s="80">
        <f>IF(AB718=1,IF(AC718=1,1440-Z718+AA718,AA718-Z718),0)</f>
        <v>0</v>
      </c>
      <c r="AE718" s="80">
        <f>IF(J718="",0,IF(ISNUMBER(J718),J718,-1))</f>
        <v>0</v>
      </c>
      <c r="AF718" s="80">
        <f>MIN(MAX(0,AE718),AD718)</f>
        <v>0</v>
      </c>
      <c r="AG718" s="80">
        <f>MAX(0,AD718-MAX(0,AE718))</f>
        <v>0</v>
      </c>
      <c r="AH718" s="80">
        <f>IF(ISNUMBER(B718),IF(AND(INDEX(CFG_WDAYS,WEEKDAY(INT(B718),2))="Sí",IF(D718="proMX",COUNTIFS(FER_F,INT(B718),FER_NLP,"Sí"),COUNTIFS(FER_F,INT(B718),FER_NLM,"Sí"))=0),1,0),0)</f>
        <v>0</v>
      </c>
      <c r="AI718" s="80">
        <f>IF(AC718=1,IF(AND(INDEX(CFG_WDAYS,WEEKDAY(INT(B718)+1,2))="Sí",IF(D718="proMX",COUNTIFS(FER_F,INT(B718)+1,FER_NLP,"Sí"),COUNTIFS(FER_F,INT(B718)+1,FER_NLM,"Sí"))=0),1,0),0)</f>
        <v>0</v>
      </c>
      <c r="AJ718" s="80">
        <f>IF(AC718=1,1440-Z718,AD718)</f>
        <v>0</v>
      </c>
      <c r="AK718" s="80">
        <f>IF(AND(AB718=1,AH718=1),MAX(0,MIN(IF(AC718=1,1440,AA718),CFG_WEM)-MAX(Z718,CFG_WSM)),0)</f>
        <v>0</v>
      </c>
      <c r="AL718" s="80">
        <f>IF(AND(AC718=1,AI718=1),MAX(0,MIN(AA718,CFG_WEM)-CFG_WSM),0)</f>
        <v>0</v>
      </c>
      <c r="AM718" s="80">
        <f>AK718+AL718</f>
        <v>0</v>
      </c>
      <c r="AN718" s="80">
        <f>IF(CFG_BRK="Proporcional",IF(AD718=0,0,AF718*AM718/AD718),IF(CFG_BRK="Extras primero",MIN(AM718,MAX(0,AF718-(AD718-AM718))),MIN(AF718,AM718)))</f>
        <v>0</v>
      </c>
      <c r="AO718" s="80">
        <f>AF718-AN718</f>
        <v>0</v>
      </c>
      <c r="AP718" s="80">
        <f>AM718-AN718</f>
        <v>0</v>
      </c>
      <c r="AQ718" s="80">
        <f>AD718-AM718-AO718</f>
        <v>0</v>
      </c>
      <c r="AR718" s="80">
        <f>IF(AM718=0,0,AK718-AN718*AK718/AM718)</f>
        <v>0</v>
      </c>
      <c r="AS718" s="80">
        <f>IF(AD718-AM718=0,0,(AJ718-AK718)-AO718*(AJ718-AK718)/(AD718-AM718))</f>
        <v>0</v>
      </c>
      <c r="AT718" s="80" t="str">
        <f>IF(AC718=1,INT(B718)+1,"")</f>
        <v/>
      </c>
      <c r="AU718" s="80">
        <f>IF(AND(D718="proMX",R718="Cancelled"),0,1)</f>
        <v>1</v>
      </c>
      <c r="AV718" s="80">
        <f>IF(AND(AB718=1,AU718=1),IF(COUNTIFS($D$5:D717,D718,$B$5:B717,B718,$Z$5:Z717,Z718,$AA$5:AA717,AA718,$F$5:F717,F718&amp;"",$AU$5:AU717,1)&gt;0,1,0),0)</f>
        <v>0</v>
      </c>
      <c r="AW718" s="80" t="str">
        <f>IF(AB718=1,INT(B718)*1440+Z718,"")</f>
        <v/>
      </c>
      <c r="AX718" s="80" t="str">
        <f>IF(AB718=1,AW718+AD718,"")</f>
        <v/>
      </c>
      <c r="AY718" s="80">
        <f>IF(AND(AB718=1,AV718=0,AU718=1),1,0)</f>
        <v>0</v>
      </c>
      <c r="AZ718" s="80">
        <f>IF(AY718=1,COUNTIFS(R_Emp,D718,R_SAbs,"&lt;"&amp;AX718,R_EAbs,"&gt;"&amp;AW718,R_OKey,1)-1,0)</f>
        <v>0</v>
      </c>
      <c r="BA718" s="80">
        <f>IF(AY718=1,COUNTIFS(R_Emp,"&lt;&gt;"&amp;D718,R_SAbs,"&lt;"&amp;AX718,R_EAbs,"&gt;"&amp;AW718,R_OKey,1),0)</f>
        <v>0</v>
      </c>
      <c r="BB718" s="80">
        <f>IF(AND(AB718=1,D718="proMX"),IF(AND(MOD(Z718,CFG_BLK)=0,MOD(AA718,CFG_BLK)=0,MOD(AG718,CFG_BLK)=0,AG718&gt;0),1,0),1)</f>
        <v>1</v>
      </c>
      <c r="BC718" s="80" t="str">
        <f>IF(Y718=0,"",IF(NOT(ISNUMBER(B718)),"Falta fecha o fecha inválida",IF(D718="","Falta empresa",IF(AND(D718&lt;&gt;"Malcolm",D718&lt;&gt;"proMX"),"Empresa inválida",IF(OR(INT(B718)&lt;CFG_PSTART,INT(B718)&gt;CFG_PEND),"Fecha fuera del período",IF(OR(NOT(ISNUMBER(Z718)),NOT(ISNUMBER(AA718))),"Falta hora inicio/fin o formato inválido",IF(AB718=0,"Hora inicio = hora fin",IF(AE718&lt;0,"Descanso inválido",IF(AE718&gt;=AD718,"Descanso ≥ duración",IF(AV718=1,"Registro duplicado",IF(AZ718&gt;0,"Se superpone con otro registro "&amp;D718,IF(BB718=0,"inicio, fin y duración neta deben ser múltiplos de "&amp;CFG_BLK&amp;" min",""))))))))))))</f>
        <v/>
      </c>
      <c r="BD718" s="80">
        <f>IF(AND(Y718=1,BC718=""),1,0)</f>
        <v>0</v>
      </c>
      <c r="BE718" s="80">
        <f>IF(AND(BD718=1,AU718=1),1,0)</f>
        <v>0</v>
      </c>
      <c r="BF718" s="80" t="str">
        <f>IF(AND(D718="proMX",BD718=1),IF(R718="","Draft",R718),"")</f>
        <v/>
      </c>
      <c r="BG718" s="80">
        <f>IF(BD718=1,ROUND(AG718/60,6),0)</f>
        <v>0</v>
      </c>
      <c r="BH718" s="80">
        <f>IF(BE718=1,ROUND(AG718/60,6),0)</f>
        <v>0</v>
      </c>
      <c r="BI718" s="80">
        <f>IF(BE718=1,ROUND(AP718/60,6),0)</f>
        <v>0</v>
      </c>
      <c r="BJ718" s="80">
        <f>IF(BE718=1,ROUND(AQ718/60,6),0)</f>
        <v>0</v>
      </c>
      <c r="BK718" s="80">
        <f>IF(BE718=1,ROUND((AR718+AS718)/60,6),0)</f>
        <v>0</v>
      </c>
      <c r="BL718" s="80">
        <f>ROUND(BH718-BK718,6)</f>
        <v>0</v>
      </c>
      <c r="BM718" s="80">
        <f>IF(BE718=1,ROUND(AR718/60,6),0)</f>
        <v>0</v>
      </c>
      <c r="BN718" s="80">
        <f>ROUND(BI718-BM718,6)</f>
        <v>0</v>
      </c>
      <c r="BO718" s="80">
        <f>IF(BE718=1,ROUND(AS718/60,6),0)</f>
        <v>0</v>
      </c>
      <c r="BP718" s="80">
        <f>ROUND(BJ718-BO718,6)</f>
        <v>0</v>
      </c>
      <c r="BQ718" s="80">
        <f>IF(BE718=1,AW718,0)</f>
        <v>0</v>
      </c>
      <c r="BR718" s="80">
        <f>IF(BE718=1,AX718,0)</f>
        <v>0</v>
      </c>
      <c r="BS718" s="80">
        <f>IF(AND(BE718=1,D718="Malcolm",BA718&gt;0),MIN(BH718,SUMPRODUCT((R_Emp="proMX")*(R_EN&gt;0)*((R_EN-(R_EN&gt;BR718)*(R_EN-BR718))&gt;(R_SN+(R_SN&lt;BQ718)*(BQ718-R_SN)))*((R_EN-(R_EN&gt;BR718)*(R_EN-BR718))-(R_SN+(R_SN&lt;BQ718)*(BQ718-R_SN))))/60),0)</f>
        <v>0</v>
      </c>
      <c r="BT718" s="80">
        <f>IF(AND(BE718=1,D718="proMX"),ROUND(BI718*CFG_RATE+BJ718*CFG_OTRATE,6),0)</f>
        <v>0</v>
      </c>
      <c r="BU718" s="80">
        <f>IF(AND(BD718=1,D718="proMX"),ROUND(AG718/CFG_BLK,6),0)</f>
        <v>0</v>
      </c>
      <c r="BV718" s="80" t="str">
        <f>IF(BF718="Approved",IF(ISNUMBER(T718),INT(T718),INT(B718)),"")</f>
        <v/>
      </c>
      <c r="BW718" s="80">
        <f>IF(ISNUMBER(B718),IF(DB_MON="Todos",1,IF(AND(INT(B718)&gt;=DB_MS,INT(B718)&lt;=DB_ME),1,0)),0)</f>
        <v>0</v>
      </c>
      <c r="BX718" s="80">
        <f>IF(DB_PROJ="Todos",1,IF(E718&amp;""=DB_PROJ&amp;"",1,0))</f>
        <v>1</v>
      </c>
      <c r="BY718" s="80">
        <f>BW718*BX718</f>
        <v>0</v>
      </c>
      <c r="BZ718" s="80" t="str">
        <f>IF(Y718=1,F718&amp;IF(AND(F718&amp;""&lt;&gt;"",E718&amp;""&lt;&gt;"")," · ","")&amp;E718,"")</f>
        <v/>
      </c>
      <c r="CA718" s="80" t="str">
        <f>IF(AND(BD718=1,E718&amp;""&lt;&gt;""),IF(COUNTIFS($E$5:E717,E718,$BD$5:BD717,1)=0,MAX($CA$5:CA717)+1,""),"")</f>
        <v/>
      </c>
      <c r="CB718" s="80" t="str">
        <f>IF(AND(BE718=1,D718="Malcolm",E718&amp;""&lt;&gt;""),IF(COUNTIFS($D$5:D717,"Malcolm",$E$5:E717,E718,$BE$5:BE717,1)=0,MAX($CB$5:CB717)+1,""),"")</f>
        <v/>
      </c>
      <c r="CC718" s="80" t="str">
        <f>IF(AND(BD718=1,D718="proMX",E718&amp;""&lt;&gt;""),IF(COUNTIFS($D$5:D717,"proMX",$E$5:E717,E718,$BD$5:BD717,1)=0,MAX($CC$5:CC717)+1,""),"")</f>
        <v/>
      </c>
      <c r="CD718" s="80" t="str">
        <f>IF(AND(BE718=1,D718="Malcolm",F718&amp;""&lt;&gt;""),IF(COUNTIFS($D$5:D717,"Malcolm",$F$5:F717,F718,$BE$5:BE717,1)=0,MAX($CD$5:CD717)+1,""),"")</f>
        <v/>
      </c>
      <c r="CE718" s="80" t="str">
        <f>IF(AND(BD718=1,D718="proMX",F718&amp;""&lt;&gt;""),IF(COUNTIFS($D$5:D717,"proMX",$F$5:F717,F718,$BD$5:BD717,1)=0,MAX($CE$5:CE717)+1,""),"")</f>
        <v/>
      </c>
      <c r="CF718" s="80" t="str">
        <f>IF(AND(D718="proMX",BD718=1),IF(OR(BF718="Draft",BF718="Submitted",BF718="Returned",BF718="Recall Requested"),MAX($CF$5:CF717)+1,""),"")</f>
        <v/>
      </c>
      <c r="CG718" s="80">
        <f>IF(BD718=0,0,IF(D718="Malcolm",1,MATCH(BF718,{"Draft","Submitted","Approved","Returned","Recall Requested","Cancelled"},0)+1))</f>
        <v>0</v>
      </c>
      <c r="CH718" s="80">
        <f>IF(AND(BF718="Submitted",ISNUMBER(V718)),IF(V718&gt;CFG_MAXD,1,0),0)</f>
        <v>0</v>
      </c>
    </row>
    <row r="719">
      <c r="A719" s="71" t="str">
        <f>IF(Y719=1,ROW()-5,"")</f>
        <v/>
      </c>
      <c r="B719" s="72" t="n"/>
      <c r="C719" s="71" t="str">
        <f>IF(ISNUMBER(B719),CHOOSE(WEEKDAY(B719,2),"Lun","Mar","Mié","Jue","Vie","Sáb","Dom"),"")</f>
        <v/>
      </c>
      <c r="D719" s="73" t="n"/>
      <c r="E719" s="74" t="n"/>
      <c r="F719" s="74" t="n"/>
      <c r="G719" s="74" t="n"/>
      <c r="H719" s="75" t="n"/>
      <c r="I719" s="75" t="n"/>
      <c r="J719" s="76" t="n"/>
      <c r="K719" s="77" t="str">
        <f>IF(AB719=1,ROUND(AG719/60,4),"")</f>
        <v/>
      </c>
      <c r="L719" s="77" t="str">
        <f>IF(BD719=1,ROUND(AP719/60,4),"")</f>
        <v/>
      </c>
      <c r="M719" s="77" t="str">
        <f>IF(BD719=1,ROUND(AQ719/60,4),"")</f>
        <v/>
      </c>
      <c r="N719" s="71" t="str">
        <f>IF(AND(D719="proMX",AB719=1),ROUND(AG719/CFG_BLK,2),"")</f>
        <v/>
      </c>
      <c r="O719" s="77" t="str">
        <f>IF(D719="proMX",IF(BD719=1,ROUND(AG719/60,4),0),"")</f>
        <v/>
      </c>
      <c r="P719" s="78" t="str">
        <f>IF(Y719=0,"",IF(BD719=1,"OK",IF(D719="proMX","Revisar bloques: ","Revisar: ")&amp;BC719))</f>
        <v/>
      </c>
      <c r="Q719" s="78" t="str">
        <f>IF(NOT(ISNUMBER(B719)),"",IF(COUNTIFS(FER_F,INT(B719))&gt;0,"Feriado"&amp;IF(AH719=1," (laborable)"," (no laborable)"),IF(AH719=1,"Laborable",IF(WEEKDAY(B719,2)&gt;5,"Fin de semana","No laborable"))))</f>
        <v/>
      </c>
      <c r="R719" s="73" t="n"/>
      <c r="S719" s="72" t="n"/>
      <c r="T719" s="72" t="n"/>
      <c r="U719" s="74" t="n"/>
      <c r="V719" s="79" t="str">
        <f>IF(AND(D719="proMX",OR(R719="Submitted",R719="Recall Requested"),ISNUMBER(S719)),CFG_TODAY-INT(S719),"")</f>
        <v/>
      </c>
      <c r="W719" s="78" t="str">
        <f>IF(BD719=0,"",IF(BA719&gt;0,"⚠ Se superpone con un registro de la otra empresa",IF(D719="Malcolm",IF(COUNTA(R719,S719,T719)&gt;0,"Estado/fechas proMX se ignoran en Malcolm",""),IF(BF719="Cancelled","Cancelado: excluido de totales",IF(R719="","Sin estado: se trata como Draft",IF(BF719="Submitted",IF(ISNUMBER(V719),IF(V719&gt;CFG_MAXD,"⚠ "&amp;V719&amp;" días en Submitted (máx. "&amp;CFG_MAXD&amp;")",""),"Falta fecha de envío"),IF(BF719="Returned","⚠ Devuelto: corregir y reenviar",IF(BF719="Recall Requested","Retirada solicitada: pendiente",IF(AND(BF719="Approved",NOT(ISNUMBER(T719))),"Falta fecha de aprobación",IF(AND(ISNUMBER(S719),ISNUMBER(T719),T719&lt;S719),"Aprobación anterior al envío","")))))))))</f>
        <v/>
      </c>
      <c r="Y719" s="80">
        <f>IF(COUNTA(B719,D719,E719,F719,G719,H719,I719,J719,R719,S719,T719)&gt;0,1,0)</f>
        <v>0</v>
      </c>
      <c r="Z719" s="80" t="str">
        <f>IF(AND(ISNUMBER(H719),H719&gt;=0,H719&lt;1),ROUND(H719*1440,0),"")</f>
        <v/>
      </c>
      <c r="AA719" s="80" t="str">
        <f>IF(AND(ISNUMBER(I719),I719&gt;=0,I719&lt;1),ROUND(I719*1440,0),"")</f>
        <v/>
      </c>
      <c r="AB719" s="80">
        <f>IF(AND(ISNUMBER(B719),D719&lt;&gt;"",ISNUMBER(Z719),ISNUMBER(AA719)),IF(Z719=AA719,0,1),0)</f>
        <v>0</v>
      </c>
      <c r="AC719" s="80">
        <f>IF(AB719=1,IF(AA719&lt;Z719,1,0),0)</f>
        <v>0</v>
      </c>
      <c r="AD719" s="80">
        <f>IF(AB719=1,IF(AC719=1,1440-Z719+AA719,AA719-Z719),0)</f>
        <v>0</v>
      </c>
      <c r="AE719" s="80">
        <f>IF(J719="",0,IF(ISNUMBER(J719),J719,-1))</f>
        <v>0</v>
      </c>
      <c r="AF719" s="80">
        <f>MIN(MAX(0,AE719),AD719)</f>
        <v>0</v>
      </c>
      <c r="AG719" s="80">
        <f>MAX(0,AD719-MAX(0,AE719))</f>
        <v>0</v>
      </c>
      <c r="AH719" s="80">
        <f>IF(ISNUMBER(B719),IF(AND(INDEX(CFG_WDAYS,WEEKDAY(INT(B719),2))="Sí",IF(D719="proMX",COUNTIFS(FER_F,INT(B719),FER_NLP,"Sí"),COUNTIFS(FER_F,INT(B719),FER_NLM,"Sí"))=0),1,0),0)</f>
        <v>0</v>
      </c>
      <c r="AI719" s="80">
        <f>IF(AC719=1,IF(AND(INDEX(CFG_WDAYS,WEEKDAY(INT(B719)+1,2))="Sí",IF(D719="proMX",COUNTIFS(FER_F,INT(B719)+1,FER_NLP,"Sí"),COUNTIFS(FER_F,INT(B719)+1,FER_NLM,"Sí"))=0),1,0),0)</f>
        <v>0</v>
      </c>
      <c r="AJ719" s="80">
        <f>IF(AC719=1,1440-Z719,AD719)</f>
        <v>0</v>
      </c>
      <c r="AK719" s="80">
        <f>IF(AND(AB719=1,AH719=1),MAX(0,MIN(IF(AC719=1,1440,AA719),CFG_WEM)-MAX(Z719,CFG_WSM)),0)</f>
        <v>0</v>
      </c>
      <c r="AL719" s="80">
        <f>IF(AND(AC719=1,AI719=1),MAX(0,MIN(AA719,CFG_WEM)-CFG_WSM),0)</f>
        <v>0</v>
      </c>
      <c r="AM719" s="80">
        <f>AK719+AL719</f>
        <v>0</v>
      </c>
      <c r="AN719" s="80">
        <f>IF(CFG_BRK="Proporcional",IF(AD719=0,0,AF719*AM719/AD719),IF(CFG_BRK="Extras primero",MIN(AM719,MAX(0,AF719-(AD719-AM719))),MIN(AF719,AM719)))</f>
        <v>0</v>
      </c>
      <c r="AO719" s="80">
        <f>AF719-AN719</f>
        <v>0</v>
      </c>
      <c r="AP719" s="80">
        <f>AM719-AN719</f>
        <v>0</v>
      </c>
      <c r="AQ719" s="80">
        <f>AD719-AM719-AO719</f>
        <v>0</v>
      </c>
      <c r="AR719" s="80">
        <f>IF(AM719=0,0,AK719-AN719*AK719/AM719)</f>
        <v>0</v>
      </c>
      <c r="AS719" s="80">
        <f>IF(AD719-AM719=0,0,(AJ719-AK719)-AO719*(AJ719-AK719)/(AD719-AM719))</f>
        <v>0</v>
      </c>
      <c r="AT719" s="80" t="str">
        <f>IF(AC719=1,INT(B719)+1,"")</f>
        <v/>
      </c>
      <c r="AU719" s="80">
        <f>IF(AND(D719="proMX",R719="Cancelled"),0,1)</f>
        <v>1</v>
      </c>
      <c r="AV719" s="80">
        <f>IF(AND(AB719=1,AU719=1),IF(COUNTIFS($D$5:D718,D719,$B$5:B718,B719,$Z$5:Z718,Z719,$AA$5:AA718,AA719,$F$5:F718,F719&amp;"",$AU$5:AU718,1)&gt;0,1,0),0)</f>
        <v>0</v>
      </c>
      <c r="AW719" s="80" t="str">
        <f>IF(AB719=1,INT(B719)*1440+Z719,"")</f>
        <v/>
      </c>
      <c r="AX719" s="80" t="str">
        <f>IF(AB719=1,AW719+AD719,"")</f>
        <v/>
      </c>
      <c r="AY719" s="80">
        <f>IF(AND(AB719=1,AV719=0,AU719=1),1,0)</f>
        <v>0</v>
      </c>
      <c r="AZ719" s="80">
        <f>IF(AY719=1,COUNTIFS(R_Emp,D719,R_SAbs,"&lt;"&amp;AX719,R_EAbs,"&gt;"&amp;AW719,R_OKey,1)-1,0)</f>
        <v>0</v>
      </c>
      <c r="BA719" s="80">
        <f>IF(AY719=1,COUNTIFS(R_Emp,"&lt;&gt;"&amp;D719,R_SAbs,"&lt;"&amp;AX719,R_EAbs,"&gt;"&amp;AW719,R_OKey,1),0)</f>
        <v>0</v>
      </c>
      <c r="BB719" s="80">
        <f>IF(AND(AB719=1,D719="proMX"),IF(AND(MOD(Z719,CFG_BLK)=0,MOD(AA719,CFG_BLK)=0,MOD(AG719,CFG_BLK)=0,AG719&gt;0),1,0),1)</f>
        <v>1</v>
      </c>
      <c r="BC719" s="80" t="str">
        <f>IF(Y719=0,"",IF(NOT(ISNUMBER(B719)),"Falta fecha o fecha inválida",IF(D719="","Falta empresa",IF(AND(D719&lt;&gt;"Malcolm",D719&lt;&gt;"proMX"),"Empresa inválida",IF(OR(INT(B719)&lt;CFG_PSTART,INT(B719)&gt;CFG_PEND),"Fecha fuera del período",IF(OR(NOT(ISNUMBER(Z719)),NOT(ISNUMBER(AA719))),"Falta hora inicio/fin o formato inválido",IF(AB719=0,"Hora inicio = hora fin",IF(AE719&lt;0,"Descanso inválido",IF(AE719&gt;=AD719,"Descanso ≥ duración",IF(AV719=1,"Registro duplicado",IF(AZ719&gt;0,"Se superpone con otro registro "&amp;D719,IF(BB719=0,"inicio, fin y duración neta deben ser múltiplos de "&amp;CFG_BLK&amp;" min",""))))))))))))</f>
        <v/>
      </c>
      <c r="BD719" s="80">
        <f>IF(AND(Y719=1,BC719=""),1,0)</f>
        <v>0</v>
      </c>
      <c r="BE719" s="80">
        <f>IF(AND(BD719=1,AU719=1),1,0)</f>
        <v>0</v>
      </c>
      <c r="BF719" s="80" t="str">
        <f>IF(AND(D719="proMX",BD719=1),IF(R719="","Draft",R719),"")</f>
        <v/>
      </c>
      <c r="BG719" s="80">
        <f>IF(BD719=1,ROUND(AG719/60,6),0)</f>
        <v>0</v>
      </c>
      <c r="BH719" s="80">
        <f>IF(BE719=1,ROUND(AG719/60,6),0)</f>
        <v>0</v>
      </c>
      <c r="BI719" s="80">
        <f>IF(BE719=1,ROUND(AP719/60,6),0)</f>
        <v>0</v>
      </c>
      <c r="BJ719" s="80">
        <f>IF(BE719=1,ROUND(AQ719/60,6),0)</f>
        <v>0</v>
      </c>
      <c r="BK719" s="80">
        <f>IF(BE719=1,ROUND((AR719+AS719)/60,6),0)</f>
        <v>0</v>
      </c>
      <c r="BL719" s="80">
        <f>ROUND(BH719-BK719,6)</f>
        <v>0</v>
      </c>
      <c r="BM719" s="80">
        <f>IF(BE719=1,ROUND(AR719/60,6),0)</f>
        <v>0</v>
      </c>
      <c r="BN719" s="80">
        <f>ROUND(BI719-BM719,6)</f>
        <v>0</v>
      </c>
      <c r="BO719" s="80">
        <f>IF(BE719=1,ROUND(AS719/60,6),0)</f>
        <v>0</v>
      </c>
      <c r="BP719" s="80">
        <f>ROUND(BJ719-BO719,6)</f>
        <v>0</v>
      </c>
      <c r="BQ719" s="80">
        <f>IF(BE719=1,AW719,0)</f>
        <v>0</v>
      </c>
      <c r="BR719" s="80">
        <f>IF(BE719=1,AX719,0)</f>
        <v>0</v>
      </c>
      <c r="BS719" s="80">
        <f>IF(AND(BE719=1,D719="Malcolm",BA719&gt;0),MIN(BH719,SUMPRODUCT((R_Emp="proMX")*(R_EN&gt;0)*((R_EN-(R_EN&gt;BR719)*(R_EN-BR719))&gt;(R_SN+(R_SN&lt;BQ719)*(BQ719-R_SN)))*((R_EN-(R_EN&gt;BR719)*(R_EN-BR719))-(R_SN+(R_SN&lt;BQ719)*(BQ719-R_SN))))/60),0)</f>
        <v>0</v>
      </c>
      <c r="BT719" s="80">
        <f>IF(AND(BE719=1,D719="proMX"),ROUND(BI719*CFG_RATE+BJ719*CFG_OTRATE,6),0)</f>
        <v>0</v>
      </c>
      <c r="BU719" s="80">
        <f>IF(AND(BD719=1,D719="proMX"),ROUND(AG719/CFG_BLK,6),0)</f>
        <v>0</v>
      </c>
      <c r="BV719" s="80" t="str">
        <f>IF(BF719="Approved",IF(ISNUMBER(T719),INT(T719),INT(B719)),"")</f>
        <v/>
      </c>
      <c r="BW719" s="80">
        <f>IF(ISNUMBER(B719),IF(DB_MON="Todos",1,IF(AND(INT(B719)&gt;=DB_MS,INT(B719)&lt;=DB_ME),1,0)),0)</f>
        <v>0</v>
      </c>
      <c r="BX719" s="80">
        <f>IF(DB_PROJ="Todos",1,IF(E719&amp;""=DB_PROJ&amp;"",1,0))</f>
        <v>1</v>
      </c>
      <c r="BY719" s="80">
        <f>BW719*BX719</f>
        <v>0</v>
      </c>
      <c r="BZ719" s="80" t="str">
        <f>IF(Y719=1,F719&amp;IF(AND(F719&amp;""&lt;&gt;"",E719&amp;""&lt;&gt;"")," · ","")&amp;E719,"")</f>
        <v/>
      </c>
      <c r="CA719" s="80" t="str">
        <f>IF(AND(BD719=1,E719&amp;""&lt;&gt;""),IF(COUNTIFS($E$5:E718,E719,$BD$5:BD718,1)=0,MAX($CA$5:CA718)+1,""),"")</f>
        <v/>
      </c>
      <c r="CB719" s="80" t="str">
        <f>IF(AND(BE719=1,D719="Malcolm",E719&amp;""&lt;&gt;""),IF(COUNTIFS($D$5:D718,"Malcolm",$E$5:E718,E719,$BE$5:BE718,1)=0,MAX($CB$5:CB718)+1,""),"")</f>
        <v/>
      </c>
      <c r="CC719" s="80" t="str">
        <f>IF(AND(BD719=1,D719="proMX",E719&amp;""&lt;&gt;""),IF(COUNTIFS($D$5:D718,"proMX",$E$5:E718,E719,$BD$5:BD718,1)=0,MAX($CC$5:CC718)+1,""),"")</f>
        <v/>
      </c>
      <c r="CD719" s="80" t="str">
        <f>IF(AND(BE719=1,D719="Malcolm",F719&amp;""&lt;&gt;""),IF(COUNTIFS($D$5:D718,"Malcolm",$F$5:F718,F719,$BE$5:BE718,1)=0,MAX($CD$5:CD718)+1,""),"")</f>
        <v/>
      </c>
      <c r="CE719" s="80" t="str">
        <f>IF(AND(BD719=1,D719="proMX",F719&amp;""&lt;&gt;""),IF(COUNTIFS($D$5:D718,"proMX",$F$5:F718,F719,$BD$5:BD718,1)=0,MAX($CE$5:CE718)+1,""),"")</f>
        <v/>
      </c>
      <c r="CF719" s="80" t="str">
        <f>IF(AND(D719="proMX",BD719=1),IF(OR(BF719="Draft",BF719="Submitted",BF719="Returned",BF719="Recall Requested"),MAX($CF$5:CF718)+1,""),"")</f>
        <v/>
      </c>
      <c r="CG719" s="80">
        <f>IF(BD719=0,0,IF(D719="Malcolm",1,MATCH(BF719,{"Draft","Submitted","Approved","Returned","Recall Requested","Cancelled"},0)+1))</f>
        <v>0</v>
      </c>
      <c r="CH719" s="80">
        <f>IF(AND(BF719="Submitted",ISNUMBER(V719)),IF(V719&gt;CFG_MAXD,1,0),0)</f>
        <v>0</v>
      </c>
    </row>
    <row r="720">
      <c r="A720" s="71" t="str">
        <f>IF(Y720=1,ROW()-5,"")</f>
        <v/>
      </c>
      <c r="B720" s="72" t="n"/>
      <c r="C720" s="71" t="str">
        <f>IF(ISNUMBER(B720),CHOOSE(WEEKDAY(B720,2),"Lun","Mar","Mié","Jue","Vie","Sáb","Dom"),"")</f>
        <v/>
      </c>
      <c r="D720" s="73" t="n"/>
      <c r="E720" s="74" t="n"/>
      <c r="F720" s="74" t="n"/>
      <c r="G720" s="74" t="n"/>
      <c r="H720" s="75" t="n"/>
      <c r="I720" s="75" t="n"/>
      <c r="J720" s="76" t="n"/>
      <c r="K720" s="77" t="str">
        <f>IF(AB720=1,ROUND(AG720/60,4),"")</f>
        <v/>
      </c>
      <c r="L720" s="77" t="str">
        <f>IF(BD720=1,ROUND(AP720/60,4),"")</f>
        <v/>
      </c>
      <c r="M720" s="77" t="str">
        <f>IF(BD720=1,ROUND(AQ720/60,4),"")</f>
        <v/>
      </c>
      <c r="N720" s="71" t="str">
        <f>IF(AND(D720="proMX",AB720=1),ROUND(AG720/CFG_BLK,2),"")</f>
        <v/>
      </c>
      <c r="O720" s="77" t="str">
        <f>IF(D720="proMX",IF(BD720=1,ROUND(AG720/60,4),0),"")</f>
        <v/>
      </c>
      <c r="P720" s="78" t="str">
        <f>IF(Y720=0,"",IF(BD720=1,"OK",IF(D720="proMX","Revisar bloques: ","Revisar: ")&amp;BC720))</f>
        <v/>
      </c>
      <c r="Q720" s="78" t="str">
        <f>IF(NOT(ISNUMBER(B720)),"",IF(COUNTIFS(FER_F,INT(B720))&gt;0,"Feriado"&amp;IF(AH720=1," (laborable)"," (no laborable)"),IF(AH720=1,"Laborable",IF(WEEKDAY(B720,2)&gt;5,"Fin de semana","No laborable"))))</f>
        <v/>
      </c>
      <c r="R720" s="73" t="n"/>
      <c r="S720" s="72" t="n"/>
      <c r="T720" s="72" t="n"/>
      <c r="U720" s="74" t="n"/>
      <c r="V720" s="79" t="str">
        <f>IF(AND(D720="proMX",OR(R720="Submitted",R720="Recall Requested"),ISNUMBER(S720)),CFG_TODAY-INT(S720),"")</f>
        <v/>
      </c>
      <c r="W720" s="78" t="str">
        <f>IF(BD720=0,"",IF(BA720&gt;0,"⚠ Se superpone con un registro de la otra empresa",IF(D720="Malcolm",IF(COUNTA(R720,S720,T720)&gt;0,"Estado/fechas proMX se ignoran en Malcolm",""),IF(BF720="Cancelled","Cancelado: excluido de totales",IF(R720="","Sin estado: se trata como Draft",IF(BF720="Submitted",IF(ISNUMBER(V720),IF(V720&gt;CFG_MAXD,"⚠ "&amp;V720&amp;" días en Submitted (máx. "&amp;CFG_MAXD&amp;")",""),"Falta fecha de envío"),IF(BF720="Returned","⚠ Devuelto: corregir y reenviar",IF(BF720="Recall Requested","Retirada solicitada: pendiente",IF(AND(BF720="Approved",NOT(ISNUMBER(T720))),"Falta fecha de aprobación",IF(AND(ISNUMBER(S720),ISNUMBER(T720),T720&lt;S720),"Aprobación anterior al envío","")))))))))</f>
        <v/>
      </c>
      <c r="Y720" s="80">
        <f>IF(COUNTA(B720,D720,E720,F720,G720,H720,I720,J720,R720,S720,T720)&gt;0,1,0)</f>
        <v>0</v>
      </c>
      <c r="Z720" s="80" t="str">
        <f>IF(AND(ISNUMBER(H720),H720&gt;=0,H720&lt;1),ROUND(H720*1440,0),"")</f>
        <v/>
      </c>
      <c r="AA720" s="80" t="str">
        <f>IF(AND(ISNUMBER(I720),I720&gt;=0,I720&lt;1),ROUND(I720*1440,0),"")</f>
        <v/>
      </c>
      <c r="AB720" s="80">
        <f>IF(AND(ISNUMBER(B720),D720&lt;&gt;"",ISNUMBER(Z720),ISNUMBER(AA720)),IF(Z720=AA720,0,1),0)</f>
        <v>0</v>
      </c>
      <c r="AC720" s="80">
        <f>IF(AB720=1,IF(AA720&lt;Z720,1,0),0)</f>
        <v>0</v>
      </c>
      <c r="AD720" s="80">
        <f>IF(AB720=1,IF(AC720=1,1440-Z720+AA720,AA720-Z720),0)</f>
        <v>0</v>
      </c>
      <c r="AE720" s="80">
        <f>IF(J720="",0,IF(ISNUMBER(J720),J720,-1))</f>
        <v>0</v>
      </c>
      <c r="AF720" s="80">
        <f>MIN(MAX(0,AE720),AD720)</f>
        <v>0</v>
      </c>
      <c r="AG720" s="80">
        <f>MAX(0,AD720-MAX(0,AE720))</f>
        <v>0</v>
      </c>
      <c r="AH720" s="80">
        <f>IF(ISNUMBER(B720),IF(AND(INDEX(CFG_WDAYS,WEEKDAY(INT(B720),2))="Sí",IF(D720="proMX",COUNTIFS(FER_F,INT(B720),FER_NLP,"Sí"),COUNTIFS(FER_F,INT(B720),FER_NLM,"Sí"))=0),1,0),0)</f>
        <v>0</v>
      </c>
      <c r="AI720" s="80">
        <f>IF(AC720=1,IF(AND(INDEX(CFG_WDAYS,WEEKDAY(INT(B720)+1,2))="Sí",IF(D720="proMX",COUNTIFS(FER_F,INT(B720)+1,FER_NLP,"Sí"),COUNTIFS(FER_F,INT(B720)+1,FER_NLM,"Sí"))=0),1,0),0)</f>
        <v>0</v>
      </c>
      <c r="AJ720" s="80">
        <f>IF(AC720=1,1440-Z720,AD720)</f>
        <v>0</v>
      </c>
      <c r="AK720" s="80">
        <f>IF(AND(AB720=1,AH720=1),MAX(0,MIN(IF(AC720=1,1440,AA720),CFG_WEM)-MAX(Z720,CFG_WSM)),0)</f>
        <v>0</v>
      </c>
      <c r="AL720" s="80">
        <f>IF(AND(AC720=1,AI720=1),MAX(0,MIN(AA720,CFG_WEM)-CFG_WSM),0)</f>
        <v>0</v>
      </c>
      <c r="AM720" s="80">
        <f>AK720+AL720</f>
        <v>0</v>
      </c>
      <c r="AN720" s="80">
        <f>IF(CFG_BRK="Proporcional",IF(AD720=0,0,AF720*AM720/AD720),IF(CFG_BRK="Extras primero",MIN(AM720,MAX(0,AF720-(AD720-AM720))),MIN(AF720,AM720)))</f>
        <v>0</v>
      </c>
      <c r="AO720" s="80">
        <f>AF720-AN720</f>
        <v>0</v>
      </c>
      <c r="AP720" s="80">
        <f>AM720-AN720</f>
        <v>0</v>
      </c>
      <c r="AQ720" s="80">
        <f>AD720-AM720-AO720</f>
        <v>0</v>
      </c>
      <c r="AR720" s="80">
        <f>IF(AM720=0,0,AK720-AN720*AK720/AM720)</f>
        <v>0</v>
      </c>
      <c r="AS720" s="80">
        <f>IF(AD720-AM720=0,0,(AJ720-AK720)-AO720*(AJ720-AK720)/(AD720-AM720))</f>
        <v>0</v>
      </c>
      <c r="AT720" s="80" t="str">
        <f>IF(AC720=1,INT(B720)+1,"")</f>
        <v/>
      </c>
      <c r="AU720" s="80">
        <f>IF(AND(D720="proMX",R720="Cancelled"),0,1)</f>
        <v>1</v>
      </c>
      <c r="AV720" s="80">
        <f>IF(AND(AB720=1,AU720=1),IF(COUNTIFS($D$5:D719,D720,$B$5:B719,B720,$Z$5:Z719,Z720,$AA$5:AA719,AA720,$F$5:F719,F720&amp;"",$AU$5:AU719,1)&gt;0,1,0),0)</f>
        <v>0</v>
      </c>
      <c r="AW720" s="80" t="str">
        <f>IF(AB720=1,INT(B720)*1440+Z720,"")</f>
        <v/>
      </c>
      <c r="AX720" s="80" t="str">
        <f>IF(AB720=1,AW720+AD720,"")</f>
        <v/>
      </c>
      <c r="AY720" s="80">
        <f>IF(AND(AB720=1,AV720=0,AU720=1),1,0)</f>
        <v>0</v>
      </c>
      <c r="AZ720" s="80">
        <f>IF(AY720=1,COUNTIFS(R_Emp,D720,R_SAbs,"&lt;"&amp;AX720,R_EAbs,"&gt;"&amp;AW720,R_OKey,1)-1,0)</f>
        <v>0</v>
      </c>
      <c r="BA720" s="80">
        <f>IF(AY720=1,COUNTIFS(R_Emp,"&lt;&gt;"&amp;D720,R_SAbs,"&lt;"&amp;AX720,R_EAbs,"&gt;"&amp;AW720,R_OKey,1),0)</f>
        <v>0</v>
      </c>
      <c r="BB720" s="80">
        <f>IF(AND(AB720=1,D720="proMX"),IF(AND(MOD(Z720,CFG_BLK)=0,MOD(AA720,CFG_BLK)=0,MOD(AG720,CFG_BLK)=0,AG720&gt;0),1,0),1)</f>
        <v>1</v>
      </c>
      <c r="BC720" s="80" t="str">
        <f>IF(Y720=0,"",IF(NOT(ISNUMBER(B720)),"Falta fecha o fecha inválida",IF(D720="","Falta empresa",IF(AND(D720&lt;&gt;"Malcolm",D720&lt;&gt;"proMX"),"Empresa inválida",IF(OR(INT(B720)&lt;CFG_PSTART,INT(B720)&gt;CFG_PEND),"Fecha fuera del período",IF(OR(NOT(ISNUMBER(Z720)),NOT(ISNUMBER(AA720))),"Falta hora inicio/fin o formato inválido",IF(AB720=0,"Hora inicio = hora fin",IF(AE720&lt;0,"Descanso inválido",IF(AE720&gt;=AD720,"Descanso ≥ duración",IF(AV720=1,"Registro duplicado",IF(AZ720&gt;0,"Se superpone con otro registro "&amp;D720,IF(BB720=0,"inicio, fin y duración neta deben ser múltiplos de "&amp;CFG_BLK&amp;" min",""))))))))))))</f>
        <v/>
      </c>
      <c r="BD720" s="80">
        <f>IF(AND(Y720=1,BC720=""),1,0)</f>
        <v>0</v>
      </c>
      <c r="BE720" s="80">
        <f>IF(AND(BD720=1,AU720=1),1,0)</f>
        <v>0</v>
      </c>
      <c r="BF720" s="80" t="str">
        <f>IF(AND(D720="proMX",BD720=1),IF(R720="","Draft",R720),"")</f>
        <v/>
      </c>
      <c r="BG720" s="80">
        <f>IF(BD720=1,ROUND(AG720/60,6),0)</f>
        <v>0</v>
      </c>
      <c r="BH720" s="80">
        <f>IF(BE720=1,ROUND(AG720/60,6),0)</f>
        <v>0</v>
      </c>
      <c r="BI720" s="80">
        <f>IF(BE720=1,ROUND(AP720/60,6),0)</f>
        <v>0</v>
      </c>
      <c r="BJ720" s="80">
        <f>IF(BE720=1,ROUND(AQ720/60,6),0)</f>
        <v>0</v>
      </c>
      <c r="BK720" s="80">
        <f>IF(BE720=1,ROUND((AR720+AS720)/60,6),0)</f>
        <v>0</v>
      </c>
      <c r="BL720" s="80">
        <f>ROUND(BH720-BK720,6)</f>
        <v>0</v>
      </c>
      <c r="BM720" s="80">
        <f>IF(BE720=1,ROUND(AR720/60,6),0)</f>
        <v>0</v>
      </c>
      <c r="BN720" s="80">
        <f>ROUND(BI720-BM720,6)</f>
        <v>0</v>
      </c>
      <c r="BO720" s="80">
        <f>IF(BE720=1,ROUND(AS720/60,6),0)</f>
        <v>0</v>
      </c>
      <c r="BP720" s="80">
        <f>ROUND(BJ720-BO720,6)</f>
        <v>0</v>
      </c>
      <c r="BQ720" s="80">
        <f>IF(BE720=1,AW720,0)</f>
        <v>0</v>
      </c>
      <c r="BR720" s="80">
        <f>IF(BE720=1,AX720,0)</f>
        <v>0</v>
      </c>
      <c r="BS720" s="80">
        <f>IF(AND(BE720=1,D720="Malcolm",BA720&gt;0),MIN(BH720,SUMPRODUCT((R_Emp="proMX")*(R_EN&gt;0)*((R_EN-(R_EN&gt;BR720)*(R_EN-BR720))&gt;(R_SN+(R_SN&lt;BQ720)*(BQ720-R_SN)))*((R_EN-(R_EN&gt;BR720)*(R_EN-BR720))-(R_SN+(R_SN&lt;BQ720)*(BQ720-R_SN))))/60),0)</f>
        <v>0</v>
      </c>
      <c r="BT720" s="80">
        <f>IF(AND(BE720=1,D720="proMX"),ROUND(BI720*CFG_RATE+BJ720*CFG_OTRATE,6),0)</f>
        <v>0</v>
      </c>
      <c r="BU720" s="80">
        <f>IF(AND(BD720=1,D720="proMX"),ROUND(AG720/CFG_BLK,6),0)</f>
        <v>0</v>
      </c>
      <c r="BV720" s="80" t="str">
        <f>IF(BF720="Approved",IF(ISNUMBER(T720),INT(T720),INT(B720)),"")</f>
        <v/>
      </c>
      <c r="BW720" s="80">
        <f>IF(ISNUMBER(B720),IF(DB_MON="Todos",1,IF(AND(INT(B720)&gt;=DB_MS,INT(B720)&lt;=DB_ME),1,0)),0)</f>
        <v>0</v>
      </c>
      <c r="BX720" s="80">
        <f>IF(DB_PROJ="Todos",1,IF(E720&amp;""=DB_PROJ&amp;"",1,0))</f>
        <v>1</v>
      </c>
      <c r="BY720" s="80">
        <f>BW720*BX720</f>
        <v>0</v>
      </c>
      <c r="BZ720" s="80" t="str">
        <f>IF(Y720=1,F720&amp;IF(AND(F720&amp;""&lt;&gt;"",E720&amp;""&lt;&gt;"")," · ","")&amp;E720,"")</f>
        <v/>
      </c>
      <c r="CA720" s="80" t="str">
        <f>IF(AND(BD720=1,E720&amp;""&lt;&gt;""),IF(COUNTIFS($E$5:E719,E720,$BD$5:BD719,1)=0,MAX($CA$5:CA719)+1,""),"")</f>
        <v/>
      </c>
      <c r="CB720" s="80" t="str">
        <f>IF(AND(BE720=1,D720="Malcolm",E720&amp;""&lt;&gt;""),IF(COUNTIFS($D$5:D719,"Malcolm",$E$5:E719,E720,$BE$5:BE719,1)=0,MAX($CB$5:CB719)+1,""),"")</f>
        <v/>
      </c>
      <c r="CC720" s="80" t="str">
        <f>IF(AND(BD720=1,D720="proMX",E720&amp;""&lt;&gt;""),IF(COUNTIFS($D$5:D719,"proMX",$E$5:E719,E720,$BD$5:BD719,1)=0,MAX($CC$5:CC719)+1,""),"")</f>
        <v/>
      </c>
      <c r="CD720" s="80" t="str">
        <f>IF(AND(BE720=1,D720="Malcolm",F720&amp;""&lt;&gt;""),IF(COUNTIFS($D$5:D719,"Malcolm",$F$5:F719,F720,$BE$5:BE719,1)=0,MAX($CD$5:CD719)+1,""),"")</f>
        <v/>
      </c>
      <c r="CE720" s="80" t="str">
        <f>IF(AND(BD720=1,D720="proMX",F720&amp;""&lt;&gt;""),IF(COUNTIFS($D$5:D719,"proMX",$F$5:F719,F720,$BD$5:BD719,1)=0,MAX($CE$5:CE719)+1,""),"")</f>
        <v/>
      </c>
      <c r="CF720" s="80" t="str">
        <f>IF(AND(D720="proMX",BD720=1),IF(OR(BF720="Draft",BF720="Submitted",BF720="Returned",BF720="Recall Requested"),MAX($CF$5:CF719)+1,""),"")</f>
        <v/>
      </c>
      <c r="CG720" s="80">
        <f>IF(BD720=0,0,IF(D720="Malcolm",1,MATCH(BF720,{"Draft","Submitted","Approved","Returned","Recall Requested","Cancelled"},0)+1))</f>
        <v>0</v>
      </c>
      <c r="CH720" s="80">
        <f>IF(AND(BF720="Submitted",ISNUMBER(V720)),IF(V720&gt;CFG_MAXD,1,0),0)</f>
        <v>0</v>
      </c>
    </row>
    <row r="721">
      <c r="A721" s="71" t="str">
        <f>IF(Y721=1,ROW()-5,"")</f>
        <v/>
      </c>
      <c r="B721" s="72" t="n"/>
      <c r="C721" s="71" t="str">
        <f>IF(ISNUMBER(B721),CHOOSE(WEEKDAY(B721,2),"Lun","Mar","Mié","Jue","Vie","Sáb","Dom"),"")</f>
        <v/>
      </c>
      <c r="D721" s="73" t="n"/>
      <c r="E721" s="74" t="n"/>
      <c r="F721" s="74" t="n"/>
      <c r="G721" s="74" t="n"/>
      <c r="H721" s="75" t="n"/>
      <c r="I721" s="75" t="n"/>
      <c r="J721" s="76" t="n"/>
      <c r="K721" s="77" t="str">
        <f>IF(AB721=1,ROUND(AG721/60,4),"")</f>
        <v/>
      </c>
      <c r="L721" s="77" t="str">
        <f>IF(BD721=1,ROUND(AP721/60,4),"")</f>
        <v/>
      </c>
      <c r="M721" s="77" t="str">
        <f>IF(BD721=1,ROUND(AQ721/60,4),"")</f>
        <v/>
      </c>
      <c r="N721" s="71" t="str">
        <f>IF(AND(D721="proMX",AB721=1),ROUND(AG721/CFG_BLK,2),"")</f>
        <v/>
      </c>
      <c r="O721" s="77" t="str">
        <f>IF(D721="proMX",IF(BD721=1,ROUND(AG721/60,4),0),"")</f>
        <v/>
      </c>
      <c r="P721" s="78" t="str">
        <f>IF(Y721=0,"",IF(BD721=1,"OK",IF(D721="proMX","Revisar bloques: ","Revisar: ")&amp;BC721))</f>
        <v/>
      </c>
      <c r="Q721" s="78" t="str">
        <f>IF(NOT(ISNUMBER(B721)),"",IF(COUNTIFS(FER_F,INT(B721))&gt;0,"Feriado"&amp;IF(AH721=1," (laborable)"," (no laborable)"),IF(AH721=1,"Laborable",IF(WEEKDAY(B721,2)&gt;5,"Fin de semana","No laborable"))))</f>
        <v/>
      </c>
      <c r="R721" s="73" t="n"/>
      <c r="S721" s="72" t="n"/>
      <c r="T721" s="72" t="n"/>
      <c r="U721" s="74" t="n"/>
      <c r="V721" s="79" t="str">
        <f>IF(AND(D721="proMX",OR(R721="Submitted",R721="Recall Requested"),ISNUMBER(S721)),CFG_TODAY-INT(S721),"")</f>
        <v/>
      </c>
      <c r="W721" s="78" t="str">
        <f>IF(BD721=0,"",IF(BA721&gt;0,"⚠ Se superpone con un registro de la otra empresa",IF(D721="Malcolm",IF(COUNTA(R721,S721,T721)&gt;0,"Estado/fechas proMX se ignoran en Malcolm",""),IF(BF721="Cancelled","Cancelado: excluido de totales",IF(R721="","Sin estado: se trata como Draft",IF(BF721="Submitted",IF(ISNUMBER(V721),IF(V721&gt;CFG_MAXD,"⚠ "&amp;V721&amp;" días en Submitted (máx. "&amp;CFG_MAXD&amp;")",""),"Falta fecha de envío"),IF(BF721="Returned","⚠ Devuelto: corregir y reenviar",IF(BF721="Recall Requested","Retirada solicitada: pendiente",IF(AND(BF721="Approved",NOT(ISNUMBER(T721))),"Falta fecha de aprobación",IF(AND(ISNUMBER(S721),ISNUMBER(T721),T721&lt;S721),"Aprobación anterior al envío","")))))))))</f>
        <v/>
      </c>
      <c r="Y721" s="80">
        <f>IF(COUNTA(B721,D721,E721,F721,G721,H721,I721,J721,R721,S721,T721)&gt;0,1,0)</f>
        <v>0</v>
      </c>
      <c r="Z721" s="80" t="str">
        <f>IF(AND(ISNUMBER(H721),H721&gt;=0,H721&lt;1),ROUND(H721*1440,0),"")</f>
        <v/>
      </c>
      <c r="AA721" s="80" t="str">
        <f>IF(AND(ISNUMBER(I721),I721&gt;=0,I721&lt;1),ROUND(I721*1440,0),"")</f>
        <v/>
      </c>
      <c r="AB721" s="80">
        <f>IF(AND(ISNUMBER(B721),D721&lt;&gt;"",ISNUMBER(Z721),ISNUMBER(AA721)),IF(Z721=AA721,0,1),0)</f>
        <v>0</v>
      </c>
      <c r="AC721" s="80">
        <f>IF(AB721=1,IF(AA721&lt;Z721,1,0),0)</f>
        <v>0</v>
      </c>
      <c r="AD721" s="80">
        <f>IF(AB721=1,IF(AC721=1,1440-Z721+AA721,AA721-Z721),0)</f>
        <v>0</v>
      </c>
      <c r="AE721" s="80">
        <f>IF(J721="",0,IF(ISNUMBER(J721),J721,-1))</f>
        <v>0</v>
      </c>
      <c r="AF721" s="80">
        <f>MIN(MAX(0,AE721),AD721)</f>
        <v>0</v>
      </c>
      <c r="AG721" s="80">
        <f>MAX(0,AD721-MAX(0,AE721))</f>
        <v>0</v>
      </c>
      <c r="AH721" s="80">
        <f>IF(ISNUMBER(B721),IF(AND(INDEX(CFG_WDAYS,WEEKDAY(INT(B721),2))="Sí",IF(D721="proMX",COUNTIFS(FER_F,INT(B721),FER_NLP,"Sí"),COUNTIFS(FER_F,INT(B721),FER_NLM,"Sí"))=0),1,0),0)</f>
        <v>0</v>
      </c>
      <c r="AI721" s="80">
        <f>IF(AC721=1,IF(AND(INDEX(CFG_WDAYS,WEEKDAY(INT(B721)+1,2))="Sí",IF(D721="proMX",COUNTIFS(FER_F,INT(B721)+1,FER_NLP,"Sí"),COUNTIFS(FER_F,INT(B721)+1,FER_NLM,"Sí"))=0),1,0),0)</f>
        <v>0</v>
      </c>
      <c r="AJ721" s="80">
        <f>IF(AC721=1,1440-Z721,AD721)</f>
        <v>0</v>
      </c>
      <c r="AK721" s="80">
        <f>IF(AND(AB721=1,AH721=1),MAX(0,MIN(IF(AC721=1,1440,AA721),CFG_WEM)-MAX(Z721,CFG_WSM)),0)</f>
        <v>0</v>
      </c>
      <c r="AL721" s="80">
        <f>IF(AND(AC721=1,AI721=1),MAX(0,MIN(AA721,CFG_WEM)-CFG_WSM),0)</f>
        <v>0</v>
      </c>
      <c r="AM721" s="80">
        <f>AK721+AL721</f>
        <v>0</v>
      </c>
      <c r="AN721" s="80">
        <f>IF(CFG_BRK="Proporcional",IF(AD721=0,0,AF721*AM721/AD721),IF(CFG_BRK="Extras primero",MIN(AM721,MAX(0,AF721-(AD721-AM721))),MIN(AF721,AM721)))</f>
        <v>0</v>
      </c>
      <c r="AO721" s="80">
        <f>AF721-AN721</f>
        <v>0</v>
      </c>
      <c r="AP721" s="80">
        <f>AM721-AN721</f>
        <v>0</v>
      </c>
      <c r="AQ721" s="80">
        <f>AD721-AM721-AO721</f>
        <v>0</v>
      </c>
      <c r="AR721" s="80">
        <f>IF(AM721=0,0,AK721-AN721*AK721/AM721)</f>
        <v>0</v>
      </c>
      <c r="AS721" s="80">
        <f>IF(AD721-AM721=0,0,(AJ721-AK721)-AO721*(AJ721-AK721)/(AD721-AM721))</f>
        <v>0</v>
      </c>
      <c r="AT721" s="80" t="str">
        <f>IF(AC721=1,INT(B721)+1,"")</f>
        <v/>
      </c>
      <c r="AU721" s="80">
        <f>IF(AND(D721="proMX",R721="Cancelled"),0,1)</f>
        <v>1</v>
      </c>
      <c r="AV721" s="80">
        <f>IF(AND(AB721=1,AU721=1),IF(COUNTIFS($D$5:D720,D721,$B$5:B720,B721,$Z$5:Z720,Z721,$AA$5:AA720,AA721,$F$5:F720,F721&amp;"",$AU$5:AU720,1)&gt;0,1,0),0)</f>
        <v>0</v>
      </c>
      <c r="AW721" s="80" t="str">
        <f>IF(AB721=1,INT(B721)*1440+Z721,"")</f>
        <v/>
      </c>
      <c r="AX721" s="80" t="str">
        <f>IF(AB721=1,AW721+AD721,"")</f>
        <v/>
      </c>
      <c r="AY721" s="80">
        <f>IF(AND(AB721=1,AV721=0,AU721=1),1,0)</f>
        <v>0</v>
      </c>
      <c r="AZ721" s="80">
        <f>IF(AY721=1,COUNTIFS(R_Emp,D721,R_SAbs,"&lt;"&amp;AX721,R_EAbs,"&gt;"&amp;AW721,R_OKey,1)-1,0)</f>
        <v>0</v>
      </c>
      <c r="BA721" s="80">
        <f>IF(AY721=1,COUNTIFS(R_Emp,"&lt;&gt;"&amp;D721,R_SAbs,"&lt;"&amp;AX721,R_EAbs,"&gt;"&amp;AW721,R_OKey,1),0)</f>
        <v>0</v>
      </c>
      <c r="BB721" s="80">
        <f>IF(AND(AB721=1,D721="proMX"),IF(AND(MOD(Z721,CFG_BLK)=0,MOD(AA721,CFG_BLK)=0,MOD(AG721,CFG_BLK)=0,AG721&gt;0),1,0),1)</f>
        <v>1</v>
      </c>
      <c r="BC721" s="80" t="str">
        <f>IF(Y721=0,"",IF(NOT(ISNUMBER(B721)),"Falta fecha o fecha inválida",IF(D721="","Falta empresa",IF(AND(D721&lt;&gt;"Malcolm",D721&lt;&gt;"proMX"),"Empresa inválida",IF(OR(INT(B721)&lt;CFG_PSTART,INT(B721)&gt;CFG_PEND),"Fecha fuera del período",IF(OR(NOT(ISNUMBER(Z721)),NOT(ISNUMBER(AA721))),"Falta hora inicio/fin o formato inválido",IF(AB721=0,"Hora inicio = hora fin",IF(AE721&lt;0,"Descanso inválido",IF(AE721&gt;=AD721,"Descanso ≥ duración",IF(AV721=1,"Registro duplicado",IF(AZ721&gt;0,"Se superpone con otro registro "&amp;D721,IF(BB721=0,"inicio, fin y duración neta deben ser múltiplos de "&amp;CFG_BLK&amp;" min",""))))))))))))</f>
        <v/>
      </c>
      <c r="BD721" s="80">
        <f>IF(AND(Y721=1,BC721=""),1,0)</f>
        <v>0</v>
      </c>
      <c r="BE721" s="80">
        <f>IF(AND(BD721=1,AU721=1),1,0)</f>
        <v>0</v>
      </c>
      <c r="BF721" s="80" t="str">
        <f>IF(AND(D721="proMX",BD721=1),IF(R721="","Draft",R721),"")</f>
        <v/>
      </c>
      <c r="BG721" s="80">
        <f>IF(BD721=1,ROUND(AG721/60,6),0)</f>
        <v>0</v>
      </c>
      <c r="BH721" s="80">
        <f>IF(BE721=1,ROUND(AG721/60,6),0)</f>
        <v>0</v>
      </c>
      <c r="BI721" s="80">
        <f>IF(BE721=1,ROUND(AP721/60,6),0)</f>
        <v>0</v>
      </c>
      <c r="BJ721" s="80">
        <f>IF(BE721=1,ROUND(AQ721/60,6),0)</f>
        <v>0</v>
      </c>
      <c r="BK721" s="80">
        <f>IF(BE721=1,ROUND((AR721+AS721)/60,6),0)</f>
        <v>0</v>
      </c>
      <c r="BL721" s="80">
        <f>ROUND(BH721-BK721,6)</f>
        <v>0</v>
      </c>
      <c r="BM721" s="80">
        <f>IF(BE721=1,ROUND(AR721/60,6),0)</f>
        <v>0</v>
      </c>
      <c r="BN721" s="80">
        <f>ROUND(BI721-BM721,6)</f>
        <v>0</v>
      </c>
      <c r="BO721" s="80">
        <f>IF(BE721=1,ROUND(AS721/60,6),0)</f>
        <v>0</v>
      </c>
      <c r="BP721" s="80">
        <f>ROUND(BJ721-BO721,6)</f>
        <v>0</v>
      </c>
      <c r="BQ721" s="80">
        <f>IF(BE721=1,AW721,0)</f>
        <v>0</v>
      </c>
      <c r="BR721" s="80">
        <f>IF(BE721=1,AX721,0)</f>
        <v>0</v>
      </c>
      <c r="BS721" s="80">
        <f>IF(AND(BE721=1,D721="Malcolm",BA721&gt;0),MIN(BH721,SUMPRODUCT((R_Emp="proMX")*(R_EN&gt;0)*((R_EN-(R_EN&gt;BR721)*(R_EN-BR721))&gt;(R_SN+(R_SN&lt;BQ721)*(BQ721-R_SN)))*((R_EN-(R_EN&gt;BR721)*(R_EN-BR721))-(R_SN+(R_SN&lt;BQ721)*(BQ721-R_SN))))/60),0)</f>
        <v>0</v>
      </c>
      <c r="BT721" s="80">
        <f>IF(AND(BE721=1,D721="proMX"),ROUND(BI721*CFG_RATE+BJ721*CFG_OTRATE,6),0)</f>
        <v>0</v>
      </c>
      <c r="BU721" s="80">
        <f>IF(AND(BD721=1,D721="proMX"),ROUND(AG721/CFG_BLK,6),0)</f>
        <v>0</v>
      </c>
      <c r="BV721" s="80" t="str">
        <f>IF(BF721="Approved",IF(ISNUMBER(T721),INT(T721),INT(B721)),"")</f>
        <v/>
      </c>
      <c r="BW721" s="80">
        <f>IF(ISNUMBER(B721),IF(DB_MON="Todos",1,IF(AND(INT(B721)&gt;=DB_MS,INT(B721)&lt;=DB_ME),1,0)),0)</f>
        <v>0</v>
      </c>
      <c r="BX721" s="80">
        <f>IF(DB_PROJ="Todos",1,IF(E721&amp;""=DB_PROJ&amp;"",1,0))</f>
        <v>1</v>
      </c>
      <c r="BY721" s="80">
        <f>BW721*BX721</f>
        <v>0</v>
      </c>
      <c r="BZ721" s="80" t="str">
        <f>IF(Y721=1,F721&amp;IF(AND(F721&amp;""&lt;&gt;"",E721&amp;""&lt;&gt;"")," · ","")&amp;E721,"")</f>
        <v/>
      </c>
      <c r="CA721" s="80" t="str">
        <f>IF(AND(BD721=1,E721&amp;""&lt;&gt;""),IF(COUNTIFS($E$5:E720,E721,$BD$5:BD720,1)=0,MAX($CA$5:CA720)+1,""),"")</f>
        <v/>
      </c>
      <c r="CB721" s="80" t="str">
        <f>IF(AND(BE721=1,D721="Malcolm",E721&amp;""&lt;&gt;""),IF(COUNTIFS($D$5:D720,"Malcolm",$E$5:E720,E721,$BE$5:BE720,1)=0,MAX($CB$5:CB720)+1,""),"")</f>
        <v/>
      </c>
      <c r="CC721" s="80" t="str">
        <f>IF(AND(BD721=1,D721="proMX",E721&amp;""&lt;&gt;""),IF(COUNTIFS($D$5:D720,"proMX",$E$5:E720,E721,$BD$5:BD720,1)=0,MAX($CC$5:CC720)+1,""),"")</f>
        <v/>
      </c>
      <c r="CD721" s="80" t="str">
        <f>IF(AND(BE721=1,D721="Malcolm",F721&amp;""&lt;&gt;""),IF(COUNTIFS($D$5:D720,"Malcolm",$F$5:F720,F721,$BE$5:BE720,1)=0,MAX($CD$5:CD720)+1,""),"")</f>
        <v/>
      </c>
      <c r="CE721" s="80" t="str">
        <f>IF(AND(BD721=1,D721="proMX",F721&amp;""&lt;&gt;""),IF(COUNTIFS($D$5:D720,"proMX",$F$5:F720,F721,$BD$5:BD720,1)=0,MAX($CE$5:CE720)+1,""),"")</f>
        <v/>
      </c>
      <c r="CF721" s="80" t="str">
        <f>IF(AND(D721="proMX",BD721=1),IF(OR(BF721="Draft",BF721="Submitted",BF721="Returned",BF721="Recall Requested"),MAX($CF$5:CF720)+1,""),"")</f>
        <v/>
      </c>
      <c r="CG721" s="80">
        <f>IF(BD721=0,0,IF(D721="Malcolm",1,MATCH(BF721,{"Draft","Submitted","Approved","Returned","Recall Requested","Cancelled"},0)+1))</f>
        <v>0</v>
      </c>
      <c r="CH721" s="80">
        <f>IF(AND(BF721="Submitted",ISNUMBER(V721)),IF(V721&gt;CFG_MAXD,1,0),0)</f>
        <v>0</v>
      </c>
    </row>
    <row r="722">
      <c r="A722" s="71" t="str">
        <f>IF(Y722=1,ROW()-5,"")</f>
        <v/>
      </c>
      <c r="B722" s="72" t="n"/>
      <c r="C722" s="71" t="str">
        <f>IF(ISNUMBER(B722),CHOOSE(WEEKDAY(B722,2),"Lun","Mar","Mié","Jue","Vie","Sáb","Dom"),"")</f>
        <v/>
      </c>
      <c r="D722" s="73" t="n"/>
      <c r="E722" s="74" t="n"/>
      <c r="F722" s="74" t="n"/>
      <c r="G722" s="74" t="n"/>
      <c r="H722" s="75" t="n"/>
      <c r="I722" s="75" t="n"/>
      <c r="J722" s="76" t="n"/>
      <c r="K722" s="77" t="str">
        <f>IF(AB722=1,ROUND(AG722/60,4),"")</f>
        <v/>
      </c>
      <c r="L722" s="77" t="str">
        <f>IF(BD722=1,ROUND(AP722/60,4),"")</f>
        <v/>
      </c>
      <c r="M722" s="77" t="str">
        <f>IF(BD722=1,ROUND(AQ722/60,4),"")</f>
        <v/>
      </c>
      <c r="N722" s="71" t="str">
        <f>IF(AND(D722="proMX",AB722=1),ROUND(AG722/CFG_BLK,2),"")</f>
        <v/>
      </c>
      <c r="O722" s="77" t="str">
        <f>IF(D722="proMX",IF(BD722=1,ROUND(AG722/60,4),0),"")</f>
        <v/>
      </c>
      <c r="P722" s="78" t="str">
        <f>IF(Y722=0,"",IF(BD722=1,"OK",IF(D722="proMX","Revisar bloques: ","Revisar: ")&amp;BC722))</f>
        <v/>
      </c>
      <c r="Q722" s="78" t="str">
        <f>IF(NOT(ISNUMBER(B722)),"",IF(COUNTIFS(FER_F,INT(B722))&gt;0,"Feriado"&amp;IF(AH722=1," (laborable)"," (no laborable)"),IF(AH722=1,"Laborable",IF(WEEKDAY(B722,2)&gt;5,"Fin de semana","No laborable"))))</f>
        <v/>
      </c>
      <c r="R722" s="73" t="n"/>
      <c r="S722" s="72" t="n"/>
      <c r="T722" s="72" t="n"/>
      <c r="U722" s="74" t="n"/>
      <c r="V722" s="79" t="str">
        <f>IF(AND(D722="proMX",OR(R722="Submitted",R722="Recall Requested"),ISNUMBER(S722)),CFG_TODAY-INT(S722),"")</f>
        <v/>
      </c>
      <c r="W722" s="78" t="str">
        <f>IF(BD722=0,"",IF(BA722&gt;0,"⚠ Se superpone con un registro de la otra empresa",IF(D722="Malcolm",IF(COUNTA(R722,S722,T722)&gt;0,"Estado/fechas proMX se ignoran en Malcolm",""),IF(BF722="Cancelled","Cancelado: excluido de totales",IF(R722="","Sin estado: se trata como Draft",IF(BF722="Submitted",IF(ISNUMBER(V722),IF(V722&gt;CFG_MAXD,"⚠ "&amp;V722&amp;" días en Submitted (máx. "&amp;CFG_MAXD&amp;")",""),"Falta fecha de envío"),IF(BF722="Returned","⚠ Devuelto: corregir y reenviar",IF(BF722="Recall Requested","Retirada solicitada: pendiente",IF(AND(BF722="Approved",NOT(ISNUMBER(T722))),"Falta fecha de aprobación",IF(AND(ISNUMBER(S722),ISNUMBER(T722),T722&lt;S722),"Aprobación anterior al envío","")))))))))</f>
        <v/>
      </c>
      <c r="Y722" s="80">
        <f>IF(COUNTA(B722,D722,E722,F722,G722,H722,I722,J722,R722,S722,T722)&gt;0,1,0)</f>
        <v>0</v>
      </c>
      <c r="Z722" s="80" t="str">
        <f>IF(AND(ISNUMBER(H722),H722&gt;=0,H722&lt;1),ROUND(H722*1440,0),"")</f>
        <v/>
      </c>
      <c r="AA722" s="80" t="str">
        <f>IF(AND(ISNUMBER(I722),I722&gt;=0,I722&lt;1),ROUND(I722*1440,0),"")</f>
        <v/>
      </c>
      <c r="AB722" s="80">
        <f>IF(AND(ISNUMBER(B722),D722&lt;&gt;"",ISNUMBER(Z722),ISNUMBER(AA722)),IF(Z722=AA722,0,1),0)</f>
        <v>0</v>
      </c>
      <c r="AC722" s="80">
        <f>IF(AB722=1,IF(AA722&lt;Z722,1,0),0)</f>
        <v>0</v>
      </c>
      <c r="AD722" s="80">
        <f>IF(AB722=1,IF(AC722=1,1440-Z722+AA722,AA722-Z722),0)</f>
        <v>0</v>
      </c>
      <c r="AE722" s="80">
        <f>IF(J722="",0,IF(ISNUMBER(J722),J722,-1))</f>
        <v>0</v>
      </c>
      <c r="AF722" s="80">
        <f>MIN(MAX(0,AE722),AD722)</f>
        <v>0</v>
      </c>
      <c r="AG722" s="80">
        <f>MAX(0,AD722-MAX(0,AE722))</f>
        <v>0</v>
      </c>
      <c r="AH722" s="80">
        <f>IF(ISNUMBER(B722),IF(AND(INDEX(CFG_WDAYS,WEEKDAY(INT(B722),2))="Sí",IF(D722="proMX",COUNTIFS(FER_F,INT(B722),FER_NLP,"Sí"),COUNTIFS(FER_F,INT(B722),FER_NLM,"Sí"))=0),1,0),0)</f>
        <v>0</v>
      </c>
      <c r="AI722" s="80">
        <f>IF(AC722=1,IF(AND(INDEX(CFG_WDAYS,WEEKDAY(INT(B722)+1,2))="Sí",IF(D722="proMX",COUNTIFS(FER_F,INT(B722)+1,FER_NLP,"Sí"),COUNTIFS(FER_F,INT(B722)+1,FER_NLM,"Sí"))=0),1,0),0)</f>
        <v>0</v>
      </c>
      <c r="AJ722" s="80">
        <f>IF(AC722=1,1440-Z722,AD722)</f>
        <v>0</v>
      </c>
      <c r="AK722" s="80">
        <f>IF(AND(AB722=1,AH722=1),MAX(0,MIN(IF(AC722=1,1440,AA722),CFG_WEM)-MAX(Z722,CFG_WSM)),0)</f>
        <v>0</v>
      </c>
      <c r="AL722" s="80">
        <f>IF(AND(AC722=1,AI722=1),MAX(0,MIN(AA722,CFG_WEM)-CFG_WSM),0)</f>
        <v>0</v>
      </c>
      <c r="AM722" s="80">
        <f>AK722+AL722</f>
        <v>0</v>
      </c>
      <c r="AN722" s="80">
        <f>IF(CFG_BRK="Proporcional",IF(AD722=0,0,AF722*AM722/AD722),IF(CFG_BRK="Extras primero",MIN(AM722,MAX(0,AF722-(AD722-AM722))),MIN(AF722,AM722)))</f>
        <v>0</v>
      </c>
      <c r="AO722" s="80">
        <f>AF722-AN722</f>
        <v>0</v>
      </c>
      <c r="AP722" s="80">
        <f>AM722-AN722</f>
        <v>0</v>
      </c>
      <c r="AQ722" s="80">
        <f>AD722-AM722-AO722</f>
        <v>0</v>
      </c>
      <c r="AR722" s="80">
        <f>IF(AM722=0,0,AK722-AN722*AK722/AM722)</f>
        <v>0</v>
      </c>
      <c r="AS722" s="80">
        <f>IF(AD722-AM722=0,0,(AJ722-AK722)-AO722*(AJ722-AK722)/(AD722-AM722))</f>
        <v>0</v>
      </c>
      <c r="AT722" s="80" t="str">
        <f>IF(AC722=1,INT(B722)+1,"")</f>
        <v/>
      </c>
      <c r="AU722" s="80">
        <f>IF(AND(D722="proMX",R722="Cancelled"),0,1)</f>
        <v>1</v>
      </c>
      <c r="AV722" s="80">
        <f>IF(AND(AB722=1,AU722=1),IF(COUNTIFS($D$5:D721,D722,$B$5:B721,B722,$Z$5:Z721,Z722,$AA$5:AA721,AA722,$F$5:F721,F722&amp;"",$AU$5:AU721,1)&gt;0,1,0),0)</f>
        <v>0</v>
      </c>
      <c r="AW722" s="80" t="str">
        <f>IF(AB722=1,INT(B722)*1440+Z722,"")</f>
        <v/>
      </c>
      <c r="AX722" s="80" t="str">
        <f>IF(AB722=1,AW722+AD722,"")</f>
        <v/>
      </c>
      <c r="AY722" s="80">
        <f>IF(AND(AB722=1,AV722=0,AU722=1),1,0)</f>
        <v>0</v>
      </c>
      <c r="AZ722" s="80">
        <f>IF(AY722=1,COUNTIFS(R_Emp,D722,R_SAbs,"&lt;"&amp;AX722,R_EAbs,"&gt;"&amp;AW722,R_OKey,1)-1,0)</f>
        <v>0</v>
      </c>
      <c r="BA722" s="80">
        <f>IF(AY722=1,COUNTIFS(R_Emp,"&lt;&gt;"&amp;D722,R_SAbs,"&lt;"&amp;AX722,R_EAbs,"&gt;"&amp;AW722,R_OKey,1),0)</f>
        <v>0</v>
      </c>
      <c r="BB722" s="80">
        <f>IF(AND(AB722=1,D722="proMX"),IF(AND(MOD(Z722,CFG_BLK)=0,MOD(AA722,CFG_BLK)=0,MOD(AG722,CFG_BLK)=0,AG722&gt;0),1,0),1)</f>
        <v>1</v>
      </c>
      <c r="BC722" s="80" t="str">
        <f>IF(Y722=0,"",IF(NOT(ISNUMBER(B722)),"Falta fecha o fecha inválida",IF(D722="","Falta empresa",IF(AND(D722&lt;&gt;"Malcolm",D722&lt;&gt;"proMX"),"Empresa inválida",IF(OR(INT(B722)&lt;CFG_PSTART,INT(B722)&gt;CFG_PEND),"Fecha fuera del período",IF(OR(NOT(ISNUMBER(Z722)),NOT(ISNUMBER(AA722))),"Falta hora inicio/fin o formato inválido",IF(AB722=0,"Hora inicio = hora fin",IF(AE722&lt;0,"Descanso inválido",IF(AE722&gt;=AD722,"Descanso ≥ duración",IF(AV722=1,"Registro duplicado",IF(AZ722&gt;0,"Se superpone con otro registro "&amp;D722,IF(BB722=0,"inicio, fin y duración neta deben ser múltiplos de "&amp;CFG_BLK&amp;" min",""))))))))))))</f>
        <v/>
      </c>
      <c r="BD722" s="80">
        <f>IF(AND(Y722=1,BC722=""),1,0)</f>
        <v>0</v>
      </c>
      <c r="BE722" s="80">
        <f>IF(AND(BD722=1,AU722=1),1,0)</f>
        <v>0</v>
      </c>
      <c r="BF722" s="80" t="str">
        <f>IF(AND(D722="proMX",BD722=1),IF(R722="","Draft",R722),"")</f>
        <v/>
      </c>
      <c r="BG722" s="80">
        <f>IF(BD722=1,ROUND(AG722/60,6),0)</f>
        <v>0</v>
      </c>
      <c r="BH722" s="80">
        <f>IF(BE722=1,ROUND(AG722/60,6),0)</f>
        <v>0</v>
      </c>
      <c r="BI722" s="80">
        <f>IF(BE722=1,ROUND(AP722/60,6),0)</f>
        <v>0</v>
      </c>
      <c r="BJ722" s="80">
        <f>IF(BE722=1,ROUND(AQ722/60,6),0)</f>
        <v>0</v>
      </c>
      <c r="BK722" s="80">
        <f>IF(BE722=1,ROUND((AR722+AS722)/60,6),0)</f>
        <v>0</v>
      </c>
      <c r="BL722" s="80">
        <f>ROUND(BH722-BK722,6)</f>
        <v>0</v>
      </c>
      <c r="BM722" s="80">
        <f>IF(BE722=1,ROUND(AR722/60,6),0)</f>
        <v>0</v>
      </c>
      <c r="BN722" s="80">
        <f>ROUND(BI722-BM722,6)</f>
        <v>0</v>
      </c>
      <c r="BO722" s="80">
        <f>IF(BE722=1,ROUND(AS722/60,6),0)</f>
        <v>0</v>
      </c>
      <c r="BP722" s="80">
        <f>ROUND(BJ722-BO722,6)</f>
        <v>0</v>
      </c>
      <c r="BQ722" s="80">
        <f>IF(BE722=1,AW722,0)</f>
        <v>0</v>
      </c>
      <c r="BR722" s="80">
        <f>IF(BE722=1,AX722,0)</f>
        <v>0</v>
      </c>
      <c r="BS722" s="80">
        <f>IF(AND(BE722=1,D722="Malcolm",BA722&gt;0),MIN(BH722,SUMPRODUCT((R_Emp="proMX")*(R_EN&gt;0)*((R_EN-(R_EN&gt;BR722)*(R_EN-BR722))&gt;(R_SN+(R_SN&lt;BQ722)*(BQ722-R_SN)))*((R_EN-(R_EN&gt;BR722)*(R_EN-BR722))-(R_SN+(R_SN&lt;BQ722)*(BQ722-R_SN))))/60),0)</f>
        <v>0</v>
      </c>
      <c r="BT722" s="80">
        <f>IF(AND(BE722=1,D722="proMX"),ROUND(BI722*CFG_RATE+BJ722*CFG_OTRATE,6),0)</f>
        <v>0</v>
      </c>
      <c r="BU722" s="80">
        <f>IF(AND(BD722=1,D722="proMX"),ROUND(AG722/CFG_BLK,6),0)</f>
        <v>0</v>
      </c>
      <c r="BV722" s="80" t="str">
        <f>IF(BF722="Approved",IF(ISNUMBER(T722),INT(T722),INT(B722)),"")</f>
        <v/>
      </c>
      <c r="BW722" s="80">
        <f>IF(ISNUMBER(B722),IF(DB_MON="Todos",1,IF(AND(INT(B722)&gt;=DB_MS,INT(B722)&lt;=DB_ME),1,0)),0)</f>
        <v>0</v>
      </c>
      <c r="BX722" s="80">
        <f>IF(DB_PROJ="Todos",1,IF(E722&amp;""=DB_PROJ&amp;"",1,0))</f>
        <v>1</v>
      </c>
      <c r="BY722" s="80">
        <f>BW722*BX722</f>
        <v>0</v>
      </c>
      <c r="BZ722" s="80" t="str">
        <f>IF(Y722=1,F722&amp;IF(AND(F722&amp;""&lt;&gt;"",E722&amp;""&lt;&gt;"")," · ","")&amp;E722,"")</f>
        <v/>
      </c>
      <c r="CA722" s="80" t="str">
        <f>IF(AND(BD722=1,E722&amp;""&lt;&gt;""),IF(COUNTIFS($E$5:E721,E722,$BD$5:BD721,1)=0,MAX($CA$5:CA721)+1,""),"")</f>
        <v/>
      </c>
      <c r="CB722" s="80" t="str">
        <f>IF(AND(BE722=1,D722="Malcolm",E722&amp;""&lt;&gt;""),IF(COUNTIFS($D$5:D721,"Malcolm",$E$5:E721,E722,$BE$5:BE721,1)=0,MAX($CB$5:CB721)+1,""),"")</f>
        <v/>
      </c>
      <c r="CC722" s="80" t="str">
        <f>IF(AND(BD722=1,D722="proMX",E722&amp;""&lt;&gt;""),IF(COUNTIFS($D$5:D721,"proMX",$E$5:E721,E722,$BD$5:BD721,1)=0,MAX($CC$5:CC721)+1,""),"")</f>
        <v/>
      </c>
      <c r="CD722" s="80" t="str">
        <f>IF(AND(BE722=1,D722="Malcolm",F722&amp;""&lt;&gt;""),IF(COUNTIFS($D$5:D721,"Malcolm",$F$5:F721,F722,$BE$5:BE721,1)=0,MAX($CD$5:CD721)+1,""),"")</f>
        <v/>
      </c>
      <c r="CE722" s="80" t="str">
        <f>IF(AND(BD722=1,D722="proMX",F722&amp;""&lt;&gt;""),IF(COUNTIFS($D$5:D721,"proMX",$F$5:F721,F722,$BD$5:BD721,1)=0,MAX($CE$5:CE721)+1,""),"")</f>
        <v/>
      </c>
      <c r="CF722" s="80" t="str">
        <f>IF(AND(D722="proMX",BD722=1),IF(OR(BF722="Draft",BF722="Submitted",BF722="Returned",BF722="Recall Requested"),MAX($CF$5:CF721)+1,""),"")</f>
        <v/>
      </c>
      <c r="CG722" s="80">
        <f>IF(BD722=0,0,IF(D722="Malcolm",1,MATCH(BF722,{"Draft","Submitted","Approved","Returned","Recall Requested","Cancelled"},0)+1))</f>
        <v>0</v>
      </c>
      <c r="CH722" s="80">
        <f>IF(AND(BF722="Submitted",ISNUMBER(V722)),IF(V722&gt;CFG_MAXD,1,0),0)</f>
        <v>0</v>
      </c>
    </row>
    <row r="723">
      <c r="A723" s="71" t="str">
        <f>IF(Y723=1,ROW()-5,"")</f>
        <v/>
      </c>
      <c r="B723" s="72" t="n"/>
      <c r="C723" s="71" t="str">
        <f>IF(ISNUMBER(B723),CHOOSE(WEEKDAY(B723,2),"Lun","Mar","Mié","Jue","Vie","Sáb","Dom"),"")</f>
        <v/>
      </c>
      <c r="D723" s="73" t="n"/>
      <c r="E723" s="74" t="n"/>
      <c r="F723" s="74" t="n"/>
      <c r="G723" s="74" t="n"/>
      <c r="H723" s="75" t="n"/>
      <c r="I723" s="75" t="n"/>
      <c r="J723" s="76" t="n"/>
      <c r="K723" s="77" t="str">
        <f>IF(AB723=1,ROUND(AG723/60,4),"")</f>
        <v/>
      </c>
      <c r="L723" s="77" t="str">
        <f>IF(BD723=1,ROUND(AP723/60,4),"")</f>
        <v/>
      </c>
      <c r="M723" s="77" t="str">
        <f>IF(BD723=1,ROUND(AQ723/60,4),"")</f>
        <v/>
      </c>
      <c r="N723" s="71" t="str">
        <f>IF(AND(D723="proMX",AB723=1),ROUND(AG723/CFG_BLK,2),"")</f>
        <v/>
      </c>
      <c r="O723" s="77" t="str">
        <f>IF(D723="proMX",IF(BD723=1,ROUND(AG723/60,4),0),"")</f>
        <v/>
      </c>
      <c r="P723" s="78" t="str">
        <f>IF(Y723=0,"",IF(BD723=1,"OK",IF(D723="proMX","Revisar bloques: ","Revisar: ")&amp;BC723))</f>
        <v/>
      </c>
      <c r="Q723" s="78" t="str">
        <f>IF(NOT(ISNUMBER(B723)),"",IF(COUNTIFS(FER_F,INT(B723))&gt;0,"Feriado"&amp;IF(AH723=1," (laborable)"," (no laborable)"),IF(AH723=1,"Laborable",IF(WEEKDAY(B723,2)&gt;5,"Fin de semana","No laborable"))))</f>
        <v/>
      </c>
      <c r="R723" s="73" t="n"/>
      <c r="S723" s="72" t="n"/>
      <c r="T723" s="72" t="n"/>
      <c r="U723" s="74" t="n"/>
      <c r="V723" s="79" t="str">
        <f>IF(AND(D723="proMX",OR(R723="Submitted",R723="Recall Requested"),ISNUMBER(S723)),CFG_TODAY-INT(S723),"")</f>
        <v/>
      </c>
      <c r="W723" s="78" t="str">
        <f>IF(BD723=0,"",IF(BA723&gt;0,"⚠ Se superpone con un registro de la otra empresa",IF(D723="Malcolm",IF(COUNTA(R723,S723,T723)&gt;0,"Estado/fechas proMX se ignoran en Malcolm",""),IF(BF723="Cancelled","Cancelado: excluido de totales",IF(R723="","Sin estado: se trata como Draft",IF(BF723="Submitted",IF(ISNUMBER(V723),IF(V723&gt;CFG_MAXD,"⚠ "&amp;V723&amp;" días en Submitted (máx. "&amp;CFG_MAXD&amp;")",""),"Falta fecha de envío"),IF(BF723="Returned","⚠ Devuelto: corregir y reenviar",IF(BF723="Recall Requested","Retirada solicitada: pendiente",IF(AND(BF723="Approved",NOT(ISNUMBER(T723))),"Falta fecha de aprobación",IF(AND(ISNUMBER(S723),ISNUMBER(T723),T723&lt;S723),"Aprobación anterior al envío","")))))))))</f>
        <v/>
      </c>
      <c r="Y723" s="80">
        <f>IF(COUNTA(B723,D723,E723,F723,G723,H723,I723,J723,R723,S723,T723)&gt;0,1,0)</f>
        <v>0</v>
      </c>
      <c r="Z723" s="80" t="str">
        <f>IF(AND(ISNUMBER(H723),H723&gt;=0,H723&lt;1),ROUND(H723*1440,0),"")</f>
        <v/>
      </c>
      <c r="AA723" s="80" t="str">
        <f>IF(AND(ISNUMBER(I723),I723&gt;=0,I723&lt;1),ROUND(I723*1440,0),"")</f>
        <v/>
      </c>
      <c r="AB723" s="80">
        <f>IF(AND(ISNUMBER(B723),D723&lt;&gt;"",ISNUMBER(Z723),ISNUMBER(AA723)),IF(Z723=AA723,0,1),0)</f>
        <v>0</v>
      </c>
      <c r="AC723" s="80">
        <f>IF(AB723=1,IF(AA723&lt;Z723,1,0),0)</f>
        <v>0</v>
      </c>
      <c r="AD723" s="80">
        <f>IF(AB723=1,IF(AC723=1,1440-Z723+AA723,AA723-Z723),0)</f>
        <v>0</v>
      </c>
      <c r="AE723" s="80">
        <f>IF(J723="",0,IF(ISNUMBER(J723),J723,-1))</f>
        <v>0</v>
      </c>
      <c r="AF723" s="80">
        <f>MIN(MAX(0,AE723),AD723)</f>
        <v>0</v>
      </c>
      <c r="AG723" s="80">
        <f>MAX(0,AD723-MAX(0,AE723))</f>
        <v>0</v>
      </c>
      <c r="AH723" s="80">
        <f>IF(ISNUMBER(B723),IF(AND(INDEX(CFG_WDAYS,WEEKDAY(INT(B723),2))="Sí",IF(D723="proMX",COUNTIFS(FER_F,INT(B723),FER_NLP,"Sí"),COUNTIFS(FER_F,INT(B723),FER_NLM,"Sí"))=0),1,0),0)</f>
        <v>0</v>
      </c>
      <c r="AI723" s="80">
        <f>IF(AC723=1,IF(AND(INDEX(CFG_WDAYS,WEEKDAY(INT(B723)+1,2))="Sí",IF(D723="proMX",COUNTIFS(FER_F,INT(B723)+1,FER_NLP,"Sí"),COUNTIFS(FER_F,INT(B723)+1,FER_NLM,"Sí"))=0),1,0),0)</f>
        <v>0</v>
      </c>
      <c r="AJ723" s="80">
        <f>IF(AC723=1,1440-Z723,AD723)</f>
        <v>0</v>
      </c>
      <c r="AK723" s="80">
        <f>IF(AND(AB723=1,AH723=1),MAX(0,MIN(IF(AC723=1,1440,AA723),CFG_WEM)-MAX(Z723,CFG_WSM)),0)</f>
        <v>0</v>
      </c>
      <c r="AL723" s="80">
        <f>IF(AND(AC723=1,AI723=1),MAX(0,MIN(AA723,CFG_WEM)-CFG_WSM),0)</f>
        <v>0</v>
      </c>
      <c r="AM723" s="80">
        <f>AK723+AL723</f>
        <v>0</v>
      </c>
      <c r="AN723" s="80">
        <f>IF(CFG_BRK="Proporcional",IF(AD723=0,0,AF723*AM723/AD723),IF(CFG_BRK="Extras primero",MIN(AM723,MAX(0,AF723-(AD723-AM723))),MIN(AF723,AM723)))</f>
        <v>0</v>
      </c>
      <c r="AO723" s="80">
        <f>AF723-AN723</f>
        <v>0</v>
      </c>
      <c r="AP723" s="80">
        <f>AM723-AN723</f>
        <v>0</v>
      </c>
      <c r="AQ723" s="80">
        <f>AD723-AM723-AO723</f>
        <v>0</v>
      </c>
      <c r="AR723" s="80">
        <f>IF(AM723=0,0,AK723-AN723*AK723/AM723)</f>
        <v>0</v>
      </c>
      <c r="AS723" s="80">
        <f>IF(AD723-AM723=0,0,(AJ723-AK723)-AO723*(AJ723-AK723)/(AD723-AM723))</f>
        <v>0</v>
      </c>
      <c r="AT723" s="80" t="str">
        <f>IF(AC723=1,INT(B723)+1,"")</f>
        <v/>
      </c>
      <c r="AU723" s="80">
        <f>IF(AND(D723="proMX",R723="Cancelled"),0,1)</f>
        <v>1</v>
      </c>
      <c r="AV723" s="80">
        <f>IF(AND(AB723=1,AU723=1),IF(COUNTIFS($D$5:D722,D723,$B$5:B722,B723,$Z$5:Z722,Z723,$AA$5:AA722,AA723,$F$5:F722,F723&amp;"",$AU$5:AU722,1)&gt;0,1,0),0)</f>
        <v>0</v>
      </c>
      <c r="AW723" s="80" t="str">
        <f>IF(AB723=1,INT(B723)*1440+Z723,"")</f>
        <v/>
      </c>
      <c r="AX723" s="80" t="str">
        <f>IF(AB723=1,AW723+AD723,"")</f>
        <v/>
      </c>
      <c r="AY723" s="80">
        <f>IF(AND(AB723=1,AV723=0,AU723=1),1,0)</f>
        <v>0</v>
      </c>
      <c r="AZ723" s="80">
        <f>IF(AY723=1,COUNTIFS(R_Emp,D723,R_SAbs,"&lt;"&amp;AX723,R_EAbs,"&gt;"&amp;AW723,R_OKey,1)-1,0)</f>
        <v>0</v>
      </c>
      <c r="BA723" s="80">
        <f>IF(AY723=1,COUNTIFS(R_Emp,"&lt;&gt;"&amp;D723,R_SAbs,"&lt;"&amp;AX723,R_EAbs,"&gt;"&amp;AW723,R_OKey,1),0)</f>
        <v>0</v>
      </c>
      <c r="BB723" s="80">
        <f>IF(AND(AB723=1,D723="proMX"),IF(AND(MOD(Z723,CFG_BLK)=0,MOD(AA723,CFG_BLK)=0,MOD(AG723,CFG_BLK)=0,AG723&gt;0),1,0),1)</f>
        <v>1</v>
      </c>
      <c r="BC723" s="80" t="str">
        <f>IF(Y723=0,"",IF(NOT(ISNUMBER(B723)),"Falta fecha o fecha inválida",IF(D723="","Falta empresa",IF(AND(D723&lt;&gt;"Malcolm",D723&lt;&gt;"proMX"),"Empresa inválida",IF(OR(INT(B723)&lt;CFG_PSTART,INT(B723)&gt;CFG_PEND),"Fecha fuera del período",IF(OR(NOT(ISNUMBER(Z723)),NOT(ISNUMBER(AA723))),"Falta hora inicio/fin o formato inválido",IF(AB723=0,"Hora inicio = hora fin",IF(AE723&lt;0,"Descanso inválido",IF(AE723&gt;=AD723,"Descanso ≥ duración",IF(AV723=1,"Registro duplicado",IF(AZ723&gt;0,"Se superpone con otro registro "&amp;D723,IF(BB723=0,"inicio, fin y duración neta deben ser múltiplos de "&amp;CFG_BLK&amp;" min",""))))))))))))</f>
        <v/>
      </c>
      <c r="BD723" s="80">
        <f>IF(AND(Y723=1,BC723=""),1,0)</f>
        <v>0</v>
      </c>
      <c r="BE723" s="80">
        <f>IF(AND(BD723=1,AU723=1),1,0)</f>
        <v>0</v>
      </c>
      <c r="BF723" s="80" t="str">
        <f>IF(AND(D723="proMX",BD723=1),IF(R723="","Draft",R723),"")</f>
        <v/>
      </c>
      <c r="BG723" s="80">
        <f>IF(BD723=1,ROUND(AG723/60,6),0)</f>
        <v>0</v>
      </c>
      <c r="BH723" s="80">
        <f>IF(BE723=1,ROUND(AG723/60,6),0)</f>
        <v>0</v>
      </c>
      <c r="BI723" s="80">
        <f>IF(BE723=1,ROUND(AP723/60,6),0)</f>
        <v>0</v>
      </c>
      <c r="BJ723" s="80">
        <f>IF(BE723=1,ROUND(AQ723/60,6),0)</f>
        <v>0</v>
      </c>
      <c r="BK723" s="80">
        <f>IF(BE723=1,ROUND((AR723+AS723)/60,6),0)</f>
        <v>0</v>
      </c>
      <c r="BL723" s="80">
        <f>ROUND(BH723-BK723,6)</f>
        <v>0</v>
      </c>
      <c r="BM723" s="80">
        <f>IF(BE723=1,ROUND(AR723/60,6),0)</f>
        <v>0</v>
      </c>
      <c r="BN723" s="80">
        <f>ROUND(BI723-BM723,6)</f>
        <v>0</v>
      </c>
      <c r="BO723" s="80">
        <f>IF(BE723=1,ROUND(AS723/60,6),0)</f>
        <v>0</v>
      </c>
      <c r="BP723" s="80">
        <f>ROUND(BJ723-BO723,6)</f>
        <v>0</v>
      </c>
      <c r="BQ723" s="80">
        <f>IF(BE723=1,AW723,0)</f>
        <v>0</v>
      </c>
      <c r="BR723" s="80">
        <f>IF(BE723=1,AX723,0)</f>
        <v>0</v>
      </c>
      <c r="BS723" s="80">
        <f>IF(AND(BE723=1,D723="Malcolm",BA723&gt;0),MIN(BH723,SUMPRODUCT((R_Emp="proMX")*(R_EN&gt;0)*((R_EN-(R_EN&gt;BR723)*(R_EN-BR723))&gt;(R_SN+(R_SN&lt;BQ723)*(BQ723-R_SN)))*((R_EN-(R_EN&gt;BR723)*(R_EN-BR723))-(R_SN+(R_SN&lt;BQ723)*(BQ723-R_SN))))/60),0)</f>
        <v>0</v>
      </c>
      <c r="BT723" s="80">
        <f>IF(AND(BE723=1,D723="proMX"),ROUND(BI723*CFG_RATE+BJ723*CFG_OTRATE,6),0)</f>
        <v>0</v>
      </c>
      <c r="BU723" s="80">
        <f>IF(AND(BD723=1,D723="proMX"),ROUND(AG723/CFG_BLK,6),0)</f>
        <v>0</v>
      </c>
      <c r="BV723" s="80" t="str">
        <f>IF(BF723="Approved",IF(ISNUMBER(T723),INT(T723),INT(B723)),"")</f>
        <v/>
      </c>
      <c r="BW723" s="80">
        <f>IF(ISNUMBER(B723),IF(DB_MON="Todos",1,IF(AND(INT(B723)&gt;=DB_MS,INT(B723)&lt;=DB_ME),1,0)),0)</f>
        <v>0</v>
      </c>
      <c r="BX723" s="80">
        <f>IF(DB_PROJ="Todos",1,IF(E723&amp;""=DB_PROJ&amp;"",1,0))</f>
        <v>1</v>
      </c>
      <c r="BY723" s="80">
        <f>BW723*BX723</f>
        <v>0</v>
      </c>
      <c r="BZ723" s="80" t="str">
        <f>IF(Y723=1,F723&amp;IF(AND(F723&amp;""&lt;&gt;"",E723&amp;""&lt;&gt;"")," · ","")&amp;E723,"")</f>
        <v/>
      </c>
      <c r="CA723" s="80" t="str">
        <f>IF(AND(BD723=1,E723&amp;""&lt;&gt;""),IF(COUNTIFS($E$5:E722,E723,$BD$5:BD722,1)=0,MAX($CA$5:CA722)+1,""),"")</f>
        <v/>
      </c>
      <c r="CB723" s="80" t="str">
        <f>IF(AND(BE723=1,D723="Malcolm",E723&amp;""&lt;&gt;""),IF(COUNTIFS($D$5:D722,"Malcolm",$E$5:E722,E723,$BE$5:BE722,1)=0,MAX($CB$5:CB722)+1,""),"")</f>
        <v/>
      </c>
      <c r="CC723" s="80" t="str">
        <f>IF(AND(BD723=1,D723="proMX",E723&amp;""&lt;&gt;""),IF(COUNTIFS($D$5:D722,"proMX",$E$5:E722,E723,$BD$5:BD722,1)=0,MAX($CC$5:CC722)+1,""),"")</f>
        <v/>
      </c>
      <c r="CD723" s="80" t="str">
        <f>IF(AND(BE723=1,D723="Malcolm",F723&amp;""&lt;&gt;""),IF(COUNTIFS($D$5:D722,"Malcolm",$F$5:F722,F723,$BE$5:BE722,1)=0,MAX($CD$5:CD722)+1,""),"")</f>
        <v/>
      </c>
      <c r="CE723" s="80" t="str">
        <f>IF(AND(BD723=1,D723="proMX",F723&amp;""&lt;&gt;""),IF(COUNTIFS($D$5:D722,"proMX",$F$5:F722,F723,$BD$5:BD722,1)=0,MAX($CE$5:CE722)+1,""),"")</f>
        <v/>
      </c>
      <c r="CF723" s="80" t="str">
        <f>IF(AND(D723="proMX",BD723=1),IF(OR(BF723="Draft",BF723="Submitted",BF723="Returned",BF723="Recall Requested"),MAX($CF$5:CF722)+1,""),"")</f>
        <v/>
      </c>
      <c r="CG723" s="80">
        <f>IF(BD723=0,0,IF(D723="Malcolm",1,MATCH(BF723,{"Draft","Submitted","Approved","Returned","Recall Requested","Cancelled"},0)+1))</f>
        <v>0</v>
      </c>
      <c r="CH723" s="80">
        <f>IF(AND(BF723="Submitted",ISNUMBER(V723)),IF(V723&gt;CFG_MAXD,1,0),0)</f>
        <v>0</v>
      </c>
    </row>
    <row r="724">
      <c r="A724" s="71" t="str">
        <f>IF(Y724=1,ROW()-5,"")</f>
        <v/>
      </c>
      <c r="B724" s="72" t="n"/>
      <c r="C724" s="71" t="str">
        <f>IF(ISNUMBER(B724),CHOOSE(WEEKDAY(B724,2),"Lun","Mar","Mié","Jue","Vie","Sáb","Dom"),"")</f>
        <v/>
      </c>
      <c r="D724" s="73" t="n"/>
      <c r="E724" s="74" t="n"/>
      <c r="F724" s="74" t="n"/>
      <c r="G724" s="74" t="n"/>
      <c r="H724" s="75" t="n"/>
      <c r="I724" s="75" t="n"/>
      <c r="J724" s="76" t="n"/>
      <c r="K724" s="77" t="str">
        <f>IF(AB724=1,ROUND(AG724/60,4),"")</f>
        <v/>
      </c>
      <c r="L724" s="77" t="str">
        <f>IF(BD724=1,ROUND(AP724/60,4),"")</f>
        <v/>
      </c>
      <c r="M724" s="77" t="str">
        <f>IF(BD724=1,ROUND(AQ724/60,4),"")</f>
        <v/>
      </c>
      <c r="N724" s="71" t="str">
        <f>IF(AND(D724="proMX",AB724=1),ROUND(AG724/CFG_BLK,2),"")</f>
        <v/>
      </c>
      <c r="O724" s="77" t="str">
        <f>IF(D724="proMX",IF(BD724=1,ROUND(AG724/60,4),0),"")</f>
        <v/>
      </c>
      <c r="P724" s="78" t="str">
        <f>IF(Y724=0,"",IF(BD724=1,"OK",IF(D724="proMX","Revisar bloques: ","Revisar: ")&amp;BC724))</f>
        <v/>
      </c>
      <c r="Q724" s="78" t="str">
        <f>IF(NOT(ISNUMBER(B724)),"",IF(COUNTIFS(FER_F,INT(B724))&gt;0,"Feriado"&amp;IF(AH724=1," (laborable)"," (no laborable)"),IF(AH724=1,"Laborable",IF(WEEKDAY(B724,2)&gt;5,"Fin de semana","No laborable"))))</f>
        <v/>
      </c>
      <c r="R724" s="73" t="n"/>
      <c r="S724" s="72" t="n"/>
      <c r="T724" s="72" t="n"/>
      <c r="U724" s="74" t="n"/>
      <c r="V724" s="79" t="str">
        <f>IF(AND(D724="proMX",OR(R724="Submitted",R724="Recall Requested"),ISNUMBER(S724)),CFG_TODAY-INT(S724),"")</f>
        <v/>
      </c>
      <c r="W724" s="78" t="str">
        <f>IF(BD724=0,"",IF(BA724&gt;0,"⚠ Se superpone con un registro de la otra empresa",IF(D724="Malcolm",IF(COUNTA(R724,S724,T724)&gt;0,"Estado/fechas proMX se ignoran en Malcolm",""),IF(BF724="Cancelled","Cancelado: excluido de totales",IF(R724="","Sin estado: se trata como Draft",IF(BF724="Submitted",IF(ISNUMBER(V724),IF(V724&gt;CFG_MAXD,"⚠ "&amp;V724&amp;" días en Submitted (máx. "&amp;CFG_MAXD&amp;")",""),"Falta fecha de envío"),IF(BF724="Returned","⚠ Devuelto: corregir y reenviar",IF(BF724="Recall Requested","Retirada solicitada: pendiente",IF(AND(BF724="Approved",NOT(ISNUMBER(T724))),"Falta fecha de aprobación",IF(AND(ISNUMBER(S724),ISNUMBER(T724),T724&lt;S724),"Aprobación anterior al envío","")))))))))</f>
        <v/>
      </c>
      <c r="Y724" s="80">
        <f>IF(COUNTA(B724,D724,E724,F724,G724,H724,I724,J724,R724,S724,T724)&gt;0,1,0)</f>
        <v>0</v>
      </c>
      <c r="Z724" s="80" t="str">
        <f>IF(AND(ISNUMBER(H724),H724&gt;=0,H724&lt;1),ROUND(H724*1440,0),"")</f>
        <v/>
      </c>
      <c r="AA724" s="80" t="str">
        <f>IF(AND(ISNUMBER(I724),I724&gt;=0,I724&lt;1),ROUND(I724*1440,0),"")</f>
        <v/>
      </c>
      <c r="AB724" s="80">
        <f>IF(AND(ISNUMBER(B724),D724&lt;&gt;"",ISNUMBER(Z724),ISNUMBER(AA724)),IF(Z724=AA724,0,1),0)</f>
        <v>0</v>
      </c>
      <c r="AC724" s="80">
        <f>IF(AB724=1,IF(AA724&lt;Z724,1,0),0)</f>
        <v>0</v>
      </c>
      <c r="AD724" s="80">
        <f>IF(AB724=1,IF(AC724=1,1440-Z724+AA724,AA724-Z724),0)</f>
        <v>0</v>
      </c>
      <c r="AE724" s="80">
        <f>IF(J724="",0,IF(ISNUMBER(J724),J724,-1))</f>
        <v>0</v>
      </c>
      <c r="AF724" s="80">
        <f>MIN(MAX(0,AE724),AD724)</f>
        <v>0</v>
      </c>
      <c r="AG724" s="80">
        <f>MAX(0,AD724-MAX(0,AE724))</f>
        <v>0</v>
      </c>
      <c r="AH724" s="80">
        <f>IF(ISNUMBER(B724),IF(AND(INDEX(CFG_WDAYS,WEEKDAY(INT(B724),2))="Sí",IF(D724="proMX",COUNTIFS(FER_F,INT(B724),FER_NLP,"Sí"),COUNTIFS(FER_F,INT(B724),FER_NLM,"Sí"))=0),1,0),0)</f>
        <v>0</v>
      </c>
      <c r="AI724" s="80">
        <f>IF(AC724=1,IF(AND(INDEX(CFG_WDAYS,WEEKDAY(INT(B724)+1,2))="Sí",IF(D724="proMX",COUNTIFS(FER_F,INT(B724)+1,FER_NLP,"Sí"),COUNTIFS(FER_F,INT(B724)+1,FER_NLM,"Sí"))=0),1,0),0)</f>
        <v>0</v>
      </c>
      <c r="AJ724" s="80">
        <f>IF(AC724=1,1440-Z724,AD724)</f>
        <v>0</v>
      </c>
      <c r="AK724" s="80">
        <f>IF(AND(AB724=1,AH724=1),MAX(0,MIN(IF(AC724=1,1440,AA724),CFG_WEM)-MAX(Z724,CFG_WSM)),0)</f>
        <v>0</v>
      </c>
      <c r="AL724" s="80">
        <f>IF(AND(AC724=1,AI724=1),MAX(0,MIN(AA724,CFG_WEM)-CFG_WSM),0)</f>
        <v>0</v>
      </c>
      <c r="AM724" s="80">
        <f>AK724+AL724</f>
        <v>0</v>
      </c>
      <c r="AN724" s="80">
        <f>IF(CFG_BRK="Proporcional",IF(AD724=0,0,AF724*AM724/AD724),IF(CFG_BRK="Extras primero",MIN(AM724,MAX(0,AF724-(AD724-AM724))),MIN(AF724,AM724)))</f>
        <v>0</v>
      </c>
      <c r="AO724" s="80">
        <f>AF724-AN724</f>
        <v>0</v>
      </c>
      <c r="AP724" s="80">
        <f>AM724-AN724</f>
        <v>0</v>
      </c>
      <c r="AQ724" s="80">
        <f>AD724-AM724-AO724</f>
        <v>0</v>
      </c>
      <c r="AR724" s="80">
        <f>IF(AM724=0,0,AK724-AN724*AK724/AM724)</f>
        <v>0</v>
      </c>
      <c r="AS724" s="80">
        <f>IF(AD724-AM724=0,0,(AJ724-AK724)-AO724*(AJ724-AK724)/(AD724-AM724))</f>
        <v>0</v>
      </c>
      <c r="AT724" s="80" t="str">
        <f>IF(AC724=1,INT(B724)+1,"")</f>
        <v/>
      </c>
      <c r="AU724" s="80">
        <f>IF(AND(D724="proMX",R724="Cancelled"),0,1)</f>
        <v>1</v>
      </c>
      <c r="AV724" s="80">
        <f>IF(AND(AB724=1,AU724=1),IF(COUNTIFS($D$5:D723,D724,$B$5:B723,B724,$Z$5:Z723,Z724,$AA$5:AA723,AA724,$F$5:F723,F724&amp;"",$AU$5:AU723,1)&gt;0,1,0),0)</f>
        <v>0</v>
      </c>
      <c r="AW724" s="80" t="str">
        <f>IF(AB724=1,INT(B724)*1440+Z724,"")</f>
        <v/>
      </c>
      <c r="AX724" s="80" t="str">
        <f>IF(AB724=1,AW724+AD724,"")</f>
        <v/>
      </c>
      <c r="AY724" s="80">
        <f>IF(AND(AB724=1,AV724=0,AU724=1),1,0)</f>
        <v>0</v>
      </c>
      <c r="AZ724" s="80">
        <f>IF(AY724=1,COUNTIFS(R_Emp,D724,R_SAbs,"&lt;"&amp;AX724,R_EAbs,"&gt;"&amp;AW724,R_OKey,1)-1,0)</f>
        <v>0</v>
      </c>
      <c r="BA724" s="80">
        <f>IF(AY724=1,COUNTIFS(R_Emp,"&lt;&gt;"&amp;D724,R_SAbs,"&lt;"&amp;AX724,R_EAbs,"&gt;"&amp;AW724,R_OKey,1),0)</f>
        <v>0</v>
      </c>
      <c r="BB724" s="80">
        <f>IF(AND(AB724=1,D724="proMX"),IF(AND(MOD(Z724,CFG_BLK)=0,MOD(AA724,CFG_BLK)=0,MOD(AG724,CFG_BLK)=0,AG724&gt;0),1,0),1)</f>
        <v>1</v>
      </c>
      <c r="BC724" s="80" t="str">
        <f>IF(Y724=0,"",IF(NOT(ISNUMBER(B724)),"Falta fecha o fecha inválida",IF(D724="","Falta empresa",IF(AND(D724&lt;&gt;"Malcolm",D724&lt;&gt;"proMX"),"Empresa inválida",IF(OR(INT(B724)&lt;CFG_PSTART,INT(B724)&gt;CFG_PEND),"Fecha fuera del período",IF(OR(NOT(ISNUMBER(Z724)),NOT(ISNUMBER(AA724))),"Falta hora inicio/fin o formato inválido",IF(AB724=0,"Hora inicio = hora fin",IF(AE724&lt;0,"Descanso inválido",IF(AE724&gt;=AD724,"Descanso ≥ duración",IF(AV724=1,"Registro duplicado",IF(AZ724&gt;0,"Se superpone con otro registro "&amp;D724,IF(BB724=0,"inicio, fin y duración neta deben ser múltiplos de "&amp;CFG_BLK&amp;" min",""))))))))))))</f>
        <v/>
      </c>
      <c r="BD724" s="80">
        <f>IF(AND(Y724=1,BC724=""),1,0)</f>
        <v>0</v>
      </c>
      <c r="BE724" s="80">
        <f>IF(AND(BD724=1,AU724=1),1,0)</f>
        <v>0</v>
      </c>
      <c r="BF724" s="80" t="str">
        <f>IF(AND(D724="proMX",BD724=1),IF(R724="","Draft",R724),"")</f>
        <v/>
      </c>
      <c r="BG724" s="80">
        <f>IF(BD724=1,ROUND(AG724/60,6),0)</f>
        <v>0</v>
      </c>
      <c r="BH724" s="80">
        <f>IF(BE724=1,ROUND(AG724/60,6),0)</f>
        <v>0</v>
      </c>
      <c r="BI724" s="80">
        <f>IF(BE724=1,ROUND(AP724/60,6),0)</f>
        <v>0</v>
      </c>
      <c r="BJ724" s="80">
        <f>IF(BE724=1,ROUND(AQ724/60,6),0)</f>
        <v>0</v>
      </c>
      <c r="BK724" s="80">
        <f>IF(BE724=1,ROUND((AR724+AS724)/60,6),0)</f>
        <v>0</v>
      </c>
      <c r="BL724" s="80">
        <f>ROUND(BH724-BK724,6)</f>
        <v>0</v>
      </c>
      <c r="BM724" s="80">
        <f>IF(BE724=1,ROUND(AR724/60,6),0)</f>
        <v>0</v>
      </c>
      <c r="BN724" s="80">
        <f>ROUND(BI724-BM724,6)</f>
        <v>0</v>
      </c>
      <c r="BO724" s="80">
        <f>IF(BE724=1,ROUND(AS724/60,6),0)</f>
        <v>0</v>
      </c>
      <c r="BP724" s="80">
        <f>ROUND(BJ724-BO724,6)</f>
        <v>0</v>
      </c>
      <c r="BQ724" s="80">
        <f>IF(BE724=1,AW724,0)</f>
        <v>0</v>
      </c>
      <c r="BR724" s="80">
        <f>IF(BE724=1,AX724,0)</f>
        <v>0</v>
      </c>
      <c r="BS724" s="80">
        <f>IF(AND(BE724=1,D724="Malcolm",BA724&gt;0),MIN(BH724,SUMPRODUCT((R_Emp="proMX")*(R_EN&gt;0)*((R_EN-(R_EN&gt;BR724)*(R_EN-BR724))&gt;(R_SN+(R_SN&lt;BQ724)*(BQ724-R_SN)))*((R_EN-(R_EN&gt;BR724)*(R_EN-BR724))-(R_SN+(R_SN&lt;BQ724)*(BQ724-R_SN))))/60),0)</f>
        <v>0</v>
      </c>
      <c r="BT724" s="80">
        <f>IF(AND(BE724=1,D724="proMX"),ROUND(BI724*CFG_RATE+BJ724*CFG_OTRATE,6),0)</f>
        <v>0</v>
      </c>
      <c r="BU724" s="80">
        <f>IF(AND(BD724=1,D724="proMX"),ROUND(AG724/CFG_BLK,6),0)</f>
        <v>0</v>
      </c>
      <c r="BV724" s="80" t="str">
        <f>IF(BF724="Approved",IF(ISNUMBER(T724),INT(T724),INT(B724)),"")</f>
        <v/>
      </c>
      <c r="BW724" s="80">
        <f>IF(ISNUMBER(B724),IF(DB_MON="Todos",1,IF(AND(INT(B724)&gt;=DB_MS,INT(B724)&lt;=DB_ME),1,0)),0)</f>
        <v>0</v>
      </c>
      <c r="BX724" s="80">
        <f>IF(DB_PROJ="Todos",1,IF(E724&amp;""=DB_PROJ&amp;"",1,0))</f>
        <v>1</v>
      </c>
      <c r="BY724" s="80">
        <f>BW724*BX724</f>
        <v>0</v>
      </c>
      <c r="BZ724" s="80" t="str">
        <f>IF(Y724=1,F724&amp;IF(AND(F724&amp;""&lt;&gt;"",E724&amp;""&lt;&gt;"")," · ","")&amp;E724,"")</f>
        <v/>
      </c>
      <c r="CA724" s="80" t="str">
        <f>IF(AND(BD724=1,E724&amp;""&lt;&gt;""),IF(COUNTIFS($E$5:E723,E724,$BD$5:BD723,1)=0,MAX($CA$5:CA723)+1,""),"")</f>
        <v/>
      </c>
      <c r="CB724" s="80" t="str">
        <f>IF(AND(BE724=1,D724="Malcolm",E724&amp;""&lt;&gt;""),IF(COUNTIFS($D$5:D723,"Malcolm",$E$5:E723,E724,$BE$5:BE723,1)=0,MAX($CB$5:CB723)+1,""),"")</f>
        <v/>
      </c>
      <c r="CC724" s="80" t="str">
        <f>IF(AND(BD724=1,D724="proMX",E724&amp;""&lt;&gt;""),IF(COUNTIFS($D$5:D723,"proMX",$E$5:E723,E724,$BD$5:BD723,1)=0,MAX($CC$5:CC723)+1,""),"")</f>
        <v/>
      </c>
      <c r="CD724" s="80" t="str">
        <f>IF(AND(BE724=1,D724="Malcolm",F724&amp;""&lt;&gt;""),IF(COUNTIFS($D$5:D723,"Malcolm",$F$5:F723,F724,$BE$5:BE723,1)=0,MAX($CD$5:CD723)+1,""),"")</f>
        <v/>
      </c>
      <c r="CE724" s="80" t="str">
        <f>IF(AND(BD724=1,D724="proMX",F724&amp;""&lt;&gt;""),IF(COUNTIFS($D$5:D723,"proMX",$F$5:F723,F724,$BD$5:BD723,1)=0,MAX($CE$5:CE723)+1,""),"")</f>
        <v/>
      </c>
      <c r="CF724" s="80" t="str">
        <f>IF(AND(D724="proMX",BD724=1),IF(OR(BF724="Draft",BF724="Submitted",BF724="Returned",BF724="Recall Requested"),MAX($CF$5:CF723)+1,""),"")</f>
        <v/>
      </c>
      <c r="CG724" s="80">
        <f>IF(BD724=0,0,IF(D724="Malcolm",1,MATCH(BF724,{"Draft","Submitted","Approved","Returned","Recall Requested","Cancelled"},0)+1))</f>
        <v>0</v>
      </c>
      <c r="CH724" s="80">
        <f>IF(AND(BF724="Submitted",ISNUMBER(V724)),IF(V724&gt;CFG_MAXD,1,0),0)</f>
        <v>0</v>
      </c>
    </row>
    <row r="725">
      <c r="A725" s="71" t="str">
        <f>IF(Y725=1,ROW()-5,"")</f>
        <v/>
      </c>
      <c r="B725" s="72" t="n"/>
      <c r="C725" s="71" t="str">
        <f>IF(ISNUMBER(B725),CHOOSE(WEEKDAY(B725,2),"Lun","Mar","Mié","Jue","Vie","Sáb","Dom"),"")</f>
        <v/>
      </c>
      <c r="D725" s="73" t="n"/>
      <c r="E725" s="74" t="n"/>
      <c r="F725" s="74" t="n"/>
      <c r="G725" s="74" t="n"/>
      <c r="H725" s="75" t="n"/>
      <c r="I725" s="75" t="n"/>
      <c r="J725" s="76" t="n"/>
      <c r="K725" s="77" t="str">
        <f>IF(AB725=1,ROUND(AG725/60,4),"")</f>
        <v/>
      </c>
      <c r="L725" s="77" t="str">
        <f>IF(BD725=1,ROUND(AP725/60,4),"")</f>
        <v/>
      </c>
      <c r="M725" s="77" t="str">
        <f>IF(BD725=1,ROUND(AQ725/60,4),"")</f>
        <v/>
      </c>
      <c r="N725" s="71" t="str">
        <f>IF(AND(D725="proMX",AB725=1),ROUND(AG725/CFG_BLK,2),"")</f>
        <v/>
      </c>
      <c r="O725" s="77" t="str">
        <f>IF(D725="proMX",IF(BD725=1,ROUND(AG725/60,4),0),"")</f>
        <v/>
      </c>
      <c r="P725" s="78" t="str">
        <f>IF(Y725=0,"",IF(BD725=1,"OK",IF(D725="proMX","Revisar bloques: ","Revisar: ")&amp;BC725))</f>
        <v/>
      </c>
      <c r="Q725" s="78" t="str">
        <f>IF(NOT(ISNUMBER(B725)),"",IF(COUNTIFS(FER_F,INT(B725))&gt;0,"Feriado"&amp;IF(AH725=1," (laborable)"," (no laborable)"),IF(AH725=1,"Laborable",IF(WEEKDAY(B725,2)&gt;5,"Fin de semana","No laborable"))))</f>
        <v/>
      </c>
      <c r="R725" s="73" t="n"/>
      <c r="S725" s="72" t="n"/>
      <c r="T725" s="72" t="n"/>
      <c r="U725" s="74" t="n"/>
      <c r="V725" s="79" t="str">
        <f>IF(AND(D725="proMX",OR(R725="Submitted",R725="Recall Requested"),ISNUMBER(S725)),CFG_TODAY-INT(S725),"")</f>
        <v/>
      </c>
      <c r="W725" s="78" t="str">
        <f>IF(BD725=0,"",IF(BA725&gt;0,"⚠ Se superpone con un registro de la otra empresa",IF(D725="Malcolm",IF(COUNTA(R725,S725,T725)&gt;0,"Estado/fechas proMX se ignoran en Malcolm",""),IF(BF725="Cancelled","Cancelado: excluido de totales",IF(R725="","Sin estado: se trata como Draft",IF(BF725="Submitted",IF(ISNUMBER(V725),IF(V725&gt;CFG_MAXD,"⚠ "&amp;V725&amp;" días en Submitted (máx. "&amp;CFG_MAXD&amp;")",""),"Falta fecha de envío"),IF(BF725="Returned","⚠ Devuelto: corregir y reenviar",IF(BF725="Recall Requested","Retirada solicitada: pendiente",IF(AND(BF725="Approved",NOT(ISNUMBER(T725))),"Falta fecha de aprobación",IF(AND(ISNUMBER(S725),ISNUMBER(T725),T725&lt;S725),"Aprobación anterior al envío","")))))))))</f>
        <v/>
      </c>
      <c r="Y725" s="80">
        <f>IF(COUNTA(B725,D725,E725,F725,G725,H725,I725,J725,R725,S725,T725)&gt;0,1,0)</f>
        <v>0</v>
      </c>
      <c r="Z725" s="80" t="str">
        <f>IF(AND(ISNUMBER(H725),H725&gt;=0,H725&lt;1),ROUND(H725*1440,0),"")</f>
        <v/>
      </c>
      <c r="AA725" s="80" t="str">
        <f>IF(AND(ISNUMBER(I725),I725&gt;=0,I725&lt;1),ROUND(I725*1440,0),"")</f>
        <v/>
      </c>
      <c r="AB725" s="80">
        <f>IF(AND(ISNUMBER(B725),D725&lt;&gt;"",ISNUMBER(Z725),ISNUMBER(AA725)),IF(Z725=AA725,0,1),0)</f>
        <v>0</v>
      </c>
      <c r="AC725" s="80">
        <f>IF(AB725=1,IF(AA725&lt;Z725,1,0),0)</f>
        <v>0</v>
      </c>
      <c r="AD725" s="80">
        <f>IF(AB725=1,IF(AC725=1,1440-Z725+AA725,AA725-Z725),0)</f>
        <v>0</v>
      </c>
      <c r="AE725" s="80">
        <f>IF(J725="",0,IF(ISNUMBER(J725),J725,-1))</f>
        <v>0</v>
      </c>
      <c r="AF725" s="80">
        <f>MIN(MAX(0,AE725),AD725)</f>
        <v>0</v>
      </c>
      <c r="AG725" s="80">
        <f>MAX(0,AD725-MAX(0,AE725))</f>
        <v>0</v>
      </c>
      <c r="AH725" s="80">
        <f>IF(ISNUMBER(B725),IF(AND(INDEX(CFG_WDAYS,WEEKDAY(INT(B725),2))="Sí",IF(D725="proMX",COUNTIFS(FER_F,INT(B725),FER_NLP,"Sí"),COUNTIFS(FER_F,INT(B725),FER_NLM,"Sí"))=0),1,0),0)</f>
        <v>0</v>
      </c>
      <c r="AI725" s="80">
        <f>IF(AC725=1,IF(AND(INDEX(CFG_WDAYS,WEEKDAY(INT(B725)+1,2))="Sí",IF(D725="proMX",COUNTIFS(FER_F,INT(B725)+1,FER_NLP,"Sí"),COUNTIFS(FER_F,INT(B725)+1,FER_NLM,"Sí"))=0),1,0),0)</f>
        <v>0</v>
      </c>
      <c r="AJ725" s="80">
        <f>IF(AC725=1,1440-Z725,AD725)</f>
        <v>0</v>
      </c>
      <c r="AK725" s="80">
        <f>IF(AND(AB725=1,AH725=1),MAX(0,MIN(IF(AC725=1,1440,AA725),CFG_WEM)-MAX(Z725,CFG_WSM)),0)</f>
        <v>0</v>
      </c>
      <c r="AL725" s="80">
        <f>IF(AND(AC725=1,AI725=1),MAX(0,MIN(AA725,CFG_WEM)-CFG_WSM),0)</f>
        <v>0</v>
      </c>
      <c r="AM725" s="80">
        <f>AK725+AL725</f>
        <v>0</v>
      </c>
      <c r="AN725" s="80">
        <f>IF(CFG_BRK="Proporcional",IF(AD725=0,0,AF725*AM725/AD725),IF(CFG_BRK="Extras primero",MIN(AM725,MAX(0,AF725-(AD725-AM725))),MIN(AF725,AM725)))</f>
        <v>0</v>
      </c>
      <c r="AO725" s="80">
        <f>AF725-AN725</f>
        <v>0</v>
      </c>
      <c r="AP725" s="80">
        <f>AM725-AN725</f>
        <v>0</v>
      </c>
      <c r="AQ725" s="80">
        <f>AD725-AM725-AO725</f>
        <v>0</v>
      </c>
      <c r="AR725" s="80">
        <f>IF(AM725=0,0,AK725-AN725*AK725/AM725)</f>
        <v>0</v>
      </c>
      <c r="AS725" s="80">
        <f>IF(AD725-AM725=0,0,(AJ725-AK725)-AO725*(AJ725-AK725)/(AD725-AM725))</f>
        <v>0</v>
      </c>
      <c r="AT725" s="80" t="str">
        <f>IF(AC725=1,INT(B725)+1,"")</f>
        <v/>
      </c>
      <c r="AU725" s="80">
        <f>IF(AND(D725="proMX",R725="Cancelled"),0,1)</f>
        <v>1</v>
      </c>
      <c r="AV725" s="80">
        <f>IF(AND(AB725=1,AU725=1),IF(COUNTIFS($D$5:D724,D725,$B$5:B724,B725,$Z$5:Z724,Z725,$AA$5:AA724,AA725,$F$5:F724,F725&amp;"",$AU$5:AU724,1)&gt;0,1,0),0)</f>
        <v>0</v>
      </c>
      <c r="AW725" s="80" t="str">
        <f>IF(AB725=1,INT(B725)*1440+Z725,"")</f>
        <v/>
      </c>
      <c r="AX725" s="80" t="str">
        <f>IF(AB725=1,AW725+AD725,"")</f>
        <v/>
      </c>
      <c r="AY725" s="80">
        <f>IF(AND(AB725=1,AV725=0,AU725=1),1,0)</f>
        <v>0</v>
      </c>
      <c r="AZ725" s="80">
        <f>IF(AY725=1,COUNTIFS(R_Emp,D725,R_SAbs,"&lt;"&amp;AX725,R_EAbs,"&gt;"&amp;AW725,R_OKey,1)-1,0)</f>
        <v>0</v>
      </c>
      <c r="BA725" s="80">
        <f>IF(AY725=1,COUNTIFS(R_Emp,"&lt;&gt;"&amp;D725,R_SAbs,"&lt;"&amp;AX725,R_EAbs,"&gt;"&amp;AW725,R_OKey,1),0)</f>
        <v>0</v>
      </c>
      <c r="BB725" s="80">
        <f>IF(AND(AB725=1,D725="proMX"),IF(AND(MOD(Z725,CFG_BLK)=0,MOD(AA725,CFG_BLK)=0,MOD(AG725,CFG_BLK)=0,AG725&gt;0),1,0),1)</f>
        <v>1</v>
      </c>
      <c r="BC725" s="80" t="str">
        <f>IF(Y725=0,"",IF(NOT(ISNUMBER(B725)),"Falta fecha o fecha inválida",IF(D725="","Falta empresa",IF(AND(D725&lt;&gt;"Malcolm",D725&lt;&gt;"proMX"),"Empresa inválida",IF(OR(INT(B725)&lt;CFG_PSTART,INT(B725)&gt;CFG_PEND),"Fecha fuera del período",IF(OR(NOT(ISNUMBER(Z725)),NOT(ISNUMBER(AA725))),"Falta hora inicio/fin o formato inválido",IF(AB725=0,"Hora inicio = hora fin",IF(AE725&lt;0,"Descanso inválido",IF(AE725&gt;=AD725,"Descanso ≥ duración",IF(AV725=1,"Registro duplicado",IF(AZ725&gt;0,"Se superpone con otro registro "&amp;D725,IF(BB725=0,"inicio, fin y duración neta deben ser múltiplos de "&amp;CFG_BLK&amp;" min",""))))))))))))</f>
        <v/>
      </c>
      <c r="BD725" s="80">
        <f>IF(AND(Y725=1,BC725=""),1,0)</f>
        <v>0</v>
      </c>
      <c r="BE725" s="80">
        <f>IF(AND(BD725=1,AU725=1),1,0)</f>
        <v>0</v>
      </c>
      <c r="BF725" s="80" t="str">
        <f>IF(AND(D725="proMX",BD725=1),IF(R725="","Draft",R725),"")</f>
        <v/>
      </c>
      <c r="BG725" s="80">
        <f>IF(BD725=1,ROUND(AG725/60,6),0)</f>
        <v>0</v>
      </c>
      <c r="BH725" s="80">
        <f>IF(BE725=1,ROUND(AG725/60,6),0)</f>
        <v>0</v>
      </c>
      <c r="BI725" s="80">
        <f>IF(BE725=1,ROUND(AP725/60,6),0)</f>
        <v>0</v>
      </c>
      <c r="BJ725" s="80">
        <f>IF(BE725=1,ROUND(AQ725/60,6),0)</f>
        <v>0</v>
      </c>
      <c r="BK725" s="80">
        <f>IF(BE725=1,ROUND((AR725+AS725)/60,6),0)</f>
        <v>0</v>
      </c>
      <c r="BL725" s="80">
        <f>ROUND(BH725-BK725,6)</f>
        <v>0</v>
      </c>
      <c r="BM725" s="80">
        <f>IF(BE725=1,ROUND(AR725/60,6),0)</f>
        <v>0</v>
      </c>
      <c r="BN725" s="80">
        <f>ROUND(BI725-BM725,6)</f>
        <v>0</v>
      </c>
      <c r="BO725" s="80">
        <f>IF(BE725=1,ROUND(AS725/60,6),0)</f>
        <v>0</v>
      </c>
      <c r="BP725" s="80">
        <f>ROUND(BJ725-BO725,6)</f>
        <v>0</v>
      </c>
      <c r="BQ725" s="80">
        <f>IF(BE725=1,AW725,0)</f>
        <v>0</v>
      </c>
      <c r="BR725" s="80">
        <f>IF(BE725=1,AX725,0)</f>
        <v>0</v>
      </c>
      <c r="BS725" s="80">
        <f>IF(AND(BE725=1,D725="Malcolm",BA725&gt;0),MIN(BH725,SUMPRODUCT((R_Emp="proMX")*(R_EN&gt;0)*((R_EN-(R_EN&gt;BR725)*(R_EN-BR725))&gt;(R_SN+(R_SN&lt;BQ725)*(BQ725-R_SN)))*((R_EN-(R_EN&gt;BR725)*(R_EN-BR725))-(R_SN+(R_SN&lt;BQ725)*(BQ725-R_SN))))/60),0)</f>
        <v>0</v>
      </c>
      <c r="BT725" s="80">
        <f>IF(AND(BE725=1,D725="proMX"),ROUND(BI725*CFG_RATE+BJ725*CFG_OTRATE,6),0)</f>
        <v>0</v>
      </c>
      <c r="BU725" s="80">
        <f>IF(AND(BD725=1,D725="proMX"),ROUND(AG725/CFG_BLK,6),0)</f>
        <v>0</v>
      </c>
      <c r="BV725" s="80" t="str">
        <f>IF(BF725="Approved",IF(ISNUMBER(T725),INT(T725),INT(B725)),"")</f>
        <v/>
      </c>
      <c r="BW725" s="80">
        <f>IF(ISNUMBER(B725),IF(DB_MON="Todos",1,IF(AND(INT(B725)&gt;=DB_MS,INT(B725)&lt;=DB_ME),1,0)),0)</f>
        <v>0</v>
      </c>
      <c r="BX725" s="80">
        <f>IF(DB_PROJ="Todos",1,IF(E725&amp;""=DB_PROJ&amp;"",1,0))</f>
        <v>1</v>
      </c>
      <c r="BY725" s="80">
        <f>BW725*BX725</f>
        <v>0</v>
      </c>
      <c r="BZ725" s="80" t="str">
        <f>IF(Y725=1,F725&amp;IF(AND(F725&amp;""&lt;&gt;"",E725&amp;""&lt;&gt;"")," · ","")&amp;E725,"")</f>
        <v/>
      </c>
      <c r="CA725" s="80" t="str">
        <f>IF(AND(BD725=1,E725&amp;""&lt;&gt;""),IF(COUNTIFS($E$5:E724,E725,$BD$5:BD724,1)=0,MAX($CA$5:CA724)+1,""),"")</f>
        <v/>
      </c>
      <c r="CB725" s="80" t="str">
        <f>IF(AND(BE725=1,D725="Malcolm",E725&amp;""&lt;&gt;""),IF(COUNTIFS($D$5:D724,"Malcolm",$E$5:E724,E725,$BE$5:BE724,1)=0,MAX($CB$5:CB724)+1,""),"")</f>
        <v/>
      </c>
      <c r="CC725" s="80" t="str">
        <f>IF(AND(BD725=1,D725="proMX",E725&amp;""&lt;&gt;""),IF(COUNTIFS($D$5:D724,"proMX",$E$5:E724,E725,$BD$5:BD724,1)=0,MAX($CC$5:CC724)+1,""),"")</f>
        <v/>
      </c>
      <c r="CD725" s="80" t="str">
        <f>IF(AND(BE725=1,D725="Malcolm",F725&amp;""&lt;&gt;""),IF(COUNTIFS($D$5:D724,"Malcolm",$F$5:F724,F725,$BE$5:BE724,1)=0,MAX($CD$5:CD724)+1,""),"")</f>
        <v/>
      </c>
      <c r="CE725" s="80" t="str">
        <f>IF(AND(BD725=1,D725="proMX",F725&amp;""&lt;&gt;""),IF(COUNTIFS($D$5:D724,"proMX",$F$5:F724,F725,$BD$5:BD724,1)=0,MAX($CE$5:CE724)+1,""),"")</f>
        <v/>
      </c>
      <c r="CF725" s="80" t="str">
        <f>IF(AND(D725="proMX",BD725=1),IF(OR(BF725="Draft",BF725="Submitted",BF725="Returned",BF725="Recall Requested"),MAX($CF$5:CF724)+1,""),"")</f>
        <v/>
      </c>
      <c r="CG725" s="80">
        <f>IF(BD725=0,0,IF(D725="Malcolm",1,MATCH(BF725,{"Draft","Submitted","Approved","Returned","Recall Requested","Cancelled"},0)+1))</f>
        <v>0</v>
      </c>
      <c r="CH725" s="80">
        <f>IF(AND(BF725="Submitted",ISNUMBER(V725)),IF(V725&gt;CFG_MAXD,1,0),0)</f>
        <v>0</v>
      </c>
    </row>
    <row r="726">
      <c r="A726" s="71" t="str">
        <f>IF(Y726=1,ROW()-5,"")</f>
        <v/>
      </c>
      <c r="B726" s="72" t="n"/>
      <c r="C726" s="71" t="str">
        <f>IF(ISNUMBER(B726),CHOOSE(WEEKDAY(B726,2),"Lun","Mar","Mié","Jue","Vie","Sáb","Dom"),"")</f>
        <v/>
      </c>
      <c r="D726" s="73" t="n"/>
      <c r="E726" s="74" t="n"/>
      <c r="F726" s="74" t="n"/>
      <c r="G726" s="74" t="n"/>
      <c r="H726" s="75" t="n"/>
      <c r="I726" s="75" t="n"/>
      <c r="J726" s="76" t="n"/>
      <c r="K726" s="77" t="str">
        <f>IF(AB726=1,ROUND(AG726/60,4),"")</f>
        <v/>
      </c>
      <c r="L726" s="77" t="str">
        <f>IF(BD726=1,ROUND(AP726/60,4),"")</f>
        <v/>
      </c>
      <c r="M726" s="77" t="str">
        <f>IF(BD726=1,ROUND(AQ726/60,4),"")</f>
        <v/>
      </c>
      <c r="N726" s="71" t="str">
        <f>IF(AND(D726="proMX",AB726=1),ROUND(AG726/CFG_BLK,2),"")</f>
        <v/>
      </c>
      <c r="O726" s="77" t="str">
        <f>IF(D726="proMX",IF(BD726=1,ROUND(AG726/60,4),0),"")</f>
        <v/>
      </c>
      <c r="P726" s="78" t="str">
        <f>IF(Y726=0,"",IF(BD726=1,"OK",IF(D726="proMX","Revisar bloques: ","Revisar: ")&amp;BC726))</f>
        <v/>
      </c>
      <c r="Q726" s="78" t="str">
        <f>IF(NOT(ISNUMBER(B726)),"",IF(COUNTIFS(FER_F,INT(B726))&gt;0,"Feriado"&amp;IF(AH726=1," (laborable)"," (no laborable)"),IF(AH726=1,"Laborable",IF(WEEKDAY(B726,2)&gt;5,"Fin de semana","No laborable"))))</f>
        <v/>
      </c>
      <c r="R726" s="73" t="n"/>
      <c r="S726" s="72" t="n"/>
      <c r="T726" s="72" t="n"/>
      <c r="U726" s="74" t="n"/>
      <c r="V726" s="79" t="str">
        <f>IF(AND(D726="proMX",OR(R726="Submitted",R726="Recall Requested"),ISNUMBER(S726)),CFG_TODAY-INT(S726),"")</f>
        <v/>
      </c>
      <c r="W726" s="78" t="str">
        <f>IF(BD726=0,"",IF(BA726&gt;0,"⚠ Se superpone con un registro de la otra empresa",IF(D726="Malcolm",IF(COUNTA(R726,S726,T726)&gt;0,"Estado/fechas proMX se ignoran en Malcolm",""),IF(BF726="Cancelled","Cancelado: excluido de totales",IF(R726="","Sin estado: se trata como Draft",IF(BF726="Submitted",IF(ISNUMBER(V726),IF(V726&gt;CFG_MAXD,"⚠ "&amp;V726&amp;" días en Submitted (máx. "&amp;CFG_MAXD&amp;")",""),"Falta fecha de envío"),IF(BF726="Returned","⚠ Devuelto: corregir y reenviar",IF(BF726="Recall Requested","Retirada solicitada: pendiente",IF(AND(BF726="Approved",NOT(ISNUMBER(T726))),"Falta fecha de aprobación",IF(AND(ISNUMBER(S726),ISNUMBER(T726),T726&lt;S726),"Aprobación anterior al envío","")))))))))</f>
        <v/>
      </c>
      <c r="Y726" s="80">
        <f>IF(COUNTA(B726,D726,E726,F726,G726,H726,I726,J726,R726,S726,T726)&gt;0,1,0)</f>
        <v>0</v>
      </c>
      <c r="Z726" s="80" t="str">
        <f>IF(AND(ISNUMBER(H726),H726&gt;=0,H726&lt;1),ROUND(H726*1440,0),"")</f>
        <v/>
      </c>
      <c r="AA726" s="80" t="str">
        <f>IF(AND(ISNUMBER(I726),I726&gt;=0,I726&lt;1),ROUND(I726*1440,0),"")</f>
        <v/>
      </c>
      <c r="AB726" s="80">
        <f>IF(AND(ISNUMBER(B726),D726&lt;&gt;"",ISNUMBER(Z726),ISNUMBER(AA726)),IF(Z726=AA726,0,1),0)</f>
        <v>0</v>
      </c>
      <c r="AC726" s="80">
        <f>IF(AB726=1,IF(AA726&lt;Z726,1,0),0)</f>
        <v>0</v>
      </c>
      <c r="AD726" s="80">
        <f>IF(AB726=1,IF(AC726=1,1440-Z726+AA726,AA726-Z726),0)</f>
        <v>0</v>
      </c>
      <c r="AE726" s="80">
        <f>IF(J726="",0,IF(ISNUMBER(J726),J726,-1))</f>
        <v>0</v>
      </c>
      <c r="AF726" s="80">
        <f>MIN(MAX(0,AE726),AD726)</f>
        <v>0</v>
      </c>
      <c r="AG726" s="80">
        <f>MAX(0,AD726-MAX(0,AE726))</f>
        <v>0</v>
      </c>
      <c r="AH726" s="80">
        <f>IF(ISNUMBER(B726),IF(AND(INDEX(CFG_WDAYS,WEEKDAY(INT(B726),2))="Sí",IF(D726="proMX",COUNTIFS(FER_F,INT(B726),FER_NLP,"Sí"),COUNTIFS(FER_F,INT(B726),FER_NLM,"Sí"))=0),1,0),0)</f>
        <v>0</v>
      </c>
      <c r="AI726" s="80">
        <f>IF(AC726=1,IF(AND(INDEX(CFG_WDAYS,WEEKDAY(INT(B726)+1,2))="Sí",IF(D726="proMX",COUNTIFS(FER_F,INT(B726)+1,FER_NLP,"Sí"),COUNTIFS(FER_F,INT(B726)+1,FER_NLM,"Sí"))=0),1,0),0)</f>
        <v>0</v>
      </c>
      <c r="AJ726" s="80">
        <f>IF(AC726=1,1440-Z726,AD726)</f>
        <v>0</v>
      </c>
      <c r="AK726" s="80">
        <f>IF(AND(AB726=1,AH726=1),MAX(0,MIN(IF(AC726=1,1440,AA726),CFG_WEM)-MAX(Z726,CFG_WSM)),0)</f>
        <v>0</v>
      </c>
      <c r="AL726" s="80">
        <f>IF(AND(AC726=1,AI726=1),MAX(0,MIN(AA726,CFG_WEM)-CFG_WSM),0)</f>
        <v>0</v>
      </c>
      <c r="AM726" s="80">
        <f>AK726+AL726</f>
        <v>0</v>
      </c>
      <c r="AN726" s="80">
        <f>IF(CFG_BRK="Proporcional",IF(AD726=0,0,AF726*AM726/AD726),IF(CFG_BRK="Extras primero",MIN(AM726,MAX(0,AF726-(AD726-AM726))),MIN(AF726,AM726)))</f>
        <v>0</v>
      </c>
      <c r="AO726" s="80">
        <f>AF726-AN726</f>
        <v>0</v>
      </c>
      <c r="AP726" s="80">
        <f>AM726-AN726</f>
        <v>0</v>
      </c>
      <c r="AQ726" s="80">
        <f>AD726-AM726-AO726</f>
        <v>0</v>
      </c>
      <c r="AR726" s="80">
        <f>IF(AM726=0,0,AK726-AN726*AK726/AM726)</f>
        <v>0</v>
      </c>
      <c r="AS726" s="80">
        <f>IF(AD726-AM726=0,0,(AJ726-AK726)-AO726*(AJ726-AK726)/(AD726-AM726))</f>
        <v>0</v>
      </c>
      <c r="AT726" s="80" t="str">
        <f>IF(AC726=1,INT(B726)+1,"")</f>
        <v/>
      </c>
      <c r="AU726" s="80">
        <f>IF(AND(D726="proMX",R726="Cancelled"),0,1)</f>
        <v>1</v>
      </c>
      <c r="AV726" s="80">
        <f>IF(AND(AB726=1,AU726=1),IF(COUNTIFS($D$5:D725,D726,$B$5:B725,B726,$Z$5:Z725,Z726,$AA$5:AA725,AA726,$F$5:F725,F726&amp;"",$AU$5:AU725,1)&gt;0,1,0),0)</f>
        <v>0</v>
      </c>
      <c r="AW726" s="80" t="str">
        <f>IF(AB726=1,INT(B726)*1440+Z726,"")</f>
        <v/>
      </c>
      <c r="AX726" s="80" t="str">
        <f>IF(AB726=1,AW726+AD726,"")</f>
        <v/>
      </c>
      <c r="AY726" s="80">
        <f>IF(AND(AB726=1,AV726=0,AU726=1),1,0)</f>
        <v>0</v>
      </c>
      <c r="AZ726" s="80">
        <f>IF(AY726=1,COUNTIFS(R_Emp,D726,R_SAbs,"&lt;"&amp;AX726,R_EAbs,"&gt;"&amp;AW726,R_OKey,1)-1,0)</f>
        <v>0</v>
      </c>
      <c r="BA726" s="80">
        <f>IF(AY726=1,COUNTIFS(R_Emp,"&lt;&gt;"&amp;D726,R_SAbs,"&lt;"&amp;AX726,R_EAbs,"&gt;"&amp;AW726,R_OKey,1),0)</f>
        <v>0</v>
      </c>
      <c r="BB726" s="80">
        <f>IF(AND(AB726=1,D726="proMX"),IF(AND(MOD(Z726,CFG_BLK)=0,MOD(AA726,CFG_BLK)=0,MOD(AG726,CFG_BLK)=0,AG726&gt;0),1,0),1)</f>
        <v>1</v>
      </c>
      <c r="BC726" s="80" t="str">
        <f>IF(Y726=0,"",IF(NOT(ISNUMBER(B726)),"Falta fecha o fecha inválida",IF(D726="","Falta empresa",IF(AND(D726&lt;&gt;"Malcolm",D726&lt;&gt;"proMX"),"Empresa inválida",IF(OR(INT(B726)&lt;CFG_PSTART,INT(B726)&gt;CFG_PEND),"Fecha fuera del período",IF(OR(NOT(ISNUMBER(Z726)),NOT(ISNUMBER(AA726))),"Falta hora inicio/fin o formato inválido",IF(AB726=0,"Hora inicio = hora fin",IF(AE726&lt;0,"Descanso inválido",IF(AE726&gt;=AD726,"Descanso ≥ duración",IF(AV726=1,"Registro duplicado",IF(AZ726&gt;0,"Se superpone con otro registro "&amp;D726,IF(BB726=0,"inicio, fin y duración neta deben ser múltiplos de "&amp;CFG_BLK&amp;" min",""))))))))))))</f>
        <v/>
      </c>
      <c r="BD726" s="80">
        <f>IF(AND(Y726=1,BC726=""),1,0)</f>
        <v>0</v>
      </c>
      <c r="BE726" s="80">
        <f>IF(AND(BD726=1,AU726=1),1,0)</f>
        <v>0</v>
      </c>
      <c r="BF726" s="80" t="str">
        <f>IF(AND(D726="proMX",BD726=1),IF(R726="","Draft",R726),"")</f>
        <v/>
      </c>
      <c r="BG726" s="80">
        <f>IF(BD726=1,ROUND(AG726/60,6),0)</f>
        <v>0</v>
      </c>
      <c r="BH726" s="80">
        <f>IF(BE726=1,ROUND(AG726/60,6),0)</f>
        <v>0</v>
      </c>
      <c r="BI726" s="80">
        <f>IF(BE726=1,ROUND(AP726/60,6),0)</f>
        <v>0</v>
      </c>
      <c r="BJ726" s="80">
        <f>IF(BE726=1,ROUND(AQ726/60,6),0)</f>
        <v>0</v>
      </c>
      <c r="BK726" s="80">
        <f>IF(BE726=1,ROUND((AR726+AS726)/60,6),0)</f>
        <v>0</v>
      </c>
      <c r="BL726" s="80">
        <f>ROUND(BH726-BK726,6)</f>
        <v>0</v>
      </c>
      <c r="BM726" s="80">
        <f>IF(BE726=1,ROUND(AR726/60,6),0)</f>
        <v>0</v>
      </c>
      <c r="BN726" s="80">
        <f>ROUND(BI726-BM726,6)</f>
        <v>0</v>
      </c>
      <c r="BO726" s="80">
        <f>IF(BE726=1,ROUND(AS726/60,6),0)</f>
        <v>0</v>
      </c>
      <c r="BP726" s="80">
        <f>ROUND(BJ726-BO726,6)</f>
        <v>0</v>
      </c>
      <c r="BQ726" s="80">
        <f>IF(BE726=1,AW726,0)</f>
        <v>0</v>
      </c>
      <c r="BR726" s="80">
        <f>IF(BE726=1,AX726,0)</f>
        <v>0</v>
      </c>
      <c r="BS726" s="80">
        <f>IF(AND(BE726=1,D726="Malcolm",BA726&gt;0),MIN(BH726,SUMPRODUCT((R_Emp="proMX")*(R_EN&gt;0)*((R_EN-(R_EN&gt;BR726)*(R_EN-BR726))&gt;(R_SN+(R_SN&lt;BQ726)*(BQ726-R_SN)))*((R_EN-(R_EN&gt;BR726)*(R_EN-BR726))-(R_SN+(R_SN&lt;BQ726)*(BQ726-R_SN))))/60),0)</f>
        <v>0</v>
      </c>
      <c r="BT726" s="80">
        <f>IF(AND(BE726=1,D726="proMX"),ROUND(BI726*CFG_RATE+BJ726*CFG_OTRATE,6),0)</f>
        <v>0</v>
      </c>
      <c r="BU726" s="80">
        <f>IF(AND(BD726=1,D726="proMX"),ROUND(AG726/CFG_BLK,6),0)</f>
        <v>0</v>
      </c>
      <c r="BV726" s="80" t="str">
        <f>IF(BF726="Approved",IF(ISNUMBER(T726),INT(T726),INT(B726)),"")</f>
        <v/>
      </c>
      <c r="BW726" s="80">
        <f>IF(ISNUMBER(B726),IF(DB_MON="Todos",1,IF(AND(INT(B726)&gt;=DB_MS,INT(B726)&lt;=DB_ME),1,0)),0)</f>
        <v>0</v>
      </c>
      <c r="BX726" s="80">
        <f>IF(DB_PROJ="Todos",1,IF(E726&amp;""=DB_PROJ&amp;"",1,0))</f>
        <v>1</v>
      </c>
      <c r="BY726" s="80">
        <f>BW726*BX726</f>
        <v>0</v>
      </c>
      <c r="BZ726" s="80" t="str">
        <f>IF(Y726=1,F726&amp;IF(AND(F726&amp;""&lt;&gt;"",E726&amp;""&lt;&gt;"")," · ","")&amp;E726,"")</f>
        <v/>
      </c>
      <c r="CA726" s="80" t="str">
        <f>IF(AND(BD726=1,E726&amp;""&lt;&gt;""),IF(COUNTIFS($E$5:E725,E726,$BD$5:BD725,1)=0,MAX($CA$5:CA725)+1,""),"")</f>
        <v/>
      </c>
      <c r="CB726" s="80" t="str">
        <f>IF(AND(BE726=1,D726="Malcolm",E726&amp;""&lt;&gt;""),IF(COUNTIFS($D$5:D725,"Malcolm",$E$5:E725,E726,$BE$5:BE725,1)=0,MAX($CB$5:CB725)+1,""),"")</f>
        <v/>
      </c>
      <c r="CC726" s="80" t="str">
        <f>IF(AND(BD726=1,D726="proMX",E726&amp;""&lt;&gt;""),IF(COUNTIFS($D$5:D725,"proMX",$E$5:E725,E726,$BD$5:BD725,1)=0,MAX($CC$5:CC725)+1,""),"")</f>
        <v/>
      </c>
      <c r="CD726" s="80" t="str">
        <f>IF(AND(BE726=1,D726="Malcolm",F726&amp;""&lt;&gt;""),IF(COUNTIFS($D$5:D725,"Malcolm",$F$5:F725,F726,$BE$5:BE725,1)=0,MAX($CD$5:CD725)+1,""),"")</f>
        <v/>
      </c>
      <c r="CE726" s="80" t="str">
        <f>IF(AND(BD726=1,D726="proMX",F726&amp;""&lt;&gt;""),IF(COUNTIFS($D$5:D725,"proMX",$F$5:F725,F726,$BD$5:BD725,1)=0,MAX($CE$5:CE725)+1,""),"")</f>
        <v/>
      </c>
      <c r="CF726" s="80" t="str">
        <f>IF(AND(D726="proMX",BD726=1),IF(OR(BF726="Draft",BF726="Submitted",BF726="Returned",BF726="Recall Requested"),MAX($CF$5:CF725)+1,""),"")</f>
        <v/>
      </c>
      <c r="CG726" s="80">
        <f>IF(BD726=0,0,IF(D726="Malcolm",1,MATCH(BF726,{"Draft","Submitted","Approved","Returned","Recall Requested","Cancelled"},0)+1))</f>
        <v>0</v>
      </c>
      <c r="CH726" s="80">
        <f>IF(AND(BF726="Submitted",ISNUMBER(V726)),IF(V726&gt;CFG_MAXD,1,0),0)</f>
        <v>0</v>
      </c>
    </row>
    <row r="727">
      <c r="A727" s="71" t="str">
        <f>IF(Y727=1,ROW()-5,"")</f>
        <v/>
      </c>
      <c r="B727" s="72" t="n"/>
      <c r="C727" s="71" t="str">
        <f>IF(ISNUMBER(B727),CHOOSE(WEEKDAY(B727,2),"Lun","Mar","Mié","Jue","Vie","Sáb","Dom"),"")</f>
        <v/>
      </c>
      <c r="D727" s="73" t="n"/>
      <c r="E727" s="74" t="n"/>
      <c r="F727" s="74" t="n"/>
      <c r="G727" s="74" t="n"/>
      <c r="H727" s="75" t="n"/>
      <c r="I727" s="75" t="n"/>
      <c r="J727" s="76" t="n"/>
      <c r="K727" s="77" t="str">
        <f>IF(AB727=1,ROUND(AG727/60,4),"")</f>
        <v/>
      </c>
      <c r="L727" s="77" t="str">
        <f>IF(BD727=1,ROUND(AP727/60,4),"")</f>
        <v/>
      </c>
      <c r="M727" s="77" t="str">
        <f>IF(BD727=1,ROUND(AQ727/60,4),"")</f>
        <v/>
      </c>
      <c r="N727" s="71" t="str">
        <f>IF(AND(D727="proMX",AB727=1),ROUND(AG727/CFG_BLK,2),"")</f>
        <v/>
      </c>
      <c r="O727" s="77" t="str">
        <f>IF(D727="proMX",IF(BD727=1,ROUND(AG727/60,4),0),"")</f>
        <v/>
      </c>
      <c r="P727" s="78" t="str">
        <f>IF(Y727=0,"",IF(BD727=1,"OK",IF(D727="proMX","Revisar bloques: ","Revisar: ")&amp;BC727))</f>
        <v/>
      </c>
      <c r="Q727" s="78" t="str">
        <f>IF(NOT(ISNUMBER(B727)),"",IF(COUNTIFS(FER_F,INT(B727))&gt;0,"Feriado"&amp;IF(AH727=1," (laborable)"," (no laborable)"),IF(AH727=1,"Laborable",IF(WEEKDAY(B727,2)&gt;5,"Fin de semana","No laborable"))))</f>
        <v/>
      </c>
      <c r="R727" s="73" t="n"/>
      <c r="S727" s="72" t="n"/>
      <c r="T727" s="72" t="n"/>
      <c r="U727" s="74" t="n"/>
      <c r="V727" s="79" t="str">
        <f>IF(AND(D727="proMX",OR(R727="Submitted",R727="Recall Requested"),ISNUMBER(S727)),CFG_TODAY-INT(S727),"")</f>
        <v/>
      </c>
      <c r="W727" s="78" t="str">
        <f>IF(BD727=0,"",IF(BA727&gt;0,"⚠ Se superpone con un registro de la otra empresa",IF(D727="Malcolm",IF(COUNTA(R727,S727,T727)&gt;0,"Estado/fechas proMX se ignoran en Malcolm",""),IF(BF727="Cancelled","Cancelado: excluido de totales",IF(R727="","Sin estado: se trata como Draft",IF(BF727="Submitted",IF(ISNUMBER(V727),IF(V727&gt;CFG_MAXD,"⚠ "&amp;V727&amp;" días en Submitted (máx. "&amp;CFG_MAXD&amp;")",""),"Falta fecha de envío"),IF(BF727="Returned","⚠ Devuelto: corregir y reenviar",IF(BF727="Recall Requested","Retirada solicitada: pendiente",IF(AND(BF727="Approved",NOT(ISNUMBER(T727))),"Falta fecha de aprobación",IF(AND(ISNUMBER(S727),ISNUMBER(T727),T727&lt;S727),"Aprobación anterior al envío","")))))))))</f>
        <v/>
      </c>
      <c r="Y727" s="80">
        <f>IF(COUNTA(B727,D727,E727,F727,G727,H727,I727,J727,R727,S727,T727)&gt;0,1,0)</f>
        <v>0</v>
      </c>
      <c r="Z727" s="80" t="str">
        <f>IF(AND(ISNUMBER(H727),H727&gt;=0,H727&lt;1),ROUND(H727*1440,0),"")</f>
        <v/>
      </c>
      <c r="AA727" s="80" t="str">
        <f>IF(AND(ISNUMBER(I727),I727&gt;=0,I727&lt;1),ROUND(I727*1440,0),"")</f>
        <v/>
      </c>
      <c r="AB727" s="80">
        <f>IF(AND(ISNUMBER(B727),D727&lt;&gt;"",ISNUMBER(Z727),ISNUMBER(AA727)),IF(Z727=AA727,0,1),0)</f>
        <v>0</v>
      </c>
      <c r="AC727" s="80">
        <f>IF(AB727=1,IF(AA727&lt;Z727,1,0),0)</f>
        <v>0</v>
      </c>
      <c r="AD727" s="80">
        <f>IF(AB727=1,IF(AC727=1,1440-Z727+AA727,AA727-Z727),0)</f>
        <v>0</v>
      </c>
      <c r="AE727" s="80">
        <f>IF(J727="",0,IF(ISNUMBER(J727),J727,-1))</f>
        <v>0</v>
      </c>
      <c r="AF727" s="80">
        <f>MIN(MAX(0,AE727),AD727)</f>
        <v>0</v>
      </c>
      <c r="AG727" s="80">
        <f>MAX(0,AD727-MAX(0,AE727))</f>
        <v>0</v>
      </c>
      <c r="AH727" s="80">
        <f>IF(ISNUMBER(B727),IF(AND(INDEX(CFG_WDAYS,WEEKDAY(INT(B727),2))="Sí",IF(D727="proMX",COUNTIFS(FER_F,INT(B727),FER_NLP,"Sí"),COUNTIFS(FER_F,INT(B727),FER_NLM,"Sí"))=0),1,0),0)</f>
        <v>0</v>
      </c>
      <c r="AI727" s="80">
        <f>IF(AC727=1,IF(AND(INDEX(CFG_WDAYS,WEEKDAY(INT(B727)+1,2))="Sí",IF(D727="proMX",COUNTIFS(FER_F,INT(B727)+1,FER_NLP,"Sí"),COUNTIFS(FER_F,INT(B727)+1,FER_NLM,"Sí"))=0),1,0),0)</f>
        <v>0</v>
      </c>
      <c r="AJ727" s="80">
        <f>IF(AC727=1,1440-Z727,AD727)</f>
        <v>0</v>
      </c>
      <c r="AK727" s="80">
        <f>IF(AND(AB727=1,AH727=1),MAX(0,MIN(IF(AC727=1,1440,AA727),CFG_WEM)-MAX(Z727,CFG_WSM)),0)</f>
        <v>0</v>
      </c>
      <c r="AL727" s="80">
        <f>IF(AND(AC727=1,AI727=1),MAX(0,MIN(AA727,CFG_WEM)-CFG_WSM),0)</f>
        <v>0</v>
      </c>
      <c r="AM727" s="80">
        <f>AK727+AL727</f>
        <v>0</v>
      </c>
      <c r="AN727" s="80">
        <f>IF(CFG_BRK="Proporcional",IF(AD727=0,0,AF727*AM727/AD727),IF(CFG_BRK="Extras primero",MIN(AM727,MAX(0,AF727-(AD727-AM727))),MIN(AF727,AM727)))</f>
        <v>0</v>
      </c>
      <c r="AO727" s="80">
        <f>AF727-AN727</f>
        <v>0</v>
      </c>
      <c r="AP727" s="80">
        <f>AM727-AN727</f>
        <v>0</v>
      </c>
      <c r="AQ727" s="80">
        <f>AD727-AM727-AO727</f>
        <v>0</v>
      </c>
      <c r="AR727" s="80">
        <f>IF(AM727=0,0,AK727-AN727*AK727/AM727)</f>
        <v>0</v>
      </c>
      <c r="AS727" s="80">
        <f>IF(AD727-AM727=0,0,(AJ727-AK727)-AO727*(AJ727-AK727)/(AD727-AM727))</f>
        <v>0</v>
      </c>
      <c r="AT727" s="80" t="str">
        <f>IF(AC727=1,INT(B727)+1,"")</f>
        <v/>
      </c>
      <c r="AU727" s="80">
        <f>IF(AND(D727="proMX",R727="Cancelled"),0,1)</f>
        <v>1</v>
      </c>
      <c r="AV727" s="80">
        <f>IF(AND(AB727=1,AU727=1),IF(COUNTIFS($D$5:D726,D727,$B$5:B726,B727,$Z$5:Z726,Z727,$AA$5:AA726,AA727,$F$5:F726,F727&amp;"",$AU$5:AU726,1)&gt;0,1,0),0)</f>
        <v>0</v>
      </c>
      <c r="AW727" s="80" t="str">
        <f>IF(AB727=1,INT(B727)*1440+Z727,"")</f>
        <v/>
      </c>
      <c r="AX727" s="80" t="str">
        <f>IF(AB727=1,AW727+AD727,"")</f>
        <v/>
      </c>
      <c r="AY727" s="80">
        <f>IF(AND(AB727=1,AV727=0,AU727=1),1,0)</f>
        <v>0</v>
      </c>
      <c r="AZ727" s="80">
        <f>IF(AY727=1,COUNTIFS(R_Emp,D727,R_SAbs,"&lt;"&amp;AX727,R_EAbs,"&gt;"&amp;AW727,R_OKey,1)-1,0)</f>
        <v>0</v>
      </c>
      <c r="BA727" s="80">
        <f>IF(AY727=1,COUNTIFS(R_Emp,"&lt;&gt;"&amp;D727,R_SAbs,"&lt;"&amp;AX727,R_EAbs,"&gt;"&amp;AW727,R_OKey,1),0)</f>
        <v>0</v>
      </c>
      <c r="BB727" s="80">
        <f>IF(AND(AB727=1,D727="proMX"),IF(AND(MOD(Z727,CFG_BLK)=0,MOD(AA727,CFG_BLK)=0,MOD(AG727,CFG_BLK)=0,AG727&gt;0),1,0),1)</f>
        <v>1</v>
      </c>
      <c r="BC727" s="80" t="str">
        <f>IF(Y727=0,"",IF(NOT(ISNUMBER(B727)),"Falta fecha o fecha inválida",IF(D727="","Falta empresa",IF(AND(D727&lt;&gt;"Malcolm",D727&lt;&gt;"proMX"),"Empresa inválida",IF(OR(INT(B727)&lt;CFG_PSTART,INT(B727)&gt;CFG_PEND),"Fecha fuera del período",IF(OR(NOT(ISNUMBER(Z727)),NOT(ISNUMBER(AA727))),"Falta hora inicio/fin o formato inválido",IF(AB727=0,"Hora inicio = hora fin",IF(AE727&lt;0,"Descanso inválido",IF(AE727&gt;=AD727,"Descanso ≥ duración",IF(AV727=1,"Registro duplicado",IF(AZ727&gt;0,"Se superpone con otro registro "&amp;D727,IF(BB727=0,"inicio, fin y duración neta deben ser múltiplos de "&amp;CFG_BLK&amp;" min",""))))))))))))</f>
        <v/>
      </c>
      <c r="BD727" s="80">
        <f>IF(AND(Y727=1,BC727=""),1,0)</f>
        <v>0</v>
      </c>
      <c r="BE727" s="80">
        <f>IF(AND(BD727=1,AU727=1),1,0)</f>
        <v>0</v>
      </c>
      <c r="BF727" s="80" t="str">
        <f>IF(AND(D727="proMX",BD727=1),IF(R727="","Draft",R727),"")</f>
        <v/>
      </c>
      <c r="BG727" s="80">
        <f>IF(BD727=1,ROUND(AG727/60,6),0)</f>
        <v>0</v>
      </c>
      <c r="BH727" s="80">
        <f>IF(BE727=1,ROUND(AG727/60,6),0)</f>
        <v>0</v>
      </c>
      <c r="BI727" s="80">
        <f>IF(BE727=1,ROUND(AP727/60,6),0)</f>
        <v>0</v>
      </c>
      <c r="BJ727" s="80">
        <f>IF(BE727=1,ROUND(AQ727/60,6),0)</f>
        <v>0</v>
      </c>
      <c r="BK727" s="80">
        <f>IF(BE727=1,ROUND((AR727+AS727)/60,6),0)</f>
        <v>0</v>
      </c>
      <c r="BL727" s="80">
        <f>ROUND(BH727-BK727,6)</f>
        <v>0</v>
      </c>
      <c r="BM727" s="80">
        <f>IF(BE727=1,ROUND(AR727/60,6),0)</f>
        <v>0</v>
      </c>
      <c r="BN727" s="80">
        <f>ROUND(BI727-BM727,6)</f>
        <v>0</v>
      </c>
      <c r="BO727" s="80">
        <f>IF(BE727=1,ROUND(AS727/60,6),0)</f>
        <v>0</v>
      </c>
      <c r="BP727" s="80">
        <f>ROUND(BJ727-BO727,6)</f>
        <v>0</v>
      </c>
      <c r="BQ727" s="80">
        <f>IF(BE727=1,AW727,0)</f>
        <v>0</v>
      </c>
      <c r="BR727" s="80">
        <f>IF(BE727=1,AX727,0)</f>
        <v>0</v>
      </c>
      <c r="BS727" s="80">
        <f>IF(AND(BE727=1,D727="Malcolm",BA727&gt;0),MIN(BH727,SUMPRODUCT((R_Emp="proMX")*(R_EN&gt;0)*((R_EN-(R_EN&gt;BR727)*(R_EN-BR727))&gt;(R_SN+(R_SN&lt;BQ727)*(BQ727-R_SN)))*((R_EN-(R_EN&gt;BR727)*(R_EN-BR727))-(R_SN+(R_SN&lt;BQ727)*(BQ727-R_SN))))/60),0)</f>
        <v>0</v>
      </c>
      <c r="BT727" s="80">
        <f>IF(AND(BE727=1,D727="proMX"),ROUND(BI727*CFG_RATE+BJ727*CFG_OTRATE,6),0)</f>
        <v>0</v>
      </c>
      <c r="BU727" s="80">
        <f>IF(AND(BD727=1,D727="proMX"),ROUND(AG727/CFG_BLK,6),0)</f>
        <v>0</v>
      </c>
      <c r="BV727" s="80" t="str">
        <f>IF(BF727="Approved",IF(ISNUMBER(T727),INT(T727),INT(B727)),"")</f>
        <v/>
      </c>
      <c r="BW727" s="80">
        <f>IF(ISNUMBER(B727),IF(DB_MON="Todos",1,IF(AND(INT(B727)&gt;=DB_MS,INT(B727)&lt;=DB_ME),1,0)),0)</f>
        <v>0</v>
      </c>
      <c r="BX727" s="80">
        <f>IF(DB_PROJ="Todos",1,IF(E727&amp;""=DB_PROJ&amp;"",1,0))</f>
        <v>1</v>
      </c>
      <c r="BY727" s="80">
        <f>BW727*BX727</f>
        <v>0</v>
      </c>
      <c r="BZ727" s="80" t="str">
        <f>IF(Y727=1,F727&amp;IF(AND(F727&amp;""&lt;&gt;"",E727&amp;""&lt;&gt;"")," · ","")&amp;E727,"")</f>
        <v/>
      </c>
      <c r="CA727" s="80" t="str">
        <f>IF(AND(BD727=1,E727&amp;""&lt;&gt;""),IF(COUNTIFS($E$5:E726,E727,$BD$5:BD726,1)=0,MAX($CA$5:CA726)+1,""),"")</f>
        <v/>
      </c>
      <c r="CB727" s="80" t="str">
        <f>IF(AND(BE727=1,D727="Malcolm",E727&amp;""&lt;&gt;""),IF(COUNTIFS($D$5:D726,"Malcolm",$E$5:E726,E727,$BE$5:BE726,1)=0,MAX($CB$5:CB726)+1,""),"")</f>
        <v/>
      </c>
      <c r="CC727" s="80" t="str">
        <f>IF(AND(BD727=1,D727="proMX",E727&amp;""&lt;&gt;""),IF(COUNTIFS($D$5:D726,"proMX",$E$5:E726,E727,$BD$5:BD726,1)=0,MAX($CC$5:CC726)+1,""),"")</f>
        <v/>
      </c>
      <c r="CD727" s="80" t="str">
        <f>IF(AND(BE727=1,D727="Malcolm",F727&amp;""&lt;&gt;""),IF(COUNTIFS($D$5:D726,"Malcolm",$F$5:F726,F727,$BE$5:BE726,1)=0,MAX($CD$5:CD726)+1,""),"")</f>
        <v/>
      </c>
      <c r="CE727" s="80" t="str">
        <f>IF(AND(BD727=1,D727="proMX",F727&amp;""&lt;&gt;""),IF(COUNTIFS($D$5:D726,"proMX",$F$5:F726,F727,$BD$5:BD726,1)=0,MAX($CE$5:CE726)+1,""),"")</f>
        <v/>
      </c>
      <c r="CF727" s="80" t="str">
        <f>IF(AND(D727="proMX",BD727=1),IF(OR(BF727="Draft",BF727="Submitted",BF727="Returned",BF727="Recall Requested"),MAX($CF$5:CF726)+1,""),"")</f>
        <v/>
      </c>
      <c r="CG727" s="80">
        <f>IF(BD727=0,0,IF(D727="Malcolm",1,MATCH(BF727,{"Draft","Submitted","Approved","Returned","Recall Requested","Cancelled"},0)+1))</f>
        <v>0</v>
      </c>
      <c r="CH727" s="80">
        <f>IF(AND(BF727="Submitted",ISNUMBER(V727)),IF(V727&gt;CFG_MAXD,1,0),0)</f>
        <v>0</v>
      </c>
    </row>
    <row r="728">
      <c r="A728" s="71" t="str">
        <f>IF(Y728=1,ROW()-5,"")</f>
        <v/>
      </c>
      <c r="B728" s="72" t="n"/>
      <c r="C728" s="71" t="str">
        <f>IF(ISNUMBER(B728),CHOOSE(WEEKDAY(B728,2),"Lun","Mar","Mié","Jue","Vie","Sáb","Dom"),"")</f>
        <v/>
      </c>
      <c r="D728" s="73" t="n"/>
      <c r="E728" s="74" t="n"/>
      <c r="F728" s="74" t="n"/>
      <c r="G728" s="74" t="n"/>
      <c r="H728" s="75" t="n"/>
      <c r="I728" s="75" t="n"/>
      <c r="J728" s="76" t="n"/>
      <c r="K728" s="77" t="str">
        <f>IF(AB728=1,ROUND(AG728/60,4),"")</f>
        <v/>
      </c>
      <c r="L728" s="77" t="str">
        <f>IF(BD728=1,ROUND(AP728/60,4),"")</f>
        <v/>
      </c>
      <c r="M728" s="77" t="str">
        <f>IF(BD728=1,ROUND(AQ728/60,4),"")</f>
        <v/>
      </c>
      <c r="N728" s="71" t="str">
        <f>IF(AND(D728="proMX",AB728=1),ROUND(AG728/CFG_BLK,2),"")</f>
        <v/>
      </c>
      <c r="O728" s="77" t="str">
        <f>IF(D728="proMX",IF(BD728=1,ROUND(AG728/60,4),0),"")</f>
        <v/>
      </c>
      <c r="P728" s="78" t="str">
        <f>IF(Y728=0,"",IF(BD728=1,"OK",IF(D728="proMX","Revisar bloques: ","Revisar: ")&amp;BC728))</f>
        <v/>
      </c>
      <c r="Q728" s="78" t="str">
        <f>IF(NOT(ISNUMBER(B728)),"",IF(COUNTIFS(FER_F,INT(B728))&gt;0,"Feriado"&amp;IF(AH728=1," (laborable)"," (no laborable)"),IF(AH728=1,"Laborable",IF(WEEKDAY(B728,2)&gt;5,"Fin de semana","No laborable"))))</f>
        <v/>
      </c>
      <c r="R728" s="73" t="n"/>
      <c r="S728" s="72" t="n"/>
      <c r="T728" s="72" t="n"/>
      <c r="U728" s="74" t="n"/>
      <c r="V728" s="79" t="str">
        <f>IF(AND(D728="proMX",OR(R728="Submitted",R728="Recall Requested"),ISNUMBER(S728)),CFG_TODAY-INT(S728),"")</f>
        <v/>
      </c>
      <c r="W728" s="78" t="str">
        <f>IF(BD728=0,"",IF(BA728&gt;0,"⚠ Se superpone con un registro de la otra empresa",IF(D728="Malcolm",IF(COUNTA(R728,S728,T728)&gt;0,"Estado/fechas proMX se ignoran en Malcolm",""),IF(BF728="Cancelled","Cancelado: excluido de totales",IF(R728="","Sin estado: se trata como Draft",IF(BF728="Submitted",IF(ISNUMBER(V728),IF(V728&gt;CFG_MAXD,"⚠ "&amp;V728&amp;" días en Submitted (máx. "&amp;CFG_MAXD&amp;")",""),"Falta fecha de envío"),IF(BF728="Returned","⚠ Devuelto: corregir y reenviar",IF(BF728="Recall Requested","Retirada solicitada: pendiente",IF(AND(BF728="Approved",NOT(ISNUMBER(T728))),"Falta fecha de aprobación",IF(AND(ISNUMBER(S728),ISNUMBER(T728),T728&lt;S728),"Aprobación anterior al envío","")))))))))</f>
        <v/>
      </c>
      <c r="Y728" s="80">
        <f>IF(COUNTA(B728,D728,E728,F728,G728,H728,I728,J728,R728,S728,T728)&gt;0,1,0)</f>
        <v>0</v>
      </c>
      <c r="Z728" s="80" t="str">
        <f>IF(AND(ISNUMBER(H728),H728&gt;=0,H728&lt;1),ROUND(H728*1440,0),"")</f>
        <v/>
      </c>
      <c r="AA728" s="80" t="str">
        <f>IF(AND(ISNUMBER(I728),I728&gt;=0,I728&lt;1),ROUND(I728*1440,0),"")</f>
        <v/>
      </c>
      <c r="AB728" s="80">
        <f>IF(AND(ISNUMBER(B728),D728&lt;&gt;"",ISNUMBER(Z728),ISNUMBER(AA728)),IF(Z728=AA728,0,1),0)</f>
        <v>0</v>
      </c>
      <c r="AC728" s="80">
        <f>IF(AB728=1,IF(AA728&lt;Z728,1,0),0)</f>
        <v>0</v>
      </c>
      <c r="AD728" s="80">
        <f>IF(AB728=1,IF(AC728=1,1440-Z728+AA728,AA728-Z728),0)</f>
        <v>0</v>
      </c>
      <c r="AE728" s="80">
        <f>IF(J728="",0,IF(ISNUMBER(J728),J728,-1))</f>
        <v>0</v>
      </c>
      <c r="AF728" s="80">
        <f>MIN(MAX(0,AE728),AD728)</f>
        <v>0</v>
      </c>
      <c r="AG728" s="80">
        <f>MAX(0,AD728-MAX(0,AE728))</f>
        <v>0</v>
      </c>
      <c r="AH728" s="80">
        <f>IF(ISNUMBER(B728),IF(AND(INDEX(CFG_WDAYS,WEEKDAY(INT(B728),2))="Sí",IF(D728="proMX",COUNTIFS(FER_F,INT(B728),FER_NLP,"Sí"),COUNTIFS(FER_F,INT(B728),FER_NLM,"Sí"))=0),1,0),0)</f>
        <v>0</v>
      </c>
      <c r="AI728" s="80">
        <f>IF(AC728=1,IF(AND(INDEX(CFG_WDAYS,WEEKDAY(INT(B728)+1,2))="Sí",IF(D728="proMX",COUNTIFS(FER_F,INT(B728)+1,FER_NLP,"Sí"),COUNTIFS(FER_F,INT(B728)+1,FER_NLM,"Sí"))=0),1,0),0)</f>
        <v>0</v>
      </c>
      <c r="AJ728" s="80">
        <f>IF(AC728=1,1440-Z728,AD728)</f>
        <v>0</v>
      </c>
      <c r="AK728" s="80">
        <f>IF(AND(AB728=1,AH728=1),MAX(0,MIN(IF(AC728=1,1440,AA728),CFG_WEM)-MAX(Z728,CFG_WSM)),0)</f>
        <v>0</v>
      </c>
      <c r="AL728" s="80">
        <f>IF(AND(AC728=1,AI728=1),MAX(0,MIN(AA728,CFG_WEM)-CFG_WSM),0)</f>
        <v>0</v>
      </c>
      <c r="AM728" s="80">
        <f>AK728+AL728</f>
        <v>0</v>
      </c>
      <c r="AN728" s="80">
        <f>IF(CFG_BRK="Proporcional",IF(AD728=0,0,AF728*AM728/AD728),IF(CFG_BRK="Extras primero",MIN(AM728,MAX(0,AF728-(AD728-AM728))),MIN(AF728,AM728)))</f>
        <v>0</v>
      </c>
      <c r="AO728" s="80">
        <f>AF728-AN728</f>
        <v>0</v>
      </c>
      <c r="AP728" s="80">
        <f>AM728-AN728</f>
        <v>0</v>
      </c>
      <c r="AQ728" s="80">
        <f>AD728-AM728-AO728</f>
        <v>0</v>
      </c>
      <c r="AR728" s="80">
        <f>IF(AM728=0,0,AK728-AN728*AK728/AM728)</f>
        <v>0</v>
      </c>
      <c r="AS728" s="80">
        <f>IF(AD728-AM728=0,0,(AJ728-AK728)-AO728*(AJ728-AK728)/(AD728-AM728))</f>
        <v>0</v>
      </c>
      <c r="AT728" s="80" t="str">
        <f>IF(AC728=1,INT(B728)+1,"")</f>
        <v/>
      </c>
      <c r="AU728" s="80">
        <f>IF(AND(D728="proMX",R728="Cancelled"),0,1)</f>
        <v>1</v>
      </c>
      <c r="AV728" s="80">
        <f>IF(AND(AB728=1,AU728=1),IF(COUNTIFS($D$5:D727,D728,$B$5:B727,B728,$Z$5:Z727,Z728,$AA$5:AA727,AA728,$F$5:F727,F728&amp;"",$AU$5:AU727,1)&gt;0,1,0),0)</f>
        <v>0</v>
      </c>
      <c r="AW728" s="80" t="str">
        <f>IF(AB728=1,INT(B728)*1440+Z728,"")</f>
        <v/>
      </c>
      <c r="AX728" s="80" t="str">
        <f>IF(AB728=1,AW728+AD728,"")</f>
        <v/>
      </c>
      <c r="AY728" s="80">
        <f>IF(AND(AB728=1,AV728=0,AU728=1),1,0)</f>
        <v>0</v>
      </c>
      <c r="AZ728" s="80">
        <f>IF(AY728=1,COUNTIFS(R_Emp,D728,R_SAbs,"&lt;"&amp;AX728,R_EAbs,"&gt;"&amp;AW728,R_OKey,1)-1,0)</f>
        <v>0</v>
      </c>
      <c r="BA728" s="80">
        <f>IF(AY728=1,COUNTIFS(R_Emp,"&lt;&gt;"&amp;D728,R_SAbs,"&lt;"&amp;AX728,R_EAbs,"&gt;"&amp;AW728,R_OKey,1),0)</f>
        <v>0</v>
      </c>
      <c r="BB728" s="80">
        <f>IF(AND(AB728=1,D728="proMX"),IF(AND(MOD(Z728,CFG_BLK)=0,MOD(AA728,CFG_BLK)=0,MOD(AG728,CFG_BLK)=0,AG728&gt;0),1,0),1)</f>
        <v>1</v>
      </c>
      <c r="BC728" s="80" t="str">
        <f>IF(Y728=0,"",IF(NOT(ISNUMBER(B728)),"Falta fecha o fecha inválida",IF(D728="","Falta empresa",IF(AND(D728&lt;&gt;"Malcolm",D728&lt;&gt;"proMX"),"Empresa inválida",IF(OR(INT(B728)&lt;CFG_PSTART,INT(B728)&gt;CFG_PEND),"Fecha fuera del período",IF(OR(NOT(ISNUMBER(Z728)),NOT(ISNUMBER(AA728))),"Falta hora inicio/fin o formato inválido",IF(AB728=0,"Hora inicio = hora fin",IF(AE728&lt;0,"Descanso inválido",IF(AE728&gt;=AD728,"Descanso ≥ duración",IF(AV728=1,"Registro duplicado",IF(AZ728&gt;0,"Se superpone con otro registro "&amp;D728,IF(BB728=0,"inicio, fin y duración neta deben ser múltiplos de "&amp;CFG_BLK&amp;" min",""))))))))))))</f>
        <v/>
      </c>
      <c r="BD728" s="80">
        <f>IF(AND(Y728=1,BC728=""),1,0)</f>
        <v>0</v>
      </c>
      <c r="BE728" s="80">
        <f>IF(AND(BD728=1,AU728=1),1,0)</f>
        <v>0</v>
      </c>
      <c r="BF728" s="80" t="str">
        <f>IF(AND(D728="proMX",BD728=1),IF(R728="","Draft",R728),"")</f>
        <v/>
      </c>
      <c r="BG728" s="80">
        <f>IF(BD728=1,ROUND(AG728/60,6),0)</f>
        <v>0</v>
      </c>
      <c r="BH728" s="80">
        <f>IF(BE728=1,ROUND(AG728/60,6),0)</f>
        <v>0</v>
      </c>
      <c r="BI728" s="80">
        <f>IF(BE728=1,ROUND(AP728/60,6),0)</f>
        <v>0</v>
      </c>
      <c r="BJ728" s="80">
        <f>IF(BE728=1,ROUND(AQ728/60,6),0)</f>
        <v>0</v>
      </c>
      <c r="BK728" s="80">
        <f>IF(BE728=1,ROUND((AR728+AS728)/60,6),0)</f>
        <v>0</v>
      </c>
      <c r="BL728" s="80">
        <f>ROUND(BH728-BK728,6)</f>
        <v>0</v>
      </c>
      <c r="BM728" s="80">
        <f>IF(BE728=1,ROUND(AR728/60,6),0)</f>
        <v>0</v>
      </c>
      <c r="BN728" s="80">
        <f>ROUND(BI728-BM728,6)</f>
        <v>0</v>
      </c>
      <c r="BO728" s="80">
        <f>IF(BE728=1,ROUND(AS728/60,6),0)</f>
        <v>0</v>
      </c>
      <c r="BP728" s="80">
        <f>ROUND(BJ728-BO728,6)</f>
        <v>0</v>
      </c>
      <c r="BQ728" s="80">
        <f>IF(BE728=1,AW728,0)</f>
        <v>0</v>
      </c>
      <c r="BR728" s="80">
        <f>IF(BE728=1,AX728,0)</f>
        <v>0</v>
      </c>
      <c r="BS728" s="80">
        <f>IF(AND(BE728=1,D728="Malcolm",BA728&gt;0),MIN(BH728,SUMPRODUCT((R_Emp="proMX")*(R_EN&gt;0)*((R_EN-(R_EN&gt;BR728)*(R_EN-BR728))&gt;(R_SN+(R_SN&lt;BQ728)*(BQ728-R_SN)))*((R_EN-(R_EN&gt;BR728)*(R_EN-BR728))-(R_SN+(R_SN&lt;BQ728)*(BQ728-R_SN))))/60),0)</f>
        <v>0</v>
      </c>
      <c r="BT728" s="80">
        <f>IF(AND(BE728=1,D728="proMX"),ROUND(BI728*CFG_RATE+BJ728*CFG_OTRATE,6),0)</f>
        <v>0</v>
      </c>
      <c r="BU728" s="80">
        <f>IF(AND(BD728=1,D728="proMX"),ROUND(AG728/CFG_BLK,6),0)</f>
        <v>0</v>
      </c>
      <c r="BV728" s="80" t="str">
        <f>IF(BF728="Approved",IF(ISNUMBER(T728),INT(T728),INT(B728)),"")</f>
        <v/>
      </c>
      <c r="BW728" s="80">
        <f>IF(ISNUMBER(B728),IF(DB_MON="Todos",1,IF(AND(INT(B728)&gt;=DB_MS,INT(B728)&lt;=DB_ME),1,0)),0)</f>
        <v>0</v>
      </c>
      <c r="BX728" s="80">
        <f>IF(DB_PROJ="Todos",1,IF(E728&amp;""=DB_PROJ&amp;"",1,0))</f>
        <v>1</v>
      </c>
      <c r="BY728" s="80">
        <f>BW728*BX728</f>
        <v>0</v>
      </c>
      <c r="BZ728" s="80" t="str">
        <f>IF(Y728=1,F728&amp;IF(AND(F728&amp;""&lt;&gt;"",E728&amp;""&lt;&gt;"")," · ","")&amp;E728,"")</f>
        <v/>
      </c>
      <c r="CA728" s="80" t="str">
        <f>IF(AND(BD728=1,E728&amp;""&lt;&gt;""),IF(COUNTIFS($E$5:E727,E728,$BD$5:BD727,1)=0,MAX($CA$5:CA727)+1,""),"")</f>
        <v/>
      </c>
      <c r="CB728" s="80" t="str">
        <f>IF(AND(BE728=1,D728="Malcolm",E728&amp;""&lt;&gt;""),IF(COUNTIFS($D$5:D727,"Malcolm",$E$5:E727,E728,$BE$5:BE727,1)=0,MAX($CB$5:CB727)+1,""),"")</f>
        <v/>
      </c>
      <c r="CC728" s="80" t="str">
        <f>IF(AND(BD728=1,D728="proMX",E728&amp;""&lt;&gt;""),IF(COUNTIFS($D$5:D727,"proMX",$E$5:E727,E728,$BD$5:BD727,1)=0,MAX($CC$5:CC727)+1,""),"")</f>
        <v/>
      </c>
      <c r="CD728" s="80" t="str">
        <f>IF(AND(BE728=1,D728="Malcolm",F728&amp;""&lt;&gt;""),IF(COUNTIFS($D$5:D727,"Malcolm",$F$5:F727,F728,$BE$5:BE727,1)=0,MAX($CD$5:CD727)+1,""),"")</f>
        <v/>
      </c>
      <c r="CE728" s="80" t="str">
        <f>IF(AND(BD728=1,D728="proMX",F728&amp;""&lt;&gt;""),IF(COUNTIFS($D$5:D727,"proMX",$F$5:F727,F728,$BD$5:BD727,1)=0,MAX($CE$5:CE727)+1,""),"")</f>
        <v/>
      </c>
      <c r="CF728" s="80" t="str">
        <f>IF(AND(D728="proMX",BD728=1),IF(OR(BF728="Draft",BF728="Submitted",BF728="Returned",BF728="Recall Requested"),MAX($CF$5:CF727)+1,""),"")</f>
        <v/>
      </c>
      <c r="CG728" s="80">
        <f>IF(BD728=0,0,IF(D728="Malcolm",1,MATCH(BF728,{"Draft","Submitted","Approved","Returned","Recall Requested","Cancelled"},0)+1))</f>
        <v>0</v>
      </c>
      <c r="CH728" s="80">
        <f>IF(AND(BF728="Submitted",ISNUMBER(V728)),IF(V728&gt;CFG_MAXD,1,0),0)</f>
        <v>0</v>
      </c>
    </row>
    <row r="729">
      <c r="A729" s="71" t="str">
        <f>IF(Y729=1,ROW()-5,"")</f>
        <v/>
      </c>
      <c r="B729" s="72" t="n"/>
      <c r="C729" s="71" t="str">
        <f>IF(ISNUMBER(B729),CHOOSE(WEEKDAY(B729,2),"Lun","Mar","Mié","Jue","Vie","Sáb","Dom"),"")</f>
        <v/>
      </c>
      <c r="D729" s="73" t="n"/>
      <c r="E729" s="74" t="n"/>
      <c r="F729" s="74" t="n"/>
      <c r="G729" s="74" t="n"/>
      <c r="H729" s="75" t="n"/>
      <c r="I729" s="75" t="n"/>
      <c r="J729" s="76" t="n"/>
      <c r="K729" s="77" t="str">
        <f>IF(AB729=1,ROUND(AG729/60,4),"")</f>
        <v/>
      </c>
      <c r="L729" s="77" t="str">
        <f>IF(BD729=1,ROUND(AP729/60,4),"")</f>
        <v/>
      </c>
      <c r="M729" s="77" t="str">
        <f>IF(BD729=1,ROUND(AQ729/60,4),"")</f>
        <v/>
      </c>
      <c r="N729" s="71" t="str">
        <f>IF(AND(D729="proMX",AB729=1),ROUND(AG729/CFG_BLK,2),"")</f>
        <v/>
      </c>
      <c r="O729" s="77" t="str">
        <f>IF(D729="proMX",IF(BD729=1,ROUND(AG729/60,4),0),"")</f>
        <v/>
      </c>
      <c r="P729" s="78" t="str">
        <f>IF(Y729=0,"",IF(BD729=1,"OK",IF(D729="proMX","Revisar bloques: ","Revisar: ")&amp;BC729))</f>
        <v/>
      </c>
      <c r="Q729" s="78" t="str">
        <f>IF(NOT(ISNUMBER(B729)),"",IF(COUNTIFS(FER_F,INT(B729))&gt;0,"Feriado"&amp;IF(AH729=1," (laborable)"," (no laborable)"),IF(AH729=1,"Laborable",IF(WEEKDAY(B729,2)&gt;5,"Fin de semana","No laborable"))))</f>
        <v/>
      </c>
      <c r="R729" s="73" t="n"/>
      <c r="S729" s="72" t="n"/>
      <c r="T729" s="72" t="n"/>
      <c r="U729" s="74" t="n"/>
      <c r="V729" s="79" t="str">
        <f>IF(AND(D729="proMX",OR(R729="Submitted",R729="Recall Requested"),ISNUMBER(S729)),CFG_TODAY-INT(S729),"")</f>
        <v/>
      </c>
      <c r="W729" s="78" t="str">
        <f>IF(BD729=0,"",IF(BA729&gt;0,"⚠ Se superpone con un registro de la otra empresa",IF(D729="Malcolm",IF(COUNTA(R729,S729,T729)&gt;0,"Estado/fechas proMX se ignoran en Malcolm",""),IF(BF729="Cancelled","Cancelado: excluido de totales",IF(R729="","Sin estado: se trata como Draft",IF(BF729="Submitted",IF(ISNUMBER(V729),IF(V729&gt;CFG_MAXD,"⚠ "&amp;V729&amp;" días en Submitted (máx. "&amp;CFG_MAXD&amp;")",""),"Falta fecha de envío"),IF(BF729="Returned","⚠ Devuelto: corregir y reenviar",IF(BF729="Recall Requested","Retirada solicitada: pendiente",IF(AND(BF729="Approved",NOT(ISNUMBER(T729))),"Falta fecha de aprobación",IF(AND(ISNUMBER(S729),ISNUMBER(T729),T729&lt;S729),"Aprobación anterior al envío","")))))))))</f>
        <v/>
      </c>
      <c r="Y729" s="80">
        <f>IF(COUNTA(B729,D729,E729,F729,G729,H729,I729,J729,R729,S729,T729)&gt;0,1,0)</f>
        <v>0</v>
      </c>
      <c r="Z729" s="80" t="str">
        <f>IF(AND(ISNUMBER(H729),H729&gt;=0,H729&lt;1),ROUND(H729*1440,0),"")</f>
        <v/>
      </c>
      <c r="AA729" s="80" t="str">
        <f>IF(AND(ISNUMBER(I729),I729&gt;=0,I729&lt;1),ROUND(I729*1440,0),"")</f>
        <v/>
      </c>
      <c r="AB729" s="80">
        <f>IF(AND(ISNUMBER(B729),D729&lt;&gt;"",ISNUMBER(Z729),ISNUMBER(AA729)),IF(Z729=AA729,0,1),0)</f>
        <v>0</v>
      </c>
      <c r="AC729" s="80">
        <f>IF(AB729=1,IF(AA729&lt;Z729,1,0),0)</f>
        <v>0</v>
      </c>
      <c r="AD729" s="80">
        <f>IF(AB729=1,IF(AC729=1,1440-Z729+AA729,AA729-Z729),0)</f>
        <v>0</v>
      </c>
      <c r="AE729" s="80">
        <f>IF(J729="",0,IF(ISNUMBER(J729),J729,-1))</f>
        <v>0</v>
      </c>
      <c r="AF729" s="80">
        <f>MIN(MAX(0,AE729),AD729)</f>
        <v>0</v>
      </c>
      <c r="AG729" s="80">
        <f>MAX(0,AD729-MAX(0,AE729))</f>
        <v>0</v>
      </c>
      <c r="AH729" s="80">
        <f>IF(ISNUMBER(B729),IF(AND(INDEX(CFG_WDAYS,WEEKDAY(INT(B729),2))="Sí",IF(D729="proMX",COUNTIFS(FER_F,INT(B729),FER_NLP,"Sí"),COUNTIFS(FER_F,INT(B729),FER_NLM,"Sí"))=0),1,0),0)</f>
        <v>0</v>
      </c>
      <c r="AI729" s="80">
        <f>IF(AC729=1,IF(AND(INDEX(CFG_WDAYS,WEEKDAY(INT(B729)+1,2))="Sí",IF(D729="proMX",COUNTIFS(FER_F,INT(B729)+1,FER_NLP,"Sí"),COUNTIFS(FER_F,INT(B729)+1,FER_NLM,"Sí"))=0),1,0),0)</f>
        <v>0</v>
      </c>
      <c r="AJ729" s="80">
        <f>IF(AC729=1,1440-Z729,AD729)</f>
        <v>0</v>
      </c>
      <c r="AK729" s="80">
        <f>IF(AND(AB729=1,AH729=1),MAX(0,MIN(IF(AC729=1,1440,AA729),CFG_WEM)-MAX(Z729,CFG_WSM)),0)</f>
        <v>0</v>
      </c>
      <c r="AL729" s="80">
        <f>IF(AND(AC729=1,AI729=1),MAX(0,MIN(AA729,CFG_WEM)-CFG_WSM),0)</f>
        <v>0</v>
      </c>
      <c r="AM729" s="80">
        <f>AK729+AL729</f>
        <v>0</v>
      </c>
      <c r="AN729" s="80">
        <f>IF(CFG_BRK="Proporcional",IF(AD729=0,0,AF729*AM729/AD729),IF(CFG_BRK="Extras primero",MIN(AM729,MAX(0,AF729-(AD729-AM729))),MIN(AF729,AM729)))</f>
        <v>0</v>
      </c>
      <c r="AO729" s="80">
        <f>AF729-AN729</f>
        <v>0</v>
      </c>
      <c r="AP729" s="80">
        <f>AM729-AN729</f>
        <v>0</v>
      </c>
      <c r="AQ729" s="80">
        <f>AD729-AM729-AO729</f>
        <v>0</v>
      </c>
      <c r="AR729" s="80">
        <f>IF(AM729=0,0,AK729-AN729*AK729/AM729)</f>
        <v>0</v>
      </c>
      <c r="AS729" s="80">
        <f>IF(AD729-AM729=0,0,(AJ729-AK729)-AO729*(AJ729-AK729)/(AD729-AM729))</f>
        <v>0</v>
      </c>
      <c r="AT729" s="80" t="str">
        <f>IF(AC729=1,INT(B729)+1,"")</f>
        <v/>
      </c>
      <c r="AU729" s="80">
        <f>IF(AND(D729="proMX",R729="Cancelled"),0,1)</f>
        <v>1</v>
      </c>
      <c r="AV729" s="80">
        <f>IF(AND(AB729=1,AU729=1),IF(COUNTIFS($D$5:D728,D729,$B$5:B728,B729,$Z$5:Z728,Z729,$AA$5:AA728,AA729,$F$5:F728,F729&amp;"",$AU$5:AU728,1)&gt;0,1,0),0)</f>
        <v>0</v>
      </c>
      <c r="AW729" s="80" t="str">
        <f>IF(AB729=1,INT(B729)*1440+Z729,"")</f>
        <v/>
      </c>
      <c r="AX729" s="80" t="str">
        <f>IF(AB729=1,AW729+AD729,"")</f>
        <v/>
      </c>
      <c r="AY729" s="80">
        <f>IF(AND(AB729=1,AV729=0,AU729=1),1,0)</f>
        <v>0</v>
      </c>
      <c r="AZ729" s="80">
        <f>IF(AY729=1,COUNTIFS(R_Emp,D729,R_SAbs,"&lt;"&amp;AX729,R_EAbs,"&gt;"&amp;AW729,R_OKey,1)-1,0)</f>
        <v>0</v>
      </c>
      <c r="BA729" s="80">
        <f>IF(AY729=1,COUNTIFS(R_Emp,"&lt;&gt;"&amp;D729,R_SAbs,"&lt;"&amp;AX729,R_EAbs,"&gt;"&amp;AW729,R_OKey,1),0)</f>
        <v>0</v>
      </c>
      <c r="BB729" s="80">
        <f>IF(AND(AB729=1,D729="proMX"),IF(AND(MOD(Z729,CFG_BLK)=0,MOD(AA729,CFG_BLK)=0,MOD(AG729,CFG_BLK)=0,AG729&gt;0),1,0),1)</f>
        <v>1</v>
      </c>
      <c r="BC729" s="80" t="str">
        <f>IF(Y729=0,"",IF(NOT(ISNUMBER(B729)),"Falta fecha o fecha inválida",IF(D729="","Falta empresa",IF(AND(D729&lt;&gt;"Malcolm",D729&lt;&gt;"proMX"),"Empresa inválida",IF(OR(INT(B729)&lt;CFG_PSTART,INT(B729)&gt;CFG_PEND),"Fecha fuera del período",IF(OR(NOT(ISNUMBER(Z729)),NOT(ISNUMBER(AA729))),"Falta hora inicio/fin o formato inválido",IF(AB729=0,"Hora inicio = hora fin",IF(AE729&lt;0,"Descanso inválido",IF(AE729&gt;=AD729,"Descanso ≥ duración",IF(AV729=1,"Registro duplicado",IF(AZ729&gt;0,"Se superpone con otro registro "&amp;D729,IF(BB729=0,"inicio, fin y duración neta deben ser múltiplos de "&amp;CFG_BLK&amp;" min",""))))))))))))</f>
        <v/>
      </c>
      <c r="BD729" s="80">
        <f>IF(AND(Y729=1,BC729=""),1,0)</f>
        <v>0</v>
      </c>
      <c r="BE729" s="80">
        <f>IF(AND(BD729=1,AU729=1),1,0)</f>
        <v>0</v>
      </c>
      <c r="BF729" s="80" t="str">
        <f>IF(AND(D729="proMX",BD729=1),IF(R729="","Draft",R729),"")</f>
        <v/>
      </c>
      <c r="BG729" s="80">
        <f>IF(BD729=1,ROUND(AG729/60,6),0)</f>
        <v>0</v>
      </c>
      <c r="BH729" s="80">
        <f>IF(BE729=1,ROUND(AG729/60,6),0)</f>
        <v>0</v>
      </c>
      <c r="BI729" s="80">
        <f>IF(BE729=1,ROUND(AP729/60,6),0)</f>
        <v>0</v>
      </c>
      <c r="BJ729" s="80">
        <f>IF(BE729=1,ROUND(AQ729/60,6),0)</f>
        <v>0</v>
      </c>
      <c r="BK729" s="80">
        <f>IF(BE729=1,ROUND((AR729+AS729)/60,6),0)</f>
        <v>0</v>
      </c>
      <c r="BL729" s="80">
        <f>ROUND(BH729-BK729,6)</f>
        <v>0</v>
      </c>
      <c r="BM729" s="80">
        <f>IF(BE729=1,ROUND(AR729/60,6),0)</f>
        <v>0</v>
      </c>
      <c r="BN729" s="80">
        <f>ROUND(BI729-BM729,6)</f>
        <v>0</v>
      </c>
      <c r="BO729" s="80">
        <f>IF(BE729=1,ROUND(AS729/60,6),0)</f>
        <v>0</v>
      </c>
      <c r="BP729" s="80">
        <f>ROUND(BJ729-BO729,6)</f>
        <v>0</v>
      </c>
      <c r="BQ729" s="80">
        <f>IF(BE729=1,AW729,0)</f>
        <v>0</v>
      </c>
      <c r="BR729" s="80">
        <f>IF(BE729=1,AX729,0)</f>
        <v>0</v>
      </c>
      <c r="BS729" s="80">
        <f>IF(AND(BE729=1,D729="Malcolm",BA729&gt;0),MIN(BH729,SUMPRODUCT((R_Emp="proMX")*(R_EN&gt;0)*((R_EN-(R_EN&gt;BR729)*(R_EN-BR729))&gt;(R_SN+(R_SN&lt;BQ729)*(BQ729-R_SN)))*((R_EN-(R_EN&gt;BR729)*(R_EN-BR729))-(R_SN+(R_SN&lt;BQ729)*(BQ729-R_SN))))/60),0)</f>
        <v>0</v>
      </c>
      <c r="BT729" s="80">
        <f>IF(AND(BE729=1,D729="proMX"),ROUND(BI729*CFG_RATE+BJ729*CFG_OTRATE,6),0)</f>
        <v>0</v>
      </c>
      <c r="BU729" s="80">
        <f>IF(AND(BD729=1,D729="proMX"),ROUND(AG729/CFG_BLK,6),0)</f>
        <v>0</v>
      </c>
      <c r="BV729" s="80" t="str">
        <f>IF(BF729="Approved",IF(ISNUMBER(T729),INT(T729),INT(B729)),"")</f>
        <v/>
      </c>
      <c r="BW729" s="80">
        <f>IF(ISNUMBER(B729),IF(DB_MON="Todos",1,IF(AND(INT(B729)&gt;=DB_MS,INT(B729)&lt;=DB_ME),1,0)),0)</f>
        <v>0</v>
      </c>
      <c r="BX729" s="80">
        <f>IF(DB_PROJ="Todos",1,IF(E729&amp;""=DB_PROJ&amp;"",1,0))</f>
        <v>1</v>
      </c>
      <c r="BY729" s="80">
        <f>BW729*BX729</f>
        <v>0</v>
      </c>
      <c r="BZ729" s="80" t="str">
        <f>IF(Y729=1,F729&amp;IF(AND(F729&amp;""&lt;&gt;"",E729&amp;""&lt;&gt;"")," · ","")&amp;E729,"")</f>
        <v/>
      </c>
      <c r="CA729" s="80" t="str">
        <f>IF(AND(BD729=1,E729&amp;""&lt;&gt;""),IF(COUNTIFS($E$5:E728,E729,$BD$5:BD728,1)=0,MAX($CA$5:CA728)+1,""),"")</f>
        <v/>
      </c>
      <c r="CB729" s="80" t="str">
        <f>IF(AND(BE729=1,D729="Malcolm",E729&amp;""&lt;&gt;""),IF(COUNTIFS($D$5:D728,"Malcolm",$E$5:E728,E729,$BE$5:BE728,1)=0,MAX($CB$5:CB728)+1,""),"")</f>
        <v/>
      </c>
      <c r="CC729" s="80" t="str">
        <f>IF(AND(BD729=1,D729="proMX",E729&amp;""&lt;&gt;""),IF(COUNTIFS($D$5:D728,"proMX",$E$5:E728,E729,$BD$5:BD728,1)=0,MAX($CC$5:CC728)+1,""),"")</f>
        <v/>
      </c>
      <c r="CD729" s="80" t="str">
        <f>IF(AND(BE729=1,D729="Malcolm",F729&amp;""&lt;&gt;""),IF(COUNTIFS($D$5:D728,"Malcolm",$F$5:F728,F729,$BE$5:BE728,1)=0,MAX($CD$5:CD728)+1,""),"")</f>
        <v/>
      </c>
      <c r="CE729" s="80" t="str">
        <f>IF(AND(BD729=1,D729="proMX",F729&amp;""&lt;&gt;""),IF(COUNTIFS($D$5:D728,"proMX",$F$5:F728,F729,$BD$5:BD728,1)=0,MAX($CE$5:CE728)+1,""),"")</f>
        <v/>
      </c>
      <c r="CF729" s="80" t="str">
        <f>IF(AND(D729="proMX",BD729=1),IF(OR(BF729="Draft",BF729="Submitted",BF729="Returned",BF729="Recall Requested"),MAX($CF$5:CF728)+1,""),"")</f>
        <v/>
      </c>
      <c r="CG729" s="80">
        <f>IF(BD729=0,0,IF(D729="Malcolm",1,MATCH(BF729,{"Draft","Submitted","Approved","Returned","Recall Requested","Cancelled"},0)+1))</f>
        <v>0</v>
      </c>
      <c r="CH729" s="80">
        <f>IF(AND(BF729="Submitted",ISNUMBER(V729)),IF(V729&gt;CFG_MAXD,1,0),0)</f>
        <v>0</v>
      </c>
    </row>
    <row r="730">
      <c r="A730" s="71" t="str">
        <f>IF(Y730=1,ROW()-5,"")</f>
        <v/>
      </c>
      <c r="B730" s="72" t="n"/>
      <c r="C730" s="71" t="str">
        <f>IF(ISNUMBER(B730),CHOOSE(WEEKDAY(B730,2),"Lun","Mar","Mié","Jue","Vie","Sáb","Dom"),"")</f>
        <v/>
      </c>
      <c r="D730" s="73" t="n"/>
      <c r="E730" s="74" t="n"/>
      <c r="F730" s="74" t="n"/>
      <c r="G730" s="74" t="n"/>
      <c r="H730" s="75" t="n"/>
      <c r="I730" s="75" t="n"/>
      <c r="J730" s="76" t="n"/>
      <c r="K730" s="77" t="str">
        <f>IF(AB730=1,ROUND(AG730/60,4),"")</f>
        <v/>
      </c>
      <c r="L730" s="77" t="str">
        <f>IF(BD730=1,ROUND(AP730/60,4),"")</f>
        <v/>
      </c>
      <c r="M730" s="77" t="str">
        <f>IF(BD730=1,ROUND(AQ730/60,4),"")</f>
        <v/>
      </c>
      <c r="N730" s="71" t="str">
        <f>IF(AND(D730="proMX",AB730=1),ROUND(AG730/CFG_BLK,2),"")</f>
        <v/>
      </c>
      <c r="O730" s="77" t="str">
        <f>IF(D730="proMX",IF(BD730=1,ROUND(AG730/60,4),0),"")</f>
        <v/>
      </c>
      <c r="P730" s="78" t="str">
        <f>IF(Y730=0,"",IF(BD730=1,"OK",IF(D730="proMX","Revisar bloques: ","Revisar: ")&amp;BC730))</f>
        <v/>
      </c>
      <c r="Q730" s="78" t="str">
        <f>IF(NOT(ISNUMBER(B730)),"",IF(COUNTIFS(FER_F,INT(B730))&gt;0,"Feriado"&amp;IF(AH730=1," (laborable)"," (no laborable)"),IF(AH730=1,"Laborable",IF(WEEKDAY(B730,2)&gt;5,"Fin de semana","No laborable"))))</f>
        <v/>
      </c>
      <c r="R730" s="73" t="n"/>
      <c r="S730" s="72" t="n"/>
      <c r="T730" s="72" t="n"/>
      <c r="U730" s="74" t="n"/>
      <c r="V730" s="79" t="str">
        <f>IF(AND(D730="proMX",OR(R730="Submitted",R730="Recall Requested"),ISNUMBER(S730)),CFG_TODAY-INT(S730),"")</f>
        <v/>
      </c>
      <c r="W730" s="78" t="str">
        <f>IF(BD730=0,"",IF(BA730&gt;0,"⚠ Se superpone con un registro de la otra empresa",IF(D730="Malcolm",IF(COUNTA(R730,S730,T730)&gt;0,"Estado/fechas proMX se ignoran en Malcolm",""),IF(BF730="Cancelled","Cancelado: excluido de totales",IF(R730="","Sin estado: se trata como Draft",IF(BF730="Submitted",IF(ISNUMBER(V730),IF(V730&gt;CFG_MAXD,"⚠ "&amp;V730&amp;" días en Submitted (máx. "&amp;CFG_MAXD&amp;")",""),"Falta fecha de envío"),IF(BF730="Returned","⚠ Devuelto: corregir y reenviar",IF(BF730="Recall Requested","Retirada solicitada: pendiente",IF(AND(BF730="Approved",NOT(ISNUMBER(T730))),"Falta fecha de aprobación",IF(AND(ISNUMBER(S730),ISNUMBER(T730),T730&lt;S730),"Aprobación anterior al envío","")))))))))</f>
        <v/>
      </c>
      <c r="Y730" s="80">
        <f>IF(COUNTA(B730,D730,E730,F730,G730,H730,I730,J730,R730,S730,T730)&gt;0,1,0)</f>
        <v>0</v>
      </c>
      <c r="Z730" s="80" t="str">
        <f>IF(AND(ISNUMBER(H730),H730&gt;=0,H730&lt;1),ROUND(H730*1440,0),"")</f>
        <v/>
      </c>
      <c r="AA730" s="80" t="str">
        <f>IF(AND(ISNUMBER(I730),I730&gt;=0,I730&lt;1),ROUND(I730*1440,0),"")</f>
        <v/>
      </c>
      <c r="AB730" s="80">
        <f>IF(AND(ISNUMBER(B730),D730&lt;&gt;"",ISNUMBER(Z730),ISNUMBER(AA730)),IF(Z730=AA730,0,1),0)</f>
        <v>0</v>
      </c>
      <c r="AC730" s="80">
        <f>IF(AB730=1,IF(AA730&lt;Z730,1,0),0)</f>
        <v>0</v>
      </c>
      <c r="AD730" s="80">
        <f>IF(AB730=1,IF(AC730=1,1440-Z730+AA730,AA730-Z730),0)</f>
        <v>0</v>
      </c>
      <c r="AE730" s="80">
        <f>IF(J730="",0,IF(ISNUMBER(J730),J730,-1))</f>
        <v>0</v>
      </c>
      <c r="AF730" s="80">
        <f>MIN(MAX(0,AE730),AD730)</f>
        <v>0</v>
      </c>
      <c r="AG730" s="80">
        <f>MAX(0,AD730-MAX(0,AE730))</f>
        <v>0</v>
      </c>
      <c r="AH730" s="80">
        <f>IF(ISNUMBER(B730),IF(AND(INDEX(CFG_WDAYS,WEEKDAY(INT(B730),2))="Sí",IF(D730="proMX",COUNTIFS(FER_F,INT(B730),FER_NLP,"Sí"),COUNTIFS(FER_F,INT(B730),FER_NLM,"Sí"))=0),1,0),0)</f>
        <v>0</v>
      </c>
      <c r="AI730" s="80">
        <f>IF(AC730=1,IF(AND(INDEX(CFG_WDAYS,WEEKDAY(INT(B730)+1,2))="Sí",IF(D730="proMX",COUNTIFS(FER_F,INT(B730)+1,FER_NLP,"Sí"),COUNTIFS(FER_F,INT(B730)+1,FER_NLM,"Sí"))=0),1,0),0)</f>
        <v>0</v>
      </c>
      <c r="AJ730" s="80">
        <f>IF(AC730=1,1440-Z730,AD730)</f>
        <v>0</v>
      </c>
      <c r="AK730" s="80">
        <f>IF(AND(AB730=1,AH730=1),MAX(0,MIN(IF(AC730=1,1440,AA730),CFG_WEM)-MAX(Z730,CFG_WSM)),0)</f>
        <v>0</v>
      </c>
      <c r="AL730" s="80">
        <f>IF(AND(AC730=1,AI730=1),MAX(0,MIN(AA730,CFG_WEM)-CFG_WSM),0)</f>
        <v>0</v>
      </c>
      <c r="AM730" s="80">
        <f>AK730+AL730</f>
        <v>0</v>
      </c>
      <c r="AN730" s="80">
        <f>IF(CFG_BRK="Proporcional",IF(AD730=0,0,AF730*AM730/AD730),IF(CFG_BRK="Extras primero",MIN(AM730,MAX(0,AF730-(AD730-AM730))),MIN(AF730,AM730)))</f>
        <v>0</v>
      </c>
      <c r="AO730" s="80">
        <f>AF730-AN730</f>
        <v>0</v>
      </c>
      <c r="AP730" s="80">
        <f>AM730-AN730</f>
        <v>0</v>
      </c>
      <c r="AQ730" s="80">
        <f>AD730-AM730-AO730</f>
        <v>0</v>
      </c>
      <c r="AR730" s="80">
        <f>IF(AM730=0,0,AK730-AN730*AK730/AM730)</f>
        <v>0</v>
      </c>
      <c r="AS730" s="80">
        <f>IF(AD730-AM730=0,0,(AJ730-AK730)-AO730*(AJ730-AK730)/(AD730-AM730))</f>
        <v>0</v>
      </c>
      <c r="AT730" s="80" t="str">
        <f>IF(AC730=1,INT(B730)+1,"")</f>
        <v/>
      </c>
      <c r="AU730" s="80">
        <f>IF(AND(D730="proMX",R730="Cancelled"),0,1)</f>
        <v>1</v>
      </c>
      <c r="AV730" s="80">
        <f>IF(AND(AB730=1,AU730=1),IF(COUNTIFS($D$5:D729,D730,$B$5:B729,B730,$Z$5:Z729,Z730,$AA$5:AA729,AA730,$F$5:F729,F730&amp;"",$AU$5:AU729,1)&gt;0,1,0),0)</f>
        <v>0</v>
      </c>
      <c r="AW730" s="80" t="str">
        <f>IF(AB730=1,INT(B730)*1440+Z730,"")</f>
        <v/>
      </c>
      <c r="AX730" s="80" t="str">
        <f>IF(AB730=1,AW730+AD730,"")</f>
        <v/>
      </c>
      <c r="AY730" s="80">
        <f>IF(AND(AB730=1,AV730=0,AU730=1),1,0)</f>
        <v>0</v>
      </c>
      <c r="AZ730" s="80">
        <f>IF(AY730=1,COUNTIFS(R_Emp,D730,R_SAbs,"&lt;"&amp;AX730,R_EAbs,"&gt;"&amp;AW730,R_OKey,1)-1,0)</f>
        <v>0</v>
      </c>
      <c r="BA730" s="80">
        <f>IF(AY730=1,COUNTIFS(R_Emp,"&lt;&gt;"&amp;D730,R_SAbs,"&lt;"&amp;AX730,R_EAbs,"&gt;"&amp;AW730,R_OKey,1),0)</f>
        <v>0</v>
      </c>
      <c r="BB730" s="80">
        <f>IF(AND(AB730=1,D730="proMX"),IF(AND(MOD(Z730,CFG_BLK)=0,MOD(AA730,CFG_BLK)=0,MOD(AG730,CFG_BLK)=0,AG730&gt;0),1,0),1)</f>
        <v>1</v>
      </c>
      <c r="BC730" s="80" t="str">
        <f>IF(Y730=0,"",IF(NOT(ISNUMBER(B730)),"Falta fecha o fecha inválida",IF(D730="","Falta empresa",IF(AND(D730&lt;&gt;"Malcolm",D730&lt;&gt;"proMX"),"Empresa inválida",IF(OR(INT(B730)&lt;CFG_PSTART,INT(B730)&gt;CFG_PEND),"Fecha fuera del período",IF(OR(NOT(ISNUMBER(Z730)),NOT(ISNUMBER(AA730))),"Falta hora inicio/fin o formato inválido",IF(AB730=0,"Hora inicio = hora fin",IF(AE730&lt;0,"Descanso inválido",IF(AE730&gt;=AD730,"Descanso ≥ duración",IF(AV730=1,"Registro duplicado",IF(AZ730&gt;0,"Se superpone con otro registro "&amp;D730,IF(BB730=0,"inicio, fin y duración neta deben ser múltiplos de "&amp;CFG_BLK&amp;" min",""))))))))))))</f>
        <v/>
      </c>
      <c r="BD730" s="80">
        <f>IF(AND(Y730=1,BC730=""),1,0)</f>
        <v>0</v>
      </c>
      <c r="BE730" s="80">
        <f>IF(AND(BD730=1,AU730=1),1,0)</f>
        <v>0</v>
      </c>
      <c r="BF730" s="80" t="str">
        <f>IF(AND(D730="proMX",BD730=1),IF(R730="","Draft",R730),"")</f>
        <v/>
      </c>
      <c r="BG730" s="80">
        <f>IF(BD730=1,ROUND(AG730/60,6),0)</f>
        <v>0</v>
      </c>
      <c r="BH730" s="80">
        <f>IF(BE730=1,ROUND(AG730/60,6),0)</f>
        <v>0</v>
      </c>
      <c r="BI730" s="80">
        <f>IF(BE730=1,ROUND(AP730/60,6),0)</f>
        <v>0</v>
      </c>
      <c r="BJ730" s="80">
        <f>IF(BE730=1,ROUND(AQ730/60,6),0)</f>
        <v>0</v>
      </c>
      <c r="BK730" s="80">
        <f>IF(BE730=1,ROUND((AR730+AS730)/60,6),0)</f>
        <v>0</v>
      </c>
      <c r="BL730" s="80">
        <f>ROUND(BH730-BK730,6)</f>
        <v>0</v>
      </c>
      <c r="BM730" s="80">
        <f>IF(BE730=1,ROUND(AR730/60,6),0)</f>
        <v>0</v>
      </c>
      <c r="BN730" s="80">
        <f>ROUND(BI730-BM730,6)</f>
        <v>0</v>
      </c>
      <c r="BO730" s="80">
        <f>IF(BE730=1,ROUND(AS730/60,6),0)</f>
        <v>0</v>
      </c>
      <c r="BP730" s="80">
        <f>ROUND(BJ730-BO730,6)</f>
        <v>0</v>
      </c>
      <c r="BQ730" s="80">
        <f>IF(BE730=1,AW730,0)</f>
        <v>0</v>
      </c>
      <c r="BR730" s="80">
        <f>IF(BE730=1,AX730,0)</f>
        <v>0</v>
      </c>
      <c r="BS730" s="80">
        <f>IF(AND(BE730=1,D730="Malcolm",BA730&gt;0),MIN(BH730,SUMPRODUCT((R_Emp="proMX")*(R_EN&gt;0)*((R_EN-(R_EN&gt;BR730)*(R_EN-BR730))&gt;(R_SN+(R_SN&lt;BQ730)*(BQ730-R_SN)))*((R_EN-(R_EN&gt;BR730)*(R_EN-BR730))-(R_SN+(R_SN&lt;BQ730)*(BQ730-R_SN))))/60),0)</f>
        <v>0</v>
      </c>
      <c r="BT730" s="80">
        <f>IF(AND(BE730=1,D730="proMX"),ROUND(BI730*CFG_RATE+BJ730*CFG_OTRATE,6),0)</f>
        <v>0</v>
      </c>
      <c r="BU730" s="80">
        <f>IF(AND(BD730=1,D730="proMX"),ROUND(AG730/CFG_BLK,6),0)</f>
        <v>0</v>
      </c>
      <c r="BV730" s="80" t="str">
        <f>IF(BF730="Approved",IF(ISNUMBER(T730),INT(T730),INT(B730)),"")</f>
        <v/>
      </c>
      <c r="BW730" s="80">
        <f>IF(ISNUMBER(B730),IF(DB_MON="Todos",1,IF(AND(INT(B730)&gt;=DB_MS,INT(B730)&lt;=DB_ME),1,0)),0)</f>
        <v>0</v>
      </c>
      <c r="BX730" s="80">
        <f>IF(DB_PROJ="Todos",1,IF(E730&amp;""=DB_PROJ&amp;"",1,0))</f>
        <v>1</v>
      </c>
      <c r="BY730" s="80">
        <f>BW730*BX730</f>
        <v>0</v>
      </c>
      <c r="BZ730" s="80" t="str">
        <f>IF(Y730=1,F730&amp;IF(AND(F730&amp;""&lt;&gt;"",E730&amp;""&lt;&gt;"")," · ","")&amp;E730,"")</f>
        <v/>
      </c>
      <c r="CA730" s="80" t="str">
        <f>IF(AND(BD730=1,E730&amp;""&lt;&gt;""),IF(COUNTIFS($E$5:E729,E730,$BD$5:BD729,1)=0,MAX($CA$5:CA729)+1,""),"")</f>
        <v/>
      </c>
      <c r="CB730" s="80" t="str">
        <f>IF(AND(BE730=1,D730="Malcolm",E730&amp;""&lt;&gt;""),IF(COUNTIFS($D$5:D729,"Malcolm",$E$5:E729,E730,$BE$5:BE729,1)=0,MAX($CB$5:CB729)+1,""),"")</f>
        <v/>
      </c>
      <c r="CC730" s="80" t="str">
        <f>IF(AND(BD730=1,D730="proMX",E730&amp;""&lt;&gt;""),IF(COUNTIFS($D$5:D729,"proMX",$E$5:E729,E730,$BD$5:BD729,1)=0,MAX($CC$5:CC729)+1,""),"")</f>
        <v/>
      </c>
      <c r="CD730" s="80" t="str">
        <f>IF(AND(BE730=1,D730="Malcolm",F730&amp;""&lt;&gt;""),IF(COUNTIFS($D$5:D729,"Malcolm",$F$5:F729,F730,$BE$5:BE729,1)=0,MAX($CD$5:CD729)+1,""),"")</f>
        <v/>
      </c>
      <c r="CE730" s="80" t="str">
        <f>IF(AND(BD730=1,D730="proMX",F730&amp;""&lt;&gt;""),IF(COUNTIFS($D$5:D729,"proMX",$F$5:F729,F730,$BD$5:BD729,1)=0,MAX($CE$5:CE729)+1,""),"")</f>
        <v/>
      </c>
      <c r="CF730" s="80" t="str">
        <f>IF(AND(D730="proMX",BD730=1),IF(OR(BF730="Draft",BF730="Submitted",BF730="Returned",BF730="Recall Requested"),MAX($CF$5:CF729)+1,""),"")</f>
        <v/>
      </c>
      <c r="CG730" s="80">
        <f>IF(BD730=0,0,IF(D730="Malcolm",1,MATCH(BF730,{"Draft","Submitted","Approved","Returned","Recall Requested","Cancelled"},0)+1))</f>
        <v>0</v>
      </c>
      <c r="CH730" s="80">
        <f>IF(AND(BF730="Submitted",ISNUMBER(V730)),IF(V730&gt;CFG_MAXD,1,0),0)</f>
        <v>0</v>
      </c>
    </row>
    <row r="731">
      <c r="A731" s="71" t="str">
        <f>IF(Y731=1,ROW()-5,"")</f>
        <v/>
      </c>
      <c r="B731" s="72" t="n"/>
      <c r="C731" s="71" t="str">
        <f>IF(ISNUMBER(B731),CHOOSE(WEEKDAY(B731,2),"Lun","Mar","Mié","Jue","Vie","Sáb","Dom"),"")</f>
        <v/>
      </c>
      <c r="D731" s="73" t="n"/>
      <c r="E731" s="74" t="n"/>
      <c r="F731" s="74" t="n"/>
      <c r="G731" s="74" t="n"/>
      <c r="H731" s="75" t="n"/>
      <c r="I731" s="75" t="n"/>
      <c r="J731" s="76" t="n"/>
      <c r="K731" s="77" t="str">
        <f>IF(AB731=1,ROUND(AG731/60,4),"")</f>
        <v/>
      </c>
      <c r="L731" s="77" t="str">
        <f>IF(BD731=1,ROUND(AP731/60,4),"")</f>
        <v/>
      </c>
      <c r="M731" s="77" t="str">
        <f>IF(BD731=1,ROUND(AQ731/60,4),"")</f>
        <v/>
      </c>
      <c r="N731" s="71" t="str">
        <f>IF(AND(D731="proMX",AB731=1),ROUND(AG731/CFG_BLK,2),"")</f>
        <v/>
      </c>
      <c r="O731" s="77" t="str">
        <f>IF(D731="proMX",IF(BD731=1,ROUND(AG731/60,4),0),"")</f>
        <v/>
      </c>
      <c r="P731" s="78" t="str">
        <f>IF(Y731=0,"",IF(BD731=1,"OK",IF(D731="proMX","Revisar bloques: ","Revisar: ")&amp;BC731))</f>
        <v/>
      </c>
      <c r="Q731" s="78" t="str">
        <f>IF(NOT(ISNUMBER(B731)),"",IF(COUNTIFS(FER_F,INT(B731))&gt;0,"Feriado"&amp;IF(AH731=1," (laborable)"," (no laborable)"),IF(AH731=1,"Laborable",IF(WEEKDAY(B731,2)&gt;5,"Fin de semana","No laborable"))))</f>
        <v/>
      </c>
      <c r="R731" s="73" t="n"/>
      <c r="S731" s="72" t="n"/>
      <c r="T731" s="72" t="n"/>
      <c r="U731" s="74" t="n"/>
      <c r="V731" s="79" t="str">
        <f>IF(AND(D731="proMX",OR(R731="Submitted",R731="Recall Requested"),ISNUMBER(S731)),CFG_TODAY-INT(S731),"")</f>
        <v/>
      </c>
      <c r="W731" s="78" t="str">
        <f>IF(BD731=0,"",IF(BA731&gt;0,"⚠ Se superpone con un registro de la otra empresa",IF(D731="Malcolm",IF(COUNTA(R731,S731,T731)&gt;0,"Estado/fechas proMX se ignoran en Malcolm",""),IF(BF731="Cancelled","Cancelado: excluido de totales",IF(R731="","Sin estado: se trata como Draft",IF(BF731="Submitted",IF(ISNUMBER(V731),IF(V731&gt;CFG_MAXD,"⚠ "&amp;V731&amp;" días en Submitted (máx. "&amp;CFG_MAXD&amp;")",""),"Falta fecha de envío"),IF(BF731="Returned","⚠ Devuelto: corregir y reenviar",IF(BF731="Recall Requested","Retirada solicitada: pendiente",IF(AND(BF731="Approved",NOT(ISNUMBER(T731))),"Falta fecha de aprobación",IF(AND(ISNUMBER(S731),ISNUMBER(T731),T731&lt;S731),"Aprobación anterior al envío","")))))))))</f>
        <v/>
      </c>
      <c r="Y731" s="80">
        <f>IF(COUNTA(B731,D731,E731,F731,G731,H731,I731,J731,R731,S731,T731)&gt;0,1,0)</f>
        <v>0</v>
      </c>
      <c r="Z731" s="80" t="str">
        <f>IF(AND(ISNUMBER(H731),H731&gt;=0,H731&lt;1),ROUND(H731*1440,0),"")</f>
        <v/>
      </c>
      <c r="AA731" s="80" t="str">
        <f>IF(AND(ISNUMBER(I731),I731&gt;=0,I731&lt;1),ROUND(I731*1440,0),"")</f>
        <v/>
      </c>
      <c r="AB731" s="80">
        <f>IF(AND(ISNUMBER(B731),D731&lt;&gt;"",ISNUMBER(Z731),ISNUMBER(AA731)),IF(Z731=AA731,0,1),0)</f>
        <v>0</v>
      </c>
      <c r="AC731" s="80">
        <f>IF(AB731=1,IF(AA731&lt;Z731,1,0),0)</f>
        <v>0</v>
      </c>
      <c r="AD731" s="80">
        <f>IF(AB731=1,IF(AC731=1,1440-Z731+AA731,AA731-Z731),0)</f>
        <v>0</v>
      </c>
      <c r="AE731" s="80">
        <f>IF(J731="",0,IF(ISNUMBER(J731),J731,-1))</f>
        <v>0</v>
      </c>
      <c r="AF731" s="80">
        <f>MIN(MAX(0,AE731),AD731)</f>
        <v>0</v>
      </c>
      <c r="AG731" s="80">
        <f>MAX(0,AD731-MAX(0,AE731))</f>
        <v>0</v>
      </c>
      <c r="AH731" s="80">
        <f>IF(ISNUMBER(B731),IF(AND(INDEX(CFG_WDAYS,WEEKDAY(INT(B731),2))="Sí",IF(D731="proMX",COUNTIFS(FER_F,INT(B731),FER_NLP,"Sí"),COUNTIFS(FER_F,INT(B731),FER_NLM,"Sí"))=0),1,0),0)</f>
        <v>0</v>
      </c>
      <c r="AI731" s="80">
        <f>IF(AC731=1,IF(AND(INDEX(CFG_WDAYS,WEEKDAY(INT(B731)+1,2))="Sí",IF(D731="proMX",COUNTIFS(FER_F,INT(B731)+1,FER_NLP,"Sí"),COUNTIFS(FER_F,INT(B731)+1,FER_NLM,"Sí"))=0),1,0),0)</f>
        <v>0</v>
      </c>
      <c r="AJ731" s="80">
        <f>IF(AC731=1,1440-Z731,AD731)</f>
        <v>0</v>
      </c>
      <c r="AK731" s="80">
        <f>IF(AND(AB731=1,AH731=1),MAX(0,MIN(IF(AC731=1,1440,AA731),CFG_WEM)-MAX(Z731,CFG_WSM)),0)</f>
        <v>0</v>
      </c>
      <c r="AL731" s="80">
        <f>IF(AND(AC731=1,AI731=1),MAX(0,MIN(AA731,CFG_WEM)-CFG_WSM),0)</f>
        <v>0</v>
      </c>
      <c r="AM731" s="80">
        <f>AK731+AL731</f>
        <v>0</v>
      </c>
      <c r="AN731" s="80">
        <f>IF(CFG_BRK="Proporcional",IF(AD731=0,0,AF731*AM731/AD731),IF(CFG_BRK="Extras primero",MIN(AM731,MAX(0,AF731-(AD731-AM731))),MIN(AF731,AM731)))</f>
        <v>0</v>
      </c>
      <c r="AO731" s="80">
        <f>AF731-AN731</f>
        <v>0</v>
      </c>
      <c r="AP731" s="80">
        <f>AM731-AN731</f>
        <v>0</v>
      </c>
      <c r="AQ731" s="80">
        <f>AD731-AM731-AO731</f>
        <v>0</v>
      </c>
      <c r="AR731" s="80">
        <f>IF(AM731=0,0,AK731-AN731*AK731/AM731)</f>
        <v>0</v>
      </c>
      <c r="AS731" s="80">
        <f>IF(AD731-AM731=0,0,(AJ731-AK731)-AO731*(AJ731-AK731)/(AD731-AM731))</f>
        <v>0</v>
      </c>
      <c r="AT731" s="80" t="str">
        <f>IF(AC731=1,INT(B731)+1,"")</f>
        <v/>
      </c>
      <c r="AU731" s="80">
        <f>IF(AND(D731="proMX",R731="Cancelled"),0,1)</f>
        <v>1</v>
      </c>
      <c r="AV731" s="80">
        <f>IF(AND(AB731=1,AU731=1),IF(COUNTIFS($D$5:D730,D731,$B$5:B730,B731,$Z$5:Z730,Z731,$AA$5:AA730,AA731,$F$5:F730,F731&amp;"",$AU$5:AU730,1)&gt;0,1,0),0)</f>
        <v>0</v>
      </c>
      <c r="AW731" s="80" t="str">
        <f>IF(AB731=1,INT(B731)*1440+Z731,"")</f>
        <v/>
      </c>
      <c r="AX731" s="80" t="str">
        <f>IF(AB731=1,AW731+AD731,"")</f>
        <v/>
      </c>
      <c r="AY731" s="80">
        <f>IF(AND(AB731=1,AV731=0,AU731=1),1,0)</f>
        <v>0</v>
      </c>
      <c r="AZ731" s="80">
        <f>IF(AY731=1,COUNTIFS(R_Emp,D731,R_SAbs,"&lt;"&amp;AX731,R_EAbs,"&gt;"&amp;AW731,R_OKey,1)-1,0)</f>
        <v>0</v>
      </c>
      <c r="BA731" s="80">
        <f>IF(AY731=1,COUNTIFS(R_Emp,"&lt;&gt;"&amp;D731,R_SAbs,"&lt;"&amp;AX731,R_EAbs,"&gt;"&amp;AW731,R_OKey,1),0)</f>
        <v>0</v>
      </c>
      <c r="BB731" s="80">
        <f>IF(AND(AB731=1,D731="proMX"),IF(AND(MOD(Z731,CFG_BLK)=0,MOD(AA731,CFG_BLK)=0,MOD(AG731,CFG_BLK)=0,AG731&gt;0),1,0),1)</f>
        <v>1</v>
      </c>
      <c r="BC731" s="80" t="str">
        <f>IF(Y731=0,"",IF(NOT(ISNUMBER(B731)),"Falta fecha o fecha inválida",IF(D731="","Falta empresa",IF(AND(D731&lt;&gt;"Malcolm",D731&lt;&gt;"proMX"),"Empresa inválida",IF(OR(INT(B731)&lt;CFG_PSTART,INT(B731)&gt;CFG_PEND),"Fecha fuera del período",IF(OR(NOT(ISNUMBER(Z731)),NOT(ISNUMBER(AA731))),"Falta hora inicio/fin o formato inválido",IF(AB731=0,"Hora inicio = hora fin",IF(AE731&lt;0,"Descanso inválido",IF(AE731&gt;=AD731,"Descanso ≥ duración",IF(AV731=1,"Registro duplicado",IF(AZ731&gt;0,"Se superpone con otro registro "&amp;D731,IF(BB731=0,"inicio, fin y duración neta deben ser múltiplos de "&amp;CFG_BLK&amp;" min",""))))))))))))</f>
        <v/>
      </c>
      <c r="BD731" s="80">
        <f>IF(AND(Y731=1,BC731=""),1,0)</f>
        <v>0</v>
      </c>
      <c r="BE731" s="80">
        <f>IF(AND(BD731=1,AU731=1),1,0)</f>
        <v>0</v>
      </c>
      <c r="BF731" s="80" t="str">
        <f>IF(AND(D731="proMX",BD731=1),IF(R731="","Draft",R731),"")</f>
        <v/>
      </c>
      <c r="BG731" s="80">
        <f>IF(BD731=1,ROUND(AG731/60,6),0)</f>
        <v>0</v>
      </c>
      <c r="BH731" s="80">
        <f>IF(BE731=1,ROUND(AG731/60,6),0)</f>
        <v>0</v>
      </c>
      <c r="BI731" s="80">
        <f>IF(BE731=1,ROUND(AP731/60,6),0)</f>
        <v>0</v>
      </c>
      <c r="BJ731" s="80">
        <f>IF(BE731=1,ROUND(AQ731/60,6),0)</f>
        <v>0</v>
      </c>
      <c r="BK731" s="80">
        <f>IF(BE731=1,ROUND((AR731+AS731)/60,6),0)</f>
        <v>0</v>
      </c>
      <c r="BL731" s="80">
        <f>ROUND(BH731-BK731,6)</f>
        <v>0</v>
      </c>
      <c r="BM731" s="80">
        <f>IF(BE731=1,ROUND(AR731/60,6),0)</f>
        <v>0</v>
      </c>
      <c r="BN731" s="80">
        <f>ROUND(BI731-BM731,6)</f>
        <v>0</v>
      </c>
      <c r="BO731" s="80">
        <f>IF(BE731=1,ROUND(AS731/60,6),0)</f>
        <v>0</v>
      </c>
      <c r="BP731" s="80">
        <f>ROUND(BJ731-BO731,6)</f>
        <v>0</v>
      </c>
      <c r="BQ731" s="80">
        <f>IF(BE731=1,AW731,0)</f>
        <v>0</v>
      </c>
      <c r="BR731" s="80">
        <f>IF(BE731=1,AX731,0)</f>
        <v>0</v>
      </c>
      <c r="BS731" s="80">
        <f>IF(AND(BE731=1,D731="Malcolm",BA731&gt;0),MIN(BH731,SUMPRODUCT((R_Emp="proMX")*(R_EN&gt;0)*((R_EN-(R_EN&gt;BR731)*(R_EN-BR731))&gt;(R_SN+(R_SN&lt;BQ731)*(BQ731-R_SN)))*((R_EN-(R_EN&gt;BR731)*(R_EN-BR731))-(R_SN+(R_SN&lt;BQ731)*(BQ731-R_SN))))/60),0)</f>
        <v>0</v>
      </c>
      <c r="BT731" s="80">
        <f>IF(AND(BE731=1,D731="proMX"),ROUND(BI731*CFG_RATE+BJ731*CFG_OTRATE,6),0)</f>
        <v>0</v>
      </c>
      <c r="BU731" s="80">
        <f>IF(AND(BD731=1,D731="proMX"),ROUND(AG731/CFG_BLK,6),0)</f>
        <v>0</v>
      </c>
      <c r="BV731" s="80" t="str">
        <f>IF(BF731="Approved",IF(ISNUMBER(T731),INT(T731),INT(B731)),"")</f>
        <v/>
      </c>
      <c r="BW731" s="80">
        <f>IF(ISNUMBER(B731),IF(DB_MON="Todos",1,IF(AND(INT(B731)&gt;=DB_MS,INT(B731)&lt;=DB_ME),1,0)),0)</f>
        <v>0</v>
      </c>
      <c r="BX731" s="80">
        <f>IF(DB_PROJ="Todos",1,IF(E731&amp;""=DB_PROJ&amp;"",1,0))</f>
        <v>1</v>
      </c>
      <c r="BY731" s="80">
        <f>BW731*BX731</f>
        <v>0</v>
      </c>
      <c r="BZ731" s="80" t="str">
        <f>IF(Y731=1,F731&amp;IF(AND(F731&amp;""&lt;&gt;"",E731&amp;""&lt;&gt;"")," · ","")&amp;E731,"")</f>
        <v/>
      </c>
      <c r="CA731" s="80" t="str">
        <f>IF(AND(BD731=1,E731&amp;""&lt;&gt;""),IF(COUNTIFS($E$5:E730,E731,$BD$5:BD730,1)=0,MAX($CA$5:CA730)+1,""),"")</f>
        <v/>
      </c>
      <c r="CB731" s="80" t="str">
        <f>IF(AND(BE731=1,D731="Malcolm",E731&amp;""&lt;&gt;""),IF(COUNTIFS($D$5:D730,"Malcolm",$E$5:E730,E731,$BE$5:BE730,1)=0,MAX($CB$5:CB730)+1,""),"")</f>
        <v/>
      </c>
      <c r="CC731" s="80" t="str">
        <f>IF(AND(BD731=1,D731="proMX",E731&amp;""&lt;&gt;""),IF(COUNTIFS($D$5:D730,"proMX",$E$5:E730,E731,$BD$5:BD730,1)=0,MAX($CC$5:CC730)+1,""),"")</f>
        <v/>
      </c>
      <c r="CD731" s="80" t="str">
        <f>IF(AND(BE731=1,D731="Malcolm",F731&amp;""&lt;&gt;""),IF(COUNTIFS($D$5:D730,"Malcolm",$F$5:F730,F731,$BE$5:BE730,1)=0,MAX($CD$5:CD730)+1,""),"")</f>
        <v/>
      </c>
      <c r="CE731" s="80" t="str">
        <f>IF(AND(BD731=1,D731="proMX",F731&amp;""&lt;&gt;""),IF(COUNTIFS($D$5:D730,"proMX",$F$5:F730,F731,$BD$5:BD730,1)=0,MAX($CE$5:CE730)+1,""),"")</f>
        <v/>
      </c>
      <c r="CF731" s="80" t="str">
        <f>IF(AND(D731="proMX",BD731=1),IF(OR(BF731="Draft",BF731="Submitted",BF731="Returned",BF731="Recall Requested"),MAX($CF$5:CF730)+1,""),"")</f>
        <v/>
      </c>
      <c r="CG731" s="80">
        <f>IF(BD731=0,0,IF(D731="Malcolm",1,MATCH(BF731,{"Draft","Submitted","Approved","Returned","Recall Requested","Cancelled"},0)+1))</f>
        <v>0</v>
      </c>
      <c r="CH731" s="80">
        <f>IF(AND(BF731="Submitted",ISNUMBER(V731)),IF(V731&gt;CFG_MAXD,1,0),0)</f>
        <v>0</v>
      </c>
    </row>
    <row r="732">
      <c r="A732" s="71" t="str">
        <f>IF(Y732=1,ROW()-5,"")</f>
        <v/>
      </c>
      <c r="B732" s="72" t="n"/>
      <c r="C732" s="71" t="str">
        <f>IF(ISNUMBER(B732),CHOOSE(WEEKDAY(B732,2),"Lun","Mar","Mié","Jue","Vie","Sáb","Dom"),"")</f>
        <v/>
      </c>
      <c r="D732" s="73" t="n"/>
      <c r="E732" s="74" t="n"/>
      <c r="F732" s="74" t="n"/>
      <c r="G732" s="74" t="n"/>
      <c r="H732" s="75" t="n"/>
      <c r="I732" s="75" t="n"/>
      <c r="J732" s="76" t="n"/>
      <c r="K732" s="77" t="str">
        <f>IF(AB732=1,ROUND(AG732/60,4),"")</f>
        <v/>
      </c>
      <c r="L732" s="77" t="str">
        <f>IF(BD732=1,ROUND(AP732/60,4),"")</f>
        <v/>
      </c>
      <c r="M732" s="77" t="str">
        <f>IF(BD732=1,ROUND(AQ732/60,4),"")</f>
        <v/>
      </c>
      <c r="N732" s="71" t="str">
        <f>IF(AND(D732="proMX",AB732=1),ROUND(AG732/CFG_BLK,2),"")</f>
        <v/>
      </c>
      <c r="O732" s="77" t="str">
        <f>IF(D732="proMX",IF(BD732=1,ROUND(AG732/60,4),0),"")</f>
        <v/>
      </c>
      <c r="P732" s="78" t="str">
        <f>IF(Y732=0,"",IF(BD732=1,"OK",IF(D732="proMX","Revisar bloques: ","Revisar: ")&amp;BC732))</f>
        <v/>
      </c>
      <c r="Q732" s="78" t="str">
        <f>IF(NOT(ISNUMBER(B732)),"",IF(COUNTIFS(FER_F,INT(B732))&gt;0,"Feriado"&amp;IF(AH732=1," (laborable)"," (no laborable)"),IF(AH732=1,"Laborable",IF(WEEKDAY(B732,2)&gt;5,"Fin de semana","No laborable"))))</f>
        <v/>
      </c>
      <c r="R732" s="73" t="n"/>
      <c r="S732" s="72" t="n"/>
      <c r="T732" s="72" t="n"/>
      <c r="U732" s="74" t="n"/>
      <c r="V732" s="79" t="str">
        <f>IF(AND(D732="proMX",OR(R732="Submitted",R732="Recall Requested"),ISNUMBER(S732)),CFG_TODAY-INT(S732),"")</f>
        <v/>
      </c>
      <c r="W732" s="78" t="str">
        <f>IF(BD732=0,"",IF(BA732&gt;0,"⚠ Se superpone con un registro de la otra empresa",IF(D732="Malcolm",IF(COUNTA(R732,S732,T732)&gt;0,"Estado/fechas proMX se ignoran en Malcolm",""),IF(BF732="Cancelled","Cancelado: excluido de totales",IF(R732="","Sin estado: se trata como Draft",IF(BF732="Submitted",IF(ISNUMBER(V732),IF(V732&gt;CFG_MAXD,"⚠ "&amp;V732&amp;" días en Submitted (máx. "&amp;CFG_MAXD&amp;")",""),"Falta fecha de envío"),IF(BF732="Returned","⚠ Devuelto: corregir y reenviar",IF(BF732="Recall Requested","Retirada solicitada: pendiente",IF(AND(BF732="Approved",NOT(ISNUMBER(T732))),"Falta fecha de aprobación",IF(AND(ISNUMBER(S732),ISNUMBER(T732),T732&lt;S732),"Aprobación anterior al envío","")))))))))</f>
        <v/>
      </c>
      <c r="Y732" s="80">
        <f>IF(COUNTA(B732,D732,E732,F732,G732,H732,I732,J732,R732,S732,T732)&gt;0,1,0)</f>
        <v>0</v>
      </c>
      <c r="Z732" s="80" t="str">
        <f>IF(AND(ISNUMBER(H732),H732&gt;=0,H732&lt;1),ROUND(H732*1440,0),"")</f>
        <v/>
      </c>
      <c r="AA732" s="80" t="str">
        <f>IF(AND(ISNUMBER(I732),I732&gt;=0,I732&lt;1),ROUND(I732*1440,0),"")</f>
        <v/>
      </c>
      <c r="AB732" s="80">
        <f>IF(AND(ISNUMBER(B732),D732&lt;&gt;"",ISNUMBER(Z732),ISNUMBER(AA732)),IF(Z732=AA732,0,1),0)</f>
        <v>0</v>
      </c>
      <c r="AC732" s="80">
        <f>IF(AB732=1,IF(AA732&lt;Z732,1,0),0)</f>
        <v>0</v>
      </c>
      <c r="AD732" s="80">
        <f>IF(AB732=1,IF(AC732=1,1440-Z732+AA732,AA732-Z732),0)</f>
        <v>0</v>
      </c>
      <c r="AE732" s="80">
        <f>IF(J732="",0,IF(ISNUMBER(J732),J732,-1))</f>
        <v>0</v>
      </c>
      <c r="AF732" s="80">
        <f>MIN(MAX(0,AE732),AD732)</f>
        <v>0</v>
      </c>
      <c r="AG732" s="80">
        <f>MAX(0,AD732-MAX(0,AE732))</f>
        <v>0</v>
      </c>
      <c r="AH732" s="80">
        <f>IF(ISNUMBER(B732),IF(AND(INDEX(CFG_WDAYS,WEEKDAY(INT(B732),2))="Sí",IF(D732="proMX",COUNTIFS(FER_F,INT(B732),FER_NLP,"Sí"),COUNTIFS(FER_F,INT(B732),FER_NLM,"Sí"))=0),1,0),0)</f>
        <v>0</v>
      </c>
      <c r="AI732" s="80">
        <f>IF(AC732=1,IF(AND(INDEX(CFG_WDAYS,WEEKDAY(INT(B732)+1,2))="Sí",IF(D732="proMX",COUNTIFS(FER_F,INT(B732)+1,FER_NLP,"Sí"),COUNTIFS(FER_F,INT(B732)+1,FER_NLM,"Sí"))=0),1,0),0)</f>
        <v>0</v>
      </c>
      <c r="AJ732" s="80">
        <f>IF(AC732=1,1440-Z732,AD732)</f>
        <v>0</v>
      </c>
      <c r="AK732" s="80">
        <f>IF(AND(AB732=1,AH732=1),MAX(0,MIN(IF(AC732=1,1440,AA732),CFG_WEM)-MAX(Z732,CFG_WSM)),0)</f>
        <v>0</v>
      </c>
      <c r="AL732" s="80">
        <f>IF(AND(AC732=1,AI732=1),MAX(0,MIN(AA732,CFG_WEM)-CFG_WSM),0)</f>
        <v>0</v>
      </c>
      <c r="AM732" s="80">
        <f>AK732+AL732</f>
        <v>0</v>
      </c>
      <c r="AN732" s="80">
        <f>IF(CFG_BRK="Proporcional",IF(AD732=0,0,AF732*AM732/AD732),IF(CFG_BRK="Extras primero",MIN(AM732,MAX(0,AF732-(AD732-AM732))),MIN(AF732,AM732)))</f>
        <v>0</v>
      </c>
      <c r="AO732" s="80">
        <f>AF732-AN732</f>
        <v>0</v>
      </c>
      <c r="AP732" s="80">
        <f>AM732-AN732</f>
        <v>0</v>
      </c>
      <c r="AQ732" s="80">
        <f>AD732-AM732-AO732</f>
        <v>0</v>
      </c>
      <c r="AR732" s="80">
        <f>IF(AM732=0,0,AK732-AN732*AK732/AM732)</f>
        <v>0</v>
      </c>
      <c r="AS732" s="80">
        <f>IF(AD732-AM732=0,0,(AJ732-AK732)-AO732*(AJ732-AK732)/(AD732-AM732))</f>
        <v>0</v>
      </c>
      <c r="AT732" s="80" t="str">
        <f>IF(AC732=1,INT(B732)+1,"")</f>
        <v/>
      </c>
      <c r="AU732" s="80">
        <f>IF(AND(D732="proMX",R732="Cancelled"),0,1)</f>
        <v>1</v>
      </c>
      <c r="AV732" s="80">
        <f>IF(AND(AB732=1,AU732=1),IF(COUNTIFS($D$5:D731,D732,$B$5:B731,B732,$Z$5:Z731,Z732,$AA$5:AA731,AA732,$F$5:F731,F732&amp;"",$AU$5:AU731,1)&gt;0,1,0),0)</f>
        <v>0</v>
      </c>
      <c r="AW732" s="80" t="str">
        <f>IF(AB732=1,INT(B732)*1440+Z732,"")</f>
        <v/>
      </c>
      <c r="AX732" s="80" t="str">
        <f>IF(AB732=1,AW732+AD732,"")</f>
        <v/>
      </c>
      <c r="AY732" s="80">
        <f>IF(AND(AB732=1,AV732=0,AU732=1),1,0)</f>
        <v>0</v>
      </c>
      <c r="AZ732" s="80">
        <f>IF(AY732=1,COUNTIFS(R_Emp,D732,R_SAbs,"&lt;"&amp;AX732,R_EAbs,"&gt;"&amp;AW732,R_OKey,1)-1,0)</f>
        <v>0</v>
      </c>
      <c r="BA732" s="80">
        <f>IF(AY732=1,COUNTIFS(R_Emp,"&lt;&gt;"&amp;D732,R_SAbs,"&lt;"&amp;AX732,R_EAbs,"&gt;"&amp;AW732,R_OKey,1),0)</f>
        <v>0</v>
      </c>
      <c r="BB732" s="80">
        <f>IF(AND(AB732=1,D732="proMX"),IF(AND(MOD(Z732,CFG_BLK)=0,MOD(AA732,CFG_BLK)=0,MOD(AG732,CFG_BLK)=0,AG732&gt;0),1,0),1)</f>
        <v>1</v>
      </c>
      <c r="BC732" s="80" t="str">
        <f>IF(Y732=0,"",IF(NOT(ISNUMBER(B732)),"Falta fecha o fecha inválida",IF(D732="","Falta empresa",IF(AND(D732&lt;&gt;"Malcolm",D732&lt;&gt;"proMX"),"Empresa inválida",IF(OR(INT(B732)&lt;CFG_PSTART,INT(B732)&gt;CFG_PEND),"Fecha fuera del período",IF(OR(NOT(ISNUMBER(Z732)),NOT(ISNUMBER(AA732))),"Falta hora inicio/fin o formato inválido",IF(AB732=0,"Hora inicio = hora fin",IF(AE732&lt;0,"Descanso inválido",IF(AE732&gt;=AD732,"Descanso ≥ duración",IF(AV732=1,"Registro duplicado",IF(AZ732&gt;0,"Se superpone con otro registro "&amp;D732,IF(BB732=0,"inicio, fin y duración neta deben ser múltiplos de "&amp;CFG_BLK&amp;" min",""))))))))))))</f>
        <v/>
      </c>
      <c r="BD732" s="80">
        <f>IF(AND(Y732=1,BC732=""),1,0)</f>
        <v>0</v>
      </c>
      <c r="BE732" s="80">
        <f>IF(AND(BD732=1,AU732=1),1,0)</f>
        <v>0</v>
      </c>
      <c r="BF732" s="80" t="str">
        <f>IF(AND(D732="proMX",BD732=1),IF(R732="","Draft",R732),"")</f>
        <v/>
      </c>
      <c r="BG732" s="80">
        <f>IF(BD732=1,ROUND(AG732/60,6),0)</f>
        <v>0</v>
      </c>
      <c r="BH732" s="80">
        <f>IF(BE732=1,ROUND(AG732/60,6),0)</f>
        <v>0</v>
      </c>
      <c r="BI732" s="80">
        <f>IF(BE732=1,ROUND(AP732/60,6),0)</f>
        <v>0</v>
      </c>
      <c r="BJ732" s="80">
        <f>IF(BE732=1,ROUND(AQ732/60,6),0)</f>
        <v>0</v>
      </c>
      <c r="BK732" s="80">
        <f>IF(BE732=1,ROUND((AR732+AS732)/60,6),0)</f>
        <v>0</v>
      </c>
      <c r="BL732" s="80">
        <f>ROUND(BH732-BK732,6)</f>
        <v>0</v>
      </c>
      <c r="BM732" s="80">
        <f>IF(BE732=1,ROUND(AR732/60,6),0)</f>
        <v>0</v>
      </c>
      <c r="BN732" s="80">
        <f>ROUND(BI732-BM732,6)</f>
        <v>0</v>
      </c>
      <c r="BO732" s="80">
        <f>IF(BE732=1,ROUND(AS732/60,6),0)</f>
        <v>0</v>
      </c>
      <c r="BP732" s="80">
        <f>ROUND(BJ732-BO732,6)</f>
        <v>0</v>
      </c>
      <c r="BQ732" s="80">
        <f>IF(BE732=1,AW732,0)</f>
        <v>0</v>
      </c>
      <c r="BR732" s="80">
        <f>IF(BE732=1,AX732,0)</f>
        <v>0</v>
      </c>
      <c r="BS732" s="80">
        <f>IF(AND(BE732=1,D732="Malcolm",BA732&gt;0),MIN(BH732,SUMPRODUCT((R_Emp="proMX")*(R_EN&gt;0)*((R_EN-(R_EN&gt;BR732)*(R_EN-BR732))&gt;(R_SN+(R_SN&lt;BQ732)*(BQ732-R_SN)))*((R_EN-(R_EN&gt;BR732)*(R_EN-BR732))-(R_SN+(R_SN&lt;BQ732)*(BQ732-R_SN))))/60),0)</f>
        <v>0</v>
      </c>
      <c r="BT732" s="80">
        <f>IF(AND(BE732=1,D732="proMX"),ROUND(BI732*CFG_RATE+BJ732*CFG_OTRATE,6),0)</f>
        <v>0</v>
      </c>
      <c r="BU732" s="80">
        <f>IF(AND(BD732=1,D732="proMX"),ROUND(AG732/CFG_BLK,6),0)</f>
        <v>0</v>
      </c>
      <c r="BV732" s="80" t="str">
        <f>IF(BF732="Approved",IF(ISNUMBER(T732),INT(T732),INT(B732)),"")</f>
        <v/>
      </c>
      <c r="BW732" s="80">
        <f>IF(ISNUMBER(B732),IF(DB_MON="Todos",1,IF(AND(INT(B732)&gt;=DB_MS,INT(B732)&lt;=DB_ME),1,0)),0)</f>
        <v>0</v>
      </c>
      <c r="BX732" s="80">
        <f>IF(DB_PROJ="Todos",1,IF(E732&amp;""=DB_PROJ&amp;"",1,0))</f>
        <v>1</v>
      </c>
      <c r="BY732" s="80">
        <f>BW732*BX732</f>
        <v>0</v>
      </c>
      <c r="BZ732" s="80" t="str">
        <f>IF(Y732=1,F732&amp;IF(AND(F732&amp;""&lt;&gt;"",E732&amp;""&lt;&gt;"")," · ","")&amp;E732,"")</f>
        <v/>
      </c>
      <c r="CA732" s="80" t="str">
        <f>IF(AND(BD732=1,E732&amp;""&lt;&gt;""),IF(COUNTIFS($E$5:E731,E732,$BD$5:BD731,1)=0,MAX($CA$5:CA731)+1,""),"")</f>
        <v/>
      </c>
      <c r="CB732" s="80" t="str">
        <f>IF(AND(BE732=1,D732="Malcolm",E732&amp;""&lt;&gt;""),IF(COUNTIFS($D$5:D731,"Malcolm",$E$5:E731,E732,$BE$5:BE731,1)=0,MAX($CB$5:CB731)+1,""),"")</f>
        <v/>
      </c>
      <c r="CC732" s="80" t="str">
        <f>IF(AND(BD732=1,D732="proMX",E732&amp;""&lt;&gt;""),IF(COUNTIFS($D$5:D731,"proMX",$E$5:E731,E732,$BD$5:BD731,1)=0,MAX($CC$5:CC731)+1,""),"")</f>
        <v/>
      </c>
      <c r="CD732" s="80" t="str">
        <f>IF(AND(BE732=1,D732="Malcolm",F732&amp;""&lt;&gt;""),IF(COUNTIFS($D$5:D731,"Malcolm",$F$5:F731,F732,$BE$5:BE731,1)=0,MAX($CD$5:CD731)+1,""),"")</f>
        <v/>
      </c>
      <c r="CE732" s="80" t="str">
        <f>IF(AND(BD732=1,D732="proMX",F732&amp;""&lt;&gt;""),IF(COUNTIFS($D$5:D731,"proMX",$F$5:F731,F732,$BD$5:BD731,1)=0,MAX($CE$5:CE731)+1,""),"")</f>
        <v/>
      </c>
      <c r="CF732" s="80" t="str">
        <f>IF(AND(D732="proMX",BD732=1),IF(OR(BF732="Draft",BF732="Submitted",BF732="Returned",BF732="Recall Requested"),MAX($CF$5:CF731)+1,""),"")</f>
        <v/>
      </c>
      <c r="CG732" s="80">
        <f>IF(BD732=0,0,IF(D732="Malcolm",1,MATCH(BF732,{"Draft","Submitted","Approved","Returned","Recall Requested","Cancelled"},0)+1))</f>
        <v>0</v>
      </c>
      <c r="CH732" s="80">
        <f>IF(AND(BF732="Submitted",ISNUMBER(V732)),IF(V732&gt;CFG_MAXD,1,0),0)</f>
        <v>0</v>
      </c>
    </row>
    <row r="733">
      <c r="A733" s="71" t="str">
        <f>IF(Y733=1,ROW()-5,"")</f>
        <v/>
      </c>
      <c r="B733" s="72" t="n"/>
      <c r="C733" s="71" t="str">
        <f>IF(ISNUMBER(B733),CHOOSE(WEEKDAY(B733,2),"Lun","Mar","Mié","Jue","Vie","Sáb","Dom"),"")</f>
        <v/>
      </c>
      <c r="D733" s="73" t="n"/>
      <c r="E733" s="74" t="n"/>
      <c r="F733" s="74" t="n"/>
      <c r="G733" s="74" t="n"/>
      <c r="H733" s="75" t="n"/>
      <c r="I733" s="75" t="n"/>
      <c r="J733" s="76" t="n"/>
      <c r="K733" s="77" t="str">
        <f>IF(AB733=1,ROUND(AG733/60,4),"")</f>
        <v/>
      </c>
      <c r="L733" s="77" t="str">
        <f>IF(BD733=1,ROUND(AP733/60,4),"")</f>
        <v/>
      </c>
      <c r="M733" s="77" t="str">
        <f>IF(BD733=1,ROUND(AQ733/60,4),"")</f>
        <v/>
      </c>
      <c r="N733" s="71" t="str">
        <f>IF(AND(D733="proMX",AB733=1),ROUND(AG733/CFG_BLK,2),"")</f>
        <v/>
      </c>
      <c r="O733" s="77" t="str">
        <f>IF(D733="proMX",IF(BD733=1,ROUND(AG733/60,4),0),"")</f>
        <v/>
      </c>
      <c r="P733" s="78" t="str">
        <f>IF(Y733=0,"",IF(BD733=1,"OK",IF(D733="proMX","Revisar bloques: ","Revisar: ")&amp;BC733))</f>
        <v/>
      </c>
      <c r="Q733" s="78" t="str">
        <f>IF(NOT(ISNUMBER(B733)),"",IF(COUNTIFS(FER_F,INT(B733))&gt;0,"Feriado"&amp;IF(AH733=1," (laborable)"," (no laborable)"),IF(AH733=1,"Laborable",IF(WEEKDAY(B733,2)&gt;5,"Fin de semana","No laborable"))))</f>
        <v/>
      </c>
      <c r="R733" s="73" t="n"/>
      <c r="S733" s="72" t="n"/>
      <c r="T733" s="72" t="n"/>
      <c r="U733" s="74" t="n"/>
      <c r="V733" s="79" t="str">
        <f>IF(AND(D733="proMX",OR(R733="Submitted",R733="Recall Requested"),ISNUMBER(S733)),CFG_TODAY-INT(S733),"")</f>
        <v/>
      </c>
      <c r="W733" s="78" t="str">
        <f>IF(BD733=0,"",IF(BA733&gt;0,"⚠ Se superpone con un registro de la otra empresa",IF(D733="Malcolm",IF(COUNTA(R733,S733,T733)&gt;0,"Estado/fechas proMX se ignoran en Malcolm",""),IF(BF733="Cancelled","Cancelado: excluido de totales",IF(R733="","Sin estado: se trata como Draft",IF(BF733="Submitted",IF(ISNUMBER(V733),IF(V733&gt;CFG_MAXD,"⚠ "&amp;V733&amp;" días en Submitted (máx. "&amp;CFG_MAXD&amp;")",""),"Falta fecha de envío"),IF(BF733="Returned","⚠ Devuelto: corregir y reenviar",IF(BF733="Recall Requested","Retirada solicitada: pendiente",IF(AND(BF733="Approved",NOT(ISNUMBER(T733))),"Falta fecha de aprobación",IF(AND(ISNUMBER(S733),ISNUMBER(T733),T733&lt;S733),"Aprobación anterior al envío","")))))))))</f>
        <v/>
      </c>
      <c r="Y733" s="80">
        <f>IF(COUNTA(B733,D733,E733,F733,G733,H733,I733,J733,R733,S733,T733)&gt;0,1,0)</f>
        <v>0</v>
      </c>
      <c r="Z733" s="80" t="str">
        <f>IF(AND(ISNUMBER(H733),H733&gt;=0,H733&lt;1),ROUND(H733*1440,0),"")</f>
        <v/>
      </c>
      <c r="AA733" s="80" t="str">
        <f>IF(AND(ISNUMBER(I733),I733&gt;=0,I733&lt;1),ROUND(I733*1440,0),"")</f>
        <v/>
      </c>
      <c r="AB733" s="80">
        <f>IF(AND(ISNUMBER(B733),D733&lt;&gt;"",ISNUMBER(Z733),ISNUMBER(AA733)),IF(Z733=AA733,0,1),0)</f>
        <v>0</v>
      </c>
      <c r="AC733" s="80">
        <f>IF(AB733=1,IF(AA733&lt;Z733,1,0),0)</f>
        <v>0</v>
      </c>
      <c r="AD733" s="80">
        <f>IF(AB733=1,IF(AC733=1,1440-Z733+AA733,AA733-Z733),0)</f>
        <v>0</v>
      </c>
      <c r="AE733" s="80">
        <f>IF(J733="",0,IF(ISNUMBER(J733),J733,-1))</f>
        <v>0</v>
      </c>
      <c r="AF733" s="80">
        <f>MIN(MAX(0,AE733),AD733)</f>
        <v>0</v>
      </c>
      <c r="AG733" s="80">
        <f>MAX(0,AD733-MAX(0,AE733))</f>
        <v>0</v>
      </c>
      <c r="AH733" s="80">
        <f>IF(ISNUMBER(B733),IF(AND(INDEX(CFG_WDAYS,WEEKDAY(INT(B733),2))="Sí",IF(D733="proMX",COUNTIFS(FER_F,INT(B733),FER_NLP,"Sí"),COUNTIFS(FER_F,INT(B733),FER_NLM,"Sí"))=0),1,0),0)</f>
        <v>0</v>
      </c>
      <c r="AI733" s="80">
        <f>IF(AC733=1,IF(AND(INDEX(CFG_WDAYS,WEEKDAY(INT(B733)+1,2))="Sí",IF(D733="proMX",COUNTIFS(FER_F,INT(B733)+1,FER_NLP,"Sí"),COUNTIFS(FER_F,INT(B733)+1,FER_NLM,"Sí"))=0),1,0),0)</f>
        <v>0</v>
      </c>
      <c r="AJ733" s="80">
        <f>IF(AC733=1,1440-Z733,AD733)</f>
        <v>0</v>
      </c>
      <c r="AK733" s="80">
        <f>IF(AND(AB733=1,AH733=1),MAX(0,MIN(IF(AC733=1,1440,AA733),CFG_WEM)-MAX(Z733,CFG_WSM)),0)</f>
        <v>0</v>
      </c>
      <c r="AL733" s="80">
        <f>IF(AND(AC733=1,AI733=1),MAX(0,MIN(AA733,CFG_WEM)-CFG_WSM),0)</f>
        <v>0</v>
      </c>
      <c r="AM733" s="80">
        <f>AK733+AL733</f>
        <v>0</v>
      </c>
      <c r="AN733" s="80">
        <f>IF(CFG_BRK="Proporcional",IF(AD733=0,0,AF733*AM733/AD733),IF(CFG_BRK="Extras primero",MIN(AM733,MAX(0,AF733-(AD733-AM733))),MIN(AF733,AM733)))</f>
        <v>0</v>
      </c>
      <c r="AO733" s="80">
        <f>AF733-AN733</f>
        <v>0</v>
      </c>
      <c r="AP733" s="80">
        <f>AM733-AN733</f>
        <v>0</v>
      </c>
      <c r="AQ733" s="80">
        <f>AD733-AM733-AO733</f>
        <v>0</v>
      </c>
      <c r="AR733" s="80">
        <f>IF(AM733=0,0,AK733-AN733*AK733/AM733)</f>
        <v>0</v>
      </c>
      <c r="AS733" s="80">
        <f>IF(AD733-AM733=0,0,(AJ733-AK733)-AO733*(AJ733-AK733)/(AD733-AM733))</f>
        <v>0</v>
      </c>
      <c r="AT733" s="80" t="str">
        <f>IF(AC733=1,INT(B733)+1,"")</f>
        <v/>
      </c>
      <c r="AU733" s="80">
        <f>IF(AND(D733="proMX",R733="Cancelled"),0,1)</f>
        <v>1</v>
      </c>
      <c r="AV733" s="80">
        <f>IF(AND(AB733=1,AU733=1),IF(COUNTIFS($D$5:D732,D733,$B$5:B732,B733,$Z$5:Z732,Z733,$AA$5:AA732,AA733,$F$5:F732,F733&amp;"",$AU$5:AU732,1)&gt;0,1,0),0)</f>
        <v>0</v>
      </c>
      <c r="AW733" s="80" t="str">
        <f>IF(AB733=1,INT(B733)*1440+Z733,"")</f>
        <v/>
      </c>
      <c r="AX733" s="80" t="str">
        <f>IF(AB733=1,AW733+AD733,"")</f>
        <v/>
      </c>
      <c r="AY733" s="80">
        <f>IF(AND(AB733=1,AV733=0,AU733=1),1,0)</f>
        <v>0</v>
      </c>
      <c r="AZ733" s="80">
        <f>IF(AY733=1,COUNTIFS(R_Emp,D733,R_SAbs,"&lt;"&amp;AX733,R_EAbs,"&gt;"&amp;AW733,R_OKey,1)-1,0)</f>
        <v>0</v>
      </c>
      <c r="BA733" s="80">
        <f>IF(AY733=1,COUNTIFS(R_Emp,"&lt;&gt;"&amp;D733,R_SAbs,"&lt;"&amp;AX733,R_EAbs,"&gt;"&amp;AW733,R_OKey,1),0)</f>
        <v>0</v>
      </c>
      <c r="BB733" s="80">
        <f>IF(AND(AB733=1,D733="proMX"),IF(AND(MOD(Z733,CFG_BLK)=0,MOD(AA733,CFG_BLK)=0,MOD(AG733,CFG_BLK)=0,AG733&gt;0),1,0),1)</f>
        <v>1</v>
      </c>
      <c r="BC733" s="80" t="str">
        <f>IF(Y733=0,"",IF(NOT(ISNUMBER(B733)),"Falta fecha o fecha inválida",IF(D733="","Falta empresa",IF(AND(D733&lt;&gt;"Malcolm",D733&lt;&gt;"proMX"),"Empresa inválida",IF(OR(INT(B733)&lt;CFG_PSTART,INT(B733)&gt;CFG_PEND),"Fecha fuera del período",IF(OR(NOT(ISNUMBER(Z733)),NOT(ISNUMBER(AA733))),"Falta hora inicio/fin o formato inválido",IF(AB733=0,"Hora inicio = hora fin",IF(AE733&lt;0,"Descanso inválido",IF(AE733&gt;=AD733,"Descanso ≥ duración",IF(AV733=1,"Registro duplicado",IF(AZ733&gt;0,"Se superpone con otro registro "&amp;D733,IF(BB733=0,"inicio, fin y duración neta deben ser múltiplos de "&amp;CFG_BLK&amp;" min",""))))))))))))</f>
        <v/>
      </c>
      <c r="BD733" s="80">
        <f>IF(AND(Y733=1,BC733=""),1,0)</f>
        <v>0</v>
      </c>
      <c r="BE733" s="80">
        <f>IF(AND(BD733=1,AU733=1),1,0)</f>
        <v>0</v>
      </c>
      <c r="BF733" s="80" t="str">
        <f>IF(AND(D733="proMX",BD733=1),IF(R733="","Draft",R733),"")</f>
        <v/>
      </c>
      <c r="BG733" s="80">
        <f>IF(BD733=1,ROUND(AG733/60,6),0)</f>
        <v>0</v>
      </c>
      <c r="BH733" s="80">
        <f>IF(BE733=1,ROUND(AG733/60,6),0)</f>
        <v>0</v>
      </c>
      <c r="BI733" s="80">
        <f>IF(BE733=1,ROUND(AP733/60,6),0)</f>
        <v>0</v>
      </c>
      <c r="BJ733" s="80">
        <f>IF(BE733=1,ROUND(AQ733/60,6),0)</f>
        <v>0</v>
      </c>
      <c r="BK733" s="80">
        <f>IF(BE733=1,ROUND((AR733+AS733)/60,6),0)</f>
        <v>0</v>
      </c>
      <c r="BL733" s="80">
        <f>ROUND(BH733-BK733,6)</f>
        <v>0</v>
      </c>
      <c r="BM733" s="80">
        <f>IF(BE733=1,ROUND(AR733/60,6),0)</f>
        <v>0</v>
      </c>
      <c r="BN733" s="80">
        <f>ROUND(BI733-BM733,6)</f>
        <v>0</v>
      </c>
      <c r="BO733" s="80">
        <f>IF(BE733=1,ROUND(AS733/60,6),0)</f>
        <v>0</v>
      </c>
      <c r="BP733" s="80">
        <f>ROUND(BJ733-BO733,6)</f>
        <v>0</v>
      </c>
      <c r="BQ733" s="80">
        <f>IF(BE733=1,AW733,0)</f>
        <v>0</v>
      </c>
      <c r="BR733" s="80">
        <f>IF(BE733=1,AX733,0)</f>
        <v>0</v>
      </c>
      <c r="BS733" s="80">
        <f>IF(AND(BE733=1,D733="Malcolm",BA733&gt;0),MIN(BH733,SUMPRODUCT((R_Emp="proMX")*(R_EN&gt;0)*((R_EN-(R_EN&gt;BR733)*(R_EN-BR733))&gt;(R_SN+(R_SN&lt;BQ733)*(BQ733-R_SN)))*((R_EN-(R_EN&gt;BR733)*(R_EN-BR733))-(R_SN+(R_SN&lt;BQ733)*(BQ733-R_SN))))/60),0)</f>
        <v>0</v>
      </c>
      <c r="BT733" s="80">
        <f>IF(AND(BE733=1,D733="proMX"),ROUND(BI733*CFG_RATE+BJ733*CFG_OTRATE,6),0)</f>
        <v>0</v>
      </c>
      <c r="BU733" s="80">
        <f>IF(AND(BD733=1,D733="proMX"),ROUND(AG733/CFG_BLK,6),0)</f>
        <v>0</v>
      </c>
      <c r="BV733" s="80" t="str">
        <f>IF(BF733="Approved",IF(ISNUMBER(T733),INT(T733),INT(B733)),"")</f>
        <v/>
      </c>
      <c r="BW733" s="80">
        <f>IF(ISNUMBER(B733),IF(DB_MON="Todos",1,IF(AND(INT(B733)&gt;=DB_MS,INT(B733)&lt;=DB_ME),1,0)),0)</f>
        <v>0</v>
      </c>
      <c r="BX733" s="80">
        <f>IF(DB_PROJ="Todos",1,IF(E733&amp;""=DB_PROJ&amp;"",1,0))</f>
        <v>1</v>
      </c>
      <c r="BY733" s="80">
        <f>BW733*BX733</f>
        <v>0</v>
      </c>
      <c r="BZ733" s="80" t="str">
        <f>IF(Y733=1,F733&amp;IF(AND(F733&amp;""&lt;&gt;"",E733&amp;""&lt;&gt;"")," · ","")&amp;E733,"")</f>
        <v/>
      </c>
      <c r="CA733" s="80" t="str">
        <f>IF(AND(BD733=1,E733&amp;""&lt;&gt;""),IF(COUNTIFS($E$5:E732,E733,$BD$5:BD732,1)=0,MAX($CA$5:CA732)+1,""),"")</f>
        <v/>
      </c>
      <c r="CB733" s="80" t="str">
        <f>IF(AND(BE733=1,D733="Malcolm",E733&amp;""&lt;&gt;""),IF(COUNTIFS($D$5:D732,"Malcolm",$E$5:E732,E733,$BE$5:BE732,1)=0,MAX($CB$5:CB732)+1,""),"")</f>
        <v/>
      </c>
      <c r="CC733" s="80" t="str">
        <f>IF(AND(BD733=1,D733="proMX",E733&amp;""&lt;&gt;""),IF(COUNTIFS($D$5:D732,"proMX",$E$5:E732,E733,$BD$5:BD732,1)=0,MAX($CC$5:CC732)+1,""),"")</f>
        <v/>
      </c>
      <c r="CD733" s="80" t="str">
        <f>IF(AND(BE733=1,D733="Malcolm",F733&amp;""&lt;&gt;""),IF(COUNTIFS($D$5:D732,"Malcolm",$F$5:F732,F733,$BE$5:BE732,1)=0,MAX($CD$5:CD732)+1,""),"")</f>
        <v/>
      </c>
      <c r="CE733" s="80" t="str">
        <f>IF(AND(BD733=1,D733="proMX",F733&amp;""&lt;&gt;""),IF(COUNTIFS($D$5:D732,"proMX",$F$5:F732,F733,$BD$5:BD732,1)=0,MAX($CE$5:CE732)+1,""),"")</f>
        <v/>
      </c>
      <c r="CF733" s="80" t="str">
        <f>IF(AND(D733="proMX",BD733=1),IF(OR(BF733="Draft",BF733="Submitted",BF733="Returned",BF733="Recall Requested"),MAX($CF$5:CF732)+1,""),"")</f>
        <v/>
      </c>
      <c r="CG733" s="80">
        <f>IF(BD733=0,0,IF(D733="Malcolm",1,MATCH(BF733,{"Draft","Submitted","Approved","Returned","Recall Requested","Cancelled"},0)+1))</f>
        <v>0</v>
      </c>
      <c r="CH733" s="80">
        <f>IF(AND(BF733="Submitted",ISNUMBER(V733)),IF(V733&gt;CFG_MAXD,1,0),0)</f>
        <v>0</v>
      </c>
    </row>
    <row r="734">
      <c r="A734" s="71" t="str">
        <f>IF(Y734=1,ROW()-5,"")</f>
        <v/>
      </c>
      <c r="B734" s="72" t="n"/>
      <c r="C734" s="71" t="str">
        <f>IF(ISNUMBER(B734),CHOOSE(WEEKDAY(B734,2),"Lun","Mar","Mié","Jue","Vie","Sáb","Dom"),"")</f>
        <v/>
      </c>
      <c r="D734" s="73" t="n"/>
      <c r="E734" s="74" t="n"/>
      <c r="F734" s="74" t="n"/>
      <c r="G734" s="74" t="n"/>
      <c r="H734" s="75" t="n"/>
      <c r="I734" s="75" t="n"/>
      <c r="J734" s="76" t="n"/>
      <c r="K734" s="77" t="str">
        <f>IF(AB734=1,ROUND(AG734/60,4),"")</f>
        <v/>
      </c>
      <c r="L734" s="77" t="str">
        <f>IF(BD734=1,ROUND(AP734/60,4),"")</f>
        <v/>
      </c>
      <c r="M734" s="77" t="str">
        <f>IF(BD734=1,ROUND(AQ734/60,4),"")</f>
        <v/>
      </c>
      <c r="N734" s="71" t="str">
        <f>IF(AND(D734="proMX",AB734=1),ROUND(AG734/CFG_BLK,2),"")</f>
        <v/>
      </c>
      <c r="O734" s="77" t="str">
        <f>IF(D734="proMX",IF(BD734=1,ROUND(AG734/60,4),0),"")</f>
        <v/>
      </c>
      <c r="P734" s="78" t="str">
        <f>IF(Y734=0,"",IF(BD734=1,"OK",IF(D734="proMX","Revisar bloques: ","Revisar: ")&amp;BC734))</f>
        <v/>
      </c>
      <c r="Q734" s="78" t="str">
        <f>IF(NOT(ISNUMBER(B734)),"",IF(COUNTIFS(FER_F,INT(B734))&gt;0,"Feriado"&amp;IF(AH734=1," (laborable)"," (no laborable)"),IF(AH734=1,"Laborable",IF(WEEKDAY(B734,2)&gt;5,"Fin de semana","No laborable"))))</f>
        <v/>
      </c>
      <c r="R734" s="73" t="n"/>
      <c r="S734" s="72" t="n"/>
      <c r="T734" s="72" t="n"/>
      <c r="U734" s="74" t="n"/>
      <c r="V734" s="79" t="str">
        <f>IF(AND(D734="proMX",OR(R734="Submitted",R734="Recall Requested"),ISNUMBER(S734)),CFG_TODAY-INT(S734),"")</f>
        <v/>
      </c>
      <c r="W734" s="78" t="str">
        <f>IF(BD734=0,"",IF(BA734&gt;0,"⚠ Se superpone con un registro de la otra empresa",IF(D734="Malcolm",IF(COUNTA(R734,S734,T734)&gt;0,"Estado/fechas proMX se ignoran en Malcolm",""),IF(BF734="Cancelled","Cancelado: excluido de totales",IF(R734="","Sin estado: se trata como Draft",IF(BF734="Submitted",IF(ISNUMBER(V734),IF(V734&gt;CFG_MAXD,"⚠ "&amp;V734&amp;" días en Submitted (máx. "&amp;CFG_MAXD&amp;")",""),"Falta fecha de envío"),IF(BF734="Returned","⚠ Devuelto: corregir y reenviar",IF(BF734="Recall Requested","Retirada solicitada: pendiente",IF(AND(BF734="Approved",NOT(ISNUMBER(T734))),"Falta fecha de aprobación",IF(AND(ISNUMBER(S734),ISNUMBER(T734),T734&lt;S734),"Aprobación anterior al envío","")))))))))</f>
        <v/>
      </c>
      <c r="Y734" s="80">
        <f>IF(COUNTA(B734,D734,E734,F734,G734,H734,I734,J734,R734,S734,T734)&gt;0,1,0)</f>
        <v>0</v>
      </c>
      <c r="Z734" s="80" t="str">
        <f>IF(AND(ISNUMBER(H734),H734&gt;=0,H734&lt;1),ROUND(H734*1440,0),"")</f>
        <v/>
      </c>
      <c r="AA734" s="80" t="str">
        <f>IF(AND(ISNUMBER(I734),I734&gt;=0,I734&lt;1),ROUND(I734*1440,0),"")</f>
        <v/>
      </c>
      <c r="AB734" s="80">
        <f>IF(AND(ISNUMBER(B734),D734&lt;&gt;"",ISNUMBER(Z734),ISNUMBER(AA734)),IF(Z734=AA734,0,1),0)</f>
        <v>0</v>
      </c>
      <c r="AC734" s="80">
        <f>IF(AB734=1,IF(AA734&lt;Z734,1,0),0)</f>
        <v>0</v>
      </c>
      <c r="AD734" s="80">
        <f>IF(AB734=1,IF(AC734=1,1440-Z734+AA734,AA734-Z734),0)</f>
        <v>0</v>
      </c>
      <c r="AE734" s="80">
        <f>IF(J734="",0,IF(ISNUMBER(J734),J734,-1))</f>
        <v>0</v>
      </c>
      <c r="AF734" s="80">
        <f>MIN(MAX(0,AE734),AD734)</f>
        <v>0</v>
      </c>
      <c r="AG734" s="80">
        <f>MAX(0,AD734-MAX(0,AE734))</f>
        <v>0</v>
      </c>
      <c r="AH734" s="80">
        <f>IF(ISNUMBER(B734),IF(AND(INDEX(CFG_WDAYS,WEEKDAY(INT(B734),2))="Sí",IF(D734="proMX",COUNTIFS(FER_F,INT(B734),FER_NLP,"Sí"),COUNTIFS(FER_F,INT(B734),FER_NLM,"Sí"))=0),1,0),0)</f>
        <v>0</v>
      </c>
      <c r="AI734" s="80">
        <f>IF(AC734=1,IF(AND(INDEX(CFG_WDAYS,WEEKDAY(INT(B734)+1,2))="Sí",IF(D734="proMX",COUNTIFS(FER_F,INT(B734)+1,FER_NLP,"Sí"),COUNTIFS(FER_F,INT(B734)+1,FER_NLM,"Sí"))=0),1,0),0)</f>
        <v>0</v>
      </c>
      <c r="AJ734" s="80">
        <f>IF(AC734=1,1440-Z734,AD734)</f>
        <v>0</v>
      </c>
      <c r="AK734" s="80">
        <f>IF(AND(AB734=1,AH734=1),MAX(0,MIN(IF(AC734=1,1440,AA734),CFG_WEM)-MAX(Z734,CFG_WSM)),0)</f>
        <v>0</v>
      </c>
      <c r="AL734" s="80">
        <f>IF(AND(AC734=1,AI734=1),MAX(0,MIN(AA734,CFG_WEM)-CFG_WSM),0)</f>
        <v>0</v>
      </c>
      <c r="AM734" s="80">
        <f>AK734+AL734</f>
        <v>0</v>
      </c>
      <c r="AN734" s="80">
        <f>IF(CFG_BRK="Proporcional",IF(AD734=0,0,AF734*AM734/AD734),IF(CFG_BRK="Extras primero",MIN(AM734,MAX(0,AF734-(AD734-AM734))),MIN(AF734,AM734)))</f>
        <v>0</v>
      </c>
      <c r="AO734" s="80">
        <f>AF734-AN734</f>
        <v>0</v>
      </c>
      <c r="AP734" s="80">
        <f>AM734-AN734</f>
        <v>0</v>
      </c>
      <c r="AQ734" s="80">
        <f>AD734-AM734-AO734</f>
        <v>0</v>
      </c>
      <c r="AR734" s="80">
        <f>IF(AM734=0,0,AK734-AN734*AK734/AM734)</f>
        <v>0</v>
      </c>
      <c r="AS734" s="80">
        <f>IF(AD734-AM734=0,0,(AJ734-AK734)-AO734*(AJ734-AK734)/(AD734-AM734))</f>
        <v>0</v>
      </c>
      <c r="AT734" s="80" t="str">
        <f>IF(AC734=1,INT(B734)+1,"")</f>
        <v/>
      </c>
      <c r="AU734" s="80">
        <f>IF(AND(D734="proMX",R734="Cancelled"),0,1)</f>
        <v>1</v>
      </c>
      <c r="AV734" s="80">
        <f>IF(AND(AB734=1,AU734=1),IF(COUNTIFS($D$5:D733,D734,$B$5:B733,B734,$Z$5:Z733,Z734,$AA$5:AA733,AA734,$F$5:F733,F734&amp;"",$AU$5:AU733,1)&gt;0,1,0),0)</f>
        <v>0</v>
      </c>
      <c r="AW734" s="80" t="str">
        <f>IF(AB734=1,INT(B734)*1440+Z734,"")</f>
        <v/>
      </c>
      <c r="AX734" s="80" t="str">
        <f>IF(AB734=1,AW734+AD734,"")</f>
        <v/>
      </c>
      <c r="AY734" s="80">
        <f>IF(AND(AB734=1,AV734=0,AU734=1),1,0)</f>
        <v>0</v>
      </c>
      <c r="AZ734" s="80">
        <f>IF(AY734=1,COUNTIFS(R_Emp,D734,R_SAbs,"&lt;"&amp;AX734,R_EAbs,"&gt;"&amp;AW734,R_OKey,1)-1,0)</f>
        <v>0</v>
      </c>
      <c r="BA734" s="80">
        <f>IF(AY734=1,COUNTIFS(R_Emp,"&lt;&gt;"&amp;D734,R_SAbs,"&lt;"&amp;AX734,R_EAbs,"&gt;"&amp;AW734,R_OKey,1),0)</f>
        <v>0</v>
      </c>
      <c r="BB734" s="80">
        <f>IF(AND(AB734=1,D734="proMX"),IF(AND(MOD(Z734,CFG_BLK)=0,MOD(AA734,CFG_BLK)=0,MOD(AG734,CFG_BLK)=0,AG734&gt;0),1,0),1)</f>
        <v>1</v>
      </c>
      <c r="BC734" s="80" t="str">
        <f>IF(Y734=0,"",IF(NOT(ISNUMBER(B734)),"Falta fecha o fecha inválida",IF(D734="","Falta empresa",IF(AND(D734&lt;&gt;"Malcolm",D734&lt;&gt;"proMX"),"Empresa inválida",IF(OR(INT(B734)&lt;CFG_PSTART,INT(B734)&gt;CFG_PEND),"Fecha fuera del período",IF(OR(NOT(ISNUMBER(Z734)),NOT(ISNUMBER(AA734))),"Falta hora inicio/fin o formato inválido",IF(AB734=0,"Hora inicio = hora fin",IF(AE734&lt;0,"Descanso inválido",IF(AE734&gt;=AD734,"Descanso ≥ duración",IF(AV734=1,"Registro duplicado",IF(AZ734&gt;0,"Se superpone con otro registro "&amp;D734,IF(BB734=0,"inicio, fin y duración neta deben ser múltiplos de "&amp;CFG_BLK&amp;" min",""))))))))))))</f>
        <v/>
      </c>
      <c r="BD734" s="80">
        <f>IF(AND(Y734=1,BC734=""),1,0)</f>
        <v>0</v>
      </c>
      <c r="BE734" s="80">
        <f>IF(AND(BD734=1,AU734=1),1,0)</f>
        <v>0</v>
      </c>
      <c r="BF734" s="80" t="str">
        <f>IF(AND(D734="proMX",BD734=1),IF(R734="","Draft",R734),"")</f>
        <v/>
      </c>
      <c r="BG734" s="80">
        <f>IF(BD734=1,ROUND(AG734/60,6),0)</f>
        <v>0</v>
      </c>
      <c r="BH734" s="80">
        <f>IF(BE734=1,ROUND(AG734/60,6),0)</f>
        <v>0</v>
      </c>
      <c r="BI734" s="80">
        <f>IF(BE734=1,ROUND(AP734/60,6),0)</f>
        <v>0</v>
      </c>
      <c r="BJ734" s="80">
        <f>IF(BE734=1,ROUND(AQ734/60,6),0)</f>
        <v>0</v>
      </c>
      <c r="BK734" s="80">
        <f>IF(BE734=1,ROUND((AR734+AS734)/60,6),0)</f>
        <v>0</v>
      </c>
      <c r="BL734" s="80">
        <f>ROUND(BH734-BK734,6)</f>
        <v>0</v>
      </c>
      <c r="BM734" s="80">
        <f>IF(BE734=1,ROUND(AR734/60,6),0)</f>
        <v>0</v>
      </c>
      <c r="BN734" s="80">
        <f>ROUND(BI734-BM734,6)</f>
        <v>0</v>
      </c>
      <c r="BO734" s="80">
        <f>IF(BE734=1,ROUND(AS734/60,6),0)</f>
        <v>0</v>
      </c>
      <c r="BP734" s="80">
        <f>ROUND(BJ734-BO734,6)</f>
        <v>0</v>
      </c>
      <c r="BQ734" s="80">
        <f>IF(BE734=1,AW734,0)</f>
        <v>0</v>
      </c>
      <c r="BR734" s="80">
        <f>IF(BE734=1,AX734,0)</f>
        <v>0</v>
      </c>
      <c r="BS734" s="80">
        <f>IF(AND(BE734=1,D734="Malcolm",BA734&gt;0),MIN(BH734,SUMPRODUCT((R_Emp="proMX")*(R_EN&gt;0)*((R_EN-(R_EN&gt;BR734)*(R_EN-BR734))&gt;(R_SN+(R_SN&lt;BQ734)*(BQ734-R_SN)))*((R_EN-(R_EN&gt;BR734)*(R_EN-BR734))-(R_SN+(R_SN&lt;BQ734)*(BQ734-R_SN))))/60),0)</f>
        <v>0</v>
      </c>
      <c r="BT734" s="80">
        <f>IF(AND(BE734=1,D734="proMX"),ROUND(BI734*CFG_RATE+BJ734*CFG_OTRATE,6),0)</f>
        <v>0</v>
      </c>
      <c r="BU734" s="80">
        <f>IF(AND(BD734=1,D734="proMX"),ROUND(AG734/CFG_BLK,6),0)</f>
        <v>0</v>
      </c>
      <c r="BV734" s="80" t="str">
        <f>IF(BF734="Approved",IF(ISNUMBER(T734),INT(T734),INT(B734)),"")</f>
        <v/>
      </c>
      <c r="BW734" s="80">
        <f>IF(ISNUMBER(B734),IF(DB_MON="Todos",1,IF(AND(INT(B734)&gt;=DB_MS,INT(B734)&lt;=DB_ME),1,0)),0)</f>
        <v>0</v>
      </c>
      <c r="BX734" s="80">
        <f>IF(DB_PROJ="Todos",1,IF(E734&amp;""=DB_PROJ&amp;"",1,0))</f>
        <v>1</v>
      </c>
      <c r="BY734" s="80">
        <f>BW734*BX734</f>
        <v>0</v>
      </c>
      <c r="BZ734" s="80" t="str">
        <f>IF(Y734=1,F734&amp;IF(AND(F734&amp;""&lt;&gt;"",E734&amp;""&lt;&gt;"")," · ","")&amp;E734,"")</f>
        <v/>
      </c>
      <c r="CA734" s="80" t="str">
        <f>IF(AND(BD734=1,E734&amp;""&lt;&gt;""),IF(COUNTIFS($E$5:E733,E734,$BD$5:BD733,1)=0,MAX($CA$5:CA733)+1,""),"")</f>
        <v/>
      </c>
      <c r="CB734" s="80" t="str">
        <f>IF(AND(BE734=1,D734="Malcolm",E734&amp;""&lt;&gt;""),IF(COUNTIFS($D$5:D733,"Malcolm",$E$5:E733,E734,$BE$5:BE733,1)=0,MAX($CB$5:CB733)+1,""),"")</f>
        <v/>
      </c>
      <c r="CC734" s="80" t="str">
        <f>IF(AND(BD734=1,D734="proMX",E734&amp;""&lt;&gt;""),IF(COUNTIFS($D$5:D733,"proMX",$E$5:E733,E734,$BD$5:BD733,1)=0,MAX($CC$5:CC733)+1,""),"")</f>
        <v/>
      </c>
      <c r="CD734" s="80" t="str">
        <f>IF(AND(BE734=1,D734="Malcolm",F734&amp;""&lt;&gt;""),IF(COUNTIFS($D$5:D733,"Malcolm",$F$5:F733,F734,$BE$5:BE733,1)=0,MAX($CD$5:CD733)+1,""),"")</f>
        <v/>
      </c>
      <c r="CE734" s="80" t="str">
        <f>IF(AND(BD734=1,D734="proMX",F734&amp;""&lt;&gt;""),IF(COUNTIFS($D$5:D733,"proMX",$F$5:F733,F734,$BD$5:BD733,1)=0,MAX($CE$5:CE733)+1,""),"")</f>
        <v/>
      </c>
      <c r="CF734" s="80" t="str">
        <f>IF(AND(D734="proMX",BD734=1),IF(OR(BF734="Draft",BF734="Submitted",BF734="Returned",BF734="Recall Requested"),MAX($CF$5:CF733)+1,""),"")</f>
        <v/>
      </c>
      <c r="CG734" s="80">
        <f>IF(BD734=0,0,IF(D734="Malcolm",1,MATCH(BF734,{"Draft","Submitted","Approved","Returned","Recall Requested","Cancelled"},0)+1))</f>
        <v>0</v>
      </c>
      <c r="CH734" s="80">
        <f>IF(AND(BF734="Submitted",ISNUMBER(V734)),IF(V734&gt;CFG_MAXD,1,0),0)</f>
        <v>0</v>
      </c>
    </row>
    <row r="735">
      <c r="A735" s="71" t="str">
        <f>IF(Y735=1,ROW()-5,"")</f>
        <v/>
      </c>
      <c r="B735" s="72" t="n"/>
      <c r="C735" s="71" t="str">
        <f>IF(ISNUMBER(B735),CHOOSE(WEEKDAY(B735,2),"Lun","Mar","Mié","Jue","Vie","Sáb","Dom"),"")</f>
        <v/>
      </c>
      <c r="D735" s="73" t="n"/>
      <c r="E735" s="74" t="n"/>
      <c r="F735" s="74" t="n"/>
      <c r="G735" s="74" t="n"/>
      <c r="H735" s="75" t="n"/>
      <c r="I735" s="75" t="n"/>
      <c r="J735" s="76" t="n"/>
      <c r="K735" s="77" t="str">
        <f>IF(AB735=1,ROUND(AG735/60,4),"")</f>
        <v/>
      </c>
      <c r="L735" s="77" t="str">
        <f>IF(BD735=1,ROUND(AP735/60,4),"")</f>
        <v/>
      </c>
      <c r="M735" s="77" t="str">
        <f>IF(BD735=1,ROUND(AQ735/60,4),"")</f>
        <v/>
      </c>
      <c r="N735" s="71" t="str">
        <f>IF(AND(D735="proMX",AB735=1),ROUND(AG735/CFG_BLK,2),"")</f>
        <v/>
      </c>
      <c r="O735" s="77" t="str">
        <f>IF(D735="proMX",IF(BD735=1,ROUND(AG735/60,4),0),"")</f>
        <v/>
      </c>
      <c r="P735" s="78" t="str">
        <f>IF(Y735=0,"",IF(BD735=1,"OK",IF(D735="proMX","Revisar bloques: ","Revisar: ")&amp;BC735))</f>
        <v/>
      </c>
      <c r="Q735" s="78" t="str">
        <f>IF(NOT(ISNUMBER(B735)),"",IF(COUNTIFS(FER_F,INT(B735))&gt;0,"Feriado"&amp;IF(AH735=1," (laborable)"," (no laborable)"),IF(AH735=1,"Laborable",IF(WEEKDAY(B735,2)&gt;5,"Fin de semana","No laborable"))))</f>
        <v/>
      </c>
      <c r="R735" s="73" t="n"/>
      <c r="S735" s="72" t="n"/>
      <c r="T735" s="72" t="n"/>
      <c r="U735" s="74" t="n"/>
      <c r="V735" s="79" t="str">
        <f>IF(AND(D735="proMX",OR(R735="Submitted",R735="Recall Requested"),ISNUMBER(S735)),CFG_TODAY-INT(S735),"")</f>
        <v/>
      </c>
      <c r="W735" s="78" t="str">
        <f>IF(BD735=0,"",IF(BA735&gt;0,"⚠ Se superpone con un registro de la otra empresa",IF(D735="Malcolm",IF(COUNTA(R735,S735,T735)&gt;0,"Estado/fechas proMX se ignoran en Malcolm",""),IF(BF735="Cancelled","Cancelado: excluido de totales",IF(R735="","Sin estado: se trata como Draft",IF(BF735="Submitted",IF(ISNUMBER(V735),IF(V735&gt;CFG_MAXD,"⚠ "&amp;V735&amp;" días en Submitted (máx. "&amp;CFG_MAXD&amp;")",""),"Falta fecha de envío"),IF(BF735="Returned","⚠ Devuelto: corregir y reenviar",IF(BF735="Recall Requested","Retirada solicitada: pendiente",IF(AND(BF735="Approved",NOT(ISNUMBER(T735))),"Falta fecha de aprobación",IF(AND(ISNUMBER(S735),ISNUMBER(T735),T735&lt;S735),"Aprobación anterior al envío","")))))))))</f>
        <v/>
      </c>
      <c r="Y735" s="80">
        <f>IF(COUNTA(B735,D735,E735,F735,G735,H735,I735,J735,R735,S735,T735)&gt;0,1,0)</f>
        <v>0</v>
      </c>
      <c r="Z735" s="80" t="str">
        <f>IF(AND(ISNUMBER(H735),H735&gt;=0,H735&lt;1),ROUND(H735*1440,0),"")</f>
        <v/>
      </c>
      <c r="AA735" s="80" t="str">
        <f>IF(AND(ISNUMBER(I735),I735&gt;=0,I735&lt;1),ROUND(I735*1440,0),"")</f>
        <v/>
      </c>
      <c r="AB735" s="80">
        <f>IF(AND(ISNUMBER(B735),D735&lt;&gt;"",ISNUMBER(Z735),ISNUMBER(AA735)),IF(Z735=AA735,0,1),0)</f>
        <v>0</v>
      </c>
      <c r="AC735" s="80">
        <f>IF(AB735=1,IF(AA735&lt;Z735,1,0),0)</f>
        <v>0</v>
      </c>
      <c r="AD735" s="80">
        <f>IF(AB735=1,IF(AC735=1,1440-Z735+AA735,AA735-Z735),0)</f>
        <v>0</v>
      </c>
      <c r="AE735" s="80">
        <f>IF(J735="",0,IF(ISNUMBER(J735),J735,-1))</f>
        <v>0</v>
      </c>
      <c r="AF735" s="80">
        <f>MIN(MAX(0,AE735),AD735)</f>
        <v>0</v>
      </c>
      <c r="AG735" s="80">
        <f>MAX(0,AD735-MAX(0,AE735))</f>
        <v>0</v>
      </c>
      <c r="AH735" s="80">
        <f>IF(ISNUMBER(B735),IF(AND(INDEX(CFG_WDAYS,WEEKDAY(INT(B735),2))="Sí",IF(D735="proMX",COUNTIFS(FER_F,INT(B735),FER_NLP,"Sí"),COUNTIFS(FER_F,INT(B735),FER_NLM,"Sí"))=0),1,0),0)</f>
        <v>0</v>
      </c>
      <c r="AI735" s="80">
        <f>IF(AC735=1,IF(AND(INDEX(CFG_WDAYS,WEEKDAY(INT(B735)+1,2))="Sí",IF(D735="proMX",COUNTIFS(FER_F,INT(B735)+1,FER_NLP,"Sí"),COUNTIFS(FER_F,INT(B735)+1,FER_NLM,"Sí"))=0),1,0),0)</f>
        <v>0</v>
      </c>
      <c r="AJ735" s="80">
        <f>IF(AC735=1,1440-Z735,AD735)</f>
        <v>0</v>
      </c>
      <c r="AK735" s="80">
        <f>IF(AND(AB735=1,AH735=1),MAX(0,MIN(IF(AC735=1,1440,AA735),CFG_WEM)-MAX(Z735,CFG_WSM)),0)</f>
        <v>0</v>
      </c>
      <c r="AL735" s="80">
        <f>IF(AND(AC735=1,AI735=1),MAX(0,MIN(AA735,CFG_WEM)-CFG_WSM),0)</f>
        <v>0</v>
      </c>
      <c r="AM735" s="80">
        <f>AK735+AL735</f>
        <v>0</v>
      </c>
      <c r="AN735" s="80">
        <f>IF(CFG_BRK="Proporcional",IF(AD735=0,0,AF735*AM735/AD735),IF(CFG_BRK="Extras primero",MIN(AM735,MAX(0,AF735-(AD735-AM735))),MIN(AF735,AM735)))</f>
        <v>0</v>
      </c>
      <c r="AO735" s="80">
        <f>AF735-AN735</f>
        <v>0</v>
      </c>
      <c r="AP735" s="80">
        <f>AM735-AN735</f>
        <v>0</v>
      </c>
      <c r="AQ735" s="80">
        <f>AD735-AM735-AO735</f>
        <v>0</v>
      </c>
      <c r="AR735" s="80">
        <f>IF(AM735=0,0,AK735-AN735*AK735/AM735)</f>
        <v>0</v>
      </c>
      <c r="AS735" s="80">
        <f>IF(AD735-AM735=0,0,(AJ735-AK735)-AO735*(AJ735-AK735)/(AD735-AM735))</f>
        <v>0</v>
      </c>
      <c r="AT735" s="80" t="str">
        <f>IF(AC735=1,INT(B735)+1,"")</f>
        <v/>
      </c>
      <c r="AU735" s="80">
        <f>IF(AND(D735="proMX",R735="Cancelled"),0,1)</f>
        <v>1</v>
      </c>
      <c r="AV735" s="80">
        <f>IF(AND(AB735=1,AU735=1),IF(COUNTIFS($D$5:D734,D735,$B$5:B734,B735,$Z$5:Z734,Z735,$AA$5:AA734,AA735,$F$5:F734,F735&amp;"",$AU$5:AU734,1)&gt;0,1,0),0)</f>
        <v>0</v>
      </c>
      <c r="AW735" s="80" t="str">
        <f>IF(AB735=1,INT(B735)*1440+Z735,"")</f>
        <v/>
      </c>
      <c r="AX735" s="80" t="str">
        <f>IF(AB735=1,AW735+AD735,"")</f>
        <v/>
      </c>
      <c r="AY735" s="80">
        <f>IF(AND(AB735=1,AV735=0,AU735=1),1,0)</f>
        <v>0</v>
      </c>
      <c r="AZ735" s="80">
        <f>IF(AY735=1,COUNTIFS(R_Emp,D735,R_SAbs,"&lt;"&amp;AX735,R_EAbs,"&gt;"&amp;AW735,R_OKey,1)-1,0)</f>
        <v>0</v>
      </c>
      <c r="BA735" s="80">
        <f>IF(AY735=1,COUNTIFS(R_Emp,"&lt;&gt;"&amp;D735,R_SAbs,"&lt;"&amp;AX735,R_EAbs,"&gt;"&amp;AW735,R_OKey,1),0)</f>
        <v>0</v>
      </c>
      <c r="BB735" s="80">
        <f>IF(AND(AB735=1,D735="proMX"),IF(AND(MOD(Z735,CFG_BLK)=0,MOD(AA735,CFG_BLK)=0,MOD(AG735,CFG_BLK)=0,AG735&gt;0),1,0),1)</f>
        <v>1</v>
      </c>
      <c r="BC735" s="80" t="str">
        <f>IF(Y735=0,"",IF(NOT(ISNUMBER(B735)),"Falta fecha o fecha inválida",IF(D735="","Falta empresa",IF(AND(D735&lt;&gt;"Malcolm",D735&lt;&gt;"proMX"),"Empresa inválida",IF(OR(INT(B735)&lt;CFG_PSTART,INT(B735)&gt;CFG_PEND),"Fecha fuera del período",IF(OR(NOT(ISNUMBER(Z735)),NOT(ISNUMBER(AA735))),"Falta hora inicio/fin o formato inválido",IF(AB735=0,"Hora inicio = hora fin",IF(AE735&lt;0,"Descanso inválido",IF(AE735&gt;=AD735,"Descanso ≥ duración",IF(AV735=1,"Registro duplicado",IF(AZ735&gt;0,"Se superpone con otro registro "&amp;D735,IF(BB735=0,"inicio, fin y duración neta deben ser múltiplos de "&amp;CFG_BLK&amp;" min",""))))))))))))</f>
        <v/>
      </c>
      <c r="BD735" s="80">
        <f>IF(AND(Y735=1,BC735=""),1,0)</f>
        <v>0</v>
      </c>
      <c r="BE735" s="80">
        <f>IF(AND(BD735=1,AU735=1),1,0)</f>
        <v>0</v>
      </c>
      <c r="BF735" s="80" t="str">
        <f>IF(AND(D735="proMX",BD735=1),IF(R735="","Draft",R735),"")</f>
        <v/>
      </c>
      <c r="BG735" s="80">
        <f>IF(BD735=1,ROUND(AG735/60,6),0)</f>
        <v>0</v>
      </c>
      <c r="BH735" s="80">
        <f>IF(BE735=1,ROUND(AG735/60,6),0)</f>
        <v>0</v>
      </c>
      <c r="BI735" s="80">
        <f>IF(BE735=1,ROUND(AP735/60,6),0)</f>
        <v>0</v>
      </c>
      <c r="BJ735" s="80">
        <f>IF(BE735=1,ROUND(AQ735/60,6),0)</f>
        <v>0</v>
      </c>
      <c r="BK735" s="80">
        <f>IF(BE735=1,ROUND((AR735+AS735)/60,6),0)</f>
        <v>0</v>
      </c>
      <c r="BL735" s="80">
        <f>ROUND(BH735-BK735,6)</f>
        <v>0</v>
      </c>
      <c r="BM735" s="80">
        <f>IF(BE735=1,ROUND(AR735/60,6),0)</f>
        <v>0</v>
      </c>
      <c r="BN735" s="80">
        <f>ROUND(BI735-BM735,6)</f>
        <v>0</v>
      </c>
      <c r="BO735" s="80">
        <f>IF(BE735=1,ROUND(AS735/60,6),0)</f>
        <v>0</v>
      </c>
      <c r="BP735" s="80">
        <f>ROUND(BJ735-BO735,6)</f>
        <v>0</v>
      </c>
      <c r="BQ735" s="80">
        <f>IF(BE735=1,AW735,0)</f>
        <v>0</v>
      </c>
      <c r="BR735" s="80">
        <f>IF(BE735=1,AX735,0)</f>
        <v>0</v>
      </c>
      <c r="BS735" s="80">
        <f>IF(AND(BE735=1,D735="Malcolm",BA735&gt;0),MIN(BH735,SUMPRODUCT((R_Emp="proMX")*(R_EN&gt;0)*((R_EN-(R_EN&gt;BR735)*(R_EN-BR735))&gt;(R_SN+(R_SN&lt;BQ735)*(BQ735-R_SN)))*((R_EN-(R_EN&gt;BR735)*(R_EN-BR735))-(R_SN+(R_SN&lt;BQ735)*(BQ735-R_SN))))/60),0)</f>
        <v>0</v>
      </c>
      <c r="BT735" s="80">
        <f>IF(AND(BE735=1,D735="proMX"),ROUND(BI735*CFG_RATE+BJ735*CFG_OTRATE,6),0)</f>
        <v>0</v>
      </c>
      <c r="BU735" s="80">
        <f>IF(AND(BD735=1,D735="proMX"),ROUND(AG735/CFG_BLK,6),0)</f>
        <v>0</v>
      </c>
      <c r="BV735" s="80" t="str">
        <f>IF(BF735="Approved",IF(ISNUMBER(T735),INT(T735),INT(B735)),"")</f>
        <v/>
      </c>
      <c r="BW735" s="80">
        <f>IF(ISNUMBER(B735),IF(DB_MON="Todos",1,IF(AND(INT(B735)&gt;=DB_MS,INT(B735)&lt;=DB_ME),1,0)),0)</f>
        <v>0</v>
      </c>
      <c r="BX735" s="80">
        <f>IF(DB_PROJ="Todos",1,IF(E735&amp;""=DB_PROJ&amp;"",1,0))</f>
        <v>1</v>
      </c>
      <c r="BY735" s="80">
        <f>BW735*BX735</f>
        <v>0</v>
      </c>
      <c r="BZ735" s="80" t="str">
        <f>IF(Y735=1,F735&amp;IF(AND(F735&amp;""&lt;&gt;"",E735&amp;""&lt;&gt;"")," · ","")&amp;E735,"")</f>
        <v/>
      </c>
      <c r="CA735" s="80" t="str">
        <f>IF(AND(BD735=1,E735&amp;""&lt;&gt;""),IF(COUNTIFS($E$5:E734,E735,$BD$5:BD734,1)=0,MAX($CA$5:CA734)+1,""),"")</f>
        <v/>
      </c>
      <c r="CB735" s="80" t="str">
        <f>IF(AND(BE735=1,D735="Malcolm",E735&amp;""&lt;&gt;""),IF(COUNTIFS($D$5:D734,"Malcolm",$E$5:E734,E735,$BE$5:BE734,1)=0,MAX($CB$5:CB734)+1,""),"")</f>
        <v/>
      </c>
      <c r="CC735" s="80" t="str">
        <f>IF(AND(BD735=1,D735="proMX",E735&amp;""&lt;&gt;""),IF(COUNTIFS($D$5:D734,"proMX",$E$5:E734,E735,$BD$5:BD734,1)=0,MAX($CC$5:CC734)+1,""),"")</f>
        <v/>
      </c>
      <c r="CD735" s="80" t="str">
        <f>IF(AND(BE735=1,D735="Malcolm",F735&amp;""&lt;&gt;""),IF(COUNTIFS($D$5:D734,"Malcolm",$F$5:F734,F735,$BE$5:BE734,1)=0,MAX($CD$5:CD734)+1,""),"")</f>
        <v/>
      </c>
      <c r="CE735" s="80" t="str">
        <f>IF(AND(BD735=1,D735="proMX",F735&amp;""&lt;&gt;""),IF(COUNTIFS($D$5:D734,"proMX",$F$5:F734,F735,$BD$5:BD734,1)=0,MAX($CE$5:CE734)+1,""),"")</f>
        <v/>
      </c>
      <c r="CF735" s="80" t="str">
        <f>IF(AND(D735="proMX",BD735=1),IF(OR(BF735="Draft",BF735="Submitted",BF735="Returned",BF735="Recall Requested"),MAX($CF$5:CF734)+1,""),"")</f>
        <v/>
      </c>
      <c r="CG735" s="80">
        <f>IF(BD735=0,0,IF(D735="Malcolm",1,MATCH(BF735,{"Draft","Submitted","Approved","Returned","Recall Requested","Cancelled"},0)+1))</f>
        <v>0</v>
      </c>
      <c r="CH735" s="80">
        <f>IF(AND(BF735="Submitted",ISNUMBER(V735)),IF(V735&gt;CFG_MAXD,1,0),0)</f>
        <v>0</v>
      </c>
    </row>
    <row r="736">
      <c r="A736" s="71" t="str">
        <f>IF(Y736=1,ROW()-5,"")</f>
        <v/>
      </c>
      <c r="B736" s="72" t="n"/>
      <c r="C736" s="71" t="str">
        <f>IF(ISNUMBER(B736),CHOOSE(WEEKDAY(B736,2),"Lun","Mar","Mié","Jue","Vie","Sáb","Dom"),"")</f>
        <v/>
      </c>
      <c r="D736" s="73" t="n"/>
      <c r="E736" s="74" t="n"/>
      <c r="F736" s="74" t="n"/>
      <c r="G736" s="74" t="n"/>
      <c r="H736" s="75" t="n"/>
      <c r="I736" s="75" t="n"/>
      <c r="J736" s="76" t="n"/>
      <c r="K736" s="77" t="str">
        <f>IF(AB736=1,ROUND(AG736/60,4),"")</f>
        <v/>
      </c>
      <c r="L736" s="77" t="str">
        <f>IF(BD736=1,ROUND(AP736/60,4),"")</f>
        <v/>
      </c>
      <c r="M736" s="77" t="str">
        <f>IF(BD736=1,ROUND(AQ736/60,4),"")</f>
        <v/>
      </c>
      <c r="N736" s="71" t="str">
        <f>IF(AND(D736="proMX",AB736=1),ROUND(AG736/CFG_BLK,2),"")</f>
        <v/>
      </c>
      <c r="O736" s="77" t="str">
        <f>IF(D736="proMX",IF(BD736=1,ROUND(AG736/60,4),0),"")</f>
        <v/>
      </c>
      <c r="P736" s="78" t="str">
        <f>IF(Y736=0,"",IF(BD736=1,"OK",IF(D736="proMX","Revisar bloques: ","Revisar: ")&amp;BC736))</f>
        <v/>
      </c>
      <c r="Q736" s="78" t="str">
        <f>IF(NOT(ISNUMBER(B736)),"",IF(COUNTIFS(FER_F,INT(B736))&gt;0,"Feriado"&amp;IF(AH736=1," (laborable)"," (no laborable)"),IF(AH736=1,"Laborable",IF(WEEKDAY(B736,2)&gt;5,"Fin de semana","No laborable"))))</f>
        <v/>
      </c>
      <c r="R736" s="73" t="n"/>
      <c r="S736" s="72" t="n"/>
      <c r="T736" s="72" t="n"/>
      <c r="U736" s="74" t="n"/>
      <c r="V736" s="79" t="str">
        <f>IF(AND(D736="proMX",OR(R736="Submitted",R736="Recall Requested"),ISNUMBER(S736)),CFG_TODAY-INT(S736),"")</f>
        <v/>
      </c>
      <c r="W736" s="78" t="str">
        <f>IF(BD736=0,"",IF(BA736&gt;0,"⚠ Se superpone con un registro de la otra empresa",IF(D736="Malcolm",IF(COUNTA(R736,S736,T736)&gt;0,"Estado/fechas proMX se ignoran en Malcolm",""),IF(BF736="Cancelled","Cancelado: excluido de totales",IF(R736="","Sin estado: se trata como Draft",IF(BF736="Submitted",IF(ISNUMBER(V736),IF(V736&gt;CFG_MAXD,"⚠ "&amp;V736&amp;" días en Submitted (máx. "&amp;CFG_MAXD&amp;")",""),"Falta fecha de envío"),IF(BF736="Returned","⚠ Devuelto: corregir y reenviar",IF(BF736="Recall Requested","Retirada solicitada: pendiente",IF(AND(BF736="Approved",NOT(ISNUMBER(T736))),"Falta fecha de aprobación",IF(AND(ISNUMBER(S736),ISNUMBER(T736),T736&lt;S736),"Aprobación anterior al envío","")))))))))</f>
        <v/>
      </c>
      <c r="Y736" s="80">
        <f>IF(COUNTA(B736,D736,E736,F736,G736,H736,I736,J736,R736,S736,T736)&gt;0,1,0)</f>
        <v>0</v>
      </c>
      <c r="Z736" s="80" t="str">
        <f>IF(AND(ISNUMBER(H736),H736&gt;=0,H736&lt;1),ROUND(H736*1440,0),"")</f>
        <v/>
      </c>
      <c r="AA736" s="80" t="str">
        <f>IF(AND(ISNUMBER(I736),I736&gt;=0,I736&lt;1),ROUND(I736*1440,0),"")</f>
        <v/>
      </c>
      <c r="AB736" s="80">
        <f>IF(AND(ISNUMBER(B736),D736&lt;&gt;"",ISNUMBER(Z736),ISNUMBER(AA736)),IF(Z736=AA736,0,1),0)</f>
        <v>0</v>
      </c>
      <c r="AC736" s="80">
        <f>IF(AB736=1,IF(AA736&lt;Z736,1,0),0)</f>
        <v>0</v>
      </c>
      <c r="AD736" s="80">
        <f>IF(AB736=1,IF(AC736=1,1440-Z736+AA736,AA736-Z736),0)</f>
        <v>0</v>
      </c>
      <c r="AE736" s="80">
        <f>IF(J736="",0,IF(ISNUMBER(J736),J736,-1))</f>
        <v>0</v>
      </c>
      <c r="AF736" s="80">
        <f>MIN(MAX(0,AE736),AD736)</f>
        <v>0</v>
      </c>
      <c r="AG736" s="80">
        <f>MAX(0,AD736-MAX(0,AE736))</f>
        <v>0</v>
      </c>
      <c r="AH736" s="80">
        <f>IF(ISNUMBER(B736),IF(AND(INDEX(CFG_WDAYS,WEEKDAY(INT(B736),2))="Sí",IF(D736="proMX",COUNTIFS(FER_F,INT(B736),FER_NLP,"Sí"),COUNTIFS(FER_F,INT(B736),FER_NLM,"Sí"))=0),1,0),0)</f>
        <v>0</v>
      </c>
      <c r="AI736" s="80">
        <f>IF(AC736=1,IF(AND(INDEX(CFG_WDAYS,WEEKDAY(INT(B736)+1,2))="Sí",IF(D736="proMX",COUNTIFS(FER_F,INT(B736)+1,FER_NLP,"Sí"),COUNTIFS(FER_F,INT(B736)+1,FER_NLM,"Sí"))=0),1,0),0)</f>
        <v>0</v>
      </c>
      <c r="AJ736" s="80">
        <f>IF(AC736=1,1440-Z736,AD736)</f>
        <v>0</v>
      </c>
      <c r="AK736" s="80">
        <f>IF(AND(AB736=1,AH736=1),MAX(0,MIN(IF(AC736=1,1440,AA736),CFG_WEM)-MAX(Z736,CFG_WSM)),0)</f>
        <v>0</v>
      </c>
      <c r="AL736" s="80">
        <f>IF(AND(AC736=1,AI736=1),MAX(0,MIN(AA736,CFG_WEM)-CFG_WSM),0)</f>
        <v>0</v>
      </c>
      <c r="AM736" s="80">
        <f>AK736+AL736</f>
        <v>0</v>
      </c>
      <c r="AN736" s="80">
        <f>IF(CFG_BRK="Proporcional",IF(AD736=0,0,AF736*AM736/AD736),IF(CFG_BRK="Extras primero",MIN(AM736,MAX(0,AF736-(AD736-AM736))),MIN(AF736,AM736)))</f>
        <v>0</v>
      </c>
      <c r="AO736" s="80">
        <f>AF736-AN736</f>
        <v>0</v>
      </c>
      <c r="AP736" s="80">
        <f>AM736-AN736</f>
        <v>0</v>
      </c>
      <c r="AQ736" s="80">
        <f>AD736-AM736-AO736</f>
        <v>0</v>
      </c>
      <c r="AR736" s="80">
        <f>IF(AM736=0,0,AK736-AN736*AK736/AM736)</f>
        <v>0</v>
      </c>
      <c r="AS736" s="80">
        <f>IF(AD736-AM736=0,0,(AJ736-AK736)-AO736*(AJ736-AK736)/(AD736-AM736))</f>
        <v>0</v>
      </c>
      <c r="AT736" s="80" t="str">
        <f>IF(AC736=1,INT(B736)+1,"")</f>
        <v/>
      </c>
      <c r="AU736" s="80">
        <f>IF(AND(D736="proMX",R736="Cancelled"),0,1)</f>
        <v>1</v>
      </c>
      <c r="AV736" s="80">
        <f>IF(AND(AB736=1,AU736=1),IF(COUNTIFS($D$5:D735,D736,$B$5:B735,B736,$Z$5:Z735,Z736,$AA$5:AA735,AA736,$F$5:F735,F736&amp;"",$AU$5:AU735,1)&gt;0,1,0),0)</f>
        <v>0</v>
      </c>
      <c r="AW736" s="80" t="str">
        <f>IF(AB736=1,INT(B736)*1440+Z736,"")</f>
        <v/>
      </c>
      <c r="AX736" s="80" t="str">
        <f>IF(AB736=1,AW736+AD736,"")</f>
        <v/>
      </c>
      <c r="AY736" s="80">
        <f>IF(AND(AB736=1,AV736=0,AU736=1),1,0)</f>
        <v>0</v>
      </c>
      <c r="AZ736" s="80">
        <f>IF(AY736=1,COUNTIFS(R_Emp,D736,R_SAbs,"&lt;"&amp;AX736,R_EAbs,"&gt;"&amp;AW736,R_OKey,1)-1,0)</f>
        <v>0</v>
      </c>
      <c r="BA736" s="80">
        <f>IF(AY736=1,COUNTIFS(R_Emp,"&lt;&gt;"&amp;D736,R_SAbs,"&lt;"&amp;AX736,R_EAbs,"&gt;"&amp;AW736,R_OKey,1),0)</f>
        <v>0</v>
      </c>
      <c r="BB736" s="80">
        <f>IF(AND(AB736=1,D736="proMX"),IF(AND(MOD(Z736,CFG_BLK)=0,MOD(AA736,CFG_BLK)=0,MOD(AG736,CFG_BLK)=0,AG736&gt;0),1,0),1)</f>
        <v>1</v>
      </c>
      <c r="BC736" s="80" t="str">
        <f>IF(Y736=0,"",IF(NOT(ISNUMBER(B736)),"Falta fecha o fecha inválida",IF(D736="","Falta empresa",IF(AND(D736&lt;&gt;"Malcolm",D736&lt;&gt;"proMX"),"Empresa inválida",IF(OR(INT(B736)&lt;CFG_PSTART,INT(B736)&gt;CFG_PEND),"Fecha fuera del período",IF(OR(NOT(ISNUMBER(Z736)),NOT(ISNUMBER(AA736))),"Falta hora inicio/fin o formato inválido",IF(AB736=0,"Hora inicio = hora fin",IF(AE736&lt;0,"Descanso inválido",IF(AE736&gt;=AD736,"Descanso ≥ duración",IF(AV736=1,"Registro duplicado",IF(AZ736&gt;0,"Se superpone con otro registro "&amp;D736,IF(BB736=0,"inicio, fin y duración neta deben ser múltiplos de "&amp;CFG_BLK&amp;" min",""))))))))))))</f>
        <v/>
      </c>
      <c r="BD736" s="80">
        <f>IF(AND(Y736=1,BC736=""),1,0)</f>
        <v>0</v>
      </c>
      <c r="BE736" s="80">
        <f>IF(AND(BD736=1,AU736=1),1,0)</f>
        <v>0</v>
      </c>
      <c r="BF736" s="80" t="str">
        <f>IF(AND(D736="proMX",BD736=1),IF(R736="","Draft",R736),"")</f>
        <v/>
      </c>
      <c r="BG736" s="80">
        <f>IF(BD736=1,ROUND(AG736/60,6),0)</f>
        <v>0</v>
      </c>
      <c r="BH736" s="80">
        <f>IF(BE736=1,ROUND(AG736/60,6),0)</f>
        <v>0</v>
      </c>
      <c r="BI736" s="80">
        <f>IF(BE736=1,ROUND(AP736/60,6),0)</f>
        <v>0</v>
      </c>
      <c r="BJ736" s="80">
        <f>IF(BE736=1,ROUND(AQ736/60,6),0)</f>
        <v>0</v>
      </c>
      <c r="BK736" s="80">
        <f>IF(BE736=1,ROUND((AR736+AS736)/60,6),0)</f>
        <v>0</v>
      </c>
      <c r="BL736" s="80">
        <f>ROUND(BH736-BK736,6)</f>
        <v>0</v>
      </c>
      <c r="BM736" s="80">
        <f>IF(BE736=1,ROUND(AR736/60,6),0)</f>
        <v>0</v>
      </c>
      <c r="BN736" s="80">
        <f>ROUND(BI736-BM736,6)</f>
        <v>0</v>
      </c>
      <c r="BO736" s="80">
        <f>IF(BE736=1,ROUND(AS736/60,6),0)</f>
        <v>0</v>
      </c>
      <c r="BP736" s="80">
        <f>ROUND(BJ736-BO736,6)</f>
        <v>0</v>
      </c>
      <c r="BQ736" s="80">
        <f>IF(BE736=1,AW736,0)</f>
        <v>0</v>
      </c>
      <c r="BR736" s="80">
        <f>IF(BE736=1,AX736,0)</f>
        <v>0</v>
      </c>
      <c r="BS736" s="80">
        <f>IF(AND(BE736=1,D736="Malcolm",BA736&gt;0),MIN(BH736,SUMPRODUCT((R_Emp="proMX")*(R_EN&gt;0)*((R_EN-(R_EN&gt;BR736)*(R_EN-BR736))&gt;(R_SN+(R_SN&lt;BQ736)*(BQ736-R_SN)))*((R_EN-(R_EN&gt;BR736)*(R_EN-BR736))-(R_SN+(R_SN&lt;BQ736)*(BQ736-R_SN))))/60),0)</f>
        <v>0</v>
      </c>
      <c r="BT736" s="80">
        <f>IF(AND(BE736=1,D736="proMX"),ROUND(BI736*CFG_RATE+BJ736*CFG_OTRATE,6),0)</f>
        <v>0</v>
      </c>
      <c r="BU736" s="80">
        <f>IF(AND(BD736=1,D736="proMX"),ROUND(AG736/CFG_BLK,6),0)</f>
        <v>0</v>
      </c>
      <c r="BV736" s="80" t="str">
        <f>IF(BF736="Approved",IF(ISNUMBER(T736),INT(T736),INT(B736)),"")</f>
        <v/>
      </c>
      <c r="BW736" s="80">
        <f>IF(ISNUMBER(B736),IF(DB_MON="Todos",1,IF(AND(INT(B736)&gt;=DB_MS,INT(B736)&lt;=DB_ME),1,0)),0)</f>
        <v>0</v>
      </c>
      <c r="BX736" s="80">
        <f>IF(DB_PROJ="Todos",1,IF(E736&amp;""=DB_PROJ&amp;"",1,0))</f>
        <v>1</v>
      </c>
      <c r="BY736" s="80">
        <f>BW736*BX736</f>
        <v>0</v>
      </c>
      <c r="BZ736" s="80" t="str">
        <f>IF(Y736=1,F736&amp;IF(AND(F736&amp;""&lt;&gt;"",E736&amp;""&lt;&gt;"")," · ","")&amp;E736,"")</f>
        <v/>
      </c>
      <c r="CA736" s="80" t="str">
        <f>IF(AND(BD736=1,E736&amp;""&lt;&gt;""),IF(COUNTIFS($E$5:E735,E736,$BD$5:BD735,1)=0,MAX($CA$5:CA735)+1,""),"")</f>
        <v/>
      </c>
      <c r="CB736" s="80" t="str">
        <f>IF(AND(BE736=1,D736="Malcolm",E736&amp;""&lt;&gt;""),IF(COUNTIFS($D$5:D735,"Malcolm",$E$5:E735,E736,$BE$5:BE735,1)=0,MAX($CB$5:CB735)+1,""),"")</f>
        <v/>
      </c>
      <c r="CC736" s="80" t="str">
        <f>IF(AND(BD736=1,D736="proMX",E736&amp;""&lt;&gt;""),IF(COUNTIFS($D$5:D735,"proMX",$E$5:E735,E736,$BD$5:BD735,1)=0,MAX($CC$5:CC735)+1,""),"")</f>
        <v/>
      </c>
      <c r="CD736" s="80" t="str">
        <f>IF(AND(BE736=1,D736="Malcolm",F736&amp;""&lt;&gt;""),IF(COUNTIFS($D$5:D735,"Malcolm",$F$5:F735,F736,$BE$5:BE735,1)=0,MAX($CD$5:CD735)+1,""),"")</f>
        <v/>
      </c>
      <c r="CE736" s="80" t="str">
        <f>IF(AND(BD736=1,D736="proMX",F736&amp;""&lt;&gt;""),IF(COUNTIFS($D$5:D735,"proMX",$F$5:F735,F736,$BD$5:BD735,1)=0,MAX($CE$5:CE735)+1,""),"")</f>
        <v/>
      </c>
      <c r="CF736" s="80" t="str">
        <f>IF(AND(D736="proMX",BD736=1),IF(OR(BF736="Draft",BF736="Submitted",BF736="Returned",BF736="Recall Requested"),MAX($CF$5:CF735)+1,""),"")</f>
        <v/>
      </c>
      <c r="CG736" s="80">
        <f>IF(BD736=0,0,IF(D736="Malcolm",1,MATCH(BF736,{"Draft","Submitted","Approved","Returned","Recall Requested","Cancelled"},0)+1))</f>
        <v>0</v>
      </c>
      <c r="CH736" s="80">
        <f>IF(AND(BF736="Submitted",ISNUMBER(V736)),IF(V736&gt;CFG_MAXD,1,0),0)</f>
        <v>0</v>
      </c>
    </row>
    <row r="737">
      <c r="A737" s="71" t="str">
        <f>IF(Y737=1,ROW()-5,"")</f>
        <v/>
      </c>
      <c r="B737" s="72" t="n"/>
      <c r="C737" s="71" t="str">
        <f>IF(ISNUMBER(B737),CHOOSE(WEEKDAY(B737,2),"Lun","Mar","Mié","Jue","Vie","Sáb","Dom"),"")</f>
        <v/>
      </c>
      <c r="D737" s="73" t="n"/>
      <c r="E737" s="74" t="n"/>
      <c r="F737" s="74" t="n"/>
      <c r="G737" s="74" t="n"/>
      <c r="H737" s="75" t="n"/>
      <c r="I737" s="75" t="n"/>
      <c r="J737" s="76" t="n"/>
      <c r="K737" s="77" t="str">
        <f>IF(AB737=1,ROUND(AG737/60,4),"")</f>
        <v/>
      </c>
      <c r="L737" s="77" t="str">
        <f>IF(BD737=1,ROUND(AP737/60,4),"")</f>
        <v/>
      </c>
      <c r="M737" s="77" t="str">
        <f>IF(BD737=1,ROUND(AQ737/60,4),"")</f>
        <v/>
      </c>
      <c r="N737" s="71" t="str">
        <f>IF(AND(D737="proMX",AB737=1),ROUND(AG737/CFG_BLK,2),"")</f>
        <v/>
      </c>
      <c r="O737" s="77" t="str">
        <f>IF(D737="proMX",IF(BD737=1,ROUND(AG737/60,4),0),"")</f>
        <v/>
      </c>
      <c r="P737" s="78" t="str">
        <f>IF(Y737=0,"",IF(BD737=1,"OK",IF(D737="proMX","Revisar bloques: ","Revisar: ")&amp;BC737))</f>
        <v/>
      </c>
      <c r="Q737" s="78" t="str">
        <f>IF(NOT(ISNUMBER(B737)),"",IF(COUNTIFS(FER_F,INT(B737))&gt;0,"Feriado"&amp;IF(AH737=1," (laborable)"," (no laborable)"),IF(AH737=1,"Laborable",IF(WEEKDAY(B737,2)&gt;5,"Fin de semana","No laborable"))))</f>
        <v/>
      </c>
      <c r="R737" s="73" t="n"/>
      <c r="S737" s="72" t="n"/>
      <c r="T737" s="72" t="n"/>
      <c r="U737" s="74" t="n"/>
      <c r="V737" s="79" t="str">
        <f>IF(AND(D737="proMX",OR(R737="Submitted",R737="Recall Requested"),ISNUMBER(S737)),CFG_TODAY-INT(S737),"")</f>
        <v/>
      </c>
      <c r="W737" s="78" t="str">
        <f>IF(BD737=0,"",IF(BA737&gt;0,"⚠ Se superpone con un registro de la otra empresa",IF(D737="Malcolm",IF(COUNTA(R737,S737,T737)&gt;0,"Estado/fechas proMX se ignoran en Malcolm",""),IF(BF737="Cancelled","Cancelado: excluido de totales",IF(R737="","Sin estado: se trata como Draft",IF(BF737="Submitted",IF(ISNUMBER(V737),IF(V737&gt;CFG_MAXD,"⚠ "&amp;V737&amp;" días en Submitted (máx. "&amp;CFG_MAXD&amp;")",""),"Falta fecha de envío"),IF(BF737="Returned","⚠ Devuelto: corregir y reenviar",IF(BF737="Recall Requested","Retirada solicitada: pendiente",IF(AND(BF737="Approved",NOT(ISNUMBER(T737))),"Falta fecha de aprobación",IF(AND(ISNUMBER(S737),ISNUMBER(T737),T737&lt;S737),"Aprobación anterior al envío","")))))))))</f>
        <v/>
      </c>
      <c r="Y737" s="80">
        <f>IF(COUNTA(B737,D737,E737,F737,G737,H737,I737,J737,R737,S737,T737)&gt;0,1,0)</f>
        <v>0</v>
      </c>
      <c r="Z737" s="80" t="str">
        <f>IF(AND(ISNUMBER(H737),H737&gt;=0,H737&lt;1),ROUND(H737*1440,0),"")</f>
        <v/>
      </c>
      <c r="AA737" s="80" t="str">
        <f>IF(AND(ISNUMBER(I737),I737&gt;=0,I737&lt;1),ROUND(I737*1440,0),"")</f>
        <v/>
      </c>
      <c r="AB737" s="80">
        <f>IF(AND(ISNUMBER(B737),D737&lt;&gt;"",ISNUMBER(Z737),ISNUMBER(AA737)),IF(Z737=AA737,0,1),0)</f>
        <v>0</v>
      </c>
      <c r="AC737" s="80">
        <f>IF(AB737=1,IF(AA737&lt;Z737,1,0),0)</f>
        <v>0</v>
      </c>
      <c r="AD737" s="80">
        <f>IF(AB737=1,IF(AC737=1,1440-Z737+AA737,AA737-Z737),0)</f>
        <v>0</v>
      </c>
      <c r="AE737" s="80">
        <f>IF(J737="",0,IF(ISNUMBER(J737),J737,-1))</f>
        <v>0</v>
      </c>
      <c r="AF737" s="80">
        <f>MIN(MAX(0,AE737),AD737)</f>
        <v>0</v>
      </c>
      <c r="AG737" s="80">
        <f>MAX(0,AD737-MAX(0,AE737))</f>
        <v>0</v>
      </c>
      <c r="AH737" s="80">
        <f>IF(ISNUMBER(B737),IF(AND(INDEX(CFG_WDAYS,WEEKDAY(INT(B737),2))="Sí",IF(D737="proMX",COUNTIFS(FER_F,INT(B737),FER_NLP,"Sí"),COUNTIFS(FER_F,INT(B737),FER_NLM,"Sí"))=0),1,0),0)</f>
        <v>0</v>
      </c>
      <c r="AI737" s="80">
        <f>IF(AC737=1,IF(AND(INDEX(CFG_WDAYS,WEEKDAY(INT(B737)+1,2))="Sí",IF(D737="proMX",COUNTIFS(FER_F,INT(B737)+1,FER_NLP,"Sí"),COUNTIFS(FER_F,INT(B737)+1,FER_NLM,"Sí"))=0),1,0),0)</f>
        <v>0</v>
      </c>
      <c r="AJ737" s="80">
        <f>IF(AC737=1,1440-Z737,AD737)</f>
        <v>0</v>
      </c>
      <c r="AK737" s="80">
        <f>IF(AND(AB737=1,AH737=1),MAX(0,MIN(IF(AC737=1,1440,AA737),CFG_WEM)-MAX(Z737,CFG_WSM)),0)</f>
        <v>0</v>
      </c>
      <c r="AL737" s="80">
        <f>IF(AND(AC737=1,AI737=1),MAX(0,MIN(AA737,CFG_WEM)-CFG_WSM),0)</f>
        <v>0</v>
      </c>
      <c r="AM737" s="80">
        <f>AK737+AL737</f>
        <v>0</v>
      </c>
      <c r="AN737" s="80">
        <f>IF(CFG_BRK="Proporcional",IF(AD737=0,0,AF737*AM737/AD737),IF(CFG_BRK="Extras primero",MIN(AM737,MAX(0,AF737-(AD737-AM737))),MIN(AF737,AM737)))</f>
        <v>0</v>
      </c>
      <c r="AO737" s="80">
        <f>AF737-AN737</f>
        <v>0</v>
      </c>
      <c r="AP737" s="80">
        <f>AM737-AN737</f>
        <v>0</v>
      </c>
      <c r="AQ737" s="80">
        <f>AD737-AM737-AO737</f>
        <v>0</v>
      </c>
      <c r="AR737" s="80">
        <f>IF(AM737=0,0,AK737-AN737*AK737/AM737)</f>
        <v>0</v>
      </c>
      <c r="AS737" s="80">
        <f>IF(AD737-AM737=0,0,(AJ737-AK737)-AO737*(AJ737-AK737)/(AD737-AM737))</f>
        <v>0</v>
      </c>
      <c r="AT737" s="80" t="str">
        <f>IF(AC737=1,INT(B737)+1,"")</f>
        <v/>
      </c>
      <c r="AU737" s="80">
        <f>IF(AND(D737="proMX",R737="Cancelled"),0,1)</f>
        <v>1</v>
      </c>
      <c r="AV737" s="80">
        <f>IF(AND(AB737=1,AU737=1),IF(COUNTIFS($D$5:D736,D737,$B$5:B736,B737,$Z$5:Z736,Z737,$AA$5:AA736,AA737,$F$5:F736,F737&amp;"",$AU$5:AU736,1)&gt;0,1,0),0)</f>
        <v>0</v>
      </c>
      <c r="AW737" s="80" t="str">
        <f>IF(AB737=1,INT(B737)*1440+Z737,"")</f>
        <v/>
      </c>
      <c r="AX737" s="80" t="str">
        <f>IF(AB737=1,AW737+AD737,"")</f>
        <v/>
      </c>
      <c r="AY737" s="80">
        <f>IF(AND(AB737=1,AV737=0,AU737=1),1,0)</f>
        <v>0</v>
      </c>
      <c r="AZ737" s="80">
        <f>IF(AY737=1,COUNTIFS(R_Emp,D737,R_SAbs,"&lt;"&amp;AX737,R_EAbs,"&gt;"&amp;AW737,R_OKey,1)-1,0)</f>
        <v>0</v>
      </c>
      <c r="BA737" s="80">
        <f>IF(AY737=1,COUNTIFS(R_Emp,"&lt;&gt;"&amp;D737,R_SAbs,"&lt;"&amp;AX737,R_EAbs,"&gt;"&amp;AW737,R_OKey,1),0)</f>
        <v>0</v>
      </c>
      <c r="BB737" s="80">
        <f>IF(AND(AB737=1,D737="proMX"),IF(AND(MOD(Z737,CFG_BLK)=0,MOD(AA737,CFG_BLK)=0,MOD(AG737,CFG_BLK)=0,AG737&gt;0),1,0),1)</f>
        <v>1</v>
      </c>
      <c r="BC737" s="80" t="str">
        <f>IF(Y737=0,"",IF(NOT(ISNUMBER(B737)),"Falta fecha o fecha inválida",IF(D737="","Falta empresa",IF(AND(D737&lt;&gt;"Malcolm",D737&lt;&gt;"proMX"),"Empresa inválida",IF(OR(INT(B737)&lt;CFG_PSTART,INT(B737)&gt;CFG_PEND),"Fecha fuera del período",IF(OR(NOT(ISNUMBER(Z737)),NOT(ISNUMBER(AA737))),"Falta hora inicio/fin o formato inválido",IF(AB737=0,"Hora inicio = hora fin",IF(AE737&lt;0,"Descanso inválido",IF(AE737&gt;=AD737,"Descanso ≥ duración",IF(AV737=1,"Registro duplicado",IF(AZ737&gt;0,"Se superpone con otro registro "&amp;D737,IF(BB737=0,"inicio, fin y duración neta deben ser múltiplos de "&amp;CFG_BLK&amp;" min",""))))))))))))</f>
        <v/>
      </c>
      <c r="BD737" s="80">
        <f>IF(AND(Y737=1,BC737=""),1,0)</f>
        <v>0</v>
      </c>
      <c r="BE737" s="80">
        <f>IF(AND(BD737=1,AU737=1),1,0)</f>
        <v>0</v>
      </c>
      <c r="BF737" s="80" t="str">
        <f>IF(AND(D737="proMX",BD737=1),IF(R737="","Draft",R737),"")</f>
        <v/>
      </c>
      <c r="BG737" s="80">
        <f>IF(BD737=1,ROUND(AG737/60,6),0)</f>
        <v>0</v>
      </c>
      <c r="BH737" s="80">
        <f>IF(BE737=1,ROUND(AG737/60,6),0)</f>
        <v>0</v>
      </c>
      <c r="BI737" s="80">
        <f>IF(BE737=1,ROUND(AP737/60,6),0)</f>
        <v>0</v>
      </c>
      <c r="BJ737" s="80">
        <f>IF(BE737=1,ROUND(AQ737/60,6),0)</f>
        <v>0</v>
      </c>
      <c r="BK737" s="80">
        <f>IF(BE737=1,ROUND((AR737+AS737)/60,6),0)</f>
        <v>0</v>
      </c>
      <c r="BL737" s="80">
        <f>ROUND(BH737-BK737,6)</f>
        <v>0</v>
      </c>
      <c r="BM737" s="80">
        <f>IF(BE737=1,ROUND(AR737/60,6),0)</f>
        <v>0</v>
      </c>
      <c r="BN737" s="80">
        <f>ROUND(BI737-BM737,6)</f>
        <v>0</v>
      </c>
      <c r="BO737" s="80">
        <f>IF(BE737=1,ROUND(AS737/60,6),0)</f>
        <v>0</v>
      </c>
      <c r="BP737" s="80">
        <f>ROUND(BJ737-BO737,6)</f>
        <v>0</v>
      </c>
      <c r="BQ737" s="80">
        <f>IF(BE737=1,AW737,0)</f>
        <v>0</v>
      </c>
      <c r="BR737" s="80">
        <f>IF(BE737=1,AX737,0)</f>
        <v>0</v>
      </c>
      <c r="BS737" s="80">
        <f>IF(AND(BE737=1,D737="Malcolm",BA737&gt;0),MIN(BH737,SUMPRODUCT((R_Emp="proMX")*(R_EN&gt;0)*((R_EN-(R_EN&gt;BR737)*(R_EN-BR737))&gt;(R_SN+(R_SN&lt;BQ737)*(BQ737-R_SN)))*((R_EN-(R_EN&gt;BR737)*(R_EN-BR737))-(R_SN+(R_SN&lt;BQ737)*(BQ737-R_SN))))/60),0)</f>
        <v>0</v>
      </c>
      <c r="BT737" s="80">
        <f>IF(AND(BE737=1,D737="proMX"),ROUND(BI737*CFG_RATE+BJ737*CFG_OTRATE,6),0)</f>
        <v>0</v>
      </c>
      <c r="BU737" s="80">
        <f>IF(AND(BD737=1,D737="proMX"),ROUND(AG737/CFG_BLK,6),0)</f>
        <v>0</v>
      </c>
      <c r="BV737" s="80" t="str">
        <f>IF(BF737="Approved",IF(ISNUMBER(T737),INT(T737),INT(B737)),"")</f>
        <v/>
      </c>
      <c r="BW737" s="80">
        <f>IF(ISNUMBER(B737),IF(DB_MON="Todos",1,IF(AND(INT(B737)&gt;=DB_MS,INT(B737)&lt;=DB_ME),1,0)),0)</f>
        <v>0</v>
      </c>
      <c r="BX737" s="80">
        <f>IF(DB_PROJ="Todos",1,IF(E737&amp;""=DB_PROJ&amp;"",1,0))</f>
        <v>1</v>
      </c>
      <c r="BY737" s="80">
        <f>BW737*BX737</f>
        <v>0</v>
      </c>
      <c r="BZ737" s="80" t="str">
        <f>IF(Y737=1,F737&amp;IF(AND(F737&amp;""&lt;&gt;"",E737&amp;""&lt;&gt;"")," · ","")&amp;E737,"")</f>
        <v/>
      </c>
      <c r="CA737" s="80" t="str">
        <f>IF(AND(BD737=1,E737&amp;""&lt;&gt;""),IF(COUNTIFS($E$5:E736,E737,$BD$5:BD736,1)=0,MAX($CA$5:CA736)+1,""),"")</f>
        <v/>
      </c>
      <c r="CB737" s="80" t="str">
        <f>IF(AND(BE737=1,D737="Malcolm",E737&amp;""&lt;&gt;""),IF(COUNTIFS($D$5:D736,"Malcolm",$E$5:E736,E737,$BE$5:BE736,1)=0,MAX($CB$5:CB736)+1,""),"")</f>
        <v/>
      </c>
      <c r="CC737" s="80" t="str">
        <f>IF(AND(BD737=1,D737="proMX",E737&amp;""&lt;&gt;""),IF(COUNTIFS($D$5:D736,"proMX",$E$5:E736,E737,$BD$5:BD736,1)=0,MAX($CC$5:CC736)+1,""),"")</f>
        <v/>
      </c>
      <c r="CD737" s="80" t="str">
        <f>IF(AND(BE737=1,D737="Malcolm",F737&amp;""&lt;&gt;""),IF(COUNTIFS($D$5:D736,"Malcolm",$F$5:F736,F737,$BE$5:BE736,1)=0,MAX($CD$5:CD736)+1,""),"")</f>
        <v/>
      </c>
      <c r="CE737" s="80" t="str">
        <f>IF(AND(BD737=1,D737="proMX",F737&amp;""&lt;&gt;""),IF(COUNTIFS($D$5:D736,"proMX",$F$5:F736,F737,$BD$5:BD736,1)=0,MAX($CE$5:CE736)+1,""),"")</f>
        <v/>
      </c>
      <c r="CF737" s="80" t="str">
        <f>IF(AND(D737="proMX",BD737=1),IF(OR(BF737="Draft",BF737="Submitted",BF737="Returned",BF737="Recall Requested"),MAX($CF$5:CF736)+1,""),"")</f>
        <v/>
      </c>
      <c r="CG737" s="80">
        <f>IF(BD737=0,0,IF(D737="Malcolm",1,MATCH(BF737,{"Draft","Submitted","Approved","Returned","Recall Requested","Cancelled"},0)+1))</f>
        <v>0</v>
      </c>
      <c r="CH737" s="80">
        <f>IF(AND(BF737="Submitted",ISNUMBER(V737)),IF(V737&gt;CFG_MAXD,1,0),0)</f>
        <v>0</v>
      </c>
    </row>
    <row r="738">
      <c r="A738" s="71" t="str">
        <f>IF(Y738=1,ROW()-5,"")</f>
        <v/>
      </c>
      <c r="B738" s="72" t="n"/>
      <c r="C738" s="71" t="str">
        <f>IF(ISNUMBER(B738),CHOOSE(WEEKDAY(B738,2),"Lun","Mar","Mié","Jue","Vie","Sáb","Dom"),"")</f>
        <v/>
      </c>
      <c r="D738" s="73" t="n"/>
      <c r="E738" s="74" t="n"/>
      <c r="F738" s="74" t="n"/>
      <c r="G738" s="74" t="n"/>
      <c r="H738" s="75" t="n"/>
      <c r="I738" s="75" t="n"/>
      <c r="J738" s="76" t="n"/>
      <c r="K738" s="77" t="str">
        <f>IF(AB738=1,ROUND(AG738/60,4),"")</f>
        <v/>
      </c>
      <c r="L738" s="77" t="str">
        <f>IF(BD738=1,ROUND(AP738/60,4),"")</f>
        <v/>
      </c>
      <c r="M738" s="77" t="str">
        <f>IF(BD738=1,ROUND(AQ738/60,4),"")</f>
        <v/>
      </c>
      <c r="N738" s="71" t="str">
        <f>IF(AND(D738="proMX",AB738=1),ROUND(AG738/CFG_BLK,2),"")</f>
        <v/>
      </c>
      <c r="O738" s="77" t="str">
        <f>IF(D738="proMX",IF(BD738=1,ROUND(AG738/60,4),0),"")</f>
        <v/>
      </c>
      <c r="P738" s="78" t="str">
        <f>IF(Y738=0,"",IF(BD738=1,"OK",IF(D738="proMX","Revisar bloques: ","Revisar: ")&amp;BC738))</f>
        <v/>
      </c>
      <c r="Q738" s="78" t="str">
        <f>IF(NOT(ISNUMBER(B738)),"",IF(COUNTIFS(FER_F,INT(B738))&gt;0,"Feriado"&amp;IF(AH738=1," (laborable)"," (no laborable)"),IF(AH738=1,"Laborable",IF(WEEKDAY(B738,2)&gt;5,"Fin de semana","No laborable"))))</f>
        <v/>
      </c>
      <c r="R738" s="73" t="n"/>
      <c r="S738" s="72" t="n"/>
      <c r="T738" s="72" t="n"/>
      <c r="U738" s="74" t="n"/>
      <c r="V738" s="79" t="str">
        <f>IF(AND(D738="proMX",OR(R738="Submitted",R738="Recall Requested"),ISNUMBER(S738)),CFG_TODAY-INT(S738),"")</f>
        <v/>
      </c>
      <c r="W738" s="78" t="str">
        <f>IF(BD738=0,"",IF(BA738&gt;0,"⚠ Se superpone con un registro de la otra empresa",IF(D738="Malcolm",IF(COUNTA(R738,S738,T738)&gt;0,"Estado/fechas proMX se ignoran en Malcolm",""),IF(BF738="Cancelled","Cancelado: excluido de totales",IF(R738="","Sin estado: se trata como Draft",IF(BF738="Submitted",IF(ISNUMBER(V738),IF(V738&gt;CFG_MAXD,"⚠ "&amp;V738&amp;" días en Submitted (máx. "&amp;CFG_MAXD&amp;")",""),"Falta fecha de envío"),IF(BF738="Returned","⚠ Devuelto: corregir y reenviar",IF(BF738="Recall Requested","Retirada solicitada: pendiente",IF(AND(BF738="Approved",NOT(ISNUMBER(T738))),"Falta fecha de aprobación",IF(AND(ISNUMBER(S738),ISNUMBER(T738),T738&lt;S738),"Aprobación anterior al envío","")))))))))</f>
        <v/>
      </c>
      <c r="Y738" s="80">
        <f>IF(COUNTA(B738,D738,E738,F738,G738,H738,I738,J738,R738,S738,T738)&gt;0,1,0)</f>
        <v>0</v>
      </c>
      <c r="Z738" s="80" t="str">
        <f>IF(AND(ISNUMBER(H738),H738&gt;=0,H738&lt;1),ROUND(H738*1440,0),"")</f>
        <v/>
      </c>
      <c r="AA738" s="80" t="str">
        <f>IF(AND(ISNUMBER(I738),I738&gt;=0,I738&lt;1),ROUND(I738*1440,0),"")</f>
        <v/>
      </c>
      <c r="AB738" s="80">
        <f>IF(AND(ISNUMBER(B738),D738&lt;&gt;"",ISNUMBER(Z738),ISNUMBER(AA738)),IF(Z738=AA738,0,1),0)</f>
        <v>0</v>
      </c>
      <c r="AC738" s="80">
        <f>IF(AB738=1,IF(AA738&lt;Z738,1,0),0)</f>
        <v>0</v>
      </c>
      <c r="AD738" s="80">
        <f>IF(AB738=1,IF(AC738=1,1440-Z738+AA738,AA738-Z738),0)</f>
        <v>0</v>
      </c>
      <c r="AE738" s="80">
        <f>IF(J738="",0,IF(ISNUMBER(J738),J738,-1))</f>
        <v>0</v>
      </c>
      <c r="AF738" s="80">
        <f>MIN(MAX(0,AE738),AD738)</f>
        <v>0</v>
      </c>
      <c r="AG738" s="80">
        <f>MAX(0,AD738-MAX(0,AE738))</f>
        <v>0</v>
      </c>
      <c r="AH738" s="80">
        <f>IF(ISNUMBER(B738),IF(AND(INDEX(CFG_WDAYS,WEEKDAY(INT(B738),2))="Sí",IF(D738="proMX",COUNTIFS(FER_F,INT(B738),FER_NLP,"Sí"),COUNTIFS(FER_F,INT(B738),FER_NLM,"Sí"))=0),1,0),0)</f>
        <v>0</v>
      </c>
      <c r="AI738" s="80">
        <f>IF(AC738=1,IF(AND(INDEX(CFG_WDAYS,WEEKDAY(INT(B738)+1,2))="Sí",IF(D738="proMX",COUNTIFS(FER_F,INT(B738)+1,FER_NLP,"Sí"),COUNTIFS(FER_F,INT(B738)+1,FER_NLM,"Sí"))=0),1,0),0)</f>
        <v>0</v>
      </c>
      <c r="AJ738" s="80">
        <f>IF(AC738=1,1440-Z738,AD738)</f>
        <v>0</v>
      </c>
      <c r="AK738" s="80">
        <f>IF(AND(AB738=1,AH738=1),MAX(0,MIN(IF(AC738=1,1440,AA738),CFG_WEM)-MAX(Z738,CFG_WSM)),0)</f>
        <v>0</v>
      </c>
      <c r="AL738" s="80">
        <f>IF(AND(AC738=1,AI738=1),MAX(0,MIN(AA738,CFG_WEM)-CFG_WSM),0)</f>
        <v>0</v>
      </c>
      <c r="AM738" s="80">
        <f>AK738+AL738</f>
        <v>0</v>
      </c>
      <c r="AN738" s="80">
        <f>IF(CFG_BRK="Proporcional",IF(AD738=0,0,AF738*AM738/AD738),IF(CFG_BRK="Extras primero",MIN(AM738,MAX(0,AF738-(AD738-AM738))),MIN(AF738,AM738)))</f>
        <v>0</v>
      </c>
      <c r="AO738" s="80">
        <f>AF738-AN738</f>
        <v>0</v>
      </c>
      <c r="AP738" s="80">
        <f>AM738-AN738</f>
        <v>0</v>
      </c>
      <c r="AQ738" s="80">
        <f>AD738-AM738-AO738</f>
        <v>0</v>
      </c>
      <c r="AR738" s="80">
        <f>IF(AM738=0,0,AK738-AN738*AK738/AM738)</f>
        <v>0</v>
      </c>
      <c r="AS738" s="80">
        <f>IF(AD738-AM738=0,0,(AJ738-AK738)-AO738*(AJ738-AK738)/(AD738-AM738))</f>
        <v>0</v>
      </c>
      <c r="AT738" s="80" t="str">
        <f>IF(AC738=1,INT(B738)+1,"")</f>
        <v/>
      </c>
      <c r="AU738" s="80">
        <f>IF(AND(D738="proMX",R738="Cancelled"),0,1)</f>
        <v>1</v>
      </c>
      <c r="AV738" s="80">
        <f>IF(AND(AB738=1,AU738=1),IF(COUNTIFS($D$5:D737,D738,$B$5:B737,B738,$Z$5:Z737,Z738,$AA$5:AA737,AA738,$F$5:F737,F738&amp;"",$AU$5:AU737,1)&gt;0,1,0),0)</f>
        <v>0</v>
      </c>
      <c r="AW738" s="80" t="str">
        <f>IF(AB738=1,INT(B738)*1440+Z738,"")</f>
        <v/>
      </c>
      <c r="AX738" s="80" t="str">
        <f>IF(AB738=1,AW738+AD738,"")</f>
        <v/>
      </c>
      <c r="AY738" s="80">
        <f>IF(AND(AB738=1,AV738=0,AU738=1),1,0)</f>
        <v>0</v>
      </c>
      <c r="AZ738" s="80">
        <f>IF(AY738=1,COUNTIFS(R_Emp,D738,R_SAbs,"&lt;"&amp;AX738,R_EAbs,"&gt;"&amp;AW738,R_OKey,1)-1,0)</f>
        <v>0</v>
      </c>
      <c r="BA738" s="80">
        <f>IF(AY738=1,COUNTIFS(R_Emp,"&lt;&gt;"&amp;D738,R_SAbs,"&lt;"&amp;AX738,R_EAbs,"&gt;"&amp;AW738,R_OKey,1),0)</f>
        <v>0</v>
      </c>
      <c r="BB738" s="80">
        <f>IF(AND(AB738=1,D738="proMX"),IF(AND(MOD(Z738,CFG_BLK)=0,MOD(AA738,CFG_BLK)=0,MOD(AG738,CFG_BLK)=0,AG738&gt;0),1,0),1)</f>
        <v>1</v>
      </c>
      <c r="BC738" s="80" t="str">
        <f>IF(Y738=0,"",IF(NOT(ISNUMBER(B738)),"Falta fecha o fecha inválida",IF(D738="","Falta empresa",IF(AND(D738&lt;&gt;"Malcolm",D738&lt;&gt;"proMX"),"Empresa inválida",IF(OR(INT(B738)&lt;CFG_PSTART,INT(B738)&gt;CFG_PEND),"Fecha fuera del período",IF(OR(NOT(ISNUMBER(Z738)),NOT(ISNUMBER(AA738))),"Falta hora inicio/fin o formato inválido",IF(AB738=0,"Hora inicio = hora fin",IF(AE738&lt;0,"Descanso inválido",IF(AE738&gt;=AD738,"Descanso ≥ duración",IF(AV738=1,"Registro duplicado",IF(AZ738&gt;0,"Se superpone con otro registro "&amp;D738,IF(BB738=0,"inicio, fin y duración neta deben ser múltiplos de "&amp;CFG_BLK&amp;" min",""))))))))))))</f>
        <v/>
      </c>
      <c r="BD738" s="80">
        <f>IF(AND(Y738=1,BC738=""),1,0)</f>
        <v>0</v>
      </c>
      <c r="BE738" s="80">
        <f>IF(AND(BD738=1,AU738=1),1,0)</f>
        <v>0</v>
      </c>
      <c r="BF738" s="80" t="str">
        <f>IF(AND(D738="proMX",BD738=1),IF(R738="","Draft",R738),"")</f>
        <v/>
      </c>
      <c r="BG738" s="80">
        <f>IF(BD738=1,ROUND(AG738/60,6),0)</f>
        <v>0</v>
      </c>
      <c r="BH738" s="80">
        <f>IF(BE738=1,ROUND(AG738/60,6),0)</f>
        <v>0</v>
      </c>
      <c r="BI738" s="80">
        <f>IF(BE738=1,ROUND(AP738/60,6),0)</f>
        <v>0</v>
      </c>
      <c r="BJ738" s="80">
        <f>IF(BE738=1,ROUND(AQ738/60,6),0)</f>
        <v>0</v>
      </c>
      <c r="BK738" s="80">
        <f>IF(BE738=1,ROUND((AR738+AS738)/60,6),0)</f>
        <v>0</v>
      </c>
      <c r="BL738" s="80">
        <f>ROUND(BH738-BK738,6)</f>
        <v>0</v>
      </c>
      <c r="BM738" s="80">
        <f>IF(BE738=1,ROUND(AR738/60,6),0)</f>
        <v>0</v>
      </c>
      <c r="BN738" s="80">
        <f>ROUND(BI738-BM738,6)</f>
        <v>0</v>
      </c>
      <c r="BO738" s="80">
        <f>IF(BE738=1,ROUND(AS738/60,6),0)</f>
        <v>0</v>
      </c>
      <c r="BP738" s="80">
        <f>ROUND(BJ738-BO738,6)</f>
        <v>0</v>
      </c>
      <c r="BQ738" s="80">
        <f>IF(BE738=1,AW738,0)</f>
        <v>0</v>
      </c>
      <c r="BR738" s="80">
        <f>IF(BE738=1,AX738,0)</f>
        <v>0</v>
      </c>
      <c r="BS738" s="80">
        <f>IF(AND(BE738=1,D738="Malcolm",BA738&gt;0),MIN(BH738,SUMPRODUCT((R_Emp="proMX")*(R_EN&gt;0)*((R_EN-(R_EN&gt;BR738)*(R_EN-BR738))&gt;(R_SN+(R_SN&lt;BQ738)*(BQ738-R_SN)))*((R_EN-(R_EN&gt;BR738)*(R_EN-BR738))-(R_SN+(R_SN&lt;BQ738)*(BQ738-R_SN))))/60),0)</f>
        <v>0</v>
      </c>
      <c r="BT738" s="80">
        <f>IF(AND(BE738=1,D738="proMX"),ROUND(BI738*CFG_RATE+BJ738*CFG_OTRATE,6),0)</f>
        <v>0</v>
      </c>
      <c r="BU738" s="80">
        <f>IF(AND(BD738=1,D738="proMX"),ROUND(AG738/CFG_BLK,6),0)</f>
        <v>0</v>
      </c>
      <c r="BV738" s="80" t="str">
        <f>IF(BF738="Approved",IF(ISNUMBER(T738),INT(T738),INT(B738)),"")</f>
        <v/>
      </c>
      <c r="BW738" s="80">
        <f>IF(ISNUMBER(B738),IF(DB_MON="Todos",1,IF(AND(INT(B738)&gt;=DB_MS,INT(B738)&lt;=DB_ME),1,0)),0)</f>
        <v>0</v>
      </c>
      <c r="BX738" s="80">
        <f>IF(DB_PROJ="Todos",1,IF(E738&amp;""=DB_PROJ&amp;"",1,0))</f>
        <v>1</v>
      </c>
      <c r="BY738" s="80">
        <f>BW738*BX738</f>
        <v>0</v>
      </c>
      <c r="BZ738" s="80" t="str">
        <f>IF(Y738=1,F738&amp;IF(AND(F738&amp;""&lt;&gt;"",E738&amp;""&lt;&gt;"")," · ","")&amp;E738,"")</f>
        <v/>
      </c>
      <c r="CA738" s="80" t="str">
        <f>IF(AND(BD738=1,E738&amp;""&lt;&gt;""),IF(COUNTIFS($E$5:E737,E738,$BD$5:BD737,1)=0,MAX($CA$5:CA737)+1,""),"")</f>
        <v/>
      </c>
      <c r="CB738" s="80" t="str">
        <f>IF(AND(BE738=1,D738="Malcolm",E738&amp;""&lt;&gt;""),IF(COUNTIFS($D$5:D737,"Malcolm",$E$5:E737,E738,$BE$5:BE737,1)=0,MAX($CB$5:CB737)+1,""),"")</f>
        <v/>
      </c>
      <c r="CC738" s="80" t="str">
        <f>IF(AND(BD738=1,D738="proMX",E738&amp;""&lt;&gt;""),IF(COUNTIFS($D$5:D737,"proMX",$E$5:E737,E738,$BD$5:BD737,1)=0,MAX($CC$5:CC737)+1,""),"")</f>
        <v/>
      </c>
      <c r="CD738" s="80" t="str">
        <f>IF(AND(BE738=1,D738="Malcolm",F738&amp;""&lt;&gt;""),IF(COUNTIFS($D$5:D737,"Malcolm",$F$5:F737,F738,$BE$5:BE737,1)=0,MAX($CD$5:CD737)+1,""),"")</f>
        <v/>
      </c>
      <c r="CE738" s="80" t="str">
        <f>IF(AND(BD738=1,D738="proMX",F738&amp;""&lt;&gt;""),IF(COUNTIFS($D$5:D737,"proMX",$F$5:F737,F738,$BD$5:BD737,1)=0,MAX($CE$5:CE737)+1,""),"")</f>
        <v/>
      </c>
      <c r="CF738" s="80" t="str">
        <f>IF(AND(D738="proMX",BD738=1),IF(OR(BF738="Draft",BF738="Submitted",BF738="Returned",BF738="Recall Requested"),MAX($CF$5:CF737)+1,""),"")</f>
        <v/>
      </c>
      <c r="CG738" s="80">
        <f>IF(BD738=0,0,IF(D738="Malcolm",1,MATCH(BF738,{"Draft","Submitted","Approved","Returned","Recall Requested","Cancelled"},0)+1))</f>
        <v>0</v>
      </c>
      <c r="CH738" s="80">
        <f>IF(AND(BF738="Submitted",ISNUMBER(V738)),IF(V738&gt;CFG_MAXD,1,0),0)</f>
        <v>0</v>
      </c>
    </row>
    <row r="739">
      <c r="A739" s="71" t="str">
        <f>IF(Y739=1,ROW()-5,"")</f>
        <v/>
      </c>
      <c r="B739" s="72" t="n"/>
      <c r="C739" s="71" t="str">
        <f>IF(ISNUMBER(B739),CHOOSE(WEEKDAY(B739,2),"Lun","Mar","Mié","Jue","Vie","Sáb","Dom"),"")</f>
        <v/>
      </c>
      <c r="D739" s="73" t="n"/>
      <c r="E739" s="74" t="n"/>
      <c r="F739" s="74" t="n"/>
      <c r="G739" s="74" t="n"/>
      <c r="H739" s="75" t="n"/>
      <c r="I739" s="75" t="n"/>
      <c r="J739" s="76" t="n"/>
      <c r="K739" s="77" t="str">
        <f>IF(AB739=1,ROUND(AG739/60,4),"")</f>
        <v/>
      </c>
      <c r="L739" s="77" t="str">
        <f>IF(BD739=1,ROUND(AP739/60,4),"")</f>
        <v/>
      </c>
      <c r="M739" s="77" t="str">
        <f>IF(BD739=1,ROUND(AQ739/60,4),"")</f>
        <v/>
      </c>
      <c r="N739" s="71" t="str">
        <f>IF(AND(D739="proMX",AB739=1),ROUND(AG739/CFG_BLK,2),"")</f>
        <v/>
      </c>
      <c r="O739" s="77" t="str">
        <f>IF(D739="proMX",IF(BD739=1,ROUND(AG739/60,4),0),"")</f>
        <v/>
      </c>
      <c r="P739" s="78" t="str">
        <f>IF(Y739=0,"",IF(BD739=1,"OK",IF(D739="proMX","Revisar bloques: ","Revisar: ")&amp;BC739))</f>
        <v/>
      </c>
      <c r="Q739" s="78" t="str">
        <f>IF(NOT(ISNUMBER(B739)),"",IF(COUNTIFS(FER_F,INT(B739))&gt;0,"Feriado"&amp;IF(AH739=1," (laborable)"," (no laborable)"),IF(AH739=1,"Laborable",IF(WEEKDAY(B739,2)&gt;5,"Fin de semana","No laborable"))))</f>
        <v/>
      </c>
      <c r="R739" s="73" t="n"/>
      <c r="S739" s="72" t="n"/>
      <c r="T739" s="72" t="n"/>
      <c r="U739" s="74" t="n"/>
      <c r="V739" s="79" t="str">
        <f>IF(AND(D739="proMX",OR(R739="Submitted",R739="Recall Requested"),ISNUMBER(S739)),CFG_TODAY-INT(S739),"")</f>
        <v/>
      </c>
      <c r="W739" s="78" t="str">
        <f>IF(BD739=0,"",IF(BA739&gt;0,"⚠ Se superpone con un registro de la otra empresa",IF(D739="Malcolm",IF(COUNTA(R739,S739,T739)&gt;0,"Estado/fechas proMX se ignoran en Malcolm",""),IF(BF739="Cancelled","Cancelado: excluido de totales",IF(R739="","Sin estado: se trata como Draft",IF(BF739="Submitted",IF(ISNUMBER(V739),IF(V739&gt;CFG_MAXD,"⚠ "&amp;V739&amp;" días en Submitted (máx. "&amp;CFG_MAXD&amp;")",""),"Falta fecha de envío"),IF(BF739="Returned","⚠ Devuelto: corregir y reenviar",IF(BF739="Recall Requested","Retirada solicitada: pendiente",IF(AND(BF739="Approved",NOT(ISNUMBER(T739))),"Falta fecha de aprobación",IF(AND(ISNUMBER(S739),ISNUMBER(T739),T739&lt;S739),"Aprobación anterior al envío","")))))))))</f>
        <v/>
      </c>
      <c r="Y739" s="80">
        <f>IF(COUNTA(B739,D739,E739,F739,G739,H739,I739,J739,R739,S739,T739)&gt;0,1,0)</f>
        <v>0</v>
      </c>
      <c r="Z739" s="80" t="str">
        <f>IF(AND(ISNUMBER(H739),H739&gt;=0,H739&lt;1),ROUND(H739*1440,0),"")</f>
        <v/>
      </c>
      <c r="AA739" s="80" t="str">
        <f>IF(AND(ISNUMBER(I739),I739&gt;=0,I739&lt;1),ROUND(I739*1440,0),"")</f>
        <v/>
      </c>
      <c r="AB739" s="80">
        <f>IF(AND(ISNUMBER(B739),D739&lt;&gt;"",ISNUMBER(Z739),ISNUMBER(AA739)),IF(Z739=AA739,0,1),0)</f>
        <v>0</v>
      </c>
      <c r="AC739" s="80">
        <f>IF(AB739=1,IF(AA739&lt;Z739,1,0),0)</f>
        <v>0</v>
      </c>
      <c r="AD739" s="80">
        <f>IF(AB739=1,IF(AC739=1,1440-Z739+AA739,AA739-Z739),0)</f>
        <v>0</v>
      </c>
      <c r="AE739" s="80">
        <f>IF(J739="",0,IF(ISNUMBER(J739),J739,-1))</f>
        <v>0</v>
      </c>
      <c r="AF739" s="80">
        <f>MIN(MAX(0,AE739),AD739)</f>
        <v>0</v>
      </c>
      <c r="AG739" s="80">
        <f>MAX(0,AD739-MAX(0,AE739))</f>
        <v>0</v>
      </c>
      <c r="AH739" s="80">
        <f>IF(ISNUMBER(B739),IF(AND(INDEX(CFG_WDAYS,WEEKDAY(INT(B739),2))="Sí",IF(D739="proMX",COUNTIFS(FER_F,INT(B739),FER_NLP,"Sí"),COUNTIFS(FER_F,INT(B739),FER_NLM,"Sí"))=0),1,0),0)</f>
        <v>0</v>
      </c>
      <c r="AI739" s="80">
        <f>IF(AC739=1,IF(AND(INDEX(CFG_WDAYS,WEEKDAY(INT(B739)+1,2))="Sí",IF(D739="proMX",COUNTIFS(FER_F,INT(B739)+1,FER_NLP,"Sí"),COUNTIFS(FER_F,INT(B739)+1,FER_NLM,"Sí"))=0),1,0),0)</f>
        <v>0</v>
      </c>
      <c r="AJ739" s="80">
        <f>IF(AC739=1,1440-Z739,AD739)</f>
        <v>0</v>
      </c>
      <c r="AK739" s="80">
        <f>IF(AND(AB739=1,AH739=1),MAX(0,MIN(IF(AC739=1,1440,AA739),CFG_WEM)-MAX(Z739,CFG_WSM)),0)</f>
        <v>0</v>
      </c>
      <c r="AL739" s="80">
        <f>IF(AND(AC739=1,AI739=1),MAX(0,MIN(AA739,CFG_WEM)-CFG_WSM),0)</f>
        <v>0</v>
      </c>
      <c r="AM739" s="80">
        <f>AK739+AL739</f>
        <v>0</v>
      </c>
      <c r="AN739" s="80">
        <f>IF(CFG_BRK="Proporcional",IF(AD739=0,0,AF739*AM739/AD739),IF(CFG_BRK="Extras primero",MIN(AM739,MAX(0,AF739-(AD739-AM739))),MIN(AF739,AM739)))</f>
        <v>0</v>
      </c>
      <c r="AO739" s="80">
        <f>AF739-AN739</f>
        <v>0</v>
      </c>
      <c r="AP739" s="80">
        <f>AM739-AN739</f>
        <v>0</v>
      </c>
      <c r="AQ739" s="80">
        <f>AD739-AM739-AO739</f>
        <v>0</v>
      </c>
      <c r="AR739" s="80">
        <f>IF(AM739=0,0,AK739-AN739*AK739/AM739)</f>
        <v>0</v>
      </c>
      <c r="AS739" s="80">
        <f>IF(AD739-AM739=0,0,(AJ739-AK739)-AO739*(AJ739-AK739)/(AD739-AM739))</f>
        <v>0</v>
      </c>
      <c r="AT739" s="80" t="str">
        <f>IF(AC739=1,INT(B739)+1,"")</f>
        <v/>
      </c>
      <c r="AU739" s="80">
        <f>IF(AND(D739="proMX",R739="Cancelled"),0,1)</f>
        <v>1</v>
      </c>
      <c r="AV739" s="80">
        <f>IF(AND(AB739=1,AU739=1),IF(COUNTIFS($D$5:D738,D739,$B$5:B738,B739,$Z$5:Z738,Z739,$AA$5:AA738,AA739,$F$5:F738,F739&amp;"",$AU$5:AU738,1)&gt;0,1,0),0)</f>
        <v>0</v>
      </c>
      <c r="AW739" s="80" t="str">
        <f>IF(AB739=1,INT(B739)*1440+Z739,"")</f>
        <v/>
      </c>
      <c r="AX739" s="80" t="str">
        <f>IF(AB739=1,AW739+AD739,"")</f>
        <v/>
      </c>
      <c r="AY739" s="80">
        <f>IF(AND(AB739=1,AV739=0,AU739=1),1,0)</f>
        <v>0</v>
      </c>
      <c r="AZ739" s="80">
        <f>IF(AY739=1,COUNTIFS(R_Emp,D739,R_SAbs,"&lt;"&amp;AX739,R_EAbs,"&gt;"&amp;AW739,R_OKey,1)-1,0)</f>
        <v>0</v>
      </c>
      <c r="BA739" s="80">
        <f>IF(AY739=1,COUNTIFS(R_Emp,"&lt;&gt;"&amp;D739,R_SAbs,"&lt;"&amp;AX739,R_EAbs,"&gt;"&amp;AW739,R_OKey,1),0)</f>
        <v>0</v>
      </c>
      <c r="BB739" s="80">
        <f>IF(AND(AB739=1,D739="proMX"),IF(AND(MOD(Z739,CFG_BLK)=0,MOD(AA739,CFG_BLK)=0,MOD(AG739,CFG_BLK)=0,AG739&gt;0),1,0),1)</f>
        <v>1</v>
      </c>
      <c r="BC739" s="80" t="str">
        <f>IF(Y739=0,"",IF(NOT(ISNUMBER(B739)),"Falta fecha o fecha inválida",IF(D739="","Falta empresa",IF(AND(D739&lt;&gt;"Malcolm",D739&lt;&gt;"proMX"),"Empresa inválida",IF(OR(INT(B739)&lt;CFG_PSTART,INT(B739)&gt;CFG_PEND),"Fecha fuera del período",IF(OR(NOT(ISNUMBER(Z739)),NOT(ISNUMBER(AA739))),"Falta hora inicio/fin o formato inválido",IF(AB739=0,"Hora inicio = hora fin",IF(AE739&lt;0,"Descanso inválido",IF(AE739&gt;=AD739,"Descanso ≥ duración",IF(AV739=1,"Registro duplicado",IF(AZ739&gt;0,"Se superpone con otro registro "&amp;D739,IF(BB739=0,"inicio, fin y duración neta deben ser múltiplos de "&amp;CFG_BLK&amp;" min",""))))))))))))</f>
        <v/>
      </c>
      <c r="BD739" s="80">
        <f>IF(AND(Y739=1,BC739=""),1,0)</f>
        <v>0</v>
      </c>
      <c r="BE739" s="80">
        <f>IF(AND(BD739=1,AU739=1),1,0)</f>
        <v>0</v>
      </c>
      <c r="BF739" s="80" t="str">
        <f>IF(AND(D739="proMX",BD739=1),IF(R739="","Draft",R739),"")</f>
        <v/>
      </c>
      <c r="BG739" s="80">
        <f>IF(BD739=1,ROUND(AG739/60,6),0)</f>
        <v>0</v>
      </c>
      <c r="BH739" s="80">
        <f>IF(BE739=1,ROUND(AG739/60,6),0)</f>
        <v>0</v>
      </c>
      <c r="BI739" s="80">
        <f>IF(BE739=1,ROUND(AP739/60,6),0)</f>
        <v>0</v>
      </c>
      <c r="BJ739" s="80">
        <f>IF(BE739=1,ROUND(AQ739/60,6),0)</f>
        <v>0</v>
      </c>
      <c r="BK739" s="80">
        <f>IF(BE739=1,ROUND((AR739+AS739)/60,6),0)</f>
        <v>0</v>
      </c>
      <c r="BL739" s="80">
        <f>ROUND(BH739-BK739,6)</f>
        <v>0</v>
      </c>
      <c r="BM739" s="80">
        <f>IF(BE739=1,ROUND(AR739/60,6),0)</f>
        <v>0</v>
      </c>
      <c r="BN739" s="80">
        <f>ROUND(BI739-BM739,6)</f>
        <v>0</v>
      </c>
      <c r="BO739" s="80">
        <f>IF(BE739=1,ROUND(AS739/60,6),0)</f>
        <v>0</v>
      </c>
      <c r="BP739" s="80">
        <f>ROUND(BJ739-BO739,6)</f>
        <v>0</v>
      </c>
      <c r="BQ739" s="80">
        <f>IF(BE739=1,AW739,0)</f>
        <v>0</v>
      </c>
      <c r="BR739" s="80">
        <f>IF(BE739=1,AX739,0)</f>
        <v>0</v>
      </c>
      <c r="BS739" s="80">
        <f>IF(AND(BE739=1,D739="Malcolm",BA739&gt;0),MIN(BH739,SUMPRODUCT((R_Emp="proMX")*(R_EN&gt;0)*((R_EN-(R_EN&gt;BR739)*(R_EN-BR739))&gt;(R_SN+(R_SN&lt;BQ739)*(BQ739-R_SN)))*((R_EN-(R_EN&gt;BR739)*(R_EN-BR739))-(R_SN+(R_SN&lt;BQ739)*(BQ739-R_SN))))/60),0)</f>
        <v>0</v>
      </c>
      <c r="BT739" s="80">
        <f>IF(AND(BE739=1,D739="proMX"),ROUND(BI739*CFG_RATE+BJ739*CFG_OTRATE,6),0)</f>
        <v>0</v>
      </c>
      <c r="BU739" s="80">
        <f>IF(AND(BD739=1,D739="proMX"),ROUND(AG739/CFG_BLK,6),0)</f>
        <v>0</v>
      </c>
      <c r="BV739" s="80" t="str">
        <f>IF(BF739="Approved",IF(ISNUMBER(T739),INT(T739),INT(B739)),"")</f>
        <v/>
      </c>
      <c r="BW739" s="80">
        <f>IF(ISNUMBER(B739),IF(DB_MON="Todos",1,IF(AND(INT(B739)&gt;=DB_MS,INT(B739)&lt;=DB_ME),1,0)),0)</f>
        <v>0</v>
      </c>
      <c r="BX739" s="80">
        <f>IF(DB_PROJ="Todos",1,IF(E739&amp;""=DB_PROJ&amp;"",1,0))</f>
        <v>1</v>
      </c>
      <c r="BY739" s="80">
        <f>BW739*BX739</f>
        <v>0</v>
      </c>
      <c r="BZ739" s="80" t="str">
        <f>IF(Y739=1,F739&amp;IF(AND(F739&amp;""&lt;&gt;"",E739&amp;""&lt;&gt;"")," · ","")&amp;E739,"")</f>
        <v/>
      </c>
      <c r="CA739" s="80" t="str">
        <f>IF(AND(BD739=1,E739&amp;""&lt;&gt;""),IF(COUNTIFS($E$5:E738,E739,$BD$5:BD738,1)=0,MAX($CA$5:CA738)+1,""),"")</f>
        <v/>
      </c>
      <c r="CB739" s="80" t="str">
        <f>IF(AND(BE739=1,D739="Malcolm",E739&amp;""&lt;&gt;""),IF(COUNTIFS($D$5:D738,"Malcolm",$E$5:E738,E739,$BE$5:BE738,1)=0,MAX($CB$5:CB738)+1,""),"")</f>
        <v/>
      </c>
      <c r="CC739" s="80" t="str">
        <f>IF(AND(BD739=1,D739="proMX",E739&amp;""&lt;&gt;""),IF(COUNTIFS($D$5:D738,"proMX",$E$5:E738,E739,$BD$5:BD738,1)=0,MAX($CC$5:CC738)+1,""),"")</f>
        <v/>
      </c>
      <c r="CD739" s="80" t="str">
        <f>IF(AND(BE739=1,D739="Malcolm",F739&amp;""&lt;&gt;""),IF(COUNTIFS($D$5:D738,"Malcolm",$F$5:F738,F739,$BE$5:BE738,1)=0,MAX($CD$5:CD738)+1,""),"")</f>
        <v/>
      </c>
      <c r="CE739" s="80" t="str">
        <f>IF(AND(BD739=1,D739="proMX",F739&amp;""&lt;&gt;""),IF(COUNTIFS($D$5:D738,"proMX",$F$5:F738,F739,$BD$5:BD738,1)=0,MAX($CE$5:CE738)+1,""),"")</f>
        <v/>
      </c>
      <c r="CF739" s="80" t="str">
        <f>IF(AND(D739="proMX",BD739=1),IF(OR(BF739="Draft",BF739="Submitted",BF739="Returned",BF739="Recall Requested"),MAX($CF$5:CF738)+1,""),"")</f>
        <v/>
      </c>
      <c r="CG739" s="80">
        <f>IF(BD739=0,0,IF(D739="Malcolm",1,MATCH(BF739,{"Draft","Submitted","Approved","Returned","Recall Requested","Cancelled"},0)+1))</f>
        <v>0</v>
      </c>
      <c r="CH739" s="80">
        <f>IF(AND(BF739="Submitted",ISNUMBER(V739)),IF(V739&gt;CFG_MAXD,1,0),0)</f>
        <v>0</v>
      </c>
    </row>
    <row r="740">
      <c r="A740" s="71" t="str">
        <f>IF(Y740=1,ROW()-5,"")</f>
        <v/>
      </c>
      <c r="B740" s="72" t="n"/>
      <c r="C740" s="71" t="str">
        <f>IF(ISNUMBER(B740),CHOOSE(WEEKDAY(B740,2),"Lun","Mar","Mié","Jue","Vie","Sáb","Dom"),"")</f>
        <v/>
      </c>
      <c r="D740" s="73" t="n"/>
      <c r="E740" s="74" t="n"/>
      <c r="F740" s="74" t="n"/>
      <c r="G740" s="74" t="n"/>
      <c r="H740" s="75" t="n"/>
      <c r="I740" s="75" t="n"/>
      <c r="J740" s="76" t="n"/>
      <c r="K740" s="77" t="str">
        <f>IF(AB740=1,ROUND(AG740/60,4),"")</f>
        <v/>
      </c>
      <c r="L740" s="77" t="str">
        <f>IF(BD740=1,ROUND(AP740/60,4),"")</f>
        <v/>
      </c>
      <c r="M740" s="77" t="str">
        <f>IF(BD740=1,ROUND(AQ740/60,4),"")</f>
        <v/>
      </c>
      <c r="N740" s="71" t="str">
        <f>IF(AND(D740="proMX",AB740=1),ROUND(AG740/CFG_BLK,2),"")</f>
        <v/>
      </c>
      <c r="O740" s="77" t="str">
        <f>IF(D740="proMX",IF(BD740=1,ROUND(AG740/60,4),0),"")</f>
        <v/>
      </c>
      <c r="P740" s="78" t="str">
        <f>IF(Y740=0,"",IF(BD740=1,"OK",IF(D740="proMX","Revisar bloques: ","Revisar: ")&amp;BC740))</f>
        <v/>
      </c>
      <c r="Q740" s="78" t="str">
        <f>IF(NOT(ISNUMBER(B740)),"",IF(COUNTIFS(FER_F,INT(B740))&gt;0,"Feriado"&amp;IF(AH740=1," (laborable)"," (no laborable)"),IF(AH740=1,"Laborable",IF(WEEKDAY(B740,2)&gt;5,"Fin de semana","No laborable"))))</f>
        <v/>
      </c>
      <c r="R740" s="73" t="n"/>
      <c r="S740" s="72" t="n"/>
      <c r="T740" s="72" t="n"/>
      <c r="U740" s="74" t="n"/>
      <c r="V740" s="79" t="str">
        <f>IF(AND(D740="proMX",OR(R740="Submitted",R740="Recall Requested"),ISNUMBER(S740)),CFG_TODAY-INT(S740),"")</f>
        <v/>
      </c>
      <c r="W740" s="78" t="str">
        <f>IF(BD740=0,"",IF(BA740&gt;0,"⚠ Se superpone con un registro de la otra empresa",IF(D740="Malcolm",IF(COUNTA(R740,S740,T740)&gt;0,"Estado/fechas proMX se ignoran en Malcolm",""),IF(BF740="Cancelled","Cancelado: excluido de totales",IF(R740="","Sin estado: se trata como Draft",IF(BF740="Submitted",IF(ISNUMBER(V740),IF(V740&gt;CFG_MAXD,"⚠ "&amp;V740&amp;" días en Submitted (máx. "&amp;CFG_MAXD&amp;")",""),"Falta fecha de envío"),IF(BF740="Returned","⚠ Devuelto: corregir y reenviar",IF(BF740="Recall Requested","Retirada solicitada: pendiente",IF(AND(BF740="Approved",NOT(ISNUMBER(T740))),"Falta fecha de aprobación",IF(AND(ISNUMBER(S740),ISNUMBER(T740),T740&lt;S740),"Aprobación anterior al envío","")))))))))</f>
        <v/>
      </c>
      <c r="Y740" s="80">
        <f>IF(COUNTA(B740,D740,E740,F740,G740,H740,I740,J740,R740,S740,T740)&gt;0,1,0)</f>
        <v>0</v>
      </c>
      <c r="Z740" s="80" t="str">
        <f>IF(AND(ISNUMBER(H740),H740&gt;=0,H740&lt;1),ROUND(H740*1440,0),"")</f>
        <v/>
      </c>
      <c r="AA740" s="80" t="str">
        <f>IF(AND(ISNUMBER(I740),I740&gt;=0,I740&lt;1),ROUND(I740*1440,0),"")</f>
        <v/>
      </c>
      <c r="AB740" s="80">
        <f>IF(AND(ISNUMBER(B740),D740&lt;&gt;"",ISNUMBER(Z740),ISNUMBER(AA740)),IF(Z740=AA740,0,1),0)</f>
        <v>0</v>
      </c>
      <c r="AC740" s="80">
        <f>IF(AB740=1,IF(AA740&lt;Z740,1,0),0)</f>
        <v>0</v>
      </c>
      <c r="AD740" s="80">
        <f>IF(AB740=1,IF(AC740=1,1440-Z740+AA740,AA740-Z740),0)</f>
        <v>0</v>
      </c>
      <c r="AE740" s="80">
        <f>IF(J740="",0,IF(ISNUMBER(J740),J740,-1))</f>
        <v>0</v>
      </c>
      <c r="AF740" s="80">
        <f>MIN(MAX(0,AE740),AD740)</f>
        <v>0</v>
      </c>
      <c r="AG740" s="80">
        <f>MAX(0,AD740-MAX(0,AE740))</f>
        <v>0</v>
      </c>
      <c r="AH740" s="80">
        <f>IF(ISNUMBER(B740),IF(AND(INDEX(CFG_WDAYS,WEEKDAY(INT(B740),2))="Sí",IF(D740="proMX",COUNTIFS(FER_F,INT(B740),FER_NLP,"Sí"),COUNTIFS(FER_F,INT(B740),FER_NLM,"Sí"))=0),1,0),0)</f>
        <v>0</v>
      </c>
      <c r="AI740" s="80">
        <f>IF(AC740=1,IF(AND(INDEX(CFG_WDAYS,WEEKDAY(INT(B740)+1,2))="Sí",IF(D740="proMX",COUNTIFS(FER_F,INT(B740)+1,FER_NLP,"Sí"),COUNTIFS(FER_F,INT(B740)+1,FER_NLM,"Sí"))=0),1,0),0)</f>
        <v>0</v>
      </c>
      <c r="AJ740" s="80">
        <f>IF(AC740=1,1440-Z740,AD740)</f>
        <v>0</v>
      </c>
      <c r="AK740" s="80">
        <f>IF(AND(AB740=1,AH740=1),MAX(0,MIN(IF(AC740=1,1440,AA740),CFG_WEM)-MAX(Z740,CFG_WSM)),0)</f>
        <v>0</v>
      </c>
      <c r="AL740" s="80">
        <f>IF(AND(AC740=1,AI740=1),MAX(0,MIN(AA740,CFG_WEM)-CFG_WSM),0)</f>
        <v>0</v>
      </c>
      <c r="AM740" s="80">
        <f>AK740+AL740</f>
        <v>0</v>
      </c>
      <c r="AN740" s="80">
        <f>IF(CFG_BRK="Proporcional",IF(AD740=0,0,AF740*AM740/AD740),IF(CFG_BRK="Extras primero",MIN(AM740,MAX(0,AF740-(AD740-AM740))),MIN(AF740,AM740)))</f>
        <v>0</v>
      </c>
      <c r="AO740" s="80">
        <f>AF740-AN740</f>
        <v>0</v>
      </c>
      <c r="AP740" s="80">
        <f>AM740-AN740</f>
        <v>0</v>
      </c>
      <c r="AQ740" s="80">
        <f>AD740-AM740-AO740</f>
        <v>0</v>
      </c>
      <c r="AR740" s="80">
        <f>IF(AM740=0,0,AK740-AN740*AK740/AM740)</f>
        <v>0</v>
      </c>
      <c r="AS740" s="80">
        <f>IF(AD740-AM740=0,0,(AJ740-AK740)-AO740*(AJ740-AK740)/(AD740-AM740))</f>
        <v>0</v>
      </c>
      <c r="AT740" s="80" t="str">
        <f>IF(AC740=1,INT(B740)+1,"")</f>
        <v/>
      </c>
      <c r="AU740" s="80">
        <f>IF(AND(D740="proMX",R740="Cancelled"),0,1)</f>
        <v>1</v>
      </c>
      <c r="AV740" s="80">
        <f>IF(AND(AB740=1,AU740=1),IF(COUNTIFS($D$5:D739,D740,$B$5:B739,B740,$Z$5:Z739,Z740,$AA$5:AA739,AA740,$F$5:F739,F740&amp;"",$AU$5:AU739,1)&gt;0,1,0),0)</f>
        <v>0</v>
      </c>
      <c r="AW740" s="80" t="str">
        <f>IF(AB740=1,INT(B740)*1440+Z740,"")</f>
        <v/>
      </c>
      <c r="AX740" s="80" t="str">
        <f>IF(AB740=1,AW740+AD740,"")</f>
        <v/>
      </c>
      <c r="AY740" s="80">
        <f>IF(AND(AB740=1,AV740=0,AU740=1),1,0)</f>
        <v>0</v>
      </c>
      <c r="AZ740" s="80">
        <f>IF(AY740=1,COUNTIFS(R_Emp,D740,R_SAbs,"&lt;"&amp;AX740,R_EAbs,"&gt;"&amp;AW740,R_OKey,1)-1,0)</f>
        <v>0</v>
      </c>
      <c r="BA740" s="80">
        <f>IF(AY740=1,COUNTIFS(R_Emp,"&lt;&gt;"&amp;D740,R_SAbs,"&lt;"&amp;AX740,R_EAbs,"&gt;"&amp;AW740,R_OKey,1),0)</f>
        <v>0</v>
      </c>
      <c r="BB740" s="80">
        <f>IF(AND(AB740=1,D740="proMX"),IF(AND(MOD(Z740,CFG_BLK)=0,MOD(AA740,CFG_BLK)=0,MOD(AG740,CFG_BLK)=0,AG740&gt;0),1,0),1)</f>
        <v>1</v>
      </c>
      <c r="BC740" s="80" t="str">
        <f>IF(Y740=0,"",IF(NOT(ISNUMBER(B740)),"Falta fecha o fecha inválida",IF(D740="","Falta empresa",IF(AND(D740&lt;&gt;"Malcolm",D740&lt;&gt;"proMX"),"Empresa inválida",IF(OR(INT(B740)&lt;CFG_PSTART,INT(B740)&gt;CFG_PEND),"Fecha fuera del período",IF(OR(NOT(ISNUMBER(Z740)),NOT(ISNUMBER(AA740))),"Falta hora inicio/fin o formato inválido",IF(AB740=0,"Hora inicio = hora fin",IF(AE740&lt;0,"Descanso inválido",IF(AE740&gt;=AD740,"Descanso ≥ duración",IF(AV740=1,"Registro duplicado",IF(AZ740&gt;0,"Se superpone con otro registro "&amp;D740,IF(BB740=0,"inicio, fin y duración neta deben ser múltiplos de "&amp;CFG_BLK&amp;" min",""))))))))))))</f>
        <v/>
      </c>
      <c r="BD740" s="80">
        <f>IF(AND(Y740=1,BC740=""),1,0)</f>
        <v>0</v>
      </c>
      <c r="BE740" s="80">
        <f>IF(AND(BD740=1,AU740=1),1,0)</f>
        <v>0</v>
      </c>
      <c r="BF740" s="80" t="str">
        <f>IF(AND(D740="proMX",BD740=1),IF(R740="","Draft",R740),"")</f>
        <v/>
      </c>
      <c r="BG740" s="80">
        <f>IF(BD740=1,ROUND(AG740/60,6),0)</f>
        <v>0</v>
      </c>
      <c r="BH740" s="80">
        <f>IF(BE740=1,ROUND(AG740/60,6),0)</f>
        <v>0</v>
      </c>
      <c r="BI740" s="80">
        <f>IF(BE740=1,ROUND(AP740/60,6),0)</f>
        <v>0</v>
      </c>
      <c r="BJ740" s="80">
        <f>IF(BE740=1,ROUND(AQ740/60,6),0)</f>
        <v>0</v>
      </c>
      <c r="BK740" s="80">
        <f>IF(BE740=1,ROUND((AR740+AS740)/60,6),0)</f>
        <v>0</v>
      </c>
      <c r="BL740" s="80">
        <f>ROUND(BH740-BK740,6)</f>
        <v>0</v>
      </c>
      <c r="BM740" s="80">
        <f>IF(BE740=1,ROUND(AR740/60,6),0)</f>
        <v>0</v>
      </c>
      <c r="BN740" s="80">
        <f>ROUND(BI740-BM740,6)</f>
        <v>0</v>
      </c>
      <c r="BO740" s="80">
        <f>IF(BE740=1,ROUND(AS740/60,6),0)</f>
        <v>0</v>
      </c>
      <c r="BP740" s="80">
        <f>ROUND(BJ740-BO740,6)</f>
        <v>0</v>
      </c>
      <c r="BQ740" s="80">
        <f>IF(BE740=1,AW740,0)</f>
        <v>0</v>
      </c>
      <c r="BR740" s="80">
        <f>IF(BE740=1,AX740,0)</f>
        <v>0</v>
      </c>
      <c r="BS740" s="80">
        <f>IF(AND(BE740=1,D740="Malcolm",BA740&gt;0),MIN(BH740,SUMPRODUCT((R_Emp="proMX")*(R_EN&gt;0)*((R_EN-(R_EN&gt;BR740)*(R_EN-BR740))&gt;(R_SN+(R_SN&lt;BQ740)*(BQ740-R_SN)))*((R_EN-(R_EN&gt;BR740)*(R_EN-BR740))-(R_SN+(R_SN&lt;BQ740)*(BQ740-R_SN))))/60),0)</f>
        <v>0</v>
      </c>
      <c r="BT740" s="80">
        <f>IF(AND(BE740=1,D740="proMX"),ROUND(BI740*CFG_RATE+BJ740*CFG_OTRATE,6),0)</f>
        <v>0</v>
      </c>
      <c r="BU740" s="80">
        <f>IF(AND(BD740=1,D740="proMX"),ROUND(AG740/CFG_BLK,6),0)</f>
        <v>0</v>
      </c>
      <c r="BV740" s="80" t="str">
        <f>IF(BF740="Approved",IF(ISNUMBER(T740),INT(T740),INT(B740)),"")</f>
        <v/>
      </c>
      <c r="BW740" s="80">
        <f>IF(ISNUMBER(B740),IF(DB_MON="Todos",1,IF(AND(INT(B740)&gt;=DB_MS,INT(B740)&lt;=DB_ME),1,0)),0)</f>
        <v>0</v>
      </c>
      <c r="BX740" s="80">
        <f>IF(DB_PROJ="Todos",1,IF(E740&amp;""=DB_PROJ&amp;"",1,0))</f>
        <v>1</v>
      </c>
      <c r="BY740" s="80">
        <f>BW740*BX740</f>
        <v>0</v>
      </c>
      <c r="BZ740" s="80" t="str">
        <f>IF(Y740=1,F740&amp;IF(AND(F740&amp;""&lt;&gt;"",E740&amp;""&lt;&gt;"")," · ","")&amp;E740,"")</f>
        <v/>
      </c>
      <c r="CA740" s="80" t="str">
        <f>IF(AND(BD740=1,E740&amp;""&lt;&gt;""),IF(COUNTIFS($E$5:E739,E740,$BD$5:BD739,1)=0,MAX($CA$5:CA739)+1,""),"")</f>
        <v/>
      </c>
      <c r="CB740" s="80" t="str">
        <f>IF(AND(BE740=1,D740="Malcolm",E740&amp;""&lt;&gt;""),IF(COUNTIFS($D$5:D739,"Malcolm",$E$5:E739,E740,$BE$5:BE739,1)=0,MAX($CB$5:CB739)+1,""),"")</f>
        <v/>
      </c>
      <c r="CC740" s="80" t="str">
        <f>IF(AND(BD740=1,D740="proMX",E740&amp;""&lt;&gt;""),IF(COUNTIFS($D$5:D739,"proMX",$E$5:E739,E740,$BD$5:BD739,1)=0,MAX($CC$5:CC739)+1,""),"")</f>
        <v/>
      </c>
      <c r="CD740" s="80" t="str">
        <f>IF(AND(BE740=1,D740="Malcolm",F740&amp;""&lt;&gt;""),IF(COUNTIFS($D$5:D739,"Malcolm",$F$5:F739,F740,$BE$5:BE739,1)=0,MAX($CD$5:CD739)+1,""),"")</f>
        <v/>
      </c>
      <c r="CE740" s="80" t="str">
        <f>IF(AND(BD740=1,D740="proMX",F740&amp;""&lt;&gt;""),IF(COUNTIFS($D$5:D739,"proMX",$F$5:F739,F740,$BD$5:BD739,1)=0,MAX($CE$5:CE739)+1,""),"")</f>
        <v/>
      </c>
      <c r="CF740" s="80" t="str">
        <f>IF(AND(D740="proMX",BD740=1),IF(OR(BF740="Draft",BF740="Submitted",BF740="Returned",BF740="Recall Requested"),MAX($CF$5:CF739)+1,""),"")</f>
        <v/>
      </c>
      <c r="CG740" s="80">
        <f>IF(BD740=0,0,IF(D740="Malcolm",1,MATCH(BF740,{"Draft","Submitted","Approved","Returned","Recall Requested","Cancelled"},0)+1))</f>
        <v>0</v>
      </c>
      <c r="CH740" s="80">
        <f>IF(AND(BF740="Submitted",ISNUMBER(V740)),IF(V740&gt;CFG_MAXD,1,0),0)</f>
        <v>0</v>
      </c>
    </row>
    <row r="741">
      <c r="A741" s="71" t="str">
        <f>IF(Y741=1,ROW()-5,"")</f>
        <v/>
      </c>
      <c r="B741" s="72" t="n"/>
      <c r="C741" s="71" t="str">
        <f>IF(ISNUMBER(B741),CHOOSE(WEEKDAY(B741,2),"Lun","Mar","Mié","Jue","Vie","Sáb","Dom"),"")</f>
        <v/>
      </c>
      <c r="D741" s="73" t="n"/>
      <c r="E741" s="74" t="n"/>
      <c r="F741" s="74" t="n"/>
      <c r="G741" s="74" t="n"/>
      <c r="H741" s="75" t="n"/>
      <c r="I741" s="75" t="n"/>
      <c r="J741" s="76" t="n"/>
      <c r="K741" s="77" t="str">
        <f>IF(AB741=1,ROUND(AG741/60,4),"")</f>
        <v/>
      </c>
      <c r="L741" s="77" t="str">
        <f>IF(BD741=1,ROUND(AP741/60,4),"")</f>
        <v/>
      </c>
      <c r="M741" s="77" t="str">
        <f>IF(BD741=1,ROUND(AQ741/60,4),"")</f>
        <v/>
      </c>
      <c r="N741" s="71" t="str">
        <f>IF(AND(D741="proMX",AB741=1),ROUND(AG741/CFG_BLK,2),"")</f>
        <v/>
      </c>
      <c r="O741" s="77" t="str">
        <f>IF(D741="proMX",IF(BD741=1,ROUND(AG741/60,4),0),"")</f>
        <v/>
      </c>
      <c r="P741" s="78" t="str">
        <f>IF(Y741=0,"",IF(BD741=1,"OK",IF(D741="proMX","Revisar bloques: ","Revisar: ")&amp;BC741))</f>
        <v/>
      </c>
      <c r="Q741" s="78" t="str">
        <f>IF(NOT(ISNUMBER(B741)),"",IF(COUNTIFS(FER_F,INT(B741))&gt;0,"Feriado"&amp;IF(AH741=1," (laborable)"," (no laborable)"),IF(AH741=1,"Laborable",IF(WEEKDAY(B741,2)&gt;5,"Fin de semana","No laborable"))))</f>
        <v/>
      </c>
      <c r="R741" s="73" t="n"/>
      <c r="S741" s="72" t="n"/>
      <c r="T741" s="72" t="n"/>
      <c r="U741" s="74" t="n"/>
      <c r="V741" s="79" t="str">
        <f>IF(AND(D741="proMX",OR(R741="Submitted",R741="Recall Requested"),ISNUMBER(S741)),CFG_TODAY-INT(S741),"")</f>
        <v/>
      </c>
      <c r="W741" s="78" t="str">
        <f>IF(BD741=0,"",IF(BA741&gt;0,"⚠ Se superpone con un registro de la otra empresa",IF(D741="Malcolm",IF(COUNTA(R741,S741,T741)&gt;0,"Estado/fechas proMX se ignoran en Malcolm",""),IF(BF741="Cancelled","Cancelado: excluido de totales",IF(R741="","Sin estado: se trata como Draft",IF(BF741="Submitted",IF(ISNUMBER(V741),IF(V741&gt;CFG_MAXD,"⚠ "&amp;V741&amp;" días en Submitted (máx. "&amp;CFG_MAXD&amp;")",""),"Falta fecha de envío"),IF(BF741="Returned","⚠ Devuelto: corregir y reenviar",IF(BF741="Recall Requested","Retirada solicitada: pendiente",IF(AND(BF741="Approved",NOT(ISNUMBER(T741))),"Falta fecha de aprobación",IF(AND(ISNUMBER(S741),ISNUMBER(T741),T741&lt;S741),"Aprobación anterior al envío","")))))))))</f>
        <v/>
      </c>
      <c r="Y741" s="80">
        <f>IF(COUNTA(B741,D741,E741,F741,G741,H741,I741,J741,R741,S741,T741)&gt;0,1,0)</f>
        <v>0</v>
      </c>
      <c r="Z741" s="80" t="str">
        <f>IF(AND(ISNUMBER(H741),H741&gt;=0,H741&lt;1),ROUND(H741*1440,0),"")</f>
        <v/>
      </c>
      <c r="AA741" s="80" t="str">
        <f>IF(AND(ISNUMBER(I741),I741&gt;=0,I741&lt;1),ROUND(I741*1440,0),"")</f>
        <v/>
      </c>
      <c r="AB741" s="80">
        <f>IF(AND(ISNUMBER(B741),D741&lt;&gt;"",ISNUMBER(Z741),ISNUMBER(AA741)),IF(Z741=AA741,0,1),0)</f>
        <v>0</v>
      </c>
      <c r="AC741" s="80">
        <f>IF(AB741=1,IF(AA741&lt;Z741,1,0),0)</f>
        <v>0</v>
      </c>
      <c r="AD741" s="80">
        <f>IF(AB741=1,IF(AC741=1,1440-Z741+AA741,AA741-Z741),0)</f>
        <v>0</v>
      </c>
      <c r="AE741" s="80">
        <f>IF(J741="",0,IF(ISNUMBER(J741),J741,-1))</f>
        <v>0</v>
      </c>
      <c r="AF741" s="80">
        <f>MIN(MAX(0,AE741),AD741)</f>
        <v>0</v>
      </c>
      <c r="AG741" s="80">
        <f>MAX(0,AD741-MAX(0,AE741))</f>
        <v>0</v>
      </c>
      <c r="AH741" s="80">
        <f>IF(ISNUMBER(B741),IF(AND(INDEX(CFG_WDAYS,WEEKDAY(INT(B741),2))="Sí",IF(D741="proMX",COUNTIFS(FER_F,INT(B741),FER_NLP,"Sí"),COUNTIFS(FER_F,INT(B741),FER_NLM,"Sí"))=0),1,0),0)</f>
        <v>0</v>
      </c>
      <c r="AI741" s="80">
        <f>IF(AC741=1,IF(AND(INDEX(CFG_WDAYS,WEEKDAY(INT(B741)+1,2))="Sí",IF(D741="proMX",COUNTIFS(FER_F,INT(B741)+1,FER_NLP,"Sí"),COUNTIFS(FER_F,INT(B741)+1,FER_NLM,"Sí"))=0),1,0),0)</f>
        <v>0</v>
      </c>
      <c r="AJ741" s="80">
        <f>IF(AC741=1,1440-Z741,AD741)</f>
        <v>0</v>
      </c>
      <c r="AK741" s="80">
        <f>IF(AND(AB741=1,AH741=1),MAX(0,MIN(IF(AC741=1,1440,AA741),CFG_WEM)-MAX(Z741,CFG_WSM)),0)</f>
        <v>0</v>
      </c>
      <c r="AL741" s="80">
        <f>IF(AND(AC741=1,AI741=1),MAX(0,MIN(AA741,CFG_WEM)-CFG_WSM),0)</f>
        <v>0</v>
      </c>
      <c r="AM741" s="80">
        <f>AK741+AL741</f>
        <v>0</v>
      </c>
      <c r="AN741" s="80">
        <f>IF(CFG_BRK="Proporcional",IF(AD741=0,0,AF741*AM741/AD741),IF(CFG_BRK="Extras primero",MIN(AM741,MAX(0,AF741-(AD741-AM741))),MIN(AF741,AM741)))</f>
        <v>0</v>
      </c>
      <c r="AO741" s="80">
        <f>AF741-AN741</f>
        <v>0</v>
      </c>
      <c r="AP741" s="80">
        <f>AM741-AN741</f>
        <v>0</v>
      </c>
      <c r="AQ741" s="80">
        <f>AD741-AM741-AO741</f>
        <v>0</v>
      </c>
      <c r="AR741" s="80">
        <f>IF(AM741=0,0,AK741-AN741*AK741/AM741)</f>
        <v>0</v>
      </c>
      <c r="AS741" s="80">
        <f>IF(AD741-AM741=0,0,(AJ741-AK741)-AO741*(AJ741-AK741)/(AD741-AM741))</f>
        <v>0</v>
      </c>
      <c r="AT741" s="80" t="str">
        <f>IF(AC741=1,INT(B741)+1,"")</f>
        <v/>
      </c>
      <c r="AU741" s="80">
        <f>IF(AND(D741="proMX",R741="Cancelled"),0,1)</f>
        <v>1</v>
      </c>
      <c r="AV741" s="80">
        <f>IF(AND(AB741=1,AU741=1),IF(COUNTIFS($D$5:D740,D741,$B$5:B740,B741,$Z$5:Z740,Z741,$AA$5:AA740,AA741,$F$5:F740,F741&amp;"",$AU$5:AU740,1)&gt;0,1,0),0)</f>
        <v>0</v>
      </c>
      <c r="AW741" s="80" t="str">
        <f>IF(AB741=1,INT(B741)*1440+Z741,"")</f>
        <v/>
      </c>
      <c r="AX741" s="80" t="str">
        <f>IF(AB741=1,AW741+AD741,"")</f>
        <v/>
      </c>
      <c r="AY741" s="80">
        <f>IF(AND(AB741=1,AV741=0,AU741=1),1,0)</f>
        <v>0</v>
      </c>
      <c r="AZ741" s="80">
        <f>IF(AY741=1,COUNTIFS(R_Emp,D741,R_SAbs,"&lt;"&amp;AX741,R_EAbs,"&gt;"&amp;AW741,R_OKey,1)-1,0)</f>
        <v>0</v>
      </c>
      <c r="BA741" s="80">
        <f>IF(AY741=1,COUNTIFS(R_Emp,"&lt;&gt;"&amp;D741,R_SAbs,"&lt;"&amp;AX741,R_EAbs,"&gt;"&amp;AW741,R_OKey,1),0)</f>
        <v>0</v>
      </c>
      <c r="BB741" s="80">
        <f>IF(AND(AB741=1,D741="proMX"),IF(AND(MOD(Z741,CFG_BLK)=0,MOD(AA741,CFG_BLK)=0,MOD(AG741,CFG_BLK)=0,AG741&gt;0),1,0),1)</f>
        <v>1</v>
      </c>
      <c r="BC741" s="80" t="str">
        <f>IF(Y741=0,"",IF(NOT(ISNUMBER(B741)),"Falta fecha o fecha inválida",IF(D741="","Falta empresa",IF(AND(D741&lt;&gt;"Malcolm",D741&lt;&gt;"proMX"),"Empresa inválida",IF(OR(INT(B741)&lt;CFG_PSTART,INT(B741)&gt;CFG_PEND),"Fecha fuera del período",IF(OR(NOT(ISNUMBER(Z741)),NOT(ISNUMBER(AA741))),"Falta hora inicio/fin o formato inválido",IF(AB741=0,"Hora inicio = hora fin",IF(AE741&lt;0,"Descanso inválido",IF(AE741&gt;=AD741,"Descanso ≥ duración",IF(AV741=1,"Registro duplicado",IF(AZ741&gt;0,"Se superpone con otro registro "&amp;D741,IF(BB741=0,"inicio, fin y duración neta deben ser múltiplos de "&amp;CFG_BLK&amp;" min",""))))))))))))</f>
        <v/>
      </c>
      <c r="BD741" s="80">
        <f>IF(AND(Y741=1,BC741=""),1,0)</f>
        <v>0</v>
      </c>
      <c r="BE741" s="80">
        <f>IF(AND(BD741=1,AU741=1),1,0)</f>
        <v>0</v>
      </c>
      <c r="BF741" s="80" t="str">
        <f>IF(AND(D741="proMX",BD741=1),IF(R741="","Draft",R741),"")</f>
        <v/>
      </c>
      <c r="BG741" s="80">
        <f>IF(BD741=1,ROUND(AG741/60,6),0)</f>
        <v>0</v>
      </c>
      <c r="BH741" s="80">
        <f>IF(BE741=1,ROUND(AG741/60,6),0)</f>
        <v>0</v>
      </c>
      <c r="BI741" s="80">
        <f>IF(BE741=1,ROUND(AP741/60,6),0)</f>
        <v>0</v>
      </c>
      <c r="BJ741" s="80">
        <f>IF(BE741=1,ROUND(AQ741/60,6),0)</f>
        <v>0</v>
      </c>
      <c r="BK741" s="80">
        <f>IF(BE741=1,ROUND((AR741+AS741)/60,6),0)</f>
        <v>0</v>
      </c>
      <c r="BL741" s="80">
        <f>ROUND(BH741-BK741,6)</f>
        <v>0</v>
      </c>
      <c r="BM741" s="80">
        <f>IF(BE741=1,ROUND(AR741/60,6),0)</f>
        <v>0</v>
      </c>
      <c r="BN741" s="80">
        <f>ROUND(BI741-BM741,6)</f>
        <v>0</v>
      </c>
      <c r="BO741" s="80">
        <f>IF(BE741=1,ROUND(AS741/60,6),0)</f>
        <v>0</v>
      </c>
      <c r="BP741" s="80">
        <f>ROUND(BJ741-BO741,6)</f>
        <v>0</v>
      </c>
      <c r="BQ741" s="80">
        <f>IF(BE741=1,AW741,0)</f>
        <v>0</v>
      </c>
      <c r="BR741" s="80">
        <f>IF(BE741=1,AX741,0)</f>
        <v>0</v>
      </c>
      <c r="BS741" s="80">
        <f>IF(AND(BE741=1,D741="Malcolm",BA741&gt;0),MIN(BH741,SUMPRODUCT((R_Emp="proMX")*(R_EN&gt;0)*((R_EN-(R_EN&gt;BR741)*(R_EN-BR741))&gt;(R_SN+(R_SN&lt;BQ741)*(BQ741-R_SN)))*((R_EN-(R_EN&gt;BR741)*(R_EN-BR741))-(R_SN+(R_SN&lt;BQ741)*(BQ741-R_SN))))/60),0)</f>
        <v>0</v>
      </c>
      <c r="BT741" s="80">
        <f>IF(AND(BE741=1,D741="proMX"),ROUND(BI741*CFG_RATE+BJ741*CFG_OTRATE,6),0)</f>
        <v>0</v>
      </c>
      <c r="BU741" s="80">
        <f>IF(AND(BD741=1,D741="proMX"),ROUND(AG741/CFG_BLK,6),0)</f>
        <v>0</v>
      </c>
      <c r="BV741" s="80" t="str">
        <f>IF(BF741="Approved",IF(ISNUMBER(T741),INT(T741),INT(B741)),"")</f>
        <v/>
      </c>
      <c r="BW741" s="80">
        <f>IF(ISNUMBER(B741),IF(DB_MON="Todos",1,IF(AND(INT(B741)&gt;=DB_MS,INT(B741)&lt;=DB_ME),1,0)),0)</f>
        <v>0</v>
      </c>
      <c r="BX741" s="80">
        <f>IF(DB_PROJ="Todos",1,IF(E741&amp;""=DB_PROJ&amp;"",1,0))</f>
        <v>1</v>
      </c>
      <c r="BY741" s="80">
        <f>BW741*BX741</f>
        <v>0</v>
      </c>
      <c r="BZ741" s="80" t="str">
        <f>IF(Y741=1,F741&amp;IF(AND(F741&amp;""&lt;&gt;"",E741&amp;""&lt;&gt;"")," · ","")&amp;E741,"")</f>
        <v/>
      </c>
      <c r="CA741" s="80" t="str">
        <f>IF(AND(BD741=1,E741&amp;""&lt;&gt;""),IF(COUNTIFS($E$5:E740,E741,$BD$5:BD740,1)=0,MAX($CA$5:CA740)+1,""),"")</f>
        <v/>
      </c>
      <c r="CB741" s="80" t="str">
        <f>IF(AND(BE741=1,D741="Malcolm",E741&amp;""&lt;&gt;""),IF(COUNTIFS($D$5:D740,"Malcolm",$E$5:E740,E741,$BE$5:BE740,1)=0,MAX($CB$5:CB740)+1,""),"")</f>
        <v/>
      </c>
      <c r="CC741" s="80" t="str">
        <f>IF(AND(BD741=1,D741="proMX",E741&amp;""&lt;&gt;""),IF(COUNTIFS($D$5:D740,"proMX",$E$5:E740,E741,$BD$5:BD740,1)=0,MAX($CC$5:CC740)+1,""),"")</f>
        <v/>
      </c>
      <c r="CD741" s="80" t="str">
        <f>IF(AND(BE741=1,D741="Malcolm",F741&amp;""&lt;&gt;""),IF(COUNTIFS($D$5:D740,"Malcolm",$F$5:F740,F741,$BE$5:BE740,1)=0,MAX($CD$5:CD740)+1,""),"")</f>
        <v/>
      </c>
      <c r="CE741" s="80" t="str">
        <f>IF(AND(BD741=1,D741="proMX",F741&amp;""&lt;&gt;""),IF(COUNTIFS($D$5:D740,"proMX",$F$5:F740,F741,$BD$5:BD740,1)=0,MAX($CE$5:CE740)+1,""),"")</f>
        <v/>
      </c>
      <c r="CF741" s="80" t="str">
        <f>IF(AND(D741="proMX",BD741=1),IF(OR(BF741="Draft",BF741="Submitted",BF741="Returned",BF741="Recall Requested"),MAX($CF$5:CF740)+1,""),"")</f>
        <v/>
      </c>
      <c r="CG741" s="80">
        <f>IF(BD741=0,0,IF(D741="Malcolm",1,MATCH(BF741,{"Draft","Submitted","Approved","Returned","Recall Requested","Cancelled"},0)+1))</f>
        <v>0</v>
      </c>
      <c r="CH741" s="80">
        <f>IF(AND(BF741="Submitted",ISNUMBER(V741)),IF(V741&gt;CFG_MAXD,1,0),0)</f>
        <v>0</v>
      </c>
    </row>
    <row r="742">
      <c r="A742" s="71" t="str">
        <f>IF(Y742=1,ROW()-5,"")</f>
        <v/>
      </c>
      <c r="B742" s="72" t="n"/>
      <c r="C742" s="71" t="str">
        <f>IF(ISNUMBER(B742),CHOOSE(WEEKDAY(B742,2),"Lun","Mar","Mié","Jue","Vie","Sáb","Dom"),"")</f>
        <v/>
      </c>
      <c r="D742" s="73" t="n"/>
      <c r="E742" s="74" t="n"/>
      <c r="F742" s="74" t="n"/>
      <c r="G742" s="74" t="n"/>
      <c r="H742" s="75" t="n"/>
      <c r="I742" s="75" t="n"/>
      <c r="J742" s="76" t="n"/>
      <c r="K742" s="77" t="str">
        <f>IF(AB742=1,ROUND(AG742/60,4),"")</f>
        <v/>
      </c>
      <c r="L742" s="77" t="str">
        <f>IF(BD742=1,ROUND(AP742/60,4),"")</f>
        <v/>
      </c>
      <c r="M742" s="77" t="str">
        <f>IF(BD742=1,ROUND(AQ742/60,4),"")</f>
        <v/>
      </c>
      <c r="N742" s="71" t="str">
        <f>IF(AND(D742="proMX",AB742=1),ROUND(AG742/CFG_BLK,2),"")</f>
        <v/>
      </c>
      <c r="O742" s="77" t="str">
        <f>IF(D742="proMX",IF(BD742=1,ROUND(AG742/60,4),0),"")</f>
        <v/>
      </c>
      <c r="P742" s="78" t="str">
        <f>IF(Y742=0,"",IF(BD742=1,"OK",IF(D742="proMX","Revisar bloques: ","Revisar: ")&amp;BC742))</f>
        <v/>
      </c>
      <c r="Q742" s="78" t="str">
        <f>IF(NOT(ISNUMBER(B742)),"",IF(COUNTIFS(FER_F,INT(B742))&gt;0,"Feriado"&amp;IF(AH742=1," (laborable)"," (no laborable)"),IF(AH742=1,"Laborable",IF(WEEKDAY(B742,2)&gt;5,"Fin de semana","No laborable"))))</f>
        <v/>
      </c>
      <c r="R742" s="73" t="n"/>
      <c r="S742" s="72" t="n"/>
      <c r="T742" s="72" t="n"/>
      <c r="U742" s="74" t="n"/>
      <c r="V742" s="79" t="str">
        <f>IF(AND(D742="proMX",OR(R742="Submitted",R742="Recall Requested"),ISNUMBER(S742)),CFG_TODAY-INT(S742),"")</f>
        <v/>
      </c>
      <c r="W742" s="78" t="str">
        <f>IF(BD742=0,"",IF(BA742&gt;0,"⚠ Se superpone con un registro de la otra empresa",IF(D742="Malcolm",IF(COUNTA(R742,S742,T742)&gt;0,"Estado/fechas proMX se ignoran en Malcolm",""),IF(BF742="Cancelled","Cancelado: excluido de totales",IF(R742="","Sin estado: se trata como Draft",IF(BF742="Submitted",IF(ISNUMBER(V742),IF(V742&gt;CFG_MAXD,"⚠ "&amp;V742&amp;" días en Submitted (máx. "&amp;CFG_MAXD&amp;")",""),"Falta fecha de envío"),IF(BF742="Returned","⚠ Devuelto: corregir y reenviar",IF(BF742="Recall Requested","Retirada solicitada: pendiente",IF(AND(BF742="Approved",NOT(ISNUMBER(T742))),"Falta fecha de aprobación",IF(AND(ISNUMBER(S742),ISNUMBER(T742),T742&lt;S742),"Aprobación anterior al envío","")))))))))</f>
        <v/>
      </c>
      <c r="Y742" s="80">
        <f>IF(COUNTA(B742,D742,E742,F742,G742,H742,I742,J742,R742,S742,T742)&gt;0,1,0)</f>
        <v>0</v>
      </c>
      <c r="Z742" s="80" t="str">
        <f>IF(AND(ISNUMBER(H742),H742&gt;=0,H742&lt;1),ROUND(H742*1440,0),"")</f>
        <v/>
      </c>
      <c r="AA742" s="80" t="str">
        <f>IF(AND(ISNUMBER(I742),I742&gt;=0,I742&lt;1),ROUND(I742*1440,0),"")</f>
        <v/>
      </c>
      <c r="AB742" s="80">
        <f>IF(AND(ISNUMBER(B742),D742&lt;&gt;"",ISNUMBER(Z742),ISNUMBER(AA742)),IF(Z742=AA742,0,1),0)</f>
        <v>0</v>
      </c>
      <c r="AC742" s="80">
        <f>IF(AB742=1,IF(AA742&lt;Z742,1,0),0)</f>
        <v>0</v>
      </c>
      <c r="AD742" s="80">
        <f>IF(AB742=1,IF(AC742=1,1440-Z742+AA742,AA742-Z742),0)</f>
        <v>0</v>
      </c>
      <c r="AE742" s="80">
        <f>IF(J742="",0,IF(ISNUMBER(J742),J742,-1))</f>
        <v>0</v>
      </c>
      <c r="AF742" s="80">
        <f>MIN(MAX(0,AE742),AD742)</f>
        <v>0</v>
      </c>
      <c r="AG742" s="80">
        <f>MAX(0,AD742-MAX(0,AE742))</f>
        <v>0</v>
      </c>
      <c r="AH742" s="80">
        <f>IF(ISNUMBER(B742),IF(AND(INDEX(CFG_WDAYS,WEEKDAY(INT(B742),2))="Sí",IF(D742="proMX",COUNTIFS(FER_F,INT(B742),FER_NLP,"Sí"),COUNTIFS(FER_F,INT(B742),FER_NLM,"Sí"))=0),1,0),0)</f>
        <v>0</v>
      </c>
      <c r="AI742" s="80">
        <f>IF(AC742=1,IF(AND(INDEX(CFG_WDAYS,WEEKDAY(INT(B742)+1,2))="Sí",IF(D742="proMX",COUNTIFS(FER_F,INT(B742)+1,FER_NLP,"Sí"),COUNTIFS(FER_F,INT(B742)+1,FER_NLM,"Sí"))=0),1,0),0)</f>
        <v>0</v>
      </c>
      <c r="AJ742" s="80">
        <f>IF(AC742=1,1440-Z742,AD742)</f>
        <v>0</v>
      </c>
      <c r="AK742" s="80">
        <f>IF(AND(AB742=1,AH742=1),MAX(0,MIN(IF(AC742=1,1440,AA742),CFG_WEM)-MAX(Z742,CFG_WSM)),0)</f>
        <v>0</v>
      </c>
      <c r="AL742" s="80">
        <f>IF(AND(AC742=1,AI742=1),MAX(0,MIN(AA742,CFG_WEM)-CFG_WSM),0)</f>
        <v>0</v>
      </c>
      <c r="AM742" s="80">
        <f>AK742+AL742</f>
        <v>0</v>
      </c>
      <c r="AN742" s="80">
        <f>IF(CFG_BRK="Proporcional",IF(AD742=0,0,AF742*AM742/AD742),IF(CFG_BRK="Extras primero",MIN(AM742,MAX(0,AF742-(AD742-AM742))),MIN(AF742,AM742)))</f>
        <v>0</v>
      </c>
      <c r="AO742" s="80">
        <f>AF742-AN742</f>
        <v>0</v>
      </c>
      <c r="AP742" s="80">
        <f>AM742-AN742</f>
        <v>0</v>
      </c>
      <c r="AQ742" s="80">
        <f>AD742-AM742-AO742</f>
        <v>0</v>
      </c>
      <c r="AR742" s="80">
        <f>IF(AM742=0,0,AK742-AN742*AK742/AM742)</f>
        <v>0</v>
      </c>
      <c r="AS742" s="80">
        <f>IF(AD742-AM742=0,0,(AJ742-AK742)-AO742*(AJ742-AK742)/(AD742-AM742))</f>
        <v>0</v>
      </c>
      <c r="AT742" s="80" t="str">
        <f>IF(AC742=1,INT(B742)+1,"")</f>
        <v/>
      </c>
      <c r="AU742" s="80">
        <f>IF(AND(D742="proMX",R742="Cancelled"),0,1)</f>
        <v>1</v>
      </c>
      <c r="AV742" s="80">
        <f>IF(AND(AB742=1,AU742=1),IF(COUNTIFS($D$5:D741,D742,$B$5:B741,B742,$Z$5:Z741,Z742,$AA$5:AA741,AA742,$F$5:F741,F742&amp;"",$AU$5:AU741,1)&gt;0,1,0),0)</f>
        <v>0</v>
      </c>
      <c r="AW742" s="80" t="str">
        <f>IF(AB742=1,INT(B742)*1440+Z742,"")</f>
        <v/>
      </c>
      <c r="AX742" s="80" t="str">
        <f>IF(AB742=1,AW742+AD742,"")</f>
        <v/>
      </c>
      <c r="AY742" s="80">
        <f>IF(AND(AB742=1,AV742=0,AU742=1),1,0)</f>
        <v>0</v>
      </c>
      <c r="AZ742" s="80">
        <f>IF(AY742=1,COUNTIFS(R_Emp,D742,R_SAbs,"&lt;"&amp;AX742,R_EAbs,"&gt;"&amp;AW742,R_OKey,1)-1,0)</f>
        <v>0</v>
      </c>
      <c r="BA742" s="80">
        <f>IF(AY742=1,COUNTIFS(R_Emp,"&lt;&gt;"&amp;D742,R_SAbs,"&lt;"&amp;AX742,R_EAbs,"&gt;"&amp;AW742,R_OKey,1),0)</f>
        <v>0</v>
      </c>
      <c r="BB742" s="80">
        <f>IF(AND(AB742=1,D742="proMX"),IF(AND(MOD(Z742,CFG_BLK)=0,MOD(AA742,CFG_BLK)=0,MOD(AG742,CFG_BLK)=0,AG742&gt;0),1,0),1)</f>
        <v>1</v>
      </c>
      <c r="BC742" s="80" t="str">
        <f>IF(Y742=0,"",IF(NOT(ISNUMBER(B742)),"Falta fecha o fecha inválida",IF(D742="","Falta empresa",IF(AND(D742&lt;&gt;"Malcolm",D742&lt;&gt;"proMX"),"Empresa inválida",IF(OR(INT(B742)&lt;CFG_PSTART,INT(B742)&gt;CFG_PEND),"Fecha fuera del período",IF(OR(NOT(ISNUMBER(Z742)),NOT(ISNUMBER(AA742))),"Falta hora inicio/fin o formato inválido",IF(AB742=0,"Hora inicio = hora fin",IF(AE742&lt;0,"Descanso inválido",IF(AE742&gt;=AD742,"Descanso ≥ duración",IF(AV742=1,"Registro duplicado",IF(AZ742&gt;0,"Se superpone con otro registro "&amp;D742,IF(BB742=0,"inicio, fin y duración neta deben ser múltiplos de "&amp;CFG_BLK&amp;" min",""))))))))))))</f>
        <v/>
      </c>
      <c r="BD742" s="80">
        <f>IF(AND(Y742=1,BC742=""),1,0)</f>
        <v>0</v>
      </c>
      <c r="BE742" s="80">
        <f>IF(AND(BD742=1,AU742=1),1,0)</f>
        <v>0</v>
      </c>
      <c r="BF742" s="80" t="str">
        <f>IF(AND(D742="proMX",BD742=1),IF(R742="","Draft",R742),"")</f>
        <v/>
      </c>
      <c r="BG742" s="80">
        <f>IF(BD742=1,ROUND(AG742/60,6),0)</f>
        <v>0</v>
      </c>
      <c r="BH742" s="80">
        <f>IF(BE742=1,ROUND(AG742/60,6),0)</f>
        <v>0</v>
      </c>
      <c r="BI742" s="80">
        <f>IF(BE742=1,ROUND(AP742/60,6),0)</f>
        <v>0</v>
      </c>
      <c r="BJ742" s="80">
        <f>IF(BE742=1,ROUND(AQ742/60,6),0)</f>
        <v>0</v>
      </c>
      <c r="BK742" s="80">
        <f>IF(BE742=1,ROUND((AR742+AS742)/60,6),0)</f>
        <v>0</v>
      </c>
      <c r="BL742" s="80">
        <f>ROUND(BH742-BK742,6)</f>
        <v>0</v>
      </c>
      <c r="BM742" s="80">
        <f>IF(BE742=1,ROUND(AR742/60,6),0)</f>
        <v>0</v>
      </c>
      <c r="BN742" s="80">
        <f>ROUND(BI742-BM742,6)</f>
        <v>0</v>
      </c>
      <c r="BO742" s="80">
        <f>IF(BE742=1,ROUND(AS742/60,6),0)</f>
        <v>0</v>
      </c>
      <c r="BP742" s="80">
        <f>ROUND(BJ742-BO742,6)</f>
        <v>0</v>
      </c>
      <c r="BQ742" s="80">
        <f>IF(BE742=1,AW742,0)</f>
        <v>0</v>
      </c>
      <c r="BR742" s="80">
        <f>IF(BE742=1,AX742,0)</f>
        <v>0</v>
      </c>
      <c r="BS742" s="80">
        <f>IF(AND(BE742=1,D742="Malcolm",BA742&gt;0),MIN(BH742,SUMPRODUCT((R_Emp="proMX")*(R_EN&gt;0)*((R_EN-(R_EN&gt;BR742)*(R_EN-BR742))&gt;(R_SN+(R_SN&lt;BQ742)*(BQ742-R_SN)))*((R_EN-(R_EN&gt;BR742)*(R_EN-BR742))-(R_SN+(R_SN&lt;BQ742)*(BQ742-R_SN))))/60),0)</f>
        <v>0</v>
      </c>
      <c r="BT742" s="80">
        <f>IF(AND(BE742=1,D742="proMX"),ROUND(BI742*CFG_RATE+BJ742*CFG_OTRATE,6),0)</f>
        <v>0</v>
      </c>
      <c r="BU742" s="80">
        <f>IF(AND(BD742=1,D742="proMX"),ROUND(AG742/CFG_BLK,6),0)</f>
        <v>0</v>
      </c>
      <c r="BV742" s="80" t="str">
        <f>IF(BF742="Approved",IF(ISNUMBER(T742),INT(T742),INT(B742)),"")</f>
        <v/>
      </c>
      <c r="BW742" s="80">
        <f>IF(ISNUMBER(B742),IF(DB_MON="Todos",1,IF(AND(INT(B742)&gt;=DB_MS,INT(B742)&lt;=DB_ME),1,0)),0)</f>
        <v>0</v>
      </c>
      <c r="BX742" s="80">
        <f>IF(DB_PROJ="Todos",1,IF(E742&amp;""=DB_PROJ&amp;"",1,0))</f>
        <v>1</v>
      </c>
      <c r="BY742" s="80">
        <f>BW742*BX742</f>
        <v>0</v>
      </c>
      <c r="BZ742" s="80" t="str">
        <f>IF(Y742=1,F742&amp;IF(AND(F742&amp;""&lt;&gt;"",E742&amp;""&lt;&gt;"")," · ","")&amp;E742,"")</f>
        <v/>
      </c>
      <c r="CA742" s="80" t="str">
        <f>IF(AND(BD742=1,E742&amp;""&lt;&gt;""),IF(COUNTIFS($E$5:E741,E742,$BD$5:BD741,1)=0,MAX($CA$5:CA741)+1,""),"")</f>
        <v/>
      </c>
      <c r="CB742" s="80" t="str">
        <f>IF(AND(BE742=1,D742="Malcolm",E742&amp;""&lt;&gt;""),IF(COUNTIFS($D$5:D741,"Malcolm",$E$5:E741,E742,$BE$5:BE741,1)=0,MAX($CB$5:CB741)+1,""),"")</f>
        <v/>
      </c>
      <c r="CC742" s="80" t="str">
        <f>IF(AND(BD742=1,D742="proMX",E742&amp;""&lt;&gt;""),IF(COUNTIFS($D$5:D741,"proMX",$E$5:E741,E742,$BD$5:BD741,1)=0,MAX($CC$5:CC741)+1,""),"")</f>
        <v/>
      </c>
      <c r="CD742" s="80" t="str">
        <f>IF(AND(BE742=1,D742="Malcolm",F742&amp;""&lt;&gt;""),IF(COUNTIFS($D$5:D741,"Malcolm",$F$5:F741,F742,$BE$5:BE741,1)=0,MAX($CD$5:CD741)+1,""),"")</f>
        <v/>
      </c>
      <c r="CE742" s="80" t="str">
        <f>IF(AND(BD742=1,D742="proMX",F742&amp;""&lt;&gt;""),IF(COUNTIFS($D$5:D741,"proMX",$F$5:F741,F742,$BD$5:BD741,1)=0,MAX($CE$5:CE741)+1,""),"")</f>
        <v/>
      </c>
      <c r="CF742" s="80" t="str">
        <f>IF(AND(D742="proMX",BD742=1),IF(OR(BF742="Draft",BF742="Submitted",BF742="Returned",BF742="Recall Requested"),MAX($CF$5:CF741)+1,""),"")</f>
        <v/>
      </c>
      <c r="CG742" s="80">
        <f>IF(BD742=0,0,IF(D742="Malcolm",1,MATCH(BF742,{"Draft","Submitted","Approved","Returned","Recall Requested","Cancelled"},0)+1))</f>
        <v>0</v>
      </c>
      <c r="CH742" s="80">
        <f>IF(AND(BF742="Submitted",ISNUMBER(V742)),IF(V742&gt;CFG_MAXD,1,0),0)</f>
        <v>0</v>
      </c>
    </row>
    <row r="743">
      <c r="A743" s="71" t="str">
        <f>IF(Y743=1,ROW()-5,"")</f>
        <v/>
      </c>
      <c r="B743" s="72" t="n"/>
      <c r="C743" s="71" t="str">
        <f>IF(ISNUMBER(B743),CHOOSE(WEEKDAY(B743,2),"Lun","Mar","Mié","Jue","Vie","Sáb","Dom"),"")</f>
        <v/>
      </c>
      <c r="D743" s="73" t="n"/>
      <c r="E743" s="74" t="n"/>
      <c r="F743" s="74" t="n"/>
      <c r="G743" s="74" t="n"/>
      <c r="H743" s="75" t="n"/>
      <c r="I743" s="75" t="n"/>
      <c r="J743" s="76" t="n"/>
      <c r="K743" s="77" t="str">
        <f>IF(AB743=1,ROUND(AG743/60,4),"")</f>
        <v/>
      </c>
      <c r="L743" s="77" t="str">
        <f>IF(BD743=1,ROUND(AP743/60,4),"")</f>
        <v/>
      </c>
      <c r="M743" s="77" t="str">
        <f>IF(BD743=1,ROUND(AQ743/60,4),"")</f>
        <v/>
      </c>
      <c r="N743" s="71" t="str">
        <f>IF(AND(D743="proMX",AB743=1),ROUND(AG743/CFG_BLK,2),"")</f>
        <v/>
      </c>
      <c r="O743" s="77" t="str">
        <f>IF(D743="proMX",IF(BD743=1,ROUND(AG743/60,4),0),"")</f>
        <v/>
      </c>
      <c r="P743" s="78" t="str">
        <f>IF(Y743=0,"",IF(BD743=1,"OK",IF(D743="proMX","Revisar bloques: ","Revisar: ")&amp;BC743))</f>
        <v/>
      </c>
      <c r="Q743" s="78" t="str">
        <f>IF(NOT(ISNUMBER(B743)),"",IF(COUNTIFS(FER_F,INT(B743))&gt;0,"Feriado"&amp;IF(AH743=1," (laborable)"," (no laborable)"),IF(AH743=1,"Laborable",IF(WEEKDAY(B743,2)&gt;5,"Fin de semana","No laborable"))))</f>
        <v/>
      </c>
      <c r="R743" s="73" t="n"/>
      <c r="S743" s="72" t="n"/>
      <c r="T743" s="72" t="n"/>
      <c r="U743" s="74" t="n"/>
      <c r="V743" s="79" t="str">
        <f>IF(AND(D743="proMX",OR(R743="Submitted",R743="Recall Requested"),ISNUMBER(S743)),CFG_TODAY-INT(S743),"")</f>
        <v/>
      </c>
      <c r="W743" s="78" t="str">
        <f>IF(BD743=0,"",IF(BA743&gt;0,"⚠ Se superpone con un registro de la otra empresa",IF(D743="Malcolm",IF(COUNTA(R743,S743,T743)&gt;0,"Estado/fechas proMX se ignoran en Malcolm",""),IF(BF743="Cancelled","Cancelado: excluido de totales",IF(R743="","Sin estado: se trata como Draft",IF(BF743="Submitted",IF(ISNUMBER(V743),IF(V743&gt;CFG_MAXD,"⚠ "&amp;V743&amp;" días en Submitted (máx. "&amp;CFG_MAXD&amp;")",""),"Falta fecha de envío"),IF(BF743="Returned","⚠ Devuelto: corregir y reenviar",IF(BF743="Recall Requested","Retirada solicitada: pendiente",IF(AND(BF743="Approved",NOT(ISNUMBER(T743))),"Falta fecha de aprobación",IF(AND(ISNUMBER(S743),ISNUMBER(T743),T743&lt;S743),"Aprobación anterior al envío","")))))))))</f>
        <v/>
      </c>
      <c r="Y743" s="80">
        <f>IF(COUNTA(B743,D743,E743,F743,G743,H743,I743,J743,R743,S743,T743)&gt;0,1,0)</f>
        <v>0</v>
      </c>
      <c r="Z743" s="80" t="str">
        <f>IF(AND(ISNUMBER(H743),H743&gt;=0,H743&lt;1),ROUND(H743*1440,0),"")</f>
        <v/>
      </c>
      <c r="AA743" s="80" t="str">
        <f>IF(AND(ISNUMBER(I743),I743&gt;=0,I743&lt;1),ROUND(I743*1440,0),"")</f>
        <v/>
      </c>
      <c r="AB743" s="80">
        <f>IF(AND(ISNUMBER(B743),D743&lt;&gt;"",ISNUMBER(Z743),ISNUMBER(AA743)),IF(Z743=AA743,0,1),0)</f>
        <v>0</v>
      </c>
      <c r="AC743" s="80">
        <f>IF(AB743=1,IF(AA743&lt;Z743,1,0),0)</f>
        <v>0</v>
      </c>
      <c r="AD743" s="80">
        <f>IF(AB743=1,IF(AC743=1,1440-Z743+AA743,AA743-Z743),0)</f>
        <v>0</v>
      </c>
      <c r="AE743" s="80">
        <f>IF(J743="",0,IF(ISNUMBER(J743),J743,-1))</f>
        <v>0</v>
      </c>
      <c r="AF743" s="80">
        <f>MIN(MAX(0,AE743),AD743)</f>
        <v>0</v>
      </c>
      <c r="AG743" s="80">
        <f>MAX(0,AD743-MAX(0,AE743))</f>
        <v>0</v>
      </c>
      <c r="AH743" s="80">
        <f>IF(ISNUMBER(B743),IF(AND(INDEX(CFG_WDAYS,WEEKDAY(INT(B743),2))="Sí",IF(D743="proMX",COUNTIFS(FER_F,INT(B743),FER_NLP,"Sí"),COUNTIFS(FER_F,INT(B743),FER_NLM,"Sí"))=0),1,0),0)</f>
        <v>0</v>
      </c>
      <c r="AI743" s="80">
        <f>IF(AC743=1,IF(AND(INDEX(CFG_WDAYS,WEEKDAY(INT(B743)+1,2))="Sí",IF(D743="proMX",COUNTIFS(FER_F,INT(B743)+1,FER_NLP,"Sí"),COUNTIFS(FER_F,INT(B743)+1,FER_NLM,"Sí"))=0),1,0),0)</f>
        <v>0</v>
      </c>
      <c r="AJ743" s="80">
        <f>IF(AC743=1,1440-Z743,AD743)</f>
        <v>0</v>
      </c>
      <c r="AK743" s="80">
        <f>IF(AND(AB743=1,AH743=1),MAX(0,MIN(IF(AC743=1,1440,AA743),CFG_WEM)-MAX(Z743,CFG_WSM)),0)</f>
        <v>0</v>
      </c>
      <c r="AL743" s="80">
        <f>IF(AND(AC743=1,AI743=1),MAX(0,MIN(AA743,CFG_WEM)-CFG_WSM),0)</f>
        <v>0</v>
      </c>
      <c r="AM743" s="80">
        <f>AK743+AL743</f>
        <v>0</v>
      </c>
      <c r="AN743" s="80">
        <f>IF(CFG_BRK="Proporcional",IF(AD743=0,0,AF743*AM743/AD743),IF(CFG_BRK="Extras primero",MIN(AM743,MAX(0,AF743-(AD743-AM743))),MIN(AF743,AM743)))</f>
        <v>0</v>
      </c>
      <c r="AO743" s="80">
        <f>AF743-AN743</f>
        <v>0</v>
      </c>
      <c r="AP743" s="80">
        <f>AM743-AN743</f>
        <v>0</v>
      </c>
      <c r="AQ743" s="80">
        <f>AD743-AM743-AO743</f>
        <v>0</v>
      </c>
      <c r="AR743" s="80">
        <f>IF(AM743=0,0,AK743-AN743*AK743/AM743)</f>
        <v>0</v>
      </c>
      <c r="AS743" s="80">
        <f>IF(AD743-AM743=0,0,(AJ743-AK743)-AO743*(AJ743-AK743)/(AD743-AM743))</f>
        <v>0</v>
      </c>
      <c r="AT743" s="80" t="str">
        <f>IF(AC743=1,INT(B743)+1,"")</f>
        <v/>
      </c>
      <c r="AU743" s="80">
        <f>IF(AND(D743="proMX",R743="Cancelled"),0,1)</f>
        <v>1</v>
      </c>
      <c r="AV743" s="80">
        <f>IF(AND(AB743=1,AU743=1),IF(COUNTIFS($D$5:D742,D743,$B$5:B742,B743,$Z$5:Z742,Z743,$AA$5:AA742,AA743,$F$5:F742,F743&amp;"",$AU$5:AU742,1)&gt;0,1,0),0)</f>
        <v>0</v>
      </c>
      <c r="AW743" s="80" t="str">
        <f>IF(AB743=1,INT(B743)*1440+Z743,"")</f>
        <v/>
      </c>
      <c r="AX743" s="80" t="str">
        <f>IF(AB743=1,AW743+AD743,"")</f>
        <v/>
      </c>
      <c r="AY743" s="80">
        <f>IF(AND(AB743=1,AV743=0,AU743=1),1,0)</f>
        <v>0</v>
      </c>
      <c r="AZ743" s="80">
        <f>IF(AY743=1,COUNTIFS(R_Emp,D743,R_SAbs,"&lt;"&amp;AX743,R_EAbs,"&gt;"&amp;AW743,R_OKey,1)-1,0)</f>
        <v>0</v>
      </c>
      <c r="BA743" s="80">
        <f>IF(AY743=1,COUNTIFS(R_Emp,"&lt;&gt;"&amp;D743,R_SAbs,"&lt;"&amp;AX743,R_EAbs,"&gt;"&amp;AW743,R_OKey,1),0)</f>
        <v>0</v>
      </c>
      <c r="BB743" s="80">
        <f>IF(AND(AB743=1,D743="proMX"),IF(AND(MOD(Z743,CFG_BLK)=0,MOD(AA743,CFG_BLK)=0,MOD(AG743,CFG_BLK)=0,AG743&gt;0),1,0),1)</f>
        <v>1</v>
      </c>
      <c r="BC743" s="80" t="str">
        <f>IF(Y743=0,"",IF(NOT(ISNUMBER(B743)),"Falta fecha o fecha inválida",IF(D743="","Falta empresa",IF(AND(D743&lt;&gt;"Malcolm",D743&lt;&gt;"proMX"),"Empresa inválida",IF(OR(INT(B743)&lt;CFG_PSTART,INT(B743)&gt;CFG_PEND),"Fecha fuera del período",IF(OR(NOT(ISNUMBER(Z743)),NOT(ISNUMBER(AA743))),"Falta hora inicio/fin o formato inválido",IF(AB743=0,"Hora inicio = hora fin",IF(AE743&lt;0,"Descanso inválido",IF(AE743&gt;=AD743,"Descanso ≥ duración",IF(AV743=1,"Registro duplicado",IF(AZ743&gt;0,"Se superpone con otro registro "&amp;D743,IF(BB743=0,"inicio, fin y duración neta deben ser múltiplos de "&amp;CFG_BLK&amp;" min",""))))))))))))</f>
        <v/>
      </c>
      <c r="BD743" s="80">
        <f>IF(AND(Y743=1,BC743=""),1,0)</f>
        <v>0</v>
      </c>
      <c r="BE743" s="80">
        <f>IF(AND(BD743=1,AU743=1),1,0)</f>
        <v>0</v>
      </c>
      <c r="BF743" s="80" t="str">
        <f>IF(AND(D743="proMX",BD743=1),IF(R743="","Draft",R743),"")</f>
        <v/>
      </c>
      <c r="BG743" s="80">
        <f>IF(BD743=1,ROUND(AG743/60,6),0)</f>
        <v>0</v>
      </c>
      <c r="BH743" s="80">
        <f>IF(BE743=1,ROUND(AG743/60,6),0)</f>
        <v>0</v>
      </c>
      <c r="BI743" s="80">
        <f>IF(BE743=1,ROUND(AP743/60,6),0)</f>
        <v>0</v>
      </c>
      <c r="BJ743" s="80">
        <f>IF(BE743=1,ROUND(AQ743/60,6),0)</f>
        <v>0</v>
      </c>
      <c r="BK743" s="80">
        <f>IF(BE743=1,ROUND((AR743+AS743)/60,6),0)</f>
        <v>0</v>
      </c>
      <c r="BL743" s="80">
        <f>ROUND(BH743-BK743,6)</f>
        <v>0</v>
      </c>
      <c r="BM743" s="80">
        <f>IF(BE743=1,ROUND(AR743/60,6),0)</f>
        <v>0</v>
      </c>
      <c r="BN743" s="80">
        <f>ROUND(BI743-BM743,6)</f>
        <v>0</v>
      </c>
      <c r="BO743" s="80">
        <f>IF(BE743=1,ROUND(AS743/60,6),0)</f>
        <v>0</v>
      </c>
      <c r="BP743" s="80">
        <f>ROUND(BJ743-BO743,6)</f>
        <v>0</v>
      </c>
      <c r="BQ743" s="80">
        <f>IF(BE743=1,AW743,0)</f>
        <v>0</v>
      </c>
      <c r="BR743" s="80">
        <f>IF(BE743=1,AX743,0)</f>
        <v>0</v>
      </c>
      <c r="BS743" s="80">
        <f>IF(AND(BE743=1,D743="Malcolm",BA743&gt;0),MIN(BH743,SUMPRODUCT((R_Emp="proMX")*(R_EN&gt;0)*((R_EN-(R_EN&gt;BR743)*(R_EN-BR743))&gt;(R_SN+(R_SN&lt;BQ743)*(BQ743-R_SN)))*((R_EN-(R_EN&gt;BR743)*(R_EN-BR743))-(R_SN+(R_SN&lt;BQ743)*(BQ743-R_SN))))/60),0)</f>
        <v>0</v>
      </c>
      <c r="BT743" s="80">
        <f>IF(AND(BE743=1,D743="proMX"),ROUND(BI743*CFG_RATE+BJ743*CFG_OTRATE,6),0)</f>
        <v>0</v>
      </c>
      <c r="BU743" s="80">
        <f>IF(AND(BD743=1,D743="proMX"),ROUND(AG743/CFG_BLK,6),0)</f>
        <v>0</v>
      </c>
      <c r="BV743" s="80" t="str">
        <f>IF(BF743="Approved",IF(ISNUMBER(T743),INT(T743),INT(B743)),"")</f>
        <v/>
      </c>
      <c r="BW743" s="80">
        <f>IF(ISNUMBER(B743),IF(DB_MON="Todos",1,IF(AND(INT(B743)&gt;=DB_MS,INT(B743)&lt;=DB_ME),1,0)),0)</f>
        <v>0</v>
      </c>
      <c r="BX743" s="80">
        <f>IF(DB_PROJ="Todos",1,IF(E743&amp;""=DB_PROJ&amp;"",1,0))</f>
        <v>1</v>
      </c>
      <c r="BY743" s="80">
        <f>BW743*BX743</f>
        <v>0</v>
      </c>
      <c r="BZ743" s="80" t="str">
        <f>IF(Y743=1,F743&amp;IF(AND(F743&amp;""&lt;&gt;"",E743&amp;""&lt;&gt;"")," · ","")&amp;E743,"")</f>
        <v/>
      </c>
      <c r="CA743" s="80" t="str">
        <f>IF(AND(BD743=1,E743&amp;""&lt;&gt;""),IF(COUNTIFS($E$5:E742,E743,$BD$5:BD742,1)=0,MAX($CA$5:CA742)+1,""),"")</f>
        <v/>
      </c>
      <c r="CB743" s="80" t="str">
        <f>IF(AND(BE743=1,D743="Malcolm",E743&amp;""&lt;&gt;""),IF(COUNTIFS($D$5:D742,"Malcolm",$E$5:E742,E743,$BE$5:BE742,1)=0,MAX($CB$5:CB742)+1,""),"")</f>
        <v/>
      </c>
      <c r="CC743" s="80" t="str">
        <f>IF(AND(BD743=1,D743="proMX",E743&amp;""&lt;&gt;""),IF(COUNTIFS($D$5:D742,"proMX",$E$5:E742,E743,$BD$5:BD742,1)=0,MAX($CC$5:CC742)+1,""),"")</f>
        <v/>
      </c>
      <c r="CD743" s="80" t="str">
        <f>IF(AND(BE743=1,D743="Malcolm",F743&amp;""&lt;&gt;""),IF(COUNTIFS($D$5:D742,"Malcolm",$F$5:F742,F743,$BE$5:BE742,1)=0,MAX($CD$5:CD742)+1,""),"")</f>
        <v/>
      </c>
      <c r="CE743" s="80" t="str">
        <f>IF(AND(BD743=1,D743="proMX",F743&amp;""&lt;&gt;""),IF(COUNTIFS($D$5:D742,"proMX",$F$5:F742,F743,$BD$5:BD742,1)=0,MAX($CE$5:CE742)+1,""),"")</f>
        <v/>
      </c>
      <c r="CF743" s="80" t="str">
        <f>IF(AND(D743="proMX",BD743=1),IF(OR(BF743="Draft",BF743="Submitted",BF743="Returned",BF743="Recall Requested"),MAX($CF$5:CF742)+1,""),"")</f>
        <v/>
      </c>
      <c r="CG743" s="80">
        <f>IF(BD743=0,0,IF(D743="Malcolm",1,MATCH(BF743,{"Draft","Submitted","Approved","Returned","Recall Requested","Cancelled"},0)+1))</f>
        <v>0</v>
      </c>
      <c r="CH743" s="80">
        <f>IF(AND(BF743="Submitted",ISNUMBER(V743)),IF(V743&gt;CFG_MAXD,1,0),0)</f>
        <v>0</v>
      </c>
    </row>
    <row r="744">
      <c r="A744" s="71" t="str">
        <f>IF(Y744=1,ROW()-5,"")</f>
        <v/>
      </c>
      <c r="B744" s="72" t="n"/>
      <c r="C744" s="71" t="str">
        <f>IF(ISNUMBER(B744),CHOOSE(WEEKDAY(B744,2),"Lun","Mar","Mié","Jue","Vie","Sáb","Dom"),"")</f>
        <v/>
      </c>
      <c r="D744" s="73" t="n"/>
      <c r="E744" s="74" t="n"/>
      <c r="F744" s="74" t="n"/>
      <c r="G744" s="74" t="n"/>
      <c r="H744" s="75" t="n"/>
      <c r="I744" s="75" t="n"/>
      <c r="J744" s="76" t="n"/>
      <c r="K744" s="77" t="str">
        <f>IF(AB744=1,ROUND(AG744/60,4),"")</f>
        <v/>
      </c>
      <c r="L744" s="77" t="str">
        <f>IF(BD744=1,ROUND(AP744/60,4),"")</f>
        <v/>
      </c>
      <c r="M744" s="77" t="str">
        <f>IF(BD744=1,ROUND(AQ744/60,4),"")</f>
        <v/>
      </c>
      <c r="N744" s="71" t="str">
        <f>IF(AND(D744="proMX",AB744=1),ROUND(AG744/CFG_BLK,2),"")</f>
        <v/>
      </c>
      <c r="O744" s="77" t="str">
        <f>IF(D744="proMX",IF(BD744=1,ROUND(AG744/60,4),0),"")</f>
        <v/>
      </c>
      <c r="P744" s="78" t="str">
        <f>IF(Y744=0,"",IF(BD744=1,"OK",IF(D744="proMX","Revisar bloques: ","Revisar: ")&amp;BC744))</f>
        <v/>
      </c>
      <c r="Q744" s="78" t="str">
        <f>IF(NOT(ISNUMBER(B744)),"",IF(COUNTIFS(FER_F,INT(B744))&gt;0,"Feriado"&amp;IF(AH744=1," (laborable)"," (no laborable)"),IF(AH744=1,"Laborable",IF(WEEKDAY(B744,2)&gt;5,"Fin de semana","No laborable"))))</f>
        <v/>
      </c>
      <c r="R744" s="73" t="n"/>
      <c r="S744" s="72" t="n"/>
      <c r="T744" s="72" t="n"/>
      <c r="U744" s="74" t="n"/>
      <c r="V744" s="79" t="str">
        <f>IF(AND(D744="proMX",OR(R744="Submitted",R744="Recall Requested"),ISNUMBER(S744)),CFG_TODAY-INT(S744),"")</f>
        <v/>
      </c>
      <c r="W744" s="78" t="str">
        <f>IF(BD744=0,"",IF(BA744&gt;0,"⚠ Se superpone con un registro de la otra empresa",IF(D744="Malcolm",IF(COUNTA(R744,S744,T744)&gt;0,"Estado/fechas proMX se ignoran en Malcolm",""),IF(BF744="Cancelled","Cancelado: excluido de totales",IF(R744="","Sin estado: se trata como Draft",IF(BF744="Submitted",IF(ISNUMBER(V744),IF(V744&gt;CFG_MAXD,"⚠ "&amp;V744&amp;" días en Submitted (máx. "&amp;CFG_MAXD&amp;")",""),"Falta fecha de envío"),IF(BF744="Returned","⚠ Devuelto: corregir y reenviar",IF(BF744="Recall Requested","Retirada solicitada: pendiente",IF(AND(BF744="Approved",NOT(ISNUMBER(T744))),"Falta fecha de aprobación",IF(AND(ISNUMBER(S744),ISNUMBER(T744),T744&lt;S744),"Aprobación anterior al envío","")))))))))</f>
        <v/>
      </c>
      <c r="Y744" s="80">
        <f>IF(COUNTA(B744,D744,E744,F744,G744,H744,I744,J744,R744,S744,T744)&gt;0,1,0)</f>
        <v>0</v>
      </c>
      <c r="Z744" s="80" t="str">
        <f>IF(AND(ISNUMBER(H744),H744&gt;=0,H744&lt;1),ROUND(H744*1440,0),"")</f>
        <v/>
      </c>
      <c r="AA744" s="80" t="str">
        <f>IF(AND(ISNUMBER(I744),I744&gt;=0,I744&lt;1),ROUND(I744*1440,0),"")</f>
        <v/>
      </c>
      <c r="AB744" s="80">
        <f>IF(AND(ISNUMBER(B744),D744&lt;&gt;"",ISNUMBER(Z744),ISNUMBER(AA744)),IF(Z744=AA744,0,1),0)</f>
        <v>0</v>
      </c>
      <c r="AC744" s="80">
        <f>IF(AB744=1,IF(AA744&lt;Z744,1,0),0)</f>
        <v>0</v>
      </c>
      <c r="AD744" s="80">
        <f>IF(AB744=1,IF(AC744=1,1440-Z744+AA744,AA744-Z744),0)</f>
        <v>0</v>
      </c>
      <c r="AE744" s="80">
        <f>IF(J744="",0,IF(ISNUMBER(J744),J744,-1))</f>
        <v>0</v>
      </c>
      <c r="AF744" s="80">
        <f>MIN(MAX(0,AE744),AD744)</f>
        <v>0</v>
      </c>
      <c r="AG744" s="80">
        <f>MAX(0,AD744-MAX(0,AE744))</f>
        <v>0</v>
      </c>
      <c r="AH744" s="80">
        <f>IF(ISNUMBER(B744),IF(AND(INDEX(CFG_WDAYS,WEEKDAY(INT(B744),2))="Sí",IF(D744="proMX",COUNTIFS(FER_F,INT(B744),FER_NLP,"Sí"),COUNTIFS(FER_F,INT(B744),FER_NLM,"Sí"))=0),1,0),0)</f>
        <v>0</v>
      </c>
      <c r="AI744" s="80">
        <f>IF(AC744=1,IF(AND(INDEX(CFG_WDAYS,WEEKDAY(INT(B744)+1,2))="Sí",IF(D744="proMX",COUNTIFS(FER_F,INT(B744)+1,FER_NLP,"Sí"),COUNTIFS(FER_F,INT(B744)+1,FER_NLM,"Sí"))=0),1,0),0)</f>
        <v>0</v>
      </c>
      <c r="AJ744" s="80">
        <f>IF(AC744=1,1440-Z744,AD744)</f>
        <v>0</v>
      </c>
      <c r="AK744" s="80">
        <f>IF(AND(AB744=1,AH744=1),MAX(0,MIN(IF(AC744=1,1440,AA744),CFG_WEM)-MAX(Z744,CFG_WSM)),0)</f>
        <v>0</v>
      </c>
      <c r="AL744" s="80">
        <f>IF(AND(AC744=1,AI744=1),MAX(0,MIN(AA744,CFG_WEM)-CFG_WSM),0)</f>
        <v>0</v>
      </c>
      <c r="AM744" s="80">
        <f>AK744+AL744</f>
        <v>0</v>
      </c>
      <c r="AN744" s="80">
        <f>IF(CFG_BRK="Proporcional",IF(AD744=0,0,AF744*AM744/AD744),IF(CFG_BRK="Extras primero",MIN(AM744,MAX(0,AF744-(AD744-AM744))),MIN(AF744,AM744)))</f>
        <v>0</v>
      </c>
      <c r="AO744" s="80">
        <f>AF744-AN744</f>
        <v>0</v>
      </c>
      <c r="AP744" s="80">
        <f>AM744-AN744</f>
        <v>0</v>
      </c>
      <c r="AQ744" s="80">
        <f>AD744-AM744-AO744</f>
        <v>0</v>
      </c>
      <c r="AR744" s="80">
        <f>IF(AM744=0,0,AK744-AN744*AK744/AM744)</f>
        <v>0</v>
      </c>
      <c r="AS744" s="80">
        <f>IF(AD744-AM744=0,0,(AJ744-AK744)-AO744*(AJ744-AK744)/(AD744-AM744))</f>
        <v>0</v>
      </c>
      <c r="AT744" s="80" t="str">
        <f>IF(AC744=1,INT(B744)+1,"")</f>
        <v/>
      </c>
      <c r="AU744" s="80">
        <f>IF(AND(D744="proMX",R744="Cancelled"),0,1)</f>
        <v>1</v>
      </c>
      <c r="AV744" s="80">
        <f>IF(AND(AB744=1,AU744=1),IF(COUNTIFS($D$5:D743,D744,$B$5:B743,B744,$Z$5:Z743,Z744,$AA$5:AA743,AA744,$F$5:F743,F744&amp;"",$AU$5:AU743,1)&gt;0,1,0),0)</f>
        <v>0</v>
      </c>
      <c r="AW744" s="80" t="str">
        <f>IF(AB744=1,INT(B744)*1440+Z744,"")</f>
        <v/>
      </c>
      <c r="AX744" s="80" t="str">
        <f>IF(AB744=1,AW744+AD744,"")</f>
        <v/>
      </c>
      <c r="AY744" s="80">
        <f>IF(AND(AB744=1,AV744=0,AU744=1),1,0)</f>
        <v>0</v>
      </c>
      <c r="AZ744" s="80">
        <f>IF(AY744=1,COUNTIFS(R_Emp,D744,R_SAbs,"&lt;"&amp;AX744,R_EAbs,"&gt;"&amp;AW744,R_OKey,1)-1,0)</f>
        <v>0</v>
      </c>
      <c r="BA744" s="80">
        <f>IF(AY744=1,COUNTIFS(R_Emp,"&lt;&gt;"&amp;D744,R_SAbs,"&lt;"&amp;AX744,R_EAbs,"&gt;"&amp;AW744,R_OKey,1),0)</f>
        <v>0</v>
      </c>
      <c r="BB744" s="80">
        <f>IF(AND(AB744=1,D744="proMX"),IF(AND(MOD(Z744,CFG_BLK)=0,MOD(AA744,CFG_BLK)=0,MOD(AG744,CFG_BLK)=0,AG744&gt;0),1,0),1)</f>
        <v>1</v>
      </c>
      <c r="BC744" s="80" t="str">
        <f>IF(Y744=0,"",IF(NOT(ISNUMBER(B744)),"Falta fecha o fecha inválida",IF(D744="","Falta empresa",IF(AND(D744&lt;&gt;"Malcolm",D744&lt;&gt;"proMX"),"Empresa inválida",IF(OR(INT(B744)&lt;CFG_PSTART,INT(B744)&gt;CFG_PEND),"Fecha fuera del período",IF(OR(NOT(ISNUMBER(Z744)),NOT(ISNUMBER(AA744))),"Falta hora inicio/fin o formato inválido",IF(AB744=0,"Hora inicio = hora fin",IF(AE744&lt;0,"Descanso inválido",IF(AE744&gt;=AD744,"Descanso ≥ duración",IF(AV744=1,"Registro duplicado",IF(AZ744&gt;0,"Se superpone con otro registro "&amp;D744,IF(BB744=0,"inicio, fin y duración neta deben ser múltiplos de "&amp;CFG_BLK&amp;" min",""))))))))))))</f>
        <v/>
      </c>
      <c r="BD744" s="80">
        <f>IF(AND(Y744=1,BC744=""),1,0)</f>
        <v>0</v>
      </c>
      <c r="BE744" s="80">
        <f>IF(AND(BD744=1,AU744=1),1,0)</f>
        <v>0</v>
      </c>
      <c r="BF744" s="80" t="str">
        <f>IF(AND(D744="proMX",BD744=1),IF(R744="","Draft",R744),"")</f>
        <v/>
      </c>
      <c r="BG744" s="80">
        <f>IF(BD744=1,ROUND(AG744/60,6),0)</f>
        <v>0</v>
      </c>
      <c r="BH744" s="80">
        <f>IF(BE744=1,ROUND(AG744/60,6),0)</f>
        <v>0</v>
      </c>
      <c r="BI744" s="80">
        <f>IF(BE744=1,ROUND(AP744/60,6),0)</f>
        <v>0</v>
      </c>
      <c r="BJ744" s="80">
        <f>IF(BE744=1,ROUND(AQ744/60,6),0)</f>
        <v>0</v>
      </c>
      <c r="BK744" s="80">
        <f>IF(BE744=1,ROUND((AR744+AS744)/60,6),0)</f>
        <v>0</v>
      </c>
      <c r="BL744" s="80">
        <f>ROUND(BH744-BK744,6)</f>
        <v>0</v>
      </c>
      <c r="BM744" s="80">
        <f>IF(BE744=1,ROUND(AR744/60,6),0)</f>
        <v>0</v>
      </c>
      <c r="BN744" s="80">
        <f>ROUND(BI744-BM744,6)</f>
        <v>0</v>
      </c>
      <c r="BO744" s="80">
        <f>IF(BE744=1,ROUND(AS744/60,6),0)</f>
        <v>0</v>
      </c>
      <c r="BP744" s="80">
        <f>ROUND(BJ744-BO744,6)</f>
        <v>0</v>
      </c>
      <c r="BQ744" s="80">
        <f>IF(BE744=1,AW744,0)</f>
        <v>0</v>
      </c>
      <c r="BR744" s="80">
        <f>IF(BE744=1,AX744,0)</f>
        <v>0</v>
      </c>
      <c r="BS744" s="80">
        <f>IF(AND(BE744=1,D744="Malcolm",BA744&gt;0),MIN(BH744,SUMPRODUCT((R_Emp="proMX")*(R_EN&gt;0)*((R_EN-(R_EN&gt;BR744)*(R_EN-BR744))&gt;(R_SN+(R_SN&lt;BQ744)*(BQ744-R_SN)))*((R_EN-(R_EN&gt;BR744)*(R_EN-BR744))-(R_SN+(R_SN&lt;BQ744)*(BQ744-R_SN))))/60),0)</f>
        <v>0</v>
      </c>
      <c r="BT744" s="80">
        <f>IF(AND(BE744=1,D744="proMX"),ROUND(BI744*CFG_RATE+BJ744*CFG_OTRATE,6),0)</f>
        <v>0</v>
      </c>
      <c r="BU744" s="80">
        <f>IF(AND(BD744=1,D744="proMX"),ROUND(AG744/CFG_BLK,6),0)</f>
        <v>0</v>
      </c>
      <c r="BV744" s="80" t="str">
        <f>IF(BF744="Approved",IF(ISNUMBER(T744),INT(T744),INT(B744)),"")</f>
        <v/>
      </c>
      <c r="BW744" s="80">
        <f>IF(ISNUMBER(B744),IF(DB_MON="Todos",1,IF(AND(INT(B744)&gt;=DB_MS,INT(B744)&lt;=DB_ME),1,0)),0)</f>
        <v>0</v>
      </c>
      <c r="BX744" s="80">
        <f>IF(DB_PROJ="Todos",1,IF(E744&amp;""=DB_PROJ&amp;"",1,0))</f>
        <v>1</v>
      </c>
      <c r="BY744" s="80">
        <f>BW744*BX744</f>
        <v>0</v>
      </c>
      <c r="BZ744" s="80" t="str">
        <f>IF(Y744=1,F744&amp;IF(AND(F744&amp;""&lt;&gt;"",E744&amp;""&lt;&gt;"")," · ","")&amp;E744,"")</f>
        <v/>
      </c>
      <c r="CA744" s="80" t="str">
        <f>IF(AND(BD744=1,E744&amp;""&lt;&gt;""),IF(COUNTIFS($E$5:E743,E744,$BD$5:BD743,1)=0,MAX($CA$5:CA743)+1,""),"")</f>
        <v/>
      </c>
      <c r="CB744" s="80" t="str">
        <f>IF(AND(BE744=1,D744="Malcolm",E744&amp;""&lt;&gt;""),IF(COUNTIFS($D$5:D743,"Malcolm",$E$5:E743,E744,$BE$5:BE743,1)=0,MAX($CB$5:CB743)+1,""),"")</f>
        <v/>
      </c>
      <c r="CC744" s="80" t="str">
        <f>IF(AND(BD744=1,D744="proMX",E744&amp;""&lt;&gt;""),IF(COUNTIFS($D$5:D743,"proMX",$E$5:E743,E744,$BD$5:BD743,1)=0,MAX($CC$5:CC743)+1,""),"")</f>
        <v/>
      </c>
      <c r="CD744" s="80" t="str">
        <f>IF(AND(BE744=1,D744="Malcolm",F744&amp;""&lt;&gt;""),IF(COUNTIFS($D$5:D743,"Malcolm",$F$5:F743,F744,$BE$5:BE743,1)=0,MAX($CD$5:CD743)+1,""),"")</f>
        <v/>
      </c>
      <c r="CE744" s="80" t="str">
        <f>IF(AND(BD744=1,D744="proMX",F744&amp;""&lt;&gt;""),IF(COUNTIFS($D$5:D743,"proMX",$F$5:F743,F744,$BD$5:BD743,1)=0,MAX($CE$5:CE743)+1,""),"")</f>
        <v/>
      </c>
      <c r="CF744" s="80" t="str">
        <f>IF(AND(D744="proMX",BD744=1),IF(OR(BF744="Draft",BF744="Submitted",BF744="Returned",BF744="Recall Requested"),MAX($CF$5:CF743)+1,""),"")</f>
        <v/>
      </c>
      <c r="CG744" s="80">
        <f>IF(BD744=0,0,IF(D744="Malcolm",1,MATCH(BF744,{"Draft","Submitted","Approved","Returned","Recall Requested","Cancelled"},0)+1))</f>
        <v>0</v>
      </c>
      <c r="CH744" s="80">
        <f>IF(AND(BF744="Submitted",ISNUMBER(V744)),IF(V744&gt;CFG_MAXD,1,0),0)</f>
        <v>0</v>
      </c>
    </row>
    <row r="745">
      <c r="A745" s="71" t="str">
        <f>IF(Y745=1,ROW()-5,"")</f>
        <v/>
      </c>
      <c r="B745" s="72" t="n"/>
      <c r="C745" s="71" t="str">
        <f>IF(ISNUMBER(B745),CHOOSE(WEEKDAY(B745,2),"Lun","Mar","Mié","Jue","Vie","Sáb","Dom"),"")</f>
        <v/>
      </c>
      <c r="D745" s="73" t="n"/>
      <c r="E745" s="74" t="n"/>
      <c r="F745" s="74" t="n"/>
      <c r="G745" s="74" t="n"/>
      <c r="H745" s="75" t="n"/>
      <c r="I745" s="75" t="n"/>
      <c r="J745" s="76" t="n"/>
      <c r="K745" s="77" t="str">
        <f>IF(AB745=1,ROUND(AG745/60,4),"")</f>
        <v/>
      </c>
      <c r="L745" s="77" t="str">
        <f>IF(BD745=1,ROUND(AP745/60,4),"")</f>
        <v/>
      </c>
      <c r="M745" s="77" t="str">
        <f>IF(BD745=1,ROUND(AQ745/60,4),"")</f>
        <v/>
      </c>
      <c r="N745" s="71" t="str">
        <f>IF(AND(D745="proMX",AB745=1),ROUND(AG745/CFG_BLK,2),"")</f>
        <v/>
      </c>
      <c r="O745" s="77" t="str">
        <f>IF(D745="proMX",IF(BD745=1,ROUND(AG745/60,4),0),"")</f>
        <v/>
      </c>
      <c r="P745" s="78" t="str">
        <f>IF(Y745=0,"",IF(BD745=1,"OK",IF(D745="proMX","Revisar bloques: ","Revisar: ")&amp;BC745))</f>
        <v/>
      </c>
      <c r="Q745" s="78" t="str">
        <f>IF(NOT(ISNUMBER(B745)),"",IF(COUNTIFS(FER_F,INT(B745))&gt;0,"Feriado"&amp;IF(AH745=1," (laborable)"," (no laborable)"),IF(AH745=1,"Laborable",IF(WEEKDAY(B745,2)&gt;5,"Fin de semana","No laborable"))))</f>
        <v/>
      </c>
      <c r="R745" s="73" t="n"/>
      <c r="S745" s="72" t="n"/>
      <c r="T745" s="72" t="n"/>
      <c r="U745" s="74" t="n"/>
      <c r="V745" s="79" t="str">
        <f>IF(AND(D745="proMX",OR(R745="Submitted",R745="Recall Requested"),ISNUMBER(S745)),CFG_TODAY-INT(S745),"")</f>
        <v/>
      </c>
      <c r="W745" s="78" t="str">
        <f>IF(BD745=0,"",IF(BA745&gt;0,"⚠ Se superpone con un registro de la otra empresa",IF(D745="Malcolm",IF(COUNTA(R745,S745,T745)&gt;0,"Estado/fechas proMX se ignoran en Malcolm",""),IF(BF745="Cancelled","Cancelado: excluido de totales",IF(R745="","Sin estado: se trata como Draft",IF(BF745="Submitted",IF(ISNUMBER(V745),IF(V745&gt;CFG_MAXD,"⚠ "&amp;V745&amp;" días en Submitted (máx. "&amp;CFG_MAXD&amp;")",""),"Falta fecha de envío"),IF(BF745="Returned","⚠ Devuelto: corregir y reenviar",IF(BF745="Recall Requested","Retirada solicitada: pendiente",IF(AND(BF745="Approved",NOT(ISNUMBER(T745))),"Falta fecha de aprobación",IF(AND(ISNUMBER(S745),ISNUMBER(T745),T745&lt;S745),"Aprobación anterior al envío","")))))))))</f>
        <v/>
      </c>
      <c r="Y745" s="80">
        <f>IF(COUNTA(B745,D745,E745,F745,G745,H745,I745,J745,R745,S745,T745)&gt;0,1,0)</f>
        <v>0</v>
      </c>
      <c r="Z745" s="80" t="str">
        <f>IF(AND(ISNUMBER(H745),H745&gt;=0,H745&lt;1),ROUND(H745*1440,0),"")</f>
        <v/>
      </c>
      <c r="AA745" s="80" t="str">
        <f>IF(AND(ISNUMBER(I745),I745&gt;=0,I745&lt;1),ROUND(I745*1440,0),"")</f>
        <v/>
      </c>
      <c r="AB745" s="80">
        <f>IF(AND(ISNUMBER(B745),D745&lt;&gt;"",ISNUMBER(Z745),ISNUMBER(AA745)),IF(Z745=AA745,0,1),0)</f>
        <v>0</v>
      </c>
      <c r="AC745" s="80">
        <f>IF(AB745=1,IF(AA745&lt;Z745,1,0),0)</f>
        <v>0</v>
      </c>
      <c r="AD745" s="80">
        <f>IF(AB745=1,IF(AC745=1,1440-Z745+AA745,AA745-Z745),0)</f>
        <v>0</v>
      </c>
      <c r="AE745" s="80">
        <f>IF(J745="",0,IF(ISNUMBER(J745),J745,-1))</f>
        <v>0</v>
      </c>
      <c r="AF745" s="80">
        <f>MIN(MAX(0,AE745),AD745)</f>
        <v>0</v>
      </c>
      <c r="AG745" s="80">
        <f>MAX(0,AD745-MAX(0,AE745))</f>
        <v>0</v>
      </c>
      <c r="AH745" s="80">
        <f>IF(ISNUMBER(B745),IF(AND(INDEX(CFG_WDAYS,WEEKDAY(INT(B745),2))="Sí",IF(D745="proMX",COUNTIFS(FER_F,INT(B745),FER_NLP,"Sí"),COUNTIFS(FER_F,INT(B745),FER_NLM,"Sí"))=0),1,0),0)</f>
        <v>0</v>
      </c>
      <c r="AI745" s="80">
        <f>IF(AC745=1,IF(AND(INDEX(CFG_WDAYS,WEEKDAY(INT(B745)+1,2))="Sí",IF(D745="proMX",COUNTIFS(FER_F,INT(B745)+1,FER_NLP,"Sí"),COUNTIFS(FER_F,INT(B745)+1,FER_NLM,"Sí"))=0),1,0),0)</f>
        <v>0</v>
      </c>
      <c r="AJ745" s="80">
        <f>IF(AC745=1,1440-Z745,AD745)</f>
        <v>0</v>
      </c>
      <c r="AK745" s="80">
        <f>IF(AND(AB745=1,AH745=1),MAX(0,MIN(IF(AC745=1,1440,AA745),CFG_WEM)-MAX(Z745,CFG_WSM)),0)</f>
        <v>0</v>
      </c>
      <c r="AL745" s="80">
        <f>IF(AND(AC745=1,AI745=1),MAX(0,MIN(AA745,CFG_WEM)-CFG_WSM),0)</f>
        <v>0</v>
      </c>
      <c r="AM745" s="80">
        <f>AK745+AL745</f>
        <v>0</v>
      </c>
      <c r="AN745" s="80">
        <f>IF(CFG_BRK="Proporcional",IF(AD745=0,0,AF745*AM745/AD745),IF(CFG_BRK="Extras primero",MIN(AM745,MAX(0,AF745-(AD745-AM745))),MIN(AF745,AM745)))</f>
        <v>0</v>
      </c>
      <c r="AO745" s="80">
        <f>AF745-AN745</f>
        <v>0</v>
      </c>
      <c r="AP745" s="80">
        <f>AM745-AN745</f>
        <v>0</v>
      </c>
      <c r="AQ745" s="80">
        <f>AD745-AM745-AO745</f>
        <v>0</v>
      </c>
      <c r="AR745" s="80">
        <f>IF(AM745=0,0,AK745-AN745*AK745/AM745)</f>
        <v>0</v>
      </c>
      <c r="AS745" s="80">
        <f>IF(AD745-AM745=0,0,(AJ745-AK745)-AO745*(AJ745-AK745)/(AD745-AM745))</f>
        <v>0</v>
      </c>
      <c r="AT745" s="80" t="str">
        <f>IF(AC745=1,INT(B745)+1,"")</f>
        <v/>
      </c>
      <c r="AU745" s="80">
        <f>IF(AND(D745="proMX",R745="Cancelled"),0,1)</f>
        <v>1</v>
      </c>
      <c r="AV745" s="80">
        <f>IF(AND(AB745=1,AU745=1),IF(COUNTIFS($D$5:D744,D745,$B$5:B744,B745,$Z$5:Z744,Z745,$AA$5:AA744,AA745,$F$5:F744,F745&amp;"",$AU$5:AU744,1)&gt;0,1,0),0)</f>
        <v>0</v>
      </c>
      <c r="AW745" s="80" t="str">
        <f>IF(AB745=1,INT(B745)*1440+Z745,"")</f>
        <v/>
      </c>
      <c r="AX745" s="80" t="str">
        <f>IF(AB745=1,AW745+AD745,"")</f>
        <v/>
      </c>
      <c r="AY745" s="80">
        <f>IF(AND(AB745=1,AV745=0,AU745=1),1,0)</f>
        <v>0</v>
      </c>
      <c r="AZ745" s="80">
        <f>IF(AY745=1,COUNTIFS(R_Emp,D745,R_SAbs,"&lt;"&amp;AX745,R_EAbs,"&gt;"&amp;AW745,R_OKey,1)-1,0)</f>
        <v>0</v>
      </c>
      <c r="BA745" s="80">
        <f>IF(AY745=1,COUNTIFS(R_Emp,"&lt;&gt;"&amp;D745,R_SAbs,"&lt;"&amp;AX745,R_EAbs,"&gt;"&amp;AW745,R_OKey,1),0)</f>
        <v>0</v>
      </c>
      <c r="BB745" s="80">
        <f>IF(AND(AB745=1,D745="proMX"),IF(AND(MOD(Z745,CFG_BLK)=0,MOD(AA745,CFG_BLK)=0,MOD(AG745,CFG_BLK)=0,AG745&gt;0),1,0),1)</f>
        <v>1</v>
      </c>
      <c r="BC745" s="80" t="str">
        <f>IF(Y745=0,"",IF(NOT(ISNUMBER(B745)),"Falta fecha o fecha inválida",IF(D745="","Falta empresa",IF(AND(D745&lt;&gt;"Malcolm",D745&lt;&gt;"proMX"),"Empresa inválida",IF(OR(INT(B745)&lt;CFG_PSTART,INT(B745)&gt;CFG_PEND),"Fecha fuera del período",IF(OR(NOT(ISNUMBER(Z745)),NOT(ISNUMBER(AA745))),"Falta hora inicio/fin o formato inválido",IF(AB745=0,"Hora inicio = hora fin",IF(AE745&lt;0,"Descanso inválido",IF(AE745&gt;=AD745,"Descanso ≥ duración",IF(AV745=1,"Registro duplicado",IF(AZ745&gt;0,"Se superpone con otro registro "&amp;D745,IF(BB745=0,"inicio, fin y duración neta deben ser múltiplos de "&amp;CFG_BLK&amp;" min",""))))))))))))</f>
        <v/>
      </c>
      <c r="BD745" s="80">
        <f>IF(AND(Y745=1,BC745=""),1,0)</f>
        <v>0</v>
      </c>
      <c r="BE745" s="80">
        <f>IF(AND(BD745=1,AU745=1),1,0)</f>
        <v>0</v>
      </c>
      <c r="BF745" s="80" t="str">
        <f>IF(AND(D745="proMX",BD745=1),IF(R745="","Draft",R745),"")</f>
        <v/>
      </c>
      <c r="BG745" s="80">
        <f>IF(BD745=1,ROUND(AG745/60,6),0)</f>
        <v>0</v>
      </c>
      <c r="BH745" s="80">
        <f>IF(BE745=1,ROUND(AG745/60,6),0)</f>
        <v>0</v>
      </c>
      <c r="BI745" s="80">
        <f>IF(BE745=1,ROUND(AP745/60,6),0)</f>
        <v>0</v>
      </c>
      <c r="BJ745" s="80">
        <f>IF(BE745=1,ROUND(AQ745/60,6),0)</f>
        <v>0</v>
      </c>
      <c r="BK745" s="80">
        <f>IF(BE745=1,ROUND((AR745+AS745)/60,6),0)</f>
        <v>0</v>
      </c>
      <c r="BL745" s="80">
        <f>ROUND(BH745-BK745,6)</f>
        <v>0</v>
      </c>
      <c r="BM745" s="80">
        <f>IF(BE745=1,ROUND(AR745/60,6),0)</f>
        <v>0</v>
      </c>
      <c r="BN745" s="80">
        <f>ROUND(BI745-BM745,6)</f>
        <v>0</v>
      </c>
      <c r="BO745" s="80">
        <f>IF(BE745=1,ROUND(AS745/60,6),0)</f>
        <v>0</v>
      </c>
      <c r="BP745" s="80">
        <f>ROUND(BJ745-BO745,6)</f>
        <v>0</v>
      </c>
      <c r="BQ745" s="80">
        <f>IF(BE745=1,AW745,0)</f>
        <v>0</v>
      </c>
      <c r="BR745" s="80">
        <f>IF(BE745=1,AX745,0)</f>
        <v>0</v>
      </c>
      <c r="BS745" s="80">
        <f>IF(AND(BE745=1,D745="Malcolm",BA745&gt;0),MIN(BH745,SUMPRODUCT((R_Emp="proMX")*(R_EN&gt;0)*((R_EN-(R_EN&gt;BR745)*(R_EN-BR745))&gt;(R_SN+(R_SN&lt;BQ745)*(BQ745-R_SN)))*((R_EN-(R_EN&gt;BR745)*(R_EN-BR745))-(R_SN+(R_SN&lt;BQ745)*(BQ745-R_SN))))/60),0)</f>
        <v>0</v>
      </c>
      <c r="BT745" s="80">
        <f>IF(AND(BE745=1,D745="proMX"),ROUND(BI745*CFG_RATE+BJ745*CFG_OTRATE,6),0)</f>
        <v>0</v>
      </c>
      <c r="BU745" s="80">
        <f>IF(AND(BD745=1,D745="proMX"),ROUND(AG745/CFG_BLK,6),0)</f>
        <v>0</v>
      </c>
      <c r="BV745" s="80" t="str">
        <f>IF(BF745="Approved",IF(ISNUMBER(T745),INT(T745),INT(B745)),"")</f>
        <v/>
      </c>
      <c r="BW745" s="80">
        <f>IF(ISNUMBER(B745),IF(DB_MON="Todos",1,IF(AND(INT(B745)&gt;=DB_MS,INT(B745)&lt;=DB_ME),1,0)),0)</f>
        <v>0</v>
      </c>
      <c r="BX745" s="80">
        <f>IF(DB_PROJ="Todos",1,IF(E745&amp;""=DB_PROJ&amp;"",1,0))</f>
        <v>1</v>
      </c>
      <c r="BY745" s="80">
        <f>BW745*BX745</f>
        <v>0</v>
      </c>
      <c r="BZ745" s="80" t="str">
        <f>IF(Y745=1,F745&amp;IF(AND(F745&amp;""&lt;&gt;"",E745&amp;""&lt;&gt;"")," · ","")&amp;E745,"")</f>
        <v/>
      </c>
      <c r="CA745" s="80" t="str">
        <f>IF(AND(BD745=1,E745&amp;""&lt;&gt;""),IF(COUNTIFS($E$5:E744,E745,$BD$5:BD744,1)=0,MAX($CA$5:CA744)+1,""),"")</f>
        <v/>
      </c>
      <c r="CB745" s="80" t="str">
        <f>IF(AND(BE745=1,D745="Malcolm",E745&amp;""&lt;&gt;""),IF(COUNTIFS($D$5:D744,"Malcolm",$E$5:E744,E745,$BE$5:BE744,1)=0,MAX($CB$5:CB744)+1,""),"")</f>
        <v/>
      </c>
      <c r="CC745" s="80" t="str">
        <f>IF(AND(BD745=1,D745="proMX",E745&amp;""&lt;&gt;""),IF(COUNTIFS($D$5:D744,"proMX",$E$5:E744,E745,$BD$5:BD744,1)=0,MAX($CC$5:CC744)+1,""),"")</f>
        <v/>
      </c>
      <c r="CD745" s="80" t="str">
        <f>IF(AND(BE745=1,D745="Malcolm",F745&amp;""&lt;&gt;""),IF(COUNTIFS($D$5:D744,"Malcolm",$F$5:F744,F745,$BE$5:BE744,1)=0,MAX($CD$5:CD744)+1,""),"")</f>
        <v/>
      </c>
      <c r="CE745" s="80" t="str">
        <f>IF(AND(BD745=1,D745="proMX",F745&amp;""&lt;&gt;""),IF(COUNTIFS($D$5:D744,"proMX",$F$5:F744,F745,$BD$5:BD744,1)=0,MAX($CE$5:CE744)+1,""),"")</f>
        <v/>
      </c>
      <c r="CF745" s="80" t="str">
        <f>IF(AND(D745="proMX",BD745=1),IF(OR(BF745="Draft",BF745="Submitted",BF745="Returned",BF745="Recall Requested"),MAX($CF$5:CF744)+1,""),"")</f>
        <v/>
      </c>
      <c r="CG745" s="80">
        <f>IF(BD745=0,0,IF(D745="Malcolm",1,MATCH(BF745,{"Draft","Submitted","Approved","Returned","Recall Requested","Cancelled"},0)+1))</f>
        <v>0</v>
      </c>
      <c r="CH745" s="80">
        <f>IF(AND(BF745="Submitted",ISNUMBER(V745)),IF(V745&gt;CFG_MAXD,1,0),0)</f>
        <v>0</v>
      </c>
    </row>
    <row r="746">
      <c r="A746" s="71" t="str">
        <f>IF(Y746=1,ROW()-5,"")</f>
        <v/>
      </c>
      <c r="B746" s="72" t="n"/>
      <c r="C746" s="71" t="str">
        <f>IF(ISNUMBER(B746),CHOOSE(WEEKDAY(B746,2),"Lun","Mar","Mié","Jue","Vie","Sáb","Dom"),"")</f>
        <v/>
      </c>
      <c r="D746" s="73" t="n"/>
      <c r="E746" s="74" t="n"/>
      <c r="F746" s="74" t="n"/>
      <c r="G746" s="74" t="n"/>
      <c r="H746" s="75" t="n"/>
      <c r="I746" s="75" t="n"/>
      <c r="J746" s="76" t="n"/>
      <c r="K746" s="77" t="str">
        <f>IF(AB746=1,ROUND(AG746/60,4),"")</f>
        <v/>
      </c>
      <c r="L746" s="77" t="str">
        <f>IF(BD746=1,ROUND(AP746/60,4),"")</f>
        <v/>
      </c>
      <c r="M746" s="77" t="str">
        <f>IF(BD746=1,ROUND(AQ746/60,4),"")</f>
        <v/>
      </c>
      <c r="N746" s="71" t="str">
        <f>IF(AND(D746="proMX",AB746=1),ROUND(AG746/CFG_BLK,2),"")</f>
        <v/>
      </c>
      <c r="O746" s="77" t="str">
        <f>IF(D746="proMX",IF(BD746=1,ROUND(AG746/60,4),0),"")</f>
        <v/>
      </c>
      <c r="P746" s="78" t="str">
        <f>IF(Y746=0,"",IF(BD746=1,"OK",IF(D746="proMX","Revisar bloques: ","Revisar: ")&amp;BC746))</f>
        <v/>
      </c>
      <c r="Q746" s="78" t="str">
        <f>IF(NOT(ISNUMBER(B746)),"",IF(COUNTIFS(FER_F,INT(B746))&gt;0,"Feriado"&amp;IF(AH746=1," (laborable)"," (no laborable)"),IF(AH746=1,"Laborable",IF(WEEKDAY(B746,2)&gt;5,"Fin de semana","No laborable"))))</f>
        <v/>
      </c>
      <c r="R746" s="73" t="n"/>
      <c r="S746" s="72" t="n"/>
      <c r="T746" s="72" t="n"/>
      <c r="U746" s="74" t="n"/>
      <c r="V746" s="79" t="str">
        <f>IF(AND(D746="proMX",OR(R746="Submitted",R746="Recall Requested"),ISNUMBER(S746)),CFG_TODAY-INT(S746),"")</f>
        <v/>
      </c>
      <c r="W746" s="78" t="str">
        <f>IF(BD746=0,"",IF(BA746&gt;0,"⚠ Se superpone con un registro de la otra empresa",IF(D746="Malcolm",IF(COUNTA(R746,S746,T746)&gt;0,"Estado/fechas proMX se ignoran en Malcolm",""),IF(BF746="Cancelled","Cancelado: excluido de totales",IF(R746="","Sin estado: se trata como Draft",IF(BF746="Submitted",IF(ISNUMBER(V746),IF(V746&gt;CFG_MAXD,"⚠ "&amp;V746&amp;" días en Submitted (máx. "&amp;CFG_MAXD&amp;")",""),"Falta fecha de envío"),IF(BF746="Returned","⚠ Devuelto: corregir y reenviar",IF(BF746="Recall Requested","Retirada solicitada: pendiente",IF(AND(BF746="Approved",NOT(ISNUMBER(T746))),"Falta fecha de aprobación",IF(AND(ISNUMBER(S746),ISNUMBER(T746),T746&lt;S746),"Aprobación anterior al envío","")))))))))</f>
        <v/>
      </c>
      <c r="Y746" s="80">
        <f>IF(COUNTA(B746,D746,E746,F746,G746,H746,I746,J746,R746,S746,T746)&gt;0,1,0)</f>
        <v>0</v>
      </c>
      <c r="Z746" s="80" t="str">
        <f>IF(AND(ISNUMBER(H746),H746&gt;=0,H746&lt;1),ROUND(H746*1440,0),"")</f>
        <v/>
      </c>
      <c r="AA746" s="80" t="str">
        <f>IF(AND(ISNUMBER(I746),I746&gt;=0,I746&lt;1),ROUND(I746*1440,0),"")</f>
        <v/>
      </c>
      <c r="AB746" s="80">
        <f>IF(AND(ISNUMBER(B746),D746&lt;&gt;"",ISNUMBER(Z746),ISNUMBER(AA746)),IF(Z746=AA746,0,1),0)</f>
        <v>0</v>
      </c>
      <c r="AC746" s="80">
        <f>IF(AB746=1,IF(AA746&lt;Z746,1,0),0)</f>
        <v>0</v>
      </c>
      <c r="AD746" s="80">
        <f>IF(AB746=1,IF(AC746=1,1440-Z746+AA746,AA746-Z746),0)</f>
        <v>0</v>
      </c>
      <c r="AE746" s="80">
        <f>IF(J746="",0,IF(ISNUMBER(J746),J746,-1))</f>
        <v>0</v>
      </c>
      <c r="AF746" s="80">
        <f>MIN(MAX(0,AE746),AD746)</f>
        <v>0</v>
      </c>
      <c r="AG746" s="80">
        <f>MAX(0,AD746-MAX(0,AE746))</f>
        <v>0</v>
      </c>
      <c r="AH746" s="80">
        <f>IF(ISNUMBER(B746),IF(AND(INDEX(CFG_WDAYS,WEEKDAY(INT(B746),2))="Sí",IF(D746="proMX",COUNTIFS(FER_F,INT(B746),FER_NLP,"Sí"),COUNTIFS(FER_F,INT(B746),FER_NLM,"Sí"))=0),1,0),0)</f>
        <v>0</v>
      </c>
      <c r="AI746" s="80">
        <f>IF(AC746=1,IF(AND(INDEX(CFG_WDAYS,WEEKDAY(INT(B746)+1,2))="Sí",IF(D746="proMX",COUNTIFS(FER_F,INT(B746)+1,FER_NLP,"Sí"),COUNTIFS(FER_F,INT(B746)+1,FER_NLM,"Sí"))=0),1,0),0)</f>
        <v>0</v>
      </c>
      <c r="AJ746" s="80">
        <f>IF(AC746=1,1440-Z746,AD746)</f>
        <v>0</v>
      </c>
      <c r="AK746" s="80">
        <f>IF(AND(AB746=1,AH746=1),MAX(0,MIN(IF(AC746=1,1440,AA746),CFG_WEM)-MAX(Z746,CFG_WSM)),0)</f>
        <v>0</v>
      </c>
      <c r="AL746" s="80">
        <f>IF(AND(AC746=1,AI746=1),MAX(0,MIN(AA746,CFG_WEM)-CFG_WSM),0)</f>
        <v>0</v>
      </c>
      <c r="AM746" s="80">
        <f>AK746+AL746</f>
        <v>0</v>
      </c>
      <c r="AN746" s="80">
        <f>IF(CFG_BRK="Proporcional",IF(AD746=0,0,AF746*AM746/AD746),IF(CFG_BRK="Extras primero",MIN(AM746,MAX(0,AF746-(AD746-AM746))),MIN(AF746,AM746)))</f>
        <v>0</v>
      </c>
      <c r="AO746" s="80">
        <f>AF746-AN746</f>
        <v>0</v>
      </c>
      <c r="AP746" s="80">
        <f>AM746-AN746</f>
        <v>0</v>
      </c>
      <c r="AQ746" s="80">
        <f>AD746-AM746-AO746</f>
        <v>0</v>
      </c>
      <c r="AR746" s="80">
        <f>IF(AM746=0,0,AK746-AN746*AK746/AM746)</f>
        <v>0</v>
      </c>
      <c r="AS746" s="80">
        <f>IF(AD746-AM746=0,0,(AJ746-AK746)-AO746*(AJ746-AK746)/(AD746-AM746))</f>
        <v>0</v>
      </c>
      <c r="AT746" s="80" t="str">
        <f>IF(AC746=1,INT(B746)+1,"")</f>
        <v/>
      </c>
      <c r="AU746" s="80">
        <f>IF(AND(D746="proMX",R746="Cancelled"),0,1)</f>
        <v>1</v>
      </c>
      <c r="AV746" s="80">
        <f>IF(AND(AB746=1,AU746=1),IF(COUNTIFS($D$5:D745,D746,$B$5:B745,B746,$Z$5:Z745,Z746,$AA$5:AA745,AA746,$F$5:F745,F746&amp;"",$AU$5:AU745,1)&gt;0,1,0),0)</f>
        <v>0</v>
      </c>
      <c r="AW746" s="80" t="str">
        <f>IF(AB746=1,INT(B746)*1440+Z746,"")</f>
        <v/>
      </c>
      <c r="AX746" s="80" t="str">
        <f>IF(AB746=1,AW746+AD746,"")</f>
        <v/>
      </c>
      <c r="AY746" s="80">
        <f>IF(AND(AB746=1,AV746=0,AU746=1),1,0)</f>
        <v>0</v>
      </c>
      <c r="AZ746" s="80">
        <f>IF(AY746=1,COUNTIFS(R_Emp,D746,R_SAbs,"&lt;"&amp;AX746,R_EAbs,"&gt;"&amp;AW746,R_OKey,1)-1,0)</f>
        <v>0</v>
      </c>
      <c r="BA746" s="80">
        <f>IF(AY746=1,COUNTIFS(R_Emp,"&lt;&gt;"&amp;D746,R_SAbs,"&lt;"&amp;AX746,R_EAbs,"&gt;"&amp;AW746,R_OKey,1),0)</f>
        <v>0</v>
      </c>
      <c r="BB746" s="80">
        <f>IF(AND(AB746=1,D746="proMX"),IF(AND(MOD(Z746,CFG_BLK)=0,MOD(AA746,CFG_BLK)=0,MOD(AG746,CFG_BLK)=0,AG746&gt;0),1,0),1)</f>
        <v>1</v>
      </c>
      <c r="BC746" s="80" t="str">
        <f>IF(Y746=0,"",IF(NOT(ISNUMBER(B746)),"Falta fecha o fecha inválida",IF(D746="","Falta empresa",IF(AND(D746&lt;&gt;"Malcolm",D746&lt;&gt;"proMX"),"Empresa inválida",IF(OR(INT(B746)&lt;CFG_PSTART,INT(B746)&gt;CFG_PEND),"Fecha fuera del período",IF(OR(NOT(ISNUMBER(Z746)),NOT(ISNUMBER(AA746))),"Falta hora inicio/fin o formato inválido",IF(AB746=0,"Hora inicio = hora fin",IF(AE746&lt;0,"Descanso inválido",IF(AE746&gt;=AD746,"Descanso ≥ duración",IF(AV746=1,"Registro duplicado",IF(AZ746&gt;0,"Se superpone con otro registro "&amp;D746,IF(BB746=0,"inicio, fin y duración neta deben ser múltiplos de "&amp;CFG_BLK&amp;" min",""))))))))))))</f>
        <v/>
      </c>
      <c r="BD746" s="80">
        <f>IF(AND(Y746=1,BC746=""),1,0)</f>
        <v>0</v>
      </c>
      <c r="BE746" s="80">
        <f>IF(AND(BD746=1,AU746=1),1,0)</f>
        <v>0</v>
      </c>
      <c r="BF746" s="80" t="str">
        <f>IF(AND(D746="proMX",BD746=1),IF(R746="","Draft",R746),"")</f>
        <v/>
      </c>
      <c r="BG746" s="80">
        <f>IF(BD746=1,ROUND(AG746/60,6),0)</f>
        <v>0</v>
      </c>
      <c r="BH746" s="80">
        <f>IF(BE746=1,ROUND(AG746/60,6),0)</f>
        <v>0</v>
      </c>
      <c r="BI746" s="80">
        <f>IF(BE746=1,ROUND(AP746/60,6),0)</f>
        <v>0</v>
      </c>
      <c r="BJ746" s="80">
        <f>IF(BE746=1,ROUND(AQ746/60,6),0)</f>
        <v>0</v>
      </c>
      <c r="BK746" s="80">
        <f>IF(BE746=1,ROUND((AR746+AS746)/60,6),0)</f>
        <v>0</v>
      </c>
      <c r="BL746" s="80">
        <f>ROUND(BH746-BK746,6)</f>
        <v>0</v>
      </c>
      <c r="BM746" s="80">
        <f>IF(BE746=1,ROUND(AR746/60,6),0)</f>
        <v>0</v>
      </c>
      <c r="BN746" s="80">
        <f>ROUND(BI746-BM746,6)</f>
        <v>0</v>
      </c>
      <c r="BO746" s="80">
        <f>IF(BE746=1,ROUND(AS746/60,6),0)</f>
        <v>0</v>
      </c>
      <c r="BP746" s="80">
        <f>ROUND(BJ746-BO746,6)</f>
        <v>0</v>
      </c>
      <c r="BQ746" s="80">
        <f>IF(BE746=1,AW746,0)</f>
        <v>0</v>
      </c>
      <c r="BR746" s="80">
        <f>IF(BE746=1,AX746,0)</f>
        <v>0</v>
      </c>
      <c r="BS746" s="80">
        <f>IF(AND(BE746=1,D746="Malcolm",BA746&gt;0),MIN(BH746,SUMPRODUCT((R_Emp="proMX")*(R_EN&gt;0)*((R_EN-(R_EN&gt;BR746)*(R_EN-BR746))&gt;(R_SN+(R_SN&lt;BQ746)*(BQ746-R_SN)))*((R_EN-(R_EN&gt;BR746)*(R_EN-BR746))-(R_SN+(R_SN&lt;BQ746)*(BQ746-R_SN))))/60),0)</f>
        <v>0</v>
      </c>
      <c r="BT746" s="80">
        <f>IF(AND(BE746=1,D746="proMX"),ROUND(BI746*CFG_RATE+BJ746*CFG_OTRATE,6),0)</f>
        <v>0</v>
      </c>
      <c r="BU746" s="80">
        <f>IF(AND(BD746=1,D746="proMX"),ROUND(AG746/CFG_BLK,6),0)</f>
        <v>0</v>
      </c>
      <c r="BV746" s="80" t="str">
        <f>IF(BF746="Approved",IF(ISNUMBER(T746),INT(T746),INT(B746)),"")</f>
        <v/>
      </c>
      <c r="BW746" s="80">
        <f>IF(ISNUMBER(B746),IF(DB_MON="Todos",1,IF(AND(INT(B746)&gt;=DB_MS,INT(B746)&lt;=DB_ME),1,0)),0)</f>
        <v>0</v>
      </c>
      <c r="BX746" s="80">
        <f>IF(DB_PROJ="Todos",1,IF(E746&amp;""=DB_PROJ&amp;"",1,0))</f>
        <v>1</v>
      </c>
      <c r="BY746" s="80">
        <f>BW746*BX746</f>
        <v>0</v>
      </c>
      <c r="BZ746" s="80" t="str">
        <f>IF(Y746=1,F746&amp;IF(AND(F746&amp;""&lt;&gt;"",E746&amp;""&lt;&gt;"")," · ","")&amp;E746,"")</f>
        <v/>
      </c>
      <c r="CA746" s="80" t="str">
        <f>IF(AND(BD746=1,E746&amp;""&lt;&gt;""),IF(COUNTIFS($E$5:E745,E746,$BD$5:BD745,1)=0,MAX($CA$5:CA745)+1,""),"")</f>
        <v/>
      </c>
      <c r="CB746" s="80" t="str">
        <f>IF(AND(BE746=1,D746="Malcolm",E746&amp;""&lt;&gt;""),IF(COUNTIFS($D$5:D745,"Malcolm",$E$5:E745,E746,$BE$5:BE745,1)=0,MAX($CB$5:CB745)+1,""),"")</f>
        <v/>
      </c>
      <c r="CC746" s="80" t="str">
        <f>IF(AND(BD746=1,D746="proMX",E746&amp;""&lt;&gt;""),IF(COUNTIFS($D$5:D745,"proMX",$E$5:E745,E746,$BD$5:BD745,1)=0,MAX($CC$5:CC745)+1,""),"")</f>
        <v/>
      </c>
      <c r="CD746" s="80" t="str">
        <f>IF(AND(BE746=1,D746="Malcolm",F746&amp;""&lt;&gt;""),IF(COUNTIFS($D$5:D745,"Malcolm",$F$5:F745,F746,$BE$5:BE745,1)=0,MAX($CD$5:CD745)+1,""),"")</f>
        <v/>
      </c>
      <c r="CE746" s="80" t="str">
        <f>IF(AND(BD746=1,D746="proMX",F746&amp;""&lt;&gt;""),IF(COUNTIFS($D$5:D745,"proMX",$F$5:F745,F746,$BD$5:BD745,1)=0,MAX($CE$5:CE745)+1,""),"")</f>
        <v/>
      </c>
      <c r="CF746" s="80" t="str">
        <f>IF(AND(D746="proMX",BD746=1),IF(OR(BF746="Draft",BF746="Submitted",BF746="Returned",BF746="Recall Requested"),MAX($CF$5:CF745)+1,""),"")</f>
        <v/>
      </c>
      <c r="CG746" s="80">
        <f>IF(BD746=0,0,IF(D746="Malcolm",1,MATCH(BF746,{"Draft","Submitted","Approved","Returned","Recall Requested","Cancelled"},0)+1))</f>
        <v>0</v>
      </c>
      <c r="CH746" s="80">
        <f>IF(AND(BF746="Submitted",ISNUMBER(V746)),IF(V746&gt;CFG_MAXD,1,0),0)</f>
        <v>0</v>
      </c>
    </row>
    <row r="747">
      <c r="A747" s="71" t="str">
        <f>IF(Y747=1,ROW()-5,"")</f>
        <v/>
      </c>
      <c r="B747" s="72" t="n"/>
      <c r="C747" s="71" t="str">
        <f>IF(ISNUMBER(B747),CHOOSE(WEEKDAY(B747,2),"Lun","Mar","Mié","Jue","Vie","Sáb","Dom"),"")</f>
        <v/>
      </c>
      <c r="D747" s="73" t="n"/>
      <c r="E747" s="74" t="n"/>
      <c r="F747" s="74" t="n"/>
      <c r="G747" s="74" t="n"/>
      <c r="H747" s="75" t="n"/>
      <c r="I747" s="75" t="n"/>
      <c r="J747" s="76" t="n"/>
      <c r="K747" s="77" t="str">
        <f>IF(AB747=1,ROUND(AG747/60,4),"")</f>
        <v/>
      </c>
      <c r="L747" s="77" t="str">
        <f>IF(BD747=1,ROUND(AP747/60,4),"")</f>
        <v/>
      </c>
      <c r="M747" s="77" t="str">
        <f>IF(BD747=1,ROUND(AQ747/60,4),"")</f>
        <v/>
      </c>
      <c r="N747" s="71" t="str">
        <f>IF(AND(D747="proMX",AB747=1),ROUND(AG747/CFG_BLK,2),"")</f>
        <v/>
      </c>
      <c r="O747" s="77" t="str">
        <f>IF(D747="proMX",IF(BD747=1,ROUND(AG747/60,4),0),"")</f>
        <v/>
      </c>
      <c r="P747" s="78" t="str">
        <f>IF(Y747=0,"",IF(BD747=1,"OK",IF(D747="proMX","Revisar bloques: ","Revisar: ")&amp;BC747))</f>
        <v/>
      </c>
      <c r="Q747" s="78" t="str">
        <f>IF(NOT(ISNUMBER(B747)),"",IF(COUNTIFS(FER_F,INT(B747))&gt;0,"Feriado"&amp;IF(AH747=1," (laborable)"," (no laborable)"),IF(AH747=1,"Laborable",IF(WEEKDAY(B747,2)&gt;5,"Fin de semana","No laborable"))))</f>
        <v/>
      </c>
      <c r="R747" s="73" t="n"/>
      <c r="S747" s="72" t="n"/>
      <c r="T747" s="72" t="n"/>
      <c r="U747" s="74" t="n"/>
      <c r="V747" s="79" t="str">
        <f>IF(AND(D747="proMX",OR(R747="Submitted",R747="Recall Requested"),ISNUMBER(S747)),CFG_TODAY-INT(S747),"")</f>
        <v/>
      </c>
      <c r="W747" s="78" t="str">
        <f>IF(BD747=0,"",IF(BA747&gt;0,"⚠ Se superpone con un registro de la otra empresa",IF(D747="Malcolm",IF(COUNTA(R747,S747,T747)&gt;0,"Estado/fechas proMX se ignoran en Malcolm",""),IF(BF747="Cancelled","Cancelado: excluido de totales",IF(R747="","Sin estado: se trata como Draft",IF(BF747="Submitted",IF(ISNUMBER(V747),IF(V747&gt;CFG_MAXD,"⚠ "&amp;V747&amp;" días en Submitted (máx. "&amp;CFG_MAXD&amp;")",""),"Falta fecha de envío"),IF(BF747="Returned","⚠ Devuelto: corregir y reenviar",IF(BF747="Recall Requested","Retirada solicitada: pendiente",IF(AND(BF747="Approved",NOT(ISNUMBER(T747))),"Falta fecha de aprobación",IF(AND(ISNUMBER(S747),ISNUMBER(T747),T747&lt;S747),"Aprobación anterior al envío","")))))))))</f>
        <v/>
      </c>
      <c r="Y747" s="80">
        <f>IF(COUNTA(B747,D747,E747,F747,G747,H747,I747,J747,R747,S747,T747)&gt;0,1,0)</f>
        <v>0</v>
      </c>
      <c r="Z747" s="80" t="str">
        <f>IF(AND(ISNUMBER(H747),H747&gt;=0,H747&lt;1),ROUND(H747*1440,0),"")</f>
        <v/>
      </c>
      <c r="AA747" s="80" t="str">
        <f>IF(AND(ISNUMBER(I747),I747&gt;=0,I747&lt;1),ROUND(I747*1440,0),"")</f>
        <v/>
      </c>
      <c r="AB747" s="80">
        <f>IF(AND(ISNUMBER(B747),D747&lt;&gt;"",ISNUMBER(Z747),ISNUMBER(AA747)),IF(Z747=AA747,0,1),0)</f>
        <v>0</v>
      </c>
      <c r="AC747" s="80">
        <f>IF(AB747=1,IF(AA747&lt;Z747,1,0),0)</f>
        <v>0</v>
      </c>
      <c r="AD747" s="80">
        <f>IF(AB747=1,IF(AC747=1,1440-Z747+AA747,AA747-Z747),0)</f>
        <v>0</v>
      </c>
      <c r="AE747" s="80">
        <f>IF(J747="",0,IF(ISNUMBER(J747),J747,-1))</f>
        <v>0</v>
      </c>
      <c r="AF747" s="80">
        <f>MIN(MAX(0,AE747),AD747)</f>
        <v>0</v>
      </c>
      <c r="AG747" s="80">
        <f>MAX(0,AD747-MAX(0,AE747))</f>
        <v>0</v>
      </c>
      <c r="AH747" s="80">
        <f>IF(ISNUMBER(B747),IF(AND(INDEX(CFG_WDAYS,WEEKDAY(INT(B747),2))="Sí",IF(D747="proMX",COUNTIFS(FER_F,INT(B747),FER_NLP,"Sí"),COUNTIFS(FER_F,INT(B747),FER_NLM,"Sí"))=0),1,0),0)</f>
        <v>0</v>
      </c>
      <c r="AI747" s="80">
        <f>IF(AC747=1,IF(AND(INDEX(CFG_WDAYS,WEEKDAY(INT(B747)+1,2))="Sí",IF(D747="proMX",COUNTIFS(FER_F,INT(B747)+1,FER_NLP,"Sí"),COUNTIFS(FER_F,INT(B747)+1,FER_NLM,"Sí"))=0),1,0),0)</f>
        <v>0</v>
      </c>
      <c r="AJ747" s="80">
        <f>IF(AC747=1,1440-Z747,AD747)</f>
        <v>0</v>
      </c>
      <c r="AK747" s="80">
        <f>IF(AND(AB747=1,AH747=1),MAX(0,MIN(IF(AC747=1,1440,AA747),CFG_WEM)-MAX(Z747,CFG_WSM)),0)</f>
        <v>0</v>
      </c>
      <c r="AL747" s="80">
        <f>IF(AND(AC747=1,AI747=1),MAX(0,MIN(AA747,CFG_WEM)-CFG_WSM),0)</f>
        <v>0</v>
      </c>
      <c r="AM747" s="80">
        <f>AK747+AL747</f>
        <v>0</v>
      </c>
      <c r="AN747" s="80">
        <f>IF(CFG_BRK="Proporcional",IF(AD747=0,0,AF747*AM747/AD747),IF(CFG_BRK="Extras primero",MIN(AM747,MAX(0,AF747-(AD747-AM747))),MIN(AF747,AM747)))</f>
        <v>0</v>
      </c>
      <c r="AO747" s="80">
        <f>AF747-AN747</f>
        <v>0</v>
      </c>
      <c r="AP747" s="80">
        <f>AM747-AN747</f>
        <v>0</v>
      </c>
      <c r="AQ747" s="80">
        <f>AD747-AM747-AO747</f>
        <v>0</v>
      </c>
      <c r="AR747" s="80">
        <f>IF(AM747=0,0,AK747-AN747*AK747/AM747)</f>
        <v>0</v>
      </c>
      <c r="AS747" s="80">
        <f>IF(AD747-AM747=0,0,(AJ747-AK747)-AO747*(AJ747-AK747)/(AD747-AM747))</f>
        <v>0</v>
      </c>
      <c r="AT747" s="80" t="str">
        <f>IF(AC747=1,INT(B747)+1,"")</f>
        <v/>
      </c>
      <c r="AU747" s="80">
        <f>IF(AND(D747="proMX",R747="Cancelled"),0,1)</f>
        <v>1</v>
      </c>
      <c r="AV747" s="80">
        <f>IF(AND(AB747=1,AU747=1),IF(COUNTIFS($D$5:D746,D747,$B$5:B746,B747,$Z$5:Z746,Z747,$AA$5:AA746,AA747,$F$5:F746,F747&amp;"",$AU$5:AU746,1)&gt;0,1,0),0)</f>
        <v>0</v>
      </c>
      <c r="AW747" s="80" t="str">
        <f>IF(AB747=1,INT(B747)*1440+Z747,"")</f>
        <v/>
      </c>
      <c r="AX747" s="80" t="str">
        <f>IF(AB747=1,AW747+AD747,"")</f>
        <v/>
      </c>
      <c r="AY747" s="80">
        <f>IF(AND(AB747=1,AV747=0,AU747=1),1,0)</f>
        <v>0</v>
      </c>
      <c r="AZ747" s="80">
        <f>IF(AY747=1,COUNTIFS(R_Emp,D747,R_SAbs,"&lt;"&amp;AX747,R_EAbs,"&gt;"&amp;AW747,R_OKey,1)-1,0)</f>
        <v>0</v>
      </c>
      <c r="BA747" s="80">
        <f>IF(AY747=1,COUNTIFS(R_Emp,"&lt;&gt;"&amp;D747,R_SAbs,"&lt;"&amp;AX747,R_EAbs,"&gt;"&amp;AW747,R_OKey,1),0)</f>
        <v>0</v>
      </c>
      <c r="BB747" s="80">
        <f>IF(AND(AB747=1,D747="proMX"),IF(AND(MOD(Z747,CFG_BLK)=0,MOD(AA747,CFG_BLK)=0,MOD(AG747,CFG_BLK)=0,AG747&gt;0),1,0),1)</f>
        <v>1</v>
      </c>
      <c r="BC747" s="80" t="str">
        <f>IF(Y747=0,"",IF(NOT(ISNUMBER(B747)),"Falta fecha o fecha inválida",IF(D747="","Falta empresa",IF(AND(D747&lt;&gt;"Malcolm",D747&lt;&gt;"proMX"),"Empresa inválida",IF(OR(INT(B747)&lt;CFG_PSTART,INT(B747)&gt;CFG_PEND),"Fecha fuera del período",IF(OR(NOT(ISNUMBER(Z747)),NOT(ISNUMBER(AA747))),"Falta hora inicio/fin o formato inválido",IF(AB747=0,"Hora inicio = hora fin",IF(AE747&lt;0,"Descanso inválido",IF(AE747&gt;=AD747,"Descanso ≥ duración",IF(AV747=1,"Registro duplicado",IF(AZ747&gt;0,"Se superpone con otro registro "&amp;D747,IF(BB747=0,"inicio, fin y duración neta deben ser múltiplos de "&amp;CFG_BLK&amp;" min",""))))))))))))</f>
        <v/>
      </c>
      <c r="BD747" s="80">
        <f>IF(AND(Y747=1,BC747=""),1,0)</f>
        <v>0</v>
      </c>
      <c r="BE747" s="80">
        <f>IF(AND(BD747=1,AU747=1),1,0)</f>
        <v>0</v>
      </c>
      <c r="BF747" s="80" t="str">
        <f>IF(AND(D747="proMX",BD747=1),IF(R747="","Draft",R747),"")</f>
        <v/>
      </c>
      <c r="BG747" s="80">
        <f>IF(BD747=1,ROUND(AG747/60,6),0)</f>
        <v>0</v>
      </c>
      <c r="BH747" s="80">
        <f>IF(BE747=1,ROUND(AG747/60,6),0)</f>
        <v>0</v>
      </c>
      <c r="BI747" s="80">
        <f>IF(BE747=1,ROUND(AP747/60,6),0)</f>
        <v>0</v>
      </c>
      <c r="BJ747" s="80">
        <f>IF(BE747=1,ROUND(AQ747/60,6),0)</f>
        <v>0</v>
      </c>
      <c r="BK747" s="80">
        <f>IF(BE747=1,ROUND((AR747+AS747)/60,6),0)</f>
        <v>0</v>
      </c>
      <c r="BL747" s="80">
        <f>ROUND(BH747-BK747,6)</f>
        <v>0</v>
      </c>
      <c r="BM747" s="80">
        <f>IF(BE747=1,ROUND(AR747/60,6),0)</f>
        <v>0</v>
      </c>
      <c r="BN747" s="80">
        <f>ROUND(BI747-BM747,6)</f>
        <v>0</v>
      </c>
      <c r="BO747" s="80">
        <f>IF(BE747=1,ROUND(AS747/60,6),0)</f>
        <v>0</v>
      </c>
      <c r="BP747" s="80">
        <f>ROUND(BJ747-BO747,6)</f>
        <v>0</v>
      </c>
      <c r="BQ747" s="80">
        <f>IF(BE747=1,AW747,0)</f>
        <v>0</v>
      </c>
      <c r="BR747" s="80">
        <f>IF(BE747=1,AX747,0)</f>
        <v>0</v>
      </c>
      <c r="BS747" s="80">
        <f>IF(AND(BE747=1,D747="Malcolm",BA747&gt;0),MIN(BH747,SUMPRODUCT((R_Emp="proMX")*(R_EN&gt;0)*((R_EN-(R_EN&gt;BR747)*(R_EN-BR747))&gt;(R_SN+(R_SN&lt;BQ747)*(BQ747-R_SN)))*((R_EN-(R_EN&gt;BR747)*(R_EN-BR747))-(R_SN+(R_SN&lt;BQ747)*(BQ747-R_SN))))/60),0)</f>
        <v>0</v>
      </c>
      <c r="BT747" s="80">
        <f>IF(AND(BE747=1,D747="proMX"),ROUND(BI747*CFG_RATE+BJ747*CFG_OTRATE,6),0)</f>
        <v>0</v>
      </c>
      <c r="BU747" s="80">
        <f>IF(AND(BD747=1,D747="proMX"),ROUND(AG747/CFG_BLK,6),0)</f>
        <v>0</v>
      </c>
      <c r="BV747" s="80" t="str">
        <f>IF(BF747="Approved",IF(ISNUMBER(T747),INT(T747),INT(B747)),"")</f>
        <v/>
      </c>
      <c r="BW747" s="80">
        <f>IF(ISNUMBER(B747),IF(DB_MON="Todos",1,IF(AND(INT(B747)&gt;=DB_MS,INT(B747)&lt;=DB_ME),1,0)),0)</f>
        <v>0</v>
      </c>
      <c r="BX747" s="80">
        <f>IF(DB_PROJ="Todos",1,IF(E747&amp;""=DB_PROJ&amp;"",1,0))</f>
        <v>1</v>
      </c>
      <c r="BY747" s="80">
        <f>BW747*BX747</f>
        <v>0</v>
      </c>
      <c r="BZ747" s="80" t="str">
        <f>IF(Y747=1,F747&amp;IF(AND(F747&amp;""&lt;&gt;"",E747&amp;""&lt;&gt;"")," · ","")&amp;E747,"")</f>
        <v/>
      </c>
      <c r="CA747" s="80" t="str">
        <f>IF(AND(BD747=1,E747&amp;""&lt;&gt;""),IF(COUNTIFS($E$5:E746,E747,$BD$5:BD746,1)=0,MAX($CA$5:CA746)+1,""),"")</f>
        <v/>
      </c>
      <c r="CB747" s="80" t="str">
        <f>IF(AND(BE747=1,D747="Malcolm",E747&amp;""&lt;&gt;""),IF(COUNTIFS($D$5:D746,"Malcolm",$E$5:E746,E747,$BE$5:BE746,1)=0,MAX($CB$5:CB746)+1,""),"")</f>
        <v/>
      </c>
      <c r="CC747" s="80" t="str">
        <f>IF(AND(BD747=1,D747="proMX",E747&amp;""&lt;&gt;""),IF(COUNTIFS($D$5:D746,"proMX",$E$5:E746,E747,$BD$5:BD746,1)=0,MAX($CC$5:CC746)+1,""),"")</f>
        <v/>
      </c>
      <c r="CD747" s="80" t="str">
        <f>IF(AND(BE747=1,D747="Malcolm",F747&amp;""&lt;&gt;""),IF(COUNTIFS($D$5:D746,"Malcolm",$F$5:F746,F747,$BE$5:BE746,1)=0,MAX($CD$5:CD746)+1,""),"")</f>
        <v/>
      </c>
      <c r="CE747" s="80" t="str">
        <f>IF(AND(BD747=1,D747="proMX",F747&amp;""&lt;&gt;""),IF(COUNTIFS($D$5:D746,"proMX",$F$5:F746,F747,$BD$5:BD746,1)=0,MAX($CE$5:CE746)+1,""),"")</f>
        <v/>
      </c>
      <c r="CF747" s="80" t="str">
        <f>IF(AND(D747="proMX",BD747=1),IF(OR(BF747="Draft",BF747="Submitted",BF747="Returned",BF747="Recall Requested"),MAX($CF$5:CF746)+1,""),"")</f>
        <v/>
      </c>
      <c r="CG747" s="80">
        <f>IF(BD747=0,0,IF(D747="Malcolm",1,MATCH(BF747,{"Draft","Submitted","Approved","Returned","Recall Requested","Cancelled"},0)+1))</f>
        <v>0</v>
      </c>
      <c r="CH747" s="80">
        <f>IF(AND(BF747="Submitted",ISNUMBER(V747)),IF(V747&gt;CFG_MAXD,1,0),0)</f>
        <v>0</v>
      </c>
    </row>
    <row r="748">
      <c r="A748" s="71" t="str">
        <f>IF(Y748=1,ROW()-5,"")</f>
        <v/>
      </c>
      <c r="B748" s="72" t="n"/>
      <c r="C748" s="71" t="str">
        <f>IF(ISNUMBER(B748),CHOOSE(WEEKDAY(B748,2),"Lun","Mar","Mié","Jue","Vie","Sáb","Dom"),"")</f>
        <v/>
      </c>
      <c r="D748" s="73" t="n"/>
      <c r="E748" s="74" t="n"/>
      <c r="F748" s="74" t="n"/>
      <c r="G748" s="74" t="n"/>
      <c r="H748" s="75" t="n"/>
      <c r="I748" s="75" t="n"/>
      <c r="J748" s="76" t="n"/>
      <c r="K748" s="77" t="str">
        <f>IF(AB748=1,ROUND(AG748/60,4),"")</f>
        <v/>
      </c>
      <c r="L748" s="77" t="str">
        <f>IF(BD748=1,ROUND(AP748/60,4),"")</f>
        <v/>
      </c>
      <c r="M748" s="77" t="str">
        <f>IF(BD748=1,ROUND(AQ748/60,4),"")</f>
        <v/>
      </c>
      <c r="N748" s="71" t="str">
        <f>IF(AND(D748="proMX",AB748=1),ROUND(AG748/CFG_BLK,2),"")</f>
        <v/>
      </c>
      <c r="O748" s="77" t="str">
        <f>IF(D748="proMX",IF(BD748=1,ROUND(AG748/60,4),0),"")</f>
        <v/>
      </c>
      <c r="P748" s="78" t="str">
        <f>IF(Y748=0,"",IF(BD748=1,"OK",IF(D748="proMX","Revisar bloques: ","Revisar: ")&amp;BC748))</f>
        <v/>
      </c>
      <c r="Q748" s="78" t="str">
        <f>IF(NOT(ISNUMBER(B748)),"",IF(COUNTIFS(FER_F,INT(B748))&gt;0,"Feriado"&amp;IF(AH748=1," (laborable)"," (no laborable)"),IF(AH748=1,"Laborable",IF(WEEKDAY(B748,2)&gt;5,"Fin de semana","No laborable"))))</f>
        <v/>
      </c>
      <c r="R748" s="73" t="n"/>
      <c r="S748" s="72" t="n"/>
      <c r="T748" s="72" t="n"/>
      <c r="U748" s="74" t="n"/>
      <c r="V748" s="79" t="str">
        <f>IF(AND(D748="proMX",OR(R748="Submitted",R748="Recall Requested"),ISNUMBER(S748)),CFG_TODAY-INT(S748),"")</f>
        <v/>
      </c>
      <c r="W748" s="78" t="str">
        <f>IF(BD748=0,"",IF(BA748&gt;0,"⚠ Se superpone con un registro de la otra empresa",IF(D748="Malcolm",IF(COUNTA(R748,S748,T748)&gt;0,"Estado/fechas proMX se ignoran en Malcolm",""),IF(BF748="Cancelled","Cancelado: excluido de totales",IF(R748="","Sin estado: se trata como Draft",IF(BF748="Submitted",IF(ISNUMBER(V748),IF(V748&gt;CFG_MAXD,"⚠ "&amp;V748&amp;" días en Submitted (máx. "&amp;CFG_MAXD&amp;")",""),"Falta fecha de envío"),IF(BF748="Returned","⚠ Devuelto: corregir y reenviar",IF(BF748="Recall Requested","Retirada solicitada: pendiente",IF(AND(BF748="Approved",NOT(ISNUMBER(T748))),"Falta fecha de aprobación",IF(AND(ISNUMBER(S748),ISNUMBER(T748),T748&lt;S748),"Aprobación anterior al envío","")))))))))</f>
        <v/>
      </c>
      <c r="Y748" s="80">
        <f>IF(COUNTA(B748,D748,E748,F748,G748,H748,I748,J748,R748,S748,T748)&gt;0,1,0)</f>
        <v>0</v>
      </c>
      <c r="Z748" s="80" t="str">
        <f>IF(AND(ISNUMBER(H748),H748&gt;=0,H748&lt;1),ROUND(H748*1440,0),"")</f>
        <v/>
      </c>
      <c r="AA748" s="80" t="str">
        <f>IF(AND(ISNUMBER(I748),I748&gt;=0,I748&lt;1),ROUND(I748*1440,0),"")</f>
        <v/>
      </c>
      <c r="AB748" s="80">
        <f>IF(AND(ISNUMBER(B748),D748&lt;&gt;"",ISNUMBER(Z748),ISNUMBER(AA748)),IF(Z748=AA748,0,1),0)</f>
        <v>0</v>
      </c>
      <c r="AC748" s="80">
        <f>IF(AB748=1,IF(AA748&lt;Z748,1,0),0)</f>
        <v>0</v>
      </c>
      <c r="AD748" s="80">
        <f>IF(AB748=1,IF(AC748=1,1440-Z748+AA748,AA748-Z748),0)</f>
        <v>0</v>
      </c>
      <c r="AE748" s="80">
        <f>IF(J748="",0,IF(ISNUMBER(J748),J748,-1))</f>
        <v>0</v>
      </c>
      <c r="AF748" s="80">
        <f>MIN(MAX(0,AE748),AD748)</f>
        <v>0</v>
      </c>
      <c r="AG748" s="80">
        <f>MAX(0,AD748-MAX(0,AE748))</f>
        <v>0</v>
      </c>
      <c r="AH748" s="80">
        <f>IF(ISNUMBER(B748),IF(AND(INDEX(CFG_WDAYS,WEEKDAY(INT(B748),2))="Sí",IF(D748="proMX",COUNTIFS(FER_F,INT(B748),FER_NLP,"Sí"),COUNTIFS(FER_F,INT(B748),FER_NLM,"Sí"))=0),1,0),0)</f>
        <v>0</v>
      </c>
      <c r="AI748" s="80">
        <f>IF(AC748=1,IF(AND(INDEX(CFG_WDAYS,WEEKDAY(INT(B748)+1,2))="Sí",IF(D748="proMX",COUNTIFS(FER_F,INT(B748)+1,FER_NLP,"Sí"),COUNTIFS(FER_F,INT(B748)+1,FER_NLM,"Sí"))=0),1,0),0)</f>
        <v>0</v>
      </c>
      <c r="AJ748" s="80">
        <f>IF(AC748=1,1440-Z748,AD748)</f>
        <v>0</v>
      </c>
      <c r="AK748" s="80">
        <f>IF(AND(AB748=1,AH748=1),MAX(0,MIN(IF(AC748=1,1440,AA748),CFG_WEM)-MAX(Z748,CFG_WSM)),0)</f>
        <v>0</v>
      </c>
      <c r="AL748" s="80">
        <f>IF(AND(AC748=1,AI748=1),MAX(0,MIN(AA748,CFG_WEM)-CFG_WSM),0)</f>
        <v>0</v>
      </c>
      <c r="AM748" s="80">
        <f>AK748+AL748</f>
        <v>0</v>
      </c>
      <c r="AN748" s="80">
        <f>IF(CFG_BRK="Proporcional",IF(AD748=0,0,AF748*AM748/AD748),IF(CFG_BRK="Extras primero",MIN(AM748,MAX(0,AF748-(AD748-AM748))),MIN(AF748,AM748)))</f>
        <v>0</v>
      </c>
      <c r="AO748" s="80">
        <f>AF748-AN748</f>
        <v>0</v>
      </c>
      <c r="AP748" s="80">
        <f>AM748-AN748</f>
        <v>0</v>
      </c>
      <c r="AQ748" s="80">
        <f>AD748-AM748-AO748</f>
        <v>0</v>
      </c>
      <c r="AR748" s="80">
        <f>IF(AM748=0,0,AK748-AN748*AK748/AM748)</f>
        <v>0</v>
      </c>
      <c r="AS748" s="80">
        <f>IF(AD748-AM748=0,0,(AJ748-AK748)-AO748*(AJ748-AK748)/(AD748-AM748))</f>
        <v>0</v>
      </c>
      <c r="AT748" s="80" t="str">
        <f>IF(AC748=1,INT(B748)+1,"")</f>
        <v/>
      </c>
      <c r="AU748" s="80">
        <f>IF(AND(D748="proMX",R748="Cancelled"),0,1)</f>
        <v>1</v>
      </c>
      <c r="AV748" s="80">
        <f>IF(AND(AB748=1,AU748=1),IF(COUNTIFS($D$5:D747,D748,$B$5:B747,B748,$Z$5:Z747,Z748,$AA$5:AA747,AA748,$F$5:F747,F748&amp;"",$AU$5:AU747,1)&gt;0,1,0),0)</f>
        <v>0</v>
      </c>
      <c r="AW748" s="80" t="str">
        <f>IF(AB748=1,INT(B748)*1440+Z748,"")</f>
        <v/>
      </c>
      <c r="AX748" s="80" t="str">
        <f>IF(AB748=1,AW748+AD748,"")</f>
        <v/>
      </c>
      <c r="AY748" s="80">
        <f>IF(AND(AB748=1,AV748=0,AU748=1),1,0)</f>
        <v>0</v>
      </c>
      <c r="AZ748" s="80">
        <f>IF(AY748=1,COUNTIFS(R_Emp,D748,R_SAbs,"&lt;"&amp;AX748,R_EAbs,"&gt;"&amp;AW748,R_OKey,1)-1,0)</f>
        <v>0</v>
      </c>
      <c r="BA748" s="80">
        <f>IF(AY748=1,COUNTIFS(R_Emp,"&lt;&gt;"&amp;D748,R_SAbs,"&lt;"&amp;AX748,R_EAbs,"&gt;"&amp;AW748,R_OKey,1),0)</f>
        <v>0</v>
      </c>
      <c r="BB748" s="80">
        <f>IF(AND(AB748=1,D748="proMX"),IF(AND(MOD(Z748,CFG_BLK)=0,MOD(AA748,CFG_BLK)=0,MOD(AG748,CFG_BLK)=0,AG748&gt;0),1,0),1)</f>
        <v>1</v>
      </c>
      <c r="BC748" s="80" t="str">
        <f>IF(Y748=0,"",IF(NOT(ISNUMBER(B748)),"Falta fecha o fecha inválida",IF(D748="","Falta empresa",IF(AND(D748&lt;&gt;"Malcolm",D748&lt;&gt;"proMX"),"Empresa inválida",IF(OR(INT(B748)&lt;CFG_PSTART,INT(B748)&gt;CFG_PEND),"Fecha fuera del período",IF(OR(NOT(ISNUMBER(Z748)),NOT(ISNUMBER(AA748))),"Falta hora inicio/fin o formato inválido",IF(AB748=0,"Hora inicio = hora fin",IF(AE748&lt;0,"Descanso inválido",IF(AE748&gt;=AD748,"Descanso ≥ duración",IF(AV748=1,"Registro duplicado",IF(AZ748&gt;0,"Se superpone con otro registro "&amp;D748,IF(BB748=0,"inicio, fin y duración neta deben ser múltiplos de "&amp;CFG_BLK&amp;" min",""))))))))))))</f>
        <v/>
      </c>
      <c r="BD748" s="80">
        <f>IF(AND(Y748=1,BC748=""),1,0)</f>
        <v>0</v>
      </c>
      <c r="BE748" s="80">
        <f>IF(AND(BD748=1,AU748=1),1,0)</f>
        <v>0</v>
      </c>
      <c r="BF748" s="80" t="str">
        <f>IF(AND(D748="proMX",BD748=1),IF(R748="","Draft",R748),"")</f>
        <v/>
      </c>
      <c r="BG748" s="80">
        <f>IF(BD748=1,ROUND(AG748/60,6),0)</f>
        <v>0</v>
      </c>
      <c r="BH748" s="80">
        <f>IF(BE748=1,ROUND(AG748/60,6),0)</f>
        <v>0</v>
      </c>
      <c r="BI748" s="80">
        <f>IF(BE748=1,ROUND(AP748/60,6),0)</f>
        <v>0</v>
      </c>
      <c r="BJ748" s="80">
        <f>IF(BE748=1,ROUND(AQ748/60,6),0)</f>
        <v>0</v>
      </c>
      <c r="BK748" s="80">
        <f>IF(BE748=1,ROUND((AR748+AS748)/60,6),0)</f>
        <v>0</v>
      </c>
      <c r="BL748" s="80">
        <f>ROUND(BH748-BK748,6)</f>
        <v>0</v>
      </c>
      <c r="BM748" s="80">
        <f>IF(BE748=1,ROUND(AR748/60,6),0)</f>
        <v>0</v>
      </c>
      <c r="BN748" s="80">
        <f>ROUND(BI748-BM748,6)</f>
        <v>0</v>
      </c>
      <c r="BO748" s="80">
        <f>IF(BE748=1,ROUND(AS748/60,6),0)</f>
        <v>0</v>
      </c>
      <c r="BP748" s="80">
        <f>ROUND(BJ748-BO748,6)</f>
        <v>0</v>
      </c>
      <c r="BQ748" s="80">
        <f>IF(BE748=1,AW748,0)</f>
        <v>0</v>
      </c>
      <c r="BR748" s="80">
        <f>IF(BE748=1,AX748,0)</f>
        <v>0</v>
      </c>
      <c r="BS748" s="80">
        <f>IF(AND(BE748=1,D748="Malcolm",BA748&gt;0),MIN(BH748,SUMPRODUCT((R_Emp="proMX")*(R_EN&gt;0)*((R_EN-(R_EN&gt;BR748)*(R_EN-BR748))&gt;(R_SN+(R_SN&lt;BQ748)*(BQ748-R_SN)))*((R_EN-(R_EN&gt;BR748)*(R_EN-BR748))-(R_SN+(R_SN&lt;BQ748)*(BQ748-R_SN))))/60),0)</f>
        <v>0</v>
      </c>
      <c r="BT748" s="80">
        <f>IF(AND(BE748=1,D748="proMX"),ROUND(BI748*CFG_RATE+BJ748*CFG_OTRATE,6),0)</f>
        <v>0</v>
      </c>
      <c r="BU748" s="80">
        <f>IF(AND(BD748=1,D748="proMX"),ROUND(AG748/CFG_BLK,6),0)</f>
        <v>0</v>
      </c>
      <c r="BV748" s="80" t="str">
        <f>IF(BF748="Approved",IF(ISNUMBER(T748),INT(T748),INT(B748)),"")</f>
        <v/>
      </c>
      <c r="BW748" s="80">
        <f>IF(ISNUMBER(B748),IF(DB_MON="Todos",1,IF(AND(INT(B748)&gt;=DB_MS,INT(B748)&lt;=DB_ME),1,0)),0)</f>
        <v>0</v>
      </c>
      <c r="BX748" s="80">
        <f>IF(DB_PROJ="Todos",1,IF(E748&amp;""=DB_PROJ&amp;"",1,0))</f>
        <v>1</v>
      </c>
      <c r="BY748" s="80">
        <f>BW748*BX748</f>
        <v>0</v>
      </c>
      <c r="BZ748" s="80" t="str">
        <f>IF(Y748=1,F748&amp;IF(AND(F748&amp;""&lt;&gt;"",E748&amp;""&lt;&gt;"")," · ","")&amp;E748,"")</f>
        <v/>
      </c>
      <c r="CA748" s="80" t="str">
        <f>IF(AND(BD748=1,E748&amp;""&lt;&gt;""),IF(COUNTIFS($E$5:E747,E748,$BD$5:BD747,1)=0,MAX($CA$5:CA747)+1,""),"")</f>
        <v/>
      </c>
      <c r="CB748" s="80" t="str">
        <f>IF(AND(BE748=1,D748="Malcolm",E748&amp;""&lt;&gt;""),IF(COUNTIFS($D$5:D747,"Malcolm",$E$5:E747,E748,$BE$5:BE747,1)=0,MAX($CB$5:CB747)+1,""),"")</f>
        <v/>
      </c>
      <c r="CC748" s="80" t="str">
        <f>IF(AND(BD748=1,D748="proMX",E748&amp;""&lt;&gt;""),IF(COUNTIFS($D$5:D747,"proMX",$E$5:E747,E748,$BD$5:BD747,1)=0,MAX($CC$5:CC747)+1,""),"")</f>
        <v/>
      </c>
      <c r="CD748" s="80" t="str">
        <f>IF(AND(BE748=1,D748="Malcolm",F748&amp;""&lt;&gt;""),IF(COUNTIFS($D$5:D747,"Malcolm",$F$5:F747,F748,$BE$5:BE747,1)=0,MAX($CD$5:CD747)+1,""),"")</f>
        <v/>
      </c>
      <c r="CE748" s="80" t="str">
        <f>IF(AND(BD748=1,D748="proMX",F748&amp;""&lt;&gt;""),IF(COUNTIFS($D$5:D747,"proMX",$F$5:F747,F748,$BD$5:BD747,1)=0,MAX($CE$5:CE747)+1,""),"")</f>
        <v/>
      </c>
      <c r="CF748" s="80" t="str">
        <f>IF(AND(D748="proMX",BD748=1),IF(OR(BF748="Draft",BF748="Submitted",BF748="Returned",BF748="Recall Requested"),MAX($CF$5:CF747)+1,""),"")</f>
        <v/>
      </c>
      <c r="CG748" s="80">
        <f>IF(BD748=0,0,IF(D748="Malcolm",1,MATCH(BF748,{"Draft","Submitted","Approved","Returned","Recall Requested","Cancelled"},0)+1))</f>
        <v>0</v>
      </c>
      <c r="CH748" s="80">
        <f>IF(AND(BF748="Submitted",ISNUMBER(V748)),IF(V748&gt;CFG_MAXD,1,0),0)</f>
        <v>0</v>
      </c>
    </row>
    <row r="749">
      <c r="A749" s="71" t="str">
        <f>IF(Y749=1,ROW()-5,"")</f>
        <v/>
      </c>
      <c r="B749" s="72" t="n"/>
      <c r="C749" s="71" t="str">
        <f>IF(ISNUMBER(B749),CHOOSE(WEEKDAY(B749,2),"Lun","Mar","Mié","Jue","Vie","Sáb","Dom"),"")</f>
        <v/>
      </c>
      <c r="D749" s="73" t="n"/>
      <c r="E749" s="74" t="n"/>
      <c r="F749" s="74" t="n"/>
      <c r="G749" s="74" t="n"/>
      <c r="H749" s="75" t="n"/>
      <c r="I749" s="75" t="n"/>
      <c r="J749" s="76" t="n"/>
      <c r="K749" s="77" t="str">
        <f>IF(AB749=1,ROUND(AG749/60,4),"")</f>
        <v/>
      </c>
      <c r="L749" s="77" t="str">
        <f>IF(BD749=1,ROUND(AP749/60,4),"")</f>
        <v/>
      </c>
      <c r="M749" s="77" t="str">
        <f>IF(BD749=1,ROUND(AQ749/60,4),"")</f>
        <v/>
      </c>
      <c r="N749" s="71" t="str">
        <f>IF(AND(D749="proMX",AB749=1),ROUND(AG749/CFG_BLK,2),"")</f>
        <v/>
      </c>
      <c r="O749" s="77" t="str">
        <f>IF(D749="proMX",IF(BD749=1,ROUND(AG749/60,4),0),"")</f>
        <v/>
      </c>
      <c r="P749" s="78" t="str">
        <f>IF(Y749=0,"",IF(BD749=1,"OK",IF(D749="proMX","Revisar bloques: ","Revisar: ")&amp;BC749))</f>
        <v/>
      </c>
      <c r="Q749" s="78" t="str">
        <f>IF(NOT(ISNUMBER(B749)),"",IF(COUNTIFS(FER_F,INT(B749))&gt;0,"Feriado"&amp;IF(AH749=1," (laborable)"," (no laborable)"),IF(AH749=1,"Laborable",IF(WEEKDAY(B749,2)&gt;5,"Fin de semana","No laborable"))))</f>
        <v/>
      </c>
      <c r="R749" s="73" t="n"/>
      <c r="S749" s="72" t="n"/>
      <c r="T749" s="72" t="n"/>
      <c r="U749" s="74" t="n"/>
      <c r="V749" s="79" t="str">
        <f>IF(AND(D749="proMX",OR(R749="Submitted",R749="Recall Requested"),ISNUMBER(S749)),CFG_TODAY-INT(S749),"")</f>
        <v/>
      </c>
      <c r="W749" s="78" t="str">
        <f>IF(BD749=0,"",IF(BA749&gt;0,"⚠ Se superpone con un registro de la otra empresa",IF(D749="Malcolm",IF(COUNTA(R749,S749,T749)&gt;0,"Estado/fechas proMX se ignoran en Malcolm",""),IF(BF749="Cancelled","Cancelado: excluido de totales",IF(R749="","Sin estado: se trata como Draft",IF(BF749="Submitted",IF(ISNUMBER(V749),IF(V749&gt;CFG_MAXD,"⚠ "&amp;V749&amp;" días en Submitted (máx. "&amp;CFG_MAXD&amp;")",""),"Falta fecha de envío"),IF(BF749="Returned","⚠ Devuelto: corregir y reenviar",IF(BF749="Recall Requested","Retirada solicitada: pendiente",IF(AND(BF749="Approved",NOT(ISNUMBER(T749))),"Falta fecha de aprobación",IF(AND(ISNUMBER(S749),ISNUMBER(T749),T749&lt;S749),"Aprobación anterior al envío","")))))))))</f>
        <v/>
      </c>
      <c r="Y749" s="80">
        <f>IF(COUNTA(B749,D749,E749,F749,G749,H749,I749,J749,R749,S749,T749)&gt;0,1,0)</f>
        <v>0</v>
      </c>
      <c r="Z749" s="80" t="str">
        <f>IF(AND(ISNUMBER(H749),H749&gt;=0,H749&lt;1),ROUND(H749*1440,0),"")</f>
        <v/>
      </c>
      <c r="AA749" s="80" t="str">
        <f>IF(AND(ISNUMBER(I749),I749&gt;=0,I749&lt;1),ROUND(I749*1440,0),"")</f>
        <v/>
      </c>
      <c r="AB749" s="80">
        <f>IF(AND(ISNUMBER(B749),D749&lt;&gt;"",ISNUMBER(Z749),ISNUMBER(AA749)),IF(Z749=AA749,0,1),0)</f>
        <v>0</v>
      </c>
      <c r="AC749" s="80">
        <f>IF(AB749=1,IF(AA749&lt;Z749,1,0),0)</f>
        <v>0</v>
      </c>
      <c r="AD749" s="80">
        <f>IF(AB749=1,IF(AC749=1,1440-Z749+AA749,AA749-Z749),0)</f>
        <v>0</v>
      </c>
      <c r="AE749" s="80">
        <f>IF(J749="",0,IF(ISNUMBER(J749),J749,-1))</f>
        <v>0</v>
      </c>
      <c r="AF749" s="80">
        <f>MIN(MAX(0,AE749),AD749)</f>
        <v>0</v>
      </c>
      <c r="AG749" s="80">
        <f>MAX(0,AD749-MAX(0,AE749))</f>
        <v>0</v>
      </c>
      <c r="AH749" s="80">
        <f>IF(ISNUMBER(B749),IF(AND(INDEX(CFG_WDAYS,WEEKDAY(INT(B749),2))="Sí",IF(D749="proMX",COUNTIFS(FER_F,INT(B749),FER_NLP,"Sí"),COUNTIFS(FER_F,INT(B749),FER_NLM,"Sí"))=0),1,0),0)</f>
        <v>0</v>
      </c>
      <c r="AI749" s="80">
        <f>IF(AC749=1,IF(AND(INDEX(CFG_WDAYS,WEEKDAY(INT(B749)+1,2))="Sí",IF(D749="proMX",COUNTIFS(FER_F,INT(B749)+1,FER_NLP,"Sí"),COUNTIFS(FER_F,INT(B749)+1,FER_NLM,"Sí"))=0),1,0),0)</f>
        <v>0</v>
      </c>
      <c r="AJ749" s="80">
        <f>IF(AC749=1,1440-Z749,AD749)</f>
        <v>0</v>
      </c>
      <c r="AK749" s="80">
        <f>IF(AND(AB749=1,AH749=1),MAX(0,MIN(IF(AC749=1,1440,AA749),CFG_WEM)-MAX(Z749,CFG_WSM)),0)</f>
        <v>0</v>
      </c>
      <c r="AL749" s="80">
        <f>IF(AND(AC749=1,AI749=1),MAX(0,MIN(AA749,CFG_WEM)-CFG_WSM),0)</f>
        <v>0</v>
      </c>
      <c r="AM749" s="80">
        <f>AK749+AL749</f>
        <v>0</v>
      </c>
      <c r="AN749" s="80">
        <f>IF(CFG_BRK="Proporcional",IF(AD749=0,0,AF749*AM749/AD749),IF(CFG_BRK="Extras primero",MIN(AM749,MAX(0,AF749-(AD749-AM749))),MIN(AF749,AM749)))</f>
        <v>0</v>
      </c>
      <c r="AO749" s="80">
        <f>AF749-AN749</f>
        <v>0</v>
      </c>
      <c r="AP749" s="80">
        <f>AM749-AN749</f>
        <v>0</v>
      </c>
      <c r="AQ749" s="80">
        <f>AD749-AM749-AO749</f>
        <v>0</v>
      </c>
      <c r="AR749" s="80">
        <f>IF(AM749=0,0,AK749-AN749*AK749/AM749)</f>
        <v>0</v>
      </c>
      <c r="AS749" s="80">
        <f>IF(AD749-AM749=0,0,(AJ749-AK749)-AO749*(AJ749-AK749)/(AD749-AM749))</f>
        <v>0</v>
      </c>
      <c r="AT749" s="80" t="str">
        <f>IF(AC749=1,INT(B749)+1,"")</f>
        <v/>
      </c>
      <c r="AU749" s="80">
        <f>IF(AND(D749="proMX",R749="Cancelled"),0,1)</f>
        <v>1</v>
      </c>
      <c r="AV749" s="80">
        <f>IF(AND(AB749=1,AU749=1),IF(COUNTIFS($D$5:D748,D749,$B$5:B748,B749,$Z$5:Z748,Z749,$AA$5:AA748,AA749,$F$5:F748,F749&amp;"",$AU$5:AU748,1)&gt;0,1,0),0)</f>
        <v>0</v>
      </c>
      <c r="AW749" s="80" t="str">
        <f>IF(AB749=1,INT(B749)*1440+Z749,"")</f>
        <v/>
      </c>
      <c r="AX749" s="80" t="str">
        <f>IF(AB749=1,AW749+AD749,"")</f>
        <v/>
      </c>
      <c r="AY749" s="80">
        <f>IF(AND(AB749=1,AV749=0,AU749=1),1,0)</f>
        <v>0</v>
      </c>
      <c r="AZ749" s="80">
        <f>IF(AY749=1,COUNTIFS(R_Emp,D749,R_SAbs,"&lt;"&amp;AX749,R_EAbs,"&gt;"&amp;AW749,R_OKey,1)-1,0)</f>
        <v>0</v>
      </c>
      <c r="BA749" s="80">
        <f>IF(AY749=1,COUNTIFS(R_Emp,"&lt;&gt;"&amp;D749,R_SAbs,"&lt;"&amp;AX749,R_EAbs,"&gt;"&amp;AW749,R_OKey,1),0)</f>
        <v>0</v>
      </c>
      <c r="BB749" s="80">
        <f>IF(AND(AB749=1,D749="proMX"),IF(AND(MOD(Z749,CFG_BLK)=0,MOD(AA749,CFG_BLK)=0,MOD(AG749,CFG_BLK)=0,AG749&gt;0),1,0),1)</f>
        <v>1</v>
      </c>
      <c r="BC749" s="80" t="str">
        <f>IF(Y749=0,"",IF(NOT(ISNUMBER(B749)),"Falta fecha o fecha inválida",IF(D749="","Falta empresa",IF(AND(D749&lt;&gt;"Malcolm",D749&lt;&gt;"proMX"),"Empresa inválida",IF(OR(INT(B749)&lt;CFG_PSTART,INT(B749)&gt;CFG_PEND),"Fecha fuera del período",IF(OR(NOT(ISNUMBER(Z749)),NOT(ISNUMBER(AA749))),"Falta hora inicio/fin o formato inválido",IF(AB749=0,"Hora inicio = hora fin",IF(AE749&lt;0,"Descanso inválido",IF(AE749&gt;=AD749,"Descanso ≥ duración",IF(AV749=1,"Registro duplicado",IF(AZ749&gt;0,"Se superpone con otro registro "&amp;D749,IF(BB749=0,"inicio, fin y duración neta deben ser múltiplos de "&amp;CFG_BLK&amp;" min",""))))))))))))</f>
        <v/>
      </c>
      <c r="BD749" s="80">
        <f>IF(AND(Y749=1,BC749=""),1,0)</f>
        <v>0</v>
      </c>
      <c r="BE749" s="80">
        <f>IF(AND(BD749=1,AU749=1),1,0)</f>
        <v>0</v>
      </c>
      <c r="BF749" s="80" t="str">
        <f>IF(AND(D749="proMX",BD749=1),IF(R749="","Draft",R749),"")</f>
        <v/>
      </c>
      <c r="BG749" s="80">
        <f>IF(BD749=1,ROUND(AG749/60,6),0)</f>
        <v>0</v>
      </c>
      <c r="BH749" s="80">
        <f>IF(BE749=1,ROUND(AG749/60,6),0)</f>
        <v>0</v>
      </c>
      <c r="BI749" s="80">
        <f>IF(BE749=1,ROUND(AP749/60,6),0)</f>
        <v>0</v>
      </c>
      <c r="BJ749" s="80">
        <f>IF(BE749=1,ROUND(AQ749/60,6),0)</f>
        <v>0</v>
      </c>
      <c r="BK749" s="80">
        <f>IF(BE749=1,ROUND((AR749+AS749)/60,6),0)</f>
        <v>0</v>
      </c>
      <c r="BL749" s="80">
        <f>ROUND(BH749-BK749,6)</f>
        <v>0</v>
      </c>
      <c r="BM749" s="80">
        <f>IF(BE749=1,ROUND(AR749/60,6),0)</f>
        <v>0</v>
      </c>
      <c r="BN749" s="80">
        <f>ROUND(BI749-BM749,6)</f>
        <v>0</v>
      </c>
      <c r="BO749" s="80">
        <f>IF(BE749=1,ROUND(AS749/60,6),0)</f>
        <v>0</v>
      </c>
      <c r="BP749" s="80">
        <f>ROUND(BJ749-BO749,6)</f>
        <v>0</v>
      </c>
      <c r="BQ749" s="80">
        <f>IF(BE749=1,AW749,0)</f>
        <v>0</v>
      </c>
      <c r="BR749" s="80">
        <f>IF(BE749=1,AX749,0)</f>
        <v>0</v>
      </c>
      <c r="BS749" s="80">
        <f>IF(AND(BE749=1,D749="Malcolm",BA749&gt;0),MIN(BH749,SUMPRODUCT((R_Emp="proMX")*(R_EN&gt;0)*((R_EN-(R_EN&gt;BR749)*(R_EN-BR749))&gt;(R_SN+(R_SN&lt;BQ749)*(BQ749-R_SN)))*((R_EN-(R_EN&gt;BR749)*(R_EN-BR749))-(R_SN+(R_SN&lt;BQ749)*(BQ749-R_SN))))/60),0)</f>
        <v>0</v>
      </c>
      <c r="BT749" s="80">
        <f>IF(AND(BE749=1,D749="proMX"),ROUND(BI749*CFG_RATE+BJ749*CFG_OTRATE,6),0)</f>
        <v>0</v>
      </c>
      <c r="BU749" s="80">
        <f>IF(AND(BD749=1,D749="proMX"),ROUND(AG749/CFG_BLK,6),0)</f>
        <v>0</v>
      </c>
      <c r="BV749" s="80" t="str">
        <f>IF(BF749="Approved",IF(ISNUMBER(T749),INT(T749),INT(B749)),"")</f>
        <v/>
      </c>
      <c r="BW749" s="80">
        <f>IF(ISNUMBER(B749),IF(DB_MON="Todos",1,IF(AND(INT(B749)&gt;=DB_MS,INT(B749)&lt;=DB_ME),1,0)),0)</f>
        <v>0</v>
      </c>
      <c r="BX749" s="80">
        <f>IF(DB_PROJ="Todos",1,IF(E749&amp;""=DB_PROJ&amp;"",1,0))</f>
        <v>1</v>
      </c>
      <c r="BY749" s="80">
        <f>BW749*BX749</f>
        <v>0</v>
      </c>
      <c r="BZ749" s="80" t="str">
        <f>IF(Y749=1,F749&amp;IF(AND(F749&amp;""&lt;&gt;"",E749&amp;""&lt;&gt;"")," · ","")&amp;E749,"")</f>
        <v/>
      </c>
      <c r="CA749" s="80" t="str">
        <f>IF(AND(BD749=1,E749&amp;""&lt;&gt;""),IF(COUNTIFS($E$5:E748,E749,$BD$5:BD748,1)=0,MAX($CA$5:CA748)+1,""),"")</f>
        <v/>
      </c>
      <c r="CB749" s="80" t="str">
        <f>IF(AND(BE749=1,D749="Malcolm",E749&amp;""&lt;&gt;""),IF(COUNTIFS($D$5:D748,"Malcolm",$E$5:E748,E749,$BE$5:BE748,1)=0,MAX($CB$5:CB748)+1,""),"")</f>
        <v/>
      </c>
      <c r="CC749" s="80" t="str">
        <f>IF(AND(BD749=1,D749="proMX",E749&amp;""&lt;&gt;""),IF(COUNTIFS($D$5:D748,"proMX",$E$5:E748,E749,$BD$5:BD748,1)=0,MAX($CC$5:CC748)+1,""),"")</f>
        <v/>
      </c>
      <c r="CD749" s="80" t="str">
        <f>IF(AND(BE749=1,D749="Malcolm",F749&amp;""&lt;&gt;""),IF(COUNTIFS($D$5:D748,"Malcolm",$F$5:F748,F749,$BE$5:BE748,1)=0,MAX($CD$5:CD748)+1,""),"")</f>
        <v/>
      </c>
      <c r="CE749" s="80" t="str">
        <f>IF(AND(BD749=1,D749="proMX",F749&amp;""&lt;&gt;""),IF(COUNTIFS($D$5:D748,"proMX",$F$5:F748,F749,$BD$5:BD748,1)=0,MAX($CE$5:CE748)+1,""),"")</f>
        <v/>
      </c>
      <c r="CF749" s="80" t="str">
        <f>IF(AND(D749="proMX",BD749=1),IF(OR(BF749="Draft",BF749="Submitted",BF749="Returned",BF749="Recall Requested"),MAX($CF$5:CF748)+1,""),"")</f>
        <v/>
      </c>
      <c r="CG749" s="80">
        <f>IF(BD749=0,0,IF(D749="Malcolm",1,MATCH(BF749,{"Draft","Submitted","Approved","Returned","Recall Requested","Cancelled"},0)+1))</f>
        <v>0</v>
      </c>
      <c r="CH749" s="80">
        <f>IF(AND(BF749="Submitted",ISNUMBER(V749)),IF(V749&gt;CFG_MAXD,1,0),0)</f>
        <v>0</v>
      </c>
    </row>
    <row r="750">
      <c r="A750" s="71" t="str">
        <f>IF(Y750=1,ROW()-5,"")</f>
        <v/>
      </c>
      <c r="B750" s="72" t="n"/>
      <c r="C750" s="71" t="str">
        <f>IF(ISNUMBER(B750),CHOOSE(WEEKDAY(B750,2),"Lun","Mar","Mié","Jue","Vie","Sáb","Dom"),"")</f>
        <v/>
      </c>
      <c r="D750" s="73" t="n"/>
      <c r="E750" s="74" t="n"/>
      <c r="F750" s="74" t="n"/>
      <c r="G750" s="74" t="n"/>
      <c r="H750" s="75" t="n"/>
      <c r="I750" s="75" t="n"/>
      <c r="J750" s="76" t="n"/>
      <c r="K750" s="77" t="str">
        <f>IF(AB750=1,ROUND(AG750/60,4),"")</f>
        <v/>
      </c>
      <c r="L750" s="77" t="str">
        <f>IF(BD750=1,ROUND(AP750/60,4),"")</f>
        <v/>
      </c>
      <c r="M750" s="77" t="str">
        <f>IF(BD750=1,ROUND(AQ750/60,4),"")</f>
        <v/>
      </c>
      <c r="N750" s="71" t="str">
        <f>IF(AND(D750="proMX",AB750=1),ROUND(AG750/CFG_BLK,2),"")</f>
        <v/>
      </c>
      <c r="O750" s="77" t="str">
        <f>IF(D750="proMX",IF(BD750=1,ROUND(AG750/60,4),0),"")</f>
        <v/>
      </c>
      <c r="P750" s="78" t="str">
        <f>IF(Y750=0,"",IF(BD750=1,"OK",IF(D750="proMX","Revisar bloques: ","Revisar: ")&amp;BC750))</f>
        <v/>
      </c>
      <c r="Q750" s="78" t="str">
        <f>IF(NOT(ISNUMBER(B750)),"",IF(COUNTIFS(FER_F,INT(B750))&gt;0,"Feriado"&amp;IF(AH750=1," (laborable)"," (no laborable)"),IF(AH750=1,"Laborable",IF(WEEKDAY(B750,2)&gt;5,"Fin de semana","No laborable"))))</f>
        <v/>
      </c>
      <c r="R750" s="73" t="n"/>
      <c r="S750" s="72" t="n"/>
      <c r="T750" s="72" t="n"/>
      <c r="U750" s="74" t="n"/>
      <c r="V750" s="79" t="str">
        <f>IF(AND(D750="proMX",OR(R750="Submitted",R750="Recall Requested"),ISNUMBER(S750)),CFG_TODAY-INT(S750),"")</f>
        <v/>
      </c>
      <c r="W750" s="78" t="str">
        <f>IF(BD750=0,"",IF(BA750&gt;0,"⚠ Se superpone con un registro de la otra empresa",IF(D750="Malcolm",IF(COUNTA(R750,S750,T750)&gt;0,"Estado/fechas proMX se ignoran en Malcolm",""),IF(BF750="Cancelled","Cancelado: excluido de totales",IF(R750="","Sin estado: se trata como Draft",IF(BF750="Submitted",IF(ISNUMBER(V750),IF(V750&gt;CFG_MAXD,"⚠ "&amp;V750&amp;" días en Submitted (máx. "&amp;CFG_MAXD&amp;")",""),"Falta fecha de envío"),IF(BF750="Returned","⚠ Devuelto: corregir y reenviar",IF(BF750="Recall Requested","Retirada solicitada: pendiente",IF(AND(BF750="Approved",NOT(ISNUMBER(T750))),"Falta fecha de aprobación",IF(AND(ISNUMBER(S750),ISNUMBER(T750),T750&lt;S750),"Aprobación anterior al envío","")))))))))</f>
        <v/>
      </c>
      <c r="Y750" s="80">
        <f>IF(COUNTA(B750,D750,E750,F750,G750,H750,I750,J750,R750,S750,T750)&gt;0,1,0)</f>
        <v>0</v>
      </c>
      <c r="Z750" s="80" t="str">
        <f>IF(AND(ISNUMBER(H750),H750&gt;=0,H750&lt;1),ROUND(H750*1440,0),"")</f>
        <v/>
      </c>
      <c r="AA750" s="80" t="str">
        <f>IF(AND(ISNUMBER(I750),I750&gt;=0,I750&lt;1),ROUND(I750*1440,0),"")</f>
        <v/>
      </c>
      <c r="AB750" s="80">
        <f>IF(AND(ISNUMBER(B750),D750&lt;&gt;"",ISNUMBER(Z750),ISNUMBER(AA750)),IF(Z750=AA750,0,1),0)</f>
        <v>0</v>
      </c>
      <c r="AC750" s="80">
        <f>IF(AB750=1,IF(AA750&lt;Z750,1,0),0)</f>
        <v>0</v>
      </c>
      <c r="AD750" s="80">
        <f>IF(AB750=1,IF(AC750=1,1440-Z750+AA750,AA750-Z750),0)</f>
        <v>0</v>
      </c>
      <c r="AE750" s="80">
        <f>IF(J750="",0,IF(ISNUMBER(J750),J750,-1))</f>
        <v>0</v>
      </c>
      <c r="AF750" s="80">
        <f>MIN(MAX(0,AE750),AD750)</f>
        <v>0</v>
      </c>
      <c r="AG750" s="80">
        <f>MAX(0,AD750-MAX(0,AE750))</f>
        <v>0</v>
      </c>
      <c r="AH750" s="80">
        <f>IF(ISNUMBER(B750),IF(AND(INDEX(CFG_WDAYS,WEEKDAY(INT(B750),2))="Sí",IF(D750="proMX",COUNTIFS(FER_F,INT(B750),FER_NLP,"Sí"),COUNTIFS(FER_F,INT(B750),FER_NLM,"Sí"))=0),1,0),0)</f>
        <v>0</v>
      </c>
      <c r="AI750" s="80">
        <f>IF(AC750=1,IF(AND(INDEX(CFG_WDAYS,WEEKDAY(INT(B750)+1,2))="Sí",IF(D750="proMX",COUNTIFS(FER_F,INT(B750)+1,FER_NLP,"Sí"),COUNTIFS(FER_F,INT(B750)+1,FER_NLM,"Sí"))=0),1,0),0)</f>
        <v>0</v>
      </c>
      <c r="AJ750" s="80">
        <f>IF(AC750=1,1440-Z750,AD750)</f>
        <v>0</v>
      </c>
      <c r="AK750" s="80">
        <f>IF(AND(AB750=1,AH750=1),MAX(0,MIN(IF(AC750=1,1440,AA750),CFG_WEM)-MAX(Z750,CFG_WSM)),0)</f>
        <v>0</v>
      </c>
      <c r="AL750" s="80">
        <f>IF(AND(AC750=1,AI750=1),MAX(0,MIN(AA750,CFG_WEM)-CFG_WSM),0)</f>
        <v>0</v>
      </c>
      <c r="AM750" s="80">
        <f>AK750+AL750</f>
        <v>0</v>
      </c>
      <c r="AN750" s="80">
        <f>IF(CFG_BRK="Proporcional",IF(AD750=0,0,AF750*AM750/AD750),IF(CFG_BRK="Extras primero",MIN(AM750,MAX(0,AF750-(AD750-AM750))),MIN(AF750,AM750)))</f>
        <v>0</v>
      </c>
      <c r="AO750" s="80">
        <f>AF750-AN750</f>
        <v>0</v>
      </c>
      <c r="AP750" s="80">
        <f>AM750-AN750</f>
        <v>0</v>
      </c>
      <c r="AQ750" s="80">
        <f>AD750-AM750-AO750</f>
        <v>0</v>
      </c>
      <c r="AR750" s="80">
        <f>IF(AM750=0,0,AK750-AN750*AK750/AM750)</f>
        <v>0</v>
      </c>
      <c r="AS750" s="80">
        <f>IF(AD750-AM750=0,0,(AJ750-AK750)-AO750*(AJ750-AK750)/(AD750-AM750))</f>
        <v>0</v>
      </c>
      <c r="AT750" s="80" t="str">
        <f>IF(AC750=1,INT(B750)+1,"")</f>
        <v/>
      </c>
      <c r="AU750" s="80">
        <f>IF(AND(D750="proMX",R750="Cancelled"),0,1)</f>
        <v>1</v>
      </c>
      <c r="AV750" s="80">
        <f>IF(AND(AB750=1,AU750=1),IF(COUNTIFS($D$5:D749,D750,$B$5:B749,B750,$Z$5:Z749,Z750,$AA$5:AA749,AA750,$F$5:F749,F750&amp;"",$AU$5:AU749,1)&gt;0,1,0),0)</f>
        <v>0</v>
      </c>
      <c r="AW750" s="80" t="str">
        <f>IF(AB750=1,INT(B750)*1440+Z750,"")</f>
        <v/>
      </c>
      <c r="AX750" s="80" t="str">
        <f>IF(AB750=1,AW750+AD750,"")</f>
        <v/>
      </c>
      <c r="AY750" s="80">
        <f>IF(AND(AB750=1,AV750=0,AU750=1),1,0)</f>
        <v>0</v>
      </c>
      <c r="AZ750" s="80">
        <f>IF(AY750=1,COUNTIFS(R_Emp,D750,R_SAbs,"&lt;"&amp;AX750,R_EAbs,"&gt;"&amp;AW750,R_OKey,1)-1,0)</f>
        <v>0</v>
      </c>
      <c r="BA750" s="80">
        <f>IF(AY750=1,COUNTIFS(R_Emp,"&lt;&gt;"&amp;D750,R_SAbs,"&lt;"&amp;AX750,R_EAbs,"&gt;"&amp;AW750,R_OKey,1),0)</f>
        <v>0</v>
      </c>
      <c r="BB750" s="80">
        <f>IF(AND(AB750=1,D750="proMX"),IF(AND(MOD(Z750,CFG_BLK)=0,MOD(AA750,CFG_BLK)=0,MOD(AG750,CFG_BLK)=0,AG750&gt;0),1,0),1)</f>
        <v>1</v>
      </c>
      <c r="BC750" s="80" t="str">
        <f>IF(Y750=0,"",IF(NOT(ISNUMBER(B750)),"Falta fecha o fecha inválida",IF(D750="","Falta empresa",IF(AND(D750&lt;&gt;"Malcolm",D750&lt;&gt;"proMX"),"Empresa inválida",IF(OR(INT(B750)&lt;CFG_PSTART,INT(B750)&gt;CFG_PEND),"Fecha fuera del período",IF(OR(NOT(ISNUMBER(Z750)),NOT(ISNUMBER(AA750))),"Falta hora inicio/fin o formato inválido",IF(AB750=0,"Hora inicio = hora fin",IF(AE750&lt;0,"Descanso inválido",IF(AE750&gt;=AD750,"Descanso ≥ duración",IF(AV750=1,"Registro duplicado",IF(AZ750&gt;0,"Se superpone con otro registro "&amp;D750,IF(BB750=0,"inicio, fin y duración neta deben ser múltiplos de "&amp;CFG_BLK&amp;" min",""))))))))))))</f>
        <v/>
      </c>
      <c r="BD750" s="80">
        <f>IF(AND(Y750=1,BC750=""),1,0)</f>
        <v>0</v>
      </c>
      <c r="BE750" s="80">
        <f>IF(AND(BD750=1,AU750=1),1,0)</f>
        <v>0</v>
      </c>
      <c r="BF750" s="80" t="str">
        <f>IF(AND(D750="proMX",BD750=1),IF(R750="","Draft",R750),"")</f>
        <v/>
      </c>
      <c r="BG750" s="80">
        <f>IF(BD750=1,ROUND(AG750/60,6),0)</f>
        <v>0</v>
      </c>
      <c r="BH750" s="80">
        <f>IF(BE750=1,ROUND(AG750/60,6),0)</f>
        <v>0</v>
      </c>
      <c r="BI750" s="80">
        <f>IF(BE750=1,ROUND(AP750/60,6),0)</f>
        <v>0</v>
      </c>
      <c r="BJ750" s="80">
        <f>IF(BE750=1,ROUND(AQ750/60,6),0)</f>
        <v>0</v>
      </c>
      <c r="BK750" s="80">
        <f>IF(BE750=1,ROUND((AR750+AS750)/60,6),0)</f>
        <v>0</v>
      </c>
      <c r="BL750" s="80">
        <f>ROUND(BH750-BK750,6)</f>
        <v>0</v>
      </c>
      <c r="BM750" s="80">
        <f>IF(BE750=1,ROUND(AR750/60,6),0)</f>
        <v>0</v>
      </c>
      <c r="BN750" s="80">
        <f>ROUND(BI750-BM750,6)</f>
        <v>0</v>
      </c>
      <c r="BO750" s="80">
        <f>IF(BE750=1,ROUND(AS750/60,6),0)</f>
        <v>0</v>
      </c>
      <c r="BP750" s="80">
        <f>ROUND(BJ750-BO750,6)</f>
        <v>0</v>
      </c>
      <c r="BQ750" s="80">
        <f>IF(BE750=1,AW750,0)</f>
        <v>0</v>
      </c>
      <c r="BR750" s="80">
        <f>IF(BE750=1,AX750,0)</f>
        <v>0</v>
      </c>
      <c r="BS750" s="80">
        <f>IF(AND(BE750=1,D750="Malcolm",BA750&gt;0),MIN(BH750,SUMPRODUCT((R_Emp="proMX")*(R_EN&gt;0)*((R_EN-(R_EN&gt;BR750)*(R_EN-BR750))&gt;(R_SN+(R_SN&lt;BQ750)*(BQ750-R_SN)))*((R_EN-(R_EN&gt;BR750)*(R_EN-BR750))-(R_SN+(R_SN&lt;BQ750)*(BQ750-R_SN))))/60),0)</f>
        <v>0</v>
      </c>
      <c r="BT750" s="80">
        <f>IF(AND(BE750=1,D750="proMX"),ROUND(BI750*CFG_RATE+BJ750*CFG_OTRATE,6),0)</f>
        <v>0</v>
      </c>
      <c r="BU750" s="80">
        <f>IF(AND(BD750=1,D750="proMX"),ROUND(AG750/CFG_BLK,6),0)</f>
        <v>0</v>
      </c>
      <c r="BV750" s="80" t="str">
        <f>IF(BF750="Approved",IF(ISNUMBER(T750),INT(T750),INT(B750)),"")</f>
        <v/>
      </c>
      <c r="BW750" s="80">
        <f>IF(ISNUMBER(B750),IF(DB_MON="Todos",1,IF(AND(INT(B750)&gt;=DB_MS,INT(B750)&lt;=DB_ME),1,0)),0)</f>
        <v>0</v>
      </c>
      <c r="BX750" s="80">
        <f>IF(DB_PROJ="Todos",1,IF(E750&amp;""=DB_PROJ&amp;"",1,0))</f>
        <v>1</v>
      </c>
      <c r="BY750" s="80">
        <f>BW750*BX750</f>
        <v>0</v>
      </c>
      <c r="BZ750" s="80" t="str">
        <f>IF(Y750=1,F750&amp;IF(AND(F750&amp;""&lt;&gt;"",E750&amp;""&lt;&gt;"")," · ","")&amp;E750,"")</f>
        <v/>
      </c>
      <c r="CA750" s="80" t="str">
        <f>IF(AND(BD750=1,E750&amp;""&lt;&gt;""),IF(COUNTIFS($E$5:E749,E750,$BD$5:BD749,1)=0,MAX($CA$5:CA749)+1,""),"")</f>
        <v/>
      </c>
      <c r="CB750" s="80" t="str">
        <f>IF(AND(BE750=1,D750="Malcolm",E750&amp;""&lt;&gt;""),IF(COUNTIFS($D$5:D749,"Malcolm",$E$5:E749,E750,$BE$5:BE749,1)=0,MAX($CB$5:CB749)+1,""),"")</f>
        <v/>
      </c>
      <c r="CC750" s="80" t="str">
        <f>IF(AND(BD750=1,D750="proMX",E750&amp;""&lt;&gt;""),IF(COUNTIFS($D$5:D749,"proMX",$E$5:E749,E750,$BD$5:BD749,1)=0,MAX($CC$5:CC749)+1,""),"")</f>
        <v/>
      </c>
      <c r="CD750" s="80" t="str">
        <f>IF(AND(BE750=1,D750="Malcolm",F750&amp;""&lt;&gt;""),IF(COUNTIFS($D$5:D749,"Malcolm",$F$5:F749,F750,$BE$5:BE749,1)=0,MAX($CD$5:CD749)+1,""),"")</f>
        <v/>
      </c>
      <c r="CE750" s="80" t="str">
        <f>IF(AND(BD750=1,D750="proMX",F750&amp;""&lt;&gt;""),IF(COUNTIFS($D$5:D749,"proMX",$F$5:F749,F750,$BD$5:BD749,1)=0,MAX($CE$5:CE749)+1,""),"")</f>
        <v/>
      </c>
      <c r="CF750" s="80" t="str">
        <f>IF(AND(D750="proMX",BD750=1),IF(OR(BF750="Draft",BF750="Submitted",BF750="Returned",BF750="Recall Requested"),MAX($CF$5:CF749)+1,""),"")</f>
        <v/>
      </c>
      <c r="CG750" s="80">
        <f>IF(BD750=0,0,IF(D750="Malcolm",1,MATCH(BF750,{"Draft","Submitted","Approved","Returned","Recall Requested","Cancelled"},0)+1))</f>
        <v>0</v>
      </c>
      <c r="CH750" s="80">
        <f>IF(AND(BF750="Submitted",ISNUMBER(V750)),IF(V750&gt;CFG_MAXD,1,0),0)</f>
        <v>0</v>
      </c>
    </row>
    <row r="751">
      <c r="A751" s="71" t="str">
        <f>IF(Y751=1,ROW()-5,"")</f>
        <v/>
      </c>
      <c r="B751" s="72" t="n"/>
      <c r="C751" s="71" t="str">
        <f>IF(ISNUMBER(B751),CHOOSE(WEEKDAY(B751,2),"Lun","Mar","Mié","Jue","Vie","Sáb","Dom"),"")</f>
        <v/>
      </c>
      <c r="D751" s="73" t="n"/>
      <c r="E751" s="74" t="n"/>
      <c r="F751" s="74" t="n"/>
      <c r="G751" s="74" t="n"/>
      <c r="H751" s="75" t="n"/>
      <c r="I751" s="75" t="n"/>
      <c r="J751" s="76" t="n"/>
      <c r="K751" s="77" t="str">
        <f>IF(AB751=1,ROUND(AG751/60,4),"")</f>
        <v/>
      </c>
      <c r="L751" s="77" t="str">
        <f>IF(BD751=1,ROUND(AP751/60,4),"")</f>
        <v/>
      </c>
      <c r="M751" s="77" t="str">
        <f>IF(BD751=1,ROUND(AQ751/60,4),"")</f>
        <v/>
      </c>
      <c r="N751" s="71" t="str">
        <f>IF(AND(D751="proMX",AB751=1),ROUND(AG751/CFG_BLK,2),"")</f>
        <v/>
      </c>
      <c r="O751" s="77" t="str">
        <f>IF(D751="proMX",IF(BD751=1,ROUND(AG751/60,4),0),"")</f>
        <v/>
      </c>
      <c r="P751" s="78" t="str">
        <f>IF(Y751=0,"",IF(BD751=1,"OK",IF(D751="proMX","Revisar bloques: ","Revisar: ")&amp;BC751))</f>
        <v/>
      </c>
      <c r="Q751" s="78" t="str">
        <f>IF(NOT(ISNUMBER(B751)),"",IF(COUNTIFS(FER_F,INT(B751))&gt;0,"Feriado"&amp;IF(AH751=1," (laborable)"," (no laborable)"),IF(AH751=1,"Laborable",IF(WEEKDAY(B751,2)&gt;5,"Fin de semana","No laborable"))))</f>
        <v/>
      </c>
      <c r="R751" s="73" t="n"/>
      <c r="S751" s="72" t="n"/>
      <c r="T751" s="72" t="n"/>
      <c r="U751" s="74" t="n"/>
      <c r="V751" s="79" t="str">
        <f>IF(AND(D751="proMX",OR(R751="Submitted",R751="Recall Requested"),ISNUMBER(S751)),CFG_TODAY-INT(S751),"")</f>
        <v/>
      </c>
      <c r="W751" s="78" t="str">
        <f>IF(BD751=0,"",IF(BA751&gt;0,"⚠ Se superpone con un registro de la otra empresa",IF(D751="Malcolm",IF(COUNTA(R751,S751,T751)&gt;0,"Estado/fechas proMX se ignoran en Malcolm",""),IF(BF751="Cancelled","Cancelado: excluido de totales",IF(R751="","Sin estado: se trata como Draft",IF(BF751="Submitted",IF(ISNUMBER(V751),IF(V751&gt;CFG_MAXD,"⚠ "&amp;V751&amp;" días en Submitted (máx. "&amp;CFG_MAXD&amp;")",""),"Falta fecha de envío"),IF(BF751="Returned","⚠ Devuelto: corregir y reenviar",IF(BF751="Recall Requested","Retirada solicitada: pendiente",IF(AND(BF751="Approved",NOT(ISNUMBER(T751))),"Falta fecha de aprobación",IF(AND(ISNUMBER(S751),ISNUMBER(T751),T751&lt;S751),"Aprobación anterior al envío","")))))))))</f>
        <v/>
      </c>
      <c r="Y751" s="80">
        <f>IF(COUNTA(B751,D751,E751,F751,G751,H751,I751,J751,R751,S751,T751)&gt;0,1,0)</f>
        <v>0</v>
      </c>
      <c r="Z751" s="80" t="str">
        <f>IF(AND(ISNUMBER(H751),H751&gt;=0,H751&lt;1),ROUND(H751*1440,0),"")</f>
        <v/>
      </c>
      <c r="AA751" s="80" t="str">
        <f>IF(AND(ISNUMBER(I751),I751&gt;=0,I751&lt;1),ROUND(I751*1440,0),"")</f>
        <v/>
      </c>
      <c r="AB751" s="80">
        <f>IF(AND(ISNUMBER(B751),D751&lt;&gt;"",ISNUMBER(Z751),ISNUMBER(AA751)),IF(Z751=AA751,0,1),0)</f>
        <v>0</v>
      </c>
      <c r="AC751" s="80">
        <f>IF(AB751=1,IF(AA751&lt;Z751,1,0),0)</f>
        <v>0</v>
      </c>
      <c r="AD751" s="80">
        <f>IF(AB751=1,IF(AC751=1,1440-Z751+AA751,AA751-Z751),0)</f>
        <v>0</v>
      </c>
      <c r="AE751" s="80">
        <f>IF(J751="",0,IF(ISNUMBER(J751),J751,-1))</f>
        <v>0</v>
      </c>
      <c r="AF751" s="80">
        <f>MIN(MAX(0,AE751),AD751)</f>
        <v>0</v>
      </c>
      <c r="AG751" s="80">
        <f>MAX(0,AD751-MAX(0,AE751))</f>
        <v>0</v>
      </c>
      <c r="AH751" s="80">
        <f>IF(ISNUMBER(B751),IF(AND(INDEX(CFG_WDAYS,WEEKDAY(INT(B751),2))="Sí",IF(D751="proMX",COUNTIFS(FER_F,INT(B751),FER_NLP,"Sí"),COUNTIFS(FER_F,INT(B751),FER_NLM,"Sí"))=0),1,0),0)</f>
        <v>0</v>
      </c>
      <c r="AI751" s="80">
        <f>IF(AC751=1,IF(AND(INDEX(CFG_WDAYS,WEEKDAY(INT(B751)+1,2))="Sí",IF(D751="proMX",COUNTIFS(FER_F,INT(B751)+1,FER_NLP,"Sí"),COUNTIFS(FER_F,INT(B751)+1,FER_NLM,"Sí"))=0),1,0),0)</f>
        <v>0</v>
      </c>
      <c r="AJ751" s="80">
        <f>IF(AC751=1,1440-Z751,AD751)</f>
        <v>0</v>
      </c>
      <c r="AK751" s="80">
        <f>IF(AND(AB751=1,AH751=1),MAX(0,MIN(IF(AC751=1,1440,AA751),CFG_WEM)-MAX(Z751,CFG_WSM)),0)</f>
        <v>0</v>
      </c>
      <c r="AL751" s="80">
        <f>IF(AND(AC751=1,AI751=1),MAX(0,MIN(AA751,CFG_WEM)-CFG_WSM),0)</f>
        <v>0</v>
      </c>
      <c r="AM751" s="80">
        <f>AK751+AL751</f>
        <v>0</v>
      </c>
      <c r="AN751" s="80">
        <f>IF(CFG_BRK="Proporcional",IF(AD751=0,0,AF751*AM751/AD751),IF(CFG_BRK="Extras primero",MIN(AM751,MAX(0,AF751-(AD751-AM751))),MIN(AF751,AM751)))</f>
        <v>0</v>
      </c>
      <c r="AO751" s="80">
        <f>AF751-AN751</f>
        <v>0</v>
      </c>
      <c r="AP751" s="80">
        <f>AM751-AN751</f>
        <v>0</v>
      </c>
      <c r="AQ751" s="80">
        <f>AD751-AM751-AO751</f>
        <v>0</v>
      </c>
      <c r="AR751" s="80">
        <f>IF(AM751=0,0,AK751-AN751*AK751/AM751)</f>
        <v>0</v>
      </c>
      <c r="AS751" s="80">
        <f>IF(AD751-AM751=0,0,(AJ751-AK751)-AO751*(AJ751-AK751)/(AD751-AM751))</f>
        <v>0</v>
      </c>
      <c r="AT751" s="80" t="str">
        <f>IF(AC751=1,INT(B751)+1,"")</f>
        <v/>
      </c>
      <c r="AU751" s="80">
        <f>IF(AND(D751="proMX",R751="Cancelled"),0,1)</f>
        <v>1</v>
      </c>
      <c r="AV751" s="80">
        <f>IF(AND(AB751=1,AU751=1),IF(COUNTIFS($D$5:D750,D751,$B$5:B750,B751,$Z$5:Z750,Z751,$AA$5:AA750,AA751,$F$5:F750,F751&amp;"",$AU$5:AU750,1)&gt;0,1,0),0)</f>
        <v>0</v>
      </c>
      <c r="AW751" s="80" t="str">
        <f>IF(AB751=1,INT(B751)*1440+Z751,"")</f>
        <v/>
      </c>
      <c r="AX751" s="80" t="str">
        <f>IF(AB751=1,AW751+AD751,"")</f>
        <v/>
      </c>
      <c r="AY751" s="80">
        <f>IF(AND(AB751=1,AV751=0,AU751=1),1,0)</f>
        <v>0</v>
      </c>
      <c r="AZ751" s="80">
        <f>IF(AY751=1,COUNTIFS(R_Emp,D751,R_SAbs,"&lt;"&amp;AX751,R_EAbs,"&gt;"&amp;AW751,R_OKey,1)-1,0)</f>
        <v>0</v>
      </c>
      <c r="BA751" s="80">
        <f>IF(AY751=1,COUNTIFS(R_Emp,"&lt;&gt;"&amp;D751,R_SAbs,"&lt;"&amp;AX751,R_EAbs,"&gt;"&amp;AW751,R_OKey,1),0)</f>
        <v>0</v>
      </c>
      <c r="BB751" s="80">
        <f>IF(AND(AB751=1,D751="proMX"),IF(AND(MOD(Z751,CFG_BLK)=0,MOD(AA751,CFG_BLK)=0,MOD(AG751,CFG_BLK)=0,AG751&gt;0),1,0),1)</f>
        <v>1</v>
      </c>
      <c r="BC751" s="80" t="str">
        <f>IF(Y751=0,"",IF(NOT(ISNUMBER(B751)),"Falta fecha o fecha inválida",IF(D751="","Falta empresa",IF(AND(D751&lt;&gt;"Malcolm",D751&lt;&gt;"proMX"),"Empresa inválida",IF(OR(INT(B751)&lt;CFG_PSTART,INT(B751)&gt;CFG_PEND),"Fecha fuera del período",IF(OR(NOT(ISNUMBER(Z751)),NOT(ISNUMBER(AA751))),"Falta hora inicio/fin o formato inválido",IF(AB751=0,"Hora inicio = hora fin",IF(AE751&lt;0,"Descanso inválido",IF(AE751&gt;=AD751,"Descanso ≥ duración",IF(AV751=1,"Registro duplicado",IF(AZ751&gt;0,"Se superpone con otro registro "&amp;D751,IF(BB751=0,"inicio, fin y duración neta deben ser múltiplos de "&amp;CFG_BLK&amp;" min",""))))))))))))</f>
        <v/>
      </c>
      <c r="BD751" s="80">
        <f>IF(AND(Y751=1,BC751=""),1,0)</f>
        <v>0</v>
      </c>
      <c r="BE751" s="80">
        <f>IF(AND(BD751=1,AU751=1),1,0)</f>
        <v>0</v>
      </c>
      <c r="BF751" s="80" t="str">
        <f>IF(AND(D751="proMX",BD751=1),IF(R751="","Draft",R751),"")</f>
        <v/>
      </c>
      <c r="BG751" s="80">
        <f>IF(BD751=1,ROUND(AG751/60,6),0)</f>
        <v>0</v>
      </c>
      <c r="BH751" s="80">
        <f>IF(BE751=1,ROUND(AG751/60,6),0)</f>
        <v>0</v>
      </c>
      <c r="BI751" s="80">
        <f>IF(BE751=1,ROUND(AP751/60,6),0)</f>
        <v>0</v>
      </c>
      <c r="BJ751" s="80">
        <f>IF(BE751=1,ROUND(AQ751/60,6),0)</f>
        <v>0</v>
      </c>
      <c r="BK751" s="80">
        <f>IF(BE751=1,ROUND((AR751+AS751)/60,6),0)</f>
        <v>0</v>
      </c>
      <c r="BL751" s="80">
        <f>ROUND(BH751-BK751,6)</f>
        <v>0</v>
      </c>
      <c r="BM751" s="80">
        <f>IF(BE751=1,ROUND(AR751/60,6),0)</f>
        <v>0</v>
      </c>
      <c r="BN751" s="80">
        <f>ROUND(BI751-BM751,6)</f>
        <v>0</v>
      </c>
      <c r="BO751" s="80">
        <f>IF(BE751=1,ROUND(AS751/60,6),0)</f>
        <v>0</v>
      </c>
      <c r="BP751" s="80">
        <f>ROUND(BJ751-BO751,6)</f>
        <v>0</v>
      </c>
      <c r="BQ751" s="80">
        <f>IF(BE751=1,AW751,0)</f>
        <v>0</v>
      </c>
      <c r="BR751" s="80">
        <f>IF(BE751=1,AX751,0)</f>
        <v>0</v>
      </c>
      <c r="BS751" s="80">
        <f>IF(AND(BE751=1,D751="Malcolm",BA751&gt;0),MIN(BH751,SUMPRODUCT((R_Emp="proMX")*(R_EN&gt;0)*((R_EN-(R_EN&gt;BR751)*(R_EN-BR751))&gt;(R_SN+(R_SN&lt;BQ751)*(BQ751-R_SN)))*((R_EN-(R_EN&gt;BR751)*(R_EN-BR751))-(R_SN+(R_SN&lt;BQ751)*(BQ751-R_SN))))/60),0)</f>
        <v>0</v>
      </c>
      <c r="BT751" s="80">
        <f>IF(AND(BE751=1,D751="proMX"),ROUND(BI751*CFG_RATE+BJ751*CFG_OTRATE,6),0)</f>
        <v>0</v>
      </c>
      <c r="BU751" s="80">
        <f>IF(AND(BD751=1,D751="proMX"),ROUND(AG751/CFG_BLK,6),0)</f>
        <v>0</v>
      </c>
      <c r="BV751" s="80" t="str">
        <f>IF(BF751="Approved",IF(ISNUMBER(T751),INT(T751),INT(B751)),"")</f>
        <v/>
      </c>
      <c r="BW751" s="80">
        <f>IF(ISNUMBER(B751),IF(DB_MON="Todos",1,IF(AND(INT(B751)&gt;=DB_MS,INT(B751)&lt;=DB_ME),1,0)),0)</f>
        <v>0</v>
      </c>
      <c r="BX751" s="80">
        <f>IF(DB_PROJ="Todos",1,IF(E751&amp;""=DB_PROJ&amp;"",1,0))</f>
        <v>1</v>
      </c>
      <c r="BY751" s="80">
        <f>BW751*BX751</f>
        <v>0</v>
      </c>
      <c r="BZ751" s="80" t="str">
        <f>IF(Y751=1,F751&amp;IF(AND(F751&amp;""&lt;&gt;"",E751&amp;""&lt;&gt;"")," · ","")&amp;E751,"")</f>
        <v/>
      </c>
      <c r="CA751" s="80" t="str">
        <f>IF(AND(BD751=1,E751&amp;""&lt;&gt;""),IF(COUNTIFS($E$5:E750,E751,$BD$5:BD750,1)=0,MAX($CA$5:CA750)+1,""),"")</f>
        <v/>
      </c>
      <c r="CB751" s="80" t="str">
        <f>IF(AND(BE751=1,D751="Malcolm",E751&amp;""&lt;&gt;""),IF(COUNTIFS($D$5:D750,"Malcolm",$E$5:E750,E751,$BE$5:BE750,1)=0,MAX($CB$5:CB750)+1,""),"")</f>
        <v/>
      </c>
      <c r="CC751" s="80" t="str">
        <f>IF(AND(BD751=1,D751="proMX",E751&amp;""&lt;&gt;""),IF(COUNTIFS($D$5:D750,"proMX",$E$5:E750,E751,$BD$5:BD750,1)=0,MAX($CC$5:CC750)+1,""),"")</f>
        <v/>
      </c>
      <c r="CD751" s="80" t="str">
        <f>IF(AND(BE751=1,D751="Malcolm",F751&amp;""&lt;&gt;""),IF(COUNTIFS($D$5:D750,"Malcolm",$F$5:F750,F751,$BE$5:BE750,1)=0,MAX($CD$5:CD750)+1,""),"")</f>
        <v/>
      </c>
      <c r="CE751" s="80" t="str">
        <f>IF(AND(BD751=1,D751="proMX",F751&amp;""&lt;&gt;""),IF(COUNTIFS($D$5:D750,"proMX",$F$5:F750,F751,$BD$5:BD750,1)=0,MAX($CE$5:CE750)+1,""),"")</f>
        <v/>
      </c>
      <c r="CF751" s="80" t="str">
        <f>IF(AND(D751="proMX",BD751=1),IF(OR(BF751="Draft",BF751="Submitted",BF751="Returned",BF751="Recall Requested"),MAX($CF$5:CF750)+1,""),"")</f>
        <v/>
      </c>
      <c r="CG751" s="80">
        <f>IF(BD751=0,0,IF(D751="Malcolm",1,MATCH(BF751,{"Draft","Submitted","Approved","Returned","Recall Requested","Cancelled"},0)+1))</f>
        <v>0</v>
      </c>
      <c r="CH751" s="80">
        <f>IF(AND(BF751="Submitted",ISNUMBER(V751)),IF(V751&gt;CFG_MAXD,1,0),0)</f>
        <v>0</v>
      </c>
    </row>
    <row r="752">
      <c r="A752" s="71" t="str">
        <f>IF(Y752=1,ROW()-5,"")</f>
        <v/>
      </c>
      <c r="B752" s="72" t="n"/>
      <c r="C752" s="71" t="str">
        <f>IF(ISNUMBER(B752),CHOOSE(WEEKDAY(B752,2),"Lun","Mar","Mié","Jue","Vie","Sáb","Dom"),"")</f>
        <v/>
      </c>
      <c r="D752" s="73" t="n"/>
      <c r="E752" s="74" t="n"/>
      <c r="F752" s="74" t="n"/>
      <c r="G752" s="74" t="n"/>
      <c r="H752" s="75" t="n"/>
      <c r="I752" s="75" t="n"/>
      <c r="J752" s="76" t="n"/>
      <c r="K752" s="77" t="str">
        <f>IF(AB752=1,ROUND(AG752/60,4),"")</f>
        <v/>
      </c>
      <c r="L752" s="77" t="str">
        <f>IF(BD752=1,ROUND(AP752/60,4),"")</f>
        <v/>
      </c>
      <c r="M752" s="77" t="str">
        <f>IF(BD752=1,ROUND(AQ752/60,4),"")</f>
        <v/>
      </c>
      <c r="N752" s="71" t="str">
        <f>IF(AND(D752="proMX",AB752=1),ROUND(AG752/CFG_BLK,2),"")</f>
        <v/>
      </c>
      <c r="O752" s="77" t="str">
        <f>IF(D752="proMX",IF(BD752=1,ROUND(AG752/60,4),0),"")</f>
        <v/>
      </c>
      <c r="P752" s="78" t="str">
        <f>IF(Y752=0,"",IF(BD752=1,"OK",IF(D752="proMX","Revisar bloques: ","Revisar: ")&amp;BC752))</f>
        <v/>
      </c>
      <c r="Q752" s="78" t="str">
        <f>IF(NOT(ISNUMBER(B752)),"",IF(COUNTIFS(FER_F,INT(B752))&gt;0,"Feriado"&amp;IF(AH752=1," (laborable)"," (no laborable)"),IF(AH752=1,"Laborable",IF(WEEKDAY(B752,2)&gt;5,"Fin de semana","No laborable"))))</f>
        <v/>
      </c>
      <c r="R752" s="73" t="n"/>
      <c r="S752" s="72" t="n"/>
      <c r="T752" s="72" t="n"/>
      <c r="U752" s="74" t="n"/>
      <c r="V752" s="79" t="str">
        <f>IF(AND(D752="proMX",OR(R752="Submitted",R752="Recall Requested"),ISNUMBER(S752)),CFG_TODAY-INT(S752),"")</f>
        <v/>
      </c>
      <c r="W752" s="78" t="str">
        <f>IF(BD752=0,"",IF(BA752&gt;0,"⚠ Se superpone con un registro de la otra empresa",IF(D752="Malcolm",IF(COUNTA(R752,S752,T752)&gt;0,"Estado/fechas proMX se ignoran en Malcolm",""),IF(BF752="Cancelled","Cancelado: excluido de totales",IF(R752="","Sin estado: se trata como Draft",IF(BF752="Submitted",IF(ISNUMBER(V752),IF(V752&gt;CFG_MAXD,"⚠ "&amp;V752&amp;" días en Submitted (máx. "&amp;CFG_MAXD&amp;")",""),"Falta fecha de envío"),IF(BF752="Returned","⚠ Devuelto: corregir y reenviar",IF(BF752="Recall Requested","Retirada solicitada: pendiente",IF(AND(BF752="Approved",NOT(ISNUMBER(T752))),"Falta fecha de aprobación",IF(AND(ISNUMBER(S752),ISNUMBER(T752),T752&lt;S752),"Aprobación anterior al envío","")))))))))</f>
        <v/>
      </c>
      <c r="Y752" s="80">
        <f>IF(COUNTA(B752,D752,E752,F752,G752,H752,I752,J752,R752,S752,T752)&gt;0,1,0)</f>
        <v>0</v>
      </c>
      <c r="Z752" s="80" t="str">
        <f>IF(AND(ISNUMBER(H752),H752&gt;=0,H752&lt;1),ROUND(H752*1440,0),"")</f>
        <v/>
      </c>
      <c r="AA752" s="80" t="str">
        <f>IF(AND(ISNUMBER(I752),I752&gt;=0,I752&lt;1),ROUND(I752*1440,0),"")</f>
        <v/>
      </c>
      <c r="AB752" s="80">
        <f>IF(AND(ISNUMBER(B752),D752&lt;&gt;"",ISNUMBER(Z752),ISNUMBER(AA752)),IF(Z752=AA752,0,1),0)</f>
        <v>0</v>
      </c>
      <c r="AC752" s="80">
        <f>IF(AB752=1,IF(AA752&lt;Z752,1,0),0)</f>
        <v>0</v>
      </c>
      <c r="AD752" s="80">
        <f>IF(AB752=1,IF(AC752=1,1440-Z752+AA752,AA752-Z752),0)</f>
        <v>0</v>
      </c>
      <c r="AE752" s="80">
        <f>IF(J752="",0,IF(ISNUMBER(J752),J752,-1))</f>
        <v>0</v>
      </c>
      <c r="AF752" s="80">
        <f>MIN(MAX(0,AE752),AD752)</f>
        <v>0</v>
      </c>
      <c r="AG752" s="80">
        <f>MAX(0,AD752-MAX(0,AE752))</f>
        <v>0</v>
      </c>
      <c r="AH752" s="80">
        <f>IF(ISNUMBER(B752),IF(AND(INDEX(CFG_WDAYS,WEEKDAY(INT(B752),2))="Sí",IF(D752="proMX",COUNTIFS(FER_F,INT(B752),FER_NLP,"Sí"),COUNTIFS(FER_F,INT(B752),FER_NLM,"Sí"))=0),1,0),0)</f>
        <v>0</v>
      </c>
      <c r="AI752" s="80">
        <f>IF(AC752=1,IF(AND(INDEX(CFG_WDAYS,WEEKDAY(INT(B752)+1,2))="Sí",IF(D752="proMX",COUNTIFS(FER_F,INT(B752)+1,FER_NLP,"Sí"),COUNTIFS(FER_F,INT(B752)+1,FER_NLM,"Sí"))=0),1,0),0)</f>
        <v>0</v>
      </c>
      <c r="AJ752" s="80">
        <f>IF(AC752=1,1440-Z752,AD752)</f>
        <v>0</v>
      </c>
      <c r="AK752" s="80">
        <f>IF(AND(AB752=1,AH752=1),MAX(0,MIN(IF(AC752=1,1440,AA752),CFG_WEM)-MAX(Z752,CFG_WSM)),0)</f>
        <v>0</v>
      </c>
      <c r="AL752" s="80">
        <f>IF(AND(AC752=1,AI752=1),MAX(0,MIN(AA752,CFG_WEM)-CFG_WSM),0)</f>
        <v>0</v>
      </c>
      <c r="AM752" s="80">
        <f>AK752+AL752</f>
        <v>0</v>
      </c>
      <c r="AN752" s="80">
        <f>IF(CFG_BRK="Proporcional",IF(AD752=0,0,AF752*AM752/AD752),IF(CFG_BRK="Extras primero",MIN(AM752,MAX(0,AF752-(AD752-AM752))),MIN(AF752,AM752)))</f>
        <v>0</v>
      </c>
      <c r="AO752" s="80">
        <f>AF752-AN752</f>
        <v>0</v>
      </c>
      <c r="AP752" s="80">
        <f>AM752-AN752</f>
        <v>0</v>
      </c>
      <c r="AQ752" s="80">
        <f>AD752-AM752-AO752</f>
        <v>0</v>
      </c>
      <c r="AR752" s="80">
        <f>IF(AM752=0,0,AK752-AN752*AK752/AM752)</f>
        <v>0</v>
      </c>
      <c r="AS752" s="80">
        <f>IF(AD752-AM752=0,0,(AJ752-AK752)-AO752*(AJ752-AK752)/(AD752-AM752))</f>
        <v>0</v>
      </c>
      <c r="AT752" s="80" t="str">
        <f>IF(AC752=1,INT(B752)+1,"")</f>
        <v/>
      </c>
      <c r="AU752" s="80">
        <f>IF(AND(D752="proMX",R752="Cancelled"),0,1)</f>
        <v>1</v>
      </c>
      <c r="AV752" s="80">
        <f>IF(AND(AB752=1,AU752=1),IF(COUNTIFS($D$5:D751,D752,$B$5:B751,B752,$Z$5:Z751,Z752,$AA$5:AA751,AA752,$F$5:F751,F752&amp;"",$AU$5:AU751,1)&gt;0,1,0),0)</f>
        <v>0</v>
      </c>
      <c r="AW752" s="80" t="str">
        <f>IF(AB752=1,INT(B752)*1440+Z752,"")</f>
        <v/>
      </c>
      <c r="AX752" s="80" t="str">
        <f>IF(AB752=1,AW752+AD752,"")</f>
        <v/>
      </c>
      <c r="AY752" s="80">
        <f>IF(AND(AB752=1,AV752=0,AU752=1),1,0)</f>
        <v>0</v>
      </c>
      <c r="AZ752" s="80">
        <f>IF(AY752=1,COUNTIFS(R_Emp,D752,R_SAbs,"&lt;"&amp;AX752,R_EAbs,"&gt;"&amp;AW752,R_OKey,1)-1,0)</f>
        <v>0</v>
      </c>
      <c r="BA752" s="80">
        <f>IF(AY752=1,COUNTIFS(R_Emp,"&lt;&gt;"&amp;D752,R_SAbs,"&lt;"&amp;AX752,R_EAbs,"&gt;"&amp;AW752,R_OKey,1),0)</f>
        <v>0</v>
      </c>
      <c r="BB752" s="80">
        <f>IF(AND(AB752=1,D752="proMX"),IF(AND(MOD(Z752,CFG_BLK)=0,MOD(AA752,CFG_BLK)=0,MOD(AG752,CFG_BLK)=0,AG752&gt;0),1,0),1)</f>
        <v>1</v>
      </c>
      <c r="BC752" s="80" t="str">
        <f>IF(Y752=0,"",IF(NOT(ISNUMBER(B752)),"Falta fecha o fecha inválida",IF(D752="","Falta empresa",IF(AND(D752&lt;&gt;"Malcolm",D752&lt;&gt;"proMX"),"Empresa inválida",IF(OR(INT(B752)&lt;CFG_PSTART,INT(B752)&gt;CFG_PEND),"Fecha fuera del período",IF(OR(NOT(ISNUMBER(Z752)),NOT(ISNUMBER(AA752))),"Falta hora inicio/fin o formato inválido",IF(AB752=0,"Hora inicio = hora fin",IF(AE752&lt;0,"Descanso inválido",IF(AE752&gt;=AD752,"Descanso ≥ duración",IF(AV752=1,"Registro duplicado",IF(AZ752&gt;0,"Se superpone con otro registro "&amp;D752,IF(BB752=0,"inicio, fin y duración neta deben ser múltiplos de "&amp;CFG_BLK&amp;" min",""))))))))))))</f>
        <v/>
      </c>
      <c r="BD752" s="80">
        <f>IF(AND(Y752=1,BC752=""),1,0)</f>
        <v>0</v>
      </c>
      <c r="BE752" s="80">
        <f>IF(AND(BD752=1,AU752=1),1,0)</f>
        <v>0</v>
      </c>
      <c r="BF752" s="80" t="str">
        <f>IF(AND(D752="proMX",BD752=1),IF(R752="","Draft",R752),"")</f>
        <v/>
      </c>
      <c r="BG752" s="80">
        <f>IF(BD752=1,ROUND(AG752/60,6),0)</f>
        <v>0</v>
      </c>
      <c r="BH752" s="80">
        <f>IF(BE752=1,ROUND(AG752/60,6),0)</f>
        <v>0</v>
      </c>
      <c r="BI752" s="80">
        <f>IF(BE752=1,ROUND(AP752/60,6),0)</f>
        <v>0</v>
      </c>
      <c r="BJ752" s="80">
        <f>IF(BE752=1,ROUND(AQ752/60,6),0)</f>
        <v>0</v>
      </c>
      <c r="BK752" s="80">
        <f>IF(BE752=1,ROUND((AR752+AS752)/60,6),0)</f>
        <v>0</v>
      </c>
      <c r="BL752" s="80">
        <f>ROUND(BH752-BK752,6)</f>
        <v>0</v>
      </c>
      <c r="BM752" s="80">
        <f>IF(BE752=1,ROUND(AR752/60,6),0)</f>
        <v>0</v>
      </c>
      <c r="BN752" s="80">
        <f>ROUND(BI752-BM752,6)</f>
        <v>0</v>
      </c>
      <c r="BO752" s="80">
        <f>IF(BE752=1,ROUND(AS752/60,6),0)</f>
        <v>0</v>
      </c>
      <c r="BP752" s="80">
        <f>ROUND(BJ752-BO752,6)</f>
        <v>0</v>
      </c>
      <c r="BQ752" s="80">
        <f>IF(BE752=1,AW752,0)</f>
        <v>0</v>
      </c>
      <c r="BR752" s="80">
        <f>IF(BE752=1,AX752,0)</f>
        <v>0</v>
      </c>
      <c r="BS752" s="80">
        <f>IF(AND(BE752=1,D752="Malcolm",BA752&gt;0),MIN(BH752,SUMPRODUCT((R_Emp="proMX")*(R_EN&gt;0)*((R_EN-(R_EN&gt;BR752)*(R_EN-BR752))&gt;(R_SN+(R_SN&lt;BQ752)*(BQ752-R_SN)))*((R_EN-(R_EN&gt;BR752)*(R_EN-BR752))-(R_SN+(R_SN&lt;BQ752)*(BQ752-R_SN))))/60),0)</f>
        <v>0</v>
      </c>
      <c r="BT752" s="80">
        <f>IF(AND(BE752=1,D752="proMX"),ROUND(BI752*CFG_RATE+BJ752*CFG_OTRATE,6),0)</f>
        <v>0</v>
      </c>
      <c r="BU752" s="80">
        <f>IF(AND(BD752=1,D752="proMX"),ROUND(AG752/CFG_BLK,6),0)</f>
        <v>0</v>
      </c>
      <c r="BV752" s="80" t="str">
        <f>IF(BF752="Approved",IF(ISNUMBER(T752),INT(T752),INT(B752)),"")</f>
        <v/>
      </c>
      <c r="BW752" s="80">
        <f>IF(ISNUMBER(B752),IF(DB_MON="Todos",1,IF(AND(INT(B752)&gt;=DB_MS,INT(B752)&lt;=DB_ME),1,0)),0)</f>
        <v>0</v>
      </c>
      <c r="BX752" s="80">
        <f>IF(DB_PROJ="Todos",1,IF(E752&amp;""=DB_PROJ&amp;"",1,0))</f>
        <v>1</v>
      </c>
      <c r="BY752" s="80">
        <f>BW752*BX752</f>
        <v>0</v>
      </c>
      <c r="BZ752" s="80" t="str">
        <f>IF(Y752=1,F752&amp;IF(AND(F752&amp;""&lt;&gt;"",E752&amp;""&lt;&gt;"")," · ","")&amp;E752,"")</f>
        <v/>
      </c>
      <c r="CA752" s="80" t="str">
        <f>IF(AND(BD752=1,E752&amp;""&lt;&gt;""),IF(COUNTIFS($E$5:E751,E752,$BD$5:BD751,1)=0,MAX($CA$5:CA751)+1,""),"")</f>
        <v/>
      </c>
      <c r="CB752" s="80" t="str">
        <f>IF(AND(BE752=1,D752="Malcolm",E752&amp;""&lt;&gt;""),IF(COUNTIFS($D$5:D751,"Malcolm",$E$5:E751,E752,$BE$5:BE751,1)=0,MAX($CB$5:CB751)+1,""),"")</f>
        <v/>
      </c>
      <c r="CC752" s="80" t="str">
        <f>IF(AND(BD752=1,D752="proMX",E752&amp;""&lt;&gt;""),IF(COUNTIFS($D$5:D751,"proMX",$E$5:E751,E752,$BD$5:BD751,1)=0,MAX($CC$5:CC751)+1,""),"")</f>
        <v/>
      </c>
      <c r="CD752" s="80" t="str">
        <f>IF(AND(BE752=1,D752="Malcolm",F752&amp;""&lt;&gt;""),IF(COUNTIFS($D$5:D751,"Malcolm",$F$5:F751,F752,$BE$5:BE751,1)=0,MAX($CD$5:CD751)+1,""),"")</f>
        <v/>
      </c>
      <c r="CE752" s="80" t="str">
        <f>IF(AND(BD752=1,D752="proMX",F752&amp;""&lt;&gt;""),IF(COUNTIFS($D$5:D751,"proMX",$F$5:F751,F752,$BD$5:BD751,1)=0,MAX($CE$5:CE751)+1,""),"")</f>
        <v/>
      </c>
      <c r="CF752" s="80" t="str">
        <f>IF(AND(D752="proMX",BD752=1),IF(OR(BF752="Draft",BF752="Submitted",BF752="Returned",BF752="Recall Requested"),MAX($CF$5:CF751)+1,""),"")</f>
        <v/>
      </c>
      <c r="CG752" s="80">
        <f>IF(BD752=0,0,IF(D752="Malcolm",1,MATCH(BF752,{"Draft","Submitted","Approved","Returned","Recall Requested","Cancelled"},0)+1))</f>
        <v>0</v>
      </c>
      <c r="CH752" s="80">
        <f>IF(AND(BF752="Submitted",ISNUMBER(V752)),IF(V752&gt;CFG_MAXD,1,0),0)</f>
        <v>0</v>
      </c>
    </row>
    <row r="753">
      <c r="A753" s="71" t="str">
        <f>IF(Y753=1,ROW()-5,"")</f>
        <v/>
      </c>
      <c r="B753" s="72" t="n"/>
      <c r="C753" s="71" t="str">
        <f>IF(ISNUMBER(B753),CHOOSE(WEEKDAY(B753,2),"Lun","Mar","Mié","Jue","Vie","Sáb","Dom"),"")</f>
        <v/>
      </c>
      <c r="D753" s="73" t="n"/>
      <c r="E753" s="74" t="n"/>
      <c r="F753" s="74" t="n"/>
      <c r="G753" s="74" t="n"/>
      <c r="H753" s="75" t="n"/>
      <c r="I753" s="75" t="n"/>
      <c r="J753" s="76" t="n"/>
      <c r="K753" s="77" t="str">
        <f>IF(AB753=1,ROUND(AG753/60,4),"")</f>
        <v/>
      </c>
      <c r="L753" s="77" t="str">
        <f>IF(BD753=1,ROUND(AP753/60,4),"")</f>
        <v/>
      </c>
      <c r="M753" s="77" t="str">
        <f>IF(BD753=1,ROUND(AQ753/60,4),"")</f>
        <v/>
      </c>
      <c r="N753" s="71" t="str">
        <f>IF(AND(D753="proMX",AB753=1),ROUND(AG753/CFG_BLK,2),"")</f>
        <v/>
      </c>
      <c r="O753" s="77" t="str">
        <f>IF(D753="proMX",IF(BD753=1,ROUND(AG753/60,4),0),"")</f>
        <v/>
      </c>
      <c r="P753" s="78" t="str">
        <f>IF(Y753=0,"",IF(BD753=1,"OK",IF(D753="proMX","Revisar bloques: ","Revisar: ")&amp;BC753))</f>
        <v/>
      </c>
      <c r="Q753" s="78" t="str">
        <f>IF(NOT(ISNUMBER(B753)),"",IF(COUNTIFS(FER_F,INT(B753))&gt;0,"Feriado"&amp;IF(AH753=1," (laborable)"," (no laborable)"),IF(AH753=1,"Laborable",IF(WEEKDAY(B753,2)&gt;5,"Fin de semana","No laborable"))))</f>
        <v/>
      </c>
      <c r="R753" s="73" t="n"/>
      <c r="S753" s="72" t="n"/>
      <c r="T753" s="72" t="n"/>
      <c r="U753" s="74" t="n"/>
      <c r="V753" s="79" t="str">
        <f>IF(AND(D753="proMX",OR(R753="Submitted",R753="Recall Requested"),ISNUMBER(S753)),CFG_TODAY-INT(S753),"")</f>
        <v/>
      </c>
      <c r="W753" s="78" t="str">
        <f>IF(BD753=0,"",IF(BA753&gt;0,"⚠ Se superpone con un registro de la otra empresa",IF(D753="Malcolm",IF(COUNTA(R753,S753,T753)&gt;0,"Estado/fechas proMX se ignoran en Malcolm",""),IF(BF753="Cancelled","Cancelado: excluido de totales",IF(R753="","Sin estado: se trata como Draft",IF(BF753="Submitted",IF(ISNUMBER(V753),IF(V753&gt;CFG_MAXD,"⚠ "&amp;V753&amp;" días en Submitted (máx. "&amp;CFG_MAXD&amp;")",""),"Falta fecha de envío"),IF(BF753="Returned","⚠ Devuelto: corregir y reenviar",IF(BF753="Recall Requested","Retirada solicitada: pendiente",IF(AND(BF753="Approved",NOT(ISNUMBER(T753))),"Falta fecha de aprobación",IF(AND(ISNUMBER(S753),ISNUMBER(T753),T753&lt;S753),"Aprobación anterior al envío","")))))))))</f>
        <v/>
      </c>
      <c r="Y753" s="80">
        <f>IF(COUNTA(B753,D753,E753,F753,G753,H753,I753,J753,R753,S753,T753)&gt;0,1,0)</f>
        <v>0</v>
      </c>
      <c r="Z753" s="80" t="str">
        <f>IF(AND(ISNUMBER(H753),H753&gt;=0,H753&lt;1),ROUND(H753*1440,0),"")</f>
        <v/>
      </c>
      <c r="AA753" s="80" t="str">
        <f>IF(AND(ISNUMBER(I753),I753&gt;=0,I753&lt;1),ROUND(I753*1440,0),"")</f>
        <v/>
      </c>
      <c r="AB753" s="80">
        <f>IF(AND(ISNUMBER(B753),D753&lt;&gt;"",ISNUMBER(Z753),ISNUMBER(AA753)),IF(Z753=AA753,0,1),0)</f>
        <v>0</v>
      </c>
      <c r="AC753" s="80">
        <f>IF(AB753=1,IF(AA753&lt;Z753,1,0),0)</f>
        <v>0</v>
      </c>
      <c r="AD753" s="80">
        <f>IF(AB753=1,IF(AC753=1,1440-Z753+AA753,AA753-Z753),0)</f>
        <v>0</v>
      </c>
      <c r="AE753" s="80">
        <f>IF(J753="",0,IF(ISNUMBER(J753),J753,-1))</f>
        <v>0</v>
      </c>
      <c r="AF753" s="80">
        <f>MIN(MAX(0,AE753),AD753)</f>
        <v>0</v>
      </c>
      <c r="AG753" s="80">
        <f>MAX(0,AD753-MAX(0,AE753))</f>
        <v>0</v>
      </c>
      <c r="AH753" s="80">
        <f>IF(ISNUMBER(B753),IF(AND(INDEX(CFG_WDAYS,WEEKDAY(INT(B753),2))="Sí",IF(D753="proMX",COUNTIFS(FER_F,INT(B753),FER_NLP,"Sí"),COUNTIFS(FER_F,INT(B753),FER_NLM,"Sí"))=0),1,0),0)</f>
        <v>0</v>
      </c>
      <c r="AI753" s="80">
        <f>IF(AC753=1,IF(AND(INDEX(CFG_WDAYS,WEEKDAY(INT(B753)+1,2))="Sí",IF(D753="proMX",COUNTIFS(FER_F,INT(B753)+1,FER_NLP,"Sí"),COUNTIFS(FER_F,INT(B753)+1,FER_NLM,"Sí"))=0),1,0),0)</f>
        <v>0</v>
      </c>
      <c r="AJ753" s="80">
        <f>IF(AC753=1,1440-Z753,AD753)</f>
        <v>0</v>
      </c>
      <c r="AK753" s="80">
        <f>IF(AND(AB753=1,AH753=1),MAX(0,MIN(IF(AC753=1,1440,AA753),CFG_WEM)-MAX(Z753,CFG_WSM)),0)</f>
        <v>0</v>
      </c>
      <c r="AL753" s="80">
        <f>IF(AND(AC753=1,AI753=1),MAX(0,MIN(AA753,CFG_WEM)-CFG_WSM),0)</f>
        <v>0</v>
      </c>
      <c r="AM753" s="80">
        <f>AK753+AL753</f>
        <v>0</v>
      </c>
      <c r="AN753" s="80">
        <f>IF(CFG_BRK="Proporcional",IF(AD753=0,0,AF753*AM753/AD753),IF(CFG_BRK="Extras primero",MIN(AM753,MAX(0,AF753-(AD753-AM753))),MIN(AF753,AM753)))</f>
        <v>0</v>
      </c>
      <c r="AO753" s="80">
        <f>AF753-AN753</f>
        <v>0</v>
      </c>
      <c r="AP753" s="80">
        <f>AM753-AN753</f>
        <v>0</v>
      </c>
      <c r="AQ753" s="80">
        <f>AD753-AM753-AO753</f>
        <v>0</v>
      </c>
      <c r="AR753" s="80">
        <f>IF(AM753=0,0,AK753-AN753*AK753/AM753)</f>
        <v>0</v>
      </c>
      <c r="AS753" s="80">
        <f>IF(AD753-AM753=0,0,(AJ753-AK753)-AO753*(AJ753-AK753)/(AD753-AM753))</f>
        <v>0</v>
      </c>
      <c r="AT753" s="80" t="str">
        <f>IF(AC753=1,INT(B753)+1,"")</f>
        <v/>
      </c>
      <c r="AU753" s="80">
        <f>IF(AND(D753="proMX",R753="Cancelled"),0,1)</f>
        <v>1</v>
      </c>
      <c r="AV753" s="80">
        <f>IF(AND(AB753=1,AU753=1),IF(COUNTIFS($D$5:D752,D753,$B$5:B752,B753,$Z$5:Z752,Z753,$AA$5:AA752,AA753,$F$5:F752,F753&amp;"",$AU$5:AU752,1)&gt;0,1,0),0)</f>
        <v>0</v>
      </c>
      <c r="AW753" s="80" t="str">
        <f>IF(AB753=1,INT(B753)*1440+Z753,"")</f>
        <v/>
      </c>
      <c r="AX753" s="80" t="str">
        <f>IF(AB753=1,AW753+AD753,"")</f>
        <v/>
      </c>
      <c r="AY753" s="80">
        <f>IF(AND(AB753=1,AV753=0,AU753=1),1,0)</f>
        <v>0</v>
      </c>
      <c r="AZ753" s="80">
        <f>IF(AY753=1,COUNTIFS(R_Emp,D753,R_SAbs,"&lt;"&amp;AX753,R_EAbs,"&gt;"&amp;AW753,R_OKey,1)-1,0)</f>
        <v>0</v>
      </c>
      <c r="BA753" s="80">
        <f>IF(AY753=1,COUNTIFS(R_Emp,"&lt;&gt;"&amp;D753,R_SAbs,"&lt;"&amp;AX753,R_EAbs,"&gt;"&amp;AW753,R_OKey,1),0)</f>
        <v>0</v>
      </c>
      <c r="BB753" s="80">
        <f>IF(AND(AB753=1,D753="proMX"),IF(AND(MOD(Z753,CFG_BLK)=0,MOD(AA753,CFG_BLK)=0,MOD(AG753,CFG_BLK)=0,AG753&gt;0),1,0),1)</f>
        <v>1</v>
      </c>
      <c r="BC753" s="80" t="str">
        <f>IF(Y753=0,"",IF(NOT(ISNUMBER(B753)),"Falta fecha o fecha inválida",IF(D753="","Falta empresa",IF(AND(D753&lt;&gt;"Malcolm",D753&lt;&gt;"proMX"),"Empresa inválida",IF(OR(INT(B753)&lt;CFG_PSTART,INT(B753)&gt;CFG_PEND),"Fecha fuera del período",IF(OR(NOT(ISNUMBER(Z753)),NOT(ISNUMBER(AA753))),"Falta hora inicio/fin o formato inválido",IF(AB753=0,"Hora inicio = hora fin",IF(AE753&lt;0,"Descanso inválido",IF(AE753&gt;=AD753,"Descanso ≥ duración",IF(AV753=1,"Registro duplicado",IF(AZ753&gt;0,"Se superpone con otro registro "&amp;D753,IF(BB753=0,"inicio, fin y duración neta deben ser múltiplos de "&amp;CFG_BLK&amp;" min",""))))))))))))</f>
        <v/>
      </c>
      <c r="BD753" s="80">
        <f>IF(AND(Y753=1,BC753=""),1,0)</f>
        <v>0</v>
      </c>
      <c r="BE753" s="80">
        <f>IF(AND(BD753=1,AU753=1),1,0)</f>
        <v>0</v>
      </c>
      <c r="BF753" s="80" t="str">
        <f>IF(AND(D753="proMX",BD753=1),IF(R753="","Draft",R753),"")</f>
        <v/>
      </c>
      <c r="BG753" s="80">
        <f>IF(BD753=1,ROUND(AG753/60,6),0)</f>
        <v>0</v>
      </c>
      <c r="BH753" s="80">
        <f>IF(BE753=1,ROUND(AG753/60,6),0)</f>
        <v>0</v>
      </c>
      <c r="BI753" s="80">
        <f>IF(BE753=1,ROUND(AP753/60,6),0)</f>
        <v>0</v>
      </c>
      <c r="BJ753" s="80">
        <f>IF(BE753=1,ROUND(AQ753/60,6),0)</f>
        <v>0</v>
      </c>
      <c r="BK753" s="80">
        <f>IF(BE753=1,ROUND((AR753+AS753)/60,6),0)</f>
        <v>0</v>
      </c>
      <c r="BL753" s="80">
        <f>ROUND(BH753-BK753,6)</f>
        <v>0</v>
      </c>
      <c r="BM753" s="80">
        <f>IF(BE753=1,ROUND(AR753/60,6),0)</f>
        <v>0</v>
      </c>
      <c r="BN753" s="80">
        <f>ROUND(BI753-BM753,6)</f>
        <v>0</v>
      </c>
      <c r="BO753" s="80">
        <f>IF(BE753=1,ROUND(AS753/60,6),0)</f>
        <v>0</v>
      </c>
      <c r="BP753" s="80">
        <f>ROUND(BJ753-BO753,6)</f>
        <v>0</v>
      </c>
      <c r="BQ753" s="80">
        <f>IF(BE753=1,AW753,0)</f>
        <v>0</v>
      </c>
      <c r="BR753" s="80">
        <f>IF(BE753=1,AX753,0)</f>
        <v>0</v>
      </c>
      <c r="BS753" s="80">
        <f>IF(AND(BE753=1,D753="Malcolm",BA753&gt;0),MIN(BH753,SUMPRODUCT((R_Emp="proMX")*(R_EN&gt;0)*((R_EN-(R_EN&gt;BR753)*(R_EN-BR753))&gt;(R_SN+(R_SN&lt;BQ753)*(BQ753-R_SN)))*((R_EN-(R_EN&gt;BR753)*(R_EN-BR753))-(R_SN+(R_SN&lt;BQ753)*(BQ753-R_SN))))/60),0)</f>
        <v>0</v>
      </c>
      <c r="BT753" s="80">
        <f>IF(AND(BE753=1,D753="proMX"),ROUND(BI753*CFG_RATE+BJ753*CFG_OTRATE,6),0)</f>
        <v>0</v>
      </c>
      <c r="BU753" s="80">
        <f>IF(AND(BD753=1,D753="proMX"),ROUND(AG753/CFG_BLK,6),0)</f>
        <v>0</v>
      </c>
      <c r="BV753" s="80" t="str">
        <f>IF(BF753="Approved",IF(ISNUMBER(T753),INT(T753),INT(B753)),"")</f>
        <v/>
      </c>
      <c r="BW753" s="80">
        <f>IF(ISNUMBER(B753),IF(DB_MON="Todos",1,IF(AND(INT(B753)&gt;=DB_MS,INT(B753)&lt;=DB_ME),1,0)),0)</f>
        <v>0</v>
      </c>
      <c r="BX753" s="80">
        <f>IF(DB_PROJ="Todos",1,IF(E753&amp;""=DB_PROJ&amp;"",1,0))</f>
        <v>1</v>
      </c>
      <c r="BY753" s="80">
        <f>BW753*BX753</f>
        <v>0</v>
      </c>
      <c r="BZ753" s="80" t="str">
        <f>IF(Y753=1,F753&amp;IF(AND(F753&amp;""&lt;&gt;"",E753&amp;""&lt;&gt;"")," · ","")&amp;E753,"")</f>
        <v/>
      </c>
      <c r="CA753" s="80" t="str">
        <f>IF(AND(BD753=1,E753&amp;""&lt;&gt;""),IF(COUNTIFS($E$5:E752,E753,$BD$5:BD752,1)=0,MAX($CA$5:CA752)+1,""),"")</f>
        <v/>
      </c>
      <c r="CB753" s="80" t="str">
        <f>IF(AND(BE753=1,D753="Malcolm",E753&amp;""&lt;&gt;""),IF(COUNTIFS($D$5:D752,"Malcolm",$E$5:E752,E753,$BE$5:BE752,1)=0,MAX($CB$5:CB752)+1,""),"")</f>
        <v/>
      </c>
      <c r="CC753" s="80" t="str">
        <f>IF(AND(BD753=1,D753="proMX",E753&amp;""&lt;&gt;""),IF(COUNTIFS($D$5:D752,"proMX",$E$5:E752,E753,$BD$5:BD752,1)=0,MAX($CC$5:CC752)+1,""),"")</f>
        <v/>
      </c>
      <c r="CD753" s="80" t="str">
        <f>IF(AND(BE753=1,D753="Malcolm",F753&amp;""&lt;&gt;""),IF(COUNTIFS($D$5:D752,"Malcolm",$F$5:F752,F753,$BE$5:BE752,1)=0,MAX($CD$5:CD752)+1,""),"")</f>
        <v/>
      </c>
      <c r="CE753" s="80" t="str">
        <f>IF(AND(BD753=1,D753="proMX",F753&amp;""&lt;&gt;""),IF(COUNTIFS($D$5:D752,"proMX",$F$5:F752,F753,$BD$5:BD752,1)=0,MAX($CE$5:CE752)+1,""),"")</f>
        <v/>
      </c>
      <c r="CF753" s="80" t="str">
        <f>IF(AND(D753="proMX",BD753=1),IF(OR(BF753="Draft",BF753="Submitted",BF753="Returned",BF753="Recall Requested"),MAX($CF$5:CF752)+1,""),"")</f>
        <v/>
      </c>
      <c r="CG753" s="80">
        <f>IF(BD753=0,0,IF(D753="Malcolm",1,MATCH(BF753,{"Draft","Submitted","Approved","Returned","Recall Requested","Cancelled"},0)+1))</f>
        <v>0</v>
      </c>
      <c r="CH753" s="80">
        <f>IF(AND(BF753="Submitted",ISNUMBER(V753)),IF(V753&gt;CFG_MAXD,1,0),0)</f>
        <v>0</v>
      </c>
    </row>
    <row r="754">
      <c r="A754" s="71" t="str">
        <f>IF(Y754=1,ROW()-5,"")</f>
        <v/>
      </c>
      <c r="B754" s="72" t="n"/>
      <c r="C754" s="71" t="str">
        <f>IF(ISNUMBER(B754),CHOOSE(WEEKDAY(B754,2),"Lun","Mar","Mié","Jue","Vie","Sáb","Dom"),"")</f>
        <v/>
      </c>
      <c r="D754" s="73" t="n"/>
      <c r="E754" s="74" t="n"/>
      <c r="F754" s="74" t="n"/>
      <c r="G754" s="74" t="n"/>
      <c r="H754" s="75" t="n"/>
      <c r="I754" s="75" t="n"/>
      <c r="J754" s="76" t="n"/>
      <c r="K754" s="77" t="str">
        <f>IF(AB754=1,ROUND(AG754/60,4),"")</f>
        <v/>
      </c>
      <c r="L754" s="77" t="str">
        <f>IF(BD754=1,ROUND(AP754/60,4),"")</f>
        <v/>
      </c>
      <c r="M754" s="77" t="str">
        <f>IF(BD754=1,ROUND(AQ754/60,4),"")</f>
        <v/>
      </c>
      <c r="N754" s="71" t="str">
        <f>IF(AND(D754="proMX",AB754=1),ROUND(AG754/CFG_BLK,2),"")</f>
        <v/>
      </c>
      <c r="O754" s="77" t="str">
        <f>IF(D754="proMX",IF(BD754=1,ROUND(AG754/60,4),0),"")</f>
        <v/>
      </c>
      <c r="P754" s="78" t="str">
        <f>IF(Y754=0,"",IF(BD754=1,"OK",IF(D754="proMX","Revisar bloques: ","Revisar: ")&amp;BC754))</f>
        <v/>
      </c>
      <c r="Q754" s="78" t="str">
        <f>IF(NOT(ISNUMBER(B754)),"",IF(COUNTIFS(FER_F,INT(B754))&gt;0,"Feriado"&amp;IF(AH754=1," (laborable)"," (no laborable)"),IF(AH754=1,"Laborable",IF(WEEKDAY(B754,2)&gt;5,"Fin de semana","No laborable"))))</f>
        <v/>
      </c>
      <c r="R754" s="73" t="n"/>
      <c r="S754" s="72" t="n"/>
      <c r="T754" s="72" t="n"/>
      <c r="U754" s="74" t="n"/>
      <c r="V754" s="79" t="str">
        <f>IF(AND(D754="proMX",OR(R754="Submitted",R754="Recall Requested"),ISNUMBER(S754)),CFG_TODAY-INT(S754),"")</f>
        <v/>
      </c>
      <c r="W754" s="78" t="str">
        <f>IF(BD754=0,"",IF(BA754&gt;0,"⚠ Se superpone con un registro de la otra empresa",IF(D754="Malcolm",IF(COUNTA(R754,S754,T754)&gt;0,"Estado/fechas proMX se ignoran en Malcolm",""),IF(BF754="Cancelled","Cancelado: excluido de totales",IF(R754="","Sin estado: se trata como Draft",IF(BF754="Submitted",IF(ISNUMBER(V754),IF(V754&gt;CFG_MAXD,"⚠ "&amp;V754&amp;" días en Submitted (máx. "&amp;CFG_MAXD&amp;")",""),"Falta fecha de envío"),IF(BF754="Returned","⚠ Devuelto: corregir y reenviar",IF(BF754="Recall Requested","Retirada solicitada: pendiente",IF(AND(BF754="Approved",NOT(ISNUMBER(T754))),"Falta fecha de aprobación",IF(AND(ISNUMBER(S754),ISNUMBER(T754),T754&lt;S754),"Aprobación anterior al envío","")))))))))</f>
        <v/>
      </c>
      <c r="Y754" s="80">
        <f>IF(COUNTA(B754,D754,E754,F754,G754,H754,I754,J754,R754,S754,T754)&gt;0,1,0)</f>
        <v>0</v>
      </c>
      <c r="Z754" s="80" t="str">
        <f>IF(AND(ISNUMBER(H754),H754&gt;=0,H754&lt;1),ROUND(H754*1440,0),"")</f>
        <v/>
      </c>
      <c r="AA754" s="80" t="str">
        <f>IF(AND(ISNUMBER(I754),I754&gt;=0,I754&lt;1),ROUND(I754*1440,0),"")</f>
        <v/>
      </c>
      <c r="AB754" s="80">
        <f>IF(AND(ISNUMBER(B754),D754&lt;&gt;"",ISNUMBER(Z754),ISNUMBER(AA754)),IF(Z754=AA754,0,1),0)</f>
        <v>0</v>
      </c>
      <c r="AC754" s="80">
        <f>IF(AB754=1,IF(AA754&lt;Z754,1,0),0)</f>
        <v>0</v>
      </c>
      <c r="AD754" s="80">
        <f>IF(AB754=1,IF(AC754=1,1440-Z754+AA754,AA754-Z754),0)</f>
        <v>0</v>
      </c>
      <c r="AE754" s="80">
        <f>IF(J754="",0,IF(ISNUMBER(J754),J754,-1))</f>
        <v>0</v>
      </c>
      <c r="AF754" s="80">
        <f>MIN(MAX(0,AE754),AD754)</f>
        <v>0</v>
      </c>
      <c r="AG754" s="80">
        <f>MAX(0,AD754-MAX(0,AE754))</f>
        <v>0</v>
      </c>
      <c r="AH754" s="80">
        <f>IF(ISNUMBER(B754),IF(AND(INDEX(CFG_WDAYS,WEEKDAY(INT(B754),2))="Sí",IF(D754="proMX",COUNTIFS(FER_F,INT(B754),FER_NLP,"Sí"),COUNTIFS(FER_F,INT(B754),FER_NLM,"Sí"))=0),1,0),0)</f>
        <v>0</v>
      </c>
      <c r="AI754" s="80">
        <f>IF(AC754=1,IF(AND(INDEX(CFG_WDAYS,WEEKDAY(INT(B754)+1,2))="Sí",IF(D754="proMX",COUNTIFS(FER_F,INT(B754)+1,FER_NLP,"Sí"),COUNTIFS(FER_F,INT(B754)+1,FER_NLM,"Sí"))=0),1,0),0)</f>
        <v>0</v>
      </c>
      <c r="AJ754" s="80">
        <f>IF(AC754=1,1440-Z754,AD754)</f>
        <v>0</v>
      </c>
      <c r="AK754" s="80">
        <f>IF(AND(AB754=1,AH754=1),MAX(0,MIN(IF(AC754=1,1440,AA754),CFG_WEM)-MAX(Z754,CFG_WSM)),0)</f>
        <v>0</v>
      </c>
      <c r="AL754" s="80">
        <f>IF(AND(AC754=1,AI754=1),MAX(0,MIN(AA754,CFG_WEM)-CFG_WSM),0)</f>
        <v>0</v>
      </c>
      <c r="AM754" s="80">
        <f>AK754+AL754</f>
        <v>0</v>
      </c>
      <c r="AN754" s="80">
        <f>IF(CFG_BRK="Proporcional",IF(AD754=0,0,AF754*AM754/AD754),IF(CFG_BRK="Extras primero",MIN(AM754,MAX(0,AF754-(AD754-AM754))),MIN(AF754,AM754)))</f>
        <v>0</v>
      </c>
      <c r="AO754" s="80">
        <f>AF754-AN754</f>
        <v>0</v>
      </c>
      <c r="AP754" s="80">
        <f>AM754-AN754</f>
        <v>0</v>
      </c>
      <c r="AQ754" s="80">
        <f>AD754-AM754-AO754</f>
        <v>0</v>
      </c>
      <c r="AR754" s="80">
        <f>IF(AM754=0,0,AK754-AN754*AK754/AM754)</f>
        <v>0</v>
      </c>
      <c r="AS754" s="80">
        <f>IF(AD754-AM754=0,0,(AJ754-AK754)-AO754*(AJ754-AK754)/(AD754-AM754))</f>
        <v>0</v>
      </c>
      <c r="AT754" s="80" t="str">
        <f>IF(AC754=1,INT(B754)+1,"")</f>
        <v/>
      </c>
      <c r="AU754" s="80">
        <f>IF(AND(D754="proMX",R754="Cancelled"),0,1)</f>
        <v>1</v>
      </c>
      <c r="AV754" s="80">
        <f>IF(AND(AB754=1,AU754=1),IF(COUNTIFS($D$5:D753,D754,$B$5:B753,B754,$Z$5:Z753,Z754,$AA$5:AA753,AA754,$F$5:F753,F754&amp;"",$AU$5:AU753,1)&gt;0,1,0),0)</f>
        <v>0</v>
      </c>
      <c r="AW754" s="80" t="str">
        <f>IF(AB754=1,INT(B754)*1440+Z754,"")</f>
        <v/>
      </c>
      <c r="AX754" s="80" t="str">
        <f>IF(AB754=1,AW754+AD754,"")</f>
        <v/>
      </c>
      <c r="AY754" s="80">
        <f>IF(AND(AB754=1,AV754=0,AU754=1),1,0)</f>
        <v>0</v>
      </c>
      <c r="AZ754" s="80">
        <f>IF(AY754=1,COUNTIFS(R_Emp,D754,R_SAbs,"&lt;"&amp;AX754,R_EAbs,"&gt;"&amp;AW754,R_OKey,1)-1,0)</f>
        <v>0</v>
      </c>
      <c r="BA754" s="80">
        <f>IF(AY754=1,COUNTIFS(R_Emp,"&lt;&gt;"&amp;D754,R_SAbs,"&lt;"&amp;AX754,R_EAbs,"&gt;"&amp;AW754,R_OKey,1),0)</f>
        <v>0</v>
      </c>
      <c r="BB754" s="80">
        <f>IF(AND(AB754=1,D754="proMX"),IF(AND(MOD(Z754,CFG_BLK)=0,MOD(AA754,CFG_BLK)=0,MOD(AG754,CFG_BLK)=0,AG754&gt;0),1,0),1)</f>
        <v>1</v>
      </c>
      <c r="BC754" s="80" t="str">
        <f>IF(Y754=0,"",IF(NOT(ISNUMBER(B754)),"Falta fecha o fecha inválida",IF(D754="","Falta empresa",IF(AND(D754&lt;&gt;"Malcolm",D754&lt;&gt;"proMX"),"Empresa inválida",IF(OR(INT(B754)&lt;CFG_PSTART,INT(B754)&gt;CFG_PEND),"Fecha fuera del período",IF(OR(NOT(ISNUMBER(Z754)),NOT(ISNUMBER(AA754))),"Falta hora inicio/fin o formato inválido",IF(AB754=0,"Hora inicio = hora fin",IF(AE754&lt;0,"Descanso inválido",IF(AE754&gt;=AD754,"Descanso ≥ duración",IF(AV754=1,"Registro duplicado",IF(AZ754&gt;0,"Se superpone con otro registro "&amp;D754,IF(BB754=0,"inicio, fin y duración neta deben ser múltiplos de "&amp;CFG_BLK&amp;" min",""))))))))))))</f>
        <v/>
      </c>
      <c r="BD754" s="80">
        <f>IF(AND(Y754=1,BC754=""),1,0)</f>
        <v>0</v>
      </c>
      <c r="BE754" s="80">
        <f>IF(AND(BD754=1,AU754=1),1,0)</f>
        <v>0</v>
      </c>
      <c r="BF754" s="80" t="str">
        <f>IF(AND(D754="proMX",BD754=1),IF(R754="","Draft",R754),"")</f>
        <v/>
      </c>
      <c r="BG754" s="80">
        <f>IF(BD754=1,ROUND(AG754/60,6),0)</f>
        <v>0</v>
      </c>
      <c r="BH754" s="80">
        <f>IF(BE754=1,ROUND(AG754/60,6),0)</f>
        <v>0</v>
      </c>
      <c r="BI754" s="80">
        <f>IF(BE754=1,ROUND(AP754/60,6),0)</f>
        <v>0</v>
      </c>
      <c r="BJ754" s="80">
        <f>IF(BE754=1,ROUND(AQ754/60,6),0)</f>
        <v>0</v>
      </c>
      <c r="BK754" s="80">
        <f>IF(BE754=1,ROUND((AR754+AS754)/60,6),0)</f>
        <v>0</v>
      </c>
      <c r="BL754" s="80">
        <f>ROUND(BH754-BK754,6)</f>
        <v>0</v>
      </c>
      <c r="BM754" s="80">
        <f>IF(BE754=1,ROUND(AR754/60,6),0)</f>
        <v>0</v>
      </c>
      <c r="BN754" s="80">
        <f>ROUND(BI754-BM754,6)</f>
        <v>0</v>
      </c>
      <c r="BO754" s="80">
        <f>IF(BE754=1,ROUND(AS754/60,6),0)</f>
        <v>0</v>
      </c>
      <c r="BP754" s="80">
        <f>ROUND(BJ754-BO754,6)</f>
        <v>0</v>
      </c>
      <c r="BQ754" s="80">
        <f>IF(BE754=1,AW754,0)</f>
        <v>0</v>
      </c>
      <c r="BR754" s="80">
        <f>IF(BE754=1,AX754,0)</f>
        <v>0</v>
      </c>
      <c r="BS754" s="80">
        <f>IF(AND(BE754=1,D754="Malcolm",BA754&gt;0),MIN(BH754,SUMPRODUCT((R_Emp="proMX")*(R_EN&gt;0)*((R_EN-(R_EN&gt;BR754)*(R_EN-BR754))&gt;(R_SN+(R_SN&lt;BQ754)*(BQ754-R_SN)))*((R_EN-(R_EN&gt;BR754)*(R_EN-BR754))-(R_SN+(R_SN&lt;BQ754)*(BQ754-R_SN))))/60),0)</f>
        <v>0</v>
      </c>
      <c r="BT754" s="80">
        <f>IF(AND(BE754=1,D754="proMX"),ROUND(BI754*CFG_RATE+BJ754*CFG_OTRATE,6),0)</f>
        <v>0</v>
      </c>
      <c r="BU754" s="80">
        <f>IF(AND(BD754=1,D754="proMX"),ROUND(AG754/CFG_BLK,6),0)</f>
        <v>0</v>
      </c>
      <c r="BV754" s="80" t="str">
        <f>IF(BF754="Approved",IF(ISNUMBER(T754),INT(T754),INT(B754)),"")</f>
        <v/>
      </c>
      <c r="BW754" s="80">
        <f>IF(ISNUMBER(B754),IF(DB_MON="Todos",1,IF(AND(INT(B754)&gt;=DB_MS,INT(B754)&lt;=DB_ME),1,0)),0)</f>
        <v>0</v>
      </c>
      <c r="BX754" s="80">
        <f>IF(DB_PROJ="Todos",1,IF(E754&amp;""=DB_PROJ&amp;"",1,0))</f>
        <v>1</v>
      </c>
      <c r="BY754" s="80">
        <f>BW754*BX754</f>
        <v>0</v>
      </c>
      <c r="BZ754" s="80" t="str">
        <f>IF(Y754=1,F754&amp;IF(AND(F754&amp;""&lt;&gt;"",E754&amp;""&lt;&gt;"")," · ","")&amp;E754,"")</f>
        <v/>
      </c>
      <c r="CA754" s="80" t="str">
        <f>IF(AND(BD754=1,E754&amp;""&lt;&gt;""),IF(COUNTIFS($E$5:E753,E754,$BD$5:BD753,1)=0,MAX($CA$5:CA753)+1,""),"")</f>
        <v/>
      </c>
      <c r="CB754" s="80" t="str">
        <f>IF(AND(BE754=1,D754="Malcolm",E754&amp;""&lt;&gt;""),IF(COUNTIFS($D$5:D753,"Malcolm",$E$5:E753,E754,$BE$5:BE753,1)=0,MAX($CB$5:CB753)+1,""),"")</f>
        <v/>
      </c>
      <c r="CC754" s="80" t="str">
        <f>IF(AND(BD754=1,D754="proMX",E754&amp;""&lt;&gt;""),IF(COUNTIFS($D$5:D753,"proMX",$E$5:E753,E754,$BD$5:BD753,1)=0,MAX($CC$5:CC753)+1,""),"")</f>
        <v/>
      </c>
      <c r="CD754" s="80" t="str">
        <f>IF(AND(BE754=1,D754="Malcolm",F754&amp;""&lt;&gt;""),IF(COUNTIFS($D$5:D753,"Malcolm",$F$5:F753,F754,$BE$5:BE753,1)=0,MAX($CD$5:CD753)+1,""),"")</f>
        <v/>
      </c>
      <c r="CE754" s="80" t="str">
        <f>IF(AND(BD754=1,D754="proMX",F754&amp;""&lt;&gt;""),IF(COUNTIFS($D$5:D753,"proMX",$F$5:F753,F754,$BD$5:BD753,1)=0,MAX($CE$5:CE753)+1,""),"")</f>
        <v/>
      </c>
      <c r="CF754" s="80" t="str">
        <f>IF(AND(D754="proMX",BD754=1),IF(OR(BF754="Draft",BF754="Submitted",BF754="Returned",BF754="Recall Requested"),MAX($CF$5:CF753)+1,""),"")</f>
        <v/>
      </c>
      <c r="CG754" s="80">
        <f>IF(BD754=0,0,IF(D754="Malcolm",1,MATCH(BF754,{"Draft","Submitted","Approved","Returned","Recall Requested","Cancelled"},0)+1))</f>
        <v>0</v>
      </c>
      <c r="CH754" s="80">
        <f>IF(AND(BF754="Submitted",ISNUMBER(V754)),IF(V754&gt;CFG_MAXD,1,0),0)</f>
        <v>0</v>
      </c>
    </row>
    <row r="755">
      <c r="A755" s="71" t="str">
        <f>IF(Y755=1,ROW()-5,"")</f>
        <v/>
      </c>
      <c r="B755" s="72" t="n"/>
      <c r="C755" s="71" t="str">
        <f>IF(ISNUMBER(B755),CHOOSE(WEEKDAY(B755,2),"Lun","Mar","Mié","Jue","Vie","Sáb","Dom"),"")</f>
        <v/>
      </c>
      <c r="D755" s="73" t="n"/>
      <c r="E755" s="74" t="n"/>
      <c r="F755" s="74" t="n"/>
      <c r="G755" s="74" t="n"/>
      <c r="H755" s="75" t="n"/>
      <c r="I755" s="75" t="n"/>
      <c r="J755" s="76" t="n"/>
      <c r="K755" s="77" t="str">
        <f>IF(AB755=1,ROUND(AG755/60,4),"")</f>
        <v/>
      </c>
      <c r="L755" s="77" t="str">
        <f>IF(BD755=1,ROUND(AP755/60,4),"")</f>
        <v/>
      </c>
      <c r="M755" s="77" t="str">
        <f>IF(BD755=1,ROUND(AQ755/60,4),"")</f>
        <v/>
      </c>
      <c r="N755" s="71" t="str">
        <f>IF(AND(D755="proMX",AB755=1),ROUND(AG755/CFG_BLK,2),"")</f>
        <v/>
      </c>
      <c r="O755" s="77" t="str">
        <f>IF(D755="proMX",IF(BD755=1,ROUND(AG755/60,4),0),"")</f>
        <v/>
      </c>
      <c r="P755" s="78" t="str">
        <f>IF(Y755=0,"",IF(BD755=1,"OK",IF(D755="proMX","Revisar bloques: ","Revisar: ")&amp;BC755))</f>
        <v/>
      </c>
      <c r="Q755" s="78" t="str">
        <f>IF(NOT(ISNUMBER(B755)),"",IF(COUNTIFS(FER_F,INT(B755))&gt;0,"Feriado"&amp;IF(AH755=1," (laborable)"," (no laborable)"),IF(AH755=1,"Laborable",IF(WEEKDAY(B755,2)&gt;5,"Fin de semana","No laborable"))))</f>
        <v/>
      </c>
      <c r="R755" s="73" t="n"/>
      <c r="S755" s="72" t="n"/>
      <c r="T755" s="72" t="n"/>
      <c r="U755" s="74" t="n"/>
      <c r="V755" s="79" t="str">
        <f>IF(AND(D755="proMX",OR(R755="Submitted",R755="Recall Requested"),ISNUMBER(S755)),CFG_TODAY-INT(S755),"")</f>
        <v/>
      </c>
      <c r="W755" s="78" t="str">
        <f>IF(BD755=0,"",IF(BA755&gt;0,"⚠ Se superpone con un registro de la otra empresa",IF(D755="Malcolm",IF(COUNTA(R755,S755,T755)&gt;0,"Estado/fechas proMX se ignoran en Malcolm",""),IF(BF755="Cancelled","Cancelado: excluido de totales",IF(R755="","Sin estado: se trata como Draft",IF(BF755="Submitted",IF(ISNUMBER(V755),IF(V755&gt;CFG_MAXD,"⚠ "&amp;V755&amp;" días en Submitted (máx. "&amp;CFG_MAXD&amp;")",""),"Falta fecha de envío"),IF(BF755="Returned","⚠ Devuelto: corregir y reenviar",IF(BF755="Recall Requested","Retirada solicitada: pendiente",IF(AND(BF755="Approved",NOT(ISNUMBER(T755))),"Falta fecha de aprobación",IF(AND(ISNUMBER(S755),ISNUMBER(T755),T755&lt;S755),"Aprobación anterior al envío","")))))))))</f>
        <v/>
      </c>
      <c r="Y755" s="80">
        <f>IF(COUNTA(B755,D755,E755,F755,G755,H755,I755,J755,R755,S755,T755)&gt;0,1,0)</f>
        <v>0</v>
      </c>
      <c r="Z755" s="80" t="str">
        <f>IF(AND(ISNUMBER(H755),H755&gt;=0,H755&lt;1),ROUND(H755*1440,0),"")</f>
        <v/>
      </c>
      <c r="AA755" s="80" t="str">
        <f>IF(AND(ISNUMBER(I755),I755&gt;=0,I755&lt;1),ROUND(I755*1440,0),"")</f>
        <v/>
      </c>
      <c r="AB755" s="80">
        <f>IF(AND(ISNUMBER(B755),D755&lt;&gt;"",ISNUMBER(Z755),ISNUMBER(AA755)),IF(Z755=AA755,0,1),0)</f>
        <v>0</v>
      </c>
      <c r="AC755" s="80">
        <f>IF(AB755=1,IF(AA755&lt;Z755,1,0),0)</f>
        <v>0</v>
      </c>
      <c r="AD755" s="80">
        <f>IF(AB755=1,IF(AC755=1,1440-Z755+AA755,AA755-Z755),0)</f>
        <v>0</v>
      </c>
      <c r="AE755" s="80">
        <f>IF(J755="",0,IF(ISNUMBER(J755),J755,-1))</f>
        <v>0</v>
      </c>
      <c r="AF755" s="80">
        <f>MIN(MAX(0,AE755),AD755)</f>
        <v>0</v>
      </c>
      <c r="AG755" s="80">
        <f>MAX(0,AD755-MAX(0,AE755))</f>
        <v>0</v>
      </c>
      <c r="AH755" s="80">
        <f>IF(ISNUMBER(B755),IF(AND(INDEX(CFG_WDAYS,WEEKDAY(INT(B755),2))="Sí",IF(D755="proMX",COUNTIFS(FER_F,INT(B755),FER_NLP,"Sí"),COUNTIFS(FER_F,INT(B755),FER_NLM,"Sí"))=0),1,0),0)</f>
        <v>0</v>
      </c>
      <c r="AI755" s="80">
        <f>IF(AC755=1,IF(AND(INDEX(CFG_WDAYS,WEEKDAY(INT(B755)+1,2))="Sí",IF(D755="proMX",COUNTIFS(FER_F,INT(B755)+1,FER_NLP,"Sí"),COUNTIFS(FER_F,INT(B755)+1,FER_NLM,"Sí"))=0),1,0),0)</f>
        <v>0</v>
      </c>
      <c r="AJ755" s="80">
        <f>IF(AC755=1,1440-Z755,AD755)</f>
        <v>0</v>
      </c>
      <c r="AK755" s="80">
        <f>IF(AND(AB755=1,AH755=1),MAX(0,MIN(IF(AC755=1,1440,AA755),CFG_WEM)-MAX(Z755,CFG_WSM)),0)</f>
        <v>0</v>
      </c>
      <c r="AL755" s="80">
        <f>IF(AND(AC755=1,AI755=1),MAX(0,MIN(AA755,CFG_WEM)-CFG_WSM),0)</f>
        <v>0</v>
      </c>
      <c r="AM755" s="80">
        <f>AK755+AL755</f>
        <v>0</v>
      </c>
      <c r="AN755" s="80">
        <f>IF(CFG_BRK="Proporcional",IF(AD755=0,0,AF755*AM755/AD755),IF(CFG_BRK="Extras primero",MIN(AM755,MAX(0,AF755-(AD755-AM755))),MIN(AF755,AM755)))</f>
        <v>0</v>
      </c>
      <c r="AO755" s="80">
        <f>AF755-AN755</f>
        <v>0</v>
      </c>
      <c r="AP755" s="80">
        <f>AM755-AN755</f>
        <v>0</v>
      </c>
      <c r="AQ755" s="80">
        <f>AD755-AM755-AO755</f>
        <v>0</v>
      </c>
      <c r="AR755" s="80">
        <f>IF(AM755=0,0,AK755-AN755*AK755/AM755)</f>
        <v>0</v>
      </c>
      <c r="AS755" s="80">
        <f>IF(AD755-AM755=0,0,(AJ755-AK755)-AO755*(AJ755-AK755)/(AD755-AM755))</f>
        <v>0</v>
      </c>
      <c r="AT755" s="80" t="str">
        <f>IF(AC755=1,INT(B755)+1,"")</f>
        <v/>
      </c>
      <c r="AU755" s="80">
        <f>IF(AND(D755="proMX",R755="Cancelled"),0,1)</f>
        <v>1</v>
      </c>
      <c r="AV755" s="80">
        <f>IF(AND(AB755=1,AU755=1),IF(COUNTIFS($D$5:D754,D755,$B$5:B754,B755,$Z$5:Z754,Z755,$AA$5:AA754,AA755,$F$5:F754,F755&amp;"",$AU$5:AU754,1)&gt;0,1,0),0)</f>
        <v>0</v>
      </c>
      <c r="AW755" s="80" t="str">
        <f>IF(AB755=1,INT(B755)*1440+Z755,"")</f>
        <v/>
      </c>
      <c r="AX755" s="80" t="str">
        <f>IF(AB755=1,AW755+AD755,"")</f>
        <v/>
      </c>
      <c r="AY755" s="80">
        <f>IF(AND(AB755=1,AV755=0,AU755=1),1,0)</f>
        <v>0</v>
      </c>
      <c r="AZ755" s="80">
        <f>IF(AY755=1,COUNTIFS(R_Emp,D755,R_SAbs,"&lt;"&amp;AX755,R_EAbs,"&gt;"&amp;AW755,R_OKey,1)-1,0)</f>
        <v>0</v>
      </c>
      <c r="BA755" s="80">
        <f>IF(AY755=1,COUNTIFS(R_Emp,"&lt;&gt;"&amp;D755,R_SAbs,"&lt;"&amp;AX755,R_EAbs,"&gt;"&amp;AW755,R_OKey,1),0)</f>
        <v>0</v>
      </c>
      <c r="BB755" s="80">
        <f>IF(AND(AB755=1,D755="proMX"),IF(AND(MOD(Z755,CFG_BLK)=0,MOD(AA755,CFG_BLK)=0,MOD(AG755,CFG_BLK)=0,AG755&gt;0),1,0),1)</f>
        <v>1</v>
      </c>
      <c r="BC755" s="80" t="str">
        <f>IF(Y755=0,"",IF(NOT(ISNUMBER(B755)),"Falta fecha o fecha inválida",IF(D755="","Falta empresa",IF(AND(D755&lt;&gt;"Malcolm",D755&lt;&gt;"proMX"),"Empresa inválida",IF(OR(INT(B755)&lt;CFG_PSTART,INT(B755)&gt;CFG_PEND),"Fecha fuera del período",IF(OR(NOT(ISNUMBER(Z755)),NOT(ISNUMBER(AA755))),"Falta hora inicio/fin o formato inválido",IF(AB755=0,"Hora inicio = hora fin",IF(AE755&lt;0,"Descanso inválido",IF(AE755&gt;=AD755,"Descanso ≥ duración",IF(AV755=1,"Registro duplicado",IF(AZ755&gt;0,"Se superpone con otro registro "&amp;D755,IF(BB755=0,"inicio, fin y duración neta deben ser múltiplos de "&amp;CFG_BLK&amp;" min",""))))))))))))</f>
        <v/>
      </c>
      <c r="BD755" s="80">
        <f>IF(AND(Y755=1,BC755=""),1,0)</f>
        <v>0</v>
      </c>
      <c r="BE755" s="80">
        <f>IF(AND(BD755=1,AU755=1),1,0)</f>
        <v>0</v>
      </c>
      <c r="BF755" s="80" t="str">
        <f>IF(AND(D755="proMX",BD755=1),IF(R755="","Draft",R755),"")</f>
        <v/>
      </c>
      <c r="BG755" s="80">
        <f>IF(BD755=1,ROUND(AG755/60,6),0)</f>
        <v>0</v>
      </c>
      <c r="BH755" s="80">
        <f>IF(BE755=1,ROUND(AG755/60,6),0)</f>
        <v>0</v>
      </c>
      <c r="BI755" s="80">
        <f>IF(BE755=1,ROUND(AP755/60,6),0)</f>
        <v>0</v>
      </c>
      <c r="BJ755" s="80">
        <f>IF(BE755=1,ROUND(AQ755/60,6),0)</f>
        <v>0</v>
      </c>
      <c r="BK755" s="80">
        <f>IF(BE755=1,ROUND((AR755+AS755)/60,6),0)</f>
        <v>0</v>
      </c>
      <c r="BL755" s="80">
        <f>ROUND(BH755-BK755,6)</f>
        <v>0</v>
      </c>
      <c r="BM755" s="80">
        <f>IF(BE755=1,ROUND(AR755/60,6),0)</f>
        <v>0</v>
      </c>
      <c r="BN755" s="80">
        <f>ROUND(BI755-BM755,6)</f>
        <v>0</v>
      </c>
      <c r="BO755" s="80">
        <f>IF(BE755=1,ROUND(AS755/60,6),0)</f>
        <v>0</v>
      </c>
      <c r="BP755" s="80">
        <f>ROUND(BJ755-BO755,6)</f>
        <v>0</v>
      </c>
      <c r="BQ755" s="80">
        <f>IF(BE755=1,AW755,0)</f>
        <v>0</v>
      </c>
      <c r="BR755" s="80">
        <f>IF(BE755=1,AX755,0)</f>
        <v>0</v>
      </c>
      <c r="BS755" s="80">
        <f>IF(AND(BE755=1,D755="Malcolm",BA755&gt;0),MIN(BH755,SUMPRODUCT((R_Emp="proMX")*(R_EN&gt;0)*((R_EN-(R_EN&gt;BR755)*(R_EN-BR755))&gt;(R_SN+(R_SN&lt;BQ755)*(BQ755-R_SN)))*((R_EN-(R_EN&gt;BR755)*(R_EN-BR755))-(R_SN+(R_SN&lt;BQ755)*(BQ755-R_SN))))/60),0)</f>
        <v>0</v>
      </c>
      <c r="BT755" s="80">
        <f>IF(AND(BE755=1,D755="proMX"),ROUND(BI755*CFG_RATE+BJ755*CFG_OTRATE,6),0)</f>
        <v>0</v>
      </c>
      <c r="BU755" s="80">
        <f>IF(AND(BD755=1,D755="proMX"),ROUND(AG755/CFG_BLK,6),0)</f>
        <v>0</v>
      </c>
      <c r="BV755" s="80" t="str">
        <f>IF(BF755="Approved",IF(ISNUMBER(T755),INT(T755),INT(B755)),"")</f>
        <v/>
      </c>
      <c r="BW755" s="80">
        <f>IF(ISNUMBER(B755),IF(DB_MON="Todos",1,IF(AND(INT(B755)&gt;=DB_MS,INT(B755)&lt;=DB_ME),1,0)),0)</f>
        <v>0</v>
      </c>
      <c r="BX755" s="80">
        <f>IF(DB_PROJ="Todos",1,IF(E755&amp;""=DB_PROJ&amp;"",1,0))</f>
        <v>1</v>
      </c>
      <c r="BY755" s="80">
        <f>BW755*BX755</f>
        <v>0</v>
      </c>
      <c r="BZ755" s="80" t="str">
        <f>IF(Y755=1,F755&amp;IF(AND(F755&amp;""&lt;&gt;"",E755&amp;""&lt;&gt;"")," · ","")&amp;E755,"")</f>
        <v/>
      </c>
      <c r="CA755" s="80" t="str">
        <f>IF(AND(BD755=1,E755&amp;""&lt;&gt;""),IF(COUNTIFS($E$5:E754,E755,$BD$5:BD754,1)=0,MAX($CA$5:CA754)+1,""),"")</f>
        <v/>
      </c>
      <c r="CB755" s="80" t="str">
        <f>IF(AND(BE755=1,D755="Malcolm",E755&amp;""&lt;&gt;""),IF(COUNTIFS($D$5:D754,"Malcolm",$E$5:E754,E755,$BE$5:BE754,1)=0,MAX($CB$5:CB754)+1,""),"")</f>
        <v/>
      </c>
      <c r="CC755" s="80" t="str">
        <f>IF(AND(BD755=1,D755="proMX",E755&amp;""&lt;&gt;""),IF(COUNTIFS($D$5:D754,"proMX",$E$5:E754,E755,$BD$5:BD754,1)=0,MAX($CC$5:CC754)+1,""),"")</f>
        <v/>
      </c>
      <c r="CD755" s="80" t="str">
        <f>IF(AND(BE755=1,D755="Malcolm",F755&amp;""&lt;&gt;""),IF(COUNTIFS($D$5:D754,"Malcolm",$F$5:F754,F755,$BE$5:BE754,1)=0,MAX($CD$5:CD754)+1,""),"")</f>
        <v/>
      </c>
      <c r="CE755" s="80" t="str">
        <f>IF(AND(BD755=1,D755="proMX",F755&amp;""&lt;&gt;""),IF(COUNTIFS($D$5:D754,"proMX",$F$5:F754,F755,$BD$5:BD754,1)=0,MAX($CE$5:CE754)+1,""),"")</f>
        <v/>
      </c>
      <c r="CF755" s="80" t="str">
        <f>IF(AND(D755="proMX",BD755=1),IF(OR(BF755="Draft",BF755="Submitted",BF755="Returned",BF755="Recall Requested"),MAX($CF$5:CF754)+1,""),"")</f>
        <v/>
      </c>
      <c r="CG755" s="80">
        <f>IF(BD755=0,0,IF(D755="Malcolm",1,MATCH(BF755,{"Draft","Submitted","Approved","Returned","Recall Requested","Cancelled"},0)+1))</f>
        <v>0</v>
      </c>
      <c r="CH755" s="80">
        <f>IF(AND(BF755="Submitted",ISNUMBER(V755)),IF(V755&gt;CFG_MAXD,1,0),0)</f>
        <v>0</v>
      </c>
    </row>
    <row r="756">
      <c r="A756" s="71" t="str">
        <f>IF(Y756=1,ROW()-5,"")</f>
        <v/>
      </c>
      <c r="B756" s="72" t="n"/>
      <c r="C756" s="71" t="str">
        <f>IF(ISNUMBER(B756),CHOOSE(WEEKDAY(B756,2),"Lun","Mar","Mié","Jue","Vie","Sáb","Dom"),"")</f>
        <v/>
      </c>
      <c r="D756" s="73" t="n"/>
      <c r="E756" s="74" t="n"/>
      <c r="F756" s="74" t="n"/>
      <c r="G756" s="74" t="n"/>
      <c r="H756" s="75" t="n"/>
      <c r="I756" s="75" t="n"/>
      <c r="J756" s="76" t="n"/>
      <c r="K756" s="77" t="str">
        <f>IF(AB756=1,ROUND(AG756/60,4),"")</f>
        <v/>
      </c>
      <c r="L756" s="77" t="str">
        <f>IF(BD756=1,ROUND(AP756/60,4),"")</f>
        <v/>
      </c>
      <c r="M756" s="77" t="str">
        <f>IF(BD756=1,ROUND(AQ756/60,4),"")</f>
        <v/>
      </c>
      <c r="N756" s="71" t="str">
        <f>IF(AND(D756="proMX",AB756=1),ROUND(AG756/CFG_BLK,2),"")</f>
        <v/>
      </c>
      <c r="O756" s="77" t="str">
        <f>IF(D756="proMX",IF(BD756=1,ROUND(AG756/60,4),0),"")</f>
        <v/>
      </c>
      <c r="P756" s="78" t="str">
        <f>IF(Y756=0,"",IF(BD756=1,"OK",IF(D756="proMX","Revisar bloques: ","Revisar: ")&amp;BC756))</f>
        <v/>
      </c>
      <c r="Q756" s="78" t="str">
        <f>IF(NOT(ISNUMBER(B756)),"",IF(COUNTIFS(FER_F,INT(B756))&gt;0,"Feriado"&amp;IF(AH756=1," (laborable)"," (no laborable)"),IF(AH756=1,"Laborable",IF(WEEKDAY(B756,2)&gt;5,"Fin de semana","No laborable"))))</f>
        <v/>
      </c>
      <c r="R756" s="73" t="n"/>
      <c r="S756" s="72" t="n"/>
      <c r="T756" s="72" t="n"/>
      <c r="U756" s="74" t="n"/>
      <c r="V756" s="79" t="str">
        <f>IF(AND(D756="proMX",OR(R756="Submitted",R756="Recall Requested"),ISNUMBER(S756)),CFG_TODAY-INT(S756),"")</f>
        <v/>
      </c>
      <c r="W756" s="78" t="str">
        <f>IF(BD756=0,"",IF(BA756&gt;0,"⚠ Se superpone con un registro de la otra empresa",IF(D756="Malcolm",IF(COUNTA(R756,S756,T756)&gt;0,"Estado/fechas proMX se ignoran en Malcolm",""),IF(BF756="Cancelled","Cancelado: excluido de totales",IF(R756="","Sin estado: se trata como Draft",IF(BF756="Submitted",IF(ISNUMBER(V756),IF(V756&gt;CFG_MAXD,"⚠ "&amp;V756&amp;" días en Submitted (máx. "&amp;CFG_MAXD&amp;")",""),"Falta fecha de envío"),IF(BF756="Returned","⚠ Devuelto: corregir y reenviar",IF(BF756="Recall Requested","Retirada solicitada: pendiente",IF(AND(BF756="Approved",NOT(ISNUMBER(T756))),"Falta fecha de aprobación",IF(AND(ISNUMBER(S756),ISNUMBER(T756),T756&lt;S756),"Aprobación anterior al envío","")))))))))</f>
        <v/>
      </c>
      <c r="Y756" s="80">
        <f>IF(COUNTA(B756,D756,E756,F756,G756,H756,I756,J756,R756,S756,T756)&gt;0,1,0)</f>
        <v>0</v>
      </c>
      <c r="Z756" s="80" t="str">
        <f>IF(AND(ISNUMBER(H756),H756&gt;=0,H756&lt;1),ROUND(H756*1440,0),"")</f>
        <v/>
      </c>
      <c r="AA756" s="80" t="str">
        <f>IF(AND(ISNUMBER(I756),I756&gt;=0,I756&lt;1),ROUND(I756*1440,0),"")</f>
        <v/>
      </c>
      <c r="AB756" s="80">
        <f>IF(AND(ISNUMBER(B756),D756&lt;&gt;"",ISNUMBER(Z756),ISNUMBER(AA756)),IF(Z756=AA756,0,1),0)</f>
        <v>0</v>
      </c>
      <c r="AC756" s="80">
        <f>IF(AB756=1,IF(AA756&lt;Z756,1,0),0)</f>
        <v>0</v>
      </c>
      <c r="AD756" s="80">
        <f>IF(AB756=1,IF(AC756=1,1440-Z756+AA756,AA756-Z756),0)</f>
        <v>0</v>
      </c>
      <c r="AE756" s="80">
        <f>IF(J756="",0,IF(ISNUMBER(J756),J756,-1))</f>
        <v>0</v>
      </c>
      <c r="AF756" s="80">
        <f>MIN(MAX(0,AE756),AD756)</f>
        <v>0</v>
      </c>
      <c r="AG756" s="80">
        <f>MAX(0,AD756-MAX(0,AE756))</f>
        <v>0</v>
      </c>
      <c r="AH756" s="80">
        <f>IF(ISNUMBER(B756),IF(AND(INDEX(CFG_WDAYS,WEEKDAY(INT(B756),2))="Sí",IF(D756="proMX",COUNTIFS(FER_F,INT(B756),FER_NLP,"Sí"),COUNTIFS(FER_F,INT(B756),FER_NLM,"Sí"))=0),1,0),0)</f>
        <v>0</v>
      </c>
      <c r="AI756" s="80">
        <f>IF(AC756=1,IF(AND(INDEX(CFG_WDAYS,WEEKDAY(INT(B756)+1,2))="Sí",IF(D756="proMX",COUNTIFS(FER_F,INT(B756)+1,FER_NLP,"Sí"),COUNTIFS(FER_F,INT(B756)+1,FER_NLM,"Sí"))=0),1,0),0)</f>
        <v>0</v>
      </c>
      <c r="AJ756" s="80">
        <f>IF(AC756=1,1440-Z756,AD756)</f>
        <v>0</v>
      </c>
      <c r="AK756" s="80">
        <f>IF(AND(AB756=1,AH756=1),MAX(0,MIN(IF(AC756=1,1440,AA756),CFG_WEM)-MAX(Z756,CFG_WSM)),0)</f>
        <v>0</v>
      </c>
      <c r="AL756" s="80">
        <f>IF(AND(AC756=1,AI756=1),MAX(0,MIN(AA756,CFG_WEM)-CFG_WSM),0)</f>
        <v>0</v>
      </c>
      <c r="AM756" s="80">
        <f>AK756+AL756</f>
        <v>0</v>
      </c>
      <c r="AN756" s="80">
        <f>IF(CFG_BRK="Proporcional",IF(AD756=0,0,AF756*AM756/AD756),IF(CFG_BRK="Extras primero",MIN(AM756,MAX(0,AF756-(AD756-AM756))),MIN(AF756,AM756)))</f>
        <v>0</v>
      </c>
      <c r="AO756" s="80">
        <f>AF756-AN756</f>
        <v>0</v>
      </c>
      <c r="AP756" s="80">
        <f>AM756-AN756</f>
        <v>0</v>
      </c>
      <c r="AQ756" s="80">
        <f>AD756-AM756-AO756</f>
        <v>0</v>
      </c>
      <c r="AR756" s="80">
        <f>IF(AM756=0,0,AK756-AN756*AK756/AM756)</f>
        <v>0</v>
      </c>
      <c r="AS756" s="80">
        <f>IF(AD756-AM756=0,0,(AJ756-AK756)-AO756*(AJ756-AK756)/(AD756-AM756))</f>
        <v>0</v>
      </c>
      <c r="AT756" s="80" t="str">
        <f>IF(AC756=1,INT(B756)+1,"")</f>
        <v/>
      </c>
      <c r="AU756" s="80">
        <f>IF(AND(D756="proMX",R756="Cancelled"),0,1)</f>
        <v>1</v>
      </c>
      <c r="AV756" s="80">
        <f>IF(AND(AB756=1,AU756=1),IF(COUNTIFS($D$5:D755,D756,$B$5:B755,B756,$Z$5:Z755,Z756,$AA$5:AA755,AA756,$F$5:F755,F756&amp;"",$AU$5:AU755,1)&gt;0,1,0),0)</f>
        <v>0</v>
      </c>
      <c r="AW756" s="80" t="str">
        <f>IF(AB756=1,INT(B756)*1440+Z756,"")</f>
        <v/>
      </c>
      <c r="AX756" s="80" t="str">
        <f>IF(AB756=1,AW756+AD756,"")</f>
        <v/>
      </c>
      <c r="AY756" s="80">
        <f>IF(AND(AB756=1,AV756=0,AU756=1),1,0)</f>
        <v>0</v>
      </c>
      <c r="AZ756" s="80">
        <f>IF(AY756=1,COUNTIFS(R_Emp,D756,R_SAbs,"&lt;"&amp;AX756,R_EAbs,"&gt;"&amp;AW756,R_OKey,1)-1,0)</f>
        <v>0</v>
      </c>
      <c r="BA756" s="80">
        <f>IF(AY756=1,COUNTIFS(R_Emp,"&lt;&gt;"&amp;D756,R_SAbs,"&lt;"&amp;AX756,R_EAbs,"&gt;"&amp;AW756,R_OKey,1),0)</f>
        <v>0</v>
      </c>
      <c r="BB756" s="80">
        <f>IF(AND(AB756=1,D756="proMX"),IF(AND(MOD(Z756,CFG_BLK)=0,MOD(AA756,CFG_BLK)=0,MOD(AG756,CFG_BLK)=0,AG756&gt;0),1,0),1)</f>
        <v>1</v>
      </c>
      <c r="BC756" s="80" t="str">
        <f>IF(Y756=0,"",IF(NOT(ISNUMBER(B756)),"Falta fecha o fecha inválida",IF(D756="","Falta empresa",IF(AND(D756&lt;&gt;"Malcolm",D756&lt;&gt;"proMX"),"Empresa inválida",IF(OR(INT(B756)&lt;CFG_PSTART,INT(B756)&gt;CFG_PEND),"Fecha fuera del período",IF(OR(NOT(ISNUMBER(Z756)),NOT(ISNUMBER(AA756))),"Falta hora inicio/fin o formato inválido",IF(AB756=0,"Hora inicio = hora fin",IF(AE756&lt;0,"Descanso inválido",IF(AE756&gt;=AD756,"Descanso ≥ duración",IF(AV756=1,"Registro duplicado",IF(AZ756&gt;0,"Se superpone con otro registro "&amp;D756,IF(BB756=0,"inicio, fin y duración neta deben ser múltiplos de "&amp;CFG_BLK&amp;" min",""))))))))))))</f>
        <v/>
      </c>
      <c r="BD756" s="80">
        <f>IF(AND(Y756=1,BC756=""),1,0)</f>
        <v>0</v>
      </c>
      <c r="BE756" s="80">
        <f>IF(AND(BD756=1,AU756=1),1,0)</f>
        <v>0</v>
      </c>
      <c r="BF756" s="80" t="str">
        <f>IF(AND(D756="proMX",BD756=1),IF(R756="","Draft",R756),"")</f>
        <v/>
      </c>
      <c r="BG756" s="80">
        <f>IF(BD756=1,ROUND(AG756/60,6),0)</f>
        <v>0</v>
      </c>
      <c r="BH756" s="80">
        <f>IF(BE756=1,ROUND(AG756/60,6),0)</f>
        <v>0</v>
      </c>
      <c r="BI756" s="80">
        <f>IF(BE756=1,ROUND(AP756/60,6),0)</f>
        <v>0</v>
      </c>
      <c r="BJ756" s="80">
        <f>IF(BE756=1,ROUND(AQ756/60,6),0)</f>
        <v>0</v>
      </c>
      <c r="BK756" s="80">
        <f>IF(BE756=1,ROUND((AR756+AS756)/60,6),0)</f>
        <v>0</v>
      </c>
      <c r="BL756" s="80">
        <f>ROUND(BH756-BK756,6)</f>
        <v>0</v>
      </c>
      <c r="BM756" s="80">
        <f>IF(BE756=1,ROUND(AR756/60,6),0)</f>
        <v>0</v>
      </c>
      <c r="BN756" s="80">
        <f>ROUND(BI756-BM756,6)</f>
        <v>0</v>
      </c>
      <c r="BO756" s="80">
        <f>IF(BE756=1,ROUND(AS756/60,6),0)</f>
        <v>0</v>
      </c>
      <c r="BP756" s="80">
        <f>ROUND(BJ756-BO756,6)</f>
        <v>0</v>
      </c>
      <c r="BQ756" s="80">
        <f>IF(BE756=1,AW756,0)</f>
        <v>0</v>
      </c>
      <c r="BR756" s="80">
        <f>IF(BE756=1,AX756,0)</f>
        <v>0</v>
      </c>
      <c r="BS756" s="80">
        <f>IF(AND(BE756=1,D756="Malcolm",BA756&gt;0),MIN(BH756,SUMPRODUCT((R_Emp="proMX")*(R_EN&gt;0)*((R_EN-(R_EN&gt;BR756)*(R_EN-BR756))&gt;(R_SN+(R_SN&lt;BQ756)*(BQ756-R_SN)))*((R_EN-(R_EN&gt;BR756)*(R_EN-BR756))-(R_SN+(R_SN&lt;BQ756)*(BQ756-R_SN))))/60),0)</f>
        <v>0</v>
      </c>
      <c r="BT756" s="80">
        <f>IF(AND(BE756=1,D756="proMX"),ROUND(BI756*CFG_RATE+BJ756*CFG_OTRATE,6),0)</f>
        <v>0</v>
      </c>
      <c r="BU756" s="80">
        <f>IF(AND(BD756=1,D756="proMX"),ROUND(AG756/CFG_BLK,6),0)</f>
        <v>0</v>
      </c>
      <c r="BV756" s="80" t="str">
        <f>IF(BF756="Approved",IF(ISNUMBER(T756),INT(T756),INT(B756)),"")</f>
        <v/>
      </c>
      <c r="BW756" s="80">
        <f>IF(ISNUMBER(B756),IF(DB_MON="Todos",1,IF(AND(INT(B756)&gt;=DB_MS,INT(B756)&lt;=DB_ME),1,0)),0)</f>
        <v>0</v>
      </c>
      <c r="BX756" s="80">
        <f>IF(DB_PROJ="Todos",1,IF(E756&amp;""=DB_PROJ&amp;"",1,0))</f>
        <v>1</v>
      </c>
      <c r="BY756" s="80">
        <f>BW756*BX756</f>
        <v>0</v>
      </c>
      <c r="BZ756" s="80" t="str">
        <f>IF(Y756=1,F756&amp;IF(AND(F756&amp;""&lt;&gt;"",E756&amp;""&lt;&gt;"")," · ","")&amp;E756,"")</f>
        <v/>
      </c>
      <c r="CA756" s="80" t="str">
        <f>IF(AND(BD756=1,E756&amp;""&lt;&gt;""),IF(COUNTIFS($E$5:E755,E756,$BD$5:BD755,1)=0,MAX($CA$5:CA755)+1,""),"")</f>
        <v/>
      </c>
      <c r="CB756" s="80" t="str">
        <f>IF(AND(BE756=1,D756="Malcolm",E756&amp;""&lt;&gt;""),IF(COUNTIFS($D$5:D755,"Malcolm",$E$5:E755,E756,$BE$5:BE755,1)=0,MAX($CB$5:CB755)+1,""),"")</f>
        <v/>
      </c>
      <c r="CC756" s="80" t="str">
        <f>IF(AND(BD756=1,D756="proMX",E756&amp;""&lt;&gt;""),IF(COUNTIFS($D$5:D755,"proMX",$E$5:E755,E756,$BD$5:BD755,1)=0,MAX($CC$5:CC755)+1,""),"")</f>
        <v/>
      </c>
      <c r="CD756" s="80" t="str">
        <f>IF(AND(BE756=1,D756="Malcolm",F756&amp;""&lt;&gt;""),IF(COUNTIFS($D$5:D755,"Malcolm",$F$5:F755,F756,$BE$5:BE755,1)=0,MAX($CD$5:CD755)+1,""),"")</f>
        <v/>
      </c>
      <c r="CE756" s="80" t="str">
        <f>IF(AND(BD756=1,D756="proMX",F756&amp;""&lt;&gt;""),IF(COUNTIFS($D$5:D755,"proMX",$F$5:F755,F756,$BD$5:BD755,1)=0,MAX($CE$5:CE755)+1,""),"")</f>
        <v/>
      </c>
      <c r="CF756" s="80" t="str">
        <f>IF(AND(D756="proMX",BD756=1),IF(OR(BF756="Draft",BF756="Submitted",BF756="Returned",BF756="Recall Requested"),MAX($CF$5:CF755)+1,""),"")</f>
        <v/>
      </c>
      <c r="CG756" s="80">
        <f>IF(BD756=0,0,IF(D756="Malcolm",1,MATCH(BF756,{"Draft","Submitted","Approved","Returned","Recall Requested","Cancelled"},0)+1))</f>
        <v>0</v>
      </c>
      <c r="CH756" s="80">
        <f>IF(AND(BF756="Submitted",ISNUMBER(V756)),IF(V756&gt;CFG_MAXD,1,0),0)</f>
        <v>0</v>
      </c>
    </row>
    <row r="757">
      <c r="A757" s="71" t="str">
        <f>IF(Y757=1,ROW()-5,"")</f>
        <v/>
      </c>
      <c r="B757" s="72" t="n"/>
      <c r="C757" s="71" t="str">
        <f>IF(ISNUMBER(B757),CHOOSE(WEEKDAY(B757,2),"Lun","Mar","Mié","Jue","Vie","Sáb","Dom"),"")</f>
        <v/>
      </c>
      <c r="D757" s="73" t="n"/>
      <c r="E757" s="74" t="n"/>
      <c r="F757" s="74" t="n"/>
      <c r="G757" s="74" t="n"/>
      <c r="H757" s="75" t="n"/>
      <c r="I757" s="75" t="n"/>
      <c r="J757" s="76" t="n"/>
      <c r="K757" s="77" t="str">
        <f>IF(AB757=1,ROUND(AG757/60,4),"")</f>
        <v/>
      </c>
      <c r="L757" s="77" t="str">
        <f>IF(BD757=1,ROUND(AP757/60,4),"")</f>
        <v/>
      </c>
      <c r="M757" s="77" t="str">
        <f>IF(BD757=1,ROUND(AQ757/60,4),"")</f>
        <v/>
      </c>
      <c r="N757" s="71" t="str">
        <f>IF(AND(D757="proMX",AB757=1),ROUND(AG757/CFG_BLK,2),"")</f>
        <v/>
      </c>
      <c r="O757" s="77" t="str">
        <f>IF(D757="proMX",IF(BD757=1,ROUND(AG757/60,4),0),"")</f>
        <v/>
      </c>
      <c r="P757" s="78" t="str">
        <f>IF(Y757=0,"",IF(BD757=1,"OK",IF(D757="proMX","Revisar bloques: ","Revisar: ")&amp;BC757))</f>
        <v/>
      </c>
      <c r="Q757" s="78" t="str">
        <f>IF(NOT(ISNUMBER(B757)),"",IF(COUNTIFS(FER_F,INT(B757))&gt;0,"Feriado"&amp;IF(AH757=1," (laborable)"," (no laborable)"),IF(AH757=1,"Laborable",IF(WEEKDAY(B757,2)&gt;5,"Fin de semana","No laborable"))))</f>
        <v/>
      </c>
      <c r="R757" s="73" t="n"/>
      <c r="S757" s="72" t="n"/>
      <c r="T757" s="72" t="n"/>
      <c r="U757" s="74" t="n"/>
      <c r="V757" s="79" t="str">
        <f>IF(AND(D757="proMX",OR(R757="Submitted",R757="Recall Requested"),ISNUMBER(S757)),CFG_TODAY-INT(S757),"")</f>
        <v/>
      </c>
      <c r="W757" s="78" t="str">
        <f>IF(BD757=0,"",IF(BA757&gt;0,"⚠ Se superpone con un registro de la otra empresa",IF(D757="Malcolm",IF(COUNTA(R757,S757,T757)&gt;0,"Estado/fechas proMX se ignoran en Malcolm",""),IF(BF757="Cancelled","Cancelado: excluido de totales",IF(R757="","Sin estado: se trata como Draft",IF(BF757="Submitted",IF(ISNUMBER(V757),IF(V757&gt;CFG_MAXD,"⚠ "&amp;V757&amp;" días en Submitted (máx. "&amp;CFG_MAXD&amp;")",""),"Falta fecha de envío"),IF(BF757="Returned","⚠ Devuelto: corregir y reenviar",IF(BF757="Recall Requested","Retirada solicitada: pendiente",IF(AND(BF757="Approved",NOT(ISNUMBER(T757))),"Falta fecha de aprobación",IF(AND(ISNUMBER(S757),ISNUMBER(T757),T757&lt;S757),"Aprobación anterior al envío","")))))))))</f>
        <v/>
      </c>
      <c r="Y757" s="80">
        <f>IF(COUNTA(B757,D757,E757,F757,G757,H757,I757,J757,R757,S757,T757)&gt;0,1,0)</f>
        <v>0</v>
      </c>
      <c r="Z757" s="80" t="str">
        <f>IF(AND(ISNUMBER(H757),H757&gt;=0,H757&lt;1),ROUND(H757*1440,0),"")</f>
        <v/>
      </c>
      <c r="AA757" s="80" t="str">
        <f>IF(AND(ISNUMBER(I757),I757&gt;=0,I757&lt;1),ROUND(I757*1440,0),"")</f>
        <v/>
      </c>
      <c r="AB757" s="80">
        <f>IF(AND(ISNUMBER(B757),D757&lt;&gt;"",ISNUMBER(Z757),ISNUMBER(AA757)),IF(Z757=AA757,0,1),0)</f>
        <v>0</v>
      </c>
      <c r="AC757" s="80">
        <f>IF(AB757=1,IF(AA757&lt;Z757,1,0),0)</f>
        <v>0</v>
      </c>
      <c r="AD757" s="80">
        <f>IF(AB757=1,IF(AC757=1,1440-Z757+AA757,AA757-Z757),0)</f>
        <v>0</v>
      </c>
      <c r="AE757" s="80">
        <f>IF(J757="",0,IF(ISNUMBER(J757),J757,-1))</f>
        <v>0</v>
      </c>
      <c r="AF757" s="80">
        <f>MIN(MAX(0,AE757),AD757)</f>
        <v>0</v>
      </c>
      <c r="AG757" s="80">
        <f>MAX(0,AD757-MAX(0,AE757))</f>
        <v>0</v>
      </c>
      <c r="AH757" s="80">
        <f>IF(ISNUMBER(B757),IF(AND(INDEX(CFG_WDAYS,WEEKDAY(INT(B757),2))="Sí",IF(D757="proMX",COUNTIFS(FER_F,INT(B757),FER_NLP,"Sí"),COUNTIFS(FER_F,INT(B757),FER_NLM,"Sí"))=0),1,0),0)</f>
        <v>0</v>
      </c>
      <c r="AI757" s="80">
        <f>IF(AC757=1,IF(AND(INDEX(CFG_WDAYS,WEEKDAY(INT(B757)+1,2))="Sí",IF(D757="proMX",COUNTIFS(FER_F,INT(B757)+1,FER_NLP,"Sí"),COUNTIFS(FER_F,INT(B757)+1,FER_NLM,"Sí"))=0),1,0),0)</f>
        <v>0</v>
      </c>
      <c r="AJ757" s="80">
        <f>IF(AC757=1,1440-Z757,AD757)</f>
        <v>0</v>
      </c>
      <c r="AK757" s="80">
        <f>IF(AND(AB757=1,AH757=1),MAX(0,MIN(IF(AC757=1,1440,AA757),CFG_WEM)-MAX(Z757,CFG_WSM)),0)</f>
        <v>0</v>
      </c>
      <c r="AL757" s="80">
        <f>IF(AND(AC757=1,AI757=1),MAX(0,MIN(AA757,CFG_WEM)-CFG_WSM),0)</f>
        <v>0</v>
      </c>
      <c r="AM757" s="80">
        <f>AK757+AL757</f>
        <v>0</v>
      </c>
      <c r="AN757" s="80">
        <f>IF(CFG_BRK="Proporcional",IF(AD757=0,0,AF757*AM757/AD757),IF(CFG_BRK="Extras primero",MIN(AM757,MAX(0,AF757-(AD757-AM757))),MIN(AF757,AM757)))</f>
        <v>0</v>
      </c>
      <c r="AO757" s="80">
        <f>AF757-AN757</f>
        <v>0</v>
      </c>
      <c r="AP757" s="80">
        <f>AM757-AN757</f>
        <v>0</v>
      </c>
      <c r="AQ757" s="80">
        <f>AD757-AM757-AO757</f>
        <v>0</v>
      </c>
      <c r="AR757" s="80">
        <f>IF(AM757=0,0,AK757-AN757*AK757/AM757)</f>
        <v>0</v>
      </c>
      <c r="AS757" s="80">
        <f>IF(AD757-AM757=0,0,(AJ757-AK757)-AO757*(AJ757-AK757)/(AD757-AM757))</f>
        <v>0</v>
      </c>
      <c r="AT757" s="80" t="str">
        <f>IF(AC757=1,INT(B757)+1,"")</f>
        <v/>
      </c>
      <c r="AU757" s="80">
        <f>IF(AND(D757="proMX",R757="Cancelled"),0,1)</f>
        <v>1</v>
      </c>
      <c r="AV757" s="80">
        <f>IF(AND(AB757=1,AU757=1),IF(COUNTIFS($D$5:D756,D757,$B$5:B756,B757,$Z$5:Z756,Z757,$AA$5:AA756,AA757,$F$5:F756,F757&amp;"",$AU$5:AU756,1)&gt;0,1,0),0)</f>
        <v>0</v>
      </c>
      <c r="AW757" s="80" t="str">
        <f>IF(AB757=1,INT(B757)*1440+Z757,"")</f>
        <v/>
      </c>
      <c r="AX757" s="80" t="str">
        <f>IF(AB757=1,AW757+AD757,"")</f>
        <v/>
      </c>
      <c r="AY757" s="80">
        <f>IF(AND(AB757=1,AV757=0,AU757=1),1,0)</f>
        <v>0</v>
      </c>
      <c r="AZ757" s="80">
        <f>IF(AY757=1,COUNTIFS(R_Emp,D757,R_SAbs,"&lt;"&amp;AX757,R_EAbs,"&gt;"&amp;AW757,R_OKey,1)-1,0)</f>
        <v>0</v>
      </c>
      <c r="BA757" s="80">
        <f>IF(AY757=1,COUNTIFS(R_Emp,"&lt;&gt;"&amp;D757,R_SAbs,"&lt;"&amp;AX757,R_EAbs,"&gt;"&amp;AW757,R_OKey,1),0)</f>
        <v>0</v>
      </c>
      <c r="BB757" s="80">
        <f>IF(AND(AB757=1,D757="proMX"),IF(AND(MOD(Z757,CFG_BLK)=0,MOD(AA757,CFG_BLK)=0,MOD(AG757,CFG_BLK)=0,AG757&gt;0),1,0),1)</f>
        <v>1</v>
      </c>
      <c r="BC757" s="80" t="str">
        <f>IF(Y757=0,"",IF(NOT(ISNUMBER(B757)),"Falta fecha o fecha inválida",IF(D757="","Falta empresa",IF(AND(D757&lt;&gt;"Malcolm",D757&lt;&gt;"proMX"),"Empresa inválida",IF(OR(INT(B757)&lt;CFG_PSTART,INT(B757)&gt;CFG_PEND),"Fecha fuera del período",IF(OR(NOT(ISNUMBER(Z757)),NOT(ISNUMBER(AA757))),"Falta hora inicio/fin o formato inválido",IF(AB757=0,"Hora inicio = hora fin",IF(AE757&lt;0,"Descanso inválido",IF(AE757&gt;=AD757,"Descanso ≥ duración",IF(AV757=1,"Registro duplicado",IF(AZ757&gt;0,"Se superpone con otro registro "&amp;D757,IF(BB757=0,"inicio, fin y duración neta deben ser múltiplos de "&amp;CFG_BLK&amp;" min",""))))))))))))</f>
        <v/>
      </c>
      <c r="BD757" s="80">
        <f>IF(AND(Y757=1,BC757=""),1,0)</f>
        <v>0</v>
      </c>
      <c r="BE757" s="80">
        <f>IF(AND(BD757=1,AU757=1),1,0)</f>
        <v>0</v>
      </c>
      <c r="BF757" s="80" t="str">
        <f>IF(AND(D757="proMX",BD757=1),IF(R757="","Draft",R757),"")</f>
        <v/>
      </c>
      <c r="BG757" s="80">
        <f>IF(BD757=1,ROUND(AG757/60,6),0)</f>
        <v>0</v>
      </c>
      <c r="BH757" s="80">
        <f>IF(BE757=1,ROUND(AG757/60,6),0)</f>
        <v>0</v>
      </c>
      <c r="BI757" s="80">
        <f>IF(BE757=1,ROUND(AP757/60,6),0)</f>
        <v>0</v>
      </c>
      <c r="BJ757" s="80">
        <f>IF(BE757=1,ROUND(AQ757/60,6),0)</f>
        <v>0</v>
      </c>
      <c r="BK757" s="80">
        <f>IF(BE757=1,ROUND((AR757+AS757)/60,6),0)</f>
        <v>0</v>
      </c>
      <c r="BL757" s="80">
        <f>ROUND(BH757-BK757,6)</f>
        <v>0</v>
      </c>
      <c r="BM757" s="80">
        <f>IF(BE757=1,ROUND(AR757/60,6),0)</f>
        <v>0</v>
      </c>
      <c r="BN757" s="80">
        <f>ROUND(BI757-BM757,6)</f>
        <v>0</v>
      </c>
      <c r="BO757" s="80">
        <f>IF(BE757=1,ROUND(AS757/60,6),0)</f>
        <v>0</v>
      </c>
      <c r="BP757" s="80">
        <f>ROUND(BJ757-BO757,6)</f>
        <v>0</v>
      </c>
      <c r="BQ757" s="80">
        <f>IF(BE757=1,AW757,0)</f>
        <v>0</v>
      </c>
      <c r="BR757" s="80">
        <f>IF(BE757=1,AX757,0)</f>
        <v>0</v>
      </c>
      <c r="BS757" s="80">
        <f>IF(AND(BE757=1,D757="Malcolm",BA757&gt;0),MIN(BH757,SUMPRODUCT((R_Emp="proMX")*(R_EN&gt;0)*((R_EN-(R_EN&gt;BR757)*(R_EN-BR757))&gt;(R_SN+(R_SN&lt;BQ757)*(BQ757-R_SN)))*((R_EN-(R_EN&gt;BR757)*(R_EN-BR757))-(R_SN+(R_SN&lt;BQ757)*(BQ757-R_SN))))/60),0)</f>
        <v>0</v>
      </c>
      <c r="BT757" s="80">
        <f>IF(AND(BE757=1,D757="proMX"),ROUND(BI757*CFG_RATE+BJ757*CFG_OTRATE,6),0)</f>
        <v>0</v>
      </c>
      <c r="BU757" s="80">
        <f>IF(AND(BD757=1,D757="proMX"),ROUND(AG757/CFG_BLK,6),0)</f>
        <v>0</v>
      </c>
      <c r="BV757" s="80" t="str">
        <f>IF(BF757="Approved",IF(ISNUMBER(T757),INT(T757),INT(B757)),"")</f>
        <v/>
      </c>
      <c r="BW757" s="80">
        <f>IF(ISNUMBER(B757),IF(DB_MON="Todos",1,IF(AND(INT(B757)&gt;=DB_MS,INT(B757)&lt;=DB_ME),1,0)),0)</f>
        <v>0</v>
      </c>
      <c r="BX757" s="80">
        <f>IF(DB_PROJ="Todos",1,IF(E757&amp;""=DB_PROJ&amp;"",1,0))</f>
        <v>1</v>
      </c>
      <c r="BY757" s="80">
        <f>BW757*BX757</f>
        <v>0</v>
      </c>
      <c r="BZ757" s="80" t="str">
        <f>IF(Y757=1,F757&amp;IF(AND(F757&amp;""&lt;&gt;"",E757&amp;""&lt;&gt;"")," · ","")&amp;E757,"")</f>
        <v/>
      </c>
      <c r="CA757" s="80" t="str">
        <f>IF(AND(BD757=1,E757&amp;""&lt;&gt;""),IF(COUNTIFS($E$5:E756,E757,$BD$5:BD756,1)=0,MAX($CA$5:CA756)+1,""),"")</f>
        <v/>
      </c>
      <c r="CB757" s="80" t="str">
        <f>IF(AND(BE757=1,D757="Malcolm",E757&amp;""&lt;&gt;""),IF(COUNTIFS($D$5:D756,"Malcolm",$E$5:E756,E757,$BE$5:BE756,1)=0,MAX($CB$5:CB756)+1,""),"")</f>
        <v/>
      </c>
      <c r="CC757" s="80" t="str">
        <f>IF(AND(BD757=1,D757="proMX",E757&amp;""&lt;&gt;""),IF(COUNTIFS($D$5:D756,"proMX",$E$5:E756,E757,$BD$5:BD756,1)=0,MAX($CC$5:CC756)+1,""),"")</f>
        <v/>
      </c>
      <c r="CD757" s="80" t="str">
        <f>IF(AND(BE757=1,D757="Malcolm",F757&amp;""&lt;&gt;""),IF(COUNTIFS($D$5:D756,"Malcolm",$F$5:F756,F757,$BE$5:BE756,1)=0,MAX($CD$5:CD756)+1,""),"")</f>
        <v/>
      </c>
      <c r="CE757" s="80" t="str">
        <f>IF(AND(BD757=1,D757="proMX",F757&amp;""&lt;&gt;""),IF(COUNTIFS($D$5:D756,"proMX",$F$5:F756,F757,$BD$5:BD756,1)=0,MAX($CE$5:CE756)+1,""),"")</f>
        <v/>
      </c>
      <c r="CF757" s="80" t="str">
        <f>IF(AND(D757="proMX",BD757=1),IF(OR(BF757="Draft",BF757="Submitted",BF757="Returned",BF757="Recall Requested"),MAX($CF$5:CF756)+1,""),"")</f>
        <v/>
      </c>
      <c r="CG757" s="80">
        <f>IF(BD757=0,0,IF(D757="Malcolm",1,MATCH(BF757,{"Draft","Submitted","Approved","Returned","Recall Requested","Cancelled"},0)+1))</f>
        <v>0</v>
      </c>
      <c r="CH757" s="80">
        <f>IF(AND(BF757="Submitted",ISNUMBER(V757)),IF(V757&gt;CFG_MAXD,1,0),0)</f>
        <v>0</v>
      </c>
    </row>
    <row r="758">
      <c r="A758" s="71" t="str">
        <f>IF(Y758=1,ROW()-5,"")</f>
        <v/>
      </c>
      <c r="B758" s="72" t="n"/>
      <c r="C758" s="71" t="str">
        <f>IF(ISNUMBER(B758),CHOOSE(WEEKDAY(B758,2),"Lun","Mar","Mié","Jue","Vie","Sáb","Dom"),"")</f>
        <v/>
      </c>
      <c r="D758" s="73" t="n"/>
      <c r="E758" s="74" t="n"/>
      <c r="F758" s="74" t="n"/>
      <c r="G758" s="74" t="n"/>
      <c r="H758" s="75" t="n"/>
      <c r="I758" s="75" t="n"/>
      <c r="J758" s="76" t="n"/>
      <c r="K758" s="77" t="str">
        <f>IF(AB758=1,ROUND(AG758/60,4),"")</f>
        <v/>
      </c>
      <c r="L758" s="77" t="str">
        <f>IF(BD758=1,ROUND(AP758/60,4),"")</f>
        <v/>
      </c>
      <c r="M758" s="77" t="str">
        <f>IF(BD758=1,ROUND(AQ758/60,4),"")</f>
        <v/>
      </c>
      <c r="N758" s="71" t="str">
        <f>IF(AND(D758="proMX",AB758=1),ROUND(AG758/CFG_BLK,2),"")</f>
        <v/>
      </c>
      <c r="O758" s="77" t="str">
        <f>IF(D758="proMX",IF(BD758=1,ROUND(AG758/60,4),0),"")</f>
        <v/>
      </c>
      <c r="P758" s="78" t="str">
        <f>IF(Y758=0,"",IF(BD758=1,"OK",IF(D758="proMX","Revisar bloques: ","Revisar: ")&amp;BC758))</f>
        <v/>
      </c>
      <c r="Q758" s="78" t="str">
        <f>IF(NOT(ISNUMBER(B758)),"",IF(COUNTIFS(FER_F,INT(B758))&gt;0,"Feriado"&amp;IF(AH758=1," (laborable)"," (no laborable)"),IF(AH758=1,"Laborable",IF(WEEKDAY(B758,2)&gt;5,"Fin de semana","No laborable"))))</f>
        <v/>
      </c>
      <c r="R758" s="73" t="n"/>
      <c r="S758" s="72" t="n"/>
      <c r="T758" s="72" t="n"/>
      <c r="U758" s="74" t="n"/>
      <c r="V758" s="79" t="str">
        <f>IF(AND(D758="proMX",OR(R758="Submitted",R758="Recall Requested"),ISNUMBER(S758)),CFG_TODAY-INT(S758),"")</f>
        <v/>
      </c>
      <c r="W758" s="78" t="str">
        <f>IF(BD758=0,"",IF(BA758&gt;0,"⚠ Se superpone con un registro de la otra empresa",IF(D758="Malcolm",IF(COUNTA(R758,S758,T758)&gt;0,"Estado/fechas proMX se ignoran en Malcolm",""),IF(BF758="Cancelled","Cancelado: excluido de totales",IF(R758="","Sin estado: se trata como Draft",IF(BF758="Submitted",IF(ISNUMBER(V758),IF(V758&gt;CFG_MAXD,"⚠ "&amp;V758&amp;" días en Submitted (máx. "&amp;CFG_MAXD&amp;")",""),"Falta fecha de envío"),IF(BF758="Returned","⚠ Devuelto: corregir y reenviar",IF(BF758="Recall Requested","Retirada solicitada: pendiente",IF(AND(BF758="Approved",NOT(ISNUMBER(T758))),"Falta fecha de aprobación",IF(AND(ISNUMBER(S758),ISNUMBER(T758),T758&lt;S758),"Aprobación anterior al envío","")))))))))</f>
        <v/>
      </c>
      <c r="Y758" s="80">
        <f>IF(COUNTA(B758,D758,E758,F758,G758,H758,I758,J758,R758,S758,T758)&gt;0,1,0)</f>
        <v>0</v>
      </c>
      <c r="Z758" s="80" t="str">
        <f>IF(AND(ISNUMBER(H758),H758&gt;=0,H758&lt;1),ROUND(H758*1440,0),"")</f>
        <v/>
      </c>
      <c r="AA758" s="80" t="str">
        <f>IF(AND(ISNUMBER(I758),I758&gt;=0,I758&lt;1),ROUND(I758*1440,0),"")</f>
        <v/>
      </c>
      <c r="AB758" s="80">
        <f>IF(AND(ISNUMBER(B758),D758&lt;&gt;"",ISNUMBER(Z758),ISNUMBER(AA758)),IF(Z758=AA758,0,1),0)</f>
        <v>0</v>
      </c>
      <c r="AC758" s="80">
        <f>IF(AB758=1,IF(AA758&lt;Z758,1,0),0)</f>
        <v>0</v>
      </c>
      <c r="AD758" s="80">
        <f>IF(AB758=1,IF(AC758=1,1440-Z758+AA758,AA758-Z758),0)</f>
        <v>0</v>
      </c>
      <c r="AE758" s="80">
        <f>IF(J758="",0,IF(ISNUMBER(J758),J758,-1))</f>
        <v>0</v>
      </c>
      <c r="AF758" s="80">
        <f>MIN(MAX(0,AE758),AD758)</f>
        <v>0</v>
      </c>
      <c r="AG758" s="80">
        <f>MAX(0,AD758-MAX(0,AE758))</f>
        <v>0</v>
      </c>
      <c r="AH758" s="80">
        <f>IF(ISNUMBER(B758),IF(AND(INDEX(CFG_WDAYS,WEEKDAY(INT(B758),2))="Sí",IF(D758="proMX",COUNTIFS(FER_F,INT(B758),FER_NLP,"Sí"),COUNTIFS(FER_F,INT(B758),FER_NLM,"Sí"))=0),1,0),0)</f>
        <v>0</v>
      </c>
      <c r="AI758" s="80">
        <f>IF(AC758=1,IF(AND(INDEX(CFG_WDAYS,WEEKDAY(INT(B758)+1,2))="Sí",IF(D758="proMX",COUNTIFS(FER_F,INT(B758)+1,FER_NLP,"Sí"),COUNTIFS(FER_F,INT(B758)+1,FER_NLM,"Sí"))=0),1,0),0)</f>
        <v>0</v>
      </c>
      <c r="AJ758" s="80">
        <f>IF(AC758=1,1440-Z758,AD758)</f>
        <v>0</v>
      </c>
      <c r="AK758" s="80">
        <f>IF(AND(AB758=1,AH758=1),MAX(0,MIN(IF(AC758=1,1440,AA758),CFG_WEM)-MAX(Z758,CFG_WSM)),0)</f>
        <v>0</v>
      </c>
      <c r="AL758" s="80">
        <f>IF(AND(AC758=1,AI758=1),MAX(0,MIN(AA758,CFG_WEM)-CFG_WSM),0)</f>
        <v>0</v>
      </c>
      <c r="AM758" s="80">
        <f>AK758+AL758</f>
        <v>0</v>
      </c>
      <c r="AN758" s="80">
        <f>IF(CFG_BRK="Proporcional",IF(AD758=0,0,AF758*AM758/AD758),IF(CFG_BRK="Extras primero",MIN(AM758,MAX(0,AF758-(AD758-AM758))),MIN(AF758,AM758)))</f>
        <v>0</v>
      </c>
      <c r="AO758" s="80">
        <f>AF758-AN758</f>
        <v>0</v>
      </c>
      <c r="AP758" s="80">
        <f>AM758-AN758</f>
        <v>0</v>
      </c>
      <c r="AQ758" s="80">
        <f>AD758-AM758-AO758</f>
        <v>0</v>
      </c>
      <c r="AR758" s="80">
        <f>IF(AM758=0,0,AK758-AN758*AK758/AM758)</f>
        <v>0</v>
      </c>
      <c r="AS758" s="80">
        <f>IF(AD758-AM758=0,0,(AJ758-AK758)-AO758*(AJ758-AK758)/(AD758-AM758))</f>
        <v>0</v>
      </c>
      <c r="AT758" s="80" t="str">
        <f>IF(AC758=1,INT(B758)+1,"")</f>
        <v/>
      </c>
      <c r="AU758" s="80">
        <f>IF(AND(D758="proMX",R758="Cancelled"),0,1)</f>
        <v>1</v>
      </c>
      <c r="AV758" s="80">
        <f>IF(AND(AB758=1,AU758=1),IF(COUNTIFS($D$5:D757,D758,$B$5:B757,B758,$Z$5:Z757,Z758,$AA$5:AA757,AA758,$F$5:F757,F758&amp;"",$AU$5:AU757,1)&gt;0,1,0),0)</f>
        <v>0</v>
      </c>
      <c r="AW758" s="80" t="str">
        <f>IF(AB758=1,INT(B758)*1440+Z758,"")</f>
        <v/>
      </c>
      <c r="AX758" s="80" t="str">
        <f>IF(AB758=1,AW758+AD758,"")</f>
        <v/>
      </c>
      <c r="AY758" s="80">
        <f>IF(AND(AB758=1,AV758=0,AU758=1),1,0)</f>
        <v>0</v>
      </c>
      <c r="AZ758" s="80">
        <f>IF(AY758=1,COUNTIFS(R_Emp,D758,R_SAbs,"&lt;"&amp;AX758,R_EAbs,"&gt;"&amp;AW758,R_OKey,1)-1,0)</f>
        <v>0</v>
      </c>
      <c r="BA758" s="80">
        <f>IF(AY758=1,COUNTIFS(R_Emp,"&lt;&gt;"&amp;D758,R_SAbs,"&lt;"&amp;AX758,R_EAbs,"&gt;"&amp;AW758,R_OKey,1),0)</f>
        <v>0</v>
      </c>
      <c r="BB758" s="80">
        <f>IF(AND(AB758=1,D758="proMX"),IF(AND(MOD(Z758,CFG_BLK)=0,MOD(AA758,CFG_BLK)=0,MOD(AG758,CFG_BLK)=0,AG758&gt;0),1,0),1)</f>
        <v>1</v>
      </c>
      <c r="BC758" s="80" t="str">
        <f>IF(Y758=0,"",IF(NOT(ISNUMBER(B758)),"Falta fecha o fecha inválida",IF(D758="","Falta empresa",IF(AND(D758&lt;&gt;"Malcolm",D758&lt;&gt;"proMX"),"Empresa inválida",IF(OR(INT(B758)&lt;CFG_PSTART,INT(B758)&gt;CFG_PEND),"Fecha fuera del período",IF(OR(NOT(ISNUMBER(Z758)),NOT(ISNUMBER(AA758))),"Falta hora inicio/fin o formato inválido",IF(AB758=0,"Hora inicio = hora fin",IF(AE758&lt;0,"Descanso inválido",IF(AE758&gt;=AD758,"Descanso ≥ duración",IF(AV758=1,"Registro duplicado",IF(AZ758&gt;0,"Se superpone con otro registro "&amp;D758,IF(BB758=0,"inicio, fin y duración neta deben ser múltiplos de "&amp;CFG_BLK&amp;" min",""))))))))))))</f>
        <v/>
      </c>
      <c r="BD758" s="80">
        <f>IF(AND(Y758=1,BC758=""),1,0)</f>
        <v>0</v>
      </c>
      <c r="BE758" s="80">
        <f>IF(AND(BD758=1,AU758=1),1,0)</f>
        <v>0</v>
      </c>
      <c r="BF758" s="80" t="str">
        <f>IF(AND(D758="proMX",BD758=1),IF(R758="","Draft",R758),"")</f>
        <v/>
      </c>
      <c r="BG758" s="80">
        <f>IF(BD758=1,ROUND(AG758/60,6),0)</f>
        <v>0</v>
      </c>
      <c r="BH758" s="80">
        <f>IF(BE758=1,ROUND(AG758/60,6),0)</f>
        <v>0</v>
      </c>
      <c r="BI758" s="80">
        <f>IF(BE758=1,ROUND(AP758/60,6),0)</f>
        <v>0</v>
      </c>
      <c r="BJ758" s="80">
        <f>IF(BE758=1,ROUND(AQ758/60,6),0)</f>
        <v>0</v>
      </c>
      <c r="BK758" s="80">
        <f>IF(BE758=1,ROUND((AR758+AS758)/60,6),0)</f>
        <v>0</v>
      </c>
      <c r="BL758" s="80">
        <f>ROUND(BH758-BK758,6)</f>
        <v>0</v>
      </c>
      <c r="BM758" s="80">
        <f>IF(BE758=1,ROUND(AR758/60,6),0)</f>
        <v>0</v>
      </c>
      <c r="BN758" s="80">
        <f>ROUND(BI758-BM758,6)</f>
        <v>0</v>
      </c>
      <c r="BO758" s="80">
        <f>IF(BE758=1,ROUND(AS758/60,6),0)</f>
        <v>0</v>
      </c>
      <c r="BP758" s="80">
        <f>ROUND(BJ758-BO758,6)</f>
        <v>0</v>
      </c>
      <c r="BQ758" s="80">
        <f>IF(BE758=1,AW758,0)</f>
        <v>0</v>
      </c>
      <c r="BR758" s="80">
        <f>IF(BE758=1,AX758,0)</f>
        <v>0</v>
      </c>
      <c r="BS758" s="80">
        <f>IF(AND(BE758=1,D758="Malcolm",BA758&gt;0),MIN(BH758,SUMPRODUCT((R_Emp="proMX")*(R_EN&gt;0)*((R_EN-(R_EN&gt;BR758)*(R_EN-BR758))&gt;(R_SN+(R_SN&lt;BQ758)*(BQ758-R_SN)))*((R_EN-(R_EN&gt;BR758)*(R_EN-BR758))-(R_SN+(R_SN&lt;BQ758)*(BQ758-R_SN))))/60),0)</f>
        <v>0</v>
      </c>
      <c r="BT758" s="80">
        <f>IF(AND(BE758=1,D758="proMX"),ROUND(BI758*CFG_RATE+BJ758*CFG_OTRATE,6),0)</f>
        <v>0</v>
      </c>
      <c r="BU758" s="80">
        <f>IF(AND(BD758=1,D758="proMX"),ROUND(AG758/CFG_BLK,6),0)</f>
        <v>0</v>
      </c>
      <c r="BV758" s="80" t="str">
        <f>IF(BF758="Approved",IF(ISNUMBER(T758),INT(T758),INT(B758)),"")</f>
        <v/>
      </c>
      <c r="BW758" s="80">
        <f>IF(ISNUMBER(B758),IF(DB_MON="Todos",1,IF(AND(INT(B758)&gt;=DB_MS,INT(B758)&lt;=DB_ME),1,0)),0)</f>
        <v>0</v>
      </c>
      <c r="BX758" s="80">
        <f>IF(DB_PROJ="Todos",1,IF(E758&amp;""=DB_PROJ&amp;"",1,0))</f>
        <v>1</v>
      </c>
      <c r="BY758" s="80">
        <f>BW758*BX758</f>
        <v>0</v>
      </c>
      <c r="BZ758" s="80" t="str">
        <f>IF(Y758=1,F758&amp;IF(AND(F758&amp;""&lt;&gt;"",E758&amp;""&lt;&gt;"")," · ","")&amp;E758,"")</f>
        <v/>
      </c>
      <c r="CA758" s="80" t="str">
        <f>IF(AND(BD758=1,E758&amp;""&lt;&gt;""),IF(COUNTIFS($E$5:E757,E758,$BD$5:BD757,1)=0,MAX($CA$5:CA757)+1,""),"")</f>
        <v/>
      </c>
      <c r="CB758" s="80" t="str">
        <f>IF(AND(BE758=1,D758="Malcolm",E758&amp;""&lt;&gt;""),IF(COUNTIFS($D$5:D757,"Malcolm",$E$5:E757,E758,$BE$5:BE757,1)=0,MAX($CB$5:CB757)+1,""),"")</f>
        <v/>
      </c>
      <c r="CC758" s="80" t="str">
        <f>IF(AND(BD758=1,D758="proMX",E758&amp;""&lt;&gt;""),IF(COUNTIFS($D$5:D757,"proMX",$E$5:E757,E758,$BD$5:BD757,1)=0,MAX($CC$5:CC757)+1,""),"")</f>
        <v/>
      </c>
      <c r="CD758" s="80" t="str">
        <f>IF(AND(BE758=1,D758="Malcolm",F758&amp;""&lt;&gt;""),IF(COUNTIFS($D$5:D757,"Malcolm",$F$5:F757,F758,$BE$5:BE757,1)=0,MAX($CD$5:CD757)+1,""),"")</f>
        <v/>
      </c>
      <c r="CE758" s="80" t="str">
        <f>IF(AND(BD758=1,D758="proMX",F758&amp;""&lt;&gt;""),IF(COUNTIFS($D$5:D757,"proMX",$F$5:F757,F758,$BD$5:BD757,1)=0,MAX($CE$5:CE757)+1,""),"")</f>
        <v/>
      </c>
      <c r="CF758" s="80" t="str">
        <f>IF(AND(D758="proMX",BD758=1),IF(OR(BF758="Draft",BF758="Submitted",BF758="Returned",BF758="Recall Requested"),MAX($CF$5:CF757)+1,""),"")</f>
        <v/>
      </c>
      <c r="CG758" s="80">
        <f>IF(BD758=0,0,IF(D758="Malcolm",1,MATCH(BF758,{"Draft","Submitted","Approved","Returned","Recall Requested","Cancelled"},0)+1))</f>
        <v>0</v>
      </c>
      <c r="CH758" s="80">
        <f>IF(AND(BF758="Submitted",ISNUMBER(V758)),IF(V758&gt;CFG_MAXD,1,0),0)</f>
        <v>0</v>
      </c>
    </row>
    <row r="759">
      <c r="A759" s="71" t="str">
        <f>IF(Y759=1,ROW()-5,"")</f>
        <v/>
      </c>
      <c r="B759" s="72" t="n"/>
      <c r="C759" s="71" t="str">
        <f>IF(ISNUMBER(B759),CHOOSE(WEEKDAY(B759,2),"Lun","Mar","Mié","Jue","Vie","Sáb","Dom"),"")</f>
        <v/>
      </c>
      <c r="D759" s="73" t="n"/>
      <c r="E759" s="74" t="n"/>
      <c r="F759" s="74" t="n"/>
      <c r="G759" s="74" t="n"/>
      <c r="H759" s="75" t="n"/>
      <c r="I759" s="75" t="n"/>
      <c r="J759" s="76" t="n"/>
      <c r="K759" s="77" t="str">
        <f>IF(AB759=1,ROUND(AG759/60,4),"")</f>
        <v/>
      </c>
      <c r="L759" s="77" t="str">
        <f>IF(BD759=1,ROUND(AP759/60,4),"")</f>
        <v/>
      </c>
      <c r="M759" s="77" t="str">
        <f>IF(BD759=1,ROUND(AQ759/60,4),"")</f>
        <v/>
      </c>
      <c r="N759" s="71" t="str">
        <f>IF(AND(D759="proMX",AB759=1),ROUND(AG759/CFG_BLK,2),"")</f>
        <v/>
      </c>
      <c r="O759" s="77" t="str">
        <f>IF(D759="proMX",IF(BD759=1,ROUND(AG759/60,4),0),"")</f>
        <v/>
      </c>
      <c r="P759" s="78" t="str">
        <f>IF(Y759=0,"",IF(BD759=1,"OK",IF(D759="proMX","Revisar bloques: ","Revisar: ")&amp;BC759))</f>
        <v/>
      </c>
      <c r="Q759" s="78" t="str">
        <f>IF(NOT(ISNUMBER(B759)),"",IF(COUNTIFS(FER_F,INT(B759))&gt;0,"Feriado"&amp;IF(AH759=1," (laborable)"," (no laborable)"),IF(AH759=1,"Laborable",IF(WEEKDAY(B759,2)&gt;5,"Fin de semana","No laborable"))))</f>
        <v/>
      </c>
      <c r="R759" s="73" t="n"/>
      <c r="S759" s="72" t="n"/>
      <c r="T759" s="72" t="n"/>
      <c r="U759" s="74" t="n"/>
      <c r="V759" s="79" t="str">
        <f>IF(AND(D759="proMX",OR(R759="Submitted",R759="Recall Requested"),ISNUMBER(S759)),CFG_TODAY-INT(S759),"")</f>
        <v/>
      </c>
      <c r="W759" s="78" t="str">
        <f>IF(BD759=0,"",IF(BA759&gt;0,"⚠ Se superpone con un registro de la otra empresa",IF(D759="Malcolm",IF(COUNTA(R759,S759,T759)&gt;0,"Estado/fechas proMX se ignoran en Malcolm",""),IF(BF759="Cancelled","Cancelado: excluido de totales",IF(R759="","Sin estado: se trata como Draft",IF(BF759="Submitted",IF(ISNUMBER(V759),IF(V759&gt;CFG_MAXD,"⚠ "&amp;V759&amp;" días en Submitted (máx. "&amp;CFG_MAXD&amp;")",""),"Falta fecha de envío"),IF(BF759="Returned","⚠ Devuelto: corregir y reenviar",IF(BF759="Recall Requested","Retirada solicitada: pendiente",IF(AND(BF759="Approved",NOT(ISNUMBER(T759))),"Falta fecha de aprobación",IF(AND(ISNUMBER(S759),ISNUMBER(T759),T759&lt;S759),"Aprobación anterior al envío","")))))))))</f>
        <v/>
      </c>
      <c r="Y759" s="80">
        <f>IF(COUNTA(B759,D759,E759,F759,G759,H759,I759,J759,R759,S759,T759)&gt;0,1,0)</f>
        <v>0</v>
      </c>
      <c r="Z759" s="80" t="str">
        <f>IF(AND(ISNUMBER(H759),H759&gt;=0,H759&lt;1),ROUND(H759*1440,0),"")</f>
        <v/>
      </c>
      <c r="AA759" s="80" t="str">
        <f>IF(AND(ISNUMBER(I759),I759&gt;=0,I759&lt;1),ROUND(I759*1440,0),"")</f>
        <v/>
      </c>
      <c r="AB759" s="80">
        <f>IF(AND(ISNUMBER(B759),D759&lt;&gt;"",ISNUMBER(Z759),ISNUMBER(AA759)),IF(Z759=AA759,0,1),0)</f>
        <v>0</v>
      </c>
      <c r="AC759" s="80">
        <f>IF(AB759=1,IF(AA759&lt;Z759,1,0),0)</f>
        <v>0</v>
      </c>
      <c r="AD759" s="80">
        <f>IF(AB759=1,IF(AC759=1,1440-Z759+AA759,AA759-Z759),0)</f>
        <v>0</v>
      </c>
      <c r="AE759" s="80">
        <f>IF(J759="",0,IF(ISNUMBER(J759),J759,-1))</f>
        <v>0</v>
      </c>
      <c r="AF759" s="80">
        <f>MIN(MAX(0,AE759),AD759)</f>
        <v>0</v>
      </c>
      <c r="AG759" s="80">
        <f>MAX(0,AD759-MAX(0,AE759))</f>
        <v>0</v>
      </c>
      <c r="AH759" s="80">
        <f>IF(ISNUMBER(B759),IF(AND(INDEX(CFG_WDAYS,WEEKDAY(INT(B759),2))="Sí",IF(D759="proMX",COUNTIFS(FER_F,INT(B759),FER_NLP,"Sí"),COUNTIFS(FER_F,INT(B759),FER_NLM,"Sí"))=0),1,0),0)</f>
        <v>0</v>
      </c>
      <c r="AI759" s="80">
        <f>IF(AC759=1,IF(AND(INDEX(CFG_WDAYS,WEEKDAY(INT(B759)+1,2))="Sí",IF(D759="proMX",COUNTIFS(FER_F,INT(B759)+1,FER_NLP,"Sí"),COUNTIFS(FER_F,INT(B759)+1,FER_NLM,"Sí"))=0),1,0),0)</f>
        <v>0</v>
      </c>
      <c r="AJ759" s="80">
        <f>IF(AC759=1,1440-Z759,AD759)</f>
        <v>0</v>
      </c>
      <c r="AK759" s="80">
        <f>IF(AND(AB759=1,AH759=1),MAX(0,MIN(IF(AC759=1,1440,AA759),CFG_WEM)-MAX(Z759,CFG_WSM)),0)</f>
        <v>0</v>
      </c>
      <c r="AL759" s="80">
        <f>IF(AND(AC759=1,AI759=1),MAX(0,MIN(AA759,CFG_WEM)-CFG_WSM),0)</f>
        <v>0</v>
      </c>
      <c r="AM759" s="80">
        <f>AK759+AL759</f>
        <v>0</v>
      </c>
      <c r="AN759" s="80">
        <f>IF(CFG_BRK="Proporcional",IF(AD759=0,0,AF759*AM759/AD759),IF(CFG_BRK="Extras primero",MIN(AM759,MAX(0,AF759-(AD759-AM759))),MIN(AF759,AM759)))</f>
        <v>0</v>
      </c>
      <c r="AO759" s="80">
        <f>AF759-AN759</f>
        <v>0</v>
      </c>
      <c r="AP759" s="80">
        <f>AM759-AN759</f>
        <v>0</v>
      </c>
      <c r="AQ759" s="80">
        <f>AD759-AM759-AO759</f>
        <v>0</v>
      </c>
      <c r="AR759" s="80">
        <f>IF(AM759=0,0,AK759-AN759*AK759/AM759)</f>
        <v>0</v>
      </c>
      <c r="AS759" s="80">
        <f>IF(AD759-AM759=0,0,(AJ759-AK759)-AO759*(AJ759-AK759)/(AD759-AM759))</f>
        <v>0</v>
      </c>
      <c r="AT759" s="80" t="str">
        <f>IF(AC759=1,INT(B759)+1,"")</f>
        <v/>
      </c>
      <c r="AU759" s="80">
        <f>IF(AND(D759="proMX",R759="Cancelled"),0,1)</f>
        <v>1</v>
      </c>
      <c r="AV759" s="80">
        <f>IF(AND(AB759=1,AU759=1),IF(COUNTIFS($D$5:D758,D759,$B$5:B758,B759,$Z$5:Z758,Z759,$AA$5:AA758,AA759,$F$5:F758,F759&amp;"",$AU$5:AU758,1)&gt;0,1,0),0)</f>
        <v>0</v>
      </c>
      <c r="AW759" s="80" t="str">
        <f>IF(AB759=1,INT(B759)*1440+Z759,"")</f>
        <v/>
      </c>
      <c r="AX759" s="80" t="str">
        <f>IF(AB759=1,AW759+AD759,"")</f>
        <v/>
      </c>
      <c r="AY759" s="80">
        <f>IF(AND(AB759=1,AV759=0,AU759=1),1,0)</f>
        <v>0</v>
      </c>
      <c r="AZ759" s="80">
        <f>IF(AY759=1,COUNTIFS(R_Emp,D759,R_SAbs,"&lt;"&amp;AX759,R_EAbs,"&gt;"&amp;AW759,R_OKey,1)-1,0)</f>
        <v>0</v>
      </c>
      <c r="BA759" s="80">
        <f>IF(AY759=1,COUNTIFS(R_Emp,"&lt;&gt;"&amp;D759,R_SAbs,"&lt;"&amp;AX759,R_EAbs,"&gt;"&amp;AW759,R_OKey,1),0)</f>
        <v>0</v>
      </c>
      <c r="BB759" s="80">
        <f>IF(AND(AB759=1,D759="proMX"),IF(AND(MOD(Z759,CFG_BLK)=0,MOD(AA759,CFG_BLK)=0,MOD(AG759,CFG_BLK)=0,AG759&gt;0),1,0),1)</f>
        <v>1</v>
      </c>
      <c r="BC759" s="80" t="str">
        <f>IF(Y759=0,"",IF(NOT(ISNUMBER(B759)),"Falta fecha o fecha inválida",IF(D759="","Falta empresa",IF(AND(D759&lt;&gt;"Malcolm",D759&lt;&gt;"proMX"),"Empresa inválida",IF(OR(INT(B759)&lt;CFG_PSTART,INT(B759)&gt;CFG_PEND),"Fecha fuera del período",IF(OR(NOT(ISNUMBER(Z759)),NOT(ISNUMBER(AA759))),"Falta hora inicio/fin o formato inválido",IF(AB759=0,"Hora inicio = hora fin",IF(AE759&lt;0,"Descanso inválido",IF(AE759&gt;=AD759,"Descanso ≥ duración",IF(AV759=1,"Registro duplicado",IF(AZ759&gt;0,"Se superpone con otro registro "&amp;D759,IF(BB759=0,"inicio, fin y duración neta deben ser múltiplos de "&amp;CFG_BLK&amp;" min",""))))))))))))</f>
        <v/>
      </c>
      <c r="BD759" s="80">
        <f>IF(AND(Y759=1,BC759=""),1,0)</f>
        <v>0</v>
      </c>
      <c r="BE759" s="80">
        <f>IF(AND(BD759=1,AU759=1),1,0)</f>
        <v>0</v>
      </c>
      <c r="BF759" s="80" t="str">
        <f>IF(AND(D759="proMX",BD759=1),IF(R759="","Draft",R759),"")</f>
        <v/>
      </c>
      <c r="BG759" s="80">
        <f>IF(BD759=1,ROUND(AG759/60,6),0)</f>
        <v>0</v>
      </c>
      <c r="BH759" s="80">
        <f>IF(BE759=1,ROUND(AG759/60,6),0)</f>
        <v>0</v>
      </c>
      <c r="BI759" s="80">
        <f>IF(BE759=1,ROUND(AP759/60,6),0)</f>
        <v>0</v>
      </c>
      <c r="BJ759" s="80">
        <f>IF(BE759=1,ROUND(AQ759/60,6),0)</f>
        <v>0</v>
      </c>
      <c r="BK759" s="80">
        <f>IF(BE759=1,ROUND((AR759+AS759)/60,6),0)</f>
        <v>0</v>
      </c>
      <c r="BL759" s="80">
        <f>ROUND(BH759-BK759,6)</f>
        <v>0</v>
      </c>
      <c r="BM759" s="80">
        <f>IF(BE759=1,ROUND(AR759/60,6),0)</f>
        <v>0</v>
      </c>
      <c r="BN759" s="80">
        <f>ROUND(BI759-BM759,6)</f>
        <v>0</v>
      </c>
      <c r="BO759" s="80">
        <f>IF(BE759=1,ROUND(AS759/60,6),0)</f>
        <v>0</v>
      </c>
      <c r="BP759" s="80">
        <f>ROUND(BJ759-BO759,6)</f>
        <v>0</v>
      </c>
      <c r="BQ759" s="80">
        <f>IF(BE759=1,AW759,0)</f>
        <v>0</v>
      </c>
      <c r="BR759" s="80">
        <f>IF(BE759=1,AX759,0)</f>
        <v>0</v>
      </c>
      <c r="BS759" s="80">
        <f>IF(AND(BE759=1,D759="Malcolm",BA759&gt;0),MIN(BH759,SUMPRODUCT((R_Emp="proMX")*(R_EN&gt;0)*((R_EN-(R_EN&gt;BR759)*(R_EN-BR759))&gt;(R_SN+(R_SN&lt;BQ759)*(BQ759-R_SN)))*((R_EN-(R_EN&gt;BR759)*(R_EN-BR759))-(R_SN+(R_SN&lt;BQ759)*(BQ759-R_SN))))/60),0)</f>
        <v>0</v>
      </c>
      <c r="BT759" s="80">
        <f>IF(AND(BE759=1,D759="proMX"),ROUND(BI759*CFG_RATE+BJ759*CFG_OTRATE,6),0)</f>
        <v>0</v>
      </c>
      <c r="BU759" s="80">
        <f>IF(AND(BD759=1,D759="proMX"),ROUND(AG759/CFG_BLK,6),0)</f>
        <v>0</v>
      </c>
      <c r="BV759" s="80" t="str">
        <f>IF(BF759="Approved",IF(ISNUMBER(T759),INT(T759),INT(B759)),"")</f>
        <v/>
      </c>
      <c r="BW759" s="80">
        <f>IF(ISNUMBER(B759),IF(DB_MON="Todos",1,IF(AND(INT(B759)&gt;=DB_MS,INT(B759)&lt;=DB_ME),1,0)),0)</f>
        <v>0</v>
      </c>
      <c r="BX759" s="80">
        <f>IF(DB_PROJ="Todos",1,IF(E759&amp;""=DB_PROJ&amp;"",1,0))</f>
        <v>1</v>
      </c>
      <c r="BY759" s="80">
        <f>BW759*BX759</f>
        <v>0</v>
      </c>
      <c r="BZ759" s="80" t="str">
        <f>IF(Y759=1,F759&amp;IF(AND(F759&amp;""&lt;&gt;"",E759&amp;""&lt;&gt;"")," · ","")&amp;E759,"")</f>
        <v/>
      </c>
      <c r="CA759" s="80" t="str">
        <f>IF(AND(BD759=1,E759&amp;""&lt;&gt;""),IF(COUNTIFS($E$5:E758,E759,$BD$5:BD758,1)=0,MAX($CA$5:CA758)+1,""),"")</f>
        <v/>
      </c>
      <c r="CB759" s="80" t="str">
        <f>IF(AND(BE759=1,D759="Malcolm",E759&amp;""&lt;&gt;""),IF(COUNTIFS($D$5:D758,"Malcolm",$E$5:E758,E759,$BE$5:BE758,1)=0,MAX($CB$5:CB758)+1,""),"")</f>
        <v/>
      </c>
      <c r="CC759" s="80" t="str">
        <f>IF(AND(BD759=1,D759="proMX",E759&amp;""&lt;&gt;""),IF(COUNTIFS($D$5:D758,"proMX",$E$5:E758,E759,$BD$5:BD758,1)=0,MAX($CC$5:CC758)+1,""),"")</f>
        <v/>
      </c>
      <c r="CD759" s="80" t="str">
        <f>IF(AND(BE759=1,D759="Malcolm",F759&amp;""&lt;&gt;""),IF(COUNTIFS($D$5:D758,"Malcolm",$F$5:F758,F759,$BE$5:BE758,1)=0,MAX($CD$5:CD758)+1,""),"")</f>
        <v/>
      </c>
      <c r="CE759" s="80" t="str">
        <f>IF(AND(BD759=1,D759="proMX",F759&amp;""&lt;&gt;""),IF(COUNTIFS($D$5:D758,"proMX",$F$5:F758,F759,$BD$5:BD758,1)=0,MAX($CE$5:CE758)+1,""),"")</f>
        <v/>
      </c>
      <c r="CF759" s="80" t="str">
        <f>IF(AND(D759="proMX",BD759=1),IF(OR(BF759="Draft",BF759="Submitted",BF759="Returned",BF759="Recall Requested"),MAX($CF$5:CF758)+1,""),"")</f>
        <v/>
      </c>
      <c r="CG759" s="80">
        <f>IF(BD759=0,0,IF(D759="Malcolm",1,MATCH(BF759,{"Draft","Submitted","Approved","Returned","Recall Requested","Cancelled"},0)+1))</f>
        <v>0</v>
      </c>
      <c r="CH759" s="80">
        <f>IF(AND(BF759="Submitted",ISNUMBER(V759)),IF(V759&gt;CFG_MAXD,1,0),0)</f>
        <v>0</v>
      </c>
    </row>
    <row r="760">
      <c r="A760" s="71" t="str">
        <f>IF(Y760=1,ROW()-5,"")</f>
        <v/>
      </c>
      <c r="B760" s="72" t="n"/>
      <c r="C760" s="71" t="str">
        <f>IF(ISNUMBER(B760),CHOOSE(WEEKDAY(B760,2),"Lun","Mar","Mié","Jue","Vie","Sáb","Dom"),"")</f>
        <v/>
      </c>
      <c r="D760" s="73" t="n"/>
      <c r="E760" s="74" t="n"/>
      <c r="F760" s="74" t="n"/>
      <c r="G760" s="74" t="n"/>
      <c r="H760" s="75" t="n"/>
      <c r="I760" s="75" t="n"/>
      <c r="J760" s="76" t="n"/>
      <c r="K760" s="77" t="str">
        <f>IF(AB760=1,ROUND(AG760/60,4),"")</f>
        <v/>
      </c>
      <c r="L760" s="77" t="str">
        <f>IF(BD760=1,ROUND(AP760/60,4),"")</f>
        <v/>
      </c>
      <c r="M760" s="77" t="str">
        <f>IF(BD760=1,ROUND(AQ760/60,4),"")</f>
        <v/>
      </c>
      <c r="N760" s="71" t="str">
        <f>IF(AND(D760="proMX",AB760=1),ROUND(AG760/CFG_BLK,2),"")</f>
        <v/>
      </c>
      <c r="O760" s="77" t="str">
        <f>IF(D760="proMX",IF(BD760=1,ROUND(AG760/60,4),0),"")</f>
        <v/>
      </c>
      <c r="P760" s="78" t="str">
        <f>IF(Y760=0,"",IF(BD760=1,"OK",IF(D760="proMX","Revisar bloques: ","Revisar: ")&amp;BC760))</f>
        <v/>
      </c>
      <c r="Q760" s="78" t="str">
        <f>IF(NOT(ISNUMBER(B760)),"",IF(COUNTIFS(FER_F,INT(B760))&gt;0,"Feriado"&amp;IF(AH760=1," (laborable)"," (no laborable)"),IF(AH760=1,"Laborable",IF(WEEKDAY(B760,2)&gt;5,"Fin de semana","No laborable"))))</f>
        <v/>
      </c>
      <c r="R760" s="73" t="n"/>
      <c r="S760" s="72" t="n"/>
      <c r="T760" s="72" t="n"/>
      <c r="U760" s="74" t="n"/>
      <c r="V760" s="79" t="str">
        <f>IF(AND(D760="proMX",OR(R760="Submitted",R760="Recall Requested"),ISNUMBER(S760)),CFG_TODAY-INT(S760),"")</f>
        <v/>
      </c>
      <c r="W760" s="78" t="str">
        <f>IF(BD760=0,"",IF(BA760&gt;0,"⚠ Se superpone con un registro de la otra empresa",IF(D760="Malcolm",IF(COUNTA(R760,S760,T760)&gt;0,"Estado/fechas proMX se ignoran en Malcolm",""),IF(BF760="Cancelled","Cancelado: excluido de totales",IF(R760="","Sin estado: se trata como Draft",IF(BF760="Submitted",IF(ISNUMBER(V760),IF(V760&gt;CFG_MAXD,"⚠ "&amp;V760&amp;" días en Submitted (máx. "&amp;CFG_MAXD&amp;")",""),"Falta fecha de envío"),IF(BF760="Returned","⚠ Devuelto: corregir y reenviar",IF(BF760="Recall Requested","Retirada solicitada: pendiente",IF(AND(BF760="Approved",NOT(ISNUMBER(T760))),"Falta fecha de aprobación",IF(AND(ISNUMBER(S760),ISNUMBER(T760),T760&lt;S760),"Aprobación anterior al envío","")))))))))</f>
        <v/>
      </c>
      <c r="Y760" s="80">
        <f>IF(COUNTA(B760,D760,E760,F760,G760,H760,I760,J760,R760,S760,T760)&gt;0,1,0)</f>
        <v>0</v>
      </c>
      <c r="Z760" s="80" t="str">
        <f>IF(AND(ISNUMBER(H760),H760&gt;=0,H760&lt;1),ROUND(H760*1440,0),"")</f>
        <v/>
      </c>
      <c r="AA760" s="80" t="str">
        <f>IF(AND(ISNUMBER(I760),I760&gt;=0,I760&lt;1),ROUND(I760*1440,0),"")</f>
        <v/>
      </c>
      <c r="AB760" s="80">
        <f>IF(AND(ISNUMBER(B760),D760&lt;&gt;"",ISNUMBER(Z760),ISNUMBER(AA760)),IF(Z760=AA760,0,1),0)</f>
        <v>0</v>
      </c>
      <c r="AC760" s="80">
        <f>IF(AB760=1,IF(AA760&lt;Z760,1,0),0)</f>
        <v>0</v>
      </c>
      <c r="AD760" s="80">
        <f>IF(AB760=1,IF(AC760=1,1440-Z760+AA760,AA760-Z760),0)</f>
        <v>0</v>
      </c>
      <c r="AE760" s="80">
        <f>IF(J760="",0,IF(ISNUMBER(J760),J760,-1))</f>
        <v>0</v>
      </c>
      <c r="AF760" s="80">
        <f>MIN(MAX(0,AE760),AD760)</f>
        <v>0</v>
      </c>
      <c r="AG760" s="80">
        <f>MAX(0,AD760-MAX(0,AE760))</f>
        <v>0</v>
      </c>
      <c r="AH760" s="80">
        <f>IF(ISNUMBER(B760),IF(AND(INDEX(CFG_WDAYS,WEEKDAY(INT(B760),2))="Sí",IF(D760="proMX",COUNTIFS(FER_F,INT(B760),FER_NLP,"Sí"),COUNTIFS(FER_F,INT(B760),FER_NLM,"Sí"))=0),1,0),0)</f>
        <v>0</v>
      </c>
      <c r="AI760" s="80">
        <f>IF(AC760=1,IF(AND(INDEX(CFG_WDAYS,WEEKDAY(INT(B760)+1,2))="Sí",IF(D760="proMX",COUNTIFS(FER_F,INT(B760)+1,FER_NLP,"Sí"),COUNTIFS(FER_F,INT(B760)+1,FER_NLM,"Sí"))=0),1,0),0)</f>
        <v>0</v>
      </c>
      <c r="AJ760" s="80">
        <f>IF(AC760=1,1440-Z760,AD760)</f>
        <v>0</v>
      </c>
      <c r="AK760" s="80">
        <f>IF(AND(AB760=1,AH760=1),MAX(0,MIN(IF(AC760=1,1440,AA760),CFG_WEM)-MAX(Z760,CFG_WSM)),0)</f>
        <v>0</v>
      </c>
      <c r="AL760" s="80">
        <f>IF(AND(AC760=1,AI760=1),MAX(0,MIN(AA760,CFG_WEM)-CFG_WSM),0)</f>
        <v>0</v>
      </c>
      <c r="AM760" s="80">
        <f>AK760+AL760</f>
        <v>0</v>
      </c>
      <c r="AN760" s="80">
        <f>IF(CFG_BRK="Proporcional",IF(AD760=0,0,AF760*AM760/AD760),IF(CFG_BRK="Extras primero",MIN(AM760,MAX(0,AF760-(AD760-AM760))),MIN(AF760,AM760)))</f>
        <v>0</v>
      </c>
      <c r="AO760" s="80">
        <f>AF760-AN760</f>
        <v>0</v>
      </c>
      <c r="AP760" s="80">
        <f>AM760-AN760</f>
        <v>0</v>
      </c>
      <c r="AQ760" s="80">
        <f>AD760-AM760-AO760</f>
        <v>0</v>
      </c>
      <c r="AR760" s="80">
        <f>IF(AM760=0,0,AK760-AN760*AK760/AM760)</f>
        <v>0</v>
      </c>
      <c r="AS760" s="80">
        <f>IF(AD760-AM760=0,0,(AJ760-AK760)-AO760*(AJ760-AK760)/(AD760-AM760))</f>
        <v>0</v>
      </c>
      <c r="AT760" s="80" t="str">
        <f>IF(AC760=1,INT(B760)+1,"")</f>
        <v/>
      </c>
      <c r="AU760" s="80">
        <f>IF(AND(D760="proMX",R760="Cancelled"),0,1)</f>
        <v>1</v>
      </c>
      <c r="AV760" s="80">
        <f>IF(AND(AB760=1,AU760=1),IF(COUNTIFS($D$5:D759,D760,$B$5:B759,B760,$Z$5:Z759,Z760,$AA$5:AA759,AA760,$F$5:F759,F760&amp;"",$AU$5:AU759,1)&gt;0,1,0),0)</f>
        <v>0</v>
      </c>
      <c r="AW760" s="80" t="str">
        <f>IF(AB760=1,INT(B760)*1440+Z760,"")</f>
        <v/>
      </c>
      <c r="AX760" s="80" t="str">
        <f>IF(AB760=1,AW760+AD760,"")</f>
        <v/>
      </c>
      <c r="AY760" s="80">
        <f>IF(AND(AB760=1,AV760=0,AU760=1),1,0)</f>
        <v>0</v>
      </c>
      <c r="AZ760" s="80">
        <f>IF(AY760=1,COUNTIFS(R_Emp,D760,R_SAbs,"&lt;"&amp;AX760,R_EAbs,"&gt;"&amp;AW760,R_OKey,1)-1,0)</f>
        <v>0</v>
      </c>
      <c r="BA760" s="80">
        <f>IF(AY760=1,COUNTIFS(R_Emp,"&lt;&gt;"&amp;D760,R_SAbs,"&lt;"&amp;AX760,R_EAbs,"&gt;"&amp;AW760,R_OKey,1),0)</f>
        <v>0</v>
      </c>
      <c r="BB760" s="80">
        <f>IF(AND(AB760=1,D760="proMX"),IF(AND(MOD(Z760,CFG_BLK)=0,MOD(AA760,CFG_BLK)=0,MOD(AG760,CFG_BLK)=0,AG760&gt;0),1,0),1)</f>
        <v>1</v>
      </c>
      <c r="BC760" s="80" t="str">
        <f>IF(Y760=0,"",IF(NOT(ISNUMBER(B760)),"Falta fecha o fecha inválida",IF(D760="","Falta empresa",IF(AND(D760&lt;&gt;"Malcolm",D760&lt;&gt;"proMX"),"Empresa inválida",IF(OR(INT(B760)&lt;CFG_PSTART,INT(B760)&gt;CFG_PEND),"Fecha fuera del período",IF(OR(NOT(ISNUMBER(Z760)),NOT(ISNUMBER(AA760))),"Falta hora inicio/fin o formato inválido",IF(AB760=0,"Hora inicio = hora fin",IF(AE760&lt;0,"Descanso inválido",IF(AE760&gt;=AD760,"Descanso ≥ duración",IF(AV760=1,"Registro duplicado",IF(AZ760&gt;0,"Se superpone con otro registro "&amp;D760,IF(BB760=0,"inicio, fin y duración neta deben ser múltiplos de "&amp;CFG_BLK&amp;" min",""))))))))))))</f>
        <v/>
      </c>
      <c r="BD760" s="80">
        <f>IF(AND(Y760=1,BC760=""),1,0)</f>
        <v>0</v>
      </c>
      <c r="BE760" s="80">
        <f>IF(AND(BD760=1,AU760=1),1,0)</f>
        <v>0</v>
      </c>
      <c r="BF760" s="80" t="str">
        <f>IF(AND(D760="proMX",BD760=1),IF(R760="","Draft",R760),"")</f>
        <v/>
      </c>
      <c r="BG760" s="80">
        <f>IF(BD760=1,ROUND(AG760/60,6),0)</f>
        <v>0</v>
      </c>
      <c r="BH760" s="80">
        <f>IF(BE760=1,ROUND(AG760/60,6),0)</f>
        <v>0</v>
      </c>
      <c r="BI760" s="80">
        <f>IF(BE760=1,ROUND(AP760/60,6),0)</f>
        <v>0</v>
      </c>
      <c r="BJ760" s="80">
        <f>IF(BE760=1,ROUND(AQ760/60,6),0)</f>
        <v>0</v>
      </c>
      <c r="BK760" s="80">
        <f>IF(BE760=1,ROUND((AR760+AS760)/60,6),0)</f>
        <v>0</v>
      </c>
      <c r="BL760" s="80">
        <f>ROUND(BH760-BK760,6)</f>
        <v>0</v>
      </c>
      <c r="BM760" s="80">
        <f>IF(BE760=1,ROUND(AR760/60,6),0)</f>
        <v>0</v>
      </c>
      <c r="BN760" s="80">
        <f>ROUND(BI760-BM760,6)</f>
        <v>0</v>
      </c>
      <c r="BO760" s="80">
        <f>IF(BE760=1,ROUND(AS760/60,6),0)</f>
        <v>0</v>
      </c>
      <c r="BP760" s="80">
        <f>ROUND(BJ760-BO760,6)</f>
        <v>0</v>
      </c>
      <c r="BQ760" s="80">
        <f>IF(BE760=1,AW760,0)</f>
        <v>0</v>
      </c>
      <c r="BR760" s="80">
        <f>IF(BE760=1,AX760,0)</f>
        <v>0</v>
      </c>
      <c r="BS760" s="80">
        <f>IF(AND(BE760=1,D760="Malcolm",BA760&gt;0),MIN(BH760,SUMPRODUCT((R_Emp="proMX")*(R_EN&gt;0)*((R_EN-(R_EN&gt;BR760)*(R_EN-BR760))&gt;(R_SN+(R_SN&lt;BQ760)*(BQ760-R_SN)))*((R_EN-(R_EN&gt;BR760)*(R_EN-BR760))-(R_SN+(R_SN&lt;BQ760)*(BQ760-R_SN))))/60),0)</f>
        <v>0</v>
      </c>
      <c r="BT760" s="80">
        <f>IF(AND(BE760=1,D760="proMX"),ROUND(BI760*CFG_RATE+BJ760*CFG_OTRATE,6),0)</f>
        <v>0</v>
      </c>
      <c r="BU760" s="80">
        <f>IF(AND(BD760=1,D760="proMX"),ROUND(AG760/CFG_BLK,6),0)</f>
        <v>0</v>
      </c>
      <c r="BV760" s="80" t="str">
        <f>IF(BF760="Approved",IF(ISNUMBER(T760),INT(T760),INT(B760)),"")</f>
        <v/>
      </c>
      <c r="BW760" s="80">
        <f>IF(ISNUMBER(B760),IF(DB_MON="Todos",1,IF(AND(INT(B760)&gt;=DB_MS,INT(B760)&lt;=DB_ME),1,0)),0)</f>
        <v>0</v>
      </c>
      <c r="BX760" s="80">
        <f>IF(DB_PROJ="Todos",1,IF(E760&amp;""=DB_PROJ&amp;"",1,0))</f>
        <v>1</v>
      </c>
      <c r="BY760" s="80">
        <f>BW760*BX760</f>
        <v>0</v>
      </c>
      <c r="BZ760" s="80" t="str">
        <f>IF(Y760=1,F760&amp;IF(AND(F760&amp;""&lt;&gt;"",E760&amp;""&lt;&gt;"")," · ","")&amp;E760,"")</f>
        <v/>
      </c>
      <c r="CA760" s="80" t="str">
        <f>IF(AND(BD760=1,E760&amp;""&lt;&gt;""),IF(COUNTIFS($E$5:E759,E760,$BD$5:BD759,1)=0,MAX($CA$5:CA759)+1,""),"")</f>
        <v/>
      </c>
      <c r="CB760" s="80" t="str">
        <f>IF(AND(BE760=1,D760="Malcolm",E760&amp;""&lt;&gt;""),IF(COUNTIFS($D$5:D759,"Malcolm",$E$5:E759,E760,$BE$5:BE759,1)=0,MAX($CB$5:CB759)+1,""),"")</f>
        <v/>
      </c>
      <c r="CC760" s="80" t="str">
        <f>IF(AND(BD760=1,D760="proMX",E760&amp;""&lt;&gt;""),IF(COUNTIFS($D$5:D759,"proMX",$E$5:E759,E760,$BD$5:BD759,1)=0,MAX($CC$5:CC759)+1,""),"")</f>
        <v/>
      </c>
      <c r="CD760" s="80" t="str">
        <f>IF(AND(BE760=1,D760="Malcolm",F760&amp;""&lt;&gt;""),IF(COUNTIFS($D$5:D759,"Malcolm",$F$5:F759,F760,$BE$5:BE759,1)=0,MAX($CD$5:CD759)+1,""),"")</f>
        <v/>
      </c>
      <c r="CE760" s="80" t="str">
        <f>IF(AND(BD760=1,D760="proMX",F760&amp;""&lt;&gt;""),IF(COUNTIFS($D$5:D759,"proMX",$F$5:F759,F760,$BD$5:BD759,1)=0,MAX($CE$5:CE759)+1,""),"")</f>
        <v/>
      </c>
      <c r="CF760" s="80" t="str">
        <f>IF(AND(D760="proMX",BD760=1),IF(OR(BF760="Draft",BF760="Submitted",BF760="Returned",BF760="Recall Requested"),MAX($CF$5:CF759)+1,""),"")</f>
        <v/>
      </c>
      <c r="CG760" s="80">
        <f>IF(BD760=0,0,IF(D760="Malcolm",1,MATCH(BF760,{"Draft","Submitted","Approved","Returned","Recall Requested","Cancelled"},0)+1))</f>
        <v>0</v>
      </c>
      <c r="CH760" s="80">
        <f>IF(AND(BF760="Submitted",ISNUMBER(V760)),IF(V760&gt;CFG_MAXD,1,0),0)</f>
        <v>0</v>
      </c>
    </row>
    <row r="761">
      <c r="A761" s="71" t="str">
        <f>IF(Y761=1,ROW()-5,"")</f>
        <v/>
      </c>
      <c r="B761" s="72" t="n"/>
      <c r="C761" s="71" t="str">
        <f>IF(ISNUMBER(B761),CHOOSE(WEEKDAY(B761,2),"Lun","Mar","Mié","Jue","Vie","Sáb","Dom"),"")</f>
        <v/>
      </c>
      <c r="D761" s="73" t="n"/>
      <c r="E761" s="74" t="n"/>
      <c r="F761" s="74" t="n"/>
      <c r="G761" s="74" t="n"/>
      <c r="H761" s="75" t="n"/>
      <c r="I761" s="75" t="n"/>
      <c r="J761" s="76" t="n"/>
      <c r="K761" s="77" t="str">
        <f>IF(AB761=1,ROUND(AG761/60,4),"")</f>
        <v/>
      </c>
      <c r="L761" s="77" t="str">
        <f>IF(BD761=1,ROUND(AP761/60,4),"")</f>
        <v/>
      </c>
      <c r="M761" s="77" t="str">
        <f>IF(BD761=1,ROUND(AQ761/60,4),"")</f>
        <v/>
      </c>
      <c r="N761" s="71" t="str">
        <f>IF(AND(D761="proMX",AB761=1),ROUND(AG761/CFG_BLK,2),"")</f>
        <v/>
      </c>
      <c r="O761" s="77" t="str">
        <f>IF(D761="proMX",IF(BD761=1,ROUND(AG761/60,4),0),"")</f>
        <v/>
      </c>
      <c r="P761" s="78" t="str">
        <f>IF(Y761=0,"",IF(BD761=1,"OK",IF(D761="proMX","Revisar bloques: ","Revisar: ")&amp;BC761))</f>
        <v/>
      </c>
      <c r="Q761" s="78" t="str">
        <f>IF(NOT(ISNUMBER(B761)),"",IF(COUNTIFS(FER_F,INT(B761))&gt;0,"Feriado"&amp;IF(AH761=1," (laborable)"," (no laborable)"),IF(AH761=1,"Laborable",IF(WEEKDAY(B761,2)&gt;5,"Fin de semana","No laborable"))))</f>
        <v/>
      </c>
      <c r="R761" s="73" t="n"/>
      <c r="S761" s="72" t="n"/>
      <c r="T761" s="72" t="n"/>
      <c r="U761" s="74" t="n"/>
      <c r="V761" s="79" t="str">
        <f>IF(AND(D761="proMX",OR(R761="Submitted",R761="Recall Requested"),ISNUMBER(S761)),CFG_TODAY-INT(S761),"")</f>
        <v/>
      </c>
      <c r="W761" s="78" t="str">
        <f>IF(BD761=0,"",IF(BA761&gt;0,"⚠ Se superpone con un registro de la otra empresa",IF(D761="Malcolm",IF(COUNTA(R761,S761,T761)&gt;0,"Estado/fechas proMX se ignoran en Malcolm",""),IF(BF761="Cancelled","Cancelado: excluido de totales",IF(R761="","Sin estado: se trata como Draft",IF(BF761="Submitted",IF(ISNUMBER(V761),IF(V761&gt;CFG_MAXD,"⚠ "&amp;V761&amp;" días en Submitted (máx. "&amp;CFG_MAXD&amp;")",""),"Falta fecha de envío"),IF(BF761="Returned","⚠ Devuelto: corregir y reenviar",IF(BF761="Recall Requested","Retirada solicitada: pendiente",IF(AND(BF761="Approved",NOT(ISNUMBER(T761))),"Falta fecha de aprobación",IF(AND(ISNUMBER(S761),ISNUMBER(T761),T761&lt;S761),"Aprobación anterior al envío","")))))))))</f>
        <v/>
      </c>
      <c r="Y761" s="80">
        <f>IF(COUNTA(B761,D761,E761,F761,G761,H761,I761,J761,R761,S761,T761)&gt;0,1,0)</f>
        <v>0</v>
      </c>
      <c r="Z761" s="80" t="str">
        <f>IF(AND(ISNUMBER(H761),H761&gt;=0,H761&lt;1),ROUND(H761*1440,0),"")</f>
        <v/>
      </c>
      <c r="AA761" s="80" t="str">
        <f>IF(AND(ISNUMBER(I761),I761&gt;=0,I761&lt;1),ROUND(I761*1440,0),"")</f>
        <v/>
      </c>
      <c r="AB761" s="80">
        <f>IF(AND(ISNUMBER(B761),D761&lt;&gt;"",ISNUMBER(Z761),ISNUMBER(AA761)),IF(Z761=AA761,0,1),0)</f>
        <v>0</v>
      </c>
      <c r="AC761" s="80">
        <f>IF(AB761=1,IF(AA761&lt;Z761,1,0),0)</f>
        <v>0</v>
      </c>
      <c r="AD761" s="80">
        <f>IF(AB761=1,IF(AC761=1,1440-Z761+AA761,AA761-Z761),0)</f>
        <v>0</v>
      </c>
      <c r="AE761" s="80">
        <f>IF(J761="",0,IF(ISNUMBER(J761),J761,-1))</f>
        <v>0</v>
      </c>
      <c r="AF761" s="80">
        <f>MIN(MAX(0,AE761),AD761)</f>
        <v>0</v>
      </c>
      <c r="AG761" s="80">
        <f>MAX(0,AD761-MAX(0,AE761))</f>
        <v>0</v>
      </c>
      <c r="AH761" s="80">
        <f>IF(ISNUMBER(B761),IF(AND(INDEX(CFG_WDAYS,WEEKDAY(INT(B761),2))="Sí",IF(D761="proMX",COUNTIFS(FER_F,INT(B761),FER_NLP,"Sí"),COUNTIFS(FER_F,INT(B761),FER_NLM,"Sí"))=0),1,0),0)</f>
        <v>0</v>
      </c>
      <c r="AI761" s="80">
        <f>IF(AC761=1,IF(AND(INDEX(CFG_WDAYS,WEEKDAY(INT(B761)+1,2))="Sí",IF(D761="proMX",COUNTIFS(FER_F,INT(B761)+1,FER_NLP,"Sí"),COUNTIFS(FER_F,INT(B761)+1,FER_NLM,"Sí"))=0),1,0),0)</f>
        <v>0</v>
      </c>
      <c r="AJ761" s="80">
        <f>IF(AC761=1,1440-Z761,AD761)</f>
        <v>0</v>
      </c>
      <c r="AK761" s="80">
        <f>IF(AND(AB761=1,AH761=1),MAX(0,MIN(IF(AC761=1,1440,AA761),CFG_WEM)-MAX(Z761,CFG_WSM)),0)</f>
        <v>0</v>
      </c>
      <c r="AL761" s="80">
        <f>IF(AND(AC761=1,AI761=1),MAX(0,MIN(AA761,CFG_WEM)-CFG_WSM),0)</f>
        <v>0</v>
      </c>
      <c r="AM761" s="80">
        <f>AK761+AL761</f>
        <v>0</v>
      </c>
      <c r="AN761" s="80">
        <f>IF(CFG_BRK="Proporcional",IF(AD761=0,0,AF761*AM761/AD761),IF(CFG_BRK="Extras primero",MIN(AM761,MAX(0,AF761-(AD761-AM761))),MIN(AF761,AM761)))</f>
        <v>0</v>
      </c>
      <c r="AO761" s="80">
        <f>AF761-AN761</f>
        <v>0</v>
      </c>
      <c r="AP761" s="80">
        <f>AM761-AN761</f>
        <v>0</v>
      </c>
      <c r="AQ761" s="80">
        <f>AD761-AM761-AO761</f>
        <v>0</v>
      </c>
      <c r="AR761" s="80">
        <f>IF(AM761=0,0,AK761-AN761*AK761/AM761)</f>
        <v>0</v>
      </c>
      <c r="AS761" s="80">
        <f>IF(AD761-AM761=0,0,(AJ761-AK761)-AO761*(AJ761-AK761)/(AD761-AM761))</f>
        <v>0</v>
      </c>
      <c r="AT761" s="80" t="str">
        <f>IF(AC761=1,INT(B761)+1,"")</f>
        <v/>
      </c>
      <c r="AU761" s="80">
        <f>IF(AND(D761="proMX",R761="Cancelled"),0,1)</f>
        <v>1</v>
      </c>
      <c r="AV761" s="80">
        <f>IF(AND(AB761=1,AU761=1),IF(COUNTIFS($D$5:D760,D761,$B$5:B760,B761,$Z$5:Z760,Z761,$AA$5:AA760,AA761,$F$5:F760,F761&amp;"",$AU$5:AU760,1)&gt;0,1,0),0)</f>
        <v>0</v>
      </c>
      <c r="AW761" s="80" t="str">
        <f>IF(AB761=1,INT(B761)*1440+Z761,"")</f>
        <v/>
      </c>
      <c r="AX761" s="80" t="str">
        <f>IF(AB761=1,AW761+AD761,"")</f>
        <v/>
      </c>
      <c r="AY761" s="80">
        <f>IF(AND(AB761=1,AV761=0,AU761=1),1,0)</f>
        <v>0</v>
      </c>
      <c r="AZ761" s="80">
        <f>IF(AY761=1,COUNTIFS(R_Emp,D761,R_SAbs,"&lt;"&amp;AX761,R_EAbs,"&gt;"&amp;AW761,R_OKey,1)-1,0)</f>
        <v>0</v>
      </c>
      <c r="BA761" s="80">
        <f>IF(AY761=1,COUNTIFS(R_Emp,"&lt;&gt;"&amp;D761,R_SAbs,"&lt;"&amp;AX761,R_EAbs,"&gt;"&amp;AW761,R_OKey,1),0)</f>
        <v>0</v>
      </c>
      <c r="BB761" s="80">
        <f>IF(AND(AB761=1,D761="proMX"),IF(AND(MOD(Z761,CFG_BLK)=0,MOD(AA761,CFG_BLK)=0,MOD(AG761,CFG_BLK)=0,AG761&gt;0),1,0),1)</f>
        <v>1</v>
      </c>
      <c r="BC761" s="80" t="str">
        <f>IF(Y761=0,"",IF(NOT(ISNUMBER(B761)),"Falta fecha o fecha inválida",IF(D761="","Falta empresa",IF(AND(D761&lt;&gt;"Malcolm",D761&lt;&gt;"proMX"),"Empresa inválida",IF(OR(INT(B761)&lt;CFG_PSTART,INT(B761)&gt;CFG_PEND),"Fecha fuera del período",IF(OR(NOT(ISNUMBER(Z761)),NOT(ISNUMBER(AA761))),"Falta hora inicio/fin o formato inválido",IF(AB761=0,"Hora inicio = hora fin",IF(AE761&lt;0,"Descanso inválido",IF(AE761&gt;=AD761,"Descanso ≥ duración",IF(AV761=1,"Registro duplicado",IF(AZ761&gt;0,"Se superpone con otro registro "&amp;D761,IF(BB761=0,"inicio, fin y duración neta deben ser múltiplos de "&amp;CFG_BLK&amp;" min",""))))))))))))</f>
        <v/>
      </c>
      <c r="BD761" s="80">
        <f>IF(AND(Y761=1,BC761=""),1,0)</f>
        <v>0</v>
      </c>
      <c r="BE761" s="80">
        <f>IF(AND(BD761=1,AU761=1),1,0)</f>
        <v>0</v>
      </c>
      <c r="BF761" s="80" t="str">
        <f>IF(AND(D761="proMX",BD761=1),IF(R761="","Draft",R761),"")</f>
        <v/>
      </c>
      <c r="BG761" s="80">
        <f>IF(BD761=1,ROUND(AG761/60,6),0)</f>
        <v>0</v>
      </c>
      <c r="BH761" s="80">
        <f>IF(BE761=1,ROUND(AG761/60,6),0)</f>
        <v>0</v>
      </c>
      <c r="BI761" s="80">
        <f>IF(BE761=1,ROUND(AP761/60,6),0)</f>
        <v>0</v>
      </c>
      <c r="BJ761" s="80">
        <f>IF(BE761=1,ROUND(AQ761/60,6),0)</f>
        <v>0</v>
      </c>
      <c r="BK761" s="80">
        <f>IF(BE761=1,ROUND((AR761+AS761)/60,6),0)</f>
        <v>0</v>
      </c>
      <c r="BL761" s="80">
        <f>ROUND(BH761-BK761,6)</f>
        <v>0</v>
      </c>
      <c r="BM761" s="80">
        <f>IF(BE761=1,ROUND(AR761/60,6),0)</f>
        <v>0</v>
      </c>
      <c r="BN761" s="80">
        <f>ROUND(BI761-BM761,6)</f>
        <v>0</v>
      </c>
      <c r="BO761" s="80">
        <f>IF(BE761=1,ROUND(AS761/60,6),0)</f>
        <v>0</v>
      </c>
      <c r="BP761" s="80">
        <f>ROUND(BJ761-BO761,6)</f>
        <v>0</v>
      </c>
      <c r="BQ761" s="80">
        <f>IF(BE761=1,AW761,0)</f>
        <v>0</v>
      </c>
      <c r="BR761" s="80">
        <f>IF(BE761=1,AX761,0)</f>
        <v>0</v>
      </c>
      <c r="BS761" s="80">
        <f>IF(AND(BE761=1,D761="Malcolm",BA761&gt;0),MIN(BH761,SUMPRODUCT((R_Emp="proMX")*(R_EN&gt;0)*((R_EN-(R_EN&gt;BR761)*(R_EN-BR761))&gt;(R_SN+(R_SN&lt;BQ761)*(BQ761-R_SN)))*((R_EN-(R_EN&gt;BR761)*(R_EN-BR761))-(R_SN+(R_SN&lt;BQ761)*(BQ761-R_SN))))/60),0)</f>
        <v>0</v>
      </c>
      <c r="BT761" s="80">
        <f>IF(AND(BE761=1,D761="proMX"),ROUND(BI761*CFG_RATE+BJ761*CFG_OTRATE,6),0)</f>
        <v>0</v>
      </c>
      <c r="BU761" s="80">
        <f>IF(AND(BD761=1,D761="proMX"),ROUND(AG761/CFG_BLK,6),0)</f>
        <v>0</v>
      </c>
      <c r="BV761" s="80" t="str">
        <f>IF(BF761="Approved",IF(ISNUMBER(T761),INT(T761),INT(B761)),"")</f>
        <v/>
      </c>
      <c r="BW761" s="80">
        <f>IF(ISNUMBER(B761),IF(DB_MON="Todos",1,IF(AND(INT(B761)&gt;=DB_MS,INT(B761)&lt;=DB_ME),1,0)),0)</f>
        <v>0</v>
      </c>
      <c r="BX761" s="80">
        <f>IF(DB_PROJ="Todos",1,IF(E761&amp;""=DB_PROJ&amp;"",1,0))</f>
        <v>1</v>
      </c>
      <c r="BY761" s="80">
        <f>BW761*BX761</f>
        <v>0</v>
      </c>
      <c r="BZ761" s="80" t="str">
        <f>IF(Y761=1,F761&amp;IF(AND(F761&amp;""&lt;&gt;"",E761&amp;""&lt;&gt;"")," · ","")&amp;E761,"")</f>
        <v/>
      </c>
      <c r="CA761" s="80" t="str">
        <f>IF(AND(BD761=1,E761&amp;""&lt;&gt;""),IF(COUNTIFS($E$5:E760,E761,$BD$5:BD760,1)=0,MAX($CA$5:CA760)+1,""),"")</f>
        <v/>
      </c>
      <c r="CB761" s="80" t="str">
        <f>IF(AND(BE761=1,D761="Malcolm",E761&amp;""&lt;&gt;""),IF(COUNTIFS($D$5:D760,"Malcolm",$E$5:E760,E761,$BE$5:BE760,1)=0,MAX($CB$5:CB760)+1,""),"")</f>
        <v/>
      </c>
      <c r="CC761" s="80" t="str">
        <f>IF(AND(BD761=1,D761="proMX",E761&amp;""&lt;&gt;""),IF(COUNTIFS($D$5:D760,"proMX",$E$5:E760,E761,$BD$5:BD760,1)=0,MAX($CC$5:CC760)+1,""),"")</f>
        <v/>
      </c>
      <c r="CD761" s="80" t="str">
        <f>IF(AND(BE761=1,D761="Malcolm",F761&amp;""&lt;&gt;""),IF(COUNTIFS($D$5:D760,"Malcolm",$F$5:F760,F761,$BE$5:BE760,1)=0,MAX($CD$5:CD760)+1,""),"")</f>
        <v/>
      </c>
      <c r="CE761" s="80" t="str">
        <f>IF(AND(BD761=1,D761="proMX",F761&amp;""&lt;&gt;""),IF(COUNTIFS($D$5:D760,"proMX",$F$5:F760,F761,$BD$5:BD760,1)=0,MAX($CE$5:CE760)+1,""),"")</f>
        <v/>
      </c>
      <c r="CF761" s="80" t="str">
        <f>IF(AND(D761="proMX",BD761=1),IF(OR(BF761="Draft",BF761="Submitted",BF761="Returned",BF761="Recall Requested"),MAX($CF$5:CF760)+1,""),"")</f>
        <v/>
      </c>
      <c r="CG761" s="80">
        <f>IF(BD761=0,0,IF(D761="Malcolm",1,MATCH(BF761,{"Draft","Submitted","Approved","Returned","Recall Requested","Cancelled"},0)+1))</f>
        <v>0</v>
      </c>
      <c r="CH761" s="80">
        <f>IF(AND(BF761="Submitted",ISNUMBER(V761)),IF(V761&gt;CFG_MAXD,1,0),0)</f>
        <v>0</v>
      </c>
    </row>
    <row r="762">
      <c r="A762" s="71" t="str">
        <f>IF(Y762=1,ROW()-5,"")</f>
        <v/>
      </c>
      <c r="B762" s="72" t="n"/>
      <c r="C762" s="71" t="str">
        <f>IF(ISNUMBER(B762),CHOOSE(WEEKDAY(B762,2),"Lun","Mar","Mié","Jue","Vie","Sáb","Dom"),"")</f>
        <v/>
      </c>
      <c r="D762" s="73" t="n"/>
      <c r="E762" s="74" t="n"/>
      <c r="F762" s="74" t="n"/>
      <c r="G762" s="74" t="n"/>
      <c r="H762" s="75" t="n"/>
      <c r="I762" s="75" t="n"/>
      <c r="J762" s="76" t="n"/>
      <c r="K762" s="77" t="str">
        <f>IF(AB762=1,ROUND(AG762/60,4),"")</f>
        <v/>
      </c>
      <c r="L762" s="77" t="str">
        <f>IF(BD762=1,ROUND(AP762/60,4),"")</f>
        <v/>
      </c>
      <c r="M762" s="77" t="str">
        <f>IF(BD762=1,ROUND(AQ762/60,4),"")</f>
        <v/>
      </c>
      <c r="N762" s="71" t="str">
        <f>IF(AND(D762="proMX",AB762=1),ROUND(AG762/CFG_BLK,2),"")</f>
        <v/>
      </c>
      <c r="O762" s="77" t="str">
        <f>IF(D762="proMX",IF(BD762=1,ROUND(AG762/60,4),0),"")</f>
        <v/>
      </c>
      <c r="P762" s="78" t="str">
        <f>IF(Y762=0,"",IF(BD762=1,"OK",IF(D762="proMX","Revisar bloques: ","Revisar: ")&amp;BC762))</f>
        <v/>
      </c>
      <c r="Q762" s="78" t="str">
        <f>IF(NOT(ISNUMBER(B762)),"",IF(COUNTIFS(FER_F,INT(B762))&gt;0,"Feriado"&amp;IF(AH762=1," (laborable)"," (no laborable)"),IF(AH762=1,"Laborable",IF(WEEKDAY(B762,2)&gt;5,"Fin de semana","No laborable"))))</f>
        <v/>
      </c>
      <c r="R762" s="73" t="n"/>
      <c r="S762" s="72" t="n"/>
      <c r="T762" s="72" t="n"/>
      <c r="U762" s="74" t="n"/>
      <c r="V762" s="79" t="str">
        <f>IF(AND(D762="proMX",OR(R762="Submitted",R762="Recall Requested"),ISNUMBER(S762)),CFG_TODAY-INT(S762),"")</f>
        <v/>
      </c>
      <c r="W762" s="78" t="str">
        <f>IF(BD762=0,"",IF(BA762&gt;0,"⚠ Se superpone con un registro de la otra empresa",IF(D762="Malcolm",IF(COUNTA(R762,S762,T762)&gt;0,"Estado/fechas proMX se ignoran en Malcolm",""),IF(BF762="Cancelled","Cancelado: excluido de totales",IF(R762="","Sin estado: se trata como Draft",IF(BF762="Submitted",IF(ISNUMBER(V762),IF(V762&gt;CFG_MAXD,"⚠ "&amp;V762&amp;" días en Submitted (máx. "&amp;CFG_MAXD&amp;")",""),"Falta fecha de envío"),IF(BF762="Returned","⚠ Devuelto: corregir y reenviar",IF(BF762="Recall Requested","Retirada solicitada: pendiente",IF(AND(BF762="Approved",NOT(ISNUMBER(T762))),"Falta fecha de aprobación",IF(AND(ISNUMBER(S762),ISNUMBER(T762),T762&lt;S762),"Aprobación anterior al envío","")))))))))</f>
        <v/>
      </c>
      <c r="Y762" s="80">
        <f>IF(COUNTA(B762,D762,E762,F762,G762,H762,I762,J762,R762,S762,T762)&gt;0,1,0)</f>
        <v>0</v>
      </c>
      <c r="Z762" s="80" t="str">
        <f>IF(AND(ISNUMBER(H762),H762&gt;=0,H762&lt;1),ROUND(H762*1440,0),"")</f>
        <v/>
      </c>
      <c r="AA762" s="80" t="str">
        <f>IF(AND(ISNUMBER(I762),I762&gt;=0,I762&lt;1),ROUND(I762*1440,0),"")</f>
        <v/>
      </c>
      <c r="AB762" s="80">
        <f>IF(AND(ISNUMBER(B762),D762&lt;&gt;"",ISNUMBER(Z762),ISNUMBER(AA762)),IF(Z762=AA762,0,1),0)</f>
        <v>0</v>
      </c>
      <c r="AC762" s="80">
        <f>IF(AB762=1,IF(AA762&lt;Z762,1,0),0)</f>
        <v>0</v>
      </c>
      <c r="AD762" s="80">
        <f>IF(AB762=1,IF(AC762=1,1440-Z762+AA762,AA762-Z762),0)</f>
        <v>0</v>
      </c>
      <c r="AE762" s="80">
        <f>IF(J762="",0,IF(ISNUMBER(J762),J762,-1))</f>
        <v>0</v>
      </c>
      <c r="AF762" s="80">
        <f>MIN(MAX(0,AE762),AD762)</f>
        <v>0</v>
      </c>
      <c r="AG762" s="80">
        <f>MAX(0,AD762-MAX(0,AE762))</f>
        <v>0</v>
      </c>
      <c r="AH762" s="80">
        <f>IF(ISNUMBER(B762),IF(AND(INDEX(CFG_WDAYS,WEEKDAY(INT(B762),2))="Sí",IF(D762="proMX",COUNTIFS(FER_F,INT(B762),FER_NLP,"Sí"),COUNTIFS(FER_F,INT(B762),FER_NLM,"Sí"))=0),1,0),0)</f>
        <v>0</v>
      </c>
      <c r="AI762" s="80">
        <f>IF(AC762=1,IF(AND(INDEX(CFG_WDAYS,WEEKDAY(INT(B762)+1,2))="Sí",IF(D762="proMX",COUNTIFS(FER_F,INT(B762)+1,FER_NLP,"Sí"),COUNTIFS(FER_F,INT(B762)+1,FER_NLM,"Sí"))=0),1,0),0)</f>
        <v>0</v>
      </c>
      <c r="AJ762" s="80">
        <f>IF(AC762=1,1440-Z762,AD762)</f>
        <v>0</v>
      </c>
      <c r="AK762" s="80">
        <f>IF(AND(AB762=1,AH762=1),MAX(0,MIN(IF(AC762=1,1440,AA762),CFG_WEM)-MAX(Z762,CFG_WSM)),0)</f>
        <v>0</v>
      </c>
      <c r="AL762" s="80">
        <f>IF(AND(AC762=1,AI762=1),MAX(0,MIN(AA762,CFG_WEM)-CFG_WSM),0)</f>
        <v>0</v>
      </c>
      <c r="AM762" s="80">
        <f>AK762+AL762</f>
        <v>0</v>
      </c>
      <c r="AN762" s="80">
        <f>IF(CFG_BRK="Proporcional",IF(AD762=0,0,AF762*AM762/AD762),IF(CFG_BRK="Extras primero",MIN(AM762,MAX(0,AF762-(AD762-AM762))),MIN(AF762,AM762)))</f>
        <v>0</v>
      </c>
      <c r="AO762" s="80">
        <f>AF762-AN762</f>
        <v>0</v>
      </c>
      <c r="AP762" s="80">
        <f>AM762-AN762</f>
        <v>0</v>
      </c>
      <c r="AQ762" s="80">
        <f>AD762-AM762-AO762</f>
        <v>0</v>
      </c>
      <c r="AR762" s="80">
        <f>IF(AM762=0,0,AK762-AN762*AK762/AM762)</f>
        <v>0</v>
      </c>
      <c r="AS762" s="80">
        <f>IF(AD762-AM762=0,0,(AJ762-AK762)-AO762*(AJ762-AK762)/(AD762-AM762))</f>
        <v>0</v>
      </c>
      <c r="AT762" s="80" t="str">
        <f>IF(AC762=1,INT(B762)+1,"")</f>
        <v/>
      </c>
      <c r="AU762" s="80">
        <f>IF(AND(D762="proMX",R762="Cancelled"),0,1)</f>
        <v>1</v>
      </c>
      <c r="AV762" s="80">
        <f>IF(AND(AB762=1,AU762=1),IF(COUNTIFS($D$5:D761,D762,$B$5:B761,B762,$Z$5:Z761,Z762,$AA$5:AA761,AA762,$F$5:F761,F762&amp;"",$AU$5:AU761,1)&gt;0,1,0),0)</f>
        <v>0</v>
      </c>
      <c r="AW762" s="80" t="str">
        <f>IF(AB762=1,INT(B762)*1440+Z762,"")</f>
        <v/>
      </c>
      <c r="AX762" s="80" t="str">
        <f>IF(AB762=1,AW762+AD762,"")</f>
        <v/>
      </c>
      <c r="AY762" s="80">
        <f>IF(AND(AB762=1,AV762=0,AU762=1),1,0)</f>
        <v>0</v>
      </c>
      <c r="AZ762" s="80">
        <f>IF(AY762=1,COUNTIFS(R_Emp,D762,R_SAbs,"&lt;"&amp;AX762,R_EAbs,"&gt;"&amp;AW762,R_OKey,1)-1,0)</f>
        <v>0</v>
      </c>
      <c r="BA762" s="80">
        <f>IF(AY762=1,COUNTIFS(R_Emp,"&lt;&gt;"&amp;D762,R_SAbs,"&lt;"&amp;AX762,R_EAbs,"&gt;"&amp;AW762,R_OKey,1),0)</f>
        <v>0</v>
      </c>
      <c r="BB762" s="80">
        <f>IF(AND(AB762=1,D762="proMX"),IF(AND(MOD(Z762,CFG_BLK)=0,MOD(AA762,CFG_BLK)=0,MOD(AG762,CFG_BLK)=0,AG762&gt;0),1,0),1)</f>
        <v>1</v>
      </c>
      <c r="BC762" s="80" t="str">
        <f>IF(Y762=0,"",IF(NOT(ISNUMBER(B762)),"Falta fecha o fecha inválida",IF(D762="","Falta empresa",IF(AND(D762&lt;&gt;"Malcolm",D762&lt;&gt;"proMX"),"Empresa inválida",IF(OR(INT(B762)&lt;CFG_PSTART,INT(B762)&gt;CFG_PEND),"Fecha fuera del período",IF(OR(NOT(ISNUMBER(Z762)),NOT(ISNUMBER(AA762))),"Falta hora inicio/fin o formato inválido",IF(AB762=0,"Hora inicio = hora fin",IF(AE762&lt;0,"Descanso inválido",IF(AE762&gt;=AD762,"Descanso ≥ duración",IF(AV762=1,"Registro duplicado",IF(AZ762&gt;0,"Se superpone con otro registro "&amp;D762,IF(BB762=0,"inicio, fin y duración neta deben ser múltiplos de "&amp;CFG_BLK&amp;" min",""))))))))))))</f>
        <v/>
      </c>
      <c r="BD762" s="80">
        <f>IF(AND(Y762=1,BC762=""),1,0)</f>
        <v>0</v>
      </c>
      <c r="BE762" s="80">
        <f>IF(AND(BD762=1,AU762=1),1,0)</f>
        <v>0</v>
      </c>
      <c r="BF762" s="80" t="str">
        <f>IF(AND(D762="proMX",BD762=1),IF(R762="","Draft",R762),"")</f>
        <v/>
      </c>
      <c r="BG762" s="80">
        <f>IF(BD762=1,ROUND(AG762/60,6),0)</f>
        <v>0</v>
      </c>
      <c r="BH762" s="80">
        <f>IF(BE762=1,ROUND(AG762/60,6),0)</f>
        <v>0</v>
      </c>
      <c r="BI762" s="80">
        <f>IF(BE762=1,ROUND(AP762/60,6),0)</f>
        <v>0</v>
      </c>
      <c r="BJ762" s="80">
        <f>IF(BE762=1,ROUND(AQ762/60,6),0)</f>
        <v>0</v>
      </c>
      <c r="BK762" s="80">
        <f>IF(BE762=1,ROUND((AR762+AS762)/60,6),0)</f>
        <v>0</v>
      </c>
      <c r="BL762" s="80">
        <f>ROUND(BH762-BK762,6)</f>
        <v>0</v>
      </c>
      <c r="BM762" s="80">
        <f>IF(BE762=1,ROUND(AR762/60,6),0)</f>
        <v>0</v>
      </c>
      <c r="BN762" s="80">
        <f>ROUND(BI762-BM762,6)</f>
        <v>0</v>
      </c>
      <c r="BO762" s="80">
        <f>IF(BE762=1,ROUND(AS762/60,6),0)</f>
        <v>0</v>
      </c>
      <c r="BP762" s="80">
        <f>ROUND(BJ762-BO762,6)</f>
        <v>0</v>
      </c>
      <c r="BQ762" s="80">
        <f>IF(BE762=1,AW762,0)</f>
        <v>0</v>
      </c>
      <c r="BR762" s="80">
        <f>IF(BE762=1,AX762,0)</f>
        <v>0</v>
      </c>
      <c r="BS762" s="80">
        <f>IF(AND(BE762=1,D762="Malcolm",BA762&gt;0),MIN(BH762,SUMPRODUCT((R_Emp="proMX")*(R_EN&gt;0)*((R_EN-(R_EN&gt;BR762)*(R_EN-BR762))&gt;(R_SN+(R_SN&lt;BQ762)*(BQ762-R_SN)))*((R_EN-(R_EN&gt;BR762)*(R_EN-BR762))-(R_SN+(R_SN&lt;BQ762)*(BQ762-R_SN))))/60),0)</f>
        <v>0</v>
      </c>
      <c r="BT762" s="80">
        <f>IF(AND(BE762=1,D762="proMX"),ROUND(BI762*CFG_RATE+BJ762*CFG_OTRATE,6),0)</f>
        <v>0</v>
      </c>
      <c r="BU762" s="80">
        <f>IF(AND(BD762=1,D762="proMX"),ROUND(AG762/CFG_BLK,6),0)</f>
        <v>0</v>
      </c>
      <c r="BV762" s="80" t="str">
        <f>IF(BF762="Approved",IF(ISNUMBER(T762),INT(T762),INT(B762)),"")</f>
        <v/>
      </c>
      <c r="BW762" s="80">
        <f>IF(ISNUMBER(B762),IF(DB_MON="Todos",1,IF(AND(INT(B762)&gt;=DB_MS,INT(B762)&lt;=DB_ME),1,0)),0)</f>
        <v>0</v>
      </c>
      <c r="BX762" s="80">
        <f>IF(DB_PROJ="Todos",1,IF(E762&amp;""=DB_PROJ&amp;"",1,0))</f>
        <v>1</v>
      </c>
      <c r="BY762" s="80">
        <f>BW762*BX762</f>
        <v>0</v>
      </c>
      <c r="BZ762" s="80" t="str">
        <f>IF(Y762=1,F762&amp;IF(AND(F762&amp;""&lt;&gt;"",E762&amp;""&lt;&gt;"")," · ","")&amp;E762,"")</f>
        <v/>
      </c>
      <c r="CA762" s="80" t="str">
        <f>IF(AND(BD762=1,E762&amp;""&lt;&gt;""),IF(COUNTIFS($E$5:E761,E762,$BD$5:BD761,1)=0,MAX($CA$5:CA761)+1,""),"")</f>
        <v/>
      </c>
      <c r="CB762" s="80" t="str">
        <f>IF(AND(BE762=1,D762="Malcolm",E762&amp;""&lt;&gt;""),IF(COUNTIFS($D$5:D761,"Malcolm",$E$5:E761,E762,$BE$5:BE761,1)=0,MAX($CB$5:CB761)+1,""),"")</f>
        <v/>
      </c>
      <c r="CC762" s="80" t="str">
        <f>IF(AND(BD762=1,D762="proMX",E762&amp;""&lt;&gt;""),IF(COUNTIFS($D$5:D761,"proMX",$E$5:E761,E762,$BD$5:BD761,1)=0,MAX($CC$5:CC761)+1,""),"")</f>
        <v/>
      </c>
      <c r="CD762" s="80" t="str">
        <f>IF(AND(BE762=1,D762="Malcolm",F762&amp;""&lt;&gt;""),IF(COUNTIFS($D$5:D761,"Malcolm",$F$5:F761,F762,$BE$5:BE761,1)=0,MAX($CD$5:CD761)+1,""),"")</f>
        <v/>
      </c>
      <c r="CE762" s="80" t="str">
        <f>IF(AND(BD762=1,D762="proMX",F762&amp;""&lt;&gt;""),IF(COUNTIFS($D$5:D761,"proMX",$F$5:F761,F762,$BD$5:BD761,1)=0,MAX($CE$5:CE761)+1,""),"")</f>
        <v/>
      </c>
      <c r="CF762" s="80" t="str">
        <f>IF(AND(D762="proMX",BD762=1),IF(OR(BF762="Draft",BF762="Submitted",BF762="Returned",BF762="Recall Requested"),MAX($CF$5:CF761)+1,""),"")</f>
        <v/>
      </c>
      <c r="CG762" s="80">
        <f>IF(BD762=0,0,IF(D762="Malcolm",1,MATCH(BF762,{"Draft","Submitted","Approved","Returned","Recall Requested","Cancelled"},0)+1))</f>
        <v>0</v>
      </c>
      <c r="CH762" s="80">
        <f>IF(AND(BF762="Submitted",ISNUMBER(V762)),IF(V762&gt;CFG_MAXD,1,0),0)</f>
        <v>0</v>
      </c>
    </row>
    <row r="763">
      <c r="A763" s="71" t="str">
        <f>IF(Y763=1,ROW()-5,"")</f>
        <v/>
      </c>
      <c r="B763" s="72" t="n"/>
      <c r="C763" s="71" t="str">
        <f>IF(ISNUMBER(B763),CHOOSE(WEEKDAY(B763,2),"Lun","Mar","Mié","Jue","Vie","Sáb","Dom"),"")</f>
        <v/>
      </c>
      <c r="D763" s="73" t="n"/>
      <c r="E763" s="74" t="n"/>
      <c r="F763" s="74" t="n"/>
      <c r="G763" s="74" t="n"/>
      <c r="H763" s="75" t="n"/>
      <c r="I763" s="75" t="n"/>
      <c r="J763" s="76" t="n"/>
      <c r="K763" s="77" t="str">
        <f>IF(AB763=1,ROUND(AG763/60,4),"")</f>
        <v/>
      </c>
      <c r="L763" s="77" t="str">
        <f>IF(BD763=1,ROUND(AP763/60,4),"")</f>
        <v/>
      </c>
      <c r="M763" s="77" t="str">
        <f>IF(BD763=1,ROUND(AQ763/60,4),"")</f>
        <v/>
      </c>
      <c r="N763" s="71" t="str">
        <f>IF(AND(D763="proMX",AB763=1),ROUND(AG763/CFG_BLK,2),"")</f>
        <v/>
      </c>
      <c r="O763" s="77" t="str">
        <f>IF(D763="proMX",IF(BD763=1,ROUND(AG763/60,4),0),"")</f>
        <v/>
      </c>
      <c r="P763" s="78" t="str">
        <f>IF(Y763=0,"",IF(BD763=1,"OK",IF(D763="proMX","Revisar bloques: ","Revisar: ")&amp;BC763))</f>
        <v/>
      </c>
      <c r="Q763" s="78" t="str">
        <f>IF(NOT(ISNUMBER(B763)),"",IF(COUNTIFS(FER_F,INT(B763))&gt;0,"Feriado"&amp;IF(AH763=1," (laborable)"," (no laborable)"),IF(AH763=1,"Laborable",IF(WEEKDAY(B763,2)&gt;5,"Fin de semana","No laborable"))))</f>
        <v/>
      </c>
      <c r="R763" s="73" t="n"/>
      <c r="S763" s="72" t="n"/>
      <c r="T763" s="72" t="n"/>
      <c r="U763" s="74" t="n"/>
      <c r="V763" s="79" t="str">
        <f>IF(AND(D763="proMX",OR(R763="Submitted",R763="Recall Requested"),ISNUMBER(S763)),CFG_TODAY-INT(S763),"")</f>
        <v/>
      </c>
      <c r="W763" s="78" t="str">
        <f>IF(BD763=0,"",IF(BA763&gt;0,"⚠ Se superpone con un registro de la otra empresa",IF(D763="Malcolm",IF(COUNTA(R763,S763,T763)&gt;0,"Estado/fechas proMX se ignoran en Malcolm",""),IF(BF763="Cancelled","Cancelado: excluido de totales",IF(R763="","Sin estado: se trata como Draft",IF(BF763="Submitted",IF(ISNUMBER(V763),IF(V763&gt;CFG_MAXD,"⚠ "&amp;V763&amp;" días en Submitted (máx. "&amp;CFG_MAXD&amp;")",""),"Falta fecha de envío"),IF(BF763="Returned","⚠ Devuelto: corregir y reenviar",IF(BF763="Recall Requested","Retirada solicitada: pendiente",IF(AND(BF763="Approved",NOT(ISNUMBER(T763))),"Falta fecha de aprobación",IF(AND(ISNUMBER(S763),ISNUMBER(T763),T763&lt;S763),"Aprobación anterior al envío","")))))))))</f>
        <v/>
      </c>
      <c r="Y763" s="80">
        <f>IF(COUNTA(B763,D763,E763,F763,G763,H763,I763,J763,R763,S763,T763)&gt;0,1,0)</f>
        <v>0</v>
      </c>
      <c r="Z763" s="80" t="str">
        <f>IF(AND(ISNUMBER(H763),H763&gt;=0,H763&lt;1),ROUND(H763*1440,0),"")</f>
        <v/>
      </c>
      <c r="AA763" s="80" t="str">
        <f>IF(AND(ISNUMBER(I763),I763&gt;=0,I763&lt;1),ROUND(I763*1440,0),"")</f>
        <v/>
      </c>
      <c r="AB763" s="80">
        <f>IF(AND(ISNUMBER(B763),D763&lt;&gt;"",ISNUMBER(Z763),ISNUMBER(AA763)),IF(Z763=AA763,0,1),0)</f>
        <v>0</v>
      </c>
      <c r="AC763" s="80">
        <f>IF(AB763=1,IF(AA763&lt;Z763,1,0),0)</f>
        <v>0</v>
      </c>
      <c r="AD763" s="80">
        <f>IF(AB763=1,IF(AC763=1,1440-Z763+AA763,AA763-Z763),0)</f>
        <v>0</v>
      </c>
      <c r="AE763" s="80">
        <f>IF(J763="",0,IF(ISNUMBER(J763),J763,-1))</f>
        <v>0</v>
      </c>
      <c r="AF763" s="80">
        <f>MIN(MAX(0,AE763),AD763)</f>
        <v>0</v>
      </c>
      <c r="AG763" s="80">
        <f>MAX(0,AD763-MAX(0,AE763))</f>
        <v>0</v>
      </c>
      <c r="AH763" s="80">
        <f>IF(ISNUMBER(B763),IF(AND(INDEX(CFG_WDAYS,WEEKDAY(INT(B763),2))="Sí",IF(D763="proMX",COUNTIFS(FER_F,INT(B763),FER_NLP,"Sí"),COUNTIFS(FER_F,INT(B763),FER_NLM,"Sí"))=0),1,0),0)</f>
        <v>0</v>
      </c>
      <c r="AI763" s="80">
        <f>IF(AC763=1,IF(AND(INDEX(CFG_WDAYS,WEEKDAY(INT(B763)+1,2))="Sí",IF(D763="proMX",COUNTIFS(FER_F,INT(B763)+1,FER_NLP,"Sí"),COUNTIFS(FER_F,INT(B763)+1,FER_NLM,"Sí"))=0),1,0),0)</f>
        <v>0</v>
      </c>
      <c r="AJ763" s="80">
        <f>IF(AC763=1,1440-Z763,AD763)</f>
        <v>0</v>
      </c>
      <c r="AK763" s="80">
        <f>IF(AND(AB763=1,AH763=1),MAX(0,MIN(IF(AC763=1,1440,AA763),CFG_WEM)-MAX(Z763,CFG_WSM)),0)</f>
        <v>0</v>
      </c>
      <c r="AL763" s="80">
        <f>IF(AND(AC763=1,AI763=1),MAX(0,MIN(AA763,CFG_WEM)-CFG_WSM),0)</f>
        <v>0</v>
      </c>
      <c r="AM763" s="80">
        <f>AK763+AL763</f>
        <v>0</v>
      </c>
      <c r="AN763" s="80">
        <f>IF(CFG_BRK="Proporcional",IF(AD763=0,0,AF763*AM763/AD763),IF(CFG_BRK="Extras primero",MIN(AM763,MAX(0,AF763-(AD763-AM763))),MIN(AF763,AM763)))</f>
        <v>0</v>
      </c>
      <c r="AO763" s="80">
        <f>AF763-AN763</f>
        <v>0</v>
      </c>
      <c r="AP763" s="80">
        <f>AM763-AN763</f>
        <v>0</v>
      </c>
      <c r="AQ763" s="80">
        <f>AD763-AM763-AO763</f>
        <v>0</v>
      </c>
      <c r="AR763" s="80">
        <f>IF(AM763=0,0,AK763-AN763*AK763/AM763)</f>
        <v>0</v>
      </c>
      <c r="AS763" s="80">
        <f>IF(AD763-AM763=0,0,(AJ763-AK763)-AO763*(AJ763-AK763)/(AD763-AM763))</f>
        <v>0</v>
      </c>
      <c r="AT763" s="80" t="str">
        <f>IF(AC763=1,INT(B763)+1,"")</f>
        <v/>
      </c>
      <c r="AU763" s="80">
        <f>IF(AND(D763="proMX",R763="Cancelled"),0,1)</f>
        <v>1</v>
      </c>
      <c r="AV763" s="80">
        <f>IF(AND(AB763=1,AU763=1),IF(COUNTIFS($D$5:D762,D763,$B$5:B762,B763,$Z$5:Z762,Z763,$AA$5:AA762,AA763,$F$5:F762,F763&amp;"",$AU$5:AU762,1)&gt;0,1,0),0)</f>
        <v>0</v>
      </c>
      <c r="AW763" s="80" t="str">
        <f>IF(AB763=1,INT(B763)*1440+Z763,"")</f>
        <v/>
      </c>
      <c r="AX763" s="80" t="str">
        <f>IF(AB763=1,AW763+AD763,"")</f>
        <v/>
      </c>
      <c r="AY763" s="80">
        <f>IF(AND(AB763=1,AV763=0,AU763=1),1,0)</f>
        <v>0</v>
      </c>
      <c r="AZ763" s="80">
        <f>IF(AY763=1,COUNTIFS(R_Emp,D763,R_SAbs,"&lt;"&amp;AX763,R_EAbs,"&gt;"&amp;AW763,R_OKey,1)-1,0)</f>
        <v>0</v>
      </c>
      <c r="BA763" s="80">
        <f>IF(AY763=1,COUNTIFS(R_Emp,"&lt;&gt;"&amp;D763,R_SAbs,"&lt;"&amp;AX763,R_EAbs,"&gt;"&amp;AW763,R_OKey,1),0)</f>
        <v>0</v>
      </c>
      <c r="BB763" s="80">
        <f>IF(AND(AB763=1,D763="proMX"),IF(AND(MOD(Z763,CFG_BLK)=0,MOD(AA763,CFG_BLK)=0,MOD(AG763,CFG_BLK)=0,AG763&gt;0),1,0),1)</f>
        <v>1</v>
      </c>
      <c r="BC763" s="80" t="str">
        <f>IF(Y763=0,"",IF(NOT(ISNUMBER(B763)),"Falta fecha o fecha inválida",IF(D763="","Falta empresa",IF(AND(D763&lt;&gt;"Malcolm",D763&lt;&gt;"proMX"),"Empresa inválida",IF(OR(INT(B763)&lt;CFG_PSTART,INT(B763)&gt;CFG_PEND),"Fecha fuera del período",IF(OR(NOT(ISNUMBER(Z763)),NOT(ISNUMBER(AA763))),"Falta hora inicio/fin o formato inválido",IF(AB763=0,"Hora inicio = hora fin",IF(AE763&lt;0,"Descanso inválido",IF(AE763&gt;=AD763,"Descanso ≥ duración",IF(AV763=1,"Registro duplicado",IF(AZ763&gt;0,"Se superpone con otro registro "&amp;D763,IF(BB763=0,"inicio, fin y duración neta deben ser múltiplos de "&amp;CFG_BLK&amp;" min",""))))))))))))</f>
        <v/>
      </c>
      <c r="BD763" s="80">
        <f>IF(AND(Y763=1,BC763=""),1,0)</f>
        <v>0</v>
      </c>
      <c r="BE763" s="80">
        <f>IF(AND(BD763=1,AU763=1),1,0)</f>
        <v>0</v>
      </c>
      <c r="BF763" s="80" t="str">
        <f>IF(AND(D763="proMX",BD763=1),IF(R763="","Draft",R763),"")</f>
        <v/>
      </c>
      <c r="BG763" s="80">
        <f>IF(BD763=1,ROUND(AG763/60,6),0)</f>
        <v>0</v>
      </c>
      <c r="BH763" s="80">
        <f>IF(BE763=1,ROUND(AG763/60,6),0)</f>
        <v>0</v>
      </c>
      <c r="BI763" s="80">
        <f>IF(BE763=1,ROUND(AP763/60,6),0)</f>
        <v>0</v>
      </c>
      <c r="BJ763" s="80">
        <f>IF(BE763=1,ROUND(AQ763/60,6),0)</f>
        <v>0</v>
      </c>
      <c r="BK763" s="80">
        <f>IF(BE763=1,ROUND((AR763+AS763)/60,6),0)</f>
        <v>0</v>
      </c>
      <c r="BL763" s="80">
        <f>ROUND(BH763-BK763,6)</f>
        <v>0</v>
      </c>
      <c r="BM763" s="80">
        <f>IF(BE763=1,ROUND(AR763/60,6),0)</f>
        <v>0</v>
      </c>
      <c r="BN763" s="80">
        <f>ROUND(BI763-BM763,6)</f>
        <v>0</v>
      </c>
      <c r="BO763" s="80">
        <f>IF(BE763=1,ROUND(AS763/60,6),0)</f>
        <v>0</v>
      </c>
      <c r="BP763" s="80">
        <f>ROUND(BJ763-BO763,6)</f>
        <v>0</v>
      </c>
      <c r="BQ763" s="80">
        <f>IF(BE763=1,AW763,0)</f>
        <v>0</v>
      </c>
      <c r="BR763" s="80">
        <f>IF(BE763=1,AX763,0)</f>
        <v>0</v>
      </c>
      <c r="BS763" s="80">
        <f>IF(AND(BE763=1,D763="Malcolm",BA763&gt;0),MIN(BH763,SUMPRODUCT((R_Emp="proMX")*(R_EN&gt;0)*((R_EN-(R_EN&gt;BR763)*(R_EN-BR763))&gt;(R_SN+(R_SN&lt;BQ763)*(BQ763-R_SN)))*((R_EN-(R_EN&gt;BR763)*(R_EN-BR763))-(R_SN+(R_SN&lt;BQ763)*(BQ763-R_SN))))/60),0)</f>
        <v>0</v>
      </c>
      <c r="BT763" s="80">
        <f>IF(AND(BE763=1,D763="proMX"),ROUND(BI763*CFG_RATE+BJ763*CFG_OTRATE,6),0)</f>
        <v>0</v>
      </c>
      <c r="BU763" s="80">
        <f>IF(AND(BD763=1,D763="proMX"),ROUND(AG763/CFG_BLK,6),0)</f>
        <v>0</v>
      </c>
      <c r="BV763" s="80" t="str">
        <f>IF(BF763="Approved",IF(ISNUMBER(T763),INT(T763),INT(B763)),"")</f>
        <v/>
      </c>
      <c r="BW763" s="80">
        <f>IF(ISNUMBER(B763),IF(DB_MON="Todos",1,IF(AND(INT(B763)&gt;=DB_MS,INT(B763)&lt;=DB_ME),1,0)),0)</f>
        <v>0</v>
      </c>
      <c r="BX763" s="80">
        <f>IF(DB_PROJ="Todos",1,IF(E763&amp;""=DB_PROJ&amp;"",1,0))</f>
        <v>1</v>
      </c>
      <c r="BY763" s="80">
        <f>BW763*BX763</f>
        <v>0</v>
      </c>
      <c r="BZ763" s="80" t="str">
        <f>IF(Y763=1,F763&amp;IF(AND(F763&amp;""&lt;&gt;"",E763&amp;""&lt;&gt;"")," · ","")&amp;E763,"")</f>
        <v/>
      </c>
      <c r="CA763" s="80" t="str">
        <f>IF(AND(BD763=1,E763&amp;""&lt;&gt;""),IF(COUNTIFS($E$5:E762,E763,$BD$5:BD762,1)=0,MAX($CA$5:CA762)+1,""),"")</f>
        <v/>
      </c>
      <c r="CB763" s="80" t="str">
        <f>IF(AND(BE763=1,D763="Malcolm",E763&amp;""&lt;&gt;""),IF(COUNTIFS($D$5:D762,"Malcolm",$E$5:E762,E763,$BE$5:BE762,1)=0,MAX($CB$5:CB762)+1,""),"")</f>
        <v/>
      </c>
      <c r="CC763" s="80" t="str">
        <f>IF(AND(BD763=1,D763="proMX",E763&amp;""&lt;&gt;""),IF(COUNTIFS($D$5:D762,"proMX",$E$5:E762,E763,$BD$5:BD762,1)=0,MAX($CC$5:CC762)+1,""),"")</f>
        <v/>
      </c>
      <c r="CD763" s="80" t="str">
        <f>IF(AND(BE763=1,D763="Malcolm",F763&amp;""&lt;&gt;""),IF(COUNTIFS($D$5:D762,"Malcolm",$F$5:F762,F763,$BE$5:BE762,1)=0,MAX($CD$5:CD762)+1,""),"")</f>
        <v/>
      </c>
      <c r="CE763" s="80" t="str">
        <f>IF(AND(BD763=1,D763="proMX",F763&amp;""&lt;&gt;""),IF(COUNTIFS($D$5:D762,"proMX",$F$5:F762,F763,$BD$5:BD762,1)=0,MAX($CE$5:CE762)+1,""),"")</f>
        <v/>
      </c>
      <c r="CF763" s="80" t="str">
        <f>IF(AND(D763="proMX",BD763=1),IF(OR(BF763="Draft",BF763="Submitted",BF763="Returned",BF763="Recall Requested"),MAX($CF$5:CF762)+1,""),"")</f>
        <v/>
      </c>
      <c r="CG763" s="80">
        <f>IF(BD763=0,0,IF(D763="Malcolm",1,MATCH(BF763,{"Draft","Submitted","Approved","Returned","Recall Requested","Cancelled"},0)+1))</f>
        <v>0</v>
      </c>
      <c r="CH763" s="80">
        <f>IF(AND(BF763="Submitted",ISNUMBER(V763)),IF(V763&gt;CFG_MAXD,1,0),0)</f>
        <v>0</v>
      </c>
    </row>
    <row r="764">
      <c r="A764" s="71" t="str">
        <f>IF(Y764=1,ROW()-5,"")</f>
        <v/>
      </c>
      <c r="B764" s="72" t="n"/>
      <c r="C764" s="71" t="str">
        <f>IF(ISNUMBER(B764),CHOOSE(WEEKDAY(B764,2),"Lun","Mar","Mié","Jue","Vie","Sáb","Dom"),"")</f>
        <v/>
      </c>
      <c r="D764" s="73" t="n"/>
      <c r="E764" s="74" t="n"/>
      <c r="F764" s="74" t="n"/>
      <c r="G764" s="74" t="n"/>
      <c r="H764" s="75" t="n"/>
      <c r="I764" s="75" t="n"/>
      <c r="J764" s="76" t="n"/>
      <c r="K764" s="77" t="str">
        <f>IF(AB764=1,ROUND(AG764/60,4),"")</f>
        <v/>
      </c>
      <c r="L764" s="77" t="str">
        <f>IF(BD764=1,ROUND(AP764/60,4),"")</f>
        <v/>
      </c>
      <c r="M764" s="77" t="str">
        <f>IF(BD764=1,ROUND(AQ764/60,4),"")</f>
        <v/>
      </c>
      <c r="N764" s="71" t="str">
        <f>IF(AND(D764="proMX",AB764=1),ROUND(AG764/CFG_BLK,2),"")</f>
        <v/>
      </c>
      <c r="O764" s="77" t="str">
        <f>IF(D764="proMX",IF(BD764=1,ROUND(AG764/60,4),0),"")</f>
        <v/>
      </c>
      <c r="P764" s="78" t="str">
        <f>IF(Y764=0,"",IF(BD764=1,"OK",IF(D764="proMX","Revisar bloques: ","Revisar: ")&amp;BC764))</f>
        <v/>
      </c>
      <c r="Q764" s="78" t="str">
        <f>IF(NOT(ISNUMBER(B764)),"",IF(COUNTIFS(FER_F,INT(B764))&gt;0,"Feriado"&amp;IF(AH764=1," (laborable)"," (no laborable)"),IF(AH764=1,"Laborable",IF(WEEKDAY(B764,2)&gt;5,"Fin de semana","No laborable"))))</f>
        <v/>
      </c>
      <c r="R764" s="73" t="n"/>
      <c r="S764" s="72" t="n"/>
      <c r="T764" s="72" t="n"/>
      <c r="U764" s="74" t="n"/>
      <c r="V764" s="79" t="str">
        <f>IF(AND(D764="proMX",OR(R764="Submitted",R764="Recall Requested"),ISNUMBER(S764)),CFG_TODAY-INT(S764),"")</f>
        <v/>
      </c>
      <c r="W764" s="78" t="str">
        <f>IF(BD764=0,"",IF(BA764&gt;0,"⚠ Se superpone con un registro de la otra empresa",IF(D764="Malcolm",IF(COUNTA(R764,S764,T764)&gt;0,"Estado/fechas proMX se ignoran en Malcolm",""),IF(BF764="Cancelled","Cancelado: excluido de totales",IF(R764="","Sin estado: se trata como Draft",IF(BF764="Submitted",IF(ISNUMBER(V764),IF(V764&gt;CFG_MAXD,"⚠ "&amp;V764&amp;" días en Submitted (máx. "&amp;CFG_MAXD&amp;")",""),"Falta fecha de envío"),IF(BF764="Returned","⚠ Devuelto: corregir y reenviar",IF(BF764="Recall Requested","Retirada solicitada: pendiente",IF(AND(BF764="Approved",NOT(ISNUMBER(T764))),"Falta fecha de aprobación",IF(AND(ISNUMBER(S764),ISNUMBER(T764),T764&lt;S764),"Aprobación anterior al envío","")))))))))</f>
        <v/>
      </c>
      <c r="Y764" s="80">
        <f>IF(COUNTA(B764,D764,E764,F764,G764,H764,I764,J764,R764,S764,T764)&gt;0,1,0)</f>
        <v>0</v>
      </c>
      <c r="Z764" s="80" t="str">
        <f>IF(AND(ISNUMBER(H764),H764&gt;=0,H764&lt;1),ROUND(H764*1440,0),"")</f>
        <v/>
      </c>
      <c r="AA764" s="80" t="str">
        <f>IF(AND(ISNUMBER(I764),I764&gt;=0,I764&lt;1),ROUND(I764*1440,0),"")</f>
        <v/>
      </c>
      <c r="AB764" s="80">
        <f>IF(AND(ISNUMBER(B764),D764&lt;&gt;"",ISNUMBER(Z764),ISNUMBER(AA764)),IF(Z764=AA764,0,1),0)</f>
        <v>0</v>
      </c>
      <c r="AC764" s="80">
        <f>IF(AB764=1,IF(AA764&lt;Z764,1,0),0)</f>
        <v>0</v>
      </c>
      <c r="AD764" s="80">
        <f>IF(AB764=1,IF(AC764=1,1440-Z764+AA764,AA764-Z764),0)</f>
        <v>0</v>
      </c>
      <c r="AE764" s="80">
        <f>IF(J764="",0,IF(ISNUMBER(J764),J764,-1))</f>
        <v>0</v>
      </c>
      <c r="AF764" s="80">
        <f>MIN(MAX(0,AE764),AD764)</f>
        <v>0</v>
      </c>
      <c r="AG764" s="80">
        <f>MAX(0,AD764-MAX(0,AE764))</f>
        <v>0</v>
      </c>
      <c r="AH764" s="80">
        <f>IF(ISNUMBER(B764),IF(AND(INDEX(CFG_WDAYS,WEEKDAY(INT(B764),2))="Sí",IF(D764="proMX",COUNTIFS(FER_F,INT(B764),FER_NLP,"Sí"),COUNTIFS(FER_F,INT(B764),FER_NLM,"Sí"))=0),1,0),0)</f>
        <v>0</v>
      </c>
      <c r="AI764" s="80">
        <f>IF(AC764=1,IF(AND(INDEX(CFG_WDAYS,WEEKDAY(INT(B764)+1,2))="Sí",IF(D764="proMX",COUNTIFS(FER_F,INT(B764)+1,FER_NLP,"Sí"),COUNTIFS(FER_F,INT(B764)+1,FER_NLM,"Sí"))=0),1,0),0)</f>
        <v>0</v>
      </c>
      <c r="AJ764" s="80">
        <f>IF(AC764=1,1440-Z764,AD764)</f>
        <v>0</v>
      </c>
      <c r="AK764" s="80">
        <f>IF(AND(AB764=1,AH764=1),MAX(0,MIN(IF(AC764=1,1440,AA764),CFG_WEM)-MAX(Z764,CFG_WSM)),0)</f>
        <v>0</v>
      </c>
      <c r="AL764" s="80">
        <f>IF(AND(AC764=1,AI764=1),MAX(0,MIN(AA764,CFG_WEM)-CFG_WSM),0)</f>
        <v>0</v>
      </c>
      <c r="AM764" s="80">
        <f>AK764+AL764</f>
        <v>0</v>
      </c>
      <c r="AN764" s="80">
        <f>IF(CFG_BRK="Proporcional",IF(AD764=0,0,AF764*AM764/AD764),IF(CFG_BRK="Extras primero",MIN(AM764,MAX(0,AF764-(AD764-AM764))),MIN(AF764,AM764)))</f>
        <v>0</v>
      </c>
      <c r="AO764" s="80">
        <f>AF764-AN764</f>
        <v>0</v>
      </c>
      <c r="AP764" s="80">
        <f>AM764-AN764</f>
        <v>0</v>
      </c>
      <c r="AQ764" s="80">
        <f>AD764-AM764-AO764</f>
        <v>0</v>
      </c>
      <c r="AR764" s="80">
        <f>IF(AM764=0,0,AK764-AN764*AK764/AM764)</f>
        <v>0</v>
      </c>
      <c r="AS764" s="80">
        <f>IF(AD764-AM764=0,0,(AJ764-AK764)-AO764*(AJ764-AK764)/(AD764-AM764))</f>
        <v>0</v>
      </c>
      <c r="AT764" s="80" t="str">
        <f>IF(AC764=1,INT(B764)+1,"")</f>
        <v/>
      </c>
      <c r="AU764" s="80">
        <f>IF(AND(D764="proMX",R764="Cancelled"),0,1)</f>
        <v>1</v>
      </c>
      <c r="AV764" s="80">
        <f>IF(AND(AB764=1,AU764=1),IF(COUNTIFS($D$5:D763,D764,$B$5:B763,B764,$Z$5:Z763,Z764,$AA$5:AA763,AA764,$F$5:F763,F764&amp;"",$AU$5:AU763,1)&gt;0,1,0),0)</f>
        <v>0</v>
      </c>
      <c r="AW764" s="80" t="str">
        <f>IF(AB764=1,INT(B764)*1440+Z764,"")</f>
        <v/>
      </c>
      <c r="AX764" s="80" t="str">
        <f>IF(AB764=1,AW764+AD764,"")</f>
        <v/>
      </c>
      <c r="AY764" s="80">
        <f>IF(AND(AB764=1,AV764=0,AU764=1),1,0)</f>
        <v>0</v>
      </c>
      <c r="AZ764" s="80">
        <f>IF(AY764=1,COUNTIFS(R_Emp,D764,R_SAbs,"&lt;"&amp;AX764,R_EAbs,"&gt;"&amp;AW764,R_OKey,1)-1,0)</f>
        <v>0</v>
      </c>
      <c r="BA764" s="80">
        <f>IF(AY764=1,COUNTIFS(R_Emp,"&lt;&gt;"&amp;D764,R_SAbs,"&lt;"&amp;AX764,R_EAbs,"&gt;"&amp;AW764,R_OKey,1),0)</f>
        <v>0</v>
      </c>
      <c r="BB764" s="80">
        <f>IF(AND(AB764=1,D764="proMX"),IF(AND(MOD(Z764,CFG_BLK)=0,MOD(AA764,CFG_BLK)=0,MOD(AG764,CFG_BLK)=0,AG764&gt;0),1,0),1)</f>
        <v>1</v>
      </c>
      <c r="BC764" s="80" t="str">
        <f>IF(Y764=0,"",IF(NOT(ISNUMBER(B764)),"Falta fecha o fecha inválida",IF(D764="","Falta empresa",IF(AND(D764&lt;&gt;"Malcolm",D764&lt;&gt;"proMX"),"Empresa inválida",IF(OR(INT(B764)&lt;CFG_PSTART,INT(B764)&gt;CFG_PEND),"Fecha fuera del período",IF(OR(NOT(ISNUMBER(Z764)),NOT(ISNUMBER(AA764))),"Falta hora inicio/fin o formato inválido",IF(AB764=0,"Hora inicio = hora fin",IF(AE764&lt;0,"Descanso inválido",IF(AE764&gt;=AD764,"Descanso ≥ duración",IF(AV764=1,"Registro duplicado",IF(AZ764&gt;0,"Se superpone con otro registro "&amp;D764,IF(BB764=0,"inicio, fin y duración neta deben ser múltiplos de "&amp;CFG_BLK&amp;" min",""))))))))))))</f>
        <v/>
      </c>
      <c r="BD764" s="80">
        <f>IF(AND(Y764=1,BC764=""),1,0)</f>
        <v>0</v>
      </c>
      <c r="BE764" s="80">
        <f>IF(AND(BD764=1,AU764=1),1,0)</f>
        <v>0</v>
      </c>
      <c r="BF764" s="80" t="str">
        <f>IF(AND(D764="proMX",BD764=1),IF(R764="","Draft",R764),"")</f>
        <v/>
      </c>
      <c r="BG764" s="80">
        <f>IF(BD764=1,ROUND(AG764/60,6),0)</f>
        <v>0</v>
      </c>
      <c r="BH764" s="80">
        <f>IF(BE764=1,ROUND(AG764/60,6),0)</f>
        <v>0</v>
      </c>
      <c r="BI764" s="80">
        <f>IF(BE764=1,ROUND(AP764/60,6),0)</f>
        <v>0</v>
      </c>
      <c r="BJ764" s="80">
        <f>IF(BE764=1,ROUND(AQ764/60,6),0)</f>
        <v>0</v>
      </c>
      <c r="BK764" s="80">
        <f>IF(BE764=1,ROUND((AR764+AS764)/60,6),0)</f>
        <v>0</v>
      </c>
      <c r="BL764" s="80">
        <f>ROUND(BH764-BK764,6)</f>
        <v>0</v>
      </c>
      <c r="BM764" s="80">
        <f>IF(BE764=1,ROUND(AR764/60,6),0)</f>
        <v>0</v>
      </c>
      <c r="BN764" s="80">
        <f>ROUND(BI764-BM764,6)</f>
        <v>0</v>
      </c>
      <c r="BO764" s="80">
        <f>IF(BE764=1,ROUND(AS764/60,6),0)</f>
        <v>0</v>
      </c>
      <c r="BP764" s="80">
        <f>ROUND(BJ764-BO764,6)</f>
        <v>0</v>
      </c>
      <c r="BQ764" s="80">
        <f>IF(BE764=1,AW764,0)</f>
        <v>0</v>
      </c>
      <c r="BR764" s="80">
        <f>IF(BE764=1,AX764,0)</f>
        <v>0</v>
      </c>
      <c r="BS764" s="80">
        <f>IF(AND(BE764=1,D764="Malcolm",BA764&gt;0),MIN(BH764,SUMPRODUCT((R_Emp="proMX")*(R_EN&gt;0)*((R_EN-(R_EN&gt;BR764)*(R_EN-BR764))&gt;(R_SN+(R_SN&lt;BQ764)*(BQ764-R_SN)))*((R_EN-(R_EN&gt;BR764)*(R_EN-BR764))-(R_SN+(R_SN&lt;BQ764)*(BQ764-R_SN))))/60),0)</f>
        <v>0</v>
      </c>
      <c r="BT764" s="80">
        <f>IF(AND(BE764=1,D764="proMX"),ROUND(BI764*CFG_RATE+BJ764*CFG_OTRATE,6),0)</f>
        <v>0</v>
      </c>
      <c r="BU764" s="80">
        <f>IF(AND(BD764=1,D764="proMX"),ROUND(AG764/CFG_BLK,6),0)</f>
        <v>0</v>
      </c>
      <c r="BV764" s="80" t="str">
        <f>IF(BF764="Approved",IF(ISNUMBER(T764),INT(T764),INT(B764)),"")</f>
        <v/>
      </c>
      <c r="BW764" s="80">
        <f>IF(ISNUMBER(B764),IF(DB_MON="Todos",1,IF(AND(INT(B764)&gt;=DB_MS,INT(B764)&lt;=DB_ME),1,0)),0)</f>
        <v>0</v>
      </c>
      <c r="BX764" s="80">
        <f>IF(DB_PROJ="Todos",1,IF(E764&amp;""=DB_PROJ&amp;"",1,0))</f>
        <v>1</v>
      </c>
      <c r="BY764" s="80">
        <f>BW764*BX764</f>
        <v>0</v>
      </c>
      <c r="BZ764" s="80" t="str">
        <f>IF(Y764=1,F764&amp;IF(AND(F764&amp;""&lt;&gt;"",E764&amp;""&lt;&gt;"")," · ","")&amp;E764,"")</f>
        <v/>
      </c>
      <c r="CA764" s="80" t="str">
        <f>IF(AND(BD764=1,E764&amp;""&lt;&gt;""),IF(COUNTIFS($E$5:E763,E764,$BD$5:BD763,1)=0,MAX($CA$5:CA763)+1,""),"")</f>
        <v/>
      </c>
      <c r="CB764" s="80" t="str">
        <f>IF(AND(BE764=1,D764="Malcolm",E764&amp;""&lt;&gt;""),IF(COUNTIFS($D$5:D763,"Malcolm",$E$5:E763,E764,$BE$5:BE763,1)=0,MAX($CB$5:CB763)+1,""),"")</f>
        <v/>
      </c>
      <c r="CC764" s="80" t="str">
        <f>IF(AND(BD764=1,D764="proMX",E764&amp;""&lt;&gt;""),IF(COUNTIFS($D$5:D763,"proMX",$E$5:E763,E764,$BD$5:BD763,1)=0,MAX($CC$5:CC763)+1,""),"")</f>
        <v/>
      </c>
      <c r="CD764" s="80" t="str">
        <f>IF(AND(BE764=1,D764="Malcolm",F764&amp;""&lt;&gt;""),IF(COUNTIFS($D$5:D763,"Malcolm",$F$5:F763,F764,$BE$5:BE763,1)=0,MAX($CD$5:CD763)+1,""),"")</f>
        <v/>
      </c>
      <c r="CE764" s="80" t="str">
        <f>IF(AND(BD764=1,D764="proMX",F764&amp;""&lt;&gt;""),IF(COUNTIFS($D$5:D763,"proMX",$F$5:F763,F764,$BD$5:BD763,1)=0,MAX($CE$5:CE763)+1,""),"")</f>
        <v/>
      </c>
      <c r="CF764" s="80" t="str">
        <f>IF(AND(D764="proMX",BD764=1),IF(OR(BF764="Draft",BF764="Submitted",BF764="Returned",BF764="Recall Requested"),MAX($CF$5:CF763)+1,""),"")</f>
        <v/>
      </c>
      <c r="CG764" s="80">
        <f>IF(BD764=0,0,IF(D764="Malcolm",1,MATCH(BF764,{"Draft","Submitted","Approved","Returned","Recall Requested","Cancelled"},0)+1))</f>
        <v>0</v>
      </c>
      <c r="CH764" s="80">
        <f>IF(AND(BF764="Submitted",ISNUMBER(V764)),IF(V764&gt;CFG_MAXD,1,0),0)</f>
        <v>0</v>
      </c>
    </row>
    <row r="765">
      <c r="A765" s="71" t="str">
        <f>IF(Y765=1,ROW()-5,"")</f>
        <v/>
      </c>
      <c r="B765" s="72" t="n"/>
      <c r="C765" s="71" t="str">
        <f>IF(ISNUMBER(B765),CHOOSE(WEEKDAY(B765,2),"Lun","Mar","Mié","Jue","Vie","Sáb","Dom"),"")</f>
        <v/>
      </c>
      <c r="D765" s="73" t="n"/>
      <c r="E765" s="74" t="n"/>
      <c r="F765" s="74" t="n"/>
      <c r="G765" s="74" t="n"/>
      <c r="H765" s="75" t="n"/>
      <c r="I765" s="75" t="n"/>
      <c r="J765" s="76" t="n"/>
      <c r="K765" s="77" t="str">
        <f>IF(AB765=1,ROUND(AG765/60,4),"")</f>
        <v/>
      </c>
      <c r="L765" s="77" t="str">
        <f>IF(BD765=1,ROUND(AP765/60,4),"")</f>
        <v/>
      </c>
      <c r="M765" s="77" t="str">
        <f>IF(BD765=1,ROUND(AQ765/60,4),"")</f>
        <v/>
      </c>
      <c r="N765" s="71" t="str">
        <f>IF(AND(D765="proMX",AB765=1),ROUND(AG765/CFG_BLK,2),"")</f>
        <v/>
      </c>
      <c r="O765" s="77" t="str">
        <f>IF(D765="proMX",IF(BD765=1,ROUND(AG765/60,4),0),"")</f>
        <v/>
      </c>
      <c r="P765" s="78" t="str">
        <f>IF(Y765=0,"",IF(BD765=1,"OK",IF(D765="proMX","Revisar bloques: ","Revisar: ")&amp;BC765))</f>
        <v/>
      </c>
      <c r="Q765" s="78" t="str">
        <f>IF(NOT(ISNUMBER(B765)),"",IF(COUNTIFS(FER_F,INT(B765))&gt;0,"Feriado"&amp;IF(AH765=1," (laborable)"," (no laborable)"),IF(AH765=1,"Laborable",IF(WEEKDAY(B765,2)&gt;5,"Fin de semana","No laborable"))))</f>
        <v/>
      </c>
      <c r="R765" s="73" t="n"/>
      <c r="S765" s="72" t="n"/>
      <c r="T765" s="72" t="n"/>
      <c r="U765" s="74" t="n"/>
      <c r="V765" s="79" t="str">
        <f>IF(AND(D765="proMX",OR(R765="Submitted",R765="Recall Requested"),ISNUMBER(S765)),CFG_TODAY-INT(S765),"")</f>
        <v/>
      </c>
      <c r="W765" s="78" t="str">
        <f>IF(BD765=0,"",IF(BA765&gt;0,"⚠ Se superpone con un registro de la otra empresa",IF(D765="Malcolm",IF(COUNTA(R765,S765,T765)&gt;0,"Estado/fechas proMX se ignoran en Malcolm",""),IF(BF765="Cancelled","Cancelado: excluido de totales",IF(R765="","Sin estado: se trata como Draft",IF(BF765="Submitted",IF(ISNUMBER(V765),IF(V765&gt;CFG_MAXD,"⚠ "&amp;V765&amp;" días en Submitted (máx. "&amp;CFG_MAXD&amp;")",""),"Falta fecha de envío"),IF(BF765="Returned","⚠ Devuelto: corregir y reenviar",IF(BF765="Recall Requested","Retirada solicitada: pendiente",IF(AND(BF765="Approved",NOT(ISNUMBER(T765))),"Falta fecha de aprobación",IF(AND(ISNUMBER(S765),ISNUMBER(T765),T765&lt;S765),"Aprobación anterior al envío","")))))))))</f>
        <v/>
      </c>
      <c r="Y765" s="80">
        <f>IF(COUNTA(B765,D765,E765,F765,G765,H765,I765,J765,R765,S765,T765)&gt;0,1,0)</f>
        <v>0</v>
      </c>
      <c r="Z765" s="80" t="str">
        <f>IF(AND(ISNUMBER(H765),H765&gt;=0,H765&lt;1),ROUND(H765*1440,0),"")</f>
        <v/>
      </c>
      <c r="AA765" s="80" t="str">
        <f>IF(AND(ISNUMBER(I765),I765&gt;=0,I765&lt;1),ROUND(I765*1440,0),"")</f>
        <v/>
      </c>
      <c r="AB765" s="80">
        <f>IF(AND(ISNUMBER(B765),D765&lt;&gt;"",ISNUMBER(Z765),ISNUMBER(AA765)),IF(Z765=AA765,0,1),0)</f>
        <v>0</v>
      </c>
      <c r="AC765" s="80">
        <f>IF(AB765=1,IF(AA765&lt;Z765,1,0),0)</f>
        <v>0</v>
      </c>
      <c r="AD765" s="80">
        <f>IF(AB765=1,IF(AC765=1,1440-Z765+AA765,AA765-Z765),0)</f>
        <v>0</v>
      </c>
      <c r="AE765" s="80">
        <f>IF(J765="",0,IF(ISNUMBER(J765),J765,-1))</f>
        <v>0</v>
      </c>
      <c r="AF765" s="80">
        <f>MIN(MAX(0,AE765),AD765)</f>
        <v>0</v>
      </c>
      <c r="AG765" s="80">
        <f>MAX(0,AD765-MAX(0,AE765))</f>
        <v>0</v>
      </c>
      <c r="AH765" s="80">
        <f>IF(ISNUMBER(B765),IF(AND(INDEX(CFG_WDAYS,WEEKDAY(INT(B765),2))="Sí",IF(D765="proMX",COUNTIFS(FER_F,INT(B765),FER_NLP,"Sí"),COUNTIFS(FER_F,INT(B765),FER_NLM,"Sí"))=0),1,0),0)</f>
        <v>0</v>
      </c>
      <c r="AI765" s="80">
        <f>IF(AC765=1,IF(AND(INDEX(CFG_WDAYS,WEEKDAY(INT(B765)+1,2))="Sí",IF(D765="proMX",COUNTIFS(FER_F,INT(B765)+1,FER_NLP,"Sí"),COUNTIFS(FER_F,INT(B765)+1,FER_NLM,"Sí"))=0),1,0),0)</f>
        <v>0</v>
      </c>
      <c r="AJ765" s="80">
        <f>IF(AC765=1,1440-Z765,AD765)</f>
        <v>0</v>
      </c>
      <c r="AK765" s="80">
        <f>IF(AND(AB765=1,AH765=1),MAX(0,MIN(IF(AC765=1,1440,AA765),CFG_WEM)-MAX(Z765,CFG_WSM)),0)</f>
        <v>0</v>
      </c>
      <c r="AL765" s="80">
        <f>IF(AND(AC765=1,AI765=1),MAX(0,MIN(AA765,CFG_WEM)-CFG_WSM),0)</f>
        <v>0</v>
      </c>
      <c r="AM765" s="80">
        <f>AK765+AL765</f>
        <v>0</v>
      </c>
      <c r="AN765" s="80">
        <f>IF(CFG_BRK="Proporcional",IF(AD765=0,0,AF765*AM765/AD765),IF(CFG_BRK="Extras primero",MIN(AM765,MAX(0,AF765-(AD765-AM765))),MIN(AF765,AM765)))</f>
        <v>0</v>
      </c>
      <c r="AO765" s="80">
        <f>AF765-AN765</f>
        <v>0</v>
      </c>
      <c r="AP765" s="80">
        <f>AM765-AN765</f>
        <v>0</v>
      </c>
      <c r="AQ765" s="80">
        <f>AD765-AM765-AO765</f>
        <v>0</v>
      </c>
      <c r="AR765" s="80">
        <f>IF(AM765=0,0,AK765-AN765*AK765/AM765)</f>
        <v>0</v>
      </c>
      <c r="AS765" s="80">
        <f>IF(AD765-AM765=0,0,(AJ765-AK765)-AO765*(AJ765-AK765)/(AD765-AM765))</f>
        <v>0</v>
      </c>
      <c r="AT765" s="80" t="str">
        <f>IF(AC765=1,INT(B765)+1,"")</f>
        <v/>
      </c>
      <c r="AU765" s="80">
        <f>IF(AND(D765="proMX",R765="Cancelled"),0,1)</f>
        <v>1</v>
      </c>
      <c r="AV765" s="80">
        <f>IF(AND(AB765=1,AU765=1),IF(COUNTIFS($D$5:D764,D765,$B$5:B764,B765,$Z$5:Z764,Z765,$AA$5:AA764,AA765,$F$5:F764,F765&amp;"",$AU$5:AU764,1)&gt;0,1,0),0)</f>
        <v>0</v>
      </c>
      <c r="AW765" s="80" t="str">
        <f>IF(AB765=1,INT(B765)*1440+Z765,"")</f>
        <v/>
      </c>
      <c r="AX765" s="80" t="str">
        <f>IF(AB765=1,AW765+AD765,"")</f>
        <v/>
      </c>
      <c r="AY765" s="80">
        <f>IF(AND(AB765=1,AV765=0,AU765=1),1,0)</f>
        <v>0</v>
      </c>
      <c r="AZ765" s="80">
        <f>IF(AY765=1,COUNTIFS(R_Emp,D765,R_SAbs,"&lt;"&amp;AX765,R_EAbs,"&gt;"&amp;AW765,R_OKey,1)-1,0)</f>
        <v>0</v>
      </c>
      <c r="BA765" s="80">
        <f>IF(AY765=1,COUNTIFS(R_Emp,"&lt;&gt;"&amp;D765,R_SAbs,"&lt;"&amp;AX765,R_EAbs,"&gt;"&amp;AW765,R_OKey,1),0)</f>
        <v>0</v>
      </c>
      <c r="BB765" s="80">
        <f>IF(AND(AB765=1,D765="proMX"),IF(AND(MOD(Z765,CFG_BLK)=0,MOD(AA765,CFG_BLK)=0,MOD(AG765,CFG_BLK)=0,AG765&gt;0),1,0),1)</f>
        <v>1</v>
      </c>
      <c r="BC765" s="80" t="str">
        <f>IF(Y765=0,"",IF(NOT(ISNUMBER(B765)),"Falta fecha o fecha inválida",IF(D765="","Falta empresa",IF(AND(D765&lt;&gt;"Malcolm",D765&lt;&gt;"proMX"),"Empresa inválida",IF(OR(INT(B765)&lt;CFG_PSTART,INT(B765)&gt;CFG_PEND),"Fecha fuera del período",IF(OR(NOT(ISNUMBER(Z765)),NOT(ISNUMBER(AA765))),"Falta hora inicio/fin o formato inválido",IF(AB765=0,"Hora inicio = hora fin",IF(AE765&lt;0,"Descanso inválido",IF(AE765&gt;=AD765,"Descanso ≥ duración",IF(AV765=1,"Registro duplicado",IF(AZ765&gt;0,"Se superpone con otro registro "&amp;D765,IF(BB765=0,"inicio, fin y duración neta deben ser múltiplos de "&amp;CFG_BLK&amp;" min",""))))))))))))</f>
        <v/>
      </c>
      <c r="BD765" s="80">
        <f>IF(AND(Y765=1,BC765=""),1,0)</f>
        <v>0</v>
      </c>
      <c r="BE765" s="80">
        <f>IF(AND(BD765=1,AU765=1),1,0)</f>
        <v>0</v>
      </c>
      <c r="BF765" s="80" t="str">
        <f>IF(AND(D765="proMX",BD765=1),IF(R765="","Draft",R765),"")</f>
        <v/>
      </c>
      <c r="BG765" s="80">
        <f>IF(BD765=1,ROUND(AG765/60,6),0)</f>
        <v>0</v>
      </c>
      <c r="BH765" s="80">
        <f>IF(BE765=1,ROUND(AG765/60,6),0)</f>
        <v>0</v>
      </c>
      <c r="BI765" s="80">
        <f>IF(BE765=1,ROUND(AP765/60,6),0)</f>
        <v>0</v>
      </c>
      <c r="BJ765" s="80">
        <f>IF(BE765=1,ROUND(AQ765/60,6),0)</f>
        <v>0</v>
      </c>
      <c r="BK765" s="80">
        <f>IF(BE765=1,ROUND((AR765+AS765)/60,6),0)</f>
        <v>0</v>
      </c>
      <c r="BL765" s="80">
        <f>ROUND(BH765-BK765,6)</f>
        <v>0</v>
      </c>
      <c r="BM765" s="80">
        <f>IF(BE765=1,ROUND(AR765/60,6),0)</f>
        <v>0</v>
      </c>
      <c r="BN765" s="80">
        <f>ROUND(BI765-BM765,6)</f>
        <v>0</v>
      </c>
      <c r="BO765" s="80">
        <f>IF(BE765=1,ROUND(AS765/60,6),0)</f>
        <v>0</v>
      </c>
      <c r="BP765" s="80">
        <f>ROUND(BJ765-BO765,6)</f>
        <v>0</v>
      </c>
      <c r="BQ765" s="80">
        <f>IF(BE765=1,AW765,0)</f>
        <v>0</v>
      </c>
      <c r="BR765" s="80">
        <f>IF(BE765=1,AX765,0)</f>
        <v>0</v>
      </c>
      <c r="BS765" s="80">
        <f>IF(AND(BE765=1,D765="Malcolm",BA765&gt;0),MIN(BH765,SUMPRODUCT((R_Emp="proMX")*(R_EN&gt;0)*((R_EN-(R_EN&gt;BR765)*(R_EN-BR765))&gt;(R_SN+(R_SN&lt;BQ765)*(BQ765-R_SN)))*((R_EN-(R_EN&gt;BR765)*(R_EN-BR765))-(R_SN+(R_SN&lt;BQ765)*(BQ765-R_SN))))/60),0)</f>
        <v>0</v>
      </c>
      <c r="BT765" s="80">
        <f>IF(AND(BE765=1,D765="proMX"),ROUND(BI765*CFG_RATE+BJ765*CFG_OTRATE,6),0)</f>
        <v>0</v>
      </c>
      <c r="BU765" s="80">
        <f>IF(AND(BD765=1,D765="proMX"),ROUND(AG765/CFG_BLK,6),0)</f>
        <v>0</v>
      </c>
      <c r="BV765" s="80" t="str">
        <f>IF(BF765="Approved",IF(ISNUMBER(T765),INT(T765),INT(B765)),"")</f>
        <v/>
      </c>
      <c r="BW765" s="80">
        <f>IF(ISNUMBER(B765),IF(DB_MON="Todos",1,IF(AND(INT(B765)&gt;=DB_MS,INT(B765)&lt;=DB_ME),1,0)),0)</f>
        <v>0</v>
      </c>
      <c r="BX765" s="80">
        <f>IF(DB_PROJ="Todos",1,IF(E765&amp;""=DB_PROJ&amp;"",1,0))</f>
        <v>1</v>
      </c>
      <c r="BY765" s="80">
        <f>BW765*BX765</f>
        <v>0</v>
      </c>
      <c r="BZ765" s="80" t="str">
        <f>IF(Y765=1,F765&amp;IF(AND(F765&amp;""&lt;&gt;"",E765&amp;""&lt;&gt;"")," · ","")&amp;E765,"")</f>
        <v/>
      </c>
      <c r="CA765" s="80" t="str">
        <f>IF(AND(BD765=1,E765&amp;""&lt;&gt;""),IF(COUNTIFS($E$5:E764,E765,$BD$5:BD764,1)=0,MAX($CA$5:CA764)+1,""),"")</f>
        <v/>
      </c>
      <c r="CB765" s="80" t="str">
        <f>IF(AND(BE765=1,D765="Malcolm",E765&amp;""&lt;&gt;""),IF(COUNTIFS($D$5:D764,"Malcolm",$E$5:E764,E765,$BE$5:BE764,1)=0,MAX($CB$5:CB764)+1,""),"")</f>
        <v/>
      </c>
      <c r="CC765" s="80" t="str">
        <f>IF(AND(BD765=1,D765="proMX",E765&amp;""&lt;&gt;""),IF(COUNTIFS($D$5:D764,"proMX",$E$5:E764,E765,$BD$5:BD764,1)=0,MAX($CC$5:CC764)+1,""),"")</f>
        <v/>
      </c>
      <c r="CD765" s="80" t="str">
        <f>IF(AND(BE765=1,D765="Malcolm",F765&amp;""&lt;&gt;""),IF(COUNTIFS($D$5:D764,"Malcolm",$F$5:F764,F765,$BE$5:BE764,1)=0,MAX($CD$5:CD764)+1,""),"")</f>
        <v/>
      </c>
      <c r="CE765" s="80" t="str">
        <f>IF(AND(BD765=1,D765="proMX",F765&amp;""&lt;&gt;""),IF(COUNTIFS($D$5:D764,"proMX",$F$5:F764,F765,$BD$5:BD764,1)=0,MAX($CE$5:CE764)+1,""),"")</f>
        <v/>
      </c>
      <c r="CF765" s="80" t="str">
        <f>IF(AND(D765="proMX",BD765=1),IF(OR(BF765="Draft",BF765="Submitted",BF765="Returned",BF765="Recall Requested"),MAX($CF$5:CF764)+1,""),"")</f>
        <v/>
      </c>
      <c r="CG765" s="80">
        <f>IF(BD765=0,0,IF(D765="Malcolm",1,MATCH(BF765,{"Draft","Submitted","Approved","Returned","Recall Requested","Cancelled"},0)+1))</f>
        <v>0</v>
      </c>
      <c r="CH765" s="80">
        <f>IF(AND(BF765="Submitted",ISNUMBER(V765)),IF(V765&gt;CFG_MAXD,1,0),0)</f>
        <v>0</v>
      </c>
    </row>
    <row r="766">
      <c r="A766" s="71" t="str">
        <f>IF(Y766=1,ROW()-5,"")</f>
        <v/>
      </c>
      <c r="B766" s="72" t="n"/>
      <c r="C766" s="71" t="str">
        <f>IF(ISNUMBER(B766),CHOOSE(WEEKDAY(B766,2),"Lun","Mar","Mié","Jue","Vie","Sáb","Dom"),"")</f>
        <v/>
      </c>
      <c r="D766" s="73" t="n"/>
      <c r="E766" s="74" t="n"/>
      <c r="F766" s="74" t="n"/>
      <c r="G766" s="74" t="n"/>
      <c r="H766" s="75" t="n"/>
      <c r="I766" s="75" t="n"/>
      <c r="J766" s="76" t="n"/>
      <c r="K766" s="77" t="str">
        <f>IF(AB766=1,ROUND(AG766/60,4),"")</f>
        <v/>
      </c>
      <c r="L766" s="77" t="str">
        <f>IF(BD766=1,ROUND(AP766/60,4),"")</f>
        <v/>
      </c>
      <c r="M766" s="77" t="str">
        <f>IF(BD766=1,ROUND(AQ766/60,4),"")</f>
        <v/>
      </c>
      <c r="N766" s="71" t="str">
        <f>IF(AND(D766="proMX",AB766=1),ROUND(AG766/CFG_BLK,2),"")</f>
        <v/>
      </c>
      <c r="O766" s="77" t="str">
        <f>IF(D766="proMX",IF(BD766=1,ROUND(AG766/60,4),0),"")</f>
        <v/>
      </c>
      <c r="P766" s="78" t="str">
        <f>IF(Y766=0,"",IF(BD766=1,"OK",IF(D766="proMX","Revisar bloques: ","Revisar: ")&amp;BC766))</f>
        <v/>
      </c>
      <c r="Q766" s="78" t="str">
        <f>IF(NOT(ISNUMBER(B766)),"",IF(COUNTIFS(FER_F,INT(B766))&gt;0,"Feriado"&amp;IF(AH766=1," (laborable)"," (no laborable)"),IF(AH766=1,"Laborable",IF(WEEKDAY(B766,2)&gt;5,"Fin de semana","No laborable"))))</f>
        <v/>
      </c>
      <c r="R766" s="73" t="n"/>
      <c r="S766" s="72" t="n"/>
      <c r="T766" s="72" t="n"/>
      <c r="U766" s="74" t="n"/>
      <c r="V766" s="79" t="str">
        <f>IF(AND(D766="proMX",OR(R766="Submitted",R766="Recall Requested"),ISNUMBER(S766)),CFG_TODAY-INT(S766),"")</f>
        <v/>
      </c>
      <c r="W766" s="78" t="str">
        <f>IF(BD766=0,"",IF(BA766&gt;0,"⚠ Se superpone con un registro de la otra empresa",IF(D766="Malcolm",IF(COUNTA(R766,S766,T766)&gt;0,"Estado/fechas proMX se ignoran en Malcolm",""),IF(BF766="Cancelled","Cancelado: excluido de totales",IF(R766="","Sin estado: se trata como Draft",IF(BF766="Submitted",IF(ISNUMBER(V766),IF(V766&gt;CFG_MAXD,"⚠ "&amp;V766&amp;" días en Submitted (máx. "&amp;CFG_MAXD&amp;")",""),"Falta fecha de envío"),IF(BF766="Returned","⚠ Devuelto: corregir y reenviar",IF(BF766="Recall Requested","Retirada solicitada: pendiente",IF(AND(BF766="Approved",NOT(ISNUMBER(T766))),"Falta fecha de aprobación",IF(AND(ISNUMBER(S766),ISNUMBER(T766),T766&lt;S766),"Aprobación anterior al envío","")))))))))</f>
        <v/>
      </c>
      <c r="Y766" s="80">
        <f>IF(COUNTA(B766,D766,E766,F766,G766,H766,I766,J766,R766,S766,T766)&gt;0,1,0)</f>
        <v>0</v>
      </c>
      <c r="Z766" s="80" t="str">
        <f>IF(AND(ISNUMBER(H766),H766&gt;=0,H766&lt;1),ROUND(H766*1440,0),"")</f>
        <v/>
      </c>
      <c r="AA766" s="80" t="str">
        <f>IF(AND(ISNUMBER(I766),I766&gt;=0,I766&lt;1),ROUND(I766*1440,0),"")</f>
        <v/>
      </c>
      <c r="AB766" s="80">
        <f>IF(AND(ISNUMBER(B766),D766&lt;&gt;"",ISNUMBER(Z766),ISNUMBER(AA766)),IF(Z766=AA766,0,1),0)</f>
        <v>0</v>
      </c>
      <c r="AC766" s="80">
        <f>IF(AB766=1,IF(AA766&lt;Z766,1,0),0)</f>
        <v>0</v>
      </c>
      <c r="AD766" s="80">
        <f>IF(AB766=1,IF(AC766=1,1440-Z766+AA766,AA766-Z766),0)</f>
        <v>0</v>
      </c>
      <c r="AE766" s="80">
        <f>IF(J766="",0,IF(ISNUMBER(J766),J766,-1))</f>
        <v>0</v>
      </c>
      <c r="AF766" s="80">
        <f>MIN(MAX(0,AE766),AD766)</f>
        <v>0</v>
      </c>
      <c r="AG766" s="80">
        <f>MAX(0,AD766-MAX(0,AE766))</f>
        <v>0</v>
      </c>
      <c r="AH766" s="80">
        <f>IF(ISNUMBER(B766),IF(AND(INDEX(CFG_WDAYS,WEEKDAY(INT(B766),2))="Sí",IF(D766="proMX",COUNTIFS(FER_F,INT(B766),FER_NLP,"Sí"),COUNTIFS(FER_F,INT(B766),FER_NLM,"Sí"))=0),1,0),0)</f>
        <v>0</v>
      </c>
      <c r="AI766" s="80">
        <f>IF(AC766=1,IF(AND(INDEX(CFG_WDAYS,WEEKDAY(INT(B766)+1,2))="Sí",IF(D766="proMX",COUNTIFS(FER_F,INT(B766)+1,FER_NLP,"Sí"),COUNTIFS(FER_F,INT(B766)+1,FER_NLM,"Sí"))=0),1,0),0)</f>
        <v>0</v>
      </c>
      <c r="AJ766" s="80">
        <f>IF(AC766=1,1440-Z766,AD766)</f>
        <v>0</v>
      </c>
      <c r="AK766" s="80">
        <f>IF(AND(AB766=1,AH766=1),MAX(0,MIN(IF(AC766=1,1440,AA766),CFG_WEM)-MAX(Z766,CFG_WSM)),0)</f>
        <v>0</v>
      </c>
      <c r="AL766" s="80">
        <f>IF(AND(AC766=1,AI766=1),MAX(0,MIN(AA766,CFG_WEM)-CFG_WSM),0)</f>
        <v>0</v>
      </c>
      <c r="AM766" s="80">
        <f>AK766+AL766</f>
        <v>0</v>
      </c>
      <c r="AN766" s="80">
        <f>IF(CFG_BRK="Proporcional",IF(AD766=0,0,AF766*AM766/AD766),IF(CFG_BRK="Extras primero",MIN(AM766,MAX(0,AF766-(AD766-AM766))),MIN(AF766,AM766)))</f>
        <v>0</v>
      </c>
      <c r="AO766" s="80">
        <f>AF766-AN766</f>
        <v>0</v>
      </c>
      <c r="AP766" s="80">
        <f>AM766-AN766</f>
        <v>0</v>
      </c>
      <c r="AQ766" s="80">
        <f>AD766-AM766-AO766</f>
        <v>0</v>
      </c>
      <c r="AR766" s="80">
        <f>IF(AM766=0,0,AK766-AN766*AK766/AM766)</f>
        <v>0</v>
      </c>
      <c r="AS766" s="80">
        <f>IF(AD766-AM766=0,0,(AJ766-AK766)-AO766*(AJ766-AK766)/(AD766-AM766))</f>
        <v>0</v>
      </c>
      <c r="AT766" s="80" t="str">
        <f>IF(AC766=1,INT(B766)+1,"")</f>
        <v/>
      </c>
      <c r="AU766" s="80">
        <f>IF(AND(D766="proMX",R766="Cancelled"),0,1)</f>
        <v>1</v>
      </c>
      <c r="AV766" s="80">
        <f>IF(AND(AB766=1,AU766=1),IF(COUNTIFS($D$5:D765,D766,$B$5:B765,B766,$Z$5:Z765,Z766,$AA$5:AA765,AA766,$F$5:F765,F766&amp;"",$AU$5:AU765,1)&gt;0,1,0),0)</f>
        <v>0</v>
      </c>
      <c r="AW766" s="80" t="str">
        <f>IF(AB766=1,INT(B766)*1440+Z766,"")</f>
        <v/>
      </c>
      <c r="AX766" s="80" t="str">
        <f>IF(AB766=1,AW766+AD766,"")</f>
        <v/>
      </c>
      <c r="AY766" s="80">
        <f>IF(AND(AB766=1,AV766=0,AU766=1),1,0)</f>
        <v>0</v>
      </c>
      <c r="AZ766" s="80">
        <f>IF(AY766=1,COUNTIFS(R_Emp,D766,R_SAbs,"&lt;"&amp;AX766,R_EAbs,"&gt;"&amp;AW766,R_OKey,1)-1,0)</f>
        <v>0</v>
      </c>
      <c r="BA766" s="80">
        <f>IF(AY766=1,COUNTIFS(R_Emp,"&lt;&gt;"&amp;D766,R_SAbs,"&lt;"&amp;AX766,R_EAbs,"&gt;"&amp;AW766,R_OKey,1),0)</f>
        <v>0</v>
      </c>
      <c r="BB766" s="80">
        <f>IF(AND(AB766=1,D766="proMX"),IF(AND(MOD(Z766,CFG_BLK)=0,MOD(AA766,CFG_BLK)=0,MOD(AG766,CFG_BLK)=0,AG766&gt;0),1,0),1)</f>
        <v>1</v>
      </c>
      <c r="BC766" s="80" t="str">
        <f>IF(Y766=0,"",IF(NOT(ISNUMBER(B766)),"Falta fecha o fecha inválida",IF(D766="","Falta empresa",IF(AND(D766&lt;&gt;"Malcolm",D766&lt;&gt;"proMX"),"Empresa inválida",IF(OR(INT(B766)&lt;CFG_PSTART,INT(B766)&gt;CFG_PEND),"Fecha fuera del período",IF(OR(NOT(ISNUMBER(Z766)),NOT(ISNUMBER(AA766))),"Falta hora inicio/fin o formato inválido",IF(AB766=0,"Hora inicio = hora fin",IF(AE766&lt;0,"Descanso inválido",IF(AE766&gt;=AD766,"Descanso ≥ duración",IF(AV766=1,"Registro duplicado",IF(AZ766&gt;0,"Se superpone con otro registro "&amp;D766,IF(BB766=0,"inicio, fin y duración neta deben ser múltiplos de "&amp;CFG_BLK&amp;" min",""))))))))))))</f>
        <v/>
      </c>
      <c r="BD766" s="80">
        <f>IF(AND(Y766=1,BC766=""),1,0)</f>
        <v>0</v>
      </c>
      <c r="BE766" s="80">
        <f>IF(AND(BD766=1,AU766=1),1,0)</f>
        <v>0</v>
      </c>
      <c r="BF766" s="80" t="str">
        <f>IF(AND(D766="proMX",BD766=1),IF(R766="","Draft",R766),"")</f>
        <v/>
      </c>
      <c r="BG766" s="80">
        <f>IF(BD766=1,ROUND(AG766/60,6),0)</f>
        <v>0</v>
      </c>
      <c r="BH766" s="80">
        <f>IF(BE766=1,ROUND(AG766/60,6),0)</f>
        <v>0</v>
      </c>
      <c r="BI766" s="80">
        <f>IF(BE766=1,ROUND(AP766/60,6),0)</f>
        <v>0</v>
      </c>
      <c r="BJ766" s="80">
        <f>IF(BE766=1,ROUND(AQ766/60,6),0)</f>
        <v>0</v>
      </c>
      <c r="BK766" s="80">
        <f>IF(BE766=1,ROUND((AR766+AS766)/60,6),0)</f>
        <v>0</v>
      </c>
      <c r="BL766" s="80">
        <f>ROUND(BH766-BK766,6)</f>
        <v>0</v>
      </c>
      <c r="BM766" s="80">
        <f>IF(BE766=1,ROUND(AR766/60,6),0)</f>
        <v>0</v>
      </c>
      <c r="BN766" s="80">
        <f>ROUND(BI766-BM766,6)</f>
        <v>0</v>
      </c>
      <c r="BO766" s="80">
        <f>IF(BE766=1,ROUND(AS766/60,6),0)</f>
        <v>0</v>
      </c>
      <c r="BP766" s="80">
        <f>ROUND(BJ766-BO766,6)</f>
        <v>0</v>
      </c>
      <c r="BQ766" s="80">
        <f>IF(BE766=1,AW766,0)</f>
        <v>0</v>
      </c>
      <c r="BR766" s="80">
        <f>IF(BE766=1,AX766,0)</f>
        <v>0</v>
      </c>
      <c r="BS766" s="80">
        <f>IF(AND(BE766=1,D766="Malcolm",BA766&gt;0),MIN(BH766,SUMPRODUCT((R_Emp="proMX")*(R_EN&gt;0)*((R_EN-(R_EN&gt;BR766)*(R_EN-BR766))&gt;(R_SN+(R_SN&lt;BQ766)*(BQ766-R_SN)))*((R_EN-(R_EN&gt;BR766)*(R_EN-BR766))-(R_SN+(R_SN&lt;BQ766)*(BQ766-R_SN))))/60),0)</f>
        <v>0</v>
      </c>
      <c r="BT766" s="80">
        <f>IF(AND(BE766=1,D766="proMX"),ROUND(BI766*CFG_RATE+BJ766*CFG_OTRATE,6),0)</f>
        <v>0</v>
      </c>
      <c r="BU766" s="80">
        <f>IF(AND(BD766=1,D766="proMX"),ROUND(AG766/CFG_BLK,6),0)</f>
        <v>0</v>
      </c>
      <c r="BV766" s="80" t="str">
        <f>IF(BF766="Approved",IF(ISNUMBER(T766),INT(T766),INT(B766)),"")</f>
        <v/>
      </c>
      <c r="BW766" s="80">
        <f>IF(ISNUMBER(B766),IF(DB_MON="Todos",1,IF(AND(INT(B766)&gt;=DB_MS,INT(B766)&lt;=DB_ME),1,0)),0)</f>
        <v>0</v>
      </c>
      <c r="BX766" s="80">
        <f>IF(DB_PROJ="Todos",1,IF(E766&amp;""=DB_PROJ&amp;"",1,0))</f>
        <v>1</v>
      </c>
      <c r="BY766" s="80">
        <f>BW766*BX766</f>
        <v>0</v>
      </c>
      <c r="BZ766" s="80" t="str">
        <f>IF(Y766=1,F766&amp;IF(AND(F766&amp;""&lt;&gt;"",E766&amp;""&lt;&gt;"")," · ","")&amp;E766,"")</f>
        <v/>
      </c>
      <c r="CA766" s="80" t="str">
        <f>IF(AND(BD766=1,E766&amp;""&lt;&gt;""),IF(COUNTIFS($E$5:E765,E766,$BD$5:BD765,1)=0,MAX($CA$5:CA765)+1,""),"")</f>
        <v/>
      </c>
      <c r="CB766" s="80" t="str">
        <f>IF(AND(BE766=1,D766="Malcolm",E766&amp;""&lt;&gt;""),IF(COUNTIFS($D$5:D765,"Malcolm",$E$5:E765,E766,$BE$5:BE765,1)=0,MAX($CB$5:CB765)+1,""),"")</f>
        <v/>
      </c>
      <c r="CC766" s="80" t="str">
        <f>IF(AND(BD766=1,D766="proMX",E766&amp;""&lt;&gt;""),IF(COUNTIFS($D$5:D765,"proMX",$E$5:E765,E766,$BD$5:BD765,1)=0,MAX($CC$5:CC765)+1,""),"")</f>
        <v/>
      </c>
      <c r="CD766" s="80" t="str">
        <f>IF(AND(BE766=1,D766="Malcolm",F766&amp;""&lt;&gt;""),IF(COUNTIFS($D$5:D765,"Malcolm",$F$5:F765,F766,$BE$5:BE765,1)=0,MAX($CD$5:CD765)+1,""),"")</f>
        <v/>
      </c>
      <c r="CE766" s="80" t="str">
        <f>IF(AND(BD766=1,D766="proMX",F766&amp;""&lt;&gt;""),IF(COUNTIFS($D$5:D765,"proMX",$F$5:F765,F766,$BD$5:BD765,1)=0,MAX($CE$5:CE765)+1,""),"")</f>
        <v/>
      </c>
      <c r="CF766" s="80" t="str">
        <f>IF(AND(D766="proMX",BD766=1),IF(OR(BF766="Draft",BF766="Submitted",BF766="Returned",BF766="Recall Requested"),MAX($CF$5:CF765)+1,""),"")</f>
        <v/>
      </c>
      <c r="CG766" s="80">
        <f>IF(BD766=0,0,IF(D766="Malcolm",1,MATCH(BF766,{"Draft","Submitted","Approved","Returned","Recall Requested","Cancelled"},0)+1))</f>
        <v>0</v>
      </c>
      <c r="CH766" s="80">
        <f>IF(AND(BF766="Submitted",ISNUMBER(V766)),IF(V766&gt;CFG_MAXD,1,0),0)</f>
        <v>0</v>
      </c>
    </row>
    <row r="767">
      <c r="A767" s="71" t="str">
        <f>IF(Y767=1,ROW()-5,"")</f>
        <v/>
      </c>
      <c r="B767" s="72" t="n"/>
      <c r="C767" s="71" t="str">
        <f>IF(ISNUMBER(B767),CHOOSE(WEEKDAY(B767,2),"Lun","Mar","Mié","Jue","Vie","Sáb","Dom"),"")</f>
        <v/>
      </c>
      <c r="D767" s="73" t="n"/>
      <c r="E767" s="74" t="n"/>
      <c r="F767" s="74" t="n"/>
      <c r="G767" s="74" t="n"/>
      <c r="H767" s="75" t="n"/>
      <c r="I767" s="75" t="n"/>
      <c r="J767" s="76" t="n"/>
      <c r="K767" s="77" t="str">
        <f>IF(AB767=1,ROUND(AG767/60,4),"")</f>
        <v/>
      </c>
      <c r="L767" s="77" t="str">
        <f>IF(BD767=1,ROUND(AP767/60,4),"")</f>
        <v/>
      </c>
      <c r="M767" s="77" t="str">
        <f>IF(BD767=1,ROUND(AQ767/60,4),"")</f>
        <v/>
      </c>
      <c r="N767" s="71" t="str">
        <f>IF(AND(D767="proMX",AB767=1),ROUND(AG767/CFG_BLK,2),"")</f>
        <v/>
      </c>
      <c r="O767" s="77" t="str">
        <f>IF(D767="proMX",IF(BD767=1,ROUND(AG767/60,4),0),"")</f>
        <v/>
      </c>
      <c r="P767" s="78" t="str">
        <f>IF(Y767=0,"",IF(BD767=1,"OK",IF(D767="proMX","Revisar bloques: ","Revisar: ")&amp;BC767))</f>
        <v/>
      </c>
      <c r="Q767" s="78" t="str">
        <f>IF(NOT(ISNUMBER(B767)),"",IF(COUNTIFS(FER_F,INT(B767))&gt;0,"Feriado"&amp;IF(AH767=1," (laborable)"," (no laborable)"),IF(AH767=1,"Laborable",IF(WEEKDAY(B767,2)&gt;5,"Fin de semana","No laborable"))))</f>
        <v/>
      </c>
      <c r="R767" s="73" t="n"/>
      <c r="S767" s="72" t="n"/>
      <c r="T767" s="72" t="n"/>
      <c r="U767" s="74" t="n"/>
      <c r="V767" s="79" t="str">
        <f>IF(AND(D767="proMX",OR(R767="Submitted",R767="Recall Requested"),ISNUMBER(S767)),CFG_TODAY-INT(S767),"")</f>
        <v/>
      </c>
      <c r="W767" s="78" t="str">
        <f>IF(BD767=0,"",IF(BA767&gt;0,"⚠ Se superpone con un registro de la otra empresa",IF(D767="Malcolm",IF(COUNTA(R767,S767,T767)&gt;0,"Estado/fechas proMX se ignoran en Malcolm",""),IF(BF767="Cancelled","Cancelado: excluido de totales",IF(R767="","Sin estado: se trata como Draft",IF(BF767="Submitted",IF(ISNUMBER(V767),IF(V767&gt;CFG_MAXD,"⚠ "&amp;V767&amp;" días en Submitted (máx. "&amp;CFG_MAXD&amp;")",""),"Falta fecha de envío"),IF(BF767="Returned","⚠ Devuelto: corregir y reenviar",IF(BF767="Recall Requested","Retirada solicitada: pendiente",IF(AND(BF767="Approved",NOT(ISNUMBER(T767))),"Falta fecha de aprobación",IF(AND(ISNUMBER(S767),ISNUMBER(T767),T767&lt;S767),"Aprobación anterior al envío","")))))))))</f>
        <v/>
      </c>
      <c r="Y767" s="80">
        <f>IF(COUNTA(B767,D767,E767,F767,G767,H767,I767,J767,R767,S767,T767)&gt;0,1,0)</f>
        <v>0</v>
      </c>
      <c r="Z767" s="80" t="str">
        <f>IF(AND(ISNUMBER(H767),H767&gt;=0,H767&lt;1),ROUND(H767*1440,0),"")</f>
        <v/>
      </c>
      <c r="AA767" s="80" t="str">
        <f>IF(AND(ISNUMBER(I767),I767&gt;=0,I767&lt;1),ROUND(I767*1440,0),"")</f>
        <v/>
      </c>
      <c r="AB767" s="80">
        <f>IF(AND(ISNUMBER(B767),D767&lt;&gt;"",ISNUMBER(Z767),ISNUMBER(AA767)),IF(Z767=AA767,0,1),0)</f>
        <v>0</v>
      </c>
      <c r="AC767" s="80">
        <f>IF(AB767=1,IF(AA767&lt;Z767,1,0),0)</f>
        <v>0</v>
      </c>
      <c r="AD767" s="80">
        <f>IF(AB767=1,IF(AC767=1,1440-Z767+AA767,AA767-Z767),0)</f>
        <v>0</v>
      </c>
      <c r="AE767" s="80">
        <f>IF(J767="",0,IF(ISNUMBER(J767),J767,-1))</f>
        <v>0</v>
      </c>
      <c r="AF767" s="80">
        <f>MIN(MAX(0,AE767),AD767)</f>
        <v>0</v>
      </c>
      <c r="AG767" s="80">
        <f>MAX(0,AD767-MAX(0,AE767))</f>
        <v>0</v>
      </c>
      <c r="AH767" s="80">
        <f>IF(ISNUMBER(B767),IF(AND(INDEX(CFG_WDAYS,WEEKDAY(INT(B767),2))="Sí",IF(D767="proMX",COUNTIFS(FER_F,INT(B767),FER_NLP,"Sí"),COUNTIFS(FER_F,INT(B767),FER_NLM,"Sí"))=0),1,0),0)</f>
        <v>0</v>
      </c>
      <c r="AI767" s="80">
        <f>IF(AC767=1,IF(AND(INDEX(CFG_WDAYS,WEEKDAY(INT(B767)+1,2))="Sí",IF(D767="proMX",COUNTIFS(FER_F,INT(B767)+1,FER_NLP,"Sí"),COUNTIFS(FER_F,INT(B767)+1,FER_NLM,"Sí"))=0),1,0),0)</f>
        <v>0</v>
      </c>
      <c r="AJ767" s="80">
        <f>IF(AC767=1,1440-Z767,AD767)</f>
        <v>0</v>
      </c>
      <c r="AK767" s="80">
        <f>IF(AND(AB767=1,AH767=1),MAX(0,MIN(IF(AC767=1,1440,AA767),CFG_WEM)-MAX(Z767,CFG_WSM)),0)</f>
        <v>0</v>
      </c>
      <c r="AL767" s="80">
        <f>IF(AND(AC767=1,AI767=1),MAX(0,MIN(AA767,CFG_WEM)-CFG_WSM),0)</f>
        <v>0</v>
      </c>
      <c r="AM767" s="80">
        <f>AK767+AL767</f>
        <v>0</v>
      </c>
      <c r="AN767" s="80">
        <f>IF(CFG_BRK="Proporcional",IF(AD767=0,0,AF767*AM767/AD767),IF(CFG_BRK="Extras primero",MIN(AM767,MAX(0,AF767-(AD767-AM767))),MIN(AF767,AM767)))</f>
        <v>0</v>
      </c>
      <c r="AO767" s="80">
        <f>AF767-AN767</f>
        <v>0</v>
      </c>
      <c r="AP767" s="80">
        <f>AM767-AN767</f>
        <v>0</v>
      </c>
      <c r="AQ767" s="80">
        <f>AD767-AM767-AO767</f>
        <v>0</v>
      </c>
      <c r="AR767" s="80">
        <f>IF(AM767=0,0,AK767-AN767*AK767/AM767)</f>
        <v>0</v>
      </c>
      <c r="AS767" s="80">
        <f>IF(AD767-AM767=0,0,(AJ767-AK767)-AO767*(AJ767-AK767)/(AD767-AM767))</f>
        <v>0</v>
      </c>
      <c r="AT767" s="80" t="str">
        <f>IF(AC767=1,INT(B767)+1,"")</f>
        <v/>
      </c>
      <c r="AU767" s="80">
        <f>IF(AND(D767="proMX",R767="Cancelled"),0,1)</f>
        <v>1</v>
      </c>
      <c r="AV767" s="80">
        <f>IF(AND(AB767=1,AU767=1),IF(COUNTIFS($D$5:D766,D767,$B$5:B766,B767,$Z$5:Z766,Z767,$AA$5:AA766,AA767,$F$5:F766,F767&amp;"",$AU$5:AU766,1)&gt;0,1,0),0)</f>
        <v>0</v>
      </c>
      <c r="AW767" s="80" t="str">
        <f>IF(AB767=1,INT(B767)*1440+Z767,"")</f>
        <v/>
      </c>
      <c r="AX767" s="80" t="str">
        <f>IF(AB767=1,AW767+AD767,"")</f>
        <v/>
      </c>
      <c r="AY767" s="80">
        <f>IF(AND(AB767=1,AV767=0,AU767=1),1,0)</f>
        <v>0</v>
      </c>
      <c r="AZ767" s="80">
        <f>IF(AY767=1,COUNTIFS(R_Emp,D767,R_SAbs,"&lt;"&amp;AX767,R_EAbs,"&gt;"&amp;AW767,R_OKey,1)-1,0)</f>
        <v>0</v>
      </c>
      <c r="BA767" s="80">
        <f>IF(AY767=1,COUNTIFS(R_Emp,"&lt;&gt;"&amp;D767,R_SAbs,"&lt;"&amp;AX767,R_EAbs,"&gt;"&amp;AW767,R_OKey,1),0)</f>
        <v>0</v>
      </c>
      <c r="BB767" s="80">
        <f>IF(AND(AB767=1,D767="proMX"),IF(AND(MOD(Z767,CFG_BLK)=0,MOD(AA767,CFG_BLK)=0,MOD(AG767,CFG_BLK)=0,AG767&gt;0),1,0),1)</f>
        <v>1</v>
      </c>
      <c r="BC767" s="80" t="str">
        <f>IF(Y767=0,"",IF(NOT(ISNUMBER(B767)),"Falta fecha o fecha inválida",IF(D767="","Falta empresa",IF(AND(D767&lt;&gt;"Malcolm",D767&lt;&gt;"proMX"),"Empresa inválida",IF(OR(INT(B767)&lt;CFG_PSTART,INT(B767)&gt;CFG_PEND),"Fecha fuera del período",IF(OR(NOT(ISNUMBER(Z767)),NOT(ISNUMBER(AA767))),"Falta hora inicio/fin o formato inválido",IF(AB767=0,"Hora inicio = hora fin",IF(AE767&lt;0,"Descanso inválido",IF(AE767&gt;=AD767,"Descanso ≥ duración",IF(AV767=1,"Registro duplicado",IF(AZ767&gt;0,"Se superpone con otro registro "&amp;D767,IF(BB767=0,"inicio, fin y duración neta deben ser múltiplos de "&amp;CFG_BLK&amp;" min",""))))))))))))</f>
        <v/>
      </c>
      <c r="BD767" s="80">
        <f>IF(AND(Y767=1,BC767=""),1,0)</f>
        <v>0</v>
      </c>
      <c r="BE767" s="80">
        <f>IF(AND(BD767=1,AU767=1),1,0)</f>
        <v>0</v>
      </c>
      <c r="BF767" s="80" t="str">
        <f>IF(AND(D767="proMX",BD767=1),IF(R767="","Draft",R767),"")</f>
        <v/>
      </c>
      <c r="BG767" s="80">
        <f>IF(BD767=1,ROUND(AG767/60,6),0)</f>
        <v>0</v>
      </c>
      <c r="BH767" s="80">
        <f>IF(BE767=1,ROUND(AG767/60,6),0)</f>
        <v>0</v>
      </c>
      <c r="BI767" s="80">
        <f>IF(BE767=1,ROUND(AP767/60,6),0)</f>
        <v>0</v>
      </c>
      <c r="BJ767" s="80">
        <f>IF(BE767=1,ROUND(AQ767/60,6),0)</f>
        <v>0</v>
      </c>
      <c r="BK767" s="80">
        <f>IF(BE767=1,ROUND((AR767+AS767)/60,6),0)</f>
        <v>0</v>
      </c>
      <c r="BL767" s="80">
        <f>ROUND(BH767-BK767,6)</f>
        <v>0</v>
      </c>
      <c r="BM767" s="80">
        <f>IF(BE767=1,ROUND(AR767/60,6),0)</f>
        <v>0</v>
      </c>
      <c r="BN767" s="80">
        <f>ROUND(BI767-BM767,6)</f>
        <v>0</v>
      </c>
      <c r="BO767" s="80">
        <f>IF(BE767=1,ROUND(AS767/60,6),0)</f>
        <v>0</v>
      </c>
      <c r="BP767" s="80">
        <f>ROUND(BJ767-BO767,6)</f>
        <v>0</v>
      </c>
      <c r="BQ767" s="80">
        <f>IF(BE767=1,AW767,0)</f>
        <v>0</v>
      </c>
      <c r="BR767" s="80">
        <f>IF(BE767=1,AX767,0)</f>
        <v>0</v>
      </c>
      <c r="BS767" s="80">
        <f>IF(AND(BE767=1,D767="Malcolm",BA767&gt;0),MIN(BH767,SUMPRODUCT((R_Emp="proMX")*(R_EN&gt;0)*((R_EN-(R_EN&gt;BR767)*(R_EN-BR767))&gt;(R_SN+(R_SN&lt;BQ767)*(BQ767-R_SN)))*((R_EN-(R_EN&gt;BR767)*(R_EN-BR767))-(R_SN+(R_SN&lt;BQ767)*(BQ767-R_SN))))/60),0)</f>
        <v>0</v>
      </c>
      <c r="BT767" s="80">
        <f>IF(AND(BE767=1,D767="proMX"),ROUND(BI767*CFG_RATE+BJ767*CFG_OTRATE,6),0)</f>
        <v>0</v>
      </c>
      <c r="BU767" s="80">
        <f>IF(AND(BD767=1,D767="proMX"),ROUND(AG767/CFG_BLK,6),0)</f>
        <v>0</v>
      </c>
      <c r="BV767" s="80" t="str">
        <f>IF(BF767="Approved",IF(ISNUMBER(T767),INT(T767),INT(B767)),"")</f>
        <v/>
      </c>
      <c r="BW767" s="80">
        <f>IF(ISNUMBER(B767),IF(DB_MON="Todos",1,IF(AND(INT(B767)&gt;=DB_MS,INT(B767)&lt;=DB_ME),1,0)),0)</f>
        <v>0</v>
      </c>
      <c r="BX767" s="80">
        <f>IF(DB_PROJ="Todos",1,IF(E767&amp;""=DB_PROJ&amp;"",1,0))</f>
        <v>1</v>
      </c>
      <c r="BY767" s="80">
        <f>BW767*BX767</f>
        <v>0</v>
      </c>
      <c r="BZ767" s="80" t="str">
        <f>IF(Y767=1,F767&amp;IF(AND(F767&amp;""&lt;&gt;"",E767&amp;""&lt;&gt;"")," · ","")&amp;E767,"")</f>
        <v/>
      </c>
      <c r="CA767" s="80" t="str">
        <f>IF(AND(BD767=1,E767&amp;""&lt;&gt;""),IF(COUNTIFS($E$5:E766,E767,$BD$5:BD766,1)=0,MAX($CA$5:CA766)+1,""),"")</f>
        <v/>
      </c>
      <c r="CB767" s="80" t="str">
        <f>IF(AND(BE767=1,D767="Malcolm",E767&amp;""&lt;&gt;""),IF(COUNTIFS($D$5:D766,"Malcolm",$E$5:E766,E767,$BE$5:BE766,1)=0,MAX($CB$5:CB766)+1,""),"")</f>
        <v/>
      </c>
      <c r="CC767" s="80" t="str">
        <f>IF(AND(BD767=1,D767="proMX",E767&amp;""&lt;&gt;""),IF(COUNTIFS($D$5:D766,"proMX",$E$5:E766,E767,$BD$5:BD766,1)=0,MAX($CC$5:CC766)+1,""),"")</f>
        <v/>
      </c>
      <c r="CD767" s="80" t="str">
        <f>IF(AND(BE767=1,D767="Malcolm",F767&amp;""&lt;&gt;""),IF(COUNTIFS($D$5:D766,"Malcolm",$F$5:F766,F767,$BE$5:BE766,1)=0,MAX($CD$5:CD766)+1,""),"")</f>
        <v/>
      </c>
      <c r="CE767" s="80" t="str">
        <f>IF(AND(BD767=1,D767="proMX",F767&amp;""&lt;&gt;""),IF(COUNTIFS($D$5:D766,"proMX",$F$5:F766,F767,$BD$5:BD766,1)=0,MAX($CE$5:CE766)+1,""),"")</f>
        <v/>
      </c>
      <c r="CF767" s="80" t="str">
        <f>IF(AND(D767="proMX",BD767=1),IF(OR(BF767="Draft",BF767="Submitted",BF767="Returned",BF767="Recall Requested"),MAX($CF$5:CF766)+1,""),"")</f>
        <v/>
      </c>
      <c r="CG767" s="80">
        <f>IF(BD767=0,0,IF(D767="Malcolm",1,MATCH(BF767,{"Draft","Submitted","Approved","Returned","Recall Requested","Cancelled"},0)+1))</f>
        <v>0</v>
      </c>
      <c r="CH767" s="80">
        <f>IF(AND(BF767="Submitted",ISNUMBER(V767)),IF(V767&gt;CFG_MAXD,1,0),0)</f>
        <v>0</v>
      </c>
    </row>
    <row r="768">
      <c r="A768" s="71" t="str">
        <f>IF(Y768=1,ROW()-5,"")</f>
        <v/>
      </c>
      <c r="B768" s="72" t="n"/>
      <c r="C768" s="71" t="str">
        <f>IF(ISNUMBER(B768),CHOOSE(WEEKDAY(B768,2),"Lun","Mar","Mié","Jue","Vie","Sáb","Dom"),"")</f>
        <v/>
      </c>
      <c r="D768" s="73" t="n"/>
      <c r="E768" s="74" t="n"/>
      <c r="F768" s="74" t="n"/>
      <c r="G768" s="74" t="n"/>
      <c r="H768" s="75" t="n"/>
      <c r="I768" s="75" t="n"/>
      <c r="J768" s="76" t="n"/>
      <c r="K768" s="77" t="str">
        <f>IF(AB768=1,ROUND(AG768/60,4),"")</f>
        <v/>
      </c>
      <c r="L768" s="77" t="str">
        <f>IF(BD768=1,ROUND(AP768/60,4),"")</f>
        <v/>
      </c>
      <c r="M768" s="77" t="str">
        <f>IF(BD768=1,ROUND(AQ768/60,4),"")</f>
        <v/>
      </c>
      <c r="N768" s="71" t="str">
        <f>IF(AND(D768="proMX",AB768=1),ROUND(AG768/CFG_BLK,2),"")</f>
        <v/>
      </c>
      <c r="O768" s="77" t="str">
        <f>IF(D768="proMX",IF(BD768=1,ROUND(AG768/60,4),0),"")</f>
        <v/>
      </c>
      <c r="P768" s="78" t="str">
        <f>IF(Y768=0,"",IF(BD768=1,"OK",IF(D768="proMX","Revisar bloques: ","Revisar: ")&amp;BC768))</f>
        <v/>
      </c>
      <c r="Q768" s="78" t="str">
        <f>IF(NOT(ISNUMBER(B768)),"",IF(COUNTIFS(FER_F,INT(B768))&gt;0,"Feriado"&amp;IF(AH768=1," (laborable)"," (no laborable)"),IF(AH768=1,"Laborable",IF(WEEKDAY(B768,2)&gt;5,"Fin de semana","No laborable"))))</f>
        <v/>
      </c>
      <c r="R768" s="73" t="n"/>
      <c r="S768" s="72" t="n"/>
      <c r="T768" s="72" t="n"/>
      <c r="U768" s="74" t="n"/>
      <c r="V768" s="79" t="str">
        <f>IF(AND(D768="proMX",OR(R768="Submitted",R768="Recall Requested"),ISNUMBER(S768)),CFG_TODAY-INT(S768),"")</f>
        <v/>
      </c>
      <c r="W768" s="78" t="str">
        <f>IF(BD768=0,"",IF(BA768&gt;0,"⚠ Se superpone con un registro de la otra empresa",IF(D768="Malcolm",IF(COUNTA(R768,S768,T768)&gt;0,"Estado/fechas proMX se ignoran en Malcolm",""),IF(BF768="Cancelled","Cancelado: excluido de totales",IF(R768="","Sin estado: se trata como Draft",IF(BF768="Submitted",IF(ISNUMBER(V768),IF(V768&gt;CFG_MAXD,"⚠ "&amp;V768&amp;" días en Submitted (máx. "&amp;CFG_MAXD&amp;")",""),"Falta fecha de envío"),IF(BF768="Returned","⚠ Devuelto: corregir y reenviar",IF(BF768="Recall Requested","Retirada solicitada: pendiente",IF(AND(BF768="Approved",NOT(ISNUMBER(T768))),"Falta fecha de aprobación",IF(AND(ISNUMBER(S768),ISNUMBER(T768),T768&lt;S768),"Aprobación anterior al envío","")))))))))</f>
        <v/>
      </c>
      <c r="Y768" s="80">
        <f>IF(COUNTA(B768,D768,E768,F768,G768,H768,I768,J768,R768,S768,T768)&gt;0,1,0)</f>
        <v>0</v>
      </c>
      <c r="Z768" s="80" t="str">
        <f>IF(AND(ISNUMBER(H768),H768&gt;=0,H768&lt;1),ROUND(H768*1440,0),"")</f>
        <v/>
      </c>
      <c r="AA768" s="80" t="str">
        <f>IF(AND(ISNUMBER(I768),I768&gt;=0,I768&lt;1),ROUND(I768*1440,0),"")</f>
        <v/>
      </c>
      <c r="AB768" s="80">
        <f>IF(AND(ISNUMBER(B768),D768&lt;&gt;"",ISNUMBER(Z768),ISNUMBER(AA768)),IF(Z768=AA768,0,1),0)</f>
        <v>0</v>
      </c>
      <c r="AC768" s="80">
        <f>IF(AB768=1,IF(AA768&lt;Z768,1,0),0)</f>
        <v>0</v>
      </c>
      <c r="AD768" s="80">
        <f>IF(AB768=1,IF(AC768=1,1440-Z768+AA768,AA768-Z768),0)</f>
        <v>0</v>
      </c>
      <c r="AE768" s="80">
        <f>IF(J768="",0,IF(ISNUMBER(J768),J768,-1))</f>
        <v>0</v>
      </c>
      <c r="AF768" s="80">
        <f>MIN(MAX(0,AE768),AD768)</f>
        <v>0</v>
      </c>
      <c r="AG768" s="80">
        <f>MAX(0,AD768-MAX(0,AE768))</f>
        <v>0</v>
      </c>
      <c r="AH768" s="80">
        <f>IF(ISNUMBER(B768),IF(AND(INDEX(CFG_WDAYS,WEEKDAY(INT(B768),2))="Sí",IF(D768="proMX",COUNTIFS(FER_F,INT(B768),FER_NLP,"Sí"),COUNTIFS(FER_F,INT(B768),FER_NLM,"Sí"))=0),1,0),0)</f>
        <v>0</v>
      </c>
      <c r="AI768" s="80">
        <f>IF(AC768=1,IF(AND(INDEX(CFG_WDAYS,WEEKDAY(INT(B768)+1,2))="Sí",IF(D768="proMX",COUNTIFS(FER_F,INT(B768)+1,FER_NLP,"Sí"),COUNTIFS(FER_F,INT(B768)+1,FER_NLM,"Sí"))=0),1,0),0)</f>
        <v>0</v>
      </c>
      <c r="AJ768" s="80">
        <f>IF(AC768=1,1440-Z768,AD768)</f>
        <v>0</v>
      </c>
      <c r="AK768" s="80">
        <f>IF(AND(AB768=1,AH768=1),MAX(0,MIN(IF(AC768=1,1440,AA768),CFG_WEM)-MAX(Z768,CFG_WSM)),0)</f>
        <v>0</v>
      </c>
      <c r="AL768" s="80">
        <f>IF(AND(AC768=1,AI768=1),MAX(0,MIN(AA768,CFG_WEM)-CFG_WSM),0)</f>
        <v>0</v>
      </c>
      <c r="AM768" s="80">
        <f>AK768+AL768</f>
        <v>0</v>
      </c>
      <c r="AN768" s="80">
        <f>IF(CFG_BRK="Proporcional",IF(AD768=0,0,AF768*AM768/AD768),IF(CFG_BRK="Extras primero",MIN(AM768,MAX(0,AF768-(AD768-AM768))),MIN(AF768,AM768)))</f>
        <v>0</v>
      </c>
      <c r="AO768" s="80">
        <f>AF768-AN768</f>
        <v>0</v>
      </c>
      <c r="AP768" s="80">
        <f>AM768-AN768</f>
        <v>0</v>
      </c>
      <c r="AQ768" s="80">
        <f>AD768-AM768-AO768</f>
        <v>0</v>
      </c>
      <c r="AR768" s="80">
        <f>IF(AM768=0,0,AK768-AN768*AK768/AM768)</f>
        <v>0</v>
      </c>
      <c r="AS768" s="80">
        <f>IF(AD768-AM768=0,0,(AJ768-AK768)-AO768*(AJ768-AK768)/(AD768-AM768))</f>
        <v>0</v>
      </c>
      <c r="AT768" s="80" t="str">
        <f>IF(AC768=1,INT(B768)+1,"")</f>
        <v/>
      </c>
      <c r="AU768" s="80">
        <f>IF(AND(D768="proMX",R768="Cancelled"),0,1)</f>
        <v>1</v>
      </c>
      <c r="AV768" s="80">
        <f>IF(AND(AB768=1,AU768=1),IF(COUNTIFS($D$5:D767,D768,$B$5:B767,B768,$Z$5:Z767,Z768,$AA$5:AA767,AA768,$F$5:F767,F768&amp;"",$AU$5:AU767,1)&gt;0,1,0),0)</f>
        <v>0</v>
      </c>
      <c r="AW768" s="80" t="str">
        <f>IF(AB768=1,INT(B768)*1440+Z768,"")</f>
        <v/>
      </c>
      <c r="AX768" s="80" t="str">
        <f>IF(AB768=1,AW768+AD768,"")</f>
        <v/>
      </c>
      <c r="AY768" s="80">
        <f>IF(AND(AB768=1,AV768=0,AU768=1),1,0)</f>
        <v>0</v>
      </c>
      <c r="AZ768" s="80">
        <f>IF(AY768=1,COUNTIFS(R_Emp,D768,R_SAbs,"&lt;"&amp;AX768,R_EAbs,"&gt;"&amp;AW768,R_OKey,1)-1,0)</f>
        <v>0</v>
      </c>
      <c r="BA768" s="80">
        <f>IF(AY768=1,COUNTIFS(R_Emp,"&lt;&gt;"&amp;D768,R_SAbs,"&lt;"&amp;AX768,R_EAbs,"&gt;"&amp;AW768,R_OKey,1),0)</f>
        <v>0</v>
      </c>
      <c r="BB768" s="80">
        <f>IF(AND(AB768=1,D768="proMX"),IF(AND(MOD(Z768,CFG_BLK)=0,MOD(AA768,CFG_BLK)=0,MOD(AG768,CFG_BLK)=0,AG768&gt;0),1,0),1)</f>
        <v>1</v>
      </c>
      <c r="BC768" s="80" t="str">
        <f>IF(Y768=0,"",IF(NOT(ISNUMBER(B768)),"Falta fecha o fecha inválida",IF(D768="","Falta empresa",IF(AND(D768&lt;&gt;"Malcolm",D768&lt;&gt;"proMX"),"Empresa inválida",IF(OR(INT(B768)&lt;CFG_PSTART,INT(B768)&gt;CFG_PEND),"Fecha fuera del período",IF(OR(NOT(ISNUMBER(Z768)),NOT(ISNUMBER(AA768))),"Falta hora inicio/fin o formato inválido",IF(AB768=0,"Hora inicio = hora fin",IF(AE768&lt;0,"Descanso inválido",IF(AE768&gt;=AD768,"Descanso ≥ duración",IF(AV768=1,"Registro duplicado",IF(AZ768&gt;0,"Se superpone con otro registro "&amp;D768,IF(BB768=0,"inicio, fin y duración neta deben ser múltiplos de "&amp;CFG_BLK&amp;" min",""))))))))))))</f>
        <v/>
      </c>
      <c r="BD768" s="80">
        <f>IF(AND(Y768=1,BC768=""),1,0)</f>
        <v>0</v>
      </c>
      <c r="BE768" s="80">
        <f>IF(AND(BD768=1,AU768=1),1,0)</f>
        <v>0</v>
      </c>
      <c r="BF768" s="80" t="str">
        <f>IF(AND(D768="proMX",BD768=1),IF(R768="","Draft",R768),"")</f>
        <v/>
      </c>
      <c r="BG768" s="80">
        <f>IF(BD768=1,ROUND(AG768/60,6),0)</f>
        <v>0</v>
      </c>
      <c r="BH768" s="80">
        <f>IF(BE768=1,ROUND(AG768/60,6),0)</f>
        <v>0</v>
      </c>
      <c r="BI768" s="80">
        <f>IF(BE768=1,ROUND(AP768/60,6),0)</f>
        <v>0</v>
      </c>
      <c r="BJ768" s="80">
        <f>IF(BE768=1,ROUND(AQ768/60,6),0)</f>
        <v>0</v>
      </c>
      <c r="BK768" s="80">
        <f>IF(BE768=1,ROUND((AR768+AS768)/60,6),0)</f>
        <v>0</v>
      </c>
      <c r="BL768" s="80">
        <f>ROUND(BH768-BK768,6)</f>
        <v>0</v>
      </c>
      <c r="BM768" s="80">
        <f>IF(BE768=1,ROUND(AR768/60,6),0)</f>
        <v>0</v>
      </c>
      <c r="BN768" s="80">
        <f>ROUND(BI768-BM768,6)</f>
        <v>0</v>
      </c>
      <c r="BO768" s="80">
        <f>IF(BE768=1,ROUND(AS768/60,6),0)</f>
        <v>0</v>
      </c>
      <c r="BP768" s="80">
        <f>ROUND(BJ768-BO768,6)</f>
        <v>0</v>
      </c>
      <c r="BQ768" s="80">
        <f>IF(BE768=1,AW768,0)</f>
        <v>0</v>
      </c>
      <c r="BR768" s="80">
        <f>IF(BE768=1,AX768,0)</f>
        <v>0</v>
      </c>
      <c r="BS768" s="80">
        <f>IF(AND(BE768=1,D768="Malcolm",BA768&gt;0),MIN(BH768,SUMPRODUCT((R_Emp="proMX")*(R_EN&gt;0)*((R_EN-(R_EN&gt;BR768)*(R_EN-BR768))&gt;(R_SN+(R_SN&lt;BQ768)*(BQ768-R_SN)))*((R_EN-(R_EN&gt;BR768)*(R_EN-BR768))-(R_SN+(R_SN&lt;BQ768)*(BQ768-R_SN))))/60),0)</f>
        <v>0</v>
      </c>
      <c r="BT768" s="80">
        <f>IF(AND(BE768=1,D768="proMX"),ROUND(BI768*CFG_RATE+BJ768*CFG_OTRATE,6),0)</f>
        <v>0</v>
      </c>
      <c r="BU768" s="80">
        <f>IF(AND(BD768=1,D768="proMX"),ROUND(AG768/CFG_BLK,6),0)</f>
        <v>0</v>
      </c>
      <c r="BV768" s="80" t="str">
        <f>IF(BF768="Approved",IF(ISNUMBER(T768),INT(T768),INT(B768)),"")</f>
        <v/>
      </c>
      <c r="BW768" s="80">
        <f>IF(ISNUMBER(B768),IF(DB_MON="Todos",1,IF(AND(INT(B768)&gt;=DB_MS,INT(B768)&lt;=DB_ME),1,0)),0)</f>
        <v>0</v>
      </c>
      <c r="BX768" s="80">
        <f>IF(DB_PROJ="Todos",1,IF(E768&amp;""=DB_PROJ&amp;"",1,0))</f>
        <v>1</v>
      </c>
      <c r="BY768" s="80">
        <f>BW768*BX768</f>
        <v>0</v>
      </c>
      <c r="BZ768" s="80" t="str">
        <f>IF(Y768=1,F768&amp;IF(AND(F768&amp;""&lt;&gt;"",E768&amp;""&lt;&gt;"")," · ","")&amp;E768,"")</f>
        <v/>
      </c>
      <c r="CA768" s="80" t="str">
        <f>IF(AND(BD768=1,E768&amp;""&lt;&gt;""),IF(COUNTIFS($E$5:E767,E768,$BD$5:BD767,1)=0,MAX($CA$5:CA767)+1,""),"")</f>
        <v/>
      </c>
      <c r="CB768" s="80" t="str">
        <f>IF(AND(BE768=1,D768="Malcolm",E768&amp;""&lt;&gt;""),IF(COUNTIFS($D$5:D767,"Malcolm",$E$5:E767,E768,$BE$5:BE767,1)=0,MAX($CB$5:CB767)+1,""),"")</f>
        <v/>
      </c>
      <c r="CC768" s="80" t="str">
        <f>IF(AND(BD768=1,D768="proMX",E768&amp;""&lt;&gt;""),IF(COUNTIFS($D$5:D767,"proMX",$E$5:E767,E768,$BD$5:BD767,1)=0,MAX($CC$5:CC767)+1,""),"")</f>
        <v/>
      </c>
      <c r="CD768" s="80" t="str">
        <f>IF(AND(BE768=1,D768="Malcolm",F768&amp;""&lt;&gt;""),IF(COUNTIFS($D$5:D767,"Malcolm",$F$5:F767,F768,$BE$5:BE767,1)=0,MAX($CD$5:CD767)+1,""),"")</f>
        <v/>
      </c>
      <c r="CE768" s="80" t="str">
        <f>IF(AND(BD768=1,D768="proMX",F768&amp;""&lt;&gt;""),IF(COUNTIFS($D$5:D767,"proMX",$F$5:F767,F768,$BD$5:BD767,1)=0,MAX($CE$5:CE767)+1,""),"")</f>
        <v/>
      </c>
      <c r="CF768" s="80" t="str">
        <f>IF(AND(D768="proMX",BD768=1),IF(OR(BF768="Draft",BF768="Submitted",BF768="Returned",BF768="Recall Requested"),MAX($CF$5:CF767)+1,""),"")</f>
        <v/>
      </c>
      <c r="CG768" s="80">
        <f>IF(BD768=0,0,IF(D768="Malcolm",1,MATCH(BF768,{"Draft","Submitted","Approved","Returned","Recall Requested","Cancelled"},0)+1))</f>
        <v>0</v>
      </c>
      <c r="CH768" s="80">
        <f>IF(AND(BF768="Submitted",ISNUMBER(V768)),IF(V768&gt;CFG_MAXD,1,0),0)</f>
        <v>0</v>
      </c>
    </row>
    <row r="769">
      <c r="A769" s="71" t="str">
        <f>IF(Y769=1,ROW()-5,"")</f>
        <v/>
      </c>
      <c r="B769" s="72" t="n"/>
      <c r="C769" s="71" t="str">
        <f>IF(ISNUMBER(B769),CHOOSE(WEEKDAY(B769,2),"Lun","Mar","Mié","Jue","Vie","Sáb","Dom"),"")</f>
        <v/>
      </c>
      <c r="D769" s="73" t="n"/>
      <c r="E769" s="74" t="n"/>
      <c r="F769" s="74" t="n"/>
      <c r="G769" s="74" t="n"/>
      <c r="H769" s="75" t="n"/>
      <c r="I769" s="75" t="n"/>
      <c r="J769" s="76" t="n"/>
      <c r="K769" s="77" t="str">
        <f>IF(AB769=1,ROUND(AG769/60,4),"")</f>
        <v/>
      </c>
      <c r="L769" s="77" t="str">
        <f>IF(BD769=1,ROUND(AP769/60,4),"")</f>
        <v/>
      </c>
      <c r="M769" s="77" t="str">
        <f>IF(BD769=1,ROUND(AQ769/60,4),"")</f>
        <v/>
      </c>
      <c r="N769" s="71" t="str">
        <f>IF(AND(D769="proMX",AB769=1),ROUND(AG769/CFG_BLK,2),"")</f>
        <v/>
      </c>
      <c r="O769" s="77" t="str">
        <f>IF(D769="proMX",IF(BD769=1,ROUND(AG769/60,4),0),"")</f>
        <v/>
      </c>
      <c r="P769" s="78" t="str">
        <f>IF(Y769=0,"",IF(BD769=1,"OK",IF(D769="proMX","Revisar bloques: ","Revisar: ")&amp;BC769))</f>
        <v/>
      </c>
      <c r="Q769" s="78" t="str">
        <f>IF(NOT(ISNUMBER(B769)),"",IF(COUNTIFS(FER_F,INT(B769))&gt;0,"Feriado"&amp;IF(AH769=1," (laborable)"," (no laborable)"),IF(AH769=1,"Laborable",IF(WEEKDAY(B769,2)&gt;5,"Fin de semana","No laborable"))))</f>
        <v/>
      </c>
      <c r="R769" s="73" t="n"/>
      <c r="S769" s="72" t="n"/>
      <c r="T769" s="72" t="n"/>
      <c r="U769" s="74" t="n"/>
      <c r="V769" s="79" t="str">
        <f>IF(AND(D769="proMX",OR(R769="Submitted",R769="Recall Requested"),ISNUMBER(S769)),CFG_TODAY-INT(S769),"")</f>
        <v/>
      </c>
      <c r="W769" s="78" t="str">
        <f>IF(BD769=0,"",IF(BA769&gt;0,"⚠ Se superpone con un registro de la otra empresa",IF(D769="Malcolm",IF(COUNTA(R769,S769,T769)&gt;0,"Estado/fechas proMX se ignoran en Malcolm",""),IF(BF769="Cancelled","Cancelado: excluido de totales",IF(R769="","Sin estado: se trata como Draft",IF(BF769="Submitted",IF(ISNUMBER(V769),IF(V769&gt;CFG_MAXD,"⚠ "&amp;V769&amp;" días en Submitted (máx. "&amp;CFG_MAXD&amp;")",""),"Falta fecha de envío"),IF(BF769="Returned","⚠ Devuelto: corregir y reenviar",IF(BF769="Recall Requested","Retirada solicitada: pendiente",IF(AND(BF769="Approved",NOT(ISNUMBER(T769))),"Falta fecha de aprobación",IF(AND(ISNUMBER(S769),ISNUMBER(T769),T769&lt;S769),"Aprobación anterior al envío","")))))))))</f>
        <v/>
      </c>
      <c r="Y769" s="80">
        <f>IF(COUNTA(B769,D769,E769,F769,G769,H769,I769,J769,R769,S769,T769)&gt;0,1,0)</f>
        <v>0</v>
      </c>
      <c r="Z769" s="80" t="str">
        <f>IF(AND(ISNUMBER(H769),H769&gt;=0,H769&lt;1),ROUND(H769*1440,0),"")</f>
        <v/>
      </c>
      <c r="AA769" s="80" t="str">
        <f>IF(AND(ISNUMBER(I769),I769&gt;=0,I769&lt;1),ROUND(I769*1440,0),"")</f>
        <v/>
      </c>
      <c r="AB769" s="80">
        <f>IF(AND(ISNUMBER(B769),D769&lt;&gt;"",ISNUMBER(Z769),ISNUMBER(AA769)),IF(Z769=AA769,0,1),0)</f>
        <v>0</v>
      </c>
      <c r="AC769" s="80">
        <f>IF(AB769=1,IF(AA769&lt;Z769,1,0),0)</f>
        <v>0</v>
      </c>
      <c r="AD769" s="80">
        <f>IF(AB769=1,IF(AC769=1,1440-Z769+AA769,AA769-Z769),0)</f>
        <v>0</v>
      </c>
      <c r="AE769" s="80">
        <f>IF(J769="",0,IF(ISNUMBER(J769),J769,-1))</f>
        <v>0</v>
      </c>
      <c r="AF769" s="80">
        <f>MIN(MAX(0,AE769),AD769)</f>
        <v>0</v>
      </c>
      <c r="AG769" s="80">
        <f>MAX(0,AD769-MAX(0,AE769))</f>
        <v>0</v>
      </c>
      <c r="AH769" s="80">
        <f>IF(ISNUMBER(B769),IF(AND(INDEX(CFG_WDAYS,WEEKDAY(INT(B769),2))="Sí",IF(D769="proMX",COUNTIFS(FER_F,INT(B769),FER_NLP,"Sí"),COUNTIFS(FER_F,INT(B769),FER_NLM,"Sí"))=0),1,0),0)</f>
        <v>0</v>
      </c>
      <c r="AI769" s="80">
        <f>IF(AC769=1,IF(AND(INDEX(CFG_WDAYS,WEEKDAY(INT(B769)+1,2))="Sí",IF(D769="proMX",COUNTIFS(FER_F,INT(B769)+1,FER_NLP,"Sí"),COUNTIFS(FER_F,INT(B769)+1,FER_NLM,"Sí"))=0),1,0),0)</f>
        <v>0</v>
      </c>
      <c r="AJ769" s="80">
        <f>IF(AC769=1,1440-Z769,AD769)</f>
        <v>0</v>
      </c>
      <c r="AK769" s="80">
        <f>IF(AND(AB769=1,AH769=1),MAX(0,MIN(IF(AC769=1,1440,AA769),CFG_WEM)-MAX(Z769,CFG_WSM)),0)</f>
        <v>0</v>
      </c>
      <c r="AL769" s="80">
        <f>IF(AND(AC769=1,AI769=1),MAX(0,MIN(AA769,CFG_WEM)-CFG_WSM),0)</f>
        <v>0</v>
      </c>
      <c r="AM769" s="80">
        <f>AK769+AL769</f>
        <v>0</v>
      </c>
      <c r="AN769" s="80">
        <f>IF(CFG_BRK="Proporcional",IF(AD769=0,0,AF769*AM769/AD769),IF(CFG_BRK="Extras primero",MIN(AM769,MAX(0,AF769-(AD769-AM769))),MIN(AF769,AM769)))</f>
        <v>0</v>
      </c>
      <c r="AO769" s="80">
        <f>AF769-AN769</f>
        <v>0</v>
      </c>
      <c r="AP769" s="80">
        <f>AM769-AN769</f>
        <v>0</v>
      </c>
      <c r="AQ769" s="80">
        <f>AD769-AM769-AO769</f>
        <v>0</v>
      </c>
      <c r="AR769" s="80">
        <f>IF(AM769=0,0,AK769-AN769*AK769/AM769)</f>
        <v>0</v>
      </c>
      <c r="AS769" s="80">
        <f>IF(AD769-AM769=0,0,(AJ769-AK769)-AO769*(AJ769-AK769)/(AD769-AM769))</f>
        <v>0</v>
      </c>
      <c r="AT769" s="80" t="str">
        <f>IF(AC769=1,INT(B769)+1,"")</f>
        <v/>
      </c>
      <c r="AU769" s="80">
        <f>IF(AND(D769="proMX",R769="Cancelled"),0,1)</f>
        <v>1</v>
      </c>
      <c r="AV769" s="80">
        <f>IF(AND(AB769=1,AU769=1),IF(COUNTIFS($D$5:D768,D769,$B$5:B768,B769,$Z$5:Z768,Z769,$AA$5:AA768,AA769,$F$5:F768,F769&amp;"",$AU$5:AU768,1)&gt;0,1,0),0)</f>
        <v>0</v>
      </c>
      <c r="AW769" s="80" t="str">
        <f>IF(AB769=1,INT(B769)*1440+Z769,"")</f>
        <v/>
      </c>
      <c r="AX769" s="80" t="str">
        <f>IF(AB769=1,AW769+AD769,"")</f>
        <v/>
      </c>
      <c r="AY769" s="80">
        <f>IF(AND(AB769=1,AV769=0,AU769=1),1,0)</f>
        <v>0</v>
      </c>
      <c r="AZ769" s="80">
        <f>IF(AY769=1,COUNTIFS(R_Emp,D769,R_SAbs,"&lt;"&amp;AX769,R_EAbs,"&gt;"&amp;AW769,R_OKey,1)-1,0)</f>
        <v>0</v>
      </c>
      <c r="BA769" s="80">
        <f>IF(AY769=1,COUNTIFS(R_Emp,"&lt;&gt;"&amp;D769,R_SAbs,"&lt;"&amp;AX769,R_EAbs,"&gt;"&amp;AW769,R_OKey,1),0)</f>
        <v>0</v>
      </c>
      <c r="BB769" s="80">
        <f>IF(AND(AB769=1,D769="proMX"),IF(AND(MOD(Z769,CFG_BLK)=0,MOD(AA769,CFG_BLK)=0,MOD(AG769,CFG_BLK)=0,AG769&gt;0),1,0),1)</f>
        <v>1</v>
      </c>
      <c r="BC769" s="80" t="str">
        <f>IF(Y769=0,"",IF(NOT(ISNUMBER(B769)),"Falta fecha o fecha inválida",IF(D769="","Falta empresa",IF(AND(D769&lt;&gt;"Malcolm",D769&lt;&gt;"proMX"),"Empresa inválida",IF(OR(INT(B769)&lt;CFG_PSTART,INT(B769)&gt;CFG_PEND),"Fecha fuera del período",IF(OR(NOT(ISNUMBER(Z769)),NOT(ISNUMBER(AA769))),"Falta hora inicio/fin o formato inválido",IF(AB769=0,"Hora inicio = hora fin",IF(AE769&lt;0,"Descanso inválido",IF(AE769&gt;=AD769,"Descanso ≥ duración",IF(AV769=1,"Registro duplicado",IF(AZ769&gt;0,"Se superpone con otro registro "&amp;D769,IF(BB769=0,"inicio, fin y duración neta deben ser múltiplos de "&amp;CFG_BLK&amp;" min",""))))))))))))</f>
        <v/>
      </c>
      <c r="BD769" s="80">
        <f>IF(AND(Y769=1,BC769=""),1,0)</f>
        <v>0</v>
      </c>
      <c r="BE769" s="80">
        <f>IF(AND(BD769=1,AU769=1),1,0)</f>
        <v>0</v>
      </c>
      <c r="BF769" s="80" t="str">
        <f>IF(AND(D769="proMX",BD769=1),IF(R769="","Draft",R769),"")</f>
        <v/>
      </c>
      <c r="BG769" s="80">
        <f>IF(BD769=1,ROUND(AG769/60,6),0)</f>
        <v>0</v>
      </c>
      <c r="BH769" s="80">
        <f>IF(BE769=1,ROUND(AG769/60,6),0)</f>
        <v>0</v>
      </c>
      <c r="BI769" s="80">
        <f>IF(BE769=1,ROUND(AP769/60,6),0)</f>
        <v>0</v>
      </c>
      <c r="BJ769" s="80">
        <f>IF(BE769=1,ROUND(AQ769/60,6),0)</f>
        <v>0</v>
      </c>
      <c r="BK769" s="80">
        <f>IF(BE769=1,ROUND((AR769+AS769)/60,6),0)</f>
        <v>0</v>
      </c>
      <c r="BL769" s="80">
        <f>ROUND(BH769-BK769,6)</f>
        <v>0</v>
      </c>
      <c r="BM769" s="80">
        <f>IF(BE769=1,ROUND(AR769/60,6),0)</f>
        <v>0</v>
      </c>
      <c r="BN769" s="80">
        <f>ROUND(BI769-BM769,6)</f>
        <v>0</v>
      </c>
      <c r="BO769" s="80">
        <f>IF(BE769=1,ROUND(AS769/60,6),0)</f>
        <v>0</v>
      </c>
      <c r="BP769" s="80">
        <f>ROUND(BJ769-BO769,6)</f>
        <v>0</v>
      </c>
      <c r="BQ769" s="80">
        <f>IF(BE769=1,AW769,0)</f>
        <v>0</v>
      </c>
      <c r="BR769" s="80">
        <f>IF(BE769=1,AX769,0)</f>
        <v>0</v>
      </c>
      <c r="BS769" s="80">
        <f>IF(AND(BE769=1,D769="Malcolm",BA769&gt;0),MIN(BH769,SUMPRODUCT((R_Emp="proMX")*(R_EN&gt;0)*((R_EN-(R_EN&gt;BR769)*(R_EN-BR769))&gt;(R_SN+(R_SN&lt;BQ769)*(BQ769-R_SN)))*((R_EN-(R_EN&gt;BR769)*(R_EN-BR769))-(R_SN+(R_SN&lt;BQ769)*(BQ769-R_SN))))/60),0)</f>
        <v>0</v>
      </c>
      <c r="BT769" s="80">
        <f>IF(AND(BE769=1,D769="proMX"),ROUND(BI769*CFG_RATE+BJ769*CFG_OTRATE,6),0)</f>
        <v>0</v>
      </c>
      <c r="BU769" s="80">
        <f>IF(AND(BD769=1,D769="proMX"),ROUND(AG769/CFG_BLK,6),0)</f>
        <v>0</v>
      </c>
      <c r="BV769" s="80" t="str">
        <f>IF(BF769="Approved",IF(ISNUMBER(T769),INT(T769),INT(B769)),"")</f>
        <v/>
      </c>
      <c r="BW769" s="80">
        <f>IF(ISNUMBER(B769),IF(DB_MON="Todos",1,IF(AND(INT(B769)&gt;=DB_MS,INT(B769)&lt;=DB_ME),1,0)),0)</f>
        <v>0</v>
      </c>
      <c r="BX769" s="80">
        <f>IF(DB_PROJ="Todos",1,IF(E769&amp;""=DB_PROJ&amp;"",1,0))</f>
        <v>1</v>
      </c>
      <c r="BY769" s="80">
        <f>BW769*BX769</f>
        <v>0</v>
      </c>
      <c r="BZ769" s="80" t="str">
        <f>IF(Y769=1,F769&amp;IF(AND(F769&amp;""&lt;&gt;"",E769&amp;""&lt;&gt;"")," · ","")&amp;E769,"")</f>
        <v/>
      </c>
      <c r="CA769" s="80" t="str">
        <f>IF(AND(BD769=1,E769&amp;""&lt;&gt;""),IF(COUNTIFS($E$5:E768,E769,$BD$5:BD768,1)=0,MAX($CA$5:CA768)+1,""),"")</f>
        <v/>
      </c>
      <c r="CB769" s="80" t="str">
        <f>IF(AND(BE769=1,D769="Malcolm",E769&amp;""&lt;&gt;""),IF(COUNTIFS($D$5:D768,"Malcolm",$E$5:E768,E769,$BE$5:BE768,1)=0,MAX($CB$5:CB768)+1,""),"")</f>
        <v/>
      </c>
      <c r="CC769" s="80" t="str">
        <f>IF(AND(BD769=1,D769="proMX",E769&amp;""&lt;&gt;""),IF(COUNTIFS($D$5:D768,"proMX",$E$5:E768,E769,$BD$5:BD768,1)=0,MAX($CC$5:CC768)+1,""),"")</f>
        <v/>
      </c>
      <c r="CD769" s="80" t="str">
        <f>IF(AND(BE769=1,D769="Malcolm",F769&amp;""&lt;&gt;""),IF(COUNTIFS($D$5:D768,"Malcolm",$F$5:F768,F769,$BE$5:BE768,1)=0,MAX($CD$5:CD768)+1,""),"")</f>
        <v/>
      </c>
      <c r="CE769" s="80" t="str">
        <f>IF(AND(BD769=1,D769="proMX",F769&amp;""&lt;&gt;""),IF(COUNTIFS($D$5:D768,"proMX",$F$5:F768,F769,$BD$5:BD768,1)=0,MAX($CE$5:CE768)+1,""),"")</f>
        <v/>
      </c>
      <c r="CF769" s="80" t="str">
        <f>IF(AND(D769="proMX",BD769=1),IF(OR(BF769="Draft",BF769="Submitted",BF769="Returned",BF769="Recall Requested"),MAX($CF$5:CF768)+1,""),"")</f>
        <v/>
      </c>
      <c r="CG769" s="80">
        <f>IF(BD769=0,0,IF(D769="Malcolm",1,MATCH(BF769,{"Draft","Submitted","Approved","Returned","Recall Requested","Cancelled"},0)+1))</f>
        <v>0</v>
      </c>
      <c r="CH769" s="80">
        <f>IF(AND(BF769="Submitted",ISNUMBER(V769)),IF(V769&gt;CFG_MAXD,1,0),0)</f>
        <v>0</v>
      </c>
    </row>
    <row r="770">
      <c r="A770" s="71" t="str">
        <f>IF(Y770=1,ROW()-5,"")</f>
        <v/>
      </c>
      <c r="B770" s="72" t="n"/>
      <c r="C770" s="71" t="str">
        <f>IF(ISNUMBER(B770),CHOOSE(WEEKDAY(B770,2),"Lun","Mar","Mié","Jue","Vie","Sáb","Dom"),"")</f>
        <v/>
      </c>
      <c r="D770" s="73" t="n"/>
      <c r="E770" s="74" t="n"/>
      <c r="F770" s="74" t="n"/>
      <c r="G770" s="74" t="n"/>
      <c r="H770" s="75" t="n"/>
      <c r="I770" s="75" t="n"/>
      <c r="J770" s="76" t="n"/>
      <c r="K770" s="77" t="str">
        <f>IF(AB770=1,ROUND(AG770/60,4),"")</f>
        <v/>
      </c>
      <c r="L770" s="77" t="str">
        <f>IF(BD770=1,ROUND(AP770/60,4),"")</f>
        <v/>
      </c>
      <c r="M770" s="77" t="str">
        <f>IF(BD770=1,ROUND(AQ770/60,4),"")</f>
        <v/>
      </c>
      <c r="N770" s="71" t="str">
        <f>IF(AND(D770="proMX",AB770=1),ROUND(AG770/CFG_BLK,2),"")</f>
        <v/>
      </c>
      <c r="O770" s="77" t="str">
        <f>IF(D770="proMX",IF(BD770=1,ROUND(AG770/60,4),0),"")</f>
        <v/>
      </c>
      <c r="P770" s="78" t="str">
        <f>IF(Y770=0,"",IF(BD770=1,"OK",IF(D770="proMX","Revisar bloques: ","Revisar: ")&amp;BC770))</f>
        <v/>
      </c>
      <c r="Q770" s="78" t="str">
        <f>IF(NOT(ISNUMBER(B770)),"",IF(COUNTIFS(FER_F,INT(B770))&gt;0,"Feriado"&amp;IF(AH770=1," (laborable)"," (no laborable)"),IF(AH770=1,"Laborable",IF(WEEKDAY(B770,2)&gt;5,"Fin de semana","No laborable"))))</f>
        <v/>
      </c>
      <c r="R770" s="73" t="n"/>
      <c r="S770" s="72" t="n"/>
      <c r="T770" s="72" t="n"/>
      <c r="U770" s="74" t="n"/>
      <c r="V770" s="79" t="str">
        <f>IF(AND(D770="proMX",OR(R770="Submitted",R770="Recall Requested"),ISNUMBER(S770)),CFG_TODAY-INT(S770),"")</f>
        <v/>
      </c>
      <c r="W770" s="78" t="str">
        <f>IF(BD770=0,"",IF(BA770&gt;0,"⚠ Se superpone con un registro de la otra empresa",IF(D770="Malcolm",IF(COUNTA(R770,S770,T770)&gt;0,"Estado/fechas proMX se ignoran en Malcolm",""),IF(BF770="Cancelled","Cancelado: excluido de totales",IF(R770="","Sin estado: se trata como Draft",IF(BF770="Submitted",IF(ISNUMBER(V770),IF(V770&gt;CFG_MAXD,"⚠ "&amp;V770&amp;" días en Submitted (máx. "&amp;CFG_MAXD&amp;")",""),"Falta fecha de envío"),IF(BF770="Returned","⚠ Devuelto: corregir y reenviar",IF(BF770="Recall Requested","Retirada solicitada: pendiente",IF(AND(BF770="Approved",NOT(ISNUMBER(T770))),"Falta fecha de aprobación",IF(AND(ISNUMBER(S770),ISNUMBER(T770),T770&lt;S770),"Aprobación anterior al envío","")))))))))</f>
        <v/>
      </c>
      <c r="Y770" s="80">
        <f>IF(COUNTA(B770,D770,E770,F770,G770,H770,I770,J770,R770,S770,T770)&gt;0,1,0)</f>
        <v>0</v>
      </c>
      <c r="Z770" s="80" t="str">
        <f>IF(AND(ISNUMBER(H770),H770&gt;=0,H770&lt;1),ROUND(H770*1440,0),"")</f>
        <v/>
      </c>
      <c r="AA770" s="80" t="str">
        <f>IF(AND(ISNUMBER(I770),I770&gt;=0,I770&lt;1),ROUND(I770*1440,0),"")</f>
        <v/>
      </c>
      <c r="AB770" s="80">
        <f>IF(AND(ISNUMBER(B770),D770&lt;&gt;"",ISNUMBER(Z770),ISNUMBER(AA770)),IF(Z770=AA770,0,1),0)</f>
        <v>0</v>
      </c>
      <c r="AC770" s="80">
        <f>IF(AB770=1,IF(AA770&lt;Z770,1,0),0)</f>
        <v>0</v>
      </c>
      <c r="AD770" s="80">
        <f>IF(AB770=1,IF(AC770=1,1440-Z770+AA770,AA770-Z770),0)</f>
        <v>0</v>
      </c>
      <c r="AE770" s="80">
        <f>IF(J770="",0,IF(ISNUMBER(J770),J770,-1))</f>
        <v>0</v>
      </c>
      <c r="AF770" s="80">
        <f>MIN(MAX(0,AE770),AD770)</f>
        <v>0</v>
      </c>
      <c r="AG770" s="80">
        <f>MAX(0,AD770-MAX(0,AE770))</f>
        <v>0</v>
      </c>
      <c r="AH770" s="80">
        <f>IF(ISNUMBER(B770),IF(AND(INDEX(CFG_WDAYS,WEEKDAY(INT(B770),2))="Sí",IF(D770="proMX",COUNTIFS(FER_F,INT(B770),FER_NLP,"Sí"),COUNTIFS(FER_F,INT(B770),FER_NLM,"Sí"))=0),1,0),0)</f>
        <v>0</v>
      </c>
      <c r="AI770" s="80">
        <f>IF(AC770=1,IF(AND(INDEX(CFG_WDAYS,WEEKDAY(INT(B770)+1,2))="Sí",IF(D770="proMX",COUNTIFS(FER_F,INT(B770)+1,FER_NLP,"Sí"),COUNTIFS(FER_F,INT(B770)+1,FER_NLM,"Sí"))=0),1,0),0)</f>
        <v>0</v>
      </c>
      <c r="AJ770" s="80">
        <f>IF(AC770=1,1440-Z770,AD770)</f>
        <v>0</v>
      </c>
      <c r="AK770" s="80">
        <f>IF(AND(AB770=1,AH770=1),MAX(0,MIN(IF(AC770=1,1440,AA770),CFG_WEM)-MAX(Z770,CFG_WSM)),0)</f>
        <v>0</v>
      </c>
      <c r="AL770" s="80">
        <f>IF(AND(AC770=1,AI770=1),MAX(0,MIN(AA770,CFG_WEM)-CFG_WSM),0)</f>
        <v>0</v>
      </c>
      <c r="AM770" s="80">
        <f>AK770+AL770</f>
        <v>0</v>
      </c>
      <c r="AN770" s="80">
        <f>IF(CFG_BRK="Proporcional",IF(AD770=0,0,AF770*AM770/AD770),IF(CFG_BRK="Extras primero",MIN(AM770,MAX(0,AF770-(AD770-AM770))),MIN(AF770,AM770)))</f>
        <v>0</v>
      </c>
      <c r="AO770" s="80">
        <f>AF770-AN770</f>
        <v>0</v>
      </c>
      <c r="AP770" s="80">
        <f>AM770-AN770</f>
        <v>0</v>
      </c>
      <c r="AQ770" s="80">
        <f>AD770-AM770-AO770</f>
        <v>0</v>
      </c>
      <c r="AR770" s="80">
        <f>IF(AM770=0,0,AK770-AN770*AK770/AM770)</f>
        <v>0</v>
      </c>
      <c r="AS770" s="80">
        <f>IF(AD770-AM770=0,0,(AJ770-AK770)-AO770*(AJ770-AK770)/(AD770-AM770))</f>
        <v>0</v>
      </c>
      <c r="AT770" s="80" t="str">
        <f>IF(AC770=1,INT(B770)+1,"")</f>
        <v/>
      </c>
      <c r="AU770" s="80">
        <f>IF(AND(D770="proMX",R770="Cancelled"),0,1)</f>
        <v>1</v>
      </c>
      <c r="AV770" s="80">
        <f>IF(AND(AB770=1,AU770=1),IF(COUNTIFS($D$5:D769,D770,$B$5:B769,B770,$Z$5:Z769,Z770,$AA$5:AA769,AA770,$F$5:F769,F770&amp;"",$AU$5:AU769,1)&gt;0,1,0),0)</f>
        <v>0</v>
      </c>
      <c r="AW770" s="80" t="str">
        <f>IF(AB770=1,INT(B770)*1440+Z770,"")</f>
        <v/>
      </c>
      <c r="AX770" s="80" t="str">
        <f>IF(AB770=1,AW770+AD770,"")</f>
        <v/>
      </c>
      <c r="AY770" s="80">
        <f>IF(AND(AB770=1,AV770=0,AU770=1),1,0)</f>
        <v>0</v>
      </c>
      <c r="AZ770" s="80">
        <f>IF(AY770=1,COUNTIFS(R_Emp,D770,R_SAbs,"&lt;"&amp;AX770,R_EAbs,"&gt;"&amp;AW770,R_OKey,1)-1,0)</f>
        <v>0</v>
      </c>
      <c r="BA770" s="80">
        <f>IF(AY770=1,COUNTIFS(R_Emp,"&lt;&gt;"&amp;D770,R_SAbs,"&lt;"&amp;AX770,R_EAbs,"&gt;"&amp;AW770,R_OKey,1),0)</f>
        <v>0</v>
      </c>
      <c r="BB770" s="80">
        <f>IF(AND(AB770=1,D770="proMX"),IF(AND(MOD(Z770,CFG_BLK)=0,MOD(AA770,CFG_BLK)=0,MOD(AG770,CFG_BLK)=0,AG770&gt;0),1,0),1)</f>
        <v>1</v>
      </c>
      <c r="BC770" s="80" t="str">
        <f>IF(Y770=0,"",IF(NOT(ISNUMBER(B770)),"Falta fecha o fecha inválida",IF(D770="","Falta empresa",IF(AND(D770&lt;&gt;"Malcolm",D770&lt;&gt;"proMX"),"Empresa inválida",IF(OR(INT(B770)&lt;CFG_PSTART,INT(B770)&gt;CFG_PEND),"Fecha fuera del período",IF(OR(NOT(ISNUMBER(Z770)),NOT(ISNUMBER(AA770))),"Falta hora inicio/fin o formato inválido",IF(AB770=0,"Hora inicio = hora fin",IF(AE770&lt;0,"Descanso inválido",IF(AE770&gt;=AD770,"Descanso ≥ duración",IF(AV770=1,"Registro duplicado",IF(AZ770&gt;0,"Se superpone con otro registro "&amp;D770,IF(BB770=0,"inicio, fin y duración neta deben ser múltiplos de "&amp;CFG_BLK&amp;" min",""))))))))))))</f>
        <v/>
      </c>
      <c r="BD770" s="80">
        <f>IF(AND(Y770=1,BC770=""),1,0)</f>
        <v>0</v>
      </c>
      <c r="BE770" s="80">
        <f>IF(AND(BD770=1,AU770=1),1,0)</f>
        <v>0</v>
      </c>
      <c r="BF770" s="80" t="str">
        <f>IF(AND(D770="proMX",BD770=1),IF(R770="","Draft",R770),"")</f>
        <v/>
      </c>
      <c r="BG770" s="80">
        <f>IF(BD770=1,ROUND(AG770/60,6),0)</f>
        <v>0</v>
      </c>
      <c r="BH770" s="80">
        <f>IF(BE770=1,ROUND(AG770/60,6),0)</f>
        <v>0</v>
      </c>
      <c r="BI770" s="80">
        <f>IF(BE770=1,ROUND(AP770/60,6),0)</f>
        <v>0</v>
      </c>
      <c r="BJ770" s="80">
        <f>IF(BE770=1,ROUND(AQ770/60,6),0)</f>
        <v>0</v>
      </c>
      <c r="BK770" s="80">
        <f>IF(BE770=1,ROUND((AR770+AS770)/60,6),0)</f>
        <v>0</v>
      </c>
      <c r="BL770" s="80">
        <f>ROUND(BH770-BK770,6)</f>
        <v>0</v>
      </c>
      <c r="BM770" s="80">
        <f>IF(BE770=1,ROUND(AR770/60,6),0)</f>
        <v>0</v>
      </c>
      <c r="BN770" s="80">
        <f>ROUND(BI770-BM770,6)</f>
        <v>0</v>
      </c>
      <c r="BO770" s="80">
        <f>IF(BE770=1,ROUND(AS770/60,6),0)</f>
        <v>0</v>
      </c>
      <c r="BP770" s="80">
        <f>ROUND(BJ770-BO770,6)</f>
        <v>0</v>
      </c>
      <c r="BQ770" s="80">
        <f>IF(BE770=1,AW770,0)</f>
        <v>0</v>
      </c>
      <c r="BR770" s="80">
        <f>IF(BE770=1,AX770,0)</f>
        <v>0</v>
      </c>
      <c r="BS770" s="80">
        <f>IF(AND(BE770=1,D770="Malcolm",BA770&gt;0),MIN(BH770,SUMPRODUCT((R_Emp="proMX")*(R_EN&gt;0)*((R_EN-(R_EN&gt;BR770)*(R_EN-BR770))&gt;(R_SN+(R_SN&lt;BQ770)*(BQ770-R_SN)))*((R_EN-(R_EN&gt;BR770)*(R_EN-BR770))-(R_SN+(R_SN&lt;BQ770)*(BQ770-R_SN))))/60),0)</f>
        <v>0</v>
      </c>
      <c r="BT770" s="80">
        <f>IF(AND(BE770=1,D770="proMX"),ROUND(BI770*CFG_RATE+BJ770*CFG_OTRATE,6),0)</f>
        <v>0</v>
      </c>
      <c r="BU770" s="80">
        <f>IF(AND(BD770=1,D770="proMX"),ROUND(AG770/CFG_BLK,6),0)</f>
        <v>0</v>
      </c>
      <c r="BV770" s="80" t="str">
        <f>IF(BF770="Approved",IF(ISNUMBER(T770),INT(T770),INT(B770)),"")</f>
        <v/>
      </c>
      <c r="BW770" s="80">
        <f>IF(ISNUMBER(B770),IF(DB_MON="Todos",1,IF(AND(INT(B770)&gt;=DB_MS,INT(B770)&lt;=DB_ME),1,0)),0)</f>
        <v>0</v>
      </c>
      <c r="BX770" s="80">
        <f>IF(DB_PROJ="Todos",1,IF(E770&amp;""=DB_PROJ&amp;"",1,0))</f>
        <v>1</v>
      </c>
      <c r="BY770" s="80">
        <f>BW770*BX770</f>
        <v>0</v>
      </c>
      <c r="BZ770" s="80" t="str">
        <f>IF(Y770=1,F770&amp;IF(AND(F770&amp;""&lt;&gt;"",E770&amp;""&lt;&gt;"")," · ","")&amp;E770,"")</f>
        <v/>
      </c>
      <c r="CA770" s="80" t="str">
        <f>IF(AND(BD770=1,E770&amp;""&lt;&gt;""),IF(COUNTIFS($E$5:E769,E770,$BD$5:BD769,1)=0,MAX($CA$5:CA769)+1,""),"")</f>
        <v/>
      </c>
      <c r="CB770" s="80" t="str">
        <f>IF(AND(BE770=1,D770="Malcolm",E770&amp;""&lt;&gt;""),IF(COUNTIFS($D$5:D769,"Malcolm",$E$5:E769,E770,$BE$5:BE769,1)=0,MAX($CB$5:CB769)+1,""),"")</f>
        <v/>
      </c>
      <c r="CC770" s="80" t="str">
        <f>IF(AND(BD770=1,D770="proMX",E770&amp;""&lt;&gt;""),IF(COUNTIFS($D$5:D769,"proMX",$E$5:E769,E770,$BD$5:BD769,1)=0,MAX($CC$5:CC769)+1,""),"")</f>
        <v/>
      </c>
      <c r="CD770" s="80" t="str">
        <f>IF(AND(BE770=1,D770="Malcolm",F770&amp;""&lt;&gt;""),IF(COUNTIFS($D$5:D769,"Malcolm",$F$5:F769,F770,$BE$5:BE769,1)=0,MAX($CD$5:CD769)+1,""),"")</f>
        <v/>
      </c>
      <c r="CE770" s="80" t="str">
        <f>IF(AND(BD770=1,D770="proMX",F770&amp;""&lt;&gt;""),IF(COUNTIFS($D$5:D769,"proMX",$F$5:F769,F770,$BD$5:BD769,1)=0,MAX($CE$5:CE769)+1,""),"")</f>
        <v/>
      </c>
      <c r="CF770" s="80" t="str">
        <f>IF(AND(D770="proMX",BD770=1),IF(OR(BF770="Draft",BF770="Submitted",BF770="Returned",BF770="Recall Requested"),MAX($CF$5:CF769)+1,""),"")</f>
        <v/>
      </c>
      <c r="CG770" s="80">
        <f>IF(BD770=0,0,IF(D770="Malcolm",1,MATCH(BF770,{"Draft","Submitted","Approved","Returned","Recall Requested","Cancelled"},0)+1))</f>
        <v>0</v>
      </c>
      <c r="CH770" s="80">
        <f>IF(AND(BF770="Submitted",ISNUMBER(V770)),IF(V770&gt;CFG_MAXD,1,0),0)</f>
        <v>0</v>
      </c>
    </row>
    <row r="771">
      <c r="A771" s="71" t="str">
        <f>IF(Y771=1,ROW()-5,"")</f>
        <v/>
      </c>
      <c r="B771" s="72" t="n"/>
      <c r="C771" s="71" t="str">
        <f>IF(ISNUMBER(B771),CHOOSE(WEEKDAY(B771,2),"Lun","Mar","Mié","Jue","Vie","Sáb","Dom"),"")</f>
        <v/>
      </c>
      <c r="D771" s="73" t="n"/>
      <c r="E771" s="74" t="n"/>
      <c r="F771" s="74" t="n"/>
      <c r="G771" s="74" t="n"/>
      <c r="H771" s="75" t="n"/>
      <c r="I771" s="75" t="n"/>
      <c r="J771" s="76" t="n"/>
      <c r="K771" s="77" t="str">
        <f>IF(AB771=1,ROUND(AG771/60,4),"")</f>
        <v/>
      </c>
      <c r="L771" s="77" t="str">
        <f>IF(BD771=1,ROUND(AP771/60,4),"")</f>
        <v/>
      </c>
      <c r="M771" s="77" t="str">
        <f>IF(BD771=1,ROUND(AQ771/60,4),"")</f>
        <v/>
      </c>
      <c r="N771" s="71" t="str">
        <f>IF(AND(D771="proMX",AB771=1),ROUND(AG771/CFG_BLK,2),"")</f>
        <v/>
      </c>
      <c r="O771" s="77" t="str">
        <f>IF(D771="proMX",IF(BD771=1,ROUND(AG771/60,4),0),"")</f>
        <v/>
      </c>
      <c r="P771" s="78" t="str">
        <f>IF(Y771=0,"",IF(BD771=1,"OK",IF(D771="proMX","Revisar bloques: ","Revisar: ")&amp;BC771))</f>
        <v/>
      </c>
      <c r="Q771" s="78" t="str">
        <f>IF(NOT(ISNUMBER(B771)),"",IF(COUNTIFS(FER_F,INT(B771))&gt;0,"Feriado"&amp;IF(AH771=1," (laborable)"," (no laborable)"),IF(AH771=1,"Laborable",IF(WEEKDAY(B771,2)&gt;5,"Fin de semana","No laborable"))))</f>
        <v/>
      </c>
      <c r="R771" s="73" t="n"/>
      <c r="S771" s="72" t="n"/>
      <c r="T771" s="72" t="n"/>
      <c r="U771" s="74" t="n"/>
      <c r="V771" s="79" t="str">
        <f>IF(AND(D771="proMX",OR(R771="Submitted",R771="Recall Requested"),ISNUMBER(S771)),CFG_TODAY-INT(S771),"")</f>
        <v/>
      </c>
      <c r="W771" s="78" t="str">
        <f>IF(BD771=0,"",IF(BA771&gt;0,"⚠ Se superpone con un registro de la otra empresa",IF(D771="Malcolm",IF(COUNTA(R771,S771,T771)&gt;0,"Estado/fechas proMX se ignoran en Malcolm",""),IF(BF771="Cancelled","Cancelado: excluido de totales",IF(R771="","Sin estado: se trata como Draft",IF(BF771="Submitted",IF(ISNUMBER(V771),IF(V771&gt;CFG_MAXD,"⚠ "&amp;V771&amp;" días en Submitted (máx. "&amp;CFG_MAXD&amp;")",""),"Falta fecha de envío"),IF(BF771="Returned","⚠ Devuelto: corregir y reenviar",IF(BF771="Recall Requested","Retirada solicitada: pendiente",IF(AND(BF771="Approved",NOT(ISNUMBER(T771))),"Falta fecha de aprobación",IF(AND(ISNUMBER(S771),ISNUMBER(T771),T771&lt;S771),"Aprobación anterior al envío","")))))))))</f>
        <v/>
      </c>
      <c r="Y771" s="80">
        <f>IF(COUNTA(B771,D771,E771,F771,G771,H771,I771,J771,R771,S771,T771)&gt;0,1,0)</f>
        <v>0</v>
      </c>
      <c r="Z771" s="80" t="str">
        <f>IF(AND(ISNUMBER(H771),H771&gt;=0,H771&lt;1),ROUND(H771*1440,0),"")</f>
        <v/>
      </c>
      <c r="AA771" s="80" t="str">
        <f>IF(AND(ISNUMBER(I771),I771&gt;=0,I771&lt;1),ROUND(I771*1440,0),"")</f>
        <v/>
      </c>
      <c r="AB771" s="80">
        <f>IF(AND(ISNUMBER(B771),D771&lt;&gt;"",ISNUMBER(Z771),ISNUMBER(AA771)),IF(Z771=AA771,0,1),0)</f>
        <v>0</v>
      </c>
      <c r="AC771" s="80">
        <f>IF(AB771=1,IF(AA771&lt;Z771,1,0),0)</f>
        <v>0</v>
      </c>
      <c r="AD771" s="80">
        <f>IF(AB771=1,IF(AC771=1,1440-Z771+AA771,AA771-Z771),0)</f>
        <v>0</v>
      </c>
      <c r="AE771" s="80">
        <f>IF(J771="",0,IF(ISNUMBER(J771),J771,-1))</f>
        <v>0</v>
      </c>
      <c r="AF771" s="80">
        <f>MIN(MAX(0,AE771),AD771)</f>
        <v>0</v>
      </c>
      <c r="AG771" s="80">
        <f>MAX(0,AD771-MAX(0,AE771))</f>
        <v>0</v>
      </c>
      <c r="AH771" s="80">
        <f>IF(ISNUMBER(B771),IF(AND(INDEX(CFG_WDAYS,WEEKDAY(INT(B771),2))="Sí",IF(D771="proMX",COUNTIFS(FER_F,INT(B771),FER_NLP,"Sí"),COUNTIFS(FER_F,INT(B771),FER_NLM,"Sí"))=0),1,0),0)</f>
        <v>0</v>
      </c>
      <c r="AI771" s="80">
        <f>IF(AC771=1,IF(AND(INDEX(CFG_WDAYS,WEEKDAY(INT(B771)+1,2))="Sí",IF(D771="proMX",COUNTIFS(FER_F,INT(B771)+1,FER_NLP,"Sí"),COUNTIFS(FER_F,INT(B771)+1,FER_NLM,"Sí"))=0),1,0),0)</f>
        <v>0</v>
      </c>
      <c r="AJ771" s="80">
        <f>IF(AC771=1,1440-Z771,AD771)</f>
        <v>0</v>
      </c>
      <c r="AK771" s="80">
        <f>IF(AND(AB771=1,AH771=1),MAX(0,MIN(IF(AC771=1,1440,AA771),CFG_WEM)-MAX(Z771,CFG_WSM)),0)</f>
        <v>0</v>
      </c>
      <c r="AL771" s="80">
        <f>IF(AND(AC771=1,AI771=1),MAX(0,MIN(AA771,CFG_WEM)-CFG_WSM),0)</f>
        <v>0</v>
      </c>
      <c r="AM771" s="80">
        <f>AK771+AL771</f>
        <v>0</v>
      </c>
      <c r="AN771" s="80">
        <f>IF(CFG_BRK="Proporcional",IF(AD771=0,0,AF771*AM771/AD771),IF(CFG_BRK="Extras primero",MIN(AM771,MAX(0,AF771-(AD771-AM771))),MIN(AF771,AM771)))</f>
        <v>0</v>
      </c>
      <c r="AO771" s="80">
        <f>AF771-AN771</f>
        <v>0</v>
      </c>
      <c r="AP771" s="80">
        <f>AM771-AN771</f>
        <v>0</v>
      </c>
      <c r="AQ771" s="80">
        <f>AD771-AM771-AO771</f>
        <v>0</v>
      </c>
      <c r="AR771" s="80">
        <f>IF(AM771=0,0,AK771-AN771*AK771/AM771)</f>
        <v>0</v>
      </c>
      <c r="AS771" s="80">
        <f>IF(AD771-AM771=0,0,(AJ771-AK771)-AO771*(AJ771-AK771)/(AD771-AM771))</f>
        <v>0</v>
      </c>
      <c r="AT771" s="80" t="str">
        <f>IF(AC771=1,INT(B771)+1,"")</f>
        <v/>
      </c>
      <c r="AU771" s="80">
        <f>IF(AND(D771="proMX",R771="Cancelled"),0,1)</f>
        <v>1</v>
      </c>
      <c r="AV771" s="80">
        <f>IF(AND(AB771=1,AU771=1),IF(COUNTIFS($D$5:D770,D771,$B$5:B770,B771,$Z$5:Z770,Z771,$AA$5:AA770,AA771,$F$5:F770,F771&amp;"",$AU$5:AU770,1)&gt;0,1,0),0)</f>
        <v>0</v>
      </c>
      <c r="AW771" s="80" t="str">
        <f>IF(AB771=1,INT(B771)*1440+Z771,"")</f>
        <v/>
      </c>
      <c r="AX771" s="80" t="str">
        <f>IF(AB771=1,AW771+AD771,"")</f>
        <v/>
      </c>
      <c r="AY771" s="80">
        <f>IF(AND(AB771=1,AV771=0,AU771=1),1,0)</f>
        <v>0</v>
      </c>
      <c r="AZ771" s="80">
        <f>IF(AY771=1,COUNTIFS(R_Emp,D771,R_SAbs,"&lt;"&amp;AX771,R_EAbs,"&gt;"&amp;AW771,R_OKey,1)-1,0)</f>
        <v>0</v>
      </c>
      <c r="BA771" s="80">
        <f>IF(AY771=1,COUNTIFS(R_Emp,"&lt;&gt;"&amp;D771,R_SAbs,"&lt;"&amp;AX771,R_EAbs,"&gt;"&amp;AW771,R_OKey,1),0)</f>
        <v>0</v>
      </c>
      <c r="BB771" s="80">
        <f>IF(AND(AB771=1,D771="proMX"),IF(AND(MOD(Z771,CFG_BLK)=0,MOD(AA771,CFG_BLK)=0,MOD(AG771,CFG_BLK)=0,AG771&gt;0),1,0),1)</f>
        <v>1</v>
      </c>
      <c r="BC771" s="80" t="str">
        <f>IF(Y771=0,"",IF(NOT(ISNUMBER(B771)),"Falta fecha o fecha inválida",IF(D771="","Falta empresa",IF(AND(D771&lt;&gt;"Malcolm",D771&lt;&gt;"proMX"),"Empresa inválida",IF(OR(INT(B771)&lt;CFG_PSTART,INT(B771)&gt;CFG_PEND),"Fecha fuera del período",IF(OR(NOT(ISNUMBER(Z771)),NOT(ISNUMBER(AA771))),"Falta hora inicio/fin o formato inválido",IF(AB771=0,"Hora inicio = hora fin",IF(AE771&lt;0,"Descanso inválido",IF(AE771&gt;=AD771,"Descanso ≥ duración",IF(AV771=1,"Registro duplicado",IF(AZ771&gt;0,"Se superpone con otro registro "&amp;D771,IF(BB771=0,"inicio, fin y duración neta deben ser múltiplos de "&amp;CFG_BLK&amp;" min",""))))))))))))</f>
        <v/>
      </c>
      <c r="BD771" s="80">
        <f>IF(AND(Y771=1,BC771=""),1,0)</f>
        <v>0</v>
      </c>
      <c r="BE771" s="80">
        <f>IF(AND(BD771=1,AU771=1),1,0)</f>
        <v>0</v>
      </c>
      <c r="BF771" s="80" t="str">
        <f>IF(AND(D771="proMX",BD771=1),IF(R771="","Draft",R771),"")</f>
        <v/>
      </c>
      <c r="BG771" s="80">
        <f>IF(BD771=1,ROUND(AG771/60,6),0)</f>
        <v>0</v>
      </c>
      <c r="BH771" s="80">
        <f>IF(BE771=1,ROUND(AG771/60,6),0)</f>
        <v>0</v>
      </c>
      <c r="BI771" s="80">
        <f>IF(BE771=1,ROUND(AP771/60,6),0)</f>
        <v>0</v>
      </c>
      <c r="BJ771" s="80">
        <f>IF(BE771=1,ROUND(AQ771/60,6),0)</f>
        <v>0</v>
      </c>
      <c r="BK771" s="80">
        <f>IF(BE771=1,ROUND((AR771+AS771)/60,6),0)</f>
        <v>0</v>
      </c>
      <c r="BL771" s="80">
        <f>ROUND(BH771-BK771,6)</f>
        <v>0</v>
      </c>
      <c r="BM771" s="80">
        <f>IF(BE771=1,ROUND(AR771/60,6),0)</f>
        <v>0</v>
      </c>
      <c r="BN771" s="80">
        <f>ROUND(BI771-BM771,6)</f>
        <v>0</v>
      </c>
      <c r="BO771" s="80">
        <f>IF(BE771=1,ROUND(AS771/60,6),0)</f>
        <v>0</v>
      </c>
      <c r="BP771" s="80">
        <f>ROUND(BJ771-BO771,6)</f>
        <v>0</v>
      </c>
      <c r="BQ771" s="80">
        <f>IF(BE771=1,AW771,0)</f>
        <v>0</v>
      </c>
      <c r="BR771" s="80">
        <f>IF(BE771=1,AX771,0)</f>
        <v>0</v>
      </c>
      <c r="BS771" s="80">
        <f>IF(AND(BE771=1,D771="Malcolm",BA771&gt;0),MIN(BH771,SUMPRODUCT((R_Emp="proMX")*(R_EN&gt;0)*((R_EN-(R_EN&gt;BR771)*(R_EN-BR771))&gt;(R_SN+(R_SN&lt;BQ771)*(BQ771-R_SN)))*((R_EN-(R_EN&gt;BR771)*(R_EN-BR771))-(R_SN+(R_SN&lt;BQ771)*(BQ771-R_SN))))/60),0)</f>
        <v>0</v>
      </c>
      <c r="BT771" s="80">
        <f>IF(AND(BE771=1,D771="proMX"),ROUND(BI771*CFG_RATE+BJ771*CFG_OTRATE,6),0)</f>
        <v>0</v>
      </c>
      <c r="BU771" s="80">
        <f>IF(AND(BD771=1,D771="proMX"),ROUND(AG771/CFG_BLK,6),0)</f>
        <v>0</v>
      </c>
      <c r="BV771" s="80" t="str">
        <f>IF(BF771="Approved",IF(ISNUMBER(T771),INT(T771),INT(B771)),"")</f>
        <v/>
      </c>
      <c r="BW771" s="80">
        <f>IF(ISNUMBER(B771),IF(DB_MON="Todos",1,IF(AND(INT(B771)&gt;=DB_MS,INT(B771)&lt;=DB_ME),1,0)),0)</f>
        <v>0</v>
      </c>
      <c r="BX771" s="80">
        <f>IF(DB_PROJ="Todos",1,IF(E771&amp;""=DB_PROJ&amp;"",1,0))</f>
        <v>1</v>
      </c>
      <c r="BY771" s="80">
        <f>BW771*BX771</f>
        <v>0</v>
      </c>
      <c r="BZ771" s="80" t="str">
        <f>IF(Y771=1,F771&amp;IF(AND(F771&amp;""&lt;&gt;"",E771&amp;""&lt;&gt;"")," · ","")&amp;E771,"")</f>
        <v/>
      </c>
      <c r="CA771" s="80" t="str">
        <f>IF(AND(BD771=1,E771&amp;""&lt;&gt;""),IF(COUNTIFS($E$5:E770,E771,$BD$5:BD770,1)=0,MAX($CA$5:CA770)+1,""),"")</f>
        <v/>
      </c>
      <c r="CB771" s="80" t="str">
        <f>IF(AND(BE771=1,D771="Malcolm",E771&amp;""&lt;&gt;""),IF(COUNTIFS($D$5:D770,"Malcolm",$E$5:E770,E771,$BE$5:BE770,1)=0,MAX($CB$5:CB770)+1,""),"")</f>
        <v/>
      </c>
      <c r="CC771" s="80" t="str">
        <f>IF(AND(BD771=1,D771="proMX",E771&amp;""&lt;&gt;""),IF(COUNTIFS($D$5:D770,"proMX",$E$5:E770,E771,$BD$5:BD770,1)=0,MAX($CC$5:CC770)+1,""),"")</f>
        <v/>
      </c>
      <c r="CD771" s="80" t="str">
        <f>IF(AND(BE771=1,D771="Malcolm",F771&amp;""&lt;&gt;""),IF(COUNTIFS($D$5:D770,"Malcolm",$F$5:F770,F771,$BE$5:BE770,1)=0,MAX($CD$5:CD770)+1,""),"")</f>
        <v/>
      </c>
      <c r="CE771" s="80" t="str">
        <f>IF(AND(BD771=1,D771="proMX",F771&amp;""&lt;&gt;""),IF(COUNTIFS($D$5:D770,"proMX",$F$5:F770,F771,$BD$5:BD770,1)=0,MAX($CE$5:CE770)+1,""),"")</f>
        <v/>
      </c>
      <c r="CF771" s="80" t="str">
        <f>IF(AND(D771="proMX",BD771=1),IF(OR(BF771="Draft",BF771="Submitted",BF771="Returned",BF771="Recall Requested"),MAX($CF$5:CF770)+1,""),"")</f>
        <v/>
      </c>
      <c r="CG771" s="80">
        <f>IF(BD771=0,0,IF(D771="Malcolm",1,MATCH(BF771,{"Draft","Submitted","Approved","Returned","Recall Requested","Cancelled"},0)+1))</f>
        <v>0</v>
      </c>
      <c r="CH771" s="80">
        <f>IF(AND(BF771="Submitted",ISNUMBER(V771)),IF(V771&gt;CFG_MAXD,1,0),0)</f>
        <v>0</v>
      </c>
    </row>
    <row r="772">
      <c r="A772" s="71" t="str">
        <f>IF(Y772=1,ROW()-5,"")</f>
        <v/>
      </c>
      <c r="B772" s="72" t="n"/>
      <c r="C772" s="71" t="str">
        <f>IF(ISNUMBER(B772),CHOOSE(WEEKDAY(B772,2),"Lun","Mar","Mié","Jue","Vie","Sáb","Dom"),"")</f>
        <v/>
      </c>
      <c r="D772" s="73" t="n"/>
      <c r="E772" s="74" t="n"/>
      <c r="F772" s="74" t="n"/>
      <c r="G772" s="74" t="n"/>
      <c r="H772" s="75" t="n"/>
      <c r="I772" s="75" t="n"/>
      <c r="J772" s="76" t="n"/>
      <c r="K772" s="77" t="str">
        <f>IF(AB772=1,ROUND(AG772/60,4),"")</f>
        <v/>
      </c>
      <c r="L772" s="77" t="str">
        <f>IF(BD772=1,ROUND(AP772/60,4),"")</f>
        <v/>
      </c>
      <c r="M772" s="77" t="str">
        <f>IF(BD772=1,ROUND(AQ772/60,4),"")</f>
        <v/>
      </c>
      <c r="N772" s="71" t="str">
        <f>IF(AND(D772="proMX",AB772=1),ROUND(AG772/CFG_BLK,2),"")</f>
        <v/>
      </c>
      <c r="O772" s="77" t="str">
        <f>IF(D772="proMX",IF(BD772=1,ROUND(AG772/60,4),0),"")</f>
        <v/>
      </c>
      <c r="P772" s="78" t="str">
        <f>IF(Y772=0,"",IF(BD772=1,"OK",IF(D772="proMX","Revisar bloques: ","Revisar: ")&amp;BC772))</f>
        <v/>
      </c>
      <c r="Q772" s="78" t="str">
        <f>IF(NOT(ISNUMBER(B772)),"",IF(COUNTIFS(FER_F,INT(B772))&gt;0,"Feriado"&amp;IF(AH772=1," (laborable)"," (no laborable)"),IF(AH772=1,"Laborable",IF(WEEKDAY(B772,2)&gt;5,"Fin de semana","No laborable"))))</f>
        <v/>
      </c>
      <c r="R772" s="73" t="n"/>
      <c r="S772" s="72" t="n"/>
      <c r="T772" s="72" t="n"/>
      <c r="U772" s="74" t="n"/>
      <c r="V772" s="79" t="str">
        <f>IF(AND(D772="proMX",OR(R772="Submitted",R772="Recall Requested"),ISNUMBER(S772)),CFG_TODAY-INT(S772),"")</f>
        <v/>
      </c>
      <c r="W772" s="78" t="str">
        <f>IF(BD772=0,"",IF(BA772&gt;0,"⚠ Se superpone con un registro de la otra empresa",IF(D772="Malcolm",IF(COUNTA(R772,S772,T772)&gt;0,"Estado/fechas proMX se ignoran en Malcolm",""),IF(BF772="Cancelled","Cancelado: excluido de totales",IF(R772="","Sin estado: se trata como Draft",IF(BF772="Submitted",IF(ISNUMBER(V772),IF(V772&gt;CFG_MAXD,"⚠ "&amp;V772&amp;" días en Submitted (máx. "&amp;CFG_MAXD&amp;")",""),"Falta fecha de envío"),IF(BF772="Returned","⚠ Devuelto: corregir y reenviar",IF(BF772="Recall Requested","Retirada solicitada: pendiente",IF(AND(BF772="Approved",NOT(ISNUMBER(T772))),"Falta fecha de aprobación",IF(AND(ISNUMBER(S772),ISNUMBER(T772),T772&lt;S772),"Aprobación anterior al envío","")))))))))</f>
        <v/>
      </c>
      <c r="Y772" s="80">
        <f>IF(COUNTA(B772,D772,E772,F772,G772,H772,I772,J772,R772,S772,T772)&gt;0,1,0)</f>
        <v>0</v>
      </c>
      <c r="Z772" s="80" t="str">
        <f>IF(AND(ISNUMBER(H772),H772&gt;=0,H772&lt;1),ROUND(H772*1440,0),"")</f>
        <v/>
      </c>
      <c r="AA772" s="80" t="str">
        <f>IF(AND(ISNUMBER(I772),I772&gt;=0,I772&lt;1),ROUND(I772*1440,0),"")</f>
        <v/>
      </c>
      <c r="AB772" s="80">
        <f>IF(AND(ISNUMBER(B772),D772&lt;&gt;"",ISNUMBER(Z772),ISNUMBER(AA772)),IF(Z772=AA772,0,1),0)</f>
        <v>0</v>
      </c>
      <c r="AC772" s="80">
        <f>IF(AB772=1,IF(AA772&lt;Z772,1,0),0)</f>
        <v>0</v>
      </c>
      <c r="AD772" s="80">
        <f>IF(AB772=1,IF(AC772=1,1440-Z772+AA772,AA772-Z772),0)</f>
        <v>0</v>
      </c>
      <c r="AE772" s="80">
        <f>IF(J772="",0,IF(ISNUMBER(J772),J772,-1))</f>
        <v>0</v>
      </c>
      <c r="AF772" s="80">
        <f>MIN(MAX(0,AE772),AD772)</f>
        <v>0</v>
      </c>
      <c r="AG772" s="80">
        <f>MAX(0,AD772-MAX(0,AE772))</f>
        <v>0</v>
      </c>
      <c r="AH772" s="80">
        <f>IF(ISNUMBER(B772),IF(AND(INDEX(CFG_WDAYS,WEEKDAY(INT(B772),2))="Sí",IF(D772="proMX",COUNTIFS(FER_F,INT(B772),FER_NLP,"Sí"),COUNTIFS(FER_F,INT(B772),FER_NLM,"Sí"))=0),1,0),0)</f>
        <v>0</v>
      </c>
      <c r="AI772" s="80">
        <f>IF(AC772=1,IF(AND(INDEX(CFG_WDAYS,WEEKDAY(INT(B772)+1,2))="Sí",IF(D772="proMX",COUNTIFS(FER_F,INT(B772)+1,FER_NLP,"Sí"),COUNTIFS(FER_F,INT(B772)+1,FER_NLM,"Sí"))=0),1,0),0)</f>
        <v>0</v>
      </c>
      <c r="AJ772" s="80">
        <f>IF(AC772=1,1440-Z772,AD772)</f>
        <v>0</v>
      </c>
      <c r="AK772" s="80">
        <f>IF(AND(AB772=1,AH772=1),MAX(0,MIN(IF(AC772=1,1440,AA772),CFG_WEM)-MAX(Z772,CFG_WSM)),0)</f>
        <v>0</v>
      </c>
      <c r="AL772" s="80">
        <f>IF(AND(AC772=1,AI772=1),MAX(0,MIN(AA772,CFG_WEM)-CFG_WSM),0)</f>
        <v>0</v>
      </c>
      <c r="AM772" s="80">
        <f>AK772+AL772</f>
        <v>0</v>
      </c>
      <c r="AN772" s="80">
        <f>IF(CFG_BRK="Proporcional",IF(AD772=0,0,AF772*AM772/AD772),IF(CFG_BRK="Extras primero",MIN(AM772,MAX(0,AF772-(AD772-AM772))),MIN(AF772,AM772)))</f>
        <v>0</v>
      </c>
      <c r="AO772" s="80">
        <f>AF772-AN772</f>
        <v>0</v>
      </c>
      <c r="AP772" s="80">
        <f>AM772-AN772</f>
        <v>0</v>
      </c>
      <c r="AQ772" s="80">
        <f>AD772-AM772-AO772</f>
        <v>0</v>
      </c>
      <c r="AR772" s="80">
        <f>IF(AM772=0,0,AK772-AN772*AK772/AM772)</f>
        <v>0</v>
      </c>
      <c r="AS772" s="80">
        <f>IF(AD772-AM772=0,0,(AJ772-AK772)-AO772*(AJ772-AK772)/(AD772-AM772))</f>
        <v>0</v>
      </c>
      <c r="AT772" s="80" t="str">
        <f>IF(AC772=1,INT(B772)+1,"")</f>
        <v/>
      </c>
      <c r="AU772" s="80">
        <f>IF(AND(D772="proMX",R772="Cancelled"),0,1)</f>
        <v>1</v>
      </c>
      <c r="AV772" s="80">
        <f>IF(AND(AB772=1,AU772=1),IF(COUNTIFS($D$5:D771,D772,$B$5:B771,B772,$Z$5:Z771,Z772,$AA$5:AA771,AA772,$F$5:F771,F772&amp;"",$AU$5:AU771,1)&gt;0,1,0),0)</f>
        <v>0</v>
      </c>
      <c r="AW772" s="80" t="str">
        <f>IF(AB772=1,INT(B772)*1440+Z772,"")</f>
        <v/>
      </c>
      <c r="AX772" s="80" t="str">
        <f>IF(AB772=1,AW772+AD772,"")</f>
        <v/>
      </c>
      <c r="AY772" s="80">
        <f>IF(AND(AB772=1,AV772=0,AU772=1),1,0)</f>
        <v>0</v>
      </c>
      <c r="AZ772" s="80">
        <f>IF(AY772=1,COUNTIFS(R_Emp,D772,R_SAbs,"&lt;"&amp;AX772,R_EAbs,"&gt;"&amp;AW772,R_OKey,1)-1,0)</f>
        <v>0</v>
      </c>
      <c r="BA772" s="80">
        <f>IF(AY772=1,COUNTIFS(R_Emp,"&lt;&gt;"&amp;D772,R_SAbs,"&lt;"&amp;AX772,R_EAbs,"&gt;"&amp;AW772,R_OKey,1),0)</f>
        <v>0</v>
      </c>
      <c r="BB772" s="80">
        <f>IF(AND(AB772=1,D772="proMX"),IF(AND(MOD(Z772,CFG_BLK)=0,MOD(AA772,CFG_BLK)=0,MOD(AG772,CFG_BLK)=0,AG772&gt;0),1,0),1)</f>
        <v>1</v>
      </c>
      <c r="BC772" s="80" t="str">
        <f>IF(Y772=0,"",IF(NOT(ISNUMBER(B772)),"Falta fecha o fecha inválida",IF(D772="","Falta empresa",IF(AND(D772&lt;&gt;"Malcolm",D772&lt;&gt;"proMX"),"Empresa inválida",IF(OR(INT(B772)&lt;CFG_PSTART,INT(B772)&gt;CFG_PEND),"Fecha fuera del período",IF(OR(NOT(ISNUMBER(Z772)),NOT(ISNUMBER(AA772))),"Falta hora inicio/fin o formato inválido",IF(AB772=0,"Hora inicio = hora fin",IF(AE772&lt;0,"Descanso inválido",IF(AE772&gt;=AD772,"Descanso ≥ duración",IF(AV772=1,"Registro duplicado",IF(AZ772&gt;0,"Se superpone con otro registro "&amp;D772,IF(BB772=0,"inicio, fin y duración neta deben ser múltiplos de "&amp;CFG_BLK&amp;" min",""))))))))))))</f>
        <v/>
      </c>
      <c r="BD772" s="80">
        <f>IF(AND(Y772=1,BC772=""),1,0)</f>
        <v>0</v>
      </c>
      <c r="BE772" s="80">
        <f>IF(AND(BD772=1,AU772=1),1,0)</f>
        <v>0</v>
      </c>
      <c r="BF772" s="80" t="str">
        <f>IF(AND(D772="proMX",BD772=1),IF(R772="","Draft",R772),"")</f>
        <v/>
      </c>
      <c r="BG772" s="80">
        <f>IF(BD772=1,ROUND(AG772/60,6),0)</f>
        <v>0</v>
      </c>
      <c r="BH772" s="80">
        <f>IF(BE772=1,ROUND(AG772/60,6),0)</f>
        <v>0</v>
      </c>
      <c r="BI772" s="80">
        <f>IF(BE772=1,ROUND(AP772/60,6),0)</f>
        <v>0</v>
      </c>
      <c r="BJ772" s="80">
        <f>IF(BE772=1,ROUND(AQ772/60,6),0)</f>
        <v>0</v>
      </c>
      <c r="BK772" s="80">
        <f>IF(BE772=1,ROUND((AR772+AS772)/60,6),0)</f>
        <v>0</v>
      </c>
      <c r="BL772" s="80">
        <f>ROUND(BH772-BK772,6)</f>
        <v>0</v>
      </c>
      <c r="BM772" s="80">
        <f>IF(BE772=1,ROUND(AR772/60,6),0)</f>
        <v>0</v>
      </c>
      <c r="BN772" s="80">
        <f>ROUND(BI772-BM772,6)</f>
        <v>0</v>
      </c>
      <c r="BO772" s="80">
        <f>IF(BE772=1,ROUND(AS772/60,6),0)</f>
        <v>0</v>
      </c>
      <c r="BP772" s="80">
        <f>ROUND(BJ772-BO772,6)</f>
        <v>0</v>
      </c>
      <c r="BQ772" s="80">
        <f>IF(BE772=1,AW772,0)</f>
        <v>0</v>
      </c>
      <c r="BR772" s="80">
        <f>IF(BE772=1,AX772,0)</f>
        <v>0</v>
      </c>
      <c r="BS772" s="80">
        <f>IF(AND(BE772=1,D772="Malcolm",BA772&gt;0),MIN(BH772,SUMPRODUCT((R_Emp="proMX")*(R_EN&gt;0)*((R_EN-(R_EN&gt;BR772)*(R_EN-BR772))&gt;(R_SN+(R_SN&lt;BQ772)*(BQ772-R_SN)))*((R_EN-(R_EN&gt;BR772)*(R_EN-BR772))-(R_SN+(R_SN&lt;BQ772)*(BQ772-R_SN))))/60),0)</f>
        <v>0</v>
      </c>
      <c r="BT772" s="80">
        <f>IF(AND(BE772=1,D772="proMX"),ROUND(BI772*CFG_RATE+BJ772*CFG_OTRATE,6),0)</f>
        <v>0</v>
      </c>
      <c r="BU772" s="80">
        <f>IF(AND(BD772=1,D772="proMX"),ROUND(AG772/CFG_BLK,6),0)</f>
        <v>0</v>
      </c>
      <c r="BV772" s="80" t="str">
        <f>IF(BF772="Approved",IF(ISNUMBER(T772),INT(T772),INT(B772)),"")</f>
        <v/>
      </c>
      <c r="BW772" s="80">
        <f>IF(ISNUMBER(B772),IF(DB_MON="Todos",1,IF(AND(INT(B772)&gt;=DB_MS,INT(B772)&lt;=DB_ME),1,0)),0)</f>
        <v>0</v>
      </c>
      <c r="BX772" s="80">
        <f>IF(DB_PROJ="Todos",1,IF(E772&amp;""=DB_PROJ&amp;"",1,0))</f>
        <v>1</v>
      </c>
      <c r="BY772" s="80">
        <f>BW772*BX772</f>
        <v>0</v>
      </c>
      <c r="BZ772" s="80" t="str">
        <f>IF(Y772=1,F772&amp;IF(AND(F772&amp;""&lt;&gt;"",E772&amp;""&lt;&gt;"")," · ","")&amp;E772,"")</f>
        <v/>
      </c>
      <c r="CA772" s="80" t="str">
        <f>IF(AND(BD772=1,E772&amp;""&lt;&gt;""),IF(COUNTIFS($E$5:E771,E772,$BD$5:BD771,1)=0,MAX($CA$5:CA771)+1,""),"")</f>
        <v/>
      </c>
      <c r="CB772" s="80" t="str">
        <f>IF(AND(BE772=1,D772="Malcolm",E772&amp;""&lt;&gt;""),IF(COUNTIFS($D$5:D771,"Malcolm",$E$5:E771,E772,$BE$5:BE771,1)=0,MAX($CB$5:CB771)+1,""),"")</f>
        <v/>
      </c>
      <c r="CC772" s="80" t="str">
        <f>IF(AND(BD772=1,D772="proMX",E772&amp;""&lt;&gt;""),IF(COUNTIFS($D$5:D771,"proMX",$E$5:E771,E772,$BD$5:BD771,1)=0,MAX($CC$5:CC771)+1,""),"")</f>
        <v/>
      </c>
      <c r="CD772" s="80" t="str">
        <f>IF(AND(BE772=1,D772="Malcolm",F772&amp;""&lt;&gt;""),IF(COUNTIFS($D$5:D771,"Malcolm",$F$5:F771,F772,$BE$5:BE771,1)=0,MAX($CD$5:CD771)+1,""),"")</f>
        <v/>
      </c>
      <c r="CE772" s="80" t="str">
        <f>IF(AND(BD772=1,D772="proMX",F772&amp;""&lt;&gt;""),IF(COUNTIFS($D$5:D771,"proMX",$F$5:F771,F772,$BD$5:BD771,1)=0,MAX($CE$5:CE771)+1,""),"")</f>
        <v/>
      </c>
      <c r="CF772" s="80" t="str">
        <f>IF(AND(D772="proMX",BD772=1),IF(OR(BF772="Draft",BF772="Submitted",BF772="Returned",BF772="Recall Requested"),MAX($CF$5:CF771)+1,""),"")</f>
        <v/>
      </c>
      <c r="CG772" s="80">
        <f>IF(BD772=0,0,IF(D772="Malcolm",1,MATCH(BF772,{"Draft","Submitted","Approved","Returned","Recall Requested","Cancelled"},0)+1))</f>
        <v>0</v>
      </c>
      <c r="CH772" s="80">
        <f>IF(AND(BF772="Submitted",ISNUMBER(V772)),IF(V772&gt;CFG_MAXD,1,0),0)</f>
        <v>0</v>
      </c>
    </row>
    <row r="773">
      <c r="A773" s="71" t="str">
        <f>IF(Y773=1,ROW()-5,"")</f>
        <v/>
      </c>
      <c r="B773" s="72" t="n"/>
      <c r="C773" s="71" t="str">
        <f>IF(ISNUMBER(B773),CHOOSE(WEEKDAY(B773,2),"Lun","Mar","Mié","Jue","Vie","Sáb","Dom"),"")</f>
        <v/>
      </c>
      <c r="D773" s="73" t="n"/>
      <c r="E773" s="74" t="n"/>
      <c r="F773" s="74" t="n"/>
      <c r="G773" s="74" t="n"/>
      <c r="H773" s="75" t="n"/>
      <c r="I773" s="75" t="n"/>
      <c r="J773" s="76" t="n"/>
      <c r="K773" s="77" t="str">
        <f>IF(AB773=1,ROUND(AG773/60,4),"")</f>
        <v/>
      </c>
      <c r="L773" s="77" t="str">
        <f>IF(BD773=1,ROUND(AP773/60,4),"")</f>
        <v/>
      </c>
      <c r="M773" s="77" t="str">
        <f>IF(BD773=1,ROUND(AQ773/60,4),"")</f>
        <v/>
      </c>
      <c r="N773" s="71" t="str">
        <f>IF(AND(D773="proMX",AB773=1),ROUND(AG773/CFG_BLK,2),"")</f>
        <v/>
      </c>
      <c r="O773" s="77" t="str">
        <f>IF(D773="proMX",IF(BD773=1,ROUND(AG773/60,4),0),"")</f>
        <v/>
      </c>
      <c r="P773" s="78" t="str">
        <f>IF(Y773=0,"",IF(BD773=1,"OK",IF(D773="proMX","Revisar bloques: ","Revisar: ")&amp;BC773))</f>
        <v/>
      </c>
      <c r="Q773" s="78" t="str">
        <f>IF(NOT(ISNUMBER(B773)),"",IF(COUNTIFS(FER_F,INT(B773))&gt;0,"Feriado"&amp;IF(AH773=1," (laborable)"," (no laborable)"),IF(AH773=1,"Laborable",IF(WEEKDAY(B773,2)&gt;5,"Fin de semana","No laborable"))))</f>
        <v/>
      </c>
      <c r="R773" s="73" t="n"/>
      <c r="S773" s="72" t="n"/>
      <c r="T773" s="72" t="n"/>
      <c r="U773" s="74" t="n"/>
      <c r="V773" s="79" t="str">
        <f>IF(AND(D773="proMX",OR(R773="Submitted",R773="Recall Requested"),ISNUMBER(S773)),CFG_TODAY-INT(S773),"")</f>
        <v/>
      </c>
      <c r="W773" s="78" t="str">
        <f>IF(BD773=0,"",IF(BA773&gt;0,"⚠ Se superpone con un registro de la otra empresa",IF(D773="Malcolm",IF(COUNTA(R773,S773,T773)&gt;0,"Estado/fechas proMX se ignoran en Malcolm",""),IF(BF773="Cancelled","Cancelado: excluido de totales",IF(R773="","Sin estado: se trata como Draft",IF(BF773="Submitted",IF(ISNUMBER(V773),IF(V773&gt;CFG_MAXD,"⚠ "&amp;V773&amp;" días en Submitted (máx. "&amp;CFG_MAXD&amp;")",""),"Falta fecha de envío"),IF(BF773="Returned","⚠ Devuelto: corregir y reenviar",IF(BF773="Recall Requested","Retirada solicitada: pendiente",IF(AND(BF773="Approved",NOT(ISNUMBER(T773))),"Falta fecha de aprobación",IF(AND(ISNUMBER(S773),ISNUMBER(T773),T773&lt;S773),"Aprobación anterior al envío","")))))))))</f>
        <v/>
      </c>
      <c r="Y773" s="80">
        <f>IF(COUNTA(B773,D773,E773,F773,G773,H773,I773,J773,R773,S773,T773)&gt;0,1,0)</f>
        <v>0</v>
      </c>
      <c r="Z773" s="80" t="str">
        <f>IF(AND(ISNUMBER(H773),H773&gt;=0,H773&lt;1),ROUND(H773*1440,0),"")</f>
        <v/>
      </c>
      <c r="AA773" s="80" t="str">
        <f>IF(AND(ISNUMBER(I773),I773&gt;=0,I773&lt;1),ROUND(I773*1440,0),"")</f>
        <v/>
      </c>
      <c r="AB773" s="80">
        <f>IF(AND(ISNUMBER(B773),D773&lt;&gt;"",ISNUMBER(Z773),ISNUMBER(AA773)),IF(Z773=AA773,0,1),0)</f>
        <v>0</v>
      </c>
      <c r="AC773" s="80">
        <f>IF(AB773=1,IF(AA773&lt;Z773,1,0),0)</f>
        <v>0</v>
      </c>
      <c r="AD773" s="80">
        <f>IF(AB773=1,IF(AC773=1,1440-Z773+AA773,AA773-Z773),0)</f>
        <v>0</v>
      </c>
      <c r="AE773" s="80">
        <f>IF(J773="",0,IF(ISNUMBER(J773),J773,-1))</f>
        <v>0</v>
      </c>
      <c r="AF773" s="80">
        <f>MIN(MAX(0,AE773),AD773)</f>
        <v>0</v>
      </c>
      <c r="AG773" s="80">
        <f>MAX(0,AD773-MAX(0,AE773))</f>
        <v>0</v>
      </c>
      <c r="AH773" s="80">
        <f>IF(ISNUMBER(B773),IF(AND(INDEX(CFG_WDAYS,WEEKDAY(INT(B773),2))="Sí",IF(D773="proMX",COUNTIFS(FER_F,INT(B773),FER_NLP,"Sí"),COUNTIFS(FER_F,INT(B773),FER_NLM,"Sí"))=0),1,0),0)</f>
        <v>0</v>
      </c>
      <c r="AI773" s="80">
        <f>IF(AC773=1,IF(AND(INDEX(CFG_WDAYS,WEEKDAY(INT(B773)+1,2))="Sí",IF(D773="proMX",COUNTIFS(FER_F,INT(B773)+1,FER_NLP,"Sí"),COUNTIFS(FER_F,INT(B773)+1,FER_NLM,"Sí"))=0),1,0),0)</f>
        <v>0</v>
      </c>
      <c r="AJ773" s="80">
        <f>IF(AC773=1,1440-Z773,AD773)</f>
        <v>0</v>
      </c>
      <c r="AK773" s="80">
        <f>IF(AND(AB773=1,AH773=1),MAX(0,MIN(IF(AC773=1,1440,AA773),CFG_WEM)-MAX(Z773,CFG_WSM)),0)</f>
        <v>0</v>
      </c>
      <c r="AL773" s="80">
        <f>IF(AND(AC773=1,AI773=1),MAX(0,MIN(AA773,CFG_WEM)-CFG_WSM),0)</f>
        <v>0</v>
      </c>
      <c r="AM773" s="80">
        <f>AK773+AL773</f>
        <v>0</v>
      </c>
      <c r="AN773" s="80">
        <f>IF(CFG_BRK="Proporcional",IF(AD773=0,0,AF773*AM773/AD773),IF(CFG_BRK="Extras primero",MIN(AM773,MAX(0,AF773-(AD773-AM773))),MIN(AF773,AM773)))</f>
        <v>0</v>
      </c>
      <c r="AO773" s="80">
        <f>AF773-AN773</f>
        <v>0</v>
      </c>
      <c r="AP773" s="80">
        <f>AM773-AN773</f>
        <v>0</v>
      </c>
      <c r="AQ773" s="80">
        <f>AD773-AM773-AO773</f>
        <v>0</v>
      </c>
      <c r="AR773" s="80">
        <f>IF(AM773=0,0,AK773-AN773*AK773/AM773)</f>
        <v>0</v>
      </c>
      <c r="AS773" s="80">
        <f>IF(AD773-AM773=0,0,(AJ773-AK773)-AO773*(AJ773-AK773)/(AD773-AM773))</f>
        <v>0</v>
      </c>
      <c r="AT773" s="80" t="str">
        <f>IF(AC773=1,INT(B773)+1,"")</f>
        <v/>
      </c>
      <c r="AU773" s="80">
        <f>IF(AND(D773="proMX",R773="Cancelled"),0,1)</f>
        <v>1</v>
      </c>
      <c r="AV773" s="80">
        <f>IF(AND(AB773=1,AU773=1),IF(COUNTIFS($D$5:D772,D773,$B$5:B772,B773,$Z$5:Z772,Z773,$AA$5:AA772,AA773,$F$5:F772,F773&amp;"",$AU$5:AU772,1)&gt;0,1,0),0)</f>
        <v>0</v>
      </c>
      <c r="AW773" s="80" t="str">
        <f>IF(AB773=1,INT(B773)*1440+Z773,"")</f>
        <v/>
      </c>
      <c r="AX773" s="80" t="str">
        <f>IF(AB773=1,AW773+AD773,"")</f>
        <v/>
      </c>
      <c r="AY773" s="80">
        <f>IF(AND(AB773=1,AV773=0,AU773=1),1,0)</f>
        <v>0</v>
      </c>
      <c r="AZ773" s="80">
        <f>IF(AY773=1,COUNTIFS(R_Emp,D773,R_SAbs,"&lt;"&amp;AX773,R_EAbs,"&gt;"&amp;AW773,R_OKey,1)-1,0)</f>
        <v>0</v>
      </c>
      <c r="BA773" s="80">
        <f>IF(AY773=1,COUNTIFS(R_Emp,"&lt;&gt;"&amp;D773,R_SAbs,"&lt;"&amp;AX773,R_EAbs,"&gt;"&amp;AW773,R_OKey,1),0)</f>
        <v>0</v>
      </c>
      <c r="BB773" s="80">
        <f>IF(AND(AB773=1,D773="proMX"),IF(AND(MOD(Z773,CFG_BLK)=0,MOD(AA773,CFG_BLK)=0,MOD(AG773,CFG_BLK)=0,AG773&gt;0),1,0),1)</f>
        <v>1</v>
      </c>
      <c r="BC773" s="80" t="str">
        <f>IF(Y773=0,"",IF(NOT(ISNUMBER(B773)),"Falta fecha o fecha inválida",IF(D773="","Falta empresa",IF(AND(D773&lt;&gt;"Malcolm",D773&lt;&gt;"proMX"),"Empresa inválida",IF(OR(INT(B773)&lt;CFG_PSTART,INT(B773)&gt;CFG_PEND),"Fecha fuera del período",IF(OR(NOT(ISNUMBER(Z773)),NOT(ISNUMBER(AA773))),"Falta hora inicio/fin o formato inválido",IF(AB773=0,"Hora inicio = hora fin",IF(AE773&lt;0,"Descanso inválido",IF(AE773&gt;=AD773,"Descanso ≥ duración",IF(AV773=1,"Registro duplicado",IF(AZ773&gt;0,"Se superpone con otro registro "&amp;D773,IF(BB773=0,"inicio, fin y duración neta deben ser múltiplos de "&amp;CFG_BLK&amp;" min",""))))))))))))</f>
        <v/>
      </c>
      <c r="BD773" s="80">
        <f>IF(AND(Y773=1,BC773=""),1,0)</f>
        <v>0</v>
      </c>
      <c r="BE773" s="80">
        <f>IF(AND(BD773=1,AU773=1),1,0)</f>
        <v>0</v>
      </c>
      <c r="BF773" s="80" t="str">
        <f>IF(AND(D773="proMX",BD773=1),IF(R773="","Draft",R773),"")</f>
        <v/>
      </c>
      <c r="BG773" s="80">
        <f>IF(BD773=1,ROUND(AG773/60,6),0)</f>
        <v>0</v>
      </c>
      <c r="BH773" s="80">
        <f>IF(BE773=1,ROUND(AG773/60,6),0)</f>
        <v>0</v>
      </c>
      <c r="BI773" s="80">
        <f>IF(BE773=1,ROUND(AP773/60,6),0)</f>
        <v>0</v>
      </c>
      <c r="BJ773" s="80">
        <f>IF(BE773=1,ROUND(AQ773/60,6),0)</f>
        <v>0</v>
      </c>
      <c r="BK773" s="80">
        <f>IF(BE773=1,ROUND((AR773+AS773)/60,6),0)</f>
        <v>0</v>
      </c>
      <c r="BL773" s="80">
        <f>ROUND(BH773-BK773,6)</f>
        <v>0</v>
      </c>
      <c r="BM773" s="80">
        <f>IF(BE773=1,ROUND(AR773/60,6),0)</f>
        <v>0</v>
      </c>
      <c r="BN773" s="80">
        <f>ROUND(BI773-BM773,6)</f>
        <v>0</v>
      </c>
      <c r="BO773" s="80">
        <f>IF(BE773=1,ROUND(AS773/60,6),0)</f>
        <v>0</v>
      </c>
      <c r="BP773" s="80">
        <f>ROUND(BJ773-BO773,6)</f>
        <v>0</v>
      </c>
      <c r="BQ773" s="80">
        <f>IF(BE773=1,AW773,0)</f>
        <v>0</v>
      </c>
      <c r="BR773" s="80">
        <f>IF(BE773=1,AX773,0)</f>
        <v>0</v>
      </c>
      <c r="BS773" s="80">
        <f>IF(AND(BE773=1,D773="Malcolm",BA773&gt;0),MIN(BH773,SUMPRODUCT((R_Emp="proMX")*(R_EN&gt;0)*((R_EN-(R_EN&gt;BR773)*(R_EN-BR773))&gt;(R_SN+(R_SN&lt;BQ773)*(BQ773-R_SN)))*((R_EN-(R_EN&gt;BR773)*(R_EN-BR773))-(R_SN+(R_SN&lt;BQ773)*(BQ773-R_SN))))/60),0)</f>
        <v>0</v>
      </c>
      <c r="BT773" s="80">
        <f>IF(AND(BE773=1,D773="proMX"),ROUND(BI773*CFG_RATE+BJ773*CFG_OTRATE,6),0)</f>
        <v>0</v>
      </c>
      <c r="BU773" s="80">
        <f>IF(AND(BD773=1,D773="proMX"),ROUND(AG773/CFG_BLK,6),0)</f>
        <v>0</v>
      </c>
      <c r="BV773" s="80" t="str">
        <f>IF(BF773="Approved",IF(ISNUMBER(T773),INT(T773),INT(B773)),"")</f>
        <v/>
      </c>
      <c r="BW773" s="80">
        <f>IF(ISNUMBER(B773),IF(DB_MON="Todos",1,IF(AND(INT(B773)&gt;=DB_MS,INT(B773)&lt;=DB_ME),1,0)),0)</f>
        <v>0</v>
      </c>
      <c r="BX773" s="80">
        <f>IF(DB_PROJ="Todos",1,IF(E773&amp;""=DB_PROJ&amp;"",1,0))</f>
        <v>1</v>
      </c>
      <c r="BY773" s="80">
        <f>BW773*BX773</f>
        <v>0</v>
      </c>
      <c r="BZ773" s="80" t="str">
        <f>IF(Y773=1,F773&amp;IF(AND(F773&amp;""&lt;&gt;"",E773&amp;""&lt;&gt;"")," · ","")&amp;E773,"")</f>
        <v/>
      </c>
      <c r="CA773" s="80" t="str">
        <f>IF(AND(BD773=1,E773&amp;""&lt;&gt;""),IF(COUNTIFS($E$5:E772,E773,$BD$5:BD772,1)=0,MAX($CA$5:CA772)+1,""),"")</f>
        <v/>
      </c>
      <c r="CB773" s="80" t="str">
        <f>IF(AND(BE773=1,D773="Malcolm",E773&amp;""&lt;&gt;""),IF(COUNTIFS($D$5:D772,"Malcolm",$E$5:E772,E773,$BE$5:BE772,1)=0,MAX($CB$5:CB772)+1,""),"")</f>
        <v/>
      </c>
      <c r="CC773" s="80" t="str">
        <f>IF(AND(BD773=1,D773="proMX",E773&amp;""&lt;&gt;""),IF(COUNTIFS($D$5:D772,"proMX",$E$5:E772,E773,$BD$5:BD772,1)=0,MAX($CC$5:CC772)+1,""),"")</f>
        <v/>
      </c>
      <c r="CD773" s="80" t="str">
        <f>IF(AND(BE773=1,D773="Malcolm",F773&amp;""&lt;&gt;""),IF(COUNTIFS($D$5:D772,"Malcolm",$F$5:F772,F773,$BE$5:BE772,1)=0,MAX($CD$5:CD772)+1,""),"")</f>
        <v/>
      </c>
      <c r="CE773" s="80" t="str">
        <f>IF(AND(BD773=1,D773="proMX",F773&amp;""&lt;&gt;""),IF(COUNTIFS($D$5:D772,"proMX",$F$5:F772,F773,$BD$5:BD772,1)=0,MAX($CE$5:CE772)+1,""),"")</f>
        <v/>
      </c>
      <c r="CF773" s="80" t="str">
        <f>IF(AND(D773="proMX",BD773=1),IF(OR(BF773="Draft",BF773="Submitted",BF773="Returned",BF773="Recall Requested"),MAX($CF$5:CF772)+1,""),"")</f>
        <v/>
      </c>
      <c r="CG773" s="80">
        <f>IF(BD773=0,0,IF(D773="Malcolm",1,MATCH(BF773,{"Draft","Submitted","Approved","Returned","Recall Requested","Cancelled"},0)+1))</f>
        <v>0</v>
      </c>
      <c r="CH773" s="80">
        <f>IF(AND(BF773="Submitted",ISNUMBER(V773)),IF(V773&gt;CFG_MAXD,1,0),0)</f>
        <v>0</v>
      </c>
    </row>
    <row r="774">
      <c r="A774" s="71" t="str">
        <f>IF(Y774=1,ROW()-5,"")</f>
        <v/>
      </c>
      <c r="B774" s="72" t="n"/>
      <c r="C774" s="71" t="str">
        <f>IF(ISNUMBER(B774),CHOOSE(WEEKDAY(B774,2),"Lun","Mar","Mié","Jue","Vie","Sáb","Dom"),"")</f>
        <v/>
      </c>
      <c r="D774" s="73" t="n"/>
      <c r="E774" s="74" t="n"/>
      <c r="F774" s="74" t="n"/>
      <c r="G774" s="74" t="n"/>
      <c r="H774" s="75" t="n"/>
      <c r="I774" s="75" t="n"/>
      <c r="J774" s="76" t="n"/>
      <c r="K774" s="77" t="str">
        <f>IF(AB774=1,ROUND(AG774/60,4),"")</f>
        <v/>
      </c>
      <c r="L774" s="77" t="str">
        <f>IF(BD774=1,ROUND(AP774/60,4),"")</f>
        <v/>
      </c>
      <c r="M774" s="77" t="str">
        <f>IF(BD774=1,ROUND(AQ774/60,4),"")</f>
        <v/>
      </c>
      <c r="N774" s="71" t="str">
        <f>IF(AND(D774="proMX",AB774=1),ROUND(AG774/CFG_BLK,2),"")</f>
        <v/>
      </c>
      <c r="O774" s="77" t="str">
        <f>IF(D774="proMX",IF(BD774=1,ROUND(AG774/60,4),0),"")</f>
        <v/>
      </c>
      <c r="P774" s="78" t="str">
        <f>IF(Y774=0,"",IF(BD774=1,"OK",IF(D774="proMX","Revisar bloques: ","Revisar: ")&amp;BC774))</f>
        <v/>
      </c>
      <c r="Q774" s="78" t="str">
        <f>IF(NOT(ISNUMBER(B774)),"",IF(COUNTIFS(FER_F,INT(B774))&gt;0,"Feriado"&amp;IF(AH774=1," (laborable)"," (no laborable)"),IF(AH774=1,"Laborable",IF(WEEKDAY(B774,2)&gt;5,"Fin de semana","No laborable"))))</f>
        <v/>
      </c>
      <c r="R774" s="73" t="n"/>
      <c r="S774" s="72" t="n"/>
      <c r="T774" s="72" t="n"/>
      <c r="U774" s="74" t="n"/>
      <c r="V774" s="79" t="str">
        <f>IF(AND(D774="proMX",OR(R774="Submitted",R774="Recall Requested"),ISNUMBER(S774)),CFG_TODAY-INT(S774),"")</f>
        <v/>
      </c>
      <c r="W774" s="78" t="str">
        <f>IF(BD774=0,"",IF(BA774&gt;0,"⚠ Se superpone con un registro de la otra empresa",IF(D774="Malcolm",IF(COUNTA(R774,S774,T774)&gt;0,"Estado/fechas proMX se ignoran en Malcolm",""),IF(BF774="Cancelled","Cancelado: excluido de totales",IF(R774="","Sin estado: se trata como Draft",IF(BF774="Submitted",IF(ISNUMBER(V774),IF(V774&gt;CFG_MAXD,"⚠ "&amp;V774&amp;" días en Submitted (máx. "&amp;CFG_MAXD&amp;")",""),"Falta fecha de envío"),IF(BF774="Returned","⚠ Devuelto: corregir y reenviar",IF(BF774="Recall Requested","Retirada solicitada: pendiente",IF(AND(BF774="Approved",NOT(ISNUMBER(T774))),"Falta fecha de aprobación",IF(AND(ISNUMBER(S774),ISNUMBER(T774),T774&lt;S774),"Aprobación anterior al envío","")))))))))</f>
        <v/>
      </c>
      <c r="Y774" s="80">
        <f>IF(COUNTA(B774,D774,E774,F774,G774,H774,I774,J774,R774,S774,T774)&gt;0,1,0)</f>
        <v>0</v>
      </c>
      <c r="Z774" s="80" t="str">
        <f>IF(AND(ISNUMBER(H774),H774&gt;=0,H774&lt;1),ROUND(H774*1440,0),"")</f>
        <v/>
      </c>
      <c r="AA774" s="80" t="str">
        <f>IF(AND(ISNUMBER(I774),I774&gt;=0,I774&lt;1),ROUND(I774*1440,0),"")</f>
        <v/>
      </c>
      <c r="AB774" s="80">
        <f>IF(AND(ISNUMBER(B774),D774&lt;&gt;"",ISNUMBER(Z774),ISNUMBER(AA774)),IF(Z774=AA774,0,1),0)</f>
        <v>0</v>
      </c>
      <c r="AC774" s="80">
        <f>IF(AB774=1,IF(AA774&lt;Z774,1,0),0)</f>
        <v>0</v>
      </c>
      <c r="AD774" s="80">
        <f>IF(AB774=1,IF(AC774=1,1440-Z774+AA774,AA774-Z774),0)</f>
        <v>0</v>
      </c>
      <c r="AE774" s="80">
        <f>IF(J774="",0,IF(ISNUMBER(J774),J774,-1))</f>
        <v>0</v>
      </c>
      <c r="AF774" s="80">
        <f>MIN(MAX(0,AE774),AD774)</f>
        <v>0</v>
      </c>
      <c r="AG774" s="80">
        <f>MAX(0,AD774-MAX(0,AE774))</f>
        <v>0</v>
      </c>
      <c r="AH774" s="80">
        <f>IF(ISNUMBER(B774),IF(AND(INDEX(CFG_WDAYS,WEEKDAY(INT(B774),2))="Sí",IF(D774="proMX",COUNTIFS(FER_F,INT(B774),FER_NLP,"Sí"),COUNTIFS(FER_F,INT(B774),FER_NLM,"Sí"))=0),1,0),0)</f>
        <v>0</v>
      </c>
      <c r="AI774" s="80">
        <f>IF(AC774=1,IF(AND(INDEX(CFG_WDAYS,WEEKDAY(INT(B774)+1,2))="Sí",IF(D774="proMX",COUNTIFS(FER_F,INT(B774)+1,FER_NLP,"Sí"),COUNTIFS(FER_F,INT(B774)+1,FER_NLM,"Sí"))=0),1,0),0)</f>
        <v>0</v>
      </c>
      <c r="AJ774" s="80">
        <f>IF(AC774=1,1440-Z774,AD774)</f>
        <v>0</v>
      </c>
      <c r="AK774" s="80">
        <f>IF(AND(AB774=1,AH774=1),MAX(0,MIN(IF(AC774=1,1440,AA774),CFG_WEM)-MAX(Z774,CFG_WSM)),0)</f>
        <v>0</v>
      </c>
      <c r="AL774" s="80">
        <f>IF(AND(AC774=1,AI774=1),MAX(0,MIN(AA774,CFG_WEM)-CFG_WSM),0)</f>
        <v>0</v>
      </c>
      <c r="AM774" s="80">
        <f>AK774+AL774</f>
        <v>0</v>
      </c>
      <c r="AN774" s="80">
        <f>IF(CFG_BRK="Proporcional",IF(AD774=0,0,AF774*AM774/AD774),IF(CFG_BRK="Extras primero",MIN(AM774,MAX(0,AF774-(AD774-AM774))),MIN(AF774,AM774)))</f>
        <v>0</v>
      </c>
      <c r="AO774" s="80">
        <f>AF774-AN774</f>
        <v>0</v>
      </c>
      <c r="AP774" s="80">
        <f>AM774-AN774</f>
        <v>0</v>
      </c>
      <c r="AQ774" s="80">
        <f>AD774-AM774-AO774</f>
        <v>0</v>
      </c>
      <c r="AR774" s="80">
        <f>IF(AM774=0,0,AK774-AN774*AK774/AM774)</f>
        <v>0</v>
      </c>
      <c r="AS774" s="80">
        <f>IF(AD774-AM774=0,0,(AJ774-AK774)-AO774*(AJ774-AK774)/(AD774-AM774))</f>
        <v>0</v>
      </c>
      <c r="AT774" s="80" t="str">
        <f>IF(AC774=1,INT(B774)+1,"")</f>
        <v/>
      </c>
      <c r="AU774" s="80">
        <f>IF(AND(D774="proMX",R774="Cancelled"),0,1)</f>
        <v>1</v>
      </c>
      <c r="AV774" s="80">
        <f>IF(AND(AB774=1,AU774=1),IF(COUNTIFS($D$5:D773,D774,$B$5:B773,B774,$Z$5:Z773,Z774,$AA$5:AA773,AA774,$F$5:F773,F774&amp;"",$AU$5:AU773,1)&gt;0,1,0),0)</f>
        <v>0</v>
      </c>
      <c r="AW774" s="80" t="str">
        <f>IF(AB774=1,INT(B774)*1440+Z774,"")</f>
        <v/>
      </c>
      <c r="AX774" s="80" t="str">
        <f>IF(AB774=1,AW774+AD774,"")</f>
        <v/>
      </c>
      <c r="AY774" s="80">
        <f>IF(AND(AB774=1,AV774=0,AU774=1),1,0)</f>
        <v>0</v>
      </c>
      <c r="AZ774" s="80">
        <f>IF(AY774=1,COUNTIFS(R_Emp,D774,R_SAbs,"&lt;"&amp;AX774,R_EAbs,"&gt;"&amp;AW774,R_OKey,1)-1,0)</f>
        <v>0</v>
      </c>
      <c r="BA774" s="80">
        <f>IF(AY774=1,COUNTIFS(R_Emp,"&lt;&gt;"&amp;D774,R_SAbs,"&lt;"&amp;AX774,R_EAbs,"&gt;"&amp;AW774,R_OKey,1),0)</f>
        <v>0</v>
      </c>
      <c r="BB774" s="80">
        <f>IF(AND(AB774=1,D774="proMX"),IF(AND(MOD(Z774,CFG_BLK)=0,MOD(AA774,CFG_BLK)=0,MOD(AG774,CFG_BLK)=0,AG774&gt;0),1,0),1)</f>
        <v>1</v>
      </c>
      <c r="BC774" s="80" t="str">
        <f>IF(Y774=0,"",IF(NOT(ISNUMBER(B774)),"Falta fecha o fecha inválida",IF(D774="","Falta empresa",IF(AND(D774&lt;&gt;"Malcolm",D774&lt;&gt;"proMX"),"Empresa inválida",IF(OR(INT(B774)&lt;CFG_PSTART,INT(B774)&gt;CFG_PEND),"Fecha fuera del período",IF(OR(NOT(ISNUMBER(Z774)),NOT(ISNUMBER(AA774))),"Falta hora inicio/fin o formato inválido",IF(AB774=0,"Hora inicio = hora fin",IF(AE774&lt;0,"Descanso inválido",IF(AE774&gt;=AD774,"Descanso ≥ duración",IF(AV774=1,"Registro duplicado",IF(AZ774&gt;0,"Se superpone con otro registro "&amp;D774,IF(BB774=0,"inicio, fin y duración neta deben ser múltiplos de "&amp;CFG_BLK&amp;" min",""))))))))))))</f>
        <v/>
      </c>
      <c r="BD774" s="80">
        <f>IF(AND(Y774=1,BC774=""),1,0)</f>
        <v>0</v>
      </c>
      <c r="BE774" s="80">
        <f>IF(AND(BD774=1,AU774=1),1,0)</f>
        <v>0</v>
      </c>
      <c r="BF774" s="80" t="str">
        <f>IF(AND(D774="proMX",BD774=1),IF(R774="","Draft",R774),"")</f>
        <v/>
      </c>
      <c r="BG774" s="80">
        <f>IF(BD774=1,ROUND(AG774/60,6),0)</f>
        <v>0</v>
      </c>
      <c r="BH774" s="80">
        <f>IF(BE774=1,ROUND(AG774/60,6),0)</f>
        <v>0</v>
      </c>
      <c r="BI774" s="80">
        <f>IF(BE774=1,ROUND(AP774/60,6),0)</f>
        <v>0</v>
      </c>
      <c r="BJ774" s="80">
        <f>IF(BE774=1,ROUND(AQ774/60,6),0)</f>
        <v>0</v>
      </c>
      <c r="BK774" s="80">
        <f>IF(BE774=1,ROUND((AR774+AS774)/60,6),0)</f>
        <v>0</v>
      </c>
      <c r="BL774" s="80">
        <f>ROUND(BH774-BK774,6)</f>
        <v>0</v>
      </c>
      <c r="BM774" s="80">
        <f>IF(BE774=1,ROUND(AR774/60,6),0)</f>
        <v>0</v>
      </c>
      <c r="BN774" s="80">
        <f>ROUND(BI774-BM774,6)</f>
        <v>0</v>
      </c>
      <c r="BO774" s="80">
        <f>IF(BE774=1,ROUND(AS774/60,6),0)</f>
        <v>0</v>
      </c>
      <c r="BP774" s="80">
        <f>ROUND(BJ774-BO774,6)</f>
        <v>0</v>
      </c>
      <c r="BQ774" s="80">
        <f>IF(BE774=1,AW774,0)</f>
        <v>0</v>
      </c>
      <c r="BR774" s="80">
        <f>IF(BE774=1,AX774,0)</f>
        <v>0</v>
      </c>
      <c r="BS774" s="80">
        <f>IF(AND(BE774=1,D774="Malcolm",BA774&gt;0),MIN(BH774,SUMPRODUCT((R_Emp="proMX")*(R_EN&gt;0)*((R_EN-(R_EN&gt;BR774)*(R_EN-BR774))&gt;(R_SN+(R_SN&lt;BQ774)*(BQ774-R_SN)))*((R_EN-(R_EN&gt;BR774)*(R_EN-BR774))-(R_SN+(R_SN&lt;BQ774)*(BQ774-R_SN))))/60),0)</f>
        <v>0</v>
      </c>
      <c r="BT774" s="80">
        <f>IF(AND(BE774=1,D774="proMX"),ROUND(BI774*CFG_RATE+BJ774*CFG_OTRATE,6),0)</f>
        <v>0</v>
      </c>
      <c r="BU774" s="80">
        <f>IF(AND(BD774=1,D774="proMX"),ROUND(AG774/CFG_BLK,6),0)</f>
        <v>0</v>
      </c>
      <c r="BV774" s="80" t="str">
        <f>IF(BF774="Approved",IF(ISNUMBER(T774),INT(T774),INT(B774)),"")</f>
        <v/>
      </c>
      <c r="BW774" s="80">
        <f>IF(ISNUMBER(B774),IF(DB_MON="Todos",1,IF(AND(INT(B774)&gt;=DB_MS,INT(B774)&lt;=DB_ME),1,0)),0)</f>
        <v>0</v>
      </c>
      <c r="BX774" s="80">
        <f>IF(DB_PROJ="Todos",1,IF(E774&amp;""=DB_PROJ&amp;"",1,0))</f>
        <v>1</v>
      </c>
      <c r="BY774" s="80">
        <f>BW774*BX774</f>
        <v>0</v>
      </c>
      <c r="BZ774" s="80" t="str">
        <f>IF(Y774=1,F774&amp;IF(AND(F774&amp;""&lt;&gt;"",E774&amp;""&lt;&gt;"")," · ","")&amp;E774,"")</f>
        <v/>
      </c>
      <c r="CA774" s="80" t="str">
        <f>IF(AND(BD774=1,E774&amp;""&lt;&gt;""),IF(COUNTIFS($E$5:E773,E774,$BD$5:BD773,1)=0,MAX($CA$5:CA773)+1,""),"")</f>
        <v/>
      </c>
      <c r="CB774" s="80" t="str">
        <f>IF(AND(BE774=1,D774="Malcolm",E774&amp;""&lt;&gt;""),IF(COUNTIFS($D$5:D773,"Malcolm",$E$5:E773,E774,$BE$5:BE773,1)=0,MAX($CB$5:CB773)+1,""),"")</f>
        <v/>
      </c>
      <c r="CC774" s="80" t="str">
        <f>IF(AND(BD774=1,D774="proMX",E774&amp;""&lt;&gt;""),IF(COUNTIFS($D$5:D773,"proMX",$E$5:E773,E774,$BD$5:BD773,1)=0,MAX($CC$5:CC773)+1,""),"")</f>
        <v/>
      </c>
      <c r="CD774" s="80" t="str">
        <f>IF(AND(BE774=1,D774="Malcolm",F774&amp;""&lt;&gt;""),IF(COUNTIFS($D$5:D773,"Malcolm",$F$5:F773,F774,$BE$5:BE773,1)=0,MAX($CD$5:CD773)+1,""),"")</f>
        <v/>
      </c>
      <c r="CE774" s="80" t="str">
        <f>IF(AND(BD774=1,D774="proMX",F774&amp;""&lt;&gt;""),IF(COUNTIFS($D$5:D773,"proMX",$F$5:F773,F774,$BD$5:BD773,1)=0,MAX($CE$5:CE773)+1,""),"")</f>
        <v/>
      </c>
      <c r="CF774" s="80" t="str">
        <f>IF(AND(D774="proMX",BD774=1),IF(OR(BF774="Draft",BF774="Submitted",BF774="Returned",BF774="Recall Requested"),MAX($CF$5:CF773)+1,""),"")</f>
        <v/>
      </c>
      <c r="CG774" s="80">
        <f>IF(BD774=0,0,IF(D774="Malcolm",1,MATCH(BF774,{"Draft","Submitted","Approved","Returned","Recall Requested","Cancelled"},0)+1))</f>
        <v>0</v>
      </c>
      <c r="CH774" s="80">
        <f>IF(AND(BF774="Submitted",ISNUMBER(V774)),IF(V774&gt;CFG_MAXD,1,0),0)</f>
        <v>0</v>
      </c>
    </row>
    <row r="775">
      <c r="A775" s="71" t="str">
        <f>IF(Y775=1,ROW()-5,"")</f>
        <v/>
      </c>
      <c r="B775" s="72" t="n"/>
      <c r="C775" s="71" t="str">
        <f>IF(ISNUMBER(B775),CHOOSE(WEEKDAY(B775,2),"Lun","Mar","Mié","Jue","Vie","Sáb","Dom"),"")</f>
        <v/>
      </c>
      <c r="D775" s="73" t="n"/>
      <c r="E775" s="74" t="n"/>
      <c r="F775" s="74" t="n"/>
      <c r="G775" s="74" t="n"/>
      <c r="H775" s="75" t="n"/>
      <c r="I775" s="75" t="n"/>
      <c r="J775" s="76" t="n"/>
      <c r="K775" s="77" t="str">
        <f>IF(AB775=1,ROUND(AG775/60,4),"")</f>
        <v/>
      </c>
      <c r="L775" s="77" t="str">
        <f>IF(BD775=1,ROUND(AP775/60,4),"")</f>
        <v/>
      </c>
      <c r="M775" s="77" t="str">
        <f>IF(BD775=1,ROUND(AQ775/60,4),"")</f>
        <v/>
      </c>
      <c r="N775" s="71" t="str">
        <f>IF(AND(D775="proMX",AB775=1),ROUND(AG775/CFG_BLK,2),"")</f>
        <v/>
      </c>
      <c r="O775" s="77" t="str">
        <f>IF(D775="proMX",IF(BD775=1,ROUND(AG775/60,4),0),"")</f>
        <v/>
      </c>
      <c r="P775" s="78" t="str">
        <f>IF(Y775=0,"",IF(BD775=1,"OK",IF(D775="proMX","Revisar bloques: ","Revisar: ")&amp;BC775))</f>
        <v/>
      </c>
      <c r="Q775" s="78" t="str">
        <f>IF(NOT(ISNUMBER(B775)),"",IF(COUNTIFS(FER_F,INT(B775))&gt;0,"Feriado"&amp;IF(AH775=1," (laborable)"," (no laborable)"),IF(AH775=1,"Laborable",IF(WEEKDAY(B775,2)&gt;5,"Fin de semana","No laborable"))))</f>
        <v/>
      </c>
      <c r="R775" s="73" t="n"/>
      <c r="S775" s="72" t="n"/>
      <c r="T775" s="72" t="n"/>
      <c r="U775" s="74" t="n"/>
      <c r="V775" s="79" t="str">
        <f>IF(AND(D775="proMX",OR(R775="Submitted",R775="Recall Requested"),ISNUMBER(S775)),CFG_TODAY-INT(S775),"")</f>
        <v/>
      </c>
      <c r="W775" s="78" t="str">
        <f>IF(BD775=0,"",IF(BA775&gt;0,"⚠ Se superpone con un registro de la otra empresa",IF(D775="Malcolm",IF(COUNTA(R775,S775,T775)&gt;0,"Estado/fechas proMX se ignoran en Malcolm",""),IF(BF775="Cancelled","Cancelado: excluido de totales",IF(R775="","Sin estado: se trata como Draft",IF(BF775="Submitted",IF(ISNUMBER(V775),IF(V775&gt;CFG_MAXD,"⚠ "&amp;V775&amp;" días en Submitted (máx. "&amp;CFG_MAXD&amp;")",""),"Falta fecha de envío"),IF(BF775="Returned","⚠ Devuelto: corregir y reenviar",IF(BF775="Recall Requested","Retirada solicitada: pendiente",IF(AND(BF775="Approved",NOT(ISNUMBER(T775))),"Falta fecha de aprobación",IF(AND(ISNUMBER(S775),ISNUMBER(T775),T775&lt;S775),"Aprobación anterior al envío","")))))))))</f>
        <v/>
      </c>
      <c r="Y775" s="80">
        <f>IF(COUNTA(B775,D775,E775,F775,G775,H775,I775,J775,R775,S775,T775)&gt;0,1,0)</f>
        <v>0</v>
      </c>
      <c r="Z775" s="80" t="str">
        <f>IF(AND(ISNUMBER(H775),H775&gt;=0,H775&lt;1),ROUND(H775*1440,0),"")</f>
        <v/>
      </c>
      <c r="AA775" s="80" t="str">
        <f>IF(AND(ISNUMBER(I775),I775&gt;=0,I775&lt;1),ROUND(I775*1440,0),"")</f>
        <v/>
      </c>
      <c r="AB775" s="80">
        <f>IF(AND(ISNUMBER(B775),D775&lt;&gt;"",ISNUMBER(Z775),ISNUMBER(AA775)),IF(Z775=AA775,0,1),0)</f>
        <v>0</v>
      </c>
      <c r="AC775" s="80">
        <f>IF(AB775=1,IF(AA775&lt;Z775,1,0),0)</f>
        <v>0</v>
      </c>
      <c r="AD775" s="80">
        <f>IF(AB775=1,IF(AC775=1,1440-Z775+AA775,AA775-Z775),0)</f>
        <v>0</v>
      </c>
      <c r="AE775" s="80">
        <f>IF(J775="",0,IF(ISNUMBER(J775),J775,-1))</f>
        <v>0</v>
      </c>
      <c r="AF775" s="80">
        <f>MIN(MAX(0,AE775),AD775)</f>
        <v>0</v>
      </c>
      <c r="AG775" s="80">
        <f>MAX(0,AD775-MAX(0,AE775))</f>
        <v>0</v>
      </c>
      <c r="AH775" s="80">
        <f>IF(ISNUMBER(B775),IF(AND(INDEX(CFG_WDAYS,WEEKDAY(INT(B775),2))="Sí",IF(D775="proMX",COUNTIFS(FER_F,INT(B775),FER_NLP,"Sí"),COUNTIFS(FER_F,INT(B775),FER_NLM,"Sí"))=0),1,0),0)</f>
        <v>0</v>
      </c>
      <c r="AI775" s="80">
        <f>IF(AC775=1,IF(AND(INDEX(CFG_WDAYS,WEEKDAY(INT(B775)+1,2))="Sí",IF(D775="proMX",COUNTIFS(FER_F,INT(B775)+1,FER_NLP,"Sí"),COUNTIFS(FER_F,INT(B775)+1,FER_NLM,"Sí"))=0),1,0),0)</f>
        <v>0</v>
      </c>
      <c r="AJ775" s="80">
        <f>IF(AC775=1,1440-Z775,AD775)</f>
        <v>0</v>
      </c>
      <c r="AK775" s="80">
        <f>IF(AND(AB775=1,AH775=1),MAX(0,MIN(IF(AC775=1,1440,AA775),CFG_WEM)-MAX(Z775,CFG_WSM)),0)</f>
        <v>0</v>
      </c>
      <c r="AL775" s="80">
        <f>IF(AND(AC775=1,AI775=1),MAX(0,MIN(AA775,CFG_WEM)-CFG_WSM),0)</f>
        <v>0</v>
      </c>
      <c r="AM775" s="80">
        <f>AK775+AL775</f>
        <v>0</v>
      </c>
      <c r="AN775" s="80">
        <f>IF(CFG_BRK="Proporcional",IF(AD775=0,0,AF775*AM775/AD775),IF(CFG_BRK="Extras primero",MIN(AM775,MAX(0,AF775-(AD775-AM775))),MIN(AF775,AM775)))</f>
        <v>0</v>
      </c>
      <c r="AO775" s="80">
        <f>AF775-AN775</f>
        <v>0</v>
      </c>
      <c r="AP775" s="80">
        <f>AM775-AN775</f>
        <v>0</v>
      </c>
      <c r="AQ775" s="80">
        <f>AD775-AM775-AO775</f>
        <v>0</v>
      </c>
      <c r="AR775" s="80">
        <f>IF(AM775=0,0,AK775-AN775*AK775/AM775)</f>
        <v>0</v>
      </c>
      <c r="AS775" s="80">
        <f>IF(AD775-AM775=0,0,(AJ775-AK775)-AO775*(AJ775-AK775)/(AD775-AM775))</f>
        <v>0</v>
      </c>
      <c r="AT775" s="80" t="str">
        <f>IF(AC775=1,INT(B775)+1,"")</f>
        <v/>
      </c>
      <c r="AU775" s="80">
        <f>IF(AND(D775="proMX",R775="Cancelled"),0,1)</f>
        <v>1</v>
      </c>
      <c r="AV775" s="80">
        <f>IF(AND(AB775=1,AU775=1),IF(COUNTIFS($D$5:D774,D775,$B$5:B774,B775,$Z$5:Z774,Z775,$AA$5:AA774,AA775,$F$5:F774,F775&amp;"",$AU$5:AU774,1)&gt;0,1,0),0)</f>
        <v>0</v>
      </c>
      <c r="AW775" s="80" t="str">
        <f>IF(AB775=1,INT(B775)*1440+Z775,"")</f>
        <v/>
      </c>
      <c r="AX775" s="80" t="str">
        <f>IF(AB775=1,AW775+AD775,"")</f>
        <v/>
      </c>
      <c r="AY775" s="80">
        <f>IF(AND(AB775=1,AV775=0,AU775=1),1,0)</f>
        <v>0</v>
      </c>
      <c r="AZ775" s="80">
        <f>IF(AY775=1,COUNTIFS(R_Emp,D775,R_SAbs,"&lt;"&amp;AX775,R_EAbs,"&gt;"&amp;AW775,R_OKey,1)-1,0)</f>
        <v>0</v>
      </c>
      <c r="BA775" s="80">
        <f>IF(AY775=1,COUNTIFS(R_Emp,"&lt;&gt;"&amp;D775,R_SAbs,"&lt;"&amp;AX775,R_EAbs,"&gt;"&amp;AW775,R_OKey,1),0)</f>
        <v>0</v>
      </c>
      <c r="BB775" s="80">
        <f>IF(AND(AB775=1,D775="proMX"),IF(AND(MOD(Z775,CFG_BLK)=0,MOD(AA775,CFG_BLK)=0,MOD(AG775,CFG_BLK)=0,AG775&gt;0),1,0),1)</f>
        <v>1</v>
      </c>
      <c r="BC775" s="80" t="str">
        <f>IF(Y775=0,"",IF(NOT(ISNUMBER(B775)),"Falta fecha o fecha inválida",IF(D775="","Falta empresa",IF(AND(D775&lt;&gt;"Malcolm",D775&lt;&gt;"proMX"),"Empresa inválida",IF(OR(INT(B775)&lt;CFG_PSTART,INT(B775)&gt;CFG_PEND),"Fecha fuera del período",IF(OR(NOT(ISNUMBER(Z775)),NOT(ISNUMBER(AA775))),"Falta hora inicio/fin o formato inválido",IF(AB775=0,"Hora inicio = hora fin",IF(AE775&lt;0,"Descanso inválido",IF(AE775&gt;=AD775,"Descanso ≥ duración",IF(AV775=1,"Registro duplicado",IF(AZ775&gt;0,"Se superpone con otro registro "&amp;D775,IF(BB775=0,"inicio, fin y duración neta deben ser múltiplos de "&amp;CFG_BLK&amp;" min",""))))))))))))</f>
        <v/>
      </c>
      <c r="BD775" s="80">
        <f>IF(AND(Y775=1,BC775=""),1,0)</f>
        <v>0</v>
      </c>
      <c r="BE775" s="80">
        <f>IF(AND(BD775=1,AU775=1),1,0)</f>
        <v>0</v>
      </c>
      <c r="BF775" s="80" t="str">
        <f>IF(AND(D775="proMX",BD775=1),IF(R775="","Draft",R775),"")</f>
        <v/>
      </c>
      <c r="BG775" s="80">
        <f>IF(BD775=1,ROUND(AG775/60,6),0)</f>
        <v>0</v>
      </c>
      <c r="BH775" s="80">
        <f>IF(BE775=1,ROUND(AG775/60,6),0)</f>
        <v>0</v>
      </c>
      <c r="BI775" s="80">
        <f>IF(BE775=1,ROUND(AP775/60,6),0)</f>
        <v>0</v>
      </c>
      <c r="BJ775" s="80">
        <f>IF(BE775=1,ROUND(AQ775/60,6),0)</f>
        <v>0</v>
      </c>
      <c r="BK775" s="80">
        <f>IF(BE775=1,ROUND((AR775+AS775)/60,6),0)</f>
        <v>0</v>
      </c>
      <c r="BL775" s="80">
        <f>ROUND(BH775-BK775,6)</f>
        <v>0</v>
      </c>
      <c r="BM775" s="80">
        <f>IF(BE775=1,ROUND(AR775/60,6),0)</f>
        <v>0</v>
      </c>
      <c r="BN775" s="80">
        <f>ROUND(BI775-BM775,6)</f>
        <v>0</v>
      </c>
      <c r="BO775" s="80">
        <f>IF(BE775=1,ROUND(AS775/60,6),0)</f>
        <v>0</v>
      </c>
      <c r="BP775" s="80">
        <f>ROUND(BJ775-BO775,6)</f>
        <v>0</v>
      </c>
      <c r="BQ775" s="80">
        <f>IF(BE775=1,AW775,0)</f>
        <v>0</v>
      </c>
      <c r="BR775" s="80">
        <f>IF(BE775=1,AX775,0)</f>
        <v>0</v>
      </c>
      <c r="BS775" s="80">
        <f>IF(AND(BE775=1,D775="Malcolm",BA775&gt;0),MIN(BH775,SUMPRODUCT((R_Emp="proMX")*(R_EN&gt;0)*((R_EN-(R_EN&gt;BR775)*(R_EN-BR775))&gt;(R_SN+(R_SN&lt;BQ775)*(BQ775-R_SN)))*((R_EN-(R_EN&gt;BR775)*(R_EN-BR775))-(R_SN+(R_SN&lt;BQ775)*(BQ775-R_SN))))/60),0)</f>
        <v>0</v>
      </c>
      <c r="BT775" s="80">
        <f>IF(AND(BE775=1,D775="proMX"),ROUND(BI775*CFG_RATE+BJ775*CFG_OTRATE,6),0)</f>
        <v>0</v>
      </c>
      <c r="BU775" s="80">
        <f>IF(AND(BD775=1,D775="proMX"),ROUND(AG775/CFG_BLK,6),0)</f>
        <v>0</v>
      </c>
      <c r="BV775" s="80" t="str">
        <f>IF(BF775="Approved",IF(ISNUMBER(T775),INT(T775),INT(B775)),"")</f>
        <v/>
      </c>
      <c r="BW775" s="80">
        <f>IF(ISNUMBER(B775),IF(DB_MON="Todos",1,IF(AND(INT(B775)&gt;=DB_MS,INT(B775)&lt;=DB_ME),1,0)),0)</f>
        <v>0</v>
      </c>
      <c r="BX775" s="80">
        <f>IF(DB_PROJ="Todos",1,IF(E775&amp;""=DB_PROJ&amp;"",1,0))</f>
        <v>1</v>
      </c>
      <c r="BY775" s="80">
        <f>BW775*BX775</f>
        <v>0</v>
      </c>
      <c r="BZ775" s="80" t="str">
        <f>IF(Y775=1,F775&amp;IF(AND(F775&amp;""&lt;&gt;"",E775&amp;""&lt;&gt;"")," · ","")&amp;E775,"")</f>
        <v/>
      </c>
      <c r="CA775" s="80" t="str">
        <f>IF(AND(BD775=1,E775&amp;""&lt;&gt;""),IF(COUNTIFS($E$5:E774,E775,$BD$5:BD774,1)=0,MAX($CA$5:CA774)+1,""),"")</f>
        <v/>
      </c>
      <c r="CB775" s="80" t="str">
        <f>IF(AND(BE775=1,D775="Malcolm",E775&amp;""&lt;&gt;""),IF(COUNTIFS($D$5:D774,"Malcolm",$E$5:E774,E775,$BE$5:BE774,1)=0,MAX($CB$5:CB774)+1,""),"")</f>
        <v/>
      </c>
      <c r="CC775" s="80" t="str">
        <f>IF(AND(BD775=1,D775="proMX",E775&amp;""&lt;&gt;""),IF(COUNTIFS($D$5:D774,"proMX",$E$5:E774,E775,$BD$5:BD774,1)=0,MAX($CC$5:CC774)+1,""),"")</f>
        <v/>
      </c>
      <c r="CD775" s="80" t="str">
        <f>IF(AND(BE775=1,D775="Malcolm",F775&amp;""&lt;&gt;""),IF(COUNTIFS($D$5:D774,"Malcolm",$F$5:F774,F775,$BE$5:BE774,1)=0,MAX($CD$5:CD774)+1,""),"")</f>
        <v/>
      </c>
      <c r="CE775" s="80" t="str">
        <f>IF(AND(BD775=1,D775="proMX",F775&amp;""&lt;&gt;""),IF(COUNTIFS($D$5:D774,"proMX",$F$5:F774,F775,$BD$5:BD774,1)=0,MAX($CE$5:CE774)+1,""),"")</f>
        <v/>
      </c>
      <c r="CF775" s="80" t="str">
        <f>IF(AND(D775="proMX",BD775=1),IF(OR(BF775="Draft",BF775="Submitted",BF775="Returned",BF775="Recall Requested"),MAX($CF$5:CF774)+1,""),"")</f>
        <v/>
      </c>
      <c r="CG775" s="80">
        <f>IF(BD775=0,0,IF(D775="Malcolm",1,MATCH(BF775,{"Draft","Submitted","Approved","Returned","Recall Requested","Cancelled"},0)+1))</f>
        <v>0</v>
      </c>
      <c r="CH775" s="80">
        <f>IF(AND(BF775="Submitted",ISNUMBER(V775)),IF(V775&gt;CFG_MAXD,1,0),0)</f>
        <v>0</v>
      </c>
    </row>
    <row r="776">
      <c r="A776" s="71" t="str">
        <f>IF(Y776=1,ROW()-5,"")</f>
        <v/>
      </c>
      <c r="B776" s="72" t="n"/>
      <c r="C776" s="71" t="str">
        <f>IF(ISNUMBER(B776),CHOOSE(WEEKDAY(B776,2),"Lun","Mar","Mié","Jue","Vie","Sáb","Dom"),"")</f>
        <v/>
      </c>
      <c r="D776" s="73" t="n"/>
      <c r="E776" s="74" t="n"/>
      <c r="F776" s="74" t="n"/>
      <c r="G776" s="74" t="n"/>
      <c r="H776" s="75" t="n"/>
      <c r="I776" s="75" t="n"/>
      <c r="J776" s="76" t="n"/>
      <c r="K776" s="77" t="str">
        <f>IF(AB776=1,ROUND(AG776/60,4),"")</f>
        <v/>
      </c>
      <c r="L776" s="77" t="str">
        <f>IF(BD776=1,ROUND(AP776/60,4),"")</f>
        <v/>
      </c>
      <c r="M776" s="77" t="str">
        <f>IF(BD776=1,ROUND(AQ776/60,4),"")</f>
        <v/>
      </c>
      <c r="N776" s="71" t="str">
        <f>IF(AND(D776="proMX",AB776=1),ROUND(AG776/CFG_BLK,2),"")</f>
        <v/>
      </c>
      <c r="O776" s="77" t="str">
        <f>IF(D776="proMX",IF(BD776=1,ROUND(AG776/60,4),0),"")</f>
        <v/>
      </c>
      <c r="P776" s="78" t="str">
        <f>IF(Y776=0,"",IF(BD776=1,"OK",IF(D776="proMX","Revisar bloques: ","Revisar: ")&amp;BC776))</f>
        <v/>
      </c>
      <c r="Q776" s="78" t="str">
        <f>IF(NOT(ISNUMBER(B776)),"",IF(COUNTIFS(FER_F,INT(B776))&gt;0,"Feriado"&amp;IF(AH776=1," (laborable)"," (no laborable)"),IF(AH776=1,"Laborable",IF(WEEKDAY(B776,2)&gt;5,"Fin de semana","No laborable"))))</f>
        <v/>
      </c>
      <c r="R776" s="73" t="n"/>
      <c r="S776" s="72" t="n"/>
      <c r="T776" s="72" t="n"/>
      <c r="U776" s="74" t="n"/>
      <c r="V776" s="79" t="str">
        <f>IF(AND(D776="proMX",OR(R776="Submitted",R776="Recall Requested"),ISNUMBER(S776)),CFG_TODAY-INT(S776),"")</f>
        <v/>
      </c>
      <c r="W776" s="78" t="str">
        <f>IF(BD776=0,"",IF(BA776&gt;0,"⚠ Se superpone con un registro de la otra empresa",IF(D776="Malcolm",IF(COUNTA(R776,S776,T776)&gt;0,"Estado/fechas proMX se ignoran en Malcolm",""),IF(BF776="Cancelled","Cancelado: excluido de totales",IF(R776="","Sin estado: se trata como Draft",IF(BF776="Submitted",IF(ISNUMBER(V776),IF(V776&gt;CFG_MAXD,"⚠ "&amp;V776&amp;" días en Submitted (máx. "&amp;CFG_MAXD&amp;")",""),"Falta fecha de envío"),IF(BF776="Returned","⚠ Devuelto: corregir y reenviar",IF(BF776="Recall Requested","Retirada solicitada: pendiente",IF(AND(BF776="Approved",NOT(ISNUMBER(T776))),"Falta fecha de aprobación",IF(AND(ISNUMBER(S776),ISNUMBER(T776),T776&lt;S776),"Aprobación anterior al envío","")))))))))</f>
        <v/>
      </c>
      <c r="Y776" s="80">
        <f>IF(COUNTA(B776,D776,E776,F776,G776,H776,I776,J776,R776,S776,T776)&gt;0,1,0)</f>
        <v>0</v>
      </c>
      <c r="Z776" s="80" t="str">
        <f>IF(AND(ISNUMBER(H776),H776&gt;=0,H776&lt;1),ROUND(H776*1440,0),"")</f>
        <v/>
      </c>
      <c r="AA776" s="80" t="str">
        <f>IF(AND(ISNUMBER(I776),I776&gt;=0,I776&lt;1),ROUND(I776*1440,0),"")</f>
        <v/>
      </c>
      <c r="AB776" s="80">
        <f>IF(AND(ISNUMBER(B776),D776&lt;&gt;"",ISNUMBER(Z776),ISNUMBER(AA776)),IF(Z776=AA776,0,1),0)</f>
        <v>0</v>
      </c>
      <c r="AC776" s="80">
        <f>IF(AB776=1,IF(AA776&lt;Z776,1,0),0)</f>
        <v>0</v>
      </c>
      <c r="AD776" s="80">
        <f>IF(AB776=1,IF(AC776=1,1440-Z776+AA776,AA776-Z776),0)</f>
        <v>0</v>
      </c>
      <c r="AE776" s="80">
        <f>IF(J776="",0,IF(ISNUMBER(J776),J776,-1))</f>
        <v>0</v>
      </c>
      <c r="AF776" s="80">
        <f>MIN(MAX(0,AE776),AD776)</f>
        <v>0</v>
      </c>
      <c r="AG776" s="80">
        <f>MAX(0,AD776-MAX(0,AE776))</f>
        <v>0</v>
      </c>
      <c r="AH776" s="80">
        <f>IF(ISNUMBER(B776),IF(AND(INDEX(CFG_WDAYS,WEEKDAY(INT(B776),2))="Sí",IF(D776="proMX",COUNTIFS(FER_F,INT(B776),FER_NLP,"Sí"),COUNTIFS(FER_F,INT(B776),FER_NLM,"Sí"))=0),1,0),0)</f>
        <v>0</v>
      </c>
      <c r="AI776" s="80">
        <f>IF(AC776=1,IF(AND(INDEX(CFG_WDAYS,WEEKDAY(INT(B776)+1,2))="Sí",IF(D776="proMX",COUNTIFS(FER_F,INT(B776)+1,FER_NLP,"Sí"),COUNTIFS(FER_F,INT(B776)+1,FER_NLM,"Sí"))=0),1,0),0)</f>
        <v>0</v>
      </c>
      <c r="AJ776" s="80">
        <f>IF(AC776=1,1440-Z776,AD776)</f>
        <v>0</v>
      </c>
      <c r="AK776" s="80">
        <f>IF(AND(AB776=1,AH776=1),MAX(0,MIN(IF(AC776=1,1440,AA776),CFG_WEM)-MAX(Z776,CFG_WSM)),0)</f>
        <v>0</v>
      </c>
      <c r="AL776" s="80">
        <f>IF(AND(AC776=1,AI776=1),MAX(0,MIN(AA776,CFG_WEM)-CFG_WSM),0)</f>
        <v>0</v>
      </c>
      <c r="AM776" s="80">
        <f>AK776+AL776</f>
        <v>0</v>
      </c>
      <c r="AN776" s="80">
        <f>IF(CFG_BRK="Proporcional",IF(AD776=0,0,AF776*AM776/AD776),IF(CFG_BRK="Extras primero",MIN(AM776,MAX(0,AF776-(AD776-AM776))),MIN(AF776,AM776)))</f>
        <v>0</v>
      </c>
      <c r="AO776" s="80">
        <f>AF776-AN776</f>
        <v>0</v>
      </c>
      <c r="AP776" s="80">
        <f>AM776-AN776</f>
        <v>0</v>
      </c>
      <c r="AQ776" s="80">
        <f>AD776-AM776-AO776</f>
        <v>0</v>
      </c>
      <c r="AR776" s="80">
        <f>IF(AM776=0,0,AK776-AN776*AK776/AM776)</f>
        <v>0</v>
      </c>
      <c r="AS776" s="80">
        <f>IF(AD776-AM776=0,0,(AJ776-AK776)-AO776*(AJ776-AK776)/(AD776-AM776))</f>
        <v>0</v>
      </c>
      <c r="AT776" s="80" t="str">
        <f>IF(AC776=1,INT(B776)+1,"")</f>
        <v/>
      </c>
      <c r="AU776" s="80">
        <f>IF(AND(D776="proMX",R776="Cancelled"),0,1)</f>
        <v>1</v>
      </c>
      <c r="AV776" s="80">
        <f>IF(AND(AB776=1,AU776=1),IF(COUNTIFS($D$5:D775,D776,$B$5:B775,B776,$Z$5:Z775,Z776,$AA$5:AA775,AA776,$F$5:F775,F776&amp;"",$AU$5:AU775,1)&gt;0,1,0),0)</f>
        <v>0</v>
      </c>
      <c r="AW776" s="80" t="str">
        <f>IF(AB776=1,INT(B776)*1440+Z776,"")</f>
        <v/>
      </c>
      <c r="AX776" s="80" t="str">
        <f>IF(AB776=1,AW776+AD776,"")</f>
        <v/>
      </c>
      <c r="AY776" s="80">
        <f>IF(AND(AB776=1,AV776=0,AU776=1),1,0)</f>
        <v>0</v>
      </c>
      <c r="AZ776" s="80">
        <f>IF(AY776=1,COUNTIFS(R_Emp,D776,R_SAbs,"&lt;"&amp;AX776,R_EAbs,"&gt;"&amp;AW776,R_OKey,1)-1,0)</f>
        <v>0</v>
      </c>
      <c r="BA776" s="80">
        <f>IF(AY776=1,COUNTIFS(R_Emp,"&lt;&gt;"&amp;D776,R_SAbs,"&lt;"&amp;AX776,R_EAbs,"&gt;"&amp;AW776,R_OKey,1),0)</f>
        <v>0</v>
      </c>
      <c r="BB776" s="80">
        <f>IF(AND(AB776=1,D776="proMX"),IF(AND(MOD(Z776,CFG_BLK)=0,MOD(AA776,CFG_BLK)=0,MOD(AG776,CFG_BLK)=0,AG776&gt;0),1,0),1)</f>
        <v>1</v>
      </c>
      <c r="BC776" s="80" t="str">
        <f>IF(Y776=0,"",IF(NOT(ISNUMBER(B776)),"Falta fecha o fecha inválida",IF(D776="","Falta empresa",IF(AND(D776&lt;&gt;"Malcolm",D776&lt;&gt;"proMX"),"Empresa inválida",IF(OR(INT(B776)&lt;CFG_PSTART,INT(B776)&gt;CFG_PEND),"Fecha fuera del período",IF(OR(NOT(ISNUMBER(Z776)),NOT(ISNUMBER(AA776))),"Falta hora inicio/fin o formato inválido",IF(AB776=0,"Hora inicio = hora fin",IF(AE776&lt;0,"Descanso inválido",IF(AE776&gt;=AD776,"Descanso ≥ duración",IF(AV776=1,"Registro duplicado",IF(AZ776&gt;0,"Se superpone con otro registro "&amp;D776,IF(BB776=0,"inicio, fin y duración neta deben ser múltiplos de "&amp;CFG_BLK&amp;" min",""))))))))))))</f>
        <v/>
      </c>
      <c r="BD776" s="80">
        <f>IF(AND(Y776=1,BC776=""),1,0)</f>
        <v>0</v>
      </c>
      <c r="BE776" s="80">
        <f>IF(AND(BD776=1,AU776=1),1,0)</f>
        <v>0</v>
      </c>
      <c r="BF776" s="80" t="str">
        <f>IF(AND(D776="proMX",BD776=1),IF(R776="","Draft",R776),"")</f>
        <v/>
      </c>
      <c r="BG776" s="80">
        <f>IF(BD776=1,ROUND(AG776/60,6),0)</f>
        <v>0</v>
      </c>
      <c r="BH776" s="80">
        <f>IF(BE776=1,ROUND(AG776/60,6),0)</f>
        <v>0</v>
      </c>
      <c r="BI776" s="80">
        <f>IF(BE776=1,ROUND(AP776/60,6),0)</f>
        <v>0</v>
      </c>
      <c r="BJ776" s="80">
        <f>IF(BE776=1,ROUND(AQ776/60,6),0)</f>
        <v>0</v>
      </c>
      <c r="BK776" s="80">
        <f>IF(BE776=1,ROUND((AR776+AS776)/60,6),0)</f>
        <v>0</v>
      </c>
      <c r="BL776" s="80">
        <f>ROUND(BH776-BK776,6)</f>
        <v>0</v>
      </c>
      <c r="BM776" s="80">
        <f>IF(BE776=1,ROUND(AR776/60,6),0)</f>
        <v>0</v>
      </c>
      <c r="BN776" s="80">
        <f>ROUND(BI776-BM776,6)</f>
        <v>0</v>
      </c>
      <c r="BO776" s="80">
        <f>IF(BE776=1,ROUND(AS776/60,6),0)</f>
        <v>0</v>
      </c>
      <c r="BP776" s="80">
        <f>ROUND(BJ776-BO776,6)</f>
        <v>0</v>
      </c>
      <c r="BQ776" s="80">
        <f>IF(BE776=1,AW776,0)</f>
        <v>0</v>
      </c>
      <c r="BR776" s="80">
        <f>IF(BE776=1,AX776,0)</f>
        <v>0</v>
      </c>
      <c r="BS776" s="80">
        <f>IF(AND(BE776=1,D776="Malcolm",BA776&gt;0),MIN(BH776,SUMPRODUCT((R_Emp="proMX")*(R_EN&gt;0)*((R_EN-(R_EN&gt;BR776)*(R_EN-BR776))&gt;(R_SN+(R_SN&lt;BQ776)*(BQ776-R_SN)))*((R_EN-(R_EN&gt;BR776)*(R_EN-BR776))-(R_SN+(R_SN&lt;BQ776)*(BQ776-R_SN))))/60),0)</f>
        <v>0</v>
      </c>
      <c r="BT776" s="80">
        <f>IF(AND(BE776=1,D776="proMX"),ROUND(BI776*CFG_RATE+BJ776*CFG_OTRATE,6),0)</f>
        <v>0</v>
      </c>
      <c r="BU776" s="80">
        <f>IF(AND(BD776=1,D776="proMX"),ROUND(AG776/CFG_BLK,6),0)</f>
        <v>0</v>
      </c>
      <c r="BV776" s="80" t="str">
        <f>IF(BF776="Approved",IF(ISNUMBER(T776),INT(T776),INT(B776)),"")</f>
        <v/>
      </c>
      <c r="BW776" s="80">
        <f>IF(ISNUMBER(B776),IF(DB_MON="Todos",1,IF(AND(INT(B776)&gt;=DB_MS,INT(B776)&lt;=DB_ME),1,0)),0)</f>
        <v>0</v>
      </c>
      <c r="BX776" s="80">
        <f>IF(DB_PROJ="Todos",1,IF(E776&amp;""=DB_PROJ&amp;"",1,0))</f>
        <v>1</v>
      </c>
      <c r="BY776" s="80">
        <f>BW776*BX776</f>
        <v>0</v>
      </c>
      <c r="BZ776" s="80" t="str">
        <f>IF(Y776=1,F776&amp;IF(AND(F776&amp;""&lt;&gt;"",E776&amp;""&lt;&gt;"")," · ","")&amp;E776,"")</f>
        <v/>
      </c>
      <c r="CA776" s="80" t="str">
        <f>IF(AND(BD776=1,E776&amp;""&lt;&gt;""),IF(COUNTIFS($E$5:E775,E776,$BD$5:BD775,1)=0,MAX($CA$5:CA775)+1,""),"")</f>
        <v/>
      </c>
      <c r="CB776" s="80" t="str">
        <f>IF(AND(BE776=1,D776="Malcolm",E776&amp;""&lt;&gt;""),IF(COUNTIFS($D$5:D775,"Malcolm",$E$5:E775,E776,$BE$5:BE775,1)=0,MAX($CB$5:CB775)+1,""),"")</f>
        <v/>
      </c>
      <c r="CC776" s="80" t="str">
        <f>IF(AND(BD776=1,D776="proMX",E776&amp;""&lt;&gt;""),IF(COUNTIFS($D$5:D775,"proMX",$E$5:E775,E776,$BD$5:BD775,1)=0,MAX($CC$5:CC775)+1,""),"")</f>
        <v/>
      </c>
      <c r="CD776" s="80" t="str">
        <f>IF(AND(BE776=1,D776="Malcolm",F776&amp;""&lt;&gt;""),IF(COUNTIFS($D$5:D775,"Malcolm",$F$5:F775,F776,$BE$5:BE775,1)=0,MAX($CD$5:CD775)+1,""),"")</f>
        <v/>
      </c>
      <c r="CE776" s="80" t="str">
        <f>IF(AND(BD776=1,D776="proMX",F776&amp;""&lt;&gt;""),IF(COUNTIFS($D$5:D775,"proMX",$F$5:F775,F776,$BD$5:BD775,1)=0,MAX($CE$5:CE775)+1,""),"")</f>
        <v/>
      </c>
      <c r="CF776" s="80" t="str">
        <f>IF(AND(D776="proMX",BD776=1),IF(OR(BF776="Draft",BF776="Submitted",BF776="Returned",BF776="Recall Requested"),MAX($CF$5:CF775)+1,""),"")</f>
        <v/>
      </c>
      <c r="CG776" s="80">
        <f>IF(BD776=0,0,IF(D776="Malcolm",1,MATCH(BF776,{"Draft","Submitted","Approved","Returned","Recall Requested","Cancelled"},0)+1))</f>
        <v>0</v>
      </c>
      <c r="CH776" s="80">
        <f>IF(AND(BF776="Submitted",ISNUMBER(V776)),IF(V776&gt;CFG_MAXD,1,0),0)</f>
        <v>0</v>
      </c>
    </row>
    <row r="777">
      <c r="A777" s="71" t="str">
        <f>IF(Y777=1,ROW()-5,"")</f>
        <v/>
      </c>
      <c r="B777" s="72" t="n"/>
      <c r="C777" s="71" t="str">
        <f>IF(ISNUMBER(B777),CHOOSE(WEEKDAY(B777,2),"Lun","Mar","Mié","Jue","Vie","Sáb","Dom"),"")</f>
        <v/>
      </c>
      <c r="D777" s="73" t="n"/>
      <c r="E777" s="74" t="n"/>
      <c r="F777" s="74" t="n"/>
      <c r="G777" s="74" t="n"/>
      <c r="H777" s="75" t="n"/>
      <c r="I777" s="75" t="n"/>
      <c r="J777" s="76" t="n"/>
      <c r="K777" s="77" t="str">
        <f>IF(AB777=1,ROUND(AG777/60,4),"")</f>
        <v/>
      </c>
      <c r="L777" s="77" t="str">
        <f>IF(BD777=1,ROUND(AP777/60,4),"")</f>
        <v/>
      </c>
      <c r="M777" s="77" t="str">
        <f>IF(BD777=1,ROUND(AQ777/60,4),"")</f>
        <v/>
      </c>
      <c r="N777" s="71" t="str">
        <f>IF(AND(D777="proMX",AB777=1),ROUND(AG777/CFG_BLK,2),"")</f>
        <v/>
      </c>
      <c r="O777" s="77" t="str">
        <f>IF(D777="proMX",IF(BD777=1,ROUND(AG777/60,4),0),"")</f>
        <v/>
      </c>
      <c r="P777" s="78" t="str">
        <f>IF(Y777=0,"",IF(BD777=1,"OK",IF(D777="proMX","Revisar bloques: ","Revisar: ")&amp;BC777))</f>
        <v/>
      </c>
      <c r="Q777" s="78" t="str">
        <f>IF(NOT(ISNUMBER(B777)),"",IF(COUNTIFS(FER_F,INT(B777))&gt;0,"Feriado"&amp;IF(AH777=1," (laborable)"," (no laborable)"),IF(AH777=1,"Laborable",IF(WEEKDAY(B777,2)&gt;5,"Fin de semana","No laborable"))))</f>
        <v/>
      </c>
      <c r="R777" s="73" t="n"/>
      <c r="S777" s="72" t="n"/>
      <c r="T777" s="72" t="n"/>
      <c r="U777" s="74" t="n"/>
      <c r="V777" s="79" t="str">
        <f>IF(AND(D777="proMX",OR(R777="Submitted",R777="Recall Requested"),ISNUMBER(S777)),CFG_TODAY-INT(S777),"")</f>
        <v/>
      </c>
      <c r="W777" s="78" t="str">
        <f>IF(BD777=0,"",IF(BA777&gt;0,"⚠ Se superpone con un registro de la otra empresa",IF(D777="Malcolm",IF(COUNTA(R777,S777,T777)&gt;0,"Estado/fechas proMX se ignoran en Malcolm",""),IF(BF777="Cancelled","Cancelado: excluido de totales",IF(R777="","Sin estado: se trata como Draft",IF(BF777="Submitted",IF(ISNUMBER(V777),IF(V777&gt;CFG_MAXD,"⚠ "&amp;V777&amp;" días en Submitted (máx. "&amp;CFG_MAXD&amp;")",""),"Falta fecha de envío"),IF(BF777="Returned","⚠ Devuelto: corregir y reenviar",IF(BF777="Recall Requested","Retirada solicitada: pendiente",IF(AND(BF777="Approved",NOT(ISNUMBER(T777))),"Falta fecha de aprobación",IF(AND(ISNUMBER(S777),ISNUMBER(T777),T777&lt;S777),"Aprobación anterior al envío","")))))))))</f>
        <v/>
      </c>
      <c r="Y777" s="80">
        <f>IF(COUNTA(B777,D777,E777,F777,G777,H777,I777,J777,R777,S777,T777)&gt;0,1,0)</f>
        <v>0</v>
      </c>
      <c r="Z777" s="80" t="str">
        <f>IF(AND(ISNUMBER(H777),H777&gt;=0,H777&lt;1),ROUND(H777*1440,0),"")</f>
        <v/>
      </c>
      <c r="AA777" s="80" t="str">
        <f>IF(AND(ISNUMBER(I777),I777&gt;=0,I777&lt;1),ROUND(I777*1440,0),"")</f>
        <v/>
      </c>
      <c r="AB777" s="80">
        <f>IF(AND(ISNUMBER(B777),D777&lt;&gt;"",ISNUMBER(Z777),ISNUMBER(AA777)),IF(Z777=AA777,0,1),0)</f>
        <v>0</v>
      </c>
      <c r="AC777" s="80">
        <f>IF(AB777=1,IF(AA777&lt;Z777,1,0),0)</f>
        <v>0</v>
      </c>
      <c r="AD777" s="80">
        <f>IF(AB777=1,IF(AC777=1,1440-Z777+AA777,AA777-Z777),0)</f>
        <v>0</v>
      </c>
      <c r="AE777" s="80">
        <f>IF(J777="",0,IF(ISNUMBER(J777),J777,-1))</f>
        <v>0</v>
      </c>
      <c r="AF777" s="80">
        <f>MIN(MAX(0,AE777),AD777)</f>
        <v>0</v>
      </c>
      <c r="AG777" s="80">
        <f>MAX(0,AD777-MAX(0,AE777))</f>
        <v>0</v>
      </c>
      <c r="AH777" s="80">
        <f>IF(ISNUMBER(B777),IF(AND(INDEX(CFG_WDAYS,WEEKDAY(INT(B777),2))="Sí",IF(D777="proMX",COUNTIFS(FER_F,INT(B777),FER_NLP,"Sí"),COUNTIFS(FER_F,INT(B777),FER_NLM,"Sí"))=0),1,0),0)</f>
        <v>0</v>
      </c>
      <c r="AI777" s="80">
        <f>IF(AC777=1,IF(AND(INDEX(CFG_WDAYS,WEEKDAY(INT(B777)+1,2))="Sí",IF(D777="proMX",COUNTIFS(FER_F,INT(B777)+1,FER_NLP,"Sí"),COUNTIFS(FER_F,INT(B777)+1,FER_NLM,"Sí"))=0),1,0),0)</f>
        <v>0</v>
      </c>
      <c r="AJ777" s="80">
        <f>IF(AC777=1,1440-Z777,AD777)</f>
        <v>0</v>
      </c>
      <c r="AK777" s="80">
        <f>IF(AND(AB777=1,AH777=1),MAX(0,MIN(IF(AC777=1,1440,AA777),CFG_WEM)-MAX(Z777,CFG_WSM)),0)</f>
        <v>0</v>
      </c>
      <c r="AL777" s="80">
        <f>IF(AND(AC777=1,AI777=1),MAX(0,MIN(AA777,CFG_WEM)-CFG_WSM),0)</f>
        <v>0</v>
      </c>
      <c r="AM777" s="80">
        <f>AK777+AL777</f>
        <v>0</v>
      </c>
      <c r="AN777" s="80">
        <f>IF(CFG_BRK="Proporcional",IF(AD777=0,0,AF777*AM777/AD777),IF(CFG_BRK="Extras primero",MIN(AM777,MAX(0,AF777-(AD777-AM777))),MIN(AF777,AM777)))</f>
        <v>0</v>
      </c>
      <c r="AO777" s="80">
        <f>AF777-AN777</f>
        <v>0</v>
      </c>
      <c r="AP777" s="80">
        <f>AM777-AN777</f>
        <v>0</v>
      </c>
      <c r="AQ777" s="80">
        <f>AD777-AM777-AO777</f>
        <v>0</v>
      </c>
      <c r="AR777" s="80">
        <f>IF(AM777=0,0,AK777-AN777*AK777/AM777)</f>
        <v>0</v>
      </c>
      <c r="AS777" s="80">
        <f>IF(AD777-AM777=0,0,(AJ777-AK777)-AO777*(AJ777-AK777)/(AD777-AM777))</f>
        <v>0</v>
      </c>
      <c r="AT777" s="80" t="str">
        <f>IF(AC777=1,INT(B777)+1,"")</f>
        <v/>
      </c>
      <c r="AU777" s="80">
        <f>IF(AND(D777="proMX",R777="Cancelled"),0,1)</f>
        <v>1</v>
      </c>
      <c r="AV777" s="80">
        <f>IF(AND(AB777=1,AU777=1),IF(COUNTIFS($D$5:D776,D777,$B$5:B776,B777,$Z$5:Z776,Z777,$AA$5:AA776,AA777,$F$5:F776,F777&amp;"",$AU$5:AU776,1)&gt;0,1,0),0)</f>
        <v>0</v>
      </c>
      <c r="AW777" s="80" t="str">
        <f>IF(AB777=1,INT(B777)*1440+Z777,"")</f>
        <v/>
      </c>
      <c r="AX777" s="80" t="str">
        <f>IF(AB777=1,AW777+AD777,"")</f>
        <v/>
      </c>
      <c r="AY777" s="80">
        <f>IF(AND(AB777=1,AV777=0,AU777=1),1,0)</f>
        <v>0</v>
      </c>
      <c r="AZ777" s="80">
        <f>IF(AY777=1,COUNTIFS(R_Emp,D777,R_SAbs,"&lt;"&amp;AX777,R_EAbs,"&gt;"&amp;AW777,R_OKey,1)-1,0)</f>
        <v>0</v>
      </c>
      <c r="BA777" s="80">
        <f>IF(AY777=1,COUNTIFS(R_Emp,"&lt;&gt;"&amp;D777,R_SAbs,"&lt;"&amp;AX777,R_EAbs,"&gt;"&amp;AW777,R_OKey,1),0)</f>
        <v>0</v>
      </c>
      <c r="BB777" s="80">
        <f>IF(AND(AB777=1,D777="proMX"),IF(AND(MOD(Z777,CFG_BLK)=0,MOD(AA777,CFG_BLK)=0,MOD(AG777,CFG_BLK)=0,AG777&gt;0),1,0),1)</f>
        <v>1</v>
      </c>
      <c r="BC777" s="80" t="str">
        <f>IF(Y777=0,"",IF(NOT(ISNUMBER(B777)),"Falta fecha o fecha inválida",IF(D777="","Falta empresa",IF(AND(D777&lt;&gt;"Malcolm",D777&lt;&gt;"proMX"),"Empresa inválida",IF(OR(INT(B777)&lt;CFG_PSTART,INT(B777)&gt;CFG_PEND),"Fecha fuera del período",IF(OR(NOT(ISNUMBER(Z777)),NOT(ISNUMBER(AA777))),"Falta hora inicio/fin o formato inválido",IF(AB777=0,"Hora inicio = hora fin",IF(AE777&lt;0,"Descanso inválido",IF(AE777&gt;=AD777,"Descanso ≥ duración",IF(AV777=1,"Registro duplicado",IF(AZ777&gt;0,"Se superpone con otro registro "&amp;D777,IF(BB777=0,"inicio, fin y duración neta deben ser múltiplos de "&amp;CFG_BLK&amp;" min",""))))))))))))</f>
        <v/>
      </c>
      <c r="BD777" s="80">
        <f>IF(AND(Y777=1,BC777=""),1,0)</f>
        <v>0</v>
      </c>
      <c r="BE777" s="80">
        <f>IF(AND(BD777=1,AU777=1),1,0)</f>
        <v>0</v>
      </c>
      <c r="BF777" s="80" t="str">
        <f>IF(AND(D777="proMX",BD777=1),IF(R777="","Draft",R777),"")</f>
        <v/>
      </c>
      <c r="BG777" s="80">
        <f>IF(BD777=1,ROUND(AG777/60,6),0)</f>
        <v>0</v>
      </c>
      <c r="BH777" s="80">
        <f>IF(BE777=1,ROUND(AG777/60,6),0)</f>
        <v>0</v>
      </c>
      <c r="BI777" s="80">
        <f>IF(BE777=1,ROUND(AP777/60,6),0)</f>
        <v>0</v>
      </c>
      <c r="BJ777" s="80">
        <f>IF(BE777=1,ROUND(AQ777/60,6),0)</f>
        <v>0</v>
      </c>
      <c r="BK777" s="80">
        <f>IF(BE777=1,ROUND((AR777+AS777)/60,6),0)</f>
        <v>0</v>
      </c>
      <c r="BL777" s="80">
        <f>ROUND(BH777-BK777,6)</f>
        <v>0</v>
      </c>
      <c r="BM777" s="80">
        <f>IF(BE777=1,ROUND(AR777/60,6),0)</f>
        <v>0</v>
      </c>
      <c r="BN777" s="80">
        <f>ROUND(BI777-BM777,6)</f>
        <v>0</v>
      </c>
      <c r="BO777" s="80">
        <f>IF(BE777=1,ROUND(AS777/60,6),0)</f>
        <v>0</v>
      </c>
      <c r="BP777" s="80">
        <f>ROUND(BJ777-BO777,6)</f>
        <v>0</v>
      </c>
      <c r="BQ777" s="80">
        <f>IF(BE777=1,AW777,0)</f>
        <v>0</v>
      </c>
      <c r="BR777" s="80">
        <f>IF(BE777=1,AX777,0)</f>
        <v>0</v>
      </c>
      <c r="BS777" s="80">
        <f>IF(AND(BE777=1,D777="Malcolm",BA777&gt;0),MIN(BH777,SUMPRODUCT((R_Emp="proMX")*(R_EN&gt;0)*((R_EN-(R_EN&gt;BR777)*(R_EN-BR777))&gt;(R_SN+(R_SN&lt;BQ777)*(BQ777-R_SN)))*((R_EN-(R_EN&gt;BR777)*(R_EN-BR777))-(R_SN+(R_SN&lt;BQ777)*(BQ777-R_SN))))/60),0)</f>
        <v>0</v>
      </c>
      <c r="BT777" s="80">
        <f>IF(AND(BE777=1,D777="proMX"),ROUND(BI777*CFG_RATE+BJ777*CFG_OTRATE,6),0)</f>
        <v>0</v>
      </c>
      <c r="BU777" s="80">
        <f>IF(AND(BD777=1,D777="proMX"),ROUND(AG777/CFG_BLK,6),0)</f>
        <v>0</v>
      </c>
      <c r="BV777" s="80" t="str">
        <f>IF(BF777="Approved",IF(ISNUMBER(T777),INT(T777),INT(B777)),"")</f>
        <v/>
      </c>
      <c r="BW777" s="80">
        <f>IF(ISNUMBER(B777),IF(DB_MON="Todos",1,IF(AND(INT(B777)&gt;=DB_MS,INT(B777)&lt;=DB_ME),1,0)),0)</f>
        <v>0</v>
      </c>
      <c r="BX777" s="80">
        <f>IF(DB_PROJ="Todos",1,IF(E777&amp;""=DB_PROJ&amp;"",1,0))</f>
        <v>1</v>
      </c>
      <c r="BY777" s="80">
        <f>BW777*BX777</f>
        <v>0</v>
      </c>
      <c r="BZ777" s="80" t="str">
        <f>IF(Y777=1,F777&amp;IF(AND(F777&amp;""&lt;&gt;"",E777&amp;""&lt;&gt;"")," · ","")&amp;E777,"")</f>
        <v/>
      </c>
      <c r="CA777" s="80" t="str">
        <f>IF(AND(BD777=1,E777&amp;""&lt;&gt;""),IF(COUNTIFS($E$5:E776,E777,$BD$5:BD776,1)=0,MAX($CA$5:CA776)+1,""),"")</f>
        <v/>
      </c>
      <c r="CB777" s="80" t="str">
        <f>IF(AND(BE777=1,D777="Malcolm",E777&amp;""&lt;&gt;""),IF(COUNTIFS($D$5:D776,"Malcolm",$E$5:E776,E777,$BE$5:BE776,1)=0,MAX($CB$5:CB776)+1,""),"")</f>
        <v/>
      </c>
      <c r="CC777" s="80" t="str">
        <f>IF(AND(BD777=1,D777="proMX",E777&amp;""&lt;&gt;""),IF(COUNTIFS($D$5:D776,"proMX",$E$5:E776,E777,$BD$5:BD776,1)=0,MAX($CC$5:CC776)+1,""),"")</f>
        <v/>
      </c>
      <c r="CD777" s="80" t="str">
        <f>IF(AND(BE777=1,D777="Malcolm",F777&amp;""&lt;&gt;""),IF(COUNTIFS($D$5:D776,"Malcolm",$F$5:F776,F777,$BE$5:BE776,1)=0,MAX($CD$5:CD776)+1,""),"")</f>
        <v/>
      </c>
      <c r="CE777" s="80" t="str">
        <f>IF(AND(BD777=1,D777="proMX",F777&amp;""&lt;&gt;""),IF(COUNTIFS($D$5:D776,"proMX",$F$5:F776,F777,$BD$5:BD776,1)=0,MAX($CE$5:CE776)+1,""),"")</f>
        <v/>
      </c>
      <c r="CF777" s="80" t="str">
        <f>IF(AND(D777="proMX",BD777=1),IF(OR(BF777="Draft",BF777="Submitted",BF777="Returned",BF777="Recall Requested"),MAX($CF$5:CF776)+1,""),"")</f>
        <v/>
      </c>
      <c r="CG777" s="80">
        <f>IF(BD777=0,0,IF(D777="Malcolm",1,MATCH(BF777,{"Draft","Submitted","Approved","Returned","Recall Requested","Cancelled"},0)+1))</f>
        <v>0</v>
      </c>
      <c r="CH777" s="80">
        <f>IF(AND(BF777="Submitted",ISNUMBER(V777)),IF(V777&gt;CFG_MAXD,1,0),0)</f>
        <v>0</v>
      </c>
    </row>
    <row r="778">
      <c r="A778" s="71" t="str">
        <f>IF(Y778=1,ROW()-5,"")</f>
        <v/>
      </c>
      <c r="B778" s="72" t="n"/>
      <c r="C778" s="71" t="str">
        <f>IF(ISNUMBER(B778),CHOOSE(WEEKDAY(B778,2),"Lun","Mar","Mié","Jue","Vie","Sáb","Dom"),"")</f>
        <v/>
      </c>
      <c r="D778" s="73" t="n"/>
      <c r="E778" s="74" t="n"/>
      <c r="F778" s="74" t="n"/>
      <c r="G778" s="74" t="n"/>
      <c r="H778" s="75" t="n"/>
      <c r="I778" s="75" t="n"/>
      <c r="J778" s="76" t="n"/>
      <c r="K778" s="77" t="str">
        <f>IF(AB778=1,ROUND(AG778/60,4),"")</f>
        <v/>
      </c>
      <c r="L778" s="77" t="str">
        <f>IF(BD778=1,ROUND(AP778/60,4),"")</f>
        <v/>
      </c>
      <c r="M778" s="77" t="str">
        <f>IF(BD778=1,ROUND(AQ778/60,4),"")</f>
        <v/>
      </c>
      <c r="N778" s="71" t="str">
        <f>IF(AND(D778="proMX",AB778=1),ROUND(AG778/CFG_BLK,2),"")</f>
        <v/>
      </c>
      <c r="O778" s="77" t="str">
        <f>IF(D778="proMX",IF(BD778=1,ROUND(AG778/60,4),0),"")</f>
        <v/>
      </c>
      <c r="P778" s="78" t="str">
        <f>IF(Y778=0,"",IF(BD778=1,"OK",IF(D778="proMX","Revisar bloques: ","Revisar: ")&amp;BC778))</f>
        <v/>
      </c>
      <c r="Q778" s="78" t="str">
        <f>IF(NOT(ISNUMBER(B778)),"",IF(COUNTIFS(FER_F,INT(B778))&gt;0,"Feriado"&amp;IF(AH778=1," (laborable)"," (no laborable)"),IF(AH778=1,"Laborable",IF(WEEKDAY(B778,2)&gt;5,"Fin de semana","No laborable"))))</f>
        <v/>
      </c>
      <c r="R778" s="73" t="n"/>
      <c r="S778" s="72" t="n"/>
      <c r="T778" s="72" t="n"/>
      <c r="U778" s="74" t="n"/>
      <c r="V778" s="79" t="str">
        <f>IF(AND(D778="proMX",OR(R778="Submitted",R778="Recall Requested"),ISNUMBER(S778)),CFG_TODAY-INT(S778),"")</f>
        <v/>
      </c>
      <c r="W778" s="78" t="str">
        <f>IF(BD778=0,"",IF(BA778&gt;0,"⚠ Se superpone con un registro de la otra empresa",IF(D778="Malcolm",IF(COUNTA(R778,S778,T778)&gt;0,"Estado/fechas proMX se ignoran en Malcolm",""),IF(BF778="Cancelled","Cancelado: excluido de totales",IF(R778="","Sin estado: se trata como Draft",IF(BF778="Submitted",IF(ISNUMBER(V778),IF(V778&gt;CFG_MAXD,"⚠ "&amp;V778&amp;" días en Submitted (máx. "&amp;CFG_MAXD&amp;")",""),"Falta fecha de envío"),IF(BF778="Returned","⚠ Devuelto: corregir y reenviar",IF(BF778="Recall Requested","Retirada solicitada: pendiente",IF(AND(BF778="Approved",NOT(ISNUMBER(T778))),"Falta fecha de aprobación",IF(AND(ISNUMBER(S778),ISNUMBER(T778),T778&lt;S778),"Aprobación anterior al envío","")))))))))</f>
        <v/>
      </c>
      <c r="Y778" s="80">
        <f>IF(COUNTA(B778,D778,E778,F778,G778,H778,I778,J778,R778,S778,T778)&gt;0,1,0)</f>
        <v>0</v>
      </c>
      <c r="Z778" s="80" t="str">
        <f>IF(AND(ISNUMBER(H778),H778&gt;=0,H778&lt;1),ROUND(H778*1440,0),"")</f>
        <v/>
      </c>
      <c r="AA778" s="80" t="str">
        <f>IF(AND(ISNUMBER(I778),I778&gt;=0,I778&lt;1),ROUND(I778*1440,0),"")</f>
        <v/>
      </c>
      <c r="AB778" s="80">
        <f>IF(AND(ISNUMBER(B778),D778&lt;&gt;"",ISNUMBER(Z778),ISNUMBER(AA778)),IF(Z778=AA778,0,1),0)</f>
        <v>0</v>
      </c>
      <c r="AC778" s="80">
        <f>IF(AB778=1,IF(AA778&lt;Z778,1,0),0)</f>
        <v>0</v>
      </c>
      <c r="AD778" s="80">
        <f>IF(AB778=1,IF(AC778=1,1440-Z778+AA778,AA778-Z778),0)</f>
        <v>0</v>
      </c>
      <c r="AE778" s="80">
        <f>IF(J778="",0,IF(ISNUMBER(J778),J778,-1))</f>
        <v>0</v>
      </c>
      <c r="AF778" s="80">
        <f>MIN(MAX(0,AE778),AD778)</f>
        <v>0</v>
      </c>
      <c r="AG778" s="80">
        <f>MAX(0,AD778-MAX(0,AE778))</f>
        <v>0</v>
      </c>
      <c r="AH778" s="80">
        <f>IF(ISNUMBER(B778),IF(AND(INDEX(CFG_WDAYS,WEEKDAY(INT(B778),2))="Sí",IF(D778="proMX",COUNTIFS(FER_F,INT(B778),FER_NLP,"Sí"),COUNTIFS(FER_F,INT(B778),FER_NLM,"Sí"))=0),1,0),0)</f>
        <v>0</v>
      </c>
      <c r="AI778" s="80">
        <f>IF(AC778=1,IF(AND(INDEX(CFG_WDAYS,WEEKDAY(INT(B778)+1,2))="Sí",IF(D778="proMX",COUNTIFS(FER_F,INT(B778)+1,FER_NLP,"Sí"),COUNTIFS(FER_F,INT(B778)+1,FER_NLM,"Sí"))=0),1,0),0)</f>
        <v>0</v>
      </c>
      <c r="AJ778" s="80">
        <f>IF(AC778=1,1440-Z778,AD778)</f>
        <v>0</v>
      </c>
      <c r="AK778" s="80">
        <f>IF(AND(AB778=1,AH778=1),MAX(0,MIN(IF(AC778=1,1440,AA778),CFG_WEM)-MAX(Z778,CFG_WSM)),0)</f>
        <v>0</v>
      </c>
      <c r="AL778" s="80">
        <f>IF(AND(AC778=1,AI778=1),MAX(0,MIN(AA778,CFG_WEM)-CFG_WSM),0)</f>
        <v>0</v>
      </c>
      <c r="AM778" s="80">
        <f>AK778+AL778</f>
        <v>0</v>
      </c>
      <c r="AN778" s="80">
        <f>IF(CFG_BRK="Proporcional",IF(AD778=0,0,AF778*AM778/AD778),IF(CFG_BRK="Extras primero",MIN(AM778,MAX(0,AF778-(AD778-AM778))),MIN(AF778,AM778)))</f>
        <v>0</v>
      </c>
      <c r="AO778" s="80">
        <f>AF778-AN778</f>
        <v>0</v>
      </c>
      <c r="AP778" s="80">
        <f>AM778-AN778</f>
        <v>0</v>
      </c>
      <c r="AQ778" s="80">
        <f>AD778-AM778-AO778</f>
        <v>0</v>
      </c>
      <c r="AR778" s="80">
        <f>IF(AM778=0,0,AK778-AN778*AK778/AM778)</f>
        <v>0</v>
      </c>
      <c r="AS778" s="80">
        <f>IF(AD778-AM778=0,0,(AJ778-AK778)-AO778*(AJ778-AK778)/(AD778-AM778))</f>
        <v>0</v>
      </c>
      <c r="AT778" s="80" t="str">
        <f>IF(AC778=1,INT(B778)+1,"")</f>
        <v/>
      </c>
      <c r="AU778" s="80">
        <f>IF(AND(D778="proMX",R778="Cancelled"),0,1)</f>
        <v>1</v>
      </c>
      <c r="AV778" s="80">
        <f>IF(AND(AB778=1,AU778=1),IF(COUNTIFS($D$5:D777,D778,$B$5:B777,B778,$Z$5:Z777,Z778,$AA$5:AA777,AA778,$F$5:F777,F778&amp;"",$AU$5:AU777,1)&gt;0,1,0),0)</f>
        <v>0</v>
      </c>
      <c r="AW778" s="80" t="str">
        <f>IF(AB778=1,INT(B778)*1440+Z778,"")</f>
        <v/>
      </c>
      <c r="AX778" s="80" t="str">
        <f>IF(AB778=1,AW778+AD778,"")</f>
        <v/>
      </c>
      <c r="AY778" s="80">
        <f>IF(AND(AB778=1,AV778=0,AU778=1),1,0)</f>
        <v>0</v>
      </c>
      <c r="AZ778" s="80">
        <f>IF(AY778=1,COUNTIFS(R_Emp,D778,R_SAbs,"&lt;"&amp;AX778,R_EAbs,"&gt;"&amp;AW778,R_OKey,1)-1,0)</f>
        <v>0</v>
      </c>
      <c r="BA778" s="80">
        <f>IF(AY778=1,COUNTIFS(R_Emp,"&lt;&gt;"&amp;D778,R_SAbs,"&lt;"&amp;AX778,R_EAbs,"&gt;"&amp;AW778,R_OKey,1),0)</f>
        <v>0</v>
      </c>
      <c r="BB778" s="80">
        <f>IF(AND(AB778=1,D778="proMX"),IF(AND(MOD(Z778,CFG_BLK)=0,MOD(AA778,CFG_BLK)=0,MOD(AG778,CFG_BLK)=0,AG778&gt;0),1,0),1)</f>
        <v>1</v>
      </c>
      <c r="BC778" s="80" t="str">
        <f>IF(Y778=0,"",IF(NOT(ISNUMBER(B778)),"Falta fecha o fecha inválida",IF(D778="","Falta empresa",IF(AND(D778&lt;&gt;"Malcolm",D778&lt;&gt;"proMX"),"Empresa inválida",IF(OR(INT(B778)&lt;CFG_PSTART,INT(B778)&gt;CFG_PEND),"Fecha fuera del período",IF(OR(NOT(ISNUMBER(Z778)),NOT(ISNUMBER(AA778))),"Falta hora inicio/fin o formato inválido",IF(AB778=0,"Hora inicio = hora fin",IF(AE778&lt;0,"Descanso inválido",IF(AE778&gt;=AD778,"Descanso ≥ duración",IF(AV778=1,"Registro duplicado",IF(AZ778&gt;0,"Se superpone con otro registro "&amp;D778,IF(BB778=0,"inicio, fin y duración neta deben ser múltiplos de "&amp;CFG_BLK&amp;" min",""))))))))))))</f>
        <v/>
      </c>
      <c r="BD778" s="80">
        <f>IF(AND(Y778=1,BC778=""),1,0)</f>
        <v>0</v>
      </c>
      <c r="BE778" s="80">
        <f>IF(AND(BD778=1,AU778=1),1,0)</f>
        <v>0</v>
      </c>
      <c r="BF778" s="80" t="str">
        <f>IF(AND(D778="proMX",BD778=1),IF(R778="","Draft",R778),"")</f>
        <v/>
      </c>
      <c r="BG778" s="80">
        <f>IF(BD778=1,ROUND(AG778/60,6),0)</f>
        <v>0</v>
      </c>
      <c r="BH778" s="80">
        <f>IF(BE778=1,ROUND(AG778/60,6),0)</f>
        <v>0</v>
      </c>
      <c r="BI778" s="80">
        <f>IF(BE778=1,ROUND(AP778/60,6),0)</f>
        <v>0</v>
      </c>
      <c r="BJ778" s="80">
        <f>IF(BE778=1,ROUND(AQ778/60,6),0)</f>
        <v>0</v>
      </c>
      <c r="BK778" s="80">
        <f>IF(BE778=1,ROUND((AR778+AS778)/60,6),0)</f>
        <v>0</v>
      </c>
      <c r="BL778" s="80">
        <f>ROUND(BH778-BK778,6)</f>
        <v>0</v>
      </c>
      <c r="BM778" s="80">
        <f>IF(BE778=1,ROUND(AR778/60,6),0)</f>
        <v>0</v>
      </c>
      <c r="BN778" s="80">
        <f>ROUND(BI778-BM778,6)</f>
        <v>0</v>
      </c>
      <c r="BO778" s="80">
        <f>IF(BE778=1,ROUND(AS778/60,6),0)</f>
        <v>0</v>
      </c>
      <c r="BP778" s="80">
        <f>ROUND(BJ778-BO778,6)</f>
        <v>0</v>
      </c>
      <c r="BQ778" s="80">
        <f>IF(BE778=1,AW778,0)</f>
        <v>0</v>
      </c>
      <c r="BR778" s="80">
        <f>IF(BE778=1,AX778,0)</f>
        <v>0</v>
      </c>
      <c r="BS778" s="80">
        <f>IF(AND(BE778=1,D778="Malcolm",BA778&gt;0),MIN(BH778,SUMPRODUCT((R_Emp="proMX")*(R_EN&gt;0)*((R_EN-(R_EN&gt;BR778)*(R_EN-BR778))&gt;(R_SN+(R_SN&lt;BQ778)*(BQ778-R_SN)))*((R_EN-(R_EN&gt;BR778)*(R_EN-BR778))-(R_SN+(R_SN&lt;BQ778)*(BQ778-R_SN))))/60),0)</f>
        <v>0</v>
      </c>
      <c r="BT778" s="80">
        <f>IF(AND(BE778=1,D778="proMX"),ROUND(BI778*CFG_RATE+BJ778*CFG_OTRATE,6),0)</f>
        <v>0</v>
      </c>
      <c r="BU778" s="80">
        <f>IF(AND(BD778=1,D778="proMX"),ROUND(AG778/CFG_BLK,6),0)</f>
        <v>0</v>
      </c>
      <c r="BV778" s="80" t="str">
        <f>IF(BF778="Approved",IF(ISNUMBER(T778),INT(T778),INT(B778)),"")</f>
        <v/>
      </c>
      <c r="BW778" s="80">
        <f>IF(ISNUMBER(B778),IF(DB_MON="Todos",1,IF(AND(INT(B778)&gt;=DB_MS,INT(B778)&lt;=DB_ME),1,0)),0)</f>
        <v>0</v>
      </c>
      <c r="BX778" s="80">
        <f>IF(DB_PROJ="Todos",1,IF(E778&amp;""=DB_PROJ&amp;"",1,0))</f>
        <v>1</v>
      </c>
      <c r="BY778" s="80">
        <f>BW778*BX778</f>
        <v>0</v>
      </c>
      <c r="BZ778" s="80" t="str">
        <f>IF(Y778=1,F778&amp;IF(AND(F778&amp;""&lt;&gt;"",E778&amp;""&lt;&gt;"")," · ","")&amp;E778,"")</f>
        <v/>
      </c>
      <c r="CA778" s="80" t="str">
        <f>IF(AND(BD778=1,E778&amp;""&lt;&gt;""),IF(COUNTIFS($E$5:E777,E778,$BD$5:BD777,1)=0,MAX($CA$5:CA777)+1,""),"")</f>
        <v/>
      </c>
      <c r="CB778" s="80" t="str">
        <f>IF(AND(BE778=1,D778="Malcolm",E778&amp;""&lt;&gt;""),IF(COUNTIFS($D$5:D777,"Malcolm",$E$5:E777,E778,$BE$5:BE777,1)=0,MAX($CB$5:CB777)+1,""),"")</f>
        <v/>
      </c>
      <c r="CC778" s="80" t="str">
        <f>IF(AND(BD778=1,D778="proMX",E778&amp;""&lt;&gt;""),IF(COUNTIFS($D$5:D777,"proMX",$E$5:E777,E778,$BD$5:BD777,1)=0,MAX($CC$5:CC777)+1,""),"")</f>
        <v/>
      </c>
      <c r="CD778" s="80" t="str">
        <f>IF(AND(BE778=1,D778="Malcolm",F778&amp;""&lt;&gt;""),IF(COUNTIFS($D$5:D777,"Malcolm",$F$5:F777,F778,$BE$5:BE777,1)=0,MAX($CD$5:CD777)+1,""),"")</f>
        <v/>
      </c>
      <c r="CE778" s="80" t="str">
        <f>IF(AND(BD778=1,D778="proMX",F778&amp;""&lt;&gt;""),IF(COUNTIFS($D$5:D777,"proMX",$F$5:F777,F778,$BD$5:BD777,1)=0,MAX($CE$5:CE777)+1,""),"")</f>
        <v/>
      </c>
      <c r="CF778" s="80" t="str">
        <f>IF(AND(D778="proMX",BD778=1),IF(OR(BF778="Draft",BF778="Submitted",BF778="Returned",BF778="Recall Requested"),MAX($CF$5:CF777)+1,""),"")</f>
        <v/>
      </c>
      <c r="CG778" s="80">
        <f>IF(BD778=0,0,IF(D778="Malcolm",1,MATCH(BF778,{"Draft","Submitted","Approved","Returned","Recall Requested","Cancelled"},0)+1))</f>
        <v>0</v>
      </c>
      <c r="CH778" s="80">
        <f>IF(AND(BF778="Submitted",ISNUMBER(V778)),IF(V778&gt;CFG_MAXD,1,0),0)</f>
        <v>0</v>
      </c>
    </row>
    <row r="779">
      <c r="A779" s="71" t="str">
        <f>IF(Y779=1,ROW()-5,"")</f>
        <v/>
      </c>
      <c r="B779" s="72" t="n"/>
      <c r="C779" s="71" t="str">
        <f>IF(ISNUMBER(B779),CHOOSE(WEEKDAY(B779,2),"Lun","Mar","Mié","Jue","Vie","Sáb","Dom"),"")</f>
        <v/>
      </c>
      <c r="D779" s="73" t="n"/>
      <c r="E779" s="74" t="n"/>
      <c r="F779" s="74" t="n"/>
      <c r="G779" s="74" t="n"/>
      <c r="H779" s="75" t="n"/>
      <c r="I779" s="75" t="n"/>
      <c r="J779" s="76" t="n"/>
      <c r="K779" s="77" t="str">
        <f>IF(AB779=1,ROUND(AG779/60,4),"")</f>
        <v/>
      </c>
      <c r="L779" s="77" t="str">
        <f>IF(BD779=1,ROUND(AP779/60,4),"")</f>
        <v/>
      </c>
      <c r="M779" s="77" t="str">
        <f>IF(BD779=1,ROUND(AQ779/60,4),"")</f>
        <v/>
      </c>
      <c r="N779" s="71" t="str">
        <f>IF(AND(D779="proMX",AB779=1),ROUND(AG779/CFG_BLK,2),"")</f>
        <v/>
      </c>
      <c r="O779" s="77" t="str">
        <f>IF(D779="proMX",IF(BD779=1,ROUND(AG779/60,4),0),"")</f>
        <v/>
      </c>
      <c r="P779" s="78" t="str">
        <f>IF(Y779=0,"",IF(BD779=1,"OK",IF(D779="proMX","Revisar bloques: ","Revisar: ")&amp;BC779))</f>
        <v/>
      </c>
      <c r="Q779" s="78" t="str">
        <f>IF(NOT(ISNUMBER(B779)),"",IF(COUNTIFS(FER_F,INT(B779))&gt;0,"Feriado"&amp;IF(AH779=1," (laborable)"," (no laborable)"),IF(AH779=1,"Laborable",IF(WEEKDAY(B779,2)&gt;5,"Fin de semana","No laborable"))))</f>
        <v/>
      </c>
      <c r="R779" s="73" t="n"/>
      <c r="S779" s="72" t="n"/>
      <c r="T779" s="72" t="n"/>
      <c r="U779" s="74" t="n"/>
      <c r="V779" s="79" t="str">
        <f>IF(AND(D779="proMX",OR(R779="Submitted",R779="Recall Requested"),ISNUMBER(S779)),CFG_TODAY-INT(S779),"")</f>
        <v/>
      </c>
      <c r="W779" s="78" t="str">
        <f>IF(BD779=0,"",IF(BA779&gt;0,"⚠ Se superpone con un registro de la otra empresa",IF(D779="Malcolm",IF(COUNTA(R779,S779,T779)&gt;0,"Estado/fechas proMX se ignoran en Malcolm",""),IF(BF779="Cancelled","Cancelado: excluido de totales",IF(R779="","Sin estado: se trata como Draft",IF(BF779="Submitted",IF(ISNUMBER(V779),IF(V779&gt;CFG_MAXD,"⚠ "&amp;V779&amp;" días en Submitted (máx. "&amp;CFG_MAXD&amp;")",""),"Falta fecha de envío"),IF(BF779="Returned","⚠ Devuelto: corregir y reenviar",IF(BF779="Recall Requested","Retirada solicitada: pendiente",IF(AND(BF779="Approved",NOT(ISNUMBER(T779))),"Falta fecha de aprobación",IF(AND(ISNUMBER(S779),ISNUMBER(T779),T779&lt;S779),"Aprobación anterior al envío","")))))))))</f>
        <v/>
      </c>
      <c r="Y779" s="80">
        <f>IF(COUNTA(B779,D779,E779,F779,G779,H779,I779,J779,R779,S779,T779)&gt;0,1,0)</f>
        <v>0</v>
      </c>
      <c r="Z779" s="80" t="str">
        <f>IF(AND(ISNUMBER(H779),H779&gt;=0,H779&lt;1),ROUND(H779*1440,0),"")</f>
        <v/>
      </c>
      <c r="AA779" s="80" t="str">
        <f>IF(AND(ISNUMBER(I779),I779&gt;=0,I779&lt;1),ROUND(I779*1440,0),"")</f>
        <v/>
      </c>
      <c r="AB779" s="80">
        <f>IF(AND(ISNUMBER(B779),D779&lt;&gt;"",ISNUMBER(Z779),ISNUMBER(AA779)),IF(Z779=AA779,0,1),0)</f>
        <v>0</v>
      </c>
      <c r="AC779" s="80">
        <f>IF(AB779=1,IF(AA779&lt;Z779,1,0),0)</f>
        <v>0</v>
      </c>
      <c r="AD779" s="80">
        <f>IF(AB779=1,IF(AC779=1,1440-Z779+AA779,AA779-Z779),0)</f>
        <v>0</v>
      </c>
      <c r="AE779" s="80">
        <f>IF(J779="",0,IF(ISNUMBER(J779),J779,-1))</f>
        <v>0</v>
      </c>
      <c r="AF779" s="80">
        <f>MIN(MAX(0,AE779),AD779)</f>
        <v>0</v>
      </c>
      <c r="AG779" s="80">
        <f>MAX(0,AD779-MAX(0,AE779))</f>
        <v>0</v>
      </c>
      <c r="AH779" s="80">
        <f>IF(ISNUMBER(B779),IF(AND(INDEX(CFG_WDAYS,WEEKDAY(INT(B779),2))="Sí",IF(D779="proMX",COUNTIFS(FER_F,INT(B779),FER_NLP,"Sí"),COUNTIFS(FER_F,INT(B779),FER_NLM,"Sí"))=0),1,0),0)</f>
        <v>0</v>
      </c>
      <c r="AI779" s="80">
        <f>IF(AC779=1,IF(AND(INDEX(CFG_WDAYS,WEEKDAY(INT(B779)+1,2))="Sí",IF(D779="proMX",COUNTIFS(FER_F,INT(B779)+1,FER_NLP,"Sí"),COUNTIFS(FER_F,INT(B779)+1,FER_NLM,"Sí"))=0),1,0),0)</f>
        <v>0</v>
      </c>
      <c r="AJ779" s="80">
        <f>IF(AC779=1,1440-Z779,AD779)</f>
        <v>0</v>
      </c>
      <c r="AK779" s="80">
        <f>IF(AND(AB779=1,AH779=1),MAX(0,MIN(IF(AC779=1,1440,AA779),CFG_WEM)-MAX(Z779,CFG_WSM)),0)</f>
        <v>0</v>
      </c>
      <c r="AL779" s="80">
        <f>IF(AND(AC779=1,AI779=1),MAX(0,MIN(AA779,CFG_WEM)-CFG_WSM),0)</f>
        <v>0</v>
      </c>
      <c r="AM779" s="80">
        <f>AK779+AL779</f>
        <v>0</v>
      </c>
      <c r="AN779" s="80">
        <f>IF(CFG_BRK="Proporcional",IF(AD779=0,0,AF779*AM779/AD779),IF(CFG_BRK="Extras primero",MIN(AM779,MAX(0,AF779-(AD779-AM779))),MIN(AF779,AM779)))</f>
        <v>0</v>
      </c>
      <c r="AO779" s="80">
        <f>AF779-AN779</f>
        <v>0</v>
      </c>
      <c r="AP779" s="80">
        <f>AM779-AN779</f>
        <v>0</v>
      </c>
      <c r="AQ779" s="80">
        <f>AD779-AM779-AO779</f>
        <v>0</v>
      </c>
      <c r="AR779" s="80">
        <f>IF(AM779=0,0,AK779-AN779*AK779/AM779)</f>
        <v>0</v>
      </c>
      <c r="AS779" s="80">
        <f>IF(AD779-AM779=0,0,(AJ779-AK779)-AO779*(AJ779-AK779)/(AD779-AM779))</f>
        <v>0</v>
      </c>
      <c r="AT779" s="80" t="str">
        <f>IF(AC779=1,INT(B779)+1,"")</f>
        <v/>
      </c>
      <c r="AU779" s="80">
        <f>IF(AND(D779="proMX",R779="Cancelled"),0,1)</f>
        <v>1</v>
      </c>
      <c r="AV779" s="80">
        <f>IF(AND(AB779=1,AU779=1),IF(COUNTIFS($D$5:D778,D779,$B$5:B778,B779,$Z$5:Z778,Z779,$AA$5:AA778,AA779,$F$5:F778,F779&amp;"",$AU$5:AU778,1)&gt;0,1,0),0)</f>
        <v>0</v>
      </c>
      <c r="AW779" s="80" t="str">
        <f>IF(AB779=1,INT(B779)*1440+Z779,"")</f>
        <v/>
      </c>
      <c r="AX779" s="80" t="str">
        <f>IF(AB779=1,AW779+AD779,"")</f>
        <v/>
      </c>
      <c r="AY779" s="80">
        <f>IF(AND(AB779=1,AV779=0,AU779=1),1,0)</f>
        <v>0</v>
      </c>
      <c r="AZ779" s="80">
        <f>IF(AY779=1,COUNTIFS(R_Emp,D779,R_SAbs,"&lt;"&amp;AX779,R_EAbs,"&gt;"&amp;AW779,R_OKey,1)-1,0)</f>
        <v>0</v>
      </c>
      <c r="BA779" s="80">
        <f>IF(AY779=1,COUNTIFS(R_Emp,"&lt;&gt;"&amp;D779,R_SAbs,"&lt;"&amp;AX779,R_EAbs,"&gt;"&amp;AW779,R_OKey,1),0)</f>
        <v>0</v>
      </c>
      <c r="BB779" s="80">
        <f>IF(AND(AB779=1,D779="proMX"),IF(AND(MOD(Z779,CFG_BLK)=0,MOD(AA779,CFG_BLK)=0,MOD(AG779,CFG_BLK)=0,AG779&gt;0),1,0),1)</f>
        <v>1</v>
      </c>
      <c r="BC779" s="80" t="str">
        <f>IF(Y779=0,"",IF(NOT(ISNUMBER(B779)),"Falta fecha o fecha inválida",IF(D779="","Falta empresa",IF(AND(D779&lt;&gt;"Malcolm",D779&lt;&gt;"proMX"),"Empresa inválida",IF(OR(INT(B779)&lt;CFG_PSTART,INT(B779)&gt;CFG_PEND),"Fecha fuera del período",IF(OR(NOT(ISNUMBER(Z779)),NOT(ISNUMBER(AA779))),"Falta hora inicio/fin o formato inválido",IF(AB779=0,"Hora inicio = hora fin",IF(AE779&lt;0,"Descanso inválido",IF(AE779&gt;=AD779,"Descanso ≥ duración",IF(AV779=1,"Registro duplicado",IF(AZ779&gt;0,"Se superpone con otro registro "&amp;D779,IF(BB779=0,"inicio, fin y duración neta deben ser múltiplos de "&amp;CFG_BLK&amp;" min",""))))))))))))</f>
        <v/>
      </c>
      <c r="BD779" s="80">
        <f>IF(AND(Y779=1,BC779=""),1,0)</f>
        <v>0</v>
      </c>
      <c r="BE779" s="80">
        <f>IF(AND(BD779=1,AU779=1),1,0)</f>
        <v>0</v>
      </c>
      <c r="BF779" s="80" t="str">
        <f>IF(AND(D779="proMX",BD779=1),IF(R779="","Draft",R779),"")</f>
        <v/>
      </c>
      <c r="BG779" s="80">
        <f>IF(BD779=1,ROUND(AG779/60,6),0)</f>
        <v>0</v>
      </c>
      <c r="BH779" s="80">
        <f>IF(BE779=1,ROUND(AG779/60,6),0)</f>
        <v>0</v>
      </c>
      <c r="BI779" s="80">
        <f>IF(BE779=1,ROUND(AP779/60,6),0)</f>
        <v>0</v>
      </c>
      <c r="BJ779" s="80">
        <f>IF(BE779=1,ROUND(AQ779/60,6),0)</f>
        <v>0</v>
      </c>
      <c r="BK779" s="80">
        <f>IF(BE779=1,ROUND((AR779+AS779)/60,6),0)</f>
        <v>0</v>
      </c>
      <c r="BL779" s="80">
        <f>ROUND(BH779-BK779,6)</f>
        <v>0</v>
      </c>
      <c r="BM779" s="80">
        <f>IF(BE779=1,ROUND(AR779/60,6),0)</f>
        <v>0</v>
      </c>
      <c r="BN779" s="80">
        <f>ROUND(BI779-BM779,6)</f>
        <v>0</v>
      </c>
      <c r="BO779" s="80">
        <f>IF(BE779=1,ROUND(AS779/60,6),0)</f>
        <v>0</v>
      </c>
      <c r="BP779" s="80">
        <f>ROUND(BJ779-BO779,6)</f>
        <v>0</v>
      </c>
      <c r="BQ779" s="80">
        <f>IF(BE779=1,AW779,0)</f>
        <v>0</v>
      </c>
      <c r="BR779" s="80">
        <f>IF(BE779=1,AX779,0)</f>
        <v>0</v>
      </c>
      <c r="BS779" s="80">
        <f>IF(AND(BE779=1,D779="Malcolm",BA779&gt;0),MIN(BH779,SUMPRODUCT((R_Emp="proMX")*(R_EN&gt;0)*((R_EN-(R_EN&gt;BR779)*(R_EN-BR779))&gt;(R_SN+(R_SN&lt;BQ779)*(BQ779-R_SN)))*((R_EN-(R_EN&gt;BR779)*(R_EN-BR779))-(R_SN+(R_SN&lt;BQ779)*(BQ779-R_SN))))/60),0)</f>
        <v>0</v>
      </c>
      <c r="BT779" s="80">
        <f>IF(AND(BE779=1,D779="proMX"),ROUND(BI779*CFG_RATE+BJ779*CFG_OTRATE,6),0)</f>
        <v>0</v>
      </c>
      <c r="BU779" s="80">
        <f>IF(AND(BD779=1,D779="proMX"),ROUND(AG779/CFG_BLK,6),0)</f>
        <v>0</v>
      </c>
      <c r="BV779" s="80" t="str">
        <f>IF(BF779="Approved",IF(ISNUMBER(T779),INT(T779),INT(B779)),"")</f>
        <v/>
      </c>
      <c r="BW779" s="80">
        <f>IF(ISNUMBER(B779),IF(DB_MON="Todos",1,IF(AND(INT(B779)&gt;=DB_MS,INT(B779)&lt;=DB_ME),1,0)),0)</f>
        <v>0</v>
      </c>
      <c r="BX779" s="80">
        <f>IF(DB_PROJ="Todos",1,IF(E779&amp;""=DB_PROJ&amp;"",1,0))</f>
        <v>1</v>
      </c>
      <c r="BY779" s="80">
        <f>BW779*BX779</f>
        <v>0</v>
      </c>
      <c r="BZ779" s="80" t="str">
        <f>IF(Y779=1,F779&amp;IF(AND(F779&amp;""&lt;&gt;"",E779&amp;""&lt;&gt;"")," · ","")&amp;E779,"")</f>
        <v/>
      </c>
      <c r="CA779" s="80" t="str">
        <f>IF(AND(BD779=1,E779&amp;""&lt;&gt;""),IF(COUNTIFS($E$5:E778,E779,$BD$5:BD778,1)=0,MAX($CA$5:CA778)+1,""),"")</f>
        <v/>
      </c>
      <c r="CB779" s="80" t="str">
        <f>IF(AND(BE779=1,D779="Malcolm",E779&amp;""&lt;&gt;""),IF(COUNTIFS($D$5:D778,"Malcolm",$E$5:E778,E779,$BE$5:BE778,1)=0,MAX($CB$5:CB778)+1,""),"")</f>
        <v/>
      </c>
      <c r="CC779" s="80" t="str">
        <f>IF(AND(BD779=1,D779="proMX",E779&amp;""&lt;&gt;""),IF(COUNTIFS($D$5:D778,"proMX",$E$5:E778,E779,$BD$5:BD778,1)=0,MAX($CC$5:CC778)+1,""),"")</f>
        <v/>
      </c>
      <c r="CD779" s="80" t="str">
        <f>IF(AND(BE779=1,D779="Malcolm",F779&amp;""&lt;&gt;""),IF(COUNTIFS($D$5:D778,"Malcolm",$F$5:F778,F779,$BE$5:BE778,1)=0,MAX($CD$5:CD778)+1,""),"")</f>
        <v/>
      </c>
      <c r="CE779" s="80" t="str">
        <f>IF(AND(BD779=1,D779="proMX",F779&amp;""&lt;&gt;""),IF(COUNTIFS($D$5:D778,"proMX",$F$5:F778,F779,$BD$5:BD778,1)=0,MAX($CE$5:CE778)+1,""),"")</f>
        <v/>
      </c>
      <c r="CF779" s="80" t="str">
        <f>IF(AND(D779="proMX",BD779=1),IF(OR(BF779="Draft",BF779="Submitted",BF779="Returned",BF779="Recall Requested"),MAX($CF$5:CF778)+1,""),"")</f>
        <v/>
      </c>
      <c r="CG779" s="80">
        <f>IF(BD779=0,0,IF(D779="Malcolm",1,MATCH(BF779,{"Draft","Submitted","Approved","Returned","Recall Requested","Cancelled"},0)+1))</f>
        <v>0</v>
      </c>
      <c r="CH779" s="80">
        <f>IF(AND(BF779="Submitted",ISNUMBER(V779)),IF(V779&gt;CFG_MAXD,1,0),0)</f>
        <v>0</v>
      </c>
    </row>
    <row r="780">
      <c r="A780" s="71" t="str">
        <f>IF(Y780=1,ROW()-5,"")</f>
        <v/>
      </c>
      <c r="B780" s="72" t="n"/>
      <c r="C780" s="71" t="str">
        <f>IF(ISNUMBER(B780),CHOOSE(WEEKDAY(B780,2),"Lun","Mar","Mié","Jue","Vie","Sáb","Dom"),"")</f>
        <v/>
      </c>
      <c r="D780" s="73" t="n"/>
      <c r="E780" s="74" t="n"/>
      <c r="F780" s="74" t="n"/>
      <c r="G780" s="74" t="n"/>
      <c r="H780" s="75" t="n"/>
      <c r="I780" s="75" t="n"/>
      <c r="J780" s="76" t="n"/>
      <c r="K780" s="77" t="str">
        <f>IF(AB780=1,ROUND(AG780/60,4),"")</f>
        <v/>
      </c>
      <c r="L780" s="77" t="str">
        <f>IF(BD780=1,ROUND(AP780/60,4),"")</f>
        <v/>
      </c>
      <c r="M780" s="77" t="str">
        <f>IF(BD780=1,ROUND(AQ780/60,4),"")</f>
        <v/>
      </c>
      <c r="N780" s="71" t="str">
        <f>IF(AND(D780="proMX",AB780=1),ROUND(AG780/CFG_BLK,2),"")</f>
        <v/>
      </c>
      <c r="O780" s="77" t="str">
        <f>IF(D780="proMX",IF(BD780=1,ROUND(AG780/60,4),0),"")</f>
        <v/>
      </c>
      <c r="P780" s="78" t="str">
        <f>IF(Y780=0,"",IF(BD780=1,"OK",IF(D780="proMX","Revisar bloques: ","Revisar: ")&amp;BC780))</f>
        <v/>
      </c>
      <c r="Q780" s="78" t="str">
        <f>IF(NOT(ISNUMBER(B780)),"",IF(COUNTIFS(FER_F,INT(B780))&gt;0,"Feriado"&amp;IF(AH780=1," (laborable)"," (no laborable)"),IF(AH780=1,"Laborable",IF(WEEKDAY(B780,2)&gt;5,"Fin de semana","No laborable"))))</f>
        <v/>
      </c>
      <c r="R780" s="73" t="n"/>
      <c r="S780" s="72" t="n"/>
      <c r="T780" s="72" t="n"/>
      <c r="U780" s="74" t="n"/>
      <c r="V780" s="79" t="str">
        <f>IF(AND(D780="proMX",OR(R780="Submitted",R780="Recall Requested"),ISNUMBER(S780)),CFG_TODAY-INT(S780),"")</f>
        <v/>
      </c>
      <c r="W780" s="78" t="str">
        <f>IF(BD780=0,"",IF(BA780&gt;0,"⚠ Se superpone con un registro de la otra empresa",IF(D780="Malcolm",IF(COUNTA(R780,S780,T780)&gt;0,"Estado/fechas proMX se ignoran en Malcolm",""),IF(BF780="Cancelled","Cancelado: excluido de totales",IF(R780="","Sin estado: se trata como Draft",IF(BF780="Submitted",IF(ISNUMBER(V780),IF(V780&gt;CFG_MAXD,"⚠ "&amp;V780&amp;" días en Submitted (máx. "&amp;CFG_MAXD&amp;")",""),"Falta fecha de envío"),IF(BF780="Returned","⚠ Devuelto: corregir y reenviar",IF(BF780="Recall Requested","Retirada solicitada: pendiente",IF(AND(BF780="Approved",NOT(ISNUMBER(T780))),"Falta fecha de aprobación",IF(AND(ISNUMBER(S780),ISNUMBER(T780),T780&lt;S780),"Aprobación anterior al envío","")))))))))</f>
        <v/>
      </c>
      <c r="Y780" s="80">
        <f>IF(COUNTA(B780,D780,E780,F780,G780,H780,I780,J780,R780,S780,T780)&gt;0,1,0)</f>
        <v>0</v>
      </c>
      <c r="Z780" s="80" t="str">
        <f>IF(AND(ISNUMBER(H780),H780&gt;=0,H780&lt;1),ROUND(H780*1440,0),"")</f>
        <v/>
      </c>
      <c r="AA780" s="80" t="str">
        <f>IF(AND(ISNUMBER(I780),I780&gt;=0,I780&lt;1),ROUND(I780*1440,0),"")</f>
        <v/>
      </c>
      <c r="AB780" s="80">
        <f>IF(AND(ISNUMBER(B780),D780&lt;&gt;"",ISNUMBER(Z780),ISNUMBER(AA780)),IF(Z780=AA780,0,1),0)</f>
        <v>0</v>
      </c>
      <c r="AC780" s="80">
        <f>IF(AB780=1,IF(AA780&lt;Z780,1,0),0)</f>
        <v>0</v>
      </c>
      <c r="AD780" s="80">
        <f>IF(AB780=1,IF(AC780=1,1440-Z780+AA780,AA780-Z780),0)</f>
        <v>0</v>
      </c>
      <c r="AE780" s="80">
        <f>IF(J780="",0,IF(ISNUMBER(J780),J780,-1))</f>
        <v>0</v>
      </c>
      <c r="AF780" s="80">
        <f>MIN(MAX(0,AE780),AD780)</f>
        <v>0</v>
      </c>
      <c r="AG780" s="80">
        <f>MAX(0,AD780-MAX(0,AE780))</f>
        <v>0</v>
      </c>
      <c r="AH780" s="80">
        <f>IF(ISNUMBER(B780),IF(AND(INDEX(CFG_WDAYS,WEEKDAY(INT(B780),2))="Sí",IF(D780="proMX",COUNTIFS(FER_F,INT(B780),FER_NLP,"Sí"),COUNTIFS(FER_F,INT(B780),FER_NLM,"Sí"))=0),1,0),0)</f>
        <v>0</v>
      </c>
      <c r="AI780" s="80">
        <f>IF(AC780=1,IF(AND(INDEX(CFG_WDAYS,WEEKDAY(INT(B780)+1,2))="Sí",IF(D780="proMX",COUNTIFS(FER_F,INT(B780)+1,FER_NLP,"Sí"),COUNTIFS(FER_F,INT(B780)+1,FER_NLM,"Sí"))=0),1,0),0)</f>
        <v>0</v>
      </c>
      <c r="AJ780" s="80">
        <f>IF(AC780=1,1440-Z780,AD780)</f>
        <v>0</v>
      </c>
      <c r="AK780" s="80">
        <f>IF(AND(AB780=1,AH780=1),MAX(0,MIN(IF(AC780=1,1440,AA780),CFG_WEM)-MAX(Z780,CFG_WSM)),0)</f>
        <v>0</v>
      </c>
      <c r="AL780" s="80">
        <f>IF(AND(AC780=1,AI780=1),MAX(0,MIN(AA780,CFG_WEM)-CFG_WSM),0)</f>
        <v>0</v>
      </c>
      <c r="AM780" s="80">
        <f>AK780+AL780</f>
        <v>0</v>
      </c>
      <c r="AN780" s="80">
        <f>IF(CFG_BRK="Proporcional",IF(AD780=0,0,AF780*AM780/AD780),IF(CFG_BRK="Extras primero",MIN(AM780,MAX(0,AF780-(AD780-AM780))),MIN(AF780,AM780)))</f>
        <v>0</v>
      </c>
      <c r="AO780" s="80">
        <f>AF780-AN780</f>
        <v>0</v>
      </c>
      <c r="AP780" s="80">
        <f>AM780-AN780</f>
        <v>0</v>
      </c>
      <c r="AQ780" s="80">
        <f>AD780-AM780-AO780</f>
        <v>0</v>
      </c>
      <c r="AR780" s="80">
        <f>IF(AM780=0,0,AK780-AN780*AK780/AM780)</f>
        <v>0</v>
      </c>
      <c r="AS780" s="80">
        <f>IF(AD780-AM780=0,0,(AJ780-AK780)-AO780*(AJ780-AK780)/(AD780-AM780))</f>
        <v>0</v>
      </c>
      <c r="AT780" s="80" t="str">
        <f>IF(AC780=1,INT(B780)+1,"")</f>
        <v/>
      </c>
      <c r="AU780" s="80">
        <f>IF(AND(D780="proMX",R780="Cancelled"),0,1)</f>
        <v>1</v>
      </c>
      <c r="AV780" s="80">
        <f>IF(AND(AB780=1,AU780=1),IF(COUNTIFS($D$5:D779,D780,$B$5:B779,B780,$Z$5:Z779,Z780,$AA$5:AA779,AA780,$F$5:F779,F780&amp;"",$AU$5:AU779,1)&gt;0,1,0),0)</f>
        <v>0</v>
      </c>
      <c r="AW780" s="80" t="str">
        <f>IF(AB780=1,INT(B780)*1440+Z780,"")</f>
        <v/>
      </c>
      <c r="AX780" s="80" t="str">
        <f>IF(AB780=1,AW780+AD780,"")</f>
        <v/>
      </c>
      <c r="AY780" s="80">
        <f>IF(AND(AB780=1,AV780=0,AU780=1),1,0)</f>
        <v>0</v>
      </c>
      <c r="AZ780" s="80">
        <f>IF(AY780=1,COUNTIFS(R_Emp,D780,R_SAbs,"&lt;"&amp;AX780,R_EAbs,"&gt;"&amp;AW780,R_OKey,1)-1,0)</f>
        <v>0</v>
      </c>
      <c r="BA780" s="80">
        <f>IF(AY780=1,COUNTIFS(R_Emp,"&lt;&gt;"&amp;D780,R_SAbs,"&lt;"&amp;AX780,R_EAbs,"&gt;"&amp;AW780,R_OKey,1),0)</f>
        <v>0</v>
      </c>
      <c r="BB780" s="80">
        <f>IF(AND(AB780=1,D780="proMX"),IF(AND(MOD(Z780,CFG_BLK)=0,MOD(AA780,CFG_BLK)=0,MOD(AG780,CFG_BLK)=0,AG780&gt;0),1,0),1)</f>
        <v>1</v>
      </c>
      <c r="BC780" s="80" t="str">
        <f>IF(Y780=0,"",IF(NOT(ISNUMBER(B780)),"Falta fecha o fecha inválida",IF(D780="","Falta empresa",IF(AND(D780&lt;&gt;"Malcolm",D780&lt;&gt;"proMX"),"Empresa inválida",IF(OR(INT(B780)&lt;CFG_PSTART,INT(B780)&gt;CFG_PEND),"Fecha fuera del período",IF(OR(NOT(ISNUMBER(Z780)),NOT(ISNUMBER(AA780))),"Falta hora inicio/fin o formato inválido",IF(AB780=0,"Hora inicio = hora fin",IF(AE780&lt;0,"Descanso inválido",IF(AE780&gt;=AD780,"Descanso ≥ duración",IF(AV780=1,"Registro duplicado",IF(AZ780&gt;0,"Se superpone con otro registro "&amp;D780,IF(BB780=0,"inicio, fin y duración neta deben ser múltiplos de "&amp;CFG_BLK&amp;" min",""))))))))))))</f>
        <v/>
      </c>
      <c r="BD780" s="80">
        <f>IF(AND(Y780=1,BC780=""),1,0)</f>
        <v>0</v>
      </c>
      <c r="BE780" s="80">
        <f>IF(AND(BD780=1,AU780=1),1,0)</f>
        <v>0</v>
      </c>
      <c r="BF780" s="80" t="str">
        <f>IF(AND(D780="proMX",BD780=1),IF(R780="","Draft",R780),"")</f>
        <v/>
      </c>
      <c r="BG780" s="80">
        <f>IF(BD780=1,ROUND(AG780/60,6),0)</f>
        <v>0</v>
      </c>
      <c r="BH780" s="80">
        <f>IF(BE780=1,ROUND(AG780/60,6),0)</f>
        <v>0</v>
      </c>
      <c r="BI780" s="80">
        <f>IF(BE780=1,ROUND(AP780/60,6),0)</f>
        <v>0</v>
      </c>
      <c r="BJ780" s="80">
        <f>IF(BE780=1,ROUND(AQ780/60,6),0)</f>
        <v>0</v>
      </c>
      <c r="BK780" s="80">
        <f>IF(BE780=1,ROUND((AR780+AS780)/60,6),0)</f>
        <v>0</v>
      </c>
      <c r="BL780" s="80">
        <f>ROUND(BH780-BK780,6)</f>
        <v>0</v>
      </c>
      <c r="BM780" s="80">
        <f>IF(BE780=1,ROUND(AR780/60,6),0)</f>
        <v>0</v>
      </c>
      <c r="BN780" s="80">
        <f>ROUND(BI780-BM780,6)</f>
        <v>0</v>
      </c>
      <c r="BO780" s="80">
        <f>IF(BE780=1,ROUND(AS780/60,6),0)</f>
        <v>0</v>
      </c>
      <c r="BP780" s="80">
        <f>ROUND(BJ780-BO780,6)</f>
        <v>0</v>
      </c>
      <c r="BQ780" s="80">
        <f>IF(BE780=1,AW780,0)</f>
        <v>0</v>
      </c>
      <c r="BR780" s="80">
        <f>IF(BE780=1,AX780,0)</f>
        <v>0</v>
      </c>
      <c r="BS780" s="80">
        <f>IF(AND(BE780=1,D780="Malcolm",BA780&gt;0),MIN(BH780,SUMPRODUCT((R_Emp="proMX")*(R_EN&gt;0)*((R_EN-(R_EN&gt;BR780)*(R_EN-BR780))&gt;(R_SN+(R_SN&lt;BQ780)*(BQ780-R_SN)))*((R_EN-(R_EN&gt;BR780)*(R_EN-BR780))-(R_SN+(R_SN&lt;BQ780)*(BQ780-R_SN))))/60),0)</f>
        <v>0</v>
      </c>
      <c r="BT780" s="80">
        <f>IF(AND(BE780=1,D780="proMX"),ROUND(BI780*CFG_RATE+BJ780*CFG_OTRATE,6),0)</f>
        <v>0</v>
      </c>
      <c r="BU780" s="80">
        <f>IF(AND(BD780=1,D780="proMX"),ROUND(AG780/CFG_BLK,6),0)</f>
        <v>0</v>
      </c>
      <c r="BV780" s="80" t="str">
        <f>IF(BF780="Approved",IF(ISNUMBER(T780),INT(T780),INT(B780)),"")</f>
        <v/>
      </c>
      <c r="BW780" s="80">
        <f>IF(ISNUMBER(B780),IF(DB_MON="Todos",1,IF(AND(INT(B780)&gt;=DB_MS,INT(B780)&lt;=DB_ME),1,0)),0)</f>
        <v>0</v>
      </c>
      <c r="BX780" s="80">
        <f>IF(DB_PROJ="Todos",1,IF(E780&amp;""=DB_PROJ&amp;"",1,0))</f>
        <v>1</v>
      </c>
      <c r="BY780" s="80">
        <f>BW780*BX780</f>
        <v>0</v>
      </c>
      <c r="BZ780" s="80" t="str">
        <f>IF(Y780=1,F780&amp;IF(AND(F780&amp;""&lt;&gt;"",E780&amp;""&lt;&gt;"")," · ","")&amp;E780,"")</f>
        <v/>
      </c>
      <c r="CA780" s="80" t="str">
        <f>IF(AND(BD780=1,E780&amp;""&lt;&gt;""),IF(COUNTIFS($E$5:E779,E780,$BD$5:BD779,1)=0,MAX($CA$5:CA779)+1,""),"")</f>
        <v/>
      </c>
      <c r="CB780" s="80" t="str">
        <f>IF(AND(BE780=1,D780="Malcolm",E780&amp;""&lt;&gt;""),IF(COUNTIFS($D$5:D779,"Malcolm",$E$5:E779,E780,$BE$5:BE779,1)=0,MAX($CB$5:CB779)+1,""),"")</f>
        <v/>
      </c>
      <c r="CC780" s="80" t="str">
        <f>IF(AND(BD780=1,D780="proMX",E780&amp;""&lt;&gt;""),IF(COUNTIFS($D$5:D779,"proMX",$E$5:E779,E780,$BD$5:BD779,1)=0,MAX($CC$5:CC779)+1,""),"")</f>
        <v/>
      </c>
      <c r="CD780" s="80" t="str">
        <f>IF(AND(BE780=1,D780="Malcolm",F780&amp;""&lt;&gt;""),IF(COUNTIFS($D$5:D779,"Malcolm",$F$5:F779,F780,$BE$5:BE779,1)=0,MAX($CD$5:CD779)+1,""),"")</f>
        <v/>
      </c>
      <c r="CE780" s="80" t="str">
        <f>IF(AND(BD780=1,D780="proMX",F780&amp;""&lt;&gt;""),IF(COUNTIFS($D$5:D779,"proMX",$F$5:F779,F780,$BD$5:BD779,1)=0,MAX($CE$5:CE779)+1,""),"")</f>
        <v/>
      </c>
      <c r="CF780" s="80" t="str">
        <f>IF(AND(D780="proMX",BD780=1),IF(OR(BF780="Draft",BF780="Submitted",BF780="Returned",BF780="Recall Requested"),MAX($CF$5:CF779)+1,""),"")</f>
        <v/>
      </c>
      <c r="CG780" s="80">
        <f>IF(BD780=0,0,IF(D780="Malcolm",1,MATCH(BF780,{"Draft","Submitted","Approved","Returned","Recall Requested","Cancelled"},0)+1))</f>
        <v>0</v>
      </c>
      <c r="CH780" s="80">
        <f>IF(AND(BF780="Submitted",ISNUMBER(V780)),IF(V780&gt;CFG_MAXD,1,0),0)</f>
        <v>0</v>
      </c>
    </row>
    <row r="781">
      <c r="A781" s="71" t="str">
        <f>IF(Y781=1,ROW()-5,"")</f>
        <v/>
      </c>
      <c r="B781" s="72" t="n"/>
      <c r="C781" s="71" t="str">
        <f>IF(ISNUMBER(B781),CHOOSE(WEEKDAY(B781,2),"Lun","Mar","Mié","Jue","Vie","Sáb","Dom"),"")</f>
        <v/>
      </c>
      <c r="D781" s="73" t="n"/>
      <c r="E781" s="74" t="n"/>
      <c r="F781" s="74" t="n"/>
      <c r="G781" s="74" t="n"/>
      <c r="H781" s="75" t="n"/>
      <c r="I781" s="75" t="n"/>
      <c r="J781" s="76" t="n"/>
      <c r="K781" s="77" t="str">
        <f>IF(AB781=1,ROUND(AG781/60,4),"")</f>
        <v/>
      </c>
      <c r="L781" s="77" t="str">
        <f>IF(BD781=1,ROUND(AP781/60,4),"")</f>
        <v/>
      </c>
      <c r="M781" s="77" t="str">
        <f>IF(BD781=1,ROUND(AQ781/60,4),"")</f>
        <v/>
      </c>
      <c r="N781" s="71" t="str">
        <f>IF(AND(D781="proMX",AB781=1),ROUND(AG781/CFG_BLK,2),"")</f>
        <v/>
      </c>
      <c r="O781" s="77" t="str">
        <f>IF(D781="proMX",IF(BD781=1,ROUND(AG781/60,4),0),"")</f>
        <v/>
      </c>
      <c r="P781" s="78" t="str">
        <f>IF(Y781=0,"",IF(BD781=1,"OK",IF(D781="proMX","Revisar bloques: ","Revisar: ")&amp;BC781))</f>
        <v/>
      </c>
      <c r="Q781" s="78" t="str">
        <f>IF(NOT(ISNUMBER(B781)),"",IF(COUNTIFS(FER_F,INT(B781))&gt;0,"Feriado"&amp;IF(AH781=1," (laborable)"," (no laborable)"),IF(AH781=1,"Laborable",IF(WEEKDAY(B781,2)&gt;5,"Fin de semana","No laborable"))))</f>
        <v/>
      </c>
      <c r="R781" s="73" t="n"/>
      <c r="S781" s="72" t="n"/>
      <c r="T781" s="72" t="n"/>
      <c r="U781" s="74" t="n"/>
      <c r="V781" s="79" t="str">
        <f>IF(AND(D781="proMX",OR(R781="Submitted",R781="Recall Requested"),ISNUMBER(S781)),CFG_TODAY-INT(S781),"")</f>
        <v/>
      </c>
      <c r="W781" s="78" t="str">
        <f>IF(BD781=0,"",IF(BA781&gt;0,"⚠ Se superpone con un registro de la otra empresa",IF(D781="Malcolm",IF(COUNTA(R781,S781,T781)&gt;0,"Estado/fechas proMX se ignoran en Malcolm",""),IF(BF781="Cancelled","Cancelado: excluido de totales",IF(R781="","Sin estado: se trata como Draft",IF(BF781="Submitted",IF(ISNUMBER(V781),IF(V781&gt;CFG_MAXD,"⚠ "&amp;V781&amp;" días en Submitted (máx. "&amp;CFG_MAXD&amp;")",""),"Falta fecha de envío"),IF(BF781="Returned","⚠ Devuelto: corregir y reenviar",IF(BF781="Recall Requested","Retirada solicitada: pendiente",IF(AND(BF781="Approved",NOT(ISNUMBER(T781))),"Falta fecha de aprobación",IF(AND(ISNUMBER(S781),ISNUMBER(T781),T781&lt;S781),"Aprobación anterior al envío","")))))))))</f>
        <v/>
      </c>
      <c r="Y781" s="80">
        <f>IF(COUNTA(B781,D781,E781,F781,G781,H781,I781,J781,R781,S781,T781)&gt;0,1,0)</f>
        <v>0</v>
      </c>
      <c r="Z781" s="80" t="str">
        <f>IF(AND(ISNUMBER(H781),H781&gt;=0,H781&lt;1),ROUND(H781*1440,0),"")</f>
        <v/>
      </c>
      <c r="AA781" s="80" t="str">
        <f>IF(AND(ISNUMBER(I781),I781&gt;=0,I781&lt;1),ROUND(I781*1440,0),"")</f>
        <v/>
      </c>
      <c r="AB781" s="80">
        <f>IF(AND(ISNUMBER(B781),D781&lt;&gt;"",ISNUMBER(Z781),ISNUMBER(AA781)),IF(Z781=AA781,0,1),0)</f>
        <v>0</v>
      </c>
      <c r="AC781" s="80">
        <f>IF(AB781=1,IF(AA781&lt;Z781,1,0),0)</f>
        <v>0</v>
      </c>
      <c r="AD781" s="80">
        <f>IF(AB781=1,IF(AC781=1,1440-Z781+AA781,AA781-Z781),0)</f>
        <v>0</v>
      </c>
      <c r="AE781" s="80">
        <f>IF(J781="",0,IF(ISNUMBER(J781),J781,-1))</f>
        <v>0</v>
      </c>
      <c r="AF781" s="80">
        <f>MIN(MAX(0,AE781),AD781)</f>
        <v>0</v>
      </c>
      <c r="AG781" s="80">
        <f>MAX(0,AD781-MAX(0,AE781))</f>
        <v>0</v>
      </c>
      <c r="AH781" s="80">
        <f>IF(ISNUMBER(B781),IF(AND(INDEX(CFG_WDAYS,WEEKDAY(INT(B781),2))="Sí",IF(D781="proMX",COUNTIFS(FER_F,INT(B781),FER_NLP,"Sí"),COUNTIFS(FER_F,INT(B781),FER_NLM,"Sí"))=0),1,0),0)</f>
        <v>0</v>
      </c>
      <c r="AI781" s="80">
        <f>IF(AC781=1,IF(AND(INDEX(CFG_WDAYS,WEEKDAY(INT(B781)+1,2))="Sí",IF(D781="proMX",COUNTIFS(FER_F,INT(B781)+1,FER_NLP,"Sí"),COUNTIFS(FER_F,INT(B781)+1,FER_NLM,"Sí"))=0),1,0),0)</f>
        <v>0</v>
      </c>
      <c r="AJ781" s="80">
        <f>IF(AC781=1,1440-Z781,AD781)</f>
        <v>0</v>
      </c>
      <c r="AK781" s="80">
        <f>IF(AND(AB781=1,AH781=1),MAX(0,MIN(IF(AC781=1,1440,AA781),CFG_WEM)-MAX(Z781,CFG_WSM)),0)</f>
        <v>0</v>
      </c>
      <c r="AL781" s="80">
        <f>IF(AND(AC781=1,AI781=1),MAX(0,MIN(AA781,CFG_WEM)-CFG_WSM),0)</f>
        <v>0</v>
      </c>
      <c r="AM781" s="80">
        <f>AK781+AL781</f>
        <v>0</v>
      </c>
      <c r="AN781" s="80">
        <f>IF(CFG_BRK="Proporcional",IF(AD781=0,0,AF781*AM781/AD781),IF(CFG_BRK="Extras primero",MIN(AM781,MAX(0,AF781-(AD781-AM781))),MIN(AF781,AM781)))</f>
        <v>0</v>
      </c>
      <c r="AO781" s="80">
        <f>AF781-AN781</f>
        <v>0</v>
      </c>
      <c r="AP781" s="80">
        <f>AM781-AN781</f>
        <v>0</v>
      </c>
      <c r="AQ781" s="80">
        <f>AD781-AM781-AO781</f>
        <v>0</v>
      </c>
      <c r="AR781" s="80">
        <f>IF(AM781=0,0,AK781-AN781*AK781/AM781)</f>
        <v>0</v>
      </c>
      <c r="AS781" s="80">
        <f>IF(AD781-AM781=0,0,(AJ781-AK781)-AO781*(AJ781-AK781)/(AD781-AM781))</f>
        <v>0</v>
      </c>
      <c r="AT781" s="80" t="str">
        <f>IF(AC781=1,INT(B781)+1,"")</f>
        <v/>
      </c>
      <c r="AU781" s="80">
        <f>IF(AND(D781="proMX",R781="Cancelled"),0,1)</f>
        <v>1</v>
      </c>
      <c r="AV781" s="80">
        <f>IF(AND(AB781=1,AU781=1),IF(COUNTIFS($D$5:D780,D781,$B$5:B780,B781,$Z$5:Z780,Z781,$AA$5:AA780,AA781,$F$5:F780,F781&amp;"",$AU$5:AU780,1)&gt;0,1,0),0)</f>
        <v>0</v>
      </c>
      <c r="AW781" s="80" t="str">
        <f>IF(AB781=1,INT(B781)*1440+Z781,"")</f>
        <v/>
      </c>
      <c r="AX781" s="80" t="str">
        <f>IF(AB781=1,AW781+AD781,"")</f>
        <v/>
      </c>
      <c r="AY781" s="80">
        <f>IF(AND(AB781=1,AV781=0,AU781=1),1,0)</f>
        <v>0</v>
      </c>
      <c r="AZ781" s="80">
        <f>IF(AY781=1,COUNTIFS(R_Emp,D781,R_SAbs,"&lt;"&amp;AX781,R_EAbs,"&gt;"&amp;AW781,R_OKey,1)-1,0)</f>
        <v>0</v>
      </c>
      <c r="BA781" s="80">
        <f>IF(AY781=1,COUNTIFS(R_Emp,"&lt;&gt;"&amp;D781,R_SAbs,"&lt;"&amp;AX781,R_EAbs,"&gt;"&amp;AW781,R_OKey,1),0)</f>
        <v>0</v>
      </c>
      <c r="BB781" s="80">
        <f>IF(AND(AB781=1,D781="proMX"),IF(AND(MOD(Z781,CFG_BLK)=0,MOD(AA781,CFG_BLK)=0,MOD(AG781,CFG_BLK)=0,AG781&gt;0),1,0),1)</f>
        <v>1</v>
      </c>
      <c r="BC781" s="80" t="str">
        <f>IF(Y781=0,"",IF(NOT(ISNUMBER(B781)),"Falta fecha o fecha inválida",IF(D781="","Falta empresa",IF(AND(D781&lt;&gt;"Malcolm",D781&lt;&gt;"proMX"),"Empresa inválida",IF(OR(INT(B781)&lt;CFG_PSTART,INT(B781)&gt;CFG_PEND),"Fecha fuera del período",IF(OR(NOT(ISNUMBER(Z781)),NOT(ISNUMBER(AA781))),"Falta hora inicio/fin o formato inválido",IF(AB781=0,"Hora inicio = hora fin",IF(AE781&lt;0,"Descanso inválido",IF(AE781&gt;=AD781,"Descanso ≥ duración",IF(AV781=1,"Registro duplicado",IF(AZ781&gt;0,"Se superpone con otro registro "&amp;D781,IF(BB781=0,"inicio, fin y duración neta deben ser múltiplos de "&amp;CFG_BLK&amp;" min",""))))))))))))</f>
        <v/>
      </c>
      <c r="BD781" s="80">
        <f>IF(AND(Y781=1,BC781=""),1,0)</f>
        <v>0</v>
      </c>
      <c r="BE781" s="80">
        <f>IF(AND(BD781=1,AU781=1),1,0)</f>
        <v>0</v>
      </c>
      <c r="BF781" s="80" t="str">
        <f>IF(AND(D781="proMX",BD781=1),IF(R781="","Draft",R781),"")</f>
        <v/>
      </c>
      <c r="BG781" s="80">
        <f>IF(BD781=1,ROUND(AG781/60,6),0)</f>
        <v>0</v>
      </c>
      <c r="BH781" s="80">
        <f>IF(BE781=1,ROUND(AG781/60,6),0)</f>
        <v>0</v>
      </c>
      <c r="BI781" s="80">
        <f>IF(BE781=1,ROUND(AP781/60,6),0)</f>
        <v>0</v>
      </c>
      <c r="BJ781" s="80">
        <f>IF(BE781=1,ROUND(AQ781/60,6),0)</f>
        <v>0</v>
      </c>
      <c r="BK781" s="80">
        <f>IF(BE781=1,ROUND((AR781+AS781)/60,6),0)</f>
        <v>0</v>
      </c>
      <c r="BL781" s="80">
        <f>ROUND(BH781-BK781,6)</f>
        <v>0</v>
      </c>
      <c r="BM781" s="80">
        <f>IF(BE781=1,ROUND(AR781/60,6),0)</f>
        <v>0</v>
      </c>
      <c r="BN781" s="80">
        <f>ROUND(BI781-BM781,6)</f>
        <v>0</v>
      </c>
      <c r="BO781" s="80">
        <f>IF(BE781=1,ROUND(AS781/60,6),0)</f>
        <v>0</v>
      </c>
      <c r="BP781" s="80">
        <f>ROUND(BJ781-BO781,6)</f>
        <v>0</v>
      </c>
      <c r="BQ781" s="80">
        <f>IF(BE781=1,AW781,0)</f>
        <v>0</v>
      </c>
      <c r="BR781" s="80">
        <f>IF(BE781=1,AX781,0)</f>
        <v>0</v>
      </c>
      <c r="BS781" s="80">
        <f>IF(AND(BE781=1,D781="Malcolm",BA781&gt;0),MIN(BH781,SUMPRODUCT((R_Emp="proMX")*(R_EN&gt;0)*((R_EN-(R_EN&gt;BR781)*(R_EN-BR781))&gt;(R_SN+(R_SN&lt;BQ781)*(BQ781-R_SN)))*((R_EN-(R_EN&gt;BR781)*(R_EN-BR781))-(R_SN+(R_SN&lt;BQ781)*(BQ781-R_SN))))/60),0)</f>
        <v>0</v>
      </c>
      <c r="BT781" s="80">
        <f>IF(AND(BE781=1,D781="proMX"),ROUND(BI781*CFG_RATE+BJ781*CFG_OTRATE,6),0)</f>
        <v>0</v>
      </c>
      <c r="BU781" s="80">
        <f>IF(AND(BD781=1,D781="proMX"),ROUND(AG781/CFG_BLK,6),0)</f>
        <v>0</v>
      </c>
      <c r="BV781" s="80" t="str">
        <f>IF(BF781="Approved",IF(ISNUMBER(T781),INT(T781),INT(B781)),"")</f>
        <v/>
      </c>
      <c r="BW781" s="80">
        <f>IF(ISNUMBER(B781),IF(DB_MON="Todos",1,IF(AND(INT(B781)&gt;=DB_MS,INT(B781)&lt;=DB_ME),1,0)),0)</f>
        <v>0</v>
      </c>
      <c r="BX781" s="80">
        <f>IF(DB_PROJ="Todos",1,IF(E781&amp;""=DB_PROJ&amp;"",1,0))</f>
        <v>1</v>
      </c>
      <c r="BY781" s="80">
        <f>BW781*BX781</f>
        <v>0</v>
      </c>
      <c r="BZ781" s="80" t="str">
        <f>IF(Y781=1,F781&amp;IF(AND(F781&amp;""&lt;&gt;"",E781&amp;""&lt;&gt;"")," · ","")&amp;E781,"")</f>
        <v/>
      </c>
      <c r="CA781" s="80" t="str">
        <f>IF(AND(BD781=1,E781&amp;""&lt;&gt;""),IF(COUNTIFS($E$5:E780,E781,$BD$5:BD780,1)=0,MAX($CA$5:CA780)+1,""),"")</f>
        <v/>
      </c>
      <c r="CB781" s="80" t="str">
        <f>IF(AND(BE781=1,D781="Malcolm",E781&amp;""&lt;&gt;""),IF(COUNTIFS($D$5:D780,"Malcolm",$E$5:E780,E781,$BE$5:BE780,1)=0,MAX($CB$5:CB780)+1,""),"")</f>
        <v/>
      </c>
      <c r="CC781" s="80" t="str">
        <f>IF(AND(BD781=1,D781="proMX",E781&amp;""&lt;&gt;""),IF(COUNTIFS($D$5:D780,"proMX",$E$5:E780,E781,$BD$5:BD780,1)=0,MAX($CC$5:CC780)+1,""),"")</f>
        <v/>
      </c>
      <c r="CD781" s="80" t="str">
        <f>IF(AND(BE781=1,D781="Malcolm",F781&amp;""&lt;&gt;""),IF(COUNTIFS($D$5:D780,"Malcolm",$F$5:F780,F781,$BE$5:BE780,1)=0,MAX($CD$5:CD780)+1,""),"")</f>
        <v/>
      </c>
      <c r="CE781" s="80" t="str">
        <f>IF(AND(BD781=1,D781="proMX",F781&amp;""&lt;&gt;""),IF(COUNTIFS($D$5:D780,"proMX",$F$5:F780,F781,$BD$5:BD780,1)=0,MAX($CE$5:CE780)+1,""),"")</f>
        <v/>
      </c>
      <c r="CF781" s="80" t="str">
        <f>IF(AND(D781="proMX",BD781=1),IF(OR(BF781="Draft",BF781="Submitted",BF781="Returned",BF781="Recall Requested"),MAX($CF$5:CF780)+1,""),"")</f>
        <v/>
      </c>
      <c r="CG781" s="80">
        <f>IF(BD781=0,0,IF(D781="Malcolm",1,MATCH(BF781,{"Draft","Submitted","Approved","Returned","Recall Requested","Cancelled"},0)+1))</f>
        <v>0</v>
      </c>
      <c r="CH781" s="80">
        <f>IF(AND(BF781="Submitted",ISNUMBER(V781)),IF(V781&gt;CFG_MAXD,1,0),0)</f>
        <v>0</v>
      </c>
    </row>
    <row r="782">
      <c r="A782" s="71" t="str">
        <f>IF(Y782=1,ROW()-5,"")</f>
        <v/>
      </c>
      <c r="B782" s="72" t="n"/>
      <c r="C782" s="71" t="str">
        <f>IF(ISNUMBER(B782),CHOOSE(WEEKDAY(B782,2),"Lun","Mar","Mié","Jue","Vie","Sáb","Dom"),"")</f>
        <v/>
      </c>
      <c r="D782" s="73" t="n"/>
      <c r="E782" s="74" t="n"/>
      <c r="F782" s="74" t="n"/>
      <c r="G782" s="74" t="n"/>
      <c r="H782" s="75" t="n"/>
      <c r="I782" s="75" t="n"/>
      <c r="J782" s="76" t="n"/>
      <c r="K782" s="77" t="str">
        <f>IF(AB782=1,ROUND(AG782/60,4),"")</f>
        <v/>
      </c>
      <c r="L782" s="77" t="str">
        <f>IF(BD782=1,ROUND(AP782/60,4),"")</f>
        <v/>
      </c>
      <c r="M782" s="77" t="str">
        <f>IF(BD782=1,ROUND(AQ782/60,4),"")</f>
        <v/>
      </c>
      <c r="N782" s="71" t="str">
        <f>IF(AND(D782="proMX",AB782=1),ROUND(AG782/CFG_BLK,2),"")</f>
        <v/>
      </c>
      <c r="O782" s="77" t="str">
        <f>IF(D782="proMX",IF(BD782=1,ROUND(AG782/60,4),0),"")</f>
        <v/>
      </c>
      <c r="P782" s="78" t="str">
        <f>IF(Y782=0,"",IF(BD782=1,"OK",IF(D782="proMX","Revisar bloques: ","Revisar: ")&amp;BC782))</f>
        <v/>
      </c>
      <c r="Q782" s="78" t="str">
        <f>IF(NOT(ISNUMBER(B782)),"",IF(COUNTIFS(FER_F,INT(B782))&gt;0,"Feriado"&amp;IF(AH782=1," (laborable)"," (no laborable)"),IF(AH782=1,"Laborable",IF(WEEKDAY(B782,2)&gt;5,"Fin de semana","No laborable"))))</f>
        <v/>
      </c>
      <c r="R782" s="73" t="n"/>
      <c r="S782" s="72" t="n"/>
      <c r="T782" s="72" t="n"/>
      <c r="U782" s="74" t="n"/>
      <c r="V782" s="79" t="str">
        <f>IF(AND(D782="proMX",OR(R782="Submitted",R782="Recall Requested"),ISNUMBER(S782)),CFG_TODAY-INT(S782),"")</f>
        <v/>
      </c>
      <c r="W782" s="78" t="str">
        <f>IF(BD782=0,"",IF(BA782&gt;0,"⚠ Se superpone con un registro de la otra empresa",IF(D782="Malcolm",IF(COUNTA(R782,S782,T782)&gt;0,"Estado/fechas proMX se ignoran en Malcolm",""),IF(BF782="Cancelled","Cancelado: excluido de totales",IF(R782="","Sin estado: se trata como Draft",IF(BF782="Submitted",IF(ISNUMBER(V782),IF(V782&gt;CFG_MAXD,"⚠ "&amp;V782&amp;" días en Submitted (máx. "&amp;CFG_MAXD&amp;")",""),"Falta fecha de envío"),IF(BF782="Returned","⚠ Devuelto: corregir y reenviar",IF(BF782="Recall Requested","Retirada solicitada: pendiente",IF(AND(BF782="Approved",NOT(ISNUMBER(T782))),"Falta fecha de aprobación",IF(AND(ISNUMBER(S782),ISNUMBER(T782),T782&lt;S782),"Aprobación anterior al envío","")))))))))</f>
        <v/>
      </c>
      <c r="Y782" s="80">
        <f>IF(COUNTA(B782,D782,E782,F782,G782,H782,I782,J782,R782,S782,T782)&gt;0,1,0)</f>
        <v>0</v>
      </c>
      <c r="Z782" s="80" t="str">
        <f>IF(AND(ISNUMBER(H782),H782&gt;=0,H782&lt;1),ROUND(H782*1440,0),"")</f>
        <v/>
      </c>
      <c r="AA782" s="80" t="str">
        <f>IF(AND(ISNUMBER(I782),I782&gt;=0,I782&lt;1),ROUND(I782*1440,0),"")</f>
        <v/>
      </c>
      <c r="AB782" s="80">
        <f>IF(AND(ISNUMBER(B782),D782&lt;&gt;"",ISNUMBER(Z782),ISNUMBER(AA782)),IF(Z782=AA782,0,1),0)</f>
        <v>0</v>
      </c>
      <c r="AC782" s="80">
        <f>IF(AB782=1,IF(AA782&lt;Z782,1,0),0)</f>
        <v>0</v>
      </c>
      <c r="AD782" s="80">
        <f>IF(AB782=1,IF(AC782=1,1440-Z782+AA782,AA782-Z782),0)</f>
        <v>0</v>
      </c>
      <c r="AE782" s="80">
        <f>IF(J782="",0,IF(ISNUMBER(J782),J782,-1))</f>
        <v>0</v>
      </c>
      <c r="AF782" s="80">
        <f>MIN(MAX(0,AE782),AD782)</f>
        <v>0</v>
      </c>
      <c r="AG782" s="80">
        <f>MAX(0,AD782-MAX(0,AE782))</f>
        <v>0</v>
      </c>
      <c r="AH782" s="80">
        <f>IF(ISNUMBER(B782),IF(AND(INDEX(CFG_WDAYS,WEEKDAY(INT(B782),2))="Sí",IF(D782="proMX",COUNTIFS(FER_F,INT(B782),FER_NLP,"Sí"),COUNTIFS(FER_F,INT(B782),FER_NLM,"Sí"))=0),1,0),0)</f>
        <v>0</v>
      </c>
      <c r="AI782" s="80">
        <f>IF(AC782=1,IF(AND(INDEX(CFG_WDAYS,WEEKDAY(INT(B782)+1,2))="Sí",IF(D782="proMX",COUNTIFS(FER_F,INT(B782)+1,FER_NLP,"Sí"),COUNTIFS(FER_F,INT(B782)+1,FER_NLM,"Sí"))=0),1,0),0)</f>
        <v>0</v>
      </c>
      <c r="AJ782" s="80">
        <f>IF(AC782=1,1440-Z782,AD782)</f>
        <v>0</v>
      </c>
      <c r="AK782" s="80">
        <f>IF(AND(AB782=1,AH782=1),MAX(0,MIN(IF(AC782=1,1440,AA782),CFG_WEM)-MAX(Z782,CFG_WSM)),0)</f>
        <v>0</v>
      </c>
      <c r="AL782" s="80">
        <f>IF(AND(AC782=1,AI782=1),MAX(0,MIN(AA782,CFG_WEM)-CFG_WSM),0)</f>
        <v>0</v>
      </c>
      <c r="AM782" s="80">
        <f>AK782+AL782</f>
        <v>0</v>
      </c>
      <c r="AN782" s="80">
        <f>IF(CFG_BRK="Proporcional",IF(AD782=0,0,AF782*AM782/AD782),IF(CFG_BRK="Extras primero",MIN(AM782,MAX(0,AF782-(AD782-AM782))),MIN(AF782,AM782)))</f>
        <v>0</v>
      </c>
      <c r="AO782" s="80">
        <f>AF782-AN782</f>
        <v>0</v>
      </c>
      <c r="AP782" s="80">
        <f>AM782-AN782</f>
        <v>0</v>
      </c>
      <c r="AQ782" s="80">
        <f>AD782-AM782-AO782</f>
        <v>0</v>
      </c>
      <c r="AR782" s="80">
        <f>IF(AM782=0,0,AK782-AN782*AK782/AM782)</f>
        <v>0</v>
      </c>
      <c r="AS782" s="80">
        <f>IF(AD782-AM782=0,0,(AJ782-AK782)-AO782*(AJ782-AK782)/(AD782-AM782))</f>
        <v>0</v>
      </c>
      <c r="AT782" s="80" t="str">
        <f>IF(AC782=1,INT(B782)+1,"")</f>
        <v/>
      </c>
      <c r="AU782" s="80">
        <f>IF(AND(D782="proMX",R782="Cancelled"),0,1)</f>
        <v>1</v>
      </c>
      <c r="AV782" s="80">
        <f>IF(AND(AB782=1,AU782=1),IF(COUNTIFS($D$5:D781,D782,$B$5:B781,B782,$Z$5:Z781,Z782,$AA$5:AA781,AA782,$F$5:F781,F782&amp;"",$AU$5:AU781,1)&gt;0,1,0),0)</f>
        <v>0</v>
      </c>
      <c r="AW782" s="80" t="str">
        <f>IF(AB782=1,INT(B782)*1440+Z782,"")</f>
        <v/>
      </c>
      <c r="AX782" s="80" t="str">
        <f>IF(AB782=1,AW782+AD782,"")</f>
        <v/>
      </c>
      <c r="AY782" s="80">
        <f>IF(AND(AB782=1,AV782=0,AU782=1),1,0)</f>
        <v>0</v>
      </c>
      <c r="AZ782" s="80">
        <f>IF(AY782=1,COUNTIFS(R_Emp,D782,R_SAbs,"&lt;"&amp;AX782,R_EAbs,"&gt;"&amp;AW782,R_OKey,1)-1,0)</f>
        <v>0</v>
      </c>
      <c r="BA782" s="80">
        <f>IF(AY782=1,COUNTIFS(R_Emp,"&lt;&gt;"&amp;D782,R_SAbs,"&lt;"&amp;AX782,R_EAbs,"&gt;"&amp;AW782,R_OKey,1),0)</f>
        <v>0</v>
      </c>
      <c r="BB782" s="80">
        <f>IF(AND(AB782=1,D782="proMX"),IF(AND(MOD(Z782,CFG_BLK)=0,MOD(AA782,CFG_BLK)=0,MOD(AG782,CFG_BLK)=0,AG782&gt;0),1,0),1)</f>
        <v>1</v>
      </c>
      <c r="BC782" s="80" t="str">
        <f>IF(Y782=0,"",IF(NOT(ISNUMBER(B782)),"Falta fecha o fecha inválida",IF(D782="","Falta empresa",IF(AND(D782&lt;&gt;"Malcolm",D782&lt;&gt;"proMX"),"Empresa inválida",IF(OR(INT(B782)&lt;CFG_PSTART,INT(B782)&gt;CFG_PEND),"Fecha fuera del período",IF(OR(NOT(ISNUMBER(Z782)),NOT(ISNUMBER(AA782))),"Falta hora inicio/fin o formato inválido",IF(AB782=0,"Hora inicio = hora fin",IF(AE782&lt;0,"Descanso inválido",IF(AE782&gt;=AD782,"Descanso ≥ duración",IF(AV782=1,"Registro duplicado",IF(AZ782&gt;0,"Se superpone con otro registro "&amp;D782,IF(BB782=0,"inicio, fin y duración neta deben ser múltiplos de "&amp;CFG_BLK&amp;" min",""))))))))))))</f>
        <v/>
      </c>
      <c r="BD782" s="80">
        <f>IF(AND(Y782=1,BC782=""),1,0)</f>
        <v>0</v>
      </c>
      <c r="BE782" s="80">
        <f>IF(AND(BD782=1,AU782=1),1,0)</f>
        <v>0</v>
      </c>
      <c r="BF782" s="80" t="str">
        <f>IF(AND(D782="proMX",BD782=1),IF(R782="","Draft",R782),"")</f>
        <v/>
      </c>
      <c r="BG782" s="80">
        <f>IF(BD782=1,ROUND(AG782/60,6),0)</f>
        <v>0</v>
      </c>
      <c r="BH782" s="80">
        <f>IF(BE782=1,ROUND(AG782/60,6),0)</f>
        <v>0</v>
      </c>
      <c r="BI782" s="80">
        <f>IF(BE782=1,ROUND(AP782/60,6),0)</f>
        <v>0</v>
      </c>
      <c r="BJ782" s="80">
        <f>IF(BE782=1,ROUND(AQ782/60,6),0)</f>
        <v>0</v>
      </c>
      <c r="BK782" s="80">
        <f>IF(BE782=1,ROUND((AR782+AS782)/60,6),0)</f>
        <v>0</v>
      </c>
      <c r="BL782" s="80">
        <f>ROUND(BH782-BK782,6)</f>
        <v>0</v>
      </c>
      <c r="BM782" s="80">
        <f>IF(BE782=1,ROUND(AR782/60,6),0)</f>
        <v>0</v>
      </c>
      <c r="BN782" s="80">
        <f>ROUND(BI782-BM782,6)</f>
        <v>0</v>
      </c>
      <c r="BO782" s="80">
        <f>IF(BE782=1,ROUND(AS782/60,6),0)</f>
        <v>0</v>
      </c>
      <c r="BP782" s="80">
        <f>ROUND(BJ782-BO782,6)</f>
        <v>0</v>
      </c>
      <c r="BQ782" s="80">
        <f>IF(BE782=1,AW782,0)</f>
        <v>0</v>
      </c>
      <c r="BR782" s="80">
        <f>IF(BE782=1,AX782,0)</f>
        <v>0</v>
      </c>
      <c r="BS782" s="80">
        <f>IF(AND(BE782=1,D782="Malcolm",BA782&gt;0),MIN(BH782,SUMPRODUCT((R_Emp="proMX")*(R_EN&gt;0)*((R_EN-(R_EN&gt;BR782)*(R_EN-BR782))&gt;(R_SN+(R_SN&lt;BQ782)*(BQ782-R_SN)))*((R_EN-(R_EN&gt;BR782)*(R_EN-BR782))-(R_SN+(R_SN&lt;BQ782)*(BQ782-R_SN))))/60),0)</f>
        <v>0</v>
      </c>
      <c r="BT782" s="80">
        <f>IF(AND(BE782=1,D782="proMX"),ROUND(BI782*CFG_RATE+BJ782*CFG_OTRATE,6),0)</f>
        <v>0</v>
      </c>
      <c r="BU782" s="80">
        <f>IF(AND(BD782=1,D782="proMX"),ROUND(AG782/CFG_BLK,6),0)</f>
        <v>0</v>
      </c>
      <c r="BV782" s="80" t="str">
        <f>IF(BF782="Approved",IF(ISNUMBER(T782),INT(T782),INT(B782)),"")</f>
        <v/>
      </c>
      <c r="BW782" s="80">
        <f>IF(ISNUMBER(B782),IF(DB_MON="Todos",1,IF(AND(INT(B782)&gt;=DB_MS,INT(B782)&lt;=DB_ME),1,0)),0)</f>
        <v>0</v>
      </c>
      <c r="BX782" s="80">
        <f>IF(DB_PROJ="Todos",1,IF(E782&amp;""=DB_PROJ&amp;"",1,0))</f>
        <v>1</v>
      </c>
      <c r="BY782" s="80">
        <f>BW782*BX782</f>
        <v>0</v>
      </c>
      <c r="BZ782" s="80" t="str">
        <f>IF(Y782=1,F782&amp;IF(AND(F782&amp;""&lt;&gt;"",E782&amp;""&lt;&gt;"")," · ","")&amp;E782,"")</f>
        <v/>
      </c>
      <c r="CA782" s="80" t="str">
        <f>IF(AND(BD782=1,E782&amp;""&lt;&gt;""),IF(COUNTIFS($E$5:E781,E782,$BD$5:BD781,1)=0,MAX($CA$5:CA781)+1,""),"")</f>
        <v/>
      </c>
      <c r="CB782" s="80" t="str">
        <f>IF(AND(BE782=1,D782="Malcolm",E782&amp;""&lt;&gt;""),IF(COUNTIFS($D$5:D781,"Malcolm",$E$5:E781,E782,$BE$5:BE781,1)=0,MAX($CB$5:CB781)+1,""),"")</f>
        <v/>
      </c>
      <c r="CC782" s="80" t="str">
        <f>IF(AND(BD782=1,D782="proMX",E782&amp;""&lt;&gt;""),IF(COUNTIFS($D$5:D781,"proMX",$E$5:E781,E782,$BD$5:BD781,1)=0,MAX($CC$5:CC781)+1,""),"")</f>
        <v/>
      </c>
      <c r="CD782" s="80" t="str">
        <f>IF(AND(BE782=1,D782="Malcolm",F782&amp;""&lt;&gt;""),IF(COUNTIFS($D$5:D781,"Malcolm",$F$5:F781,F782,$BE$5:BE781,1)=0,MAX($CD$5:CD781)+1,""),"")</f>
        <v/>
      </c>
      <c r="CE782" s="80" t="str">
        <f>IF(AND(BD782=1,D782="proMX",F782&amp;""&lt;&gt;""),IF(COUNTIFS($D$5:D781,"proMX",$F$5:F781,F782,$BD$5:BD781,1)=0,MAX($CE$5:CE781)+1,""),"")</f>
        <v/>
      </c>
      <c r="CF782" s="80" t="str">
        <f>IF(AND(D782="proMX",BD782=1),IF(OR(BF782="Draft",BF782="Submitted",BF782="Returned",BF782="Recall Requested"),MAX($CF$5:CF781)+1,""),"")</f>
        <v/>
      </c>
      <c r="CG782" s="80">
        <f>IF(BD782=0,0,IF(D782="Malcolm",1,MATCH(BF782,{"Draft","Submitted","Approved","Returned","Recall Requested","Cancelled"},0)+1))</f>
        <v>0</v>
      </c>
      <c r="CH782" s="80">
        <f>IF(AND(BF782="Submitted",ISNUMBER(V782)),IF(V782&gt;CFG_MAXD,1,0),0)</f>
        <v>0</v>
      </c>
    </row>
    <row r="783">
      <c r="A783" s="71" t="str">
        <f>IF(Y783=1,ROW()-5,"")</f>
        <v/>
      </c>
      <c r="B783" s="72" t="n"/>
      <c r="C783" s="71" t="str">
        <f>IF(ISNUMBER(B783),CHOOSE(WEEKDAY(B783,2),"Lun","Mar","Mié","Jue","Vie","Sáb","Dom"),"")</f>
        <v/>
      </c>
      <c r="D783" s="73" t="n"/>
      <c r="E783" s="74" t="n"/>
      <c r="F783" s="74" t="n"/>
      <c r="G783" s="74" t="n"/>
      <c r="H783" s="75" t="n"/>
      <c r="I783" s="75" t="n"/>
      <c r="J783" s="76" t="n"/>
      <c r="K783" s="77" t="str">
        <f>IF(AB783=1,ROUND(AG783/60,4),"")</f>
        <v/>
      </c>
      <c r="L783" s="77" t="str">
        <f>IF(BD783=1,ROUND(AP783/60,4),"")</f>
        <v/>
      </c>
      <c r="M783" s="77" t="str">
        <f>IF(BD783=1,ROUND(AQ783/60,4),"")</f>
        <v/>
      </c>
      <c r="N783" s="71" t="str">
        <f>IF(AND(D783="proMX",AB783=1),ROUND(AG783/CFG_BLK,2),"")</f>
        <v/>
      </c>
      <c r="O783" s="77" t="str">
        <f>IF(D783="proMX",IF(BD783=1,ROUND(AG783/60,4),0),"")</f>
        <v/>
      </c>
      <c r="P783" s="78" t="str">
        <f>IF(Y783=0,"",IF(BD783=1,"OK",IF(D783="proMX","Revisar bloques: ","Revisar: ")&amp;BC783))</f>
        <v/>
      </c>
      <c r="Q783" s="78" t="str">
        <f>IF(NOT(ISNUMBER(B783)),"",IF(COUNTIFS(FER_F,INT(B783))&gt;0,"Feriado"&amp;IF(AH783=1," (laborable)"," (no laborable)"),IF(AH783=1,"Laborable",IF(WEEKDAY(B783,2)&gt;5,"Fin de semana","No laborable"))))</f>
        <v/>
      </c>
      <c r="R783" s="73" t="n"/>
      <c r="S783" s="72" t="n"/>
      <c r="T783" s="72" t="n"/>
      <c r="U783" s="74" t="n"/>
      <c r="V783" s="79" t="str">
        <f>IF(AND(D783="proMX",OR(R783="Submitted",R783="Recall Requested"),ISNUMBER(S783)),CFG_TODAY-INT(S783),"")</f>
        <v/>
      </c>
      <c r="W783" s="78" t="str">
        <f>IF(BD783=0,"",IF(BA783&gt;0,"⚠ Se superpone con un registro de la otra empresa",IF(D783="Malcolm",IF(COUNTA(R783,S783,T783)&gt;0,"Estado/fechas proMX se ignoran en Malcolm",""),IF(BF783="Cancelled","Cancelado: excluido de totales",IF(R783="","Sin estado: se trata como Draft",IF(BF783="Submitted",IF(ISNUMBER(V783),IF(V783&gt;CFG_MAXD,"⚠ "&amp;V783&amp;" días en Submitted (máx. "&amp;CFG_MAXD&amp;")",""),"Falta fecha de envío"),IF(BF783="Returned","⚠ Devuelto: corregir y reenviar",IF(BF783="Recall Requested","Retirada solicitada: pendiente",IF(AND(BF783="Approved",NOT(ISNUMBER(T783))),"Falta fecha de aprobación",IF(AND(ISNUMBER(S783),ISNUMBER(T783),T783&lt;S783),"Aprobación anterior al envío","")))))))))</f>
        <v/>
      </c>
      <c r="Y783" s="80">
        <f>IF(COUNTA(B783,D783,E783,F783,G783,H783,I783,J783,R783,S783,T783)&gt;0,1,0)</f>
        <v>0</v>
      </c>
      <c r="Z783" s="80" t="str">
        <f>IF(AND(ISNUMBER(H783),H783&gt;=0,H783&lt;1),ROUND(H783*1440,0),"")</f>
        <v/>
      </c>
      <c r="AA783" s="80" t="str">
        <f>IF(AND(ISNUMBER(I783),I783&gt;=0,I783&lt;1),ROUND(I783*1440,0),"")</f>
        <v/>
      </c>
      <c r="AB783" s="80">
        <f>IF(AND(ISNUMBER(B783),D783&lt;&gt;"",ISNUMBER(Z783),ISNUMBER(AA783)),IF(Z783=AA783,0,1),0)</f>
        <v>0</v>
      </c>
      <c r="AC783" s="80">
        <f>IF(AB783=1,IF(AA783&lt;Z783,1,0),0)</f>
        <v>0</v>
      </c>
      <c r="AD783" s="80">
        <f>IF(AB783=1,IF(AC783=1,1440-Z783+AA783,AA783-Z783),0)</f>
        <v>0</v>
      </c>
      <c r="AE783" s="80">
        <f>IF(J783="",0,IF(ISNUMBER(J783),J783,-1))</f>
        <v>0</v>
      </c>
      <c r="AF783" s="80">
        <f>MIN(MAX(0,AE783),AD783)</f>
        <v>0</v>
      </c>
      <c r="AG783" s="80">
        <f>MAX(0,AD783-MAX(0,AE783))</f>
        <v>0</v>
      </c>
      <c r="AH783" s="80">
        <f>IF(ISNUMBER(B783),IF(AND(INDEX(CFG_WDAYS,WEEKDAY(INT(B783),2))="Sí",IF(D783="proMX",COUNTIFS(FER_F,INT(B783),FER_NLP,"Sí"),COUNTIFS(FER_F,INT(B783),FER_NLM,"Sí"))=0),1,0),0)</f>
        <v>0</v>
      </c>
      <c r="AI783" s="80">
        <f>IF(AC783=1,IF(AND(INDEX(CFG_WDAYS,WEEKDAY(INT(B783)+1,2))="Sí",IF(D783="proMX",COUNTIFS(FER_F,INT(B783)+1,FER_NLP,"Sí"),COUNTIFS(FER_F,INT(B783)+1,FER_NLM,"Sí"))=0),1,0),0)</f>
        <v>0</v>
      </c>
      <c r="AJ783" s="80">
        <f>IF(AC783=1,1440-Z783,AD783)</f>
        <v>0</v>
      </c>
      <c r="AK783" s="80">
        <f>IF(AND(AB783=1,AH783=1),MAX(0,MIN(IF(AC783=1,1440,AA783),CFG_WEM)-MAX(Z783,CFG_WSM)),0)</f>
        <v>0</v>
      </c>
      <c r="AL783" s="80">
        <f>IF(AND(AC783=1,AI783=1),MAX(0,MIN(AA783,CFG_WEM)-CFG_WSM),0)</f>
        <v>0</v>
      </c>
      <c r="AM783" s="80">
        <f>AK783+AL783</f>
        <v>0</v>
      </c>
      <c r="AN783" s="80">
        <f>IF(CFG_BRK="Proporcional",IF(AD783=0,0,AF783*AM783/AD783),IF(CFG_BRK="Extras primero",MIN(AM783,MAX(0,AF783-(AD783-AM783))),MIN(AF783,AM783)))</f>
        <v>0</v>
      </c>
      <c r="AO783" s="80">
        <f>AF783-AN783</f>
        <v>0</v>
      </c>
      <c r="AP783" s="80">
        <f>AM783-AN783</f>
        <v>0</v>
      </c>
      <c r="AQ783" s="80">
        <f>AD783-AM783-AO783</f>
        <v>0</v>
      </c>
      <c r="AR783" s="80">
        <f>IF(AM783=0,0,AK783-AN783*AK783/AM783)</f>
        <v>0</v>
      </c>
      <c r="AS783" s="80">
        <f>IF(AD783-AM783=0,0,(AJ783-AK783)-AO783*(AJ783-AK783)/(AD783-AM783))</f>
        <v>0</v>
      </c>
      <c r="AT783" s="80" t="str">
        <f>IF(AC783=1,INT(B783)+1,"")</f>
        <v/>
      </c>
      <c r="AU783" s="80">
        <f>IF(AND(D783="proMX",R783="Cancelled"),0,1)</f>
        <v>1</v>
      </c>
      <c r="AV783" s="80">
        <f>IF(AND(AB783=1,AU783=1),IF(COUNTIFS($D$5:D782,D783,$B$5:B782,B783,$Z$5:Z782,Z783,$AA$5:AA782,AA783,$F$5:F782,F783&amp;"",$AU$5:AU782,1)&gt;0,1,0),0)</f>
        <v>0</v>
      </c>
      <c r="AW783" s="80" t="str">
        <f>IF(AB783=1,INT(B783)*1440+Z783,"")</f>
        <v/>
      </c>
      <c r="AX783" s="80" t="str">
        <f>IF(AB783=1,AW783+AD783,"")</f>
        <v/>
      </c>
      <c r="AY783" s="80">
        <f>IF(AND(AB783=1,AV783=0,AU783=1),1,0)</f>
        <v>0</v>
      </c>
      <c r="AZ783" s="80">
        <f>IF(AY783=1,COUNTIFS(R_Emp,D783,R_SAbs,"&lt;"&amp;AX783,R_EAbs,"&gt;"&amp;AW783,R_OKey,1)-1,0)</f>
        <v>0</v>
      </c>
      <c r="BA783" s="80">
        <f>IF(AY783=1,COUNTIFS(R_Emp,"&lt;&gt;"&amp;D783,R_SAbs,"&lt;"&amp;AX783,R_EAbs,"&gt;"&amp;AW783,R_OKey,1),0)</f>
        <v>0</v>
      </c>
      <c r="BB783" s="80">
        <f>IF(AND(AB783=1,D783="proMX"),IF(AND(MOD(Z783,CFG_BLK)=0,MOD(AA783,CFG_BLK)=0,MOD(AG783,CFG_BLK)=0,AG783&gt;0),1,0),1)</f>
        <v>1</v>
      </c>
      <c r="BC783" s="80" t="str">
        <f>IF(Y783=0,"",IF(NOT(ISNUMBER(B783)),"Falta fecha o fecha inválida",IF(D783="","Falta empresa",IF(AND(D783&lt;&gt;"Malcolm",D783&lt;&gt;"proMX"),"Empresa inválida",IF(OR(INT(B783)&lt;CFG_PSTART,INT(B783)&gt;CFG_PEND),"Fecha fuera del período",IF(OR(NOT(ISNUMBER(Z783)),NOT(ISNUMBER(AA783))),"Falta hora inicio/fin o formato inválido",IF(AB783=0,"Hora inicio = hora fin",IF(AE783&lt;0,"Descanso inválido",IF(AE783&gt;=AD783,"Descanso ≥ duración",IF(AV783=1,"Registro duplicado",IF(AZ783&gt;0,"Se superpone con otro registro "&amp;D783,IF(BB783=0,"inicio, fin y duración neta deben ser múltiplos de "&amp;CFG_BLK&amp;" min",""))))))))))))</f>
        <v/>
      </c>
      <c r="BD783" s="80">
        <f>IF(AND(Y783=1,BC783=""),1,0)</f>
        <v>0</v>
      </c>
      <c r="BE783" s="80">
        <f>IF(AND(BD783=1,AU783=1),1,0)</f>
        <v>0</v>
      </c>
      <c r="BF783" s="80" t="str">
        <f>IF(AND(D783="proMX",BD783=1),IF(R783="","Draft",R783),"")</f>
        <v/>
      </c>
      <c r="BG783" s="80">
        <f>IF(BD783=1,ROUND(AG783/60,6),0)</f>
        <v>0</v>
      </c>
      <c r="BH783" s="80">
        <f>IF(BE783=1,ROUND(AG783/60,6),0)</f>
        <v>0</v>
      </c>
      <c r="BI783" s="80">
        <f>IF(BE783=1,ROUND(AP783/60,6),0)</f>
        <v>0</v>
      </c>
      <c r="BJ783" s="80">
        <f>IF(BE783=1,ROUND(AQ783/60,6),0)</f>
        <v>0</v>
      </c>
      <c r="BK783" s="80">
        <f>IF(BE783=1,ROUND((AR783+AS783)/60,6),0)</f>
        <v>0</v>
      </c>
      <c r="BL783" s="80">
        <f>ROUND(BH783-BK783,6)</f>
        <v>0</v>
      </c>
      <c r="BM783" s="80">
        <f>IF(BE783=1,ROUND(AR783/60,6),0)</f>
        <v>0</v>
      </c>
      <c r="BN783" s="80">
        <f>ROUND(BI783-BM783,6)</f>
        <v>0</v>
      </c>
      <c r="BO783" s="80">
        <f>IF(BE783=1,ROUND(AS783/60,6),0)</f>
        <v>0</v>
      </c>
      <c r="BP783" s="80">
        <f>ROUND(BJ783-BO783,6)</f>
        <v>0</v>
      </c>
      <c r="BQ783" s="80">
        <f>IF(BE783=1,AW783,0)</f>
        <v>0</v>
      </c>
      <c r="BR783" s="80">
        <f>IF(BE783=1,AX783,0)</f>
        <v>0</v>
      </c>
      <c r="BS783" s="80">
        <f>IF(AND(BE783=1,D783="Malcolm",BA783&gt;0),MIN(BH783,SUMPRODUCT((R_Emp="proMX")*(R_EN&gt;0)*((R_EN-(R_EN&gt;BR783)*(R_EN-BR783))&gt;(R_SN+(R_SN&lt;BQ783)*(BQ783-R_SN)))*((R_EN-(R_EN&gt;BR783)*(R_EN-BR783))-(R_SN+(R_SN&lt;BQ783)*(BQ783-R_SN))))/60),0)</f>
        <v>0</v>
      </c>
      <c r="BT783" s="80">
        <f>IF(AND(BE783=1,D783="proMX"),ROUND(BI783*CFG_RATE+BJ783*CFG_OTRATE,6),0)</f>
        <v>0</v>
      </c>
      <c r="BU783" s="80">
        <f>IF(AND(BD783=1,D783="proMX"),ROUND(AG783/CFG_BLK,6),0)</f>
        <v>0</v>
      </c>
      <c r="BV783" s="80" t="str">
        <f>IF(BF783="Approved",IF(ISNUMBER(T783),INT(T783),INT(B783)),"")</f>
        <v/>
      </c>
      <c r="BW783" s="80">
        <f>IF(ISNUMBER(B783),IF(DB_MON="Todos",1,IF(AND(INT(B783)&gt;=DB_MS,INT(B783)&lt;=DB_ME),1,0)),0)</f>
        <v>0</v>
      </c>
      <c r="BX783" s="80">
        <f>IF(DB_PROJ="Todos",1,IF(E783&amp;""=DB_PROJ&amp;"",1,0))</f>
        <v>1</v>
      </c>
      <c r="BY783" s="80">
        <f>BW783*BX783</f>
        <v>0</v>
      </c>
      <c r="BZ783" s="80" t="str">
        <f>IF(Y783=1,F783&amp;IF(AND(F783&amp;""&lt;&gt;"",E783&amp;""&lt;&gt;"")," · ","")&amp;E783,"")</f>
        <v/>
      </c>
      <c r="CA783" s="80" t="str">
        <f>IF(AND(BD783=1,E783&amp;""&lt;&gt;""),IF(COUNTIFS($E$5:E782,E783,$BD$5:BD782,1)=0,MAX($CA$5:CA782)+1,""),"")</f>
        <v/>
      </c>
      <c r="CB783" s="80" t="str">
        <f>IF(AND(BE783=1,D783="Malcolm",E783&amp;""&lt;&gt;""),IF(COUNTIFS($D$5:D782,"Malcolm",$E$5:E782,E783,$BE$5:BE782,1)=0,MAX($CB$5:CB782)+1,""),"")</f>
        <v/>
      </c>
      <c r="CC783" s="80" t="str">
        <f>IF(AND(BD783=1,D783="proMX",E783&amp;""&lt;&gt;""),IF(COUNTIFS($D$5:D782,"proMX",$E$5:E782,E783,$BD$5:BD782,1)=0,MAX($CC$5:CC782)+1,""),"")</f>
        <v/>
      </c>
      <c r="CD783" s="80" t="str">
        <f>IF(AND(BE783=1,D783="Malcolm",F783&amp;""&lt;&gt;""),IF(COUNTIFS($D$5:D782,"Malcolm",$F$5:F782,F783,$BE$5:BE782,1)=0,MAX($CD$5:CD782)+1,""),"")</f>
        <v/>
      </c>
      <c r="CE783" s="80" t="str">
        <f>IF(AND(BD783=1,D783="proMX",F783&amp;""&lt;&gt;""),IF(COUNTIFS($D$5:D782,"proMX",$F$5:F782,F783,$BD$5:BD782,1)=0,MAX($CE$5:CE782)+1,""),"")</f>
        <v/>
      </c>
      <c r="CF783" s="80" t="str">
        <f>IF(AND(D783="proMX",BD783=1),IF(OR(BF783="Draft",BF783="Submitted",BF783="Returned",BF783="Recall Requested"),MAX($CF$5:CF782)+1,""),"")</f>
        <v/>
      </c>
      <c r="CG783" s="80">
        <f>IF(BD783=0,0,IF(D783="Malcolm",1,MATCH(BF783,{"Draft","Submitted","Approved","Returned","Recall Requested","Cancelled"},0)+1))</f>
        <v>0</v>
      </c>
      <c r="CH783" s="80">
        <f>IF(AND(BF783="Submitted",ISNUMBER(V783)),IF(V783&gt;CFG_MAXD,1,0),0)</f>
        <v>0</v>
      </c>
    </row>
    <row r="784">
      <c r="A784" s="71" t="str">
        <f>IF(Y784=1,ROW()-5,"")</f>
        <v/>
      </c>
      <c r="B784" s="72" t="n"/>
      <c r="C784" s="71" t="str">
        <f>IF(ISNUMBER(B784),CHOOSE(WEEKDAY(B784,2),"Lun","Mar","Mié","Jue","Vie","Sáb","Dom"),"")</f>
        <v/>
      </c>
      <c r="D784" s="73" t="n"/>
      <c r="E784" s="74" t="n"/>
      <c r="F784" s="74" t="n"/>
      <c r="G784" s="74" t="n"/>
      <c r="H784" s="75" t="n"/>
      <c r="I784" s="75" t="n"/>
      <c r="J784" s="76" t="n"/>
      <c r="K784" s="77" t="str">
        <f>IF(AB784=1,ROUND(AG784/60,4),"")</f>
        <v/>
      </c>
      <c r="L784" s="77" t="str">
        <f>IF(BD784=1,ROUND(AP784/60,4),"")</f>
        <v/>
      </c>
      <c r="M784" s="77" t="str">
        <f>IF(BD784=1,ROUND(AQ784/60,4),"")</f>
        <v/>
      </c>
      <c r="N784" s="71" t="str">
        <f>IF(AND(D784="proMX",AB784=1),ROUND(AG784/CFG_BLK,2),"")</f>
        <v/>
      </c>
      <c r="O784" s="77" t="str">
        <f>IF(D784="proMX",IF(BD784=1,ROUND(AG784/60,4),0),"")</f>
        <v/>
      </c>
      <c r="P784" s="78" t="str">
        <f>IF(Y784=0,"",IF(BD784=1,"OK",IF(D784="proMX","Revisar bloques: ","Revisar: ")&amp;BC784))</f>
        <v/>
      </c>
      <c r="Q784" s="78" t="str">
        <f>IF(NOT(ISNUMBER(B784)),"",IF(COUNTIFS(FER_F,INT(B784))&gt;0,"Feriado"&amp;IF(AH784=1," (laborable)"," (no laborable)"),IF(AH784=1,"Laborable",IF(WEEKDAY(B784,2)&gt;5,"Fin de semana","No laborable"))))</f>
        <v/>
      </c>
      <c r="R784" s="73" t="n"/>
      <c r="S784" s="72" t="n"/>
      <c r="T784" s="72" t="n"/>
      <c r="U784" s="74" t="n"/>
      <c r="V784" s="79" t="str">
        <f>IF(AND(D784="proMX",OR(R784="Submitted",R784="Recall Requested"),ISNUMBER(S784)),CFG_TODAY-INT(S784),"")</f>
        <v/>
      </c>
      <c r="W784" s="78" t="str">
        <f>IF(BD784=0,"",IF(BA784&gt;0,"⚠ Se superpone con un registro de la otra empresa",IF(D784="Malcolm",IF(COUNTA(R784,S784,T784)&gt;0,"Estado/fechas proMX se ignoran en Malcolm",""),IF(BF784="Cancelled","Cancelado: excluido de totales",IF(R784="","Sin estado: se trata como Draft",IF(BF784="Submitted",IF(ISNUMBER(V784),IF(V784&gt;CFG_MAXD,"⚠ "&amp;V784&amp;" días en Submitted (máx. "&amp;CFG_MAXD&amp;")",""),"Falta fecha de envío"),IF(BF784="Returned","⚠ Devuelto: corregir y reenviar",IF(BF784="Recall Requested","Retirada solicitada: pendiente",IF(AND(BF784="Approved",NOT(ISNUMBER(T784))),"Falta fecha de aprobación",IF(AND(ISNUMBER(S784),ISNUMBER(T784),T784&lt;S784),"Aprobación anterior al envío","")))))))))</f>
        <v/>
      </c>
      <c r="Y784" s="80">
        <f>IF(COUNTA(B784,D784,E784,F784,G784,H784,I784,J784,R784,S784,T784)&gt;0,1,0)</f>
        <v>0</v>
      </c>
      <c r="Z784" s="80" t="str">
        <f>IF(AND(ISNUMBER(H784),H784&gt;=0,H784&lt;1),ROUND(H784*1440,0),"")</f>
        <v/>
      </c>
      <c r="AA784" s="80" t="str">
        <f>IF(AND(ISNUMBER(I784),I784&gt;=0,I784&lt;1),ROUND(I784*1440,0),"")</f>
        <v/>
      </c>
      <c r="AB784" s="80">
        <f>IF(AND(ISNUMBER(B784),D784&lt;&gt;"",ISNUMBER(Z784),ISNUMBER(AA784)),IF(Z784=AA784,0,1),0)</f>
        <v>0</v>
      </c>
      <c r="AC784" s="80">
        <f>IF(AB784=1,IF(AA784&lt;Z784,1,0),0)</f>
        <v>0</v>
      </c>
      <c r="AD784" s="80">
        <f>IF(AB784=1,IF(AC784=1,1440-Z784+AA784,AA784-Z784),0)</f>
        <v>0</v>
      </c>
      <c r="AE784" s="80">
        <f>IF(J784="",0,IF(ISNUMBER(J784),J784,-1))</f>
        <v>0</v>
      </c>
      <c r="AF784" s="80">
        <f>MIN(MAX(0,AE784),AD784)</f>
        <v>0</v>
      </c>
      <c r="AG784" s="80">
        <f>MAX(0,AD784-MAX(0,AE784))</f>
        <v>0</v>
      </c>
      <c r="AH784" s="80">
        <f>IF(ISNUMBER(B784),IF(AND(INDEX(CFG_WDAYS,WEEKDAY(INT(B784),2))="Sí",IF(D784="proMX",COUNTIFS(FER_F,INT(B784),FER_NLP,"Sí"),COUNTIFS(FER_F,INT(B784),FER_NLM,"Sí"))=0),1,0),0)</f>
        <v>0</v>
      </c>
      <c r="AI784" s="80">
        <f>IF(AC784=1,IF(AND(INDEX(CFG_WDAYS,WEEKDAY(INT(B784)+1,2))="Sí",IF(D784="proMX",COUNTIFS(FER_F,INT(B784)+1,FER_NLP,"Sí"),COUNTIFS(FER_F,INT(B784)+1,FER_NLM,"Sí"))=0),1,0),0)</f>
        <v>0</v>
      </c>
      <c r="AJ784" s="80">
        <f>IF(AC784=1,1440-Z784,AD784)</f>
        <v>0</v>
      </c>
      <c r="AK784" s="80">
        <f>IF(AND(AB784=1,AH784=1),MAX(0,MIN(IF(AC784=1,1440,AA784),CFG_WEM)-MAX(Z784,CFG_WSM)),0)</f>
        <v>0</v>
      </c>
      <c r="AL784" s="80">
        <f>IF(AND(AC784=1,AI784=1),MAX(0,MIN(AA784,CFG_WEM)-CFG_WSM),0)</f>
        <v>0</v>
      </c>
      <c r="AM784" s="80">
        <f>AK784+AL784</f>
        <v>0</v>
      </c>
      <c r="AN784" s="80">
        <f>IF(CFG_BRK="Proporcional",IF(AD784=0,0,AF784*AM784/AD784),IF(CFG_BRK="Extras primero",MIN(AM784,MAX(0,AF784-(AD784-AM784))),MIN(AF784,AM784)))</f>
        <v>0</v>
      </c>
      <c r="AO784" s="80">
        <f>AF784-AN784</f>
        <v>0</v>
      </c>
      <c r="AP784" s="80">
        <f>AM784-AN784</f>
        <v>0</v>
      </c>
      <c r="AQ784" s="80">
        <f>AD784-AM784-AO784</f>
        <v>0</v>
      </c>
      <c r="AR784" s="80">
        <f>IF(AM784=0,0,AK784-AN784*AK784/AM784)</f>
        <v>0</v>
      </c>
      <c r="AS784" s="80">
        <f>IF(AD784-AM784=0,0,(AJ784-AK784)-AO784*(AJ784-AK784)/(AD784-AM784))</f>
        <v>0</v>
      </c>
      <c r="AT784" s="80" t="str">
        <f>IF(AC784=1,INT(B784)+1,"")</f>
        <v/>
      </c>
      <c r="AU784" s="80">
        <f>IF(AND(D784="proMX",R784="Cancelled"),0,1)</f>
        <v>1</v>
      </c>
      <c r="AV784" s="80">
        <f>IF(AND(AB784=1,AU784=1),IF(COUNTIFS($D$5:D783,D784,$B$5:B783,B784,$Z$5:Z783,Z784,$AA$5:AA783,AA784,$F$5:F783,F784&amp;"",$AU$5:AU783,1)&gt;0,1,0),0)</f>
        <v>0</v>
      </c>
      <c r="AW784" s="80" t="str">
        <f>IF(AB784=1,INT(B784)*1440+Z784,"")</f>
        <v/>
      </c>
      <c r="AX784" s="80" t="str">
        <f>IF(AB784=1,AW784+AD784,"")</f>
        <v/>
      </c>
      <c r="AY784" s="80">
        <f>IF(AND(AB784=1,AV784=0,AU784=1),1,0)</f>
        <v>0</v>
      </c>
      <c r="AZ784" s="80">
        <f>IF(AY784=1,COUNTIFS(R_Emp,D784,R_SAbs,"&lt;"&amp;AX784,R_EAbs,"&gt;"&amp;AW784,R_OKey,1)-1,0)</f>
        <v>0</v>
      </c>
      <c r="BA784" s="80">
        <f>IF(AY784=1,COUNTIFS(R_Emp,"&lt;&gt;"&amp;D784,R_SAbs,"&lt;"&amp;AX784,R_EAbs,"&gt;"&amp;AW784,R_OKey,1),0)</f>
        <v>0</v>
      </c>
      <c r="BB784" s="80">
        <f>IF(AND(AB784=1,D784="proMX"),IF(AND(MOD(Z784,CFG_BLK)=0,MOD(AA784,CFG_BLK)=0,MOD(AG784,CFG_BLK)=0,AG784&gt;0),1,0),1)</f>
        <v>1</v>
      </c>
      <c r="BC784" s="80" t="str">
        <f>IF(Y784=0,"",IF(NOT(ISNUMBER(B784)),"Falta fecha o fecha inválida",IF(D784="","Falta empresa",IF(AND(D784&lt;&gt;"Malcolm",D784&lt;&gt;"proMX"),"Empresa inválida",IF(OR(INT(B784)&lt;CFG_PSTART,INT(B784)&gt;CFG_PEND),"Fecha fuera del período",IF(OR(NOT(ISNUMBER(Z784)),NOT(ISNUMBER(AA784))),"Falta hora inicio/fin o formato inválido",IF(AB784=0,"Hora inicio = hora fin",IF(AE784&lt;0,"Descanso inválido",IF(AE784&gt;=AD784,"Descanso ≥ duración",IF(AV784=1,"Registro duplicado",IF(AZ784&gt;0,"Se superpone con otro registro "&amp;D784,IF(BB784=0,"inicio, fin y duración neta deben ser múltiplos de "&amp;CFG_BLK&amp;" min",""))))))))))))</f>
        <v/>
      </c>
      <c r="BD784" s="80">
        <f>IF(AND(Y784=1,BC784=""),1,0)</f>
        <v>0</v>
      </c>
      <c r="BE784" s="80">
        <f>IF(AND(BD784=1,AU784=1),1,0)</f>
        <v>0</v>
      </c>
      <c r="BF784" s="80" t="str">
        <f>IF(AND(D784="proMX",BD784=1),IF(R784="","Draft",R784),"")</f>
        <v/>
      </c>
      <c r="BG784" s="80">
        <f>IF(BD784=1,ROUND(AG784/60,6),0)</f>
        <v>0</v>
      </c>
      <c r="BH784" s="80">
        <f>IF(BE784=1,ROUND(AG784/60,6),0)</f>
        <v>0</v>
      </c>
      <c r="BI784" s="80">
        <f>IF(BE784=1,ROUND(AP784/60,6),0)</f>
        <v>0</v>
      </c>
      <c r="BJ784" s="80">
        <f>IF(BE784=1,ROUND(AQ784/60,6),0)</f>
        <v>0</v>
      </c>
      <c r="BK784" s="80">
        <f>IF(BE784=1,ROUND((AR784+AS784)/60,6),0)</f>
        <v>0</v>
      </c>
      <c r="BL784" s="80">
        <f>ROUND(BH784-BK784,6)</f>
        <v>0</v>
      </c>
      <c r="BM784" s="80">
        <f>IF(BE784=1,ROUND(AR784/60,6),0)</f>
        <v>0</v>
      </c>
      <c r="BN784" s="80">
        <f>ROUND(BI784-BM784,6)</f>
        <v>0</v>
      </c>
      <c r="BO784" s="80">
        <f>IF(BE784=1,ROUND(AS784/60,6),0)</f>
        <v>0</v>
      </c>
      <c r="BP784" s="80">
        <f>ROUND(BJ784-BO784,6)</f>
        <v>0</v>
      </c>
      <c r="BQ784" s="80">
        <f>IF(BE784=1,AW784,0)</f>
        <v>0</v>
      </c>
      <c r="BR784" s="80">
        <f>IF(BE784=1,AX784,0)</f>
        <v>0</v>
      </c>
      <c r="BS784" s="80">
        <f>IF(AND(BE784=1,D784="Malcolm",BA784&gt;0),MIN(BH784,SUMPRODUCT((R_Emp="proMX")*(R_EN&gt;0)*((R_EN-(R_EN&gt;BR784)*(R_EN-BR784))&gt;(R_SN+(R_SN&lt;BQ784)*(BQ784-R_SN)))*((R_EN-(R_EN&gt;BR784)*(R_EN-BR784))-(R_SN+(R_SN&lt;BQ784)*(BQ784-R_SN))))/60),0)</f>
        <v>0</v>
      </c>
      <c r="BT784" s="80">
        <f>IF(AND(BE784=1,D784="proMX"),ROUND(BI784*CFG_RATE+BJ784*CFG_OTRATE,6),0)</f>
        <v>0</v>
      </c>
      <c r="BU784" s="80">
        <f>IF(AND(BD784=1,D784="proMX"),ROUND(AG784/CFG_BLK,6),0)</f>
        <v>0</v>
      </c>
      <c r="BV784" s="80" t="str">
        <f>IF(BF784="Approved",IF(ISNUMBER(T784),INT(T784),INT(B784)),"")</f>
        <v/>
      </c>
      <c r="BW784" s="80">
        <f>IF(ISNUMBER(B784),IF(DB_MON="Todos",1,IF(AND(INT(B784)&gt;=DB_MS,INT(B784)&lt;=DB_ME),1,0)),0)</f>
        <v>0</v>
      </c>
      <c r="BX784" s="80">
        <f>IF(DB_PROJ="Todos",1,IF(E784&amp;""=DB_PROJ&amp;"",1,0))</f>
        <v>1</v>
      </c>
      <c r="BY784" s="80">
        <f>BW784*BX784</f>
        <v>0</v>
      </c>
      <c r="BZ784" s="80" t="str">
        <f>IF(Y784=1,F784&amp;IF(AND(F784&amp;""&lt;&gt;"",E784&amp;""&lt;&gt;"")," · ","")&amp;E784,"")</f>
        <v/>
      </c>
      <c r="CA784" s="80" t="str">
        <f>IF(AND(BD784=1,E784&amp;""&lt;&gt;""),IF(COUNTIFS($E$5:E783,E784,$BD$5:BD783,1)=0,MAX($CA$5:CA783)+1,""),"")</f>
        <v/>
      </c>
      <c r="CB784" s="80" t="str">
        <f>IF(AND(BE784=1,D784="Malcolm",E784&amp;""&lt;&gt;""),IF(COUNTIFS($D$5:D783,"Malcolm",$E$5:E783,E784,$BE$5:BE783,1)=0,MAX($CB$5:CB783)+1,""),"")</f>
        <v/>
      </c>
      <c r="CC784" s="80" t="str">
        <f>IF(AND(BD784=1,D784="proMX",E784&amp;""&lt;&gt;""),IF(COUNTIFS($D$5:D783,"proMX",$E$5:E783,E784,$BD$5:BD783,1)=0,MAX($CC$5:CC783)+1,""),"")</f>
        <v/>
      </c>
      <c r="CD784" s="80" t="str">
        <f>IF(AND(BE784=1,D784="Malcolm",F784&amp;""&lt;&gt;""),IF(COUNTIFS($D$5:D783,"Malcolm",$F$5:F783,F784,$BE$5:BE783,1)=0,MAX($CD$5:CD783)+1,""),"")</f>
        <v/>
      </c>
      <c r="CE784" s="80" t="str">
        <f>IF(AND(BD784=1,D784="proMX",F784&amp;""&lt;&gt;""),IF(COUNTIFS($D$5:D783,"proMX",$F$5:F783,F784,$BD$5:BD783,1)=0,MAX($CE$5:CE783)+1,""),"")</f>
        <v/>
      </c>
      <c r="CF784" s="80" t="str">
        <f>IF(AND(D784="proMX",BD784=1),IF(OR(BF784="Draft",BF784="Submitted",BF784="Returned",BF784="Recall Requested"),MAX($CF$5:CF783)+1,""),"")</f>
        <v/>
      </c>
      <c r="CG784" s="80">
        <f>IF(BD784=0,0,IF(D784="Malcolm",1,MATCH(BF784,{"Draft","Submitted","Approved","Returned","Recall Requested","Cancelled"},0)+1))</f>
        <v>0</v>
      </c>
      <c r="CH784" s="80">
        <f>IF(AND(BF784="Submitted",ISNUMBER(V784)),IF(V784&gt;CFG_MAXD,1,0),0)</f>
        <v>0</v>
      </c>
    </row>
    <row r="785">
      <c r="A785" s="71" t="str">
        <f>IF(Y785=1,ROW()-5,"")</f>
        <v/>
      </c>
      <c r="B785" s="72" t="n"/>
      <c r="C785" s="71" t="str">
        <f>IF(ISNUMBER(B785),CHOOSE(WEEKDAY(B785,2),"Lun","Mar","Mié","Jue","Vie","Sáb","Dom"),"")</f>
        <v/>
      </c>
      <c r="D785" s="73" t="n"/>
      <c r="E785" s="74" t="n"/>
      <c r="F785" s="74" t="n"/>
      <c r="G785" s="74" t="n"/>
      <c r="H785" s="75" t="n"/>
      <c r="I785" s="75" t="n"/>
      <c r="J785" s="76" t="n"/>
      <c r="K785" s="77" t="str">
        <f>IF(AB785=1,ROUND(AG785/60,4),"")</f>
        <v/>
      </c>
      <c r="L785" s="77" t="str">
        <f>IF(BD785=1,ROUND(AP785/60,4),"")</f>
        <v/>
      </c>
      <c r="M785" s="77" t="str">
        <f>IF(BD785=1,ROUND(AQ785/60,4),"")</f>
        <v/>
      </c>
      <c r="N785" s="71" t="str">
        <f>IF(AND(D785="proMX",AB785=1),ROUND(AG785/CFG_BLK,2),"")</f>
        <v/>
      </c>
      <c r="O785" s="77" t="str">
        <f>IF(D785="proMX",IF(BD785=1,ROUND(AG785/60,4),0),"")</f>
        <v/>
      </c>
      <c r="P785" s="78" t="str">
        <f>IF(Y785=0,"",IF(BD785=1,"OK",IF(D785="proMX","Revisar bloques: ","Revisar: ")&amp;BC785))</f>
        <v/>
      </c>
      <c r="Q785" s="78" t="str">
        <f>IF(NOT(ISNUMBER(B785)),"",IF(COUNTIFS(FER_F,INT(B785))&gt;0,"Feriado"&amp;IF(AH785=1," (laborable)"," (no laborable)"),IF(AH785=1,"Laborable",IF(WEEKDAY(B785,2)&gt;5,"Fin de semana","No laborable"))))</f>
        <v/>
      </c>
      <c r="R785" s="73" t="n"/>
      <c r="S785" s="72" t="n"/>
      <c r="T785" s="72" t="n"/>
      <c r="U785" s="74" t="n"/>
      <c r="V785" s="79" t="str">
        <f>IF(AND(D785="proMX",OR(R785="Submitted",R785="Recall Requested"),ISNUMBER(S785)),CFG_TODAY-INT(S785),"")</f>
        <v/>
      </c>
      <c r="W785" s="78" t="str">
        <f>IF(BD785=0,"",IF(BA785&gt;0,"⚠ Se superpone con un registro de la otra empresa",IF(D785="Malcolm",IF(COUNTA(R785,S785,T785)&gt;0,"Estado/fechas proMX se ignoran en Malcolm",""),IF(BF785="Cancelled","Cancelado: excluido de totales",IF(R785="","Sin estado: se trata como Draft",IF(BF785="Submitted",IF(ISNUMBER(V785),IF(V785&gt;CFG_MAXD,"⚠ "&amp;V785&amp;" días en Submitted (máx. "&amp;CFG_MAXD&amp;")",""),"Falta fecha de envío"),IF(BF785="Returned","⚠ Devuelto: corregir y reenviar",IF(BF785="Recall Requested","Retirada solicitada: pendiente",IF(AND(BF785="Approved",NOT(ISNUMBER(T785))),"Falta fecha de aprobación",IF(AND(ISNUMBER(S785),ISNUMBER(T785),T785&lt;S785),"Aprobación anterior al envío","")))))))))</f>
        <v/>
      </c>
      <c r="Y785" s="80">
        <f>IF(COUNTA(B785,D785,E785,F785,G785,H785,I785,J785,R785,S785,T785)&gt;0,1,0)</f>
        <v>0</v>
      </c>
      <c r="Z785" s="80" t="str">
        <f>IF(AND(ISNUMBER(H785),H785&gt;=0,H785&lt;1),ROUND(H785*1440,0),"")</f>
        <v/>
      </c>
      <c r="AA785" s="80" t="str">
        <f>IF(AND(ISNUMBER(I785),I785&gt;=0,I785&lt;1),ROUND(I785*1440,0),"")</f>
        <v/>
      </c>
      <c r="AB785" s="80">
        <f>IF(AND(ISNUMBER(B785),D785&lt;&gt;"",ISNUMBER(Z785),ISNUMBER(AA785)),IF(Z785=AA785,0,1),0)</f>
        <v>0</v>
      </c>
      <c r="AC785" s="80">
        <f>IF(AB785=1,IF(AA785&lt;Z785,1,0),0)</f>
        <v>0</v>
      </c>
      <c r="AD785" s="80">
        <f>IF(AB785=1,IF(AC785=1,1440-Z785+AA785,AA785-Z785),0)</f>
        <v>0</v>
      </c>
      <c r="AE785" s="80">
        <f>IF(J785="",0,IF(ISNUMBER(J785),J785,-1))</f>
        <v>0</v>
      </c>
      <c r="AF785" s="80">
        <f>MIN(MAX(0,AE785),AD785)</f>
        <v>0</v>
      </c>
      <c r="AG785" s="80">
        <f>MAX(0,AD785-MAX(0,AE785))</f>
        <v>0</v>
      </c>
      <c r="AH785" s="80">
        <f>IF(ISNUMBER(B785),IF(AND(INDEX(CFG_WDAYS,WEEKDAY(INT(B785),2))="Sí",IF(D785="proMX",COUNTIFS(FER_F,INT(B785),FER_NLP,"Sí"),COUNTIFS(FER_F,INT(B785),FER_NLM,"Sí"))=0),1,0),0)</f>
        <v>0</v>
      </c>
      <c r="AI785" s="80">
        <f>IF(AC785=1,IF(AND(INDEX(CFG_WDAYS,WEEKDAY(INT(B785)+1,2))="Sí",IF(D785="proMX",COUNTIFS(FER_F,INT(B785)+1,FER_NLP,"Sí"),COUNTIFS(FER_F,INT(B785)+1,FER_NLM,"Sí"))=0),1,0),0)</f>
        <v>0</v>
      </c>
      <c r="AJ785" s="80">
        <f>IF(AC785=1,1440-Z785,AD785)</f>
        <v>0</v>
      </c>
      <c r="AK785" s="80">
        <f>IF(AND(AB785=1,AH785=1),MAX(0,MIN(IF(AC785=1,1440,AA785),CFG_WEM)-MAX(Z785,CFG_WSM)),0)</f>
        <v>0</v>
      </c>
      <c r="AL785" s="80">
        <f>IF(AND(AC785=1,AI785=1),MAX(0,MIN(AA785,CFG_WEM)-CFG_WSM),0)</f>
        <v>0</v>
      </c>
      <c r="AM785" s="80">
        <f>AK785+AL785</f>
        <v>0</v>
      </c>
      <c r="AN785" s="80">
        <f>IF(CFG_BRK="Proporcional",IF(AD785=0,0,AF785*AM785/AD785),IF(CFG_BRK="Extras primero",MIN(AM785,MAX(0,AF785-(AD785-AM785))),MIN(AF785,AM785)))</f>
        <v>0</v>
      </c>
      <c r="AO785" s="80">
        <f>AF785-AN785</f>
        <v>0</v>
      </c>
      <c r="AP785" s="80">
        <f>AM785-AN785</f>
        <v>0</v>
      </c>
      <c r="AQ785" s="80">
        <f>AD785-AM785-AO785</f>
        <v>0</v>
      </c>
      <c r="AR785" s="80">
        <f>IF(AM785=0,0,AK785-AN785*AK785/AM785)</f>
        <v>0</v>
      </c>
      <c r="AS785" s="80">
        <f>IF(AD785-AM785=0,0,(AJ785-AK785)-AO785*(AJ785-AK785)/(AD785-AM785))</f>
        <v>0</v>
      </c>
      <c r="AT785" s="80" t="str">
        <f>IF(AC785=1,INT(B785)+1,"")</f>
        <v/>
      </c>
      <c r="AU785" s="80">
        <f>IF(AND(D785="proMX",R785="Cancelled"),0,1)</f>
        <v>1</v>
      </c>
      <c r="AV785" s="80">
        <f>IF(AND(AB785=1,AU785=1),IF(COUNTIFS($D$5:D784,D785,$B$5:B784,B785,$Z$5:Z784,Z785,$AA$5:AA784,AA785,$F$5:F784,F785&amp;"",$AU$5:AU784,1)&gt;0,1,0),0)</f>
        <v>0</v>
      </c>
      <c r="AW785" s="80" t="str">
        <f>IF(AB785=1,INT(B785)*1440+Z785,"")</f>
        <v/>
      </c>
      <c r="AX785" s="80" t="str">
        <f>IF(AB785=1,AW785+AD785,"")</f>
        <v/>
      </c>
      <c r="AY785" s="80">
        <f>IF(AND(AB785=1,AV785=0,AU785=1),1,0)</f>
        <v>0</v>
      </c>
      <c r="AZ785" s="80">
        <f>IF(AY785=1,COUNTIFS(R_Emp,D785,R_SAbs,"&lt;"&amp;AX785,R_EAbs,"&gt;"&amp;AW785,R_OKey,1)-1,0)</f>
        <v>0</v>
      </c>
      <c r="BA785" s="80">
        <f>IF(AY785=1,COUNTIFS(R_Emp,"&lt;&gt;"&amp;D785,R_SAbs,"&lt;"&amp;AX785,R_EAbs,"&gt;"&amp;AW785,R_OKey,1),0)</f>
        <v>0</v>
      </c>
      <c r="BB785" s="80">
        <f>IF(AND(AB785=1,D785="proMX"),IF(AND(MOD(Z785,CFG_BLK)=0,MOD(AA785,CFG_BLK)=0,MOD(AG785,CFG_BLK)=0,AG785&gt;0),1,0),1)</f>
        <v>1</v>
      </c>
      <c r="BC785" s="80" t="str">
        <f>IF(Y785=0,"",IF(NOT(ISNUMBER(B785)),"Falta fecha o fecha inválida",IF(D785="","Falta empresa",IF(AND(D785&lt;&gt;"Malcolm",D785&lt;&gt;"proMX"),"Empresa inválida",IF(OR(INT(B785)&lt;CFG_PSTART,INT(B785)&gt;CFG_PEND),"Fecha fuera del período",IF(OR(NOT(ISNUMBER(Z785)),NOT(ISNUMBER(AA785))),"Falta hora inicio/fin o formato inválido",IF(AB785=0,"Hora inicio = hora fin",IF(AE785&lt;0,"Descanso inválido",IF(AE785&gt;=AD785,"Descanso ≥ duración",IF(AV785=1,"Registro duplicado",IF(AZ785&gt;0,"Se superpone con otro registro "&amp;D785,IF(BB785=0,"inicio, fin y duración neta deben ser múltiplos de "&amp;CFG_BLK&amp;" min",""))))))))))))</f>
        <v/>
      </c>
      <c r="BD785" s="80">
        <f>IF(AND(Y785=1,BC785=""),1,0)</f>
        <v>0</v>
      </c>
      <c r="BE785" s="80">
        <f>IF(AND(BD785=1,AU785=1),1,0)</f>
        <v>0</v>
      </c>
      <c r="BF785" s="80" t="str">
        <f>IF(AND(D785="proMX",BD785=1),IF(R785="","Draft",R785),"")</f>
        <v/>
      </c>
      <c r="BG785" s="80">
        <f>IF(BD785=1,ROUND(AG785/60,6),0)</f>
        <v>0</v>
      </c>
      <c r="BH785" s="80">
        <f>IF(BE785=1,ROUND(AG785/60,6),0)</f>
        <v>0</v>
      </c>
      <c r="BI785" s="80">
        <f>IF(BE785=1,ROUND(AP785/60,6),0)</f>
        <v>0</v>
      </c>
      <c r="BJ785" s="80">
        <f>IF(BE785=1,ROUND(AQ785/60,6),0)</f>
        <v>0</v>
      </c>
      <c r="BK785" s="80">
        <f>IF(BE785=1,ROUND((AR785+AS785)/60,6),0)</f>
        <v>0</v>
      </c>
      <c r="BL785" s="80">
        <f>ROUND(BH785-BK785,6)</f>
        <v>0</v>
      </c>
      <c r="BM785" s="80">
        <f>IF(BE785=1,ROUND(AR785/60,6),0)</f>
        <v>0</v>
      </c>
      <c r="BN785" s="80">
        <f>ROUND(BI785-BM785,6)</f>
        <v>0</v>
      </c>
      <c r="BO785" s="80">
        <f>IF(BE785=1,ROUND(AS785/60,6),0)</f>
        <v>0</v>
      </c>
      <c r="BP785" s="80">
        <f>ROUND(BJ785-BO785,6)</f>
        <v>0</v>
      </c>
      <c r="BQ785" s="80">
        <f>IF(BE785=1,AW785,0)</f>
        <v>0</v>
      </c>
      <c r="BR785" s="80">
        <f>IF(BE785=1,AX785,0)</f>
        <v>0</v>
      </c>
      <c r="BS785" s="80">
        <f>IF(AND(BE785=1,D785="Malcolm",BA785&gt;0),MIN(BH785,SUMPRODUCT((R_Emp="proMX")*(R_EN&gt;0)*((R_EN-(R_EN&gt;BR785)*(R_EN-BR785))&gt;(R_SN+(R_SN&lt;BQ785)*(BQ785-R_SN)))*((R_EN-(R_EN&gt;BR785)*(R_EN-BR785))-(R_SN+(R_SN&lt;BQ785)*(BQ785-R_SN))))/60),0)</f>
        <v>0</v>
      </c>
      <c r="BT785" s="80">
        <f>IF(AND(BE785=1,D785="proMX"),ROUND(BI785*CFG_RATE+BJ785*CFG_OTRATE,6),0)</f>
        <v>0</v>
      </c>
      <c r="BU785" s="80">
        <f>IF(AND(BD785=1,D785="proMX"),ROUND(AG785/CFG_BLK,6),0)</f>
        <v>0</v>
      </c>
      <c r="BV785" s="80" t="str">
        <f>IF(BF785="Approved",IF(ISNUMBER(T785),INT(T785),INT(B785)),"")</f>
        <v/>
      </c>
      <c r="BW785" s="80">
        <f>IF(ISNUMBER(B785),IF(DB_MON="Todos",1,IF(AND(INT(B785)&gt;=DB_MS,INT(B785)&lt;=DB_ME),1,0)),0)</f>
        <v>0</v>
      </c>
      <c r="BX785" s="80">
        <f>IF(DB_PROJ="Todos",1,IF(E785&amp;""=DB_PROJ&amp;"",1,0))</f>
        <v>1</v>
      </c>
      <c r="BY785" s="80">
        <f>BW785*BX785</f>
        <v>0</v>
      </c>
      <c r="BZ785" s="80" t="str">
        <f>IF(Y785=1,F785&amp;IF(AND(F785&amp;""&lt;&gt;"",E785&amp;""&lt;&gt;"")," · ","")&amp;E785,"")</f>
        <v/>
      </c>
      <c r="CA785" s="80" t="str">
        <f>IF(AND(BD785=1,E785&amp;""&lt;&gt;""),IF(COUNTIFS($E$5:E784,E785,$BD$5:BD784,1)=0,MAX($CA$5:CA784)+1,""),"")</f>
        <v/>
      </c>
      <c r="CB785" s="80" t="str">
        <f>IF(AND(BE785=1,D785="Malcolm",E785&amp;""&lt;&gt;""),IF(COUNTIFS($D$5:D784,"Malcolm",$E$5:E784,E785,$BE$5:BE784,1)=0,MAX($CB$5:CB784)+1,""),"")</f>
        <v/>
      </c>
      <c r="CC785" s="80" t="str">
        <f>IF(AND(BD785=1,D785="proMX",E785&amp;""&lt;&gt;""),IF(COUNTIFS($D$5:D784,"proMX",$E$5:E784,E785,$BD$5:BD784,1)=0,MAX($CC$5:CC784)+1,""),"")</f>
        <v/>
      </c>
      <c r="CD785" s="80" t="str">
        <f>IF(AND(BE785=1,D785="Malcolm",F785&amp;""&lt;&gt;""),IF(COUNTIFS($D$5:D784,"Malcolm",$F$5:F784,F785,$BE$5:BE784,1)=0,MAX($CD$5:CD784)+1,""),"")</f>
        <v/>
      </c>
      <c r="CE785" s="80" t="str">
        <f>IF(AND(BD785=1,D785="proMX",F785&amp;""&lt;&gt;""),IF(COUNTIFS($D$5:D784,"proMX",$F$5:F784,F785,$BD$5:BD784,1)=0,MAX($CE$5:CE784)+1,""),"")</f>
        <v/>
      </c>
      <c r="CF785" s="80" t="str">
        <f>IF(AND(D785="proMX",BD785=1),IF(OR(BF785="Draft",BF785="Submitted",BF785="Returned",BF785="Recall Requested"),MAX($CF$5:CF784)+1,""),"")</f>
        <v/>
      </c>
      <c r="CG785" s="80">
        <f>IF(BD785=0,0,IF(D785="Malcolm",1,MATCH(BF785,{"Draft","Submitted","Approved","Returned","Recall Requested","Cancelled"},0)+1))</f>
        <v>0</v>
      </c>
      <c r="CH785" s="80">
        <f>IF(AND(BF785="Submitted",ISNUMBER(V785)),IF(V785&gt;CFG_MAXD,1,0),0)</f>
        <v>0</v>
      </c>
    </row>
    <row r="786">
      <c r="A786" s="71" t="str">
        <f>IF(Y786=1,ROW()-5,"")</f>
        <v/>
      </c>
      <c r="B786" s="72" t="n"/>
      <c r="C786" s="71" t="str">
        <f>IF(ISNUMBER(B786),CHOOSE(WEEKDAY(B786,2),"Lun","Mar","Mié","Jue","Vie","Sáb","Dom"),"")</f>
        <v/>
      </c>
      <c r="D786" s="73" t="n"/>
      <c r="E786" s="74" t="n"/>
      <c r="F786" s="74" t="n"/>
      <c r="G786" s="74" t="n"/>
      <c r="H786" s="75" t="n"/>
      <c r="I786" s="75" t="n"/>
      <c r="J786" s="76" t="n"/>
      <c r="K786" s="77" t="str">
        <f>IF(AB786=1,ROUND(AG786/60,4),"")</f>
        <v/>
      </c>
      <c r="L786" s="77" t="str">
        <f>IF(BD786=1,ROUND(AP786/60,4),"")</f>
        <v/>
      </c>
      <c r="M786" s="77" t="str">
        <f>IF(BD786=1,ROUND(AQ786/60,4),"")</f>
        <v/>
      </c>
      <c r="N786" s="71" t="str">
        <f>IF(AND(D786="proMX",AB786=1),ROUND(AG786/CFG_BLK,2),"")</f>
        <v/>
      </c>
      <c r="O786" s="77" t="str">
        <f>IF(D786="proMX",IF(BD786=1,ROUND(AG786/60,4),0),"")</f>
        <v/>
      </c>
      <c r="P786" s="78" t="str">
        <f>IF(Y786=0,"",IF(BD786=1,"OK",IF(D786="proMX","Revisar bloques: ","Revisar: ")&amp;BC786))</f>
        <v/>
      </c>
      <c r="Q786" s="78" t="str">
        <f>IF(NOT(ISNUMBER(B786)),"",IF(COUNTIFS(FER_F,INT(B786))&gt;0,"Feriado"&amp;IF(AH786=1," (laborable)"," (no laborable)"),IF(AH786=1,"Laborable",IF(WEEKDAY(B786,2)&gt;5,"Fin de semana","No laborable"))))</f>
        <v/>
      </c>
      <c r="R786" s="73" t="n"/>
      <c r="S786" s="72" t="n"/>
      <c r="T786" s="72" t="n"/>
      <c r="U786" s="74" t="n"/>
      <c r="V786" s="79" t="str">
        <f>IF(AND(D786="proMX",OR(R786="Submitted",R786="Recall Requested"),ISNUMBER(S786)),CFG_TODAY-INT(S786),"")</f>
        <v/>
      </c>
      <c r="W786" s="78" t="str">
        <f>IF(BD786=0,"",IF(BA786&gt;0,"⚠ Se superpone con un registro de la otra empresa",IF(D786="Malcolm",IF(COUNTA(R786,S786,T786)&gt;0,"Estado/fechas proMX se ignoran en Malcolm",""),IF(BF786="Cancelled","Cancelado: excluido de totales",IF(R786="","Sin estado: se trata como Draft",IF(BF786="Submitted",IF(ISNUMBER(V786),IF(V786&gt;CFG_MAXD,"⚠ "&amp;V786&amp;" días en Submitted (máx. "&amp;CFG_MAXD&amp;")",""),"Falta fecha de envío"),IF(BF786="Returned","⚠ Devuelto: corregir y reenviar",IF(BF786="Recall Requested","Retirada solicitada: pendiente",IF(AND(BF786="Approved",NOT(ISNUMBER(T786))),"Falta fecha de aprobación",IF(AND(ISNUMBER(S786),ISNUMBER(T786),T786&lt;S786),"Aprobación anterior al envío","")))))))))</f>
        <v/>
      </c>
      <c r="Y786" s="80">
        <f>IF(COUNTA(B786,D786,E786,F786,G786,H786,I786,J786,R786,S786,T786)&gt;0,1,0)</f>
        <v>0</v>
      </c>
      <c r="Z786" s="80" t="str">
        <f>IF(AND(ISNUMBER(H786),H786&gt;=0,H786&lt;1),ROUND(H786*1440,0),"")</f>
        <v/>
      </c>
      <c r="AA786" s="80" t="str">
        <f>IF(AND(ISNUMBER(I786),I786&gt;=0,I786&lt;1),ROUND(I786*1440,0),"")</f>
        <v/>
      </c>
      <c r="AB786" s="80">
        <f>IF(AND(ISNUMBER(B786),D786&lt;&gt;"",ISNUMBER(Z786),ISNUMBER(AA786)),IF(Z786=AA786,0,1),0)</f>
        <v>0</v>
      </c>
      <c r="AC786" s="80">
        <f>IF(AB786=1,IF(AA786&lt;Z786,1,0),0)</f>
        <v>0</v>
      </c>
      <c r="AD786" s="80">
        <f>IF(AB786=1,IF(AC786=1,1440-Z786+AA786,AA786-Z786),0)</f>
        <v>0</v>
      </c>
      <c r="AE786" s="80">
        <f>IF(J786="",0,IF(ISNUMBER(J786),J786,-1))</f>
        <v>0</v>
      </c>
      <c r="AF786" s="80">
        <f>MIN(MAX(0,AE786),AD786)</f>
        <v>0</v>
      </c>
      <c r="AG786" s="80">
        <f>MAX(0,AD786-MAX(0,AE786))</f>
        <v>0</v>
      </c>
      <c r="AH786" s="80">
        <f>IF(ISNUMBER(B786),IF(AND(INDEX(CFG_WDAYS,WEEKDAY(INT(B786),2))="Sí",IF(D786="proMX",COUNTIFS(FER_F,INT(B786),FER_NLP,"Sí"),COUNTIFS(FER_F,INT(B786),FER_NLM,"Sí"))=0),1,0),0)</f>
        <v>0</v>
      </c>
      <c r="AI786" s="80">
        <f>IF(AC786=1,IF(AND(INDEX(CFG_WDAYS,WEEKDAY(INT(B786)+1,2))="Sí",IF(D786="proMX",COUNTIFS(FER_F,INT(B786)+1,FER_NLP,"Sí"),COUNTIFS(FER_F,INT(B786)+1,FER_NLM,"Sí"))=0),1,0),0)</f>
        <v>0</v>
      </c>
      <c r="AJ786" s="80">
        <f>IF(AC786=1,1440-Z786,AD786)</f>
        <v>0</v>
      </c>
      <c r="AK786" s="80">
        <f>IF(AND(AB786=1,AH786=1),MAX(0,MIN(IF(AC786=1,1440,AA786),CFG_WEM)-MAX(Z786,CFG_WSM)),0)</f>
        <v>0</v>
      </c>
      <c r="AL786" s="80">
        <f>IF(AND(AC786=1,AI786=1),MAX(0,MIN(AA786,CFG_WEM)-CFG_WSM),0)</f>
        <v>0</v>
      </c>
      <c r="AM786" s="80">
        <f>AK786+AL786</f>
        <v>0</v>
      </c>
      <c r="AN786" s="80">
        <f>IF(CFG_BRK="Proporcional",IF(AD786=0,0,AF786*AM786/AD786),IF(CFG_BRK="Extras primero",MIN(AM786,MAX(0,AF786-(AD786-AM786))),MIN(AF786,AM786)))</f>
        <v>0</v>
      </c>
      <c r="AO786" s="80">
        <f>AF786-AN786</f>
        <v>0</v>
      </c>
      <c r="AP786" s="80">
        <f>AM786-AN786</f>
        <v>0</v>
      </c>
      <c r="AQ786" s="80">
        <f>AD786-AM786-AO786</f>
        <v>0</v>
      </c>
      <c r="AR786" s="80">
        <f>IF(AM786=0,0,AK786-AN786*AK786/AM786)</f>
        <v>0</v>
      </c>
      <c r="AS786" s="80">
        <f>IF(AD786-AM786=0,0,(AJ786-AK786)-AO786*(AJ786-AK786)/(AD786-AM786))</f>
        <v>0</v>
      </c>
      <c r="AT786" s="80" t="str">
        <f>IF(AC786=1,INT(B786)+1,"")</f>
        <v/>
      </c>
      <c r="AU786" s="80">
        <f>IF(AND(D786="proMX",R786="Cancelled"),0,1)</f>
        <v>1</v>
      </c>
      <c r="AV786" s="80">
        <f>IF(AND(AB786=1,AU786=1),IF(COUNTIFS($D$5:D785,D786,$B$5:B785,B786,$Z$5:Z785,Z786,$AA$5:AA785,AA786,$F$5:F785,F786&amp;"",$AU$5:AU785,1)&gt;0,1,0),0)</f>
        <v>0</v>
      </c>
      <c r="AW786" s="80" t="str">
        <f>IF(AB786=1,INT(B786)*1440+Z786,"")</f>
        <v/>
      </c>
      <c r="AX786" s="80" t="str">
        <f>IF(AB786=1,AW786+AD786,"")</f>
        <v/>
      </c>
      <c r="AY786" s="80">
        <f>IF(AND(AB786=1,AV786=0,AU786=1),1,0)</f>
        <v>0</v>
      </c>
      <c r="AZ786" s="80">
        <f>IF(AY786=1,COUNTIFS(R_Emp,D786,R_SAbs,"&lt;"&amp;AX786,R_EAbs,"&gt;"&amp;AW786,R_OKey,1)-1,0)</f>
        <v>0</v>
      </c>
      <c r="BA786" s="80">
        <f>IF(AY786=1,COUNTIFS(R_Emp,"&lt;&gt;"&amp;D786,R_SAbs,"&lt;"&amp;AX786,R_EAbs,"&gt;"&amp;AW786,R_OKey,1),0)</f>
        <v>0</v>
      </c>
      <c r="BB786" s="80">
        <f>IF(AND(AB786=1,D786="proMX"),IF(AND(MOD(Z786,CFG_BLK)=0,MOD(AA786,CFG_BLK)=0,MOD(AG786,CFG_BLK)=0,AG786&gt;0),1,0),1)</f>
        <v>1</v>
      </c>
      <c r="BC786" s="80" t="str">
        <f>IF(Y786=0,"",IF(NOT(ISNUMBER(B786)),"Falta fecha o fecha inválida",IF(D786="","Falta empresa",IF(AND(D786&lt;&gt;"Malcolm",D786&lt;&gt;"proMX"),"Empresa inválida",IF(OR(INT(B786)&lt;CFG_PSTART,INT(B786)&gt;CFG_PEND),"Fecha fuera del período",IF(OR(NOT(ISNUMBER(Z786)),NOT(ISNUMBER(AA786))),"Falta hora inicio/fin o formato inválido",IF(AB786=0,"Hora inicio = hora fin",IF(AE786&lt;0,"Descanso inválido",IF(AE786&gt;=AD786,"Descanso ≥ duración",IF(AV786=1,"Registro duplicado",IF(AZ786&gt;0,"Se superpone con otro registro "&amp;D786,IF(BB786=0,"inicio, fin y duración neta deben ser múltiplos de "&amp;CFG_BLK&amp;" min",""))))))))))))</f>
        <v/>
      </c>
      <c r="BD786" s="80">
        <f>IF(AND(Y786=1,BC786=""),1,0)</f>
        <v>0</v>
      </c>
      <c r="BE786" s="80">
        <f>IF(AND(BD786=1,AU786=1),1,0)</f>
        <v>0</v>
      </c>
      <c r="BF786" s="80" t="str">
        <f>IF(AND(D786="proMX",BD786=1),IF(R786="","Draft",R786),"")</f>
        <v/>
      </c>
      <c r="BG786" s="80">
        <f>IF(BD786=1,ROUND(AG786/60,6),0)</f>
        <v>0</v>
      </c>
      <c r="BH786" s="80">
        <f>IF(BE786=1,ROUND(AG786/60,6),0)</f>
        <v>0</v>
      </c>
      <c r="BI786" s="80">
        <f>IF(BE786=1,ROUND(AP786/60,6),0)</f>
        <v>0</v>
      </c>
      <c r="BJ786" s="80">
        <f>IF(BE786=1,ROUND(AQ786/60,6),0)</f>
        <v>0</v>
      </c>
      <c r="BK786" s="80">
        <f>IF(BE786=1,ROUND((AR786+AS786)/60,6),0)</f>
        <v>0</v>
      </c>
      <c r="BL786" s="80">
        <f>ROUND(BH786-BK786,6)</f>
        <v>0</v>
      </c>
      <c r="BM786" s="80">
        <f>IF(BE786=1,ROUND(AR786/60,6),0)</f>
        <v>0</v>
      </c>
      <c r="BN786" s="80">
        <f>ROUND(BI786-BM786,6)</f>
        <v>0</v>
      </c>
      <c r="BO786" s="80">
        <f>IF(BE786=1,ROUND(AS786/60,6),0)</f>
        <v>0</v>
      </c>
      <c r="BP786" s="80">
        <f>ROUND(BJ786-BO786,6)</f>
        <v>0</v>
      </c>
      <c r="BQ786" s="80">
        <f>IF(BE786=1,AW786,0)</f>
        <v>0</v>
      </c>
      <c r="BR786" s="80">
        <f>IF(BE786=1,AX786,0)</f>
        <v>0</v>
      </c>
      <c r="BS786" s="80">
        <f>IF(AND(BE786=1,D786="Malcolm",BA786&gt;0),MIN(BH786,SUMPRODUCT((R_Emp="proMX")*(R_EN&gt;0)*((R_EN-(R_EN&gt;BR786)*(R_EN-BR786))&gt;(R_SN+(R_SN&lt;BQ786)*(BQ786-R_SN)))*((R_EN-(R_EN&gt;BR786)*(R_EN-BR786))-(R_SN+(R_SN&lt;BQ786)*(BQ786-R_SN))))/60),0)</f>
        <v>0</v>
      </c>
      <c r="BT786" s="80">
        <f>IF(AND(BE786=1,D786="proMX"),ROUND(BI786*CFG_RATE+BJ786*CFG_OTRATE,6),0)</f>
        <v>0</v>
      </c>
      <c r="BU786" s="80">
        <f>IF(AND(BD786=1,D786="proMX"),ROUND(AG786/CFG_BLK,6),0)</f>
        <v>0</v>
      </c>
      <c r="BV786" s="80" t="str">
        <f>IF(BF786="Approved",IF(ISNUMBER(T786),INT(T786),INT(B786)),"")</f>
        <v/>
      </c>
      <c r="BW786" s="80">
        <f>IF(ISNUMBER(B786),IF(DB_MON="Todos",1,IF(AND(INT(B786)&gt;=DB_MS,INT(B786)&lt;=DB_ME),1,0)),0)</f>
        <v>0</v>
      </c>
      <c r="BX786" s="80">
        <f>IF(DB_PROJ="Todos",1,IF(E786&amp;""=DB_PROJ&amp;"",1,0))</f>
        <v>1</v>
      </c>
      <c r="BY786" s="80">
        <f>BW786*BX786</f>
        <v>0</v>
      </c>
      <c r="BZ786" s="80" t="str">
        <f>IF(Y786=1,F786&amp;IF(AND(F786&amp;""&lt;&gt;"",E786&amp;""&lt;&gt;"")," · ","")&amp;E786,"")</f>
        <v/>
      </c>
      <c r="CA786" s="80" t="str">
        <f>IF(AND(BD786=1,E786&amp;""&lt;&gt;""),IF(COUNTIFS($E$5:E785,E786,$BD$5:BD785,1)=0,MAX($CA$5:CA785)+1,""),"")</f>
        <v/>
      </c>
      <c r="CB786" s="80" t="str">
        <f>IF(AND(BE786=1,D786="Malcolm",E786&amp;""&lt;&gt;""),IF(COUNTIFS($D$5:D785,"Malcolm",$E$5:E785,E786,$BE$5:BE785,1)=0,MAX($CB$5:CB785)+1,""),"")</f>
        <v/>
      </c>
      <c r="CC786" s="80" t="str">
        <f>IF(AND(BD786=1,D786="proMX",E786&amp;""&lt;&gt;""),IF(COUNTIFS($D$5:D785,"proMX",$E$5:E785,E786,$BD$5:BD785,1)=0,MAX($CC$5:CC785)+1,""),"")</f>
        <v/>
      </c>
      <c r="CD786" s="80" t="str">
        <f>IF(AND(BE786=1,D786="Malcolm",F786&amp;""&lt;&gt;""),IF(COUNTIFS($D$5:D785,"Malcolm",$F$5:F785,F786,$BE$5:BE785,1)=0,MAX($CD$5:CD785)+1,""),"")</f>
        <v/>
      </c>
      <c r="CE786" s="80" t="str">
        <f>IF(AND(BD786=1,D786="proMX",F786&amp;""&lt;&gt;""),IF(COUNTIFS($D$5:D785,"proMX",$F$5:F785,F786,$BD$5:BD785,1)=0,MAX($CE$5:CE785)+1,""),"")</f>
        <v/>
      </c>
      <c r="CF786" s="80" t="str">
        <f>IF(AND(D786="proMX",BD786=1),IF(OR(BF786="Draft",BF786="Submitted",BF786="Returned",BF786="Recall Requested"),MAX($CF$5:CF785)+1,""),"")</f>
        <v/>
      </c>
      <c r="CG786" s="80">
        <f>IF(BD786=0,0,IF(D786="Malcolm",1,MATCH(BF786,{"Draft","Submitted","Approved","Returned","Recall Requested","Cancelled"},0)+1))</f>
        <v>0</v>
      </c>
      <c r="CH786" s="80">
        <f>IF(AND(BF786="Submitted",ISNUMBER(V786)),IF(V786&gt;CFG_MAXD,1,0),0)</f>
        <v>0</v>
      </c>
    </row>
    <row r="787">
      <c r="A787" s="71" t="str">
        <f>IF(Y787=1,ROW()-5,"")</f>
        <v/>
      </c>
      <c r="B787" s="72" t="n"/>
      <c r="C787" s="71" t="str">
        <f>IF(ISNUMBER(B787),CHOOSE(WEEKDAY(B787,2),"Lun","Mar","Mié","Jue","Vie","Sáb","Dom"),"")</f>
        <v/>
      </c>
      <c r="D787" s="73" t="n"/>
      <c r="E787" s="74" t="n"/>
      <c r="F787" s="74" t="n"/>
      <c r="G787" s="74" t="n"/>
      <c r="H787" s="75" t="n"/>
      <c r="I787" s="75" t="n"/>
      <c r="J787" s="76" t="n"/>
      <c r="K787" s="77" t="str">
        <f>IF(AB787=1,ROUND(AG787/60,4),"")</f>
        <v/>
      </c>
      <c r="L787" s="77" t="str">
        <f>IF(BD787=1,ROUND(AP787/60,4),"")</f>
        <v/>
      </c>
      <c r="M787" s="77" t="str">
        <f>IF(BD787=1,ROUND(AQ787/60,4),"")</f>
        <v/>
      </c>
      <c r="N787" s="71" t="str">
        <f>IF(AND(D787="proMX",AB787=1),ROUND(AG787/CFG_BLK,2),"")</f>
        <v/>
      </c>
      <c r="O787" s="77" t="str">
        <f>IF(D787="proMX",IF(BD787=1,ROUND(AG787/60,4),0),"")</f>
        <v/>
      </c>
      <c r="P787" s="78" t="str">
        <f>IF(Y787=0,"",IF(BD787=1,"OK",IF(D787="proMX","Revisar bloques: ","Revisar: ")&amp;BC787))</f>
        <v/>
      </c>
      <c r="Q787" s="78" t="str">
        <f>IF(NOT(ISNUMBER(B787)),"",IF(COUNTIFS(FER_F,INT(B787))&gt;0,"Feriado"&amp;IF(AH787=1," (laborable)"," (no laborable)"),IF(AH787=1,"Laborable",IF(WEEKDAY(B787,2)&gt;5,"Fin de semana","No laborable"))))</f>
        <v/>
      </c>
      <c r="R787" s="73" t="n"/>
      <c r="S787" s="72" t="n"/>
      <c r="T787" s="72" t="n"/>
      <c r="U787" s="74" t="n"/>
      <c r="V787" s="79" t="str">
        <f>IF(AND(D787="proMX",OR(R787="Submitted",R787="Recall Requested"),ISNUMBER(S787)),CFG_TODAY-INT(S787),"")</f>
        <v/>
      </c>
      <c r="W787" s="78" t="str">
        <f>IF(BD787=0,"",IF(BA787&gt;0,"⚠ Se superpone con un registro de la otra empresa",IF(D787="Malcolm",IF(COUNTA(R787,S787,T787)&gt;0,"Estado/fechas proMX se ignoran en Malcolm",""),IF(BF787="Cancelled","Cancelado: excluido de totales",IF(R787="","Sin estado: se trata como Draft",IF(BF787="Submitted",IF(ISNUMBER(V787),IF(V787&gt;CFG_MAXD,"⚠ "&amp;V787&amp;" días en Submitted (máx. "&amp;CFG_MAXD&amp;")",""),"Falta fecha de envío"),IF(BF787="Returned","⚠ Devuelto: corregir y reenviar",IF(BF787="Recall Requested","Retirada solicitada: pendiente",IF(AND(BF787="Approved",NOT(ISNUMBER(T787))),"Falta fecha de aprobación",IF(AND(ISNUMBER(S787),ISNUMBER(T787),T787&lt;S787),"Aprobación anterior al envío","")))))))))</f>
        <v/>
      </c>
      <c r="Y787" s="80">
        <f>IF(COUNTA(B787,D787,E787,F787,G787,H787,I787,J787,R787,S787,T787)&gt;0,1,0)</f>
        <v>0</v>
      </c>
      <c r="Z787" s="80" t="str">
        <f>IF(AND(ISNUMBER(H787),H787&gt;=0,H787&lt;1),ROUND(H787*1440,0),"")</f>
        <v/>
      </c>
      <c r="AA787" s="80" t="str">
        <f>IF(AND(ISNUMBER(I787),I787&gt;=0,I787&lt;1),ROUND(I787*1440,0),"")</f>
        <v/>
      </c>
      <c r="AB787" s="80">
        <f>IF(AND(ISNUMBER(B787),D787&lt;&gt;"",ISNUMBER(Z787),ISNUMBER(AA787)),IF(Z787=AA787,0,1),0)</f>
        <v>0</v>
      </c>
      <c r="AC787" s="80">
        <f>IF(AB787=1,IF(AA787&lt;Z787,1,0),0)</f>
        <v>0</v>
      </c>
      <c r="AD787" s="80">
        <f>IF(AB787=1,IF(AC787=1,1440-Z787+AA787,AA787-Z787),0)</f>
        <v>0</v>
      </c>
      <c r="AE787" s="80">
        <f>IF(J787="",0,IF(ISNUMBER(J787),J787,-1))</f>
        <v>0</v>
      </c>
      <c r="AF787" s="80">
        <f>MIN(MAX(0,AE787),AD787)</f>
        <v>0</v>
      </c>
      <c r="AG787" s="80">
        <f>MAX(0,AD787-MAX(0,AE787))</f>
        <v>0</v>
      </c>
      <c r="AH787" s="80">
        <f>IF(ISNUMBER(B787),IF(AND(INDEX(CFG_WDAYS,WEEKDAY(INT(B787),2))="Sí",IF(D787="proMX",COUNTIFS(FER_F,INT(B787),FER_NLP,"Sí"),COUNTIFS(FER_F,INT(B787),FER_NLM,"Sí"))=0),1,0),0)</f>
        <v>0</v>
      </c>
      <c r="AI787" s="80">
        <f>IF(AC787=1,IF(AND(INDEX(CFG_WDAYS,WEEKDAY(INT(B787)+1,2))="Sí",IF(D787="proMX",COUNTIFS(FER_F,INT(B787)+1,FER_NLP,"Sí"),COUNTIFS(FER_F,INT(B787)+1,FER_NLM,"Sí"))=0),1,0),0)</f>
        <v>0</v>
      </c>
      <c r="AJ787" s="80">
        <f>IF(AC787=1,1440-Z787,AD787)</f>
        <v>0</v>
      </c>
      <c r="AK787" s="80">
        <f>IF(AND(AB787=1,AH787=1),MAX(0,MIN(IF(AC787=1,1440,AA787),CFG_WEM)-MAX(Z787,CFG_WSM)),0)</f>
        <v>0</v>
      </c>
      <c r="AL787" s="80">
        <f>IF(AND(AC787=1,AI787=1),MAX(0,MIN(AA787,CFG_WEM)-CFG_WSM),0)</f>
        <v>0</v>
      </c>
      <c r="AM787" s="80">
        <f>AK787+AL787</f>
        <v>0</v>
      </c>
      <c r="AN787" s="80">
        <f>IF(CFG_BRK="Proporcional",IF(AD787=0,0,AF787*AM787/AD787),IF(CFG_BRK="Extras primero",MIN(AM787,MAX(0,AF787-(AD787-AM787))),MIN(AF787,AM787)))</f>
        <v>0</v>
      </c>
      <c r="AO787" s="80">
        <f>AF787-AN787</f>
        <v>0</v>
      </c>
      <c r="AP787" s="80">
        <f>AM787-AN787</f>
        <v>0</v>
      </c>
      <c r="AQ787" s="80">
        <f>AD787-AM787-AO787</f>
        <v>0</v>
      </c>
      <c r="AR787" s="80">
        <f>IF(AM787=0,0,AK787-AN787*AK787/AM787)</f>
        <v>0</v>
      </c>
      <c r="AS787" s="80">
        <f>IF(AD787-AM787=0,0,(AJ787-AK787)-AO787*(AJ787-AK787)/(AD787-AM787))</f>
        <v>0</v>
      </c>
      <c r="AT787" s="80" t="str">
        <f>IF(AC787=1,INT(B787)+1,"")</f>
        <v/>
      </c>
      <c r="AU787" s="80">
        <f>IF(AND(D787="proMX",R787="Cancelled"),0,1)</f>
        <v>1</v>
      </c>
      <c r="AV787" s="80">
        <f>IF(AND(AB787=1,AU787=1),IF(COUNTIFS($D$5:D786,D787,$B$5:B786,B787,$Z$5:Z786,Z787,$AA$5:AA786,AA787,$F$5:F786,F787&amp;"",$AU$5:AU786,1)&gt;0,1,0),0)</f>
        <v>0</v>
      </c>
      <c r="AW787" s="80" t="str">
        <f>IF(AB787=1,INT(B787)*1440+Z787,"")</f>
        <v/>
      </c>
      <c r="AX787" s="80" t="str">
        <f>IF(AB787=1,AW787+AD787,"")</f>
        <v/>
      </c>
      <c r="AY787" s="80">
        <f>IF(AND(AB787=1,AV787=0,AU787=1),1,0)</f>
        <v>0</v>
      </c>
      <c r="AZ787" s="80">
        <f>IF(AY787=1,COUNTIFS(R_Emp,D787,R_SAbs,"&lt;"&amp;AX787,R_EAbs,"&gt;"&amp;AW787,R_OKey,1)-1,0)</f>
        <v>0</v>
      </c>
      <c r="BA787" s="80">
        <f>IF(AY787=1,COUNTIFS(R_Emp,"&lt;&gt;"&amp;D787,R_SAbs,"&lt;"&amp;AX787,R_EAbs,"&gt;"&amp;AW787,R_OKey,1),0)</f>
        <v>0</v>
      </c>
      <c r="BB787" s="80">
        <f>IF(AND(AB787=1,D787="proMX"),IF(AND(MOD(Z787,CFG_BLK)=0,MOD(AA787,CFG_BLK)=0,MOD(AG787,CFG_BLK)=0,AG787&gt;0),1,0),1)</f>
        <v>1</v>
      </c>
      <c r="BC787" s="80" t="str">
        <f>IF(Y787=0,"",IF(NOT(ISNUMBER(B787)),"Falta fecha o fecha inválida",IF(D787="","Falta empresa",IF(AND(D787&lt;&gt;"Malcolm",D787&lt;&gt;"proMX"),"Empresa inválida",IF(OR(INT(B787)&lt;CFG_PSTART,INT(B787)&gt;CFG_PEND),"Fecha fuera del período",IF(OR(NOT(ISNUMBER(Z787)),NOT(ISNUMBER(AA787))),"Falta hora inicio/fin o formato inválido",IF(AB787=0,"Hora inicio = hora fin",IF(AE787&lt;0,"Descanso inválido",IF(AE787&gt;=AD787,"Descanso ≥ duración",IF(AV787=1,"Registro duplicado",IF(AZ787&gt;0,"Se superpone con otro registro "&amp;D787,IF(BB787=0,"inicio, fin y duración neta deben ser múltiplos de "&amp;CFG_BLK&amp;" min",""))))))))))))</f>
        <v/>
      </c>
      <c r="BD787" s="80">
        <f>IF(AND(Y787=1,BC787=""),1,0)</f>
        <v>0</v>
      </c>
      <c r="BE787" s="80">
        <f>IF(AND(BD787=1,AU787=1),1,0)</f>
        <v>0</v>
      </c>
      <c r="BF787" s="80" t="str">
        <f>IF(AND(D787="proMX",BD787=1),IF(R787="","Draft",R787),"")</f>
        <v/>
      </c>
      <c r="BG787" s="80">
        <f>IF(BD787=1,ROUND(AG787/60,6),0)</f>
        <v>0</v>
      </c>
      <c r="BH787" s="80">
        <f>IF(BE787=1,ROUND(AG787/60,6),0)</f>
        <v>0</v>
      </c>
      <c r="BI787" s="80">
        <f>IF(BE787=1,ROUND(AP787/60,6),0)</f>
        <v>0</v>
      </c>
      <c r="BJ787" s="80">
        <f>IF(BE787=1,ROUND(AQ787/60,6),0)</f>
        <v>0</v>
      </c>
      <c r="BK787" s="80">
        <f>IF(BE787=1,ROUND((AR787+AS787)/60,6),0)</f>
        <v>0</v>
      </c>
      <c r="BL787" s="80">
        <f>ROUND(BH787-BK787,6)</f>
        <v>0</v>
      </c>
      <c r="BM787" s="80">
        <f>IF(BE787=1,ROUND(AR787/60,6),0)</f>
        <v>0</v>
      </c>
      <c r="BN787" s="80">
        <f>ROUND(BI787-BM787,6)</f>
        <v>0</v>
      </c>
      <c r="BO787" s="80">
        <f>IF(BE787=1,ROUND(AS787/60,6),0)</f>
        <v>0</v>
      </c>
      <c r="BP787" s="80">
        <f>ROUND(BJ787-BO787,6)</f>
        <v>0</v>
      </c>
      <c r="BQ787" s="80">
        <f>IF(BE787=1,AW787,0)</f>
        <v>0</v>
      </c>
      <c r="BR787" s="80">
        <f>IF(BE787=1,AX787,0)</f>
        <v>0</v>
      </c>
      <c r="BS787" s="80">
        <f>IF(AND(BE787=1,D787="Malcolm",BA787&gt;0),MIN(BH787,SUMPRODUCT((R_Emp="proMX")*(R_EN&gt;0)*((R_EN-(R_EN&gt;BR787)*(R_EN-BR787))&gt;(R_SN+(R_SN&lt;BQ787)*(BQ787-R_SN)))*((R_EN-(R_EN&gt;BR787)*(R_EN-BR787))-(R_SN+(R_SN&lt;BQ787)*(BQ787-R_SN))))/60),0)</f>
        <v>0</v>
      </c>
      <c r="BT787" s="80">
        <f>IF(AND(BE787=1,D787="proMX"),ROUND(BI787*CFG_RATE+BJ787*CFG_OTRATE,6),0)</f>
        <v>0</v>
      </c>
      <c r="BU787" s="80">
        <f>IF(AND(BD787=1,D787="proMX"),ROUND(AG787/CFG_BLK,6),0)</f>
        <v>0</v>
      </c>
      <c r="BV787" s="80" t="str">
        <f>IF(BF787="Approved",IF(ISNUMBER(T787),INT(T787),INT(B787)),"")</f>
        <v/>
      </c>
      <c r="BW787" s="80">
        <f>IF(ISNUMBER(B787),IF(DB_MON="Todos",1,IF(AND(INT(B787)&gt;=DB_MS,INT(B787)&lt;=DB_ME),1,0)),0)</f>
        <v>0</v>
      </c>
      <c r="BX787" s="80">
        <f>IF(DB_PROJ="Todos",1,IF(E787&amp;""=DB_PROJ&amp;"",1,0))</f>
        <v>1</v>
      </c>
      <c r="BY787" s="80">
        <f>BW787*BX787</f>
        <v>0</v>
      </c>
      <c r="BZ787" s="80" t="str">
        <f>IF(Y787=1,F787&amp;IF(AND(F787&amp;""&lt;&gt;"",E787&amp;""&lt;&gt;"")," · ","")&amp;E787,"")</f>
        <v/>
      </c>
      <c r="CA787" s="80" t="str">
        <f>IF(AND(BD787=1,E787&amp;""&lt;&gt;""),IF(COUNTIFS($E$5:E786,E787,$BD$5:BD786,1)=0,MAX($CA$5:CA786)+1,""),"")</f>
        <v/>
      </c>
      <c r="CB787" s="80" t="str">
        <f>IF(AND(BE787=1,D787="Malcolm",E787&amp;""&lt;&gt;""),IF(COUNTIFS($D$5:D786,"Malcolm",$E$5:E786,E787,$BE$5:BE786,1)=0,MAX($CB$5:CB786)+1,""),"")</f>
        <v/>
      </c>
      <c r="CC787" s="80" t="str">
        <f>IF(AND(BD787=1,D787="proMX",E787&amp;""&lt;&gt;""),IF(COUNTIFS($D$5:D786,"proMX",$E$5:E786,E787,$BD$5:BD786,1)=0,MAX($CC$5:CC786)+1,""),"")</f>
        <v/>
      </c>
      <c r="CD787" s="80" t="str">
        <f>IF(AND(BE787=1,D787="Malcolm",F787&amp;""&lt;&gt;""),IF(COUNTIFS($D$5:D786,"Malcolm",$F$5:F786,F787,$BE$5:BE786,1)=0,MAX($CD$5:CD786)+1,""),"")</f>
        <v/>
      </c>
      <c r="CE787" s="80" t="str">
        <f>IF(AND(BD787=1,D787="proMX",F787&amp;""&lt;&gt;""),IF(COUNTIFS($D$5:D786,"proMX",$F$5:F786,F787,$BD$5:BD786,1)=0,MAX($CE$5:CE786)+1,""),"")</f>
        <v/>
      </c>
      <c r="CF787" s="80" t="str">
        <f>IF(AND(D787="proMX",BD787=1),IF(OR(BF787="Draft",BF787="Submitted",BF787="Returned",BF787="Recall Requested"),MAX($CF$5:CF786)+1,""),"")</f>
        <v/>
      </c>
      <c r="CG787" s="80">
        <f>IF(BD787=0,0,IF(D787="Malcolm",1,MATCH(BF787,{"Draft","Submitted","Approved","Returned","Recall Requested","Cancelled"},0)+1))</f>
        <v>0</v>
      </c>
      <c r="CH787" s="80">
        <f>IF(AND(BF787="Submitted",ISNUMBER(V787)),IF(V787&gt;CFG_MAXD,1,0),0)</f>
        <v>0</v>
      </c>
    </row>
    <row r="788">
      <c r="A788" s="71" t="str">
        <f>IF(Y788=1,ROW()-5,"")</f>
        <v/>
      </c>
      <c r="B788" s="72" t="n"/>
      <c r="C788" s="71" t="str">
        <f>IF(ISNUMBER(B788),CHOOSE(WEEKDAY(B788,2),"Lun","Mar","Mié","Jue","Vie","Sáb","Dom"),"")</f>
        <v/>
      </c>
      <c r="D788" s="73" t="n"/>
      <c r="E788" s="74" t="n"/>
      <c r="F788" s="74" t="n"/>
      <c r="G788" s="74" t="n"/>
      <c r="H788" s="75" t="n"/>
      <c r="I788" s="75" t="n"/>
      <c r="J788" s="76" t="n"/>
      <c r="K788" s="77" t="str">
        <f>IF(AB788=1,ROUND(AG788/60,4),"")</f>
        <v/>
      </c>
      <c r="L788" s="77" t="str">
        <f>IF(BD788=1,ROUND(AP788/60,4),"")</f>
        <v/>
      </c>
      <c r="M788" s="77" t="str">
        <f>IF(BD788=1,ROUND(AQ788/60,4),"")</f>
        <v/>
      </c>
      <c r="N788" s="71" t="str">
        <f>IF(AND(D788="proMX",AB788=1),ROUND(AG788/CFG_BLK,2),"")</f>
        <v/>
      </c>
      <c r="O788" s="77" t="str">
        <f>IF(D788="proMX",IF(BD788=1,ROUND(AG788/60,4),0),"")</f>
        <v/>
      </c>
      <c r="P788" s="78" t="str">
        <f>IF(Y788=0,"",IF(BD788=1,"OK",IF(D788="proMX","Revisar bloques: ","Revisar: ")&amp;BC788))</f>
        <v/>
      </c>
      <c r="Q788" s="78" t="str">
        <f>IF(NOT(ISNUMBER(B788)),"",IF(COUNTIFS(FER_F,INT(B788))&gt;0,"Feriado"&amp;IF(AH788=1," (laborable)"," (no laborable)"),IF(AH788=1,"Laborable",IF(WEEKDAY(B788,2)&gt;5,"Fin de semana","No laborable"))))</f>
        <v/>
      </c>
      <c r="R788" s="73" t="n"/>
      <c r="S788" s="72" t="n"/>
      <c r="T788" s="72" t="n"/>
      <c r="U788" s="74" t="n"/>
      <c r="V788" s="79" t="str">
        <f>IF(AND(D788="proMX",OR(R788="Submitted",R788="Recall Requested"),ISNUMBER(S788)),CFG_TODAY-INT(S788),"")</f>
        <v/>
      </c>
      <c r="W788" s="78" t="str">
        <f>IF(BD788=0,"",IF(BA788&gt;0,"⚠ Se superpone con un registro de la otra empresa",IF(D788="Malcolm",IF(COUNTA(R788,S788,T788)&gt;0,"Estado/fechas proMX se ignoran en Malcolm",""),IF(BF788="Cancelled","Cancelado: excluido de totales",IF(R788="","Sin estado: se trata como Draft",IF(BF788="Submitted",IF(ISNUMBER(V788),IF(V788&gt;CFG_MAXD,"⚠ "&amp;V788&amp;" días en Submitted (máx. "&amp;CFG_MAXD&amp;")",""),"Falta fecha de envío"),IF(BF788="Returned","⚠ Devuelto: corregir y reenviar",IF(BF788="Recall Requested","Retirada solicitada: pendiente",IF(AND(BF788="Approved",NOT(ISNUMBER(T788))),"Falta fecha de aprobación",IF(AND(ISNUMBER(S788),ISNUMBER(T788),T788&lt;S788),"Aprobación anterior al envío","")))))))))</f>
        <v/>
      </c>
      <c r="Y788" s="80">
        <f>IF(COUNTA(B788,D788,E788,F788,G788,H788,I788,J788,R788,S788,T788)&gt;0,1,0)</f>
        <v>0</v>
      </c>
      <c r="Z788" s="80" t="str">
        <f>IF(AND(ISNUMBER(H788),H788&gt;=0,H788&lt;1),ROUND(H788*1440,0),"")</f>
        <v/>
      </c>
      <c r="AA788" s="80" t="str">
        <f>IF(AND(ISNUMBER(I788),I788&gt;=0,I788&lt;1),ROUND(I788*1440,0),"")</f>
        <v/>
      </c>
      <c r="AB788" s="80">
        <f>IF(AND(ISNUMBER(B788),D788&lt;&gt;"",ISNUMBER(Z788),ISNUMBER(AA788)),IF(Z788=AA788,0,1),0)</f>
        <v>0</v>
      </c>
      <c r="AC788" s="80">
        <f>IF(AB788=1,IF(AA788&lt;Z788,1,0),0)</f>
        <v>0</v>
      </c>
      <c r="AD788" s="80">
        <f>IF(AB788=1,IF(AC788=1,1440-Z788+AA788,AA788-Z788),0)</f>
        <v>0</v>
      </c>
      <c r="AE788" s="80">
        <f>IF(J788="",0,IF(ISNUMBER(J788),J788,-1))</f>
        <v>0</v>
      </c>
      <c r="AF788" s="80">
        <f>MIN(MAX(0,AE788),AD788)</f>
        <v>0</v>
      </c>
      <c r="AG788" s="80">
        <f>MAX(0,AD788-MAX(0,AE788))</f>
        <v>0</v>
      </c>
      <c r="AH788" s="80">
        <f>IF(ISNUMBER(B788),IF(AND(INDEX(CFG_WDAYS,WEEKDAY(INT(B788),2))="Sí",IF(D788="proMX",COUNTIFS(FER_F,INT(B788),FER_NLP,"Sí"),COUNTIFS(FER_F,INT(B788),FER_NLM,"Sí"))=0),1,0),0)</f>
        <v>0</v>
      </c>
      <c r="AI788" s="80">
        <f>IF(AC788=1,IF(AND(INDEX(CFG_WDAYS,WEEKDAY(INT(B788)+1,2))="Sí",IF(D788="proMX",COUNTIFS(FER_F,INT(B788)+1,FER_NLP,"Sí"),COUNTIFS(FER_F,INT(B788)+1,FER_NLM,"Sí"))=0),1,0),0)</f>
        <v>0</v>
      </c>
      <c r="AJ788" s="80">
        <f>IF(AC788=1,1440-Z788,AD788)</f>
        <v>0</v>
      </c>
      <c r="AK788" s="80">
        <f>IF(AND(AB788=1,AH788=1),MAX(0,MIN(IF(AC788=1,1440,AA788),CFG_WEM)-MAX(Z788,CFG_WSM)),0)</f>
        <v>0</v>
      </c>
      <c r="AL788" s="80">
        <f>IF(AND(AC788=1,AI788=1),MAX(0,MIN(AA788,CFG_WEM)-CFG_WSM),0)</f>
        <v>0</v>
      </c>
      <c r="AM788" s="80">
        <f>AK788+AL788</f>
        <v>0</v>
      </c>
      <c r="AN788" s="80">
        <f>IF(CFG_BRK="Proporcional",IF(AD788=0,0,AF788*AM788/AD788),IF(CFG_BRK="Extras primero",MIN(AM788,MAX(0,AF788-(AD788-AM788))),MIN(AF788,AM788)))</f>
        <v>0</v>
      </c>
      <c r="AO788" s="80">
        <f>AF788-AN788</f>
        <v>0</v>
      </c>
      <c r="AP788" s="80">
        <f>AM788-AN788</f>
        <v>0</v>
      </c>
      <c r="AQ788" s="80">
        <f>AD788-AM788-AO788</f>
        <v>0</v>
      </c>
      <c r="AR788" s="80">
        <f>IF(AM788=0,0,AK788-AN788*AK788/AM788)</f>
        <v>0</v>
      </c>
      <c r="AS788" s="80">
        <f>IF(AD788-AM788=0,0,(AJ788-AK788)-AO788*(AJ788-AK788)/(AD788-AM788))</f>
        <v>0</v>
      </c>
      <c r="AT788" s="80" t="str">
        <f>IF(AC788=1,INT(B788)+1,"")</f>
        <v/>
      </c>
      <c r="AU788" s="80">
        <f>IF(AND(D788="proMX",R788="Cancelled"),0,1)</f>
        <v>1</v>
      </c>
      <c r="AV788" s="80">
        <f>IF(AND(AB788=1,AU788=1),IF(COUNTIFS($D$5:D787,D788,$B$5:B787,B788,$Z$5:Z787,Z788,$AA$5:AA787,AA788,$F$5:F787,F788&amp;"",$AU$5:AU787,1)&gt;0,1,0),0)</f>
        <v>0</v>
      </c>
      <c r="AW788" s="80" t="str">
        <f>IF(AB788=1,INT(B788)*1440+Z788,"")</f>
        <v/>
      </c>
      <c r="AX788" s="80" t="str">
        <f>IF(AB788=1,AW788+AD788,"")</f>
        <v/>
      </c>
      <c r="AY788" s="80">
        <f>IF(AND(AB788=1,AV788=0,AU788=1),1,0)</f>
        <v>0</v>
      </c>
      <c r="AZ788" s="80">
        <f>IF(AY788=1,COUNTIFS(R_Emp,D788,R_SAbs,"&lt;"&amp;AX788,R_EAbs,"&gt;"&amp;AW788,R_OKey,1)-1,0)</f>
        <v>0</v>
      </c>
      <c r="BA788" s="80">
        <f>IF(AY788=1,COUNTIFS(R_Emp,"&lt;&gt;"&amp;D788,R_SAbs,"&lt;"&amp;AX788,R_EAbs,"&gt;"&amp;AW788,R_OKey,1),0)</f>
        <v>0</v>
      </c>
      <c r="BB788" s="80">
        <f>IF(AND(AB788=1,D788="proMX"),IF(AND(MOD(Z788,CFG_BLK)=0,MOD(AA788,CFG_BLK)=0,MOD(AG788,CFG_BLK)=0,AG788&gt;0),1,0),1)</f>
        <v>1</v>
      </c>
      <c r="BC788" s="80" t="str">
        <f>IF(Y788=0,"",IF(NOT(ISNUMBER(B788)),"Falta fecha o fecha inválida",IF(D788="","Falta empresa",IF(AND(D788&lt;&gt;"Malcolm",D788&lt;&gt;"proMX"),"Empresa inválida",IF(OR(INT(B788)&lt;CFG_PSTART,INT(B788)&gt;CFG_PEND),"Fecha fuera del período",IF(OR(NOT(ISNUMBER(Z788)),NOT(ISNUMBER(AA788))),"Falta hora inicio/fin o formato inválido",IF(AB788=0,"Hora inicio = hora fin",IF(AE788&lt;0,"Descanso inválido",IF(AE788&gt;=AD788,"Descanso ≥ duración",IF(AV788=1,"Registro duplicado",IF(AZ788&gt;0,"Se superpone con otro registro "&amp;D788,IF(BB788=0,"inicio, fin y duración neta deben ser múltiplos de "&amp;CFG_BLK&amp;" min",""))))))))))))</f>
        <v/>
      </c>
      <c r="BD788" s="80">
        <f>IF(AND(Y788=1,BC788=""),1,0)</f>
        <v>0</v>
      </c>
      <c r="BE788" s="80">
        <f>IF(AND(BD788=1,AU788=1),1,0)</f>
        <v>0</v>
      </c>
      <c r="BF788" s="80" t="str">
        <f>IF(AND(D788="proMX",BD788=1),IF(R788="","Draft",R788),"")</f>
        <v/>
      </c>
      <c r="BG788" s="80">
        <f>IF(BD788=1,ROUND(AG788/60,6),0)</f>
        <v>0</v>
      </c>
      <c r="BH788" s="80">
        <f>IF(BE788=1,ROUND(AG788/60,6),0)</f>
        <v>0</v>
      </c>
      <c r="BI788" s="80">
        <f>IF(BE788=1,ROUND(AP788/60,6),0)</f>
        <v>0</v>
      </c>
      <c r="BJ788" s="80">
        <f>IF(BE788=1,ROUND(AQ788/60,6),0)</f>
        <v>0</v>
      </c>
      <c r="BK788" s="80">
        <f>IF(BE788=1,ROUND((AR788+AS788)/60,6),0)</f>
        <v>0</v>
      </c>
      <c r="BL788" s="80">
        <f>ROUND(BH788-BK788,6)</f>
        <v>0</v>
      </c>
      <c r="BM788" s="80">
        <f>IF(BE788=1,ROUND(AR788/60,6),0)</f>
        <v>0</v>
      </c>
      <c r="BN788" s="80">
        <f>ROUND(BI788-BM788,6)</f>
        <v>0</v>
      </c>
      <c r="BO788" s="80">
        <f>IF(BE788=1,ROUND(AS788/60,6),0)</f>
        <v>0</v>
      </c>
      <c r="BP788" s="80">
        <f>ROUND(BJ788-BO788,6)</f>
        <v>0</v>
      </c>
      <c r="BQ788" s="80">
        <f>IF(BE788=1,AW788,0)</f>
        <v>0</v>
      </c>
      <c r="BR788" s="80">
        <f>IF(BE788=1,AX788,0)</f>
        <v>0</v>
      </c>
      <c r="BS788" s="80">
        <f>IF(AND(BE788=1,D788="Malcolm",BA788&gt;0),MIN(BH788,SUMPRODUCT((R_Emp="proMX")*(R_EN&gt;0)*((R_EN-(R_EN&gt;BR788)*(R_EN-BR788))&gt;(R_SN+(R_SN&lt;BQ788)*(BQ788-R_SN)))*((R_EN-(R_EN&gt;BR788)*(R_EN-BR788))-(R_SN+(R_SN&lt;BQ788)*(BQ788-R_SN))))/60),0)</f>
        <v>0</v>
      </c>
      <c r="BT788" s="80">
        <f>IF(AND(BE788=1,D788="proMX"),ROUND(BI788*CFG_RATE+BJ788*CFG_OTRATE,6),0)</f>
        <v>0</v>
      </c>
      <c r="BU788" s="80">
        <f>IF(AND(BD788=1,D788="proMX"),ROUND(AG788/CFG_BLK,6),0)</f>
        <v>0</v>
      </c>
      <c r="BV788" s="80" t="str">
        <f>IF(BF788="Approved",IF(ISNUMBER(T788),INT(T788),INT(B788)),"")</f>
        <v/>
      </c>
      <c r="BW788" s="80">
        <f>IF(ISNUMBER(B788),IF(DB_MON="Todos",1,IF(AND(INT(B788)&gt;=DB_MS,INT(B788)&lt;=DB_ME),1,0)),0)</f>
        <v>0</v>
      </c>
      <c r="BX788" s="80">
        <f>IF(DB_PROJ="Todos",1,IF(E788&amp;""=DB_PROJ&amp;"",1,0))</f>
        <v>1</v>
      </c>
      <c r="BY788" s="80">
        <f>BW788*BX788</f>
        <v>0</v>
      </c>
      <c r="BZ788" s="80" t="str">
        <f>IF(Y788=1,F788&amp;IF(AND(F788&amp;""&lt;&gt;"",E788&amp;""&lt;&gt;"")," · ","")&amp;E788,"")</f>
        <v/>
      </c>
      <c r="CA788" s="80" t="str">
        <f>IF(AND(BD788=1,E788&amp;""&lt;&gt;""),IF(COUNTIFS($E$5:E787,E788,$BD$5:BD787,1)=0,MAX($CA$5:CA787)+1,""),"")</f>
        <v/>
      </c>
      <c r="CB788" s="80" t="str">
        <f>IF(AND(BE788=1,D788="Malcolm",E788&amp;""&lt;&gt;""),IF(COUNTIFS($D$5:D787,"Malcolm",$E$5:E787,E788,$BE$5:BE787,1)=0,MAX($CB$5:CB787)+1,""),"")</f>
        <v/>
      </c>
      <c r="CC788" s="80" t="str">
        <f>IF(AND(BD788=1,D788="proMX",E788&amp;""&lt;&gt;""),IF(COUNTIFS($D$5:D787,"proMX",$E$5:E787,E788,$BD$5:BD787,1)=0,MAX($CC$5:CC787)+1,""),"")</f>
        <v/>
      </c>
      <c r="CD788" s="80" t="str">
        <f>IF(AND(BE788=1,D788="Malcolm",F788&amp;""&lt;&gt;""),IF(COUNTIFS($D$5:D787,"Malcolm",$F$5:F787,F788,$BE$5:BE787,1)=0,MAX($CD$5:CD787)+1,""),"")</f>
        <v/>
      </c>
      <c r="CE788" s="80" t="str">
        <f>IF(AND(BD788=1,D788="proMX",F788&amp;""&lt;&gt;""),IF(COUNTIFS($D$5:D787,"proMX",$F$5:F787,F788,$BD$5:BD787,1)=0,MAX($CE$5:CE787)+1,""),"")</f>
        <v/>
      </c>
      <c r="CF788" s="80" t="str">
        <f>IF(AND(D788="proMX",BD788=1),IF(OR(BF788="Draft",BF788="Submitted",BF788="Returned",BF788="Recall Requested"),MAX($CF$5:CF787)+1,""),"")</f>
        <v/>
      </c>
      <c r="CG788" s="80">
        <f>IF(BD788=0,0,IF(D788="Malcolm",1,MATCH(BF788,{"Draft","Submitted","Approved","Returned","Recall Requested","Cancelled"},0)+1))</f>
        <v>0</v>
      </c>
      <c r="CH788" s="80">
        <f>IF(AND(BF788="Submitted",ISNUMBER(V788)),IF(V788&gt;CFG_MAXD,1,0),0)</f>
        <v>0</v>
      </c>
    </row>
    <row r="789">
      <c r="A789" s="71" t="str">
        <f>IF(Y789=1,ROW()-5,"")</f>
        <v/>
      </c>
      <c r="B789" s="72" t="n"/>
      <c r="C789" s="71" t="str">
        <f>IF(ISNUMBER(B789),CHOOSE(WEEKDAY(B789,2),"Lun","Mar","Mié","Jue","Vie","Sáb","Dom"),"")</f>
        <v/>
      </c>
      <c r="D789" s="73" t="n"/>
      <c r="E789" s="74" t="n"/>
      <c r="F789" s="74" t="n"/>
      <c r="G789" s="74" t="n"/>
      <c r="H789" s="75" t="n"/>
      <c r="I789" s="75" t="n"/>
      <c r="J789" s="76" t="n"/>
      <c r="K789" s="77" t="str">
        <f>IF(AB789=1,ROUND(AG789/60,4),"")</f>
        <v/>
      </c>
      <c r="L789" s="77" t="str">
        <f>IF(BD789=1,ROUND(AP789/60,4),"")</f>
        <v/>
      </c>
      <c r="M789" s="77" t="str">
        <f>IF(BD789=1,ROUND(AQ789/60,4),"")</f>
        <v/>
      </c>
      <c r="N789" s="71" t="str">
        <f>IF(AND(D789="proMX",AB789=1),ROUND(AG789/CFG_BLK,2),"")</f>
        <v/>
      </c>
      <c r="O789" s="77" t="str">
        <f>IF(D789="proMX",IF(BD789=1,ROUND(AG789/60,4),0),"")</f>
        <v/>
      </c>
      <c r="P789" s="78" t="str">
        <f>IF(Y789=0,"",IF(BD789=1,"OK",IF(D789="proMX","Revisar bloques: ","Revisar: ")&amp;BC789))</f>
        <v/>
      </c>
      <c r="Q789" s="78" t="str">
        <f>IF(NOT(ISNUMBER(B789)),"",IF(COUNTIFS(FER_F,INT(B789))&gt;0,"Feriado"&amp;IF(AH789=1," (laborable)"," (no laborable)"),IF(AH789=1,"Laborable",IF(WEEKDAY(B789,2)&gt;5,"Fin de semana","No laborable"))))</f>
        <v/>
      </c>
      <c r="R789" s="73" t="n"/>
      <c r="S789" s="72" t="n"/>
      <c r="T789" s="72" t="n"/>
      <c r="U789" s="74" t="n"/>
      <c r="V789" s="79" t="str">
        <f>IF(AND(D789="proMX",OR(R789="Submitted",R789="Recall Requested"),ISNUMBER(S789)),CFG_TODAY-INT(S789),"")</f>
        <v/>
      </c>
      <c r="W789" s="78" t="str">
        <f>IF(BD789=0,"",IF(BA789&gt;0,"⚠ Se superpone con un registro de la otra empresa",IF(D789="Malcolm",IF(COUNTA(R789,S789,T789)&gt;0,"Estado/fechas proMX se ignoran en Malcolm",""),IF(BF789="Cancelled","Cancelado: excluido de totales",IF(R789="","Sin estado: se trata como Draft",IF(BF789="Submitted",IF(ISNUMBER(V789),IF(V789&gt;CFG_MAXD,"⚠ "&amp;V789&amp;" días en Submitted (máx. "&amp;CFG_MAXD&amp;")",""),"Falta fecha de envío"),IF(BF789="Returned","⚠ Devuelto: corregir y reenviar",IF(BF789="Recall Requested","Retirada solicitada: pendiente",IF(AND(BF789="Approved",NOT(ISNUMBER(T789))),"Falta fecha de aprobación",IF(AND(ISNUMBER(S789),ISNUMBER(T789),T789&lt;S789),"Aprobación anterior al envío","")))))))))</f>
        <v/>
      </c>
      <c r="Y789" s="80">
        <f>IF(COUNTA(B789,D789,E789,F789,G789,H789,I789,J789,R789,S789,T789)&gt;0,1,0)</f>
        <v>0</v>
      </c>
      <c r="Z789" s="80" t="str">
        <f>IF(AND(ISNUMBER(H789),H789&gt;=0,H789&lt;1),ROUND(H789*1440,0),"")</f>
        <v/>
      </c>
      <c r="AA789" s="80" t="str">
        <f>IF(AND(ISNUMBER(I789),I789&gt;=0,I789&lt;1),ROUND(I789*1440,0),"")</f>
        <v/>
      </c>
      <c r="AB789" s="80">
        <f>IF(AND(ISNUMBER(B789),D789&lt;&gt;"",ISNUMBER(Z789),ISNUMBER(AA789)),IF(Z789=AA789,0,1),0)</f>
        <v>0</v>
      </c>
      <c r="AC789" s="80">
        <f>IF(AB789=1,IF(AA789&lt;Z789,1,0),0)</f>
        <v>0</v>
      </c>
      <c r="AD789" s="80">
        <f>IF(AB789=1,IF(AC789=1,1440-Z789+AA789,AA789-Z789),0)</f>
        <v>0</v>
      </c>
      <c r="AE789" s="80">
        <f>IF(J789="",0,IF(ISNUMBER(J789),J789,-1))</f>
        <v>0</v>
      </c>
      <c r="AF789" s="80">
        <f>MIN(MAX(0,AE789),AD789)</f>
        <v>0</v>
      </c>
      <c r="AG789" s="80">
        <f>MAX(0,AD789-MAX(0,AE789))</f>
        <v>0</v>
      </c>
      <c r="AH789" s="80">
        <f>IF(ISNUMBER(B789),IF(AND(INDEX(CFG_WDAYS,WEEKDAY(INT(B789),2))="Sí",IF(D789="proMX",COUNTIFS(FER_F,INT(B789),FER_NLP,"Sí"),COUNTIFS(FER_F,INT(B789),FER_NLM,"Sí"))=0),1,0),0)</f>
        <v>0</v>
      </c>
      <c r="AI789" s="80">
        <f>IF(AC789=1,IF(AND(INDEX(CFG_WDAYS,WEEKDAY(INT(B789)+1,2))="Sí",IF(D789="proMX",COUNTIFS(FER_F,INT(B789)+1,FER_NLP,"Sí"),COUNTIFS(FER_F,INT(B789)+1,FER_NLM,"Sí"))=0),1,0),0)</f>
        <v>0</v>
      </c>
      <c r="AJ789" s="80">
        <f>IF(AC789=1,1440-Z789,AD789)</f>
        <v>0</v>
      </c>
      <c r="AK789" s="80">
        <f>IF(AND(AB789=1,AH789=1),MAX(0,MIN(IF(AC789=1,1440,AA789),CFG_WEM)-MAX(Z789,CFG_WSM)),0)</f>
        <v>0</v>
      </c>
      <c r="AL789" s="80">
        <f>IF(AND(AC789=1,AI789=1),MAX(0,MIN(AA789,CFG_WEM)-CFG_WSM),0)</f>
        <v>0</v>
      </c>
      <c r="AM789" s="80">
        <f>AK789+AL789</f>
        <v>0</v>
      </c>
      <c r="AN789" s="80">
        <f>IF(CFG_BRK="Proporcional",IF(AD789=0,0,AF789*AM789/AD789),IF(CFG_BRK="Extras primero",MIN(AM789,MAX(0,AF789-(AD789-AM789))),MIN(AF789,AM789)))</f>
        <v>0</v>
      </c>
      <c r="AO789" s="80">
        <f>AF789-AN789</f>
        <v>0</v>
      </c>
      <c r="AP789" s="80">
        <f>AM789-AN789</f>
        <v>0</v>
      </c>
      <c r="AQ789" s="80">
        <f>AD789-AM789-AO789</f>
        <v>0</v>
      </c>
      <c r="AR789" s="80">
        <f>IF(AM789=0,0,AK789-AN789*AK789/AM789)</f>
        <v>0</v>
      </c>
      <c r="AS789" s="80">
        <f>IF(AD789-AM789=0,0,(AJ789-AK789)-AO789*(AJ789-AK789)/(AD789-AM789))</f>
        <v>0</v>
      </c>
      <c r="AT789" s="80" t="str">
        <f>IF(AC789=1,INT(B789)+1,"")</f>
        <v/>
      </c>
      <c r="AU789" s="80">
        <f>IF(AND(D789="proMX",R789="Cancelled"),0,1)</f>
        <v>1</v>
      </c>
      <c r="AV789" s="80">
        <f>IF(AND(AB789=1,AU789=1),IF(COUNTIFS($D$5:D788,D789,$B$5:B788,B789,$Z$5:Z788,Z789,$AA$5:AA788,AA789,$F$5:F788,F789&amp;"",$AU$5:AU788,1)&gt;0,1,0),0)</f>
        <v>0</v>
      </c>
      <c r="AW789" s="80" t="str">
        <f>IF(AB789=1,INT(B789)*1440+Z789,"")</f>
        <v/>
      </c>
      <c r="AX789" s="80" t="str">
        <f>IF(AB789=1,AW789+AD789,"")</f>
        <v/>
      </c>
      <c r="AY789" s="80">
        <f>IF(AND(AB789=1,AV789=0,AU789=1),1,0)</f>
        <v>0</v>
      </c>
      <c r="AZ789" s="80">
        <f>IF(AY789=1,COUNTIFS(R_Emp,D789,R_SAbs,"&lt;"&amp;AX789,R_EAbs,"&gt;"&amp;AW789,R_OKey,1)-1,0)</f>
        <v>0</v>
      </c>
      <c r="BA789" s="80">
        <f>IF(AY789=1,COUNTIFS(R_Emp,"&lt;&gt;"&amp;D789,R_SAbs,"&lt;"&amp;AX789,R_EAbs,"&gt;"&amp;AW789,R_OKey,1),0)</f>
        <v>0</v>
      </c>
      <c r="BB789" s="80">
        <f>IF(AND(AB789=1,D789="proMX"),IF(AND(MOD(Z789,CFG_BLK)=0,MOD(AA789,CFG_BLK)=0,MOD(AG789,CFG_BLK)=0,AG789&gt;0),1,0),1)</f>
        <v>1</v>
      </c>
      <c r="BC789" s="80" t="str">
        <f>IF(Y789=0,"",IF(NOT(ISNUMBER(B789)),"Falta fecha o fecha inválida",IF(D789="","Falta empresa",IF(AND(D789&lt;&gt;"Malcolm",D789&lt;&gt;"proMX"),"Empresa inválida",IF(OR(INT(B789)&lt;CFG_PSTART,INT(B789)&gt;CFG_PEND),"Fecha fuera del período",IF(OR(NOT(ISNUMBER(Z789)),NOT(ISNUMBER(AA789))),"Falta hora inicio/fin o formato inválido",IF(AB789=0,"Hora inicio = hora fin",IF(AE789&lt;0,"Descanso inválido",IF(AE789&gt;=AD789,"Descanso ≥ duración",IF(AV789=1,"Registro duplicado",IF(AZ789&gt;0,"Se superpone con otro registro "&amp;D789,IF(BB789=0,"inicio, fin y duración neta deben ser múltiplos de "&amp;CFG_BLK&amp;" min",""))))))))))))</f>
        <v/>
      </c>
      <c r="BD789" s="80">
        <f>IF(AND(Y789=1,BC789=""),1,0)</f>
        <v>0</v>
      </c>
      <c r="BE789" s="80">
        <f>IF(AND(BD789=1,AU789=1),1,0)</f>
        <v>0</v>
      </c>
      <c r="BF789" s="80" t="str">
        <f>IF(AND(D789="proMX",BD789=1),IF(R789="","Draft",R789),"")</f>
        <v/>
      </c>
      <c r="BG789" s="80">
        <f>IF(BD789=1,ROUND(AG789/60,6),0)</f>
        <v>0</v>
      </c>
      <c r="BH789" s="80">
        <f>IF(BE789=1,ROUND(AG789/60,6),0)</f>
        <v>0</v>
      </c>
      <c r="BI789" s="80">
        <f>IF(BE789=1,ROUND(AP789/60,6),0)</f>
        <v>0</v>
      </c>
      <c r="BJ789" s="80">
        <f>IF(BE789=1,ROUND(AQ789/60,6),0)</f>
        <v>0</v>
      </c>
      <c r="BK789" s="80">
        <f>IF(BE789=1,ROUND((AR789+AS789)/60,6),0)</f>
        <v>0</v>
      </c>
      <c r="BL789" s="80">
        <f>ROUND(BH789-BK789,6)</f>
        <v>0</v>
      </c>
      <c r="BM789" s="80">
        <f>IF(BE789=1,ROUND(AR789/60,6),0)</f>
        <v>0</v>
      </c>
      <c r="BN789" s="80">
        <f>ROUND(BI789-BM789,6)</f>
        <v>0</v>
      </c>
      <c r="BO789" s="80">
        <f>IF(BE789=1,ROUND(AS789/60,6),0)</f>
        <v>0</v>
      </c>
      <c r="BP789" s="80">
        <f>ROUND(BJ789-BO789,6)</f>
        <v>0</v>
      </c>
      <c r="BQ789" s="80">
        <f>IF(BE789=1,AW789,0)</f>
        <v>0</v>
      </c>
      <c r="BR789" s="80">
        <f>IF(BE789=1,AX789,0)</f>
        <v>0</v>
      </c>
      <c r="BS789" s="80">
        <f>IF(AND(BE789=1,D789="Malcolm",BA789&gt;0),MIN(BH789,SUMPRODUCT((R_Emp="proMX")*(R_EN&gt;0)*((R_EN-(R_EN&gt;BR789)*(R_EN-BR789))&gt;(R_SN+(R_SN&lt;BQ789)*(BQ789-R_SN)))*((R_EN-(R_EN&gt;BR789)*(R_EN-BR789))-(R_SN+(R_SN&lt;BQ789)*(BQ789-R_SN))))/60),0)</f>
        <v>0</v>
      </c>
      <c r="BT789" s="80">
        <f>IF(AND(BE789=1,D789="proMX"),ROUND(BI789*CFG_RATE+BJ789*CFG_OTRATE,6),0)</f>
        <v>0</v>
      </c>
      <c r="BU789" s="80">
        <f>IF(AND(BD789=1,D789="proMX"),ROUND(AG789/CFG_BLK,6),0)</f>
        <v>0</v>
      </c>
      <c r="BV789" s="80" t="str">
        <f>IF(BF789="Approved",IF(ISNUMBER(T789),INT(T789),INT(B789)),"")</f>
        <v/>
      </c>
      <c r="BW789" s="80">
        <f>IF(ISNUMBER(B789),IF(DB_MON="Todos",1,IF(AND(INT(B789)&gt;=DB_MS,INT(B789)&lt;=DB_ME),1,0)),0)</f>
        <v>0</v>
      </c>
      <c r="BX789" s="80">
        <f>IF(DB_PROJ="Todos",1,IF(E789&amp;""=DB_PROJ&amp;"",1,0))</f>
        <v>1</v>
      </c>
      <c r="BY789" s="80">
        <f>BW789*BX789</f>
        <v>0</v>
      </c>
      <c r="BZ789" s="80" t="str">
        <f>IF(Y789=1,F789&amp;IF(AND(F789&amp;""&lt;&gt;"",E789&amp;""&lt;&gt;"")," · ","")&amp;E789,"")</f>
        <v/>
      </c>
      <c r="CA789" s="80" t="str">
        <f>IF(AND(BD789=1,E789&amp;""&lt;&gt;""),IF(COUNTIFS($E$5:E788,E789,$BD$5:BD788,1)=0,MAX($CA$5:CA788)+1,""),"")</f>
        <v/>
      </c>
      <c r="CB789" s="80" t="str">
        <f>IF(AND(BE789=1,D789="Malcolm",E789&amp;""&lt;&gt;""),IF(COUNTIFS($D$5:D788,"Malcolm",$E$5:E788,E789,$BE$5:BE788,1)=0,MAX($CB$5:CB788)+1,""),"")</f>
        <v/>
      </c>
      <c r="CC789" s="80" t="str">
        <f>IF(AND(BD789=1,D789="proMX",E789&amp;""&lt;&gt;""),IF(COUNTIFS($D$5:D788,"proMX",$E$5:E788,E789,$BD$5:BD788,1)=0,MAX($CC$5:CC788)+1,""),"")</f>
        <v/>
      </c>
      <c r="CD789" s="80" t="str">
        <f>IF(AND(BE789=1,D789="Malcolm",F789&amp;""&lt;&gt;""),IF(COUNTIFS($D$5:D788,"Malcolm",$F$5:F788,F789,$BE$5:BE788,1)=0,MAX($CD$5:CD788)+1,""),"")</f>
        <v/>
      </c>
      <c r="CE789" s="80" t="str">
        <f>IF(AND(BD789=1,D789="proMX",F789&amp;""&lt;&gt;""),IF(COUNTIFS($D$5:D788,"proMX",$F$5:F788,F789,$BD$5:BD788,1)=0,MAX($CE$5:CE788)+1,""),"")</f>
        <v/>
      </c>
      <c r="CF789" s="80" t="str">
        <f>IF(AND(D789="proMX",BD789=1),IF(OR(BF789="Draft",BF789="Submitted",BF789="Returned",BF789="Recall Requested"),MAX($CF$5:CF788)+1,""),"")</f>
        <v/>
      </c>
      <c r="CG789" s="80">
        <f>IF(BD789=0,0,IF(D789="Malcolm",1,MATCH(BF789,{"Draft","Submitted","Approved","Returned","Recall Requested","Cancelled"},0)+1))</f>
        <v>0</v>
      </c>
      <c r="CH789" s="80">
        <f>IF(AND(BF789="Submitted",ISNUMBER(V789)),IF(V789&gt;CFG_MAXD,1,0),0)</f>
        <v>0</v>
      </c>
    </row>
    <row r="790">
      <c r="A790" s="71" t="str">
        <f>IF(Y790=1,ROW()-5,"")</f>
        <v/>
      </c>
      <c r="B790" s="72" t="n"/>
      <c r="C790" s="71" t="str">
        <f>IF(ISNUMBER(B790),CHOOSE(WEEKDAY(B790,2),"Lun","Mar","Mié","Jue","Vie","Sáb","Dom"),"")</f>
        <v/>
      </c>
      <c r="D790" s="73" t="n"/>
      <c r="E790" s="74" t="n"/>
      <c r="F790" s="74" t="n"/>
      <c r="G790" s="74" t="n"/>
      <c r="H790" s="75" t="n"/>
      <c r="I790" s="75" t="n"/>
      <c r="J790" s="76" t="n"/>
      <c r="K790" s="77" t="str">
        <f>IF(AB790=1,ROUND(AG790/60,4),"")</f>
        <v/>
      </c>
      <c r="L790" s="77" t="str">
        <f>IF(BD790=1,ROUND(AP790/60,4),"")</f>
        <v/>
      </c>
      <c r="M790" s="77" t="str">
        <f>IF(BD790=1,ROUND(AQ790/60,4),"")</f>
        <v/>
      </c>
      <c r="N790" s="71" t="str">
        <f>IF(AND(D790="proMX",AB790=1),ROUND(AG790/CFG_BLK,2),"")</f>
        <v/>
      </c>
      <c r="O790" s="77" t="str">
        <f>IF(D790="proMX",IF(BD790=1,ROUND(AG790/60,4),0),"")</f>
        <v/>
      </c>
      <c r="P790" s="78" t="str">
        <f>IF(Y790=0,"",IF(BD790=1,"OK",IF(D790="proMX","Revisar bloques: ","Revisar: ")&amp;BC790))</f>
        <v/>
      </c>
      <c r="Q790" s="78" t="str">
        <f>IF(NOT(ISNUMBER(B790)),"",IF(COUNTIFS(FER_F,INT(B790))&gt;0,"Feriado"&amp;IF(AH790=1," (laborable)"," (no laborable)"),IF(AH790=1,"Laborable",IF(WEEKDAY(B790,2)&gt;5,"Fin de semana","No laborable"))))</f>
        <v/>
      </c>
      <c r="R790" s="73" t="n"/>
      <c r="S790" s="72" t="n"/>
      <c r="T790" s="72" t="n"/>
      <c r="U790" s="74" t="n"/>
      <c r="V790" s="79" t="str">
        <f>IF(AND(D790="proMX",OR(R790="Submitted",R790="Recall Requested"),ISNUMBER(S790)),CFG_TODAY-INT(S790),"")</f>
        <v/>
      </c>
      <c r="W790" s="78" t="str">
        <f>IF(BD790=0,"",IF(BA790&gt;0,"⚠ Se superpone con un registro de la otra empresa",IF(D790="Malcolm",IF(COUNTA(R790,S790,T790)&gt;0,"Estado/fechas proMX se ignoran en Malcolm",""),IF(BF790="Cancelled","Cancelado: excluido de totales",IF(R790="","Sin estado: se trata como Draft",IF(BF790="Submitted",IF(ISNUMBER(V790),IF(V790&gt;CFG_MAXD,"⚠ "&amp;V790&amp;" días en Submitted (máx. "&amp;CFG_MAXD&amp;")",""),"Falta fecha de envío"),IF(BF790="Returned","⚠ Devuelto: corregir y reenviar",IF(BF790="Recall Requested","Retirada solicitada: pendiente",IF(AND(BF790="Approved",NOT(ISNUMBER(T790))),"Falta fecha de aprobación",IF(AND(ISNUMBER(S790),ISNUMBER(T790),T790&lt;S790),"Aprobación anterior al envío","")))))))))</f>
        <v/>
      </c>
      <c r="Y790" s="80">
        <f>IF(COUNTA(B790,D790,E790,F790,G790,H790,I790,J790,R790,S790,T790)&gt;0,1,0)</f>
        <v>0</v>
      </c>
      <c r="Z790" s="80" t="str">
        <f>IF(AND(ISNUMBER(H790),H790&gt;=0,H790&lt;1),ROUND(H790*1440,0),"")</f>
        <v/>
      </c>
      <c r="AA790" s="80" t="str">
        <f>IF(AND(ISNUMBER(I790),I790&gt;=0,I790&lt;1),ROUND(I790*1440,0),"")</f>
        <v/>
      </c>
      <c r="AB790" s="80">
        <f>IF(AND(ISNUMBER(B790),D790&lt;&gt;"",ISNUMBER(Z790),ISNUMBER(AA790)),IF(Z790=AA790,0,1),0)</f>
        <v>0</v>
      </c>
      <c r="AC790" s="80">
        <f>IF(AB790=1,IF(AA790&lt;Z790,1,0),0)</f>
        <v>0</v>
      </c>
      <c r="AD790" s="80">
        <f>IF(AB790=1,IF(AC790=1,1440-Z790+AA790,AA790-Z790),0)</f>
        <v>0</v>
      </c>
      <c r="AE790" s="80">
        <f>IF(J790="",0,IF(ISNUMBER(J790),J790,-1))</f>
        <v>0</v>
      </c>
      <c r="AF790" s="80">
        <f>MIN(MAX(0,AE790),AD790)</f>
        <v>0</v>
      </c>
      <c r="AG790" s="80">
        <f>MAX(0,AD790-MAX(0,AE790))</f>
        <v>0</v>
      </c>
      <c r="AH790" s="80">
        <f>IF(ISNUMBER(B790),IF(AND(INDEX(CFG_WDAYS,WEEKDAY(INT(B790),2))="Sí",IF(D790="proMX",COUNTIFS(FER_F,INT(B790),FER_NLP,"Sí"),COUNTIFS(FER_F,INT(B790),FER_NLM,"Sí"))=0),1,0),0)</f>
        <v>0</v>
      </c>
      <c r="AI790" s="80">
        <f>IF(AC790=1,IF(AND(INDEX(CFG_WDAYS,WEEKDAY(INT(B790)+1,2))="Sí",IF(D790="proMX",COUNTIFS(FER_F,INT(B790)+1,FER_NLP,"Sí"),COUNTIFS(FER_F,INT(B790)+1,FER_NLM,"Sí"))=0),1,0),0)</f>
        <v>0</v>
      </c>
      <c r="AJ790" s="80">
        <f>IF(AC790=1,1440-Z790,AD790)</f>
        <v>0</v>
      </c>
      <c r="AK790" s="80">
        <f>IF(AND(AB790=1,AH790=1),MAX(0,MIN(IF(AC790=1,1440,AA790),CFG_WEM)-MAX(Z790,CFG_WSM)),0)</f>
        <v>0</v>
      </c>
      <c r="AL790" s="80">
        <f>IF(AND(AC790=1,AI790=1),MAX(0,MIN(AA790,CFG_WEM)-CFG_WSM),0)</f>
        <v>0</v>
      </c>
      <c r="AM790" s="80">
        <f>AK790+AL790</f>
        <v>0</v>
      </c>
      <c r="AN790" s="80">
        <f>IF(CFG_BRK="Proporcional",IF(AD790=0,0,AF790*AM790/AD790),IF(CFG_BRK="Extras primero",MIN(AM790,MAX(0,AF790-(AD790-AM790))),MIN(AF790,AM790)))</f>
        <v>0</v>
      </c>
      <c r="AO790" s="80">
        <f>AF790-AN790</f>
        <v>0</v>
      </c>
      <c r="AP790" s="80">
        <f>AM790-AN790</f>
        <v>0</v>
      </c>
      <c r="AQ790" s="80">
        <f>AD790-AM790-AO790</f>
        <v>0</v>
      </c>
      <c r="AR790" s="80">
        <f>IF(AM790=0,0,AK790-AN790*AK790/AM790)</f>
        <v>0</v>
      </c>
      <c r="AS790" s="80">
        <f>IF(AD790-AM790=0,0,(AJ790-AK790)-AO790*(AJ790-AK790)/(AD790-AM790))</f>
        <v>0</v>
      </c>
      <c r="AT790" s="80" t="str">
        <f>IF(AC790=1,INT(B790)+1,"")</f>
        <v/>
      </c>
      <c r="AU790" s="80">
        <f>IF(AND(D790="proMX",R790="Cancelled"),0,1)</f>
        <v>1</v>
      </c>
      <c r="AV790" s="80">
        <f>IF(AND(AB790=1,AU790=1),IF(COUNTIFS($D$5:D789,D790,$B$5:B789,B790,$Z$5:Z789,Z790,$AA$5:AA789,AA790,$F$5:F789,F790&amp;"",$AU$5:AU789,1)&gt;0,1,0),0)</f>
        <v>0</v>
      </c>
      <c r="AW790" s="80" t="str">
        <f>IF(AB790=1,INT(B790)*1440+Z790,"")</f>
        <v/>
      </c>
      <c r="AX790" s="80" t="str">
        <f>IF(AB790=1,AW790+AD790,"")</f>
        <v/>
      </c>
      <c r="AY790" s="80">
        <f>IF(AND(AB790=1,AV790=0,AU790=1),1,0)</f>
        <v>0</v>
      </c>
      <c r="AZ790" s="80">
        <f>IF(AY790=1,COUNTIFS(R_Emp,D790,R_SAbs,"&lt;"&amp;AX790,R_EAbs,"&gt;"&amp;AW790,R_OKey,1)-1,0)</f>
        <v>0</v>
      </c>
      <c r="BA790" s="80">
        <f>IF(AY790=1,COUNTIFS(R_Emp,"&lt;&gt;"&amp;D790,R_SAbs,"&lt;"&amp;AX790,R_EAbs,"&gt;"&amp;AW790,R_OKey,1),0)</f>
        <v>0</v>
      </c>
      <c r="BB790" s="80">
        <f>IF(AND(AB790=1,D790="proMX"),IF(AND(MOD(Z790,CFG_BLK)=0,MOD(AA790,CFG_BLK)=0,MOD(AG790,CFG_BLK)=0,AG790&gt;0),1,0),1)</f>
        <v>1</v>
      </c>
      <c r="BC790" s="80" t="str">
        <f>IF(Y790=0,"",IF(NOT(ISNUMBER(B790)),"Falta fecha o fecha inválida",IF(D790="","Falta empresa",IF(AND(D790&lt;&gt;"Malcolm",D790&lt;&gt;"proMX"),"Empresa inválida",IF(OR(INT(B790)&lt;CFG_PSTART,INT(B790)&gt;CFG_PEND),"Fecha fuera del período",IF(OR(NOT(ISNUMBER(Z790)),NOT(ISNUMBER(AA790))),"Falta hora inicio/fin o formato inválido",IF(AB790=0,"Hora inicio = hora fin",IF(AE790&lt;0,"Descanso inválido",IF(AE790&gt;=AD790,"Descanso ≥ duración",IF(AV790=1,"Registro duplicado",IF(AZ790&gt;0,"Se superpone con otro registro "&amp;D790,IF(BB790=0,"inicio, fin y duración neta deben ser múltiplos de "&amp;CFG_BLK&amp;" min",""))))))))))))</f>
        <v/>
      </c>
      <c r="BD790" s="80">
        <f>IF(AND(Y790=1,BC790=""),1,0)</f>
        <v>0</v>
      </c>
      <c r="BE790" s="80">
        <f>IF(AND(BD790=1,AU790=1),1,0)</f>
        <v>0</v>
      </c>
      <c r="BF790" s="80" t="str">
        <f>IF(AND(D790="proMX",BD790=1),IF(R790="","Draft",R790),"")</f>
        <v/>
      </c>
      <c r="BG790" s="80">
        <f>IF(BD790=1,ROUND(AG790/60,6),0)</f>
        <v>0</v>
      </c>
      <c r="BH790" s="80">
        <f>IF(BE790=1,ROUND(AG790/60,6),0)</f>
        <v>0</v>
      </c>
      <c r="BI790" s="80">
        <f>IF(BE790=1,ROUND(AP790/60,6),0)</f>
        <v>0</v>
      </c>
      <c r="BJ790" s="80">
        <f>IF(BE790=1,ROUND(AQ790/60,6),0)</f>
        <v>0</v>
      </c>
      <c r="BK790" s="80">
        <f>IF(BE790=1,ROUND((AR790+AS790)/60,6),0)</f>
        <v>0</v>
      </c>
      <c r="BL790" s="80">
        <f>ROUND(BH790-BK790,6)</f>
        <v>0</v>
      </c>
      <c r="BM790" s="80">
        <f>IF(BE790=1,ROUND(AR790/60,6),0)</f>
        <v>0</v>
      </c>
      <c r="BN790" s="80">
        <f>ROUND(BI790-BM790,6)</f>
        <v>0</v>
      </c>
      <c r="BO790" s="80">
        <f>IF(BE790=1,ROUND(AS790/60,6),0)</f>
        <v>0</v>
      </c>
      <c r="BP790" s="80">
        <f>ROUND(BJ790-BO790,6)</f>
        <v>0</v>
      </c>
      <c r="BQ790" s="80">
        <f>IF(BE790=1,AW790,0)</f>
        <v>0</v>
      </c>
      <c r="BR790" s="80">
        <f>IF(BE790=1,AX790,0)</f>
        <v>0</v>
      </c>
      <c r="BS790" s="80">
        <f>IF(AND(BE790=1,D790="Malcolm",BA790&gt;0),MIN(BH790,SUMPRODUCT((R_Emp="proMX")*(R_EN&gt;0)*((R_EN-(R_EN&gt;BR790)*(R_EN-BR790))&gt;(R_SN+(R_SN&lt;BQ790)*(BQ790-R_SN)))*((R_EN-(R_EN&gt;BR790)*(R_EN-BR790))-(R_SN+(R_SN&lt;BQ790)*(BQ790-R_SN))))/60),0)</f>
        <v>0</v>
      </c>
      <c r="BT790" s="80">
        <f>IF(AND(BE790=1,D790="proMX"),ROUND(BI790*CFG_RATE+BJ790*CFG_OTRATE,6),0)</f>
        <v>0</v>
      </c>
      <c r="BU790" s="80">
        <f>IF(AND(BD790=1,D790="proMX"),ROUND(AG790/CFG_BLK,6),0)</f>
        <v>0</v>
      </c>
      <c r="BV790" s="80" t="str">
        <f>IF(BF790="Approved",IF(ISNUMBER(T790),INT(T790),INT(B790)),"")</f>
        <v/>
      </c>
      <c r="BW790" s="80">
        <f>IF(ISNUMBER(B790),IF(DB_MON="Todos",1,IF(AND(INT(B790)&gt;=DB_MS,INT(B790)&lt;=DB_ME),1,0)),0)</f>
        <v>0</v>
      </c>
      <c r="BX790" s="80">
        <f>IF(DB_PROJ="Todos",1,IF(E790&amp;""=DB_PROJ&amp;"",1,0))</f>
        <v>1</v>
      </c>
      <c r="BY790" s="80">
        <f>BW790*BX790</f>
        <v>0</v>
      </c>
      <c r="BZ790" s="80" t="str">
        <f>IF(Y790=1,F790&amp;IF(AND(F790&amp;""&lt;&gt;"",E790&amp;""&lt;&gt;"")," · ","")&amp;E790,"")</f>
        <v/>
      </c>
      <c r="CA790" s="80" t="str">
        <f>IF(AND(BD790=1,E790&amp;""&lt;&gt;""),IF(COUNTIFS($E$5:E789,E790,$BD$5:BD789,1)=0,MAX($CA$5:CA789)+1,""),"")</f>
        <v/>
      </c>
      <c r="CB790" s="80" t="str">
        <f>IF(AND(BE790=1,D790="Malcolm",E790&amp;""&lt;&gt;""),IF(COUNTIFS($D$5:D789,"Malcolm",$E$5:E789,E790,$BE$5:BE789,1)=0,MAX($CB$5:CB789)+1,""),"")</f>
        <v/>
      </c>
      <c r="CC790" s="80" t="str">
        <f>IF(AND(BD790=1,D790="proMX",E790&amp;""&lt;&gt;""),IF(COUNTIFS($D$5:D789,"proMX",$E$5:E789,E790,$BD$5:BD789,1)=0,MAX($CC$5:CC789)+1,""),"")</f>
        <v/>
      </c>
      <c r="CD790" s="80" t="str">
        <f>IF(AND(BE790=1,D790="Malcolm",F790&amp;""&lt;&gt;""),IF(COUNTIFS($D$5:D789,"Malcolm",$F$5:F789,F790,$BE$5:BE789,1)=0,MAX($CD$5:CD789)+1,""),"")</f>
        <v/>
      </c>
      <c r="CE790" s="80" t="str">
        <f>IF(AND(BD790=1,D790="proMX",F790&amp;""&lt;&gt;""),IF(COUNTIFS($D$5:D789,"proMX",$F$5:F789,F790,$BD$5:BD789,1)=0,MAX($CE$5:CE789)+1,""),"")</f>
        <v/>
      </c>
      <c r="CF790" s="80" t="str">
        <f>IF(AND(D790="proMX",BD790=1),IF(OR(BF790="Draft",BF790="Submitted",BF790="Returned",BF790="Recall Requested"),MAX($CF$5:CF789)+1,""),"")</f>
        <v/>
      </c>
      <c r="CG790" s="80">
        <f>IF(BD790=0,0,IF(D790="Malcolm",1,MATCH(BF790,{"Draft","Submitted","Approved","Returned","Recall Requested","Cancelled"},0)+1))</f>
        <v>0</v>
      </c>
      <c r="CH790" s="80">
        <f>IF(AND(BF790="Submitted",ISNUMBER(V790)),IF(V790&gt;CFG_MAXD,1,0),0)</f>
        <v>0</v>
      </c>
    </row>
    <row r="791">
      <c r="A791" s="71" t="str">
        <f>IF(Y791=1,ROW()-5,"")</f>
        <v/>
      </c>
      <c r="B791" s="72" t="n"/>
      <c r="C791" s="71" t="str">
        <f>IF(ISNUMBER(B791),CHOOSE(WEEKDAY(B791,2),"Lun","Mar","Mié","Jue","Vie","Sáb","Dom"),"")</f>
        <v/>
      </c>
      <c r="D791" s="73" t="n"/>
      <c r="E791" s="74" t="n"/>
      <c r="F791" s="74" t="n"/>
      <c r="G791" s="74" t="n"/>
      <c r="H791" s="75" t="n"/>
      <c r="I791" s="75" t="n"/>
      <c r="J791" s="76" t="n"/>
      <c r="K791" s="77" t="str">
        <f>IF(AB791=1,ROUND(AG791/60,4),"")</f>
        <v/>
      </c>
      <c r="L791" s="77" t="str">
        <f>IF(BD791=1,ROUND(AP791/60,4),"")</f>
        <v/>
      </c>
      <c r="M791" s="77" t="str">
        <f>IF(BD791=1,ROUND(AQ791/60,4),"")</f>
        <v/>
      </c>
      <c r="N791" s="71" t="str">
        <f>IF(AND(D791="proMX",AB791=1),ROUND(AG791/CFG_BLK,2),"")</f>
        <v/>
      </c>
      <c r="O791" s="77" t="str">
        <f>IF(D791="proMX",IF(BD791=1,ROUND(AG791/60,4),0),"")</f>
        <v/>
      </c>
      <c r="P791" s="78" t="str">
        <f>IF(Y791=0,"",IF(BD791=1,"OK",IF(D791="proMX","Revisar bloques: ","Revisar: ")&amp;BC791))</f>
        <v/>
      </c>
      <c r="Q791" s="78" t="str">
        <f>IF(NOT(ISNUMBER(B791)),"",IF(COUNTIFS(FER_F,INT(B791))&gt;0,"Feriado"&amp;IF(AH791=1," (laborable)"," (no laborable)"),IF(AH791=1,"Laborable",IF(WEEKDAY(B791,2)&gt;5,"Fin de semana","No laborable"))))</f>
        <v/>
      </c>
      <c r="R791" s="73" t="n"/>
      <c r="S791" s="72" t="n"/>
      <c r="T791" s="72" t="n"/>
      <c r="U791" s="74" t="n"/>
      <c r="V791" s="79" t="str">
        <f>IF(AND(D791="proMX",OR(R791="Submitted",R791="Recall Requested"),ISNUMBER(S791)),CFG_TODAY-INT(S791),"")</f>
        <v/>
      </c>
      <c r="W791" s="78" t="str">
        <f>IF(BD791=0,"",IF(BA791&gt;0,"⚠ Se superpone con un registro de la otra empresa",IF(D791="Malcolm",IF(COUNTA(R791,S791,T791)&gt;0,"Estado/fechas proMX se ignoran en Malcolm",""),IF(BF791="Cancelled","Cancelado: excluido de totales",IF(R791="","Sin estado: se trata como Draft",IF(BF791="Submitted",IF(ISNUMBER(V791),IF(V791&gt;CFG_MAXD,"⚠ "&amp;V791&amp;" días en Submitted (máx. "&amp;CFG_MAXD&amp;")",""),"Falta fecha de envío"),IF(BF791="Returned","⚠ Devuelto: corregir y reenviar",IF(BF791="Recall Requested","Retirada solicitada: pendiente",IF(AND(BF791="Approved",NOT(ISNUMBER(T791))),"Falta fecha de aprobación",IF(AND(ISNUMBER(S791),ISNUMBER(T791),T791&lt;S791),"Aprobación anterior al envío","")))))))))</f>
        <v/>
      </c>
      <c r="Y791" s="80">
        <f>IF(COUNTA(B791,D791,E791,F791,G791,H791,I791,J791,R791,S791,T791)&gt;0,1,0)</f>
        <v>0</v>
      </c>
      <c r="Z791" s="80" t="str">
        <f>IF(AND(ISNUMBER(H791),H791&gt;=0,H791&lt;1),ROUND(H791*1440,0),"")</f>
        <v/>
      </c>
      <c r="AA791" s="80" t="str">
        <f>IF(AND(ISNUMBER(I791),I791&gt;=0,I791&lt;1),ROUND(I791*1440,0),"")</f>
        <v/>
      </c>
      <c r="AB791" s="80">
        <f>IF(AND(ISNUMBER(B791),D791&lt;&gt;"",ISNUMBER(Z791),ISNUMBER(AA791)),IF(Z791=AA791,0,1),0)</f>
        <v>0</v>
      </c>
      <c r="AC791" s="80">
        <f>IF(AB791=1,IF(AA791&lt;Z791,1,0),0)</f>
        <v>0</v>
      </c>
      <c r="AD791" s="80">
        <f>IF(AB791=1,IF(AC791=1,1440-Z791+AA791,AA791-Z791),0)</f>
        <v>0</v>
      </c>
      <c r="AE791" s="80">
        <f>IF(J791="",0,IF(ISNUMBER(J791),J791,-1))</f>
        <v>0</v>
      </c>
      <c r="AF791" s="80">
        <f>MIN(MAX(0,AE791),AD791)</f>
        <v>0</v>
      </c>
      <c r="AG791" s="80">
        <f>MAX(0,AD791-MAX(0,AE791))</f>
        <v>0</v>
      </c>
      <c r="AH791" s="80">
        <f>IF(ISNUMBER(B791),IF(AND(INDEX(CFG_WDAYS,WEEKDAY(INT(B791),2))="Sí",IF(D791="proMX",COUNTIFS(FER_F,INT(B791),FER_NLP,"Sí"),COUNTIFS(FER_F,INT(B791),FER_NLM,"Sí"))=0),1,0),0)</f>
        <v>0</v>
      </c>
      <c r="AI791" s="80">
        <f>IF(AC791=1,IF(AND(INDEX(CFG_WDAYS,WEEKDAY(INT(B791)+1,2))="Sí",IF(D791="proMX",COUNTIFS(FER_F,INT(B791)+1,FER_NLP,"Sí"),COUNTIFS(FER_F,INT(B791)+1,FER_NLM,"Sí"))=0),1,0),0)</f>
        <v>0</v>
      </c>
      <c r="AJ791" s="80">
        <f>IF(AC791=1,1440-Z791,AD791)</f>
        <v>0</v>
      </c>
      <c r="AK791" s="80">
        <f>IF(AND(AB791=1,AH791=1),MAX(0,MIN(IF(AC791=1,1440,AA791),CFG_WEM)-MAX(Z791,CFG_WSM)),0)</f>
        <v>0</v>
      </c>
      <c r="AL791" s="80">
        <f>IF(AND(AC791=1,AI791=1),MAX(0,MIN(AA791,CFG_WEM)-CFG_WSM),0)</f>
        <v>0</v>
      </c>
      <c r="AM791" s="80">
        <f>AK791+AL791</f>
        <v>0</v>
      </c>
      <c r="AN791" s="80">
        <f>IF(CFG_BRK="Proporcional",IF(AD791=0,0,AF791*AM791/AD791),IF(CFG_BRK="Extras primero",MIN(AM791,MAX(0,AF791-(AD791-AM791))),MIN(AF791,AM791)))</f>
        <v>0</v>
      </c>
      <c r="AO791" s="80">
        <f>AF791-AN791</f>
        <v>0</v>
      </c>
      <c r="AP791" s="80">
        <f>AM791-AN791</f>
        <v>0</v>
      </c>
      <c r="AQ791" s="80">
        <f>AD791-AM791-AO791</f>
        <v>0</v>
      </c>
      <c r="AR791" s="80">
        <f>IF(AM791=0,0,AK791-AN791*AK791/AM791)</f>
        <v>0</v>
      </c>
      <c r="AS791" s="80">
        <f>IF(AD791-AM791=0,0,(AJ791-AK791)-AO791*(AJ791-AK791)/(AD791-AM791))</f>
        <v>0</v>
      </c>
      <c r="AT791" s="80" t="str">
        <f>IF(AC791=1,INT(B791)+1,"")</f>
        <v/>
      </c>
      <c r="AU791" s="80">
        <f>IF(AND(D791="proMX",R791="Cancelled"),0,1)</f>
        <v>1</v>
      </c>
      <c r="AV791" s="80">
        <f>IF(AND(AB791=1,AU791=1),IF(COUNTIFS($D$5:D790,D791,$B$5:B790,B791,$Z$5:Z790,Z791,$AA$5:AA790,AA791,$F$5:F790,F791&amp;"",$AU$5:AU790,1)&gt;0,1,0),0)</f>
        <v>0</v>
      </c>
      <c r="AW791" s="80" t="str">
        <f>IF(AB791=1,INT(B791)*1440+Z791,"")</f>
        <v/>
      </c>
      <c r="AX791" s="80" t="str">
        <f>IF(AB791=1,AW791+AD791,"")</f>
        <v/>
      </c>
      <c r="AY791" s="80">
        <f>IF(AND(AB791=1,AV791=0,AU791=1),1,0)</f>
        <v>0</v>
      </c>
      <c r="AZ791" s="80">
        <f>IF(AY791=1,COUNTIFS(R_Emp,D791,R_SAbs,"&lt;"&amp;AX791,R_EAbs,"&gt;"&amp;AW791,R_OKey,1)-1,0)</f>
        <v>0</v>
      </c>
      <c r="BA791" s="80">
        <f>IF(AY791=1,COUNTIFS(R_Emp,"&lt;&gt;"&amp;D791,R_SAbs,"&lt;"&amp;AX791,R_EAbs,"&gt;"&amp;AW791,R_OKey,1),0)</f>
        <v>0</v>
      </c>
      <c r="BB791" s="80">
        <f>IF(AND(AB791=1,D791="proMX"),IF(AND(MOD(Z791,CFG_BLK)=0,MOD(AA791,CFG_BLK)=0,MOD(AG791,CFG_BLK)=0,AG791&gt;0),1,0),1)</f>
        <v>1</v>
      </c>
      <c r="BC791" s="80" t="str">
        <f>IF(Y791=0,"",IF(NOT(ISNUMBER(B791)),"Falta fecha o fecha inválida",IF(D791="","Falta empresa",IF(AND(D791&lt;&gt;"Malcolm",D791&lt;&gt;"proMX"),"Empresa inválida",IF(OR(INT(B791)&lt;CFG_PSTART,INT(B791)&gt;CFG_PEND),"Fecha fuera del período",IF(OR(NOT(ISNUMBER(Z791)),NOT(ISNUMBER(AA791))),"Falta hora inicio/fin o formato inválido",IF(AB791=0,"Hora inicio = hora fin",IF(AE791&lt;0,"Descanso inválido",IF(AE791&gt;=AD791,"Descanso ≥ duración",IF(AV791=1,"Registro duplicado",IF(AZ791&gt;0,"Se superpone con otro registro "&amp;D791,IF(BB791=0,"inicio, fin y duración neta deben ser múltiplos de "&amp;CFG_BLK&amp;" min",""))))))))))))</f>
        <v/>
      </c>
      <c r="BD791" s="80">
        <f>IF(AND(Y791=1,BC791=""),1,0)</f>
        <v>0</v>
      </c>
      <c r="BE791" s="80">
        <f>IF(AND(BD791=1,AU791=1),1,0)</f>
        <v>0</v>
      </c>
      <c r="BF791" s="80" t="str">
        <f>IF(AND(D791="proMX",BD791=1),IF(R791="","Draft",R791),"")</f>
        <v/>
      </c>
      <c r="BG791" s="80">
        <f>IF(BD791=1,ROUND(AG791/60,6),0)</f>
        <v>0</v>
      </c>
      <c r="BH791" s="80">
        <f>IF(BE791=1,ROUND(AG791/60,6),0)</f>
        <v>0</v>
      </c>
      <c r="BI791" s="80">
        <f>IF(BE791=1,ROUND(AP791/60,6),0)</f>
        <v>0</v>
      </c>
      <c r="BJ791" s="80">
        <f>IF(BE791=1,ROUND(AQ791/60,6),0)</f>
        <v>0</v>
      </c>
      <c r="BK791" s="80">
        <f>IF(BE791=1,ROUND((AR791+AS791)/60,6),0)</f>
        <v>0</v>
      </c>
      <c r="BL791" s="80">
        <f>ROUND(BH791-BK791,6)</f>
        <v>0</v>
      </c>
      <c r="BM791" s="80">
        <f>IF(BE791=1,ROUND(AR791/60,6),0)</f>
        <v>0</v>
      </c>
      <c r="BN791" s="80">
        <f>ROUND(BI791-BM791,6)</f>
        <v>0</v>
      </c>
      <c r="BO791" s="80">
        <f>IF(BE791=1,ROUND(AS791/60,6),0)</f>
        <v>0</v>
      </c>
      <c r="BP791" s="80">
        <f>ROUND(BJ791-BO791,6)</f>
        <v>0</v>
      </c>
      <c r="BQ791" s="80">
        <f>IF(BE791=1,AW791,0)</f>
        <v>0</v>
      </c>
      <c r="BR791" s="80">
        <f>IF(BE791=1,AX791,0)</f>
        <v>0</v>
      </c>
      <c r="BS791" s="80">
        <f>IF(AND(BE791=1,D791="Malcolm",BA791&gt;0),MIN(BH791,SUMPRODUCT((R_Emp="proMX")*(R_EN&gt;0)*((R_EN-(R_EN&gt;BR791)*(R_EN-BR791))&gt;(R_SN+(R_SN&lt;BQ791)*(BQ791-R_SN)))*((R_EN-(R_EN&gt;BR791)*(R_EN-BR791))-(R_SN+(R_SN&lt;BQ791)*(BQ791-R_SN))))/60),0)</f>
        <v>0</v>
      </c>
      <c r="BT791" s="80">
        <f>IF(AND(BE791=1,D791="proMX"),ROUND(BI791*CFG_RATE+BJ791*CFG_OTRATE,6),0)</f>
        <v>0</v>
      </c>
      <c r="BU791" s="80">
        <f>IF(AND(BD791=1,D791="proMX"),ROUND(AG791/CFG_BLK,6),0)</f>
        <v>0</v>
      </c>
      <c r="BV791" s="80" t="str">
        <f>IF(BF791="Approved",IF(ISNUMBER(T791),INT(T791),INT(B791)),"")</f>
        <v/>
      </c>
      <c r="BW791" s="80">
        <f>IF(ISNUMBER(B791),IF(DB_MON="Todos",1,IF(AND(INT(B791)&gt;=DB_MS,INT(B791)&lt;=DB_ME),1,0)),0)</f>
        <v>0</v>
      </c>
      <c r="BX791" s="80">
        <f>IF(DB_PROJ="Todos",1,IF(E791&amp;""=DB_PROJ&amp;"",1,0))</f>
        <v>1</v>
      </c>
      <c r="BY791" s="80">
        <f>BW791*BX791</f>
        <v>0</v>
      </c>
      <c r="BZ791" s="80" t="str">
        <f>IF(Y791=1,F791&amp;IF(AND(F791&amp;""&lt;&gt;"",E791&amp;""&lt;&gt;"")," · ","")&amp;E791,"")</f>
        <v/>
      </c>
      <c r="CA791" s="80" t="str">
        <f>IF(AND(BD791=1,E791&amp;""&lt;&gt;""),IF(COUNTIFS($E$5:E790,E791,$BD$5:BD790,1)=0,MAX($CA$5:CA790)+1,""),"")</f>
        <v/>
      </c>
      <c r="CB791" s="80" t="str">
        <f>IF(AND(BE791=1,D791="Malcolm",E791&amp;""&lt;&gt;""),IF(COUNTIFS($D$5:D790,"Malcolm",$E$5:E790,E791,$BE$5:BE790,1)=0,MAX($CB$5:CB790)+1,""),"")</f>
        <v/>
      </c>
      <c r="CC791" s="80" t="str">
        <f>IF(AND(BD791=1,D791="proMX",E791&amp;""&lt;&gt;""),IF(COUNTIFS($D$5:D790,"proMX",$E$5:E790,E791,$BD$5:BD790,1)=0,MAX($CC$5:CC790)+1,""),"")</f>
        <v/>
      </c>
      <c r="CD791" s="80" t="str">
        <f>IF(AND(BE791=1,D791="Malcolm",F791&amp;""&lt;&gt;""),IF(COUNTIFS($D$5:D790,"Malcolm",$F$5:F790,F791,$BE$5:BE790,1)=0,MAX($CD$5:CD790)+1,""),"")</f>
        <v/>
      </c>
      <c r="CE791" s="80" t="str">
        <f>IF(AND(BD791=1,D791="proMX",F791&amp;""&lt;&gt;""),IF(COUNTIFS($D$5:D790,"proMX",$F$5:F790,F791,$BD$5:BD790,1)=0,MAX($CE$5:CE790)+1,""),"")</f>
        <v/>
      </c>
      <c r="CF791" s="80" t="str">
        <f>IF(AND(D791="proMX",BD791=1),IF(OR(BF791="Draft",BF791="Submitted",BF791="Returned",BF791="Recall Requested"),MAX($CF$5:CF790)+1,""),"")</f>
        <v/>
      </c>
      <c r="CG791" s="80">
        <f>IF(BD791=0,0,IF(D791="Malcolm",1,MATCH(BF791,{"Draft","Submitted","Approved","Returned","Recall Requested","Cancelled"},0)+1))</f>
        <v>0</v>
      </c>
      <c r="CH791" s="80">
        <f>IF(AND(BF791="Submitted",ISNUMBER(V791)),IF(V791&gt;CFG_MAXD,1,0),0)</f>
        <v>0</v>
      </c>
    </row>
    <row r="792">
      <c r="A792" s="71" t="str">
        <f>IF(Y792=1,ROW()-5,"")</f>
        <v/>
      </c>
      <c r="B792" s="72" t="n"/>
      <c r="C792" s="71" t="str">
        <f>IF(ISNUMBER(B792),CHOOSE(WEEKDAY(B792,2),"Lun","Mar","Mié","Jue","Vie","Sáb","Dom"),"")</f>
        <v/>
      </c>
      <c r="D792" s="73" t="n"/>
      <c r="E792" s="74" t="n"/>
      <c r="F792" s="74" t="n"/>
      <c r="G792" s="74" t="n"/>
      <c r="H792" s="75" t="n"/>
      <c r="I792" s="75" t="n"/>
      <c r="J792" s="76" t="n"/>
      <c r="K792" s="77" t="str">
        <f>IF(AB792=1,ROUND(AG792/60,4),"")</f>
        <v/>
      </c>
      <c r="L792" s="77" t="str">
        <f>IF(BD792=1,ROUND(AP792/60,4),"")</f>
        <v/>
      </c>
      <c r="M792" s="77" t="str">
        <f>IF(BD792=1,ROUND(AQ792/60,4),"")</f>
        <v/>
      </c>
      <c r="N792" s="71" t="str">
        <f>IF(AND(D792="proMX",AB792=1),ROUND(AG792/CFG_BLK,2),"")</f>
        <v/>
      </c>
      <c r="O792" s="77" t="str">
        <f>IF(D792="proMX",IF(BD792=1,ROUND(AG792/60,4),0),"")</f>
        <v/>
      </c>
      <c r="P792" s="78" t="str">
        <f>IF(Y792=0,"",IF(BD792=1,"OK",IF(D792="proMX","Revisar bloques: ","Revisar: ")&amp;BC792))</f>
        <v/>
      </c>
      <c r="Q792" s="78" t="str">
        <f>IF(NOT(ISNUMBER(B792)),"",IF(COUNTIFS(FER_F,INT(B792))&gt;0,"Feriado"&amp;IF(AH792=1," (laborable)"," (no laborable)"),IF(AH792=1,"Laborable",IF(WEEKDAY(B792,2)&gt;5,"Fin de semana","No laborable"))))</f>
        <v/>
      </c>
      <c r="R792" s="73" t="n"/>
      <c r="S792" s="72" t="n"/>
      <c r="T792" s="72" t="n"/>
      <c r="U792" s="74" t="n"/>
      <c r="V792" s="79" t="str">
        <f>IF(AND(D792="proMX",OR(R792="Submitted",R792="Recall Requested"),ISNUMBER(S792)),CFG_TODAY-INT(S792),"")</f>
        <v/>
      </c>
      <c r="W792" s="78" t="str">
        <f>IF(BD792=0,"",IF(BA792&gt;0,"⚠ Se superpone con un registro de la otra empresa",IF(D792="Malcolm",IF(COUNTA(R792,S792,T792)&gt;0,"Estado/fechas proMX se ignoran en Malcolm",""),IF(BF792="Cancelled","Cancelado: excluido de totales",IF(R792="","Sin estado: se trata como Draft",IF(BF792="Submitted",IF(ISNUMBER(V792),IF(V792&gt;CFG_MAXD,"⚠ "&amp;V792&amp;" días en Submitted (máx. "&amp;CFG_MAXD&amp;")",""),"Falta fecha de envío"),IF(BF792="Returned","⚠ Devuelto: corregir y reenviar",IF(BF792="Recall Requested","Retirada solicitada: pendiente",IF(AND(BF792="Approved",NOT(ISNUMBER(T792))),"Falta fecha de aprobación",IF(AND(ISNUMBER(S792),ISNUMBER(T792),T792&lt;S792),"Aprobación anterior al envío","")))))))))</f>
        <v/>
      </c>
      <c r="Y792" s="80">
        <f>IF(COUNTA(B792,D792,E792,F792,G792,H792,I792,J792,R792,S792,T792)&gt;0,1,0)</f>
        <v>0</v>
      </c>
      <c r="Z792" s="80" t="str">
        <f>IF(AND(ISNUMBER(H792),H792&gt;=0,H792&lt;1),ROUND(H792*1440,0),"")</f>
        <v/>
      </c>
      <c r="AA792" s="80" t="str">
        <f>IF(AND(ISNUMBER(I792),I792&gt;=0,I792&lt;1),ROUND(I792*1440,0),"")</f>
        <v/>
      </c>
      <c r="AB792" s="80">
        <f>IF(AND(ISNUMBER(B792),D792&lt;&gt;"",ISNUMBER(Z792),ISNUMBER(AA792)),IF(Z792=AA792,0,1),0)</f>
        <v>0</v>
      </c>
      <c r="AC792" s="80">
        <f>IF(AB792=1,IF(AA792&lt;Z792,1,0),0)</f>
        <v>0</v>
      </c>
      <c r="AD792" s="80">
        <f>IF(AB792=1,IF(AC792=1,1440-Z792+AA792,AA792-Z792),0)</f>
        <v>0</v>
      </c>
      <c r="AE792" s="80">
        <f>IF(J792="",0,IF(ISNUMBER(J792),J792,-1))</f>
        <v>0</v>
      </c>
      <c r="AF792" s="80">
        <f>MIN(MAX(0,AE792),AD792)</f>
        <v>0</v>
      </c>
      <c r="AG792" s="80">
        <f>MAX(0,AD792-MAX(0,AE792))</f>
        <v>0</v>
      </c>
      <c r="AH792" s="80">
        <f>IF(ISNUMBER(B792),IF(AND(INDEX(CFG_WDAYS,WEEKDAY(INT(B792),2))="Sí",IF(D792="proMX",COUNTIFS(FER_F,INT(B792),FER_NLP,"Sí"),COUNTIFS(FER_F,INT(B792),FER_NLM,"Sí"))=0),1,0),0)</f>
        <v>0</v>
      </c>
      <c r="AI792" s="80">
        <f>IF(AC792=1,IF(AND(INDEX(CFG_WDAYS,WEEKDAY(INT(B792)+1,2))="Sí",IF(D792="proMX",COUNTIFS(FER_F,INT(B792)+1,FER_NLP,"Sí"),COUNTIFS(FER_F,INT(B792)+1,FER_NLM,"Sí"))=0),1,0),0)</f>
        <v>0</v>
      </c>
      <c r="AJ792" s="80">
        <f>IF(AC792=1,1440-Z792,AD792)</f>
        <v>0</v>
      </c>
      <c r="AK792" s="80">
        <f>IF(AND(AB792=1,AH792=1),MAX(0,MIN(IF(AC792=1,1440,AA792),CFG_WEM)-MAX(Z792,CFG_WSM)),0)</f>
        <v>0</v>
      </c>
      <c r="AL792" s="80">
        <f>IF(AND(AC792=1,AI792=1),MAX(0,MIN(AA792,CFG_WEM)-CFG_WSM),0)</f>
        <v>0</v>
      </c>
      <c r="AM792" s="80">
        <f>AK792+AL792</f>
        <v>0</v>
      </c>
      <c r="AN792" s="80">
        <f>IF(CFG_BRK="Proporcional",IF(AD792=0,0,AF792*AM792/AD792),IF(CFG_BRK="Extras primero",MIN(AM792,MAX(0,AF792-(AD792-AM792))),MIN(AF792,AM792)))</f>
        <v>0</v>
      </c>
      <c r="AO792" s="80">
        <f>AF792-AN792</f>
        <v>0</v>
      </c>
      <c r="AP792" s="80">
        <f>AM792-AN792</f>
        <v>0</v>
      </c>
      <c r="AQ792" s="80">
        <f>AD792-AM792-AO792</f>
        <v>0</v>
      </c>
      <c r="AR792" s="80">
        <f>IF(AM792=0,0,AK792-AN792*AK792/AM792)</f>
        <v>0</v>
      </c>
      <c r="AS792" s="80">
        <f>IF(AD792-AM792=0,0,(AJ792-AK792)-AO792*(AJ792-AK792)/(AD792-AM792))</f>
        <v>0</v>
      </c>
      <c r="AT792" s="80" t="str">
        <f>IF(AC792=1,INT(B792)+1,"")</f>
        <v/>
      </c>
      <c r="AU792" s="80">
        <f>IF(AND(D792="proMX",R792="Cancelled"),0,1)</f>
        <v>1</v>
      </c>
      <c r="AV792" s="80">
        <f>IF(AND(AB792=1,AU792=1),IF(COUNTIFS($D$5:D791,D792,$B$5:B791,B792,$Z$5:Z791,Z792,$AA$5:AA791,AA792,$F$5:F791,F792&amp;"",$AU$5:AU791,1)&gt;0,1,0),0)</f>
        <v>0</v>
      </c>
      <c r="AW792" s="80" t="str">
        <f>IF(AB792=1,INT(B792)*1440+Z792,"")</f>
        <v/>
      </c>
      <c r="AX792" s="80" t="str">
        <f>IF(AB792=1,AW792+AD792,"")</f>
        <v/>
      </c>
      <c r="AY792" s="80">
        <f>IF(AND(AB792=1,AV792=0,AU792=1),1,0)</f>
        <v>0</v>
      </c>
      <c r="AZ792" s="80">
        <f>IF(AY792=1,COUNTIFS(R_Emp,D792,R_SAbs,"&lt;"&amp;AX792,R_EAbs,"&gt;"&amp;AW792,R_OKey,1)-1,0)</f>
        <v>0</v>
      </c>
      <c r="BA792" s="80">
        <f>IF(AY792=1,COUNTIFS(R_Emp,"&lt;&gt;"&amp;D792,R_SAbs,"&lt;"&amp;AX792,R_EAbs,"&gt;"&amp;AW792,R_OKey,1),0)</f>
        <v>0</v>
      </c>
      <c r="BB792" s="80">
        <f>IF(AND(AB792=1,D792="proMX"),IF(AND(MOD(Z792,CFG_BLK)=0,MOD(AA792,CFG_BLK)=0,MOD(AG792,CFG_BLK)=0,AG792&gt;0),1,0),1)</f>
        <v>1</v>
      </c>
      <c r="BC792" s="80" t="str">
        <f>IF(Y792=0,"",IF(NOT(ISNUMBER(B792)),"Falta fecha o fecha inválida",IF(D792="","Falta empresa",IF(AND(D792&lt;&gt;"Malcolm",D792&lt;&gt;"proMX"),"Empresa inválida",IF(OR(INT(B792)&lt;CFG_PSTART,INT(B792)&gt;CFG_PEND),"Fecha fuera del período",IF(OR(NOT(ISNUMBER(Z792)),NOT(ISNUMBER(AA792))),"Falta hora inicio/fin o formato inválido",IF(AB792=0,"Hora inicio = hora fin",IF(AE792&lt;0,"Descanso inválido",IF(AE792&gt;=AD792,"Descanso ≥ duración",IF(AV792=1,"Registro duplicado",IF(AZ792&gt;0,"Se superpone con otro registro "&amp;D792,IF(BB792=0,"inicio, fin y duración neta deben ser múltiplos de "&amp;CFG_BLK&amp;" min",""))))))))))))</f>
        <v/>
      </c>
      <c r="BD792" s="80">
        <f>IF(AND(Y792=1,BC792=""),1,0)</f>
        <v>0</v>
      </c>
      <c r="BE792" s="80">
        <f>IF(AND(BD792=1,AU792=1),1,0)</f>
        <v>0</v>
      </c>
      <c r="BF792" s="80" t="str">
        <f>IF(AND(D792="proMX",BD792=1),IF(R792="","Draft",R792),"")</f>
        <v/>
      </c>
      <c r="BG792" s="80">
        <f>IF(BD792=1,ROUND(AG792/60,6),0)</f>
        <v>0</v>
      </c>
      <c r="BH792" s="80">
        <f>IF(BE792=1,ROUND(AG792/60,6),0)</f>
        <v>0</v>
      </c>
      <c r="BI792" s="80">
        <f>IF(BE792=1,ROUND(AP792/60,6),0)</f>
        <v>0</v>
      </c>
      <c r="BJ792" s="80">
        <f>IF(BE792=1,ROUND(AQ792/60,6),0)</f>
        <v>0</v>
      </c>
      <c r="BK792" s="80">
        <f>IF(BE792=1,ROUND((AR792+AS792)/60,6),0)</f>
        <v>0</v>
      </c>
      <c r="BL792" s="80">
        <f>ROUND(BH792-BK792,6)</f>
        <v>0</v>
      </c>
      <c r="BM792" s="80">
        <f>IF(BE792=1,ROUND(AR792/60,6),0)</f>
        <v>0</v>
      </c>
      <c r="BN792" s="80">
        <f>ROUND(BI792-BM792,6)</f>
        <v>0</v>
      </c>
      <c r="BO792" s="80">
        <f>IF(BE792=1,ROUND(AS792/60,6),0)</f>
        <v>0</v>
      </c>
      <c r="BP792" s="80">
        <f>ROUND(BJ792-BO792,6)</f>
        <v>0</v>
      </c>
      <c r="BQ792" s="80">
        <f>IF(BE792=1,AW792,0)</f>
        <v>0</v>
      </c>
      <c r="BR792" s="80">
        <f>IF(BE792=1,AX792,0)</f>
        <v>0</v>
      </c>
      <c r="BS792" s="80">
        <f>IF(AND(BE792=1,D792="Malcolm",BA792&gt;0),MIN(BH792,SUMPRODUCT((R_Emp="proMX")*(R_EN&gt;0)*((R_EN-(R_EN&gt;BR792)*(R_EN-BR792))&gt;(R_SN+(R_SN&lt;BQ792)*(BQ792-R_SN)))*((R_EN-(R_EN&gt;BR792)*(R_EN-BR792))-(R_SN+(R_SN&lt;BQ792)*(BQ792-R_SN))))/60),0)</f>
        <v>0</v>
      </c>
      <c r="BT792" s="80">
        <f>IF(AND(BE792=1,D792="proMX"),ROUND(BI792*CFG_RATE+BJ792*CFG_OTRATE,6),0)</f>
        <v>0</v>
      </c>
      <c r="BU792" s="80">
        <f>IF(AND(BD792=1,D792="proMX"),ROUND(AG792/CFG_BLK,6),0)</f>
        <v>0</v>
      </c>
      <c r="BV792" s="80" t="str">
        <f>IF(BF792="Approved",IF(ISNUMBER(T792),INT(T792),INT(B792)),"")</f>
        <v/>
      </c>
      <c r="BW792" s="80">
        <f>IF(ISNUMBER(B792),IF(DB_MON="Todos",1,IF(AND(INT(B792)&gt;=DB_MS,INT(B792)&lt;=DB_ME),1,0)),0)</f>
        <v>0</v>
      </c>
      <c r="BX792" s="80">
        <f>IF(DB_PROJ="Todos",1,IF(E792&amp;""=DB_PROJ&amp;"",1,0))</f>
        <v>1</v>
      </c>
      <c r="BY792" s="80">
        <f>BW792*BX792</f>
        <v>0</v>
      </c>
      <c r="BZ792" s="80" t="str">
        <f>IF(Y792=1,F792&amp;IF(AND(F792&amp;""&lt;&gt;"",E792&amp;""&lt;&gt;"")," · ","")&amp;E792,"")</f>
        <v/>
      </c>
      <c r="CA792" s="80" t="str">
        <f>IF(AND(BD792=1,E792&amp;""&lt;&gt;""),IF(COUNTIFS($E$5:E791,E792,$BD$5:BD791,1)=0,MAX($CA$5:CA791)+1,""),"")</f>
        <v/>
      </c>
      <c r="CB792" s="80" t="str">
        <f>IF(AND(BE792=1,D792="Malcolm",E792&amp;""&lt;&gt;""),IF(COUNTIFS($D$5:D791,"Malcolm",$E$5:E791,E792,$BE$5:BE791,1)=0,MAX($CB$5:CB791)+1,""),"")</f>
        <v/>
      </c>
      <c r="CC792" s="80" t="str">
        <f>IF(AND(BD792=1,D792="proMX",E792&amp;""&lt;&gt;""),IF(COUNTIFS($D$5:D791,"proMX",$E$5:E791,E792,$BD$5:BD791,1)=0,MAX($CC$5:CC791)+1,""),"")</f>
        <v/>
      </c>
      <c r="CD792" s="80" t="str">
        <f>IF(AND(BE792=1,D792="Malcolm",F792&amp;""&lt;&gt;""),IF(COUNTIFS($D$5:D791,"Malcolm",$F$5:F791,F792,$BE$5:BE791,1)=0,MAX($CD$5:CD791)+1,""),"")</f>
        <v/>
      </c>
      <c r="CE792" s="80" t="str">
        <f>IF(AND(BD792=1,D792="proMX",F792&amp;""&lt;&gt;""),IF(COUNTIFS($D$5:D791,"proMX",$F$5:F791,F792,$BD$5:BD791,1)=0,MAX($CE$5:CE791)+1,""),"")</f>
        <v/>
      </c>
      <c r="CF792" s="80" t="str">
        <f>IF(AND(D792="proMX",BD792=1),IF(OR(BF792="Draft",BF792="Submitted",BF792="Returned",BF792="Recall Requested"),MAX($CF$5:CF791)+1,""),"")</f>
        <v/>
      </c>
      <c r="CG792" s="80">
        <f>IF(BD792=0,0,IF(D792="Malcolm",1,MATCH(BF792,{"Draft","Submitted","Approved","Returned","Recall Requested","Cancelled"},0)+1))</f>
        <v>0</v>
      </c>
      <c r="CH792" s="80">
        <f>IF(AND(BF792="Submitted",ISNUMBER(V792)),IF(V792&gt;CFG_MAXD,1,0),0)</f>
        <v>0</v>
      </c>
    </row>
    <row r="793">
      <c r="A793" s="71" t="str">
        <f>IF(Y793=1,ROW()-5,"")</f>
        <v/>
      </c>
      <c r="B793" s="72" t="n"/>
      <c r="C793" s="71" t="str">
        <f>IF(ISNUMBER(B793),CHOOSE(WEEKDAY(B793,2),"Lun","Mar","Mié","Jue","Vie","Sáb","Dom"),"")</f>
        <v/>
      </c>
      <c r="D793" s="73" t="n"/>
      <c r="E793" s="74" t="n"/>
      <c r="F793" s="74" t="n"/>
      <c r="G793" s="74" t="n"/>
      <c r="H793" s="75" t="n"/>
      <c r="I793" s="75" t="n"/>
      <c r="J793" s="76" t="n"/>
      <c r="K793" s="77" t="str">
        <f>IF(AB793=1,ROUND(AG793/60,4),"")</f>
        <v/>
      </c>
      <c r="L793" s="77" t="str">
        <f>IF(BD793=1,ROUND(AP793/60,4),"")</f>
        <v/>
      </c>
      <c r="M793" s="77" t="str">
        <f>IF(BD793=1,ROUND(AQ793/60,4),"")</f>
        <v/>
      </c>
      <c r="N793" s="71" t="str">
        <f>IF(AND(D793="proMX",AB793=1),ROUND(AG793/CFG_BLK,2),"")</f>
        <v/>
      </c>
      <c r="O793" s="77" t="str">
        <f>IF(D793="proMX",IF(BD793=1,ROUND(AG793/60,4),0),"")</f>
        <v/>
      </c>
      <c r="P793" s="78" t="str">
        <f>IF(Y793=0,"",IF(BD793=1,"OK",IF(D793="proMX","Revisar bloques: ","Revisar: ")&amp;BC793))</f>
        <v/>
      </c>
      <c r="Q793" s="78" t="str">
        <f>IF(NOT(ISNUMBER(B793)),"",IF(COUNTIFS(FER_F,INT(B793))&gt;0,"Feriado"&amp;IF(AH793=1," (laborable)"," (no laborable)"),IF(AH793=1,"Laborable",IF(WEEKDAY(B793,2)&gt;5,"Fin de semana","No laborable"))))</f>
        <v/>
      </c>
      <c r="R793" s="73" t="n"/>
      <c r="S793" s="72" t="n"/>
      <c r="T793" s="72" t="n"/>
      <c r="U793" s="74" t="n"/>
      <c r="V793" s="79" t="str">
        <f>IF(AND(D793="proMX",OR(R793="Submitted",R793="Recall Requested"),ISNUMBER(S793)),CFG_TODAY-INT(S793),"")</f>
        <v/>
      </c>
      <c r="W793" s="78" t="str">
        <f>IF(BD793=0,"",IF(BA793&gt;0,"⚠ Se superpone con un registro de la otra empresa",IF(D793="Malcolm",IF(COUNTA(R793,S793,T793)&gt;0,"Estado/fechas proMX se ignoran en Malcolm",""),IF(BF793="Cancelled","Cancelado: excluido de totales",IF(R793="","Sin estado: se trata como Draft",IF(BF793="Submitted",IF(ISNUMBER(V793),IF(V793&gt;CFG_MAXD,"⚠ "&amp;V793&amp;" días en Submitted (máx. "&amp;CFG_MAXD&amp;")",""),"Falta fecha de envío"),IF(BF793="Returned","⚠ Devuelto: corregir y reenviar",IF(BF793="Recall Requested","Retirada solicitada: pendiente",IF(AND(BF793="Approved",NOT(ISNUMBER(T793))),"Falta fecha de aprobación",IF(AND(ISNUMBER(S793),ISNUMBER(T793),T793&lt;S793),"Aprobación anterior al envío","")))))))))</f>
        <v/>
      </c>
      <c r="Y793" s="80">
        <f>IF(COUNTA(B793,D793,E793,F793,G793,H793,I793,J793,R793,S793,T793)&gt;0,1,0)</f>
        <v>0</v>
      </c>
      <c r="Z793" s="80" t="str">
        <f>IF(AND(ISNUMBER(H793),H793&gt;=0,H793&lt;1),ROUND(H793*1440,0),"")</f>
        <v/>
      </c>
      <c r="AA793" s="80" t="str">
        <f>IF(AND(ISNUMBER(I793),I793&gt;=0,I793&lt;1),ROUND(I793*1440,0),"")</f>
        <v/>
      </c>
      <c r="AB793" s="80">
        <f>IF(AND(ISNUMBER(B793),D793&lt;&gt;"",ISNUMBER(Z793),ISNUMBER(AA793)),IF(Z793=AA793,0,1),0)</f>
        <v>0</v>
      </c>
      <c r="AC793" s="80">
        <f>IF(AB793=1,IF(AA793&lt;Z793,1,0),0)</f>
        <v>0</v>
      </c>
      <c r="AD793" s="80">
        <f>IF(AB793=1,IF(AC793=1,1440-Z793+AA793,AA793-Z793),0)</f>
        <v>0</v>
      </c>
      <c r="AE793" s="80">
        <f>IF(J793="",0,IF(ISNUMBER(J793),J793,-1))</f>
        <v>0</v>
      </c>
      <c r="AF793" s="80">
        <f>MIN(MAX(0,AE793),AD793)</f>
        <v>0</v>
      </c>
      <c r="AG793" s="80">
        <f>MAX(0,AD793-MAX(0,AE793))</f>
        <v>0</v>
      </c>
      <c r="AH793" s="80">
        <f>IF(ISNUMBER(B793),IF(AND(INDEX(CFG_WDAYS,WEEKDAY(INT(B793),2))="Sí",IF(D793="proMX",COUNTIFS(FER_F,INT(B793),FER_NLP,"Sí"),COUNTIFS(FER_F,INT(B793),FER_NLM,"Sí"))=0),1,0),0)</f>
        <v>0</v>
      </c>
      <c r="AI793" s="80">
        <f>IF(AC793=1,IF(AND(INDEX(CFG_WDAYS,WEEKDAY(INT(B793)+1,2))="Sí",IF(D793="proMX",COUNTIFS(FER_F,INT(B793)+1,FER_NLP,"Sí"),COUNTIFS(FER_F,INT(B793)+1,FER_NLM,"Sí"))=0),1,0),0)</f>
        <v>0</v>
      </c>
      <c r="AJ793" s="80">
        <f>IF(AC793=1,1440-Z793,AD793)</f>
        <v>0</v>
      </c>
      <c r="AK793" s="80">
        <f>IF(AND(AB793=1,AH793=1),MAX(0,MIN(IF(AC793=1,1440,AA793),CFG_WEM)-MAX(Z793,CFG_WSM)),0)</f>
        <v>0</v>
      </c>
      <c r="AL793" s="80">
        <f>IF(AND(AC793=1,AI793=1),MAX(0,MIN(AA793,CFG_WEM)-CFG_WSM),0)</f>
        <v>0</v>
      </c>
      <c r="AM793" s="80">
        <f>AK793+AL793</f>
        <v>0</v>
      </c>
      <c r="AN793" s="80">
        <f>IF(CFG_BRK="Proporcional",IF(AD793=0,0,AF793*AM793/AD793),IF(CFG_BRK="Extras primero",MIN(AM793,MAX(0,AF793-(AD793-AM793))),MIN(AF793,AM793)))</f>
        <v>0</v>
      </c>
      <c r="AO793" s="80">
        <f>AF793-AN793</f>
        <v>0</v>
      </c>
      <c r="AP793" s="80">
        <f>AM793-AN793</f>
        <v>0</v>
      </c>
      <c r="AQ793" s="80">
        <f>AD793-AM793-AO793</f>
        <v>0</v>
      </c>
      <c r="AR793" s="80">
        <f>IF(AM793=0,0,AK793-AN793*AK793/AM793)</f>
        <v>0</v>
      </c>
      <c r="AS793" s="80">
        <f>IF(AD793-AM793=0,0,(AJ793-AK793)-AO793*(AJ793-AK793)/(AD793-AM793))</f>
        <v>0</v>
      </c>
      <c r="AT793" s="80" t="str">
        <f>IF(AC793=1,INT(B793)+1,"")</f>
        <v/>
      </c>
      <c r="AU793" s="80">
        <f>IF(AND(D793="proMX",R793="Cancelled"),0,1)</f>
        <v>1</v>
      </c>
      <c r="AV793" s="80">
        <f>IF(AND(AB793=1,AU793=1),IF(COUNTIFS($D$5:D792,D793,$B$5:B792,B793,$Z$5:Z792,Z793,$AA$5:AA792,AA793,$F$5:F792,F793&amp;"",$AU$5:AU792,1)&gt;0,1,0),0)</f>
        <v>0</v>
      </c>
      <c r="AW793" s="80" t="str">
        <f>IF(AB793=1,INT(B793)*1440+Z793,"")</f>
        <v/>
      </c>
      <c r="AX793" s="80" t="str">
        <f>IF(AB793=1,AW793+AD793,"")</f>
        <v/>
      </c>
      <c r="AY793" s="80">
        <f>IF(AND(AB793=1,AV793=0,AU793=1),1,0)</f>
        <v>0</v>
      </c>
      <c r="AZ793" s="80">
        <f>IF(AY793=1,COUNTIFS(R_Emp,D793,R_SAbs,"&lt;"&amp;AX793,R_EAbs,"&gt;"&amp;AW793,R_OKey,1)-1,0)</f>
        <v>0</v>
      </c>
      <c r="BA793" s="80">
        <f>IF(AY793=1,COUNTIFS(R_Emp,"&lt;&gt;"&amp;D793,R_SAbs,"&lt;"&amp;AX793,R_EAbs,"&gt;"&amp;AW793,R_OKey,1),0)</f>
        <v>0</v>
      </c>
      <c r="BB793" s="80">
        <f>IF(AND(AB793=1,D793="proMX"),IF(AND(MOD(Z793,CFG_BLK)=0,MOD(AA793,CFG_BLK)=0,MOD(AG793,CFG_BLK)=0,AG793&gt;0),1,0),1)</f>
        <v>1</v>
      </c>
      <c r="BC793" s="80" t="str">
        <f>IF(Y793=0,"",IF(NOT(ISNUMBER(B793)),"Falta fecha o fecha inválida",IF(D793="","Falta empresa",IF(AND(D793&lt;&gt;"Malcolm",D793&lt;&gt;"proMX"),"Empresa inválida",IF(OR(INT(B793)&lt;CFG_PSTART,INT(B793)&gt;CFG_PEND),"Fecha fuera del período",IF(OR(NOT(ISNUMBER(Z793)),NOT(ISNUMBER(AA793))),"Falta hora inicio/fin o formato inválido",IF(AB793=0,"Hora inicio = hora fin",IF(AE793&lt;0,"Descanso inválido",IF(AE793&gt;=AD793,"Descanso ≥ duración",IF(AV793=1,"Registro duplicado",IF(AZ793&gt;0,"Se superpone con otro registro "&amp;D793,IF(BB793=0,"inicio, fin y duración neta deben ser múltiplos de "&amp;CFG_BLK&amp;" min",""))))))))))))</f>
        <v/>
      </c>
      <c r="BD793" s="80">
        <f>IF(AND(Y793=1,BC793=""),1,0)</f>
        <v>0</v>
      </c>
      <c r="BE793" s="80">
        <f>IF(AND(BD793=1,AU793=1),1,0)</f>
        <v>0</v>
      </c>
      <c r="BF793" s="80" t="str">
        <f>IF(AND(D793="proMX",BD793=1),IF(R793="","Draft",R793),"")</f>
        <v/>
      </c>
      <c r="BG793" s="80">
        <f>IF(BD793=1,ROUND(AG793/60,6),0)</f>
        <v>0</v>
      </c>
      <c r="BH793" s="80">
        <f>IF(BE793=1,ROUND(AG793/60,6),0)</f>
        <v>0</v>
      </c>
      <c r="BI793" s="80">
        <f>IF(BE793=1,ROUND(AP793/60,6),0)</f>
        <v>0</v>
      </c>
      <c r="BJ793" s="80">
        <f>IF(BE793=1,ROUND(AQ793/60,6),0)</f>
        <v>0</v>
      </c>
      <c r="BK793" s="80">
        <f>IF(BE793=1,ROUND((AR793+AS793)/60,6),0)</f>
        <v>0</v>
      </c>
      <c r="BL793" s="80">
        <f>ROUND(BH793-BK793,6)</f>
        <v>0</v>
      </c>
      <c r="BM793" s="80">
        <f>IF(BE793=1,ROUND(AR793/60,6),0)</f>
        <v>0</v>
      </c>
      <c r="BN793" s="80">
        <f>ROUND(BI793-BM793,6)</f>
        <v>0</v>
      </c>
      <c r="BO793" s="80">
        <f>IF(BE793=1,ROUND(AS793/60,6),0)</f>
        <v>0</v>
      </c>
      <c r="BP793" s="80">
        <f>ROUND(BJ793-BO793,6)</f>
        <v>0</v>
      </c>
      <c r="BQ793" s="80">
        <f>IF(BE793=1,AW793,0)</f>
        <v>0</v>
      </c>
      <c r="BR793" s="80">
        <f>IF(BE793=1,AX793,0)</f>
        <v>0</v>
      </c>
      <c r="BS793" s="80">
        <f>IF(AND(BE793=1,D793="Malcolm",BA793&gt;0),MIN(BH793,SUMPRODUCT((R_Emp="proMX")*(R_EN&gt;0)*((R_EN-(R_EN&gt;BR793)*(R_EN-BR793))&gt;(R_SN+(R_SN&lt;BQ793)*(BQ793-R_SN)))*((R_EN-(R_EN&gt;BR793)*(R_EN-BR793))-(R_SN+(R_SN&lt;BQ793)*(BQ793-R_SN))))/60),0)</f>
        <v>0</v>
      </c>
      <c r="BT793" s="80">
        <f>IF(AND(BE793=1,D793="proMX"),ROUND(BI793*CFG_RATE+BJ793*CFG_OTRATE,6),0)</f>
        <v>0</v>
      </c>
      <c r="BU793" s="80">
        <f>IF(AND(BD793=1,D793="proMX"),ROUND(AG793/CFG_BLK,6),0)</f>
        <v>0</v>
      </c>
      <c r="BV793" s="80" t="str">
        <f>IF(BF793="Approved",IF(ISNUMBER(T793),INT(T793),INT(B793)),"")</f>
        <v/>
      </c>
      <c r="BW793" s="80">
        <f>IF(ISNUMBER(B793),IF(DB_MON="Todos",1,IF(AND(INT(B793)&gt;=DB_MS,INT(B793)&lt;=DB_ME),1,0)),0)</f>
        <v>0</v>
      </c>
      <c r="BX793" s="80">
        <f>IF(DB_PROJ="Todos",1,IF(E793&amp;""=DB_PROJ&amp;"",1,0))</f>
        <v>1</v>
      </c>
      <c r="BY793" s="80">
        <f>BW793*BX793</f>
        <v>0</v>
      </c>
      <c r="BZ793" s="80" t="str">
        <f>IF(Y793=1,F793&amp;IF(AND(F793&amp;""&lt;&gt;"",E793&amp;""&lt;&gt;"")," · ","")&amp;E793,"")</f>
        <v/>
      </c>
      <c r="CA793" s="80" t="str">
        <f>IF(AND(BD793=1,E793&amp;""&lt;&gt;""),IF(COUNTIFS($E$5:E792,E793,$BD$5:BD792,1)=0,MAX($CA$5:CA792)+1,""),"")</f>
        <v/>
      </c>
      <c r="CB793" s="80" t="str">
        <f>IF(AND(BE793=1,D793="Malcolm",E793&amp;""&lt;&gt;""),IF(COUNTIFS($D$5:D792,"Malcolm",$E$5:E792,E793,$BE$5:BE792,1)=0,MAX($CB$5:CB792)+1,""),"")</f>
        <v/>
      </c>
      <c r="CC793" s="80" t="str">
        <f>IF(AND(BD793=1,D793="proMX",E793&amp;""&lt;&gt;""),IF(COUNTIFS($D$5:D792,"proMX",$E$5:E792,E793,$BD$5:BD792,1)=0,MAX($CC$5:CC792)+1,""),"")</f>
        <v/>
      </c>
      <c r="CD793" s="80" t="str">
        <f>IF(AND(BE793=1,D793="Malcolm",F793&amp;""&lt;&gt;""),IF(COUNTIFS($D$5:D792,"Malcolm",$F$5:F792,F793,$BE$5:BE792,1)=0,MAX($CD$5:CD792)+1,""),"")</f>
        <v/>
      </c>
      <c r="CE793" s="80" t="str">
        <f>IF(AND(BD793=1,D793="proMX",F793&amp;""&lt;&gt;""),IF(COUNTIFS($D$5:D792,"proMX",$F$5:F792,F793,$BD$5:BD792,1)=0,MAX($CE$5:CE792)+1,""),"")</f>
        <v/>
      </c>
      <c r="CF793" s="80" t="str">
        <f>IF(AND(D793="proMX",BD793=1),IF(OR(BF793="Draft",BF793="Submitted",BF793="Returned",BF793="Recall Requested"),MAX($CF$5:CF792)+1,""),"")</f>
        <v/>
      </c>
      <c r="CG793" s="80">
        <f>IF(BD793=0,0,IF(D793="Malcolm",1,MATCH(BF793,{"Draft","Submitted","Approved","Returned","Recall Requested","Cancelled"},0)+1))</f>
        <v>0</v>
      </c>
      <c r="CH793" s="80">
        <f>IF(AND(BF793="Submitted",ISNUMBER(V793)),IF(V793&gt;CFG_MAXD,1,0),0)</f>
        <v>0</v>
      </c>
    </row>
    <row r="794">
      <c r="A794" s="71" t="str">
        <f>IF(Y794=1,ROW()-5,"")</f>
        <v/>
      </c>
      <c r="B794" s="72" t="n"/>
      <c r="C794" s="71" t="str">
        <f>IF(ISNUMBER(B794),CHOOSE(WEEKDAY(B794,2),"Lun","Mar","Mié","Jue","Vie","Sáb","Dom"),"")</f>
        <v/>
      </c>
      <c r="D794" s="73" t="n"/>
      <c r="E794" s="74" t="n"/>
      <c r="F794" s="74" t="n"/>
      <c r="G794" s="74" t="n"/>
      <c r="H794" s="75" t="n"/>
      <c r="I794" s="75" t="n"/>
      <c r="J794" s="76" t="n"/>
      <c r="K794" s="77" t="str">
        <f>IF(AB794=1,ROUND(AG794/60,4),"")</f>
        <v/>
      </c>
      <c r="L794" s="77" t="str">
        <f>IF(BD794=1,ROUND(AP794/60,4),"")</f>
        <v/>
      </c>
      <c r="M794" s="77" t="str">
        <f>IF(BD794=1,ROUND(AQ794/60,4),"")</f>
        <v/>
      </c>
      <c r="N794" s="71" t="str">
        <f>IF(AND(D794="proMX",AB794=1),ROUND(AG794/CFG_BLK,2),"")</f>
        <v/>
      </c>
      <c r="O794" s="77" t="str">
        <f>IF(D794="proMX",IF(BD794=1,ROUND(AG794/60,4),0),"")</f>
        <v/>
      </c>
      <c r="P794" s="78" t="str">
        <f>IF(Y794=0,"",IF(BD794=1,"OK",IF(D794="proMX","Revisar bloques: ","Revisar: ")&amp;BC794))</f>
        <v/>
      </c>
      <c r="Q794" s="78" t="str">
        <f>IF(NOT(ISNUMBER(B794)),"",IF(COUNTIFS(FER_F,INT(B794))&gt;0,"Feriado"&amp;IF(AH794=1," (laborable)"," (no laborable)"),IF(AH794=1,"Laborable",IF(WEEKDAY(B794,2)&gt;5,"Fin de semana","No laborable"))))</f>
        <v/>
      </c>
      <c r="R794" s="73" t="n"/>
      <c r="S794" s="72" t="n"/>
      <c r="T794" s="72" t="n"/>
      <c r="U794" s="74" t="n"/>
      <c r="V794" s="79" t="str">
        <f>IF(AND(D794="proMX",OR(R794="Submitted",R794="Recall Requested"),ISNUMBER(S794)),CFG_TODAY-INT(S794),"")</f>
        <v/>
      </c>
      <c r="W794" s="78" t="str">
        <f>IF(BD794=0,"",IF(BA794&gt;0,"⚠ Se superpone con un registro de la otra empresa",IF(D794="Malcolm",IF(COUNTA(R794,S794,T794)&gt;0,"Estado/fechas proMX se ignoran en Malcolm",""),IF(BF794="Cancelled","Cancelado: excluido de totales",IF(R794="","Sin estado: se trata como Draft",IF(BF794="Submitted",IF(ISNUMBER(V794),IF(V794&gt;CFG_MAXD,"⚠ "&amp;V794&amp;" días en Submitted (máx. "&amp;CFG_MAXD&amp;")",""),"Falta fecha de envío"),IF(BF794="Returned","⚠ Devuelto: corregir y reenviar",IF(BF794="Recall Requested","Retirada solicitada: pendiente",IF(AND(BF794="Approved",NOT(ISNUMBER(T794))),"Falta fecha de aprobación",IF(AND(ISNUMBER(S794),ISNUMBER(T794),T794&lt;S794),"Aprobación anterior al envío","")))))))))</f>
        <v/>
      </c>
      <c r="Y794" s="80">
        <f>IF(COUNTA(B794,D794,E794,F794,G794,H794,I794,J794,R794,S794,T794)&gt;0,1,0)</f>
        <v>0</v>
      </c>
      <c r="Z794" s="80" t="str">
        <f>IF(AND(ISNUMBER(H794),H794&gt;=0,H794&lt;1),ROUND(H794*1440,0),"")</f>
        <v/>
      </c>
      <c r="AA794" s="80" t="str">
        <f>IF(AND(ISNUMBER(I794),I794&gt;=0,I794&lt;1),ROUND(I794*1440,0),"")</f>
        <v/>
      </c>
      <c r="AB794" s="80">
        <f>IF(AND(ISNUMBER(B794),D794&lt;&gt;"",ISNUMBER(Z794),ISNUMBER(AA794)),IF(Z794=AA794,0,1),0)</f>
        <v>0</v>
      </c>
      <c r="AC794" s="80">
        <f>IF(AB794=1,IF(AA794&lt;Z794,1,0),0)</f>
        <v>0</v>
      </c>
      <c r="AD794" s="80">
        <f>IF(AB794=1,IF(AC794=1,1440-Z794+AA794,AA794-Z794),0)</f>
        <v>0</v>
      </c>
      <c r="AE794" s="80">
        <f>IF(J794="",0,IF(ISNUMBER(J794),J794,-1))</f>
        <v>0</v>
      </c>
      <c r="AF794" s="80">
        <f>MIN(MAX(0,AE794),AD794)</f>
        <v>0</v>
      </c>
      <c r="AG794" s="80">
        <f>MAX(0,AD794-MAX(0,AE794))</f>
        <v>0</v>
      </c>
      <c r="AH794" s="80">
        <f>IF(ISNUMBER(B794),IF(AND(INDEX(CFG_WDAYS,WEEKDAY(INT(B794),2))="Sí",IF(D794="proMX",COUNTIFS(FER_F,INT(B794),FER_NLP,"Sí"),COUNTIFS(FER_F,INT(B794),FER_NLM,"Sí"))=0),1,0),0)</f>
        <v>0</v>
      </c>
      <c r="AI794" s="80">
        <f>IF(AC794=1,IF(AND(INDEX(CFG_WDAYS,WEEKDAY(INT(B794)+1,2))="Sí",IF(D794="proMX",COUNTIFS(FER_F,INT(B794)+1,FER_NLP,"Sí"),COUNTIFS(FER_F,INT(B794)+1,FER_NLM,"Sí"))=0),1,0),0)</f>
        <v>0</v>
      </c>
      <c r="AJ794" s="80">
        <f>IF(AC794=1,1440-Z794,AD794)</f>
        <v>0</v>
      </c>
      <c r="AK794" s="80">
        <f>IF(AND(AB794=1,AH794=1),MAX(0,MIN(IF(AC794=1,1440,AA794),CFG_WEM)-MAX(Z794,CFG_WSM)),0)</f>
        <v>0</v>
      </c>
      <c r="AL794" s="80">
        <f>IF(AND(AC794=1,AI794=1),MAX(0,MIN(AA794,CFG_WEM)-CFG_WSM),0)</f>
        <v>0</v>
      </c>
      <c r="AM794" s="80">
        <f>AK794+AL794</f>
        <v>0</v>
      </c>
      <c r="AN794" s="80">
        <f>IF(CFG_BRK="Proporcional",IF(AD794=0,0,AF794*AM794/AD794),IF(CFG_BRK="Extras primero",MIN(AM794,MAX(0,AF794-(AD794-AM794))),MIN(AF794,AM794)))</f>
        <v>0</v>
      </c>
      <c r="AO794" s="80">
        <f>AF794-AN794</f>
        <v>0</v>
      </c>
      <c r="AP794" s="80">
        <f>AM794-AN794</f>
        <v>0</v>
      </c>
      <c r="AQ794" s="80">
        <f>AD794-AM794-AO794</f>
        <v>0</v>
      </c>
      <c r="AR794" s="80">
        <f>IF(AM794=0,0,AK794-AN794*AK794/AM794)</f>
        <v>0</v>
      </c>
      <c r="AS794" s="80">
        <f>IF(AD794-AM794=0,0,(AJ794-AK794)-AO794*(AJ794-AK794)/(AD794-AM794))</f>
        <v>0</v>
      </c>
      <c r="AT794" s="80" t="str">
        <f>IF(AC794=1,INT(B794)+1,"")</f>
        <v/>
      </c>
      <c r="AU794" s="80">
        <f>IF(AND(D794="proMX",R794="Cancelled"),0,1)</f>
        <v>1</v>
      </c>
      <c r="AV794" s="80">
        <f>IF(AND(AB794=1,AU794=1),IF(COUNTIFS($D$5:D793,D794,$B$5:B793,B794,$Z$5:Z793,Z794,$AA$5:AA793,AA794,$F$5:F793,F794&amp;"",$AU$5:AU793,1)&gt;0,1,0),0)</f>
        <v>0</v>
      </c>
      <c r="AW794" s="80" t="str">
        <f>IF(AB794=1,INT(B794)*1440+Z794,"")</f>
        <v/>
      </c>
      <c r="AX794" s="80" t="str">
        <f>IF(AB794=1,AW794+AD794,"")</f>
        <v/>
      </c>
      <c r="AY794" s="80">
        <f>IF(AND(AB794=1,AV794=0,AU794=1),1,0)</f>
        <v>0</v>
      </c>
      <c r="AZ794" s="80">
        <f>IF(AY794=1,COUNTIFS(R_Emp,D794,R_SAbs,"&lt;"&amp;AX794,R_EAbs,"&gt;"&amp;AW794,R_OKey,1)-1,0)</f>
        <v>0</v>
      </c>
      <c r="BA794" s="80">
        <f>IF(AY794=1,COUNTIFS(R_Emp,"&lt;&gt;"&amp;D794,R_SAbs,"&lt;"&amp;AX794,R_EAbs,"&gt;"&amp;AW794,R_OKey,1),0)</f>
        <v>0</v>
      </c>
      <c r="BB794" s="80">
        <f>IF(AND(AB794=1,D794="proMX"),IF(AND(MOD(Z794,CFG_BLK)=0,MOD(AA794,CFG_BLK)=0,MOD(AG794,CFG_BLK)=0,AG794&gt;0),1,0),1)</f>
        <v>1</v>
      </c>
      <c r="BC794" s="80" t="str">
        <f>IF(Y794=0,"",IF(NOT(ISNUMBER(B794)),"Falta fecha o fecha inválida",IF(D794="","Falta empresa",IF(AND(D794&lt;&gt;"Malcolm",D794&lt;&gt;"proMX"),"Empresa inválida",IF(OR(INT(B794)&lt;CFG_PSTART,INT(B794)&gt;CFG_PEND),"Fecha fuera del período",IF(OR(NOT(ISNUMBER(Z794)),NOT(ISNUMBER(AA794))),"Falta hora inicio/fin o formato inválido",IF(AB794=0,"Hora inicio = hora fin",IF(AE794&lt;0,"Descanso inválido",IF(AE794&gt;=AD794,"Descanso ≥ duración",IF(AV794=1,"Registro duplicado",IF(AZ794&gt;0,"Se superpone con otro registro "&amp;D794,IF(BB794=0,"inicio, fin y duración neta deben ser múltiplos de "&amp;CFG_BLK&amp;" min",""))))))))))))</f>
        <v/>
      </c>
      <c r="BD794" s="80">
        <f>IF(AND(Y794=1,BC794=""),1,0)</f>
        <v>0</v>
      </c>
      <c r="BE794" s="80">
        <f>IF(AND(BD794=1,AU794=1),1,0)</f>
        <v>0</v>
      </c>
      <c r="BF794" s="80" t="str">
        <f>IF(AND(D794="proMX",BD794=1),IF(R794="","Draft",R794),"")</f>
        <v/>
      </c>
      <c r="BG794" s="80">
        <f>IF(BD794=1,ROUND(AG794/60,6),0)</f>
        <v>0</v>
      </c>
      <c r="BH794" s="80">
        <f>IF(BE794=1,ROUND(AG794/60,6),0)</f>
        <v>0</v>
      </c>
      <c r="BI794" s="80">
        <f>IF(BE794=1,ROUND(AP794/60,6),0)</f>
        <v>0</v>
      </c>
      <c r="BJ794" s="80">
        <f>IF(BE794=1,ROUND(AQ794/60,6),0)</f>
        <v>0</v>
      </c>
      <c r="BK794" s="80">
        <f>IF(BE794=1,ROUND((AR794+AS794)/60,6),0)</f>
        <v>0</v>
      </c>
      <c r="BL794" s="80">
        <f>ROUND(BH794-BK794,6)</f>
        <v>0</v>
      </c>
      <c r="BM794" s="80">
        <f>IF(BE794=1,ROUND(AR794/60,6),0)</f>
        <v>0</v>
      </c>
      <c r="BN794" s="80">
        <f>ROUND(BI794-BM794,6)</f>
        <v>0</v>
      </c>
      <c r="BO794" s="80">
        <f>IF(BE794=1,ROUND(AS794/60,6),0)</f>
        <v>0</v>
      </c>
      <c r="BP794" s="80">
        <f>ROUND(BJ794-BO794,6)</f>
        <v>0</v>
      </c>
      <c r="BQ794" s="80">
        <f>IF(BE794=1,AW794,0)</f>
        <v>0</v>
      </c>
      <c r="BR794" s="80">
        <f>IF(BE794=1,AX794,0)</f>
        <v>0</v>
      </c>
      <c r="BS794" s="80">
        <f>IF(AND(BE794=1,D794="Malcolm",BA794&gt;0),MIN(BH794,SUMPRODUCT((R_Emp="proMX")*(R_EN&gt;0)*((R_EN-(R_EN&gt;BR794)*(R_EN-BR794))&gt;(R_SN+(R_SN&lt;BQ794)*(BQ794-R_SN)))*((R_EN-(R_EN&gt;BR794)*(R_EN-BR794))-(R_SN+(R_SN&lt;BQ794)*(BQ794-R_SN))))/60),0)</f>
        <v>0</v>
      </c>
      <c r="BT794" s="80">
        <f>IF(AND(BE794=1,D794="proMX"),ROUND(BI794*CFG_RATE+BJ794*CFG_OTRATE,6),0)</f>
        <v>0</v>
      </c>
      <c r="BU794" s="80">
        <f>IF(AND(BD794=1,D794="proMX"),ROUND(AG794/CFG_BLK,6),0)</f>
        <v>0</v>
      </c>
      <c r="BV794" s="80" t="str">
        <f>IF(BF794="Approved",IF(ISNUMBER(T794),INT(T794),INT(B794)),"")</f>
        <v/>
      </c>
      <c r="BW794" s="80">
        <f>IF(ISNUMBER(B794),IF(DB_MON="Todos",1,IF(AND(INT(B794)&gt;=DB_MS,INT(B794)&lt;=DB_ME),1,0)),0)</f>
        <v>0</v>
      </c>
      <c r="BX794" s="80">
        <f>IF(DB_PROJ="Todos",1,IF(E794&amp;""=DB_PROJ&amp;"",1,0))</f>
        <v>1</v>
      </c>
      <c r="BY794" s="80">
        <f>BW794*BX794</f>
        <v>0</v>
      </c>
      <c r="BZ794" s="80" t="str">
        <f>IF(Y794=1,F794&amp;IF(AND(F794&amp;""&lt;&gt;"",E794&amp;""&lt;&gt;"")," · ","")&amp;E794,"")</f>
        <v/>
      </c>
      <c r="CA794" s="80" t="str">
        <f>IF(AND(BD794=1,E794&amp;""&lt;&gt;""),IF(COUNTIFS($E$5:E793,E794,$BD$5:BD793,1)=0,MAX($CA$5:CA793)+1,""),"")</f>
        <v/>
      </c>
      <c r="CB794" s="80" t="str">
        <f>IF(AND(BE794=1,D794="Malcolm",E794&amp;""&lt;&gt;""),IF(COUNTIFS($D$5:D793,"Malcolm",$E$5:E793,E794,$BE$5:BE793,1)=0,MAX($CB$5:CB793)+1,""),"")</f>
        <v/>
      </c>
      <c r="CC794" s="80" t="str">
        <f>IF(AND(BD794=1,D794="proMX",E794&amp;""&lt;&gt;""),IF(COUNTIFS($D$5:D793,"proMX",$E$5:E793,E794,$BD$5:BD793,1)=0,MAX($CC$5:CC793)+1,""),"")</f>
        <v/>
      </c>
      <c r="CD794" s="80" t="str">
        <f>IF(AND(BE794=1,D794="Malcolm",F794&amp;""&lt;&gt;""),IF(COUNTIFS($D$5:D793,"Malcolm",$F$5:F793,F794,$BE$5:BE793,1)=0,MAX($CD$5:CD793)+1,""),"")</f>
        <v/>
      </c>
      <c r="CE794" s="80" t="str">
        <f>IF(AND(BD794=1,D794="proMX",F794&amp;""&lt;&gt;""),IF(COUNTIFS($D$5:D793,"proMX",$F$5:F793,F794,$BD$5:BD793,1)=0,MAX($CE$5:CE793)+1,""),"")</f>
        <v/>
      </c>
      <c r="CF794" s="80" t="str">
        <f>IF(AND(D794="proMX",BD794=1),IF(OR(BF794="Draft",BF794="Submitted",BF794="Returned",BF794="Recall Requested"),MAX($CF$5:CF793)+1,""),"")</f>
        <v/>
      </c>
      <c r="CG794" s="80">
        <f>IF(BD794=0,0,IF(D794="Malcolm",1,MATCH(BF794,{"Draft","Submitted","Approved","Returned","Recall Requested","Cancelled"},0)+1))</f>
        <v>0</v>
      </c>
      <c r="CH794" s="80">
        <f>IF(AND(BF794="Submitted",ISNUMBER(V794)),IF(V794&gt;CFG_MAXD,1,0),0)</f>
        <v>0</v>
      </c>
    </row>
    <row r="795">
      <c r="A795" s="71" t="str">
        <f>IF(Y795=1,ROW()-5,"")</f>
        <v/>
      </c>
      <c r="B795" s="72" t="n"/>
      <c r="C795" s="71" t="str">
        <f>IF(ISNUMBER(B795),CHOOSE(WEEKDAY(B795,2),"Lun","Mar","Mié","Jue","Vie","Sáb","Dom"),"")</f>
        <v/>
      </c>
      <c r="D795" s="73" t="n"/>
      <c r="E795" s="74" t="n"/>
      <c r="F795" s="74" t="n"/>
      <c r="G795" s="74" t="n"/>
      <c r="H795" s="75" t="n"/>
      <c r="I795" s="75" t="n"/>
      <c r="J795" s="76" t="n"/>
      <c r="K795" s="77" t="str">
        <f>IF(AB795=1,ROUND(AG795/60,4),"")</f>
        <v/>
      </c>
      <c r="L795" s="77" t="str">
        <f>IF(BD795=1,ROUND(AP795/60,4),"")</f>
        <v/>
      </c>
      <c r="M795" s="77" t="str">
        <f>IF(BD795=1,ROUND(AQ795/60,4),"")</f>
        <v/>
      </c>
      <c r="N795" s="71" t="str">
        <f>IF(AND(D795="proMX",AB795=1),ROUND(AG795/CFG_BLK,2),"")</f>
        <v/>
      </c>
      <c r="O795" s="77" t="str">
        <f>IF(D795="proMX",IF(BD795=1,ROUND(AG795/60,4),0),"")</f>
        <v/>
      </c>
      <c r="P795" s="78" t="str">
        <f>IF(Y795=0,"",IF(BD795=1,"OK",IF(D795="proMX","Revisar bloques: ","Revisar: ")&amp;BC795))</f>
        <v/>
      </c>
      <c r="Q795" s="78" t="str">
        <f>IF(NOT(ISNUMBER(B795)),"",IF(COUNTIFS(FER_F,INT(B795))&gt;0,"Feriado"&amp;IF(AH795=1," (laborable)"," (no laborable)"),IF(AH795=1,"Laborable",IF(WEEKDAY(B795,2)&gt;5,"Fin de semana","No laborable"))))</f>
        <v/>
      </c>
      <c r="R795" s="73" t="n"/>
      <c r="S795" s="72" t="n"/>
      <c r="T795" s="72" t="n"/>
      <c r="U795" s="74" t="n"/>
      <c r="V795" s="79" t="str">
        <f>IF(AND(D795="proMX",OR(R795="Submitted",R795="Recall Requested"),ISNUMBER(S795)),CFG_TODAY-INT(S795),"")</f>
        <v/>
      </c>
      <c r="W795" s="78" t="str">
        <f>IF(BD795=0,"",IF(BA795&gt;0,"⚠ Se superpone con un registro de la otra empresa",IF(D795="Malcolm",IF(COUNTA(R795,S795,T795)&gt;0,"Estado/fechas proMX se ignoran en Malcolm",""),IF(BF795="Cancelled","Cancelado: excluido de totales",IF(R795="","Sin estado: se trata como Draft",IF(BF795="Submitted",IF(ISNUMBER(V795),IF(V795&gt;CFG_MAXD,"⚠ "&amp;V795&amp;" días en Submitted (máx. "&amp;CFG_MAXD&amp;")",""),"Falta fecha de envío"),IF(BF795="Returned","⚠ Devuelto: corregir y reenviar",IF(BF795="Recall Requested","Retirada solicitada: pendiente",IF(AND(BF795="Approved",NOT(ISNUMBER(T795))),"Falta fecha de aprobación",IF(AND(ISNUMBER(S795),ISNUMBER(T795),T795&lt;S795),"Aprobación anterior al envío","")))))))))</f>
        <v/>
      </c>
      <c r="Y795" s="80">
        <f>IF(COUNTA(B795,D795,E795,F795,G795,H795,I795,J795,R795,S795,T795)&gt;0,1,0)</f>
        <v>0</v>
      </c>
      <c r="Z795" s="80" t="str">
        <f>IF(AND(ISNUMBER(H795),H795&gt;=0,H795&lt;1),ROUND(H795*1440,0),"")</f>
        <v/>
      </c>
      <c r="AA795" s="80" t="str">
        <f>IF(AND(ISNUMBER(I795),I795&gt;=0,I795&lt;1),ROUND(I795*1440,0),"")</f>
        <v/>
      </c>
      <c r="AB795" s="80">
        <f>IF(AND(ISNUMBER(B795),D795&lt;&gt;"",ISNUMBER(Z795),ISNUMBER(AA795)),IF(Z795=AA795,0,1),0)</f>
        <v>0</v>
      </c>
      <c r="AC795" s="80">
        <f>IF(AB795=1,IF(AA795&lt;Z795,1,0),0)</f>
        <v>0</v>
      </c>
      <c r="AD795" s="80">
        <f>IF(AB795=1,IF(AC795=1,1440-Z795+AA795,AA795-Z795),0)</f>
        <v>0</v>
      </c>
      <c r="AE795" s="80">
        <f>IF(J795="",0,IF(ISNUMBER(J795),J795,-1))</f>
        <v>0</v>
      </c>
      <c r="AF795" s="80">
        <f>MIN(MAX(0,AE795),AD795)</f>
        <v>0</v>
      </c>
      <c r="AG795" s="80">
        <f>MAX(0,AD795-MAX(0,AE795))</f>
        <v>0</v>
      </c>
      <c r="AH795" s="80">
        <f>IF(ISNUMBER(B795),IF(AND(INDEX(CFG_WDAYS,WEEKDAY(INT(B795),2))="Sí",IF(D795="proMX",COUNTIFS(FER_F,INT(B795),FER_NLP,"Sí"),COUNTIFS(FER_F,INT(B795),FER_NLM,"Sí"))=0),1,0),0)</f>
        <v>0</v>
      </c>
      <c r="AI795" s="80">
        <f>IF(AC795=1,IF(AND(INDEX(CFG_WDAYS,WEEKDAY(INT(B795)+1,2))="Sí",IF(D795="proMX",COUNTIFS(FER_F,INT(B795)+1,FER_NLP,"Sí"),COUNTIFS(FER_F,INT(B795)+1,FER_NLM,"Sí"))=0),1,0),0)</f>
        <v>0</v>
      </c>
      <c r="AJ795" s="80">
        <f>IF(AC795=1,1440-Z795,AD795)</f>
        <v>0</v>
      </c>
      <c r="AK795" s="80">
        <f>IF(AND(AB795=1,AH795=1),MAX(0,MIN(IF(AC795=1,1440,AA795),CFG_WEM)-MAX(Z795,CFG_WSM)),0)</f>
        <v>0</v>
      </c>
      <c r="AL795" s="80">
        <f>IF(AND(AC795=1,AI795=1),MAX(0,MIN(AA795,CFG_WEM)-CFG_WSM),0)</f>
        <v>0</v>
      </c>
      <c r="AM795" s="80">
        <f>AK795+AL795</f>
        <v>0</v>
      </c>
      <c r="AN795" s="80">
        <f>IF(CFG_BRK="Proporcional",IF(AD795=0,0,AF795*AM795/AD795),IF(CFG_BRK="Extras primero",MIN(AM795,MAX(0,AF795-(AD795-AM795))),MIN(AF795,AM795)))</f>
        <v>0</v>
      </c>
      <c r="AO795" s="80">
        <f>AF795-AN795</f>
        <v>0</v>
      </c>
      <c r="AP795" s="80">
        <f>AM795-AN795</f>
        <v>0</v>
      </c>
      <c r="AQ795" s="80">
        <f>AD795-AM795-AO795</f>
        <v>0</v>
      </c>
      <c r="AR795" s="80">
        <f>IF(AM795=0,0,AK795-AN795*AK795/AM795)</f>
        <v>0</v>
      </c>
      <c r="AS795" s="80">
        <f>IF(AD795-AM795=0,0,(AJ795-AK795)-AO795*(AJ795-AK795)/(AD795-AM795))</f>
        <v>0</v>
      </c>
      <c r="AT795" s="80" t="str">
        <f>IF(AC795=1,INT(B795)+1,"")</f>
        <v/>
      </c>
      <c r="AU795" s="80">
        <f>IF(AND(D795="proMX",R795="Cancelled"),0,1)</f>
        <v>1</v>
      </c>
      <c r="AV795" s="80">
        <f>IF(AND(AB795=1,AU795=1),IF(COUNTIFS($D$5:D794,D795,$B$5:B794,B795,$Z$5:Z794,Z795,$AA$5:AA794,AA795,$F$5:F794,F795&amp;"",$AU$5:AU794,1)&gt;0,1,0),0)</f>
        <v>0</v>
      </c>
      <c r="AW795" s="80" t="str">
        <f>IF(AB795=1,INT(B795)*1440+Z795,"")</f>
        <v/>
      </c>
      <c r="AX795" s="80" t="str">
        <f>IF(AB795=1,AW795+AD795,"")</f>
        <v/>
      </c>
      <c r="AY795" s="80">
        <f>IF(AND(AB795=1,AV795=0,AU795=1),1,0)</f>
        <v>0</v>
      </c>
      <c r="AZ795" s="80">
        <f>IF(AY795=1,COUNTIFS(R_Emp,D795,R_SAbs,"&lt;"&amp;AX795,R_EAbs,"&gt;"&amp;AW795,R_OKey,1)-1,0)</f>
        <v>0</v>
      </c>
      <c r="BA795" s="80">
        <f>IF(AY795=1,COUNTIFS(R_Emp,"&lt;&gt;"&amp;D795,R_SAbs,"&lt;"&amp;AX795,R_EAbs,"&gt;"&amp;AW795,R_OKey,1),0)</f>
        <v>0</v>
      </c>
      <c r="BB795" s="80">
        <f>IF(AND(AB795=1,D795="proMX"),IF(AND(MOD(Z795,CFG_BLK)=0,MOD(AA795,CFG_BLK)=0,MOD(AG795,CFG_BLK)=0,AG795&gt;0),1,0),1)</f>
        <v>1</v>
      </c>
      <c r="BC795" s="80" t="str">
        <f>IF(Y795=0,"",IF(NOT(ISNUMBER(B795)),"Falta fecha o fecha inválida",IF(D795="","Falta empresa",IF(AND(D795&lt;&gt;"Malcolm",D795&lt;&gt;"proMX"),"Empresa inválida",IF(OR(INT(B795)&lt;CFG_PSTART,INT(B795)&gt;CFG_PEND),"Fecha fuera del período",IF(OR(NOT(ISNUMBER(Z795)),NOT(ISNUMBER(AA795))),"Falta hora inicio/fin o formato inválido",IF(AB795=0,"Hora inicio = hora fin",IF(AE795&lt;0,"Descanso inválido",IF(AE795&gt;=AD795,"Descanso ≥ duración",IF(AV795=1,"Registro duplicado",IF(AZ795&gt;0,"Se superpone con otro registro "&amp;D795,IF(BB795=0,"inicio, fin y duración neta deben ser múltiplos de "&amp;CFG_BLK&amp;" min",""))))))))))))</f>
        <v/>
      </c>
      <c r="BD795" s="80">
        <f>IF(AND(Y795=1,BC795=""),1,0)</f>
        <v>0</v>
      </c>
      <c r="BE795" s="80">
        <f>IF(AND(BD795=1,AU795=1),1,0)</f>
        <v>0</v>
      </c>
      <c r="BF795" s="80" t="str">
        <f>IF(AND(D795="proMX",BD795=1),IF(R795="","Draft",R795),"")</f>
        <v/>
      </c>
      <c r="BG795" s="80">
        <f>IF(BD795=1,ROUND(AG795/60,6),0)</f>
        <v>0</v>
      </c>
      <c r="BH795" s="80">
        <f>IF(BE795=1,ROUND(AG795/60,6),0)</f>
        <v>0</v>
      </c>
      <c r="BI795" s="80">
        <f>IF(BE795=1,ROUND(AP795/60,6),0)</f>
        <v>0</v>
      </c>
      <c r="BJ795" s="80">
        <f>IF(BE795=1,ROUND(AQ795/60,6),0)</f>
        <v>0</v>
      </c>
      <c r="BK795" s="80">
        <f>IF(BE795=1,ROUND((AR795+AS795)/60,6),0)</f>
        <v>0</v>
      </c>
      <c r="BL795" s="80">
        <f>ROUND(BH795-BK795,6)</f>
        <v>0</v>
      </c>
      <c r="BM795" s="80">
        <f>IF(BE795=1,ROUND(AR795/60,6),0)</f>
        <v>0</v>
      </c>
      <c r="BN795" s="80">
        <f>ROUND(BI795-BM795,6)</f>
        <v>0</v>
      </c>
      <c r="BO795" s="80">
        <f>IF(BE795=1,ROUND(AS795/60,6),0)</f>
        <v>0</v>
      </c>
      <c r="BP795" s="80">
        <f>ROUND(BJ795-BO795,6)</f>
        <v>0</v>
      </c>
      <c r="BQ795" s="80">
        <f>IF(BE795=1,AW795,0)</f>
        <v>0</v>
      </c>
      <c r="BR795" s="80">
        <f>IF(BE795=1,AX795,0)</f>
        <v>0</v>
      </c>
      <c r="BS795" s="80">
        <f>IF(AND(BE795=1,D795="Malcolm",BA795&gt;0),MIN(BH795,SUMPRODUCT((R_Emp="proMX")*(R_EN&gt;0)*((R_EN-(R_EN&gt;BR795)*(R_EN-BR795))&gt;(R_SN+(R_SN&lt;BQ795)*(BQ795-R_SN)))*((R_EN-(R_EN&gt;BR795)*(R_EN-BR795))-(R_SN+(R_SN&lt;BQ795)*(BQ795-R_SN))))/60),0)</f>
        <v>0</v>
      </c>
      <c r="BT795" s="80">
        <f>IF(AND(BE795=1,D795="proMX"),ROUND(BI795*CFG_RATE+BJ795*CFG_OTRATE,6),0)</f>
        <v>0</v>
      </c>
      <c r="BU795" s="80">
        <f>IF(AND(BD795=1,D795="proMX"),ROUND(AG795/CFG_BLK,6),0)</f>
        <v>0</v>
      </c>
      <c r="BV795" s="80" t="str">
        <f>IF(BF795="Approved",IF(ISNUMBER(T795),INT(T795),INT(B795)),"")</f>
        <v/>
      </c>
      <c r="BW795" s="80">
        <f>IF(ISNUMBER(B795),IF(DB_MON="Todos",1,IF(AND(INT(B795)&gt;=DB_MS,INT(B795)&lt;=DB_ME),1,0)),0)</f>
        <v>0</v>
      </c>
      <c r="BX795" s="80">
        <f>IF(DB_PROJ="Todos",1,IF(E795&amp;""=DB_PROJ&amp;"",1,0))</f>
        <v>1</v>
      </c>
      <c r="BY795" s="80">
        <f>BW795*BX795</f>
        <v>0</v>
      </c>
      <c r="BZ795" s="80" t="str">
        <f>IF(Y795=1,F795&amp;IF(AND(F795&amp;""&lt;&gt;"",E795&amp;""&lt;&gt;"")," · ","")&amp;E795,"")</f>
        <v/>
      </c>
      <c r="CA795" s="80" t="str">
        <f>IF(AND(BD795=1,E795&amp;""&lt;&gt;""),IF(COUNTIFS($E$5:E794,E795,$BD$5:BD794,1)=0,MAX($CA$5:CA794)+1,""),"")</f>
        <v/>
      </c>
      <c r="CB795" s="80" t="str">
        <f>IF(AND(BE795=1,D795="Malcolm",E795&amp;""&lt;&gt;""),IF(COUNTIFS($D$5:D794,"Malcolm",$E$5:E794,E795,$BE$5:BE794,1)=0,MAX($CB$5:CB794)+1,""),"")</f>
        <v/>
      </c>
      <c r="CC795" s="80" t="str">
        <f>IF(AND(BD795=1,D795="proMX",E795&amp;""&lt;&gt;""),IF(COUNTIFS($D$5:D794,"proMX",$E$5:E794,E795,$BD$5:BD794,1)=0,MAX($CC$5:CC794)+1,""),"")</f>
        <v/>
      </c>
      <c r="CD795" s="80" t="str">
        <f>IF(AND(BE795=1,D795="Malcolm",F795&amp;""&lt;&gt;""),IF(COUNTIFS($D$5:D794,"Malcolm",$F$5:F794,F795,$BE$5:BE794,1)=0,MAX($CD$5:CD794)+1,""),"")</f>
        <v/>
      </c>
      <c r="CE795" s="80" t="str">
        <f>IF(AND(BD795=1,D795="proMX",F795&amp;""&lt;&gt;""),IF(COUNTIFS($D$5:D794,"proMX",$F$5:F794,F795,$BD$5:BD794,1)=0,MAX($CE$5:CE794)+1,""),"")</f>
        <v/>
      </c>
      <c r="CF795" s="80" t="str">
        <f>IF(AND(D795="proMX",BD795=1),IF(OR(BF795="Draft",BF795="Submitted",BF795="Returned",BF795="Recall Requested"),MAX($CF$5:CF794)+1,""),"")</f>
        <v/>
      </c>
      <c r="CG795" s="80">
        <f>IF(BD795=0,0,IF(D795="Malcolm",1,MATCH(BF795,{"Draft","Submitted","Approved","Returned","Recall Requested","Cancelled"},0)+1))</f>
        <v>0</v>
      </c>
      <c r="CH795" s="80">
        <f>IF(AND(BF795="Submitted",ISNUMBER(V795)),IF(V795&gt;CFG_MAXD,1,0),0)</f>
        <v>0</v>
      </c>
    </row>
    <row r="796">
      <c r="A796" s="71" t="str">
        <f>IF(Y796=1,ROW()-5,"")</f>
        <v/>
      </c>
      <c r="B796" s="72" t="n"/>
      <c r="C796" s="71" t="str">
        <f>IF(ISNUMBER(B796),CHOOSE(WEEKDAY(B796,2),"Lun","Mar","Mié","Jue","Vie","Sáb","Dom"),"")</f>
        <v/>
      </c>
      <c r="D796" s="73" t="n"/>
      <c r="E796" s="74" t="n"/>
      <c r="F796" s="74" t="n"/>
      <c r="G796" s="74" t="n"/>
      <c r="H796" s="75" t="n"/>
      <c r="I796" s="75" t="n"/>
      <c r="J796" s="76" t="n"/>
      <c r="K796" s="77" t="str">
        <f>IF(AB796=1,ROUND(AG796/60,4),"")</f>
        <v/>
      </c>
      <c r="L796" s="77" t="str">
        <f>IF(BD796=1,ROUND(AP796/60,4),"")</f>
        <v/>
      </c>
      <c r="M796" s="77" t="str">
        <f>IF(BD796=1,ROUND(AQ796/60,4),"")</f>
        <v/>
      </c>
      <c r="N796" s="71" t="str">
        <f>IF(AND(D796="proMX",AB796=1),ROUND(AG796/CFG_BLK,2),"")</f>
        <v/>
      </c>
      <c r="O796" s="77" t="str">
        <f>IF(D796="proMX",IF(BD796=1,ROUND(AG796/60,4),0),"")</f>
        <v/>
      </c>
      <c r="P796" s="78" t="str">
        <f>IF(Y796=0,"",IF(BD796=1,"OK",IF(D796="proMX","Revisar bloques: ","Revisar: ")&amp;BC796))</f>
        <v/>
      </c>
      <c r="Q796" s="78" t="str">
        <f>IF(NOT(ISNUMBER(B796)),"",IF(COUNTIFS(FER_F,INT(B796))&gt;0,"Feriado"&amp;IF(AH796=1," (laborable)"," (no laborable)"),IF(AH796=1,"Laborable",IF(WEEKDAY(B796,2)&gt;5,"Fin de semana","No laborable"))))</f>
        <v/>
      </c>
      <c r="R796" s="73" t="n"/>
      <c r="S796" s="72" t="n"/>
      <c r="T796" s="72" t="n"/>
      <c r="U796" s="74" t="n"/>
      <c r="V796" s="79" t="str">
        <f>IF(AND(D796="proMX",OR(R796="Submitted",R796="Recall Requested"),ISNUMBER(S796)),CFG_TODAY-INT(S796),"")</f>
        <v/>
      </c>
      <c r="W796" s="78" t="str">
        <f>IF(BD796=0,"",IF(BA796&gt;0,"⚠ Se superpone con un registro de la otra empresa",IF(D796="Malcolm",IF(COUNTA(R796,S796,T796)&gt;0,"Estado/fechas proMX se ignoran en Malcolm",""),IF(BF796="Cancelled","Cancelado: excluido de totales",IF(R796="","Sin estado: se trata como Draft",IF(BF796="Submitted",IF(ISNUMBER(V796),IF(V796&gt;CFG_MAXD,"⚠ "&amp;V796&amp;" días en Submitted (máx. "&amp;CFG_MAXD&amp;")",""),"Falta fecha de envío"),IF(BF796="Returned","⚠ Devuelto: corregir y reenviar",IF(BF796="Recall Requested","Retirada solicitada: pendiente",IF(AND(BF796="Approved",NOT(ISNUMBER(T796))),"Falta fecha de aprobación",IF(AND(ISNUMBER(S796),ISNUMBER(T796),T796&lt;S796),"Aprobación anterior al envío","")))))))))</f>
        <v/>
      </c>
      <c r="Y796" s="80">
        <f>IF(COUNTA(B796,D796,E796,F796,G796,H796,I796,J796,R796,S796,T796)&gt;0,1,0)</f>
        <v>0</v>
      </c>
      <c r="Z796" s="80" t="str">
        <f>IF(AND(ISNUMBER(H796),H796&gt;=0,H796&lt;1),ROUND(H796*1440,0),"")</f>
        <v/>
      </c>
      <c r="AA796" s="80" t="str">
        <f>IF(AND(ISNUMBER(I796),I796&gt;=0,I796&lt;1),ROUND(I796*1440,0),"")</f>
        <v/>
      </c>
      <c r="AB796" s="80">
        <f>IF(AND(ISNUMBER(B796),D796&lt;&gt;"",ISNUMBER(Z796),ISNUMBER(AA796)),IF(Z796=AA796,0,1),0)</f>
        <v>0</v>
      </c>
      <c r="AC796" s="80">
        <f>IF(AB796=1,IF(AA796&lt;Z796,1,0),0)</f>
        <v>0</v>
      </c>
      <c r="AD796" s="80">
        <f>IF(AB796=1,IF(AC796=1,1440-Z796+AA796,AA796-Z796),0)</f>
        <v>0</v>
      </c>
      <c r="AE796" s="80">
        <f>IF(J796="",0,IF(ISNUMBER(J796),J796,-1))</f>
        <v>0</v>
      </c>
      <c r="AF796" s="80">
        <f>MIN(MAX(0,AE796),AD796)</f>
        <v>0</v>
      </c>
      <c r="AG796" s="80">
        <f>MAX(0,AD796-MAX(0,AE796))</f>
        <v>0</v>
      </c>
      <c r="AH796" s="80">
        <f>IF(ISNUMBER(B796),IF(AND(INDEX(CFG_WDAYS,WEEKDAY(INT(B796),2))="Sí",IF(D796="proMX",COUNTIFS(FER_F,INT(B796),FER_NLP,"Sí"),COUNTIFS(FER_F,INT(B796),FER_NLM,"Sí"))=0),1,0),0)</f>
        <v>0</v>
      </c>
      <c r="AI796" s="80">
        <f>IF(AC796=1,IF(AND(INDEX(CFG_WDAYS,WEEKDAY(INT(B796)+1,2))="Sí",IF(D796="proMX",COUNTIFS(FER_F,INT(B796)+1,FER_NLP,"Sí"),COUNTIFS(FER_F,INT(B796)+1,FER_NLM,"Sí"))=0),1,0),0)</f>
        <v>0</v>
      </c>
      <c r="AJ796" s="80">
        <f>IF(AC796=1,1440-Z796,AD796)</f>
        <v>0</v>
      </c>
      <c r="AK796" s="80">
        <f>IF(AND(AB796=1,AH796=1),MAX(0,MIN(IF(AC796=1,1440,AA796),CFG_WEM)-MAX(Z796,CFG_WSM)),0)</f>
        <v>0</v>
      </c>
      <c r="AL796" s="80">
        <f>IF(AND(AC796=1,AI796=1),MAX(0,MIN(AA796,CFG_WEM)-CFG_WSM),0)</f>
        <v>0</v>
      </c>
      <c r="AM796" s="80">
        <f>AK796+AL796</f>
        <v>0</v>
      </c>
      <c r="AN796" s="80">
        <f>IF(CFG_BRK="Proporcional",IF(AD796=0,0,AF796*AM796/AD796),IF(CFG_BRK="Extras primero",MIN(AM796,MAX(0,AF796-(AD796-AM796))),MIN(AF796,AM796)))</f>
        <v>0</v>
      </c>
      <c r="AO796" s="80">
        <f>AF796-AN796</f>
        <v>0</v>
      </c>
      <c r="AP796" s="80">
        <f>AM796-AN796</f>
        <v>0</v>
      </c>
      <c r="AQ796" s="80">
        <f>AD796-AM796-AO796</f>
        <v>0</v>
      </c>
      <c r="AR796" s="80">
        <f>IF(AM796=0,0,AK796-AN796*AK796/AM796)</f>
        <v>0</v>
      </c>
      <c r="AS796" s="80">
        <f>IF(AD796-AM796=0,0,(AJ796-AK796)-AO796*(AJ796-AK796)/(AD796-AM796))</f>
        <v>0</v>
      </c>
      <c r="AT796" s="80" t="str">
        <f>IF(AC796=1,INT(B796)+1,"")</f>
        <v/>
      </c>
      <c r="AU796" s="80">
        <f>IF(AND(D796="proMX",R796="Cancelled"),0,1)</f>
        <v>1</v>
      </c>
      <c r="AV796" s="80">
        <f>IF(AND(AB796=1,AU796=1),IF(COUNTIFS($D$5:D795,D796,$B$5:B795,B796,$Z$5:Z795,Z796,$AA$5:AA795,AA796,$F$5:F795,F796&amp;"",$AU$5:AU795,1)&gt;0,1,0),0)</f>
        <v>0</v>
      </c>
      <c r="AW796" s="80" t="str">
        <f>IF(AB796=1,INT(B796)*1440+Z796,"")</f>
        <v/>
      </c>
      <c r="AX796" s="80" t="str">
        <f>IF(AB796=1,AW796+AD796,"")</f>
        <v/>
      </c>
      <c r="AY796" s="80">
        <f>IF(AND(AB796=1,AV796=0,AU796=1),1,0)</f>
        <v>0</v>
      </c>
      <c r="AZ796" s="80">
        <f>IF(AY796=1,COUNTIFS(R_Emp,D796,R_SAbs,"&lt;"&amp;AX796,R_EAbs,"&gt;"&amp;AW796,R_OKey,1)-1,0)</f>
        <v>0</v>
      </c>
      <c r="BA796" s="80">
        <f>IF(AY796=1,COUNTIFS(R_Emp,"&lt;&gt;"&amp;D796,R_SAbs,"&lt;"&amp;AX796,R_EAbs,"&gt;"&amp;AW796,R_OKey,1),0)</f>
        <v>0</v>
      </c>
      <c r="BB796" s="80">
        <f>IF(AND(AB796=1,D796="proMX"),IF(AND(MOD(Z796,CFG_BLK)=0,MOD(AA796,CFG_BLK)=0,MOD(AG796,CFG_BLK)=0,AG796&gt;0),1,0),1)</f>
        <v>1</v>
      </c>
      <c r="BC796" s="80" t="str">
        <f>IF(Y796=0,"",IF(NOT(ISNUMBER(B796)),"Falta fecha o fecha inválida",IF(D796="","Falta empresa",IF(AND(D796&lt;&gt;"Malcolm",D796&lt;&gt;"proMX"),"Empresa inválida",IF(OR(INT(B796)&lt;CFG_PSTART,INT(B796)&gt;CFG_PEND),"Fecha fuera del período",IF(OR(NOT(ISNUMBER(Z796)),NOT(ISNUMBER(AA796))),"Falta hora inicio/fin o formato inválido",IF(AB796=0,"Hora inicio = hora fin",IF(AE796&lt;0,"Descanso inválido",IF(AE796&gt;=AD796,"Descanso ≥ duración",IF(AV796=1,"Registro duplicado",IF(AZ796&gt;0,"Se superpone con otro registro "&amp;D796,IF(BB796=0,"inicio, fin y duración neta deben ser múltiplos de "&amp;CFG_BLK&amp;" min",""))))))))))))</f>
        <v/>
      </c>
      <c r="BD796" s="80">
        <f>IF(AND(Y796=1,BC796=""),1,0)</f>
        <v>0</v>
      </c>
      <c r="BE796" s="80">
        <f>IF(AND(BD796=1,AU796=1),1,0)</f>
        <v>0</v>
      </c>
      <c r="BF796" s="80" t="str">
        <f>IF(AND(D796="proMX",BD796=1),IF(R796="","Draft",R796),"")</f>
        <v/>
      </c>
      <c r="BG796" s="80">
        <f>IF(BD796=1,ROUND(AG796/60,6),0)</f>
        <v>0</v>
      </c>
      <c r="BH796" s="80">
        <f>IF(BE796=1,ROUND(AG796/60,6),0)</f>
        <v>0</v>
      </c>
      <c r="BI796" s="80">
        <f>IF(BE796=1,ROUND(AP796/60,6),0)</f>
        <v>0</v>
      </c>
      <c r="BJ796" s="80">
        <f>IF(BE796=1,ROUND(AQ796/60,6),0)</f>
        <v>0</v>
      </c>
      <c r="BK796" s="80">
        <f>IF(BE796=1,ROUND((AR796+AS796)/60,6),0)</f>
        <v>0</v>
      </c>
      <c r="BL796" s="80">
        <f>ROUND(BH796-BK796,6)</f>
        <v>0</v>
      </c>
      <c r="BM796" s="80">
        <f>IF(BE796=1,ROUND(AR796/60,6),0)</f>
        <v>0</v>
      </c>
      <c r="BN796" s="80">
        <f>ROUND(BI796-BM796,6)</f>
        <v>0</v>
      </c>
      <c r="BO796" s="80">
        <f>IF(BE796=1,ROUND(AS796/60,6),0)</f>
        <v>0</v>
      </c>
      <c r="BP796" s="80">
        <f>ROUND(BJ796-BO796,6)</f>
        <v>0</v>
      </c>
      <c r="BQ796" s="80">
        <f>IF(BE796=1,AW796,0)</f>
        <v>0</v>
      </c>
      <c r="BR796" s="80">
        <f>IF(BE796=1,AX796,0)</f>
        <v>0</v>
      </c>
      <c r="BS796" s="80">
        <f>IF(AND(BE796=1,D796="Malcolm",BA796&gt;0),MIN(BH796,SUMPRODUCT((R_Emp="proMX")*(R_EN&gt;0)*((R_EN-(R_EN&gt;BR796)*(R_EN-BR796))&gt;(R_SN+(R_SN&lt;BQ796)*(BQ796-R_SN)))*((R_EN-(R_EN&gt;BR796)*(R_EN-BR796))-(R_SN+(R_SN&lt;BQ796)*(BQ796-R_SN))))/60),0)</f>
        <v>0</v>
      </c>
      <c r="BT796" s="80">
        <f>IF(AND(BE796=1,D796="proMX"),ROUND(BI796*CFG_RATE+BJ796*CFG_OTRATE,6),0)</f>
        <v>0</v>
      </c>
      <c r="BU796" s="80">
        <f>IF(AND(BD796=1,D796="proMX"),ROUND(AG796/CFG_BLK,6),0)</f>
        <v>0</v>
      </c>
      <c r="BV796" s="80" t="str">
        <f>IF(BF796="Approved",IF(ISNUMBER(T796),INT(T796),INT(B796)),"")</f>
        <v/>
      </c>
      <c r="BW796" s="80">
        <f>IF(ISNUMBER(B796),IF(DB_MON="Todos",1,IF(AND(INT(B796)&gt;=DB_MS,INT(B796)&lt;=DB_ME),1,0)),0)</f>
        <v>0</v>
      </c>
      <c r="BX796" s="80">
        <f>IF(DB_PROJ="Todos",1,IF(E796&amp;""=DB_PROJ&amp;"",1,0))</f>
        <v>1</v>
      </c>
      <c r="BY796" s="80">
        <f>BW796*BX796</f>
        <v>0</v>
      </c>
      <c r="BZ796" s="80" t="str">
        <f>IF(Y796=1,F796&amp;IF(AND(F796&amp;""&lt;&gt;"",E796&amp;""&lt;&gt;"")," · ","")&amp;E796,"")</f>
        <v/>
      </c>
      <c r="CA796" s="80" t="str">
        <f>IF(AND(BD796=1,E796&amp;""&lt;&gt;""),IF(COUNTIFS($E$5:E795,E796,$BD$5:BD795,1)=0,MAX($CA$5:CA795)+1,""),"")</f>
        <v/>
      </c>
      <c r="CB796" s="80" t="str">
        <f>IF(AND(BE796=1,D796="Malcolm",E796&amp;""&lt;&gt;""),IF(COUNTIFS($D$5:D795,"Malcolm",$E$5:E795,E796,$BE$5:BE795,1)=0,MAX($CB$5:CB795)+1,""),"")</f>
        <v/>
      </c>
      <c r="CC796" s="80" t="str">
        <f>IF(AND(BD796=1,D796="proMX",E796&amp;""&lt;&gt;""),IF(COUNTIFS($D$5:D795,"proMX",$E$5:E795,E796,$BD$5:BD795,1)=0,MAX($CC$5:CC795)+1,""),"")</f>
        <v/>
      </c>
      <c r="CD796" s="80" t="str">
        <f>IF(AND(BE796=1,D796="Malcolm",F796&amp;""&lt;&gt;""),IF(COUNTIFS($D$5:D795,"Malcolm",$F$5:F795,F796,$BE$5:BE795,1)=0,MAX($CD$5:CD795)+1,""),"")</f>
        <v/>
      </c>
      <c r="CE796" s="80" t="str">
        <f>IF(AND(BD796=1,D796="proMX",F796&amp;""&lt;&gt;""),IF(COUNTIFS($D$5:D795,"proMX",$F$5:F795,F796,$BD$5:BD795,1)=0,MAX($CE$5:CE795)+1,""),"")</f>
        <v/>
      </c>
      <c r="CF796" s="80" t="str">
        <f>IF(AND(D796="proMX",BD796=1),IF(OR(BF796="Draft",BF796="Submitted",BF796="Returned",BF796="Recall Requested"),MAX($CF$5:CF795)+1,""),"")</f>
        <v/>
      </c>
      <c r="CG796" s="80">
        <f>IF(BD796=0,0,IF(D796="Malcolm",1,MATCH(BF796,{"Draft","Submitted","Approved","Returned","Recall Requested","Cancelled"},0)+1))</f>
        <v>0</v>
      </c>
      <c r="CH796" s="80">
        <f>IF(AND(BF796="Submitted",ISNUMBER(V796)),IF(V796&gt;CFG_MAXD,1,0),0)</f>
        <v>0</v>
      </c>
    </row>
    <row r="797">
      <c r="A797" s="71" t="str">
        <f>IF(Y797=1,ROW()-5,"")</f>
        <v/>
      </c>
      <c r="B797" s="72" t="n"/>
      <c r="C797" s="71" t="str">
        <f>IF(ISNUMBER(B797),CHOOSE(WEEKDAY(B797,2),"Lun","Mar","Mié","Jue","Vie","Sáb","Dom"),"")</f>
        <v/>
      </c>
      <c r="D797" s="73" t="n"/>
      <c r="E797" s="74" t="n"/>
      <c r="F797" s="74" t="n"/>
      <c r="G797" s="74" t="n"/>
      <c r="H797" s="75" t="n"/>
      <c r="I797" s="75" t="n"/>
      <c r="J797" s="76" t="n"/>
      <c r="K797" s="77" t="str">
        <f>IF(AB797=1,ROUND(AG797/60,4),"")</f>
        <v/>
      </c>
      <c r="L797" s="77" t="str">
        <f>IF(BD797=1,ROUND(AP797/60,4),"")</f>
        <v/>
      </c>
      <c r="M797" s="77" t="str">
        <f>IF(BD797=1,ROUND(AQ797/60,4),"")</f>
        <v/>
      </c>
      <c r="N797" s="71" t="str">
        <f>IF(AND(D797="proMX",AB797=1),ROUND(AG797/CFG_BLK,2),"")</f>
        <v/>
      </c>
      <c r="O797" s="77" t="str">
        <f>IF(D797="proMX",IF(BD797=1,ROUND(AG797/60,4),0),"")</f>
        <v/>
      </c>
      <c r="P797" s="78" t="str">
        <f>IF(Y797=0,"",IF(BD797=1,"OK",IF(D797="proMX","Revisar bloques: ","Revisar: ")&amp;BC797))</f>
        <v/>
      </c>
      <c r="Q797" s="78" t="str">
        <f>IF(NOT(ISNUMBER(B797)),"",IF(COUNTIFS(FER_F,INT(B797))&gt;0,"Feriado"&amp;IF(AH797=1," (laborable)"," (no laborable)"),IF(AH797=1,"Laborable",IF(WEEKDAY(B797,2)&gt;5,"Fin de semana","No laborable"))))</f>
        <v/>
      </c>
      <c r="R797" s="73" t="n"/>
      <c r="S797" s="72" t="n"/>
      <c r="T797" s="72" t="n"/>
      <c r="U797" s="74" t="n"/>
      <c r="V797" s="79" t="str">
        <f>IF(AND(D797="proMX",OR(R797="Submitted",R797="Recall Requested"),ISNUMBER(S797)),CFG_TODAY-INT(S797),"")</f>
        <v/>
      </c>
      <c r="W797" s="78" t="str">
        <f>IF(BD797=0,"",IF(BA797&gt;0,"⚠ Se superpone con un registro de la otra empresa",IF(D797="Malcolm",IF(COUNTA(R797,S797,T797)&gt;0,"Estado/fechas proMX se ignoran en Malcolm",""),IF(BF797="Cancelled","Cancelado: excluido de totales",IF(R797="","Sin estado: se trata como Draft",IF(BF797="Submitted",IF(ISNUMBER(V797),IF(V797&gt;CFG_MAXD,"⚠ "&amp;V797&amp;" días en Submitted (máx. "&amp;CFG_MAXD&amp;")",""),"Falta fecha de envío"),IF(BF797="Returned","⚠ Devuelto: corregir y reenviar",IF(BF797="Recall Requested","Retirada solicitada: pendiente",IF(AND(BF797="Approved",NOT(ISNUMBER(T797))),"Falta fecha de aprobación",IF(AND(ISNUMBER(S797),ISNUMBER(T797),T797&lt;S797),"Aprobación anterior al envío","")))))))))</f>
        <v/>
      </c>
      <c r="Y797" s="80">
        <f>IF(COUNTA(B797,D797,E797,F797,G797,H797,I797,J797,R797,S797,T797)&gt;0,1,0)</f>
        <v>0</v>
      </c>
      <c r="Z797" s="80" t="str">
        <f>IF(AND(ISNUMBER(H797),H797&gt;=0,H797&lt;1),ROUND(H797*1440,0),"")</f>
        <v/>
      </c>
      <c r="AA797" s="80" t="str">
        <f>IF(AND(ISNUMBER(I797),I797&gt;=0,I797&lt;1),ROUND(I797*1440,0),"")</f>
        <v/>
      </c>
      <c r="AB797" s="80">
        <f>IF(AND(ISNUMBER(B797),D797&lt;&gt;"",ISNUMBER(Z797),ISNUMBER(AA797)),IF(Z797=AA797,0,1),0)</f>
        <v>0</v>
      </c>
      <c r="AC797" s="80">
        <f>IF(AB797=1,IF(AA797&lt;Z797,1,0),0)</f>
        <v>0</v>
      </c>
      <c r="AD797" s="80">
        <f>IF(AB797=1,IF(AC797=1,1440-Z797+AA797,AA797-Z797),0)</f>
        <v>0</v>
      </c>
      <c r="AE797" s="80">
        <f>IF(J797="",0,IF(ISNUMBER(J797),J797,-1))</f>
        <v>0</v>
      </c>
      <c r="AF797" s="80">
        <f>MIN(MAX(0,AE797),AD797)</f>
        <v>0</v>
      </c>
      <c r="AG797" s="80">
        <f>MAX(0,AD797-MAX(0,AE797))</f>
        <v>0</v>
      </c>
      <c r="AH797" s="80">
        <f>IF(ISNUMBER(B797),IF(AND(INDEX(CFG_WDAYS,WEEKDAY(INT(B797),2))="Sí",IF(D797="proMX",COUNTIFS(FER_F,INT(B797),FER_NLP,"Sí"),COUNTIFS(FER_F,INT(B797),FER_NLM,"Sí"))=0),1,0),0)</f>
        <v>0</v>
      </c>
      <c r="AI797" s="80">
        <f>IF(AC797=1,IF(AND(INDEX(CFG_WDAYS,WEEKDAY(INT(B797)+1,2))="Sí",IF(D797="proMX",COUNTIFS(FER_F,INT(B797)+1,FER_NLP,"Sí"),COUNTIFS(FER_F,INT(B797)+1,FER_NLM,"Sí"))=0),1,0),0)</f>
        <v>0</v>
      </c>
      <c r="AJ797" s="80">
        <f>IF(AC797=1,1440-Z797,AD797)</f>
        <v>0</v>
      </c>
      <c r="AK797" s="80">
        <f>IF(AND(AB797=1,AH797=1),MAX(0,MIN(IF(AC797=1,1440,AA797),CFG_WEM)-MAX(Z797,CFG_WSM)),0)</f>
        <v>0</v>
      </c>
      <c r="AL797" s="80">
        <f>IF(AND(AC797=1,AI797=1),MAX(0,MIN(AA797,CFG_WEM)-CFG_WSM),0)</f>
        <v>0</v>
      </c>
      <c r="AM797" s="80">
        <f>AK797+AL797</f>
        <v>0</v>
      </c>
      <c r="AN797" s="80">
        <f>IF(CFG_BRK="Proporcional",IF(AD797=0,0,AF797*AM797/AD797),IF(CFG_BRK="Extras primero",MIN(AM797,MAX(0,AF797-(AD797-AM797))),MIN(AF797,AM797)))</f>
        <v>0</v>
      </c>
      <c r="AO797" s="80">
        <f>AF797-AN797</f>
        <v>0</v>
      </c>
      <c r="AP797" s="80">
        <f>AM797-AN797</f>
        <v>0</v>
      </c>
      <c r="AQ797" s="80">
        <f>AD797-AM797-AO797</f>
        <v>0</v>
      </c>
      <c r="AR797" s="80">
        <f>IF(AM797=0,0,AK797-AN797*AK797/AM797)</f>
        <v>0</v>
      </c>
      <c r="AS797" s="80">
        <f>IF(AD797-AM797=0,0,(AJ797-AK797)-AO797*(AJ797-AK797)/(AD797-AM797))</f>
        <v>0</v>
      </c>
      <c r="AT797" s="80" t="str">
        <f>IF(AC797=1,INT(B797)+1,"")</f>
        <v/>
      </c>
      <c r="AU797" s="80">
        <f>IF(AND(D797="proMX",R797="Cancelled"),0,1)</f>
        <v>1</v>
      </c>
      <c r="AV797" s="80">
        <f>IF(AND(AB797=1,AU797=1),IF(COUNTIFS($D$5:D796,D797,$B$5:B796,B797,$Z$5:Z796,Z797,$AA$5:AA796,AA797,$F$5:F796,F797&amp;"",$AU$5:AU796,1)&gt;0,1,0),0)</f>
        <v>0</v>
      </c>
      <c r="AW797" s="80" t="str">
        <f>IF(AB797=1,INT(B797)*1440+Z797,"")</f>
        <v/>
      </c>
      <c r="AX797" s="80" t="str">
        <f>IF(AB797=1,AW797+AD797,"")</f>
        <v/>
      </c>
      <c r="AY797" s="80">
        <f>IF(AND(AB797=1,AV797=0,AU797=1),1,0)</f>
        <v>0</v>
      </c>
      <c r="AZ797" s="80">
        <f>IF(AY797=1,COUNTIFS(R_Emp,D797,R_SAbs,"&lt;"&amp;AX797,R_EAbs,"&gt;"&amp;AW797,R_OKey,1)-1,0)</f>
        <v>0</v>
      </c>
      <c r="BA797" s="80">
        <f>IF(AY797=1,COUNTIFS(R_Emp,"&lt;&gt;"&amp;D797,R_SAbs,"&lt;"&amp;AX797,R_EAbs,"&gt;"&amp;AW797,R_OKey,1),0)</f>
        <v>0</v>
      </c>
      <c r="BB797" s="80">
        <f>IF(AND(AB797=1,D797="proMX"),IF(AND(MOD(Z797,CFG_BLK)=0,MOD(AA797,CFG_BLK)=0,MOD(AG797,CFG_BLK)=0,AG797&gt;0),1,0),1)</f>
        <v>1</v>
      </c>
      <c r="BC797" s="80" t="str">
        <f>IF(Y797=0,"",IF(NOT(ISNUMBER(B797)),"Falta fecha o fecha inválida",IF(D797="","Falta empresa",IF(AND(D797&lt;&gt;"Malcolm",D797&lt;&gt;"proMX"),"Empresa inválida",IF(OR(INT(B797)&lt;CFG_PSTART,INT(B797)&gt;CFG_PEND),"Fecha fuera del período",IF(OR(NOT(ISNUMBER(Z797)),NOT(ISNUMBER(AA797))),"Falta hora inicio/fin o formato inválido",IF(AB797=0,"Hora inicio = hora fin",IF(AE797&lt;0,"Descanso inválido",IF(AE797&gt;=AD797,"Descanso ≥ duración",IF(AV797=1,"Registro duplicado",IF(AZ797&gt;0,"Se superpone con otro registro "&amp;D797,IF(BB797=0,"inicio, fin y duración neta deben ser múltiplos de "&amp;CFG_BLK&amp;" min",""))))))))))))</f>
        <v/>
      </c>
      <c r="BD797" s="80">
        <f>IF(AND(Y797=1,BC797=""),1,0)</f>
        <v>0</v>
      </c>
      <c r="BE797" s="80">
        <f>IF(AND(BD797=1,AU797=1),1,0)</f>
        <v>0</v>
      </c>
      <c r="BF797" s="80" t="str">
        <f>IF(AND(D797="proMX",BD797=1),IF(R797="","Draft",R797),"")</f>
        <v/>
      </c>
      <c r="BG797" s="80">
        <f>IF(BD797=1,ROUND(AG797/60,6),0)</f>
        <v>0</v>
      </c>
      <c r="BH797" s="80">
        <f>IF(BE797=1,ROUND(AG797/60,6),0)</f>
        <v>0</v>
      </c>
      <c r="BI797" s="80">
        <f>IF(BE797=1,ROUND(AP797/60,6),0)</f>
        <v>0</v>
      </c>
      <c r="BJ797" s="80">
        <f>IF(BE797=1,ROUND(AQ797/60,6),0)</f>
        <v>0</v>
      </c>
      <c r="BK797" s="80">
        <f>IF(BE797=1,ROUND((AR797+AS797)/60,6),0)</f>
        <v>0</v>
      </c>
      <c r="BL797" s="80">
        <f>ROUND(BH797-BK797,6)</f>
        <v>0</v>
      </c>
      <c r="BM797" s="80">
        <f>IF(BE797=1,ROUND(AR797/60,6),0)</f>
        <v>0</v>
      </c>
      <c r="BN797" s="80">
        <f>ROUND(BI797-BM797,6)</f>
        <v>0</v>
      </c>
      <c r="BO797" s="80">
        <f>IF(BE797=1,ROUND(AS797/60,6),0)</f>
        <v>0</v>
      </c>
      <c r="BP797" s="80">
        <f>ROUND(BJ797-BO797,6)</f>
        <v>0</v>
      </c>
      <c r="BQ797" s="80">
        <f>IF(BE797=1,AW797,0)</f>
        <v>0</v>
      </c>
      <c r="BR797" s="80">
        <f>IF(BE797=1,AX797,0)</f>
        <v>0</v>
      </c>
      <c r="BS797" s="80">
        <f>IF(AND(BE797=1,D797="Malcolm",BA797&gt;0),MIN(BH797,SUMPRODUCT((R_Emp="proMX")*(R_EN&gt;0)*((R_EN-(R_EN&gt;BR797)*(R_EN-BR797))&gt;(R_SN+(R_SN&lt;BQ797)*(BQ797-R_SN)))*((R_EN-(R_EN&gt;BR797)*(R_EN-BR797))-(R_SN+(R_SN&lt;BQ797)*(BQ797-R_SN))))/60),0)</f>
        <v>0</v>
      </c>
      <c r="BT797" s="80">
        <f>IF(AND(BE797=1,D797="proMX"),ROUND(BI797*CFG_RATE+BJ797*CFG_OTRATE,6),0)</f>
        <v>0</v>
      </c>
      <c r="BU797" s="80">
        <f>IF(AND(BD797=1,D797="proMX"),ROUND(AG797/CFG_BLK,6),0)</f>
        <v>0</v>
      </c>
      <c r="BV797" s="80" t="str">
        <f>IF(BF797="Approved",IF(ISNUMBER(T797),INT(T797),INT(B797)),"")</f>
        <v/>
      </c>
      <c r="BW797" s="80">
        <f>IF(ISNUMBER(B797),IF(DB_MON="Todos",1,IF(AND(INT(B797)&gt;=DB_MS,INT(B797)&lt;=DB_ME),1,0)),0)</f>
        <v>0</v>
      </c>
      <c r="BX797" s="80">
        <f>IF(DB_PROJ="Todos",1,IF(E797&amp;""=DB_PROJ&amp;"",1,0))</f>
        <v>1</v>
      </c>
      <c r="BY797" s="80">
        <f>BW797*BX797</f>
        <v>0</v>
      </c>
      <c r="BZ797" s="80" t="str">
        <f>IF(Y797=1,F797&amp;IF(AND(F797&amp;""&lt;&gt;"",E797&amp;""&lt;&gt;"")," · ","")&amp;E797,"")</f>
        <v/>
      </c>
      <c r="CA797" s="80" t="str">
        <f>IF(AND(BD797=1,E797&amp;""&lt;&gt;""),IF(COUNTIFS($E$5:E796,E797,$BD$5:BD796,1)=0,MAX($CA$5:CA796)+1,""),"")</f>
        <v/>
      </c>
      <c r="CB797" s="80" t="str">
        <f>IF(AND(BE797=1,D797="Malcolm",E797&amp;""&lt;&gt;""),IF(COUNTIFS($D$5:D796,"Malcolm",$E$5:E796,E797,$BE$5:BE796,1)=0,MAX($CB$5:CB796)+1,""),"")</f>
        <v/>
      </c>
      <c r="CC797" s="80" t="str">
        <f>IF(AND(BD797=1,D797="proMX",E797&amp;""&lt;&gt;""),IF(COUNTIFS($D$5:D796,"proMX",$E$5:E796,E797,$BD$5:BD796,1)=0,MAX($CC$5:CC796)+1,""),"")</f>
        <v/>
      </c>
      <c r="CD797" s="80" t="str">
        <f>IF(AND(BE797=1,D797="Malcolm",F797&amp;""&lt;&gt;""),IF(COUNTIFS($D$5:D796,"Malcolm",$F$5:F796,F797,$BE$5:BE796,1)=0,MAX($CD$5:CD796)+1,""),"")</f>
        <v/>
      </c>
      <c r="CE797" s="80" t="str">
        <f>IF(AND(BD797=1,D797="proMX",F797&amp;""&lt;&gt;""),IF(COUNTIFS($D$5:D796,"proMX",$F$5:F796,F797,$BD$5:BD796,1)=0,MAX($CE$5:CE796)+1,""),"")</f>
        <v/>
      </c>
      <c r="CF797" s="80" t="str">
        <f>IF(AND(D797="proMX",BD797=1),IF(OR(BF797="Draft",BF797="Submitted",BF797="Returned",BF797="Recall Requested"),MAX($CF$5:CF796)+1,""),"")</f>
        <v/>
      </c>
      <c r="CG797" s="80">
        <f>IF(BD797=0,0,IF(D797="Malcolm",1,MATCH(BF797,{"Draft","Submitted","Approved","Returned","Recall Requested","Cancelled"},0)+1))</f>
        <v>0</v>
      </c>
      <c r="CH797" s="80">
        <f>IF(AND(BF797="Submitted",ISNUMBER(V797)),IF(V797&gt;CFG_MAXD,1,0),0)</f>
        <v>0</v>
      </c>
    </row>
    <row r="798">
      <c r="A798" s="71" t="str">
        <f>IF(Y798=1,ROW()-5,"")</f>
        <v/>
      </c>
      <c r="B798" s="72" t="n"/>
      <c r="C798" s="71" t="str">
        <f>IF(ISNUMBER(B798),CHOOSE(WEEKDAY(B798,2),"Lun","Mar","Mié","Jue","Vie","Sáb","Dom"),"")</f>
        <v/>
      </c>
      <c r="D798" s="73" t="n"/>
      <c r="E798" s="74" t="n"/>
      <c r="F798" s="74" t="n"/>
      <c r="G798" s="74" t="n"/>
      <c r="H798" s="75" t="n"/>
      <c r="I798" s="75" t="n"/>
      <c r="J798" s="76" t="n"/>
      <c r="K798" s="77" t="str">
        <f>IF(AB798=1,ROUND(AG798/60,4),"")</f>
        <v/>
      </c>
      <c r="L798" s="77" t="str">
        <f>IF(BD798=1,ROUND(AP798/60,4),"")</f>
        <v/>
      </c>
      <c r="M798" s="77" t="str">
        <f>IF(BD798=1,ROUND(AQ798/60,4),"")</f>
        <v/>
      </c>
      <c r="N798" s="71" t="str">
        <f>IF(AND(D798="proMX",AB798=1),ROUND(AG798/CFG_BLK,2),"")</f>
        <v/>
      </c>
      <c r="O798" s="77" t="str">
        <f>IF(D798="proMX",IF(BD798=1,ROUND(AG798/60,4),0),"")</f>
        <v/>
      </c>
      <c r="P798" s="78" t="str">
        <f>IF(Y798=0,"",IF(BD798=1,"OK",IF(D798="proMX","Revisar bloques: ","Revisar: ")&amp;BC798))</f>
        <v/>
      </c>
      <c r="Q798" s="78" t="str">
        <f>IF(NOT(ISNUMBER(B798)),"",IF(COUNTIFS(FER_F,INT(B798))&gt;0,"Feriado"&amp;IF(AH798=1," (laborable)"," (no laborable)"),IF(AH798=1,"Laborable",IF(WEEKDAY(B798,2)&gt;5,"Fin de semana","No laborable"))))</f>
        <v/>
      </c>
      <c r="R798" s="73" t="n"/>
      <c r="S798" s="72" t="n"/>
      <c r="T798" s="72" t="n"/>
      <c r="U798" s="74" t="n"/>
      <c r="V798" s="79" t="str">
        <f>IF(AND(D798="proMX",OR(R798="Submitted",R798="Recall Requested"),ISNUMBER(S798)),CFG_TODAY-INT(S798),"")</f>
        <v/>
      </c>
      <c r="W798" s="78" t="str">
        <f>IF(BD798=0,"",IF(BA798&gt;0,"⚠ Se superpone con un registro de la otra empresa",IF(D798="Malcolm",IF(COUNTA(R798,S798,T798)&gt;0,"Estado/fechas proMX se ignoran en Malcolm",""),IF(BF798="Cancelled","Cancelado: excluido de totales",IF(R798="","Sin estado: se trata como Draft",IF(BF798="Submitted",IF(ISNUMBER(V798),IF(V798&gt;CFG_MAXD,"⚠ "&amp;V798&amp;" días en Submitted (máx. "&amp;CFG_MAXD&amp;")",""),"Falta fecha de envío"),IF(BF798="Returned","⚠ Devuelto: corregir y reenviar",IF(BF798="Recall Requested","Retirada solicitada: pendiente",IF(AND(BF798="Approved",NOT(ISNUMBER(T798))),"Falta fecha de aprobación",IF(AND(ISNUMBER(S798),ISNUMBER(T798),T798&lt;S798),"Aprobación anterior al envío","")))))))))</f>
        <v/>
      </c>
      <c r="Y798" s="80">
        <f>IF(COUNTA(B798,D798,E798,F798,G798,H798,I798,J798,R798,S798,T798)&gt;0,1,0)</f>
        <v>0</v>
      </c>
      <c r="Z798" s="80" t="str">
        <f>IF(AND(ISNUMBER(H798),H798&gt;=0,H798&lt;1),ROUND(H798*1440,0),"")</f>
        <v/>
      </c>
      <c r="AA798" s="80" t="str">
        <f>IF(AND(ISNUMBER(I798),I798&gt;=0,I798&lt;1),ROUND(I798*1440,0),"")</f>
        <v/>
      </c>
      <c r="AB798" s="80">
        <f>IF(AND(ISNUMBER(B798),D798&lt;&gt;"",ISNUMBER(Z798),ISNUMBER(AA798)),IF(Z798=AA798,0,1),0)</f>
        <v>0</v>
      </c>
      <c r="AC798" s="80">
        <f>IF(AB798=1,IF(AA798&lt;Z798,1,0),0)</f>
        <v>0</v>
      </c>
      <c r="AD798" s="80">
        <f>IF(AB798=1,IF(AC798=1,1440-Z798+AA798,AA798-Z798),0)</f>
        <v>0</v>
      </c>
      <c r="AE798" s="80">
        <f>IF(J798="",0,IF(ISNUMBER(J798),J798,-1))</f>
        <v>0</v>
      </c>
      <c r="AF798" s="80">
        <f>MIN(MAX(0,AE798),AD798)</f>
        <v>0</v>
      </c>
      <c r="AG798" s="80">
        <f>MAX(0,AD798-MAX(0,AE798))</f>
        <v>0</v>
      </c>
      <c r="AH798" s="80">
        <f>IF(ISNUMBER(B798),IF(AND(INDEX(CFG_WDAYS,WEEKDAY(INT(B798),2))="Sí",IF(D798="proMX",COUNTIFS(FER_F,INT(B798),FER_NLP,"Sí"),COUNTIFS(FER_F,INT(B798),FER_NLM,"Sí"))=0),1,0),0)</f>
        <v>0</v>
      </c>
      <c r="AI798" s="80">
        <f>IF(AC798=1,IF(AND(INDEX(CFG_WDAYS,WEEKDAY(INT(B798)+1,2))="Sí",IF(D798="proMX",COUNTIFS(FER_F,INT(B798)+1,FER_NLP,"Sí"),COUNTIFS(FER_F,INT(B798)+1,FER_NLM,"Sí"))=0),1,0),0)</f>
        <v>0</v>
      </c>
      <c r="AJ798" s="80">
        <f>IF(AC798=1,1440-Z798,AD798)</f>
        <v>0</v>
      </c>
      <c r="AK798" s="80">
        <f>IF(AND(AB798=1,AH798=1),MAX(0,MIN(IF(AC798=1,1440,AA798),CFG_WEM)-MAX(Z798,CFG_WSM)),0)</f>
        <v>0</v>
      </c>
      <c r="AL798" s="80">
        <f>IF(AND(AC798=1,AI798=1),MAX(0,MIN(AA798,CFG_WEM)-CFG_WSM),0)</f>
        <v>0</v>
      </c>
      <c r="AM798" s="80">
        <f>AK798+AL798</f>
        <v>0</v>
      </c>
      <c r="AN798" s="80">
        <f>IF(CFG_BRK="Proporcional",IF(AD798=0,0,AF798*AM798/AD798),IF(CFG_BRK="Extras primero",MIN(AM798,MAX(0,AF798-(AD798-AM798))),MIN(AF798,AM798)))</f>
        <v>0</v>
      </c>
      <c r="AO798" s="80">
        <f>AF798-AN798</f>
        <v>0</v>
      </c>
      <c r="AP798" s="80">
        <f>AM798-AN798</f>
        <v>0</v>
      </c>
      <c r="AQ798" s="80">
        <f>AD798-AM798-AO798</f>
        <v>0</v>
      </c>
      <c r="AR798" s="80">
        <f>IF(AM798=0,0,AK798-AN798*AK798/AM798)</f>
        <v>0</v>
      </c>
      <c r="AS798" s="80">
        <f>IF(AD798-AM798=0,0,(AJ798-AK798)-AO798*(AJ798-AK798)/(AD798-AM798))</f>
        <v>0</v>
      </c>
      <c r="AT798" s="80" t="str">
        <f>IF(AC798=1,INT(B798)+1,"")</f>
        <v/>
      </c>
      <c r="AU798" s="80">
        <f>IF(AND(D798="proMX",R798="Cancelled"),0,1)</f>
        <v>1</v>
      </c>
      <c r="AV798" s="80">
        <f>IF(AND(AB798=1,AU798=1),IF(COUNTIFS($D$5:D797,D798,$B$5:B797,B798,$Z$5:Z797,Z798,$AA$5:AA797,AA798,$F$5:F797,F798&amp;"",$AU$5:AU797,1)&gt;0,1,0),0)</f>
        <v>0</v>
      </c>
      <c r="AW798" s="80" t="str">
        <f>IF(AB798=1,INT(B798)*1440+Z798,"")</f>
        <v/>
      </c>
      <c r="AX798" s="80" t="str">
        <f>IF(AB798=1,AW798+AD798,"")</f>
        <v/>
      </c>
      <c r="AY798" s="80">
        <f>IF(AND(AB798=1,AV798=0,AU798=1),1,0)</f>
        <v>0</v>
      </c>
      <c r="AZ798" s="80">
        <f>IF(AY798=1,COUNTIFS(R_Emp,D798,R_SAbs,"&lt;"&amp;AX798,R_EAbs,"&gt;"&amp;AW798,R_OKey,1)-1,0)</f>
        <v>0</v>
      </c>
      <c r="BA798" s="80">
        <f>IF(AY798=1,COUNTIFS(R_Emp,"&lt;&gt;"&amp;D798,R_SAbs,"&lt;"&amp;AX798,R_EAbs,"&gt;"&amp;AW798,R_OKey,1),0)</f>
        <v>0</v>
      </c>
      <c r="BB798" s="80">
        <f>IF(AND(AB798=1,D798="proMX"),IF(AND(MOD(Z798,CFG_BLK)=0,MOD(AA798,CFG_BLK)=0,MOD(AG798,CFG_BLK)=0,AG798&gt;0),1,0),1)</f>
        <v>1</v>
      </c>
      <c r="BC798" s="80" t="str">
        <f>IF(Y798=0,"",IF(NOT(ISNUMBER(B798)),"Falta fecha o fecha inválida",IF(D798="","Falta empresa",IF(AND(D798&lt;&gt;"Malcolm",D798&lt;&gt;"proMX"),"Empresa inválida",IF(OR(INT(B798)&lt;CFG_PSTART,INT(B798)&gt;CFG_PEND),"Fecha fuera del período",IF(OR(NOT(ISNUMBER(Z798)),NOT(ISNUMBER(AA798))),"Falta hora inicio/fin o formato inválido",IF(AB798=0,"Hora inicio = hora fin",IF(AE798&lt;0,"Descanso inválido",IF(AE798&gt;=AD798,"Descanso ≥ duración",IF(AV798=1,"Registro duplicado",IF(AZ798&gt;0,"Se superpone con otro registro "&amp;D798,IF(BB798=0,"inicio, fin y duración neta deben ser múltiplos de "&amp;CFG_BLK&amp;" min",""))))))))))))</f>
        <v/>
      </c>
      <c r="BD798" s="80">
        <f>IF(AND(Y798=1,BC798=""),1,0)</f>
        <v>0</v>
      </c>
      <c r="BE798" s="80">
        <f>IF(AND(BD798=1,AU798=1),1,0)</f>
        <v>0</v>
      </c>
      <c r="BF798" s="80" t="str">
        <f>IF(AND(D798="proMX",BD798=1),IF(R798="","Draft",R798),"")</f>
        <v/>
      </c>
      <c r="BG798" s="80">
        <f>IF(BD798=1,ROUND(AG798/60,6),0)</f>
        <v>0</v>
      </c>
      <c r="BH798" s="80">
        <f>IF(BE798=1,ROUND(AG798/60,6),0)</f>
        <v>0</v>
      </c>
      <c r="BI798" s="80">
        <f>IF(BE798=1,ROUND(AP798/60,6),0)</f>
        <v>0</v>
      </c>
      <c r="BJ798" s="80">
        <f>IF(BE798=1,ROUND(AQ798/60,6),0)</f>
        <v>0</v>
      </c>
      <c r="BK798" s="80">
        <f>IF(BE798=1,ROUND((AR798+AS798)/60,6),0)</f>
        <v>0</v>
      </c>
      <c r="BL798" s="80">
        <f>ROUND(BH798-BK798,6)</f>
        <v>0</v>
      </c>
      <c r="BM798" s="80">
        <f>IF(BE798=1,ROUND(AR798/60,6),0)</f>
        <v>0</v>
      </c>
      <c r="BN798" s="80">
        <f>ROUND(BI798-BM798,6)</f>
        <v>0</v>
      </c>
      <c r="BO798" s="80">
        <f>IF(BE798=1,ROUND(AS798/60,6),0)</f>
        <v>0</v>
      </c>
      <c r="BP798" s="80">
        <f>ROUND(BJ798-BO798,6)</f>
        <v>0</v>
      </c>
      <c r="BQ798" s="80">
        <f>IF(BE798=1,AW798,0)</f>
        <v>0</v>
      </c>
      <c r="BR798" s="80">
        <f>IF(BE798=1,AX798,0)</f>
        <v>0</v>
      </c>
      <c r="BS798" s="80">
        <f>IF(AND(BE798=1,D798="Malcolm",BA798&gt;0),MIN(BH798,SUMPRODUCT((R_Emp="proMX")*(R_EN&gt;0)*((R_EN-(R_EN&gt;BR798)*(R_EN-BR798))&gt;(R_SN+(R_SN&lt;BQ798)*(BQ798-R_SN)))*((R_EN-(R_EN&gt;BR798)*(R_EN-BR798))-(R_SN+(R_SN&lt;BQ798)*(BQ798-R_SN))))/60),0)</f>
        <v>0</v>
      </c>
      <c r="BT798" s="80">
        <f>IF(AND(BE798=1,D798="proMX"),ROUND(BI798*CFG_RATE+BJ798*CFG_OTRATE,6),0)</f>
        <v>0</v>
      </c>
      <c r="BU798" s="80">
        <f>IF(AND(BD798=1,D798="proMX"),ROUND(AG798/CFG_BLK,6),0)</f>
        <v>0</v>
      </c>
      <c r="BV798" s="80" t="str">
        <f>IF(BF798="Approved",IF(ISNUMBER(T798),INT(T798),INT(B798)),"")</f>
        <v/>
      </c>
      <c r="BW798" s="80">
        <f>IF(ISNUMBER(B798),IF(DB_MON="Todos",1,IF(AND(INT(B798)&gt;=DB_MS,INT(B798)&lt;=DB_ME),1,0)),0)</f>
        <v>0</v>
      </c>
      <c r="BX798" s="80">
        <f>IF(DB_PROJ="Todos",1,IF(E798&amp;""=DB_PROJ&amp;"",1,0))</f>
        <v>1</v>
      </c>
      <c r="BY798" s="80">
        <f>BW798*BX798</f>
        <v>0</v>
      </c>
      <c r="BZ798" s="80" t="str">
        <f>IF(Y798=1,F798&amp;IF(AND(F798&amp;""&lt;&gt;"",E798&amp;""&lt;&gt;"")," · ","")&amp;E798,"")</f>
        <v/>
      </c>
      <c r="CA798" s="80" t="str">
        <f>IF(AND(BD798=1,E798&amp;""&lt;&gt;""),IF(COUNTIFS($E$5:E797,E798,$BD$5:BD797,1)=0,MAX($CA$5:CA797)+1,""),"")</f>
        <v/>
      </c>
      <c r="CB798" s="80" t="str">
        <f>IF(AND(BE798=1,D798="Malcolm",E798&amp;""&lt;&gt;""),IF(COUNTIFS($D$5:D797,"Malcolm",$E$5:E797,E798,$BE$5:BE797,1)=0,MAX($CB$5:CB797)+1,""),"")</f>
        <v/>
      </c>
      <c r="CC798" s="80" t="str">
        <f>IF(AND(BD798=1,D798="proMX",E798&amp;""&lt;&gt;""),IF(COUNTIFS($D$5:D797,"proMX",$E$5:E797,E798,$BD$5:BD797,1)=0,MAX($CC$5:CC797)+1,""),"")</f>
        <v/>
      </c>
      <c r="CD798" s="80" t="str">
        <f>IF(AND(BE798=1,D798="Malcolm",F798&amp;""&lt;&gt;""),IF(COUNTIFS($D$5:D797,"Malcolm",$F$5:F797,F798,$BE$5:BE797,1)=0,MAX($CD$5:CD797)+1,""),"")</f>
        <v/>
      </c>
      <c r="CE798" s="80" t="str">
        <f>IF(AND(BD798=1,D798="proMX",F798&amp;""&lt;&gt;""),IF(COUNTIFS($D$5:D797,"proMX",$F$5:F797,F798,$BD$5:BD797,1)=0,MAX($CE$5:CE797)+1,""),"")</f>
        <v/>
      </c>
      <c r="CF798" s="80" t="str">
        <f>IF(AND(D798="proMX",BD798=1),IF(OR(BF798="Draft",BF798="Submitted",BF798="Returned",BF798="Recall Requested"),MAX($CF$5:CF797)+1,""),"")</f>
        <v/>
      </c>
      <c r="CG798" s="80">
        <f>IF(BD798=0,0,IF(D798="Malcolm",1,MATCH(BF798,{"Draft","Submitted","Approved","Returned","Recall Requested","Cancelled"},0)+1))</f>
        <v>0</v>
      </c>
      <c r="CH798" s="80">
        <f>IF(AND(BF798="Submitted",ISNUMBER(V798)),IF(V798&gt;CFG_MAXD,1,0),0)</f>
        <v>0</v>
      </c>
    </row>
    <row r="799">
      <c r="A799" s="71" t="str">
        <f>IF(Y799=1,ROW()-5,"")</f>
        <v/>
      </c>
      <c r="B799" s="72" t="n"/>
      <c r="C799" s="71" t="str">
        <f>IF(ISNUMBER(B799),CHOOSE(WEEKDAY(B799,2),"Lun","Mar","Mié","Jue","Vie","Sáb","Dom"),"")</f>
        <v/>
      </c>
      <c r="D799" s="73" t="n"/>
      <c r="E799" s="74" t="n"/>
      <c r="F799" s="74" t="n"/>
      <c r="G799" s="74" t="n"/>
      <c r="H799" s="75" t="n"/>
      <c r="I799" s="75" t="n"/>
      <c r="J799" s="76" t="n"/>
      <c r="K799" s="77" t="str">
        <f>IF(AB799=1,ROUND(AG799/60,4),"")</f>
        <v/>
      </c>
      <c r="L799" s="77" t="str">
        <f>IF(BD799=1,ROUND(AP799/60,4),"")</f>
        <v/>
      </c>
      <c r="M799" s="77" t="str">
        <f>IF(BD799=1,ROUND(AQ799/60,4),"")</f>
        <v/>
      </c>
      <c r="N799" s="71" t="str">
        <f>IF(AND(D799="proMX",AB799=1),ROUND(AG799/CFG_BLK,2),"")</f>
        <v/>
      </c>
      <c r="O799" s="77" t="str">
        <f>IF(D799="proMX",IF(BD799=1,ROUND(AG799/60,4),0),"")</f>
        <v/>
      </c>
      <c r="P799" s="78" t="str">
        <f>IF(Y799=0,"",IF(BD799=1,"OK",IF(D799="proMX","Revisar bloques: ","Revisar: ")&amp;BC799))</f>
        <v/>
      </c>
      <c r="Q799" s="78" t="str">
        <f>IF(NOT(ISNUMBER(B799)),"",IF(COUNTIFS(FER_F,INT(B799))&gt;0,"Feriado"&amp;IF(AH799=1," (laborable)"," (no laborable)"),IF(AH799=1,"Laborable",IF(WEEKDAY(B799,2)&gt;5,"Fin de semana","No laborable"))))</f>
        <v/>
      </c>
      <c r="R799" s="73" t="n"/>
      <c r="S799" s="72" t="n"/>
      <c r="T799" s="72" t="n"/>
      <c r="U799" s="74" t="n"/>
      <c r="V799" s="79" t="str">
        <f>IF(AND(D799="proMX",OR(R799="Submitted",R799="Recall Requested"),ISNUMBER(S799)),CFG_TODAY-INT(S799),"")</f>
        <v/>
      </c>
      <c r="W799" s="78" t="str">
        <f>IF(BD799=0,"",IF(BA799&gt;0,"⚠ Se superpone con un registro de la otra empresa",IF(D799="Malcolm",IF(COUNTA(R799,S799,T799)&gt;0,"Estado/fechas proMX se ignoran en Malcolm",""),IF(BF799="Cancelled","Cancelado: excluido de totales",IF(R799="","Sin estado: se trata como Draft",IF(BF799="Submitted",IF(ISNUMBER(V799),IF(V799&gt;CFG_MAXD,"⚠ "&amp;V799&amp;" días en Submitted (máx. "&amp;CFG_MAXD&amp;")",""),"Falta fecha de envío"),IF(BF799="Returned","⚠ Devuelto: corregir y reenviar",IF(BF799="Recall Requested","Retirada solicitada: pendiente",IF(AND(BF799="Approved",NOT(ISNUMBER(T799))),"Falta fecha de aprobación",IF(AND(ISNUMBER(S799),ISNUMBER(T799),T799&lt;S799),"Aprobación anterior al envío","")))))))))</f>
        <v/>
      </c>
      <c r="Y799" s="80">
        <f>IF(COUNTA(B799,D799,E799,F799,G799,H799,I799,J799,R799,S799,T799)&gt;0,1,0)</f>
        <v>0</v>
      </c>
      <c r="Z799" s="80" t="str">
        <f>IF(AND(ISNUMBER(H799),H799&gt;=0,H799&lt;1),ROUND(H799*1440,0),"")</f>
        <v/>
      </c>
      <c r="AA799" s="80" t="str">
        <f>IF(AND(ISNUMBER(I799),I799&gt;=0,I799&lt;1),ROUND(I799*1440,0),"")</f>
        <v/>
      </c>
      <c r="AB799" s="80">
        <f>IF(AND(ISNUMBER(B799),D799&lt;&gt;"",ISNUMBER(Z799),ISNUMBER(AA799)),IF(Z799=AA799,0,1),0)</f>
        <v>0</v>
      </c>
      <c r="AC799" s="80">
        <f>IF(AB799=1,IF(AA799&lt;Z799,1,0),0)</f>
        <v>0</v>
      </c>
      <c r="AD799" s="80">
        <f>IF(AB799=1,IF(AC799=1,1440-Z799+AA799,AA799-Z799),0)</f>
        <v>0</v>
      </c>
      <c r="AE799" s="80">
        <f>IF(J799="",0,IF(ISNUMBER(J799),J799,-1))</f>
        <v>0</v>
      </c>
      <c r="AF799" s="80">
        <f>MIN(MAX(0,AE799),AD799)</f>
        <v>0</v>
      </c>
      <c r="AG799" s="80">
        <f>MAX(0,AD799-MAX(0,AE799))</f>
        <v>0</v>
      </c>
      <c r="AH799" s="80">
        <f>IF(ISNUMBER(B799),IF(AND(INDEX(CFG_WDAYS,WEEKDAY(INT(B799),2))="Sí",IF(D799="proMX",COUNTIFS(FER_F,INT(B799),FER_NLP,"Sí"),COUNTIFS(FER_F,INT(B799),FER_NLM,"Sí"))=0),1,0),0)</f>
        <v>0</v>
      </c>
      <c r="AI799" s="80">
        <f>IF(AC799=1,IF(AND(INDEX(CFG_WDAYS,WEEKDAY(INT(B799)+1,2))="Sí",IF(D799="proMX",COUNTIFS(FER_F,INT(B799)+1,FER_NLP,"Sí"),COUNTIFS(FER_F,INT(B799)+1,FER_NLM,"Sí"))=0),1,0),0)</f>
        <v>0</v>
      </c>
      <c r="AJ799" s="80">
        <f>IF(AC799=1,1440-Z799,AD799)</f>
        <v>0</v>
      </c>
      <c r="AK799" s="80">
        <f>IF(AND(AB799=1,AH799=1),MAX(0,MIN(IF(AC799=1,1440,AA799),CFG_WEM)-MAX(Z799,CFG_WSM)),0)</f>
        <v>0</v>
      </c>
      <c r="AL799" s="80">
        <f>IF(AND(AC799=1,AI799=1),MAX(0,MIN(AA799,CFG_WEM)-CFG_WSM),0)</f>
        <v>0</v>
      </c>
      <c r="AM799" s="80">
        <f>AK799+AL799</f>
        <v>0</v>
      </c>
      <c r="AN799" s="80">
        <f>IF(CFG_BRK="Proporcional",IF(AD799=0,0,AF799*AM799/AD799),IF(CFG_BRK="Extras primero",MIN(AM799,MAX(0,AF799-(AD799-AM799))),MIN(AF799,AM799)))</f>
        <v>0</v>
      </c>
      <c r="AO799" s="80">
        <f>AF799-AN799</f>
        <v>0</v>
      </c>
      <c r="AP799" s="80">
        <f>AM799-AN799</f>
        <v>0</v>
      </c>
      <c r="AQ799" s="80">
        <f>AD799-AM799-AO799</f>
        <v>0</v>
      </c>
      <c r="AR799" s="80">
        <f>IF(AM799=0,0,AK799-AN799*AK799/AM799)</f>
        <v>0</v>
      </c>
      <c r="AS799" s="80">
        <f>IF(AD799-AM799=0,0,(AJ799-AK799)-AO799*(AJ799-AK799)/(AD799-AM799))</f>
        <v>0</v>
      </c>
      <c r="AT799" s="80" t="str">
        <f>IF(AC799=1,INT(B799)+1,"")</f>
        <v/>
      </c>
      <c r="AU799" s="80">
        <f>IF(AND(D799="proMX",R799="Cancelled"),0,1)</f>
        <v>1</v>
      </c>
      <c r="AV799" s="80">
        <f>IF(AND(AB799=1,AU799=1),IF(COUNTIFS($D$5:D798,D799,$B$5:B798,B799,$Z$5:Z798,Z799,$AA$5:AA798,AA799,$F$5:F798,F799&amp;"",$AU$5:AU798,1)&gt;0,1,0),0)</f>
        <v>0</v>
      </c>
      <c r="AW799" s="80" t="str">
        <f>IF(AB799=1,INT(B799)*1440+Z799,"")</f>
        <v/>
      </c>
      <c r="AX799" s="80" t="str">
        <f>IF(AB799=1,AW799+AD799,"")</f>
        <v/>
      </c>
      <c r="AY799" s="80">
        <f>IF(AND(AB799=1,AV799=0,AU799=1),1,0)</f>
        <v>0</v>
      </c>
      <c r="AZ799" s="80">
        <f>IF(AY799=1,COUNTIFS(R_Emp,D799,R_SAbs,"&lt;"&amp;AX799,R_EAbs,"&gt;"&amp;AW799,R_OKey,1)-1,0)</f>
        <v>0</v>
      </c>
      <c r="BA799" s="80">
        <f>IF(AY799=1,COUNTIFS(R_Emp,"&lt;&gt;"&amp;D799,R_SAbs,"&lt;"&amp;AX799,R_EAbs,"&gt;"&amp;AW799,R_OKey,1),0)</f>
        <v>0</v>
      </c>
      <c r="BB799" s="80">
        <f>IF(AND(AB799=1,D799="proMX"),IF(AND(MOD(Z799,CFG_BLK)=0,MOD(AA799,CFG_BLK)=0,MOD(AG799,CFG_BLK)=0,AG799&gt;0),1,0),1)</f>
        <v>1</v>
      </c>
      <c r="BC799" s="80" t="str">
        <f>IF(Y799=0,"",IF(NOT(ISNUMBER(B799)),"Falta fecha o fecha inválida",IF(D799="","Falta empresa",IF(AND(D799&lt;&gt;"Malcolm",D799&lt;&gt;"proMX"),"Empresa inválida",IF(OR(INT(B799)&lt;CFG_PSTART,INT(B799)&gt;CFG_PEND),"Fecha fuera del período",IF(OR(NOT(ISNUMBER(Z799)),NOT(ISNUMBER(AA799))),"Falta hora inicio/fin o formato inválido",IF(AB799=0,"Hora inicio = hora fin",IF(AE799&lt;0,"Descanso inválido",IF(AE799&gt;=AD799,"Descanso ≥ duración",IF(AV799=1,"Registro duplicado",IF(AZ799&gt;0,"Se superpone con otro registro "&amp;D799,IF(BB799=0,"inicio, fin y duración neta deben ser múltiplos de "&amp;CFG_BLK&amp;" min",""))))))))))))</f>
        <v/>
      </c>
      <c r="BD799" s="80">
        <f>IF(AND(Y799=1,BC799=""),1,0)</f>
        <v>0</v>
      </c>
      <c r="BE799" s="80">
        <f>IF(AND(BD799=1,AU799=1),1,0)</f>
        <v>0</v>
      </c>
      <c r="BF799" s="80" t="str">
        <f>IF(AND(D799="proMX",BD799=1),IF(R799="","Draft",R799),"")</f>
        <v/>
      </c>
      <c r="BG799" s="80">
        <f>IF(BD799=1,ROUND(AG799/60,6),0)</f>
        <v>0</v>
      </c>
      <c r="BH799" s="80">
        <f>IF(BE799=1,ROUND(AG799/60,6),0)</f>
        <v>0</v>
      </c>
      <c r="BI799" s="80">
        <f>IF(BE799=1,ROUND(AP799/60,6),0)</f>
        <v>0</v>
      </c>
      <c r="BJ799" s="80">
        <f>IF(BE799=1,ROUND(AQ799/60,6),0)</f>
        <v>0</v>
      </c>
      <c r="BK799" s="80">
        <f>IF(BE799=1,ROUND((AR799+AS799)/60,6),0)</f>
        <v>0</v>
      </c>
      <c r="BL799" s="80">
        <f>ROUND(BH799-BK799,6)</f>
        <v>0</v>
      </c>
      <c r="BM799" s="80">
        <f>IF(BE799=1,ROUND(AR799/60,6),0)</f>
        <v>0</v>
      </c>
      <c r="BN799" s="80">
        <f>ROUND(BI799-BM799,6)</f>
        <v>0</v>
      </c>
      <c r="BO799" s="80">
        <f>IF(BE799=1,ROUND(AS799/60,6),0)</f>
        <v>0</v>
      </c>
      <c r="BP799" s="80">
        <f>ROUND(BJ799-BO799,6)</f>
        <v>0</v>
      </c>
      <c r="BQ799" s="80">
        <f>IF(BE799=1,AW799,0)</f>
        <v>0</v>
      </c>
      <c r="BR799" s="80">
        <f>IF(BE799=1,AX799,0)</f>
        <v>0</v>
      </c>
      <c r="BS799" s="80">
        <f>IF(AND(BE799=1,D799="Malcolm",BA799&gt;0),MIN(BH799,SUMPRODUCT((R_Emp="proMX")*(R_EN&gt;0)*((R_EN-(R_EN&gt;BR799)*(R_EN-BR799))&gt;(R_SN+(R_SN&lt;BQ799)*(BQ799-R_SN)))*((R_EN-(R_EN&gt;BR799)*(R_EN-BR799))-(R_SN+(R_SN&lt;BQ799)*(BQ799-R_SN))))/60),0)</f>
        <v>0</v>
      </c>
      <c r="BT799" s="80">
        <f>IF(AND(BE799=1,D799="proMX"),ROUND(BI799*CFG_RATE+BJ799*CFG_OTRATE,6),0)</f>
        <v>0</v>
      </c>
      <c r="BU799" s="80">
        <f>IF(AND(BD799=1,D799="proMX"),ROUND(AG799/CFG_BLK,6),0)</f>
        <v>0</v>
      </c>
      <c r="BV799" s="80" t="str">
        <f>IF(BF799="Approved",IF(ISNUMBER(T799),INT(T799),INT(B799)),"")</f>
        <v/>
      </c>
      <c r="BW799" s="80">
        <f>IF(ISNUMBER(B799),IF(DB_MON="Todos",1,IF(AND(INT(B799)&gt;=DB_MS,INT(B799)&lt;=DB_ME),1,0)),0)</f>
        <v>0</v>
      </c>
      <c r="BX799" s="80">
        <f>IF(DB_PROJ="Todos",1,IF(E799&amp;""=DB_PROJ&amp;"",1,0))</f>
        <v>1</v>
      </c>
      <c r="BY799" s="80">
        <f>BW799*BX799</f>
        <v>0</v>
      </c>
      <c r="BZ799" s="80" t="str">
        <f>IF(Y799=1,F799&amp;IF(AND(F799&amp;""&lt;&gt;"",E799&amp;""&lt;&gt;"")," · ","")&amp;E799,"")</f>
        <v/>
      </c>
      <c r="CA799" s="80" t="str">
        <f>IF(AND(BD799=1,E799&amp;""&lt;&gt;""),IF(COUNTIFS($E$5:E798,E799,$BD$5:BD798,1)=0,MAX($CA$5:CA798)+1,""),"")</f>
        <v/>
      </c>
      <c r="CB799" s="80" t="str">
        <f>IF(AND(BE799=1,D799="Malcolm",E799&amp;""&lt;&gt;""),IF(COUNTIFS($D$5:D798,"Malcolm",$E$5:E798,E799,$BE$5:BE798,1)=0,MAX($CB$5:CB798)+1,""),"")</f>
        <v/>
      </c>
      <c r="CC799" s="80" t="str">
        <f>IF(AND(BD799=1,D799="proMX",E799&amp;""&lt;&gt;""),IF(COUNTIFS($D$5:D798,"proMX",$E$5:E798,E799,$BD$5:BD798,1)=0,MAX($CC$5:CC798)+1,""),"")</f>
        <v/>
      </c>
      <c r="CD799" s="80" t="str">
        <f>IF(AND(BE799=1,D799="Malcolm",F799&amp;""&lt;&gt;""),IF(COUNTIFS($D$5:D798,"Malcolm",$F$5:F798,F799,$BE$5:BE798,1)=0,MAX($CD$5:CD798)+1,""),"")</f>
        <v/>
      </c>
      <c r="CE799" s="80" t="str">
        <f>IF(AND(BD799=1,D799="proMX",F799&amp;""&lt;&gt;""),IF(COUNTIFS($D$5:D798,"proMX",$F$5:F798,F799,$BD$5:BD798,1)=0,MAX($CE$5:CE798)+1,""),"")</f>
        <v/>
      </c>
      <c r="CF799" s="80" t="str">
        <f>IF(AND(D799="proMX",BD799=1),IF(OR(BF799="Draft",BF799="Submitted",BF799="Returned",BF799="Recall Requested"),MAX($CF$5:CF798)+1,""),"")</f>
        <v/>
      </c>
      <c r="CG799" s="80">
        <f>IF(BD799=0,0,IF(D799="Malcolm",1,MATCH(BF799,{"Draft","Submitted","Approved","Returned","Recall Requested","Cancelled"},0)+1))</f>
        <v>0</v>
      </c>
      <c r="CH799" s="80">
        <f>IF(AND(BF799="Submitted",ISNUMBER(V799)),IF(V799&gt;CFG_MAXD,1,0),0)</f>
        <v>0</v>
      </c>
    </row>
    <row r="800">
      <c r="A800" s="71" t="str">
        <f>IF(Y800=1,ROW()-5,"")</f>
        <v/>
      </c>
      <c r="B800" s="72" t="n"/>
      <c r="C800" s="71" t="str">
        <f>IF(ISNUMBER(B800),CHOOSE(WEEKDAY(B800,2),"Lun","Mar","Mié","Jue","Vie","Sáb","Dom"),"")</f>
        <v/>
      </c>
      <c r="D800" s="73" t="n"/>
      <c r="E800" s="74" t="n"/>
      <c r="F800" s="74" t="n"/>
      <c r="G800" s="74" t="n"/>
      <c r="H800" s="75" t="n"/>
      <c r="I800" s="75" t="n"/>
      <c r="J800" s="76" t="n"/>
      <c r="K800" s="77" t="str">
        <f>IF(AB800=1,ROUND(AG800/60,4),"")</f>
        <v/>
      </c>
      <c r="L800" s="77" t="str">
        <f>IF(BD800=1,ROUND(AP800/60,4),"")</f>
        <v/>
      </c>
      <c r="M800" s="77" t="str">
        <f>IF(BD800=1,ROUND(AQ800/60,4),"")</f>
        <v/>
      </c>
      <c r="N800" s="71" t="str">
        <f>IF(AND(D800="proMX",AB800=1),ROUND(AG800/CFG_BLK,2),"")</f>
        <v/>
      </c>
      <c r="O800" s="77" t="str">
        <f>IF(D800="proMX",IF(BD800=1,ROUND(AG800/60,4),0),"")</f>
        <v/>
      </c>
      <c r="P800" s="78" t="str">
        <f>IF(Y800=0,"",IF(BD800=1,"OK",IF(D800="proMX","Revisar bloques: ","Revisar: ")&amp;BC800))</f>
        <v/>
      </c>
      <c r="Q800" s="78" t="str">
        <f>IF(NOT(ISNUMBER(B800)),"",IF(COUNTIFS(FER_F,INT(B800))&gt;0,"Feriado"&amp;IF(AH800=1," (laborable)"," (no laborable)"),IF(AH800=1,"Laborable",IF(WEEKDAY(B800,2)&gt;5,"Fin de semana","No laborable"))))</f>
        <v/>
      </c>
      <c r="R800" s="73" t="n"/>
      <c r="S800" s="72" t="n"/>
      <c r="T800" s="72" t="n"/>
      <c r="U800" s="74" t="n"/>
      <c r="V800" s="79" t="str">
        <f>IF(AND(D800="proMX",OR(R800="Submitted",R800="Recall Requested"),ISNUMBER(S800)),CFG_TODAY-INT(S800),"")</f>
        <v/>
      </c>
      <c r="W800" s="78" t="str">
        <f>IF(BD800=0,"",IF(BA800&gt;0,"⚠ Se superpone con un registro de la otra empresa",IF(D800="Malcolm",IF(COUNTA(R800,S800,T800)&gt;0,"Estado/fechas proMX se ignoran en Malcolm",""),IF(BF800="Cancelled","Cancelado: excluido de totales",IF(R800="","Sin estado: se trata como Draft",IF(BF800="Submitted",IF(ISNUMBER(V800),IF(V800&gt;CFG_MAXD,"⚠ "&amp;V800&amp;" días en Submitted (máx. "&amp;CFG_MAXD&amp;")",""),"Falta fecha de envío"),IF(BF800="Returned","⚠ Devuelto: corregir y reenviar",IF(BF800="Recall Requested","Retirada solicitada: pendiente",IF(AND(BF800="Approved",NOT(ISNUMBER(T800))),"Falta fecha de aprobación",IF(AND(ISNUMBER(S800),ISNUMBER(T800),T800&lt;S800),"Aprobación anterior al envío","")))))))))</f>
        <v/>
      </c>
      <c r="Y800" s="80">
        <f>IF(COUNTA(B800,D800,E800,F800,G800,H800,I800,J800,R800,S800,T800)&gt;0,1,0)</f>
        <v>0</v>
      </c>
      <c r="Z800" s="80" t="str">
        <f>IF(AND(ISNUMBER(H800),H800&gt;=0,H800&lt;1),ROUND(H800*1440,0),"")</f>
        <v/>
      </c>
      <c r="AA800" s="80" t="str">
        <f>IF(AND(ISNUMBER(I800),I800&gt;=0,I800&lt;1),ROUND(I800*1440,0),"")</f>
        <v/>
      </c>
      <c r="AB800" s="80">
        <f>IF(AND(ISNUMBER(B800),D800&lt;&gt;"",ISNUMBER(Z800),ISNUMBER(AA800)),IF(Z800=AA800,0,1),0)</f>
        <v>0</v>
      </c>
      <c r="AC800" s="80">
        <f>IF(AB800=1,IF(AA800&lt;Z800,1,0),0)</f>
        <v>0</v>
      </c>
      <c r="AD800" s="80">
        <f>IF(AB800=1,IF(AC800=1,1440-Z800+AA800,AA800-Z800),0)</f>
        <v>0</v>
      </c>
      <c r="AE800" s="80">
        <f>IF(J800="",0,IF(ISNUMBER(J800),J800,-1))</f>
        <v>0</v>
      </c>
      <c r="AF800" s="80">
        <f>MIN(MAX(0,AE800),AD800)</f>
        <v>0</v>
      </c>
      <c r="AG800" s="80">
        <f>MAX(0,AD800-MAX(0,AE800))</f>
        <v>0</v>
      </c>
      <c r="AH800" s="80">
        <f>IF(ISNUMBER(B800),IF(AND(INDEX(CFG_WDAYS,WEEKDAY(INT(B800),2))="Sí",IF(D800="proMX",COUNTIFS(FER_F,INT(B800),FER_NLP,"Sí"),COUNTIFS(FER_F,INT(B800),FER_NLM,"Sí"))=0),1,0),0)</f>
        <v>0</v>
      </c>
      <c r="AI800" s="80">
        <f>IF(AC800=1,IF(AND(INDEX(CFG_WDAYS,WEEKDAY(INT(B800)+1,2))="Sí",IF(D800="proMX",COUNTIFS(FER_F,INT(B800)+1,FER_NLP,"Sí"),COUNTIFS(FER_F,INT(B800)+1,FER_NLM,"Sí"))=0),1,0),0)</f>
        <v>0</v>
      </c>
      <c r="AJ800" s="80">
        <f>IF(AC800=1,1440-Z800,AD800)</f>
        <v>0</v>
      </c>
      <c r="AK800" s="80">
        <f>IF(AND(AB800=1,AH800=1),MAX(0,MIN(IF(AC800=1,1440,AA800),CFG_WEM)-MAX(Z800,CFG_WSM)),0)</f>
        <v>0</v>
      </c>
      <c r="AL800" s="80">
        <f>IF(AND(AC800=1,AI800=1),MAX(0,MIN(AA800,CFG_WEM)-CFG_WSM),0)</f>
        <v>0</v>
      </c>
      <c r="AM800" s="80">
        <f>AK800+AL800</f>
        <v>0</v>
      </c>
      <c r="AN800" s="80">
        <f>IF(CFG_BRK="Proporcional",IF(AD800=0,0,AF800*AM800/AD800),IF(CFG_BRK="Extras primero",MIN(AM800,MAX(0,AF800-(AD800-AM800))),MIN(AF800,AM800)))</f>
        <v>0</v>
      </c>
      <c r="AO800" s="80">
        <f>AF800-AN800</f>
        <v>0</v>
      </c>
      <c r="AP800" s="80">
        <f>AM800-AN800</f>
        <v>0</v>
      </c>
      <c r="AQ800" s="80">
        <f>AD800-AM800-AO800</f>
        <v>0</v>
      </c>
      <c r="AR800" s="80">
        <f>IF(AM800=0,0,AK800-AN800*AK800/AM800)</f>
        <v>0</v>
      </c>
      <c r="AS800" s="80">
        <f>IF(AD800-AM800=0,0,(AJ800-AK800)-AO800*(AJ800-AK800)/(AD800-AM800))</f>
        <v>0</v>
      </c>
      <c r="AT800" s="80" t="str">
        <f>IF(AC800=1,INT(B800)+1,"")</f>
        <v/>
      </c>
      <c r="AU800" s="80">
        <f>IF(AND(D800="proMX",R800="Cancelled"),0,1)</f>
        <v>1</v>
      </c>
      <c r="AV800" s="80">
        <f>IF(AND(AB800=1,AU800=1),IF(COUNTIFS($D$5:D799,D800,$B$5:B799,B800,$Z$5:Z799,Z800,$AA$5:AA799,AA800,$F$5:F799,F800&amp;"",$AU$5:AU799,1)&gt;0,1,0),0)</f>
        <v>0</v>
      </c>
      <c r="AW800" s="80" t="str">
        <f>IF(AB800=1,INT(B800)*1440+Z800,"")</f>
        <v/>
      </c>
      <c r="AX800" s="80" t="str">
        <f>IF(AB800=1,AW800+AD800,"")</f>
        <v/>
      </c>
      <c r="AY800" s="80">
        <f>IF(AND(AB800=1,AV800=0,AU800=1),1,0)</f>
        <v>0</v>
      </c>
      <c r="AZ800" s="80">
        <f>IF(AY800=1,COUNTIFS(R_Emp,D800,R_SAbs,"&lt;"&amp;AX800,R_EAbs,"&gt;"&amp;AW800,R_OKey,1)-1,0)</f>
        <v>0</v>
      </c>
      <c r="BA800" s="80">
        <f>IF(AY800=1,COUNTIFS(R_Emp,"&lt;&gt;"&amp;D800,R_SAbs,"&lt;"&amp;AX800,R_EAbs,"&gt;"&amp;AW800,R_OKey,1),0)</f>
        <v>0</v>
      </c>
      <c r="BB800" s="80">
        <f>IF(AND(AB800=1,D800="proMX"),IF(AND(MOD(Z800,CFG_BLK)=0,MOD(AA800,CFG_BLK)=0,MOD(AG800,CFG_BLK)=0,AG800&gt;0),1,0),1)</f>
        <v>1</v>
      </c>
      <c r="BC800" s="80" t="str">
        <f>IF(Y800=0,"",IF(NOT(ISNUMBER(B800)),"Falta fecha o fecha inválida",IF(D800="","Falta empresa",IF(AND(D800&lt;&gt;"Malcolm",D800&lt;&gt;"proMX"),"Empresa inválida",IF(OR(INT(B800)&lt;CFG_PSTART,INT(B800)&gt;CFG_PEND),"Fecha fuera del período",IF(OR(NOT(ISNUMBER(Z800)),NOT(ISNUMBER(AA800))),"Falta hora inicio/fin o formato inválido",IF(AB800=0,"Hora inicio = hora fin",IF(AE800&lt;0,"Descanso inválido",IF(AE800&gt;=AD800,"Descanso ≥ duración",IF(AV800=1,"Registro duplicado",IF(AZ800&gt;0,"Se superpone con otro registro "&amp;D800,IF(BB800=0,"inicio, fin y duración neta deben ser múltiplos de "&amp;CFG_BLK&amp;" min",""))))))))))))</f>
        <v/>
      </c>
      <c r="BD800" s="80">
        <f>IF(AND(Y800=1,BC800=""),1,0)</f>
        <v>0</v>
      </c>
      <c r="BE800" s="80">
        <f>IF(AND(BD800=1,AU800=1),1,0)</f>
        <v>0</v>
      </c>
      <c r="BF800" s="80" t="str">
        <f>IF(AND(D800="proMX",BD800=1),IF(R800="","Draft",R800),"")</f>
        <v/>
      </c>
      <c r="BG800" s="80">
        <f>IF(BD800=1,ROUND(AG800/60,6),0)</f>
        <v>0</v>
      </c>
      <c r="BH800" s="80">
        <f>IF(BE800=1,ROUND(AG800/60,6),0)</f>
        <v>0</v>
      </c>
      <c r="BI800" s="80">
        <f>IF(BE800=1,ROUND(AP800/60,6),0)</f>
        <v>0</v>
      </c>
      <c r="BJ800" s="80">
        <f>IF(BE800=1,ROUND(AQ800/60,6),0)</f>
        <v>0</v>
      </c>
      <c r="BK800" s="80">
        <f>IF(BE800=1,ROUND((AR800+AS800)/60,6),0)</f>
        <v>0</v>
      </c>
      <c r="BL800" s="80">
        <f>ROUND(BH800-BK800,6)</f>
        <v>0</v>
      </c>
      <c r="BM800" s="80">
        <f>IF(BE800=1,ROUND(AR800/60,6),0)</f>
        <v>0</v>
      </c>
      <c r="BN800" s="80">
        <f>ROUND(BI800-BM800,6)</f>
        <v>0</v>
      </c>
      <c r="BO800" s="80">
        <f>IF(BE800=1,ROUND(AS800/60,6),0)</f>
        <v>0</v>
      </c>
      <c r="BP800" s="80">
        <f>ROUND(BJ800-BO800,6)</f>
        <v>0</v>
      </c>
      <c r="BQ800" s="80">
        <f>IF(BE800=1,AW800,0)</f>
        <v>0</v>
      </c>
      <c r="BR800" s="80">
        <f>IF(BE800=1,AX800,0)</f>
        <v>0</v>
      </c>
      <c r="BS800" s="80">
        <f>IF(AND(BE800=1,D800="Malcolm",BA800&gt;0),MIN(BH800,SUMPRODUCT((R_Emp="proMX")*(R_EN&gt;0)*((R_EN-(R_EN&gt;BR800)*(R_EN-BR800))&gt;(R_SN+(R_SN&lt;BQ800)*(BQ800-R_SN)))*((R_EN-(R_EN&gt;BR800)*(R_EN-BR800))-(R_SN+(R_SN&lt;BQ800)*(BQ800-R_SN))))/60),0)</f>
        <v>0</v>
      </c>
      <c r="BT800" s="80">
        <f>IF(AND(BE800=1,D800="proMX"),ROUND(BI800*CFG_RATE+BJ800*CFG_OTRATE,6),0)</f>
        <v>0</v>
      </c>
      <c r="BU800" s="80">
        <f>IF(AND(BD800=1,D800="proMX"),ROUND(AG800/CFG_BLK,6),0)</f>
        <v>0</v>
      </c>
      <c r="BV800" s="80" t="str">
        <f>IF(BF800="Approved",IF(ISNUMBER(T800),INT(T800),INT(B800)),"")</f>
        <v/>
      </c>
      <c r="BW800" s="80">
        <f>IF(ISNUMBER(B800),IF(DB_MON="Todos",1,IF(AND(INT(B800)&gt;=DB_MS,INT(B800)&lt;=DB_ME),1,0)),0)</f>
        <v>0</v>
      </c>
      <c r="BX800" s="80">
        <f>IF(DB_PROJ="Todos",1,IF(E800&amp;""=DB_PROJ&amp;"",1,0))</f>
        <v>1</v>
      </c>
      <c r="BY800" s="80">
        <f>BW800*BX800</f>
        <v>0</v>
      </c>
      <c r="BZ800" s="80" t="str">
        <f>IF(Y800=1,F800&amp;IF(AND(F800&amp;""&lt;&gt;"",E800&amp;""&lt;&gt;"")," · ","")&amp;E800,"")</f>
        <v/>
      </c>
      <c r="CA800" s="80" t="str">
        <f>IF(AND(BD800=1,E800&amp;""&lt;&gt;""),IF(COUNTIFS($E$5:E799,E800,$BD$5:BD799,1)=0,MAX($CA$5:CA799)+1,""),"")</f>
        <v/>
      </c>
      <c r="CB800" s="80" t="str">
        <f>IF(AND(BE800=1,D800="Malcolm",E800&amp;""&lt;&gt;""),IF(COUNTIFS($D$5:D799,"Malcolm",$E$5:E799,E800,$BE$5:BE799,1)=0,MAX($CB$5:CB799)+1,""),"")</f>
        <v/>
      </c>
      <c r="CC800" s="80" t="str">
        <f>IF(AND(BD800=1,D800="proMX",E800&amp;""&lt;&gt;""),IF(COUNTIFS($D$5:D799,"proMX",$E$5:E799,E800,$BD$5:BD799,1)=0,MAX($CC$5:CC799)+1,""),"")</f>
        <v/>
      </c>
      <c r="CD800" s="80" t="str">
        <f>IF(AND(BE800=1,D800="Malcolm",F800&amp;""&lt;&gt;""),IF(COUNTIFS($D$5:D799,"Malcolm",$F$5:F799,F800,$BE$5:BE799,1)=0,MAX($CD$5:CD799)+1,""),"")</f>
        <v/>
      </c>
      <c r="CE800" s="80" t="str">
        <f>IF(AND(BD800=1,D800="proMX",F800&amp;""&lt;&gt;""),IF(COUNTIFS($D$5:D799,"proMX",$F$5:F799,F800,$BD$5:BD799,1)=0,MAX($CE$5:CE799)+1,""),"")</f>
        <v/>
      </c>
      <c r="CF800" s="80" t="str">
        <f>IF(AND(D800="proMX",BD800=1),IF(OR(BF800="Draft",BF800="Submitted",BF800="Returned",BF800="Recall Requested"),MAX($CF$5:CF799)+1,""),"")</f>
        <v/>
      </c>
      <c r="CG800" s="80">
        <f>IF(BD800=0,0,IF(D800="Malcolm",1,MATCH(BF800,{"Draft","Submitted","Approved","Returned","Recall Requested","Cancelled"},0)+1))</f>
        <v>0</v>
      </c>
      <c r="CH800" s="80">
        <f>IF(AND(BF800="Submitted",ISNUMBER(V800)),IF(V800&gt;CFG_MAXD,1,0),0)</f>
        <v>0</v>
      </c>
    </row>
    <row r="801">
      <c r="A801" s="71" t="str">
        <f>IF(Y801=1,ROW()-5,"")</f>
        <v/>
      </c>
      <c r="B801" s="72" t="n"/>
      <c r="C801" s="71" t="str">
        <f>IF(ISNUMBER(B801),CHOOSE(WEEKDAY(B801,2),"Lun","Mar","Mié","Jue","Vie","Sáb","Dom"),"")</f>
        <v/>
      </c>
      <c r="D801" s="73" t="n"/>
      <c r="E801" s="74" t="n"/>
      <c r="F801" s="74" t="n"/>
      <c r="G801" s="74" t="n"/>
      <c r="H801" s="75" t="n"/>
      <c r="I801" s="75" t="n"/>
      <c r="J801" s="76" t="n"/>
      <c r="K801" s="77" t="str">
        <f>IF(AB801=1,ROUND(AG801/60,4),"")</f>
        <v/>
      </c>
      <c r="L801" s="77" t="str">
        <f>IF(BD801=1,ROUND(AP801/60,4),"")</f>
        <v/>
      </c>
      <c r="M801" s="77" t="str">
        <f>IF(BD801=1,ROUND(AQ801/60,4),"")</f>
        <v/>
      </c>
      <c r="N801" s="71" t="str">
        <f>IF(AND(D801="proMX",AB801=1),ROUND(AG801/CFG_BLK,2),"")</f>
        <v/>
      </c>
      <c r="O801" s="77" t="str">
        <f>IF(D801="proMX",IF(BD801=1,ROUND(AG801/60,4),0),"")</f>
        <v/>
      </c>
      <c r="P801" s="78" t="str">
        <f>IF(Y801=0,"",IF(BD801=1,"OK",IF(D801="proMX","Revisar bloques: ","Revisar: ")&amp;BC801))</f>
        <v/>
      </c>
      <c r="Q801" s="78" t="str">
        <f>IF(NOT(ISNUMBER(B801)),"",IF(COUNTIFS(FER_F,INT(B801))&gt;0,"Feriado"&amp;IF(AH801=1," (laborable)"," (no laborable)"),IF(AH801=1,"Laborable",IF(WEEKDAY(B801,2)&gt;5,"Fin de semana","No laborable"))))</f>
        <v/>
      </c>
      <c r="R801" s="73" t="n"/>
      <c r="S801" s="72" t="n"/>
      <c r="T801" s="72" t="n"/>
      <c r="U801" s="74" t="n"/>
      <c r="V801" s="79" t="str">
        <f>IF(AND(D801="proMX",OR(R801="Submitted",R801="Recall Requested"),ISNUMBER(S801)),CFG_TODAY-INT(S801),"")</f>
        <v/>
      </c>
      <c r="W801" s="78" t="str">
        <f>IF(BD801=0,"",IF(BA801&gt;0,"⚠ Se superpone con un registro de la otra empresa",IF(D801="Malcolm",IF(COUNTA(R801,S801,T801)&gt;0,"Estado/fechas proMX se ignoran en Malcolm",""),IF(BF801="Cancelled","Cancelado: excluido de totales",IF(R801="","Sin estado: se trata como Draft",IF(BF801="Submitted",IF(ISNUMBER(V801),IF(V801&gt;CFG_MAXD,"⚠ "&amp;V801&amp;" días en Submitted (máx. "&amp;CFG_MAXD&amp;")",""),"Falta fecha de envío"),IF(BF801="Returned","⚠ Devuelto: corregir y reenviar",IF(BF801="Recall Requested","Retirada solicitada: pendiente",IF(AND(BF801="Approved",NOT(ISNUMBER(T801))),"Falta fecha de aprobación",IF(AND(ISNUMBER(S801),ISNUMBER(T801),T801&lt;S801),"Aprobación anterior al envío","")))))))))</f>
        <v/>
      </c>
      <c r="Y801" s="80">
        <f>IF(COUNTA(B801,D801,E801,F801,G801,H801,I801,J801,R801,S801,T801)&gt;0,1,0)</f>
        <v>0</v>
      </c>
      <c r="Z801" s="80" t="str">
        <f>IF(AND(ISNUMBER(H801),H801&gt;=0,H801&lt;1),ROUND(H801*1440,0),"")</f>
        <v/>
      </c>
      <c r="AA801" s="80" t="str">
        <f>IF(AND(ISNUMBER(I801),I801&gt;=0,I801&lt;1),ROUND(I801*1440,0),"")</f>
        <v/>
      </c>
      <c r="AB801" s="80">
        <f>IF(AND(ISNUMBER(B801),D801&lt;&gt;"",ISNUMBER(Z801),ISNUMBER(AA801)),IF(Z801=AA801,0,1),0)</f>
        <v>0</v>
      </c>
      <c r="AC801" s="80">
        <f>IF(AB801=1,IF(AA801&lt;Z801,1,0),0)</f>
        <v>0</v>
      </c>
      <c r="AD801" s="80">
        <f>IF(AB801=1,IF(AC801=1,1440-Z801+AA801,AA801-Z801),0)</f>
        <v>0</v>
      </c>
      <c r="AE801" s="80">
        <f>IF(J801="",0,IF(ISNUMBER(J801),J801,-1))</f>
        <v>0</v>
      </c>
      <c r="AF801" s="80">
        <f>MIN(MAX(0,AE801),AD801)</f>
        <v>0</v>
      </c>
      <c r="AG801" s="80">
        <f>MAX(0,AD801-MAX(0,AE801))</f>
        <v>0</v>
      </c>
      <c r="AH801" s="80">
        <f>IF(ISNUMBER(B801),IF(AND(INDEX(CFG_WDAYS,WEEKDAY(INT(B801),2))="Sí",IF(D801="proMX",COUNTIFS(FER_F,INT(B801),FER_NLP,"Sí"),COUNTIFS(FER_F,INT(B801),FER_NLM,"Sí"))=0),1,0),0)</f>
        <v>0</v>
      </c>
      <c r="AI801" s="80">
        <f>IF(AC801=1,IF(AND(INDEX(CFG_WDAYS,WEEKDAY(INT(B801)+1,2))="Sí",IF(D801="proMX",COUNTIFS(FER_F,INT(B801)+1,FER_NLP,"Sí"),COUNTIFS(FER_F,INT(B801)+1,FER_NLM,"Sí"))=0),1,0),0)</f>
        <v>0</v>
      </c>
      <c r="AJ801" s="80">
        <f>IF(AC801=1,1440-Z801,AD801)</f>
        <v>0</v>
      </c>
      <c r="AK801" s="80">
        <f>IF(AND(AB801=1,AH801=1),MAX(0,MIN(IF(AC801=1,1440,AA801),CFG_WEM)-MAX(Z801,CFG_WSM)),0)</f>
        <v>0</v>
      </c>
      <c r="AL801" s="80">
        <f>IF(AND(AC801=1,AI801=1),MAX(0,MIN(AA801,CFG_WEM)-CFG_WSM),0)</f>
        <v>0</v>
      </c>
      <c r="AM801" s="80">
        <f>AK801+AL801</f>
        <v>0</v>
      </c>
      <c r="AN801" s="80">
        <f>IF(CFG_BRK="Proporcional",IF(AD801=0,0,AF801*AM801/AD801),IF(CFG_BRK="Extras primero",MIN(AM801,MAX(0,AF801-(AD801-AM801))),MIN(AF801,AM801)))</f>
        <v>0</v>
      </c>
      <c r="AO801" s="80">
        <f>AF801-AN801</f>
        <v>0</v>
      </c>
      <c r="AP801" s="80">
        <f>AM801-AN801</f>
        <v>0</v>
      </c>
      <c r="AQ801" s="80">
        <f>AD801-AM801-AO801</f>
        <v>0</v>
      </c>
      <c r="AR801" s="80">
        <f>IF(AM801=0,0,AK801-AN801*AK801/AM801)</f>
        <v>0</v>
      </c>
      <c r="AS801" s="80">
        <f>IF(AD801-AM801=0,0,(AJ801-AK801)-AO801*(AJ801-AK801)/(AD801-AM801))</f>
        <v>0</v>
      </c>
      <c r="AT801" s="80" t="str">
        <f>IF(AC801=1,INT(B801)+1,"")</f>
        <v/>
      </c>
      <c r="AU801" s="80">
        <f>IF(AND(D801="proMX",R801="Cancelled"),0,1)</f>
        <v>1</v>
      </c>
      <c r="AV801" s="80">
        <f>IF(AND(AB801=1,AU801=1),IF(COUNTIFS($D$5:D800,D801,$B$5:B800,B801,$Z$5:Z800,Z801,$AA$5:AA800,AA801,$F$5:F800,F801&amp;"",$AU$5:AU800,1)&gt;0,1,0),0)</f>
        <v>0</v>
      </c>
      <c r="AW801" s="80" t="str">
        <f>IF(AB801=1,INT(B801)*1440+Z801,"")</f>
        <v/>
      </c>
      <c r="AX801" s="80" t="str">
        <f>IF(AB801=1,AW801+AD801,"")</f>
        <v/>
      </c>
      <c r="AY801" s="80">
        <f>IF(AND(AB801=1,AV801=0,AU801=1),1,0)</f>
        <v>0</v>
      </c>
      <c r="AZ801" s="80">
        <f>IF(AY801=1,COUNTIFS(R_Emp,D801,R_SAbs,"&lt;"&amp;AX801,R_EAbs,"&gt;"&amp;AW801,R_OKey,1)-1,0)</f>
        <v>0</v>
      </c>
      <c r="BA801" s="80">
        <f>IF(AY801=1,COUNTIFS(R_Emp,"&lt;&gt;"&amp;D801,R_SAbs,"&lt;"&amp;AX801,R_EAbs,"&gt;"&amp;AW801,R_OKey,1),0)</f>
        <v>0</v>
      </c>
      <c r="BB801" s="80">
        <f>IF(AND(AB801=1,D801="proMX"),IF(AND(MOD(Z801,CFG_BLK)=0,MOD(AA801,CFG_BLK)=0,MOD(AG801,CFG_BLK)=0,AG801&gt;0),1,0),1)</f>
        <v>1</v>
      </c>
      <c r="BC801" s="80" t="str">
        <f>IF(Y801=0,"",IF(NOT(ISNUMBER(B801)),"Falta fecha o fecha inválida",IF(D801="","Falta empresa",IF(AND(D801&lt;&gt;"Malcolm",D801&lt;&gt;"proMX"),"Empresa inválida",IF(OR(INT(B801)&lt;CFG_PSTART,INT(B801)&gt;CFG_PEND),"Fecha fuera del período",IF(OR(NOT(ISNUMBER(Z801)),NOT(ISNUMBER(AA801))),"Falta hora inicio/fin o formato inválido",IF(AB801=0,"Hora inicio = hora fin",IF(AE801&lt;0,"Descanso inválido",IF(AE801&gt;=AD801,"Descanso ≥ duración",IF(AV801=1,"Registro duplicado",IF(AZ801&gt;0,"Se superpone con otro registro "&amp;D801,IF(BB801=0,"inicio, fin y duración neta deben ser múltiplos de "&amp;CFG_BLK&amp;" min",""))))))))))))</f>
        <v/>
      </c>
      <c r="BD801" s="80">
        <f>IF(AND(Y801=1,BC801=""),1,0)</f>
        <v>0</v>
      </c>
      <c r="BE801" s="80">
        <f>IF(AND(BD801=1,AU801=1),1,0)</f>
        <v>0</v>
      </c>
      <c r="BF801" s="80" t="str">
        <f>IF(AND(D801="proMX",BD801=1),IF(R801="","Draft",R801),"")</f>
        <v/>
      </c>
      <c r="BG801" s="80">
        <f>IF(BD801=1,ROUND(AG801/60,6),0)</f>
        <v>0</v>
      </c>
      <c r="BH801" s="80">
        <f>IF(BE801=1,ROUND(AG801/60,6),0)</f>
        <v>0</v>
      </c>
      <c r="BI801" s="80">
        <f>IF(BE801=1,ROUND(AP801/60,6),0)</f>
        <v>0</v>
      </c>
      <c r="BJ801" s="80">
        <f>IF(BE801=1,ROUND(AQ801/60,6),0)</f>
        <v>0</v>
      </c>
      <c r="BK801" s="80">
        <f>IF(BE801=1,ROUND((AR801+AS801)/60,6),0)</f>
        <v>0</v>
      </c>
      <c r="BL801" s="80">
        <f>ROUND(BH801-BK801,6)</f>
        <v>0</v>
      </c>
      <c r="BM801" s="80">
        <f>IF(BE801=1,ROUND(AR801/60,6),0)</f>
        <v>0</v>
      </c>
      <c r="BN801" s="80">
        <f>ROUND(BI801-BM801,6)</f>
        <v>0</v>
      </c>
      <c r="BO801" s="80">
        <f>IF(BE801=1,ROUND(AS801/60,6),0)</f>
        <v>0</v>
      </c>
      <c r="BP801" s="80">
        <f>ROUND(BJ801-BO801,6)</f>
        <v>0</v>
      </c>
      <c r="BQ801" s="80">
        <f>IF(BE801=1,AW801,0)</f>
        <v>0</v>
      </c>
      <c r="BR801" s="80">
        <f>IF(BE801=1,AX801,0)</f>
        <v>0</v>
      </c>
      <c r="BS801" s="80">
        <f>IF(AND(BE801=1,D801="Malcolm",BA801&gt;0),MIN(BH801,SUMPRODUCT((R_Emp="proMX")*(R_EN&gt;0)*((R_EN-(R_EN&gt;BR801)*(R_EN-BR801))&gt;(R_SN+(R_SN&lt;BQ801)*(BQ801-R_SN)))*((R_EN-(R_EN&gt;BR801)*(R_EN-BR801))-(R_SN+(R_SN&lt;BQ801)*(BQ801-R_SN))))/60),0)</f>
        <v>0</v>
      </c>
      <c r="BT801" s="80">
        <f>IF(AND(BE801=1,D801="proMX"),ROUND(BI801*CFG_RATE+BJ801*CFG_OTRATE,6),0)</f>
        <v>0</v>
      </c>
      <c r="BU801" s="80">
        <f>IF(AND(BD801=1,D801="proMX"),ROUND(AG801/CFG_BLK,6),0)</f>
        <v>0</v>
      </c>
      <c r="BV801" s="80" t="str">
        <f>IF(BF801="Approved",IF(ISNUMBER(T801),INT(T801),INT(B801)),"")</f>
        <v/>
      </c>
      <c r="BW801" s="80">
        <f>IF(ISNUMBER(B801),IF(DB_MON="Todos",1,IF(AND(INT(B801)&gt;=DB_MS,INT(B801)&lt;=DB_ME),1,0)),0)</f>
        <v>0</v>
      </c>
      <c r="BX801" s="80">
        <f>IF(DB_PROJ="Todos",1,IF(E801&amp;""=DB_PROJ&amp;"",1,0))</f>
        <v>1</v>
      </c>
      <c r="BY801" s="80">
        <f>BW801*BX801</f>
        <v>0</v>
      </c>
      <c r="BZ801" s="80" t="str">
        <f>IF(Y801=1,F801&amp;IF(AND(F801&amp;""&lt;&gt;"",E801&amp;""&lt;&gt;"")," · ","")&amp;E801,"")</f>
        <v/>
      </c>
      <c r="CA801" s="80" t="str">
        <f>IF(AND(BD801=1,E801&amp;""&lt;&gt;""),IF(COUNTIFS($E$5:E800,E801,$BD$5:BD800,1)=0,MAX($CA$5:CA800)+1,""),"")</f>
        <v/>
      </c>
      <c r="CB801" s="80" t="str">
        <f>IF(AND(BE801=1,D801="Malcolm",E801&amp;""&lt;&gt;""),IF(COUNTIFS($D$5:D800,"Malcolm",$E$5:E800,E801,$BE$5:BE800,1)=0,MAX($CB$5:CB800)+1,""),"")</f>
        <v/>
      </c>
      <c r="CC801" s="80" t="str">
        <f>IF(AND(BD801=1,D801="proMX",E801&amp;""&lt;&gt;""),IF(COUNTIFS($D$5:D800,"proMX",$E$5:E800,E801,$BD$5:BD800,1)=0,MAX($CC$5:CC800)+1,""),"")</f>
        <v/>
      </c>
      <c r="CD801" s="80" t="str">
        <f>IF(AND(BE801=1,D801="Malcolm",F801&amp;""&lt;&gt;""),IF(COUNTIFS($D$5:D800,"Malcolm",$F$5:F800,F801,$BE$5:BE800,1)=0,MAX($CD$5:CD800)+1,""),"")</f>
        <v/>
      </c>
      <c r="CE801" s="80" t="str">
        <f>IF(AND(BD801=1,D801="proMX",F801&amp;""&lt;&gt;""),IF(COUNTIFS($D$5:D800,"proMX",$F$5:F800,F801,$BD$5:BD800,1)=0,MAX($CE$5:CE800)+1,""),"")</f>
        <v/>
      </c>
      <c r="CF801" s="80" t="str">
        <f>IF(AND(D801="proMX",BD801=1),IF(OR(BF801="Draft",BF801="Submitted",BF801="Returned",BF801="Recall Requested"),MAX($CF$5:CF800)+1,""),"")</f>
        <v/>
      </c>
      <c r="CG801" s="80">
        <f>IF(BD801=0,0,IF(D801="Malcolm",1,MATCH(BF801,{"Draft","Submitted","Approved","Returned","Recall Requested","Cancelled"},0)+1))</f>
        <v>0</v>
      </c>
      <c r="CH801" s="80">
        <f>IF(AND(BF801="Submitted",ISNUMBER(V801)),IF(V801&gt;CFG_MAXD,1,0),0)</f>
        <v>0</v>
      </c>
    </row>
    <row r="802">
      <c r="A802" s="71" t="str">
        <f>IF(Y802=1,ROW()-5,"")</f>
        <v/>
      </c>
      <c r="B802" s="72" t="n"/>
      <c r="C802" s="71" t="str">
        <f>IF(ISNUMBER(B802),CHOOSE(WEEKDAY(B802,2),"Lun","Mar","Mié","Jue","Vie","Sáb","Dom"),"")</f>
        <v/>
      </c>
      <c r="D802" s="73" t="n"/>
      <c r="E802" s="74" t="n"/>
      <c r="F802" s="74" t="n"/>
      <c r="G802" s="74" t="n"/>
      <c r="H802" s="75" t="n"/>
      <c r="I802" s="75" t="n"/>
      <c r="J802" s="76" t="n"/>
      <c r="K802" s="77" t="str">
        <f>IF(AB802=1,ROUND(AG802/60,4),"")</f>
        <v/>
      </c>
      <c r="L802" s="77" t="str">
        <f>IF(BD802=1,ROUND(AP802/60,4),"")</f>
        <v/>
      </c>
      <c r="M802" s="77" t="str">
        <f>IF(BD802=1,ROUND(AQ802/60,4),"")</f>
        <v/>
      </c>
      <c r="N802" s="71" t="str">
        <f>IF(AND(D802="proMX",AB802=1),ROUND(AG802/CFG_BLK,2),"")</f>
        <v/>
      </c>
      <c r="O802" s="77" t="str">
        <f>IF(D802="proMX",IF(BD802=1,ROUND(AG802/60,4),0),"")</f>
        <v/>
      </c>
      <c r="P802" s="78" t="str">
        <f>IF(Y802=0,"",IF(BD802=1,"OK",IF(D802="proMX","Revisar bloques: ","Revisar: ")&amp;BC802))</f>
        <v/>
      </c>
      <c r="Q802" s="78" t="str">
        <f>IF(NOT(ISNUMBER(B802)),"",IF(COUNTIFS(FER_F,INT(B802))&gt;0,"Feriado"&amp;IF(AH802=1," (laborable)"," (no laborable)"),IF(AH802=1,"Laborable",IF(WEEKDAY(B802,2)&gt;5,"Fin de semana","No laborable"))))</f>
        <v/>
      </c>
      <c r="R802" s="73" t="n"/>
      <c r="S802" s="72" t="n"/>
      <c r="T802" s="72" t="n"/>
      <c r="U802" s="74" t="n"/>
      <c r="V802" s="79" t="str">
        <f>IF(AND(D802="proMX",OR(R802="Submitted",R802="Recall Requested"),ISNUMBER(S802)),CFG_TODAY-INT(S802),"")</f>
        <v/>
      </c>
      <c r="W802" s="78" t="str">
        <f>IF(BD802=0,"",IF(BA802&gt;0,"⚠ Se superpone con un registro de la otra empresa",IF(D802="Malcolm",IF(COUNTA(R802,S802,T802)&gt;0,"Estado/fechas proMX se ignoran en Malcolm",""),IF(BF802="Cancelled","Cancelado: excluido de totales",IF(R802="","Sin estado: se trata como Draft",IF(BF802="Submitted",IF(ISNUMBER(V802),IF(V802&gt;CFG_MAXD,"⚠ "&amp;V802&amp;" días en Submitted (máx. "&amp;CFG_MAXD&amp;")",""),"Falta fecha de envío"),IF(BF802="Returned","⚠ Devuelto: corregir y reenviar",IF(BF802="Recall Requested","Retirada solicitada: pendiente",IF(AND(BF802="Approved",NOT(ISNUMBER(T802))),"Falta fecha de aprobación",IF(AND(ISNUMBER(S802),ISNUMBER(T802),T802&lt;S802),"Aprobación anterior al envío","")))))))))</f>
        <v/>
      </c>
      <c r="Y802" s="80">
        <f>IF(COUNTA(B802,D802,E802,F802,G802,H802,I802,J802,R802,S802,T802)&gt;0,1,0)</f>
        <v>0</v>
      </c>
      <c r="Z802" s="80" t="str">
        <f>IF(AND(ISNUMBER(H802),H802&gt;=0,H802&lt;1),ROUND(H802*1440,0),"")</f>
        <v/>
      </c>
      <c r="AA802" s="80" t="str">
        <f>IF(AND(ISNUMBER(I802),I802&gt;=0,I802&lt;1),ROUND(I802*1440,0),"")</f>
        <v/>
      </c>
      <c r="AB802" s="80">
        <f>IF(AND(ISNUMBER(B802),D802&lt;&gt;"",ISNUMBER(Z802),ISNUMBER(AA802)),IF(Z802=AA802,0,1),0)</f>
        <v>0</v>
      </c>
      <c r="AC802" s="80">
        <f>IF(AB802=1,IF(AA802&lt;Z802,1,0),0)</f>
        <v>0</v>
      </c>
      <c r="AD802" s="80">
        <f>IF(AB802=1,IF(AC802=1,1440-Z802+AA802,AA802-Z802),0)</f>
        <v>0</v>
      </c>
      <c r="AE802" s="80">
        <f>IF(J802="",0,IF(ISNUMBER(J802),J802,-1))</f>
        <v>0</v>
      </c>
      <c r="AF802" s="80">
        <f>MIN(MAX(0,AE802),AD802)</f>
        <v>0</v>
      </c>
      <c r="AG802" s="80">
        <f>MAX(0,AD802-MAX(0,AE802))</f>
        <v>0</v>
      </c>
      <c r="AH802" s="80">
        <f>IF(ISNUMBER(B802),IF(AND(INDEX(CFG_WDAYS,WEEKDAY(INT(B802),2))="Sí",IF(D802="proMX",COUNTIFS(FER_F,INT(B802),FER_NLP,"Sí"),COUNTIFS(FER_F,INT(B802),FER_NLM,"Sí"))=0),1,0),0)</f>
        <v>0</v>
      </c>
      <c r="AI802" s="80">
        <f>IF(AC802=1,IF(AND(INDEX(CFG_WDAYS,WEEKDAY(INT(B802)+1,2))="Sí",IF(D802="proMX",COUNTIFS(FER_F,INT(B802)+1,FER_NLP,"Sí"),COUNTIFS(FER_F,INT(B802)+1,FER_NLM,"Sí"))=0),1,0),0)</f>
        <v>0</v>
      </c>
      <c r="AJ802" s="80">
        <f>IF(AC802=1,1440-Z802,AD802)</f>
        <v>0</v>
      </c>
      <c r="AK802" s="80">
        <f>IF(AND(AB802=1,AH802=1),MAX(0,MIN(IF(AC802=1,1440,AA802),CFG_WEM)-MAX(Z802,CFG_WSM)),0)</f>
        <v>0</v>
      </c>
      <c r="AL802" s="80">
        <f>IF(AND(AC802=1,AI802=1),MAX(0,MIN(AA802,CFG_WEM)-CFG_WSM),0)</f>
        <v>0</v>
      </c>
      <c r="AM802" s="80">
        <f>AK802+AL802</f>
        <v>0</v>
      </c>
      <c r="AN802" s="80">
        <f>IF(CFG_BRK="Proporcional",IF(AD802=0,0,AF802*AM802/AD802),IF(CFG_BRK="Extras primero",MIN(AM802,MAX(0,AF802-(AD802-AM802))),MIN(AF802,AM802)))</f>
        <v>0</v>
      </c>
      <c r="AO802" s="80">
        <f>AF802-AN802</f>
        <v>0</v>
      </c>
      <c r="AP802" s="80">
        <f>AM802-AN802</f>
        <v>0</v>
      </c>
      <c r="AQ802" s="80">
        <f>AD802-AM802-AO802</f>
        <v>0</v>
      </c>
      <c r="AR802" s="80">
        <f>IF(AM802=0,0,AK802-AN802*AK802/AM802)</f>
        <v>0</v>
      </c>
      <c r="AS802" s="80">
        <f>IF(AD802-AM802=0,0,(AJ802-AK802)-AO802*(AJ802-AK802)/(AD802-AM802))</f>
        <v>0</v>
      </c>
      <c r="AT802" s="80" t="str">
        <f>IF(AC802=1,INT(B802)+1,"")</f>
        <v/>
      </c>
      <c r="AU802" s="80">
        <f>IF(AND(D802="proMX",R802="Cancelled"),0,1)</f>
        <v>1</v>
      </c>
      <c r="AV802" s="80">
        <f>IF(AND(AB802=1,AU802=1),IF(COUNTIFS($D$5:D801,D802,$B$5:B801,B802,$Z$5:Z801,Z802,$AA$5:AA801,AA802,$F$5:F801,F802&amp;"",$AU$5:AU801,1)&gt;0,1,0),0)</f>
        <v>0</v>
      </c>
      <c r="AW802" s="80" t="str">
        <f>IF(AB802=1,INT(B802)*1440+Z802,"")</f>
        <v/>
      </c>
      <c r="AX802" s="80" t="str">
        <f>IF(AB802=1,AW802+AD802,"")</f>
        <v/>
      </c>
      <c r="AY802" s="80">
        <f>IF(AND(AB802=1,AV802=0,AU802=1),1,0)</f>
        <v>0</v>
      </c>
      <c r="AZ802" s="80">
        <f>IF(AY802=1,COUNTIFS(R_Emp,D802,R_SAbs,"&lt;"&amp;AX802,R_EAbs,"&gt;"&amp;AW802,R_OKey,1)-1,0)</f>
        <v>0</v>
      </c>
      <c r="BA802" s="80">
        <f>IF(AY802=1,COUNTIFS(R_Emp,"&lt;&gt;"&amp;D802,R_SAbs,"&lt;"&amp;AX802,R_EAbs,"&gt;"&amp;AW802,R_OKey,1),0)</f>
        <v>0</v>
      </c>
      <c r="BB802" s="80">
        <f>IF(AND(AB802=1,D802="proMX"),IF(AND(MOD(Z802,CFG_BLK)=0,MOD(AA802,CFG_BLK)=0,MOD(AG802,CFG_BLK)=0,AG802&gt;0),1,0),1)</f>
        <v>1</v>
      </c>
      <c r="BC802" s="80" t="str">
        <f>IF(Y802=0,"",IF(NOT(ISNUMBER(B802)),"Falta fecha o fecha inválida",IF(D802="","Falta empresa",IF(AND(D802&lt;&gt;"Malcolm",D802&lt;&gt;"proMX"),"Empresa inválida",IF(OR(INT(B802)&lt;CFG_PSTART,INT(B802)&gt;CFG_PEND),"Fecha fuera del período",IF(OR(NOT(ISNUMBER(Z802)),NOT(ISNUMBER(AA802))),"Falta hora inicio/fin o formato inválido",IF(AB802=0,"Hora inicio = hora fin",IF(AE802&lt;0,"Descanso inválido",IF(AE802&gt;=AD802,"Descanso ≥ duración",IF(AV802=1,"Registro duplicado",IF(AZ802&gt;0,"Se superpone con otro registro "&amp;D802,IF(BB802=0,"inicio, fin y duración neta deben ser múltiplos de "&amp;CFG_BLK&amp;" min",""))))))))))))</f>
        <v/>
      </c>
      <c r="BD802" s="80">
        <f>IF(AND(Y802=1,BC802=""),1,0)</f>
        <v>0</v>
      </c>
      <c r="BE802" s="80">
        <f>IF(AND(BD802=1,AU802=1),1,0)</f>
        <v>0</v>
      </c>
      <c r="BF802" s="80" t="str">
        <f>IF(AND(D802="proMX",BD802=1),IF(R802="","Draft",R802),"")</f>
        <v/>
      </c>
      <c r="BG802" s="80">
        <f>IF(BD802=1,ROUND(AG802/60,6),0)</f>
        <v>0</v>
      </c>
      <c r="BH802" s="80">
        <f>IF(BE802=1,ROUND(AG802/60,6),0)</f>
        <v>0</v>
      </c>
      <c r="BI802" s="80">
        <f>IF(BE802=1,ROUND(AP802/60,6),0)</f>
        <v>0</v>
      </c>
      <c r="BJ802" s="80">
        <f>IF(BE802=1,ROUND(AQ802/60,6),0)</f>
        <v>0</v>
      </c>
      <c r="BK802" s="80">
        <f>IF(BE802=1,ROUND((AR802+AS802)/60,6),0)</f>
        <v>0</v>
      </c>
      <c r="BL802" s="80">
        <f>ROUND(BH802-BK802,6)</f>
        <v>0</v>
      </c>
      <c r="BM802" s="80">
        <f>IF(BE802=1,ROUND(AR802/60,6),0)</f>
        <v>0</v>
      </c>
      <c r="BN802" s="80">
        <f>ROUND(BI802-BM802,6)</f>
        <v>0</v>
      </c>
      <c r="BO802" s="80">
        <f>IF(BE802=1,ROUND(AS802/60,6),0)</f>
        <v>0</v>
      </c>
      <c r="BP802" s="80">
        <f>ROUND(BJ802-BO802,6)</f>
        <v>0</v>
      </c>
      <c r="BQ802" s="80">
        <f>IF(BE802=1,AW802,0)</f>
        <v>0</v>
      </c>
      <c r="BR802" s="80">
        <f>IF(BE802=1,AX802,0)</f>
        <v>0</v>
      </c>
      <c r="BS802" s="80">
        <f>IF(AND(BE802=1,D802="Malcolm",BA802&gt;0),MIN(BH802,SUMPRODUCT((R_Emp="proMX")*(R_EN&gt;0)*((R_EN-(R_EN&gt;BR802)*(R_EN-BR802))&gt;(R_SN+(R_SN&lt;BQ802)*(BQ802-R_SN)))*((R_EN-(R_EN&gt;BR802)*(R_EN-BR802))-(R_SN+(R_SN&lt;BQ802)*(BQ802-R_SN))))/60),0)</f>
        <v>0</v>
      </c>
      <c r="BT802" s="80">
        <f>IF(AND(BE802=1,D802="proMX"),ROUND(BI802*CFG_RATE+BJ802*CFG_OTRATE,6),0)</f>
        <v>0</v>
      </c>
      <c r="BU802" s="80">
        <f>IF(AND(BD802=1,D802="proMX"),ROUND(AG802/CFG_BLK,6),0)</f>
        <v>0</v>
      </c>
      <c r="BV802" s="80" t="str">
        <f>IF(BF802="Approved",IF(ISNUMBER(T802),INT(T802),INT(B802)),"")</f>
        <v/>
      </c>
      <c r="BW802" s="80">
        <f>IF(ISNUMBER(B802),IF(DB_MON="Todos",1,IF(AND(INT(B802)&gt;=DB_MS,INT(B802)&lt;=DB_ME),1,0)),0)</f>
        <v>0</v>
      </c>
      <c r="BX802" s="80">
        <f>IF(DB_PROJ="Todos",1,IF(E802&amp;""=DB_PROJ&amp;"",1,0))</f>
        <v>1</v>
      </c>
      <c r="BY802" s="80">
        <f>BW802*BX802</f>
        <v>0</v>
      </c>
      <c r="BZ802" s="80" t="str">
        <f>IF(Y802=1,F802&amp;IF(AND(F802&amp;""&lt;&gt;"",E802&amp;""&lt;&gt;"")," · ","")&amp;E802,"")</f>
        <v/>
      </c>
      <c r="CA802" s="80" t="str">
        <f>IF(AND(BD802=1,E802&amp;""&lt;&gt;""),IF(COUNTIFS($E$5:E801,E802,$BD$5:BD801,1)=0,MAX($CA$5:CA801)+1,""),"")</f>
        <v/>
      </c>
      <c r="CB802" s="80" t="str">
        <f>IF(AND(BE802=1,D802="Malcolm",E802&amp;""&lt;&gt;""),IF(COUNTIFS($D$5:D801,"Malcolm",$E$5:E801,E802,$BE$5:BE801,1)=0,MAX($CB$5:CB801)+1,""),"")</f>
        <v/>
      </c>
      <c r="CC802" s="80" t="str">
        <f>IF(AND(BD802=1,D802="proMX",E802&amp;""&lt;&gt;""),IF(COUNTIFS($D$5:D801,"proMX",$E$5:E801,E802,$BD$5:BD801,1)=0,MAX($CC$5:CC801)+1,""),"")</f>
        <v/>
      </c>
      <c r="CD802" s="80" t="str">
        <f>IF(AND(BE802=1,D802="Malcolm",F802&amp;""&lt;&gt;""),IF(COUNTIFS($D$5:D801,"Malcolm",$F$5:F801,F802,$BE$5:BE801,1)=0,MAX($CD$5:CD801)+1,""),"")</f>
        <v/>
      </c>
      <c r="CE802" s="80" t="str">
        <f>IF(AND(BD802=1,D802="proMX",F802&amp;""&lt;&gt;""),IF(COUNTIFS($D$5:D801,"proMX",$F$5:F801,F802,$BD$5:BD801,1)=0,MAX($CE$5:CE801)+1,""),"")</f>
        <v/>
      </c>
      <c r="CF802" s="80" t="str">
        <f>IF(AND(D802="proMX",BD802=1),IF(OR(BF802="Draft",BF802="Submitted",BF802="Returned",BF802="Recall Requested"),MAX($CF$5:CF801)+1,""),"")</f>
        <v/>
      </c>
      <c r="CG802" s="80">
        <f>IF(BD802=0,0,IF(D802="Malcolm",1,MATCH(BF802,{"Draft","Submitted","Approved","Returned","Recall Requested","Cancelled"},0)+1))</f>
        <v>0</v>
      </c>
      <c r="CH802" s="80">
        <f>IF(AND(BF802="Submitted",ISNUMBER(V802)),IF(V802&gt;CFG_MAXD,1,0),0)</f>
        <v>0</v>
      </c>
    </row>
    <row r="803">
      <c r="A803" s="71" t="str">
        <f>IF(Y803=1,ROW()-5,"")</f>
        <v/>
      </c>
      <c r="B803" s="72" t="n"/>
      <c r="C803" s="71" t="str">
        <f>IF(ISNUMBER(B803),CHOOSE(WEEKDAY(B803,2),"Lun","Mar","Mié","Jue","Vie","Sáb","Dom"),"")</f>
        <v/>
      </c>
      <c r="D803" s="73" t="n"/>
      <c r="E803" s="74" t="n"/>
      <c r="F803" s="74" t="n"/>
      <c r="G803" s="74" t="n"/>
      <c r="H803" s="75" t="n"/>
      <c r="I803" s="75" t="n"/>
      <c r="J803" s="76" t="n"/>
      <c r="K803" s="77" t="str">
        <f>IF(AB803=1,ROUND(AG803/60,4),"")</f>
        <v/>
      </c>
      <c r="L803" s="77" t="str">
        <f>IF(BD803=1,ROUND(AP803/60,4),"")</f>
        <v/>
      </c>
      <c r="M803" s="77" t="str">
        <f>IF(BD803=1,ROUND(AQ803/60,4),"")</f>
        <v/>
      </c>
      <c r="N803" s="71" t="str">
        <f>IF(AND(D803="proMX",AB803=1),ROUND(AG803/CFG_BLK,2),"")</f>
        <v/>
      </c>
      <c r="O803" s="77" t="str">
        <f>IF(D803="proMX",IF(BD803=1,ROUND(AG803/60,4),0),"")</f>
        <v/>
      </c>
      <c r="P803" s="78" t="str">
        <f>IF(Y803=0,"",IF(BD803=1,"OK",IF(D803="proMX","Revisar bloques: ","Revisar: ")&amp;BC803))</f>
        <v/>
      </c>
      <c r="Q803" s="78" t="str">
        <f>IF(NOT(ISNUMBER(B803)),"",IF(COUNTIFS(FER_F,INT(B803))&gt;0,"Feriado"&amp;IF(AH803=1," (laborable)"," (no laborable)"),IF(AH803=1,"Laborable",IF(WEEKDAY(B803,2)&gt;5,"Fin de semana","No laborable"))))</f>
        <v/>
      </c>
      <c r="R803" s="73" t="n"/>
      <c r="S803" s="72" t="n"/>
      <c r="T803" s="72" t="n"/>
      <c r="U803" s="74" t="n"/>
      <c r="V803" s="79" t="str">
        <f>IF(AND(D803="proMX",OR(R803="Submitted",R803="Recall Requested"),ISNUMBER(S803)),CFG_TODAY-INT(S803),"")</f>
        <v/>
      </c>
      <c r="W803" s="78" t="str">
        <f>IF(BD803=0,"",IF(BA803&gt;0,"⚠ Se superpone con un registro de la otra empresa",IF(D803="Malcolm",IF(COUNTA(R803,S803,T803)&gt;0,"Estado/fechas proMX se ignoran en Malcolm",""),IF(BF803="Cancelled","Cancelado: excluido de totales",IF(R803="","Sin estado: se trata como Draft",IF(BF803="Submitted",IF(ISNUMBER(V803),IF(V803&gt;CFG_MAXD,"⚠ "&amp;V803&amp;" días en Submitted (máx. "&amp;CFG_MAXD&amp;")",""),"Falta fecha de envío"),IF(BF803="Returned","⚠ Devuelto: corregir y reenviar",IF(BF803="Recall Requested","Retirada solicitada: pendiente",IF(AND(BF803="Approved",NOT(ISNUMBER(T803))),"Falta fecha de aprobación",IF(AND(ISNUMBER(S803),ISNUMBER(T803),T803&lt;S803),"Aprobación anterior al envío","")))))))))</f>
        <v/>
      </c>
      <c r="Y803" s="80">
        <f>IF(COUNTA(B803,D803,E803,F803,G803,H803,I803,J803,R803,S803,T803)&gt;0,1,0)</f>
        <v>0</v>
      </c>
      <c r="Z803" s="80" t="str">
        <f>IF(AND(ISNUMBER(H803),H803&gt;=0,H803&lt;1),ROUND(H803*1440,0),"")</f>
        <v/>
      </c>
      <c r="AA803" s="80" t="str">
        <f>IF(AND(ISNUMBER(I803),I803&gt;=0,I803&lt;1),ROUND(I803*1440,0),"")</f>
        <v/>
      </c>
      <c r="AB803" s="80">
        <f>IF(AND(ISNUMBER(B803),D803&lt;&gt;"",ISNUMBER(Z803),ISNUMBER(AA803)),IF(Z803=AA803,0,1),0)</f>
        <v>0</v>
      </c>
      <c r="AC803" s="80">
        <f>IF(AB803=1,IF(AA803&lt;Z803,1,0),0)</f>
        <v>0</v>
      </c>
      <c r="AD803" s="80">
        <f>IF(AB803=1,IF(AC803=1,1440-Z803+AA803,AA803-Z803),0)</f>
        <v>0</v>
      </c>
      <c r="AE803" s="80">
        <f>IF(J803="",0,IF(ISNUMBER(J803),J803,-1))</f>
        <v>0</v>
      </c>
      <c r="AF803" s="80">
        <f>MIN(MAX(0,AE803),AD803)</f>
        <v>0</v>
      </c>
      <c r="AG803" s="80">
        <f>MAX(0,AD803-MAX(0,AE803))</f>
        <v>0</v>
      </c>
      <c r="AH803" s="80">
        <f>IF(ISNUMBER(B803),IF(AND(INDEX(CFG_WDAYS,WEEKDAY(INT(B803),2))="Sí",IF(D803="proMX",COUNTIFS(FER_F,INT(B803),FER_NLP,"Sí"),COUNTIFS(FER_F,INT(B803),FER_NLM,"Sí"))=0),1,0),0)</f>
        <v>0</v>
      </c>
      <c r="AI803" s="80">
        <f>IF(AC803=1,IF(AND(INDEX(CFG_WDAYS,WEEKDAY(INT(B803)+1,2))="Sí",IF(D803="proMX",COUNTIFS(FER_F,INT(B803)+1,FER_NLP,"Sí"),COUNTIFS(FER_F,INT(B803)+1,FER_NLM,"Sí"))=0),1,0),0)</f>
        <v>0</v>
      </c>
      <c r="AJ803" s="80">
        <f>IF(AC803=1,1440-Z803,AD803)</f>
        <v>0</v>
      </c>
      <c r="AK803" s="80">
        <f>IF(AND(AB803=1,AH803=1),MAX(0,MIN(IF(AC803=1,1440,AA803),CFG_WEM)-MAX(Z803,CFG_WSM)),0)</f>
        <v>0</v>
      </c>
      <c r="AL803" s="80">
        <f>IF(AND(AC803=1,AI803=1),MAX(0,MIN(AA803,CFG_WEM)-CFG_WSM),0)</f>
        <v>0</v>
      </c>
      <c r="AM803" s="80">
        <f>AK803+AL803</f>
        <v>0</v>
      </c>
      <c r="AN803" s="80">
        <f>IF(CFG_BRK="Proporcional",IF(AD803=0,0,AF803*AM803/AD803),IF(CFG_BRK="Extras primero",MIN(AM803,MAX(0,AF803-(AD803-AM803))),MIN(AF803,AM803)))</f>
        <v>0</v>
      </c>
      <c r="AO803" s="80">
        <f>AF803-AN803</f>
        <v>0</v>
      </c>
      <c r="AP803" s="80">
        <f>AM803-AN803</f>
        <v>0</v>
      </c>
      <c r="AQ803" s="80">
        <f>AD803-AM803-AO803</f>
        <v>0</v>
      </c>
      <c r="AR803" s="80">
        <f>IF(AM803=0,0,AK803-AN803*AK803/AM803)</f>
        <v>0</v>
      </c>
      <c r="AS803" s="80">
        <f>IF(AD803-AM803=0,0,(AJ803-AK803)-AO803*(AJ803-AK803)/(AD803-AM803))</f>
        <v>0</v>
      </c>
      <c r="AT803" s="80" t="str">
        <f>IF(AC803=1,INT(B803)+1,"")</f>
        <v/>
      </c>
      <c r="AU803" s="80">
        <f>IF(AND(D803="proMX",R803="Cancelled"),0,1)</f>
        <v>1</v>
      </c>
      <c r="AV803" s="80">
        <f>IF(AND(AB803=1,AU803=1),IF(COUNTIFS($D$5:D802,D803,$B$5:B802,B803,$Z$5:Z802,Z803,$AA$5:AA802,AA803,$F$5:F802,F803&amp;"",$AU$5:AU802,1)&gt;0,1,0),0)</f>
        <v>0</v>
      </c>
      <c r="AW803" s="80" t="str">
        <f>IF(AB803=1,INT(B803)*1440+Z803,"")</f>
        <v/>
      </c>
      <c r="AX803" s="80" t="str">
        <f>IF(AB803=1,AW803+AD803,"")</f>
        <v/>
      </c>
      <c r="AY803" s="80">
        <f>IF(AND(AB803=1,AV803=0,AU803=1),1,0)</f>
        <v>0</v>
      </c>
      <c r="AZ803" s="80">
        <f>IF(AY803=1,COUNTIFS(R_Emp,D803,R_SAbs,"&lt;"&amp;AX803,R_EAbs,"&gt;"&amp;AW803,R_OKey,1)-1,0)</f>
        <v>0</v>
      </c>
      <c r="BA803" s="80">
        <f>IF(AY803=1,COUNTIFS(R_Emp,"&lt;&gt;"&amp;D803,R_SAbs,"&lt;"&amp;AX803,R_EAbs,"&gt;"&amp;AW803,R_OKey,1),0)</f>
        <v>0</v>
      </c>
      <c r="BB803" s="80">
        <f>IF(AND(AB803=1,D803="proMX"),IF(AND(MOD(Z803,CFG_BLK)=0,MOD(AA803,CFG_BLK)=0,MOD(AG803,CFG_BLK)=0,AG803&gt;0),1,0),1)</f>
        <v>1</v>
      </c>
      <c r="BC803" s="80" t="str">
        <f>IF(Y803=0,"",IF(NOT(ISNUMBER(B803)),"Falta fecha o fecha inválida",IF(D803="","Falta empresa",IF(AND(D803&lt;&gt;"Malcolm",D803&lt;&gt;"proMX"),"Empresa inválida",IF(OR(INT(B803)&lt;CFG_PSTART,INT(B803)&gt;CFG_PEND),"Fecha fuera del período",IF(OR(NOT(ISNUMBER(Z803)),NOT(ISNUMBER(AA803))),"Falta hora inicio/fin o formato inválido",IF(AB803=0,"Hora inicio = hora fin",IF(AE803&lt;0,"Descanso inválido",IF(AE803&gt;=AD803,"Descanso ≥ duración",IF(AV803=1,"Registro duplicado",IF(AZ803&gt;0,"Se superpone con otro registro "&amp;D803,IF(BB803=0,"inicio, fin y duración neta deben ser múltiplos de "&amp;CFG_BLK&amp;" min",""))))))))))))</f>
        <v/>
      </c>
      <c r="BD803" s="80">
        <f>IF(AND(Y803=1,BC803=""),1,0)</f>
        <v>0</v>
      </c>
      <c r="BE803" s="80">
        <f>IF(AND(BD803=1,AU803=1),1,0)</f>
        <v>0</v>
      </c>
      <c r="BF803" s="80" t="str">
        <f>IF(AND(D803="proMX",BD803=1),IF(R803="","Draft",R803),"")</f>
        <v/>
      </c>
      <c r="BG803" s="80">
        <f>IF(BD803=1,ROUND(AG803/60,6),0)</f>
        <v>0</v>
      </c>
      <c r="BH803" s="80">
        <f>IF(BE803=1,ROUND(AG803/60,6),0)</f>
        <v>0</v>
      </c>
      <c r="BI803" s="80">
        <f>IF(BE803=1,ROUND(AP803/60,6),0)</f>
        <v>0</v>
      </c>
      <c r="BJ803" s="80">
        <f>IF(BE803=1,ROUND(AQ803/60,6),0)</f>
        <v>0</v>
      </c>
      <c r="BK803" s="80">
        <f>IF(BE803=1,ROUND((AR803+AS803)/60,6),0)</f>
        <v>0</v>
      </c>
      <c r="BL803" s="80">
        <f>ROUND(BH803-BK803,6)</f>
        <v>0</v>
      </c>
      <c r="BM803" s="80">
        <f>IF(BE803=1,ROUND(AR803/60,6),0)</f>
        <v>0</v>
      </c>
      <c r="BN803" s="80">
        <f>ROUND(BI803-BM803,6)</f>
        <v>0</v>
      </c>
      <c r="BO803" s="80">
        <f>IF(BE803=1,ROUND(AS803/60,6),0)</f>
        <v>0</v>
      </c>
      <c r="BP803" s="80">
        <f>ROUND(BJ803-BO803,6)</f>
        <v>0</v>
      </c>
      <c r="BQ803" s="80">
        <f>IF(BE803=1,AW803,0)</f>
        <v>0</v>
      </c>
      <c r="BR803" s="80">
        <f>IF(BE803=1,AX803,0)</f>
        <v>0</v>
      </c>
      <c r="BS803" s="80">
        <f>IF(AND(BE803=1,D803="Malcolm",BA803&gt;0),MIN(BH803,SUMPRODUCT((R_Emp="proMX")*(R_EN&gt;0)*((R_EN-(R_EN&gt;BR803)*(R_EN-BR803))&gt;(R_SN+(R_SN&lt;BQ803)*(BQ803-R_SN)))*((R_EN-(R_EN&gt;BR803)*(R_EN-BR803))-(R_SN+(R_SN&lt;BQ803)*(BQ803-R_SN))))/60),0)</f>
        <v>0</v>
      </c>
      <c r="BT803" s="80">
        <f>IF(AND(BE803=1,D803="proMX"),ROUND(BI803*CFG_RATE+BJ803*CFG_OTRATE,6),0)</f>
        <v>0</v>
      </c>
      <c r="BU803" s="80">
        <f>IF(AND(BD803=1,D803="proMX"),ROUND(AG803/CFG_BLK,6),0)</f>
        <v>0</v>
      </c>
      <c r="BV803" s="80" t="str">
        <f>IF(BF803="Approved",IF(ISNUMBER(T803),INT(T803),INT(B803)),"")</f>
        <v/>
      </c>
      <c r="BW803" s="80">
        <f>IF(ISNUMBER(B803),IF(DB_MON="Todos",1,IF(AND(INT(B803)&gt;=DB_MS,INT(B803)&lt;=DB_ME),1,0)),0)</f>
        <v>0</v>
      </c>
      <c r="BX803" s="80">
        <f>IF(DB_PROJ="Todos",1,IF(E803&amp;""=DB_PROJ&amp;"",1,0))</f>
        <v>1</v>
      </c>
      <c r="BY803" s="80">
        <f>BW803*BX803</f>
        <v>0</v>
      </c>
      <c r="BZ803" s="80" t="str">
        <f>IF(Y803=1,F803&amp;IF(AND(F803&amp;""&lt;&gt;"",E803&amp;""&lt;&gt;"")," · ","")&amp;E803,"")</f>
        <v/>
      </c>
      <c r="CA803" s="80" t="str">
        <f>IF(AND(BD803=1,E803&amp;""&lt;&gt;""),IF(COUNTIFS($E$5:E802,E803,$BD$5:BD802,1)=0,MAX($CA$5:CA802)+1,""),"")</f>
        <v/>
      </c>
      <c r="CB803" s="80" t="str">
        <f>IF(AND(BE803=1,D803="Malcolm",E803&amp;""&lt;&gt;""),IF(COUNTIFS($D$5:D802,"Malcolm",$E$5:E802,E803,$BE$5:BE802,1)=0,MAX($CB$5:CB802)+1,""),"")</f>
        <v/>
      </c>
      <c r="CC803" s="80" t="str">
        <f>IF(AND(BD803=1,D803="proMX",E803&amp;""&lt;&gt;""),IF(COUNTIFS($D$5:D802,"proMX",$E$5:E802,E803,$BD$5:BD802,1)=0,MAX($CC$5:CC802)+1,""),"")</f>
        <v/>
      </c>
      <c r="CD803" s="80" t="str">
        <f>IF(AND(BE803=1,D803="Malcolm",F803&amp;""&lt;&gt;""),IF(COUNTIFS($D$5:D802,"Malcolm",$F$5:F802,F803,$BE$5:BE802,1)=0,MAX($CD$5:CD802)+1,""),"")</f>
        <v/>
      </c>
      <c r="CE803" s="80" t="str">
        <f>IF(AND(BD803=1,D803="proMX",F803&amp;""&lt;&gt;""),IF(COUNTIFS($D$5:D802,"proMX",$F$5:F802,F803,$BD$5:BD802,1)=0,MAX($CE$5:CE802)+1,""),"")</f>
        <v/>
      </c>
      <c r="CF803" s="80" t="str">
        <f>IF(AND(D803="proMX",BD803=1),IF(OR(BF803="Draft",BF803="Submitted",BF803="Returned",BF803="Recall Requested"),MAX($CF$5:CF802)+1,""),"")</f>
        <v/>
      </c>
      <c r="CG803" s="80">
        <f>IF(BD803=0,0,IF(D803="Malcolm",1,MATCH(BF803,{"Draft","Submitted","Approved","Returned","Recall Requested","Cancelled"},0)+1))</f>
        <v>0</v>
      </c>
      <c r="CH803" s="80">
        <f>IF(AND(BF803="Submitted",ISNUMBER(V803)),IF(V803&gt;CFG_MAXD,1,0),0)</f>
        <v>0</v>
      </c>
    </row>
    <row r="804">
      <c r="A804" s="71" t="str">
        <f>IF(Y804=1,ROW()-5,"")</f>
        <v/>
      </c>
      <c r="B804" s="72" t="n"/>
      <c r="C804" s="71" t="str">
        <f>IF(ISNUMBER(B804),CHOOSE(WEEKDAY(B804,2),"Lun","Mar","Mié","Jue","Vie","Sáb","Dom"),"")</f>
        <v/>
      </c>
      <c r="D804" s="73" t="n"/>
      <c r="E804" s="74" t="n"/>
      <c r="F804" s="74" t="n"/>
      <c r="G804" s="74" t="n"/>
      <c r="H804" s="75" t="n"/>
      <c r="I804" s="75" t="n"/>
      <c r="J804" s="76" t="n"/>
      <c r="K804" s="77" t="str">
        <f>IF(AB804=1,ROUND(AG804/60,4),"")</f>
        <v/>
      </c>
      <c r="L804" s="77" t="str">
        <f>IF(BD804=1,ROUND(AP804/60,4),"")</f>
        <v/>
      </c>
      <c r="M804" s="77" t="str">
        <f>IF(BD804=1,ROUND(AQ804/60,4),"")</f>
        <v/>
      </c>
      <c r="N804" s="71" t="str">
        <f>IF(AND(D804="proMX",AB804=1),ROUND(AG804/CFG_BLK,2),"")</f>
        <v/>
      </c>
      <c r="O804" s="77" t="str">
        <f>IF(D804="proMX",IF(BD804=1,ROUND(AG804/60,4),0),"")</f>
        <v/>
      </c>
      <c r="P804" s="78" t="str">
        <f>IF(Y804=0,"",IF(BD804=1,"OK",IF(D804="proMX","Revisar bloques: ","Revisar: ")&amp;BC804))</f>
        <v/>
      </c>
      <c r="Q804" s="78" t="str">
        <f>IF(NOT(ISNUMBER(B804)),"",IF(COUNTIFS(FER_F,INT(B804))&gt;0,"Feriado"&amp;IF(AH804=1," (laborable)"," (no laborable)"),IF(AH804=1,"Laborable",IF(WEEKDAY(B804,2)&gt;5,"Fin de semana","No laborable"))))</f>
        <v/>
      </c>
      <c r="R804" s="73" t="n"/>
      <c r="S804" s="72" t="n"/>
      <c r="T804" s="72" t="n"/>
      <c r="U804" s="74" t="n"/>
      <c r="V804" s="79" t="str">
        <f>IF(AND(D804="proMX",OR(R804="Submitted",R804="Recall Requested"),ISNUMBER(S804)),CFG_TODAY-INT(S804),"")</f>
        <v/>
      </c>
      <c r="W804" s="78" t="str">
        <f>IF(BD804=0,"",IF(BA804&gt;0,"⚠ Se superpone con un registro de la otra empresa",IF(D804="Malcolm",IF(COUNTA(R804,S804,T804)&gt;0,"Estado/fechas proMX se ignoran en Malcolm",""),IF(BF804="Cancelled","Cancelado: excluido de totales",IF(R804="","Sin estado: se trata como Draft",IF(BF804="Submitted",IF(ISNUMBER(V804),IF(V804&gt;CFG_MAXD,"⚠ "&amp;V804&amp;" días en Submitted (máx. "&amp;CFG_MAXD&amp;")",""),"Falta fecha de envío"),IF(BF804="Returned","⚠ Devuelto: corregir y reenviar",IF(BF804="Recall Requested","Retirada solicitada: pendiente",IF(AND(BF804="Approved",NOT(ISNUMBER(T804))),"Falta fecha de aprobación",IF(AND(ISNUMBER(S804),ISNUMBER(T804),T804&lt;S804),"Aprobación anterior al envío","")))))))))</f>
        <v/>
      </c>
      <c r="Y804" s="80">
        <f>IF(COUNTA(B804,D804,E804,F804,G804,H804,I804,J804,R804,S804,T804)&gt;0,1,0)</f>
        <v>0</v>
      </c>
      <c r="Z804" s="80" t="str">
        <f>IF(AND(ISNUMBER(H804),H804&gt;=0,H804&lt;1),ROUND(H804*1440,0),"")</f>
        <v/>
      </c>
      <c r="AA804" s="80" t="str">
        <f>IF(AND(ISNUMBER(I804),I804&gt;=0,I804&lt;1),ROUND(I804*1440,0),"")</f>
        <v/>
      </c>
      <c r="AB804" s="80">
        <f>IF(AND(ISNUMBER(B804),D804&lt;&gt;"",ISNUMBER(Z804),ISNUMBER(AA804)),IF(Z804=AA804,0,1),0)</f>
        <v>0</v>
      </c>
      <c r="AC804" s="80">
        <f>IF(AB804=1,IF(AA804&lt;Z804,1,0),0)</f>
        <v>0</v>
      </c>
      <c r="AD804" s="80">
        <f>IF(AB804=1,IF(AC804=1,1440-Z804+AA804,AA804-Z804),0)</f>
        <v>0</v>
      </c>
      <c r="AE804" s="80">
        <f>IF(J804="",0,IF(ISNUMBER(J804),J804,-1))</f>
        <v>0</v>
      </c>
      <c r="AF804" s="80">
        <f>MIN(MAX(0,AE804),AD804)</f>
        <v>0</v>
      </c>
      <c r="AG804" s="80">
        <f>MAX(0,AD804-MAX(0,AE804))</f>
        <v>0</v>
      </c>
      <c r="AH804" s="80">
        <f>IF(ISNUMBER(B804),IF(AND(INDEX(CFG_WDAYS,WEEKDAY(INT(B804),2))="Sí",IF(D804="proMX",COUNTIFS(FER_F,INT(B804),FER_NLP,"Sí"),COUNTIFS(FER_F,INT(B804),FER_NLM,"Sí"))=0),1,0),0)</f>
        <v>0</v>
      </c>
      <c r="AI804" s="80">
        <f>IF(AC804=1,IF(AND(INDEX(CFG_WDAYS,WEEKDAY(INT(B804)+1,2))="Sí",IF(D804="proMX",COUNTIFS(FER_F,INT(B804)+1,FER_NLP,"Sí"),COUNTIFS(FER_F,INT(B804)+1,FER_NLM,"Sí"))=0),1,0),0)</f>
        <v>0</v>
      </c>
      <c r="AJ804" s="80">
        <f>IF(AC804=1,1440-Z804,AD804)</f>
        <v>0</v>
      </c>
      <c r="AK804" s="80">
        <f>IF(AND(AB804=1,AH804=1),MAX(0,MIN(IF(AC804=1,1440,AA804),CFG_WEM)-MAX(Z804,CFG_WSM)),0)</f>
        <v>0</v>
      </c>
      <c r="AL804" s="80">
        <f>IF(AND(AC804=1,AI804=1),MAX(0,MIN(AA804,CFG_WEM)-CFG_WSM),0)</f>
        <v>0</v>
      </c>
      <c r="AM804" s="80">
        <f>AK804+AL804</f>
        <v>0</v>
      </c>
      <c r="AN804" s="80">
        <f>IF(CFG_BRK="Proporcional",IF(AD804=0,0,AF804*AM804/AD804),IF(CFG_BRK="Extras primero",MIN(AM804,MAX(0,AF804-(AD804-AM804))),MIN(AF804,AM804)))</f>
        <v>0</v>
      </c>
      <c r="AO804" s="80">
        <f>AF804-AN804</f>
        <v>0</v>
      </c>
      <c r="AP804" s="80">
        <f>AM804-AN804</f>
        <v>0</v>
      </c>
      <c r="AQ804" s="80">
        <f>AD804-AM804-AO804</f>
        <v>0</v>
      </c>
      <c r="AR804" s="80">
        <f>IF(AM804=0,0,AK804-AN804*AK804/AM804)</f>
        <v>0</v>
      </c>
      <c r="AS804" s="80">
        <f>IF(AD804-AM804=0,0,(AJ804-AK804)-AO804*(AJ804-AK804)/(AD804-AM804))</f>
        <v>0</v>
      </c>
      <c r="AT804" s="80" t="str">
        <f>IF(AC804=1,INT(B804)+1,"")</f>
        <v/>
      </c>
      <c r="AU804" s="80">
        <f>IF(AND(D804="proMX",R804="Cancelled"),0,1)</f>
        <v>1</v>
      </c>
      <c r="AV804" s="80">
        <f>IF(AND(AB804=1,AU804=1),IF(COUNTIFS($D$5:D803,D804,$B$5:B803,B804,$Z$5:Z803,Z804,$AA$5:AA803,AA804,$F$5:F803,F804&amp;"",$AU$5:AU803,1)&gt;0,1,0),0)</f>
        <v>0</v>
      </c>
      <c r="AW804" s="80" t="str">
        <f>IF(AB804=1,INT(B804)*1440+Z804,"")</f>
        <v/>
      </c>
      <c r="AX804" s="80" t="str">
        <f>IF(AB804=1,AW804+AD804,"")</f>
        <v/>
      </c>
      <c r="AY804" s="80">
        <f>IF(AND(AB804=1,AV804=0,AU804=1),1,0)</f>
        <v>0</v>
      </c>
      <c r="AZ804" s="80">
        <f>IF(AY804=1,COUNTIFS(R_Emp,D804,R_SAbs,"&lt;"&amp;AX804,R_EAbs,"&gt;"&amp;AW804,R_OKey,1)-1,0)</f>
        <v>0</v>
      </c>
      <c r="BA804" s="80">
        <f>IF(AY804=1,COUNTIFS(R_Emp,"&lt;&gt;"&amp;D804,R_SAbs,"&lt;"&amp;AX804,R_EAbs,"&gt;"&amp;AW804,R_OKey,1),0)</f>
        <v>0</v>
      </c>
      <c r="BB804" s="80">
        <f>IF(AND(AB804=1,D804="proMX"),IF(AND(MOD(Z804,CFG_BLK)=0,MOD(AA804,CFG_BLK)=0,MOD(AG804,CFG_BLK)=0,AG804&gt;0),1,0),1)</f>
        <v>1</v>
      </c>
      <c r="BC804" s="80" t="str">
        <f>IF(Y804=0,"",IF(NOT(ISNUMBER(B804)),"Falta fecha o fecha inválida",IF(D804="","Falta empresa",IF(AND(D804&lt;&gt;"Malcolm",D804&lt;&gt;"proMX"),"Empresa inválida",IF(OR(INT(B804)&lt;CFG_PSTART,INT(B804)&gt;CFG_PEND),"Fecha fuera del período",IF(OR(NOT(ISNUMBER(Z804)),NOT(ISNUMBER(AA804))),"Falta hora inicio/fin o formato inválido",IF(AB804=0,"Hora inicio = hora fin",IF(AE804&lt;0,"Descanso inválido",IF(AE804&gt;=AD804,"Descanso ≥ duración",IF(AV804=1,"Registro duplicado",IF(AZ804&gt;0,"Se superpone con otro registro "&amp;D804,IF(BB804=0,"inicio, fin y duración neta deben ser múltiplos de "&amp;CFG_BLK&amp;" min",""))))))))))))</f>
        <v/>
      </c>
      <c r="BD804" s="80">
        <f>IF(AND(Y804=1,BC804=""),1,0)</f>
        <v>0</v>
      </c>
      <c r="BE804" s="80">
        <f>IF(AND(BD804=1,AU804=1),1,0)</f>
        <v>0</v>
      </c>
      <c r="BF804" s="80" t="str">
        <f>IF(AND(D804="proMX",BD804=1),IF(R804="","Draft",R804),"")</f>
        <v/>
      </c>
      <c r="BG804" s="80">
        <f>IF(BD804=1,ROUND(AG804/60,6),0)</f>
        <v>0</v>
      </c>
      <c r="BH804" s="80">
        <f>IF(BE804=1,ROUND(AG804/60,6),0)</f>
        <v>0</v>
      </c>
      <c r="BI804" s="80">
        <f>IF(BE804=1,ROUND(AP804/60,6),0)</f>
        <v>0</v>
      </c>
      <c r="BJ804" s="80">
        <f>IF(BE804=1,ROUND(AQ804/60,6),0)</f>
        <v>0</v>
      </c>
      <c r="BK804" s="80">
        <f>IF(BE804=1,ROUND((AR804+AS804)/60,6),0)</f>
        <v>0</v>
      </c>
      <c r="BL804" s="80">
        <f>ROUND(BH804-BK804,6)</f>
        <v>0</v>
      </c>
      <c r="BM804" s="80">
        <f>IF(BE804=1,ROUND(AR804/60,6),0)</f>
        <v>0</v>
      </c>
      <c r="BN804" s="80">
        <f>ROUND(BI804-BM804,6)</f>
        <v>0</v>
      </c>
      <c r="BO804" s="80">
        <f>IF(BE804=1,ROUND(AS804/60,6),0)</f>
        <v>0</v>
      </c>
      <c r="BP804" s="80">
        <f>ROUND(BJ804-BO804,6)</f>
        <v>0</v>
      </c>
      <c r="BQ804" s="80">
        <f>IF(BE804=1,AW804,0)</f>
        <v>0</v>
      </c>
      <c r="BR804" s="80">
        <f>IF(BE804=1,AX804,0)</f>
        <v>0</v>
      </c>
      <c r="BS804" s="80">
        <f>IF(AND(BE804=1,D804="Malcolm",BA804&gt;0),MIN(BH804,SUMPRODUCT((R_Emp="proMX")*(R_EN&gt;0)*((R_EN-(R_EN&gt;BR804)*(R_EN-BR804))&gt;(R_SN+(R_SN&lt;BQ804)*(BQ804-R_SN)))*((R_EN-(R_EN&gt;BR804)*(R_EN-BR804))-(R_SN+(R_SN&lt;BQ804)*(BQ804-R_SN))))/60),0)</f>
        <v>0</v>
      </c>
      <c r="BT804" s="80">
        <f>IF(AND(BE804=1,D804="proMX"),ROUND(BI804*CFG_RATE+BJ804*CFG_OTRATE,6),0)</f>
        <v>0</v>
      </c>
      <c r="BU804" s="80">
        <f>IF(AND(BD804=1,D804="proMX"),ROUND(AG804/CFG_BLK,6),0)</f>
        <v>0</v>
      </c>
      <c r="BV804" s="80" t="str">
        <f>IF(BF804="Approved",IF(ISNUMBER(T804),INT(T804),INT(B804)),"")</f>
        <v/>
      </c>
      <c r="BW804" s="80">
        <f>IF(ISNUMBER(B804),IF(DB_MON="Todos",1,IF(AND(INT(B804)&gt;=DB_MS,INT(B804)&lt;=DB_ME),1,0)),0)</f>
        <v>0</v>
      </c>
      <c r="BX804" s="80">
        <f>IF(DB_PROJ="Todos",1,IF(E804&amp;""=DB_PROJ&amp;"",1,0))</f>
        <v>1</v>
      </c>
      <c r="BY804" s="80">
        <f>BW804*BX804</f>
        <v>0</v>
      </c>
      <c r="BZ804" s="80" t="str">
        <f>IF(Y804=1,F804&amp;IF(AND(F804&amp;""&lt;&gt;"",E804&amp;""&lt;&gt;"")," · ","")&amp;E804,"")</f>
        <v/>
      </c>
      <c r="CA804" s="80" t="str">
        <f>IF(AND(BD804=1,E804&amp;""&lt;&gt;""),IF(COUNTIFS($E$5:E803,E804,$BD$5:BD803,1)=0,MAX($CA$5:CA803)+1,""),"")</f>
        <v/>
      </c>
      <c r="CB804" s="80" t="str">
        <f>IF(AND(BE804=1,D804="Malcolm",E804&amp;""&lt;&gt;""),IF(COUNTIFS($D$5:D803,"Malcolm",$E$5:E803,E804,$BE$5:BE803,1)=0,MAX($CB$5:CB803)+1,""),"")</f>
        <v/>
      </c>
      <c r="CC804" s="80" t="str">
        <f>IF(AND(BD804=1,D804="proMX",E804&amp;""&lt;&gt;""),IF(COUNTIFS($D$5:D803,"proMX",$E$5:E803,E804,$BD$5:BD803,1)=0,MAX($CC$5:CC803)+1,""),"")</f>
        <v/>
      </c>
      <c r="CD804" s="80" t="str">
        <f>IF(AND(BE804=1,D804="Malcolm",F804&amp;""&lt;&gt;""),IF(COUNTIFS($D$5:D803,"Malcolm",$F$5:F803,F804,$BE$5:BE803,1)=0,MAX($CD$5:CD803)+1,""),"")</f>
        <v/>
      </c>
      <c r="CE804" s="80" t="str">
        <f>IF(AND(BD804=1,D804="proMX",F804&amp;""&lt;&gt;""),IF(COUNTIFS($D$5:D803,"proMX",$F$5:F803,F804,$BD$5:BD803,1)=0,MAX($CE$5:CE803)+1,""),"")</f>
        <v/>
      </c>
      <c r="CF804" s="80" t="str">
        <f>IF(AND(D804="proMX",BD804=1),IF(OR(BF804="Draft",BF804="Submitted",BF804="Returned",BF804="Recall Requested"),MAX($CF$5:CF803)+1,""),"")</f>
        <v/>
      </c>
      <c r="CG804" s="80">
        <f>IF(BD804=0,0,IF(D804="Malcolm",1,MATCH(BF804,{"Draft","Submitted","Approved","Returned","Recall Requested","Cancelled"},0)+1))</f>
        <v>0</v>
      </c>
      <c r="CH804" s="80">
        <f>IF(AND(BF804="Submitted",ISNUMBER(V804)),IF(V804&gt;CFG_MAXD,1,0),0)</f>
        <v>0</v>
      </c>
    </row>
    <row r="805">
      <c r="A805" s="71" t="str">
        <f>IF(Y805=1,ROW()-5,"")</f>
        <v/>
      </c>
      <c r="B805" s="72" t="n"/>
      <c r="C805" s="71" t="str">
        <f>IF(ISNUMBER(B805),CHOOSE(WEEKDAY(B805,2),"Lun","Mar","Mié","Jue","Vie","Sáb","Dom"),"")</f>
        <v/>
      </c>
      <c r="D805" s="73" t="n"/>
      <c r="E805" s="74" t="n"/>
      <c r="F805" s="74" t="n"/>
      <c r="G805" s="74" t="n"/>
      <c r="H805" s="75" t="n"/>
      <c r="I805" s="75" t="n"/>
      <c r="J805" s="76" t="n"/>
      <c r="K805" s="77" t="str">
        <f>IF(AB805=1,ROUND(AG805/60,4),"")</f>
        <v/>
      </c>
      <c r="L805" s="77" t="str">
        <f>IF(BD805=1,ROUND(AP805/60,4),"")</f>
        <v/>
      </c>
      <c r="M805" s="77" t="str">
        <f>IF(BD805=1,ROUND(AQ805/60,4),"")</f>
        <v/>
      </c>
      <c r="N805" s="71" t="str">
        <f>IF(AND(D805="proMX",AB805=1),ROUND(AG805/CFG_BLK,2),"")</f>
        <v/>
      </c>
      <c r="O805" s="77" t="str">
        <f>IF(D805="proMX",IF(BD805=1,ROUND(AG805/60,4),0),"")</f>
        <v/>
      </c>
      <c r="P805" s="78" t="str">
        <f>IF(Y805=0,"",IF(BD805=1,"OK",IF(D805="proMX","Revisar bloques: ","Revisar: ")&amp;BC805))</f>
        <v/>
      </c>
      <c r="Q805" s="78" t="str">
        <f>IF(NOT(ISNUMBER(B805)),"",IF(COUNTIFS(FER_F,INT(B805))&gt;0,"Feriado"&amp;IF(AH805=1," (laborable)"," (no laborable)"),IF(AH805=1,"Laborable",IF(WEEKDAY(B805,2)&gt;5,"Fin de semana","No laborable"))))</f>
        <v/>
      </c>
      <c r="R805" s="73" t="n"/>
      <c r="S805" s="72" t="n"/>
      <c r="T805" s="72" t="n"/>
      <c r="U805" s="74" t="n"/>
      <c r="V805" s="79" t="str">
        <f>IF(AND(D805="proMX",OR(R805="Submitted",R805="Recall Requested"),ISNUMBER(S805)),CFG_TODAY-INT(S805),"")</f>
        <v/>
      </c>
      <c r="W805" s="78" t="str">
        <f>IF(BD805=0,"",IF(BA805&gt;0,"⚠ Se superpone con un registro de la otra empresa",IF(D805="Malcolm",IF(COUNTA(R805,S805,T805)&gt;0,"Estado/fechas proMX se ignoran en Malcolm",""),IF(BF805="Cancelled","Cancelado: excluido de totales",IF(R805="","Sin estado: se trata como Draft",IF(BF805="Submitted",IF(ISNUMBER(V805),IF(V805&gt;CFG_MAXD,"⚠ "&amp;V805&amp;" días en Submitted (máx. "&amp;CFG_MAXD&amp;")",""),"Falta fecha de envío"),IF(BF805="Returned","⚠ Devuelto: corregir y reenviar",IF(BF805="Recall Requested","Retirada solicitada: pendiente",IF(AND(BF805="Approved",NOT(ISNUMBER(T805))),"Falta fecha de aprobación",IF(AND(ISNUMBER(S805),ISNUMBER(T805),T805&lt;S805),"Aprobación anterior al envío","")))))))))</f>
        <v/>
      </c>
      <c r="Y805" s="80">
        <f>IF(COUNTA(B805,D805,E805,F805,G805,H805,I805,J805,R805,S805,T805)&gt;0,1,0)</f>
        <v>0</v>
      </c>
      <c r="Z805" s="80" t="str">
        <f>IF(AND(ISNUMBER(H805),H805&gt;=0,H805&lt;1),ROUND(H805*1440,0),"")</f>
        <v/>
      </c>
      <c r="AA805" s="80" t="str">
        <f>IF(AND(ISNUMBER(I805),I805&gt;=0,I805&lt;1),ROUND(I805*1440,0),"")</f>
        <v/>
      </c>
      <c r="AB805" s="80">
        <f>IF(AND(ISNUMBER(B805),D805&lt;&gt;"",ISNUMBER(Z805),ISNUMBER(AA805)),IF(Z805=AA805,0,1),0)</f>
        <v>0</v>
      </c>
      <c r="AC805" s="80">
        <f>IF(AB805=1,IF(AA805&lt;Z805,1,0),0)</f>
        <v>0</v>
      </c>
      <c r="AD805" s="80">
        <f>IF(AB805=1,IF(AC805=1,1440-Z805+AA805,AA805-Z805),0)</f>
        <v>0</v>
      </c>
      <c r="AE805" s="80">
        <f>IF(J805="",0,IF(ISNUMBER(J805),J805,-1))</f>
        <v>0</v>
      </c>
      <c r="AF805" s="80">
        <f>MIN(MAX(0,AE805),AD805)</f>
        <v>0</v>
      </c>
      <c r="AG805" s="80">
        <f>MAX(0,AD805-MAX(0,AE805))</f>
        <v>0</v>
      </c>
      <c r="AH805" s="80">
        <f>IF(ISNUMBER(B805),IF(AND(INDEX(CFG_WDAYS,WEEKDAY(INT(B805),2))="Sí",IF(D805="proMX",COUNTIFS(FER_F,INT(B805),FER_NLP,"Sí"),COUNTIFS(FER_F,INT(B805),FER_NLM,"Sí"))=0),1,0),0)</f>
        <v>0</v>
      </c>
      <c r="AI805" s="80">
        <f>IF(AC805=1,IF(AND(INDEX(CFG_WDAYS,WEEKDAY(INT(B805)+1,2))="Sí",IF(D805="proMX",COUNTIFS(FER_F,INT(B805)+1,FER_NLP,"Sí"),COUNTIFS(FER_F,INT(B805)+1,FER_NLM,"Sí"))=0),1,0),0)</f>
        <v>0</v>
      </c>
      <c r="AJ805" s="80">
        <f>IF(AC805=1,1440-Z805,AD805)</f>
        <v>0</v>
      </c>
      <c r="AK805" s="80">
        <f>IF(AND(AB805=1,AH805=1),MAX(0,MIN(IF(AC805=1,1440,AA805),CFG_WEM)-MAX(Z805,CFG_WSM)),0)</f>
        <v>0</v>
      </c>
      <c r="AL805" s="80">
        <f>IF(AND(AC805=1,AI805=1),MAX(0,MIN(AA805,CFG_WEM)-CFG_WSM),0)</f>
        <v>0</v>
      </c>
      <c r="AM805" s="80">
        <f>AK805+AL805</f>
        <v>0</v>
      </c>
      <c r="AN805" s="80">
        <f>IF(CFG_BRK="Proporcional",IF(AD805=0,0,AF805*AM805/AD805),IF(CFG_BRK="Extras primero",MIN(AM805,MAX(0,AF805-(AD805-AM805))),MIN(AF805,AM805)))</f>
        <v>0</v>
      </c>
      <c r="AO805" s="80">
        <f>AF805-AN805</f>
        <v>0</v>
      </c>
      <c r="AP805" s="80">
        <f>AM805-AN805</f>
        <v>0</v>
      </c>
      <c r="AQ805" s="80">
        <f>AD805-AM805-AO805</f>
        <v>0</v>
      </c>
      <c r="AR805" s="80">
        <f>IF(AM805=0,0,AK805-AN805*AK805/AM805)</f>
        <v>0</v>
      </c>
      <c r="AS805" s="80">
        <f>IF(AD805-AM805=0,0,(AJ805-AK805)-AO805*(AJ805-AK805)/(AD805-AM805))</f>
        <v>0</v>
      </c>
      <c r="AT805" s="80" t="str">
        <f>IF(AC805=1,INT(B805)+1,"")</f>
        <v/>
      </c>
      <c r="AU805" s="80">
        <f>IF(AND(D805="proMX",R805="Cancelled"),0,1)</f>
        <v>1</v>
      </c>
      <c r="AV805" s="80">
        <f>IF(AND(AB805=1,AU805=1),IF(COUNTIFS($D$5:D804,D805,$B$5:B804,B805,$Z$5:Z804,Z805,$AA$5:AA804,AA805,$F$5:F804,F805&amp;"",$AU$5:AU804,1)&gt;0,1,0),0)</f>
        <v>0</v>
      </c>
      <c r="AW805" s="80" t="str">
        <f>IF(AB805=1,INT(B805)*1440+Z805,"")</f>
        <v/>
      </c>
      <c r="AX805" s="80" t="str">
        <f>IF(AB805=1,AW805+AD805,"")</f>
        <v/>
      </c>
      <c r="AY805" s="80">
        <f>IF(AND(AB805=1,AV805=0,AU805=1),1,0)</f>
        <v>0</v>
      </c>
      <c r="AZ805" s="80">
        <f>IF(AY805=1,COUNTIFS(R_Emp,D805,R_SAbs,"&lt;"&amp;AX805,R_EAbs,"&gt;"&amp;AW805,R_OKey,1)-1,0)</f>
        <v>0</v>
      </c>
      <c r="BA805" s="80">
        <f>IF(AY805=1,COUNTIFS(R_Emp,"&lt;&gt;"&amp;D805,R_SAbs,"&lt;"&amp;AX805,R_EAbs,"&gt;"&amp;AW805,R_OKey,1),0)</f>
        <v>0</v>
      </c>
      <c r="BB805" s="80">
        <f>IF(AND(AB805=1,D805="proMX"),IF(AND(MOD(Z805,CFG_BLK)=0,MOD(AA805,CFG_BLK)=0,MOD(AG805,CFG_BLK)=0,AG805&gt;0),1,0),1)</f>
        <v>1</v>
      </c>
      <c r="BC805" s="80" t="str">
        <f>IF(Y805=0,"",IF(NOT(ISNUMBER(B805)),"Falta fecha o fecha inválida",IF(D805="","Falta empresa",IF(AND(D805&lt;&gt;"Malcolm",D805&lt;&gt;"proMX"),"Empresa inválida",IF(OR(INT(B805)&lt;CFG_PSTART,INT(B805)&gt;CFG_PEND),"Fecha fuera del período",IF(OR(NOT(ISNUMBER(Z805)),NOT(ISNUMBER(AA805))),"Falta hora inicio/fin o formato inválido",IF(AB805=0,"Hora inicio = hora fin",IF(AE805&lt;0,"Descanso inválido",IF(AE805&gt;=AD805,"Descanso ≥ duración",IF(AV805=1,"Registro duplicado",IF(AZ805&gt;0,"Se superpone con otro registro "&amp;D805,IF(BB805=0,"inicio, fin y duración neta deben ser múltiplos de "&amp;CFG_BLK&amp;" min",""))))))))))))</f>
        <v/>
      </c>
      <c r="BD805" s="80">
        <f>IF(AND(Y805=1,BC805=""),1,0)</f>
        <v>0</v>
      </c>
      <c r="BE805" s="80">
        <f>IF(AND(BD805=1,AU805=1),1,0)</f>
        <v>0</v>
      </c>
      <c r="BF805" s="80" t="str">
        <f>IF(AND(D805="proMX",BD805=1),IF(R805="","Draft",R805),"")</f>
        <v/>
      </c>
      <c r="BG805" s="80">
        <f>IF(BD805=1,ROUND(AG805/60,6),0)</f>
        <v>0</v>
      </c>
      <c r="BH805" s="80">
        <f>IF(BE805=1,ROUND(AG805/60,6),0)</f>
        <v>0</v>
      </c>
      <c r="BI805" s="80">
        <f>IF(BE805=1,ROUND(AP805/60,6),0)</f>
        <v>0</v>
      </c>
      <c r="BJ805" s="80">
        <f>IF(BE805=1,ROUND(AQ805/60,6),0)</f>
        <v>0</v>
      </c>
      <c r="BK805" s="80">
        <f>IF(BE805=1,ROUND((AR805+AS805)/60,6),0)</f>
        <v>0</v>
      </c>
      <c r="BL805" s="80">
        <f>ROUND(BH805-BK805,6)</f>
        <v>0</v>
      </c>
      <c r="BM805" s="80">
        <f>IF(BE805=1,ROUND(AR805/60,6),0)</f>
        <v>0</v>
      </c>
      <c r="BN805" s="80">
        <f>ROUND(BI805-BM805,6)</f>
        <v>0</v>
      </c>
      <c r="BO805" s="80">
        <f>IF(BE805=1,ROUND(AS805/60,6),0)</f>
        <v>0</v>
      </c>
      <c r="BP805" s="80">
        <f>ROUND(BJ805-BO805,6)</f>
        <v>0</v>
      </c>
      <c r="BQ805" s="80">
        <f>IF(BE805=1,AW805,0)</f>
        <v>0</v>
      </c>
      <c r="BR805" s="80">
        <f>IF(BE805=1,AX805,0)</f>
        <v>0</v>
      </c>
      <c r="BS805" s="80">
        <f>IF(AND(BE805=1,D805="Malcolm",BA805&gt;0),MIN(BH805,SUMPRODUCT((R_Emp="proMX")*(R_EN&gt;0)*((R_EN-(R_EN&gt;BR805)*(R_EN-BR805))&gt;(R_SN+(R_SN&lt;BQ805)*(BQ805-R_SN)))*((R_EN-(R_EN&gt;BR805)*(R_EN-BR805))-(R_SN+(R_SN&lt;BQ805)*(BQ805-R_SN))))/60),0)</f>
        <v>0</v>
      </c>
      <c r="BT805" s="80">
        <f>IF(AND(BE805=1,D805="proMX"),ROUND(BI805*CFG_RATE+BJ805*CFG_OTRATE,6),0)</f>
        <v>0</v>
      </c>
      <c r="BU805" s="80">
        <f>IF(AND(BD805=1,D805="proMX"),ROUND(AG805/CFG_BLK,6),0)</f>
        <v>0</v>
      </c>
      <c r="BV805" s="80" t="str">
        <f>IF(BF805="Approved",IF(ISNUMBER(T805),INT(T805),INT(B805)),"")</f>
        <v/>
      </c>
      <c r="BW805" s="80">
        <f>IF(ISNUMBER(B805),IF(DB_MON="Todos",1,IF(AND(INT(B805)&gt;=DB_MS,INT(B805)&lt;=DB_ME),1,0)),0)</f>
        <v>0</v>
      </c>
      <c r="BX805" s="80">
        <f>IF(DB_PROJ="Todos",1,IF(E805&amp;""=DB_PROJ&amp;"",1,0))</f>
        <v>1</v>
      </c>
      <c r="BY805" s="80">
        <f>BW805*BX805</f>
        <v>0</v>
      </c>
      <c r="BZ805" s="80" t="str">
        <f>IF(Y805=1,F805&amp;IF(AND(F805&amp;""&lt;&gt;"",E805&amp;""&lt;&gt;"")," · ","")&amp;E805,"")</f>
        <v/>
      </c>
      <c r="CA805" s="80" t="str">
        <f>IF(AND(BD805=1,E805&amp;""&lt;&gt;""),IF(COUNTIFS($E$5:E804,E805,$BD$5:BD804,1)=0,MAX($CA$5:CA804)+1,""),"")</f>
        <v/>
      </c>
      <c r="CB805" s="80" t="str">
        <f>IF(AND(BE805=1,D805="Malcolm",E805&amp;""&lt;&gt;""),IF(COUNTIFS($D$5:D804,"Malcolm",$E$5:E804,E805,$BE$5:BE804,1)=0,MAX($CB$5:CB804)+1,""),"")</f>
        <v/>
      </c>
      <c r="CC805" s="80" t="str">
        <f>IF(AND(BD805=1,D805="proMX",E805&amp;""&lt;&gt;""),IF(COUNTIFS($D$5:D804,"proMX",$E$5:E804,E805,$BD$5:BD804,1)=0,MAX($CC$5:CC804)+1,""),"")</f>
        <v/>
      </c>
      <c r="CD805" s="80" t="str">
        <f>IF(AND(BE805=1,D805="Malcolm",F805&amp;""&lt;&gt;""),IF(COUNTIFS($D$5:D804,"Malcolm",$F$5:F804,F805,$BE$5:BE804,1)=0,MAX($CD$5:CD804)+1,""),"")</f>
        <v/>
      </c>
      <c r="CE805" s="80" t="str">
        <f>IF(AND(BD805=1,D805="proMX",F805&amp;""&lt;&gt;""),IF(COUNTIFS($D$5:D804,"proMX",$F$5:F804,F805,$BD$5:BD804,1)=0,MAX($CE$5:CE804)+1,""),"")</f>
        <v/>
      </c>
      <c r="CF805" s="80" t="str">
        <f>IF(AND(D805="proMX",BD805=1),IF(OR(BF805="Draft",BF805="Submitted",BF805="Returned",BF805="Recall Requested"),MAX($CF$5:CF804)+1,""),"")</f>
        <v/>
      </c>
      <c r="CG805" s="80">
        <f>IF(BD805=0,0,IF(D805="Malcolm",1,MATCH(BF805,{"Draft","Submitted","Approved","Returned","Recall Requested","Cancelled"},0)+1))</f>
        <v>0</v>
      </c>
      <c r="CH805" s="80">
        <f>IF(AND(BF805="Submitted",ISNUMBER(V805)),IF(V805&gt;CFG_MAXD,1,0),0)</f>
        <v>0</v>
      </c>
    </row>
    <row r="806">
      <c r="A806" s="71" t="str">
        <f>IF(Y806=1,ROW()-5,"")</f>
        <v/>
      </c>
      <c r="B806" s="72" t="n"/>
      <c r="C806" s="71" t="str">
        <f>IF(ISNUMBER(B806),CHOOSE(WEEKDAY(B806,2),"Lun","Mar","Mié","Jue","Vie","Sáb","Dom"),"")</f>
        <v/>
      </c>
      <c r="D806" s="73" t="n"/>
      <c r="E806" s="74" t="n"/>
      <c r="F806" s="74" t="n"/>
      <c r="G806" s="74" t="n"/>
      <c r="H806" s="75" t="n"/>
      <c r="I806" s="75" t="n"/>
      <c r="J806" s="76" t="n"/>
      <c r="K806" s="77" t="str">
        <f>IF(AB806=1,ROUND(AG806/60,4),"")</f>
        <v/>
      </c>
      <c r="L806" s="77" t="str">
        <f>IF(BD806=1,ROUND(AP806/60,4),"")</f>
        <v/>
      </c>
      <c r="M806" s="77" t="str">
        <f>IF(BD806=1,ROUND(AQ806/60,4),"")</f>
        <v/>
      </c>
      <c r="N806" s="71" t="str">
        <f>IF(AND(D806="proMX",AB806=1),ROUND(AG806/CFG_BLK,2),"")</f>
        <v/>
      </c>
      <c r="O806" s="77" t="str">
        <f>IF(D806="proMX",IF(BD806=1,ROUND(AG806/60,4),0),"")</f>
        <v/>
      </c>
      <c r="P806" s="78" t="str">
        <f>IF(Y806=0,"",IF(BD806=1,"OK",IF(D806="proMX","Revisar bloques: ","Revisar: ")&amp;BC806))</f>
        <v/>
      </c>
      <c r="Q806" s="78" t="str">
        <f>IF(NOT(ISNUMBER(B806)),"",IF(COUNTIFS(FER_F,INT(B806))&gt;0,"Feriado"&amp;IF(AH806=1," (laborable)"," (no laborable)"),IF(AH806=1,"Laborable",IF(WEEKDAY(B806,2)&gt;5,"Fin de semana","No laborable"))))</f>
        <v/>
      </c>
      <c r="R806" s="73" t="n"/>
      <c r="S806" s="72" t="n"/>
      <c r="T806" s="72" t="n"/>
      <c r="U806" s="74" t="n"/>
      <c r="V806" s="79" t="str">
        <f>IF(AND(D806="proMX",OR(R806="Submitted",R806="Recall Requested"),ISNUMBER(S806)),CFG_TODAY-INT(S806),"")</f>
        <v/>
      </c>
      <c r="W806" s="78" t="str">
        <f>IF(BD806=0,"",IF(BA806&gt;0,"⚠ Se superpone con un registro de la otra empresa",IF(D806="Malcolm",IF(COUNTA(R806,S806,T806)&gt;0,"Estado/fechas proMX se ignoran en Malcolm",""),IF(BF806="Cancelled","Cancelado: excluido de totales",IF(R806="","Sin estado: se trata como Draft",IF(BF806="Submitted",IF(ISNUMBER(V806),IF(V806&gt;CFG_MAXD,"⚠ "&amp;V806&amp;" días en Submitted (máx. "&amp;CFG_MAXD&amp;")",""),"Falta fecha de envío"),IF(BF806="Returned","⚠ Devuelto: corregir y reenviar",IF(BF806="Recall Requested","Retirada solicitada: pendiente",IF(AND(BF806="Approved",NOT(ISNUMBER(T806))),"Falta fecha de aprobación",IF(AND(ISNUMBER(S806),ISNUMBER(T806),T806&lt;S806),"Aprobación anterior al envío","")))))))))</f>
        <v/>
      </c>
      <c r="Y806" s="80">
        <f>IF(COUNTA(B806,D806,E806,F806,G806,H806,I806,J806,R806,S806,T806)&gt;0,1,0)</f>
        <v>0</v>
      </c>
      <c r="Z806" s="80" t="str">
        <f>IF(AND(ISNUMBER(H806),H806&gt;=0,H806&lt;1),ROUND(H806*1440,0),"")</f>
        <v/>
      </c>
      <c r="AA806" s="80" t="str">
        <f>IF(AND(ISNUMBER(I806),I806&gt;=0,I806&lt;1),ROUND(I806*1440,0),"")</f>
        <v/>
      </c>
      <c r="AB806" s="80">
        <f>IF(AND(ISNUMBER(B806),D806&lt;&gt;"",ISNUMBER(Z806),ISNUMBER(AA806)),IF(Z806=AA806,0,1),0)</f>
        <v>0</v>
      </c>
      <c r="AC806" s="80">
        <f>IF(AB806=1,IF(AA806&lt;Z806,1,0),0)</f>
        <v>0</v>
      </c>
      <c r="AD806" s="80">
        <f>IF(AB806=1,IF(AC806=1,1440-Z806+AA806,AA806-Z806),0)</f>
        <v>0</v>
      </c>
      <c r="AE806" s="80">
        <f>IF(J806="",0,IF(ISNUMBER(J806),J806,-1))</f>
        <v>0</v>
      </c>
      <c r="AF806" s="80">
        <f>MIN(MAX(0,AE806),AD806)</f>
        <v>0</v>
      </c>
      <c r="AG806" s="80">
        <f>MAX(0,AD806-MAX(0,AE806))</f>
        <v>0</v>
      </c>
      <c r="AH806" s="80">
        <f>IF(ISNUMBER(B806),IF(AND(INDEX(CFG_WDAYS,WEEKDAY(INT(B806),2))="Sí",IF(D806="proMX",COUNTIFS(FER_F,INT(B806),FER_NLP,"Sí"),COUNTIFS(FER_F,INT(B806),FER_NLM,"Sí"))=0),1,0),0)</f>
        <v>0</v>
      </c>
      <c r="AI806" s="80">
        <f>IF(AC806=1,IF(AND(INDEX(CFG_WDAYS,WEEKDAY(INT(B806)+1,2))="Sí",IF(D806="proMX",COUNTIFS(FER_F,INT(B806)+1,FER_NLP,"Sí"),COUNTIFS(FER_F,INT(B806)+1,FER_NLM,"Sí"))=0),1,0),0)</f>
        <v>0</v>
      </c>
      <c r="AJ806" s="80">
        <f>IF(AC806=1,1440-Z806,AD806)</f>
        <v>0</v>
      </c>
      <c r="AK806" s="80">
        <f>IF(AND(AB806=1,AH806=1),MAX(0,MIN(IF(AC806=1,1440,AA806),CFG_WEM)-MAX(Z806,CFG_WSM)),0)</f>
        <v>0</v>
      </c>
      <c r="AL806" s="80">
        <f>IF(AND(AC806=1,AI806=1),MAX(0,MIN(AA806,CFG_WEM)-CFG_WSM),0)</f>
        <v>0</v>
      </c>
      <c r="AM806" s="80">
        <f>AK806+AL806</f>
        <v>0</v>
      </c>
      <c r="AN806" s="80">
        <f>IF(CFG_BRK="Proporcional",IF(AD806=0,0,AF806*AM806/AD806),IF(CFG_BRK="Extras primero",MIN(AM806,MAX(0,AF806-(AD806-AM806))),MIN(AF806,AM806)))</f>
        <v>0</v>
      </c>
      <c r="AO806" s="80">
        <f>AF806-AN806</f>
        <v>0</v>
      </c>
      <c r="AP806" s="80">
        <f>AM806-AN806</f>
        <v>0</v>
      </c>
      <c r="AQ806" s="80">
        <f>AD806-AM806-AO806</f>
        <v>0</v>
      </c>
      <c r="AR806" s="80">
        <f>IF(AM806=0,0,AK806-AN806*AK806/AM806)</f>
        <v>0</v>
      </c>
      <c r="AS806" s="80">
        <f>IF(AD806-AM806=0,0,(AJ806-AK806)-AO806*(AJ806-AK806)/(AD806-AM806))</f>
        <v>0</v>
      </c>
      <c r="AT806" s="80" t="str">
        <f>IF(AC806=1,INT(B806)+1,"")</f>
        <v/>
      </c>
      <c r="AU806" s="80">
        <f>IF(AND(D806="proMX",R806="Cancelled"),0,1)</f>
        <v>1</v>
      </c>
      <c r="AV806" s="80">
        <f>IF(AND(AB806=1,AU806=1),IF(COUNTIFS($D$5:D805,D806,$B$5:B805,B806,$Z$5:Z805,Z806,$AA$5:AA805,AA806,$F$5:F805,F806&amp;"",$AU$5:AU805,1)&gt;0,1,0),0)</f>
        <v>0</v>
      </c>
      <c r="AW806" s="80" t="str">
        <f>IF(AB806=1,INT(B806)*1440+Z806,"")</f>
        <v/>
      </c>
      <c r="AX806" s="80" t="str">
        <f>IF(AB806=1,AW806+AD806,"")</f>
        <v/>
      </c>
      <c r="AY806" s="80">
        <f>IF(AND(AB806=1,AV806=0,AU806=1),1,0)</f>
        <v>0</v>
      </c>
      <c r="AZ806" s="80">
        <f>IF(AY806=1,COUNTIFS(R_Emp,D806,R_SAbs,"&lt;"&amp;AX806,R_EAbs,"&gt;"&amp;AW806,R_OKey,1)-1,0)</f>
        <v>0</v>
      </c>
      <c r="BA806" s="80">
        <f>IF(AY806=1,COUNTIFS(R_Emp,"&lt;&gt;"&amp;D806,R_SAbs,"&lt;"&amp;AX806,R_EAbs,"&gt;"&amp;AW806,R_OKey,1),0)</f>
        <v>0</v>
      </c>
      <c r="BB806" s="80">
        <f>IF(AND(AB806=1,D806="proMX"),IF(AND(MOD(Z806,CFG_BLK)=0,MOD(AA806,CFG_BLK)=0,MOD(AG806,CFG_BLK)=0,AG806&gt;0),1,0),1)</f>
        <v>1</v>
      </c>
      <c r="BC806" s="80" t="str">
        <f>IF(Y806=0,"",IF(NOT(ISNUMBER(B806)),"Falta fecha o fecha inválida",IF(D806="","Falta empresa",IF(AND(D806&lt;&gt;"Malcolm",D806&lt;&gt;"proMX"),"Empresa inválida",IF(OR(INT(B806)&lt;CFG_PSTART,INT(B806)&gt;CFG_PEND),"Fecha fuera del período",IF(OR(NOT(ISNUMBER(Z806)),NOT(ISNUMBER(AA806))),"Falta hora inicio/fin o formato inválido",IF(AB806=0,"Hora inicio = hora fin",IF(AE806&lt;0,"Descanso inválido",IF(AE806&gt;=AD806,"Descanso ≥ duración",IF(AV806=1,"Registro duplicado",IF(AZ806&gt;0,"Se superpone con otro registro "&amp;D806,IF(BB806=0,"inicio, fin y duración neta deben ser múltiplos de "&amp;CFG_BLK&amp;" min",""))))))))))))</f>
        <v/>
      </c>
      <c r="BD806" s="80">
        <f>IF(AND(Y806=1,BC806=""),1,0)</f>
        <v>0</v>
      </c>
      <c r="BE806" s="80">
        <f>IF(AND(BD806=1,AU806=1),1,0)</f>
        <v>0</v>
      </c>
      <c r="BF806" s="80" t="str">
        <f>IF(AND(D806="proMX",BD806=1),IF(R806="","Draft",R806),"")</f>
        <v/>
      </c>
      <c r="BG806" s="80">
        <f>IF(BD806=1,ROUND(AG806/60,6),0)</f>
        <v>0</v>
      </c>
      <c r="BH806" s="80">
        <f>IF(BE806=1,ROUND(AG806/60,6),0)</f>
        <v>0</v>
      </c>
      <c r="BI806" s="80">
        <f>IF(BE806=1,ROUND(AP806/60,6),0)</f>
        <v>0</v>
      </c>
      <c r="BJ806" s="80">
        <f>IF(BE806=1,ROUND(AQ806/60,6),0)</f>
        <v>0</v>
      </c>
      <c r="BK806" s="80">
        <f>IF(BE806=1,ROUND((AR806+AS806)/60,6),0)</f>
        <v>0</v>
      </c>
      <c r="BL806" s="80">
        <f>ROUND(BH806-BK806,6)</f>
        <v>0</v>
      </c>
      <c r="BM806" s="80">
        <f>IF(BE806=1,ROUND(AR806/60,6),0)</f>
        <v>0</v>
      </c>
      <c r="BN806" s="80">
        <f>ROUND(BI806-BM806,6)</f>
        <v>0</v>
      </c>
      <c r="BO806" s="80">
        <f>IF(BE806=1,ROUND(AS806/60,6),0)</f>
        <v>0</v>
      </c>
      <c r="BP806" s="80">
        <f>ROUND(BJ806-BO806,6)</f>
        <v>0</v>
      </c>
      <c r="BQ806" s="80">
        <f>IF(BE806=1,AW806,0)</f>
        <v>0</v>
      </c>
      <c r="BR806" s="80">
        <f>IF(BE806=1,AX806,0)</f>
        <v>0</v>
      </c>
      <c r="BS806" s="80">
        <f>IF(AND(BE806=1,D806="Malcolm",BA806&gt;0),MIN(BH806,SUMPRODUCT((R_Emp="proMX")*(R_EN&gt;0)*((R_EN-(R_EN&gt;BR806)*(R_EN-BR806))&gt;(R_SN+(R_SN&lt;BQ806)*(BQ806-R_SN)))*((R_EN-(R_EN&gt;BR806)*(R_EN-BR806))-(R_SN+(R_SN&lt;BQ806)*(BQ806-R_SN))))/60),0)</f>
        <v>0</v>
      </c>
      <c r="BT806" s="80">
        <f>IF(AND(BE806=1,D806="proMX"),ROUND(BI806*CFG_RATE+BJ806*CFG_OTRATE,6),0)</f>
        <v>0</v>
      </c>
      <c r="BU806" s="80">
        <f>IF(AND(BD806=1,D806="proMX"),ROUND(AG806/CFG_BLK,6),0)</f>
        <v>0</v>
      </c>
      <c r="BV806" s="80" t="str">
        <f>IF(BF806="Approved",IF(ISNUMBER(T806),INT(T806),INT(B806)),"")</f>
        <v/>
      </c>
      <c r="BW806" s="80">
        <f>IF(ISNUMBER(B806),IF(DB_MON="Todos",1,IF(AND(INT(B806)&gt;=DB_MS,INT(B806)&lt;=DB_ME),1,0)),0)</f>
        <v>0</v>
      </c>
      <c r="BX806" s="80">
        <f>IF(DB_PROJ="Todos",1,IF(E806&amp;""=DB_PROJ&amp;"",1,0))</f>
        <v>1</v>
      </c>
      <c r="BY806" s="80">
        <f>BW806*BX806</f>
        <v>0</v>
      </c>
      <c r="BZ806" s="80" t="str">
        <f>IF(Y806=1,F806&amp;IF(AND(F806&amp;""&lt;&gt;"",E806&amp;""&lt;&gt;"")," · ","")&amp;E806,"")</f>
        <v/>
      </c>
      <c r="CA806" s="80" t="str">
        <f>IF(AND(BD806=1,E806&amp;""&lt;&gt;""),IF(COUNTIFS($E$5:E805,E806,$BD$5:BD805,1)=0,MAX($CA$5:CA805)+1,""),"")</f>
        <v/>
      </c>
      <c r="CB806" s="80" t="str">
        <f>IF(AND(BE806=1,D806="Malcolm",E806&amp;""&lt;&gt;""),IF(COUNTIFS($D$5:D805,"Malcolm",$E$5:E805,E806,$BE$5:BE805,1)=0,MAX($CB$5:CB805)+1,""),"")</f>
        <v/>
      </c>
      <c r="CC806" s="80" t="str">
        <f>IF(AND(BD806=1,D806="proMX",E806&amp;""&lt;&gt;""),IF(COUNTIFS($D$5:D805,"proMX",$E$5:E805,E806,$BD$5:BD805,1)=0,MAX($CC$5:CC805)+1,""),"")</f>
        <v/>
      </c>
      <c r="CD806" s="80" t="str">
        <f>IF(AND(BE806=1,D806="Malcolm",F806&amp;""&lt;&gt;""),IF(COUNTIFS($D$5:D805,"Malcolm",$F$5:F805,F806,$BE$5:BE805,1)=0,MAX($CD$5:CD805)+1,""),"")</f>
        <v/>
      </c>
      <c r="CE806" s="80" t="str">
        <f>IF(AND(BD806=1,D806="proMX",F806&amp;""&lt;&gt;""),IF(COUNTIFS($D$5:D805,"proMX",$F$5:F805,F806,$BD$5:BD805,1)=0,MAX($CE$5:CE805)+1,""),"")</f>
        <v/>
      </c>
      <c r="CF806" s="80" t="str">
        <f>IF(AND(D806="proMX",BD806=1),IF(OR(BF806="Draft",BF806="Submitted",BF806="Returned",BF806="Recall Requested"),MAX($CF$5:CF805)+1,""),"")</f>
        <v/>
      </c>
      <c r="CG806" s="80">
        <f>IF(BD806=0,0,IF(D806="Malcolm",1,MATCH(BF806,{"Draft","Submitted","Approved","Returned","Recall Requested","Cancelled"},0)+1))</f>
        <v>0</v>
      </c>
      <c r="CH806" s="80">
        <f>IF(AND(BF806="Submitted",ISNUMBER(V806)),IF(V806&gt;CFG_MAXD,1,0),0)</f>
        <v>0</v>
      </c>
    </row>
    <row r="807">
      <c r="A807" s="71" t="str">
        <f>IF(Y807=1,ROW()-5,"")</f>
        <v/>
      </c>
      <c r="B807" s="72" t="n"/>
      <c r="C807" s="71" t="str">
        <f>IF(ISNUMBER(B807),CHOOSE(WEEKDAY(B807,2),"Lun","Mar","Mié","Jue","Vie","Sáb","Dom"),"")</f>
        <v/>
      </c>
      <c r="D807" s="73" t="n"/>
      <c r="E807" s="74" t="n"/>
      <c r="F807" s="74" t="n"/>
      <c r="G807" s="74" t="n"/>
      <c r="H807" s="75" t="n"/>
      <c r="I807" s="75" t="n"/>
      <c r="J807" s="76" t="n"/>
      <c r="K807" s="77" t="str">
        <f>IF(AB807=1,ROUND(AG807/60,4),"")</f>
        <v/>
      </c>
      <c r="L807" s="77" t="str">
        <f>IF(BD807=1,ROUND(AP807/60,4),"")</f>
        <v/>
      </c>
      <c r="M807" s="77" t="str">
        <f>IF(BD807=1,ROUND(AQ807/60,4),"")</f>
        <v/>
      </c>
      <c r="N807" s="71" t="str">
        <f>IF(AND(D807="proMX",AB807=1),ROUND(AG807/CFG_BLK,2),"")</f>
        <v/>
      </c>
      <c r="O807" s="77" t="str">
        <f>IF(D807="proMX",IF(BD807=1,ROUND(AG807/60,4),0),"")</f>
        <v/>
      </c>
      <c r="P807" s="78" t="str">
        <f>IF(Y807=0,"",IF(BD807=1,"OK",IF(D807="proMX","Revisar bloques: ","Revisar: ")&amp;BC807))</f>
        <v/>
      </c>
      <c r="Q807" s="78" t="str">
        <f>IF(NOT(ISNUMBER(B807)),"",IF(COUNTIFS(FER_F,INT(B807))&gt;0,"Feriado"&amp;IF(AH807=1," (laborable)"," (no laborable)"),IF(AH807=1,"Laborable",IF(WEEKDAY(B807,2)&gt;5,"Fin de semana","No laborable"))))</f>
        <v/>
      </c>
      <c r="R807" s="73" t="n"/>
      <c r="S807" s="72" t="n"/>
      <c r="T807" s="72" t="n"/>
      <c r="U807" s="74" t="n"/>
      <c r="V807" s="79" t="str">
        <f>IF(AND(D807="proMX",OR(R807="Submitted",R807="Recall Requested"),ISNUMBER(S807)),CFG_TODAY-INT(S807),"")</f>
        <v/>
      </c>
      <c r="W807" s="78" t="str">
        <f>IF(BD807=0,"",IF(BA807&gt;0,"⚠ Se superpone con un registro de la otra empresa",IF(D807="Malcolm",IF(COUNTA(R807,S807,T807)&gt;0,"Estado/fechas proMX se ignoran en Malcolm",""),IF(BF807="Cancelled","Cancelado: excluido de totales",IF(R807="","Sin estado: se trata como Draft",IF(BF807="Submitted",IF(ISNUMBER(V807),IF(V807&gt;CFG_MAXD,"⚠ "&amp;V807&amp;" días en Submitted (máx. "&amp;CFG_MAXD&amp;")",""),"Falta fecha de envío"),IF(BF807="Returned","⚠ Devuelto: corregir y reenviar",IF(BF807="Recall Requested","Retirada solicitada: pendiente",IF(AND(BF807="Approved",NOT(ISNUMBER(T807))),"Falta fecha de aprobación",IF(AND(ISNUMBER(S807),ISNUMBER(T807),T807&lt;S807),"Aprobación anterior al envío","")))))))))</f>
        <v/>
      </c>
      <c r="Y807" s="80">
        <f>IF(COUNTA(B807,D807,E807,F807,G807,H807,I807,J807,R807,S807,T807)&gt;0,1,0)</f>
        <v>0</v>
      </c>
      <c r="Z807" s="80" t="str">
        <f>IF(AND(ISNUMBER(H807),H807&gt;=0,H807&lt;1),ROUND(H807*1440,0),"")</f>
        <v/>
      </c>
      <c r="AA807" s="80" t="str">
        <f>IF(AND(ISNUMBER(I807),I807&gt;=0,I807&lt;1),ROUND(I807*1440,0),"")</f>
        <v/>
      </c>
      <c r="AB807" s="80">
        <f>IF(AND(ISNUMBER(B807),D807&lt;&gt;"",ISNUMBER(Z807),ISNUMBER(AA807)),IF(Z807=AA807,0,1),0)</f>
        <v>0</v>
      </c>
      <c r="AC807" s="80">
        <f>IF(AB807=1,IF(AA807&lt;Z807,1,0),0)</f>
        <v>0</v>
      </c>
      <c r="AD807" s="80">
        <f>IF(AB807=1,IF(AC807=1,1440-Z807+AA807,AA807-Z807),0)</f>
        <v>0</v>
      </c>
      <c r="AE807" s="80">
        <f>IF(J807="",0,IF(ISNUMBER(J807),J807,-1))</f>
        <v>0</v>
      </c>
      <c r="AF807" s="80">
        <f>MIN(MAX(0,AE807),AD807)</f>
        <v>0</v>
      </c>
      <c r="AG807" s="80">
        <f>MAX(0,AD807-MAX(0,AE807))</f>
        <v>0</v>
      </c>
      <c r="AH807" s="80">
        <f>IF(ISNUMBER(B807),IF(AND(INDEX(CFG_WDAYS,WEEKDAY(INT(B807),2))="Sí",IF(D807="proMX",COUNTIFS(FER_F,INT(B807),FER_NLP,"Sí"),COUNTIFS(FER_F,INT(B807),FER_NLM,"Sí"))=0),1,0),0)</f>
        <v>0</v>
      </c>
      <c r="AI807" s="80">
        <f>IF(AC807=1,IF(AND(INDEX(CFG_WDAYS,WEEKDAY(INT(B807)+1,2))="Sí",IF(D807="proMX",COUNTIFS(FER_F,INT(B807)+1,FER_NLP,"Sí"),COUNTIFS(FER_F,INT(B807)+1,FER_NLM,"Sí"))=0),1,0),0)</f>
        <v>0</v>
      </c>
      <c r="AJ807" s="80">
        <f>IF(AC807=1,1440-Z807,AD807)</f>
        <v>0</v>
      </c>
      <c r="AK807" s="80">
        <f>IF(AND(AB807=1,AH807=1),MAX(0,MIN(IF(AC807=1,1440,AA807),CFG_WEM)-MAX(Z807,CFG_WSM)),0)</f>
        <v>0</v>
      </c>
      <c r="AL807" s="80">
        <f>IF(AND(AC807=1,AI807=1),MAX(0,MIN(AA807,CFG_WEM)-CFG_WSM),0)</f>
        <v>0</v>
      </c>
      <c r="AM807" s="80">
        <f>AK807+AL807</f>
        <v>0</v>
      </c>
      <c r="AN807" s="80">
        <f>IF(CFG_BRK="Proporcional",IF(AD807=0,0,AF807*AM807/AD807),IF(CFG_BRK="Extras primero",MIN(AM807,MAX(0,AF807-(AD807-AM807))),MIN(AF807,AM807)))</f>
        <v>0</v>
      </c>
      <c r="AO807" s="80">
        <f>AF807-AN807</f>
        <v>0</v>
      </c>
      <c r="AP807" s="80">
        <f>AM807-AN807</f>
        <v>0</v>
      </c>
      <c r="AQ807" s="80">
        <f>AD807-AM807-AO807</f>
        <v>0</v>
      </c>
      <c r="AR807" s="80">
        <f>IF(AM807=0,0,AK807-AN807*AK807/AM807)</f>
        <v>0</v>
      </c>
      <c r="AS807" s="80">
        <f>IF(AD807-AM807=0,0,(AJ807-AK807)-AO807*(AJ807-AK807)/(AD807-AM807))</f>
        <v>0</v>
      </c>
      <c r="AT807" s="80" t="str">
        <f>IF(AC807=1,INT(B807)+1,"")</f>
        <v/>
      </c>
      <c r="AU807" s="80">
        <f>IF(AND(D807="proMX",R807="Cancelled"),0,1)</f>
        <v>1</v>
      </c>
      <c r="AV807" s="80">
        <f>IF(AND(AB807=1,AU807=1),IF(COUNTIFS($D$5:D806,D807,$B$5:B806,B807,$Z$5:Z806,Z807,$AA$5:AA806,AA807,$F$5:F806,F807&amp;"",$AU$5:AU806,1)&gt;0,1,0),0)</f>
        <v>0</v>
      </c>
      <c r="AW807" s="80" t="str">
        <f>IF(AB807=1,INT(B807)*1440+Z807,"")</f>
        <v/>
      </c>
      <c r="AX807" s="80" t="str">
        <f>IF(AB807=1,AW807+AD807,"")</f>
        <v/>
      </c>
      <c r="AY807" s="80">
        <f>IF(AND(AB807=1,AV807=0,AU807=1),1,0)</f>
        <v>0</v>
      </c>
      <c r="AZ807" s="80">
        <f>IF(AY807=1,COUNTIFS(R_Emp,D807,R_SAbs,"&lt;"&amp;AX807,R_EAbs,"&gt;"&amp;AW807,R_OKey,1)-1,0)</f>
        <v>0</v>
      </c>
      <c r="BA807" s="80">
        <f>IF(AY807=1,COUNTIFS(R_Emp,"&lt;&gt;"&amp;D807,R_SAbs,"&lt;"&amp;AX807,R_EAbs,"&gt;"&amp;AW807,R_OKey,1),0)</f>
        <v>0</v>
      </c>
      <c r="BB807" s="80">
        <f>IF(AND(AB807=1,D807="proMX"),IF(AND(MOD(Z807,CFG_BLK)=0,MOD(AA807,CFG_BLK)=0,MOD(AG807,CFG_BLK)=0,AG807&gt;0),1,0),1)</f>
        <v>1</v>
      </c>
      <c r="BC807" s="80" t="str">
        <f>IF(Y807=0,"",IF(NOT(ISNUMBER(B807)),"Falta fecha o fecha inválida",IF(D807="","Falta empresa",IF(AND(D807&lt;&gt;"Malcolm",D807&lt;&gt;"proMX"),"Empresa inválida",IF(OR(INT(B807)&lt;CFG_PSTART,INT(B807)&gt;CFG_PEND),"Fecha fuera del período",IF(OR(NOT(ISNUMBER(Z807)),NOT(ISNUMBER(AA807))),"Falta hora inicio/fin o formato inválido",IF(AB807=0,"Hora inicio = hora fin",IF(AE807&lt;0,"Descanso inválido",IF(AE807&gt;=AD807,"Descanso ≥ duración",IF(AV807=1,"Registro duplicado",IF(AZ807&gt;0,"Se superpone con otro registro "&amp;D807,IF(BB807=0,"inicio, fin y duración neta deben ser múltiplos de "&amp;CFG_BLK&amp;" min",""))))))))))))</f>
        <v/>
      </c>
      <c r="BD807" s="80">
        <f>IF(AND(Y807=1,BC807=""),1,0)</f>
        <v>0</v>
      </c>
      <c r="BE807" s="80">
        <f>IF(AND(BD807=1,AU807=1),1,0)</f>
        <v>0</v>
      </c>
      <c r="BF807" s="80" t="str">
        <f>IF(AND(D807="proMX",BD807=1),IF(R807="","Draft",R807),"")</f>
        <v/>
      </c>
      <c r="BG807" s="80">
        <f>IF(BD807=1,ROUND(AG807/60,6),0)</f>
        <v>0</v>
      </c>
      <c r="BH807" s="80">
        <f>IF(BE807=1,ROUND(AG807/60,6),0)</f>
        <v>0</v>
      </c>
      <c r="BI807" s="80">
        <f>IF(BE807=1,ROUND(AP807/60,6),0)</f>
        <v>0</v>
      </c>
      <c r="BJ807" s="80">
        <f>IF(BE807=1,ROUND(AQ807/60,6),0)</f>
        <v>0</v>
      </c>
      <c r="BK807" s="80">
        <f>IF(BE807=1,ROUND((AR807+AS807)/60,6),0)</f>
        <v>0</v>
      </c>
      <c r="BL807" s="80">
        <f>ROUND(BH807-BK807,6)</f>
        <v>0</v>
      </c>
      <c r="BM807" s="80">
        <f>IF(BE807=1,ROUND(AR807/60,6),0)</f>
        <v>0</v>
      </c>
      <c r="BN807" s="80">
        <f>ROUND(BI807-BM807,6)</f>
        <v>0</v>
      </c>
      <c r="BO807" s="80">
        <f>IF(BE807=1,ROUND(AS807/60,6),0)</f>
        <v>0</v>
      </c>
      <c r="BP807" s="80">
        <f>ROUND(BJ807-BO807,6)</f>
        <v>0</v>
      </c>
      <c r="BQ807" s="80">
        <f>IF(BE807=1,AW807,0)</f>
        <v>0</v>
      </c>
      <c r="BR807" s="80">
        <f>IF(BE807=1,AX807,0)</f>
        <v>0</v>
      </c>
      <c r="BS807" s="80">
        <f>IF(AND(BE807=1,D807="Malcolm",BA807&gt;0),MIN(BH807,SUMPRODUCT((R_Emp="proMX")*(R_EN&gt;0)*((R_EN-(R_EN&gt;BR807)*(R_EN-BR807))&gt;(R_SN+(R_SN&lt;BQ807)*(BQ807-R_SN)))*((R_EN-(R_EN&gt;BR807)*(R_EN-BR807))-(R_SN+(R_SN&lt;BQ807)*(BQ807-R_SN))))/60),0)</f>
        <v>0</v>
      </c>
      <c r="BT807" s="80">
        <f>IF(AND(BE807=1,D807="proMX"),ROUND(BI807*CFG_RATE+BJ807*CFG_OTRATE,6),0)</f>
        <v>0</v>
      </c>
      <c r="BU807" s="80">
        <f>IF(AND(BD807=1,D807="proMX"),ROUND(AG807/CFG_BLK,6),0)</f>
        <v>0</v>
      </c>
      <c r="BV807" s="80" t="str">
        <f>IF(BF807="Approved",IF(ISNUMBER(T807),INT(T807),INT(B807)),"")</f>
        <v/>
      </c>
      <c r="BW807" s="80">
        <f>IF(ISNUMBER(B807),IF(DB_MON="Todos",1,IF(AND(INT(B807)&gt;=DB_MS,INT(B807)&lt;=DB_ME),1,0)),0)</f>
        <v>0</v>
      </c>
      <c r="BX807" s="80">
        <f>IF(DB_PROJ="Todos",1,IF(E807&amp;""=DB_PROJ&amp;"",1,0))</f>
        <v>1</v>
      </c>
      <c r="BY807" s="80">
        <f>BW807*BX807</f>
        <v>0</v>
      </c>
      <c r="BZ807" s="80" t="str">
        <f>IF(Y807=1,F807&amp;IF(AND(F807&amp;""&lt;&gt;"",E807&amp;""&lt;&gt;"")," · ","")&amp;E807,"")</f>
        <v/>
      </c>
      <c r="CA807" s="80" t="str">
        <f>IF(AND(BD807=1,E807&amp;""&lt;&gt;""),IF(COUNTIFS($E$5:E806,E807,$BD$5:BD806,1)=0,MAX($CA$5:CA806)+1,""),"")</f>
        <v/>
      </c>
      <c r="CB807" s="80" t="str">
        <f>IF(AND(BE807=1,D807="Malcolm",E807&amp;""&lt;&gt;""),IF(COUNTIFS($D$5:D806,"Malcolm",$E$5:E806,E807,$BE$5:BE806,1)=0,MAX($CB$5:CB806)+1,""),"")</f>
        <v/>
      </c>
      <c r="CC807" s="80" t="str">
        <f>IF(AND(BD807=1,D807="proMX",E807&amp;""&lt;&gt;""),IF(COUNTIFS($D$5:D806,"proMX",$E$5:E806,E807,$BD$5:BD806,1)=0,MAX($CC$5:CC806)+1,""),"")</f>
        <v/>
      </c>
      <c r="CD807" s="80" t="str">
        <f>IF(AND(BE807=1,D807="Malcolm",F807&amp;""&lt;&gt;""),IF(COUNTIFS($D$5:D806,"Malcolm",$F$5:F806,F807,$BE$5:BE806,1)=0,MAX($CD$5:CD806)+1,""),"")</f>
        <v/>
      </c>
      <c r="CE807" s="80" t="str">
        <f>IF(AND(BD807=1,D807="proMX",F807&amp;""&lt;&gt;""),IF(COUNTIFS($D$5:D806,"proMX",$F$5:F806,F807,$BD$5:BD806,1)=0,MAX($CE$5:CE806)+1,""),"")</f>
        <v/>
      </c>
      <c r="CF807" s="80" t="str">
        <f>IF(AND(D807="proMX",BD807=1),IF(OR(BF807="Draft",BF807="Submitted",BF807="Returned",BF807="Recall Requested"),MAX($CF$5:CF806)+1,""),"")</f>
        <v/>
      </c>
      <c r="CG807" s="80">
        <f>IF(BD807=0,0,IF(D807="Malcolm",1,MATCH(BF807,{"Draft","Submitted","Approved","Returned","Recall Requested","Cancelled"},0)+1))</f>
        <v>0</v>
      </c>
      <c r="CH807" s="80">
        <f>IF(AND(BF807="Submitted",ISNUMBER(V807)),IF(V807&gt;CFG_MAXD,1,0),0)</f>
        <v>0</v>
      </c>
    </row>
    <row r="808">
      <c r="A808" s="71" t="str">
        <f>IF(Y808=1,ROW()-5,"")</f>
        <v/>
      </c>
      <c r="B808" s="72" t="n"/>
      <c r="C808" s="71" t="str">
        <f>IF(ISNUMBER(B808),CHOOSE(WEEKDAY(B808,2),"Lun","Mar","Mié","Jue","Vie","Sáb","Dom"),"")</f>
        <v/>
      </c>
      <c r="D808" s="73" t="n"/>
      <c r="E808" s="74" t="n"/>
      <c r="F808" s="74" t="n"/>
      <c r="G808" s="74" t="n"/>
      <c r="H808" s="75" t="n"/>
      <c r="I808" s="75" t="n"/>
      <c r="J808" s="76" t="n"/>
      <c r="K808" s="77" t="str">
        <f>IF(AB808=1,ROUND(AG808/60,4),"")</f>
        <v/>
      </c>
      <c r="L808" s="77" t="str">
        <f>IF(BD808=1,ROUND(AP808/60,4),"")</f>
        <v/>
      </c>
      <c r="M808" s="77" t="str">
        <f>IF(BD808=1,ROUND(AQ808/60,4),"")</f>
        <v/>
      </c>
      <c r="N808" s="71" t="str">
        <f>IF(AND(D808="proMX",AB808=1),ROUND(AG808/CFG_BLK,2),"")</f>
        <v/>
      </c>
      <c r="O808" s="77" t="str">
        <f>IF(D808="proMX",IF(BD808=1,ROUND(AG808/60,4),0),"")</f>
        <v/>
      </c>
      <c r="P808" s="78" t="str">
        <f>IF(Y808=0,"",IF(BD808=1,"OK",IF(D808="proMX","Revisar bloques: ","Revisar: ")&amp;BC808))</f>
        <v/>
      </c>
      <c r="Q808" s="78" t="str">
        <f>IF(NOT(ISNUMBER(B808)),"",IF(COUNTIFS(FER_F,INT(B808))&gt;0,"Feriado"&amp;IF(AH808=1," (laborable)"," (no laborable)"),IF(AH808=1,"Laborable",IF(WEEKDAY(B808,2)&gt;5,"Fin de semana","No laborable"))))</f>
        <v/>
      </c>
      <c r="R808" s="73" t="n"/>
      <c r="S808" s="72" t="n"/>
      <c r="T808" s="72" t="n"/>
      <c r="U808" s="74" t="n"/>
      <c r="V808" s="79" t="str">
        <f>IF(AND(D808="proMX",OR(R808="Submitted",R808="Recall Requested"),ISNUMBER(S808)),CFG_TODAY-INT(S808),"")</f>
        <v/>
      </c>
      <c r="W808" s="78" t="str">
        <f>IF(BD808=0,"",IF(BA808&gt;0,"⚠ Se superpone con un registro de la otra empresa",IF(D808="Malcolm",IF(COUNTA(R808,S808,T808)&gt;0,"Estado/fechas proMX se ignoran en Malcolm",""),IF(BF808="Cancelled","Cancelado: excluido de totales",IF(R808="","Sin estado: se trata como Draft",IF(BF808="Submitted",IF(ISNUMBER(V808),IF(V808&gt;CFG_MAXD,"⚠ "&amp;V808&amp;" días en Submitted (máx. "&amp;CFG_MAXD&amp;")",""),"Falta fecha de envío"),IF(BF808="Returned","⚠ Devuelto: corregir y reenviar",IF(BF808="Recall Requested","Retirada solicitada: pendiente",IF(AND(BF808="Approved",NOT(ISNUMBER(T808))),"Falta fecha de aprobación",IF(AND(ISNUMBER(S808),ISNUMBER(T808),T808&lt;S808),"Aprobación anterior al envío","")))))))))</f>
        <v/>
      </c>
      <c r="Y808" s="80">
        <f>IF(COUNTA(B808,D808,E808,F808,G808,H808,I808,J808,R808,S808,T808)&gt;0,1,0)</f>
        <v>0</v>
      </c>
      <c r="Z808" s="80" t="str">
        <f>IF(AND(ISNUMBER(H808),H808&gt;=0,H808&lt;1),ROUND(H808*1440,0),"")</f>
        <v/>
      </c>
      <c r="AA808" s="80" t="str">
        <f>IF(AND(ISNUMBER(I808),I808&gt;=0,I808&lt;1),ROUND(I808*1440,0),"")</f>
        <v/>
      </c>
      <c r="AB808" s="80">
        <f>IF(AND(ISNUMBER(B808),D808&lt;&gt;"",ISNUMBER(Z808),ISNUMBER(AA808)),IF(Z808=AA808,0,1),0)</f>
        <v>0</v>
      </c>
      <c r="AC808" s="80">
        <f>IF(AB808=1,IF(AA808&lt;Z808,1,0),0)</f>
        <v>0</v>
      </c>
      <c r="AD808" s="80">
        <f>IF(AB808=1,IF(AC808=1,1440-Z808+AA808,AA808-Z808),0)</f>
        <v>0</v>
      </c>
      <c r="AE808" s="80">
        <f>IF(J808="",0,IF(ISNUMBER(J808),J808,-1))</f>
        <v>0</v>
      </c>
      <c r="AF808" s="80">
        <f>MIN(MAX(0,AE808),AD808)</f>
        <v>0</v>
      </c>
      <c r="AG808" s="80">
        <f>MAX(0,AD808-MAX(0,AE808))</f>
        <v>0</v>
      </c>
      <c r="AH808" s="80">
        <f>IF(ISNUMBER(B808),IF(AND(INDEX(CFG_WDAYS,WEEKDAY(INT(B808),2))="Sí",IF(D808="proMX",COUNTIFS(FER_F,INT(B808),FER_NLP,"Sí"),COUNTIFS(FER_F,INT(B808),FER_NLM,"Sí"))=0),1,0),0)</f>
        <v>0</v>
      </c>
      <c r="AI808" s="80">
        <f>IF(AC808=1,IF(AND(INDEX(CFG_WDAYS,WEEKDAY(INT(B808)+1,2))="Sí",IF(D808="proMX",COUNTIFS(FER_F,INT(B808)+1,FER_NLP,"Sí"),COUNTIFS(FER_F,INT(B808)+1,FER_NLM,"Sí"))=0),1,0),0)</f>
        <v>0</v>
      </c>
      <c r="AJ808" s="80">
        <f>IF(AC808=1,1440-Z808,AD808)</f>
        <v>0</v>
      </c>
      <c r="AK808" s="80">
        <f>IF(AND(AB808=1,AH808=1),MAX(0,MIN(IF(AC808=1,1440,AA808),CFG_WEM)-MAX(Z808,CFG_WSM)),0)</f>
        <v>0</v>
      </c>
      <c r="AL808" s="80">
        <f>IF(AND(AC808=1,AI808=1),MAX(0,MIN(AA808,CFG_WEM)-CFG_WSM),0)</f>
        <v>0</v>
      </c>
      <c r="AM808" s="80">
        <f>AK808+AL808</f>
        <v>0</v>
      </c>
      <c r="AN808" s="80">
        <f>IF(CFG_BRK="Proporcional",IF(AD808=0,0,AF808*AM808/AD808),IF(CFG_BRK="Extras primero",MIN(AM808,MAX(0,AF808-(AD808-AM808))),MIN(AF808,AM808)))</f>
        <v>0</v>
      </c>
      <c r="AO808" s="80">
        <f>AF808-AN808</f>
        <v>0</v>
      </c>
      <c r="AP808" s="80">
        <f>AM808-AN808</f>
        <v>0</v>
      </c>
      <c r="AQ808" s="80">
        <f>AD808-AM808-AO808</f>
        <v>0</v>
      </c>
      <c r="AR808" s="80">
        <f>IF(AM808=0,0,AK808-AN808*AK808/AM808)</f>
        <v>0</v>
      </c>
      <c r="AS808" s="80">
        <f>IF(AD808-AM808=0,0,(AJ808-AK808)-AO808*(AJ808-AK808)/(AD808-AM808))</f>
        <v>0</v>
      </c>
      <c r="AT808" s="80" t="str">
        <f>IF(AC808=1,INT(B808)+1,"")</f>
        <v/>
      </c>
      <c r="AU808" s="80">
        <f>IF(AND(D808="proMX",R808="Cancelled"),0,1)</f>
        <v>1</v>
      </c>
      <c r="AV808" s="80">
        <f>IF(AND(AB808=1,AU808=1),IF(COUNTIFS($D$5:D807,D808,$B$5:B807,B808,$Z$5:Z807,Z808,$AA$5:AA807,AA808,$F$5:F807,F808&amp;"",$AU$5:AU807,1)&gt;0,1,0),0)</f>
        <v>0</v>
      </c>
      <c r="AW808" s="80" t="str">
        <f>IF(AB808=1,INT(B808)*1440+Z808,"")</f>
        <v/>
      </c>
      <c r="AX808" s="80" t="str">
        <f>IF(AB808=1,AW808+AD808,"")</f>
        <v/>
      </c>
      <c r="AY808" s="80">
        <f>IF(AND(AB808=1,AV808=0,AU808=1),1,0)</f>
        <v>0</v>
      </c>
      <c r="AZ808" s="80">
        <f>IF(AY808=1,COUNTIFS(R_Emp,D808,R_SAbs,"&lt;"&amp;AX808,R_EAbs,"&gt;"&amp;AW808,R_OKey,1)-1,0)</f>
        <v>0</v>
      </c>
      <c r="BA808" s="80">
        <f>IF(AY808=1,COUNTIFS(R_Emp,"&lt;&gt;"&amp;D808,R_SAbs,"&lt;"&amp;AX808,R_EAbs,"&gt;"&amp;AW808,R_OKey,1),0)</f>
        <v>0</v>
      </c>
      <c r="BB808" s="80">
        <f>IF(AND(AB808=1,D808="proMX"),IF(AND(MOD(Z808,CFG_BLK)=0,MOD(AA808,CFG_BLK)=0,MOD(AG808,CFG_BLK)=0,AG808&gt;0),1,0),1)</f>
        <v>1</v>
      </c>
      <c r="BC808" s="80" t="str">
        <f>IF(Y808=0,"",IF(NOT(ISNUMBER(B808)),"Falta fecha o fecha inválida",IF(D808="","Falta empresa",IF(AND(D808&lt;&gt;"Malcolm",D808&lt;&gt;"proMX"),"Empresa inválida",IF(OR(INT(B808)&lt;CFG_PSTART,INT(B808)&gt;CFG_PEND),"Fecha fuera del período",IF(OR(NOT(ISNUMBER(Z808)),NOT(ISNUMBER(AA808))),"Falta hora inicio/fin o formato inválido",IF(AB808=0,"Hora inicio = hora fin",IF(AE808&lt;0,"Descanso inválido",IF(AE808&gt;=AD808,"Descanso ≥ duración",IF(AV808=1,"Registro duplicado",IF(AZ808&gt;0,"Se superpone con otro registro "&amp;D808,IF(BB808=0,"inicio, fin y duración neta deben ser múltiplos de "&amp;CFG_BLK&amp;" min",""))))))))))))</f>
        <v/>
      </c>
      <c r="BD808" s="80">
        <f>IF(AND(Y808=1,BC808=""),1,0)</f>
        <v>0</v>
      </c>
      <c r="BE808" s="80">
        <f>IF(AND(BD808=1,AU808=1),1,0)</f>
        <v>0</v>
      </c>
      <c r="BF808" s="80" t="str">
        <f>IF(AND(D808="proMX",BD808=1),IF(R808="","Draft",R808),"")</f>
        <v/>
      </c>
      <c r="BG808" s="80">
        <f>IF(BD808=1,ROUND(AG808/60,6),0)</f>
        <v>0</v>
      </c>
      <c r="BH808" s="80">
        <f>IF(BE808=1,ROUND(AG808/60,6),0)</f>
        <v>0</v>
      </c>
      <c r="BI808" s="80">
        <f>IF(BE808=1,ROUND(AP808/60,6),0)</f>
        <v>0</v>
      </c>
      <c r="BJ808" s="80">
        <f>IF(BE808=1,ROUND(AQ808/60,6),0)</f>
        <v>0</v>
      </c>
      <c r="BK808" s="80">
        <f>IF(BE808=1,ROUND((AR808+AS808)/60,6),0)</f>
        <v>0</v>
      </c>
      <c r="BL808" s="80">
        <f>ROUND(BH808-BK808,6)</f>
        <v>0</v>
      </c>
      <c r="BM808" s="80">
        <f>IF(BE808=1,ROUND(AR808/60,6),0)</f>
        <v>0</v>
      </c>
      <c r="BN808" s="80">
        <f>ROUND(BI808-BM808,6)</f>
        <v>0</v>
      </c>
      <c r="BO808" s="80">
        <f>IF(BE808=1,ROUND(AS808/60,6),0)</f>
        <v>0</v>
      </c>
      <c r="BP808" s="80">
        <f>ROUND(BJ808-BO808,6)</f>
        <v>0</v>
      </c>
      <c r="BQ808" s="80">
        <f>IF(BE808=1,AW808,0)</f>
        <v>0</v>
      </c>
      <c r="BR808" s="80">
        <f>IF(BE808=1,AX808,0)</f>
        <v>0</v>
      </c>
      <c r="BS808" s="80">
        <f>IF(AND(BE808=1,D808="Malcolm",BA808&gt;0),MIN(BH808,SUMPRODUCT((R_Emp="proMX")*(R_EN&gt;0)*((R_EN-(R_EN&gt;BR808)*(R_EN-BR808))&gt;(R_SN+(R_SN&lt;BQ808)*(BQ808-R_SN)))*((R_EN-(R_EN&gt;BR808)*(R_EN-BR808))-(R_SN+(R_SN&lt;BQ808)*(BQ808-R_SN))))/60),0)</f>
        <v>0</v>
      </c>
      <c r="BT808" s="80">
        <f>IF(AND(BE808=1,D808="proMX"),ROUND(BI808*CFG_RATE+BJ808*CFG_OTRATE,6),0)</f>
        <v>0</v>
      </c>
      <c r="BU808" s="80">
        <f>IF(AND(BD808=1,D808="proMX"),ROUND(AG808/CFG_BLK,6),0)</f>
        <v>0</v>
      </c>
      <c r="BV808" s="80" t="str">
        <f>IF(BF808="Approved",IF(ISNUMBER(T808),INT(T808),INT(B808)),"")</f>
        <v/>
      </c>
      <c r="BW808" s="80">
        <f>IF(ISNUMBER(B808),IF(DB_MON="Todos",1,IF(AND(INT(B808)&gt;=DB_MS,INT(B808)&lt;=DB_ME),1,0)),0)</f>
        <v>0</v>
      </c>
      <c r="BX808" s="80">
        <f>IF(DB_PROJ="Todos",1,IF(E808&amp;""=DB_PROJ&amp;"",1,0))</f>
        <v>1</v>
      </c>
      <c r="BY808" s="80">
        <f>BW808*BX808</f>
        <v>0</v>
      </c>
      <c r="BZ808" s="80" t="str">
        <f>IF(Y808=1,F808&amp;IF(AND(F808&amp;""&lt;&gt;"",E808&amp;""&lt;&gt;"")," · ","")&amp;E808,"")</f>
        <v/>
      </c>
      <c r="CA808" s="80" t="str">
        <f>IF(AND(BD808=1,E808&amp;""&lt;&gt;""),IF(COUNTIFS($E$5:E807,E808,$BD$5:BD807,1)=0,MAX($CA$5:CA807)+1,""),"")</f>
        <v/>
      </c>
      <c r="CB808" s="80" t="str">
        <f>IF(AND(BE808=1,D808="Malcolm",E808&amp;""&lt;&gt;""),IF(COUNTIFS($D$5:D807,"Malcolm",$E$5:E807,E808,$BE$5:BE807,1)=0,MAX($CB$5:CB807)+1,""),"")</f>
        <v/>
      </c>
      <c r="CC808" s="80" t="str">
        <f>IF(AND(BD808=1,D808="proMX",E808&amp;""&lt;&gt;""),IF(COUNTIFS($D$5:D807,"proMX",$E$5:E807,E808,$BD$5:BD807,1)=0,MAX($CC$5:CC807)+1,""),"")</f>
        <v/>
      </c>
      <c r="CD808" s="80" t="str">
        <f>IF(AND(BE808=1,D808="Malcolm",F808&amp;""&lt;&gt;""),IF(COUNTIFS($D$5:D807,"Malcolm",$F$5:F807,F808,$BE$5:BE807,1)=0,MAX($CD$5:CD807)+1,""),"")</f>
        <v/>
      </c>
      <c r="CE808" s="80" t="str">
        <f>IF(AND(BD808=1,D808="proMX",F808&amp;""&lt;&gt;""),IF(COUNTIFS($D$5:D807,"proMX",$F$5:F807,F808,$BD$5:BD807,1)=0,MAX($CE$5:CE807)+1,""),"")</f>
        <v/>
      </c>
      <c r="CF808" s="80" t="str">
        <f>IF(AND(D808="proMX",BD808=1),IF(OR(BF808="Draft",BF808="Submitted",BF808="Returned",BF808="Recall Requested"),MAX($CF$5:CF807)+1,""),"")</f>
        <v/>
      </c>
      <c r="CG808" s="80">
        <f>IF(BD808=0,0,IF(D808="Malcolm",1,MATCH(BF808,{"Draft","Submitted","Approved","Returned","Recall Requested","Cancelled"},0)+1))</f>
        <v>0</v>
      </c>
      <c r="CH808" s="80">
        <f>IF(AND(BF808="Submitted",ISNUMBER(V808)),IF(V808&gt;CFG_MAXD,1,0),0)</f>
        <v>0</v>
      </c>
    </row>
    <row r="809">
      <c r="A809" s="71" t="str">
        <f>IF(Y809=1,ROW()-5,"")</f>
        <v/>
      </c>
      <c r="B809" s="72" t="n"/>
      <c r="C809" s="71" t="str">
        <f>IF(ISNUMBER(B809),CHOOSE(WEEKDAY(B809,2),"Lun","Mar","Mié","Jue","Vie","Sáb","Dom"),"")</f>
        <v/>
      </c>
      <c r="D809" s="73" t="n"/>
      <c r="E809" s="74" t="n"/>
      <c r="F809" s="74" t="n"/>
      <c r="G809" s="74" t="n"/>
      <c r="H809" s="75" t="n"/>
      <c r="I809" s="75" t="n"/>
      <c r="J809" s="76" t="n"/>
      <c r="K809" s="77" t="str">
        <f>IF(AB809=1,ROUND(AG809/60,4),"")</f>
        <v/>
      </c>
      <c r="L809" s="77" t="str">
        <f>IF(BD809=1,ROUND(AP809/60,4),"")</f>
        <v/>
      </c>
      <c r="M809" s="77" t="str">
        <f>IF(BD809=1,ROUND(AQ809/60,4),"")</f>
        <v/>
      </c>
      <c r="N809" s="71" t="str">
        <f>IF(AND(D809="proMX",AB809=1),ROUND(AG809/CFG_BLK,2),"")</f>
        <v/>
      </c>
      <c r="O809" s="77" t="str">
        <f>IF(D809="proMX",IF(BD809=1,ROUND(AG809/60,4),0),"")</f>
        <v/>
      </c>
      <c r="P809" s="78" t="str">
        <f>IF(Y809=0,"",IF(BD809=1,"OK",IF(D809="proMX","Revisar bloques: ","Revisar: ")&amp;BC809))</f>
        <v/>
      </c>
      <c r="Q809" s="78" t="str">
        <f>IF(NOT(ISNUMBER(B809)),"",IF(COUNTIFS(FER_F,INT(B809))&gt;0,"Feriado"&amp;IF(AH809=1," (laborable)"," (no laborable)"),IF(AH809=1,"Laborable",IF(WEEKDAY(B809,2)&gt;5,"Fin de semana","No laborable"))))</f>
        <v/>
      </c>
      <c r="R809" s="73" t="n"/>
      <c r="S809" s="72" t="n"/>
      <c r="T809" s="72" t="n"/>
      <c r="U809" s="74" t="n"/>
      <c r="V809" s="79" t="str">
        <f>IF(AND(D809="proMX",OR(R809="Submitted",R809="Recall Requested"),ISNUMBER(S809)),CFG_TODAY-INT(S809),"")</f>
        <v/>
      </c>
      <c r="W809" s="78" t="str">
        <f>IF(BD809=0,"",IF(BA809&gt;0,"⚠ Se superpone con un registro de la otra empresa",IF(D809="Malcolm",IF(COUNTA(R809,S809,T809)&gt;0,"Estado/fechas proMX se ignoran en Malcolm",""),IF(BF809="Cancelled","Cancelado: excluido de totales",IF(R809="","Sin estado: se trata como Draft",IF(BF809="Submitted",IF(ISNUMBER(V809),IF(V809&gt;CFG_MAXD,"⚠ "&amp;V809&amp;" días en Submitted (máx. "&amp;CFG_MAXD&amp;")",""),"Falta fecha de envío"),IF(BF809="Returned","⚠ Devuelto: corregir y reenviar",IF(BF809="Recall Requested","Retirada solicitada: pendiente",IF(AND(BF809="Approved",NOT(ISNUMBER(T809))),"Falta fecha de aprobación",IF(AND(ISNUMBER(S809),ISNUMBER(T809),T809&lt;S809),"Aprobación anterior al envío","")))))))))</f>
        <v/>
      </c>
      <c r="Y809" s="80">
        <f>IF(COUNTA(B809,D809,E809,F809,G809,H809,I809,J809,R809,S809,T809)&gt;0,1,0)</f>
        <v>0</v>
      </c>
      <c r="Z809" s="80" t="str">
        <f>IF(AND(ISNUMBER(H809),H809&gt;=0,H809&lt;1),ROUND(H809*1440,0),"")</f>
        <v/>
      </c>
      <c r="AA809" s="80" t="str">
        <f>IF(AND(ISNUMBER(I809),I809&gt;=0,I809&lt;1),ROUND(I809*1440,0),"")</f>
        <v/>
      </c>
      <c r="AB809" s="80">
        <f>IF(AND(ISNUMBER(B809),D809&lt;&gt;"",ISNUMBER(Z809),ISNUMBER(AA809)),IF(Z809=AA809,0,1),0)</f>
        <v>0</v>
      </c>
      <c r="AC809" s="80">
        <f>IF(AB809=1,IF(AA809&lt;Z809,1,0),0)</f>
        <v>0</v>
      </c>
      <c r="AD809" s="80">
        <f>IF(AB809=1,IF(AC809=1,1440-Z809+AA809,AA809-Z809),0)</f>
        <v>0</v>
      </c>
      <c r="AE809" s="80">
        <f>IF(J809="",0,IF(ISNUMBER(J809),J809,-1))</f>
        <v>0</v>
      </c>
      <c r="AF809" s="80">
        <f>MIN(MAX(0,AE809),AD809)</f>
        <v>0</v>
      </c>
      <c r="AG809" s="80">
        <f>MAX(0,AD809-MAX(0,AE809))</f>
        <v>0</v>
      </c>
      <c r="AH809" s="80">
        <f>IF(ISNUMBER(B809),IF(AND(INDEX(CFG_WDAYS,WEEKDAY(INT(B809),2))="Sí",IF(D809="proMX",COUNTIFS(FER_F,INT(B809),FER_NLP,"Sí"),COUNTIFS(FER_F,INT(B809),FER_NLM,"Sí"))=0),1,0),0)</f>
        <v>0</v>
      </c>
      <c r="AI809" s="80">
        <f>IF(AC809=1,IF(AND(INDEX(CFG_WDAYS,WEEKDAY(INT(B809)+1,2))="Sí",IF(D809="proMX",COUNTIFS(FER_F,INT(B809)+1,FER_NLP,"Sí"),COUNTIFS(FER_F,INT(B809)+1,FER_NLM,"Sí"))=0),1,0),0)</f>
        <v>0</v>
      </c>
      <c r="AJ809" s="80">
        <f>IF(AC809=1,1440-Z809,AD809)</f>
        <v>0</v>
      </c>
      <c r="AK809" s="80">
        <f>IF(AND(AB809=1,AH809=1),MAX(0,MIN(IF(AC809=1,1440,AA809),CFG_WEM)-MAX(Z809,CFG_WSM)),0)</f>
        <v>0</v>
      </c>
      <c r="AL809" s="80">
        <f>IF(AND(AC809=1,AI809=1),MAX(0,MIN(AA809,CFG_WEM)-CFG_WSM),0)</f>
        <v>0</v>
      </c>
      <c r="AM809" s="80">
        <f>AK809+AL809</f>
        <v>0</v>
      </c>
      <c r="AN809" s="80">
        <f>IF(CFG_BRK="Proporcional",IF(AD809=0,0,AF809*AM809/AD809),IF(CFG_BRK="Extras primero",MIN(AM809,MAX(0,AF809-(AD809-AM809))),MIN(AF809,AM809)))</f>
        <v>0</v>
      </c>
      <c r="AO809" s="80">
        <f>AF809-AN809</f>
        <v>0</v>
      </c>
      <c r="AP809" s="80">
        <f>AM809-AN809</f>
        <v>0</v>
      </c>
      <c r="AQ809" s="80">
        <f>AD809-AM809-AO809</f>
        <v>0</v>
      </c>
      <c r="AR809" s="80">
        <f>IF(AM809=0,0,AK809-AN809*AK809/AM809)</f>
        <v>0</v>
      </c>
      <c r="AS809" s="80">
        <f>IF(AD809-AM809=0,0,(AJ809-AK809)-AO809*(AJ809-AK809)/(AD809-AM809))</f>
        <v>0</v>
      </c>
      <c r="AT809" s="80" t="str">
        <f>IF(AC809=1,INT(B809)+1,"")</f>
        <v/>
      </c>
      <c r="AU809" s="80">
        <f>IF(AND(D809="proMX",R809="Cancelled"),0,1)</f>
        <v>1</v>
      </c>
      <c r="AV809" s="80">
        <f>IF(AND(AB809=1,AU809=1),IF(COUNTIFS($D$5:D808,D809,$B$5:B808,B809,$Z$5:Z808,Z809,$AA$5:AA808,AA809,$F$5:F808,F809&amp;"",$AU$5:AU808,1)&gt;0,1,0),0)</f>
        <v>0</v>
      </c>
      <c r="AW809" s="80" t="str">
        <f>IF(AB809=1,INT(B809)*1440+Z809,"")</f>
        <v/>
      </c>
      <c r="AX809" s="80" t="str">
        <f>IF(AB809=1,AW809+AD809,"")</f>
        <v/>
      </c>
      <c r="AY809" s="80">
        <f>IF(AND(AB809=1,AV809=0,AU809=1),1,0)</f>
        <v>0</v>
      </c>
      <c r="AZ809" s="80">
        <f>IF(AY809=1,COUNTIFS(R_Emp,D809,R_SAbs,"&lt;"&amp;AX809,R_EAbs,"&gt;"&amp;AW809,R_OKey,1)-1,0)</f>
        <v>0</v>
      </c>
      <c r="BA809" s="80">
        <f>IF(AY809=1,COUNTIFS(R_Emp,"&lt;&gt;"&amp;D809,R_SAbs,"&lt;"&amp;AX809,R_EAbs,"&gt;"&amp;AW809,R_OKey,1),0)</f>
        <v>0</v>
      </c>
      <c r="BB809" s="80">
        <f>IF(AND(AB809=1,D809="proMX"),IF(AND(MOD(Z809,CFG_BLK)=0,MOD(AA809,CFG_BLK)=0,MOD(AG809,CFG_BLK)=0,AG809&gt;0),1,0),1)</f>
        <v>1</v>
      </c>
      <c r="BC809" s="80" t="str">
        <f>IF(Y809=0,"",IF(NOT(ISNUMBER(B809)),"Falta fecha o fecha inválida",IF(D809="","Falta empresa",IF(AND(D809&lt;&gt;"Malcolm",D809&lt;&gt;"proMX"),"Empresa inválida",IF(OR(INT(B809)&lt;CFG_PSTART,INT(B809)&gt;CFG_PEND),"Fecha fuera del período",IF(OR(NOT(ISNUMBER(Z809)),NOT(ISNUMBER(AA809))),"Falta hora inicio/fin o formato inválido",IF(AB809=0,"Hora inicio = hora fin",IF(AE809&lt;0,"Descanso inválido",IF(AE809&gt;=AD809,"Descanso ≥ duración",IF(AV809=1,"Registro duplicado",IF(AZ809&gt;0,"Se superpone con otro registro "&amp;D809,IF(BB809=0,"inicio, fin y duración neta deben ser múltiplos de "&amp;CFG_BLK&amp;" min",""))))))))))))</f>
        <v/>
      </c>
      <c r="BD809" s="80">
        <f>IF(AND(Y809=1,BC809=""),1,0)</f>
        <v>0</v>
      </c>
      <c r="BE809" s="80">
        <f>IF(AND(BD809=1,AU809=1),1,0)</f>
        <v>0</v>
      </c>
      <c r="BF809" s="80" t="str">
        <f>IF(AND(D809="proMX",BD809=1),IF(R809="","Draft",R809),"")</f>
        <v/>
      </c>
      <c r="BG809" s="80">
        <f>IF(BD809=1,ROUND(AG809/60,6),0)</f>
        <v>0</v>
      </c>
      <c r="BH809" s="80">
        <f>IF(BE809=1,ROUND(AG809/60,6),0)</f>
        <v>0</v>
      </c>
      <c r="BI809" s="80">
        <f>IF(BE809=1,ROUND(AP809/60,6),0)</f>
        <v>0</v>
      </c>
      <c r="BJ809" s="80">
        <f>IF(BE809=1,ROUND(AQ809/60,6),0)</f>
        <v>0</v>
      </c>
      <c r="BK809" s="80">
        <f>IF(BE809=1,ROUND((AR809+AS809)/60,6),0)</f>
        <v>0</v>
      </c>
      <c r="BL809" s="80">
        <f>ROUND(BH809-BK809,6)</f>
        <v>0</v>
      </c>
      <c r="BM809" s="80">
        <f>IF(BE809=1,ROUND(AR809/60,6),0)</f>
        <v>0</v>
      </c>
      <c r="BN809" s="80">
        <f>ROUND(BI809-BM809,6)</f>
        <v>0</v>
      </c>
      <c r="BO809" s="80">
        <f>IF(BE809=1,ROUND(AS809/60,6),0)</f>
        <v>0</v>
      </c>
      <c r="BP809" s="80">
        <f>ROUND(BJ809-BO809,6)</f>
        <v>0</v>
      </c>
      <c r="BQ809" s="80">
        <f>IF(BE809=1,AW809,0)</f>
        <v>0</v>
      </c>
      <c r="BR809" s="80">
        <f>IF(BE809=1,AX809,0)</f>
        <v>0</v>
      </c>
      <c r="BS809" s="80">
        <f>IF(AND(BE809=1,D809="Malcolm",BA809&gt;0),MIN(BH809,SUMPRODUCT((R_Emp="proMX")*(R_EN&gt;0)*((R_EN-(R_EN&gt;BR809)*(R_EN-BR809))&gt;(R_SN+(R_SN&lt;BQ809)*(BQ809-R_SN)))*((R_EN-(R_EN&gt;BR809)*(R_EN-BR809))-(R_SN+(R_SN&lt;BQ809)*(BQ809-R_SN))))/60),0)</f>
        <v>0</v>
      </c>
      <c r="BT809" s="80">
        <f>IF(AND(BE809=1,D809="proMX"),ROUND(BI809*CFG_RATE+BJ809*CFG_OTRATE,6),0)</f>
        <v>0</v>
      </c>
      <c r="BU809" s="80">
        <f>IF(AND(BD809=1,D809="proMX"),ROUND(AG809/CFG_BLK,6),0)</f>
        <v>0</v>
      </c>
      <c r="BV809" s="80" t="str">
        <f>IF(BF809="Approved",IF(ISNUMBER(T809),INT(T809),INT(B809)),"")</f>
        <v/>
      </c>
      <c r="BW809" s="80">
        <f>IF(ISNUMBER(B809),IF(DB_MON="Todos",1,IF(AND(INT(B809)&gt;=DB_MS,INT(B809)&lt;=DB_ME),1,0)),0)</f>
        <v>0</v>
      </c>
      <c r="BX809" s="80">
        <f>IF(DB_PROJ="Todos",1,IF(E809&amp;""=DB_PROJ&amp;"",1,0))</f>
        <v>1</v>
      </c>
      <c r="BY809" s="80">
        <f>BW809*BX809</f>
        <v>0</v>
      </c>
      <c r="BZ809" s="80" t="str">
        <f>IF(Y809=1,F809&amp;IF(AND(F809&amp;""&lt;&gt;"",E809&amp;""&lt;&gt;"")," · ","")&amp;E809,"")</f>
        <v/>
      </c>
      <c r="CA809" s="80" t="str">
        <f>IF(AND(BD809=1,E809&amp;""&lt;&gt;""),IF(COUNTIFS($E$5:E808,E809,$BD$5:BD808,1)=0,MAX($CA$5:CA808)+1,""),"")</f>
        <v/>
      </c>
      <c r="CB809" s="80" t="str">
        <f>IF(AND(BE809=1,D809="Malcolm",E809&amp;""&lt;&gt;""),IF(COUNTIFS($D$5:D808,"Malcolm",$E$5:E808,E809,$BE$5:BE808,1)=0,MAX($CB$5:CB808)+1,""),"")</f>
        <v/>
      </c>
      <c r="CC809" s="80" t="str">
        <f>IF(AND(BD809=1,D809="proMX",E809&amp;""&lt;&gt;""),IF(COUNTIFS($D$5:D808,"proMX",$E$5:E808,E809,$BD$5:BD808,1)=0,MAX($CC$5:CC808)+1,""),"")</f>
        <v/>
      </c>
      <c r="CD809" s="80" t="str">
        <f>IF(AND(BE809=1,D809="Malcolm",F809&amp;""&lt;&gt;""),IF(COUNTIFS($D$5:D808,"Malcolm",$F$5:F808,F809,$BE$5:BE808,1)=0,MAX($CD$5:CD808)+1,""),"")</f>
        <v/>
      </c>
      <c r="CE809" s="80" t="str">
        <f>IF(AND(BD809=1,D809="proMX",F809&amp;""&lt;&gt;""),IF(COUNTIFS($D$5:D808,"proMX",$F$5:F808,F809,$BD$5:BD808,1)=0,MAX($CE$5:CE808)+1,""),"")</f>
        <v/>
      </c>
      <c r="CF809" s="80" t="str">
        <f>IF(AND(D809="proMX",BD809=1),IF(OR(BF809="Draft",BF809="Submitted",BF809="Returned",BF809="Recall Requested"),MAX($CF$5:CF808)+1,""),"")</f>
        <v/>
      </c>
      <c r="CG809" s="80">
        <f>IF(BD809=0,0,IF(D809="Malcolm",1,MATCH(BF809,{"Draft","Submitted","Approved","Returned","Recall Requested","Cancelled"},0)+1))</f>
        <v>0</v>
      </c>
      <c r="CH809" s="80">
        <f>IF(AND(BF809="Submitted",ISNUMBER(V809)),IF(V809&gt;CFG_MAXD,1,0),0)</f>
        <v>0</v>
      </c>
    </row>
    <row r="810">
      <c r="A810" s="71" t="str">
        <f>IF(Y810=1,ROW()-5,"")</f>
        <v/>
      </c>
      <c r="B810" s="72" t="n"/>
      <c r="C810" s="71" t="str">
        <f>IF(ISNUMBER(B810),CHOOSE(WEEKDAY(B810,2),"Lun","Mar","Mié","Jue","Vie","Sáb","Dom"),"")</f>
        <v/>
      </c>
      <c r="D810" s="73" t="n"/>
      <c r="E810" s="74" t="n"/>
      <c r="F810" s="74" t="n"/>
      <c r="G810" s="74" t="n"/>
      <c r="H810" s="75" t="n"/>
      <c r="I810" s="75" t="n"/>
      <c r="J810" s="76" t="n"/>
      <c r="K810" s="77" t="str">
        <f>IF(AB810=1,ROUND(AG810/60,4),"")</f>
        <v/>
      </c>
      <c r="L810" s="77" t="str">
        <f>IF(BD810=1,ROUND(AP810/60,4),"")</f>
        <v/>
      </c>
      <c r="M810" s="77" t="str">
        <f>IF(BD810=1,ROUND(AQ810/60,4),"")</f>
        <v/>
      </c>
      <c r="N810" s="71" t="str">
        <f>IF(AND(D810="proMX",AB810=1),ROUND(AG810/CFG_BLK,2),"")</f>
        <v/>
      </c>
      <c r="O810" s="77" t="str">
        <f>IF(D810="proMX",IF(BD810=1,ROUND(AG810/60,4),0),"")</f>
        <v/>
      </c>
      <c r="P810" s="78" t="str">
        <f>IF(Y810=0,"",IF(BD810=1,"OK",IF(D810="proMX","Revisar bloques: ","Revisar: ")&amp;BC810))</f>
        <v/>
      </c>
      <c r="Q810" s="78" t="str">
        <f>IF(NOT(ISNUMBER(B810)),"",IF(COUNTIFS(FER_F,INT(B810))&gt;0,"Feriado"&amp;IF(AH810=1," (laborable)"," (no laborable)"),IF(AH810=1,"Laborable",IF(WEEKDAY(B810,2)&gt;5,"Fin de semana","No laborable"))))</f>
        <v/>
      </c>
      <c r="R810" s="73" t="n"/>
      <c r="S810" s="72" t="n"/>
      <c r="T810" s="72" t="n"/>
      <c r="U810" s="74" t="n"/>
      <c r="V810" s="79" t="str">
        <f>IF(AND(D810="proMX",OR(R810="Submitted",R810="Recall Requested"),ISNUMBER(S810)),CFG_TODAY-INT(S810),"")</f>
        <v/>
      </c>
      <c r="W810" s="78" t="str">
        <f>IF(BD810=0,"",IF(BA810&gt;0,"⚠ Se superpone con un registro de la otra empresa",IF(D810="Malcolm",IF(COUNTA(R810,S810,T810)&gt;0,"Estado/fechas proMX se ignoran en Malcolm",""),IF(BF810="Cancelled","Cancelado: excluido de totales",IF(R810="","Sin estado: se trata como Draft",IF(BF810="Submitted",IF(ISNUMBER(V810),IF(V810&gt;CFG_MAXD,"⚠ "&amp;V810&amp;" días en Submitted (máx. "&amp;CFG_MAXD&amp;")",""),"Falta fecha de envío"),IF(BF810="Returned","⚠ Devuelto: corregir y reenviar",IF(BF810="Recall Requested","Retirada solicitada: pendiente",IF(AND(BF810="Approved",NOT(ISNUMBER(T810))),"Falta fecha de aprobación",IF(AND(ISNUMBER(S810),ISNUMBER(T810),T810&lt;S810),"Aprobación anterior al envío","")))))))))</f>
        <v/>
      </c>
      <c r="Y810" s="80">
        <f>IF(COUNTA(B810,D810,E810,F810,G810,H810,I810,J810,R810,S810,T810)&gt;0,1,0)</f>
        <v>0</v>
      </c>
      <c r="Z810" s="80" t="str">
        <f>IF(AND(ISNUMBER(H810),H810&gt;=0,H810&lt;1),ROUND(H810*1440,0),"")</f>
        <v/>
      </c>
      <c r="AA810" s="80" t="str">
        <f>IF(AND(ISNUMBER(I810),I810&gt;=0,I810&lt;1),ROUND(I810*1440,0),"")</f>
        <v/>
      </c>
      <c r="AB810" s="80">
        <f>IF(AND(ISNUMBER(B810),D810&lt;&gt;"",ISNUMBER(Z810),ISNUMBER(AA810)),IF(Z810=AA810,0,1),0)</f>
        <v>0</v>
      </c>
      <c r="AC810" s="80">
        <f>IF(AB810=1,IF(AA810&lt;Z810,1,0),0)</f>
        <v>0</v>
      </c>
      <c r="AD810" s="80">
        <f>IF(AB810=1,IF(AC810=1,1440-Z810+AA810,AA810-Z810),0)</f>
        <v>0</v>
      </c>
      <c r="AE810" s="80">
        <f>IF(J810="",0,IF(ISNUMBER(J810),J810,-1))</f>
        <v>0</v>
      </c>
      <c r="AF810" s="80">
        <f>MIN(MAX(0,AE810),AD810)</f>
        <v>0</v>
      </c>
      <c r="AG810" s="80">
        <f>MAX(0,AD810-MAX(0,AE810))</f>
        <v>0</v>
      </c>
      <c r="AH810" s="80">
        <f>IF(ISNUMBER(B810),IF(AND(INDEX(CFG_WDAYS,WEEKDAY(INT(B810),2))="Sí",IF(D810="proMX",COUNTIFS(FER_F,INT(B810),FER_NLP,"Sí"),COUNTIFS(FER_F,INT(B810),FER_NLM,"Sí"))=0),1,0),0)</f>
        <v>0</v>
      </c>
      <c r="AI810" s="80">
        <f>IF(AC810=1,IF(AND(INDEX(CFG_WDAYS,WEEKDAY(INT(B810)+1,2))="Sí",IF(D810="proMX",COUNTIFS(FER_F,INT(B810)+1,FER_NLP,"Sí"),COUNTIFS(FER_F,INT(B810)+1,FER_NLM,"Sí"))=0),1,0),0)</f>
        <v>0</v>
      </c>
      <c r="AJ810" s="80">
        <f>IF(AC810=1,1440-Z810,AD810)</f>
        <v>0</v>
      </c>
      <c r="AK810" s="80">
        <f>IF(AND(AB810=1,AH810=1),MAX(0,MIN(IF(AC810=1,1440,AA810),CFG_WEM)-MAX(Z810,CFG_WSM)),0)</f>
        <v>0</v>
      </c>
      <c r="AL810" s="80">
        <f>IF(AND(AC810=1,AI810=1),MAX(0,MIN(AA810,CFG_WEM)-CFG_WSM),0)</f>
        <v>0</v>
      </c>
      <c r="AM810" s="80">
        <f>AK810+AL810</f>
        <v>0</v>
      </c>
      <c r="AN810" s="80">
        <f>IF(CFG_BRK="Proporcional",IF(AD810=0,0,AF810*AM810/AD810),IF(CFG_BRK="Extras primero",MIN(AM810,MAX(0,AF810-(AD810-AM810))),MIN(AF810,AM810)))</f>
        <v>0</v>
      </c>
      <c r="AO810" s="80">
        <f>AF810-AN810</f>
        <v>0</v>
      </c>
      <c r="AP810" s="80">
        <f>AM810-AN810</f>
        <v>0</v>
      </c>
      <c r="AQ810" s="80">
        <f>AD810-AM810-AO810</f>
        <v>0</v>
      </c>
      <c r="AR810" s="80">
        <f>IF(AM810=0,0,AK810-AN810*AK810/AM810)</f>
        <v>0</v>
      </c>
      <c r="AS810" s="80">
        <f>IF(AD810-AM810=0,0,(AJ810-AK810)-AO810*(AJ810-AK810)/(AD810-AM810))</f>
        <v>0</v>
      </c>
      <c r="AT810" s="80" t="str">
        <f>IF(AC810=1,INT(B810)+1,"")</f>
        <v/>
      </c>
      <c r="AU810" s="80">
        <f>IF(AND(D810="proMX",R810="Cancelled"),0,1)</f>
        <v>1</v>
      </c>
      <c r="AV810" s="80">
        <f>IF(AND(AB810=1,AU810=1),IF(COUNTIFS($D$5:D809,D810,$B$5:B809,B810,$Z$5:Z809,Z810,$AA$5:AA809,AA810,$F$5:F809,F810&amp;"",$AU$5:AU809,1)&gt;0,1,0),0)</f>
        <v>0</v>
      </c>
      <c r="AW810" s="80" t="str">
        <f>IF(AB810=1,INT(B810)*1440+Z810,"")</f>
        <v/>
      </c>
      <c r="AX810" s="80" t="str">
        <f>IF(AB810=1,AW810+AD810,"")</f>
        <v/>
      </c>
      <c r="AY810" s="80">
        <f>IF(AND(AB810=1,AV810=0,AU810=1),1,0)</f>
        <v>0</v>
      </c>
      <c r="AZ810" s="80">
        <f>IF(AY810=1,COUNTIFS(R_Emp,D810,R_SAbs,"&lt;"&amp;AX810,R_EAbs,"&gt;"&amp;AW810,R_OKey,1)-1,0)</f>
        <v>0</v>
      </c>
      <c r="BA810" s="80">
        <f>IF(AY810=1,COUNTIFS(R_Emp,"&lt;&gt;"&amp;D810,R_SAbs,"&lt;"&amp;AX810,R_EAbs,"&gt;"&amp;AW810,R_OKey,1),0)</f>
        <v>0</v>
      </c>
      <c r="BB810" s="80">
        <f>IF(AND(AB810=1,D810="proMX"),IF(AND(MOD(Z810,CFG_BLK)=0,MOD(AA810,CFG_BLK)=0,MOD(AG810,CFG_BLK)=0,AG810&gt;0),1,0),1)</f>
        <v>1</v>
      </c>
      <c r="BC810" s="80" t="str">
        <f>IF(Y810=0,"",IF(NOT(ISNUMBER(B810)),"Falta fecha o fecha inválida",IF(D810="","Falta empresa",IF(AND(D810&lt;&gt;"Malcolm",D810&lt;&gt;"proMX"),"Empresa inválida",IF(OR(INT(B810)&lt;CFG_PSTART,INT(B810)&gt;CFG_PEND),"Fecha fuera del período",IF(OR(NOT(ISNUMBER(Z810)),NOT(ISNUMBER(AA810))),"Falta hora inicio/fin o formato inválido",IF(AB810=0,"Hora inicio = hora fin",IF(AE810&lt;0,"Descanso inválido",IF(AE810&gt;=AD810,"Descanso ≥ duración",IF(AV810=1,"Registro duplicado",IF(AZ810&gt;0,"Se superpone con otro registro "&amp;D810,IF(BB810=0,"inicio, fin y duración neta deben ser múltiplos de "&amp;CFG_BLK&amp;" min",""))))))))))))</f>
        <v/>
      </c>
      <c r="BD810" s="80">
        <f>IF(AND(Y810=1,BC810=""),1,0)</f>
        <v>0</v>
      </c>
      <c r="BE810" s="80">
        <f>IF(AND(BD810=1,AU810=1),1,0)</f>
        <v>0</v>
      </c>
      <c r="BF810" s="80" t="str">
        <f>IF(AND(D810="proMX",BD810=1),IF(R810="","Draft",R810),"")</f>
        <v/>
      </c>
      <c r="BG810" s="80">
        <f>IF(BD810=1,ROUND(AG810/60,6),0)</f>
        <v>0</v>
      </c>
      <c r="BH810" s="80">
        <f>IF(BE810=1,ROUND(AG810/60,6),0)</f>
        <v>0</v>
      </c>
      <c r="BI810" s="80">
        <f>IF(BE810=1,ROUND(AP810/60,6),0)</f>
        <v>0</v>
      </c>
      <c r="BJ810" s="80">
        <f>IF(BE810=1,ROUND(AQ810/60,6),0)</f>
        <v>0</v>
      </c>
      <c r="BK810" s="80">
        <f>IF(BE810=1,ROUND((AR810+AS810)/60,6),0)</f>
        <v>0</v>
      </c>
      <c r="BL810" s="80">
        <f>ROUND(BH810-BK810,6)</f>
        <v>0</v>
      </c>
      <c r="BM810" s="80">
        <f>IF(BE810=1,ROUND(AR810/60,6),0)</f>
        <v>0</v>
      </c>
      <c r="BN810" s="80">
        <f>ROUND(BI810-BM810,6)</f>
        <v>0</v>
      </c>
      <c r="BO810" s="80">
        <f>IF(BE810=1,ROUND(AS810/60,6),0)</f>
        <v>0</v>
      </c>
      <c r="BP810" s="80">
        <f>ROUND(BJ810-BO810,6)</f>
        <v>0</v>
      </c>
      <c r="BQ810" s="80">
        <f>IF(BE810=1,AW810,0)</f>
        <v>0</v>
      </c>
      <c r="BR810" s="80">
        <f>IF(BE810=1,AX810,0)</f>
        <v>0</v>
      </c>
      <c r="BS810" s="80">
        <f>IF(AND(BE810=1,D810="Malcolm",BA810&gt;0),MIN(BH810,SUMPRODUCT((R_Emp="proMX")*(R_EN&gt;0)*((R_EN-(R_EN&gt;BR810)*(R_EN-BR810))&gt;(R_SN+(R_SN&lt;BQ810)*(BQ810-R_SN)))*((R_EN-(R_EN&gt;BR810)*(R_EN-BR810))-(R_SN+(R_SN&lt;BQ810)*(BQ810-R_SN))))/60),0)</f>
        <v>0</v>
      </c>
      <c r="BT810" s="80">
        <f>IF(AND(BE810=1,D810="proMX"),ROUND(BI810*CFG_RATE+BJ810*CFG_OTRATE,6),0)</f>
        <v>0</v>
      </c>
      <c r="BU810" s="80">
        <f>IF(AND(BD810=1,D810="proMX"),ROUND(AG810/CFG_BLK,6),0)</f>
        <v>0</v>
      </c>
      <c r="BV810" s="80" t="str">
        <f>IF(BF810="Approved",IF(ISNUMBER(T810),INT(T810),INT(B810)),"")</f>
        <v/>
      </c>
      <c r="BW810" s="80">
        <f>IF(ISNUMBER(B810),IF(DB_MON="Todos",1,IF(AND(INT(B810)&gt;=DB_MS,INT(B810)&lt;=DB_ME),1,0)),0)</f>
        <v>0</v>
      </c>
      <c r="BX810" s="80">
        <f>IF(DB_PROJ="Todos",1,IF(E810&amp;""=DB_PROJ&amp;"",1,0))</f>
        <v>1</v>
      </c>
      <c r="BY810" s="80">
        <f>BW810*BX810</f>
        <v>0</v>
      </c>
      <c r="BZ810" s="80" t="str">
        <f>IF(Y810=1,F810&amp;IF(AND(F810&amp;""&lt;&gt;"",E810&amp;""&lt;&gt;"")," · ","")&amp;E810,"")</f>
        <v/>
      </c>
      <c r="CA810" s="80" t="str">
        <f>IF(AND(BD810=1,E810&amp;""&lt;&gt;""),IF(COUNTIFS($E$5:E809,E810,$BD$5:BD809,1)=0,MAX($CA$5:CA809)+1,""),"")</f>
        <v/>
      </c>
      <c r="CB810" s="80" t="str">
        <f>IF(AND(BE810=1,D810="Malcolm",E810&amp;""&lt;&gt;""),IF(COUNTIFS($D$5:D809,"Malcolm",$E$5:E809,E810,$BE$5:BE809,1)=0,MAX($CB$5:CB809)+1,""),"")</f>
        <v/>
      </c>
      <c r="CC810" s="80" t="str">
        <f>IF(AND(BD810=1,D810="proMX",E810&amp;""&lt;&gt;""),IF(COUNTIFS($D$5:D809,"proMX",$E$5:E809,E810,$BD$5:BD809,1)=0,MAX($CC$5:CC809)+1,""),"")</f>
        <v/>
      </c>
      <c r="CD810" s="80" t="str">
        <f>IF(AND(BE810=1,D810="Malcolm",F810&amp;""&lt;&gt;""),IF(COUNTIFS($D$5:D809,"Malcolm",$F$5:F809,F810,$BE$5:BE809,1)=0,MAX($CD$5:CD809)+1,""),"")</f>
        <v/>
      </c>
      <c r="CE810" s="80" t="str">
        <f>IF(AND(BD810=1,D810="proMX",F810&amp;""&lt;&gt;""),IF(COUNTIFS($D$5:D809,"proMX",$F$5:F809,F810,$BD$5:BD809,1)=0,MAX($CE$5:CE809)+1,""),"")</f>
        <v/>
      </c>
      <c r="CF810" s="80" t="str">
        <f>IF(AND(D810="proMX",BD810=1),IF(OR(BF810="Draft",BF810="Submitted",BF810="Returned",BF810="Recall Requested"),MAX($CF$5:CF809)+1,""),"")</f>
        <v/>
      </c>
      <c r="CG810" s="80">
        <f>IF(BD810=0,0,IF(D810="Malcolm",1,MATCH(BF810,{"Draft","Submitted","Approved","Returned","Recall Requested","Cancelled"},0)+1))</f>
        <v>0</v>
      </c>
      <c r="CH810" s="80">
        <f>IF(AND(BF810="Submitted",ISNUMBER(V810)),IF(V810&gt;CFG_MAXD,1,0),0)</f>
        <v>0</v>
      </c>
    </row>
    <row r="811">
      <c r="A811" s="71" t="str">
        <f>IF(Y811=1,ROW()-5,"")</f>
        <v/>
      </c>
      <c r="B811" s="72" t="n"/>
      <c r="C811" s="71" t="str">
        <f>IF(ISNUMBER(B811),CHOOSE(WEEKDAY(B811,2),"Lun","Mar","Mié","Jue","Vie","Sáb","Dom"),"")</f>
        <v/>
      </c>
      <c r="D811" s="73" t="n"/>
      <c r="E811" s="74" t="n"/>
      <c r="F811" s="74" t="n"/>
      <c r="G811" s="74" t="n"/>
      <c r="H811" s="75" t="n"/>
      <c r="I811" s="75" t="n"/>
      <c r="J811" s="76" t="n"/>
      <c r="K811" s="77" t="str">
        <f>IF(AB811=1,ROUND(AG811/60,4),"")</f>
        <v/>
      </c>
      <c r="L811" s="77" t="str">
        <f>IF(BD811=1,ROUND(AP811/60,4),"")</f>
        <v/>
      </c>
      <c r="M811" s="77" t="str">
        <f>IF(BD811=1,ROUND(AQ811/60,4),"")</f>
        <v/>
      </c>
      <c r="N811" s="71" t="str">
        <f>IF(AND(D811="proMX",AB811=1),ROUND(AG811/CFG_BLK,2),"")</f>
        <v/>
      </c>
      <c r="O811" s="77" t="str">
        <f>IF(D811="proMX",IF(BD811=1,ROUND(AG811/60,4),0),"")</f>
        <v/>
      </c>
      <c r="P811" s="78" t="str">
        <f>IF(Y811=0,"",IF(BD811=1,"OK",IF(D811="proMX","Revisar bloques: ","Revisar: ")&amp;BC811))</f>
        <v/>
      </c>
      <c r="Q811" s="78" t="str">
        <f>IF(NOT(ISNUMBER(B811)),"",IF(COUNTIFS(FER_F,INT(B811))&gt;0,"Feriado"&amp;IF(AH811=1," (laborable)"," (no laborable)"),IF(AH811=1,"Laborable",IF(WEEKDAY(B811,2)&gt;5,"Fin de semana","No laborable"))))</f>
        <v/>
      </c>
      <c r="R811" s="73" t="n"/>
      <c r="S811" s="72" t="n"/>
      <c r="T811" s="72" t="n"/>
      <c r="U811" s="74" t="n"/>
      <c r="V811" s="79" t="str">
        <f>IF(AND(D811="proMX",OR(R811="Submitted",R811="Recall Requested"),ISNUMBER(S811)),CFG_TODAY-INT(S811),"")</f>
        <v/>
      </c>
      <c r="W811" s="78" t="str">
        <f>IF(BD811=0,"",IF(BA811&gt;0,"⚠ Se superpone con un registro de la otra empresa",IF(D811="Malcolm",IF(COUNTA(R811,S811,T811)&gt;0,"Estado/fechas proMX se ignoran en Malcolm",""),IF(BF811="Cancelled","Cancelado: excluido de totales",IF(R811="","Sin estado: se trata como Draft",IF(BF811="Submitted",IF(ISNUMBER(V811),IF(V811&gt;CFG_MAXD,"⚠ "&amp;V811&amp;" días en Submitted (máx. "&amp;CFG_MAXD&amp;")",""),"Falta fecha de envío"),IF(BF811="Returned","⚠ Devuelto: corregir y reenviar",IF(BF811="Recall Requested","Retirada solicitada: pendiente",IF(AND(BF811="Approved",NOT(ISNUMBER(T811))),"Falta fecha de aprobación",IF(AND(ISNUMBER(S811),ISNUMBER(T811),T811&lt;S811),"Aprobación anterior al envío","")))))))))</f>
        <v/>
      </c>
      <c r="Y811" s="80">
        <f>IF(COUNTA(B811,D811,E811,F811,G811,H811,I811,J811,R811,S811,T811)&gt;0,1,0)</f>
        <v>0</v>
      </c>
      <c r="Z811" s="80" t="str">
        <f>IF(AND(ISNUMBER(H811),H811&gt;=0,H811&lt;1),ROUND(H811*1440,0),"")</f>
        <v/>
      </c>
      <c r="AA811" s="80" t="str">
        <f>IF(AND(ISNUMBER(I811),I811&gt;=0,I811&lt;1),ROUND(I811*1440,0),"")</f>
        <v/>
      </c>
      <c r="AB811" s="80">
        <f>IF(AND(ISNUMBER(B811),D811&lt;&gt;"",ISNUMBER(Z811),ISNUMBER(AA811)),IF(Z811=AA811,0,1),0)</f>
        <v>0</v>
      </c>
      <c r="AC811" s="80">
        <f>IF(AB811=1,IF(AA811&lt;Z811,1,0),0)</f>
        <v>0</v>
      </c>
      <c r="AD811" s="80">
        <f>IF(AB811=1,IF(AC811=1,1440-Z811+AA811,AA811-Z811),0)</f>
        <v>0</v>
      </c>
      <c r="AE811" s="80">
        <f>IF(J811="",0,IF(ISNUMBER(J811),J811,-1))</f>
        <v>0</v>
      </c>
      <c r="AF811" s="80">
        <f>MIN(MAX(0,AE811),AD811)</f>
        <v>0</v>
      </c>
      <c r="AG811" s="80">
        <f>MAX(0,AD811-MAX(0,AE811))</f>
        <v>0</v>
      </c>
      <c r="AH811" s="80">
        <f>IF(ISNUMBER(B811),IF(AND(INDEX(CFG_WDAYS,WEEKDAY(INT(B811),2))="Sí",IF(D811="proMX",COUNTIFS(FER_F,INT(B811),FER_NLP,"Sí"),COUNTIFS(FER_F,INT(B811),FER_NLM,"Sí"))=0),1,0),0)</f>
        <v>0</v>
      </c>
      <c r="AI811" s="80">
        <f>IF(AC811=1,IF(AND(INDEX(CFG_WDAYS,WEEKDAY(INT(B811)+1,2))="Sí",IF(D811="proMX",COUNTIFS(FER_F,INT(B811)+1,FER_NLP,"Sí"),COUNTIFS(FER_F,INT(B811)+1,FER_NLM,"Sí"))=0),1,0),0)</f>
        <v>0</v>
      </c>
      <c r="AJ811" s="80">
        <f>IF(AC811=1,1440-Z811,AD811)</f>
        <v>0</v>
      </c>
      <c r="AK811" s="80">
        <f>IF(AND(AB811=1,AH811=1),MAX(0,MIN(IF(AC811=1,1440,AA811),CFG_WEM)-MAX(Z811,CFG_WSM)),0)</f>
        <v>0</v>
      </c>
      <c r="AL811" s="80">
        <f>IF(AND(AC811=1,AI811=1),MAX(0,MIN(AA811,CFG_WEM)-CFG_WSM),0)</f>
        <v>0</v>
      </c>
      <c r="AM811" s="80">
        <f>AK811+AL811</f>
        <v>0</v>
      </c>
      <c r="AN811" s="80">
        <f>IF(CFG_BRK="Proporcional",IF(AD811=0,0,AF811*AM811/AD811),IF(CFG_BRK="Extras primero",MIN(AM811,MAX(0,AF811-(AD811-AM811))),MIN(AF811,AM811)))</f>
        <v>0</v>
      </c>
      <c r="AO811" s="80">
        <f>AF811-AN811</f>
        <v>0</v>
      </c>
      <c r="AP811" s="80">
        <f>AM811-AN811</f>
        <v>0</v>
      </c>
      <c r="AQ811" s="80">
        <f>AD811-AM811-AO811</f>
        <v>0</v>
      </c>
      <c r="AR811" s="80">
        <f>IF(AM811=0,0,AK811-AN811*AK811/AM811)</f>
        <v>0</v>
      </c>
      <c r="AS811" s="80">
        <f>IF(AD811-AM811=0,0,(AJ811-AK811)-AO811*(AJ811-AK811)/(AD811-AM811))</f>
        <v>0</v>
      </c>
      <c r="AT811" s="80" t="str">
        <f>IF(AC811=1,INT(B811)+1,"")</f>
        <v/>
      </c>
      <c r="AU811" s="80">
        <f>IF(AND(D811="proMX",R811="Cancelled"),0,1)</f>
        <v>1</v>
      </c>
      <c r="AV811" s="80">
        <f>IF(AND(AB811=1,AU811=1),IF(COUNTIFS($D$5:D810,D811,$B$5:B810,B811,$Z$5:Z810,Z811,$AA$5:AA810,AA811,$F$5:F810,F811&amp;"",$AU$5:AU810,1)&gt;0,1,0),0)</f>
        <v>0</v>
      </c>
      <c r="AW811" s="80" t="str">
        <f>IF(AB811=1,INT(B811)*1440+Z811,"")</f>
        <v/>
      </c>
      <c r="AX811" s="80" t="str">
        <f>IF(AB811=1,AW811+AD811,"")</f>
        <v/>
      </c>
      <c r="AY811" s="80">
        <f>IF(AND(AB811=1,AV811=0,AU811=1),1,0)</f>
        <v>0</v>
      </c>
      <c r="AZ811" s="80">
        <f>IF(AY811=1,COUNTIFS(R_Emp,D811,R_SAbs,"&lt;"&amp;AX811,R_EAbs,"&gt;"&amp;AW811,R_OKey,1)-1,0)</f>
        <v>0</v>
      </c>
      <c r="BA811" s="80">
        <f>IF(AY811=1,COUNTIFS(R_Emp,"&lt;&gt;"&amp;D811,R_SAbs,"&lt;"&amp;AX811,R_EAbs,"&gt;"&amp;AW811,R_OKey,1),0)</f>
        <v>0</v>
      </c>
      <c r="BB811" s="80">
        <f>IF(AND(AB811=1,D811="proMX"),IF(AND(MOD(Z811,CFG_BLK)=0,MOD(AA811,CFG_BLK)=0,MOD(AG811,CFG_BLK)=0,AG811&gt;0),1,0),1)</f>
        <v>1</v>
      </c>
      <c r="BC811" s="80" t="str">
        <f>IF(Y811=0,"",IF(NOT(ISNUMBER(B811)),"Falta fecha o fecha inválida",IF(D811="","Falta empresa",IF(AND(D811&lt;&gt;"Malcolm",D811&lt;&gt;"proMX"),"Empresa inválida",IF(OR(INT(B811)&lt;CFG_PSTART,INT(B811)&gt;CFG_PEND),"Fecha fuera del período",IF(OR(NOT(ISNUMBER(Z811)),NOT(ISNUMBER(AA811))),"Falta hora inicio/fin o formato inválido",IF(AB811=0,"Hora inicio = hora fin",IF(AE811&lt;0,"Descanso inválido",IF(AE811&gt;=AD811,"Descanso ≥ duración",IF(AV811=1,"Registro duplicado",IF(AZ811&gt;0,"Se superpone con otro registro "&amp;D811,IF(BB811=0,"inicio, fin y duración neta deben ser múltiplos de "&amp;CFG_BLK&amp;" min",""))))))))))))</f>
        <v/>
      </c>
      <c r="BD811" s="80">
        <f>IF(AND(Y811=1,BC811=""),1,0)</f>
        <v>0</v>
      </c>
      <c r="BE811" s="80">
        <f>IF(AND(BD811=1,AU811=1),1,0)</f>
        <v>0</v>
      </c>
      <c r="BF811" s="80" t="str">
        <f>IF(AND(D811="proMX",BD811=1),IF(R811="","Draft",R811),"")</f>
        <v/>
      </c>
      <c r="BG811" s="80">
        <f>IF(BD811=1,ROUND(AG811/60,6),0)</f>
        <v>0</v>
      </c>
      <c r="BH811" s="80">
        <f>IF(BE811=1,ROUND(AG811/60,6),0)</f>
        <v>0</v>
      </c>
      <c r="BI811" s="80">
        <f>IF(BE811=1,ROUND(AP811/60,6),0)</f>
        <v>0</v>
      </c>
      <c r="BJ811" s="80">
        <f>IF(BE811=1,ROUND(AQ811/60,6),0)</f>
        <v>0</v>
      </c>
      <c r="BK811" s="80">
        <f>IF(BE811=1,ROUND((AR811+AS811)/60,6),0)</f>
        <v>0</v>
      </c>
      <c r="BL811" s="80">
        <f>ROUND(BH811-BK811,6)</f>
        <v>0</v>
      </c>
      <c r="BM811" s="80">
        <f>IF(BE811=1,ROUND(AR811/60,6),0)</f>
        <v>0</v>
      </c>
      <c r="BN811" s="80">
        <f>ROUND(BI811-BM811,6)</f>
        <v>0</v>
      </c>
      <c r="BO811" s="80">
        <f>IF(BE811=1,ROUND(AS811/60,6),0)</f>
        <v>0</v>
      </c>
      <c r="BP811" s="80">
        <f>ROUND(BJ811-BO811,6)</f>
        <v>0</v>
      </c>
      <c r="BQ811" s="80">
        <f>IF(BE811=1,AW811,0)</f>
        <v>0</v>
      </c>
      <c r="BR811" s="80">
        <f>IF(BE811=1,AX811,0)</f>
        <v>0</v>
      </c>
      <c r="BS811" s="80">
        <f>IF(AND(BE811=1,D811="Malcolm",BA811&gt;0),MIN(BH811,SUMPRODUCT((R_Emp="proMX")*(R_EN&gt;0)*((R_EN-(R_EN&gt;BR811)*(R_EN-BR811))&gt;(R_SN+(R_SN&lt;BQ811)*(BQ811-R_SN)))*((R_EN-(R_EN&gt;BR811)*(R_EN-BR811))-(R_SN+(R_SN&lt;BQ811)*(BQ811-R_SN))))/60),0)</f>
        <v>0</v>
      </c>
      <c r="BT811" s="80">
        <f>IF(AND(BE811=1,D811="proMX"),ROUND(BI811*CFG_RATE+BJ811*CFG_OTRATE,6),0)</f>
        <v>0</v>
      </c>
      <c r="BU811" s="80">
        <f>IF(AND(BD811=1,D811="proMX"),ROUND(AG811/CFG_BLK,6),0)</f>
        <v>0</v>
      </c>
      <c r="BV811" s="80" t="str">
        <f>IF(BF811="Approved",IF(ISNUMBER(T811),INT(T811),INT(B811)),"")</f>
        <v/>
      </c>
      <c r="BW811" s="80">
        <f>IF(ISNUMBER(B811),IF(DB_MON="Todos",1,IF(AND(INT(B811)&gt;=DB_MS,INT(B811)&lt;=DB_ME),1,0)),0)</f>
        <v>0</v>
      </c>
      <c r="BX811" s="80">
        <f>IF(DB_PROJ="Todos",1,IF(E811&amp;""=DB_PROJ&amp;"",1,0))</f>
        <v>1</v>
      </c>
      <c r="BY811" s="80">
        <f>BW811*BX811</f>
        <v>0</v>
      </c>
      <c r="BZ811" s="80" t="str">
        <f>IF(Y811=1,F811&amp;IF(AND(F811&amp;""&lt;&gt;"",E811&amp;""&lt;&gt;"")," · ","")&amp;E811,"")</f>
        <v/>
      </c>
      <c r="CA811" s="80" t="str">
        <f>IF(AND(BD811=1,E811&amp;""&lt;&gt;""),IF(COUNTIFS($E$5:E810,E811,$BD$5:BD810,1)=0,MAX($CA$5:CA810)+1,""),"")</f>
        <v/>
      </c>
      <c r="CB811" s="80" t="str">
        <f>IF(AND(BE811=1,D811="Malcolm",E811&amp;""&lt;&gt;""),IF(COUNTIFS($D$5:D810,"Malcolm",$E$5:E810,E811,$BE$5:BE810,1)=0,MAX($CB$5:CB810)+1,""),"")</f>
        <v/>
      </c>
      <c r="CC811" s="80" t="str">
        <f>IF(AND(BD811=1,D811="proMX",E811&amp;""&lt;&gt;""),IF(COUNTIFS($D$5:D810,"proMX",$E$5:E810,E811,$BD$5:BD810,1)=0,MAX($CC$5:CC810)+1,""),"")</f>
        <v/>
      </c>
      <c r="CD811" s="80" t="str">
        <f>IF(AND(BE811=1,D811="Malcolm",F811&amp;""&lt;&gt;""),IF(COUNTIFS($D$5:D810,"Malcolm",$F$5:F810,F811,$BE$5:BE810,1)=0,MAX($CD$5:CD810)+1,""),"")</f>
        <v/>
      </c>
      <c r="CE811" s="80" t="str">
        <f>IF(AND(BD811=1,D811="proMX",F811&amp;""&lt;&gt;""),IF(COUNTIFS($D$5:D810,"proMX",$F$5:F810,F811,$BD$5:BD810,1)=0,MAX($CE$5:CE810)+1,""),"")</f>
        <v/>
      </c>
      <c r="CF811" s="80" t="str">
        <f>IF(AND(D811="proMX",BD811=1),IF(OR(BF811="Draft",BF811="Submitted",BF811="Returned",BF811="Recall Requested"),MAX($CF$5:CF810)+1,""),"")</f>
        <v/>
      </c>
      <c r="CG811" s="80">
        <f>IF(BD811=0,0,IF(D811="Malcolm",1,MATCH(BF811,{"Draft","Submitted","Approved","Returned","Recall Requested","Cancelled"},0)+1))</f>
        <v>0</v>
      </c>
      <c r="CH811" s="80">
        <f>IF(AND(BF811="Submitted",ISNUMBER(V811)),IF(V811&gt;CFG_MAXD,1,0),0)</f>
        <v>0</v>
      </c>
    </row>
    <row r="812">
      <c r="A812" s="71" t="str">
        <f>IF(Y812=1,ROW()-5,"")</f>
        <v/>
      </c>
      <c r="B812" s="72" t="n"/>
      <c r="C812" s="71" t="str">
        <f>IF(ISNUMBER(B812),CHOOSE(WEEKDAY(B812,2),"Lun","Mar","Mié","Jue","Vie","Sáb","Dom"),"")</f>
        <v/>
      </c>
      <c r="D812" s="73" t="n"/>
      <c r="E812" s="74" t="n"/>
      <c r="F812" s="74" t="n"/>
      <c r="G812" s="74" t="n"/>
      <c r="H812" s="75" t="n"/>
      <c r="I812" s="75" t="n"/>
      <c r="J812" s="76" t="n"/>
      <c r="K812" s="77" t="str">
        <f>IF(AB812=1,ROUND(AG812/60,4),"")</f>
        <v/>
      </c>
      <c r="L812" s="77" t="str">
        <f>IF(BD812=1,ROUND(AP812/60,4),"")</f>
        <v/>
      </c>
      <c r="M812" s="77" t="str">
        <f>IF(BD812=1,ROUND(AQ812/60,4),"")</f>
        <v/>
      </c>
      <c r="N812" s="71" t="str">
        <f>IF(AND(D812="proMX",AB812=1),ROUND(AG812/CFG_BLK,2),"")</f>
        <v/>
      </c>
      <c r="O812" s="77" t="str">
        <f>IF(D812="proMX",IF(BD812=1,ROUND(AG812/60,4),0),"")</f>
        <v/>
      </c>
      <c r="P812" s="78" t="str">
        <f>IF(Y812=0,"",IF(BD812=1,"OK",IF(D812="proMX","Revisar bloques: ","Revisar: ")&amp;BC812))</f>
        <v/>
      </c>
      <c r="Q812" s="78" t="str">
        <f>IF(NOT(ISNUMBER(B812)),"",IF(COUNTIFS(FER_F,INT(B812))&gt;0,"Feriado"&amp;IF(AH812=1," (laborable)"," (no laborable)"),IF(AH812=1,"Laborable",IF(WEEKDAY(B812,2)&gt;5,"Fin de semana","No laborable"))))</f>
        <v/>
      </c>
      <c r="R812" s="73" t="n"/>
      <c r="S812" s="72" t="n"/>
      <c r="T812" s="72" t="n"/>
      <c r="U812" s="74" t="n"/>
      <c r="V812" s="79" t="str">
        <f>IF(AND(D812="proMX",OR(R812="Submitted",R812="Recall Requested"),ISNUMBER(S812)),CFG_TODAY-INT(S812),"")</f>
        <v/>
      </c>
      <c r="W812" s="78" t="str">
        <f>IF(BD812=0,"",IF(BA812&gt;0,"⚠ Se superpone con un registro de la otra empresa",IF(D812="Malcolm",IF(COUNTA(R812,S812,T812)&gt;0,"Estado/fechas proMX se ignoran en Malcolm",""),IF(BF812="Cancelled","Cancelado: excluido de totales",IF(R812="","Sin estado: se trata como Draft",IF(BF812="Submitted",IF(ISNUMBER(V812),IF(V812&gt;CFG_MAXD,"⚠ "&amp;V812&amp;" días en Submitted (máx. "&amp;CFG_MAXD&amp;")",""),"Falta fecha de envío"),IF(BF812="Returned","⚠ Devuelto: corregir y reenviar",IF(BF812="Recall Requested","Retirada solicitada: pendiente",IF(AND(BF812="Approved",NOT(ISNUMBER(T812))),"Falta fecha de aprobación",IF(AND(ISNUMBER(S812),ISNUMBER(T812),T812&lt;S812),"Aprobación anterior al envío","")))))))))</f>
        <v/>
      </c>
      <c r="Y812" s="80">
        <f>IF(COUNTA(B812,D812,E812,F812,G812,H812,I812,J812,R812,S812,T812)&gt;0,1,0)</f>
        <v>0</v>
      </c>
      <c r="Z812" s="80" t="str">
        <f>IF(AND(ISNUMBER(H812),H812&gt;=0,H812&lt;1),ROUND(H812*1440,0),"")</f>
        <v/>
      </c>
      <c r="AA812" s="80" t="str">
        <f>IF(AND(ISNUMBER(I812),I812&gt;=0,I812&lt;1),ROUND(I812*1440,0),"")</f>
        <v/>
      </c>
      <c r="AB812" s="80">
        <f>IF(AND(ISNUMBER(B812),D812&lt;&gt;"",ISNUMBER(Z812),ISNUMBER(AA812)),IF(Z812=AA812,0,1),0)</f>
        <v>0</v>
      </c>
      <c r="AC812" s="80">
        <f>IF(AB812=1,IF(AA812&lt;Z812,1,0),0)</f>
        <v>0</v>
      </c>
      <c r="AD812" s="80">
        <f>IF(AB812=1,IF(AC812=1,1440-Z812+AA812,AA812-Z812),0)</f>
        <v>0</v>
      </c>
      <c r="AE812" s="80">
        <f>IF(J812="",0,IF(ISNUMBER(J812),J812,-1))</f>
        <v>0</v>
      </c>
      <c r="AF812" s="80">
        <f>MIN(MAX(0,AE812),AD812)</f>
        <v>0</v>
      </c>
      <c r="AG812" s="80">
        <f>MAX(0,AD812-MAX(0,AE812))</f>
        <v>0</v>
      </c>
      <c r="AH812" s="80">
        <f>IF(ISNUMBER(B812),IF(AND(INDEX(CFG_WDAYS,WEEKDAY(INT(B812),2))="Sí",IF(D812="proMX",COUNTIFS(FER_F,INT(B812),FER_NLP,"Sí"),COUNTIFS(FER_F,INT(B812),FER_NLM,"Sí"))=0),1,0),0)</f>
        <v>0</v>
      </c>
      <c r="AI812" s="80">
        <f>IF(AC812=1,IF(AND(INDEX(CFG_WDAYS,WEEKDAY(INT(B812)+1,2))="Sí",IF(D812="proMX",COUNTIFS(FER_F,INT(B812)+1,FER_NLP,"Sí"),COUNTIFS(FER_F,INT(B812)+1,FER_NLM,"Sí"))=0),1,0),0)</f>
        <v>0</v>
      </c>
      <c r="AJ812" s="80">
        <f>IF(AC812=1,1440-Z812,AD812)</f>
        <v>0</v>
      </c>
      <c r="AK812" s="80">
        <f>IF(AND(AB812=1,AH812=1),MAX(0,MIN(IF(AC812=1,1440,AA812),CFG_WEM)-MAX(Z812,CFG_WSM)),0)</f>
        <v>0</v>
      </c>
      <c r="AL812" s="80">
        <f>IF(AND(AC812=1,AI812=1),MAX(0,MIN(AA812,CFG_WEM)-CFG_WSM),0)</f>
        <v>0</v>
      </c>
      <c r="AM812" s="80">
        <f>AK812+AL812</f>
        <v>0</v>
      </c>
      <c r="AN812" s="80">
        <f>IF(CFG_BRK="Proporcional",IF(AD812=0,0,AF812*AM812/AD812),IF(CFG_BRK="Extras primero",MIN(AM812,MAX(0,AF812-(AD812-AM812))),MIN(AF812,AM812)))</f>
        <v>0</v>
      </c>
      <c r="AO812" s="80">
        <f>AF812-AN812</f>
        <v>0</v>
      </c>
      <c r="AP812" s="80">
        <f>AM812-AN812</f>
        <v>0</v>
      </c>
      <c r="AQ812" s="80">
        <f>AD812-AM812-AO812</f>
        <v>0</v>
      </c>
      <c r="AR812" s="80">
        <f>IF(AM812=0,0,AK812-AN812*AK812/AM812)</f>
        <v>0</v>
      </c>
      <c r="AS812" s="80">
        <f>IF(AD812-AM812=0,0,(AJ812-AK812)-AO812*(AJ812-AK812)/(AD812-AM812))</f>
        <v>0</v>
      </c>
      <c r="AT812" s="80" t="str">
        <f>IF(AC812=1,INT(B812)+1,"")</f>
        <v/>
      </c>
      <c r="AU812" s="80">
        <f>IF(AND(D812="proMX",R812="Cancelled"),0,1)</f>
        <v>1</v>
      </c>
      <c r="AV812" s="80">
        <f>IF(AND(AB812=1,AU812=1),IF(COUNTIFS($D$5:D811,D812,$B$5:B811,B812,$Z$5:Z811,Z812,$AA$5:AA811,AA812,$F$5:F811,F812&amp;"",$AU$5:AU811,1)&gt;0,1,0),0)</f>
        <v>0</v>
      </c>
      <c r="AW812" s="80" t="str">
        <f>IF(AB812=1,INT(B812)*1440+Z812,"")</f>
        <v/>
      </c>
      <c r="AX812" s="80" t="str">
        <f>IF(AB812=1,AW812+AD812,"")</f>
        <v/>
      </c>
      <c r="AY812" s="80">
        <f>IF(AND(AB812=1,AV812=0,AU812=1),1,0)</f>
        <v>0</v>
      </c>
      <c r="AZ812" s="80">
        <f>IF(AY812=1,COUNTIFS(R_Emp,D812,R_SAbs,"&lt;"&amp;AX812,R_EAbs,"&gt;"&amp;AW812,R_OKey,1)-1,0)</f>
        <v>0</v>
      </c>
      <c r="BA812" s="80">
        <f>IF(AY812=1,COUNTIFS(R_Emp,"&lt;&gt;"&amp;D812,R_SAbs,"&lt;"&amp;AX812,R_EAbs,"&gt;"&amp;AW812,R_OKey,1),0)</f>
        <v>0</v>
      </c>
      <c r="BB812" s="80">
        <f>IF(AND(AB812=1,D812="proMX"),IF(AND(MOD(Z812,CFG_BLK)=0,MOD(AA812,CFG_BLK)=0,MOD(AG812,CFG_BLK)=0,AG812&gt;0),1,0),1)</f>
        <v>1</v>
      </c>
      <c r="BC812" s="80" t="str">
        <f>IF(Y812=0,"",IF(NOT(ISNUMBER(B812)),"Falta fecha o fecha inválida",IF(D812="","Falta empresa",IF(AND(D812&lt;&gt;"Malcolm",D812&lt;&gt;"proMX"),"Empresa inválida",IF(OR(INT(B812)&lt;CFG_PSTART,INT(B812)&gt;CFG_PEND),"Fecha fuera del período",IF(OR(NOT(ISNUMBER(Z812)),NOT(ISNUMBER(AA812))),"Falta hora inicio/fin o formato inválido",IF(AB812=0,"Hora inicio = hora fin",IF(AE812&lt;0,"Descanso inválido",IF(AE812&gt;=AD812,"Descanso ≥ duración",IF(AV812=1,"Registro duplicado",IF(AZ812&gt;0,"Se superpone con otro registro "&amp;D812,IF(BB812=0,"inicio, fin y duración neta deben ser múltiplos de "&amp;CFG_BLK&amp;" min",""))))))))))))</f>
        <v/>
      </c>
      <c r="BD812" s="80">
        <f>IF(AND(Y812=1,BC812=""),1,0)</f>
        <v>0</v>
      </c>
      <c r="BE812" s="80">
        <f>IF(AND(BD812=1,AU812=1),1,0)</f>
        <v>0</v>
      </c>
      <c r="BF812" s="80" t="str">
        <f>IF(AND(D812="proMX",BD812=1),IF(R812="","Draft",R812),"")</f>
        <v/>
      </c>
      <c r="BG812" s="80">
        <f>IF(BD812=1,ROUND(AG812/60,6),0)</f>
        <v>0</v>
      </c>
      <c r="BH812" s="80">
        <f>IF(BE812=1,ROUND(AG812/60,6),0)</f>
        <v>0</v>
      </c>
      <c r="BI812" s="80">
        <f>IF(BE812=1,ROUND(AP812/60,6),0)</f>
        <v>0</v>
      </c>
      <c r="BJ812" s="80">
        <f>IF(BE812=1,ROUND(AQ812/60,6),0)</f>
        <v>0</v>
      </c>
      <c r="BK812" s="80">
        <f>IF(BE812=1,ROUND((AR812+AS812)/60,6),0)</f>
        <v>0</v>
      </c>
      <c r="BL812" s="80">
        <f>ROUND(BH812-BK812,6)</f>
        <v>0</v>
      </c>
      <c r="BM812" s="80">
        <f>IF(BE812=1,ROUND(AR812/60,6),0)</f>
        <v>0</v>
      </c>
      <c r="BN812" s="80">
        <f>ROUND(BI812-BM812,6)</f>
        <v>0</v>
      </c>
      <c r="BO812" s="80">
        <f>IF(BE812=1,ROUND(AS812/60,6),0)</f>
        <v>0</v>
      </c>
      <c r="BP812" s="80">
        <f>ROUND(BJ812-BO812,6)</f>
        <v>0</v>
      </c>
      <c r="BQ812" s="80">
        <f>IF(BE812=1,AW812,0)</f>
        <v>0</v>
      </c>
      <c r="BR812" s="80">
        <f>IF(BE812=1,AX812,0)</f>
        <v>0</v>
      </c>
      <c r="BS812" s="80">
        <f>IF(AND(BE812=1,D812="Malcolm",BA812&gt;0),MIN(BH812,SUMPRODUCT((R_Emp="proMX")*(R_EN&gt;0)*((R_EN-(R_EN&gt;BR812)*(R_EN-BR812))&gt;(R_SN+(R_SN&lt;BQ812)*(BQ812-R_SN)))*((R_EN-(R_EN&gt;BR812)*(R_EN-BR812))-(R_SN+(R_SN&lt;BQ812)*(BQ812-R_SN))))/60),0)</f>
        <v>0</v>
      </c>
      <c r="BT812" s="80">
        <f>IF(AND(BE812=1,D812="proMX"),ROUND(BI812*CFG_RATE+BJ812*CFG_OTRATE,6),0)</f>
        <v>0</v>
      </c>
      <c r="BU812" s="80">
        <f>IF(AND(BD812=1,D812="proMX"),ROUND(AG812/CFG_BLK,6),0)</f>
        <v>0</v>
      </c>
      <c r="BV812" s="80" t="str">
        <f>IF(BF812="Approved",IF(ISNUMBER(T812),INT(T812),INT(B812)),"")</f>
        <v/>
      </c>
      <c r="BW812" s="80">
        <f>IF(ISNUMBER(B812),IF(DB_MON="Todos",1,IF(AND(INT(B812)&gt;=DB_MS,INT(B812)&lt;=DB_ME),1,0)),0)</f>
        <v>0</v>
      </c>
      <c r="BX812" s="80">
        <f>IF(DB_PROJ="Todos",1,IF(E812&amp;""=DB_PROJ&amp;"",1,0))</f>
        <v>1</v>
      </c>
      <c r="BY812" s="80">
        <f>BW812*BX812</f>
        <v>0</v>
      </c>
      <c r="BZ812" s="80" t="str">
        <f>IF(Y812=1,F812&amp;IF(AND(F812&amp;""&lt;&gt;"",E812&amp;""&lt;&gt;"")," · ","")&amp;E812,"")</f>
        <v/>
      </c>
      <c r="CA812" s="80" t="str">
        <f>IF(AND(BD812=1,E812&amp;""&lt;&gt;""),IF(COUNTIFS($E$5:E811,E812,$BD$5:BD811,1)=0,MAX($CA$5:CA811)+1,""),"")</f>
        <v/>
      </c>
      <c r="CB812" s="80" t="str">
        <f>IF(AND(BE812=1,D812="Malcolm",E812&amp;""&lt;&gt;""),IF(COUNTIFS($D$5:D811,"Malcolm",$E$5:E811,E812,$BE$5:BE811,1)=0,MAX($CB$5:CB811)+1,""),"")</f>
        <v/>
      </c>
      <c r="CC812" s="80" t="str">
        <f>IF(AND(BD812=1,D812="proMX",E812&amp;""&lt;&gt;""),IF(COUNTIFS($D$5:D811,"proMX",$E$5:E811,E812,$BD$5:BD811,1)=0,MAX($CC$5:CC811)+1,""),"")</f>
        <v/>
      </c>
      <c r="CD812" s="80" t="str">
        <f>IF(AND(BE812=1,D812="Malcolm",F812&amp;""&lt;&gt;""),IF(COUNTIFS($D$5:D811,"Malcolm",$F$5:F811,F812,$BE$5:BE811,1)=0,MAX($CD$5:CD811)+1,""),"")</f>
        <v/>
      </c>
      <c r="CE812" s="80" t="str">
        <f>IF(AND(BD812=1,D812="proMX",F812&amp;""&lt;&gt;""),IF(COUNTIFS($D$5:D811,"proMX",$F$5:F811,F812,$BD$5:BD811,1)=0,MAX($CE$5:CE811)+1,""),"")</f>
        <v/>
      </c>
      <c r="CF812" s="80" t="str">
        <f>IF(AND(D812="proMX",BD812=1),IF(OR(BF812="Draft",BF812="Submitted",BF812="Returned",BF812="Recall Requested"),MAX($CF$5:CF811)+1,""),"")</f>
        <v/>
      </c>
      <c r="CG812" s="80">
        <f>IF(BD812=0,0,IF(D812="Malcolm",1,MATCH(BF812,{"Draft","Submitted","Approved","Returned","Recall Requested","Cancelled"},0)+1))</f>
        <v>0</v>
      </c>
      <c r="CH812" s="80">
        <f>IF(AND(BF812="Submitted",ISNUMBER(V812)),IF(V812&gt;CFG_MAXD,1,0),0)</f>
        <v>0</v>
      </c>
    </row>
    <row r="813">
      <c r="A813" s="71" t="str">
        <f>IF(Y813=1,ROW()-5,"")</f>
        <v/>
      </c>
      <c r="B813" s="72" t="n"/>
      <c r="C813" s="71" t="str">
        <f>IF(ISNUMBER(B813),CHOOSE(WEEKDAY(B813,2),"Lun","Mar","Mié","Jue","Vie","Sáb","Dom"),"")</f>
        <v/>
      </c>
      <c r="D813" s="73" t="n"/>
      <c r="E813" s="74" t="n"/>
      <c r="F813" s="74" t="n"/>
      <c r="G813" s="74" t="n"/>
      <c r="H813" s="75" t="n"/>
      <c r="I813" s="75" t="n"/>
      <c r="J813" s="76" t="n"/>
      <c r="K813" s="77" t="str">
        <f>IF(AB813=1,ROUND(AG813/60,4),"")</f>
        <v/>
      </c>
      <c r="L813" s="77" t="str">
        <f>IF(BD813=1,ROUND(AP813/60,4),"")</f>
        <v/>
      </c>
      <c r="M813" s="77" t="str">
        <f>IF(BD813=1,ROUND(AQ813/60,4),"")</f>
        <v/>
      </c>
      <c r="N813" s="71" t="str">
        <f>IF(AND(D813="proMX",AB813=1),ROUND(AG813/CFG_BLK,2),"")</f>
        <v/>
      </c>
      <c r="O813" s="77" t="str">
        <f>IF(D813="proMX",IF(BD813=1,ROUND(AG813/60,4),0),"")</f>
        <v/>
      </c>
      <c r="P813" s="78" t="str">
        <f>IF(Y813=0,"",IF(BD813=1,"OK",IF(D813="proMX","Revisar bloques: ","Revisar: ")&amp;BC813))</f>
        <v/>
      </c>
      <c r="Q813" s="78" t="str">
        <f>IF(NOT(ISNUMBER(B813)),"",IF(COUNTIFS(FER_F,INT(B813))&gt;0,"Feriado"&amp;IF(AH813=1," (laborable)"," (no laborable)"),IF(AH813=1,"Laborable",IF(WEEKDAY(B813,2)&gt;5,"Fin de semana","No laborable"))))</f>
        <v/>
      </c>
      <c r="R813" s="73" t="n"/>
      <c r="S813" s="72" t="n"/>
      <c r="T813" s="72" t="n"/>
      <c r="U813" s="74" t="n"/>
      <c r="V813" s="79" t="str">
        <f>IF(AND(D813="proMX",OR(R813="Submitted",R813="Recall Requested"),ISNUMBER(S813)),CFG_TODAY-INT(S813),"")</f>
        <v/>
      </c>
      <c r="W813" s="78" t="str">
        <f>IF(BD813=0,"",IF(BA813&gt;0,"⚠ Se superpone con un registro de la otra empresa",IF(D813="Malcolm",IF(COUNTA(R813,S813,T813)&gt;0,"Estado/fechas proMX se ignoran en Malcolm",""),IF(BF813="Cancelled","Cancelado: excluido de totales",IF(R813="","Sin estado: se trata como Draft",IF(BF813="Submitted",IF(ISNUMBER(V813),IF(V813&gt;CFG_MAXD,"⚠ "&amp;V813&amp;" días en Submitted (máx. "&amp;CFG_MAXD&amp;")",""),"Falta fecha de envío"),IF(BF813="Returned","⚠ Devuelto: corregir y reenviar",IF(BF813="Recall Requested","Retirada solicitada: pendiente",IF(AND(BF813="Approved",NOT(ISNUMBER(T813))),"Falta fecha de aprobación",IF(AND(ISNUMBER(S813),ISNUMBER(T813),T813&lt;S813),"Aprobación anterior al envío","")))))))))</f>
        <v/>
      </c>
      <c r="Y813" s="80">
        <f>IF(COUNTA(B813,D813,E813,F813,G813,H813,I813,J813,R813,S813,T813)&gt;0,1,0)</f>
        <v>0</v>
      </c>
      <c r="Z813" s="80" t="str">
        <f>IF(AND(ISNUMBER(H813),H813&gt;=0,H813&lt;1),ROUND(H813*1440,0),"")</f>
        <v/>
      </c>
      <c r="AA813" s="80" t="str">
        <f>IF(AND(ISNUMBER(I813),I813&gt;=0,I813&lt;1),ROUND(I813*1440,0),"")</f>
        <v/>
      </c>
      <c r="AB813" s="80">
        <f>IF(AND(ISNUMBER(B813),D813&lt;&gt;"",ISNUMBER(Z813),ISNUMBER(AA813)),IF(Z813=AA813,0,1),0)</f>
        <v>0</v>
      </c>
      <c r="AC813" s="80">
        <f>IF(AB813=1,IF(AA813&lt;Z813,1,0),0)</f>
        <v>0</v>
      </c>
      <c r="AD813" s="80">
        <f>IF(AB813=1,IF(AC813=1,1440-Z813+AA813,AA813-Z813),0)</f>
        <v>0</v>
      </c>
      <c r="AE813" s="80">
        <f>IF(J813="",0,IF(ISNUMBER(J813),J813,-1))</f>
        <v>0</v>
      </c>
      <c r="AF813" s="80">
        <f>MIN(MAX(0,AE813),AD813)</f>
        <v>0</v>
      </c>
      <c r="AG813" s="80">
        <f>MAX(0,AD813-MAX(0,AE813))</f>
        <v>0</v>
      </c>
      <c r="AH813" s="80">
        <f>IF(ISNUMBER(B813),IF(AND(INDEX(CFG_WDAYS,WEEKDAY(INT(B813),2))="Sí",IF(D813="proMX",COUNTIFS(FER_F,INT(B813),FER_NLP,"Sí"),COUNTIFS(FER_F,INT(B813),FER_NLM,"Sí"))=0),1,0),0)</f>
        <v>0</v>
      </c>
      <c r="AI813" s="80">
        <f>IF(AC813=1,IF(AND(INDEX(CFG_WDAYS,WEEKDAY(INT(B813)+1,2))="Sí",IF(D813="proMX",COUNTIFS(FER_F,INT(B813)+1,FER_NLP,"Sí"),COUNTIFS(FER_F,INT(B813)+1,FER_NLM,"Sí"))=0),1,0),0)</f>
        <v>0</v>
      </c>
      <c r="AJ813" s="80">
        <f>IF(AC813=1,1440-Z813,AD813)</f>
        <v>0</v>
      </c>
      <c r="AK813" s="80">
        <f>IF(AND(AB813=1,AH813=1),MAX(0,MIN(IF(AC813=1,1440,AA813),CFG_WEM)-MAX(Z813,CFG_WSM)),0)</f>
        <v>0</v>
      </c>
      <c r="AL813" s="80">
        <f>IF(AND(AC813=1,AI813=1),MAX(0,MIN(AA813,CFG_WEM)-CFG_WSM),0)</f>
        <v>0</v>
      </c>
      <c r="AM813" s="80">
        <f>AK813+AL813</f>
        <v>0</v>
      </c>
      <c r="AN813" s="80">
        <f>IF(CFG_BRK="Proporcional",IF(AD813=0,0,AF813*AM813/AD813),IF(CFG_BRK="Extras primero",MIN(AM813,MAX(0,AF813-(AD813-AM813))),MIN(AF813,AM813)))</f>
        <v>0</v>
      </c>
      <c r="AO813" s="80">
        <f>AF813-AN813</f>
        <v>0</v>
      </c>
      <c r="AP813" s="80">
        <f>AM813-AN813</f>
        <v>0</v>
      </c>
      <c r="AQ813" s="80">
        <f>AD813-AM813-AO813</f>
        <v>0</v>
      </c>
      <c r="AR813" s="80">
        <f>IF(AM813=0,0,AK813-AN813*AK813/AM813)</f>
        <v>0</v>
      </c>
      <c r="AS813" s="80">
        <f>IF(AD813-AM813=0,0,(AJ813-AK813)-AO813*(AJ813-AK813)/(AD813-AM813))</f>
        <v>0</v>
      </c>
      <c r="AT813" s="80" t="str">
        <f>IF(AC813=1,INT(B813)+1,"")</f>
        <v/>
      </c>
      <c r="AU813" s="80">
        <f>IF(AND(D813="proMX",R813="Cancelled"),0,1)</f>
        <v>1</v>
      </c>
      <c r="AV813" s="80">
        <f>IF(AND(AB813=1,AU813=1),IF(COUNTIFS($D$5:D812,D813,$B$5:B812,B813,$Z$5:Z812,Z813,$AA$5:AA812,AA813,$F$5:F812,F813&amp;"",$AU$5:AU812,1)&gt;0,1,0),0)</f>
        <v>0</v>
      </c>
      <c r="AW813" s="80" t="str">
        <f>IF(AB813=1,INT(B813)*1440+Z813,"")</f>
        <v/>
      </c>
      <c r="AX813" s="80" t="str">
        <f>IF(AB813=1,AW813+AD813,"")</f>
        <v/>
      </c>
      <c r="AY813" s="80">
        <f>IF(AND(AB813=1,AV813=0,AU813=1),1,0)</f>
        <v>0</v>
      </c>
      <c r="AZ813" s="80">
        <f>IF(AY813=1,COUNTIFS(R_Emp,D813,R_SAbs,"&lt;"&amp;AX813,R_EAbs,"&gt;"&amp;AW813,R_OKey,1)-1,0)</f>
        <v>0</v>
      </c>
      <c r="BA813" s="80">
        <f>IF(AY813=1,COUNTIFS(R_Emp,"&lt;&gt;"&amp;D813,R_SAbs,"&lt;"&amp;AX813,R_EAbs,"&gt;"&amp;AW813,R_OKey,1),0)</f>
        <v>0</v>
      </c>
      <c r="BB813" s="80">
        <f>IF(AND(AB813=1,D813="proMX"),IF(AND(MOD(Z813,CFG_BLK)=0,MOD(AA813,CFG_BLK)=0,MOD(AG813,CFG_BLK)=0,AG813&gt;0),1,0),1)</f>
        <v>1</v>
      </c>
      <c r="BC813" s="80" t="str">
        <f>IF(Y813=0,"",IF(NOT(ISNUMBER(B813)),"Falta fecha o fecha inválida",IF(D813="","Falta empresa",IF(AND(D813&lt;&gt;"Malcolm",D813&lt;&gt;"proMX"),"Empresa inválida",IF(OR(INT(B813)&lt;CFG_PSTART,INT(B813)&gt;CFG_PEND),"Fecha fuera del período",IF(OR(NOT(ISNUMBER(Z813)),NOT(ISNUMBER(AA813))),"Falta hora inicio/fin o formato inválido",IF(AB813=0,"Hora inicio = hora fin",IF(AE813&lt;0,"Descanso inválido",IF(AE813&gt;=AD813,"Descanso ≥ duración",IF(AV813=1,"Registro duplicado",IF(AZ813&gt;0,"Se superpone con otro registro "&amp;D813,IF(BB813=0,"inicio, fin y duración neta deben ser múltiplos de "&amp;CFG_BLK&amp;" min",""))))))))))))</f>
        <v/>
      </c>
      <c r="BD813" s="80">
        <f>IF(AND(Y813=1,BC813=""),1,0)</f>
        <v>0</v>
      </c>
      <c r="BE813" s="80">
        <f>IF(AND(BD813=1,AU813=1),1,0)</f>
        <v>0</v>
      </c>
      <c r="BF813" s="80" t="str">
        <f>IF(AND(D813="proMX",BD813=1),IF(R813="","Draft",R813),"")</f>
        <v/>
      </c>
      <c r="BG813" s="80">
        <f>IF(BD813=1,ROUND(AG813/60,6),0)</f>
        <v>0</v>
      </c>
      <c r="BH813" s="80">
        <f>IF(BE813=1,ROUND(AG813/60,6),0)</f>
        <v>0</v>
      </c>
      <c r="BI813" s="80">
        <f>IF(BE813=1,ROUND(AP813/60,6),0)</f>
        <v>0</v>
      </c>
      <c r="BJ813" s="80">
        <f>IF(BE813=1,ROUND(AQ813/60,6),0)</f>
        <v>0</v>
      </c>
      <c r="BK813" s="80">
        <f>IF(BE813=1,ROUND((AR813+AS813)/60,6),0)</f>
        <v>0</v>
      </c>
      <c r="BL813" s="80">
        <f>ROUND(BH813-BK813,6)</f>
        <v>0</v>
      </c>
      <c r="BM813" s="80">
        <f>IF(BE813=1,ROUND(AR813/60,6),0)</f>
        <v>0</v>
      </c>
      <c r="BN813" s="80">
        <f>ROUND(BI813-BM813,6)</f>
        <v>0</v>
      </c>
      <c r="BO813" s="80">
        <f>IF(BE813=1,ROUND(AS813/60,6),0)</f>
        <v>0</v>
      </c>
      <c r="BP813" s="80">
        <f>ROUND(BJ813-BO813,6)</f>
        <v>0</v>
      </c>
      <c r="BQ813" s="80">
        <f>IF(BE813=1,AW813,0)</f>
        <v>0</v>
      </c>
      <c r="BR813" s="80">
        <f>IF(BE813=1,AX813,0)</f>
        <v>0</v>
      </c>
      <c r="BS813" s="80">
        <f>IF(AND(BE813=1,D813="Malcolm",BA813&gt;0),MIN(BH813,SUMPRODUCT((R_Emp="proMX")*(R_EN&gt;0)*((R_EN-(R_EN&gt;BR813)*(R_EN-BR813))&gt;(R_SN+(R_SN&lt;BQ813)*(BQ813-R_SN)))*((R_EN-(R_EN&gt;BR813)*(R_EN-BR813))-(R_SN+(R_SN&lt;BQ813)*(BQ813-R_SN))))/60),0)</f>
        <v>0</v>
      </c>
      <c r="BT813" s="80">
        <f>IF(AND(BE813=1,D813="proMX"),ROUND(BI813*CFG_RATE+BJ813*CFG_OTRATE,6),0)</f>
        <v>0</v>
      </c>
      <c r="BU813" s="80">
        <f>IF(AND(BD813=1,D813="proMX"),ROUND(AG813/CFG_BLK,6),0)</f>
        <v>0</v>
      </c>
      <c r="BV813" s="80" t="str">
        <f>IF(BF813="Approved",IF(ISNUMBER(T813),INT(T813),INT(B813)),"")</f>
        <v/>
      </c>
      <c r="BW813" s="80">
        <f>IF(ISNUMBER(B813),IF(DB_MON="Todos",1,IF(AND(INT(B813)&gt;=DB_MS,INT(B813)&lt;=DB_ME),1,0)),0)</f>
        <v>0</v>
      </c>
      <c r="BX813" s="80">
        <f>IF(DB_PROJ="Todos",1,IF(E813&amp;""=DB_PROJ&amp;"",1,0))</f>
        <v>1</v>
      </c>
      <c r="BY813" s="80">
        <f>BW813*BX813</f>
        <v>0</v>
      </c>
      <c r="BZ813" s="80" t="str">
        <f>IF(Y813=1,F813&amp;IF(AND(F813&amp;""&lt;&gt;"",E813&amp;""&lt;&gt;"")," · ","")&amp;E813,"")</f>
        <v/>
      </c>
      <c r="CA813" s="80" t="str">
        <f>IF(AND(BD813=1,E813&amp;""&lt;&gt;""),IF(COUNTIFS($E$5:E812,E813,$BD$5:BD812,1)=0,MAX($CA$5:CA812)+1,""),"")</f>
        <v/>
      </c>
      <c r="CB813" s="80" t="str">
        <f>IF(AND(BE813=1,D813="Malcolm",E813&amp;""&lt;&gt;""),IF(COUNTIFS($D$5:D812,"Malcolm",$E$5:E812,E813,$BE$5:BE812,1)=0,MAX($CB$5:CB812)+1,""),"")</f>
        <v/>
      </c>
      <c r="CC813" s="80" t="str">
        <f>IF(AND(BD813=1,D813="proMX",E813&amp;""&lt;&gt;""),IF(COUNTIFS($D$5:D812,"proMX",$E$5:E812,E813,$BD$5:BD812,1)=0,MAX($CC$5:CC812)+1,""),"")</f>
        <v/>
      </c>
      <c r="CD813" s="80" t="str">
        <f>IF(AND(BE813=1,D813="Malcolm",F813&amp;""&lt;&gt;""),IF(COUNTIFS($D$5:D812,"Malcolm",$F$5:F812,F813,$BE$5:BE812,1)=0,MAX($CD$5:CD812)+1,""),"")</f>
        <v/>
      </c>
      <c r="CE813" s="80" t="str">
        <f>IF(AND(BD813=1,D813="proMX",F813&amp;""&lt;&gt;""),IF(COUNTIFS($D$5:D812,"proMX",$F$5:F812,F813,$BD$5:BD812,1)=0,MAX($CE$5:CE812)+1,""),"")</f>
        <v/>
      </c>
      <c r="CF813" s="80" t="str">
        <f>IF(AND(D813="proMX",BD813=1),IF(OR(BF813="Draft",BF813="Submitted",BF813="Returned",BF813="Recall Requested"),MAX($CF$5:CF812)+1,""),"")</f>
        <v/>
      </c>
      <c r="CG813" s="80">
        <f>IF(BD813=0,0,IF(D813="Malcolm",1,MATCH(BF813,{"Draft","Submitted","Approved","Returned","Recall Requested","Cancelled"},0)+1))</f>
        <v>0</v>
      </c>
      <c r="CH813" s="80">
        <f>IF(AND(BF813="Submitted",ISNUMBER(V813)),IF(V813&gt;CFG_MAXD,1,0),0)</f>
        <v>0</v>
      </c>
    </row>
    <row r="814">
      <c r="A814" s="71" t="str">
        <f>IF(Y814=1,ROW()-5,"")</f>
        <v/>
      </c>
      <c r="B814" s="72" t="n"/>
      <c r="C814" s="71" t="str">
        <f>IF(ISNUMBER(B814),CHOOSE(WEEKDAY(B814,2),"Lun","Mar","Mié","Jue","Vie","Sáb","Dom"),"")</f>
        <v/>
      </c>
      <c r="D814" s="73" t="n"/>
      <c r="E814" s="74" t="n"/>
      <c r="F814" s="74" t="n"/>
      <c r="G814" s="74" t="n"/>
      <c r="H814" s="75" t="n"/>
      <c r="I814" s="75" t="n"/>
      <c r="J814" s="76" t="n"/>
      <c r="K814" s="77" t="str">
        <f>IF(AB814=1,ROUND(AG814/60,4),"")</f>
        <v/>
      </c>
      <c r="L814" s="77" t="str">
        <f>IF(BD814=1,ROUND(AP814/60,4),"")</f>
        <v/>
      </c>
      <c r="M814" s="77" t="str">
        <f>IF(BD814=1,ROUND(AQ814/60,4),"")</f>
        <v/>
      </c>
      <c r="N814" s="71" t="str">
        <f>IF(AND(D814="proMX",AB814=1),ROUND(AG814/CFG_BLK,2),"")</f>
        <v/>
      </c>
      <c r="O814" s="77" t="str">
        <f>IF(D814="proMX",IF(BD814=1,ROUND(AG814/60,4),0),"")</f>
        <v/>
      </c>
      <c r="P814" s="78" t="str">
        <f>IF(Y814=0,"",IF(BD814=1,"OK",IF(D814="proMX","Revisar bloques: ","Revisar: ")&amp;BC814))</f>
        <v/>
      </c>
      <c r="Q814" s="78" t="str">
        <f>IF(NOT(ISNUMBER(B814)),"",IF(COUNTIFS(FER_F,INT(B814))&gt;0,"Feriado"&amp;IF(AH814=1," (laborable)"," (no laborable)"),IF(AH814=1,"Laborable",IF(WEEKDAY(B814,2)&gt;5,"Fin de semana","No laborable"))))</f>
        <v/>
      </c>
      <c r="R814" s="73" t="n"/>
      <c r="S814" s="72" t="n"/>
      <c r="T814" s="72" t="n"/>
      <c r="U814" s="74" t="n"/>
      <c r="V814" s="79" t="str">
        <f>IF(AND(D814="proMX",OR(R814="Submitted",R814="Recall Requested"),ISNUMBER(S814)),CFG_TODAY-INT(S814),"")</f>
        <v/>
      </c>
      <c r="W814" s="78" t="str">
        <f>IF(BD814=0,"",IF(BA814&gt;0,"⚠ Se superpone con un registro de la otra empresa",IF(D814="Malcolm",IF(COUNTA(R814,S814,T814)&gt;0,"Estado/fechas proMX se ignoran en Malcolm",""),IF(BF814="Cancelled","Cancelado: excluido de totales",IF(R814="","Sin estado: se trata como Draft",IF(BF814="Submitted",IF(ISNUMBER(V814),IF(V814&gt;CFG_MAXD,"⚠ "&amp;V814&amp;" días en Submitted (máx. "&amp;CFG_MAXD&amp;")",""),"Falta fecha de envío"),IF(BF814="Returned","⚠ Devuelto: corregir y reenviar",IF(BF814="Recall Requested","Retirada solicitada: pendiente",IF(AND(BF814="Approved",NOT(ISNUMBER(T814))),"Falta fecha de aprobación",IF(AND(ISNUMBER(S814),ISNUMBER(T814),T814&lt;S814),"Aprobación anterior al envío","")))))))))</f>
        <v/>
      </c>
      <c r="Y814" s="80">
        <f>IF(COUNTA(B814,D814,E814,F814,G814,H814,I814,J814,R814,S814,T814)&gt;0,1,0)</f>
        <v>0</v>
      </c>
      <c r="Z814" s="80" t="str">
        <f>IF(AND(ISNUMBER(H814),H814&gt;=0,H814&lt;1),ROUND(H814*1440,0),"")</f>
        <v/>
      </c>
      <c r="AA814" s="80" t="str">
        <f>IF(AND(ISNUMBER(I814),I814&gt;=0,I814&lt;1),ROUND(I814*1440,0),"")</f>
        <v/>
      </c>
      <c r="AB814" s="80">
        <f>IF(AND(ISNUMBER(B814),D814&lt;&gt;"",ISNUMBER(Z814),ISNUMBER(AA814)),IF(Z814=AA814,0,1),0)</f>
        <v>0</v>
      </c>
      <c r="AC814" s="80">
        <f>IF(AB814=1,IF(AA814&lt;Z814,1,0),0)</f>
        <v>0</v>
      </c>
      <c r="AD814" s="80">
        <f>IF(AB814=1,IF(AC814=1,1440-Z814+AA814,AA814-Z814),0)</f>
        <v>0</v>
      </c>
      <c r="AE814" s="80">
        <f>IF(J814="",0,IF(ISNUMBER(J814),J814,-1))</f>
        <v>0</v>
      </c>
      <c r="AF814" s="80">
        <f>MIN(MAX(0,AE814),AD814)</f>
        <v>0</v>
      </c>
      <c r="AG814" s="80">
        <f>MAX(0,AD814-MAX(0,AE814))</f>
        <v>0</v>
      </c>
      <c r="AH814" s="80">
        <f>IF(ISNUMBER(B814),IF(AND(INDEX(CFG_WDAYS,WEEKDAY(INT(B814),2))="Sí",IF(D814="proMX",COUNTIFS(FER_F,INT(B814),FER_NLP,"Sí"),COUNTIFS(FER_F,INT(B814),FER_NLM,"Sí"))=0),1,0),0)</f>
        <v>0</v>
      </c>
      <c r="AI814" s="80">
        <f>IF(AC814=1,IF(AND(INDEX(CFG_WDAYS,WEEKDAY(INT(B814)+1,2))="Sí",IF(D814="proMX",COUNTIFS(FER_F,INT(B814)+1,FER_NLP,"Sí"),COUNTIFS(FER_F,INT(B814)+1,FER_NLM,"Sí"))=0),1,0),0)</f>
        <v>0</v>
      </c>
      <c r="AJ814" s="80">
        <f>IF(AC814=1,1440-Z814,AD814)</f>
        <v>0</v>
      </c>
      <c r="AK814" s="80">
        <f>IF(AND(AB814=1,AH814=1),MAX(0,MIN(IF(AC814=1,1440,AA814),CFG_WEM)-MAX(Z814,CFG_WSM)),0)</f>
        <v>0</v>
      </c>
      <c r="AL814" s="80">
        <f>IF(AND(AC814=1,AI814=1),MAX(0,MIN(AA814,CFG_WEM)-CFG_WSM),0)</f>
        <v>0</v>
      </c>
      <c r="AM814" s="80">
        <f>AK814+AL814</f>
        <v>0</v>
      </c>
      <c r="AN814" s="80">
        <f>IF(CFG_BRK="Proporcional",IF(AD814=0,0,AF814*AM814/AD814),IF(CFG_BRK="Extras primero",MIN(AM814,MAX(0,AF814-(AD814-AM814))),MIN(AF814,AM814)))</f>
        <v>0</v>
      </c>
      <c r="AO814" s="80">
        <f>AF814-AN814</f>
        <v>0</v>
      </c>
      <c r="AP814" s="80">
        <f>AM814-AN814</f>
        <v>0</v>
      </c>
      <c r="AQ814" s="80">
        <f>AD814-AM814-AO814</f>
        <v>0</v>
      </c>
      <c r="AR814" s="80">
        <f>IF(AM814=0,0,AK814-AN814*AK814/AM814)</f>
        <v>0</v>
      </c>
      <c r="AS814" s="80">
        <f>IF(AD814-AM814=0,0,(AJ814-AK814)-AO814*(AJ814-AK814)/(AD814-AM814))</f>
        <v>0</v>
      </c>
      <c r="AT814" s="80" t="str">
        <f>IF(AC814=1,INT(B814)+1,"")</f>
        <v/>
      </c>
      <c r="AU814" s="80">
        <f>IF(AND(D814="proMX",R814="Cancelled"),0,1)</f>
        <v>1</v>
      </c>
      <c r="AV814" s="80">
        <f>IF(AND(AB814=1,AU814=1),IF(COUNTIFS($D$5:D813,D814,$B$5:B813,B814,$Z$5:Z813,Z814,$AA$5:AA813,AA814,$F$5:F813,F814&amp;"",$AU$5:AU813,1)&gt;0,1,0),0)</f>
        <v>0</v>
      </c>
      <c r="AW814" s="80" t="str">
        <f>IF(AB814=1,INT(B814)*1440+Z814,"")</f>
        <v/>
      </c>
      <c r="AX814" s="80" t="str">
        <f>IF(AB814=1,AW814+AD814,"")</f>
        <v/>
      </c>
      <c r="AY814" s="80">
        <f>IF(AND(AB814=1,AV814=0,AU814=1),1,0)</f>
        <v>0</v>
      </c>
      <c r="AZ814" s="80">
        <f>IF(AY814=1,COUNTIFS(R_Emp,D814,R_SAbs,"&lt;"&amp;AX814,R_EAbs,"&gt;"&amp;AW814,R_OKey,1)-1,0)</f>
        <v>0</v>
      </c>
      <c r="BA814" s="80">
        <f>IF(AY814=1,COUNTIFS(R_Emp,"&lt;&gt;"&amp;D814,R_SAbs,"&lt;"&amp;AX814,R_EAbs,"&gt;"&amp;AW814,R_OKey,1),0)</f>
        <v>0</v>
      </c>
      <c r="BB814" s="80">
        <f>IF(AND(AB814=1,D814="proMX"),IF(AND(MOD(Z814,CFG_BLK)=0,MOD(AA814,CFG_BLK)=0,MOD(AG814,CFG_BLK)=0,AG814&gt;0),1,0),1)</f>
        <v>1</v>
      </c>
      <c r="BC814" s="80" t="str">
        <f>IF(Y814=0,"",IF(NOT(ISNUMBER(B814)),"Falta fecha o fecha inválida",IF(D814="","Falta empresa",IF(AND(D814&lt;&gt;"Malcolm",D814&lt;&gt;"proMX"),"Empresa inválida",IF(OR(INT(B814)&lt;CFG_PSTART,INT(B814)&gt;CFG_PEND),"Fecha fuera del período",IF(OR(NOT(ISNUMBER(Z814)),NOT(ISNUMBER(AA814))),"Falta hora inicio/fin o formato inválido",IF(AB814=0,"Hora inicio = hora fin",IF(AE814&lt;0,"Descanso inválido",IF(AE814&gt;=AD814,"Descanso ≥ duración",IF(AV814=1,"Registro duplicado",IF(AZ814&gt;0,"Se superpone con otro registro "&amp;D814,IF(BB814=0,"inicio, fin y duración neta deben ser múltiplos de "&amp;CFG_BLK&amp;" min",""))))))))))))</f>
        <v/>
      </c>
      <c r="BD814" s="80">
        <f>IF(AND(Y814=1,BC814=""),1,0)</f>
        <v>0</v>
      </c>
      <c r="BE814" s="80">
        <f>IF(AND(BD814=1,AU814=1),1,0)</f>
        <v>0</v>
      </c>
      <c r="BF814" s="80" t="str">
        <f>IF(AND(D814="proMX",BD814=1),IF(R814="","Draft",R814),"")</f>
        <v/>
      </c>
      <c r="BG814" s="80">
        <f>IF(BD814=1,ROUND(AG814/60,6),0)</f>
        <v>0</v>
      </c>
      <c r="BH814" s="80">
        <f>IF(BE814=1,ROUND(AG814/60,6),0)</f>
        <v>0</v>
      </c>
      <c r="BI814" s="80">
        <f>IF(BE814=1,ROUND(AP814/60,6),0)</f>
        <v>0</v>
      </c>
      <c r="BJ814" s="80">
        <f>IF(BE814=1,ROUND(AQ814/60,6),0)</f>
        <v>0</v>
      </c>
      <c r="BK814" s="80">
        <f>IF(BE814=1,ROUND((AR814+AS814)/60,6),0)</f>
        <v>0</v>
      </c>
      <c r="BL814" s="80">
        <f>ROUND(BH814-BK814,6)</f>
        <v>0</v>
      </c>
      <c r="BM814" s="80">
        <f>IF(BE814=1,ROUND(AR814/60,6),0)</f>
        <v>0</v>
      </c>
      <c r="BN814" s="80">
        <f>ROUND(BI814-BM814,6)</f>
        <v>0</v>
      </c>
      <c r="BO814" s="80">
        <f>IF(BE814=1,ROUND(AS814/60,6),0)</f>
        <v>0</v>
      </c>
      <c r="BP814" s="80">
        <f>ROUND(BJ814-BO814,6)</f>
        <v>0</v>
      </c>
      <c r="BQ814" s="80">
        <f>IF(BE814=1,AW814,0)</f>
        <v>0</v>
      </c>
      <c r="BR814" s="80">
        <f>IF(BE814=1,AX814,0)</f>
        <v>0</v>
      </c>
      <c r="BS814" s="80">
        <f>IF(AND(BE814=1,D814="Malcolm",BA814&gt;0),MIN(BH814,SUMPRODUCT((R_Emp="proMX")*(R_EN&gt;0)*((R_EN-(R_EN&gt;BR814)*(R_EN-BR814))&gt;(R_SN+(R_SN&lt;BQ814)*(BQ814-R_SN)))*((R_EN-(R_EN&gt;BR814)*(R_EN-BR814))-(R_SN+(R_SN&lt;BQ814)*(BQ814-R_SN))))/60),0)</f>
        <v>0</v>
      </c>
      <c r="BT814" s="80">
        <f>IF(AND(BE814=1,D814="proMX"),ROUND(BI814*CFG_RATE+BJ814*CFG_OTRATE,6),0)</f>
        <v>0</v>
      </c>
      <c r="BU814" s="80">
        <f>IF(AND(BD814=1,D814="proMX"),ROUND(AG814/CFG_BLK,6),0)</f>
        <v>0</v>
      </c>
      <c r="BV814" s="80" t="str">
        <f>IF(BF814="Approved",IF(ISNUMBER(T814),INT(T814),INT(B814)),"")</f>
        <v/>
      </c>
      <c r="BW814" s="80">
        <f>IF(ISNUMBER(B814),IF(DB_MON="Todos",1,IF(AND(INT(B814)&gt;=DB_MS,INT(B814)&lt;=DB_ME),1,0)),0)</f>
        <v>0</v>
      </c>
      <c r="BX814" s="80">
        <f>IF(DB_PROJ="Todos",1,IF(E814&amp;""=DB_PROJ&amp;"",1,0))</f>
        <v>1</v>
      </c>
      <c r="BY814" s="80">
        <f>BW814*BX814</f>
        <v>0</v>
      </c>
      <c r="BZ814" s="80" t="str">
        <f>IF(Y814=1,F814&amp;IF(AND(F814&amp;""&lt;&gt;"",E814&amp;""&lt;&gt;"")," · ","")&amp;E814,"")</f>
        <v/>
      </c>
      <c r="CA814" s="80" t="str">
        <f>IF(AND(BD814=1,E814&amp;""&lt;&gt;""),IF(COUNTIFS($E$5:E813,E814,$BD$5:BD813,1)=0,MAX($CA$5:CA813)+1,""),"")</f>
        <v/>
      </c>
      <c r="CB814" s="80" t="str">
        <f>IF(AND(BE814=1,D814="Malcolm",E814&amp;""&lt;&gt;""),IF(COUNTIFS($D$5:D813,"Malcolm",$E$5:E813,E814,$BE$5:BE813,1)=0,MAX($CB$5:CB813)+1,""),"")</f>
        <v/>
      </c>
      <c r="CC814" s="80" t="str">
        <f>IF(AND(BD814=1,D814="proMX",E814&amp;""&lt;&gt;""),IF(COUNTIFS($D$5:D813,"proMX",$E$5:E813,E814,$BD$5:BD813,1)=0,MAX($CC$5:CC813)+1,""),"")</f>
        <v/>
      </c>
      <c r="CD814" s="80" t="str">
        <f>IF(AND(BE814=1,D814="Malcolm",F814&amp;""&lt;&gt;""),IF(COUNTIFS($D$5:D813,"Malcolm",$F$5:F813,F814,$BE$5:BE813,1)=0,MAX($CD$5:CD813)+1,""),"")</f>
        <v/>
      </c>
      <c r="CE814" s="80" t="str">
        <f>IF(AND(BD814=1,D814="proMX",F814&amp;""&lt;&gt;""),IF(COUNTIFS($D$5:D813,"proMX",$F$5:F813,F814,$BD$5:BD813,1)=0,MAX($CE$5:CE813)+1,""),"")</f>
        <v/>
      </c>
      <c r="CF814" s="80" t="str">
        <f>IF(AND(D814="proMX",BD814=1),IF(OR(BF814="Draft",BF814="Submitted",BF814="Returned",BF814="Recall Requested"),MAX($CF$5:CF813)+1,""),"")</f>
        <v/>
      </c>
      <c r="CG814" s="80">
        <f>IF(BD814=0,0,IF(D814="Malcolm",1,MATCH(BF814,{"Draft","Submitted","Approved","Returned","Recall Requested","Cancelled"},0)+1))</f>
        <v>0</v>
      </c>
      <c r="CH814" s="80">
        <f>IF(AND(BF814="Submitted",ISNUMBER(V814)),IF(V814&gt;CFG_MAXD,1,0),0)</f>
        <v>0</v>
      </c>
    </row>
    <row r="815">
      <c r="A815" s="71" t="str">
        <f>IF(Y815=1,ROW()-5,"")</f>
        <v/>
      </c>
      <c r="B815" s="72" t="n"/>
      <c r="C815" s="71" t="str">
        <f>IF(ISNUMBER(B815),CHOOSE(WEEKDAY(B815,2),"Lun","Mar","Mié","Jue","Vie","Sáb","Dom"),"")</f>
        <v/>
      </c>
      <c r="D815" s="73" t="n"/>
      <c r="E815" s="74" t="n"/>
      <c r="F815" s="74" t="n"/>
      <c r="G815" s="74" t="n"/>
      <c r="H815" s="75" t="n"/>
      <c r="I815" s="75" t="n"/>
      <c r="J815" s="76" t="n"/>
      <c r="K815" s="77" t="str">
        <f>IF(AB815=1,ROUND(AG815/60,4),"")</f>
        <v/>
      </c>
      <c r="L815" s="77" t="str">
        <f>IF(BD815=1,ROUND(AP815/60,4),"")</f>
        <v/>
      </c>
      <c r="M815" s="77" t="str">
        <f>IF(BD815=1,ROUND(AQ815/60,4),"")</f>
        <v/>
      </c>
      <c r="N815" s="71" t="str">
        <f>IF(AND(D815="proMX",AB815=1),ROUND(AG815/CFG_BLK,2),"")</f>
        <v/>
      </c>
      <c r="O815" s="77" t="str">
        <f>IF(D815="proMX",IF(BD815=1,ROUND(AG815/60,4),0),"")</f>
        <v/>
      </c>
      <c r="P815" s="78" t="str">
        <f>IF(Y815=0,"",IF(BD815=1,"OK",IF(D815="proMX","Revisar bloques: ","Revisar: ")&amp;BC815))</f>
        <v/>
      </c>
      <c r="Q815" s="78" t="str">
        <f>IF(NOT(ISNUMBER(B815)),"",IF(COUNTIFS(FER_F,INT(B815))&gt;0,"Feriado"&amp;IF(AH815=1," (laborable)"," (no laborable)"),IF(AH815=1,"Laborable",IF(WEEKDAY(B815,2)&gt;5,"Fin de semana","No laborable"))))</f>
        <v/>
      </c>
      <c r="R815" s="73" t="n"/>
      <c r="S815" s="72" t="n"/>
      <c r="T815" s="72" t="n"/>
      <c r="U815" s="74" t="n"/>
      <c r="V815" s="79" t="str">
        <f>IF(AND(D815="proMX",OR(R815="Submitted",R815="Recall Requested"),ISNUMBER(S815)),CFG_TODAY-INT(S815),"")</f>
        <v/>
      </c>
      <c r="W815" s="78" t="str">
        <f>IF(BD815=0,"",IF(BA815&gt;0,"⚠ Se superpone con un registro de la otra empresa",IF(D815="Malcolm",IF(COUNTA(R815,S815,T815)&gt;0,"Estado/fechas proMX se ignoran en Malcolm",""),IF(BF815="Cancelled","Cancelado: excluido de totales",IF(R815="","Sin estado: se trata como Draft",IF(BF815="Submitted",IF(ISNUMBER(V815),IF(V815&gt;CFG_MAXD,"⚠ "&amp;V815&amp;" días en Submitted (máx. "&amp;CFG_MAXD&amp;")",""),"Falta fecha de envío"),IF(BF815="Returned","⚠ Devuelto: corregir y reenviar",IF(BF815="Recall Requested","Retirada solicitada: pendiente",IF(AND(BF815="Approved",NOT(ISNUMBER(T815))),"Falta fecha de aprobación",IF(AND(ISNUMBER(S815),ISNUMBER(T815),T815&lt;S815),"Aprobación anterior al envío","")))))))))</f>
        <v/>
      </c>
      <c r="Y815" s="80">
        <f>IF(COUNTA(B815,D815,E815,F815,G815,H815,I815,J815,R815,S815,T815)&gt;0,1,0)</f>
        <v>0</v>
      </c>
      <c r="Z815" s="80" t="str">
        <f>IF(AND(ISNUMBER(H815),H815&gt;=0,H815&lt;1),ROUND(H815*1440,0),"")</f>
        <v/>
      </c>
      <c r="AA815" s="80" t="str">
        <f>IF(AND(ISNUMBER(I815),I815&gt;=0,I815&lt;1),ROUND(I815*1440,0),"")</f>
        <v/>
      </c>
      <c r="AB815" s="80">
        <f>IF(AND(ISNUMBER(B815),D815&lt;&gt;"",ISNUMBER(Z815),ISNUMBER(AA815)),IF(Z815=AA815,0,1),0)</f>
        <v>0</v>
      </c>
      <c r="AC815" s="80">
        <f>IF(AB815=1,IF(AA815&lt;Z815,1,0),0)</f>
        <v>0</v>
      </c>
      <c r="AD815" s="80">
        <f>IF(AB815=1,IF(AC815=1,1440-Z815+AA815,AA815-Z815),0)</f>
        <v>0</v>
      </c>
      <c r="AE815" s="80">
        <f>IF(J815="",0,IF(ISNUMBER(J815),J815,-1))</f>
        <v>0</v>
      </c>
      <c r="AF815" s="80">
        <f>MIN(MAX(0,AE815),AD815)</f>
        <v>0</v>
      </c>
      <c r="AG815" s="80">
        <f>MAX(0,AD815-MAX(0,AE815))</f>
        <v>0</v>
      </c>
      <c r="AH815" s="80">
        <f>IF(ISNUMBER(B815),IF(AND(INDEX(CFG_WDAYS,WEEKDAY(INT(B815),2))="Sí",IF(D815="proMX",COUNTIFS(FER_F,INT(B815),FER_NLP,"Sí"),COUNTIFS(FER_F,INT(B815),FER_NLM,"Sí"))=0),1,0),0)</f>
        <v>0</v>
      </c>
      <c r="AI815" s="80">
        <f>IF(AC815=1,IF(AND(INDEX(CFG_WDAYS,WEEKDAY(INT(B815)+1,2))="Sí",IF(D815="proMX",COUNTIFS(FER_F,INT(B815)+1,FER_NLP,"Sí"),COUNTIFS(FER_F,INT(B815)+1,FER_NLM,"Sí"))=0),1,0),0)</f>
        <v>0</v>
      </c>
      <c r="AJ815" s="80">
        <f>IF(AC815=1,1440-Z815,AD815)</f>
        <v>0</v>
      </c>
      <c r="AK815" s="80">
        <f>IF(AND(AB815=1,AH815=1),MAX(0,MIN(IF(AC815=1,1440,AA815),CFG_WEM)-MAX(Z815,CFG_WSM)),0)</f>
        <v>0</v>
      </c>
      <c r="AL815" s="80">
        <f>IF(AND(AC815=1,AI815=1),MAX(0,MIN(AA815,CFG_WEM)-CFG_WSM),0)</f>
        <v>0</v>
      </c>
      <c r="AM815" s="80">
        <f>AK815+AL815</f>
        <v>0</v>
      </c>
      <c r="AN815" s="80">
        <f>IF(CFG_BRK="Proporcional",IF(AD815=0,0,AF815*AM815/AD815),IF(CFG_BRK="Extras primero",MIN(AM815,MAX(0,AF815-(AD815-AM815))),MIN(AF815,AM815)))</f>
        <v>0</v>
      </c>
      <c r="AO815" s="80">
        <f>AF815-AN815</f>
        <v>0</v>
      </c>
      <c r="AP815" s="80">
        <f>AM815-AN815</f>
        <v>0</v>
      </c>
      <c r="AQ815" s="80">
        <f>AD815-AM815-AO815</f>
        <v>0</v>
      </c>
      <c r="AR815" s="80">
        <f>IF(AM815=0,0,AK815-AN815*AK815/AM815)</f>
        <v>0</v>
      </c>
      <c r="AS815" s="80">
        <f>IF(AD815-AM815=0,0,(AJ815-AK815)-AO815*(AJ815-AK815)/(AD815-AM815))</f>
        <v>0</v>
      </c>
      <c r="AT815" s="80" t="str">
        <f>IF(AC815=1,INT(B815)+1,"")</f>
        <v/>
      </c>
      <c r="AU815" s="80">
        <f>IF(AND(D815="proMX",R815="Cancelled"),0,1)</f>
        <v>1</v>
      </c>
      <c r="AV815" s="80">
        <f>IF(AND(AB815=1,AU815=1),IF(COUNTIFS($D$5:D814,D815,$B$5:B814,B815,$Z$5:Z814,Z815,$AA$5:AA814,AA815,$F$5:F814,F815&amp;"",$AU$5:AU814,1)&gt;0,1,0),0)</f>
        <v>0</v>
      </c>
      <c r="AW815" s="80" t="str">
        <f>IF(AB815=1,INT(B815)*1440+Z815,"")</f>
        <v/>
      </c>
      <c r="AX815" s="80" t="str">
        <f>IF(AB815=1,AW815+AD815,"")</f>
        <v/>
      </c>
      <c r="AY815" s="80">
        <f>IF(AND(AB815=1,AV815=0,AU815=1),1,0)</f>
        <v>0</v>
      </c>
      <c r="AZ815" s="80">
        <f>IF(AY815=1,COUNTIFS(R_Emp,D815,R_SAbs,"&lt;"&amp;AX815,R_EAbs,"&gt;"&amp;AW815,R_OKey,1)-1,0)</f>
        <v>0</v>
      </c>
      <c r="BA815" s="80">
        <f>IF(AY815=1,COUNTIFS(R_Emp,"&lt;&gt;"&amp;D815,R_SAbs,"&lt;"&amp;AX815,R_EAbs,"&gt;"&amp;AW815,R_OKey,1),0)</f>
        <v>0</v>
      </c>
      <c r="BB815" s="80">
        <f>IF(AND(AB815=1,D815="proMX"),IF(AND(MOD(Z815,CFG_BLK)=0,MOD(AA815,CFG_BLK)=0,MOD(AG815,CFG_BLK)=0,AG815&gt;0),1,0),1)</f>
        <v>1</v>
      </c>
      <c r="BC815" s="80" t="str">
        <f>IF(Y815=0,"",IF(NOT(ISNUMBER(B815)),"Falta fecha o fecha inválida",IF(D815="","Falta empresa",IF(AND(D815&lt;&gt;"Malcolm",D815&lt;&gt;"proMX"),"Empresa inválida",IF(OR(INT(B815)&lt;CFG_PSTART,INT(B815)&gt;CFG_PEND),"Fecha fuera del período",IF(OR(NOT(ISNUMBER(Z815)),NOT(ISNUMBER(AA815))),"Falta hora inicio/fin o formato inválido",IF(AB815=0,"Hora inicio = hora fin",IF(AE815&lt;0,"Descanso inválido",IF(AE815&gt;=AD815,"Descanso ≥ duración",IF(AV815=1,"Registro duplicado",IF(AZ815&gt;0,"Se superpone con otro registro "&amp;D815,IF(BB815=0,"inicio, fin y duración neta deben ser múltiplos de "&amp;CFG_BLK&amp;" min",""))))))))))))</f>
        <v/>
      </c>
      <c r="BD815" s="80">
        <f>IF(AND(Y815=1,BC815=""),1,0)</f>
        <v>0</v>
      </c>
      <c r="BE815" s="80">
        <f>IF(AND(BD815=1,AU815=1),1,0)</f>
        <v>0</v>
      </c>
      <c r="BF815" s="80" t="str">
        <f>IF(AND(D815="proMX",BD815=1),IF(R815="","Draft",R815),"")</f>
        <v/>
      </c>
      <c r="BG815" s="80">
        <f>IF(BD815=1,ROUND(AG815/60,6),0)</f>
        <v>0</v>
      </c>
      <c r="BH815" s="80">
        <f>IF(BE815=1,ROUND(AG815/60,6),0)</f>
        <v>0</v>
      </c>
      <c r="BI815" s="80">
        <f>IF(BE815=1,ROUND(AP815/60,6),0)</f>
        <v>0</v>
      </c>
      <c r="BJ815" s="80">
        <f>IF(BE815=1,ROUND(AQ815/60,6),0)</f>
        <v>0</v>
      </c>
      <c r="BK815" s="80">
        <f>IF(BE815=1,ROUND((AR815+AS815)/60,6),0)</f>
        <v>0</v>
      </c>
      <c r="BL815" s="80">
        <f>ROUND(BH815-BK815,6)</f>
        <v>0</v>
      </c>
      <c r="BM815" s="80">
        <f>IF(BE815=1,ROUND(AR815/60,6),0)</f>
        <v>0</v>
      </c>
      <c r="BN815" s="80">
        <f>ROUND(BI815-BM815,6)</f>
        <v>0</v>
      </c>
      <c r="BO815" s="80">
        <f>IF(BE815=1,ROUND(AS815/60,6),0)</f>
        <v>0</v>
      </c>
      <c r="BP815" s="80">
        <f>ROUND(BJ815-BO815,6)</f>
        <v>0</v>
      </c>
      <c r="BQ815" s="80">
        <f>IF(BE815=1,AW815,0)</f>
        <v>0</v>
      </c>
      <c r="BR815" s="80">
        <f>IF(BE815=1,AX815,0)</f>
        <v>0</v>
      </c>
      <c r="BS815" s="80">
        <f>IF(AND(BE815=1,D815="Malcolm",BA815&gt;0),MIN(BH815,SUMPRODUCT((R_Emp="proMX")*(R_EN&gt;0)*((R_EN-(R_EN&gt;BR815)*(R_EN-BR815))&gt;(R_SN+(R_SN&lt;BQ815)*(BQ815-R_SN)))*((R_EN-(R_EN&gt;BR815)*(R_EN-BR815))-(R_SN+(R_SN&lt;BQ815)*(BQ815-R_SN))))/60),0)</f>
        <v>0</v>
      </c>
      <c r="BT815" s="80">
        <f>IF(AND(BE815=1,D815="proMX"),ROUND(BI815*CFG_RATE+BJ815*CFG_OTRATE,6),0)</f>
        <v>0</v>
      </c>
      <c r="BU815" s="80">
        <f>IF(AND(BD815=1,D815="proMX"),ROUND(AG815/CFG_BLK,6),0)</f>
        <v>0</v>
      </c>
      <c r="BV815" s="80" t="str">
        <f>IF(BF815="Approved",IF(ISNUMBER(T815),INT(T815),INT(B815)),"")</f>
        <v/>
      </c>
      <c r="BW815" s="80">
        <f>IF(ISNUMBER(B815),IF(DB_MON="Todos",1,IF(AND(INT(B815)&gt;=DB_MS,INT(B815)&lt;=DB_ME),1,0)),0)</f>
        <v>0</v>
      </c>
      <c r="BX815" s="80">
        <f>IF(DB_PROJ="Todos",1,IF(E815&amp;""=DB_PROJ&amp;"",1,0))</f>
        <v>1</v>
      </c>
      <c r="BY815" s="80">
        <f>BW815*BX815</f>
        <v>0</v>
      </c>
      <c r="BZ815" s="80" t="str">
        <f>IF(Y815=1,F815&amp;IF(AND(F815&amp;""&lt;&gt;"",E815&amp;""&lt;&gt;"")," · ","")&amp;E815,"")</f>
        <v/>
      </c>
      <c r="CA815" s="80" t="str">
        <f>IF(AND(BD815=1,E815&amp;""&lt;&gt;""),IF(COUNTIFS($E$5:E814,E815,$BD$5:BD814,1)=0,MAX($CA$5:CA814)+1,""),"")</f>
        <v/>
      </c>
      <c r="CB815" s="80" t="str">
        <f>IF(AND(BE815=1,D815="Malcolm",E815&amp;""&lt;&gt;""),IF(COUNTIFS($D$5:D814,"Malcolm",$E$5:E814,E815,$BE$5:BE814,1)=0,MAX($CB$5:CB814)+1,""),"")</f>
        <v/>
      </c>
      <c r="CC815" s="80" t="str">
        <f>IF(AND(BD815=1,D815="proMX",E815&amp;""&lt;&gt;""),IF(COUNTIFS($D$5:D814,"proMX",$E$5:E814,E815,$BD$5:BD814,1)=0,MAX($CC$5:CC814)+1,""),"")</f>
        <v/>
      </c>
      <c r="CD815" s="80" t="str">
        <f>IF(AND(BE815=1,D815="Malcolm",F815&amp;""&lt;&gt;""),IF(COUNTIFS($D$5:D814,"Malcolm",$F$5:F814,F815,$BE$5:BE814,1)=0,MAX($CD$5:CD814)+1,""),"")</f>
        <v/>
      </c>
      <c r="CE815" s="80" t="str">
        <f>IF(AND(BD815=1,D815="proMX",F815&amp;""&lt;&gt;""),IF(COUNTIFS($D$5:D814,"proMX",$F$5:F814,F815,$BD$5:BD814,1)=0,MAX($CE$5:CE814)+1,""),"")</f>
        <v/>
      </c>
      <c r="CF815" s="80" t="str">
        <f>IF(AND(D815="proMX",BD815=1),IF(OR(BF815="Draft",BF815="Submitted",BF815="Returned",BF815="Recall Requested"),MAX($CF$5:CF814)+1,""),"")</f>
        <v/>
      </c>
      <c r="CG815" s="80">
        <f>IF(BD815=0,0,IF(D815="Malcolm",1,MATCH(BF815,{"Draft","Submitted","Approved","Returned","Recall Requested","Cancelled"},0)+1))</f>
        <v>0</v>
      </c>
      <c r="CH815" s="80">
        <f>IF(AND(BF815="Submitted",ISNUMBER(V815)),IF(V815&gt;CFG_MAXD,1,0),0)</f>
        <v>0</v>
      </c>
    </row>
    <row r="816">
      <c r="A816" s="71" t="str">
        <f>IF(Y816=1,ROW()-5,"")</f>
        <v/>
      </c>
      <c r="B816" s="72" t="n"/>
      <c r="C816" s="71" t="str">
        <f>IF(ISNUMBER(B816),CHOOSE(WEEKDAY(B816,2),"Lun","Mar","Mié","Jue","Vie","Sáb","Dom"),"")</f>
        <v/>
      </c>
      <c r="D816" s="73" t="n"/>
      <c r="E816" s="74" t="n"/>
      <c r="F816" s="74" t="n"/>
      <c r="G816" s="74" t="n"/>
      <c r="H816" s="75" t="n"/>
      <c r="I816" s="75" t="n"/>
      <c r="J816" s="76" t="n"/>
      <c r="K816" s="77" t="str">
        <f>IF(AB816=1,ROUND(AG816/60,4),"")</f>
        <v/>
      </c>
      <c r="L816" s="77" t="str">
        <f>IF(BD816=1,ROUND(AP816/60,4),"")</f>
        <v/>
      </c>
      <c r="M816" s="77" t="str">
        <f>IF(BD816=1,ROUND(AQ816/60,4),"")</f>
        <v/>
      </c>
      <c r="N816" s="71" t="str">
        <f>IF(AND(D816="proMX",AB816=1),ROUND(AG816/CFG_BLK,2),"")</f>
        <v/>
      </c>
      <c r="O816" s="77" t="str">
        <f>IF(D816="proMX",IF(BD816=1,ROUND(AG816/60,4),0),"")</f>
        <v/>
      </c>
      <c r="P816" s="78" t="str">
        <f>IF(Y816=0,"",IF(BD816=1,"OK",IF(D816="proMX","Revisar bloques: ","Revisar: ")&amp;BC816))</f>
        <v/>
      </c>
      <c r="Q816" s="78" t="str">
        <f>IF(NOT(ISNUMBER(B816)),"",IF(COUNTIFS(FER_F,INT(B816))&gt;0,"Feriado"&amp;IF(AH816=1," (laborable)"," (no laborable)"),IF(AH816=1,"Laborable",IF(WEEKDAY(B816,2)&gt;5,"Fin de semana","No laborable"))))</f>
        <v/>
      </c>
      <c r="R816" s="73" t="n"/>
      <c r="S816" s="72" t="n"/>
      <c r="T816" s="72" t="n"/>
      <c r="U816" s="74" t="n"/>
      <c r="V816" s="79" t="str">
        <f>IF(AND(D816="proMX",OR(R816="Submitted",R816="Recall Requested"),ISNUMBER(S816)),CFG_TODAY-INT(S816),"")</f>
        <v/>
      </c>
      <c r="W816" s="78" t="str">
        <f>IF(BD816=0,"",IF(BA816&gt;0,"⚠ Se superpone con un registro de la otra empresa",IF(D816="Malcolm",IF(COUNTA(R816,S816,T816)&gt;0,"Estado/fechas proMX se ignoran en Malcolm",""),IF(BF816="Cancelled","Cancelado: excluido de totales",IF(R816="","Sin estado: se trata como Draft",IF(BF816="Submitted",IF(ISNUMBER(V816),IF(V816&gt;CFG_MAXD,"⚠ "&amp;V816&amp;" días en Submitted (máx. "&amp;CFG_MAXD&amp;")",""),"Falta fecha de envío"),IF(BF816="Returned","⚠ Devuelto: corregir y reenviar",IF(BF816="Recall Requested","Retirada solicitada: pendiente",IF(AND(BF816="Approved",NOT(ISNUMBER(T816))),"Falta fecha de aprobación",IF(AND(ISNUMBER(S816),ISNUMBER(T816),T816&lt;S816),"Aprobación anterior al envío","")))))))))</f>
        <v/>
      </c>
      <c r="Y816" s="80">
        <f>IF(COUNTA(B816,D816,E816,F816,G816,H816,I816,J816,R816,S816,T816)&gt;0,1,0)</f>
        <v>0</v>
      </c>
      <c r="Z816" s="80" t="str">
        <f>IF(AND(ISNUMBER(H816),H816&gt;=0,H816&lt;1),ROUND(H816*1440,0),"")</f>
        <v/>
      </c>
      <c r="AA816" s="80" t="str">
        <f>IF(AND(ISNUMBER(I816),I816&gt;=0,I816&lt;1),ROUND(I816*1440,0),"")</f>
        <v/>
      </c>
      <c r="AB816" s="80">
        <f>IF(AND(ISNUMBER(B816),D816&lt;&gt;"",ISNUMBER(Z816),ISNUMBER(AA816)),IF(Z816=AA816,0,1),0)</f>
        <v>0</v>
      </c>
      <c r="AC816" s="80">
        <f>IF(AB816=1,IF(AA816&lt;Z816,1,0),0)</f>
        <v>0</v>
      </c>
      <c r="AD816" s="80">
        <f>IF(AB816=1,IF(AC816=1,1440-Z816+AA816,AA816-Z816),0)</f>
        <v>0</v>
      </c>
      <c r="AE816" s="80">
        <f>IF(J816="",0,IF(ISNUMBER(J816),J816,-1))</f>
        <v>0</v>
      </c>
      <c r="AF816" s="80">
        <f>MIN(MAX(0,AE816),AD816)</f>
        <v>0</v>
      </c>
      <c r="AG816" s="80">
        <f>MAX(0,AD816-MAX(0,AE816))</f>
        <v>0</v>
      </c>
      <c r="AH816" s="80">
        <f>IF(ISNUMBER(B816),IF(AND(INDEX(CFG_WDAYS,WEEKDAY(INT(B816),2))="Sí",IF(D816="proMX",COUNTIFS(FER_F,INT(B816),FER_NLP,"Sí"),COUNTIFS(FER_F,INT(B816),FER_NLM,"Sí"))=0),1,0),0)</f>
        <v>0</v>
      </c>
      <c r="AI816" s="80">
        <f>IF(AC816=1,IF(AND(INDEX(CFG_WDAYS,WEEKDAY(INT(B816)+1,2))="Sí",IF(D816="proMX",COUNTIFS(FER_F,INT(B816)+1,FER_NLP,"Sí"),COUNTIFS(FER_F,INT(B816)+1,FER_NLM,"Sí"))=0),1,0),0)</f>
        <v>0</v>
      </c>
      <c r="AJ816" s="80">
        <f>IF(AC816=1,1440-Z816,AD816)</f>
        <v>0</v>
      </c>
      <c r="AK816" s="80">
        <f>IF(AND(AB816=1,AH816=1),MAX(0,MIN(IF(AC816=1,1440,AA816),CFG_WEM)-MAX(Z816,CFG_WSM)),0)</f>
        <v>0</v>
      </c>
      <c r="AL816" s="80">
        <f>IF(AND(AC816=1,AI816=1),MAX(0,MIN(AA816,CFG_WEM)-CFG_WSM),0)</f>
        <v>0</v>
      </c>
      <c r="AM816" s="80">
        <f>AK816+AL816</f>
        <v>0</v>
      </c>
      <c r="AN816" s="80">
        <f>IF(CFG_BRK="Proporcional",IF(AD816=0,0,AF816*AM816/AD816),IF(CFG_BRK="Extras primero",MIN(AM816,MAX(0,AF816-(AD816-AM816))),MIN(AF816,AM816)))</f>
        <v>0</v>
      </c>
      <c r="AO816" s="80">
        <f>AF816-AN816</f>
        <v>0</v>
      </c>
      <c r="AP816" s="80">
        <f>AM816-AN816</f>
        <v>0</v>
      </c>
      <c r="AQ816" s="80">
        <f>AD816-AM816-AO816</f>
        <v>0</v>
      </c>
      <c r="AR816" s="80">
        <f>IF(AM816=0,0,AK816-AN816*AK816/AM816)</f>
        <v>0</v>
      </c>
      <c r="AS816" s="80">
        <f>IF(AD816-AM816=0,0,(AJ816-AK816)-AO816*(AJ816-AK816)/(AD816-AM816))</f>
        <v>0</v>
      </c>
      <c r="AT816" s="80" t="str">
        <f>IF(AC816=1,INT(B816)+1,"")</f>
        <v/>
      </c>
      <c r="AU816" s="80">
        <f>IF(AND(D816="proMX",R816="Cancelled"),0,1)</f>
        <v>1</v>
      </c>
      <c r="AV816" s="80">
        <f>IF(AND(AB816=1,AU816=1),IF(COUNTIFS($D$5:D815,D816,$B$5:B815,B816,$Z$5:Z815,Z816,$AA$5:AA815,AA816,$F$5:F815,F816&amp;"",$AU$5:AU815,1)&gt;0,1,0),0)</f>
        <v>0</v>
      </c>
      <c r="AW816" s="80" t="str">
        <f>IF(AB816=1,INT(B816)*1440+Z816,"")</f>
        <v/>
      </c>
      <c r="AX816" s="80" t="str">
        <f>IF(AB816=1,AW816+AD816,"")</f>
        <v/>
      </c>
      <c r="AY816" s="80">
        <f>IF(AND(AB816=1,AV816=0,AU816=1),1,0)</f>
        <v>0</v>
      </c>
      <c r="AZ816" s="80">
        <f>IF(AY816=1,COUNTIFS(R_Emp,D816,R_SAbs,"&lt;"&amp;AX816,R_EAbs,"&gt;"&amp;AW816,R_OKey,1)-1,0)</f>
        <v>0</v>
      </c>
      <c r="BA816" s="80">
        <f>IF(AY816=1,COUNTIFS(R_Emp,"&lt;&gt;"&amp;D816,R_SAbs,"&lt;"&amp;AX816,R_EAbs,"&gt;"&amp;AW816,R_OKey,1),0)</f>
        <v>0</v>
      </c>
      <c r="BB816" s="80">
        <f>IF(AND(AB816=1,D816="proMX"),IF(AND(MOD(Z816,CFG_BLK)=0,MOD(AA816,CFG_BLK)=0,MOD(AG816,CFG_BLK)=0,AG816&gt;0),1,0),1)</f>
        <v>1</v>
      </c>
      <c r="BC816" s="80" t="str">
        <f>IF(Y816=0,"",IF(NOT(ISNUMBER(B816)),"Falta fecha o fecha inválida",IF(D816="","Falta empresa",IF(AND(D816&lt;&gt;"Malcolm",D816&lt;&gt;"proMX"),"Empresa inválida",IF(OR(INT(B816)&lt;CFG_PSTART,INT(B816)&gt;CFG_PEND),"Fecha fuera del período",IF(OR(NOT(ISNUMBER(Z816)),NOT(ISNUMBER(AA816))),"Falta hora inicio/fin o formato inválido",IF(AB816=0,"Hora inicio = hora fin",IF(AE816&lt;0,"Descanso inválido",IF(AE816&gt;=AD816,"Descanso ≥ duración",IF(AV816=1,"Registro duplicado",IF(AZ816&gt;0,"Se superpone con otro registro "&amp;D816,IF(BB816=0,"inicio, fin y duración neta deben ser múltiplos de "&amp;CFG_BLK&amp;" min",""))))))))))))</f>
        <v/>
      </c>
      <c r="BD816" s="80">
        <f>IF(AND(Y816=1,BC816=""),1,0)</f>
        <v>0</v>
      </c>
      <c r="BE816" s="80">
        <f>IF(AND(BD816=1,AU816=1),1,0)</f>
        <v>0</v>
      </c>
      <c r="BF816" s="80" t="str">
        <f>IF(AND(D816="proMX",BD816=1),IF(R816="","Draft",R816),"")</f>
        <v/>
      </c>
      <c r="BG816" s="80">
        <f>IF(BD816=1,ROUND(AG816/60,6),0)</f>
        <v>0</v>
      </c>
      <c r="BH816" s="80">
        <f>IF(BE816=1,ROUND(AG816/60,6),0)</f>
        <v>0</v>
      </c>
      <c r="BI816" s="80">
        <f>IF(BE816=1,ROUND(AP816/60,6),0)</f>
        <v>0</v>
      </c>
      <c r="BJ816" s="80">
        <f>IF(BE816=1,ROUND(AQ816/60,6),0)</f>
        <v>0</v>
      </c>
      <c r="BK816" s="80">
        <f>IF(BE816=1,ROUND((AR816+AS816)/60,6),0)</f>
        <v>0</v>
      </c>
      <c r="BL816" s="80">
        <f>ROUND(BH816-BK816,6)</f>
        <v>0</v>
      </c>
      <c r="BM816" s="80">
        <f>IF(BE816=1,ROUND(AR816/60,6),0)</f>
        <v>0</v>
      </c>
      <c r="BN816" s="80">
        <f>ROUND(BI816-BM816,6)</f>
        <v>0</v>
      </c>
      <c r="BO816" s="80">
        <f>IF(BE816=1,ROUND(AS816/60,6),0)</f>
        <v>0</v>
      </c>
      <c r="BP816" s="80">
        <f>ROUND(BJ816-BO816,6)</f>
        <v>0</v>
      </c>
      <c r="BQ816" s="80">
        <f>IF(BE816=1,AW816,0)</f>
        <v>0</v>
      </c>
      <c r="BR816" s="80">
        <f>IF(BE816=1,AX816,0)</f>
        <v>0</v>
      </c>
      <c r="BS816" s="80">
        <f>IF(AND(BE816=1,D816="Malcolm",BA816&gt;0),MIN(BH816,SUMPRODUCT((R_Emp="proMX")*(R_EN&gt;0)*((R_EN-(R_EN&gt;BR816)*(R_EN-BR816))&gt;(R_SN+(R_SN&lt;BQ816)*(BQ816-R_SN)))*((R_EN-(R_EN&gt;BR816)*(R_EN-BR816))-(R_SN+(R_SN&lt;BQ816)*(BQ816-R_SN))))/60),0)</f>
        <v>0</v>
      </c>
      <c r="BT816" s="80">
        <f>IF(AND(BE816=1,D816="proMX"),ROUND(BI816*CFG_RATE+BJ816*CFG_OTRATE,6),0)</f>
        <v>0</v>
      </c>
      <c r="BU816" s="80">
        <f>IF(AND(BD816=1,D816="proMX"),ROUND(AG816/CFG_BLK,6),0)</f>
        <v>0</v>
      </c>
      <c r="BV816" s="80" t="str">
        <f>IF(BF816="Approved",IF(ISNUMBER(T816),INT(T816),INT(B816)),"")</f>
        <v/>
      </c>
      <c r="BW816" s="80">
        <f>IF(ISNUMBER(B816),IF(DB_MON="Todos",1,IF(AND(INT(B816)&gt;=DB_MS,INT(B816)&lt;=DB_ME),1,0)),0)</f>
        <v>0</v>
      </c>
      <c r="BX816" s="80">
        <f>IF(DB_PROJ="Todos",1,IF(E816&amp;""=DB_PROJ&amp;"",1,0))</f>
        <v>1</v>
      </c>
      <c r="BY816" s="80">
        <f>BW816*BX816</f>
        <v>0</v>
      </c>
      <c r="BZ816" s="80" t="str">
        <f>IF(Y816=1,F816&amp;IF(AND(F816&amp;""&lt;&gt;"",E816&amp;""&lt;&gt;"")," · ","")&amp;E816,"")</f>
        <v/>
      </c>
      <c r="CA816" s="80" t="str">
        <f>IF(AND(BD816=1,E816&amp;""&lt;&gt;""),IF(COUNTIFS($E$5:E815,E816,$BD$5:BD815,1)=0,MAX($CA$5:CA815)+1,""),"")</f>
        <v/>
      </c>
      <c r="CB816" s="80" t="str">
        <f>IF(AND(BE816=1,D816="Malcolm",E816&amp;""&lt;&gt;""),IF(COUNTIFS($D$5:D815,"Malcolm",$E$5:E815,E816,$BE$5:BE815,1)=0,MAX($CB$5:CB815)+1,""),"")</f>
        <v/>
      </c>
      <c r="CC816" s="80" t="str">
        <f>IF(AND(BD816=1,D816="proMX",E816&amp;""&lt;&gt;""),IF(COUNTIFS($D$5:D815,"proMX",$E$5:E815,E816,$BD$5:BD815,1)=0,MAX($CC$5:CC815)+1,""),"")</f>
        <v/>
      </c>
      <c r="CD816" s="80" t="str">
        <f>IF(AND(BE816=1,D816="Malcolm",F816&amp;""&lt;&gt;""),IF(COUNTIFS($D$5:D815,"Malcolm",$F$5:F815,F816,$BE$5:BE815,1)=0,MAX($CD$5:CD815)+1,""),"")</f>
        <v/>
      </c>
      <c r="CE816" s="80" t="str">
        <f>IF(AND(BD816=1,D816="proMX",F816&amp;""&lt;&gt;""),IF(COUNTIFS($D$5:D815,"proMX",$F$5:F815,F816,$BD$5:BD815,1)=0,MAX($CE$5:CE815)+1,""),"")</f>
        <v/>
      </c>
      <c r="CF816" s="80" t="str">
        <f>IF(AND(D816="proMX",BD816=1),IF(OR(BF816="Draft",BF816="Submitted",BF816="Returned",BF816="Recall Requested"),MAX($CF$5:CF815)+1,""),"")</f>
        <v/>
      </c>
      <c r="CG816" s="80">
        <f>IF(BD816=0,0,IF(D816="Malcolm",1,MATCH(BF816,{"Draft","Submitted","Approved","Returned","Recall Requested","Cancelled"},0)+1))</f>
        <v>0</v>
      </c>
      <c r="CH816" s="80">
        <f>IF(AND(BF816="Submitted",ISNUMBER(V816)),IF(V816&gt;CFG_MAXD,1,0),0)</f>
        <v>0</v>
      </c>
    </row>
    <row r="817">
      <c r="A817" s="71" t="str">
        <f>IF(Y817=1,ROW()-5,"")</f>
        <v/>
      </c>
      <c r="B817" s="72" t="n"/>
      <c r="C817" s="71" t="str">
        <f>IF(ISNUMBER(B817),CHOOSE(WEEKDAY(B817,2),"Lun","Mar","Mié","Jue","Vie","Sáb","Dom"),"")</f>
        <v/>
      </c>
      <c r="D817" s="73" t="n"/>
      <c r="E817" s="74" t="n"/>
      <c r="F817" s="74" t="n"/>
      <c r="G817" s="74" t="n"/>
      <c r="H817" s="75" t="n"/>
      <c r="I817" s="75" t="n"/>
      <c r="J817" s="76" t="n"/>
      <c r="K817" s="77" t="str">
        <f>IF(AB817=1,ROUND(AG817/60,4),"")</f>
        <v/>
      </c>
      <c r="L817" s="77" t="str">
        <f>IF(BD817=1,ROUND(AP817/60,4),"")</f>
        <v/>
      </c>
      <c r="M817" s="77" t="str">
        <f>IF(BD817=1,ROUND(AQ817/60,4),"")</f>
        <v/>
      </c>
      <c r="N817" s="71" t="str">
        <f>IF(AND(D817="proMX",AB817=1),ROUND(AG817/CFG_BLK,2),"")</f>
        <v/>
      </c>
      <c r="O817" s="77" t="str">
        <f>IF(D817="proMX",IF(BD817=1,ROUND(AG817/60,4),0),"")</f>
        <v/>
      </c>
      <c r="P817" s="78" t="str">
        <f>IF(Y817=0,"",IF(BD817=1,"OK",IF(D817="proMX","Revisar bloques: ","Revisar: ")&amp;BC817))</f>
        <v/>
      </c>
      <c r="Q817" s="78" t="str">
        <f>IF(NOT(ISNUMBER(B817)),"",IF(COUNTIFS(FER_F,INT(B817))&gt;0,"Feriado"&amp;IF(AH817=1," (laborable)"," (no laborable)"),IF(AH817=1,"Laborable",IF(WEEKDAY(B817,2)&gt;5,"Fin de semana","No laborable"))))</f>
        <v/>
      </c>
      <c r="R817" s="73" t="n"/>
      <c r="S817" s="72" t="n"/>
      <c r="T817" s="72" t="n"/>
      <c r="U817" s="74" t="n"/>
      <c r="V817" s="79" t="str">
        <f>IF(AND(D817="proMX",OR(R817="Submitted",R817="Recall Requested"),ISNUMBER(S817)),CFG_TODAY-INT(S817),"")</f>
        <v/>
      </c>
      <c r="W817" s="78" t="str">
        <f>IF(BD817=0,"",IF(BA817&gt;0,"⚠ Se superpone con un registro de la otra empresa",IF(D817="Malcolm",IF(COUNTA(R817,S817,T817)&gt;0,"Estado/fechas proMX se ignoran en Malcolm",""),IF(BF817="Cancelled","Cancelado: excluido de totales",IF(R817="","Sin estado: se trata como Draft",IF(BF817="Submitted",IF(ISNUMBER(V817),IF(V817&gt;CFG_MAXD,"⚠ "&amp;V817&amp;" días en Submitted (máx. "&amp;CFG_MAXD&amp;")",""),"Falta fecha de envío"),IF(BF817="Returned","⚠ Devuelto: corregir y reenviar",IF(BF817="Recall Requested","Retirada solicitada: pendiente",IF(AND(BF817="Approved",NOT(ISNUMBER(T817))),"Falta fecha de aprobación",IF(AND(ISNUMBER(S817),ISNUMBER(T817),T817&lt;S817),"Aprobación anterior al envío","")))))))))</f>
        <v/>
      </c>
      <c r="Y817" s="80">
        <f>IF(COUNTA(B817,D817,E817,F817,G817,H817,I817,J817,R817,S817,T817)&gt;0,1,0)</f>
        <v>0</v>
      </c>
      <c r="Z817" s="80" t="str">
        <f>IF(AND(ISNUMBER(H817),H817&gt;=0,H817&lt;1),ROUND(H817*1440,0),"")</f>
        <v/>
      </c>
      <c r="AA817" s="80" t="str">
        <f>IF(AND(ISNUMBER(I817),I817&gt;=0,I817&lt;1),ROUND(I817*1440,0),"")</f>
        <v/>
      </c>
      <c r="AB817" s="80">
        <f>IF(AND(ISNUMBER(B817),D817&lt;&gt;"",ISNUMBER(Z817),ISNUMBER(AA817)),IF(Z817=AA817,0,1),0)</f>
        <v>0</v>
      </c>
      <c r="AC817" s="80">
        <f>IF(AB817=1,IF(AA817&lt;Z817,1,0),0)</f>
        <v>0</v>
      </c>
      <c r="AD817" s="80">
        <f>IF(AB817=1,IF(AC817=1,1440-Z817+AA817,AA817-Z817),0)</f>
        <v>0</v>
      </c>
      <c r="AE817" s="80">
        <f>IF(J817="",0,IF(ISNUMBER(J817),J817,-1))</f>
        <v>0</v>
      </c>
      <c r="AF817" s="80">
        <f>MIN(MAX(0,AE817),AD817)</f>
        <v>0</v>
      </c>
      <c r="AG817" s="80">
        <f>MAX(0,AD817-MAX(0,AE817))</f>
        <v>0</v>
      </c>
      <c r="AH817" s="80">
        <f>IF(ISNUMBER(B817),IF(AND(INDEX(CFG_WDAYS,WEEKDAY(INT(B817),2))="Sí",IF(D817="proMX",COUNTIFS(FER_F,INT(B817),FER_NLP,"Sí"),COUNTIFS(FER_F,INT(B817),FER_NLM,"Sí"))=0),1,0),0)</f>
        <v>0</v>
      </c>
      <c r="AI817" s="80">
        <f>IF(AC817=1,IF(AND(INDEX(CFG_WDAYS,WEEKDAY(INT(B817)+1,2))="Sí",IF(D817="proMX",COUNTIFS(FER_F,INT(B817)+1,FER_NLP,"Sí"),COUNTIFS(FER_F,INT(B817)+1,FER_NLM,"Sí"))=0),1,0),0)</f>
        <v>0</v>
      </c>
      <c r="AJ817" s="80">
        <f>IF(AC817=1,1440-Z817,AD817)</f>
        <v>0</v>
      </c>
      <c r="AK817" s="80">
        <f>IF(AND(AB817=1,AH817=1),MAX(0,MIN(IF(AC817=1,1440,AA817),CFG_WEM)-MAX(Z817,CFG_WSM)),0)</f>
        <v>0</v>
      </c>
      <c r="AL817" s="80">
        <f>IF(AND(AC817=1,AI817=1),MAX(0,MIN(AA817,CFG_WEM)-CFG_WSM),0)</f>
        <v>0</v>
      </c>
      <c r="AM817" s="80">
        <f>AK817+AL817</f>
        <v>0</v>
      </c>
      <c r="AN817" s="80">
        <f>IF(CFG_BRK="Proporcional",IF(AD817=0,0,AF817*AM817/AD817),IF(CFG_BRK="Extras primero",MIN(AM817,MAX(0,AF817-(AD817-AM817))),MIN(AF817,AM817)))</f>
        <v>0</v>
      </c>
      <c r="AO817" s="80">
        <f>AF817-AN817</f>
        <v>0</v>
      </c>
      <c r="AP817" s="80">
        <f>AM817-AN817</f>
        <v>0</v>
      </c>
      <c r="AQ817" s="80">
        <f>AD817-AM817-AO817</f>
        <v>0</v>
      </c>
      <c r="AR817" s="80">
        <f>IF(AM817=0,0,AK817-AN817*AK817/AM817)</f>
        <v>0</v>
      </c>
      <c r="AS817" s="80">
        <f>IF(AD817-AM817=0,0,(AJ817-AK817)-AO817*(AJ817-AK817)/(AD817-AM817))</f>
        <v>0</v>
      </c>
      <c r="AT817" s="80" t="str">
        <f>IF(AC817=1,INT(B817)+1,"")</f>
        <v/>
      </c>
      <c r="AU817" s="80">
        <f>IF(AND(D817="proMX",R817="Cancelled"),0,1)</f>
        <v>1</v>
      </c>
      <c r="AV817" s="80">
        <f>IF(AND(AB817=1,AU817=1),IF(COUNTIFS($D$5:D816,D817,$B$5:B816,B817,$Z$5:Z816,Z817,$AA$5:AA816,AA817,$F$5:F816,F817&amp;"",$AU$5:AU816,1)&gt;0,1,0),0)</f>
        <v>0</v>
      </c>
      <c r="AW817" s="80" t="str">
        <f>IF(AB817=1,INT(B817)*1440+Z817,"")</f>
        <v/>
      </c>
      <c r="AX817" s="80" t="str">
        <f>IF(AB817=1,AW817+AD817,"")</f>
        <v/>
      </c>
      <c r="AY817" s="80">
        <f>IF(AND(AB817=1,AV817=0,AU817=1),1,0)</f>
        <v>0</v>
      </c>
      <c r="AZ817" s="80">
        <f>IF(AY817=1,COUNTIFS(R_Emp,D817,R_SAbs,"&lt;"&amp;AX817,R_EAbs,"&gt;"&amp;AW817,R_OKey,1)-1,0)</f>
        <v>0</v>
      </c>
      <c r="BA817" s="80">
        <f>IF(AY817=1,COUNTIFS(R_Emp,"&lt;&gt;"&amp;D817,R_SAbs,"&lt;"&amp;AX817,R_EAbs,"&gt;"&amp;AW817,R_OKey,1),0)</f>
        <v>0</v>
      </c>
      <c r="BB817" s="80">
        <f>IF(AND(AB817=1,D817="proMX"),IF(AND(MOD(Z817,CFG_BLK)=0,MOD(AA817,CFG_BLK)=0,MOD(AG817,CFG_BLK)=0,AG817&gt;0),1,0),1)</f>
        <v>1</v>
      </c>
      <c r="BC817" s="80" t="str">
        <f>IF(Y817=0,"",IF(NOT(ISNUMBER(B817)),"Falta fecha o fecha inválida",IF(D817="","Falta empresa",IF(AND(D817&lt;&gt;"Malcolm",D817&lt;&gt;"proMX"),"Empresa inválida",IF(OR(INT(B817)&lt;CFG_PSTART,INT(B817)&gt;CFG_PEND),"Fecha fuera del período",IF(OR(NOT(ISNUMBER(Z817)),NOT(ISNUMBER(AA817))),"Falta hora inicio/fin o formato inválido",IF(AB817=0,"Hora inicio = hora fin",IF(AE817&lt;0,"Descanso inválido",IF(AE817&gt;=AD817,"Descanso ≥ duración",IF(AV817=1,"Registro duplicado",IF(AZ817&gt;0,"Se superpone con otro registro "&amp;D817,IF(BB817=0,"inicio, fin y duración neta deben ser múltiplos de "&amp;CFG_BLK&amp;" min",""))))))))))))</f>
        <v/>
      </c>
      <c r="BD817" s="80">
        <f>IF(AND(Y817=1,BC817=""),1,0)</f>
        <v>0</v>
      </c>
      <c r="BE817" s="80">
        <f>IF(AND(BD817=1,AU817=1),1,0)</f>
        <v>0</v>
      </c>
      <c r="BF817" s="80" t="str">
        <f>IF(AND(D817="proMX",BD817=1),IF(R817="","Draft",R817),"")</f>
        <v/>
      </c>
      <c r="BG817" s="80">
        <f>IF(BD817=1,ROUND(AG817/60,6),0)</f>
        <v>0</v>
      </c>
      <c r="BH817" s="80">
        <f>IF(BE817=1,ROUND(AG817/60,6),0)</f>
        <v>0</v>
      </c>
      <c r="BI817" s="80">
        <f>IF(BE817=1,ROUND(AP817/60,6),0)</f>
        <v>0</v>
      </c>
      <c r="BJ817" s="80">
        <f>IF(BE817=1,ROUND(AQ817/60,6),0)</f>
        <v>0</v>
      </c>
      <c r="BK817" s="80">
        <f>IF(BE817=1,ROUND((AR817+AS817)/60,6),0)</f>
        <v>0</v>
      </c>
      <c r="BL817" s="80">
        <f>ROUND(BH817-BK817,6)</f>
        <v>0</v>
      </c>
      <c r="BM817" s="80">
        <f>IF(BE817=1,ROUND(AR817/60,6),0)</f>
        <v>0</v>
      </c>
      <c r="BN817" s="80">
        <f>ROUND(BI817-BM817,6)</f>
        <v>0</v>
      </c>
      <c r="BO817" s="80">
        <f>IF(BE817=1,ROUND(AS817/60,6),0)</f>
        <v>0</v>
      </c>
      <c r="BP817" s="80">
        <f>ROUND(BJ817-BO817,6)</f>
        <v>0</v>
      </c>
      <c r="BQ817" s="80">
        <f>IF(BE817=1,AW817,0)</f>
        <v>0</v>
      </c>
      <c r="BR817" s="80">
        <f>IF(BE817=1,AX817,0)</f>
        <v>0</v>
      </c>
      <c r="BS817" s="80">
        <f>IF(AND(BE817=1,D817="Malcolm",BA817&gt;0),MIN(BH817,SUMPRODUCT((R_Emp="proMX")*(R_EN&gt;0)*((R_EN-(R_EN&gt;BR817)*(R_EN-BR817))&gt;(R_SN+(R_SN&lt;BQ817)*(BQ817-R_SN)))*((R_EN-(R_EN&gt;BR817)*(R_EN-BR817))-(R_SN+(R_SN&lt;BQ817)*(BQ817-R_SN))))/60),0)</f>
        <v>0</v>
      </c>
      <c r="BT817" s="80">
        <f>IF(AND(BE817=1,D817="proMX"),ROUND(BI817*CFG_RATE+BJ817*CFG_OTRATE,6),0)</f>
        <v>0</v>
      </c>
      <c r="BU817" s="80">
        <f>IF(AND(BD817=1,D817="proMX"),ROUND(AG817/CFG_BLK,6),0)</f>
        <v>0</v>
      </c>
      <c r="BV817" s="80" t="str">
        <f>IF(BF817="Approved",IF(ISNUMBER(T817),INT(T817),INT(B817)),"")</f>
        <v/>
      </c>
      <c r="BW817" s="80">
        <f>IF(ISNUMBER(B817),IF(DB_MON="Todos",1,IF(AND(INT(B817)&gt;=DB_MS,INT(B817)&lt;=DB_ME),1,0)),0)</f>
        <v>0</v>
      </c>
      <c r="BX817" s="80">
        <f>IF(DB_PROJ="Todos",1,IF(E817&amp;""=DB_PROJ&amp;"",1,0))</f>
        <v>1</v>
      </c>
      <c r="BY817" s="80">
        <f>BW817*BX817</f>
        <v>0</v>
      </c>
      <c r="BZ817" s="80" t="str">
        <f>IF(Y817=1,F817&amp;IF(AND(F817&amp;""&lt;&gt;"",E817&amp;""&lt;&gt;"")," · ","")&amp;E817,"")</f>
        <v/>
      </c>
      <c r="CA817" s="80" t="str">
        <f>IF(AND(BD817=1,E817&amp;""&lt;&gt;""),IF(COUNTIFS($E$5:E816,E817,$BD$5:BD816,1)=0,MAX($CA$5:CA816)+1,""),"")</f>
        <v/>
      </c>
      <c r="CB817" s="80" t="str">
        <f>IF(AND(BE817=1,D817="Malcolm",E817&amp;""&lt;&gt;""),IF(COUNTIFS($D$5:D816,"Malcolm",$E$5:E816,E817,$BE$5:BE816,1)=0,MAX($CB$5:CB816)+1,""),"")</f>
        <v/>
      </c>
      <c r="CC817" s="80" t="str">
        <f>IF(AND(BD817=1,D817="proMX",E817&amp;""&lt;&gt;""),IF(COUNTIFS($D$5:D816,"proMX",$E$5:E816,E817,$BD$5:BD816,1)=0,MAX($CC$5:CC816)+1,""),"")</f>
        <v/>
      </c>
      <c r="CD817" s="80" t="str">
        <f>IF(AND(BE817=1,D817="Malcolm",F817&amp;""&lt;&gt;""),IF(COUNTIFS($D$5:D816,"Malcolm",$F$5:F816,F817,$BE$5:BE816,1)=0,MAX($CD$5:CD816)+1,""),"")</f>
        <v/>
      </c>
      <c r="CE817" s="80" t="str">
        <f>IF(AND(BD817=1,D817="proMX",F817&amp;""&lt;&gt;""),IF(COUNTIFS($D$5:D816,"proMX",$F$5:F816,F817,$BD$5:BD816,1)=0,MAX($CE$5:CE816)+1,""),"")</f>
        <v/>
      </c>
      <c r="CF817" s="80" t="str">
        <f>IF(AND(D817="proMX",BD817=1),IF(OR(BF817="Draft",BF817="Submitted",BF817="Returned",BF817="Recall Requested"),MAX($CF$5:CF816)+1,""),"")</f>
        <v/>
      </c>
      <c r="CG817" s="80">
        <f>IF(BD817=0,0,IF(D817="Malcolm",1,MATCH(BF817,{"Draft","Submitted","Approved","Returned","Recall Requested","Cancelled"},0)+1))</f>
        <v>0</v>
      </c>
      <c r="CH817" s="80">
        <f>IF(AND(BF817="Submitted",ISNUMBER(V817)),IF(V817&gt;CFG_MAXD,1,0),0)</f>
        <v>0</v>
      </c>
    </row>
    <row r="818">
      <c r="A818" s="71" t="str">
        <f>IF(Y818=1,ROW()-5,"")</f>
        <v/>
      </c>
      <c r="B818" s="72" t="n"/>
      <c r="C818" s="71" t="str">
        <f>IF(ISNUMBER(B818),CHOOSE(WEEKDAY(B818,2),"Lun","Mar","Mié","Jue","Vie","Sáb","Dom"),"")</f>
        <v/>
      </c>
      <c r="D818" s="73" t="n"/>
      <c r="E818" s="74" t="n"/>
      <c r="F818" s="74" t="n"/>
      <c r="G818" s="74" t="n"/>
      <c r="H818" s="75" t="n"/>
      <c r="I818" s="75" t="n"/>
      <c r="J818" s="76" t="n"/>
      <c r="K818" s="77" t="str">
        <f>IF(AB818=1,ROUND(AG818/60,4),"")</f>
        <v/>
      </c>
      <c r="L818" s="77" t="str">
        <f>IF(BD818=1,ROUND(AP818/60,4),"")</f>
        <v/>
      </c>
      <c r="M818" s="77" t="str">
        <f>IF(BD818=1,ROUND(AQ818/60,4),"")</f>
        <v/>
      </c>
      <c r="N818" s="71" t="str">
        <f>IF(AND(D818="proMX",AB818=1),ROUND(AG818/CFG_BLK,2),"")</f>
        <v/>
      </c>
      <c r="O818" s="77" t="str">
        <f>IF(D818="proMX",IF(BD818=1,ROUND(AG818/60,4),0),"")</f>
        <v/>
      </c>
      <c r="P818" s="78" t="str">
        <f>IF(Y818=0,"",IF(BD818=1,"OK",IF(D818="proMX","Revisar bloques: ","Revisar: ")&amp;BC818))</f>
        <v/>
      </c>
      <c r="Q818" s="78" t="str">
        <f>IF(NOT(ISNUMBER(B818)),"",IF(COUNTIFS(FER_F,INT(B818))&gt;0,"Feriado"&amp;IF(AH818=1," (laborable)"," (no laborable)"),IF(AH818=1,"Laborable",IF(WEEKDAY(B818,2)&gt;5,"Fin de semana","No laborable"))))</f>
        <v/>
      </c>
      <c r="R818" s="73" t="n"/>
      <c r="S818" s="72" t="n"/>
      <c r="T818" s="72" t="n"/>
      <c r="U818" s="74" t="n"/>
      <c r="V818" s="79" t="str">
        <f>IF(AND(D818="proMX",OR(R818="Submitted",R818="Recall Requested"),ISNUMBER(S818)),CFG_TODAY-INT(S818),"")</f>
        <v/>
      </c>
      <c r="W818" s="78" t="str">
        <f>IF(BD818=0,"",IF(BA818&gt;0,"⚠ Se superpone con un registro de la otra empresa",IF(D818="Malcolm",IF(COUNTA(R818,S818,T818)&gt;0,"Estado/fechas proMX se ignoran en Malcolm",""),IF(BF818="Cancelled","Cancelado: excluido de totales",IF(R818="","Sin estado: se trata como Draft",IF(BF818="Submitted",IF(ISNUMBER(V818),IF(V818&gt;CFG_MAXD,"⚠ "&amp;V818&amp;" días en Submitted (máx. "&amp;CFG_MAXD&amp;")",""),"Falta fecha de envío"),IF(BF818="Returned","⚠ Devuelto: corregir y reenviar",IF(BF818="Recall Requested","Retirada solicitada: pendiente",IF(AND(BF818="Approved",NOT(ISNUMBER(T818))),"Falta fecha de aprobación",IF(AND(ISNUMBER(S818),ISNUMBER(T818),T818&lt;S818),"Aprobación anterior al envío","")))))))))</f>
        <v/>
      </c>
      <c r="Y818" s="80">
        <f>IF(COUNTA(B818,D818,E818,F818,G818,H818,I818,J818,R818,S818,T818)&gt;0,1,0)</f>
        <v>0</v>
      </c>
      <c r="Z818" s="80" t="str">
        <f>IF(AND(ISNUMBER(H818),H818&gt;=0,H818&lt;1),ROUND(H818*1440,0),"")</f>
        <v/>
      </c>
      <c r="AA818" s="80" t="str">
        <f>IF(AND(ISNUMBER(I818),I818&gt;=0,I818&lt;1),ROUND(I818*1440,0),"")</f>
        <v/>
      </c>
      <c r="AB818" s="80">
        <f>IF(AND(ISNUMBER(B818),D818&lt;&gt;"",ISNUMBER(Z818),ISNUMBER(AA818)),IF(Z818=AA818,0,1),0)</f>
        <v>0</v>
      </c>
      <c r="AC818" s="80">
        <f>IF(AB818=1,IF(AA818&lt;Z818,1,0),0)</f>
        <v>0</v>
      </c>
      <c r="AD818" s="80">
        <f>IF(AB818=1,IF(AC818=1,1440-Z818+AA818,AA818-Z818),0)</f>
        <v>0</v>
      </c>
      <c r="AE818" s="80">
        <f>IF(J818="",0,IF(ISNUMBER(J818),J818,-1))</f>
        <v>0</v>
      </c>
      <c r="AF818" s="80">
        <f>MIN(MAX(0,AE818),AD818)</f>
        <v>0</v>
      </c>
      <c r="AG818" s="80">
        <f>MAX(0,AD818-MAX(0,AE818))</f>
        <v>0</v>
      </c>
      <c r="AH818" s="80">
        <f>IF(ISNUMBER(B818),IF(AND(INDEX(CFG_WDAYS,WEEKDAY(INT(B818),2))="Sí",IF(D818="proMX",COUNTIFS(FER_F,INT(B818),FER_NLP,"Sí"),COUNTIFS(FER_F,INT(B818),FER_NLM,"Sí"))=0),1,0),0)</f>
        <v>0</v>
      </c>
      <c r="AI818" s="80">
        <f>IF(AC818=1,IF(AND(INDEX(CFG_WDAYS,WEEKDAY(INT(B818)+1,2))="Sí",IF(D818="proMX",COUNTIFS(FER_F,INT(B818)+1,FER_NLP,"Sí"),COUNTIFS(FER_F,INT(B818)+1,FER_NLM,"Sí"))=0),1,0),0)</f>
        <v>0</v>
      </c>
      <c r="AJ818" s="80">
        <f>IF(AC818=1,1440-Z818,AD818)</f>
        <v>0</v>
      </c>
      <c r="AK818" s="80">
        <f>IF(AND(AB818=1,AH818=1),MAX(0,MIN(IF(AC818=1,1440,AA818),CFG_WEM)-MAX(Z818,CFG_WSM)),0)</f>
        <v>0</v>
      </c>
      <c r="AL818" s="80">
        <f>IF(AND(AC818=1,AI818=1),MAX(0,MIN(AA818,CFG_WEM)-CFG_WSM),0)</f>
        <v>0</v>
      </c>
      <c r="AM818" s="80">
        <f>AK818+AL818</f>
        <v>0</v>
      </c>
      <c r="AN818" s="80">
        <f>IF(CFG_BRK="Proporcional",IF(AD818=0,0,AF818*AM818/AD818),IF(CFG_BRK="Extras primero",MIN(AM818,MAX(0,AF818-(AD818-AM818))),MIN(AF818,AM818)))</f>
        <v>0</v>
      </c>
      <c r="AO818" s="80">
        <f>AF818-AN818</f>
        <v>0</v>
      </c>
      <c r="AP818" s="80">
        <f>AM818-AN818</f>
        <v>0</v>
      </c>
      <c r="AQ818" s="80">
        <f>AD818-AM818-AO818</f>
        <v>0</v>
      </c>
      <c r="AR818" s="80">
        <f>IF(AM818=0,0,AK818-AN818*AK818/AM818)</f>
        <v>0</v>
      </c>
      <c r="AS818" s="80">
        <f>IF(AD818-AM818=0,0,(AJ818-AK818)-AO818*(AJ818-AK818)/(AD818-AM818))</f>
        <v>0</v>
      </c>
      <c r="AT818" s="80" t="str">
        <f>IF(AC818=1,INT(B818)+1,"")</f>
        <v/>
      </c>
      <c r="AU818" s="80">
        <f>IF(AND(D818="proMX",R818="Cancelled"),0,1)</f>
        <v>1</v>
      </c>
      <c r="AV818" s="80">
        <f>IF(AND(AB818=1,AU818=1),IF(COUNTIFS($D$5:D817,D818,$B$5:B817,B818,$Z$5:Z817,Z818,$AA$5:AA817,AA818,$F$5:F817,F818&amp;"",$AU$5:AU817,1)&gt;0,1,0),0)</f>
        <v>0</v>
      </c>
      <c r="AW818" s="80" t="str">
        <f>IF(AB818=1,INT(B818)*1440+Z818,"")</f>
        <v/>
      </c>
      <c r="AX818" s="80" t="str">
        <f>IF(AB818=1,AW818+AD818,"")</f>
        <v/>
      </c>
      <c r="AY818" s="80">
        <f>IF(AND(AB818=1,AV818=0,AU818=1),1,0)</f>
        <v>0</v>
      </c>
      <c r="AZ818" s="80">
        <f>IF(AY818=1,COUNTIFS(R_Emp,D818,R_SAbs,"&lt;"&amp;AX818,R_EAbs,"&gt;"&amp;AW818,R_OKey,1)-1,0)</f>
        <v>0</v>
      </c>
      <c r="BA818" s="80">
        <f>IF(AY818=1,COUNTIFS(R_Emp,"&lt;&gt;"&amp;D818,R_SAbs,"&lt;"&amp;AX818,R_EAbs,"&gt;"&amp;AW818,R_OKey,1),0)</f>
        <v>0</v>
      </c>
      <c r="BB818" s="80">
        <f>IF(AND(AB818=1,D818="proMX"),IF(AND(MOD(Z818,CFG_BLK)=0,MOD(AA818,CFG_BLK)=0,MOD(AG818,CFG_BLK)=0,AG818&gt;0),1,0),1)</f>
        <v>1</v>
      </c>
      <c r="BC818" s="80" t="str">
        <f>IF(Y818=0,"",IF(NOT(ISNUMBER(B818)),"Falta fecha o fecha inválida",IF(D818="","Falta empresa",IF(AND(D818&lt;&gt;"Malcolm",D818&lt;&gt;"proMX"),"Empresa inválida",IF(OR(INT(B818)&lt;CFG_PSTART,INT(B818)&gt;CFG_PEND),"Fecha fuera del período",IF(OR(NOT(ISNUMBER(Z818)),NOT(ISNUMBER(AA818))),"Falta hora inicio/fin o formato inválido",IF(AB818=0,"Hora inicio = hora fin",IF(AE818&lt;0,"Descanso inválido",IF(AE818&gt;=AD818,"Descanso ≥ duración",IF(AV818=1,"Registro duplicado",IF(AZ818&gt;0,"Se superpone con otro registro "&amp;D818,IF(BB818=0,"inicio, fin y duración neta deben ser múltiplos de "&amp;CFG_BLK&amp;" min",""))))))))))))</f>
        <v/>
      </c>
      <c r="BD818" s="80">
        <f>IF(AND(Y818=1,BC818=""),1,0)</f>
        <v>0</v>
      </c>
      <c r="BE818" s="80">
        <f>IF(AND(BD818=1,AU818=1),1,0)</f>
        <v>0</v>
      </c>
      <c r="BF818" s="80" t="str">
        <f>IF(AND(D818="proMX",BD818=1),IF(R818="","Draft",R818),"")</f>
        <v/>
      </c>
      <c r="BG818" s="80">
        <f>IF(BD818=1,ROUND(AG818/60,6),0)</f>
        <v>0</v>
      </c>
      <c r="BH818" s="80">
        <f>IF(BE818=1,ROUND(AG818/60,6),0)</f>
        <v>0</v>
      </c>
      <c r="BI818" s="80">
        <f>IF(BE818=1,ROUND(AP818/60,6),0)</f>
        <v>0</v>
      </c>
      <c r="BJ818" s="80">
        <f>IF(BE818=1,ROUND(AQ818/60,6),0)</f>
        <v>0</v>
      </c>
      <c r="BK818" s="80">
        <f>IF(BE818=1,ROUND((AR818+AS818)/60,6),0)</f>
        <v>0</v>
      </c>
      <c r="BL818" s="80">
        <f>ROUND(BH818-BK818,6)</f>
        <v>0</v>
      </c>
      <c r="BM818" s="80">
        <f>IF(BE818=1,ROUND(AR818/60,6),0)</f>
        <v>0</v>
      </c>
      <c r="BN818" s="80">
        <f>ROUND(BI818-BM818,6)</f>
        <v>0</v>
      </c>
      <c r="BO818" s="80">
        <f>IF(BE818=1,ROUND(AS818/60,6),0)</f>
        <v>0</v>
      </c>
      <c r="BP818" s="80">
        <f>ROUND(BJ818-BO818,6)</f>
        <v>0</v>
      </c>
      <c r="BQ818" s="80">
        <f>IF(BE818=1,AW818,0)</f>
        <v>0</v>
      </c>
      <c r="BR818" s="80">
        <f>IF(BE818=1,AX818,0)</f>
        <v>0</v>
      </c>
      <c r="BS818" s="80">
        <f>IF(AND(BE818=1,D818="Malcolm",BA818&gt;0),MIN(BH818,SUMPRODUCT((R_Emp="proMX")*(R_EN&gt;0)*((R_EN-(R_EN&gt;BR818)*(R_EN-BR818))&gt;(R_SN+(R_SN&lt;BQ818)*(BQ818-R_SN)))*((R_EN-(R_EN&gt;BR818)*(R_EN-BR818))-(R_SN+(R_SN&lt;BQ818)*(BQ818-R_SN))))/60),0)</f>
        <v>0</v>
      </c>
      <c r="BT818" s="80">
        <f>IF(AND(BE818=1,D818="proMX"),ROUND(BI818*CFG_RATE+BJ818*CFG_OTRATE,6),0)</f>
        <v>0</v>
      </c>
      <c r="BU818" s="80">
        <f>IF(AND(BD818=1,D818="proMX"),ROUND(AG818/CFG_BLK,6),0)</f>
        <v>0</v>
      </c>
      <c r="BV818" s="80" t="str">
        <f>IF(BF818="Approved",IF(ISNUMBER(T818),INT(T818),INT(B818)),"")</f>
        <v/>
      </c>
      <c r="BW818" s="80">
        <f>IF(ISNUMBER(B818),IF(DB_MON="Todos",1,IF(AND(INT(B818)&gt;=DB_MS,INT(B818)&lt;=DB_ME),1,0)),0)</f>
        <v>0</v>
      </c>
      <c r="BX818" s="80">
        <f>IF(DB_PROJ="Todos",1,IF(E818&amp;""=DB_PROJ&amp;"",1,0))</f>
        <v>1</v>
      </c>
      <c r="BY818" s="80">
        <f>BW818*BX818</f>
        <v>0</v>
      </c>
      <c r="BZ818" s="80" t="str">
        <f>IF(Y818=1,F818&amp;IF(AND(F818&amp;""&lt;&gt;"",E818&amp;""&lt;&gt;"")," · ","")&amp;E818,"")</f>
        <v/>
      </c>
      <c r="CA818" s="80" t="str">
        <f>IF(AND(BD818=1,E818&amp;""&lt;&gt;""),IF(COUNTIFS($E$5:E817,E818,$BD$5:BD817,1)=0,MAX($CA$5:CA817)+1,""),"")</f>
        <v/>
      </c>
      <c r="CB818" s="80" t="str">
        <f>IF(AND(BE818=1,D818="Malcolm",E818&amp;""&lt;&gt;""),IF(COUNTIFS($D$5:D817,"Malcolm",$E$5:E817,E818,$BE$5:BE817,1)=0,MAX($CB$5:CB817)+1,""),"")</f>
        <v/>
      </c>
      <c r="CC818" s="80" t="str">
        <f>IF(AND(BD818=1,D818="proMX",E818&amp;""&lt;&gt;""),IF(COUNTIFS($D$5:D817,"proMX",$E$5:E817,E818,$BD$5:BD817,1)=0,MAX($CC$5:CC817)+1,""),"")</f>
        <v/>
      </c>
      <c r="CD818" s="80" t="str">
        <f>IF(AND(BE818=1,D818="Malcolm",F818&amp;""&lt;&gt;""),IF(COUNTIFS($D$5:D817,"Malcolm",$F$5:F817,F818,$BE$5:BE817,1)=0,MAX($CD$5:CD817)+1,""),"")</f>
        <v/>
      </c>
      <c r="CE818" s="80" t="str">
        <f>IF(AND(BD818=1,D818="proMX",F818&amp;""&lt;&gt;""),IF(COUNTIFS($D$5:D817,"proMX",$F$5:F817,F818,$BD$5:BD817,1)=0,MAX($CE$5:CE817)+1,""),"")</f>
        <v/>
      </c>
      <c r="CF818" s="80" t="str">
        <f>IF(AND(D818="proMX",BD818=1),IF(OR(BF818="Draft",BF818="Submitted",BF818="Returned",BF818="Recall Requested"),MAX($CF$5:CF817)+1,""),"")</f>
        <v/>
      </c>
      <c r="CG818" s="80">
        <f>IF(BD818=0,0,IF(D818="Malcolm",1,MATCH(BF818,{"Draft","Submitted","Approved","Returned","Recall Requested","Cancelled"},0)+1))</f>
        <v>0</v>
      </c>
      <c r="CH818" s="80">
        <f>IF(AND(BF818="Submitted",ISNUMBER(V818)),IF(V818&gt;CFG_MAXD,1,0),0)</f>
        <v>0</v>
      </c>
    </row>
    <row r="819">
      <c r="A819" s="71" t="str">
        <f>IF(Y819=1,ROW()-5,"")</f>
        <v/>
      </c>
      <c r="B819" s="72" t="n"/>
      <c r="C819" s="71" t="str">
        <f>IF(ISNUMBER(B819),CHOOSE(WEEKDAY(B819,2),"Lun","Mar","Mié","Jue","Vie","Sáb","Dom"),"")</f>
        <v/>
      </c>
      <c r="D819" s="73" t="n"/>
      <c r="E819" s="74" t="n"/>
      <c r="F819" s="74" t="n"/>
      <c r="G819" s="74" t="n"/>
      <c r="H819" s="75" t="n"/>
      <c r="I819" s="75" t="n"/>
      <c r="J819" s="76" t="n"/>
      <c r="K819" s="77" t="str">
        <f>IF(AB819=1,ROUND(AG819/60,4),"")</f>
        <v/>
      </c>
      <c r="L819" s="77" t="str">
        <f>IF(BD819=1,ROUND(AP819/60,4),"")</f>
        <v/>
      </c>
      <c r="M819" s="77" t="str">
        <f>IF(BD819=1,ROUND(AQ819/60,4),"")</f>
        <v/>
      </c>
      <c r="N819" s="71" t="str">
        <f>IF(AND(D819="proMX",AB819=1),ROUND(AG819/CFG_BLK,2),"")</f>
        <v/>
      </c>
      <c r="O819" s="77" t="str">
        <f>IF(D819="proMX",IF(BD819=1,ROUND(AG819/60,4),0),"")</f>
        <v/>
      </c>
      <c r="P819" s="78" t="str">
        <f>IF(Y819=0,"",IF(BD819=1,"OK",IF(D819="proMX","Revisar bloques: ","Revisar: ")&amp;BC819))</f>
        <v/>
      </c>
      <c r="Q819" s="78" t="str">
        <f>IF(NOT(ISNUMBER(B819)),"",IF(COUNTIFS(FER_F,INT(B819))&gt;0,"Feriado"&amp;IF(AH819=1," (laborable)"," (no laborable)"),IF(AH819=1,"Laborable",IF(WEEKDAY(B819,2)&gt;5,"Fin de semana","No laborable"))))</f>
        <v/>
      </c>
      <c r="R819" s="73" t="n"/>
      <c r="S819" s="72" t="n"/>
      <c r="T819" s="72" t="n"/>
      <c r="U819" s="74" t="n"/>
      <c r="V819" s="79" t="str">
        <f>IF(AND(D819="proMX",OR(R819="Submitted",R819="Recall Requested"),ISNUMBER(S819)),CFG_TODAY-INT(S819),"")</f>
        <v/>
      </c>
      <c r="W819" s="78" t="str">
        <f>IF(BD819=0,"",IF(BA819&gt;0,"⚠ Se superpone con un registro de la otra empresa",IF(D819="Malcolm",IF(COUNTA(R819,S819,T819)&gt;0,"Estado/fechas proMX se ignoran en Malcolm",""),IF(BF819="Cancelled","Cancelado: excluido de totales",IF(R819="","Sin estado: se trata como Draft",IF(BF819="Submitted",IF(ISNUMBER(V819),IF(V819&gt;CFG_MAXD,"⚠ "&amp;V819&amp;" días en Submitted (máx. "&amp;CFG_MAXD&amp;")",""),"Falta fecha de envío"),IF(BF819="Returned","⚠ Devuelto: corregir y reenviar",IF(BF819="Recall Requested","Retirada solicitada: pendiente",IF(AND(BF819="Approved",NOT(ISNUMBER(T819))),"Falta fecha de aprobación",IF(AND(ISNUMBER(S819),ISNUMBER(T819),T819&lt;S819),"Aprobación anterior al envío","")))))))))</f>
        <v/>
      </c>
      <c r="Y819" s="80">
        <f>IF(COUNTA(B819,D819,E819,F819,G819,H819,I819,J819,R819,S819,T819)&gt;0,1,0)</f>
        <v>0</v>
      </c>
      <c r="Z819" s="80" t="str">
        <f>IF(AND(ISNUMBER(H819),H819&gt;=0,H819&lt;1),ROUND(H819*1440,0),"")</f>
        <v/>
      </c>
      <c r="AA819" s="80" t="str">
        <f>IF(AND(ISNUMBER(I819),I819&gt;=0,I819&lt;1),ROUND(I819*1440,0),"")</f>
        <v/>
      </c>
      <c r="AB819" s="80">
        <f>IF(AND(ISNUMBER(B819),D819&lt;&gt;"",ISNUMBER(Z819),ISNUMBER(AA819)),IF(Z819=AA819,0,1),0)</f>
        <v>0</v>
      </c>
      <c r="AC819" s="80">
        <f>IF(AB819=1,IF(AA819&lt;Z819,1,0),0)</f>
        <v>0</v>
      </c>
      <c r="AD819" s="80">
        <f>IF(AB819=1,IF(AC819=1,1440-Z819+AA819,AA819-Z819),0)</f>
        <v>0</v>
      </c>
      <c r="AE819" s="80">
        <f>IF(J819="",0,IF(ISNUMBER(J819),J819,-1))</f>
        <v>0</v>
      </c>
      <c r="AF819" s="80">
        <f>MIN(MAX(0,AE819),AD819)</f>
        <v>0</v>
      </c>
      <c r="AG819" s="80">
        <f>MAX(0,AD819-MAX(0,AE819))</f>
        <v>0</v>
      </c>
      <c r="AH819" s="80">
        <f>IF(ISNUMBER(B819),IF(AND(INDEX(CFG_WDAYS,WEEKDAY(INT(B819),2))="Sí",IF(D819="proMX",COUNTIFS(FER_F,INT(B819),FER_NLP,"Sí"),COUNTIFS(FER_F,INT(B819),FER_NLM,"Sí"))=0),1,0),0)</f>
        <v>0</v>
      </c>
      <c r="AI819" s="80">
        <f>IF(AC819=1,IF(AND(INDEX(CFG_WDAYS,WEEKDAY(INT(B819)+1,2))="Sí",IF(D819="proMX",COUNTIFS(FER_F,INT(B819)+1,FER_NLP,"Sí"),COUNTIFS(FER_F,INT(B819)+1,FER_NLM,"Sí"))=0),1,0),0)</f>
        <v>0</v>
      </c>
      <c r="AJ819" s="80">
        <f>IF(AC819=1,1440-Z819,AD819)</f>
        <v>0</v>
      </c>
      <c r="AK819" s="80">
        <f>IF(AND(AB819=1,AH819=1),MAX(0,MIN(IF(AC819=1,1440,AA819),CFG_WEM)-MAX(Z819,CFG_WSM)),0)</f>
        <v>0</v>
      </c>
      <c r="AL819" s="80">
        <f>IF(AND(AC819=1,AI819=1),MAX(0,MIN(AA819,CFG_WEM)-CFG_WSM),0)</f>
        <v>0</v>
      </c>
      <c r="AM819" s="80">
        <f>AK819+AL819</f>
        <v>0</v>
      </c>
      <c r="AN819" s="80">
        <f>IF(CFG_BRK="Proporcional",IF(AD819=0,0,AF819*AM819/AD819),IF(CFG_BRK="Extras primero",MIN(AM819,MAX(0,AF819-(AD819-AM819))),MIN(AF819,AM819)))</f>
        <v>0</v>
      </c>
      <c r="AO819" s="80">
        <f>AF819-AN819</f>
        <v>0</v>
      </c>
      <c r="AP819" s="80">
        <f>AM819-AN819</f>
        <v>0</v>
      </c>
      <c r="AQ819" s="80">
        <f>AD819-AM819-AO819</f>
        <v>0</v>
      </c>
      <c r="AR819" s="80">
        <f>IF(AM819=0,0,AK819-AN819*AK819/AM819)</f>
        <v>0</v>
      </c>
      <c r="AS819" s="80">
        <f>IF(AD819-AM819=0,0,(AJ819-AK819)-AO819*(AJ819-AK819)/(AD819-AM819))</f>
        <v>0</v>
      </c>
      <c r="AT819" s="80" t="str">
        <f>IF(AC819=1,INT(B819)+1,"")</f>
        <v/>
      </c>
      <c r="AU819" s="80">
        <f>IF(AND(D819="proMX",R819="Cancelled"),0,1)</f>
        <v>1</v>
      </c>
      <c r="AV819" s="80">
        <f>IF(AND(AB819=1,AU819=1),IF(COUNTIFS($D$5:D818,D819,$B$5:B818,B819,$Z$5:Z818,Z819,$AA$5:AA818,AA819,$F$5:F818,F819&amp;"",$AU$5:AU818,1)&gt;0,1,0),0)</f>
        <v>0</v>
      </c>
      <c r="AW819" s="80" t="str">
        <f>IF(AB819=1,INT(B819)*1440+Z819,"")</f>
        <v/>
      </c>
      <c r="AX819" s="80" t="str">
        <f>IF(AB819=1,AW819+AD819,"")</f>
        <v/>
      </c>
      <c r="AY819" s="80">
        <f>IF(AND(AB819=1,AV819=0,AU819=1),1,0)</f>
        <v>0</v>
      </c>
      <c r="AZ819" s="80">
        <f>IF(AY819=1,COUNTIFS(R_Emp,D819,R_SAbs,"&lt;"&amp;AX819,R_EAbs,"&gt;"&amp;AW819,R_OKey,1)-1,0)</f>
        <v>0</v>
      </c>
      <c r="BA819" s="80">
        <f>IF(AY819=1,COUNTIFS(R_Emp,"&lt;&gt;"&amp;D819,R_SAbs,"&lt;"&amp;AX819,R_EAbs,"&gt;"&amp;AW819,R_OKey,1),0)</f>
        <v>0</v>
      </c>
      <c r="BB819" s="80">
        <f>IF(AND(AB819=1,D819="proMX"),IF(AND(MOD(Z819,CFG_BLK)=0,MOD(AA819,CFG_BLK)=0,MOD(AG819,CFG_BLK)=0,AG819&gt;0),1,0),1)</f>
        <v>1</v>
      </c>
      <c r="BC819" s="80" t="str">
        <f>IF(Y819=0,"",IF(NOT(ISNUMBER(B819)),"Falta fecha o fecha inválida",IF(D819="","Falta empresa",IF(AND(D819&lt;&gt;"Malcolm",D819&lt;&gt;"proMX"),"Empresa inválida",IF(OR(INT(B819)&lt;CFG_PSTART,INT(B819)&gt;CFG_PEND),"Fecha fuera del período",IF(OR(NOT(ISNUMBER(Z819)),NOT(ISNUMBER(AA819))),"Falta hora inicio/fin o formato inválido",IF(AB819=0,"Hora inicio = hora fin",IF(AE819&lt;0,"Descanso inválido",IF(AE819&gt;=AD819,"Descanso ≥ duración",IF(AV819=1,"Registro duplicado",IF(AZ819&gt;0,"Se superpone con otro registro "&amp;D819,IF(BB819=0,"inicio, fin y duración neta deben ser múltiplos de "&amp;CFG_BLK&amp;" min",""))))))))))))</f>
        <v/>
      </c>
      <c r="BD819" s="80">
        <f>IF(AND(Y819=1,BC819=""),1,0)</f>
        <v>0</v>
      </c>
      <c r="BE819" s="80">
        <f>IF(AND(BD819=1,AU819=1),1,0)</f>
        <v>0</v>
      </c>
      <c r="BF819" s="80" t="str">
        <f>IF(AND(D819="proMX",BD819=1),IF(R819="","Draft",R819),"")</f>
        <v/>
      </c>
      <c r="BG819" s="80">
        <f>IF(BD819=1,ROUND(AG819/60,6),0)</f>
        <v>0</v>
      </c>
      <c r="BH819" s="80">
        <f>IF(BE819=1,ROUND(AG819/60,6),0)</f>
        <v>0</v>
      </c>
      <c r="BI819" s="80">
        <f>IF(BE819=1,ROUND(AP819/60,6),0)</f>
        <v>0</v>
      </c>
      <c r="BJ819" s="80">
        <f>IF(BE819=1,ROUND(AQ819/60,6),0)</f>
        <v>0</v>
      </c>
      <c r="BK819" s="80">
        <f>IF(BE819=1,ROUND((AR819+AS819)/60,6),0)</f>
        <v>0</v>
      </c>
      <c r="BL819" s="80">
        <f>ROUND(BH819-BK819,6)</f>
        <v>0</v>
      </c>
      <c r="BM819" s="80">
        <f>IF(BE819=1,ROUND(AR819/60,6),0)</f>
        <v>0</v>
      </c>
      <c r="BN819" s="80">
        <f>ROUND(BI819-BM819,6)</f>
        <v>0</v>
      </c>
      <c r="BO819" s="80">
        <f>IF(BE819=1,ROUND(AS819/60,6),0)</f>
        <v>0</v>
      </c>
      <c r="BP819" s="80">
        <f>ROUND(BJ819-BO819,6)</f>
        <v>0</v>
      </c>
      <c r="BQ819" s="80">
        <f>IF(BE819=1,AW819,0)</f>
        <v>0</v>
      </c>
      <c r="BR819" s="80">
        <f>IF(BE819=1,AX819,0)</f>
        <v>0</v>
      </c>
      <c r="BS819" s="80">
        <f>IF(AND(BE819=1,D819="Malcolm",BA819&gt;0),MIN(BH819,SUMPRODUCT((R_Emp="proMX")*(R_EN&gt;0)*((R_EN-(R_EN&gt;BR819)*(R_EN-BR819))&gt;(R_SN+(R_SN&lt;BQ819)*(BQ819-R_SN)))*((R_EN-(R_EN&gt;BR819)*(R_EN-BR819))-(R_SN+(R_SN&lt;BQ819)*(BQ819-R_SN))))/60),0)</f>
        <v>0</v>
      </c>
      <c r="BT819" s="80">
        <f>IF(AND(BE819=1,D819="proMX"),ROUND(BI819*CFG_RATE+BJ819*CFG_OTRATE,6),0)</f>
        <v>0</v>
      </c>
      <c r="BU819" s="80">
        <f>IF(AND(BD819=1,D819="proMX"),ROUND(AG819/CFG_BLK,6),0)</f>
        <v>0</v>
      </c>
      <c r="BV819" s="80" t="str">
        <f>IF(BF819="Approved",IF(ISNUMBER(T819),INT(T819),INT(B819)),"")</f>
        <v/>
      </c>
      <c r="BW819" s="80">
        <f>IF(ISNUMBER(B819),IF(DB_MON="Todos",1,IF(AND(INT(B819)&gt;=DB_MS,INT(B819)&lt;=DB_ME),1,0)),0)</f>
        <v>0</v>
      </c>
      <c r="BX819" s="80">
        <f>IF(DB_PROJ="Todos",1,IF(E819&amp;""=DB_PROJ&amp;"",1,0))</f>
        <v>1</v>
      </c>
      <c r="BY819" s="80">
        <f>BW819*BX819</f>
        <v>0</v>
      </c>
      <c r="BZ819" s="80" t="str">
        <f>IF(Y819=1,F819&amp;IF(AND(F819&amp;""&lt;&gt;"",E819&amp;""&lt;&gt;"")," · ","")&amp;E819,"")</f>
        <v/>
      </c>
      <c r="CA819" s="80" t="str">
        <f>IF(AND(BD819=1,E819&amp;""&lt;&gt;""),IF(COUNTIFS($E$5:E818,E819,$BD$5:BD818,1)=0,MAX($CA$5:CA818)+1,""),"")</f>
        <v/>
      </c>
      <c r="CB819" s="80" t="str">
        <f>IF(AND(BE819=1,D819="Malcolm",E819&amp;""&lt;&gt;""),IF(COUNTIFS($D$5:D818,"Malcolm",$E$5:E818,E819,$BE$5:BE818,1)=0,MAX($CB$5:CB818)+1,""),"")</f>
        <v/>
      </c>
      <c r="CC819" s="80" t="str">
        <f>IF(AND(BD819=1,D819="proMX",E819&amp;""&lt;&gt;""),IF(COUNTIFS($D$5:D818,"proMX",$E$5:E818,E819,$BD$5:BD818,1)=0,MAX($CC$5:CC818)+1,""),"")</f>
        <v/>
      </c>
      <c r="CD819" s="80" t="str">
        <f>IF(AND(BE819=1,D819="Malcolm",F819&amp;""&lt;&gt;""),IF(COUNTIFS($D$5:D818,"Malcolm",$F$5:F818,F819,$BE$5:BE818,1)=0,MAX($CD$5:CD818)+1,""),"")</f>
        <v/>
      </c>
      <c r="CE819" s="80" t="str">
        <f>IF(AND(BD819=1,D819="proMX",F819&amp;""&lt;&gt;""),IF(COUNTIFS($D$5:D818,"proMX",$F$5:F818,F819,$BD$5:BD818,1)=0,MAX($CE$5:CE818)+1,""),"")</f>
        <v/>
      </c>
      <c r="CF819" s="80" t="str">
        <f>IF(AND(D819="proMX",BD819=1),IF(OR(BF819="Draft",BF819="Submitted",BF819="Returned",BF819="Recall Requested"),MAX($CF$5:CF818)+1,""),"")</f>
        <v/>
      </c>
      <c r="CG819" s="80">
        <f>IF(BD819=0,0,IF(D819="Malcolm",1,MATCH(BF819,{"Draft","Submitted","Approved","Returned","Recall Requested","Cancelled"},0)+1))</f>
        <v>0</v>
      </c>
      <c r="CH819" s="80">
        <f>IF(AND(BF819="Submitted",ISNUMBER(V819)),IF(V819&gt;CFG_MAXD,1,0),0)</f>
        <v>0</v>
      </c>
    </row>
    <row r="820">
      <c r="A820" s="71" t="str">
        <f>IF(Y820=1,ROW()-5,"")</f>
        <v/>
      </c>
      <c r="B820" s="72" t="n"/>
      <c r="C820" s="71" t="str">
        <f>IF(ISNUMBER(B820),CHOOSE(WEEKDAY(B820,2),"Lun","Mar","Mié","Jue","Vie","Sáb","Dom"),"")</f>
        <v/>
      </c>
      <c r="D820" s="73" t="n"/>
      <c r="E820" s="74" t="n"/>
      <c r="F820" s="74" t="n"/>
      <c r="G820" s="74" t="n"/>
      <c r="H820" s="75" t="n"/>
      <c r="I820" s="75" t="n"/>
      <c r="J820" s="76" t="n"/>
      <c r="K820" s="77" t="str">
        <f>IF(AB820=1,ROUND(AG820/60,4),"")</f>
        <v/>
      </c>
      <c r="L820" s="77" t="str">
        <f>IF(BD820=1,ROUND(AP820/60,4),"")</f>
        <v/>
      </c>
      <c r="M820" s="77" t="str">
        <f>IF(BD820=1,ROUND(AQ820/60,4),"")</f>
        <v/>
      </c>
      <c r="N820" s="71" t="str">
        <f>IF(AND(D820="proMX",AB820=1),ROUND(AG820/CFG_BLK,2),"")</f>
        <v/>
      </c>
      <c r="O820" s="77" t="str">
        <f>IF(D820="proMX",IF(BD820=1,ROUND(AG820/60,4),0),"")</f>
        <v/>
      </c>
      <c r="P820" s="78" t="str">
        <f>IF(Y820=0,"",IF(BD820=1,"OK",IF(D820="proMX","Revisar bloques: ","Revisar: ")&amp;BC820))</f>
        <v/>
      </c>
      <c r="Q820" s="78" t="str">
        <f>IF(NOT(ISNUMBER(B820)),"",IF(COUNTIFS(FER_F,INT(B820))&gt;0,"Feriado"&amp;IF(AH820=1," (laborable)"," (no laborable)"),IF(AH820=1,"Laborable",IF(WEEKDAY(B820,2)&gt;5,"Fin de semana","No laborable"))))</f>
        <v/>
      </c>
      <c r="R820" s="73" t="n"/>
      <c r="S820" s="72" t="n"/>
      <c r="T820" s="72" t="n"/>
      <c r="U820" s="74" t="n"/>
      <c r="V820" s="79" t="str">
        <f>IF(AND(D820="proMX",OR(R820="Submitted",R820="Recall Requested"),ISNUMBER(S820)),CFG_TODAY-INT(S820),"")</f>
        <v/>
      </c>
      <c r="W820" s="78" t="str">
        <f>IF(BD820=0,"",IF(BA820&gt;0,"⚠ Se superpone con un registro de la otra empresa",IF(D820="Malcolm",IF(COUNTA(R820,S820,T820)&gt;0,"Estado/fechas proMX se ignoran en Malcolm",""),IF(BF820="Cancelled","Cancelado: excluido de totales",IF(R820="","Sin estado: se trata como Draft",IF(BF820="Submitted",IF(ISNUMBER(V820),IF(V820&gt;CFG_MAXD,"⚠ "&amp;V820&amp;" días en Submitted (máx. "&amp;CFG_MAXD&amp;")",""),"Falta fecha de envío"),IF(BF820="Returned","⚠ Devuelto: corregir y reenviar",IF(BF820="Recall Requested","Retirada solicitada: pendiente",IF(AND(BF820="Approved",NOT(ISNUMBER(T820))),"Falta fecha de aprobación",IF(AND(ISNUMBER(S820),ISNUMBER(T820),T820&lt;S820),"Aprobación anterior al envío","")))))))))</f>
        <v/>
      </c>
      <c r="Y820" s="80">
        <f>IF(COUNTA(B820,D820,E820,F820,G820,H820,I820,J820,R820,S820,T820)&gt;0,1,0)</f>
        <v>0</v>
      </c>
      <c r="Z820" s="80" t="str">
        <f>IF(AND(ISNUMBER(H820),H820&gt;=0,H820&lt;1),ROUND(H820*1440,0),"")</f>
        <v/>
      </c>
      <c r="AA820" s="80" t="str">
        <f>IF(AND(ISNUMBER(I820),I820&gt;=0,I820&lt;1),ROUND(I820*1440,0),"")</f>
        <v/>
      </c>
      <c r="AB820" s="80">
        <f>IF(AND(ISNUMBER(B820),D820&lt;&gt;"",ISNUMBER(Z820),ISNUMBER(AA820)),IF(Z820=AA820,0,1),0)</f>
        <v>0</v>
      </c>
      <c r="AC820" s="80">
        <f>IF(AB820=1,IF(AA820&lt;Z820,1,0),0)</f>
        <v>0</v>
      </c>
      <c r="AD820" s="80">
        <f>IF(AB820=1,IF(AC820=1,1440-Z820+AA820,AA820-Z820),0)</f>
        <v>0</v>
      </c>
      <c r="AE820" s="80">
        <f>IF(J820="",0,IF(ISNUMBER(J820),J820,-1))</f>
        <v>0</v>
      </c>
      <c r="AF820" s="80">
        <f>MIN(MAX(0,AE820),AD820)</f>
        <v>0</v>
      </c>
      <c r="AG820" s="80">
        <f>MAX(0,AD820-MAX(0,AE820))</f>
        <v>0</v>
      </c>
      <c r="AH820" s="80">
        <f>IF(ISNUMBER(B820),IF(AND(INDEX(CFG_WDAYS,WEEKDAY(INT(B820),2))="Sí",IF(D820="proMX",COUNTIFS(FER_F,INT(B820),FER_NLP,"Sí"),COUNTIFS(FER_F,INT(B820),FER_NLM,"Sí"))=0),1,0),0)</f>
        <v>0</v>
      </c>
      <c r="AI820" s="80">
        <f>IF(AC820=1,IF(AND(INDEX(CFG_WDAYS,WEEKDAY(INT(B820)+1,2))="Sí",IF(D820="proMX",COUNTIFS(FER_F,INT(B820)+1,FER_NLP,"Sí"),COUNTIFS(FER_F,INT(B820)+1,FER_NLM,"Sí"))=0),1,0),0)</f>
        <v>0</v>
      </c>
      <c r="AJ820" s="80">
        <f>IF(AC820=1,1440-Z820,AD820)</f>
        <v>0</v>
      </c>
      <c r="AK820" s="80">
        <f>IF(AND(AB820=1,AH820=1),MAX(0,MIN(IF(AC820=1,1440,AA820),CFG_WEM)-MAX(Z820,CFG_WSM)),0)</f>
        <v>0</v>
      </c>
      <c r="AL820" s="80">
        <f>IF(AND(AC820=1,AI820=1),MAX(0,MIN(AA820,CFG_WEM)-CFG_WSM),0)</f>
        <v>0</v>
      </c>
      <c r="AM820" s="80">
        <f>AK820+AL820</f>
        <v>0</v>
      </c>
      <c r="AN820" s="80">
        <f>IF(CFG_BRK="Proporcional",IF(AD820=0,0,AF820*AM820/AD820),IF(CFG_BRK="Extras primero",MIN(AM820,MAX(0,AF820-(AD820-AM820))),MIN(AF820,AM820)))</f>
        <v>0</v>
      </c>
      <c r="AO820" s="80">
        <f>AF820-AN820</f>
        <v>0</v>
      </c>
      <c r="AP820" s="80">
        <f>AM820-AN820</f>
        <v>0</v>
      </c>
      <c r="AQ820" s="80">
        <f>AD820-AM820-AO820</f>
        <v>0</v>
      </c>
      <c r="AR820" s="80">
        <f>IF(AM820=0,0,AK820-AN820*AK820/AM820)</f>
        <v>0</v>
      </c>
      <c r="AS820" s="80">
        <f>IF(AD820-AM820=0,0,(AJ820-AK820)-AO820*(AJ820-AK820)/(AD820-AM820))</f>
        <v>0</v>
      </c>
      <c r="AT820" s="80" t="str">
        <f>IF(AC820=1,INT(B820)+1,"")</f>
        <v/>
      </c>
      <c r="AU820" s="80">
        <f>IF(AND(D820="proMX",R820="Cancelled"),0,1)</f>
        <v>1</v>
      </c>
      <c r="AV820" s="80">
        <f>IF(AND(AB820=1,AU820=1),IF(COUNTIFS($D$5:D819,D820,$B$5:B819,B820,$Z$5:Z819,Z820,$AA$5:AA819,AA820,$F$5:F819,F820&amp;"",$AU$5:AU819,1)&gt;0,1,0),0)</f>
        <v>0</v>
      </c>
      <c r="AW820" s="80" t="str">
        <f>IF(AB820=1,INT(B820)*1440+Z820,"")</f>
        <v/>
      </c>
      <c r="AX820" s="80" t="str">
        <f>IF(AB820=1,AW820+AD820,"")</f>
        <v/>
      </c>
      <c r="AY820" s="80">
        <f>IF(AND(AB820=1,AV820=0,AU820=1),1,0)</f>
        <v>0</v>
      </c>
      <c r="AZ820" s="80">
        <f>IF(AY820=1,COUNTIFS(R_Emp,D820,R_SAbs,"&lt;"&amp;AX820,R_EAbs,"&gt;"&amp;AW820,R_OKey,1)-1,0)</f>
        <v>0</v>
      </c>
      <c r="BA820" s="80">
        <f>IF(AY820=1,COUNTIFS(R_Emp,"&lt;&gt;"&amp;D820,R_SAbs,"&lt;"&amp;AX820,R_EAbs,"&gt;"&amp;AW820,R_OKey,1),0)</f>
        <v>0</v>
      </c>
      <c r="BB820" s="80">
        <f>IF(AND(AB820=1,D820="proMX"),IF(AND(MOD(Z820,CFG_BLK)=0,MOD(AA820,CFG_BLK)=0,MOD(AG820,CFG_BLK)=0,AG820&gt;0),1,0),1)</f>
        <v>1</v>
      </c>
      <c r="BC820" s="80" t="str">
        <f>IF(Y820=0,"",IF(NOT(ISNUMBER(B820)),"Falta fecha o fecha inválida",IF(D820="","Falta empresa",IF(AND(D820&lt;&gt;"Malcolm",D820&lt;&gt;"proMX"),"Empresa inválida",IF(OR(INT(B820)&lt;CFG_PSTART,INT(B820)&gt;CFG_PEND),"Fecha fuera del período",IF(OR(NOT(ISNUMBER(Z820)),NOT(ISNUMBER(AA820))),"Falta hora inicio/fin o formato inválido",IF(AB820=0,"Hora inicio = hora fin",IF(AE820&lt;0,"Descanso inválido",IF(AE820&gt;=AD820,"Descanso ≥ duración",IF(AV820=1,"Registro duplicado",IF(AZ820&gt;0,"Se superpone con otro registro "&amp;D820,IF(BB820=0,"inicio, fin y duración neta deben ser múltiplos de "&amp;CFG_BLK&amp;" min",""))))))))))))</f>
        <v/>
      </c>
      <c r="BD820" s="80">
        <f>IF(AND(Y820=1,BC820=""),1,0)</f>
        <v>0</v>
      </c>
      <c r="BE820" s="80">
        <f>IF(AND(BD820=1,AU820=1),1,0)</f>
        <v>0</v>
      </c>
      <c r="BF820" s="80" t="str">
        <f>IF(AND(D820="proMX",BD820=1),IF(R820="","Draft",R820),"")</f>
        <v/>
      </c>
      <c r="BG820" s="80">
        <f>IF(BD820=1,ROUND(AG820/60,6),0)</f>
        <v>0</v>
      </c>
      <c r="BH820" s="80">
        <f>IF(BE820=1,ROUND(AG820/60,6),0)</f>
        <v>0</v>
      </c>
      <c r="BI820" s="80">
        <f>IF(BE820=1,ROUND(AP820/60,6),0)</f>
        <v>0</v>
      </c>
      <c r="BJ820" s="80">
        <f>IF(BE820=1,ROUND(AQ820/60,6),0)</f>
        <v>0</v>
      </c>
      <c r="BK820" s="80">
        <f>IF(BE820=1,ROUND((AR820+AS820)/60,6),0)</f>
        <v>0</v>
      </c>
      <c r="BL820" s="80">
        <f>ROUND(BH820-BK820,6)</f>
        <v>0</v>
      </c>
      <c r="BM820" s="80">
        <f>IF(BE820=1,ROUND(AR820/60,6),0)</f>
        <v>0</v>
      </c>
      <c r="BN820" s="80">
        <f>ROUND(BI820-BM820,6)</f>
        <v>0</v>
      </c>
      <c r="BO820" s="80">
        <f>IF(BE820=1,ROUND(AS820/60,6),0)</f>
        <v>0</v>
      </c>
      <c r="BP820" s="80">
        <f>ROUND(BJ820-BO820,6)</f>
        <v>0</v>
      </c>
      <c r="BQ820" s="80">
        <f>IF(BE820=1,AW820,0)</f>
        <v>0</v>
      </c>
      <c r="BR820" s="80">
        <f>IF(BE820=1,AX820,0)</f>
        <v>0</v>
      </c>
      <c r="BS820" s="80">
        <f>IF(AND(BE820=1,D820="Malcolm",BA820&gt;0),MIN(BH820,SUMPRODUCT((R_Emp="proMX")*(R_EN&gt;0)*((R_EN-(R_EN&gt;BR820)*(R_EN-BR820))&gt;(R_SN+(R_SN&lt;BQ820)*(BQ820-R_SN)))*((R_EN-(R_EN&gt;BR820)*(R_EN-BR820))-(R_SN+(R_SN&lt;BQ820)*(BQ820-R_SN))))/60),0)</f>
        <v>0</v>
      </c>
      <c r="BT820" s="80">
        <f>IF(AND(BE820=1,D820="proMX"),ROUND(BI820*CFG_RATE+BJ820*CFG_OTRATE,6),0)</f>
        <v>0</v>
      </c>
      <c r="BU820" s="80">
        <f>IF(AND(BD820=1,D820="proMX"),ROUND(AG820/CFG_BLK,6),0)</f>
        <v>0</v>
      </c>
      <c r="BV820" s="80" t="str">
        <f>IF(BF820="Approved",IF(ISNUMBER(T820),INT(T820),INT(B820)),"")</f>
        <v/>
      </c>
      <c r="BW820" s="80">
        <f>IF(ISNUMBER(B820),IF(DB_MON="Todos",1,IF(AND(INT(B820)&gt;=DB_MS,INT(B820)&lt;=DB_ME),1,0)),0)</f>
        <v>0</v>
      </c>
      <c r="BX820" s="80">
        <f>IF(DB_PROJ="Todos",1,IF(E820&amp;""=DB_PROJ&amp;"",1,0))</f>
        <v>1</v>
      </c>
      <c r="BY820" s="80">
        <f>BW820*BX820</f>
        <v>0</v>
      </c>
      <c r="BZ820" s="80" t="str">
        <f>IF(Y820=1,F820&amp;IF(AND(F820&amp;""&lt;&gt;"",E820&amp;""&lt;&gt;"")," · ","")&amp;E820,"")</f>
        <v/>
      </c>
      <c r="CA820" s="80" t="str">
        <f>IF(AND(BD820=1,E820&amp;""&lt;&gt;""),IF(COUNTIFS($E$5:E819,E820,$BD$5:BD819,1)=0,MAX($CA$5:CA819)+1,""),"")</f>
        <v/>
      </c>
      <c r="CB820" s="80" t="str">
        <f>IF(AND(BE820=1,D820="Malcolm",E820&amp;""&lt;&gt;""),IF(COUNTIFS($D$5:D819,"Malcolm",$E$5:E819,E820,$BE$5:BE819,1)=0,MAX($CB$5:CB819)+1,""),"")</f>
        <v/>
      </c>
      <c r="CC820" s="80" t="str">
        <f>IF(AND(BD820=1,D820="proMX",E820&amp;""&lt;&gt;""),IF(COUNTIFS($D$5:D819,"proMX",$E$5:E819,E820,$BD$5:BD819,1)=0,MAX($CC$5:CC819)+1,""),"")</f>
        <v/>
      </c>
      <c r="CD820" s="80" t="str">
        <f>IF(AND(BE820=1,D820="Malcolm",F820&amp;""&lt;&gt;""),IF(COUNTIFS($D$5:D819,"Malcolm",$F$5:F819,F820,$BE$5:BE819,1)=0,MAX($CD$5:CD819)+1,""),"")</f>
        <v/>
      </c>
      <c r="CE820" s="80" t="str">
        <f>IF(AND(BD820=1,D820="proMX",F820&amp;""&lt;&gt;""),IF(COUNTIFS($D$5:D819,"proMX",$F$5:F819,F820,$BD$5:BD819,1)=0,MAX($CE$5:CE819)+1,""),"")</f>
        <v/>
      </c>
      <c r="CF820" s="80" t="str">
        <f>IF(AND(D820="proMX",BD820=1),IF(OR(BF820="Draft",BF820="Submitted",BF820="Returned",BF820="Recall Requested"),MAX($CF$5:CF819)+1,""),"")</f>
        <v/>
      </c>
      <c r="CG820" s="80">
        <f>IF(BD820=0,0,IF(D820="Malcolm",1,MATCH(BF820,{"Draft","Submitted","Approved","Returned","Recall Requested","Cancelled"},0)+1))</f>
        <v>0</v>
      </c>
      <c r="CH820" s="80">
        <f>IF(AND(BF820="Submitted",ISNUMBER(V820)),IF(V820&gt;CFG_MAXD,1,0),0)</f>
        <v>0</v>
      </c>
    </row>
    <row r="821">
      <c r="A821" s="71" t="str">
        <f>IF(Y821=1,ROW()-5,"")</f>
        <v/>
      </c>
      <c r="B821" s="72" t="n"/>
      <c r="C821" s="71" t="str">
        <f>IF(ISNUMBER(B821),CHOOSE(WEEKDAY(B821,2),"Lun","Mar","Mié","Jue","Vie","Sáb","Dom"),"")</f>
        <v/>
      </c>
      <c r="D821" s="73" t="n"/>
      <c r="E821" s="74" t="n"/>
      <c r="F821" s="74" t="n"/>
      <c r="G821" s="74" t="n"/>
      <c r="H821" s="75" t="n"/>
      <c r="I821" s="75" t="n"/>
      <c r="J821" s="76" t="n"/>
      <c r="K821" s="77" t="str">
        <f>IF(AB821=1,ROUND(AG821/60,4),"")</f>
        <v/>
      </c>
      <c r="L821" s="77" t="str">
        <f>IF(BD821=1,ROUND(AP821/60,4),"")</f>
        <v/>
      </c>
      <c r="M821" s="77" t="str">
        <f>IF(BD821=1,ROUND(AQ821/60,4),"")</f>
        <v/>
      </c>
      <c r="N821" s="71" t="str">
        <f>IF(AND(D821="proMX",AB821=1),ROUND(AG821/CFG_BLK,2),"")</f>
        <v/>
      </c>
      <c r="O821" s="77" t="str">
        <f>IF(D821="proMX",IF(BD821=1,ROUND(AG821/60,4),0),"")</f>
        <v/>
      </c>
      <c r="P821" s="78" t="str">
        <f>IF(Y821=0,"",IF(BD821=1,"OK",IF(D821="proMX","Revisar bloques: ","Revisar: ")&amp;BC821))</f>
        <v/>
      </c>
      <c r="Q821" s="78" t="str">
        <f>IF(NOT(ISNUMBER(B821)),"",IF(COUNTIFS(FER_F,INT(B821))&gt;0,"Feriado"&amp;IF(AH821=1," (laborable)"," (no laborable)"),IF(AH821=1,"Laborable",IF(WEEKDAY(B821,2)&gt;5,"Fin de semana","No laborable"))))</f>
        <v/>
      </c>
      <c r="R821" s="73" t="n"/>
      <c r="S821" s="72" t="n"/>
      <c r="T821" s="72" t="n"/>
      <c r="U821" s="74" t="n"/>
      <c r="V821" s="79" t="str">
        <f>IF(AND(D821="proMX",OR(R821="Submitted",R821="Recall Requested"),ISNUMBER(S821)),CFG_TODAY-INT(S821),"")</f>
        <v/>
      </c>
      <c r="W821" s="78" t="str">
        <f>IF(BD821=0,"",IF(BA821&gt;0,"⚠ Se superpone con un registro de la otra empresa",IF(D821="Malcolm",IF(COUNTA(R821,S821,T821)&gt;0,"Estado/fechas proMX se ignoran en Malcolm",""),IF(BF821="Cancelled","Cancelado: excluido de totales",IF(R821="","Sin estado: se trata como Draft",IF(BF821="Submitted",IF(ISNUMBER(V821),IF(V821&gt;CFG_MAXD,"⚠ "&amp;V821&amp;" días en Submitted (máx. "&amp;CFG_MAXD&amp;")",""),"Falta fecha de envío"),IF(BF821="Returned","⚠ Devuelto: corregir y reenviar",IF(BF821="Recall Requested","Retirada solicitada: pendiente",IF(AND(BF821="Approved",NOT(ISNUMBER(T821))),"Falta fecha de aprobación",IF(AND(ISNUMBER(S821),ISNUMBER(T821),T821&lt;S821),"Aprobación anterior al envío","")))))))))</f>
        <v/>
      </c>
      <c r="Y821" s="80">
        <f>IF(COUNTA(B821,D821,E821,F821,G821,H821,I821,J821,R821,S821,T821)&gt;0,1,0)</f>
        <v>0</v>
      </c>
      <c r="Z821" s="80" t="str">
        <f>IF(AND(ISNUMBER(H821),H821&gt;=0,H821&lt;1),ROUND(H821*1440,0),"")</f>
        <v/>
      </c>
      <c r="AA821" s="80" t="str">
        <f>IF(AND(ISNUMBER(I821),I821&gt;=0,I821&lt;1),ROUND(I821*1440,0),"")</f>
        <v/>
      </c>
      <c r="AB821" s="80">
        <f>IF(AND(ISNUMBER(B821),D821&lt;&gt;"",ISNUMBER(Z821),ISNUMBER(AA821)),IF(Z821=AA821,0,1),0)</f>
        <v>0</v>
      </c>
      <c r="AC821" s="80">
        <f>IF(AB821=1,IF(AA821&lt;Z821,1,0),0)</f>
        <v>0</v>
      </c>
      <c r="AD821" s="80">
        <f>IF(AB821=1,IF(AC821=1,1440-Z821+AA821,AA821-Z821),0)</f>
        <v>0</v>
      </c>
      <c r="AE821" s="80">
        <f>IF(J821="",0,IF(ISNUMBER(J821),J821,-1))</f>
        <v>0</v>
      </c>
      <c r="AF821" s="80">
        <f>MIN(MAX(0,AE821),AD821)</f>
        <v>0</v>
      </c>
      <c r="AG821" s="80">
        <f>MAX(0,AD821-MAX(0,AE821))</f>
        <v>0</v>
      </c>
      <c r="AH821" s="80">
        <f>IF(ISNUMBER(B821),IF(AND(INDEX(CFG_WDAYS,WEEKDAY(INT(B821),2))="Sí",IF(D821="proMX",COUNTIFS(FER_F,INT(B821),FER_NLP,"Sí"),COUNTIFS(FER_F,INT(B821),FER_NLM,"Sí"))=0),1,0),0)</f>
        <v>0</v>
      </c>
      <c r="AI821" s="80">
        <f>IF(AC821=1,IF(AND(INDEX(CFG_WDAYS,WEEKDAY(INT(B821)+1,2))="Sí",IF(D821="proMX",COUNTIFS(FER_F,INT(B821)+1,FER_NLP,"Sí"),COUNTIFS(FER_F,INT(B821)+1,FER_NLM,"Sí"))=0),1,0),0)</f>
        <v>0</v>
      </c>
      <c r="AJ821" s="80">
        <f>IF(AC821=1,1440-Z821,AD821)</f>
        <v>0</v>
      </c>
      <c r="AK821" s="80">
        <f>IF(AND(AB821=1,AH821=1),MAX(0,MIN(IF(AC821=1,1440,AA821),CFG_WEM)-MAX(Z821,CFG_WSM)),0)</f>
        <v>0</v>
      </c>
      <c r="AL821" s="80">
        <f>IF(AND(AC821=1,AI821=1),MAX(0,MIN(AA821,CFG_WEM)-CFG_WSM),0)</f>
        <v>0</v>
      </c>
      <c r="AM821" s="80">
        <f>AK821+AL821</f>
        <v>0</v>
      </c>
      <c r="AN821" s="80">
        <f>IF(CFG_BRK="Proporcional",IF(AD821=0,0,AF821*AM821/AD821),IF(CFG_BRK="Extras primero",MIN(AM821,MAX(0,AF821-(AD821-AM821))),MIN(AF821,AM821)))</f>
        <v>0</v>
      </c>
      <c r="AO821" s="80">
        <f>AF821-AN821</f>
        <v>0</v>
      </c>
      <c r="AP821" s="80">
        <f>AM821-AN821</f>
        <v>0</v>
      </c>
      <c r="AQ821" s="80">
        <f>AD821-AM821-AO821</f>
        <v>0</v>
      </c>
      <c r="AR821" s="80">
        <f>IF(AM821=0,0,AK821-AN821*AK821/AM821)</f>
        <v>0</v>
      </c>
      <c r="AS821" s="80">
        <f>IF(AD821-AM821=0,0,(AJ821-AK821)-AO821*(AJ821-AK821)/(AD821-AM821))</f>
        <v>0</v>
      </c>
      <c r="AT821" s="80" t="str">
        <f>IF(AC821=1,INT(B821)+1,"")</f>
        <v/>
      </c>
      <c r="AU821" s="80">
        <f>IF(AND(D821="proMX",R821="Cancelled"),0,1)</f>
        <v>1</v>
      </c>
      <c r="AV821" s="80">
        <f>IF(AND(AB821=1,AU821=1),IF(COUNTIFS($D$5:D820,D821,$B$5:B820,B821,$Z$5:Z820,Z821,$AA$5:AA820,AA821,$F$5:F820,F821&amp;"",$AU$5:AU820,1)&gt;0,1,0),0)</f>
        <v>0</v>
      </c>
      <c r="AW821" s="80" t="str">
        <f>IF(AB821=1,INT(B821)*1440+Z821,"")</f>
        <v/>
      </c>
      <c r="AX821" s="80" t="str">
        <f>IF(AB821=1,AW821+AD821,"")</f>
        <v/>
      </c>
      <c r="AY821" s="80">
        <f>IF(AND(AB821=1,AV821=0,AU821=1),1,0)</f>
        <v>0</v>
      </c>
      <c r="AZ821" s="80">
        <f>IF(AY821=1,COUNTIFS(R_Emp,D821,R_SAbs,"&lt;"&amp;AX821,R_EAbs,"&gt;"&amp;AW821,R_OKey,1)-1,0)</f>
        <v>0</v>
      </c>
      <c r="BA821" s="80">
        <f>IF(AY821=1,COUNTIFS(R_Emp,"&lt;&gt;"&amp;D821,R_SAbs,"&lt;"&amp;AX821,R_EAbs,"&gt;"&amp;AW821,R_OKey,1),0)</f>
        <v>0</v>
      </c>
      <c r="BB821" s="80">
        <f>IF(AND(AB821=1,D821="proMX"),IF(AND(MOD(Z821,CFG_BLK)=0,MOD(AA821,CFG_BLK)=0,MOD(AG821,CFG_BLK)=0,AG821&gt;0),1,0),1)</f>
        <v>1</v>
      </c>
      <c r="BC821" s="80" t="str">
        <f>IF(Y821=0,"",IF(NOT(ISNUMBER(B821)),"Falta fecha o fecha inválida",IF(D821="","Falta empresa",IF(AND(D821&lt;&gt;"Malcolm",D821&lt;&gt;"proMX"),"Empresa inválida",IF(OR(INT(B821)&lt;CFG_PSTART,INT(B821)&gt;CFG_PEND),"Fecha fuera del período",IF(OR(NOT(ISNUMBER(Z821)),NOT(ISNUMBER(AA821))),"Falta hora inicio/fin o formato inválido",IF(AB821=0,"Hora inicio = hora fin",IF(AE821&lt;0,"Descanso inválido",IF(AE821&gt;=AD821,"Descanso ≥ duración",IF(AV821=1,"Registro duplicado",IF(AZ821&gt;0,"Se superpone con otro registro "&amp;D821,IF(BB821=0,"inicio, fin y duración neta deben ser múltiplos de "&amp;CFG_BLK&amp;" min",""))))))))))))</f>
        <v/>
      </c>
      <c r="BD821" s="80">
        <f>IF(AND(Y821=1,BC821=""),1,0)</f>
        <v>0</v>
      </c>
      <c r="BE821" s="80">
        <f>IF(AND(BD821=1,AU821=1),1,0)</f>
        <v>0</v>
      </c>
      <c r="BF821" s="80" t="str">
        <f>IF(AND(D821="proMX",BD821=1),IF(R821="","Draft",R821),"")</f>
        <v/>
      </c>
      <c r="BG821" s="80">
        <f>IF(BD821=1,ROUND(AG821/60,6),0)</f>
        <v>0</v>
      </c>
      <c r="BH821" s="80">
        <f>IF(BE821=1,ROUND(AG821/60,6),0)</f>
        <v>0</v>
      </c>
      <c r="BI821" s="80">
        <f>IF(BE821=1,ROUND(AP821/60,6),0)</f>
        <v>0</v>
      </c>
      <c r="BJ821" s="80">
        <f>IF(BE821=1,ROUND(AQ821/60,6),0)</f>
        <v>0</v>
      </c>
      <c r="BK821" s="80">
        <f>IF(BE821=1,ROUND((AR821+AS821)/60,6),0)</f>
        <v>0</v>
      </c>
      <c r="BL821" s="80">
        <f>ROUND(BH821-BK821,6)</f>
        <v>0</v>
      </c>
      <c r="BM821" s="80">
        <f>IF(BE821=1,ROUND(AR821/60,6),0)</f>
        <v>0</v>
      </c>
      <c r="BN821" s="80">
        <f>ROUND(BI821-BM821,6)</f>
        <v>0</v>
      </c>
      <c r="BO821" s="80">
        <f>IF(BE821=1,ROUND(AS821/60,6),0)</f>
        <v>0</v>
      </c>
      <c r="BP821" s="80">
        <f>ROUND(BJ821-BO821,6)</f>
        <v>0</v>
      </c>
      <c r="BQ821" s="80">
        <f>IF(BE821=1,AW821,0)</f>
        <v>0</v>
      </c>
      <c r="BR821" s="80">
        <f>IF(BE821=1,AX821,0)</f>
        <v>0</v>
      </c>
      <c r="BS821" s="80">
        <f>IF(AND(BE821=1,D821="Malcolm",BA821&gt;0),MIN(BH821,SUMPRODUCT((R_Emp="proMX")*(R_EN&gt;0)*((R_EN-(R_EN&gt;BR821)*(R_EN-BR821))&gt;(R_SN+(R_SN&lt;BQ821)*(BQ821-R_SN)))*((R_EN-(R_EN&gt;BR821)*(R_EN-BR821))-(R_SN+(R_SN&lt;BQ821)*(BQ821-R_SN))))/60),0)</f>
        <v>0</v>
      </c>
      <c r="BT821" s="80">
        <f>IF(AND(BE821=1,D821="proMX"),ROUND(BI821*CFG_RATE+BJ821*CFG_OTRATE,6),0)</f>
        <v>0</v>
      </c>
      <c r="BU821" s="80">
        <f>IF(AND(BD821=1,D821="proMX"),ROUND(AG821/CFG_BLK,6),0)</f>
        <v>0</v>
      </c>
      <c r="BV821" s="80" t="str">
        <f>IF(BF821="Approved",IF(ISNUMBER(T821),INT(T821),INT(B821)),"")</f>
        <v/>
      </c>
      <c r="BW821" s="80">
        <f>IF(ISNUMBER(B821),IF(DB_MON="Todos",1,IF(AND(INT(B821)&gt;=DB_MS,INT(B821)&lt;=DB_ME),1,0)),0)</f>
        <v>0</v>
      </c>
      <c r="BX821" s="80">
        <f>IF(DB_PROJ="Todos",1,IF(E821&amp;""=DB_PROJ&amp;"",1,0))</f>
        <v>1</v>
      </c>
      <c r="BY821" s="80">
        <f>BW821*BX821</f>
        <v>0</v>
      </c>
      <c r="BZ821" s="80" t="str">
        <f>IF(Y821=1,F821&amp;IF(AND(F821&amp;""&lt;&gt;"",E821&amp;""&lt;&gt;"")," · ","")&amp;E821,"")</f>
        <v/>
      </c>
      <c r="CA821" s="80" t="str">
        <f>IF(AND(BD821=1,E821&amp;""&lt;&gt;""),IF(COUNTIFS($E$5:E820,E821,$BD$5:BD820,1)=0,MAX($CA$5:CA820)+1,""),"")</f>
        <v/>
      </c>
      <c r="CB821" s="80" t="str">
        <f>IF(AND(BE821=1,D821="Malcolm",E821&amp;""&lt;&gt;""),IF(COUNTIFS($D$5:D820,"Malcolm",$E$5:E820,E821,$BE$5:BE820,1)=0,MAX($CB$5:CB820)+1,""),"")</f>
        <v/>
      </c>
      <c r="CC821" s="80" t="str">
        <f>IF(AND(BD821=1,D821="proMX",E821&amp;""&lt;&gt;""),IF(COUNTIFS($D$5:D820,"proMX",$E$5:E820,E821,$BD$5:BD820,1)=0,MAX($CC$5:CC820)+1,""),"")</f>
        <v/>
      </c>
      <c r="CD821" s="80" t="str">
        <f>IF(AND(BE821=1,D821="Malcolm",F821&amp;""&lt;&gt;""),IF(COUNTIFS($D$5:D820,"Malcolm",$F$5:F820,F821,$BE$5:BE820,1)=0,MAX($CD$5:CD820)+1,""),"")</f>
        <v/>
      </c>
      <c r="CE821" s="80" t="str">
        <f>IF(AND(BD821=1,D821="proMX",F821&amp;""&lt;&gt;""),IF(COUNTIFS($D$5:D820,"proMX",$F$5:F820,F821,$BD$5:BD820,1)=0,MAX($CE$5:CE820)+1,""),"")</f>
        <v/>
      </c>
      <c r="CF821" s="80" t="str">
        <f>IF(AND(D821="proMX",BD821=1),IF(OR(BF821="Draft",BF821="Submitted",BF821="Returned",BF821="Recall Requested"),MAX($CF$5:CF820)+1,""),"")</f>
        <v/>
      </c>
      <c r="CG821" s="80">
        <f>IF(BD821=0,0,IF(D821="Malcolm",1,MATCH(BF821,{"Draft","Submitted","Approved","Returned","Recall Requested","Cancelled"},0)+1))</f>
        <v>0</v>
      </c>
      <c r="CH821" s="80">
        <f>IF(AND(BF821="Submitted",ISNUMBER(V821)),IF(V821&gt;CFG_MAXD,1,0),0)</f>
        <v>0</v>
      </c>
    </row>
    <row r="822">
      <c r="A822" s="71" t="str">
        <f>IF(Y822=1,ROW()-5,"")</f>
        <v/>
      </c>
      <c r="B822" s="72" t="n"/>
      <c r="C822" s="71" t="str">
        <f>IF(ISNUMBER(B822),CHOOSE(WEEKDAY(B822,2),"Lun","Mar","Mié","Jue","Vie","Sáb","Dom"),"")</f>
        <v/>
      </c>
      <c r="D822" s="73" t="n"/>
      <c r="E822" s="74" t="n"/>
      <c r="F822" s="74" t="n"/>
      <c r="G822" s="74" t="n"/>
      <c r="H822" s="75" t="n"/>
      <c r="I822" s="75" t="n"/>
      <c r="J822" s="76" t="n"/>
      <c r="K822" s="77" t="str">
        <f>IF(AB822=1,ROUND(AG822/60,4),"")</f>
        <v/>
      </c>
      <c r="L822" s="77" t="str">
        <f>IF(BD822=1,ROUND(AP822/60,4),"")</f>
        <v/>
      </c>
      <c r="M822" s="77" t="str">
        <f>IF(BD822=1,ROUND(AQ822/60,4),"")</f>
        <v/>
      </c>
      <c r="N822" s="71" t="str">
        <f>IF(AND(D822="proMX",AB822=1),ROUND(AG822/CFG_BLK,2),"")</f>
        <v/>
      </c>
      <c r="O822" s="77" t="str">
        <f>IF(D822="proMX",IF(BD822=1,ROUND(AG822/60,4),0),"")</f>
        <v/>
      </c>
      <c r="P822" s="78" t="str">
        <f>IF(Y822=0,"",IF(BD822=1,"OK",IF(D822="proMX","Revisar bloques: ","Revisar: ")&amp;BC822))</f>
        <v/>
      </c>
      <c r="Q822" s="78" t="str">
        <f>IF(NOT(ISNUMBER(B822)),"",IF(COUNTIFS(FER_F,INT(B822))&gt;0,"Feriado"&amp;IF(AH822=1," (laborable)"," (no laborable)"),IF(AH822=1,"Laborable",IF(WEEKDAY(B822,2)&gt;5,"Fin de semana","No laborable"))))</f>
        <v/>
      </c>
      <c r="R822" s="73" t="n"/>
      <c r="S822" s="72" t="n"/>
      <c r="T822" s="72" t="n"/>
      <c r="U822" s="74" t="n"/>
      <c r="V822" s="79" t="str">
        <f>IF(AND(D822="proMX",OR(R822="Submitted",R822="Recall Requested"),ISNUMBER(S822)),CFG_TODAY-INT(S822),"")</f>
        <v/>
      </c>
      <c r="W822" s="78" t="str">
        <f>IF(BD822=0,"",IF(BA822&gt;0,"⚠ Se superpone con un registro de la otra empresa",IF(D822="Malcolm",IF(COUNTA(R822,S822,T822)&gt;0,"Estado/fechas proMX se ignoran en Malcolm",""),IF(BF822="Cancelled","Cancelado: excluido de totales",IF(R822="","Sin estado: se trata como Draft",IF(BF822="Submitted",IF(ISNUMBER(V822),IF(V822&gt;CFG_MAXD,"⚠ "&amp;V822&amp;" días en Submitted (máx. "&amp;CFG_MAXD&amp;")",""),"Falta fecha de envío"),IF(BF822="Returned","⚠ Devuelto: corregir y reenviar",IF(BF822="Recall Requested","Retirada solicitada: pendiente",IF(AND(BF822="Approved",NOT(ISNUMBER(T822))),"Falta fecha de aprobación",IF(AND(ISNUMBER(S822),ISNUMBER(T822),T822&lt;S822),"Aprobación anterior al envío","")))))))))</f>
        <v/>
      </c>
      <c r="Y822" s="80">
        <f>IF(COUNTA(B822,D822,E822,F822,G822,H822,I822,J822,R822,S822,T822)&gt;0,1,0)</f>
        <v>0</v>
      </c>
      <c r="Z822" s="80" t="str">
        <f>IF(AND(ISNUMBER(H822),H822&gt;=0,H822&lt;1),ROUND(H822*1440,0),"")</f>
        <v/>
      </c>
      <c r="AA822" s="80" t="str">
        <f>IF(AND(ISNUMBER(I822),I822&gt;=0,I822&lt;1),ROUND(I822*1440,0),"")</f>
        <v/>
      </c>
      <c r="AB822" s="80">
        <f>IF(AND(ISNUMBER(B822),D822&lt;&gt;"",ISNUMBER(Z822),ISNUMBER(AA822)),IF(Z822=AA822,0,1),0)</f>
        <v>0</v>
      </c>
      <c r="AC822" s="80">
        <f>IF(AB822=1,IF(AA822&lt;Z822,1,0),0)</f>
        <v>0</v>
      </c>
      <c r="AD822" s="80">
        <f>IF(AB822=1,IF(AC822=1,1440-Z822+AA822,AA822-Z822),0)</f>
        <v>0</v>
      </c>
      <c r="AE822" s="80">
        <f>IF(J822="",0,IF(ISNUMBER(J822),J822,-1))</f>
        <v>0</v>
      </c>
      <c r="AF822" s="80">
        <f>MIN(MAX(0,AE822),AD822)</f>
        <v>0</v>
      </c>
      <c r="AG822" s="80">
        <f>MAX(0,AD822-MAX(0,AE822))</f>
        <v>0</v>
      </c>
      <c r="AH822" s="80">
        <f>IF(ISNUMBER(B822),IF(AND(INDEX(CFG_WDAYS,WEEKDAY(INT(B822),2))="Sí",IF(D822="proMX",COUNTIFS(FER_F,INT(B822),FER_NLP,"Sí"),COUNTIFS(FER_F,INT(B822),FER_NLM,"Sí"))=0),1,0),0)</f>
        <v>0</v>
      </c>
      <c r="AI822" s="80">
        <f>IF(AC822=1,IF(AND(INDEX(CFG_WDAYS,WEEKDAY(INT(B822)+1,2))="Sí",IF(D822="proMX",COUNTIFS(FER_F,INT(B822)+1,FER_NLP,"Sí"),COUNTIFS(FER_F,INT(B822)+1,FER_NLM,"Sí"))=0),1,0),0)</f>
        <v>0</v>
      </c>
      <c r="AJ822" s="80">
        <f>IF(AC822=1,1440-Z822,AD822)</f>
        <v>0</v>
      </c>
      <c r="AK822" s="80">
        <f>IF(AND(AB822=1,AH822=1),MAX(0,MIN(IF(AC822=1,1440,AA822),CFG_WEM)-MAX(Z822,CFG_WSM)),0)</f>
        <v>0</v>
      </c>
      <c r="AL822" s="80">
        <f>IF(AND(AC822=1,AI822=1),MAX(0,MIN(AA822,CFG_WEM)-CFG_WSM),0)</f>
        <v>0</v>
      </c>
      <c r="AM822" s="80">
        <f>AK822+AL822</f>
        <v>0</v>
      </c>
      <c r="AN822" s="80">
        <f>IF(CFG_BRK="Proporcional",IF(AD822=0,0,AF822*AM822/AD822),IF(CFG_BRK="Extras primero",MIN(AM822,MAX(0,AF822-(AD822-AM822))),MIN(AF822,AM822)))</f>
        <v>0</v>
      </c>
      <c r="AO822" s="80">
        <f>AF822-AN822</f>
        <v>0</v>
      </c>
      <c r="AP822" s="80">
        <f>AM822-AN822</f>
        <v>0</v>
      </c>
      <c r="AQ822" s="80">
        <f>AD822-AM822-AO822</f>
        <v>0</v>
      </c>
      <c r="AR822" s="80">
        <f>IF(AM822=0,0,AK822-AN822*AK822/AM822)</f>
        <v>0</v>
      </c>
      <c r="AS822" s="80">
        <f>IF(AD822-AM822=0,0,(AJ822-AK822)-AO822*(AJ822-AK822)/(AD822-AM822))</f>
        <v>0</v>
      </c>
      <c r="AT822" s="80" t="str">
        <f>IF(AC822=1,INT(B822)+1,"")</f>
        <v/>
      </c>
      <c r="AU822" s="80">
        <f>IF(AND(D822="proMX",R822="Cancelled"),0,1)</f>
        <v>1</v>
      </c>
      <c r="AV822" s="80">
        <f>IF(AND(AB822=1,AU822=1),IF(COUNTIFS($D$5:D821,D822,$B$5:B821,B822,$Z$5:Z821,Z822,$AA$5:AA821,AA822,$F$5:F821,F822&amp;"",$AU$5:AU821,1)&gt;0,1,0),0)</f>
        <v>0</v>
      </c>
      <c r="AW822" s="80" t="str">
        <f>IF(AB822=1,INT(B822)*1440+Z822,"")</f>
        <v/>
      </c>
      <c r="AX822" s="80" t="str">
        <f>IF(AB822=1,AW822+AD822,"")</f>
        <v/>
      </c>
      <c r="AY822" s="80">
        <f>IF(AND(AB822=1,AV822=0,AU822=1),1,0)</f>
        <v>0</v>
      </c>
      <c r="AZ822" s="80">
        <f>IF(AY822=1,COUNTIFS(R_Emp,D822,R_SAbs,"&lt;"&amp;AX822,R_EAbs,"&gt;"&amp;AW822,R_OKey,1)-1,0)</f>
        <v>0</v>
      </c>
      <c r="BA822" s="80">
        <f>IF(AY822=1,COUNTIFS(R_Emp,"&lt;&gt;"&amp;D822,R_SAbs,"&lt;"&amp;AX822,R_EAbs,"&gt;"&amp;AW822,R_OKey,1),0)</f>
        <v>0</v>
      </c>
      <c r="BB822" s="80">
        <f>IF(AND(AB822=1,D822="proMX"),IF(AND(MOD(Z822,CFG_BLK)=0,MOD(AA822,CFG_BLK)=0,MOD(AG822,CFG_BLK)=0,AG822&gt;0),1,0),1)</f>
        <v>1</v>
      </c>
      <c r="BC822" s="80" t="str">
        <f>IF(Y822=0,"",IF(NOT(ISNUMBER(B822)),"Falta fecha o fecha inválida",IF(D822="","Falta empresa",IF(AND(D822&lt;&gt;"Malcolm",D822&lt;&gt;"proMX"),"Empresa inválida",IF(OR(INT(B822)&lt;CFG_PSTART,INT(B822)&gt;CFG_PEND),"Fecha fuera del período",IF(OR(NOT(ISNUMBER(Z822)),NOT(ISNUMBER(AA822))),"Falta hora inicio/fin o formato inválido",IF(AB822=0,"Hora inicio = hora fin",IF(AE822&lt;0,"Descanso inválido",IF(AE822&gt;=AD822,"Descanso ≥ duración",IF(AV822=1,"Registro duplicado",IF(AZ822&gt;0,"Se superpone con otro registro "&amp;D822,IF(BB822=0,"inicio, fin y duración neta deben ser múltiplos de "&amp;CFG_BLK&amp;" min",""))))))))))))</f>
        <v/>
      </c>
      <c r="BD822" s="80">
        <f>IF(AND(Y822=1,BC822=""),1,0)</f>
        <v>0</v>
      </c>
      <c r="BE822" s="80">
        <f>IF(AND(BD822=1,AU822=1),1,0)</f>
        <v>0</v>
      </c>
      <c r="BF822" s="80" t="str">
        <f>IF(AND(D822="proMX",BD822=1),IF(R822="","Draft",R822),"")</f>
        <v/>
      </c>
      <c r="BG822" s="80">
        <f>IF(BD822=1,ROUND(AG822/60,6),0)</f>
        <v>0</v>
      </c>
      <c r="BH822" s="80">
        <f>IF(BE822=1,ROUND(AG822/60,6),0)</f>
        <v>0</v>
      </c>
      <c r="BI822" s="80">
        <f>IF(BE822=1,ROUND(AP822/60,6),0)</f>
        <v>0</v>
      </c>
      <c r="BJ822" s="80">
        <f>IF(BE822=1,ROUND(AQ822/60,6),0)</f>
        <v>0</v>
      </c>
      <c r="BK822" s="80">
        <f>IF(BE822=1,ROUND((AR822+AS822)/60,6),0)</f>
        <v>0</v>
      </c>
      <c r="BL822" s="80">
        <f>ROUND(BH822-BK822,6)</f>
        <v>0</v>
      </c>
      <c r="BM822" s="80">
        <f>IF(BE822=1,ROUND(AR822/60,6),0)</f>
        <v>0</v>
      </c>
      <c r="BN822" s="80">
        <f>ROUND(BI822-BM822,6)</f>
        <v>0</v>
      </c>
      <c r="BO822" s="80">
        <f>IF(BE822=1,ROUND(AS822/60,6),0)</f>
        <v>0</v>
      </c>
      <c r="BP822" s="80">
        <f>ROUND(BJ822-BO822,6)</f>
        <v>0</v>
      </c>
      <c r="BQ822" s="80">
        <f>IF(BE822=1,AW822,0)</f>
        <v>0</v>
      </c>
      <c r="BR822" s="80">
        <f>IF(BE822=1,AX822,0)</f>
        <v>0</v>
      </c>
      <c r="BS822" s="80">
        <f>IF(AND(BE822=1,D822="Malcolm",BA822&gt;0),MIN(BH822,SUMPRODUCT((R_Emp="proMX")*(R_EN&gt;0)*((R_EN-(R_EN&gt;BR822)*(R_EN-BR822))&gt;(R_SN+(R_SN&lt;BQ822)*(BQ822-R_SN)))*((R_EN-(R_EN&gt;BR822)*(R_EN-BR822))-(R_SN+(R_SN&lt;BQ822)*(BQ822-R_SN))))/60),0)</f>
        <v>0</v>
      </c>
      <c r="BT822" s="80">
        <f>IF(AND(BE822=1,D822="proMX"),ROUND(BI822*CFG_RATE+BJ822*CFG_OTRATE,6),0)</f>
        <v>0</v>
      </c>
      <c r="BU822" s="80">
        <f>IF(AND(BD822=1,D822="proMX"),ROUND(AG822/CFG_BLK,6),0)</f>
        <v>0</v>
      </c>
      <c r="BV822" s="80" t="str">
        <f>IF(BF822="Approved",IF(ISNUMBER(T822),INT(T822),INT(B822)),"")</f>
        <v/>
      </c>
      <c r="BW822" s="80">
        <f>IF(ISNUMBER(B822),IF(DB_MON="Todos",1,IF(AND(INT(B822)&gt;=DB_MS,INT(B822)&lt;=DB_ME),1,0)),0)</f>
        <v>0</v>
      </c>
      <c r="BX822" s="80">
        <f>IF(DB_PROJ="Todos",1,IF(E822&amp;""=DB_PROJ&amp;"",1,0))</f>
        <v>1</v>
      </c>
      <c r="BY822" s="80">
        <f>BW822*BX822</f>
        <v>0</v>
      </c>
      <c r="BZ822" s="80" t="str">
        <f>IF(Y822=1,F822&amp;IF(AND(F822&amp;""&lt;&gt;"",E822&amp;""&lt;&gt;"")," · ","")&amp;E822,"")</f>
        <v/>
      </c>
      <c r="CA822" s="80" t="str">
        <f>IF(AND(BD822=1,E822&amp;""&lt;&gt;""),IF(COUNTIFS($E$5:E821,E822,$BD$5:BD821,1)=0,MAX($CA$5:CA821)+1,""),"")</f>
        <v/>
      </c>
      <c r="CB822" s="80" t="str">
        <f>IF(AND(BE822=1,D822="Malcolm",E822&amp;""&lt;&gt;""),IF(COUNTIFS($D$5:D821,"Malcolm",$E$5:E821,E822,$BE$5:BE821,1)=0,MAX($CB$5:CB821)+1,""),"")</f>
        <v/>
      </c>
      <c r="CC822" s="80" t="str">
        <f>IF(AND(BD822=1,D822="proMX",E822&amp;""&lt;&gt;""),IF(COUNTIFS($D$5:D821,"proMX",$E$5:E821,E822,$BD$5:BD821,1)=0,MAX($CC$5:CC821)+1,""),"")</f>
        <v/>
      </c>
      <c r="CD822" s="80" t="str">
        <f>IF(AND(BE822=1,D822="Malcolm",F822&amp;""&lt;&gt;""),IF(COUNTIFS($D$5:D821,"Malcolm",$F$5:F821,F822,$BE$5:BE821,1)=0,MAX($CD$5:CD821)+1,""),"")</f>
        <v/>
      </c>
      <c r="CE822" s="80" t="str">
        <f>IF(AND(BD822=1,D822="proMX",F822&amp;""&lt;&gt;""),IF(COUNTIFS($D$5:D821,"proMX",$F$5:F821,F822,$BD$5:BD821,1)=0,MAX($CE$5:CE821)+1,""),"")</f>
        <v/>
      </c>
      <c r="CF822" s="80" t="str">
        <f>IF(AND(D822="proMX",BD822=1),IF(OR(BF822="Draft",BF822="Submitted",BF822="Returned",BF822="Recall Requested"),MAX($CF$5:CF821)+1,""),"")</f>
        <v/>
      </c>
      <c r="CG822" s="80">
        <f>IF(BD822=0,0,IF(D822="Malcolm",1,MATCH(BF822,{"Draft","Submitted","Approved","Returned","Recall Requested","Cancelled"},0)+1))</f>
        <v>0</v>
      </c>
      <c r="CH822" s="80">
        <f>IF(AND(BF822="Submitted",ISNUMBER(V822)),IF(V822&gt;CFG_MAXD,1,0),0)</f>
        <v>0</v>
      </c>
    </row>
    <row r="823">
      <c r="A823" s="71" t="str">
        <f>IF(Y823=1,ROW()-5,"")</f>
        <v/>
      </c>
      <c r="B823" s="72" t="n"/>
      <c r="C823" s="71" t="str">
        <f>IF(ISNUMBER(B823),CHOOSE(WEEKDAY(B823,2),"Lun","Mar","Mié","Jue","Vie","Sáb","Dom"),"")</f>
        <v/>
      </c>
      <c r="D823" s="73" t="n"/>
      <c r="E823" s="74" t="n"/>
      <c r="F823" s="74" t="n"/>
      <c r="G823" s="74" t="n"/>
      <c r="H823" s="75" t="n"/>
      <c r="I823" s="75" t="n"/>
      <c r="J823" s="76" t="n"/>
      <c r="K823" s="77" t="str">
        <f>IF(AB823=1,ROUND(AG823/60,4),"")</f>
        <v/>
      </c>
      <c r="L823" s="77" t="str">
        <f>IF(BD823=1,ROUND(AP823/60,4),"")</f>
        <v/>
      </c>
      <c r="M823" s="77" t="str">
        <f>IF(BD823=1,ROUND(AQ823/60,4),"")</f>
        <v/>
      </c>
      <c r="N823" s="71" t="str">
        <f>IF(AND(D823="proMX",AB823=1),ROUND(AG823/CFG_BLK,2),"")</f>
        <v/>
      </c>
      <c r="O823" s="77" t="str">
        <f>IF(D823="proMX",IF(BD823=1,ROUND(AG823/60,4),0),"")</f>
        <v/>
      </c>
      <c r="P823" s="78" t="str">
        <f>IF(Y823=0,"",IF(BD823=1,"OK",IF(D823="proMX","Revisar bloques: ","Revisar: ")&amp;BC823))</f>
        <v/>
      </c>
      <c r="Q823" s="78" t="str">
        <f>IF(NOT(ISNUMBER(B823)),"",IF(COUNTIFS(FER_F,INT(B823))&gt;0,"Feriado"&amp;IF(AH823=1," (laborable)"," (no laborable)"),IF(AH823=1,"Laborable",IF(WEEKDAY(B823,2)&gt;5,"Fin de semana","No laborable"))))</f>
        <v/>
      </c>
      <c r="R823" s="73" t="n"/>
      <c r="S823" s="72" t="n"/>
      <c r="T823" s="72" t="n"/>
      <c r="U823" s="74" t="n"/>
      <c r="V823" s="79" t="str">
        <f>IF(AND(D823="proMX",OR(R823="Submitted",R823="Recall Requested"),ISNUMBER(S823)),CFG_TODAY-INT(S823),"")</f>
        <v/>
      </c>
      <c r="W823" s="78" t="str">
        <f>IF(BD823=0,"",IF(BA823&gt;0,"⚠ Se superpone con un registro de la otra empresa",IF(D823="Malcolm",IF(COUNTA(R823,S823,T823)&gt;0,"Estado/fechas proMX se ignoran en Malcolm",""),IF(BF823="Cancelled","Cancelado: excluido de totales",IF(R823="","Sin estado: se trata como Draft",IF(BF823="Submitted",IF(ISNUMBER(V823),IF(V823&gt;CFG_MAXD,"⚠ "&amp;V823&amp;" días en Submitted (máx. "&amp;CFG_MAXD&amp;")",""),"Falta fecha de envío"),IF(BF823="Returned","⚠ Devuelto: corregir y reenviar",IF(BF823="Recall Requested","Retirada solicitada: pendiente",IF(AND(BF823="Approved",NOT(ISNUMBER(T823))),"Falta fecha de aprobación",IF(AND(ISNUMBER(S823),ISNUMBER(T823),T823&lt;S823),"Aprobación anterior al envío","")))))))))</f>
        <v/>
      </c>
      <c r="Y823" s="80">
        <f>IF(COUNTA(B823,D823,E823,F823,G823,H823,I823,J823,R823,S823,T823)&gt;0,1,0)</f>
        <v>0</v>
      </c>
      <c r="Z823" s="80" t="str">
        <f>IF(AND(ISNUMBER(H823),H823&gt;=0,H823&lt;1),ROUND(H823*1440,0),"")</f>
        <v/>
      </c>
      <c r="AA823" s="80" t="str">
        <f>IF(AND(ISNUMBER(I823),I823&gt;=0,I823&lt;1),ROUND(I823*1440,0),"")</f>
        <v/>
      </c>
      <c r="AB823" s="80">
        <f>IF(AND(ISNUMBER(B823),D823&lt;&gt;"",ISNUMBER(Z823),ISNUMBER(AA823)),IF(Z823=AA823,0,1),0)</f>
        <v>0</v>
      </c>
      <c r="AC823" s="80">
        <f>IF(AB823=1,IF(AA823&lt;Z823,1,0),0)</f>
        <v>0</v>
      </c>
      <c r="AD823" s="80">
        <f>IF(AB823=1,IF(AC823=1,1440-Z823+AA823,AA823-Z823),0)</f>
        <v>0</v>
      </c>
      <c r="AE823" s="80">
        <f>IF(J823="",0,IF(ISNUMBER(J823),J823,-1))</f>
        <v>0</v>
      </c>
      <c r="AF823" s="80">
        <f>MIN(MAX(0,AE823),AD823)</f>
        <v>0</v>
      </c>
      <c r="AG823" s="80">
        <f>MAX(0,AD823-MAX(0,AE823))</f>
        <v>0</v>
      </c>
      <c r="AH823" s="80">
        <f>IF(ISNUMBER(B823),IF(AND(INDEX(CFG_WDAYS,WEEKDAY(INT(B823),2))="Sí",IF(D823="proMX",COUNTIFS(FER_F,INT(B823),FER_NLP,"Sí"),COUNTIFS(FER_F,INT(B823),FER_NLM,"Sí"))=0),1,0),0)</f>
        <v>0</v>
      </c>
      <c r="AI823" s="80">
        <f>IF(AC823=1,IF(AND(INDEX(CFG_WDAYS,WEEKDAY(INT(B823)+1,2))="Sí",IF(D823="proMX",COUNTIFS(FER_F,INT(B823)+1,FER_NLP,"Sí"),COUNTIFS(FER_F,INT(B823)+1,FER_NLM,"Sí"))=0),1,0),0)</f>
        <v>0</v>
      </c>
      <c r="AJ823" s="80">
        <f>IF(AC823=1,1440-Z823,AD823)</f>
        <v>0</v>
      </c>
      <c r="AK823" s="80">
        <f>IF(AND(AB823=1,AH823=1),MAX(0,MIN(IF(AC823=1,1440,AA823),CFG_WEM)-MAX(Z823,CFG_WSM)),0)</f>
        <v>0</v>
      </c>
      <c r="AL823" s="80">
        <f>IF(AND(AC823=1,AI823=1),MAX(0,MIN(AA823,CFG_WEM)-CFG_WSM),0)</f>
        <v>0</v>
      </c>
      <c r="AM823" s="80">
        <f>AK823+AL823</f>
        <v>0</v>
      </c>
      <c r="AN823" s="80">
        <f>IF(CFG_BRK="Proporcional",IF(AD823=0,0,AF823*AM823/AD823),IF(CFG_BRK="Extras primero",MIN(AM823,MAX(0,AF823-(AD823-AM823))),MIN(AF823,AM823)))</f>
        <v>0</v>
      </c>
      <c r="AO823" s="80">
        <f>AF823-AN823</f>
        <v>0</v>
      </c>
      <c r="AP823" s="80">
        <f>AM823-AN823</f>
        <v>0</v>
      </c>
      <c r="AQ823" s="80">
        <f>AD823-AM823-AO823</f>
        <v>0</v>
      </c>
      <c r="AR823" s="80">
        <f>IF(AM823=0,0,AK823-AN823*AK823/AM823)</f>
        <v>0</v>
      </c>
      <c r="AS823" s="80">
        <f>IF(AD823-AM823=0,0,(AJ823-AK823)-AO823*(AJ823-AK823)/(AD823-AM823))</f>
        <v>0</v>
      </c>
      <c r="AT823" s="80" t="str">
        <f>IF(AC823=1,INT(B823)+1,"")</f>
        <v/>
      </c>
      <c r="AU823" s="80">
        <f>IF(AND(D823="proMX",R823="Cancelled"),0,1)</f>
        <v>1</v>
      </c>
      <c r="AV823" s="80">
        <f>IF(AND(AB823=1,AU823=1),IF(COUNTIFS($D$5:D822,D823,$B$5:B822,B823,$Z$5:Z822,Z823,$AA$5:AA822,AA823,$F$5:F822,F823&amp;"",$AU$5:AU822,1)&gt;0,1,0),0)</f>
        <v>0</v>
      </c>
      <c r="AW823" s="80" t="str">
        <f>IF(AB823=1,INT(B823)*1440+Z823,"")</f>
        <v/>
      </c>
      <c r="AX823" s="80" t="str">
        <f>IF(AB823=1,AW823+AD823,"")</f>
        <v/>
      </c>
      <c r="AY823" s="80">
        <f>IF(AND(AB823=1,AV823=0,AU823=1),1,0)</f>
        <v>0</v>
      </c>
      <c r="AZ823" s="80">
        <f>IF(AY823=1,COUNTIFS(R_Emp,D823,R_SAbs,"&lt;"&amp;AX823,R_EAbs,"&gt;"&amp;AW823,R_OKey,1)-1,0)</f>
        <v>0</v>
      </c>
      <c r="BA823" s="80">
        <f>IF(AY823=1,COUNTIFS(R_Emp,"&lt;&gt;"&amp;D823,R_SAbs,"&lt;"&amp;AX823,R_EAbs,"&gt;"&amp;AW823,R_OKey,1),0)</f>
        <v>0</v>
      </c>
      <c r="BB823" s="80">
        <f>IF(AND(AB823=1,D823="proMX"),IF(AND(MOD(Z823,CFG_BLK)=0,MOD(AA823,CFG_BLK)=0,MOD(AG823,CFG_BLK)=0,AG823&gt;0),1,0),1)</f>
        <v>1</v>
      </c>
      <c r="BC823" s="80" t="str">
        <f>IF(Y823=0,"",IF(NOT(ISNUMBER(B823)),"Falta fecha o fecha inválida",IF(D823="","Falta empresa",IF(AND(D823&lt;&gt;"Malcolm",D823&lt;&gt;"proMX"),"Empresa inválida",IF(OR(INT(B823)&lt;CFG_PSTART,INT(B823)&gt;CFG_PEND),"Fecha fuera del período",IF(OR(NOT(ISNUMBER(Z823)),NOT(ISNUMBER(AA823))),"Falta hora inicio/fin o formato inválido",IF(AB823=0,"Hora inicio = hora fin",IF(AE823&lt;0,"Descanso inválido",IF(AE823&gt;=AD823,"Descanso ≥ duración",IF(AV823=1,"Registro duplicado",IF(AZ823&gt;0,"Se superpone con otro registro "&amp;D823,IF(BB823=0,"inicio, fin y duración neta deben ser múltiplos de "&amp;CFG_BLK&amp;" min",""))))))))))))</f>
        <v/>
      </c>
      <c r="BD823" s="80">
        <f>IF(AND(Y823=1,BC823=""),1,0)</f>
        <v>0</v>
      </c>
      <c r="BE823" s="80">
        <f>IF(AND(BD823=1,AU823=1),1,0)</f>
        <v>0</v>
      </c>
      <c r="BF823" s="80" t="str">
        <f>IF(AND(D823="proMX",BD823=1),IF(R823="","Draft",R823),"")</f>
        <v/>
      </c>
      <c r="BG823" s="80">
        <f>IF(BD823=1,ROUND(AG823/60,6),0)</f>
        <v>0</v>
      </c>
      <c r="BH823" s="80">
        <f>IF(BE823=1,ROUND(AG823/60,6),0)</f>
        <v>0</v>
      </c>
      <c r="BI823" s="80">
        <f>IF(BE823=1,ROUND(AP823/60,6),0)</f>
        <v>0</v>
      </c>
      <c r="BJ823" s="80">
        <f>IF(BE823=1,ROUND(AQ823/60,6),0)</f>
        <v>0</v>
      </c>
      <c r="BK823" s="80">
        <f>IF(BE823=1,ROUND((AR823+AS823)/60,6),0)</f>
        <v>0</v>
      </c>
      <c r="BL823" s="80">
        <f>ROUND(BH823-BK823,6)</f>
        <v>0</v>
      </c>
      <c r="BM823" s="80">
        <f>IF(BE823=1,ROUND(AR823/60,6),0)</f>
        <v>0</v>
      </c>
      <c r="BN823" s="80">
        <f>ROUND(BI823-BM823,6)</f>
        <v>0</v>
      </c>
      <c r="BO823" s="80">
        <f>IF(BE823=1,ROUND(AS823/60,6),0)</f>
        <v>0</v>
      </c>
      <c r="BP823" s="80">
        <f>ROUND(BJ823-BO823,6)</f>
        <v>0</v>
      </c>
      <c r="BQ823" s="80">
        <f>IF(BE823=1,AW823,0)</f>
        <v>0</v>
      </c>
      <c r="BR823" s="80">
        <f>IF(BE823=1,AX823,0)</f>
        <v>0</v>
      </c>
      <c r="BS823" s="80">
        <f>IF(AND(BE823=1,D823="Malcolm",BA823&gt;0),MIN(BH823,SUMPRODUCT((R_Emp="proMX")*(R_EN&gt;0)*((R_EN-(R_EN&gt;BR823)*(R_EN-BR823))&gt;(R_SN+(R_SN&lt;BQ823)*(BQ823-R_SN)))*((R_EN-(R_EN&gt;BR823)*(R_EN-BR823))-(R_SN+(R_SN&lt;BQ823)*(BQ823-R_SN))))/60),0)</f>
        <v>0</v>
      </c>
      <c r="BT823" s="80">
        <f>IF(AND(BE823=1,D823="proMX"),ROUND(BI823*CFG_RATE+BJ823*CFG_OTRATE,6),0)</f>
        <v>0</v>
      </c>
      <c r="BU823" s="80">
        <f>IF(AND(BD823=1,D823="proMX"),ROUND(AG823/CFG_BLK,6),0)</f>
        <v>0</v>
      </c>
      <c r="BV823" s="80" t="str">
        <f>IF(BF823="Approved",IF(ISNUMBER(T823),INT(T823),INT(B823)),"")</f>
        <v/>
      </c>
      <c r="BW823" s="80">
        <f>IF(ISNUMBER(B823),IF(DB_MON="Todos",1,IF(AND(INT(B823)&gt;=DB_MS,INT(B823)&lt;=DB_ME),1,0)),0)</f>
        <v>0</v>
      </c>
      <c r="BX823" s="80">
        <f>IF(DB_PROJ="Todos",1,IF(E823&amp;""=DB_PROJ&amp;"",1,0))</f>
        <v>1</v>
      </c>
      <c r="BY823" s="80">
        <f>BW823*BX823</f>
        <v>0</v>
      </c>
      <c r="BZ823" s="80" t="str">
        <f>IF(Y823=1,F823&amp;IF(AND(F823&amp;""&lt;&gt;"",E823&amp;""&lt;&gt;"")," · ","")&amp;E823,"")</f>
        <v/>
      </c>
      <c r="CA823" s="80" t="str">
        <f>IF(AND(BD823=1,E823&amp;""&lt;&gt;""),IF(COUNTIFS($E$5:E822,E823,$BD$5:BD822,1)=0,MAX($CA$5:CA822)+1,""),"")</f>
        <v/>
      </c>
      <c r="CB823" s="80" t="str">
        <f>IF(AND(BE823=1,D823="Malcolm",E823&amp;""&lt;&gt;""),IF(COUNTIFS($D$5:D822,"Malcolm",$E$5:E822,E823,$BE$5:BE822,1)=0,MAX($CB$5:CB822)+1,""),"")</f>
        <v/>
      </c>
      <c r="CC823" s="80" t="str">
        <f>IF(AND(BD823=1,D823="proMX",E823&amp;""&lt;&gt;""),IF(COUNTIFS($D$5:D822,"proMX",$E$5:E822,E823,$BD$5:BD822,1)=0,MAX($CC$5:CC822)+1,""),"")</f>
        <v/>
      </c>
      <c r="CD823" s="80" t="str">
        <f>IF(AND(BE823=1,D823="Malcolm",F823&amp;""&lt;&gt;""),IF(COUNTIFS($D$5:D822,"Malcolm",$F$5:F822,F823,$BE$5:BE822,1)=0,MAX($CD$5:CD822)+1,""),"")</f>
        <v/>
      </c>
      <c r="CE823" s="80" t="str">
        <f>IF(AND(BD823=1,D823="proMX",F823&amp;""&lt;&gt;""),IF(COUNTIFS($D$5:D822,"proMX",$F$5:F822,F823,$BD$5:BD822,1)=0,MAX($CE$5:CE822)+1,""),"")</f>
        <v/>
      </c>
      <c r="CF823" s="80" t="str">
        <f>IF(AND(D823="proMX",BD823=1),IF(OR(BF823="Draft",BF823="Submitted",BF823="Returned",BF823="Recall Requested"),MAX($CF$5:CF822)+1,""),"")</f>
        <v/>
      </c>
      <c r="CG823" s="80">
        <f>IF(BD823=0,0,IF(D823="Malcolm",1,MATCH(BF823,{"Draft","Submitted","Approved","Returned","Recall Requested","Cancelled"},0)+1))</f>
        <v>0</v>
      </c>
      <c r="CH823" s="80">
        <f>IF(AND(BF823="Submitted",ISNUMBER(V823)),IF(V823&gt;CFG_MAXD,1,0),0)</f>
        <v>0</v>
      </c>
    </row>
    <row r="824">
      <c r="A824" s="71" t="str">
        <f>IF(Y824=1,ROW()-5,"")</f>
        <v/>
      </c>
      <c r="B824" s="72" t="n"/>
      <c r="C824" s="71" t="str">
        <f>IF(ISNUMBER(B824),CHOOSE(WEEKDAY(B824,2),"Lun","Mar","Mié","Jue","Vie","Sáb","Dom"),"")</f>
        <v/>
      </c>
      <c r="D824" s="73" t="n"/>
      <c r="E824" s="74" t="n"/>
      <c r="F824" s="74" t="n"/>
      <c r="G824" s="74" t="n"/>
      <c r="H824" s="75" t="n"/>
      <c r="I824" s="75" t="n"/>
      <c r="J824" s="76" t="n"/>
      <c r="K824" s="77" t="str">
        <f>IF(AB824=1,ROUND(AG824/60,4),"")</f>
        <v/>
      </c>
      <c r="L824" s="77" t="str">
        <f>IF(BD824=1,ROUND(AP824/60,4),"")</f>
        <v/>
      </c>
      <c r="M824" s="77" t="str">
        <f>IF(BD824=1,ROUND(AQ824/60,4),"")</f>
        <v/>
      </c>
      <c r="N824" s="71" t="str">
        <f>IF(AND(D824="proMX",AB824=1),ROUND(AG824/CFG_BLK,2),"")</f>
        <v/>
      </c>
      <c r="O824" s="77" t="str">
        <f>IF(D824="proMX",IF(BD824=1,ROUND(AG824/60,4),0),"")</f>
        <v/>
      </c>
      <c r="P824" s="78" t="str">
        <f>IF(Y824=0,"",IF(BD824=1,"OK",IF(D824="proMX","Revisar bloques: ","Revisar: ")&amp;BC824))</f>
        <v/>
      </c>
      <c r="Q824" s="78" t="str">
        <f>IF(NOT(ISNUMBER(B824)),"",IF(COUNTIFS(FER_F,INT(B824))&gt;0,"Feriado"&amp;IF(AH824=1," (laborable)"," (no laborable)"),IF(AH824=1,"Laborable",IF(WEEKDAY(B824,2)&gt;5,"Fin de semana","No laborable"))))</f>
        <v/>
      </c>
      <c r="R824" s="73" t="n"/>
      <c r="S824" s="72" t="n"/>
      <c r="T824" s="72" t="n"/>
      <c r="U824" s="74" t="n"/>
      <c r="V824" s="79" t="str">
        <f>IF(AND(D824="proMX",OR(R824="Submitted",R824="Recall Requested"),ISNUMBER(S824)),CFG_TODAY-INT(S824),"")</f>
        <v/>
      </c>
      <c r="W824" s="78" t="str">
        <f>IF(BD824=0,"",IF(BA824&gt;0,"⚠ Se superpone con un registro de la otra empresa",IF(D824="Malcolm",IF(COUNTA(R824,S824,T824)&gt;0,"Estado/fechas proMX se ignoran en Malcolm",""),IF(BF824="Cancelled","Cancelado: excluido de totales",IF(R824="","Sin estado: se trata como Draft",IF(BF824="Submitted",IF(ISNUMBER(V824),IF(V824&gt;CFG_MAXD,"⚠ "&amp;V824&amp;" días en Submitted (máx. "&amp;CFG_MAXD&amp;")",""),"Falta fecha de envío"),IF(BF824="Returned","⚠ Devuelto: corregir y reenviar",IF(BF824="Recall Requested","Retirada solicitada: pendiente",IF(AND(BF824="Approved",NOT(ISNUMBER(T824))),"Falta fecha de aprobación",IF(AND(ISNUMBER(S824),ISNUMBER(T824),T824&lt;S824),"Aprobación anterior al envío","")))))))))</f>
        <v/>
      </c>
      <c r="Y824" s="80">
        <f>IF(COUNTA(B824,D824,E824,F824,G824,H824,I824,J824,R824,S824,T824)&gt;0,1,0)</f>
        <v>0</v>
      </c>
      <c r="Z824" s="80" t="str">
        <f>IF(AND(ISNUMBER(H824),H824&gt;=0,H824&lt;1),ROUND(H824*1440,0),"")</f>
        <v/>
      </c>
      <c r="AA824" s="80" t="str">
        <f>IF(AND(ISNUMBER(I824),I824&gt;=0,I824&lt;1),ROUND(I824*1440,0),"")</f>
        <v/>
      </c>
      <c r="AB824" s="80">
        <f>IF(AND(ISNUMBER(B824),D824&lt;&gt;"",ISNUMBER(Z824),ISNUMBER(AA824)),IF(Z824=AA824,0,1),0)</f>
        <v>0</v>
      </c>
      <c r="AC824" s="80">
        <f>IF(AB824=1,IF(AA824&lt;Z824,1,0),0)</f>
        <v>0</v>
      </c>
      <c r="AD824" s="80">
        <f>IF(AB824=1,IF(AC824=1,1440-Z824+AA824,AA824-Z824),0)</f>
        <v>0</v>
      </c>
      <c r="AE824" s="80">
        <f>IF(J824="",0,IF(ISNUMBER(J824),J824,-1))</f>
        <v>0</v>
      </c>
      <c r="AF824" s="80">
        <f>MIN(MAX(0,AE824),AD824)</f>
        <v>0</v>
      </c>
      <c r="AG824" s="80">
        <f>MAX(0,AD824-MAX(0,AE824))</f>
        <v>0</v>
      </c>
      <c r="AH824" s="80">
        <f>IF(ISNUMBER(B824),IF(AND(INDEX(CFG_WDAYS,WEEKDAY(INT(B824),2))="Sí",IF(D824="proMX",COUNTIFS(FER_F,INT(B824),FER_NLP,"Sí"),COUNTIFS(FER_F,INT(B824),FER_NLM,"Sí"))=0),1,0),0)</f>
        <v>0</v>
      </c>
      <c r="AI824" s="80">
        <f>IF(AC824=1,IF(AND(INDEX(CFG_WDAYS,WEEKDAY(INT(B824)+1,2))="Sí",IF(D824="proMX",COUNTIFS(FER_F,INT(B824)+1,FER_NLP,"Sí"),COUNTIFS(FER_F,INT(B824)+1,FER_NLM,"Sí"))=0),1,0),0)</f>
        <v>0</v>
      </c>
      <c r="AJ824" s="80">
        <f>IF(AC824=1,1440-Z824,AD824)</f>
        <v>0</v>
      </c>
      <c r="AK824" s="80">
        <f>IF(AND(AB824=1,AH824=1),MAX(0,MIN(IF(AC824=1,1440,AA824),CFG_WEM)-MAX(Z824,CFG_WSM)),0)</f>
        <v>0</v>
      </c>
      <c r="AL824" s="80">
        <f>IF(AND(AC824=1,AI824=1),MAX(0,MIN(AA824,CFG_WEM)-CFG_WSM),0)</f>
        <v>0</v>
      </c>
      <c r="AM824" s="80">
        <f>AK824+AL824</f>
        <v>0</v>
      </c>
      <c r="AN824" s="80">
        <f>IF(CFG_BRK="Proporcional",IF(AD824=0,0,AF824*AM824/AD824),IF(CFG_BRK="Extras primero",MIN(AM824,MAX(0,AF824-(AD824-AM824))),MIN(AF824,AM824)))</f>
        <v>0</v>
      </c>
      <c r="AO824" s="80">
        <f>AF824-AN824</f>
        <v>0</v>
      </c>
      <c r="AP824" s="80">
        <f>AM824-AN824</f>
        <v>0</v>
      </c>
      <c r="AQ824" s="80">
        <f>AD824-AM824-AO824</f>
        <v>0</v>
      </c>
      <c r="AR824" s="80">
        <f>IF(AM824=0,0,AK824-AN824*AK824/AM824)</f>
        <v>0</v>
      </c>
      <c r="AS824" s="80">
        <f>IF(AD824-AM824=0,0,(AJ824-AK824)-AO824*(AJ824-AK824)/(AD824-AM824))</f>
        <v>0</v>
      </c>
      <c r="AT824" s="80" t="str">
        <f>IF(AC824=1,INT(B824)+1,"")</f>
        <v/>
      </c>
      <c r="AU824" s="80">
        <f>IF(AND(D824="proMX",R824="Cancelled"),0,1)</f>
        <v>1</v>
      </c>
      <c r="AV824" s="80">
        <f>IF(AND(AB824=1,AU824=1),IF(COUNTIFS($D$5:D823,D824,$B$5:B823,B824,$Z$5:Z823,Z824,$AA$5:AA823,AA824,$F$5:F823,F824&amp;"",$AU$5:AU823,1)&gt;0,1,0),0)</f>
        <v>0</v>
      </c>
      <c r="AW824" s="80" t="str">
        <f>IF(AB824=1,INT(B824)*1440+Z824,"")</f>
        <v/>
      </c>
      <c r="AX824" s="80" t="str">
        <f>IF(AB824=1,AW824+AD824,"")</f>
        <v/>
      </c>
      <c r="AY824" s="80">
        <f>IF(AND(AB824=1,AV824=0,AU824=1),1,0)</f>
        <v>0</v>
      </c>
      <c r="AZ824" s="80">
        <f>IF(AY824=1,COUNTIFS(R_Emp,D824,R_SAbs,"&lt;"&amp;AX824,R_EAbs,"&gt;"&amp;AW824,R_OKey,1)-1,0)</f>
        <v>0</v>
      </c>
      <c r="BA824" s="80">
        <f>IF(AY824=1,COUNTIFS(R_Emp,"&lt;&gt;"&amp;D824,R_SAbs,"&lt;"&amp;AX824,R_EAbs,"&gt;"&amp;AW824,R_OKey,1),0)</f>
        <v>0</v>
      </c>
      <c r="BB824" s="80">
        <f>IF(AND(AB824=1,D824="proMX"),IF(AND(MOD(Z824,CFG_BLK)=0,MOD(AA824,CFG_BLK)=0,MOD(AG824,CFG_BLK)=0,AG824&gt;0),1,0),1)</f>
        <v>1</v>
      </c>
      <c r="BC824" s="80" t="str">
        <f>IF(Y824=0,"",IF(NOT(ISNUMBER(B824)),"Falta fecha o fecha inválida",IF(D824="","Falta empresa",IF(AND(D824&lt;&gt;"Malcolm",D824&lt;&gt;"proMX"),"Empresa inválida",IF(OR(INT(B824)&lt;CFG_PSTART,INT(B824)&gt;CFG_PEND),"Fecha fuera del período",IF(OR(NOT(ISNUMBER(Z824)),NOT(ISNUMBER(AA824))),"Falta hora inicio/fin o formato inválido",IF(AB824=0,"Hora inicio = hora fin",IF(AE824&lt;0,"Descanso inválido",IF(AE824&gt;=AD824,"Descanso ≥ duración",IF(AV824=1,"Registro duplicado",IF(AZ824&gt;0,"Se superpone con otro registro "&amp;D824,IF(BB824=0,"inicio, fin y duración neta deben ser múltiplos de "&amp;CFG_BLK&amp;" min",""))))))))))))</f>
        <v/>
      </c>
      <c r="BD824" s="80">
        <f>IF(AND(Y824=1,BC824=""),1,0)</f>
        <v>0</v>
      </c>
      <c r="BE824" s="80">
        <f>IF(AND(BD824=1,AU824=1),1,0)</f>
        <v>0</v>
      </c>
      <c r="BF824" s="80" t="str">
        <f>IF(AND(D824="proMX",BD824=1),IF(R824="","Draft",R824),"")</f>
        <v/>
      </c>
      <c r="BG824" s="80">
        <f>IF(BD824=1,ROUND(AG824/60,6),0)</f>
        <v>0</v>
      </c>
      <c r="BH824" s="80">
        <f>IF(BE824=1,ROUND(AG824/60,6),0)</f>
        <v>0</v>
      </c>
      <c r="BI824" s="80">
        <f>IF(BE824=1,ROUND(AP824/60,6),0)</f>
        <v>0</v>
      </c>
      <c r="BJ824" s="80">
        <f>IF(BE824=1,ROUND(AQ824/60,6),0)</f>
        <v>0</v>
      </c>
      <c r="BK824" s="80">
        <f>IF(BE824=1,ROUND((AR824+AS824)/60,6),0)</f>
        <v>0</v>
      </c>
      <c r="BL824" s="80">
        <f>ROUND(BH824-BK824,6)</f>
        <v>0</v>
      </c>
      <c r="BM824" s="80">
        <f>IF(BE824=1,ROUND(AR824/60,6),0)</f>
        <v>0</v>
      </c>
      <c r="BN824" s="80">
        <f>ROUND(BI824-BM824,6)</f>
        <v>0</v>
      </c>
      <c r="BO824" s="80">
        <f>IF(BE824=1,ROUND(AS824/60,6),0)</f>
        <v>0</v>
      </c>
      <c r="BP824" s="80">
        <f>ROUND(BJ824-BO824,6)</f>
        <v>0</v>
      </c>
      <c r="BQ824" s="80">
        <f>IF(BE824=1,AW824,0)</f>
        <v>0</v>
      </c>
      <c r="BR824" s="80">
        <f>IF(BE824=1,AX824,0)</f>
        <v>0</v>
      </c>
      <c r="BS824" s="80">
        <f>IF(AND(BE824=1,D824="Malcolm",BA824&gt;0),MIN(BH824,SUMPRODUCT((R_Emp="proMX")*(R_EN&gt;0)*((R_EN-(R_EN&gt;BR824)*(R_EN-BR824))&gt;(R_SN+(R_SN&lt;BQ824)*(BQ824-R_SN)))*((R_EN-(R_EN&gt;BR824)*(R_EN-BR824))-(R_SN+(R_SN&lt;BQ824)*(BQ824-R_SN))))/60),0)</f>
        <v>0</v>
      </c>
      <c r="BT824" s="80">
        <f>IF(AND(BE824=1,D824="proMX"),ROUND(BI824*CFG_RATE+BJ824*CFG_OTRATE,6),0)</f>
        <v>0</v>
      </c>
      <c r="BU824" s="80">
        <f>IF(AND(BD824=1,D824="proMX"),ROUND(AG824/CFG_BLK,6),0)</f>
        <v>0</v>
      </c>
      <c r="BV824" s="80" t="str">
        <f>IF(BF824="Approved",IF(ISNUMBER(T824),INT(T824),INT(B824)),"")</f>
        <v/>
      </c>
      <c r="BW824" s="80">
        <f>IF(ISNUMBER(B824),IF(DB_MON="Todos",1,IF(AND(INT(B824)&gt;=DB_MS,INT(B824)&lt;=DB_ME),1,0)),0)</f>
        <v>0</v>
      </c>
      <c r="BX824" s="80">
        <f>IF(DB_PROJ="Todos",1,IF(E824&amp;""=DB_PROJ&amp;"",1,0))</f>
        <v>1</v>
      </c>
      <c r="BY824" s="80">
        <f>BW824*BX824</f>
        <v>0</v>
      </c>
      <c r="BZ824" s="80" t="str">
        <f>IF(Y824=1,F824&amp;IF(AND(F824&amp;""&lt;&gt;"",E824&amp;""&lt;&gt;"")," · ","")&amp;E824,"")</f>
        <v/>
      </c>
      <c r="CA824" s="80" t="str">
        <f>IF(AND(BD824=1,E824&amp;""&lt;&gt;""),IF(COUNTIFS($E$5:E823,E824,$BD$5:BD823,1)=0,MAX($CA$5:CA823)+1,""),"")</f>
        <v/>
      </c>
      <c r="CB824" s="80" t="str">
        <f>IF(AND(BE824=1,D824="Malcolm",E824&amp;""&lt;&gt;""),IF(COUNTIFS($D$5:D823,"Malcolm",$E$5:E823,E824,$BE$5:BE823,1)=0,MAX($CB$5:CB823)+1,""),"")</f>
        <v/>
      </c>
      <c r="CC824" s="80" t="str">
        <f>IF(AND(BD824=1,D824="proMX",E824&amp;""&lt;&gt;""),IF(COUNTIFS($D$5:D823,"proMX",$E$5:E823,E824,$BD$5:BD823,1)=0,MAX($CC$5:CC823)+1,""),"")</f>
        <v/>
      </c>
      <c r="CD824" s="80" t="str">
        <f>IF(AND(BE824=1,D824="Malcolm",F824&amp;""&lt;&gt;""),IF(COUNTIFS($D$5:D823,"Malcolm",$F$5:F823,F824,$BE$5:BE823,1)=0,MAX($CD$5:CD823)+1,""),"")</f>
        <v/>
      </c>
      <c r="CE824" s="80" t="str">
        <f>IF(AND(BD824=1,D824="proMX",F824&amp;""&lt;&gt;""),IF(COUNTIFS($D$5:D823,"proMX",$F$5:F823,F824,$BD$5:BD823,1)=0,MAX($CE$5:CE823)+1,""),"")</f>
        <v/>
      </c>
      <c r="CF824" s="80" t="str">
        <f>IF(AND(D824="proMX",BD824=1),IF(OR(BF824="Draft",BF824="Submitted",BF824="Returned",BF824="Recall Requested"),MAX($CF$5:CF823)+1,""),"")</f>
        <v/>
      </c>
      <c r="CG824" s="80">
        <f>IF(BD824=0,0,IF(D824="Malcolm",1,MATCH(BF824,{"Draft","Submitted","Approved","Returned","Recall Requested","Cancelled"},0)+1))</f>
        <v>0</v>
      </c>
      <c r="CH824" s="80">
        <f>IF(AND(BF824="Submitted",ISNUMBER(V824)),IF(V824&gt;CFG_MAXD,1,0),0)</f>
        <v>0</v>
      </c>
    </row>
    <row r="825">
      <c r="A825" s="71" t="str">
        <f>IF(Y825=1,ROW()-5,"")</f>
        <v/>
      </c>
      <c r="B825" s="72" t="n"/>
      <c r="C825" s="71" t="str">
        <f>IF(ISNUMBER(B825),CHOOSE(WEEKDAY(B825,2),"Lun","Mar","Mié","Jue","Vie","Sáb","Dom"),"")</f>
        <v/>
      </c>
      <c r="D825" s="73" t="n"/>
      <c r="E825" s="74" t="n"/>
      <c r="F825" s="74" t="n"/>
      <c r="G825" s="74" t="n"/>
      <c r="H825" s="75" t="n"/>
      <c r="I825" s="75" t="n"/>
      <c r="J825" s="76" t="n"/>
      <c r="K825" s="77" t="str">
        <f>IF(AB825=1,ROUND(AG825/60,4),"")</f>
        <v/>
      </c>
      <c r="L825" s="77" t="str">
        <f>IF(BD825=1,ROUND(AP825/60,4),"")</f>
        <v/>
      </c>
      <c r="M825" s="77" t="str">
        <f>IF(BD825=1,ROUND(AQ825/60,4),"")</f>
        <v/>
      </c>
      <c r="N825" s="71" t="str">
        <f>IF(AND(D825="proMX",AB825=1),ROUND(AG825/CFG_BLK,2),"")</f>
        <v/>
      </c>
      <c r="O825" s="77" t="str">
        <f>IF(D825="proMX",IF(BD825=1,ROUND(AG825/60,4),0),"")</f>
        <v/>
      </c>
      <c r="P825" s="78" t="str">
        <f>IF(Y825=0,"",IF(BD825=1,"OK",IF(D825="proMX","Revisar bloques: ","Revisar: ")&amp;BC825))</f>
        <v/>
      </c>
      <c r="Q825" s="78" t="str">
        <f>IF(NOT(ISNUMBER(B825)),"",IF(COUNTIFS(FER_F,INT(B825))&gt;0,"Feriado"&amp;IF(AH825=1," (laborable)"," (no laborable)"),IF(AH825=1,"Laborable",IF(WEEKDAY(B825,2)&gt;5,"Fin de semana","No laborable"))))</f>
        <v/>
      </c>
      <c r="R825" s="73" t="n"/>
      <c r="S825" s="72" t="n"/>
      <c r="T825" s="72" t="n"/>
      <c r="U825" s="74" t="n"/>
      <c r="V825" s="79" t="str">
        <f>IF(AND(D825="proMX",OR(R825="Submitted",R825="Recall Requested"),ISNUMBER(S825)),CFG_TODAY-INT(S825),"")</f>
        <v/>
      </c>
      <c r="W825" s="78" t="str">
        <f>IF(BD825=0,"",IF(BA825&gt;0,"⚠ Se superpone con un registro de la otra empresa",IF(D825="Malcolm",IF(COUNTA(R825,S825,T825)&gt;0,"Estado/fechas proMX se ignoran en Malcolm",""),IF(BF825="Cancelled","Cancelado: excluido de totales",IF(R825="","Sin estado: se trata como Draft",IF(BF825="Submitted",IF(ISNUMBER(V825),IF(V825&gt;CFG_MAXD,"⚠ "&amp;V825&amp;" días en Submitted (máx. "&amp;CFG_MAXD&amp;")",""),"Falta fecha de envío"),IF(BF825="Returned","⚠ Devuelto: corregir y reenviar",IF(BF825="Recall Requested","Retirada solicitada: pendiente",IF(AND(BF825="Approved",NOT(ISNUMBER(T825))),"Falta fecha de aprobación",IF(AND(ISNUMBER(S825),ISNUMBER(T825),T825&lt;S825),"Aprobación anterior al envío","")))))))))</f>
        <v/>
      </c>
      <c r="Y825" s="80">
        <f>IF(COUNTA(B825,D825,E825,F825,G825,H825,I825,J825,R825,S825,T825)&gt;0,1,0)</f>
        <v>0</v>
      </c>
      <c r="Z825" s="80" t="str">
        <f>IF(AND(ISNUMBER(H825),H825&gt;=0,H825&lt;1),ROUND(H825*1440,0),"")</f>
        <v/>
      </c>
      <c r="AA825" s="80" t="str">
        <f>IF(AND(ISNUMBER(I825),I825&gt;=0,I825&lt;1),ROUND(I825*1440,0),"")</f>
        <v/>
      </c>
      <c r="AB825" s="80">
        <f>IF(AND(ISNUMBER(B825),D825&lt;&gt;"",ISNUMBER(Z825),ISNUMBER(AA825)),IF(Z825=AA825,0,1),0)</f>
        <v>0</v>
      </c>
      <c r="AC825" s="80">
        <f>IF(AB825=1,IF(AA825&lt;Z825,1,0),0)</f>
        <v>0</v>
      </c>
      <c r="AD825" s="80">
        <f>IF(AB825=1,IF(AC825=1,1440-Z825+AA825,AA825-Z825),0)</f>
        <v>0</v>
      </c>
      <c r="AE825" s="80">
        <f>IF(J825="",0,IF(ISNUMBER(J825),J825,-1))</f>
        <v>0</v>
      </c>
      <c r="AF825" s="80">
        <f>MIN(MAX(0,AE825),AD825)</f>
        <v>0</v>
      </c>
      <c r="AG825" s="80">
        <f>MAX(0,AD825-MAX(0,AE825))</f>
        <v>0</v>
      </c>
      <c r="AH825" s="80">
        <f>IF(ISNUMBER(B825),IF(AND(INDEX(CFG_WDAYS,WEEKDAY(INT(B825),2))="Sí",IF(D825="proMX",COUNTIFS(FER_F,INT(B825),FER_NLP,"Sí"),COUNTIFS(FER_F,INT(B825),FER_NLM,"Sí"))=0),1,0),0)</f>
        <v>0</v>
      </c>
      <c r="AI825" s="80">
        <f>IF(AC825=1,IF(AND(INDEX(CFG_WDAYS,WEEKDAY(INT(B825)+1,2))="Sí",IF(D825="proMX",COUNTIFS(FER_F,INT(B825)+1,FER_NLP,"Sí"),COUNTIFS(FER_F,INT(B825)+1,FER_NLM,"Sí"))=0),1,0),0)</f>
        <v>0</v>
      </c>
      <c r="AJ825" s="80">
        <f>IF(AC825=1,1440-Z825,AD825)</f>
        <v>0</v>
      </c>
      <c r="AK825" s="80">
        <f>IF(AND(AB825=1,AH825=1),MAX(0,MIN(IF(AC825=1,1440,AA825),CFG_WEM)-MAX(Z825,CFG_WSM)),0)</f>
        <v>0</v>
      </c>
      <c r="AL825" s="80">
        <f>IF(AND(AC825=1,AI825=1),MAX(0,MIN(AA825,CFG_WEM)-CFG_WSM),0)</f>
        <v>0</v>
      </c>
      <c r="AM825" s="80">
        <f>AK825+AL825</f>
        <v>0</v>
      </c>
      <c r="AN825" s="80">
        <f>IF(CFG_BRK="Proporcional",IF(AD825=0,0,AF825*AM825/AD825),IF(CFG_BRK="Extras primero",MIN(AM825,MAX(0,AF825-(AD825-AM825))),MIN(AF825,AM825)))</f>
        <v>0</v>
      </c>
      <c r="AO825" s="80">
        <f>AF825-AN825</f>
        <v>0</v>
      </c>
      <c r="AP825" s="80">
        <f>AM825-AN825</f>
        <v>0</v>
      </c>
      <c r="AQ825" s="80">
        <f>AD825-AM825-AO825</f>
        <v>0</v>
      </c>
      <c r="AR825" s="80">
        <f>IF(AM825=0,0,AK825-AN825*AK825/AM825)</f>
        <v>0</v>
      </c>
      <c r="AS825" s="80">
        <f>IF(AD825-AM825=0,0,(AJ825-AK825)-AO825*(AJ825-AK825)/(AD825-AM825))</f>
        <v>0</v>
      </c>
      <c r="AT825" s="80" t="str">
        <f>IF(AC825=1,INT(B825)+1,"")</f>
        <v/>
      </c>
      <c r="AU825" s="80">
        <f>IF(AND(D825="proMX",R825="Cancelled"),0,1)</f>
        <v>1</v>
      </c>
      <c r="AV825" s="80">
        <f>IF(AND(AB825=1,AU825=1),IF(COUNTIFS($D$5:D824,D825,$B$5:B824,B825,$Z$5:Z824,Z825,$AA$5:AA824,AA825,$F$5:F824,F825&amp;"",$AU$5:AU824,1)&gt;0,1,0),0)</f>
        <v>0</v>
      </c>
      <c r="AW825" s="80" t="str">
        <f>IF(AB825=1,INT(B825)*1440+Z825,"")</f>
        <v/>
      </c>
      <c r="AX825" s="80" t="str">
        <f>IF(AB825=1,AW825+AD825,"")</f>
        <v/>
      </c>
      <c r="AY825" s="80">
        <f>IF(AND(AB825=1,AV825=0,AU825=1),1,0)</f>
        <v>0</v>
      </c>
      <c r="AZ825" s="80">
        <f>IF(AY825=1,COUNTIFS(R_Emp,D825,R_SAbs,"&lt;"&amp;AX825,R_EAbs,"&gt;"&amp;AW825,R_OKey,1)-1,0)</f>
        <v>0</v>
      </c>
      <c r="BA825" s="80">
        <f>IF(AY825=1,COUNTIFS(R_Emp,"&lt;&gt;"&amp;D825,R_SAbs,"&lt;"&amp;AX825,R_EAbs,"&gt;"&amp;AW825,R_OKey,1),0)</f>
        <v>0</v>
      </c>
      <c r="BB825" s="80">
        <f>IF(AND(AB825=1,D825="proMX"),IF(AND(MOD(Z825,CFG_BLK)=0,MOD(AA825,CFG_BLK)=0,MOD(AG825,CFG_BLK)=0,AG825&gt;0),1,0),1)</f>
        <v>1</v>
      </c>
      <c r="BC825" s="80" t="str">
        <f>IF(Y825=0,"",IF(NOT(ISNUMBER(B825)),"Falta fecha o fecha inválida",IF(D825="","Falta empresa",IF(AND(D825&lt;&gt;"Malcolm",D825&lt;&gt;"proMX"),"Empresa inválida",IF(OR(INT(B825)&lt;CFG_PSTART,INT(B825)&gt;CFG_PEND),"Fecha fuera del período",IF(OR(NOT(ISNUMBER(Z825)),NOT(ISNUMBER(AA825))),"Falta hora inicio/fin o formato inválido",IF(AB825=0,"Hora inicio = hora fin",IF(AE825&lt;0,"Descanso inválido",IF(AE825&gt;=AD825,"Descanso ≥ duración",IF(AV825=1,"Registro duplicado",IF(AZ825&gt;0,"Se superpone con otro registro "&amp;D825,IF(BB825=0,"inicio, fin y duración neta deben ser múltiplos de "&amp;CFG_BLK&amp;" min",""))))))))))))</f>
        <v/>
      </c>
      <c r="BD825" s="80">
        <f>IF(AND(Y825=1,BC825=""),1,0)</f>
        <v>0</v>
      </c>
      <c r="BE825" s="80">
        <f>IF(AND(BD825=1,AU825=1),1,0)</f>
        <v>0</v>
      </c>
      <c r="BF825" s="80" t="str">
        <f>IF(AND(D825="proMX",BD825=1),IF(R825="","Draft",R825),"")</f>
        <v/>
      </c>
      <c r="BG825" s="80">
        <f>IF(BD825=1,ROUND(AG825/60,6),0)</f>
        <v>0</v>
      </c>
      <c r="BH825" s="80">
        <f>IF(BE825=1,ROUND(AG825/60,6),0)</f>
        <v>0</v>
      </c>
      <c r="BI825" s="80">
        <f>IF(BE825=1,ROUND(AP825/60,6),0)</f>
        <v>0</v>
      </c>
      <c r="BJ825" s="80">
        <f>IF(BE825=1,ROUND(AQ825/60,6),0)</f>
        <v>0</v>
      </c>
      <c r="BK825" s="80">
        <f>IF(BE825=1,ROUND((AR825+AS825)/60,6),0)</f>
        <v>0</v>
      </c>
      <c r="BL825" s="80">
        <f>ROUND(BH825-BK825,6)</f>
        <v>0</v>
      </c>
      <c r="BM825" s="80">
        <f>IF(BE825=1,ROUND(AR825/60,6),0)</f>
        <v>0</v>
      </c>
      <c r="BN825" s="80">
        <f>ROUND(BI825-BM825,6)</f>
        <v>0</v>
      </c>
      <c r="BO825" s="80">
        <f>IF(BE825=1,ROUND(AS825/60,6),0)</f>
        <v>0</v>
      </c>
      <c r="BP825" s="80">
        <f>ROUND(BJ825-BO825,6)</f>
        <v>0</v>
      </c>
      <c r="BQ825" s="80">
        <f>IF(BE825=1,AW825,0)</f>
        <v>0</v>
      </c>
      <c r="BR825" s="80">
        <f>IF(BE825=1,AX825,0)</f>
        <v>0</v>
      </c>
      <c r="BS825" s="80">
        <f>IF(AND(BE825=1,D825="Malcolm",BA825&gt;0),MIN(BH825,SUMPRODUCT((R_Emp="proMX")*(R_EN&gt;0)*((R_EN-(R_EN&gt;BR825)*(R_EN-BR825))&gt;(R_SN+(R_SN&lt;BQ825)*(BQ825-R_SN)))*((R_EN-(R_EN&gt;BR825)*(R_EN-BR825))-(R_SN+(R_SN&lt;BQ825)*(BQ825-R_SN))))/60),0)</f>
        <v>0</v>
      </c>
      <c r="BT825" s="80">
        <f>IF(AND(BE825=1,D825="proMX"),ROUND(BI825*CFG_RATE+BJ825*CFG_OTRATE,6),0)</f>
        <v>0</v>
      </c>
      <c r="BU825" s="80">
        <f>IF(AND(BD825=1,D825="proMX"),ROUND(AG825/CFG_BLK,6),0)</f>
        <v>0</v>
      </c>
      <c r="BV825" s="80" t="str">
        <f>IF(BF825="Approved",IF(ISNUMBER(T825),INT(T825),INT(B825)),"")</f>
        <v/>
      </c>
      <c r="BW825" s="80">
        <f>IF(ISNUMBER(B825),IF(DB_MON="Todos",1,IF(AND(INT(B825)&gt;=DB_MS,INT(B825)&lt;=DB_ME),1,0)),0)</f>
        <v>0</v>
      </c>
      <c r="BX825" s="80">
        <f>IF(DB_PROJ="Todos",1,IF(E825&amp;""=DB_PROJ&amp;"",1,0))</f>
        <v>1</v>
      </c>
      <c r="BY825" s="80">
        <f>BW825*BX825</f>
        <v>0</v>
      </c>
      <c r="BZ825" s="80" t="str">
        <f>IF(Y825=1,F825&amp;IF(AND(F825&amp;""&lt;&gt;"",E825&amp;""&lt;&gt;"")," · ","")&amp;E825,"")</f>
        <v/>
      </c>
      <c r="CA825" s="80" t="str">
        <f>IF(AND(BD825=1,E825&amp;""&lt;&gt;""),IF(COUNTIFS($E$5:E824,E825,$BD$5:BD824,1)=0,MAX($CA$5:CA824)+1,""),"")</f>
        <v/>
      </c>
      <c r="CB825" s="80" t="str">
        <f>IF(AND(BE825=1,D825="Malcolm",E825&amp;""&lt;&gt;""),IF(COUNTIFS($D$5:D824,"Malcolm",$E$5:E824,E825,$BE$5:BE824,1)=0,MAX($CB$5:CB824)+1,""),"")</f>
        <v/>
      </c>
      <c r="CC825" s="80" t="str">
        <f>IF(AND(BD825=1,D825="proMX",E825&amp;""&lt;&gt;""),IF(COUNTIFS($D$5:D824,"proMX",$E$5:E824,E825,$BD$5:BD824,1)=0,MAX($CC$5:CC824)+1,""),"")</f>
        <v/>
      </c>
      <c r="CD825" s="80" t="str">
        <f>IF(AND(BE825=1,D825="Malcolm",F825&amp;""&lt;&gt;""),IF(COUNTIFS($D$5:D824,"Malcolm",$F$5:F824,F825,$BE$5:BE824,1)=0,MAX($CD$5:CD824)+1,""),"")</f>
        <v/>
      </c>
      <c r="CE825" s="80" t="str">
        <f>IF(AND(BD825=1,D825="proMX",F825&amp;""&lt;&gt;""),IF(COUNTIFS($D$5:D824,"proMX",$F$5:F824,F825,$BD$5:BD824,1)=0,MAX($CE$5:CE824)+1,""),"")</f>
        <v/>
      </c>
      <c r="CF825" s="80" t="str">
        <f>IF(AND(D825="proMX",BD825=1),IF(OR(BF825="Draft",BF825="Submitted",BF825="Returned",BF825="Recall Requested"),MAX($CF$5:CF824)+1,""),"")</f>
        <v/>
      </c>
      <c r="CG825" s="80">
        <f>IF(BD825=0,0,IF(D825="Malcolm",1,MATCH(BF825,{"Draft","Submitted","Approved","Returned","Recall Requested","Cancelled"},0)+1))</f>
        <v>0</v>
      </c>
      <c r="CH825" s="80">
        <f>IF(AND(BF825="Submitted",ISNUMBER(V825)),IF(V825&gt;CFG_MAXD,1,0),0)</f>
        <v>0</v>
      </c>
    </row>
    <row r="826">
      <c r="A826" s="71" t="str">
        <f>IF(Y826=1,ROW()-5,"")</f>
        <v/>
      </c>
      <c r="B826" s="72" t="n"/>
      <c r="C826" s="71" t="str">
        <f>IF(ISNUMBER(B826),CHOOSE(WEEKDAY(B826,2),"Lun","Mar","Mié","Jue","Vie","Sáb","Dom"),"")</f>
        <v/>
      </c>
      <c r="D826" s="73" t="n"/>
      <c r="E826" s="74" t="n"/>
      <c r="F826" s="74" t="n"/>
      <c r="G826" s="74" t="n"/>
      <c r="H826" s="75" t="n"/>
      <c r="I826" s="75" t="n"/>
      <c r="J826" s="76" t="n"/>
      <c r="K826" s="77" t="str">
        <f>IF(AB826=1,ROUND(AG826/60,4),"")</f>
        <v/>
      </c>
      <c r="L826" s="77" t="str">
        <f>IF(BD826=1,ROUND(AP826/60,4),"")</f>
        <v/>
      </c>
      <c r="M826" s="77" t="str">
        <f>IF(BD826=1,ROUND(AQ826/60,4),"")</f>
        <v/>
      </c>
      <c r="N826" s="71" t="str">
        <f>IF(AND(D826="proMX",AB826=1),ROUND(AG826/CFG_BLK,2),"")</f>
        <v/>
      </c>
      <c r="O826" s="77" t="str">
        <f>IF(D826="proMX",IF(BD826=1,ROUND(AG826/60,4),0),"")</f>
        <v/>
      </c>
      <c r="P826" s="78" t="str">
        <f>IF(Y826=0,"",IF(BD826=1,"OK",IF(D826="proMX","Revisar bloques: ","Revisar: ")&amp;BC826))</f>
        <v/>
      </c>
      <c r="Q826" s="78" t="str">
        <f>IF(NOT(ISNUMBER(B826)),"",IF(COUNTIFS(FER_F,INT(B826))&gt;0,"Feriado"&amp;IF(AH826=1," (laborable)"," (no laborable)"),IF(AH826=1,"Laborable",IF(WEEKDAY(B826,2)&gt;5,"Fin de semana","No laborable"))))</f>
        <v/>
      </c>
      <c r="R826" s="73" t="n"/>
      <c r="S826" s="72" t="n"/>
      <c r="T826" s="72" t="n"/>
      <c r="U826" s="74" t="n"/>
      <c r="V826" s="79" t="str">
        <f>IF(AND(D826="proMX",OR(R826="Submitted",R826="Recall Requested"),ISNUMBER(S826)),CFG_TODAY-INT(S826),"")</f>
        <v/>
      </c>
      <c r="W826" s="78" t="str">
        <f>IF(BD826=0,"",IF(BA826&gt;0,"⚠ Se superpone con un registro de la otra empresa",IF(D826="Malcolm",IF(COUNTA(R826,S826,T826)&gt;0,"Estado/fechas proMX se ignoran en Malcolm",""),IF(BF826="Cancelled","Cancelado: excluido de totales",IF(R826="","Sin estado: se trata como Draft",IF(BF826="Submitted",IF(ISNUMBER(V826),IF(V826&gt;CFG_MAXD,"⚠ "&amp;V826&amp;" días en Submitted (máx. "&amp;CFG_MAXD&amp;")",""),"Falta fecha de envío"),IF(BF826="Returned","⚠ Devuelto: corregir y reenviar",IF(BF826="Recall Requested","Retirada solicitada: pendiente",IF(AND(BF826="Approved",NOT(ISNUMBER(T826))),"Falta fecha de aprobación",IF(AND(ISNUMBER(S826),ISNUMBER(T826),T826&lt;S826),"Aprobación anterior al envío","")))))))))</f>
        <v/>
      </c>
      <c r="Y826" s="80">
        <f>IF(COUNTA(B826,D826,E826,F826,G826,H826,I826,J826,R826,S826,T826)&gt;0,1,0)</f>
        <v>0</v>
      </c>
      <c r="Z826" s="80" t="str">
        <f>IF(AND(ISNUMBER(H826),H826&gt;=0,H826&lt;1),ROUND(H826*1440,0),"")</f>
        <v/>
      </c>
      <c r="AA826" s="80" t="str">
        <f>IF(AND(ISNUMBER(I826),I826&gt;=0,I826&lt;1),ROUND(I826*1440,0),"")</f>
        <v/>
      </c>
      <c r="AB826" s="80">
        <f>IF(AND(ISNUMBER(B826),D826&lt;&gt;"",ISNUMBER(Z826),ISNUMBER(AA826)),IF(Z826=AA826,0,1),0)</f>
        <v>0</v>
      </c>
      <c r="AC826" s="80">
        <f>IF(AB826=1,IF(AA826&lt;Z826,1,0),0)</f>
        <v>0</v>
      </c>
      <c r="AD826" s="80">
        <f>IF(AB826=1,IF(AC826=1,1440-Z826+AA826,AA826-Z826),0)</f>
        <v>0</v>
      </c>
      <c r="AE826" s="80">
        <f>IF(J826="",0,IF(ISNUMBER(J826),J826,-1))</f>
        <v>0</v>
      </c>
      <c r="AF826" s="80">
        <f>MIN(MAX(0,AE826),AD826)</f>
        <v>0</v>
      </c>
      <c r="AG826" s="80">
        <f>MAX(0,AD826-MAX(0,AE826))</f>
        <v>0</v>
      </c>
      <c r="AH826" s="80">
        <f>IF(ISNUMBER(B826),IF(AND(INDEX(CFG_WDAYS,WEEKDAY(INT(B826),2))="Sí",IF(D826="proMX",COUNTIFS(FER_F,INT(B826),FER_NLP,"Sí"),COUNTIFS(FER_F,INT(B826),FER_NLM,"Sí"))=0),1,0),0)</f>
        <v>0</v>
      </c>
      <c r="AI826" s="80">
        <f>IF(AC826=1,IF(AND(INDEX(CFG_WDAYS,WEEKDAY(INT(B826)+1,2))="Sí",IF(D826="proMX",COUNTIFS(FER_F,INT(B826)+1,FER_NLP,"Sí"),COUNTIFS(FER_F,INT(B826)+1,FER_NLM,"Sí"))=0),1,0),0)</f>
        <v>0</v>
      </c>
      <c r="AJ826" s="80">
        <f>IF(AC826=1,1440-Z826,AD826)</f>
        <v>0</v>
      </c>
      <c r="AK826" s="80">
        <f>IF(AND(AB826=1,AH826=1),MAX(0,MIN(IF(AC826=1,1440,AA826),CFG_WEM)-MAX(Z826,CFG_WSM)),0)</f>
        <v>0</v>
      </c>
      <c r="AL826" s="80">
        <f>IF(AND(AC826=1,AI826=1),MAX(0,MIN(AA826,CFG_WEM)-CFG_WSM),0)</f>
        <v>0</v>
      </c>
      <c r="AM826" s="80">
        <f>AK826+AL826</f>
        <v>0</v>
      </c>
      <c r="AN826" s="80">
        <f>IF(CFG_BRK="Proporcional",IF(AD826=0,0,AF826*AM826/AD826),IF(CFG_BRK="Extras primero",MIN(AM826,MAX(0,AF826-(AD826-AM826))),MIN(AF826,AM826)))</f>
        <v>0</v>
      </c>
      <c r="AO826" s="80">
        <f>AF826-AN826</f>
        <v>0</v>
      </c>
      <c r="AP826" s="80">
        <f>AM826-AN826</f>
        <v>0</v>
      </c>
      <c r="AQ826" s="80">
        <f>AD826-AM826-AO826</f>
        <v>0</v>
      </c>
      <c r="AR826" s="80">
        <f>IF(AM826=0,0,AK826-AN826*AK826/AM826)</f>
        <v>0</v>
      </c>
      <c r="AS826" s="80">
        <f>IF(AD826-AM826=0,0,(AJ826-AK826)-AO826*(AJ826-AK826)/(AD826-AM826))</f>
        <v>0</v>
      </c>
      <c r="AT826" s="80" t="str">
        <f>IF(AC826=1,INT(B826)+1,"")</f>
        <v/>
      </c>
      <c r="AU826" s="80">
        <f>IF(AND(D826="proMX",R826="Cancelled"),0,1)</f>
        <v>1</v>
      </c>
      <c r="AV826" s="80">
        <f>IF(AND(AB826=1,AU826=1),IF(COUNTIFS($D$5:D825,D826,$B$5:B825,B826,$Z$5:Z825,Z826,$AA$5:AA825,AA826,$F$5:F825,F826&amp;"",$AU$5:AU825,1)&gt;0,1,0),0)</f>
        <v>0</v>
      </c>
      <c r="AW826" s="80" t="str">
        <f>IF(AB826=1,INT(B826)*1440+Z826,"")</f>
        <v/>
      </c>
      <c r="AX826" s="80" t="str">
        <f>IF(AB826=1,AW826+AD826,"")</f>
        <v/>
      </c>
      <c r="AY826" s="80">
        <f>IF(AND(AB826=1,AV826=0,AU826=1),1,0)</f>
        <v>0</v>
      </c>
      <c r="AZ826" s="80">
        <f>IF(AY826=1,COUNTIFS(R_Emp,D826,R_SAbs,"&lt;"&amp;AX826,R_EAbs,"&gt;"&amp;AW826,R_OKey,1)-1,0)</f>
        <v>0</v>
      </c>
      <c r="BA826" s="80">
        <f>IF(AY826=1,COUNTIFS(R_Emp,"&lt;&gt;"&amp;D826,R_SAbs,"&lt;"&amp;AX826,R_EAbs,"&gt;"&amp;AW826,R_OKey,1),0)</f>
        <v>0</v>
      </c>
      <c r="BB826" s="80">
        <f>IF(AND(AB826=1,D826="proMX"),IF(AND(MOD(Z826,CFG_BLK)=0,MOD(AA826,CFG_BLK)=0,MOD(AG826,CFG_BLK)=0,AG826&gt;0),1,0),1)</f>
        <v>1</v>
      </c>
      <c r="BC826" s="80" t="str">
        <f>IF(Y826=0,"",IF(NOT(ISNUMBER(B826)),"Falta fecha o fecha inválida",IF(D826="","Falta empresa",IF(AND(D826&lt;&gt;"Malcolm",D826&lt;&gt;"proMX"),"Empresa inválida",IF(OR(INT(B826)&lt;CFG_PSTART,INT(B826)&gt;CFG_PEND),"Fecha fuera del período",IF(OR(NOT(ISNUMBER(Z826)),NOT(ISNUMBER(AA826))),"Falta hora inicio/fin o formato inválido",IF(AB826=0,"Hora inicio = hora fin",IF(AE826&lt;0,"Descanso inválido",IF(AE826&gt;=AD826,"Descanso ≥ duración",IF(AV826=1,"Registro duplicado",IF(AZ826&gt;0,"Se superpone con otro registro "&amp;D826,IF(BB826=0,"inicio, fin y duración neta deben ser múltiplos de "&amp;CFG_BLK&amp;" min",""))))))))))))</f>
        <v/>
      </c>
      <c r="BD826" s="80">
        <f>IF(AND(Y826=1,BC826=""),1,0)</f>
        <v>0</v>
      </c>
      <c r="BE826" s="80">
        <f>IF(AND(BD826=1,AU826=1),1,0)</f>
        <v>0</v>
      </c>
      <c r="BF826" s="80" t="str">
        <f>IF(AND(D826="proMX",BD826=1),IF(R826="","Draft",R826),"")</f>
        <v/>
      </c>
      <c r="BG826" s="80">
        <f>IF(BD826=1,ROUND(AG826/60,6),0)</f>
        <v>0</v>
      </c>
      <c r="BH826" s="80">
        <f>IF(BE826=1,ROUND(AG826/60,6),0)</f>
        <v>0</v>
      </c>
      <c r="BI826" s="80">
        <f>IF(BE826=1,ROUND(AP826/60,6),0)</f>
        <v>0</v>
      </c>
      <c r="BJ826" s="80">
        <f>IF(BE826=1,ROUND(AQ826/60,6),0)</f>
        <v>0</v>
      </c>
      <c r="BK826" s="80">
        <f>IF(BE826=1,ROUND((AR826+AS826)/60,6),0)</f>
        <v>0</v>
      </c>
      <c r="BL826" s="80">
        <f>ROUND(BH826-BK826,6)</f>
        <v>0</v>
      </c>
      <c r="BM826" s="80">
        <f>IF(BE826=1,ROUND(AR826/60,6),0)</f>
        <v>0</v>
      </c>
      <c r="BN826" s="80">
        <f>ROUND(BI826-BM826,6)</f>
        <v>0</v>
      </c>
      <c r="BO826" s="80">
        <f>IF(BE826=1,ROUND(AS826/60,6),0)</f>
        <v>0</v>
      </c>
      <c r="BP826" s="80">
        <f>ROUND(BJ826-BO826,6)</f>
        <v>0</v>
      </c>
      <c r="BQ826" s="80">
        <f>IF(BE826=1,AW826,0)</f>
        <v>0</v>
      </c>
      <c r="BR826" s="80">
        <f>IF(BE826=1,AX826,0)</f>
        <v>0</v>
      </c>
      <c r="BS826" s="80">
        <f>IF(AND(BE826=1,D826="Malcolm",BA826&gt;0),MIN(BH826,SUMPRODUCT((R_Emp="proMX")*(R_EN&gt;0)*((R_EN-(R_EN&gt;BR826)*(R_EN-BR826))&gt;(R_SN+(R_SN&lt;BQ826)*(BQ826-R_SN)))*((R_EN-(R_EN&gt;BR826)*(R_EN-BR826))-(R_SN+(R_SN&lt;BQ826)*(BQ826-R_SN))))/60),0)</f>
        <v>0</v>
      </c>
      <c r="BT826" s="80">
        <f>IF(AND(BE826=1,D826="proMX"),ROUND(BI826*CFG_RATE+BJ826*CFG_OTRATE,6),0)</f>
        <v>0</v>
      </c>
      <c r="BU826" s="80">
        <f>IF(AND(BD826=1,D826="proMX"),ROUND(AG826/CFG_BLK,6),0)</f>
        <v>0</v>
      </c>
      <c r="BV826" s="80" t="str">
        <f>IF(BF826="Approved",IF(ISNUMBER(T826),INT(T826),INT(B826)),"")</f>
        <v/>
      </c>
      <c r="BW826" s="80">
        <f>IF(ISNUMBER(B826),IF(DB_MON="Todos",1,IF(AND(INT(B826)&gt;=DB_MS,INT(B826)&lt;=DB_ME),1,0)),0)</f>
        <v>0</v>
      </c>
      <c r="BX826" s="80">
        <f>IF(DB_PROJ="Todos",1,IF(E826&amp;""=DB_PROJ&amp;"",1,0))</f>
        <v>1</v>
      </c>
      <c r="BY826" s="80">
        <f>BW826*BX826</f>
        <v>0</v>
      </c>
      <c r="BZ826" s="80" t="str">
        <f>IF(Y826=1,F826&amp;IF(AND(F826&amp;""&lt;&gt;"",E826&amp;""&lt;&gt;"")," · ","")&amp;E826,"")</f>
        <v/>
      </c>
      <c r="CA826" s="80" t="str">
        <f>IF(AND(BD826=1,E826&amp;""&lt;&gt;""),IF(COUNTIFS($E$5:E825,E826,$BD$5:BD825,1)=0,MAX($CA$5:CA825)+1,""),"")</f>
        <v/>
      </c>
      <c r="CB826" s="80" t="str">
        <f>IF(AND(BE826=1,D826="Malcolm",E826&amp;""&lt;&gt;""),IF(COUNTIFS($D$5:D825,"Malcolm",$E$5:E825,E826,$BE$5:BE825,1)=0,MAX($CB$5:CB825)+1,""),"")</f>
        <v/>
      </c>
      <c r="CC826" s="80" t="str">
        <f>IF(AND(BD826=1,D826="proMX",E826&amp;""&lt;&gt;""),IF(COUNTIFS($D$5:D825,"proMX",$E$5:E825,E826,$BD$5:BD825,1)=0,MAX($CC$5:CC825)+1,""),"")</f>
        <v/>
      </c>
      <c r="CD826" s="80" t="str">
        <f>IF(AND(BE826=1,D826="Malcolm",F826&amp;""&lt;&gt;""),IF(COUNTIFS($D$5:D825,"Malcolm",$F$5:F825,F826,$BE$5:BE825,1)=0,MAX($CD$5:CD825)+1,""),"")</f>
        <v/>
      </c>
      <c r="CE826" s="80" t="str">
        <f>IF(AND(BD826=1,D826="proMX",F826&amp;""&lt;&gt;""),IF(COUNTIFS($D$5:D825,"proMX",$F$5:F825,F826,$BD$5:BD825,1)=0,MAX($CE$5:CE825)+1,""),"")</f>
        <v/>
      </c>
      <c r="CF826" s="80" t="str">
        <f>IF(AND(D826="proMX",BD826=1),IF(OR(BF826="Draft",BF826="Submitted",BF826="Returned",BF826="Recall Requested"),MAX($CF$5:CF825)+1,""),"")</f>
        <v/>
      </c>
      <c r="CG826" s="80">
        <f>IF(BD826=0,0,IF(D826="Malcolm",1,MATCH(BF826,{"Draft","Submitted","Approved","Returned","Recall Requested","Cancelled"},0)+1))</f>
        <v>0</v>
      </c>
      <c r="CH826" s="80">
        <f>IF(AND(BF826="Submitted",ISNUMBER(V826)),IF(V826&gt;CFG_MAXD,1,0),0)</f>
        <v>0</v>
      </c>
    </row>
    <row r="827">
      <c r="A827" s="71" t="str">
        <f>IF(Y827=1,ROW()-5,"")</f>
        <v/>
      </c>
      <c r="B827" s="72" t="n"/>
      <c r="C827" s="71" t="str">
        <f>IF(ISNUMBER(B827),CHOOSE(WEEKDAY(B827,2),"Lun","Mar","Mié","Jue","Vie","Sáb","Dom"),"")</f>
        <v/>
      </c>
      <c r="D827" s="73" t="n"/>
      <c r="E827" s="74" t="n"/>
      <c r="F827" s="74" t="n"/>
      <c r="G827" s="74" t="n"/>
      <c r="H827" s="75" t="n"/>
      <c r="I827" s="75" t="n"/>
      <c r="J827" s="76" t="n"/>
      <c r="K827" s="77" t="str">
        <f>IF(AB827=1,ROUND(AG827/60,4),"")</f>
        <v/>
      </c>
      <c r="L827" s="77" t="str">
        <f>IF(BD827=1,ROUND(AP827/60,4),"")</f>
        <v/>
      </c>
      <c r="M827" s="77" t="str">
        <f>IF(BD827=1,ROUND(AQ827/60,4),"")</f>
        <v/>
      </c>
      <c r="N827" s="71" t="str">
        <f>IF(AND(D827="proMX",AB827=1),ROUND(AG827/CFG_BLK,2),"")</f>
        <v/>
      </c>
      <c r="O827" s="77" t="str">
        <f>IF(D827="proMX",IF(BD827=1,ROUND(AG827/60,4),0),"")</f>
        <v/>
      </c>
      <c r="P827" s="78" t="str">
        <f>IF(Y827=0,"",IF(BD827=1,"OK",IF(D827="proMX","Revisar bloques: ","Revisar: ")&amp;BC827))</f>
        <v/>
      </c>
      <c r="Q827" s="78" t="str">
        <f>IF(NOT(ISNUMBER(B827)),"",IF(COUNTIFS(FER_F,INT(B827))&gt;0,"Feriado"&amp;IF(AH827=1," (laborable)"," (no laborable)"),IF(AH827=1,"Laborable",IF(WEEKDAY(B827,2)&gt;5,"Fin de semana","No laborable"))))</f>
        <v/>
      </c>
      <c r="R827" s="73" t="n"/>
      <c r="S827" s="72" t="n"/>
      <c r="T827" s="72" t="n"/>
      <c r="U827" s="74" t="n"/>
      <c r="V827" s="79" t="str">
        <f>IF(AND(D827="proMX",OR(R827="Submitted",R827="Recall Requested"),ISNUMBER(S827)),CFG_TODAY-INT(S827),"")</f>
        <v/>
      </c>
      <c r="W827" s="78" t="str">
        <f>IF(BD827=0,"",IF(BA827&gt;0,"⚠ Se superpone con un registro de la otra empresa",IF(D827="Malcolm",IF(COUNTA(R827,S827,T827)&gt;0,"Estado/fechas proMX se ignoran en Malcolm",""),IF(BF827="Cancelled","Cancelado: excluido de totales",IF(R827="","Sin estado: se trata como Draft",IF(BF827="Submitted",IF(ISNUMBER(V827),IF(V827&gt;CFG_MAXD,"⚠ "&amp;V827&amp;" días en Submitted (máx. "&amp;CFG_MAXD&amp;")",""),"Falta fecha de envío"),IF(BF827="Returned","⚠ Devuelto: corregir y reenviar",IF(BF827="Recall Requested","Retirada solicitada: pendiente",IF(AND(BF827="Approved",NOT(ISNUMBER(T827))),"Falta fecha de aprobación",IF(AND(ISNUMBER(S827),ISNUMBER(T827),T827&lt;S827),"Aprobación anterior al envío","")))))))))</f>
        <v/>
      </c>
      <c r="Y827" s="80">
        <f>IF(COUNTA(B827,D827,E827,F827,G827,H827,I827,J827,R827,S827,T827)&gt;0,1,0)</f>
        <v>0</v>
      </c>
      <c r="Z827" s="80" t="str">
        <f>IF(AND(ISNUMBER(H827),H827&gt;=0,H827&lt;1),ROUND(H827*1440,0),"")</f>
        <v/>
      </c>
      <c r="AA827" s="80" t="str">
        <f>IF(AND(ISNUMBER(I827),I827&gt;=0,I827&lt;1),ROUND(I827*1440,0),"")</f>
        <v/>
      </c>
      <c r="AB827" s="80">
        <f>IF(AND(ISNUMBER(B827),D827&lt;&gt;"",ISNUMBER(Z827),ISNUMBER(AA827)),IF(Z827=AA827,0,1),0)</f>
        <v>0</v>
      </c>
      <c r="AC827" s="80">
        <f>IF(AB827=1,IF(AA827&lt;Z827,1,0),0)</f>
        <v>0</v>
      </c>
      <c r="AD827" s="80">
        <f>IF(AB827=1,IF(AC827=1,1440-Z827+AA827,AA827-Z827),0)</f>
        <v>0</v>
      </c>
      <c r="AE827" s="80">
        <f>IF(J827="",0,IF(ISNUMBER(J827),J827,-1))</f>
        <v>0</v>
      </c>
      <c r="AF827" s="80">
        <f>MIN(MAX(0,AE827),AD827)</f>
        <v>0</v>
      </c>
      <c r="AG827" s="80">
        <f>MAX(0,AD827-MAX(0,AE827))</f>
        <v>0</v>
      </c>
      <c r="AH827" s="80">
        <f>IF(ISNUMBER(B827),IF(AND(INDEX(CFG_WDAYS,WEEKDAY(INT(B827),2))="Sí",IF(D827="proMX",COUNTIFS(FER_F,INT(B827),FER_NLP,"Sí"),COUNTIFS(FER_F,INT(B827),FER_NLM,"Sí"))=0),1,0),0)</f>
        <v>0</v>
      </c>
      <c r="AI827" s="80">
        <f>IF(AC827=1,IF(AND(INDEX(CFG_WDAYS,WEEKDAY(INT(B827)+1,2))="Sí",IF(D827="proMX",COUNTIFS(FER_F,INT(B827)+1,FER_NLP,"Sí"),COUNTIFS(FER_F,INT(B827)+1,FER_NLM,"Sí"))=0),1,0),0)</f>
        <v>0</v>
      </c>
      <c r="AJ827" s="80">
        <f>IF(AC827=1,1440-Z827,AD827)</f>
        <v>0</v>
      </c>
      <c r="AK827" s="80">
        <f>IF(AND(AB827=1,AH827=1),MAX(0,MIN(IF(AC827=1,1440,AA827),CFG_WEM)-MAX(Z827,CFG_WSM)),0)</f>
        <v>0</v>
      </c>
      <c r="AL827" s="80">
        <f>IF(AND(AC827=1,AI827=1),MAX(0,MIN(AA827,CFG_WEM)-CFG_WSM),0)</f>
        <v>0</v>
      </c>
      <c r="AM827" s="80">
        <f>AK827+AL827</f>
        <v>0</v>
      </c>
      <c r="AN827" s="80">
        <f>IF(CFG_BRK="Proporcional",IF(AD827=0,0,AF827*AM827/AD827),IF(CFG_BRK="Extras primero",MIN(AM827,MAX(0,AF827-(AD827-AM827))),MIN(AF827,AM827)))</f>
        <v>0</v>
      </c>
      <c r="AO827" s="80">
        <f>AF827-AN827</f>
        <v>0</v>
      </c>
      <c r="AP827" s="80">
        <f>AM827-AN827</f>
        <v>0</v>
      </c>
      <c r="AQ827" s="80">
        <f>AD827-AM827-AO827</f>
        <v>0</v>
      </c>
      <c r="AR827" s="80">
        <f>IF(AM827=0,0,AK827-AN827*AK827/AM827)</f>
        <v>0</v>
      </c>
      <c r="AS827" s="80">
        <f>IF(AD827-AM827=0,0,(AJ827-AK827)-AO827*(AJ827-AK827)/(AD827-AM827))</f>
        <v>0</v>
      </c>
      <c r="AT827" s="80" t="str">
        <f>IF(AC827=1,INT(B827)+1,"")</f>
        <v/>
      </c>
      <c r="AU827" s="80">
        <f>IF(AND(D827="proMX",R827="Cancelled"),0,1)</f>
        <v>1</v>
      </c>
      <c r="AV827" s="80">
        <f>IF(AND(AB827=1,AU827=1),IF(COUNTIFS($D$5:D826,D827,$B$5:B826,B827,$Z$5:Z826,Z827,$AA$5:AA826,AA827,$F$5:F826,F827&amp;"",$AU$5:AU826,1)&gt;0,1,0),0)</f>
        <v>0</v>
      </c>
      <c r="AW827" s="80" t="str">
        <f>IF(AB827=1,INT(B827)*1440+Z827,"")</f>
        <v/>
      </c>
      <c r="AX827" s="80" t="str">
        <f>IF(AB827=1,AW827+AD827,"")</f>
        <v/>
      </c>
      <c r="AY827" s="80">
        <f>IF(AND(AB827=1,AV827=0,AU827=1),1,0)</f>
        <v>0</v>
      </c>
      <c r="AZ827" s="80">
        <f>IF(AY827=1,COUNTIFS(R_Emp,D827,R_SAbs,"&lt;"&amp;AX827,R_EAbs,"&gt;"&amp;AW827,R_OKey,1)-1,0)</f>
        <v>0</v>
      </c>
      <c r="BA827" s="80">
        <f>IF(AY827=1,COUNTIFS(R_Emp,"&lt;&gt;"&amp;D827,R_SAbs,"&lt;"&amp;AX827,R_EAbs,"&gt;"&amp;AW827,R_OKey,1),0)</f>
        <v>0</v>
      </c>
      <c r="BB827" s="80">
        <f>IF(AND(AB827=1,D827="proMX"),IF(AND(MOD(Z827,CFG_BLK)=0,MOD(AA827,CFG_BLK)=0,MOD(AG827,CFG_BLK)=0,AG827&gt;0),1,0),1)</f>
        <v>1</v>
      </c>
      <c r="BC827" s="80" t="str">
        <f>IF(Y827=0,"",IF(NOT(ISNUMBER(B827)),"Falta fecha o fecha inválida",IF(D827="","Falta empresa",IF(AND(D827&lt;&gt;"Malcolm",D827&lt;&gt;"proMX"),"Empresa inválida",IF(OR(INT(B827)&lt;CFG_PSTART,INT(B827)&gt;CFG_PEND),"Fecha fuera del período",IF(OR(NOT(ISNUMBER(Z827)),NOT(ISNUMBER(AA827))),"Falta hora inicio/fin o formato inválido",IF(AB827=0,"Hora inicio = hora fin",IF(AE827&lt;0,"Descanso inválido",IF(AE827&gt;=AD827,"Descanso ≥ duración",IF(AV827=1,"Registro duplicado",IF(AZ827&gt;0,"Se superpone con otro registro "&amp;D827,IF(BB827=0,"inicio, fin y duración neta deben ser múltiplos de "&amp;CFG_BLK&amp;" min",""))))))))))))</f>
        <v/>
      </c>
      <c r="BD827" s="80">
        <f>IF(AND(Y827=1,BC827=""),1,0)</f>
        <v>0</v>
      </c>
      <c r="BE827" s="80">
        <f>IF(AND(BD827=1,AU827=1),1,0)</f>
        <v>0</v>
      </c>
      <c r="BF827" s="80" t="str">
        <f>IF(AND(D827="proMX",BD827=1),IF(R827="","Draft",R827),"")</f>
        <v/>
      </c>
      <c r="BG827" s="80">
        <f>IF(BD827=1,ROUND(AG827/60,6),0)</f>
        <v>0</v>
      </c>
      <c r="BH827" s="80">
        <f>IF(BE827=1,ROUND(AG827/60,6),0)</f>
        <v>0</v>
      </c>
      <c r="BI827" s="80">
        <f>IF(BE827=1,ROUND(AP827/60,6),0)</f>
        <v>0</v>
      </c>
      <c r="BJ827" s="80">
        <f>IF(BE827=1,ROUND(AQ827/60,6),0)</f>
        <v>0</v>
      </c>
      <c r="BK827" s="80">
        <f>IF(BE827=1,ROUND((AR827+AS827)/60,6),0)</f>
        <v>0</v>
      </c>
      <c r="BL827" s="80">
        <f>ROUND(BH827-BK827,6)</f>
        <v>0</v>
      </c>
      <c r="BM827" s="80">
        <f>IF(BE827=1,ROUND(AR827/60,6),0)</f>
        <v>0</v>
      </c>
      <c r="BN827" s="80">
        <f>ROUND(BI827-BM827,6)</f>
        <v>0</v>
      </c>
      <c r="BO827" s="80">
        <f>IF(BE827=1,ROUND(AS827/60,6),0)</f>
        <v>0</v>
      </c>
      <c r="BP827" s="80">
        <f>ROUND(BJ827-BO827,6)</f>
        <v>0</v>
      </c>
      <c r="BQ827" s="80">
        <f>IF(BE827=1,AW827,0)</f>
        <v>0</v>
      </c>
      <c r="BR827" s="80">
        <f>IF(BE827=1,AX827,0)</f>
        <v>0</v>
      </c>
      <c r="BS827" s="80">
        <f>IF(AND(BE827=1,D827="Malcolm",BA827&gt;0),MIN(BH827,SUMPRODUCT((R_Emp="proMX")*(R_EN&gt;0)*((R_EN-(R_EN&gt;BR827)*(R_EN-BR827))&gt;(R_SN+(R_SN&lt;BQ827)*(BQ827-R_SN)))*((R_EN-(R_EN&gt;BR827)*(R_EN-BR827))-(R_SN+(R_SN&lt;BQ827)*(BQ827-R_SN))))/60),0)</f>
        <v>0</v>
      </c>
      <c r="BT827" s="80">
        <f>IF(AND(BE827=1,D827="proMX"),ROUND(BI827*CFG_RATE+BJ827*CFG_OTRATE,6),0)</f>
        <v>0</v>
      </c>
      <c r="BU827" s="80">
        <f>IF(AND(BD827=1,D827="proMX"),ROUND(AG827/CFG_BLK,6),0)</f>
        <v>0</v>
      </c>
      <c r="BV827" s="80" t="str">
        <f>IF(BF827="Approved",IF(ISNUMBER(T827),INT(T827),INT(B827)),"")</f>
        <v/>
      </c>
      <c r="BW827" s="80">
        <f>IF(ISNUMBER(B827),IF(DB_MON="Todos",1,IF(AND(INT(B827)&gt;=DB_MS,INT(B827)&lt;=DB_ME),1,0)),0)</f>
        <v>0</v>
      </c>
      <c r="BX827" s="80">
        <f>IF(DB_PROJ="Todos",1,IF(E827&amp;""=DB_PROJ&amp;"",1,0))</f>
        <v>1</v>
      </c>
      <c r="BY827" s="80">
        <f>BW827*BX827</f>
        <v>0</v>
      </c>
      <c r="BZ827" s="80" t="str">
        <f>IF(Y827=1,F827&amp;IF(AND(F827&amp;""&lt;&gt;"",E827&amp;""&lt;&gt;"")," · ","")&amp;E827,"")</f>
        <v/>
      </c>
      <c r="CA827" s="80" t="str">
        <f>IF(AND(BD827=1,E827&amp;""&lt;&gt;""),IF(COUNTIFS($E$5:E826,E827,$BD$5:BD826,1)=0,MAX($CA$5:CA826)+1,""),"")</f>
        <v/>
      </c>
      <c r="CB827" s="80" t="str">
        <f>IF(AND(BE827=1,D827="Malcolm",E827&amp;""&lt;&gt;""),IF(COUNTIFS($D$5:D826,"Malcolm",$E$5:E826,E827,$BE$5:BE826,1)=0,MAX($CB$5:CB826)+1,""),"")</f>
        <v/>
      </c>
      <c r="CC827" s="80" t="str">
        <f>IF(AND(BD827=1,D827="proMX",E827&amp;""&lt;&gt;""),IF(COUNTIFS($D$5:D826,"proMX",$E$5:E826,E827,$BD$5:BD826,1)=0,MAX($CC$5:CC826)+1,""),"")</f>
        <v/>
      </c>
      <c r="CD827" s="80" t="str">
        <f>IF(AND(BE827=1,D827="Malcolm",F827&amp;""&lt;&gt;""),IF(COUNTIFS($D$5:D826,"Malcolm",$F$5:F826,F827,$BE$5:BE826,1)=0,MAX($CD$5:CD826)+1,""),"")</f>
        <v/>
      </c>
      <c r="CE827" s="80" t="str">
        <f>IF(AND(BD827=1,D827="proMX",F827&amp;""&lt;&gt;""),IF(COUNTIFS($D$5:D826,"proMX",$F$5:F826,F827,$BD$5:BD826,1)=0,MAX($CE$5:CE826)+1,""),"")</f>
        <v/>
      </c>
      <c r="CF827" s="80" t="str">
        <f>IF(AND(D827="proMX",BD827=1),IF(OR(BF827="Draft",BF827="Submitted",BF827="Returned",BF827="Recall Requested"),MAX($CF$5:CF826)+1,""),"")</f>
        <v/>
      </c>
      <c r="CG827" s="80">
        <f>IF(BD827=0,0,IF(D827="Malcolm",1,MATCH(BF827,{"Draft","Submitted","Approved","Returned","Recall Requested","Cancelled"},0)+1))</f>
        <v>0</v>
      </c>
      <c r="CH827" s="80">
        <f>IF(AND(BF827="Submitted",ISNUMBER(V827)),IF(V827&gt;CFG_MAXD,1,0),0)</f>
        <v>0</v>
      </c>
    </row>
    <row r="828">
      <c r="A828" s="71" t="str">
        <f>IF(Y828=1,ROW()-5,"")</f>
        <v/>
      </c>
      <c r="B828" s="72" t="n"/>
      <c r="C828" s="71" t="str">
        <f>IF(ISNUMBER(B828),CHOOSE(WEEKDAY(B828,2),"Lun","Mar","Mié","Jue","Vie","Sáb","Dom"),"")</f>
        <v/>
      </c>
      <c r="D828" s="73" t="n"/>
      <c r="E828" s="74" t="n"/>
      <c r="F828" s="74" t="n"/>
      <c r="G828" s="74" t="n"/>
      <c r="H828" s="75" t="n"/>
      <c r="I828" s="75" t="n"/>
      <c r="J828" s="76" t="n"/>
      <c r="K828" s="77" t="str">
        <f>IF(AB828=1,ROUND(AG828/60,4),"")</f>
        <v/>
      </c>
      <c r="L828" s="77" t="str">
        <f>IF(BD828=1,ROUND(AP828/60,4),"")</f>
        <v/>
      </c>
      <c r="M828" s="77" t="str">
        <f>IF(BD828=1,ROUND(AQ828/60,4),"")</f>
        <v/>
      </c>
      <c r="N828" s="71" t="str">
        <f>IF(AND(D828="proMX",AB828=1),ROUND(AG828/CFG_BLK,2),"")</f>
        <v/>
      </c>
      <c r="O828" s="77" t="str">
        <f>IF(D828="proMX",IF(BD828=1,ROUND(AG828/60,4),0),"")</f>
        <v/>
      </c>
      <c r="P828" s="78" t="str">
        <f>IF(Y828=0,"",IF(BD828=1,"OK",IF(D828="proMX","Revisar bloques: ","Revisar: ")&amp;BC828))</f>
        <v/>
      </c>
      <c r="Q828" s="78" t="str">
        <f>IF(NOT(ISNUMBER(B828)),"",IF(COUNTIFS(FER_F,INT(B828))&gt;0,"Feriado"&amp;IF(AH828=1," (laborable)"," (no laborable)"),IF(AH828=1,"Laborable",IF(WEEKDAY(B828,2)&gt;5,"Fin de semana","No laborable"))))</f>
        <v/>
      </c>
      <c r="R828" s="73" t="n"/>
      <c r="S828" s="72" t="n"/>
      <c r="T828" s="72" t="n"/>
      <c r="U828" s="74" t="n"/>
      <c r="V828" s="79" t="str">
        <f>IF(AND(D828="proMX",OR(R828="Submitted",R828="Recall Requested"),ISNUMBER(S828)),CFG_TODAY-INT(S828),"")</f>
        <v/>
      </c>
      <c r="W828" s="78" t="str">
        <f>IF(BD828=0,"",IF(BA828&gt;0,"⚠ Se superpone con un registro de la otra empresa",IF(D828="Malcolm",IF(COUNTA(R828,S828,T828)&gt;0,"Estado/fechas proMX se ignoran en Malcolm",""),IF(BF828="Cancelled","Cancelado: excluido de totales",IF(R828="","Sin estado: se trata como Draft",IF(BF828="Submitted",IF(ISNUMBER(V828),IF(V828&gt;CFG_MAXD,"⚠ "&amp;V828&amp;" días en Submitted (máx. "&amp;CFG_MAXD&amp;")",""),"Falta fecha de envío"),IF(BF828="Returned","⚠ Devuelto: corregir y reenviar",IF(BF828="Recall Requested","Retirada solicitada: pendiente",IF(AND(BF828="Approved",NOT(ISNUMBER(T828))),"Falta fecha de aprobación",IF(AND(ISNUMBER(S828),ISNUMBER(T828),T828&lt;S828),"Aprobación anterior al envío","")))))))))</f>
        <v/>
      </c>
      <c r="Y828" s="80">
        <f>IF(COUNTA(B828,D828,E828,F828,G828,H828,I828,J828,R828,S828,T828)&gt;0,1,0)</f>
        <v>0</v>
      </c>
      <c r="Z828" s="80" t="str">
        <f>IF(AND(ISNUMBER(H828),H828&gt;=0,H828&lt;1),ROUND(H828*1440,0),"")</f>
        <v/>
      </c>
      <c r="AA828" s="80" t="str">
        <f>IF(AND(ISNUMBER(I828),I828&gt;=0,I828&lt;1),ROUND(I828*1440,0),"")</f>
        <v/>
      </c>
      <c r="AB828" s="80">
        <f>IF(AND(ISNUMBER(B828),D828&lt;&gt;"",ISNUMBER(Z828),ISNUMBER(AA828)),IF(Z828=AA828,0,1),0)</f>
        <v>0</v>
      </c>
      <c r="AC828" s="80">
        <f>IF(AB828=1,IF(AA828&lt;Z828,1,0),0)</f>
        <v>0</v>
      </c>
      <c r="AD828" s="80">
        <f>IF(AB828=1,IF(AC828=1,1440-Z828+AA828,AA828-Z828),0)</f>
        <v>0</v>
      </c>
      <c r="AE828" s="80">
        <f>IF(J828="",0,IF(ISNUMBER(J828),J828,-1))</f>
        <v>0</v>
      </c>
      <c r="AF828" s="80">
        <f>MIN(MAX(0,AE828),AD828)</f>
        <v>0</v>
      </c>
      <c r="AG828" s="80">
        <f>MAX(0,AD828-MAX(0,AE828))</f>
        <v>0</v>
      </c>
      <c r="AH828" s="80">
        <f>IF(ISNUMBER(B828),IF(AND(INDEX(CFG_WDAYS,WEEKDAY(INT(B828),2))="Sí",IF(D828="proMX",COUNTIFS(FER_F,INT(B828),FER_NLP,"Sí"),COUNTIFS(FER_F,INT(B828),FER_NLM,"Sí"))=0),1,0),0)</f>
        <v>0</v>
      </c>
      <c r="AI828" s="80">
        <f>IF(AC828=1,IF(AND(INDEX(CFG_WDAYS,WEEKDAY(INT(B828)+1,2))="Sí",IF(D828="proMX",COUNTIFS(FER_F,INT(B828)+1,FER_NLP,"Sí"),COUNTIFS(FER_F,INT(B828)+1,FER_NLM,"Sí"))=0),1,0),0)</f>
        <v>0</v>
      </c>
      <c r="AJ828" s="80">
        <f>IF(AC828=1,1440-Z828,AD828)</f>
        <v>0</v>
      </c>
      <c r="AK828" s="80">
        <f>IF(AND(AB828=1,AH828=1),MAX(0,MIN(IF(AC828=1,1440,AA828),CFG_WEM)-MAX(Z828,CFG_WSM)),0)</f>
        <v>0</v>
      </c>
      <c r="AL828" s="80">
        <f>IF(AND(AC828=1,AI828=1),MAX(0,MIN(AA828,CFG_WEM)-CFG_WSM),0)</f>
        <v>0</v>
      </c>
      <c r="AM828" s="80">
        <f>AK828+AL828</f>
        <v>0</v>
      </c>
      <c r="AN828" s="80">
        <f>IF(CFG_BRK="Proporcional",IF(AD828=0,0,AF828*AM828/AD828),IF(CFG_BRK="Extras primero",MIN(AM828,MAX(0,AF828-(AD828-AM828))),MIN(AF828,AM828)))</f>
        <v>0</v>
      </c>
      <c r="AO828" s="80">
        <f>AF828-AN828</f>
        <v>0</v>
      </c>
      <c r="AP828" s="80">
        <f>AM828-AN828</f>
        <v>0</v>
      </c>
      <c r="AQ828" s="80">
        <f>AD828-AM828-AO828</f>
        <v>0</v>
      </c>
      <c r="AR828" s="80">
        <f>IF(AM828=0,0,AK828-AN828*AK828/AM828)</f>
        <v>0</v>
      </c>
      <c r="AS828" s="80">
        <f>IF(AD828-AM828=0,0,(AJ828-AK828)-AO828*(AJ828-AK828)/(AD828-AM828))</f>
        <v>0</v>
      </c>
      <c r="AT828" s="80" t="str">
        <f>IF(AC828=1,INT(B828)+1,"")</f>
        <v/>
      </c>
      <c r="AU828" s="80">
        <f>IF(AND(D828="proMX",R828="Cancelled"),0,1)</f>
        <v>1</v>
      </c>
      <c r="AV828" s="80">
        <f>IF(AND(AB828=1,AU828=1),IF(COUNTIFS($D$5:D827,D828,$B$5:B827,B828,$Z$5:Z827,Z828,$AA$5:AA827,AA828,$F$5:F827,F828&amp;"",$AU$5:AU827,1)&gt;0,1,0),0)</f>
        <v>0</v>
      </c>
      <c r="AW828" s="80" t="str">
        <f>IF(AB828=1,INT(B828)*1440+Z828,"")</f>
        <v/>
      </c>
      <c r="AX828" s="80" t="str">
        <f>IF(AB828=1,AW828+AD828,"")</f>
        <v/>
      </c>
      <c r="AY828" s="80">
        <f>IF(AND(AB828=1,AV828=0,AU828=1),1,0)</f>
        <v>0</v>
      </c>
      <c r="AZ828" s="80">
        <f>IF(AY828=1,COUNTIFS(R_Emp,D828,R_SAbs,"&lt;"&amp;AX828,R_EAbs,"&gt;"&amp;AW828,R_OKey,1)-1,0)</f>
        <v>0</v>
      </c>
      <c r="BA828" s="80">
        <f>IF(AY828=1,COUNTIFS(R_Emp,"&lt;&gt;"&amp;D828,R_SAbs,"&lt;"&amp;AX828,R_EAbs,"&gt;"&amp;AW828,R_OKey,1),0)</f>
        <v>0</v>
      </c>
      <c r="BB828" s="80">
        <f>IF(AND(AB828=1,D828="proMX"),IF(AND(MOD(Z828,CFG_BLK)=0,MOD(AA828,CFG_BLK)=0,MOD(AG828,CFG_BLK)=0,AG828&gt;0),1,0),1)</f>
        <v>1</v>
      </c>
      <c r="BC828" s="80" t="str">
        <f>IF(Y828=0,"",IF(NOT(ISNUMBER(B828)),"Falta fecha o fecha inválida",IF(D828="","Falta empresa",IF(AND(D828&lt;&gt;"Malcolm",D828&lt;&gt;"proMX"),"Empresa inválida",IF(OR(INT(B828)&lt;CFG_PSTART,INT(B828)&gt;CFG_PEND),"Fecha fuera del período",IF(OR(NOT(ISNUMBER(Z828)),NOT(ISNUMBER(AA828))),"Falta hora inicio/fin o formato inválido",IF(AB828=0,"Hora inicio = hora fin",IF(AE828&lt;0,"Descanso inválido",IF(AE828&gt;=AD828,"Descanso ≥ duración",IF(AV828=1,"Registro duplicado",IF(AZ828&gt;0,"Se superpone con otro registro "&amp;D828,IF(BB828=0,"inicio, fin y duración neta deben ser múltiplos de "&amp;CFG_BLK&amp;" min",""))))))))))))</f>
        <v/>
      </c>
      <c r="BD828" s="80">
        <f>IF(AND(Y828=1,BC828=""),1,0)</f>
        <v>0</v>
      </c>
      <c r="BE828" s="80">
        <f>IF(AND(BD828=1,AU828=1),1,0)</f>
        <v>0</v>
      </c>
      <c r="BF828" s="80" t="str">
        <f>IF(AND(D828="proMX",BD828=1),IF(R828="","Draft",R828),"")</f>
        <v/>
      </c>
      <c r="BG828" s="80">
        <f>IF(BD828=1,ROUND(AG828/60,6),0)</f>
        <v>0</v>
      </c>
      <c r="BH828" s="80">
        <f>IF(BE828=1,ROUND(AG828/60,6),0)</f>
        <v>0</v>
      </c>
      <c r="BI828" s="80">
        <f>IF(BE828=1,ROUND(AP828/60,6),0)</f>
        <v>0</v>
      </c>
      <c r="BJ828" s="80">
        <f>IF(BE828=1,ROUND(AQ828/60,6),0)</f>
        <v>0</v>
      </c>
      <c r="BK828" s="80">
        <f>IF(BE828=1,ROUND((AR828+AS828)/60,6),0)</f>
        <v>0</v>
      </c>
      <c r="BL828" s="80">
        <f>ROUND(BH828-BK828,6)</f>
        <v>0</v>
      </c>
      <c r="BM828" s="80">
        <f>IF(BE828=1,ROUND(AR828/60,6),0)</f>
        <v>0</v>
      </c>
      <c r="BN828" s="80">
        <f>ROUND(BI828-BM828,6)</f>
        <v>0</v>
      </c>
      <c r="BO828" s="80">
        <f>IF(BE828=1,ROUND(AS828/60,6),0)</f>
        <v>0</v>
      </c>
      <c r="BP828" s="80">
        <f>ROUND(BJ828-BO828,6)</f>
        <v>0</v>
      </c>
      <c r="BQ828" s="80">
        <f>IF(BE828=1,AW828,0)</f>
        <v>0</v>
      </c>
      <c r="BR828" s="80">
        <f>IF(BE828=1,AX828,0)</f>
        <v>0</v>
      </c>
      <c r="BS828" s="80">
        <f>IF(AND(BE828=1,D828="Malcolm",BA828&gt;0),MIN(BH828,SUMPRODUCT((R_Emp="proMX")*(R_EN&gt;0)*((R_EN-(R_EN&gt;BR828)*(R_EN-BR828))&gt;(R_SN+(R_SN&lt;BQ828)*(BQ828-R_SN)))*((R_EN-(R_EN&gt;BR828)*(R_EN-BR828))-(R_SN+(R_SN&lt;BQ828)*(BQ828-R_SN))))/60),0)</f>
        <v>0</v>
      </c>
      <c r="BT828" s="80">
        <f>IF(AND(BE828=1,D828="proMX"),ROUND(BI828*CFG_RATE+BJ828*CFG_OTRATE,6),0)</f>
        <v>0</v>
      </c>
      <c r="BU828" s="80">
        <f>IF(AND(BD828=1,D828="proMX"),ROUND(AG828/CFG_BLK,6),0)</f>
        <v>0</v>
      </c>
      <c r="BV828" s="80" t="str">
        <f>IF(BF828="Approved",IF(ISNUMBER(T828),INT(T828),INT(B828)),"")</f>
        <v/>
      </c>
      <c r="BW828" s="80">
        <f>IF(ISNUMBER(B828),IF(DB_MON="Todos",1,IF(AND(INT(B828)&gt;=DB_MS,INT(B828)&lt;=DB_ME),1,0)),0)</f>
        <v>0</v>
      </c>
      <c r="BX828" s="80">
        <f>IF(DB_PROJ="Todos",1,IF(E828&amp;""=DB_PROJ&amp;"",1,0))</f>
        <v>1</v>
      </c>
      <c r="BY828" s="80">
        <f>BW828*BX828</f>
        <v>0</v>
      </c>
      <c r="BZ828" s="80" t="str">
        <f>IF(Y828=1,F828&amp;IF(AND(F828&amp;""&lt;&gt;"",E828&amp;""&lt;&gt;"")," · ","")&amp;E828,"")</f>
        <v/>
      </c>
      <c r="CA828" s="80" t="str">
        <f>IF(AND(BD828=1,E828&amp;""&lt;&gt;""),IF(COUNTIFS($E$5:E827,E828,$BD$5:BD827,1)=0,MAX($CA$5:CA827)+1,""),"")</f>
        <v/>
      </c>
      <c r="CB828" s="80" t="str">
        <f>IF(AND(BE828=1,D828="Malcolm",E828&amp;""&lt;&gt;""),IF(COUNTIFS($D$5:D827,"Malcolm",$E$5:E827,E828,$BE$5:BE827,1)=0,MAX($CB$5:CB827)+1,""),"")</f>
        <v/>
      </c>
      <c r="CC828" s="80" t="str">
        <f>IF(AND(BD828=1,D828="proMX",E828&amp;""&lt;&gt;""),IF(COUNTIFS($D$5:D827,"proMX",$E$5:E827,E828,$BD$5:BD827,1)=0,MAX($CC$5:CC827)+1,""),"")</f>
        <v/>
      </c>
      <c r="CD828" s="80" t="str">
        <f>IF(AND(BE828=1,D828="Malcolm",F828&amp;""&lt;&gt;""),IF(COUNTIFS($D$5:D827,"Malcolm",$F$5:F827,F828,$BE$5:BE827,1)=0,MAX($CD$5:CD827)+1,""),"")</f>
        <v/>
      </c>
      <c r="CE828" s="80" t="str">
        <f>IF(AND(BD828=1,D828="proMX",F828&amp;""&lt;&gt;""),IF(COUNTIFS($D$5:D827,"proMX",$F$5:F827,F828,$BD$5:BD827,1)=0,MAX($CE$5:CE827)+1,""),"")</f>
        <v/>
      </c>
      <c r="CF828" s="80" t="str">
        <f>IF(AND(D828="proMX",BD828=1),IF(OR(BF828="Draft",BF828="Submitted",BF828="Returned",BF828="Recall Requested"),MAX($CF$5:CF827)+1,""),"")</f>
        <v/>
      </c>
      <c r="CG828" s="80">
        <f>IF(BD828=0,0,IF(D828="Malcolm",1,MATCH(BF828,{"Draft","Submitted","Approved","Returned","Recall Requested","Cancelled"},0)+1))</f>
        <v>0</v>
      </c>
      <c r="CH828" s="80">
        <f>IF(AND(BF828="Submitted",ISNUMBER(V828)),IF(V828&gt;CFG_MAXD,1,0),0)</f>
        <v>0</v>
      </c>
    </row>
    <row r="829">
      <c r="A829" s="71" t="str">
        <f>IF(Y829=1,ROW()-5,"")</f>
        <v/>
      </c>
      <c r="B829" s="72" t="n"/>
      <c r="C829" s="71" t="str">
        <f>IF(ISNUMBER(B829),CHOOSE(WEEKDAY(B829,2),"Lun","Mar","Mié","Jue","Vie","Sáb","Dom"),"")</f>
        <v/>
      </c>
      <c r="D829" s="73" t="n"/>
      <c r="E829" s="74" t="n"/>
      <c r="F829" s="74" t="n"/>
      <c r="G829" s="74" t="n"/>
      <c r="H829" s="75" t="n"/>
      <c r="I829" s="75" t="n"/>
      <c r="J829" s="76" t="n"/>
      <c r="K829" s="77" t="str">
        <f>IF(AB829=1,ROUND(AG829/60,4),"")</f>
        <v/>
      </c>
      <c r="L829" s="77" t="str">
        <f>IF(BD829=1,ROUND(AP829/60,4),"")</f>
        <v/>
      </c>
      <c r="M829" s="77" t="str">
        <f>IF(BD829=1,ROUND(AQ829/60,4),"")</f>
        <v/>
      </c>
      <c r="N829" s="71" t="str">
        <f>IF(AND(D829="proMX",AB829=1),ROUND(AG829/CFG_BLK,2),"")</f>
        <v/>
      </c>
      <c r="O829" s="77" t="str">
        <f>IF(D829="proMX",IF(BD829=1,ROUND(AG829/60,4),0),"")</f>
        <v/>
      </c>
      <c r="P829" s="78" t="str">
        <f>IF(Y829=0,"",IF(BD829=1,"OK",IF(D829="proMX","Revisar bloques: ","Revisar: ")&amp;BC829))</f>
        <v/>
      </c>
      <c r="Q829" s="78" t="str">
        <f>IF(NOT(ISNUMBER(B829)),"",IF(COUNTIFS(FER_F,INT(B829))&gt;0,"Feriado"&amp;IF(AH829=1," (laborable)"," (no laborable)"),IF(AH829=1,"Laborable",IF(WEEKDAY(B829,2)&gt;5,"Fin de semana","No laborable"))))</f>
        <v/>
      </c>
      <c r="R829" s="73" t="n"/>
      <c r="S829" s="72" t="n"/>
      <c r="T829" s="72" t="n"/>
      <c r="U829" s="74" t="n"/>
      <c r="V829" s="79" t="str">
        <f>IF(AND(D829="proMX",OR(R829="Submitted",R829="Recall Requested"),ISNUMBER(S829)),CFG_TODAY-INT(S829),"")</f>
        <v/>
      </c>
      <c r="W829" s="78" t="str">
        <f>IF(BD829=0,"",IF(BA829&gt;0,"⚠ Se superpone con un registro de la otra empresa",IF(D829="Malcolm",IF(COUNTA(R829,S829,T829)&gt;0,"Estado/fechas proMX se ignoran en Malcolm",""),IF(BF829="Cancelled","Cancelado: excluido de totales",IF(R829="","Sin estado: se trata como Draft",IF(BF829="Submitted",IF(ISNUMBER(V829),IF(V829&gt;CFG_MAXD,"⚠ "&amp;V829&amp;" días en Submitted (máx. "&amp;CFG_MAXD&amp;")",""),"Falta fecha de envío"),IF(BF829="Returned","⚠ Devuelto: corregir y reenviar",IF(BF829="Recall Requested","Retirada solicitada: pendiente",IF(AND(BF829="Approved",NOT(ISNUMBER(T829))),"Falta fecha de aprobación",IF(AND(ISNUMBER(S829),ISNUMBER(T829),T829&lt;S829),"Aprobación anterior al envío","")))))))))</f>
        <v/>
      </c>
      <c r="Y829" s="80">
        <f>IF(COUNTA(B829,D829,E829,F829,G829,H829,I829,J829,R829,S829,T829)&gt;0,1,0)</f>
        <v>0</v>
      </c>
      <c r="Z829" s="80" t="str">
        <f>IF(AND(ISNUMBER(H829),H829&gt;=0,H829&lt;1),ROUND(H829*1440,0),"")</f>
        <v/>
      </c>
      <c r="AA829" s="80" t="str">
        <f>IF(AND(ISNUMBER(I829),I829&gt;=0,I829&lt;1),ROUND(I829*1440,0),"")</f>
        <v/>
      </c>
      <c r="AB829" s="80">
        <f>IF(AND(ISNUMBER(B829),D829&lt;&gt;"",ISNUMBER(Z829),ISNUMBER(AA829)),IF(Z829=AA829,0,1),0)</f>
        <v>0</v>
      </c>
      <c r="AC829" s="80">
        <f>IF(AB829=1,IF(AA829&lt;Z829,1,0),0)</f>
        <v>0</v>
      </c>
      <c r="AD829" s="80">
        <f>IF(AB829=1,IF(AC829=1,1440-Z829+AA829,AA829-Z829),0)</f>
        <v>0</v>
      </c>
      <c r="AE829" s="80">
        <f>IF(J829="",0,IF(ISNUMBER(J829),J829,-1))</f>
        <v>0</v>
      </c>
      <c r="AF829" s="80">
        <f>MIN(MAX(0,AE829),AD829)</f>
        <v>0</v>
      </c>
      <c r="AG829" s="80">
        <f>MAX(0,AD829-MAX(0,AE829))</f>
        <v>0</v>
      </c>
      <c r="AH829" s="80">
        <f>IF(ISNUMBER(B829),IF(AND(INDEX(CFG_WDAYS,WEEKDAY(INT(B829),2))="Sí",IF(D829="proMX",COUNTIFS(FER_F,INT(B829),FER_NLP,"Sí"),COUNTIFS(FER_F,INT(B829),FER_NLM,"Sí"))=0),1,0),0)</f>
        <v>0</v>
      </c>
      <c r="AI829" s="80">
        <f>IF(AC829=1,IF(AND(INDEX(CFG_WDAYS,WEEKDAY(INT(B829)+1,2))="Sí",IF(D829="proMX",COUNTIFS(FER_F,INT(B829)+1,FER_NLP,"Sí"),COUNTIFS(FER_F,INT(B829)+1,FER_NLM,"Sí"))=0),1,0),0)</f>
        <v>0</v>
      </c>
      <c r="AJ829" s="80">
        <f>IF(AC829=1,1440-Z829,AD829)</f>
        <v>0</v>
      </c>
      <c r="AK829" s="80">
        <f>IF(AND(AB829=1,AH829=1),MAX(0,MIN(IF(AC829=1,1440,AA829),CFG_WEM)-MAX(Z829,CFG_WSM)),0)</f>
        <v>0</v>
      </c>
      <c r="AL829" s="80">
        <f>IF(AND(AC829=1,AI829=1),MAX(0,MIN(AA829,CFG_WEM)-CFG_WSM),0)</f>
        <v>0</v>
      </c>
      <c r="AM829" s="80">
        <f>AK829+AL829</f>
        <v>0</v>
      </c>
      <c r="AN829" s="80">
        <f>IF(CFG_BRK="Proporcional",IF(AD829=0,0,AF829*AM829/AD829),IF(CFG_BRK="Extras primero",MIN(AM829,MAX(0,AF829-(AD829-AM829))),MIN(AF829,AM829)))</f>
        <v>0</v>
      </c>
      <c r="AO829" s="80">
        <f>AF829-AN829</f>
        <v>0</v>
      </c>
      <c r="AP829" s="80">
        <f>AM829-AN829</f>
        <v>0</v>
      </c>
      <c r="AQ829" s="80">
        <f>AD829-AM829-AO829</f>
        <v>0</v>
      </c>
      <c r="AR829" s="80">
        <f>IF(AM829=0,0,AK829-AN829*AK829/AM829)</f>
        <v>0</v>
      </c>
      <c r="AS829" s="80">
        <f>IF(AD829-AM829=0,0,(AJ829-AK829)-AO829*(AJ829-AK829)/(AD829-AM829))</f>
        <v>0</v>
      </c>
      <c r="AT829" s="80" t="str">
        <f>IF(AC829=1,INT(B829)+1,"")</f>
        <v/>
      </c>
      <c r="AU829" s="80">
        <f>IF(AND(D829="proMX",R829="Cancelled"),0,1)</f>
        <v>1</v>
      </c>
      <c r="AV829" s="80">
        <f>IF(AND(AB829=1,AU829=1),IF(COUNTIFS($D$5:D828,D829,$B$5:B828,B829,$Z$5:Z828,Z829,$AA$5:AA828,AA829,$F$5:F828,F829&amp;"",$AU$5:AU828,1)&gt;0,1,0),0)</f>
        <v>0</v>
      </c>
      <c r="AW829" s="80" t="str">
        <f>IF(AB829=1,INT(B829)*1440+Z829,"")</f>
        <v/>
      </c>
      <c r="AX829" s="80" t="str">
        <f>IF(AB829=1,AW829+AD829,"")</f>
        <v/>
      </c>
      <c r="AY829" s="80">
        <f>IF(AND(AB829=1,AV829=0,AU829=1),1,0)</f>
        <v>0</v>
      </c>
      <c r="AZ829" s="80">
        <f>IF(AY829=1,COUNTIFS(R_Emp,D829,R_SAbs,"&lt;"&amp;AX829,R_EAbs,"&gt;"&amp;AW829,R_OKey,1)-1,0)</f>
        <v>0</v>
      </c>
      <c r="BA829" s="80">
        <f>IF(AY829=1,COUNTIFS(R_Emp,"&lt;&gt;"&amp;D829,R_SAbs,"&lt;"&amp;AX829,R_EAbs,"&gt;"&amp;AW829,R_OKey,1),0)</f>
        <v>0</v>
      </c>
      <c r="BB829" s="80">
        <f>IF(AND(AB829=1,D829="proMX"),IF(AND(MOD(Z829,CFG_BLK)=0,MOD(AA829,CFG_BLK)=0,MOD(AG829,CFG_BLK)=0,AG829&gt;0),1,0),1)</f>
        <v>1</v>
      </c>
      <c r="BC829" s="80" t="str">
        <f>IF(Y829=0,"",IF(NOT(ISNUMBER(B829)),"Falta fecha o fecha inválida",IF(D829="","Falta empresa",IF(AND(D829&lt;&gt;"Malcolm",D829&lt;&gt;"proMX"),"Empresa inválida",IF(OR(INT(B829)&lt;CFG_PSTART,INT(B829)&gt;CFG_PEND),"Fecha fuera del período",IF(OR(NOT(ISNUMBER(Z829)),NOT(ISNUMBER(AA829))),"Falta hora inicio/fin o formato inválido",IF(AB829=0,"Hora inicio = hora fin",IF(AE829&lt;0,"Descanso inválido",IF(AE829&gt;=AD829,"Descanso ≥ duración",IF(AV829=1,"Registro duplicado",IF(AZ829&gt;0,"Se superpone con otro registro "&amp;D829,IF(BB829=0,"inicio, fin y duración neta deben ser múltiplos de "&amp;CFG_BLK&amp;" min",""))))))))))))</f>
        <v/>
      </c>
      <c r="BD829" s="80">
        <f>IF(AND(Y829=1,BC829=""),1,0)</f>
        <v>0</v>
      </c>
      <c r="BE829" s="80">
        <f>IF(AND(BD829=1,AU829=1),1,0)</f>
        <v>0</v>
      </c>
      <c r="BF829" s="80" t="str">
        <f>IF(AND(D829="proMX",BD829=1),IF(R829="","Draft",R829),"")</f>
        <v/>
      </c>
      <c r="BG829" s="80">
        <f>IF(BD829=1,ROUND(AG829/60,6),0)</f>
        <v>0</v>
      </c>
      <c r="BH829" s="80">
        <f>IF(BE829=1,ROUND(AG829/60,6),0)</f>
        <v>0</v>
      </c>
      <c r="BI829" s="80">
        <f>IF(BE829=1,ROUND(AP829/60,6),0)</f>
        <v>0</v>
      </c>
      <c r="BJ829" s="80">
        <f>IF(BE829=1,ROUND(AQ829/60,6),0)</f>
        <v>0</v>
      </c>
      <c r="BK829" s="80">
        <f>IF(BE829=1,ROUND((AR829+AS829)/60,6),0)</f>
        <v>0</v>
      </c>
      <c r="BL829" s="80">
        <f>ROUND(BH829-BK829,6)</f>
        <v>0</v>
      </c>
      <c r="BM829" s="80">
        <f>IF(BE829=1,ROUND(AR829/60,6),0)</f>
        <v>0</v>
      </c>
      <c r="BN829" s="80">
        <f>ROUND(BI829-BM829,6)</f>
        <v>0</v>
      </c>
      <c r="BO829" s="80">
        <f>IF(BE829=1,ROUND(AS829/60,6),0)</f>
        <v>0</v>
      </c>
      <c r="BP829" s="80">
        <f>ROUND(BJ829-BO829,6)</f>
        <v>0</v>
      </c>
      <c r="BQ829" s="80">
        <f>IF(BE829=1,AW829,0)</f>
        <v>0</v>
      </c>
      <c r="BR829" s="80">
        <f>IF(BE829=1,AX829,0)</f>
        <v>0</v>
      </c>
      <c r="BS829" s="80">
        <f>IF(AND(BE829=1,D829="Malcolm",BA829&gt;0),MIN(BH829,SUMPRODUCT((R_Emp="proMX")*(R_EN&gt;0)*((R_EN-(R_EN&gt;BR829)*(R_EN-BR829))&gt;(R_SN+(R_SN&lt;BQ829)*(BQ829-R_SN)))*((R_EN-(R_EN&gt;BR829)*(R_EN-BR829))-(R_SN+(R_SN&lt;BQ829)*(BQ829-R_SN))))/60),0)</f>
        <v>0</v>
      </c>
      <c r="BT829" s="80">
        <f>IF(AND(BE829=1,D829="proMX"),ROUND(BI829*CFG_RATE+BJ829*CFG_OTRATE,6),0)</f>
        <v>0</v>
      </c>
      <c r="BU829" s="80">
        <f>IF(AND(BD829=1,D829="proMX"),ROUND(AG829/CFG_BLK,6),0)</f>
        <v>0</v>
      </c>
      <c r="BV829" s="80" t="str">
        <f>IF(BF829="Approved",IF(ISNUMBER(T829),INT(T829),INT(B829)),"")</f>
        <v/>
      </c>
      <c r="BW829" s="80">
        <f>IF(ISNUMBER(B829),IF(DB_MON="Todos",1,IF(AND(INT(B829)&gt;=DB_MS,INT(B829)&lt;=DB_ME),1,0)),0)</f>
        <v>0</v>
      </c>
      <c r="BX829" s="80">
        <f>IF(DB_PROJ="Todos",1,IF(E829&amp;""=DB_PROJ&amp;"",1,0))</f>
        <v>1</v>
      </c>
      <c r="BY829" s="80">
        <f>BW829*BX829</f>
        <v>0</v>
      </c>
      <c r="BZ829" s="80" t="str">
        <f>IF(Y829=1,F829&amp;IF(AND(F829&amp;""&lt;&gt;"",E829&amp;""&lt;&gt;"")," · ","")&amp;E829,"")</f>
        <v/>
      </c>
      <c r="CA829" s="80" t="str">
        <f>IF(AND(BD829=1,E829&amp;""&lt;&gt;""),IF(COUNTIFS($E$5:E828,E829,$BD$5:BD828,1)=0,MAX($CA$5:CA828)+1,""),"")</f>
        <v/>
      </c>
      <c r="CB829" s="80" t="str">
        <f>IF(AND(BE829=1,D829="Malcolm",E829&amp;""&lt;&gt;""),IF(COUNTIFS($D$5:D828,"Malcolm",$E$5:E828,E829,$BE$5:BE828,1)=0,MAX($CB$5:CB828)+1,""),"")</f>
        <v/>
      </c>
      <c r="CC829" s="80" t="str">
        <f>IF(AND(BD829=1,D829="proMX",E829&amp;""&lt;&gt;""),IF(COUNTIFS($D$5:D828,"proMX",$E$5:E828,E829,$BD$5:BD828,1)=0,MAX($CC$5:CC828)+1,""),"")</f>
        <v/>
      </c>
      <c r="CD829" s="80" t="str">
        <f>IF(AND(BE829=1,D829="Malcolm",F829&amp;""&lt;&gt;""),IF(COUNTIFS($D$5:D828,"Malcolm",$F$5:F828,F829,$BE$5:BE828,1)=0,MAX($CD$5:CD828)+1,""),"")</f>
        <v/>
      </c>
      <c r="CE829" s="80" t="str">
        <f>IF(AND(BD829=1,D829="proMX",F829&amp;""&lt;&gt;""),IF(COUNTIFS($D$5:D828,"proMX",$F$5:F828,F829,$BD$5:BD828,1)=0,MAX($CE$5:CE828)+1,""),"")</f>
        <v/>
      </c>
      <c r="CF829" s="80" t="str">
        <f>IF(AND(D829="proMX",BD829=1),IF(OR(BF829="Draft",BF829="Submitted",BF829="Returned",BF829="Recall Requested"),MAX($CF$5:CF828)+1,""),"")</f>
        <v/>
      </c>
      <c r="CG829" s="80">
        <f>IF(BD829=0,0,IF(D829="Malcolm",1,MATCH(BF829,{"Draft","Submitted","Approved","Returned","Recall Requested","Cancelled"},0)+1))</f>
        <v>0</v>
      </c>
      <c r="CH829" s="80">
        <f>IF(AND(BF829="Submitted",ISNUMBER(V829)),IF(V829&gt;CFG_MAXD,1,0),0)</f>
        <v>0</v>
      </c>
    </row>
    <row r="830">
      <c r="A830" s="71" t="str">
        <f>IF(Y830=1,ROW()-5,"")</f>
        <v/>
      </c>
      <c r="B830" s="72" t="n"/>
      <c r="C830" s="71" t="str">
        <f>IF(ISNUMBER(B830),CHOOSE(WEEKDAY(B830,2),"Lun","Mar","Mié","Jue","Vie","Sáb","Dom"),"")</f>
        <v/>
      </c>
      <c r="D830" s="73" t="n"/>
      <c r="E830" s="74" t="n"/>
      <c r="F830" s="74" t="n"/>
      <c r="G830" s="74" t="n"/>
      <c r="H830" s="75" t="n"/>
      <c r="I830" s="75" t="n"/>
      <c r="J830" s="76" t="n"/>
      <c r="K830" s="77" t="str">
        <f>IF(AB830=1,ROUND(AG830/60,4),"")</f>
        <v/>
      </c>
      <c r="L830" s="77" t="str">
        <f>IF(BD830=1,ROUND(AP830/60,4),"")</f>
        <v/>
      </c>
      <c r="M830" s="77" t="str">
        <f>IF(BD830=1,ROUND(AQ830/60,4),"")</f>
        <v/>
      </c>
      <c r="N830" s="71" t="str">
        <f>IF(AND(D830="proMX",AB830=1),ROUND(AG830/CFG_BLK,2),"")</f>
        <v/>
      </c>
      <c r="O830" s="77" t="str">
        <f>IF(D830="proMX",IF(BD830=1,ROUND(AG830/60,4),0),"")</f>
        <v/>
      </c>
      <c r="P830" s="78" t="str">
        <f>IF(Y830=0,"",IF(BD830=1,"OK",IF(D830="proMX","Revisar bloques: ","Revisar: ")&amp;BC830))</f>
        <v/>
      </c>
      <c r="Q830" s="78" t="str">
        <f>IF(NOT(ISNUMBER(B830)),"",IF(COUNTIFS(FER_F,INT(B830))&gt;0,"Feriado"&amp;IF(AH830=1," (laborable)"," (no laborable)"),IF(AH830=1,"Laborable",IF(WEEKDAY(B830,2)&gt;5,"Fin de semana","No laborable"))))</f>
        <v/>
      </c>
      <c r="R830" s="73" t="n"/>
      <c r="S830" s="72" t="n"/>
      <c r="T830" s="72" t="n"/>
      <c r="U830" s="74" t="n"/>
      <c r="V830" s="79" t="str">
        <f>IF(AND(D830="proMX",OR(R830="Submitted",R830="Recall Requested"),ISNUMBER(S830)),CFG_TODAY-INT(S830),"")</f>
        <v/>
      </c>
      <c r="W830" s="78" t="str">
        <f>IF(BD830=0,"",IF(BA830&gt;0,"⚠ Se superpone con un registro de la otra empresa",IF(D830="Malcolm",IF(COUNTA(R830,S830,T830)&gt;0,"Estado/fechas proMX se ignoran en Malcolm",""),IF(BF830="Cancelled","Cancelado: excluido de totales",IF(R830="","Sin estado: se trata como Draft",IF(BF830="Submitted",IF(ISNUMBER(V830),IF(V830&gt;CFG_MAXD,"⚠ "&amp;V830&amp;" días en Submitted (máx. "&amp;CFG_MAXD&amp;")",""),"Falta fecha de envío"),IF(BF830="Returned","⚠ Devuelto: corregir y reenviar",IF(BF830="Recall Requested","Retirada solicitada: pendiente",IF(AND(BF830="Approved",NOT(ISNUMBER(T830))),"Falta fecha de aprobación",IF(AND(ISNUMBER(S830),ISNUMBER(T830),T830&lt;S830),"Aprobación anterior al envío","")))))))))</f>
        <v/>
      </c>
      <c r="Y830" s="80">
        <f>IF(COUNTA(B830,D830,E830,F830,G830,H830,I830,J830,R830,S830,T830)&gt;0,1,0)</f>
        <v>0</v>
      </c>
      <c r="Z830" s="80" t="str">
        <f>IF(AND(ISNUMBER(H830),H830&gt;=0,H830&lt;1),ROUND(H830*1440,0),"")</f>
        <v/>
      </c>
      <c r="AA830" s="80" t="str">
        <f>IF(AND(ISNUMBER(I830),I830&gt;=0,I830&lt;1),ROUND(I830*1440,0),"")</f>
        <v/>
      </c>
      <c r="AB830" s="80">
        <f>IF(AND(ISNUMBER(B830),D830&lt;&gt;"",ISNUMBER(Z830),ISNUMBER(AA830)),IF(Z830=AA830,0,1),0)</f>
        <v>0</v>
      </c>
      <c r="AC830" s="80">
        <f>IF(AB830=1,IF(AA830&lt;Z830,1,0),0)</f>
        <v>0</v>
      </c>
      <c r="AD830" s="80">
        <f>IF(AB830=1,IF(AC830=1,1440-Z830+AA830,AA830-Z830),0)</f>
        <v>0</v>
      </c>
      <c r="AE830" s="80">
        <f>IF(J830="",0,IF(ISNUMBER(J830),J830,-1))</f>
        <v>0</v>
      </c>
      <c r="AF830" s="80">
        <f>MIN(MAX(0,AE830),AD830)</f>
        <v>0</v>
      </c>
      <c r="AG830" s="80">
        <f>MAX(0,AD830-MAX(0,AE830))</f>
        <v>0</v>
      </c>
      <c r="AH830" s="80">
        <f>IF(ISNUMBER(B830),IF(AND(INDEX(CFG_WDAYS,WEEKDAY(INT(B830),2))="Sí",IF(D830="proMX",COUNTIFS(FER_F,INT(B830),FER_NLP,"Sí"),COUNTIFS(FER_F,INT(B830),FER_NLM,"Sí"))=0),1,0),0)</f>
        <v>0</v>
      </c>
      <c r="AI830" s="80">
        <f>IF(AC830=1,IF(AND(INDEX(CFG_WDAYS,WEEKDAY(INT(B830)+1,2))="Sí",IF(D830="proMX",COUNTIFS(FER_F,INT(B830)+1,FER_NLP,"Sí"),COUNTIFS(FER_F,INT(B830)+1,FER_NLM,"Sí"))=0),1,0),0)</f>
        <v>0</v>
      </c>
      <c r="AJ830" s="80">
        <f>IF(AC830=1,1440-Z830,AD830)</f>
        <v>0</v>
      </c>
      <c r="AK830" s="80">
        <f>IF(AND(AB830=1,AH830=1),MAX(0,MIN(IF(AC830=1,1440,AA830),CFG_WEM)-MAX(Z830,CFG_WSM)),0)</f>
        <v>0</v>
      </c>
      <c r="AL830" s="80">
        <f>IF(AND(AC830=1,AI830=1),MAX(0,MIN(AA830,CFG_WEM)-CFG_WSM),0)</f>
        <v>0</v>
      </c>
      <c r="AM830" s="80">
        <f>AK830+AL830</f>
        <v>0</v>
      </c>
      <c r="AN830" s="80">
        <f>IF(CFG_BRK="Proporcional",IF(AD830=0,0,AF830*AM830/AD830),IF(CFG_BRK="Extras primero",MIN(AM830,MAX(0,AF830-(AD830-AM830))),MIN(AF830,AM830)))</f>
        <v>0</v>
      </c>
      <c r="AO830" s="80">
        <f>AF830-AN830</f>
        <v>0</v>
      </c>
      <c r="AP830" s="80">
        <f>AM830-AN830</f>
        <v>0</v>
      </c>
      <c r="AQ830" s="80">
        <f>AD830-AM830-AO830</f>
        <v>0</v>
      </c>
      <c r="AR830" s="80">
        <f>IF(AM830=0,0,AK830-AN830*AK830/AM830)</f>
        <v>0</v>
      </c>
      <c r="AS830" s="80">
        <f>IF(AD830-AM830=0,0,(AJ830-AK830)-AO830*(AJ830-AK830)/(AD830-AM830))</f>
        <v>0</v>
      </c>
      <c r="AT830" s="80" t="str">
        <f>IF(AC830=1,INT(B830)+1,"")</f>
        <v/>
      </c>
      <c r="AU830" s="80">
        <f>IF(AND(D830="proMX",R830="Cancelled"),0,1)</f>
        <v>1</v>
      </c>
      <c r="AV830" s="80">
        <f>IF(AND(AB830=1,AU830=1),IF(COUNTIFS($D$5:D829,D830,$B$5:B829,B830,$Z$5:Z829,Z830,$AA$5:AA829,AA830,$F$5:F829,F830&amp;"",$AU$5:AU829,1)&gt;0,1,0),0)</f>
        <v>0</v>
      </c>
      <c r="AW830" s="80" t="str">
        <f>IF(AB830=1,INT(B830)*1440+Z830,"")</f>
        <v/>
      </c>
      <c r="AX830" s="80" t="str">
        <f>IF(AB830=1,AW830+AD830,"")</f>
        <v/>
      </c>
      <c r="AY830" s="80">
        <f>IF(AND(AB830=1,AV830=0,AU830=1),1,0)</f>
        <v>0</v>
      </c>
      <c r="AZ830" s="80">
        <f>IF(AY830=1,COUNTIFS(R_Emp,D830,R_SAbs,"&lt;"&amp;AX830,R_EAbs,"&gt;"&amp;AW830,R_OKey,1)-1,0)</f>
        <v>0</v>
      </c>
      <c r="BA830" s="80">
        <f>IF(AY830=1,COUNTIFS(R_Emp,"&lt;&gt;"&amp;D830,R_SAbs,"&lt;"&amp;AX830,R_EAbs,"&gt;"&amp;AW830,R_OKey,1),0)</f>
        <v>0</v>
      </c>
      <c r="BB830" s="80">
        <f>IF(AND(AB830=1,D830="proMX"),IF(AND(MOD(Z830,CFG_BLK)=0,MOD(AA830,CFG_BLK)=0,MOD(AG830,CFG_BLK)=0,AG830&gt;0),1,0),1)</f>
        <v>1</v>
      </c>
      <c r="BC830" s="80" t="str">
        <f>IF(Y830=0,"",IF(NOT(ISNUMBER(B830)),"Falta fecha o fecha inválida",IF(D830="","Falta empresa",IF(AND(D830&lt;&gt;"Malcolm",D830&lt;&gt;"proMX"),"Empresa inválida",IF(OR(INT(B830)&lt;CFG_PSTART,INT(B830)&gt;CFG_PEND),"Fecha fuera del período",IF(OR(NOT(ISNUMBER(Z830)),NOT(ISNUMBER(AA830))),"Falta hora inicio/fin o formato inválido",IF(AB830=0,"Hora inicio = hora fin",IF(AE830&lt;0,"Descanso inválido",IF(AE830&gt;=AD830,"Descanso ≥ duración",IF(AV830=1,"Registro duplicado",IF(AZ830&gt;0,"Se superpone con otro registro "&amp;D830,IF(BB830=0,"inicio, fin y duración neta deben ser múltiplos de "&amp;CFG_BLK&amp;" min",""))))))))))))</f>
        <v/>
      </c>
      <c r="BD830" s="80">
        <f>IF(AND(Y830=1,BC830=""),1,0)</f>
        <v>0</v>
      </c>
      <c r="BE830" s="80">
        <f>IF(AND(BD830=1,AU830=1),1,0)</f>
        <v>0</v>
      </c>
      <c r="BF830" s="80" t="str">
        <f>IF(AND(D830="proMX",BD830=1),IF(R830="","Draft",R830),"")</f>
        <v/>
      </c>
      <c r="BG830" s="80">
        <f>IF(BD830=1,ROUND(AG830/60,6),0)</f>
        <v>0</v>
      </c>
      <c r="BH830" s="80">
        <f>IF(BE830=1,ROUND(AG830/60,6),0)</f>
        <v>0</v>
      </c>
      <c r="BI830" s="80">
        <f>IF(BE830=1,ROUND(AP830/60,6),0)</f>
        <v>0</v>
      </c>
      <c r="BJ830" s="80">
        <f>IF(BE830=1,ROUND(AQ830/60,6),0)</f>
        <v>0</v>
      </c>
      <c r="BK830" s="80">
        <f>IF(BE830=1,ROUND((AR830+AS830)/60,6),0)</f>
        <v>0</v>
      </c>
      <c r="BL830" s="80">
        <f>ROUND(BH830-BK830,6)</f>
        <v>0</v>
      </c>
      <c r="BM830" s="80">
        <f>IF(BE830=1,ROUND(AR830/60,6),0)</f>
        <v>0</v>
      </c>
      <c r="BN830" s="80">
        <f>ROUND(BI830-BM830,6)</f>
        <v>0</v>
      </c>
      <c r="BO830" s="80">
        <f>IF(BE830=1,ROUND(AS830/60,6),0)</f>
        <v>0</v>
      </c>
      <c r="BP830" s="80">
        <f>ROUND(BJ830-BO830,6)</f>
        <v>0</v>
      </c>
      <c r="BQ830" s="80">
        <f>IF(BE830=1,AW830,0)</f>
        <v>0</v>
      </c>
      <c r="BR830" s="80">
        <f>IF(BE830=1,AX830,0)</f>
        <v>0</v>
      </c>
      <c r="BS830" s="80">
        <f>IF(AND(BE830=1,D830="Malcolm",BA830&gt;0),MIN(BH830,SUMPRODUCT((R_Emp="proMX")*(R_EN&gt;0)*((R_EN-(R_EN&gt;BR830)*(R_EN-BR830))&gt;(R_SN+(R_SN&lt;BQ830)*(BQ830-R_SN)))*((R_EN-(R_EN&gt;BR830)*(R_EN-BR830))-(R_SN+(R_SN&lt;BQ830)*(BQ830-R_SN))))/60),0)</f>
        <v>0</v>
      </c>
      <c r="BT830" s="80">
        <f>IF(AND(BE830=1,D830="proMX"),ROUND(BI830*CFG_RATE+BJ830*CFG_OTRATE,6),0)</f>
        <v>0</v>
      </c>
      <c r="BU830" s="80">
        <f>IF(AND(BD830=1,D830="proMX"),ROUND(AG830/CFG_BLK,6),0)</f>
        <v>0</v>
      </c>
      <c r="BV830" s="80" t="str">
        <f>IF(BF830="Approved",IF(ISNUMBER(T830),INT(T830),INT(B830)),"")</f>
        <v/>
      </c>
      <c r="BW830" s="80">
        <f>IF(ISNUMBER(B830),IF(DB_MON="Todos",1,IF(AND(INT(B830)&gt;=DB_MS,INT(B830)&lt;=DB_ME),1,0)),0)</f>
        <v>0</v>
      </c>
      <c r="BX830" s="80">
        <f>IF(DB_PROJ="Todos",1,IF(E830&amp;""=DB_PROJ&amp;"",1,0))</f>
        <v>1</v>
      </c>
      <c r="BY830" s="80">
        <f>BW830*BX830</f>
        <v>0</v>
      </c>
      <c r="BZ830" s="80" t="str">
        <f>IF(Y830=1,F830&amp;IF(AND(F830&amp;""&lt;&gt;"",E830&amp;""&lt;&gt;"")," · ","")&amp;E830,"")</f>
        <v/>
      </c>
      <c r="CA830" s="80" t="str">
        <f>IF(AND(BD830=1,E830&amp;""&lt;&gt;""),IF(COUNTIFS($E$5:E829,E830,$BD$5:BD829,1)=0,MAX($CA$5:CA829)+1,""),"")</f>
        <v/>
      </c>
      <c r="CB830" s="80" t="str">
        <f>IF(AND(BE830=1,D830="Malcolm",E830&amp;""&lt;&gt;""),IF(COUNTIFS($D$5:D829,"Malcolm",$E$5:E829,E830,$BE$5:BE829,1)=0,MAX($CB$5:CB829)+1,""),"")</f>
        <v/>
      </c>
      <c r="CC830" s="80" t="str">
        <f>IF(AND(BD830=1,D830="proMX",E830&amp;""&lt;&gt;""),IF(COUNTIFS($D$5:D829,"proMX",$E$5:E829,E830,$BD$5:BD829,1)=0,MAX($CC$5:CC829)+1,""),"")</f>
        <v/>
      </c>
      <c r="CD830" s="80" t="str">
        <f>IF(AND(BE830=1,D830="Malcolm",F830&amp;""&lt;&gt;""),IF(COUNTIFS($D$5:D829,"Malcolm",$F$5:F829,F830,$BE$5:BE829,1)=0,MAX($CD$5:CD829)+1,""),"")</f>
        <v/>
      </c>
      <c r="CE830" s="80" t="str">
        <f>IF(AND(BD830=1,D830="proMX",F830&amp;""&lt;&gt;""),IF(COUNTIFS($D$5:D829,"proMX",$F$5:F829,F830,$BD$5:BD829,1)=0,MAX($CE$5:CE829)+1,""),"")</f>
        <v/>
      </c>
      <c r="CF830" s="80" t="str">
        <f>IF(AND(D830="proMX",BD830=1),IF(OR(BF830="Draft",BF830="Submitted",BF830="Returned",BF830="Recall Requested"),MAX($CF$5:CF829)+1,""),"")</f>
        <v/>
      </c>
      <c r="CG830" s="80">
        <f>IF(BD830=0,0,IF(D830="Malcolm",1,MATCH(BF830,{"Draft","Submitted","Approved","Returned","Recall Requested","Cancelled"},0)+1))</f>
        <v>0</v>
      </c>
      <c r="CH830" s="80">
        <f>IF(AND(BF830="Submitted",ISNUMBER(V830)),IF(V830&gt;CFG_MAXD,1,0),0)</f>
        <v>0</v>
      </c>
    </row>
    <row r="831">
      <c r="A831" s="71" t="str">
        <f>IF(Y831=1,ROW()-5,"")</f>
        <v/>
      </c>
      <c r="B831" s="72" t="n"/>
      <c r="C831" s="71" t="str">
        <f>IF(ISNUMBER(B831),CHOOSE(WEEKDAY(B831,2),"Lun","Mar","Mié","Jue","Vie","Sáb","Dom"),"")</f>
        <v/>
      </c>
      <c r="D831" s="73" t="n"/>
      <c r="E831" s="74" t="n"/>
      <c r="F831" s="74" t="n"/>
      <c r="G831" s="74" t="n"/>
      <c r="H831" s="75" t="n"/>
      <c r="I831" s="75" t="n"/>
      <c r="J831" s="76" t="n"/>
      <c r="K831" s="77" t="str">
        <f>IF(AB831=1,ROUND(AG831/60,4),"")</f>
        <v/>
      </c>
      <c r="L831" s="77" t="str">
        <f>IF(BD831=1,ROUND(AP831/60,4),"")</f>
        <v/>
      </c>
      <c r="M831" s="77" t="str">
        <f>IF(BD831=1,ROUND(AQ831/60,4),"")</f>
        <v/>
      </c>
      <c r="N831" s="71" t="str">
        <f>IF(AND(D831="proMX",AB831=1),ROUND(AG831/CFG_BLK,2),"")</f>
        <v/>
      </c>
      <c r="O831" s="77" t="str">
        <f>IF(D831="proMX",IF(BD831=1,ROUND(AG831/60,4),0),"")</f>
        <v/>
      </c>
      <c r="P831" s="78" t="str">
        <f>IF(Y831=0,"",IF(BD831=1,"OK",IF(D831="proMX","Revisar bloques: ","Revisar: ")&amp;BC831))</f>
        <v/>
      </c>
      <c r="Q831" s="78" t="str">
        <f>IF(NOT(ISNUMBER(B831)),"",IF(COUNTIFS(FER_F,INT(B831))&gt;0,"Feriado"&amp;IF(AH831=1," (laborable)"," (no laborable)"),IF(AH831=1,"Laborable",IF(WEEKDAY(B831,2)&gt;5,"Fin de semana","No laborable"))))</f>
        <v/>
      </c>
      <c r="R831" s="73" t="n"/>
      <c r="S831" s="72" t="n"/>
      <c r="T831" s="72" t="n"/>
      <c r="U831" s="74" t="n"/>
      <c r="V831" s="79" t="str">
        <f>IF(AND(D831="proMX",OR(R831="Submitted",R831="Recall Requested"),ISNUMBER(S831)),CFG_TODAY-INT(S831),"")</f>
        <v/>
      </c>
      <c r="W831" s="78" t="str">
        <f>IF(BD831=0,"",IF(BA831&gt;0,"⚠ Se superpone con un registro de la otra empresa",IF(D831="Malcolm",IF(COUNTA(R831,S831,T831)&gt;0,"Estado/fechas proMX se ignoran en Malcolm",""),IF(BF831="Cancelled","Cancelado: excluido de totales",IF(R831="","Sin estado: se trata como Draft",IF(BF831="Submitted",IF(ISNUMBER(V831),IF(V831&gt;CFG_MAXD,"⚠ "&amp;V831&amp;" días en Submitted (máx. "&amp;CFG_MAXD&amp;")",""),"Falta fecha de envío"),IF(BF831="Returned","⚠ Devuelto: corregir y reenviar",IF(BF831="Recall Requested","Retirada solicitada: pendiente",IF(AND(BF831="Approved",NOT(ISNUMBER(T831))),"Falta fecha de aprobación",IF(AND(ISNUMBER(S831),ISNUMBER(T831),T831&lt;S831),"Aprobación anterior al envío","")))))))))</f>
        <v/>
      </c>
      <c r="Y831" s="80">
        <f>IF(COUNTA(B831,D831,E831,F831,G831,H831,I831,J831,R831,S831,T831)&gt;0,1,0)</f>
        <v>0</v>
      </c>
      <c r="Z831" s="80" t="str">
        <f>IF(AND(ISNUMBER(H831),H831&gt;=0,H831&lt;1),ROUND(H831*1440,0),"")</f>
        <v/>
      </c>
      <c r="AA831" s="80" t="str">
        <f>IF(AND(ISNUMBER(I831),I831&gt;=0,I831&lt;1),ROUND(I831*1440,0),"")</f>
        <v/>
      </c>
      <c r="AB831" s="80">
        <f>IF(AND(ISNUMBER(B831),D831&lt;&gt;"",ISNUMBER(Z831),ISNUMBER(AA831)),IF(Z831=AA831,0,1),0)</f>
        <v>0</v>
      </c>
      <c r="AC831" s="80">
        <f>IF(AB831=1,IF(AA831&lt;Z831,1,0),0)</f>
        <v>0</v>
      </c>
      <c r="AD831" s="80">
        <f>IF(AB831=1,IF(AC831=1,1440-Z831+AA831,AA831-Z831),0)</f>
        <v>0</v>
      </c>
      <c r="AE831" s="80">
        <f>IF(J831="",0,IF(ISNUMBER(J831),J831,-1))</f>
        <v>0</v>
      </c>
      <c r="AF831" s="80">
        <f>MIN(MAX(0,AE831),AD831)</f>
        <v>0</v>
      </c>
      <c r="AG831" s="80">
        <f>MAX(0,AD831-MAX(0,AE831))</f>
        <v>0</v>
      </c>
      <c r="AH831" s="80">
        <f>IF(ISNUMBER(B831),IF(AND(INDEX(CFG_WDAYS,WEEKDAY(INT(B831),2))="Sí",IF(D831="proMX",COUNTIFS(FER_F,INT(B831),FER_NLP,"Sí"),COUNTIFS(FER_F,INT(B831),FER_NLM,"Sí"))=0),1,0),0)</f>
        <v>0</v>
      </c>
      <c r="AI831" s="80">
        <f>IF(AC831=1,IF(AND(INDEX(CFG_WDAYS,WEEKDAY(INT(B831)+1,2))="Sí",IF(D831="proMX",COUNTIFS(FER_F,INT(B831)+1,FER_NLP,"Sí"),COUNTIFS(FER_F,INT(B831)+1,FER_NLM,"Sí"))=0),1,0),0)</f>
        <v>0</v>
      </c>
      <c r="AJ831" s="80">
        <f>IF(AC831=1,1440-Z831,AD831)</f>
        <v>0</v>
      </c>
      <c r="AK831" s="80">
        <f>IF(AND(AB831=1,AH831=1),MAX(0,MIN(IF(AC831=1,1440,AA831),CFG_WEM)-MAX(Z831,CFG_WSM)),0)</f>
        <v>0</v>
      </c>
      <c r="AL831" s="80">
        <f>IF(AND(AC831=1,AI831=1),MAX(0,MIN(AA831,CFG_WEM)-CFG_WSM),0)</f>
        <v>0</v>
      </c>
      <c r="AM831" s="80">
        <f>AK831+AL831</f>
        <v>0</v>
      </c>
      <c r="AN831" s="80">
        <f>IF(CFG_BRK="Proporcional",IF(AD831=0,0,AF831*AM831/AD831),IF(CFG_BRK="Extras primero",MIN(AM831,MAX(0,AF831-(AD831-AM831))),MIN(AF831,AM831)))</f>
        <v>0</v>
      </c>
      <c r="AO831" s="80">
        <f>AF831-AN831</f>
        <v>0</v>
      </c>
      <c r="AP831" s="80">
        <f>AM831-AN831</f>
        <v>0</v>
      </c>
      <c r="AQ831" s="80">
        <f>AD831-AM831-AO831</f>
        <v>0</v>
      </c>
      <c r="AR831" s="80">
        <f>IF(AM831=0,0,AK831-AN831*AK831/AM831)</f>
        <v>0</v>
      </c>
      <c r="AS831" s="80">
        <f>IF(AD831-AM831=0,0,(AJ831-AK831)-AO831*(AJ831-AK831)/(AD831-AM831))</f>
        <v>0</v>
      </c>
      <c r="AT831" s="80" t="str">
        <f>IF(AC831=1,INT(B831)+1,"")</f>
        <v/>
      </c>
      <c r="AU831" s="80">
        <f>IF(AND(D831="proMX",R831="Cancelled"),0,1)</f>
        <v>1</v>
      </c>
      <c r="AV831" s="80">
        <f>IF(AND(AB831=1,AU831=1),IF(COUNTIFS($D$5:D830,D831,$B$5:B830,B831,$Z$5:Z830,Z831,$AA$5:AA830,AA831,$F$5:F830,F831&amp;"",$AU$5:AU830,1)&gt;0,1,0),0)</f>
        <v>0</v>
      </c>
      <c r="AW831" s="80" t="str">
        <f>IF(AB831=1,INT(B831)*1440+Z831,"")</f>
        <v/>
      </c>
      <c r="AX831" s="80" t="str">
        <f>IF(AB831=1,AW831+AD831,"")</f>
        <v/>
      </c>
      <c r="AY831" s="80">
        <f>IF(AND(AB831=1,AV831=0,AU831=1),1,0)</f>
        <v>0</v>
      </c>
      <c r="AZ831" s="80">
        <f>IF(AY831=1,COUNTIFS(R_Emp,D831,R_SAbs,"&lt;"&amp;AX831,R_EAbs,"&gt;"&amp;AW831,R_OKey,1)-1,0)</f>
        <v>0</v>
      </c>
      <c r="BA831" s="80">
        <f>IF(AY831=1,COUNTIFS(R_Emp,"&lt;&gt;"&amp;D831,R_SAbs,"&lt;"&amp;AX831,R_EAbs,"&gt;"&amp;AW831,R_OKey,1),0)</f>
        <v>0</v>
      </c>
      <c r="BB831" s="80">
        <f>IF(AND(AB831=1,D831="proMX"),IF(AND(MOD(Z831,CFG_BLK)=0,MOD(AA831,CFG_BLK)=0,MOD(AG831,CFG_BLK)=0,AG831&gt;0),1,0),1)</f>
        <v>1</v>
      </c>
      <c r="BC831" s="80" t="str">
        <f>IF(Y831=0,"",IF(NOT(ISNUMBER(B831)),"Falta fecha o fecha inválida",IF(D831="","Falta empresa",IF(AND(D831&lt;&gt;"Malcolm",D831&lt;&gt;"proMX"),"Empresa inválida",IF(OR(INT(B831)&lt;CFG_PSTART,INT(B831)&gt;CFG_PEND),"Fecha fuera del período",IF(OR(NOT(ISNUMBER(Z831)),NOT(ISNUMBER(AA831))),"Falta hora inicio/fin o formato inválido",IF(AB831=0,"Hora inicio = hora fin",IF(AE831&lt;0,"Descanso inválido",IF(AE831&gt;=AD831,"Descanso ≥ duración",IF(AV831=1,"Registro duplicado",IF(AZ831&gt;0,"Se superpone con otro registro "&amp;D831,IF(BB831=0,"inicio, fin y duración neta deben ser múltiplos de "&amp;CFG_BLK&amp;" min",""))))))))))))</f>
        <v/>
      </c>
      <c r="BD831" s="80">
        <f>IF(AND(Y831=1,BC831=""),1,0)</f>
        <v>0</v>
      </c>
      <c r="BE831" s="80">
        <f>IF(AND(BD831=1,AU831=1),1,0)</f>
        <v>0</v>
      </c>
      <c r="BF831" s="80" t="str">
        <f>IF(AND(D831="proMX",BD831=1),IF(R831="","Draft",R831),"")</f>
        <v/>
      </c>
      <c r="BG831" s="80">
        <f>IF(BD831=1,ROUND(AG831/60,6),0)</f>
        <v>0</v>
      </c>
      <c r="BH831" s="80">
        <f>IF(BE831=1,ROUND(AG831/60,6),0)</f>
        <v>0</v>
      </c>
      <c r="BI831" s="80">
        <f>IF(BE831=1,ROUND(AP831/60,6),0)</f>
        <v>0</v>
      </c>
      <c r="BJ831" s="80">
        <f>IF(BE831=1,ROUND(AQ831/60,6),0)</f>
        <v>0</v>
      </c>
      <c r="BK831" s="80">
        <f>IF(BE831=1,ROUND((AR831+AS831)/60,6),0)</f>
        <v>0</v>
      </c>
      <c r="BL831" s="80">
        <f>ROUND(BH831-BK831,6)</f>
        <v>0</v>
      </c>
      <c r="BM831" s="80">
        <f>IF(BE831=1,ROUND(AR831/60,6),0)</f>
        <v>0</v>
      </c>
      <c r="BN831" s="80">
        <f>ROUND(BI831-BM831,6)</f>
        <v>0</v>
      </c>
      <c r="BO831" s="80">
        <f>IF(BE831=1,ROUND(AS831/60,6),0)</f>
        <v>0</v>
      </c>
      <c r="BP831" s="80">
        <f>ROUND(BJ831-BO831,6)</f>
        <v>0</v>
      </c>
      <c r="BQ831" s="80">
        <f>IF(BE831=1,AW831,0)</f>
        <v>0</v>
      </c>
      <c r="BR831" s="80">
        <f>IF(BE831=1,AX831,0)</f>
        <v>0</v>
      </c>
      <c r="BS831" s="80">
        <f>IF(AND(BE831=1,D831="Malcolm",BA831&gt;0),MIN(BH831,SUMPRODUCT((R_Emp="proMX")*(R_EN&gt;0)*((R_EN-(R_EN&gt;BR831)*(R_EN-BR831))&gt;(R_SN+(R_SN&lt;BQ831)*(BQ831-R_SN)))*((R_EN-(R_EN&gt;BR831)*(R_EN-BR831))-(R_SN+(R_SN&lt;BQ831)*(BQ831-R_SN))))/60),0)</f>
        <v>0</v>
      </c>
      <c r="BT831" s="80">
        <f>IF(AND(BE831=1,D831="proMX"),ROUND(BI831*CFG_RATE+BJ831*CFG_OTRATE,6),0)</f>
        <v>0</v>
      </c>
      <c r="BU831" s="80">
        <f>IF(AND(BD831=1,D831="proMX"),ROUND(AG831/CFG_BLK,6),0)</f>
        <v>0</v>
      </c>
      <c r="BV831" s="80" t="str">
        <f>IF(BF831="Approved",IF(ISNUMBER(T831),INT(T831),INT(B831)),"")</f>
        <v/>
      </c>
      <c r="BW831" s="80">
        <f>IF(ISNUMBER(B831),IF(DB_MON="Todos",1,IF(AND(INT(B831)&gt;=DB_MS,INT(B831)&lt;=DB_ME),1,0)),0)</f>
        <v>0</v>
      </c>
      <c r="BX831" s="80">
        <f>IF(DB_PROJ="Todos",1,IF(E831&amp;""=DB_PROJ&amp;"",1,0))</f>
        <v>1</v>
      </c>
      <c r="BY831" s="80">
        <f>BW831*BX831</f>
        <v>0</v>
      </c>
      <c r="BZ831" s="80" t="str">
        <f>IF(Y831=1,F831&amp;IF(AND(F831&amp;""&lt;&gt;"",E831&amp;""&lt;&gt;"")," · ","")&amp;E831,"")</f>
        <v/>
      </c>
      <c r="CA831" s="80" t="str">
        <f>IF(AND(BD831=1,E831&amp;""&lt;&gt;""),IF(COUNTIFS($E$5:E830,E831,$BD$5:BD830,1)=0,MAX($CA$5:CA830)+1,""),"")</f>
        <v/>
      </c>
      <c r="CB831" s="80" t="str">
        <f>IF(AND(BE831=1,D831="Malcolm",E831&amp;""&lt;&gt;""),IF(COUNTIFS($D$5:D830,"Malcolm",$E$5:E830,E831,$BE$5:BE830,1)=0,MAX($CB$5:CB830)+1,""),"")</f>
        <v/>
      </c>
      <c r="CC831" s="80" t="str">
        <f>IF(AND(BD831=1,D831="proMX",E831&amp;""&lt;&gt;""),IF(COUNTIFS($D$5:D830,"proMX",$E$5:E830,E831,$BD$5:BD830,1)=0,MAX($CC$5:CC830)+1,""),"")</f>
        <v/>
      </c>
      <c r="CD831" s="80" t="str">
        <f>IF(AND(BE831=1,D831="Malcolm",F831&amp;""&lt;&gt;""),IF(COUNTIFS($D$5:D830,"Malcolm",$F$5:F830,F831,$BE$5:BE830,1)=0,MAX($CD$5:CD830)+1,""),"")</f>
        <v/>
      </c>
      <c r="CE831" s="80" t="str">
        <f>IF(AND(BD831=1,D831="proMX",F831&amp;""&lt;&gt;""),IF(COUNTIFS($D$5:D830,"proMX",$F$5:F830,F831,$BD$5:BD830,1)=0,MAX($CE$5:CE830)+1,""),"")</f>
        <v/>
      </c>
      <c r="CF831" s="80" t="str">
        <f>IF(AND(D831="proMX",BD831=1),IF(OR(BF831="Draft",BF831="Submitted",BF831="Returned",BF831="Recall Requested"),MAX($CF$5:CF830)+1,""),"")</f>
        <v/>
      </c>
      <c r="CG831" s="80">
        <f>IF(BD831=0,0,IF(D831="Malcolm",1,MATCH(BF831,{"Draft","Submitted","Approved","Returned","Recall Requested","Cancelled"},0)+1))</f>
        <v>0</v>
      </c>
      <c r="CH831" s="80">
        <f>IF(AND(BF831="Submitted",ISNUMBER(V831)),IF(V831&gt;CFG_MAXD,1,0),0)</f>
        <v>0</v>
      </c>
    </row>
    <row r="832">
      <c r="A832" s="71" t="str">
        <f>IF(Y832=1,ROW()-5,"")</f>
        <v/>
      </c>
      <c r="B832" s="72" t="n"/>
      <c r="C832" s="71" t="str">
        <f>IF(ISNUMBER(B832),CHOOSE(WEEKDAY(B832,2),"Lun","Mar","Mié","Jue","Vie","Sáb","Dom"),"")</f>
        <v/>
      </c>
      <c r="D832" s="73" t="n"/>
      <c r="E832" s="74" t="n"/>
      <c r="F832" s="74" t="n"/>
      <c r="G832" s="74" t="n"/>
      <c r="H832" s="75" t="n"/>
      <c r="I832" s="75" t="n"/>
      <c r="J832" s="76" t="n"/>
      <c r="K832" s="77" t="str">
        <f>IF(AB832=1,ROUND(AG832/60,4),"")</f>
        <v/>
      </c>
      <c r="L832" s="77" t="str">
        <f>IF(BD832=1,ROUND(AP832/60,4),"")</f>
        <v/>
      </c>
      <c r="M832" s="77" t="str">
        <f>IF(BD832=1,ROUND(AQ832/60,4),"")</f>
        <v/>
      </c>
      <c r="N832" s="71" t="str">
        <f>IF(AND(D832="proMX",AB832=1),ROUND(AG832/CFG_BLK,2),"")</f>
        <v/>
      </c>
      <c r="O832" s="77" t="str">
        <f>IF(D832="proMX",IF(BD832=1,ROUND(AG832/60,4),0),"")</f>
        <v/>
      </c>
      <c r="P832" s="78" t="str">
        <f>IF(Y832=0,"",IF(BD832=1,"OK",IF(D832="proMX","Revisar bloques: ","Revisar: ")&amp;BC832))</f>
        <v/>
      </c>
      <c r="Q832" s="78" t="str">
        <f>IF(NOT(ISNUMBER(B832)),"",IF(COUNTIFS(FER_F,INT(B832))&gt;0,"Feriado"&amp;IF(AH832=1," (laborable)"," (no laborable)"),IF(AH832=1,"Laborable",IF(WEEKDAY(B832,2)&gt;5,"Fin de semana","No laborable"))))</f>
        <v/>
      </c>
      <c r="R832" s="73" t="n"/>
      <c r="S832" s="72" t="n"/>
      <c r="T832" s="72" t="n"/>
      <c r="U832" s="74" t="n"/>
      <c r="V832" s="79" t="str">
        <f>IF(AND(D832="proMX",OR(R832="Submitted",R832="Recall Requested"),ISNUMBER(S832)),CFG_TODAY-INT(S832),"")</f>
        <v/>
      </c>
      <c r="W832" s="78" t="str">
        <f>IF(BD832=0,"",IF(BA832&gt;0,"⚠ Se superpone con un registro de la otra empresa",IF(D832="Malcolm",IF(COUNTA(R832,S832,T832)&gt;0,"Estado/fechas proMX se ignoran en Malcolm",""),IF(BF832="Cancelled","Cancelado: excluido de totales",IF(R832="","Sin estado: se trata como Draft",IF(BF832="Submitted",IF(ISNUMBER(V832),IF(V832&gt;CFG_MAXD,"⚠ "&amp;V832&amp;" días en Submitted (máx. "&amp;CFG_MAXD&amp;")",""),"Falta fecha de envío"),IF(BF832="Returned","⚠ Devuelto: corregir y reenviar",IF(BF832="Recall Requested","Retirada solicitada: pendiente",IF(AND(BF832="Approved",NOT(ISNUMBER(T832))),"Falta fecha de aprobación",IF(AND(ISNUMBER(S832),ISNUMBER(T832),T832&lt;S832),"Aprobación anterior al envío","")))))))))</f>
        <v/>
      </c>
      <c r="Y832" s="80">
        <f>IF(COUNTA(B832,D832,E832,F832,G832,H832,I832,J832,R832,S832,T832)&gt;0,1,0)</f>
        <v>0</v>
      </c>
      <c r="Z832" s="80" t="str">
        <f>IF(AND(ISNUMBER(H832),H832&gt;=0,H832&lt;1),ROUND(H832*1440,0),"")</f>
        <v/>
      </c>
      <c r="AA832" s="80" t="str">
        <f>IF(AND(ISNUMBER(I832),I832&gt;=0,I832&lt;1),ROUND(I832*1440,0),"")</f>
        <v/>
      </c>
      <c r="AB832" s="80">
        <f>IF(AND(ISNUMBER(B832),D832&lt;&gt;"",ISNUMBER(Z832),ISNUMBER(AA832)),IF(Z832=AA832,0,1),0)</f>
        <v>0</v>
      </c>
      <c r="AC832" s="80">
        <f>IF(AB832=1,IF(AA832&lt;Z832,1,0),0)</f>
        <v>0</v>
      </c>
      <c r="AD832" s="80">
        <f>IF(AB832=1,IF(AC832=1,1440-Z832+AA832,AA832-Z832),0)</f>
        <v>0</v>
      </c>
      <c r="AE832" s="80">
        <f>IF(J832="",0,IF(ISNUMBER(J832),J832,-1))</f>
        <v>0</v>
      </c>
      <c r="AF832" s="80">
        <f>MIN(MAX(0,AE832),AD832)</f>
        <v>0</v>
      </c>
      <c r="AG832" s="80">
        <f>MAX(0,AD832-MAX(0,AE832))</f>
        <v>0</v>
      </c>
      <c r="AH832" s="80">
        <f>IF(ISNUMBER(B832),IF(AND(INDEX(CFG_WDAYS,WEEKDAY(INT(B832),2))="Sí",IF(D832="proMX",COUNTIFS(FER_F,INT(B832),FER_NLP,"Sí"),COUNTIFS(FER_F,INT(B832),FER_NLM,"Sí"))=0),1,0),0)</f>
        <v>0</v>
      </c>
      <c r="AI832" s="80">
        <f>IF(AC832=1,IF(AND(INDEX(CFG_WDAYS,WEEKDAY(INT(B832)+1,2))="Sí",IF(D832="proMX",COUNTIFS(FER_F,INT(B832)+1,FER_NLP,"Sí"),COUNTIFS(FER_F,INT(B832)+1,FER_NLM,"Sí"))=0),1,0),0)</f>
        <v>0</v>
      </c>
      <c r="AJ832" s="80">
        <f>IF(AC832=1,1440-Z832,AD832)</f>
        <v>0</v>
      </c>
      <c r="AK832" s="80">
        <f>IF(AND(AB832=1,AH832=1),MAX(0,MIN(IF(AC832=1,1440,AA832),CFG_WEM)-MAX(Z832,CFG_WSM)),0)</f>
        <v>0</v>
      </c>
      <c r="AL832" s="80">
        <f>IF(AND(AC832=1,AI832=1),MAX(0,MIN(AA832,CFG_WEM)-CFG_WSM),0)</f>
        <v>0</v>
      </c>
      <c r="AM832" s="80">
        <f>AK832+AL832</f>
        <v>0</v>
      </c>
      <c r="AN832" s="80">
        <f>IF(CFG_BRK="Proporcional",IF(AD832=0,0,AF832*AM832/AD832),IF(CFG_BRK="Extras primero",MIN(AM832,MAX(0,AF832-(AD832-AM832))),MIN(AF832,AM832)))</f>
        <v>0</v>
      </c>
      <c r="AO832" s="80">
        <f>AF832-AN832</f>
        <v>0</v>
      </c>
      <c r="AP832" s="80">
        <f>AM832-AN832</f>
        <v>0</v>
      </c>
      <c r="AQ832" s="80">
        <f>AD832-AM832-AO832</f>
        <v>0</v>
      </c>
      <c r="AR832" s="80">
        <f>IF(AM832=0,0,AK832-AN832*AK832/AM832)</f>
        <v>0</v>
      </c>
      <c r="AS832" s="80">
        <f>IF(AD832-AM832=0,0,(AJ832-AK832)-AO832*(AJ832-AK832)/(AD832-AM832))</f>
        <v>0</v>
      </c>
      <c r="AT832" s="80" t="str">
        <f>IF(AC832=1,INT(B832)+1,"")</f>
        <v/>
      </c>
      <c r="AU832" s="80">
        <f>IF(AND(D832="proMX",R832="Cancelled"),0,1)</f>
        <v>1</v>
      </c>
      <c r="AV832" s="80">
        <f>IF(AND(AB832=1,AU832=1),IF(COUNTIFS($D$5:D831,D832,$B$5:B831,B832,$Z$5:Z831,Z832,$AA$5:AA831,AA832,$F$5:F831,F832&amp;"",$AU$5:AU831,1)&gt;0,1,0),0)</f>
        <v>0</v>
      </c>
      <c r="AW832" s="80" t="str">
        <f>IF(AB832=1,INT(B832)*1440+Z832,"")</f>
        <v/>
      </c>
      <c r="AX832" s="80" t="str">
        <f>IF(AB832=1,AW832+AD832,"")</f>
        <v/>
      </c>
      <c r="AY832" s="80">
        <f>IF(AND(AB832=1,AV832=0,AU832=1),1,0)</f>
        <v>0</v>
      </c>
      <c r="AZ832" s="80">
        <f>IF(AY832=1,COUNTIFS(R_Emp,D832,R_SAbs,"&lt;"&amp;AX832,R_EAbs,"&gt;"&amp;AW832,R_OKey,1)-1,0)</f>
        <v>0</v>
      </c>
      <c r="BA832" s="80">
        <f>IF(AY832=1,COUNTIFS(R_Emp,"&lt;&gt;"&amp;D832,R_SAbs,"&lt;"&amp;AX832,R_EAbs,"&gt;"&amp;AW832,R_OKey,1),0)</f>
        <v>0</v>
      </c>
      <c r="BB832" s="80">
        <f>IF(AND(AB832=1,D832="proMX"),IF(AND(MOD(Z832,CFG_BLK)=0,MOD(AA832,CFG_BLK)=0,MOD(AG832,CFG_BLK)=0,AG832&gt;0),1,0),1)</f>
        <v>1</v>
      </c>
      <c r="BC832" s="80" t="str">
        <f>IF(Y832=0,"",IF(NOT(ISNUMBER(B832)),"Falta fecha o fecha inválida",IF(D832="","Falta empresa",IF(AND(D832&lt;&gt;"Malcolm",D832&lt;&gt;"proMX"),"Empresa inválida",IF(OR(INT(B832)&lt;CFG_PSTART,INT(B832)&gt;CFG_PEND),"Fecha fuera del período",IF(OR(NOT(ISNUMBER(Z832)),NOT(ISNUMBER(AA832))),"Falta hora inicio/fin o formato inválido",IF(AB832=0,"Hora inicio = hora fin",IF(AE832&lt;0,"Descanso inválido",IF(AE832&gt;=AD832,"Descanso ≥ duración",IF(AV832=1,"Registro duplicado",IF(AZ832&gt;0,"Se superpone con otro registro "&amp;D832,IF(BB832=0,"inicio, fin y duración neta deben ser múltiplos de "&amp;CFG_BLK&amp;" min",""))))))))))))</f>
        <v/>
      </c>
      <c r="BD832" s="80">
        <f>IF(AND(Y832=1,BC832=""),1,0)</f>
        <v>0</v>
      </c>
      <c r="BE832" s="80">
        <f>IF(AND(BD832=1,AU832=1),1,0)</f>
        <v>0</v>
      </c>
      <c r="BF832" s="80" t="str">
        <f>IF(AND(D832="proMX",BD832=1),IF(R832="","Draft",R832),"")</f>
        <v/>
      </c>
      <c r="BG832" s="80">
        <f>IF(BD832=1,ROUND(AG832/60,6),0)</f>
        <v>0</v>
      </c>
      <c r="BH832" s="80">
        <f>IF(BE832=1,ROUND(AG832/60,6),0)</f>
        <v>0</v>
      </c>
      <c r="BI832" s="80">
        <f>IF(BE832=1,ROUND(AP832/60,6),0)</f>
        <v>0</v>
      </c>
      <c r="BJ832" s="80">
        <f>IF(BE832=1,ROUND(AQ832/60,6),0)</f>
        <v>0</v>
      </c>
      <c r="BK832" s="80">
        <f>IF(BE832=1,ROUND((AR832+AS832)/60,6),0)</f>
        <v>0</v>
      </c>
      <c r="BL832" s="80">
        <f>ROUND(BH832-BK832,6)</f>
        <v>0</v>
      </c>
      <c r="BM832" s="80">
        <f>IF(BE832=1,ROUND(AR832/60,6),0)</f>
        <v>0</v>
      </c>
      <c r="BN832" s="80">
        <f>ROUND(BI832-BM832,6)</f>
        <v>0</v>
      </c>
      <c r="BO832" s="80">
        <f>IF(BE832=1,ROUND(AS832/60,6),0)</f>
        <v>0</v>
      </c>
      <c r="BP832" s="80">
        <f>ROUND(BJ832-BO832,6)</f>
        <v>0</v>
      </c>
      <c r="BQ832" s="80">
        <f>IF(BE832=1,AW832,0)</f>
        <v>0</v>
      </c>
      <c r="BR832" s="80">
        <f>IF(BE832=1,AX832,0)</f>
        <v>0</v>
      </c>
      <c r="BS832" s="80">
        <f>IF(AND(BE832=1,D832="Malcolm",BA832&gt;0),MIN(BH832,SUMPRODUCT((R_Emp="proMX")*(R_EN&gt;0)*((R_EN-(R_EN&gt;BR832)*(R_EN-BR832))&gt;(R_SN+(R_SN&lt;BQ832)*(BQ832-R_SN)))*((R_EN-(R_EN&gt;BR832)*(R_EN-BR832))-(R_SN+(R_SN&lt;BQ832)*(BQ832-R_SN))))/60),0)</f>
        <v>0</v>
      </c>
      <c r="BT832" s="80">
        <f>IF(AND(BE832=1,D832="proMX"),ROUND(BI832*CFG_RATE+BJ832*CFG_OTRATE,6),0)</f>
        <v>0</v>
      </c>
      <c r="BU832" s="80">
        <f>IF(AND(BD832=1,D832="proMX"),ROUND(AG832/CFG_BLK,6),0)</f>
        <v>0</v>
      </c>
      <c r="BV832" s="80" t="str">
        <f>IF(BF832="Approved",IF(ISNUMBER(T832),INT(T832),INT(B832)),"")</f>
        <v/>
      </c>
      <c r="BW832" s="80">
        <f>IF(ISNUMBER(B832),IF(DB_MON="Todos",1,IF(AND(INT(B832)&gt;=DB_MS,INT(B832)&lt;=DB_ME),1,0)),0)</f>
        <v>0</v>
      </c>
      <c r="BX832" s="80">
        <f>IF(DB_PROJ="Todos",1,IF(E832&amp;""=DB_PROJ&amp;"",1,0))</f>
        <v>1</v>
      </c>
      <c r="BY832" s="80">
        <f>BW832*BX832</f>
        <v>0</v>
      </c>
      <c r="BZ832" s="80" t="str">
        <f>IF(Y832=1,F832&amp;IF(AND(F832&amp;""&lt;&gt;"",E832&amp;""&lt;&gt;"")," · ","")&amp;E832,"")</f>
        <v/>
      </c>
      <c r="CA832" s="80" t="str">
        <f>IF(AND(BD832=1,E832&amp;""&lt;&gt;""),IF(COUNTIFS($E$5:E831,E832,$BD$5:BD831,1)=0,MAX($CA$5:CA831)+1,""),"")</f>
        <v/>
      </c>
      <c r="CB832" s="80" t="str">
        <f>IF(AND(BE832=1,D832="Malcolm",E832&amp;""&lt;&gt;""),IF(COUNTIFS($D$5:D831,"Malcolm",$E$5:E831,E832,$BE$5:BE831,1)=0,MAX($CB$5:CB831)+1,""),"")</f>
        <v/>
      </c>
      <c r="CC832" s="80" t="str">
        <f>IF(AND(BD832=1,D832="proMX",E832&amp;""&lt;&gt;""),IF(COUNTIFS($D$5:D831,"proMX",$E$5:E831,E832,$BD$5:BD831,1)=0,MAX($CC$5:CC831)+1,""),"")</f>
        <v/>
      </c>
      <c r="CD832" s="80" t="str">
        <f>IF(AND(BE832=1,D832="Malcolm",F832&amp;""&lt;&gt;""),IF(COUNTIFS($D$5:D831,"Malcolm",$F$5:F831,F832,$BE$5:BE831,1)=0,MAX($CD$5:CD831)+1,""),"")</f>
        <v/>
      </c>
      <c r="CE832" s="80" t="str">
        <f>IF(AND(BD832=1,D832="proMX",F832&amp;""&lt;&gt;""),IF(COUNTIFS($D$5:D831,"proMX",$F$5:F831,F832,$BD$5:BD831,1)=0,MAX($CE$5:CE831)+1,""),"")</f>
        <v/>
      </c>
      <c r="CF832" s="80" t="str">
        <f>IF(AND(D832="proMX",BD832=1),IF(OR(BF832="Draft",BF832="Submitted",BF832="Returned",BF832="Recall Requested"),MAX($CF$5:CF831)+1,""),"")</f>
        <v/>
      </c>
      <c r="CG832" s="80">
        <f>IF(BD832=0,0,IF(D832="Malcolm",1,MATCH(BF832,{"Draft","Submitted","Approved","Returned","Recall Requested","Cancelled"},0)+1))</f>
        <v>0</v>
      </c>
      <c r="CH832" s="80">
        <f>IF(AND(BF832="Submitted",ISNUMBER(V832)),IF(V832&gt;CFG_MAXD,1,0),0)</f>
        <v>0</v>
      </c>
    </row>
    <row r="833">
      <c r="A833" s="71" t="str">
        <f>IF(Y833=1,ROW()-5,"")</f>
        <v/>
      </c>
      <c r="B833" s="72" t="n"/>
      <c r="C833" s="71" t="str">
        <f>IF(ISNUMBER(B833),CHOOSE(WEEKDAY(B833,2),"Lun","Mar","Mié","Jue","Vie","Sáb","Dom"),"")</f>
        <v/>
      </c>
      <c r="D833" s="73" t="n"/>
      <c r="E833" s="74" t="n"/>
      <c r="F833" s="74" t="n"/>
      <c r="G833" s="74" t="n"/>
      <c r="H833" s="75" t="n"/>
      <c r="I833" s="75" t="n"/>
      <c r="J833" s="76" t="n"/>
      <c r="K833" s="77" t="str">
        <f>IF(AB833=1,ROUND(AG833/60,4),"")</f>
        <v/>
      </c>
      <c r="L833" s="77" t="str">
        <f>IF(BD833=1,ROUND(AP833/60,4),"")</f>
        <v/>
      </c>
      <c r="M833" s="77" t="str">
        <f>IF(BD833=1,ROUND(AQ833/60,4),"")</f>
        <v/>
      </c>
      <c r="N833" s="71" t="str">
        <f>IF(AND(D833="proMX",AB833=1),ROUND(AG833/CFG_BLK,2),"")</f>
        <v/>
      </c>
      <c r="O833" s="77" t="str">
        <f>IF(D833="proMX",IF(BD833=1,ROUND(AG833/60,4),0),"")</f>
        <v/>
      </c>
      <c r="P833" s="78" t="str">
        <f>IF(Y833=0,"",IF(BD833=1,"OK",IF(D833="proMX","Revisar bloques: ","Revisar: ")&amp;BC833))</f>
        <v/>
      </c>
      <c r="Q833" s="78" t="str">
        <f>IF(NOT(ISNUMBER(B833)),"",IF(COUNTIFS(FER_F,INT(B833))&gt;0,"Feriado"&amp;IF(AH833=1," (laborable)"," (no laborable)"),IF(AH833=1,"Laborable",IF(WEEKDAY(B833,2)&gt;5,"Fin de semana","No laborable"))))</f>
        <v/>
      </c>
      <c r="R833" s="73" t="n"/>
      <c r="S833" s="72" t="n"/>
      <c r="T833" s="72" t="n"/>
      <c r="U833" s="74" t="n"/>
      <c r="V833" s="79" t="str">
        <f>IF(AND(D833="proMX",OR(R833="Submitted",R833="Recall Requested"),ISNUMBER(S833)),CFG_TODAY-INT(S833),"")</f>
        <v/>
      </c>
      <c r="W833" s="78" t="str">
        <f>IF(BD833=0,"",IF(BA833&gt;0,"⚠ Se superpone con un registro de la otra empresa",IF(D833="Malcolm",IF(COUNTA(R833,S833,T833)&gt;0,"Estado/fechas proMX se ignoran en Malcolm",""),IF(BF833="Cancelled","Cancelado: excluido de totales",IF(R833="","Sin estado: se trata como Draft",IF(BF833="Submitted",IF(ISNUMBER(V833),IF(V833&gt;CFG_MAXD,"⚠ "&amp;V833&amp;" días en Submitted (máx. "&amp;CFG_MAXD&amp;")",""),"Falta fecha de envío"),IF(BF833="Returned","⚠ Devuelto: corregir y reenviar",IF(BF833="Recall Requested","Retirada solicitada: pendiente",IF(AND(BF833="Approved",NOT(ISNUMBER(T833))),"Falta fecha de aprobación",IF(AND(ISNUMBER(S833),ISNUMBER(T833),T833&lt;S833),"Aprobación anterior al envío","")))))))))</f>
        <v/>
      </c>
      <c r="Y833" s="80">
        <f>IF(COUNTA(B833,D833,E833,F833,G833,H833,I833,J833,R833,S833,T833)&gt;0,1,0)</f>
        <v>0</v>
      </c>
      <c r="Z833" s="80" t="str">
        <f>IF(AND(ISNUMBER(H833),H833&gt;=0,H833&lt;1),ROUND(H833*1440,0),"")</f>
        <v/>
      </c>
      <c r="AA833" s="80" t="str">
        <f>IF(AND(ISNUMBER(I833),I833&gt;=0,I833&lt;1),ROUND(I833*1440,0),"")</f>
        <v/>
      </c>
      <c r="AB833" s="80">
        <f>IF(AND(ISNUMBER(B833),D833&lt;&gt;"",ISNUMBER(Z833),ISNUMBER(AA833)),IF(Z833=AA833,0,1),0)</f>
        <v>0</v>
      </c>
      <c r="AC833" s="80">
        <f>IF(AB833=1,IF(AA833&lt;Z833,1,0),0)</f>
        <v>0</v>
      </c>
      <c r="AD833" s="80">
        <f>IF(AB833=1,IF(AC833=1,1440-Z833+AA833,AA833-Z833),0)</f>
        <v>0</v>
      </c>
      <c r="AE833" s="80">
        <f>IF(J833="",0,IF(ISNUMBER(J833),J833,-1))</f>
        <v>0</v>
      </c>
      <c r="AF833" s="80">
        <f>MIN(MAX(0,AE833),AD833)</f>
        <v>0</v>
      </c>
      <c r="AG833" s="80">
        <f>MAX(0,AD833-MAX(0,AE833))</f>
        <v>0</v>
      </c>
      <c r="AH833" s="80">
        <f>IF(ISNUMBER(B833),IF(AND(INDEX(CFG_WDAYS,WEEKDAY(INT(B833),2))="Sí",IF(D833="proMX",COUNTIFS(FER_F,INT(B833),FER_NLP,"Sí"),COUNTIFS(FER_F,INT(B833),FER_NLM,"Sí"))=0),1,0),0)</f>
        <v>0</v>
      </c>
      <c r="AI833" s="80">
        <f>IF(AC833=1,IF(AND(INDEX(CFG_WDAYS,WEEKDAY(INT(B833)+1,2))="Sí",IF(D833="proMX",COUNTIFS(FER_F,INT(B833)+1,FER_NLP,"Sí"),COUNTIFS(FER_F,INT(B833)+1,FER_NLM,"Sí"))=0),1,0),0)</f>
        <v>0</v>
      </c>
      <c r="AJ833" s="80">
        <f>IF(AC833=1,1440-Z833,AD833)</f>
        <v>0</v>
      </c>
      <c r="AK833" s="80">
        <f>IF(AND(AB833=1,AH833=1),MAX(0,MIN(IF(AC833=1,1440,AA833),CFG_WEM)-MAX(Z833,CFG_WSM)),0)</f>
        <v>0</v>
      </c>
      <c r="AL833" s="80">
        <f>IF(AND(AC833=1,AI833=1),MAX(0,MIN(AA833,CFG_WEM)-CFG_WSM),0)</f>
        <v>0</v>
      </c>
      <c r="AM833" s="80">
        <f>AK833+AL833</f>
        <v>0</v>
      </c>
      <c r="AN833" s="80">
        <f>IF(CFG_BRK="Proporcional",IF(AD833=0,0,AF833*AM833/AD833),IF(CFG_BRK="Extras primero",MIN(AM833,MAX(0,AF833-(AD833-AM833))),MIN(AF833,AM833)))</f>
        <v>0</v>
      </c>
      <c r="AO833" s="80">
        <f>AF833-AN833</f>
        <v>0</v>
      </c>
      <c r="AP833" s="80">
        <f>AM833-AN833</f>
        <v>0</v>
      </c>
      <c r="AQ833" s="80">
        <f>AD833-AM833-AO833</f>
        <v>0</v>
      </c>
      <c r="AR833" s="80">
        <f>IF(AM833=0,0,AK833-AN833*AK833/AM833)</f>
        <v>0</v>
      </c>
      <c r="AS833" s="80">
        <f>IF(AD833-AM833=0,0,(AJ833-AK833)-AO833*(AJ833-AK833)/(AD833-AM833))</f>
        <v>0</v>
      </c>
      <c r="AT833" s="80" t="str">
        <f>IF(AC833=1,INT(B833)+1,"")</f>
        <v/>
      </c>
      <c r="AU833" s="80">
        <f>IF(AND(D833="proMX",R833="Cancelled"),0,1)</f>
        <v>1</v>
      </c>
      <c r="AV833" s="80">
        <f>IF(AND(AB833=1,AU833=1),IF(COUNTIFS($D$5:D832,D833,$B$5:B832,B833,$Z$5:Z832,Z833,$AA$5:AA832,AA833,$F$5:F832,F833&amp;"",$AU$5:AU832,1)&gt;0,1,0),0)</f>
        <v>0</v>
      </c>
      <c r="AW833" s="80" t="str">
        <f>IF(AB833=1,INT(B833)*1440+Z833,"")</f>
        <v/>
      </c>
      <c r="AX833" s="80" t="str">
        <f>IF(AB833=1,AW833+AD833,"")</f>
        <v/>
      </c>
      <c r="AY833" s="80">
        <f>IF(AND(AB833=1,AV833=0,AU833=1),1,0)</f>
        <v>0</v>
      </c>
      <c r="AZ833" s="80">
        <f>IF(AY833=1,COUNTIFS(R_Emp,D833,R_SAbs,"&lt;"&amp;AX833,R_EAbs,"&gt;"&amp;AW833,R_OKey,1)-1,0)</f>
        <v>0</v>
      </c>
      <c r="BA833" s="80">
        <f>IF(AY833=1,COUNTIFS(R_Emp,"&lt;&gt;"&amp;D833,R_SAbs,"&lt;"&amp;AX833,R_EAbs,"&gt;"&amp;AW833,R_OKey,1),0)</f>
        <v>0</v>
      </c>
      <c r="BB833" s="80">
        <f>IF(AND(AB833=1,D833="proMX"),IF(AND(MOD(Z833,CFG_BLK)=0,MOD(AA833,CFG_BLK)=0,MOD(AG833,CFG_BLK)=0,AG833&gt;0),1,0),1)</f>
        <v>1</v>
      </c>
      <c r="BC833" s="80" t="str">
        <f>IF(Y833=0,"",IF(NOT(ISNUMBER(B833)),"Falta fecha o fecha inválida",IF(D833="","Falta empresa",IF(AND(D833&lt;&gt;"Malcolm",D833&lt;&gt;"proMX"),"Empresa inválida",IF(OR(INT(B833)&lt;CFG_PSTART,INT(B833)&gt;CFG_PEND),"Fecha fuera del período",IF(OR(NOT(ISNUMBER(Z833)),NOT(ISNUMBER(AA833))),"Falta hora inicio/fin o formato inválido",IF(AB833=0,"Hora inicio = hora fin",IF(AE833&lt;0,"Descanso inválido",IF(AE833&gt;=AD833,"Descanso ≥ duración",IF(AV833=1,"Registro duplicado",IF(AZ833&gt;0,"Se superpone con otro registro "&amp;D833,IF(BB833=0,"inicio, fin y duración neta deben ser múltiplos de "&amp;CFG_BLK&amp;" min",""))))))))))))</f>
        <v/>
      </c>
      <c r="BD833" s="80">
        <f>IF(AND(Y833=1,BC833=""),1,0)</f>
        <v>0</v>
      </c>
      <c r="BE833" s="80">
        <f>IF(AND(BD833=1,AU833=1),1,0)</f>
        <v>0</v>
      </c>
      <c r="BF833" s="80" t="str">
        <f>IF(AND(D833="proMX",BD833=1),IF(R833="","Draft",R833),"")</f>
        <v/>
      </c>
      <c r="BG833" s="80">
        <f>IF(BD833=1,ROUND(AG833/60,6),0)</f>
        <v>0</v>
      </c>
      <c r="BH833" s="80">
        <f>IF(BE833=1,ROUND(AG833/60,6),0)</f>
        <v>0</v>
      </c>
      <c r="BI833" s="80">
        <f>IF(BE833=1,ROUND(AP833/60,6),0)</f>
        <v>0</v>
      </c>
      <c r="BJ833" s="80">
        <f>IF(BE833=1,ROUND(AQ833/60,6),0)</f>
        <v>0</v>
      </c>
      <c r="BK833" s="80">
        <f>IF(BE833=1,ROUND((AR833+AS833)/60,6),0)</f>
        <v>0</v>
      </c>
      <c r="BL833" s="80">
        <f>ROUND(BH833-BK833,6)</f>
        <v>0</v>
      </c>
      <c r="BM833" s="80">
        <f>IF(BE833=1,ROUND(AR833/60,6),0)</f>
        <v>0</v>
      </c>
      <c r="BN833" s="80">
        <f>ROUND(BI833-BM833,6)</f>
        <v>0</v>
      </c>
      <c r="BO833" s="80">
        <f>IF(BE833=1,ROUND(AS833/60,6),0)</f>
        <v>0</v>
      </c>
      <c r="BP833" s="80">
        <f>ROUND(BJ833-BO833,6)</f>
        <v>0</v>
      </c>
      <c r="BQ833" s="80">
        <f>IF(BE833=1,AW833,0)</f>
        <v>0</v>
      </c>
      <c r="BR833" s="80">
        <f>IF(BE833=1,AX833,0)</f>
        <v>0</v>
      </c>
      <c r="BS833" s="80">
        <f>IF(AND(BE833=1,D833="Malcolm",BA833&gt;0),MIN(BH833,SUMPRODUCT((R_Emp="proMX")*(R_EN&gt;0)*((R_EN-(R_EN&gt;BR833)*(R_EN-BR833))&gt;(R_SN+(R_SN&lt;BQ833)*(BQ833-R_SN)))*((R_EN-(R_EN&gt;BR833)*(R_EN-BR833))-(R_SN+(R_SN&lt;BQ833)*(BQ833-R_SN))))/60),0)</f>
        <v>0</v>
      </c>
      <c r="BT833" s="80">
        <f>IF(AND(BE833=1,D833="proMX"),ROUND(BI833*CFG_RATE+BJ833*CFG_OTRATE,6),0)</f>
        <v>0</v>
      </c>
      <c r="BU833" s="80">
        <f>IF(AND(BD833=1,D833="proMX"),ROUND(AG833/CFG_BLK,6),0)</f>
        <v>0</v>
      </c>
      <c r="BV833" s="80" t="str">
        <f>IF(BF833="Approved",IF(ISNUMBER(T833),INT(T833),INT(B833)),"")</f>
        <v/>
      </c>
      <c r="BW833" s="80">
        <f>IF(ISNUMBER(B833),IF(DB_MON="Todos",1,IF(AND(INT(B833)&gt;=DB_MS,INT(B833)&lt;=DB_ME),1,0)),0)</f>
        <v>0</v>
      </c>
      <c r="BX833" s="80">
        <f>IF(DB_PROJ="Todos",1,IF(E833&amp;""=DB_PROJ&amp;"",1,0))</f>
        <v>1</v>
      </c>
      <c r="BY833" s="80">
        <f>BW833*BX833</f>
        <v>0</v>
      </c>
      <c r="BZ833" s="80" t="str">
        <f>IF(Y833=1,F833&amp;IF(AND(F833&amp;""&lt;&gt;"",E833&amp;""&lt;&gt;"")," · ","")&amp;E833,"")</f>
        <v/>
      </c>
      <c r="CA833" s="80" t="str">
        <f>IF(AND(BD833=1,E833&amp;""&lt;&gt;""),IF(COUNTIFS($E$5:E832,E833,$BD$5:BD832,1)=0,MAX($CA$5:CA832)+1,""),"")</f>
        <v/>
      </c>
      <c r="CB833" s="80" t="str">
        <f>IF(AND(BE833=1,D833="Malcolm",E833&amp;""&lt;&gt;""),IF(COUNTIFS($D$5:D832,"Malcolm",$E$5:E832,E833,$BE$5:BE832,1)=0,MAX($CB$5:CB832)+1,""),"")</f>
        <v/>
      </c>
      <c r="CC833" s="80" t="str">
        <f>IF(AND(BD833=1,D833="proMX",E833&amp;""&lt;&gt;""),IF(COUNTIFS($D$5:D832,"proMX",$E$5:E832,E833,$BD$5:BD832,1)=0,MAX($CC$5:CC832)+1,""),"")</f>
        <v/>
      </c>
      <c r="CD833" s="80" t="str">
        <f>IF(AND(BE833=1,D833="Malcolm",F833&amp;""&lt;&gt;""),IF(COUNTIFS($D$5:D832,"Malcolm",$F$5:F832,F833,$BE$5:BE832,1)=0,MAX($CD$5:CD832)+1,""),"")</f>
        <v/>
      </c>
      <c r="CE833" s="80" t="str">
        <f>IF(AND(BD833=1,D833="proMX",F833&amp;""&lt;&gt;""),IF(COUNTIFS($D$5:D832,"proMX",$F$5:F832,F833,$BD$5:BD832,1)=0,MAX($CE$5:CE832)+1,""),"")</f>
        <v/>
      </c>
      <c r="CF833" s="80" t="str">
        <f>IF(AND(D833="proMX",BD833=1),IF(OR(BF833="Draft",BF833="Submitted",BF833="Returned",BF833="Recall Requested"),MAX($CF$5:CF832)+1,""),"")</f>
        <v/>
      </c>
      <c r="CG833" s="80">
        <f>IF(BD833=0,0,IF(D833="Malcolm",1,MATCH(BF833,{"Draft","Submitted","Approved","Returned","Recall Requested","Cancelled"},0)+1))</f>
        <v>0</v>
      </c>
      <c r="CH833" s="80">
        <f>IF(AND(BF833="Submitted",ISNUMBER(V833)),IF(V833&gt;CFG_MAXD,1,0),0)</f>
        <v>0</v>
      </c>
    </row>
    <row r="834">
      <c r="A834" s="71" t="str">
        <f>IF(Y834=1,ROW()-5,"")</f>
        <v/>
      </c>
      <c r="B834" s="72" t="n"/>
      <c r="C834" s="71" t="str">
        <f>IF(ISNUMBER(B834),CHOOSE(WEEKDAY(B834,2),"Lun","Mar","Mié","Jue","Vie","Sáb","Dom"),"")</f>
        <v/>
      </c>
      <c r="D834" s="73" t="n"/>
      <c r="E834" s="74" t="n"/>
      <c r="F834" s="74" t="n"/>
      <c r="G834" s="74" t="n"/>
      <c r="H834" s="75" t="n"/>
      <c r="I834" s="75" t="n"/>
      <c r="J834" s="76" t="n"/>
      <c r="K834" s="77" t="str">
        <f>IF(AB834=1,ROUND(AG834/60,4),"")</f>
        <v/>
      </c>
      <c r="L834" s="77" t="str">
        <f>IF(BD834=1,ROUND(AP834/60,4),"")</f>
        <v/>
      </c>
      <c r="M834" s="77" t="str">
        <f>IF(BD834=1,ROUND(AQ834/60,4),"")</f>
        <v/>
      </c>
      <c r="N834" s="71" t="str">
        <f>IF(AND(D834="proMX",AB834=1),ROUND(AG834/CFG_BLK,2),"")</f>
        <v/>
      </c>
      <c r="O834" s="77" t="str">
        <f>IF(D834="proMX",IF(BD834=1,ROUND(AG834/60,4),0),"")</f>
        <v/>
      </c>
      <c r="P834" s="78" t="str">
        <f>IF(Y834=0,"",IF(BD834=1,"OK",IF(D834="proMX","Revisar bloques: ","Revisar: ")&amp;BC834))</f>
        <v/>
      </c>
      <c r="Q834" s="78" t="str">
        <f>IF(NOT(ISNUMBER(B834)),"",IF(COUNTIFS(FER_F,INT(B834))&gt;0,"Feriado"&amp;IF(AH834=1," (laborable)"," (no laborable)"),IF(AH834=1,"Laborable",IF(WEEKDAY(B834,2)&gt;5,"Fin de semana","No laborable"))))</f>
        <v/>
      </c>
      <c r="R834" s="73" t="n"/>
      <c r="S834" s="72" t="n"/>
      <c r="T834" s="72" t="n"/>
      <c r="U834" s="74" t="n"/>
      <c r="V834" s="79" t="str">
        <f>IF(AND(D834="proMX",OR(R834="Submitted",R834="Recall Requested"),ISNUMBER(S834)),CFG_TODAY-INT(S834),"")</f>
        <v/>
      </c>
      <c r="W834" s="78" t="str">
        <f>IF(BD834=0,"",IF(BA834&gt;0,"⚠ Se superpone con un registro de la otra empresa",IF(D834="Malcolm",IF(COUNTA(R834,S834,T834)&gt;0,"Estado/fechas proMX se ignoran en Malcolm",""),IF(BF834="Cancelled","Cancelado: excluido de totales",IF(R834="","Sin estado: se trata como Draft",IF(BF834="Submitted",IF(ISNUMBER(V834),IF(V834&gt;CFG_MAXD,"⚠ "&amp;V834&amp;" días en Submitted (máx. "&amp;CFG_MAXD&amp;")",""),"Falta fecha de envío"),IF(BF834="Returned","⚠ Devuelto: corregir y reenviar",IF(BF834="Recall Requested","Retirada solicitada: pendiente",IF(AND(BF834="Approved",NOT(ISNUMBER(T834))),"Falta fecha de aprobación",IF(AND(ISNUMBER(S834),ISNUMBER(T834),T834&lt;S834),"Aprobación anterior al envío","")))))))))</f>
        <v/>
      </c>
      <c r="Y834" s="80">
        <f>IF(COUNTA(B834,D834,E834,F834,G834,H834,I834,J834,R834,S834,T834)&gt;0,1,0)</f>
        <v>0</v>
      </c>
      <c r="Z834" s="80" t="str">
        <f>IF(AND(ISNUMBER(H834),H834&gt;=0,H834&lt;1),ROUND(H834*1440,0),"")</f>
        <v/>
      </c>
      <c r="AA834" s="80" t="str">
        <f>IF(AND(ISNUMBER(I834),I834&gt;=0,I834&lt;1),ROUND(I834*1440,0),"")</f>
        <v/>
      </c>
      <c r="AB834" s="80">
        <f>IF(AND(ISNUMBER(B834),D834&lt;&gt;"",ISNUMBER(Z834),ISNUMBER(AA834)),IF(Z834=AA834,0,1),0)</f>
        <v>0</v>
      </c>
      <c r="AC834" s="80">
        <f>IF(AB834=1,IF(AA834&lt;Z834,1,0),0)</f>
        <v>0</v>
      </c>
      <c r="AD834" s="80">
        <f>IF(AB834=1,IF(AC834=1,1440-Z834+AA834,AA834-Z834),0)</f>
        <v>0</v>
      </c>
      <c r="AE834" s="80">
        <f>IF(J834="",0,IF(ISNUMBER(J834),J834,-1))</f>
        <v>0</v>
      </c>
      <c r="AF834" s="80">
        <f>MIN(MAX(0,AE834),AD834)</f>
        <v>0</v>
      </c>
      <c r="AG834" s="80">
        <f>MAX(0,AD834-MAX(0,AE834))</f>
        <v>0</v>
      </c>
      <c r="AH834" s="80">
        <f>IF(ISNUMBER(B834),IF(AND(INDEX(CFG_WDAYS,WEEKDAY(INT(B834),2))="Sí",IF(D834="proMX",COUNTIFS(FER_F,INT(B834),FER_NLP,"Sí"),COUNTIFS(FER_F,INT(B834),FER_NLM,"Sí"))=0),1,0),0)</f>
        <v>0</v>
      </c>
      <c r="AI834" s="80">
        <f>IF(AC834=1,IF(AND(INDEX(CFG_WDAYS,WEEKDAY(INT(B834)+1,2))="Sí",IF(D834="proMX",COUNTIFS(FER_F,INT(B834)+1,FER_NLP,"Sí"),COUNTIFS(FER_F,INT(B834)+1,FER_NLM,"Sí"))=0),1,0),0)</f>
        <v>0</v>
      </c>
      <c r="AJ834" s="80">
        <f>IF(AC834=1,1440-Z834,AD834)</f>
        <v>0</v>
      </c>
      <c r="AK834" s="80">
        <f>IF(AND(AB834=1,AH834=1),MAX(0,MIN(IF(AC834=1,1440,AA834),CFG_WEM)-MAX(Z834,CFG_WSM)),0)</f>
        <v>0</v>
      </c>
      <c r="AL834" s="80">
        <f>IF(AND(AC834=1,AI834=1),MAX(0,MIN(AA834,CFG_WEM)-CFG_WSM),0)</f>
        <v>0</v>
      </c>
      <c r="AM834" s="80">
        <f>AK834+AL834</f>
        <v>0</v>
      </c>
      <c r="AN834" s="80">
        <f>IF(CFG_BRK="Proporcional",IF(AD834=0,0,AF834*AM834/AD834),IF(CFG_BRK="Extras primero",MIN(AM834,MAX(0,AF834-(AD834-AM834))),MIN(AF834,AM834)))</f>
        <v>0</v>
      </c>
      <c r="AO834" s="80">
        <f>AF834-AN834</f>
        <v>0</v>
      </c>
      <c r="AP834" s="80">
        <f>AM834-AN834</f>
        <v>0</v>
      </c>
      <c r="AQ834" s="80">
        <f>AD834-AM834-AO834</f>
        <v>0</v>
      </c>
      <c r="AR834" s="80">
        <f>IF(AM834=0,0,AK834-AN834*AK834/AM834)</f>
        <v>0</v>
      </c>
      <c r="AS834" s="80">
        <f>IF(AD834-AM834=0,0,(AJ834-AK834)-AO834*(AJ834-AK834)/(AD834-AM834))</f>
        <v>0</v>
      </c>
      <c r="AT834" s="80" t="str">
        <f>IF(AC834=1,INT(B834)+1,"")</f>
        <v/>
      </c>
      <c r="AU834" s="80">
        <f>IF(AND(D834="proMX",R834="Cancelled"),0,1)</f>
        <v>1</v>
      </c>
      <c r="AV834" s="80">
        <f>IF(AND(AB834=1,AU834=1),IF(COUNTIFS($D$5:D833,D834,$B$5:B833,B834,$Z$5:Z833,Z834,$AA$5:AA833,AA834,$F$5:F833,F834&amp;"",$AU$5:AU833,1)&gt;0,1,0),0)</f>
        <v>0</v>
      </c>
      <c r="AW834" s="80" t="str">
        <f>IF(AB834=1,INT(B834)*1440+Z834,"")</f>
        <v/>
      </c>
      <c r="AX834" s="80" t="str">
        <f>IF(AB834=1,AW834+AD834,"")</f>
        <v/>
      </c>
      <c r="AY834" s="80">
        <f>IF(AND(AB834=1,AV834=0,AU834=1),1,0)</f>
        <v>0</v>
      </c>
      <c r="AZ834" s="80">
        <f>IF(AY834=1,COUNTIFS(R_Emp,D834,R_SAbs,"&lt;"&amp;AX834,R_EAbs,"&gt;"&amp;AW834,R_OKey,1)-1,0)</f>
        <v>0</v>
      </c>
      <c r="BA834" s="80">
        <f>IF(AY834=1,COUNTIFS(R_Emp,"&lt;&gt;"&amp;D834,R_SAbs,"&lt;"&amp;AX834,R_EAbs,"&gt;"&amp;AW834,R_OKey,1),0)</f>
        <v>0</v>
      </c>
      <c r="BB834" s="80">
        <f>IF(AND(AB834=1,D834="proMX"),IF(AND(MOD(Z834,CFG_BLK)=0,MOD(AA834,CFG_BLK)=0,MOD(AG834,CFG_BLK)=0,AG834&gt;0),1,0),1)</f>
        <v>1</v>
      </c>
      <c r="BC834" s="80" t="str">
        <f>IF(Y834=0,"",IF(NOT(ISNUMBER(B834)),"Falta fecha o fecha inválida",IF(D834="","Falta empresa",IF(AND(D834&lt;&gt;"Malcolm",D834&lt;&gt;"proMX"),"Empresa inválida",IF(OR(INT(B834)&lt;CFG_PSTART,INT(B834)&gt;CFG_PEND),"Fecha fuera del período",IF(OR(NOT(ISNUMBER(Z834)),NOT(ISNUMBER(AA834))),"Falta hora inicio/fin o formato inválido",IF(AB834=0,"Hora inicio = hora fin",IF(AE834&lt;0,"Descanso inválido",IF(AE834&gt;=AD834,"Descanso ≥ duración",IF(AV834=1,"Registro duplicado",IF(AZ834&gt;0,"Se superpone con otro registro "&amp;D834,IF(BB834=0,"inicio, fin y duración neta deben ser múltiplos de "&amp;CFG_BLK&amp;" min",""))))))))))))</f>
        <v/>
      </c>
      <c r="BD834" s="80">
        <f>IF(AND(Y834=1,BC834=""),1,0)</f>
        <v>0</v>
      </c>
      <c r="BE834" s="80">
        <f>IF(AND(BD834=1,AU834=1),1,0)</f>
        <v>0</v>
      </c>
      <c r="BF834" s="80" t="str">
        <f>IF(AND(D834="proMX",BD834=1),IF(R834="","Draft",R834),"")</f>
        <v/>
      </c>
      <c r="BG834" s="80">
        <f>IF(BD834=1,ROUND(AG834/60,6),0)</f>
        <v>0</v>
      </c>
      <c r="BH834" s="80">
        <f>IF(BE834=1,ROUND(AG834/60,6),0)</f>
        <v>0</v>
      </c>
      <c r="BI834" s="80">
        <f>IF(BE834=1,ROUND(AP834/60,6),0)</f>
        <v>0</v>
      </c>
      <c r="BJ834" s="80">
        <f>IF(BE834=1,ROUND(AQ834/60,6),0)</f>
        <v>0</v>
      </c>
      <c r="BK834" s="80">
        <f>IF(BE834=1,ROUND((AR834+AS834)/60,6),0)</f>
        <v>0</v>
      </c>
      <c r="BL834" s="80">
        <f>ROUND(BH834-BK834,6)</f>
        <v>0</v>
      </c>
      <c r="BM834" s="80">
        <f>IF(BE834=1,ROUND(AR834/60,6),0)</f>
        <v>0</v>
      </c>
      <c r="BN834" s="80">
        <f>ROUND(BI834-BM834,6)</f>
        <v>0</v>
      </c>
      <c r="BO834" s="80">
        <f>IF(BE834=1,ROUND(AS834/60,6),0)</f>
        <v>0</v>
      </c>
      <c r="BP834" s="80">
        <f>ROUND(BJ834-BO834,6)</f>
        <v>0</v>
      </c>
      <c r="BQ834" s="80">
        <f>IF(BE834=1,AW834,0)</f>
        <v>0</v>
      </c>
      <c r="BR834" s="80">
        <f>IF(BE834=1,AX834,0)</f>
        <v>0</v>
      </c>
      <c r="BS834" s="80">
        <f>IF(AND(BE834=1,D834="Malcolm",BA834&gt;0),MIN(BH834,SUMPRODUCT((R_Emp="proMX")*(R_EN&gt;0)*((R_EN-(R_EN&gt;BR834)*(R_EN-BR834))&gt;(R_SN+(R_SN&lt;BQ834)*(BQ834-R_SN)))*((R_EN-(R_EN&gt;BR834)*(R_EN-BR834))-(R_SN+(R_SN&lt;BQ834)*(BQ834-R_SN))))/60),0)</f>
        <v>0</v>
      </c>
      <c r="BT834" s="80">
        <f>IF(AND(BE834=1,D834="proMX"),ROUND(BI834*CFG_RATE+BJ834*CFG_OTRATE,6),0)</f>
        <v>0</v>
      </c>
      <c r="BU834" s="80">
        <f>IF(AND(BD834=1,D834="proMX"),ROUND(AG834/CFG_BLK,6),0)</f>
        <v>0</v>
      </c>
      <c r="BV834" s="80" t="str">
        <f>IF(BF834="Approved",IF(ISNUMBER(T834),INT(T834),INT(B834)),"")</f>
        <v/>
      </c>
      <c r="BW834" s="80">
        <f>IF(ISNUMBER(B834),IF(DB_MON="Todos",1,IF(AND(INT(B834)&gt;=DB_MS,INT(B834)&lt;=DB_ME),1,0)),0)</f>
        <v>0</v>
      </c>
      <c r="BX834" s="80">
        <f>IF(DB_PROJ="Todos",1,IF(E834&amp;""=DB_PROJ&amp;"",1,0))</f>
        <v>1</v>
      </c>
      <c r="BY834" s="80">
        <f>BW834*BX834</f>
        <v>0</v>
      </c>
      <c r="BZ834" s="80" t="str">
        <f>IF(Y834=1,F834&amp;IF(AND(F834&amp;""&lt;&gt;"",E834&amp;""&lt;&gt;"")," · ","")&amp;E834,"")</f>
        <v/>
      </c>
      <c r="CA834" s="80" t="str">
        <f>IF(AND(BD834=1,E834&amp;""&lt;&gt;""),IF(COUNTIFS($E$5:E833,E834,$BD$5:BD833,1)=0,MAX($CA$5:CA833)+1,""),"")</f>
        <v/>
      </c>
      <c r="CB834" s="80" t="str">
        <f>IF(AND(BE834=1,D834="Malcolm",E834&amp;""&lt;&gt;""),IF(COUNTIFS($D$5:D833,"Malcolm",$E$5:E833,E834,$BE$5:BE833,1)=0,MAX($CB$5:CB833)+1,""),"")</f>
        <v/>
      </c>
      <c r="CC834" s="80" t="str">
        <f>IF(AND(BD834=1,D834="proMX",E834&amp;""&lt;&gt;""),IF(COUNTIFS($D$5:D833,"proMX",$E$5:E833,E834,$BD$5:BD833,1)=0,MAX($CC$5:CC833)+1,""),"")</f>
        <v/>
      </c>
      <c r="CD834" s="80" t="str">
        <f>IF(AND(BE834=1,D834="Malcolm",F834&amp;""&lt;&gt;""),IF(COUNTIFS($D$5:D833,"Malcolm",$F$5:F833,F834,$BE$5:BE833,1)=0,MAX($CD$5:CD833)+1,""),"")</f>
        <v/>
      </c>
      <c r="CE834" s="80" t="str">
        <f>IF(AND(BD834=1,D834="proMX",F834&amp;""&lt;&gt;""),IF(COUNTIFS($D$5:D833,"proMX",$F$5:F833,F834,$BD$5:BD833,1)=0,MAX($CE$5:CE833)+1,""),"")</f>
        <v/>
      </c>
      <c r="CF834" s="80" t="str">
        <f>IF(AND(D834="proMX",BD834=1),IF(OR(BF834="Draft",BF834="Submitted",BF834="Returned",BF834="Recall Requested"),MAX($CF$5:CF833)+1,""),"")</f>
        <v/>
      </c>
      <c r="CG834" s="80">
        <f>IF(BD834=0,0,IF(D834="Malcolm",1,MATCH(BF834,{"Draft","Submitted","Approved","Returned","Recall Requested","Cancelled"},0)+1))</f>
        <v>0</v>
      </c>
      <c r="CH834" s="80">
        <f>IF(AND(BF834="Submitted",ISNUMBER(V834)),IF(V834&gt;CFG_MAXD,1,0),0)</f>
        <v>0</v>
      </c>
    </row>
    <row r="835">
      <c r="A835" s="71" t="str">
        <f>IF(Y835=1,ROW()-5,"")</f>
        <v/>
      </c>
      <c r="B835" s="72" t="n"/>
      <c r="C835" s="71" t="str">
        <f>IF(ISNUMBER(B835),CHOOSE(WEEKDAY(B835,2),"Lun","Mar","Mié","Jue","Vie","Sáb","Dom"),"")</f>
        <v/>
      </c>
      <c r="D835" s="73" t="n"/>
      <c r="E835" s="74" t="n"/>
      <c r="F835" s="74" t="n"/>
      <c r="G835" s="74" t="n"/>
      <c r="H835" s="75" t="n"/>
      <c r="I835" s="75" t="n"/>
      <c r="J835" s="76" t="n"/>
      <c r="K835" s="77" t="str">
        <f>IF(AB835=1,ROUND(AG835/60,4),"")</f>
        <v/>
      </c>
      <c r="L835" s="77" t="str">
        <f>IF(BD835=1,ROUND(AP835/60,4),"")</f>
        <v/>
      </c>
      <c r="M835" s="77" t="str">
        <f>IF(BD835=1,ROUND(AQ835/60,4),"")</f>
        <v/>
      </c>
      <c r="N835" s="71" t="str">
        <f>IF(AND(D835="proMX",AB835=1),ROUND(AG835/CFG_BLK,2),"")</f>
        <v/>
      </c>
      <c r="O835" s="77" t="str">
        <f>IF(D835="proMX",IF(BD835=1,ROUND(AG835/60,4),0),"")</f>
        <v/>
      </c>
      <c r="P835" s="78" t="str">
        <f>IF(Y835=0,"",IF(BD835=1,"OK",IF(D835="proMX","Revisar bloques: ","Revisar: ")&amp;BC835))</f>
        <v/>
      </c>
      <c r="Q835" s="78" t="str">
        <f>IF(NOT(ISNUMBER(B835)),"",IF(COUNTIFS(FER_F,INT(B835))&gt;0,"Feriado"&amp;IF(AH835=1," (laborable)"," (no laborable)"),IF(AH835=1,"Laborable",IF(WEEKDAY(B835,2)&gt;5,"Fin de semana","No laborable"))))</f>
        <v/>
      </c>
      <c r="R835" s="73" t="n"/>
      <c r="S835" s="72" t="n"/>
      <c r="T835" s="72" t="n"/>
      <c r="U835" s="74" t="n"/>
      <c r="V835" s="79" t="str">
        <f>IF(AND(D835="proMX",OR(R835="Submitted",R835="Recall Requested"),ISNUMBER(S835)),CFG_TODAY-INT(S835),"")</f>
        <v/>
      </c>
      <c r="W835" s="78" t="str">
        <f>IF(BD835=0,"",IF(BA835&gt;0,"⚠ Se superpone con un registro de la otra empresa",IF(D835="Malcolm",IF(COUNTA(R835,S835,T835)&gt;0,"Estado/fechas proMX se ignoran en Malcolm",""),IF(BF835="Cancelled","Cancelado: excluido de totales",IF(R835="","Sin estado: se trata como Draft",IF(BF835="Submitted",IF(ISNUMBER(V835),IF(V835&gt;CFG_MAXD,"⚠ "&amp;V835&amp;" días en Submitted (máx. "&amp;CFG_MAXD&amp;")",""),"Falta fecha de envío"),IF(BF835="Returned","⚠ Devuelto: corregir y reenviar",IF(BF835="Recall Requested","Retirada solicitada: pendiente",IF(AND(BF835="Approved",NOT(ISNUMBER(T835))),"Falta fecha de aprobación",IF(AND(ISNUMBER(S835),ISNUMBER(T835),T835&lt;S835),"Aprobación anterior al envío","")))))))))</f>
        <v/>
      </c>
      <c r="Y835" s="80">
        <f>IF(COUNTA(B835,D835,E835,F835,G835,H835,I835,J835,R835,S835,T835)&gt;0,1,0)</f>
        <v>0</v>
      </c>
      <c r="Z835" s="80" t="str">
        <f>IF(AND(ISNUMBER(H835),H835&gt;=0,H835&lt;1),ROUND(H835*1440,0),"")</f>
        <v/>
      </c>
      <c r="AA835" s="80" t="str">
        <f>IF(AND(ISNUMBER(I835),I835&gt;=0,I835&lt;1),ROUND(I835*1440,0),"")</f>
        <v/>
      </c>
      <c r="AB835" s="80">
        <f>IF(AND(ISNUMBER(B835),D835&lt;&gt;"",ISNUMBER(Z835),ISNUMBER(AA835)),IF(Z835=AA835,0,1),0)</f>
        <v>0</v>
      </c>
      <c r="AC835" s="80">
        <f>IF(AB835=1,IF(AA835&lt;Z835,1,0),0)</f>
        <v>0</v>
      </c>
      <c r="AD835" s="80">
        <f>IF(AB835=1,IF(AC835=1,1440-Z835+AA835,AA835-Z835),0)</f>
        <v>0</v>
      </c>
      <c r="AE835" s="80">
        <f>IF(J835="",0,IF(ISNUMBER(J835),J835,-1))</f>
        <v>0</v>
      </c>
      <c r="AF835" s="80">
        <f>MIN(MAX(0,AE835),AD835)</f>
        <v>0</v>
      </c>
      <c r="AG835" s="80">
        <f>MAX(0,AD835-MAX(0,AE835))</f>
        <v>0</v>
      </c>
      <c r="AH835" s="80">
        <f>IF(ISNUMBER(B835),IF(AND(INDEX(CFG_WDAYS,WEEKDAY(INT(B835),2))="Sí",IF(D835="proMX",COUNTIFS(FER_F,INT(B835),FER_NLP,"Sí"),COUNTIFS(FER_F,INT(B835),FER_NLM,"Sí"))=0),1,0),0)</f>
        <v>0</v>
      </c>
      <c r="AI835" s="80">
        <f>IF(AC835=1,IF(AND(INDEX(CFG_WDAYS,WEEKDAY(INT(B835)+1,2))="Sí",IF(D835="proMX",COUNTIFS(FER_F,INT(B835)+1,FER_NLP,"Sí"),COUNTIFS(FER_F,INT(B835)+1,FER_NLM,"Sí"))=0),1,0),0)</f>
        <v>0</v>
      </c>
      <c r="AJ835" s="80">
        <f>IF(AC835=1,1440-Z835,AD835)</f>
        <v>0</v>
      </c>
      <c r="AK835" s="80">
        <f>IF(AND(AB835=1,AH835=1),MAX(0,MIN(IF(AC835=1,1440,AA835),CFG_WEM)-MAX(Z835,CFG_WSM)),0)</f>
        <v>0</v>
      </c>
      <c r="AL835" s="80">
        <f>IF(AND(AC835=1,AI835=1),MAX(0,MIN(AA835,CFG_WEM)-CFG_WSM),0)</f>
        <v>0</v>
      </c>
      <c r="AM835" s="80">
        <f>AK835+AL835</f>
        <v>0</v>
      </c>
      <c r="AN835" s="80">
        <f>IF(CFG_BRK="Proporcional",IF(AD835=0,0,AF835*AM835/AD835),IF(CFG_BRK="Extras primero",MIN(AM835,MAX(0,AF835-(AD835-AM835))),MIN(AF835,AM835)))</f>
        <v>0</v>
      </c>
      <c r="AO835" s="80">
        <f>AF835-AN835</f>
        <v>0</v>
      </c>
      <c r="AP835" s="80">
        <f>AM835-AN835</f>
        <v>0</v>
      </c>
      <c r="AQ835" s="80">
        <f>AD835-AM835-AO835</f>
        <v>0</v>
      </c>
      <c r="AR835" s="80">
        <f>IF(AM835=0,0,AK835-AN835*AK835/AM835)</f>
        <v>0</v>
      </c>
      <c r="AS835" s="80">
        <f>IF(AD835-AM835=0,0,(AJ835-AK835)-AO835*(AJ835-AK835)/(AD835-AM835))</f>
        <v>0</v>
      </c>
      <c r="AT835" s="80" t="str">
        <f>IF(AC835=1,INT(B835)+1,"")</f>
        <v/>
      </c>
      <c r="AU835" s="80">
        <f>IF(AND(D835="proMX",R835="Cancelled"),0,1)</f>
        <v>1</v>
      </c>
      <c r="AV835" s="80">
        <f>IF(AND(AB835=1,AU835=1),IF(COUNTIFS($D$5:D834,D835,$B$5:B834,B835,$Z$5:Z834,Z835,$AA$5:AA834,AA835,$F$5:F834,F835&amp;"",$AU$5:AU834,1)&gt;0,1,0),0)</f>
        <v>0</v>
      </c>
      <c r="AW835" s="80" t="str">
        <f>IF(AB835=1,INT(B835)*1440+Z835,"")</f>
        <v/>
      </c>
      <c r="AX835" s="80" t="str">
        <f>IF(AB835=1,AW835+AD835,"")</f>
        <v/>
      </c>
      <c r="AY835" s="80">
        <f>IF(AND(AB835=1,AV835=0,AU835=1),1,0)</f>
        <v>0</v>
      </c>
      <c r="AZ835" s="80">
        <f>IF(AY835=1,COUNTIFS(R_Emp,D835,R_SAbs,"&lt;"&amp;AX835,R_EAbs,"&gt;"&amp;AW835,R_OKey,1)-1,0)</f>
        <v>0</v>
      </c>
      <c r="BA835" s="80">
        <f>IF(AY835=1,COUNTIFS(R_Emp,"&lt;&gt;"&amp;D835,R_SAbs,"&lt;"&amp;AX835,R_EAbs,"&gt;"&amp;AW835,R_OKey,1),0)</f>
        <v>0</v>
      </c>
      <c r="BB835" s="80">
        <f>IF(AND(AB835=1,D835="proMX"),IF(AND(MOD(Z835,CFG_BLK)=0,MOD(AA835,CFG_BLK)=0,MOD(AG835,CFG_BLK)=0,AG835&gt;0),1,0),1)</f>
        <v>1</v>
      </c>
      <c r="BC835" s="80" t="str">
        <f>IF(Y835=0,"",IF(NOT(ISNUMBER(B835)),"Falta fecha o fecha inválida",IF(D835="","Falta empresa",IF(AND(D835&lt;&gt;"Malcolm",D835&lt;&gt;"proMX"),"Empresa inválida",IF(OR(INT(B835)&lt;CFG_PSTART,INT(B835)&gt;CFG_PEND),"Fecha fuera del período",IF(OR(NOT(ISNUMBER(Z835)),NOT(ISNUMBER(AA835))),"Falta hora inicio/fin o formato inválido",IF(AB835=0,"Hora inicio = hora fin",IF(AE835&lt;0,"Descanso inválido",IF(AE835&gt;=AD835,"Descanso ≥ duración",IF(AV835=1,"Registro duplicado",IF(AZ835&gt;0,"Se superpone con otro registro "&amp;D835,IF(BB835=0,"inicio, fin y duración neta deben ser múltiplos de "&amp;CFG_BLK&amp;" min",""))))))))))))</f>
        <v/>
      </c>
      <c r="BD835" s="80">
        <f>IF(AND(Y835=1,BC835=""),1,0)</f>
        <v>0</v>
      </c>
      <c r="BE835" s="80">
        <f>IF(AND(BD835=1,AU835=1),1,0)</f>
        <v>0</v>
      </c>
      <c r="BF835" s="80" t="str">
        <f>IF(AND(D835="proMX",BD835=1),IF(R835="","Draft",R835),"")</f>
        <v/>
      </c>
      <c r="BG835" s="80">
        <f>IF(BD835=1,ROUND(AG835/60,6),0)</f>
        <v>0</v>
      </c>
      <c r="BH835" s="80">
        <f>IF(BE835=1,ROUND(AG835/60,6),0)</f>
        <v>0</v>
      </c>
      <c r="BI835" s="80">
        <f>IF(BE835=1,ROUND(AP835/60,6),0)</f>
        <v>0</v>
      </c>
      <c r="BJ835" s="80">
        <f>IF(BE835=1,ROUND(AQ835/60,6),0)</f>
        <v>0</v>
      </c>
      <c r="BK835" s="80">
        <f>IF(BE835=1,ROUND((AR835+AS835)/60,6),0)</f>
        <v>0</v>
      </c>
      <c r="BL835" s="80">
        <f>ROUND(BH835-BK835,6)</f>
        <v>0</v>
      </c>
      <c r="BM835" s="80">
        <f>IF(BE835=1,ROUND(AR835/60,6),0)</f>
        <v>0</v>
      </c>
      <c r="BN835" s="80">
        <f>ROUND(BI835-BM835,6)</f>
        <v>0</v>
      </c>
      <c r="BO835" s="80">
        <f>IF(BE835=1,ROUND(AS835/60,6),0)</f>
        <v>0</v>
      </c>
      <c r="BP835" s="80">
        <f>ROUND(BJ835-BO835,6)</f>
        <v>0</v>
      </c>
      <c r="BQ835" s="80">
        <f>IF(BE835=1,AW835,0)</f>
        <v>0</v>
      </c>
      <c r="BR835" s="80">
        <f>IF(BE835=1,AX835,0)</f>
        <v>0</v>
      </c>
      <c r="BS835" s="80">
        <f>IF(AND(BE835=1,D835="Malcolm",BA835&gt;0),MIN(BH835,SUMPRODUCT((R_Emp="proMX")*(R_EN&gt;0)*((R_EN-(R_EN&gt;BR835)*(R_EN-BR835))&gt;(R_SN+(R_SN&lt;BQ835)*(BQ835-R_SN)))*((R_EN-(R_EN&gt;BR835)*(R_EN-BR835))-(R_SN+(R_SN&lt;BQ835)*(BQ835-R_SN))))/60),0)</f>
        <v>0</v>
      </c>
      <c r="BT835" s="80">
        <f>IF(AND(BE835=1,D835="proMX"),ROUND(BI835*CFG_RATE+BJ835*CFG_OTRATE,6),0)</f>
        <v>0</v>
      </c>
      <c r="BU835" s="80">
        <f>IF(AND(BD835=1,D835="proMX"),ROUND(AG835/CFG_BLK,6),0)</f>
        <v>0</v>
      </c>
      <c r="BV835" s="80" t="str">
        <f>IF(BF835="Approved",IF(ISNUMBER(T835),INT(T835),INT(B835)),"")</f>
        <v/>
      </c>
      <c r="BW835" s="80">
        <f>IF(ISNUMBER(B835),IF(DB_MON="Todos",1,IF(AND(INT(B835)&gt;=DB_MS,INT(B835)&lt;=DB_ME),1,0)),0)</f>
        <v>0</v>
      </c>
      <c r="BX835" s="80">
        <f>IF(DB_PROJ="Todos",1,IF(E835&amp;""=DB_PROJ&amp;"",1,0))</f>
        <v>1</v>
      </c>
      <c r="BY835" s="80">
        <f>BW835*BX835</f>
        <v>0</v>
      </c>
      <c r="BZ835" s="80" t="str">
        <f>IF(Y835=1,F835&amp;IF(AND(F835&amp;""&lt;&gt;"",E835&amp;""&lt;&gt;"")," · ","")&amp;E835,"")</f>
        <v/>
      </c>
      <c r="CA835" s="80" t="str">
        <f>IF(AND(BD835=1,E835&amp;""&lt;&gt;""),IF(COUNTIFS($E$5:E834,E835,$BD$5:BD834,1)=0,MAX($CA$5:CA834)+1,""),"")</f>
        <v/>
      </c>
      <c r="CB835" s="80" t="str">
        <f>IF(AND(BE835=1,D835="Malcolm",E835&amp;""&lt;&gt;""),IF(COUNTIFS($D$5:D834,"Malcolm",$E$5:E834,E835,$BE$5:BE834,1)=0,MAX($CB$5:CB834)+1,""),"")</f>
        <v/>
      </c>
      <c r="CC835" s="80" t="str">
        <f>IF(AND(BD835=1,D835="proMX",E835&amp;""&lt;&gt;""),IF(COUNTIFS($D$5:D834,"proMX",$E$5:E834,E835,$BD$5:BD834,1)=0,MAX($CC$5:CC834)+1,""),"")</f>
        <v/>
      </c>
      <c r="CD835" s="80" t="str">
        <f>IF(AND(BE835=1,D835="Malcolm",F835&amp;""&lt;&gt;""),IF(COUNTIFS($D$5:D834,"Malcolm",$F$5:F834,F835,$BE$5:BE834,1)=0,MAX($CD$5:CD834)+1,""),"")</f>
        <v/>
      </c>
      <c r="CE835" s="80" t="str">
        <f>IF(AND(BD835=1,D835="proMX",F835&amp;""&lt;&gt;""),IF(COUNTIFS($D$5:D834,"proMX",$F$5:F834,F835,$BD$5:BD834,1)=0,MAX($CE$5:CE834)+1,""),"")</f>
        <v/>
      </c>
      <c r="CF835" s="80" t="str">
        <f>IF(AND(D835="proMX",BD835=1),IF(OR(BF835="Draft",BF835="Submitted",BF835="Returned",BF835="Recall Requested"),MAX($CF$5:CF834)+1,""),"")</f>
        <v/>
      </c>
      <c r="CG835" s="80">
        <f>IF(BD835=0,0,IF(D835="Malcolm",1,MATCH(BF835,{"Draft","Submitted","Approved","Returned","Recall Requested","Cancelled"},0)+1))</f>
        <v>0</v>
      </c>
      <c r="CH835" s="80">
        <f>IF(AND(BF835="Submitted",ISNUMBER(V835)),IF(V835&gt;CFG_MAXD,1,0),0)</f>
        <v>0</v>
      </c>
    </row>
    <row r="836">
      <c r="A836" s="71" t="str">
        <f>IF(Y836=1,ROW()-5,"")</f>
        <v/>
      </c>
      <c r="B836" s="72" t="n"/>
      <c r="C836" s="71" t="str">
        <f>IF(ISNUMBER(B836),CHOOSE(WEEKDAY(B836,2),"Lun","Mar","Mié","Jue","Vie","Sáb","Dom"),"")</f>
        <v/>
      </c>
      <c r="D836" s="73" t="n"/>
      <c r="E836" s="74" t="n"/>
      <c r="F836" s="74" t="n"/>
      <c r="G836" s="74" t="n"/>
      <c r="H836" s="75" t="n"/>
      <c r="I836" s="75" t="n"/>
      <c r="J836" s="76" t="n"/>
      <c r="K836" s="77" t="str">
        <f>IF(AB836=1,ROUND(AG836/60,4),"")</f>
        <v/>
      </c>
      <c r="L836" s="77" t="str">
        <f>IF(BD836=1,ROUND(AP836/60,4),"")</f>
        <v/>
      </c>
      <c r="M836" s="77" t="str">
        <f>IF(BD836=1,ROUND(AQ836/60,4),"")</f>
        <v/>
      </c>
      <c r="N836" s="71" t="str">
        <f>IF(AND(D836="proMX",AB836=1),ROUND(AG836/CFG_BLK,2),"")</f>
        <v/>
      </c>
      <c r="O836" s="77" t="str">
        <f>IF(D836="proMX",IF(BD836=1,ROUND(AG836/60,4),0),"")</f>
        <v/>
      </c>
      <c r="P836" s="78" t="str">
        <f>IF(Y836=0,"",IF(BD836=1,"OK",IF(D836="proMX","Revisar bloques: ","Revisar: ")&amp;BC836))</f>
        <v/>
      </c>
      <c r="Q836" s="78" t="str">
        <f>IF(NOT(ISNUMBER(B836)),"",IF(COUNTIFS(FER_F,INT(B836))&gt;0,"Feriado"&amp;IF(AH836=1," (laborable)"," (no laborable)"),IF(AH836=1,"Laborable",IF(WEEKDAY(B836,2)&gt;5,"Fin de semana","No laborable"))))</f>
        <v/>
      </c>
      <c r="R836" s="73" t="n"/>
      <c r="S836" s="72" t="n"/>
      <c r="T836" s="72" t="n"/>
      <c r="U836" s="74" t="n"/>
      <c r="V836" s="79" t="str">
        <f>IF(AND(D836="proMX",OR(R836="Submitted",R836="Recall Requested"),ISNUMBER(S836)),CFG_TODAY-INT(S836),"")</f>
        <v/>
      </c>
      <c r="W836" s="78" t="str">
        <f>IF(BD836=0,"",IF(BA836&gt;0,"⚠ Se superpone con un registro de la otra empresa",IF(D836="Malcolm",IF(COUNTA(R836,S836,T836)&gt;0,"Estado/fechas proMX se ignoran en Malcolm",""),IF(BF836="Cancelled","Cancelado: excluido de totales",IF(R836="","Sin estado: se trata como Draft",IF(BF836="Submitted",IF(ISNUMBER(V836),IF(V836&gt;CFG_MAXD,"⚠ "&amp;V836&amp;" días en Submitted (máx. "&amp;CFG_MAXD&amp;")",""),"Falta fecha de envío"),IF(BF836="Returned","⚠ Devuelto: corregir y reenviar",IF(BF836="Recall Requested","Retirada solicitada: pendiente",IF(AND(BF836="Approved",NOT(ISNUMBER(T836))),"Falta fecha de aprobación",IF(AND(ISNUMBER(S836),ISNUMBER(T836),T836&lt;S836),"Aprobación anterior al envío","")))))))))</f>
        <v/>
      </c>
      <c r="Y836" s="80">
        <f>IF(COUNTA(B836,D836,E836,F836,G836,H836,I836,J836,R836,S836,T836)&gt;0,1,0)</f>
        <v>0</v>
      </c>
      <c r="Z836" s="80" t="str">
        <f>IF(AND(ISNUMBER(H836),H836&gt;=0,H836&lt;1),ROUND(H836*1440,0),"")</f>
        <v/>
      </c>
      <c r="AA836" s="80" t="str">
        <f>IF(AND(ISNUMBER(I836),I836&gt;=0,I836&lt;1),ROUND(I836*1440,0),"")</f>
        <v/>
      </c>
      <c r="AB836" s="80">
        <f>IF(AND(ISNUMBER(B836),D836&lt;&gt;"",ISNUMBER(Z836),ISNUMBER(AA836)),IF(Z836=AA836,0,1),0)</f>
        <v>0</v>
      </c>
      <c r="AC836" s="80">
        <f>IF(AB836=1,IF(AA836&lt;Z836,1,0),0)</f>
        <v>0</v>
      </c>
      <c r="AD836" s="80">
        <f>IF(AB836=1,IF(AC836=1,1440-Z836+AA836,AA836-Z836),0)</f>
        <v>0</v>
      </c>
      <c r="AE836" s="80">
        <f>IF(J836="",0,IF(ISNUMBER(J836),J836,-1))</f>
        <v>0</v>
      </c>
      <c r="AF836" s="80">
        <f>MIN(MAX(0,AE836),AD836)</f>
        <v>0</v>
      </c>
      <c r="AG836" s="80">
        <f>MAX(0,AD836-MAX(0,AE836))</f>
        <v>0</v>
      </c>
      <c r="AH836" s="80">
        <f>IF(ISNUMBER(B836),IF(AND(INDEX(CFG_WDAYS,WEEKDAY(INT(B836),2))="Sí",IF(D836="proMX",COUNTIFS(FER_F,INT(B836),FER_NLP,"Sí"),COUNTIFS(FER_F,INT(B836),FER_NLM,"Sí"))=0),1,0),0)</f>
        <v>0</v>
      </c>
      <c r="AI836" s="80">
        <f>IF(AC836=1,IF(AND(INDEX(CFG_WDAYS,WEEKDAY(INT(B836)+1,2))="Sí",IF(D836="proMX",COUNTIFS(FER_F,INT(B836)+1,FER_NLP,"Sí"),COUNTIFS(FER_F,INT(B836)+1,FER_NLM,"Sí"))=0),1,0),0)</f>
        <v>0</v>
      </c>
      <c r="AJ836" s="80">
        <f>IF(AC836=1,1440-Z836,AD836)</f>
        <v>0</v>
      </c>
      <c r="AK836" s="80">
        <f>IF(AND(AB836=1,AH836=1),MAX(0,MIN(IF(AC836=1,1440,AA836),CFG_WEM)-MAX(Z836,CFG_WSM)),0)</f>
        <v>0</v>
      </c>
      <c r="AL836" s="80">
        <f>IF(AND(AC836=1,AI836=1),MAX(0,MIN(AA836,CFG_WEM)-CFG_WSM),0)</f>
        <v>0</v>
      </c>
      <c r="AM836" s="80">
        <f>AK836+AL836</f>
        <v>0</v>
      </c>
      <c r="AN836" s="80">
        <f>IF(CFG_BRK="Proporcional",IF(AD836=0,0,AF836*AM836/AD836),IF(CFG_BRK="Extras primero",MIN(AM836,MAX(0,AF836-(AD836-AM836))),MIN(AF836,AM836)))</f>
        <v>0</v>
      </c>
      <c r="AO836" s="80">
        <f>AF836-AN836</f>
        <v>0</v>
      </c>
      <c r="AP836" s="80">
        <f>AM836-AN836</f>
        <v>0</v>
      </c>
      <c r="AQ836" s="80">
        <f>AD836-AM836-AO836</f>
        <v>0</v>
      </c>
      <c r="AR836" s="80">
        <f>IF(AM836=0,0,AK836-AN836*AK836/AM836)</f>
        <v>0</v>
      </c>
      <c r="AS836" s="80">
        <f>IF(AD836-AM836=0,0,(AJ836-AK836)-AO836*(AJ836-AK836)/(AD836-AM836))</f>
        <v>0</v>
      </c>
      <c r="AT836" s="80" t="str">
        <f>IF(AC836=1,INT(B836)+1,"")</f>
        <v/>
      </c>
      <c r="AU836" s="80">
        <f>IF(AND(D836="proMX",R836="Cancelled"),0,1)</f>
        <v>1</v>
      </c>
      <c r="AV836" s="80">
        <f>IF(AND(AB836=1,AU836=1),IF(COUNTIFS($D$5:D835,D836,$B$5:B835,B836,$Z$5:Z835,Z836,$AA$5:AA835,AA836,$F$5:F835,F836&amp;"",$AU$5:AU835,1)&gt;0,1,0),0)</f>
        <v>0</v>
      </c>
      <c r="AW836" s="80" t="str">
        <f>IF(AB836=1,INT(B836)*1440+Z836,"")</f>
        <v/>
      </c>
      <c r="AX836" s="80" t="str">
        <f>IF(AB836=1,AW836+AD836,"")</f>
        <v/>
      </c>
      <c r="AY836" s="80">
        <f>IF(AND(AB836=1,AV836=0,AU836=1),1,0)</f>
        <v>0</v>
      </c>
      <c r="AZ836" s="80">
        <f>IF(AY836=1,COUNTIFS(R_Emp,D836,R_SAbs,"&lt;"&amp;AX836,R_EAbs,"&gt;"&amp;AW836,R_OKey,1)-1,0)</f>
        <v>0</v>
      </c>
      <c r="BA836" s="80">
        <f>IF(AY836=1,COUNTIFS(R_Emp,"&lt;&gt;"&amp;D836,R_SAbs,"&lt;"&amp;AX836,R_EAbs,"&gt;"&amp;AW836,R_OKey,1),0)</f>
        <v>0</v>
      </c>
      <c r="BB836" s="80">
        <f>IF(AND(AB836=1,D836="proMX"),IF(AND(MOD(Z836,CFG_BLK)=0,MOD(AA836,CFG_BLK)=0,MOD(AG836,CFG_BLK)=0,AG836&gt;0),1,0),1)</f>
        <v>1</v>
      </c>
      <c r="BC836" s="80" t="str">
        <f>IF(Y836=0,"",IF(NOT(ISNUMBER(B836)),"Falta fecha o fecha inválida",IF(D836="","Falta empresa",IF(AND(D836&lt;&gt;"Malcolm",D836&lt;&gt;"proMX"),"Empresa inválida",IF(OR(INT(B836)&lt;CFG_PSTART,INT(B836)&gt;CFG_PEND),"Fecha fuera del período",IF(OR(NOT(ISNUMBER(Z836)),NOT(ISNUMBER(AA836))),"Falta hora inicio/fin o formato inválido",IF(AB836=0,"Hora inicio = hora fin",IF(AE836&lt;0,"Descanso inválido",IF(AE836&gt;=AD836,"Descanso ≥ duración",IF(AV836=1,"Registro duplicado",IF(AZ836&gt;0,"Se superpone con otro registro "&amp;D836,IF(BB836=0,"inicio, fin y duración neta deben ser múltiplos de "&amp;CFG_BLK&amp;" min",""))))))))))))</f>
        <v/>
      </c>
      <c r="BD836" s="80">
        <f>IF(AND(Y836=1,BC836=""),1,0)</f>
        <v>0</v>
      </c>
      <c r="BE836" s="80">
        <f>IF(AND(BD836=1,AU836=1),1,0)</f>
        <v>0</v>
      </c>
      <c r="BF836" s="80" t="str">
        <f>IF(AND(D836="proMX",BD836=1),IF(R836="","Draft",R836),"")</f>
        <v/>
      </c>
      <c r="BG836" s="80">
        <f>IF(BD836=1,ROUND(AG836/60,6),0)</f>
        <v>0</v>
      </c>
      <c r="BH836" s="80">
        <f>IF(BE836=1,ROUND(AG836/60,6),0)</f>
        <v>0</v>
      </c>
      <c r="BI836" s="80">
        <f>IF(BE836=1,ROUND(AP836/60,6),0)</f>
        <v>0</v>
      </c>
      <c r="BJ836" s="80">
        <f>IF(BE836=1,ROUND(AQ836/60,6),0)</f>
        <v>0</v>
      </c>
      <c r="BK836" s="80">
        <f>IF(BE836=1,ROUND((AR836+AS836)/60,6),0)</f>
        <v>0</v>
      </c>
      <c r="BL836" s="80">
        <f>ROUND(BH836-BK836,6)</f>
        <v>0</v>
      </c>
      <c r="BM836" s="80">
        <f>IF(BE836=1,ROUND(AR836/60,6),0)</f>
        <v>0</v>
      </c>
      <c r="BN836" s="80">
        <f>ROUND(BI836-BM836,6)</f>
        <v>0</v>
      </c>
      <c r="BO836" s="80">
        <f>IF(BE836=1,ROUND(AS836/60,6),0)</f>
        <v>0</v>
      </c>
      <c r="BP836" s="80">
        <f>ROUND(BJ836-BO836,6)</f>
        <v>0</v>
      </c>
      <c r="BQ836" s="80">
        <f>IF(BE836=1,AW836,0)</f>
        <v>0</v>
      </c>
      <c r="BR836" s="80">
        <f>IF(BE836=1,AX836,0)</f>
        <v>0</v>
      </c>
      <c r="BS836" s="80">
        <f>IF(AND(BE836=1,D836="Malcolm",BA836&gt;0),MIN(BH836,SUMPRODUCT((R_Emp="proMX")*(R_EN&gt;0)*((R_EN-(R_EN&gt;BR836)*(R_EN-BR836))&gt;(R_SN+(R_SN&lt;BQ836)*(BQ836-R_SN)))*((R_EN-(R_EN&gt;BR836)*(R_EN-BR836))-(R_SN+(R_SN&lt;BQ836)*(BQ836-R_SN))))/60),0)</f>
        <v>0</v>
      </c>
      <c r="BT836" s="80">
        <f>IF(AND(BE836=1,D836="proMX"),ROUND(BI836*CFG_RATE+BJ836*CFG_OTRATE,6),0)</f>
        <v>0</v>
      </c>
      <c r="BU836" s="80">
        <f>IF(AND(BD836=1,D836="proMX"),ROUND(AG836/CFG_BLK,6),0)</f>
        <v>0</v>
      </c>
      <c r="BV836" s="80" t="str">
        <f>IF(BF836="Approved",IF(ISNUMBER(T836),INT(T836),INT(B836)),"")</f>
        <v/>
      </c>
      <c r="BW836" s="80">
        <f>IF(ISNUMBER(B836),IF(DB_MON="Todos",1,IF(AND(INT(B836)&gt;=DB_MS,INT(B836)&lt;=DB_ME),1,0)),0)</f>
        <v>0</v>
      </c>
      <c r="BX836" s="80">
        <f>IF(DB_PROJ="Todos",1,IF(E836&amp;""=DB_PROJ&amp;"",1,0))</f>
        <v>1</v>
      </c>
      <c r="BY836" s="80">
        <f>BW836*BX836</f>
        <v>0</v>
      </c>
      <c r="BZ836" s="80" t="str">
        <f>IF(Y836=1,F836&amp;IF(AND(F836&amp;""&lt;&gt;"",E836&amp;""&lt;&gt;"")," · ","")&amp;E836,"")</f>
        <v/>
      </c>
      <c r="CA836" s="80" t="str">
        <f>IF(AND(BD836=1,E836&amp;""&lt;&gt;""),IF(COUNTIFS($E$5:E835,E836,$BD$5:BD835,1)=0,MAX($CA$5:CA835)+1,""),"")</f>
        <v/>
      </c>
      <c r="CB836" s="80" t="str">
        <f>IF(AND(BE836=1,D836="Malcolm",E836&amp;""&lt;&gt;""),IF(COUNTIFS($D$5:D835,"Malcolm",$E$5:E835,E836,$BE$5:BE835,1)=0,MAX($CB$5:CB835)+1,""),"")</f>
        <v/>
      </c>
      <c r="CC836" s="80" t="str">
        <f>IF(AND(BD836=1,D836="proMX",E836&amp;""&lt;&gt;""),IF(COUNTIFS($D$5:D835,"proMX",$E$5:E835,E836,$BD$5:BD835,1)=0,MAX($CC$5:CC835)+1,""),"")</f>
        <v/>
      </c>
      <c r="CD836" s="80" t="str">
        <f>IF(AND(BE836=1,D836="Malcolm",F836&amp;""&lt;&gt;""),IF(COUNTIFS($D$5:D835,"Malcolm",$F$5:F835,F836,$BE$5:BE835,1)=0,MAX($CD$5:CD835)+1,""),"")</f>
        <v/>
      </c>
      <c r="CE836" s="80" t="str">
        <f>IF(AND(BD836=1,D836="proMX",F836&amp;""&lt;&gt;""),IF(COUNTIFS($D$5:D835,"proMX",$F$5:F835,F836,$BD$5:BD835,1)=0,MAX($CE$5:CE835)+1,""),"")</f>
        <v/>
      </c>
      <c r="CF836" s="80" t="str">
        <f>IF(AND(D836="proMX",BD836=1),IF(OR(BF836="Draft",BF836="Submitted",BF836="Returned",BF836="Recall Requested"),MAX($CF$5:CF835)+1,""),"")</f>
        <v/>
      </c>
      <c r="CG836" s="80">
        <f>IF(BD836=0,0,IF(D836="Malcolm",1,MATCH(BF836,{"Draft","Submitted","Approved","Returned","Recall Requested","Cancelled"},0)+1))</f>
        <v>0</v>
      </c>
      <c r="CH836" s="80">
        <f>IF(AND(BF836="Submitted",ISNUMBER(V836)),IF(V836&gt;CFG_MAXD,1,0),0)</f>
        <v>0</v>
      </c>
    </row>
    <row r="837">
      <c r="A837" s="71" t="str">
        <f>IF(Y837=1,ROW()-5,"")</f>
        <v/>
      </c>
      <c r="B837" s="72" t="n"/>
      <c r="C837" s="71" t="str">
        <f>IF(ISNUMBER(B837),CHOOSE(WEEKDAY(B837,2),"Lun","Mar","Mié","Jue","Vie","Sáb","Dom"),"")</f>
        <v/>
      </c>
      <c r="D837" s="73" t="n"/>
      <c r="E837" s="74" t="n"/>
      <c r="F837" s="74" t="n"/>
      <c r="G837" s="74" t="n"/>
      <c r="H837" s="75" t="n"/>
      <c r="I837" s="75" t="n"/>
      <c r="J837" s="76" t="n"/>
      <c r="K837" s="77" t="str">
        <f>IF(AB837=1,ROUND(AG837/60,4),"")</f>
        <v/>
      </c>
      <c r="L837" s="77" t="str">
        <f>IF(BD837=1,ROUND(AP837/60,4),"")</f>
        <v/>
      </c>
      <c r="M837" s="77" t="str">
        <f>IF(BD837=1,ROUND(AQ837/60,4),"")</f>
        <v/>
      </c>
      <c r="N837" s="71" t="str">
        <f>IF(AND(D837="proMX",AB837=1),ROUND(AG837/CFG_BLK,2),"")</f>
        <v/>
      </c>
      <c r="O837" s="77" t="str">
        <f>IF(D837="proMX",IF(BD837=1,ROUND(AG837/60,4),0),"")</f>
        <v/>
      </c>
      <c r="P837" s="78" t="str">
        <f>IF(Y837=0,"",IF(BD837=1,"OK",IF(D837="proMX","Revisar bloques: ","Revisar: ")&amp;BC837))</f>
        <v/>
      </c>
      <c r="Q837" s="78" t="str">
        <f>IF(NOT(ISNUMBER(B837)),"",IF(COUNTIFS(FER_F,INT(B837))&gt;0,"Feriado"&amp;IF(AH837=1," (laborable)"," (no laborable)"),IF(AH837=1,"Laborable",IF(WEEKDAY(B837,2)&gt;5,"Fin de semana","No laborable"))))</f>
        <v/>
      </c>
      <c r="R837" s="73" t="n"/>
      <c r="S837" s="72" t="n"/>
      <c r="T837" s="72" t="n"/>
      <c r="U837" s="74" t="n"/>
      <c r="V837" s="79" t="str">
        <f>IF(AND(D837="proMX",OR(R837="Submitted",R837="Recall Requested"),ISNUMBER(S837)),CFG_TODAY-INT(S837),"")</f>
        <v/>
      </c>
      <c r="W837" s="78" t="str">
        <f>IF(BD837=0,"",IF(BA837&gt;0,"⚠ Se superpone con un registro de la otra empresa",IF(D837="Malcolm",IF(COUNTA(R837,S837,T837)&gt;0,"Estado/fechas proMX se ignoran en Malcolm",""),IF(BF837="Cancelled","Cancelado: excluido de totales",IF(R837="","Sin estado: se trata como Draft",IF(BF837="Submitted",IF(ISNUMBER(V837),IF(V837&gt;CFG_MAXD,"⚠ "&amp;V837&amp;" días en Submitted (máx. "&amp;CFG_MAXD&amp;")",""),"Falta fecha de envío"),IF(BF837="Returned","⚠ Devuelto: corregir y reenviar",IF(BF837="Recall Requested","Retirada solicitada: pendiente",IF(AND(BF837="Approved",NOT(ISNUMBER(T837))),"Falta fecha de aprobación",IF(AND(ISNUMBER(S837),ISNUMBER(T837),T837&lt;S837),"Aprobación anterior al envío","")))))))))</f>
        <v/>
      </c>
      <c r="Y837" s="80">
        <f>IF(COUNTA(B837,D837,E837,F837,G837,H837,I837,J837,R837,S837,T837)&gt;0,1,0)</f>
        <v>0</v>
      </c>
      <c r="Z837" s="80" t="str">
        <f>IF(AND(ISNUMBER(H837),H837&gt;=0,H837&lt;1),ROUND(H837*1440,0),"")</f>
        <v/>
      </c>
      <c r="AA837" s="80" t="str">
        <f>IF(AND(ISNUMBER(I837),I837&gt;=0,I837&lt;1),ROUND(I837*1440,0),"")</f>
        <v/>
      </c>
      <c r="AB837" s="80">
        <f>IF(AND(ISNUMBER(B837),D837&lt;&gt;"",ISNUMBER(Z837),ISNUMBER(AA837)),IF(Z837=AA837,0,1),0)</f>
        <v>0</v>
      </c>
      <c r="AC837" s="80">
        <f>IF(AB837=1,IF(AA837&lt;Z837,1,0),0)</f>
        <v>0</v>
      </c>
      <c r="AD837" s="80">
        <f>IF(AB837=1,IF(AC837=1,1440-Z837+AA837,AA837-Z837),0)</f>
        <v>0</v>
      </c>
      <c r="AE837" s="80">
        <f>IF(J837="",0,IF(ISNUMBER(J837),J837,-1))</f>
        <v>0</v>
      </c>
      <c r="AF837" s="80">
        <f>MIN(MAX(0,AE837),AD837)</f>
        <v>0</v>
      </c>
      <c r="AG837" s="80">
        <f>MAX(0,AD837-MAX(0,AE837))</f>
        <v>0</v>
      </c>
      <c r="AH837" s="80">
        <f>IF(ISNUMBER(B837),IF(AND(INDEX(CFG_WDAYS,WEEKDAY(INT(B837),2))="Sí",IF(D837="proMX",COUNTIFS(FER_F,INT(B837),FER_NLP,"Sí"),COUNTIFS(FER_F,INT(B837),FER_NLM,"Sí"))=0),1,0),0)</f>
        <v>0</v>
      </c>
      <c r="AI837" s="80">
        <f>IF(AC837=1,IF(AND(INDEX(CFG_WDAYS,WEEKDAY(INT(B837)+1,2))="Sí",IF(D837="proMX",COUNTIFS(FER_F,INT(B837)+1,FER_NLP,"Sí"),COUNTIFS(FER_F,INT(B837)+1,FER_NLM,"Sí"))=0),1,0),0)</f>
        <v>0</v>
      </c>
      <c r="AJ837" s="80">
        <f>IF(AC837=1,1440-Z837,AD837)</f>
        <v>0</v>
      </c>
      <c r="AK837" s="80">
        <f>IF(AND(AB837=1,AH837=1),MAX(0,MIN(IF(AC837=1,1440,AA837),CFG_WEM)-MAX(Z837,CFG_WSM)),0)</f>
        <v>0</v>
      </c>
      <c r="AL837" s="80">
        <f>IF(AND(AC837=1,AI837=1),MAX(0,MIN(AA837,CFG_WEM)-CFG_WSM),0)</f>
        <v>0</v>
      </c>
      <c r="AM837" s="80">
        <f>AK837+AL837</f>
        <v>0</v>
      </c>
      <c r="AN837" s="80">
        <f>IF(CFG_BRK="Proporcional",IF(AD837=0,0,AF837*AM837/AD837),IF(CFG_BRK="Extras primero",MIN(AM837,MAX(0,AF837-(AD837-AM837))),MIN(AF837,AM837)))</f>
        <v>0</v>
      </c>
      <c r="AO837" s="80">
        <f>AF837-AN837</f>
        <v>0</v>
      </c>
      <c r="AP837" s="80">
        <f>AM837-AN837</f>
        <v>0</v>
      </c>
      <c r="AQ837" s="80">
        <f>AD837-AM837-AO837</f>
        <v>0</v>
      </c>
      <c r="AR837" s="80">
        <f>IF(AM837=0,0,AK837-AN837*AK837/AM837)</f>
        <v>0</v>
      </c>
      <c r="AS837" s="80">
        <f>IF(AD837-AM837=0,0,(AJ837-AK837)-AO837*(AJ837-AK837)/(AD837-AM837))</f>
        <v>0</v>
      </c>
      <c r="AT837" s="80" t="str">
        <f>IF(AC837=1,INT(B837)+1,"")</f>
        <v/>
      </c>
      <c r="AU837" s="80">
        <f>IF(AND(D837="proMX",R837="Cancelled"),0,1)</f>
        <v>1</v>
      </c>
      <c r="AV837" s="80">
        <f>IF(AND(AB837=1,AU837=1),IF(COUNTIFS($D$5:D836,D837,$B$5:B836,B837,$Z$5:Z836,Z837,$AA$5:AA836,AA837,$F$5:F836,F837&amp;"",$AU$5:AU836,1)&gt;0,1,0),0)</f>
        <v>0</v>
      </c>
      <c r="AW837" s="80" t="str">
        <f>IF(AB837=1,INT(B837)*1440+Z837,"")</f>
        <v/>
      </c>
      <c r="AX837" s="80" t="str">
        <f>IF(AB837=1,AW837+AD837,"")</f>
        <v/>
      </c>
      <c r="AY837" s="80">
        <f>IF(AND(AB837=1,AV837=0,AU837=1),1,0)</f>
        <v>0</v>
      </c>
      <c r="AZ837" s="80">
        <f>IF(AY837=1,COUNTIFS(R_Emp,D837,R_SAbs,"&lt;"&amp;AX837,R_EAbs,"&gt;"&amp;AW837,R_OKey,1)-1,0)</f>
        <v>0</v>
      </c>
      <c r="BA837" s="80">
        <f>IF(AY837=1,COUNTIFS(R_Emp,"&lt;&gt;"&amp;D837,R_SAbs,"&lt;"&amp;AX837,R_EAbs,"&gt;"&amp;AW837,R_OKey,1),0)</f>
        <v>0</v>
      </c>
      <c r="BB837" s="80">
        <f>IF(AND(AB837=1,D837="proMX"),IF(AND(MOD(Z837,CFG_BLK)=0,MOD(AA837,CFG_BLK)=0,MOD(AG837,CFG_BLK)=0,AG837&gt;0),1,0),1)</f>
        <v>1</v>
      </c>
      <c r="BC837" s="80" t="str">
        <f>IF(Y837=0,"",IF(NOT(ISNUMBER(B837)),"Falta fecha o fecha inválida",IF(D837="","Falta empresa",IF(AND(D837&lt;&gt;"Malcolm",D837&lt;&gt;"proMX"),"Empresa inválida",IF(OR(INT(B837)&lt;CFG_PSTART,INT(B837)&gt;CFG_PEND),"Fecha fuera del período",IF(OR(NOT(ISNUMBER(Z837)),NOT(ISNUMBER(AA837))),"Falta hora inicio/fin o formato inválido",IF(AB837=0,"Hora inicio = hora fin",IF(AE837&lt;0,"Descanso inválido",IF(AE837&gt;=AD837,"Descanso ≥ duración",IF(AV837=1,"Registro duplicado",IF(AZ837&gt;0,"Se superpone con otro registro "&amp;D837,IF(BB837=0,"inicio, fin y duración neta deben ser múltiplos de "&amp;CFG_BLK&amp;" min",""))))))))))))</f>
        <v/>
      </c>
      <c r="BD837" s="80">
        <f>IF(AND(Y837=1,BC837=""),1,0)</f>
        <v>0</v>
      </c>
      <c r="BE837" s="80">
        <f>IF(AND(BD837=1,AU837=1),1,0)</f>
        <v>0</v>
      </c>
      <c r="BF837" s="80" t="str">
        <f>IF(AND(D837="proMX",BD837=1),IF(R837="","Draft",R837),"")</f>
        <v/>
      </c>
      <c r="BG837" s="80">
        <f>IF(BD837=1,ROUND(AG837/60,6),0)</f>
        <v>0</v>
      </c>
      <c r="BH837" s="80">
        <f>IF(BE837=1,ROUND(AG837/60,6),0)</f>
        <v>0</v>
      </c>
      <c r="BI837" s="80">
        <f>IF(BE837=1,ROUND(AP837/60,6),0)</f>
        <v>0</v>
      </c>
      <c r="BJ837" s="80">
        <f>IF(BE837=1,ROUND(AQ837/60,6),0)</f>
        <v>0</v>
      </c>
      <c r="BK837" s="80">
        <f>IF(BE837=1,ROUND((AR837+AS837)/60,6),0)</f>
        <v>0</v>
      </c>
      <c r="BL837" s="80">
        <f>ROUND(BH837-BK837,6)</f>
        <v>0</v>
      </c>
      <c r="BM837" s="80">
        <f>IF(BE837=1,ROUND(AR837/60,6),0)</f>
        <v>0</v>
      </c>
      <c r="BN837" s="80">
        <f>ROUND(BI837-BM837,6)</f>
        <v>0</v>
      </c>
      <c r="BO837" s="80">
        <f>IF(BE837=1,ROUND(AS837/60,6),0)</f>
        <v>0</v>
      </c>
      <c r="BP837" s="80">
        <f>ROUND(BJ837-BO837,6)</f>
        <v>0</v>
      </c>
      <c r="BQ837" s="80">
        <f>IF(BE837=1,AW837,0)</f>
        <v>0</v>
      </c>
      <c r="BR837" s="80">
        <f>IF(BE837=1,AX837,0)</f>
        <v>0</v>
      </c>
      <c r="BS837" s="80">
        <f>IF(AND(BE837=1,D837="Malcolm",BA837&gt;0),MIN(BH837,SUMPRODUCT((R_Emp="proMX")*(R_EN&gt;0)*((R_EN-(R_EN&gt;BR837)*(R_EN-BR837))&gt;(R_SN+(R_SN&lt;BQ837)*(BQ837-R_SN)))*((R_EN-(R_EN&gt;BR837)*(R_EN-BR837))-(R_SN+(R_SN&lt;BQ837)*(BQ837-R_SN))))/60),0)</f>
        <v>0</v>
      </c>
      <c r="BT837" s="80">
        <f>IF(AND(BE837=1,D837="proMX"),ROUND(BI837*CFG_RATE+BJ837*CFG_OTRATE,6),0)</f>
        <v>0</v>
      </c>
      <c r="BU837" s="80">
        <f>IF(AND(BD837=1,D837="proMX"),ROUND(AG837/CFG_BLK,6),0)</f>
        <v>0</v>
      </c>
      <c r="BV837" s="80" t="str">
        <f>IF(BF837="Approved",IF(ISNUMBER(T837),INT(T837),INT(B837)),"")</f>
        <v/>
      </c>
      <c r="BW837" s="80">
        <f>IF(ISNUMBER(B837),IF(DB_MON="Todos",1,IF(AND(INT(B837)&gt;=DB_MS,INT(B837)&lt;=DB_ME),1,0)),0)</f>
        <v>0</v>
      </c>
      <c r="BX837" s="80">
        <f>IF(DB_PROJ="Todos",1,IF(E837&amp;""=DB_PROJ&amp;"",1,0))</f>
        <v>1</v>
      </c>
      <c r="BY837" s="80">
        <f>BW837*BX837</f>
        <v>0</v>
      </c>
      <c r="BZ837" s="80" t="str">
        <f>IF(Y837=1,F837&amp;IF(AND(F837&amp;""&lt;&gt;"",E837&amp;""&lt;&gt;"")," · ","")&amp;E837,"")</f>
        <v/>
      </c>
      <c r="CA837" s="80" t="str">
        <f>IF(AND(BD837=1,E837&amp;""&lt;&gt;""),IF(COUNTIFS($E$5:E836,E837,$BD$5:BD836,1)=0,MAX($CA$5:CA836)+1,""),"")</f>
        <v/>
      </c>
      <c r="CB837" s="80" t="str">
        <f>IF(AND(BE837=1,D837="Malcolm",E837&amp;""&lt;&gt;""),IF(COUNTIFS($D$5:D836,"Malcolm",$E$5:E836,E837,$BE$5:BE836,1)=0,MAX($CB$5:CB836)+1,""),"")</f>
        <v/>
      </c>
      <c r="CC837" s="80" t="str">
        <f>IF(AND(BD837=1,D837="proMX",E837&amp;""&lt;&gt;""),IF(COUNTIFS($D$5:D836,"proMX",$E$5:E836,E837,$BD$5:BD836,1)=0,MAX($CC$5:CC836)+1,""),"")</f>
        <v/>
      </c>
      <c r="CD837" s="80" t="str">
        <f>IF(AND(BE837=1,D837="Malcolm",F837&amp;""&lt;&gt;""),IF(COUNTIFS($D$5:D836,"Malcolm",$F$5:F836,F837,$BE$5:BE836,1)=0,MAX($CD$5:CD836)+1,""),"")</f>
        <v/>
      </c>
      <c r="CE837" s="80" t="str">
        <f>IF(AND(BD837=1,D837="proMX",F837&amp;""&lt;&gt;""),IF(COUNTIFS($D$5:D836,"proMX",$F$5:F836,F837,$BD$5:BD836,1)=0,MAX($CE$5:CE836)+1,""),"")</f>
        <v/>
      </c>
      <c r="CF837" s="80" t="str">
        <f>IF(AND(D837="proMX",BD837=1),IF(OR(BF837="Draft",BF837="Submitted",BF837="Returned",BF837="Recall Requested"),MAX($CF$5:CF836)+1,""),"")</f>
        <v/>
      </c>
      <c r="CG837" s="80">
        <f>IF(BD837=0,0,IF(D837="Malcolm",1,MATCH(BF837,{"Draft","Submitted","Approved","Returned","Recall Requested","Cancelled"},0)+1))</f>
        <v>0</v>
      </c>
      <c r="CH837" s="80">
        <f>IF(AND(BF837="Submitted",ISNUMBER(V837)),IF(V837&gt;CFG_MAXD,1,0),0)</f>
        <v>0</v>
      </c>
    </row>
    <row r="838">
      <c r="A838" s="71" t="str">
        <f>IF(Y838=1,ROW()-5,"")</f>
        <v/>
      </c>
      <c r="B838" s="72" t="n"/>
      <c r="C838" s="71" t="str">
        <f>IF(ISNUMBER(B838),CHOOSE(WEEKDAY(B838,2),"Lun","Mar","Mié","Jue","Vie","Sáb","Dom"),"")</f>
        <v/>
      </c>
      <c r="D838" s="73" t="n"/>
      <c r="E838" s="74" t="n"/>
      <c r="F838" s="74" t="n"/>
      <c r="G838" s="74" t="n"/>
      <c r="H838" s="75" t="n"/>
      <c r="I838" s="75" t="n"/>
      <c r="J838" s="76" t="n"/>
      <c r="K838" s="77" t="str">
        <f>IF(AB838=1,ROUND(AG838/60,4),"")</f>
        <v/>
      </c>
      <c r="L838" s="77" t="str">
        <f>IF(BD838=1,ROUND(AP838/60,4),"")</f>
        <v/>
      </c>
      <c r="M838" s="77" t="str">
        <f>IF(BD838=1,ROUND(AQ838/60,4),"")</f>
        <v/>
      </c>
      <c r="N838" s="71" t="str">
        <f>IF(AND(D838="proMX",AB838=1),ROUND(AG838/CFG_BLK,2),"")</f>
        <v/>
      </c>
      <c r="O838" s="77" t="str">
        <f>IF(D838="proMX",IF(BD838=1,ROUND(AG838/60,4),0),"")</f>
        <v/>
      </c>
      <c r="P838" s="78" t="str">
        <f>IF(Y838=0,"",IF(BD838=1,"OK",IF(D838="proMX","Revisar bloques: ","Revisar: ")&amp;BC838))</f>
        <v/>
      </c>
      <c r="Q838" s="78" t="str">
        <f>IF(NOT(ISNUMBER(B838)),"",IF(COUNTIFS(FER_F,INT(B838))&gt;0,"Feriado"&amp;IF(AH838=1," (laborable)"," (no laborable)"),IF(AH838=1,"Laborable",IF(WEEKDAY(B838,2)&gt;5,"Fin de semana","No laborable"))))</f>
        <v/>
      </c>
      <c r="R838" s="73" t="n"/>
      <c r="S838" s="72" t="n"/>
      <c r="T838" s="72" t="n"/>
      <c r="U838" s="74" t="n"/>
      <c r="V838" s="79" t="str">
        <f>IF(AND(D838="proMX",OR(R838="Submitted",R838="Recall Requested"),ISNUMBER(S838)),CFG_TODAY-INT(S838),"")</f>
        <v/>
      </c>
      <c r="W838" s="78" t="str">
        <f>IF(BD838=0,"",IF(BA838&gt;0,"⚠ Se superpone con un registro de la otra empresa",IF(D838="Malcolm",IF(COUNTA(R838,S838,T838)&gt;0,"Estado/fechas proMX se ignoran en Malcolm",""),IF(BF838="Cancelled","Cancelado: excluido de totales",IF(R838="","Sin estado: se trata como Draft",IF(BF838="Submitted",IF(ISNUMBER(V838),IF(V838&gt;CFG_MAXD,"⚠ "&amp;V838&amp;" días en Submitted (máx. "&amp;CFG_MAXD&amp;")",""),"Falta fecha de envío"),IF(BF838="Returned","⚠ Devuelto: corregir y reenviar",IF(BF838="Recall Requested","Retirada solicitada: pendiente",IF(AND(BF838="Approved",NOT(ISNUMBER(T838))),"Falta fecha de aprobación",IF(AND(ISNUMBER(S838),ISNUMBER(T838),T838&lt;S838),"Aprobación anterior al envío","")))))))))</f>
        <v/>
      </c>
      <c r="Y838" s="80">
        <f>IF(COUNTA(B838,D838,E838,F838,G838,H838,I838,J838,R838,S838,T838)&gt;0,1,0)</f>
        <v>0</v>
      </c>
      <c r="Z838" s="80" t="str">
        <f>IF(AND(ISNUMBER(H838),H838&gt;=0,H838&lt;1),ROUND(H838*1440,0),"")</f>
        <v/>
      </c>
      <c r="AA838" s="80" t="str">
        <f>IF(AND(ISNUMBER(I838),I838&gt;=0,I838&lt;1),ROUND(I838*1440,0),"")</f>
        <v/>
      </c>
      <c r="AB838" s="80">
        <f>IF(AND(ISNUMBER(B838),D838&lt;&gt;"",ISNUMBER(Z838),ISNUMBER(AA838)),IF(Z838=AA838,0,1),0)</f>
        <v>0</v>
      </c>
      <c r="AC838" s="80">
        <f>IF(AB838=1,IF(AA838&lt;Z838,1,0),0)</f>
        <v>0</v>
      </c>
      <c r="AD838" s="80">
        <f>IF(AB838=1,IF(AC838=1,1440-Z838+AA838,AA838-Z838),0)</f>
        <v>0</v>
      </c>
      <c r="AE838" s="80">
        <f>IF(J838="",0,IF(ISNUMBER(J838),J838,-1))</f>
        <v>0</v>
      </c>
      <c r="AF838" s="80">
        <f>MIN(MAX(0,AE838),AD838)</f>
        <v>0</v>
      </c>
      <c r="AG838" s="80">
        <f>MAX(0,AD838-MAX(0,AE838))</f>
        <v>0</v>
      </c>
      <c r="AH838" s="80">
        <f>IF(ISNUMBER(B838),IF(AND(INDEX(CFG_WDAYS,WEEKDAY(INT(B838),2))="Sí",IF(D838="proMX",COUNTIFS(FER_F,INT(B838),FER_NLP,"Sí"),COUNTIFS(FER_F,INT(B838),FER_NLM,"Sí"))=0),1,0),0)</f>
        <v>0</v>
      </c>
      <c r="AI838" s="80">
        <f>IF(AC838=1,IF(AND(INDEX(CFG_WDAYS,WEEKDAY(INT(B838)+1,2))="Sí",IF(D838="proMX",COUNTIFS(FER_F,INT(B838)+1,FER_NLP,"Sí"),COUNTIFS(FER_F,INT(B838)+1,FER_NLM,"Sí"))=0),1,0),0)</f>
        <v>0</v>
      </c>
      <c r="AJ838" s="80">
        <f>IF(AC838=1,1440-Z838,AD838)</f>
        <v>0</v>
      </c>
      <c r="AK838" s="80">
        <f>IF(AND(AB838=1,AH838=1),MAX(0,MIN(IF(AC838=1,1440,AA838),CFG_WEM)-MAX(Z838,CFG_WSM)),0)</f>
        <v>0</v>
      </c>
      <c r="AL838" s="80">
        <f>IF(AND(AC838=1,AI838=1),MAX(0,MIN(AA838,CFG_WEM)-CFG_WSM),0)</f>
        <v>0</v>
      </c>
      <c r="AM838" s="80">
        <f>AK838+AL838</f>
        <v>0</v>
      </c>
      <c r="AN838" s="80">
        <f>IF(CFG_BRK="Proporcional",IF(AD838=0,0,AF838*AM838/AD838),IF(CFG_BRK="Extras primero",MIN(AM838,MAX(0,AF838-(AD838-AM838))),MIN(AF838,AM838)))</f>
        <v>0</v>
      </c>
      <c r="AO838" s="80">
        <f>AF838-AN838</f>
        <v>0</v>
      </c>
      <c r="AP838" s="80">
        <f>AM838-AN838</f>
        <v>0</v>
      </c>
      <c r="AQ838" s="80">
        <f>AD838-AM838-AO838</f>
        <v>0</v>
      </c>
      <c r="AR838" s="80">
        <f>IF(AM838=0,0,AK838-AN838*AK838/AM838)</f>
        <v>0</v>
      </c>
      <c r="AS838" s="80">
        <f>IF(AD838-AM838=0,0,(AJ838-AK838)-AO838*(AJ838-AK838)/(AD838-AM838))</f>
        <v>0</v>
      </c>
      <c r="AT838" s="80" t="str">
        <f>IF(AC838=1,INT(B838)+1,"")</f>
        <v/>
      </c>
      <c r="AU838" s="80">
        <f>IF(AND(D838="proMX",R838="Cancelled"),0,1)</f>
        <v>1</v>
      </c>
      <c r="AV838" s="80">
        <f>IF(AND(AB838=1,AU838=1),IF(COUNTIFS($D$5:D837,D838,$B$5:B837,B838,$Z$5:Z837,Z838,$AA$5:AA837,AA838,$F$5:F837,F838&amp;"",$AU$5:AU837,1)&gt;0,1,0),0)</f>
        <v>0</v>
      </c>
      <c r="AW838" s="80" t="str">
        <f>IF(AB838=1,INT(B838)*1440+Z838,"")</f>
        <v/>
      </c>
      <c r="AX838" s="80" t="str">
        <f>IF(AB838=1,AW838+AD838,"")</f>
        <v/>
      </c>
      <c r="AY838" s="80">
        <f>IF(AND(AB838=1,AV838=0,AU838=1),1,0)</f>
        <v>0</v>
      </c>
      <c r="AZ838" s="80">
        <f>IF(AY838=1,COUNTIFS(R_Emp,D838,R_SAbs,"&lt;"&amp;AX838,R_EAbs,"&gt;"&amp;AW838,R_OKey,1)-1,0)</f>
        <v>0</v>
      </c>
      <c r="BA838" s="80">
        <f>IF(AY838=1,COUNTIFS(R_Emp,"&lt;&gt;"&amp;D838,R_SAbs,"&lt;"&amp;AX838,R_EAbs,"&gt;"&amp;AW838,R_OKey,1),0)</f>
        <v>0</v>
      </c>
      <c r="BB838" s="80">
        <f>IF(AND(AB838=1,D838="proMX"),IF(AND(MOD(Z838,CFG_BLK)=0,MOD(AA838,CFG_BLK)=0,MOD(AG838,CFG_BLK)=0,AG838&gt;0),1,0),1)</f>
        <v>1</v>
      </c>
      <c r="BC838" s="80" t="str">
        <f>IF(Y838=0,"",IF(NOT(ISNUMBER(B838)),"Falta fecha o fecha inválida",IF(D838="","Falta empresa",IF(AND(D838&lt;&gt;"Malcolm",D838&lt;&gt;"proMX"),"Empresa inválida",IF(OR(INT(B838)&lt;CFG_PSTART,INT(B838)&gt;CFG_PEND),"Fecha fuera del período",IF(OR(NOT(ISNUMBER(Z838)),NOT(ISNUMBER(AA838))),"Falta hora inicio/fin o formato inválido",IF(AB838=0,"Hora inicio = hora fin",IF(AE838&lt;0,"Descanso inválido",IF(AE838&gt;=AD838,"Descanso ≥ duración",IF(AV838=1,"Registro duplicado",IF(AZ838&gt;0,"Se superpone con otro registro "&amp;D838,IF(BB838=0,"inicio, fin y duración neta deben ser múltiplos de "&amp;CFG_BLK&amp;" min",""))))))))))))</f>
        <v/>
      </c>
      <c r="BD838" s="80">
        <f>IF(AND(Y838=1,BC838=""),1,0)</f>
        <v>0</v>
      </c>
      <c r="BE838" s="80">
        <f>IF(AND(BD838=1,AU838=1),1,0)</f>
        <v>0</v>
      </c>
      <c r="BF838" s="80" t="str">
        <f>IF(AND(D838="proMX",BD838=1),IF(R838="","Draft",R838),"")</f>
        <v/>
      </c>
      <c r="BG838" s="80">
        <f>IF(BD838=1,ROUND(AG838/60,6),0)</f>
        <v>0</v>
      </c>
      <c r="BH838" s="80">
        <f>IF(BE838=1,ROUND(AG838/60,6),0)</f>
        <v>0</v>
      </c>
      <c r="BI838" s="80">
        <f>IF(BE838=1,ROUND(AP838/60,6),0)</f>
        <v>0</v>
      </c>
      <c r="BJ838" s="80">
        <f>IF(BE838=1,ROUND(AQ838/60,6),0)</f>
        <v>0</v>
      </c>
      <c r="BK838" s="80">
        <f>IF(BE838=1,ROUND((AR838+AS838)/60,6),0)</f>
        <v>0</v>
      </c>
      <c r="BL838" s="80">
        <f>ROUND(BH838-BK838,6)</f>
        <v>0</v>
      </c>
      <c r="BM838" s="80">
        <f>IF(BE838=1,ROUND(AR838/60,6),0)</f>
        <v>0</v>
      </c>
      <c r="BN838" s="80">
        <f>ROUND(BI838-BM838,6)</f>
        <v>0</v>
      </c>
      <c r="BO838" s="80">
        <f>IF(BE838=1,ROUND(AS838/60,6),0)</f>
        <v>0</v>
      </c>
      <c r="BP838" s="80">
        <f>ROUND(BJ838-BO838,6)</f>
        <v>0</v>
      </c>
      <c r="BQ838" s="80">
        <f>IF(BE838=1,AW838,0)</f>
        <v>0</v>
      </c>
      <c r="BR838" s="80">
        <f>IF(BE838=1,AX838,0)</f>
        <v>0</v>
      </c>
      <c r="BS838" s="80">
        <f>IF(AND(BE838=1,D838="Malcolm",BA838&gt;0),MIN(BH838,SUMPRODUCT((R_Emp="proMX")*(R_EN&gt;0)*((R_EN-(R_EN&gt;BR838)*(R_EN-BR838))&gt;(R_SN+(R_SN&lt;BQ838)*(BQ838-R_SN)))*((R_EN-(R_EN&gt;BR838)*(R_EN-BR838))-(R_SN+(R_SN&lt;BQ838)*(BQ838-R_SN))))/60),0)</f>
        <v>0</v>
      </c>
      <c r="BT838" s="80">
        <f>IF(AND(BE838=1,D838="proMX"),ROUND(BI838*CFG_RATE+BJ838*CFG_OTRATE,6),0)</f>
        <v>0</v>
      </c>
      <c r="BU838" s="80">
        <f>IF(AND(BD838=1,D838="proMX"),ROUND(AG838/CFG_BLK,6),0)</f>
        <v>0</v>
      </c>
      <c r="BV838" s="80" t="str">
        <f>IF(BF838="Approved",IF(ISNUMBER(T838),INT(T838),INT(B838)),"")</f>
        <v/>
      </c>
      <c r="BW838" s="80">
        <f>IF(ISNUMBER(B838),IF(DB_MON="Todos",1,IF(AND(INT(B838)&gt;=DB_MS,INT(B838)&lt;=DB_ME),1,0)),0)</f>
        <v>0</v>
      </c>
      <c r="BX838" s="80">
        <f>IF(DB_PROJ="Todos",1,IF(E838&amp;""=DB_PROJ&amp;"",1,0))</f>
        <v>1</v>
      </c>
      <c r="BY838" s="80">
        <f>BW838*BX838</f>
        <v>0</v>
      </c>
      <c r="BZ838" s="80" t="str">
        <f>IF(Y838=1,F838&amp;IF(AND(F838&amp;""&lt;&gt;"",E838&amp;""&lt;&gt;"")," · ","")&amp;E838,"")</f>
        <v/>
      </c>
      <c r="CA838" s="80" t="str">
        <f>IF(AND(BD838=1,E838&amp;""&lt;&gt;""),IF(COUNTIFS($E$5:E837,E838,$BD$5:BD837,1)=0,MAX($CA$5:CA837)+1,""),"")</f>
        <v/>
      </c>
      <c r="CB838" s="80" t="str">
        <f>IF(AND(BE838=1,D838="Malcolm",E838&amp;""&lt;&gt;""),IF(COUNTIFS($D$5:D837,"Malcolm",$E$5:E837,E838,$BE$5:BE837,1)=0,MAX($CB$5:CB837)+1,""),"")</f>
        <v/>
      </c>
      <c r="CC838" s="80" t="str">
        <f>IF(AND(BD838=1,D838="proMX",E838&amp;""&lt;&gt;""),IF(COUNTIFS($D$5:D837,"proMX",$E$5:E837,E838,$BD$5:BD837,1)=0,MAX($CC$5:CC837)+1,""),"")</f>
        <v/>
      </c>
      <c r="CD838" s="80" t="str">
        <f>IF(AND(BE838=1,D838="Malcolm",F838&amp;""&lt;&gt;""),IF(COUNTIFS($D$5:D837,"Malcolm",$F$5:F837,F838,$BE$5:BE837,1)=0,MAX($CD$5:CD837)+1,""),"")</f>
        <v/>
      </c>
      <c r="CE838" s="80" t="str">
        <f>IF(AND(BD838=1,D838="proMX",F838&amp;""&lt;&gt;""),IF(COUNTIFS($D$5:D837,"proMX",$F$5:F837,F838,$BD$5:BD837,1)=0,MAX($CE$5:CE837)+1,""),"")</f>
        <v/>
      </c>
      <c r="CF838" s="80" t="str">
        <f>IF(AND(D838="proMX",BD838=1),IF(OR(BF838="Draft",BF838="Submitted",BF838="Returned",BF838="Recall Requested"),MAX($CF$5:CF837)+1,""),"")</f>
        <v/>
      </c>
      <c r="CG838" s="80">
        <f>IF(BD838=0,0,IF(D838="Malcolm",1,MATCH(BF838,{"Draft","Submitted","Approved","Returned","Recall Requested","Cancelled"},0)+1))</f>
        <v>0</v>
      </c>
      <c r="CH838" s="80">
        <f>IF(AND(BF838="Submitted",ISNUMBER(V838)),IF(V838&gt;CFG_MAXD,1,0),0)</f>
        <v>0</v>
      </c>
    </row>
    <row r="839">
      <c r="A839" s="71" t="str">
        <f>IF(Y839=1,ROW()-5,"")</f>
        <v/>
      </c>
      <c r="B839" s="72" t="n"/>
      <c r="C839" s="71" t="str">
        <f>IF(ISNUMBER(B839),CHOOSE(WEEKDAY(B839,2),"Lun","Mar","Mié","Jue","Vie","Sáb","Dom"),"")</f>
        <v/>
      </c>
      <c r="D839" s="73" t="n"/>
      <c r="E839" s="74" t="n"/>
      <c r="F839" s="74" t="n"/>
      <c r="G839" s="74" t="n"/>
      <c r="H839" s="75" t="n"/>
      <c r="I839" s="75" t="n"/>
      <c r="J839" s="76" t="n"/>
      <c r="K839" s="77" t="str">
        <f>IF(AB839=1,ROUND(AG839/60,4),"")</f>
        <v/>
      </c>
      <c r="L839" s="77" t="str">
        <f>IF(BD839=1,ROUND(AP839/60,4),"")</f>
        <v/>
      </c>
      <c r="M839" s="77" t="str">
        <f>IF(BD839=1,ROUND(AQ839/60,4),"")</f>
        <v/>
      </c>
      <c r="N839" s="71" t="str">
        <f>IF(AND(D839="proMX",AB839=1),ROUND(AG839/CFG_BLK,2),"")</f>
        <v/>
      </c>
      <c r="O839" s="77" t="str">
        <f>IF(D839="proMX",IF(BD839=1,ROUND(AG839/60,4),0),"")</f>
        <v/>
      </c>
      <c r="P839" s="78" t="str">
        <f>IF(Y839=0,"",IF(BD839=1,"OK",IF(D839="proMX","Revisar bloques: ","Revisar: ")&amp;BC839))</f>
        <v/>
      </c>
      <c r="Q839" s="78" t="str">
        <f>IF(NOT(ISNUMBER(B839)),"",IF(COUNTIFS(FER_F,INT(B839))&gt;0,"Feriado"&amp;IF(AH839=1," (laborable)"," (no laborable)"),IF(AH839=1,"Laborable",IF(WEEKDAY(B839,2)&gt;5,"Fin de semana","No laborable"))))</f>
        <v/>
      </c>
      <c r="R839" s="73" t="n"/>
      <c r="S839" s="72" t="n"/>
      <c r="T839" s="72" t="n"/>
      <c r="U839" s="74" t="n"/>
      <c r="V839" s="79" t="str">
        <f>IF(AND(D839="proMX",OR(R839="Submitted",R839="Recall Requested"),ISNUMBER(S839)),CFG_TODAY-INT(S839),"")</f>
        <v/>
      </c>
      <c r="W839" s="78" t="str">
        <f>IF(BD839=0,"",IF(BA839&gt;0,"⚠ Se superpone con un registro de la otra empresa",IF(D839="Malcolm",IF(COUNTA(R839,S839,T839)&gt;0,"Estado/fechas proMX se ignoran en Malcolm",""),IF(BF839="Cancelled","Cancelado: excluido de totales",IF(R839="","Sin estado: se trata como Draft",IF(BF839="Submitted",IF(ISNUMBER(V839),IF(V839&gt;CFG_MAXD,"⚠ "&amp;V839&amp;" días en Submitted (máx. "&amp;CFG_MAXD&amp;")",""),"Falta fecha de envío"),IF(BF839="Returned","⚠ Devuelto: corregir y reenviar",IF(BF839="Recall Requested","Retirada solicitada: pendiente",IF(AND(BF839="Approved",NOT(ISNUMBER(T839))),"Falta fecha de aprobación",IF(AND(ISNUMBER(S839),ISNUMBER(T839),T839&lt;S839),"Aprobación anterior al envío","")))))))))</f>
        <v/>
      </c>
      <c r="Y839" s="80">
        <f>IF(COUNTA(B839,D839,E839,F839,G839,H839,I839,J839,R839,S839,T839)&gt;0,1,0)</f>
        <v>0</v>
      </c>
      <c r="Z839" s="80" t="str">
        <f>IF(AND(ISNUMBER(H839),H839&gt;=0,H839&lt;1),ROUND(H839*1440,0),"")</f>
        <v/>
      </c>
      <c r="AA839" s="80" t="str">
        <f>IF(AND(ISNUMBER(I839),I839&gt;=0,I839&lt;1),ROUND(I839*1440,0),"")</f>
        <v/>
      </c>
      <c r="AB839" s="80">
        <f>IF(AND(ISNUMBER(B839),D839&lt;&gt;"",ISNUMBER(Z839),ISNUMBER(AA839)),IF(Z839=AA839,0,1),0)</f>
        <v>0</v>
      </c>
      <c r="AC839" s="80">
        <f>IF(AB839=1,IF(AA839&lt;Z839,1,0),0)</f>
        <v>0</v>
      </c>
      <c r="AD839" s="80">
        <f>IF(AB839=1,IF(AC839=1,1440-Z839+AA839,AA839-Z839),0)</f>
        <v>0</v>
      </c>
      <c r="AE839" s="80">
        <f>IF(J839="",0,IF(ISNUMBER(J839),J839,-1))</f>
        <v>0</v>
      </c>
      <c r="AF839" s="80">
        <f>MIN(MAX(0,AE839),AD839)</f>
        <v>0</v>
      </c>
      <c r="AG839" s="80">
        <f>MAX(0,AD839-MAX(0,AE839))</f>
        <v>0</v>
      </c>
      <c r="AH839" s="80">
        <f>IF(ISNUMBER(B839),IF(AND(INDEX(CFG_WDAYS,WEEKDAY(INT(B839),2))="Sí",IF(D839="proMX",COUNTIFS(FER_F,INT(B839),FER_NLP,"Sí"),COUNTIFS(FER_F,INT(B839),FER_NLM,"Sí"))=0),1,0),0)</f>
        <v>0</v>
      </c>
      <c r="AI839" s="80">
        <f>IF(AC839=1,IF(AND(INDEX(CFG_WDAYS,WEEKDAY(INT(B839)+1,2))="Sí",IF(D839="proMX",COUNTIFS(FER_F,INT(B839)+1,FER_NLP,"Sí"),COUNTIFS(FER_F,INT(B839)+1,FER_NLM,"Sí"))=0),1,0),0)</f>
        <v>0</v>
      </c>
      <c r="AJ839" s="80">
        <f>IF(AC839=1,1440-Z839,AD839)</f>
        <v>0</v>
      </c>
      <c r="AK839" s="80">
        <f>IF(AND(AB839=1,AH839=1),MAX(0,MIN(IF(AC839=1,1440,AA839),CFG_WEM)-MAX(Z839,CFG_WSM)),0)</f>
        <v>0</v>
      </c>
      <c r="AL839" s="80">
        <f>IF(AND(AC839=1,AI839=1),MAX(0,MIN(AA839,CFG_WEM)-CFG_WSM),0)</f>
        <v>0</v>
      </c>
      <c r="AM839" s="80">
        <f>AK839+AL839</f>
        <v>0</v>
      </c>
      <c r="AN839" s="80">
        <f>IF(CFG_BRK="Proporcional",IF(AD839=0,0,AF839*AM839/AD839),IF(CFG_BRK="Extras primero",MIN(AM839,MAX(0,AF839-(AD839-AM839))),MIN(AF839,AM839)))</f>
        <v>0</v>
      </c>
      <c r="AO839" s="80">
        <f>AF839-AN839</f>
        <v>0</v>
      </c>
      <c r="AP839" s="80">
        <f>AM839-AN839</f>
        <v>0</v>
      </c>
      <c r="AQ839" s="80">
        <f>AD839-AM839-AO839</f>
        <v>0</v>
      </c>
      <c r="AR839" s="80">
        <f>IF(AM839=0,0,AK839-AN839*AK839/AM839)</f>
        <v>0</v>
      </c>
      <c r="AS839" s="80">
        <f>IF(AD839-AM839=0,0,(AJ839-AK839)-AO839*(AJ839-AK839)/(AD839-AM839))</f>
        <v>0</v>
      </c>
      <c r="AT839" s="80" t="str">
        <f>IF(AC839=1,INT(B839)+1,"")</f>
        <v/>
      </c>
      <c r="AU839" s="80">
        <f>IF(AND(D839="proMX",R839="Cancelled"),0,1)</f>
        <v>1</v>
      </c>
      <c r="AV839" s="80">
        <f>IF(AND(AB839=1,AU839=1),IF(COUNTIFS($D$5:D838,D839,$B$5:B838,B839,$Z$5:Z838,Z839,$AA$5:AA838,AA839,$F$5:F838,F839&amp;"",$AU$5:AU838,1)&gt;0,1,0),0)</f>
        <v>0</v>
      </c>
      <c r="AW839" s="80" t="str">
        <f>IF(AB839=1,INT(B839)*1440+Z839,"")</f>
        <v/>
      </c>
      <c r="AX839" s="80" t="str">
        <f>IF(AB839=1,AW839+AD839,"")</f>
        <v/>
      </c>
      <c r="AY839" s="80">
        <f>IF(AND(AB839=1,AV839=0,AU839=1),1,0)</f>
        <v>0</v>
      </c>
      <c r="AZ839" s="80">
        <f>IF(AY839=1,COUNTIFS(R_Emp,D839,R_SAbs,"&lt;"&amp;AX839,R_EAbs,"&gt;"&amp;AW839,R_OKey,1)-1,0)</f>
        <v>0</v>
      </c>
      <c r="BA839" s="80">
        <f>IF(AY839=1,COUNTIFS(R_Emp,"&lt;&gt;"&amp;D839,R_SAbs,"&lt;"&amp;AX839,R_EAbs,"&gt;"&amp;AW839,R_OKey,1),0)</f>
        <v>0</v>
      </c>
      <c r="BB839" s="80">
        <f>IF(AND(AB839=1,D839="proMX"),IF(AND(MOD(Z839,CFG_BLK)=0,MOD(AA839,CFG_BLK)=0,MOD(AG839,CFG_BLK)=0,AG839&gt;0),1,0),1)</f>
        <v>1</v>
      </c>
      <c r="BC839" s="80" t="str">
        <f>IF(Y839=0,"",IF(NOT(ISNUMBER(B839)),"Falta fecha o fecha inválida",IF(D839="","Falta empresa",IF(AND(D839&lt;&gt;"Malcolm",D839&lt;&gt;"proMX"),"Empresa inválida",IF(OR(INT(B839)&lt;CFG_PSTART,INT(B839)&gt;CFG_PEND),"Fecha fuera del período",IF(OR(NOT(ISNUMBER(Z839)),NOT(ISNUMBER(AA839))),"Falta hora inicio/fin o formato inválido",IF(AB839=0,"Hora inicio = hora fin",IF(AE839&lt;0,"Descanso inválido",IF(AE839&gt;=AD839,"Descanso ≥ duración",IF(AV839=1,"Registro duplicado",IF(AZ839&gt;0,"Se superpone con otro registro "&amp;D839,IF(BB839=0,"inicio, fin y duración neta deben ser múltiplos de "&amp;CFG_BLK&amp;" min",""))))))))))))</f>
        <v/>
      </c>
      <c r="BD839" s="80">
        <f>IF(AND(Y839=1,BC839=""),1,0)</f>
        <v>0</v>
      </c>
      <c r="BE839" s="80">
        <f>IF(AND(BD839=1,AU839=1),1,0)</f>
        <v>0</v>
      </c>
      <c r="BF839" s="80" t="str">
        <f>IF(AND(D839="proMX",BD839=1),IF(R839="","Draft",R839),"")</f>
        <v/>
      </c>
      <c r="BG839" s="80">
        <f>IF(BD839=1,ROUND(AG839/60,6),0)</f>
        <v>0</v>
      </c>
      <c r="BH839" s="80">
        <f>IF(BE839=1,ROUND(AG839/60,6),0)</f>
        <v>0</v>
      </c>
      <c r="BI839" s="80">
        <f>IF(BE839=1,ROUND(AP839/60,6),0)</f>
        <v>0</v>
      </c>
      <c r="BJ839" s="80">
        <f>IF(BE839=1,ROUND(AQ839/60,6),0)</f>
        <v>0</v>
      </c>
      <c r="BK839" s="80">
        <f>IF(BE839=1,ROUND((AR839+AS839)/60,6),0)</f>
        <v>0</v>
      </c>
      <c r="BL839" s="80">
        <f>ROUND(BH839-BK839,6)</f>
        <v>0</v>
      </c>
      <c r="BM839" s="80">
        <f>IF(BE839=1,ROUND(AR839/60,6),0)</f>
        <v>0</v>
      </c>
      <c r="BN839" s="80">
        <f>ROUND(BI839-BM839,6)</f>
        <v>0</v>
      </c>
      <c r="BO839" s="80">
        <f>IF(BE839=1,ROUND(AS839/60,6),0)</f>
        <v>0</v>
      </c>
      <c r="BP839" s="80">
        <f>ROUND(BJ839-BO839,6)</f>
        <v>0</v>
      </c>
      <c r="BQ839" s="80">
        <f>IF(BE839=1,AW839,0)</f>
        <v>0</v>
      </c>
      <c r="BR839" s="80">
        <f>IF(BE839=1,AX839,0)</f>
        <v>0</v>
      </c>
      <c r="BS839" s="80">
        <f>IF(AND(BE839=1,D839="Malcolm",BA839&gt;0),MIN(BH839,SUMPRODUCT((R_Emp="proMX")*(R_EN&gt;0)*((R_EN-(R_EN&gt;BR839)*(R_EN-BR839))&gt;(R_SN+(R_SN&lt;BQ839)*(BQ839-R_SN)))*((R_EN-(R_EN&gt;BR839)*(R_EN-BR839))-(R_SN+(R_SN&lt;BQ839)*(BQ839-R_SN))))/60),0)</f>
        <v>0</v>
      </c>
      <c r="BT839" s="80">
        <f>IF(AND(BE839=1,D839="proMX"),ROUND(BI839*CFG_RATE+BJ839*CFG_OTRATE,6),0)</f>
        <v>0</v>
      </c>
      <c r="BU839" s="80">
        <f>IF(AND(BD839=1,D839="proMX"),ROUND(AG839/CFG_BLK,6),0)</f>
        <v>0</v>
      </c>
      <c r="BV839" s="80" t="str">
        <f>IF(BF839="Approved",IF(ISNUMBER(T839),INT(T839),INT(B839)),"")</f>
        <v/>
      </c>
      <c r="BW839" s="80">
        <f>IF(ISNUMBER(B839),IF(DB_MON="Todos",1,IF(AND(INT(B839)&gt;=DB_MS,INT(B839)&lt;=DB_ME),1,0)),0)</f>
        <v>0</v>
      </c>
      <c r="BX839" s="80">
        <f>IF(DB_PROJ="Todos",1,IF(E839&amp;""=DB_PROJ&amp;"",1,0))</f>
        <v>1</v>
      </c>
      <c r="BY839" s="80">
        <f>BW839*BX839</f>
        <v>0</v>
      </c>
      <c r="BZ839" s="80" t="str">
        <f>IF(Y839=1,F839&amp;IF(AND(F839&amp;""&lt;&gt;"",E839&amp;""&lt;&gt;"")," · ","")&amp;E839,"")</f>
        <v/>
      </c>
      <c r="CA839" s="80" t="str">
        <f>IF(AND(BD839=1,E839&amp;""&lt;&gt;""),IF(COUNTIFS($E$5:E838,E839,$BD$5:BD838,1)=0,MAX($CA$5:CA838)+1,""),"")</f>
        <v/>
      </c>
      <c r="CB839" s="80" t="str">
        <f>IF(AND(BE839=1,D839="Malcolm",E839&amp;""&lt;&gt;""),IF(COUNTIFS($D$5:D838,"Malcolm",$E$5:E838,E839,$BE$5:BE838,1)=0,MAX($CB$5:CB838)+1,""),"")</f>
        <v/>
      </c>
      <c r="CC839" s="80" t="str">
        <f>IF(AND(BD839=1,D839="proMX",E839&amp;""&lt;&gt;""),IF(COUNTIFS($D$5:D838,"proMX",$E$5:E838,E839,$BD$5:BD838,1)=0,MAX($CC$5:CC838)+1,""),"")</f>
        <v/>
      </c>
      <c r="CD839" s="80" t="str">
        <f>IF(AND(BE839=1,D839="Malcolm",F839&amp;""&lt;&gt;""),IF(COUNTIFS($D$5:D838,"Malcolm",$F$5:F838,F839,$BE$5:BE838,1)=0,MAX($CD$5:CD838)+1,""),"")</f>
        <v/>
      </c>
      <c r="CE839" s="80" t="str">
        <f>IF(AND(BD839=1,D839="proMX",F839&amp;""&lt;&gt;""),IF(COUNTIFS($D$5:D838,"proMX",$F$5:F838,F839,$BD$5:BD838,1)=0,MAX($CE$5:CE838)+1,""),"")</f>
        <v/>
      </c>
      <c r="CF839" s="80" t="str">
        <f>IF(AND(D839="proMX",BD839=1),IF(OR(BF839="Draft",BF839="Submitted",BF839="Returned",BF839="Recall Requested"),MAX($CF$5:CF838)+1,""),"")</f>
        <v/>
      </c>
      <c r="CG839" s="80">
        <f>IF(BD839=0,0,IF(D839="Malcolm",1,MATCH(BF839,{"Draft","Submitted","Approved","Returned","Recall Requested","Cancelled"},0)+1))</f>
        <v>0</v>
      </c>
      <c r="CH839" s="80">
        <f>IF(AND(BF839="Submitted",ISNUMBER(V839)),IF(V839&gt;CFG_MAXD,1,0),0)</f>
        <v>0</v>
      </c>
    </row>
    <row r="840">
      <c r="A840" s="71" t="str">
        <f>IF(Y840=1,ROW()-5,"")</f>
        <v/>
      </c>
      <c r="B840" s="72" t="n"/>
      <c r="C840" s="71" t="str">
        <f>IF(ISNUMBER(B840),CHOOSE(WEEKDAY(B840,2),"Lun","Mar","Mié","Jue","Vie","Sáb","Dom"),"")</f>
        <v/>
      </c>
      <c r="D840" s="73" t="n"/>
      <c r="E840" s="74" t="n"/>
      <c r="F840" s="74" t="n"/>
      <c r="G840" s="74" t="n"/>
      <c r="H840" s="75" t="n"/>
      <c r="I840" s="75" t="n"/>
      <c r="J840" s="76" t="n"/>
      <c r="K840" s="77" t="str">
        <f>IF(AB840=1,ROUND(AG840/60,4),"")</f>
        <v/>
      </c>
      <c r="L840" s="77" t="str">
        <f>IF(BD840=1,ROUND(AP840/60,4),"")</f>
        <v/>
      </c>
      <c r="M840" s="77" t="str">
        <f>IF(BD840=1,ROUND(AQ840/60,4),"")</f>
        <v/>
      </c>
      <c r="N840" s="71" t="str">
        <f>IF(AND(D840="proMX",AB840=1),ROUND(AG840/CFG_BLK,2),"")</f>
        <v/>
      </c>
      <c r="O840" s="77" t="str">
        <f>IF(D840="proMX",IF(BD840=1,ROUND(AG840/60,4),0),"")</f>
        <v/>
      </c>
      <c r="P840" s="78" t="str">
        <f>IF(Y840=0,"",IF(BD840=1,"OK",IF(D840="proMX","Revisar bloques: ","Revisar: ")&amp;BC840))</f>
        <v/>
      </c>
      <c r="Q840" s="78" t="str">
        <f>IF(NOT(ISNUMBER(B840)),"",IF(COUNTIFS(FER_F,INT(B840))&gt;0,"Feriado"&amp;IF(AH840=1," (laborable)"," (no laborable)"),IF(AH840=1,"Laborable",IF(WEEKDAY(B840,2)&gt;5,"Fin de semana","No laborable"))))</f>
        <v/>
      </c>
      <c r="R840" s="73" t="n"/>
      <c r="S840" s="72" t="n"/>
      <c r="T840" s="72" t="n"/>
      <c r="U840" s="74" t="n"/>
      <c r="V840" s="79" t="str">
        <f>IF(AND(D840="proMX",OR(R840="Submitted",R840="Recall Requested"),ISNUMBER(S840)),CFG_TODAY-INT(S840),"")</f>
        <v/>
      </c>
      <c r="W840" s="78" t="str">
        <f>IF(BD840=0,"",IF(BA840&gt;0,"⚠ Se superpone con un registro de la otra empresa",IF(D840="Malcolm",IF(COUNTA(R840,S840,T840)&gt;0,"Estado/fechas proMX se ignoran en Malcolm",""),IF(BF840="Cancelled","Cancelado: excluido de totales",IF(R840="","Sin estado: se trata como Draft",IF(BF840="Submitted",IF(ISNUMBER(V840),IF(V840&gt;CFG_MAXD,"⚠ "&amp;V840&amp;" días en Submitted (máx. "&amp;CFG_MAXD&amp;")",""),"Falta fecha de envío"),IF(BF840="Returned","⚠ Devuelto: corregir y reenviar",IF(BF840="Recall Requested","Retirada solicitada: pendiente",IF(AND(BF840="Approved",NOT(ISNUMBER(T840))),"Falta fecha de aprobación",IF(AND(ISNUMBER(S840),ISNUMBER(T840),T840&lt;S840),"Aprobación anterior al envío","")))))))))</f>
        <v/>
      </c>
      <c r="Y840" s="80">
        <f>IF(COUNTA(B840,D840,E840,F840,G840,H840,I840,J840,R840,S840,T840)&gt;0,1,0)</f>
        <v>0</v>
      </c>
      <c r="Z840" s="80" t="str">
        <f>IF(AND(ISNUMBER(H840),H840&gt;=0,H840&lt;1),ROUND(H840*1440,0),"")</f>
        <v/>
      </c>
      <c r="AA840" s="80" t="str">
        <f>IF(AND(ISNUMBER(I840),I840&gt;=0,I840&lt;1),ROUND(I840*1440,0),"")</f>
        <v/>
      </c>
      <c r="AB840" s="80">
        <f>IF(AND(ISNUMBER(B840),D840&lt;&gt;"",ISNUMBER(Z840),ISNUMBER(AA840)),IF(Z840=AA840,0,1),0)</f>
        <v>0</v>
      </c>
      <c r="AC840" s="80">
        <f>IF(AB840=1,IF(AA840&lt;Z840,1,0),0)</f>
        <v>0</v>
      </c>
      <c r="AD840" s="80">
        <f>IF(AB840=1,IF(AC840=1,1440-Z840+AA840,AA840-Z840),0)</f>
        <v>0</v>
      </c>
      <c r="AE840" s="80">
        <f>IF(J840="",0,IF(ISNUMBER(J840),J840,-1))</f>
        <v>0</v>
      </c>
      <c r="AF840" s="80">
        <f>MIN(MAX(0,AE840),AD840)</f>
        <v>0</v>
      </c>
      <c r="AG840" s="80">
        <f>MAX(0,AD840-MAX(0,AE840))</f>
        <v>0</v>
      </c>
      <c r="AH840" s="80">
        <f>IF(ISNUMBER(B840),IF(AND(INDEX(CFG_WDAYS,WEEKDAY(INT(B840),2))="Sí",IF(D840="proMX",COUNTIFS(FER_F,INT(B840),FER_NLP,"Sí"),COUNTIFS(FER_F,INT(B840),FER_NLM,"Sí"))=0),1,0),0)</f>
        <v>0</v>
      </c>
      <c r="AI840" s="80">
        <f>IF(AC840=1,IF(AND(INDEX(CFG_WDAYS,WEEKDAY(INT(B840)+1,2))="Sí",IF(D840="proMX",COUNTIFS(FER_F,INT(B840)+1,FER_NLP,"Sí"),COUNTIFS(FER_F,INT(B840)+1,FER_NLM,"Sí"))=0),1,0),0)</f>
        <v>0</v>
      </c>
      <c r="AJ840" s="80">
        <f>IF(AC840=1,1440-Z840,AD840)</f>
        <v>0</v>
      </c>
      <c r="AK840" s="80">
        <f>IF(AND(AB840=1,AH840=1),MAX(0,MIN(IF(AC840=1,1440,AA840),CFG_WEM)-MAX(Z840,CFG_WSM)),0)</f>
        <v>0</v>
      </c>
      <c r="AL840" s="80">
        <f>IF(AND(AC840=1,AI840=1),MAX(0,MIN(AA840,CFG_WEM)-CFG_WSM),0)</f>
        <v>0</v>
      </c>
      <c r="AM840" s="80">
        <f>AK840+AL840</f>
        <v>0</v>
      </c>
      <c r="AN840" s="80">
        <f>IF(CFG_BRK="Proporcional",IF(AD840=0,0,AF840*AM840/AD840),IF(CFG_BRK="Extras primero",MIN(AM840,MAX(0,AF840-(AD840-AM840))),MIN(AF840,AM840)))</f>
        <v>0</v>
      </c>
      <c r="AO840" s="80">
        <f>AF840-AN840</f>
        <v>0</v>
      </c>
      <c r="AP840" s="80">
        <f>AM840-AN840</f>
        <v>0</v>
      </c>
      <c r="AQ840" s="80">
        <f>AD840-AM840-AO840</f>
        <v>0</v>
      </c>
      <c r="AR840" s="80">
        <f>IF(AM840=0,0,AK840-AN840*AK840/AM840)</f>
        <v>0</v>
      </c>
      <c r="AS840" s="80">
        <f>IF(AD840-AM840=0,0,(AJ840-AK840)-AO840*(AJ840-AK840)/(AD840-AM840))</f>
        <v>0</v>
      </c>
      <c r="AT840" s="80" t="str">
        <f>IF(AC840=1,INT(B840)+1,"")</f>
        <v/>
      </c>
      <c r="AU840" s="80">
        <f>IF(AND(D840="proMX",R840="Cancelled"),0,1)</f>
        <v>1</v>
      </c>
      <c r="AV840" s="80">
        <f>IF(AND(AB840=1,AU840=1),IF(COUNTIFS($D$5:D839,D840,$B$5:B839,B840,$Z$5:Z839,Z840,$AA$5:AA839,AA840,$F$5:F839,F840&amp;"",$AU$5:AU839,1)&gt;0,1,0),0)</f>
        <v>0</v>
      </c>
      <c r="AW840" s="80" t="str">
        <f>IF(AB840=1,INT(B840)*1440+Z840,"")</f>
        <v/>
      </c>
      <c r="AX840" s="80" t="str">
        <f>IF(AB840=1,AW840+AD840,"")</f>
        <v/>
      </c>
      <c r="AY840" s="80">
        <f>IF(AND(AB840=1,AV840=0,AU840=1),1,0)</f>
        <v>0</v>
      </c>
      <c r="AZ840" s="80">
        <f>IF(AY840=1,COUNTIFS(R_Emp,D840,R_SAbs,"&lt;"&amp;AX840,R_EAbs,"&gt;"&amp;AW840,R_OKey,1)-1,0)</f>
        <v>0</v>
      </c>
      <c r="BA840" s="80">
        <f>IF(AY840=1,COUNTIFS(R_Emp,"&lt;&gt;"&amp;D840,R_SAbs,"&lt;"&amp;AX840,R_EAbs,"&gt;"&amp;AW840,R_OKey,1),0)</f>
        <v>0</v>
      </c>
      <c r="BB840" s="80">
        <f>IF(AND(AB840=1,D840="proMX"),IF(AND(MOD(Z840,CFG_BLK)=0,MOD(AA840,CFG_BLK)=0,MOD(AG840,CFG_BLK)=0,AG840&gt;0),1,0),1)</f>
        <v>1</v>
      </c>
      <c r="BC840" s="80" t="str">
        <f>IF(Y840=0,"",IF(NOT(ISNUMBER(B840)),"Falta fecha o fecha inválida",IF(D840="","Falta empresa",IF(AND(D840&lt;&gt;"Malcolm",D840&lt;&gt;"proMX"),"Empresa inválida",IF(OR(INT(B840)&lt;CFG_PSTART,INT(B840)&gt;CFG_PEND),"Fecha fuera del período",IF(OR(NOT(ISNUMBER(Z840)),NOT(ISNUMBER(AA840))),"Falta hora inicio/fin o formato inválido",IF(AB840=0,"Hora inicio = hora fin",IF(AE840&lt;0,"Descanso inválido",IF(AE840&gt;=AD840,"Descanso ≥ duración",IF(AV840=1,"Registro duplicado",IF(AZ840&gt;0,"Se superpone con otro registro "&amp;D840,IF(BB840=0,"inicio, fin y duración neta deben ser múltiplos de "&amp;CFG_BLK&amp;" min",""))))))))))))</f>
        <v/>
      </c>
      <c r="BD840" s="80">
        <f>IF(AND(Y840=1,BC840=""),1,0)</f>
        <v>0</v>
      </c>
      <c r="BE840" s="80">
        <f>IF(AND(BD840=1,AU840=1),1,0)</f>
        <v>0</v>
      </c>
      <c r="BF840" s="80" t="str">
        <f>IF(AND(D840="proMX",BD840=1),IF(R840="","Draft",R840),"")</f>
        <v/>
      </c>
      <c r="BG840" s="80">
        <f>IF(BD840=1,ROUND(AG840/60,6),0)</f>
        <v>0</v>
      </c>
      <c r="BH840" s="80">
        <f>IF(BE840=1,ROUND(AG840/60,6),0)</f>
        <v>0</v>
      </c>
      <c r="BI840" s="80">
        <f>IF(BE840=1,ROUND(AP840/60,6),0)</f>
        <v>0</v>
      </c>
      <c r="BJ840" s="80">
        <f>IF(BE840=1,ROUND(AQ840/60,6),0)</f>
        <v>0</v>
      </c>
      <c r="BK840" s="80">
        <f>IF(BE840=1,ROUND((AR840+AS840)/60,6),0)</f>
        <v>0</v>
      </c>
      <c r="BL840" s="80">
        <f>ROUND(BH840-BK840,6)</f>
        <v>0</v>
      </c>
      <c r="BM840" s="80">
        <f>IF(BE840=1,ROUND(AR840/60,6),0)</f>
        <v>0</v>
      </c>
      <c r="BN840" s="80">
        <f>ROUND(BI840-BM840,6)</f>
        <v>0</v>
      </c>
      <c r="BO840" s="80">
        <f>IF(BE840=1,ROUND(AS840/60,6),0)</f>
        <v>0</v>
      </c>
      <c r="BP840" s="80">
        <f>ROUND(BJ840-BO840,6)</f>
        <v>0</v>
      </c>
      <c r="BQ840" s="80">
        <f>IF(BE840=1,AW840,0)</f>
        <v>0</v>
      </c>
      <c r="BR840" s="80">
        <f>IF(BE840=1,AX840,0)</f>
        <v>0</v>
      </c>
      <c r="BS840" s="80">
        <f>IF(AND(BE840=1,D840="Malcolm",BA840&gt;0),MIN(BH840,SUMPRODUCT((R_Emp="proMX")*(R_EN&gt;0)*((R_EN-(R_EN&gt;BR840)*(R_EN-BR840))&gt;(R_SN+(R_SN&lt;BQ840)*(BQ840-R_SN)))*((R_EN-(R_EN&gt;BR840)*(R_EN-BR840))-(R_SN+(R_SN&lt;BQ840)*(BQ840-R_SN))))/60),0)</f>
        <v>0</v>
      </c>
      <c r="BT840" s="80">
        <f>IF(AND(BE840=1,D840="proMX"),ROUND(BI840*CFG_RATE+BJ840*CFG_OTRATE,6),0)</f>
        <v>0</v>
      </c>
      <c r="BU840" s="80">
        <f>IF(AND(BD840=1,D840="proMX"),ROUND(AG840/CFG_BLK,6),0)</f>
        <v>0</v>
      </c>
      <c r="BV840" s="80" t="str">
        <f>IF(BF840="Approved",IF(ISNUMBER(T840),INT(T840),INT(B840)),"")</f>
        <v/>
      </c>
      <c r="BW840" s="80">
        <f>IF(ISNUMBER(B840),IF(DB_MON="Todos",1,IF(AND(INT(B840)&gt;=DB_MS,INT(B840)&lt;=DB_ME),1,0)),0)</f>
        <v>0</v>
      </c>
      <c r="BX840" s="80">
        <f>IF(DB_PROJ="Todos",1,IF(E840&amp;""=DB_PROJ&amp;"",1,0))</f>
        <v>1</v>
      </c>
      <c r="BY840" s="80">
        <f>BW840*BX840</f>
        <v>0</v>
      </c>
      <c r="BZ840" s="80" t="str">
        <f>IF(Y840=1,F840&amp;IF(AND(F840&amp;""&lt;&gt;"",E840&amp;""&lt;&gt;"")," · ","")&amp;E840,"")</f>
        <v/>
      </c>
      <c r="CA840" s="80" t="str">
        <f>IF(AND(BD840=1,E840&amp;""&lt;&gt;""),IF(COUNTIFS($E$5:E839,E840,$BD$5:BD839,1)=0,MAX($CA$5:CA839)+1,""),"")</f>
        <v/>
      </c>
      <c r="CB840" s="80" t="str">
        <f>IF(AND(BE840=1,D840="Malcolm",E840&amp;""&lt;&gt;""),IF(COUNTIFS($D$5:D839,"Malcolm",$E$5:E839,E840,$BE$5:BE839,1)=0,MAX($CB$5:CB839)+1,""),"")</f>
        <v/>
      </c>
      <c r="CC840" s="80" t="str">
        <f>IF(AND(BD840=1,D840="proMX",E840&amp;""&lt;&gt;""),IF(COUNTIFS($D$5:D839,"proMX",$E$5:E839,E840,$BD$5:BD839,1)=0,MAX($CC$5:CC839)+1,""),"")</f>
        <v/>
      </c>
      <c r="CD840" s="80" t="str">
        <f>IF(AND(BE840=1,D840="Malcolm",F840&amp;""&lt;&gt;""),IF(COUNTIFS($D$5:D839,"Malcolm",$F$5:F839,F840,$BE$5:BE839,1)=0,MAX($CD$5:CD839)+1,""),"")</f>
        <v/>
      </c>
      <c r="CE840" s="80" t="str">
        <f>IF(AND(BD840=1,D840="proMX",F840&amp;""&lt;&gt;""),IF(COUNTIFS($D$5:D839,"proMX",$F$5:F839,F840,$BD$5:BD839,1)=0,MAX($CE$5:CE839)+1,""),"")</f>
        <v/>
      </c>
      <c r="CF840" s="80" t="str">
        <f>IF(AND(D840="proMX",BD840=1),IF(OR(BF840="Draft",BF840="Submitted",BF840="Returned",BF840="Recall Requested"),MAX($CF$5:CF839)+1,""),"")</f>
        <v/>
      </c>
      <c r="CG840" s="80">
        <f>IF(BD840=0,0,IF(D840="Malcolm",1,MATCH(BF840,{"Draft","Submitted","Approved","Returned","Recall Requested","Cancelled"},0)+1))</f>
        <v>0</v>
      </c>
      <c r="CH840" s="80">
        <f>IF(AND(BF840="Submitted",ISNUMBER(V840)),IF(V840&gt;CFG_MAXD,1,0),0)</f>
        <v>0</v>
      </c>
    </row>
    <row r="841">
      <c r="A841" s="71" t="str">
        <f>IF(Y841=1,ROW()-5,"")</f>
        <v/>
      </c>
      <c r="B841" s="72" t="n"/>
      <c r="C841" s="71" t="str">
        <f>IF(ISNUMBER(B841),CHOOSE(WEEKDAY(B841,2),"Lun","Mar","Mié","Jue","Vie","Sáb","Dom"),"")</f>
        <v/>
      </c>
      <c r="D841" s="73" t="n"/>
      <c r="E841" s="74" t="n"/>
      <c r="F841" s="74" t="n"/>
      <c r="G841" s="74" t="n"/>
      <c r="H841" s="75" t="n"/>
      <c r="I841" s="75" t="n"/>
      <c r="J841" s="76" t="n"/>
      <c r="K841" s="77" t="str">
        <f>IF(AB841=1,ROUND(AG841/60,4),"")</f>
        <v/>
      </c>
      <c r="L841" s="77" t="str">
        <f>IF(BD841=1,ROUND(AP841/60,4),"")</f>
        <v/>
      </c>
      <c r="M841" s="77" t="str">
        <f>IF(BD841=1,ROUND(AQ841/60,4),"")</f>
        <v/>
      </c>
      <c r="N841" s="71" t="str">
        <f>IF(AND(D841="proMX",AB841=1),ROUND(AG841/CFG_BLK,2),"")</f>
        <v/>
      </c>
      <c r="O841" s="77" t="str">
        <f>IF(D841="proMX",IF(BD841=1,ROUND(AG841/60,4),0),"")</f>
        <v/>
      </c>
      <c r="P841" s="78" t="str">
        <f>IF(Y841=0,"",IF(BD841=1,"OK",IF(D841="proMX","Revisar bloques: ","Revisar: ")&amp;BC841))</f>
        <v/>
      </c>
      <c r="Q841" s="78" t="str">
        <f>IF(NOT(ISNUMBER(B841)),"",IF(COUNTIFS(FER_F,INT(B841))&gt;0,"Feriado"&amp;IF(AH841=1," (laborable)"," (no laborable)"),IF(AH841=1,"Laborable",IF(WEEKDAY(B841,2)&gt;5,"Fin de semana","No laborable"))))</f>
        <v/>
      </c>
      <c r="R841" s="73" t="n"/>
      <c r="S841" s="72" t="n"/>
      <c r="T841" s="72" t="n"/>
      <c r="U841" s="74" t="n"/>
      <c r="V841" s="79" t="str">
        <f>IF(AND(D841="proMX",OR(R841="Submitted",R841="Recall Requested"),ISNUMBER(S841)),CFG_TODAY-INT(S841),"")</f>
        <v/>
      </c>
      <c r="W841" s="78" t="str">
        <f>IF(BD841=0,"",IF(BA841&gt;0,"⚠ Se superpone con un registro de la otra empresa",IF(D841="Malcolm",IF(COUNTA(R841,S841,T841)&gt;0,"Estado/fechas proMX se ignoran en Malcolm",""),IF(BF841="Cancelled","Cancelado: excluido de totales",IF(R841="","Sin estado: se trata como Draft",IF(BF841="Submitted",IF(ISNUMBER(V841),IF(V841&gt;CFG_MAXD,"⚠ "&amp;V841&amp;" días en Submitted (máx. "&amp;CFG_MAXD&amp;")",""),"Falta fecha de envío"),IF(BF841="Returned","⚠ Devuelto: corregir y reenviar",IF(BF841="Recall Requested","Retirada solicitada: pendiente",IF(AND(BF841="Approved",NOT(ISNUMBER(T841))),"Falta fecha de aprobación",IF(AND(ISNUMBER(S841),ISNUMBER(T841),T841&lt;S841),"Aprobación anterior al envío","")))))))))</f>
        <v/>
      </c>
      <c r="Y841" s="80">
        <f>IF(COUNTA(B841,D841,E841,F841,G841,H841,I841,J841,R841,S841,T841)&gt;0,1,0)</f>
        <v>0</v>
      </c>
      <c r="Z841" s="80" t="str">
        <f>IF(AND(ISNUMBER(H841),H841&gt;=0,H841&lt;1),ROUND(H841*1440,0),"")</f>
        <v/>
      </c>
      <c r="AA841" s="80" t="str">
        <f>IF(AND(ISNUMBER(I841),I841&gt;=0,I841&lt;1),ROUND(I841*1440,0),"")</f>
        <v/>
      </c>
      <c r="AB841" s="80">
        <f>IF(AND(ISNUMBER(B841),D841&lt;&gt;"",ISNUMBER(Z841),ISNUMBER(AA841)),IF(Z841=AA841,0,1),0)</f>
        <v>0</v>
      </c>
      <c r="AC841" s="80">
        <f>IF(AB841=1,IF(AA841&lt;Z841,1,0),0)</f>
        <v>0</v>
      </c>
      <c r="AD841" s="80">
        <f>IF(AB841=1,IF(AC841=1,1440-Z841+AA841,AA841-Z841),0)</f>
        <v>0</v>
      </c>
      <c r="AE841" s="80">
        <f>IF(J841="",0,IF(ISNUMBER(J841),J841,-1))</f>
        <v>0</v>
      </c>
      <c r="AF841" s="80">
        <f>MIN(MAX(0,AE841),AD841)</f>
        <v>0</v>
      </c>
      <c r="AG841" s="80">
        <f>MAX(0,AD841-MAX(0,AE841))</f>
        <v>0</v>
      </c>
      <c r="AH841" s="80">
        <f>IF(ISNUMBER(B841),IF(AND(INDEX(CFG_WDAYS,WEEKDAY(INT(B841),2))="Sí",IF(D841="proMX",COUNTIFS(FER_F,INT(B841),FER_NLP,"Sí"),COUNTIFS(FER_F,INT(B841),FER_NLM,"Sí"))=0),1,0),0)</f>
        <v>0</v>
      </c>
      <c r="AI841" s="80">
        <f>IF(AC841=1,IF(AND(INDEX(CFG_WDAYS,WEEKDAY(INT(B841)+1,2))="Sí",IF(D841="proMX",COUNTIFS(FER_F,INT(B841)+1,FER_NLP,"Sí"),COUNTIFS(FER_F,INT(B841)+1,FER_NLM,"Sí"))=0),1,0),0)</f>
        <v>0</v>
      </c>
      <c r="AJ841" s="80">
        <f>IF(AC841=1,1440-Z841,AD841)</f>
        <v>0</v>
      </c>
      <c r="AK841" s="80">
        <f>IF(AND(AB841=1,AH841=1),MAX(0,MIN(IF(AC841=1,1440,AA841),CFG_WEM)-MAX(Z841,CFG_WSM)),0)</f>
        <v>0</v>
      </c>
      <c r="AL841" s="80">
        <f>IF(AND(AC841=1,AI841=1),MAX(0,MIN(AA841,CFG_WEM)-CFG_WSM),0)</f>
        <v>0</v>
      </c>
      <c r="AM841" s="80">
        <f>AK841+AL841</f>
        <v>0</v>
      </c>
      <c r="AN841" s="80">
        <f>IF(CFG_BRK="Proporcional",IF(AD841=0,0,AF841*AM841/AD841),IF(CFG_BRK="Extras primero",MIN(AM841,MAX(0,AF841-(AD841-AM841))),MIN(AF841,AM841)))</f>
        <v>0</v>
      </c>
      <c r="AO841" s="80">
        <f>AF841-AN841</f>
        <v>0</v>
      </c>
      <c r="AP841" s="80">
        <f>AM841-AN841</f>
        <v>0</v>
      </c>
      <c r="AQ841" s="80">
        <f>AD841-AM841-AO841</f>
        <v>0</v>
      </c>
      <c r="AR841" s="80">
        <f>IF(AM841=0,0,AK841-AN841*AK841/AM841)</f>
        <v>0</v>
      </c>
      <c r="AS841" s="80">
        <f>IF(AD841-AM841=0,0,(AJ841-AK841)-AO841*(AJ841-AK841)/(AD841-AM841))</f>
        <v>0</v>
      </c>
      <c r="AT841" s="80" t="str">
        <f>IF(AC841=1,INT(B841)+1,"")</f>
        <v/>
      </c>
      <c r="AU841" s="80">
        <f>IF(AND(D841="proMX",R841="Cancelled"),0,1)</f>
        <v>1</v>
      </c>
      <c r="AV841" s="80">
        <f>IF(AND(AB841=1,AU841=1),IF(COUNTIFS($D$5:D840,D841,$B$5:B840,B841,$Z$5:Z840,Z841,$AA$5:AA840,AA841,$F$5:F840,F841&amp;"",$AU$5:AU840,1)&gt;0,1,0),0)</f>
        <v>0</v>
      </c>
      <c r="AW841" s="80" t="str">
        <f>IF(AB841=1,INT(B841)*1440+Z841,"")</f>
        <v/>
      </c>
      <c r="AX841" s="80" t="str">
        <f>IF(AB841=1,AW841+AD841,"")</f>
        <v/>
      </c>
      <c r="AY841" s="80">
        <f>IF(AND(AB841=1,AV841=0,AU841=1),1,0)</f>
        <v>0</v>
      </c>
      <c r="AZ841" s="80">
        <f>IF(AY841=1,COUNTIFS(R_Emp,D841,R_SAbs,"&lt;"&amp;AX841,R_EAbs,"&gt;"&amp;AW841,R_OKey,1)-1,0)</f>
        <v>0</v>
      </c>
      <c r="BA841" s="80">
        <f>IF(AY841=1,COUNTIFS(R_Emp,"&lt;&gt;"&amp;D841,R_SAbs,"&lt;"&amp;AX841,R_EAbs,"&gt;"&amp;AW841,R_OKey,1),0)</f>
        <v>0</v>
      </c>
      <c r="BB841" s="80">
        <f>IF(AND(AB841=1,D841="proMX"),IF(AND(MOD(Z841,CFG_BLK)=0,MOD(AA841,CFG_BLK)=0,MOD(AG841,CFG_BLK)=0,AG841&gt;0),1,0),1)</f>
        <v>1</v>
      </c>
      <c r="BC841" s="80" t="str">
        <f>IF(Y841=0,"",IF(NOT(ISNUMBER(B841)),"Falta fecha o fecha inválida",IF(D841="","Falta empresa",IF(AND(D841&lt;&gt;"Malcolm",D841&lt;&gt;"proMX"),"Empresa inválida",IF(OR(INT(B841)&lt;CFG_PSTART,INT(B841)&gt;CFG_PEND),"Fecha fuera del período",IF(OR(NOT(ISNUMBER(Z841)),NOT(ISNUMBER(AA841))),"Falta hora inicio/fin o formato inválido",IF(AB841=0,"Hora inicio = hora fin",IF(AE841&lt;0,"Descanso inválido",IF(AE841&gt;=AD841,"Descanso ≥ duración",IF(AV841=1,"Registro duplicado",IF(AZ841&gt;0,"Se superpone con otro registro "&amp;D841,IF(BB841=0,"inicio, fin y duración neta deben ser múltiplos de "&amp;CFG_BLK&amp;" min",""))))))))))))</f>
        <v/>
      </c>
      <c r="BD841" s="80">
        <f>IF(AND(Y841=1,BC841=""),1,0)</f>
        <v>0</v>
      </c>
      <c r="BE841" s="80">
        <f>IF(AND(BD841=1,AU841=1),1,0)</f>
        <v>0</v>
      </c>
      <c r="BF841" s="80" t="str">
        <f>IF(AND(D841="proMX",BD841=1),IF(R841="","Draft",R841),"")</f>
        <v/>
      </c>
      <c r="BG841" s="80">
        <f>IF(BD841=1,ROUND(AG841/60,6),0)</f>
        <v>0</v>
      </c>
      <c r="BH841" s="80">
        <f>IF(BE841=1,ROUND(AG841/60,6),0)</f>
        <v>0</v>
      </c>
      <c r="BI841" s="80">
        <f>IF(BE841=1,ROUND(AP841/60,6),0)</f>
        <v>0</v>
      </c>
      <c r="BJ841" s="80">
        <f>IF(BE841=1,ROUND(AQ841/60,6),0)</f>
        <v>0</v>
      </c>
      <c r="BK841" s="80">
        <f>IF(BE841=1,ROUND((AR841+AS841)/60,6),0)</f>
        <v>0</v>
      </c>
      <c r="BL841" s="80">
        <f>ROUND(BH841-BK841,6)</f>
        <v>0</v>
      </c>
      <c r="BM841" s="80">
        <f>IF(BE841=1,ROUND(AR841/60,6),0)</f>
        <v>0</v>
      </c>
      <c r="BN841" s="80">
        <f>ROUND(BI841-BM841,6)</f>
        <v>0</v>
      </c>
      <c r="BO841" s="80">
        <f>IF(BE841=1,ROUND(AS841/60,6),0)</f>
        <v>0</v>
      </c>
      <c r="BP841" s="80">
        <f>ROUND(BJ841-BO841,6)</f>
        <v>0</v>
      </c>
      <c r="BQ841" s="80">
        <f>IF(BE841=1,AW841,0)</f>
        <v>0</v>
      </c>
      <c r="BR841" s="80">
        <f>IF(BE841=1,AX841,0)</f>
        <v>0</v>
      </c>
      <c r="BS841" s="80">
        <f>IF(AND(BE841=1,D841="Malcolm",BA841&gt;0),MIN(BH841,SUMPRODUCT((R_Emp="proMX")*(R_EN&gt;0)*((R_EN-(R_EN&gt;BR841)*(R_EN-BR841))&gt;(R_SN+(R_SN&lt;BQ841)*(BQ841-R_SN)))*((R_EN-(R_EN&gt;BR841)*(R_EN-BR841))-(R_SN+(R_SN&lt;BQ841)*(BQ841-R_SN))))/60),0)</f>
        <v>0</v>
      </c>
      <c r="BT841" s="80">
        <f>IF(AND(BE841=1,D841="proMX"),ROUND(BI841*CFG_RATE+BJ841*CFG_OTRATE,6),0)</f>
        <v>0</v>
      </c>
      <c r="BU841" s="80">
        <f>IF(AND(BD841=1,D841="proMX"),ROUND(AG841/CFG_BLK,6),0)</f>
        <v>0</v>
      </c>
      <c r="BV841" s="80" t="str">
        <f>IF(BF841="Approved",IF(ISNUMBER(T841),INT(T841),INT(B841)),"")</f>
        <v/>
      </c>
      <c r="BW841" s="80">
        <f>IF(ISNUMBER(B841),IF(DB_MON="Todos",1,IF(AND(INT(B841)&gt;=DB_MS,INT(B841)&lt;=DB_ME),1,0)),0)</f>
        <v>0</v>
      </c>
      <c r="BX841" s="80">
        <f>IF(DB_PROJ="Todos",1,IF(E841&amp;""=DB_PROJ&amp;"",1,0))</f>
        <v>1</v>
      </c>
      <c r="BY841" s="80">
        <f>BW841*BX841</f>
        <v>0</v>
      </c>
      <c r="BZ841" s="80" t="str">
        <f>IF(Y841=1,F841&amp;IF(AND(F841&amp;""&lt;&gt;"",E841&amp;""&lt;&gt;"")," · ","")&amp;E841,"")</f>
        <v/>
      </c>
      <c r="CA841" s="80" t="str">
        <f>IF(AND(BD841=1,E841&amp;""&lt;&gt;""),IF(COUNTIFS($E$5:E840,E841,$BD$5:BD840,1)=0,MAX($CA$5:CA840)+1,""),"")</f>
        <v/>
      </c>
      <c r="CB841" s="80" t="str">
        <f>IF(AND(BE841=1,D841="Malcolm",E841&amp;""&lt;&gt;""),IF(COUNTIFS($D$5:D840,"Malcolm",$E$5:E840,E841,$BE$5:BE840,1)=0,MAX($CB$5:CB840)+1,""),"")</f>
        <v/>
      </c>
      <c r="CC841" s="80" t="str">
        <f>IF(AND(BD841=1,D841="proMX",E841&amp;""&lt;&gt;""),IF(COUNTIFS($D$5:D840,"proMX",$E$5:E840,E841,$BD$5:BD840,1)=0,MAX($CC$5:CC840)+1,""),"")</f>
        <v/>
      </c>
      <c r="CD841" s="80" t="str">
        <f>IF(AND(BE841=1,D841="Malcolm",F841&amp;""&lt;&gt;""),IF(COUNTIFS($D$5:D840,"Malcolm",$F$5:F840,F841,$BE$5:BE840,1)=0,MAX($CD$5:CD840)+1,""),"")</f>
        <v/>
      </c>
      <c r="CE841" s="80" t="str">
        <f>IF(AND(BD841=1,D841="proMX",F841&amp;""&lt;&gt;""),IF(COUNTIFS($D$5:D840,"proMX",$F$5:F840,F841,$BD$5:BD840,1)=0,MAX($CE$5:CE840)+1,""),"")</f>
        <v/>
      </c>
      <c r="CF841" s="80" t="str">
        <f>IF(AND(D841="proMX",BD841=1),IF(OR(BF841="Draft",BF841="Submitted",BF841="Returned",BF841="Recall Requested"),MAX($CF$5:CF840)+1,""),"")</f>
        <v/>
      </c>
      <c r="CG841" s="80">
        <f>IF(BD841=0,0,IF(D841="Malcolm",1,MATCH(BF841,{"Draft","Submitted","Approved","Returned","Recall Requested","Cancelled"},0)+1))</f>
        <v>0</v>
      </c>
      <c r="CH841" s="80">
        <f>IF(AND(BF841="Submitted",ISNUMBER(V841)),IF(V841&gt;CFG_MAXD,1,0),0)</f>
        <v>0</v>
      </c>
    </row>
    <row r="842">
      <c r="A842" s="71" t="str">
        <f>IF(Y842=1,ROW()-5,"")</f>
        <v/>
      </c>
      <c r="B842" s="72" t="n"/>
      <c r="C842" s="71" t="str">
        <f>IF(ISNUMBER(B842),CHOOSE(WEEKDAY(B842,2),"Lun","Mar","Mié","Jue","Vie","Sáb","Dom"),"")</f>
        <v/>
      </c>
      <c r="D842" s="73" t="n"/>
      <c r="E842" s="74" t="n"/>
      <c r="F842" s="74" t="n"/>
      <c r="G842" s="74" t="n"/>
      <c r="H842" s="75" t="n"/>
      <c r="I842" s="75" t="n"/>
      <c r="J842" s="76" t="n"/>
      <c r="K842" s="77" t="str">
        <f>IF(AB842=1,ROUND(AG842/60,4),"")</f>
        <v/>
      </c>
      <c r="L842" s="77" t="str">
        <f>IF(BD842=1,ROUND(AP842/60,4),"")</f>
        <v/>
      </c>
      <c r="M842" s="77" t="str">
        <f>IF(BD842=1,ROUND(AQ842/60,4),"")</f>
        <v/>
      </c>
      <c r="N842" s="71" t="str">
        <f>IF(AND(D842="proMX",AB842=1),ROUND(AG842/CFG_BLK,2),"")</f>
        <v/>
      </c>
      <c r="O842" s="77" t="str">
        <f>IF(D842="proMX",IF(BD842=1,ROUND(AG842/60,4),0),"")</f>
        <v/>
      </c>
      <c r="P842" s="78" t="str">
        <f>IF(Y842=0,"",IF(BD842=1,"OK",IF(D842="proMX","Revisar bloques: ","Revisar: ")&amp;BC842))</f>
        <v/>
      </c>
      <c r="Q842" s="78" t="str">
        <f>IF(NOT(ISNUMBER(B842)),"",IF(COUNTIFS(FER_F,INT(B842))&gt;0,"Feriado"&amp;IF(AH842=1," (laborable)"," (no laborable)"),IF(AH842=1,"Laborable",IF(WEEKDAY(B842,2)&gt;5,"Fin de semana","No laborable"))))</f>
        <v/>
      </c>
      <c r="R842" s="73" t="n"/>
      <c r="S842" s="72" t="n"/>
      <c r="T842" s="72" t="n"/>
      <c r="U842" s="74" t="n"/>
      <c r="V842" s="79" t="str">
        <f>IF(AND(D842="proMX",OR(R842="Submitted",R842="Recall Requested"),ISNUMBER(S842)),CFG_TODAY-INT(S842),"")</f>
        <v/>
      </c>
      <c r="W842" s="78" t="str">
        <f>IF(BD842=0,"",IF(BA842&gt;0,"⚠ Se superpone con un registro de la otra empresa",IF(D842="Malcolm",IF(COUNTA(R842,S842,T842)&gt;0,"Estado/fechas proMX se ignoran en Malcolm",""),IF(BF842="Cancelled","Cancelado: excluido de totales",IF(R842="","Sin estado: se trata como Draft",IF(BF842="Submitted",IF(ISNUMBER(V842),IF(V842&gt;CFG_MAXD,"⚠ "&amp;V842&amp;" días en Submitted (máx. "&amp;CFG_MAXD&amp;")",""),"Falta fecha de envío"),IF(BF842="Returned","⚠ Devuelto: corregir y reenviar",IF(BF842="Recall Requested","Retirada solicitada: pendiente",IF(AND(BF842="Approved",NOT(ISNUMBER(T842))),"Falta fecha de aprobación",IF(AND(ISNUMBER(S842),ISNUMBER(T842),T842&lt;S842),"Aprobación anterior al envío","")))))))))</f>
        <v/>
      </c>
      <c r="Y842" s="80">
        <f>IF(COUNTA(B842,D842,E842,F842,G842,H842,I842,J842,R842,S842,T842)&gt;0,1,0)</f>
        <v>0</v>
      </c>
      <c r="Z842" s="80" t="str">
        <f>IF(AND(ISNUMBER(H842),H842&gt;=0,H842&lt;1),ROUND(H842*1440,0),"")</f>
        <v/>
      </c>
      <c r="AA842" s="80" t="str">
        <f>IF(AND(ISNUMBER(I842),I842&gt;=0,I842&lt;1),ROUND(I842*1440,0),"")</f>
        <v/>
      </c>
      <c r="AB842" s="80">
        <f>IF(AND(ISNUMBER(B842),D842&lt;&gt;"",ISNUMBER(Z842),ISNUMBER(AA842)),IF(Z842=AA842,0,1),0)</f>
        <v>0</v>
      </c>
      <c r="AC842" s="80">
        <f>IF(AB842=1,IF(AA842&lt;Z842,1,0),0)</f>
        <v>0</v>
      </c>
      <c r="AD842" s="80">
        <f>IF(AB842=1,IF(AC842=1,1440-Z842+AA842,AA842-Z842),0)</f>
        <v>0</v>
      </c>
      <c r="AE842" s="80">
        <f>IF(J842="",0,IF(ISNUMBER(J842),J842,-1))</f>
        <v>0</v>
      </c>
      <c r="AF842" s="80">
        <f>MIN(MAX(0,AE842),AD842)</f>
        <v>0</v>
      </c>
      <c r="AG842" s="80">
        <f>MAX(0,AD842-MAX(0,AE842))</f>
        <v>0</v>
      </c>
      <c r="AH842" s="80">
        <f>IF(ISNUMBER(B842),IF(AND(INDEX(CFG_WDAYS,WEEKDAY(INT(B842),2))="Sí",IF(D842="proMX",COUNTIFS(FER_F,INT(B842),FER_NLP,"Sí"),COUNTIFS(FER_F,INT(B842),FER_NLM,"Sí"))=0),1,0),0)</f>
        <v>0</v>
      </c>
      <c r="AI842" s="80">
        <f>IF(AC842=1,IF(AND(INDEX(CFG_WDAYS,WEEKDAY(INT(B842)+1,2))="Sí",IF(D842="proMX",COUNTIFS(FER_F,INT(B842)+1,FER_NLP,"Sí"),COUNTIFS(FER_F,INT(B842)+1,FER_NLM,"Sí"))=0),1,0),0)</f>
        <v>0</v>
      </c>
      <c r="AJ842" s="80">
        <f>IF(AC842=1,1440-Z842,AD842)</f>
        <v>0</v>
      </c>
      <c r="AK842" s="80">
        <f>IF(AND(AB842=1,AH842=1),MAX(0,MIN(IF(AC842=1,1440,AA842),CFG_WEM)-MAX(Z842,CFG_WSM)),0)</f>
        <v>0</v>
      </c>
      <c r="AL842" s="80">
        <f>IF(AND(AC842=1,AI842=1),MAX(0,MIN(AA842,CFG_WEM)-CFG_WSM),0)</f>
        <v>0</v>
      </c>
      <c r="AM842" s="80">
        <f>AK842+AL842</f>
        <v>0</v>
      </c>
      <c r="AN842" s="80">
        <f>IF(CFG_BRK="Proporcional",IF(AD842=0,0,AF842*AM842/AD842),IF(CFG_BRK="Extras primero",MIN(AM842,MAX(0,AF842-(AD842-AM842))),MIN(AF842,AM842)))</f>
        <v>0</v>
      </c>
      <c r="AO842" s="80">
        <f>AF842-AN842</f>
        <v>0</v>
      </c>
      <c r="AP842" s="80">
        <f>AM842-AN842</f>
        <v>0</v>
      </c>
      <c r="AQ842" s="80">
        <f>AD842-AM842-AO842</f>
        <v>0</v>
      </c>
      <c r="AR842" s="80">
        <f>IF(AM842=0,0,AK842-AN842*AK842/AM842)</f>
        <v>0</v>
      </c>
      <c r="AS842" s="80">
        <f>IF(AD842-AM842=0,0,(AJ842-AK842)-AO842*(AJ842-AK842)/(AD842-AM842))</f>
        <v>0</v>
      </c>
      <c r="AT842" s="80" t="str">
        <f>IF(AC842=1,INT(B842)+1,"")</f>
        <v/>
      </c>
      <c r="AU842" s="80">
        <f>IF(AND(D842="proMX",R842="Cancelled"),0,1)</f>
        <v>1</v>
      </c>
      <c r="AV842" s="80">
        <f>IF(AND(AB842=1,AU842=1),IF(COUNTIFS($D$5:D841,D842,$B$5:B841,B842,$Z$5:Z841,Z842,$AA$5:AA841,AA842,$F$5:F841,F842&amp;"",$AU$5:AU841,1)&gt;0,1,0),0)</f>
        <v>0</v>
      </c>
      <c r="AW842" s="80" t="str">
        <f>IF(AB842=1,INT(B842)*1440+Z842,"")</f>
        <v/>
      </c>
      <c r="AX842" s="80" t="str">
        <f>IF(AB842=1,AW842+AD842,"")</f>
        <v/>
      </c>
      <c r="AY842" s="80">
        <f>IF(AND(AB842=1,AV842=0,AU842=1),1,0)</f>
        <v>0</v>
      </c>
      <c r="AZ842" s="80">
        <f>IF(AY842=1,COUNTIFS(R_Emp,D842,R_SAbs,"&lt;"&amp;AX842,R_EAbs,"&gt;"&amp;AW842,R_OKey,1)-1,0)</f>
        <v>0</v>
      </c>
      <c r="BA842" s="80">
        <f>IF(AY842=1,COUNTIFS(R_Emp,"&lt;&gt;"&amp;D842,R_SAbs,"&lt;"&amp;AX842,R_EAbs,"&gt;"&amp;AW842,R_OKey,1),0)</f>
        <v>0</v>
      </c>
      <c r="BB842" s="80">
        <f>IF(AND(AB842=1,D842="proMX"),IF(AND(MOD(Z842,CFG_BLK)=0,MOD(AA842,CFG_BLK)=0,MOD(AG842,CFG_BLK)=0,AG842&gt;0),1,0),1)</f>
        <v>1</v>
      </c>
      <c r="BC842" s="80" t="str">
        <f>IF(Y842=0,"",IF(NOT(ISNUMBER(B842)),"Falta fecha o fecha inválida",IF(D842="","Falta empresa",IF(AND(D842&lt;&gt;"Malcolm",D842&lt;&gt;"proMX"),"Empresa inválida",IF(OR(INT(B842)&lt;CFG_PSTART,INT(B842)&gt;CFG_PEND),"Fecha fuera del período",IF(OR(NOT(ISNUMBER(Z842)),NOT(ISNUMBER(AA842))),"Falta hora inicio/fin o formato inválido",IF(AB842=0,"Hora inicio = hora fin",IF(AE842&lt;0,"Descanso inválido",IF(AE842&gt;=AD842,"Descanso ≥ duración",IF(AV842=1,"Registro duplicado",IF(AZ842&gt;0,"Se superpone con otro registro "&amp;D842,IF(BB842=0,"inicio, fin y duración neta deben ser múltiplos de "&amp;CFG_BLK&amp;" min",""))))))))))))</f>
        <v/>
      </c>
      <c r="BD842" s="80">
        <f>IF(AND(Y842=1,BC842=""),1,0)</f>
        <v>0</v>
      </c>
      <c r="BE842" s="80">
        <f>IF(AND(BD842=1,AU842=1),1,0)</f>
        <v>0</v>
      </c>
      <c r="BF842" s="80" t="str">
        <f>IF(AND(D842="proMX",BD842=1),IF(R842="","Draft",R842),"")</f>
        <v/>
      </c>
      <c r="BG842" s="80">
        <f>IF(BD842=1,ROUND(AG842/60,6),0)</f>
        <v>0</v>
      </c>
      <c r="BH842" s="80">
        <f>IF(BE842=1,ROUND(AG842/60,6),0)</f>
        <v>0</v>
      </c>
      <c r="BI842" s="80">
        <f>IF(BE842=1,ROUND(AP842/60,6),0)</f>
        <v>0</v>
      </c>
      <c r="BJ842" s="80">
        <f>IF(BE842=1,ROUND(AQ842/60,6),0)</f>
        <v>0</v>
      </c>
      <c r="BK842" s="80">
        <f>IF(BE842=1,ROUND((AR842+AS842)/60,6),0)</f>
        <v>0</v>
      </c>
      <c r="BL842" s="80">
        <f>ROUND(BH842-BK842,6)</f>
        <v>0</v>
      </c>
      <c r="BM842" s="80">
        <f>IF(BE842=1,ROUND(AR842/60,6),0)</f>
        <v>0</v>
      </c>
      <c r="BN842" s="80">
        <f>ROUND(BI842-BM842,6)</f>
        <v>0</v>
      </c>
      <c r="BO842" s="80">
        <f>IF(BE842=1,ROUND(AS842/60,6),0)</f>
        <v>0</v>
      </c>
      <c r="BP842" s="80">
        <f>ROUND(BJ842-BO842,6)</f>
        <v>0</v>
      </c>
      <c r="BQ842" s="80">
        <f>IF(BE842=1,AW842,0)</f>
        <v>0</v>
      </c>
      <c r="BR842" s="80">
        <f>IF(BE842=1,AX842,0)</f>
        <v>0</v>
      </c>
      <c r="BS842" s="80">
        <f>IF(AND(BE842=1,D842="Malcolm",BA842&gt;0),MIN(BH842,SUMPRODUCT((R_Emp="proMX")*(R_EN&gt;0)*((R_EN-(R_EN&gt;BR842)*(R_EN-BR842))&gt;(R_SN+(R_SN&lt;BQ842)*(BQ842-R_SN)))*((R_EN-(R_EN&gt;BR842)*(R_EN-BR842))-(R_SN+(R_SN&lt;BQ842)*(BQ842-R_SN))))/60),0)</f>
        <v>0</v>
      </c>
      <c r="BT842" s="80">
        <f>IF(AND(BE842=1,D842="proMX"),ROUND(BI842*CFG_RATE+BJ842*CFG_OTRATE,6),0)</f>
        <v>0</v>
      </c>
      <c r="BU842" s="80">
        <f>IF(AND(BD842=1,D842="proMX"),ROUND(AG842/CFG_BLK,6),0)</f>
        <v>0</v>
      </c>
      <c r="BV842" s="80" t="str">
        <f>IF(BF842="Approved",IF(ISNUMBER(T842),INT(T842),INT(B842)),"")</f>
        <v/>
      </c>
      <c r="BW842" s="80">
        <f>IF(ISNUMBER(B842),IF(DB_MON="Todos",1,IF(AND(INT(B842)&gt;=DB_MS,INT(B842)&lt;=DB_ME),1,0)),0)</f>
        <v>0</v>
      </c>
      <c r="BX842" s="80">
        <f>IF(DB_PROJ="Todos",1,IF(E842&amp;""=DB_PROJ&amp;"",1,0))</f>
        <v>1</v>
      </c>
      <c r="BY842" s="80">
        <f>BW842*BX842</f>
        <v>0</v>
      </c>
      <c r="BZ842" s="80" t="str">
        <f>IF(Y842=1,F842&amp;IF(AND(F842&amp;""&lt;&gt;"",E842&amp;""&lt;&gt;"")," · ","")&amp;E842,"")</f>
        <v/>
      </c>
      <c r="CA842" s="80" t="str">
        <f>IF(AND(BD842=1,E842&amp;""&lt;&gt;""),IF(COUNTIFS($E$5:E841,E842,$BD$5:BD841,1)=0,MAX($CA$5:CA841)+1,""),"")</f>
        <v/>
      </c>
      <c r="CB842" s="80" t="str">
        <f>IF(AND(BE842=1,D842="Malcolm",E842&amp;""&lt;&gt;""),IF(COUNTIFS($D$5:D841,"Malcolm",$E$5:E841,E842,$BE$5:BE841,1)=0,MAX($CB$5:CB841)+1,""),"")</f>
        <v/>
      </c>
      <c r="CC842" s="80" t="str">
        <f>IF(AND(BD842=1,D842="proMX",E842&amp;""&lt;&gt;""),IF(COUNTIFS($D$5:D841,"proMX",$E$5:E841,E842,$BD$5:BD841,1)=0,MAX($CC$5:CC841)+1,""),"")</f>
        <v/>
      </c>
      <c r="CD842" s="80" t="str">
        <f>IF(AND(BE842=1,D842="Malcolm",F842&amp;""&lt;&gt;""),IF(COUNTIFS($D$5:D841,"Malcolm",$F$5:F841,F842,$BE$5:BE841,1)=0,MAX($CD$5:CD841)+1,""),"")</f>
        <v/>
      </c>
      <c r="CE842" s="80" t="str">
        <f>IF(AND(BD842=1,D842="proMX",F842&amp;""&lt;&gt;""),IF(COUNTIFS($D$5:D841,"proMX",$F$5:F841,F842,$BD$5:BD841,1)=0,MAX($CE$5:CE841)+1,""),"")</f>
        <v/>
      </c>
      <c r="CF842" s="80" t="str">
        <f>IF(AND(D842="proMX",BD842=1),IF(OR(BF842="Draft",BF842="Submitted",BF842="Returned",BF842="Recall Requested"),MAX($CF$5:CF841)+1,""),"")</f>
        <v/>
      </c>
      <c r="CG842" s="80">
        <f>IF(BD842=0,0,IF(D842="Malcolm",1,MATCH(BF842,{"Draft","Submitted","Approved","Returned","Recall Requested","Cancelled"},0)+1))</f>
        <v>0</v>
      </c>
      <c r="CH842" s="80">
        <f>IF(AND(BF842="Submitted",ISNUMBER(V842)),IF(V842&gt;CFG_MAXD,1,0),0)</f>
        <v>0</v>
      </c>
    </row>
    <row r="843">
      <c r="A843" s="71" t="str">
        <f>IF(Y843=1,ROW()-5,"")</f>
        <v/>
      </c>
      <c r="B843" s="72" t="n"/>
      <c r="C843" s="71" t="str">
        <f>IF(ISNUMBER(B843),CHOOSE(WEEKDAY(B843,2),"Lun","Mar","Mié","Jue","Vie","Sáb","Dom"),"")</f>
        <v/>
      </c>
      <c r="D843" s="73" t="n"/>
      <c r="E843" s="74" t="n"/>
      <c r="F843" s="74" t="n"/>
      <c r="G843" s="74" t="n"/>
      <c r="H843" s="75" t="n"/>
      <c r="I843" s="75" t="n"/>
      <c r="J843" s="76" t="n"/>
      <c r="K843" s="77" t="str">
        <f>IF(AB843=1,ROUND(AG843/60,4),"")</f>
        <v/>
      </c>
      <c r="L843" s="77" t="str">
        <f>IF(BD843=1,ROUND(AP843/60,4),"")</f>
        <v/>
      </c>
      <c r="M843" s="77" t="str">
        <f>IF(BD843=1,ROUND(AQ843/60,4),"")</f>
        <v/>
      </c>
      <c r="N843" s="71" t="str">
        <f>IF(AND(D843="proMX",AB843=1),ROUND(AG843/CFG_BLK,2),"")</f>
        <v/>
      </c>
      <c r="O843" s="77" t="str">
        <f>IF(D843="proMX",IF(BD843=1,ROUND(AG843/60,4),0),"")</f>
        <v/>
      </c>
      <c r="P843" s="78" t="str">
        <f>IF(Y843=0,"",IF(BD843=1,"OK",IF(D843="proMX","Revisar bloques: ","Revisar: ")&amp;BC843))</f>
        <v/>
      </c>
      <c r="Q843" s="78" t="str">
        <f>IF(NOT(ISNUMBER(B843)),"",IF(COUNTIFS(FER_F,INT(B843))&gt;0,"Feriado"&amp;IF(AH843=1," (laborable)"," (no laborable)"),IF(AH843=1,"Laborable",IF(WEEKDAY(B843,2)&gt;5,"Fin de semana","No laborable"))))</f>
        <v/>
      </c>
      <c r="R843" s="73" t="n"/>
      <c r="S843" s="72" t="n"/>
      <c r="T843" s="72" t="n"/>
      <c r="U843" s="74" t="n"/>
      <c r="V843" s="79" t="str">
        <f>IF(AND(D843="proMX",OR(R843="Submitted",R843="Recall Requested"),ISNUMBER(S843)),CFG_TODAY-INT(S843),"")</f>
        <v/>
      </c>
      <c r="W843" s="78" t="str">
        <f>IF(BD843=0,"",IF(BA843&gt;0,"⚠ Se superpone con un registro de la otra empresa",IF(D843="Malcolm",IF(COUNTA(R843,S843,T843)&gt;0,"Estado/fechas proMX se ignoran en Malcolm",""),IF(BF843="Cancelled","Cancelado: excluido de totales",IF(R843="","Sin estado: se trata como Draft",IF(BF843="Submitted",IF(ISNUMBER(V843),IF(V843&gt;CFG_MAXD,"⚠ "&amp;V843&amp;" días en Submitted (máx. "&amp;CFG_MAXD&amp;")",""),"Falta fecha de envío"),IF(BF843="Returned","⚠ Devuelto: corregir y reenviar",IF(BF843="Recall Requested","Retirada solicitada: pendiente",IF(AND(BF843="Approved",NOT(ISNUMBER(T843))),"Falta fecha de aprobación",IF(AND(ISNUMBER(S843),ISNUMBER(T843),T843&lt;S843),"Aprobación anterior al envío","")))))))))</f>
        <v/>
      </c>
      <c r="Y843" s="80">
        <f>IF(COUNTA(B843,D843,E843,F843,G843,H843,I843,J843,R843,S843,T843)&gt;0,1,0)</f>
        <v>0</v>
      </c>
      <c r="Z843" s="80" t="str">
        <f>IF(AND(ISNUMBER(H843),H843&gt;=0,H843&lt;1),ROUND(H843*1440,0),"")</f>
        <v/>
      </c>
      <c r="AA843" s="80" t="str">
        <f>IF(AND(ISNUMBER(I843),I843&gt;=0,I843&lt;1),ROUND(I843*1440,0),"")</f>
        <v/>
      </c>
      <c r="AB843" s="80">
        <f>IF(AND(ISNUMBER(B843),D843&lt;&gt;"",ISNUMBER(Z843),ISNUMBER(AA843)),IF(Z843=AA843,0,1),0)</f>
        <v>0</v>
      </c>
      <c r="AC843" s="80">
        <f>IF(AB843=1,IF(AA843&lt;Z843,1,0),0)</f>
        <v>0</v>
      </c>
      <c r="AD843" s="80">
        <f>IF(AB843=1,IF(AC843=1,1440-Z843+AA843,AA843-Z843),0)</f>
        <v>0</v>
      </c>
      <c r="AE843" s="80">
        <f>IF(J843="",0,IF(ISNUMBER(J843),J843,-1))</f>
        <v>0</v>
      </c>
      <c r="AF843" s="80">
        <f>MIN(MAX(0,AE843),AD843)</f>
        <v>0</v>
      </c>
      <c r="AG843" s="80">
        <f>MAX(0,AD843-MAX(0,AE843))</f>
        <v>0</v>
      </c>
      <c r="AH843" s="80">
        <f>IF(ISNUMBER(B843),IF(AND(INDEX(CFG_WDAYS,WEEKDAY(INT(B843),2))="Sí",IF(D843="proMX",COUNTIFS(FER_F,INT(B843),FER_NLP,"Sí"),COUNTIFS(FER_F,INT(B843),FER_NLM,"Sí"))=0),1,0),0)</f>
        <v>0</v>
      </c>
      <c r="AI843" s="80">
        <f>IF(AC843=1,IF(AND(INDEX(CFG_WDAYS,WEEKDAY(INT(B843)+1,2))="Sí",IF(D843="proMX",COUNTIFS(FER_F,INT(B843)+1,FER_NLP,"Sí"),COUNTIFS(FER_F,INT(B843)+1,FER_NLM,"Sí"))=0),1,0),0)</f>
        <v>0</v>
      </c>
      <c r="AJ843" s="80">
        <f>IF(AC843=1,1440-Z843,AD843)</f>
        <v>0</v>
      </c>
      <c r="AK843" s="80">
        <f>IF(AND(AB843=1,AH843=1),MAX(0,MIN(IF(AC843=1,1440,AA843),CFG_WEM)-MAX(Z843,CFG_WSM)),0)</f>
        <v>0</v>
      </c>
      <c r="AL843" s="80">
        <f>IF(AND(AC843=1,AI843=1),MAX(0,MIN(AA843,CFG_WEM)-CFG_WSM),0)</f>
        <v>0</v>
      </c>
      <c r="AM843" s="80">
        <f>AK843+AL843</f>
        <v>0</v>
      </c>
      <c r="AN843" s="80">
        <f>IF(CFG_BRK="Proporcional",IF(AD843=0,0,AF843*AM843/AD843),IF(CFG_BRK="Extras primero",MIN(AM843,MAX(0,AF843-(AD843-AM843))),MIN(AF843,AM843)))</f>
        <v>0</v>
      </c>
      <c r="AO843" s="80">
        <f>AF843-AN843</f>
        <v>0</v>
      </c>
      <c r="AP843" s="80">
        <f>AM843-AN843</f>
        <v>0</v>
      </c>
      <c r="AQ843" s="80">
        <f>AD843-AM843-AO843</f>
        <v>0</v>
      </c>
      <c r="AR843" s="80">
        <f>IF(AM843=0,0,AK843-AN843*AK843/AM843)</f>
        <v>0</v>
      </c>
      <c r="AS843" s="80">
        <f>IF(AD843-AM843=0,0,(AJ843-AK843)-AO843*(AJ843-AK843)/(AD843-AM843))</f>
        <v>0</v>
      </c>
      <c r="AT843" s="80" t="str">
        <f>IF(AC843=1,INT(B843)+1,"")</f>
        <v/>
      </c>
      <c r="AU843" s="80">
        <f>IF(AND(D843="proMX",R843="Cancelled"),0,1)</f>
        <v>1</v>
      </c>
      <c r="AV843" s="80">
        <f>IF(AND(AB843=1,AU843=1),IF(COUNTIFS($D$5:D842,D843,$B$5:B842,B843,$Z$5:Z842,Z843,$AA$5:AA842,AA843,$F$5:F842,F843&amp;"",$AU$5:AU842,1)&gt;0,1,0),0)</f>
        <v>0</v>
      </c>
      <c r="AW843" s="80" t="str">
        <f>IF(AB843=1,INT(B843)*1440+Z843,"")</f>
        <v/>
      </c>
      <c r="AX843" s="80" t="str">
        <f>IF(AB843=1,AW843+AD843,"")</f>
        <v/>
      </c>
      <c r="AY843" s="80">
        <f>IF(AND(AB843=1,AV843=0,AU843=1),1,0)</f>
        <v>0</v>
      </c>
      <c r="AZ843" s="80">
        <f>IF(AY843=1,COUNTIFS(R_Emp,D843,R_SAbs,"&lt;"&amp;AX843,R_EAbs,"&gt;"&amp;AW843,R_OKey,1)-1,0)</f>
        <v>0</v>
      </c>
      <c r="BA843" s="80">
        <f>IF(AY843=1,COUNTIFS(R_Emp,"&lt;&gt;"&amp;D843,R_SAbs,"&lt;"&amp;AX843,R_EAbs,"&gt;"&amp;AW843,R_OKey,1),0)</f>
        <v>0</v>
      </c>
      <c r="BB843" s="80">
        <f>IF(AND(AB843=1,D843="proMX"),IF(AND(MOD(Z843,CFG_BLK)=0,MOD(AA843,CFG_BLK)=0,MOD(AG843,CFG_BLK)=0,AG843&gt;0),1,0),1)</f>
        <v>1</v>
      </c>
      <c r="BC843" s="80" t="str">
        <f>IF(Y843=0,"",IF(NOT(ISNUMBER(B843)),"Falta fecha o fecha inválida",IF(D843="","Falta empresa",IF(AND(D843&lt;&gt;"Malcolm",D843&lt;&gt;"proMX"),"Empresa inválida",IF(OR(INT(B843)&lt;CFG_PSTART,INT(B843)&gt;CFG_PEND),"Fecha fuera del período",IF(OR(NOT(ISNUMBER(Z843)),NOT(ISNUMBER(AA843))),"Falta hora inicio/fin o formato inválido",IF(AB843=0,"Hora inicio = hora fin",IF(AE843&lt;0,"Descanso inválido",IF(AE843&gt;=AD843,"Descanso ≥ duración",IF(AV843=1,"Registro duplicado",IF(AZ843&gt;0,"Se superpone con otro registro "&amp;D843,IF(BB843=0,"inicio, fin y duración neta deben ser múltiplos de "&amp;CFG_BLK&amp;" min",""))))))))))))</f>
        <v/>
      </c>
      <c r="BD843" s="80">
        <f>IF(AND(Y843=1,BC843=""),1,0)</f>
        <v>0</v>
      </c>
      <c r="BE843" s="80">
        <f>IF(AND(BD843=1,AU843=1),1,0)</f>
        <v>0</v>
      </c>
      <c r="BF843" s="80" t="str">
        <f>IF(AND(D843="proMX",BD843=1),IF(R843="","Draft",R843),"")</f>
        <v/>
      </c>
      <c r="BG843" s="80">
        <f>IF(BD843=1,ROUND(AG843/60,6),0)</f>
        <v>0</v>
      </c>
      <c r="BH843" s="80">
        <f>IF(BE843=1,ROUND(AG843/60,6),0)</f>
        <v>0</v>
      </c>
      <c r="BI843" s="80">
        <f>IF(BE843=1,ROUND(AP843/60,6),0)</f>
        <v>0</v>
      </c>
      <c r="BJ843" s="80">
        <f>IF(BE843=1,ROUND(AQ843/60,6),0)</f>
        <v>0</v>
      </c>
      <c r="BK843" s="80">
        <f>IF(BE843=1,ROUND((AR843+AS843)/60,6),0)</f>
        <v>0</v>
      </c>
      <c r="BL843" s="80">
        <f>ROUND(BH843-BK843,6)</f>
        <v>0</v>
      </c>
      <c r="BM843" s="80">
        <f>IF(BE843=1,ROUND(AR843/60,6),0)</f>
        <v>0</v>
      </c>
      <c r="BN843" s="80">
        <f>ROUND(BI843-BM843,6)</f>
        <v>0</v>
      </c>
      <c r="BO843" s="80">
        <f>IF(BE843=1,ROUND(AS843/60,6),0)</f>
        <v>0</v>
      </c>
      <c r="BP843" s="80">
        <f>ROUND(BJ843-BO843,6)</f>
        <v>0</v>
      </c>
      <c r="BQ843" s="80">
        <f>IF(BE843=1,AW843,0)</f>
        <v>0</v>
      </c>
      <c r="BR843" s="80">
        <f>IF(BE843=1,AX843,0)</f>
        <v>0</v>
      </c>
      <c r="BS843" s="80">
        <f>IF(AND(BE843=1,D843="Malcolm",BA843&gt;0),MIN(BH843,SUMPRODUCT((R_Emp="proMX")*(R_EN&gt;0)*((R_EN-(R_EN&gt;BR843)*(R_EN-BR843))&gt;(R_SN+(R_SN&lt;BQ843)*(BQ843-R_SN)))*((R_EN-(R_EN&gt;BR843)*(R_EN-BR843))-(R_SN+(R_SN&lt;BQ843)*(BQ843-R_SN))))/60),0)</f>
        <v>0</v>
      </c>
      <c r="BT843" s="80">
        <f>IF(AND(BE843=1,D843="proMX"),ROUND(BI843*CFG_RATE+BJ843*CFG_OTRATE,6),0)</f>
        <v>0</v>
      </c>
      <c r="BU843" s="80">
        <f>IF(AND(BD843=1,D843="proMX"),ROUND(AG843/CFG_BLK,6),0)</f>
        <v>0</v>
      </c>
      <c r="BV843" s="80" t="str">
        <f>IF(BF843="Approved",IF(ISNUMBER(T843),INT(T843),INT(B843)),"")</f>
        <v/>
      </c>
      <c r="BW843" s="80">
        <f>IF(ISNUMBER(B843),IF(DB_MON="Todos",1,IF(AND(INT(B843)&gt;=DB_MS,INT(B843)&lt;=DB_ME),1,0)),0)</f>
        <v>0</v>
      </c>
      <c r="BX843" s="80">
        <f>IF(DB_PROJ="Todos",1,IF(E843&amp;""=DB_PROJ&amp;"",1,0))</f>
        <v>1</v>
      </c>
      <c r="BY843" s="80">
        <f>BW843*BX843</f>
        <v>0</v>
      </c>
      <c r="BZ843" s="80" t="str">
        <f>IF(Y843=1,F843&amp;IF(AND(F843&amp;""&lt;&gt;"",E843&amp;""&lt;&gt;"")," · ","")&amp;E843,"")</f>
        <v/>
      </c>
      <c r="CA843" s="80" t="str">
        <f>IF(AND(BD843=1,E843&amp;""&lt;&gt;""),IF(COUNTIFS($E$5:E842,E843,$BD$5:BD842,1)=0,MAX($CA$5:CA842)+1,""),"")</f>
        <v/>
      </c>
      <c r="CB843" s="80" t="str">
        <f>IF(AND(BE843=1,D843="Malcolm",E843&amp;""&lt;&gt;""),IF(COUNTIFS($D$5:D842,"Malcolm",$E$5:E842,E843,$BE$5:BE842,1)=0,MAX($CB$5:CB842)+1,""),"")</f>
        <v/>
      </c>
      <c r="CC843" s="80" t="str">
        <f>IF(AND(BD843=1,D843="proMX",E843&amp;""&lt;&gt;""),IF(COUNTIFS($D$5:D842,"proMX",$E$5:E842,E843,$BD$5:BD842,1)=0,MAX($CC$5:CC842)+1,""),"")</f>
        <v/>
      </c>
      <c r="CD843" s="80" t="str">
        <f>IF(AND(BE843=1,D843="Malcolm",F843&amp;""&lt;&gt;""),IF(COUNTIFS($D$5:D842,"Malcolm",$F$5:F842,F843,$BE$5:BE842,1)=0,MAX($CD$5:CD842)+1,""),"")</f>
        <v/>
      </c>
      <c r="CE843" s="80" t="str">
        <f>IF(AND(BD843=1,D843="proMX",F843&amp;""&lt;&gt;""),IF(COUNTIFS($D$5:D842,"proMX",$F$5:F842,F843,$BD$5:BD842,1)=0,MAX($CE$5:CE842)+1,""),"")</f>
        <v/>
      </c>
      <c r="CF843" s="80" t="str">
        <f>IF(AND(D843="proMX",BD843=1),IF(OR(BF843="Draft",BF843="Submitted",BF843="Returned",BF843="Recall Requested"),MAX($CF$5:CF842)+1,""),"")</f>
        <v/>
      </c>
      <c r="CG843" s="80">
        <f>IF(BD843=0,0,IF(D843="Malcolm",1,MATCH(BF843,{"Draft","Submitted","Approved","Returned","Recall Requested","Cancelled"},0)+1))</f>
        <v>0</v>
      </c>
      <c r="CH843" s="80">
        <f>IF(AND(BF843="Submitted",ISNUMBER(V843)),IF(V843&gt;CFG_MAXD,1,0),0)</f>
        <v>0</v>
      </c>
    </row>
    <row r="844">
      <c r="A844" s="71" t="str">
        <f>IF(Y844=1,ROW()-5,"")</f>
        <v/>
      </c>
      <c r="B844" s="72" t="n"/>
      <c r="C844" s="71" t="str">
        <f>IF(ISNUMBER(B844),CHOOSE(WEEKDAY(B844,2),"Lun","Mar","Mié","Jue","Vie","Sáb","Dom"),"")</f>
        <v/>
      </c>
      <c r="D844" s="73" t="n"/>
      <c r="E844" s="74" t="n"/>
      <c r="F844" s="74" t="n"/>
      <c r="G844" s="74" t="n"/>
      <c r="H844" s="75" t="n"/>
      <c r="I844" s="75" t="n"/>
      <c r="J844" s="76" t="n"/>
      <c r="K844" s="77" t="str">
        <f>IF(AB844=1,ROUND(AG844/60,4),"")</f>
        <v/>
      </c>
      <c r="L844" s="77" t="str">
        <f>IF(BD844=1,ROUND(AP844/60,4),"")</f>
        <v/>
      </c>
      <c r="M844" s="77" t="str">
        <f>IF(BD844=1,ROUND(AQ844/60,4),"")</f>
        <v/>
      </c>
      <c r="N844" s="71" t="str">
        <f>IF(AND(D844="proMX",AB844=1),ROUND(AG844/CFG_BLK,2),"")</f>
        <v/>
      </c>
      <c r="O844" s="77" t="str">
        <f>IF(D844="proMX",IF(BD844=1,ROUND(AG844/60,4),0),"")</f>
        <v/>
      </c>
      <c r="P844" s="78" t="str">
        <f>IF(Y844=0,"",IF(BD844=1,"OK",IF(D844="proMX","Revisar bloques: ","Revisar: ")&amp;BC844))</f>
        <v/>
      </c>
      <c r="Q844" s="78" t="str">
        <f>IF(NOT(ISNUMBER(B844)),"",IF(COUNTIFS(FER_F,INT(B844))&gt;0,"Feriado"&amp;IF(AH844=1," (laborable)"," (no laborable)"),IF(AH844=1,"Laborable",IF(WEEKDAY(B844,2)&gt;5,"Fin de semana","No laborable"))))</f>
        <v/>
      </c>
      <c r="R844" s="73" t="n"/>
      <c r="S844" s="72" t="n"/>
      <c r="T844" s="72" t="n"/>
      <c r="U844" s="74" t="n"/>
      <c r="V844" s="79" t="str">
        <f>IF(AND(D844="proMX",OR(R844="Submitted",R844="Recall Requested"),ISNUMBER(S844)),CFG_TODAY-INT(S844),"")</f>
        <v/>
      </c>
      <c r="W844" s="78" t="str">
        <f>IF(BD844=0,"",IF(BA844&gt;0,"⚠ Se superpone con un registro de la otra empresa",IF(D844="Malcolm",IF(COUNTA(R844,S844,T844)&gt;0,"Estado/fechas proMX se ignoran en Malcolm",""),IF(BF844="Cancelled","Cancelado: excluido de totales",IF(R844="","Sin estado: se trata como Draft",IF(BF844="Submitted",IF(ISNUMBER(V844),IF(V844&gt;CFG_MAXD,"⚠ "&amp;V844&amp;" días en Submitted (máx. "&amp;CFG_MAXD&amp;")",""),"Falta fecha de envío"),IF(BF844="Returned","⚠ Devuelto: corregir y reenviar",IF(BF844="Recall Requested","Retirada solicitada: pendiente",IF(AND(BF844="Approved",NOT(ISNUMBER(T844))),"Falta fecha de aprobación",IF(AND(ISNUMBER(S844),ISNUMBER(T844),T844&lt;S844),"Aprobación anterior al envío","")))))))))</f>
        <v/>
      </c>
      <c r="Y844" s="80">
        <f>IF(COUNTA(B844,D844,E844,F844,G844,H844,I844,J844,R844,S844,T844)&gt;0,1,0)</f>
        <v>0</v>
      </c>
      <c r="Z844" s="80" t="str">
        <f>IF(AND(ISNUMBER(H844),H844&gt;=0,H844&lt;1),ROUND(H844*1440,0),"")</f>
        <v/>
      </c>
      <c r="AA844" s="80" t="str">
        <f>IF(AND(ISNUMBER(I844),I844&gt;=0,I844&lt;1),ROUND(I844*1440,0),"")</f>
        <v/>
      </c>
      <c r="AB844" s="80">
        <f>IF(AND(ISNUMBER(B844),D844&lt;&gt;"",ISNUMBER(Z844),ISNUMBER(AA844)),IF(Z844=AA844,0,1),0)</f>
        <v>0</v>
      </c>
      <c r="AC844" s="80">
        <f>IF(AB844=1,IF(AA844&lt;Z844,1,0),0)</f>
        <v>0</v>
      </c>
      <c r="AD844" s="80">
        <f>IF(AB844=1,IF(AC844=1,1440-Z844+AA844,AA844-Z844),0)</f>
        <v>0</v>
      </c>
      <c r="AE844" s="80">
        <f>IF(J844="",0,IF(ISNUMBER(J844),J844,-1))</f>
        <v>0</v>
      </c>
      <c r="AF844" s="80">
        <f>MIN(MAX(0,AE844),AD844)</f>
        <v>0</v>
      </c>
      <c r="AG844" s="80">
        <f>MAX(0,AD844-MAX(0,AE844))</f>
        <v>0</v>
      </c>
      <c r="AH844" s="80">
        <f>IF(ISNUMBER(B844),IF(AND(INDEX(CFG_WDAYS,WEEKDAY(INT(B844),2))="Sí",IF(D844="proMX",COUNTIFS(FER_F,INT(B844),FER_NLP,"Sí"),COUNTIFS(FER_F,INT(B844),FER_NLM,"Sí"))=0),1,0),0)</f>
        <v>0</v>
      </c>
      <c r="AI844" s="80">
        <f>IF(AC844=1,IF(AND(INDEX(CFG_WDAYS,WEEKDAY(INT(B844)+1,2))="Sí",IF(D844="proMX",COUNTIFS(FER_F,INT(B844)+1,FER_NLP,"Sí"),COUNTIFS(FER_F,INT(B844)+1,FER_NLM,"Sí"))=0),1,0),0)</f>
        <v>0</v>
      </c>
      <c r="AJ844" s="80">
        <f>IF(AC844=1,1440-Z844,AD844)</f>
        <v>0</v>
      </c>
      <c r="AK844" s="80">
        <f>IF(AND(AB844=1,AH844=1),MAX(0,MIN(IF(AC844=1,1440,AA844),CFG_WEM)-MAX(Z844,CFG_WSM)),0)</f>
        <v>0</v>
      </c>
      <c r="AL844" s="80">
        <f>IF(AND(AC844=1,AI844=1),MAX(0,MIN(AA844,CFG_WEM)-CFG_WSM),0)</f>
        <v>0</v>
      </c>
      <c r="AM844" s="80">
        <f>AK844+AL844</f>
        <v>0</v>
      </c>
      <c r="AN844" s="80">
        <f>IF(CFG_BRK="Proporcional",IF(AD844=0,0,AF844*AM844/AD844),IF(CFG_BRK="Extras primero",MIN(AM844,MAX(0,AF844-(AD844-AM844))),MIN(AF844,AM844)))</f>
        <v>0</v>
      </c>
      <c r="AO844" s="80">
        <f>AF844-AN844</f>
        <v>0</v>
      </c>
      <c r="AP844" s="80">
        <f>AM844-AN844</f>
        <v>0</v>
      </c>
      <c r="AQ844" s="80">
        <f>AD844-AM844-AO844</f>
        <v>0</v>
      </c>
      <c r="AR844" s="80">
        <f>IF(AM844=0,0,AK844-AN844*AK844/AM844)</f>
        <v>0</v>
      </c>
      <c r="AS844" s="80">
        <f>IF(AD844-AM844=0,0,(AJ844-AK844)-AO844*(AJ844-AK844)/(AD844-AM844))</f>
        <v>0</v>
      </c>
      <c r="AT844" s="80" t="str">
        <f>IF(AC844=1,INT(B844)+1,"")</f>
        <v/>
      </c>
      <c r="AU844" s="80">
        <f>IF(AND(D844="proMX",R844="Cancelled"),0,1)</f>
        <v>1</v>
      </c>
      <c r="AV844" s="80">
        <f>IF(AND(AB844=1,AU844=1),IF(COUNTIFS($D$5:D843,D844,$B$5:B843,B844,$Z$5:Z843,Z844,$AA$5:AA843,AA844,$F$5:F843,F844&amp;"",$AU$5:AU843,1)&gt;0,1,0),0)</f>
        <v>0</v>
      </c>
      <c r="AW844" s="80" t="str">
        <f>IF(AB844=1,INT(B844)*1440+Z844,"")</f>
        <v/>
      </c>
      <c r="AX844" s="80" t="str">
        <f>IF(AB844=1,AW844+AD844,"")</f>
        <v/>
      </c>
      <c r="AY844" s="80">
        <f>IF(AND(AB844=1,AV844=0,AU844=1),1,0)</f>
        <v>0</v>
      </c>
      <c r="AZ844" s="80">
        <f>IF(AY844=1,COUNTIFS(R_Emp,D844,R_SAbs,"&lt;"&amp;AX844,R_EAbs,"&gt;"&amp;AW844,R_OKey,1)-1,0)</f>
        <v>0</v>
      </c>
      <c r="BA844" s="80">
        <f>IF(AY844=1,COUNTIFS(R_Emp,"&lt;&gt;"&amp;D844,R_SAbs,"&lt;"&amp;AX844,R_EAbs,"&gt;"&amp;AW844,R_OKey,1),0)</f>
        <v>0</v>
      </c>
      <c r="BB844" s="80">
        <f>IF(AND(AB844=1,D844="proMX"),IF(AND(MOD(Z844,CFG_BLK)=0,MOD(AA844,CFG_BLK)=0,MOD(AG844,CFG_BLK)=0,AG844&gt;0),1,0),1)</f>
        <v>1</v>
      </c>
      <c r="BC844" s="80" t="str">
        <f>IF(Y844=0,"",IF(NOT(ISNUMBER(B844)),"Falta fecha o fecha inválida",IF(D844="","Falta empresa",IF(AND(D844&lt;&gt;"Malcolm",D844&lt;&gt;"proMX"),"Empresa inválida",IF(OR(INT(B844)&lt;CFG_PSTART,INT(B844)&gt;CFG_PEND),"Fecha fuera del período",IF(OR(NOT(ISNUMBER(Z844)),NOT(ISNUMBER(AA844))),"Falta hora inicio/fin o formato inválido",IF(AB844=0,"Hora inicio = hora fin",IF(AE844&lt;0,"Descanso inválido",IF(AE844&gt;=AD844,"Descanso ≥ duración",IF(AV844=1,"Registro duplicado",IF(AZ844&gt;0,"Se superpone con otro registro "&amp;D844,IF(BB844=0,"inicio, fin y duración neta deben ser múltiplos de "&amp;CFG_BLK&amp;" min",""))))))))))))</f>
        <v/>
      </c>
      <c r="BD844" s="80">
        <f>IF(AND(Y844=1,BC844=""),1,0)</f>
        <v>0</v>
      </c>
      <c r="BE844" s="80">
        <f>IF(AND(BD844=1,AU844=1),1,0)</f>
        <v>0</v>
      </c>
      <c r="BF844" s="80" t="str">
        <f>IF(AND(D844="proMX",BD844=1),IF(R844="","Draft",R844),"")</f>
        <v/>
      </c>
      <c r="BG844" s="80">
        <f>IF(BD844=1,ROUND(AG844/60,6),0)</f>
        <v>0</v>
      </c>
      <c r="BH844" s="80">
        <f>IF(BE844=1,ROUND(AG844/60,6),0)</f>
        <v>0</v>
      </c>
      <c r="BI844" s="80">
        <f>IF(BE844=1,ROUND(AP844/60,6),0)</f>
        <v>0</v>
      </c>
      <c r="BJ844" s="80">
        <f>IF(BE844=1,ROUND(AQ844/60,6),0)</f>
        <v>0</v>
      </c>
      <c r="BK844" s="80">
        <f>IF(BE844=1,ROUND((AR844+AS844)/60,6),0)</f>
        <v>0</v>
      </c>
      <c r="BL844" s="80">
        <f>ROUND(BH844-BK844,6)</f>
        <v>0</v>
      </c>
      <c r="BM844" s="80">
        <f>IF(BE844=1,ROUND(AR844/60,6),0)</f>
        <v>0</v>
      </c>
      <c r="BN844" s="80">
        <f>ROUND(BI844-BM844,6)</f>
        <v>0</v>
      </c>
      <c r="BO844" s="80">
        <f>IF(BE844=1,ROUND(AS844/60,6),0)</f>
        <v>0</v>
      </c>
      <c r="BP844" s="80">
        <f>ROUND(BJ844-BO844,6)</f>
        <v>0</v>
      </c>
      <c r="BQ844" s="80">
        <f>IF(BE844=1,AW844,0)</f>
        <v>0</v>
      </c>
      <c r="BR844" s="80">
        <f>IF(BE844=1,AX844,0)</f>
        <v>0</v>
      </c>
      <c r="BS844" s="80">
        <f>IF(AND(BE844=1,D844="Malcolm",BA844&gt;0),MIN(BH844,SUMPRODUCT((R_Emp="proMX")*(R_EN&gt;0)*((R_EN-(R_EN&gt;BR844)*(R_EN-BR844))&gt;(R_SN+(R_SN&lt;BQ844)*(BQ844-R_SN)))*((R_EN-(R_EN&gt;BR844)*(R_EN-BR844))-(R_SN+(R_SN&lt;BQ844)*(BQ844-R_SN))))/60),0)</f>
        <v>0</v>
      </c>
      <c r="BT844" s="80">
        <f>IF(AND(BE844=1,D844="proMX"),ROUND(BI844*CFG_RATE+BJ844*CFG_OTRATE,6),0)</f>
        <v>0</v>
      </c>
      <c r="BU844" s="80">
        <f>IF(AND(BD844=1,D844="proMX"),ROUND(AG844/CFG_BLK,6),0)</f>
        <v>0</v>
      </c>
      <c r="BV844" s="80" t="str">
        <f>IF(BF844="Approved",IF(ISNUMBER(T844),INT(T844),INT(B844)),"")</f>
        <v/>
      </c>
      <c r="BW844" s="80">
        <f>IF(ISNUMBER(B844),IF(DB_MON="Todos",1,IF(AND(INT(B844)&gt;=DB_MS,INT(B844)&lt;=DB_ME),1,0)),0)</f>
        <v>0</v>
      </c>
      <c r="BX844" s="80">
        <f>IF(DB_PROJ="Todos",1,IF(E844&amp;""=DB_PROJ&amp;"",1,0))</f>
        <v>1</v>
      </c>
      <c r="BY844" s="80">
        <f>BW844*BX844</f>
        <v>0</v>
      </c>
      <c r="BZ844" s="80" t="str">
        <f>IF(Y844=1,F844&amp;IF(AND(F844&amp;""&lt;&gt;"",E844&amp;""&lt;&gt;"")," · ","")&amp;E844,"")</f>
        <v/>
      </c>
      <c r="CA844" s="80" t="str">
        <f>IF(AND(BD844=1,E844&amp;""&lt;&gt;""),IF(COUNTIFS($E$5:E843,E844,$BD$5:BD843,1)=0,MAX($CA$5:CA843)+1,""),"")</f>
        <v/>
      </c>
      <c r="CB844" s="80" t="str">
        <f>IF(AND(BE844=1,D844="Malcolm",E844&amp;""&lt;&gt;""),IF(COUNTIFS($D$5:D843,"Malcolm",$E$5:E843,E844,$BE$5:BE843,1)=0,MAX($CB$5:CB843)+1,""),"")</f>
        <v/>
      </c>
      <c r="CC844" s="80" t="str">
        <f>IF(AND(BD844=1,D844="proMX",E844&amp;""&lt;&gt;""),IF(COUNTIFS($D$5:D843,"proMX",$E$5:E843,E844,$BD$5:BD843,1)=0,MAX($CC$5:CC843)+1,""),"")</f>
        <v/>
      </c>
      <c r="CD844" s="80" t="str">
        <f>IF(AND(BE844=1,D844="Malcolm",F844&amp;""&lt;&gt;""),IF(COUNTIFS($D$5:D843,"Malcolm",$F$5:F843,F844,$BE$5:BE843,1)=0,MAX($CD$5:CD843)+1,""),"")</f>
        <v/>
      </c>
      <c r="CE844" s="80" t="str">
        <f>IF(AND(BD844=1,D844="proMX",F844&amp;""&lt;&gt;""),IF(COUNTIFS($D$5:D843,"proMX",$F$5:F843,F844,$BD$5:BD843,1)=0,MAX($CE$5:CE843)+1,""),"")</f>
        <v/>
      </c>
      <c r="CF844" s="80" t="str">
        <f>IF(AND(D844="proMX",BD844=1),IF(OR(BF844="Draft",BF844="Submitted",BF844="Returned",BF844="Recall Requested"),MAX($CF$5:CF843)+1,""),"")</f>
        <v/>
      </c>
      <c r="CG844" s="80">
        <f>IF(BD844=0,0,IF(D844="Malcolm",1,MATCH(BF844,{"Draft","Submitted","Approved","Returned","Recall Requested","Cancelled"},0)+1))</f>
        <v>0</v>
      </c>
      <c r="CH844" s="80">
        <f>IF(AND(BF844="Submitted",ISNUMBER(V844)),IF(V844&gt;CFG_MAXD,1,0),0)</f>
        <v>0</v>
      </c>
    </row>
    <row r="845">
      <c r="A845" s="71" t="str">
        <f>IF(Y845=1,ROW()-5,"")</f>
        <v/>
      </c>
      <c r="B845" s="72" t="n"/>
      <c r="C845" s="71" t="str">
        <f>IF(ISNUMBER(B845),CHOOSE(WEEKDAY(B845,2),"Lun","Mar","Mié","Jue","Vie","Sáb","Dom"),"")</f>
        <v/>
      </c>
      <c r="D845" s="73" t="n"/>
      <c r="E845" s="74" t="n"/>
      <c r="F845" s="74" t="n"/>
      <c r="G845" s="74" t="n"/>
      <c r="H845" s="75" t="n"/>
      <c r="I845" s="75" t="n"/>
      <c r="J845" s="76" t="n"/>
      <c r="K845" s="77" t="str">
        <f>IF(AB845=1,ROUND(AG845/60,4),"")</f>
        <v/>
      </c>
      <c r="L845" s="77" t="str">
        <f>IF(BD845=1,ROUND(AP845/60,4),"")</f>
        <v/>
      </c>
      <c r="M845" s="77" t="str">
        <f>IF(BD845=1,ROUND(AQ845/60,4),"")</f>
        <v/>
      </c>
      <c r="N845" s="71" t="str">
        <f>IF(AND(D845="proMX",AB845=1),ROUND(AG845/CFG_BLK,2),"")</f>
        <v/>
      </c>
      <c r="O845" s="77" t="str">
        <f>IF(D845="proMX",IF(BD845=1,ROUND(AG845/60,4),0),"")</f>
        <v/>
      </c>
      <c r="P845" s="78" t="str">
        <f>IF(Y845=0,"",IF(BD845=1,"OK",IF(D845="proMX","Revisar bloques: ","Revisar: ")&amp;BC845))</f>
        <v/>
      </c>
      <c r="Q845" s="78" t="str">
        <f>IF(NOT(ISNUMBER(B845)),"",IF(COUNTIFS(FER_F,INT(B845))&gt;0,"Feriado"&amp;IF(AH845=1," (laborable)"," (no laborable)"),IF(AH845=1,"Laborable",IF(WEEKDAY(B845,2)&gt;5,"Fin de semana","No laborable"))))</f>
        <v/>
      </c>
      <c r="R845" s="73" t="n"/>
      <c r="S845" s="72" t="n"/>
      <c r="T845" s="72" t="n"/>
      <c r="U845" s="74" t="n"/>
      <c r="V845" s="79" t="str">
        <f>IF(AND(D845="proMX",OR(R845="Submitted",R845="Recall Requested"),ISNUMBER(S845)),CFG_TODAY-INT(S845),"")</f>
        <v/>
      </c>
      <c r="W845" s="78" t="str">
        <f>IF(BD845=0,"",IF(BA845&gt;0,"⚠ Se superpone con un registro de la otra empresa",IF(D845="Malcolm",IF(COUNTA(R845,S845,T845)&gt;0,"Estado/fechas proMX se ignoran en Malcolm",""),IF(BF845="Cancelled","Cancelado: excluido de totales",IF(R845="","Sin estado: se trata como Draft",IF(BF845="Submitted",IF(ISNUMBER(V845),IF(V845&gt;CFG_MAXD,"⚠ "&amp;V845&amp;" días en Submitted (máx. "&amp;CFG_MAXD&amp;")",""),"Falta fecha de envío"),IF(BF845="Returned","⚠ Devuelto: corregir y reenviar",IF(BF845="Recall Requested","Retirada solicitada: pendiente",IF(AND(BF845="Approved",NOT(ISNUMBER(T845))),"Falta fecha de aprobación",IF(AND(ISNUMBER(S845),ISNUMBER(T845),T845&lt;S845),"Aprobación anterior al envío","")))))))))</f>
        <v/>
      </c>
      <c r="Y845" s="80">
        <f>IF(COUNTA(B845,D845,E845,F845,G845,H845,I845,J845,R845,S845,T845)&gt;0,1,0)</f>
        <v>0</v>
      </c>
      <c r="Z845" s="80" t="str">
        <f>IF(AND(ISNUMBER(H845),H845&gt;=0,H845&lt;1),ROUND(H845*1440,0),"")</f>
        <v/>
      </c>
      <c r="AA845" s="80" t="str">
        <f>IF(AND(ISNUMBER(I845),I845&gt;=0,I845&lt;1),ROUND(I845*1440,0),"")</f>
        <v/>
      </c>
      <c r="AB845" s="80">
        <f>IF(AND(ISNUMBER(B845),D845&lt;&gt;"",ISNUMBER(Z845),ISNUMBER(AA845)),IF(Z845=AA845,0,1),0)</f>
        <v>0</v>
      </c>
      <c r="AC845" s="80">
        <f>IF(AB845=1,IF(AA845&lt;Z845,1,0),0)</f>
        <v>0</v>
      </c>
      <c r="AD845" s="80">
        <f>IF(AB845=1,IF(AC845=1,1440-Z845+AA845,AA845-Z845),0)</f>
        <v>0</v>
      </c>
      <c r="AE845" s="80">
        <f>IF(J845="",0,IF(ISNUMBER(J845),J845,-1))</f>
        <v>0</v>
      </c>
      <c r="AF845" s="80">
        <f>MIN(MAX(0,AE845),AD845)</f>
        <v>0</v>
      </c>
      <c r="AG845" s="80">
        <f>MAX(0,AD845-MAX(0,AE845))</f>
        <v>0</v>
      </c>
      <c r="AH845" s="80">
        <f>IF(ISNUMBER(B845),IF(AND(INDEX(CFG_WDAYS,WEEKDAY(INT(B845),2))="Sí",IF(D845="proMX",COUNTIFS(FER_F,INT(B845),FER_NLP,"Sí"),COUNTIFS(FER_F,INT(B845),FER_NLM,"Sí"))=0),1,0),0)</f>
        <v>0</v>
      </c>
      <c r="AI845" s="80">
        <f>IF(AC845=1,IF(AND(INDEX(CFG_WDAYS,WEEKDAY(INT(B845)+1,2))="Sí",IF(D845="proMX",COUNTIFS(FER_F,INT(B845)+1,FER_NLP,"Sí"),COUNTIFS(FER_F,INT(B845)+1,FER_NLM,"Sí"))=0),1,0),0)</f>
        <v>0</v>
      </c>
      <c r="AJ845" s="80">
        <f>IF(AC845=1,1440-Z845,AD845)</f>
        <v>0</v>
      </c>
      <c r="AK845" s="80">
        <f>IF(AND(AB845=1,AH845=1),MAX(0,MIN(IF(AC845=1,1440,AA845),CFG_WEM)-MAX(Z845,CFG_WSM)),0)</f>
        <v>0</v>
      </c>
      <c r="AL845" s="80">
        <f>IF(AND(AC845=1,AI845=1),MAX(0,MIN(AA845,CFG_WEM)-CFG_WSM),0)</f>
        <v>0</v>
      </c>
      <c r="AM845" s="80">
        <f>AK845+AL845</f>
        <v>0</v>
      </c>
      <c r="AN845" s="80">
        <f>IF(CFG_BRK="Proporcional",IF(AD845=0,0,AF845*AM845/AD845),IF(CFG_BRK="Extras primero",MIN(AM845,MAX(0,AF845-(AD845-AM845))),MIN(AF845,AM845)))</f>
        <v>0</v>
      </c>
      <c r="AO845" s="80">
        <f>AF845-AN845</f>
        <v>0</v>
      </c>
      <c r="AP845" s="80">
        <f>AM845-AN845</f>
        <v>0</v>
      </c>
      <c r="AQ845" s="80">
        <f>AD845-AM845-AO845</f>
        <v>0</v>
      </c>
      <c r="AR845" s="80">
        <f>IF(AM845=0,0,AK845-AN845*AK845/AM845)</f>
        <v>0</v>
      </c>
      <c r="AS845" s="80">
        <f>IF(AD845-AM845=0,0,(AJ845-AK845)-AO845*(AJ845-AK845)/(AD845-AM845))</f>
        <v>0</v>
      </c>
      <c r="AT845" s="80" t="str">
        <f>IF(AC845=1,INT(B845)+1,"")</f>
        <v/>
      </c>
      <c r="AU845" s="80">
        <f>IF(AND(D845="proMX",R845="Cancelled"),0,1)</f>
        <v>1</v>
      </c>
      <c r="AV845" s="80">
        <f>IF(AND(AB845=1,AU845=1),IF(COUNTIFS($D$5:D844,D845,$B$5:B844,B845,$Z$5:Z844,Z845,$AA$5:AA844,AA845,$F$5:F844,F845&amp;"",$AU$5:AU844,1)&gt;0,1,0),0)</f>
        <v>0</v>
      </c>
      <c r="AW845" s="80" t="str">
        <f>IF(AB845=1,INT(B845)*1440+Z845,"")</f>
        <v/>
      </c>
      <c r="AX845" s="80" t="str">
        <f>IF(AB845=1,AW845+AD845,"")</f>
        <v/>
      </c>
      <c r="AY845" s="80">
        <f>IF(AND(AB845=1,AV845=0,AU845=1),1,0)</f>
        <v>0</v>
      </c>
      <c r="AZ845" s="80">
        <f>IF(AY845=1,COUNTIFS(R_Emp,D845,R_SAbs,"&lt;"&amp;AX845,R_EAbs,"&gt;"&amp;AW845,R_OKey,1)-1,0)</f>
        <v>0</v>
      </c>
      <c r="BA845" s="80">
        <f>IF(AY845=1,COUNTIFS(R_Emp,"&lt;&gt;"&amp;D845,R_SAbs,"&lt;"&amp;AX845,R_EAbs,"&gt;"&amp;AW845,R_OKey,1),0)</f>
        <v>0</v>
      </c>
      <c r="BB845" s="80">
        <f>IF(AND(AB845=1,D845="proMX"),IF(AND(MOD(Z845,CFG_BLK)=0,MOD(AA845,CFG_BLK)=0,MOD(AG845,CFG_BLK)=0,AG845&gt;0),1,0),1)</f>
        <v>1</v>
      </c>
      <c r="BC845" s="80" t="str">
        <f>IF(Y845=0,"",IF(NOT(ISNUMBER(B845)),"Falta fecha o fecha inválida",IF(D845="","Falta empresa",IF(AND(D845&lt;&gt;"Malcolm",D845&lt;&gt;"proMX"),"Empresa inválida",IF(OR(INT(B845)&lt;CFG_PSTART,INT(B845)&gt;CFG_PEND),"Fecha fuera del período",IF(OR(NOT(ISNUMBER(Z845)),NOT(ISNUMBER(AA845))),"Falta hora inicio/fin o formato inválido",IF(AB845=0,"Hora inicio = hora fin",IF(AE845&lt;0,"Descanso inválido",IF(AE845&gt;=AD845,"Descanso ≥ duración",IF(AV845=1,"Registro duplicado",IF(AZ845&gt;0,"Se superpone con otro registro "&amp;D845,IF(BB845=0,"inicio, fin y duración neta deben ser múltiplos de "&amp;CFG_BLK&amp;" min",""))))))))))))</f>
        <v/>
      </c>
      <c r="BD845" s="80">
        <f>IF(AND(Y845=1,BC845=""),1,0)</f>
        <v>0</v>
      </c>
      <c r="BE845" s="80">
        <f>IF(AND(BD845=1,AU845=1),1,0)</f>
        <v>0</v>
      </c>
      <c r="BF845" s="80" t="str">
        <f>IF(AND(D845="proMX",BD845=1),IF(R845="","Draft",R845),"")</f>
        <v/>
      </c>
      <c r="BG845" s="80">
        <f>IF(BD845=1,ROUND(AG845/60,6),0)</f>
        <v>0</v>
      </c>
      <c r="BH845" s="80">
        <f>IF(BE845=1,ROUND(AG845/60,6),0)</f>
        <v>0</v>
      </c>
      <c r="BI845" s="80">
        <f>IF(BE845=1,ROUND(AP845/60,6),0)</f>
        <v>0</v>
      </c>
      <c r="BJ845" s="80">
        <f>IF(BE845=1,ROUND(AQ845/60,6),0)</f>
        <v>0</v>
      </c>
      <c r="BK845" s="80">
        <f>IF(BE845=1,ROUND((AR845+AS845)/60,6),0)</f>
        <v>0</v>
      </c>
      <c r="BL845" s="80">
        <f>ROUND(BH845-BK845,6)</f>
        <v>0</v>
      </c>
      <c r="BM845" s="80">
        <f>IF(BE845=1,ROUND(AR845/60,6),0)</f>
        <v>0</v>
      </c>
      <c r="BN845" s="80">
        <f>ROUND(BI845-BM845,6)</f>
        <v>0</v>
      </c>
      <c r="BO845" s="80">
        <f>IF(BE845=1,ROUND(AS845/60,6),0)</f>
        <v>0</v>
      </c>
      <c r="BP845" s="80">
        <f>ROUND(BJ845-BO845,6)</f>
        <v>0</v>
      </c>
      <c r="BQ845" s="80">
        <f>IF(BE845=1,AW845,0)</f>
        <v>0</v>
      </c>
      <c r="BR845" s="80">
        <f>IF(BE845=1,AX845,0)</f>
        <v>0</v>
      </c>
      <c r="BS845" s="80">
        <f>IF(AND(BE845=1,D845="Malcolm",BA845&gt;0),MIN(BH845,SUMPRODUCT((R_Emp="proMX")*(R_EN&gt;0)*((R_EN-(R_EN&gt;BR845)*(R_EN-BR845))&gt;(R_SN+(R_SN&lt;BQ845)*(BQ845-R_SN)))*((R_EN-(R_EN&gt;BR845)*(R_EN-BR845))-(R_SN+(R_SN&lt;BQ845)*(BQ845-R_SN))))/60),0)</f>
        <v>0</v>
      </c>
      <c r="BT845" s="80">
        <f>IF(AND(BE845=1,D845="proMX"),ROUND(BI845*CFG_RATE+BJ845*CFG_OTRATE,6),0)</f>
        <v>0</v>
      </c>
      <c r="BU845" s="80">
        <f>IF(AND(BD845=1,D845="proMX"),ROUND(AG845/CFG_BLK,6),0)</f>
        <v>0</v>
      </c>
      <c r="BV845" s="80" t="str">
        <f>IF(BF845="Approved",IF(ISNUMBER(T845),INT(T845),INT(B845)),"")</f>
        <v/>
      </c>
      <c r="BW845" s="80">
        <f>IF(ISNUMBER(B845),IF(DB_MON="Todos",1,IF(AND(INT(B845)&gt;=DB_MS,INT(B845)&lt;=DB_ME),1,0)),0)</f>
        <v>0</v>
      </c>
      <c r="BX845" s="80">
        <f>IF(DB_PROJ="Todos",1,IF(E845&amp;""=DB_PROJ&amp;"",1,0))</f>
        <v>1</v>
      </c>
      <c r="BY845" s="80">
        <f>BW845*BX845</f>
        <v>0</v>
      </c>
      <c r="BZ845" s="80" t="str">
        <f>IF(Y845=1,F845&amp;IF(AND(F845&amp;""&lt;&gt;"",E845&amp;""&lt;&gt;"")," · ","")&amp;E845,"")</f>
        <v/>
      </c>
      <c r="CA845" s="80" t="str">
        <f>IF(AND(BD845=1,E845&amp;""&lt;&gt;""),IF(COUNTIFS($E$5:E844,E845,$BD$5:BD844,1)=0,MAX($CA$5:CA844)+1,""),"")</f>
        <v/>
      </c>
      <c r="CB845" s="80" t="str">
        <f>IF(AND(BE845=1,D845="Malcolm",E845&amp;""&lt;&gt;""),IF(COUNTIFS($D$5:D844,"Malcolm",$E$5:E844,E845,$BE$5:BE844,1)=0,MAX($CB$5:CB844)+1,""),"")</f>
        <v/>
      </c>
      <c r="CC845" s="80" t="str">
        <f>IF(AND(BD845=1,D845="proMX",E845&amp;""&lt;&gt;""),IF(COUNTIFS($D$5:D844,"proMX",$E$5:E844,E845,$BD$5:BD844,1)=0,MAX($CC$5:CC844)+1,""),"")</f>
        <v/>
      </c>
      <c r="CD845" s="80" t="str">
        <f>IF(AND(BE845=1,D845="Malcolm",F845&amp;""&lt;&gt;""),IF(COUNTIFS($D$5:D844,"Malcolm",$F$5:F844,F845,$BE$5:BE844,1)=0,MAX($CD$5:CD844)+1,""),"")</f>
        <v/>
      </c>
      <c r="CE845" s="80" t="str">
        <f>IF(AND(BD845=1,D845="proMX",F845&amp;""&lt;&gt;""),IF(COUNTIFS($D$5:D844,"proMX",$F$5:F844,F845,$BD$5:BD844,1)=0,MAX($CE$5:CE844)+1,""),"")</f>
        <v/>
      </c>
      <c r="CF845" s="80" t="str">
        <f>IF(AND(D845="proMX",BD845=1),IF(OR(BF845="Draft",BF845="Submitted",BF845="Returned",BF845="Recall Requested"),MAX($CF$5:CF844)+1,""),"")</f>
        <v/>
      </c>
      <c r="CG845" s="80">
        <f>IF(BD845=0,0,IF(D845="Malcolm",1,MATCH(BF845,{"Draft","Submitted","Approved","Returned","Recall Requested","Cancelled"},0)+1))</f>
        <v>0</v>
      </c>
      <c r="CH845" s="80">
        <f>IF(AND(BF845="Submitted",ISNUMBER(V845)),IF(V845&gt;CFG_MAXD,1,0),0)</f>
        <v>0</v>
      </c>
    </row>
    <row r="846">
      <c r="A846" s="71" t="str">
        <f>IF(Y846=1,ROW()-5,"")</f>
        <v/>
      </c>
      <c r="B846" s="72" t="n"/>
      <c r="C846" s="71" t="str">
        <f>IF(ISNUMBER(B846),CHOOSE(WEEKDAY(B846,2),"Lun","Mar","Mié","Jue","Vie","Sáb","Dom"),"")</f>
        <v/>
      </c>
      <c r="D846" s="73" t="n"/>
      <c r="E846" s="74" t="n"/>
      <c r="F846" s="74" t="n"/>
      <c r="G846" s="74" t="n"/>
      <c r="H846" s="75" t="n"/>
      <c r="I846" s="75" t="n"/>
      <c r="J846" s="76" t="n"/>
      <c r="K846" s="77" t="str">
        <f>IF(AB846=1,ROUND(AG846/60,4),"")</f>
        <v/>
      </c>
      <c r="L846" s="77" t="str">
        <f>IF(BD846=1,ROUND(AP846/60,4),"")</f>
        <v/>
      </c>
      <c r="M846" s="77" t="str">
        <f>IF(BD846=1,ROUND(AQ846/60,4),"")</f>
        <v/>
      </c>
      <c r="N846" s="71" t="str">
        <f>IF(AND(D846="proMX",AB846=1),ROUND(AG846/CFG_BLK,2),"")</f>
        <v/>
      </c>
      <c r="O846" s="77" t="str">
        <f>IF(D846="proMX",IF(BD846=1,ROUND(AG846/60,4),0),"")</f>
        <v/>
      </c>
      <c r="P846" s="78" t="str">
        <f>IF(Y846=0,"",IF(BD846=1,"OK",IF(D846="proMX","Revisar bloques: ","Revisar: ")&amp;BC846))</f>
        <v/>
      </c>
      <c r="Q846" s="78" t="str">
        <f>IF(NOT(ISNUMBER(B846)),"",IF(COUNTIFS(FER_F,INT(B846))&gt;0,"Feriado"&amp;IF(AH846=1," (laborable)"," (no laborable)"),IF(AH846=1,"Laborable",IF(WEEKDAY(B846,2)&gt;5,"Fin de semana","No laborable"))))</f>
        <v/>
      </c>
      <c r="R846" s="73" t="n"/>
      <c r="S846" s="72" t="n"/>
      <c r="T846" s="72" t="n"/>
      <c r="U846" s="74" t="n"/>
      <c r="V846" s="79" t="str">
        <f>IF(AND(D846="proMX",OR(R846="Submitted",R846="Recall Requested"),ISNUMBER(S846)),CFG_TODAY-INT(S846),"")</f>
        <v/>
      </c>
      <c r="W846" s="78" t="str">
        <f>IF(BD846=0,"",IF(BA846&gt;0,"⚠ Se superpone con un registro de la otra empresa",IF(D846="Malcolm",IF(COUNTA(R846,S846,T846)&gt;0,"Estado/fechas proMX se ignoran en Malcolm",""),IF(BF846="Cancelled","Cancelado: excluido de totales",IF(R846="","Sin estado: se trata como Draft",IF(BF846="Submitted",IF(ISNUMBER(V846),IF(V846&gt;CFG_MAXD,"⚠ "&amp;V846&amp;" días en Submitted (máx. "&amp;CFG_MAXD&amp;")",""),"Falta fecha de envío"),IF(BF846="Returned","⚠ Devuelto: corregir y reenviar",IF(BF846="Recall Requested","Retirada solicitada: pendiente",IF(AND(BF846="Approved",NOT(ISNUMBER(T846))),"Falta fecha de aprobación",IF(AND(ISNUMBER(S846),ISNUMBER(T846),T846&lt;S846),"Aprobación anterior al envío","")))))))))</f>
        <v/>
      </c>
      <c r="Y846" s="80">
        <f>IF(COUNTA(B846,D846,E846,F846,G846,H846,I846,J846,R846,S846,T846)&gt;0,1,0)</f>
        <v>0</v>
      </c>
      <c r="Z846" s="80" t="str">
        <f>IF(AND(ISNUMBER(H846),H846&gt;=0,H846&lt;1),ROUND(H846*1440,0),"")</f>
        <v/>
      </c>
      <c r="AA846" s="80" t="str">
        <f>IF(AND(ISNUMBER(I846),I846&gt;=0,I846&lt;1),ROUND(I846*1440,0),"")</f>
        <v/>
      </c>
      <c r="AB846" s="80">
        <f>IF(AND(ISNUMBER(B846),D846&lt;&gt;"",ISNUMBER(Z846),ISNUMBER(AA846)),IF(Z846=AA846,0,1),0)</f>
        <v>0</v>
      </c>
      <c r="AC846" s="80">
        <f>IF(AB846=1,IF(AA846&lt;Z846,1,0),0)</f>
        <v>0</v>
      </c>
      <c r="AD846" s="80">
        <f>IF(AB846=1,IF(AC846=1,1440-Z846+AA846,AA846-Z846),0)</f>
        <v>0</v>
      </c>
      <c r="AE846" s="80">
        <f>IF(J846="",0,IF(ISNUMBER(J846),J846,-1))</f>
        <v>0</v>
      </c>
      <c r="AF846" s="80">
        <f>MIN(MAX(0,AE846),AD846)</f>
        <v>0</v>
      </c>
      <c r="AG846" s="80">
        <f>MAX(0,AD846-MAX(0,AE846))</f>
        <v>0</v>
      </c>
      <c r="AH846" s="80">
        <f>IF(ISNUMBER(B846),IF(AND(INDEX(CFG_WDAYS,WEEKDAY(INT(B846),2))="Sí",IF(D846="proMX",COUNTIFS(FER_F,INT(B846),FER_NLP,"Sí"),COUNTIFS(FER_F,INT(B846),FER_NLM,"Sí"))=0),1,0),0)</f>
        <v>0</v>
      </c>
      <c r="AI846" s="80">
        <f>IF(AC846=1,IF(AND(INDEX(CFG_WDAYS,WEEKDAY(INT(B846)+1,2))="Sí",IF(D846="proMX",COUNTIFS(FER_F,INT(B846)+1,FER_NLP,"Sí"),COUNTIFS(FER_F,INT(B846)+1,FER_NLM,"Sí"))=0),1,0),0)</f>
        <v>0</v>
      </c>
      <c r="AJ846" s="80">
        <f>IF(AC846=1,1440-Z846,AD846)</f>
        <v>0</v>
      </c>
      <c r="AK846" s="80">
        <f>IF(AND(AB846=1,AH846=1),MAX(0,MIN(IF(AC846=1,1440,AA846),CFG_WEM)-MAX(Z846,CFG_WSM)),0)</f>
        <v>0</v>
      </c>
      <c r="AL846" s="80">
        <f>IF(AND(AC846=1,AI846=1),MAX(0,MIN(AA846,CFG_WEM)-CFG_WSM),0)</f>
        <v>0</v>
      </c>
      <c r="AM846" s="80">
        <f>AK846+AL846</f>
        <v>0</v>
      </c>
      <c r="AN846" s="80">
        <f>IF(CFG_BRK="Proporcional",IF(AD846=0,0,AF846*AM846/AD846),IF(CFG_BRK="Extras primero",MIN(AM846,MAX(0,AF846-(AD846-AM846))),MIN(AF846,AM846)))</f>
        <v>0</v>
      </c>
      <c r="AO846" s="80">
        <f>AF846-AN846</f>
        <v>0</v>
      </c>
      <c r="AP846" s="80">
        <f>AM846-AN846</f>
        <v>0</v>
      </c>
      <c r="AQ846" s="80">
        <f>AD846-AM846-AO846</f>
        <v>0</v>
      </c>
      <c r="AR846" s="80">
        <f>IF(AM846=0,0,AK846-AN846*AK846/AM846)</f>
        <v>0</v>
      </c>
      <c r="AS846" s="80">
        <f>IF(AD846-AM846=0,0,(AJ846-AK846)-AO846*(AJ846-AK846)/(AD846-AM846))</f>
        <v>0</v>
      </c>
      <c r="AT846" s="80" t="str">
        <f>IF(AC846=1,INT(B846)+1,"")</f>
        <v/>
      </c>
      <c r="AU846" s="80">
        <f>IF(AND(D846="proMX",R846="Cancelled"),0,1)</f>
        <v>1</v>
      </c>
      <c r="AV846" s="80">
        <f>IF(AND(AB846=1,AU846=1),IF(COUNTIFS($D$5:D845,D846,$B$5:B845,B846,$Z$5:Z845,Z846,$AA$5:AA845,AA846,$F$5:F845,F846&amp;"",$AU$5:AU845,1)&gt;0,1,0),0)</f>
        <v>0</v>
      </c>
      <c r="AW846" s="80" t="str">
        <f>IF(AB846=1,INT(B846)*1440+Z846,"")</f>
        <v/>
      </c>
      <c r="AX846" s="80" t="str">
        <f>IF(AB846=1,AW846+AD846,"")</f>
        <v/>
      </c>
      <c r="AY846" s="80">
        <f>IF(AND(AB846=1,AV846=0,AU846=1),1,0)</f>
        <v>0</v>
      </c>
      <c r="AZ846" s="80">
        <f>IF(AY846=1,COUNTIFS(R_Emp,D846,R_SAbs,"&lt;"&amp;AX846,R_EAbs,"&gt;"&amp;AW846,R_OKey,1)-1,0)</f>
        <v>0</v>
      </c>
      <c r="BA846" s="80">
        <f>IF(AY846=1,COUNTIFS(R_Emp,"&lt;&gt;"&amp;D846,R_SAbs,"&lt;"&amp;AX846,R_EAbs,"&gt;"&amp;AW846,R_OKey,1),0)</f>
        <v>0</v>
      </c>
      <c r="BB846" s="80">
        <f>IF(AND(AB846=1,D846="proMX"),IF(AND(MOD(Z846,CFG_BLK)=0,MOD(AA846,CFG_BLK)=0,MOD(AG846,CFG_BLK)=0,AG846&gt;0),1,0),1)</f>
        <v>1</v>
      </c>
      <c r="BC846" s="80" t="str">
        <f>IF(Y846=0,"",IF(NOT(ISNUMBER(B846)),"Falta fecha o fecha inválida",IF(D846="","Falta empresa",IF(AND(D846&lt;&gt;"Malcolm",D846&lt;&gt;"proMX"),"Empresa inválida",IF(OR(INT(B846)&lt;CFG_PSTART,INT(B846)&gt;CFG_PEND),"Fecha fuera del período",IF(OR(NOT(ISNUMBER(Z846)),NOT(ISNUMBER(AA846))),"Falta hora inicio/fin o formato inválido",IF(AB846=0,"Hora inicio = hora fin",IF(AE846&lt;0,"Descanso inválido",IF(AE846&gt;=AD846,"Descanso ≥ duración",IF(AV846=1,"Registro duplicado",IF(AZ846&gt;0,"Se superpone con otro registro "&amp;D846,IF(BB846=0,"inicio, fin y duración neta deben ser múltiplos de "&amp;CFG_BLK&amp;" min",""))))))))))))</f>
        <v/>
      </c>
      <c r="BD846" s="80">
        <f>IF(AND(Y846=1,BC846=""),1,0)</f>
        <v>0</v>
      </c>
      <c r="BE846" s="80">
        <f>IF(AND(BD846=1,AU846=1),1,0)</f>
        <v>0</v>
      </c>
      <c r="BF846" s="80" t="str">
        <f>IF(AND(D846="proMX",BD846=1),IF(R846="","Draft",R846),"")</f>
        <v/>
      </c>
      <c r="BG846" s="80">
        <f>IF(BD846=1,ROUND(AG846/60,6),0)</f>
        <v>0</v>
      </c>
      <c r="BH846" s="80">
        <f>IF(BE846=1,ROUND(AG846/60,6),0)</f>
        <v>0</v>
      </c>
      <c r="BI846" s="80">
        <f>IF(BE846=1,ROUND(AP846/60,6),0)</f>
        <v>0</v>
      </c>
      <c r="BJ846" s="80">
        <f>IF(BE846=1,ROUND(AQ846/60,6),0)</f>
        <v>0</v>
      </c>
      <c r="BK846" s="80">
        <f>IF(BE846=1,ROUND((AR846+AS846)/60,6),0)</f>
        <v>0</v>
      </c>
      <c r="BL846" s="80">
        <f>ROUND(BH846-BK846,6)</f>
        <v>0</v>
      </c>
      <c r="BM846" s="80">
        <f>IF(BE846=1,ROUND(AR846/60,6),0)</f>
        <v>0</v>
      </c>
      <c r="BN846" s="80">
        <f>ROUND(BI846-BM846,6)</f>
        <v>0</v>
      </c>
      <c r="BO846" s="80">
        <f>IF(BE846=1,ROUND(AS846/60,6),0)</f>
        <v>0</v>
      </c>
      <c r="BP846" s="80">
        <f>ROUND(BJ846-BO846,6)</f>
        <v>0</v>
      </c>
      <c r="BQ846" s="80">
        <f>IF(BE846=1,AW846,0)</f>
        <v>0</v>
      </c>
      <c r="BR846" s="80">
        <f>IF(BE846=1,AX846,0)</f>
        <v>0</v>
      </c>
      <c r="BS846" s="80">
        <f>IF(AND(BE846=1,D846="Malcolm",BA846&gt;0),MIN(BH846,SUMPRODUCT((R_Emp="proMX")*(R_EN&gt;0)*((R_EN-(R_EN&gt;BR846)*(R_EN-BR846))&gt;(R_SN+(R_SN&lt;BQ846)*(BQ846-R_SN)))*((R_EN-(R_EN&gt;BR846)*(R_EN-BR846))-(R_SN+(R_SN&lt;BQ846)*(BQ846-R_SN))))/60),0)</f>
        <v>0</v>
      </c>
      <c r="BT846" s="80">
        <f>IF(AND(BE846=1,D846="proMX"),ROUND(BI846*CFG_RATE+BJ846*CFG_OTRATE,6),0)</f>
        <v>0</v>
      </c>
      <c r="BU846" s="80">
        <f>IF(AND(BD846=1,D846="proMX"),ROUND(AG846/CFG_BLK,6),0)</f>
        <v>0</v>
      </c>
      <c r="BV846" s="80" t="str">
        <f>IF(BF846="Approved",IF(ISNUMBER(T846),INT(T846),INT(B846)),"")</f>
        <v/>
      </c>
      <c r="BW846" s="80">
        <f>IF(ISNUMBER(B846),IF(DB_MON="Todos",1,IF(AND(INT(B846)&gt;=DB_MS,INT(B846)&lt;=DB_ME),1,0)),0)</f>
        <v>0</v>
      </c>
      <c r="BX846" s="80">
        <f>IF(DB_PROJ="Todos",1,IF(E846&amp;""=DB_PROJ&amp;"",1,0))</f>
        <v>1</v>
      </c>
      <c r="BY846" s="80">
        <f>BW846*BX846</f>
        <v>0</v>
      </c>
      <c r="BZ846" s="80" t="str">
        <f>IF(Y846=1,F846&amp;IF(AND(F846&amp;""&lt;&gt;"",E846&amp;""&lt;&gt;"")," · ","")&amp;E846,"")</f>
        <v/>
      </c>
      <c r="CA846" s="80" t="str">
        <f>IF(AND(BD846=1,E846&amp;""&lt;&gt;""),IF(COUNTIFS($E$5:E845,E846,$BD$5:BD845,1)=0,MAX($CA$5:CA845)+1,""),"")</f>
        <v/>
      </c>
      <c r="CB846" s="80" t="str">
        <f>IF(AND(BE846=1,D846="Malcolm",E846&amp;""&lt;&gt;""),IF(COUNTIFS($D$5:D845,"Malcolm",$E$5:E845,E846,$BE$5:BE845,1)=0,MAX($CB$5:CB845)+1,""),"")</f>
        <v/>
      </c>
      <c r="CC846" s="80" t="str">
        <f>IF(AND(BD846=1,D846="proMX",E846&amp;""&lt;&gt;""),IF(COUNTIFS($D$5:D845,"proMX",$E$5:E845,E846,$BD$5:BD845,1)=0,MAX($CC$5:CC845)+1,""),"")</f>
        <v/>
      </c>
      <c r="CD846" s="80" t="str">
        <f>IF(AND(BE846=1,D846="Malcolm",F846&amp;""&lt;&gt;""),IF(COUNTIFS($D$5:D845,"Malcolm",$F$5:F845,F846,$BE$5:BE845,1)=0,MAX($CD$5:CD845)+1,""),"")</f>
        <v/>
      </c>
      <c r="CE846" s="80" t="str">
        <f>IF(AND(BD846=1,D846="proMX",F846&amp;""&lt;&gt;""),IF(COUNTIFS($D$5:D845,"proMX",$F$5:F845,F846,$BD$5:BD845,1)=0,MAX($CE$5:CE845)+1,""),"")</f>
        <v/>
      </c>
      <c r="CF846" s="80" t="str">
        <f>IF(AND(D846="proMX",BD846=1),IF(OR(BF846="Draft",BF846="Submitted",BF846="Returned",BF846="Recall Requested"),MAX($CF$5:CF845)+1,""),"")</f>
        <v/>
      </c>
      <c r="CG846" s="80">
        <f>IF(BD846=0,0,IF(D846="Malcolm",1,MATCH(BF846,{"Draft","Submitted","Approved","Returned","Recall Requested","Cancelled"},0)+1))</f>
        <v>0</v>
      </c>
      <c r="CH846" s="80">
        <f>IF(AND(BF846="Submitted",ISNUMBER(V846)),IF(V846&gt;CFG_MAXD,1,0),0)</f>
        <v>0</v>
      </c>
    </row>
    <row r="847">
      <c r="A847" s="71" t="str">
        <f>IF(Y847=1,ROW()-5,"")</f>
        <v/>
      </c>
      <c r="B847" s="72" t="n"/>
      <c r="C847" s="71" t="str">
        <f>IF(ISNUMBER(B847),CHOOSE(WEEKDAY(B847,2),"Lun","Mar","Mié","Jue","Vie","Sáb","Dom"),"")</f>
        <v/>
      </c>
      <c r="D847" s="73" t="n"/>
      <c r="E847" s="74" t="n"/>
      <c r="F847" s="74" t="n"/>
      <c r="G847" s="74" t="n"/>
      <c r="H847" s="75" t="n"/>
      <c r="I847" s="75" t="n"/>
      <c r="J847" s="76" t="n"/>
      <c r="K847" s="77" t="str">
        <f>IF(AB847=1,ROUND(AG847/60,4),"")</f>
        <v/>
      </c>
      <c r="L847" s="77" t="str">
        <f>IF(BD847=1,ROUND(AP847/60,4),"")</f>
        <v/>
      </c>
      <c r="M847" s="77" t="str">
        <f>IF(BD847=1,ROUND(AQ847/60,4),"")</f>
        <v/>
      </c>
      <c r="N847" s="71" t="str">
        <f>IF(AND(D847="proMX",AB847=1),ROUND(AG847/CFG_BLK,2),"")</f>
        <v/>
      </c>
      <c r="O847" s="77" t="str">
        <f>IF(D847="proMX",IF(BD847=1,ROUND(AG847/60,4),0),"")</f>
        <v/>
      </c>
      <c r="P847" s="78" t="str">
        <f>IF(Y847=0,"",IF(BD847=1,"OK",IF(D847="proMX","Revisar bloques: ","Revisar: ")&amp;BC847))</f>
        <v/>
      </c>
      <c r="Q847" s="78" t="str">
        <f>IF(NOT(ISNUMBER(B847)),"",IF(COUNTIFS(FER_F,INT(B847))&gt;0,"Feriado"&amp;IF(AH847=1," (laborable)"," (no laborable)"),IF(AH847=1,"Laborable",IF(WEEKDAY(B847,2)&gt;5,"Fin de semana","No laborable"))))</f>
        <v/>
      </c>
      <c r="R847" s="73" t="n"/>
      <c r="S847" s="72" t="n"/>
      <c r="T847" s="72" t="n"/>
      <c r="U847" s="74" t="n"/>
      <c r="V847" s="79" t="str">
        <f>IF(AND(D847="proMX",OR(R847="Submitted",R847="Recall Requested"),ISNUMBER(S847)),CFG_TODAY-INT(S847),"")</f>
        <v/>
      </c>
      <c r="W847" s="78" t="str">
        <f>IF(BD847=0,"",IF(BA847&gt;0,"⚠ Se superpone con un registro de la otra empresa",IF(D847="Malcolm",IF(COUNTA(R847,S847,T847)&gt;0,"Estado/fechas proMX se ignoran en Malcolm",""),IF(BF847="Cancelled","Cancelado: excluido de totales",IF(R847="","Sin estado: se trata como Draft",IF(BF847="Submitted",IF(ISNUMBER(V847),IF(V847&gt;CFG_MAXD,"⚠ "&amp;V847&amp;" días en Submitted (máx. "&amp;CFG_MAXD&amp;")",""),"Falta fecha de envío"),IF(BF847="Returned","⚠ Devuelto: corregir y reenviar",IF(BF847="Recall Requested","Retirada solicitada: pendiente",IF(AND(BF847="Approved",NOT(ISNUMBER(T847))),"Falta fecha de aprobación",IF(AND(ISNUMBER(S847),ISNUMBER(T847),T847&lt;S847),"Aprobación anterior al envío","")))))))))</f>
        <v/>
      </c>
      <c r="Y847" s="80">
        <f>IF(COUNTA(B847,D847,E847,F847,G847,H847,I847,J847,R847,S847,T847)&gt;0,1,0)</f>
        <v>0</v>
      </c>
      <c r="Z847" s="80" t="str">
        <f>IF(AND(ISNUMBER(H847),H847&gt;=0,H847&lt;1),ROUND(H847*1440,0),"")</f>
        <v/>
      </c>
      <c r="AA847" s="80" t="str">
        <f>IF(AND(ISNUMBER(I847),I847&gt;=0,I847&lt;1),ROUND(I847*1440,0),"")</f>
        <v/>
      </c>
      <c r="AB847" s="80">
        <f>IF(AND(ISNUMBER(B847),D847&lt;&gt;"",ISNUMBER(Z847),ISNUMBER(AA847)),IF(Z847=AA847,0,1),0)</f>
        <v>0</v>
      </c>
      <c r="AC847" s="80">
        <f>IF(AB847=1,IF(AA847&lt;Z847,1,0),0)</f>
        <v>0</v>
      </c>
      <c r="AD847" s="80">
        <f>IF(AB847=1,IF(AC847=1,1440-Z847+AA847,AA847-Z847),0)</f>
        <v>0</v>
      </c>
      <c r="AE847" s="80">
        <f>IF(J847="",0,IF(ISNUMBER(J847),J847,-1))</f>
        <v>0</v>
      </c>
      <c r="AF847" s="80">
        <f>MIN(MAX(0,AE847),AD847)</f>
        <v>0</v>
      </c>
      <c r="AG847" s="80">
        <f>MAX(0,AD847-MAX(0,AE847))</f>
        <v>0</v>
      </c>
      <c r="AH847" s="80">
        <f>IF(ISNUMBER(B847),IF(AND(INDEX(CFG_WDAYS,WEEKDAY(INT(B847),2))="Sí",IF(D847="proMX",COUNTIFS(FER_F,INT(B847),FER_NLP,"Sí"),COUNTIFS(FER_F,INT(B847),FER_NLM,"Sí"))=0),1,0),0)</f>
        <v>0</v>
      </c>
      <c r="AI847" s="80">
        <f>IF(AC847=1,IF(AND(INDEX(CFG_WDAYS,WEEKDAY(INT(B847)+1,2))="Sí",IF(D847="proMX",COUNTIFS(FER_F,INT(B847)+1,FER_NLP,"Sí"),COUNTIFS(FER_F,INT(B847)+1,FER_NLM,"Sí"))=0),1,0),0)</f>
        <v>0</v>
      </c>
      <c r="AJ847" s="80">
        <f>IF(AC847=1,1440-Z847,AD847)</f>
        <v>0</v>
      </c>
      <c r="AK847" s="80">
        <f>IF(AND(AB847=1,AH847=1),MAX(0,MIN(IF(AC847=1,1440,AA847),CFG_WEM)-MAX(Z847,CFG_WSM)),0)</f>
        <v>0</v>
      </c>
      <c r="AL847" s="80">
        <f>IF(AND(AC847=1,AI847=1),MAX(0,MIN(AA847,CFG_WEM)-CFG_WSM),0)</f>
        <v>0</v>
      </c>
      <c r="AM847" s="80">
        <f>AK847+AL847</f>
        <v>0</v>
      </c>
      <c r="AN847" s="80">
        <f>IF(CFG_BRK="Proporcional",IF(AD847=0,0,AF847*AM847/AD847),IF(CFG_BRK="Extras primero",MIN(AM847,MAX(0,AF847-(AD847-AM847))),MIN(AF847,AM847)))</f>
        <v>0</v>
      </c>
      <c r="AO847" s="80">
        <f>AF847-AN847</f>
        <v>0</v>
      </c>
      <c r="AP847" s="80">
        <f>AM847-AN847</f>
        <v>0</v>
      </c>
      <c r="AQ847" s="80">
        <f>AD847-AM847-AO847</f>
        <v>0</v>
      </c>
      <c r="AR847" s="80">
        <f>IF(AM847=0,0,AK847-AN847*AK847/AM847)</f>
        <v>0</v>
      </c>
      <c r="AS847" s="80">
        <f>IF(AD847-AM847=0,0,(AJ847-AK847)-AO847*(AJ847-AK847)/(AD847-AM847))</f>
        <v>0</v>
      </c>
      <c r="AT847" s="80" t="str">
        <f>IF(AC847=1,INT(B847)+1,"")</f>
        <v/>
      </c>
      <c r="AU847" s="80">
        <f>IF(AND(D847="proMX",R847="Cancelled"),0,1)</f>
        <v>1</v>
      </c>
      <c r="AV847" s="80">
        <f>IF(AND(AB847=1,AU847=1),IF(COUNTIFS($D$5:D846,D847,$B$5:B846,B847,$Z$5:Z846,Z847,$AA$5:AA846,AA847,$F$5:F846,F847&amp;"",$AU$5:AU846,1)&gt;0,1,0),0)</f>
        <v>0</v>
      </c>
      <c r="AW847" s="80" t="str">
        <f>IF(AB847=1,INT(B847)*1440+Z847,"")</f>
        <v/>
      </c>
      <c r="AX847" s="80" t="str">
        <f>IF(AB847=1,AW847+AD847,"")</f>
        <v/>
      </c>
      <c r="AY847" s="80">
        <f>IF(AND(AB847=1,AV847=0,AU847=1),1,0)</f>
        <v>0</v>
      </c>
      <c r="AZ847" s="80">
        <f>IF(AY847=1,COUNTIFS(R_Emp,D847,R_SAbs,"&lt;"&amp;AX847,R_EAbs,"&gt;"&amp;AW847,R_OKey,1)-1,0)</f>
        <v>0</v>
      </c>
      <c r="BA847" s="80">
        <f>IF(AY847=1,COUNTIFS(R_Emp,"&lt;&gt;"&amp;D847,R_SAbs,"&lt;"&amp;AX847,R_EAbs,"&gt;"&amp;AW847,R_OKey,1),0)</f>
        <v>0</v>
      </c>
      <c r="BB847" s="80">
        <f>IF(AND(AB847=1,D847="proMX"),IF(AND(MOD(Z847,CFG_BLK)=0,MOD(AA847,CFG_BLK)=0,MOD(AG847,CFG_BLK)=0,AG847&gt;0),1,0),1)</f>
        <v>1</v>
      </c>
      <c r="BC847" s="80" t="str">
        <f>IF(Y847=0,"",IF(NOT(ISNUMBER(B847)),"Falta fecha o fecha inválida",IF(D847="","Falta empresa",IF(AND(D847&lt;&gt;"Malcolm",D847&lt;&gt;"proMX"),"Empresa inválida",IF(OR(INT(B847)&lt;CFG_PSTART,INT(B847)&gt;CFG_PEND),"Fecha fuera del período",IF(OR(NOT(ISNUMBER(Z847)),NOT(ISNUMBER(AA847))),"Falta hora inicio/fin o formato inválido",IF(AB847=0,"Hora inicio = hora fin",IF(AE847&lt;0,"Descanso inválido",IF(AE847&gt;=AD847,"Descanso ≥ duración",IF(AV847=1,"Registro duplicado",IF(AZ847&gt;0,"Se superpone con otro registro "&amp;D847,IF(BB847=0,"inicio, fin y duración neta deben ser múltiplos de "&amp;CFG_BLK&amp;" min",""))))))))))))</f>
        <v/>
      </c>
      <c r="BD847" s="80">
        <f>IF(AND(Y847=1,BC847=""),1,0)</f>
        <v>0</v>
      </c>
      <c r="BE847" s="80">
        <f>IF(AND(BD847=1,AU847=1),1,0)</f>
        <v>0</v>
      </c>
      <c r="BF847" s="80" t="str">
        <f>IF(AND(D847="proMX",BD847=1),IF(R847="","Draft",R847),"")</f>
        <v/>
      </c>
      <c r="BG847" s="80">
        <f>IF(BD847=1,ROUND(AG847/60,6),0)</f>
        <v>0</v>
      </c>
      <c r="BH847" s="80">
        <f>IF(BE847=1,ROUND(AG847/60,6),0)</f>
        <v>0</v>
      </c>
      <c r="BI847" s="80">
        <f>IF(BE847=1,ROUND(AP847/60,6),0)</f>
        <v>0</v>
      </c>
      <c r="BJ847" s="80">
        <f>IF(BE847=1,ROUND(AQ847/60,6),0)</f>
        <v>0</v>
      </c>
      <c r="BK847" s="80">
        <f>IF(BE847=1,ROUND((AR847+AS847)/60,6),0)</f>
        <v>0</v>
      </c>
      <c r="BL847" s="80">
        <f>ROUND(BH847-BK847,6)</f>
        <v>0</v>
      </c>
      <c r="BM847" s="80">
        <f>IF(BE847=1,ROUND(AR847/60,6),0)</f>
        <v>0</v>
      </c>
      <c r="BN847" s="80">
        <f>ROUND(BI847-BM847,6)</f>
        <v>0</v>
      </c>
      <c r="BO847" s="80">
        <f>IF(BE847=1,ROUND(AS847/60,6),0)</f>
        <v>0</v>
      </c>
      <c r="BP847" s="80">
        <f>ROUND(BJ847-BO847,6)</f>
        <v>0</v>
      </c>
      <c r="BQ847" s="80">
        <f>IF(BE847=1,AW847,0)</f>
        <v>0</v>
      </c>
      <c r="BR847" s="80">
        <f>IF(BE847=1,AX847,0)</f>
        <v>0</v>
      </c>
      <c r="BS847" s="80">
        <f>IF(AND(BE847=1,D847="Malcolm",BA847&gt;0),MIN(BH847,SUMPRODUCT((R_Emp="proMX")*(R_EN&gt;0)*((R_EN-(R_EN&gt;BR847)*(R_EN-BR847))&gt;(R_SN+(R_SN&lt;BQ847)*(BQ847-R_SN)))*((R_EN-(R_EN&gt;BR847)*(R_EN-BR847))-(R_SN+(R_SN&lt;BQ847)*(BQ847-R_SN))))/60),0)</f>
        <v>0</v>
      </c>
      <c r="BT847" s="80">
        <f>IF(AND(BE847=1,D847="proMX"),ROUND(BI847*CFG_RATE+BJ847*CFG_OTRATE,6),0)</f>
        <v>0</v>
      </c>
      <c r="BU847" s="80">
        <f>IF(AND(BD847=1,D847="proMX"),ROUND(AG847/CFG_BLK,6),0)</f>
        <v>0</v>
      </c>
      <c r="BV847" s="80" t="str">
        <f>IF(BF847="Approved",IF(ISNUMBER(T847),INT(T847),INT(B847)),"")</f>
        <v/>
      </c>
      <c r="BW847" s="80">
        <f>IF(ISNUMBER(B847),IF(DB_MON="Todos",1,IF(AND(INT(B847)&gt;=DB_MS,INT(B847)&lt;=DB_ME),1,0)),0)</f>
        <v>0</v>
      </c>
      <c r="BX847" s="80">
        <f>IF(DB_PROJ="Todos",1,IF(E847&amp;""=DB_PROJ&amp;"",1,0))</f>
        <v>1</v>
      </c>
      <c r="BY847" s="80">
        <f>BW847*BX847</f>
        <v>0</v>
      </c>
      <c r="BZ847" s="80" t="str">
        <f>IF(Y847=1,F847&amp;IF(AND(F847&amp;""&lt;&gt;"",E847&amp;""&lt;&gt;"")," · ","")&amp;E847,"")</f>
        <v/>
      </c>
      <c r="CA847" s="80" t="str">
        <f>IF(AND(BD847=1,E847&amp;""&lt;&gt;""),IF(COUNTIFS($E$5:E846,E847,$BD$5:BD846,1)=0,MAX($CA$5:CA846)+1,""),"")</f>
        <v/>
      </c>
      <c r="CB847" s="80" t="str">
        <f>IF(AND(BE847=1,D847="Malcolm",E847&amp;""&lt;&gt;""),IF(COUNTIFS($D$5:D846,"Malcolm",$E$5:E846,E847,$BE$5:BE846,1)=0,MAX($CB$5:CB846)+1,""),"")</f>
        <v/>
      </c>
      <c r="CC847" s="80" t="str">
        <f>IF(AND(BD847=1,D847="proMX",E847&amp;""&lt;&gt;""),IF(COUNTIFS($D$5:D846,"proMX",$E$5:E846,E847,$BD$5:BD846,1)=0,MAX($CC$5:CC846)+1,""),"")</f>
        <v/>
      </c>
      <c r="CD847" s="80" t="str">
        <f>IF(AND(BE847=1,D847="Malcolm",F847&amp;""&lt;&gt;""),IF(COUNTIFS($D$5:D846,"Malcolm",$F$5:F846,F847,$BE$5:BE846,1)=0,MAX($CD$5:CD846)+1,""),"")</f>
        <v/>
      </c>
      <c r="CE847" s="80" t="str">
        <f>IF(AND(BD847=1,D847="proMX",F847&amp;""&lt;&gt;""),IF(COUNTIFS($D$5:D846,"proMX",$F$5:F846,F847,$BD$5:BD846,1)=0,MAX($CE$5:CE846)+1,""),"")</f>
        <v/>
      </c>
      <c r="CF847" s="80" t="str">
        <f>IF(AND(D847="proMX",BD847=1),IF(OR(BF847="Draft",BF847="Submitted",BF847="Returned",BF847="Recall Requested"),MAX($CF$5:CF846)+1,""),"")</f>
        <v/>
      </c>
      <c r="CG847" s="80">
        <f>IF(BD847=0,0,IF(D847="Malcolm",1,MATCH(BF847,{"Draft","Submitted","Approved","Returned","Recall Requested","Cancelled"},0)+1))</f>
        <v>0</v>
      </c>
      <c r="CH847" s="80">
        <f>IF(AND(BF847="Submitted",ISNUMBER(V847)),IF(V847&gt;CFG_MAXD,1,0),0)</f>
        <v>0</v>
      </c>
    </row>
    <row r="848">
      <c r="A848" s="71" t="str">
        <f>IF(Y848=1,ROW()-5,"")</f>
        <v/>
      </c>
      <c r="B848" s="72" t="n"/>
      <c r="C848" s="71" t="str">
        <f>IF(ISNUMBER(B848),CHOOSE(WEEKDAY(B848,2),"Lun","Mar","Mié","Jue","Vie","Sáb","Dom"),"")</f>
        <v/>
      </c>
      <c r="D848" s="73" t="n"/>
      <c r="E848" s="74" t="n"/>
      <c r="F848" s="74" t="n"/>
      <c r="G848" s="74" t="n"/>
      <c r="H848" s="75" t="n"/>
      <c r="I848" s="75" t="n"/>
      <c r="J848" s="76" t="n"/>
      <c r="K848" s="77" t="str">
        <f>IF(AB848=1,ROUND(AG848/60,4),"")</f>
        <v/>
      </c>
      <c r="L848" s="77" t="str">
        <f>IF(BD848=1,ROUND(AP848/60,4),"")</f>
        <v/>
      </c>
      <c r="M848" s="77" t="str">
        <f>IF(BD848=1,ROUND(AQ848/60,4),"")</f>
        <v/>
      </c>
      <c r="N848" s="71" t="str">
        <f>IF(AND(D848="proMX",AB848=1),ROUND(AG848/CFG_BLK,2),"")</f>
        <v/>
      </c>
      <c r="O848" s="77" t="str">
        <f>IF(D848="proMX",IF(BD848=1,ROUND(AG848/60,4),0),"")</f>
        <v/>
      </c>
      <c r="P848" s="78" t="str">
        <f>IF(Y848=0,"",IF(BD848=1,"OK",IF(D848="proMX","Revisar bloques: ","Revisar: ")&amp;BC848))</f>
        <v/>
      </c>
      <c r="Q848" s="78" t="str">
        <f>IF(NOT(ISNUMBER(B848)),"",IF(COUNTIFS(FER_F,INT(B848))&gt;0,"Feriado"&amp;IF(AH848=1," (laborable)"," (no laborable)"),IF(AH848=1,"Laborable",IF(WEEKDAY(B848,2)&gt;5,"Fin de semana","No laborable"))))</f>
        <v/>
      </c>
      <c r="R848" s="73" t="n"/>
      <c r="S848" s="72" t="n"/>
      <c r="T848" s="72" t="n"/>
      <c r="U848" s="74" t="n"/>
      <c r="V848" s="79" t="str">
        <f>IF(AND(D848="proMX",OR(R848="Submitted",R848="Recall Requested"),ISNUMBER(S848)),CFG_TODAY-INT(S848),"")</f>
        <v/>
      </c>
      <c r="W848" s="78" t="str">
        <f>IF(BD848=0,"",IF(BA848&gt;0,"⚠ Se superpone con un registro de la otra empresa",IF(D848="Malcolm",IF(COUNTA(R848,S848,T848)&gt;0,"Estado/fechas proMX se ignoran en Malcolm",""),IF(BF848="Cancelled","Cancelado: excluido de totales",IF(R848="","Sin estado: se trata como Draft",IF(BF848="Submitted",IF(ISNUMBER(V848),IF(V848&gt;CFG_MAXD,"⚠ "&amp;V848&amp;" días en Submitted (máx. "&amp;CFG_MAXD&amp;")",""),"Falta fecha de envío"),IF(BF848="Returned","⚠ Devuelto: corregir y reenviar",IF(BF848="Recall Requested","Retirada solicitada: pendiente",IF(AND(BF848="Approved",NOT(ISNUMBER(T848))),"Falta fecha de aprobación",IF(AND(ISNUMBER(S848),ISNUMBER(T848),T848&lt;S848),"Aprobación anterior al envío","")))))))))</f>
        <v/>
      </c>
      <c r="Y848" s="80">
        <f>IF(COUNTA(B848,D848,E848,F848,G848,H848,I848,J848,R848,S848,T848)&gt;0,1,0)</f>
        <v>0</v>
      </c>
      <c r="Z848" s="80" t="str">
        <f>IF(AND(ISNUMBER(H848),H848&gt;=0,H848&lt;1),ROUND(H848*1440,0),"")</f>
        <v/>
      </c>
      <c r="AA848" s="80" t="str">
        <f>IF(AND(ISNUMBER(I848),I848&gt;=0,I848&lt;1),ROUND(I848*1440,0),"")</f>
        <v/>
      </c>
      <c r="AB848" s="80">
        <f>IF(AND(ISNUMBER(B848),D848&lt;&gt;"",ISNUMBER(Z848),ISNUMBER(AA848)),IF(Z848=AA848,0,1),0)</f>
        <v>0</v>
      </c>
      <c r="AC848" s="80">
        <f>IF(AB848=1,IF(AA848&lt;Z848,1,0),0)</f>
        <v>0</v>
      </c>
      <c r="AD848" s="80">
        <f>IF(AB848=1,IF(AC848=1,1440-Z848+AA848,AA848-Z848),0)</f>
        <v>0</v>
      </c>
      <c r="AE848" s="80">
        <f>IF(J848="",0,IF(ISNUMBER(J848),J848,-1))</f>
        <v>0</v>
      </c>
      <c r="AF848" s="80">
        <f>MIN(MAX(0,AE848),AD848)</f>
        <v>0</v>
      </c>
      <c r="AG848" s="80">
        <f>MAX(0,AD848-MAX(0,AE848))</f>
        <v>0</v>
      </c>
      <c r="AH848" s="80">
        <f>IF(ISNUMBER(B848),IF(AND(INDEX(CFG_WDAYS,WEEKDAY(INT(B848),2))="Sí",IF(D848="proMX",COUNTIFS(FER_F,INT(B848),FER_NLP,"Sí"),COUNTIFS(FER_F,INT(B848),FER_NLM,"Sí"))=0),1,0),0)</f>
        <v>0</v>
      </c>
      <c r="AI848" s="80">
        <f>IF(AC848=1,IF(AND(INDEX(CFG_WDAYS,WEEKDAY(INT(B848)+1,2))="Sí",IF(D848="proMX",COUNTIFS(FER_F,INT(B848)+1,FER_NLP,"Sí"),COUNTIFS(FER_F,INT(B848)+1,FER_NLM,"Sí"))=0),1,0),0)</f>
        <v>0</v>
      </c>
      <c r="AJ848" s="80">
        <f>IF(AC848=1,1440-Z848,AD848)</f>
        <v>0</v>
      </c>
      <c r="AK848" s="80">
        <f>IF(AND(AB848=1,AH848=1),MAX(0,MIN(IF(AC848=1,1440,AA848),CFG_WEM)-MAX(Z848,CFG_WSM)),0)</f>
        <v>0</v>
      </c>
      <c r="AL848" s="80">
        <f>IF(AND(AC848=1,AI848=1),MAX(0,MIN(AA848,CFG_WEM)-CFG_WSM),0)</f>
        <v>0</v>
      </c>
      <c r="AM848" s="80">
        <f>AK848+AL848</f>
        <v>0</v>
      </c>
      <c r="AN848" s="80">
        <f>IF(CFG_BRK="Proporcional",IF(AD848=0,0,AF848*AM848/AD848),IF(CFG_BRK="Extras primero",MIN(AM848,MAX(0,AF848-(AD848-AM848))),MIN(AF848,AM848)))</f>
        <v>0</v>
      </c>
      <c r="AO848" s="80">
        <f>AF848-AN848</f>
        <v>0</v>
      </c>
      <c r="AP848" s="80">
        <f>AM848-AN848</f>
        <v>0</v>
      </c>
      <c r="AQ848" s="80">
        <f>AD848-AM848-AO848</f>
        <v>0</v>
      </c>
      <c r="AR848" s="80">
        <f>IF(AM848=0,0,AK848-AN848*AK848/AM848)</f>
        <v>0</v>
      </c>
      <c r="AS848" s="80">
        <f>IF(AD848-AM848=0,0,(AJ848-AK848)-AO848*(AJ848-AK848)/(AD848-AM848))</f>
        <v>0</v>
      </c>
      <c r="AT848" s="80" t="str">
        <f>IF(AC848=1,INT(B848)+1,"")</f>
        <v/>
      </c>
      <c r="AU848" s="80">
        <f>IF(AND(D848="proMX",R848="Cancelled"),0,1)</f>
        <v>1</v>
      </c>
      <c r="AV848" s="80">
        <f>IF(AND(AB848=1,AU848=1),IF(COUNTIFS($D$5:D847,D848,$B$5:B847,B848,$Z$5:Z847,Z848,$AA$5:AA847,AA848,$F$5:F847,F848&amp;"",$AU$5:AU847,1)&gt;0,1,0),0)</f>
        <v>0</v>
      </c>
      <c r="AW848" s="80" t="str">
        <f>IF(AB848=1,INT(B848)*1440+Z848,"")</f>
        <v/>
      </c>
      <c r="AX848" s="80" t="str">
        <f>IF(AB848=1,AW848+AD848,"")</f>
        <v/>
      </c>
      <c r="AY848" s="80">
        <f>IF(AND(AB848=1,AV848=0,AU848=1),1,0)</f>
        <v>0</v>
      </c>
      <c r="AZ848" s="80">
        <f>IF(AY848=1,COUNTIFS(R_Emp,D848,R_SAbs,"&lt;"&amp;AX848,R_EAbs,"&gt;"&amp;AW848,R_OKey,1)-1,0)</f>
        <v>0</v>
      </c>
      <c r="BA848" s="80">
        <f>IF(AY848=1,COUNTIFS(R_Emp,"&lt;&gt;"&amp;D848,R_SAbs,"&lt;"&amp;AX848,R_EAbs,"&gt;"&amp;AW848,R_OKey,1),0)</f>
        <v>0</v>
      </c>
      <c r="BB848" s="80">
        <f>IF(AND(AB848=1,D848="proMX"),IF(AND(MOD(Z848,CFG_BLK)=0,MOD(AA848,CFG_BLK)=0,MOD(AG848,CFG_BLK)=0,AG848&gt;0),1,0),1)</f>
        <v>1</v>
      </c>
      <c r="BC848" s="80" t="str">
        <f>IF(Y848=0,"",IF(NOT(ISNUMBER(B848)),"Falta fecha o fecha inválida",IF(D848="","Falta empresa",IF(AND(D848&lt;&gt;"Malcolm",D848&lt;&gt;"proMX"),"Empresa inválida",IF(OR(INT(B848)&lt;CFG_PSTART,INT(B848)&gt;CFG_PEND),"Fecha fuera del período",IF(OR(NOT(ISNUMBER(Z848)),NOT(ISNUMBER(AA848))),"Falta hora inicio/fin o formato inválido",IF(AB848=0,"Hora inicio = hora fin",IF(AE848&lt;0,"Descanso inválido",IF(AE848&gt;=AD848,"Descanso ≥ duración",IF(AV848=1,"Registro duplicado",IF(AZ848&gt;0,"Se superpone con otro registro "&amp;D848,IF(BB848=0,"inicio, fin y duración neta deben ser múltiplos de "&amp;CFG_BLK&amp;" min",""))))))))))))</f>
        <v/>
      </c>
      <c r="BD848" s="80">
        <f>IF(AND(Y848=1,BC848=""),1,0)</f>
        <v>0</v>
      </c>
      <c r="BE848" s="80">
        <f>IF(AND(BD848=1,AU848=1),1,0)</f>
        <v>0</v>
      </c>
      <c r="BF848" s="80" t="str">
        <f>IF(AND(D848="proMX",BD848=1),IF(R848="","Draft",R848),"")</f>
        <v/>
      </c>
      <c r="BG848" s="80">
        <f>IF(BD848=1,ROUND(AG848/60,6),0)</f>
        <v>0</v>
      </c>
      <c r="BH848" s="80">
        <f>IF(BE848=1,ROUND(AG848/60,6),0)</f>
        <v>0</v>
      </c>
      <c r="BI848" s="80">
        <f>IF(BE848=1,ROUND(AP848/60,6),0)</f>
        <v>0</v>
      </c>
      <c r="BJ848" s="80">
        <f>IF(BE848=1,ROUND(AQ848/60,6),0)</f>
        <v>0</v>
      </c>
      <c r="BK848" s="80">
        <f>IF(BE848=1,ROUND((AR848+AS848)/60,6),0)</f>
        <v>0</v>
      </c>
      <c r="BL848" s="80">
        <f>ROUND(BH848-BK848,6)</f>
        <v>0</v>
      </c>
      <c r="BM848" s="80">
        <f>IF(BE848=1,ROUND(AR848/60,6),0)</f>
        <v>0</v>
      </c>
      <c r="BN848" s="80">
        <f>ROUND(BI848-BM848,6)</f>
        <v>0</v>
      </c>
      <c r="BO848" s="80">
        <f>IF(BE848=1,ROUND(AS848/60,6),0)</f>
        <v>0</v>
      </c>
      <c r="BP848" s="80">
        <f>ROUND(BJ848-BO848,6)</f>
        <v>0</v>
      </c>
      <c r="BQ848" s="80">
        <f>IF(BE848=1,AW848,0)</f>
        <v>0</v>
      </c>
      <c r="BR848" s="80">
        <f>IF(BE848=1,AX848,0)</f>
        <v>0</v>
      </c>
      <c r="BS848" s="80">
        <f>IF(AND(BE848=1,D848="Malcolm",BA848&gt;0),MIN(BH848,SUMPRODUCT((R_Emp="proMX")*(R_EN&gt;0)*((R_EN-(R_EN&gt;BR848)*(R_EN-BR848))&gt;(R_SN+(R_SN&lt;BQ848)*(BQ848-R_SN)))*((R_EN-(R_EN&gt;BR848)*(R_EN-BR848))-(R_SN+(R_SN&lt;BQ848)*(BQ848-R_SN))))/60),0)</f>
        <v>0</v>
      </c>
      <c r="BT848" s="80">
        <f>IF(AND(BE848=1,D848="proMX"),ROUND(BI848*CFG_RATE+BJ848*CFG_OTRATE,6),0)</f>
        <v>0</v>
      </c>
      <c r="BU848" s="80">
        <f>IF(AND(BD848=1,D848="proMX"),ROUND(AG848/CFG_BLK,6),0)</f>
        <v>0</v>
      </c>
      <c r="BV848" s="80" t="str">
        <f>IF(BF848="Approved",IF(ISNUMBER(T848),INT(T848),INT(B848)),"")</f>
        <v/>
      </c>
      <c r="BW848" s="80">
        <f>IF(ISNUMBER(B848),IF(DB_MON="Todos",1,IF(AND(INT(B848)&gt;=DB_MS,INT(B848)&lt;=DB_ME),1,0)),0)</f>
        <v>0</v>
      </c>
      <c r="BX848" s="80">
        <f>IF(DB_PROJ="Todos",1,IF(E848&amp;""=DB_PROJ&amp;"",1,0))</f>
        <v>1</v>
      </c>
      <c r="BY848" s="80">
        <f>BW848*BX848</f>
        <v>0</v>
      </c>
      <c r="BZ848" s="80" t="str">
        <f>IF(Y848=1,F848&amp;IF(AND(F848&amp;""&lt;&gt;"",E848&amp;""&lt;&gt;"")," · ","")&amp;E848,"")</f>
        <v/>
      </c>
      <c r="CA848" s="80" t="str">
        <f>IF(AND(BD848=1,E848&amp;""&lt;&gt;""),IF(COUNTIFS($E$5:E847,E848,$BD$5:BD847,1)=0,MAX($CA$5:CA847)+1,""),"")</f>
        <v/>
      </c>
      <c r="CB848" s="80" t="str">
        <f>IF(AND(BE848=1,D848="Malcolm",E848&amp;""&lt;&gt;""),IF(COUNTIFS($D$5:D847,"Malcolm",$E$5:E847,E848,$BE$5:BE847,1)=0,MAX($CB$5:CB847)+1,""),"")</f>
        <v/>
      </c>
      <c r="CC848" s="80" t="str">
        <f>IF(AND(BD848=1,D848="proMX",E848&amp;""&lt;&gt;""),IF(COUNTIFS($D$5:D847,"proMX",$E$5:E847,E848,$BD$5:BD847,1)=0,MAX($CC$5:CC847)+1,""),"")</f>
        <v/>
      </c>
      <c r="CD848" s="80" t="str">
        <f>IF(AND(BE848=1,D848="Malcolm",F848&amp;""&lt;&gt;""),IF(COUNTIFS($D$5:D847,"Malcolm",$F$5:F847,F848,$BE$5:BE847,1)=0,MAX($CD$5:CD847)+1,""),"")</f>
        <v/>
      </c>
      <c r="CE848" s="80" t="str">
        <f>IF(AND(BD848=1,D848="proMX",F848&amp;""&lt;&gt;""),IF(COUNTIFS($D$5:D847,"proMX",$F$5:F847,F848,$BD$5:BD847,1)=0,MAX($CE$5:CE847)+1,""),"")</f>
        <v/>
      </c>
      <c r="CF848" s="80" t="str">
        <f>IF(AND(D848="proMX",BD848=1),IF(OR(BF848="Draft",BF848="Submitted",BF848="Returned",BF848="Recall Requested"),MAX($CF$5:CF847)+1,""),"")</f>
        <v/>
      </c>
      <c r="CG848" s="80">
        <f>IF(BD848=0,0,IF(D848="Malcolm",1,MATCH(BF848,{"Draft","Submitted","Approved","Returned","Recall Requested","Cancelled"},0)+1))</f>
        <v>0</v>
      </c>
      <c r="CH848" s="80">
        <f>IF(AND(BF848="Submitted",ISNUMBER(V848)),IF(V848&gt;CFG_MAXD,1,0),0)</f>
        <v>0</v>
      </c>
    </row>
    <row r="849">
      <c r="A849" s="71" t="str">
        <f>IF(Y849=1,ROW()-5,"")</f>
        <v/>
      </c>
      <c r="B849" s="72" t="n"/>
      <c r="C849" s="71" t="str">
        <f>IF(ISNUMBER(B849),CHOOSE(WEEKDAY(B849,2),"Lun","Mar","Mié","Jue","Vie","Sáb","Dom"),"")</f>
        <v/>
      </c>
      <c r="D849" s="73" t="n"/>
      <c r="E849" s="74" t="n"/>
      <c r="F849" s="74" t="n"/>
      <c r="G849" s="74" t="n"/>
      <c r="H849" s="75" t="n"/>
      <c r="I849" s="75" t="n"/>
      <c r="J849" s="76" t="n"/>
      <c r="K849" s="77" t="str">
        <f>IF(AB849=1,ROUND(AG849/60,4),"")</f>
        <v/>
      </c>
      <c r="L849" s="77" t="str">
        <f>IF(BD849=1,ROUND(AP849/60,4),"")</f>
        <v/>
      </c>
      <c r="M849" s="77" t="str">
        <f>IF(BD849=1,ROUND(AQ849/60,4),"")</f>
        <v/>
      </c>
      <c r="N849" s="71" t="str">
        <f>IF(AND(D849="proMX",AB849=1),ROUND(AG849/CFG_BLK,2),"")</f>
        <v/>
      </c>
      <c r="O849" s="77" t="str">
        <f>IF(D849="proMX",IF(BD849=1,ROUND(AG849/60,4),0),"")</f>
        <v/>
      </c>
      <c r="P849" s="78" t="str">
        <f>IF(Y849=0,"",IF(BD849=1,"OK",IF(D849="proMX","Revisar bloques: ","Revisar: ")&amp;BC849))</f>
        <v/>
      </c>
      <c r="Q849" s="78" t="str">
        <f>IF(NOT(ISNUMBER(B849)),"",IF(COUNTIFS(FER_F,INT(B849))&gt;0,"Feriado"&amp;IF(AH849=1," (laborable)"," (no laborable)"),IF(AH849=1,"Laborable",IF(WEEKDAY(B849,2)&gt;5,"Fin de semana","No laborable"))))</f>
        <v/>
      </c>
      <c r="R849" s="73" t="n"/>
      <c r="S849" s="72" t="n"/>
      <c r="T849" s="72" t="n"/>
      <c r="U849" s="74" t="n"/>
      <c r="V849" s="79" t="str">
        <f>IF(AND(D849="proMX",OR(R849="Submitted",R849="Recall Requested"),ISNUMBER(S849)),CFG_TODAY-INT(S849),"")</f>
        <v/>
      </c>
      <c r="W849" s="78" t="str">
        <f>IF(BD849=0,"",IF(BA849&gt;0,"⚠ Se superpone con un registro de la otra empresa",IF(D849="Malcolm",IF(COUNTA(R849,S849,T849)&gt;0,"Estado/fechas proMX se ignoran en Malcolm",""),IF(BF849="Cancelled","Cancelado: excluido de totales",IF(R849="","Sin estado: se trata como Draft",IF(BF849="Submitted",IF(ISNUMBER(V849),IF(V849&gt;CFG_MAXD,"⚠ "&amp;V849&amp;" días en Submitted (máx. "&amp;CFG_MAXD&amp;")",""),"Falta fecha de envío"),IF(BF849="Returned","⚠ Devuelto: corregir y reenviar",IF(BF849="Recall Requested","Retirada solicitada: pendiente",IF(AND(BF849="Approved",NOT(ISNUMBER(T849))),"Falta fecha de aprobación",IF(AND(ISNUMBER(S849),ISNUMBER(T849),T849&lt;S849),"Aprobación anterior al envío","")))))))))</f>
        <v/>
      </c>
      <c r="Y849" s="80">
        <f>IF(COUNTA(B849,D849,E849,F849,G849,H849,I849,J849,R849,S849,T849)&gt;0,1,0)</f>
        <v>0</v>
      </c>
      <c r="Z849" s="80" t="str">
        <f>IF(AND(ISNUMBER(H849),H849&gt;=0,H849&lt;1),ROUND(H849*1440,0),"")</f>
        <v/>
      </c>
      <c r="AA849" s="80" t="str">
        <f>IF(AND(ISNUMBER(I849),I849&gt;=0,I849&lt;1),ROUND(I849*1440,0),"")</f>
        <v/>
      </c>
      <c r="AB849" s="80">
        <f>IF(AND(ISNUMBER(B849),D849&lt;&gt;"",ISNUMBER(Z849),ISNUMBER(AA849)),IF(Z849=AA849,0,1),0)</f>
        <v>0</v>
      </c>
      <c r="AC849" s="80">
        <f>IF(AB849=1,IF(AA849&lt;Z849,1,0),0)</f>
        <v>0</v>
      </c>
      <c r="AD849" s="80">
        <f>IF(AB849=1,IF(AC849=1,1440-Z849+AA849,AA849-Z849),0)</f>
        <v>0</v>
      </c>
      <c r="AE849" s="80">
        <f>IF(J849="",0,IF(ISNUMBER(J849),J849,-1))</f>
        <v>0</v>
      </c>
      <c r="AF849" s="80">
        <f>MIN(MAX(0,AE849),AD849)</f>
        <v>0</v>
      </c>
      <c r="AG849" s="80">
        <f>MAX(0,AD849-MAX(0,AE849))</f>
        <v>0</v>
      </c>
      <c r="AH849" s="80">
        <f>IF(ISNUMBER(B849),IF(AND(INDEX(CFG_WDAYS,WEEKDAY(INT(B849),2))="Sí",IF(D849="proMX",COUNTIFS(FER_F,INT(B849),FER_NLP,"Sí"),COUNTIFS(FER_F,INT(B849),FER_NLM,"Sí"))=0),1,0),0)</f>
        <v>0</v>
      </c>
      <c r="AI849" s="80">
        <f>IF(AC849=1,IF(AND(INDEX(CFG_WDAYS,WEEKDAY(INT(B849)+1,2))="Sí",IF(D849="proMX",COUNTIFS(FER_F,INT(B849)+1,FER_NLP,"Sí"),COUNTIFS(FER_F,INT(B849)+1,FER_NLM,"Sí"))=0),1,0),0)</f>
        <v>0</v>
      </c>
      <c r="AJ849" s="80">
        <f>IF(AC849=1,1440-Z849,AD849)</f>
        <v>0</v>
      </c>
      <c r="AK849" s="80">
        <f>IF(AND(AB849=1,AH849=1),MAX(0,MIN(IF(AC849=1,1440,AA849),CFG_WEM)-MAX(Z849,CFG_WSM)),0)</f>
        <v>0</v>
      </c>
      <c r="AL849" s="80">
        <f>IF(AND(AC849=1,AI849=1),MAX(0,MIN(AA849,CFG_WEM)-CFG_WSM),0)</f>
        <v>0</v>
      </c>
      <c r="AM849" s="80">
        <f>AK849+AL849</f>
        <v>0</v>
      </c>
      <c r="AN849" s="80">
        <f>IF(CFG_BRK="Proporcional",IF(AD849=0,0,AF849*AM849/AD849),IF(CFG_BRK="Extras primero",MIN(AM849,MAX(0,AF849-(AD849-AM849))),MIN(AF849,AM849)))</f>
        <v>0</v>
      </c>
      <c r="AO849" s="80">
        <f>AF849-AN849</f>
        <v>0</v>
      </c>
      <c r="AP849" s="80">
        <f>AM849-AN849</f>
        <v>0</v>
      </c>
      <c r="AQ849" s="80">
        <f>AD849-AM849-AO849</f>
        <v>0</v>
      </c>
      <c r="AR849" s="80">
        <f>IF(AM849=0,0,AK849-AN849*AK849/AM849)</f>
        <v>0</v>
      </c>
      <c r="AS849" s="80">
        <f>IF(AD849-AM849=0,0,(AJ849-AK849)-AO849*(AJ849-AK849)/(AD849-AM849))</f>
        <v>0</v>
      </c>
      <c r="AT849" s="80" t="str">
        <f>IF(AC849=1,INT(B849)+1,"")</f>
        <v/>
      </c>
      <c r="AU849" s="80">
        <f>IF(AND(D849="proMX",R849="Cancelled"),0,1)</f>
        <v>1</v>
      </c>
      <c r="AV849" s="80">
        <f>IF(AND(AB849=1,AU849=1),IF(COUNTIFS($D$5:D848,D849,$B$5:B848,B849,$Z$5:Z848,Z849,$AA$5:AA848,AA849,$F$5:F848,F849&amp;"",$AU$5:AU848,1)&gt;0,1,0),0)</f>
        <v>0</v>
      </c>
      <c r="AW849" s="80" t="str">
        <f>IF(AB849=1,INT(B849)*1440+Z849,"")</f>
        <v/>
      </c>
      <c r="AX849" s="80" t="str">
        <f>IF(AB849=1,AW849+AD849,"")</f>
        <v/>
      </c>
      <c r="AY849" s="80">
        <f>IF(AND(AB849=1,AV849=0,AU849=1),1,0)</f>
        <v>0</v>
      </c>
      <c r="AZ849" s="80">
        <f>IF(AY849=1,COUNTIFS(R_Emp,D849,R_SAbs,"&lt;"&amp;AX849,R_EAbs,"&gt;"&amp;AW849,R_OKey,1)-1,0)</f>
        <v>0</v>
      </c>
      <c r="BA849" s="80">
        <f>IF(AY849=1,COUNTIFS(R_Emp,"&lt;&gt;"&amp;D849,R_SAbs,"&lt;"&amp;AX849,R_EAbs,"&gt;"&amp;AW849,R_OKey,1),0)</f>
        <v>0</v>
      </c>
      <c r="BB849" s="80">
        <f>IF(AND(AB849=1,D849="proMX"),IF(AND(MOD(Z849,CFG_BLK)=0,MOD(AA849,CFG_BLK)=0,MOD(AG849,CFG_BLK)=0,AG849&gt;0),1,0),1)</f>
        <v>1</v>
      </c>
      <c r="BC849" s="80" t="str">
        <f>IF(Y849=0,"",IF(NOT(ISNUMBER(B849)),"Falta fecha o fecha inválida",IF(D849="","Falta empresa",IF(AND(D849&lt;&gt;"Malcolm",D849&lt;&gt;"proMX"),"Empresa inválida",IF(OR(INT(B849)&lt;CFG_PSTART,INT(B849)&gt;CFG_PEND),"Fecha fuera del período",IF(OR(NOT(ISNUMBER(Z849)),NOT(ISNUMBER(AA849))),"Falta hora inicio/fin o formato inválido",IF(AB849=0,"Hora inicio = hora fin",IF(AE849&lt;0,"Descanso inválido",IF(AE849&gt;=AD849,"Descanso ≥ duración",IF(AV849=1,"Registro duplicado",IF(AZ849&gt;0,"Se superpone con otro registro "&amp;D849,IF(BB849=0,"inicio, fin y duración neta deben ser múltiplos de "&amp;CFG_BLK&amp;" min",""))))))))))))</f>
        <v/>
      </c>
      <c r="BD849" s="80">
        <f>IF(AND(Y849=1,BC849=""),1,0)</f>
        <v>0</v>
      </c>
      <c r="BE849" s="80">
        <f>IF(AND(BD849=1,AU849=1),1,0)</f>
        <v>0</v>
      </c>
      <c r="BF849" s="80" t="str">
        <f>IF(AND(D849="proMX",BD849=1),IF(R849="","Draft",R849),"")</f>
        <v/>
      </c>
      <c r="BG849" s="80">
        <f>IF(BD849=1,ROUND(AG849/60,6),0)</f>
        <v>0</v>
      </c>
      <c r="BH849" s="80">
        <f>IF(BE849=1,ROUND(AG849/60,6),0)</f>
        <v>0</v>
      </c>
      <c r="BI849" s="80">
        <f>IF(BE849=1,ROUND(AP849/60,6),0)</f>
        <v>0</v>
      </c>
      <c r="BJ849" s="80">
        <f>IF(BE849=1,ROUND(AQ849/60,6),0)</f>
        <v>0</v>
      </c>
      <c r="BK849" s="80">
        <f>IF(BE849=1,ROUND((AR849+AS849)/60,6),0)</f>
        <v>0</v>
      </c>
      <c r="BL849" s="80">
        <f>ROUND(BH849-BK849,6)</f>
        <v>0</v>
      </c>
      <c r="BM849" s="80">
        <f>IF(BE849=1,ROUND(AR849/60,6),0)</f>
        <v>0</v>
      </c>
      <c r="BN849" s="80">
        <f>ROUND(BI849-BM849,6)</f>
        <v>0</v>
      </c>
      <c r="BO849" s="80">
        <f>IF(BE849=1,ROUND(AS849/60,6),0)</f>
        <v>0</v>
      </c>
      <c r="BP849" s="80">
        <f>ROUND(BJ849-BO849,6)</f>
        <v>0</v>
      </c>
      <c r="BQ849" s="80">
        <f>IF(BE849=1,AW849,0)</f>
        <v>0</v>
      </c>
      <c r="BR849" s="80">
        <f>IF(BE849=1,AX849,0)</f>
        <v>0</v>
      </c>
      <c r="BS849" s="80">
        <f>IF(AND(BE849=1,D849="Malcolm",BA849&gt;0),MIN(BH849,SUMPRODUCT((R_Emp="proMX")*(R_EN&gt;0)*((R_EN-(R_EN&gt;BR849)*(R_EN-BR849))&gt;(R_SN+(R_SN&lt;BQ849)*(BQ849-R_SN)))*((R_EN-(R_EN&gt;BR849)*(R_EN-BR849))-(R_SN+(R_SN&lt;BQ849)*(BQ849-R_SN))))/60),0)</f>
        <v>0</v>
      </c>
      <c r="BT849" s="80">
        <f>IF(AND(BE849=1,D849="proMX"),ROUND(BI849*CFG_RATE+BJ849*CFG_OTRATE,6),0)</f>
        <v>0</v>
      </c>
      <c r="BU849" s="80">
        <f>IF(AND(BD849=1,D849="proMX"),ROUND(AG849/CFG_BLK,6),0)</f>
        <v>0</v>
      </c>
      <c r="BV849" s="80" t="str">
        <f>IF(BF849="Approved",IF(ISNUMBER(T849),INT(T849),INT(B849)),"")</f>
        <v/>
      </c>
      <c r="BW849" s="80">
        <f>IF(ISNUMBER(B849),IF(DB_MON="Todos",1,IF(AND(INT(B849)&gt;=DB_MS,INT(B849)&lt;=DB_ME),1,0)),0)</f>
        <v>0</v>
      </c>
      <c r="BX849" s="80">
        <f>IF(DB_PROJ="Todos",1,IF(E849&amp;""=DB_PROJ&amp;"",1,0))</f>
        <v>1</v>
      </c>
      <c r="BY849" s="80">
        <f>BW849*BX849</f>
        <v>0</v>
      </c>
      <c r="BZ849" s="80" t="str">
        <f>IF(Y849=1,F849&amp;IF(AND(F849&amp;""&lt;&gt;"",E849&amp;""&lt;&gt;"")," · ","")&amp;E849,"")</f>
        <v/>
      </c>
      <c r="CA849" s="80" t="str">
        <f>IF(AND(BD849=1,E849&amp;""&lt;&gt;""),IF(COUNTIFS($E$5:E848,E849,$BD$5:BD848,1)=0,MAX($CA$5:CA848)+1,""),"")</f>
        <v/>
      </c>
      <c r="CB849" s="80" t="str">
        <f>IF(AND(BE849=1,D849="Malcolm",E849&amp;""&lt;&gt;""),IF(COUNTIFS($D$5:D848,"Malcolm",$E$5:E848,E849,$BE$5:BE848,1)=0,MAX($CB$5:CB848)+1,""),"")</f>
        <v/>
      </c>
      <c r="CC849" s="80" t="str">
        <f>IF(AND(BD849=1,D849="proMX",E849&amp;""&lt;&gt;""),IF(COUNTIFS($D$5:D848,"proMX",$E$5:E848,E849,$BD$5:BD848,1)=0,MAX($CC$5:CC848)+1,""),"")</f>
        <v/>
      </c>
      <c r="CD849" s="80" t="str">
        <f>IF(AND(BE849=1,D849="Malcolm",F849&amp;""&lt;&gt;""),IF(COUNTIFS($D$5:D848,"Malcolm",$F$5:F848,F849,$BE$5:BE848,1)=0,MAX($CD$5:CD848)+1,""),"")</f>
        <v/>
      </c>
      <c r="CE849" s="80" t="str">
        <f>IF(AND(BD849=1,D849="proMX",F849&amp;""&lt;&gt;""),IF(COUNTIFS($D$5:D848,"proMX",$F$5:F848,F849,$BD$5:BD848,1)=0,MAX($CE$5:CE848)+1,""),"")</f>
        <v/>
      </c>
      <c r="CF849" s="80" t="str">
        <f>IF(AND(D849="proMX",BD849=1),IF(OR(BF849="Draft",BF849="Submitted",BF849="Returned",BF849="Recall Requested"),MAX($CF$5:CF848)+1,""),"")</f>
        <v/>
      </c>
      <c r="CG849" s="80">
        <f>IF(BD849=0,0,IF(D849="Malcolm",1,MATCH(BF849,{"Draft","Submitted","Approved","Returned","Recall Requested","Cancelled"},0)+1))</f>
        <v>0</v>
      </c>
      <c r="CH849" s="80">
        <f>IF(AND(BF849="Submitted",ISNUMBER(V849)),IF(V849&gt;CFG_MAXD,1,0),0)</f>
        <v>0</v>
      </c>
    </row>
    <row r="850">
      <c r="A850" s="71" t="str">
        <f>IF(Y850=1,ROW()-5,"")</f>
        <v/>
      </c>
      <c r="B850" s="72" t="n"/>
      <c r="C850" s="71" t="str">
        <f>IF(ISNUMBER(B850),CHOOSE(WEEKDAY(B850,2),"Lun","Mar","Mié","Jue","Vie","Sáb","Dom"),"")</f>
        <v/>
      </c>
      <c r="D850" s="73" t="n"/>
      <c r="E850" s="74" t="n"/>
      <c r="F850" s="74" t="n"/>
      <c r="G850" s="74" t="n"/>
      <c r="H850" s="75" t="n"/>
      <c r="I850" s="75" t="n"/>
      <c r="J850" s="76" t="n"/>
      <c r="K850" s="77" t="str">
        <f>IF(AB850=1,ROUND(AG850/60,4),"")</f>
        <v/>
      </c>
      <c r="L850" s="77" t="str">
        <f>IF(BD850=1,ROUND(AP850/60,4),"")</f>
        <v/>
      </c>
      <c r="M850" s="77" t="str">
        <f>IF(BD850=1,ROUND(AQ850/60,4),"")</f>
        <v/>
      </c>
      <c r="N850" s="71" t="str">
        <f>IF(AND(D850="proMX",AB850=1),ROUND(AG850/CFG_BLK,2),"")</f>
        <v/>
      </c>
      <c r="O850" s="77" t="str">
        <f>IF(D850="proMX",IF(BD850=1,ROUND(AG850/60,4),0),"")</f>
        <v/>
      </c>
      <c r="P850" s="78" t="str">
        <f>IF(Y850=0,"",IF(BD850=1,"OK",IF(D850="proMX","Revisar bloques: ","Revisar: ")&amp;BC850))</f>
        <v/>
      </c>
      <c r="Q850" s="78" t="str">
        <f>IF(NOT(ISNUMBER(B850)),"",IF(COUNTIFS(FER_F,INT(B850))&gt;0,"Feriado"&amp;IF(AH850=1," (laborable)"," (no laborable)"),IF(AH850=1,"Laborable",IF(WEEKDAY(B850,2)&gt;5,"Fin de semana","No laborable"))))</f>
        <v/>
      </c>
      <c r="R850" s="73" t="n"/>
      <c r="S850" s="72" t="n"/>
      <c r="T850" s="72" t="n"/>
      <c r="U850" s="74" t="n"/>
      <c r="V850" s="79" t="str">
        <f>IF(AND(D850="proMX",OR(R850="Submitted",R850="Recall Requested"),ISNUMBER(S850)),CFG_TODAY-INT(S850),"")</f>
        <v/>
      </c>
      <c r="W850" s="78" t="str">
        <f>IF(BD850=0,"",IF(BA850&gt;0,"⚠ Se superpone con un registro de la otra empresa",IF(D850="Malcolm",IF(COUNTA(R850,S850,T850)&gt;0,"Estado/fechas proMX se ignoran en Malcolm",""),IF(BF850="Cancelled","Cancelado: excluido de totales",IF(R850="","Sin estado: se trata como Draft",IF(BF850="Submitted",IF(ISNUMBER(V850),IF(V850&gt;CFG_MAXD,"⚠ "&amp;V850&amp;" días en Submitted (máx. "&amp;CFG_MAXD&amp;")",""),"Falta fecha de envío"),IF(BF850="Returned","⚠ Devuelto: corregir y reenviar",IF(BF850="Recall Requested","Retirada solicitada: pendiente",IF(AND(BF850="Approved",NOT(ISNUMBER(T850))),"Falta fecha de aprobación",IF(AND(ISNUMBER(S850),ISNUMBER(T850),T850&lt;S850),"Aprobación anterior al envío","")))))))))</f>
        <v/>
      </c>
      <c r="Y850" s="80">
        <f>IF(COUNTA(B850,D850,E850,F850,G850,H850,I850,J850,R850,S850,T850)&gt;0,1,0)</f>
        <v>0</v>
      </c>
      <c r="Z850" s="80" t="str">
        <f>IF(AND(ISNUMBER(H850),H850&gt;=0,H850&lt;1),ROUND(H850*1440,0),"")</f>
        <v/>
      </c>
      <c r="AA850" s="80" t="str">
        <f>IF(AND(ISNUMBER(I850),I850&gt;=0,I850&lt;1),ROUND(I850*1440,0),"")</f>
        <v/>
      </c>
      <c r="AB850" s="80">
        <f>IF(AND(ISNUMBER(B850),D850&lt;&gt;"",ISNUMBER(Z850),ISNUMBER(AA850)),IF(Z850=AA850,0,1),0)</f>
        <v>0</v>
      </c>
      <c r="AC850" s="80">
        <f>IF(AB850=1,IF(AA850&lt;Z850,1,0),0)</f>
        <v>0</v>
      </c>
      <c r="AD850" s="80">
        <f>IF(AB850=1,IF(AC850=1,1440-Z850+AA850,AA850-Z850),0)</f>
        <v>0</v>
      </c>
      <c r="AE850" s="80">
        <f>IF(J850="",0,IF(ISNUMBER(J850),J850,-1))</f>
        <v>0</v>
      </c>
      <c r="AF850" s="80">
        <f>MIN(MAX(0,AE850),AD850)</f>
        <v>0</v>
      </c>
      <c r="AG850" s="80">
        <f>MAX(0,AD850-MAX(0,AE850))</f>
        <v>0</v>
      </c>
      <c r="AH850" s="80">
        <f>IF(ISNUMBER(B850),IF(AND(INDEX(CFG_WDAYS,WEEKDAY(INT(B850),2))="Sí",IF(D850="proMX",COUNTIFS(FER_F,INT(B850),FER_NLP,"Sí"),COUNTIFS(FER_F,INT(B850),FER_NLM,"Sí"))=0),1,0),0)</f>
        <v>0</v>
      </c>
      <c r="AI850" s="80">
        <f>IF(AC850=1,IF(AND(INDEX(CFG_WDAYS,WEEKDAY(INT(B850)+1,2))="Sí",IF(D850="proMX",COUNTIFS(FER_F,INT(B850)+1,FER_NLP,"Sí"),COUNTIFS(FER_F,INT(B850)+1,FER_NLM,"Sí"))=0),1,0),0)</f>
        <v>0</v>
      </c>
      <c r="AJ850" s="80">
        <f>IF(AC850=1,1440-Z850,AD850)</f>
        <v>0</v>
      </c>
      <c r="AK850" s="80">
        <f>IF(AND(AB850=1,AH850=1),MAX(0,MIN(IF(AC850=1,1440,AA850),CFG_WEM)-MAX(Z850,CFG_WSM)),0)</f>
        <v>0</v>
      </c>
      <c r="AL850" s="80">
        <f>IF(AND(AC850=1,AI850=1),MAX(0,MIN(AA850,CFG_WEM)-CFG_WSM),0)</f>
        <v>0</v>
      </c>
      <c r="AM850" s="80">
        <f>AK850+AL850</f>
        <v>0</v>
      </c>
      <c r="AN850" s="80">
        <f>IF(CFG_BRK="Proporcional",IF(AD850=0,0,AF850*AM850/AD850),IF(CFG_BRK="Extras primero",MIN(AM850,MAX(0,AF850-(AD850-AM850))),MIN(AF850,AM850)))</f>
        <v>0</v>
      </c>
      <c r="AO850" s="80">
        <f>AF850-AN850</f>
        <v>0</v>
      </c>
      <c r="AP850" s="80">
        <f>AM850-AN850</f>
        <v>0</v>
      </c>
      <c r="AQ850" s="80">
        <f>AD850-AM850-AO850</f>
        <v>0</v>
      </c>
      <c r="AR850" s="80">
        <f>IF(AM850=0,0,AK850-AN850*AK850/AM850)</f>
        <v>0</v>
      </c>
      <c r="AS850" s="80">
        <f>IF(AD850-AM850=0,0,(AJ850-AK850)-AO850*(AJ850-AK850)/(AD850-AM850))</f>
        <v>0</v>
      </c>
      <c r="AT850" s="80" t="str">
        <f>IF(AC850=1,INT(B850)+1,"")</f>
        <v/>
      </c>
      <c r="AU850" s="80">
        <f>IF(AND(D850="proMX",R850="Cancelled"),0,1)</f>
        <v>1</v>
      </c>
      <c r="AV850" s="80">
        <f>IF(AND(AB850=1,AU850=1),IF(COUNTIFS($D$5:D849,D850,$B$5:B849,B850,$Z$5:Z849,Z850,$AA$5:AA849,AA850,$F$5:F849,F850&amp;"",$AU$5:AU849,1)&gt;0,1,0),0)</f>
        <v>0</v>
      </c>
      <c r="AW850" s="80" t="str">
        <f>IF(AB850=1,INT(B850)*1440+Z850,"")</f>
        <v/>
      </c>
      <c r="AX850" s="80" t="str">
        <f>IF(AB850=1,AW850+AD850,"")</f>
        <v/>
      </c>
      <c r="AY850" s="80">
        <f>IF(AND(AB850=1,AV850=0,AU850=1),1,0)</f>
        <v>0</v>
      </c>
      <c r="AZ850" s="80">
        <f>IF(AY850=1,COUNTIFS(R_Emp,D850,R_SAbs,"&lt;"&amp;AX850,R_EAbs,"&gt;"&amp;AW850,R_OKey,1)-1,0)</f>
        <v>0</v>
      </c>
      <c r="BA850" s="80">
        <f>IF(AY850=1,COUNTIFS(R_Emp,"&lt;&gt;"&amp;D850,R_SAbs,"&lt;"&amp;AX850,R_EAbs,"&gt;"&amp;AW850,R_OKey,1),0)</f>
        <v>0</v>
      </c>
      <c r="BB850" s="80">
        <f>IF(AND(AB850=1,D850="proMX"),IF(AND(MOD(Z850,CFG_BLK)=0,MOD(AA850,CFG_BLK)=0,MOD(AG850,CFG_BLK)=0,AG850&gt;0),1,0),1)</f>
        <v>1</v>
      </c>
      <c r="BC850" s="80" t="str">
        <f>IF(Y850=0,"",IF(NOT(ISNUMBER(B850)),"Falta fecha o fecha inválida",IF(D850="","Falta empresa",IF(AND(D850&lt;&gt;"Malcolm",D850&lt;&gt;"proMX"),"Empresa inválida",IF(OR(INT(B850)&lt;CFG_PSTART,INT(B850)&gt;CFG_PEND),"Fecha fuera del período",IF(OR(NOT(ISNUMBER(Z850)),NOT(ISNUMBER(AA850))),"Falta hora inicio/fin o formato inválido",IF(AB850=0,"Hora inicio = hora fin",IF(AE850&lt;0,"Descanso inválido",IF(AE850&gt;=AD850,"Descanso ≥ duración",IF(AV850=1,"Registro duplicado",IF(AZ850&gt;0,"Se superpone con otro registro "&amp;D850,IF(BB850=0,"inicio, fin y duración neta deben ser múltiplos de "&amp;CFG_BLK&amp;" min",""))))))))))))</f>
        <v/>
      </c>
      <c r="BD850" s="80">
        <f>IF(AND(Y850=1,BC850=""),1,0)</f>
        <v>0</v>
      </c>
      <c r="BE850" s="80">
        <f>IF(AND(BD850=1,AU850=1),1,0)</f>
        <v>0</v>
      </c>
      <c r="BF850" s="80" t="str">
        <f>IF(AND(D850="proMX",BD850=1),IF(R850="","Draft",R850),"")</f>
        <v/>
      </c>
      <c r="BG850" s="80">
        <f>IF(BD850=1,ROUND(AG850/60,6),0)</f>
        <v>0</v>
      </c>
      <c r="BH850" s="80">
        <f>IF(BE850=1,ROUND(AG850/60,6),0)</f>
        <v>0</v>
      </c>
      <c r="BI850" s="80">
        <f>IF(BE850=1,ROUND(AP850/60,6),0)</f>
        <v>0</v>
      </c>
      <c r="BJ850" s="80">
        <f>IF(BE850=1,ROUND(AQ850/60,6),0)</f>
        <v>0</v>
      </c>
      <c r="BK850" s="80">
        <f>IF(BE850=1,ROUND((AR850+AS850)/60,6),0)</f>
        <v>0</v>
      </c>
      <c r="BL850" s="80">
        <f>ROUND(BH850-BK850,6)</f>
        <v>0</v>
      </c>
      <c r="BM850" s="80">
        <f>IF(BE850=1,ROUND(AR850/60,6),0)</f>
        <v>0</v>
      </c>
      <c r="BN850" s="80">
        <f>ROUND(BI850-BM850,6)</f>
        <v>0</v>
      </c>
      <c r="BO850" s="80">
        <f>IF(BE850=1,ROUND(AS850/60,6),0)</f>
        <v>0</v>
      </c>
      <c r="BP850" s="80">
        <f>ROUND(BJ850-BO850,6)</f>
        <v>0</v>
      </c>
      <c r="BQ850" s="80">
        <f>IF(BE850=1,AW850,0)</f>
        <v>0</v>
      </c>
      <c r="BR850" s="80">
        <f>IF(BE850=1,AX850,0)</f>
        <v>0</v>
      </c>
      <c r="BS850" s="80">
        <f>IF(AND(BE850=1,D850="Malcolm",BA850&gt;0),MIN(BH850,SUMPRODUCT((R_Emp="proMX")*(R_EN&gt;0)*((R_EN-(R_EN&gt;BR850)*(R_EN-BR850))&gt;(R_SN+(R_SN&lt;BQ850)*(BQ850-R_SN)))*((R_EN-(R_EN&gt;BR850)*(R_EN-BR850))-(R_SN+(R_SN&lt;BQ850)*(BQ850-R_SN))))/60),0)</f>
        <v>0</v>
      </c>
      <c r="BT850" s="80">
        <f>IF(AND(BE850=1,D850="proMX"),ROUND(BI850*CFG_RATE+BJ850*CFG_OTRATE,6),0)</f>
        <v>0</v>
      </c>
      <c r="BU850" s="80">
        <f>IF(AND(BD850=1,D850="proMX"),ROUND(AG850/CFG_BLK,6),0)</f>
        <v>0</v>
      </c>
      <c r="BV850" s="80" t="str">
        <f>IF(BF850="Approved",IF(ISNUMBER(T850),INT(T850),INT(B850)),"")</f>
        <v/>
      </c>
      <c r="BW850" s="80">
        <f>IF(ISNUMBER(B850),IF(DB_MON="Todos",1,IF(AND(INT(B850)&gt;=DB_MS,INT(B850)&lt;=DB_ME),1,0)),0)</f>
        <v>0</v>
      </c>
      <c r="BX850" s="80">
        <f>IF(DB_PROJ="Todos",1,IF(E850&amp;""=DB_PROJ&amp;"",1,0))</f>
        <v>1</v>
      </c>
      <c r="BY850" s="80">
        <f>BW850*BX850</f>
        <v>0</v>
      </c>
      <c r="BZ850" s="80" t="str">
        <f>IF(Y850=1,F850&amp;IF(AND(F850&amp;""&lt;&gt;"",E850&amp;""&lt;&gt;"")," · ","")&amp;E850,"")</f>
        <v/>
      </c>
      <c r="CA850" s="80" t="str">
        <f>IF(AND(BD850=1,E850&amp;""&lt;&gt;""),IF(COUNTIFS($E$5:E849,E850,$BD$5:BD849,1)=0,MAX($CA$5:CA849)+1,""),"")</f>
        <v/>
      </c>
      <c r="CB850" s="80" t="str">
        <f>IF(AND(BE850=1,D850="Malcolm",E850&amp;""&lt;&gt;""),IF(COUNTIFS($D$5:D849,"Malcolm",$E$5:E849,E850,$BE$5:BE849,1)=0,MAX($CB$5:CB849)+1,""),"")</f>
        <v/>
      </c>
      <c r="CC850" s="80" t="str">
        <f>IF(AND(BD850=1,D850="proMX",E850&amp;""&lt;&gt;""),IF(COUNTIFS($D$5:D849,"proMX",$E$5:E849,E850,$BD$5:BD849,1)=0,MAX($CC$5:CC849)+1,""),"")</f>
        <v/>
      </c>
      <c r="CD850" s="80" t="str">
        <f>IF(AND(BE850=1,D850="Malcolm",F850&amp;""&lt;&gt;""),IF(COUNTIFS($D$5:D849,"Malcolm",$F$5:F849,F850,$BE$5:BE849,1)=0,MAX($CD$5:CD849)+1,""),"")</f>
        <v/>
      </c>
      <c r="CE850" s="80" t="str">
        <f>IF(AND(BD850=1,D850="proMX",F850&amp;""&lt;&gt;""),IF(COUNTIFS($D$5:D849,"proMX",$F$5:F849,F850,$BD$5:BD849,1)=0,MAX($CE$5:CE849)+1,""),"")</f>
        <v/>
      </c>
      <c r="CF850" s="80" t="str">
        <f>IF(AND(D850="proMX",BD850=1),IF(OR(BF850="Draft",BF850="Submitted",BF850="Returned",BF850="Recall Requested"),MAX($CF$5:CF849)+1,""),"")</f>
        <v/>
      </c>
      <c r="CG850" s="80">
        <f>IF(BD850=0,0,IF(D850="Malcolm",1,MATCH(BF850,{"Draft","Submitted","Approved","Returned","Recall Requested","Cancelled"},0)+1))</f>
        <v>0</v>
      </c>
      <c r="CH850" s="80">
        <f>IF(AND(BF850="Submitted",ISNUMBER(V850)),IF(V850&gt;CFG_MAXD,1,0),0)</f>
        <v>0</v>
      </c>
    </row>
    <row r="851">
      <c r="A851" s="71" t="str">
        <f>IF(Y851=1,ROW()-5,"")</f>
        <v/>
      </c>
      <c r="B851" s="72" t="n"/>
      <c r="C851" s="71" t="str">
        <f>IF(ISNUMBER(B851),CHOOSE(WEEKDAY(B851,2),"Lun","Mar","Mié","Jue","Vie","Sáb","Dom"),"")</f>
        <v/>
      </c>
      <c r="D851" s="73" t="n"/>
      <c r="E851" s="74" t="n"/>
      <c r="F851" s="74" t="n"/>
      <c r="G851" s="74" t="n"/>
      <c r="H851" s="75" t="n"/>
      <c r="I851" s="75" t="n"/>
      <c r="J851" s="76" t="n"/>
      <c r="K851" s="77" t="str">
        <f>IF(AB851=1,ROUND(AG851/60,4),"")</f>
        <v/>
      </c>
      <c r="L851" s="77" t="str">
        <f>IF(BD851=1,ROUND(AP851/60,4),"")</f>
        <v/>
      </c>
      <c r="M851" s="77" t="str">
        <f>IF(BD851=1,ROUND(AQ851/60,4),"")</f>
        <v/>
      </c>
      <c r="N851" s="71" t="str">
        <f>IF(AND(D851="proMX",AB851=1),ROUND(AG851/CFG_BLK,2),"")</f>
        <v/>
      </c>
      <c r="O851" s="77" t="str">
        <f>IF(D851="proMX",IF(BD851=1,ROUND(AG851/60,4),0),"")</f>
        <v/>
      </c>
      <c r="P851" s="78" t="str">
        <f>IF(Y851=0,"",IF(BD851=1,"OK",IF(D851="proMX","Revisar bloques: ","Revisar: ")&amp;BC851))</f>
        <v/>
      </c>
      <c r="Q851" s="78" t="str">
        <f>IF(NOT(ISNUMBER(B851)),"",IF(COUNTIFS(FER_F,INT(B851))&gt;0,"Feriado"&amp;IF(AH851=1," (laborable)"," (no laborable)"),IF(AH851=1,"Laborable",IF(WEEKDAY(B851,2)&gt;5,"Fin de semana","No laborable"))))</f>
        <v/>
      </c>
      <c r="R851" s="73" t="n"/>
      <c r="S851" s="72" t="n"/>
      <c r="T851" s="72" t="n"/>
      <c r="U851" s="74" t="n"/>
      <c r="V851" s="79" t="str">
        <f>IF(AND(D851="proMX",OR(R851="Submitted",R851="Recall Requested"),ISNUMBER(S851)),CFG_TODAY-INT(S851),"")</f>
        <v/>
      </c>
      <c r="W851" s="78" t="str">
        <f>IF(BD851=0,"",IF(BA851&gt;0,"⚠ Se superpone con un registro de la otra empresa",IF(D851="Malcolm",IF(COUNTA(R851,S851,T851)&gt;0,"Estado/fechas proMX se ignoran en Malcolm",""),IF(BF851="Cancelled","Cancelado: excluido de totales",IF(R851="","Sin estado: se trata como Draft",IF(BF851="Submitted",IF(ISNUMBER(V851),IF(V851&gt;CFG_MAXD,"⚠ "&amp;V851&amp;" días en Submitted (máx. "&amp;CFG_MAXD&amp;")",""),"Falta fecha de envío"),IF(BF851="Returned","⚠ Devuelto: corregir y reenviar",IF(BF851="Recall Requested","Retirada solicitada: pendiente",IF(AND(BF851="Approved",NOT(ISNUMBER(T851))),"Falta fecha de aprobación",IF(AND(ISNUMBER(S851),ISNUMBER(T851),T851&lt;S851),"Aprobación anterior al envío","")))))))))</f>
        <v/>
      </c>
      <c r="Y851" s="80">
        <f>IF(COUNTA(B851,D851,E851,F851,G851,H851,I851,J851,R851,S851,T851)&gt;0,1,0)</f>
        <v>0</v>
      </c>
      <c r="Z851" s="80" t="str">
        <f>IF(AND(ISNUMBER(H851),H851&gt;=0,H851&lt;1),ROUND(H851*1440,0),"")</f>
        <v/>
      </c>
      <c r="AA851" s="80" t="str">
        <f>IF(AND(ISNUMBER(I851),I851&gt;=0,I851&lt;1),ROUND(I851*1440,0),"")</f>
        <v/>
      </c>
      <c r="AB851" s="80">
        <f>IF(AND(ISNUMBER(B851),D851&lt;&gt;"",ISNUMBER(Z851),ISNUMBER(AA851)),IF(Z851=AA851,0,1),0)</f>
        <v>0</v>
      </c>
      <c r="AC851" s="80">
        <f>IF(AB851=1,IF(AA851&lt;Z851,1,0),0)</f>
        <v>0</v>
      </c>
      <c r="AD851" s="80">
        <f>IF(AB851=1,IF(AC851=1,1440-Z851+AA851,AA851-Z851),0)</f>
        <v>0</v>
      </c>
      <c r="AE851" s="80">
        <f>IF(J851="",0,IF(ISNUMBER(J851),J851,-1))</f>
        <v>0</v>
      </c>
      <c r="AF851" s="80">
        <f>MIN(MAX(0,AE851),AD851)</f>
        <v>0</v>
      </c>
      <c r="AG851" s="80">
        <f>MAX(0,AD851-MAX(0,AE851))</f>
        <v>0</v>
      </c>
      <c r="AH851" s="80">
        <f>IF(ISNUMBER(B851),IF(AND(INDEX(CFG_WDAYS,WEEKDAY(INT(B851),2))="Sí",IF(D851="proMX",COUNTIFS(FER_F,INT(B851),FER_NLP,"Sí"),COUNTIFS(FER_F,INT(B851),FER_NLM,"Sí"))=0),1,0),0)</f>
        <v>0</v>
      </c>
      <c r="AI851" s="80">
        <f>IF(AC851=1,IF(AND(INDEX(CFG_WDAYS,WEEKDAY(INT(B851)+1,2))="Sí",IF(D851="proMX",COUNTIFS(FER_F,INT(B851)+1,FER_NLP,"Sí"),COUNTIFS(FER_F,INT(B851)+1,FER_NLM,"Sí"))=0),1,0),0)</f>
        <v>0</v>
      </c>
      <c r="AJ851" s="80">
        <f>IF(AC851=1,1440-Z851,AD851)</f>
        <v>0</v>
      </c>
      <c r="AK851" s="80">
        <f>IF(AND(AB851=1,AH851=1),MAX(0,MIN(IF(AC851=1,1440,AA851),CFG_WEM)-MAX(Z851,CFG_WSM)),0)</f>
        <v>0</v>
      </c>
      <c r="AL851" s="80">
        <f>IF(AND(AC851=1,AI851=1),MAX(0,MIN(AA851,CFG_WEM)-CFG_WSM),0)</f>
        <v>0</v>
      </c>
      <c r="AM851" s="80">
        <f>AK851+AL851</f>
        <v>0</v>
      </c>
      <c r="AN851" s="80">
        <f>IF(CFG_BRK="Proporcional",IF(AD851=0,0,AF851*AM851/AD851),IF(CFG_BRK="Extras primero",MIN(AM851,MAX(0,AF851-(AD851-AM851))),MIN(AF851,AM851)))</f>
        <v>0</v>
      </c>
      <c r="AO851" s="80">
        <f>AF851-AN851</f>
        <v>0</v>
      </c>
      <c r="AP851" s="80">
        <f>AM851-AN851</f>
        <v>0</v>
      </c>
      <c r="AQ851" s="80">
        <f>AD851-AM851-AO851</f>
        <v>0</v>
      </c>
      <c r="AR851" s="80">
        <f>IF(AM851=0,0,AK851-AN851*AK851/AM851)</f>
        <v>0</v>
      </c>
      <c r="AS851" s="80">
        <f>IF(AD851-AM851=0,0,(AJ851-AK851)-AO851*(AJ851-AK851)/(AD851-AM851))</f>
        <v>0</v>
      </c>
      <c r="AT851" s="80" t="str">
        <f>IF(AC851=1,INT(B851)+1,"")</f>
        <v/>
      </c>
      <c r="AU851" s="80">
        <f>IF(AND(D851="proMX",R851="Cancelled"),0,1)</f>
        <v>1</v>
      </c>
      <c r="AV851" s="80">
        <f>IF(AND(AB851=1,AU851=1),IF(COUNTIFS($D$5:D850,D851,$B$5:B850,B851,$Z$5:Z850,Z851,$AA$5:AA850,AA851,$F$5:F850,F851&amp;"",$AU$5:AU850,1)&gt;0,1,0),0)</f>
        <v>0</v>
      </c>
      <c r="AW851" s="80" t="str">
        <f>IF(AB851=1,INT(B851)*1440+Z851,"")</f>
        <v/>
      </c>
      <c r="AX851" s="80" t="str">
        <f>IF(AB851=1,AW851+AD851,"")</f>
        <v/>
      </c>
      <c r="AY851" s="80">
        <f>IF(AND(AB851=1,AV851=0,AU851=1),1,0)</f>
        <v>0</v>
      </c>
      <c r="AZ851" s="80">
        <f>IF(AY851=1,COUNTIFS(R_Emp,D851,R_SAbs,"&lt;"&amp;AX851,R_EAbs,"&gt;"&amp;AW851,R_OKey,1)-1,0)</f>
        <v>0</v>
      </c>
      <c r="BA851" s="80">
        <f>IF(AY851=1,COUNTIFS(R_Emp,"&lt;&gt;"&amp;D851,R_SAbs,"&lt;"&amp;AX851,R_EAbs,"&gt;"&amp;AW851,R_OKey,1),0)</f>
        <v>0</v>
      </c>
      <c r="BB851" s="80">
        <f>IF(AND(AB851=1,D851="proMX"),IF(AND(MOD(Z851,CFG_BLK)=0,MOD(AA851,CFG_BLK)=0,MOD(AG851,CFG_BLK)=0,AG851&gt;0),1,0),1)</f>
        <v>1</v>
      </c>
      <c r="BC851" s="80" t="str">
        <f>IF(Y851=0,"",IF(NOT(ISNUMBER(B851)),"Falta fecha o fecha inválida",IF(D851="","Falta empresa",IF(AND(D851&lt;&gt;"Malcolm",D851&lt;&gt;"proMX"),"Empresa inválida",IF(OR(INT(B851)&lt;CFG_PSTART,INT(B851)&gt;CFG_PEND),"Fecha fuera del período",IF(OR(NOT(ISNUMBER(Z851)),NOT(ISNUMBER(AA851))),"Falta hora inicio/fin o formato inválido",IF(AB851=0,"Hora inicio = hora fin",IF(AE851&lt;0,"Descanso inválido",IF(AE851&gt;=AD851,"Descanso ≥ duración",IF(AV851=1,"Registro duplicado",IF(AZ851&gt;0,"Se superpone con otro registro "&amp;D851,IF(BB851=0,"inicio, fin y duración neta deben ser múltiplos de "&amp;CFG_BLK&amp;" min",""))))))))))))</f>
        <v/>
      </c>
      <c r="BD851" s="80">
        <f>IF(AND(Y851=1,BC851=""),1,0)</f>
        <v>0</v>
      </c>
      <c r="BE851" s="80">
        <f>IF(AND(BD851=1,AU851=1),1,0)</f>
        <v>0</v>
      </c>
      <c r="BF851" s="80" t="str">
        <f>IF(AND(D851="proMX",BD851=1),IF(R851="","Draft",R851),"")</f>
        <v/>
      </c>
      <c r="BG851" s="80">
        <f>IF(BD851=1,ROUND(AG851/60,6),0)</f>
        <v>0</v>
      </c>
      <c r="BH851" s="80">
        <f>IF(BE851=1,ROUND(AG851/60,6),0)</f>
        <v>0</v>
      </c>
      <c r="BI851" s="80">
        <f>IF(BE851=1,ROUND(AP851/60,6),0)</f>
        <v>0</v>
      </c>
      <c r="BJ851" s="80">
        <f>IF(BE851=1,ROUND(AQ851/60,6),0)</f>
        <v>0</v>
      </c>
      <c r="BK851" s="80">
        <f>IF(BE851=1,ROUND((AR851+AS851)/60,6),0)</f>
        <v>0</v>
      </c>
      <c r="BL851" s="80">
        <f>ROUND(BH851-BK851,6)</f>
        <v>0</v>
      </c>
      <c r="BM851" s="80">
        <f>IF(BE851=1,ROUND(AR851/60,6),0)</f>
        <v>0</v>
      </c>
      <c r="BN851" s="80">
        <f>ROUND(BI851-BM851,6)</f>
        <v>0</v>
      </c>
      <c r="BO851" s="80">
        <f>IF(BE851=1,ROUND(AS851/60,6),0)</f>
        <v>0</v>
      </c>
      <c r="BP851" s="80">
        <f>ROUND(BJ851-BO851,6)</f>
        <v>0</v>
      </c>
      <c r="BQ851" s="80">
        <f>IF(BE851=1,AW851,0)</f>
        <v>0</v>
      </c>
      <c r="BR851" s="80">
        <f>IF(BE851=1,AX851,0)</f>
        <v>0</v>
      </c>
      <c r="BS851" s="80">
        <f>IF(AND(BE851=1,D851="Malcolm",BA851&gt;0),MIN(BH851,SUMPRODUCT((R_Emp="proMX")*(R_EN&gt;0)*((R_EN-(R_EN&gt;BR851)*(R_EN-BR851))&gt;(R_SN+(R_SN&lt;BQ851)*(BQ851-R_SN)))*((R_EN-(R_EN&gt;BR851)*(R_EN-BR851))-(R_SN+(R_SN&lt;BQ851)*(BQ851-R_SN))))/60),0)</f>
        <v>0</v>
      </c>
      <c r="BT851" s="80">
        <f>IF(AND(BE851=1,D851="proMX"),ROUND(BI851*CFG_RATE+BJ851*CFG_OTRATE,6),0)</f>
        <v>0</v>
      </c>
      <c r="BU851" s="80">
        <f>IF(AND(BD851=1,D851="proMX"),ROUND(AG851/CFG_BLK,6),0)</f>
        <v>0</v>
      </c>
      <c r="BV851" s="80" t="str">
        <f>IF(BF851="Approved",IF(ISNUMBER(T851),INT(T851),INT(B851)),"")</f>
        <v/>
      </c>
      <c r="BW851" s="80">
        <f>IF(ISNUMBER(B851),IF(DB_MON="Todos",1,IF(AND(INT(B851)&gt;=DB_MS,INT(B851)&lt;=DB_ME),1,0)),0)</f>
        <v>0</v>
      </c>
      <c r="BX851" s="80">
        <f>IF(DB_PROJ="Todos",1,IF(E851&amp;""=DB_PROJ&amp;"",1,0))</f>
        <v>1</v>
      </c>
      <c r="BY851" s="80">
        <f>BW851*BX851</f>
        <v>0</v>
      </c>
      <c r="BZ851" s="80" t="str">
        <f>IF(Y851=1,F851&amp;IF(AND(F851&amp;""&lt;&gt;"",E851&amp;""&lt;&gt;"")," · ","")&amp;E851,"")</f>
        <v/>
      </c>
      <c r="CA851" s="80" t="str">
        <f>IF(AND(BD851=1,E851&amp;""&lt;&gt;""),IF(COUNTIFS($E$5:E850,E851,$BD$5:BD850,1)=0,MAX($CA$5:CA850)+1,""),"")</f>
        <v/>
      </c>
      <c r="CB851" s="80" t="str">
        <f>IF(AND(BE851=1,D851="Malcolm",E851&amp;""&lt;&gt;""),IF(COUNTIFS($D$5:D850,"Malcolm",$E$5:E850,E851,$BE$5:BE850,1)=0,MAX($CB$5:CB850)+1,""),"")</f>
        <v/>
      </c>
      <c r="CC851" s="80" t="str">
        <f>IF(AND(BD851=1,D851="proMX",E851&amp;""&lt;&gt;""),IF(COUNTIFS($D$5:D850,"proMX",$E$5:E850,E851,$BD$5:BD850,1)=0,MAX($CC$5:CC850)+1,""),"")</f>
        <v/>
      </c>
      <c r="CD851" s="80" t="str">
        <f>IF(AND(BE851=1,D851="Malcolm",F851&amp;""&lt;&gt;""),IF(COUNTIFS($D$5:D850,"Malcolm",$F$5:F850,F851,$BE$5:BE850,1)=0,MAX($CD$5:CD850)+1,""),"")</f>
        <v/>
      </c>
      <c r="CE851" s="80" t="str">
        <f>IF(AND(BD851=1,D851="proMX",F851&amp;""&lt;&gt;""),IF(COUNTIFS($D$5:D850,"proMX",$F$5:F850,F851,$BD$5:BD850,1)=0,MAX($CE$5:CE850)+1,""),"")</f>
        <v/>
      </c>
      <c r="CF851" s="80" t="str">
        <f>IF(AND(D851="proMX",BD851=1),IF(OR(BF851="Draft",BF851="Submitted",BF851="Returned",BF851="Recall Requested"),MAX($CF$5:CF850)+1,""),"")</f>
        <v/>
      </c>
      <c r="CG851" s="80">
        <f>IF(BD851=0,0,IF(D851="Malcolm",1,MATCH(BF851,{"Draft","Submitted","Approved","Returned","Recall Requested","Cancelled"},0)+1))</f>
        <v>0</v>
      </c>
      <c r="CH851" s="80">
        <f>IF(AND(BF851="Submitted",ISNUMBER(V851)),IF(V851&gt;CFG_MAXD,1,0),0)</f>
        <v>0</v>
      </c>
    </row>
    <row r="852">
      <c r="A852" s="71" t="str">
        <f>IF(Y852=1,ROW()-5,"")</f>
        <v/>
      </c>
      <c r="B852" s="72" t="n"/>
      <c r="C852" s="71" t="str">
        <f>IF(ISNUMBER(B852),CHOOSE(WEEKDAY(B852,2),"Lun","Mar","Mié","Jue","Vie","Sáb","Dom"),"")</f>
        <v/>
      </c>
      <c r="D852" s="73" t="n"/>
      <c r="E852" s="74" t="n"/>
      <c r="F852" s="74" t="n"/>
      <c r="G852" s="74" t="n"/>
      <c r="H852" s="75" t="n"/>
      <c r="I852" s="75" t="n"/>
      <c r="J852" s="76" t="n"/>
      <c r="K852" s="77" t="str">
        <f>IF(AB852=1,ROUND(AG852/60,4),"")</f>
        <v/>
      </c>
      <c r="L852" s="77" t="str">
        <f>IF(BD852=1,ROUND(AP852/60,4),"")</f>
        <v/>
      </c>
      <c r="M852" s="77" t="str">
        <f>IF(BD852=1,ROUND(AQ852/60,4),"")</f>
        <v/>
      </c>
      <c r="N852" s="71" t="str">
        <f>IF(AND(D852="proMX",AB852=1),ROUND(AG852/CFG_BLK,2),"")</f>
        <v/>
      </c>
      <c r="O852" s="77" t="str">
        <f>IF(D852="proMX",IF(BD852=1,ROUND(AG852/60,4),0),"")</f>
        <v/>
      </c>
      <c r="P852" s="78" t="str">
        <f>IF(Y852=0,"",IF(BD852=1,"OK",IF(D852="proMX","Revisar bloques: ","Revisar: ")&amp;BC852))</f>
        <v/>
      </c>
      <c r="Q852" s="78" t="str">
        <f>IF(NOT(ISNUMBER(B852)),"",IF(COUNTIFS(FER_F,INT(B852))&gt;0,"Feriado"&amp;IF(AH852=1," (laborable)"," (no laborable)"),IF(AH852=1,"Laborable",IF(WEEKDAY(B852,2)&gt;5,"Fin de semana","No laborable"))))</f>
        <v/>
      </c>
      <c r="R852" s="73" t="n"/>
      <c r="S852" s="72" t="n"/>
      <c r="T852" s="72" t="n"/>
      <c r="U852" s="74" t="n"/>
      <c r="V852" s="79" t="str">
        <f>IF(AND(D852="proMX",OR(R852="Submitted",R852="Recall Requested"),ISNUMBER(S852)),CFG_TODAY-INT(S852),"")</f>
        <v/>
      </c>
      <c r="W852" s="78" t="str">
        <f>IF(BD852=0,"",IF(BA852&gt;0,"⚠ Se superpone con un registro de la otra empresa",IF(D852="Malcolm",IF(COUNTA(R852,S852,T852)&gt;0,"Estado/fechas proMX se ignoran en Malcolm",""),IF(BF852="Cancelled","Cancelado: excluido de totales",IF(R852="","Sin estado: se trata como Draft",IF(BF852="Submitted",IF(ISNUMBER(V852),IF(V852&gt;CFG_MAXD,"⚠ "&amp;V852&amp;" días en Submitted (máx. "&amp;CFG_MAXD&amp;")",""),"Falta fecha de envío"),IF(BF852="Returned","⚠ Devuelto: corregir y reenviar",IF(BF852="Recall Requested","Retirada solicitada: pendiente",IF(AND(BF852="Approved",NOT(ISNUMBER(T852))),"Falta fecha de aprobación",IF(AND(ISNUMBER(S852),ISNUMBER(T852),T852&lt;S852),"Aprobación anterior al envío","")))))))))</f>
        <v/>
      </c>
      <c r="Y852" s="80">
        <f>IF(COUNTA(B852,D852,E852,F852,G852,H852,I852,J852,R852,S852,T852)&gt;0,1,0)</f>
        <v>0</v>
      </c>
      <c r="Z852" s="80" t="str">
        <f>IF(AND(ISNUMBER(H852),H852&gt;=0,H852&lt;1),ROUND(H852*1440,0),"")</f>
        <v/>
      </c>
      <c r="AA852" s="80" t="str">
        <f>IF(AND(ISNUMBER(I852),I852&gt;=0,I852&lt;1),ROUND(I852*1440,0),"")</f>
        <v/>
      </c>
      <c r="AB852" s="80">
        <f>IF(AND(ISNUMBER(B852),D852&lt;&gt;"",ISNUMBER(Z852),ISNUMBER(AA852)),IF(Z852=AA852,0,1),0)</f>
        <v>0</v>
      </c>
      <c r="AC852" s="80">
        <f>IF(AB852=1,IF(AA852&lt;Z852,1,0),0)</f>
        <v>0</v>
      </c>
      <c r="AD852" s="80">
        <f>IF(AB852=1,IF(AC852=1,1440-Z852+AA852,AA852-Z852),0)</f>
        <v>0</v>
      </c>
      <c r="AE852" s="80">
        <f>IF(J852="",0,IF(ISNUMBER(J852),J852,-1))</f>
        <v>0</v>
      </c>
      <c r="AF852" s="80">
        <f>MIN(MAX(0,AE852),AD852)</f>
        <v>0</v>
      </c>
      <c r="AG852" s="80">
        <f>MAX(0,AD852-MAX(0,AE852))</f>
        <v>0</v>
      </c>
      <c r="AH852" s="80">
        <f>IF(ISNUMBER(B852),IF(AND(INDEX(CFG_WDAYS,WEEKDAY(INT(B852),2))="Sí",IF(D852="proMX",COUNTIFS(FER_F,INT(B852),FER_NLP,"Sí"),COUNTIFS(FER_F,INT(B852),FER_NLM,"Sí"))=0),1,0),0)</f>
        <v>0</v>
      </c>
      <c r="AI852" s="80">
        <f>IF(AC852=1,IF(AND(INDEX(CFG_WDAYS,WEEKDAY(INT(B852)+1,2))="Sí",IF(D852="proMX",COUNTIFS(FER_F,INT(B852)+1,FER_NLP,"Sí"),COUNTIFS(FER_F,INT(B852)+1,FER_NLM,"Sí"))=0),1,0),0)</f>
        <v>0</v>
      </c>
      <c r="AJ852" s="80">
        <f>IF(AC852=1,1440-Z852,AD852)</f>
        <v>0</v>
      </c>
      <c r="AK852" s="80">
        <f>IF(AND(AB852=1,AH852=1),MAX(0,MIN(IF(AC852=1,1440,AA852),CFG_WEM)-MAX(Z852,CFG_WSM)),0)</f>
        <v>0</v>
      </c>
      <c r="AL852" s="80">
        <f>IF(AND(AC852=1,AI852=1),MAX(0,MIN(AA852,CFG_WEM)-CFG_WSM),0)</f>
        <v>0</v>
      </c>
      <c r="AM852" s="80">
        <f>AK852+AL852</f>
        <v>0</v>
      </c>
      <c r="AN852" s="80">
        <f>IF(CFG_BRK="Proporcional",IF(AD852=0,0,AF852*AM852/AD852),IF(CFG_BRK="Extras primero",MIN(AM852,MAX(0,AF852-(AD852-AM852))),MIN(AF852,AM852)))</f>
        <v>0</v>
      </c>
      <c r="AO852" s="80">
        <f>AF852-AN852</f>
        <v>0</v>
      </c>
      <c r="AP852" s="80">
        <f>AM852-AN852</f>
        <v>0</v>
      </c>
      <c r="AQ852" s="80">
        <f>AD852-AM852-AO852</f>
        <v>0</v>
      </c>
      <c r="AR852" s="80">
        <f>IF(AM852=0,0,AK852-AN852*AK852/AM852)</f>
        <v>0</v>
      </c>
      <c r="AS852" s="80">
        <f>IF(AD852-AM852=0,0,(AJ852-AK852)-AO852*(AJ852-AK852)/(AD852-AM852))</f>
        <v>0</v>
      </c>
      <c r="AT852" s="80" t="str">
        <f>IF(AC852=1,INT(B852)+1,"")</f>
        <v/>
      </c>
      <c r="AU852" s="80">
        <f>IF(AND(D852="proMX",R852="Cancelled"),0,1)</f>
        <v>1</v>
      </c>
      <c r="AV852" s="80">
        <f>IF(AND(AB852=1,AU852=1),IF(COUNTIFS($D$5:D851,D852,$B$5:B851,B852,$Z$5:Z851,Z852,$AA$5:AA851,AA852,$F$5:F851,F852&amp;"",$AU$5:AU851,1)&gt;0,1,0),0)</f>
        <v>0</v>
      </c>
      <c r="AW852" s="80" t="str">
        <f>IF(AB852=1,INT(B852)*1440+Z852,"")</f>
        <v/>
      </c>
      <c r="AX852" s="80" t="str">
        <f>IF(AB852=1,AW852+AD852,"")</f>
        <v/>
      </c>
      <c r="AY852" s="80">
        <f>IF(AND(AB852=1,AV852=0,AU852=1),1,0)</f>
        <v>0</v>
      </c>
      <c r="AZ852" s="80">
        <f>IF(AY852=1,COUNTIFS(R_Emp,D852,R_SAbs,"&lt;"&amp;AX852,R_EAbs,"&gt;"&amp;AW852,R_OKey,1)-1,0)</f>
        <v>0</v>
      </c>
      <c r="BA852" s="80">
        <f>IF(AY852=1,COUNTIFS(R_Emp,"&lt;&gt;"&amp;D852,R_SAbs,"&lt;"&amp;AX852,R_EAbs,"&gt;"&amp;AW852,R_OKey,1),0)</f>
        <v>0</v>
      </c>
      <c r="BB852" s="80">
        <f>IF(AND(AB852=1,D852="proMX"),IF(AND(MOD(Z852,CFG_BLK)=0,MOD(AA852,CFG_BLK)=0,MOD(AG852,CFG_BLK)=0,AG852&gt;0),1,0),1)</f>
        <v>1</v>
      </c>
      <c r="BC852" s="80" t="str">
        <f>IF(Y852=0,"",IF(NOT(ISNUMBER(B852)),"Falta fecha o fecha inválida",IF(D852="","Falta empresa",IF(AND(D852&lt;&gt;"Malcolm",D852&lt;&gt;"proMX"),"Empresa inválida",IF(OR(INT(B852)&lt;CFG_PSTART,INT(B852)&gt;CFG_PEND),"Fecha fuera del período",IF(OR(NOT(ISNUMBER(Z852)),NOT(ISNUMBER(AA852))),"Falta hora inicio/fin o formato inválido",IF(AB852=0,"Hora inicio = hora fin",IF(AE852&lt;0,"Descanso inválido",IF(AE852&gt;=AD852,"Descanso ≥ duración",IF(AV852=1,"Registro duplicado",IF(AZ852&gt;0,"Se superpone con otro registro "&amp;D852,IF(BB852=0,"inicio, fin y duración neta deben ser múltiplos de "&amp;CFG_BLK&amp;" min",""))))))))))))</f>
        <v/>
      </c>
      <c r="BD852" s="80">
        <f>IF(AND(Y852=1,BC852=""),1,0)</f>
        <v>0</v>
      </c>
      <c r="BE852" s="80">
        <f>IF(AND(BD852=1,AU852=1),1,0)</f>
        <v>0</v>
      </c>
      <c r="BF852" s="80" t="str">
        <f>IF(AND(D852="proMX",BD852=1),IF(R852="","Draft",R852),"")</f>
        <v/>
      </c>
      <c r="BG852" s="80">
        <f>IF(BD852=1,ROUND(AG852/60,6),0)</f>
        <v>0</v>
      </c>
      <c r="BH852" s="80">
        <f>IF(BE852=1,ROUND(AG852/60,6),0)</f>
        <v>0</v>
      </c>
      <c r="BI852" s="80">
        <f>IF(BE852=1,ROUND(AP852/60,6),0)</f>
        <v>0</v>
      </c>
      <c r="BJ852" s="80">
        <f>IF(BE852=1,ROUND(AQ852/60,6),0)</f>
        <v>0</v>
      </c>
      <c r="BK852" s="80">
        <f>IF(BE852=1,ROUND((AR852+AS852)/60,6),0)</f>
        <v>0</v>
      </c>
      <c r="BL852" s="80">
        <f>ROUND(BH852-BK852,6)</f>
        <v>0</v>
      </c>
      <c r="BM852" s="80">
        <f>IF(BE852=1,ROUND(AR852/60,6),0)</f>
        <v>0</v>
      </c>
      <c r="BN852" s="80">
        <f>ROUND(BI852-BM852,6)</f>
        <v>0</v>
      </c>
      <c r="BO852" s="80">
        <f>IF(BE852=1,ROUND(AS852/60,6),0)</f>
        <v>0</v>
      </c>
      <c r="BP852" s="80">
        <f>ROUND(BJ852-BO852,6)</f>
        <v>0</v>
      </c>
      <c r="BQ852" s="80">
        <f>IF(BE852=1,AW852,0)</f>
        <v>0</v>
      </c>
      <c r="BR852" s="80">
        <f>IF(BE852=1,AX852,0)</f>
        <v>0</v>
      </c>
      <c r="BS852" s="80">
        <f>IF(AND(BE852=1,D852="Malcolm",BA852&gt;0),MIN(BH852,SUMPRODUCT((R_Emp="proMX")*(R_EN&gt;0)*((R_EN-(R_EN&gt;BR852)*(R_EN-BR852))&gt;(R_SN+(R_SN&lt;BQ852)*(BQ852-R_SN)))*((R_EN-(R_EN&gt;BR852)*(R_EN-BR852))-(R_SN+(R_SN&lt;BQ852)*(BQ852-R_SN))))/60),0)</f>
        <v>0</v>
      </c>
      <c r="BT852" s="80">
        <f>IF(AND(BE852=1,D852="proMX"),ROUND(BI852*CFG_RATE+BJ852*CFG_OTRATE,6),0)</f>
        <v>0</v>
      </c>
      <c r="BU852" s="80">
        <f>IF(AND(BD852=1,D852="proMX"),ROUND(AG852/CFG_BLK,6),0)</f>
        <v>0</v>
      </c>
      <c r="BV852" s="80" t="str">
        <f>IF(BF852="Approved",IF(ISNUMBER(T852),INT(T852),INT(B852)),"")</f>
        <v/>
      </c>
      <c r="BW852" s="80">
        <f>IF(ISNUMBER(B852),IF(DB_MON="Todos",1,IF(AND(INT(B852)&gt;=DB_MS,INT(B852)&lt;=DB_ME),1,0)),0)</f>
        <v>0</v>
      </c>
      <c r="BX852" s="80">
        <f>IF(DB_PROJ="Todos",1,IF(E852&amp;""=DB_PROJ&amp;"",1,0))</f>
        <v>1</v>
      </c>
      <c r="BY852" s="80">
        <f>BW852*BX852</f>
        <v>0</v>
      </c>
      <c r="BZ852" s="80" t="str">
        <f>IF(Y852=1,F852&amp;IF(AND(F852&amp;""&lt;&gt;"",E852&amp;""&lt;&gt;"")," · ","")&amp;E852,"")</f>
        <v/>
      </c>
      <c r="CA852" s="80" t="str">
        <f>IF(AND(BD852=1,E852&amp;""&lt;&gt;""),IF(COUNTIFS($E$5:E851,E852,$BD$5:BD851,1)=0,MAX($CA$5:CA851)+1,""),"")</f>
        <v/>
      </c>
      <c r="CB852" s="80" t="str">
        <f>IF(AND(BE852=1,D852="Malcolm",E852&amp;""&lt;&gt;""),IF(COUNTIFS($D$5:D851,"Malcolm",$E$5:E851,E852,$BE$5:BE851,1)=0,MAX($CB$5:CB851)+1,""),"")</f>
        <v/>
      </c>
      <c r="CC852" s="80" t="str">
        <f>IF(AND(BD852=1,D852="proMX",E852&amp;""&lt;&gt;""),IF(COUNTIFS($D$5:D851,"proMX",$E$5:E851,E852,$BD$5:BD851,1)=0,MAX($CC$5:CC851)+1,""),"")</f>
        <v/>
      </c>
      <c r="CD852" s="80" t="str">
        <f>IF(AND(BE852=1,D852="Malcolm",F852&amp;""&lt;&gt;""),IF(COUNTIFS($D$5:D851,"Malcolm",$F$5:F851,F852,$BE$5:BE851,1)=0,MAX($CD$5:CD851)+1,""),"")</f>
        <v/>
      </c>
      <c r="CE852" s="80" t="str">
        <f>IF(AND(BD852=1,D852="proMX",F852&amp;""&lt;&gt;""),IF(COUNTIFS($D$5:D851,"proMX",$F$5:F851,F852,$BD$5:BD851,1)=0,MAX($CE$5:CE851)+1,""),"")</f>
        <v/>
      </c>
      <c r="CF852" s="80" t="str">
        <f>IF(AND(D852="proMX",BD852=1),IF(OR(BF852="Draft",BF852="Submitted",BF852="Returned",BF852="Recall Requested"),MAX($CF$5:CF851)+1,""),"")</f>
        <v/>
      </c>
      <c r="CG852" s="80">
        <f>IF(BD852=0,0,IF(D852="Malcolm",1,MATCH(BF852,{"Draft","Submitted","Approved","Returned","Recall Requested","Cancelled"},0)+1))</f>
        <v>0</v>
      </c>
      <c r="CH852" s="80">
        <f>IF(AND(BF852="Submitted",ISNUMBER(V852)),IF(V852&gt;CFG_MAXD,1,0),0)</f>
        <v>0</v>
      </c>
    </row>
    <row r="853">
      <c r="A853" s="71" t="str">
        <f>IF(Y853=1,ROW()-5,"")</f>
        <v/>
      </c>
      <c r="B853" s="72" t="n"/>
      <c r="C853" s="71" t="str">
        <f>IF(ISNUMBER(B853),CHOOSE(WEEKDAY(B853,2),"Lun","Mar","Mié","Jue","Vie","Sáb","Dom"),"")</f>
        <v/>
      </c>
      <c r="D853" s="73" t="n"/>
      <c r="E853" s="74" t="n"/>
      <c r="F853" s="74" t="n"/>
      <c r="G853" s="74" t="n"/>
      <c r="H853" s="75" t="n"/>
      <c r="I853" s="75" t="n"/>
      <c r="J853" s="76" t="n"/>
      <c r="K853" s="77" t="str">
        <f>IF(AB853=1,ROUND(AG853/60,4),"")</f>
        <v/>
      </c>
      <c r="L853" s="77" t="str">
        <f>IF(BD853=1,ROUND(AP853/60,4),"")</f>
        <v/>
      </c>
      <c r="M853" s="77" t="str">
        <f>IF(BD853=1,ROUND(AQ853/60,4),"")</f>
        <v/>
      </c>
      <c r="N853" s="71" t="str">
        <f>IF(AND(D853="proMX",AB853=1),ROUND(AG853/CFG_BLK,2),"")</f>
        <v/>
      </c>
      <c r="O853" s="77" t="str">
        <f>IF(D853="proMX",IF(BD853=1,ROUND(AG853/60,4),0),"")</f>
        <v/>
      </c>
      <c r="P853" s="78" t="str">
        <f>IF(Y853=0,"",IF(BD853=1,"OK",IF(D853="proMX","Revisar bloques: ","Revisar: ")&amp;BC853))</f>
        <v/>
      </c>
      <c r="Q853" s="78" t="str">
        <f>IF(NOT(ISNUMBER(B853)),"",IF(COUNTIFS(FER_F,INT(B853))&gt;0,"Feriado"&amp;IF(AH853=1," (laborable)"," (no laborable)"),IF(AH853=1,"Laborable",IF(WEEKDAY(B853,2)&gt;5,"Fin de semana","No laborable"))))</f>
        <v/>
      </c>
      <c r="R853" s="73" t="n"/>
      <c r="S853" s="72" t="n"/>
      <c r="T853" s="72" t="n"/>
      <c r="U853" s="74" t="n"/>
      <c r="V853" s="79" t="str">
        <f>IF(AND(D853="proMX",OR(R853="Submitted",R853="Recall Requested"),ISNUMBER(S853)),CFG_TODAY-INT(S853),"")</f>
        <v/>
      </c>
      <c r="W853" s="78" t="str">
        <f>IF(BD853=0,"",IF(BA853&gt;0,"⚠ Se superpone con un registro de la otra empresa",IF(D853="Malcolm",IF(COUNTA(R853,S853,T853)&gt;0,"Estado/fechas proMX se ignoran en Malcolm",""),IF(BF853="Cancelled","Cancelado: excluido de totales",IF(R853="","Sin estado: se trata como Draft",IF(BF853="Submitted",IF(ISNUMBER(V853),IF(V853&gt;CFG_MAXD,"⚠ "&amp;V853&amp;" días en Submitted (máx. "&amp;CFG_MAXD&amp;")",""),"Falta fecha de envío"),IF(BF853="Returned","⚠ Devuelto: corregir y reenviar",IF(BF853="Recall Requested","Retirada solicitada: pendiente",IF(AND(BF853="Approved",NOT(ISNUMBER(T853))),"Falta fecha de aprobación",IF(AND(ISNUMBER(S853),ISNUMBER(T853),T853&lt;S853),"Aprobación anterior al envío","")))))))))</f>
        <v/>
      </c>
      <c r="Y853" s="80">
        <f>IF(COUNTA(B853,D853,E853,F853,G853,H853,I853,J853,R853,S853,T853)&gt;0,1,0)</f>
        <v>0</v>
      </c>
      <c r="Z853" s="80" t="str">
        <f>IF(AND(ISNUMBER(H853),H853&gt;=0,H853&lt;1),ROUND(H853*1440,0),"")</f>
        <v/>
      </c>
      <c r="AA853" s="80" t="str">
        <f>IF(AND(ISNUMBER(I853),I853&gt;=0,I853&lt;1),ROUND(I853*1440,0),"")</f>
        <v/>
      </c>
      <c r="AB853" s="80">
        <f>IF(AND(ISNUMBER(B853),D853&lt;&gt;"",ISNUMBER(Z853),ISNUMBER(AA853)),IF(Z853=AA853,0,1),0)</f>
        <v>0</v>
      </c>
      <c r="AC853" s="80">
        <f>IF(AB853=1,IF(AA853&lt;Z853,1,0),0)</f>
        <v>0</v>
      </c>
      <c r="AD853" s="80">
        <f>IF(AB853=1,IF(AC853=1,1440-Z853+AA853,AA853-Z853),0)</f>
        <v>0</v>
      </c>
      <c r="AE853" s="80">
        <f>IF(J853="",0,IF(ISNUMBER(J853),J853,-1))</f>
        <v>0</v>
      </c>
      <c r="AF853" s="80">
        <f>MIN(MAX(0,AE853),AD853)</f>
        <v>0</v>
      </c>
      <c r="AG853" s="80">
        <f>MAX(0,AD853-MAX(0,AE853))</f>
        <v>0</v>
      </c>
      <c r="AH853" s="80">
        <f>IF(ISNUMBER(B853),IF(AND(INDEX(CFG_WDAYS,WEEKDAY(INT(B853),2))="Sí",IF(D853="proMX",COUNTIFS(FER_F,INT(B853),FER_NLP,"Sí"),COUNTIFS(FER_F,INT(B853),FER_NLM,"Sí"))=0),1,0),0)</f>
        <v>0</v>
      </c>
      <c r="AI853" s="80">
        <f>IF(AC853=1,IF(AND(INDEX(CFG_WDAYS,WEEKDAY(INT(B853)+1,2))="Sí",IF(D853="proMX",COUNTIFS(FER_F,INT(B853)+1,FER_NLP,"Sí"),COUNTIFS(FER_F,INT(B853)+1,FER_NLM,"Sí"))=0),1,0),0)</f>
        <v>0</v>
      </c>
      <c r="AJ853" s="80">
        <f>IF(AC853=1,1440-Z853,AD853)</f>
        <v>0</v>
      </c>
      <c r="AK853" s="80">
        <f>IF(AND(AB853=1,AH853=1),MAX(0,MIN(IF(AC853=1,1440,AA853),CFG_WEM)-MAX(Z853,CFG_WSM)),0)</f>
        <v>0</v>
      </c>
      <c r="AL853" s="80">
        <f>IF(AND(AC853=1,AI853=1),MAX(0,MIN(AA853,CFG_WEM)-CFG_WSM),0)</f>
        <v>0</v>
      </c>
      <c r="AM853" s="80">
        <f>AK853+AL853</f>
        <v>0</v>
      </c>
      <c r="AN853" s="80">
        <f>IF(CFG_BRK="Proporcional",IF(AD853=0,0,AF853*AM853/AD853),IF(CFG_BRK="Extras primero",MIN(AM853,MAX(0,AF853-(AD853-AM853))),MIN(AF853,AM853)))</f>
        <v>0</v>
      </c>
      <c r="AO853" s="80">
        <f>AF853-AN853</f>
        <v>0</v>
      </c>
      <c r="AP853" s="80">
        <f>AM853-AN853</f>
        <v>0</v>
      </c>
      <c r="AQ853" s="80">
        <f>AD853-AM853-AO853</f>
        <v>0</v>
      </c>
      <c r="AR853" s="80">
        <f>IF(AM853=0,0,AK853-AN853*AK853/AM853)</f>
        <v>0</v>
      </c>
      <c r="AS853" s="80">
        <f>IF(AD853-AM853=0,0,(AJ853-AK853)-AO853*(AJ853-AK853)/(AD853-AM853))</f>
        <v>0</v>
      </c>
      <c r="AT853" s="80" t="str">
        <f>IF(AC853=1,INT(B853)+1,"")</f>
        <v/>
      </c>
      <c r="AU853" s="80">
        <f>IF(AND(D853="proMX",R853="Cancelled"),0,1)</f>
        <v>1</v>
      </c>
      <c r="AV853" s="80">
        <f>IF(AND(AB853=1,AU853=1),IF(COUNTIFS($D$5:D852,D853,$B$5:B852,B853,$Z$5:Z852,Z853,$AA$5:AA852,AA853,$F$5:F852,F853&amp;"",$AU$5:AU852,1)&gt;0,1,0),0)</f>
        <v>0</v>
      </c>
      <c r="AW853" s="80" t="str">
        <f>IF(AB853=1,INT(B853)*1440+Z853,"")</f>
        <v/>
      </c>
      <c r="AX853" s="80" t="str">
        <f>IF(AB853=1,AW853+AD853,"")</f>
        <v/>
      </c>
      <c r="AY853" s="80">
        <f>IF(AND(AB853=1,AV853=0,AU853=1),1,0)</f>
        <v>0</v>
      </c>
      <c r="AZ853" s="80">
        <f>IF(AY853=1,COUNTIFS(R_Emp,D853,R_SAbs,"&lt;"&amp;AX853,R_EAbs,"&gt;"&amp;AW853,R_OKey,1)-1,0)</f>
        <v>0</v>
      </c>
      <c r="BA853" s="80">
        <f>IF(AY853=1,COUNTIFS(R_Emp,"&lt;&gt;"&amp;D853,R_SAbs,"&lt;"&amp;AX853,R_EAbs,"&gt;"&amp;AW853,R_OKey,1),0)</f>
        <v>0</v>
      </c>
      <c r="BB853" s="80">
        <f>IF(AND(AB853=1,D853="proMX"),IF(AND(MOD(Z853,CFG_BLK)=0,MOD(AA853,CFG_BLK)=0,MOD(AG853,CFG_BLK)=0,AG853&gt;0),1,0),1)</f>
        <v>1</v>
      </c>
      <c r="BC853" s="80" t="str">
        <f>IF(Y853=0,"",IF(NOT(ISNUMBER(B853)),"Falta fecha o fecha inválida",IF(D853="","Falta empresa",IF(AND(D853&lt;&gt;"Malcolm",D853&lt;&gt;"proMX"),"Empresa inválida",IF(OR(INT(B853)&lt;CFG_PSTART,INT(B853)&gt;CFG_PEND),"Fecha fuera del período",IF(OR(NOT(ISNUMBER(Z853)),NOT(ISNUMBER(AA853))),"Falta hora inicio/fin o formato inválido",IF(AB853=0,"Hora inicio = hora fin",IF(AE853&lt;0,"Descanso inválido",IF(AE853&gt;=AD853,"Descanso ≥ duración",IF(AV853=1,"Registro duplicado",IF(AZ853&gt;0,"Se superpone con otro registro "&amp;D853,IF(BB853=0,"inicio, fin y duración neta deben ser múltiplos de "&amp;CFG_BLK&amp;" min",""))))))))))))</f>
        <v/>
      </c>
      <c r="BD853" s="80">
        <f>IF(AND(Y853=1,BC853=""),1,0)</f>
        <v>0</v>
      </c>
      <c r="BE853" s="80">
        <f>IF(AND(BD853=1,AU853=1),1,0)</f>
        <v>0</v>
      </c>
      <c r="BF853" s="80" t="str">
        <f>IF(AND(D853="proMX",BD853=1),IF(R853="","Draft",R853),"")</f>
        <v/>
      </c>
      <c r="BG853" s="80">
        <f>IF(BD853=1,ROUND(AG853/60,6),0)</f>
        <v>0</v>
      </c>
      <c r="BH853" s="80">
        <f>IF(BE853=1,ROUND(AG853/60,6),0)</f>
        <v>0</v>
      </c>
      <c r="BI853" s="80">
        <f>IF(BE853=1,ROUND(AP853/60,6),0)</f>
        <v>0</v>
      </c>
      <c r="BJ853" s="80">
        <f>IF(BE853=1,ROUND(AQ853/60,6),0)</f>
        <v>0</v>
      </c>
      <c r="BK853" s="80">
        <f>IF(BE853=1,ROUND((AR853+AS853)/60,6),0)</f>
        <v>0</v>
      </c>
      <c r="BL853" s="80">
        <f>ROUND(BH853-BK853,6)</f>
        <v>0</v>
      </c>
      <c r="BM853" s="80">
        <f>IF(BE853=1,ROUND(AR853/60,6),0)</f>
        <v>0</v>
      </c>
      <c r="BN853" s="80">
        <f>ROUND(BI853-BM853,6)</f>
        <v>0</v>
      </c>
      <c r="BO853" s="80">
        <f>IF(BE853=1,ROUND(AS853/60,6),0)</f>
        <v>0</v>
      </c>
      <c r="BP853" s="80">
        <f>ROUND(BJ853-BO853,6)</f>
        <v>0</v>
      </c>
      <c r="BQ853" s="80">
        <f>IF(BE853=1,AW853,0)</f>
        <v>0</v>
      </c>
      <c r="BR853" s="80">
        <f>IF(BE853=1,AX853,0)</f>
        <v>0</v>
      </c>
      <c r="BS853" s="80">
        <f>IF(AND(BE853=1,D853="Malcolm",BA853&gt;0),MIN(BH853,SUMPRODUCT((R_Emp="proMX")*(R_EN&gt;0)*((R_EN-(R_EN&gt;BR853)*(R_EN-BR853))&gt;(R_SN+(R_SN&lt;BQ853)*(BQ853-R_SN)))*((R_EN-(R_EN&gt;BR853)*(R_EN-BR853))-(R_SN+(R_SN&lt;BQ853)*(BQ853-R_SN))))/60),0)</f>
        <v>0</v>
      </c>
      <c r="BT853" s="80">
        <f>IF(AND(BE853=1,D853="proMX"),ROUND(BI853*CFG_RATE+BJ853*CFG_OTRATE,6),0)</f>
        <v>0</v>
      </c>
      <c r="BU853" s="80">
        <f>IF(AND(BD853=1,D853="proMX"),ROUND(AG853/CFG_BLK,6),0)</f>
        <v>0</v>
      </c>
      <c r="BV853" s="80" t="str">
        <f>IF(BF853="Approved",IF(ISNUMBER(T853),INT(T853),INT(B853)),"")</f>
        <v/>
      </c>
      <c r="BW853" s="80">
        <f>IF(ISNUMBER(B853),IF(DB_MON="Todos",1,IF(AND(INT(B853)&gt;=DB_MS,INT(B853)&lt;=DB_ME),1,0)),0)</f>
        <v>0</v>
      </c>
      <c r="BX853" s="80">
        <f>IF(DB_PROJ="Todos",1,IF(E853&amp;""=DB_PROJ&amp;"",1,0))</f>
        <v>1</v>
      </c>
      <c r="BY853" s="80">
        <f>BW853*BX853</f>
        <v>0</v>
      </c>
      <c r="BZ853" s="80" t="str">
        <f>IF(Y853=1,F853&amp;IF(AND(F853&amp;""&lt;&gt;"",E853&amp;""&lt;&gt;"")," · ","")&amp;E853,"")</f>
        <v/>
      </c>
      <c r="CA853" s="80" t="str">
        <f>IF(AND(BD853=1,E853&amp;""&lt;&gt;""),IF(COUNTIFS($E$5:E852,E853,$BD$5:BD852,1)=0,MAX($CA$5:CA852)+1,""),"")</f>
        <v/>
      </c>
      <c r="CB853" s="80" t="str">
        <f>IF(AND(BE853=1,D853="Malcolm",E853&amp;""&lt;&gt;""),IF(COUNTIFS($D$5:D852,"Malcolm",$E$5:E852,E853,$BE$5:BE852,1)=0,MAX($CB$5:CB852)+1,""),"")</f>
        <v/>
      </c>
      <c r="CC853" s="80" t="str">
        <f>IF(AND(BD853=1,D853="proMX",E853&amp;""&lt;&gt;""),IF(COUNTIFS($D$5:D852,"proMX",$E$5:E852,E853,$BD$5:BD852,1)=0,MAX($CC$5:CC852)+1,""),"")</f>
        <v/>
      </c>
      <c r="CD853" s="80" t="str">
        <f>IF(AND(BE853=1,D853="Malcolm",F853&amp;""&lt;&gt;""),IF(COUNTIFS($D$5:D852,"Malcolm",$F$5:F852,F853,$BE$5:BE852,1)=0,MAX($CD$5:CD852)+1,""),"")</f>
        <v/>
      </c>
      <c r="CE853" s="80" t="str">
        <f>IF(AND(BD853=1,D853="proMX",F853&amp;""&lt;&gt;""),IF(COUNTIFS($D$5:D852,"proMX",$F$5:F852,F853,$BD$5:BD852,1)=0,MAX($CE$5:CE852)+1,""),"")</f>
        <v/>
      </c>
      <c r="CF853" s="80" t="str">
        <f>IF(AND(D853="proMX",BD853=1),IF(OR(BF853="Draft",BF853="Submitted",BF853="Returned",BF853="Recall Requested"),MAX($CF$5:CF852)+1,""),"")</f>
        <v/>
      </c>
      <c r="CG853" s="80">
        <f>IF(BD853=0,0,IF(D853="Malcolm",1,MATCH(BF853,{"Draft","Submitted","Approved","Returned","Recall Requested","Cancelled"},0)+1))</f>
        <v>0</v>
      </c>
      <c r="CH853" s="80">
        <f>IF(AND(BF853="Submitted",ISNUMBER(V853)),IF(V853&gt;CFG_MAXD,1,0),0)</f>
        <v>0</v>
      </c>
    </row>
    <row r="854">
      <c r="A854" s="71" t="str">
        <f>IF(Y854=1,ROW()-5,"")</f>
        <v/>
      </c>
      <c r="B854" s="72" t="n"/>
      <c r="C854" s="71" t="str">
        <f>IF(ISNUMBER(B854),CHOOSE(WEEKDAY(B854,2),"Lun","Mar","Mié","Jue","Vie","Sáb","Dom"),"")</f>
        <v/>
      </c>
      <c r="D854" s="73" t="n"/>
      <c r="E854" s="74" t="n"/>
      <c r="F854" s="74" t="n"/>
      <c r="G854" s="74" t="n"/>
      <c r="H854" s="75" t="n"/>
      <c r="I854" s="75" t="n"/>
      <c r="J854" s="76" t="n"/>
      <c r="K854" s="77" t="str">
        <f>IF(AB854=1,ROUND(AG854/60,4),"")</f>
        <v/>
      </c>
      <c r="L854" s="77" t="str">
        <f>IF(BD854=1,ROUND(AP854/60,4),"")</f>
        <v/>
      </c>
      <c r="M854" s="77" t="str">
        <f>IF(BD854=1,ROUND(AQ854/60,4),"")</f>
        <v/>
      </c>
      <c r="N854" s="71" t="str">
        <f>IF(AND(D854="proMX",AB854=1),ROUND(AG854/CFG_BLK,2),"")</f>
        <v/>
      </c>
      <c r="O854" s="77" t="str">
        <f>IF(D854="proMX",IF(BD854=1,ROUND(AG854/60,4),0),"")</f>
        <v/>
      </c>
      <c r="P854" s="78" t="str">
        <f>IF(Y854=0,"",IF(BD854=1,"OK",IF(D854="proMX","Revisar bloques: ","Revisar: ")&amp;BC854))</f>
        <v/>
      </c>
      <c r="Q854" s="78" t="str">
        <f>IF(NOT(ISNUMBER(B854)),"",IF(COUNTIFS(FER_F,INT(B854))&gt;0,"Feriado"&amp;IF(AH854=1," (laborable)"," (no laborable)"),IF(AH854=1,"Laborable",IF(WEEKDAY(B854,2)&gt;5,"Fin de semana","No laborable"))))</f>
        <v/>
      </c>
      <c r="R854" s="73" t="n"/>
      <c r="S854" s="72" t="n"/>
      <c r="T854" s="72" t="n"/>
      <c r="U854" s="74" t="n"/>
      <c r="V854" s="79" t="str">
        <f>IF(AND(D854="proMX",OR(R854="Submitted",R854="Recall Requested"),ISNUMBER(S854)),CFG_TODAY-INT(S854),"")</f>
        <v/>
      </c>
      <c r="W854" s="78" t="str">
        <f>IF(BD854=0,"",IF(BA854&gt;0,"⚠ Se superpone con un registro de la otra empresa",IF(D854="Malcolm",IF(COUNTA(R854,S854,T854)&gt;0,"Estado/fechas proMX se ignoran en Malcolm",""),IF(BF854="Cancelled","Cancelado: excluido de totales",IF(R854="","Sin estado: se trata como Draft",IF(BF854="Submitted",IF(ISNUMBER(V854),IF(V854&gt;CFG_MAXD,"⚠ "&amp;V854&amp;" días en Submitted (máx. "&amp;CFG_MAXD&amp;")",""),"Falta fecha de envío"),IF(BF854="Returned","⚠ Devuelto: corregir y reenviar",IF(BF854="Recall Requested","Retirada solicitada: pendiente",IF(AND(BF854="Approved",NOT(ISNUMBER(T854))),"Falta fecha de aprobación",IF(AND(ISNUMBER(S854),ISNUMBER(T854),T854&lt;S854),"Aprobación anterior al envío","")))))))))</f>
        <v/>
      </c>
      <c r="Y854" s="80">
        <f>IF(COUNTA(B854,D854,E854,F854,G854,H854,I854,J854,R854,S854,T854)&gt;0,1,0)</f>
        <v>0</v>
      </c>
      <c r="Z854" s="80" t="str">
        <f>IF(AND(ISNUMBER(H854),H854&gt;=0,H854&lt;1),ROUND(H854*1440,0),"")</f>
        <v/>
      </c>
      <c r="AA854" s="80" t="str">
        <f>IF(AND(ISNUMBER(I854),I854&gt;=0,I854&lt;1),ROUND(I854*1440,0),"")</f>
        <v/>
      </c>
      <c r="AB854" s="80">
        <f>IF(AND(ISNUMBER(B854),D854&lt;&gt;"",ISNUMBER(Z854),ISNUMBER(AA854)),IF(Z854=AA854,0,1),0)</f>
        <v>0</v>
      </c>
      <c r="AC854" s="80">
        <f>IF(AB854=1,IF(AA854&lt;Z854,1,0),0)</f>
        <v>0</v>
      </c>
      <c r="AD854" s="80">
        <f>IF(AB854=1,IF(AC854=1,1440-Z854+AA854,AA854-Z854),0)</f>
        <v>0</v>
      </c>
      <c r="AE854" s="80">
        <f>IF(J854="",0,IF(ISNUMBER(J854),J854,-1))</f>
        <v>0</v>
      </c>
      <c r="AF854" s="80">
        <f>MIN(MAX(0,AE854),AD854)</f>
        <v>0</v>
      </c>
      <c r="AG854" s="80">
        <f>MAX(0,AD854-MAX(0,AE854))</f>
        <v>0</v>
      </c>
      <c r="AH854" s="80">
        <f>IF(ISNUMBER(B854),IF(AND(INDEX(CFG_WDAYS,WEEKDAY(INT(B854),2))="Sí",IF(D854="proMX",COUNTIFS(FER_F,INT(B854),FER_NLP,"Sí"),COUNTIFS(FER_F,INT(B854),FER_NLM,"Sí"))=0),1,0),0)</f>
        <v>0</v>
      </c>
      <c r="AI854" s="80">
        <f>IF(AC854=1,IF(AND(INDEX(CFG_WDAYS,WEEKDAY(INT(B854)+1,2))="Sí",IF(D854="proMX",COUNTIFS(FER_F,INT(B854)+1,FER_NLP,"Sí"),COUNTIFS(FER_F,INT(B854)+1,FER_NLM,"Sí"))=0),1,0),0)</f>
        <v>0</v>
      </c>
      <c r="AJ854" s="80">
        <f>IF(AC854=1,1440-Z854,AD854)</f>
        <v>0</v>
      </c>
      <c r="AK854" s="80">
        <f>IF(AND(AB854=1,AH854=1),MAX(0,MIN(IF(AC854=1,1440,AA854),CFG_WEM)-MAX(Z854,CFG_WSM)),0)</f>
        <v>0</v>
      </c>
      <c r="AL854" s="80">
        <f>IF(AND(AC854=1,AI854=1),MAX(0,MIN(AA854,CFG_WEM)-CFG_WSM),0)</f>
        <v>0</v>
      </c>
      <c r="AM854" s="80">
        <f>AK854+AL854</f>
        <v>0</v>
      </c>
      <c r="AN854" s="80">
        <f>IF(CFG_BRK="Proporcional",IF(AD854=0,0,AF854*AM854/AD854),IF(CFG_BRK="Extras primero",MIN(AM854,MAX(0,AF854-(AD854-AM854))),MIN(AF854,AM854)))</f>
        <v>0</v>
      </c>
      <c r="AO854" s="80">
        <f>AF854-AN854</f>
        <v>0</v>
      </c>
      <c r="AP854" s="80">
        <f>AM854-AN854</f>
        <v>0</v>
      </c>
      <c r="AQ854" s="80">
        <f>AD854-AM854-AO854</f>
        <v>0</v>
      </c>
      <c r="AR854" s="80">
        <f>IF(AM854=0,0,AK854-AN854*AK854/AM854)</f>
        <v>0</v>
      </c>
      <c r="AS854" s="80">
        <f>IF(AD854-AM854=0,0,(AJ854-AK854)-AO854*(AJ854-AK854)/(AD854-AM854))</f>
        <v>0</v>
      </c>
      <c r="AT854" s="80" t="str">
        <f>IF(AC854=1,INT(B854)+1,"")</f>
        <v/>
      </c>
      <c r="AU854" s="80">
        <f>IF(AND(D854="proMX",R854="Cancelled"),0,1)</f>
        <v>1</v>
      </c>
      <c r="AV854" s="80">
        <f>IF(AND(AB854=1,AU854=1),IF(COUNTIFS($D$5:D853,D854,$B$5:B853,B854,$Z$5:Z853,Z854,$AA$5:AA853,AA854,$F$5:F853,F854&amp;"",$AU$5:AU853,1)&gt;0,1,0),0)</f>
        <v>0</v>
      </c>
      <c r="AW854" s="80" t="str">
        <f>IF(AB854=1,INT(B854)*1440+Z854,"")</f>
        <v/>
      </c>
      <c r="AX854" s="80" t="str">
        <f>IF(AB854=1,AW854+AD854,"")</f>
        <v/>
      </c>
      <c r="AY854" s="80">
        <f>IF(AND(AB854=1,AV854=0,AU854=1),1,0)</f>
        <v>0</v>
      </c>
      <c r="AZ854" s="80">
        <f>IF(AY854=1,COUNTIFS(R_Emp,D854,R_SAbs,"&lt;"&amp;AX854,R_EAbs,"&gt;"&amp;AW854,R_OKey,1)-1,0)</f>
        <v>0</v>
      </c>
      <c r="BA854" s="80">
        <f>IF(AY854=1,COUNTIFS(R_Emp,"&lt;&gt;"&amp;D854,R_SAbs,"&lt;"&amp;AX854,R_EAbs,"&gt;"&amp;AW854,R_OKey,1),0)</f>
        <v>0</v>
      </c>
      <c r="BB854" s="80">
        <f>IF(AND(AB854=1,D854="proMX"),IF(AND(MOD(Z854,CFG_BLK)=0,MOD(AA854,CFG_BLK)=0,MOD(AG854,CFG_BLK)=0,AG854&gt;0),1,0),1)</f>
        <v>1</v>
      </c>
      <c r="BC854" s="80" t="str">
        <f>IF(Y854=0,"",IF(NOT(ISNUMBER(B854)),"Falta fecha o fecha inválida",IF(D854="","Falta empresa",IF(AND(D854&lt;&gt;"Malcolm",D854&lt;&gt;"proMX"),"Empresa inválida",IF(OR(INT(B854)&lt;CFG_PSTART,INT(B854)&gt;CFG_PEND),"Fecha fuera del período",IF(OR(NOT(ISNUMBER(Z854)),NOT(ISNUMBER(AA854))),"Falta hora inicio/fin o formato inválido",IF(AB854=0,"Hora inicio = hora fin",IF(AE854&lt;0,"Descanso inválido",IF(AE854&gt;=AD854,"Descanso ≥ duración",IF(AV854=1,"Registro duplicado",IF(AZ854&gt;0,"Se superpone con otro registro "&amp;D854,IF(BB854=0,"inicio, fin y duración neta deben ser múltiplos de "&amp;CFG_BLK&amp;" min",""))))))))))))</f>
        <v/>
      </c>
      <c r="BD854" s="80">
        <f>IF(AND(Y854=1,BC854=""),1,0)</f>
        <v>0</v>
      </c>
      <c r="BE854" s="80">
        <f>IF(AND(BD854=1,AU854=1),1,0)</f>
        <v>0</v>
      </c>
      <c r="BF854" s="80" t="str">
        <f>IF(AND(D854="proMX",BD854=1),IF(R854="","Draft",R854),"")</f>
        <v/>
      </c>
      <c r="BG854" s="80">
        <f>IF(BD854=1,ROUND(AG854/60,6),0)</f>
        <v>0</v>
      </c>
      <c r="BH854" s="80">
        <f>IF(BE854=1,ROUND(AG854/60,6),0)</f>
        <v>0</v>
      </c>
      <c r="BI854" s="80">
        <f>IF(BE854=1,ROUND(AP854/60,6),0)</f>
        <v>0</v>
      </c>
      <c r="BJ854" s="80">
        <f>IF(BE854=1,ROUND(AQ854/60,6),0)</f>
        <v>0</v>
      </c>
      <c r="BK854" s="80">
        <f>IF(BE854=1,ROUND((AR854+AS854)/60,6),0)</f>
        <v>0</v>
      </c>
      <c r="BL854" s="80">
        <f>ROUND(BH854-BK854,6)</f>
        <v>0</v>
      </c>
      <c r="BM854" s="80">
        <f>IF(BE854=1,ROUND(AR854/60,6),0)</f>
        <v>0</v>
      </c>
      <c r="BN854" s="80">
        <f>ROUND(BI854-BM854,6)</f>
        <v>0</v>
      </c>
      <c r="BO854" s="80">
        <f>IF(BE854=1,ROUND(AS854/60,6),0)</f>
        <v>0</v>
      </c>
      <c r="BP854" s="80">
        <f>ROUND(BJ854-BO854,6)</f>
        <v>0</v>
      </c>
      <c r="BQ854" s="80">
        <f>IF(BE854=1,AW854,0)</f>
        <v>0</v>
      </c>
      <c r="BR854" s="80">
        <f>IF(BE854=1,AX854,0)</f>
        <v>0</v>
      </c>
      <c r="BS854" s="80">
        <f>IF(AND(BE854=1,D854="Malcolm",BA854&gt;0),MIN(BH854,SUMPRODUCT((R_Emp="proMX")*(R_EN&gt;0)*((R_EN-(R_EN&gt;BR854)*(R_EN-BR854))&gt;(R_SN+(R_SN&lt;BQ854)*(BQ854-R_SN)))*((R_EN-(R_EN&gt;BR854)*(R_EN-BR854))-(R_SN+(R_SN&lt;BQ854)*(BQ854-R_SN))))/60),0)</f>
        <v>0</v>
      </c>
      <c r="BT854" s="80">
        <f>IF(AND(BE854=1,D854="proMX"),ROUND(BI854*CFG_RATE+BJ854*CFG_OTRATE,6),0)</f>
        <v>0</v>
      </c>
      <c r="BU854" s="80">
        <f>IF(AND(BD854=1,D854="proMX"),ROUND(AG854/CFG_BLK,6),0)</f>
        <v>0</v>
      </c>
      <c r="BV854" s="80" t="str">
        <f>IF(BF854="Approved",IF(ISNUMBER(T854),INT(T854),INT(B854)),"")</f>
        <v/>
      </c>
      <c r="BW854" s="80">
        <f>IF(ISNUMBER(B854),IF(DB_MON="Todos",1,IF(AND(INT(B854)&gt;=DB_MS,INT(B854)&lt;=DB_ME),1,0)),0)</f>
        <v>0</v>
      </c>
      <c r="BX854" s="80">
        <f>IF(DB_PROJ="Todos",1,IF(E854&amp;""=DB_PROJ&amp;"",1,0))</f>
        <v>1</v>
      </c>
      <c r="BY854" s="80">
        <f>BW854*BX854</f>
        <v>0</v>
      </c>
      <c r="BZ854" s="80" t="str">
        <f>IF(Y854=1,F854&amp;IF(AND(F854&amp;""&lt;&gt;"",E854&amp;""&lt;&gt;"")," · ","")&amp;E854,"")</f>
        <v/>
      </c>
      <c r="CA854" s="80" t="str">
        <f>IF(AND(BD854=1,E854&amp;""&lt;&gt;""),IF(COUNTIFS($E$5:E853,E854,$BD$5:BD853,1)=0,MAX($CA$5:CA853)+1,""),"")</f>
        <v/>
      </c>
      <c r="CB854" s="80" t="str">
        <f>IF(AND(BE854=1,D854="Malcolm",E854&amp;""&lt;&gt;""),IF(COUNTIFS($D$5:D853,"Malcolm",$E$5:E853,E854,$BE$5:BE853,1)=0,MAX($CB$5:CB853)+1,""),"")</f>
        <v/>
      </c>
      <c r="CC854" s="80" t="str">
        <f>IF(AND(BD854=1,D854="proMX",E854&amp;""&lt;&gt;""),IF(COUNTIFS($D$5:D853,"proMX",$E$5:E853,E854,$BD$5:BD853,1)=0,MAX($CC$5:CC853)+1,""),"")</f>
        <v/>
      </c>
      <c r="CD854" s="80" t="str">
        <f>IF(AND(BE854=1,D854="Malcolm",F854&amp;""&lt;&gt;""),IF(COUNTIFS($D$5:D853,"Malcolm",$F$5:F853,F854,$BE$5:BE853,1)=0,MAX($CD$5:CD853)+1,""),"")</f>
        <v/>
      </c>
      <c r="CE854" s="80" t="str">
        <f>IF(AND(BD854=1,D854="proMX",F854&amp;""&lt;&gt;""),IF(COUNTIFS($D$5:D853,"proMX",$F$5:F853,F854,$BD$5:BD853,1)=0,MAX($CE$5:CE853)+1,""),"")</f>
        <v/>
      </c>
      <c r="CF854" s="80" t="str">
        <f>IF(AND(D854="proMX",BD854=1),IF(OR(BF854="Draft",BF854="Submitted",BF854="Returned",BF854="Recall Requested"),MAX($CF$5:CF853)+1,""),"")</f>
        <v/>
      </c>
      <c r="CG854" s="80">
        <f>IF(BD854=0,0,IF(D854="Malcolm",1,MATCH(BF854,{"Draft","Submitted","Approved","Returned","Recall Requested","Cancelled"},0)+1))</f>
        <v>0</v>
      </c>
      <c r="CH854" s="80">
        <f>IF(AND(BF854="Submitted",ISNUMBER(V854)),IF(V854&gt;CFG_MAXD,1,0),0)</f>
        <v>0</v>
      </c>
    </row>
    <row r="855">
      <c r="A855" s="71" t="str">
        <f>IF(Y855=1,ROW()-5,"")</f>
        <v/>
      </c>
      <c r="B855" s="72" t="n"/>
      <c r="C855" s="71" t="str">
        <f>IF(ISNUMBER(B855),CHOOSE(WEEKDAY(B855,2),"Lun","Mar","Mié","Jue","Vie","Sáb","Dom"),"")</f>
        <v/>
      </c>
      <c r="D855" s="73" t="n"/>
      <c r="E855" s="74" t="n"/>
      <c r="F855" s="74" t="n"/>
      <c r="G855" s="74" t="n"/>
      <c r="H855" s="75" t="n"/>
      <c r="I855" s="75" t="n"/>
      <c r="J855" s="76" t="n"/>
      <c r="K855" s="77" t="str">
        <f>IF(AB855=1,ROUND(AG855/60,4),"")</f>
        <v/>
      </c>
      <c r="L855" s="77" t="str">
        <f>IF(BD855=1,ROUND(AP855/60,4),"")</f>
        <v/>
      </c>
      <c r="M855" s="77" t="str">
        <f>IF(BD855=1,ROUND(AQ855/60,4),"")</f>
        <v/>
      </c>
      <c r="N855" s="71" t="str">
        <f>IF(AND(D855="proMX",AB855=1),ROUND(AG855/CFG_BLK,2),"")</f>
        <v/>
      </c>
      <c r="O855" s="77" t="str">
        <f>IF(D855="proMX",IF(BD855=1,ROUND(AG855/60,4),0),"")</f>
        <v/>
      </c>
      <c r="P855" s="78" t="str">
        <f>IF(Y855=0,"",IF(BD855=1,"OK",IF(D855="proMX","Revisar bloques: ","Revisar: ")&amp;BC855))</f>
        <v/>
      </c>
      <c r="Q855" s="78" t="str">
        <f>IF(NOT(ISNUMBER(B855)),"",IF(COUNTIFS(FER_F,INT(B855))&gt;0,"Feriado"&amp;IF(AH855=1," (laborable)"," (no laborable)"),IF(AH855=1,"Laborable",IF(WEEKDAY(B855,2)&gt;5,"Fin de semana","No laborable"))))</f>
        <v/>
      </c>
      <c r="R855" s="73" t="n"/>
      <c r="S855" s="72" t="n"/>
      <c r="T855" s="72" t="n"/>
      <c r="U855" s="74" t="n"/>
      <c r="V855" s="79" t="str">
        <f>IF(AND(D855="proMX",OR(R855="Submitted",R855="Recall Requested"),ISNUMBER(S855)),CFG_TODAY-INT(S855),"")</f>
        <v/>
      </c>
      <c r="W855" s="78" t="str">
        <f>IF(BD855=0,"",IF(BA855&gt;0,"⚠ Se superpone con un registro de la otra empresa",IF(D855="Malcolm",IF(COUNTA(R855,S855,T855)&gt;0,"Estado/fechas proMX se ignoran en Malcolm",""),IF(BF855="Cancelled","Cancelado: excluido de totales",IF(R855="","Sin estado: se trata como Draft",IF(BF855="Submitted",IF(ISNUMBER(V855),IF(V855&gt;CFG_MAXD,"⚠ "&amp;V855&amp;" días en Submitted (máx. "&amp;CFG_MAXD&amp;")",""),"Falta fecha de envío"),IF(BF855="Returned","⚠ Devuelto: corregir y reenviar",IF(BF855="Recall Requested","Retirada solicitada: pendiente",IF(AND(BF855="Approved",NOT(ISNUMBER(T855))),"Falta fecha de aprobación",IF(AND(ISNUMBER(S855),ISNUMBER(T855),T855&lt;S855),"Aprobación anterior al envío","")))))))))</f>
        <v/>
      </c>
      <c r="Y855" s="80">
        <f>IF(COUNTA(B855,D855,E855,F855,G855,H855,I855,J855,R855,S855,T855)&gt;0,1,0)</f>
        <v>0</v>
      </c>
      <c r="Z855" s="80" t="str">
        <f>IF(AND(ISNUMBER(H855),H855&gt;=0,H855&lt;1),ROUND(H855*1440,0),"")</f>
        <v/>
      </c>
      <c r="AA855" s="80" t="str">
        <f>IF(AND(ISNUMBER(I855),I855&gt;=0,I855&lt;1),ROUND(I855*1440,0),"")</f>
        <v/>
      </c>
      <c r="AB855" s="80">
        <f>IF(AND(ISNUMBER(B855),D855&lt;&gt;"",ISNUMBER(Z855),ISNUMBER(AA855)),IF(Z855=AA855,0,1),0)</f>
        <v>0</v>
      </c>
      <c r="AC855" s="80">
        <f>IF(AB855=1,IF(AA855&lt;Z855,1,0),0)</f>
        <v>0</v>
      </c>
      <c r="AD855" s="80">
        <f>IF(AB855=1,IF(AC855=1,1440-Z855+AA855,AA855-Z855),0)</f>
        <v>0</v>
      </c>
      <c r="AE855" s="80">
        <f>IF(J855="",0,IF(ISNUMBER(J855),J855,-1))</f>
        <v>0</v>
      </c>
      <c r="AF855" s="80">
        <f>MIN(MAX(0,AE855),AD855)</f>
        <v>0</v>
      </c>
      <c r="AG855" s="80">
        <f>MAX(0,AD855-MAX(0,AE855))</f>
        <v>0</v>
      </c>
      <c r="AH855" s="80">
        <f>IF(ISNUMBER(B855),IF(AND(INDEX(CFG_WDAYS,WEEKDAY(INT(B855),2))="Sí",IF(D855="proMX",COUNTIFS(FER_F,INT(B855),FER_NLP,"Sí"),COUNTIFS(FER_F,INT(B855),FER_NLM,"Sí"))=0),1,0),0)</f>
        <v>0</v>
      </c>
      <c r="AI855" s="80">
        <f>IF(AC855=1,IF(AND(INDEX(CFG_WDAYS,WEEKDAY(INT(B855)+1,2))="Sí",IF(D855="proMX",COUNTIFS(FER_F,INT(B855)+1,FER_NLP,"Sí"),COUNTIFS(FER_F,INT(B855)+1,FER_NLM,"Sí"))=0),1,0),0)</f>
        <v>0</v>
      </c>
      <c r="AJ855" s="80">
        <f>IF(AC855=1,1440-Z855,AD855)</f>
        <v>0</v>
      </c>
      <c r="AK855" s="80">
        <f>IF(AND(AB855=1,AH855=1),MAX(0,MIN(IF(AC855=1,1440,AA855),CFG_WEM)-MAX(Z855,CFG_WSM)),0)</f>
        <v>0</v>
      </c>
      <c r="AL855" s="80">
        <f>IF(AND(AC855=1,AI855=1),MAX(0,MIN(AA855,CFG_WEM)-CFG_WSM),0)</f>
        <v>0</v>
      </c>
      <c r="AM855" s="80">
        <f>AK855+AL855</f>
        <v>0</v>
      </c>
      <c r="AN855" s="80">
        <f>IF(CFG_BRK="Proporcional",IF(AD855=0,0,AF855*AM855/AD855),IF(CFG_BRK="Extras primero",MIN(AM855,MAX(0,AF855-(AD855-AM855))),MIN(AF855,AM855)))</f>
        <v>0</v>
      </c>
      <c r="AO855" s="80">
        <f>AF855-AN855</f>
        <v>0</v>
      </c>
      <c r="AP855" s="80">
        <f>AM855-AN855</f>
        <v>0</v>
      </c>
      <c r="AQ855" s="80">
        <f>AD855-AM855-AO855</f>
        <v>0</v>
      </c>
      <c r="AR855" s="80">
        <f>IF(AM855=0,0,AK855-AN855*AK855/AM855)</f>
        <v>0</v>
      </c>
      <c r="AS855" s="80">
        <f>IF(AD855-AM855=0,0,(AJ855-AK855)-AO855*(AJ855-AK855)/(AD855-AM855))</f>
        <v>0</v>
      </c>
      <c r="AT855" s="80" t="str">
        <f>IF(AC855=1,INT(B855)+1,"")</f>
        <v/>
      </c>
      <c r="AU855" s="80">
        <f>IF(AND(D855="proMX",R855="Cancelled"),0,1)</f>
        <v>1</v>
      </c>
      <c r="AV855" s="80">
        <f>IF(AND(AB855=1,AU855=1),IF(COUNTIFS($D$5:D854,D855,$B$5:B854,B855,$Z$5:Z854,Z855,$AA$5:AA854,AA855,$F$5:F854,F855&amp;"",$AU$5:AU854,1)&gt;0,1,0),0)</f>
        <v>0</v>
      </c>
      <c r="AW855" s="80" t="str">
        <f>IF(AB855=1,INT(B855)*1440+Z855,"")</f>
        <v/>
      </c>
      <c r="AX855" s="80" t="str">
        <f>IF(AB855=1,AW855+AD855,"")</f>
        <v/>
      </c>
      <c r="AY855" s="80">
        <f>IF(AND(AB855=1,AV855=0,AU855=1),1,0)</f>
        <v>0</v>
      </c>
      <c r="AZ855" s="80">
        <f>IF(AY855=1,COUNTIFS(R_Emp,D855,R_SAbs,"&lt;"&amp;AX855,R_EAbs,"&gt;"&amp;AW855,R_OKey,1)-1,0)</f>
        <v>0</v>
      </c>
      <c r="BA855" s="80">
        <f>IF(AY855=1,COUNTIFS(R_Emp,"&lt;&gt;"&amp;D855,R_SAbs,"&lt;"&amp;AX855,R_EAbs,"&gt;"&amp;AW855,R_OKey,1),0)</f>
        <v>0</v>
      </c>
      <c r="BB855" s="80">
        <f>IF(AND(AB855=1,D855="proMX"),IF(AND(MOD(Z855,CFG_BLK)=0,MOD(AA855,CFG_BLK)=0,MOD(AG855,CFG_BLK)=0,AG855&gt;0),1,0),1)</f>
        <v>1</v>
      </c>
      <c r="BC855" s="80" t="str">
        <f>IF(Y855=0,"",IF(NOT(ISNUMBER(B855)),"Falta fecha o fecha inválida",IF(D855="","Falta empresa",IF(AND(D855&lt;&gt;"Malcolm",D855&lt;&gt;"proMX"),"Empresa inválida",IF(OR(INT(B855)&lt;CFG_PSTART,INT(B855)&gt;CFG_PEND),"Fecha fuera del período",IF(OR(NOT(ISNUMBER(Z855)),NOT(ISNUMBER(AA855))),"Falta hora inicio/fin o formato inválido",IF(AB855=0,"Hora inicio = hora fin",IF(AE855&lt;0,"Descanso inválido",IF(AE855&gt;=AD855,"Descanso ≥ duración",IF(AV855=1,"Registro duplicado",IF(AZ855&gt;0,"Se superpone con otro registro "&amp;D855,IF(BB855=0,"inicio, fin y duración neta deben ser múltiplos de "&amp;CFG_BLK&amp;" min",""))))))))))))</f>
        <v/>
      </c>
      <c r="BD855" s="80">
        <f>IF(AND(Y855=1,BC855=""),1,0)</f>
        <v>0</v>
      </c>
      <c r="BE855" s="80">
        <f>IF(AND(BD855=1,AU855=1),1,0)</f>
        <v>0</v>
      </c>
      <c r="BF855" s="80" t="str">
        <f>IF(AND(D855="proMX",BD855=1),IF(R855="","Draft",R855),"")</f>
        <v/>
      </c>
      <c r="BG855" s="80">
        <f>IF(BD855=1,ROUND(AG855/60,6),0)</f>
        <v>0</v>
      </c>
      <c r="BH855" s="80">
        <f>IF(BE855=1,ROUND(AG855/60,6),0)</f>
        <v>0</v>
      </c>
      <c r="BI855" s="80">
        <f>IF(BE855=1,ROUND(AP855/60,6),0)</f>
        <v>0</v>
      </c>
      <c r="BJ855" s="80">
        <f>IF(BE855=1,ROUND(AQ855/60,6),0)</f>
        <v>0</v>
      </c>
      <c r="BK855" s="80">
        <f>IF(BE855=1,ROUND((AR855+AS855)/60,6),0)</f>
        <v>0</v>
      </c>
      <c r="BL855" s="80">
        <f>ROUND(BH855-BK855,6)</f>
        <v>0</v>
      </c>
      <c r="BM855" s="80">
        <f>IF(BE855=1,ROUND(AR855/60,6),0)</f>
        <v>0</v>
      </c>
      <c r="BN855" s="80">
        <f>ROUND(BI855-BM855,6)</f>
        <v>0</v>
      </c>
      <c r="BO855" s="80">
        <f>IF(BE855=1,ROUND(AS855/60,6),0)</f>
        <v>0</v>
      </c>
      <c r="BP855" s="80">
        <f>ROUND(BJ855-BO855,6)</f>
        <v>0</v>
      </c>
      <c r="BQ855" s="80">
        <f>IF(BE855=1,AW855,0)</f>
        <v>0</v>
      </c>
      <c r="BR855" s="80">
        <f>IF(BE855=1,AX855,0)</f>
        <v>0</v>
      </c>
      <c r="BS855" s="80">
        <f>IF(AND(BE855=1,D855="Malcolm",BA855&gt;0),MIN(BH855,SUMPRODUCT((R_Emp="proMX")*(R_EN&gt;0)*((R_EN-(R_EN&gt;BR855)*(R_EN-BR855))&gt;(R_SN+(R_SN&lt;BQ855)*(BQ855-R_SN)))*((R_EN-(R_EN&gt;BR855)*(R_EN-BR855))-(R_SN+(R_SN&lt;BQ855)*(BQ855-R_SN))))/60),0)</f>
        <v>0</v>
      </c>
      <c r="BT855" s="80">
        <f>IF(AND(BE855=1,D855="proMX"),ROUND(BI855*CFG_RATE+BJ855*CFG_OTRATE,6),0)</f>
        <v>0</v>
      </c>
      <c r="BU855" s="80">
        <f>IF(AND(BD855=1,D855="proMX"),ROUND(AG855/CFG_BLK,6),0)</f>
        <v>0</v>
      </c>
      <c r="BV855" s="80" t="str">
        <f>IF(BF855="Approved",IF(ISNUMBER(T855),INT(T855),INT(B855)),"")</f>
        <v/>
      </c>
      <c r="BW855" s="80">
        <f>IF(ISNUMBER(B855),IF(DB_MON="Todos",1,IF(AND(INT(B855)&gt;=DB_MS,INT(B855)&lt;=DB_ME),1,0)),0)</f>
        <v>0</v>
      </c>
      <c r="BX855" s="80">
        <f>IF(DB_PROJ="Todos",1,IF(E855&amp;""=DB_PROJ&amp;"",1,0))</f>
        <v>1</v>
      </c>
      <c r="BY855" s="80">
        <f>BW855*BX855</f>
        <v>0</v>
      </c>
      <c r="BZ855" s="80" t="str">
        <f>IF(Y855=1,F855&amp;IF(AND(F855&amp;""&lt;&gt;"",E855&amp;""&lt;&gt;"")," · ","")&amp;E855,"")</f>
        <v/>
      </c>
      <c r="CA855" s="80" t="str">
        <f>IF(AND(BD855=1,E855&amp;""&lt;&gt;""),IF(COUNTIFS($E$5:E854,E855,$BD$5:BD854,1)=0,MAX($CA$5:CA854)+1,""),"")</f>
        <v/>
      </c>
      <c r="CB855" s="80" t="str">
        <f>IF(AND(BE855=1,D855="Malcolm",E855&amp;""&lt;&gt;""),IF(COUNTIFS($D$5:D854,"Malcolm",$E$5:E854,E855,$BE$5:BE854,1)=0,MAX($CB$5:CB854)+1,""),"")</f>
        <v/>
      </c>
      <c r="CC855" s="80" t="str">
        <f>IF(AND(BD855=1,D855="proMX",E855&amp;""&lt;&gt;""),IF(COUNTIFS($D$5:D854,"proMX",$E$5:E854,E855,$BD$5:BD854,1)=0,MAX($CC$5:CC854)+1,""),"")</f>
        <v/>
      </c>
      <c r="CD855" s="80" t="str">
        <f>IF(AND(BE855=1,D855="Malcolm",F855&amp;""&lt;&gt;""),IF(COUNTIFS($D$5:D854,"Malcolm",$F$5:F854,F855,$BE$5:BE854,1)=0,MAX($CD$5:CD854)+1,""),"")</f>
        <v/>
      </c>
      <c r="CE855" s="80" t="str">
        <f>IF(AND(BD855=1,D855="proMX",F855&amp;""&lt;&gt;""),IF(COUNTIFS($D$5:D854,"proMX",$F$5:F854,F855,$BD$5:BD854,1)=0,MAX($CE$5:CE854)+1,""),"")</f>
        <v/>
      </c>
      <c r="CF855" s="80" t="str">
        <f>IF(AND(D855="proMX",BD855=1),IF(OR(BF855="Draft",BF855="Submitted",BF855="Returned",BF855="Recall Requested"),MAX($CF$5:CF854)+1,""),"")</f>
        <v/>
      </c>
      <c r="CG855" s="80">
        <f>IF(BD855=0,0,IF(D855="Malcolm",1,MATCH(BF855,{"Draft","Submitted","Approved","Returned","Recall Requested","Cancelled"},0)+1))</f>
        <v>0</v>
      </c>
      <c r="CH855" s="80">
        <f>IF(AND(BF855="Submitted",ISNUMBER(V855)),IF(V855&gt;CFG_MAXD,1,0),0)</f>
        <v>0</v>
      </c>
    </row>
    <row r="856">
      <c r="A856" s="71" t="str">
        <f>IF(Y856=1,ROW()-5,"")</f>
        <v/>
      </c>
      <c r="B856" s="72" t="n"/>
      <c r="C856" s="71" t="str">
        <f>IF(ISNUMBER(B856),CHOOSE(WEEKDAY(B856,2),"Lun","Mar","Mié","Jue","Vie","Sáb","Dom"),"")</f>
        <v/>
      </c>
      <c r="D856" s="73" t="n"/>
      <c r="E856" s="74" t="n"/>
      <c r="F856" s="74" t="n"/>
      <c r="G856" s="74" t="n"/>
      <c r="H856" s="75" t="n"/>
      <c r="I856" s="75" t="n"/>
      <c r="J856" s="76" t="n"/>
      <c r="K856" s="77" t="str">
        <f>IF(AB856=1,ROUND(AG856/60,4),"")</f>
        <v/>
      </c>
      <c r="L856" s="77" t="str">
        <f>IF(BD856=1,ROUND(AP856/60,4),"")</f>
        <v/>
      </c>
      <c r="M856" s="77" t="str">
        <f>IF(BD856=1,ROUND(AQ856/60,4),"")</f>
        <v/>
      </c>
      <c r="N856" s="71" t="str">
        <f>IF(AND(D856="proMX",AB856=1),ROUND(AG856/CFG_BLK,2),"")</f>
        <v/>
      </c>
      <c r="O856" s="77" t="str">
        <f>IF(D856="proMX",IF(BD856=1,ROUND(AG856/60,4),0),"")</f>
        <v/>
      </c>
      <c r="P856" s="78" t="str">
        <f>IF(Y856=0,"",IF(BD856=1,"OK",IF(D856="proMX","Revisar bloques: ","Revisar: ")&amp;BC856))</f>
        <v/>
      </c>
      <c r="Q856" s="78" t="str">
        <f>IF(NOT(ISNUMBER(B856)),"",IF(COUNTIFS(FER_F,INT(B856))&gt;0,"Feriado"&amp;IF(AH856=1," (laborable)"," (no laborable)"),IF(AH856=1,"Laborable",IF(WEEKDAY(B856,2)&gt;5,"Fin de semana","No laborable"))))</f>
        <v/>
      </c>
      <c r="R856" s="73" t="n"/>
      <c r="S856" s="72" t="n"/>
      <c r="T856" s="72" t="n"/>
      <c r="U856" s="74" t="n"/>
      <c r="V856" s="79" t="str">
        <f>IF(AND(D856="proMX",OR(R856="Submitted",R856="Recall Requested"),ISNUMBER(S856)),CFG_TODAY-INT(S856),"")</f>
        <v/>
      </c>
      <c r="W856" s="78" t="str">
        <f>IF(BD856=0,"",IF(BA856&gt;0,"⚠ Se superpone con un registro de la otra empresa",IF(D856="Malcolm",IF(COUNTA(R856,S856,T856)&gt;0,"Estado/fechas proMX se ignoran en Malcolm",""),IF(BF856="Cancelled","Cancelado: excluido de totales",IF(R856="","Sin estado: se trata como Draft",IF(BF856="Submitted",IF(ISNUMBER(V856),IF(V856&gt;CFG_MAXD,"⚠ "&amp;V856&amp;" días en Submitted (máx. "&amp;CFG_MAXD&amp;")",""),"Falta fecha de envío"),IF(BF856="Returned","⚠ Devuelto: corregir y reenviar",IF(BF856="Recall Requested","Retirada solicitada: pendiente",IF(AND(BF856="Approved",NOT(ISNUMBER(T856))),"Falta fecha de aprobación",IF(AND(ISNUMBER(S856),ISNUMBER(T856),T856&lt;S856),"Aprobación anterior al envío","")))))))))</f>
        <v/>
      </c>
      <c r="Y856" s="80">
        <f>IF(COUNTA(B856,D856,E856,F856,G856,H856,I856,J856,R856,S856,T856)&gt;0,1,0)</f>
        <v>0</v>
      </c>
      <c r="Z856" s="80" t="str">
        <f>IF(AND(ISNUMBER(H856),H856&gt;=0,H856&lt;1),ROUND(H856*1440,0),"")</f>
        <v/>
      </c>
      <c r="AA856" s="80" t="str">
        <f>IF(AND(ISNUMBER(I856),I856&gt;=0,I856&lt;1),ROUND(I856*1440,0),"")</f>
        <v/>
      </c>
      <c r="AB856" s="80">
        <f>IF(AND(ISNUMBER(B856),D856&lt;&gt;"",ISNUMBER(Z856),ISNUMBER(AA856)),IF(Z856=AA856,0,1),0)</f>
        <v>0</v>
      </c>
      <c r="AC856" s="80">
        <f>IF(AB856=1,IF(AA856&lt;Z856,1,0),0)</f>
        <v>0</v>
      </c>
      <c r="AD856" s="80">
        <f>IF(AB856=1,IF(AC856=1,1440-Z856+AA856,AA856-Z856),0)</f>
        <v>0</v>
      </c>
      <c r="AE856" s="80">
        <f>IF(J856="",0,IF(ISNUMBER(J856),J856,-1))</f>
        <v>0</v>
      </c>
      <c r="AF856" s="80">
        <f>MIN(MAX(0,AE856),AD856)</f>
        <v>0</v>
      </c>
      <c r="AG856" s="80">
        <f>MAX(0,AD856-MAX(0,AE856))</f>
        <v>0</v>
      </c>
      <c r="AH856" s="80">
        <f>IF(ISNUMBER(B856),IF(AND(INDEX(CFG_WDAYS,WEEKDAY(INT(B856),2))="Sí",IF(D856="proMX",COUNTIFS(FER_F,INT(B856),FER_NLP,"Sí"),COUNTIFS(FER_F,INT(B856),FER_NLM,"Sí"))=0),1,0),0)</f>
        <v>0</v>
      </c>
      <c r="AI856" s="80">
        <f>IF(AC856=1,IF(AND(INDEX(CFG_WDAYS,WEEKDAY(INT(B856)+1,2))="Sí",IF(D856="proMX",COUNTIFS(FER_F,INT(B856)+1,FER_NLP,"Sí"),COUNTIFS(FER_F,INT(B856)+1,FER_NLM,"Sí"))=0),1,0),0)</f>
        <v>0</v>
      </c>
      <c r="AJ856" s="80">
        <f>IF(AC856=1,1440-Z856,AD856)</f>
        <v>0</v>
      </c>
      <c r="AK856" s="80">
        <f>IF(AND(AB856=1,AH856=1),MAX(0,MIN(IF(AC856=1,1440,AA856),CFG_WEM)-MAX(Z856,CFG_WSM)),0)</f>
        <v>0</v>
      </c>
      <c r="AL856" s="80">
        <f>IF(AND(AC856=1,AI856=1),MAX(0,MIN(AA856,CFG_WEM)-CFG_WSM),0)</f>
        <v>0</v>
      </c>
      <c r="AM856" s="80">
        <f>AK856+AL856</f>
        <v>0</v>
      </c>
      <c r="AN856" s="80">
        <f>IF(CFG_BRK="Proporcional",IF(AD856=0,0,AF856*AM856/AD856),IF(CFG_BRK="Extras primero",MIN(AM856,MAX(0,AF856-(AD856-AM856))),MIN(AF856,AM856)))</f>
        <v>0</v>
      </c>
      <c r="AO856" s="80">
        <f>AF856-AN856</f>
        <v>0</v>
      </c>
      <c r="AP856" s="80">
        <f>AM856-AN856</f>
        <v>0</v>
      </c>
      <c r="AQ856" s="80">
        <f>AD856-AM856-AO856</f>
        <v>0</v>
      </c>
      <c r="AR856" s="80">
        <f>IF(AM856=0,0,AK856-AN856*AK856/AM856)</f>
        <v>0</v>
      </c>
      <c r="AS856" s="80">
        <f>IF(AD856-AM856=0,0,(AJ856-AK856)-AO856*(AJ856-AK856)/(AD856-AM856))</f>
        <v>0</v>
      </c>
      <c r="AT856" s="80" t="str">
        <f>IF(AC856=1,INT(B856)+1,"")</f>
        <v/>
      </c>
      <c r="AU856" s="80">
        <f>IF(AND(D856="proMX",R856="Cancelled"),0,1)</f>
        <v>1</v>
      </c>
      <c r="AV856" s="80">
        <f>IF(AND(AB856=1,AU856=1),IF(COUNTIFS($D$5:D855,D856,$B$5:B855,B856,$Z$5:Z855,Z856,$AA$5:AA855,AA856,$F$5:F855,F856&amp;"",$AU$5:AU855,1)&gt;0,1,0),0)</f>
        <v>0</v>
      </c>
      <c r="AW856" s="80" t="str">
        <f>IF(AB856=1,INT(B856)*1440+Z856,"")</f>
        <v/>
      </c>
      <c r="AX856" s="80" t="str">
        <f>IF(AB856=1,AW856+AD856,"")</f>
        <v/>
      </c>
      <c r="AY856" s="80">
        <f>IF(AND(AB856=1,AV856=0,AU856=1),1,0)</f>
        <v>0</v>
      </c>
      <c r="AZ856" s="80">
        <f>IF(AY856=1,COUNTIFS(R_Emp,D856,R_SAbs,"&lt;"&amp;AX856,R_EAbs,"&gt;"&amp;AW856,R_OKey,1)-1,0)</f>
        <v>0</v>
      </c>
      <c r="BA856" s="80">
        <f>IF(AY856=1,COUNTIFS(R_Emp,"&lt;&gt;"&amp;D856,R_SAbs,"&lt;"&amp;AX856,R_EAbs,"&gt;"&amp;AW856,R_OKey,1),0)</f>
        <v>0</v>
      </c>
      <c r="BB856" s="80">
        <f>IF(AND(AB856=1,D856="proMX"),IF(AND(MOD(Z856,CFG_BLK)=0,MOD(AA856,CFG_BLK)=0,MOD(AG856,CFG_BLK)=0,AG856&gt;0),1,0),1)</f>
        <v>1</v>
      </c>
      <c r="BC856" s="80" t="str">
        <f>IF(Y856=0,"",IF(NOT(ISNUMBER(B856)),"Falta fecha o fecha inválida",IF(D856="","Falta empresa",IF(AND(D856&lt;&gt;"Malcolm",D856&lt;&gt;"proMX"),"Empresa inválida",IF(OR(INT(B856)&lt;CFG_PSTART,INT(B856)&gt;CFG_PEND),"Fecha fuera del período",IF(OR(NOT(ISNUMBER(Z856)),NOT(ISNUMBER(AA856))),"Falta hora inicio/fin o formato inválido",IF(AB856=0,"Hora inicio = hora fin",IF(AE856&lt;0,"Descanso inválido",IF(AE856&gt;=AD856,"Descanso ≥ duración",IF(AV856=1,"Registro duplicado",IF(AZ856&gt;0,"Se superpone con otro registro "&amp;D856,IF(BB856=0,"inicio, fin y duración neta deben ser múltiplos de "&amp;CFG_BLK&amp;" min",""))))))))))))</f>
        <v/>
      </c>
      <c r="BD856" s="80">
        <f>IF(AND(Y856=1,BC856=""),1,0)</f>
        <v>0</v>
      </c>
      <c r="BE856" s="80">
        <f>IF(AND(BD856=1,AU856=1),1,0)</f>
        <v>0</v>
      </c>
      <c r="BF856" s="80" t="str">
        <f>IF(AND(D856="proMX",BD856=1),IF(R856="","Draft",R856),"")</f>
        <v/>
      </c>
      <c r="BG856" s="80">
        <f>IF(BD856=1,ROUND(AG856/60,6),0)</f>
        <v>0</v>
      </c>
      <c r="BH856" s="80">
        <f>IF(BE856=1,ROUND(AG856/60,6),0)</f>
        <v>0</v>
      </c>
      <c r="BI856" s="80">
        <f>IF(BE856=1,ROUND(AP856/60,6),0)</f>
        <v>0</v>
      </c>
      <c r="BJ856" s="80">
        <f>IF(BE856=1,ROUND(AQ856/60,6),0)</f>
        <v>0</v>
      </c>
      <c r="BK856" s="80">
        <f>IF(BE856=1,ROUND((AR856+AS856)/60,6),0)</f>
        <v>0</v>
      </c>
      <c r="BL856" s="80">
        <f>ROUND(BH856-BK856,6)</f>
        <v>0</v>
      </c>
      <c r="BM856" s="80">
        <f>IF(BE856=1,ROUND(AR856/60,6),0)</f>
        <v>0</v>
      </c>
      <c r="BN856" s="80">
        <f>ROUND(BI856-BM856,6)</f>
        <v>0</v>
      </c>
      <c r="BO856" s="80">
        <f>IF(BE856=1,ROUND(AS856/60,6),0)</f>
        <v>0</v>
      </c>
      <c r="BP856" s="80">
        <f>ROUND(BJ856-BO856,6)</f>
        <v>0</v>
      </c>
      <c r="BQ856" s="80">
        <f>IF(BE856=1,AW856,0)</f>
        <v>0</v>
      </c>
      <c r="BR856" s="80">
        <f>IF(BE856=1,AX856,0)</f>
        <v>0</v>
      </c>
      <c r="BS856" s="80">
        <f>IF(AND(BE856=1,D856="Malcolm",BA856&gt;0),MIN(BH856,SUMPRODUCT((R_Emp="proMX")*(R_EN&gt;0)*((R_EN-(R_EN&gt;BR856)*(R_EN-BR856))&gt;(R_SN+(R_SN&lt;BQ856)*(BQ856-R_SN)))*((R_EN-(R_EN&gt;BR856)*(R_EN-BR856))-(R_SN+(R_SN&lt;BQ856)*(BQ856-R_SN))))/60),0)</f>
        <v>0</v>
      </c>
      <c r="BT856" s="80">
        <f>IF(AND(BE856=1,D856="proMX"),ROUND(BI856*CFG_RATE+BJ856*CFG_OTRATE,6),0)</f>
        <v>0</v>
      </c>
      <c r="BU856" s="80">
        <f>IF(AND(BD856=1,D856="proMX"),ROUND(AG856/CFG_BLK,6),0)</f>
        <v>0</v>
      </c>
      <c r="BV856" s="80" t="str">
        <f>IF(BF856="Approved",IF(ISNUMBER(T856),INT(T856),INT(B856)),"")</f>
        <v/>
      </c>
      <c r="BW856" s="80">
        <f>IF(ISNUMBER(B856),IF(DB_MON="Todos",1,IF(AND(INT(B856)&gt;=DB_MS,INT(B856)&lt;=DB_ME),1,0)),0)</f>
        <v>0</v>
      </c>
      <c r="BX856" s="80">
        <f>IF(DB_PROJ="Todos",1,IF(E856&amp;""=DB_PROJ&amp;"",1,0))</f>
        <v>1</v>
      </c>
      <c r="BY856" s="80">
        <f>BW856*BX856</f>
        <v>0</v>
      </c>
      <c r="BZ856" s="80" t="str">
        <f>IF(Y856=1,F856&amp;IF(AND(F856&amp;""&lt;&gt;"",E856&amp;""&lt;&gt;"")," · ","")&amp;E856,"")</f>
        <v/>
      </c>
      <c r="CA856" s="80" t="str">
        <f>IF(AND(BD856=1,E856&amp;""&lt;&gt;""),IF(COUNTIFS($E$5:E855,E856,$BD$5:BD855,1)=0,MAX($CA$5:CA855)+1,""),"")</f>
        <v/>
      </c>
      <c r="CB856" s="80" t="str">
        <f>IF(AND(BE856=1,D856="Malcolm",E856&amp;""&lt;&gt;""),IF(COUNTIFS($D$5:D855,"Malcolm",$E$5:E855,E856,$BE$5:BE855,1)=0,MAX($CB$5:CB855)+1,""),"")</f>
        <v/>
      </c>
      <c r="CC856" s="80" t="str">
        <f>IF(AND(BD856=1,D856="proMX",E856&amp;""&lt;&gt;""),IF(COUNTIFS($D$5:D855,"proMX",$E$5:E855,E856,$BD$5:BD855,1)=0,MAX($CC$5:CC855)+1,""),"")</f>
        <v/>
      </c>
      <c r="CD856" s="80" t="str">
        <f>IF(AND(BE856=1,D856="Malcolm",F856&amp;""&lt;&gt;""),IF(COUNTIFS($D$5:D855,"Malcolm",$F$5:F855,F856,$BE$5:BE855,1)=0,MAX($CD$5:CD855)+1,""),"")</f>
        <v/>
      </c>
      <c r="CE856" s="80" t="str">
        <f>IF(AND(BD856=1,D856="proMX",F856&amp;""&lt;&gt;""),IF(COUNTIFS($D$5:D855,"proMX",$F$5:F855,F856,$BD$5:BD855,1)=0,MAX($CE$5:CE855)+1,""),"")</f>
        <v/>
      </c>
      <c r="CF856" s="80" t="str">
        <f>IF(AND(D856="proMX",BD856=1),IF(OR(BF856="Draft",BF856="Submitted",BF856="Returned",BF856="Recall Requested"),MAX($CF$5:CF855)+1,""),"")</f>
        <v/>
      </c>
      <c r="CG856" s="80">
        <f>IF(BD856=0,0,IF(D856="Malcolm",1,MATCH(BF856,{"Draft","Submitted","Approved","Returned","Recall Requested","Cancelled"},0)+1))</f>
        <v>0</v>
      </c>
      <c r="CH856" s="80">
        <f>IF(AND(BF856="Submitted",ISNUMBER(V856)),IF(V856&gt;CFG_MAXD,1,0),0)</f>
        <v>0</v>
      </c>
    </row>
    <row r="857">
      <c r="A857" s="71" t="str">
        <f>IF(Y857=1,ROW()-5,"")</f>
        <v/>
      </c>
      <c r="B857" s="72" t="n"/>
      <c r="C857" s="71" t="str">
        <f>IF(ISNUMBER(B857),CHOOSE(WEEKDAY(B857,2),"Lun","Mar","Mié","Jue","Vie","Sáb","Dom"),"")</f>
        <v/>
      </c>
      <c r="D857" s="73" t="n"/>
      <c r="E857" s="74" t="n"/>
      <c r="F857" s="74" t="n"/>
      <c r="G857" s="74" t="n"/>
      <c r="H857" s="75" t="n"/>
      <c r="I857" s="75" t="n"/>
      <c r="J857" s="76" t="n"/>
      <c r="K857" s="77" t="str">
        <f>IF(AB857=1,ROUND(AG857/60,4),"")</f>
        <v/>
      </c>
      <c r="L857" s="77" t="str">
        <f>IF(BD857=1,ROUND(AP857/60,4),"")</f>
        <v/>
      </c>
      <c r="M857" s="77" t="str">
        <f>IF(BD857=1,ROUND(AQ857/60,4),"")</f>
        <v/>
      </c>
      <c r="N857" s="71" t="str">
        <f>IF(AND(D857="proMX",AB857=1),ROUND(AG857/CFG_BLK,2),"")</f>
        <v/>
      </c>
      <c r="O857" s="77" t="str">
        <f>IF(D857="proMX",IF(BD857=1,ROUND(AG857/60,4),0),"")</f>
        <v/>
      </c>
      <c r="P857" s="78" t="str">
        <f>IF(Y857=0,"",IF(BD857=1,"OK",IF(D857="proMX","Revisar bloques: ","Revisar: ")&amp;BC857))</f>
        <v/>
      </c>
      <c r="Q857" s="78" t="str">
        <f>IF(NOT(ISNUMBER(B857)),"",IF(COUNTIFS(FER_F,INT(B857))&gt;0,"Feriado"&amp;IF(AH857=1," (laborable)"," (no laborable)"),IF(AH857=1,"Laborable",IF(WEEKDAY(B857,2)&gt;5,"Fin de semana","No laborable"))))</f>
        <v/>
      </c>
      <c r="R857" s="73" t="n"/>
      <c r="S857" s="72" t="n"/>
      <c r="T857" s="72" t="n"/>
      <c r="U857" s="74" t="n"/>
      <c r="V857" s="79" t="str">
        <f>IF(AND(D857="proMX",OR(R857="Submitted",R857="Recall Requested"),ISNUMBER(S857)),CFG_TODAY-INT(S857),"")</f>
        <v/>
      </c>
      <c r="W857" s="78" t="str">
        <f>IF(BD857=0,"",IF(BA857&gt;0,"⚠ Se superpone con un registro de la otra empresa",IF(D857="Malcolm",IF(COUNTA(R857,S857,T857)&gt;0,"Estado/fechas proMX se ignoran en Malcolm",""),IF(BF857="Cancelled","Cancelado: excluido de totales",IF(R857="","Sin estado: se trata como Draft",IF(BF857="Submitted",IF(ISNUMBER(V857),IF(V857&gt;CFG_MAXD,"⚠ "&amp;V857&amp;" días en Submitted (máx. "&amp;CFG_MAXD&amp;")",""),"Falta fecha de envío"),IF(BF857="Returned","⚠ Devuelto: corregir y reenviar",IF(BF857="Recall Requested","Retirada solicitada: pendiente",IF(AND(BF857="Approved",NOT(ISNUMBER(T857))),"Falta fecha de aprobación",IF(AND(ISNUMBER(S857),ISNUMBER(T857),T857&lt;S857),"Aprobación anterior al envío","")))))))))</f>
        <v/>
      </c>
      <c r="Y857" s="80">
        <f>IF(COUNTA(B857,D857,E857,F857,G857,H857,I857,J857,R857,S857,T857)&gt;0,1,0)</f>
        <v>0</v>
      </c>
      <c r="Z857" s="80" t="str">
        <f>IF(AND(ISNUMBER(H857),H857&gt;=0,H857&lt;1),ROUND(H857*1440,0),"")</f>
        <v/>
      </c>
      <c r="AA857" s="80" t="str">
        <f>IF(AND(ISNUMBER(I857),I857&gt;=0,I857&lt;1),ROUND(I857*1440,0),"")</f>
        <v/>
      </c>
      <c r="AB857" s="80">
        <f>IF(AND(ISNUMBER(B857),D857&lt;&gt;"",ISNUMBER(Z857),ISNUMBER(AA857)),IF(Z857=AA857,0,1),0)</f>
        <v>0</v>
      </c>
      <c r="AC857" s="80">
        <f>IF(AB857=1,IF(AA857&lt;Z857,1,0),0)</f>
        <v>0</v>
      </c>
      <c r="AD857" s="80">
        <f>IF(AB857=1,IF(AC857=1,1440-Z857+AA857,AA857-Z857),0)</f>
        <v>0</v>
      </c>
      <c r="AE857" s="80">
        <f>IF(J857="",0,IF(ISNUMBER(J857),J857,-1))</f>
        <v>0</v>
      </c>
      <c r="AF857" s="80">
        <f>MIN(MAX(0,AE857),AD857)</f>
        <v>0</v>
      </c>
      <c r="AG857" s="80">
        <f>MAX(0,AD857-MAX(0,AE857))</f>
        <v>0</v>
      </c>
      <c r="AH857" s="80">
        <f>IF(ISNUMBER(B857),IF(AND(INDEX(CFG_WDAYS,WEEKDAY(INT(B857),2))="Sí",IF(D857="proMX",COUNTIFS(FER_F,INT(B857),FER_NLP,"Sí"),COUNTIFS(FER_F,INT(B857),FER_NLM,"Sí"))=0),1,0),0)</f>
        <v>0</v>
      </c>
      <c r="AI857" s="80">
        <f>IF(AC857=1,IF(AND(INDEX(CFG_WDAYS,WEEKDAY(INT(B857)+1,2))="Sí",IF(D857="proMX",COUNTIFS(FER_F,INT(B857)+1,FER_NLP,"Sí"),COUNTIFS(FER_F,INT(B857)+1,FER_NLM,"Sí"))=0),1,0),0)</f>
        <v>0</v>
      </c>
      <c r="AJ857" s="80">
        <f>IF(AC857=1,1440-Z857,AD857)</f>
        <v>0</v>
      </c>
      <c r="AK857" s="80">
        <f>IF(AND(AB857=1,AH857=1),MAX(0,MIN(IF(AC857=1,1440,AA857),CFG_WEM)-MAX(Z857,CFG_WSM)),0)</f>
        <v>0</v>
      </c>
      <c r="AL857" s="80">
        <f>IF(AND(AC857=1,AI857=1),MAX(0,MIN(AA857,CFG_WEM)-CFG_WSM),0)</f>
        <v>0</v>
      </c>
      <c r="AM857" s="80">
        <f>AK857+AL857</f>
        <v>0</v>
      </c>
      <c r="AN857" s="80">
        <f>IF(CFG_BRK="Proporcional",IF(AD857=0,0,AF857*AM857/AD857),IF(CFG_BRK="Extras primero",MIN(AM857,MAX(0,AF857-(AD857-AM857))),MIN(AF857,AM857)))</f>
        <v>0</v>
      </c>
      <c r="AO857" s="80">
        <f>AF857-AN857</f>
        <v>0</v>
      </c>
      <c r="AP857" s="80">
        <f>AM857-AN857</f>
        <v>0</v>
      </c>
      <c r="AQ857" s="80">
        <f>AD857-AM857-AO857</f>
        <v>0</v>
      </c>
      <c r="AR857" s="80">
        <f>IF(AM857=0,0,AK857-AN857*AK857/AM857)</f>
        <v>0</v>
      </c>
      <c r="AS857" s="80">
        <f>IF(AD857-AM857=0,0,(AJ857-AK857)-AO857*(AJ857-AK857)/(AD857-AM857))</f>
        <v>0</v>
      </c>
      <c r="AT857" s="80" t="str">
        <f>IF(AC857=1,INT(B857)+1,"")</f>
        <v/>
      </c>
      <c r="AU857" s="80">
        <f>IF(AND(D857="proMX",R857="Cancelled"),0,1)</f>
        <v>1</v>
      </c>
      <c r="AV857" s="80">
        <f>IF(AND(AB857=1,AU857=1),IF(COUNTIFS($D$5:D856,D857,$B$5:B856,B857,$Z$5:Z856,Z857,$AA$5:AA856,AA857,$F$5:F856,F857&amp;"",$AU$5:AU856,1)&gt;0,1,0),0)</f>
        <v>0</v>
      </c>
      <c r="AW857" s="80" t="str">
        <f>IF(AB857=1,INT(B857)*1440+Z857,"")</f>
        <v/>
      </c>
      <c r="AX857" s="80" t="str">
        <f>IF(AB857=1,AW857+AD857,"")</f>
        <v/>
      </c>
      <c r="AY857" s="80">
        <f>IF(AND(AB857=1,AV857=0,AU857=1),1,0)</f>
        <v>0</v>
      </c>
      <c r="AZ857" s="80">
        <f>IF(AY857=1,COUNTIFS(R_Emp,D857,R_SAbs,"&lt;"&amp;AX857,R_EAbs,"&gt;"&amp;AW857,R_OKey,1)-1,0)</f>
        <v>0</v>
      </c>
      <c r="BA857" s="80">
        <f>IF(AY857=1,COUNTIFS(R_Emp,"&lt;&gt;"&amp;D857,R_SAbs,"&lt;"&amp;AX857,R_EAbs,"&gt;"&amp;AW857,R_OKey,1),0)</f>
        <v>0</v>
      </c>
      <c r="BB857" s="80">
        <f>IF(AND(AB857=1,D857="proMX"),IF(AND(MOD(Z857,CFG_BLK)=0,MOD(AA857,CFG_BLK)=0,MOD(AG857,CFG_BLK)=0,AG857&gt;0),1,0),1)</f>
        <v>1</v>
      </c>
      <c r="BC857" s="80" t="str">
        <f>IF(Y857=0,"",IF(NOT(ISNUMBER(B857)),"Falta fecha o fecha inválida",IF(D857="","Falta empresa",IF(AND(D857&lt;&gt;"Malcolm",D857&lt;&gt;"proMX"),"Empresa inválida",IF(OR(INT(B857)&lt;CFG_PSTART,INT(B857)&gt;CFG_PEND),"Fecha fuera del período",IF(OR(NOT(ISNUMBER(Z857)),NOT(ISNUMBER(AA857))),"Falta hora inicio/fin o formato inválido",IF(AB857=0,"Hora inicio = hora fin",IF(AE857&lt;0,"Descanso inválido",IF(AE857&gt;=AD857,"Descanso ≥ duración",IF(AV857=1,"Registro duplicado",IF(AZ857&gt;0,"Se superpone con otro registro "&amp;D857,IF(BB857=0,"inicio, fin y duración neta deben ser múltiplos de "&amp;CFG_BLK&amp;" min",""))))))))))))</f>
        <v/>
      </c>
      <c r="BD857" s="80">
        <f>IF(AND(Y857=1,BC857=""),1,0)</f>
        <v>0</v>
      </c>
      <c r="BE857" s="80">
        <f>IF(AND(BD857=1,AU857=1),1,0)</f>
        <v>0</v>
      </c>
      <c r="BF857" s="80" t="str">
        <f>IF(AND(D857="proMX",BD857=1),IF(R857="","Draft",R857),"")</f>
        <v/>
      </c>
      <c r="BG857" s="80">
        <f>IF(BD857=1,ROUND(AG857/60,6),0)</f>
        <v>0</v>
      </c>
      <c r="BH857" s="80">
        <f>IF(BE857=1,ROUND(AG857/60,6),0)</f>
        <v>0</v>
      </c>
      <c r="BI857" s="80">
        <f>IF(BE857=1,ROUND(AP857/60,6),0)</f>
        <v>0</v>
      </c>
      <c r="BJ857" s="80">
        <f>IF(BE857=1,ROUND(AQ857/60,6),0)</f>
        <v>0</v>
      </c>
      <c r="BK857" s="80">
        <f>IF(BE857=1,ROUND((AR857+AS857)/60,6),0)</f>
        <v>0</v>
      </c>
      <c r="BL857" s="80">
        <f>ROUND(BH857-BK857,6)</f>
        <v>0</v>
      </c>
      <c r="BM857" s="80">
        <f>IF(BE857=1,ROUND(AR857/60,6),0)</f>
        <v>0</v>
      </c>
      <c r="BN857" s="80">
        <f>ROUND(BI857-BM857,6)</f>
        <v>0</v>
      </c>
      <c r="BO857" s="80">
        <f>IF(BE857=1,ROUND(AS857/60,6),0)</f>
        <v>0</v>
      </c>
      <c r="BP857" s="80">
        <f>ROUND(BJ857-BO857,6)</f>
        <v>0</v>
      </c>
      <c r="BQ857" s="80">
        <f>IF(BE857=1,AW857,0)</f>
        <v>0</v>
      </c>
      <c r="BR857" s="80">
        <f>IF(BE857=1,AX857,0)</f>
        <v>0</v>
      </c>
      <c r="BS857" s="80">
        <f>IF(AND(BE857=1,D857="Malcolm",BA857&gt;0),MIN(BH857,SUMPRODUCT((R_Emp="proMX")*(R_EN&gt;0)*((R_EN-(R_EN&gt;BR857)*(R_EN-BR857))&gt;(R_SN+(R_SN&lt;BQ857)*(BQ857-R_SN)))*((R_EN-(R_EN&gt;BR857)*(R_EN-BR857))-(R_SN+(R_SN&lt;BQ857)*(BQ857-R_SN))))/60),0)</f>
        <v>0</v>
      </c>
      <c r="BT857" s="80">
        <f>IF(AND(BE857=1,D857="proMX"),ROUND(BI857*CFG_RATE+BJ857*CFG_OTRATE,6),0)</f>
        <v>0</v>
      </c>
      <c r="BU857" s="80">
        <f>IF(AND(BD857=1,D857="proMX"),ROUND(AG857/CFG_BLK,6),0)</f>
        <v>0</v>
      </c>
      <c r="BV857" s="80" t="str">
        <f>IF(BF857="Approved",IF(ISNUMBER(T857),INT(T857),INT(B857)),"")</f>
        <v/>
      </c>
      <c r="BW857" s="80">
        <f>IF(ISNUMBER(B857),IF(DB_MON="Todos",1,IF(AND(INT(B857)&gt;=DB_MS,INT(B857)&lt;=DB_ME),1,0)),0)</f>
        <v>0</v>
      </c>
      <c r="BX857" s="80">
        <f>IF(DB_PROJ="Todos",1,IF(E857&amp;""=DB_PROJ&amp;"",1,0))</f>
        <v>1</v>
      </c>
      <c r="BY857" s="80">
        <f>BW857*BX857</f>
        <v>0</v>
      </c>
      <c r="BZ857" s="80" t="str">
        <f>IF(Y857=1,F857&amp;IF(AND(F857&amp;""&lt;&gt;"",E857&amp;""&lt;&gt;"")," · ","")&amp;E857,"")</f>
        <v/>
      </c>
      <c r="CA857" s="80" t="str">
        <f>IF(AND(BD857=1,E857&amp;""&lt;&gt;""),IF(COUNTIFS($E$5:E856,E857,$BD$5:BD856,1)=0,MAX($CA$5:CA856)+1,""),"")</f>
        <v/>
      </c>
      <c r="CB857" s="80" t="str">
        <f>IF(AND(BE857=1,D857="Malcolm",E857&amp;""&lt;&gt;""),IF(COUNTIFS($D$5:D856,"Malcolm",$E$5:E856,E857,$BE$5:BE856,1)=0,MAX($CB$5:CB856)+1,""),"")</f>
        <v/>
      </c>
      <c r="CC857" s="80" t="str">
        <f>IF(AND(BD857=1,D857="proMX",E857&amp;""&lt;&gt;""),IF(COUNTIFS($D$5:D856,"proMX",$E$5:E856,E857,$BD$5:BD856,1)=0,MAX($CC$5:CC856)+1,""),"")</f>
        <v/>
      </c>
      <c r="CD857" s="80" t="str">
        <f>IF(AND(BE857=1,D857="Malcolm",F857&amp;""&lt;&gt;""),IF(COUNTIFS($D$5:D856,"Malcolm",$F$5:F856,F857,$BE$5:BE856,1)=0,MAX($CD$5:CD856)+1,""),"")</f>
        <v/>
      </c>
      <c r="CE857" s="80" t="str">
        <f>IF(AND(BD857=1,D857="proMX",F857&amp;""&lt;&gt;""),IF(COUNTIFS($D$5:D856,"proMX",$F$5:F856,F857,$BD$5:BD856,1)=0,MAX($CE$5:CE856)+1,""),"")</f>
        <v/>
      </c>
      <c r="CF857" s="80" t="str">
        <f>IF(AND(D857="proMX",BD857=1),IF(OR(BF857="Draft",BF857="Submitted",BF857="Returned",BF857="Recall Requested"),MAX($CF$5:CF856)+1,""),"")</f>
        <v/>
      </c>
      <c r="CG857" s="80">
        <f>IF(BD857=0,0,IF(D857="Malcolm",1,MATCH(BF857,{"Draft","Submitted","Approved","Returned","Recall Requested","Cancelled"},0)+1))</f>
        <v>0</v>
      </c>
      <c r="CH857" s="80">
        <f>IF(AND(BF857="Submitted",ISNUMBER(V857)),IF(V857&gt;CFG_MAXD,1,0),0)</f>
        <v>0</v>
      </c>
    </row>
    <row r="858">
      <c r="A858" s="71" t="str">
        <f>IF(Y858=1,ROW()-5,"")</f>
        <v/>
      </c>
      <c r="B858" s="72" t="n"/>
      <c r="C858" s="71" t="str">
        <f>IF(ISNUMBER(B858),CHOOSE(WEEKDAY(B858,2),"Lun","Mar","Mié","Jue","Vie","Sáb","Dom"),"")</f>
        <v/>
      </c>
      <c r="D858" s="73" t="n"/>
      <c r="E858" s="74" t="n"/>
      <c r="F858" s="74" t="n"/>
      <c r="G858" s="74" t="n"/>
      <c r="H858" s="75" t="n"/>
      <c r="I858" s="75" t="n"/>
      <c r="J858" s="76" t="n"/>
      <c r="K858" s="77" t="str">
        <f>IF(AB858=1,ROUND(AG858/60,4),"")</f>
        <v/>
      </c>
      <c r="L858" s="77" t="str">
        <f>IF(BD858=1,ROUND(AP858/60,4),"")</f>
        <v/>
      </c>
      <c r="M858" s="77" t="str">
        <f>IF(BD858=1,ROUND(AQ858/60,4),"")</f>
        <v/>
      </c>
      <c r="N858" s="71" t="str">
        <f>IF(AND(D858="proMX",AB858=1),ROUND(AG858/CFG_BLK,2),"")</f>
        <v/>
      </c>
      <c r="O858" s="77" t="str">
        <f>IF(D858="proMX",IF(BD858=1,ROUND(AG858/60,4),0),"")</f>
        <v/>
      </c>
      <c r="P858" s="78" t="str">
        <f>IF(Y858=0,"",IF(BD858=1,"OK",IF(D858="proMX","Revisar bloques: ","Revisar: ")&amp;BC858))</f>
        <v/>
      </c>
      <c r="Q858" s="78" t="str">
        <f>IF(NOT(ISNUMBER(B858)),"",IF(COUNTIFS(FER_F,INT(B858))&gt;0,"Feriado"&amp;IF(AH858=1," (laborable)"," (no laborable)"),IF(AH858=1,"Laborable",IF(WEEKDAY(B858,2)&gt;5,"Fin de semana","No laborable"))))</f>
        <v/>
      </c>
      <c r="R858" s="73" t="n"/>
      <c r="S858" s="72" t="n"/>
      <c r="T858" s="72" t="n"/>
      <c r="U858" s="74" t="n"/>
      <c r="V858" s="79" t="str">
        <f>IF(AND(D858="proMX",OR(R858="Submitted",R858="Recall Requested"),ISNUMBER(S858)),CFG_TODAY-INT(S858),"")</f>
        <v/>
      </c>
      <c r="W858" s="78" t="str">
        <f>IF(BD858=0,"",IF(BA858&gt;0,"⚠ Se superpone con un registro de la otra empresa",IF(D858="Malcolm",IF(COUNTA(R858,S858,T858)&gt;0,"Estado/fechas proMX se ignoran en Malcolm",""),IF(BF858="Cancelled","Cancelado: excluido de totales",IF(R858="","Sin estado: se trata como Draft",IF(BF858="Submitted",IF(ISNUMBER(V858),IF(V858&gt;CFG_MAXD,"⚠ "&amp;V858&amp;" días en Submitted (máx. "&amp;CFG_MAXD&amp;")",""),"Falta fecha de envío"),IF(BF858="Returned","⚠ Devuelto: corregir y reenviar",IF(BF858="Recall Requested","Retirada solicitada: pendiente",IF(AND(BF858="Approved",NOT(ISNUMBER(T858))),"Falta fecha de aprobación",IF(AND(ISNUMBER(S858),ISNUMBER(T858),T858&lt;S858),"Aprobación anterior al envío","")))))))))</f>
        <v/>
      </c>
      <c r="Y858" s="80">
        <f>IF(COUNTA(B858,D858,E858,F858,G858,H858,I858,J858,R858,S858,T858)&gt;0,1,0)</f>
        <v>0</v>
      </c>
      <c r="Z858" s="80" t="str">
        <f>IF(AND(ISNUMBER(H858),H858&gt;=0,H858&lt;1),ROUND(H858*1440,0),"")</f>
        <v/>
      </c>
      <c r="AA858" s="80" t="str">
        <f>IF(AND(ISNUMBER(I858),I858&gt;=0,I858&lt;1),ROUND(I858*1440,0),"")</f>
        <v/>
      </c>
      <c r="AB858" s="80">
        <f>IF(AND(ISNUMBER(B858),D858&lt;&gt;"",ISNUMBER(Z858),ISNUMBER(AA858)),IF(Z858=AA858,0,1),0)</f>
        <v>0</v>
      </c>
      <c r="AC858" s="80">
        <f>IF(AB858=1,IF(AA858&lt;Z858,1,0),0)</f>
        <v>0</v>
      </c>
      <c r="AD858" s="80">
        <f>IF(AB858=1,IF(AC858=1,1440-Z858+AA858,AA858-Z858),0)</f>
        <v>0</v>
      </c>
      <c r="AE858" s="80">
        <f>IF(J858="",0,IF(ISNUMBER(J858),J858,-1))</f>
        <v>0</v>
      </c>
      <c r="AF858" s="80">
        <f>MIN(MAX(0,AE858),AD858)</f>
        <v>0</v>
      </c>
      <c r="AG858" s="80">
        <f>MAX(0,AD858-MAX(0,AE858))</f>
        <v>0</v>
      </c>
      <c r="AH858" s="80">
        <f>IF(ISNUMBER(B858),IF(AND(INDEX(CFG_WDAYS,WEEKDAY(INT(B858),2))="Sí",IF(D858="proMX",COUNTIFS(FER_F,INT(B858),FER_NLP,"Sí"),COUNTIFS(FER_F,INT(B858),FER_NLM,"Sí"))=0),1,0),0)</f>
        <v>0</v>
      </c>
      <c r="AI858" s="80">
        <f>IF(AC858=1,IF(AND(INDEX(CFG_WDAYS,WEEKDAY(INT(B858)+1,2))="Sí",IF(D858="proMX",COUNTIFS(FER_F,INT(B858)+1,FER_NLP,"Sí"),COUNTIFS(FER_F,INT(B858)+1,FER_NLM,"Sí"))=0),1,0),0)</f>
        <v>0</v>
      </c>
      <c r="AJ858" s="80">
        <f>IF(AC858=1,1440-Z858,AD858)</f>
        <v>0</v>
      </c>
      <c r="AK858" s="80">
        <f>IF(AND(AB858=1,AH858=1),MAX(0,MIN(IF(AC858=1,1440,AA858),CFG_WEM)-MAX(Z858,CFG_WSM)),0)</f>
        <v>0</v>
      </c>
      <c r="AL858" s="80">
        <f>IF(AND(AC858=1,AI858=1),MAX(0,MIN(AA858,CFG_WEM)-CFG_WSM),0)</f>
        <v>0</v>
      </c>
      <c r="AM858" s="80">
        <f>AK858+AL858</f>
        <v>0</v>
      </c>
      <c r="AN858" s="80">
        <f>IF(CFG_BRK="Proporcional",IF(AD858=0,0,AF858*AM858/AD858),IF(CFG_BRK="Extras primero",MIN(AM858,MAX(0,AF858-(AD858-AM858))),MIN(AF858,AM858)))</f>
        <v>0</v>
      </c>
      <c r="AO858" s="80">
        <f>AF858-AN858</f>
        <v>0</v>
      </c>
      <c r="AP858" s="80">
        <f>AM858-AN858</f>
        <v>0</v>
      </c>
      <c r="AQ858" s="80">
        <f>AD858-AM858-AO858</f>
        <v>0</v>
      </c>
      <c r="AR858" s="80">
        <f>IF(AM858=0,0,AK858-AN858*AK858/AM858)</f>
        <v>0</v>
      </c>
      <c r="AS858" s="80">
        <f>IF(AD858-AM858=0,0,(AJ858-AK858)-AO858*(AJ858-AK858)/(AD858-AM858))</f>
        <v>0</v>
      </c>
      <c r="AT858" s="80" t="str">
        <f>IF(AC858=1,INT(B858)+1,"")</f>
        <v/>
      </c>
      <c r="AU858" s="80">
        <f>IF(AND(D858="proMX",R858="Cancelled"),0,1)</f>
        <v>1</v>
      </c>
      <c r="AV858" s="80">
        <f>IF(AND(AB858=1,AU858=1),IF(COUNTIFS($D$5:D857,D858,$B$5:B857,B858,$Z$5:Z857,Z858,$AA$5:AA857,AA858,$F$5:F857,F858&amp;"",$AU$5:AU857,1)&gt;0,1,0),0)</f>
        <v>0</v>
      </c>
      <c r="AW858" s="80" t="str">
        <f>IF(AB858=1,INT(B858)*1440+Z858,"")</f>
        <v/>
      </c>
      <c r="AX858" s="80" t="str">
        <f>IF(AB858=1,AW858+AD858,"")</f>
        <v/>
      </c>
      <c r="AY858" s="80">
        <f>IF(AND(AB858=1,AV858=0,AU858=1),1,0)</f>
        <v>0</v>
      </c>
      <c r="AZ858" s="80">
        <f>IF(AY858=1,COUNTIFS(R_Emp,D858,R_SAbs,"&lt;"&amp;AX858,R_EAbs,"&gt;"&amp;AW858,R_OKey,1)-1,0)</f>
        <v>0</v>
      </c>
      <c r="BA858" s="80">
        <f>IF(AY858=1,COUNTIFS(R_Emp,"&lt;&gt;"&amp;D858,R_SAbs,"&lt;"&amp;AX858,R_EAbs,"&gt;"&amp;AW858,R_OKey,1),0)</f>
        <v>0</v>
      </c>
      <c r="BB858" s="80">
        <f>IF(AND(AB858=1,D858="proMX"),IF(AND(MOD(Z858,CFG_BLK)=0,MOD(AA858,CFG_BLK)=0,MOD(AG858,CFG_BLK)=0,AG858&gt;0),1,0),1)</f>
        <v>1</v>
      </c>
      <c r="BC858" s="80" t="str">
        <f>IF(Y858=0,"",IF(NOT(ISNUMBER(B858)),"Falta fecha o fecha inválida",IF(D858="","Falta empresa",IF(AND(D858&lt;&gt;"Malcolm",D858&lt;&gt;"proMX"),"Empresa inválida",IF(OR(INT(B858)&lt;CFG_PSTART,INT(B858)&gt;CFG_PEND),"Fecha fuera del período",IF(OR(NOT(ISNUMBER(Z858)),NOT(ISNUMBER(AA858))),"Falta hora inicio/fin o formato inválido",IF(AB858=0,"Hora inicio = hora fin",IF(AE858&lt;0,"Descanso inválido",IF(AE858&gt;=AD858,"Descanso ≥ duración",IF(AV858=1,"Registro duplicado",IF(AZ858&gt;0,"Se superpone con otro registro "&amp;D858,IF(BB858=0,"inicio, fin y duración neta deben ser múltiplos de "&amp;CFG_BLK&amp;" min",""))))))))))))</f>
        <v/>
      </c>
      <c r="BD858" s="80">
        <f>IF(AND(Y858=1,BC858=""),1,0)</f>
        <v>0</v>
      </c>
      <c r="BE858" s="80">
        <f>IF(AND(BD858=1,AU858=1),1,0)</f>
        <v>0</v>
      </c>
      <c r="BF858" s="80" t="str">
        <f>IF(AND(D858="proMX",BD858=1),IF(R858="","Draft",R858),"")</f>
        <v/>
      </c>
      <c r="BG858" s="80">
        <f>IF(BD858=1,ROUND(AG858/60,6),0)</f>
        <v>0</v>
      </c>
      <c r="BH858" s="80">
        <f>IF(BE858=1,ROUND(AG858/60,6),0)</f>
        <v>0</v>
      </c>
      <c r="BI858" s="80">
        <f>IF(BE858=1,ROUND(AP858/60,6),0)</f>
        <v>0</v>
      </c>
      <c r="BJ858" s="80">
        <f>IF(BE858=1,ROUND(AQ858/60,6),0)</f>
        <v>0</v>
      </c>
      <c r="BK858" s="80">
        <f>IF(BE858=1,ROUND((AR858+AS858)/60,6),0)</f>
        <v>0</v>
      </c>
      <c r="BL858" s="80">
        <f>ROUND(BH858-BK858,6)</f>
        <v>0</v>
      </c>
      <c r="BM858" s="80">
        <f>IF(BE858=1,ROUND(AR858/60,6),0)</f>
        <v>0</v>
      </c>
      <c r="BN858" s="80">
        <f>ROUND(BI858-BM858,6)</f>
        <v>0</v>
      </c>
      <c r="BO858" s="80">
        <f>IF(BE858=1,ROUND(AS858/60,6),0)</f>
        <v>0</v>
      </c>
      <c r="BP858" s="80">
        <f>ROUND(BJ858-BO858,6)</f>
        <v>0</v>
      </c>
      <c r="BQ858" s="80">
        <f>IF(BE858=1,AW858,0)</f>
        <v>0</v>
      </c>
      <c r="BR858" s="80">
        <f>IF(BE858=1,AX858,0)</f>
        <v>0</v>
      </c>
      <c r="BS858" s="80">
        <f>IF(AND(BE858=1,D858="Malcolm",BA858&gt;0),MIN(BH858,SUMPRODUCT((R_Emp="proMX")*(R_EN&gt;0)*((R_EN-(R_EN&gt;BR858)*(R_EN-BR858))&gt;(R_SN+(R_SN&lt;BQ858)*(BQ858-R_SN)))*((R_EN-(R_EN&gt;BR858)*(R_EN-BR858))-(R_SN+(R_SN&lt;BQ858)*(BQ858-R_SN))))/60),0)</f>
        <v>0</v>
      </c>
      <c r="BT858" s="80">
        <f>IF(AND(BE858=1,D858="proMX"),ROUND(BI858*CFG_RATE+BJ858*CFG_OTRATE,6),0)</f>
        <v>0</v>
      </c>
      <c r="BU858" s="80">
        <f>IF(AND(BD858=1,D858="proMX"),ROUND(AG858/CFG_BLK,6),0)</f>
        <v>0</v>
      </c>
      <c r="BV858" s="80" t="str">
        <f>IF(BF858="Approved",IF(ISNUMBER(T858),INT(T858),INT(B858)),"")</f>
        <v/>
      </c>
      <c r="BW858" s="80">
        <f>IF(ISNUMBER(B858),IF(DB_MON="Todos",1,IF(AND(INT(B858)&gt;=DB_MS,INT(B858)&lt;=DB_ME),1,0)),0)</f>
        <v>0</v>
      </c>
      <c r="BX858" s="80">
        <f>IF(DB_PROJ="Todos",1,IF(E858&amp;""=DB_PROJ&amp;"",1,0))</f>
        <v>1</v>
      </c>
      <c r="BY858" s="80">
        <f>BW858*BX858</f>
        <v>0</v>
      </c>
      <c r="BZ858" s="80" t="str">
        <f>IF(Y858=1,F858&amp;IF(AND(F858&amp;""&lt;&gt;"",E858&amp;""&lt;&gt;"")," · ","")&amp;E858,"")</f>
        <v/>
      </c>
      <c r="CA858" s="80" t="str">
        <f>IF(AND(BD858=1,E858&amp;""&lt;&gt;""),IF(COUNTIFS($E$5:E857,E858,$BD$5:BD857,1)=0,MAX($CA$5:CA857)+1,""),"")</f>
        <v/>
      </c>
      <c r="CB858" s="80" t="str">
        <f>IF(AND(BE858=1,D858="Malcolm",E858&amp;""&lt;&gt;""),IF(COUNTIFS($D$5:D857,"Malcolm",$E$5:E857,E858,$BE$5:BE857,1)=0,MAX($CB$5:CB857)+1,""),"")</f>
        <v/>
      </c>
      <c r="CC858" s="80" t="str">
        <f>IF(AND(BD858=1,D858="proMX",E858&amp;""&lt;&gt;""),IF(COUNTIFS($D$5:D857,"proMX",$E$5:E857,E858,$BD$5:BD857,1)=0,MAX($CC$5:CC857)+1,""),"")</f>
        <v/>
      </c>
      <c r="CD858" s="80" t="str">
        <f>IF(AND(BE858=1,D858="Malcolm",F858&amp;""&lt;&gt;""),IF(COUNTIFS($D$5:D857,"Malcolm",$F$5:F857,F858,$BE$5:BE857,1)=0,MAX($CD$5:CD857)+1,""),"")</f>
        <v/>
      </c>
      <c r="CE858" s="80" t="str">
        <f>IF(AND(BD858=1,D858="proMX",F858&amp;""&lt;&gt;""),IF(COUNTIFS($D$5:D857,"proMX",$F$5:F857,F858,$BD$5:BD857,1)=0,MAX($CE$5:CE857)+1,""),"")</f>
        <v/>
      </c>
      <c r="CF858" s="80" t="str">
        <f>IF(AND(D858="proMX",BD858=1),IF(OR(BF858="Draft",BF858="Submitted",BF858="Returned",BF858="Recall Requested"),MAX($CF$5:CF857)+1,""),"")</f>
        <v/>
      </c>
      <c r="CG858" s="80">
        <f>IF(BD858=0,0,IF(D858="Malcolm",1,MATCH(BF858,{"Draft","Submitted","Approved","Returned","Recall Requested","Cancelled"},0)+1))</f>
        <v>0</v>
      </c>
      <c r="CH858" s="80">
        <f>IF(AND(BF858="Submitted",ISNUMBER(V858)),IF(V858&gt;CFG_MAXD,1,0),0)</f>
        <v>0</v>
      </c>
    </row>
    <row r="859">
      <c r="A859" s="71" t="str">
        <f>IF(Y859=1,ROW()-5,"")</f>
        <v/>
      </c>
      <c r="B859" s="72" t="n"/>
      <c r="C859" s="71" t="str">
        <f>IF(ISNUMBER(B859),CHOOSE(WEEKDAY(B859,2),"Lun","Mar","Mié","Jue","Vie","Sáb","Dom"),"")</f>
        <v/>
      </c>
      <c r="D859" s="73" t="n"/>
      <c r="E859" s="74" t="n"/>
      <c r="F859" s="74" t="n"/>
      <c r="G859" s="74" t="n"/>
      <c r="H859" s="75" t="n"/>
      <c r="I859" s="75" t="n"/>
      <c r="J859" s="76" t="n"/>
      <c r="K859" s="77" t="str">
        <f>IF(AB859=1,ROUND(AG859/60,4),"")</f>
        <v/>
      </c>
      <c r="L859" s="77" t="str">
        <f>IF(BD859=1,ROUND(AP859/60,4),"")</f>
        <v/>
      </c>
      <c r="M859" s="77" t="str">
        <f>IF(BD859=1,ROUND(AQ859/60,4),"")</f>
        <v/>
      </c>
      <c r="N859" s="71" t="str">
        <f>IF(AND(D859="proMX",AB859=1),ROUND(AG859/CFG_BLK,2),"")</f>
        <v/>
      </c>
      <c r="O859" s="77" t="str">
        <f>IF(D859="proMX",IF(BD859=1,ROUND(AG859/60,4),0),"")</f>
        <v/>
      </c>
      <c r="P859" s="78" t="str">
        <f>IF(Y859=0,"",IF(BD859=1,"OK",IF(D859="proMX","Revisar bloques: ","Revisar: ")&amp;BC859))</f>
        <v/>
      </c>
      <c r="Q859" s="78" t="str">
        <f>IF(NOT(ISNUMBER(B859)),"",IF(COUNTIFS(FER_F,INT(B859))&gt;0,"Feriado"&amp;IF(AH859=1," (laborable)"," (no laborable)"),IF(AH859=1,"Laborable",IF(WEEKDAY(B859,2)&gt;5,"Fin de semana","No laborable"))))</f>
        <v/>
      </c>
      <c r="R859" s="73" t="n"/>
      <c r="S859" s="72" t="n"/>
      <c r="T859" s="72" t="n"/>
      <c r="U859" s="74" t="n"/>
      <c r="V859" s="79" t="str">
        <f>IF(AND(D859="proMX",OR(R859="Submitted",R859="Recall Requested"),ISNUMBER(S859)),CFG_TODAY-INT(S859),"")</f>
        <v/>
      </c>
      <c r="W859" s="78" t="str">
        <f>IF(BD859=0,"",IF(BA859&gt;0,"⚠ Se superpone con un registro de la otra empresa",IF(D859="Malcolm",IF(COUNTA(R859,S859,T859)&gt;0,"Estado/fechas proMX se ignoran en Malcolm",""),IF(BF859="Cancelled","Cancelado: excluido de totales",IF(R859="","Sin estado: se trata como Draft",IF(BF859="Submitted",IF(ISNUMBER(V859),IF(V859&gt;CFG_MAXD,"⚠ "&amp;V859&amp;" días en Submitted (máx. "&amp;CFG_MAXD&amp;")",""),"Falta fecha de envío"),IF(BF859="Returned","⚠ Devuelto: corregir y reenviar",IF(BF859="Recall Requested","Retirada solicitada: pendiente",IF(AND(BF859="Approved",NOT(ISNUMBER(T859))),"Falta fecha de aprobación",IF(AND(ISNUMBER(S859),ISNUMBER(T859),T859&lt;S859),"Aprobación anterior al envío","")))))))))</f>
        <v/>
      </c>
      <c r="Y859" s="80">
        <f>IF(COUNTA(B859,D859,E859,F859,G859,H859,I859,J859,R859,S859,T859)&gt;0,1,0)</f>
        <v>0</v>
      </c>
      <c r="Z859" s="80" t="str">
        <f>IF(AND(ISNUMBER(H859),H859&gt;=0,H859&lt;1),ROUND(H859*1440,0),"")</f>
        <v/>
      </c>
      <c r="AA859" s="80" t="str">
        <f>IF(AND(ISNUMBER(I859),I859&gt;=0,I859&lt;1),ROUND(I859*1440,0),"")</f>
        <v/>
      </c>
      <c r="AB859" s="80">
        <f>IF(AND(ISNUMBER(B859),D859&lt;&gt;"",ISNUMBER(Z859),ISNUMBER(AA859)),IF(Z859=AA859,0,1),0)</f>
        <v>0</v>
      </c>
      <c r="AC859" s="80">
        <f>IF(AB859=1,IF(AA859&lt;Z859,1,0),0)</f>
        <v>0</v>
      </c>
      <c r="AD859" s="80">
        <f>IF(AB859=1,IF(AC859=1,1440-Z859+AA859,AA859-Z859),0)</f>
        <v>0</v>
      </c>
      <c r="AE859" s="80">
        <f>IF(J859="",0,IF(ISNUMBER(J859),J859,-1))</f>
        <v>0</v>
      </c>
      <c r="AF859" s="80">
        <f>MIN(MAX(0,AE859),AD859)</f>
        <v>0</v>
      </c>
      <c r="AG859" s="80">
        <f>MAX(0,AD859-MAX(0,AE859))</f>
        <v>0</v>
      </c>
      <c r="AH859" s="80">
        <f>IF(ISNUMBER(B859),IF(AND(INDEX(CFG_WDAYS,WEEKDAY(INT(B859),2))="Sí",IF(D859="proMX",COUNTIFS(FER_F,INT(B859),FER_NLP,"Sí"),COUNTIFS(FER_F,INT(B859),FER_NLM,"Sí"))=0),1,0),0)</f>
        <v>0</v>
      </c>
      <c r="AI859" s="80">
        <f>IF(AC859=1,IF(AND(INDEX(CFG_WDAYS,WEEKDAY(INT(B859)+1,2))="Sí",IF(D859="proMX",COUNTIFS(FER_F,INT(B859)+1,FER_NLP,"Sí"),COUNTIFS(FER_F,INT(B859)+1,FER_NLM,"Sí"))=0),1,0),0)</f>
        <v>0</v>
      </c>
      <c r="AJ859" s="80">
        <f>IF(AC859=1,1440-Z859,AD859)</f>
        <v>0</v>
      </c>
      <c r="AK859" s="80">
        <f>IF(AND(AB859=1,AH859=1),MAX(0,MIN(IF(AC859=1,1440,AA859),CFG_WEM)-MAX(Z859,CFG_WSM)),0)</f>
        <v>0</v>
      </c>
      <c r="AL859" s="80">
        <f>IF(AND(AC859=1,AI859=1),MAX(0,MIN(AA859,CFG_WEM)-CFG_WSM),0)</f>
        <v>0</v>
      </c>
      <c r="AM859" s="80">
        <f>AK859+AL859</f>
        <v>0</v>
      </c>
      <c r="AN859" s="80">
        <f>IF(CFG_BRK="Proporcional",IF(AD859=0,0,AF859*AM859/AD859),IF(CFG_BRK="Extras primero",MIN(AM859,MAX(0,AF859-(AD859-AM859))),MIN(AF859,AM859)))</f>
        <v>0</v>
      </c>
      <c r="AO859" s="80">
        <f>AF859-AN859</f>
        <v>0</v>
      </c>
      <c r="AP859" s="80">
        <f>AM859-AN859</f>
        <v>0</v>
      </c>
      <c r="AQ859" s="80">
        <f>AD859-AM859-AO859</f>
        <v>0</v>
      </c>
      <c r="AR859" s="80">
        <f>IF(AM859=0,0,AK859-AN859*AK859/AM859)</f>
        <v>0</v>
      </c>
      <c r="AS859" s="80">
        <f>IF(AD859-AM859=0,0,(AJ859-AK859)-AO859*(AJ859-AK859)/(AD859-AM859))</f>
        <v>0</v>
      </c>
      <c r="AT859" s="80" t="str">
        <f>IF(AC859=1,INT(B859)+1,"")</f>
        <v/>
      </c>
      <c r="AU859" s="80">
        <f>IF(AND(D859="proMX",R859="Cancelled"),0,1)</f>
        <v>1</v>
      </c>
      <c r="AV859" s="80">
        <f>IF(AND(AB859=1,AU859=1),IF(COUNTIFS($D$5:D858,D859,$B$5:B858,B859,$Z$5:Z858,Z859,$AA$5:AA858,AA859,$F$5:F858,F859&amp;"",$AU$5:AU858,1)&gt;0,1,0),0)</f>
        <v>0</v>
      </c>
      <c r="AW859" s="80" t="str">
        <f>IF(AB859=1,INT(B859)*1440+Z859,"")</f>
        <v/>
      </c>
      <c r="AX859" s="80" t="str">
        <f>IF(AB859=1,AW859+AD859,"")</f>
        <v/>
      </c>
      <c r="AY859" s="80">
        <f>IF(AND(AB859=1,AV859=0,AU859=1),1,0)</f>
        <v>0</v>
      </c>
      <c r="AZ859" s="80">
        <f>IF(AY859=1,COUNTIFS(R_Emp,D859,R_SAbs,"&lt;"&amp;AX859,R_EAbs,"&gt;"&amp;AW859,R_OKey,1)-1,0)</f>
        <v>0</v>
      </c>
      <c r="BA859" s="80">
        <f>IF(AY859=1,COUNTIFS(R_Emp,"&lt;&gt;"&amp;D859,R_SAbs,"&lt;"&amp;AX859,R_EAbs,"&gt;"&amp;AW859,R_OKey,1),0)</f>
        <v>0</v>
      </c>
      <c r="BB859" s="80">
        <f>IF(AND(AB859=1,D859="proMX"),IF(AND(MOD(Z859,CFG_BLK)=0,MOD(AA859,CFG_BLK)=0,MOD(AG859,CFG_BLK)=0,AG859&gt;0),1,0),1)</f>
        <v>1</v>
      </c>
      <c r="BC859" s="80" t="str">
        <f>IF(Y859=0,"",IF(NOT(ISNUMBER(B859)),"Falta fecha o fecha inválida",IF(D859="","Falta empresa",IF(AND(D859&lt;&gt;"Malcolm",D859&lt;&gt;"proMX"),"Empresa inválida",IF(OR(INT(B859)&lt;CFG_PSTART,INT(B859)&gt;CFG_PEND),"Fecha fuera del período",IF(OR(NOT(ISNUMBER(Z859)),NOT(ISNUMBER(AA859))),"Falta hora inicio/fin o formato inválido",IF(AB859=0,"Hora inicio = hora fin",IF(AE859&lt;0,"Descanso inválido",IF(AE859&gt;=AD859,"Descanso ≥ duración",IF(AV859=1,"Registro duplicado",IF(AZ859&gt;0,"Se superpone con otro registro "&amp;D859,IF(BB859=0,"inicio, fin y duración neta deben ser múltiplos de "&amp;CFG_BLK&amp;" min",""))))))))))))</f>
        <v/>
      </c>
      <c r="BD859" s="80">
        <f>IF(AND(Y859=1,BC859=""),1,0)</f>
        <v>0</v>
      </c>
      <c r="BE859" s="80">
        <f>IF(AND(BD859=1,AU859=1),1,0)</f>
        <v>0</v>
      </c>
      <c r="BF859" s="80" t="str">
        <f>IF(AND(D859="proMX",BD859=1),IF(R859="","Draft",R859),"")</f>
        <v/>
      </c>
      <c r="BG859" s="80">
        <f>IF(BD859=1,ROUND(AG859/60,6),0)</f>
        <v>0</v>
      </c>
      <c r="BH859" s="80">
        <f>IF(BE859=1,ROUND(AG859/60,6),0)</f>
        <v>0</v>
      </c>
      <c r="BI859" s="80">
        <f>IF(BE859=1,ROUND(AP859/60,6),0)</f>
        <v>0</v>
      </c>
      <c r="BJ859" s="80">
        <f>IF(BE859=1,ROUND(AQ859/60,6),0)</f>
        <v>0</v>
      </c>
      <c r="BK859" s="80">
        <f>IF(BE859=1,ROUND((AR859+AS859)/60,6),0)</f>
        <v>0</v>
      </c>
      <c r="BL859" s="80">
        <f>ROUND(BH859-BK859,6)</f>
        <v>0</v>
      </c>
      <c r="BM859" s="80">
        <f>IF(BE859=1,ROUND(AR859/60,6),0)</f>
        <v>0</v>
      </c>
      <c r="BN859" s="80">
        <f>ROUND(BI859-BM859,6)</f>
        <v>0</v>
      </c>
      <c r="BO859" s="80">
        <f>IF(BE859=1,ROUND(AS859/60,6),0)</f>
        <v>0</v>
      </c>
      <c r="BP859" s="80">
        <f>ROUND(BJ859-BO859,6)</f>
        <v>0</v>
      </c>
      <c r="BQ859" s="80">
        <f>IF(BE859=1,AW859,0)</f>
        <v>0</v>
      </c>
      <c r="BR859" s="80">
        <f>IF(BE859=1,AX859,0)</f>
        <v>0</v>
      </c>
      <c r="BS859" s="80">
        <f>IF(AND(BE859=1,D859="Malcolm",BA859&gt;0),MIN(BH859,SUMPRODUCT((R_Emp="proMX")*(R_EN&gt;0)*((R_EN-(R_EN&gt;BR859)*(R_EN-BR859))&gt;(R_SN+(R_SN&lt;BQ859)*(BQ859-R_SN)))*((R_EN-(R_EN&gt;BR859)*(R_EN-BR859))-(R_SN+(R_SN&lt;BQ859)*(BQ859-R_SN))))/60),0)</f>
        <v>0</v>
      </c>
      <c r="BT859" s="80">
        <f>IF(AND(BE859=1,D859="proMX"),ROUND(BI859*CFG_RATE+BJ859*CFG_OTRATE,6),0)</f>
        <v>0</v>
      </c>
      <c r="BU859" s="80">
        <f>IF(AND(BD859=1,D859="proMX"),ROUND(AG859/CFG_BLK,6),0)</f>
        <v>0</v>
      </c>
      <c r="BV859" s="80" t="str">
        <f>IF(BF859="Approved",IF(ISNUMBER(T859),INT(T859),INT(B859)),"")</f>
        <v/>
      </c>
      <c r="BW859" s="80">
        <f>IF(ISNUMBER(B859),IF(DB_MON="Todos",1,IF(AND(INT(B859)&gt;=DB_MS,INT(B859)&lt;=DB_ME),1,0)),0)</f>
        <v>0</v>
      </c>
      <c r="BX859" s="80">
        <f>IF(DB_PROJ="Todos",1,IF(E859&amp;""=DB_PROJ&amp;"",1,0))</f>
        <v>1</v>
      </c>
      <c r="BY859" s="80">
        <f>BW859*BX859</f>
        <v>0</v>
      </c>
      <c r="BZ859" s="80" t="str">
        <f>IF(Y859=1,F859&amp;IF(AND(F859&amp;""&lt;&gt;"",E859&amp;""&lt;&gt;"")," · ","")&amp;E859,"")</f>
        <v/>
      </c>
      <c r="CA859" s="80" t="str">
        <f>IF(AND(BD859=1,E859&amp;""&lt;&gt;""),IF(COUNTIFS($E$5:E858,E859,$BD$5:BD858,1)=0,MAX($CA$5:CA858)+1,""),"")</f>
        <v/>
      </c>
      <c r="CB859" s="80" t="str">
        <f>IF(AND(BE859=1,D859="Malcolm",E859&amp;""&lt;&gt;""),IF(COUNTIFS($D$5:D858,"Malcolm",$E$5:E858,E859,$BE$5:BE858,1)=0,MAX($CB$5:CB858)+1,""),"")</f>
        <v/>
      </c>
      <c r="CC859" s="80" t="str">
        <f>IF(AND(BD859=1,D859="proMX",E859&amp;""&lt;&gt;""),IF(COUNTIFS($D$5:D858,"proMX",$E$5:E858,E859,$BD$5:BD858,1)=0,MAX($CC$5:CC858)+1,""),"")</f>
        <v/>
      </c>
      <c r="CD859" s="80" t="str">
        <f>IF(AND(BE859=1,D859="Malcolm",F859&amp;""&lt;&gt;""),IF(COUNTIFS($D$5:D858,"Malcolm",$F$5:F858,F859,$BE$5:BE858,1)=0,MAX($CD$5:CD858)+1,""),"")</f>
        <v/>
      </c>
      <c r="CE859" s="80" t="str">
        <f>IF(AND(BD859=1,D859="proMX",F859&amp;""&lt;&gt;""),IF(COUNTIFS($D$5:D858,"proMX",$F$5:F858,F859,$BD$5:BD858,1)=0,MAX($CE$5:CE858)+1,""),"")</f>
        <v/>
      </c>
      <c r="CF859" s="80" t="str">
        <f>IF(AND(D859="proMX",BD859=1),IF(OR(BF859="Draft",BF859="Submitted",BF859="Returned",BF859="Recall Requested"),MAX($CF$5:CF858)+1,""),"")</f>
        <v/>
      </c>
      <c r="CG859" s="80">
        <f>IF(BD859=0,0,IF(D859="Malcolm",1,MATCH(BF859,{"Draft","Submitted","Approved","Returned","Recall Requested","Cancelled"},0)+1))</f>
        <v>0</v>
      </c>
      <c r="CH859" s="80">
        <f>IF(AND(BF859="Submitted",ISNUMBER(V859)),IF(V859&gt;CFG_MAXD,1,0),0)</f>
        <v>0</v>
      </c>
    </row>
    <row r="860">
      <c r="A860" s="71" t="str">
        <f>IF(Y860=1,ROW()-5,"")</f>
        <v/>
      </c>
      <c r="B860" s="72" t="n"/>
      <c r="C860" s="71" t="str">
        <f>IF(ISNUMBER(B860),CHOOSE(WEEKDAY(B860,2),"Lun","Mar","Mié","Jue","Vie","Sáb","Dom"),"")</f>
        <v/>
      </c>
      <c r="D860" s="73" t="n"/>
      <c r="E860" s="74" t="n"/>
      <c r="F860" s="74" t="n"/>
      <c r="G860" s="74" t="n"/>
      <c r="H860" s="75" t="n"/>
      <c r="I860" s="75" t="n"/>
      <c r="J860" s="76" t="n"/>
      <c r="K860" s="77" t="str">
        <f>IF(AB860=1,ROUND(AG860/60,4),"")</f>
        <v/>
      </c>
      <c r="L860" s="77" t="str">
        <f>IF(BD860=1,ROUND(AP860/60,4),"")</f>
        <v/>
      </c>
      <c r="M860" s="77" t="str">
        <f>IF(BD860=1,ROUND(AQ860/60,4),"")</f>
        <v/>
      </c>
      <c r="N860" s="71" t="str">
        <f>IF(AND(D860="proMX",AB860=1),ROUND(AG860/CFG_BLK,2),"")</f>
        <v/>
      </c>
      <c r="O860" s="77" t="str">
        <f>IF(D860="proMX",IF(BD860=1,ROUND(AG860/60,4),0),"")</f>
        <v/>
      </c>
      <c r="P860" s="78" t="str">
        <f>IF(Y860=0,"",IF(BD860=1,"OK",IF(D860="proMX","Revisar bloques: ","Revisar: ")&amp;BC860))</f>
        <v/>
      </c>
      <c r="Q860" s="78" t="str">
        <f>IF(NOT(ISNUMBER(B860)),"",IF(COUNTIFS(FER_F,INT(B860))&gt;0,"Feriado"&amp;IF(AH860=1," (laborable)"," (no laborable)"),IF(AH860=1,"Laborable",IF(WEEKDAY(B860,2)&gt;5,"Fin de semana","No laborable"))))</f>
        <v/>
      </c>
      <c r="R860" s="73" t="n"/>
      <c r="S860" s="72" t="n"/>
      <c r="T860" s="72" t="n"/>
      <c r="U860" s="74" t="n"/>
      <c r="V860" s="79" t="str">
        <f>IF(AND(D860="proMX",OR(R860="Submitted",R860="Recall Requested"),ISNUMBER(S860)),CFG_TODAY-INT(S860),"")</f>
        <v/>
      </c>
      <c r="W860" s="78" t="str">
        <f>IF(BD860=0,"",IF(BA860&gt;0,"⚠ Se superpone con un registro de la otra empresa",IF(D860="Malcolm",IF(COUNTA(R860,S860,T860)&gt;0,"Estado/fechas proMX se ignoran en Malcolm",""),IF(BF860="Cancelled","Cancelado: excluido de totales",IF(R860="","Sin estado: se trata como Draft",IF(BF860="Submitted",IF(ISNUMBER(V860),IF(V860&gt;CFG_MAXD,"⚠ "&amp;V860&amp;" días en Submitted (máx. "&amp;CFG_MAXD&amp;")",""),"Falta fecha de envío"),IF(BF860="Returned","⚠ Devuelto: corregir y reenviar",IF(BF860="Recall Requested","Retirada solicitada: pendiente",IF(AND(BF860="Approved",NOT(ISNUMBER(T860))),"Falta fecha de aprobación",IF(AND(ISNUMBER(S860),ISNUMBER(T860),T860&lt;S860),"Aprobación anterior al envío","")))))))))</f>
        <v/>
      </c>
      <c r="Y860" s="80">
        <f>IF(COUNTA(B860,D860,E860,F860,G860,H860,I860,J860,R860,S860,T860)&gt;0,1,0)</f>
        <v>0</v>
      </c>
      <c r="Z860" s="80" t="str">
        <f>IF(AND(ISNUMBER(H860),H860&gt;=0,H860&lt;1),ROUND(H860*1440,0),"")</f>
        <v/>
      </c>
      <c r="AA860" s="80" t="str">
        <f>IF(AND(ISNUMBER(I860),I860&gt;=0,I860&lt;1),ROUND(I860*1440,0),"")</f>
        <v/>
      </c>
      <c r="AB860" s="80">
        <f>IF(AND(ISNUMBER(B860),D860&lt;&gt;"",ISNUMBER(Z860),ISNUMBER(AA860)),IF(Z860=AA860,0,1),0)</f>
        <v>0</v>
      </c>
      <c r="AC860" s="80">
        <f>IF(AB860=1,IF(AA860&lt;Z860,1,0),0)</f>
        <v>0</v>
      </c>
      <c r="AD860" s="80">
        <f>IF(AB860=1,IF(AC860=1,1440-Z860+AA860,AA860-Z860),0)</f>
        <v>0</v>
      </c>
      <c r="AE860" s="80">
        <f>IF(J860="",0,IF(ISNUMBER(J860),J860,-1))</f>
        <v>0</v>
      </c>
      <c r="AF860" s="80">
        <f>MIN(MAX(0,AE860),AD860)</f>
        <v>0</v>
      </c>
      <c r="AG860" s="80">
        <f>MAX(0,AD860-MAX(0,AE860))</f>
        <v>0</v>
      </c>
      <c r="AH860" s="80">
        <f>IF(ISNUMBER(B860),IF(AND(INDEX(CFG_WDAYS,WEEKDAY(INT(B860),2))="Sí",IF(D860="proMX",COUNTIFS(FER_F,INT(B860),FER_NLP,"Sí"),COUNTIFS(FER_F,INT(B860),FER_NLM,"Sí"))=0),1,0),0)</f>
        <v>0</v>
      </c>
      <c r="AI860" s="80">
        <f>IF(AC860=1,IF(AND(INDEX(CFG_WDAYS,WEEKDAY(INT(B860)+1,2))="Sí",IF(D860="proMX",COUNTIFS(FER_F,INT(B860)+1,FER_NLP,"Sí"),COUNTIFS(FER_F,INT(B860)+1,FER_NLM,"Sí"))=0),1,0),0)</f>
        <v>0</v>
      </c>
      <c r="AJ860" s="80">
        <f>IF(AC860=1,1440-Z860,AD860)</f>
        <v>0</v>
      </c>
      <c r="AK860" s="80">
        <f>IF(AND(AB860=1,AH860=1),MAX(0,MIN(IF(AC860=1,1440,AA860),CFG_WEM)-MAX(Z860,CFG_WSM)),0)</f>
        <v>0</v>
      </c>
      <c r="AL860" s="80">
        <f>IF(AND(AC860=1,AI860=1),MAX(0,MIN(AA860,CFG_WEM)-CFG_WSM),0)</f>
        <v>0</v>
      </c>
      <c r="AM860" s="80">
        <f>AK860+AL860</f>
        <v>0</v>
      </c>
      <c r="AN860" s="80">
        <f>IF(CFG_BRK="Proporcional",IF(AD860=0,0,AF860*AM860/AD860),IF(CFG_BRK="Extras primero",MIN(AM860,MAX(0,AF860-(AD860-AM860))),MIN(AF860,AM860)))</f>
        <v>0</v>
      </c>
      <c r="AO860" s="80">
        <f>AF860-AN860</f>
        <v>0</v>
      </c>
      <c r="AP860" s="80">
        <f>AM860-AN860</f>
        <v>0</v>
      </c>
      <c r="AQ860" s="80">
        <f>AD860-AM860-AO860</f>
        <v>0</v>
      </c>
      <c r="AR860" s="80">
        <f>IF(AM860=0,0,AK860-AN860*AK860/AM860)</f>
        <v>0</v>
      </c>
      <c r="AS860" s="80">
        <f>IF(AD860-AM860=0,0,(AJ860-AK860)-AO860*(AJ860-AK860)/(AD860-AM860))</f>
        <v>0</v>
      </c>
      <c r="AT860" s="80" t="str">
        <f>IF(AC860=1,INT(B860)+1,"")</f>
        <v/>
      </c>
      <c r="AU860" s="80">
        <f>IF(AND(D860="proMX",R860="Cancelled"),0,1)</f>
        <v>1</v>
      </c>
      <c r="AV860" s="80">
        <f>IF(AND(AB860=1,AU860=1),IF(COUNTIFS($D$5:D859,D860,$B$5:B859,B860,$Z$5:Z859,Z860,$AA$5:AA859,AA860,$F$5:F859,F860&amp;"",$AU$5:AU859,1)&gt;0,1,0),0)</f>
        <v>0</v>
      </c>
      <c r="AW860" s="80" t="str">
        <f>IF(AB860=1,INT(B860)*1440+Z860,"")</f>
        <v/>
      </c>
      <c r="AX860" s="80" t="str">
        <f>IF(AB860=1,AW860+AD860,"")</f>
        <v/>
      </c>
      <c r="AY860" s="80">
        <f>IF(AND(AB860=1,AV860=0,AU860=1),1,0)</f>
        <v>0</v>
      </c>
      <c r="AZ860" s="80">
        <f>IF(AY860=1,COUNTIFS(R_Emp,D860,R_SAbs,"&lt;"&amp;AX860,R_EAbs,"&gt;"&amp;AW860,R_OKey,1)-1,0)</f>
        <v>0</v>
      </c>
      <c r="BA860" s="80">
        <f>IF(AY860=1,COUNTIFS(R_Emp,"&lt;&gt;"&amp;D860,R_SAbs,"&lt;"&amp;AX860,R_EAbs,"&gt;"&amp;AW860,R_OKey,1),0)</f>
        <v>0</v>
      </c>
      <c r="BB860" s="80">
        <f>IF(AND(AB860=1,D860="proMX"),IF(AND(MOD(Z860,CFG_BLK)=0,MOD(AA860,CFG_BLK)=0,MOD(AG860,CFG_BLK)=0,AG860&gt;0),1,0),1)</f>
        <v>1</v>
      </c>
      <c r="BC860" s="80" t="str">
        <f>IF(Y860=0,"",IF(NOT(ISNUMBER(B860)),"Falta fecha o fecha inválida",IF(D860="","Falta empresa",IF(AND(D860&lt;&gt;"Malcolm",D860&lt;&gt;"proMX"),"Empresa inválida",IF(OR(INT(B860)&lt;CFG_PSTART,INT(B860)&gt;CFG_PEND),"Fecha fuera del período",IF(OR(NOT(ISNUMBER(Z860)),NOT(ISNUMBER(AA860))),"Falta hora inicio/fin o formato inválido",IF(AB860=0,"Hora inicio = hora fin",IF(AE860&lt;0,"Descanso inválido",IF(AE860&gt;=AD860,"Descanso ≥ duración",IF(AV860=1,"Registro duplicado",IF(AZ860&gt;0,"Se superpone con otro registro "&amp;D860,IF(BB860=0,"inicio, fin y duración neta deben ser múltiplos de "&amp;CFG_BLK&amp;" min",""))))))))))))</f>
        <v/>
      </c>
      <c r="BD860" s="80">
        <f>IF(AND(Y860=1,BC860=""),1,0)</f>
        <v>0</v>
      </c>
      <c r="BE860" s="80">
        <f>IF(AND(BD860=1,AU860=1),1,0)</f>
        <v>0</v>
      </c>
      <c r="BF860" s="80" t="str">
        <f>IF(AND(D860="proMX",BD860=1),IF(R860="","Draft",R860),"")</f>
        <v/>
      </c>
      <c r="BG860" s="80">
        <f>IF(BD860=1,ROUND(AG860/60,6),0)</f>
        <v>0</v>
      </c>
      <c r="BH860" s="80">
        <f>IF(BE860=1,ROUND(AG860/60,6),0)</f>
        <v>0</v>
      </c>
      <c r="BI860" s="80">
        <f>IF(BE860=1,ROUND(AP860/60,6),0)</f>
        <v>0</v>
      </c>
      <c r="BJ860" s="80">
        <f>IF(BE860=1,ROUND(AQ860/60,6),0)</f>
        <v>0</v>
      </c>
      <c r="BK860" s="80">
        <f>IF(BE860=1,ROUND((AR860+AS860)/60,6),0)</f>
        <v>0</v>
      </c>
      <c r="BL860" s="80">
        <f>ROUND(BH860-BK860,6)</f>
        <v>0</v>
      </c>
      <c r="BM860" s="80">
        <f>IF(BE860=1,ROUND(AR860/60,6),0)</f>
        <v>0</v>
      </c>
      <c r="BN860" s="80">
        <f>ROUND(BI860-BM860,6)</f>
        <v>0</v>
      </c>
      <c r="BO860" s="80">
        <f>IF(BE860=1,ROUND(AS860/60,6),0)</f>
        <v>0</v>
      </c>
      <c r="BP860" s="80">
        <f>ROUND(BJ860-BO860,6)</f>
        <v>0</v>
      </c>
      <c r="BQ860" s="80">
        <f>IF(BE860=1,AW860,0)</f>
        <v>0</v>
      </c>
      <c r="BR860" s="80">
        <f>IF(BE860=1,AX860,0)</f>
        <v>0</v>
      </c>
      <c r="BS860" s="80">
        <f>IF(AND(BE860=1,D860="Malcolm",BA860&gt;0),MIN(BH860,SUMPRODUCT((R_Emp="proMX")*(R_EN&gt;0)*((R_EN-(R_EN&gt;BR860)*(R_EN-BR860))&gt;(R_SN+(R_SN&lt;BQ860)*(BQ860-R_SN)))*((R_EN-(R_EN&gt;BR860)*(R_EN-BR860))-(R_SN+(R_SN&lt;BQ860)*(BQ860-R_SN))))/60),0)</f>
        <v>0</v>
      </c>
      <c r="BT860" s="80">
        <f>IF(AND(BE860=1,D860="proMX"),ROUND(BI860*CFG_RATE+BJ860*CFG_OTRATE,6),0)</f>
        <v>0</v>
      </c>
      <c r="BU860" s="80">
        <f>IF(AND(BD860=1,D860="proMX"),ROUND(AG860/CFG_BLK,6),0)</f>
        <v>0</v>
      </c>
      <c r="BV860" s="80" t="str">
        <f>IF(BF860="Approved",IF(ISNUMBER(T860),INT(T860),INT(B860)),"")</f>
        <v/>
      </c>
      <c r="BW860" s="80">
        <f>IF(ISNUMBER(B860),IF(DB_MON="Todos",1,IF(AND(INT(B860)&gt;=DB_MS,INT(B860)&lt;=DB_ME),1,0)),0)</f>
        <v>0</v>
      </c>
      <c r="BX860" s="80">
        <f>IF(DB_PROJ="Todos",1,IF(E860&amp;""=DB_PROJ&amp;"",1,0))</f>
        <v>1</v>
      </c>
      <c r="BY860" s="80">
        <f>BW860*BX860</f>
        <v>0</v>
      </c>
      <c r="BZ860" s="80" t="str">
        <f>IF(Y860=1,F860&amp;IF(AND(F860&amp;""&lt;&gt;"",E860&amp;""&lt;&gt;"")," · ","")&amp;E860,"")</f>
        <v/>
      </c>
      <c r="CA860" s="80" t="str">
        <f>IF(AND(BD860=1,E860&amp;""&lt;&gt;""),IF(COUNTIFS($E$5:E859,E860,$BD$5:BD859,1)=0,MAX($CA$5:CA859)+1,""),"")</f>
        <v/>
      </c>
      <c r="CB860" s="80" t="str">
        <f>IF(AND(BE860=1,D860="Malcolm",E860&amp;""&lt;&gt;""),IF(COUNTIFS($D$5:D859,"Malcolm",$E$5:E859,E860,$BE$5:BE859,1)=0,MAX($CB$5:CB859)+1,""),"")</f>
        <v/>
      </c>
      <c r="CC860" s="80" t="str">
        <f>IF(AND(BD860=1,D860="proMX",E860&amp;""&lt;&gt;""),IF(COUNTIFS($D$5:D859,"proMX",$E$5:E859,E860,$BD$5:BD859,1)=0,MAX($CC$5:CC859)+1,""),"")</f>
        <v/>
      </c>
      <c r="CD860" s="80" t="str">
        <f>IF(AND(BE860=1,D860="Malcolm",F860&amp;""&lt;&gt;""),IF(COUNTIFS($D$5:D859,"Malcolm",$F$5:F859,F860,$BE$5:BE859,1)=0,MAX($CD$5:CD859)+1,""),"")</f>
        <v/>
      </c>
      <c r="CE860" s="80" t="str">
        <f>IF(AND(BD860=1,D860="proMX",F860&amp;""&lt;&gt;""),IF(COUNTIFS($D$5:D859,"proMX",$F$5:F859,F860,$BD$5:BD859,1)=0,MAX($CE$5:CE859)+1,""),"")</f>
        <v/>
      </c>
      <c r="CF860" s="80" t="str">
        <f>IF(AND(D860="proMX",BD860=1),IF(OR(BF860="Draft",BF860="Submitted",BF860="Returned",BF860="Recall Requested"),MAX($CF$5:CF859)+1,""),"")</f>
        <v/>
      </c>
      <c r="CG860" s="80">
        <f>IF(BD860=0,0,IF(D860="Malcolm",1,MATCH(BF860,{"Draft","Submitted","Approved","Returned","Recall Requested","Cancelled"},0)+1))</f>
        <v>0</v>
      </c>
      <c r="CH860" s="80">
        <f>IF(AND(BF860="Submitted",ISNUMBER(V860)),IF(V860&gt;CFG_MAXD,1,0),0)</f>
        <v>0</v>
      </c>
    </row>
    <row r="861">
      <c r="A861" s="71" t="str">
        <f>IF(Y861=1,ROW()-5,"")</f>
        <v/>
      </c>
      <c r="B861" s="72" t="n"/>
      <c r="C861" s="71" t="str">
        <f>IF(ISNUMBER(B861),CHOOSE(WEEKDAY(B861,2),"Lun","Mar","Mié","Jue","Vie","Sáb","Dom"),"")</f>
        <v/>
      </c>
      <c r="D861" s="73" t="n"/>
      <c r="E861" s="74" t="n"/>
      <c r="F861" s="74" t="n"/>
      <c r="G861" s="74" t="n"/>
      <c r="H861" s="75" t="n"/>
      <c r="I861" s="75" t="n"/>
      <c r="J861" s="76" t="n"/>
      <c r="K861" s="77" t="str">
        <f>IF(AB861=1,ROUND(AG861/60,4),"")</f>
        <v/>
      </c>
      <c r="L861" s="77" t="str">
        <f>IF(BD861=1,ROUND(AP861/60,4),"")</f>
        <v/>
      </c>
      <c r="M861" s="77" t="str">
        <f>IF(BD861=1,ROUND(AQ861/60,4),"")</f>
        <v/>
      </c>
      <c r="N861" s="71" t="str">
        <f>IF(AND(D861="proMX",AB861=1),ROUND(AG861/CFG_BLK,2),"")</f>
        <v/>
      </c>
      <c r="O861" s="77" t="str">
        <f>IF(D861="proMX",IF(BD861=1,ROUND(AG861/60,4),0),"")</f>
        <v/>
      </c>
      <c r="P861" s="78" t="str">
        <f>IF(Y861=0,"",IF(BD861=1,"OK",IF(D861="proMX","Revisar bloques: ","Revisar: ")&amp;BC861))</f>
        <v/>
      </c>
      <c r="Q861" s="78" t="str">
        <f>IF(NOT(ISNUMBER(B861)),"",IF(COUNTIFS(FER_F,INT(B861))&gt;0,"Feriado"&amp;IF(AH861=1," (laborable)"," (no laborable)"),IF(AH861=1,"Laborable",IF(WEEKDAY(B861,2)&gt;5,"Fin de semana","No laborable"))))</f>
        <v/>
      </c>
      <c r="R861" s="73" t="n"/>
      <c r="S861" s="72" t="n"/>
      <c r="T861" s="72" t="n"/>
      <c r="U861" s="74" t="n"/>
      <c r="V861" s="79" t="str">
        <f>IF(AND(D861="proMX",OR(R861="Submitted",R861="Recall Requested"),ISNUMBER(S861)),CFG_TODAY-INT(S861),"")</f>
        <v/>
      </c>
      <c r="W861" s="78" t="str">
        <f>IF(BD861=0,"",IF(BA861&gt;0,"⚠ Se superpone con un registro de la otra empresa",IF(D861="Malcolm",IF(COUNTA(R861,S861,T861)&gt;0,"Estado/fechas proMX se ignoran en Malcolm",""),IF(BF861="Cancelled","Cancelado: excluido de totales",IF(R861="","Sin estado: se trata como Draft",IF(BF861="Submitted",IF(ISNUMBER(V861),IF(V861&gt;CFG_MAXD,"⚠ "&amp;V861&amp;" días en Submitted (máx. "&amp;CFG_MAXD&amp;")",""),"Falta fecha de envío"),IF(BF861="Returned","⚠ Devuelto: corregir y reenviar",IF(BF861="Recall Requested","Retirada solicitada: pendiente",IF(AND(BF861="Approved",NOT(ISNUMBER(T861))),"Falta fecha de aprobación",IF(AND(ISNUMBER(S861),ISNUMBER(T861),T861&lt;S861),"Aprobación anterior al envío","")))))))))</f>
        <v/>
      </c>
      <c r="Y861" s="80">
        <f>IF(COUNTA(B861,D861,E861,F861,G861,H861,I861,J861,R861,S861,T861)&gt;0,1,0)</f>
        <v>0</v>
      </c>
      <c r="Z861" s="80" t="str">
        <f>IF(AND(ISNUMBER(H861),H861&gt;=0,H861&lt;1),ROUND(H861*1440,0),"")</f>
        <v/>
      </c>
      <c r="AA861" s="80" t="str">
        <f>IF(AND(ISNUMBER(I861),I861&gt;=0,I861&lt;1),ROUND(I861*1440,0),"")</f>
        <v/>
      </c>
      <c r="AB861" s="80">
        <f>IF(AND(ISNUMBER(B861),D861&lt;&gt;"",ISNUMBER(Z861),ISNUMBER(AA861)),IF(Z861=AA861,0,1),0)</f>
        <v>0</v>
      </c>
      <c r="AC861" s="80">
        <f>IF(AB861=1,IF(AA861&lt;Z861,1,0),0)</f>
        <v>0</v>
      </c>
      <c r="AD861" s="80">
        <f>IF(AB861=1,IF(AC861=1,1440-Z861+AA861,AA861-Z861),0)</f>
        <v>0</v>
      </c>
      <c r="AE861" s="80">
        <f>IF(J861="",0,IF(ISNUMBER(J861),J861,-1))</f>
        <v>0</v>
      </c>
      <c r="AF861" s="80">
        <f>MIN(MAX(0,AE861),AD861)</f>
        <v>0</v>
      </c>
      <c r="AG861" s="80">
        <f>MAX(0,AD861-MAX(0,AE861))</f>
        <v>0</v>
      </c>
      <c r="AH861" s="80">
        <f>IF(ISNUMBER(B861),IF(AND(INDEX(CFG_WDAYS,WEEKDAY(INT(B861),2))="Sí",IF(D861="proMX",COUNTIFS(FER_F,INT(B861),FER_NLP,"Sí"),COUNTIFS(FER_F,INT(B861),FER_NLM,"Sí"))=0),1,0),0)</f>
        <v>0</v>
      </c>
      <c r="AI861" s="80">
        <f>IF(AC861=1,IF(AND(INDEX(CFG_WDAYS,WEEKDAY(INT(B861)+1,2))="Sí",IF(D861="proMX",COUNTIFS(FER_F,INT(B861)+1,FER_NLP,"Sí"),COUNTIFS(FER_F,INT(B861)+1,FER_NLM,"Sí"))=0),1,0),0)</f>
        <v>0</v>
      </c>
      <c r="AJ861" s="80">
        <f>IF(AC861=1,1440-Z861,AD861)</f>
        <v>0</v>
      </c>
      <c r="AK861" s="80">
        <f>IF(AND(AB861=1,AH861=1),MAX(0,MIN(IF(AC861=1,1440,AA861),CFG_WEM)-MAX(Z861,CFG_WSM)),0)</f>
        <v>0</v>
      </c>
      <c r="AL861" s="80">
        <f>IF(AND(AC861=1,AI861=1),MAX(0,MIN(AA861,CFG_WEM)-CFG_WSM),0)</f>
        <v>0</v>
      </c>
      <c r="AM861" s="80">
        <f>AK861+AL861</f>
        <v>0</v>
      </c>
      <c r="AN861" s="80">
        <f>IF(CFG_BRK="Proporcional",IF(AD861=0,0,AF861*AM861/AD861),IF(CFG_BRK="Extras primero",MIN(AM861,MAX(0,AF861-(AD861-AM861))),MIN(AF861,AM861)))</f>
        <v>0</v>
      </c>
      <c r="AO861" s="80">
        <f>AF861-AN861</f>
        <v>0</v>
      </c>
      <c r="AP861" s="80">
        <f>AM861-AN861</f>
        <v>0</v>
      </c>
      <c r="AQ861" s="80">
        <f>AD861-AM861-AO861</f>
        <v>0</v>
      </c>
      <c r="AR861" s="80">
        <f>IF(AM861=0,0,AK861-AN861*AK861/AM861)</f>
        <v>0</v>
      </c>
      <c r="AS861" s="80">
        <f>IF(AD861-AM861=0,0,(AJ861-AK861)-AO861*(AJ861-AK861)/(AD861-AM861))</f>
        <v>0</v>
      </c>
      <c r="AT861" s="80" t="str">
        <f>IF(AC861=1,INT(B861)+1,"")</f>
        <v/>
      </c>
      <c r="AU861" s="80">
        <f>IF(AND(D861="proMX",R861="Cancelled"),0,1)</f>
        <v>1</v>
      </c>
      <c r="AV861" s="80">
        <f>IF(AND(AB861=1,AU861=1),IF(COUNTIFS($D$5:D860,D861,$B$5:B860,B861,$Z$5:Z860,Z861,$AA$5:AA860,AA861,$F$5:F860,F861&amp;"",$AU$5:AU860,1)&gt;0,1,0),0)</f>
        <v>0</v>
      </c>
      <c r="AW861" s="80" t="str">
        <f>IF(AB861=1,INT(B861)*1440+Z861,"")</f>
        <v/>
      </c>
      <c r="AX861" s="80" t="str">
        <f>IF(AB861=1,AW861+AD861,"")</f>
        <v/>
      </c>
      <c r="AY861" s="80">
        <f>IF(AND(AB861=1,AV861=0,AU861=1),1,0)</f>
        <v>0</v>
      </c>
      <c r="AZ861" s="80">
        <f>IF(AY861=1,COUNTIFS(R_Emp,D861,R_SAbs,"&lt;"&amp;AX861,R_EAbs,"&gt;"&amp;AW861,R_OKey,1)-1,0)</f>
        <v>0</v>
      </c>
      <c r="BA861" s="80">
        <f>IF(AY861=1,COUNTIFS(R_Emp,"&lt;&gt;"&amp;D861,R_SAbs,"&lt;"&amp;AX861,R_EAbs,"&gt;"&amp;AW861,R_OKey,1),0)</f>
        <v>0</v>
      </c>
      <c r="BB861" s="80">
        <f>IF(AND(AB861=1,D861="proMX"),IF(AND(MOD(Z861,CFG_BLK)=0,MOD(AA861,CFG_BLK)=0,MOD(AG861,CFG_BLK)=0,AG861&gt;0),1,0),1)</f>
        <v>1</v>
      </c>
      <c r="BC861" s="80" t="str">
        <f>IF(Y861=0,"",IF(NOT(ISNUMBER(B861)),"Falta fecha o fecha inválida",IF(D861="","Falta empresa",IF(AND(D861&lt;&gt;"Malcolm",D861&lt;&gt;"proMX"),"Empresa inválida",IF(OR(INT(B861)&lt;CFG_PSTART,INT(B861)&gt;CFG_PEND),"Fecha fuera del período",IF(OR(NOT(ISNUMBER(Z861)),NOT(ISNUMBER(AA861))),"Falta hora inicio/fin o formato inválido",IF(AB861=0,"Hora inicio = hora fin",IF(AE861&lt;0,"Descanso inválido",IF(AE861&gt;=AD861,"Descanso ≥ duración",IF(AV861=1,"Registro duplicado",IF(AZ861&gt;0,"Se superpone con otro registro "&amp;D861,IF(BB861=0,"inicio, fin y duración neta deben ser múltiplos de "&amp;CFG_BLK&amp;" min",""))))))))))))</f>
        <v/>
      </c>
      <c r="BD861" s="80">
        <f>IF(AND(Y861=1,BC861=""),1,0)</f>
        <v>0</v>
      </c>
      <c r="BE861" s="80">
        <f>IF(AND(BD861=1,AU861=1),1,0)</f>
        <v>0</v>
      </c>
      <c r="BF861" s="80" t="str">
        <f>IF(AND(D861="proMX",BD861=1),IF(R861="","Draft",R861),"")</f>
        <v/>
      </c>
      <c r="BG861" s="80">
        <f>IF(BD861=1,ROUND(AG861/60,6),0)</f>
        <v>0</v>
      </c>
      <c r="BH861" s="80">
        <f>IF(BE861=1,ROUND(AG861/60,6),0)</f>
        <v>0</v>
      </c>
      <c r="BI861" s="80">
        <f>IF(BE861=1,ROUND(AP861/60,6),0)</f>
        <v>0</v>
      </c>
      <c r="BJ861" s="80">
        <f>IF(BE861=1,ROUND(AQ861/60,6),0)</f>
        <v>0</v>
      </c>
      <c r="BK861" s="80">
        <f>IF(BE861=1,ROUND((AR861+AS861)/60,6),0)</f>
        <v>0</v>
      </c>
      <c r="BL861" s="80">
        <f>ROUND(BH861-BK861,6)</f>
        <v>0</v>
      </c>
      <c r="BM861" s="80">
        <f>IF(BE861=1,ROUND(AR861/60,6),0)</f>
        <v>0</v>
      </c>
      <c r="BN861" s="80">
        <f>ROUND(BI861-BM861,6)</f>
        <v>0</v>
      </c>
      <c r="BO861" s="80">
        <f>IF(BE861=1,ROUND(AS861/60,6),0)</f>
        <v>0</v>
      </c>
      <c r="BP861" s="80">
        <f>ROUND(BJ861-BO861,6)</f>
        <v>0</v>
      </c>
      <c r="BQ861" s="80">
        <f>IF(BE861=1,AW861,0)</f>
        <v>0</v>
      </c>
      <c r="BR861" s="80">
        <f>IF(BE861=1,AX861,0)</f>
        <v>0</v>
      </c>
      <c r="BS861" s="80">
        <f>IF(AND(BE861=1,D861="Malcolm",BA861&gt;0),MIN(BH861,SUMPRODUCT((R_Emp="proMX")*(R_EN&gt;0)*((R_EN-(R_EN&gt;BR861)*(R_EN-BR861))&gt;(R_SN+(R_SN&lt;BQ861)*(BQ861-R_SN)))*((R_EN-(R_EN&gt;BR861)*(R_EN-BR861))-(R_SN+(R_SN&lt;BQ861)*(BQ861-R_SN))))/60),0)</f>
        <v>0</v>
      </c>
      <c r="BT861" s="80">
        <f>IF(AND(BE861=1,D861="proMX"),ROUND(BI861*CFG_RATE+BJ861*CFG_OTRATE,6),0)</f>
        <v>0</v>
      </c>
      <c r="BU861" s="80">
        <f>IF(AND(BD861=1,D861="proMX"),ROUND(AG861/CFG_BLK,6),0)</f>
        <v>0</v>
      </c>
      <c r="BV861" s="80" t="str">
        <f>IF(BF861="Approved",IF(ISNUMBER(T861),INT(T861),INT(B861)),"")</f>
        <v/>
      </c>
      <c r="BW861" s="80">
        <f>IF(ISNUMBER(B861),IF(DB_MON="Todos",1,IF(AND(INT(B861)&gt;=DB_MS,INT(B861)&lt;=DB_ME),1,0)),0)</f>
        <v>0</v>
      </c>
      <c r="BX861" s="80">
        <f>IF(DB_PROJ="Todos",1,IF(E861&amp;""=DB_PROJ&amp;"",1,0))</f>
        <v>1</v>
      </c>
      <c r="BY861" s="80">
        <f>BW861*BX861</f>
        <v>0</v>
      </c>
      <c r="BZ861" s="80" t="str">
        <f>IF(Y861=1,F861&amp;IF(AND(F861&amp;""&lt;&gt;"",E861&amp;""&lt;&gt;"")," · ","")&amp;E861,"")</f>
        <v/>
      </c>
      <c r="CA861" s="80" t="str">
        <f>IF(AND(BD861=1,E861&amp;""&lt;&gt;""),IF(COUNTIFS($E$5:E860,E861,$BD$5:BD860,1)=0,MAX($CA$5:CA860)+1,""),"")</f>
        <v/>
      </c>
      <c r="CB861" s="80" t="str">
        <f>IF(AND(BE861=1,D861="Malcolm",E861&amp;""&lt;&gt;""),IF(COUNTIFS($D$5:D860,"Malcolm",$E$5:E860,E861,$BE$5:BE860,1)=0,MAX($CB$5:CB860)+1,""),"")</f>
        <v/>
      </c>
      <c r="CC861" s="80" t="str">
        <f>IF(AND(BD861=1,D861="proMX",E861&amp;""&lt;&gt;""),IF(COUNTIFS($D$5:D860,"proMX",$E$5:E860,E861,$BD$5:BD860,1)=0,MAX($CC$5:CC860)+1,""),"")</f>
        <v/>
      </c>
      <c r="CD861" s="80" t="str">
        <f>IF(AND(BE861=1,D861="Malcolm",F861&amp;""&lt;&gt;""),IF(COUNTIFS($D$5:D860,"Malcolm",$F$5:F860,F861,$BE$5:BE860,1)=0,MAX($CD$5:CD860)+1,""),"")</f>
        <v/>
      </c>
      <c r="CE861" s="80" t="str">
        <f>IF(AND(BD861=1,D861="proMX",F861&amp;""&lt;&gt;""),IF(COUNTIFS($D$5:D860,"proMX",$F$5:F860,F861,$BD$5:BD860,1)=0,MAX($CE$5:CE860)+1,""),"")</f>
        <v/>
      </c>
      <c r="CF861" s="80" t="str">
        <f>IF(AND(D861="proMX",BD861=1),IF(OR(BF861="Draft",BF861="Submitted",BF861="Returned",BF861="Recall Requested"),MAX($CF$5:CF860)+1,""),"")</f>
        <v/>
      </c>
      <c r="CG861" s="80">
        <f>IF(BD861=0,0,IF(D861="Malcolm",1,MATCH(BF861,{"Draft","Submitted","Approved","Returned","Recall Requested","Cancelled"},0)+1))</f>
        <v>0</v>
      </c>
      <c r="CH861" s="80">
        <f>IF(AND(BF861="Submitted",ISNUMBER(V861)),IF(V861&gt;CFG_MAXD,1,0),0)</f>
        <v>0</v>
      </c>
    </row>
    <row r="862">
      <c r="A862" s="71" t="str">
        <f>IF(Y862=1,ROW()-5,"")</f>
        <v/>
      </c>
      <c r="B862" s="72" t="n"/>
      <c r="C862" s="71" t="str">
        <f>IF(ISNUMBER(B862),CHOOSE(WEEKDAY(B862,2),"Lun","Mar","Mié","Jue","Vie","Sáb","Dom"),"")</f>
        <v/>
      </c>
      <c r="D862" s="73" t="n"/>
      <c r="E862" s="74" t="n"/>
      <c r="F862" s="74" t="n"/>
      <c r="G862" s="74" t="n"/>
      <c r="H862" s="75" t="n"/>
      <c r="I862" s="75" t="n"/>
      <c r="J862" s="76" t="n"/>
      <c r="K862" s="77" t="str">
        <f>IF(AB862=1,ROUND(AG862/60,4),"")</f>
        <v/>
      </c>
      <c r="L862" s="77" t="str">
        <f>IF(BD862=1,ROUND(AP862/60,4),"")</f>
        <v/>
      </c>
      <c r="M862" s="77" t="str">
        <f>IF(BD862=1,ROUND(AQ862/60,4),"")</f>
        <v/>
      </c>
      <c r="N862" s="71" t="str">
        <f>IF(AND(D862="proMX",AB862=1),ROUND(AG862/CFG_BLK,2),"")</f>
        <v/>
      </c>
      <c r="O862" s="77" t="str">
        <f>IF(D862="proMX",IF(BD862=1,ROUND(AG862/60,4),0),"")</f>
        <v/>
      </c>
      <c r="P862" s="78" t="str">
        <f>IF(Y862=0,"",IF(BD862=1,"OK",IF(D862="proMX","Revisar bloques: ","Revisar: ")&amp;BC862))</f>
        <v/>
      </c>
      <c r="Q862" s="78" t="str">
        <f>IF(NOT(ISNUMBER(B862)),"",IF(COUNTIFS(FER_F,INT(B862))&gt;0,"Feriado"&amp;IF(AH862=1," (laborable)"," (no laborable)"),IF(AH862=1,"Laborable",IF(WEEKDAY(B862,2)&gt;5,"Fin de semana","No laborable"))))</f>
        <v/>
      </c>
      <c r="R862" s="73" t="n"/>
      <c r="S862" s="72" t="n"/>
      <c r="T862" s="72" t="n"/>
      <c r="U862" s="74" t="n"/>
      <c r="V862" s="79" t="str">
        <f>IF(AND(D862="proMX",OR(R862="Submitted",R862="Recall Requested"),ISNUMBER(S862)),CFG_TODAY-INT(S862),"")</f>
        <v/>
      </c>
      <c r="W862" s="78" t="str">
        <f>IF(BD862=0,"",IF(BA862&gt;0,"⚠ Se superpone con un registro de la otra empresa",IF(D862="Malcolm",IF(COUNTA(R862,S862,T862)&gt;0,"Estado/fechas proMX se ignoran en Malcolm",""),IF(BF862="Cancelled","Cancelado: excluido de totales",IF(R862="","Sin estado: se trata como Draft",IF(BF862="Submitted",IF(ISNUMBER(V862),IF(V862&gt;CFG_MAXD,"⚠ "&amp;V862&amp;" días en Submitted (máx. "&amp;CFG_MAXD&amp;")",""),"Falta fecha de envío"),IF(BF862="Returned","⚠ Devuelto: corregir y reenviar",IF(BF862="Recall Requested","Retirada solicitada: pendiente",IF(AND(BF862="Approved",NOT(ISNUMBER(T862))),"Falta fecha de aprobación",IF(AND(ISNUMBER(S862),ISNUMBER(T862),T862&lt;S862),"Aprobación anterior al envío","")))))))))</f>
        <v/>
      </c>
      <c r="Y862" s="80">
        <f>IF(COUNTA(B862,D862,E862,F862,G862,H862,I862,J862,R862,S862,T862)&gt;0,1,0)</f>
        <v>0</v>
      </c>
      <c r="Z862" s="80" t="str">
        <f>IF(AND(ISNUMBER(H862),H862&gt;=0,H862&lt;1),ROUND(H862*1440,0),"")</f>
        <v/>
      </c>
      <c r="AA862" s="80" t="str">
        <f>IF(AND(ISNUMBER(I862),I862&gt;=0,I862&lt;1),ROUND(I862*1440,0),"")</f>
        <v/>
      </c>
      <c r="AB862" s="80">
        <f>IF(AND(ISNUMBER(B862),D862&lt;&gt;"",ISNUMBER(Z862),ISNUMBER(AA862)),IF(Z862=AA862,0,1),0)</f>
        <v>0</v>
      </c>
      <c r="AC862" s="80">
        <f>IF(AB862=1,IF(AA862&lt;Z862,1,0),0)</f>
        <v>0</v>
      </c>
      <c r="AD862" s="80">
        <f>IF(AB862=1,IF(AC862=1,1440-Z862+AA862,AA862-Z862),0)</f>
        <v>0</v>
      </c>
      <c r="AE862" s="80">
        <f>IF(J862="",0,IF(ISNUMBER(J862),J862,-1))</f>
        <v>0</v>
      </c>
      <c r="AF862" s="80">
        <f>MIN(MAX(0,AE862),AD862)</f>
        <v>0</v>
      </c>
      <c r="AG862" s="80">
        <f>MAX(0,AD862-MAX(0,AE862))</f>
        <v>0</v>
      </c>
      <c r="AH862" s="80">
        <f>IF(ISNUMBER(B862),IF(AND(INDEX(CFG_WDAYS,WEEKDAY(INT(B862),2))="Sí",IF(D862="proMX",COUNTIFS(FER_F,INT(B862),FER_NLP,"Sí"),COUNTIFS(FER_F,INT(B862),FER_NLM,"Sí"))=0),1,0),0)</f>
        <v>0</v>
      </c>
      <c r="AI862" s="80">
        <f>IF(AC862=1,IF(AND(INDEX(CFG_WDAYS,WEEKDAY(INT(B862)+1,2))="Sí",IF(D862="proMX",COUNTIFS(FER_F,INT(B862)+1,FER_NLP,"Sí"),COUNTIFS(FER_F,INT(B862)+1,FER_NLM,"Sí"))=0),1,0),0)</f>
        <v>0</v>
      </c>
      <c r="AJ862" s="80">
        <f>IF(AC862=1,1440-Z862,AD862)</f>
        <v>0</v>
      </c>
      <c r="AK862" s="80">
        <f>IF(AND(AB862=1,AH862=1),MAX(0,MIN(IF(AC862=1,1440,AA862),CFG_WEM)-MAX(Z862,CFG_WSM)),0)</f>
        <v>0</v>
      </c>
      <c r="AL862" s="80">
        <f>IF(AND(AC862=1,AI862=1),MAX(0,MIN(AA862,CFG_WEM)-CFG_WSM),0)</f>
        <v>0</v>
      </c>
      <c r="AM862" s="80">
        <f>AK862+AL862</f>
        <v>0</v>
      </c>
      <c r="AN862" s="80">
        <f>IF(CFG_BRK="Proporcional",IF(AD862=0,0,AF862*AM862/AD862),IF(CFG_BRK="Extras primero",MIN(AM862,MAX(0,AF862-(AD862-AM862))),MIN(AF862,AM862)))</f>
        <v>0</v>
      </c>
      <c r="AO862" s="80">
        <f>AF862-AN862</f>
        <v>0</v>
      </c>
      <c r="AP862" s="80">
        <f>AM862-AN862</f>
        <v>0</v>
      </c>
      <c r="AQ862" s="80">
        <f>AD862-AM862-AO862</f>
        <v>0</v>
      </c>
      <c r="AR862" s="80">
        <f>IF(AM862=0,0,AK862-AN862*AK862/AM862)</f>
        <v>0</v>
      </c>
      <c r="AS862" s="80">
        <f>IF(AD862-AM862=0,0,(AJ862-AK862)-AO862*(AJ862-AK862)/(AD862-AM862))</f>
        <v>0</v>
      </c>
      <c r="AT862" s="80" t="str">
        <f>IF(AC862=1,INT(B862)+1,"")</f>
        <v/>
      </c>
      <c r="AU862" s="80">
        <f>IF(AND(D862="proMX",R862="Cancelled"),0,1)</f>
        <v>1</v>
      </c>
      <c r="AV862" s="80">
        <f>IF(AND(AB862=1,AU862=1),IF(COUNTIFS($D$5:D861,D862,$B$5:B861,B862,$Z$5:Z861,Z862,$AA$5:AA861,AA862,$F$5:F861,F862&amp;"",$AU$5:AU861,1)&gt;0,1,0),0)</f>
        <v>0</v>
      </c>
      <c r="AW862" s="80" t="str">
        <f>IF(AB862=1,INT(B862)*1440+Z862,"")</f>
        <v/>
      </c>
      <c r="AX862" s="80" t="str">
        <f>IF(AB862=1,AW862+AD862,"")</f>
        <v/>
      </c>
      <c r="AY862" s="80">
        <f>IF(AND(AB862=1,AV862=0,AU862=1),1,0)</f>
        <v>0</v>
      </c>
      <c r="AZ862" s="80">
        <f>IF(AY862=1,COUNTIFS(R_Emp,D862,R_SAbs,"&lt;"&amp;AX862,R_EAbs,"&gt;"&amp;AW862,R_OKey,1)-1,0)</f>
        <v>0</v>
      </c>
      <c r="BA862" s="80">
        <f>IF(AY862=1,COUNTIFS(R_Emp,"&lt;&gt;"&amp;D862,R_SAbs,"&lt;"&amp;AX862,R_EAbs,"&gt;"&amp;AW862,R_OKey,1),0)</f>
        <v>0</v>
      </c>
      <c r="BB862" s="80">
        <f>IF(AND(AB862=1,D862="proMX"),IF(AND(MOD(Z862,CFG_BLK)=0,MOD(AA862,CFG_BLK)=0,MOD(AG862,CFG_BLK)=0,AG862&gt;0),1,0),1)</f>
        <v>1</v>
      </c>
      <c r="BC862" s="80" t="str">
        <f>IF(Y862=0,"",IF(NOT(ISNUMBER(B862)),"Falta fecha o fecha inválida",IF(D862="","Falta empresa",IF(AND(D862&lt;&gt;"Malcolm",D862&lt;&gt;"proMX"),"Empresa inválida",IF(OR(INT(B862)&lt;CFG_PSTART,INT(B862)&gt;CFG_PEND),"Fecha fuera del período",IF(OR(NOT(ISNUMBER(Z862)),NOT(ISNUMBER(AA862))),"Falta hora inicio/fin o formato inválido",IF(AB862=0,"Hora inicio = hora fin",IF(AE862&lt;0,"Descanso inválido",IF(AE862&gt;=AD862,"Descanso ≥ duración",IF(AV862=1,"Registro duplicado",IF(AZ862&gt;0,"Se superpone con otro registro "&amp;D862,IF(BB862=0,"inicio, fin y duración neta deben ser múltiplos de "&amp;CFG_BLK&amp;" min",""))))))))))))</f>
        <v/>
      </c>
      <c r="BD862" s="80">
        <f>IF(AND(Y862=1,BC862=""),1,0)</f>
        <v>0</v>
      </c>
      <c r="BE862" s="80">
        <f>IF(AND(BD862=1,AU862=1),1,0)</f>
        <v>0</v>
      </c>
      <c r="BF862" s="80" t="str">
        <f>IF(AND(D862="proMX",BD862=1),IF(R862="","Draft",R862),"")</f>
        <v/>
      </c>
      <c r="BG862" s="80">
        <f>IF(BD862=1,ROUND(AG862/60,6),0)</f>
        <v>0</v>
      </c>
      <c r="BH862" s="80">
        <f>IF(BE862=1,ROUND(AG862/60,6),0)</f>
        <v>0</v>
      </c>
      <c r="BI862" s="80">
        <f>IF(BE862=1,ROUND(AP862/60,6),0)</f>
        <v>0</v>
      </c>
      <c r="BJ862" s="80">
        <f>IF(BE862=1,ROUND(AQ862/60,6),0)</f>
        <v>0</v>
      </c>
      <c r="BK862" s="80">
        <f>IF(BE862=1,ROUND((AR862+AS862)/60,6),0)</f>
        <v>0</v>
      </c>
      <c r="BL862" s="80">
        <f>ROUND(BH862-BK862,6)</f>
        <v>0</v>
      </c>
      <c r="BM862" s="80">
        <f>IF(BE862=1,ROUND(AR862/60,6),0)</f>
        <v>0</v>
      </c>
      <c r="BN862" s="80">
        <f>ROUND(BI862-BM862,6)</f>
        <v>0</v>
      </c>
      <c r="BO862" s="80">
        <f>IF(BE862=1,ROUND(AS862/60,6),0)</f>
        <v>0</v>
      </c>
      <c r="BP862" s="80">
        <f>ROUND(BJ862-BO862,6)</f>
        <v>0</v>
      </c>
      <c r="BQ862" s="80">
        <f>IF(BE862=1,AW862,0)</f>
        <v>0</v>
      </c>
      <c r="BR862" s="80">
        <f>IF(BE862=1,AX862,0)</f>
        <v>0</v>
      </c>
      <c r="BS862" s="80">
        <f>IF(AND(BE862=1,D862="Malcolm",BA862&gt;0),MIN(BH862,SUMPRODUCT((R_Emp="proMX")*(R_EN&gt;0)*((R_EN-(R_EN&gt;BR862)*(R_EN-BR862))&gt;(R_SN+(R_SN&lt;BQ862)*(BQ862-R_SN)))*((R_EN-(R_EN&gt;BR862)*(R_EN-BR862))-(R_SN+(R_SN&lt;BQ862)*(BQ862-R_SN))))/60),0)</f>
        <v>0</v>
      </c>
      <c r="BT862" s="80">
        <f>IF(AND(BE862=1,D862="proMX"),ROUND(BI862*CFG_RATE+BJ862*CFG_OTRATE,6),0)</f>
        <v>0</v>
      </c>
      <c r="BU862" s="80">
        <f>IF(AND(BD862=1,D862="proMX"),ROUND(AG862/CFG_BLK,6),0)</f>
        <v>0</v>
      </c>
      <c r="BV862" s="80" t="str">
        <f>IF(BF862="Approved",IF(ISNUMBER(T862),INT(T862),INT(B862)),"")</f>
        <v/>
      </c>
      <c r="BW862" s="80">
        <f>IF(ISNUMBER(B862),IF(DB_MON="Todos",1,IF(AND(INT(B862)&gt;=DB_MS,INT(B862)&lt;=DB_ME),1,0)),0)</f>
        <v>0</v>
      </c>
      <c r="BX862" s="80">
        <f>IF(DB_PROJ="Todos",1,IF(E862&amp;""=DB_PROJ&amp;"",1,0))</f>
        <v>1</v>
      </c>
      <c r="BY862" s="80">
        <f>BW862*BX862</f>
        <v>0</v>
      </c>
      <c r="BZ862" s="80" t="str">
        <f>IF(Y862=1,F862&amp;IF(AND(F862&amp;""&lt;&gt;"",E862&amp;""&lt;&gt;"")," · ","")&amp;E862,"")</f>
        <v/>
      </c>
      <c r="CA862" s="80" t="str">
        <f>IF(AND(BD862=1,E862&amp;""&lt;&gt;""),IF(COUNTIFS($E$5:E861,E862,$BD$5:BD861,1)=0,MAX($CA$5:CA861)+1,""),"")</f>
        <v/>
      </c>
      <c r="CB862" s="80" t="str">
        <f>IF(AND(BE862=1,D862="Malcolm",E862&amp;""&lt;&gt;""),IF(COUNTIFS($D$5:D861,"Malcolm",$E$5:E861,E862,$BE$5:BE861,1)=0,MAX($CB$5:CB861)+1,""),"")</f>
        <v/>
      </c>
      <c r="CC862" s="80" t="str">
        <f>IF(AND(BD862=1,D862="proMX",E862&amp;""&lt;&gt;""),IF(COUNTIFS($D$5:D861,"proMX",$E$5:E861,E862,$BD$5:BD861,1)=0,MAX($CC$5:CC861)+1,""),"")</f>
        <v/>
      </c>
      <c r="CD862" s="80" t="str">
        <f>IF(AND(BE862=1,D862="Malcolm",F862&amp;""&lt;&gt;""),IF(COUNTIFS($D$5:D861,"Malcolm",$F$5:F861,F862,$BE$5:BE861,1)=0,MAX($CD$5:CD861)+1,""),"")</f>
        <v/>
      </c>
      <c r="CE862" s="80" t="str">
        <f>IF(AND(BD862=1,D862="proMX",F862&amp;""&lt;&gt;""),IF(COUNTIFS($D$5:D861,"proMX",$F$5:F861,F862,$BD$5:BD861,1)=0,MAX($CE$5:CE861)+1,""),"")</f>
        <v/>
      </c>
      <c r="CF862" s="80" t="str">
        <f>IF(AND(D862="proMX",BD862=1),IF(OR(BF862="Draft",BF862="Submitted",BF862="Returned",BF862="Recall Requested"),MAX($CF$5:CF861)+1,""),"")</f>
        <v/>
      </c>
      <c r="CG862" s="80">
        <f>IF(BD862=0,0,IF(D862="Malcolm",1,MATCH(BF862,{"Draft","Submitted","Approved","Returned","Recall Requested","Cancelled"},0)+1))</f>
        <v>0</v>
      </c>
      <c r="CH862" s="80">
        <f>IF(AND(BF862="Submitted",ISNUMBER(V862)),IF(V862&gt;CFG_MAXD,1,0),0)</f>
        <v>0</v>
      </c>
    </row>
    <row r="863">
      <c r="A863" s="71" t="str">
        <f>IF(Y863=1,ROW()-5,"")</f>
        <v/>
      </c>
      <c r="B863" s="72" t="n"/>
      <c r="C863" s="71" t="str">
        <f>IF(ISNUMBER(B863),CHOOSE(WEEKDAY(B863,2),"Lun","Mar","Mié","Jue","Vie","Sáb","Dom"),"")</f>
        <v/>
      </c>
      <c r="D863" s="73" t="n"/>
      <c r="E863" s="74" t="n"/>
      <c r="F863" s="74" t="n"/>
      <c r="G863" s="74" t="n"/>
      <c r="H863" s="75" t="n"/>
      <c r="I863" s="75" t="n"/>
      <c r="J863" s="76" t="n"/>
      <c r="K863" s="77" t="str">
        <f>IF(AB863=1,ROUND(AG863/60,4),"")</f>
        <v/>
      </c>
      <c r="L863" s="77" t="str">
        <f>IF(BD863=1,ROUND(AP863/60,4),"")</f>
        <v/>
      </c>
      <c r="M863" s="77" t="str">
        <f>IF(BD863=1,ROUND(AQ863/60,4),"")</f>
        <v/>
      </c>
      <c r="N863" s="71" t="str">
        <f>IF(AND(D863="proMX",AB863=1),ROUND(AG863/CFG_BLK,2),"")</f>
        <v/>
      </c>
      <c r="O863" s="77" t="str">
        <f>IF(D863="proMX",IF(BD863=1,ROUND(AG863/60,4),0),"")</f>
        <v/>
      </c>
      <c r="P863" s="78" t="str">
        <f>IF(Y863=0,"",IF(BD863=1,"OK",IF(D863="proMX","Revisar bloques: ","Revisar: ")&amp;BC863))</f>
        <v/>
      </c>
      <c r="Q863" s="78" t="str">
        <f>IF(NOT(ISNUMBER(B863)),"",IF(COUNTIFS(FER_F,INT(B863))&gt;0,"Feriado"&amp;IF(AH863=1," (laborable)"," (no laborable)"),IF(AH863=1,"Laborable",IF(WEEKDAY(B863,2)&gt;5,"Fin de semana","No laborable"))))</f>
        <v/>
      </c>
      <c r="R863" s="73" t="n"/>
      <c r="S863" s="72" t="n"/>
      <c r="T863" s="72" t="n"/>
      <c r="U863" s="74" t="n"/>
      <c r="V863" s="79" t="str">
        <f>IF(AND(D863="proMX",OR(R863="Submitted",R863="Recall Requested"),ISNUMBER(S863)),CFG_TODAY-INT(S863),"")</f>
        <v/>
      </c>
      <c r="W863" s="78" t="str">
        <f>IF(BD863=0,"",IF(BA863&gt;0,"⚠ Se superpone con un registro de la otra empresa",IF(D863="Malcolm",IF(COUNTA(R863,S863,T863)&gt;0,"Estado/fechas proMX se ignoran en Malcolm",""),IF(BF863="Cancelled","Cancelado: excluido de totales",IF(R863="","Sin estado: se trata como Draft",IF(BF863="Submitted",IF(ISNUMBER(V863),IF(V863&gt;CFG_MAXD,"⚠ "&amp;V863&amp;" días en Submitted (máx. "&amp;CFG_MAXD&amp;")",""),"Falta fecha de envío"),IF(BF863="Returned","⚠ Devuelto: corregir y reenviar",IF(BF863="Recall Requested","Retirada solicitada: pendiente",IF(AND(BF863="Approved",NOT(ISNUMBER(T863))),"Falta fecha de aprobación",IF(AND(ISNUMBER(S863),ISNUMBER(T863),T863&lt;S863),"Aprobación anterior al envío","")))))))))</f>
        <v/>
      </c>
      <c r="Y863" s="80">
        <f>IF(COUNTA(B863,D863,E863,F863,G863,H863,I863,J863,R863,S863,T863)&gt;0,1,0)</f>
        <v>0</v>
      </c>
      <c r="Z863" s="80" t="str">
        <f>IF(AND(ISNUMBER(H863),H863&gt;=0,H863&lt;1),ROUND(H863*1440,0),"")</f>
        <v/>
      </c>
      <c r="AA863" s="80" t="str">
        <f>IF(AND(ISNUMBER(I863),I863&gt;=0,I863&lt;1),ROUND(I863*1440,0),"")</f>
        <v/>
      </c>
      <c r="AB863" s="80">
        <f>IF(AND(ISNUMBER(B863),D863&lt;&gt;"",ISNUMBER(Z863),ISNUMBER(AA863)),IF(Z863=AA863,0,1),0)</f>
        <v>0</v>
      </c>
      <c r="AC863" s="80">
        <f>IF(AB863=1,IF(AA863&lt;Z863,1,0),0)</f>
        <v>0</v>
      </c>
      <c r="AD863" s="80">
        <f>IF(AB863=1,IF(AC863=1,1440-Z863+AA863,AA863-Z863),0)</f>
        <v>0</v>
      </c>
      <c r="AE863" s="80">
        <f>IF(J863="",0,IF(ISNUMBER(J863),J863,-1))</f>
        <v>0</v>
      </c>
      <c r="AF863" s="80">
        <f>MIN(MAX(0,AE863),AD863)</f>
        <v>0</v>
      </c>
      <c r="AG863" s="80">
        <f>MAX(0,AD863-MAX(0,AE863))</f>
        <v>0</v>
      </c>
      <c r="AH863" s="80">
        <f>IF(ISNUMBER(B863),IF(AND(INDEX(CFG_WDAYS,WEEKDAY(INT(B863),2))="Sí",IF(D863="proMX",COUNTIFS(FER_F,INT(B863),FER_NLP,"Sí"),COUNTIFS(FER_F,INT(B863),FER_NLM,"Sí"))=0),1,0),0)</f>
        <v>0</v>
      </c>
      <c r="AI863" s="80">
        <f>IF(AC863=1,IF(AND(INDEX(CFG_WDAYS,WEEKDAY(INT(B863)+1,2))="Sí",IF(D863="proMX",COUNTIFS(FER_F,INT(B863)+1,FER_NLP,"Sí"),COUNTIFS(FER_F,INT(B863)+1,FER_NLM,"Sí"))=0),1,0),0)</f>
        <v>0</v>
      </c>
      <c r="AJ863" s="80">
        <f>IF(AC863=1,1440-Z863,AD863)</f>
        <v>0</v>
      </c>
      <c r="AK863" s="80">
        <f>IF(AND(AB863=1,AH863=1),MAX(0,MIN(IF(AC863=1,1440,AA863),CFG_WEM)-MAX(Z863,CFG_WSM)),0)</f>
        <v>0</v>
      </c>
      <c r="AL863" s="80">
        <f>IF(AND(AC863=1,AI863=1),MAX(0,MIN(AA863,CFG_WEM)-CFG_WSM),0)</f>
        <v>0</v>
      </c>
      <c r="AM863" s="80">
        <f>AK863+AL863</f>
        <v>0</v>
      </c>
      <c r="AN863" s="80">
        <f>IF(CFG_BRK="Proporcional",IF(AD863=0,0,AF863*AM863/AD863),IF(CFG_BRK="Extras primero",MIN(AM863,MAX(0,AF863-(AD863-AM863))),MIN(AF863,AM863)))</f>
        <v>0</v>
      </c>
      <c r="AO863" s="80">
        <f>AF863-AN863</f>
        <v>0</v>
      </c>
      <c r="AP863" s="80">
        <f>AM863-AN863</f>
        <v>0</v>
      </c>
      <c r="AQ863" s="80">
        <f>AD863-AM863-AO863</f>
        <v>0</v>
      </c>
      <c r="AR863" s="80">
        <f>IF(AM863=0,0,AK863-AN863*AK863/AM863)</f>
        <v>0</v>
      </c>
      <c r="AS863" s="80">
        <f>IF(AD863-AM863=0,0,(AJ863-AK863)-AO863*(AJ863-AK863)/(AD863-AM863))</f>
        <v>0</v>
      </c>
      <c r="AT863" s="80" t="str">
        <f>IF(AC863=1,INT(B863)+1,"")</f>
        <v/>
      </c>
      <c r="AU863" s="80">
        <f>IF(AND(D863="proMX",R863="Cancelled"),0,1)</f>
        <v>1</v>
      </c>
      <c r="AV863" s="80">
        <f>IF(AND(AB863=1,AU863=1),IF(COUNTIFS($D$5:D862,D863,$B$5:B862,B863,$Z$5:Z862,Z863,$AA$5:AA862,AA863,$F$5:F862,F863&amp;"",$AU$5:AU862,1)&gt;0,1,0),0)</f>
        <v>0</v>
      </c>
      <c r="AW863" s="80" t="str">
        <f>IF(AB863=1,INT(B863)*1440+Z863,"")</f>
        <v/>
      </c>
      <c r="AX863" s="80" t="str">
        <f>IF(AB863=1,AW863+AD863,"")</f>
        <v/>
      </c>
      <c r="AY863" s="80">
        <f>IF(AND(AB863=1,AV863=0,AU863=1),1,0)</f>
        <v>0</v>
      </c>
      <c r="AZ863" s="80">
        <f>IF(AY863=1,COUNTIFS(R_Emp,D863,R_SAbs,"&lt;"&amp;AX863,R_EAbs,"&gt;"&amp;AW863,R_OKey,1)-1,0)</f>
        <v>0</v>
      </c>
      <c r="BA863" s="80">
        <f>IF(AY863=1,COUNTIFS(R_Emp,"&lt;&gt;"&amp;D863,R_SAbs,"&lt;"&amp;AX863,R_EAbs,"&gt;"&amp;AW863,R_OKey,1),0)</f>
        <v>0</v>
      </c>
      <c r="BB863" s="80">
        <f>IF(AND(AB863=1,D863="proMX"),IF(AND(MOD(Z863,CFG_BLK)=0,MOD(AA863,CFG_BLK)=0,MOD(AG863,CFG_BLK)=0,AG863&gt;0),1,0),1)</f>
        <v>1</v>
      </c>
      <c r="BC863" s="80" t="str">
        <f>IF(Y863=0,"",IF(NOT(ISNUMBER(B863)),"Falta fecha o fecha inválida",IF(D863="","Falta empresa",IF(AND(D863&lt;&gt;"Malcolm",D863&lt;&gt;"proMX"),"Empresa inválida",IF(OR(INT(B863)&lt;CFG_PSTART,INT(B863)&gt;CFG_PEND),"Fecha fuera del período",IF(OR(NOT(ISNUMBER(Z863)),NOT(ISNUMBER(AA863))),"Falta hora inicio/fin o formato inválido",IF(AB863=0,"Hora inicio = hora fin",IF(AE863&lt;0,"Descanso inválido",IF(AE863&gt;=AD863,"Descanso ≥ duración",IF(AV863=1,"Registro duplicado",IF(AZ863&gt;0,"Se superpone con otro registro "&amp;D863,IF(BB863=0,"inicio, fin y duración neta deben ser múltiplos de "&amp;CFG_BLK&amp;" min",""))))))))))))</f>
        <v/>
      </c>
      <c r="BD863" s="80">
        <f>IF(AND(Y863=1,BC863=""),1,0)</f>
        <v>0</v>
      </c>
      <c r="BE863" s="80">
        <f>IF(AND(BD863=1,AU863=1),1,0)</f>
        <v>0</v>
      </c>
      <c r="BF863" s="80" t="str">
        <f>IF(AND(D863="proMX",BD863=1),IF(R863="","Draft",R863),"")</f>
        <v/>
      </c>
      <c r="BG863" s="80">
        <f>IF(BD863=1,ROUND(AG863/60,6),0)</f>
        <v>0</v>
      </c>
      <c r="BH863" s="80">
        <f>IF(BE863=1,ROUND(AG863/60,6),0)</f>
        <v>0</v>
      </c>
      <c r="BI863" s="80">
        <f>IF(BE863=1,ROUND(AP863/60,6),0)</f>
        <v>0</v>
      </c>
      <c r="BJ863" s="80">
        <f>IF(BE863=1,ROUND(AQ863/60,6),0)</f>
        <v>0</v>
      </c>
      <c r="BK863" s="80">
        <f>IF(BE863=1,ROUND((AR863+AS863)/60,6),0)</f>
        <v>0</v>
      </c>
      <c r="BL863" s="80">
        <f>ROUND(BH863-BK863,6)</f>
        <v>0</v>
      </c>
      <c r="BM863" s="80">
        <f>IF(BE863=1,ROUND(AR863/60,6),0)</f>
        <v>0</v>
      </c>
      <c r="BN863" s="80">
        <f>ROUND(BI863-BM863,6)</f>
        <v>0</v>
      </c>
      <c r="BO863" s="80">
        <f>IF(BE863=1,ROUND(AS863/60,6),0)</f>
        <v>0</v>
      </c>
      <c r="BP863" s="80">
        <f>ROUND(BJ863-BO863,6)</f>
        <v>0</v>
      </c>
      <c r="BQ863" s="80">
        <f>IF(BE863=1,AW863,0)</f>
        <v>0</v>
      </c>
      <c r="BR863" s="80">
        <f>IF(BE863=1,AX863,0)</f>
        <v>0</v>
      </c>
      <c r="BS863" s="80">
        <f>IF(AND(BE863=1,D863="Malcolm",BA863&gt;0),MIN(BH863,SUMPRODUCT((R_Emp="proMX")*(R_EN&gt;0)*((R_EN-(R_EN&gt;BR863)*(R_EN-BR863))&gt;(R_SN+(R_SN&lt;BQ863)*(BQ863-R_SN)))*((R_EN-(R_EN&gt;BR863)*(R_EN-BR863))-(R_SN+(R_SN&lt;BQ863)*(BQ863-R_SN))))/60),0)</f>
        <v>0</v>
      </c>
      <c r="BT863" s="80">
        <f>IF(AND(BE863=1,D863="proMX"),ROUND(BI863*CFG_RATE+BJ863*CFG_OTRATE,6),0)</f>
        <v>0</v>
      </c>
      <c r="BU863" s="80">
        <f>IF(AND(BD863=1,D863="proMX"),ROUND(AG863/CFG_BLK,6),0)</f>
        <v>0</v>
      </c>
      <c r="BV863" s="80" t="str">
        <f>IF(BF863="Approved",IF(ISNUMBER(T863),INT(T863),INT(B863)),"")</f>
        <v/>
      </c>
      <c r="BW863" s="80">
        <f>IF(ISNUMBER(B863),IF(DB_MON="Todos",1,IF(AND(INT(B863)&gt;=DB_MS,INT(B863)&lt;=DB_ME),1,0)),0)</f>
        <v>0</v>
      </c>
      <c r="BX863" s="80">
        <f>IF(DB_PROJ="Todos",1,IF(E863&amp;""=DB_PROJ&amp;"",1,0))</f>
        <v>1</v>
      </c>
      <c r="BY863" s="80">
        <f>BW863*BX863</f>
        <v>0</v>
      </c>
      <c r="BZ863" s="80" t="str">
        <f>IF(Y863=1,F863&amp;IF(AND(F863&amp;""&lt;&gt;"",E863&amp;""&lt;&gt;"")," · ","")&amp;E863,"")</f>
        <v/>
      </c>
      <c r="CA863" s="80" t="str">
        <f>IF(AND(BD863=1,E863&amp;""&lt;&gt;""),IF(COUNTIFS($E$5:E862,E863,$BD$5:BD862,1)=0,MAX($CA$5:CA862)+1,""),"")</f>
        <v/>
      </c>
      <c r="CB863" s="80" t="str">
        <f>IF(AND(BE863=1,D863="Malcolm",E863&amp;""&lt;&gt;""),IF(COUNTIFS($D$5:D862,"Malcolm",$E$5:E862,E863,$BE$5:BE862,1)=0,MAX($CB$5:CB862)+1,""),"")</f>
        <v/>
      </c>
      <c r="CC863" s="80" t="str">
        <f>IF(AND(BD863=1,D863="proMX",E863&amp;""&lt;&gt;""),IF(COUNTIFS($D$5:D862,"proMX",$E$5:E862,E863,$BD$5:BD862,1)=0,MAX($CC$5:CC862)+1,""),"")</f>
        <v/>
      </c>
      <c r="CD863" s="80" t="str">
        <f>IF(AND(BE863=1,D863="Malcolm",F863&amp;""&lt;&gt;""),IF(COUNTIFS($D$5:D862,"Malcolm",$F$5:F862,F863,$BE$5:BE862,1)=0,MAX($CD$5:CD862)+1,""),"")</f>
        <v/>
      </c>
      <c r="CE863" s="80" t="str">
        <f>IF(AND(BD863=1,D863="proMX",F863&amp;""&lt;&gt;""),IF(COUNTIFS($D$5:D862,"proMX",$F$5:F862,F863,$BD$5:BD862,1)=0,MAX($CE$5:CE862)+1,""),"")</f>
        <v/>
      </c>
      <c r="CF863" s="80" t="str">
        <f>IF(AND(D863="proMX",BD863=1),IF(OR(BF863="Draft",BF863="Submitted",BF863="Returned",BF863="Recall Requested"),MAX($CF$5:CF862)+1,""),"")</f>
        <v/>
      </c>
      <c r="CG863" s="80">
        <f>IF(BD863=0,0,IF(D863="Malcolm",1,MATCH(BF863,{"Draft","Submitted","Approved","Returned","Recall Requested","Cancelled"},0)+1))</f>
        <v>0</v>
      </c>
      <c r="CH863" s="80">
        <f>IF(AND(BF863="Submitted",ISNUMBER(V863)),IF(V863&gt;CFG_MAXD,1,0),0)</f>
        <v>0</v>
      </c>
    </row>
    <row r="864">
      <c r="A864" s="71" t="str">
        <f>IF(Y864=1,ROW()-5,"")</f>
        <v/>
      </c>
      <c r="B864" s="72" t="n"/>
      <c r="C864" s="71" t="str">
        <f>IF(ISNUMBER(B864),CHOOSE(WEEKDAY(B864,2),"Lun","Mar","Mié","Jue","Vie","Sáb","Dom"),"")</f>
        <v/>
      </c>
      <c r="D864" s="73" t="n"/>
      <c r="E864" s="74" t="n"/>
      <c r="F864" s="74" t="n"/>
      <c r="G864" s="74" t="n"/>
      <c r="H864" s="75" t="n"/>
      <c r="I864" s="75" t="n"/>
      <c r="J864" s="76" t="n"/>
      <c r="K864" s="77" t="str">
        <f>IF(AB864=1,ROUND(AG864/60,4),"")</f>
        <v/>
      </c>
      <c r="L864" s="77" t="str">
        <f>IF(BD864=1,ROUND(AP864/60,4),"")</f>
        <v/>
      </c>
      <c r="M864" s="77" t="str">
        <f>IF(BD864=1,ROUND(AQ864/60,4),"")</f>
        <v/>
      </c>
      <c r="N864" s="71" t="str">
        <f>IF(AND(D864="proMX",AB864=1),ROUND(AG864/CFG_BLK,2),"")</f>
        <v/>
      </c>
      <c r="O864" s="77" t="str">
        <f>IF(D864="proMX",IF(BD864=1,ROUND(AG864/60,4),0),"")</f>
        <v/>
      </c>
      <c r="P864" s="78" t="str">
        <f>IF(Y864=0,"",IF(BD864=1,"OK",IF(D864="proMX","Revisar bloques: ","Revisar: ")&amp;BC864))</f>
        <v/>
      </c>
      <c r="Q864" s="78" t="str">
        <f>IF(NOT(ISNUMBER(B864)),"",IF(COUNTIFS(FER_F,INT(B864))&gt;0,"Feriado"&amp;IF(AH864=1," (laborable)"," (no laborable)"),IF(AH864=1,"Laborable",IF(WEEKDAY(B864,2)&gt;5,"Fin de semana","No laborable"))))</f>
        <v/>
      </c>
      <c r="R864" s="73" t="n"/>
      <c r="S864" s="72" t="n"/>
      <c r="T864" s="72" t="n"/>
      <c r="U864" s="74" t="n"/>
      <c r="V864" s="79" t="str">
        <f>IF(AND(D864="proMX",OR(R864="Submitted",R864="Recall Requested"),ISNUMBER(S864)),CFG_TODAY-INT(S864),"")</f>
        <v/>
      </c>
      <c r="W864" s="78" t="str">
        <f>IF(BD864=0,"",IF(BA864&gt;0,"⚠ Se superpone con un registro de la otra empresa",IF(D864="Malcolm",IF(COUNTA(R864,S864,T864)&gt;0,"Estado/fechas proMX se ignoran en Malcolm",""),IF(BF864="Cancelled","Cancelado: excluido de totales",IF(R864="","Sin estado: se trata como Draft",IF(BF864="Submitted",IF(ISNUMBER(V864),IF(V864&gt;CFG_MAXD,"⚠ "&amp;V864&amp;" días en Submitted (máx. "&amp;CFG_MAXD&amp;")",""),"Falta fecha de envío"),IF(BF864="Returned","⚠ Devuelto: corregir y reenviar",IF(BF864="Recall Requested","Retirada solicitada: pendiente",IF(AND(BF864="Approved",NOT(ISNUMBER(T864))),"Falta fecha de aprobación",IF(AND(ISNUMBER(S864),ISNUMBER(T864),T864&lt;S864),"Aprobación anterior al envío","")))))))))</f>
        <v/>
      </c>
      <c r="Y864" s="80">
        <f>IF(COUNTA(B864,D864,E864,F864,G864,H864,I864,J864,R864,S864,T864)&gt;0,1,0)</f>
        <v>0</v>
      </c>
      <c r="Z864" s="80" t="str">
        <f>IF(AND(ISNUMBER(H864),H864&gt;=0,H864&lt;1),ROUND(H864*1440,0),"")</f>
        <v/>
      </c>
      <c r="AA864" s="80" t="str">
        <f>IF(AND(ISNUMBER(I864),I864&gt;=0,I864&lt;1),ROUND(I864*1440,0),"")</f>
        <v/>
      </c>
      <c r="AB864" s="80">
        <f>IF(AND(ISNUMBER(B864),D864&lt;&gt;"",ISNUMBER(Z864),ISNUMBER(AA864)),IF(Z864=AA864,0,1),0)</f>
        <v>0</v>
      </c>
      <c r="AC864" s="80">
        <f>IF(AB864=1,IF(AA864&lt;Z864,1,0),0)</f>
        <v>0</v>
      </c>
      <c r="AD864" s="80">
        <f>IF(AB864=1,IF(AC864=1,1440-Z864+AA864,AA864-Z864),0)</f>
        <v>0</v>
      </c>
      <c r="AE864" s="80">
        <f>IF(J864="",0,IF(ISNUMBER(J864),J864,-1))</f>
        <v>0</v>
      </c>
      <c r="AF864" s="80">
        <f>MIN(MAX(0,AE864),AD864)</f>
        <v>0</v>
      </c>
      <c r="AG864" s="80">
        <f>MAX(0,AD864-MAX(0,AE864))</f>
        <v>0</v>
      </c>
      <c r="AH864" s="80">
        <f>IF(ISNUMBER(B864),IF(AND(INDEX(CFG_WDAYS,WEEKDAY(INT(B864),2))="Sí",IF(D864="proMX",COUNTIFS(FER_F,INT(B864),FER_NLP,"Sí"),COUNTIFS(FER_F,INT(B864),FER_NLM,"Sí"))=0),1,0),0)</f>
        <v>0</v>
      </c>
      <c r="AI864" s="80">
        <f>IF(AC864=1,IF(AND(INDEX(CFG_WDAYS,WEEKDAY(INT(B864)+1,2))="Sí",IF(D864="proMX",COUNTIFS(FER_F,INT(B864)+1,FER_NLP,"Sí"),COUNTIFS(FER_F,INT(B864)+1,FER_NLM,"Sí"))=0),1,0),0)</f>
        <v>0</v>
      </c>
      <c r="AJ864" s="80">
        <f>IF(AC864=1,1440-Z864,AD864)</f>
        <v>0</v>
      </c>
      <c r="AK864" s="80">
        <f>IF(AND(AB864=1,AH864=1),MAX(0,MIN(IF(AC864=1,1440,AA864),CFG_WEM)-MAX(Z864,CFG_WSM)),0)</f>
        <v>0</v>
      </c>
      <c r="AL864" s="80">
        <f>IF(AND(AC864=1,AI864=1),MAX(0,MIN(AA864,CFG_WEM)-CFG_WSM),0)</f>
        <v>0</v>
      </c>
      <c r="AM864" s="80">
        <f>AK864+AL864</f>
        <v>0</v>
      </c>
      <c r="AN864" s="80">
        <f>IF(CFG_BRK="Proporcional",IF(AD864=0,0,AF864*AM864/AD864),IF(CFG_BRK="Extras primero",MIN(AM864,MAX(0,AF864-(AD864-AM864))),MIN(AF864,AM864)))</f>
        <v>0</v>
      </c>
      <c r="AO864" s="80">
        <f>AF864-AN864</f>
        <v>0</v>
      </c>
      <c r="AP864" s="80">
        <f>AM864-AN864</f>
        <v>0</v>
      </c>
      <c r="AQ864" s="80">
        <f>AD864-AM864-AO864</f>
        <v>0</v>
      </c>
      <c r="AR864" s="80">
        <f>IF(AM864=0,0,AK864-AN864*AK864/AM864)</f>
        <v>0</v>
      </c>
      <c r="AS864" s="80">
        <f>IF(AD864-AM864=0,0,(AJ864-AK864)-AO864*(AJ864-AK864)/(AD864-AM864))</f>
        <v>0</v>
      </c>
      <c r="AT864" s="80" t="str">
        <f>IF(AC864=1,INT(B864)+1,"")</f>
        <v/>
      </c>
      <c r="AU864" s="80">
        <f>IF(AND(D864="proMX",R864="Cancelled"),0,1)</f>
        <v>1</v>
      </c>
      <c r="AV864" s="80">
        <f>IF(AND(AB864=1,AU864=1),IF(COUNTIFS($D$5:D863,D864,$B$5:B863,B864,$Z$5:Z863,Z864,$AA$5:AA863,AA864,$F$5:F863,F864&amp;"",$AU$5:AU863,1)&gt;0,1,0),0)</f>
        <v>0</v>
      </c>
      <c r="AW864" s="80" t="str">
        <f>IF(AB864=1,INT(B864)*1440+Z864,"")</f>
        <v/>
      </c>
      <c r="AX864" s="80" t="str">
        <f>IF(AB864=1,AW864+AD864,"")</f>
        <v/>
      </c>
      <c r="AY864" s="80">
        <f>IF(AND(AB864=1,AV864=0,AU864=1),1,0)</f>
        <v>0</v>
      </c>
      <c r="AZ864" s="80">
        <f>IF(AY864=1,COUNTIFS(R_Emp,D864,R_SAbs,"&lt;"&amp;AX864,R_EAbs,"&gt;"&amp;AW864,R_OKey,1)-1,0)</f>
        <v>0</v>
      </c>
      <c r="BA864" s="80">
        <f>IF(AY864=1,COUNTIFS(R_Emp,"&lt;&gt;"&amp;D864,R_SAbs,"&lt;"&amp;AX864,R_EAbs,"&gt;"&amp;AW864,R_OKey,1),0)</f>
        <v>0</v>
      </c>
      <c r="BB864" s="80">
        <f>IF(AND(AB864=1,D864="proMX"),IF(AND(MOD(Z864,CFG_BLK)=0,MOD(AA864,CFG_BLK)=0,MOD(AG864,CFG_BLK)=0,AG864&gt;0),1,0),1)</f>
        <v>1</v>
      </c>
      <c r="BC864" s="80" t="str">
        <f>IF(Y864=0,"",IF(NOT(ISNUMBER(B864)),"Falta fecha o fecha inválida",IF(D864="","Falta empresa",IF(AND(D864&lt;&gt;"Malcolm",D864&lt;&gt;"proMX"),"Empresa inválida",IF(OR(INT(B864)&lt;CFG_PSTART,INT(B864)&gt;CFG_PEND),"Fecha fuera del período",IF(OR(NOT(ISNUMBER(Z864)),NOT(ISNUMBER(AA864))),"Falta hora inicio/fin o formato inválido",IF(AB864=0,"Hora inicio = hora fin",IF(AE864&lt;0,"Descanso inválido",IF(AE864&gt;=AD864,"Descanso ≥ duración",IF(AV864=1,"Registro duplicado",IF(AZ864&gt;0,"Se superpone con otro registro "&amp;D864,IF(BB864=0,"inicio, fin y duración neta deben ser múltiplos de "&amp;CFG_BLK&amp;" min",""))))))))))))</f>
        <v/>
      </c>
      <c r="BD864" s="80">
        <f>IF(AND(Y864=1,BC864=""),1,0)</f>
        <v>0</v>
      </c>
      <c r="BE864" s="80">
        <f>IF(AND(BD864=1,AU864=1),1,0)</f>
        <v>0</v>
      </c>
      <c r="BF864" s="80" t="str">
        <f>IF(AND(D864="proMX",BD864=1),IF(R864="","Draft",R864),"")</f>
        <v/>
      </c>
      <c r="BG864" s="80">
        <f>IF(BD864=1,ROUND(AG864/60,6),0)</f>
        <v>0</v>
      </c>
      <c r="BH864" s="80">
        <f>IF(BE864=1,ROUND(AG864/60,6),0)</f>
        <v>0</v>
      </c>
      <c r="BI864" s="80">
        <f>IF(BE864=1,ROUND(AP864/60,6),0)</f>
        <v>0</v>
      </c>
      <c r="BJ864" s="80">
        <f>IF(BE864=1,ROUND(AQ864/60,6),0)</f>
        <v>0</v>
      </c>
      <c r="BK864" s="80">
        <f>IF(BE864=1,ROUND((AR864+AS864)/60,6),0)</f>
        <v>0</v>
      </c>
      <c r="BL864" s="80">
        <f>ROUND(BH864-BK864,6)</f>
        <v>0</v>
      </c>
      <c r="BM864" s="80">
        <f>IF(BE864=1,ROUND(AR864/60,6),0)</f>
        <v>0</v>
      </c>
      <c r="BN864" s="80">
        <f>ROUND(BI864-BM864,6)</f>
        <v>0</v>
      </c>
      <c r="BO864" s="80">
        <f>IF(BE864=1,ROUND(AS864/60,6),0)</f>
        <v>0</v>
      </c>
      <c r="BP864" s="80">
        <f>ROUND(BJ864-BO864,6)</f>
        <v>0</v>
      </c>
      <c r="BQ864" s="80">
        <f>IF(BE864=1,AW864,0)</f>
        <v>0</v>
      </c>
      <c r="BR864" s="80">
        <f>IF(BE864=1,AX864,0)</f>
        <v>0</v>
      </c>
      <c r="BS864" s="80">
        <f>IF(AND(BE864=1,D864="Malcolm",BA864&gt;0),MIN(BH864,SUMPRODUCT((R_Emp="proMX")*(R_EN&gt;0)*((R_EN-(R_EN&gt;BR864)*(R_EN-BR864))&gt;(R_SN+(R_SN&lt;BQ864)*(BQ864-R_SN)))*((R_EN-(R_EN&gt;BR864)*(R_EN-BR864))-(R_SN+(R_SN&lt;BQ864)*(BQ864-R_SN))))/60),0)</f>
        <v>0</v>
      </c>
      <c r="BT864" s="80">
        <f>IF(AND(BE864=1,D864="proMX"),ROUND(BI864*CFG_RATE+BJ864*CFG_OTRATE,6),0)</f>
        <v>0</v>
      </c>
      <c r="BU864" s="80">
        <f>IF(AND(BD864=1,D864="proMX"),ROUND(AG864/CFG_BLK,6),0)</f>
        <v>0</v>
      </c>
      <c r="BV864" s="80" t="str">
        <f>IF(BF864="Approved",IF(ISNUMBER(T864),INT(T864),INT(B864)),"")</f>
        <v/>
      </c>
      <c r="BW864" s="80">
        <f>IF(ISNUMBER(B864),IF(DB_MON="Todos",1,IF(AND(INT(B864)&gt;=DB_MS,INT(B864)&lt;=DB_ME),1,0)),0)</f>
        <v>0</v>
      </c>
      <c r="BX864" s="80">
        <f>IF(DB_PROJ="Todos",1,IF(E864&amp;""=DB_PROJ&amp;"",1,0))</f>
        <v>1</v>
      </c>
      <c r="BY864" s="80">
        <f>BW864*BX864</f>
        <v>0</v>
      </c>
      <c r="BZ864" s="80" t="str">
        <f>IF(Y864=1,F864&amp;IF(AND(F864&amp;""&lt;&gt;"",E864&amp;""&lt;&gt;"")," · ","")&amp;E864,"")</f>
        <v/>
      </c>
      <c r="CA864" s="80" t="str">
        <f>IF(AND(BD864=1,E864&amp;""&lt;&gt;""),IF(COUNTIFS($E$5:E863,E864,$BD$5:BD863,1)=0,MAX($CA$5:CA863)+1,""),"")</f>
        <v/>
      </c>
      <c r="CB864" s="80" t="str">
        <f>IF(AND(BE864=1,D864="Malcolm",E864&amp;""&lt;&gt;""),IF(COUNTIFS($D$5:D863,"Malcolm",$E$5:E863,E864,$BE$5:BE863,1)=0,MAX($CB$5:CB863)+1,""),"")</f>
        <v/>
      </c>
      <c r="CC864" s="80" t="str">
        <f>IF(AND(BD864=1,D864="proMX",E864&amp;""&lt;&gt;""),IF(COUNTIFS($D$5:D863,"proMX",$E$5:E863,E864,$BD$5:BD863,1)=0,MAX($CC$5:CC863)+1,""),"")</f>
        <v/>
      </c>
      <c r="CD864" s="80" t="str">
        <f>IF(AND(BE864=1,D864="Malcolm",F864&amp;""&lt;&gt;""),IF(COUNTIFS($D$5:D863,"Malcolm",$F$5:F863,F864,$BE$5:BE863,1)=0,MAX($CD$5:CD863)+1,""),"")</f>
        <v/>
      </c>
      <c r="CE864" s="80" t="str">
        <f>IF(AND(BD864=1,D864="proMX",F864&amp;""&lt;&gt;""),IF(COUNTIFS($D$5:D863,"proMX",$F$5:F863,F864,$BD$5:BD863,1)=0,MAX($CE$5:CE863)+1,""),"")</f>
        <v/>
      </c>
      <c r="CF864" s="80" t="str">
        <f>IF(AND(D864="proMX",BD864=1),IF(OR(BF864="Draft",BF864="Submitted",BF864="Returned",BF864="Recall Requested"),MAX($CF$5:CF863)+1,""),"")</f>
        <v/>
      </c>
      <c r="CG864" s="80">
        <f>IF(BD864=0,0,IF(D864="Malcolm",1,MATCH(BF864,{"Draft","Submitted","Approved","Returned","Recall Requested","Cancelled"},0)+1))</f>
        <v>0</v>
      </c>
      <c r="CH864" s="80">
        <f>IF(AND(BF864="Submitted",ISNUMBER(V864)),IF(V864&gt;CFG_MAXD,1,0),0)</f>
        <v>0</v>
      </c>
    </row>
    <row r="865">
      <c r="A865" s="71" t="str">
        <f>IF(Y865=1,ROW()-5,"")</f>
        <v/>
      </c>
      <c r="B865" s="72" t="n"/>
      <c r="C865" s="71" t="str">
        <f>IF(ISNUMBER(B865),CHOOSE(WEEKDAY(B865,2),"Lun","Mar","Mié","Jue","Vie","Sáb","Dom"),"")</f>
        <v/>
      </c>
      <c r="D865" s="73" t="n"/>
      <c r="E865" s="74" t="n"/>
      <c r="F865" s="74" t="n"/>
      <c r="G865" s="74" t="n"/>
      <c r="H865" s="75" t="n"/>
      <c r="I865" s="75" t="n"/>
      <c r="J865" s="76" t="n"/>
      <c r="K865" s="77" t="str">
        <f>IF(AB865=1,ROUND(AG865/60,4),"")</f>
        <v/>
      </c>
      <c r="L865" s="77" t="str">
        <f>IF(BD865=1,ROUND(AP865/60,4),"")</f>
        <v/>
      </c>
      <c r="M865" s="77" t="str">
        <f>IF(BD865=1,ROUND(AQ865/60,4),"")</f>
        <v/>
      </c>
      <c r="N865" s="71" t="str">
        <f>IF(AND(D865="proMX",AB865=1),ROUND(AG865/CFG_BLK,2),"")</f>
        <v/>
      </c>
      <c r="O865" s="77" t="str">
        <f>IF(D865="proMX",IF(BD865=1,ROUND(AG865/60,4),0),"")</f>
        <v/>
      </c>
      <c r="P865" s="78" t="str">
        <f>IF(Y865=0,"",IF(BD865=1,"OK",IF(D865="proMX","Revisar bloques: ","Revisar: ")&amp;BC865))</f>
        <v/>
      </c>
      <c r="Q865" s="78" t="str">
        <f>IF(NOT(ISNUMBER(B865)),"",IF(COUNTIFS(FER_F,INT(B865))&gt;0,"Feriado"&amp;IF(AH865=1," (laborable)"," (no laborable)"),IF(AH865=1,"Laborable",IF(WEEKDAY(B865,2)&gt;5,"Fin de semana","No laborable"))))</f>
        <v/>
      </c>
      <c r="R865" s="73" t="n"/>
      <c r="S865" s="72" t="n"/>
      <c r="T865" s="72" t="n"/>
      <c r="U865" s="74" t="n"/>
      <c r="V865" s="79" t="str">
        <f>IF(AND(D865="proMX",OR(R865="Submitted",R865="Recall Requested"),ISNUMBER(S865)),CFG_TODAY-INT(S865),"")</f>
        <v/>
      </c>
      <c r="W865" s="78" t="str">
        <f>IF(BD865=0,"",IF(BA865&gt;0,"⚠ Se superpone con un registro de la otra empresa",IF(D865="Malcolm",IF(COUNTA(R865,S865,T865)&gt;0,"Estado/fechas proMX se ignoran en Malcolm",""),IF(BF865="Cancelled","Cancelado: excluido de totales",IF(R865="","Sin estado: se trata como Draft",IF(BF865="Submitted",IF(ISNUMBER(V865),IF(V865&gt;CFG_MAXD,"⚠ "&amp;V865&amp;" días en Submitted (máx. "&amp;CFG_MAXD&amp;")",""),"Falta fecha de envío"),IF(BF865="Returned","⚠ Devuelto: corregir y reenviar",IF(BF865="Recall Requested","Retirada solicitada: pendiente",IF(AND(BF865="Approved",NOT(ISNUMBER(T865))),"Falta fecha de aprobación",IF(AND(ISNUMBER(S865),ISNUMBER(T865),T865&lt;S865),"Aprobación anterior al envío","")))))))))</f>
        <v/>
      </c>
      <c r="Y865" s="80">
        <f>IF(COUNTA(B865,D865,E865,F865,G865,H865,I865,J865,R865,S865,T865)&gt;0,1,0)</f>
        <v>0</v>
      </c>
      <c r="Z865" s="80" t="str">
        <f>IF(AND(ISNUMBER(H865),H865&gt;=0,H865&lt;1),ROUND(H865*1440,0),"")</f>
        <v/>
      </c>
      <c r="AA865" s="80" t="str">
        <f>IF(AND(ISNUMBER(I865),I865&gt;=0,I865&lt;1),ROUND(I865*1440,0),"")</f>
        <v/>
      </c>
      <c r="AB865" s="80">
        <f>IF(AND(ISNUMBER(B865),D865&lt;&gt;"",ISNUMBER(Z865),ISNUMBER(AA865)),IF(Z865=AA865,0,1),0)</f>
        <v>0</v>
      </c>
      <c r="AC865" s="80">
        <f>IF(AB865=1,IF(AA865&lt;Z865,1,0),0)</f>
        <v>0</v>
      </c>
      <c r="AD865" s="80">
        <f>IF(AB865=1,IF(AC865=1,1440-Z865+AA865,AA865-Z865),0)</f>
        <v>0</v>
      </c>
      <c r="AE865" s="80">
        <f>IF(J865="",0,IF(ISNUMBER(J865),J865,-1))</f>
        <v>0</v>
      </c>
      <c r="AF865" s="80">
        <f>MIN(MAX(0,AE865),AD865)</f>
        <v>0</v>
      </c>
      <c r="AG865" s="80">
        <f>MAX(0,AD865-MAX(0,AE865))</f>
        <v>0</v>
      </c>
      <c r="AH865" s="80">
        <f>IF(ISNUMBER(B865),IF(AND(INDEX(CFG_WDAYS,WEEKDAY(INT(B865),2))="Sí",IF(D865="proMX",COUNTIFS(FER_F,INT(B865),FER_NLP,"Sí"),COUNTIFS(FER_F,INT(B865),FER_NLM,"Sí"))=0),1,0),0)</f>
        <v>0</v>
      </c>
      <c r="AI865" s="80">
        <f>IF(AC865=1,IF(AND(INDEX(CFG_WDAYS,WEEKDAY(INT(B865)+1,2))="Sí",IF(D865="proMX",COUNTIFS(FER_F,INT(B865)+1,FER_NLP,"Sí"),COUNTIFS(FER_F,INT(B865)+1,FER_NLM,"Sí"))=0),1,0),0)</f>
        <v>0</v>
      </c>
      <c r="AJ865" s="80">
        <f>IF(AC865=1,1440-Z865,AD865)</f>
        <v>0</v>
      </c>
      <c r="AK865" s="80">
        <f>IF(AND(AB865=1,AH865=1),MAX(0,MIN(IF(AC865=1,1440,AA865),CFG_WEM)-MAX(Z865,CFG_WSM)),0)</f>
        <v>0</v>
      </c>
      <c r="AL865" s="80">
        <f>IF(AND(AC865=1,AI865=1),MAX(0,MIN(AA865,CFG_WEM)-CFG_WSM),0)</f>
        <v>0</v>
      </c>
      <c r="AM865" s="80">
        <f>AK865+AL865</f>
        <v>0</v>
      </c>
      <c r="AN865" s="80">
        <f>IF(CFG_BRK="Proporcional",IF(AD865=0,0,AF865*AM865/AD865),IF(CFG_BRK="Extras primero",MIN(AM865,MAX(0,AF865-(AD865-AM865))),MIN(AF865,AM865)))</f>
        <v>0</v>
      </c>
      <c r="AO865" s="80">
        <f>AF865-AN865</f>
        <v>0</v>
      </c>
      <c r="AP865" s="80">
        <f>AM865-AN865</f>
        <v>0</v>
      </c>
      <c r="AQ865" s="80">
        <f>AD865-AM865-AO865</f>
        <v>0</v>
      </c>
      <c r="AR865" s="80">
        <f>IF(AM865=0,0,AK865-AN865*AK865/AM865)</f>
        <v>0</v>
      </c>
      <c r="AS865" s="80">
        <f>IF(AD865-AM865=0,0,(AJ865-AK865)-AO865*(AJ865-AK865)/(AD865-AM865))</f>
        <v>0</v>
      </c>
      <c r="AT865" s="80" t="str">
        <f>IF(AC865=1,INT(B865)+1,"")</f>
        <v/>
      </c>
      <c r="AU865" s="80">
        <f>IF(AND(D865="proMX",R865="Cancelled"),0,1)</f>
        <v>1</v>
      </c>
      <c r="AV865" s="80">
        <f>IF(AND(AB865=1,AU865=1),IF(COUNTIFS($D$5:D864,D865,$B$5:B864,B865,$Z$5:Z864,Z865,$AA$5:AA864,AA865,$F$5:F864,F865&amp;"",$AU$5:AU864,1)&gt;0,1,0),0)</f>
        <v>0</v>
      </c>
      <c r="AW865" s="80" t="str">
        <f>IF(AB865=1,INT(B865)*1440+Z865,"")</f>
        <v/>
      </c>
      <c r="AX865" s="80" t="str">
        <f>IF(AB865=1,AW865+AD865,"")</f>
        <v/>
      </c>
      <c r="AY865" s="80">
        <f>IF(AND(AB865=1,AV865=0,AU865=1),1,0)</f>
        <v>0</v>
      </c>
      <c r="AZ865" s="80">
        <f>IF(AY865=1,COUNTIFS(R_Emp,D865,R_SAbs,"&lt;"&amp;AX865,R_EAbs,"&gt;"&amp;AW865,R_OKey,1)-1,0)</f>
        <v>0</v>
      </c>
      <c r="BA865" s="80">
        <f>IF(AY865=1,COUNTIFS(R_Emp,"&lt;&gt;"&amp;D865,R_SAbs,"&lt;"&amp;AX865,R_EAbs,"&gt;"&amp;AW865,R_OKey,1),0)</f>
        <v>0</v>
      </c>
      <c r="BB865" s="80">
        <f>IF(AND(AB865=1,D865="proMX"),IF(AND(MOD(Z865,CFG_BLK)=0,MOD(AA865,CFG_BLK)=0,MOD(AG865,CFG_BLK)=0,AG865&gt;0),1,0),1)</f>
        <v>1</v>
      </c>
      <c r="BC865" s="80" t="str">
        <f>IF(Y865=0,"",IF(NOT(ISNUMBER(B865)),"Falta fecha o fecha inválida",IF(D865="","Falta empresa",IF(AND(D865&lt;&gt;"Malcolm",D865&lt;&gt;"proMX"),"Empresa inválida",IF(OR(INT(B865)&lt;CFG_PSTART,INT(B865)&gt;CFG_PEND),"Fecha fuera del período",IF(OR(NOT(ISNUMBER(Z865)),NOT(ISNUMBER(AA865))),"Falta hora inicio/fin o formato inválido",IF(AB865=0,"Hora inicio = hora fin",IF(AE865&lt;0,"Descanso inválido",IF(AE865&gt;=AD865,"Descanso ≥ duración",IF(AV865=1,"Registro duplicado",IF(AZ865&gt;0,"Se superpone con otro registro "&amp;D865,IF(BB865=0,"inicio, fin y duración neta deben ser múltiplos de "&amp;CFG_BLK&amp;" min",""))))))))))))</f>
        <v/>
      </c>
      <c r="BD865" s="80">
        <f>IF(AND(Y865=1,BC865=""),1,0)</f>
        <v>0</v>
      </c>
      <c r="BE865" s="80">
        <f>IF(AND(BD865=1,AU865=1),1,0)</f>
        <v>0</v>
      </c>
      <c r="BF865" s="80" t="str">
        <f>IF(AND(D865="proMX",BD865=1),IF(R865="","Draft",R865),"")</f>
        <v/>
      </c>
      <c r="BG865" s="80">
        <f>IF(BD865=1,ROUND(AG865/60,6),0)</f>
        <v>0</v>
      </c>
      <c r="BH865" s="80">
        <f>IF(BE865=1,ROUND(AG865/60,6),0)</f>
        <v>0</v>
      </c>
      <c r="BI865" s="80">
        <f>IF(BE865=1,ROUND(AP865/60,6),0)</f>
        <v>0</v>
      </c>
      <c r="BJ865" s="80">
        <f>IF(BE865=1,ROUND(AQ865/60,6),0)</f>
        <v>0</v>
      </c>
      <c r="BK865" s="80">
        <f>IF(BE865=1,ROUND((AR865+AS865)/60,6),0)</f>
        <v>0</v>
      </c>
      <c r="BL865" s="80">
        <f>ROUND(BH865-BK865,6)</f>
        <v>0</v>
      </c>
      <c r="BM865" s="80">
        <f>IF(BE865=1,ROUND(AR865/60,6),0)</f>
        <v>0</v>
      </c>
      <c r="BN865" s="80">
        <f>ROUND(BI865-BM865,6)</f>
        <v>0</v>
      </c>
      <c r="BO865" s="80">
        <f>IF(BE865=1,ROUND(AS865/60,6),0)</f>
        <v>0</v>
      </c>
      <c r="BP865" s="80">
        <f>ROUND(BJ865-BO865,6)</f>
        <v>0</v>
      </c>
      <c r="BQ865" s="80">
        <f>IF(BE865=1,AW865,0)</f>
        <v>0</v>
      </c>
      <c r="BR865" s="80">
        <f>IF(BE865=1,AX865,0)</f>
        <v>0</v>
      </c>
      <c r="BS865" s="80">
        <f>IF(AND(BE865=1,D865="Malcolm",BA865&gt;0),MIN(BH865,SUMPRODUCT((R_Emp="proMX")*(R_EN&gt;0)*((R_EN-(R_EN&gt;BR865)*(R_EN-BR865))&gt;(R_SN+(R_SN&lt;BQ865)*(BQ865-R_SN)))*((R_EN-(R_EN&gt;BR865)*(R_EN-BR865))-(R_SN+(R_SN&lt;BQ865)*(BQ865-R_SN))))/60),0)</f>
        <v>0</v>
      </c>
      <c r="BT865" s="80">
        <f>IF(AND(BE865=1,D865="proMX"),ROUND(BI865*CFG_RATE+BJ865*CFG_OTRATE,6),0)</f>
        <v>0</v>
      </c>
      <c r="BU865" s="80">
        <f>IF(AND(BD865=1,D865="proMX"),ROUND(AG865/CFG_BLK,6),0)</f>
        <v>0</v>
      </c>
      <c r="BV865" s="80" t="str">
        <f>IF(BF865="Approved",IF(ISNUMBER(T865),INT(T865),INT(B865)),"")</f>
        <v/>
      </c>
      <c r="BW865" s="80">
        <f>IF(ISNUMBER(B865),IF(DB_MON="Todos",1,IF(AND(INT(B865)&gt;=DB_MS,INT(B865)&lt;=DB_ME),1,0)),0)</f>
        <v>0</v>
      </c>
      <c r="BX865" s="80">
        <f>IF(DB_PROJ="Todos",1,IF(E865&amp;""=DB_PROJ&amp;"",1,0))</f>
        <v>1</v>
      </c>
      <c r="BY865" s="80">
        <f>BW865*BX865</f>
        <v>0</v>
      </c>
      <c r="BZ865" s="80" t="str">
        <f>IF(Y865=1,F865&amp;IF(AND(F865&amp;""&lt;&gt;"",E865&amp;""&lt;&gt;"")," · ","")&amp;E865,"")</f>
        <v/>
      </c>
      <c r="CA865" s="80" t="str">
        <f>IF(AND(BD865=1,E865&amp;""&lt;&gt;""),IF(COUNTIFS($E$5:E864,E865,$BD$5:BD864,1)=0,MAX($CA$5:CA864)+1,""),"")</f>
        <v/>
      </c>
      <c r="CB865" s="80" t="str">
        <f>IF(AND(BE865=1,D865="Malcolm",E865&amp;""&lt;&gt;""),IF(COUNTIFS($D$5:D864,"Malcolm",$E$5:E864,E865,$BE$5:BE864,1)=0,MAX($CB$5:CB864)+1,""),"")</f>
        <v/>
      </c>
      <c r="CC865" s="80" t="str">
        <f>IF(AND(BD865=1,D865="proMX",E865&amp;""&lt;&gt;""),IF(COUNTIFS($D$5:D864,"proMX",$E$5:E864,E865,$BD$5:BD864,1)=0,MAX($CC$5:CC864)+1,""),"")</f>
        <v/>
      </c>
      <c r="CD865" s="80" t="str">
        <f>IF(AND(BE865=1,D865="Malcolm",F865&amp;""&lt;&gt;""),IF(COUNTIFS($D$5:D864,"Malcolm",$F$5:F864,F865,$BE$5:BE864,1)=0,MAX($CD$5:CD864)+1,""),"")</f>
        <v/>
      </c>
      <c r="CE865" s="80" t="str">
        <f>IF(AND(BD865=1,D865="proMX",F865&amp;""&lt;&gt;""),IF(COUNTIFS($D$5:D864,"proMX",$F$5:F864,F865,$BD$5:BD864,1)=0,MAX($CE$5:CE864)+1,""),"")</f>
        <v/>
      </c>
      <c r="CF865" s="80" t="str">
        <f>IF(AND(D865="proMX",BD865=1),IF(OR(BF865="Draft",BF865="Submitted",BF865="Returned",BF865="Recall Requested"),MAX($CF$5:CF864)+1,""),"")</f>
        <v/>
      </c>
      <c r="CG865" s="80">
        <f>IF(BD865=0,0,IF(D865="Malcolm",1,MATCH(BF865,{"Draft","Submitted","Approved","Returned","Recall Requested","Cancelled"},0)+1))</f>
        <v>0</v>
      </c>
      <c r="CH865" s="80">
        <f>IF(AND(BF865="Submitted",ISNUMBER(V865)),IF(V865&gt;CFG_MAXD,1,0),0)</f>
        <v>0</v>
      </c>
    </row>
    <row r="866">
      <c r="A866" s="71" t="str">
        <f>IF(Y866=1,ROW()-5,"")</f>
        <v/>
      </c>
      <c r="B866" s="72" t="n"/>
      <c r="C866" s="71" t="str">
        <f>IF(ISNUMBER(B866),CHOOSE(WEEKDAY(B866,2),"Lun","Mar","Mié","Jue","Vie","Sáb","Dom"),"")</f>
        <v/>
      </c>
      <c r="D866" s="73" t="n"/>
      <c r="E866" s="74" t="n"/>
      <c r="F866" s="74" t="n"/>
      <c r="G866" s="74" t="n"/>
      <c r="H866" s="75" t="n"/>
      <c r="I866" s="75" t="n"/>
      <c r="J866" s="76" t="n"/>
      <c r="K866" s="77" t="str">
        <f>IF(AB866=1,ROUND(AG866/60,4),"")</f>
        <v/>
      </c>
      <c r="L866" s="77" t="str">
        <f>IF(BD866=1,ROUND(AP866/60,4),"")</f>
        <v/>
      </c>
      <c r="M866" s="77" t="str">
        <f>IF(BD866=1,ROUND(AQ866/60,4),"")</f>
        <v/>
      </c>
      <c r="N866" s="71" t="str">
        <f>IF(AND(D866="proMX",AB866=1),ROUND(AG866/CFG_BLK,2),"")</f>
        <v/>
      </c>
      <c r="O866" s="77" t="str">
        <f>IF(D866="proMX",IF(BD866=1,ROUND(AG866/60,4),0),"")</f>
        <v/>
      </c>
      <c r="P866" s="78" t="str">
        <f>IF(Y866=0,"",IF(BD866=1,"OK",IF(D866="proMX","Revisar bloques: ","Revisar: ")&amp;BC866))</f>
        <v/>
      </c>
      <c r="Q866" s="78" t="str">
        <f>IF(NOT(ISNUMBER(B866)),"",IF(COUNTIFS(FER_F,INT(B866))&gt;0,"Feriado"&amp;IF(AH866=1," (laborable)"," (no laborable)"),IF(AH866=1,"Laborable",IF(WEEKDAY(B866,2)&gt;5,"Fin de semana","No laborable"))))</f>
        <v/>
      </c>
      <c r="R866" s="73" t="n"/>
      <c r="S866" s="72" t="n"/>
      <c r="T866" s="72" t="n"/>
      <c r="U866" s="74" t="n"/>
      <c r="V866" s="79" t="str">
        <f>IF(AND(D866="proMX",OR(R866="Submitted",R866="Recall Requested"),ISNUMBER(S866)),CFG_TODAY-INT(S866),"")</f>
        <v/>
      </c>
      <c r="W866" s="78" t="str">
        <f>IF(BD866=0,"",IF(BA866&gt;0,"⚠ Se superpone con un registro de la otra empresa",IF(D866="Malcolm",IF(COUNTA(R866,S866,T866)&gt;0,"Estado/fechas proMX se ignoran en Malcolm",""),IF(BF866="Cancelled","Cancelado: excluido de totales",IF(R866="","Sin estado: se trata como Draft",IF(BF866="Submitted",IF(ISNUMBER(V866),IF(V866&gt;CFG_MAXD,"⚠ "&amp;V866&amp;" días en Submitted (máx. "&amp;CFG_MAXD&amp;")",""),"Falta fecha de envío"),IF(BF866="Returned","⚠ Devuelto: corregir y reenviar",IF(BF866="Recall Requested","Retirada solicitada: pendiente",IF(AND(BF866="Approved",NOT(ISNUMBER(T866))),"Falta fecha de aprobación",IF(AND(ISNUMBER(S866),ISNUMBER(T866),T866&lt;S866),"Aprobación anterior al envío","")))))))))</f>
        <v/>
      </c>
      <c r="Y866" s="80">
        <f>IF(COUNTA(B866,D866,E866,F866,G866,H866,I866,J866,R866,S866,T866)&gt;0,1,0)</f>
        <v>0</v>
      </c>
      <c r="Z866" s="80" t="str">
        <f>IF(AND(ISNUMBER(H866),H866&gt;=0,H866&lt;1),ROUND(H866*1440,0),"")</f>
        <v/>
      </c>
      <c r="AA866" s="80" t="str">
        <f>IF(AND(ISNUMBER(I866),I866&gt;=0,I866&lt;1),ROUND(I866*1440,0),"")</f>
        <v/>
      </c>
      <c r="AB866" s="80">
        <f>IF(AND(ISNUMBER(B866),D866&lt;&gt;"",ISNUMBER(Z866),ISNUMBER(AA866)),IF(Z866=AA866,0,1),0)</f>
        <v>0</v>
      </c>
      <c r="AC866" s="80">
        <f>IF(AB866=1,IF(AA866&lt;Z866,1,0),0)</f>
        <v>0</v>
      </c>
      <c r="AD866" s="80">
        <f>IF(AB866=1,IF(AC866=1,1440-Z866+AA866,AA866-Z866),0)</f>
        <v>0</v>
      </c>
      <c r="AE866" s="80">
        <f>IF(J866="",0,IF(ISNUMBER(J866),J866,-1))</f>
        <v>0</v>
      </c>
      <c r="AF866" s="80">
        <f>MIN(MAX(0,AE866),AD866)</f>
        <v>0</v>
      </c>
      <c r="AG866" s="80">
        <f>MAX(0,AD866-MAX(0,AE866))</f>
        <v>0</v>
      </c>
      <c r="AH866" s="80">
        <f>IF(ISNUMBER(B866),IF(AND(INDEX(CFG_WDAYS,WEEKDAY(INT(B866),2))="Sí",IF(D866="proMX",COUNTIFS(FER_F,INT(B866),FER_NLP,"Sí"),COUNTIFS(FER_F,INT(B866),FER_NLM,"Sí"))=0),1,0),0)</f>
        <v>0</v>
      </c>
      <c r="AI866" s="80">
        <f>IF(AC866=1,IF(AND(INDEX(CFG_WDAYS,WEEKDAY(INT(B866)+1,2))="Sí",IF(D866="proMX",COUNTIFS(FER_F,INT(B866)+1,FER_NLP,"Sí"),COUNTIFS(FER_F,INT(B866)+1,FER_NLM,"Sí"))=0),1,0),0)</f>
        <v>0</v>
      </c>
      <c r="AJ866" s="80">
        <f>IF(AC866=1,1440-Z866,AD866)</f>
        <v>0</v>
      </c>
      <c r="AK866" s="80">
        <f>IF(AND(AB866=1,AH866=1),MAX(0,MIN(IF(AC866=1,1440,AA866),CFG_WEM)-MAX(Z866,CFG_WSM)),0)</f>
        <v>0</v>
      </c>
      <c r="AL866" s="80">
        <f>IF(AND(AC866=1,AI866=1),MAX(0,MIN(AA866,CFG_WEM)-CFG_WSM),0)</f>
        <v>0</v>
      </c>
      <c r="AM866" s="80">
        <f>AK866+AL866</f>
        <v>0</v>
      </c>
      <c r="AN866" s="80">
        <f>IF(CFG_BRK="Proporcional",IF(AD866=0,0,AF866*AM866/AD866),IF(CFG_BRK="Extras primero",MIN(AM866,MAX(0,AF866-(AD866-AM866))),MIN(AF866,AM866)))</f>
        <v>0</v>
      </c>
      <c r="AO866" s="80">
        <f>AF866-AN866</f>
        <v>0</v>
      </c>
      <c r="AP866" s="80">
        <f>AM866-AN866</f>
        <v>0</v>
      </c>
      <c r="AQ866" s="80">
        <f>AD866-AM866-AO866</f>
        <v>0</v>
      </c>
      <c r="AR866" s="80">
        <f>IF(AM866=0,0,AK866-AN866*AK866/AM866)</f>
        <v>0</v>
      </c>
      <c r="AS866" s="80">
        <f>IF(AD866-AM866=0,0,(AJ866-AK866)-AO866*(AJ866-AK866)/(AD866-AM866))</f>
        <v>0</v>
      </c>
      <c r="AT866" s="80" t="str">
        <f>IF(AC866=1,INT(B866)+1,"")</f>
        <v/>
      </c>
      <c r="AU866" s="80">
        <f>IF(AND(D866="proMX",R866="Cancelled"),0,1)</f>
        <v>1</v>
      </c>
      <c r="AV866" s="80">
        <f>IF(AND(AB866=1,AU866=1),IF(COUNTIFS($D$5:D865,D866,$B$5:B865,B866,$Z$5:Z865,Z866,$AA$5:AA865,AA866,$F$5:F865,F866&amp;"",$AU$5:AU865,1)&gt;0,1,0),0)</f>
        <v>0</v>
      </c>
      <c r="AW866" s="80" t="str">
        <f>IF(AB866=1,INT(B866)*1440+Z866,"")</f>
        <v/>
      </c>
      <c r="AX866" s="80" t="str">
        <f>IF(AB866=1,AW866+AD866,"")</f>
        <v/>
      </c>
      <c r="AY866" s="80">
        <f>IF(AND(AB866=1,AV866=0,AU866=1),1,0)</f>
        <v>0</v>
      </c>
      <c r="AZ866" s="80">
        <f>IF(AY866=1,COUNTIFS(R_Emp,D866,R_SAbs,"&lt;"&amp;AX866,R_EAbs,"&gt;"&amp;AW866,R_OKey,1)-1,0)</f>
        <v>0</v>
      </c>
      <c r="BA866" s="80">
        <f>IF(AY866=1,COUNTIFS(R_Emp,"&lt;&gt;"&amp;D866,R_SAbs,"&lt;"&amp;AX866,R_EAbs,"&gt;"&amp;AW866,R_OKey,1),0)</f>
        <v>0</v>
      </c>
      <c r="BB866" s="80">
        <f>IF(AND(AB866=1,D866="proMX"),IF(AND(MOD(Z866,CFG_BLK)=0,MOD(AA866,CFG_BLK)=0,MOD(AG866,CFG_BLK)=0,AG866&gt;0),1,0),1)</f>
        <v>1</v>
      </c>
      <c r="BC866" s="80" t="str">
        <f>IF(Y866=0,"",IF(NOT(ISNUMBER(B866)),"Falta fecha o fecha inválida",IF(D866="","Falta empresa",IF(AND(D866&lt;&gt;"Malcolm",D866&lt;&gt;"proMX"),"Empresa inválida",IF(OR(INT(B866)&lt;CFG_PSTART,INT(B866)&gt;CFG_PEND),"Fecha fuera del período",IF(OR(NOT(ISNUMBER(Z866)),NOT(ISNUMBER(AA866))),"Falta hora inicio/fin o formato inválido",IF(AB866=0,"Hora inicio = hora fin",IF(AE866&lt;0,"Descanso inválido",IF(AE866&gt;=AD866,"Descanso ≥ duración",IF(AV866=1,"Registro duplicado",IF(AZ866&gt;0,"Se superpone con otro registro "&amp;D866,IF(BB866=0,"inicio, fin y duración neta deben ser múltiplos de "&amp;CFG_BLK&amp;" min",""))))))))))))</f>
        <v/>
      </c>
      <c r="BD866" s="80">
        <f>IF(AND(Y866=1,BC866=""),1,0)</f>
        <v>0</v>
      </c>
      <c r="BE866" s="80">
        <f>IF(AND(BD866=1,AU866=1),1,0)</f>
        <v>0</v>
      </c>
      <c r="BF866" s="80" t="str">
        <f>IF(AND(D866="proMX",BD866=1),IF(R866="","Draft",R866),"")</f>
        <v/>
      </c>
      <c r="BG866" s="80">
        <f>IF(BD866=1,ROUND(AG866/60,6),0)</f>
        <v>0</v>
      </c>
      <c r="BH866" s="80">
        <f>IF(BE866=1,ROUND(AG866/60,6),0)</f>
        <v>0</v>
      </c>
      <c r="BI866" s="80">
        <f>IF(BE866=1,ROUND(AP866/60,6),0)</f>
        <v>0</v>
      </c>
      <c r="BJ866" s="80">
        <f>IF(BE866=1,ROUND(AQ866/60,6),0)</f>
        <v>0</v>
      </c>
      <c r="BK866" s="80">
        <f>IF(BE866=1,ROUND((AR866+AS866)/60,6),0)</f>
        <v>0</v>
      </c>
      <c r="BL866" s="80">
        <f>ROUND(BH866-BK866,6)</f>
        <v>0</v>
      </c>
      <c r="BM866" s="80">
        <f>IF(BE866=1,ROUND(AR866/60,6),0)</f>
        <v>0</v>
      </c>
      <c r="BN866" s="80">
        <f>ROUND(BI866-BM866,6)</f>
        <v>0</v>
      </c>
      <c r="BO866" s="80">
        <f>IF(BE866=1,ROUND(AS866/60,6),0)</f>
        <v>0</v>
      </c>
      <c r="BP866" s="80">
        <f>ROUND(BJ866-BO866,6)</f>
        <v>0</v>
      </c>
      <c r="BQ866" s="80">
        <f>IF(BE866=1,AW866,0)</f>
        <v>0</v>
      </c>
      <c r="BR866" s="80">
        <f>IF(BE866=1,AX866,0)</f>
        <v>0</v>
      </c>
      <c r="BS866" s="80">
        <f>IF(AND(BE866=1,D866="Malcolm",BA866&gt;0),MIN(BH866,SUMPRODUCT((R_Emp="proMX")*(R_EN&gt;0)*((R_EN-(R_EN&gt;BR866)*(R_EN-BR866))&gt;(R_SN+(R_SN&lt;BQ866)*(BQ866-R_SN)))*((R_EN-(R_EN&gt;BR866)*(R_EN-BR866))-(R_SN+(R_SN&lt;BQ866)*(BQ866-R_SN))))/60),0)</f>
        <v>0</v>
      </c>
      <c r="BT866" s="80">
        <f>IF(AND(BE866=1,D866="proMX"),ROUND(BI866*CFG_RATE+BJ866*CFG_OTRATE,6),0)</f>
        <v>0</v>
      </c>
      <c r="BU866" s="80">
        <f>IF(AND(BD866=1,D866="proMX"),ROUND(AG866/CFG_BLK,6),0)</f>
        <v>0</v>
      </c>
      <c r="BV866" s="80" t="str">
        <f>IF(BF866="Approved",IF(ISNUMBER(T866),INT(T866),INT(B866)),"")</f>
        <v/>
      </c>
      <c r="BW866" s="80">
        <f>IF(ISNUMBER(B866),IF(DB_MON="Todos",1,IF(AND(INT(B866)&gt;=DB_MS,INT(B866)&lt;=DB_ME),1,0)),0)</f>
        <v>0</v>
      </c>
      <c r="BX866" s="80">
        <f>IF(DB_PROJ="Todos",1,IF(E866&amp;""=DB_PROJ&amp;"",1,0))</f>
        <v>1</v>
      </c>
      <c r="BY866" s="80">
        <f>BW866*BX866</f>
        <v>0</v>
      </c>
      <c r="BZ866" s="80" t="str">
        <f>IF(Y866=1,F866&amp;IF(AND(F866&amp;""&lt;&gt;"",E866&amp;""&lt;&gt;"")," · ","")&amp;E866,"")</f>
        <v/>
      </c>
      <c r="CA866" s="80" t="str">
        <f>IF(AND(BD866=1,E866&amp;""&lt;&gt;""),IF(COUNTIFS($E$5:E865,E866,$BD$5:BD865,1)=0,MAX($CA$5:CA865)+1,""),"")</f>
        <v/>
      </c>
      <c r="CB866" s="80" t="str">
        <f>IF(AND(BE866=1,D866="Malcolm",E866&amp;""&lt;&gt;""),IF(COUNTIFS($D$5:D865,"Malcolm",$E$5:E865,E866,$BE$5:BE865,1)=0,MAX($CB$5:CB865)+1,""),"")</f>
        <v/>
      </c>
      <c r="CC866" s="80" t="str">
        <f>IF(AND(BD866=1,D866="proMX",E866&amp;""&lt;&gt;""),IF(COUNTIFS($D$5:D865,"proMX",$E$5:E865,E866,$BD$5:BD865,1)=0,MAX($CC$5:CC865)+1,""),"")</f>
        <v/>
      </c>
      <c r="CD866" s="80" t="str">
        <f>IF(AND(BE866=1,D866="Malcolm",F866&amp;""&lt;&gt;""),IF(COUNTIFS($D$5:D865,"Malcolm",$F$5:F865,F866,$BE$5:BE865,1)=0,MAX($CD$5:CD865)+1,""),"")</f>
        <v/>
      </c>
      <c r="CE866" s="80" t="str">
        <f>IF(AND(BD866=1,D866="proMX",F866&amp;""&lt;&gt;""),IF(COUNTIFS($D$5:D865,"proMX",$F$5:F865,F866,$BD$5:BD865,1)=0,MAX($CE$5:CE865)+1,""),"")</f>
        <v/>
      </c>
      <c r="CF866" s="80" t="str">
        <f>IF(AND(D866="proMX",BD866=1),IF(OR(BF866="Draft",BF866="Submitted",BF866="Returned",BF866="Recall Requested"),MAX($CF$5:CF865)+1,""),"")</f>
        <v/>
      </c>
      <c r="CG866" s="80">
        <f>IF(BD866=0,0,IF(D866="Malcolm",1,MATCH(BF866,{"Draft","Submitted","Approved","Returned","Recall Requested","Cancelled"},0)+1))</f>
        <v>0</v>
      </c>
      <c r="CH866" s="80">
        <f>IF(AND(BF866="Submitted",ISNUMBER(V866)),IF(V866&gt;CFG_MAXD,1,0),0)</f>
        <v>0</v>
      </c>
    </row>
    <row r="867">
      <c r="A867" s="71" t="str">
        <f>IF(Y867=1,ROW()-5,"")</f>
        <v/>
      </c>
      <c r="B867" s="72" t="n"/>
      <c r="C867" s="71" t="str">
        <f>IF(ISNUMBER(B867),CHOOSE(WEEKDAY(B867,2),"Lun","Mar","Mié","Jue","Vie","Sáb","Dom"),"")</f>
        <v/>
      </c>
      <c r="D867" s="73" t="n"/>
      <c r="E867" s="74" t="n"/>
      <c r="F867" s="74" t="n"/>
      <c r="G867" s="74" t="n"/>
      <c r="H867" s="75" t="n"/>
      <c r="I867" s="75" t="n"/>
      <c r="J867" s="76" t="n"/>
      <c r="K867" s="77" t="str">
        <f>IF(AB867=1,ROUND(AG867/60,4),"")</f>
        <v/>
      </c>
      <c r="L867" s="77" t="str">
        <f>IF(BD867=1,ROUND(AP867/60,4),"")</f>
        <v/>
      </c>
      <c r="M867" s="77" t="str">
        <f>IF(BD867=1,ROUND(AQ867/60,4),"")</f>
        <v/>
      </c>
      <c r="N867" s="71" t="str">
        <f>IF(AND(D867="proMX",AB867=1),ROUND(AG867/CFG_BLK,2),"")</f>
        <v/>
      </c>
      <c r="O867" s="77" t="str">
        <f>IF(D867="proMX",IF(BD867=1,ROUND(AG867/60,4),0),"")</f>
        <v/>
      </c>
      <c r="P867" s="78" t="str">
        <f>IF(Y867=0,"",IF(BD867=1,"OK",IF(D867="proMX","Revisar bloques: ","Revisar: ")&amp;BC867))</f>
        <v/>
      </c>
      <c r="Q867" s="78" t="str">
        <f>IF(NOT(ISNUMBER(B867)),"",IF(COUNTIFS(FER_F,INT(B867))&gt;0,"Feriado"&amp;IF(AH867=1," (laborable)"," (no laborable)"),IF(AH867=1,"Laborable",IF(WEEKDAY(B867,2)&gt;5,"Fin de semana","No laborable"))))</f>
        <v/>
      </c>
      <c r="R867" s="73" t="n"/>
      <c r="S867" s="72" t="n"/>
      <c r="T867" s="72" t="n"/>
      <c r="U867" s="74" t="n"/>
      <c r="V867" s="79" t="str">
        <f>IF(AND(D867="proMX",OR(R867="Submitted",R867="Recall Requested"),ISNUMBER(S867)),CFG_TODAY-INT(S867),"")</f>
        <v/>
      </c>
      <c r="W867" s="78" t="str">
        <f>IF(BD867=0,"",IF(BA867&gt;0,"⚠ Se superpone con un registro de la otra empresa",IF(D867="Malcolm",IF(COUNTA(R867,S867,T867)&gt;0,"Estado/fechas proMX se ignoran en Malcolm",""),IF(BF867="Cancelled","Cancelado: excluido de totales",IF(R867="","Sin estado: se trata como Draft",IF(BF867="Submitted",IF(ISNUMBER(V867),IF(V867&gt;CFG_MAXD,"⚠ "&amp;V867&amp;" días en Submitted (máx. "&amp;CFG_MAXD&amp;")",""),"Falta fecha de envío"),IF(BF867="Returned","⚠ Devuelto: corregir y reenviar",IF(BF867="Recall Requested","Retirada solicitada: pendiente",IF(AND(BF867="Approved",NOT(ISNUMBER(T867))),"Falta fecha de aprobación",IF(AND(ISNUMBER(S867),ISNUMBER(T867),T867&lt;S867),"Aprobación anterior al envío","")))))))))</f>
        <v/>
      </c>
      <c r="Y867" s="80">
        <f>IF(COUNTA(B867,D867,E867,F867,G867,H867,I867,J867,R867,S867,T867)&gt;0,1,0)</f>
        <v>0</v>
      </c>
      <c r="Z867" s="80" t="str">
        <f>IF(AND(ISNUMBER(H867),H867&gt;=0,H867&lt;1),ROUND(H867*1440,0),"")</f>
        <v/>
      </c>
      <c r="AA867" s="80" t="str">
        <f>IF(AND(ISNUMBER(I867),I867&gt;=0,I867&lt;1),ROUND(I867*1440,0),"")</f>
        <v/>
      </c>
      <c r="AB867" s="80">
        <f>IF(AND(ISNUMBER(B867),D867&lt;&gt;"",ISNUMBER(Z867),ISNUMBER(AA867)),IF(Z867=AA867,0,1),0)</f>
        <v>0</v>
      </c>
      <c r="AC867" s="80">
        <f>IF(AB867=1,IF(AA867&lt;Z867,1,0),0)</f>
        <v>0</v>
      </c>
      <c r="AD867" s="80">
        <f>IF(AB867=1,IF(AC867=1,1440-Z867+AA867,AA867-Z867),0)</f>
        <v>0</v>
      </c>
      <c r="AE867" s="80">
        <f>IF(J867="",0,IF(ISNUMBER(J867),J867,-1))</f>
        <v>0</v>
      </c>
      <c r="AF867" s="80">
        <f>MIN(MAX(0,AE867),AD867)</f>
        <v>0</v>
      </c>
      <c r="AG867" s="80">
        <f>MAX(0,AD867-MAX(0,AE867))</f>
        <v>0</v>
      </c>
      <c r="AH867" s="80">
        <f>IF(ISNUMBER(B867),IF(AND(INDEX(CFG_WDAYS,WEEKDAY(INT(B867),2))="Sí",IF(D867="proMX",COUNTIFS(FER_F,INT(B867),FER_NLP,"Sí"),COUNTIFS(FER_F,INT(B867),FER_NLM,"Sí"))=0),1,0),0)</f>
        <v>0</v>
      </c>
      <c r="AI867" s="80">
        <f>IF(AC867=1,IF(AND(INDEX(CFG_WDAYS,WEEKDAY(INT(B867)+1,2))="Sí",IF(D867="proMX",COUNTIFS(FER_F,INT(B867)+1,FER_NLP,"Sí"),COUNTIFS(FER_F,INT(B867)+1,FER_NLM,"Sí"))=0),1,0),0)</f>
        <v>0</v>
      </c>
      <c r="AJ867" s="80">
        <f>IF(AC867=1,1440-Z867,AD867)</f>
        <v>0</v>
      </c>
      <c r="AK867" s="80">
        <f>IF(AND(AB867=1,AH867=1),MAX(0,MIN(IF(AC867=1,1440,AA867),CFG_WEM)-MAX(Z867,CFG_WSM)),0)</f>
        <v>0</v>
      </c>
      <c r="AL867" s="80">
        <f>IF(AND(AC867=1,AI867=1),MAX(0,MIN(AA867,CFG_WEM)-CFG_WSM),0)</f>
        <v>0</v>
      </c>
      <c r="AM867" s="80">
        <f>AK867+AL867</f>
        <v>0</v>
      </c>
      <c r="AN867" s="80">
        <f>IF(CFG_BRK="Proporcional",IF(AD867=0,0,AF867*AM867/AD867),IF(CFG_BRK="Extras primero",MIN(AM867,MAX(0,AF867-(AD867-AM867))),MIN(AF867,AM867)))</f>
        <v>0</v>
      </c>
      <c r="AO867" s="80">
        <f>AF867-AN867</f>
        <v>0</v>
      </c>
      <c r="AP867" s="80">
        <f>AM867-AN867</f>
        <v>0</v>
      </c>
      <c r="AQ867" s="80">
        <f>AD867-AM867-AO867</f>
        <v>0</v>
      </c>
      <c r="AR867" s="80">
        <f>IF(AM867=0,0,AK867-AN867*AK867/AM867)</f>
        <v>0</v>
      </c>
      <c r="AS867" s="80">
        <f>IF(AD867-AM867=0,0,(AJ867-AK867)-AO867*(AJ867-AK867)/(AD867-AM867))</f>
        <v>0</v>
      </c>
      <c r="AT867" s="80" t="str">
        <f>IF(AC867=1,INT(B867)+1,"")</f>
        <v/>
      </c>
      <c r="AU867" s="80">
        <f>IF(AND(D867="proMX",R867="Cancelled"),0,1)</f>
        <v>1</v>
      </c>
      <c r="AV867" s="80">
        <f>IF(AND(AB867=1,AU867=1),IF(COUNTIFS($D$5:D866,D867,$B$5:B866,B867,$Z$5:Z866,Z867,$AA$5:AA866,AA867,$F$5:F866,F867&amp;"",$AU$5:AU866,1)&gt;0,1,0),0)</f>
        <v>0</v>
      </c>
      <c r="AW867" s="80" t="str">
        <f>IF(AB867=1,INT(B867)*1440+Z867,"")</f>
        <v/>
      </c>
      <c r="AX867" s="80" t="str">
        <f>IF(AB867=1,AW867+AD867,"")</f>
        <v/>
      </c>
      <c r="AY867" s="80">
        <f>IF(AND(AB867=1,AV867=0,AU867=1),1,0)</f>
        <v>0</v>
      </c>
      <c r="AZ867" s="80">
        <f>IF(AY867=1,COUNTIFS(R_Emp,D867,R_SAbs,"&lt;"&amp;AX867,R_EAbs,"&gt;"&amp;AW867,R_OKey,1)-1,0)</f>
        <v>0</v>
      </c>
      <c r="BA867" s="80">
        <f>IF(AY867=1,COUNTIFS(R_Emp,"&lt;&gt;"&amp;D867,R_SAbs,"&lt;"&amp;AX867,R_EAbs,"&gt;"&amp;AW867,R_OKey,1),0)</f>
        <v>0</v>
      </c>
      <c r="BB867" s="80">
        <f>IF(AND(AB867=1,D867="proMX"),IF(AND(MOD(Z867,CFG_BLK)=0,MOD(AA867,CFG_BLK)=0,MOD(AG867,CFG_BLK)=0,AG867&gt;0),1,0),1)</f>
        <v>1</v>
      </c>
      <c r="BC867" s="80" t="str">
        <f>IF(Y867=0,"",IF(NOT(ISNUMBER(B867)),"Falta fecha o fecha inválida",IF(D867="","Falta empresa",IF(AND(D867&lt;&gt;"Malcolm",D867&lt;&gt;"proMX"),"Empresa inválida",IF(OR(INT(B867)&lt;CFG_PSTART,INT(B867)&gt;CFG_PEND),"Fecha fuera del período",IF(OR(NOT(ISNUMBER(Z867)),NOT(ISNUMBER(AA867))),"Falta hora inicio/fin o formato inválido",IF(AB867=0,"Hora inicio = hora fin",IF(AE867&lt;0,"Descanso inválido",IF(AE867&gt;=AD867,"Descanso ≥ duración",IF(AV867=1,"Registro duplicado",IF(AZ867&gt;0,"Se superpone con otro registro "&amp;D867,IF(BB867=0,"inicio, fin y duración neta deben ser múltiplos de "&amp;CFG_BLK&amp;" min",""))))))))))))</f>
        <v/>
      </c>
      <c r="BD867" s="80">
        <f>IF(AND(Y867=1,BC867=""),1,0)</f>
        <v>0</v>
      </c>
      <c r="BE867" s="80">
        <f>IF(AND(BD867=1,AU867=1),1,0)</f>
        <v>0</v>
      </c>
      <c r="BF867" s="80" t="str">
        <f>IF(AND(D867="proMX",BD867=1),IF(R867="","Draft",R867),"")</f>
        <v/>
      </c>
      <c r="BG867" s="80">
        <f>IF(BD867=1,ROUND(AG867/60,6),0)</f>
        <v>0</v>
      </c>
      <c r="BH867" s="80">
        <f>IF(BE867=1,ROUND(AG867/60,6),0)</f>
        <v>0</v>
      </c>
      <c r="BI867" s="80">
        <f>IF(BE867=1,ROUND(AP867/60,6),0)</f>
        <v>0</v>
      </c>
      <c r="BJ867" s="80">
        <f>IF(BE867=1,ROUND(AQ867/60,6),0)</f>
        <v>0</v>
      </c>
      <c r="BK867" s="80">
        <f>IF(BE867=1,ROUND((AR867+AS867)/60,6),0)</f>
        <v>0</v>
      </c>
      <c r="BL867" s="80">
        <f>ROUND(BH867-BK867,6)</f>
        <v>0</v>
      </c>
      <c r="BM867" s="80">
        <f>IF(BE867=1,ROUND(AR867/60,6),0)</f>
        <v>0</v>
      </c>
      <c r="BN867" s="80">
        <f>ROUND(BI867-BM867,6)</f>
        <v>0</v>
      </c>
      <c r="BO867" s="80">
        <f>IF(BE867=1,ROUND(AS867/60,6),0)</f>
        <v>0</v>
      </c>
      <c r="BP867" s="80">
        <f>ROUND(BJ867-BO867,6)</f>
        <v>0</v>
      </c>
      <c r="BQ867" s="80">
        <f>IF(BE867=1,AW867,0)</f>
        <v>0</v>
      </c>
      <c r="BR867" s="80">
        <f>IF(BE867=1,AX867,0)</f>
        <v>0</v>
      </c>
      <c r="BS867" s="80">
        <f>IF(AND(BE867=1,D867="Malcolm",BA867&gt;0),MIN(BH867,SUMPRODUCT((R_Emp="proMX")*(R_EN&gt;0)*((R_EN-(R_EN&gt;BR867)*(R_EN-BR867))&gt;(R_SN+(R_SN&lt;BQ867)*(BQ867-R_SN)))*((R_EN-(R_EN&gt;BR867)*(R_EN-BR867))-(R_SN+(R_SN&lt;BQ867)*(BQ867-R_SN))))/60),0)</f>
        <v>0</v>
      </c>
      <c r="BT867" s="80">
        <f>IF(AND(BE867=1,D867="proMX"),ROUND(BI867*CFG_RATE+BJ867*CFG_OTRATE,6),0)</f>
        <v>0</v>
      </c>
      <c r="BU867" s="80">
        <f>IF(AND(BD867=1,D867="proMX"),ROUND(AG867/CFG_BLK,6),0)</f>
        <v>0</v>
      </c>
      <c r="BV867" s="80" t="str">
        <f>IF(BF867="Approved",IF(ISNUMBER(T867),INT(T867),INT(B867)),"")</f>
        <v/>
      </c>
      <c r="BW867" s="80">
        <f>IF(ISNUMBER(B867),IF(DB_MON="Todos",1,IF(AND(INT(B867)&gt;=DB_MS,INT(B867)&lt;=DB_ME),1,0)),0)</f>
        <v>0</v>
      </c>
      <c r="BX867" s="80">
        <f>IF(DB_PROJ="Todos",1,IF(E867&amp;""=DB_PROJ&amp;"",1,0))</f>
        <v>1</v>
      </c>
      <c r="BY867" s="80">
        <f>BW867*BX867</f>
        <v>0</v>
      </c>
      <c r="BZ867" s="80" t="str">
        <f>IF(Y867=1,F867&amp;IF(AND(F867&amp;""&lt;&gt;"",E867&amp;""&lt;&gt;"")," · ","")&amp;E867,"")</f>
        <v/>
      </c>
      <c r="CA867" s="80" t="str">
        <f>IF(AND(BD867=1,E867&amp;""&lt;&gt;""),IF(COUNTIFS($E$5:E866,E867,$BD$5:BD866,1)=0,MAX($CA$5:CA866)+1,""),"")</f>
        <v/>
      </c>
      <c r="CB867" s="80" t="str">
        <f>IF(AND(BE867=1,D867="Malcolm",E867&amp;""&lt;&gt;""),IF(COUNTIFS($D$5:D866,"Malcolm",$E$5:E866,E867,$BE$5:BE866,1)=0,MAX($CB$5:CB866)+1,""),"")</f>
        <v/>
      </c>
      <c r="CC867" s="80" t="str">
        <f>IF(AND(BD867=1,D867="proMX",E867&amp;""&lt;&gt;""),IF(COUNTIFS($D$5:D866,"proMX",$E$5:E866,E867,$BD$5:BD866,1)=0,MAX($CC$5:CC866)+1,""),"")</f>
        <v/>
      </c>
      <c r="CD867" s="80" t="str">
        <f>IF(AND(BE867=1,D867="Malcolm",F867&amp;""&lt;&gt;""),IF(COUNTIFS($D$5:D866,"Malcolm",$F$5:F866,F867,$BE$5:BE866,1)=0,MAX($CD$5:CD866)+1,""),"")</f>
        <v/>
      </c>
      <c r="CE867" s="80" t="str">
        <f>IF(AND(BD867=1,D867="proMX",F867&amp;""&lt;&gt;""),IF(COUNTIFS($D$5:D866,"proMX",$F$5:F866,F867,$BD$5:BD866,1)=0,MAX($CE$5:CE866)+1,""),"")</f>
        <v/>
      </c>
      <c r="CF867" s="80" t="str">
        <f>IF(AND(D867="proMX",BD867=1),IF(OR(BF867="Draft",BF867="Submitted",BF867="Returned",BF867="Recall Requested"),MAX($CF$5:CF866)+1,""),"")</f>
        <v/>
      </c>
      <c r="CG867" s="80">
        <f>IF(BD867=0,0,IF(D867="Malcolm",1,MATCH(BF867,{"Draft","Submitted","Approved","Returned","Recall Requested","Cancelled"},0)+1))</f>
        <v>0</v>
      </c>
      <c r="CH867" s="80">
        <f>IF(AND(BF867="Submitted",ISNUMBER(V867)),IF(V867&gt;CFG_MAXD,1,0),0)</f>
        <v>0</v>
      </c>
    </row>
    <row r="868">
      <c r="A868" s="71" t="str">
        <f>IF(Y868=1,ROW()-5,"")</f>
        <v/>
      </c>
      <c r="B868" s="72" t="n"/>
      <c r="C868" s="71" t="str">
        <f>IF(ISNUMBER(B868),CHOOSE(WEEKDAY(B868,2),"Lun","Mar","Mié","Jue","Vie","Sáb","Dom"),"")</f>
        <v/>
      </c>
      <c r="D868" s="73" t="n"/>
      <c r="E868" s="74" t="n"/>
      <c r="F868" s="74" t="n"/>
      <c r="G868" s="74" t="n"/>
      <c r="H868" s="75" t="n"/>
      <c r="I868" s="75" t="n"/>
      <c r="J868" s="76" t="n"/>
      <c r="K868" s="77" t="str">
        <f>IF(AB868=1,ROUND(AG868/60,4),"")</f>
        <v/>
      </c>
      <c r="L868" s="77" t="str">
        <f>IF(BD868=1,ROUND(AP868/60,4),"")</f>
        <v/>
      </c>
      <c r="M868" s="77" t="str">
        <f>IF(BD868=1,ROUND(AQ868/60,4),"")</f>
        <v/>
      </c>
      <c r="N868" s="71" t="str">
        <f>IF(AND(D868="proMX",AB868=1),ROUND(AG868/CFG_BLK,2),"")</f>
        <v/>
      </c>
      <c r="O868" s="77" t="str">
        <f>IF(D868="proMX",IF(BD868=1,ROUND(AG868/60,4),0),"")</f>
        <v/>
      </c>
      <c r="P868" s="78" t="str">
        <f>IF(Y868=0,"",IF(BD868=1,"OK",IF(D868="proMX","Revisar bloques: ","Revisar: ")&amp;BC868))</f>
        <v/>
      </c>
      <c r="Q868" s="78" t="str">
        <f>IF(NOT(ISNUMBER(B868)),"",IF(COUNTIFS(FER_F,INT(B868))&gt;0,"Feriado"&amp;IF(AH868=1," (laborable)"," (no laborable)"),IF(AH868=1,"Laborable",IF(WEEKDAY(B868,2)&gt;5,"Fin de semana","No laborable"))))</f>
        <v/>
      </c>
      <c r="R868" s="73" t="n"/>
      <c r="S868" s="72" t="n"/>
      <c r="T868" s="72" t="n"/>
      <c r="U868" s="74" t="n"/>
      <c r="V868" s="79" t="str">
        <f>IF(AND(D868="proMX",OR(R868="Submitted",R868="Recall Requested"),ISNUMBER(S868)),CFG_TODAY-INT(S868),"")</f>
        <v/>
      </c>
      <c r="W868" s="78" t="str">
        <f>IF(BD868=0,"",IF(BA868&gt;0,"⚠ Se superpone con un registro de la otra empresa",IF(D868="Malcolm",IF(COUNTA(R868,S868,T868)&gt;0,"Estado/fechas proMX se ignoran en Malcolm",""),IF(BF868="Cancelled","Cancelado: excluido de totales",IF(R868="","Sin estado: se trata como Draft",IF(BF868="Submitted",IF(ISNUMBER(V868),IF(V868&gt;CFG_MAXD,"⚠ "&amp;V868&amp;" días en Submitted (máx. "&amp;CFG_MAXD&amp;")",""),"Falta fecha de envío"),IF(BF868="Returned","⚠ Devuelto: corregir y reenviar",IF(BF868="Recall Requested","Retirada solicitada: pendiente",IF(AND(BF868="Approved",NOT(ISNUMBER(T868))),"Falta fecha de aprobación",IF(AND(ISNUMBER(S868),ISNUMBER(T868),T868&lt;S868),"Aprobación anterior al envío","")))))))))</f>
        <v/>
      </c>
      <c r="Y868" s="80">
        <f>IF(COUNTA(B868,D868,E868,F868,G868,H868,I868,J868,R868,S868,T868)&gt;0,1,0)</f>
        <v>0</v>
      </c>
      <c r="Z868" s="80" t="str">
        <f>IF(AND(ISNUMBER(H868),H868&gt;=0,H868&lt;1),ROUND(H868*1440,0),"")</f>
        <v/>
      </c>
      <c r="AA868" s="80" t="str">
        <f>IF(AND(ISNUMBER(I868),I868&gt;=0,I868&lt;1),ROUND(I868*1440,0),"")</f>
        <v/>
      </c>
      <c r="AB868" s="80">
        <f>IF(AND(ISNUMBER(B868),D868&lt;&gt;"",ISNUMBER(Z868),ISNUMBER(AA868)),IF(Z868=AA868,0,1),0)</f>
        <v>0</v>
      </c>
      <c r="AC868" s="80">
        <f>IF(AB868=1,IF(AA868&lt;Z868,1,0),0)</f>
        <v>0</v>
      </c>
      <c r="AD868" s="80">
        <f>IF(AB868=1,IF(AC868=1,1440-Z868+AA868,AA868-Z868),0)</f>
        <v>0</v>
      </c>
      <c r="AE868" s="80">
        <f>IF(J868="",0,IF(ISNUMBER(J868),J868,-1))</f>
        <v>0</v>
      </c>
      <c r="AF868" s="80">
        <f>MIN(MAX(0,AE868),AD868)</f>
        <v>0</v>
      </c>
      <c r="AG868" s="80">
        <f>MAX(0,AD868-MAX(0,AE868))</f>
        <v>0</v>
      </c>
      <c r="AH868" s="80">
        <f>IF(ISNUMBER(B868),IF(AND(INDEX(CFG_WDAYS,WEEKDAY(INT(B868),2))="Sí",IF(D868="proMX",COUNTIFS(FER_F,INT(B868),FER_NLP,"Sí"),COUNTIFS(FER_F,INT(B868),FER_NLM,"Sí"))=0),1,0),0)</f>
        <v>0</v>
      </c>
      <c r="AI868" s="80">
        <f>IF(AC868=1,IF(AND(INDEX(CFG_WDAYS,WEEKDAY(INT(B868)+1,2))="Sí",IF(D868="proMX",COUNTIFS(FER_F,INT(B868)+1,FER_NLP,"Sí"),COUNTIFS(FER_F,INT(B868)+1,FER_NLM,"Sí"))=0),1,0),0)</f>
        <v>0</v>
      </c>
      <c r="AJ868" s="80">
        <f>IF(AC868=1,1440-Z868,AD868)</f>
        <v>0</v>
      </c>
      <c r="AK868" s="80">
        <f>IF(AND(AB868=1,AH868=1),MAX(0,MIN(IF(AC868=1,1440,AA868),CFG_WEM)-MAX(Z868,CFG_WSM)),0)</f>
        <v>0</v>
      </c>
      <c r="AL868" s="80">
        <f>IF(AND(AC868=1,AI868=1),MAX(0,MIN(AA868,CFG_WEM)-CFG_WSM),0)</f>
        <v>0</v>
      </c>
      <c r="AM868" s="80">
        <f>AK868+AL868</f>
        <v>0</v>
      </c>
      <c r="AN868" s="80">
        <f>IF(CFG_BRK="Proporcional",IF(AD868=0,0,AF868*AM868/AD868),IF(CFG_BRK="Extras primero",MIN(AM868,MAX(0,AF868-(AD868-AM868))),MIN(AF868,AM868)))</f>
        <v>0</v>
      </c>
      <c r="AO868" s="80">
        <f>AF868-AN868</f>
        <v>0</v>
      </c>
      <c r="AP868" s="80">
        <f>AM868-AN868</f>
        <v>0</v>
      </c>
      <c r="AQ868" s="80">
        <f>AD868-AM868-AO868</f>
        <v>0</v>
      </c>
      <c r="AR868" s="80">
        <f>IF(AM868=0,0,AK868-AN868*AK868/AM868)</f>
        <v>0</v>
      </c>
      <c r="AS868" s="80">
        <f>IF(AD868-AM868=0,0,(AJ868-AK868)-AO868*(AJ868-AK868)/(AD868-AM868))</f>
        <v>0</v>
      </c>
      <c r="AT868" s="80" t="str">
        <f>IF(AC868=1,INT(B868)+1,"")</f>
        <v/>
      </c>
      <c r="AU868" s="80">
        <f>IF(AND(D868="proMX",R868="Cancelled"),0,1)</f>
        <v>1</v>
      </c>
      <c r="AV868" s="80">
        <f>IF(AND(AB868=1,AU868=1),IF(COUNTIFS($D$5:D867,D868,$B$5:B867,B868,$Z$5:Z867,Z868,$AA$5:AA867,AA868,$F$5:F867,F868&amp;"",$AU$5:AU867,1)&gt;0,1,0),0)</f>
        <v>0</v>
      </c>
      <c r="AW868" s="80" t="str">
        <f>IF(AB868=1,INT(B868)*1440+Z868,"")</f>
        <v/>
      </c>
      <c r="AX868" s="80" t="str">
        <f>IF(AB868=1,AW868+AD868,"")</f>
        <v/>
      </c>
      <c r="AY868" s="80">
        <f>IF(AND(AB868=1,AV868=0,AU868=1),1,0)</f>
        <v>0</v>
      </c>
      <c r="AZ868" s="80">
        <f>IF(AY868=1,COUNTIFS(R_Emp,D868,R_SAbs,"&lt;"&amp;AX868,R_EAbs,"&gt;"&amp;AW868,R_OKey,1)-1,0)</f>
        <v>0</v>
      </c>
      <c r="BA868" s="80">
        <f>IF(AY868=1,COUNTIFS(R_Emp,"&lt;&gt;"&amp;D868,R_SAbs,"&lt;"&amp;AX868,R_EAbs,"&gt;"&amp;AW868,R_OKey,1),0)</f>
        <v>0</v>
      </c>
      <c r="BB868" s="80">
        <f>IF(AND(AB868=1,D868="proMX"),IF(AND(MOD(Z868,CFG_BLK)=0,MOD(AA868,CFG_BLK)=0,MOD(AG868,CFG_BLK)=0,AG868&gt;0),1,0),1)</f>
        <v>1</v>
      </c>
      <c r="BC868" s="80" t="str">
        <f>IF(Y868=0,"",IF(NOT(ISNUMBER(B868)),"Falta fecha o fecha inválida",IF(D868="","Falta empresa",IF(AND(D868&lt;&gt;"Malcolm",D868&lt;&gt;"proMX"),"Empresa inválida",IF(OR(INT(B868)&lt;CFG_PSTART,INT(B868)&gt;CFG_PEND),"Fecha fuera del período",IF(OR(NOT(ISNUMBER(Z868)),NOT(ISNUMBER(AA868))),"Falta hora inicio/fin o formato inválido",IF(AB868=0,"Hora inicio = hora fin",IF(AE868&lt;0,"Descanso inválido",IF(AE868&gt;=AD868,"Descanso ≥ duración",IF(AV868=1,"Registro duplicado",IF(AZ868&gt;0,"Se superpone con otro registro "&amp;D868,IF(BB868=0,"inicio, fin y duración neta deben ser múltiplos de "&amp;CFG_BLK&amp;" min",""))))))))))))</f>
        <v/>
      </c>
      <c r="BD868" s="80">
        <f>IF(AND(Y868=1,BC868=""),1,0)</f>
        <v>0</v>
      </c>
      <c r="BE868" s="80">
        <f>IF(AND(BD868=1,AU868=1),1,0)</f>
        <v>0</v>
      </c>
      <c r="BF868" s="80" t="str">
        <f>IF(AND(D868="proMX",BD868=1),IF(R868="","Draft",R868),"")</f>
        <v/>
      </c>
      <c r="BG868" s="80">
        <f>IF(BD868=1,ROUND(AG868/60,6),0)</f>
        <v>0</v>
      </c>
      <c r="BH868" s="80">
        <f>IF(BE868=1,ROUND(AG868/60,6),0)</f>
        <v>0</v>
      </c>
      <c r="BI868" s="80">
        <f>IF(BE868=1,ROUND(AP868/60,6),0)</f>
        <v>0</v>
      </c>
      <c r="BJ868" s="80">
        <f>IF(BE868=1,ROUND(AQ868/60,6),0)</f>
        <v>0</v>
      </c>
      <c r="BK868" s="80">
        <f>IF(BE868=1,ROUND((AR868+AS868)/60,6),0)</f>
        <v>0</v>
      </c>
      <c r="BL868" s="80">
        <f>ROUND(BH868-BK868,6)</f>
        <v>0</v>
      </c>
      <c r="BM868" s="80">
        <f>IF(BE868=1,ROUND(AR868/60,6),0)</f>
        <v>0</v>
      </c>
      <c r="BN868" s="80">
        <f>ROUND(BI868-BM868,6)</f>
        <v>0</v>
      </c>
      <c r="BO868" s="80">
        <f>IF(BE868=1,ROUND(AS868/60,6),0)</f>
        <v>0</v>
      </c>
      <c r="BP868" s="80">
        <f>ROUND(BJ868-BO868,6)</f>
        <v>0</v>
      </c>
      <c r="BQ868" s="80">
        <f>IF(BE868=1,AW868,0)</f>
        <v>0</v>
      </c>
      <c r="BR868" s="80">
        <f>IF(BE868=1,AX868,0)</f>
        <v>0</v>
      </c>
      <c r="BS868" s="80">
        <f>IF(AND(BE868=1,D868="Malcolm",BA868&gt;0),MIN(BH868,SUMPRODUCT((R_Emp="proMX")*(R_EN&gt;0)*((R_EN-(R_EN&gt;BR868)*(R_EN-BR868))&gt;(R_SN+(R_SN&lt;BQ868)*(BQ868-R_SN)))*((R_EN-(R_EN&gt;BR868)*(R_EN-BR868))-(R_SN+(R_SN&lt;BQ868)*(BQ868-R_SN))))/60),0)</f>
        <v>0</v>
      </c>
      <c r="BT868" s="80">
        <f>IF(AND(BE868=1,D868="proMX"),ROUND(BI868*CFG_RATE+BJ868*CFG_OTRATE,6),0)</f>
        <v>0</v>
      </c>
      <c r="BU868" s="80">
        <f>IF(AND(BD868=1,D868="proMX"),ROUND(AG868/CFG_BLK,6),0)</f>
        <v>0</v>
      </c>
      <c r="BV868" s="80" t="str">
        <f>IF(BF868="Approved",IF(ISNUMBER(T868),INT(T868),INT(B868)),"")</f>
        <v/>
      </c>
      <c r="BW868" s="80">
        <f>IF(ISNUMBER(B868),IF(DB_MON="Todos",1,IF(AND(INT(B868)&gt;=DB_MS,INT(B868)&lt;=DB_ME),1,0)),0)</f>
        <v>0</v>
      </c>
      <c r="BX868" s="80">
        <f>IF(DB_PROJ="Todos",1,IF(E868&amp;""=DB_PROJ&amp;"",1,0))</f>
        <v>1</v>
      </c>
      <c r="BY868" s="80">
        <f>BW868*BX868</f>
        <v>0</v>
      </c>
      <c r="BZ868" s="80" t="str">
        <f>IF(Y868=1,F868&amp;IF(AND(F868&amp;""&lt;&gt;"",E868&amp;""&lt;&gt;"")," · ","")&amp;E868,"")</f>
        <v/>
      </c>
      <c r="CA868" s="80" t="str">
        <f>IF(AND(BD868=1,E868&amp;""&lt;&gt;""),IF(COUNTIFS($E$5:E867,E868,$BD$5:BD867,1)=0,MAX($CA$5:CA867)+1,""),"")</f>
        <v/>
      </c>
      <c r="CB868" s="80" t="str">
        <f>IF(AND(BE868=1,D868="Malcolm",E868&amp;""&lt;&gt;""),IF(COUNTIFS($D$5:D867,"Malcolm",$E$5:E867,E868,$BE$5:BE867,1)=0,MAX($CB$5:CB867)+1,""),"")</f>
        <v/>
      </c>
      <c r="CC868" s="80" t="str">
        <f>IF(AND(BD868=1,D868="proMX",E868&amp;""&lt;&gt;""),IF(COUNTIFS($D$5:D867,"proMX",$E$5:E867,E868,$BD$5:BD867,1)=0,MAX($CC$5:CC867)+1,""),"")</f>
        <v/>
      </c>
      <c r="CD868" s="80" t="str">
        <f>IF(AND(BE868=1,D868="Malcolm",F868&amp;""&lt;&gt;""),IF(COUNTIFS($D$5:D867,"Malcolm",$F$5:F867,F868,$BE$5:BE867,1)=0,MAX($CD$5:CD867)+1,""),"")</f>
        <v/>
      </c>
      <c r="CE868" s="80" t="str">
        <f>IF(AND(BD868=1,D868="proMX",F868&amp;""&lt;&gt;""),IF(COUNTIFS($D$5:D867,"proMX",$F$5:F867,F868,$BD$5:BD867,1)=0,MAX($CE$5:CE867)+1,""),"")</f>
        <v/>
      </c>
      <c r="CF868" s="80" t="str">
        <f>IF(AND(D868="proMX",BD868=1),IF(OR(BF868="Draft",BF868="Submitted",BF868="Returned",BF868="Recall Requested"),MAX($CF$5:CF867)+1,""),"")</f>
        <v/>
      </c>
      <c r="CG868" s="80">
        <f>IF(BD868=0,0,IF(D868="Malcolm",1,MATCH(BF868,{"Draft","Submitted","Approved","Returned","Recall Requested","Cancelled"},0)+1))</f>
        <v>0</v>
      </c>
      <c r="CH868" s="80">
        <f>IF(AND(BF868="Submitted",ISNUMBER(V868)),IF(V868&gt;CFG_MAXD,1,0),0)</f>
        <v>0</v>
      </c>
    </row>
    <row r="869">
      <c r="A869" s="71" t="str">
        <f>IF(Y869=1,ROW()-5,"")</f>
        <v/>
      </c>
      <c r="B869" s="72" t="n"/>
      <c r="C869" s="71" t="str">
        <f>IF(ISNUMBER(B869),CHOOSE(WEEKDAY(B869,2),"Lun","Mar","Mié","Jue","Vie","Sáb","Dom"),"")</f>
        <v/>
      </c>
      <c r="D869" s="73" t="n"/>
      <c r="E869" s="74" t="n"/>
      <c r="F869" s="74" t="n"/>
      <c r="G869" s="74" t="n"/>
      <c r="H869" s="75" t="n"/>
      <c r="I869" s="75" t="n"/>
      <c r="J869" s="76" t="n"/>
      <c r="K869" s="77" t="str">
        <f>IF(AB869=1,ROUND(AG869/60,4),"")</f>
        <v/>
      </c>
      <c r="L869" s="77" t="str">
        <f>IF(BD869=1,ROUND(AP869/60,4),"")</f>
        <v/>
      </c>
      <c r="M869" s="77" t="str">
        <f>IF(BD869=1,ROUND(AQ869/60,4),"")</f>
        <v/>
      </c>
      <c r="N869" s="71" t="str">
        <f>IF(AND(D869="proMX",AB869=1),ROUND(AG869/CFG_BLK,2),"")</f>
        <v/>
      </c>
      <c r="O869" s="77" t="str">
        <f>IF(D869="proMX",IF(BD869=1,ROUND(AG869/60,4),0),"")</f>
        <v/>
      </c>
      <c r="P869" s="78" t="str">
        <f>IF(Y869=0,"",IF(BD869=1,"OK",IF(D869="proMX","Revisar bloques: ","Revisar: ")&amp;BC869))</f>
        <v/>
      </c>
      <c r="Q869" s="78" t="str">
        <f>IF(NOT(ISNUMBER(B869)),"",IF(COUNTIFS(FER_F,INT(B869))&gt;0,"Feriado"&amp;IF(AH869=1," (laborable)"," (no laborable)"),IF(AH869=1,"Laborable",IF(WEEKDAY(B869,2)&gt;5,"Fin de semana","No laborable"))))</f>
        <v/>
      </c>
      <c r="R869" s="73" t="n"/>
      <c r="S869" s="72" t="n"/>
      <c r="T869" s="72" t="n"/>
      <c r="U869" s="74" t="n"/>
      <c r="V869" s="79" t="str">
        <f>IF(AND(D869="proMX",OR(R869="Submitted",R869="Recall Requested"),ISNUMBER(S869)),CFG_TODAY-INT(S869),"")</f>
        <v/>
      </c>
      <c r="W869" s="78" t="str">
        <f>IF(BD869=0,"",IF(BA869&gt;0,"⚠ Se superpone con un registro de la otra empresa",IF(D869="Malcolm",IF(COUNTA(R869,S869,T869)&gt;0,"Estado/fechas proMX se ignoran en Malcolm",""),IF(BF869="Cancelled","Cancelado: excluido de totales",IF(R869="","Sin estado: se trata como Draft",IF(BF869="Submitted",IF(ISNUMBER(V869),IF(V869&gt;CFG_MAXD,"⚠ "&amp;V869&amp;" días en Submitted (máx. "&amp;CFG_MAXD&amp;")",""),"Falta fecha de envío"),IF(BF869="Returned","⚠ Devuelto: corregir y reenviar",IF(BF869="Recall Requested","Retirada solicitada: pendiente",IF(AND(BF869="Approved",NOT(ISNUMBER(T869))),"Falta fecha de aprobación",IF(AND(ISNUMBER(S869),ISNUMBER(T869),T869&lt;S869),"Aprobación anterior al envío","")))))))))</f>
        <v/>
      </c>
      <c r="Y869" s="80">
        <f>IF(COUNTA(B869,D869,E869,F869,G869,H869,I869,J869,R869,S869,T869)&gt;0,1,0)</f>
        <v>0</v>
      </c>
      <c r="Z869" s="80" t="str">
        <f>IF(AND(ISNUMBER(H869),H869&gt;=0,H869&lt;1),ROUND(H869*1440,0),"")</f>
        <v/>
      </c>
      <c r="AA869" s="80" t="str">
        <f>IF(AND(ISNUMBER(I869),I869&gt;=0,I869&lt;1),ROUND(I869*1440,0),"")</f>
        <v/>
      </c>
      <c r="AB869" s="80">
        <f>IF(AND(ISNUMBER(B869),D869&lt;&gt;"",ISNUMBER(Z869),ISNUMBER(AA869)),IF(Z869=AA869,0,1),0)</f>
        <v>0</v>
      </c>
      <c r="AC869" s="80">
        <f>IF(AB869=1,IF(AA869&lt;Z869,1,0),0)</f>
        <v>0</v>
      </c>
      <c r="AD869" s="80">
        <f>IF(AB869=1,IF(AC869=1,1440-Z869+AA869,AA869-Z869),0)</f>
        <v>0</v>
      </c>
      <c r="AE869" s="80">
        <f>IF(J869="",0,IF(ISNUMBER(J869),J869,-1))</f>
        <v>0</v>
      </c>
      <c r="AF869" s="80">
        <f>MIN(MAX(0,AE869),AD869)</f>
        <v>0</v>
      </c>
      <c r="AG869" s="80">
        <f>MAX(0,AD869-MAX(0,AE869))</f>
        <v>0</v>
      </c>
      <c r="AH869" s="80">
        <f>IF(ISNUMBER(B869),IF(AND(INDEX(CFG_WDAYS,WEEKDAY(INT(B869),2))="Sí",IF(D869="proMX",COUNTIFS(FER_F,INT(B869),FER_NLP,"Sí"),COUNTIFS(FER_F,INT(B869),FER_NLM,"Sí"))=0),1,0),0)</f>
        <v>0</v>
      </c>
      <c r="AI869" s="80">
        <f>IF(AC869=1,IF(AND(INDEX(CFG_WDAYS,WEEKDAY(INT(B869)+1,2))="Sí",IF(D869="proMX",COUNTIFS(FER_F,INT(B869)+1,FER_NLP,"Sí"),COUNTIFS(FER_F,INT(B869)+1,FER_NLM,"Sí"))=0),1,0),0)</f>
        <v>0</v>
      </c>
      <c r="AJ869" s="80">
        <f>IF(AC869=1,1440-Z869,AD869)</f>
        <v>0</v>
      </c>
      <c r="AK869" s="80">
        <f>IF(AND(AB869=1,AH869=1),MAX(0,MIN(IF(AC869=1,1440,AA869),CFG_WEM)-MAX(Z869,CFG_WSM)),0)</f>
        <v>0</v>
      </c>
      <c r="AL869" s="80">
        <f>IF(AND(AC869=1,AI869=1),MAX(0,MIN(AA869,CFG_WEM)-CFG_WSM),0)</f>
        <v>0</v>
      </c>
      <c r="AM869" s="80">
        <f>AK869+AL869</f>
        <v>0</v>
      </c>
      <c r="AN869" s="80">
        <f>IF(CFG_BRK="Proporcional",IF(AD869=0,0,AF869*AM869/AD869),IF(CFG_BRK="Extras primero",MIN(AM869,MAX(0,AF869-(AD869-AM869))),MIN(AF869,AM869)))</f>
        <v>0</v>
      </c>
      <c r="AO869" s="80">
        <f>AF869-AN869</f>
        <v>0</v>
      </c>
      <c r="AP869" s="80">
        <f>AM869-AN869</f>
        <v>0</v>
      </c>
      <c r="AQ869" s="80">
        <f>AD869-AM869-AO869</f>
        <v>0</v>
      </c>
      <c r="AR869" s="80">
        <f>IF(AM869=0,0,AK869-AN869*AK869/AM869)</f>
        <v>0</v>
      </c>
      <c r="AS869" s="80">
        <f>IF(AD869-AM869=0,0,(AJ869-AK869)-AO869*(AJ869-AK869)/(AD869-AM869))</f>
        <v>0</v>
      </c>
      <c r="AT869" s="80" t="str">
        <f>IF(AC869=1,INT(B869)+1,"")</f>
        <v/>
      </c>
      <c r="AU869" s="80">
        <f>IF(AND(D869="proMX",R869="Cancelled"),0,1)</f>
        <v>1</v>
      </c>
      <c r="AV869" s="80">
        <f>IF(AND(AB869=1,AU869=1),IF(COUNTIFS($D$5:D868,D869,$B$5:B868,B869,$Z$5:Z868,Z869,$AA$5:AA868,AA869,$F$5:F868,F869&amp;"",$AU$5:AU868,1)&gt;0,1,0),0)</f>
        <v>0</v>
      </c>
      <c r="AW869" s="80" t="str">
        <f>IF(AB869=1,INT(B869)*1440+Z869,"")</f>
        <v/>
      </c>
      <c r="AX869" s="80" t="str">
        <f>IF(AB869=1,AW869+AD869,"")</f>
        <v/>
      </c>
      <c r="AY869" s="80">
        <f>IF(AND(AB869=1,AV869=0,AU869=1),1,0)</f>
        <v>0</v>
      </c>
      <c r="AZ869" s="80">
        <f>IF(AY869=1,COUNTIFS(R_Emp,D869,R_SAbs,"&lt;"&amp;AX869,R_EAbs,"&gt;"&amp;AW869,R_OKey,1)-1,0)</f>
        <v>0</v>
      </c>
      <c r="BA869" s="80">
        <f>IF(AY869=1,COUNTIFS(R_Emp,"&lt;&gt;"&amp;D869,R_SAbs,"&lt;"&amp;AX869,R_EAbs,"&gt;"&amp;AW869,R_OKey,1),0)</f>
        <v>0</v>
      </c>
      <c r="BB869" s="80">
        <f>IF(AND(AB869=1,D869="proMX"),IF(AND(MOD(Z869,CFG_BLK)=0,MOD(AA869,CFG_BLK)=0,MOD(AG869,CFG_BLK)=0,AG869&gt;0),1,0),1)</f>
        <v>1</v>
      </c>
      <c r="BC869" s="80" t="str">
        <f>IF(Y869=0,"",IF(NOT(ISNUMBER(B869)),"Falta fecha o fecha inválida",IF(D869="","Falta empresa",IF(AND(D869&lt;&gt;"Malcolm",D869&lt;&gt;"proMX"),"Empresa inválida",IF(OR(INT(B869)&lt;CFG_PSTART,INT(B869)&gt;CFG_PEND),"Fecha fuera del período",IF(OR(NOT(ISNUMBER(Z869)),NOT(ISNUMBER(AA869))),"Falta hora inicio/fin o formato inválido",IF(AB869=0,"Hora inicio = hora fin",IF(AE869&lt;0,"Descanso inválido",IF(AE869&gt;=AD869,"Descanso ≥ duración",IF(AV869=1,"Registro duplicado",IF(AZ869&gt;0,"Se superpone con otro registro "&amp;D869,IF(BB869=0,"inicio, fin y duración neta deben ser múltiplos de "&amp;CFG_BLK&amp;" min",""))))))))))))</f>
        <v/>
      </c>
      <c r="BD869" s="80">
        <f>IF(AND(Y869=1,BC869=""),1,0)</f>
        <v>0</v>
      </c>
      <c r="BE869" s="80">
        <f>IF(AND(BD869=1,AU869=1),1,0)</f>
        <v>0</v>
      </c>
      <c r="BF869" s="80" t="str">
        <f>IF(AND(D869="proMX",BD869=1),IF(R869="","Draft",R869),"")</f>
        <v/>
      </c>
      <c r="BG869" s="80">
        <f>IF(BD869=1,ROUND(AG869/60,6),0)</f>
        <v>0</v>
      </c>
      <c r="BH869" s="80">
        <f>IF(BE869=1,ROUND(AG869/60,6),0)</f>
        <v>0</v>
      </c>
      <c r="BI869" s="80">
        <f>IF(BE869=1,ROUND(AP869/60,6),0)</f>
        <v>0</v>
      </c>
      <c r="BJ869" s="80">
        <f>IF(BE869=1,ROUND(AQ869/60,6),0)</f>
        <v>0</v>
      </c>
      <c r="BK869" s="80">
        <f>IF(BE869=1,ROUND((AR869+AS869)/60,6),0)</f>
        <v>0</v>
      </c>
      <c r="BL869" s="80">
        <f>ROUND(BH869-BK869,6)</f>
        <v>0</v>
      </c>
      <c r="BM869" s="80">
        <f>IF(BE869=1,ROUND(AR869/60,6),0)</f>
        <v>0</v>
      </c>
      <c r="BN869" s="80">
        <f>ROUND(BI869-BM869,6)</f>
        <v>0</v>
      </c>
      <c r="BO869" s="80">
        <f>IF(BE869=1,ROUND(AS869/60,6),0)</f>
        <v>0</v>
      </c>
      <c r="BP869" s="80">
        <f>ROUND(BJ869-BO869,6)</f>
        <v>0</v>
      </c>
      <c r="BQ869" s="80">
        <f>IF(BE869=1,AW869,0)</f>
        <v>0</v>
      </c>
      <c r="BR869" s="80">
        <f>IF(BE869=1,AX869,0)</f>
        <v>0</v>
      </c>
      <c r="BS869" s="80">
        <f>IF(AND(BE869=1,D869="Malcolm",BA869&gt;0),MIN(BH869,SUMPRODUCT((R_Emp="proMX")*(R_EN&gt;0)*((R_EN-(R_EN&gt;BR869)*(R_EN-BR869))&gt;(R_SN+(R_SN&lt;BQ869)*(BQ869-R_SN)))*((R_EN-(R_EN&gt;BR869)*(R_EN-BR869))-(R_SN+(R_SN&lt;BQ869)*(BQ869-R_SN))))/60),0)</f>
        <v>0</v>
      </c>
      <c r="BT869" s="80">
        <f>IF(AND(BE869=1,D869="proMX"),ROUND(BI869*CFG_RATE+BJ869*CFG_OTRATE,6),0)</f>
        <v>0</v>
      </c>
      <c r="BU869" s="80">
        <f>IF(AND(BD869=1,D869="proMX"),ROUND(AG869/CFG_BLK,6),0)</f>
        <v>0</v>
      </c>
      <c r="BV869" s="80" t="str">
        <f>IF(BF869="Approved",IF(ISNUMBER(T869),INT(T869),INT(B869)),"")</f>
        <v/>
      </c>
      <c r="BW869" s="80">
        <f>IF(ISNUMBER(B869),IF(DB_MON="Todos",1,IF(AND(INT(B869)&gt;=DB_MS,INT(B869)&lt;=DB_ME),1,0)),0)</f>
        <v>0</v>
      </c>
      <c r="BX869" s="80">
        <f>IF(DB_PROJ="Todos",1,IF(E869&amp;""=DB_PROJ&amp;"",1,0))</f>
        <v>1</v>
      </c>
      <c r="BY869" s="80">
        <f>BW869*BX869</f>
        <v>0</v>
      </c>
      <c r="BZ869" s="80" t="str">
        <f>IF(Y869=1,F869&amp;IF(AND(F869&amp;""&lt;&gt;"",E869&amp;""&lt;&gt;"")," · ","")&amp;E869,"")</f>
        <v/>
      </c>
      <c r="CA869" s="80" t="str">
        <f>IF(AND(BD869=1,E869&amp;""&lt;&gt;""),IF(COUNTIFS($E$5:E868,E869,$BD$5:BD868,1)=0,MAX($CA$5:CA868)+1,""),"")</f>
        <v/>
      </c>
      <c r="CB869" s="80" t="str">
        <f>IF(AND(BE869=1,D869="Malcolm",E869&amp;""&lt;&gt;""),IF(COUNTIFS($D$5:D868,"Malcolm",$E$5:E868,E869,$BE$5:BE868,1)=0,MAX($CB$5:CB868)+1,""),"")</f>
        <v/>
      </c>
      <c r="CC869" s="80" t="str">
        <f>IF(AND(BD869=1,D869="proMX",E869&amp;""&lt;&gt;""),IF(COUNTIFS($D$5:D868,"proMX",$E$5:E868,E869,$BD$5:BD868,1)=0,MAX($CC$5:CC868)+1,""),"")</f>
        <v/>
      </c>
      <c r="CD869" s="80" t="str">
        <f>IF(AND(BE869=1,D869="Malcolm",F869&amp;""&lt;&gt;""),IF(COUNTIFS($D$5:D868,"Malcolm",$F$5:F868,F869,$BE$5:BE868,1)=0,MAX($CD$5:CD868)+1,""),"")</f>
        <v/>
      </c>
      <c r="CE869" s="80" t="str">
        <f>IF(AND(BD869=1,D869="proMX",F869&amp;""&lt;&gt;""),IF(COUNTIFS($D$5:D868,"proMX",$F$5:F868,F869,$BD$5:BD868,1)=0,MAX($CE$5:CE868)+1,""),"")</f>
        <v/>
      </c>
      <c r="CF869" s="80" t="str">
        <f>IF(AND(D869="proMX",BD869=1),IF(OR(BF869="Draft",BF869="Submitted",BF869="Returned",BF869="Recall Requested"),MAX($CF$5:CF868)+1,""),"")</f>
        <v/>
      </c>
      <c r="CG869" s="80">
        <f>IF(BD869=0,0,IF(D869="Malcolm",1,MATCH(BF869,{"Draft","Submitted","Approved","Returned","Recall Requested","Cancelled"},0)+1))</f>
        <v>0</v>
      </c>
      <c r="CH869" s="80">
        <f>IF(AND(BF869="Submitted",ISNUMBER(V869)),IF(V869&gt;CFG_MAXD,1,0),0)</f>
        <v>0</v>
      </c>
    </row>
    <row r="870">
      <c r="A870" s="71" t="str">
        <f>IF(Y870=1,ROW()-5,"")</f>
        <v/>
      </c>
      <c r="B870" s="72" t="n"/>
      <c r="C870" s="71" t="str">
        <f>IF(ISNUMBER(B870),CHOOSE(WEEKDAY(B870,2),"Lun","Mar","Mié","Jue","Vie","Sáb","Dom"),"")</f>
        <v/>
      </c>
      <c r="D870" s="73" t="n"/>
      <c r="E870" s="74" t="n"/>
      <c r="F870" s="74" t="n"/>
      <c r="G870" s="74" t="n"/>
      <c r="H870" s="75" t="n"/>
      <c r="I870" s="75" t="n"/>
      <c r="J870" s="76" t="n"/>
      <c r="K870" s="77" t="str">
        <f>IF(AB870=1,ROUND(AG870/60,4),"")</f>
        <v/>
      </c>
      <c r="L870" s="77" t="str">
        <f>IF(BD870=1,ROUND(AP870/60,4),"")</f>
        <v/>
      </c>
      <c r="M870" s="77" t="str">
        <f>IF(BD870=1,ROUND(AQ870/60,4),"")</f>
        <v/>
      </c>
      <c r="N870" s="71" t="str">
        <f>IF(AND(D870="proMX",AB870=1),ROUND(AG870/CFG_BLK,2),"")</f>
        <v/>
      </c>
      <c r="O870" s="77" t="str">
        <f>IF(D870="proMX",IF(BD870=1,ROUND(AG870/60,4),0),"")</f>
        <v/>
      </c>
      <c r="P870" s="78" t="str">
        <f>IF(Y870=0,"",IF(BD870=1,"OK",IF(D870="proMX","Revisar bloques: ","Revisar: ")&amp;BC870))</f>
        <v/>
      </c>
      <c r="Q870" s="78" t="str">
        <f>IF(NOT(ISNUMBER(B870)),"",IF(COUNTIFS(FER_F,INT(B870))&gt;0,"Feriado"&amp;IF(AH870=1," (laborable)"," (no laborable)"),IF(AH870=1,"Laborable",IF(WEEKDAY(B870,2)&gt;5,"Fin de semana","No laborable"))))</f>
        <v/>
      </c>
      <c r="R870" s="73" t="n"/>
      <c r="S870" s="72" t="n"/>
      <c r="T870" s="72" t="n"/>
      <c r="U870" s="74" t="n"/>
      <c r="V870" s="79" t="str">
        <f>IF(AND(D870="proMX",OR(R870="Submitted",R870="Recall Requested"),ISNUMBER(S870)),CFG_TODAY-INT(S870),"")</f>
        <v/>
      </c>
      <c r="W870" s="78" t="str">
        <f>IF(BD870=0,"",IF(BA870&gt;0,"⚠ Se superpone con un registro de la otra empresa",IF(D870="Malcolm",IF(COUNTA(R870,S870,T870)&gt;0,"Estado/fechas proMX se ignoran en Malcolm",""),IF(BF870="Cancelled","Cancelado: excluido de totales",IF(R870="","Sin estado: se trata como Draft",IF(BF870="Submitted",IF(ISNUMBER(V870),IF(V870&gt;CFG_MAXD,"⚠ "&amp;V870&amp;" días en Submitted (máx. "&amp;CFG_MAXD&amp;")",""),"Falta fecha de envío"),IF(BF870="Returned","⚠ Devuelto: corregir y reenviar",IF(BF870="Recall Requested","Retirada solicitada: pendiente",IF(AND(BF870="Approved",NOT(ISNUMBER(T870))),"Falta fecha de aprobación",IF(AND(ISNUMBER(S870),ISNUMBER(T870),T870&lt;S870),"Aprobación anterior al envío","")))))))))</f>
        <v/>
      </c>
      <c r="Y870" s="80">
        <f>IF(COUNTA(B870,D870,E870,F870,G870,H870,I870,J870,R870,S870,T870)&gt;0,1,0)</f>
        <v>0</v>
      </c>
      <c r="Z870" s="80" t="str">
        <f>IF(AND(ISNUMBER(H870),H870&gt;=0,H870&lt;1),ROUND(H870*1440,0),"")</f>
        <v/>
      </c>
      <c r="AA870" s="80" t="str">
        <f>IF(AND(ISNUMBER(I870),I870&gt;=0,I870&lt;1),ROUND(I870*1440,0),"")</f>
        <v/>
      </c>
      <c r="AB870" s="80">
        <f>IF(AND(ISNUMBER(B870),D870&lt;&gt;"",ISNUMBER(Z870),ISNUMBER(AA870)),IF(Z870=AA870,0,1),0)</f>
        <v>0</v>
      </c>
      <c r="AC870" s="80">
        <f>IF(AB870=1,IF(AA870&lt;Z870,1,0),0)</f>
        <v>0</v>
      </c>
      <c r="AD870" s="80">
        <f>IF(AB870=1,IF(AC870=1,1440-Z870+AA870,AA870-Z870),0)</f>
        <v>0</v>
      </c>
      <c r="AE870" s="80">
        <f>IF(J870="",0,IF(ISNUMBER(J870),J870,-1))</f>
        <v>0</v>
      </c>
      <c r="AF870" s="80">
        <f>MIN(MAX(0,AE870),AD870)</f>
        <v>0</v>
      </c>
      <c r="AG870" s="80">
        <f>MAX(0,AD870-MAX(0,AE870))</f>
        <v>0</v>
      </c>
      <c r="AH870" s="80">
        <f>IF(ISNUMBER(B870),IF(AND(INDEX(CFG_WDAYS,WEEKDAY(INT(B870),2))="Sí",IF(D870="proMX",COUNTIFS(FER_F,INT(B870),FER_NLP,"Sí"),COUNTIFS(FER_F,INT(B870),FER_NLM,"Sí"))=0),1,0),0)</f>
        <v>0</v>
      </c>
      <c r="AI870" s="80">
        <f>IF(AC870=1,IF(AND(INDEX(CFG_WDAYS,WEEKDAY(INT(B870)+1,2))="Sí",IF(D870="proMX",COUNTIFS(FER_F,INT(B870)+1,FER_NLP,"Sí"),COUNTIFS(FER_F,INT(B870)+1,FER_NLM,"Sí"))=0),1,0),0)</f>
        <v>0</v>
      </c>
      <c r="AJ870" s="80">
        <f>IF(AC870=1,1440-Z870,AD870)</f>
        <v>0</v>
      </c>
      <c r="AK870" s="80">
        <f>IF(AND(AB870=1,AH870=1),MAX(0,MIN(IF(AC870=1,1440,AA870),CFG_WEM)-MAX(Z870,CFG_WSM)),0)</f>
        <v>0</v>
      </c>
      <c r="AL870" s="80">
        <f>IF(AND(AC870=1,AI870=1),MAX(0,MIN(AA870,CFG_WEM)-CFG_WSM),0)</f>
        <v>0</v>
      </c>
      <c r="AM870" s="80">
        <f>AK870+AL870</f>
        <v>0</v>
      </c>
      <c r="AN870" s="80">
        <f>IF(CFG_BRK="Proporcional",IF(AD870=0,0,AF870*AM870/AD870),IF(CFG_BRK="Extras primero",MIN(AM870,MAX(0,AF870-(AD870-AM870))),MIN(AF870,AM870)))</f>
        <v>0</v>
      </c>
      <c r="AO870" s="80">
        <f>AF870-AN870</f>
        <v>0</v>
      </c>
      <c r="AP870" s="80">
        <f>AM870-AN870</f>
        <v>0</v>
      </c>
      <c r="AQ870" s="80">
        <f>AD870-AM870-AO870</f>
        <v>0</v>
      </c>
      <c r="AR870" s="80">
        <f>IF(AM870=0,0,AK870-AN870*AK870/AM870)</f>
        <v>0</v>
      </c>
      <c r="AS870" s="80">
        <f>IF(AD870-AM870=0,0,(AJ870-AK870)-AO870*(AJ870-AK870)/(AD870-AM870))</f>
        <v>0</v>
      </c>
      <c r="AT870" s="80" t="str">
        <f>IF(AC870=1,INT(B870)+1,"")</f>
        <v/>
      </c>
      <c r="AU870" s="80">
        <f>IF(AND(D870="proMX",R870="Cancelled"),0,1)</f>
        <v>1</v>
      </c>
      <c r="AV870" s="80">
        <f>IF(AND(AB870=1,AU870=1),IF(COUNTIFS($D$5:D869,D870,$B$5:B869,B870,$Z$5:Z869,Z870,$AA$5:AA869,AA870,$F$5:F869,F870&amp;"",$AU$5:AU869,1)&gt;0,1,0),0)</f>
        <v>0</v>
      </c>
      <c r="AW870" s="80" t="str">
        <f>IF(AB870=1,INT(B870)*1440+Z870,"")</f>
        <v/>
      </c>
      <c r="AX870" s="80" t="str">
        <f>IF(AB870=1,AW870+AD870,"")</f>
        <v/>
      </c>
      <c r="AY870" s="80">
        <f>IF(AND(AB870=1,AV870=0,AU870=1),1,0)</f>
        <v>0</v>
      </c>
      <c r="AZ870" s="80">
        <f>IF(AY870=1,COUNTIFS(R_Emp,D870,R_SAbs,"&lt;"&amp;AX870,R_EAbs,"&gt;"&amp;AW870,R_OKey,1)-1,0)</f>
        <v>0</v>
      </c>
      <c r="BA870" s="80">
        <f>IF(AY870=1,COUNTIFS(R_Emp,"&lt;&gt;"&amp;D870,R_SAbs,"&lt;"&amp;AX870,R_EAbs,"&gt;"&amp;AW870,R_OKey,1),0)</f>
        <v>0</v>
      </c>
      <c r="BB870" s="80">
        <f>IF(AND(AB870=1,D870="proMX"),IF(AND(MOD(Z870,CFG_BLK)=0,MOD(AA870,CFG_BLK)=0,MOD(AG870,CFG_BLK)=0,AG870&gt;0),1,0),1)</f>
        <v>1</v>
      </c>
      <c r="BC870" s="80" t="str">
        <f>IF(Y870=0,"",IF(NOT(ISNUMBER(B870)),"Falta fecha o fecha inválida",IF(D870="","Falta empresa",IF(AND(D870&lt;&gt;"Malcolm",D870&lt;&gt;"proMX"),"Empresa inválida",IF(OR(INT(B870)&lt;CFG_PSTART,INT(B870)&gt;CFG_PEND),"Fecha fuera del período",IF(OR(NOT(ISNUMBER(Z870)),NOT(ISNUMBER(AA870))),"Falta hora inicio/fin o formato inválido",IF(AB870=0,"Hora inicio = hora fin",IF(AE870&lt;0,"Descanso inválido",IF(AE870&gt;=AD870,"Descanso ≥ duración",IF(AV870=1,"Registro duplicado",IF(AZ870&gt;0,"Se superpone con otro registro "&amp;D870,IF(BB870=0,"inicio, fin y duración neta deben ser múltiplos de "&amp;CFG_BLK&amp;" min",""))))))))))))</f>
        <v/>
      </c>
      <c r="BD870" s="80">
        <f>IF(AND(Y870=1,BC870=""),1,0)</f>
        <v>0</v>
      </c>
      <c r="BE870" s="80">
        <f>IF(AND(BD870=1,AU870=1),1,0)</f>
        <v>0</v>
      </c>
      <c r="BF870" s="80" t="str">
        <f>IF(AND(D870="proMX",BD870=1),IF(R870="","Draft",R870),"")</f>
        <v/>
      </c>
      <c r="BG870" s="80">
        <f>IF(BD870=1,ROUND(AG870/60,6),0)</f>
        <v>0</v>
      </c>
      <c r="BH870" s="80">
        <f>IF(BE870=1,ROUND(AG870/60,6),0)</f>
        <v>0</v>
      </c>
      <c r="BI870" s="80">
        <f>IF(BE870=1,ROUND(AP870/60,6),0)</f>
        <v>0</v>
      </c>
      <c r="BJ870" s="80">
        <f>IF(BE870=1,ROUND(AQ870/60,6),0)</f>
        <v>0</v>
      </c>
      <c r="BK870" s="80">
        <f>IF(BE870=1,ROUND((AR870+AS870)/60,6),0)</f>
        <v>0</v>
      </c>
      <c r="BL870" s="80">
        <f>ROUND(BH870-BK870,6)</f>
        <v>0</v>
      </c>
      <c r="BM870" s="80">
        <f>IF(BE870=1,ROUND(AR870/60,6),0)</f>
        <v>0</v>
      </c>
      <c r="BN870" s="80">
        <f>ROUND(BI870-BM870,6)</f>
        <v>0</v>
      </c>
      <c r="BO870" s="80">
        <f>IF(BE870=1,ROUND(AS870/60,6),0)</f>
        <v>0</v>
      </c>
      <c r="BP870" s="80">
        <f>ROUND(BJ870-BO870,6)</f>
        <v>0</v>
      </c>
      <c r="BQ870" s="80">
        <f>IF(BE870=1,AW870,0)</f>
        <v>0</v>
      </c>
      <c r="BR870" s="80">
        <f>IF(BE870=1,AX870,0)</f>
        <v>0</v>
      </c>
      <c r="BS870" s="80">
        <f>IF(AND(BE870=1,D870="Malcolm",BA870&gt;0),MIN(BH870,SUMPRODUCT((R_Emp="proMX")*(R_EN&gt;0)*((R_EN-(R_EN&gt;BR870)*(R_EN-BR870))&gt;(R_SN+(R_SN&lt;BQ870)*(BQ870-R_SN)))*((R_EN-(R_EN&gt;BR870)*(R_EN-BR870))-(R_SN+(R_SN&lt;BQ870)*(BQ870-R_SN))))/60),0)</f>
        <v>0</v>
      </c>
      <c r="BT870" s="80">
        <f>IF(AND(BE870=1,D870="proMX"),ROUND(BI870*CFG_RATE+BJ870*CFG_OTRATE,6),0)</f>
        <v>0</v>
      </c>
      <c r="BU870" s="80">
        <f>IF(AND(BD870=1,D870="proMX"),ROUND(AG870/CFG_BLK,6),0)</f>
        <v>0</v>
      </c>
      <c r="BV870" s="80" t="str">
        <f>IF(BF870="Approved",IF(ISNUMBER(T870),INT(T870),INT(B870)),"")</f>
        <v/>
      </c>
      <c r="BW870" s="80">
        <f>IF(ISNUMBER(B870),IF(DB_MON="Todos",1,IF(AND(INT(B870)&gt;=DB_MS,INT(B870)&lt;=DB_ME),1,0)),0)</f>
        <v>0</v>
      </c>
      <c r="BX870" s="80">
        <f>IF(DB_PROJ="Todos",1,IF(E870&amp;""=DB_PROJ&amp;"",1,0))</f>
        <v>1</v>
      </c>
      <c r="BY870" s="80">
        <f>BW870*BX870</f>
        <v>0</v>
      </c>
      <c r="BZ870" s="80" t="str">
        <f>IF(Y870=1,F870&amp;IF(AND(F870&amp;""&lt;&gt;"",E870&amp;""&lt;&gt;"")," · ","")&amp;E870,"")</f>
        <v/>
      </c>
      <c r="CA870" s="80" t="str">
        <f>IF(AND(BD870=1,E870&amp;""&lt;&gt;""),IF(COUNTIFS($E$5:E869,E870,$BD$5:BD869,1)=0,MAX($CA$5:CA869)+1,""),"")</f>
        <v/>
      </c>
      <c r="CB870" s="80" t="str">
        <f>IF(AND(BE870=1,D870="Malcolm",E870&amp;""&lt;&gt;""),IF(COUNTIFS($D$5:D869,"Malcolm",$E$5:E869,E870,$BE$5:BE869,1)=0,MAX($CB$5:CB869)+1,""),"")</f>
        <v/>
      </c>
      <c r="CC870" s="80" t="str">
        <f>IF(AND(BD870=1,D870="proMX",E870&amp;""&lt;&gt;""),IF(COUNTIFS($D$5:D869,"proMX",$E$5:E869,E870,$BD$5:BD869,1)=0,MAX($CC$5:CC869)+1,""),"")</f>
        <v/>
      </c>
      <c r="CD870" s="80" t="str">
        <f>IF(AND(BE870=1,D870="Malcolm",F870&amp;""&lt;&gt;""),IF(COUNTIFS($D$5:D869,"Malcolm",$F$5:F869,F870,$BE$5:BE869,1)=0,MAX($CD$5:CD869)+1,""),"")</f>
        <v/>
      </c>
      <c r="CE870" s="80" t="str">
        <f>IF(AND(BD870=1,D870="proMX",F870&amp;""&lt;&gt;""),IF(COUNTIFS($D$5:D869,"proMX",$F$5:F869,F870,$BD$5:BD869,1)=0,MAX($CE$5:CE869)+1,""),"")</f>
        <v/>
      </c>
      <c r="CF870" s="80" t="str">
        <f>IF(AND(D870="proMX",BD870=1),IF(OR(BF870="Draft",BF870="Submitted",BF870="Returned",BF870="Recall Requested"),MAX($CF$5:CF869)+1,""),"")</f>
        <v/>
      </c>
      <c r="CG870" s="80">
        <f>IF(BD870=0,0,IF(D870="Malcolm",1,MATCH(BF870,{"Draft","Submitted","Approved","Returned","Recall Requested","Cancelled"},0)+1))</f>
        <v>0</v>
      </c>
      <c r="CH870" s="80">
        <f>IF(AND(BF870="Submitted",ISNUMBER(V870)),IF(V870&gt;CFG_MAXD,1,0),0)</f>
        <v>0</v>
      </c>
    </row>
    <row r="871">
      <c r="A871" s="71" t="str">
        <f>IF(Y871=1,ROW()-5,"")</f>
        <v/>
      </c>
      <c r="B871" s="72" t="n"/>
      <c r="C871" s="71" t="str">
        <f>IF(ISNUMBER(B871),CHOOSE(WEEKDAY(B871,2),"Lun","Mar","Mié","Jue","Vie","Sáb","Dom"),"")</f>
        <v/>
      </c>
      <c r="D871" s="73" t="n"/>
      <c r="E871" s="74" t="n"/>
      <c r="F871" s="74" t="n"/>
      <c r="G871" s="74" t="n"/>
      <c r="H871" s="75" t="n"/>
      <c r="I871" s="75" t="n"/>
      <c r="J871" s="76" t="n"/>
      <c r="K871" s="77" t="str">
        <f>IF(AB871=1,ROUND(AG871/60,4),"")</f>
        <v/>
      </c>
      <c r="L871" s="77" t="str">
        <f>IF(BD871=1,ROUND(AP871/60,4),"")</f>
        <v/>
      </c>
      <c r="M871" s="77" t="str">
        <f>IF(BD871=1,ROUND(AQ871/60,4),"")</f>
        <v/>
      </c>
      <c r="N871" s="71" t="str">
        <f>IF(AND(D871="proMX",AB871=1),ROUND(AG871/CFG_BLK,2),"")</f>
        <v/>
      </c>
      <c r="O871" s="77" t="str">
        <f>IF(D871="proMX",IF(BD871=1,ROUND(AG871/60,4),0),"")</f>
        <v/>
      </c>
      <c r="P871" s="78" t="str">
        <f>IF(Y871=0,"",IF(BD871=1,"OK",IF(D871="proMX","Revisar bloques: ","Revisar: ")&amp;BC871))</f>
        <v/>
      </c>
      <c r="Q871" s="78" t="str">
        <f>IF(NOT(ISNUMBER(B871)),"",IF(COUNTIFS(FER_F,INT(B871))&gt;0,"Feriado"&amp;IF(AH871=1," (laborable)"," (no laborable)"),IF(AH871=1,"Laborable",IF(WEEKDAY(B871,2)&gt;5,"Fin de semana","No laborable"))))</f>
        <v/>
      </c>
      <c r="R871" s="73" t="n"/>
      <c r="S871" s="72" t="n"/>
      <c r="T871" s="72" t="n"/>
      <c r="U871" s="74" t="n"/>
      <c r="V871" s="79" t="str">
        <f>IF(AND(D871="proMX",OR(R871="Submitted",R871="Recall Requested"),ISNUMBER(S871)),CFG_TODAY-INT(S871),"")</f>
        <v/>
      </c>
      <c r="W871" s="78" t="str">
        <f>IF(BD871=0,"",IF(BA871&gt;0,"⚠ Se superpone con un registro de la otra empresa",IF(D871="Malcolm",IF(COUNTA(R871,S871,T871)&gt;0,"Estado/fechas proMX se ignoran en Malcolm",""),IF(BF871="Cancelled","Cancelado: excluido de totales",IF(R871="","Sin estado: se trata como Draft",IF(BF871="Submitted",IF(ISNUMBER(V871),IF(V871&gt;CFG_MAXD,"⚠ "&amp;V871&amp;" días en Submitted (máx. "&amp;CFG_MAXD&amp;")",""),"Falta fecha de envío"),IF(BF871="Returned","⚠ Devuelto: corregir y reenviar",IF(BF871="Recall Requested","Retirada solicitada: pendiente",IF(AND(BF871="Approved",NOT(ISNUMBER(T871))),"Falta fecha de aprobación",IF(AND(ISNUMBER(S871),ISNUMBER(T871),T871&lt;S871),"Aprobación anterior al envío","")))))))))</f>
        <v/>
      </c>
      <c r="Y871" s="80">
        <f>IF(COUNTA(B871,D871,E871,F871,G871,H871,I871,J871,R871,S871,T871)&gt;0,1,0)</f>
        <v>0</v>
      </c>
      <c r="Z871" s="80" t="str">
        <f>IF(AND(ISNUMBER(H871),H871&gt;=0,H871&lt;1),ROUND(H871*1440,0),"")</f>
        <v/>
      </c>
      <c r="AA871" s="80" t="str">
        <f>IF(AND(ISNUMBER(I871),I871&gt;=0,I871&lt;1),ROUND(I871*1440,0),"")</f>
        <v/>
      </c>
      <c r="AB871" s="80">
        <f>IF(AND(ISNUMBER(B871),D871&lt;&gt;"",ISNUMBER(Z871),ISNUMBER(AA871)),IF(Z871=AA871,0,1),0)</f>
        <v>0</v>
      </c>
      <c r="AC871" s="80">
        <f>IF(AB871=1,IF(AA871&lt;Z871,1,0),0)</f>
        <v>0</v>
      </c>
      <c r="AD871" s="80">
        <f>IF(AB871=1,IF(AC871=1,1440-Z871+AA871,AA871-Z871),0)</f>
        <v>0</v>
      </c>
      <c r="AE871" s="80">
        <f>IF(J871="",0,IF(ISNUMBER(J871),J871,-1))</f>
        <v>0</v>
      </c>
      <c r="AF871" s="80">
        <f>MIN(MAX(0,AE871),AD871)</f>
        <v>0</v>
      </c>
      <c r="AG871" s="80">
        <f>MAX(0,AD871-MAX(0,AE871))</f>
        <v>0</v>
      </c>
      <c r="AH871" s="80">
        <f>IF(ISNUMBER(B871),IF(AND(INDEX(CFG_WDAYS,WEEKDAY(INT(B871),2))="Sí",IF(D871="proMX",COUNTIFS(FER_F,INT(B871),FER_NLP,"Sí"),COUNTIFS(FER_F,INT(B871),FER_NLM,"Sí"))=0),1,0),0)</f>
        <v>0</v>
      </c>
      <c r="AI871" s="80">
        <f>IF(AC871=1,IF(AND(INDEX(CFG_WDAYS,WEEKDAY(INT(B871)+1,2))="Sí",IF(D871="proMX",COUNTIFS(FER_F,INT(B871)+1,FER_NLP,"Sí"),COUNTIFS(FER_F,INT(B871)+1,FER_NLM,"Sí"))=0),1,0),0)</f>
        <v>0</v>
      </c>
      <c r="AJ871" s="80">
        <f>IF(AC871=1,1440-Z871,AD871)</f>
        <v>0</v>
      </c>
      <c r="AK871" s="80">
        <f>IF(AND(AB871=1,AH871=1),MAX(0,MIN(IF(AC871=1,1440,AA871),CFG_WEM)-MAX(Z871,CFG_WSM)),0)</f>
        <v>0</v>
      </c>
      <c r="AL871" s="80">
        <f>IF(AND(AC871=1,AI871=1),MAX(0,MIN(AA871,CFG_WEM)-CFG_WSM),0)</f>
        <v>0</v>
      </c>
      <c r="AM871" s="80">
        <f>AK871+AL871</f>
        <v>0</v>
      </c>
      <c r="AN871" s="80">
        <f>IF(CFG_BRK="Proporcional",IF(AD871=0,0,AF871*AM871/AD871),IF(CFG_BRK="Extras primero",MIN(AM871,MAX(0,AF871-(AD871-AM871))),MIN(AF871,AM871)))</f>
        <v>0</v>
      </c>
      <c r="AO871" s="80">
        <f>AF871-AN871</f>
        <v>0</v>
      </c>
      <c r="AP871" s="80">
        <f>AM871-AN871</f>
        <v>0</v>
      </c>
      <c r="AQ871" s="80">
        <f>AD871-AM871-AO871</f>
        <v>0</v>
      </c>
      <c r="AR871" s="80">
        <f>IF(AM871=0,0,AK871-AN871*AK871/AM871)</f>
        <v>0</v>
      </c>
      <c r="AS871" s="80">
        <f>IF(AD871-AM871=0,0,(AJ871-AK871)-AO871*(AJ871-AK871)/(AD871-AM871))</f>
        <v>0</v>
      </c>
      <c r="AT871" s="80" t="str">
        <f>IF(AC871=1,INT(B871)+1,"")</f>
        <v/>
      </c>
      <c r="AU871" s="80">
        <f>IF(AND(D871="proMX",R871="Cancelled"),0,1)</f>
        <v>1</v>
      </c>
      <c r="AV871" s="80">
        <f>IF(AND(AB871=1,AU871=1),IF(COUNTIFS($D$5:D870,D871,$B$5:B870,B871,$Z$5:Z870,Z871,$AA$5:AA870,AA871,$F$5:F870,F871&amp;"",$AU$5:AU870,1)&gt;0,1,0),0)</f>
        <v>0</v>
      </c>
      <c r="AW871" s="80" t="str">
        <f>IF(AB871=1,INT(B871)*1440+Z871,"")</f>
        <v/>
      </c>
      <c r="AX871" s="80" t="str">
        <f>IF(AB871=1,AW871+AD871,"")</f>
        <v/>
      </c>
      <c r="AY871" s="80">
        <f>IF(AND(AB871=1,AV871=0,AU871=1),1,0)</f>
        <v>0</v>
      </c>
      <c r="AZ871" s="80">
        <f>IF(AY871=1,COUNTIFS(R_Emp,D871,R_SAbs,"&lt;"&amp;AX871,R_EAbs,"&gt;"&amp;AW871,R_OKey,1)-1,0)</f>
        <v>0</v>
      </c>
      <c r="BA871" s="80">
        <f>IF(AY871=1,COUNTIFS(R_Emp,"&lt;&gt;"&amp;D871,R_SAbs,"&lt;"&amp;AX871,R_EAbs,"&gt;"&amp;AW871,R_OKey,1),0)</f>
        <v>0</v>
      </c>
      <c r="BB871" s="80">
        <f>IF(AND(AB871=1,D871="proMX"),IF(AND(MOD(Z871,CFG_BLK)=0,MOD(AA871,CFG_BLK)=0,MOD(AG871,CFG_BLK)=0,AG871&gt;0),1,0),1)</f>
        <v>1</v>
      </c>
      <c r="BC871" s="80" t="str">
        <f>IF(Y871=0,"",IF(NOT(ISNUMBER(B871)),"Falta fecha o fecha inválida",IF(D871="","Falta empresa",IF(AND(D871&lt;&gt;"Malcolm",D871&lt;&gt;"proMX"),"Empresa inválida",IF(OR(INT(B871)&lt;CFG_PSTART,INT(B871)&gt;CFG_PEND),"Fecha fuera del período",IF(OR(NOT(ISNUMBER(Z871)),NOT(ISNUMBER(AA871))),"Falta hora inicio/fin o formato inválido",IF(AB871=0,"Hora inicio = hora fin",IF(AE871&lt;0,"Descanso inválido",IF(AE871&gt;=AD871,"Descanso ≥ duración",IF(AV871=1,"Registro duplicado",IF(AZ871&gt;0,"Se superpone con otro registro "&amp;D871,IF(BB871=0,"inicio, fin y duración neta deben ser múltiplos de "&amp;CFG_BLK&amp;" min",""))))))))))))</f>
        <v/>
      </c>
      <c r="BD871" s="80">
        <f>IF(AND(Y871=1,BC871=""),1,0)</f>
        <v>0</v>
      </c>
      <c r="BE871" s="80">
        <f>IF(AND(BD871=1,AU871=1),1,0)</f>
        <v>0</v>
      </c>
      <c r="BF871" s="80" t="str">
        <f>IF(AND(D871="proMX",BD871=1),IF(R871="","Draft",R871),"")</f>
        <v/>
      </c>
      <c r="BG871" s="80">
        <f>IF(BD871=1,ROUND(AG871/60,6),0)</f>
        <v>0</v>
      </c>
      <c r="BH871" s="80">
        <f>IF(BE871=1,ROUND(AG871/60,6),0)</f>
        <v>0</v>
      </c>
      <c r="BI871" s="80">
        <f>IF(BE871=1,ROUND(AP871/60,6),0)</f>
        <v>0</v>
      </c>
      <c r="BJ871" s="80">
        <f>IF(BE871=1,ROUND(AQ871/60,6),0)</f>
        <v>0</v>
      </c>
      <c r="BK871" s="80">
        <f>IF(BE871=1,ROUND((AR871+AS871)/60,6),0)</f>
        <v>0</v>
      </c>
      <c r="BL871" s="80">
        <f>ROUND(BH871-BK871,6)</f>
        <v>0</v>
      </c>
      <c r="BM871" s="80">
        <f>IF(BE871=1,ROUND(AR871/60,6),0)</f>
        <v>0</v>
      </c>
      <c r="BN871" s="80">
        <f>ROUND(BI871-BM871,6)</f>
        <v>0</v>
      </c>
      <c r="BO871" s="80">
        <f>IF(BE871=1,ROUND(AS871/60,6),0)</f>
        <v>0</v>
      </c>
      <c r="BP871" s="80">
        <f>ROUND(BJ871-BO871,6)</f>
        <v>0</v>
      </c>
      <c r="BQ871" s="80">
        <f>IF(BE871=1,AW871,0)</f>
        <v>0</v>
      </c>
      <c r="BR871" s="80">
        <f>IF(BE871=1,AX871,0)</f>
        <v>0</v>
      </c>
      <c r="BS871" s="80">
        <f>IF(AND(BE871=1,D871="Malcolm",BA871&gt;0),MIN(BH871,SUMPRODUCT((R_Emp="proMX")*(R_EN&gt;0)*((R_EN-(R_EN&gt;BR871)*(R_EN-BR871))&gt;(R_SN+(R_SN&lt;BQ871)*(BQ871-R_SN)))*((R_EN-(R_EN&gt;BR871)*(R_EN-BR871))-(R_SN+(R_SN&lt;BQ871)*(BQ871-R_SN))))/60),0)</f>
        <v>0</v>
      </c>
      <c r="BT871" s="80">
        <f>IF(AND(BE871=1,D871="proMX"),ROUND(BI871*CFG_RATE+BJ871*CFG_OTRATE,6),0)</f>
        <v>0</v>
      </c>
      <c r="BU871" s="80">
        <f>IF(AND(BD871=1,D871="proMX"),ROUND(AG871/CFG_BLK,6),0)</f>
        <v>0</v>
      </c>
      <c r="BV871" s="80" t="str">
        <f>IF(BF871="Approved",IF(ISNUMBER(T871),INT(T871),INT(B871)),"")</f>
        <v/>
      </c>
      <c r="BW871" s="80">
        <f>IF(ISNUMBER(B871),IF(DB_MON="Todos",1,IF(AND(INT(B871)&gt;=DB_MS,INT(B871)&lt;=DB_ME),1,0)),0)</f>
        <v>0</v>
      </c>
      <c r="BX871" s="80">
        <f>IF(DB_PROJ="Todos",1,IF(E871&amp;""=DB_PROJ&amp;"",1,0))</f>
        <v>1</v>
      </c>
      <c r="BY871" s="80">
        <f>BW871*BX871</f>
        <v>0</v>
      </c>
      <c r="BZ871" s="80" t="str">
        <f>IF(Y871=1,F871&amp;IF(AND(F871&amp;""&lt;&gt;"",E871&amp;""&lt;&gt;"")," · ","")&amp;E871,"")</f>
        <v/>
      </c>
      <c r="CA871" s="80" t="str">
        <f>IF(AND(BD871=1,E871&amp;""&lt;&gt;""),IF(COUNTIFS($E$5:E870,E871,$BD$5:BD870,1)=0,MAX($CA$5:CA870)+1,""),"")</f>
        <v/>
      </c>
      <c r="CB871" s="80" t="str">
        <f>IF(AND(BE871=1,D871="Malcolm",E871&amp;""&lt;&gt;""),IF(COUNTIFS($D$5:D870,"Malcolm",$E$5:E870,E871,$BE$5:BE870,1)=0,MAX($CB$5:CB870)+1,""),"")</f>
        <v/>
      </c>
      <c r="CC871" s="80" t="str">
        <f>IF(AND(BD871=1,D871="proMX",E871&amp;""&lt;&gt;""),IF(COUNTIFS($D$5:D870,"proMX",$E$5:E870,E871,$BD$5:BD870,1)=0,MAX($CC$5:CC870)+1,""),"")</f>
        <v/>
      </c>
      <c r="CD871" s="80" t="str">
        <f>IF(AND(BE871=1,D871="Malcolm",F871&amp;""&lt;&gt;""),IF(COUNTIFS($D$5:D870,"Malcolm",$F$5:F870,F871,$BE$5:BE870,1)=0,MAX($CD$5:CD870)+1,""),"")</f>
        <v/>
      </c>
      <c r="CE871" s="80" t="str">
        <f>IF(AND(BD871=1,D871="proMX",F871&amp;""&lt;&gt;""),IF(COUNTIFS($D$5:D870,"proMX",$F$5:F870,F871,$BD$5:BD870,1)=0,MAX($CE$5:CE870)+1,""),"")</f>
        <v/>
      </c>
      <c r="CF871" s="80" t="str">
        <f>IF(AND(D871="proMX",BD871=1),IF(OR(BF871="Draft",BF871="Submitted",BF871="Returned",BF871="Recall Requested"),MAX($CF$5:CF870)+1,""),"")</f>
        <v/>
      </c>
      <c r="CG871" s="80">
        <f>IF(BD871=0,0,IF(D871="Malcolm",1,MATCH(BF871,{"Draft","Submitted","Approved","Returned","Recall Requested","Cancelled"},0)+1))</f>
        <v>0</v>
      </c>
      <c r="CH871" s="80">
        <f>IF(AND(BF871="Submitted",ISNUMBER(V871)),IF(V871&gt;CFG_MAXD,1,0),0)</f>
        <v>0</v>
      </c>
    </row>
    <row r="872">
      <c r="A872" s="71" t="str">
        <f>IF(Y872=1,ROW()-5,"")</f>
        <v/>
      </c>
      <c r="B872" s="72" t="n"/>
      <c r="C872" s="71" t="str">
        <f>IF(ISNUMBER(B872),CHOOSE(WEEKDAY(B872,2),"Lun","Mar","Mié","Jue","Vie","Sáb","Dom"),"")</f>
        <v/>
      </c>
      <c r="D872" s="73" t="n"/>
      <c r="E872" s="74" t="n"/>
      <c r="F872" s="74" t="n"/>
      <c r="G872" s="74" t="n"/>
      <c r="H872" s="75" t="n"/>
      <c r="I872" s="75" t="n"/>
      <c r="J872" s="76" t="n"/>
      <c r="K872" s="77" t="str">
        <f>IF(AB872=1,ROUND(AG872/60,4),"")</f>
        <v/>
      </c>
      <c r="L872" s="77" t="str">
        <f>IF(BD872=1,ROUND(AP872/60,4),"")</f>
        <v/>
      </c>
      <c r="M872" s="77" t="str">
        <f>IF(BD872=1,ROUND(AQ872/60,4),"")</f>
        <v/>
      </c>
      <c r="N872" s="71" t="str">
        <f>IF(AND(D872="proMX",AB872=1),ROUND(AG872/CFG_BLK,2),"")</f>
        <v/>
      </c>
      <c r="O872" s="77" t="str">
        <f>IF(D872="proMX",IF(BD872=1,ROUND(AG872/60,4),0),"")</f>
        <v/>
      </c>
      <c r="P872" s="78" t="str">
        <f>IF(Y872=0,"",IF(BD872=1,"OK",IF(D872="proMX","Revisar bloques: ","Revisar: ")&amp;BC872))</f>
        <v/>
      </c>
      <c r="Q872" s="78" t="str">
        <f>IF(NOT(ISNUMBER(B872)),"",IF(COUNTIFS(FER_F,INT(B872))&gt;0,"Feriado"&amp;IF(AH872=1," (laborable)"," (no laborable)"),IF(AH872=1,"Laborable",IF(WEEKDAY(B872,2)&gt;5,"Fin de semana","No laborable"))))</f>
        <v/>
      </c>
      <c r="R872" s="73" t="n"/>
      <c r="S872" s="72" t="n"/>
      <c r="T872" s="72" t="n"/>
      <c r="U872" s="74" t="n"/>
      <c r="V872" s="79" t="str">
        <f>IF(AND(D872="proMX",OR(R872="Submitted",R872="Recall Requested"),ISNUMBER(S872)),CFG_TODAY-INT(S872),"")</f>
        <v/>
      </c>
      <c r="W872" s="78" t="str">
        <f>IF(BD872=0,"",IF(BA872&gt;0,"⚠ Se superpone con un registro de la otra empresa",IF(D872="Malcolm",IF(COUNTA(R872,S872,T872)&gt;0,"Estado/fechas proMX se ignoran en Malcolm",""),IF(BF872="Cancelled","Cancelado: excluido de totales",IF(R872="","Sin estado: se trata como Draft",IF(BF872="Submitted",IF(ISNUMBER(V872),IF(V872&gt;CFG_MAXD,"⚠ "&amp;V872&amp;" días en Submitted (máx. "&amp;CFG_MAXD&amp;")",""),"Falta fecha de envío"),IF(BF872="Returned","⚠ Devuelto: corregir y reenviar",IF(BF872="Recall Requested","Retirada solicitada: pendiente",IF(AND(BF872="Approved",NOT(ISNUMBER(T872))),"Falta fecha de aprobación",IF(AND(ISNUMBER(S872),ISNUMBER(T872),T872&lt;S872),"Aprobación anterior al envío","")))))))))</f>
        <v/>
      </c>
      <c r="Y872" s="80">
        <f>IF(COUNTA(B872,D872,E872,F872,G872,H872,I872,J872,R872,S872,T872)&gt;0,1,0)</f>
        <v>0</v>
      </c>
      <c r="Z872" s="80" t="str">
        <f>IF(AND(ISNUMBER(H872),H872&gt;=0,H872&lt;1),ROUND(H872*1440,0),"")</f>
        <v/>
      </c>
      <c r="AA872" s="80" t="str">
        <f>IF(AND(ISNUMBER(I872),I872&gt;=0,I872&lt;1),ROUND(I872*1440,0),"")</f>
        <v/>
      </c>
      <c r="AB872" s="80">
        <f>IF(AND(ISNUMBER(B872),D872&lt;&gt;"",ISNUMBER(Z872),ISNUMBER(AA872)),IF(Z872=AA872,0,1),0)</f>
        <v>0</v>
      </c>
      <c r="AC872" s="80">
        <f>IF(AB872=1,IF(AA872&lt;Z872,1,0),0)</f>
        <v>0</v>
      </c>
      <c r="AD872" s="80">
        <f>IF(AB872=1,IF(AC872=1,1440-Z872+AA872,AA872-Z872),0)</f>
        <v>0</v>
      </c>
      <c r="AE872" s="80">
        <f>IF(J872="",0,IF(ISNUMBER(J872),J872,-1))</f>
        <v>0</v>
      </c>
      <c r="AF872" s="80">
        <f>MIN(MAX(0,AE872),AD872)</f>
        <v>0</v>
      </c>
      <c r="AG872" s="80">
        <f>MAX(0,AD872-MAX(0,AE872))</f>
        <v>0</v>
      </c>
      <c r="AH872" s="80">
        <f>IF(ISNUMBER(B872),IF(AND(INDEX(CFG_WDAYS,WEEKDAY(INT(B872),2))="Sí",IF(D872="proMX",COUNTIFS(FER_F,INT(B872),FER_NLP,"Sí"),COUNTIFS(FER_F,INT(B872),FER_NLM,"Sí"))=0),1,0),0)</f>
        <v>0</v>
      </c>
      <c r="AI872" s="80">
        <f>IF(AC872=1,IF(AND(INDEX(CFG_WDAYS,WEEKDAY(INT(B872)+1,2))="Sí",IF(D872="proMX",COUNTIFS(FER_F,INT(B872)+1,FER_NLP,"Sí"),COUNTIFS(FER_F,INT(B872)+1,FER_NLM,"Sí"))=0),1,0),0)</f>
        <v>0</v>
      </c>
      <c r="AJ872" s="80">
        <f>IF(AC872=1,1440-Z872,AD872)</f>
        <v>0</v>
      </c>
      <c r="AK872" s="80">
        <f>IF(AND(AB872=1,AH872=1),MAX(0,MIN(IF(AC872=1,1440,AA872),CFG_WEM)-MAX(Z872,CFG_WSM)),0)</f>
        <v>0</v>
      </c>
      <c r="AL872" s="80">
        <f>IF(AND(AC872=1,AI872=1),MAX(0,MIN(AA872,CFG_WEM)-CFG_WSM),0)</f>
        <v>0</v>
      </c>
      <c r="AM872" s="80">
        <f>AK872+AL872</f>
        <v>0</v>
      </c>
      <c r="AN872" s="80">
        <f>IF(CFG_BRK="Proporcional",IF(AD872=0,0,AF872*AM872/AD872),IF(CFG_BRK="Extras primero",MIN(AM872,MAX(0,AF872-(AD872-AM872))),MIN(AF872,AM872)))</f>
        <v>0</v>
      </c>
      <c r="AO872" s="80">
        <f>AF872-AN872</f>
        <v>0</v>
      </c>
      <c r="AP872" s="80">
        <f>AM872-AN872</f>
        <v>0</v>
      </c>
      <c r="AQ872" s="80">
        <f>AD872-AM872-AO872</f>
        <v>0</v>
      </c>
      <c r="AR872" s="80">
        <f>IF(AM872=0,0,AK872-AN872*AK872/AM872)</f>
        <v>0</v>
      </c>
      <c r="AS872" s="80">
        <f>IF(AD872-AM872=0,0,(AJ872-AK872)-AO872*(AJ872-AK872)/(AD872-AM872))</f>
        <v>0</v>
      </c>
      <c r="AT872" s="80" t="str">
        <f>IF(AC872=1,INT(B872)+1,"")</f>
        <v/>
      </c>
      <c r="AU872" s="80">
        <f>IF(AND(D872="proMX",R872="Cancelled"),0,1)</f>
        <v>1</v>
      </c>
      <c r="AV872" s="80">
        <f>IF(AND(AB872=1,AU872=1),IF(COUNTIFS($D$5:D871,D872,$B$5:B871,B872,$Z$5:Z871,Z872,$AA$5:AA871,AA872,$F$5:F871,F872&amp;"",$AU$5:AU871,1)&gt;0,1,0),0)</f>
        <v>0</v>
      </c>
      <c r="AW872" s="80" t="str">
        <f>IF(AB872=1,INT(B872)*1440+Z872,"")</f>
        <v/>
      </c>
      <c r="AX872" s="80" t="str">
        <f>IF(AB872=1,AW872+AD872,"")</f>
        <v/>
      </c>
      <c r="AY872" s="80">
        <f>IF(AND(AB872=1,AV872=0,AU872=1),1,0)</f>
        <v>0</v>
      </c>
      <c r="AZ872" s="80">
        <f>IF(AY872=1,COUNTIFS(R_Emp,D872,R_SAbs,"&lt;"&amp;AX872,R_EAbs,"&gt;"&amp;AW872,R_OKey,1)-1,0)</f>
        <v>0</v>
      </c>
      <c r="BA872" s="80">
        <f>IF(AY872=1,COUNTIFS(R_Emp,"&lt;&gt;"&amp;D872,R_SAbs,"&lt;"&amp;AX872,R_EAbs,"&gt;"&amp;AW872,R_OKey,1),0)</f>
        <v>0</v>
      </c>
      <c r="BB872" s="80">
        <f>IF(AND(AB872=1,D872="proMX"),IF(AND(MOD(Z872,CFG_BLK)=0,MOD(AA872,CFG_BLK)=0,MOD(AG872,CFG_BLK)=0,AG872&gt;0),1,0),1)</f>
        <v>1</v>
      </c>
      <c r="BC872" s="80" t="str">
        <f>IF(Y872=0,"",IF(NOT(ISNUMBER(B872)),"Falta fecha o fecha inválida",IF(D872="","Falta empresa",IF(AND(D872&lt;&gt;"Malcolm",D872&lt;&gt;"proMX"),"Empresa inválida",IF(OR(INT(B872)&lt;CFG_PSTART,INT(B872)&gt;CFG_PEND),"Fecha fuera del período",IF(OR(NOT(ISNUMBER(Z872)),NOT(ISNUMBER(AA872))),"Falta hora inicio/fin o formato inválido",IF(AB872=0,"Hora inicio = hora fin",IF(AE872&lt;0,"Descanso inválido",IF(AE872&gt;=AD872,"Descanso ≥ duración",IF(AV872=1,"Registro duplicado",IF(AZ872&gt;0,"Se superpone con otro registro "&amp;D872,IF(BB872=0,"inicio, fin y duración neta deben ser múltiplos de "&amp;CFG_BLK&amp;" min",""))))))))))))</f>
        <v/>
      </c>
      <c r="BD872" s="80">
        <f>IF(AND(Y872=1,BC872=""),1,0)</f>
        <v>0</v>
      </c>
      <c r="BE872" s="80">
        <f>IF(AND(BD872=1,AU872=1),1,0)</f>
        <v>0</v>
      </c>
      <c r="BF872" s="80" t="str">
        <f>IF(AND(D872="proMX",BD872=1),IF(R872="","Draft",R872),"")</f>
        <v/>
      </c>
      <c r="BG872" s="80">
        <f>IF(BD872=1,ROUND(AG872/60,6),0)</f>
        <v>0</v>
      </c>
      <c r="BH872" s="80">
        <f>IF(BE872=1,ROUND(AG872/60,6),0)</f>
        <v>0</v>
      </c>
      <c r="BI872" s="80">
        <f>IF(BE872=1,ROUND(AP872/60,6),0)</f>
        <v>0</v>
      </c>
      <c r="BJ872" s="80">
        <f>IF(BE872=1,ROUND(AQ872/60,6),0)</f>
        <v>0</v>
      </c>
      <c r="BK872" s="80">
        <f>IF(BE872=1,ROUND((AR872+AS872)/60,6),0)</f>
        <v>0</v>
      </c>
      <c r="BL872" s="80">
        <f>ROUND(BH872-BK872,6)</f>
        <v>0</v>
      </c>
      <c r="BM872" s="80">
        <f>IF(BE872=1,ROUND(AR872/60,6),0)</f>
        <v>0</v>
      </c>
      <c r="BN872" s="80">
        <f>ROUND(BI872-BM872,6)</f>
        <v>0</v>
      </c>
      <c r="BO872" s="80">
        <f>IF(BE872=1,ROUND(AS872/60,6),0)</f>
        <v>0</v>
      </c>
      <c r="BP872" s="80">
        <f>ROUND(BJ872-BO872,6)</f>
        <v>0</v>
      </c>
      <c r="BQ872" s="80">
        <f>IF(BE872=1,AW872,0)</f>
        <v>0</v>
      </c>
      <c r="BR872" s="80">
        <f>IF(BE872=1,AX872,0)</f>
        <v>0</v>
      </c>
      <c r="BS872" s="80">
        <f>IF(AND(BE872=1,D872="Malcolm",BA872&gt;0),MIN(BH872,SUMPRODUCT((R_Emp="proMX")*(R_EN&gt;0)*((R_EN-(R_EN&gt;BR872)*(R_EN-BR872))&gt;(R_SN+(R_SN&lt;BQ872)*(BQ872-R_SN)))*((R_EN-(R_EN&gt;BR872)*(R_EN-BR872))-(R_SN+(R_SN&lt;BQ872)*(BQ872-R_SN))))/60),0)</f>
        <v>0</v>
      </c>
      <c r="BT872" s="80">
        <f>IF(AND(BE872=1,D872="proMX"),ROUND(BI872*CFG_RATE+BJ872*CFG_OTRATE,6),0)</f>
        <v>0</v>
      </c>
      <c r="BU872" s="80">
        <f>IF(AND(BD872=1,D872="proMX"),ROUND(AG872/CFG_BLK,6),0)</f>
        <v>0</v>
      </c>
      <c r="BV872" s="80" t="str">
        <f>IF(BF872="Approved",IF(ISNUMBER(T872),INT(T872),INT(B872)),"")</f>
        <v/>
      </c>
      <c r="BW872" s="80">
        <f>IF(ISNUMBER(B872),IF(DB_MON="Todos",1,IF(AND(INT(B872)&gt;=DB_MS,INT(B872)&lt;=DB_ME),1,0)),0)</f>
        <v>0</v>
      </c>
      <c r="BX872" s="80">
        <f>IF(DB_PROJ="Todos",1,IF(E872&amp;""=DB_PROJ&amp;"",1,0))</f>
        <v>1</v>
      </c>
      <c r="BY872" s="80">
        <f>BW872*BX872</f>
        <v>0</v>
      </c>
      <c r="BZ872" s="80" t="str">
        <f>IF(Y872=1,F872&amp;IF(AND(F872&amp;""&lt;&gt;"",E872&amp;""&lt;&gt;"")," · ","")&amp;E872,"")</f>
        <v/>
      </c>
      <c r="CA872" s="80" t="str">
        <f>IF(AND(BD872=1,E872&amp;""&lt;&gt;""),IF(COUNTIFS($E$5:E871,E872,$BD$5:BD871,1)=0,MAX($CA$5:CA871)+1,""),"")</f>
        <v/>
      </c>
      <c r="CB872" s="80" t="str">
        <f>IF(AND(BE872=1,D872="Malcolm",E872&amp;""&lt;&gt;""),IF(COUNTIFS($D$5:D871,"Malcolm",$E$5:E871,E872,$BE$5:BE871,1)=0,MAX($CB$5:CB871)+1,""),"")</f>
        <v/>
      </c>
      <c r="CC872" s="80" t="str">
        <f>IF(AND(BD872=1,D872="proMX",E872&amp;""&lt;&gt;""),IF(COUNTIFS($D$5:D871,"proMX",$E$5:E871,E872,$BD$5:BD871,1)=0,MAX($CC$5:CC871)+1,""),"")</f>
        <v/>
      </c>
      <c r="CD872" s="80" t="str">
        <f>IF(AND(BE872=1,D872="Malcolm",F872&amp;""&lt;&gt;""),IF(COUNTIFS($D$5:D871,"Malcolm",$F$5:F871,F872,$BE$5:BE871,1)=0,MAX($CD$5:CD871)+1,""),"")</f>
        <v/>
      </c>
      <c r="CE872" s="80" t="str">
        <f>IF(AND(BD872=1,D872="proMX",F872&amp;""&lt;&gt;""),IF(COUNTIFS($D$5:D871,"proMX",$F$5:F871,F872,$BD$5:BD871,1)=0,MAX($CE$5:CE871)+1,""),"")</f>
        <v/>
      </c>
      <c r="CF872" s="80" t="str">
        <f>IF(AND(D872="proMX",BD872=1),IF(OR(BF872="Draft",BF872="Submitted",BF872="Returned",BF872="Recall Requested"),MAX($CF$5:CF871)+1,""),"")</f>
        <v/>
      </c>
      <c r="CG872" s="80">
        <f>IF(BD872=0,0,IF(D872="Malcolm",1,MATCH(BF872,{"Draft","Submitted","Approved","Returned","Recall Requested","Cancelled"},0)+1))</f>
        <v>0</v>
      </c>
      <c r="CH872" s="80">
        <f>IF(AND(BF872="Submitted",ISNUMBER(V872)),IF(V872&gt;CFG_MAXD,1,0),0)</f>
        <v>0</v>
      </c>
    </row>
    <row r="873">
      <c r="A873" s="71" t="str">
        <f>IF(Y873=1,ROW()-5,"")</f>
        <v/>
      </c>
      <c r="B873" s="72" t="n"/>
      <c r="C873" s="71" t="str">
        <f>IF(ISNUMBER(B873),CHOOSE(WEEKDAY(B873,2),"Lun","Mar","Mié","Jue","Vie","Sáb","Dom"),"")</f>
        <v/>
      </c>
      <c r="D873" s="73" t="n"/>
      <c r="E873" s="74" t="n"/>
      <c r="F873" s="74" t="n"/>
      <c r="G873" s="74" t="n"/>
      <c r="H873" s="75" t="n"/>
      <c r="I873" s="75" t="n"/>
      <c r="J873" s="76" t="n"/>
      <c r="K873" s="77" t="str">
        <f>IF(AB873=1,ROUND(AG873/60,4),"")</f>
        <v/>
      </c>
      <c r="L873" s="77" t="str">
        <f>IF(BD873=1,ROUND(AP873/60,4),"")</f>
        <v/>
      </c>
      <c r="M873" s="77" t="str">
        <f>IF(BD873=1,ROUND(AQ873/60,4),"")</f>
        <v/>
      </c>
      <c r="N873" s="71" t="str">
        <f>IF(AND(D873="proMX",AB873=1),ROUND(AG873/CFG_BLK,2),"")</f>
        <v/>
      </c>
      <c r="O873" s="77" t="str">
        <f>IF(D873="proMX",IF(BD873=1,ROUND(AG873/60,4),0),"")</f>
        <v/>
      </c>
      <c r="P873" s="78" t="str">
        <f>IF(Y873=0,"",IF(BD873=1,"OK",IF(D873="proMX","Revisar bloques: ","Revisar: ")&amp;BC873))</f>
        <v/>
      </c>
      <c r="Q873" s="78" t="str">
        <f>IF(NOT(ISNUMBER(B873)),"",IF(COUNTIFS(FER_F,INT(B873))&gt;0,"Feriado"&amp;IF(AH873=1," (laborable)"," (no laborable)"),IF(AH873=1,"Laborable",IF(WEEKDAY(B873,2)&gt;5,"Fin de semana","No laborable"))))</f>
        <v/>
      </c>
      <c r="R873" s="73" t="n"/>
      <c r="S873" s="72" t="n"/>
      <c r="T873" s="72" t="n"/>
      <c r="U873" s="74" t="n"/>
      <c r="V873" s="79" t="str">
        <f>IF(AND(D873="proMX",OR(R873="Submitted",R873="Recall Requested"),ISNUMBER(S873)),CFG_TODAY-INT(S873),"")</f>
        <v/>
      </c>
      <c r="W873" s="78" t="str">
        <f>IF(BD873=0,"",IF(BA873&gt;0,"⚠ Se superpone con un registro de la otra empresa",IF(D873="Malcolm",IF(COUNTA(R873,S873,T873)&gt;0,"Estado/fechas proMX se ignoran en Malcolm",""),IF(BF873="Cancelled","Cancelado: excluido de totales",IF(R873="","Sin estado: se trata como Draft",IF(BF873="Submitted",IF(ISNUMBER(V873),IF(V873&gt;CFG_MAXD,"⚠ "&amp;V873&amp;" días en Submitted (máx. "&amp;CFG_MAXD&amp;")",""),"Falta fecha de envío"),IF(BF873="Returned","⚠ Devuelto: corregir y reenviar",IF(BF873="Recall Requested","Retirada solicitada: pendiente",IF(AND(BF873="Approved",NOT(ISNUMBER(T873))),"Falta fecha de aprobación",IF(AND(ISNUMBER(S873),ISNUMBER(T873),T873&lt;S873),"Aprobación anterior al envío","")))))))))</f>
        <v/>
      </c>
      <c r="Y873" s="80">
        <f>IF(COUNTA(B873,D873,E873,F873,G873,H873,I873,J873,R873,S873,T873)&gt;0,1,0)</f>
        <v>0</v>
      </c>
      <c r="Z873" s="80" t="str">
        <f>IF(AND(ISNUMBER(H873),H873&gt;=0,H873&lt;1),ROUND(H873*1440,0),"")</f>
        <v/>
      </c>
      <c r="AA873" s="80" t="str">
        <f>IF(AND(ISNUMBER(I873),I873&gt;=0,I873&lt;1),ROUND(I873*1440,0),"")</f>
        <v/>
      </c>
      <c r="AB873" s="80">
        <f>IF(AND(ISNUMBER(B873),D873&lt;&gt;"",ISNUMBER(Z873),ISNUMBER(AA873)),IF(Z873=AA873,0,1),0)</f>
        <v>0</v>
      </c>
      <c r="AC873" s="80">
        <f>IF(AB873=1,IF(AA873&lt;Z873,1,0),0)</f>
        <v>0</v>
      </c>
      <c r="AD873" s="80">
        <f>IF(AB873=1,IF(AC873=1,1440-Z873+AA873,AA873-Z873),0)</f>
        <v>0</v>
      </c>
      <c r="AE873" s="80">
        <f>IF(J873="",0,IF(ISNUMBER(J873),J873,-1))</f>
        <v>0</v>
      </c>
      <c r="AF873" s="80">
        <f>MIN(MAX(0,AE873),AD873)</f>
        <v>0</v>
      </c>
      <c r="AG873" s="80">
        <f>MAX(0,AD873-MAX(0,AE873))</f>
        <v>0</v>
      </c>
      <c r="AH873" s="80">
        <f>IF(ISNUMBER(B873),IF(AND(INDEX(CFG_WDAYS,WEEKDAY(INT(B873),2))="Sí",IF(D873="proMX",COUNTIFS(FER_F,INT(B873),FER_NLP,"Sí"),COUNTIFS(FER_F,INT(B873),FER_NLM,"Sí"))=0),1,0),0)</f>
        <v>0</v>
      </c>
      <c r="AI873" s="80">
        <f>IF(AC873=1,IF(AND(INDEX(CFG_WDAYS,WEEKDAY(INT(B873)+1,2))="Sí",IF(D873="proMX",COUNTIFS(FER_F,INT(B873)+1,FER_NLP,"Sí"),COUNTIFS(FER_F,INT(B873)+1,FER_NLM,"Sí"))=0),1,0),0)</f>
        <v>0</v>
      </c>
      <c r="AJ873" s="80">
        <f>IF(AC873=1,1440-Z873,AD873)</f>
        <v>0</v>
      </c>
      <c r="AK873" s="80">
        <f>IF(AND(AB873=1,AH873=1),MAX(0,MIN(IF(AC873=1,1440,AA873),CFG_WEM)-MAX(Z873,CFG_WSM)),0)</f>
        <v>0</v>
      </c>
      <c r="AL873" s="80">
        <f>IF(AND(AC873=1,AI873=1),MAX(0,MIN(AA873,CFG_WEM)-CFG_WSM),0)</f>
        <v>0</v>
      </c>
      <c r="AM873" s="80">
        <f>AK873+AL873</f>
        <v>0</v>
      </c>
      <c r="AN873" s="80">
        <f>IF(CFG_BRK="Proporcional",IF(AD873=0,0,AF873*AM873/AD873),IF(CFG_BRK="Extras primero",MIN(AM873,MAX(0,AF873-(AD873-AM873))),MIN(AF873,AM873)))</f>
        <v>0</v>
      </c>
      <c r="AO873" s="80">
        <f>AF873-AN873</f>
        <v>0</v>
      </c>
      <c r="AP873" s="80">
        <f>AM873-AN873</f>
        <v>0</v>
      </c>
      <c r="AQ873" s="80">
        <f>AD873-AM873-AO873</f>
        <v>0</v>
      </c>
      <c r="AR873" s="80">
        <f>IF(AM873=0,0,AK873-AN873*AK873/AM873)</f>
        <v>0</v>
      </c>
      <c r="AS873" s="80">
        <f>IF(AD873-AM873=0,0,(AJ873-AK873)-AO873*(AJ873-AK873)/(AD873-AM873))</f>
        <v>0</v>
      </c>
      <c r="AT873" s="80" t="str">
        <f>IF(AC873=1,INT(B873)+1,"")</f>
        <v/>
      </c>
      <c r="AU873" s="80">
        <f>IF(AND(D873="proMX",R873="Cancelled"),0,1)</f>
        <v>1</v>
      </c>
      <c r="AV873" s="80">
        <f>IF(AND(AB873=1,AU873=1),IF(COUNTIFS($D$5:D872,D873,$B$5:B872,B873,$Z$5:Z872,Z873,$AA$5:AA872,AA873,$F$5:F872,F873&amp;"",$AU$5:AU872,1)&gt;0,1,0),0)</f>
        <v>0</v>
      </c>
      <c r="AW873" s="80" t="str">
        <f>IF(AB873=1,INT(B873)*1440+Z873,"")</f>
        <v/>
      </c>
      <c r="AX873" s="80" t="str">
        <f>IF(AB873=1,AW873+AD873,"")</f>
        <v/>
      </c>
      <c r="AY873" s="80">
        <f>IF(AND(AB873=1,AV873=0,AU873=1),1,0)</f>
        <v>0</v>
      </c>
      <c r="AZ873" s="80">
        <f>IF(AY873=1,COUNTIFS(R_Emp,D873,R_SAbs,"&lt;"&amp;AX873,R_EAbs,"&gt;"&amp;AW873,R_OKey,1)-1,0)</f>
        <v>0</v>
      </c>
      <c r="BA873" s="80">
        <f>IF(AY873=1,COUNTIFS(R_Emp,"&lt;&gt;"&amp;D873,R_SAbs,"&lt;"&amp;AX873,R_EAbs,"&gt;"&amp;AW873,R_OKey,1),0)</f>
        <v>0</v>
      </c>
      <c r="BB873" s="80">
        <f>IF(AND(AB873=1,D873="proMX"),IF(AND(MOD(Z873,CFG_BLK)=0,MOD(AA873,CFG_BLK)=0,MOD(AG873,CFG_BLK)=0,AG873&gt;0),1,0),1)</f>
        <v>1</v>
      </c>
      <c r="BC873" s="80" t="str">
        <f>IF(Y873=0,"",IF(NOT(ISNUMBER(B873)),"Falta fecha o fecha inválida",IF(D873="","Falta empresa",IF(AND(D873&lt;&gt;"Malcolm",D873&lt;&gt;"proMX"),"Empresa inválida",IF(OR(INT(B873)&lt;CFG_PSTART,INT(B873)&gt;CFG_PEND),"Fecha fuera del período",IF(OR(NOT(ISNUMBER(Z873)),NOT(ISNUMBER(AA873))),"Falta hora inicio/fin o formato inválido",IF(AB873=0,"Hora inicio = hora fin",IF(AE873&lt;0,"Descanso inválido",IF(AE873&gt;=AD873,"Descanso ≥ duración",IF(AV873=1,"Registro duplicado",IF(AZ873&gt;0,"Se superpone con otro registro "&amp;D873,IF(BB873=0,"inicio, fin y duración neta deben ser múltiplos de "&amp;CFG_BLK&amp;" min",""))))))))))))</f>
        <v/>
      </c>
      <c r="BD873" s="80">
        <f>IF(AND(Y873=1,BC873=""),1,0)</f>
        <v>0</v>
      </c>
      <c r="BE873" s="80">
        <f>IF(AND(BD873=1,AU873=1),1,0)</f>
        <v>0</v>
      </c>
      <c r="BF873" s="80" t="str">
        <f>IF(AND(D873="proMX",BD873=1),IF(R873="","Draft",R873),"")</f>
        <v/>
      </c>
      <c r="BG873" s="80">
        <f>IF(BD873=1,ROUND(AG873/60,6),0)</f>
        <v>0</v>
      </c>
      <c r="BH873" s="80">
        <f>IF(BE873=1,ROUND(AG873/60,6),0)</f>
        <v>0</v>
      </c>
      <c r="BI873" s="80">
        <f>IF(BE873=1,ROUND(AP873/60,6),0)</f>
        <v>0</v>
      </c>
      <c r="BJ873" s="80">
        <f>IF(BE873=1,ROUND(AQ873/60,6),0)</f>
        <v>0</v>
      </c>
      <c r="BK873" s="80">
        <f>IF(BE873=1,ROUND((AR873+AS873)/60,6),0)</f>
        <v>0</v>
      </c>
      <c r="BL873" s="80">
        <f>ROUND(BH873-BK873,6)</f>
        <v>0</v>
      </c>
      <c r="BM873" s="80">
        <f>IF(BE873=1,ROUND(AR873/60,6),0)</f>
        <v>0</v>
      </c>
      <c r="BN873" s="80">
        <f>ROUND(BI873-BM873,6)</f>
        <v>0</v>
      </c>
      <c r="BO873" s="80">
        <f>IF(BE873=1,ROUND(AS873/60,6),0)</f>
        <v>0</v>
      </c>
      <c r="BP873" s="80">
        <f>ROUND(BJ873-BO873,6)</f>
        <v>0</v>
      </c>
      <c r="BQ873" s="80">
        <f>IF(BE873=1,AW873,0)</f>
        <v>0</v>
      </c>
      <c r="BR873" s="80">
        <f>IF(BE873=1,AX873,0)</f>
        <v>0</v>
      </c>
      <c r="BS873" s="80">
        <f>IF(AND(BE873=1,D873="Malcolm",BA873&gt;0),MIN(BH873,SUMPRODUCT((R_Emp="proMX")*(R_EN&gt;0)*((R_EN-(R_EN&gt;BR873)*(R_EN-BR873))&gt;(R_SN+(R_SN&lt;BQ873)*(BQ873-R_SN)))*((R_EN-(R_EN&gt;BR873)*(R_EN-BR873))-(R_SN+(R_SN&lt;BQ873)*(BQ873-R_SN))))/60),0)</f>
        <v>0</v>
      </c>
      <c r="BT873" s="80">
        <f>IF(AND(BE873=1,D873="proMX"),ROUND(BI873*CFG_RATE+BJ873*CFG_OTRATE,6),0)</f>
        <v>0</v>
      </c>
      <c r="BU873" s="80">
        <f>IF(AND(BD873=1,D873="proMX"),ROUND(AG873/CFG_BLK,6),0)</f>
        <v>0</v>
      </c>
      <c r="BV873" s="80" t="str">
        <f>IF(BF873="Approved",IF(ISNUMBER(T873),INT(T873),INT(B873)),"")</f>
        <v/>
      </c>
      <c r="BW873" s="80">
        <f>IF(ISNUMBER(B873),IF(DB_MON="Todos",1,IF(AND(INT(B873)&gt;=DB_MS,INT(B873)&lt;=DB_ME),1,0)),0)</f>
        <v>0</v>
      </c>
      <c r="BX873" s="80">
        <f>IF(DB_PROJ="Todos",1,IF(E873&amp;""=DB_PROJ&amp;"",1,0))</f>
        <v>1</v>
      </c>
      <c r="BY873" s="80">
        <f>BW873*BX873</f>
        <v>0</v>
      </c>
      <c r="BZ873" s="80" t="str">
        <f>IF(Y873=1,F873&amp;IF(AND(F873&amp;""&lt;&gt;"",E873&amp;""&lt;&gt;"")," · ","")&amp;E873,"")</f>
        <v/>
      </c>
      <c r="CA873" s="80" t="str">
        <f>IF(AND(BD873=1,E873&amp;""&lt;&gt;""),IF(COUNTIFS($E$5:E872,E873,$BD$5:BD872,1)=0,MAX($CA$5:CA872)+1,""),"")</f>
        <v/>
      </c>
      <c r="CB873" s="80" t="str">
        <f>IF(AND(BE873=1,D873="Malcolm",E873&amp;""&lt;&gt;""),IF(COUNTIFS($D$5:D872,"Malcolm",$E$5:E872,E873,$BE$5:BE872,1)=0,MAX($CB$5:CB872)+1,""),"")</f>
        <v/>
      </c>
      <c r="CC873" s="80" t="str">
        <f>IF(AND(BD873=1,D873="proMX",E873&amp;""&lt;&gt;""),IF(COUNTIFS($D$5:D872,"proMX",$E$5:E872,E873,$BD$5:BD872,1)=0,MAX($CC$5:CC872)+1,""),"")</f>
        <v/>
      </c>
      <c r="CD873" s="80" t="str">
        <f>IF(AND(BE873=1,D873="Malcolm",F873&amp;""&lt;&gt;""),IF(COUNTIFS($D$5:D872,"Malcolm",$F$5:F872,F873,$BE$5:BE872,1)=0,MAX($CD$5:CD872)+1,""),"")</f>
        <v/>
      </c>
      <c r="CE873" s="80" t="str">
        <f>IF(AND(BD873=1,D873="proMX",F873&amp;""&lt;&gt;""),IF(COUNTIFS($D$5:D872,"proMX",$F$5:F872,F873,$BD$5:BD872,1)=0,MAX($CE$5:CE872)+1,""),"")</f>
        <v/>
      </c>
      <c r="CF873" s="80" t="str">
        <f>IF(AND(D873="proMX",BD873=1),IF(OR(BF873="Draft",BF873="Submitted",BF873="Returned",BF873="Recall Requested"),MAX($CF$5:CF872)+1,""),"")</f>
        <v/>
      </c>
      <c r="CG873" s="80">
        <f>IF(BD873=0,0,IF(D873="Malcolm",1,MATCH(BF873,{"Draft","Submitted","Approved","Returned","Recall Requested","Cancelled"},0)+1))</f>
        <v>0</v>
      </c>
      <c r="CH873" s="80">
        <f>IF(AND(BF873="Submitted",ISNUMBER(V873)),IF(V873&gt;CFG_MAXD,1,0),0)</f>
        <v>0</v>
      </c>
    </row>
    <row r="874">
      <c r="A874" s="71" t="str">
        <f>IF(Y874=1,ROW()-5,"")</f>
        <v/>
      </c>
      <c r="B874" s="72" t="n"/>
      <c r="C874" s="71" t="str">
        <f>IF(ISNUMBER(B874),CHOOSE(WEEKDAY(B874,2),"Lun","Mar","Mié","Jue","Vie","Sáb","Dom"),"")</f>
        <v/>
      </c>
      <c r="D874" s="73" t="n"/>
      <c r="E874" s="74" t="n"/>
      <c r="F874" s="74" t="n"/>
      <c r="G874" s="74" t="n"/>
      <c r="H874" s="75" t="n"/>
      <c r="I874" s="75" t="n"/>
      <c r="J874" s="76" t="n"/>
      <c r="K874" s="77" t="str">
        <f>IF(AB874=1,ROUND(AG874/60,4),"")</f>
        <v/>
      </c>
      <c r="L874" s="77" t="str">
        <f>IF(BD874=1,ROUND(AP874/60,4),"")</f>
        <v/>
      </c>
      <c r="M874" s="77" t="str">
        <f>IF(BD874=1,ROUND(AQ874/60,4),"")</f>
        <v/>
      </c>
      <c r="N874" s="71" t="str">
        <f>IF(AND(D874="proMX",AB874=1),ROUND(AG874/CFG_BLK,2),"")</f>
        <v/>
      </c>
      <c r="O874" s="77" t="str">
        <f>IF(D874="proMX",IF(BD874=1,ROUND(AG874/60,4),0),"")</f>
        <v/>
      </c>
      <c r="P874" s="78" t="str">
        <f>IF(Y874=0,"",IF(BD874=1,"OK",IF(D874="proMX","Revisar bloques: ","Revisar: ")&amp;BC874))</f>
        <v/>
      </c>
      <c r="Q874" s="78" t="str">
        <f>IF(NOT(ISNUMBER(B874)),"",IF(COUNTIFS(FER_F,INT(B874))&gt;0,"Feriado"&amp;IF(AH874=1," (laborable)"," (no laborable)"),IF(AH874=1,"Laborable",IF(WEEKDAY(B874,2)&gt;5,"Fin de semana","No laborable"))))</f>
        <v/>
      </c>
      <c r="R874" s="73" t="n"/>
      <c r="S874" s="72" t="n"/>
      <c r="T874" s="72" t="n"/>
      <c r="U874" s="74" t="n"/>
      <c r="V874" s="79" t="str">
        <f>IF(AND(D874="proMX",OR(R874="Submitted",R874="Recall Requested"),ISNUMBER(S874)),CFG_TODAY-INT(S874),"")</f>
        <v/>
      </c>
      <c r="W874" s="78" t="str">
        <f>IF(BD874=0,"",IF(BA874&gt;0,"⚠ Se superpone con un registro de la otra empresa",IF(D874="Malcolm",IF(COUNTA(R874,S874,T874)&gt;0,"Estado/fechas proMX se ignoran en Malcolm",""),IF(BF874="Cancelled","Cancelado: excluido de totales",IF(R874="","Sin estado: se trata como Draft",IF(BF874="Submitted",IF(ISNUMBER(V874),IF(V874&gt;CFG_MAXD,"⚠ "&amp;V874&amp;" días en Submitted (máx. "&amp;CFG_MAXD&amp;")",""),"Falta fecha de envío"),IF(BF874="Returned","⚠ Devuelto: corregir y reenviar",IF(BF874="Recall Requested","Retirada solicitada: pendiente",IF(AND(BF874="Approved",NOT(ISNUMBER(T874))),"Falta fecha de aprobación",IF(AND(ISNUMBER(S874),ISNUMBER(T874),T874&lt;S874),"Aprobación anterior al envío","")))))))))</f>
        <v/>
      </c>
      <c r="Y874" s="80">
        <f>IF(COUNTA(B874,D874,E874,F874,G874,H874,I874,J874,R874,S874,T874)&gt;0,1,0)</f>
        <v>0</v>
      </c>
      <c r="Z874" s="80" t="str">
        <f>IF(AND(ISNUMBER(H874),H874&gt;=0,H874&lt;1),ROUND(H874*1440,0),"")</f>
        <v/>
      </c>
      <c r="AA874" s="80" t="str">
        <f>IF(AND(ISNUMBER(I874),I874&gt;=0,I874&lt;1),ROUND(I874*1440,0),"")</f>
        <v/>
      </c>
      <c r="AB874" s="80">
        <f>IF(AND(ISNUMBER(B874),D874&lt;&gt;"",ISNUMBER(Z874),ISNUMBER(AA874)),IF(Z874=AA874,0,1),0)</f>
        <v>0</v>
      </c>
      <c r="AC874" s="80">
        <f>IF(AB874=1,IF(AA874&lt;Z874,1,0),0)</f>
        <v>0</v>
      </c>
      <c r="AD874" s="80">
        <f>IF(AB874=1,IF(AC874=1,1440-Z874+AA874,AA874-Z874),0)</f>
        <v>0</v>
      </c>
      <c r="AE874" s="80">
        <f>IF(J874="",0,IF(ISNUMBER(J874),J874,-1))</f>
        <v>0</v>
      </c>
      <c r="AF874" s="80">
        <f>MIN(MAX(0,AE874),AD874)</f>
        <v>0</v>
      </c>
      <c r="AG874" s="80">
        <f>MAX(0,AD874-MAX(0,AE874))</f>
        <v>0</v>
      </c>
      <c r="AH874" s="80">
        <f>IF(ISNUMBER(B874),IF(AND(INDEX(CFG_WDAYS,WEEKDAY(INT(B874),2))="Sí",IF(D874="proMX",COUNTIFS(FER_F,INT(B874),FER_NLP,"Sí"),COUNTIFS(FER_F,INT(B874),FER_NLM,"Sí"))=0),1,0),0)</f>
        <v>0</v>
      </c>
      <c r="AI874" s="80">
        <f>IF(AC874=1,IF(AND(INDEX(CFG_WDAYS,WEEKDAY(INT(B874)+1,2))="Sí",IF(D874="proMX",COUNTIFS(FER_F,INT(B874)+1,FER_NLP,"Sí"),COUNTIFS(FER_F,INT(B874)+1,FER_NLM,"Sí"))=0),1,0),0)</f>
        <v>0</v>
      </c>
      <c r="AJ874" s="80">
        <f>IF(AC874=1,1440-Z874,AD874)</f>
        <v>0</v>
      </c>
      <c r="AK874" s="80">
        <f>IF(AND(AB874=1,AH874=1),MAX(0,MIN(IF(AC874=1,1440,AA874),CFG_WEM)-MAX(Z874,CFG_WSM)),0)</f>
        <v>0</v>
      </c>
      <c r="AL874" s="80">
        <f>IF(AND(AC874=1,AI874=1),MAX(0,MIN(AA874,CFG_WEM)-CFG_WSM),0)</f>
        <v>0</v>
      </c>
      <c r="AM874" s="80">
        <f>AK874+AL874</f>
        <v>0</v>
      </c>
      <c r="AN874" s="80">
        <f>IF(CFG_BRK="Proporcional",IF(AD874=0,0,AF874*AM874/AD874),IF(CFG_BRK="Extras primero",MIN(AM874,MAX(0,AF874-(AD874-AM874))),MIN(AF874,AM874)))</f>
        <v>0</v>
      </c>
      <c r="AO874" s="80">
        <f>AF874-AN874</f>
        <v>0</v>
      </c>
      <c r="AP874" s="80">
        <f>AM874-AN874</f>
        <v>0</v>
      </c>
      <c r="AQ874" s="80">
        <f>AD874-AM874-AO874</f>
        <v>0</v>
      </c>
      <c r="AR874" s="80">
        <f>IF(AM874=0,0,AK874-AN874*AK874/AM874)</f>
        <v>0</v>
      </c>
      <c r="AS874" s="80">
        <f>IF(AD874-AM874=0,0,(AJ874-AK874)-AO874*(AJ874-AK874)/(AD874-AM874))</f>
        <v>0</v>
      </c>
      <c r="AT874" s="80" t="str">
        <f>IF(AC874=1,INT(B874)+1,"")</f>
        <v/>
      </c>
      <c r="AU874" s="80">
        <f>IF(AND(D874="proMX",R874="Cancelled"),0,1)</f>
        <v>1</v>
      </c>
      <c r="AV874" s="80">
        <f>IF(AND(AB874=1,AU874=1),IF(COUNTIFS($D$5:D873,D874,$B$5:B873,B874,$Z$5:Z873,Z874,$AA$5:AA873,AA874,$F$5:F873,F874&amp;"",$AU$5:AU873,1)&gt;0,1,0),0)</f>
        <v>0</v>
      </c>
      <c r="AW874" s="80" t="str">
        <f>IF(AB874=1,INT(B874)*1440+Z874,"")</f>
        <v/>
      </c>
      <c r="AX874" s="80" t="str">
        <f>IF(AB874=1,AW874+AD874,"")</f>
        <v/>
      </c>
      <c r="AY874" s="80">
        <f>IF(AND(AB874=1,AV874=0,AU874=1),1,0)</f>
        <v>0</v>
      </c>
      <c r="AZ874" s="80">
        <f>IF(AY874=1,COUNTIFS(R_Emp,D874,R_SAbs,"&lt;"&amp;AX874,R_EAbs,"&gt;"&amp;AW874,R_OKey,1)-1,0)</f>
        <v>0</v>
      </c>
      <c r="BA874" s="80">
        <f>IF(AY874=1,COUNTIFS(R_Emp,"&lt;&gt;"&amp;D874,R_SAbs,"&lt;"&amp;AX874,R_EAbs,"&gt;"&amp;AW874,R_OKey,1),0)</f>
        <v>0</v>
      </c>
      <c r="BB874" s="80">
        <f>IF(AND(AB874=1,D874="proMX"),IF(AND(MOD(Z874,CFG_BLK)=0,MOD(AA874,CFG_BLK)=0,MOD(AG874,CFG_BLK)=0,AG874&gt;0),1,0),1)</f>
        <v>1</v>
      </c>
      <c r="BC874" s="80" t="str">
        <f>IF(Y874=0,"",IF(NOT(ISNUMBER(B874)),"Falta fecha o fecha inválida",IF(D874="","Falta empresa",IF(AND(D874&lt;&gt;"Malcolm",D874&lt;&gt;"proMX"),"Empresa inválida",IF(OR(INT(B874)&lt;CFG_PSTART,INT(B874)&gt;CFG_PEND),"Fecha fuera del período",IF(OR(NOT(ISNUMBER(Z874)),NOT(ISNUMBER(AA874))),"Falta hora inicio/fin o formato inválido",IF(AB874=0,"Hora inicio = hora fin",IF(AE874&lt;0,"Descanso inválido",IF(AE874&gt;=AD874,"Descanso ≥ duración",IF(AV874=1,"Registro duplicado",IF(AZ874&gt;0,"Se superpone con otro registro "&amp;D874,IF(BB874=0,"inicio, fin y duración neta deben ser múltiplos de "&amp;CFG_BLK&amp;" min",""))))))))))))</f>
        <v/>
      </c>
      <c r="BD874" s="80">
        <f>IF(AND(Y874=1,BC874=""),1,0)</f>
        <v>0</v>
      </c>
      <c r="BE874" s="80">
        <f>IF(AND(BD874=1,AU874=1),1,0)</f>
        <v>0</v>
      </c>
      <c r="BF874" s="80" t="str">
        <f>IF(AND(D874="proMX",BD874=1),IF(R874="","Draft",R874),"")</f>
        <v/>
      </c>
      <c r="BG874" s="80">
        <f>IF(BD874=1,ROUND(AG874/60,6),0)</f>
        <v>0</v>
      </c>
      <c r="BH874" s="80">
        <f>IF(BE874=1,ROUND(AG874/60,6),0)</f>
        <v>0</v>
      </c>
      <c r="BI874" s="80">
        <f>IF(BE874=1,ROUND(AP874/60,6),0)</f>
        <v>0</v>
      </c>
      <c r="BJ874" s="80">
        <f>IF(BE874=1,ROUND(AQ874/60,6),0)</f>
        <v>0</v>
      </c>
      <c r="BK874" s="80">
        <f>IF(BE874=1,ROUND((AR874+AS874)/60,6),0)</f>
        <v>0</v>
      </c>
      <c r="BL874" s="80">
        <f>ROUND(BH874-BK874,6)</f>
        <v>0</v>
      </c>
      <c r="BM874" s="80">
        <f>IF(BE874=1,ROUND(AR874/60,6),0)</f>
        <v>0</v>
      </c>
      <c r="BN874" s="80">
        <f>ROUND(BI874-BM874,6)</f>
        <v>0</v>
      </c>
      <c r="BO874" s="80">
        <f>IF(BE874=1,ROUND(AS874/60,6),0)</f>
        <v>0</v>
      </c>
      <c r="BP874" s="80">
        <f>ROUND(BJ874-BO874,6)</f>
        <v>0</v>
      </c>
      <c r="BQ874" s="80">
        <f>IF(BE874=1,AW874,0)</f>
        <v>0</v>
      </c>
      <c r="BR874" s="80">
        <f>IF(BE874=1,AX874,0)</f>
        <v>0</v>
      </c>
      <c r="BS874" s="80">
        <f>IF(AND(BE874=1,D874="Malcolm",BA874&gt;0),MIN(BH874,SUMPRODUCT((R_Emp="proMX")*(R_EN&gt;0)*((R_EN-(R_EN&gt;BR874)*(R_EN-BR874))&gt;(R_SN+(R_SN&lt;BQ874)*(BQ874-R_SN)))*((R_EN-(R_EN&gt;BR874)*(R_EN-BR874))-(R_SN+(R_SN&lt;BQ874)*(BQ874-R_SN))))/60),0)</f>
        <v>0</v>
      </c>
      <c r="BT874" s="80">
        <f>IF(AND(BE874=1,D874="proMX"),ROUND(BI874*CFG_RATE+BJ874*CFG_OTRATE,6),0)</f>
        <v>0</v>
      </c>
      <c r="BU874" s="80">
        <f>IF(AND(BD874=1,D874="proMX"),ROUND(AG874/CFG_BLK,6),0)</f>
        <v>0</v>
      </c>
      <c r="BV874" s="80" t="str">
        <f>IF(BF874="Approved",IF(ISNUMBER(T874),INT(T874),INT(B874)),"")</f>
        <v/>
      </c>
      <c r="BW874" s="80">
        <f>IF(ISNUMBER(B874),IF(DB_MON="Todos",1,IF(AND(INT(B874)&gt;=DB_MS,INT(B874)&lt;=DB_ME),1,0)),0)</f>
        <v>0</v>
      </c>
      <c r="BX874" s="80">
        <f>IF(DB_PROJ="Todos",1,IF(E874&amp;""=DB_PROJ&amp;"",1,0))</f>
        <v>1</v>
      </c>
      <c r="BY874" s="80">
        <f>BW874*BX874</f>
        <v>0</v>
      </c>
      <c r="BZ874" s="80" t="str">
        <f>IF(Y874=1,F874&amp;IF(AND(F874&amp;""&lt;&gt;"",E874&amp;""&lt;&gt;"")," · ","")&amp;E874,"")</f>
        <v/>
      </c>
      <c r="CA874" s="80" t="str">
        <f>IF(AND(BD874=1,E874&amp;""&lt;&gt;""),IF(COUNTIFS($E$5:E873,E874,$BD$5:BD873,1)=0,MAX($CA$5:CA873)+1,""),"")</f>
        <v/>
      </c>
      <c r="CB874" s="80" t="str">
        <f>IF(AND(BE874=1,D874="Malcolm",E874&amp;""&lt;&gt;""),IF(COUNTIFS($D$5:D873,"Malcolm",$E$5:E873,E874,$BE$5:BE873,1)=0,MAX($CB$5:CB873)+1,""),"")</f>
        <v/>
      </c>
      <c r="CC874" s="80" t="str">
        <f>IF(AND(BD874=1,D874="proMX",E874&amp;""&lt;&gt;""),IF(COUNTIFS($D$5:D873,"proMX",$E$5:E873,E874,$BD$5:BD873,1)=0,MAX($CC$5:CC873)+1,""),"")</f>
        <v/>
      </c>
      <c r="CD874" s="80" t="str">
        <f>IF(AND(BE874=1,D874="Malcolm",F874&amp;""&lt;&gt;""),IF(COUNTIFS($D$5:D873,"Malcolm",$F$5:F873,F874,$BE$5:BE873,1)=0,MAX($CD$5:CD873)+1,""),"")</f>
        <v/>
      </c>
      <c r="CE874" s="80" t="str">
        <f>IF(AND(BD874=1,D874="proMX",F874&amp;""&lt;&gt;""),IF(COUNTIFS($D$5:D873,"proMX",$F$5:F873,F874,$BD$5:BD873,1)=0,MAX($CE$5:CE873)+1,""),"")</f>
        <v/>
      </c>
      <c r="CF874" s="80" t="str">
        <f>IF(AND(D874="proMX",BD874=1),IF(OR(BF874="Draft",BF874="Submitted",BF874="Returned",BF874="Recall Requested"),MAX($CF$5:CF873)+1,""),"")</f>
        <v/>
      </c>
      <c r="CG874" s="80">
        <f>IF(BD874=0,0,IF(D874="Malcolm",1,MATCH(BF874,{"Draft","Submitted","Approved","Returned","Recall Requested","Cancelled"},0)+1))</f>
        <v>0</v>
      </c>
      <c r="CH874" s="80">
        <f>IF(AND(BF874="Submitted",ISNUMBER(V874)),IF(V874&gt;CFG_MAXD,1,0),0)</f>
        <v>0</v>
      </c>
    </row>
    <row r="875">
      <c r="A875" s="71" t="str">
        <f>IF(Y875=1,ROW()-5,"")</f>
        <v/>
      </c>
      <c r="B875" s="72" t="n"/>
      <c r="C875" s="71" t="str">
        <f>IF(ISNUMBER(B875),CHOOSE(WEEKDAY(B875,2),"Lun","Mar","Mié","Jue","Vie","Sáb","Dom"),"")</f>
        <v/>
      </c>
      <c r="D875" s="73" t="n"/>
      <c r="E875" s="74" t="n"/>
      <c r="F875" s="74" t="n"/>
      <c r="G875" s="74" t="n"/>
      <c r="H875" s="75" t="n"/>
      <c r="I875" s="75" t="n"/>
      <c r="J875" s="76" t="n"/>
      <c r="K875" s="77" t="str">
        <f>IF(AB875=1,ROUND(AG875/60,4),"")</f>
        <v/>
      </c>
      <c r="L875" s="77" t="str">
        <f>IF(BD875=1,ROUND(AP875/60,4),"")</f>
        <v/>
      </c>
      <c r="M875" s="77" t="str">
        <f>IF(BD875=1,ROUND(AQ875/60,4),"")</f>
        <v/>
      </c>
      <c r="N875" s="71" t="str">
        <f>IF(AND(D875="proMX",AB875=1),ROUND(AG875/CFG_BLK,2),"")</f>
        <v/>
      </c>
      <c r="O875" s="77" t="str">
        <f>IF(D875="proMX",IF(BD875=1,ROUND(AG875/60,4),0),"")</f>
        <v/>
      </c>
      <c r="P875" s="78" t="str">
        <f>IF(Y875=0,"",IF(BD875=1,"OK",IF(D875="proMX","Revisar bloques: ","Revisar: ")&amp;BC875))</f>
        <v/>
      </c>
      <c r="Q875" s="78" t="str">
        <f>IF(NOT(ISNUMBER(B875)),"",IF(COUNTIFS(FER_F,INT(B875))&gt;0,"Feriado"&amp;IF(AH875=1," (laborable)"," (no laborable)"),IF(AH875=1,"Laborable",IF(WEEKDAY(B875,2)&gt;5,"Fin de semana","No laborable"))))</f>
        <v/>
      </c>
      <c r="R875" s="73" t="n"/>
      <c r="S875" s="72" t="n"/>
      <c r="T875" s="72" t="n"/>
      <c r="U875" s="74" t="n"/>
      <c r="V875" s="79" t="str">
        <f>IF(AND(D875="proMX",OR(R875="Submitted",R875="Recall Requested"),ISNUMBER(S875)),CFG_TODAY-INT(S875),"")</f>
        <v/>
      </c>
      <c r="W875" s="78" t="str">
        <f>IF(BD875=0,"",IF(BA875&gt;0,"⚠ Se superpone con un registro de la otra empresa",IF(D875="Malcolm",IF(COUNTA(R875,S875,T875)&gt;0,"Estado/fechas proMX se ignoran en Malcolm",""),IF(BF875="Cancelled","Cancelado: excluido de totales",IF(R875="","Sin estado: se trata como Draft",IF(BF875="Submitted",IF(ISNUMBER(V875),IF(V875&gt;CFG_MAXD,"⚠ "&amp;V875&amp;" días en Submitted (máx. "&amp;CFG_MAXD&amp;")",""),"Falta fecha de envío"),IF(BF875="Returned","⚠ Devuelto: corregir y reenviar",IF(BF875="Recall Requested","Retirada solicitada: pendiente",IF(AND(BF875="Approved",NOT(ISNUMBER(T875))),"Falta fecha de aprobación",IF(AND(ISNUMBER(S875),ISNUMBER(T875),T875&lt;S875),"Aprobación anterior al envío","")))))))))</f>
        <v/>
      </c>
      <c r="Y875" s="80">
        <f>IF(COUNTA(B875,D875,E875,F875,G875,H875,I875,J875,R875,S875,T875)&gt;0,1,0)</f>
        <v>0</v>
      </c>
      <c r="Z875" s="80" t="str">
        <f>IF(AND(ISNUMBER(H875),H875&gt;=0,H875&lt;1),ROUND(H875*1440,0),"")</f>
        <v/>
      </c>
      <c r="AA875" s="80" t="str">
        <f>IF(AND(ISNUMBER(I875),I875&gt;=0,I875&lt;1),ROUND(I875*1440,0),"")</f>
        <v/>
      </c>
      <c r="AB875" s="80">
        <f>IF(AND(ISNUMBER(B875),D875&lt;&gt;"",ISNUMBER(Z875),ISNUMBER(AA875)),IF(Z875=AA875,0,1),0)</f>
        <v>0</v>
      </c>
      <c r="AC875" s="80">
        <f>IF(AB875=1,IF(AA875&lt;Z875,1,0),0)</f>
        <v>0</v>
      </c>
      <c r="AD875" s="80">
        <f>IF(AB875=1,IF(AC875=1,1440-Z875+AA875,AA875-Z875),0)</f>
        <v>0</v>
      </c>
      <c r="AE875" s="80">
        <f>IF(J875="",0,IF(ISNUMBER(J875),J875,-1))</f>
        <v>0</v>
      </c>
      <c r="AF875" s="80">
        <f>MIN(MAX(0,AE875),AD875)</f>
        <v>0</v>
      </c>
      <c r="AG875" s="80">
        <f>MAX(0,AD875-MAX(0,AE875))</f>
        <v>0</v>
      </c>
      <c r="AH875" s="80">
        <f>IF(ISNUMBER(B875),IF(AND(INDEX(CFG_WDAYS,WEEKDAY(INT(B875),2))="Sí",IF(D875="proMX",COUNTIFS(FER_F,INT(B875),FER_NLP,"Sí"),COUNTIFS(FER_F,INT(B875),FER_NLM,"Sí"))=0),1,0),0)</f>
        <v>0</v>
      </c>
      <c r="AI875" s="80">
        <f>IF(AC875=1,IF(AND(INDEX(CFG_WDAYS,WEEKDAY(INT(B875)+1,2))="Sí",IF(D875="proMX",COUNTIFS(FER_F,INT(B875)+1,FER_NLP,"Sí"),COUNTIFS(FER_F,INT(B875)+1,FER_NLM,"Sí"))=0),1,0),0)</f>
        <v>0</v>
      </c>
      <c r="AJ875" s="80">
        <f>IF(AC875=1,1440-Z875,AD875)</f>
        <v>0</v>
      </c>
      <c r="AK875" s="80">
        <f>IF(AND(AB875=1,AH875=1),MAX(0,MIN(IF(AC875=1,1440,AA875),CFG_WEM)-MAX(Z875,CFG_WSM)),0)</f>
        <v>0</v>
      </c>
      <c r="AL875" s="80">
        <f>IF(AND(AC875=1,AI875=1),MAX(0,MIN(AA875,CFG_WEM)-CFG_WSM),0)</f>
        <v>0</v>
      </c>
      <c r="AM875" s="80">
        <f>AK875+AL875</f>
        <v>0</v>
      </c>
      <c r="AN875" s="80">
        <f>IF(CFG_BRK="Proporcional",IF(AD875=0,0,AF875*AM875/AD875),IF(CFG_BRK="Extras primero",MIN(AM875,MAX(0,AF875-(AD875-AM875))),MIN(AF875,AM875)))</f>
        <v>0</v>
      </c>
      <c r="AO875" s="80">
        <f>AF875-AN875</f>
        <v>0</v>
      </c>
      <c r="AP875" s="80">
        <f>AM875-AN875</f>
        <v>0</v>
      </c>
      <c r="AQ875" s="80">
        <f>AD875-AM875-AO875</f>
        <v>0</v>
      </c>
      <c r="AR875" s="80">
        <f>IF(AM875=0,0,AK875-AN875*AK875/AM875)</f>
        <v>0</v>
      </c>
      <c r="AS875" s="80">
        <f>IF(AD875-AM875=0,0,(AJ875-AK875)-AO875*(AJ875-AK875)/(AD875-AM875))</f>
        <v>0</v>
      </c>
      <c r="AT875" s="80" t="str">
        <f>IF(AC875=1,INT(B875)+1,"")</f>
        <v/>
      </c>
      <c r="AU875" s="80">
        <f>IF(AND(D875="proMX",R875="Cancelled"),0,1)</f>
        <v>1</v>
      </c>
      <c r="AV875" s="80">
        <f>IF(AND(AB875=1,AU875=1),IF(COUNTIFS($D$5:D874,D875,$B$5:B874,B875,$Z$5:Z874,Z875,$AA$5:AA874,AA875,$F$5:F874,F875&amp;"",$AU$5:AU874,1)&gt;0,1,0),0)</f>
        <v>0</v>
      </c>
      <c r="AW875" s="80" t="str">
        <f>IF(AB875=1,INT(B875)*1440+Z875,"")</f>
        <v/>
      </c>
      <c r="AX875" s="80" t="str">
        <f>IF(AB875=1,AW875+AD875,"")</f>
        <v/>
      </c>
      <c r="AY875" s="80">
        <f>IF(AND(AB875=1,AV875=0,AU875=1),1,0)</f>
        <v>0</v>
      </c>
      <c r="AZ875" s="80">
        <f>IF(AY875=1,COUNTIFS(R_Emp,D875,R_SAbs,"&lt;"&amp;AX875,R_EAbs,"&gt;"&amp;AW875,R_OKey,1)-1,0)</f>
        <v>0</v>
      </c>
      <c r="BA875" s="80">
        <f>IF(AY875=1,COUNTIFS(R_Emp,"&lt;&gt;"&amp;D875,R_SAbs,"&lt;"&amp;AX875,R_EAbs,"&gt;"&amp;AW875,R_OKey,1),0)</f>
        <v>0</v>
      </c>
      <c r="BB875" s="80">
        <f>IF(AND(AB875=1,D875="proMX"),IF(AND(MOD(Z875,CFG_BLK)=0,MOD(AA875,CFG_BLK)=0,MOD(AG875,CFG_BLK)=0,AG875&gt;0),1,0),1)</f>
        <v>1</v>
      </c>
      <c r="BC875" s="80" t="str">
        <f>IF(Y875=0,"",IF(NOT(ISNUMBER(B875)),"Falta fecha o fecha inválida",IF(D875="","Falta empresa",IF(AND(D875&lt;&gt;"Malcolm",D875&lt;&gt;"proMX"),"Empresa inválida",IF(OR(INT(B875)&lt;CFG_PSTART,INT(B875)&gt;CFG_PEND),"Fecha fuera del período",IF(OR(NOT(ISNUMBER(Z875)),NOT(ISNUMBER(AA875))),"Falta hora inicio/fin o formato inválido",IF(AB875=0,"Hora inicio = hora fin",IF(AE875&lt;0,"Descanso inválido",IF(AE875&gt;=AD875,"Descanso ≥ duración",IF(AV875=1,"Registro duplicado",IF(AZ875&gt;0,"Se superpone con otro registro "&amp;D875,IF(BB875=0,"inicio, fin y duración neta deben ser múltiplos de "&amp;CFG_BLK&amp;" min",""))))))))))))</f>
        <v/>
      </c>
      <c r="BD875" s="80">
        <f>IF(AND(Y875=1,BC875=""),1,0)</f>
        <v>0</v>
      </c>
      <c r="BE875" s="80">
        <f>IF(AND(BD875=1,AU875=1),1,0)</f>
        <v>0</v>
      </c>
      <c r="BF875" s="80" t="str">
        <f>IF(AND(D875="proMX",BD875=1),IF(R875="","Draft",R875),"")</f>
        <v/>
      </c>
      <c r="BG875" s="80">
        <f>IF(BD875=1,ROUND(AG875/60,6),0)</f>
        <v>0</v>
      </c>
      <c r="BH875" s="80">
        <f>IF(BE875=1,ROUND(AG875/60,6),0)</f>
        <v>0</v>
      </c>
      <c r="BI875" s="80">
        <f>IF(BE875=1,ROUND(AP875/60,6),0)</f>
        <v>0</v>
      </c>
      <c r="BJ875" s="80">
        <f>IF(BE875=1,ROUND(AQ875/60,6),0)</f>
        <v>0</v>
      </c>
      <c r="BK875" s="80">
        <f>IF(BE875=1,ROUND((AR875+AS875)/60,6),0)</f>
        <v>0</v>
      </c>
      <c r="BL875" s="80">
        <f>ROUND(BH875-BK875,6)</f>
        <v>0</v>
      </c>
      <c r="BM875" s="80">
        <f>IF(BE875=1,ROUND(AR875/60,6),0)</f>
        <v>0</v>
      </c>
      <c r="BN875" s="80">
        <f>ROUND(BI875-BM875,6)</f>
        <v>0</v>
      </c>
      <c r="BO875" s="80">
        <f>IF(BE875=1,ROUND(AS875/60,6),0)</f>
        <v>0</v>
      </c>
      <c r="BP875" s="80">
        <f>ROUND(BJ875-BO875,6)</f>
        <v>0</v>
      </c>
      <c r="BQ875" s="80">
        <f>IF(BE875=1,AW875,0)</f>
        <v>0</v>
      </c>
      <c r="BR875" s="80">
        <f>IF(BE875=1,AX875,0)</f>
        <v>0</v>
      </c>
      <c r="BS875" s="80">
        <f>IF(AND(BE875=1,D875="Malcolm",BA875&gt;0),MIN(BH875,SUMPRODUCT((R_Emp="proMX")*(R_EN&gt;0)*((R_EN-(R_EN&gt;BR875)*(R_EN-BR875))&gt;(R_SN+(R_SN&lt;BQ875)*(BQ875-R_SN)))*((R_EN-(R_EN&gt;BR875)*(R_EN-BR875))-(R_SN+(R_SN&lt;BQ875)*(BQ875-R_SN))))/60),0)</f>
        <v>0</v>
      </c>
      <c r="BT875" s="80">
        <f>IF(AND(BE875=1,D875="proMX"),ROUND(BI875*CFG_RATE+BJ875*CFG_OTRATE,6),0)</f>
        <v>0</v>
      </c>
      <c r="BU875" s="80">
        <f>IF(AND(BD875=1,D875="proMX"),ROUND(AG875/CFG_BLK,6),0)</f>
        <v>0</v>
      </c>
      <c r="BV875" s="80" t="str">
        <f>IF(BF875="Approved",IF(ISNUMBER(T875),INT(T875),INT(B875)),"")</f>
        <v/>
      </c>
      <c r="BW875" s="80">
        <f>IF(ISNUMBER(B875),IF(DB_MON="Todos",1,IF(AND(INT(B875)&gt;=DB_MS,INT(B875)&lt;=DB_ME),1,0)),0)</f>
        <v>0</v>
      </c>
      <c r="BX875" s="80">
        <f>IF(DB_PROJ="Todos",1,IF(E875&amp;""=DB_PROJ&amp;"",1,0))</f>
        <v>1</v>
      </c>
      <c r="BY875" s="80">
        <f>BW875*BX875</f>
        <v>0</v>
      </c>
      <c r="BZ875" s="80" t="str">
        <f>IF(Y875=1,F875&amp;IF(AND(F875&amp;""&lt;&gt;"",E875&amp;""&lt;&gt;"")," · ","")&amp;E875,"")</f>
        <v/>
      </c>
      <c r="CA875" s="80" t="str">
        <f>IF(AND(BD875=1,E875&amp;""&lt;&gt;""),IF(COUNTIFS($E$5:E874,E875,$BD$5:BD874,1)=0,MAX($CA$5:CA874)+1,""),"")</f>
        <v/>
      </c>
      <c r="CB875" s="80" t="str">
        <f>IF(AND(BE875=1,D875="Malcolm",E875&amp;""&lt;&gt;""),IF(COUNTIFS($D$5:D874,"Malcolm",$E$5:E874,E875,$BE$5:BE874,1)=0,MAX($CB$5:CB874)+1,""),"")</f>
        <v/>
      </c>
      <c r="CC875" s="80" t="str">
        <f>IF(AND(BD875=1,D875="proMX",E875&amp;""&lt;&gt;""),IF(COUNTIFS($D$5:D874,"proMX",$E$5:E874,E875,$BD$5:BD874,1)=0,MAX($CC$5:CC874)+1,""),"")</f>
        <v/>
      </c>
      <c r="CD875" s="80" t="str">
        <f>IF(AND(BE875=1,D875="Malcolm",F875&amp;""&lt;&gt;""),IF(COUNTIFS($D$5:D874,"Malcolm",$F$5:F874,F875,$BE$5:BE874,1)=0,MAX($CD$5:CD874)+1,""),"")</f>
        <v/>
      </c>
      <c r="CE875" s="80" t="str">
        <f>IF(AND(BD875=1,D875="proMX",F875&amp;""&lt;&gt;""),IF(COUNTIFS($D$5:D874,"proMX",$F$5:F874,F875,$BD$5:BD874,1)=0,MAX($CE$5:CE874)+1,""),"")</f>
        <v/>
      </c>
      <c r="CF875" s="80" t="str">
        <f>IF(AND(D875="proMX",BD875=1),IF(OR(BF875="Draft",BF875="Submitted",BF875="Returned",BF875="Recall Requested"),MAX($CF$5:CF874)+1,""),"")</f>
        <v/>
      </c>
      <c r="CG875" s="80">
        <f>IF(BD875=0,0,IF(D875="Malcolm",1,MATCH(BF875,{"Draft","Submitted","Approved","Returned","Recall Requested","Cancelled"},0)+1))</f>
        <v>0</v>
      </c>
      <c r="CH875" s="80">
        <f>IF(AND(BF875="Submitted",ISNUMBER(V875)),IF(V875&gt;CFG_MAXD,1,0),0)</f>
        <v>0</v>
      </c>
    </row>
    <row r="876">
      <c r="A876" s="71" t="str">
        <f>IF(Y876=1,ROW()-5,"")</f>
        <v/>
      </c>
      <c r="B876" s="72" t="n"/>
      <c r="C876" s="71" t="str">
        <f>IF(ISNUMBER(B876),CHOOSE(WEEKDAY(B876,2),"Lun","Mar","Mié","Jue","Vie","Sáb","Dom"),"")</f>
        <v/>
      </c>
      <c r="D876" s="73" t="n"/>
      <c r="E876" s="74" t="n"/>
      <c r="F876" s="74" t="n"/>
      <c r="G876" s="74" t="n"/>
      <c r="H876" s="75" t="n"/>
      <c r="I876" s="75" t="n"/>
      <c r="J876" s="76" t="n"/>
      <c r="K876" s="77" t="str">
        <f>IF(AB876=1,ROUND(AG876/60,4),"")</f>
        <v/>
      </c>
      <c r="L876" s="77" t="str">
        <f>IF(BD876=1,ROUND(AP876/60,4),"")</f>
        <v/>
      </c>
      <c r="M876" s="77" t="str">
        <f>IF(BD876=1,ROUND(AQ876/60,4),"")</f>
        <v/>
      </c>
      <c r="N876" s="71" t="str">
        <f>IF(AND(D876="proMX",AB876=1),ROUND(AG876/CFG_BLK,2),"")</f>
        <v/>
      </c>
      <c r="O876" s="77" t="str">
        <f>IF(D876="proMX",IF(BD876=1,ROUND(AG876/60,4),0),"")</f>
        <v/>
      </c>
      <c r="P876" s="78" t="str">
        <f>IF(Y876=0,"",IF(BD876=1,"OK",IF(D876="proMX","Revisar bloques: ","Revisar: ")&amp;BC876))</f>
        <v/>
      </c>
      <c r="Q876" s="78" t="str">
        <f>IF(NOT(ISNUMBER(B876)),"",IF(COUNTIFS(FER_F,INT(B876))&gt;0,"Feriado"&amp;IF(AH876=1," (laborable)"," (no laborable)"),IF(AH876=1,"Laborable",IF(WEEKDAY(B876,2)&gt;5,"Fin de semana","No laborable"))))</f>
        <v/>
      </c>
      <c r="R876" s="73" t="n"/>
      <c r="S876" s="72" t="n"/>
      <c r="T876" s="72" t="n"/>
      <c r="U876" s="74" t="n"/>
      <c r="V876" s="79" t="str">
        <f>IF(AND(D876="proMX",OR(R876="Submitted",R876="Recall Requested"),ISNUMBER(S876)),CFG_TODAY-INT(S876),"")</f>
        <v/>
      </c>
      <c r="W876" s="78" t="str">
        <f>IF(BD876=0,"",IF(BA876&gt;0,"⚠ Se superpone con un registro de la otra empresa",IF(D876="Malcolm",IF(COUNTA(R876,S876,T876)&gt;0,"Estado/fechas proMX se ignoran en Malcolm",""),IF(BF876="Cancelled","Cancelado: excluido de totales",IF(R876="","Sin estado: se trata como Draft",IF(BF876="Submitted",IF(ISNUMBER(V876),IF(V876&gt;CFG_MAXD,"⚠ "&amp;V876&amp;" días en Submitted (máx. "&amp;CFG_MAXD&amp;")",""),"Falta fecha de envío"),IF(BF876="Returned","⚠ Devuelto: corregir y reenviar",IF(BF876="Recall Requested","Retirada solicitada: pendiente",IF(AND(BF876="Approved",NOT(ISNUMBER(T876))),"Falta fecha de aprobación",IF(AND(ISNUMBER(S876),ISNUMBER(T876),T876&lt;S876),"Aprobación anterior al envío","")))))))))</f>
        <v/>
      </c>
      <c r="Y876" s="80">
        <f>IF(COUNTA(B876,D876,E876,F876,G876,H876,I876,J876,R876,S876,T876)&gt;0,1,0)</f>
        <v>0</v>
      </c>
      <c r="Z876" s="80" t="str">
        <f>IF(AND(ISNUMBER(H876),H876&gt;=0,H876&lt;1),ROUND(H876*1440,0),"")</f>
        <v/>
      </c>
      <c r="AA876" s="80" t="str">
        <f>IF(AND(ISNUMBER(I876),I876&gt;=0,I876&lt;1),ROUND(I876*1440,0),"")</f>
        <v/>
      </c>
      <c r="AB876" s="80">
        <f>IF(AND(ISNUMBER(B876),D876&lt;&gt;"",ISNUMBER(Z876),ISNUMBER(AA876)),IF(Z876=AA876,0,1),0)</f>
        <v>0</v>
      </c>
      <c r="AC876" s="80">
        <f>IF(AB876=1,IF(AA876&lt;Z876,1,0),0)</f>
        <v>0</v>
      </c>
      <c r="AD876" s="80">
        <f>IF(AB876=1,IF(AC876=1,1440-Z876+AA876,AA876-Z876),0)</f>
        <v>0</v>
      </c>
      <c r="AE876" s="80">
        <f>IF(J876="",0,IF(ISNUMBER(J876),J876,-1))</f>
        <v>0</v>
      </c>
      <c r="AF876" s="80">
        <f>MIN(MAX(0,AE876),AD876)</f>
        <v>0</v>
      </c>
      <c r="AG876" s="80">
        <f>MAX(0,AD876-MAX(0,AE876))</f>
        <v>0</v>
      </c>
      <c r="AH876" s="80">
        <f>IF(ISNUMBER(B876),IF(AND(INDEX(CFG_WDAYS,WEEKDAY(INT(B876),2))="Sí",IF(D876="proMX",COUNTIFS(FER_F,INT(B876),FER_NLP,"Sí"),COUNTIFS(FER_F,INT(B876),FER_NLM,"Sí"))=0),1,0),0)</f>
        <v>0</v>
      </c>
      <c r="AI876" s="80">
        <f>IF(AC876=1,IF(AND(INDEX(CFG_WDAYS,WEEKDAY(INT(B876)+1,2))="Sí",IF(D876="proMX",COUNTIFS(FER_F,INT(B876)+1,FER_NLP,"Sí"),COUNTIFS(FER_F,INT(B876)+1,FER_NLM,"Sí"))=0),1,0),0)</f>
        <v>0</v>
      </c>
      <c r="AJ876" s="80">
        <f>IF(AC876=1,1440-Z876,AD876)</f>
        <v>0</v>
      </c>
      <c r="AK876" s="80">
        <f>IF(AND(AB876=1,AH876=1),MAX(0,MIN(IF(AC876=1,1440,AA876),CFG_WEM)-MAX(Z876,CFG_WSM)),0)</f>
        <v>0</v>
      </c>
      <c r="AL876" s="80">
        <f>IF(AND(AC876=1,AI876=1),MAX(0,MIN(AA876,CFG_WEM)-CFG_WSM),0)</f>
        <v>0</v>
      </c>
      <c r="AM876" s="80">
        <f>AK876+AL876</f>
        <v>0</v>
      </c>
      <c r="AN876" s="80">
        <f>IF(CFG_BRK="Proporcional",IF(AD876=0,0,AF876*AM876/AD876),IF(CFG_BRK="Extras primero",MIN(AM876,MAX(0,AF876-(AD876-AM876))),MIN(AF876,AM876)))</f>
        <v>0</v>
      </c>
      <c r="AO876" s="80">
        <f>AF876-AN876</f>
        <v>0</v>
      </c>
      <c r="AP876" s="80">
        <f>AM876-AN876</f>
        <v>0</v>
      </c>
      <c r="AQ876" s="80">
        <f>AD876-AM876-AO876</f>
        <v>0</v>
      </c>
      <c r="AR876" s="80">
        <f>IF(AM876=0,0,AK876-AN876*AK876/AM876)</f>
        <v>0</v>
      </c>
      <c r="AS876" s="80">
        <f>IF(AD876-AM876=0,0,(AJ876-AK876)-AO876*(AJ876-AK876)/(AD876-AM876))</f>
        <v>0</v>
      </c>
      <c r="AT876" s="80" t="str">
        <f>IF(AC876=1,INT(B876)+1,"")</f>
        <v/>
      </c>
      <c r="AU876" s="80">
        <f>IF(AND(D876="proMX",R876="Cancelled"),0,1)</f>
        <v>1</v>
      </c>
      <c r="AV876" s="80">
        <f>IF(AND(AB876=1,AU876=1),IF(COUNTIFS($D$5:D875,D876,$B$5:B875,B876,$Z$5:Z875,Z876,$AA$5:AA875,AA876,$F$5:F875,F876&amp;"",$AU$5:AU875,1)&gt;0,1,0),0)</f>
        <v>0</v>
      </c>
      <c r="AW876" s="80" t="str">
        <f>IF(AB876=1,INT(B876)*1440+Z876,"")</f>
        <v/>
      </c>
      <c r="AX876" s="80" t="str">
        <f>IF(AB876=1,AW876+AD876,"")</f>
        <v/>
      </c>
      <c r="AY876" s="80">
        <f>IF(AND(AB876=1,AV876=0,AU876=1),1,0)</f>
        <v>0</v>
      </c>
      <c r="AZ876" s="80">
        <f>IF(AY876=1,COUNTIFS(R_Emp,D876,R_SAbs,"&lt;"&amp;AX876,R_EAbs,"&gt;"&amp;AW876,R_OKey,1)-1,0)</f>
        <v>0</v>
      </c>
      <c r="BA876" s="80">
        <f>IF(AY876=1,COUNTIFS(R_Emp,"&lt;&gt;"&amp;D876,R_SAbs,"&lt;"&amp;AX876,R_EAbs,"&gt;"&amp;AW876,R_OKey,1),0)</f>
        <v>0</v>
      </c>
      <c r="BB876" s="80">
        <f>IF(AND(AB876=1,D876="proMX"),IF(AND(MOD(Z876,CFG_BLK)=0,MOD(AA876,CFG_BLK)=0,MOD(AG876,CFG_BLK)=0,AG876&gt;0),1,0),1)</f>
        <v>1</v>
      </c>
      <c r="BC876" s="80" t="str">
        <f>IF(Y876=0,"",IF(NOT(ISNUMBER(B876)),"Falta fecha o fecha inválida",IF(D876="","Falta empresa",IF(AND(D876&lt;&gt;"Malcolm",D876&lt;&gt;"proMX"),"Empresa inválida",IF(OR(INT(B876)&lt;CFG_PSTART,INT(B876)&gt;CFG_PEND),"Fecha fuera del período",IF(OR(NOT(ISNUMBER(Z876)),NOT(ISNUMBER(AA876))),"Falta hora inicio/fin o formato inválido",IF(AB876=0,"Hora inicio = hora fin",IF(AE876&lt;0,"Descanso inválido",IF(AE876&gt;=AD876,"Descanso ≥ duración",IF(AV876=1,"Registro duplicado",IF(AZ876&gt;0,"Se superpone con otro registro "&amp;D876,IF(BB876=0,"inicio, fin y duración neta deben ser múltiplos de "&amp;CFG_BLK&amp;" min",""))))))))))))</f>
        <v/>
      </c>
      <c r="BD876" s="80">
        <f>IF(AND(Y876=1,BC876=""),1,0)</f>
        <v>0</v>
      </c>
      <c r="BE876" s="80">
        <f>IF(AND(BD876=1,AU876=1),1,0)</f>
        <v>0</v>
      </c>
      <c r="BF876" s="80" t="str">
        <f>IF(AND(D876="proMX",BD876=1),IF(R876="","Draft",R876),"")</f>
        <v/>
      </c>
      <c r="BG876" s="80">
        <f>IF(BD876=1,ROUND(AG876/60,6),0)</f>
        <v>0</v>
      </c>
      <c r="BH876" s="80">
        <f>IF(BE876=1,ROUND(AG876/60,6),0)</f>
        <v>0</v>
      </c>
      <c r="BI876" s="80">
        <f>IF(BE876=1,ROUND(AP876/60,6),0)</f>
        <v>0</v>
      </c>
      <c r="BJ876" s="80">
        <f>IF(BE876=1,ROUND(AQ876/60,6),0)</f>
        <v>0</v>
      </c>
      <c r="BK876" s="80">
        <f>IF(BE876=1,ROUND((AR876+AS876)/60,6),0)</f>
        <v>0</v>
      </c>
      <c r="BL876" s="80">
        <f>ROUND(BH876-BK876,6)</f>
        <v>0</v>
      </c>
      <c r="BM876" s="80">
        <f>IF(BE876=1,ROUND(AR876/60,6),0)</f>
        <v>0</v>
      </c>
      <c r="BN876" s="80">
        <f>ROUND(BI876-BM876,6)</f>
        <v>0</v>
      </c>
      <c r="BO876" s="80">
        <f>IF(BE876=1,ROUND(AS876/60,6),0)</f>
        <v>0</v>
      </c>
      <c r="BP876" s="80">
        <f>ROUND(BJ876-BO876,6)</f>
        <v>0</v>
      </c>
      <c r="BQ876" s="80">
        <f>IF(BE876=1,AW876,0)</f>
        <v>0</v>
      </c>
      <c r="BR876" s="80">
        <f>IF(BE876=1,AX876,0)</f>
        <v>0</v>
      </c>
      <c r="BS876" s="80">
        <f>IF(AND(BE876=1,D876="Malcolm",BA876&gt;0),MIN(BH876,SUMPRODUCT((R_Emp="proMX")*(R_EN&gt;0)*((R_EN-(R_EN&gt;BR876)*(R_EN-BR876))&gt;(R_SN+(R_SN&lt;BQ876)*(BQ876-R_SN)))*((R_EN-(R_EN&gt;BR876)*(R_EN-BR876))-(R_SN+(R_SN&lt;BQ876)*(BQ876-R_SN))))/60),0)</f>
        <v>0</v>
      </c>
      <c r="BT876" s="80">
        <f>IF(AND(BE876=1,D876="proMX"),ROUND(BI876*CFG_RATE+BJ876*CFG_OTRATE,6),0)</f>
        <v>0</v>
      </c>
      <c r="BU876" s="80">
        <f>IF(AND(BD876=1,D876="proMX"),ROUND(AG876/CFG_BLK,6),0)</f>
        <v>0</v>
      </c>
      <c r="BV876" s="80" t="str">
        <f>IF(BF876="Approved",IF(ISNUMBER(T876),INT(T876),INT(B876)),"")</f>
        <v/>
      </c>
      <c r="BW876" s="80">
        <f>IF(ISNUMBER(B876),IF(DB_MON="Todos",1,IF(AND(INT(B876)&gt;=DB_MS,INT(B876)&lt;=DB_ME),1,0)),0)</f>
        <v>0</v>
      </c>
      <c r="BX876" s="80">
        <f>IF(DB_PROJ="Todos",1,IF(E876&amp;""=DB_PROJ&amp;"",1,0))</f>
        <v>1</v>
      </c>
      <c r="BY876" s="80">
        <f>BW876*BX876</f>
        <v>0</v>
      </c>
      <c r="BZ876" s="80" t="str">
        <f>IF(Y876=1,F876&amp;IF(AND(F876&amp;""&lt;&gt;"",E876&amp;""&lt;&gt;"")," · ","")&amp;E876,"")</f>
        <v/>
      </c>
      <c r="CA876" s="80" t="str">
        <f>IF(AND(BD876=1,E876&amp;""&lt;&gt;""),IF(COUNTIFS($E$5:E875,E876,$BD$5:BD875,1)=0,MAX($CA$5:CA875)+1,""),"")</f>
        <v/>
      </c>
      <c r="CB876" s="80" t="str">
        <f>IF(AND(BE876=1,D876="Malcolm",E876&amp;""&lt;&gt;""),IF(COUNTIFS($D$5:D875,"Malcolm",$E$5:E875,E876,$BE$5:BE875,1)=0,MAX($CB$5:CB875)+1,""),"")</f>
        <v/>
      </c>
      <c r="CC876" s="80" t="str">
        <f>IF(AND(BD876=1,D876="proMX",E876&amp;""&lt;&gt;""),IF(COUNTIFS($D$5:D875,"proMX",$E$5:E875,E876,$BD$5:BD875,1)=0,MAX($CC$5:CC875)+1,""),"")</f>
        <v/>
      </c>
      <c r="CD876" s="80" t="str">
        <f>IF(AND(BE876=1,D876="Malcolm",F876&amp;""&lt;&gt;""),IF(COUNTIFS($D$5:D875,"Malcolm",$F$5:F875,F876,$BE$5:BE875,1)=0,MAX($CD$5:CD875)+1,""),"")</f>
        <v/>
      </c>
      <c r="CE876" s="80" t="str">
        <f>IF(AND(BD876=1,D876="proMX",F876&amp;""&lt;&gt;""),IF(COUNTIFS($D$5:D875,"proMX",$F$5:F875,F876,$BD$5:BD875,1)=0,MAX($CE$5:CE875)+1,""),"")</f>
        <v/>
      </c>
      <c r="CF876" s="80" t="str">
        <f>IF(AND(D876="proMX",BD876=1),IF(OR(BF876="Draft",BF876="Submitted",BF876="Returned",BF876="Recall Requested"),MAX($CF$5:CF875)+1,""),"")</f>
        <v/>
      </c>
      <c r="CG876" s="80">
        <f>IF(BD876=0,0,IF(D876="Malcolm",1,MATCH(BF876,{"Draft","Submitted","Approved","Returned","Recall Requested","Cancelled"},0)+1))</f>
        <v>0</v>
      </c>
      <c r="CH876" s="80">
        <f>IF(AND(BF876="Submitted",ISNUMBER(V876)),IF(V876&gt;CFG_MAXD,1,0),0)</f>
        <v>0</v>
      </c>
    </row>
    <row r="877">
      <c r="A877" s="71" t="str">
        <f>IF(Y877=1,ROW()-5,"")</f>
        <v/>
      </c>
      <c r="B877" s="72" t="n"/>
      <c r="C877" s="71" t="str">
        <f>IF(ISNUMBER(B877),CHOOSE(WEEKDAY(B877,2),"Lun","Mar","Mié","Jue","Vie","Sáb","Dom"),"")</f>
        <v/>
      </c>
      <c r="D877" s="73" t="n"/>
      <c r="E877" s="74" t="n"/>
      <c r="F877" s="74" t="n"/>
      <c r="G877" s="74" t="n"/>
      <c r="H877" s="75" t="n"/>
      <c r="I877" s="75" t="n"/>
      <c r="J877" s="76" t="n"/>
      <c r="K877" s="77" t="str">
        <f>IF(AB877=1,ROUND(AG877/60,4),"")</f>
        <v/>
      </c>
      <c r="L877" s="77" t="str">
        <f>IF(BD877=1,ROUND(AP877/60,4),"")</f>
        <v/>
      </c>
      <c r="M877" s="77" t="str">
        <f>IF(BD877=1,ROUND(AQ877/60,4),"")</f>
        <v/>
      </c>
      <c r="N877" s="71" t="str">
        <f>IF(AND(D877="proMX",AB877=1),ROUND(AG877/CFG_BLK,2),"")</f>
        <v/>
      </c>
      <c r="O877" s="77" t="str">
        <f>IF(D877="proMX",IF(BD877=1,ROUND(AG877/60,4),0),"")</f>
        <v/>
      </c>
      <c r="P877" s="78" t="str">
        <f>IF(Y877=0,"",IF(BD877=1,"OK",IF(D877="proMX","Revisar bloques: ","Revisar: ")&amp;BC877))</f>
        <v/>
      </c>
      <c r="Q877" s="78" t="str">
        <f>IF(NOT(ISNUMBER(B877)),"",IF(COUNTIFS(FER_F,INT(B877))&gt;0,"Feriado"&amp;IF(AH877=1," (laborable)"," (no laborable)"),IF(AH877=1,"Laborable",IF(WEEKDAY(B877,2)&gt;5,"Fin de semana","No laborable"))))</f>
        <v/>
      </c>
      <c r="R877" s="73" t="n"/>
      <c r="S877" s="72" t="n"/>
      <c r="T877" s="72" t="n"/>
      <c r="U877" s="74" t="n"/>
      <c r="V877" s="79" t="str">
        <f>IF(AND(D877="proMX",OR(R877="Submitted",R877="Recall Requested"),ISNUMBER(S877)),CFG_TODAY-INT(S877),"")</f>
        <v/>
      </c>
      <c r="W877" s="78" t="str">
        <f>IF(BD877=0,"",IF(BA877&gt;0,"⚠ Se superpone con un registro de la otra empresa",IF(D877="Malcolm",IF(COUNTA(R877,S877,T877)&gt;0,"Estado/fechas proMX se ignoran en Malcolm",""),IF(BF877="Cancelled","Cancelado: excluido de totales",IF(R877="","Sin estado: se trata como Draft",IF(BF877="Submitted",IF(ISNUMBER(V877),IF(V877&gt;CFG_MAXD,"⚠ "&amp;V877&amp;" días en Submitted (máx. "&amp;CFG_MAXD&amp;")",""),"Falta fecha de envío"),IF(BF877="Returned","⚠ Devuelto: corregir y reenviar",IF(BF877="Recall Requested","Retirada solicitada: pendiente",IF(AND(BF877="Approved",NOT(ISNUMBER(T877))),"Falta fecha de aprobación",IF(AND(ISNUMBER(S877),ISNUMBER(T877),T877&lt;S877),"Aprobación anterior al envío","")))))))))</f>
        <v/>
      </c>
      <c r="Y877" s="80">
        <f>IF(COUNTA(B877,D877,E877,F877,G877,H877,I877,J877,R877,S877,T877)&gt;0,1,0)</f>
        <v>0</v>
      </c>
      <c r="Z877" s="80" t="str">
        <f>IF(AND(ISNUMBER(H877),H877&gt;=0,H877&lt;1),ROUND(H877*1440,0),"")</f>
        <v/>
      </c>
      <c r="AA877" s="80" t="str">
        <f>IF(AND(ISNUMBER(I877),I877&gt;=0,I877&lt;1),ROUND(I877*1440,0),"")</f>
        <v/>
      </c>
      <c r="AB877" s="80">
        <f>IF(AND(ISNUMBER(B877),D877&lt;&gt;"",ISNUMBER(Z877),ISNUMBER(AA877)),IF(Z877=AA877,0,1),0)</f>
        <v>0</v>
      </c>
      <c r="AC877" s="80">
        <f>IF(AB877=1,IF(AA877&lt;Z877,1,0),0)</f>
        <v>0</v>
      </c>
      <c r="AD877" s="80">
        <f>IF(AB877=1,IF(AC877=1,1440-Z877+AA877,AA877-Z877),0)</f>
        <v>0</v>
      </c>
      <c r="AE877" s="80">
        <f>IF(J877="",0,IF(ISNUMBER(J877),J877,-1))</f>
        <v>0</v>
      </c>
      <c r="AF877" s="80">
        <f>MIN(MAX(0,AE877),AD877)</f>
        <v>0</v>
      </c>
      <c r="AG877" s="80">
        <f>MAX(0,AD877-MAX(0,AE877))</f>
        <v>0</v>
      </c>
      <c r="AH877" s="80">
        <f>IF(ISNUMBER(B877),IF(AND(INDEX(CFG_WDAYS,WEEKDAY(INT(B877),2))="Sí",IF(D877="proMX",COUNTIFS(FER_F,INT(B877),FER_NLP,"Sí"),COUNTIFS(FER_F,INT(B877),FER_NLM,"Sí"))=0),1,0),0)</f>
        <v>0</v>
      </c>
      <c r="AI877" s="80">
        <f>IF(AC877=1,IF(AND(INDEX(CFG_WDAYS,WEEKDAY(INT(B877)+1,2))="Sí",IF(D877="proMX",COUNTIFS(FER_F,INT(B877)+1,FER_NLP,"Sí"),COUNTIFS(FER_F,INT(B877)+1,FER_NLM,"Sí"))=0),1,0),0)</f>
        <v>0</v>
      </c>
      <c r="AJ877" s="80">
        <f>IF(AC877=1,1440-Z877,AD877)</f>
        <v>0</v>
      </c>
      <c r="AK877" s="80">
        <f>IF(AND(AB877=1,AH877=1),MAX(0,MIN(IF(AC877=1,1440,AA877),CFG_WEM)-MAX(Z877,CFG_WSM)),0)</f>
        <v>0</v>
      </c>
      <c r="AL877" s="80">
        <f>IF(AND(AC877=1,AI877=1),MAX(0,MIN(AA877,CFG_WEM)-CFG_WSM),0)</f>
        <v>0</v>
      </c>
      <c r="AM877" s="80">
        <f>AK877+AL877</f>
        <v>0</v>
      </c>
      <c r="AN877" s="80">
        <f>IF(CFG_BRK="Proporcional",IF(AD877=0,0,AF877*AM877/AD877),IF(CFG_BRK="Extras primero",MIN(AM877,MAX(0,AF877-(AD877-AM877))),MIN(AF877,AM877)))</f>
        <v>0</v>
      </c>
      <c r="AO877" s="80">
        <f>AF877-AN877</f>
        <v>0</v>
      </c>
      <c r="AP877" s="80">
        <f>AM877-AN877</f>
        <v>0</v>
      </c>
      <c r="AQ877" s="80">
        <f>AD877-AM877-AO877</f>
        <v>0</v>
      </c>
      <c r="AR877" s="80">
        <f>IF(AM877=0,0,AK877-AN877*AK877/AM877)</f>
        <v>0</v>
      </c>
      <c r="AS877" s="80">
        <f>IF(AD877-AM877=0,0,(AJ877-AK877)-AO877*(AJ877-AK877)/(AD877-AM877))</f>
        <v>0</v>
      </c>
      <c r="AT877" s="80" t="str">
        <f>IF(AC877=1,INT(B877)+1,"")</f>
        <v/>
      </c>
      <c r="AU877" s="80">
        <f>IF(AND(D877="proMX",R877="Cancelled"),0,1)</f>
        <v>1</v>
      </c>
      <c r="AV877" s="80">
        <f>IF(AND(AB877=1,AU877=1),IF(COUNTIFS($D$5:D876,D877,$B$5:B876,B877,$Z$5:Z876,Z877,$AA$5:AA876,AA877,$F$5:F876,F877&amp;"",$AU$5:AU876,1)&gt;0,1,0),0)</f>
        <v>0</v>
      </c>
      <c r="AW877" s="80" t="str">
        <f>IF(AB877=1,INT(B877)*1440+Z877,"")</f>
        <v/>
      </c>
      <c r="AX877" s="80" t="str">
        <f>IF(AB877=1,AW877+AD877,"")</f>
        <v/>
      </c>
      <c r="AY877" s="80">
        <f>IF(AND(AB877=1,AV877=0,AU877=1),1,0)</f>
        <v>0</v>
      </c>
      <c r="AZ877" s="80">
        <f>IF(AY877=1,COUNTIFS(R_Emp,D877,R_SAbs,"&lt;"&amp;AX877,R_EAbs,"&gt;"&amp;AW877,R_OKey,1)-1,0)</f>
        <v>0</v>
      </c>
      <c r="BA877" s="80">
        <f>IF(AY877=1,COUNTIFS(R_Emp,"&lt;&gt;"&amp;D877,R_SAbs,"&lt;"&amp;AX877,R_EAbs,"&gt;"&amp;AW877,R_OKey,1),0)</f>
        <v>0</v>
      </c>
      <c r="BB877" s="80">
        <f>IF(AND(AB877=1,D877="proMX"),IF(AND(MOD(Z877,CFG_BLK)=0,MOD(AA877,CFG_BLK)=0,MOD(AG877,CFG_BLK)=0,AG877&gt;0),1,0),1)</f>
        <v>1</v>
      </c>
      <c r="BC877" s="80" t="str">
        <f>IF(Y877=0,"",IF(NOT(ISNUMBER(B877)),"Falta fecha o fecha inválida",IF(D877="","Falta empresa",IF(AND(D877&lt;&gt;"Malcolm",D877&lt;&gt;"proMX"),"Empresa inválida",IF(OR(INT(B877)&lt;CFG_PSTART,INT(B877)&gt;CFG_PEND),"Fecha fuera del período",IF(OR(NOT(ISNUMBER(Z877)),NOT(ISNUMBER(AA877))),"Falta hora inicio/fin o formato inválido",IF(AB877=0,"Hora inicio = hora fin",IF(AE877&lt;0,"Descanso inválido",IF(AE877&gt;=AD877,"Descanso ≥ duración",IF(AV877=1,"Registro duplicado",IF(AZ877&gt;0,"Se superpone con otro registro "&amp;D877,IF(BB877=0,"inicio, fin y duración neta deben ser múltiplos de "&amp;CFG_BLK&amp;" min",""))))))))))))</f>
        <v/>
      </c>
      <c r="BD877" s="80">
        <f>IF(AND(Y877=1,BC877=""),1,0)</f>
        <v>0</v>
      </c>
      <c r="BE877" s="80">
        <f>IF(AND(BD877=1,AU877=1),1,0)</f>
        <v>0</v>
      </c>
      <c r="BF877" s="80" t="str">
        <f>IF(AND(D877="proMX",BD877=1),IF(R877="","Draft",R877),"")</f>
        <v/>
      </c>
      <c r="BG877" s="80">
        <f>IF(BD877=1,ROUND(AG877/60,6),0)</f>
        <v>0</v>
      </c>
      <c r="BH877" s="80">
        <f>IF(BE877=1,ROUND(AG877/60,6),0)</f>
        <v>0</v>
      </c>
      <c r="BI877" s="80">
        <f>IF(BE877=1,ROUND(AP877/60,6),0)</f>
        <v>0</v>
      </c>
      <c r="BJ877" s="80">
        <f>IF(BE877=1,ROUND(AQ877/60,6),0)</f>
        <v>0</v>
      </c>
      <c r="BK877" s="80">
        <f>IF(BE877=1,ROUND((AR877+AS877)/60,6),0)</f>
        <v>0</v>
      </c>
      <c r="BL877" s="80">
        <f>ROUND(BH877-BK877,6)</f>
        <v>0</v>
      </c>
      <c r="BM877" s="80">
        <f>IF(BE877=1,ROUND(AR877/60,6),0)</f>
        <v>0</v>
      </c>
      <c r="BN877" s="80">
        <f>ROUND(BI877-BM877,6)</f>
        <v>0</v>
      </c>
      <c r="BO877" s="80">
        <f>IF(BE877=1,ROUND(AS877/60,6),0)</f>
        <v>0</v>
      </c>
      <c r="BP877" s="80">
        <f>ROUND(BJ877-BO877,6)</f>
        <v>0</v>
      </c>
      <c r="BQ877" s="80">
        <f>IF(BE877=1,AW877,0)</f>
        <v>0</v>
      </c>
      <c r="BR877" s="80">
        <f>IF(BE877=1,AX877,0)</f>
        <v>0</v>
      </c>
      <c r="BS877" s="80">
        <f>IF(AND(BE877=1,D877="Malcolm",BA877&gt;0),MIN(BH877,SUMPRODUCT((R_Emp="proMX")*(R_EN&gt;0)*((R_EN-(R_EN&gt;BR877)*(R_EN-BR877))&gt;(R_SN+(R_SN&lt;BQ877)*(BQ877-R_SN)))*((R_EN-(R_EN&gt;BR877)*(R_EN-BR877))-(R_SN+(R_SN&lt;BQ877)*(BQ877-R_SN))))/60),0)</f>
        <v>0</v>
      </c>
      <c r="BT877" s="80">
        <f>IF(AND(BE877=1,D877="proMX"),ROUND(BI877*CFG_RATE+BJ877*CFG_OTRATE,6),0)</f>
        <v>0</v>
      </c>
      <c r="BU877" s="80">
        <f>IF(AND(BD877=1,D877="proMX"),ROUND(AG877/CFG_BLK,6),0)</f>
        <v>0</v>
      </c>
      <c r="BV877" s="80" t="str">
        <f>IF(BF877="Approved",IF(ISNUMBER(T877),INT(T877),INT(B877)),"")</f>
        <v/>
      </c>
      <c r="BW877" s="80">
        <f>IF(ISNUMBER(B877),IF(DB_MON="Todos",1,IF(AND(INT(B877)&gt;=DB_MS,INT(B877)&lt;=DB_ME),1,0)),0)</f>
        <v>0</v>
      </c>
      <c r="BX877" s="80">
        <f>IF(DB_PROJ="Todos",1,IF(E877&amp;""=DB_PROJ&amp;"",1,0))</f>
        <v>1</v>
      </c>
      <c r="BY877" s="80">
        <f>BW877*BX877</f>
        <v>0</v>
      </c>
      <c r="BZ877" s="80" t="str">
        <f>IF(Y877=1,F877&amp;IF(AND(F877&amp;""&lt;&gt;"",E877&amp;""&lt;&gt;"")," · ","")&amp;E877,"")</f>
        <v/>
      </c>
      <c r="CA877" s="80" t="str">
        <f>IF(AND(BD877=1,E877&amp;""&lt;&gt;""),IF(COUNTIFS($E$5:E876,E877,$BD$5:BD876,1)=0,MAX($CA$5:CA876)+1,""),"")</f>
        <v/>
      </c>
      <c r="CB877" s="80" t="str">
        <f>IF(AND(BE877=1,D877="Malcolm",E877&amp;""&lt;&gt;""),IF(COUNTIFS($D$5:D876,"Malcolm",$E$5:E876,E877,$BE$5:BE876,1)=0,MAX($CB$5:CB876)+1,""),"")</f>
        <v/>
      </c>
      <c r="CC877" s="80" t="str">
        <f>IF(AND(BD877=1,D877="proMX",E877&amp;""&lt;&gt;""),IF(COUNTIFS($D$5:D876,"proMX",$E$5:E876,E877,$BD$5:BD876,1)=0,MAX($CC$5:CC876)+1,""),"")</f>
        <v/>
      </c>
      <c r="CD877" s="80" t="str">
        <f>IF(AND(BE877=1,D877="Malcolm",F877&amp;""&lt;&gt;""),IF(COUNTIFS($D$5:D876,"Malcolm",$F$5:F876,F877,$BE$5:BE876,1)=0,MAX($CD$5:CD876)+1,""),"")</f>
        <v/>
      </c>
      <c r="CE877" s="80" t="str">
        <f>IF(AND(BD877=1,D877="proMX",F877&amp;""&lt;&gt;""),IF(COUNTIFS($D$5:D876,"proMX",$F$5:F876,F877,$BD$5:BD876,1)=0,MAX($CE$5:CE876)+1,""),"")</f>
        <v/>
      </c>
      <c r="CF877" s="80" t="str">
        <f>IF(AND(D877="proMX",BD877=1),IF(OR(BF877="Draft",BF877="Submitted",BF877="Returned",BF877="Recall Requested"),MAX($CF$5:CF876)+1,""),"")</f>
        <v/>
      </c>
      <c r="CG877" s="80">
        <f>IF(BD877=0,0,IF(D877="Malcolm",1,MATCH(BF877,{"Draft","Submitted","Approved","Returned","Recall Requested","Cancelled"},0)+1))</f>
        <v>0</v>
      </c>
      <c r="CH877" s="80">
        <f>IF(AND(BF877="Submitted",ISNUMBER(V877)),IF(V877&gt;CFG_MAXD,1,0),0)</f>
        <v>0</v>
      </c>
    </row>
    <row r="878">
      <c r="A878" s="71" t="str">
        <f>IF(Y878=1,ROW()-5,"")</f>
        <v/>
      </c>
      <c r="B878" s="72" t="n"/>
      <c r="C878" s="71" t="str">
        <f>IF(ISNUMBER(B878),CHOOSE(WEEKDAY(B878,2),"Lun","Mar","Mié","Jue","Vie","Sáb","Dom"),"")</f>
        <v/>
      </c>
      <c r="D878" s="73" t="n"/>
      <c r="E878" s="74" t="n"/>
      <c r="F878" s="74" t="n"/>
      <c r="G878" s="74" t="n"/>
      <c r="H878" s="75" t="n"/>
      <c r="I878" s="75" t="n"/>
      <c r="J878" s="76" t="n"/>
      <c r="K878" s="77" t="str">
        <f>IF(AB878=1,ROUND(AG878/60,4),"")</f>
        <v/>
      </c>
      <c r="L878" s="77" t="str">
        <f>IF(BD878=1,ROUND(AP878/60,4),"")</f>
        <v/>
      </c>
      <c r="M878" s="77" t="str">
        <f>IF(BD878=1,ROUND(AQ878/60,4),"")</f>
        <v/>
      </c>
      <c r="N878" s="71" t="str">
        <f>IF(AND(D878="proMX",AB878=1),ROUND(AG878/CFG_BLK,2),"")</f>
        <v/>
      </c>
      <c r="O878" s="77" t="str">
        <f>IF(D878="proMX",IF(BD878=1,ROUND(AG878/60,4),0),"")</f>
        <v/>
      </c>
      <c r="P878" s="78" t="str">
        <f>IF(Y878=0,"",IF(BD878=1,"OK",IF(D878="proMX","Revisar bloques: ","Revisar: ")&amp;BC878))</f>
        <v/>
      </c>
      <c r="Q878" s="78" t="str">
        <f>IF(NOT(ISNUMBER(B878)),"",IF(COUNTIFS(FER_F,INT(B878))&gt;0,"Feriado"&amp;IF(AH878=1," (laborable)"," (no laborable)"),IF(AH878=1,"Laborable",IF(WEEKDAY(B878,2)&gt;5,"Fin de semana","No laborable"))))</f>
        <v/>
      </c>
      <c r="R878" s="73" t="n"/>
      <c r="S878" s="72" t="n"/>
      <c r="T878" s="72" t="n"/>
      <c r="U878" s="74" t="n"/>
      <c r="V878" s="79" t="str">
        <f>IF(AND(D878="proMX",OR(R878="Submitted",R878="Recall Requested"),ISNUMBER(S878)),CFG_TODAY-INT(S878),"")</f>
        <v/>
      </c>
      <c r="W878" s="78" t="str">
        <f>IF(BD878=0,"",IF(BA878&gt;0,"⚠ Se superpone con un registro de la otra empresa",IF(D878="Malcolm",IF(COUNTA(R878,S878,T878)&gt;0,"Estado/fechas proMX se ignoran en Malcolm",""),IF(BF878="Cancelled","Cancelado: excluido de totales",IF(R878="","Sin estado: se trata como Draft",IF(BF878="Submitted",IF(ISNUMBER(V878),IF(V878&gt;CFG_MAXD,"⚠ "&amp;V878&amp;" días en Submitted (máx. "&amp;CFG_MAXD&amp;")",""),"Falta fecha de envío"),IF(BF878="Returned","⚠ Devuelto: corregir y reenviar",IF(BF878="Recall Requested","Retirada solicitada: pendiente",IF(AND(BF878="Approved",NOT(ISNUMBER(T878))),"Falta fecha de aprobación",IF(AND(ISNUMBER(S878),ISNUMBER(T878),T878&lt;S878),"Aprobación anterior al envío","")))))))))</f>
        <v/>
      </c>
      <c r="Y878" s="80">
        <f>IF(COUNTA(B878,D878,E878,F878,G878,H878,I878,J878,R878,S878,T878)&gt;0,1,0)</f>
        <v>0</v>
      </c>
      <c r="Z878" s="80" t="str">
        <f>IF(AND(ISNUMBER(H878),H878&gt;=0,H878&lt;1),ROUND(H878*1440,0),"")</f>
        <v/>
      </c>
      <c r="AA878" s="80" t="str">
        <f>IF(AND(ISNUMBER(I878),I878&gt;=0,I878&lt;1),ROUND(I878*1440,0),"")</f>
        <v/>
      </c>
      <c r="AB878" s="80">
        <f>IF(AND(ISNUMBER(B878),D878&lt;&gt;"",ISNUMBER(Z878),ISNUMBER(AA878)),IF(Z878=AA878,0,1),0)</f>
        <v>0</v>
      </c>
      <c r="AC878" s="80">
        <f>IF(AB878=1,IF(AA878&lt;Z878,1,0),0)</f>
        <v>0</v>
      </c>
      <c r="AD878" s="80">
        <f>IF(AB878=1,IF(AC878=1,1440-Z878+AA878,AA878-Z878),0)</f>
        <v>0</v>
      </c>
      <c r="AE878" s="80">
        <f>IF(J878="",0,IF(ISNUMBER(J878),J878,-1))</f>
        <v>0</v>
      </c>
      <c r="AF878" s="80">
        <f>MIN(MAX(0,AE878),AD878)</f>
        <v>0</v>
      </c>
      <c r="AG878" s="80">
        <f>MAX(0,AD878-MAX(0,AE878))</f>
        <v>0</v>
      </c>
      <c r="AH878" s="80">
        <f>IF(ISNUMBER(B878),IF(AND(INDEX(CFG_WDAYS,WEEKDAY(INT(B878),2))="Sí",IF(D878="proMX",COUNTIFS(FER_F,INT(B878),FER_NLP,"Sí"),COUNTIFS(FER_F,INT(B878),FER_NLM,"Sí"))=0),1,0),0)</f>
        <v>0</v>
      </c>
      <c r="AI878" s="80">
        <f>IF(AC878=1,IF(AND(INDEX(CFG_WDAYS,WEEKDAY(INT(B878)+1,2))="Sí",IF(D878="proMX",COUNTIFS(FER_F,INT(B878)+1,FER_NLP,"Sí"),COUNTIFS(FER_F,INT(B878)+1,FER_NLM,"Sí"))=0),1,0),0)</f>
        <v>0</v>
      </c>
      <c r="AJ878" s="80">
        <f>IF(AC878=1,1440-Z878,AD878)</f>
        <v>0</v>
      </c>
      <c r="AK878" s="80">
        <f>IF(AND(AB878=1,AH878=1),MAX(0,MIN(IF(AC878=1,1440,AA878),CFG_WEM)-MAX(Z878,CFG_WSM)),0)</f>
        <v>0</v>
      </c>
      <c r="AL878" s="80">
        <f>IF(AND(AC878=1,AI878=1),MAX(0,MIN(AA878,CFG_WEM)-CFG_WSM),0)</f>
        <v>0</v>
      </c>
      <c r="AM878" s="80">
        <f>AK878+AL878</f>
        <v>0</v>
      </c>
      <c r="AN878" s="80">
        <f>IF(CFG_BRK="Proporcional",IF(AD878=0,0,AF878*AM878/AD878),IF(CFG_BRK="Extras primero",MIN(AM878,MAX(0,AF878-(AD878-AM878))),MIN(AF878,AM878)))</f>
        <v>0</v>
      </c>
      <c r="AO878" s="80">
        <f>AF878-AN878</f>
        <v>0</v>
      </c>
      <c r="AP878" s="80">
        <f>AM878-AN878</f>
        <v>0</v>
      </c>
      <c r="AQ878" s="80">
        <f>AD878-AM878-AO878</f>
        <v>0</v>
      </c>
      <c r="AR878" s="80">
        <f>IF(AM878=0,0,AK878-AN878*AK878/AM878)</f>
        <v>0</v>
      </c>
      <c r="AS878" s="80">
        <f>IF(AD878-AM878=0,0,(AJ878-AK878)-AO878*(AJ878-AK878)/(AD878-AM878))</f>
        <v>0</v>
      </c>
      <c r="AT878" s="80" t="str">
        <f>IF(AC878=1,INT(B878)+1,"")</f>
        <v/>
      </c>
      <c r="AU878" s="80">
        <f>IF(AND(D878="proMX",R878="Cancelled"),0,1)</f>
        <v>1</v>
      </c>
      <c r="AV878" s="80">
        <f>IF(AND(AB878=1,AU878=1),IF(COUNTIFS($D$5:D877,D878,$B$5:B877,B878,$Z$5:Z877,Z878,$AA$5:AA877,AA878,$F$5:F877,F878&amp;"",$AU$5:AU877,1)&gt;0,1,0),0)</f>
        <v>0</v>
      </c>
      <c r="AW878" s="80" t="str">
        <f>IF(AB878=1,INT(B878)*1440+Z878,"")</f>
        <v/>
      </c>
      <c r="AX878" s="80" t="str">
        <f>IF(AB878=1,AW878+AD878,"")</f>
        <v/>
      </c>
      <c r="AY878" s="80">
        <f>IF(AND(AB878=1,AV878=0,AU878=1),1,0)</f>
        <v>0</v>
      </c>
      <c r="AZ878" s="80">
        <f>IF(AY878=1,COUNTIFS(R_Emp,D878,R_SAbs,"&lt;"&amp;AX878,R_EAbs,"&gt;"&amp;AW878,R_OKey,1)-1,0)</f>
        <v>0</v>
      </c>
      <c r="BA878" s="80">
        <f>IF(AY878=1,COUNTIFS(R_Emp,"&lt;&gt;"&amp;D878,R_SAbs,"&lt;"&amp;AX878,R_EAbs,"&gt;"&amp;AW878,R_OKey,1),0)</f>
        <v>0</v>
      </c>
      <c r="BB878" s="80">
        <f>IF(AND(AB878=1,D878="proMX"),IF(AND(MOD(Z878,CFG_BLK)=0,MOD(AA878,CFG_BLK)=0,MOD(AG878,CFG_BLK)=0,AG878&gt;0),1,0),1)</f>
        <v>1</v>
      </c>
      <c r="BC878" s="80" t="str">
        <f>IF(Y878=0,"",IF(NOT(ISNUMBER(B878)),"Falta fecha o fecha inválida",IF(D878="","Falta empresa",IF(AND(D878&lt;&gt;"Malcolm",D878&lt;&gt;"proMX"),"Empresa inválida",IF(OR(INT(B878)&lt;CFG_PSTART,INT(B878)&gt;CFG_PEND),"Fecha fuera del período",IF(OR(NOT(ISNUMBER(Z878)),NOT(ISNUMBER(AA878))),"Falta hora inicio/fin o formato inválido",IF(AB878=0,"Hora inicio = hora fin",IF(AE878&lt;0,"Descanso inválido",IF(AE878&gt;=AD878,"Descanso ≥ duración",IF(AV878=1,"Registro duplicado",IF(AZ878&gt;0,"Se superpone con otro registro "&amp;D878,IF(BB878=0,"inicio, fin y duración neta deben ser múltiplos de "&amp;CFG_BLK&amp;" min",""))))))))))))</f>
        <v/>
      </c>
      <c r="BD878" s="80">
        <f>IF(AND(Y878=1,BC878=""),1,0)</f>
        <v>0</v>
      </c>
      <c r="BE878" s="80">
        <f>IF(AND(BD878=1,AU878=1),1,0)</f>
        <v>0</v>
      </c>
      <c r="BF878" s="80" t="str">
        <f>IF(AND(D878="proMX",BD878=1),IF(R878="","Draft",R878),"")</f>
        <v/>
      </c>
      <c r="BG878" s="80">
        <f>IF(BD878=1,ROUND(AG878/60,6),0)</f>
        <v>0</v>
      </c>
      <c r="BH878" s="80">
        <f>IF(BE878=1,ROUND(AG878/60,6),0)</f>
        <v>0</v>
      </c>
      <c r="BI878" s="80">
        <f>IF(BE878=1,ROUND(AP878/60,6),0)</f>
        <v>0</v>
      </c>
      <c r="BJ878" s="80">
        <f>IF(BE878=1,ROUND(AQ878/60,6),0)</f>
        <v>0</v>
      </c>
      <c r="BK878" s="80">
        <f>IF(BE878=1,ROUND((AR878+AS878)/60,6),0)</f>
        <v>0</v>
      </c>
      <c r="BL878" s="80">
        <f>ROUND(BH878-BK878,6)</f>
        <v>0</v>
      </c>
      <c r="BM878" s="80">
        <f>IF(BE878=1,ROUND(AR878/60,6),0)</f>
        <v>0</v>
      </c>
      <c r="BN878" s="80">
        <f>ROUND(BI878-BM878,6)</f>
        <v>0</v>
      </c>
      <c r="BO878" s="80">
        <f>IF(BE878=1,ROUND(AS878/60,6),0)</f>
        <v>0</v>
      </c>
      <c r="BP878" s="80">
        <f>ROUND(BJ878-BO878,6)</f>
        <v>0</v>
      </c>
      <c r="BQ878" s="80">
        <f>IF(BE878=1,AW878,0)</f>
        <v>0</v>
      </c>
      <c r="BR878" s="80">
        <f>IF(BE878=1,AX878,0)</f>
        <v>0</v>
      </c>
      <c r="BS878" s="80">
        <f>IF(AND(BE878=1,D878="Malcolm",BA878&gt;0),MIN(BH878,SUMPRODUCT((R_Emp="proMX")*(R_EN&gt;0)*((R_EN-(R_EN&gt;BR878)*(R_EN-BR878))&gt;(R_SN+(R_SN&lt;BQ878)*(BQ878-R_SN)))*((R_EN-(R_EN&gt;BR878)*(R_EN-BR878))-(R_SN+(R_SN&lt;BQ878)*(BQ878-R_SN))))/60),0)</f>
        <v>0</v>
      </c>
      <c r="BT878" s="80">
        <f>IF(AND(BE878=1,D878="proMX"),ROUND(BI878*CFG_RATE+BJ878*CFG_OTRATE,6),0)</f>
        <v>0</v>
      </c>
      <c r="BU878" s="80">
        <f>IF(AND(BD878=1,D878="proMX"),ROUND(AG878/CFG_BLK,6),0)</f>
        <v>0</v>
      </c>
      <c r="BV878" s="80" t="str">
        <f>IF(BF878="Approved",IF(ISNUMBER(T878),INT(T878),INT(B878)),"")</f>
        <v/>
      </c>
      <c r="BW878" s="80">
        <f>IF(ISNUMBER(B878),IF(DB_MON="Todos",1,IF(AND(INT(B878)&gt;=DB_MS,INT(B878)&lt;=DB_ME),1,0)),0)</f>
        <v>0</v>
      </c>
      <c r="BX878" s="80">
        <f>IF(DB_PROJ="Todos",1,IF(E878&amp;""=DB_PROJ&amp;"",1,0))</f>
        <v>1</v>
      </c>
      <c r="BY878" s="80">
        <f>BW878*BX878</f>
        <v>0</v>
      </c>
      <c r="BZ878" s="80" t="str">
        <f>IF(Y878=1,F878&amp;IF(AND(F878&amp;""&lt;&gt;"",E878&amp;""&lt;&gt;"")," · ","")&amp;E878,"")</f>
        <v/>
      </c>
      <c r="CA878" s="80" t="str">
        <f>IF(AND(BD878=1,E878&amp;""&lt;&gt;""),IF(COUNTIFS($E$5:E877,E878,$BD$5:BD877,1)=0,MAX($CA$5:CA877)+1,""),"")</f>
        <v/>
      </c>
      <c r="CB878" s="80" t="str">
        <f>IF(AND(BE878=1,D878="Malcolm",E878&amp;""&lt;&gt;""),IF(COUNTIFS($D$5:D877,"Malcolm",$E$5:E877,E878,$BE$5:BE877,1)=0,MAX($CB$5:CB877)+1,""),"")</f>
        <v/>
      </c>
      <c r="CC878" s="80" t="str">
        <f>IF(AND(BD878=1,D878="proMX",E878&amp;""&lt;&gt;""),IF(COUNTIFS($D$5:D877,"proMX",$E$5:E877,E878,$BD$5:BD877,1)=0,MAX($CC$5:CC877)+1,""),"")</f>
        <v/>
      </c>
      <c r="CD878" s="80" t="str">
        <f>IF(AND(BE878=1,D878="Malcolm",F878&amp;""&lt;&gt;""),IF(COUNTIFS($D$5:D877,"Malcolm",$F$5:F877,F878,$BE$5:BE877,1)=0,MAX($CD$5:CD877)+1,""),"")</f>
        <v/>
      </c>
      <c r="CE878" s="80" t="str">
        <f>IF(AND(BD878=1,D878="proMX",F878&amp;""&lt;&gt;""),IF(COUNTIFS($D$5:D877,"proMX",$F$5:F877,F878,$BD$5:BD877,1)=0,MAX($CE$5:CE877)+1,""),"")</f>
        <v/>
      </c>
      <c r="CF878" s="80" t="str">
        <f>IF(AND(D878="proMX",BD878=1),IF(OR(BF878="Draft",BF878="Submitted",BF878="Returned",BF878="Recall Requested"),MAX($CF$5:CF877)+1,""),"")</f>
        <v/>
      </c>
      <c r="CG878" s="80">
        <f>IF(BD878=0,0,IF(D878="Malcolm",1,MATCH(BF878,{"Draft","Submitted","Approved","Returned","Recall Requested","Cancelled"},0)+1))</f>
        <v>0</v>
      </c>
      <c r="CH878" s="80">
        <f>IF(AND(BF878="Submitted",ISNUMBER(V878)),IF(V878&gt;CFG_MAXD,1,0),0)</f>
        <v>0</v>
      </c>
    </row>
    <row r="879">
      <c r="A879" s="71" t="str">
        <f>IF(Y879=1,ROW()-5,"")</f>
        <v/>
      </c>
      <c r="B879" s="72" t="n"/>
      <c r="C879" s="71" t="str">
        <f>IF(ISNUMBER(B879),CHOOSE(WEEKDAY(B879,2),"Lun","Mar","Mié","Jue","Vie","Sáb","Dom"),"")</f>
        <v/>
      </c>
      <c r="D879" s="73" t="n"/>
      <c r="E879" s="74" t="n"/>
      <c r="F879" s="74" t="n"/>
      <c r="G879" s="74" t="n"/>
      <c r="H879" s="75" t="n"/>
      <c r="I879" s="75" t="n"/>
      <c r="J879" s="76" t="n"/>
      <c r="K879" s="77" t="str">
        <f>IF(AB879=1,ROUND(AG879/60,4),"")</f>
        <v/>
      </c>
      <c r="L879" s="77" t="str">
        <f>IF(BD879=1,ROUND(AP879/60,4),"")</f>
        <v/>
      </c>
      <c r="M879" s="77" t="str">
        <f>IF(BD879=1,ROUND(AQ879/60,4),"")</f>
        <v/>
      </c>
      <c r="N879" s="71" t="str">
        <f>IF(AND(D879="proMX",AB879=1),ROUND(AG879/CFG_BLK,2),"")</f>
        <v/>
      </c>
      <c r="O879" s="77" t="str">
        <f>IF(D879="proMX",IF(BD879=1,ROUND(AG879/60,4),0),"")</f>
        <v/>
      </c>
      <c r="P879" s="78" t="str">
        <f>IF(Y879=0,"",IF(BD879=1,"OK",IF(D879="proMX","Revisar bloques: ","Revisar: ")&amp;BC879))</f>
        <v/>
      </c>
      <c r="Q879" s="78" t="str">
        <f>IF(NOT(ISNUMBER(B879)),"",IF(COUNTIFS(FER_F,INT(B879))&gt;0,"Feriado"&amp;IF(AH879=1," (laborable)"," (no laborable)"),IF(AH879=1,"Laborable",IF(WEEKDAY(B879,2)&gt;5,"Fin de semana","No laborable"))))</f>
        <v/>
      </c>
      <c r="R879" s="73" t="n"/>
      <c r="S879" s="72" t="n"/>
      <c r="T879" s="72" t="n"/>
      <c r="U879" s="74" t="n"/>
      <c r="V879" s="79" t="str">
        <f>IF(AND(D879="proMX",OR(R879="Submitted",R879="Recall Requested"),ISNUMBER(S879)),CFG_TODAY-INT(S879),"")</f>
        <v/>
      </c>
      <c r="W879" s="78" t="str">
        <f>IF(BD879=0,"",IF(BA879&gt;0,"⚠ Se superpone con un registro de la otra empresa",IF(D879="Malcolm",IF(COUNTA(R879,S879,T879)&gt;0,"Estado/fechas proMX se ignoran en Malcolm",""),IF(BF879="Cancelled","Cancelado: excluido de totales",IF(R879="","Sin estado: se trata como Draft",IF(BF879="Submitted",IF(ISNUMBER(V879),IF(V879&gt;CFG_MAXD,"⚠ "&amp;V879&amp;" días en Submitted (máx. "&amp;CFG_MAXD&amp;")",""),"Falta fecha de envío"),IF(BF879="Returned","⚠ Devuelto: corregir y reenviar",IF(BF879="Recall Requested","Retirada solicitada: pendiente",IF(AND(BF879="Approved",NOT(ISNUMBER(T879))),"Falta fecha de aprobación",IF(AND(ISNUMBER(S879),ISNUMBER(T879),T879&lt;S879),"Aprobación anterior al envío","")))))))))</f>
        <v/>
      </c>
      <c r="Y879" s="80">
        <f>IF(COUNTA(B879,D879,E879,F879,G879,H879,I879,J879,R879,S879,T879)&gt;0,1,0)</f>
        <v>0</v>
      </c>
      <c r="Z879" s="80" t="str">
        <f>IF(AND(ISNUMBER(H879),H879&gt;=0,H879&lt;1),ROUND(H879*1440,0),"")</f>
        <v/>
      </c>
      <c r="AA879" s="80" t="str">
        <f>IF(AND(ISNUMBER(I879),I879&gt;=0,I879&lt;1),ROUND(I879*1440,0),"")</f>
        <v/>
      </c>
      <c r="AB879" s="80">
        <f>IF(AND(ISNUMBER(B879),D879&lt;&gt;"",ISNUMBER(Z879),ISNUMBER(AA879)),IF(Z879=AA879,0,1),0)</f>
        <v>0</v>
      </c>
      <c r="AC879" s="80">
        <f>IF(AB879=1,IF(AA879&lt;Z879,1,0),0)</f>
        <v>0</v>
      </c>
      <c r="AD879" s="80">
        <f>IF(AB879=1,IF(AC879=1,1440-Z879+AA879,AA879-Z879),0)</f>
        <v>0</v>
      </c>
      <c r="AE879" s="80">
        <f>IF(J879="",0,IF(ISNUMBER(J879),J879,-1))</f>
        <v>0</v>
      </c>
      <c r="AF879" s="80">
        <f>MIN(MAX(0,AE879),AD879)</f>
        <v>0</v>
      </c>
      <c r="AG879" s="80">
        <f>MAX(0,AD879-MAX(0,AE879))</f>
        <v>0</v>
      </c>
      <c r="AH879" s="80">
        <f>IF(ISNUMBER(B879),IF(AND(INDEX(CFG_WDAYS,WEEKDAY(INT(B879),2))="Sí",IF(D879="proMX",COUNTIFS(FER_F,INT(B879),FER_NLP,"Sí"),COUNTIFS(FER_F,INT(B879),FER_NLM,"Sí"))=0),1,0),0)</f>
        <v>0</v>
      </c>
      <c r="AI879" s="80">
        <f>IF(AC879=1,IF(AND(INDEX(CFG_WDAYS,WEEKDAY(INT(B879)+1,2))="Sí",IF(D879="proMX",COUNTIFS(FER_F,INT(B879)+1,FER_NLP,"Sí"),COUNTIFS(FER_F,INT(B879)+1,FER_NLM,"Sí"))=0),1,0),0)</f>
        <v>0</v>
      </c>
      <c r="AJ879" s="80">
        <f>IF(AC879=1,1440-Z879,AD879)</f>
        <v>0</v>
      </c>
      <c r="AK879" s="80">
        <f>IF(AND(AB879=1,AH879=1),MAX(0,MIN(IF(AC879=1,1440,AA879),CFG_WEM)-MAX(Z879,CFG_WSM)),0)</f>
        <v>0</v>
      </c>
      <c r="AL879" s="80">
        <f>IF(AND(AC879=1,AI879=1),MAX(0,MIN(AA879,CFG_WEM)-CFG_WSM),0)</f>
        <v>0</v>
      </c>
      <c r="AM879" s="80">
        <f>AK879+AL879</f>
        <v>0</v>
      </c>
      <c r="AN879" s="80">
        <f>IF(CFG_BRK="Proporcional",IF(AD879=0,0,AF879*AM879/AD879),IF(CFG_BRK="Extras primero",MIN(AM879,MAX(0,AF879-(AD879-AM879))),MIN(AF879,AM879)))</f>
        <v>0</v>
      </c>
      <c r="AO879" s="80">
        <f>AF879-AN879</f>
        <v>0</v>
      </c>
      <c r="AP879" s="80">
        <f>AM879-AN879</f>
        <v>0</v>
      </c>
      <c r="AQ879" s="80">
        <f>AD879-AM879-AO879</f>
        <v>0</v>
      </c>
      <c r="AR879" s="80">
        <f>IF(AM879=0,0,AK879-AN879*AK879/AM879)</f>
        <v>0</v>
      </c>
      <c r="AS879" s="80">
        <f>IF(AD879-AM879=0,0,(AJ879-AK879)-AO879*(AJ879-AK879)/(AD879-AM879))</f>
        <v>0</v>
      </c>
      <c r="AT879" s="80" t="str">
        <f>IF(AC879=1,INT(B879)+1,"")</f>
        <v/>
      </c>
      <c r="AU879" s="80">
        <f>IF(AND(D879="proMX",R879="Cancelled"),0,1)</f>
        <v>1</v>
      </c>
      <c r="AV879" s="80">
        <f>IF(AND(AB879=1,AU879=1),IF(COUNTIFS($D$5:D878,D879,$B$5:B878,B879,$Z$5:Z878,Z879,$AA$5:AA878,AA879,$F$5:F878,F879&amp;"",$AU$5:AU878,1)&gt;0,1,0),0)</f>
        <v>0</v>
      </c>
      <c r="AW879" s="80" t="str">
        <f>IF(AB879=1,INT(B879)*1440+Z879,"")</f>
        <v/>
      </c>
      <c r="AX879" s="80" t="str">
        <f>IF(AB879=1,AW879+AD879,"")</f>
        <v/>
      </c>
      <c r="AY879" s="80">
        <f>IF(AND(AB879=1,AV879=0,AU879=1),1,0)</f>
        <v>0</v>
      </c>
      <c r="AZ879" s="80">
        <f>IF(AY879=1,COUNTIFS(R_Emp,D879,R_SAbs,"&lt;"&amp;AX879,R_EAbs,"&gt;"&amp;AW879,R_OKey,1)-1,0)</f>
        <v>0</v>
      </c>
      <c r="BA879" s="80">
        <f>IF(AY879=1,COUNTIFS(R_Emp,"&lt;&gt;"&amp;D879,R_SAbs,"&lt;"&amp;AX879,R_EAbs,"&gt;"&amp;AW879,R_OKey,1),0)</f>
        <v>0</v>
      </c>
      <c r="BB879" s="80">
        <f>IF(AND(AB879=1,D879="proMX"),IF(AND(MOD(Z879,CFG_BLK)=0,MOD(AA879,CFG_BLK)=0,MOD(AG879,CFG_BLK)=0,AG879&gt;0),1,0),1)</f>
        <v>1</v>
      </c>
      <c r="BC879" s="80" t="str">
        <f>IF(Y879=0,"",IF(NOT(ISNUMBER(B879)),"Falta fecha o fecha inválida",IF(D879="","Falta empresa",IF(AND(D879&lt;&gt;"Malcolm",D879&lt;&gt;"proMX"),"Empresa inválida",IF(OR(INT(B879)&lt;CFG_PSTART,INT(B879)&gt;CFG_PEND),"Fecha fuera del período",IF(OR(NOT(ISNUMBER(Z879)),NOT(ISNUMBER(AA879))),"Falta hora inicio/fin o formato inválido",IF(AB879=0,"Hora inicio = hora fin",IF(AE879&lt;0,"Descanso inválido",IF(AE879&gt;=AD879,"Descanso ≥ duración",IF(AV879=1,"Registro duplicado",IF(AZ879&gt;0,"Se superpone con otro registro "&amp;D879,IF(BB879=0,"inicio, fin y duración neta deben ser múltiplos de "&amp;CFG_BLK&amp;" min",""))))))))))))</f>
        <v/>
      </c>
      <c r="BD879" s="80">
        <f>IF(AND(Y879=1,BC879=""),1,0)</f>
        <v>0</v>
      </c>
      <c r="BE879" s="80">
        <f>IF(AND(BD879=1,AU879=1),1,0)</f>
        <v>0</v>
      </c>
      <c r="BF879" s="80" t="str">
        <f>IF(AND(D879="proMX",BD879=1),IF(R879="","Draft",R879),"")</f>
        <v/>
      </c>
      <c r="BG879" s="80">
        <f>IF(BD879=1,ROUND(AG879/60,6),0)</f>
        <v>0</v>
      </c>
      <c r="BH879" s="80">
        <f>IF(BE879=1,ROUND(AG879/60,6),0)</f>
        <v>0</v>
      </c>
      <c r="BI879" s="80">
        <f>IF(BE879=1,ROUND(AP879/60,6),0)</f>
        <v>0</v>
      </c>
      <c r="BJ879" s="80">
        <f>IF(BE879=1,ROUND(AQ879/60,6),0)</f>
        <v>0</v>
      </c>
      <c r="BK879" s="80">
        <f>IF(BE879=1,ROUND((AR879+AS879)/60,6),0)</f>
        <v>0</v>
      </c>
      <c r="BL879" s="80">
        <f>ROUND(BH879-BK879,6)</f>
        <v>0</v>
      </c>
      <c r="BM879" s="80">
        <f>IF(BE879=1,ROUND(AR879/60,6),0)</f>
        <v>0</v>
      </c>
      <c r="BN879" s="80">
        <f>ROUND(BI879-BM879,6)</f>
        <v>0</v>
      </c>
      <c r="BO879" s="80">
        <f>IF(BE879=1,ROUND(AS879/60,6),0)</f>
        <v>0</v>
      </c>
      <c r="BP879" s="80">
        <f>ROUND(BJ879-BO879,6)</f>
        <v>0</v>
      </c>
      <c r="BQ879" s="80">
        <f>IF(BE879=1,AW879,0)</f>
        <v>0</v>
      </c>
      <c r="BR879" s="80">
        <f>IF(BE879=1,AX879,0)</f>
        <v>0</v>
      </c>
      <c r="BS879" s="80">
        <f>IF(AND(BE879=1,D879="Malcolm",BA879&gt;0),MIN(BH879,SUMPRODUCT((R_Emp="proMX")*(R_EN&gt;0)*((R_EN-(R_EN&gt;BR879)*(R_EN-BR879))&gt;(R_SN+(R_SN&lt;BQ879)*(BQ879-R_SN)))*((R_EN-(R_EN&gt;BR879)*(R_EN-BR879))-(R_SN+(R_SN&lt;BQ879)*(BQ879-R_SN))))/60),0)</f>
        <v>0</v>
      </c>
      <c r="BT879" s="80">
        <f>IF(AND(BE879=1,D879="proMX"),ROUND(BI879*CFG_RATE+BJ879*CFG_OTRATE,6),0)</f>
        <v>0</v>
      </c>
      <c r="BU879" s="80">
        <f>IF(AND(BD879=1,D879="proMX"),ROUND(AG879/CFG_BLK,6),0)</f>
        <v>0</v>
      </c>
      <c r="BV879" s="80" t="str">
        <f>IF(BF879="Approved",IF(ISNUMBER(T879),INT(T879),INT(B879)),"")</f>
        <v/>
      </c>
      <c r="BW879" s="80">
        <f>IF(ISNUMBER(B879),IF(DB_MON="Todos",1,IF(AND(INT(B879)&gt;=DB_MS,INT(B879)&lt;=DB_ME),1,0)),0)</f>
        <v>0</v>
      </c>
      <c r="BX879" s="80">
        <f>IF(DB_PROJ="Todos",1,IF(E879&amp;""=DB_PROJ&amp;"",1,0))</f>
        <v>1</v>
      </c>
      <c r="BY879" s="80">
        <f>BW879*BX879</f>
        <v>0</v>
      </c>
      <c r="BZ879" s="80" t="str">
        <f>IF(Y879=1,F879&amp;IF(AND(F879&amp;""&lt;&gt;"",E879&amp;""&lt;&gt;"")," · ","")&amp;E879,"")</f>
        <v/>
      </c>
      <c r="CA879" s="80" t="str">
        <f>IF(AND(BD879=1,E879&amp;""&lt;&gt;""),IF(COUNTIFS($E$5:E878,E879,$BD$5:BD878,1)=0,MAX($CA$5:CA878)+1,""),"")</f>
        <v/>
      </c>
      <c r="CB879" s="80" t="str">
        <f>IF(AND(BE879=1,D879="Malcolm",E879&amp;""&lt;&gt;""),IF(COUNTIFS($D$5:D878,"Malcolm",$E$5:E878,E879,$BE$5:BE878,1)=0,MAX($CB$5:CB878)+1,""),"")</f>
        <v/>
      </c>
      <c r="CC879" s="80" t="str">
        <f>IF(AND(BD879=1,D879="proMX",E879&amp;""&lt;&gt;""),IF(COUNTIFS($D$5:D878,"proMX",$E$5:E878,E879,$BD$5:BD878,1)=0,MAX($CC$5:CC878)+1,""),"")</f>
        <v/>
      </c>
      <c r="CD879" s="80" t="str">
        <f>IF(AND(BE879=1,D879="Malcolm",F879&amp;""&lt;&gt;""),IF(COUNTIFS($D$5:D878,"Malcolm",$F$5:F878,F879,$BE$5:BE878,1)=0,MAX($CD$5:CD878)+1,""),"")</f>
        <v/>
      </c>
      <c r="CE879" s="80" t="str">
        <f>IF(AND(BD879=1,D879="proMX",F879&amp;""&lt;&gt;""),IF(COUNTIFS($D$5:D878,"proMX",$F$5:F878,F879,$BD$5:BD878,1)=0,MAX($CE$5:CE878)+1,""),"")</f>
        <v/>
      </c>
      <c r="CF879" s="80" t="str">
        <f>IF(AND(D879="proMX",BD879=1),IF(OR(BF879="Draft",BF879="Submitted",BF879="Returned",BF879="Recall Requested"),MAX($CF$5:CF878)+1,""),"")</f>
        <v/>
      </c>
      <c r="CG879" s="80">
        <f>IF(BD879=0,0,IF(D879="Malcolm",1,MATCH(BF879,{"Draft","Submitted","Approved","Returned","Recall Requested","Cancelled"},0)+1))</f>
        <v>0</v>
      </c>
      <c r="CH879" s="80">
        <f>IF(AND(BF879="Submitted",ISNUMBER(V879)),IF(V879&gt;CFG_MAXD,1,0),0)</f>
        <v>0</v>
      </c>
    </row>
    <row r="880">
      <c r="A880" s="71" t="str">
        <f>IF(Y880=1,ROW()-5,"")</f>
        <v/>
      </c>
      <c r="B880" s="72" t="n"/>
      <c r="C880" s="71" t="str">
        <f>IF(ISNUMBER(B880),CHOOSE(WEEKDAY(B880,2),"Lun","Mar","Mié","Jue","Vie","Sáb","Dom"),"")</f>
        <v/>
      </c>
      <c r="D880" s="73" t="n"/>
      <c r="E880" s="74" t="n"/>
      <c r="F880" s="74" t="n"/>
      <c r="G880" s="74" t="n"/>
      <c r="H880" s="75" t="n"/>
      <c r="I880" s="75" t="n"/>
      <c r="J880" s="76" t="n"/>
      <c r="K880" s="77" t="str">
        <f>IF(AB880=1,ROUND(AG880/60,4),"")</f>
        <v/>
      </c>
      <c r="L880" s="77" t="str">
        <f>IF(BD880=1,ROUND(AP880/60,4),"")</f>
        <v/>
      </c>
      <c r="M880" s="77" t="str">
        <f>IF(BD880=1,ROUND(AQ880/60,4),"")</f>
        <v/>
      </c>
      <c r="N880" s="71" t="str">
        <f>IF(AND(D880="proMX",AB880=1),ROUND(AG880/CFG_BLK,2),"")</f>
        <v/>
      </c>
      <c r="O880" s="77" t="str">
        <f>IF(D880="proMX",IF(BD880=1,ROUND(AG880/60,4),0),"")</f>
        <v/>
      </c>
      <c r="P880" s="78" t="str">
        <f>IF(Y880=0,"",IF(BD880=1,"OK",IF(D880="proMX","Revisar bloques: ","Revisar: ")&amp;BC880))</f>
        <v/>
      </c>
      <c r="Q880" s="78" t="str">
        <f>IF(NOT(ISNUMBER(B880)),"",IF(COUNTIFS(FER_F,INT(B880))&gt;0,"Feriado"&amp;IF(AH880=1," (laborable)"," (no laborable)"),IF(AH880=1,"Laborable",IF(WEEKDAY(B880,2)&gt;5,"Fin de semana","No laborable"))))</f>
        <v/>
      </c>
      <c r="R880" s="73" t="n"/>
      <c r="S880" s="72" t="n"/>
      <c r="T880" s="72" t="n"/>
      <c r="U880" s="74" t="n"/>
      <c r="V880" s="79" t="str">
        <f>IF(AND(D880="proMX",OR(R880="Submitted",R880="Recall Requested"),ISNUMBER(S880)),CFG_TODAY-INT(S880),"")</f>
        <v/>
      </c>
      <c r="W880" s="78" t="str">
        <f>IF(BD880=0,"",IF(BA880&gt;0,"⚠ Se superpone con un registro de la otra empresa",IF(D880="Malcolm",IF(COUNTA(R880,S880,T880)&gt;0,"Estado/fechas proMX se ignoran en Malcolm",""),IF(BF880="Cancelled","Cancelado: excluido de totales",IF(R880="","Sin estado: se trata como Draft",IF(BF880="Submitted",IF(ISNUMBER(V880),IF(V880&gt;CFG_MAXD,"⚠ "&amp;V880&amp;" días en Submitted (máx. "&amp;CFG_MAXD&amp;")",""),"Falta fecha de envío"),IF(BF880="Returned","⚠ Devuelto: corregir y reenviar",IF(BF880="Recall Requested","Retirada solicitada: pendiente",IF(AND(BF880="Approved",NOT(ISNUMBER(T880))),"Falta fecha de aprobación",IF(AND(ISNUMBER(S880),ISNUMBER(T880),T880&lt;S880),"Aprobación anterior al envío","")))))))))</f>
        <v/>
      </c>
      <c r="Y880" s="80">
        <f>IF(COUNTA(B880,D880,E880,F880,G880,H880,I880,J880,R880,S880,T880)&gt;0,1,0)</f>
        <v>0</v>
      </c>
      <c r="Z880" s="80" t="str">
        <f>IF(AND(ISNUMBER(H880),H880&gt;=0,H880&lt;1),ROUND(H880*1440,0),"")</f>
        <v/>
      </c>
      <c r="AA880" s="80" t="str">
        <f>IF(AND(ISNUMBER(I880),I880&gt;=0,I880&lt;1),ROUND(I880*1440,0),"")</f>
        <v/>
      </c>
      <c r="AB880" s="80">
        <f>IF(AND(ISNUMBER(B880),D880&lt;&gt;"",ISNUMBER(Z880),ISNUMBER(AA880)),IF(Z880=AA880,0,1),0)</f>
        <v>0</v>
      </c>
      <c r="AC880" s="80">
        <f>IF(AB880=1,IF(AA880&lt;Z880,1,0),0)</f>
        <v>0</v>
      </c>
      <c r="AD880" s="80">
        <f>IF(AB880=1,IF(AC880=1,1440-Z880+AA880,AA880-Z880),0)</f>
        <v>0</v>
      </c>
      <c r="AE880" s="80">
        <f>IF(J880="",0,IF(ISNUMBER(J880),J880,-1))</f>
        <v>0</v>
      </c>
      <c r="AF880" s="80">
        <f>MIN(MAX(0,AE880),AD880)</f>
        <v>0</v>
      </c>
      <c r="AG880" s="80">
        <f>MAX(0,AD880-MAX(0,AE880))</f>
        <v>0</v>
      </c>
      <c r="AH880" s="80">
        <f>IF(ISNUMBER(B880),IF(AND(INDEX(CFG_WDAYS,WEEKDAY(INT(B880),2))="Sí",IF(D880="proMX",COUNTIFS(FER_F,INT(B880),FER_NLP,"Sí"),COUNTIFS(FER_F,INT(B880),FER_NLM,"Sí"))=0),1,0),0)</f>
        <v>0</v>
      </c>
      <c r="AI880" s="80">
        <f>IF(AC880=1,IF(AND(INDEX(CFG_WDAYS,WEEKDAY(INT(B880)+1,2))="Sí",IF(D880="proMX",COUNTIFS(FER_F,INT(B880)+1,FER_NLP,"Sí"),COUNTIFS(FER_F,INT(B880)+1,FER_NLM,"Sí"))=0),1,0),0)</f>
        <v>0</v>
      </c>
      <c r="AJ880" s="80">
        <f>IF(AC880=1,1440-Z880,AD880)</f>
        <v>0</v>
      </c>
      <c r="AK880" s="80">
        <f>IF(AND(AB880=1,AH880=1),MAX(0,MIN(IF(AC880=1,1440,AA880),CFG_WEM)-MAX(Z880,CFG_WSM)),0)</f>
        <v>0</v>
      </c>
      <c r="AL880" s="80">
        <f>IF(AND(AC880=1,AI880=1),MAX(0,MIN(AA880,CFG_WEM)-CFG_WSM),0)</f>
        <v>0</v>
      </c>
      <c r="AM880" s="80">
        <f>AK880+AL880</f>
        <v>0</v>
      </c>
      <c r="AN880" s="80">
        <f>IF(CFG_BRK="Proporcional",IF(AD880=0,0,AF880*AM880/AD880),IF(CFG_BRK="Extras primero",MIN(AM880,MAX(0,AF880-(AD880-AM880))),MIN(AF880,AM880)))</f>
        <v>0</v>
      </c>
      <c r="AO880" s="80">
        <f>AF880-AN880</f>
        <v>0</v>
      </c>
      <c r="AP880" s="80">
        <f>AM880-AN880</f>
        <v>0</v>
      </c>
      <c r="AQ880" s="80">
        <f>AD880-AM880-AO880</f>
        <v>0</v>
      </c>
      <c r="AR880" s="80">
        <f>IF(AM880=0,0,AK880-AN880*AK880/AM880)</f>
        <v>0</v>
      </c>
      <c r="AS880" s="80">
        <f>IF(AD880-AM880=0,0,(AJ880-AK880)-AO880*(AJ880-AK880)/(AD880-AM880))</f>
        <v>0</v>
      </c>
      <c r="AT880" s="80" t="str">
        <f>IF(AC880=1,INT(B880)+1,"")</f>
        <v/>
      </c>
      <c r="AU880" s="80">
        <f>IF(AND(D880="proMX",R880="Cancelled"),0,1)</f>
        <v>1</v>
      </c>
      <c r="AV880" s="80">
        <f>IF(AND(AB880=1,AU880=1),IF(COUNTIFS($D$5:D879,D880,$B$5:B879,B880,$Z$5:Z879,Z880,$AA$5:AA879,AA880,$F$5:F879,F880&amp;"",$AU$5:AU879,1)&gt;0,1,0),0)</f>
        <v>0</v>
      </c>
      <c r="AW880" s="80" t="str">
        <f>IF(AB880=1,INT(B880)*1440+Z880,"")</f>
        <v/>
      </c>
      <c r="AX880" s="80" t="str">
        <f>IF(AB880=1,AW880+AD880,"")</f>
        <v/>
      </c>
      <c r="AY880" s="80">
        <f>IF(AND(AB880=1,AV880=0,AU880=1),1,0)</f>
        <v>0</v>
      </c>
      <c r="AZ880" s="80">
        <f>IF(AY880=1,COUNTIFS(R_Emp,D880,R_SAbs,"&lt;"&amp;AX880,R_EAbs,"&gt;"&amp;AW880,R_OKey,1)-1,0)</f>
        <v>0</v>
      </c>
      <c r="BA880" s="80">
        <f>IF(AY880=1,COUNTIFS(R_Emp,"&lt;&gt;"&amp;D880,R_SAbs,"&lt;"&amp;AX880,R_EAbs,"&gt;"&amp;AW880,R_OKey,1),0)</f>
        <v>0</v>
      </c>
      <c r="BB880" s="80">
        <f>IF(AND(AB880=1,D880="proMX"),IF(AND(MOD(Z880,CFG_BLK)=0,MOD(AA880,CFG_BLK)=0,MOD(AG880,CFG_BLK)=0,AG880&gt;0),1,0),1)</f>
        <v>1</v>
      </c>
      <c r="BC880" s="80" t="str">
        <f>IF(Y880=0,"",IF(NOT(ISNUMBER(B880)),"Falta fecha o fecha inválida",IF(D880="","Falta empresa",IF(AND(D880&lt;&gt;"Malcolm",D880&lt;&gt;"proMX"),"Empresa inválida",IF(OR(INT(B880)&lt;CFG_PSTART,INT(B880)&gt;CFG_PEND),"Fecha fuera del período",IF(OR(NOT(ISNUMBER(Z880)),NOT(ISNUMBER(AA880))),"Falta hora inicio/fin o formato inválido",IF(AB880=0,"Hora inicio = hora fin",IF(AE880&lt;0,"Descanso inválido",IF(AE880&gt;=AD880,"Descanso ≥ duración",IF(AV880=1,"Registro duplicado",IF(AZ880&gt;0,"Se superpone con otro registro "&amp;D880,IF(BB880=0,"inicio, fin y duración neta deben ser múltiplos de "&amp;CFG_BLK&amp;" min",""))))))))))))</f>
        <v/>
      </c>
      <c r="BD880" s="80">
        <f>IF(AND(Y880=1,BC880=""),1,0)</f>
        <v>0</v>
      </c>
      <c r="BE880" s="80">
        <f>IF(AND(BD880=1,AU880=1),1,0)</f>
        <v>0</v>
      </c>
      <c r="BF880" s="80" t="str">
        <f>IF(AND(D880="proMX",BD880=1),IF(R880="","Draft",R880),"")</f>
        <v/>
      </c>
      <c r="BG880" s="80">
        <f>IF(BD880=1,ROUND(AG880/60,6),0)</f>
        <v>0</v>
      </c>
      <c r="BH880" s="80">
        <f>IF(BE880=1,ROUND(AG880/60,6),0)</f>
        <v>0</v>
      </c>
      <c r="BI880" s="80">
        <f>IF(BE880=1,ROUND(AP880/60,6),0)</f>
        <v>0</v>
      </c>
      <c r="BJ880" s="80">
        <f>IF(BE880=1,ROUND(AQ880/60,6),0)</f>
        <v>0</v>
      </c>
      <c r="BK880" s="80">
        <f>IF(BE880=1,ROUND((AR880+AS880)/60,6),0)</f>
        <v>0</v>
      </c>
      <c r="BL880" s="80">
        <f>ROUND(BH880-BK880,6)</f>
        <v>0</v>
      </c>
      <c r="BM880" s="80">
        <f>IF(BE880=1,ROUND(AR880/60,6),0)</f>
        <v>0</v>
      </c>
      <c r="BN880" s="80">
        <f>ROUND(BI880-BM880,6)</f>
        <v>0</v>
      </c>
      <c r="BO880" s="80">
        <f>IF(BE880=1,ROUND(AS880/60,6),0)</f>
        <v>0</v>
      </c>
      <c r="BP880" s="80">
        <f>ROUND(BJ880-BO880,6)</f>
        <v>0</v>
      </c>
      <c r="BQ880" s="80">
        <f>IF(BE880=1,AW880,0)</f>
        <v>0</v>
      </c>
      <c r="BR880" s="80">
        <f>IF(BE880=1,AX880,0)</f>
        <v>0</v>
      </c>
      <c r="BS880" s="80">
        <f>IF(AND(BE880=1,D880="Malcolm",BA880&gt;0),MIN(BH880,SUMPRODUCT((R_Emp="proMX")*(R_EN&gt;0)*((R_EN-(R_EN&gt;BR880)*(R_EN-BR880))&gt;(R_SN+(R_SN&lt;BQ880)*(BQ880-R_SN)))*((R_EN-(R_EN&gt;BR880)*(R_EN-BR880))-(R_SN+(R_SN&lt;BQ880)*(BQ880-R_SN))))/60),0)</f>
        <v>0</v>
      </c>
      <c r="BT880" s="80">
        <f>IF(AND(BE880=1,D880="proMX"),ROUND(BI880*CFG_RATE+BJ880*CFG_OTRATE,6),0)</f>
        <v>0</v>
      </c>
      <c r="BU880" s="80">
        <f>IF(AND(BD880=1,D880="proMX"),ROUND(AG880/CFG_BLK,6),0)</f>
        <v>0</v>
      </c>
      <c r="BV880" s="80" t="str">
        <f>IF(BF880="Approved",IF(ISNUMBER(T880),INT(T880),INT(B880)),"")</f>
        <v/>
      </c>
      <c r="BW880" s="80">
        <f>IF(ISNUMBER(B880),IF(DB_MON="Todos",1,IF(AND(INT(B880)&gt;=DB_MS,INT(B880)&lt;=DB_ME),1,0)),0)</f>
        <v>0</v>
      </c>
      <c r="BX880" s="80">
        <f>IF(DB_PROJ="Todos",1,IF(E880&amp;""=DB_PROJ&amp;"",1,0))</f>
        <v>1</v>
      </c>
      <c r="BY880" s="80">
        <f>BW880*BX880</f>
        <v>0</v>
      </c>
      <c r="BZ880" s="80" t="str">
        <f>IF(Y880=1,F880&amp;IF(AND(F880&amp;""&lt;&gt;"",E880&amp;""&lt;&gt;"")," · ","")&amp;E880,"")</f>
        <v/>
      </c>
      <c r="CA880" s="80" t="str">
        <f>IF(AND(BD880=1,E880&amp;""&lt;&gt;""),IF(COUNTIFS($E$5:E879,E880,$BD$5:BD879,1)=0,MAX($CA$5:CA879)+1,""),"")</f>
        <v/>
      </c>
      <c r="CB880" s="80" t="str">
        <f>IF(AND(BE880=1,D880="Malcolm",E880&amp;""&lt;&gt;""),IF(COUNTIFS($D$5:D879,"Malcolm",$E$5:E879,E880,$BE$5:BE879,1)=0,MAX($CB$5:CB879)+1,""),"")</f>
        <v/>
      </c>
      <c r="CC880" s="80" t="str">
        <f>IF(AND(BD880=1,D880="proMX",E880&amp;""&lt;&gt;""),IF(COUNTIFS($D$5:D879,"proMX",$E$5:E879,E880,$BD$5:BD879,1)=0,MAX($CC$5:CC879)+1,""),"")</f>
        <v/>
      </c>
      <c r="CD880" s="80" t="str">
        <f>IF(AND(BE880=1,D880="Malcolm",F880&amp;""&lt;&gt;""),IF(COUNTIFS($D$5:D879,"Malcolm",$F$5:F879,F880,$BE$5:BE879,1)=0,MAX($CD$5:CD879)+1,""),"")</f>
        <v/>
      </c>
      <c r="CE880" s="80" t="str">
        <f>IF(AND(BD880=1,D880="proMX",F880&amp;""&lt;&gt;""),IF(COUNTIFS($D$5:D879,"proMX",$F$5:F879,F880,$BD$5:BD879,1)=0,MAX($CE$5:CE879)+1,""),"")</f>
        <v/>
      </c>
      <c r="CF880" s="80" t="str">
        <f>IF(AND(D880="proMX",BD880=1),IF(OR(BF880="Draft",BF880="Submitted",BF880="Returned",BF880="Recall Requested"),MAX($CF$5:CF879)+1,""),"")</f>
        <v/>
      </c>
      <c r="CG880" s="80">
        <f>IF(BD880=0,0,IF(D880="Malcolm",1,MATCH(BF880,{"Draft","Submitted","Approved","Returned","Recall Requested","Cancelled"},0)+1))</f>
        <v>0</v>
      </c>
      <c r="CH880" s="80">
        <f>IF(AND(BF880="Submitted",ISNUMBER(V880)),IF(V880&gt;CFG_MAXD,1,0),0)</f>
        <v>0</v>
      </c>
    </row>
    <row r="881">
      <c r="A881" s="71" t="str">
        <f>IF(Y881=1,ROW()-5,"")</f>
        <v/>
      </c>
      <c r="B881" s="72" t="n"/>
      <c r="C881" s="71" t="str">
        <f>IF(ISNUMBER(B881),CHOOSE(WEEKDAY(B881,2),"Lun","Mar","Mié","Jue","Vie","Sáb","Dom"),"")</f>
        <v/>
      </c>
      <c r="D881" s="73" t="n"/>
      <c r="E881" s="74" t="n"/>
      <c r="F881" s="74" t="n"/>
      <c r="G881" s="74" t="n"/>
      <c r="H881" s="75" t="n"/>
      <c r="I881" s="75" t="n"/>
      <c r="J881" s="76" t="n"/>
      <c r="K881" s="77" t="str">
        <f>IF(AB881=1,ROUND(AG881/60,4),"")</f>
        <v/>
      </c>
      <c r="L881" s="77" t="str">
        <f>IF(BD881=1,ROUND(AP881/60,4),"")</f>
        <v/>
      </c>
      <c r="M881" s="77" t="str">
        <f>IF(BD881=1,ROUND(AQ881/60,4),"")</f>
        <v/>
      </c>
      <c r="N881" s="71" t="str">
        <f>IF(AND(D881="proMX",AB881=1),ROUND(AG881/CFG_BLK,2),"")</f>
        <v/>
      </c>
      <c r="O881" s="77" t="str">
        <f>IF(D881="proMX",IF(BD881=1,ROUND(AG881/60,4),0),"")</f>
        <v/>
      </c>
      <c r="P881" s="78" t="str">
        <f>IF(Y881=0,"",IF(BD881=1,"OK",IF(D881="proMX","Revisar bloques: ","Revisar: ")&amp;BC881))</f>
        <v/>
      </c>
      <c r="Q881" s="78" t="str">
        <f>IF(NOT(ISNUMBER(B881)),"",IF(COUNTIFS(FER_F,INT(B881))&gt;0,"Feriado"&amp;IF(AH881=1," (laborable)"," (no laborable)"),IF(AH881=1,"Laborable",IF(WEEKDAY(B881,2)&gt;5,"Fin de semana","No laborable"))))</f>
        <v/>
      </c>
      <c r="R881" s="73" t="n"/>
      <c r="S881" s="72" t="n"/>
      <c r="T881" s="72" t="n"/>
      <c r="U881" s="74" t="n"/>
      <c r="V881" s="79" t="str">
        <f>IF(AND(D881="proMX",OR(R881="Submitted",R881="Recall Requested"),ISNUMBER(S881)),CFG_TODAY-INT(S881),"")</f>
        <v/>
      </c>
      <c r="W881" s="78" t="str">
        <f>IF(BD881=0,"",IF(BA881&gt;0,"⚠ Se superpone con un registro de la otra empresa",IF(D881="Malcolm",IF(COUNTA(R881,S881,T881)&gt;0,"Estado/fechas proMX se ignoran en Malcolm",""),IF(BF881="Cancelled","Cancelado: excluido de totales",IF(R881="","Sin estado: se trata como Draft",IF(BF881="Submitted",IF(ISNUMBER(V881),IF(V881&gt;CFG_MAXD,"⚠ "&amp;V881&amp;" días en Submitted (máx. "&amp;CFG_MAXD&amp;")",""),"Falta fecha de envío"),IF(BF881="Returned","⚠ Devuelto: corregir y reenviar",IF(BF881="Recall Requested","Retirada solicitada: pendiente",IF(AND(BF881="Approved",NOT(ISNUMBER(T881))),"Falta fecha de aprobación",IF(AND(ISNUMBER(S881),ISNUMBER(T881),T881&lt;S881),"Aprobación anterior al envío","")))))))))</f>
        <v/>
      </c>
      <c r="Y881" s="80">
        <f>IF(COUNTA(B881,D881,E881,F881,G881,H881,I881,J881,R881,S881,T881)&gt;0,1,0)</f>
        <v>0</v>
      </c>
      <c r="Z881" s="80" t="str">
        <f>IF(AND(ISNUMBER(H881),H881&gt;=0,H881&lt;1),ROUND(H881*1440,0),"")</f>
        <v/>
      </c>
      <c r="AA881" s="80" t="str">
        <f>IF(AND(ISNUMBER(I881),I881&gt;=0,I881&lt;1),ROUND(I881*1440,0),"")</f>
        <v/>
      </c>
      <c r="AB881" s="80">
        <f>IF(AND(ISNUMBER(B881),D881&lt;&gt;"",ISNUMBER(Z881),ISNUMBER(AA881)),IF(Z881=AA881,0,1),0)</f>
        <v>0</v>
      </c>
      <c r="AC881" s="80">
        <f>IF(AB881=1,IF(AA881&lt;Z881,1,0),0)</f>
        <v>0</v>
      </c>
      <c r="AD881" s="80">
        <f>IF(AB881=1,IF(AC881=1,1440-Z881+AA881,AA881-Z881),0)</f>
        <v>0</v>
      </c>
      <c r="AE881" s="80">
        <f>IF(J881="",0,IF(ISNUMBER(J881),J881,-1))</f>
        <v>0</v>
      </c>
      <c r="AF881" s="80">
        <f>MIN(MAX(0,AE881),AD881)</f>
        <v>0</v>
      </c>
      <c r="AG881" s="80">
        <f>MAX(0,AD881-MAX(0,AE881))</f>
        <v>0</v>
      </c>
      <c r="AH881" s="80">
        <f>IF(ISNUMBER(B881),IF(AND(INDEX(CFG_WDAYS,WEEKDAY(INT(B881),2))="Sí",IF(D881="proMX",COUNTIFS(FER_F,INT(B881),FER_NLP,"Sí"),COUNTIFS(FER_F,INT(B881),FER_NLM,"Sí"))=0),1,0),0)</f>
        <v>0</v>
      </c>
      <c r="AI881" s="80">
        <f>IF(AC881=1,IF(AND(INDEX(CFG_WDAYS,WEEKDAY(INT(B881)+1,2))="Sí",IF(D881="proMX",COUNTIFS(FER_F,INT(B881)+1,FER_NLP,"Sí"),COUNTIFS(FER_F,INT(B881)+1,FER_NLM,"Sí"))=0),1,0),0)</f>
        <v>0</v>
      </c>
      <c r="AJ881" s="80">
        <f>IF(AC881=1,1440-Z881,AD881)</f>
        <v>0</v>
      </c>
      <c r="AK881" s="80">
        <f>IF(AND(AB881=1,AH881=1),MAX(0,MIN(IF(AC881=1,1440,AA881),CFG_WEM)-MAX(Z881,CFG_WSM)),0)</f>
        <v>0</v>
      </c>
      <c r="AL881" s="80">
        <f>IF(AND(AC881=1,AI881=1),MAX(0,MIN(AA881,CFG_WEM)-CFG_WSM),0)</f>
        <v>0</v>
      </c>
      <c r="AM881" s="80">
        <f>AK881+AL881</f>
        <v>0</v>
      </c>
      <c r="AN881" s="80">
        <f>IF(CFG_BRK="Proporcional",IF(AD881=0,0,AF881*AM881/AD881),IF(CFG_BRK="Extras primero",MIN(AM881,MAX(0,AF881-(AD881-AM881))),MIN(AF881,AM881)))</f>
        <v>0</v>
      </c>
      <c r="AO881" s="80">
        <f>AF881-AN881</f>
        <v>0</v>
      </c>
      <c r="AP881" s="80">
        <f>AM881-AN881</f>
        <v>0</v>
      </c>
      <c r="AQ881" s="80">
        <f>AD881-AM881-AO881</f>
        <v>0</v>
      </c>
      <c r="AR881" s="80">
        <f>IF(AM881=0,0,AK881-AN881*AK881/AM881)</f>
        <v>0</v>
      </c>
      <c r="AS881" s="80">
        <f>IF(AD881-AM881=0,0,(AJ881-AK881)-AO881*(AJ881-AK881)/(AD881-AM881))</f>
        <v>0</v>
      </c>
      <c r="AT881" s="80" t="str">
        <f>IF(AC881=1,INT(B881)+1,"")</f>
        <v/>
      </c>
      <c r="AU881" s="80">
        <f>IF(AND(D881="proMX",R881="Cancelled"),0,1)</f>
        <v>1</v>
      </c>
      <c r="AV881" s="80">
        <f>IF(AND(AB881=1,AU881=1),IF(COUNTIFS($D$5:D880,D881,$B$5:B880,B881,$Z$5:Z880,Z881,$AA$5:AA880,AA881,$F$5:F880,F881&amp;"",$AU$5:AU880,1)&gt;0,1,0),0)</f>
        <v>0</v>
      </c>
      <c r="AW881" s="80" t="str">
        <f>IF(AB881=1,INT(B881)*1440+Z881,"")</f>
        <v/>
      </c>
      <c r="AX881" s="80" t="str">
        <f>IF(AB881=1,AW881+AD881,"")</f>
        <v/>
      </c>
      <c r="AY881" s="80">
        <f>IF(AND(AB881=1,AV881=0,AU881=1),1,0)</f>
        <v>0</v>
      </c>
      <c r="AZ881" s="80">
        <f>IF(AY881=1,COUNTIFS(R_Emp,D881,R_SAbs,"&lt;"&amp;AX881,R_EAbs,"&gt;"&amp;AW881,R_OKey,1)-1,0)</f>
        <v>0</v>
      </c>
      <c r="BA881" s="80">
        <f>IF(AY881=1,COUNTIFS(R_Emp,"&lt;&gt;"&amp;D881,R_SAbs,"&lt;"&amp;AX881,R_EAbs,"&gt;"&amp;AW881,R_OKey,1),0)</f>
        <v>0</v>
      </c>
      <c r="BB881" s="80">
        <f>IF(AND(AB881=1,D881="proMX"),IF(AND(MOD(Z881,CFG_BLK)=0,MOD(AA881,CFG_BLK)=0,MOD(AG881,CFG_BLK)=0,AG881&gt;0),1,0),1)</f>
        <v>1</v>
      </c>
      <c r="BC881" s="80" t="str">
        <f>IF(Y881=0,"",IF(NOT(ISNUMBER(B881)),"Falta fecha o fecha inválida",IF(D881="","Falta empresa",IF(AND(D881&lt;&gt;"Malcolm",D881&lt;&gt;"proMX"),"Empresa inválida",IF(OR(INT(B881)&lt;CFG_PSTART,INT(B881)&gt;CFG_PEND),"Fecha fuera del período",IF(OR(NOT(ISNUMBER(Z881)),NOT(ISNUMBER(AA881))),"Falta hora inicio/fin o formato inválido",IF(AB881=0,"Hora inicio = hora fin",IF(AE881&lt;0,"Descanso inválido",IF(AE881&gt;=AD881,"Descanso ≥ duración",IF(AV881=1,"Registro duplicado",IF(AZ881&gt;0,"Se superpone con otro registro "&amp;D881,IF(BB881=0,"inicio, fin y duración neta deben ser múltiplos de "&amp;CFG_BLK&amp;" min",""))))))))))))</f>
        <v/>
      </c>
      <c r="BD881" s="80">
        <f>IF(AND(Y881=1,BC881=""),1,0)</f>
        <v>0</v>
      </c>
      <c r="BE881" s="80">
        <f>IF(AND(BD881=1,AU881=1),1,0)</f>
        <v>0</v>
      </c>
      <c r="BF881" s="80" t="str">
        <f>IF(AND(D881="proMX",BD881=1),IF(R881="","Draft",R881),"")</f>
        <v/>
      </c>
      <c r="BG881" s="80">
        <f>IF(BD881=1,ROUND(AG881/60,6),0)</f>
        <v>0</v>
      </c>
      <c r="BH881" s="80">
        <f>IF(BE881=1,ROUND(AG881/60,6),0)</f>
        <v>0</v>
      </c>
      <c r="BI881" s="80">
        <f>IF(BE881=1,ROUND(AP881/60,6),0)</f>
        <v>0</v>
      </c>
      <c r="BJ881" s="80">
        <f>IF(BE881=1,ROUND(AQ881/60,6),0)</f>
        <v>0</v>
      </c>
      <c r="BK881" s="80">
        <f>IF(BE881=1,ROUND((AR881+AS881)/60,6),0)</f>
        <v>0</v>
      </c>
      <c r="BL881" s="80">
        <f>ROUND(BH881-BK881,6)</f>
        <v>0</v>
      </c>
      <c r="BM881" s="80">
        <f>IF(BE881=1,ROUND(AR881/60,6),0)</f>
        <v>0</v>
      </c>
      <c r="BN881" s="80">
        <f>ROUND(BI881-BM881,6)</f>
        <v>0</v>
      </c>
      <c r="BO881" s="80">
        <f>IF(BE881=1,ROUND(AS881/60,6),0)</f>
        <v>0</v>
      </c>
      <c r="BP881" s="80">
        <f>ROUND(BJ881-BO881,6)</f>
        <v>0</v>
      </c>
      <c r="BQ881" s="80">
        <f>IF(BE881=1,AW881,0)</f>
        <v>0</v>
      </c>
      <c r="BR881" s="80">
        <f>IF(BE881=1,AX881,0)</f>
        <v>0</v>
      </c>
      <c r="BS881" s="80">
        <f>IF(AND(BE881=1,D881="Malcolm",BA881&gt;0),MIN(BH881,SUMPRODUCT((R_Emp="proMX")*(R_EN&gt;0)*((R_EN-(R_EN&gt;BR881)*(R_EN-BR881))&gt;(R_SN+(R_SN&lt;BQ881)*(BQ881-R_SN)))*((R_EN-(R_EN&gt;BR881)*(R_EN-BR881))-(R_SN+(R_SN&lt;BQ881)*(BQ881-R_SN))))/60),0)</f>
        <v>0</v>
      </c>
      <c r="BT881" s="80">
        <f>IF(AND(BE881=1,D881="proMX"),ROUND(BI881*CFG_RATE+BJ881*CFG_OTRATE,6),0)</f>
        <v>0</v>
      </c>
      <c r="BU881" s="80">
        <f>IF(AND(BD881=1,D881="proMX"),ROUND(AG881/CFG_BLK,6),0)</f>
        <v>0</v>
      </c>
      <c r="BV881" s="80" t="str">
        <f>IF(BF881="Approved",IF(ISNUMBER(T881),INT(T881),INT(B881)),"")</f>
        <v/>
      </c>
      <c r="BW881" s="80">
        <f>IF(ISNUMBER(B881),IF(DB_MON="Todos",1,IF(AND(INT(B881)&gt;=DB_MS,INT(B881)&lt;=DB_ME),1,0)),0)</f>
        <v>0</v>
      </c>
      <c r="BX881" s="80">
        <f>IF(DB_PROJ="Todos",1,IF(E881&amp;""=DB_PROJ&amp;"",1,0))</f>
        <v>1</v>
      </c>
      <c r="BY881" s="80">
        <f>BW881*BX881</f>
        <v>0</v>
      </c>
      <c r="BZ881" s="80" t="str">
        <f>IF(Y881=1,F881&amp;IF(AND(F881&amp;""&lt;&gt;"",E881&amp;""&lt;&gt;"")," · ","")&amp;E881,"")</f>
        <v/>
      </c>
      <c r="CA881" s="80" t="str">
        <f>IF(AND(BD881=1,E881&amp;""&lt;&gt;""),IF(COUNTIFS($E$5:E880,E881,$BD$5:BD880,1)=0,MAX($CA$5:CA880)+1,""),"")</f>
        <v/>
      </c>
      <c r="CB881" s="80" t="str">
        <f>IF(AND(BE881=1,D881="Malcolm",E881&amp;""&lt;&gt;""),IF(COUNTIFS($D$5:D880,"Malcolm",$E$5:E880,E881,$BE$5:BE880,1)=0,MAX($CB$5:CB880)+1,""),"")</f>
        <v/>
      </c>
      <c r="CC881" s="80" t="str">
        <f>IF(AND(BD881=1,D881="proMX",E881&amp;""&lt;&gt;""),IF(COUNTIFS($D$5:D880,"proMX",$E$5:E880,E881,$BD$5:BD880,1)=0,MAX($CC$5:CC880)+1,""),"")</f>
        <v/>
      </c>
      <c r="CD881" s="80" t="str">
        <f>IF(AND(BE881=1,D881="Malcolm",F881&amp;""&lt;&gt;""),IF(COUNTIFS($D$5:D880,"Malcolm",$F$5:F880,F881,$BE$5:BE880,1)=0,MAX($CD$5:CD880)+1,""),"")</f>
        <v/>
      </c>
      <c r="CE881" s="80" t="str">
        <f>IF(AND(BD881=1,D881="proMX",F881&amp;""&lt;&gt;""),IF(COUNTIFS($D$5:D880,"proMX",$F$5:F880,F881,$BD$5:BD880,1)=0,MAX($CE$5:CE880)+1,""),"")</f>
        <v/>
      </c>
      <c r="CF881" s="80" t="str">
        <f>IF(AND(D881="proMX",BD881=1),IF(OR(BF881="Draft",BF881="Submitted",BF881="Returned",BF881="Recall Requested"),MAX($CF$5:CF880)+1,""),"")</f>
        <v/>
      </c>
      <c r="CG881" s="80">
        <f>IF(BD881=0,0,IF(D881="Malcolm",1,MATCH(BF881,{"Draft","Submitted","Approved","Returned","Recall Requested","Cancelled"},0)+1))</f>
        <v>0</v>
      </c>
      <c r="CH881" s="80">
        <f>IF(AND(BF881="Submitted",ISNUMBER(V881)),IF(V881&gt;CFG_MAXD,1,0),0)</f>
        <v>0</v>
      </c>
    </row>
    <row r="882">
      <c r="A882" s="71" t="str">
        <f>IF(Y882=1,ROW()-5,"")</f>
        <v/>
      </c>
      <c r="B882" s="72" t="n"/>
      <c r="C882" s="71" t="str">
        <f>IF(ISNUMBER(B882),CHOOSE(WEEKDAY(B882,2),"Lun","Mar","Mié","Jue","Vie","Sáb","Dom"),"")</f>
        <v/>
      </c>
      <c r="D882" s="73" t="n"/>
      <c r="E882" s="74" t="n"/>
      <c r="F882" s="74" t="n"/>
      <c r="G882" s="74" t="n"/>
      <c r="H882" s="75" t="n"/>
      <c r="I882" s="75" t="n"/>
      <c r="J882" s="76" t="n"/>
      <c r="K882" s="77" t="str">
        <f>IF(AB882=1,ROUND(AG882/60,4),"")</f>
        <v/>
      </c>
      <c r="L882" s="77" t="str">
        <f>IF(BD882=1,ROUND(AP882/60,4),"")</f>
        <v/>
      </c>
      <c r="M882" s="77" t="str">
        <f>IF(BD882=1,ROUND(AQ882/60,4),"")</f>
        <v/>
      </c>
      <c r="N882" s="71" t="str">
        <f>IF(AND(D882="proMX",AB882=1),ROUND(AG882/CFG_BLK,2),"")</f>
        <v/>
      </c>
      <c r="O882" s="77" t="str">
        <f>IF(D882="proMX",IF(BD882=1,ROUND(AG882/60,4),0),"")</f>
        <v/>
      </c>
      <c r="P882" s="78" t="str">
        <f>IF(Y882=0,"",IF(BD882=1,"OK",IF(D882="proMX","Revisar bloques: ","Revisar: ")&amp;BC882))</f>
        <v/>
      </c>
      <c r="Q882" s="78" t="str">
        <f>IF(NOT(ISNUMBER(B882)),"",IF(COUNTIFS(FER_F,INT(B882))&gt;0,"Feriado"&amp;IF(AH882=1," (laborable)"," (no laborable)"),IF(AH882=1,"Laborable",IF(WEEKDAY(B882,2)&gt;5,"Fin de semana","No laborable"))))</f>
        <v/>
      </c>
      <c r="R882" s="73" t="n"/>
      <c r="S882" s="72" t="n"/>
      <c r="T882" s="72" t="n"/>
      <c r="U882" s="74" t="n"/>
      <c r="V882" s="79" t="str">
        <f>IF(AND(D882="proMX",OR(R882="Submitted",R882="Recall Requested"),ISNUMBER(S882)),CFG_TODAY-INT(S882),"")</f>
        <v/>
      </c>
      <c r="W882" s="78" t="str">
        <f>IF(BD882=0,"",IF(BA882&gt;0,"⚠ Se superpone con un registro de la otra empresa",IF(D882="Malcolm",IF(COUNTA(R882,S882,T882)&gt;0,"Estado/fechas proMX se ignoran en Malcolm",""),IF(BF882="Cancelled","Cancelado: excluido de totales",IF(R882="","Sin estado: se trata como Draft",IF(BF882="Submitted",IF(ISNUMBER(V882),IF(V882&gt;CFG_MAXD,"⚠ "&amp;V882&amp;" días en Submitted (máx. "&amp;CFG_MAXD&amp;")",""),"Falta fecha de envío"),IF(BF882="Returned","⚠ Devuelto: corregir y reenviar",IF(BF882="Recall Requested","Retirada solicitada: pendiente",IF(AND(BF882="Approved",NOT(ISNUMBER(T882))),"Falta fecha de aprobación",IF(AND(ISNUMBER(S882),ISNUMBER(T882),T882&lt;S882),"Aprobación anterior al envío","")))))))))</f>
        <v/>
      </c>
      <c r="Y882" s="80">
        <f>IF(COUNTA(B882,D882,E882,F882,G882,H882,I882,J882,R882,S882,T882)&gt;0,1,0)</f>
        <v>0</v>
      </c>
      <c r="Z882" s="80" t="str">
        <f>IF(AND(ISNUMBER(H882),H882&gt;=0,H882&lt;1),ROUND(H882*1440,0),"")</f>
        <v/>
      </c>
      <c r="AA882" s="80" t="str">
        <f>IF(AND(ISNUMBER(I882),I882&gt;=0,I882&lt;1),ROUND(I882*1440,0),"")</f>
        <v/>
      </c>
      <c r="AB882" s="80">
        <f>IF(AND(ISNUMBER(B882),D882&lt;&gt;"",ISNUMBER(Z882),ISNUMBER(AA882)),IF(Z882=AA882,0,1),0)</f>
        <v>0</v>
      </c>
      <c r="AC882" s="80">
        <f>IF(AB882=1,IF(AA882&lt;Z882,1,0),0)</f>
        <v>0</v>
      </c>
      <c r="AD882" s="80">
        <f>IF(AB882=1,IF(AC882=1,1440-Z882+AA882,AA882-Z882),0)</f>
        <v>0</v>
      </c>
      <c r="AE882" s="80">
        <f>IF(J882="",0,IF(ISNUMBER(J882),J882,-1))</f>
        <v>0</v>
      </c>
      <c r="AF882" s="80">
        <f>MIN(MAX(0,AE882),AD882)</f>
        <v>0</v>
      </c>
      <c r="AG882" s="80">
        <f>MAX(0,AD882-MAX(0,AE882))</f>
        <v>0</v>
      </c>
      <c r="AH882" s="80">
        <f>IF(ISNUMBER(B882),IF(AND(INDEX(CFG_WDAYS,WEEKDAY(INT(B882),2))="Sí",IF(D882="proMX",COUNTIFS(FER_F,INT(B882),FER_NLP,"Sí"),COUNTIFS(FER_F,INT(B882),FER_NLM,"Sí"))=0),1,0),0)</f>
        <v>0</v>
      </c>
      <c r="AI882" s="80">
        <f>IF(AC882=1,IF(AND(INDEX(CFG_WDAYS,WEEKDAY(INT(B882)+1,2))="Sí",IF(D882="proMX",COUNTIFS(FER_F,INT(B882)+1,FER_NLP,"Sí"),COUNTIFS(FER_F,INT(B882)+1,FER_NLM,"Sí"))=0),1,0),0)</f>
        <v>0</v>
      </c>
      <c r="AJ882" s="80">
        <f>IF(AC882=1,1440-Z882,AD882)</f>
        <v>0</v>
      </c>
      <c r="AK882" s="80">
        <f>IF(AND(AB882=1,AH882=1),MAX(0,MIN(IF(AC882=1,1440,AA882),CFG_WEM)-MAX(Z882,CFG_WSM)),0)</f>
        <v>0</v>
      </c>
      <c r="AL882" s="80">
        <f>IF(AND(AC882=1,AI882=1),MAX(0,MIN(AA882,CFG_WEM)-CFG_WSM),0)</f>
        <v>0</v>
      </c>
      <c r="AM882" s="80">
        <f>AK882+AL882</f>
        <v>0</v>
      </c>
      <c r="AN882" s="80">
        <f>IF(CFG_BRK="Proporcional",IF(AD882=0,0,AF882*AM882/AD882),IF(CFG_BRK="Extras primero",MIN(AM882,MAX(0,AF882-(AD882-AM882))),MIN(AF882,AM882)))</f>
        <v>0</v>
      </c>
      <c r="AO882" s="80">
        <f>AF882-AN882</f>
        <v>0</v>
      </c>
      <c r="AP882" s="80">
        <f>AM882-AN882</f>
        <v>0</v>
      </c>
      <c r="AQ882" s="80">
        <f>AD882-AM882-AO882</f>
        <v>0</v>
      </c>
      <c r="AR882" s="80">
        <f>IF(AM882=0,0,AK882-AN882*AK882/AM882)</f>
        <v>0</v>
      </c>
      <c r="AS882" s="80">
        <f>IF(AD882-AM882=0,0,(AJ882-AK882)-AO882*(AJ882-AK882)/(AD882-AM882))</f>
        <v>0</v>
      </c>
      <c r="AT882" s="80" t="str">
        <f>IF(AC882=1,INT(B882)+1,"")</f>
        <v/>
      </c>
      <c r="AU882" s="80">
        <f>IF(AND(D882="proMX",R882="Cancelled"),0,1)</f>
        <v>1</v>
      </c>
      <c r="AV882" s="80">
        <f>IF(AND(AB882=1,AU882=1),IF(COUNTIFS($D$5:D881,D882,$B$5:B881,B882,$Z$5:Z881,Z882,$AA$5:AA881,AA882,$F$5:F881,F882&amp;"",$AU$5:AU881,1)&gt;0,1,0),0)</f>
        <v>0</v>
      </c>
      <c r="AW882" s="80" t="str">
        <f>IF(AB882=1,INT(B882)*1440+Z882,"")</f>
        <v/>
      </c>
      <c r="AX882" s="80" t="str">
        <f>IF(AB882=1,AW882+AD882,"")</f>
        <v/>
      </c>
      <c r="AY882" s="80">
        <f>IF(AND(AB882=1,AV882=0,AU882=1),1,0)</f>
        <v>0</v>
      </c>
      <c r="AZ882" s="80">
        <f>IF(AY882=1,COUNTIFS(R_Emp,D882,R_SAbs,"&lt;"&amp;AX882,R_EAbs,"&gt;"&amp;AW882,R_OKey,1)-1,0)</f>
        <v>0</v>
      </c>
      <c r="BA882" s="80">
        <f>IF(AY882=1,COUNTIFS(R_Emp,"&lt;&gt;"&amp;D882,R_SAbs,"&lt;"&amp;AX882,R_EAbs,"&gt;"&amp;AW882,R_OKey,1),0)</f>
        <v>0</v>
      </c>
      <c r="BB882" s="80">
        <f>IF(AND(AB882=1,D882="proMX"),IF(AND(MOD(Z882,CFG_BLK)=0,MOD(AA882,CFG_BLK)=0,MOD(AG882,CFG_BLK)=0,AG882&gt;0),1,0),1)</f>
        <v>1</v>
      </c>
      <c r="BC882" s="80" t="str">
        <f>IF(Y882=0,"",IF(NOT(ISNUMBER(B882)),"Falta fecha o fecha inválida",IF(D882="","Falta empresa",IF(AND(D882&lt;&gt;"Malcolm",D882&lt;&gt;"proMX"),"Empresa inválida",IF(OR(INT(B882)&lt;CFG_PSTART,INT(B882)&gt;CFG_PEND),"Fecha fuera del período",IF(OR(NOT(ISNUMBER(Z882)),NOT(ISNUMBER(AA882))),"Falta hora inicio/fin o formato inválido",IF(AB882=0,"Hora inicio = hora fin",IF(AE882&lt;0,"Descanso inválido",IF(AE882&gt;=AD882,"Descanso ≥ duración",IF(AV882=1,"Registro duplicado",IF(AZ882&gt;0,"Se superpone con otro registro "&amp;D882,IF(BB882=0,"inicio, fin y duración neta deben ser múltiplos de "&amp;CFG_BLK&amp;" min",""))))))))))))</f>
        <v/>
      </c>
      <c r="BD882" s="80">
        <f>IF(AND(Y882=1,BC882=""),1,0)</f>
        <v>0</v>
      </c>
      <c r="BE882" s="80">
        <f>IF(AND(BD882=1,AU882=1),1,0)</f>
        <v>0</v>
      </c>
      <c r="BF882" s="80" t="str">
        <f>IF(AND(D882="proMX",BD882=1),IF(R882="","Draft",R882),"")</f>
        <v/>
      </c>
      <c r="BG882" s="80">
        <f>IF(BD882=1,ROUND(AG882/60,6),0)</f>
        <v>0</v>
      </c>
      <c r="BH882" s="80">
        <f>IF(BE882=1,ROUND(AG882/60,6),0)</f>
        <v>0</v>
      </c>
      <c r="BI882" s="80">
        <f>IF(BE882=1,ROUND(AP882/60,6),0)</f>
        <v>0</v>
      </c>
      <c r="BJ882" s="80">
        <f>IF(BE882=1,ROUND(AQ882/60,6),0)</f>
        <v>0</v>
      </c>
      <c r="BK882" s="80">
        <f>IF(BE882=1,ROUND((AR882+AS882)/60,6),0)</f>
        <v>0</v>
      </c>
      <c r="BL882" s="80">
        <f>ROUND(BH882-BK882,6)</f>
        <v>0</v>
      </c>
      <c r="BM882" s="80">
        <f>IF(BE882=1,ROUND(AR882/60,6),0)</f>
        <v>0</v>
      </c>
      <c r="BN882" s="80">
        <f>ROUND(BI882-BM882,6)</f>
        <v>0</v>
      </c>
      <c r="BO882" s="80">
        <f>IF(BE882=1,ROUND(AS882/60,6),0)</f>
        <v>0</v>
      </c>
      <c r="BP882" s="80">
        <f>ROUND(BJ882-BO882,6)</f>
        <v>0</v>
      </c>
      <c r="BQ882" s="80">
        <f>IF(BE882=1,AW882,0)</f>
        <v>0</v>
      </c>
      <c r="BR882" s="80">
        <f>IF(BE882=1,AX882,0)</f>
        <v>0</v>
      </c>
      <c r="BS882" s="80">
        <f>IF(AND(BE882=1,D882="Malcolm",BA882&gt;0),MIN(BH882,SUMPRODUCT((R_Emp="proMX")*(R_EN&gt;0)*((R_EN-(R_EN&gt;BR882)*(R_EN-BR882))&gt;(R_SN+(R_SN&lt;BQ882)*(BQ882-R_SN)))*((R_EN-(R_EN&gt;BR882)*(R_EN-BR882))-(R_SN+(R_SN&lt;BQ882)*(BQ882-R_SN))))/60),0)</f>
        <v>0</v>
      </c>
      <c r="BT882" s="80">
        <f>IF(AND(BE882=1,D882="proMX"),ROUND(BI882*CFG_RATE+BJ882*CFG_OTRATE,6),0)</f>
        <v>0</v>
      </c>
      <c r="BU882" s="80">
        <f>IF(AND(BD882=1,D882="proMX"),ROUND(AG882/CFG_BLK,6),0)</f>
        <v>0</v>
      </c>
      <c r="BV882" s="80" t="str">
        <f>IF(BF882="Approved",IF(ISNUMBER(T882),INT(T882),INT(B882)),"")</f>
        <v/>
      </c>
      <c r="BW882" s="80">
        <f>IF(ISNUMBER(B882),IF(DB_MON="Todos",1,IF(AND(INT(B882)&gt;=DB_MS,INT(B882)&lt;=DB_ME),1,0)),0)</f>
        <v>0</v>
      </c>
      <c r="BX882" s="80">
        <f>IF(DB_PROJ="Todos",1,IF(E882&amp;""=DB_PROJ&amp;"",1,0))</f>
        <v>1</v>
      </c>
      <c r="BY882" s="80">
        <f>BW882*BX882</f>
        <v>0</v>
      </c>
      <c r="BZ882" s="80" t="str">
        <f>IF(Y882=1,F882&amp;IF(AND(F882&amp;""&lt;&gt;"",E882&amp;""&lt;&gt;"")," · ","")&amp;E882,"")</f>
        <v/>
      </c>
      <c r="CA882" s="80" t="str">
        <f>IF(AND(BD882=1,E882&amp;""&lt;&gt;""),IF(COUNTIFS($E$5:E881,E882,$BD$5:BD881,1)=0,MAX($CA$5:CA881)+1,""),"")</f>
        <v/>
      </c>
      <c r="CB882" s="80" t="str">
        <f>IF(AND(BE882=1,D882="Malcolm",E882&amp;""&lt;&gt;""),IF(COUNTIFS($D$5:D881,"Malcolm",$E$5:E881,E882,$BE$5:BE881,1)=0,MAX($CB$5:CB881)+1,""),"")</f>
        <v/>
      </c>
      <c r="CC882" s="80" t="str">
        <f>IF(AND(BD882=1,D882="proMX",E882&amp;""&lt;&gt;""),IF(COUNTIFS($D$5:D881,"proMX",$E$5:E881,E882,$BD$5:BD881,1)=0,MAX($CC$5:CC881)+1,""),"")</f>
        <v/>
      </c>
      <c r="CD882" s="80" t="str">
        <f>IF(AND(BE882=1,D882="Malcolm",F882&amp;""&lt;&gt;""),IF(COUNTIFS($D$5:D881,"Malcolm",$F$5:F881,F882,$BE$5:BE881,1)=0,MAX($CD$5:CD881)+1,""),"")</f>
        <v/>
      </c>
      <c r="CE882" s="80" t="str">
        <f>IF(AND(BD882=1,D882="proMX",F882&amp;""&lt;&gt;""),IF(COUNTIFS($D$5:D881,"proMX",$F$5:F881,F882,$BD$5:BD881,1)=0,MAX($CE$5:CE881)+1,""),"")</f>
        <v/>
      </c>
      <c r="CF882" s="80" t="str">
        <f>IF(AND(D882="proMX",BD882=1),IF(OR(BF882="Draft",BF882="Submitted",BF882="Returned",BF882="Recall Requested"),MAX($CF$5:CF881)+1,""),"")</f>
        <v/>
      </c>
      <c r="CG882" s="80">
        <f>IF(BD882=0,0,IF(D882="Malcolm",1,MATCH(BF882,{"Draft","Submitted","Approved","Returned","Recall Requested","Cancelled"},0)+1))</f>
        <v>0</v>
      </c>
      <c r="CH882" s="80">
        <f>IF(AND(BF882="Submitted",ISNUMBER(V882)),IF(V882&gt;CFG_MAXD,1,0),0)</f>
        <v>0</v>
      </c>
    </row>
    <row r="883">
      <c r="A883" s="71" t="str">
        <f>IF(Y883=1,ROW()-5,"")</f>
        <v/>
      </c>
      <c r="B883" s="72" t="n"/>
      <c r="C883" s="71" t="str">
        <f>IF(ISNUMBER(B883),CHOOSE(WEEKDAY(B883,2),"Lun","Mar","Mié","Jue","Vie","Sáb","Dom"),"")</f>
        <v/>
      </c>
      <c r="D883" s="73" t="n"/>
      <c r="E883" s="74" t="n"/>
      <c r="F883" s="74" t="n"/>
      <c r="G883" s="74" t="n"/>
      <c r="H883" s="75" t="n"/>
      <c r="I883" s="75" t="n"/>
      <c r="J883" s="76" t="n"/>
      <c r="K883" s="77" t="str">
        <f>IF(AB883=1,ROUND(AG883/60,4),"")</f>
        <v/>
      </c>
      <c r="L883" s="77" t="str">
        <f>IF(BD883=1,ROUND(AP883/60,4),"")</f>
        <v/>
      </c>
      <c r="M883" s="77" t="str">
        <f>IF(BD883=1,ROUND(AQ883/60,4),"")</f>
        <v/>
      </c>
      <c r="N883" s="71" t="str">
        <f>IF(AND(D883="proMX",AB883=1),ROUND(AG883/CFG_BLK,2),"")</f>
        <v/>
      </c>
      <c r="O883" s="77" t="str">
        <f>IF(D883="proMX",IF(BD883=1,ROUND(AG883/60,4),0),"")</f>
        <v/>
      </c>
      <c r="P883" s="78" t="str">
        <f>IF(Y883=0,"",IF(BD883=1,"OK",IF(D883="proMX","Revisar bloques: ","Revisar: ")&amp;BC883))</f>
        <v/>
      </c>
      <c r="Q883" s="78" t="str">
        <f>IF(NOT(ISNUMBER(B883)),"",IF(COUNTIFS(FER_F,INT(B883))&gt;0,"Feriado"&amp;IF(AH883=1," (laborable)"," (no laborable)"),IF(AH883=1,"Laborable",IF(WEEKDAY(B883,2)&gt;5,"Fin de semana","No laborable"))))</f>
        <v/>
      </c>
      <c r="R883" s="73" t="n"/>
      <c r="S883" s="72" t="n"/>
      <c r="T883" s="72" t="n"/>
      <c r="U883" s="74" t="n"/>
      <c r="V883" s="79" t="str">
        <f>IF(AND(D883="proMX",OR(R883="Submitted",R883="Recall Requested"),ISNUMBER(S883)),CFG_TODAY-INT(S883),"")</f>
        <v/>
      </c>
      <c r="W883" s="78" t="str">
        <f>IF(BD883=0,"",IF(BA883&gt;0,"⚠ Se superpone con un registro de la otra empresa",IF(D883="Malcolm",IF(COUNTA(R883,S883,T883)&gt;0,"Estado/fechas proMX se ignoran en Malcolm",""),IF(BF883="Cancelled","Cancelado: excluido de totales",IF(R883="","Sin estado: se trata como Draft",IF(BF883="Submitted",IF(ISNUMBER(V883),IF(V883&gt;CFG_MAXD,"⚠ "&amp;V883&amp;" días en Submitted (máx. "&amp;CFG_MAXD&amp;")",""),"Falta fecha de envío"),IF(BF883="Returned","⚠ Devuelto: corregir y reenviar",IF(BF883="Recall Requested","Retirada solicitada: pendiente",IF(AND(BF883="Approved",NOT(ISNUMBER(T883))),"Falta fecha de aprobación",IF(AND(ISNUMBER(S883),ISNUMBER(T883),T883&lt;S883),"Aprobación anterior al envío","")))))))))</f>
        <v/>
      </c>
      <c r="Y883" s="80">
        <f>IF(COUNTA(B883,D883,E883,F883,G883,H883,I883,J883,R883,S883,T883)&gt;0,1,0)</f>
        <v>0</v>
      </c>
      <c r="Z883" s="80" t="str">
        <f>IF(AND(ISNUMBER(H883),H883&gt;=0,H883&lt;1),ROUND(H883*1440,0),"")</f>
        <v/>
      </c>
      <c r="AA883" s="80" t="str">
        <f>IF(AND(ISNUMBER(I883),I883&gt;=0,I883&lt;1),ROUND(I883*1440,0),"")</f>
        <v/>
      </c>
      <c r="AB883" s="80">
        <f>IF(AND(ISNUMBER(B883),D883&lt;&gt;"",ISNUMBER(Z883),ISNUMBER(AA883)),IF(Z883=AA883,0,1),0)</f>
        <v>0</v>
      </c>
      <c r="AC883" s="80">
        <f>IF(AB883=1,IF(AA883&lt;Z883,1,0),0)</f>
        <v>0</v>
      </c>
      <c r="AD883" s="80">
        <f>IF(AB883=1,IF(AC883=1,1440-Z883+AA883,AA883-Z883),0)</f>
        <v>0</v>
      </c>
      <c r="AE883" s="80">
        <f>IF(J883="",0,IF(ISNUMBER(J883),J883,-1))</f>
        <v>0</v>
      </c>
      <c r="AF883" s="80">
        <f>MIN(MAX(0,AE883),AD883)</f>
        <v>0</v>
      </c>
      <c r="AG883" s="80">
        <f>MAX(0,AD883-MAX(0,AE883))</f>
        <v>0</v>
      </c>
      <c r="AH883" s="80">
        <f>IF(ISNUMBER(B883),IF(AND(INDEX(CFG_WDAYS,WEEKDAY(INT(B883),2))="Sí",IF(D883="proMX",COUNTIFS(FER_F,INT(B883),FER_NLP,"Sí"),COUNTIFS(FER_F,INT(B883),FER_NLM,"Sí"))=0),1,0),0)</f>
        <v>0</v>
      </c>
      <c r="AI883" s="80">
        <f>IF(AC883=1,IF(AND(INDEX(CFG_WDAYS,WEEKDAY(INT(B883)+1,2))="Sí",IF(D883="proMX",COUNTIFS(FER_F,INT(B883)+1,FER_NLP,"Sí"),COUNTIFS(FER_F,INT(B883)+1,FER_NLM,"Sí"))=0),1,0),0)</f>
        <v>0</v>
      </c>
      <c r="AJ883" s="80">
        <f>IF(AC883=1,1440-Z883,AD883)</f>
        <v>0</v>
      </c>
      <c r="AK883" s="80">
        <f>IF(AND(AB883=1,AH883=1),MAX(0,MIN(IF(AC883=1,1440,AA883),CFG_WEM)-MAX(Z883,CFG_WSM)),0)</f>
        <v>0</v>
      </c>
      <c r="AL883" s="80">
        <f>IF(AND(AC883=1,AI883=1),MAX(0,MIN(AA883,CFG_WEM)-CFG_WSM),0)</f>
        <v>0</v>
      </c>
      <c r="AM883" s="80">
        <f>AK883+AL883</f>
        <v>0</v>
      </c>
      <c r="AN883" s="80">
        <f>IF(CFG_BRK="Proporcional",IF(AD883=0,0,AF883*AM883/AD883),IF(CFG_BRK="Extras primero",MIN(AM883,MAX(0,AF883-(AD883-AM883))),MIN(AF883,AM883)))</f>
        <v>0</v>
      </c>
      <c r="AO883" s="80">
        <f>AF883-AN883</f>
        <v>0</v>
      </c>
      <c r="AP883" s="80">
        <f>AM883-AN883</f>
        <v>0</v>
      </c>
      <c r="AQ883" s="80">
        <f>AD883-AM883-AO883</f>
        <v>0</v>
      </c>
      <c r="AR883" s="80">
        <f>IF(AM883=0,0,AK883-AN883*AK883/AM883)</f>
        <v>0</v>
      </c>
      <c r="AS883" s="80">
        <f>IF(AD883-AM883=0,0,(AJ883-AK883)-AO883*(AJ883-AK883)/(AD883-AM883))</f>
        <v>0</v>
      </c>
      <c r="AT883" s="80" t="str">
        <f>IF(AC883=1,INT(B883)+1,"")</f>
        <v/>
      </c>
      <c r="AU883" s="80">
        <f>IF(AND(D883="proMX",R883="Cancelled"),0,1)</f>
        <v>1</v>
      </c>
      <c r="AV883" s="80">
        <f>IF(AND(AB883=1,AU883=1),IF(COUNTIFS($D$5:D882,D883,$B$5:B882,B883,$Z$5:Z882,Z883,$AA$5:AA882,AA883,$F$5:F882,F883&amp;"",$AU$5:AU882,1)&gt;0,1,0),0)</f>
        <v>0</v>
      </c>
      <c r="AW883" s="80" t="str">
        <f>IF(AB883=1,INT(B883)*1440+Z883,"")</f>
        <v/>
      </c>
      <c r="AX883" s="80" t="str">
        <f>IF(AB883=1,AW883+AD883,"")</f>
        <v/>
      </c>
      <c r="AY883" s="80">
        <f>IF(AND(AB883=1,AV883=0,AU883=1),1,0)</f>
        <v>0</v>
      </c>
      <c r="AZ883" s="80">
        <f>IF(AY883=1,COUNTIFS(R_Emp,D883,R_SAbs,"&lt;"&amp;AX883,R_EAbs,"&gt;"&amp;AW883,R_OKey,1)-1,0)</f>
        <v>0</v>
      </c>
      <c r="BA883" s="80">
        <f>IF(AY883=1,COUNTIFS(R_Emp,"&lt;&gt;"&amp;D883,R_SAbs,"&lt;"&amp;AX883,R_EAbs,"&gt;"&amp;AW883,R_OKey,1),0)</f>
        <v>0</v>
      </c>
      <c r="BB883" s="80">
        <f>IF(AND(AB883=1,D883="proMX"),IF(AND(MOD(Z883,CFG_BLK)=0,MOD(AA883,CFG_BLK)=0,MOD(AG883,CFG_BLK)=0,AG883&gt;0),1,0),1)</f>
        <v>1</v>
      </c>
      <c r="BC883" s="80" t="str">
        <f>IF(Y883=0,"",IF(NOT(ISNUMBER(B883)),"Falta fecha o fecha inválida",IF(D883="","Falta empresa",IF(AND(D883&lt;&gt;"Malcolm",D883&lt;&gt;"proMX"),"Empresa inválida",IF(OR(INT(B883)&lt;CFG_PSTART,INT(B883)&gt;CFG_PEND),"Fecha fuera del período",IF(OR(NOT(ISNUMBER(Z883)),NOT(ISNUMBER(AA883))),"Falta hora inicio/fin o formato inválido",IF(AB883=0,"Hora inicio = hora fin",IF(AE883&lt;0,"Descanso inválido",IF(AE883&gt;=AD883,"Descanso ≥ duración",IF(AV883=1,"Registro duplicado",IF(AZ883&gt;0,"Se superpone con otro registro "&amp;D883,IF(BB883=0,"inicio, fin y duración neta deben ser múltiplos de "&amp;CFG_BLK&amp;" min",""))))))))))))</f>
        <v/>
      </c>
      <c r="BD883" s="80">
        <f>IF(AND(Y883=1,BC883=""),1,0)</f>
        <v>0</v>
      </c>
      <c r="BE883" s="80">
        <f>IF(AND(BD883=1,AU883=1),1,0)</f>
        <v>0</v>
      </c>
      <c r="BF883" s="80" t="str">
        <f>IF(AND(D883="proMX",BD883=1),IF(R883="","Draft",R883),"")</f>
        <v/>
      </c>
      <c r="BG883" s="80">
        <f>IF(BD883=1,ROUND(AG883/60,6),0)</f>
        <v>0</v>
      </c>
      <c r="BH883" s="80">
        <f>IF(BE883=1,ROUND(AG883/60,6),0)</f>
        <v>0</v>
      </c>
      <c r="BI883" s="80">
        <f>IF(BE883=1,ROUND(AP883/60,6),0)</f>
        <v>0</v>
      </c>
      <c r="BJ883" s="80">
        <f>IF(BE883=1,ROUND(AQ883/60,6),0)</f>
        <v>0</v>
      </c>
      <c r="BK883" s="80">
        <f>IF(BE883=1,ROUND((AR883+AS883)/60,6),0)</f>
        <v>0</v>
      </c>
      <c r="BL883" s="80">
        <f>ROUND(BH883-BK883,6)</f>
        <v>0</v>
      </c>
      <c r="BM883" s="80">
        <f>IF(BE883=1,ROUND(AR883/60,6),0)</f>
        <v>0</v>
      </c>
      <c r="BN883" s="80">
        <f>ROUND(BI883-BM883,6)</f>
        <v>0</v>
      </c>
      <c r="BO883" s="80">
        <f>IF(BE883=1,ROUND(AS883/60,6),0)</f>
        <v>0</v>
      </c>
      <c r="BP883" s="80">
        <f>ROUND(BJ883-BO883,6)</f>
        <v>0</v>
      </c>
      <c r="BQ883" s="80">
        <f>IF(BE883=1,AW883,0)</f>
        <v>0</v>
      </c>
      <c r="BR883" s="80">
        <f>IF(BE883=1,AX883,0)</f>
        <v>0</v>
      </c>
      <c r="BS883" s="80">
        <f>IF(AND(BE883=1,D883="Malcolm",BA883&gt;0),MIN(BH883,SUMPRODUCT((R_Emp="proMX")*(R_EN&gt;0)*((R_EN-(R_EN&gt;BR883)*(R_EN-BR883))&gt;(R_SN+(R_SN&lt;BQ883)*(BQ883-R_SN)))*((R_EN-(R_EN&gt;BR883)*(R_EN-BR883))-(R_SN+(R_SN&lt;BQ883)*(BQ883-R_SN))))/60),0)</f>
        <v>0</v>
      </c>
      <c r="BT883" s="80">
        <f>IF(AND(BE883=1,D883="proMX"),ROUND(BI883*CFG_RATE+BJ883*CFG_OTRATE,6),0)</f>
        <v>0</v>
      </c>
      <c r="BU883" s="80">
        <f>IF(AND(BD883=1,D883="proMX"),ROUND(AG883/CFG_BLK,6),0)</f>
        <v>0</v>
      </c>
      <c r="BV883" s="80" t="str">
        <f>IF(BF883="Approved",IF(ISNUMBER(T883),INT(T883),INT(B883)),"")</f>
        <v/>
      </c>
      <c r="BW883" s="80">
        <f>IF(ISNUMBER(B883),IF(DB_MON="Todos",1,IF(AND(INT(B883)&gt;=DB_MS,INT(B883)&lt;=DB_ME),1,0)),0)</f>
        <v>0</v>
      </c>
      <c r="BX883" s="80">
        <f>IF(DB_PROJ="Todos",1,IF(E883&amp;""=DB_PROJ&amp;"",1,0))</f>
        <v>1</v>
      </c>
      <c r="BY883" s="80">
        <f>BW883*BX883</f>
        <v>0</v>
      </c>
      <c r="BZ883" s="80" t="str">
        <f>IF(Y883=1,F883&amp;IF(AND(F883&amp;""&lt;&gt;"",E883&amp;""&lt;&gt;"")," · ","")&amp;E883,"")</f>
        <v/>
      </c>
      <c r="CA883" s="80" t="str">
        <f>IF(AND(BD883=1,E883&amp;""&lt;&gt;""),IF(COUNTIFS($E$5:E882,E883,$BD$5:BD882,1)=0,MAX($CA$5:CA882)+1,""),"")</f>
        <v/>
      </c>
      <c r="CB883" s="80" t="str">
        <f>IF(AND(BE883=1,D883="Malcolm",E883&amp;""&lt;&gt;""),IF(COUNTIFS($D$5:D882,"Malcolm",$E$5:E882,E883,$BE$5:BE882,1)=0,MAX($CB$5:CB882)+1,""),"")</f>
        <v/>
      </c>
      <c r="CC883" s="80" t="str">
        <f>IF(AND(BD883=1,D883="proMX",E883&amp;""&lt;&gt;""),IF(COUNTIFS($D$5:D882,"proMX",$E$5:E882,E883,$BD$5:BD882,1)=0,MAX($CC$5:CC882)+1,""),"")</f>
        <v/>
      </c>
      <c r="CD883" s="80" t="str">
        <f>IF(AND(BE883=1,D883="Malcolm",F883&amp;""&lt;&gt;""),IF(COUNTIFS($D$5:D882,"Malcolm",$F$5:F882,F883,$BE$5:BE882,1)=0,MAX($CD$5:CD882)+1,""),"")</f>
        <v/>
      </c>
      <c r="CE883" s="80" t="str">
        <f>IF(AND(BD883=1,D883="proMX",F883&amp;""&lt;&gt;""),IF(COUNTIFS($D$5:D882,"proMX",$F$5:F882,F883,$BD$5:BD882,1)=0,MAX($CE$5:CE882)+1,""),"")</f>
        <v/>
      </c>
      <c r="CF883" s="80" t="str">
        <f>IF(AND(D883="proMX",BD883=1),IF(OR(BF883="Draft",BF883="Submitted",BF883="Returned",BF883="Recall Requested"),MAX($CF$5:CF882)+1,""),"")</f>
        <v/>
      </c>
      <c r="CG883" s="80">
        <f>IF(BD883=0,0,IF(D883="Malcolm",1,MATCH(BF883,{"Draft","Submitted","Approved","Returned","Recall Requested","Cancelled"},0)+1))</f>
        <v>0</v>
      </c>
      <c r="CH883" s="80">
        <f>IF(AND(BF883="Submitted",ISNUMBER(V883)),IF(V883&gt;CFG_MAXD,1,0),0)</f>
        <v>0</v>
      </c>
    </row>
    <row r="884">
      <c r="A884" s="71" t="str">
        <f>IF(Y884=1,ROW()-5,"")</f>
        <v/>
      </c>
      <c r="B884" s="72" t="n"/>
      <c r="C884" s="71" t="str">
        <f>IF(ISNUMBER(B884),CHOOSE(WEEKDAY(B884,2),"Lun","Mar","Mié","Jue","Vie","Sáb","Dom"),"")</f>
        <v/>
      </c>
      <c r="D884" s="73" t="n"/>
      <c r="E884" s="74" t="n"/>
      <c r="F884" s="74" t="n"/>
      <c r="G884" s="74" t="n"/>
      <c r="H884" s="75" t="n"/>
      <c r="I884" s="75" t="n"/>
      <c r="J884" s="76" t="n"/>
      <c r="K884" s="77" t="str">
        <f>IF(AB884=1,ROUND(AG884/60,4),"")</f>
        <v/>
      </c>
      <c r="L884" s="77" t="str">
        <f>IF(BD884=1,ROUND(AP884/60,4),"")</f>
        <v/>
      </c>
      <c r="M884" s="77" t="str">
        <f>IF(BD884=1,ROUND(AQ884/60,4),"")</f>
        <v/>
      </c>
      <c r="N884" s="71" t="str">
        <f>IF(AND(D884="proMX",AB884=1),ROUND(AG884/CFG_BLK,2),"")</f>
        <v/>
      </c>
      <c r="O884" s="77" t="str">
        <f>IF(D884="proMX",IF(BD884=1,ROUND(AG884/60,4),0),"")</f>
        <v/>
      </c>
      <c r="P884" s="78" t="str">
        <f>IF(Y884=0,"",IF(BD884=1,"OK",IF(D884="proMX","Revisar bloques: ","Revisar: ")&amp;BC884))</f>
        <v/>
      </c>
      <c r="Q884" s="78" t="str">
        <f>IF(NOT(ISNUMBER(B884)),"",IF(COUNTIFS(FER_F,INT(B884))&gt;0,"Feriado"&amp;IF(AH884=1," (laborable)"," (no laborable)"),IF(AH884=1,"Laborable",IF(WEEKDAY(B884,2)&gt;5,"Fin de semana","No laborable"))))</f>
        <v/>
      </c>
      <c r="R884" s="73" t="n"/>
      <c r="S884" s="72" t="n"/>
      <c r="T884" s="72" t="n"/>
      <c r="U884" s="74" t="n"/>
      <c r="V884" s="79" t="str">
        <f>IF(AND(D884="proMX",OR(R884="Submitted",R884="Recall Requested"),ISNUMBER(S884)),CFG_TODAY-INT(S884),"")</f>
        <v/>
      </c>
      <c r="W884" s="78" t="str">
        <f>IF(BD884=0,"",IF(BA884&gt;0,"⚠ Se superpone con un registro de la otra empresa",IF(D884="Malcolm",IF(COUNTA(R884,S884,T884)&gt;0,"Estado/fechas proMX se ignoran en Malcolm",""),IF(BF884="Cancelled","Cancelado: excluido de totales",IF(R884="","Sin estado: se trata como Draft",IF(BF884="Submitted",IF(ISNUMBER(V884),IF(V884&gt;CFG_MAXD,"⚠ "&amp;V884&amp;" días en Submitted (máx. "&amp;CFG_MAXD&amp;")",""),"Falta fecha de envío"),IF(BF884="Returned","⚠ Devuelto: corregir y reenviar",IF(BF884="Recall Requested","Retirada solicitada: pendiente",IF(AND(BF884="Approved",NOT(ISNUMBER(T884))),"Falta fecha de aprobación",IF(AND(ISNUMBER(S884),ISNUMBER(T884),T884&lt;S884),"Aprobación anterior al envío","")))))))))</f>
        <v/>
      </c>
      <c r="Y884" s="80">
        <f>IF(COUNTA(B884,D884,E884,F884,G884,H884,I884,J884,R884,S884,T884)&gt;0,1,0)</f>
        <v>0</v>
      </c>
      <c r="Z884" s="80" t="str">
        <f>IF(AND(ISNUMBER(H884),H884&gt;=0,H884&lt;1),ROUND(H884*1440,0),"")</f>
        <v/>
      </c>
      <c r="AA884" s="80" t="str">
        <f>IF(AND(ISNUMBER(I884),I884&gt;=0,I884&lt;1),ROUND(I884*1440,0),"")</f>
        <v/>
      </c>
      <c r="AB884" s="80">
        <f>IF(AND(ISNUMBER(B884),D884&lt;&gt;"",ISNUMBER(Z884),ISNUMBER(AA884)),IF(Z884=AA884,0,1),0)</f>
        <v>0</v>
      </c>
      <c r="AC884" s="80">
        <f>IF(AB884=1,IF(AA884&lt;Z884,1,0),0)</f>
        <v>0</v>
      </c>
      <c r="AD884" s="80">
        <f>IF(AB884=1,IF(AC884=1,1440-Z884+AA884,AA884-Z884),0)</f>
        <v>0</v>
      </c>
      <c r="AE884" s="80">
        <f>IF(J884="",0,IF(ISNUMBER(J884),J884,-1))</f>
        <v>0</v>
      </c>
      <c r="AF884" s="80">
        <f>MIN(MAX(0,AE884),AD884)</f>
        <v>0</v>
      </c>
      <c r="AG884" s="80">
        <f>MAX(0,AD884-MAX(0,AE884))</f>
        <v>0</v>
      </c>
      <c r="AH884" s="80">
        <f>IF(ISNUMBER(B884),IF(AND(INDEX(CFG_WDAYS,WEEKDAY(INT(B884),2))="Sí",IF(D884="proMX",COUNTIFS(FER_F,INT(B884),FER_NLP,"Sí"),COUNTIFS(FER_F,INT(B884),FER_NLM,"Sí"))=0),1,0),0)</f>
        <v>0</v>
      </c>
      <c r="AI884" s="80">
        <f>IF(AC884=1,IF(AND(INDEX(CFG_WDAYS,WEEKDAY(INT(B884)+1,2))="Sí",IF(D884="proMX",COUNTIFS(FER_F,INT(B884)+1,FER_NLP,"Sí"),COUNTIFS(FER_F,INT(B884)+1,FER_NLM,"Sí"))=0),1,0),0)</f>
        <v>0</v>
      </c>
      <c r="AJ884" s="80">
        <f>IF(AC884=1,1440-Z884,AD884)</f>
        <v>0</v>
      </c>
      <c r="AK884" s="80">
        <f>IF(AND(AB884=1,AH884=1),MAX(0,MIN(IF(AC884=1,1440,AA884),CFG_WEM)-MAX(Z884,CFG_WSM)),0)</f>
        <v>0</v>
      </c>
      <c r="AL884" s="80">
        <f>IF(AND(AC884=1,AI884=1),MAX(0,MIN(AA884,CFG_WEM)-CFG_WSM),0)</f>
        <v>0</v>
      </c>
      <c r="AM884" s="80">
        <f>AK884+AL884</f>
        <v>0</v>
      </c>
      <c r="AN884" s="80">
        <f>IF(CFG_BRK="Proporcional",IF(AD884=0,0,AF884*AM884/AD884),IF(CFG_BRK="Extras primero",MIN(AM884,MAX(0,AF884-(AD884-AM884))),MIN(AF884,AM884)))</f>
        <v>0</v>
      </c>
      <c r="AO884" s="80">
        <f>AF884-AN884</f>
        <v>0</v>
      </c>
      <c r="AP884" s="80">
        <f>AM884-AN884</f>
        <v>0</v>
      </c>
      <c r="AQ884" s="80">
        <f>AD884-AM884-AO884</f>
        <v>0</v>
      </c>
      <c r="AR884" s="80">
        <f>IF(AM884=0,0,AK884-AN884*AK884/AM884)</f>
        <v>0</v>
      </c>
      <c r="AS884" s="80">
        <f>IF(AD884-AM884=0,0,(AJ884-AK884)-AO884*(AJ884-AK884)/(AD884-AM884))</f>
        <v>0</v>
      </c>
      <c r="AT884" s="80" t="str">
        <f>IF(AC884=1,INT(B884)+1,"")</f>
        <v/>
      </c>
      <c r="AU884" s="80">
        <f>IF(AND(D884="proMX",R884="Cancelled"),0,1)</f>
        <v>1</v>
      </c>
      <c r="AV884" s="80">
        <f>IF(AND(AB884=1,AU884=1),IF(COUNTIFS($D$5:D883,D884,$B$5:B883,B884,$Z$5:Z883,Z884,$AA$5:AA883,AA884,$F$5:F883,F884&amp;"",$AU$5:AU883,1)&gt;0,1,0),0)</f>
        <v>0</v>
      </c>
      <c r="AW884" s="80" t="str">
        <f>IF(AB884=1,INT(B884)*1440+Z884,"")</f>
        <v/>
      </c>
      <c r="AX884" s="80" t="str">
        <f>IF(AB884=1,AW884+AD884,"")</f>
        <v/>
      </c>
      <c r="AY884" s="80">
        <f>IF(AND(AB884=1,AV884=0,AU884=1),1,0)</f>
        <v>0</v>
      </c>
      <c r="AZ884" s="80">
        <f>IF(AY884=1,COUNTIFS(R_Emp,D884,R_SAbs,"&lt;"&amp;AX884,R_EAbs,"&gt;"&amp;AW884,R_OKey,1)-1,0)</f>
        <v>0</v>
      </c>
      <c r="BA884" s="80">
        <f>IF(AY884=1,COUNTIFS(R_Emp,"&lt;&gt;"&amp;D884,R_SAbs,"&lt;"&amp;AX884,R_EAbs,"&gt;"&amp;AW884,R_OKey,1),0)</f>
        <v>0</v>
      </c>
      <c r="BB884" s="80">
        <f>IF(AND(AB884=1,D884="proMX"),IF(AND(MOD(Z884,CFG_BLK)=0,MOD(AA884,CFG_BLK)=0,MOD(AG884,CFG_BLK)=0,AG884&gt;0),1,0),1)</f>
        <v>1</v>
      </c>
      <c r="BC884" s="80" t="str">
        <f>IF(Y884=0,"",IF(NOT(ISNUMBER(B884)),"Falta fecha o fecha inválida",IF(D884="","Falta empresa",IF(AND(D884&lt;&gt;"Malcolm",D884&lt;&gt;"proMX"),"Empresa inválida",IF(OR(INT(B884)&lt;CFG_PSTART,INT(B884)&gt;CFG_PEND),"Fecha fuera del período",IF(OR(NOT(ISNUMBER(Z884)),NOT(ISNUMBER(AA884))),"Falta hora inicio/fin o formato inválido",IF(AB884=0,"Hora inicio = hora fin",IF(AE884&lt;0,"Descanso inválido",IF(AE884&gt;=AD884,"Descanso ≥ duración",IF(AV884=1,"Registro duplicado",IF(AZ884&gt;0,"Se superpone con otro registro "&amp;D884,IF(BB884=0,"inicio, fin y duración neta deben ser múltiplos de "&amp;CFG_BLK&amp;" min",""))))))))))))</f>
        <v/>
      </c>
      <c r="BD884" s="80">
        <f>IF(AND(Y884=1,BC884=""),1,0)</f>
        <v>0</v>
      </c>
      <c r="BE884" s="80">
        <f>IF(AND(BD884=1,AU884=1),1,0)</f>
        <v>0</v>
      </c>
      <c r="BF884" s="80" t="str">
        <f>IF(AND(D884="proMX",BD884=1),IF(R884="","Draft",R884),"")</f>
        <v/>
      </c>
      <c r="BG884" s="80">
        <f>IF(BD884=1,ROUND(AG884/60,6),0)</f>
        <v>0</v>
      </c>
      <c r="BH884" s="80">
        <f>IF(BE884=1,ROUND(AG884/60,6),0)</f>
        <v>0</v>
      </c>
      <c r="BI884" s="80">
        <f>IF(BE884=1,ROUND(AP884/60,6),0)</f>
        <v>0</v>
      </c>
      <c r="BJ884" s="80">
        <f>IF(BE884=1,ROUND(AQ884/60,6),0)</f>
        <v>0</v>
      </c>
      <c r="BK884" s="80">
        <f>IF(BE884=1,ROUND((AR884+AS884)/60,6),0)</f>
        <v>0</v>
      </c>
      <c r="BL884" s="80">
        <f>ROUND(BH884-BK884,6)</f>
        <v>0</v>
      </c>
      <c r="BM884" s="80">
        <f>IF(BE884=1,ROUND(AR884/60,6),0)</f>
        <v>0</v>
      </c>
      <c r="BN884" s="80">
        <f>ROUND(BI884-BM884,6)</f>
        <v>0</v>
      </c>
      <c r="BO884" s="80">
        <f>IF(BE884=1,ROUND(AS884/60,6),0)</f>
        <v>0</v>
      </c>
      <c r="BP884" s="80">
        <f>ROUND(BJ884-BO884,6)</f>
        <v>0</v>
      </c>
      <c r="BQ884" s="80">
        <f>IF(BE884=1,AW884,0)</f>
        <v>0</v>
      </c>
      <c r="BR884" s="80">
        <f>IF(BE884=1,AX884,0)</f>
        <v>0</v>
      </c>
      <c r="BS884" s="80">
        <f>IF(AND(BE884=1,D884="Malcolm",BA884&gt;0),MIN(BH884,SUMPRODUCT((R_Emp="proMX")*(R_EN&gt;0)*((R_EN-(R_EN&gt;BR884)*(R_EN-BR884))&gt;(R_SN+(R_SN&lt;BQ884)*(BQ884-R_SN)))*((R_EN-(R_EN&gt;BR884)*(R_EN-BR884))-(R_SN+(R_SN&lt;BQ884)*(BQ884-R_SN))))/60),0)</f>
        <v>0</v>
      </c>
      <c r="BT884" s="80">
        <f>IF(AND(BE884=1,D884="proMX"),ROUND(BI884*CFG_RATE+BJ884*CFG_OTRATE,6),0)</f>
        <v>0</v>
      </c>
      <c r="BU884" s="80">
        <f>IF(AND(BD884=1,D884="proMX"),ROUND(AG884/CFG_BLK,6),0)</f>
        <v>0</v>
      </c>
      <c r="BV884" s="80" t="str">
        <f>IF(BF884="Approved",IF(ISNUMBER(T884),INT(T884),INT(B884)),"")</f>
        <v/>
      </c>
      <c r="BW884" s="80">
        <f>IF(ISNUMBER(B884),IF(DB_MON="Todos",1,IF(AND(INT(B884)&gt;=DB_MS,INT(B884)&lt;=DB_ME),1,0)),0)</f>
        <v>0</v>
      </c>
      <c r="BX884" s="80">
        <f>IF(DB_PROJ="Todos",1,IF(E884&amp;""=DB_PROJ&amp;"",1,0))</f>
        <v>1</v>
      </c>
      <c r="BY884" s="80">
        <f>BW884*BX884</f>
        <v>0</v>
      </c>
      <c r="BZ884" s="80" t="str">
        <f>IF(Y884=1,F884&amp;IF(AND(F884&amp;""&lt;&gt;"",E884&amp;""&lt;&gt;"")," · ","")&amp;E884,"")</f>
        <v/>
      </c>
      <c r="CA884" s="80" t="str">
        <f>IF(AND(BD884=1,E884&amp;""&lt;&gt;""),IF(COUNTIFS($E$5:E883,E884,$BD$5:BD883,1)=0,MAX($CA$5:CA883)+1,""),"")</f>
        <v/>
      </c>
      <c r="CB884" s="80" t="str">
        <f>IF(AND(BE884=1,D884="Malcolm",E884&amp;""&lt;&gt;""),IF(COUNTIFS($D$5:D883,"Malcolm",$E$5:E883,E884,$BE$5:BE883,1)=0,MAX($CB$5:CB883)+1,""),"")</f>
        <v/>
      </c>
      <c r="CC884" s="80" t="str">
        <f>IF(AND(BD884=1,D884="proMX",E884&amp;""&lt;&gt;""),IF(COUNTIFS($D$5:D883,"proMX",$E$5:E883,E884,$BD$5:BD883,1)=0,MAX($CC$5:CC883)+1,""),"")</f>
        <v/>
      </c>
      <c r="CD884" s="80" t="str">
        <f>IF(AND(BE884=1,D884="Malcolm",F884&amp;""&lt;&gt;""),IF(COUNTIFS($D$5:D883,"Malcolm",$F$5:F883,F884,$BE$5:BE883,1)=0,MAX($CD$5:CD883)+1,""),"")</f>
        <v/>
      </c>
      <c r="CE884" s="80" t="str">
        <f>IF(AND(BD884=1,D884="proMX",F884&amp;""&lt;&gt;""),IF(COUNTIFS($D$5:D883,"proMX",$F$5:F883,F884,$BD$5:BD883,1)=0,MAX($CE$5:CE883)+1,""),"")</f>
        <v/>
      </c>
      <c r="CF884" s="80" t="str">
        <f>IF(AND(D884="proMX",BD884=1),IF(OR(BF884="Draft",BF884="Submitted",BF884="Returned",BF884="Recall Requested"),MAX($CF$5:CF883)+1,""),"")</f>
        <v/>
      </c>
      <c r="CG884" s="80">
        <f>IF(BD884=0,0,IF(D884="Malcolm",1,MATCH(BF884,{"Draft","Submitted","Approved","Returned","Recall Requested","Cancelled"},0)+1))</f>
        <v>0</v>
      </c>
      <c r="CH884" s="80">
        <f>IF(AND(BF884="Submitted",ISNUMBER(V884)),IF(V884&gt;CFG_MAXD,1,0),0)</f>
        <v>0</v>
      </c>
    </row>
    <row r="885">
      <c r="A885" s="71" t="str">
        <f>IF(Y885=1,ROW()-5,"")</f>
        <v/>
      </c>
      <c r="B885" s="72" t="n"/>
      <c r="C885" s="71" t="str">
        <f>IF(ISNUMBER(B885),CHOOSE(WEEKDAY(B885,2),"Lun","Mar","Mié","Jue","Vie","Sáb","Dom"),"")</f>
        <v/>
      </c>
      <c r="D885" s="73" t="n"/>
      <c r="E885" s="74" t="n"/>
      <c r="F885" s="74" t="n"/>
      <c r="G885" s="74" t="n"/>
      <c r="H885" s="75" t="n"/>
      <c r="I885" s="75" t="n"/>
      <c r="J885" s="76" t="n"/>
      <c r="K885" s="77" t="str">
        <f>IF(AB885=1,ROUND(AG885/60,4),"")</f>
        <v/>
      </c>
      <c r="L885" s="77" t="str">
        <f>IF(BD885=1,ROUND(AP885/60,4),"")</f>
        <v/>
      </c>
      <c r="M885" s="77" t="str">
        <f>IF(BD885=1,ROUND(AQ885/60,4),"")</f>
        <v/>
      </c>
      <c r="N885" s="71" t="str">
        <f>IF(AND(D885="proMX",AB885=1),ROUND(AG885/CFG_BLK,2),"")</f>
        <v/>
      </c>
      <c r="O885" s="77" t="str">
        <f>IF(D885="proMX",IF(BD885=1,ROUND(AG885/60,4),0),"")</f>
        <v/>
      </c>
      <c r="P885" s="78" t="str">
        <f>IF(Y885=0,"",IF(BD885=1,"OK",IF(D885="proMX","Revisar bloques: ","Revisar: ")&amp;BC885))</f>
        <v/>
      </c>
      <c r="Q885" s="78" t="str">
        <f>IF(NOT(ISNUMBER(B885)),"",IF(COUNTIFS(FER_F,INT(B885))&gt;0,"Feriado"&amp;IF(AH885=1," (laborable)"," (no laborable)"),IF(AH885=1,"Laborable",IF(WEEKDAY(B885,2)&gt;5,"Fin de semana","No laborable"))))</f>
        <v/>
      </c>
      <c r="R885" s="73" t="n"/>
      <c r="S885" s="72" t="n"/>
      <c r="T885" s="72" t="n"/>
      <c r="U885" s="74" t="n"/>
      <c r="V885" s="79" t="str">
        <f>IF(AND(D885="proMX",OR(R885="Submitted",R885="Recall Requested"),ISNUMBER(S885)),CFG_TODAY-INT(S885),"")</f>
        <v/>
      </c>
      <c r="W885" s="78" t="str">
        <f>IF(BD885=0,"",IF(BA885&gt;0,"⚠ Se superpone con un registro de la otra empresa",IF(D885="Malcolm",IF(COUNTA(R885,S885,T885)&gt;0,"Estado/fechas proMX se ignoran en Malcolm",""),IF(BF885="Cancelled","Cancelado: excluido de totales",IF(R885="","Sin estado: se trata como Draft",IF(BF885="Submitted",IF(ISNUMBER(V885),IF(V885&gt;CFG_MAXD,"⚠ "&amp;V885&amp;" días en Submitted (máx. "&amp;CFG_MAXD&amp;")",""),"Falta fecha de envío"),IF(BF885="Returned","⚠ Devuelto: corregir y reenviar",IF(BF885="Recall Requested","Retirada solicitada: pendiente",IF(AND(BF885="Approved",NOT(ISNUMBER(T885))),"Falta fecha de aprobación",IF(AND(ISNUMBER(S885),ISNUMBER(T885),T885&lt;S885),"Aprobación anterior al envío","")))))))))</f>
        <v/>
      </c>
      <c r="Y885" s="80">
        <f>IF(COUNTA(B885,D885,E885,F885,G885,H885,I885,J885,R885,S885,T885)&gt;0,1,0)</f>
        <v>0</v>
      </c>
      <c r="Z885" s="80" t="str">
        <f>IF(AND(ISNUMBER(H885),H885&gt;=0,H885&lt;1),ROUND(H885*1440,0),"")</f>
        <v/>
      </c>
      <c r="AA885" s="80" t="str">
        <f>IF(AND(ISNUMBER(I885),I885&gt;=0,I885&lt;1),ROUND(I885*1440,0),"")</f>
        <v/>
      </c>
      <c r="AB885" s="80">
        <f>IF(AND(ISNUMBER(B885),D885&lt;&gt;"",ISNUMBER(Z885),ISNUMBER(AA885)),IF(Z885=AA885,0,1),0)</f>
        <v>0</v>
      </c>
      <c r="AC885" s="80">
        <f>IF(AB885=1,IF(AA885&lt;Z885,1,0),0)</f>
        <v>0</v>
      </c>
      <c r="AD885" s="80">
        <f>IF(AB885=1,IF(AC885=1,1440-Z885+AA885,AA885-Z885),0)</f>
        <v>0</v>
      </c>
      <c r="AE885" s="80">
        <f>IF(J885="",0,IF(ISNUMBER(J885),J885,-1))</f>
        <v>0</v>
      </c>
      <c r="AF885" s="80">
        <f>MIN(MAX(0,AE885),AD885)</f>
        <v>0</v>
      </c>
      <c r="AG885" s="80">
        <f>MAX(0,AD885-MAX(0,AE885))</f>
        <v>0</v>
      </c>
      <c r="AH885" s="80">
        <f>IF(ISNUMBER(B885),IF(AND(INDEX(CFG_WDAYS,WEEKDAY(INT(B885),2))="Sí",IF(D885="proMX",COUNTIFS(FER_F,INT(B885),FER_NLP,"Sí"),COUNTIFS(FER_F,INT(B885),FER_NLM,"Sí"))=0),1,0),0)</f>
        <v>0</v>
      </c>
      <c r="AI885" s="80">
        <f>IF(AC885=1,IF(AND(INDEX(CFG_WDAYS,WEEKDAY(INT(B885)+1,2))="Sí",IF(D885="proMX",COUNTIFS(FER_F,INT(B885)+1,FER_NLP,"Sí"),COUNTIFS(FER_F,INT(B885)+1,FER_NLM,"Sí"))=0),1,0),0)</f>
        <v>0</v>
      </c>
      <c r="AJ885" s="80">
        <f>IF(AC885=1,1440-Z885,AD885)</f>
        <v>0</v>
      </c>
      <c r="AK885" s="80">
        <f>IF(AND(AB885=1,AH885=1),MAX(0,MIN(IF(AC885=1,1440,AA885),CFG_WEM)-MAX(Z885,CFG_WSM)),0)</f>
        <v>0</v>
      </c>
      <c r="AL885" s="80">
        <f>IF(AND(AC885=1,AI885=1),MAX(0,MIN(AA885,CFG_WEM)-CFG_WSM),0)</f>
        <v>0</v>
      </c>
      <c r="AM885" s="80">
        <f>AK885+AL885</f>
        <v>0</v>
      </c>
      <c r="AN885" s="80">
        <f>IF(CFG_BRK="Proporcional",IF(AD885=0,0,AF885*AM885/AD885),IF(CFG_BRK="Extras primero",MIN(AM885,MAX(0,AF885-(AD885-AM885))),MIN(AF885,AM885)))</f>
        <v>0</v>
      </c>
      <c r="AO885" s="80">
        <f>AF885-AN885</f>
        <v>0</v>
      </c>
      <c r="AP885" s="80">
        <f>AM885-AN885</f>
        <v>0</v>
      </c>
      <c r="AQ885" s="80">
        <f>AD885-AM885-AO885</f>
        <v>0</v>
      </c>
      <c r="AR885" s="80">
        <f>IF(AM885=0,0,AK885-AN885*AK885/AM885)</f>
        <v>0</v>
      </c>
      <c r="AS885" s="80">
        <f>IF(AD885-AM885=0,0,(AJ885-AK885)-AO885*(AJ885-AK885)/(AD885-AM885))</f>
        <v>0</v>
      </c>
      <c r="AT885" s="80" t="str">
        <f>IF(AC885=1,INT(B885)+1,"")</f>
        <v/>
      </c>
      <c r="AU885" s="80">
        <f>IF(AND(D885="proMX",R885="Cancelled"),0,1)</f>
        <v>1</v>
      </c>
      <c r="AV885" s="80">
        <f>IF(AND(AB885=1,AU885=1),IF(COUNTIFS($D$5:D884,D885,$B$5:B884,B885,$Z$5:Z884,Z885,$AA$5:AA884,AA885,$F$5:F884,F885&amp;"",$AU$5:AU884,1)&gt;0,1,0),0)</f>
        <v>0</v>
      </c>
      <c r="AW885" s="80" t="str">
        <f>IF(AB885=1,INT(B885)*1440+Z885,"")</f>
        <v/>
      </c>
      <c r="AX885" s="80" t="str">
        <f>IF(AB885=1,AW885+AD885,"")</f>
        <v/>
      </c>
      <c r="AY885" s="80">
        <f>IF(AND(AB885=1,AV885=0,AU885=1),1,0)</f>
        <v>0</v>
      </c>
      <c r="AZ885" s="80">
        <f>IF(AY885=1,COUNTIFS(R_Emp,D885,R_SAbs,"&lt;"&amp;AX885,R_EAbs,"&gt;"&amp;AW885,R_OKey,1)-1,0)</f>
        <v>0</v>
      </c>
      <c r="BA885" s="80">
        <f>IF(AY885=1,COUNTIFS(R_Emp,"&lt;&gt;"&amp;D885,R_SAbs,"&lt;"&amp;AX885,R_EAbs,"&gt;"&amp;AW885,R_OKey,1),0)</f>
        <v>0</v>
      </c>
      <c r="BB885" s="80">
        <f>IF(AND(AB885=1,D885="proMX"),IF(AND(MOD(Z885,CFG_BLK)=0,MOD(AA885,CFG_BLK)=0,MOD(AG885,CFG_BLK)=0,AG885&gt;0),1,0),1)</f>
        <v>1</v>
      </c>
      <c r="BC885" s="80" t="str">
        <f>IF(Y885=0,"",IF(NOT(ISNUMBER(B885)),"Falta fecha o fecha inválida",IF(D885="","Falta empresa",IF(AND(D885&lt;&gt;"Malcolm",D885&lt;&gt;"proMX"),"Empresa inválida",IF(OR(INT(B885)&lt;CFG_PSTART,INT(B885)&gt;CFG_PEND),"Fecha fuera del período",IF(OR(NOT(ISNUMBER(Z885)),NOT(ISNUMBER(AA885))),"Falta hora inicio/fin o formato inválido",IF(AB885=0,"Hora inicio = hora fin",IF(AE885&lt;0,"Descanso inválido",IF(AE885&gt;=AD885,"Descanso ≥ duración",IF(AV885=1,"Registro duplicado",IF(AZ885&gt;0,"Se superpone con otro registro "&amp;D885,IF(BB885=0,"inicio, fin y duración neta deben ser múltiplos de "&amp;CFG_BLK&amp;" min",""))))))))))))</f>
        <v/>
      </c>
      <c r="BD885" s="80">
        <f>IF(AND(Y885=1,BC885=""),1,0)</f>
        <v>0</v>
      </c>
      <c r="BE885" s="80">
        <f>IF(AND(BD885=1,AU885=1),1,0)</f>
        <v>0</v>
      </c>
      <c r="BF885" s="80" t="str">
        <f>IF(AND(D885="proMX",BD885=1),IF(R885="","Draft",R885),"")</f>
        <v/>
      </c>
      <c r="BG885" s="80">
        <f>IF(BD885=1,ROUND(AG885/60,6),0)</f>
        <v>0</v>
      </c>
      <c r="BH885" s="80">
        <f>IF(BE885=1,ROUND(AG885/60,6),0)</f>
        <v>0</v>
      </c>
      <c r="BI885" s="80">
        <f>IF(BE885=1,ROUND(AP885/60,6),0)</f>
        <v>0</v>
      </c>
      <c r="BJ885" s="80">
        <f>IF(BE885=1,ROUND(AQ885/60,6),0)</f>
        <v>0</v>
      </c>
      <c r="BK885" s="80">
        <f>IF(BE885=1,ROUND((AR885+AS885)/60,6),0)</f>
        <v>0</v>
      </c>
      <c r="BL885" s="80">
        <f>ROUND(BH885-BK885,6)</f>
        <v>0</v>
      </c>
      <c r="BM885" s="80">
        <f>IF(BE885=1,ROUND(AR885/60,6),0)</f>
        <v>0</v>
      </c>
      <c r="BN885" s="80">
        <f>ROUND(BI885-BM885,6)</f>
        <v>0</v>
      </c>
      <c r="BO885" s="80">
        <f>IF(BE885=1,ROUND(AS885/60,6),0)</f>
        <v>0</v>
      </c>
      <c r="BP885" s="80">
        <f>ROUND(BJ885-BO885,6)</f>
        <v>0</v>
      </c>
      <c r="BQ885" s="80">
        <f>IF(BE885=1,AW885,0)</f>
        <v>0</v>
      </c>
      <c r="BR885" s="80">
        <f>IF(BE885=1,AX885,0)</f>
        <v>0</v>
      </c>
      <c r="BS885" s="80">
        <f>IF(AND(BE885=1,D885="Malcolm",BA885&gt;0),MIN(BH885,SUMPRODUCT((R_Emp="proMX")*(R_EN&gt;0)*((R_EN-(R_EN&gt;BR885)*(R_EN-BR885))&gt;(R_SN+(R_SN&lt;BQ885)*(BQ885-R_SN)))*((R_EN-(R_EN&gt;BR885)*(R_EN-BR885))-(R_SN+(R_SN&lt;BQ885)*(BQ885-R_SN))))/60),0)</f>
        <v>0</v>
      </c>
      <c r="BT885" s="80">
        <f>IF(AND(BE885=1,D885="proMX"),ROUND(BI885*CFG_RATE+BJ885*CFG_OTRATE,6),0)</f>
        <v>0</v>
      </c>
      <c r="BU885" s="80">
        <f>IF(AND(BD885=1,D885="proMX"),ROUND(AG885/CFG_BLK,6),0)</f>
        <v>0</v>
      </c>
      <c r="BV885" s="80" t="str">
        <f>IF(BF885="Approved",IF(ISNUMBER(T885),INT(T885),INT(B885)),"")</f>
        <v/>
      </c>
      <c r="BW885" s="80">
        <f>IF(ISNUMBER(B885),IF(DB_MON="Todos",1,IF(AND(INT(B885)&gt;=DB_MS,INT(B885)&lt;=DB_ME),1,0)),0)</f>
        <v>0</v>
      </c>
      <c r="BX885" s="80">
        <f>IF(DB_PROJ="Todos",1,IF(E885&amp;""=DB_PROJ&amp;"",1,0))</f>
        <v>1</v>
      </c>
      <c r="BY885" s="80">
        <f>BW885*BX885</f>
        <v>0</v>
      </c>
      <c r="BZ885" s="80" t="str">
        <f>IF(Y885=1,F885&amp;IF(AND(F885&amp;""&lt;&gt;"",E885&amp;""&lt;&gt;"")," · ","")&amp;E885,"")</f>
        <v/>
      </c>
      <c r="CA885" s="80" t="str">
        <f>IF(AND(BD885=1,E885&amp;""&lt;&gt;""),IF(COUNTIFS($E$5:E884,E885,$BD$5:BD884,1)=0,MAX($CA$5:CA884)+1,""),"")</f>
        <v/>
      </c>
      <c r="CB885" s="80" t="str">
        <f>IF(AND(BE885=1,D885="Malcolm",E885&amp;""&lt;&gt;""),IF(COUNTIFS($D$5:D884,"Malcolm",$E$5:E884,E885,$BE$5:BE884,1)=0,MAX($CB$5:CB884)+1,""),"")</f>
        <v/>
      </c>
      <c r="CC885" s="80" t="str">
        <f>IF(AND(BD885=1,D885="proMX",E885&amp;""&lt;&gt;""),IF(COUNTIFS($D$5:D884,"proMX",$E$5:E884,E885,$BD$5:BD884,1)=0,MAX($CC$5:CC884)+1,""),"")</f>
        <v/>
      </c>
      <c r="CD885" s="80" t="str">
        <f>IF(AND(BE885=1,D885="Malcolm",F885&amp;""&lt;&gt;""),IF(COUNTIFS($D$5:D884,"Malcolm",$F$5:F884,F885,$BE$5:BE884,1)=0,MAX($CD$5:CD884)+1,""),"")</f>
        <v/>
      </c>
      <c r="CE885" s="80" t="str">
        <f>IF(AND(BD885=1,D885="proMX",F885&amp;""&lt;&gt;""),IF(COUNTIFS($D$5:D884,"proMX",$F$5:F884,F885,$BD$5:BD884,1)=0,MAX($CE$5:CE884)+1,""),"")</f>
        <v/>
      </c>
      <c r="CF885" s="80" t="str">
        <f>IF(AND(D885="proMX",BD885=1),IF(OR(BF885="Draft",BF885="Submitted",BF885="Returned",BF885="Recall Requested"),MAX($CF$5:CF884)+1,""),"")</f>
        <v/>
      </c>
      <c r="CG885" s="80">
        <f>IF(BD885=0,0,IF(D885="Malcolm",1,MATCH(BF885,{"Draft","Submitted","Approved","Returned","Recall Requested","Cancelled"},0)+1))</f>
        <v>0</v>
      </c>
      <c r="CH885" s="80">
        <f>IF(AND(BF885="Submitted",ISNUMBER(V885)),IF(V885&gt;CFG_MAXD,1,0),0)</f>
        <v>0</v>
      </c>
    </row>
    <row r="886">
      <c r="A886" s="71" t="str">
        <f>IF(Y886=1,ROW()-5,"")</f>
        <v/>
      </c>
      <c r="B886" s="72" t="n"/>
      <c r="C886" s="71" t="str">
        <f>IF(ISNUMBER(B886),CHOOSE(WEEKDAY(B886,2),"Lun","Mar","Mié","Jue","Vie","Sáb","Dom"),"")</f>
        <v/>
      </c>
      <c r="D886" s="73" t="n"/>
      <c r="E886" s="74" t="n"/>
      <c r="F886" s="74" t="n"/>
      <c r="G886" s="74" t="n"/>
      <c r="H886" s="75" t="n"/>
      <c r="I886" s="75" t="n"/>
      <c r="J886" s="76" t="n"/>
      <c r="K886" s="77" t="str">
        <f>IF(AB886=1,ROUND(AG886/60,4),"")</f>
        <v/>
      </c>
      <c r="L886" s="77" t="str">
        <f>IF(BD886=1,ROUND(AP886/60,4),"")</f>
        <v/>
      </c>
      <c r="M886" s="77" t="str">
        <f>IF(BD886=1,ROUND(AQ886/60,4),"")</f>
        <v/>
      </c>
      <c r="N886" s="71" t="str">
        <f>IF(AND(D886="proMX",AB886=1),ROUND(AG886/CFG_BLK,2),"")</f>
        <v/>
      </c>
      <c r="O886" s="77" t="str">
        <f>IF(D886="proMX",IF(BD886=1,ROUND(AG886/60,4),0),"")</f>
        <v/>
      </c>
      <c r="P886" s="78" t="str">
        <f>IF(Y886=0,"",IF(BD886=1,"OK",IF(D886="proMX","Revisar bloques: ","Revisar: ")&amp;BC886))</f>
        <v/>
      </c>
      <c r="Q886" s="78" t="str">
        <f>IF(NOT(ISNUMBER(B886)),"",IF(COUNTIFS(FER_F,INT(B886))&gt;0,"Feriado"&amp;IF(AH886=1," (laborable)"," (no laborable)"),IF(AH886=1,"Laborable",IF(WEEKDAY(B886,2)&gt;5,"Fin de semana","No laborable"))))</f>
        <v/>
      </c>
      <c r="R886" s="73" t="n"/>
      <c r="S886" s="72" t="n"/>
      <c r="T886" s="72" t="n"/>
      <c r="U886" s="74" t="n"/>
      <c r="V886" s="79" t="str">
        <f>IF(AND(D886="proMX",OR(R886="Submitted",R886="Recall Requested"),ISNUMBER(S886)),CFG_TODAY-INT(S886),"")</f>
        <v/>
      </c>
      <c r="W886" s="78" t="str">
        <f>IF(BD886=0,"",IF(BA886&gt;0,"⚠ Se superpone con un registro de la otra empresa",IF(D886="Malcolm",IF(COUNTA(R886,S886,T886)&gt;0,"Estado/fechas proMX se ignoran en Malcolm",""),IF(BF886="Cancelled","Cancelado: excluido de totales",IF(R886="","Sin estado: se trata como Draft",IF(BF886="Submitted",IF(ISNUMBER(V886),IF(V886&gt;CFG_MAXD,"⚠ "&amp;V886&amp;" días en Submitted (máx. "&amp;CFG_MAXD&amp;")",""),"Falta fecha de envío"),IF(BF886="Returned","⚠ Devuelto: corregir y reenviar",IF(BF886="Recall Requested","Retirada solicitada: pendiente",IF(AND(BF886="Approved",NOT(ISNUMBER(T886))),"Falta fecha de aprobación",IF(AND(ISNUMBER(S886),ISNUMBER(T886),T886&lt;S886),"Aprobación anterior al envío","")))))))))</f>
        <v/>
      </c>
      <c r="Y886" s="80">
        <f>IF(COUNTA(B886,D886,E886,F886,G886,H886,I886,J886,R886,S886,T886)&gt;0,1,0)</f>
        <v>0</v>
      </c>
      <c r="Z886" s="80" t="str">
        <f>IF(AND(ISNUMBER(H886),H886&gt;=0,H886&lt;1),ROUND(H886*1440,0),"")</f>
        <v/>
      </c>
      <c r="AA886" s="80" t="str">
        <f>IF(AND(ISNUMBER(I886),I886&gt;=0,I886&lt;1),ROUND(I886*1440,0),"")</f>
        <v/>
      </c>
      <c r="AB886" s="80">
        <f>IF(AND(ISNUMBER(B886),D886&lt;&gt;"",ISNUMBER(Z886),ISNUMBER(AA886)),IF(Z886=AA886,0,1),0)</f>
        <v>0</v>
      </c>
      <c r="AC886" s="80">
        <f>IF(AB886=1,IF(AA886&lt;Z886,1,0),0)</f>
        <v>0</v>
      </c>
      <c r="AD886" s="80">
        <f>IF(AB886=1,IF(AC886=1,1440-Z886+AA886,AA886-Z886),0)</f>
        <v>0</v>
      </c>
      <c r="AE886" s="80">
        <f>IF(J886="",0,IF(ISNUMBER(J886),J886,-1))</f>
        <v>0</v>
      </c>
      <c r="AF886" s="80">
        <f>MIN(MAX(0,AE886),AD886)</f>
        <v>0</v>
      </c>
      <c r="AG886" s="80">
        <f>MAX(0,AD886-MAX(0,AE886))</f>
        <v>0</v>
      </c>
      <c r="AH886" s="80">
        <f>IF(ISNUMBER(B886),IF(AND(INDEX(CFG_WDAYS,WEEKDAY(INT(B886),2))="Sí",IF(D886="proMX",COUNTIFS(FER_F,INT(B886),FER_NLP,"Sí"),COUNTIFS(FER_F,INT(B886),FER_NLM,"Sí"))=0),1,0),0)</f>
        <v>0</v>
      </c>
      <c r="AI886" s="80">
        <f>IF(AC886=1,IF(AND(INDEX(CFG_WDAYS,WEEKDAY(INT(B886)+1,2))="Sí",IF(D886="proMX",COUNTIFS(FER_F,INT(B886)+1,FER_NLP,"Sí"),COUNTIFS(FER_F,INT(B886)+1,FER_NLM,"Sí"))=0),1,0),0)</f>
        <v>0</v>
      </c>
      <c r="AJ886" s="80">
        <f>IF(AC886=1,1440-Z886,AD886)</f>
        <v>0</v>
      </c>
      <c r="AK886" s="80">
        <f>IF(AND(AB886=1,AH886=1),MAX(0,MIN(IF(AC886=1,1440,AA886),CFG_WEM)-MAX(Z886,CFG_WSM)),0)</f>
        <v>0</v>
      </c>
      <c r="AL886" s="80">
        <f>IF(AND(AC886=1,AI886=1),MAX(0,MIN(AA886,CFG_WEM)-CFG_WSM),0)</f>
        <v>0</v>
      </c>
      <c r="AM886" s="80">
        <f>AK886+AL886</f>
        <v>0</v>
      </c>
      <c r="AN886" s="80">
        <f>IF(CFG_BRK="Proporcional",IF(AD886=0,0,AF886*AM886/AD886),IF(CFG_BRK="Extras primero",MIN(AM886,MAX(0,AF886-(AD886-AM886))),MIN(AF886,AM886)))</f>
        <v>0</v>
      </c>
      <c r="AO886" s="80">
        <f>AF886-AN886</f>
        <v>0</v>
      </c>
      <c r="AP886" s="80">
        <f>AM886-AN886</f>
        <v>0</v>
      </c>
      <c r="AQ886" s="80">
        <f>AD886-AM886-AO886</f>
        <v>0</v>
      </c>
      <c r="AR886" s="80">
        <f>IF(AM886=0,0,AK886-AN886*AK886/AM886)</f>
        <v>0</v>
      </c>
      <c r="AS886" s="80">
        <f>IF(AD886-AM886=0,0,(AJ886-AK886)-AO886*(AJ886-AK886)/(AD886-AM886))</f>
        <v>0</v>
      </c>
      <c r="AT886" s="80" t="str">
        <f>IF(AC886=1,INT(B886)+1,"")</f>
        <v/>
      </c>
      <c r="AU886" s="80">
        <f>IF(AND(D886="proMX",R886="Cancelled"),0,1)</f>
        <v>1</v>
      </c>
      <c r="AV886" s="80">
        <f>IF(AND(AB886=1,AU886=1),IF(COUNTIFS($D$5:D885,D886,$B$5:B885,B886,$Z$5:Z885,Z886,$AA$5:AA885,AA886,$F$5:F885,F886&amp;"",$AU$5:AU885,1)&gt;0,1,0),0)</f>
        <v>0</v>
      </c>
      <c r="AW886" s="80" t="str">
        <f>IF(AB886=1,INT(B886)*1440+Z886,"")</f>
        <v/>
      </c>
      <c r="AX886" s="80" t="str">
        <f>IF(AB886=1,AW886+AD886,"")</f>
        <v/>
      </c>
      <c r="AY886" s="80">
        <f>IF(AND(AB886=1,AV886=0,AU886=1),1,0)</f>
        <v>0</v>
      </c>
      <c r="AZ886" s="80">
        <f>IF(AY886=1,COUNTIFS(R_Emp,D886,R_SAbs,"&lt;"&amp;AX886,R_EAbs,"&gt;"&amp;AW886,R_OKey,1)-1,0)</f>
        <v>0</v>
      </c>
      <c r="BA886" s="80">
        <f>IF(AY886=1,COUNTIFS(R_Emp,"&lt;&gt;"&amp;D886,R_SAbs,"&lt;"&amp;AX886,R_EAbs,"&gt;"&amp;AW886,R_OKey,1),0)</f>
        <v>0</v>
      </c>
      <c r="BB886" s="80">
        <f>IF(AND(AB886=1,D886="proMX"),IF(AND(MOD(Z886,CFG_BLK)=0,MOD(AA886,CFG_BLK)=0,MOD(AG886,CFG_BLK)=0,AG886&gt;0),1,0),1)</f>
        <v>1</v>
      </c>
      <c r="BC886" s="80" t="str">
        <f>IF(Y886=0,"",IF(NOT(ISNUMBER(B886)),"Falta fecha o fecha inválida",IF(D886="","Falta empresa",IF(AND(D886&lt;&gt;"Malcolm",D886&lt;&gt;"proMX"),"Empresa inválida",IF(OR(INT(B886)&lt;CFG_PSTART,INT(B886)&gt;CFG_PEND),"Fecha fuera del período",IF(OR(NOT(ISNUMBER(Z886)),NOT(ISNUMBER(AA886))),"Falta hora inicio/fin o formato inválido",IF(AB886=0,"Hora inicio = hora fin",IF(AE886&lt;0,"Descanso inválido",IF(AE886&gt;=AD886,"Descanso ≥ duración",IF(AV886=1,"Registro duplicado",IF(AZ886&gt;0,"Se superpone con otro registro "&amp;D886,IF(BB886=0,"inicio, fin y duración neta deben ser múltiplos de "&amp;CFG_BLK&amp;" min",""))))))))))))</f>
        <v/>
      </c>
      <c r="BD886" s="80">
        <f>IF(AND(Y886=1,BC886=""),1,0)</f>
        <v>0</v>
      </c>
      <c r="BE886" s="80">
        <f>IF(AND(BD886=1,AU886=1),1,0)</f>
        <v>0</v>
      </c>
      <c r="BF886" s="80" t="str">
        <f>IF(AND(D886="proMX",BD886=1),IF(R886="","Draft",R886),"")</f>
        <v/>
      </c>
      <c r="BG886" s="80">
        <f>IF(BD886=1,ROUND(AG886/60,6),0)</f>
        <v>0</v>
      </c>
      <c r="BH886" s="80">
        <f>IF(BE886=1,ROUND(AG886/60,6),0)</f>
        <v>0</v>
      </c>
      <c r="BI886" s="80">
        <f>IF(BE886=1,ROUND(AP886/60,6),0)</f>
        <v>0</v>
      </c>
      <c r="BJ886" s="80">
        <f>IF(BE886=1,ROUND(AQ886/60,6),0)</f>
        <v>0</v>
      </c>
      <c r="BK886" s="80">
        <f>IF(BE886=1,ROUND((AR886+AS886)/60,6),0)</f>
        <v>0</v>
      </c>
      <c r="BL886" s="80">
        <f>ROUND(BH886-BK886,6)</f>
        <v>0</v>
      </c>
      <c r="BM886" s="80">
        <f>IF(BE886=1,ROUND(AR886/60,6),0)</f>
        <v>0</v>
      </c>
      <c r="BN886" s="80">
        <f>ROUND(BI886-BM886,6)</f>
        <v>0</v>
      </c>
      <c r="BO886" s="80">
        <f>IF(BE886=1,ROUND(AS886/60,6),0)</f>
        <v>0</v>
      </c>
      <c r="BP886" s="80">
        <f>ROUND(BJ886-BO886,6)</f>
        <v>0</v>
      </c>
      <c r="BQ886" s="80">
        <f>IF(BE886=1,AW886,0)</f>
        <v>0</v>
      </c>
      <c r="BR886" s="80">
        <f>IF(BE886=1,AX886,0)</f>
        <v>0</v>
      </c>
      <c r="BS886" s="80">
        <f>IF(AND(BE886=1,D886="Malcolm",BA886&gt;0),MIN(BH886,SUMPRODUCT((R_Emp="proMX")*(R_EN&gt;0)*((R_EN-(R_EN&gt;BR886)*(R_EN-BR886))&gt;(R_SN+(R_SN&lt;BQ886)*(BQ886-R_SN)))*((R_EN-(R_EN&gt;BR886)*(R_EN-BR886))-(R_SN+(R_SN&lt;BQ886)*(BQ886-R_SN))))/60),0)</f>
        <v>0</v>
      </c>
      <c r="BT886" s="80">
        <f>IF(AND(BE886=1,D886="proMX"),ROUND(BI886*CFG_RATE+BJ886*CFG_OTRATE,6),0)</f>
        <v>0</v>
      </c>
      <c r="BU886" s="80">
        <f>IF(AND(BD886=1,D886="proMX"),ROUND(AG886/CFG_BLK,6),0)</f>
        <v>0</v>
      </c>
      <c r="BV886" s="80" t="str">
        <f>IF(BF886="Approved",IF(ISNUMBER(T886),INT(T886),INT(B886)),"")</f>
        <v/>
      </c>
      <c r="BW886" s="80">
        <f>IF(ISNUMBER(B886),IF(DB_MON="Todos",1,IF(AND(INT(B886)&gt;=DB_MS,INT(B886)&lt;=DB_ME),1,0)),0)</f>
        <v>0</v>
      </c>
      <c r="BX886" s="80">
        <f>IF(DB_PROJ="Todos",1,IF(E886&amp;""=DB_PROJ&amp;"",1,0))</f>
        <v>1</v>
      </c>
      <c r="BY886" s="80">
        <f>BW886*BX886</f>
        <v>0</v>
      </c>
      <c r="BZ886" s="80" t="str">
        <f>IF(Y886=1,F886&amp;IF(AND(F886&amp;""&lt;&gt;"",E886&amp;""&lt;&gt;"")," · ","")&amp;E886,"")</f>
        <v/>
      </c>
      <c r="CA886" s="80" t="str">
        <f>IF(AND(BD886=1,E886&amp;""&lt;&gt;""),IF(COUNTIFS($E$5:E885,E886,$BD$5:BD885,1)=0,MAX($CA$5:CA885)+1,""),"")</f>
        <v/>
      </c>
      <c r="CB886" s="80" t="str">
        <f>IF(AND(BE886=1,D886="Malcolm",E886&amp;""&lt;&gt;""),IF(COUNTIFS($D$5:D885,"Malcolm",$E$5:E885,E886,$BE$5:BE885,1)=0,MAX($CB$5:CB885)+1,""),"")</f>
        <v/>
      </c>
      <c r="CC886" s="80" t="str">
        <f>IF(AND(BD886=1,D886="proMX",E886&amp;""&lt;&gt;""),IF(COUNTIFS($D$5:D885,"proMX",$E$5:E885,E886,$BD$5:BD885,1)=0,MAX($CC$5:CC885)+1,""),"")</f>
        <v/>
      </c>
      <c r="CD886" s="80" t="str">
        <f>IF(AND(BE886=1,D886="Malcolm",F886&amp;""&lt;&gt;""),IF(COUNTIFS($D$5:D885,"Malcolm",$F$5:F885,F886,$BE$5:BE885,1)=0,MAX($CD$5:CD885)+1,""),"")</f>
        <v/>
      </c>
      <c r="CE886" s="80" t="str">
        <f>IF(AND(BD886=1,D886="proMX",F886&amp;""&lt;&gt;""),IF(COUNTIFS($D$5:D885,"proMX",$F$5:F885,F886,$BD$5:BD885,1)=0,MAX($CE$5:CE885)+1,""),"")</f>
        <v/>
      </c>
      <c r="CF886" s="80" t="str">
        <f>IF(AND(D886="proMX",BD886=1),IF(OR(BF886="Draft",BF886="Submitted",BF886="Returned",BF886="Recall Requested"),MAX($CF$5:CF885)+1,""),"")</f>
        <v/>
      </c>
      <c r="CG886" s="80">
        <f>IF(BD886=0,0,IF(D886="Malcolm",1,MATCH(BF886,{"Draft","Submitted","Approved","Returned","Recall Requested","Cancelled"},0)+1))</f>
        <v>0</v>
      </c>
      <c r="CH886" s="80">
        <f>IF(AND(BF886="Submitted",ISNUMBER(V886)),IF(V886&gt;CFG_MAXD,1,0),0)</f>
        <v>0</v>
      </c>
    </row>
    <row r="887">
      <c r="A887" s="71" t="str">
        <f>IF(Y887=1,ROW()-5,"")</f>
        <v/>
      </c>
      <c r="B887" s="72" t="n"/>
      <c r="C887" s="71" t="str">
        <f>IF(ISNUMBER(B887),CHOOSE(WEEKDAY(B887,2),"Lun","Mar","Mié","Jue","Vie","Sáb","Dom"),"")</f>
        <v/>
      </c>
      <c r="D887" s="73" t="n"/>
      <c r="E887" s="74" t="n"/>
      <c r="F887" s="74" t="n"/>
      <c r="G887" s="74" t="n"/>
      <c r="H887" s="75" t="n"/>
      <c r="I887" s="75" t="n"/>
      <c r="J887" s="76" t="n"/>
      <c r="K887" s="77" t="str">
        <f>IF(AB887=1,ROUND(AG887/60,4),"")</f>
        <v/>
      </c>
      <c r="L887" s="77" t="str">
        <f>IF(BD887=1,ROUND(AP887/60,4),"")</f>
        <v/>
      </c>
      <c r="M887" s="77" t="str">
        <f>IF(BD887=1,ROUND(AQ887/60,4),"")</f>
        <v/>
      </c>
      <c r="N887" s="71" t="str">
        <f>IF(AND(D887="proMX",AB887=1),ROUND(AG887/CFG_BLK,2),"")</f>
        <v/>
      </c>
      <c r="O887" s="77" t="str">
        <f>IF(D887="proMX",IF(BD887=1,ROUND(AG887/60,4),0),"")</f>
        <v/>
      </c>
      <c r="P887" s="78" t="str">
        <f>IF(Y887=0,"",IF(BD887=1,"OK",IF(D887="proMX","Revisar bloques: ","Revisar: ")&amp;BC887))</f>
        <v/>
      </c>
      <c r="Q887" s="78" t="str">
        <f>IF(NOT(ISNUMBER(B887)),"",IF(COUNTIFS(FER_F,INT(B887))&gt;0,"Feriado"&amp;IF(AH887=1," (laborable)"," (no laborable)"),IF(AH887=1,"Laborable",IF(WEEKDAY(B887,2)&gt;5,"Fin de semana","No laborable"))))</f>
        <v/>
      </c>
      <c r="R887" s="73" t="n"/>
      <c r="S887" s="72" t="n"/>
      <c r="T887" s="72" t="n"/>
      <c r="U887" s="74" t="n"/>
      <c r="V887" s="79" t="str">
        <f>IF(AND(D887="proMX",OR(R887="Submitted",R887="Recall Requested"),ISNUMBER(S887)),CFG_TODAY-INT(S887),"")</f>
        <v/>
      </c>
      <c r="W887" s="78" t="str">
        <f>IF(BD887=0,"",IF(BA887&gt;0,"⚠ Se superpone con un registro de la otra empresa",IF(D887="Malcolm",IF(COUNTA(R887,S887,T887)&gt;0,"Estado/fechas proMX se ignoran en Malcolm",""),IF(BF887="Cancelled","Cancelado: excluido de totales",IF(R887="","Sin estado: se trata como Draft",IF(BF887="Submitted",IF(ISNUMBER(V887),IF(V887&gt;CFG_MAXD,"⚠ "&amp;V887&amp;" días en Submitted (máx. "&amp;CFG_MAXD&amp;")",""),"Falta fecha de envío"),IF(BF887="Returned","⚠ Devuelto: corregir y reenviar",IF(BF887="Recall Requested","Retirada solicitada: pendiente",IF(AND(BF887="Approved",NOT(ISNUMBER(T887))),"Falta fecha de aprobación",IF(AND(ISNUMBER(S887),ISNUMBER(T887),T887&lt;S887),"Aprobación anterior al envío","")))))))))</f>
        <v/>
      </c>
      <c r="Y887" s="80">
        <f>IF(COUNTA(B887,D887,E887,F887,G887,H887,I887,J887,R887,S887,T887)&gt;0,1,0)</f>
        <v>0</v>
      </c>
      <c r="Z887" s="80" t="str">
        <f>IF(AND(ISNUMBER(H887),H887&gt;=0,H887&lt;1),ROUND(H887*1440,0),"")</f>
        <v/>
      </c>
      <c r="AA887" s="80" t="str">
        <f>IF(AND(ISNUMBER(I887),I887&gt;=0,I887&lt;1),ROUND(I887*1440,0),"")</f>
        <v/>
      </c>
      <c r="AB887" s="80">
        <f>IF(AND(ISNUMBER(B887),D887&lt;&gt;"",ISNUMBER(Z887),ISNUMBER(AA887)),IF(Z887=AA887,0,1),0)</f>
        <v>0</v>
      </c>
      <c r="AC887" s="80">
        <f>IF(AB887=1,IF(AA887&lt;Z887,1,0),0)</f>
        <v>0</v>
      </c>
      <c r="AD887" s="80">
        <f>IF(AB887=1,IF(AC887=1,1440-Z887+AA887,AA887-Z887),0)</f>
        <v>0</v>
      </c>
      <c r="AE887" s="80">
        <f>IF(J887="",0,IF(ISNUMBER(J887),J887,-1))</f>
        <v>0</v>
      </c>
      <c r="AF887" s="80">
        <f>MIN(MAX(0,AE887),AD887)</f>
        <v>0</v>
      </c>
      <c r="AG887" s="80">
        <f>MAX(0,AD887-MAX(0,AE887))</f>
        <v>0</v>
      </c>
      <c r="AH887" s="80">
        <f>IF(ISNUMBER(B887),IF(AND(INDEX(CFG_WDAYS,WEEKDAY(INT(B887),2))="Sí",IF(D887="proMX",COUNTIFS(FER_F,INT(B887),FER_NLP,"Sí"),COUNTIFS(FER_F,INT(B887),FER_NLM,"Sí"))=0),1,0),0)</f>
        <v>0</v>
      </c>
      <c r="AI887" s="80">
        <f>IF(AC887=1,IF(AND(INDEX(CFG_WDAYS,WEEKDAY(INT(B887)+1,2))="Sí",IF(D887="proMX",COUNTIFS(FER_F,INT(B887)+1,FER_NLP,"Sí"),COUNTIFS(FER_F,INT(B887)+1,FER_NLM,"Sí"))=0),1,0),0)</f>
        <v>0</v>
      </c>
      <c r="AJ887" s="80">
        <f>IF(AC887=1,1440-Z887,AD887)</f>
        <v>0</v>
      </c>
      <c r="AK887" s="80">
        <f>IF(AND(AB887=1,AH887=1),MAX(0,MIN(IF(AC887=1,1440,AA887),CFG_WEM)-MAX(Z887,CFG_WSM)),0)</f>
        <v>0</v>
      </c>
      <c r="AL887" s="80">
        <f>IF(AND(AC887=1,AI887=1),MAX(0,MIN(AA887,CFG_WEM)-CFG_WSM),0)</f>
        <v>0</v>
      </c>
      <c r="AM887" s="80">
        <f>AK887+AL887</f>
        <v>0</v>
      </c>
      <c r="AN887" s="80">
        <f>IF(CFG_BRK="Proporcional",IF(AD887=0,0,AF887*AM887/AD887),IF(CFG_BRK="Extras primero",MIN(AM887,MAX(0,AF887-(AD887-AM887))),MIN(AF887,AM887)))</f>
        <v>0</v>
      </c>
      <c r="AO887" s="80">
        <f>AF887-AN887</f>
        <v>0</v>
      </c>
      <c r="AP887" s="80">
        <f>AM887-AN887</f>
        <v>0</v>
      </c>
      <c r="AQ887" s="80">
        <f>AD887-AM887-AO887</f>
        <v>0</v>
      </c>
      <c r="AR887" s="80">
        <f>IF(AM887=0,0,AK887-AN887*AK887/AM887)</f>
        <v>0</v>
      </c>
      <c r="AS887" s="80">
        <f>IF(AD887-AM887=0,0,(AJ887-AK887)-AO887*(AJ887-AK887)/(AD887-AM887))</f>
        <v>0</v>
      </c>
      <c r="AT887" s="80" t="str">
        <f>IF(AC887=1,INT(B887)+1,"")</f>
        <v/>
      </c>
      <c r="AU887" s="80">
        <f>IF(AND(D887="proMX",R887="Cancelled"),0,1)</f>
        <v>1</v>
      </c>
      <c r="AV887" s="80">
        <f>IF(AND(AB887=1,AU887=1),IF(COUNTIFS($D$5:D886,D887,$B$5:B886,B887,$Z$5:Z886,Z887,$AA$5:AA886,AA887,$F$5:F886,F887&amp;"",$AU$5:AU886,1)&gt;0,1,0),0)</f>
        <v>0</v>
      </c>
      <c r="AW887" s="80" t="str">
        <f>IF(AB887=1,INT(B887)*1440+Z887,"")</f>
        <v/>
      </c>
      <c r="AX887" s="80" t="str">
        <f>IF(AB887=1,AW887+AD887,"")</f>
        <v/>
      </c>
      <c r="AY887" s="80">
        <f>IF(AND(AB887=1,AV887=0,AU887=1),1,0)</f>
        <v>0</v>
      </c>
      <c r="AZ887" s="80">
        <f>IF(AY887=1,COUNTIFS(R_Emp,D887,R_SAbs,"&lt;"&amp;AX887,R_EAbs,"&gt;"&amp;AW887,R_OKey,1)-1,0)</f>
        <v>0</v>
      </c>
      <c r="BA887" s="80">
        <f>IF(AY887=1,COUNTIFS(R_Emp,"&lt;&gt;"&amp;D887,R_SAbs,"&lt;"&amp;AX887,R_EAbs,"&gt;"&amp;AW887,R_OKey,1),0)</f>
        <v>0</v>
      </c>
      <c r="BB887" s="80">
        <f>IF(AND(AB887=1,D887="proMX"),IF(AND(MOD(Z887,CFG_BLK)=0,MOD(AA887,CFG_BLK)=0,MOD(AG887,CFG_BLK)=0,AG887&gt;0),1,0),1)</f>
        <v>1</v>
      </c>
      <c r="BC887" s="80" t="str">
        <f>IF(Y887=0,"",IF(NOT(ISNUMBER(B887)),"Falta fecha o fecha inválida",IF(D887="","Falta empresa",IF(AND(D887&lt;&gt;"Malcolm",D887&lt;&gt;"proMX"),"Empresa inválida",IF(OR(INT(B887)&lt;CFG_PSTART,INT(B887)&gt;CFG_PEND),"Fecha fuera del período",IF(OR(NOT(ISNUMBER(Z887)),NOT(ISNUMBER(AA887))),"Falta hora inicio/fin o formato inválido",IF(AB887=0,"Hora inicio = hora fin",IF(AE887&lt;0,"Descanso inválido",IF(AE887&gt;=AD887,"Descanso ≥ duración",IF(AV887=1,"Registro duplicado",IF(AZ887&gt;0,"Se superpone con otro registro "&amp;D887,IF(BB887=0,"inicio, fin y duración neta deben ser múltiplos de "&amp;CFG_BLK&amp;" min",""))))))))))))</f>
        <v/>
      </c>
      <c r="BD887" s="80">
        <f>IF(AND(Y887=1,BC887=""),1,0)</f>
        <v>0</v>
      </c>
      <c r="BE887" s="80">
        <f>IF(AND(BD887=1,AU887=1),1,0)</f>
        <v>0</v>
      </c>
      <c r="BF887" s="80" t="str">
        <f>IF(AND(D887="proMX",BD887=1),IF(R887="","Draft",R887),"")</f>
        <v/>
      </c>
      <c r="BG887" s="80">
        <f>IF(BD887=1,ROUND(AG887/60,6),0)</f>
        <v>0</v>
      </c>
      <c r="BH887" s="80">
        <f>IF(BE887=1,ROUND(AG887/60,6),0)</f>
        <v>0</v>
      </c>
      <c r="BI887" s="80">
        <f>IF(BE887=1,ROUND(AP887/60,6),0)</f>
        <v>0</v>
      </c>
      <c r="BJ887" s="80">
        <f>IF(BE887=1,ROUND(AQ887/60,6),0)</f>
        <v>0</v>
      </c>
      <c r="BK887" s="80">
        <f>IF(BE887=1,ROUND((AR887+AS887)/60,6),0)</f>
        <v>0</v>
      </c>
      <c r="BL887" s="80">
        <f>ROUND(BH887-BK887,6)</f>
        <v>0</v>
      </c>
      <c r="BM887" s="80">
        <f>IF(BE887=1,ROUND(AR887/60,6),0)</f>
        <v>0</v>
      </c>
      <c r="BN887" s="80">
        <f>ROUND(BI887-BM887,6)</f>
        <v>0</v>
      </c>
      <c r="BO887" s="80">
        <f>IF(BE887=1,ROUND(AS887/60,6),0)</f>
        <v>0</v>
      </c>
      <c r="BP887" s="80">
        <f>ROUND(BJ887-BO887,6)</f>
        <v>0</v>
      </c>
      <c r="BQ887" s="80">
        <f>IF(BE887=1,AW887,0)</f>
        <v>0</v>
      </c>
      <c r="BR887" s="80">
        <f>IF(BE887=1,AX887,0)</f>
        <v>0</v>
      </c>
      <c r="BS887" s="80">
        <f>IF(AND(BE887=1,D887="Malcolm",BA887&gt;0),MIN(BH887,SUMPRODUCT((R_Emp="proMX")*(R_EN&gt;0)*((R_EN-(R_EN&gt;BR887)*(R_EN-BR887))&gt;(R_SN+(R_SN&lt;BQ887)*(BQ887-R_SN)))*((R_EN-(R_EN&gt;BR887)*(R_EN-BR887))-(R_SN+(R_SN&lt;BQ887)*(BQ887-R_SN))))/60),0)</f>
        <v>0</v>
      </c>
      <c r="BT887" s="80">
        <f>IF(AND(BE887=1,D887="proMX"),ROUND(BI887*CFG_RATE+BJ887*CFG_OTRATE,6),0)</f>
        <v>0</v>
      </c>
      <c r="BU887" s="80">
        <f>IF(AND(BD887=1,D887="proMX"),ROUND(AG887/CFG_BLK,6),0)</f>
        <v>0</v>
      </c>
      <c r="BV887" s="80" t="str">
        <f>IF(BF887="Approved",IF(ISNUMBER(T887),INT(T887),INT(B887)),"")</f>
        <v/>
      </c>
      <c r="BW887" s="80">
        <f>IF(ISNUMBER(B887),IF(DB_MON="Todos",1,IF(AND(INT(B887)&gt;=DB_MS,INT(B887)&lt;=DB_ME),1,0)),0)</f>
        <v>0</v>
      </c>
      <c r="BX887" s="80">
        <f>IF(DB_PROJ="Todos",1,IF(E887&amp;""=DB_PROJ&amp;"",1,0))</f>
        <v>1</v>
      </c>
      <c r="BY887" s="80">
        <f>BW887*BX887</f>
        <v>0</v>
      </c>
      <c r="BZ887" s="80" t="str">
        <f>IF(Y887=1,F887&amp;IF(AND(F887&amp;""&lt;&gt;"",E887&amp;""&lt;&gt;"")," · ","")&amp;E887,"")</f>
        <v/>
      </c>
      <c r="CA887" s="80" t="str">
        <f>IF(AND(BD887=1,E887&amp;""&lt;&gt;""),IF(COUNTIFS($E$5:E886,E887,$BD$5:BD886,1)=0,MAX($CA$5:CA886)+1,""),"")</f>
        <v/>
      </c>
      <c r="CB887" s="80" t="str">
        <f>IF(AND(BE887=1,D887="Malcolm",E887&amp;""&lt;&gt;""),IF(COUNTIFS($D$5:D886,"Malcolm",$E$5:E886,E887,$BE$5:BE886,1)=0,MAX($CB$5:CB886)+1,""),"")</f>
        <v/>
      </c>
      <c r="CC887" s="80" t="str">
        <f>IF(AND(BD887=1,D887="proMX",E887&amp;""&lt;&gt;""),IF(COUNTIFS($D$5:D886,"proMX",$E$5:E886,E887,$BD$5:BD886,1)=0,MAX($CC$5:CC886)+1,""),"")</f>
        <v/>
      </c>
      <c r="CD887" s="80" t="str">
        <f>IF(AND(BE887=1,D887="Malcolm",F887&amp;""&lt;&gt;""),IF(COUNTIFS($D$5:D886,"Malcolm",$F$5:F886,F887,$BE$5:BE886,1)=0,MAX($CD$5:CD886)+1,""),"")</f>
        <v/>
      </c>
      <c r="CE887" s="80" t="str">
        <f>IF(AND(BD887=1,D887="proMX",F887&amp;""&lt;&gt;""),IF(COUNTIFS($D$5:D886,"proMX",$F$5:F886,F887,$BD$5:BD886,1)=0,MAX($CE$5:CE886)+1,""),"")</f>
        <v/>
      </c>
      <c r="CF887" s="80" t="str">
        <f>IF(AND(D887="proMX",BD887=1),IF(OR(BF887="Draft",BF887="Submitted",BF887="Returned",BF887="Recall Requested"),MAX($CF$5:CF886)+1,""),"")</f>
        <v/>
      </c>
      <c r="CG887" s="80">
        <f>IF(BD887=0,0,IF(D887="Malcolm",1,MATCH(BF887,{"Draft","Submitted","Approved","Returned","Recall Requested","Cancelled"},0)+1))</f>
        <v>0</v>
      </c>
      <c r="CH887" s="80">
        <f>IF(AND(BF887="Submitted",ISNUMBER(V887)),IF(V887&gt;CFG_MAXD,1,0),0)</f>
        <v>0</v>
      </c>
    </row>
    <row r="888">
      <c r="A888" s="71" t="str">
        <f>IF(Y888=1,ROW()-5,"")</f>
        <v/>
      </c>
      <c r="B888" s="72" t="n"/>
      <c r="C888" s="71" t="str">
        <f>IF(ISNUMBER(B888),CHOOSE(WEEKDAY(B888,2),"Lun","Mar","Mié","Jue","Vie","Sáb","Dom"),"")</f>
        <v/>
      </c>
      <c r="D888" s="73" t="n"/>
      <c r="E888" s="74" t="n"/>
      <c r="F888" s="74" t="n"/>
      <c r="G888" s="74" t="n"/>
      <c r="H888" s="75" t="n"/>
      <c r="I888" s="75" t="n"/>
      <c r="J888" s="76" t="n"/>
      <c r="K888" s="77" t="str">
        <f>IF(AB888=1,ROUND(AG888/60,4),"")</f>
        <v/>
      </c>
      <c r="L888" s="77" t="str">
        <f>IF(BD888=1,ROUND(AP888/60,4),"")</f>
        <v/>
      </c>
      <c r="M888" s="77" t="str">
        <f>IF(BD888=1,ROUND(AQ888/60,4),"")</f>
        <v/>
      </c>
      <c r="N888" s="71" t="str">
        <f>IF(AND(D888="proMX",AB888=1),ROUND(AG888/CFG_BLK,2),"")</f>
        <v/>
      </c>
      <c r="O888" s="77" t="str">
        <f>IF(D888="proMX",IF(BD888=1,ROUND(AG888/60,4),0),"")</f>
        <v/>
      </c>
      <c r="P888" s="78" t="str">
        <f>IF(Y888=0,"",IF(BD888=1,"OK",IF(D888="proMX","Revisar bloques: ","Revisar: ")&amp;BC888))</f>
        <v/>
      </c>
      <c r="Q888" s="78" t="str">
        <f>IF(NOT(ISNUMBER(B888)),"",IF(COUNTIFS(FER_F,INT(B888))&gt;0,"Feriado"&amp;IF(AH888=1," (laborable)"," (no laborable)"),IF(AH888=1,"Laborable",IF(WEEKDAY(B888,2)&gt;5,"Fin de semana","No laborable"))))</f>
        <v/>
      </c>
      <c r="R888" s="73" t="n"/>
      <c r="S888" s="72" t="n"/>
      <c r="T888" s="72" t="n"/>
      <c r="U888" s="74" t="n"/>
      <c r="V888" s="79" t="str">
        <f>IF(AND(D888="proMX",OR(R888="Submitted",R888="Recall Requested"),ISNUMBER(S888)),CFG_TODAY-INT(S888),"")</f>
        <v/>
      </c>
      <c r="W888" s="78" t="str">
        <f>IF(BD888=0,"",IF(BA888&gt;0,"⚠ Se superpone con un registro de la otra empresa",IF(D888="Malcolm",IF(COUNTA(R888,S888,T888)&gt;0,"Estado/fechas proMX se ignoran en Malcolm",""),IF(BF888="Cancelled","Cancelado: excluido de totales",IF(R888="","Sin estado: se trata como Draft",IF(BF888="Submitted",IF(ISNUMBER(V888),IF(V888&gt;CFG_MAXD,"⚠ "&amp;V888&amp;" días en Submitted (máx. "&amp;CFG_MAXD&amp;")",""),"Falta fecha de envío"),IF(BF888="Returned","⚠ Devuelto: corregir y reenviar",IF(BF888="Recall Requested","Retirada solicitada: pendiente",IF(AND(BF888="Approved",NOT(ISNUMBER(T888))),"Falta fecha de aprobación",IF(AND(ISNUMBER(S888),ISNUMBER(T888),T888&lt;S888),"Aprobación anterior al envío","")))))))))</f>
        <v/>
      </c>
      <c r="Y888" s="80">
        <f>IF(COUNTA(B888,D888,E888,F888,G888,H888,I888,J888,R888,S888,T888)&gt;0,1,0)</f>
        <v>0</v>
      </c>
      <c r="Z888" s="80" t="str">
        <f>IF(AND(ISNUMBER(H888),H888&gt;=0,H888&lt;1),ROUND(H888*1440,0),"")</f>
        <v/>
      </c>
      <c r="AA888" s="80" t="str">
        <f>IF(AND(ISNUMBER(I888),I888&gt;=0,I888&lt;1),ROUND(I888*1440,0),"")</f>
        <v/>
      </c>
      <c r="AB888" s="80">
        <f>IF(AND(ISNUMBER(B888),D888&lt;&gt;"",ISNUMBER(Z888),ISNUMBER(AA888)),IF(Z888=AA888,0,1),0)</f>
        <v>0</v>
      </c>
      <c r="AC888" s="80">
        <f>IF(AB888=1,IF(AA888&lt;Z888,1,0),0)</f>
        <v>0</v>
      </c>
      <c r="AD888" s="80">
        <f>IF(AB888=1,IF(AC888=1,1440-Z888+AA888,AA888-Z888),0)</f>
        <v>0</v>
      </c>
      <c r="AE888" s="80">
        <f>IF(J888="",0,IF(ISNUMBER(J888),J888,-1))</f>
        <v>0</v>
      </c>
      <c r="AF888" s="80">
        <f>MIN(MAX(0,AE888),AD888)</f>
        <v>0</v>
      </c>
      <c r="AG888" s="80">
        <f>MAX(0,AD888-MAX(0,AE888))</f>
        <v>0</v>
      </c>
      <c r="AH888" s="80">
        <f>IF(ISNUMBER(B888),IF(AND(INDEX(CFG_WDAYS,WEEKDAY(INT(B888),2))="Sí",IF(D888="proMX",COUNTIFS(FER_F,INT(B888),FER_NLP,"Sí"),COUNTIFS(FER_F,INT(B888),FER_NLM,"Sí"))=0),1,0),0)</f>
        <v>0</v>
      </c>
      <c r="AI888" s="80">
        <f>IF(AC888=1,IF(AND(INDEX(CFG_WDAYS,WEEKDAY(INT(B888)+1,2))="Sí",IF(D888="proMX",COUNTIFS(FER_F,INT(B888)+1,FER_NLP,"Sí"),COUNTIFS(FER_F,INT(B888)+1,FER_NLM,"Sí"))=0),1,0),0)</f>
        <v>0</v>
      </c>
      <c r="AJ888" s="80">
        <f>IF(AC888=1,1440-Z888,AD888)</f>
        <v>0</v>
      </c>
      <c r="AK888" s="80">
        <f>IF(AND(AB888=1,AH888=1),MAX(0,MIN(IF(AC888=1,1440,AA888),CFG_WEM)-MAX(Z888,CFG_WSM)),0)</f>
        <v>0</v>
      </c>
      <c r="AL888" s="80">
        <f>IF(AND(AC888=1,AI888=1),MAX(0,MIN(AA888,CFG_WEM)-CFG_WSM),0)</f>
        <v>0</v>
      </c>
      <c r="AM888" s="80">
        <f>AK888+AL888</f>
        <v>0</v>
      </c>
      <c r="AN888" s="80">
        <f>IF(CFG_BRK="Proporcional",IF(AD888=0,0,AF888*AM888/AD888),IF(CFG_BRK="Extras primero",MIN(AM888,MAX(0,AF888-(AD888-AM888))),MIN(AF888,AM888)))</f>
        <v>0</v>
      </c>
      <c r="AO888" s="80">
        <f>AF888-AN888</f>
        <v>0</v>
      </c>
      <c r="AP888" s="80">
        <f>AM888-AN888</f>
        <v>0</v>
      </c>
      <c r="AQ888" s="80">
        <f>AD888-AM888-AO888</f>
        <v>0</v>
      </c>
      <c r="AR888" s="80">
        <f>IF(AM888=0,0,AK888-AN888*AK888/AM888)</f>
        <v>0</v>
      </c>
      <c r="AS888" s="80">
        <f>IF(AD888-AM888=0,0,(AJ888-AK888)-AO888*(AJ888-AK888)/(AD888-AM888))</f>
        <v>0</v>
      </c>
      <c r="AT888" s="80" t="str">
        <f>IF(AC888=1,INT(B888)+1,"")</f>
        <v/>
      </c>
      <c r="AU888" s="80">
        <f>IF(AND(D888="proMX",R888="Cancelled"),0,1)</f>
        <v>1</v>
      </c>
      <c r="AV888" s="80">
        <f>IF(AND(AB888=1,AU888=1),IF(COUNTIFS($D$5:D887,D888,$B$5:B887,B888,$Z$5:Z887,Z888,$AA$5:AA887,AA888,$F$5:F887,F888&amp;"",$AU$5:AU887,1)&gt;0,1,0),0)</f>
        <v>0</v>
      </c>
      <c r="AW888" s="80" t="str">
        <f>IF(AB888=1,INT(B888)*1440+Z888,"")</f>
        <v/>
      </c>
      <c r="AX888" s="80" t="str">
        <f>IF(AB888=1,AW888+AD888,"")</f>
        <v/>
      </c>
      <c r="AY888" s="80">
        <f>IF(AND(AB888=1,AV888=0,AU888=1),1,0)</f>
        <v>0</v>
      </c>
      <c r="AZ888" s="80">
        <f>IF(AY888=1,COUNTIFS(R_Emp,D888,R_SAbs,"&lt;"&amp;AX888,R_EAbs,"&gt;"&amp;AW888,R_OKey,1)-1,0)</f>
        <v>0</v>
      </c>
      <c r="BA888" s="80">
        <f>IF(AY888=1,COUNTIFS(R_Emp,"&lt;&gt;"&amp;D888,R_SAbs,"&lt;"&amp;AX888,R_EAbs,"&gt;"&amp;AW888,R_OKey,1),0)</f>
        <v>0</v>
      </c>
      <c r="BB888" s="80">
        <f>IF(AND(AB888=1,D888="proMX"),IF(AND(MOD(Z888,CFG_BLK)=0,MOD(AA888,CFG_BLK)=0,MOD(AG888,CFG_BLK)=0,AG888&gt;0),1,0),1)</f>
        <v>1</v>
      </c>
      <c r="BC888" s="80" t="str">
        <f>IF(Y888=0,"",IF(NOT(ISNUMBER(B888)),"Falta fecha o fecha inválida",IF(D888="","Falta empresa",IF(AND(D888&lt;&gt;"Malcolm",D888&lt;&gt;"proMX"),"Empresa inválida",IF(OR(INT(B888)&lt;CFG_PSTART,INT(B888)&gt;CFG_PEND),"Fecha fuera del período",IF(OR(NOT(ISNUMBER(Z888)),NOT(ISNUMBER(AA888))),"Falta hora inicio/fin o formato inválido",IF(AB888=0,"Hora inicio = hora fin",IF(AE888&lt;0,"Descanso inválido",IF(AE888&gt;=AD888,"Descanso ≥ duración",IF(AV888=1,"Registro duplicado",IF(AZ888&gt;0,"Se superpone con otro registro "&amp;D888,IF(BB888=0,"inicio, fin y duración neta deben ser múltiplos de "&amp;CFG_BLK&amp;" min",""))))))))))))</f>
        <v/>
      </c>
      <c r="BD888" s="80">
        <f>IF(AND(Y888=1,BC888=""),1,0)</f>
        <v>0</v>
      </c>
      <c r="BE888" s="80">
        <f>IF(AND(BD888=1,AU888=1),1,0)</f>
        <v>0</v>
      </c>
      <c r="BF888" s="80" t="str">
        <f>IF(AND(D888="proMX",BD888=1),IF(R888="","Draft",R888),"")</f>
        <v/>
      </c>
      <c r="BG888" s="80">
        <f>IF(BD888=1,ROUND(AG888/60,6),0)</f>
        <v>0</v>
      </c>
      <c r="BH888" s="80">
        <f>IF(BE888=1,ROUND(AG888/60,6),0)</f>
        <v>0</v>
      </c>
      <c r="BI888" s="80">
        <f>IF(BE888=1,ROUND(AP888/60,6),0)</f>
        <v>0</v>
      </c>
      <c r="BJ888" s="80">
        <f>IF(BE888=1,ROUND(AQ888/60,6),0)</f>
        <v>0</v>
      </c>
      <c r="BK888" s="80">
        <f>IF(BE888=1,ROUND((AR888+AS888)/60,6),0)</f>
        <v>0</v>
      </c>
      <c r="BL888" s="80">
        <f>ROUND(BH888-BK888,6)</f>
        <v>0</v>
      </c>
      <c r="BM888" s="80">
        <f>IF(BE888=1,ROUND(AR888/60,6),0)</f>
        <v>0</v>
      </c>
      <c r="BN888" s="80">
        <f>ROUND(BI888-BM888,6)</f>
        <v>0</v>
      </c>
      <c r="BO888" s="80">
        <f>IF(BE888=1,ROUND(AS888/60,6),0)</f>
        <v>0</v>
      </c>
      <c r="BP888" s="80">
        <f>ROUND(BJ888-BO888,6)</f>
        <v>0</v>
      </c>
      <c r="BQ888" s="80">
        <f>IF(BE888=1,AW888,0)</f>
        <v>0</v>
      </c>
      <c r="BR888" s="80">
        <f>IF(BE888=1,AX888,0)</f>
        <v>0</v>
      </c>
      <c r="BS888" s="80">
        <f>IF(AND(BE888=1,D888="Malcolm",BA888&gt;0),MIN(BH888,SUMPRODUCT((R_Emp="proMX")*(R_EN&gt;0)*((R_EN-(R_EN&gt;BR888)*(R_EN-BR888))&gt;(R_SN+(R_SN&lt;BQ888)*(BQ888-R_SN)))*((R_EN-(R_EN&gt;BR888)*(R_EN-BR888))-(R_SN+(R_SN&lt;BQ888)*(BQ888-R_SN))))/60),0)</f>
        <v>0</v>
      </c>
      <c r="BT888" s="80">
        <f>IF(AND(BE888=1,D888="proMX"),ROUND(BI888*CFG_RATE+BJ888*CFG_OTRATE,6),0)</f>
        <v>0</v>
      </c>
      <c r="BU888" s="80">
        <f>IF(AND(BD888=1,D888="proMX"),ROUND(AG888/CFG_BLK,6),0)</f>
        <v>0</v>
      </c>
      <c r="BV888" s="80" t="str">
        <f>IF(BF888="Approved",IF(ISNUMBER(T888),INT(T888),INT(B888)),"")</f>
        <v/>
      </c>
      <c r="BW888" s="80">
        <f>IF(ISNUMBER(B888),IF(DB_MON="Todos",1,IF(AND(INT(B888)&gt;=DB_MS,INT(B888)&lt;=DB_ME),1,0)),0)</f>
        <v>0</v>
      </c>
      <c r="BX888" s="80">
        <f>IF(DB_PROJ="Todos",1,IF(E888&amp;""=DB_PROJ&amp;"",1,0))</f>
        <v>1</v>
      </c>
      <c r="BY888" s="80">
        <f>BW888*BX888</f>
        <v>0</v>
      </c>
      <c r="BZ888" s="80" t="str">
        <f>IF(Y888=1,F888&amp;IF(AND(F888&amp;""&lt;&gt;"",E888&amp;""&lt;&gt;"")," · ","")&amp;E888,"")</f>
        <v/>
      </c>
      <c r="CA888" s="80" t="str">
        <f>IF(AND(BD888=1,E888&amp;""&lt;&gt;""),IF(COUNTIFS($E$5:E887,E888,$BD$5:BD887,1)=0,MAX($CA$5:CA887)+1,""),"")</f>
        <v/>
      </c>
      <c r="CB888" s="80" t="str">
        <f>IF(AND(BE888=1,D888="Malcolm",E888&amp;""&lt;&gt;""),IF(COUNTIFS($D$5:D887,"Malcolm",$E$5:E887,E888,$BE$5:BE887,1)=0,MAX($CB$5:CB887)+1,""),"")</f>
        <v/>
      </c>
      <c r="CC888" s="80" t="str">
        <f>IF(AND(BD888=1,D888="proMX",E888&amp;""&lt;&gt;""),IF(COUNTIFS($D$5:D887,"proMX",$E$5:E887,E888,$BD$5:BD887,1)=0,MAX($CC$5:CC887)+1,""),"")</f>
        <v/>
      </c>
      <c r="CD888" s="80" t="str">
        <f>IF(AND(BE888=1,D888="Malcolm",F888&amp;""&lt;&gt;""),IF(COUNTIFS($D$5:D887,"Malcolm",$F$5:F887,F888,$BE$5:BE887,1)=0,MAX($CD$5:CD887)+1,""),"")</f>
        <v/>
      </c>
      <c r="CE888" s="80" t="str">
        <f>IF(AND(BD888=1,D888="proMX",F888&amp;""&lt;&gt;""),IF(COUNTIFS($D$5:D887,"proMX",$F$5:F887,F888,$BD$5:BD887,1)=0,MAX($CE$5:CE887)+1,""),"")</f>
        <v/>
      </c>
      <c r="CF888" s="80" t="str">
        <f>IF(AND(D888="proMX",BD888=1),IF(OR(BF888="Draft",BF888="Submitted",BF888="Returned",BF888="Recall Requested"),MAX($CF$5:CF887)+1,""),"")</f>
        <v/>
      </c>
      <c r="CG888" s="80">
        <f>IF(BD888=0,0,IF(D888="Malcolm",1,MATCH(BF888,{"Draft","Submitted","Approved","Returned","Recall Requested","Cancelled"},0)+1))</f>
        <v>0</v>
      </c>
      <c r="CH888" s="80">
        <f>IF(AND(BF888="Submitted",ISNUMBER(V888)),IF(V888&gt;CFG_MAXD,1,0),0)</f>
        <v>0</v>
      </c>
    </row>
    <row r="889">
      <c r="A889" s="71" t="str">
        <f>IF(Y889=1,ROW()-5,"")</f>
        <v/>
      </c>
      <c r="B889" s="72" t="n"/>
      <c r="C889" s="71" t="str">
        <f>IF(ISNUMBER(B889),CHOOSE(WEEKDAY(B889,2),"Lun","Mar","Mié","Jue","Vie","Sáb","Dom"),"")</f>
        <v/>
      </c>
      <c r="D889" s="73" t="n"/>
      <c r="E889" s="74" t="n"/>
      <c r="F889" s="74" t="n"/>
      <c r="G889" s="74" t="n"/>
      <c r="H889" s="75" t="n"/>
      <c r="I889" s="75" t="n"/>
      <c r="J889" s="76" t="n"/>
      <c r="K889" s="77" t="str">
        <f>IF(AB889=1,ROUND(AG889/60,4),"")</f>
        <v/>
      </c>
      <c r="L889" s="77" t="str">
        <f>IF(BD889=1,ROUND(AP889/60,4),"")</f>
        <v/>
      </c>
      <c r="M889" s="77" t="str">
        <f>IF(BD889=1,ROUND(AQ889/60,4),"")</f>
        <v/>
      </c>
      <c r="N889" s="71" t="str">
        <f>IF(AND(D889="proMX",AB889=1),ROUND(AG889/CFG_BLK,2),"")</f>
        <v/>
      </c>
      <c r="O889" s="77" t="str">
        <f>IF(D889="proMX",IF(BD889=1,ROUND(AG889/60,4),0),"")</f>
        <v/>
      </c>
      <c r="P889" s="78" t="str">
        <f>IF(Y889=0,"",IF(BD889=1,"OK",IF(D889="proMX","Revisar bloques: ","Revisar: ")&amp;BC889))</f>
        <v/>
      </c>
      <c r="Q889" s="78" t="str">
        <f>IF(NOT(ISNUMBER(B889)),"",IF(COUNTIFS(FER_F,INT(B889))&gt;0,"Feriado"&amp;IF(AH889=1," (laborable)"," (no laborable)"),IF(AH889=1,"Laborable",IF(WEEKDAY(B889,2)&gt;5,"Fin de semana","No laborable"))))</f>
        <v/>
      </c>
      <c r="R889" s="73" t="n"/>
      <c r="S889" s="72" t="n"/>
      <c r="T889" s="72" t="n"/>
      <c r="U889" s="74" t="n"/>
      <c r="V889" s="79" t="str">
        <f>IF(AND(D889="proMX",OR(R889="Submitted",R889="Recall Requested"),ISNUMBER(S889)),CFG_TODAY-INT(S889),"")</f>
        <v/>
      </c>
      <c r="W889" s="78" t="str">
        <f>IF(BD889=0,"",IF(BA889&gt;0,"⚠ Se superpone con un registro de la otra empresa",IF(D889="Malcolm",IF(COUNTA(R889,S889,T889)&gt;0,"Estado/fechas proMX se ignoran en Malcolm",""),IF(BF889="Cancelled","Cancelado: excluido de totales",IF(R889="","Sin estado: se trata como Draft",IF(BF889="Submitted",IF(ISNUMBER(V889),IF(V889&gt;CFG_MAXD,"⚠ "&amp;V889&amp;" días en Submitted (máx. "&amp;CFG_MAXD&amp;")",""),"Falta fecha de envío"),IF(BF889="Returned","⚠ Devuelto: corregir y reenviar",IF(BF889="Recall Requested","Retirada solicitada: pendiente",IF(AND(BF889="Approved",NOT(ISNUMBER(T889))),"Falta fecha de aprobación",IF(AND(ISNUMBER(S889),ISNUMBER(T889),T889&lt;S889),"Aprobación anterior al envío","")))))))))</f>
        <v/>
      </c>
      <c r="Y889" s="80">
        <f>IF(COUNTA(B889,D889,E889,F889,G889,H889,I889,J889,R889,S889,T889)&gt;0,1,0)</f>
        <v>0</v>
      </c>
      <c r="Z889" s="80" t="str">
        <f>IF(AND(ISNUMBER(H889),H889&gt;=0,H889&lt;1),ROUND(H889*1440,0),"")</f>
        <v/>
      </c>
      <c r="AA889" s="80" t="str">
        <f>IF(AND(ISNUMBER(I889),I889&gt;=0,I889&lt;1),ROUND(I889*1440,0),"")</f>
        <v/>
      </c>
      <c r="AB889" s="80">
        <f>IF(AND(ISNUMBER(B889),D889&lt;&gt;"",ISNUMBER(Z889),ISNUMBER(AA889)),IF(Z889=AA889,0,1),0)</f>
        <v>0</v>
      </c>
      <c r="AC889" s="80">
        <f>IF(AB889=1,IF(AA889&lt;Z889,1,0),0)</f>
        <v>0</v>
      </c>
      <c r="AD889" s="80">
        <f>IF(AB889=1,IF(AC889=1,1440-Z889+AA889,AA889-Z889),0)</f>
        <v>0</v>
      </c>
      <c r="AE889" s="80">
        <f>IF(J889="",0,IF(ISNUMBER(J889),J889,-1))</f>
        <v>0</v>
      </c>
      <c r="AF889" s="80">
        <f>MIN(MAX(0,AE889),AD889)</f>
        <v>0</v>
      </c>
      <c r="AG889" s="80">
        <f>MAX(0,AD889-MAX(0,AE889))</f>
        <v>0</v>
      </c>
      <c r="AH889" s="80">
        <f>IF(ISNUMBER(B889),IF(AND(INDEX(CFG_WDAYS,WEEKDAY(INT(B889),2))="Sí",IF(D889="proMX",COUNTIFS(FER_F,INT(B889),FER_NLP,"Sí"),COUNTIFS(FER_F,INT(B889),FER_NLM,"Sí"))=0),1,0),0)</f>
        <v>0</v>
      </c>
      <c r="AI889" s="80">
        <f>IF(AC889=1,IF(AND(INDEX(CFG_WDAYS,WEEKDAY(INT(B889)+1,2))="Sí",IF(D889="proMX",COUNTIFS(FER_F,INT(B889)+1,FER_NLP,"Sí"),COUNTIFS(FER_F,INT(B889)+1,FER_NLM,"Sí"))=0),1,0),0)</f>
        <v>0</v>
      </c>
      <c r="AJ889" s="80">
        <f>IF(AC889=1,1440-Z889,AD889)</f>
        <v>0</v>
      </c>
      <c r="AK889" s="80">
        <f>IF(AND(AB889=1,AH889=1),MAX(0,MIN(IF(AC889=1,1440,AA889),CFG_WEM)-MAX(Z889,CFG_WSM)),0)</f>
        <v>0</v>
      </c>
      <c r="AL889" s="80">
        <f>IF(AND(AC889=1,AI889=1),MAX(0,MIN(AA889,CFG_WEM)-CFG_WSM),0)</f>
        <v>0</v>
      </c>
      <c r="AM889" s="80">
        <f>AK889+AL889</f>
        <v>0</v>
      </c>
      <c r="AN889" s="80">
        <f>IF(CFG_BRK="Proporcional",IF(AD889=0,0,AF889*AM889/AD889),IF(CFG_BRK="Extras primero",MIN(AM889,MAX(0,AF889-(AD889-AM889))),MIN(AF889,AM889)))</f>
        <v>0</v>
      </c>
      <c r="AO889" s="80">
        <f>AF889-AN889</f>
        <v>0</v>
      </c>
      <c r="AP889" s="80">
        <f>AM889-AN889</f>
        <v>0</v>
      </c>
      <c r="AQ889" s="80">
        <f>AD889-AM889-AO889</f>
        <v>0</v>
      </c>
      <c r="AR889" s="80">
        <f>IF(AM889=0,0,AK889-AN889*AK889/AM889)</f>
        <v>0</v>
      </c>
      <c r="AS889" s="80">
        <f>IF(AD889-AM889=0,0,(AJ889-AK889)-AO889*(AJ889-AK889)/(AD889-AM889))</f>
        <v>0</v>
      </c>
      <c r="AT889" s="80" t="str">
        <f>IF(AC889=1,INT(B889)+1,"")</f>
        <v/>
      </c>
      <c r="AU889" s="80">
        <f>IF(AND(D889="proMX",R889="Cancelled"),0,1)</f>
        <v>1</v>
      </c>
      <c r="AV889" s="80">
        <f>IF(AND(AB889=1,AU889=1),IF(COUNTIFS($D$5:D888,D889,$B$5:B888,B889,$Z$5:Z888,Z889,$AA$5:AA888,AA889,$F$5:F888,F889&amp;"",$AU$5:AU888,1)&gt;0,1,0),0)</f>
        <v>0</v>
      </c>
      <c r="AW889" s="80" t="str">
        <f>IF(AB889=1,INT(B889)*1440+Z889,"")</f>
        <v/>
      </c>
      <c r="AX889" s="80" t="str">
        <f>IF(AB889=1,AW889+AD889,"")</f>
        <v/>
      </c>
      <c r="AY889" s="80">
        <f>IF(AND(AB889=1,AV889=0,AU889=1),1,0)</f>
        <v>0</v>
      </c>
      <c r="AZ889" s="80">
        <f>IF(AY889=1,COUNTIFS(R_Emp,D889,R_SAbs,"&lt;"&amp;AX889,R_EAbs,"&gt;"&amp;AW889,R_OKey,1)-1,0)</f>
        <v>0</v>
      </c>
      <c r="BA889" s="80">
        <f>IF(AY889=1,COUNTIFS(R_Emp,"&lt;&gt;"&amp;D889,R_SAbs,"&lt;"&amp;AX889,R_EAbs,"&gt;"&amp;AW889,R_OKey,1),0)</f>
        <v>0</v>
      </c>
      <c r="BB889" s="80">
        <f>IF(AND(AB889=1,D889="proMX"),IF(AND(MOD(Z889,CFG_BLK)=0,MOD(AA889,CFG_BLK)=0,MOD(AG889,CFG_BLK)=0,AG889&gt;0),1,0),1)</f>
        <v>1</v>
      </c>
      <c r="BC889" s="80" t="str">
        <f>IF(Y889=0,"",IF(NOT(ISNUMBER(B889)),"Falta fecha o fecha inválida",IF(D889="","Falta empresa",IF(AND(D889&lt;&gt;"Malcolm",D889&lt;&gt;"proMX"),"Empresa inválida",IF(OR(INT(B889)&lt;CFG_PSTART,INT(B889)&gt;CFG_PEND),"Fecha fuera del período",IF(OR(NOT(ISNUMBER(Z889)),NOT(ISNUMBER(AA889))),"Falta hora inicio/fin o formato inválido",IF(AB889=0,"Hora inicio = hora fin",IF(AE889&lt;0,"Descanso inválido",IF(AE889&gt;=AD889,"Descanso ≥ duración",IF(AV889=1,"Registro duplicado",IF(AZ889&gt;0,"Se superpone con otro registro "&amp;D889,IF(BB889=0,"inicio, fin y duración neta deben ser múltiplos de "&amp;CFG_BLK&amp;" min",""))))))))))))</f>
        <v/>
      </c>
      <c r="BD889" s="80">
        <f>IF(AND(Y889=1,BC889=""),1,0)</f>
        <v>0</v>
      </c>
      <c r="BE889" s="80">
        <f>IF(AND(BD889=1,AU889=1),1,0)</f>
        <v>0</v>
      </c>
      <c r="BF889" s="80" t="str">
        <f>IF(AND(D889="proMX",BD889=1),IF(R889="","Draft",R889),"")</f>
        <v/>
      </c>
      <c r="BG889" s="80">
        <f>IF(BD889=1,ROUND(AG889/60,6),0)</f>
        <v>0</v>
      </c>
      <c r="BH889" s="80">
        <f>IF(BE889=1,ROUND(AG889/60,6),0)</f>
        <v>0</v>
      </c>
      <c r="BI889" s="80">
        <f>IF(BE889=1,ROUND(AP889/60,6),0)</f>
        <v>0</v>
      </c>
      <c r="BJ889" s="80">
        <f>IF(BE889=1,ROUND(AQ889/60,6),0)</f>
        <v>0</v>
      </c>
      <c r="BK889" s="80">
        <f>IF(BE889=1,ROUND((AR889+AS889)/60,6),0)</f>
        <v>0</v>
      </c>
      <c r="BL889" s="80">
        <f>ROUND(BH889-BK889,6)</f>
        <v>0</v>
      </c>
      <c r="BM889" s="80">
        <f>IF(BE889=1,ROUND(AR889/60,6),0)</f>
        <v>0</v>
      </c>
      <c r="BN889" s="80">
        <f>ROUND(BI889-BM889,6)</f>
        <v>0</v>
      </c>
      <c r="BO889" s="80">
        <f>IF(BE889=1,ROUND(AS889/60,6),0)</f>
        <v>0</v>
      </c>
      <c r="BP889" s="80">
        <f>ROUND(BJ889-BO889,6)</f>
        <v>0</v>
      </c>
      <c r="BQ889" s="80">
        <f>IF(BE889=1,AW889,0)</f>
        <v>0</v>
      </c>
      <c r="BR889" s="80">
        <f>IF(BE889=1,AX889,0)</f>
        <v>0</v>
      </c>
      <c r="BS889" s="80">
        <f>IF(AND(BE889=1,D889="Malcolm",BA889&gt;0),MIN(BH889,SUMPRODUCT((R_Emp="proMX")*(R_EN&gt;0)*((R_EN-(R_EN&gt;BR889)*(R_EN-BR889))&gt;(R_SN+(R_SN&lt;BQ889)*(BQ889-R_SN)))*((R_EN-(R_EN&gt;BR889)*(R_EN-BR889))-(R_SN+(R_SN&lt;BQ889)*(BQ889-R_SN))))/60),0)</f>
        <v>0</v>
      </c>
      <c r="BT889" s="80">
        <f>IF(AND(BE889=1,D889="proMX"),ROUND(BI889*CFG_RATE+BJ889*CFG_OTRATE,6),0)</f>
        <v>0</v>
      </c>
      <c r="BU889" s="80">
        <f>IF(AND(BD889=1,D889="proMX"),ROUND(AG889/CFG_BLK,6),0)</f>
        <v>0</v>
      </c>
      <c r="BV889" s="80" t="str">
        <f>IF(BF889="Approved",IF(ISNUMBER(T889),INT(T889),INT(B889)),"")</f>
        <v/>
      </c>
      <c r="BW889" s="80">
        <f>IF(ISNUMBER(B889),IF(DB_MON="Todos",1,IF(AND(INT(B889)&gt;=DB_MS,INT(B889)&lt;=DB_ME),1,0)),0)</f>
        <v>0</v>
      </c>
      <c r="BX889" s="80">
        <f>IF(DB_PROJ="Todos",1,IF(E889&amp;""=DB_PROJ&amp;"",1,0))</f>
        <v>1</v>
      </c>
      <c r="BY889" s="80">
        <f>BW889*BX889</f>
        <v>0</v>
      </c>
      <c r="BZ889" s="80" t="str">
        <f>IF(Y889=1,F889&amp;IF(AND(F889&amp;""&lt;&gt;"",E889&amp;""&lt;&gt;"")," · ","")&amp;E889,"")</f>
        <v/>
      </c>
      <c r="CA889" s="80" t="str">
        <f>IF(AND(BD889=1,E889&amp;""&lt;&gt;""),IF(COUNTIFS($E$5:E888,E889,$BD$5:BD888,1)=0,MAX($CA$5:CA888)+1,""),"")</f>
        <v/>
      </c>
      <c r="CB889" s="80" t="str">
        <f>IF(AND(BE889=1,D889="Malcolm",E889&amp;""&lt;&gt;""),IF(COUNTIFS($D$5:D888,"Malcolm",$E$5:E888,E889,$BE$5:BE888,1)=0,MAX($CB$5:CB888)+1,""),"")</f>
        <v/>
      </c>
      <c r="CC889" s="80" t="str">
        <f>IF(AND(BD889=1,D889="proMX",E889&amp;""&lt;&gt;""),IF(COUNTIFS($D$5:D888,"proMX",$E$5:E888,E889,$BD$5:BD888,1)=0,MAX($CC$5:CC888)+1,""),"")</f>
        <v/>
      </c>
      <c r="CD889" s="80" t="str">
        <f>IF(AND(BE889=1,D889="Malcolm",F889&amp;""&lt;&gt;""),IF(COUNTIFS($D$5:D888,"Malcolm",$F$5:F888,F889,$BE$5:BE888,1)=0,MAX($CD$5:CD888)+1,""),"")</f>
        <v/>
      </c>
      <c r="CE889" s="80" t="str">
        <f>IF(AND(BD889=1,D889="proMX",F889&amp;""&lt;&gt;""),IF(COUNTIFS($D$5:D888,"proMX",$F$5:F888,F889,$BD$5:BD888,1)=0,MAX($CE$5:CE888)+1,""),"")</f>
        <v/>
      </c>
      <c r="CF889" s="80" t="str">
        <f>IF(AND(D889="proMX",BD889=1),IF(OR(BF889="Draft",BF889="Submitted",BF889="Returned",BF889="Recall Requested"),MAX($CF$5:CF888)+1,""),"")</f>
        <v/>
      </c>
      <c r="CG889" s="80">
        <f>IF(BD889=0,0,IF(D889="Malcolm",1,MATCH(BF889,{"Draft","Submitted","Approved","Returned","Recall Requested","Cancelled"},0)+1))</f>
        <v>0</v>
      </c>
      <c r="CH889" s="80">
        <f>IF(AND(BF889="Submitted",ISNUMBER(V889)),IF(V889&gt;CFG_MAXD,1,0),0)</f>
        <v>0</v>
      </c>
    </row>
    <row r="890">
      <c r="A890" s="71" t="str">
        <f>IF(Y890=1,ROW()-5,"")</f>
        <v/>
      </c>
      <c r="B890" s="72" t="n"/>
      <c r="C890" s="71" t="str">
        <f>IF(ISNUMBER(B890),CHOOSE(WEEKDAY(B890,2),"Lun","Mar","Mié","Jue","Vie","Sáb","Dom"),"")</f>
        <v/>
      </c>
      <c r="D890" s="73" t="n"/>
      <c r="E890" s="74" t="n"/>
      <c r="F890" s="74" t="n"/>
      <c r="G890" s="74" t="n"/>
      <c r="H890" s="75" t="n"/>
      <c r="I890" s="75" t="n"/>
      <c r="J890" s="76" t="n"/>
      <c r="K890" s="77" t="str">
        <f>IF(AB890=1,ROUND(AG890/60,4),"")</f>
        <v/>
      </c>
      <c r="L890" s="77" t="str">
        <f>IF(BD890=1,ROUND(AP890/60,4),"")</f>
        <v/>
      </c>
      <c r="M890" s="77" t="str">
        <f>IF(BD890=1,ROUND(AQ890/60,4),"")</f>
        <v/>
      </c>
      <c r="N890" s="71" t="str">
        <f>IF(AND(D890="proMX",AB890=1),ROUND(AG890/CFG_BLK,2),"")</f>
        <v/>
      </c>
      <c r="O890" s="77" t="str">
        <f>IF(D890="proMX",IF(BD890=1,ROUND(AG890/60,4),0),"")</f>
        <v/>
      </c>
      <c r="P890" s="78" t="str">
        <f>IF(Y890=0,"",IF(BD890=1,"OK",IF(D890="proMX","Revisar bloques: ","Revisar: ")&amp;BC890))</f>
        <v/>
      </c>
      <c r="Q890" s="78" t="str">
        <f>IF(NOT(ISNUMBER(B890)),"",IF(COUNTIFS(FER_F,INT(B890))&gt;0,"Feriado"&amp;IF(AH890=1," (laborable)"," (no laborable)"),IF(AH890=1,"Laborable",IF(WEEKDAY(B890,2)&gt;5,"Fin de semana","No laborable"))))</f>
        <v/>
      </c>
      <c r="R890" s="73" t="n"/>
      <c r="S890" s="72" t="n"/>
      <c r="T890" s="72" t="n"/>
      <c r="U890" s="74" t="n"/>
      <c r="V890" s="79" t="str">
        <f>IF(AND(D890="proMX",OR(R890="Submitted",R890="Recall Requested"),ISNUMBER(S890)),CFG_TODAY-INT(S890),"")</f>
        <v/>
      </c>
      <c r="W890" s="78" t="str">
        <f>IF(BD890=0,"",IF(BA890&gt;0,"⚠ Se superpone con un registro de la otra empresa",IF(D890="Malcolm",IF(COUNTA(R890,S890,T890)&gt;0,"Estado/fechas proMX se ignoran en Malcolm",""),IF(BF890="Cancelled","Cancelado: excluido de totales",IF(R890="","Sin estado: se trata como Draft",IF(BF890="Submitted",IF(ISNUMBER(V890),IF(V890&gt;CFG_MAXD,"⚠ "&amp;V890&amp;" días en Submitted (máx. "&amp;CFG_MAXD&amp;")",""),"Falta fecha de envío"),IF(BF890="Returned","⚠ Devuelto: corregir y reenviar",IF(BF890="Recall Requested","Retirada solicitada: pendiente",IF(AND(BF890="Approved",NOT(ISNUMBER(T890))),"Falta fecha de aprobación",IF(AND(ISNUMBER(S890),ISNUMBER(T890),T890&lt;S890),"Aprobación anterior al envío","")))))))))</f>
        <v/>
      </c>
      <c r="Y890" s="80">
        <f>IF(COUNTA(B890,D890,E890,F890,G890,H890,I890,J890,R890,S890,T890)&gt;0,1,0)</f>
        <v>0</v>
      </c>
      <c r="Z890" s="80" t="str">
        <f>IF(AND(ISNUMBER(H890),H890&gt;=0,H890&lt;1),ROUND(H890*1440,0),"")</f>
        <v/>
      </c>
      <c r="AA890" s="80" t="str">
        <f>IF(AND(ISNUMBER(I890),I890&gt;=0,I890&lt;1),ROUND(I890*1440,0),"")</f>
        <v/>
      </c>
      <c r="AB890" s="80">
        <f>IF(AND(ISNUMBER(B890),D890&lt;&gt;"",ISNUMBER(Z890),ISNUMBER(AA890)),IF(Z890=AA890,0,1),0)</f>
        <v>0</v>
      </c>
      <c r="AC890" s="80">
        <f>IF(AB890=1,IF(AA890&lt;Z890,1,0),0)</f>
        <v>0</v>
      </c>
      <c r="AD890" s="80">
        <f>IF(AB890=1,IF(AC890=1,1440-Z890+AA890,AA890-Z890),0)</f>
        <v>0</v>
      </c>
      <c r="AE890" s="80">
        <f>IF(J890="",0,IF(ISNUMBER(J890),J890,-1))</f>
        <v>0</v>
      </c>
      <c r="AF890" s="80">
        <f>MIN(MAX(0,AE890),AD890)</f>
        <v>0</v>
      </c>
      <c r="AG890" s="80">
        <f>MAX(0,AD890-MAX(0,AE890))</f>
        <v>0</v>
      </c>
      <c r="AH890" s="80">
        <f>IF(ISNUMBER(B890),IF(AND(INDEX(CFG_WDAYS,WEEKDAY(INT(B890),2))="Sí",IF(D890="proMX",COUNTIFS(FER_F,INT(B890),FER_NLP,"Sí"),COUNTIFS(FER_F,INT(B890),FER_NLM,"Sí"))=0),1,0),0)</f>
        <v>0</v>
      </c>
      <c r="AI890" s="80">
        <f>IF(AC890=1,IF(AND(INDEX(CFG_WDAYS,WEEKDAY(INT(B890)+1,2))="Sí",IF(D890="proMX",COUNTIFS(FER_F,INT(B890)+1,FER_NLP,"Sí"),COUNTIFS(FER_F,INT(B890)+1,FER_NLM,"Sí"))=0),1,0),0)</f>
        <v>0</v>
      </c>
      <c r="AJ890" s="80">
        <f>IF(AC890=1,1440-Z890,AD890)</f>
        <v>0</v>
      </c>
      <c r="AK890" s="80">
        <f>IF(AND(AB890=1,AH890=1),MAX(0,MIN(IF(AC890=1,1440,AA890),CFG_WEM)-MAX(Z890,CFG_WSM)),0)</f>
        <v>0</v>
      </c>
      <c r="AL890" s="80">
        <f>IF(AND(AC890=1,AI890=1),MAX(0,MIN(AA890,CFG_WEM)-CFG_WSM),0)</f>
        <v>0</v>
      </c>
      <c r="AM890" s="80">
        <f>AK890+AL890</f>
        <v>0</v>
      </c>
      <c r="AN890" s="80">
        <f>IF(CFG_BRK="Proporcional",IF(AD890=0,0,AF890*AM890/AD890),IF(CFG_BRK="Extras primero",MIN(AM890,MAX(0,AF890-(AD890-AM890))),MIN(AF890,AM890)))</f>
        <v>0</v>
      </c>
      <c r="AO890" s="80">
        <f>AF890-AN890</f>
        <v>0</v>
      </c>
      <c r="AP890" s="80">
        <f>AM890-AN890</f>
        <v>0</v>
      </c>
      <c r="AQ890" s="80">
        <f>AD890-AM890-AO890</f>
        <v>0</v>
      </c>
      <c r="AR890" s="80">
        <f>IF(AM890=0,0,AK890-AN890*AK890/AM890)</f>
        <v>0</v>
      </c>
      <c r="AS890" s="80">
        <f>IF(AD890-AM890=0,0,(AJ890-AK890)-AO890*(AJ890-AK890)/(AD890-AM890))</f>
        <v>0</v>
      </c>
      <c r="AT890" s="80" t="str">
        <f>IF(AC890=1,INT(B890)+1,"")</f>
        <v/>
      </c>
      <c r="AU890" s="80">
        <f>IF(AND(D890="proMX",R890="Cancelled"),0,1)</f>
        <v>1</v>
      </c>
      <c r="AV890" s="80">
        <f>IF(AND(AB890=1,AU890=1),IF(COUNTIFS($D$5:D889,D890,$B$5:B889,B890,$Z$5:Z889,Z890,$AA$5:AA889,AA890,$F$5:F889,F890&amp;"",$AU$5:AU889,1)&gt;0,1,0),0)</f>
        <v>0</v>
      </c>
      <c r="AW890" s="80" t="str">
        <f>IF(AB890=1,INT(B890)*1440+Z890,"")</f>
        <v/>
      </c>
      <c r="AX890" s="80" t="str">
        <f>IF(AB890=1,AW890+AD890,"")</f>
        <v/>
      </c>
      <c r="AY890" s="80">
        <f>IF(AND(AB890=1,AV890=0,AU890=1),1,0)</f>
        <v>0</v>
      </c>
      <c r="AZ890" s="80">
        <f>IF(AY890=1,COUNTIFS(R_Emp,D890,R_SAbs,"&lt;"&amp;AX890,R_EAbs,"&gt;"&amp;AW890,R_OKey,1)-1,0)</f>
        <v>0</v>
      </c>
      <c r="BA890" s="80">
        <f>IF(AY890=1,COUNTIFS(R_Emp,"&lt;&gt;"&amp;D890,R_SAbs,"&lt;"&amp;AX890,R_EAbs,"&gt;"&amp;AW890,R_OKey,1),0)</f>
        <v>0</v>
      </c>
      <c r="BB890" s="80">
        <f>IF(AND(AB890=1,D890="proMX"),IF(AND(MOD(Z890,CFG_BLK)=0,MOD(AA890,CFG_BLK)=0,MOD(AG890,CFG_BLK)=0,AG890&gt;0),1,0),1)</f>
        <v>1</v>
      </c>
      <c r="BC890" s="80" t="str">
        <f>IF(Y890=0,"",IF(NOT(ISNUMBER(B890)),"Falta fecha o fecha inválida",IF(D890="","Falta empresa",IF(AND(D890&lt;&gt;"Malcolm",D890&lt;&gt;"proMX"),"Empresa inválida",IF(OR(INT(B890)&lt;CFG_PSTART,INT(B890)&gt;CFG_PEND),"Fecha fuera del período",IF(OR(NOT(ISNUMBER(Z890)),NOT(ISNUMBER(AA890))),"Falta hora inicio/fin o formato inválido",IF(AB890=0,"Hora inicio = hora fin",IF(AE890&lt;0,"Descanso inválido",IF(AE890&gt;=AD890,"Descanso ≥ duración",IF(AV890=1,"Registro duplicado",IF(AZ890&gt;0,"Se superpone con otro registro "&amp;D890,IF(BB890=0,"inicio, fin y duración neta deben ser múltiplos de "&amp;CFG_BLK&amp;" min",""))))))))))))</f>
        <v/>
      </c>
      <c r="BD890" s="80">
        <f>IF(AND(Y890=1,BC890=""),1,0)</f>
        <v>0</v>
      </c>
      <c r="BE890" s="80">
        <f>IF(AND(BD890=1,AU890=1),1,0)</f>
        <v>0</v>
      </c>
      <c r="BF890" s="80" t="str">
        <f>IF(AND(D890="proMX",BD890=1),IF(R890="","Draft",R890),"")</f>
        <v/>
      </c>
      <c r="BG890" s="80">
        <f>IF(BD890=1,ROUND(AG890/60,6),0)</f>
        <v>0</v>
      </c>
      <c r="BH890" s="80">
        <f>IF(BE890=1,ROUND(AG890/60,6),0)</f>
        <v>0</v>
      </c>
      <c r="BI890" s="80">
        <f>IF(BE890=1,ROUND(AP890/60,6),0)</f>
        <v>0</v>
      </c>
      <c r="BJ890" s="80">
        <f>IF(BE890=1,ROUND(AQ890/60,6),0)</f>
        <v>0</v>
      </c>
      <c r="BK890" s="80">
        <f>IF(BE890=1,ROUND((AR890+AS890)/60,6),0)</f>
        <v>0</v>
      </c>
      <c r="BL890" s="80">
        <f>ROUND(BH890-BK890,6)</f>
        <v>0</v>
      </c>
      <c r="BM890" s="80">
        <f>IF(BE890=1,ROUND(AR890/60,6),0)</f>
        <v>0</v>
      </c>
      <c r="BN890" s="80">
        <f>ROUND(BI890-BM890,6)</f>
        <v>0</v>
      </c>
      <c r="BO890" s="80">
        <f>IF(BE890=1,ROUND(AS890/60,6),0)</f>
        <v>0</v>
      </c>
      <c r="BP890" s="80">
        <f>ROUND(BJ890-BO890,6)</f>
        <v>0</v>
      </c>
      <c r="BQ890" s="80">
        <f>IF(BE890=1,AW890,0)</f>
        <v>0</v>
      </c>
      <c r="BR890" s="80">
        <f>IF(BE890=1,AX890,0)</f>
        <v>0</v>
      </c>
      <c r="BS890" s="80">
        <f>IF(AND(BE890=1,D890="Malcolm",BA890&gt;0),MIN(BH890,SUMPRODUCT((R_Emp="proMX")*(R_EN&gt;0)*((R_EN-(R_EN&gt;BR890)*(R_EN-BR890))&gt;(R_SN+(R_SN&lt;BQ890)*(BQ890-R_SN)))*((R_EN-(R_EN&gt;BR890)*(R_EN-BR890))-(R_SN+(R_SN&lt;BQ890)*(BQ890-R_SN))))/60),0)</f>
        <v>0</v>
      </c>
      <c r="BT890" s="80">
        <f>IF(AND(BE890=1,D890="proMX"),ROUND(BI890*CFG_RATE+BJ890*CFG_OTRATE,6),0)</f>
        <v>0</v>
      </c>
      <c r="BU890" s="80">
        <f>IF(AND(BD890=1,D890="proMX"),ROUND(AG890/CFG_BLK,6),0)</f>
        <v>0</v>
      </c>
      <c r="BV890" s="80" t="str">
        <f>IF(BF890="Approved",IF(ISNUMBER(T890),INT(T890),INT(B890)),"")</f>
        <v/>
      </c>
      <c r="BW890" s="80">
        <f>IF(ISNUMBER(B890),IF(DB_MON="Todos",1,IF(AND(INT(B890)&gt;=DB_MS,INT(B890)&lt;=DB_ME),1,0)),0)</f>
        <v>0</v>
      </c>
      <c r="BX890" s="80">
        <f>IF(DB_PROJ="Todos",1,IF(E890&amp;""=DB_PROJ&amp;"",1,0))</f>
        <v>1</v>
      </c>
      <c r="BY890" s="80">
        <f>BW890*BX890</f>
        <v>0</v>
      </c>
      <c r="BZ890" s="80" t="str">
        <f>IF(Y890=1,F890&amp;IF(AND(F890&amp;""&lt;&gt;"",E890&amp;""&lt;&gt;"")," · ","")&amp;E890,"")</f>
        <v/>
      </c>
      <c r="CA890" s="80" t="str">
        <f>IF(AND(BD890=1,E890&amp;""&lt;&gt;""),IF(COUNTIFS($E$5:E889,E890,$BD$5:BD889,1)=0,MAX($CA$5:CA889)+1,""),"")</f>
        <v/>
      </c>
      <c r="CB890" s="80" t="str">
        <f>IF(AND(BE890=1,D890="Malcolm",E890&amp;""&lt;&gt;""),IF(COUNTIFS($D$5:D889,"Malcolm",$E$5:E889,E890,$BE$5:BE889,1)=0,MAX($CB$5:CB889)+1,""),"")</f>
        <v/>
      </c>
      <c r="CC890" s="80" t="str">
        <f>IF(AND(BD890=1,D890="proMX",E890&amp;""&lt;&gt;""),IF(COUNTIFS($D$5:D889,"proMX",$E$5:E889,E890,$BD$5:BD889,1)=0,MAX($CC$5:CC889)+1,""),"")</f>
        <v/>
      </c>
      <c r="CD890" s="80" t="str">
        <f>IF(AND(BE890=1,D890="Malcolm",F890&amp;""&lt;&gt;""),IF(COUNTIFS($D$5:D889,"Malcolm",$F$5:F889,F890,$BE$5:BE889,1)=0,MAX($CD$5:CD889)+1,""),"")</f>
        <v/>
      </c>
      <c r="CE890" s="80" t="str">
        <f>IF(AND(BD890=1,D890="proMX",F890&amp;""&lt;&gt;""),IF(COUNTIFS($D$5:D889,"proMX",$F$5:F889,F890,$BD$5:BD889,1)=0,MAX($CE$5:CE889)+1,""),"")</f>
        <v/>
      </c>
      <c r="CF890" s="80" t="str">
        <f>IF(AND(D890="proMX",BD890=1),IF(OR(BF890="Draft",BF890="Submitted",BF890="Returned",BF890="Recall Requested"),MAX($CF$5:CF889)+1,""),"")</f>
        <v/>
      </c>
      <c r="CG890" s="80">
        <f>IF(BD890=0,0,IF(D890="Malcolm",1,MATCH(BF890,{"Draft","Submitted","Approved","Returned","Recall Requested","Cancelled"},0)+1))</f>
        <v>0</v>
      </c>
      <c r="CH890" s="80">
        <f>IF(AND(BF890="Submitted",ISNUMBER(V890)),IF(V890&gt;CFG_MAXD,1,0),0)</f>
        <v>0</v>
      </c>
    </row>
    <row r="891">
      <c r="A891" s="71" t="str">
        <f>IF(Y891=1,ROW()-5,"")</f>
        <v/>
      </c>
      <c r="B891" s="72" t="n"/>
      <c r="C891" s="71" t="str">
        <f>IF(ISNUMBER(B891),CHOOSE(WEEKDAY(B891,2),"Lun","Mar","Mié","Jue","Vie","Sáb","Dom"),"")</f>
        <v/>
      </c>
      <c r="D891" s="73" t="n"/>
      <c r="E891" s="74" t="n"/>
      <c r="F891" s="74" t="n"/>
      <c r="G891" s="74" t="n"/>
      <c r="H891" s="75" t="n"/>
      <c r="I891" s="75" t="n"/>
      <c r="J891" s="76" t="n"/>
      <c r="K891" s="77" t="str">
        <f>IF(AB891=1,ROUND(AG891/60,4),"")</f>
        <v/>
      </c>
      <c r="L891" s="77" t="str">
        <f>IF(BD891=1,ROUND(AP891/60,4),"")</f>
        <v/>
      </c>
      <c r="M891" s="77" t="str">
        <f>IF(BD891=1,ROUND(AQ891/60,4),"")</f>
        <v/>
      </c>
      <c r="N891" s="71" t="str">
        <f>IF(AND(D891="proMX",AB891=1),ROUND(AG891/CFG_BLK,2),"")</f>
        <v/>
      </c>
      <c r="O891" s="77" t="str">
        <f>IF(D891="proMX",IF(BD891=1,ROUND(AG891/60,4),0),"")</f>
        <v/>
      </c>
      <c r="P891" s="78" t="str">
        <f>IF(Y891=0,"",IF(BD891=1,"OK",IF(D891="proMX","Revisar bloques: ","Revisar: ")&amp;BC891))</f>
        <v/>
      </c>
      <c r="Q891" s="78" t="str">
        <f>IF(NOT(ISNUMBER(B891)),"",IF(COUNTIFS(FER_F,INT(B891))&gt;0,"Feriado"&amp;IF(AH891=1," (laborable)"," (no laborable)"),IF(AH891=1,"Laborable",IF(WEEKDAY(B891,2)&gt;5,"Fin de semana","No laborable"))))</f>
        <v/>
      </c>
      <c r="R891" s="73" t="n"/>
      <c r="S891" s="72" t="n"/>
      <c r="T891" s="72" t="n"/>
      <c r="U891" s="74" t="n"/>
      <c r="V891" s="79" t="str">
        <f>IF(AND(D891="proMX",OR(R891="Submitted",R891="Recall Requested"),ISNUMBER(S891)),CFG_TODAY-INT(S891),"")</f>
        <v/>
      </c>
      <c r="W891" s="78" t="str">
        <f>IF(BD891=0,"",IF(BA891&gt;0,"⚠ Se superpone con un registro de la otra empresa",IF(D891="Malcolm",IF(COUNTA(R891,S891,T891)&gt;0,"Estado/fechas proMX se ignoran en Malcolm",""),IF(BF891="Cancelled","Cancelado: excluido de totales",IF(R891="","Sin estado: se trata como Draft",IF(BF891="Submitted",IF(ISNUMBER(V891),IF(V891&gt;CFG_MAXD,"⚠ "&amp;V891&amp;" días en Submitted (máx. "&amp;CFG_MAXD&amp;")",""),"Falta fecha de envío"),IF(BF891="Returned","⚠ Devuelto: corregir y reenviar",IF(BF891="Recall Requested","Retirada solicitada: pendiente",IF(AND(BF891="Approved",NOT(ISNUMBER(T891))),"Falta fecha de aprobación",IF(AND(ISNUMBER(S891),ISNUMBER(T891),T891&lt;S891),"Aprobación anterior al envío","")))))))))</f>
        <v/>
      </c>
      <c r="Y891" s="80">
        <f>IF(COUNTA(B891,D891,E891,F891,G891,H891,I891,J891,R891,S891,T891)&gt;0,1,0)</f>
        <v>0</v>
      </c>
      <c r="Z891" s="80" t="str">
        <f>IF(AND(ISNUMBER(H891),H891&gt;=0,H891&lt;1),ROUND(H891*1440,0),"")</f>
        <v/>
      </c>
      <c r="AA891" s="80" t="str">
        <f>IF(AND(ISNUMBER(I891),I891&gt;=0,I891&lt;1),ROUND(I891*1440,0),"")</f>
        <v/>
      </c>
      <c r="AB891" s="80">
        <f>IF(AND(ISNUMBER(B891),D891&lt;&gt;"",ISNUMBER(Z891),ISNUMBER(AA891)),IF(Z891=AA891,0,1),0)</f>
        <v>0</v>
      </c>
      <c r="AC891" s="80">
        <f>IF(AB891=1,IF(AA891&lt;Z891,1,0),0)</f>
        <v>0</v>
      </c>
      <c r="AD891" s="80">
        <f>IF(AB891=1,IF(AC891=1,1440-Z891+AA891,AA891-Z891),0)</f>
        <v>0</v>
      </c>
      <c r="AE891" s="80">
        <f>IF(J891="",0,IF(ISNUMBER(J891),J891,-1))</f>
        <v>0</v>
      </c>
      <c r="AF891" s="80">
        <f>MIN(MAX(0,AE891),AD891)</f>
        <v>0</v>
      </c>
      <c r="AG891" s="80">
        <f>MAX(0,AD891-MAX(0,AE891))</f>
        <v>0</v>
      </c>
      <c r="AH891" s="80">
        <f>IF(ISNUMBER(B891),IF(AND(INDEX(CFG_WDAYS,WEEKDAY(INT(B891),2))="Sí",IF(D891="proMX",COUNTIFS(FER_F,INT(B891),FER_NLP,"Sí"),COUNTIFS(FER_F,INT(B891),FER_NLM,"Sí"))=0),1,0),0)</f>
        <v>0</v>
      </c>
      <c r="AI891" s="80">
        <f>IF(AC891=1,IF(AND(INDEX(CFG_WDAYS,WEEKDAY(INT(B891)+1,2))="Sí",IF(D891="proMX",COUNTIFS(FER_F,INT(B891)+1,FER_NLP,"Sí"),COUNTIFS(FER_F,INT(B891)+1,FER_NLM,"Sí"))=0),1,0),0)</f>
        <v>0</v>
      </c>
      <c r="AJ891" s="80">
        <f>IF(AC891=1,1440-Z891,AD891)</f>
        <v>0</v>
      </c>
      <c r="AK891" s="80">
        <f>IF(AND(AB891=1,AH891=1),MAX(0,MIN(IF(AC891=1,1440,AA891),CFG_WEM)-MAX(Z891,CFG_WSM)),0)</f>
        <v>0</v>
      </c>
      <c r="AL891" s="80">
        <f>IF(AND(AC891=1,AI891=1),MAX(0,MIN(AA891,CFG_WEM)-CFG_WSM),0)</f>
        <v>0</v>
      </c>
      <c r="AM891" s="80">
        <f>AK891+AL891</f>
        <v>0</v>
      </c>
      <c r="AN891" s="80">
        <f>IF(CFG_BRK="Proporcional",IF(AD891=0,0,AF891*AM891/AD891),IF(CFG_BRK="Extras primero",MIN(AM891,MAX(0,AF891-(AD891-AM891))),MIN(AF891,AM891)))</f>
        <v>0</v>
      </c>
      <c r="AO891" s="80">
        <f>AF891-AN891</f>
        <v>0</v>
      </c>
      <c r="AP891" s="80">
        <f>AM891-AN891</f>
        <v>0</v>
      </c>
      <c r="AQ891" s="80">
        <f>AD891-AM891-AO891</f>
        <v>0</v>
      </c>
      <c r="AR891" s="80">
        <f>IF(AM891=0,0,AK891-AN891*AK891/AM891)</f>
        <v>0</v>
      </c>
      <c r="AS891" s="80">
        <f>IF(AD891-AM891=0,0,(AJ891-AK891)-AO891*(AJ891-AK891)/(AD891-AM891))</f>
        <v>0</v>
      </c>
      <c r="AT891" s="80" t="str">
        <f>IF(AC891=1,INT(B891)+1,"")</f>
        <v/>
      </c>
      <c r="AU891" s="80">
        <f>IF(AND(D891="proMX",R891="Cancelled"),0,1)</f>
        <v>1</v>
      </c>
      <c r="AV891" s="80">
        <f>IF(AND(AB891=1,AU891=1),IF(COUNTIFS($D$5:D890,D891,$B$5:B890,B891,$Z$5:Z890,Z891,$AA$5:AA890,AA891,$F$5:F890,F891&amp;"",$AU$5:AU890,1)&gt;0,1,0),0)</f>
        <v>0</v>
      </c>
      <c r="AW891" s="80" t="str">
        <f>IF(AB891=1,INT(B891)*1440+Z891,"")</f>
        <v/>
      </c>
      <c r="AX891" s="80" t="str">
        <f>IF(AB891=1,AW891+AD891,"")</f>
        <v/>
      </c>
      <c r="AY891" s="80">
        <f>IF(AND(AB891=1,AV891=0,AU891=1),1,0)</f>
        <v>0</v>
      </c>
      <c r="AZ891" s="80">
        <f>IF(AY891=1,COUNTIFS(R_Emp,D891,R_SAbs,"&lt;"&amp;AX891,R_EAbs,"&gt;"&amp;AW891,R_OKey,1)-1,0)</f>
        <v>0</v>
      </c>
      <c r="BA891" s="80">
        <f>IF(AY891=1,COUNTIFS(R_Emp,"&lt;&gt;"&amp;D891,R_SAbs,"&lt;"&amp;AX891,R_EAbs,"&gt;"&amp;AW891,R_OKey,1),0)</f>
        <v>0</v>
      </c>
      <c r="BB891" s="80">
        <f>IF(AND(AB891=1,D891="proMX"),IF(AND(MOD(Z891,CFG_BLK)=0,MOD(AA891,CFG_BLK)=0,MOD(AG891,CFG_BLK)=0,AG891&gt;0),1,0),1)</f>
        <v>1</v>
      </c>
      <c r="BC891" s="80" t="str">
        <f>IF(Y891=0,"",IF(NOT(ISNUMBER(B891)),"Falta fecha o fecha inválida",IF(D891="","Falta empresa",IF(AND(D891&lt;&gt;"Malcolm",D891&lt;&gt;"proMX"),"Empresa inválida",IF(OR(INT(B891)&lt;CFG_PSTART,INT(B891)&gt;CFG_PEND),"Fecha fuera del período",IF(OR(NOT(ISNUMBER(Z891)),NOT(ISNUMBER(AA891))),"Falta hora inicio/fin o formato inválido",IF(AB891=0,"Hora inicio = hora fin",IF(AE891&lt;0,"Descanso inválido",IF(AE891&gt;=AD891,"Descanso ≥ duración",IF(AV891=1,"Registro duplicado",IF(AZ891&gt;0,"Se superpone con otro registro "&amp;D891,IF(BB891=0,"inicio, fin y duración neta deben ser múltiplos de "&amp;CFG_BLK&amp;" min",""))))))))))))</f>
        <v/>
      </c>
      <c r="BD891" s="80">
        <f>IF(AND(Y891=1,BC891=""),1,0)</f>
        <v>0</v>
      </c>
      <c r="BE891" s="80">
        <f>IF(AND(BD891=1,AU891=1),1,0)</f>
        <v>0</v>
      </c>
      <c r="BF891" s="80" t="str">
        <f>IF(AND(D891="proMX",BD891=1),IF(R891="","Draft",R891),"")</f>
        <v/>
      </c>
      <c r="BG891" s="80">
        <f>IF(BD891=1,ROUND(AG891/60,6),0)</f>
        <v>0</v>
      </c>
      <c r="BH891" s="80">
        <f>IF(BE891=1,ROUND(AG891/60,6),0)</f>
        <v>0</v>
      </c>
      <c r="BI891" s="80">
        <f>IF(BE891=1,ROUND(AP891/60,6),0)</f>
        <v>0</v>
      </c>
      <c r="BJ891" s="80">
        <f>IF(BE891=1,ROUND(AQ891/60,6),0)</f>
        <v>0</v>
      </c>
      <c r="BK891" s="80">
        <f>IF(BE891=1,ROUND((AR891+AS891)/60,6),0)</f>
        <v>0</v>
      </c>
      <c r="BL891" s="80">
        <f>ROUND(BH891-BK891,6)</f>
        <v>0</v>
      </c>
      <c r="BM891" s="80">
        <f>IF(BE891=1,ROUND(AR891/60,6),0)</f>
        <v>0</v>
      </c>
      <c r="BN891" s="80">
        <f>ROUND(BI891-BM891,6)</f>
        <v>0</v>
      </c>
      <c r="BO891" s="80">
        <f>IF(BE891=1,ROUND(AS891/60,6),0)</f>
        <v>0</v>
      </c>
      <c r="BP891" s="80">
        <f>ROUND(BJ891-BO891,6)</f>
        <v>0</v>
      </c>
      <c r="BQ891" s="80">
        <f>IF(BE891=1,AW891,0)</f>
        <v>0</v>
      </c>
      <c r="BR891" s="80">
        <f>IF(BE891=1,AX891,0)</f>
        <v>0</v>
      </c>
      <c r="BS891" s="80">
        <f>IF(AND(BE891=1,D891="Malcolm",BA891&gt;0),MIN(BH891,SUMPRODUCT((R_Emp="proMX")*(R_EN&gt;0)*((R_EN-(R_EN&gt;BR891)*(R_EN-BR891))&gt;(R_SN+(R_SN&lt;BQ891)*(BQ891-R_SN)))*((R_EN-(R_EN&gt;BR891)*(R_EN-BR891))-(R_SN+(R_SN&lt;BQ891)*(BQ891-R_SN))))/60),0)</f>
        <v>0</v>
      </c>
      <c r="BT891" s="80">
        <f>IF(AND(BE891=1,D891="proMX"),ROUND(BI891*CFG_RATE+BJ891*CFG_OTRATE,6),0)</f>
        <v>0</v>
      </c>
      <c r="BU891" s="80">
        <f>IF(AND(BD891=1,D891="proMX"),ROUND(AG891/CFG_BLK,6),0)</f>
        <v>0</v>
      </c>
      <c r="BV891" s="80" t="str">
        <f>IF(BF891="Approved",IF(ISNUMBER(T891),INT(T891),INT(B891)),"")</f>
        <v/>
      </c>
      <c r="BW891" s="80">
        <f>IF(ISNUMBER(B891),IF(DB_MON="Todos",1,IF(AND(INT(B891)&gt;=DB_MS,INT(B891)&lt;=DB_ME),1,0)),0)</f>
        <v>0</v>
      </c>
      <c r="BX891" s="80">
        <f>IF(DB_PROJ="Todos",1,IF(E891&amp;""=DB_PROJ&amp;"",1,0))</f>
        <v>1</v>
      </c>
      <c r="BY891" s="80">
        <f>BW891*BX891</f>
        <v>0</v>
      </c>
      <c r="BZ891" s="80" t="str">
        <f>IF(Y891=1,F891&amp;IF(AND(F891&amp;""&lt;&gt;"",E891&amp;""&lt;&gt;"")," · ","")&amp;E891,"")</f>
        <v/>
      </c>
      <c r="CA891" s="80" t="str">
        <f>IF(AND(BD891=1,E891&amp;""&lt;&gt;""),IF(COUNTIFS($E$5:E890,E891,$BD$5:BD890,1)=0,MAX($CA$5:CA890)+1,""),"")</f>
        <v/>
      </c>
      <c r="CB891" s="80" t="str">
        <f>IF(AND(BE891=1,D891="Malcolm",E891&amp;""&lt;&gt;""),IF(COUNTIFS($D$5:D890,"Malcolm",$E$5:E890,E891,$BE$5:BE890,1)=0,MAX($CB$5:CB890)+1,""),"")</f>
        <v/>
      </c>
      <c r="CC891" s="80" t="str">
        <f>IF(AND(BD891=1,D891="proMX",E891&amp;""&lt;&gt;""),IF(COUNTIFS($D$5:D890,"proMX",$E$5:E890,E891,$BD$5:BD890,1)=0,MAX($CC$5:CC890)+1,""),"")</f>
        <v/>
      </c>
      <c r="CD891" s="80" t="str">
        <f>IF(AND(BE891=1,D891="Malcolm",F891&amp;""&lt;&gt;""),IF(COUNTIFS($D$5:D890,"Malcolm",$F$5:F890,F891,$BE$5:BE890,1)=0,MAX($CD$5:CD890)+1,""),"")</f>
        <v/>
      </c>
      <c r="CE891" s="80" t="str">
        <f>IF(AND(BD891=1,D891="proMX",F891&amp;""&lt;&gt;""),IF(COUNTIFS($D$5:D890,"proMX",$F$5:F890,F891,$BD$5:BD890,1)=0,MAX($CE$5:CE890)+1,""),"")</f>
        <v/>
      </c>
      <c r="CF891" s="80" t="str">
        <f>IF(AND(D891="proMX",BD891=1),IF(OR(BF891="Draft",BF891="Submitted",BF891="Returned",BF891="Recall Requested"),MAX($CF$5:CF890)+1,""),"")</f>
        <v/>
      </c>
      <c r="CG891" s="80">
        <f>IF(BD891=0,0,IF(D891="Malcolm",1,MATCH(BF891,{"Draft","Submitted","Approved","Returned","Recall Requested","Cancelled"},0)+1))</f>
        <v>0</v>
      </c>
      <c r="CH891" s="80">
        <f>IF(AND(BF891="Submitted",ISNUMBER(V891)),IF(V891&gt;CFG_MAXD,1,0),0)</f>
        <v>0</v>
      </c>
    </row>
    <row r="892">
      <c r="A892" s="71" t="str">
        <f>IF(Y892=1,ROW()-5,"")</f>
        <v/>
      </c>
      <c r="B892" s="72" t="n"/>
      <c r="C892" s="71" t="str">
        <f>IF(ISNUMBER(B892),CHOOSE(WEEKDAY(B892,2),"Lun","Mar","Mié","Jue","Vie","Sáb","Dom"),"")</f>
        <v/>
      </c>
      <c r="D892" s="73" t="n"/>
      <c r="E892" s="74" t="n"/>
      <c r="F892" s="74" t="n"/>
      <c r="G892" s="74" t="n"/>
      <c r="H892" s="75" t="n"/>
      <c r="I892" s="75" t="n"/>
      <c r="J892" s="76" t="n"/>
      <c r="K892" s="77" t="str">
        <f>IF(AB892=1,ROUND(AG892/60,4),"")</f>
        <v/>
      </c>
      <c r="L892" s="77" t="str">
        <f>IF(BD892=1,ROUND(AP892/60,4),"")</f>
        <v/>
      </c>
      <c r="M892" s="77" t="str">
        <f>IF(BD892=1,ROUND(AQ892/60,4),"")</f>
        <v/>
      </c>
      <c r="N892" s="71" t="str">
        <f>IF(AND(D892="proMX",AB892=1),ROUND(AG892/CFG_BLK,2),"")</f>
        <v/>
      </c>
      <c r="O892" s="77" t="str">
        <f>IF(D892="proMX",IF(BD892=1,ROUND(AG892/60,4),0),"")</f>
        <v/>
      </c>
      <c r="P892" s="78" t="str">
        <f>IF(Y892=0,"",IF(BD892=1,"OK",IF(D892="proMX","Revisar bloques: ","Revisar: ")&amp;BC892))</f>
        <v/>
      </c>
      <c r="Q892" s="78" t="str">
        <f>IF(NOT(ISNUMBER(B892)),"",IF(COUNTIFS(FER_F,INT(B892))&gt;0,"Feriado"&amp;IF(AH892=1," (laborable)"," (no laborable)"),IF(AH892=1,"Laborable",IF(WEEKDAY(B892,2)&gt;5,"Fin de semana","No laborable"))))</f>
        <v/>
      </c>
      <c r="R892" s="73" t="n"/>
      <c r="S892" s="72" t="n"/>
      <c r="T892" s="72" t="n"/>
      <c r="U892" s="74" t="n"/>
      <c r="V892" s="79" t="str">
        <f>IF(AND(D892="proMX",OR(R892="Submitted",R892="Recall Requested"),ISNUMBER(S892)),CFG_TODAY-INT(S892),"")</f>
        <v/>
      </c>
      <c r="W892" s="78" t="str">
        <f>IF(BD892=0,"",IF(BA892&gt;0,"⚠ Se superpone con un registro de la otra empresa",IF(D892="Malcolm",IF(COUNTA(R892,S892,T892)&gt;0,"Estado/fechas proMX se ignoran en Malcolm",""),IF(BF892="Cancelled","Cancelado: excluido de totales",IF(R892="","Sin estado: se trata como Draft",IF(BF892="Submitted",IF(ISNUMBER(V892),IF(V892&gt;CFG_MAXD,"⚠ "&amp;V892&amp;" días en Submitted (máx. "&amp;CFG_MAXD&amp;")",""),"Falta fecha de envío"),IF(BF892="Returned","⚠ Devuelto: corregir y reenviar",IF(BF892="Recall Requested","Retirada solicitada: pendiente",IF(AND(BF892="Approved",NOT(ISNUMBER(T892))),"Falta fecha de aprobación",IF(AND(ISNUMBER(S892),ISNUMBER(T892),T892&lt;S892),"Aprobación anterior al envío","")))))))))</f>
        <v/>
      </c>
      <c r="Y892" s="80">
        <f>IF(COUNTA(B892,D892,E892,F892,G892,H892,I892,J892,R892,S892,T892)&gt;0,1,0)</f>
        <v>0</v>
      </c>
      <c r="Z892" s="80" t="str">
        <f>IF(AND(ISNUMBER(H892),H892&gt;=0,H892&lt;1),ROUND(H892*1440,0),"")</f>
        <v/>
      </c>
      <c r="AA892" s="80" t="str">
        <f>IF(AND(ISNUMBER(I892),I892&gt;=0,I892&lt;1),ROUND(I892*1440,0),"")</f>
        <v/>
      </c>
      <c r="AB892" s="80">
        <f>IF(AND(ISNUMBER(B892),D892&lt;&gt;"",ISNUMBER(Z892),ISNUMBER(AA892)),IF(Z892=AA892,0,1),0)</f>
        <v>0</v>
      </c>
      <c r="AC892" s="80">
        <f>IF(AB892=1,IF(AA892&lt;Z892,1,0),0)</f>
        <v>0</v>
      </c>
      <c r="AD892" s="80">
        <f>IF(AB892=1,IF(AC892=1,1440-Z892+AA892,AA892-Z892),0)</f>
        <v>0</v>
      </c>
      <c r="AE892" s="80">
        <f>IF(J892="",0,IF(ISNUMBER(J892),J892,-1))</f>
        <v>0</v>
      </c>
      <c r="AF892" s="80">
        <f>MIN(MAX(0,AE892),AD892)</f>
        <v>0</v>
      </c>
      <c r="AG892" s="80">
        <f>MAX(0,AD892-MAX(0,AE892))</f>
        <v>0</v>
      </c>
      <c r="AH892" s="80">
        <f>IF(ISNUMBER(B892),IF(AND(INDEX(CFG_WDAYS,WEEKDAY(INT(B892),2))="Sí",IF(D892="proMX",COUNTIFS(FER_F,INT(B892),FER_NLP,"Sí"),COUNTIFS(FER_F,INT(B892),FER_NLM,"Sí"))=0),1,0),0)</f>
        <v>0</v>
      </c>
      <c r="AI892" s="80">
        <f>IF(AC892=1,IF(AND(INDEX(CFG_WDAYS,WEEKDAY(INT(B892)+1,2))="Sí",IF(D892="proMX",COUNTIFS(FER_F,INT(B892)+1,FER_NLP,"Sí"),COUNTIFS(FER_F,INT(B892)+1,FER_NLM,"Sí"))=0),1,0),0)</f>
        <v>0</v>
      </c>
      <c r="AJ892" s="80">
        <f>IF(AC892=1,1440-Z892,AD892)</f>
        <v>0</v>
      </c>
      <c r="AK892" s="80">
        <f>IF(AND(AB892=1,AH892=1),MAX(0,MIN(IF(AC892=1,1440,AA892),CFG_WEM)-MAX(Z892,CFG_WSM)),0)</f>
        <v>0</v>
      </c>
      <c r="AL892" s="80">
        <f>IF(AND(AC892=1,AI892=1),MAX(0,MIN(AA892,CFG_WEM)-CFG_WSM),0)</f>
        <v>0</v>
      </c>
      <c r="AM892" s="80">
        <f>AK892+AL892</f>
        <v>0</v>
      </c>
      <c r="AN892" s="80">
        <f>IF(CFG_BRK="Proporcional",IF(AD892=0,0,AF892*AM892/AD892),IF(CFG_BRK="Extras primero",MIN(AM892,MAX(0,AF892-(AD892-AM892))),MIN(AF892,AM892)))</f>
        <v>0</v>
      </c>
      <c r="AO892" s="80">
        <f>AF892-AN892</f>
        <v>0</v>
      </c>
      <c r="AP892" s="80">
        <f>AM892-AN892</f>
        <v>0</v>
      </c>
      <c r="AQ892" s="80">
        <f>AD892-AM892-AO892</f>
        <v>0</v>
      </c>
      <c r="AR892" s="80">
        <f>IF(AM892=0,0,AK892-AN892*AK892/AM892)</f>
        <v>0</v>
      </c>
      <c r="AS892" s="80">
        <f>IF(AD892-AM892=0,0,(AJ892-AK892)-AO892*(AJ892-AK892)/(AD892-AM892))</f>
        <v>0</v>
      </c>
      <c r="AT892" s="80" t="str">
        <f>IF(AC892=1,INT(B892)+1,"")</f>
        <v/>
      </c>
      <c r="AU892" s="80">
        <f>IF(AND(D892="proMX",R892="Cancelled"),0,1)</f>
        <v>1</v>
      </c>
      <c r="AV892" s="80">
        <f>IF(AND(AB892=1,AU892=1),IF(COUNTIFS($D$5:D891,D892,$B$5:B891,B892,$Z$5:Z891,Z892,$AA$5:AA891,AA892,$F$5:F891,F892&amp;"",$AU$5:AU891,1)&gt;0,1,0),0)</f>
        <v>0</v>
      </c>
      <c r="AW892" s="80" t="str">
        <f>IF(AB892=1,INT(B892)*1440+Z892,"")</f>
        <v/>
      </c>
      <c r="AX892" s="80" t="str">
        <f>IF(AB892=1,AW892+AD892,"")</f>
        <v/>
      </c>
      <c r="AY892" s="80">
        <f>IF(AND(AB892=1,AV892=0,AU892=1),1,0)</f>
        <v>0</v>
      </c>
      <c r="AZ892" s="80">
        <f>IF(AY892=1,COUNTIFS(R_Emp,D892,R_SAbs,"&lt;"&amp;AX892,R_EAbs,"&gt;"&amp;AW892,R_OKey,1)-1,0)</f>
        <v>0</v>
      </c>
      <c r="BA892" s="80">
        <f>IF(AY892=1,COUNTIFS(R_Emp,"&lt;&gt;"&amp;D892,R_SAbs,"&lt;"&amp;AX892,R_EAbs,"&gt;"&amp;AW892,R_OKey,1),0)</f>
        <v>0</v>
      </c>
      <c r="BB892" s="80">
        <f>IF(AND(AB892=1,D892="proMX"),IF(AND(MOD(Z892,CFG_BLK)=0,MOD(AA892,CFG_BLK)=0,MOD(AG892,CFG_BLK)=0,AG892&gt;0),1,0),1)</f>
        <v>1</v>
      </c>
      <c r="BC892" s="80" t="str">
        <f>IF(Y892=0,"",IF(NOT(ISNUMBER(B892)),"Falta fecha o fecha inválida",IF(D892="","Falta empresa",IF(AND(D892&lt;&gt;"Malcolm",D892&lt;&gt;"proMX"),"Empresa inválida",IF(OR(INT(B892)&lt;CFG_PSTART,INT(B892)&gt;CFG_PEND),"Fecha fuera del período",IF(OR(NOT(ISNUMBER(Z892)),NOT(ISNUMBER(AA892))),"Falta hora inicio/fin o formato inválido",IF(AB892=0,"Hora inicio = hora fin",IF(AE892&lt;0,"Descanso inválido",IF(AE892&gt;=AD892,"Descanso ≥ duración",IF(AV892=1,"Registro duplicado",IF(AZ892&gt;0,"Se superpone con otro registro "&amp;D892,IF(BB892=0,"inicio, fin y duración neta deben ser múltiplos de "&amp;CFG_BLK&amp;" min",""))))))))))))</f>
        <v/>
      </c>
      <c r="BD892" s="80">
        <f>IF(AND(Y892=1,BC892=""),1,0)</f>
        <v>0</v>
      </c>
      <c r="BE892" s="80">
        <f>IF(AND(BD892=1,AU892=1),1,0)</f>
        <v>0</v>
      </c>
      <c r="BF892" s="80" t="str">
        <f>IF(AND(D892="proMX",BD892=1),IF(R892="","Draft",R892),"")</f>
        <v/>
      </c>
      <c r="BG892" s="80">
        <f>IF(BD892=1,ROUND(AG892/60,6),0)</f>
        <v>0</v>
      </c>
      <c r="BH892" s="80">
        <f>IF(BE892=1,ROUND(AG892/60,6),0)</f>
        <v>0</v>
      </c>
      <c r="BI892" s="80">
        <f>IF(BE892=1,ROUND(AP892/60,6),0)</f>
        <v>0</v>
      </c>
      <c r="BJ892" s="80">
        <f>IF(BE892=1,ROUND(AQ892/60,6),0)</f>
        <v>0</v>
      </c>
      <c r="BK892" s="80">
        <f>IF(BE892=1,ROUND((AR892+AS892)/60,6),0)</f>
        <v>0</v>
      </c>
      <c r="BL892" s="80">
        <f>ROUND(BH892-BK892,6)</f>
        <v>0</v>
      </c>
      <c r="BM892" s="80">
        <f>IF(BE892=1,ROUND(AR892/60,6),0)</f>
        <v>0</v>
      </c>
      <c r="BN892" s="80">
        <f>ROUND(BI892-BM892,6)</f>
        <v>0</v>
      </c>
      <c r="BO892" s="80">
        <f>IF(BE892=1,ROUND(AS892/60,6),0)</f>
        <v>0</v>
      </c>
      <c r="BP892" s="80">
        <f>ROUND(BJ892-BO892,6)</f>
        <v>0</v>
      </c>
      <c r="BQ892" s="80">
        <f>IF(BE892=1,AW892,0)</f>
        <v>0</v>
      </c>
      <c r="BR892" s="80">
        <f>IF(BE892=1,AX892,0)</f>
        <v>0</v>
      </c>
      <c r="BS892" s="80">
        <f>IF(AND(BE892=1,D892="Malcolm",BA892&gt;0),MIN(BH892,SUMPRODUCT((R_Emp="proMX")*(R_EN&gt;0)*((R_EN-(R_EN&gt;BR892)*(R_EN-BR892))&gt;(R_SN+(R_SN&lt;BQ892)*(BQ892-R_SN)))*((R_EN-(R_EN&gt;BR892)*(R_EN-BR892))-(R_SN+(R_SN&lt;BQ892)*(BQ892-R_SN))))/60),0)</f>
        <v>0</v>
      </c>
      <c r="BT892" s="80">
        <f>IF(AND(BE892=1,D892="proMX"),ROUND(BI892*CFG_RATE+BJ892*CFG_OTRATE,6),0)</f>
        <v>0</v>
      </c>
      <c r="BU892" s="80">
        <f>IF(AND(BD892=1,D892="proMX"),ROUND(AG892/CFG_BLK,6),0)</f>
        <v>0</v>
      </c>
      <c r="BV892" s="80" t="str">
        <f>IF(BF892="Approved",IF(ISNUMBER(T892),INT(T892),INT(B892)),"")</f>
        <v/>
      </c>
      <c r="BW892" s="80">
        <f>IF(ISNUMBER(B892),IF(DB_MON="Todos",1,IF(AND(INT(B892)&gt;=DB_MS,INT(B892)&lt;=DB_ME),1,0)),0)</f>
        <v>0</v>
      </c>
      <c r="BX892" s="80">
        <f>IF(DB_PROJ="Todos",1,IF(E892&amp;""=DB_PROJ&amp;"",1,0))</f>
        <v>1</v>
      </c>
      <c r="BY892" s="80">
        <f>BW892*BX892</f>
        <v>0</v>
      </c>
      <c r="BZ892" s="80" t="str">
        <f>IF(Y892=1,F892&amp;IF(AND(F892&amp;""&lt;&gt;"",E892&amp;""&lt;&gt;"")," · ","")&amp;E892,"")</f>
        <v/>
      </c>
      <c r="CA892" s="80" t="str">
        <f>IF(AND(BD892=1,E892&amp;""&lt;&gt;""),IF(COUNTIFS($E$5:E891,E892,$BD$5:BD891,1)=0,MAX($CA$5:CA891)+1,""),"")</f>
        <v/>
      </c>
      <c r="CB892" s="80" t="str">
        <f>IF(AND(BE892=1,D892="Malcolm",E892&amp;""&lt;&gt;""),IF(COUNTIFS($D$5:D891,"Malcolm",$E$5:E891,E892,$BE$5:BE891,1)=0,MAX($CB$5:CB891)+1,""),"")</f>
        <v/>
      </c>
      <c r="CC892" s="80" t="str">
        <f>IF(AND(BD892=1,D892="proMX",E892&amp;""&lt;&gt;""),IF(COUNTIFS($D$5:D891,"proMX",$E$5:E891,E892,$BD$5:BD891,1)=0,MAX($CC$5:CC891)+1,""),"")</f>
        <v/>
      </c>
      <c r="CD892" s="80" t="str">
        <f>IF(AND(BE892=1,D892="Malcolm",F892&amp;""&lt;&gt;""),IF(COUNTIFS($D$5:D891,"Malcolm",$F$5:F891,F892,$BE$5:BE891,1)=0,MAX($CD$5:CD891)+1,""),"")</f>
        <v/>
      </c>
      <c r="CE892" s="80" t="str">
        <f>IF(AND(BD892=1,D892="proMX",F892&amp;""&lt;&gt;""),IF(COUNTIFS($D$5:D891,"proMX",$F$5:F891,F892,$BD$5:BD891,1)=0,MAX($CE$5:CE891)+1,""),"")</f>
        <v/>
      </c>
      <c r="CF892" s="80" t="str">
        <f>IF(AND(D892="proMX",BD892=1),IF(OR(BF892="Draft",BF892="Submitted",BF892="Returned",BF892="Recall Requested"),MAX($CF$5:CF891)+1,""),"")</f>
        <v/>
      </c>
      <c r="CG892" s="80">
        <f>IF(BD892=0,0,IF(D892="Malcolm",1,MATCH(BF892,{"Draft","Submitted","Approved","Returned","Recall Requested","Cancelled"},0)+1))</f>
        <v>0</v>
      </c>
      <c r="CH892" s="80">
        <f>IF(AND(BF892="Submitted",ISNUMBER(V892)),IF(V892&gt;CFG_MAXD,1,0),0)</f>
        <v>0</v>
      </c>
    </row>
    <row r="893">
      <c r="A893" s="71" t="str">
        <f>IF(Y893=1,ROW()-5,"")</f>
        <v/>
      </c>
      <c r="B893" s="72" t="n"/>
      <c r="C893" s="71" t="str">
        <f>IF(ISNUMBER(B893),CHOOSE(WEEKDAY(B893,2),"Lun","Mar","Mié","Jue","Vie","Sáb","Dom"),"")</f>
        <v/>
      </c>
      <c r="D893" s="73" t="n"/>
      <c r="E893" s="74" t="n"/>
      <c r="F893" s="74" t="n"/>
      <c r="G893" s="74" t="n"/>
      <c r="H893" s="75" t="n"/>
      <c r="I893" s="75" t="n"/>
      <c r="J893" s="76" t="n"/>
      <c r="K893" s="77" t="str">
        <f>IF(AB893=1,ROUND(AG893/60,4),"")</f>
        <v/>
      </c>
      <c r="L893" s="77" t="str">
        <f>IF(BD893=1,ROUND(AP893/60,4),"")</f>
        <v/>
      </c>
      <c r="M893" s="77" t="str">
        <f>IF(BD893=1,ROUND(AQ893/60,4),"")</f>
        <v/>
      </c>
      <c r="N893" s="71" t="str">
        <f>IF(AND(D893="proMX",AB893=1),ROUND(AG893/CFG_BLK,2),"")</f>
        <v/>
      </c>
      <c r="O893" s="77" t="str">
        <f>IF(D893="proMX",IF(BD893=1,ROUND(AG893/60,4),0),"")</f>
        <v/>
      </c>
      <c r="P893" s="78" t="str">
        <f>IF(Y893=0,"",IF(BD893=1,"OK",IF(D893="proMX","Revisar bloques: ","Revisar: ")&amp;BC893))</f>
        <v/>
      </c>
      <c r="Q893" s="78" t="str">
        <f>IF(NOT(ISNUMBER(B893)),"",IF(COUNTIFS(FER_F,INT(B893))&gt;0,"Feriado"&amp;IF(AH893=1," (laborable)"," (no laborable)"),IF(AH893=1,"Laborable",IF(WEEKDAY(B893,2)&gt;5,"Fin de semana","No laborable"))))</f>
        <v/>
      </c>
      <c r="R893" s="73" t="n"/>
      <c r="S893" s="72" t="n"/>
      <c r="T893" s="72" t="n"/>
      <c r="U893" s="74" t="n"/>
      <c r="V893" s="79" t="str">
        <f>IF(AND(D893="proMX",OR(R893="Submitted",R893="Recall Requested"),ISNUMBER(S893)),CFG_TODAY-INT(S893),"")</f>
        <v/>
      </c>
      <c r="W893" s="78" t="str">
        <f>IF(BD893=0,"",IF(BA893&gt;0,"⚠ Se superpone con un registro de la otra empresa",IF(D893="Malcolm",IF(COUNTA(R893,S893,T893)&gt;0,"Estado/fechas proMX se ignoran en Malcolm",""),IF(BF893="Cancelled","Cancelado: excluido de totales",IF(R893="","Sin estado: se trata como Draft",IF(BF893="Submitted",IF(ISNUMBER(V893),IF(V893&gt;CFG_MAXD,"⚠ "&amp;V893&amp;" días en Submitted (máx. "&amp;CFG_MAXD&amp;")",""),"Falta fecha de envío"),IF(BF893="Returned","⚠ Devuelto: corregir y reenviar",IF(BF893="Recall Requested","Retirada solicitada: pendiente",IF(AND(BF893="Approved",NOT(ISNUMBER(T893))),"Falta fecha de aprobación",IF(AND(ISNUMBER(S893),ISNUMBER(T893),T893&lt;S893),"Aprobación anterior al envío","")))))))))</f>
        <v/>
      </c>
      <c r="Y893" s="80">
        <f>IF(COUNTA(B893,D893,E893,F893,G893,H893,I893,J893,R893,S893,T893)&gt;0,1,0)</f>
        <v>0</v>
      </c>
      <c r="Z893" s="80" t="str">
        <f>IF(AND(ISNUMBER(H893),H893&gt;=0,H893&lt;1),ROUND(H893*1440,0),"")</f>
        <v/>
      </c>
      <c r="AA893" s="80" t="str">
        <f>IF(AND(ISNUMBER(I893),I893&gt;=0,I893&lt;1),ROUND(I893*1440,0),"")</f>
        <v/>
      </c>
      <c r="AB893" s="80">
        <f>IF(AND(ISNUMBER(B893),D893&lt;&gt;"",ISNUMBER(Z893),ISNUMBER(AA893)),IF(Z893=AA893,0,1),0)</f>
        <v>0</v>
      </c>
      <c r="AC893" s="80">
        <f>IF(AB893=1,IF(AA893&lt;Z893,1,0),0)</f>
        <v>0</v>
      </c>
      <c r="AD893" s="80">
        <f>IF(AB893=1,IF(AC893=1,1440-Z893+AA893,AA893-Z893),0)</f>
        <v>0</v>
      </c>
      <c r="AE893" s="80">
        <f>IF(J893="",0,IF(ISNUMBER(J893),J893,-1))</f>
        <v>0</v>
      </c>
      <c r="AF893" s="80">
        <f>MIN(MAX(0,AE893),AD893)</f>
        <v>0</v>
      </c>
      <c r="AG893" s="80">
        <f>MAX(0,AD893-MAX(0,AE893))</f>
        <v>0</v>
      </c>
      <c r="AH893" s="80">
        <f>IF(ISNUMBER(B893),IF(AND(INDEX(CFG_WDAYS,WEEKDAY(INT(B893),2))="Sí",IF(D893="proMX",COUNTIFS(FER_F,INT(B893),FER_NLP,"Sí"),COUNTIFS(FER_F,INT(B893),FER_NLM,"Sí"))=0),1,0),0)</f>
        <v>0</v>
      </c>
      <c r="AI893" s="80">
        <f>IF(AC893=1,IF(AND(INDEX(CFG_WDAYS,WEEKDAY(INT(B893)+1,2))="Sí",IF(D893="proMX",COUNTIFS(FER_F,INT(B893)+1,FER_NLP,"Sí"),COUNTIFS(FER_F,INT(B893)+1,FER_NLM,"Sí"))=0),1,0),0)</f>
        <v>0</v>
      </c>
      <c r="AJ893" s="80">
        <f>IF(AC893=1,1440-Z893,AD893)</f>
        <v>0</v>
      </c>
      <c r="AK893" s="80">
        <f>IF(AND(AB893=1,AH893=1),MAX(0,MIN(IF(AC893=1,1440,AA893),CFG_WEM)-MAX(Z893,CFG_WSM)),0)</f>
        <v>0</v>
      </c>
      <c r="AL893" s="80">
        <f>IF(AND(AC893=1,AI893=1),MAX(0,MIN(AA893,CFG_WEM)-CFG_WSM),0)</f>
        <v>0</v>
      </c>
      <c r="AM893" s="80">
        <f>AK893+AL893</f>
        <v>0</v>
      </c>
      <c r="AN893" s="80">
        <f>IF(CFG_BRK="Proporcional",IF(AD893=0,0,AF893*AM893/AD893),IF(CFG_BRK="Extras primero",MIN(AM893,MAX(0,AF893-(AD893-AM893))),MIN(AF893,AM893)))</f>
        <v>0</v>
      </c>
      <c r="AO893" s="80">
        <f>AF893-AN893</f>
        <v>0</v>
      </c>
      <c r="AP893" s="80">
        <f>AM893-AN893</f>
        <v>0</v>
      </c>
      <c r="AQ893" s="80">
        <f>AD893-AM893-AO893</f>
        <v>0</v>
      </c>
      <c r="AR893" s="80">
        <f>IF(AM893=0,0,AK893-AN893*AK893/AM893)</f>
        <v>0</v>
      </c>
      <c r="AS893" s="80">
        <f>IF(AD893-AM893=0,0,(AJ893-AK893)-AO893*(AJ893-AK893)/(AD893-AM893))</f>
        <v>0</v>
      </c>
      <c r="AT893" s="80" t="str">
        <f>IF(AC893=1,INT(B893)+1,"")</f>
        <v/>
      </c>
      <c r="AU893" s="80">
        <f>IF(AND(D893="proMX",R893="Cancelled"),0,1)</f>
        <v>1</v>
      </c>
      <c r="AV893" s="80">
        <f>IF(AND(AB893=1,AU893=1),IF(COUNTIFS($D$5:D892,D893,$B$5:B892,B893,$Z$5:Z892,Z893,$AA$5:AA892,AA893,$F$5:F892,F893&amp;"",$AU$5:AU892,1)&gt;0,1,0),0)</f>
        <v>0</v>
      </c>
      <c r="AW893" s="80" t="str">
        <f>IF(AB893=1,INT(B893)*1440+Z893,"")</f>
        <v/>
      </c>
      <c r="AX893" s="80" t="str">
        <f>IF(AB893=1,AW893+AD893,"")</f>
        <v/>
      </c>
      <c r="AY893" s="80">
        <f>IF(AND(AB893=1,AV893=0,AU893=1),1,0)</f>
        <v>0</v>
      </c>
      <c r="AZ893" s="80">
        <f>IF(AY893=1,COUNTIFS(R_Emp,D893,R_SAbs,"&lt;"&amp;AX893,R_EAbs,"&gt;"&amp;AW893,R_OKey,1)-1,0)</f>
        <v>0</v>
      </c>
      <c r="BA893" s="80">
        <f>IF(AY893=1,COUNTIFS(R_Emp,"&lt;&gt;"&amp;D893,R_SAbs,"&lt;"&amp;AX893,R_EAbs,"&gt;"&amp;AW893,R_OKey,1),0)</f>
        <v>0</v>
      </c>
      <c r="BB893" s="80">
        <f>IF(AND(AB893=1,D893="proMX"),IF(AND(MOD(Z893,CFG_BLK)=0,MOD(AA893,CFG_BLK)=0,MOD(AG893,CFG_BLK)=0,AG893&gt;0),1,0),1)</f>
        <v>1</v>
      </c>
      <c r="BC893" s="80" t="str">
        <f>IF(Y893=0,"",IF(NOT(ISNUMBER(B893)),"Falta fecha o fecha inválida",IF(D893="","Falta empresa",IF(AND(D893&lt;&gt;"Malcolm",D893&lt;&gt;"proMX"),"Empresa inválida",IF(OR(INT(B893)&lt;CFG_PSTART,INT(B893)&gt;CFG_PEND),"Fecha fuera del período",IF(OR(NOT(ISNUMBER(Z893)),NOT(ISNUMBER(AA893))),"Falta hora inicio/fin o formato inválido",IF(AB893=0,"Hora inicio = hora fin",IF(AE893&lt;0,"Descanso inválido",IF(AE893&gt;=AD893,"Descanso ≥ duración",IF(AV893=1,"Registro duplicado",IF(AZ893&gt;0,"Se superpone con otro registro "&amp;D893,IF(BB893=0,"inicio, fin y duración neta deben ser múltiplos de "&amp;CFG_BLK&amp;" min",""))))))))))))</f>
        <v/>
      </c>
      <c r="BD893" s="80">
        <f>IF(AND(Y893=1,BC893=""),1,0)</f>
        <v>0</v>
      </c>
      <c r="BE893" s="80">
        <f>IF(AND(BD893=1,AU893=1),1,0)</f>
        <v>0</v>
      </c>
      <c r="BF893" s="80" t="str">
        <f>IF(AND(D893="proMX",BD893=1),IF(R893="","Draft",R893),"")</f>
        <v/>
      </c>
      <c r="BG893" s="80">
        <f>IF(BD893=1,ROUND(AG893/60,6),0)</f>
        <v>0</v>
      </c>
      <c r="BH893" s="80">
        <f>IF(BE893=1,ROUND(AG893/60,6),0)</f>
        <v>0</v>
      </c>
      <c r="BI893" s="80">
        <f>IF(BE893=1,ROUND(AP893/60,6),0)</f>
        <v>0</v>
      </c>
      <c r="BJ893" s="80">
        <f>IF(BE893=1,ROUND(AQ893/60,6),0)</f>
        <v>0</v>
      </c>
      <c r="BK893" s="80">
        <f>IF(BE893=1,ROUND((AR893+AS893)/60,6),0)</f>
        <v>0</v>
      </c>
      <c r="BL893" s="80">
        <f>ROUND(BH893-BK893,6)</f>
        <v>0</v>
      </c>
      <c r="BM893" s="80">
        <f>IF(BE893=1,ROUND(AR893/60,6),0)</f>
        <v>0</v>
      </c>
      <c r="BN893" s="80">
        <f>ROUND(BI893-BM893,6)</f>
        <v>0</v>
      </c>
      <c r="BO893" s="80">
        <f>IF(BE893=1,ROUND(AS893/60,6),0)</f>
        <v>0</v>
      </c>
      <c r="BP893" s="80">
        <f>ROUND(BJ893-BO893,6)</f>
        <v>0</v>
      </c>
      <c r="BQ893" s="80">
        <f>IF(BE893=1,AW893,0)</f>
        <v>0</v>
      </c>
      <c r="BR893" s="80">
        <f>IF(BE893=1,AX893,0)</f>
        <v>0</v>
      </c>
      <c r="BS893" s="80">
        <f>IF(AND(BE893=1,D893="Malcolm",BA893&gt;0),MIN(BH893,SUMPRODUCT((R_Emp="proMX")*(R_EN&gt;0)*((R_EN-(R_EN&gt;BR893)*(R_EN-BR893))&gt;(R_SN+(R_SN&lt;BQ893)*(BQ893-R_SN)))*((R_EN-(R_EN&gt;BR893)*(R_EN-BR893))-(R_SN+(R_SN&lt;BQ893)*(BQ893-R_SN))))/60),0)</f>
        <v>0</v>
      </c>
      <c r="BT893" s="80">
        <f>IF(AND(BE893=1,D893="proMX"),ROUND(BI893*CFG_RATE+BJ893*CFG_OTRATE,6),0)</f>
        <v>0</v>
      </c>
      <c r="BU893" s="80">
        <f>IF(AND(BD893=1,D893="proMX"),ROUND(AG893/CFG_BLK,6),0)</f>
        <v>0</v>
      </c>
      <c r="BV893" s="80" t="str">
        <f>IF(BF893="Approved",IF(ISNUMBER(T893),INT(T893),INT(B893)),"")</f>
        <v/>
      </c>
      <c r="BW893" s="80">
        <f>IF(ISNUMBER(B893),IF(DB_MON="Todos",1,IF(AND(INT(B893)&gt;=DB_MS,INT(B893)&lt;=DB_ME),1,0)),0)</f>
        <v>0</v>
      </c>
      <c r="BX893" s="80">
        <f>IF(DB_PROJ="Todos",1,IF(E893&amp;""=DB_PROJ&amp;"",1,0))</f>
        <v>1</v>
      </c>
      <c r="BY893" s="80">
        <f>BW893*BX893</f>
        <v>0</v>
      </c>
      <c r="BZ893" s="80" t="str">
        <f>IF(Y893=1,F893&amp;IF(AND(F893&amp;""&lt;&gt;"",E893&amp;""&lt;&gt;"")," · ","")&amp;E893,"")</f>
        <v/>
      </c>
      <c r="CA893" s="80" t="str">
        <f>IF(AND(BD893=1,E893&amp;""&lt;&gt;""),IF(COUNTIFS($E$5:E892,E893,$BD$5:BD892,1)=0,MAX($CA$5:CA892)+1,""),"")</f>
        <v/>
      </c>
      <c r="CB893" s="80" t="str">
        <f>IF(AND(BE893=1,D893="Malcolm",E893&amp;""&lt;&gt;""),IF(COUNTIFS($D$5:D892,"Malcolm",$E$5:E892,E893,$BE$5:BE892,1)=0,MAX($CB$5:CB892)+1,""),"")</f>
        <v/>
      </c>
      <c r="CC893" s="80" t="str">
        <f>IF(AND(BD893=1,D893="proMX",E893&amp;""&lt;&gt;""),IF(COUNTIFS($D$5:D892,"proMX",$E$5:E892,E893,$BD$5:BD892,1)=0,MAX($CC$5:CC892)+1,""),"")</f>
        <v/>
      </c>
      <c r="CD893" s="80" t="str">
        <f>IF(AND(BE893=1,D893="Malcolm",F893&amp;""&lt;&gt;""),IF(COUNTIFS($D$5:D892,"Malcolm",$F$5:F892,F893,$BE$5:BE892,1)=0,MAX($CD$5:CD892)+1,""),"")</f>
        <v/>
      </c>
      <c r="CE893" s="80" t="str">
        <f>IF(AND(BD893=1,D893="proMX",F893&amp;""&lt;&gt;""),IF(COUNTIFS($D$5:D892,"proMX",$F$5:F892,F893,$BD$5:BD892,1)=0,MAX($CE$5:CE892)+1,""),"")</f>
        <v/>
      </c>
      <c r="CF893" s="80" t="str">
        <f>IF(AND(D893="proMX",BD893=1),IF(OR(BF893="Draft",BF893="Submitted",BF893="Returned",BF893="Recall Requested"),MAX($CF$5:CF892)+1,""),"")</f>
        <v/>
      </c>
      <c r="CG893" s="80">
        <f>IF(BD893=0,0,IF(D893="Malcolm",1,MATCH(BF893,{"Draft","Submitted","Approved","Returned","Recall Requested","Cancelled"},0)+1))</f>
        <v>0</v>
      </c>
      <c r="CH893" s="80">
        <f>IF(AND(BF893="Submitted",ISNUMBER(V893)),IF(V893&gt;CFG_MAXD,1,0),0)</f>
        <v>0</v>
      </c>
    </row>
    <row r="894">
      <c r="A894" s="71" t="str">
        <f>IF(Y894=1,ROW()-5,"")</f>
        <v/>
      </c>
      <c r="B894" s="72" t="n"/>
      <c r="C894" s="71" t="str">
        <f>IF(ISNUMBER(B894),CHOOSE(WEEKDAY(B894,2),"Lun","Mar","Mié","Jue","Vie","Sáb","Dom"),"")</f>
        <v/>
      </c>
      <c r="D894" s="73" t="n"/>
      <c r="E894" s="74" t="n"/>
      <c r="F894" s="74" t="n"/>
      <c r="G894" s="74" t="n"/>
      <c r="H894" s="75" t="n"/>
      <c r="I894" s="75" t="n"/>
      <c r="J894" s="76" t="n"/>
      <c r="K894" s="77" t="str">
        <f>IF(AB894=1,ROUND(AG894/60,4),"")</f>
        <v/>
      </c>
      <c r="L894" s="77" t="str">
        <f>IF(BD894=1,ROUND(AP894/60,4),"")</f>
        <v/>
      </c>
      <c r="M894" s="77" t="str">
        <f>IF(BD894=1,ROUND(AQ894/60,4),"")</f>
        <v/>
      </c>
      <c r="N894" s="71" t="str">
        <f>IF(AND(D894="proMX",AB894=1),ROUND(AG894/CFG_BLK,2),"")</f>
        <v/>
      </c>
      <c r="O894" s="77" t="str">
        <f>IF(D894="proMX",IF(BD894=1,ROUND(AG894/60,4),0),"")</f>
        <v/>
      </c>
      <c r="P894" s="78" t="str">
        <f>IF(Y894=0,"",IF(BD894=1,"OK",IF(D894="proMX","Revisar bloques: ","Revisar: ")&amp;BC894))</f>
        <v/>
      </c>
      <c r="Q894" s="78" t="str">
        <f>IF(NOT(ISNUMBER(B894)),"",IF(COUNTIFS(FER_F,INT(B894))&gt;0,"Feriado"&amp;IF(AH894=1," (laborable)"," (no laborable)"),IF(AH894=1,"Laborable",IF(WEEKDAY(B894,2)&gt;5,"Fin de semana","No laborable"))))</f>
        <v/>
      </c>
      <c r="R894" s="73" t="n"/>
      <c r="S894" s="72" t="n"/>
      <c r="T894" s="72" t="n"/>
      <c r="U894" s="74" t="n"/>
      <c r="V894" s="79" t="str">
        <f>IF(AND(D894="proMX",OR(R894="Submitted",R894="Recall Requested"),ISNUMBER(S894)),CFG_TODAY-INT(S894),"")</f>
        <v/>
      </c>
      <c r="W894" s="78" t="str">
        <f>IF(BD894=0,"",IF(BA894&gt;0,"⚠ Se superpone con un registro de la otra empresa",IF(D894="Malcolm",IF(COUNTA(R894,S894,T894)&gt;0,"Estado/fechas proMX se ignoran en Malcolm",""),IF(BF894="Cancelled","Cancelado: excluido de totales",IF(R894="","Sin estado: se trata como Draft",IF(BF894="Submitted",IF(ISNUMBER(V894),IF(V894&gt;CFG_MAXD,"⚠ "&amp;V894&amp;" días en Submitted (máx. "&amp;CFG_MAXD&amp;")",""),"Falta fecha de envío"),IF(BF894="Returned","⚠ Devuelto: corregir y reenviar",IF(BF894="Recall Requested","Retirada solicitada: pendiente",IF(AND(BF894="Approved",NOT(ISNUMBER(T894))),"Falta fecha de aprobación",IF(AND(ISNUMBER(S894),ISNUMBER(T894),T894&lt;S894),"Aprobación anterior al envío","")))))))))</f>
        <v/>
      </c>
      <c r="Y894" s="80">
        <f>IF(COUNTA(B894,D894,E894,F894,G894,H894,I894,J894,R894,S894,T894)&gt;0,1,0)</f>
        <v>0</v>
      </c>
      <c r="Z894" s="80" t="str">
        <f>IF(AND(ISNUMBER(H894),H894&gt;=0,H894&lt;1),ROUND(H894*1440,0),"")</f>
        <v/>
      </c>
      <c r="AA894" s="80" t="str">
        <f>IF(AND(ISNUMBER(I894),I894&gt;=0,I894&lt;1),ROUND(I894*1440,0),"")</f>
        <v/>
      </c>
      <c r="AB894" s="80">
        <f>IF(AND(ISNUMBER(B894),D894&lt;&gt;"",ISNUMBER(Z894),ISNUMBER(AA894)),IF(Z894=AA894,0,1),0)</f>
        <v>0</v>
      </c>
      <c r="AC894" s="80">
        <f>IF(AB894=1,IF(AA894&lt;Z894,1,0),0)</f>
        <v>0</v>
      </c>
      <c r="AD894" s="80">
        <f>IF(AB894=1,IF(AC894=1,1440-Z894+AA894,AA894-Z894),0)</f>
        <v>0</v>
      </c>
      <c r="AE894" s="80">
        <f>IF(J894="",0,IF(ISNUMBER(J894),J894,-1))</f>
        <v>0</v>
      </c>
      <c r="AF894" s="80">
        <f>MIN(MAX(0,AE894),AD894)</f>
        <v>0</v>
      </c>
      <c r="AG894" s="80">
        <f>MAX(0,AD894-MAX(0,AE894))</f>
        <v>0</v>
      </c>
      <c r="AH894" s="80">
        <f>IF(ISNUMBER(B894),IF(AND(INDEX(CFG_WDAYS,WEEKDAY(INT(B894),2))="Sí",IF(D894="proMX",COUNTIFS(FER_F,INT(B894),FER_NLP,"Sí"),COUNTIFS(FER_F,INT(B894),FER_NLM,"Sí"))=0),1,0),0)</f>
        <v>0</v>
      </c>
      <c r="AI894" s="80">
        <f>IF(AC894=1,IF(AND(INDEX(CFG_WDAYS,WEEKDAY(INT(B894)+1,2))="Sí",IF(D894="proMX",COUNTIFS(FER_F,INT(B894)+1,FER_NLP,"Sí"),COUNTIFS(FER_F,INT(B894)+1,FER_NLM,"Sí"))=0),1,0),0)</f>
        <v>0</v>
      </c>
      <c r="AJ894" s="80">
        <f>IF(AC894=1,1440-Z894,AD894)</f>
        <v>0</v>
      </c>
      <c r="AK894" s="80">
        <f>IF(AND(AB894=1,AH894=1),MAX(0,MIN(IF(AC894=1,1440,AA894),CFG_WEM)-MAX(Z894,CFG_WSM)),0)</f>
        <v>0</v>
      </c>
      <c r="AL894" s="80">
        <f>IF(AND(AC894=1,AI894=1),MAX(0,MIN(AA894,CFG_WEM)-CFG_WSM),0)</f>
        <v>0</v>
      </c>
      <c r="AM894" s="80">
        <f>AK894+AL894</f>
        <v>0</v>
      </c>
      <c r="AN894" s="80">
        <f>IF(CFG_BRK="Proporcional",IF(AD894=0,0,AF894*AM894/AD894),IF(CFG_BRK="Extras primero",MIN(AM894,MAX(0,AF894-(AD894-AM894))),MIN(AF894,AM894)))</f>
        <v>0</v>
      </c>
      <c r="AO894" s="80">
        <f>AF894-AN894</f>
        <v>0</v>
      </c>
      <c r="AP894" s="80">
        <f>AM894-AN894</f>
        <v>0</v>
      </c>
      <c r="AQ894" s="80">
        <f>AD894-AM894-AO894</f>
        <v>0</v>
      </c>
      <c r="AR894" s="80">
        <f>IF(AM894=0,0,AK894-AN894*AK894/AM894)</f>
        <v>0</v>
      </c>
      <c r="AS894" s="80">
        <f>IF(AD894-AM894=0,0,(AJ894-AK894)-AO894*(AJ894-AK894)/(AD894-AM894))</f>
        <v>0</v>
      </c>
      <c r="AT894" s="80" t="str">
        <f>IF(AC894=1,INT(B894)+1,"")</f>
        <v/>
      </c>
      <c r="AU894" s="80">
        <f>IF(AND(D894="proMX",R894="Cancelled"),0,1)</f>
        <v>1</v>
      </c>
      <c r="AV894" s="80">
        <f>IF(AND(AB894=1,AU894=1),IF(COUNTIFS($D$5:D893,D894,$B$5:B893,B894,$Z$5:Z893,Z894,$AA$5:AA893,AA894,$F$5:F893,F894&amp;"",$AU$5:AU893,1)&gt;0,1,0),0)</f>
        <v>0</v>
      </c>
      <c r="AW894" s="80" t="str">
        <f>IF(AB894=1,INT(B894)*1440+Z894,"")</f>
        <v/>
      </c>
      <c r="AX894" s="80" t="str">
        <f>IF(AB894=1,AW894+AD894,"")</f>
        <v/>
      </c>
      <c r="AY894" s="80">
        <f>IF(AND(AB894=1,AV894=0,AU894=1),1,0)</f>
        <v>0</v>
      </c>
      <c r="AZ894" s="80">
        <f>IF(AY894=1,COUNTIFS(R_Emp,D894,R_SAbs,"&lt;"&amp;AX894,R_EAbs,"&gt;"&amp;AW894,R_OKey,1)-1,0)</f>
        <v>0</v>
      </c>
      <c r="BA894" s="80">
        <f>IF(AY894=1,COUNTIFS(R_Emp,"&lt;&gt;"&amp;D894,R_SAbs,"&lt;"&amp;AX894,R_EAbs,"&gt;"&amp;AW894,R_OKey,1),0)</f>
        <v>0</v>
      </c>
      <c r="BB894" s="80">
        <f>IF(AND(AB894=1,D894="proMX"),IF(AND(MOD(Z894,CFG_BLK)=0,MOD(AA894,CFG_BLK)=0,MOD(AG894,CFG_BLK)=0,AG894&gt;0),1,0),1)</f>
        <v>1</v>
      </c>
      <c r="BC894" s="80" t="str">
        <f>IF(Y894=0,"",IF(NOT(ISNUMBER(B894)),"Falta fecha o fecha inválida",IF(D894="","Falta empresa",IF(AND(D894&lt;&gt;"Malcolm",D894&lt;&gt;"proMX"),"Empresa inválida",IF(OR(INT(B894)&lt;CFG_PSTART,INT(B894)&gt;CFG_PEND),"Fecha fuera del período",IF(OR(NOT(ISNUMBER(Z894)),NOT(ISNUMBER(AA894))),"Falta hora inicio/fin o formato inválido",IF(AB894=0,"Hora inicio = hora fin",IF(AE894&lt;0,"Descanso inválido",IF(AE894&gt;=AD894,"Descanso ≥ duración",IF(AV894=1,"Registro duplicado",IF(AZ894&gt;0,"Se superpone con otro registro "&amp;D894,IF(BB894=0,"inicio, fin y duración neta deben ser múltiplos de "&amp;CFG_BLK&amp;" min",""))))))))))))</f>
        <v/>
      </c>
      <c r="BD894" s="80">
        <f>IF(AND(Y894=1,BC894=""),1,0)</f>
        <v>0</v>
      </c>
      <c r="BE894" s="80">
        <f>IF(AND(BD894=1,AU894=1),1,0)</f>
        <v>0</v>
      </c>
      <c r="BF894" s="80" t="str">
        <f>IF(AND(D894="proMX",BD894=1),IF(R894="","Draft",R894),"")</f>
        <v/>
      </c>
      <c r="BG894" s="80">
        <f>IF(BD894=1,ROUND(AG894/60,6),0)</f>
        <v>0</v>
      </c>
      <c r="BH894" s="80">
        <f>IF(BE894=1,ROUND(AG894/60,6),0)</f>
        <v>0</v>
      </c>
      <c r="BI894" s="80">
        <f>IF(BE894=1,ROUND(AP894/60,6),0)</f>
        <v>0</v>
      </c>
      <c r="BJ894" s="80">
        <f>IF(BE894=1,ROUND(AQ894/60,6),0)</f>
        <v>0</v>
      </c>
      <c r="BK894" s="80">
        <f>IF(BE894=1,ROUND((AR894+AS894)/60,6),0)</f>
        <v>0</v>
      </c>
      <c r="BL894" s="80">
        <f>ROUND(BH894-BK894,6)</f>
        <v>0</v>
      </c>
      <c r="BM894" s="80">
        <f>IF(BE894=1,ROUND(AR894/60,6),0)</f>
        <v>0</v>
      </c>
      <c r="BN894" s="80">
        <f>ROUND(BI894-BM894,6)</f>
        <v>0</v>
      </c>
      <c r="BO894" s="80">
        <f>IF(BE894=1,ROUND(AS894/60,6),0)</f>
        <v>0</v>
      </c>
      <c r="BP894" s="80">
        <f>ROUND(BJ894-BO894,6)</f>
        <v>0</v>
      </c>
      <c r="BQ894" s="80">
        <f>IF(BE894=1,AW894,0)</f>
        <v>0</v>
      </c>
      <c r="BR894" s="80">
        <f>IF(BE894=1,AX894,0)</f>
        <v>0</v>
      </c>
      <c r="BS894" s="80">
        <f>IF(AND(BE894=1,D894="Malcolm",BA894&gt;0),MIN(BH894,SUMPRODUCT((R_Emp="proMX")*(R_EN&gt;0)*((R_EN-(R_EN&gt;BR894)*(R_EN-BR894))&gt;(R_SN+(R_SN&lt;BQ894)*(BQ894-R_SN)))*((R_EN-(R_EN&gt;BR894)*(R_EN-BR894))-(R_SN+(R_SN&lt;BQ894)*(BQ894-R_SN))))/60),0)</f>
        <v>0</v>
      </c>
      <c r="BT894" s="80">
        <f>IF(AND(BE894=1,D894="proMX"),ROUND(BI894*CFG_RATE+BJ894*CFG_OTRATE,6),0)</f>
        <v>0</v>
      </c>
      <c r="BU894" s="80">
        <f>IF(AND(BD894=1,D894="proMX"),ROUND(AG894/CFG_BLK,6),0)</f>
        <v>0</v>
      </c>
      <c r="BV894" s="80" t="str">
        <f>IF(BF894="Approved",IF(ISNUMBER(T894),INT(T894),INT(B894)),"")</f>
        <v/>
      </c>
      <c r="BW894" s="80">
        <f>IF(ISNUMBER(B894),IF(DB_MON="Todos",1,IF(AND(INT(B894)&gt;=DB_MS,INT(B894)&lt;=DB_ME),1,0)),0)</f>
        <v>0</v>
      </c>
      <c r="BX894" s="80">
        <f>IF(DB_PROJ="Todos",1,IF(E894&amp;""=DB_PROJ&amp;"",1,0))</f>
        <v>1</v>
      </c>
      <c r="BY894" s="80">
        <f>BW894*BX894</f>
        <v>0</v>
      </c>
      <c r="BZ894" s="80" t="str">
        <f>IF(Y894=1,F894&amp;IF(AND(F894&amp;""&lt;&gt;"",E894&amp;""&lt;&gt;"")," · ","")&amp;E894,"")</f>
        <v/>
      </c>
      <c r="CA894" s="80" t="str">
        <f>IF(AND(BD894=1,E894&amp;""&lt;&gt;""),IF(COUNTIFS($E$5:E893,E894,$BD$5:BD893,1)=0,MAX($CA$5:CA893)+1,""),"")</f>
        <v/>
      </c>
      <c r="CB894" s="80" t="str">
        <f>IF(AND(BE894=1,D894="Malcolm",E894&amp;""&lt;&gt;""),IF(COUNTIFS($D$5:D893,"Malcolm",$E$5:E893,E894,$BE$5:BE893,1)=0,MAX($CB$5:CB893)+1,""),"")</f>
        <v/>
      </c>
      <c r="CC894" s="80" t="str">
        <f>IF(AND(BD894=1,D894="proMX",E894&amp;""&lt;&gt;""),IF(COUNTIFS($D$5:D893,"proMX",$E$5:E893,E894,$BD$5:BD893,1)=0,MAX($CC$5:CC893)+1,""),"")</f>
        <v/>
      </c>
      <c r="CD894" s="80" t="str">
        <f>IF(AND(BE894=1,D894="Malcolm",F894&amp;""&lt;&gt;""),IF(COUNTIFS($D$5:D893,"Malcolm",$F$5:F893,F894,$BE$5:BE893,1)=0,MAX($CD$5:CD893)+1,""),"")</f>
        <v/>
      </c>
      <c r="CE894" s="80" t="str">
        <f>IF(AND(BD894=1,D894="proMX",F894&amp;""&lt;&gt;""),IF(COUNTIFS($D$5:D893,"proMX",$F$5:F893,F894,$BD$5:BD893,1)=0,MAX($CE$5:CE893)+1,""),"")</f>
        <v/>
      </c>
      <c r="CF894" s="80" t="str">
        <f>IF(AND(D894="proMX",BD894=1),IF(OR(BF894="Draft",BF894="Submitted",BF894="Returned",BF894="Recall Requested"),MAX($CF$5:CF893)+1,""),"")</f>
        <v/>
      </c>
      <c r="CG894" s="80">
        <f>IF(BD894=0,0,IF(D894="Malcolm",1,MATCH(BF894,{"Draft","Submitted","Approved","Returned","Recall Requested","Cancelled"},0)+1))</f>
        <v>0</v>
      </c>
      <c r="CH894" s="80">
        <f>IF(AND(BF894="Submitted",ISNUMBER(V894)),IF(V894&gt;CFG_MAXD,1,0),0)</f>
        <v>0</v>
      </c>
    </row>
    <row r="895">
      <c r="A895" s="71" t="str">
        <f>IF(Y895=1,ROW()-5,"")</f>
        <v/>
      </c>
      <c r="B895" s="72" t="n"/>
      <c r="C895" s="71" t="str">
        <f>IF(ISNUMBER(B895),CHOOSE(WEEKDAY(B895,2),"Lun","Mar","Mié","Jue","Vie","Sáb","Dom"),"")</f>
        <v/>
      </c>
      <c r="D895" s="73" t="n"/>
      <c r="E895" s="74" t="n"/>
      <c r="F895" s="74" t="n"/>
      <c r="G895" s="74" t="n"/>
      <c r="H895" s="75" t="n"/>
      <c r="I895" s="75" t="n"/>
      <c r="J895" s="76" t="n"/>
      <c r="K895" s="77" t="str">
        <f>IF(AB895=1,ROUND(AG895/60,4),"")</f>
        <v/>
      </c>
      <c r="L895" s="77" t="str">
        <f>IF(BD895=1,ROUND(AP895/60,4),"")</f>
        <v/>
      </c>
      <c r="M895" s="77" t="str">
        <f>IF(BD895=1,ROUND(AQ895/60,4),"")</f>
        <v/>
      </c>
      <c r="N895" s="71" t="str">
        <f>IF(AND(D895="proMX",AB895=1),ROUND(AG895/CFG_BLK,2),"")</f>
        <v/>
      </c>
      <c r="O895" s="77" t="str">
        <f>IF(D895="proMX",IF(BD895=1,ROUND(AG895/60,4),0),"")</f>
        <v/>
      </c>
      <c r="P895" s="78" t="str">
        <f>IF(Y895=0,"",IF(BD895=1,"OK",IF(D895="proMX","Revisar bloques: ","Revisar: ")&amp;BC895))</f>
        <v/>
      </c>
      <c r="Q895" s="78" t="str">
        <f>IF(NOT(ISNUMBER(B895)),"",IF(COUNTIFS(FER_F,INT(B895))&gt;0,"Feriado"&amp;IF(AH895=1," (laborable)"," (no laborable)"),IF(AH895=1,"Laborable",IF(WEEKDAY(B895,2)&gt;5,"Fin de semana","No laborable"))))</f>
        <v/>
      </c>
      <c r="R895" s="73" t="n"/>
      <c r="S895" s="72" t="n"/>
      <c r="T895" s="72" t="n"/>
      <c r="U895" s="74" t="n"/>
      <c r="V895" s="79" t="str">
        <f>IF(AND(D895="proMX",OR(R895="Submitted",R895="Recall Requested"),ISNUMBER(S895)),CFG_TODAY-INT(S895),"")</f>
        <v/>
      </c>
      <c r="W895" s="78" t="str">
        <f>IF(BD895=0,"",IF(BA895&gt;0,"⚠ Se superpone con un registro de la otra empresa",IF(D895="Malcolm",IF(COUNTA(R895,S895,T895)&gt;0,"Estado/fechas proMX se ignoran en Malcolm",""),IF(BF895="Cancelled","Cancelado: excluido de totales",IF(R895="","Sin estado: se trata como Draft",IF(BF895="Submitted",IF(ISNUMBER(V895),IF(V895&gt;CFG_MAXD,"⚠ "&amp;V895&amp;" días en Submitted (máx. "&amp;CFG_MAXD&amp;")",""),"Falta fecha de envío"),IF(BF895="Returned","⚠ Devuelto: corregir y reenviar",IF(BF895="Recall Requested","Retirada solicitada: pendiente",IF(AND(BF895="Approved",NOT(ISNUMBER(T895))),"Falta fecha de aprobación",IF(AND(ISNUMBER(S895),ISNUMBER(T895),T895&lt;S895),"Aprobación anterior al envío","")))))))))</f>
        <v/>
      </c>
      <c r="Y895" s="80">
        <f>IF(COUNTA(B895,D895,E895,F895,G895,H895,I895,J895,R895,S895,T895)&gt;0,1,0)</f>
        <v>0</v>
      </c>
      <c r="Z895" s="80" t="str">
        <f>IF(AND(ISNUMBER(H895),H895&gt;=0,H895&lt;1),ROUND(H895*1440,0),"")</f>
        <v/>
      </c>
      <c r="AA895" s="80" t="str">
        <f>IF(AND(ISNUMBER(I895),I895&gt;=0,I895&lt;1),ROUND(I895*1440,0),"")</f>
        <v/>
      </c>
      <c r="AB895" s="80">
        <f>IF(AND(ISNUMBER(B895),D895&lt;&gt;"",ISNUMBER(Z895),ISNUMBER(AA895)),IF(Z895=AA895,0,1),0)</f>
        <v>0</v>
      </c>
      <c r="AC895" s="80">
        <f>IF(AB895=1,IF(AA895&lt;Z895,1,0),0)</f>
        <v>0</v>
      </c>
      <c r="AD895" s="80">
        <f>IF(AB895=1,IF(AC895=1,1440-Z895+AA895,AA895-Z895),0)</f>
        <v>0</v>
      </c>
      <c r="AE895" s="80">
        <f>IF(J895="",0,IF(ISNUMBER(J895),J895,-1))</f>
        <v>0</v>
      </c>
      <c r="AF895" s="80">
        <f>MIN(MAX(0,AE895),AD895)</f>
        <v>0</v>
      </c>
      <c r="AG895" s="80">
        <f>MAX(0,AD895-MAX(0,AE895))</f>
        <v>0</v>
      </c>
      <c r="AH895" s="80">
        <f>IF(ISNUMBER(B895),IF(AND(INDEX(CFG_WDAYS,WEEKDAY(INT(B895),2))="Sí",IF(D895="proMX",COUNTIFS(FER_F,INT(B895),FER_NLP,"Sí"),COUNTIFS(FER_F,INT(B895),FER_NLM,"Sí"))=0),1,0),0)</f>
        <v>0</v>
      </c>
      <c r="AI895" s="80">
        <f>IF(AC895=1,IF(AND(INDEX(CFG_WDAYS,WEEKDAY(INT(B895)+1,2))="Sí",IF(D895="proMX",COUNTIFS(FER_F,INT(B895)+1,FER_NLP,"Sí"),COUNTIFS(FER_F,INT(B895)+1,FER_NLM,"Sí"))=0),1,0),0)</f>
        <v>0</v>
      </c>
      <c r="AJ895" s="80">
        <f>IF(AC895=1,1440-Z895,AD895)</f>
        <v>0</v>
      </c>
      <c r="AK895" s="80">
        <f>IF(AND(AB895=1,AH895=1),MAX(0,MIN(IF(AC895=1,1440,AA895),CFG_WEM)-MAX(Z895,CFG_WSM)),0)</f>
        <v>0</v>
      </c>
      <c r="AL895" s="80">
        <f>IF(AND(AC895=1,AI895=1),MAX(0,MIN(AA895,CFG_WEM)-CFG_WSM),0)</f>
        <v>0</v>
      </c>
      <c r="AM895" s="80">
        <f>AK895+AL895</f>
        <v>0</v>
      </c>
      <c r="AN895" s="80">
        <f>IF(CFG_BRK="Proporcional",IF(AD895=0,0,AF895*AM895/AD895),IF(CFG_BRK="Extras primero",MIN(AM895,MAX(0,AF895-(AD895-AM895))),MIN(AF895,AM895)))</f>
        <v>0</v>
      </c>
      <c r="AO895" s="80">
        <f>AF895-AN895</f>
        <v>0</v>
      </c>
      <c r="AP895" s="80">
        <f>AM895-AN895</f>
        <v>0</v>
      </c>
      <c r="AQ895" s="80">
        <f>AD895-AM895-AO895</f>
        <v>0</v>
      </c>
      <c r="AR895" s="80">
        <f>IF(AM895=0,0,AK895-AN895*AK895/AM895)</f>
        <v>0</v>
      </c>
      <c r="AS895" s="80">
        <f>IF(AD895-AM895=0,0,(AJ895-AK895)-AO895*(AJ895-AK895)/(AD895-AM895))</f>
        <v>0</v>
      </c>
      <c r="AT895" s="80" t="str">
        <f>IF(AC895=1,INT(B895)+1,"")</f>
        <v/>
      </c>
      <c r="AU895" s="80">
        <f>IF(AND(D895="proMX",R895="Cancelled"),0,1)</f>
        <v>1</v>
      </c>
      <c r="AV895" s="80">
        <f>IF(AND(AB895=1,AU895=1),IF(COUNTIFS($D$5:D894,D895,$B$5:B894,B895,$Z$5:Z894,Z895,$AA$5:AA894,AA895,$F$5:F894,F895&amp;"",$AU$5:AU894,1)&gt;0,1,0),0)</f>
        <v>0</v>
      </c>
      <c r="AW895" s="80" t="str">
        <f>IF(AB895=1,INT(B895)*1440+Z895,"")</f>
        <v/>
      </c>
      <c r="AX895" s="80" t="str">
        <f>IF(AB895=1,AW895+AD895,"")</f>
        <v/>
      </c>
      <c r="AY895" s="80">
        <f>IF(AND(AB895=1,AV895=0,AU895=1),1,0)</f>
        <v>0</v>
      </c>
      <c r="AZ895" s="80">
        <f>IF(AY895=1,COUNTIFS(R_Emp,D895,R_SAbs,"&lt;"&amp;AX895,R_EAbs,"&gt;"&amp;AW895,R_OKey,1)-1,0)</f>
        <v>0</v>
      </c>
      <c r="BA895" s="80">
        <f>IF(AY895=1,COUNTIFS(R_Emp,"&lt;&gt;"&amp;D895,R_SAbs,"&lt;"&amp;AX895,R_EAbs,"&gt;"&amp;AW895,R_OKey,1),0)</f>
        <v>0</v>
      </c>
      <c r="BB895" s="80">
        <f>IF(AND(AB895=1,D895="proMX"),IF(AND(MOD(Z895,CFG_BLK)=0,MOD(AA895,CFG_BLK)=0,MOD(AG895,CFG_BLK)=0,AG895&gt;0),1,0),1)</f>
        <v>1</v>
      </c>
      <c r="BC895" s="80" t="str">
        <f>IF(Y895=0,"",IF(NOT(ISNUMBER(B895)),"Falta fecha o fecha inválida",IF(D895="","Falta empresa",IF(AND(D895&lt;&gt;"Malcolm",D895&lt;&gt;"proMX"),"Empresa inválida",IF(OR(INT(B895)&lt;CFG_PSTART,INT(B895)&gt;CFG_PEND),"Fecha fuera del período",IF(OR(NOT(ISNUMBER(Z895)),NOT(ISNUMBER(AA895))),"Falta hora inicio/fin o formato inválido",IF(AB895=0,"Hora inicio = hora fin",IF(AE895&lt;0,"Descanso inválido",IF(AE895&gt;=AD895,"Descanso ≥ duración",IF(AV895=1,"Registro duplicado",IF(AZ895&gt;0,"Se superpone con otro registro "&amp;D895,IF(BB895=0,"inicio, fin y duración neta deben ser múltiplos de "&amp;CFG_BLK&amp;" min",""))))))))))))</f>
        <v/>
      </c>
      <c r="BD895" s="80">
        <f>IF(AND(Y895=1,BC895=""),1,0)</f>
        <v>0</v>
      </c>
      <c r="BE895" s="80">
        <f>IF(AND(BD895=1,AU895=1),1,0)</f>
        <v>0</v>
      </c>
      <c r="BF895" s="80" t="str">
        <f>IF(AND(D895="proMX",BD895=1),IF(R895="","Draft",R895),"")</f>
        <v/>
      </c>
      <c r="BG895" s="80">
        <f>IF(BD895=1,ROUND(AG895/60,6),0)</f>
        <v>0</v>
      </c>
      <c r="BH895" s="80">
        <f>IF(BE895=1,ROUND(AG895/60,6),0)</f>
        <v>0</v>
      </c>
      <c r="BI895" s="80">
        <f>IF(BE895=1,ROUND(AP895/60,6),0)</f>
        <v>0</v>
      </c>
      <c r="BJ895" s="80">
        <f>IF(BE895=1,ROUND(AQ895/60,6),0)</f>
        <v>0</v>
      </c>
      <c r="BK895" s="80">
        <f>IF(BE895=1,ROUND((AR895+AS895)/60,6),0)</f>
        <v>0</v>
      </c>
      <c r="BL895" s="80">
        <f>ROUND(BH895-BK895,6)</f>
        <v>0</v>
      </c>
      <c r="BM895" s="80">
        <f>IF(BE895=1,ROUND(AR895/60,6),0)</f>
        <v>0</v>
      </c>
      <c r="BN895" s="80">
        <f>ROUND(BI895-BM895,6)</f>
        <v>0</v>
      </c>
      <c r="BO895" s="80">
        <f>IF(BE895=1,ROUND(AS895/60,6),0)</f>
        <v>0</v>
      </c>
      <c r="BP895" s="80">
        <f>ROUND(BJ895-BO895,6)</f>
        <v>0</v>
      </c>
      <c r="BQ895" s="80">
        <f>IF(BE895=1,AW895,0)</f>
        <v>0</v>
      </c>
      <c r="BR895" s="80">
        <f>IF(BE895=1,AX895,0)</f>
        <v>0</v>
      </c>
      <c r="BS895" s="80">
        <f>IF(AND(BE895=1,D895="Malcolm",BA895&gt;0),MIN(BH895,SUMPRODUCT((R_Emp="proMX")*(R_EN&gt;0)*((R_EN-(R_EN&gt;BR895)*(R_EN-BR895))&gt;(R_SN+(R_SN&lt;BQ895)*(BQ895-R_SN)))*((R_EN-(R_EN&gt;BR895)*(R_EN-BR895))-(R_SN+(R_SN&lt;BQ895)*(BQ895-R_SN))))/60),0)</f>
        <v>0</v>
      </c>
      <c r="BT895" s="80">
        <f>IF(AND(BE895=1,D895="proMX"),ROUND(BI895*CFG_RATE+BJ895*CFG_OTRATE,6),0)</f>
        <v>0</v>
      </c>
      <c r="BU895" s="80">
        <f>IF(AND(BD895=1,D895="proMX"),ROUND(AG895/CFG_BLK,6),0)</f>
        <v>0</v>
      </c>
      <c r="BV895" s="80" t="str">
        <f>IF(BF895="Approved",IF(ISNUMBER(T895),INT(T895),INT(B895)),"")</f>
        <v/>
      </c>
      <c r="BW895" s="80">
        <f>IF(ISNUMBER(B895),IF(DB_MON="Todos",1,IF(AND(INT(B895)&gt;=DB_MS,INT(B895)&lt;=DB_ME),1,0)),0)</f>
        <v>0</v>
      </c>
      <c r="BX895" s="80">
        <f>IF(DB_PROJ="Todos",1,IF(E895&amp;""=DB_PROJ&amp;"",1,0))</f>
        <v>1</v>
      </c>
      <c r="BY895" s="80">
        <f>BW895*BX895</f>
        <v>0</v>
      </c>
      <c r="BZ895" s="80" t="str">
        <f>IF(Y895=1,F895&amp;IF(AND(F895&amp;""&lt;&gt;"",E895&amp;""&lt;&gt;"")," · ","")&amp;E895,"")</f>
        <v/>
      </c>
      <c r="CA895" s="80" t="str">
        <f>IF(AND(BD895=1,E895&amp;""&lt;&gt;""),IF(COUNTIFS($E$5:E894,E895,$BD$5:BD894,1)=0,MAX($CA$5:CA894)+1,""),"")</f>
        <v/>
      </c>
      <c r="CB895" s="80" t="str">
        <f>IF(AND(BE895=1,D895="Malcolm",E895&amp;""&lt;&gt;""),IF(COUNTIFS($D$5:D894,"Malcolm",$E$5:E894,E895,$BE$5:BE894,1)=0,MAX($CB$5:CB894)+1,""),"")</f>
        <v/>
      </c>
      <c r="CC895" s="80" t="str">
        <f>IF(AND(BD895=1,D895="proMX",E895&amp;""&lt;&gt;""),IF(COUNTIFS($D$5:D894,"proMX",$E$5:E894,E895,$BD$5:BD894,1)=0,MAX($CC$5:CC894)+1,""),"")</f>
        <v/>
      </c>
      <c r="CD895" s="80" t="str">
        <f>IF(AND(BE895=1,D895="Malcolm",F895&amp;""&lt;&gt;""),IF(COUNTIFS($D$5:D894,"Malcolm",$F$5:F894,F895,$BE$5:BE894,1)=0,MAX($CD$5:CD894)+1,""),"")</f>
        <v/>
      </c>
      <c r="CE895" s="80" t="str">
        <f>IF(AND(BD895=1,D895="proMX",F895&amp;""&lt;&gt;""),IF(COUNTIFS($D$5:D894,"proMX",$F$5:F894,F895,$BD$5:BD894,1)=0,MAX($CE$5:CE894)+1,""),"")</f>
        <v/>
      </c>
      <c r="CF895" s="80" t="str">
        <f>IF(AND(D895="proMX",BD895=1),IF(OR(BF895="Draft",BF895="Submitted",BF895="Returned",BF895="Recall Requested"),MAX($CF$5:CF894)+1,""),"")</f>
        <v/>
      </c>
      <c r="CG895" s="80">
        <f>IF(BD895=0,0,IF(D895="Malcolm",1,MATCH(BF895,{"Draft","Submitted","Approved","Returned","Recall Requested","Cancelled"},0)+1))</f>
        <v>0</v>
      </c>
      <c r="CH895" s="80">
        <f>IF(AND(BF895="Submitted",ISNUMBER(V895)),IF(V895&gt;CFG_MAXD,1,0),0)</f>
        <v>0</v>
      </c>
    </row>
    <row r="896">
      <c r="A896" s="71" t="str">
        <f>IF(Y896=1,ROW()-5,"")</f>
        <v/>
      </c>
      <c r="B896" s="72" t="n"/>
      <c r="C896" s="71" t="str">
        <f>IF(ISNUMBER(B896),CHOOSE(WEEKDAY(B896,2),"Lun","Mar","Mié","Jue","Vie","Sáb","Dom"),"")</f>
        <v/>
      </c>
      <c r="D896" s="73" t="n"/>
      <c r="E896" s="74" t="n"/>
      <c r="F896" s="74" t="n"/>
      <c r="G896" s="74" t="n"/>
      <c r="H896" s="75" t="n"/>
      <c r="I896" s="75" t="n"/>
      <c r="J896" s="76" t="n"/>
      <c r="K896" s="77" t="str">
        <f>IF(AB896=1,ROUND(AG896/60,4),"")</f>
        <v/>
      </c>
      <c r="L896" s="77" t="str">
        <f>IF(BD896=1,ROUND(AP896/60,4),"")</f>
        <v/>
      </c>
      <c r="M896" s="77" t="str">
        <f>IF(BD896=1,ROUND(AQ896/60,4),"")</f>
        <v/>
      </c>
      <c r="N896" s="71" t="str">
        <f>IF(AND(D896="proMX",AB896=1),ROUND(AG896/CFG_BLK,2),"")</f>
        <v/>
      </c>
      <c r="O896" s="77" t="str">
        <f>IF(D896="proMX",IF(BD896=1,ROUND(AG896/60,4),0),"")</f>
        <v/>
      </c>
      <c r="P896" s="78" t="str">
        <f>IF(Y896=0,"",IF(BD896=1,"OK",IF(D896="proMX","Revisar bloques: ","Revisar: ")&amp;BC896))</f>
        <v/>
      </c>
      <c r="Q896" s="78" t="str">
        <f>IF(NOT(ISNUMBER(B896)),"",IF(COUNTIFS(FER_F,INT(B896))&gt;0,"Feriado"&amp;IF(AH896=1," (laborable)"," (no laborable)"),IF(AH896=1,"Laborable",IF(WEEKDAY(B896,2)&gt;5,"Fin de semana","No laborable"))))</f>
        <v/>
      </c>
      <c r="R896" s="73" t="n"/>
      <c r="S896" s="72" t="n"/>
      <c r="T896" s="72" t="n"/>
      <c r="U896" s="74" t="n"/>
      <c r="V896" s="79" t="str">
        <f>IF(AND(D896="proMX",OR(R896="Submitted",R896="Recall Requested"),ISNUMBER(S896)),CFG_TODAY-INT(S896),"")</f>
        <v/>
      </c>
      <c r="W896" s="78" t="str">
        <f>IF(BD896=0,"",IF(BA896&gt;0,"⚠ Se superpone con un registro de la otra empresa",IF(D896="Malcolm",IF(COUNTA(R896,S896,T896)&gt;0,"Estado/fechas proMX se ignoran en Malcolm",""),IF(BF896="Cancelled","Cancelado: excluido de totales",IF(R896="","Sin estado: se trata como Draft",IF(BF896="Submitted",IF(ISNUMBER(V896),IF(V896&gt;CFG_MAXD,"⚠ "&amp;V896&amp;" días en Submitted (máx. "&amp;CFG_MAXD&amp;")",""),"Falta fecha de envío"),IF(BF896="Returned","⚠ Devuelto: corregir y reenviar",IF(BF896="Recall Requested","Retirada solicitada: pendiente",IF(AND(BF896="Approved",NOT(ISNUMBER(T896))),"Falta fecha de aprobación",IF(AND(ISNUMBER(S896),ISNUMBER(T896),T896&lt;S896),"Aprobación anterior al envío","")))))))))</f>
        <v/>
      </c>
      <c r="Y896" s="80">
        <f>IF(COUNTA(B896,D896,E896,F896,G896,H896,I896,J896,R896,S896,T896)&gt;0,1,0)</f>
        <v>0</v>
      </c>
      <c r="Z896" s="80" t="str">
        <f>IF(AND(ISNUMBER(H896),H896&gt;=0,H896&lt;1),ROUND(H896*1440,0),"")</f>
        <v/>
      </c>
      <c r="AA896" s="80" t="str">
        <f>IF(AND(ISNUMBER(I896),I896&gt;=0,I896&lt;1),ROUND(I896*1440,0),"")</f>
        <v/>
      </c>
      <c r="AB896" s="80">
        <f>IF(AND(ISNUMBER(B896),D896&lt;&gt;"",ISNUMBER(Z896),ISNUMBER(AA896)),IF(Z896=AA896,0,1),0)</f>
        <v>0</v>
      </c>
      <c r="AC896" s="80">
        <f>IF(AB896=1,IF(AA896&lt;Z896,1,0),0)</f>
        <v>0</v>
      </c>
      <c r="AD896" s="80">
        <f>IF(AB896=1,IF(AC896=1,1440-Z896+AA896,AA896-Z896),0)</f>
        <v>0</v>
      </c>
      <c r="AE896" s="80">
        <f>IF(J896="",0,IF(ISNUMBER(J896),J896,-1))</f>
        <v>0</v>
      </c>
      <c r="AF896" s="80">
        <f>MIN(MAX(0,AE896),AD896)</f>
        <v>0</v>
      </c>
      <c r="AG896" s="80">
        <f>MAX(0,AD896-MAX(0,AE896))</f>
        <v>0</v>
      </c>
      <c r="AH896" s="80">
        <f>IF(ISNUMBER(B896),IF(AND(INDEX(CFG_WDAYS,WEEKDAY(INT(B896),2))="Sí",IF(D896="proMX",COUNTIFS(FER_F,INT(B896),FER_NLP,"Sí"),COUNTIFS(FER_F,INT(B896),FER_NLM,"Sí"))=0),1,0),0)</f>
        <v>0</v>
      </c>
      <c r="AI896" s="80">
        <f>IF(AC896=1,IF(AND(INDEX(CFG_WDAYS,WEEKDAY(INT(B896)+1,2))="Sí",IF(D896="proMX",COUNTIFS(FER_F,INT(B896)+1,FER_NLP,"Sí"),COUNTIFS(FER_F,INT(B896)+1,FER_NLM,"Sí"))=0),1,0),0)</f>
        <v>0</v>
      </c>
      <c r="AJ896" s="80">
        <f>IF(AC896=1,1440-Z896,AD896)</f>
        <v>0</v>
      </c>
      <c r="AK896" s="80">
        <f>IF(AND(AB896=1,AH896=1),MAX(0,MIN(IF(AC896=1,1440,AA896),CFG_WEM)-MAX(Z896,CFG_WSM)),0)</f>
        <v>0</v>
      </c>
      <c r="AL896" s="80">
        <f>IF(AND(AC896=1,AI896=1),MAX(0,MIN(AA896,CFG_WEM)-CFG_WSM),0)</f>
        <v>0</v>
      </c>
      <c r="AM896" s="80">
        <f>AK896+AL896</f>
        <v>0</v>
      </c>
      <c r="AN896" s="80">
        <f>IF(CFG_BRK="Proporcional",IF(AD896=0,0,AF896*AM896/AD896),IF(CFG_BRK="Extras primero",MIN(AM896,MAX(0,AF896-(AD896-AM896))),MIN(AF896,AM896)))</f>
        <v>0</v>
      </c>
      <c r="AO896" s="80">
        <f>AF896-AN896</f>
        <v>0</v>
      </c>
      <c r="AP896" s="80">
        <f>AM896-AN896</f>
        <v>0</v>
      </c>
      <c r="AQ896" s="80">
        <f>AD896-AM896-AO896</f>
        <v>0</v>
      </c>
      <c r="AR896" s="80">
        <f>IF(AM896=0,0,AK896-AN896*AK896/AM896)</f>
        <v>0</v>
      </c>
      <c r="AS896" s="80">
        <f>IF(AD896-AM896=0,0,(AJ896-AK896)-AO896*(AJ896-AK896)/(AD896-AM896))</f>
        <v>0</v>
      </c>
      <c r="AT896" s="80" t="str">
        <f>IF(AC896=1,INT(B896)+1,"")</f>
        <v/>
      </c>
      <c r="AU896" s="80">
        <f>IF(AND(D896="proMX",R896="Cancelled"),0,1)</f>
        <v>1</v>
      </c>
      <c r="AV896" s="80">
        <f>IF(AND(AB896=1,AU896=1),IF(COUNTIFS($D$5:D895,D896,$B$5:B895,B896,$Z$5:Z895,Z896,$AA$5:AA895,AA896,$F$5:F895,F896&amp;"",$AU$5:AU895,1)&gt;0,1,0),0)</f>
        <v>0</v>
      </c>
      <c r="AW896" s="80" t="str">
        <f>IF(AB896=1,INT(B896)*1440+Z896,"")</f>
        <v/>
      </c>
      <c r="AX896" s="80" t="str">
        <f>IF(AB896=1,AW896+AD896,"")</f>
        <v/>
      </c>
      <c r="AY896" s="80">
        <f>IF(AND(AB896=1,AV896=0,AU896=1),1,0)</f>
        <v>0</v>
      </c>
      <c r="AZ896" s="80">
        <f>IF(AY896=1,COUNTIFS(R_Emp,D896,R_SAbs,"&lt;"&amp;AX896,R_EAbs,"&gt;"&amp;AW896,R_OKey,1)-1,0)</f>
        <v>0</v>
      </c>
      <c r="BA896" s="80">
        <f>IF(AY896=1,COUNTIFS(R_Emp,"&lt;&gt;"&amp;D896,R_SAbs,"&lt;"&amp;AX896,R_EAbs,"&gt;"&amp;AW896,R_OKey,1),0)</f>
        <v>0</v>
      </c>
      <c r="BB896" s="80">
        <f>IF(AND(AB896=1,D896="proMX"),IF(AND(MOD(Z896,CFG_BLK)=0,MOD(AA896,CFG_BLK)=0,MOD(AG896,CFG_BLK)=0,AG896&gt;0),1,0),1)</f>
        <v>1</v>
      </c>
      <c r="BC896" s="80" t="str">
        <f>IF(Y896=0,"",IF(NOT(ISNUMBER(B896)),"Falta fecha o fecha inválida",IF(D896="","Falta empresa",IF(AND(D896&lt;&gt;"Malcolm",D896&lt;&gt;"proMX"),"Empresa inválida",IF(OR(INT(B896)&lt;CFG_PSTART,INT(B896)&gt;CFG_PEND),"Fecha fuera del período",IF(OR(NOT(ISNUMBER(Z896)),NOT(ISNUMBER(AA896))),"Falta hora inicio/fin o formato inválido",IF(AB896=0,"Hora inicio = hora fin",IF(AE896&lt;0,"Descanso inválido",IF(AE896&gt;=AD896,"Descanso ≥ duración",IF(AV896=1,"Registro duplicado",IF(AZ896&gt;0,"Se superpone con otro registro "&amp;D896,IF(BB896=0,"inicio, fin y duración neta deben ser múltiplos de "&amp;CFG_BLK&amp;" min",""))))))))))))</f>
        <v/>
      </c>
      <c r="BD896" s="80">
        <f>IF(AND(Y896=1,BC896=""),1,0)</f>
        <v>0</v>
      </c>
      <c r="BE896" s="80">
        <f>IF(AND(BD896=1,AU896=1),1,0)</f>
        <v>0</v>
      </c>
      <c r="BF896" s="80" t="str">
        <f>IF(AND(D896="proMX",BD896=1),IF(R896="","Draft",R896),"")</f>
        <v/>
      </c>
      <c r="BG896" s="80">
        <f>IF(BD896=1,ROUND(AG896/60,6),0)</f>
        <v>0</v>
      </c>
      <c r="BH896" s="80">
        <f>IF(BE896=1,ROUND(AG896/60,6),0)</f>
        <v>0</v>
      </c>
      <c r="BI896" s="80">
        <f>IF(BE896=1,ROUND(AP896/60,6),0)</f>
        <v>0</v>
      </c>
      <c r="BJ896" s="80">
        <f>IF(BE896=1,ROUND(AQ896/60,6),0)</f>
        <v>0</v>
      </c>
      <c r="BK896" s="80">
        <f>IF(BE896=1,ROUND((AR896+AS896)/60,6),0)</f>
        <v>0</v>
      </c>
      <c r="BL896" s="80">
        <f>ROUND(BH896-BK896,6)</f>
        <v>0</v>
      </c>
      <c r="BM896" s="80">
        <f>IF(BE896=1,ROUND(AR896/60,6),0)</f>
        <v>0</v>
      </c>
      <c r="BN896" s="80">
        <f>ROUND(BI896-BM896,6)</f>
        <v>0</v>
      </c>
      <c r="BO896" s="80">
        <f>IF(BE896=1,ROUND(AS896/60,6),0)</f>
        <v>0</v>
      </c>
      <c r="BP896" s="80">
        <f>ROUND(BJ896-BO896,6)</f>
        <v>0</v>
      </c>
      <c r="BQ896" s="80">
        <f>IF(BE896=1,AW896,0)</f>
        <v>0</v>
      </c>
      <c r="BR896" s="80">
        <f>IF(BE896=1,AX896,0)</f>
        <v>0</v>
      </c>
      <c r="BS896" s="80">
        <f>IF(AND(BE896=1,D896="Malcolm",BA896&gt;0),MIN(BH896,SUMPRODUCT((R_Emp="proMX")*(R_EN&gt;0)*((R_EN-(R_EN&gt;BR896)*(R_EN-BR896))&gt;(R_SN+(R_SN&lt;BQ896)*(BQ896-R_SN)))*((R_EN-(R_EN&gt;BR896)*(R_EN-BR896))-(R_SN+(R_SN&lt;BQ896)*(BQ896-R_SN))))/60),0)</f>
        <v>0</v>
      </c>
      <c r="BT896" s="80">
        <f>IF(AND(BE896=1,D896="proMX"),ROUND(BI896*CFG_RATE+BJ896*CFG_OTRATE,6),0)</f>
        <v>0</v>
      </c>
      <c r="BU896" s="80">
        <f>IF(AND(BD896=1,D896="proMX"),ROUND(AG896/CFG_BLK,6),0)</f>
        <v>0</v>
      </c>
      <c r="BV896" s="80" t="str">
        <f>IF(BF896="Approved",IF(ISNUMBER(T896),INT(T896),INT(B896)),"")</f>
        <v/>
      </c>
      <c r="BW896" s="80">
        <f>IF(ISNUMBER(B896),IF(DB_MON="Todos",1,IF(AND(INT(B896)&gt;=DB_MS,INT(B896)&lt;=DB_ME),1,0)),0)</f>
        <v>0</v>
      </c>
      <c r="BX896" s="80">
        <f>IF(DB_PROJ="Todos",1,IF(E896&amp;""=DB_PROJ&amp;"",1,0))</f>
        <v>1</v>
      </c>
      <c r="BY896" s="80">
        <f>BW896*BX896</f>
        <v>0</v>
      </c>
      <c r="BZ896" s="80" t="str">
        <f>IF(Y896=1,F896&amp;IF(AND(F896&amp;""&lt;&gt;"",E896&amp;""&lt;&gt;"")," · ","")&amp;E896,"")</f>
        <v/>
      </c>
      <c r="CA896" s="80" t="str">
        <f>IF(AND(BD896=1,E896&amp;""&lt;&gt;""),IF(COUNTIFS($E$5:E895,E896,$BD$5:BD895,1)=0,MAX($CA$5:CA895)+1,""),"")</f>
        <v/>
      </c>
      <c r="CB896" s="80" t="str">
        <f>IF(AND(BE896=1,D896="Malcolm",E896&amp;""&lt;&gt;""),IF(COUNTIFS($D$5:D895,"Malcolm",$E$5:E895,E896,$BE$5:BE895,1)=0,MAX($CB$5:CB895)+1,""),"")</f>
        <v/>
      </c>
      <c r="CC896" s="80" t="str">
        <f>IF(AND(BD896=1,D896="proMX",E896&amp;""&lt;&gt;""),IF(COUNTIFS($D$5:D895,"proMX",$E$5:E895,E896,$BD$5:BD895,1)=0,MAX($CC$5:CC895)+1,""),"")</f>
        <v/>
      </c>
      <c r="CD896" s="80" t="str">
        <f>IF(AND(BE896=1,D896="Malcolm",F896&amp;""&lt;&gt;""),IF(COUNTIFS($D$5:D895,"Malcolm",$F$5:F895,F896,$BE$5:BE895,1)=0,MAX($CD$5:CD895)+1,""),"")</f>
        <v/>
      </c>
      <c r="CE896" s="80" t="str">
        <f>IF(AND(BD896=1,D896="proMX",F896&amp;""&lt;&gt;""),IF(COUNTIFS($D$5:D895,"proMX",$F$5:F895,F896,$BD$5:BD895,1)=0,MAX($CE$5:CE895)+1,""),"")</f>
        <v/>
      </c>
      <c r="CF896" s="80" t="str">
        <f>IF(AND(D896="proMX",BD896=1),IF(OR(BF896="Draft",BF896="Submitted",BF896="Returned",BF896="Recall Requested"),MAX($CF$5:CF895)+1,""),"")</f>
        <v/>
      </c>
      <c r="CG896" s="80">
        <f>IF(BD896=0,0,IF(D896="Malcolm",1,MATCH(BF896,{"Draft","Submitted","Approved","Returned","Recall Requested","Cancelled"},0)+1))</f>
        <v>0</v>
      </c>
      <c r="CH896" s="80">
        <f>IF(AND(BF896="Submitted",ISNUMBER(V896)),IF(V896&gt;CFG_MAXD,1,0),0)</f>
        <v>0</v>
      </c>
    </row>
    <row r="897">
      <c r="A897" s="71" t="str">
        <f>IF(Y897=1,ROW()-5,"")</f>
        <v/>
      </c>
      <c r="B897" s="72" t="n"/>
      <c r="C897" s="71" t="str">
        <f>IF(ISNUMBER(B897),CHOOSE(WEEKDAY(B897,2),"Lun","Mar","Mié","Jue","Vie","Sáb","Dom"),"")</f>
        <v/>
      </c>
      <c r="D897" s="73" t="n"/>
      <c r="E897" s="74" t="n"/>
      <c r="F897" s="74" t="n"/>
      <c r="G897" s="74" t="n"/>
      <c r="H897" s="75" t="n"/>
      <c r="I897" s="75" t="n"/>
      <c r="J897" s="76" t="n"/>
      <c r="K897" s="77" t="str">
        <f>IF(AB897=1,ROUND(AG897/60,4),"")</f>
        <v/>
      </c>
      <c r="L897" s="77" t="str">
        <f>IF(BD897=1,ROUND(AP897/60,4),"")</f>
        <v/>
      </c>
      <c r="M897" s="77" t="str">
        <f>IF(BD897=1,ROUND(AQ897/60,4),"")</f>
        <v/>
      </c>
      <c r="N897" s="71" t="str">
        <f>IF(AND(D897="proMX",AB897=1),ROUND(AG897/CFG_BLK,2),"")</f>
        <v/>
      </c>
      <c r="O897" s="77" t="str">
        <f>IF(D897="proMX",IF(BD897=1,ROUND(AG897/60,4),0),"")</f>
        <v/>
      </c>
      <c r="P897" s="78" t="str">
        <f>IF(Y897=0,"",IF(BD897=1,"OK",IF(D897="proMX","Revisar bloques: ","Revisar: ")&amp;BC897))</f>
        <v/>
      </c>
      <c r="Q897" s="78" t="str">
        <f>IF(NOT(ISNUMBER(B897)),"",IF(COUNTIFS(FER_F,INT(B897))&gt;0,"Feriado"&amp;IF(AH897=1," (laborable)"," (no laborable)"),IF(AH897=1,"Laborable",IF(WEEKDAY(B897,2)&gt;5,"Fin de semana","No laborable"))))</f>
        <v/>
      </c>
      <c r="R897" s="73" t="n"/>
      <c r="S897" s="72" t="n"/>
      <c r="T897" s="72" t="n"/>
      <c r="U897" s="74" t="n"/>
      <c r="V897" s="79" t="str">
        <f>IF(AND(D897="proMX",OR(R897="Submitted",R897="Recall Requested"),ISNUMBER(S897)),CFG_TODAY-INT(S897),"")</f>
        <v/>
      </c>
      <c r="W897" s="78" t="str">
        <f>IF(BD897=0,"",IF(BA897&gt;0,"⚠ Se superpone con un registro de la otra empresa",IF(D897="Malcolm",IF(COUNTA(R897,S897,T897)&gt;0,"Estado/fechas proMX se ignoran en Malcolm",""),IF(BF897="Cancelled","Cancelado: excluido de totales",IF(R897="","Sin estado: se trata como Draft",IF(BF897="Submitted",IF(ISNUMBER(V897),IF(V897&gt;CFG_MAXD,"⚠ "&amp;V897&amp;" días en Submitted (máx. "&amp;CFG_MAXD&amp;")",""),"Falta fecha de envío"),IF(BF897="Returned","⚠ Devuelto: corregir y reenviar",IF(BF897="Recall Requested","Retirada solicitada: pendiente",IF(AND(BF897="Approved",NOT(ISNUMBER(T897))),"Falta fecha de aprobación",IF(AND(ISNUMBER(S897),ISNUMBER(T897),T897&lt;S897),"Aprobación anterior al envío","")))))))))</f>
        <v/>
      </c>
      <c r="Y897" s="80">
        <f>IF(COUNTA(B897,D897,E897,F897,G897,H897,I897,J897,R897,S897,T897)&gt;0,1,0)</f>
        <v>0</v>
      </c>
      <c r="Z897" s="80" t="str">
        <f>IF(AND(ISNUMBER(H897),H897&gt;=0,H897&lt;1),ROUND(H897*1440,0),"")</f>
        <v/>
      </c>
      <c r="AA897" s="80" t="str">
        <f>IF(AND(ISNUMBER(I897),I897&gt;=0,I897&lt;1),ROUND(I897*1440,0),"")</f>
        <v/>
      </c>
      <c r="AB897" s="80">
        <f>IF(AND(ISNUMBER(B897),D897&lt;&gt;"",ISNUMBER(Z897),ISNUMBER(AA897)),IF(Z897=AA897,0,1),0)</f>
        <v>0</v>
      </c>
      <c r="AC897" s="80">
        <f>IF(AB897=1,IF(AA897&lt;Z897,1,0),0)</f>
        <v>0</v>
      </c>
      <c r="AD897" s="80">
        <f>IF(AB897=1,IF(AC897=1,1440-Z897+AA897,AA897-Z897),0)</f>
        <v>0</v>
      </c>
      <c r="AE897" s="80">
        <f>IF(J897="",0,IF(ISNUMBER(J897),J897,-1))</f>
        <v>0</v>
      </c>
      <c r="AF897" s="80">
        <f>MIN(MAX(0,AE897),AD897)</f>
        <v>0</v>
      </c>
      <c r="AG897" s="80">
        <f>MAX(0,AD897-MAX(0,AE897))</f>
        <v>0</v>
      </c>
      <c r="AH897" s="80">
        <f>IF(ISNUMBER(B897),IF(AND(INDEX(CFG_WDAYS,WEEKDAY(INT(B897),2))="Sí",IF(D897="proMX",COUNTIFS(FER_F,INT(B897),FER_NLP,"Sí"),COUNTIFS(FER_F,INT(B897),FER_NLM,"Sí"))=0),1,0),0)</f>
        <v>0</v>
      </c>
      <c r="AI897" s="80">
        <f>IF(AC897=1,IF(AND(INDEX(CFG_WDAYS,WEEKDAY(INT(B897)+1,2))="Sí",IF(D897="proMX",COUNTIFS(FER_F,INT(B897)+1,FER_NLP,"Sí"),COUNTIFS(FER_F,INT(B897)+1,FER_NLM,"Sí"))=0),1,0),0)</f>
        <v>0</v>
      </c>
      <c r="AJ897" s="80">
        <f>IF(AC897=1,1440-Z897,AD897)</f>
        <v>0</v>
      </c>
      <c r="AK897" s="80">
        <f>IF(AND(AB897=1,AH897=1),MAX(0,MIN(IF(AC897=1,1440,AA897),CFG_WEM)-MAX(Z897,CFG_WSM)),0)</f>
        <v>0</v>
      </c>
      <c r="AL897" s="80">
        <f>IF(AND(AC897=1,AI897=1),MAX(0,MIN(AA897,CFG_WEM)-CFG_WSM),0)</f>
        <v>0</v>
      </c>
      <c r="AM897" s="80">
        <f>AK897+AL897</f>
        <v>0</v>
      </c>
      <c r="AN897" s="80">
        <f>IF(CFG_BRK="Proporcional",IF(AD897=0,0,AF897*AM897/AD897),IF(CFG_BRK="Extras primero",MIN(AM897,MAX(0,AF897-(AD897-AM897))),MIN(AF897,AM897)))</f>
        <v>0</v>
      </c>
      <c r="AO897" s="80">
        <f>AF897-AN897</f>
        <v>0</v>
      </c>
      <c r="AP897" s="80">
        <f>AM897-AN897</f>
        <v>0</v>
      </c>
      <c r="AQ897" s="80">
        <f>AD897-AM897-AO897</f>
        <v>0</v>
      </c>
      <c r="AR897" s="80">
        <f>IF(AM897=0,0,AK897-AN897*AK897/AM897)</f>
        <v>0</v>
      </c>
      <c r="AS897" s="80">
        <f>IF(AD897-AM897=0,0,(AJ897-AK897)-AO897*(AJ897-AK897)/(AD897-AM897))</f>
        <v>0</v>
      </c>
      <c r="AT897" s="80" t="str">
        <f>IF(AC897=1,INT(B897)+1,"")</f>
        <v/>
      </c>
      <c r="AU897" s="80">
        <f>IF(AND(D897="proMX",R897="Cancelled"),0,1)</f>
        <v>1</v>
      </c>
      <c r="AV897" s="80">
        <f>IF(AND(AB897=1,AU897=1),IF(COUNTIFS($D$5:D896,D897,$B$5:B896,B897,$Z$5:Z896,Z897,$AA$5:AA896,AA897,$F$5:F896,F897&amp;"",$AU$5:AU896,1)&gt;0,1,0),0)</f>
        <v>0</v>
      </c>
      <c r="AW897" s="80" t="str">
        <f>IF(AB897=1,INT(B897)*1440+Z897,"")</f>
        <v/>
      </c>
      <c r="AX897" s="80" t="str">
        <f>IF(AB897=1,AW897+AD897,"")</f>
        <v/>
      </c>
      <c r="AY897" s="80">
        <f>IF(AND(AB897=1,AV897=0,AU897=1),1,0)</f>
        <v>0</v>
      </c>
      <c r="AZ897" s="80">
        <f>IF(AY897=1,COUNTIFS(R_Emp,D897,R_SAbs,"&lt;"&amp;AX897,R_EAbs,"&gt;"&amp;AW897,R_OKey,1)-1,0)</f>
        <v>0</v>
      </c>
      <c r="BA897" s="80">
        <f>IF(AY897=1,COUNTIFS(R_Emp,"&lt;&gt;"&amp;D897,R_SAbs,"&lt;"&amp;AX897,R_EAbs,"&gt;"&amp;AW897,R_OKey,1),0)</f>
        <v>0</v>
      </c>
      <c r="BB897" s="80">
        <f>IF(AND(AB897=1,D897="proMX"),IF(AND(MOD(Z897,CFG_BLK)=0,MOD(AA897,CFG_BLK)=0,MOD(AG897,CFG_BLK)=0,AG897&gt;0),1,0),1)</f>
        <v>1</v>
      </c>
      <c r="BC897" s="80" t="str">
        <f>IF(Y897=0,"",IF(NOT(ISNUMBER(B897)),"Falta fecha o fecha inválida",IF(D897="","Falta empresa",IF(AND(D897&lt;&gt;"Malcolm",D897&lt;&gt;"proMX"),"Empresa inválida",IF(OR(INT(B897)&lt;CFG_PSTART,INT(B897)&gt;CFG_PEND),"Fecha fuera del período",IF(OR(NOT(ISNUMBER(Z897)),NOT(ISNUMBER(AA897))),"Falta hora inicio/fin o formato inválido",IF(AB897=0,"Hora inicio = hora fin",IF(AE897&lt;0,"Descanso inválido",IF(AE897&gt;=AD897,"Descanso ≥ duración",IF(AV897=1,"Registro duplicado",IF(AZ897&gt;0,"Se superpone con otro registro "&amp;D897,IF(BB897=0,"inicio, fin y duración neta deben ser múltiplos de "&amp;CFG_BLK&amp;" min",""))))))))))))</f>
        <v/>
      </c>
      <c r="BD897" s="80">
        <f>IF(AND(Y897=1,BC897=""),1,0)</f>
        <v>0</v>
      </c>
      <c r="BE897" s="80">
        <f>IF(AND(BD897=1,AU897=1),1,0)</f>
        <v>0</v>
      </c>
      <c r="BF897" s="80" t="str">
        <f>IF(AND(D897="proMX",BD897=1),IF(R897="","Draft",R897),"")</f>
        <v/>
      </c>
      <c r="BG897" s="80">
        <f>IF(BD897=1,ROUND(AG897/60,6),0)</f>
        <v>0</v>
      </c>
      <c r="BH897" s="80">
        <f>IF(BE897=1,ROUND(AG897/60,6),0)</f>
        <v>0</v>
      </c>
      <c r="BI897" s="80">
        <f>IF(BE897=1,ROUND(AP897/60,6),0)</f>
        <v>0</v>
      </c>
      <c r="BJ897" s="80">
        <f>IF(BE897=1,ROUND(AQ897/60,6),0)</f>
        <v>0</v>
      </c>
      <c r="BK897" s="80">
        <f>IF(BE897=1,ROUND((AR897+AS897)/60,6),0)</f>
        <v>0</v>
      </c>
      <c r="BL897" s="80">
        <f>ROUND(BH897-BK897,6)</f>
        <v>0</v>
      </c>
      <c r="BM897" s="80">
        <f>IF(BE897=1,ROUND(AR897/60,6),0)</f>
        <v>0</v>
      </c>
      <c r="BN897" s="80">
        <f>ROUND(BI897-BM897,6)</f>
        <v>0</v>
      </c>
      <c r="BO897" s="80">
        <f>IF(BE897=1,ROUND(AS897/60,6),0)</f>
        <v>0</v>
      </c>
      <c r="BP897" s="80">
        <f>ROUND(BJ897-BO897,6)</f>
        <v>0</v>
      </c>
      <c r="BQ897" s="80">
        <f>IF(BE897=1,AW897,0)</f>
        <v>0</v>
      </c>
      <c r="BR897" s="80">
        <f>IF(BE897=1,AX897,0)</f>
        <v>0</v>
      </c>
      <c r="BS897" s="80">
        <f>IF(AND(BE897=1,D897="Malcolm",BA897&gt;0),MIN(BH897,SUMPRODUCT((R_Emp="proMX")*(R_EN&gt;0)*((R_EN-(R_EN&gt;BR897)*(R_EN-BR897))&gt;(R_SN+(R_SN&lt;BQ897)*(BQ897-R_SN)))*((R_EN-(R_EN&gt;BR897)*(R_EN-BR897))-(R_SN+(R_SN&lt;BQ897)*(BQ897-R_SN))))/60),0)</f>
        <v>0</v>
      </c>
      <c r="BT897" s="80">
        <f>IF(AND(BE897=1,D897="proMX"),ROUND(BI897*CFG_RATE+BJ897*CFG_OTRATE,6),0)</f>
        <v>0</v>
      </c>
      <c r="BU897" s="80">
        <f>IF(AND(BD897=1,D897="proMX"),ROUND(AG897/CFG_BLK,6),0)</f>
        <v>0</v>
      </c>
      <c r="BV897" s="80" t="str">
        <f>IF(BF897="Approved",IF(ISNUMBER(T897),INT(T897),INT(B897)),"")</f>
        <v/>
      </c>
      <c r="BW897" s="80">
        <f>IF(ISNUMBER(B897),IF(DB_MON="Todos",1,IF(AND(INT(B897)&gt;=DB_MS,INT(B897)&lt;=DB_ME),1,0)),0)</f>
        <v>0</v>
      </c>
      <c r="BX897" s="80">
        <f>IF(DB_PROJ="Todos",1,IF(E897&amp;""=DB_PROJ&amp;"",1,0))</f>
        <v>1</v>
      </c>
      <c r="BY897" s="80">
        <f>BW897*BX897</f>
        <v>0</v>
      </c>
      <c r="BZ897" s="80" t="str">
        <f>IF(Y897=1,F897&amp;IF(AND(F897&amp;""&lt;&gt;"",E897&amp;""&lt;&gt;"")," · ","")&amp;E897,"")</f>
        <v/>
      </c>
      <c r="CA897" s="80" t="str">
        <f>IF(AND(BD897=1,E897&amp;""&lt;&gt;""),IF(COUNTIFS($E$5:E896,E897,$BD$5:BD896,1)=0,MAX($CA$5:CA896)+1,""),"")</f>
        <v/>
      </c>
      <c r="CB897" s="80" t="str">
        <f>IF(AND(BE897=1,D897="Malcolm",E897&amp;""&lt;&gt;""),IF(COUNTIFS($D$5:D896,"Malcolm",$E$5:E896,E897,$BE$5:BE896,1)=0,MAX($CB$5:CB896)+1,""),"")</f>
        <v/>
      </c>
      <c r="CC897" s="80" t="str">
        <f>IF(AND(BD897=1,D897="proMX",E897&amp;""&lt;&gt;""),IF(COUNTIFS($D$5:D896,"proMX",$E$5:E896,E897,$BD$5:BD896,1)=0,MAX($CC$5:CC896)+1,""),"")</f>
        <v/>
      </c>
      <c r="CD897" s="80" t="str">
        <f>IF(AND(BE897=1,D897="Malcolm",F897&amp;""&lt;&gt;""),IF(COUNTIFS($D$5:D896,"Malcolm",$F$5:F896,F897,$BE$5:BE896,1)=0,MAX($CD$5:CD896)+1,""),"")</f>
        <v/>
      </c>
      <c r="CE897" s="80" t="str">
        <f>IF(AND(BD897=1,D897="proMX",F897&amp;""&lt;&gt;""),IF(COUNTIFS($D$5:D896,"proMX",$F$5:F896,F897,$BD$5:BD896,1)=0,MAX($CE$5:CE896)+1,""),"")</f>
        <v/>
      </c>
      <c r="CF897" s="80" t="str">
        <f>IF(AND(D897="proMX",BD897=1),IF(OR(BF897="Draft",BF897="Submitted",BF897="Returned",BF897="Recall Requested"),MAX($CF$5:CF896)+1,""),"")</f>
        <v/>
      </c>
      <c r="CG897" s="80">
        <f>IF(BD897=0,0,IF(D897="Malcolm",1,MATCH(BF897,{"Draft","Submitted","Approved","Returned","Recall Requested","Cancelled"},0)+1))</f>
        <v>0</v>
      </c>
      <c r="CH897" s="80">
        <f>IF(AND(BF897="Submitted",ISNUMBER(V897)),IF(V897&gt;CFG_MAXD,1,0),0)</f>
        <v>0</v>
      </c>
    </row>
    <row r="898">
      <c r="A898" s="71" t="str">
        <f>IF(Y898=1,ROW()-5,"")</f>
        <v/>
      </c>
      <c r="B898" s="72" t="n"/>
      <c r="C898" s="71" t="str">
        <f>IF(ISNUMBER(B898),CHOOSE(WEEKDAY(B898,2),"Lun","Mar","Mié","Jue","Vie","Sáb","Dom"),"")</f>
        <v/>
      </c>
      <c r="D898" s="73" t="n"/>
      <c r="E898" s="74" t="n"/>
      <c r="F898" s="74" t="n"/>
      <c r="G898" s="74" t="n"/>
      <c r="H898" s="75" t="n"/>
      <c r="I898" s="75" t="n"/>
      <c r="J898" s="76" t="n"/>
      <c r="K898" s="77" t="str">
        <f>IF(AB898=1,ROUND(AG898/60,4),"")</f>
        <v/>
      </c>
      <c r="L898" s="77" t="str">
        <f>IF(BD898=1,ROUND(AP898/60,4),"")</f>
        <v/>
      </c>
      <c r="M898" s="77" t="str">
        <f>IF(BD898=1,ROUND(AQ898/60,4),"")</f>
        <v/>
      </c>
      <c r="N898" s="71" t="str">
        <f>IF(AND(D898="proMX",AB898=1),ROUND(AG898/CFG_BLK,2),"")</f>
        <v/>
      </c>
      <c r="O898" s="77" t="str">
        <f>IF(D898="proMX",IF(BD898=1,ROUND(AG898/60,4),0),"")</f>
        <v/>
      </c>
      <c r="P898" s="78" t="str">
        <f>IF(Y898=0,"",IF(BD898=1,"OK",IF(D898="proMX","Revisar bloques: ","Revisar: ")&amp;BC898))</f>
        <v/>
      </c>
      <c r="Q898" s="78" t="str">
        <f>IF(NOT(ISNUMBER(B898)),"",IF(COUNTIFS(FER_F,INT(B898))&gt;0,"Feriado"&amp;IF(AH898=1," (laborable)"," (no laborable)"),IF(AH898=1,"Laborable",IF(WEEKDAY(B898,2)&gt;5,"Fin de semana","No laborable"))))</f>
        <v/>
      </c>
      <c r="R898" s="73" t="n"/>
      <c r="S898" s="72" t="n"/>
      <c r="T898" s="72" t="n"/>
      <c r="U898" s="74" t="n"/>
      <c r="V898" s="79" t="str">
        <f>IF(AND(D898="proMX",OR(R898="Submitted",R898="Recall Requested"),ISNUMBER(S898)),CFG_TODAY-INT(S898),"")</f>
        <v/>
      </c>
      <c r="W898" s="78" t="str">
        <f>IF(BD898=0,"",IF(BA898&gt;0,"⚠ Se superpone con un registro de la otra empresa",IF(D898="Malcolm",IF(COUNTA(R898,S898,T898)&gt;0,"Estado/fechas proMX se ignoran en Malcolm",""),IF(BF898="Cancelled","Cancelado: excluido de totales",IF(R898="","Sin estado: se trata como Draft",IF(BF898="Submitted",IF(ISNUMBER(V898),IF(V898&gt;CFG_MAXD,"⚠ "&amp;V898&amp;" días en Submitted (máx. "&amp;CFG_MAXD&amp;")",""),"Falta fecha de envío"),IF(BF898="Returned","⚠ Devuelto: corregir y reenviar",IF(BF898="Recall Requested","Retirada solicitada: pendiente",IF(AND(BF898="Approved",NOT(ISNUMBER(T898))),"Falta fecha de aprobación",IF(AND(ISNUMBER(S898),ISNUMBER(T898),T898&lt;S898),"Aprobación anterior al envío","")))))))))</f>
        <v/>
      </c>
      <c r="Y898" s="80">
        <f>IF(COUNTA(B898,D898,E898,F898,G898,H898,I898,J898,R898,S898,T898)&gt;0,1,0)</f>
        <v>0</v>
      </c>
      <c r="Z898" s="80" t="str">
        <f>IF(AND(ISNUMBER(H898),H898&gt;=0,H898&lt;1),ROUND(H898*1440,0),"")</f>
        <v/>
      </c>
      <c r="AA898" s="80" t="str">
        <f>IF(AND(ISNUMBER(I898),I898&gt;=0,I898&lt;1),ROUND(I898*1440,0),"")</f>
        <v/>
      </c>
      <c r="AB898" s="80">
        <f>IF(AND(ISNUMBER(B898),D898&lt;&gt;"",ISNUMBER(Z898),ISNUMBER(AA898)),IF(Z898=AA898,0,1),0)</f>
        <v>0</v>
      </c>
      <c r="AC898" s="80">
        <f>IF(AB898=1,IF(AA898&lt;Z898,1,0),0)</f>
        <v>0</v>
      </c>
      <c r="AD898" s="80">
        <f>IF(AB898=1,IF(AC898=1,1440-Z898+AA898,AA898-Z898),0)</f>
        <v>0</v>
      </c>
      <c r="AE898" s="80">
        <f>IF(J898="",0,IF(ISNUMBER(J898),J898,-1))</f>
        <v>0</v>
      </c>
      <c r="AF898" s="80">
        <f>MIN(MAX(0,AE898),AD898)</f>
        <v>0</v>
      </c>
      <c r="AG898" s="80">
        <f>MAX(0,AD898-MAX(0,AE898))</f>
        <v>0</v>
      </c>
      <c r="AH898" s="80">
        <f>IF(ISNUMBER(B898),IF(AND(INDEX(CFG_WDAYS,WEEKDAY(INT(B898),2))="Sí",IF(D898="proMX",COUNTIFS(FER_F,INT(B898),FER_NLP,"Sí"),COUNTIFS(FER_F,INT(B898),FER_NLM,"Sí"))=0),1,0),0)</f>
        <v>0</v>
      </c>
      <c r="AI898" s="80">
        <f>IF(AC898=1,IF(AND(INDEX(CFG_WDAYS,WEEKDAY(INT(B898)+1,2))="Sí",IF(D898="proMX",COUNTIFS(FER_F,INT(B898)+1,FER_NLP,"Sí"),COUNTIFS(FER_F,INT(B898)+1,FER_NLM,"Sí"))=0),1,0),0)</f>
        <v>0</v>
      </c>
      <c r="AJ898" s="80">
        <f>IF(AC898=1,1440-Z898,AD898)</f>
        <v>0</v>
      </c>
      <c r="AK898" s="80">
        <f>IF(AND(AB898=1,AH898=1),MAX(0,MIN(IF(AC898=1,1440,AA898),CFG_WEM)-MAX(Z898,CFG_WSM)),0)</f>
        <v>0</v>
      </c>
      <c r="AL898" s="80">
        <f>IF(AND(AC898=1,AI898=1),MAX(0,MIN(AA898,CFG_WEM)-CFG_WSM),0)</f>
        <v>0</v>
      </c>
      <c r="AM898" s="80">
        <f>AK898+AL898</f>
        <v>0</v>
      </c>
      <c r="AN898" s="80">
        <f>IF(CFG_BRK="Proporcional",IF(AD898=0,0,AF898*AM898/AD898),IF(CFG_BRK="Extras primero",MIN(AM898,MAX(0,AF898-(AD898-AM898))),MIN(AF898,AM898)))</f>
        <v>0</v>
      </c>
      <c r="AO898" s="80">
        <f>AF898-AN898</f>
        <v>0</v>
      </c>
      <c r="AP898" s="80">
        <f>AM898-AN898</f>
        <v>0</v>
      </c>
      <c r="AQ898" s="80">
        <f>AD898-AM898-AO898</f>
        <v>0</v>
      </c>
      <c r="AR898" s="80">
        <f>IF(AM898=0,0,AK898-AN898*AK898/AM898)</f>
        <v>0</v>
      </c>
      <c r="AS898" s="80">
        <f>IF(AD898-AM898=0,0,(AJ898-AK898)-AO898*(AJ898-AK898)/(AD898-AM898))</f>
        <v>0</v>
      </c>
      <c r="AT898" s="80" t="str">
        <f>IF(AC898=1,INT(B898)+1,"")</f>
        <v/>
      </c>
      <c r="AU898" s="80">
        <f>IF(AND(D898="proMX",R898="Cancelled"),0,1)</f>
        <v>1</v>
      </c>
      <c r="AV898" s="80">
        <f>IF(AND(AB898=1,AU898=1),IF(COUNTIFS($D$5:D897,D898,$B$5:B897,B898,$Z$5:Z897,Z898,$AA$5:AA897,AA898,$F$5:F897,F898&amp;"",$AU$5:AU897,1)&gt;0,1,0),0)</f>
        <v>0</v>
      </c>
      <c r="AW898" s="80" t="str">
        <f>IF(AB898=1,INT(B898)*1440+Z898,"")</f>
        <v/>
      </c>
      <c r="AX898" s="80" t="str">
        <f>IF(AB898=1,AW898+AD898,"")</f>
        <v/>
      </c>
      <c r="AY898" s="80">
        <f>IF(AND(AB898=1,AV898=0,AU898=1),1,0)</f>
        <v>0</v>
      </c>
      <c r="AZ898" s="80">
        <f>IF(AY898=1,COUNTIFS(R_Emp,D898,R_SAbs,"&lt;"&amp;AX898,R_EAbs,"&gt;"&amp;AW898,R_OKey,1)-1,0)</f>
        <v>0</v>
      </c>
      <c r="BA898" s="80">
        <f>IF(AY898=1,COUNTIFS(R_Emp,"&lt;&gt;"&amp;D898,R_SAbs,"&lt;"&amp;AX898,R_EAbs,"&gt;"&amp;AW898,R_OKey,1),0)</f>
        <v>0</v>
      </c>
      <c r="BB898" s="80">
        <f>IF(AND(AB898=1,D898="proMX"),IF(AND(MOD(Z898,CFG_BLK)=0,MOD(AA898,CFG_BLK)=0,MOD(AG898,CFG_BLK)=0,AG898&gt;0),1,0),1)</f>
        <v>1</v>
      </c>
      <c r="BC898" s="80" t="str">
        <f>IF(Y898=0,"",IF(NOT(ISNUMBER(B898)),"Falta fecha o fecha inválida",IF(D898="","Falta empresa",IF(AND(D898&lt;&gt;"Malcolm",D898&lt;&gt;"proMX"),"Empresa inválida",IF(OR(INT(B898)&lt;CFG_PSTART,INT(B898)&gt;CFG_PEND),"Fecha fuera del período",IF(OR(NOT(ISNUMBER(Z898)),NOT(ISNUMBER(AA898))),"Falta hora inicio/fin o formato inválido",IF(AB898=0,"Hora inicio = hora fin",IF(AE898&lt;0,"Descanso inválido",IF(AE898&gt;=AD898,"Descanso ≥ duración",IF(AV898=1,"Registro duplicado",IF(AZ898&gt;0,"Se superpone con otro registro "&amp;D898,IF(BB898=0,"inicio, fin y duración neta deben ser múltiplos de "&amp;CFG_BLK&amp;" min",""))))))))))))</f>
        <v/>
      </c>
      <c r="BD898" s="80">
        <f>IF(AND(Y898=1,BC898=""),1,0)</f>
        <v>0</v>
      </c>
      <c r="BE898" s="80">
        <f>IF(AND(BD898=1,AU898=1),1,0)</f>
        <v>0</v>
      </c>
      <c r="BF898" s="80" t="str">
        <f>IF(AND(D898="proMX",BD898=1),IF(R898="","Draft",R898),"")</f>
        <v/>
      </c>
      <c r="BG898" s="80">
        <f>IF(BD898=1,ROUND(AG898/60,6),0)</f>
        <v>0</v>
      </c>
      <c r="BH898" s="80">
        <f>IF(BE898=1,ROUND(AG898/60,6),0)</f>
        <v>0</v>
      </c>
      <c r="BI898" s="80">
        <f>IF(BE898=1,ROUND(AP898/60,6),0)</f>
        <v>0</v>
      </c>
      <c r="BJ898" s="80">
        <f>IF(BE898=1,ROUND(AQ898/60,6),0)</f>
        <v>0</v>
      </c>
      <c r="BK898" s="80">
        <f>IF(BE898=1,ROUND((AR898+AS898)/60,6),0)</f>
        <v>0</v>
      </c>
      <c r="BL898" s="80">
        <f>ROUND(BH898-BK898,6)</f>
        <v>0</v>
      </c>
      <c r="BM898" s="80">
        <f>IF(BE898=1,ROUND(AR898/60,6),0)</f>
        <v>0</v>
      </c>
      <c r="BN898" s="80">
        <f>ROUND(BI898-BM898,6)</f>
        <v>0</v>
      </c>
      <c r="BO898" s="80">
        <f>IF(BE898=1,ROUND(AS898/60,6),0)</f>
        <v>0</v>
      </c>
      <c r="BP898" s="80">
        <f>ROUND(BJ898-BO898,6)</f>
        <v>0</v>
      </c>
      <c r="BQ898" s="80">
        <f>IF(BE898=1,AW898,0)</f>
        <v>0</v>
      </c>
      <c r="BR898" s="80">
        <f>IF(BE898=1,AX898,0)</f>
        <v>0</v>
      </c>
      <c r="BS898" s="80">
        <f>IF(AND(BE898=1,D898="Malcolm",BA898&gt;0),MIN(BH898,SUMPRODUCT((R_Emp="proMX")*(R_EN&gt;0)*((R_EN-(R_EN&gt;BR898)*(R_EN-BR898))&gt;(R_SN+(R_SN&lt;BQ898)*(BQ898-R_SN)))*((R_EN-(R_EN&gt;BR898)*(R_EN-BR898))-(R_SN+(R_SN&lt;BQ898)*(BQ898-R_SN))))/60),0)</f>
        <v>0</v>
      </c>
      <c r="BT898" s="80">
        <f>IF(AND(BE898=1,D898="proMX"),ROUND(BI898*CFG_RATE+BJ898*CFG_OTRATE,6),0)</f>
        <v>0</v>
      </c>
      <c r="BU898" s="80">
        <f>IF(AND(BD898=1,D898="proMX"),ROUND(AG898/CFG_BLK,6),0)</f>
        <v>0</v>
      </c>
      <c r="BV898" s="80" t="str">
        <f>IF(BF898="Approved",IF(ISNUMBER(T898),INT(T898),INT(B898)),"")</f>
        <v/>
      </c>
      <c r="BW898" s="80">
        <f>IF(ISNUMBER(B898),IF(DB_MON="Todos",1,IF(AND(INT(B898)&gt;=DB_MS,INT(B898)&lt;=DB_ME),1,0)),0)</f>
        <v>0</v>
      </c>
      <c r="BX898" s="80">
        <f>IF(DB_PROJ="Todos",1,IF(E898&amp;""=DB_PROJ&amp;"",1,0))</f>
        <v>1</v>
      </c>
      <c r="BY898" s="80">
        <f>BW898*BX898</f>
        <v>0</v>
      </c>
      <c r="BZ898" s="80" t="str">
        <f>IF(Y898=1,F898&amp;IF(AND(F898&amp;""&lt;&gt;"",E898&amp;""&lt;&gt;"")," · ","")&amp;E898,"")</f>
        <v/>
      </c>
      <c r="CA898" s="80" t="str">
        <f>IF(AND(BD898=1,E898&amp;""&lt;&gt;""),IF(COUNTIFS($E$5:E897,E898,$BD$5:BD897,1)=0,MAX($CA$5:CA897)+1,""),"")</f>
        <v/>
      </c>
      <c r="CB898" s="80" t="str">
        <f>IF(AND(BE898=1,D898="Malcolm",E898&amp;""&lt;&gt;""),IF(COUNTIFS($D$5:D897,"Malcolm",$E$5:E897,E898,$BE$5:BE897,1)=0,MAX($CB$5:CB897)+1,""),"")</f>
        <v/>
      </c>
      <c r="CC898" s="80" t="str">
        <f>IF(AND(BD898=1,D898="proMX",E898&amp;""&lt;&gt;""),IF(COUNTIFS($D$5:D897,"proMX",$E$5:E897,E898,$BD$5:BD897,1)=0,MAX($CC$5:CC897)+1,""),"")</f>
        <v/>
      </c>
      <c r="CD898" s="80" t="str">
        <f>IF(AND(BE898=1,D898="Malcolm",F898&amp;""&lt;&gt;""),IF(COUNTIFS($D$5:D897,"Malcolm",$F$5:F897,F898,$BE$5:BE897,1)=0,MAX($CD$5:CD897)+1,""),"")</f>
        <v/>
      </c>
      <c r="CE898" s="80" t="str">
        <f>IF(AND(BD898=1,D898="proMX",F898&amp;""&lt;&gt;""),IF(COUNTIFS($D$5:D897,"proMX",$F$5:F897,F898,$BD$5:BD897,1)=0,MAX($CE$5:CE897)+1,""),"")</f>
        <v/>
      </c>
      <c r="CF898" s="80" t="str">
        <f>IF(AND(D898="proMX",BD898=1),IF(OR(BF898="Draft",BF898="Submitted",BF898="Returned",BF898="Recall Requested"),MAX($CF$5:CF897)+1,""),"")</f>
        <v/>
      </c>
      <c r="CG898" s="80">
        <f>IF(BD898=0,0,IF(D898="Malcolm",1,MATCH(BF898,{"Draft","Submitted","Approved","Returned","Recall Requested","Cancelled"},0)+1))</f>
        <v>0</v>
      </c>
      <c r="CH898" s="80">
        <f>IF(AND(BF898="Submitted",ISNUMBER(V898)),IF(V898&gt;CFG_MAXD,1,0),0)</f>
        <v>0</v>
      </c>
    </row>
    <row r="899">
      <c r="A899" s="71" t="str">
        <f>IF(Y899=1,ROW()-5,"")</f>
        <v/>
      </c>
      <c r="B899" s="72" t="n"/>
      <c r="C899" s="71" t="str">
        <f>IF(ISNUMBER(B899),CHOOSE(WEEKDAY(B899,2),"Lun","Mar","Mié","Jue","Vie","Sáb","Dom"),"")</f>
        <v/>
      </c>
      <c r="D899" s="73" t="n"/>
      <c r="E899" s="74" t="n"/>
      <c r="F899" s="74" t="n"/>
      <c r="G899" s="74" t="n"/>
      <c r="H899" s="75" t="n"/>
      <c r="I899" s="75" t="n"/>
      <c r="J899" s="76" t="n"/>
      <c r="K899" s="77" t="str">
        <f>IF(AB899=1,ROUND(AG899/60,4),"")</f>
        <v/>
      </c>
      <c r="L899" s="77" t="str">
        <f>IF(BD899=1,ROUND(AP899/60,4),"")</f>
        <v/>
      </c>
      <c r="M899" s="77" t="str">
        <f>IF(BD899=1,ROUND(AQ899/60,4),"")</f>
        <v/>
      </c>
      <c r="N899" s="71" t="str">
        <f>IF(AND(D899="proMX",AB899=1),ROUND(AG899/CFG_BLK,2),"")</f>
        <v/>
      </c>
      <c r="O899" s="77" t="str">
        <f>IF(D899="proMX",IF(BD899=1,ROUND(AG899/60,4),0),"")</f>
        <v/>
      </c>
      <c r="P899" s="78" t="str">
        <f>IF(Y899=0,"",IF(BD899=1,"OK",IF(D899="proMX","Revisar bloques: ","Revisar: ")&amp;BC899))</f>
        <v/>
      </c>
      <c r="Q899" s="78" t="str">
        <f>IF(NOT(ISNUMBER(B899)),"",IF(COUNTIFS(FER_F,INT(B899))&gt;0,"Feriado"&amp;IF(AH899=1," (laborable)"," (no laborable)"),IF(AH899=1,"Laborable",IF(WEEKDAY(B899,2)&gt;5,"Fin de semana","No laborable"))))</f>
        <v/>
      </c>
      <c r="R899" s="73" t="n"/>
      <c r="S899" s="72" t="n"/>
      <c r="T899" s="72" t="n"/>
      <c r="U899" s="74" t="n"/>
      <c r="V899" s="79" t="str">
        <f>IF(AND(D899="proMX",OR(R899="Submitted",R899="Recall Requested"),ISNUMBER(S899)),CFG_TODAY-INT(S899),"")</f>
        <v/>
      </c>
      <c r="W899" s="78" t="str">
        <f>IF(BD899=0,"",IF(BA899&gt;0,"⚠ Se superpone con un registro de la otra empresa",IF(D899="Malcolm",IF(COUNTA(R899,S899,T899)&gt;0,"Estado/fechas proMX se ignoran en Malcolm",""),IF(BF899="Cancelled","Cancelado: excluido de totales",IF(R899="","Sin estado: se trata como Draft",IF(BF899="Submitted",IF(ISNUMBER(V899),IF(V899&gt;CFG_MAXD,"⚠ "&amp;V899&amp;" días en Submitted (máx. "&amp;CFG_MAXD&amp;")",""),"Falta fecha de envío"),IF(BF899="Returned","⚠ Devuelto: corregir y reenviar",IF(BF899="Recall Requested","Retirada solicitada: pendiente",IF(AND(BF899="Approved",NOT(ISNUMBER(T899))),"Falta fecha de aprobación",IF(AND(ISNUMBER(S899),ISNUMBER(T899),T899&lt;S899),"Aprobación anterior al envío","")))))))))</f>
        <v/>
      </c>
      <c r="Y899" s="80">
        <f>IF(COUNTA(B899,D899,E899,F899,G899,H899,I899,J899,R899,S899,T899)&gt;0,1,0)</f>
        <v>0</v>
      </c>
      <c r="Z899" s="80" t="str">
        <f>IF(AND(ISNUMBER(H899),H899&gt;=0,H899&lt;1),ROUND(H899*1440,0),"")</f>
        <v/>
      </c>
      <c r="AA899" s="80" t="str">
        <f>IF(AND(ISNUMBER(I899),I899&gt;=0,I899&lt;1),ROUND(I899*1440,0),"")</f>
        <v/>
      </c>
      <c r="AB899" s="80">
        <f>IF(AND(ISNUMBER(B899),D899&lt;&gt;"",ISNUMBER(Z899),ISNUMBER(AA899)),IF(Z899=AA899,0,1),0)</f>
        <v>0</v>
      </c>
      <c r="AC899" s="80">
        <f>IF(AB899=1,IF(AA899&lt;Z899,1,0),0)</f>
        <v>0</v>
      </c>
      <c r="AD899" s="80">
        <f>IF(AB899=1,IF(AC899=1,1440-Z899+AA899,AA899-Z899),0)</f>
        <v>0</v>
      </c>
      <c r="AE899" s="80">
        <f>IF(J899="",0,IF(ISNUMBER(J899),J899,-1))</f>
        <v>0</v>
      </c>
      <c r="AF899" s="80">
        <f>MIN(MAX(0,AE899),AD899)</f>
        <v>0</v>
      </c>
      <c r="AG899" s="80">
        <f>MAX(0,AD899-MAX(0,AE899))</f>
        <v>0</v>
      </c>
      <c r="AH899" s="80">
        <f>IF(ISNUMBER(B899),IF(AND(INDEX(CFG_WDAYS,WEEKDAY(INT(B899),2))="Sí",IF(D899="proMX",COUNTIFS(FER_F,INT(B899),FER_NLP,"Sí"),COUNTIFS(FER_F,INT(B899),FER_NLM,"Sí"))=0),1,0),0)</f>
        <v>0</v>
      </c>
      <c r="AI899" s="80">
        <f>IF(AC899=1,IF(AND(INDEX(CFG_WDAYS,WEEKDAY(INT(B899)+1,2))="Sí",IF(D899="proMX",COUNTIFS(FER_F,INT(B899)+1,FER_NLP,"Sí"),COUNTIFS(FER_F,INT(B899)+1,FER_NLM,"Sí"))=0),1,0),0)</f>
        <v>0</v>
      </c>
      <c r="AJ899" s="80">
        <f>IF(AC899=1,1440-Z899,AD899)</f>
        <v>0</v>
      </c>
      <c r="AK899" s="80">
        <f>IF(AND(AB899=1,AH899=1),MAX(0,MIN(IF(AC899=1,1440,AA899),CFG_WEM)-MAX(Z899,CFG_WSM)),0)</f>
        <v>0</v>
      </c>
      <c r="AL899" s="80">
        <f>IF(AND(AC899=1,AI899=1),MAX(0,MIN(AA899,CFG_WEM)-CFG_WSM),0)</f>
        <v>0</v>
      </c>
      <c r="AM899" s="80">
        <f>AK899+AL899</f>
        <v>0</v>
      </c>
      <c r="AN899" s="80">
        <f>IF(CFG_BRK="Proporcional",IF(AD899=0,0,AF899*AM899/AD899),IF(CFG_BRK="Extras primero",MIN(AM899,MAX(0,AF899-(AD899-AM899))),MIN(AF899,AM899)))</f>
        <v>0</v>
      </c>
      <c r="AO899" s="80">
        <f>AF899-AN899</f>
        <v>0</v>
      </c>
      <c r="AP899" s="80">
        <f>AM899-AN899</f>
        <v>0</v>
      </c>
      <c r="AQ899" s="80">
        <f>AD899-AM899-AO899</f>
        <v>0</v>
      </c>
      <c r="AR899" s="80">
        <f>IF(AM899=0,0,AK899-AN899*AK899/AM899)</f>
        <v>0</v>
      </c>
      <c r="AS899" s="80">
        <f>IF(AD899-AM899=0,0,(AJ899-AK899)-AO899*(AJ899-AK899)/(AD899-AM899))</f>
        <v>0</v>
      </c>
      <c r="AT899" s="80" t="str">
        <f>IF(AC899=1,INT(B899)+1,"")</f>
        <v/>
      </c>
      <c r="AU899" s="80">
        <f>IF(AND(D899="proMX",R899="Cancelled"),0,1)</f>
        <v>1</v>
      </c>
      <c r="AV899" s="80">
        <f>IF(AND(AB899=1,AU899=1),IF(COUNTIFS($D$5:D898,D899,$B$5:B898,B899,$Z$5:Z898,Z899,$AA$5:AA898,AA899,$F$5:F898,F899&amp;"",$AU$5:AU898,1)&gt;0,1,0),0)</f>
        <v>0</v>
      </c>
      <c r="AW899" s="80" t="str">
        <f>IF(AB899=1,INT(B899)*1440+Z899,"")</f>
        <v/>
      </c>
      <c r="AX899" s="80" t="str">
        <f>IF(AB899=1,AW899+AD899,"")</f>
        <v/>
      </c>
      <c r="AY899" s="80">
        <f>IF(AND(AB899=1,AV899=0,AU899=1),1,0)</f>
        <v>0</v>
      </c>
      <c r="AZ899" s="80">
        <f>IF(AY899=1,COUNTIFS(R_Emp,D899,R_SAbs,"&lt;"&amp;AX899,R_EAbs,"&gt;"&amp;AW899,R_OKey,1)-1,0)</f>
        <v>0</v>
      </c>
      <c r="BA899" s="80">
        <f>IF(AY899=1,COUNTIFS(R_Emp,"&lt;&gt;"&amp;D899,R_SAbs,"&lt;"&amp;AX899,R_EAbs,"&gt;"&amp;AW899,R_OKey,1),0)</f>
        <v>0</v>
      </c>
      <c r="BB899" s="80">
        <f>IF(AND(AB899=1,D899="proMX"),IF(AND(MOD(Z899,CFG_BLK)=0,MOD(AA899,CFG_BLK)=0,MOD(AG899,CFG_BLK)=0,AG899&gt;0),1,0),1)</f>
        <v>1</v>
      </c>
      <c r="BC899" s="80" t="str">
        <f>IF(Y899=0,"",IF(NOT(ISNUMBER(B899)),"Falta fecha o fecha inválida",IF(D899="","Falta empresa",IF(AND(D899&lt;&gt;"Malcolm",D899&lt;&gt;"proMX"),"Empresa inválida",IF(OR(INT(B899)&lt;CFG_PSTART,INT(B899)&gt;CFG_PEND),"Fecha fuera del período",IF(OR(NOT(ISNUMBER(Z899)),NOT(ISNUMBER(AA899))),"Falta hora inicio/fin o formato inválido",IF(AB899=0,"Hora inicio = hora fin",IF(AE899&lt;0,"Descanso inválido",IF(AE899&gt;=AD899,"Descanso ≥ duración",IF(AV899=1,"Registro duplicado",IF(AZ899&gt;0,"Se superpone con otro registro "&amp;D899,IF(BB899=0,"inicio, fin y duración neta deben ser múltiplos de "&amp;CFG_BLK&amp;" min",""))))))))))))</f>
        <v/>
      </c>
      <c r="BD899" s="80">
        <f>IF(AND(Y899=1,BC899=""),1,0)</f>
        <v>0</v>
      </c>
      <c r="BE899" s="80">
        <f>IF(AND(BD899=1,AU899=1),1,0)</f>
        <v>0</v>
      </c>
      <c r="BF899" s="80" t="str">
        <f>IF(AND(D899="proMX",BD899=1),IF(R899="","Draft",R899),"")</f>
        <v/>
      </c>
      <c r="BG899" s="80">
        <f>IF(BD899=1,ROUND(AG899/60,6),0)</f>
        <v>0</v>
      </c>
      <c r="BH899" s="80">
        <f>IF(BE899=1,ROUND(AG899/60,6),0)</f>
        <v>0</v>
      </c>
      <c r="BI899" s="80">
        <f>IF(BE899=1,ROUND(AP899/60,6),0)</f>
        <v>0</v>
      </c>
      <c r="BJ899" s="80">
        <f>IF(BE899=1,ROUND(AQ899/60,6),0)</f>
        <v>0</v>
      </c>
      <c r="BK899" s="80">
        <f>IF(BE899=1,ROUND((AR899+AS899)/60,6),0)</f>
        <v>0</v>
      </c>
      <c r="BL899" s="80">
        <f>ROUND(BH899-BK899,6)</f>
        <v>0</v>
      </c>
      <c r="BM899" s="80">
        <f>IF(BE899=1,ROUND(AR899/60,6),0)</f>
        <v>0</v>
      </c>
      <c r="BN899" s="80">
        <f>ROUND(BI899-BM899,6)</f>
        <v>0</v>
      </c>
      <c r="BO899" s="80">
        <f>IF(BE899=1,ROUND(AS899/60,6),0)</f>
        <v>0</v>
      </c>
      <c r="BP899" s="80">
        <f>ROUND(BJ899-BO899,6)</f>
        <v>0</v>
      </c>
      <c r="BQ899" s="80">
        <f>IF(BE899=1,AW899,0)</f>
        <v>0</v>
      </c>
      <c r="BR899" s="80">
        <f>IF(BE899=1,AX899,0)</f>
        <v>0</v>
      </c>
      <c r="BS899" s="80">
        <f>IF(AND(BE899=1,D899="Malcolm",BA899&gt;0),MIN(BH899,SUMPRODUCT((R_Emp="proMX")*(R_EN&gt;0)*((R_EN-(R_EN&gt;BR899)*(R_EN-BR899))&gt;(R_SN+(R_SN&lt;BQ899)*(BQ899-R_SN)))*((R_EN-(R_EN&gt;BR899)*(R_EN-BR899))-(R_SN+(R_SN&lt;BQ899)*(BQ899-R_SN))))/60),0)</f>
        <v>0</v>
      </c>
      <c r="BT899" s="80">
        <f>IF(AND(BE899=1,D899="proMX"),ROUND(BI899*CFG_RATE+BJ899*CFG_OTRATE,6),0)</f>
        <v>0</v>
      </c>
      <c r="BU899" s="80">
        <f>IF(AND(BD899=1,D899="proMX"),ROUND(AG899/CFG_BLK,6),0)</f>
        <v>0</v>
      </c>
      <c r="BV899" s="80" t="str">
        <f>IF(BF899="Approved",IF(ISNUMBER(T899),INT(T899),INT(B899)),"")</f>
        <v/>
      </c>
      <c r="BW899" s="80">
        <f>IF(ISNUMBER(B899),IF(DB_MON="Todos",1,IF(AND(INT(B899)&gt;=DB_MS,INT(B899)&lt;=DB_ME),1,0)),0)</f>
        <v>0</v>
      </c>
      <c r="BX899" s="80">
        <f>IF(DB_PROJ="Todos",1,IF(E899&amp;""=DB_PROJ&amp;"",1,0))</f>
        <v>1</v>
      </c>
      <c r="BY899" s="80">
        <f>BW899*BX899</f>
        <v>0</v>
      </c>
      <c r="BZ899" s="80" t="str">
        <f>IF(Y899=1,F899&amp;IF(AND(F899&amp;""&lt;&gt;"",E899&amp;""&lt;&gt;"")," · ","")&amp;E899,"")</f>
        <v/>
      </c>
      <c r="CA899" s="80" t="str">
        <f>IF(AND(BD899=1,E899&amp;""&lt;&gt;""),IF(COUNTIFS($E$5:E898,E899,$BD$5:BD898,1)=0,MAX($CA$5:CA898)+1,""),"")</f>
        <v/>
      </c>
      <c r="CB899" s="80" t="str">
        <f>IF(AND(BE899=1,D899="Malcolm",E899&amp;""&lt;&gt;""),IF(COUNTIFS($D$5:D898,"Malcolm",$E$5:E898,E899,$BE$5:BE898,1)=0,MAX($CB$5:CB898)+1,""),"")</f>
        <v/>
      </c>
      <c r="CC899" s="80" t="str">
        <f>IF(AND(BD899=1,D899="proMX",E899&amp;""&lt;&gt;""),IF(COUNTIFS($D$5:D898,"proMX",$E$5:E898,E899,$BD$5:BD898,1)=0,MAX($CC$5:CC898)+1,""),"")</f>
        <v/>
      </c>
      <c r="CD899" s="80" t="str">
        <f>IF(AND(BE899=1,D899="Malcolm",F899&amp;""&lt;&gt;""),IF(COUNTIFS($D$5:D898,"Malcolm",$F$5:F898,F899,$BE$5:BE898,1)=0,MAX($CD$5:CD898)+1,""),"")</f>
        <v/>
      </c>
      <c r="CE899" s="80" t="str">
        <f>IF(AND(BD899=1,D899="proMX",F899&amp;""&lt;&gt;""),IF(COUNTIFS($D$5:D898,"proMX",$F$5:F898,F899,$BD$5:BD898,1)=0,MAX($CE$5:CE898)+1,""),"")</f>
        <v/>
      </c>
      <c r="CF899" s="80" t="str">
        <f>IF(AND(D899="proMX",BD899=1),IF(OR(BF899="Draft",BF899="Submitted",BF899="Returned",BF899="Recall Requested"),MAX($CF$5:CF898)+1,""),"")</f>
        <v/>
      </c>
      <c r="CG899" s="80">
        <f>IF(BD899=0,0,IF(D899="Malcolm",1,MATCH(BF899,{"Draft","Submitted","Approved","Returned","Recall Requested","Cancelled"},0)+1))</f>
        <v>0</v>
      </c>
      <c r="CH899" s="80">
        <f>IF(AND(BF899="Submitted",ISNUMBER(V899)),IF(V899&gt;CFG_MAXD,1,0),0)</f>
        <v>0</v>
      </c>
    </row>
    <row r="900">
      <c r="A900" s="71" t="str">
        <f>IF(Y900=1,ROW()-5,"")</f>
        <v/>
      </c>
      <c r="B900" s="72" t="n"/>
      <c r="C900" s="71" t="str">
        <f>IF(ISNUMBER(B900),CHOOSE(WEEKDAY(B900,2),"Lun","Mar","Mié","Jue","Vie","Sáb","Dom"),"")</f>
        <v/>
      </c>
      <c r="D900" s="73" t="n"/>
      <c r="E900" s="74" t="n"/>
      <c r="F900" s="74" t="n"/>
      <c r="G900" s="74" t="n"/>
      <c r="H900" s="75" t="n"/>
      <c r="I900" s="75" t="n"/>
      <c r="J900" s="76" t="n"/>
      <c r="K900" s="77" t="str">
        <f>IF(AB900=1,ROUND(AG900/60,4),"")</f>
        <v/>
      </c>
      <c r="L900" s="77" t="str">
        <f>IF(BD900=1,ROUND(AP900/60,4),"")</f>
        <v/>
      </c>
      <c r="M900" s="77" t="str">
        <f>IF(BD900=1,ROUND(AQ900/60,4),"")</f>
        <v/>
      </c>
      <c r="N900" s="71" t="str">
        <f>IF(AND(D900="proMX",AB900=1),ROUND(AG900/CFG_BLK,2),"")</f>
        <v/>
      </c>
      <c r="O900" s="77" t="str">
        <f>IF(D900="proMX",IF(BD900=1,ROUND(AG900/60,4),0),"")</f>
        <v/>
      </c>
      <c r="P900" s="78" t="str">
        <f>IF(Y900=0,"",IF(BD900=1,"OK",IF(D900="proMX","Revisar bloques: ","Revisar: ")&amp;BC900))</f>
        <v/>
      </c>
      <c r="Q900" s="78" t="str">
        <f>IF(NOT(ISNUMBER(B900)),"",IF(COUNTIFS(FER_F,INT(B900))&gt;0,"Feriado"&amp;IF(AH900=1," (laborable)"," (no laborable)"),IF(AH900=1,"Laborable",IF(WEEKDAY(B900,2)&gt;5,"Fin de semana","No laborable"))))</f>
        <v/>
      </c>
      <c r="R900" s="73" t="n"/>
      <c r="S900" s="72" t="n"/>
      <c r="T900" s="72" t="n"/>
      <c r="U900" s="74" t="n"/>
      <c r="V900" s="79" t="str">
        <f>IF(AND(D900="proMX",OR(R900="Submitted",R900="Recall Requested"),ISNUMBER(S900)),CFG_TODAY-INT(S900),"")</f>
        <v/>
      </c>
      <c r="W900" s="78" t="str">
        <f>IF(BD900=0,"",IF(BA900&gt;0,"⚠ Se superpone con un registro de la otra empresa",IF(D900="Malcolm",IF(COUNTA(R900,S900,T900)&gt;0,"Estado/fechas proMX se ignoran en Malcolm",""),IF(BF900="Cancelled","Cancelado: excluido de totales",IF(R900="","Sin estado: se trata como Draft",IF(BF900="Submitted",IF(ISNUMBER(V900),IF(V900&gt;CFG_MAXD,"⚠ "&amp;V900&amp;" días en Submitted (máx. "&amp;CFG_MAXD&amp;")",""),"Falta fecha de envío"),IF(BF900="Returned","⚠ Devuelto: corregir y reenviar",IF(BF900="Recall Requested","Retirada solicitada: pendiente",IF(AND(BF900="Approved",NOT(ISNUMBER(T900))),"Falta fecha de aprobación",IF(AND(ISNUMBER(S900),ISNUMBER(T900),T900&lt;S900),"Aprobación anterior al envío","")))))))))</f>
        <v/>
      </c>
      <c r="Y900" s="80">
        <f>IF(COUNTA(B900,D900,E900,F900,G900,H900,I900,J900,R900,S900,T900)&gt;0,1,0)</f>
        <v>0</v>
      </c>
      <c r="Z900" s="80" t="str">
        <f>IF(AND(ISNUMBER(H900),H900&gt;=0,H900&lt;1),ROUND(H900*1440,0),"")</f>
        <v/>
      </c>
      <c r="AA900" s="80" t="str">
        <f>IF(AND(ISNUMBER(I900),I900&gt;=0,I900&lt;1),ROUND(I900*1440,0),"")</f>
        <v/>
      </c>
      <c r="AB900" s="80">
        <f>IF(AND(ISNUMBER(B900),D900&lt;&gt;"",ISNUMBER(Z900),ISNUMBER(AA900)),IF(Z900=AA900,0,1),0)</f>
        <v>0</v>
      </c>
      <c r="AC900" s="80">
        <f>IF(AB900=1,IF(AA900&lt;Z900,1,0),0)</f>
        <v>0</v>
      </c>
      <c r="AD900" s="80">
        <f>IF(AB900=1,IF(AC900=1,1440-Z900+AA900,AA900-Z900),0)</f>
        <v>0</v>
      </c>
      <c r="AE900" s="80">
        <f>IF(J900="",0,IF(ISNUMBER(J900),J900,-1))</f>
        <v>0</v>
      </c>
      <c r="AF900" s="80">
        <f>MIN(MAX(0,AE900),AD900)</f>
        <v>0</v>
      </c>
      <c r="AG900" s="80">
        <f>MAX(0,AD900-MAX(0,AE900))</f>
        <v>0</v>
      </c>
      <c r="AH900" s="80">
        <f>IF(ISNUMBER(B900),IF(AND(INDEX(CFG_WDAYS,WEEKDAY(INT(B900),2))="Sí",IF(D900="proMX",COUNTIFS(FER_F,INT(B900),FER_NLP,"Sí"),COUNTIFS(FER_F,INT(B900),FER_NLM,"Sí"))=0),1,0),0)</f>
        <v>0</v>
      </c>
      <c r="AI900" s="80">
        <f>IF(AC900=1,IF(AND(INDEX(CFG_WDAYS,WEEKDAY(INT(B900)+1,2))="Sí",IF(D900="proMX",COUNTIFS(FER_F,INT(B900)+1,FER_NLP,"Sí"),COUNTIFS(FER_F,INT(B900)+1,FER_NLM,"Sí"))=0),1,0),0)</f>
        <v>0</v>
      </c>
      <c r="AJ900" s="80">
        <f>IF(AC900=1,1440-Z900,AD900)</f>
        <v>0</v>
      </c>
      <c r="AK900" s="80">
        <f>IF(AND(AB900=1,AH900=1),MAX(0,MIN(IF(AC900=1,1440,AA900),CFG_WEM)-MAX(Z900,CFG_WSM)),0)</f>
        <v>0</v>
      </c>
      <c r="AL900" s="80">
        <f>IF(AND(AC900=1,AI900=1),MAX(0,MIN(AA900,CFG_WEM)-CFG_WSM),0)</f>
        <v>0</v>
      </c>
      <c r="AM900" s="80">
        <f>AK900+AL900</f>
        <v>0</v>
      </c>
      <c r="AN900" s="80">
        <f>IF(CFG_BRK="Proporcional",IF(AD900=0,0,AF900*AM900/AD900),IF(CFG_BRK="Extras primero",MIN(AM900,MAX(0,AF900-(AD900-AM900))),MIN(AF900,AM900)))</f>
        <v>0</v>
      </c>
      <c r="AO900" s="80">
        <f>AF900-AN900</f>
        <v>0</v>
      </c>
      <c r="AP900" s="80">
        <f>AM900-AN900</f>
        <v>0</v>
      </c>
      <c r="AQ900" s="80">
        <f>AD900-AM900-AO900</f>
        <v>0</v>
      </c>
      <c r="AR900" s="80">
        <f>IF(AM900=0,0,AK900-AN900*AK900/AM900)</f>
        <v>0</v>
      </c>
      <c r="AS900" s="80">
        <f>IF(AD900-AM900=0,0,(AJ900-AK900)-AO900*(AJ900-AK900)/(AD900-AM900))</f>
        <v>0</v>
      </c>
      <c r="AT900" s="80" t="str">
        <f>IF(AC900=1,INT(B900)+1,"")</f>
        <v/>
      </c>
      <c r="AU900" s="80">
        <f>IF(AND(D900="proMX",R900="Cancelled"),0,1)</f>
        <v>1</v>
      </c>
      <c r="AV900" s="80">
        <f>IF(AND(AB900=1,AU900=1),IF(COUNTIFS($D$5:D899,D900,$B$5:B899,B900,$Z$5:Z899,Z900,$AA$5:AA899,AA900,$F$5:F899,F900&amp;"",$AU$5:AU899,1)&gt;0,1,0),0)</f>
        <v>0</v>
      </c>
      <c r="AW900" s="80" t="str">
        <f>IF(AB900=1,INT(B900)*1440+Z900,"")</f>
        <v/>
      </c>
      <c r="AX900" s="80" t="str">
        <f>IF(AB900=1,AW900+AD900,"")</f>
        <v/>
      </c>
      <c r="AY900" s="80">
        <f>IF(AND(AB900=1,AV900=0,AU900=1),1,0)</f>
        <v>0</v>
      </c>
      <c r="AZ900" s="80">
        <f>IF(AY900=1,COUNTIFS(R_Emp,D900,R_SAbs,"&lt;"&amp;AX900,R_EAbs,"&gt;"&amp;AW900,R_OKey,1)-1,0)</f>
        <v>0</v>
      </c>
      <c r="BA900" s="80">
        <f>IF(AY900=1,COUNTIFS(R_Emp,"&lt;&gt;"&amp;D900,R_SAbs,"&lt;"&amp;AX900,R_EAbs,"&gt;"&amp;AW900,R_OKey,1),0)</f>
        <v>0</v>
      </c>
      <c r="BB900" s="80">
        <f>IF(AND(AB900=1,D900="proMX"),IF(AND(MOD(Z900,CFG_BLK)=0,MOD(AA900,CFG_BLK)=0,MOD(AG900,CFG_BLK)=0,AG900&gt;0),1,0),1)</f>
        <v>1</v>
      </c>
      <c r="BC900" s="80" t="str">
        <f>IF(Y900=0,"",IF(NOT(ISNUMBER(B900)),"Falta fecha o fecha inválida",IF(D900="","Falta empresa",IF(AND(D900&lt;&gt;"Malcolm",D900&lt;&gt;"proMX"),"Empresa inválida",IF(OR(INT(B900)&lt;CFG_PSTART,INT(B900)&gt;CFG_PEND),"Fecha fuera del período",IF(OR(NOT(ISNUMBER(Z900)),NOT(ISNUMBER(AA900))),"Falta hora inicio/fin o formato inválido",IF(AB900=0,"Hora inicio = hora fin",IF(AE900&lt;0,"Descanso inválido",IF(AE900&gt;=AD900,"Descanso ≥ duración",IF(AV900=1,"Registro duplicado",IF(AZ900&gt;0,"Se superpone con otro registro "&amp;D900,IF(BB900=0,"inicio, fin y duración neta deben ser múltiplos de "&amp;CFG_BLK&amp;" min",""))))))))))))</f>
        <v/>
      </c>
      <c r="BD900" s="80">
        <f>IF(AND(Y900=1,BC900=""),1,0)</f>
        <v>0</v>
      </c>
      <c r="BE900" s="80">
        <f>IF(AND(BD900=1,AU900=1),1,0)</f>
        <v>0</v>
      </c>
      <c r="BF900" s="80" t="str">
        <f>IF(AND(D900="proMX",BD900=1),IF(R900="","Draft",R900),"")</f>
        <v/>
      </c>
      <c r="BG900" s="80">
        <f>IF(BD900=1,ROUND(AG900/60,6),0)</f>
        <v>0</v>
      </c>
      <c r="BH900" s="80">
        <f>IF(BE900=1,ROUND(AG900/60,6),0)</f>
        <v>0</v>
      </c>
      <c r="BI900" s="80">
        <f>IF(BE900=1,ROUND(AP900/60,6),0)</f>
        <v>0</v>
      </c>
      <c r="BJ900" s="80">
        <f>IF(BE900=1,ROUND(AQ900/60,6),0)</f>
        <v>0</v>
      </c>
      <c r="BK900" s="80">
        <f>IF(BE900=1,ROUND((AR900+AS900)/60,6),0)</f>
        <v>0</v>
      </c>
      <c r="BL900" s="80">
        <f>ROUND(BH900-BK900,6)</f>
        <v>0</v>
      </c>
      <c r="BM900" s="80">
        <f>IF(BE900=1,ROUND(AR900/60,6),0)</f>
        <v>0</v>
      </c>
      <c r="BN900" s="80">
        <f>ROUND(BI900-BM900,6)</f>
        <v>0</v>
      </c>
      <c r="BO900" s="80">
        <f>IF(BE900=1,ROUND(AS900/60,6),0)</f>
        <v>0</v>
      </c>
      <c r="BP900" s="80">
        <f>ROUND(BJ900-BO900,6)</f>
        <v>0</v>
      </c>
      <c r="BQ900" s="80">
        <f>IF(BE900=1,AW900,0)</f>
        <v>0</v>
      </c>
      <c r="BR900" s="80">
        <f>IF(BE900=1,AX900,0)</f>
        <v>0</v>
      </c>
      <c r="BS900" s="80">
        <f>IF(AND(BE900=1,D900="Malcolm",BA900&gt;0),MIN(BH900,SUMPRODUCT((R_Emp="proMX")*(R_EN&gt;0)*((R_EN-(R_EN&gt;BR900)*(R_EN-BR900))&gt;(R_SN+(R_SN&lt;BQ900)*(BQ900-R_SN)))*((R_EN-(R_EN&gt;BR900)*(R_EN-BR900))-(R_SN+(R_SN&lt;BQ900)*(BQ900-R_SN))))/60),0)</f>
        <v>0</v>
      </c>
      <c r="BT900" s="80">
        <f>IF(AND(BE900=1,D900="proMX"),ROUND(BI900*CFG_RATE+BJ900*CFG_OTRATE,6),0)</f>
        <v>0</v>
      </c>
      <c r="BU900" s="80">
        <f>IF(AND(BD900=1,D900="proMX"),ROUND(AG900/CFG_BLK,6),0)</f>
        <v>0</v>
      </c>
      <c r="BV900" s="80" t="str">
        <f>IF(BF900="Approved",IF(ISNUMBER(T900),INT(T900),INT(B900)),"")</f>
        <v/>
      </c>
      <c r="BW900" s="80">
        <f>IF(ISNUMBER(B900),IF(DB_MON="Todos",1,IF(AND(INT(B900)&gt;=DB_MS,INT(B900)&lt;=DB_ME),1,0)),0)</f>
        <v>0</v>
      </c>
      <c r="BX900" s="80">
        <f>IF(DB_PROJ="Todos",1,IF(E900&amp;""=DB_PROJ&amp;"",1,0))</f>
        <v>1</v>
      </c>
      <c r="BY900" s="80">
        <f>BW900*BX900</f>
        <v>0</v>
      </c>
      <c r="BZ900" s="80" t="str">
        <f>IF(Y900=1,F900&amp;IF(AND(F900&amp;""&lt;&gt;"",E900&amp;""&lt;&gt;"")," · ","")&amp;E900,"")</f>
        <v/>
      </c>
      <c r="CA900" s="80" t="str">
        <f>IF(AND(BD900=1,E900&amp;""&lt;&gt;""),IF(COUNTIFS($E$5:E899,E900,$BD$5:BD899,1)=0,MAX($CA$5:CA899)+1,""),"")</f>
        <v/>
      </c>
      <c r="CB900" s="80" t="str">
        <f>IF(AND(BE900=1,D900="Malcolm",E900&amp;""&lt;&gt;""),IF(COUNTIFS($D$5:D899,"Malcolm",$E$5:E899,E900,$BE$5:BE899,1)=0,MAX($CB$5:CB899)+1,""),"")</f>
        <v/>
      </c>
      <c r="CC900" s="80" t="str">
        <f>IF(AND(BD900=1,D900="proMX",E900&amp;""&lt;&gt;""),IF(COUNTIFS($D$5:D899,"proMX",$E$5:E899,E900,$BD$5:BD899,1)=0,MAX($CC$5:CC899)+1,""),"")</f>
        <v/>
      </c>
      <c r="CD900" s="80" t="str">
        <f>IF(AND(BE900=1,D900="Malcolm",F900&amp;""&lt;&gt;""),IF(COUNTIFS($D$5:D899,"Malcolm",$F$5:F899,F900,$BE$5:BE899,1)=0,MAX($CD$5:CD899)+1,""),"")</f>
        <v/>
      </c>
      <c r="CE900" s="80" t="str">
        <f>IF(AND(BD900=1,D900="proMX",F900&amp;""&lt;&gt;""),IF(COUNTIFS($D$5:D899,"proMX",$F$5:F899,F900,$BD$5:BD899,1)=0,MAX($CE$5:CE899)+1,""),"")</f>
        <v/>
      </c>
      <c r="CF900" s="80" t="str">
        <f>IF(AND(D900="proMX",BD900=1),IF(OR(BF900="Draft",BF900="Submitted",BF900="Returned",BF900="Recall Requested"),MAX($CF$5:CF899)+1,""),"")</f>
        <v/>
      </c>
      <c r="CG900" s="80">
        <f>IF(BD900=0,0,IF(D900="Malcolm",1,MATCH(BF900,{"Draft","Submitted","Approved","Returned","Recall Requested","Cancelled"},0)+1))</f>
        <v>0</v>
      </c>
      <c r="CH900" s="80">
        <f>IF(AND(BF900="Submitted",ISNUMBER(V900)),IF(V900&gt;CFG_MAXD,1,0),0)</f>
        <v>0</v>
      </c>
    </row>
    <row r="901">
      <c r="A901" s="71" t="str">
        <f>IF(Y901=1,ROW()-5,"")</f>
        <v/>
      </c>
      <c r="B901" s="72" t="n"/>
      <c r="C901" s="71" t="str">
        <f>IF(ISNUMBER(B901),CHOOSE(WEEKDAY(B901,2),"Lun","Mar","Mié","Jue","Vie","Sáb","Dom"),"")</f>
        <v/>
      </c>
      <c r="D901" s="73" t="n"/>
      <c r="E901" s="74" t="n"/>
      <c r="F901" s="74" t="n"/>
      <c r="G901" s="74" t="n"/>
      <c r="H901" s="75" t="n"/>
      <c r="I901" s="75" t="n"/>
      <c r="J901" s="76" t="n"/>
      <c r="K901" s="77" t="str">
        <f>IF(AB901=1,ROUND(AG901/60,4),"")</f>
        <v/>
      </c>
      <c r="L901" s="77" t="str">
        <f>IF(BD901=1,ROUND(AP901/60,4),"")</f>
        <v/>
      </c>
      <c r="M901" s="77" t="str">
        <f>IF(BD901=1,ROUND(AQ901/60,4),"")</f>
        <v/>
      </c>
      <c r="N901" s="71" t="str">
        <f>IF(AND(D901="proMX",AB901=1),ROUND(AG901/CFG_BLK,2),"")</f>
        <v/>
      </c>
      <c r="O901" s="77" t="str">
        <f>IF(D901="proMX",IF(BD901=1,ROUND(AG901/60,4),0),"")</f>
        <v/>
      </c>
      <c r="P901" s="78" t="str">
        <f>IF(Y901=0,"",IF(BD901=1,"OK",IF(D901="proMX","Revisar bloques: ","Revisar: ")&amp;BC901))</f>
        <v/>
      </c>
      <c r="Q901" s="78" t="str">
        <f>IF(NOT(ISNUMBER(B901)),"",IF(COUNTIFS(FER_F,INT(B901))&gt;0,"Feriado"&amp;IF(AH901=1," (laborable)"," (no laborable)"),IF(AH901=1,"Laborable",IF(WEEKDAY(B901,2)&gt;5,"Fin de semana","No laborable"))))</f>
        <v/>
      </c>
      <c r="R901" s="73" t="n"/>
      <c r="S901" s="72" t="n"/>
      <c r="T901" s="72" t="n"/>
      <c r="U901" s="74" t="n"/>
      <c r="V901" s="79" t="str">
        <f>IF(AND(D901="proMX",OR(R901="Submitted",R901="Recall Requested"),ISNUMBER(S901)),CFG_TODAY-INT(S901),"")</f>
        <v/>
      </c>
      <c r="W901" s="78" t="str">
        <f>IF(BD901=0,"",IF(BA901&gt;0,"⚠ Se superpone con un registro de la otra empresa",IF(D901="Malcolm",IF(COUNTA(R901,S901,T901)&gt;0,"Estado/fechas proMX se ignoran en Malcolm",""),IF(BF901="Cancelled","Cancelado: excluido de totales",IF(R901="","Sin estado: se trata como Draft",IF(BF901="Submitted",IF(ISNUMBER(V901),IF(V901&gt;CFG_MAXD,"⚠ "&amp;V901&amp;" días en Submitted (máx. "&amp;CFG_MAXD&amp;")",""),"Falta fecha de envío"),IF(BF901="Returned","⚠ Devuelto: corregir y reenviar",IF(BF901="Recall Requested","Retirada solicitada: pendiente",IF(AND(BF901="Approved",NOT(ISNUMBER(T901))),"Falta fecha de aprobación",IF(AND(ISNUMBER(S901),ISNUMBER(T901),T901&lt;S901),"Aprobación anterior al envío","")))))))))</f>
        <v/>
      </c>
      <c r="Y901" s="80">
        <f>IF(COUNTA(B901,D901,E901,F901,G901,H901,I901,J901,R901,S901,T901)&gt;0,1,0)</f>
        <v>0</v>
      </c>
      <c r="Z901" s="80" t="str">
        <f>IF(AND(ISNUMBER(H901),H901&gt;=0,H901&lt;1),ROUND(H901*1440,0),"")</f>
        <v/>
      </c>
      <c r="AA901" s="80" t="str">
        <f>IF(AND(ISNUMBER(I901),I901&gt;=0,I901&lt;1),ROUND(I901*1440,0),"")</f>
        <v/>
      </c>
      <c r="AB901" s="80">
        <f>IF(AND(ISNUMBER(B901),D901&lt;&gt;"",ISNUMBER(Z901),ISNUMBER(AA901)),IF(Z901=AA901,0,1),0)</f>
        <v>0</v>
      </c>
      <c r="AC901" s="80">
        <f>IF(AB901=1,IF(AA901&lt;Z901,1,0),0)</f>
        <v>0</v>
      </c>
      <c r="AD901" s="80">
        <f>IF(AB901=1,IF(AC901=1,1440-Z901+AA901,AA901-Z901),0)</f>
        <v>0</v>
      </c>
      <c r="AE901" s="80">
        <f>IF(J901="",0,IF(ISNUMBER(J901),J901,-1))</f>
        <v>0</v>
      </c>
      <c r="AF901" s="80">
        <f>MIN(MAX(0,AE901),AD901)</f>
        <v>0</v>
      </c>
      <c r="AG901" s="80">
        <f>MAX(0,AD901-MAX(0,AE901))</f>
        <v>0</v>
      </c>
      <c r="AH901" s="80">
        <f>IF(ISNUMBER(B901),IF(AND(INDEX(CFG_WDAYS,WEEKDAY(INT(B901),2))="Sí",IF(D901="proMX",COUNTIFS(FER_F,INT(B901),FER_NLP,"Sí"),COUNTIFS(FER_F,INT(B901),FER_NLM,"Sí"))=0),1,0),0)</f>
        <v>0</v>
      </c>
      <c r="AI901" s="80">
        <f>IF(AC901=1,IF(AND(INDEX(CFG_WDAYS,WEEKDAY(INT(B901)+1,2))="Sí",IF(D901="proMX",COUNTIFS(FER_F,INT(B901)+1,FER_NLP,"Sí"),COUNTIFS(FER_F,INT(B901)+1,FER_NLM,"Sí"))=0),1,0),0)</f>
        <v>0</v>
      </c>
      <c r="AJ901" s="80">
        <f>IF(AC901=1,1440-Z901,AD901)</f>
        <v>0</v>
      </c>
      <c r="AK901" s="80">
        <f>IF(AND(AB901=1,AH901=1),MAX(0,MIN(IF(AC901=1,1440,AA901),CFG_WEM)-MAX(Z901,CFG_WSM)),0)</f>
        <v>0</v>
      </c>
      <c r="AL901" s="80">
        <f>IF(AND(AC901=1,AI901=1),MAX(0,MIN(AA901,CFG_WEM)-CFG_WSM),0)</f>
        <v>0</v>
      </c>
      <c r="AM901" s="80">
        <f>AK901+AL901</f>
        <v>0</v>
      </c>
      <c r="AN901" s="80">
        <f>IF(CFG_BRK="Proporcional",IF(AD901=0,0,AF901*AM901/AD901),IF(CFG_BRK="Extras primero",MIN(AM901,MAX(0,AF901-(AD901-AM901))),MIN(AF901,AM901)))</f>
        <v>0</v>
      </c>
      <c r="AO901" s="80">
        <f>AF901-AN901</f>
        <v>0</v>
      </c>
      <c r="AP901" s="80">
        <f>AM901-AN901</f>
        <v>0</v>
      </c>
      <c r="AQ901" s="80">
        <f>AD901-AM901-AO901</f>
        <v>0</v>
      </c>
      <c r="AR901" s="80">
        <f>IF(AM901=0,0,AK901-AN901*AK901/AM901)</f>
        <v>0</v>
      </c>
      <c r="AS901" s="80">
        <f>IF(AD901-AM901=0,0,(AJ901-AK901)-AO901*(AJ901-AK901)/(AD901-AM901))</f>
        <v>0</v>
      </c>
      <c r="AT901" s="80" t="str">
        <f>IF(AC901=1,INT(B901)+1,"")</f>
        <v/>
      </c>
      <c r="AU901" s="80">
        <f>IF(AND(D901="proMX",R901="Cancelled"),0,1)</f>
        <v>1</v>
      </c>
      <c r="AV901" s="80">
        <f>IF(AND(AB901=1,AU901=1),IF(COUNTIFS($D$5:D900,D901,$B$5:B900,B901,$Z$5:Z900,Z901,$AA$5:AA900,AA901,$F$5:F900,F901&amp;"",$AU$5:AU900,1)&gt;0,1,0),0)</f>
        <v>0</v>
      </c>
      <c r="AW901" s="80" t="str">
        <f>IF(AB901=1,INT(B901)*1440+Z901,"")</f>
        <v/>
      </c>
      <c r="AX901" s="80" t="str">
        <f>IF(AB901=1,AW901+AD901,"")</f>
        <v/>
      </c>
      <c r="AY901" s="80">
        <f>IF(AND(AB901=1,AV901=0,AU901=1),1,0)</f>
        <v>0</v>
      </c>
      <c r="AZ901" s="80">
        <f>IF(AY901=1,COUNTIFS(R_Emp,D901,R_SAbs,"&lt;"&amp;AX901,R_EAbs,"&gt;"&amp;AW901,R_OKey,1)-1,0)</f>
        <v>0</v>
      </c>
      <c r="BA901" s="80">
        <f>IF(AY901=1,COUNTIFS(R_Emp,"&lt;&gt;"&amp;D901,R_SAbs,"&lt;"&amp;AX901,R_EAbs,"&gt;"&amp;AW901,R_OKey,1),0)</f>
        <v>0</v>
      </c>
      <c r="BB901" s="80">
        <f>IF(AND(AB901=1,D901="proMX"),IF(AND(MOD(Z901,CFG_BLK)=0,MOD(AA901,CFG_BLK)=0,MOD(AG901,CFG_BLK)=0,AG901&gt;0),1,0),1)</f>
        <v>1</v>
      </c>
      <c r="BC901" s="80" t="str">
        <f>IF(Y901=0,"",IF(NOT(ISNUMBER(B901)),"Falta fecha o fecha inválida",IF(D901="","Falta empresa",IF(AND(D901&lt;&gt;"Malcolm",D901&lt;&gt;"proMX"),"Empresa inválida",IF(OR(INT(B901)&lt;CFG_PSTART,INT(B901)&gt;CFG_PEND),"Fecha fuera del período",IF(OR(NOT(ISNUMBER(Z901)),NOT(ISNUMBER(AA901))),"Falta hora inicio/fin o formato inválido",IF(AB901=0,"Hora inicio = hora fin",IF(AE901&lt;0,"Descanso inválido",IF(AE901&gt;=AD901,"Descanso ≥ duración",IF(AV901=1,"Registro duplicado",IF(AZ901&gt;0,"Se superpone con otro registro "&amp;D901,IF(BB901=0,"inicio, fin y duración neta deben ser múltiplos de "&amp;CFG_BLK&amp;" min",""))))))))))))</f>
        <v/>
      </c>
      <c r="BD901" s="80">
        <f>IF(AND(Y901=1,BC901=""),1,0)</f>
        <v>0</v>
      </c>
      <c r="BE901" s="80">
        <f>IF(AND(BD901=1,AU901=1),1,0)</f>
        <v>0</v>
      </c>
      <c r="BF901" s="80" t="str">
        <f>IF(AND(D901="proMX",BD901=1),IF(R901="","Draft",R901),"")</f>
        <v/>
      </c>
      <c r="BG901" s="80">
        <f>IF(BD901=1,ROUND(AG901/60,6),0)</f>
        <v>0</v>
      </c>
      <c r="BH901" s="80">
        <f>IF(BE901=1,ROUND(AG901/60,6),0)</f>
        <v>0</v>
      </c>
      <c r="BI901" s="80">
        <f>IF(BE901=1,ROUND(AP901/60,6),0)</f>
        <v>0</v>
      </c>
      <c r="BJ901" s="80">
        <f>IF(BE901=1,ROUND(AQ901/60,6),0)</f>
        <v>0</v>
      </c>
      <c r="BK901" s="80">
        <f>IF(BE901=1,ROUND((AR901+AS901)/60,6),0)</f>
        <v>0</v>
      </c>
      <c r="BL901" s="80">
        <f>ROUND(BH901-BK901,6)</f>
        <v>0</v>
      </c>
      <c r="BM901" s="80">
        <f>IF(BE901=1,ROUND(AR901/60,6),0)</f>
        <v>0</v>
      </c>
      <c r="BN901" s="80">
        <f>ROUND(BI901-BM901,6)</f>
        <v>0</v>
      </c>
      <c r="BO901" s="80">
        <f>IF(BE901=1,ROUND(AS901/60,6),0)</f>
        <v>0</v>
      </c>
      <c r="BP901" s="80">
        <f>ROUND(BJ901-BO901,6)</f>
        <v>0</v>
      </c>
      <c r="BQ901" s="80">
        <f>IF(BE901=1,AW901,0)</f>
        <v>0</v>
      </c>
      <c r="BR901" s="80">
        <f>IF(BE901=1,AX901,0)</f>
        <v>0</v>
      </c>
      <c r="BS901" s="80">
        <f>IF(AND(BE901=1,D901="Malcolm",BA901&gt;0),MIN(BH901,SUMPRODUCT((R_Emp="proMX")*(R_EN&gt;0)*((R_EN-(R_EN&gt;BR901)*(R_EN-BR901))&gt;(R_SN+(R_SN&lt;BQ901)*(BQ901-R_SN)))*((R_EN-(R_EN&gt;BR901)*(R_EN-BR901))-(R_SN+(R_SN&lt;BQ901)*(BQ901-R_SN))))/60),0)</f>
        <v>0</v>
      </c>
      <c r="BT901" s="80">
        <f>IF(AND(BE901=1,D901="proMX"),ROUND(BI901*CFG_RATE+BJ901*CFG_OTRATE,6),0)</f>
        <v>0</v>
      </c>
      <c r="BU901" s="80">
        <f>IF(AND(BD901=1,D901="proMX"),ROUND(AG901/CFG_BLK,6),0)</f>
        <v>0</v>
      </c>
      <c r="BV901" s="80" t="str">
        <f>IF(BF901="Approved",IF(ISNUMBER(T901),INT(T901),INT(B901)),"")</f>
        <v/>
      </c>
      <c r="BW901" s="80">
        <f>IF(ISNUMBER(B901),IF(DB_MON="Todos",1,IF(AND(INT(B901)&gt;=DB_MS,INT(B901)&lt;=DB_ME),1,0)),0)</f>
        <v>0</v>
      </c>
      <c r="BX901" s="80">
        <f>IF(DB_PROJ="Todos",1,IF(E901&amp;""=DB_PROJ&amp;"",1,0))</f>
        <v>1</v>
      </c>
      <c r="BY901" s="80">
        <f>BW901*BX901</f>
        <v>0</v>
      </c>
      <c r="BZ901" s="80" t="str">
        <f>IF(Y901=1,F901&amp;IF(AND(F901&amp;""&lt;&gt;"",E901&amp;""&lt;&gt;"")," · ","")&amp;E901,"")</f>
        <v/>
      </c>
      <c r="CA901" s="80" t="str">
        <f>IF(AND(BD901=1,E901&amp;""&lt;&gt;""),IF(COUNTIFS($E$5:E900,E901,$BD$5:BD900,1)=0,MAX($CA$5:CA900)+1,""),"")</f>
        <v/>
      </c>
      <c r="CB901" s="80" t="str">
        <f>IF(AND(BE901=1,D901="Malcolm",E901&amp;""&lt;&gt;""),IF(COUNTIFS($D$5:D900,"Malcolm",$E$5:E900,E901,$BE$5:BE900,1)=0,MAX($CB$5:CB900)+1,""),"")</f>
        <v/>
      </c>
      <c r="CC901" s="80" t="str">
        <f>IF(AND(BD901=1,D901="proMX",E901&amp;""&lt;&gt;""),IF(COUNTIFS($D$5:D900,"proMX",$E$5:E900,E901,$BD$5:BD900,1)=0,MAX($CC$5:CC900)+1,""),"")</f>
        <v/>
      </c>
      <c r="CD901" s="80" t="str">
        <f>IF(AND(BE901=1,D901="Malcolm",F901&amp;""&lt;&gt;""),IF(COUNTIFS($D$5:D900,"Malcolm",$F$5:F900,F901,$BE$5:BE900,1)=0,MAX($CD$5:CD900)+1,""),"")</f>
        <v/>
      </c>
      <c r="CE901" s="80" t="str">
        <f>IF(AND(BD901=1,D901="proMX",F901&amp;""&lt;&gt;""),IF(COUNTIFS($D$5:D900,"proMX",$F$5:F900,F901,$BD$5:BD900,1)=0,MAX($CE$5:CE900)+1,""),"")</f>
        <v/>
      </c>
      <c r="CF901" s="80" t="str">
        <f>IF(AND(D901="proMX",BD901=1),IF(OR(BF901="Draft",BF901="Submitted",BF901="Returned",BF901="Recall Requested"),MAX($CF$5:CF900)+1,""),"")</f>
        <v/>
      </c>
      <c r="CG901" s="80">
        <f>IF(BD901=0,0,IF(D901="Malcolm",1,MATCH(BF901,{"Draft","Submitted","Approved","Returned","Recall Requested","Cancelled"},0)+1))</f>
        <v>0</v>
      </c>
      <c r="CH901" s="80">
        <f>IF(AND(BF901="Submitted",ISNUMBER(V901)),IF(V901&gt;CFG_MAXD,1,0),0)</f>
        <v>0</v>
      </c>
    </row>
    <row r="902">
      <c r="A902" s="71" t="str">
        <f>IF(Y902=1,ROW()-5,"")</f>
        <v/>
      </c>
      <c r="B902" s="72" t="n"/>
      <c r="C902" s="71" t="str">
        <f>IF(ISNUMBER(B902),CHOOSE(WEEKDAY(B902,2),"Lun","Mar","Mié","Jue","Vie","Sáb","Dom"),"")</f>
        <v/>
      </c>
      <c r="D902" s="73" t="n"/>
      <c r="E902" s="74" t="n"/>
      <c r="F902" s="74" t="n"/>
      <c r="G902" s="74" t="n"/>
      <c r="H902" s="75" t="n"/>
      <c r="I902" s="75" t="n"/>
      <c r="J902" s="76" t="n"/>
      <c r="K902" s="77" t="str">
        <f>IF(AB902=1,ROUND(AG902/60,4),"")</f>
        <v/>
      </c>
      <c r="L902" s="77" t="str">
        <f>IF(BD902=1,ROUND(AP902/60,4),"")</f>
        <v/>
      </c>
      <c r="M902" s="77" t="str">
        <f>IF(BD902=1,ROUND(AQ902/60,4),"")</f>
        <v/>
      </c>
      <c r="N902" s="71" t="str">
        <f>IF(AND(D902="proMX",AB902=1),ROUND(AG902/CFG_BLK,2),"")</f>
        <v/>
      </c>
      <c r="O902" s="77" t="str">
        <f>IF(D902="proMX",IF(BD902=1,ROUND(AG902/60,4),0),"")</f>
        <v/>
      </c>
      <c r="P902" s="78" t="str">
        <f>IF(Y902=0,"",IF(BD902=1,"OK",IF(D902="proMX","Revisar bloques: ","Revisar: ")&amp;BC902))</f>
        <v/>
      </c>
      <c r="Q902" s="78" t="str">
        <f>IF(NOT(ISNUMBER(B902)),"",IF(COUNTIFS(FER_F,INT(B902))&gt;0,"Feriado"&amp;IF(AH902=1," (laborable)"," (no laborable)"),IF(AH902=1,"Laborable",IF(WEEKDAY(B902,2)&gt;5,"Fin de semana","No laborable"))))</f>
        <v/>
      </c>
      <c r="R902" s="73" t="n"/>
      <c r="S902" s="72" t="n"/>
      <c r="T902" s="72" t="n"/>
      <c r="U902" s="74" t="n"/>
      <c r="V902" s="79" t="str">
        <f>IF(AND(D902="proMX",OR(R902="Submitted",R902="Recall Requested"),ISNUMBER(S902)),CFG_TODAY-INT(S902),"")</f>
        <v/>
      </c>
      <c r="W902" s="78" t="str">
        <f>IF(BD902=0,"",IF(BA902&gt;0,"⚠ Se superpone con un registro de la otra empresa",IF(D902="Malcolm",IF(COUNTA(R902,S902,T902)&gt;0,"Estado/fechas proMX se ignoran en Malcolm",""),IF(BF902="Cancelled","Cancelado: excluido de totales",IF(R902="","Sin estado: se trata como Draft",IF(BF902="Submitted",IF(ISNUMBER(V902),IF(V902&gt;CFG_MAXD,"⚠ "&amp;V902&amp;" días en Submitted (máx. "&amp;CFG_MAXD&amp;")",""),"Falta fecha de envío"),IF(BF902="Returned","⚠ Devuelto: corregir y reenviar",IF(BF902="Recall Requested","Retirada solicitada: pendiente",IF(AND(BF902="Approved",NOT(ISNUMBER(T902))),"Falta fecha de aprobación",IF(AND(ISNUMBER(S902),ISNUMBER(T902),T902&lt;S902),"Aprobación anterior al envío","")))))))))</f>
        <v/>
      </c>
      <c r="Y902" s="80">
        <f>IF(COUNTA(B902,D902,E902,F902,G902,H902,I902,J902,R902,S902,T902)&gt;0,1,0)</f>
        <v>0</v>
      </c>
      <c r="Z902" s="80" t="str">
        <f>IF(AND(ISNUMBER(H902),H902&gt;=0,H902&lt;1),ROUND(H902*1440,0),"")</f>
        <v/>
      </c>
      <c r="AA902" s="80" t="str">
        <f>IF(AND(ISNUMBER(I902),I902&gt;=0,I902&lt;1),ROUND(I902*1440,0),"")</f>
        <v/>
      </c>
      <c r="AB902" s="80">
        <f>IF(AND(ISNUMBER(B902),D902&lt;&gt;"",ISNUMBER(Z902),ISNUMBER(AA902)),IF(Z902=AA902,0,1),0)</f>
        <v>0</v>
      </c>
      <c r="AC902" s="80">
        <f>IF(AB902=1,IF(AA902&lt;Z902,1,0),0)</f>
        <v>0</v>
      </c>
      <c r="AD902" s="80">
        <f>IF(AB902=1,IF(AC902=1,1440-Z902+AA902,AA902-Z902),0)</f>
        <v>0</v>
      </c>
      <c r="AE902" s="80">
        <f>IF(J902="",0,IF(ISNUMBER(J902),J902,-1))</f>
        <v>0</v>
      </c>
      <c r="AF902" s="80">
        <f>MIN(MAX(0,AE902),AD902)</f>
        <v>0</v>
      </c>
      <c r="AG902" s="80">
        <f>MAX(0,AD902-MAX(0,AE902))</f>
        <v>0</v>
      </c>
      <c r="AH902" s="80">
        <f>IF(ISNUMBER(B902),IF(AND(INDEX(CFG_WDAYS,WEEKDAY(INT(B902),2))="Sí",IF(D902="proMX",COUNTIFS(FER_F,INT(B902),FER_NLP,"Sí"),COUNTIFS(FER_F,INT(B902),FER_NLM,"Sí"))=0),1,0),0)</f>
        <v>0</v>
      </c>
      <c r="AI902" s="80">
        <f>IF(AC902=1,IF(AND(INDEX(CFG_WDAYS,WEEKDAY(INT(B902)+1,2))="Sí",IF(D902="proMX",COUNTIFS(FER_F,INT(B902)+1,FER_NLP,"Sí"),COUNTIFS(FER_F,INT(B902)+1,FER_NLM,"Sí"))=0),1,0),0)</f>
        <v>0</v>
      </c>
      <c r="AJ902" s="80">
        <f>IF(AC902=1,1440-Z902,AD902)</f>
        <v>0</v>
      </c>
      <c r="AK902" s="80">
        <f>IF(AND(AB902=1,AH902=1),MAX(0,MIN(IF(AC902=1,1440,AA902),CFG_WEM)-MAX(Z902,CFG_WSM)),0)</f>
        <v>0</v>
      </c>
      <c r="AL902" s="80">
        <f>IF(AND(AC902=1,AI902=1),MAX(0,MIN(AA902,CFG_WEM)-CFG_WSM),0)</f>
        <v>0</v>
      </c>
      <c r="AM902" s="80">
        <f>AK902+AL902</f>
        <v>0</v>
      </c>
      <c r="AN902" s="80">
        <f>IF(CFG_BRK="Proporcional",IF(AD902=0,0,AF902*AM902/AD902),IF(CFG_BRK="Extras primero",MIN(AM902,MAX(0,AF902-(AD902-AM902))),MIN(AF902,AM902)))</f>
        <v>0</v>
      </c>
      <c r="AO902" s="80">
        <f>AF902-AN902</f>
        <v>0</v>
      </c>
      <c r="AP902" s="80">
        <f>AM902-AN902</f>
        <v>0</v>
      </c>
      <c r="AQ902" s="80">
        <f>AD902-AM902-AO902</f>
        <v>0</v>
      </c>
      <c r="AR902" s="80">
        <f>IF(AM902=0,0,AK902-AN902*AK902/AM902)</f>
        <v>0</v>
      </c>
      <c r="AS902" s="80">
        <f>IF(AD902-AM902=0,0,(AJ902-AK902)-AO902*(AJ902-AK902)/(AD902-AM902))</f>
        <v>0</v>
      </c>
      <c r="AT902" s="80" t="str">
        <f>IF(AC902=1,INT(B902)+1,"")</f>
        <v/>
      </c>
      <c r="AU902" s="80">
        <f>IF(AND(D902="proMX",R902="Cancelled"),0,1)</f>
        <v>1</v>
      </c>
      <c r="AV902" s="80">
        <f>IF(AND(AB902=1,AU902=1),IF(COUNTIFS($D$5:D901,D902,$B$5:B901,B902,$Z$5:Z901,Z902,$AA$5:AA901,AA902,$F$5:F901,F902&amp;"",$AU$5:AU901,1)&gt;0,1,0),0)</f>
        <v>0</v>
      </c>
      <c r="AW902" s="80" t="str">
        <f>IF(AB902=1,INT(B902)*1440+Z902,"")</f>
        <v/>
      </c>
      <c r="AX902" s="80" t="str">
        <f>IF(AB902=1,AW902+AD902,"")</f>
        <v/>
      </c>
      <c r="AY902" s="80">
        <f>IF(AND(AB902=1,AV902=0,AU902=1),1,0)</f>
        <v>0</v>
      </c>
      <c r="AZ902" s="80">
        <f>IF(AY902=1,COUNTIFS(R_Emp,D902,R_SAbs,"&lt;"&amp;AX902,R_EAbs,"&gt;"&amp;AW902,R_OKey,1)-1,0)</f>
        <v>0</v>
      </c>
      <c r="BA902" s="80">
        <f>IF(AY902=1,COUNTIFS(R_Emp,"&lt;&gt;"&amp;D902,R_SAbs,"&lt;"&amp;AX902,R_EAbs,"&gt;"&amp;AW902,R_OKey,1),0)</f>
        <v>0</v>
      </c>
      <c r="BB902" s="80">
        <f>IF(AND(AB902=1,D902="proMX"),IF(AND(MOD(Z902,CFG_BLK)=0,MOD(AA902,CFG_BLK)=0,MOD(AG902,CFG_BLK)=0,AG902&gt;0),1,0),1)</f>
        <v>1</v>
      </c>
      <c r="BC902" s="80" t="str">
        <f>IF(Y902=0,"",IF(NOT(ISNUMBER(B902)),"Falta fecha o fecha inválida",IF(D902="","Falta empresa",IF(AND(D902&lt;&gt;"Malcolm",D902&lt;&gt;"proMX"),"Empresa inválida",IF(OR(INT(B902)&lt;CFG_PSTART,INT(B902)&gt;CFG_PEND),"Fecha fuera del período",IF(OR(NOT(ISNUMBER(Z902)),NOT(ISNUMBER(AA902))),"Falta hora inicio/fin o formato inválido",IF(AB902=0,"Hora inicio = hora fin",IF(AE902&lt;0,"Descanso inválido",IF(AE902&gt;=AD902,"Descanso ≥ duración",IF(AV902=1,"Registro duplicado",IF(AZ902&gt;0,"Se superpone con otro registro "&amp;D902,IF(BB902=0,"inicio, fin y duración neta deben ser múltiplos de "&amp;CFG_BLK&amp;" min",""))))))))))))</f>
        <v/>
      </c>
      <c r="BD902" s="80">
        <f>IF(AND(Y902=1,BC902=""),1,0)</f>
        <v>0</v>
      </c>
      <c r="BE902" s="80">
        <f>IF(AND(BD902=1,AU902=1),1,0)</f>
        <v>0</v>
      </c>
      <c r="BF902" s="80" t="str">
        <f>IF(AND(D902="proMX",BD902=1),IF(R902="","Draft",R902),"")</f>
        <v/>
      </c>
      <c r="BG902" s="80">
        <f>IF(BD902=1,ROUND(AG902/60,6),0)</f>
        <v>0</v>
      </c>
      <c r="BH902" s="80">
        <f>IF(BE902=1,ROUND(AG902/60,6),0)</f>
        <v>0</v>
      </c>
      <c r="BI902" s="80">
        <f>IF(BE902=1,ROUND(AP902/60,6),0)</f>
        <v>0</v>
      </c>
      <c r="BJ902" s="80">
        <f>IF(BE902=1,ROUND(AQ902/60,6),0)</f>
        <v>0</v>
      </c>
      <c r="BK902" s="80">
        <f>IF(BE902=1,ROUND((AR902+AS902)/60,6),0)</f>
        <v>0</v>
      </c>
      <c r="BL902" s="80">
        <f>ROUND(BH902-BK902,6)</f>
        <v>0</v>
      </c>
      <c r="BM902" s="80">
        <f>IF(BE902=1,ROUND(AR902/60,6),0)</f>
        <v>0</v>
      </c>
      <c r="BN902" s="80">
        <f>ROUND(BI902-BM902,6)</f>
        <v>0</v>
      </c>
      <c r="BO902" s="80">
        <f>IF(BE902=1,ROUND(AS902/60,6),0)</f>
        <v>0</v>
      </c>
      <c r="BP902" s="80">
        <f>ROUND(BJ902-BO902,6)</f>
        <v>0</v>
      </c>
      <c r="BQ902" s="80">
        <f>IF(BE902=1,AW902,0)</f>
        <v>0</v>
      </c>
      <c r="BR902" s="80">
        <f>IF(BE902=1,AX902,0)</f>
        <v>0</v>
      </c>
      <c r="BS902" s="80">
        <f>IF(AND(BE902=1,D902="Malcolm",BA902&gt;0),MIN(BH902,SUMPRODUCT((R_Emp="proMX")*(R_EN&gt;0)*((R_EN-(R_EN&gt;BR902)*(R_EN-BR902))&gt;(R_SN+(R_SN&lt;BQ902)*(BQ902-R_SN)))*((R_EN-(R_EN&gt;BR902)*(R_EN-BR902))-(R_SN+(R_SN&lt;BQ902)*(BQ902-R_SN))))/60),0)</f>
        <v>0</v>
      </c>
      <c r="BT902" s="80">
        <f>IF(AND(BE902=1,D902="proMX"),ROUND(BI902*CFG_RATE+BJ902*CFG_OTRATE,6),0)</f>
        <v>0</v>
      </c>
      <c r="BU902" s="80">
        <f>IF(AND(BD902=1,D902="proMX"),ROUND(AG902/CFG_BLK,6),0)</f>
        <v>0</v>
      </c>
      <c r="BV902" s="80" t="str">
        <f>IF(BF902="Approved",IF(ISNUMBER(T902),INT(T902),INT(B902)),"")</f>
        <v/>
      </c>
      <c r="BW902" s="80">
        <f>IF(ISNUMBER(B902),IF(DB_MON="Todos",1,IF(AND(INT(B902)&gt;=DB_MS,INT(B902)&lt;=DB_ME),1,0)),0)</f>
        <v>0</v>
      </c>
      <c r="BX902" s="80">
        <f>IF(DB_PROJ="Todos",1,IF(E902&amp;""=DB_PROJ&amp;"",1,0))</f>
        <v>1</v>
      </c>
      <c r="BY902" s="80">
        <f>BW902*BX902</f>
        <v>0</v>
      </c>
      <c r="BZ902" s="80" t="str">
        <f>IF(Y902=1,F902&amp;IF(AND(F902&amp;""&lt;&gt;"",E902&amp;""&lt;&gt;"")," · ","")&amp;E902,"")</f>
        <v/>
      </c>
      <c r="CA902" s="80" t="str">
        <f>IF(AND(BD902=1,E902&amp;""&lt;&gt;""),IF(COUNTIFS($E$5:E901,E902,$BD$5:BD901,1)=0,MAX($CA$5:CA901)+1,""),"")</f>
        <v/>
      </c>
      <c r="CB902" s="80" t="str">
        <f>IF(AND(BE902=1,D902="Malcolm",E902&amp;""&lt;&gt;""),IF(COUNTIFS($D$5:D901,"Malcolm",$E$5:E901,E902,$BE$5:BE901,1)=0,MAX($CB$5:CB901)+1,""),"")</f>
        <v/>
      </c>
      <c r="CC902" s="80" t="str">
        <f>IF(AND(BD902=1,D902="proMX",E902&amp;""&lt;&gt;""),IF(COUNTIFS($D$5:D901,"proMX",$E$5:E901,E902,$BD$5:BD901,1)=0,MAX($CC$5:CC901)+1,""),"")</f>
        <v/>
      </c>
      <c r="CD902" s="80" t="str">
        <f>IF(AND(BE902=1,D902="Malcolm",F902&amp;""&lt;&gt;""),IF(COUNTIFS($D$5:D901,"Malcolm",$F$5:F901,F902,$BE$5:BE901,1)=0,MAX($CD$5:CD901)+1,""),"")</f>
        <v/>
      </c>
      <c r="CE902" s="80" t="str">
        <f>IF(AND(BD902=1,D902="proMX",F902&amp;""&lt;&gt;""),IF(COUNTIFS($D$5:D901,"proMX",$F$5:F901,F902,$BD$5:BD901,1)=0,MAX($CE$5:CE901)+1,""),"")</f>
        <v/>
      </c>
      <c r="CF902" s="80" t="str">
        <f>IF(AND(D902="proMX",BD902=1),IF(OR(BF902="Draft",BF902="Submitted",BF902="Returned",BF902="Recall Requested"),MAX($CF$5:CF901)+1,""),"")</f>
        <v/>
      </c>
      <c r="CG902" s="80">
        <f>IF(BD902=0,0,IF(D902="Malcolm",1,MATCH(BF902,{"Draft","Submitted","Approved","Returned","Recall Requested","Cancelled"},0)+1))</f>
        <v>0</v>
      </c>
      <c r="CH902" s="80">
        <f>IF(AND(BF902="Submitted",ISNUMBER(V902)),IF(V902&gt;CFG_MAXD,1,0),0)</f>
        <v>0</v>
      </c>
    </row>
    <row r="903">
      <c r="A903" s="71" t="str">
        <f>IF(Y903=1,ROW()-5,"")</f>
        <v/>
      </c>
      <c r="B903" s="72" t="n"/>
      <c r="C903" s="71" t="str">
        <f>IF(ISNUMBER(B903),CHOOSE(WEEKDAY(B903,2),"Lun","Mar","Mié","Jue","Vie","Sáb","Dom"),"")</f>
        <v/>
      </c>
      <c r="D903" s="73" t="n"/>
      <c r="E903" s="74" t="n"/>
      <c r="F903" s="74" t="n"/>
      <c r="G903" s="74" t="n"/>
      <c r="H903" s="75" t="n"/>
      <c r="I903" s="75" t="n"/>
      <c r="J903" s="76" t="n"/>
      <c r="K903" s="77" t="str">
        <f>IF(AB903=1,ROUND(AG903/60,4),"")</f>
        <v/>
      </c>
      <c r="L903" s="77" t="str">
        <f>IF(BD903=1,ROUND(AP903/60,4),"")</f>
        <v/>
      </c>
      <c r="M903" s="77" t="str">
        <f>IF(BD903=1,ROUND(AQ903/60,4),"")</f>
        <v/>
      </c>
      <c r="N903" s="71" t="str">
        <f>IF(AND(D903="proMX",AB903=1),ROUND(AG903/CFG_BLK,2),"")</f>
        <v/>
      </c>
      <c r="O903" s="77" t="str">
        <f>IF(D903="proMX",IF(BD903=1,ROUND(AG903/60,4),0),"")</f>
        <v/>
      </c>
      <c r="P903" s="78" t="str">
        <f>IF(Y903=0,"",IF(BD903=1,"OK",IF(D903="proMX","Revisar bloques: ","Revisar: ")&amp;BC903))</f>
        <v/>
      </c>
      <c r="Q903" s="78" t="str">
        <f>IF(NOT(ISNUMBER(B903)),"",IF(COUNTIFS(FER_F,INT(B903))&gt;0,"Feriado"&amp;IF(AH903=1," (laborable)"," (no laborable)"),IF(AH903=1,"Laborable",IF(WEEKDAY(B903,2)&gt;5,"Fin de semana","No laborable"))))</f>
        <v/>
      </c>
      <c r="R903" s="73" t="n"/>
      <c r="S903" s="72" t="n"/>
      <c r="T903" s="72" t="n"/>
      <c r="U903" s="74" t="n"/>
      <c r="V903" s="79" t="str">
        <f>IF(AND(D903="proMX",OR(R903="Submitted",R903="Recall Requested"),ISNUMBER(S903)),CFG_TODAY-INT(S903),"")</f>
        <v/>
      </c>
      <c r="W903" s="78" t="str">
        <f>IF(BD903=0,"",IF(BA903&gt;0,"⚠ Se superpone con un registro de la otra empresa",IF(D903="Malcolm",IF(COUNTA(R903,S903,T903)&gt;0,"Estado/fechas proMX se ignoran en Malcolm",""),IF(BF903="Cancelled","Cancelado: excluido de totales",IF(R903="","Sin estado: se trata como Draft",IF(BF903="Submitted",IF(ISNUMBER(V903),IF(V903&gt;CFG_MAXD,"⚠ "&amp;V903&amp;" días en Submitted (máx. "&amp;CFG_MAXD&amp;")",""),"Falta fecha de envío"),IF(BF903="Returned","⚠ Devuelto: corregir y reenviar",IF(BF903="Recall Requested","Retirada solicitada: pendiente",IF(AND(BF903="Approved",NOT(ISNUMBER(T903))),"Falta fecha de aprobación",IF(AND(ISNUMBER(S903),ISNUMBER(T903),T903&lt;S903),"Aprobación anterior al envío","")))))))))</f>
        <v/>
      </c>
      <c r="Y903" s="80">
        <f>IF(COUNTA(B903,D903,E903,F903,G903,H903,I903,J903,R903,S903,T903)&gt;0,1,0)</f>
        <v>0</v>
      </c>
      <c r="Z903" s="80" t="str">
        <f>IF(AND(ISNUMBER(H903),H903&gt;=0,H903&lt;1),ROUND(H903*1440,0),"")</f>
        <v/>
      </c>
      <c r="AA903" s="80" t="str">
        <f>IF(AND(ISNUMBER(I903),I903&gt;=0,I903&lt;1),ROUND(I903*1440,0),"")</f>
        <v/>
      </c>
      <c r="AB903" s="80">
        <f>IF(AND(ISNUMBER(B903),D903&lt;&gt;"",ISNUMBER(Z903),ISNUMBER(AA903)),IF(Z903=AA903,0,1),0)</f>
        <v>0</v>
      </c>
      <c r="AC903" s="80">
        <f>IF(AB903=1,IF(AA903&lt;Z903,1,0),0)</f>
        <v>0</v>
      </c>
      <c r="AD903" s="80">
        <f>IF(AB903=1,IF(AC903=1,1440-Z903+AA903,AA903-Z903),0)</f>
        <v>0</v>
      </c>
      <c r="AE903" s="80">
        <f>IF(J903="",0,IF(ISNUMBER(J903),J903,-1))</f>
        <v>0</v>
      </c>
      <c r="AF903" s="80">
        <f>MIN(MAX(0,AE903),AD903)</f>
        <v>0</v>
      </c>
      <c r="AG903" s="80">
        <f>MAX(0,AD903-MAX(0,AE903))</f>
        <v>0</v>
      </c>
      <c r="AH903" s="80">
        <f>IF(ISNUMBER(B903),IF(AND(INDEX(CFG_WDAYS,WEEKDAY(INT(B903),2))="Sí",IF(D903="proMX",COUNTIFS(FER_F,INT(B903),FER_NLP,"Sí"),COUNTIFS(FER_F,INT(B903),FER_NLM,"Sí"))=0),1,0),0)</f>
        <v>0</v>
      </c>
      <c r="AI903" s="80">
        <f>IF(AC903=1,IF(AND(INDEX(CFG_WDAYS,WEEKDAY(INT(B903)+1,2))="Sí",IF(D903="proMX",COUNTIFS(FER_F,INT(B903)+1,FER_NLP,"Sí"),COUNTIFS(FER_F,INT(B903)+1,FER_NLM,"Sí"))=0),1,0),0)</f>
        <v>0</v>
      </c>
      <c r="AJ903" s="80">
        <f>IF(AC903=1,1440-Z903,AD903)</f>
        <v>0</v>
      </c>
      <c r="AK903" s="80">
        <f>IF(AND(AB903=1,AH903=1),MAX(0,MIN(IF(AC903=1,1440,AA903),CFG_WEM)-MAX(Z903,CFG_WSM)),0)</f>
        <v>0</v>
      </c>
      <c r="AL903" s="80">
        <f>IF(AND(AC903=1,AI903=1),MAX(0,MIN(AA903,CFG_WEM)-CFG_WSM),0)</f>
        <v>0</v>
      </c>
      <c r="AM903" s="80">
        <f>AK903+AL903</f>
        <v>0</v>
      </c>
      <c r="AN903" s="80">
        <f>IF(CFG_BRK="Proporcional",IF(AD903=0,0,AF903*AM903/AD903),IF(CFG_BRK="Extras primero",MIN(AM903,MAX(0,AF903-(AD903-AM903))),MIN(AF903,AM903)))</f>
        <v>0</v>
      </c>
      <c r="AO903" s="80">
        <f>AF903-AN903</f>
        <v>0</v>
      </c>
      <c r="AP903" s="80">
        <f>AM903-AN903</f>
        <v>0</v>
      </c>
      <c r="AQ903" s="80">
        <f>AD903-AM903-AO903</f>
        <v>0</v>
      </c>
      <c r="AR903" s="80">
        <f>IF(AM903=0,0,AK903-AN903*AK903/AM903)</f>
        <v>0</v>
      </c>
      <c r="AS903" s="80">
        <f>IF(AD903-AM903=0,0,(AJ903-AK903)-AO903*(AJ903-AK903)/(AD903-AM903))</f>
        <v>0</v>
      </c>
      <c r="AT903" s="80" t="str">
        <f>IF(AC903=1,INT(B903)+1,"")</f>
        <v/>
      </c>
      <c r="AU903" s="80">
        <f>IF(AND(D903="proMX",R903="Cancelled"),0,1)</f>
        <v>1</v>
      </c>
      <c r="AV903" s="80">
        <f>IF(AND(AB903=1,AU903=1),IF(COUNTIFS($D$5:D902,D903,$B$5:B902,B903,$Z$5:Z902,Z903,$AA$5:AA902,AA903,$F$5:F902,F903&amp;"",$AU$5:AU902,1)&gt;0,1,0),0)</f>
        <v>0</v>
      </c>
      <c r="AW903" s="80" t="str">
        <f>IF(AB903=1,INT(B903)*1440+Z903,"")</f>
        <v/>
      </c>
      <c r="AX903" s="80" t="str">
        <f>IF(AB903=1,AW903+AD903,"")</f>
        <v/>
      </c>
      <c r="AY903" s="80">
        <f>IF(AND(AB903=1,AV903=0,AU903=1),1,0)</f>
        <v>0</v>
      </c>
      <c r="AZ903" s="80">
        <f>IF(AY903=1,COUNTIFS(R_Emp,D903,R_SAbs,"&lt;"&amp;AX903,R_EAbs,"&gt;"&amp;AW903,R_OKey,1)-1,0)</f>
        <v>0</v>
      </c>
      <c r="BA903" s="80">
        <f>IF(AY903=1,COUNTIFS(R_Emp,"&lt;&gt;"&amp;D903,R_SAbs,"&lt;"&amp;AX903,R_EAbs,"&gt;"&amp;AW903,R_OKey,1),0)</f>
        <v>0</v>
      </c>
      <c r="BB903" s="80">
        <f>IF(AND(AB903=1,D903="proMX"),IF(AND(MOD(Z903,CFG_BLK)=0,MOD(AA903,CFG_BLK)=0,MOD(AG903,CFG_BLK)=0,AG903&gt;0),1,0),1)</f>
        <v>1</v>
      </c>
      <c r="BC903" s="80" t="str">
        <f>IF(Y903=0,"",IF(NOT(ISNUMBER(B903)),"Falta fecha o fecha inválida",IF(D903="","Falta empresa",IF(AND(D903&lt;&gt;"Malcolm",D903&lt;&gt;"proMX"),"Empresa inválida",IF(OR(INT(B903)&lt;CFG_PSTART,INT(B903)&gt;CFG_PEND),"Fecha fuera del período",IF(OR(NOT(ISNUMBER(Z903)),NOT(ISNUMBER(AA903))),"Falta hora inicio/fin o formato inválido",IF(AB903=0,"Hora inicio = hora fin",IF(AE903&lt;0,"Descanso inválido",IF(AE903&gt;=AD903,"Descanso ≥ duración",IF(AV903=1,"Registro duplicado",IF(AZ903&gt;0,"Se superpone con otro registro "&amp;D903,IF(BB903=0,"inicio, fin y duración neta deben ser múltiplos de "&amp;CFG_BLK&amp;" min",""))))))))))))</f>
        <v/>
      </c>
      <c r="BD903" s="80">
        <f>IF(AND(Y903=1,BC903=""),1,0)</f>
        <v>0</v>
      </c>
      <c r="BE903" s="80">
        <f>IF(AND(BD903=1,AU903=1),1,0)</f>
        <v>0</v>
      </c>
      <c r="BF903" s="80" t="str">
        <f>IF(AND(D903="proMX",BD903=1),IF(R903="","Draft",R903),"")</f>
        <v/>
      </c>
      <c r="BG903" s="80">
        <f>IF(BD903=1,ROUND(AG903/60,6),0)</f>
        <v>0</v>
      </c>
      <c r="BH903" s="80">
        <f>IF(BE903=1,ROUND(AG903/60,6),0)</f>
        <v>0</v>
      </c>
      <c r="BI903" s="80">
        <f>IF(BE903=1,ROUND(AP903/60,6),0)</f>
        <v>0</v>
      </c>
      <c r="BJ903" s="80">
        <f>IF(BE903=1,ROUND(AQ903/60,6),0)</f>
        <v>0</v>
      </c>
      <c r="BK903" s="80">
        <f>IF(BE903=1,ROUND((AR903+AS903)/60,6),0)</f>
        <v>0</v>
      </c>
      <c r="BL903" s="80">
        <f>ROUND(BH903-BK903,6)</f>
        <v>0</v>
      </c>
      <c r="BM903" s="80">
        <f>IF(BE903=1,ROUND(AR903/60,6),0)</f>
        <v>0</v>
      </c>
      <c r="BN903" s="80">
        <f>ROUND(BI903-BM903,6)</f>
        <v>0</v>
      </c>
      <c r="BO903" s="80">
        <f>IF(BE903=1,ROUND(AS903/60,6),0)</f>
        <v>0</v>
      </c>
      <c r="BP903" s="80">
        <f>ROUND(BJ903-BO903,6)</f>
        <v>0</v>
      </c>
      <c r="BQ903" s="80">
        <f>IF(BE903=1,AW903,0)</f>
        <v>0</v>
      </c>
      <c r="BR903" s="80">
        <f>IF(BE903=1,AX903,0)</f>
        <v>0</v>
      </c>
      <c r="BS903" s="80">
        <f>IF(AND(BE903=1,D903="Malcolm",BA903&gt;0),MIN(BH903,SUMPRODUCT((R_Emp="proMX")*(R_EN&gt;0)*((R_EN-(R_EN&gt;BR903)*(R_EN-BR903))&gt;(R_SN+(R_SN&lt;BQ903)*(BQ903-R_SN)))*((R_EN-(R_EN&gt;BR903)*(R_EN-BR903))-(R_SN+(R_SN&lt;BQ903)*(BQ903-R_SN))))/60),0)</f>
        <v>0</v>
      </c>
      <c r="BT903" s="80">
        <f>IF(AND(BE903=1,D903="proMX"),ROUND(BI903*CFG_RATE+BJ903*CFG_OTRATE,6),0)</f>
        <v>0</v>
      </c>
      <c r="BU903" s="80">
        <f>IF(AND(BD903=1,D903="proMX"),ROUND(AG903/CFG_BLK,6),0)</f>
        <v>0</v>
      </c>
      <c r="BV903" s="80" t="str">
        <f>IF(BF903="Approved",IF(ISNUMBER(T903),INT(T903),INT(B903)),"")</f>
        <v/>
      </c>
      <c r="BW903" s="80">
        <f>IF(ISNUMBER(B903),IF(DB_MON="Todos",1,IF(AND(INT(B903)&gt;=DB_MS,INT(B903)&lt;=DB_ME),1,0)),0)</f>
        <v>0</v>
      </c>
      <c r="BX903" s="80">
        <f>IF(DB_PROJ="Todos",1,IF(E903&amp;""=DB_PROJ&amp;"",1,0))</f>
        <v>1</v>
      </c>
      <c r="BY903" s="80">
        <f>BW903*BX903</f>
        <v>0</v>
      </c>
      <c r="BZ903" s="80" t="str">
        <f>IF(Y903=1,F903&amp;IF(AND(F903&amp;""&lt;&gt;"",E903&amp;""&lt;&gt;"")," · ","")&amp;E903,"")</f>
        <v/>
      </c>
      <c r="CA903" s="80" t="str">
        <f>IF(AND(BD903=1,E903&amp;""&lt;&gt;""),IF(COUNTIFS($E$5:E902,E903,$BD$5:BD902,1)=0,MAX($CA$5:CA902)+1,""),"")</f>
        <v/>
      </c>
      <c r="CB903" s="80" t="str">
        <f>IF(AND(BE903=1,D903="Malcolm",E903&amp;""&lt;&gt;""),IF(COUNTIFS($D$5:D902,"Malcolm",$E$5:E902,E903,$BE$5:BE902,1)=0,MAX($CB$5:CB902)+1,""),"")</f>
        <v/>
      </c>
      <c r="CC903" s="80" t="str">
        <f>IF(AND(BD903=1,D903="proMX",E903&amp;""&lt;&gt;""),IF(COUNTIFS($D$5:D902,"proMX",$E$5:E902,E903,$BD$5:BD902,1)=0,MAX($CC$5:CC902)+1,""),"")</f>
        <v/>
      </c>
      <c r="CD903" s="80" t="str">
        <f>IF(AND(BE903=1,D903="Malcolm",F903&amp;""&lt;&gt;""),IF(COUNTIFS($D$5:D902,"Malcolm",$F$5:F902,F903,$BE$5:BE902,1)=0,MAX($CD$5:CD902)+1,""),"")</f>
        <v/>
      </c>
      <c r="CE903" s="80" t="str">
        <f>IF(AND(BD903=1,D903="proMX",F903&amp;""&lt;&gt;""),IF(COUNTIFS($D$5:D902,"proMX",$F$5:F902,F903,$BD$5:BD902,1)=0,MAX($CE$5:CE902)+1,""),"")</f>
        <v/>
      </c>
      <c r="CF903" s="80" t="str">
        <f>IF(AND(D903="proMX",BD903=1),IF(OR(BF903="Draft",BF903="Submitted",BF903="Returned",BF903="Recall Requested"),MAX($CF$5:CF902)+1,""),"")</f>
        <v/>
      </c>
      <c r="CG903" s="80">
        <f>IF(BD903=0,0,IF(D903="Malcolm",1,MATCH(BF903,{"Draft","Submitted","Approved","Returned","Recall Requested","Cancelled"},0)+1))</f>
        <v>0</v>
      </c>
      <c r="CH903" s="80">
        <f>IF(AND(BF903="Submitted",ISNUMBER(V903)),IF(V903&gt;CFG_MAXD,1,0),0)</f>
        <v>0</v>
      </c>
    </row>
    <row r="904">
      <c r="A904" s="71" t="str">
        <f>IF(Y904=1,ROW()-5,"")</f>
        <v/>
      </c>
      <c r="B904" s="72" t="n"/>
      <c r="C904" s="71" t="str">
        <f>IF(ISNUMBER(B904),CHOOSE(WEEKDAY(B904,2),"Lun","Mar","Mié","Jue","Vie","Sáb","Dom"),"")</f>
        <v/>
      </c>
      <c r="D904" s="73" t="n"/>
      <c r="E904" s="74" t="n"/>
      <c r="F904" s="74" t="n"/>
      <c r="G904" s="74" t="n"/>
      <c r="H904" s="75" t="n"/>
      <c r="I904" s="75" t="n"/>
      <c r="J904" s="76" t="n"/>
      <c r="K904" s="77" t="str">
        <f>IF(AB904=1,ROUND(AG904/60,4),"")</f>
        <v/>
      </c>
      <c r="L904" s="77" t="str">
        <f>IF(BD904=1,ROUND(AP904/60,4),"")</f>
        <v/>
      </c>
      <c r="M904" s="77" t="str">
        <f>IF(BD904=1,ROUND(AQ904/60,4),"")</f>
        <v/>
      </c>
      <c r="N904" s="71" t="str">
        <f>IF(AND(D904="proMX",AB904=1),ROUND(AG904/CFG_BLK,2),"")</f>
        <v/>
      </c>
      <c r="O904" s="77" t="str">
        <f>IF(D904="proMX",IF(BD904=1,ROUND(AG904/60,4),0),"")</f>
        <v/>
      </c>
      <c r="P904" s="78" t="str">
        <f>IF(Y904=0,"",IF(BD904=1,"OK",IF(D904="proMX","Revisar bloques: ","Revisar: ")&amp;BC904))</f>
        <v/>
      </c>
      <c r="Q904" s="78" t="str">
        <f>IF(NOT(ISNUMBER(B904)),"",IF(COUNTIFS(FER_F,INT(B904))&gt;0,"Feriado"&amp;IF(AH904=1," (laborable)"," (no laborable)"),IF(AH904=1,"Laborable",IF(WEEKDAY(B904,2)&gt;5,"Fin de semana","No laborable"))))</f>
        <v/>
      </c>
      <c r="R904" s="73" t="n"/>
      <c r="S904" s="72" t="n"/>
      <c r="T904" s="72" t="n"/>
      <c r="U904" s="74" t="n"/>
      <c r="V904" s="79" t="str">
        <f>IF(AND(D904="proMX",OR(R904="Submitted",R904="Recall Requested"),ISNUMBER(S904)),CFG_TODAY-INT(S904),"")</f>
        <v/>
      </c>
      <c r="W904" s="78" t="str">
        <f>IF(BD904=0,"",IF(BA904&gt;0,"⚠ Se superpone con un registro de la otra empresa",IF(D904="Malcolm",IF(COUNTA(R904,S904,T904)&gt;0,"Estado/fechas proMX se ignoran en Malcolm",""),IF(BF904="Cancelled","Cancelado: excluido de totales",IF(R904="","Sin estado: se trata como Draft",IF(BF904="Submitted",IF(ISNUMBER(V904),IF(V904&gt;CFG_MAXD,"⚠ "&amp;V904&amp;" días en Submitted (máx. "&amp;CFG_MAXD&amp;")",""),"Falta fecha de envío"),IF(BF904="Returned","⚠ Devuelto: corregir y reenviar",IF(BF904="Recall Requested","Retirada solicitada: pendiente",IF(AND(BF904="Approved",NOT(ISNUMBER(T904))),"Falta fecha de aprobación",IF(AND(ISNUMBER(S904),ISNUMBER(T904),T904&lt;S904),"Aprobación anterior al envío","")))))))))</f>
        <v/>
      </c>
      <c r="Y904" s="80">
        <f>IF(COUNTA(B904,D904,E904,F904,G904,H904,I904,J904,R904,S904,T904)&gt;0,1,0)</f>
        <v>0</v>
      </c>
      <c r="Z904" s="80" t="str">
        <f>IF(AND(ISNUMBER(H904),H904&gt;=0,H904&lt;1),ROUND(H904*1440,0),"")</f>
        <v/>
      </c>
      <c r="AA904" s="80" t="str">
        <f>IF(AND(ISNUMBER(I904),I904&gt;=0,I904&lt;1),ROUND(I904*1440,0),"")</f>
        <v/>
      </c>
      <c r="AB904" s="80">
        <f>IF(AND(ISNUMBER(B904),D904&lt;&gt;"",ISNUMBER(Z904),ISNUMBER(AA904)),IF(Z904=AA904,0,1),0)</f>
        <v>0</v>
      </c>
      <c r="AC904" s="80">
        <f>IF(AB904=1,IF(AA904&lt;Z904,1,0),0)</f>
        <v>0</v>
      </c>
      <c r="AD904" s="80">
        <f>IF(AB904=1,IF(AC904=1,1440-Z904+AA904,AA904-Z904),0)</f>
        <v>0</v>
      </c>
      <c r="AE904" s="80">
        <f>IF(J904="",0,IF(ISNUMBER(J904),J904,-1))</f>
        <v>0</v>
      </c>
      <c r="AF904" s="80">
        <f>MIN(MAX(0,AE904),AD904)</f>
        <v>0</v>
      </c>
      <c r="AG904" s="80">
        <f>MAX(0,AD904-MAX(0,AE904))</f>
        <v>0</v>
      </c>
      <c r="AH904" s="80">
        <f>IF(ISNUMBER(B904),IF(AND(INDEX(CFG_WDAYS,WEEKDAY(INT(B904),2))="Sí",IF(D904="proMX",COUNTIFS(FER_F,INT(B904),FER_NLP,"Sí"),COUNTIFS(FER_F,INT(B904),FER_NLM,"Sí"))=0),1,0),0)</f>
        <v>0</v>
      </c>
      <c r="AI904" s="80">
        <f>IF(AC904=1,IF(AND(INDEX(CFG_WDAYS,WEEKDAY(INT(B904)+1,2))="Sí",IF(D904="proMX",COUNTIFS(FER_F,INT(B904)+1,FER_NLP,"Sí"),COUNTIFS(FER_F,INT(B904)+1,FER_NLM,"Sí"))=0),1,0),0)</f>
        <v>0</v>
      </c>
      <c r="AJ904" s="80">
        <f>IF(AC904=1,1440-Z904,AD904)</f>
        <v>0</v>
      </c>
      <c r="AK904" s="80">
        <f>IF(AND(AB904=1,AH904=1),MAX(0,MIN(IF(AC904=1,1440,AA904),CFG_WEM)-MAX(Z904,CFG_WSM)),0)</f>
        <v>0</v>
      </c>
      <c r="AL904" s="80">
        <f>IF(AND(AC904=1,AI904=1),MAX(0,MIN(AA904,CFG_WEM)-CFG_WSM),0)</f>
        <v>0</v>
      </c>
      <c r="AM904" s="80">
        <f>AK904+AL904</f>
        <v>0</v>
      </c>
      <c r="AN904" s="80">
        <f>IF(CFG_BRK="Proporcional",IF(AD904=0,0,AF904*AM904/AD904),IF(CFG_BRK="Extras primero",MIN(AM904,MAX(0,AF904-(AD904-AM904))),MIN(AF904,AM904)))</f>
        <v>0</v>
      </c>
      <c r="AO904" s="80">
        <f>AF904-AN904</f>
        <v>0</v>
      </c>
      <c r="AP904" s="80">
        <f>AM904-AN904</f>
        <v>0</v>
      </c>
      <c r="AQ904" s="80">
        <f>AD904-AM904-AO904</f>
        <v>0</v>
      </c>
      <c r="AR904" s="80">
        <f>IF(AM904=0,0,AK904-AN904*AK904/AM904)</f>
        <v>0</v>
      </c>
      <c r="AS904" s="80">
        <f>IF(AD904-AM904=0,0,(AJ904-AK904)-AO904*(AJ904-AK904)/(AD904-AM904))</f>
        <v>0</v>
      </c>
      <c r="AT904" s="80" t="str">
        <f>IF(AC904=1,INT(B904)+1,"")</f>
        <v/>
      </c>
      <c r="AU904" s="80">
        <f>IF(AND(D904="proMX",R904="Cancelled"),0,1)</f>
        <v>1</v>
      </c>
      <c r="AV904" s="80">
        <f>IF(AND(AB904=1,AU904=1),IF(COUNTIFS($D$5:D903,D904,$B$5:B903,B904,$Z$5:Z903,Z904,$AA$5:AA903,AA904,$F$5:F903,F904&amp;"",$AU$5:AU903,1)&gt;0,1,0),0)</f>
        <v>0</v>
      </c>
      <c r="AW904" s="80" t="str">
        <f>IF(AB904=1,INT(B904)*1440+Z904,"")</f>
        <v/>
      </c>
      <c r="AX904" s="80" t="str">
        <f>IF(AB904=1,AW904+AD904,"")</f>
        <v/>
      </c>
      <c r="AY904" s="80">
        <f>IF(AND(AB904=1,AV904=0,AU904=1),1,0)</f>
        <v>0</v>
      </c>
      <c r="AZ904" s="80">
        <f>IF(AY904=1,COUNTIFS(R_Emp,D904,R_SAbs,"&lt;"&amp;AX904,R_EAbs,"&gt;"&amp;AW904,R_OKey,1)-1,0)</f>
        <v>0</v>
      </c>
      <c r="BA904" s="80">
        <f>IF(AY904=1,COUNTIFS(R_Emp,"&lt;&gt;"&amp;D904,R_SAbs,"&lt;"&amp;AX904,R_EAbs,"&gt;"&amp;AW904,R_OKey,1),0)</f>
        <v>0</v>
      </c>
      <c r="BB904" s="80">
        <f>IF(AND(AB904=1,D904="proMX"),IF(AND(MOD(Z904,CFG_BLK)=0,MOD(AA904,CFG_BLK)=0,MOD(AG904,CFG_BLK)=0,AG904&gt;0),1,0),1)</f>
        <v>1</v>
      </c>
      <c r="BC904" s="80" t="str">
        <f>IF(Y904=0,"",IF(NOT(ISNUMBER(B904)),"Falta fecha o fecha inválida",IF(D904="","Falta empresa",IF(AND(D904&lt;&gt;"Malcolm",D904&lt;&gt;"proMX"),"Empresa inválida",IF(OR(INT(B904)&lt;CFG_PSTART,INT(B904)&gt;CFG_PEND),"Fecha fuera del período",IF(OR(NOT(ISNUMBER(Z904)),NOT(ISNUMBER(AA904))),"Falta hora inicio/fin o formato inválido",IF(AB904=0,"Hora inicio = hora fin",IF(AE904&lt;0,"Descanso inválido",IF(AE904&gt;=AD904,"Descanso ≥ duración",IF(AV904=1,"Registro duplicado",IF(AZ904&gt;0,"Se superpone con otro registro "&amp;D904,IF(BB904=0,"inicio, fin y duración neta deben ser múltiplos de "&amp;CFG_BLK&amp;" min",""))))))))))))</f>
        <v/>
      </c>
      <c r="BD904" s="80">
        <f>IF(AND(Y904=1,BC904=""),1,0)</f>
        <v>0</v>
      </c>
      <c r="BE904" s="80">
        <f>IF(AND(BD904=1,AU904=1),1,0)</f>
        <v>0</v>
      </c>
      <c r="BF904" s="80" t="str">
        <f>IF(AND(D904="proMX",BD904=1),IF(R904="","Draft",R904),"")</f>
        <v/>
      </c>
      <c r="BG904" s="80">
        <f>IF(BD904=1,ROUND(AG904/60,6),0)</f>
        <v>0</v>
      </c>
      <c r="BH904" s="80">
        <f>IF(BE904=1,ROUND(AG904/60,6),0)</f>
        <v>0</v>
      </c>
      <c r="BI904" s="80">
        <f>IF(BE904=1,ROUND(AP904/60,6),0)</f>
        <v>0</v>
      </c>
      <c r="BJ904" s="80">
        <f>IF(BE904=1,ROUND(AQ904/60,6),0)</f>
        <v>0</v>
      </c>
      <c r="BK904" s="80">
        <f>IF(BE904=1,ROUND((AR904+AS904)/60,6),0)</f>
        <v>0</v>
      </c>
      <c r="BL904" s="80">
        <f>ROUND(BH904-BK904,6)</f>
        <v>0</v>
      </c>
      <c r="BM904" s="80">
        <f>IF(BE904=1,ROUND(AR904/60,6),0)</f>
        <v>0</v>
      </c>
      <c r="BN904" s="80">
        <f>ROUND(BI904-BM904,6)</f>
        <v>0</v>
      </c>
      <c r="BO904" s="80">
        <f>IF(BE904=1,ROUND(AS904/60,6),0)</f>
        <v>0</v>
      </c>
      <c r="BP904" s="80">
        <f>ROUND(BJ904-BO904,6)</f>
        <v>0</v>
      </c>
      <c r="BQ904" s="80">
        <f>IF(BE904=1,AW904,0)</f>
        <v>0</v>
      </c>
      <c r="BR904" s="80">
        <f>IF(BE904=1,AX904,0)</f>
        <v>0</v>
      </c>
      <c r="BS904" s="80">
        <f>IF(AND(BE904=1,D904="Malcolm",BA904&gt;0),MIN(BH904,SUMPRODUCT((R_Emp="proMX")*(R_EN&gt;0)*((R_EN-(R_EN&gt;BR904)*(R_EN-BR904))&gt;(R_SN+(R_SN&lt;BQ904)*(BQ904-R_SN)))*((R_EN-(R_EN&gt;BR904)*(R_EN-BR904))-(R_SN+(R_SN&lt;BQ904)*(BQ904-R_SN))))/60),0)</f>
        <v>0</v>
      </c>
      <c r="BT904" s="80">
        <f>IF(AND(BE904=1,D904="proMX"),ROUND(BI904*CFG_RATE+BJ904*CFG_OTRATE,6),0)</f>
        <v>0</v>
      </c>
      <c r="BU904" s="80">
        <f>IF(AND(BD904=1,D904="proMX"),ROUND(AG904/CFG_BLK,6),0)</f>
        <v>0</v>
      </c>
      <c r="BV904" s="80" t="str">
        <f>IF(BF904="Approved",IF(ISNUMBER(T904),INT(T904),INT(B904)),"")</f>
        <v/>
      </c>
      <c r="BW904" s="80">
        <f>IF(ISNUMBER(B904),IF(DB_MON="Todos",1,IF(AND(INT(B904)&gt;=DB_MS,INT(B904)&lt;=DB_ME),1,0)),0)</f>
        <v>0</v>
      </c>
      <c r="BX904" s="80">
        <f>IF(DB_PROJ="Todos",1,IF(E904&amp;""=DB_PROJ&amp;"",1,0))</f>
        <v>1</v>
      </c>
      <c r="BY904" s="80">
        <f>BW904*BX904</f>
        <v>0</v>
      </c>
      <c r="BZ904" s="80" t="str">
        <f>IF(Y904=1,F904&amp;IF(AND(F904&amp;""&lt;&gt;"",E904&amp;""&lt;&gt;"")," · ","")&amp;E904,"")</f>
        <v/>
      </c>
      <c r="CA904" s="80" t="str">
        <f>IF(AND(BD904=1,E904&amp;""&lt;&gt;""),IF(COUNTIFS($E$5:E903,E904,$BD$5:BD903,1)=0,MAX($CA$5:CA903)+1,""),"")</f>
        <v/>
      </c>
      <c r="CB904" s="80" t="str">
        <f>IF(AND(BE904=1,D904="Malcolm",E904&amp;""&lt;&gt;""),IF(COUNTIFS($D$5:D903,"Malcolm",$E$5:E903,E904,$BE$5:BE903,1)=0,MAX($CB$5:CB903)+1,""),"")</f>
        <v/>
      </c>
      <c r="CC904" s="80" t="str">
        <f>IF(AND(BD904=1,D904="proMX",E904&amp;""&lt;&gt;""),IF(COUNTIFS($D$5:D903,"proMX",$E$5:E903,E904,$BD$5:BD903,1)=0,MAX($CC$5:CC903)+1,""),"")</f>
        <v/>
      </c>
      <c r="CD904" s="80" t="str">
        <f>IF(AND(BE904=1,D904="Malcolm",F904&amp;""&lt;&gt;""),IF(COUNTIFS($D$5:D903,"Malcolm",$F$5:F903,F904,$BE$5:BE903,1)=0,MAX($CD$5:CD903)+1,""),"")</f>
        <v/>
      </c>
      <c r="CE904" s="80" t="str">
        <f>IF(AND(BD904=1,D904="proMX",F904&amp;""&lt;&gt;""),IF(COUNTIFS($D$5:D903,"proMX",$F$5:F903,F904,$BD$5:BD903,1)=0,MAX($CE$5:CE903)+1,""),"")</f>
        <v/>
      </c>
      <c r="CF904" s="80" t="str">
        <f>IF(AND(D904="proMX",BD904=1),IF(OR(BF904="Draft",BF904="Submitted",BF904="Returned",BF904="Recall Requested"),MAX($CF$5:CF903)+1,""),"")</f>
        <v/>
      </c>
      <c r="CG904" s="80">
        <f>IF(BD904=0,0,IF(D904="Malcolm",1,MATCH(BF904,{"Draft","Submitted","Approved","Returned","Recall Requested","Cancelled"},0)+1))</f>
        <v>0</v>
      </c>
      <c r="CH904" s="80">
        <f>IF(AND(BF904="Submitted",ISNUMBER(V904)),IF(V904&gt;CFG_MAXD,1,0),0)</f>
        <v>0</v>
      </c>
    </row>
    <row r="905">
      <c r="A905" s="71" t="str">
        <f>IF(Y905=1,ROW()-5,"")</f>
        <v/>
      </c>
      <c r="B905" s="72" t="n"/>
      <c r="C905" s="71" t="str">
        <f>IF(ISNUMBER(B905),CHOOSE(WEEKDAY(B905,2),"Lun","Mar","Mié","Jue","Vie","Sáb","Dom"),"")</f>
        <v/>
      </c>
      <c r="D905" s="73" t="n"/>
      <c r="E905" s="74" t="n"/>
      <c r="F905" s="74" t="n"/>
      <c r="G905" s="74" t="n"/>
      <c r="H905" s="75" t="n"/>
      <c r="I905" s="75" t="n"/>
      <c r="J905" s="76" t="n"/>
      <c r="K905" s="77" t="str">
        <f>IF(AB905=1,ROUND(AG905/60,4),"")</f>
        <v/>
      </c>
      <c r="L905" s="77" t="str">
        <f>IF(BD905=1,ROUND(AP905/60,4),"")</f>
        <v/>
      </c>
      <c r="M905" s="77" t="str">
        <f>IF(BD905=1,ROUND(AQ905/60,4),"")</f>
        <v/>
      </c>
      <c r="N905" s="71" t="str">
        <f>IF(AND(D905="proMX",AB905=1),ROUND(AG905/CFG_BLK,2),"")</f>
        <v/>
      </c>
      <c r="O905" s="77" t="str">
        <f>IF(D905="proMX",IF(BD905=1,ROUND(AG905/60,4),0),"")</f>
        <v/>
      </c>
      <c r="P905" s="78" t="str">
        <f>IF(Y905=0,"",IF(BD905=1,"OK",IF(D905="proMX","Revisar bloques: ","Revisar: ")&amp;BC905))</f>
        <v/>
      </c>
      <c r="Q905" s="78" t="str">
        <f>IF(NOT(ISNUMBER(B905)),"",IF(COUNTIFS(FER_F,INT(B905))&gt;0,"Feriado"&amp;IF(AH905=1," (laborable)"," (no laborable)"),IF(AH905=1,"Laborable",IF(WEEKDAY(B905,2)&gt;5,"Fin de semana","No laborable"))))</f>
        <v/>
      </c>
      <c r="R905" s="73" t="n"/>
      <c r="S905" s="72" t="n"/>
      <c r="T905" s="72" t="n"/>
      <c r="U905" s="74" t="n"/>
      <c r="V905" s="79" t="str">
        <f>IF(AND(D905="proMX",OR(R905="Submitted",R905="Recall Requested"),ISNUMBER(S905)),CFG_TODAY-INT(S905),"")</f>
        <v/>
      </c>
      <c r="W905" s="78" t="str">
        <f>IF(BD905=0,"",IF(BA905&gt;0,"⚠ Se superpone con un registro de la otra empresa",IF(D905="Malcolm",IF(COUNTA(R905,S905,T905)&gt;0,"Estado/fechas proMX se ignoran en Malcolm",""),IF(BF905="Cancelled","Cancelado: excluido de totales",IF(R905="","Sin estado: se trata como Draft",IF(BF905="Submitted",IF(ISNUMBER(V905),IF(V905&gt;CFG_MAXD,"⚠ "&amp;V905&amp;" días en Submitted (máx. "&amp;CFG_MAXD&amp;")",""),"Falta fecha de envío"),IF(BF905="Returned","⚠ Devuelto: corregir y reenviar",IF(BF905="Recall Requested","Retirada solicitada: pendiente",IF(AND(BF905="Approved",NOT(ISNUMBER(T905))),"Falta fecha de aprobación",IF(AND(ISNUMBER(S905),ISNUMBER(T905),T905&lt;S905),"Aprobación anterior al envío","")))))))))</f>
        <v/>
      </c>
      <c r="Y905" s="80">
        <f>IF(COUNTA(B905,D905,E905,F905,G905,H905,I905,J905,R905,S905,T905)&gt;0,1,0)</f>
        <v>0</v>
      </c>
      <c r="Z905" s="80" t="str">
        <f>IF(AND(ISNUMBER(H905),H905&gt;=0,H905&lt;1),ROUND(H905*1440,0),"")</f>
        <v/>
      </c>
      <c r="AA905" s="80" t="str">
        <f>IF(AND(ISNUMBER(I905),I905&gt;=0,I905&lt;1),ROUND(I905*1440,0),"")</f>
        <v/>
      </c>
      <c r="AB905" s="80">
        <f>IF(AND(ISNUMBER(B905),D905&lt;&gt;"",ISNUMBER(Z905),ISNUMBER(AA905)),IF(Z905=AA905,0,1),0)</f>
        <v>0</v>
      </c>
      <c r="AC905" s="80">
        <f>IF(AB905=1,IF(AA905&lt;Z905,1,0),0)</f>
        <v>0</v>
      </c>
      <c r="AD905" s="80">
        <f>IF(AB905=1,IF(AC905=1,1440-Z905+AA905,AA905-Z905),0)</f>
        <v>0</v>
      </c>
      <c r="AE905" s="80">
        <f>IF(J905="",0,IF(ISNUMBER(J905),J905,-1))</f>
        <v>0</v>
      </c>
      <c r="AF905" s="80">
        <f>MIN(MAX(0,AE905),AD905)</f>
        <v>0</v>
      </c>
      <c r="AG905" s="80">
        <f>MAX(0,AD905-MAX(0,AE905))</f>
        <v>0</v>
      </c>
      <c r="AH905" s="80">
        <f>IF(ISNUMBER(B905),IF(AND(INDEX(CFG_WDAYS,WEEKDAY(INT(B905),2))="Sí",IF(D905="proMX",COUNTIFS(FER_F,INT(B905),FER_NLP,"Sí"),COUNTIFS(FER_F,INT(B905),FER_NLM,"Sí"))=0),1,0),0)</f>
        <v>0</v>
      </c>
      <c r="AI905" s="80">
        <f>IF(AC905=1,IF(AND(INDEX(CFG_WDAYS,WEEKDAY(INT(B905)+1,2))="Sí",IF(D905="proMX",COUNTIFS(FER_F,INT(B905)+1,FER_NLP,"Sí"),COUNTIFS(FER_F,INT(B905)+1,FER_NLM,"Sí"))=0),1,0),0)</f>
        <v>0</v>
      </c>
      <c r="AJ905" s="80">
        <f>IF(AC905=1,1440-Z905,AD905)</f>
        <v>0</v>
      </c>
      <c r="AK905" s="80">
        <f>IF(AND(AB905=1,AH905=1),MAX(0,MIN(IF(AC905=1,1440,AA905),CFG_WEM)-MAX(Z905,CFG_WSM)),0)</f>
        <v>0</v>
      </c>
      <c r="AL905" s="80">
        <f>IF(AND(AC905=1,AI905=1),MAX(0,MIN(AA905,CFG_WEM)-CFG_WSM),0)</f>
        <v>0</v>
      </c>
      <c r="AM905" s="80">
        <f>AK905+AL905</f>
        <v>0</v>
      </c>
      <c r="AN905" s="80">
        <f>IF(CFG_BRK="Proporcional",IF(AD905=0,0,AF905*AM905/AD905),IF(CFG_BRK="Extras primero",MIN(AM905,MAX(0,AF905-(AD905-AM905))),MIN(AF905,AM905)))</f>
        <v>0</v>
      </c>
      <c r="AO905" s="80">
        <f>AF905-AN905</f>
        <v>0</v>
      </c>
      <c r="AP905" s="80">
        <f>AM905-AN905</f>
        <v>0</v>
      </c>
      <c r="AQ905" s="80">
        <f>AD905-AM905-AO905</f>
        <v>0</v>
      </c>
      <c r="AR905" s="80">
        <f>IF(AM905=0,0,AK905-AN905*AK905/AM905)</f>
        <v>0</v>
      </c>
      <c r="AS905" s="80">
        <f>IF(AD905-AM905=0,0,(AJ905-AK905)-AO905*(AJ905-AK905)/(AD905-AM905))</f>
        <v>0</v>
      </c>
      <c r="AT905" s="80" t="str">
        <f>IF(AC905=1,INT(B905)+1,"")</f>
        <v/>
      </c>
      <c r="AU905" s="80">
        <f>IF(AND(D905="proMX",R905="Cancelled"),0,1)</f>
        <v>1</v>
      </c>
      <c r="AV905" s="80">
        <f>IF(AND(AB905=1,AU905=1),IF(COUNTIFS($D$5:D904,D905,$B$5:B904,B905,$Z$5:Z904,Z905,$AA$5:AA904,AA905,$F$5:F904,F905&amp;"",$AU$5:AU904,1)&gt;0,1,0),0)</f>
        <v>0</v>
      </c>
      <c r="AW905" s="80" t="str">
        <f>IF(AB905=1,INT(B905)*1440+Z905,"")</f>
        <v/>
      </c>
      <c r="AX905" s="80" t="str">
        <f>IF(AB905=1,AW905+AD905,"")</f>
        <v/>
      </c>
      <c r="AY905" s="80">
        <f>IF(AND(AB905=1,AV905=0,AU905=1),1,0)</f>
        <v>0</v>
      </c>
      <c r="AZ905" s="80">
        <f>IF(AY905=1,COUNTIFS(R_Emp,D905,R_SAbs,"&lt;"&amp;AX905,R_EAbs,"&gt;"&amp;AW905,R_OKey,1)-1,0)</f>
        <v>0</v>
      </c>
      <c r="BA905" s="80">
        <f>IF(AY905=1,COUNTIFS(R_Emp,"&lt;&gt;"&amp;D905,R_SAbs,"&lt;"&amp;AX905,R_EAbs,"&gt;"&amp;AW905,R_OKey,1),0)</f>
        <v>0</v>
      </c>
      <c r="BB905" s="80">
        <f>IF(AND(AB905=1,D905="proMX"),IF(AND(MOD(Z905,CFG_BLK)=0,MOD(AA905,CFG_BLK)=0,MOD(AG905,CFG_BLK)=0,AG905&gt;0),1,0),1)</f>
        <v>1</v>
      </c>
      <c r="BC905" s="80" t="str">
        <f>IF(Y905=0,"",IF(NOT(ISNUMBER(B905)),"Falta fecha o fecha inválida",IF(D905="","Falta empresa",IF(AND(D905&lt;&gt;"Malcolm",D905&lt;&gt;"proMX"),"Empresa inválida",IF(OR(INT(B905)&lt;CFG_PSTART,INT(B905)&gt;CFG_PEND),"Fecha fuera del período",IF(OR(NOT(ISNUMBER(Z905)),NOT(ISNUMBER(AA905))),"Falta hora inicio/fin o formato inválido",IF(AB905=0,"Hora inicio = hora fin",IF(AE905&lt;0,"Descanso inválido",IF(AE905&gt;=AD905,"Descanso ≥ duración",IF(AV905=1,"Registro duplicado",IF(AZ905&gt;0,"Se superpone con otro registro "&amp;D905,IF(BB905=0,"inicio, fin y duración neta deben ser múltiplos de "&amp;CFG_BLK&amp;" min",""))))))))))))</f>
        <v/>
      </c>
      <c r="BD905" s="80">
        <f>IF(AND(Y905=1,BC905=""),1,0)</f>
        <v>0</v>
      </c>
      <c r="BE905" s="80">
        <f>IF(AND(BD905=1,AU905=1),1,0)</f>
        <v>0</v>
      </c>
      <c r="BF905" s="80" t="str">
        <f>IF(AND(D905="proMX",BD905=1),IF(R905="","Draft",R905),"")</f>
        <v/>
      </c>
      <c r="BG905" s="80">
        <f>IF(BD905=1,ROUND(AG905/60,6),0)</f>
        <v>0</v>
      </c>
      <c r="BH905" s="80">
        <f>IF(BE905=1,ROUND(AG905/60,6),0)</f>
        <v>0</v>
      </c>
      <c r="BI905" s="80">
        <f>IF(BE905=1,ROUND(AP905/60,6),0)</f>
        <v>0</v>
      </c>
      <c r="BJ905" s="80">
        <f>IF(BE905=1,ROUND(AQ905/60,6),0)</f>
        <v>0</v>
      </c>
      <c r="BK905" s="80">
        <f>IF(BE905=1,ROUND((AR905+AS905)/60,6),0)</f>
        <v>0</v>
      </c>
      <c r="BL905" s="80">
        <f>ROUND(BH905-BK905,6)</f>
        <v>0</v>
      </c>
      <c r="BM905" s="80">
        <f>IF(BE905=1,ROUND(AR905/60,6),0)</f>
        <v>0</v>
      </c>
      <c r="BN905" s="80">
        <f>ROUND(BI905-BM905,6)</f>
        <v>0</v>
      </c>
      <c r="BO905" s="80">
        <f>IF(BE905=1,ROUND(AS905/60,6),0)</f>
        <v>0</v>
      </c>
      <c r="BP905" s="80">
        <f>ROUND(BJ905-BO905,6)</f>
        <v>0</v>
      </c>
      <c r="BQ905" s="80">
        <f>IF(BE905=1,AW905,0)</f>
        <v>0</v>
      </c>
      <c r="BR905" s="80">
        <f>IF(BE905=1,AX905,0)</f>
        <v>0</v>
      </c>
      <c r="BS905" s="80">
        <f>IF(AND(BE905=1,D905="Malcolm",BA905&gt;0),MIN(BH905,SUMPRODUCT((R_Emp="proMX")*(R_EN&gt;0)*((R_EN-(R_EN&gt;BR905)*(R_EN-BR905))&gt;(R_SN+(R_SN&lt;BQ905)*(BQ905-R_SN)))*((R_EN-(R_EN&gt;BR905)*(R_EN-BR905))-(R_SN+(R_SN&lt;BQ905)*(BQ905-R_SN))))/60),0)</f>
        <v>0</v>
      </c>
      <c r="BT905" s="80">
        <f>IF(AND(BE905=1,D905="proMX"),ROUND(BI905*CFG_RATE+BJ905*CFG_OTRATE,6),0)</f>
        <v>0</v>
      </c>
      <c r="BU905" s="80">
        <f>IF(AND(BD905=1,D905="proMX"),ROUND(AG905/CFG_BLK,6),0)</f>
        <v>0</v>
      </c>
      <c r="BV905" s="80" t="str">
        <f>IF(BF905="Approved",IF(ISNUMBER(T905),INT(T905),INT(B905)),"")</f>
        <v/>
      </c>
      <c r="BW905" s="80">
        <f>IF(ISNUMBER(B905),IF(DB_MON="Todos",1,IF(AND(INT(B905)&gt;=DB_MS,INT(B905)&lt;=DB_ME),1,0)),0)</f>
        <v>0</v>
      </c>
      <c r="BX905" s="80">
        <f>IF(DB_PROJ="Todos",1,IF(E905&amp;""=DB_PROJ&amp;"",1,0))</f>
        <v>1</v>
      </c>
      <c r="BY905" s="80">
        <f>BW905*BX905</f>
        <v>0</v>
      </c>
      <c r="BZ905" s="80" t="str">
        <f>IF(Y905=1,F905&amp;IF(AND(F905&amp;""&lt;&gt;"",E905&amp;""&lt;&gt;"")," · ","")&amp;E905,"")</f>
        <v/>
      </c>
      <c r="CA905" s="80" t="str">
        <f>IF(AND(BD905=1,E905&amp;""&lt;&gt;""),IF(COUNTIFS($E$5:E904,E905,$BD$5:BD904,1)=0,MAX($CA$5:CA904)+1,""),"")</f>
        <v/>
      </c>
      <c r="CB905" s="80" t="str">
        <f>IF(AND(BE905=1,D905="Malcolm",E905&amp;""&lt;&gt;""),IF(COUNTIFS($D$5:D904,"Malcolm",$E$5:E904,E905,$BE$5:BE904,1)=0,MAX($CB$5:CB904)+1,""),"")</f>
        <v/>
      </c>
      <c r="CC905" s="80" t="str">
        <f>IF(AND(BD905=1,D905="proMX",E905&amp;""&lt;&gt;""),IF(COUNTIFS($D$5:D904,"proMX",$E$5:E904,E905,$BD$5:BD904,1)=0,MAX($CC$5:CC904)+1,""),"")</f>
        <v/>
      </c>
      <c r="CD905" s="80" t="str">
        <f>IF(AND(BE905=1,D905="Malcolm",F905&amp;""&lt;&gt;""),IF(COUNTIFS($D$5:D904,"Malcolm",$F$5:F904,F905,$BE$5:BE904,1)=0,MAX($CD$5:CD904)+1,""),"")</f>
        <v/>
      </c>
      <c r="CE905" s="80" t="str">
        <f>IF(AND(BD905=1,D905="proMX",F905&amp;""&lt;&gt;""),IF(COUNTIFS($D$5:D904,"proMX",$F$5:F904,F905,$BD$5:BD904,1)=0,MAX($CE$5:CE904)+1,""),"")</f>
        <v/>
      </c>
      <c r="CF905" s="80" t="str">
        <f>IF(AND(D905="proMX",BD905=1),IF(OR(BF905="Draft",BF905="Submitted",BF905="Returned",BF905="Recall Requested"),MAX($CF$5:CF904)+1,""),"")</f>
        <v/>
      </c>
      <c r="CG905" s="80">
        <f>IF(BD905=0,0,IF(D905="Malcolm",1,MATCH(BF905,{"Draft","Submitted","Approved","Returned","Recall Requested","Cancelled"},0)+1))</f>
        <v>0</v>
      </c>
      <c r="CH905" s="80">
        <f>IF(AND(BF905="Submitted",ISNUMBER(V905)),IF(V905&gt;CFG_MAXD,1,0),0)</f>
        <v>0</v>
      </c>
    </row>
    <row r="906">
      <c r="A906" s="71" t="str">
        <f>IF(Y906=1,ROW()-5,"")</f>
        <v/>
      </c>
      <c r="B906" s="72" t="n"/>
      <c r="C906" s="71" t="str">
        <f>IF(ISNUMBER(B906),CHOOSE(WEEKDAY(B906,2),"Lun","Mar","Mié","Jue","Vie","Sáb","Dom"),"")</f>
        <v/>
      </c>
      <c r="D906" s="73" t="n"/>
      <c r="E906" s="74" t="n"/>
      <c r="F906" s="74" t="n"/>
      <c r="G906" s="74" t="n"/>
      <c r="H906" s="75" t="n"/>
      <c r="I906" s="75" t="n"/>
      <c r="J906" s="76" t="n"/>
      <c r="K906" s="77" t="str">
        <f>IF(AB906=1,ROUND(AG906/60,4),"")</f>
        <v/>
      </c>
      <c r="L906" s="77" t="str">
        <f>IF(BD906=1,ROUND(AP906/60,4),"")</f>
        <v/>
      </c>
      <c r="M906" s="77" t="str">
        <f>IF(BD906=1,ROUND(AQ906/60,4),"")</f>
        <v/>
      </c>
      <c r="N906" s="71" t="str">
        <f>IF(AND(D906="proMX",AB906=1),ROUND(AG906/CFG_BLK,2),"")</f>
        <v/>
      </c>
      <c r="O906" s="77" t="str">
        <f>IF(D906="proMX",IF(BD906=1,ROUND(AG906/60,4),0),"")</f>
        <v/>
      </c>
      <c r="P906" s="78" t="str">
        <f>IF(Y906=0,"",IF(BD906=1,"OK",IF(D906="proMX","Revisar bloques: ","Revisar: ")&amp;BC906))</f>
        <v/>
      </c>
      <c r="Q906" s="78" t="str">
        <f>IF(NOT(ISNUMBER(B906)),"",IF(COUNTIFS(FER_F,INT(B906))&gt;0,"Feriado"&amp;IF(AH906=1," (laborable)"," (no laborable)"),IF(AH906=1,"Laborable",IF(WEEKDAY(B906,2)&gt;5,"Fin de semana","No laborable"))))</f>
        <v/>
      </c>
      <c r="R906" s="73" t="n"/>
      <c r="S906" s="72" t="n"/>
      <c r="T906" s="72" t="n"/>
      <c r="U906" s="74" t="n"/>
      <c r="V906" s="79" t="str">
        <f>IF(AND(D906="proMX",OR(R906="Submitted",R906="Recall Requested"),ISNUMBER(S906)),CFG_TODAY-INT(S906),"")</f>
        <v/>
      </c>
      <c r="W906" s="78" t="str">
        <f>IF(BD906=0,"",IF(BA906&gt;0,"⚠ Se superpone con un registro de la otra empresa",IF(D906="Malcolm",IF(COUNTA(R906,S906,T906)&gt;0,"Estado/fechas proMX se ignoran en Malcolm",""),IF(BF906="Cancelled","Cancelado: excluido de totales",IF(R906="","Sin estado: se trata como Draft",IF(BF906="Submitted",IF(ISNUMBER(V906),IF(V906&gt;CFG_MAXD,"⚠ "&amp;V906&amp;" días en Submitted (máx. "&amp;CFG_MAXD&amp;")",""),"Falta fecha de envío"),IF(BF906="Returned","⚠ Devuelto: corregir y reenviar",IF(BF906="Recall Requested","Retirada solicitada: pendiente",IF(AND(BF906="Approved",NOT(ISNUMBER(T906))),"Falta fecha de aprobación",IF(AND(ISNUMBER(S906),ISNUMBER(T906),T906&lt;S906),"Aprobación anterior al envío","")))))))))</f>
        <v/>
      </c>
      <c r="Y906" s="80">
        <f>IF(COUNTA(B906,D906,E906,F906,G906,H906,I906,J906,R906,S906,T906)&gt;0,1,0)</f>
        <v>0</v>
      </c>
      <c r="Z906" s="80" t="str">
        <f>IF(AND(ISNUMBER(H906),H906&gt;=0,H906&lt;1),ROUND(H906*1440,0),"")</f>
        <v/>
      </c>
      <c r="AA906" s="80" t="str">
        <f>IF(AND(ISNUMBER(I906),I906&gt;=0,I906&lt;1),ROUND(I906*1440,0),"")</f>
        <v/>
      </c>
      <c r="AB906" s="80">
        <f>IF(AND(ISNUMBER(B906),D906&lt;&gt;"",ISNUMBER(Z906),ISNUMBER(AA906)),IF(Z906=AA906,0,1),0)</f>
        <v>0</v>
      </c>
      <c r="AC906" s="80">
        <f>IF(AB906=1,IF(AA906&lt;Z906,1,0),0)</f>
        <v>0</v>
      </c>
      <c r="AD906" s="80">
        <f>IF(AB906=1,IF(AC906=1,1440-Z906+AA906,AA906-Z906),0)</f>
        <v>0</v>
      </c>
      <c r="AE906" s="80">
        <f>IF(J906="",0,IF(ISNUMBER(J906),J906,-1))</f>
        <v>0</v>
      </c>
      <c r="AF906" s="80">
        <f>MIN(MAX(0,AE906),AD906)</f>
        <v>0</v>
      </c>
      <c r="AG906" s="80">
        <f>MAX(0,AD906-MAX(0,AE906))</f>
        <v>0</v>
      </c>
      <c r="AH906" s="80">
        <f>IF(ISNUMBER(B906),IF(AND(INDEX(CFG_WDAYS,WEEKDAY(INT(B906),2))="Sí",IF(D906="proMX",COUNTIFS(FER_F,INT(B906),FER_NLP,"Sí"),COUNTIFS(FER_F,INT(B906),FER_NLM,"Sí"))=0),1,0),0)</f>
        <v>0</v>
      </c>
      <c r="AI906" s="80">
        <f>IF(AC906=1,IF(AND(INDEX(CFG_WDAYS,WEEKDAY(INT(B906)+1,2))="Sí",IF(D906="proMX",COUNTIFS(FER_F,INT(B906)+1,FER_NLP,"Sí"),COUNTIFS(FER_F,INT(B906)+1,FER_NLM,"Sí"))=0),1,0),0)</f>
        <v>0</v>
      </c>
      <c r="AJ906" s="80">
        <f>IF(AC906=1,1440-Z906,AD906)</f>
        <v>0</v>
      </c>
      <c r="AK906" s="80">
        <f>IF(AND(AB906=1,AH906=1),MAX(0,MIN(IF(AC906=1,1440,AA906),CFG_WEM)-MAX(Z906,CFG_WSM)),0)</f>
        <v>0</v>
      </c>
      <c r="AL906" s="80">
        <f>IF(AND(AC906=1,AI906=1),MAX(0,MIN(AA906,CFG_WEM)-CFG_WSM),0)</f>
        <v>0</v>
      </c>
      <c r="AM906" s="80">
        <f>AK906+AL906</f>
        <v>0</v>
      </c>
      <c r="AN906" s="80">
        <f>IF(CFG_BRK="Proporcional",IF(AD906=0,0,AF906*AM906/AD906),IF(CFG_BRK="Extras primero",MIN(AM906,MAX(0,AF906-(AD906-AM906))),MIN(AF906,AM906)))</f>
        <v>0</v>
      </c>
      <c r="AO906" s="80">
        <f>AF906-AN906</f>
        <v>0</v>
      </c>
      <c r="AP906" s="80">
        <f>AM906-AN906</f>
        <v>0</v>
      </c>
      <c r="AQ906" s="80">
        <f>AD906-AM906-AO906</f>
        <v>0</v>
      </c>
      <c r="AR906" s="80">
        <f>IF(AM906=0,0,AK906-AN906*AK906/AM906)</f>
        <v>0</v>
      </c>
      <c r="AS906" s="80">
        <f>IF(AD906-AM906=0,0,(AJ906-AK906)-AO906*(AJ906-AK906)/(AD906-AM906))</f>
        <v>0</v>
      </c>
      <c r="AT906" s="80" t="str">
        <f>IF(AC906=1,INT(B906)+1,"")</f>
        <v/>
      </c>
      <c r="AU906" s="80">
        <f>IF(AND(D906="proMX",R906="Cancelled"),0,1)</f>
        <v>1</v>
      </c>
      <c r="AV906" s="80">
        <f>IF(AND(AB906=1,AU906=1),IF(COUNTIFS($D$5:D905,D906,$B$5:B905,B906,$Z$5:Z905,Z906,$AA$5:AA905,AA906,$F$5:F905,F906&amp;"",$AU$5:AU905,1)&gt;0,1,0),0)</f>
        <v>0</v>
      </c>
      <c r="AW906" s="80" t="str">
        <f>IF(AB906=1,INT(B906)*1440+Z906,"")</f>
        <v/>
      </c>
      <c r="AX906" s="80" t="str">
        <f>IF(AB906=1,AW906+AD906,"")</f>
        <v/>
      </c>
      <c r="AY906" s="80">
        <f>IF(AND(AB906=1,AV906=0,AU906=1),1,0)</f>
        <v>0</v>
      </c>
      <c r="AZ906" s="80">
        <f>IF(AY906=1,COUNTIFS(R_Emp,D906,R_SAbs,"&lt;"&amp;AX906,R_EAbs,"&gt;"&amp;AW906,R_OKey,1)-1,0)</f>
        <v>0</v>
      </c>
      <c r="BA906" s="80">
        <f>IF(AY906=1,COUNTIFS(R_Emp,"&lt;&gt;"&amp;D906,R_SAbs,"&lt;"&amp;AX906,R_EAbs,"&gt;"&amp;AW906,R_OKey,1),0)</f>
        <v>0</v>
      </c>
      <c r="BB906" s="80">
        <f>IF(AND(AB906=1,D906="proMX"),IF(AND(MOD(Z906,CFG_BLK)=0,MOD(AA906,CFG_BLK)=0,MOD(AG906,CFG_BLK)=0,AG906&gt;0),1,0),1)</f>
        <v>1</v>
      </c>
      <c r="BC906" s="80" t="str">
        <f>IF(Y906=0,"",IF(NOT(ISNUMBER(B906)),"Falta fecha o fecha inválida",IF(D906="","Falta empresa",IF(AND(D906&lt;&gt;"Malcolm",D906&lt;&gt;"proMX"),"Empresa inválida",IF(OR(INT(B906)&lt;CFG_PSTART,INT(B906)&gt;CFG_PEND),"Fecha fuera del período",IF(OR(NOT(ISNUMBER(Z906)),NOT(ISNUMBER(AA906))),"Falta hora inicio/fin o formato inválido",IF(AB906=0,"Hora inicio = hora fin",IF(AE906&lt;0,"Descanso inválido",IF(AE906&gt;=AD906,"Descanso ≥ duración",IF(AV906=1,"Registro duplicado",IF(AZ906&gt;0,"Se superpone con otro registro "&amp;D906,IF(BB906=0,"inicio, fin y duración neta deben ser múltiplos de "&amp;CFG_BLK&amp;" min",""))))))))))))</f>
        <v/>
      </c>
      <c r="BD906" s="80">
        <f>IF(AND(Y906=1,BC906=""),1,0)</f>
        <v>0</v>
      </c>
      <c r="BE906" s="80">
        <f>IF(AND(BD906=1,AU906=1),1,0)</f>
        <v>0</v>
      </c>
      <c r="BF906" s="80" t="str">
        <f>IF(AND(D906="proMX",BD906=1),IF(R906="","Draft",R906),"")</f>
        <v/>
      </c>
      <c r="BG906" s="80">
        <f>IF(BD906=1,ROUND(AG906/60,6),0)</f>
        <v>0</v>
      </c>
      <c r="BH906" s="80">
        <f>IF(BE906=1,ROUND(AG906/60,6),0)</f>
        <v>0</v>
      </c>
      <c r="BI906" s="80">
        <f>IF(BE906=1,ROUND(AP906/60,6),0)</f>
        <v>0</v>
      </c>
      <c r="BJ906" s="80">
        <f>IF(BE906=1,ROUND(AQ906/60,6),0)</f>
        <v>0</v>
      </c>
      <c r="BK906" s="80">
        <f>IF(BE906=1,ROUND((AR906+AS906)/60,6),0)</f>
        <v>0</v>
      </c>
      <c r="BL906" s="80">
        <f>ROUND(BH906-BK906,6)</f>
        <v>0</v>
      </c>
      <c r="BM906" s="80">
        <f>IF(BE906=1,ROUND(AR906/60,6),0)</f>
        <v>0</v>
      </c>
      <c r="BN906" s="80">
        <f>ROUND(BI906-BM906,6)</f>
        <v>0</v>
      </c>
      <c r="BO906" s="80">
        <f>IF(BE906=1,ROUND(AS906/60,6),0)</f>
        <v>0</v>
      </c>
      <c r="BP906" s="80">
        <f>ROUND(BJ906-BO906,6)</f>
        <v>0</v>
      </c>
      <c r="BQ906" s="80">
        <f>IF(BE906=1,AW906,0)</f>
        <v>0</v>
      </c>
      <c r="BR906" s="80">
        <f>IF(BE906=1,AX906,0)</f>
        <v>0</v>
      </c>
      <c r="BS906" s="80">
        <f>IF(AND(BE906=1,D906="Malcolm",BA906&gt;0),MIN(BH906,SUMPRODUCT((R_Emp="proMX")*(R_EN&gt;0)*((R_EN-(R_EN&gt;BR906)*(R_EN-BR906))&gt;(R_SN+(R_SN&lt;BQ906)*(BQ906-R_SN)))*((R_EN-(R_EN&gt;BR906)*(R_EN-BR906))-(R_SN+(R_SN&lt;BQ906)*(BQ906-R_SN))))/60),0)</f>
        <v>0</v>
      </c>
      <c r="BT906" s="80">
        <f>IF(AND(BE906=1,D906="proMX"),ROUND(BI906*CFG_RATE+BJ906*CFG_OTRATE,6),0)</f>
        <v>0</v>
      </c>
      <c r="BU906" s="80">
        <f>IF(AND(BD906=1,D906="proMX"),ROUND(AG906/CFG_BLK,6),0)</f>
        <v>0</v>
      </c>
      <c r="BV906" s="80" t="str">
        <f>IF(BF906="Approved",IF(ISNUMBER(T906),INT(T906),INT(B906)),"")</f>
        <v/>
      </c>
      <c r="BW906" s="80">
        <f>IF(ISNUMBER(B906),IF(DB_MON="Todos",1,IF(AND(INT(B906)&gt;=DB_MS,INT(B906)&lt;=DB_ME),1,0)),0)</f>
        <v>0</v>
      </c>
      <c r="BX906" s="80">
        <f>IF(DB_PROJ="Todos",1,IF(E906&amp;""=DB_PROJ&amp;"",1,0))</f>
        <v>1</v>
      </c>
      <c r="BY906" s="80">
        <f>BW906*BX906</f>
        <v>0</v>
      </c>
      <c r="BZ906" s="80" t="str">
        <f>IF(Y906=1,F906&amp;IF(AND(F906&amp;""&lt;&gt;"",E906&amp;""&lt;&gt;"")," · ","")&amp;E906,"")</f>
        <v/>
      </c>
      <c r="CA906" s="80" t="str">
        <f>IF(AND(BD906=1,E906&amp;""&lt;&gt;""),IF(COUNTIFS($E$5:E905,E906,$BD$5:BD905,1)=0,MAX($CA$5:CA905)+1,""),"")</f>
        <v/>
      </c>
      <c r="CB906" s="80" t="str">
        <f>IF(AND(BE906=1,D906="Malcolm",E906&amp;""&lt;&gt;""),IF(COUNTIFS($D$5:D905,"Malcolm",$E$5:E905,E906,$BE$5:BE905,1)=0,MAX($CB$5:CB905)+1,""),"")</f>
        <v/>
      </c>
      <c r="CC906" s="80" t="str">
        <f>IF(AND(BD906=1,D906="proMX",E906&amp;""&lt;&gt;""),IF(COUNTIFS($D$5:D905,"proMX",$E$5:E905,E906,$BD$5:BD905,1)=0,MAX($CC$5:CC905)+1,""),"")</f>
        <v/>
      </c>
      <c r="CD906" s="80" t="str">
        <f>IF(AND(BE906=1,D906="Malcolm",F906&amp;""&lt;&gt;""),IF(COUNTIFS($D$5:D905,"Malcolm",$F$5:F905,F906,$BE$5:BE905,1)=0,MAX($CD$5:CD905)+1,""),"")</f>
        <v/>
      </c>
      <c r="CE906" s="80" t="str">
        <f>IF(AND(BD906=1,D906="proMX",F906&amp;""&lt;&gt;""),IF(COUNTIFS($D$5:D905,"proMX",$F$5:F905,F906,$BD$5:BD905,1)=0,MAX($CE$5:CE905)+1,""),"")</f>
        <v/>
      </c>
      <c r="CF906" s="80" t="str">
        <f>IF(AND(D906="proMX",BD906=1),IF(OR(BF906="Draft",BF906="Submitted",BF906="Returned",BF906="Recall Requested"),MAX($CF$5:CF905)+1,""),"")</f>
        <v/>
      </c>
      <c r="CG906" s="80">
        <f>IF(BD906=0,0,IF(D906="Malcolm",1,MATCH(BF906,{"Draft","Submitted","Approved","Returned","Recall Requested","Cancelled"},0)+1))</f>
        <v>0</v>
      </c>
      <c r="CH906" s="80">
        <f>IF(AND(BF906="Submitted",ISNUMBER(V906)),IF(V906&gt;CFG_MAXD,1,0),0)</f>
        <v>0</v>
      </c>
    </row>
    <row r="907">
      <c r="A907" s="71" t="str">
        <f>IF(Y907=1,ROW()-5,"")</f>
        <v/>
      </c>
      <c r="B907" s="72" t="n"/>
      <c r="C907" s="71" t="str">
        <f>IF(ISNUMBER(B907),CHOOSE(WEEKDAY(B907,2),"Lun","Mar","Mié","Jue","Vie","Sáb","Dom"),"")</f>
        <v/>
      </c>
      <c r="D907" s="73" t="n"/>
      <c r="E907" s="74" t="n"/>
      <c r="F907" s="74" t="n"/>
      <c r="G907" s="74" t="n"/>
      <c r="H907" s="75" t="n"/>
      <c r="I907" s="75" t="n"/>
      <c r="J907" s="76" t="n"/>
      <c r="K907" s="77" t="str">
        <f>IF(AB907=1,ROUND(AG907/60,4),"")</f>
        <v/>
      </c>
      <c r="L907" s="77" t="str">
        <f>IF(BD907=1,ROUND(AP907/60,4),"")</f>
        <v/>
      </c>
      <c r="M907" s="77" t="str">
        <f>IF(BD907=1,ROUND(AQ907/60,4),"")</f>
        <v/>
      </c>
      <c r="N907" s="71" t="str">
        <f>IF(AND(D907="proMX",AB907=1),ROUND(AG907/CFG_BLK,2),"")</f>
        <v/>
      </c>
      <c r="O907" s="77" t="str">
        <f>IF(D907="proMX",IF(BD907=1,ROUND(AG907/60,4),0),"")</f>
        <v/>
      </c>
      <c r="P907" s="78" t="str">
        <f>IF(Y907=0,"",IF(BD907=1,"OK",IF(D907="proMX","Revisar bloques: ","Revisar: ")&amp;BC907))</f>
        <v/>
      </c>
      <c r="Q907" s="78" t="str">
        <f>IF(NOT(ISNUMBER(B907)),"",IF(COUNTIFS(FER_F,INT(B907))&gt;0,"Feriado"&amp;IF(AH907=1," (laborable)"," (no laborable)"),IF(AH907=1,"Laborable",IF(WEEKDAY(B907,2)&gt;5,"Fin de semana","No laborable"))))</f>
        <v/>
      </c>
      <c r="R907" s="73" t="n"/>
      <c r="S907" s="72" t="n"/>
      <c r="T907" s="72" t="n"/>
      <c r="U907" s="74" t="n"/>
      <c r="V907" s="79" t="str">
        <f>IF(AND(D907="proMX",OR(R907="Submitted",R907="Recall Requested"),ISNUMBER(S907)),CFG_TODAY-INT(S907),"")</f>
        <v/>
      </c>
      <c r="W907" s="78" t="str">
        <f>IF(BD907=0,"",IF(BA907&gt;0,"⚠ Se superpone con un registro de la otra empresa",IF(D907="Malcolm",IF(COUNTA(R907,S907,T907)&gt;0,"Estado/fechas proMX se ignoran en Malcolm",""),IF(BF907="Cancelled","Cancelado: excluido de totales",IF(R907="","Sin estado: se trata como Draft",IF(BF907="Submitted",IF(ISNUMBER(V907),IF(V907&gt;CFG_MAXD,"⚠ "&amp;V907&amp;" días en Submitted (máx. "&amp;CFG_MAXD&amp;")",""),"Falta fecha de envío"),IF(BF907="Returned","⚠ Devuelto: corregir y reenviar",IF(BF907="Recall Requested","Retirada solicitada: pendiente",IF(AND(BF907="Approved",NOT(ISNUMBER(T907))),"Falta fecha de aprobación",IF(AND(ISNUMBER(S907),ISNUMBER(T907),T907&lt;S907),"Aprobación anterior al envío","")))))))))</f>
        <v/>
      </c>
      <c r="Y907" s="80">
        <f>IF(COUNTA(B907,D907,E907,F907,G907,H907,I907,J907,R907,S907,T907)&gt;0,1,0)</f>
        <v>0</v>
      </c>
      <c r="Z907" s="80" t="str">
        <f>IF(AND(ISNUMBER(H907),H907&gt;=0,H907&lt;1),ROUND(H907*1440,0),"")</f>
        <v/>
      </c>
      <c r="AA907" s="80" t="str">
        <f>IF(AND(ISNUMBER(I907),I907&gt;=0,I907&lt;1),ROUND(I907*1440,0),"")</f>
        <v/>
      </c>
      <c r="AB907" s="80">
        <f>IF(AND(ISNUMBER(B907),D907&lt;&gt;"",ISNUMBER(Z907),ISNUMBER(AA907)),IF(Z907=AA907,0,1),0)</f>
        <v>0</v>
      </c>
      <c r="AC907" s="80">
        <f>IF(AB907=1,IF(AA907&lt;Z907,1,0),0)</f>
        <v>0</v>
      </c>
      <c r="AD907" s="80">
        <f>IF(AB907=1,IF(AC907=1,1440-Z907+AA907,AA907-Z907),0)</f>
        <v>0</v>
      </c>
      <c r="AE907" s="80">
        <f>IF(J907="",0,IF(ISNUMBER(J907),J907,-1))</f>
        <v>0</v>
      </c>
      <c r="AF907" s="80">
        <f>MIN(MAX(0,AE907),AD907)</f>
        <v>0</v>
      </c>
      <c r="AG907" s="80">
        <f>MAX(0,AD907-MAX(0,AE907))</f>
        <v>0</v>
      </c>
      <c r="AH907" s="80">
        <f>IF(ISNUMBER(B907),IF(AND(INDEX(CFG_WDAYS,WEEKDAY(INT(B907),2))="Sí",IF(D907="proMX",COUNTIFS(FER_F,INT(B907),FER_NLP,"Sí"),COUNTIFS(FER_F,INT(B907),FER_NLM,"Sí"))=0),1,0),0)</f>
        <v>0</v>
      </c>
      <c r="AI907" s="80">
        <f>IF(AC907=1,IF(AND(INDEX(CFG_WDAYS,WEEKDAY(INT(B907)+1,2))="Sí",IF(D907="proMX",COUNTIFS(FER_F,INT(B907)+1,FER_NLP,"Sí"),COUNTIFS(FER_F,INT(B907)+1,FER_NLM,"Sí"))=0),1,0),0)</f>
        <v>0</v>
      </c>
      <c r="AJ907" s="80">
        <f>IF(AC907=1,1440-Z907,AD907)</f>
        <v>0</v>
      </c>
      <c r="AK907" s="80">
        <f>IF(AND(AB907=1,AH907=1),MAX(0,MIN(IF(AC907=1,1440,AA907),CFG_WEM)-MAX(Z907,CFG_WSM)),0)</f>
        <v>0</v>
      </c>
      <c r="AL907" s="80">
        <f>IF(AND(AC907=1,AI907=1),MAX(0,MIN(AA907,CFG_WEM)-CFG_WSM),0)</f>
        <v>0</v>
      </c>
      <c r="AM907" s="80">
        <f>AK907+AL907</f>
        <v>0</v>
      </c>
      <c r="AN907" s="80">
        <f>IF(CFG_BRK="Proporcional",IF(AD907=0,0,AF907*AM907/AD907),IF(CFG_BRK="Extras primero",MIN(AM907,MAX(0,AF907-(AD907-AM907))),MIN(AF907,AM907)))</f>
        <v>0</v>
      </c>
      <c r="AO907" s="80">
        <f>AF907-AN907</f>
        <v>0</v>
      </c>
      <c r="AP907" s="80">
        <f>AM907-AN907</f>
        <v>0</v>
      </c>
      <c r="AQ907" s="80">
        <f>AD907-AM907-AO907</f>
        <v>0</v>
      </c>
      <c r="AR907" s="80">
        <f>IF(AM907=0,0,AK907-AN907*AK907/AM907)</f>
        <v>0</v>
      </c>
      <c r="AS907" s="80">
        <f>IF(AD907-AM907=0,0,(AJ907-AK907)-AO907*(AJ907-AK907)/(AD907-AM907))</f>
        <v>0</v>
      </c>
      <c r="AT907" s="80" t="str">
        <f>IF(AC907=1,INT(B907)+1,"")</f>
        <v/>
      </c>
      <c r="AU907" s="80">
        <f>IF(AND(D907="proMX",R907="Cancelled"),0,1)</f>
        <v>1</v>
      </c>
      <c r="AV907" s="80">
        <f>IF(AND(AB907=1,AU907=1),IF(COUNTIFS($D$5:D906,D907,$B$5:B906,B907,$Z$5:Z906,Z907,$AA$5:AA906,AA907,$F$5:F906,F907&amp;"",$AU$5:AU906,1)&gt;0,1,0),0)</f>
        <v>0</v>
      </c>
      <c r="AW907" s="80" t="str">
        <f>IF(AB907=1,INT(B907)*1440+Z907,"")</f>
        <v/>
      </c>
      <c r="AX907" s="80" t="str">
        <f>IF(AB907=1,AW907+AD907,"")</f>
        <v/>
      </c>
      <c r="AY907" s="80">
        <f>IF(AND(AB907=1,AV907=0,AU907=1),1,0)</f>
        <v>0</v>
      </c>
      <c r="AZ907" s="80">
        <f>IF(AY907=1,COUNTIFS(R_Emp,D907,R_SAbs,"&lt;"&amp;AX907,R_EAbs,"&gt;"&amp;AW907,R_OKey,1)-1,0)</f>
        <v>0</v>
      </c>
      <c r="BA907" s="80">
        <f>IF(AY907=1,COUNTIFS(R_Emp,"&lt;&gt;"&amp;D907,R_SAbs,"&lt;"&amp;AX907,R_EAbs,"&gt;"&amp;AW907,R_OKey,1),0)</f>
        <v>0</v>
      </c>
      <c r="BB907" s="80">
        <f>IF(AND(AB907=1,D907="proMX"),IF(AND(MOD(Z907,CFG_BLK)=0,MOD(AA907,CFG_BLK)=0,MOD(AG907,CFG_BLK)=0,AG907&gt;0),1,0),1)</f>
        <v>1</v>
      </c>
      <c r="BC907" s="80" t="str">
        <f>IF(Y907=0,"",IF(NOT(ISNUMBER(B907)),"Falta fecha o fecha inválida",IF(D907="","Falta empresa",IF(AND(D907&lt;&gt;"Malcolm",D907&lt;&gt;"proMX"),"Empresa inválida",IF(OR(INT(B907)&lt;CFG_PSTART,INT(B907)&gt;CFG_PEND),"Fecha fuera del período",IF(OR(NOT(ISNUMBER(Z907)),NOT(ISNUMBER(AA907))),"Falta hora inicio/fin o formato inválido",IF(AB907=0,"Hora inicio = hora fin",IF(AE907&lt;0,"Descanso inválido",IF(AE907&gt;=AD907,"Descanso ≥ duración",IF(AV907=1,"Registro duplicado",IF(AZ907&gt;0,"Se superpone con otro registro "&amp;D907,IF(BB907=0,"inicio, fin y duración neta deben ser múltiplos de "&amp;CFG_BLK&amp;" min",""))))))))))))</f>
        <v/>
      </c>
      <c r="BD907" s="80">
        <f>IF(AND(Y907=1,BC907=""),1,0)</f>
        <v>0</v>
      </c>
      <c r="BE907" s="80">
        <f>IF(AND(BD907=1,AU907=1),1,0)</f>
        <v>0</v>
      </c>
      <c r="BF907" s="80" t="str">
        <f>IF(AND(D907="proMX",BD907=1),IF(R907="","Draft",R907),"")</f>
        <v/>
      </c>
      <c r="BG907" s="80">
        <f>IF(BD907=1,ROUND(AG907/60,6),0)</f>
        <v>0</v>
      </c>
      <c r="BH907" s="80">
        <f>IF(BE907=1,ROUND(AG907/60,6),0)</f>
        <v>0</v>
      </c>
      <c r="BI907" s="80">
        <f>IF(BE907=1,ROUND(AP907/60,6),0)</f>
        <v>0</v>
      </c>
      <c r="BJ907" s="80">
        <f>IF(BE907=1,ROUND(AQ907/60,6),0)</f>
        <v>0</v>
      </c>
      <c r="BK907" s="80">
        <f>IF(BE907=1,ROUND((AR907+AS907)/60,6),0)</f>
        <v>0</v>
      </c>
      <c r="BL907" s="80">
        <f>ROUND(BH907-BK907,6)</f>
        <v>0</v>
      </c>
      <c r="BM907" s="80">
        <f>IF(BE907=1,ROUND(AR907/60,6),0)</f>
        <v>0</v>
      </c>
      <c r="BN907" s="80">
        <f>ROUND(BI907-BM907,6)</f>
        <v>0</v>
      </c>
      <c r="BO907" s="80">
        <f>IF(BE907=1,ROUND(AS907/60,6),0)</f>
        <v>0</v>
      </c>
      <c r="BP907" s="80">
        <f>ROUND(BJ907-BO907,6)</f>
        <v>0</v>
      </c>
      <c r="BQ907" s="80">
        <f>IF(BE907=1,AW907,0)</f>
        <v>0</v>
      </c>
      <c r="BR907" s="80">
        <f>IF(BE907=1,AX907,0)</f>
        <v>0</v>
      </c>
      <c r="BS907" s="80">
        <f>IF(AND(BE907=1,D907="Malcolm",BA907&gt;0),MIN(BH907,SUMPRODUCT((R_Emp="proMX")*(R_EN&gt;0)*((R_EN-(R_EN&gt;BR907)*(R_EN-BR907))&gt;(R_SN+(R_SN&lt;BQ907)*(BQ907-R_SN)))*((R_EN-(R_EN&gt;BR907)*(R_EN-BR907))-(R_SN+(R_SN&lt;BQ907)*(BQ907-R_SN))))/60),0)</f>
        <v>0</v>
      </c>
      <c r="BT907" s="80">
        <f>IF(AND(BE907=1,D907="proMX"),ROUND(BI907*CFG_RATE+BJ907*CFG_OTRATE,6),0)</f>
        <v>0</v>
      </c>
      <c r="BU907" s="80">
        <f>IF(AND(BD907=1,D907="proMX"),ROUND(AG907/CFG_BLK,6),0)</f>
        <v>0</v>
      </c>
      <c r="BV907" s="80" t="str">
        <f>IF(BF907="Approved",IF(ISNUMBER(T907),INT(T907),INT(B907)),"")</f>
        <v/>
      </c>
      <c r="BW907" s="80">
        <f>IF(ISNUMBER(B907),IF(DB_MON="Todos",1,IF(AND(INT(B907)&gt;=DB_MS,INT(B907)&lt;=DB_ME),1,0)),0)</f>
        <v>0</v>
      </c>
      <c r="BX907" s="80">
        <f>IF(DB_PROJ="Todos",1,IF(E907&amp;""=DB_PROJ&amp;"",1,0))</f>
        <v>1</v>
      </c>
      <c r="BY907" s="80">
        <f>BW907*BX907</f>
        <v>0</v>
      </c>
      <c r="BZ907" s="80" t="str">
        <f>IF(Y907=1,F907&amp;IF(AND(F907&amp;""&lt;&gt;"",E907&amp;""&lt;&gt;"")," · ","")&amp;E907,"")</f>
        <v/>
      </c>
      <c r="CA907" s="80" t="str">
        <f>IF(AND(BD907=1,E907&amp;""&lt;&gt;""),IF(COUNTIFS($E$5:E906,E907,$BD$5:BD906,1)=0,MAX($CA$5:CA906)+1,""),"")</f>
        <v/>
      </c>
      <c r="CB907" s="80" t="str">
        <f>IF(AND(BE907=1,D907="Malcolm",E907&amp;""&lt;&gt;""),IF(COUNTIFS($D$5:D906,"Malcolm",$E$5:E906,E907,$BE$5:BE906,1)=0,MAX($CB$5:CB906)+1,""),"")</f>
        <v/>
      </c>
      <c r="CC907" s="80" t="str">
        <f>IF(AND(BD907=1,D907="proMX",E907&amp;""&lt;&gt;""),IF(COUNTIFS($D$5:D906,"proMX",$E$5:E906,E907,$BD$5:BD906,1)=0,MAX($CC$5:CC906)+1,""),"")</f>
        <v/>
      </c>
      <c r="CD907" s="80" t="str">
        <f>IF(AND(BE907=1,D907="Malcolm",F907&amp;""&lt;&gt;""),IF(COUNTIFS($D$5:D906,"Malcolm",$F$5:F906,F907,$BE$5:BE906,1)=0,MAX($CD$5:CD906)+1,""),"")</f>
        <v/>
      </c>
      <c r="CE907" s="80" t="str">
        <f>IF(AND(BD907=1,D907="proMX",F907&amp;""&lt;&gt;""),IF(COUNTIFS($D$5:D906,"proMX",$F$5:F906,F907,$BD$5:BD906,1)=0,MAX($CE$5:CE906)+1,""),"")</f>
        <v/>
      </c>
      <c r="CF907" s="80" t="str">
        <f>IF(AND(D907="proMX",BD907=1),IF(OR(BF907="Draft",BF907="Submitted",BF907="Returned",BF907="Recall Requested"),MAX($CF$5:CF906)+1,""),"")</f>
        <v/>
      </c>
      <c r="CG907" s="80">
        <f>IF(BD907=0,0,IF(D907="Malcolm",1,MATCH(BF907,{"Draft","Submitted","Approved","Returned","Recall Requested","Cancelled"},0)+1))</f>
        <v>0</v>
      </c>
      <c r="CH907" s="80">
        <f>IF(AND(BF907="Submitted",ISNUMBER(V907)),IF(V907&gt;CFG_MAXD,1,0),0)</f>
        <v>0</v>
      </c>
    </row>
    <row r="908">
      <c r="A908" s="71" t="str">
        <f>IF(Y908=1,ROW()-5,"")</f>
        <v/>
      </c>
      <c r="B908" s="72" t="n"/>
      <c r="C908" s="71" t="str">
        <f>IF(ISNUMBER(B908),CHOOSE(WEEKDAY(B908,2),"Lun","Mar","Mié","Jue","Vie","Sáb","Dom"),"")</f>
        <v/>
      </c>
      <c r="D908" s="73" t="n"/>
      <c r="E908" s="74" t="n"/>
      <c r="F908" s="74" t="n"/>
      <c r="G908" s="74" t="n"/>
      <c r="H908" s="75" t="n"/>
      <c r="I908" s="75" t="n"/>
      <c r="J908" s="76" t="n"/>
      <c r="K908" s="77" t="str">
        <f>IF(AB908=1,ROUND(AG908/60,4),"")</f>
        <v/>
      </c>
      <c r="L908" s="77" t="str">
        <f>IF(BD908=1,ROUND(AP908/60,4),"")</f>
        <v/>
      </c>
      <c r="M908" s="77" t="str">
        <f>IF(BD908=1,ROUND(AQ908/60,4),"")</f>
        <v/>
      </c>
      <c r="N908" s="71" t="str">
        <f>IF(AND(D908="proMX",AB908=1),ROUND(AG908/CFG_BLK,2),"")</f>
        <v/>
      </c>
      <c r="O908" s="77" t="str">
        <f>IF(D908="proMX",IF(BD908=1,ROUND(AG908/60,4),0),"")</f>
        <v/>
      </c>
      <c r="P908" s="78" t="str">
        <f>IF(Y908=0,"",IF(BD908=1,"OK",IF(D908="proMX","Revisar bloques: ","Revisar: ")&amp;BC908))</f>
        <v/>
      </c>
      <c r="Q908" s="78" t="str">
        <f>IF(NOT(ISNUMBER(B908)),"",IF(COUNTIFS(FER_F,INT(B908))&gt;0,"Feriado"&amp;IF(AH908=1," (laborable)"," (no laborable)"),IF(AH908=1,"Laborable",IF(WEEKDAY(B908,2)&gt;5,"Fin de semana","No laborable"))))</f>
        <v/>
      </c>
      <c r="R908" s="73" t="n"/>
      <c r="S908" s="72" t="n"/>
      <c r="T908" s="72" t="n"/>
      <c r="U908" s="74" t="n"/>
      <c r="V908" s="79" t="str">
        <f>IF(AND(D908="proMX",OR(R908="Submitted",R908="Recall Requested"),ISNUMBER(S908)),CFG_TODAY-INT(S908),"")</f>
        <v/>
      </c>
      <c r="W908" s="78" t="str">
        <f>IF(BD908=0,"",IF(BA908&gt;0,"⚠ Se superpone con un registro de la otra empresa",IF(D908="Malcolm",IF(COUNTA(R908,S908,T908)&gt;0,"Estado/fechas proMX se ignoran en Malcolm",""),IF(BF908="Cancelled","Cancelado: excluido de totales",IF(R908="","Sin estado: se trata como Draft",IF(BF908="Submitted",IF(ISNUMBER(V908),IF(V908&gt;CFG_MAXD,"⚠ "&amp;V908&amp;" días en Submitted (máx. "&amp;CFG_MAXD&amp;")",""),"Falta fecha de envío"),IF(BF908="Returned","⚠ Devuelto: corregir y reenviar",IF(BF908="Recall Requested","Retirada solicitada: pendiente",IF(AND(BF908="Approved",NOT(ISNUMBER(T908))),"Falta fecha de aprobación",IF(AND(ISNUMBER(S908),ISNUMBER(T908),T908&lt;S908),"Aprobación anterior al envío","")))))))))</f>
        <v/>
      </c>
      <c r="Y908" s="80">
        <f>IF(COUNTA(B908,D908,E908,F908,G908,H908,I908,J908,R908,S908,T908)&gt;0,1,0)</f>
        <v>0</v>
      </c>
      <c r="Z908" s="80" t="str">
        <f>IF(AND(ISNUMBER(H908),H908&gt;=0,H908&lt;1),ROUND(H908*1440,0),"")</f>
        <v/>
      </c>
      <c r="AA908" s="80" t="str">
        <f>IF(AND(ISNUMBER(I908),I908&gt;=0,I908&lt;1),ROUND(I908*1440,0),"")</f>
        <v/>
      </c>
      <c r="AB908" s="80">
        <f>IF(AND(ISNUMBER(B908),D908&lt;&gt;"",ISNUMBER(Z908),ISNUMBER(AA908)),IF(Z908=AA908,0,1),0)</f>
        <v>0</v>
      </c>
      <c r="AC908" s="80">
        <f>IF(AB908=1,IF(AA908&lt;Z908,1,0),0)</f>
        <v>0</v>
      </c>
      <c r="AD908" s="80">
        <f>IF(AB908=1,IF(AC908=1,1440-Z908+AA908,AA908-Z908),0)</f>
        <v>0</v>
      </c>
      <c r="AE908" s="80">
        <f>IF(J908="",0,IF(ISNUMBER(J908),J908,-1))</f>
        <v>0</v>
      </c>
      <c r="AF908" s="80">
        <f>MIN(MAX(0,AE908),AD908)</f>
        <v>0</v>
      </c>
      <c r="AG908" s="80">
        <f>MAX(0,AD908-MAX(0,AE908))</f>
        <v>0</v>
      </c>
      <c r="AH908" s="80">
        <f>IF(ISNUMBER(B908),IF(AND(INDEX(CFG_WDAYS,WEEKDAY(INT(B908),2))="Sí",IF(D908="proMX",COUNTIFS(FER_F,INT(B908),FER_NLP,"Sí"),COUNTIFS(FER_F,INT(B908),FER_NLM,"Sí"))=0),1,0),0)</f>
        <v>0</v>
      </c>
      <c r="AI908" s="80">
        <f>IF(AC908=1,IF(AND(INDEX(CFG_WDAYS,WEEKDAY(INT(B908)+1,2))="Sí",IF(D908="proMX",COUNTIFS(FER_F,INT(B908)+1,FER_NLP,"Sí"),COUNTIFS(FER_F,INT(B908)+1,FER_NLM,"Sí"))=0),1,0),0)</f>
        <v>0</v>
      </c>
      <c r="AJ908" s="80">
        <f>IF(AC908=1,1440-Z908,AD908)</f>
        <v>0</v>
      </c>
      <c r="AK908" s="80">
        <f>IF(AND(AB908=1,AH908=1),MAX(0,MIN(IF(AC908=1,1440,AA908),CFG_WEM)-MAX(Z908,CFG_WSM)),0)</f>
        <v>0</v>
      </c>
      <c r="AL908" s="80">
        <f>IF(AND(AC908=1,AI908=1),MAX(0,MIN(AA908,CFG_WEM)-CFG_WSM),0)</f>
        <v>0</v>
      </c>
      <c r="AM908" s="80">
        <f>AK908+AL908</f>
        <v>0</v>
      </c>
      <c r="AN908" s="80">
        <f>IF(CFG_BRK="Proporcional",IF(AD908=0,0,AF908*AM908/AD908),IF(CFG_BRK="Extras primero",MIN(AM908,MAX(0,AF908-(AD908-AM908))),MIN(AF908,AM908)))</f>
        <v>0</v>
      </c>
      <c r="AO908" s="80">
        <f>AF908-AN908</f>
        <v>0</v>
      </c>
      <c r="AP908" s="80">
        <f>AM908-AN908</f>
        <v>0</v>
      </c>
      <c r="AQ908" s="80">
        <f>AD908-AM908-AO908</f>
        <v>0</v>
      </c>
      <c r="AR908" s="80">
        <f>IF(AM908=0,0,AK908-AN908*AK908/AM908)</f>
        <v>0</v>
      </c>
      <c r="AS908" s="80">
        <f>IF(AD908-AM908=0,0,(AJ908-AK908)-AO908*(AJ908-AK908)/(AD908-AM908))</f>
        <v>0</v>
      </c>
      <c r="AT908" s="80" t="str">
        <f>IF(AC908=1,INT(B908)+1,"")</f>
        <v/>
      </c>
      <c r="AU908" s="80">
        <f>IF(AND(D908="proMX",R908="Cancelled"),0,1)</f>
        <v>1</v>
      </c>
      <c r="AV908" s="80">
        <f>IF(AND(AB908=1,AU908=1),IF(COUNTIFS($D$5:D907,D908,$B$5:B907,B908,$Z$5:Z907,Z908,$AA$5:AA907,AA908,$F$5:F907,F908&amp;"",$AU$5:AU907,1)&gt;0,1,0),0)</f>
        <v>0</v>
      </c>
      <c r="AW908" s="80" t="str">
        <f>IF(AB908=1,INT(B908)*1440+Z908,"")</f>
        <v/>
      </c>
      <c r="AX908" s="80" t="str">
        <f>IF(AB908=1,AW908+AD908,"")</f>
        <v/>
      </c>
      <c r="AY908" s="80">
        <f>IF(AND(AB908=1,AV908=0,AU908=1),1,0)</f>
        <v>0</v>
      </c>
      <c r="AZ908" s="80">
        <f>IF(AY908=1,COUNTIFS(R_Emp,D908,R_SAbs,"&lt;"&amp;AX908,R_EAbs,"&gt;"&amp;AW908,R_OKey,1)-1,0)</f>
        <v>0</v>
      </c>
      <c r="BA908" s="80">
        <f>IF(AY908=1,COUNTIFS(R_Emp,"&lt;&gt;"&amp;D908,R_SAbs,"&lt;"&amp;AX908,R_EAbs,"&gt;"&amp;AW908,R_OKey,1),0)</f>
        <v>0</v>
      </c>
      <c r="BB908" s="80">
        <f>IF(AND(AB908=1,D908="proMX"),IF(AND(MOD(Z908,CFG_BLK)=0,MOD(AA908,CFG_BLK)=0,MOD(AG908,CFG_BLK)=0,AG908&gt;0),1,0),1)</f>
        <v>1</v>
      </c>
      <c r="BC908" s="80" t="str">
        <f>IF(Y908=0,"",IF(NOT(ISNUMBER(B908)),"Falta fecha o fecha inválida",IF(D908="","Falta empresa",IF(AND(D908&lt;&gt;"Malcolm",D908&lt;&gt;"proMX"),"Empresa inválida",IF(OR(INT(B908)&lt;CFG_PSTART,INT(B908)&gt;CFG_PEND),"Fecha fuera del período",IF(OR(NOT(ISNUMBER(Z908)),NOT(ISNUMBER(AA908))),"Falta hora inicio/fin o formato inválido",IF(AB908=0,"Hora inicio = hora fin",IF(AE908&lt;0,"Descanso inválido",IF(AE908&gt;=AD908,"Descanso ≥ duración",IF(AV908=1,"Registro duplicado",IF(AZ908&gt;0,"Se superpone con otro registro "&amp;D908,IF(BB908=0,"inicio, fin y duración neta deben ser múltiplos de "&amp;CFG_BLK&amp;" min",""))))))))))))</f>
        <v/>
      </c>
      <c r="BD908" s="80">
        <f>IF(AND(Y908=1,BC908=""),1,0)</f>
        <v>0</v>
      </c>
      <c r="BE908" s="80">
        <f>IF(AND(BD908=1,AU908=1),1,0)</f>
        <v>0</v>
      </c>
      <c r="BF908" s="80" t="str">
        <f>IF(AND(D908="proMX",BD908=1),IF(R908="","Draft",R908),"")</f>
        <v/>
      </c>
      <c r="BG908" s="80">
        <f>IF(BD908=1,ROUND(AG908/60,6),0)</f>
        <v>0</v>
      </c>
      <c r="BH908" s="80">
        <f>IF(BE908=1,ROUND(AG908/60,6),0)</f>
        <v>0</v>
      </c>
      <c r="BI908" s="80">
        <f>IF(BE908=1,ROUND(AP908/60,6),0)</f>
        <v>0</v>
      </c>
      <c r="BJ908" s="80">
        <f>IF(BE908=1,ROUND(AQ908/60,6),0)</f>
        <v>0</v>
      </c>
      <c r="BK908" s="80">
        <f>IF(BE908=1,ROUND((AR908+AS908)/60,6),0)</f>
        <v>0</v>
      </c>
      <c r="BL908" s="80">
        <f>ROUND(BH908-BK908,6)</f>
        <v>0</v>
      </c>
      <c r="BM908" s="80">
        <f>IF(BE908=1,ROUND(AR908/60,6),0)</f>
        <v>0</v>
      </c>
      <c r="BN908" s="80">
        <f>ROUND(BI908-BM908,6)</f>
        <v>0</v>
      </c>
      <c r="BO908" s="80">
        <f>IF(BE908=1,ROUND(AS908/60,6),0)</f>
        <v>0</v>
      </c>
      <c r="BP908" s="80">
        <f>ROUND(BJ908-BO908,6)</f>
        <v>0</v>
      </c>
      <c r="BQ908" s="80">
        <f>IF(BE908=1,AW908,0)</f>
        <v>0</v>
      </c>
      <c r="BR908" s="80">
        <f>IF(BE908=1,AX908,0)</f>
        <v>0</v>
      </c>
      <c r="BS908" s="80">
        <f>IF(AND(BE908=1,D908="Malcolm",BA908&gt;0),MIN(BH908,SUMPRODUCT((R_Emp="proMX")*(R_EN&gt;0)*((R_EN-(R_EN&gt;BR908)*(R_EN-BR908))&gt;(R_SN+(R_SN&lt;BQ908)*(BQ908-R_SN)))*((R_EN-(R_EN&gt;BR908)*(R_EN-BR908))-(R_SN+(R_SN&lt;BQ908)*(BQ908-R_SN))))/60),0)</f>
        <v>0</v>
      </c>
      <c r="BT908" s="80">
        <f>IF(AND(BE908=1,D908="proMX"),ROUND(BI908*CFG_RATE+BJ908*CFG_OTRATE,6),0)</f>
        <v>0</v>
      </c>
      <c r="BU908" s="80">
        <f>IF(AND(BD908=1,D908="proMX"),ROUND(AG908/CFG_BLK,6),0)</f>
        <v>0</v>
      </c>
      <c r="BV908" s="80" t="str">
        <f>IF(BF908="Approved",IF(ISNUMBER(T908),INT(T908),INT(B908)),"")</f>
        <v/>
      </c>
      <c r="BW908" s="80">
        <f>IF(ISNUMBER(B908),IF(DB_MON="Todos",1,IF(AND(INT(B908)&gt;=DB_MS,INT(B908)&lt;=DB_ME),1,0)),0)</f>
        <v>0</v>
      </c>
      <c r="BX908" s="80">
        <f>IF(DB_PROJ="Todos",1,IF(E908&amp;""=DB_PROJ&amp;"",1,0))</f>
        <v>1</v>
      </c>
      <c r="BY908" s="80">
        <f>BW908*BX908</f>
        <v>0</v>
      </c>
      <c r="BZ908" s="80" t="str">
        <f>IF(Y908=1,F908&amp;IF(AND(F908&amp;""&lt;&gt;"",E908&amp;""&lt;&gt;"")," · ","")&amp;E908,"")</f>
        <v/>
      </c>
      <c r="CA908" s="80" t="str">
        <f>IF(AND(BD908=1,E908&amp;""&lt;&gt;""),IF(COUNTIFS($E$5:E907,E908,$BD$5:BD907,1)=0,MAX($CA$5:CA907)+1,""),"")</f>
        <v/>
      </c>
      <c r="CB908" s="80" t="str">
        <f>IF(AND(BE908=1,D908="Malcolm",E908&amp;""&lt;&gt;""),IF(COUNTIFS($D$5:D907,"Malcolm",$E$5:E907,E908,$BE$5:BE907,1)=0,MAX($CB$5:CB907)+1,""),"")</f>
        <v/>
      </c>
      <c r="CC908" s="80" t="str">
        <f>IF(AND(BD908=1,D908="proMX",E908&amp;""&lt;&gt;""),IF(COUNTIFS($D$5:D907,"proMX",$E$5:E907,E908,$BD$5:BD907,1)=0,MAX($CC$5:CC907)+1,""),"")</f>
        <v/>
      </c>
      <c r="CD908" s="80" t="str">
        <f>IF(AND(BE908=1,D908="Malcolm",F908&amp;""&lt;&gt;""),IF(COUNTIFS($D$5:D907,"Malcolm",$F$5:F907,F908,$BE$5:BE907,1)=0,MAX($CD$5:CD907)+1,""),"")</f>
        <v/>
      </c>
      <c r="CE908" s="80" t="str">
        <f>IF(AND(BD908=1,D908="proMX",F908&amp;""&lt;&gt;""),IF(COUNTIFS($D$5:D907,"proMX",$F$5:F907,F908,$BD$5:BD907,1)=0,MAX($CE$5:CE907)+1,""),"")</f>
        <v/>
      </c>
      <c r="CF908" s="80" t="str">
        <f>IF(AND(D908="proMX",BD908=1),IF(OR(BF908="Draft",BF908="Submitted",BF908="Returned",BF908="Recall Requested"),MAX($CF$5:CF907)+1,""),"")</f>
        <v/>
      </c>
      <c r="CG908" s="80">
        <f>IF(BD908=0,0,IF(D908="Malcolm",1,MATCH(BF908,{"Draft","Submitted","Approved","Returned","Recall Requested","Cancelled"},0)+1))</f>
        <v>0</v>
      </c>
      <c r="CH908" s="80">
        <f>IF(AND(BF908="Submitted",ISNUMBER(V908)),IF(V908&gt;CFG_MAXD,1,0),0)</f>
        <v>0</v>
      </c>
    </row>
    <row r="909">
      <c r="A909" s="71" t="str">
        <f>IF(Y909=1,ROW()-5,"")</f>
        <v/>
      </c>
      <c r="B909" s="72" t="n"/>
      <c r="C909" s="71" t="str">
        <f>IF(ISNUMBER(B909),CHOOSE(WEEKDAY(B909,2),"Lun","Mar","Mié","Jue","Vie","Sáb","Dom"),"")</f>
        <v/>
      </c>
      <c r="D909" s="73" t="n"/>
      <c r="E909" s="74" t="n"/>
      <c r="F909" s="74" t="n"/>
      <c r="G909" s="74" t="n"/>
      <c r="H909" s="75" t="n"/>
      <c r="I909" s="75" t="n"/>
      <c r="J909" s="76" t="n"/>
      <c r="K909" s="77" t="str">
        <f>IF(AB909=1,ROUND(AG909/60,4),"")</f>
        <v/>
      </c>
      <c r="L909" s="77" t="str">
        <f>IF(BD909=1,ROUND(AP909/60,4),"")</f>
        <v/>
      </c>
      <c r="M909" s="77" t="str">
        <f>IF(BD909=1,ROUND(AQ909/60,4),"")</f>
        <v/>
      </c>
      <c r="N909" s="71" t="str">
        <f>IF(AND(D909="proMX",AB909=1),ROUND(AG909/CFG_BLK,2),"")</f>
        <v/>
      </c>
      <c r="O909" s="77" t="str">
        <f>IF(D909="proMX",IF(BD909=1,ROUND(AG909/60,4),0),"")</f>
        <v/>
      </c>
      <c r="P909" s="78" t="str">
        <f>IF(Y909=0,"",IF(BD909=1,"OK",IF(D909="proMX","Revisar bloques: ","Revisar: ")&amp;BC909))</f>
        <v/>
      </c>
      <c r="Q909" s="78" t="str">
        <f>IF(NOT(ISNUMBER(B909)),"",IF(COUNTIFS(FER_F,INT(B909))&gt;0,"Feriado"&amp;IF(AH909=1," (laborable)"," (no laborable)"),IF(AH909=1,"Laborable",IF(WEEKDAY(B909,2)&gt;5,"Fin de semana","No laborable"))))</f>
        <v/>
      </c>
      <c r="R909" s="73" t="n"/>
      <c r="S909" s="72" t="n"/>
      <c r="T909" s="72" t="n"/>
      <c r="U909" s="74" t="n"/>
      <c r="V909" s="79" t="str">
        <f>IF(AND(D909="proMX",OR(R909="Submitted",R909="Recall Requested"),ISNUMBER(S909)),CFG_TODAY-INT(S909),"")</f>
        <v/>
      </c>
      <c r="W909" s="78" t="str">
        <f>IF(BD909=0,"",IF(BA909&gt;0,"⚠ Se superpone con un registro de la otra empresa",IF(D909="Malcolm",IF(COUNTA(R909,S909,T909)&gt;0,"Estado/fechas proMX se ignoran en Malcolm",""),IF(BF909="Cancelled","Cancelado: excluido de totales",IF(R909="","Sin estado: se trata como Draft",IF(BF909="Submitted",IF(ISNUMBER(V909),IF(V909&gt;CFG_MAXD,"⚠ "&amp;V909&amp;" días en Submitted (máx. "&amp;CFG_MAXD&amp;")",""),"Falta fecha de envío"),IF(BF909="Returned","⚠ Devuelto: corregir y reenviar",IF(BF909="Recall Requested","Retirada solicitada: pendiente",IF(AND(BF909="Approved",NOT(ISNUMBER(T909))),"Falta fecha de aprobación",IF(AND(ISNUMBER(S909),ISNUMBER(T909),T909&lt;S909),"Aprobación anterior al envío","")))))))))</f>
        <v/>
      </c>
      <c r="Y909" s="80">
        <f>IF(COUNTA(B909,D909,E909,F909,G909,H909,I909,J909,R909,S909,T909)&gt;0,1,0)</f>
        <v>0</v>
      </c>
      <c r="Z909" s="80" t="str">
        <f>IF(AND(ISNUMBER(H909),H909&gt;=0,H909&lt;1),ROUND(H909*1440,0),"")</f>
        <v/>
      </c>
      <c r="AA909" s="80" t="str">
        <f>IF(AND(ISNUMBER(I909),I909&gt;=0,I909&lt;1),ROUND(I909*1440,0),"")</f>
        <v/>
      </c>
      <c r="AB909" s="80">
        <f>IF(AND(ISNUMBER(B909),D909&lt;&gt;"",ISNUMBER(Z909),ISNUMBER(AA909)),IF(Z909=AA909,0,1),0)</f>
        <v>0</v>
      </c>
      <c r="AC909" s="80">
        <f>IF(AB909=1,IF(AA909&lt;Z909,1,0),0)</f>
        <v>0</v>
      </c>
      <c r="AD909" s="80">
        <f>IF(AB909=1,IF(AC909=1,1440-Z909+AA909,AA909-Z909),0)</f>
        <v>0</v>
      </c>
      <c r="AE909" s="80">
        <f>IF(J909="",0,IF(ISNUMBER(J909),J909,-1))</f>
        <v>0</v>
      </c>
      <c r="AF909" s="80">
        <f>MIN(MAX(0,AE909),AD909)</f>
        <v>0</v>
      </c>
      <c r="AG909" s="80">
        <f>MAX(0,AD909-MAX(0,AE909))</f>
        <v>0</v>
      </c>
      <c r="AH909" s="80">
        <f>IF(ISNUMBER(B909),IF(AND(INDEX(CFG_WDAYS,WEEKDAY(INT(B909),2))="Sí",IF(D909="proMX",COUNTIFS(FER_F,INT(B909),FER_NLP,"Sí"),COUNTIFS(FER_F,INT(B909),FER_NLM,"Sí"))=0),1,0),0)</f>
        <v>0</v>
      </c>
      <c r="AI909" s="80">
        <f>IF(AC909=1,IF(AND(INDEX(CFG_WDAYS,WEEKDAY(INT(B909)+1,2))="Sí",IF(D909="proMX",COUNTIFS(FER_F,INT(B909)+1,FER_NLP,"Sí"),COUNTIFS(FER_F,INT(B909)+1,FER_NLM,"Sí"))=0),1,0),0)</f>
        <v>0</v>
      </c>
      <c r="AJ909" s="80">
        <f>IF(AC909=1,1440-Z909,AD909)</f>
        <v>0</v>
      </c>
      <c r="AK909" s="80">
        <f>IF(AND(AB909=1,AH909=1),MAX(0,MIN(IF(AC909=1,1440,AA909),CFG_WEM)-MAX(Z909,CFG_WSM)),0)</f>
        <v>0</v>
      </c>
      <c r="AL909" s="80">
        <f>IF(AND(AC909=1,AI909=1),MAX(0,MIN(AA909,CFG_WEM)-CFG_WSM),0)</f>
        <v>0</v>
      </c>
      <c r="AM909" s="80">
        <f>AK909+AL909</f>
        <v>0</v>
      </c>
      <c r="AN909" s="80">
        <f>IF(CFG_BRK="Proporcional",IF(AD909=0,0,AF909*AM909/AD909),IF(CFG_BRK="Extras primero",MIN(AM909,MAX(0,AF909-(AD909-AM909))),MIN(AF909,AM909)))</f>
        <v>0</v>
      </c>
      <c r="AO909" s="80">
        <f>AF909-AN909</f>
        <v>0</v>
      </c>
      <c r="AP909" s="80">
        <f>AM909-AN909</f>
        <v>0</v>
      </c>
      <c r="AQ909" s="80">
        <f>AD909-AM909-AO909</f>
        <v>0</v>
      </c>
      <c r="AR909" s="80">
        <f>IF(AM909=0,0,AK909-AN909*AK909/AM909)</f>
        <v>0</v>
      </c>
      <c r="AS909" s="80">
        <f>IF(AD909-AM909=0,0,(AJ909-AK909)-AO909*(AJ909-AK909)/(AD909-AM909))</f>
        <v>0</v>
      </c>
      <c r="AT909" s="80" t="str">
        <f>IF(AC909=1,INT(B909)+1,"")</f>
        <v/>
      </c>
      <c r="AU909" s="80">
        <f>IF(AND(D909="proMX",R909="Cancelled"),0,1)</f>
        <v>1</v>
      </c>
      <c r="AV909" s="80">
        <f>IF(AND(AB909=1,AU909=1),IF(COUNTIFS($D$5:D908,D909,$B$5:B908,B909,$Z$5:Z908,Z909,$AA$5:AA908,AA909,$F$5:F908,F909&amp;"",$AU$5:AU908,1)&gt;0,1,0),0)</f>
        <v>0</v>
      </c>
      <c r="AW909" s="80" t="str">
        <f>IF(AB909=1,INT(B909)*1440+Z909,"")</f>
        <v/>
      </c>
      <c r="AX909" s="80" t="str">
        <f>IF(AB909=1,AW909+AD909,"")</f>
        <v/>
      </c>
      <c r="AY909" s="80">
        <f>IF(AND(AB909=1,AV909=0,AU909=1),1,0)</f>
        <v>0</v>
      </c>
      <c r="AZ909" s="80">
        <f>IF(AY909=1,COUNTIFS(R_Emp,D909,R_SAbs,"&lt;"&amp;AX909,R_EAbs,"&gt;"&amp;AW909,R_OKey,1)-1,0)</f>
        <v>0</v>
      </c>
      <c r="BA909" s="80">
        <f>IF(AY909=1,COUNTIFS(R_Emp,"&lt;&gt;"&amp;D909,R_SAbs,"&lt;"&amp;AX909,R_EAbs,"&gt;"&amp;AW909,R_OKey,1),0)</f>
        <v>0</v>
      </c>
      <c r="BB909" s="80">
        <f>IF(AND(AB909=1,D909="proMX"),IF(AND(MOD(Z909,CFG_BLK)=0,MOD(AA909,CFG_BLK)=0,MOD(AG909,CFG_BLK)=0,AG909&gt;0),1,0),1)</f>
        <v>1</v>
      </c>
      <c r="BC909" s="80" t="str">
        <f>IF(Y909=0,"",IF(NOT(ISNUMBER(B909)),"Falta fecha o fecha inválida",IF(D909="","Falta empresa",IF(AND(D909&lt;&gt;"Malcolm",D909&lt;&gt;"proMX"),"Empresa inválida",IF(OR(INT(B909)&lt;CFG_PSTART,INT(B909)&gt;CFG_PEND),"Fecha fuera del período",IF(OR(NOT(ISNUMBER(Z909)),NOT(ISNUMBER(AA909))),"Falta hora inicio/fin o formato inválido",IF(AB909=0,"Hora inicio = hora fin",IF(AE909&lt;0,"Descanso inválido",IF(AE909&gt;=AD909,"Descanso ≥ duración",IF(AV909=1,"Registro duplicado",IF(AZ909&gt;0,"Se superpone con otro registro "&amp;D909,IF(BB909=0,"inicio, fin y duración neta deben ser múltiplos de "&amp;CFG_BLK&amp;" min",""))))))))))))</f>
        <v/>
      </c>
      <c r="BD909" s="80">
        <f>IF(AND(Y909=1,BC909=""),1,0)</f>
        <v>0</v>
      </c>
      <c r="BE909" s="80">
        <f>IF(AND(BD909=1,AU909=1),1,0)</f>
        <v>0</v>
      </c>
      <c r="BF909" s="80" t="str">
        <f>IF(AND(D909="proMX",BD909=1),IF(R909="","Draft",R909),"")</f>
        <v/>
      </c>
      <c r="BG909" s="80">
        <f>IF(BD909=1,ROUND(AG909/60,6),0)</f>
        <v>0</v>
      </c>
      <c r="BH909" s="80">
        <f>IF(BE909=1,ROUND(AG909/60,6),0)</f>
        <v>0</v>
      </c>
      <c r="BI909" s="80">
        <f>IF(BE909=1,ROUND(AP909/60,6),0)</f>
        <v>0</v>
      </c>
      <c r="BJ909" s="80">
        <f>IF(BE909=1,ROUND(AQ909/60,6),0)</f>
        <v>0</v>
      </c>
      <c r="BK909" s="80">
        <f>IF(BE909=1,ROUND((AR909+AS909)/60,6),0)</f>
        <v>0</v>
      </c>
      <c r="BL909" s="80">
        <f>ROUND(BH909-BK909,6)</f>
        <v>0</v>
      </c>
      <c r="BM909" s="80">
        <f>IF(BE909=1,ROUND(AR909/60,6),0)</f>
        <v>0</v>
      </c>
      <c r="BN909" s="80">
        <f>ROUND(BI909-BM909,6)</f>
        <v>0</v>
      </c>
      <c r="BO909" s="80">
        <f>IF(BE909=1,ROUND(AS909/60,6),0)</f>
        <v>0</v>
      </c>
      <c r="BP909" s="80">
        <f>ROUND(BJ909-BO909,6)</f>
        <v>0</v>
      </c>
      <c r="BQ909" s="80">
        <f>IF(BE909=1,AW909,0)</f>
        <v>0</v>
      </c>
      <c r="BR909" s="80">
        <f>IF(BE909=1,AX909,0)</f>
        <v>0</v>
      </c>
      <c r="BS909" s="80">
        <f>IF(AND(BE909=1,D909="Malcolm",BA909&gt;0),MIN(BH909,SUMPRODUCT((R_Emp="proMX")*(R_EN&gt;0)*((R_EN-(R_EN&gt;BR909)*(R_EN-BR909))&gt;(R_SN+(R_SN&lt;BQ909)*(BQ909-R_SN)))*((R_EN-(R_EN&gt;BR909)*(R_EN-BR909))-(R_SN+(R_SN&lt;BQ909)*(BQ909-R_SN))))/60),0)</f>
        <v>0</v>
      </c>
      <c r="BT909" s="80">
        <f>IF(AND(BE909=1,D909="proMX"),ROUND(BI909*CFG_RATE+BJ909*CFG_OTRATE,6),0)</f>
        <v>0</v>
      </c>
      <c r="BU909" s="80">
        <f>IF(AND(BD909=1,D909="proMX"),ROUND(AG909/CFG_BLK,6),0)</f>
        <v>0</v>
      </c>
      <c r="BV909" s="80" t="str">
        <f>IF(BF909="Approved",IF(ISNUMBER(T909),INT(T909),INT(B909)),"")</f>
        <v/>
      </c>
      <c r="BW909" s="80">
        <f>IF(ISNUMBER(B909),IF(DB_MON="Todos",1,IF(AND(INT(B909)&gt;=DB_MS,INT(B909)&lt;=DB_ME),1,0)),0)</f>
        <v>0</v>
      </c>
      <c r="BX909" s="80">
        <f>IF(DB_PROJ="Todos",1,IF(E909&amp;""=DB_PROJ&amp;"",1,0))</f>
        <v>1</v>
      </c>
      <c r="BY909" s="80">
        <f>BW909*BX909</f>
        <v>0</v>
      </c>
      <c r="BZ909" s="80" t="str">
        <f>IF(Y909=1,F909&amp;IF(AND(F909&amp;""&lt;&gt;"",E909&amp;""&lt;&gt;"")," · ","")&amp;E909,"")</f>
        <v/>
      </c>
      <c r="CA909" s="80" t="str">
        <f>IF(AND(BD909=1,E909&amp;""&lt;&gt;""),IF(COUNTIFS($E$5:E908,E909,$BD$5:BD908,1)=0,MAX($CA$5:CA908)+1,""),"")</f>
        <v/>
      </c>
      <c r="CB909" s="80" t="str">
        <f>IF(AND(BE909=1,D909="Malcolm",E909&amp;""&lt;&gt;""),IF(COUNTIFS($D$5:D908,"Malcolm",$E$5:E908,E909,$BE$5:BE908,1)=0,MAX($CB$5:CB908)+1,""),"")</f>
        <v/>
      </c>
      <c r="CC909" s="80" t="str">
        <f>IF(AND(BD909=1,D909="proMX",E909&amp;""&lt;&gt;""),IF(COUNTIFS($D$5:D908,"proMX",$E$5:E908,E909,$BD$5:BD908,1)=0,MAX($CC$5:CC908)+1,""),"")</f>
        <v/>
      </c>
      <c r="CD909" s="80" t="str">
        <f>IF(AND(BE909=1,D909="Malcolm",F909&amp;""&lt;&gt;""),IF(COUNTIFS($D$5:D908,"Malcolm",$F$5:F908,F909,$BE$5:BE908,1)=0,MAX($CD$5:CD908)+1,""),"")</f>
        <v/>
      </c>
      <c r="CE909" s="80" t="str">
        <f>IF(AND(BD909=1,D909="proMX",F909&amp;""&lt;&gt;""),IF(COUNTIFS($D$5:D908,"proMX",$F$5:F908,F909,$BD$5:BD908,1)=0,MAX($CE$5:CE908)+1,""),"")</f>
        <v/>
      </c>
      <c r="CF909" s="80" t="str">
        <f>IF(AND(D909="proMX",BD909=1),IF(OR(BF909="Draft",BF909="Submitted",BF909="Returned",BF909="Recall Requested"),MAX($CF$5:CF908)+1,""),"")</f>
        <v/>
      </c>
      <c r="CG909" s="80">
        <f>IF(BD909=0,0,IF(D909="Malcolm",1,MATCH(BF909,{"Draft","Submitted","Approved","Returned","Recall Requested","Cancelled"},0)+1))</f>
        <v>0</v>
      </c>
      <c r="CH909" s="80">
        <f>IF(AND(BF909="Submitted",ISNUMBER(V909)),IF(V909&gt;CFG_MAXD,1,0),0)</f>
        <v>0</v>
      </c>
    </row>
    <row r="910">
      <c r="A910" s="71" t="str">
        <f>IF(Y910=1,ROW()-5,"")</f>
        <v/>
      </c>
      <c r="B910" s="72" t="n"/>
      <c r="C910" s="71" t="str">
        <f>IF(ISNUMBER(B910),CHOOSE(WEEKDAY(B910,2),"Lun","Mar","Mié","Jue","Vie","Sáb","Dom"),"")</f>
        <v/>
      </c>
      <c r="D910" s="73" t="n"/>
      <c r="E910" s="74" t="n"/>
      <c r="F910" s="74" t="n"/>
      <c r="G910" s="74" t="n"/>
      <c r="H910" s="75" t="n"/>
      <c r="I910" s="75" t="n"/>
      <c r="J910" s="76" t="n"/>
      <c r="K910" s="77" t="str">
        <f>IF(AB910=1,ROUND(AG910/60,4),"")</f>
        <v/>
      </c>
      <c r="L910" s="77" t="str">
        <f>IF(BD910=1,ROUND(AP910/60,4),"")</f>
        <v/>
      </c>
      <c r="M910" s="77" t="str">
        <f>IF(BD910=1,ROUND(AQ910/60,4),"")</f>
        <v/>
      </c>
      <c r="N910" s="71" t="str">
        <f>IF(AND(D910="proMX",AB910=1),ROUND(AG910/CFG_BLK,2),"")</f>
        <v/>
      </c>
      <c r="O910" s="77" t="str">
        <f>IF(D910="proMX",IF(BD910=1,ROUND(AG910/60,4),0),"")</f>
        <v/>
      </c>
      <c r="P910" s="78" t="str">
        <f>IF(Y910=0,"",IF(BD910=1,"OK",IF(D910="proMX","Revisar bloques: ","Revisar: ")&amp;BC910))</f>
        <v/>
      </c>
      <c r="Q910" s="78" t="str">
        <f>IF(NOT(ISNUMBER(B910)),"",IF(COUNTIFS(FER_F,INT(B910))&gt;0,"Feriado"&amp;IF(AH910=1," (laborable)"," (no laborable)"),IF(AH910=1,"Laborable",IF(WEEKDAY(B910,2)&gt;5,"Fin de semana","No laborable"))))</f>
        <v/>
      </c>
      <c r="R910" s="73" t="n"/>
      <c r="S910" s="72" t="n"/>
      <c r="T910" s="72" t="n"/>
      <c r="U910" s="74" t="n"/>
      <c r="V910" s="79" t="str">
        <f>IF(AND(D910="proMX",OR(R910="Submitted",R910="Recall Requested"),ISNUMBER(S910)),CFG_TODAY-INT(S910),"")</f>
        <v/>
      </c>
      <c r="W910" s="78" t="str">
        <f>IF(BD910=0,"",IF(BA910&gt;0,"⚠ Se superpone con un registro de la otra empresa",IF(D910="Malcolm",IF(COUNTA(R910,S910,T910)&gt;0,"Estado/fechas proMX se ignoran en Malcolm",""),IF(BF910="Cancelled","Cancelado: excluido de totales",IF(R910="","Sin estado: se trata como Draft",IF(BF910="Submitted",IF(ISNUMBER(V910),IF(V910&gt;CFG_MAXD,"⚠ "&amp;V910&amp;" días en Submitted (máx. "&amp;CFG_MAXD&amp;")",""),"Falta fecha de envío"),IF(BF910="Returned","⚠ Devuelto: corregir y reenviar",IF(BF910="Recall Requested","Retirada solicitada: pendiente",IF(AND(BF910="Approved",NOT(ISNUMBER(T910))),"Falta fecha de aprobación",IF(AND(ISNUMBER(S910),ISNUMBER(T910),T910&lt;S910),"Aprobación anterior al envío","")))))))))</f>
        <v/>
      </c>
      <c r="Y910" s="80">
        <f>IF(COUNTA(B910,D910,E910,F910,G910,H910,I910,J910,R910,S910,T910)&gt;0,1,0)</f>
        <v>0</v>
      </c>
      <c r="Z910" s="80" t="str">
        <f>IF(AND(ISNUMBER(H910),H910&gt;=0,H910&lt;1),ROUND(H910*1440,0),"")</f>
        <v/>
      </c>
      <c r="AA910" s="80" t="str">
        <f>IF(AND(ISNUMBER(I910),I910&gt;=0,I910&lt;1),ROUND(I910*1440,0),"")</f>
        <v/>
      </c>
      <c r="AB910" s="80">
        <f>IF(AND(ISNUMBER(B910),D910&lt;&gt;"",ISNUMBER(Z910),ISNUMBER(AA910)),IF(Z910=AA910,0,1),0)</f>
        <v>0</v>
      </c>
      <c r="AC910" s="80">
        <f>IF(AB910=1,IF(AA910&lt;Z910,1,0),0)</f>
        <v>0</v>
      </c>
      <c r="AD910" s="80">
        <f>IF(AB910=1,IF(AC910=1,1440-Z910+AA910,AA910-Z910),0)</f>
        <v>0</v>
      </c>
      <c r="AE910" s="80">
        <f>IF(J910="",0,IF(ISNUMBER(J910),J910,-1))</f>
        <v>0</v>
      </c>
      <c r="AF910" s="80">
        <f>MIN(MAX(0,AE910),AD910)</f>
        <v>0</v>
      </c>
      <c r="AG910" s="80">
        <f>MAX(0,AD910-MAX(0,AE910))</f>
        <v>0</v>
      </c>
      <c r="AH910" s="80">
        <f>IF(ISNUMBER(B910),IF(AND(INDEX(CFG_WDAYS,WEEKDAY(INT(B910),2))="Sí",IF(D910="proMX",COUNTIFS(FER_F,INT(B910),FER_NLP,"Sí"),COUNTIFS(FER_F,INT(B910),FER_NLM,"Sí"))=0),1,0),0)</f>
        <v>0</v>
      </c>
      <c r="AI910" s="80">
        <f>IF(AC910=1,IF(AND(INDEX(CFG_WDAYS,WEEKDAY(INT(B910)+1,2))="Sí",IF(D910="proMX",COUNTIFS(FER_F,INT(B910)+1,FER_NLP,"Sí"),COUNTIFS(FER_F,INT(B910)+1,FER_NLM,"Sí"))=0),1,0),0)</f>
        <v>0</v>
      </c>
      <c r="AJ910" s="80">
        <f>IF(AC910=1,1440-Z910,AD910)</f>
        <v>0</v>
      </c>
      <c r="AK910" s="80">
        <f>IF(AND(AB910=1,AH910=1),MAX(0,MIN(IF(AC910=1,1440,AA910),CFG_WEM)-MAX(Z910,CFG_WSM)),0)</f>
        <v>0</v>
      </c>
      <c r="AL910" s="80">
        <f>IF(AND(AC910=1,AI910=1),MAX(0,MIN(AA910,CFG_WEM)-CFG_WSM),0)</f>
        <v>0</v>
      </c>
      <c r="AM910" s="80">
        <f>AK910+AL910</f>
        <v>0</v>
      </c>
      <c r="AN910" s="80">
        <f>IF(CFG_BRK="Proporcional",IF(AD910=0,0,AF910*AM910/AD910),IF(CFG_BRK="Extras primero",MIN(AM910,MAX(0,AF910-(AD910-AM910))),MIN(AF910,AM910)))</f>
        <v>0</v>
      </c>
      <c r="AO910" s="80">
        <f>AF910-AN910</f>
        <v>0</v>
      </c>
      <c r="AP910" s="80">
        <f>AM910-AN910</f>
        <v>0</v>
      </c>
      <c r="AQ910" s="80">
        <f>AD910-AM910-AO910</f>
        <v>0</v>
      </c>
      <c r="AR910" s="80">
        <f>IF(AM910=0,0,AK910-AN910*AK910/AM910)</f>
        <v>0</v>
      </c>
      <c r="AS910" s="80">
        <f>IF(AD910-AM910=0,0,(AJ910-AK910)-AO910*(AJ910-AK910)/(AD910-AM910))</f>
        <v>0</v>
      </c>
      <c r="AT910" s="80" t="str">
        <f>IF(AC910=1,INT(B910)+1,"")</f>
        <v/>
      </c>
      <c r="AU910" s="80">
        <f>IF(AND(D910="proMX",R910="Cancelled"),0,1)</f>
        <v>1</v>
      </c>
      <c r="AV910" s="80">
        <f>IF(AND(AB910=1,AU910=1),IF(COUNTIFS($D$5:D909,D910,$B$5:B909,B910,$Z$5:Z909,Z910,$AA$5:AA909,AA910,$F$5:F909,F910&amp;"",$AU$5:AU909,1)&gt;0,1,0),0)</f>
        <v>0</v>
      </c>
      <c r="AW910" s="80" t="str">
        <f>IF(AB910=1,INT(B910)*1440+Z910,"")</f>
        <v/>
      </c>
      <c r="AX910" s="80" t="str">
        <f>IF(AB910=1,AW910+AD910,"")</f>
        <v/>
      </c>
      <c r="AY910" s="80">
        <f>IF(AND(AB910=1,AV910=0,AU910=1),1,0)</f>
        <v>0</v>
      </c>
      <c r="AZ910" s="80">
        <f>IF(AY910=1,COUNTIFS(R_Emp,D910,R_SAbs,"&lt;"&amp;AX910,R_EAbs,"&gt;"&amp;AW910,R_OKey,1)-1,0)</f>
        <v>0</v>
      </c>
      <c r="BA910" s="80">
        <f>IF(AY910=1,COUNTIFS(R_Emp,"&lt;&gt;"&amp;D910,R_SAbs,"&lt;"&amp;AX910,R_EAbs,"&gt;"&amp;AW910,R_OKey,1),0)</f>
        <v>0</v>
      </c>
      <c r="BB910" s="80">
        <f>IF(AND(AB910=1,D910="proMX"),IF(AND(MOD(Z910,CFG_BLK)=0,MOD(AA910,CFG_BLK)=0,MOD(AG910,CFG_BLK)=0,AG910&gt;0),1,0),1)</f>
        <v>1</v>
      </c>
      <c r="BC910" s="80" t="str">
        <f>IF(Y910=0,"",IF(NOT(ISNUMBER(B910)),"Falta fecha o fecha inválida",IF(D910="","Falta empresa",IF(AND(D910&lt;&gt;"Malcolm",D910&lt;&gt;"proMX"),"Empresa inválida",IF(OR(INT(B910)&lt;CFG_PSTART,INT(B910)&gt;CFG_PEND),"Fecha fuera del período",IF(OR(NOT(ISNUMBER(Z910)),NOT(ISNUMBER(AA910))),"Falta hora inicio/fin o formato inválido",IF(AB910=0,"Hora inicio = hora fin",IF(AE910&lt;0,"Descanso inválido",IF(AE910&gt;=AD910,"Descanso ≥ duración",IF(AV910=1,"Registro duplicado",IF(AZ910&gt;0,"Se superpone con otro registro "&amp;D910,IF(BB910=0,"inicio, fin y duración neta deben ser múltiplos de "&amp;CFG_BLK&amp;" min",""))))))))))))</f>
        <v/>
      </c>
      <c r="BD910" s="80">
        <f>IF(AND(Y910=1,BC910=""),1,0)</f>
        <v>0</v>
      </c>
      <c r="BE910" s="80">
        <f>IF(AND(BD910=1,AU910=1),1,0)</f>
        <v>0</v>
      </c>
      <c r="BF910" s="80" t="str">
        <f>IF(AND(D910="proMX",BD910=1),IF(R910="","Draft",R910),"")</f>
        <v/>
      </c>
      <c r="BG910" s="80">
        <f>IF(BD910=1,ROUND(AG910/60,6),0)</f>
        <v>0</v>
      </c>
      <c r="BH910" s="80">
        <f>IF(BE910=1,ROUND(AG910/60,6),0)</f>
        <v>0</v>
      </c>
      <c r="BI910" s="80">
        <f>IF(BE910=1,ROUND(AP910/60,6),0)</f>
        <v>0</v>
      </c>
      <c r="BJ910" s="80">
        <f>IF(BE910=1,ROUND(AQ910/60,6),0)</f>
        <v>0</v>
      </c>
      <c r="BK910" s="80">
        <f>IF(BE910=1,ROUND((AR910+AS910)/60,6),0)</f>
        <v>0</v>
      </c>
      <c r="BL910" s="80">
        <f>ROUND(BH910-BK910,6)</f>
        <v>0</v>
      </c>
      <c r="BM910" s="80">
        <f>IF(BE910=1,ROUND(AR910/60,6),0)</f>
        <v>0</v>
      </c>
      <c r="BN910" s="80">
        <f>ROUND(BI910-BM910,6)</f>
        <v>0</v>
      </c>
      <c r="BO910" s="80">
        <f>IF(BE910=1,ROUND(AS910/60,6),0)</f>
        <v>0</v>
      </c>
      <c r="BP910" s="80">
        <f>ROUND(BJ910-BO910,6)</f>
        <v>0</v>
      </c>
      <c r="BQ910" s="80">
        <f>IF(BE910=1,AW910,0)</f>
        <v>0</v>
      </c>
      <c r="BR910" s="80">
        <f>IF(BE910=1,AX910,0)</f>
        <v>0</v>
      </c>
      <c r="BS910" s="80">
        <f>IF(AND(BE910=1,D910="Malcolm",BA910&gt;0),MIN(BH910,SUMPRODUCT((R_Emp="proMX")*(R_EN&gt;0)*((R_EN-(R_EN&gt;BR910)*(R_EN-BR910))&gt;(R_SN+(R_SN&lt;BQ910)*(BQ910-R_SN)))*((R_EN-(R_EN&gt;BR910)*(R_EN-BR910))-(R_SN+(R_SN&lt;BQ910)*(BQ910-R_SN))))/60),0)</f>
        <v>0</v>
      </c>
      <c r="BT910" s="80">
        <f>IF(AND(BE910=1,D910="proMX"),ROUND(BI910*CFG_RATE+BJ910*CFG_OTRATE,6),0)</f>
        <v>0</v>
      </c>
      <c r="BU910" s="80">
        <f>IF(AND(BD910=1,D910="proMX"),ROUND(AG910/CFG_BLK,6),0)</f>
        <v>0</v>
      </c>
      <c r="BV910" s="80" t="str">
        <f>IF(BF910="Approved",IF(ISNUMBER(T910),INT(T910),INT(B910)),"")</f>
        <v/>
      </c>
      <c r="BW910" s="80">
        <f>IF(ISNUMBER(B910),IF(DB_MON="Todos",1,IF(AND(INT(B910)&gt;=DB_MS,INT(B910)&lt;=DB_ME),1,0)),0)</f>
        <v>0</v>
      </c>
      <c r="BX910" s="80">
        <f>IF(DB_PROJ="Todos",1,IF(E910&amp;""=DB_PROJ&amp;"",1,0))</f>
        <v>1</v>
      </c>
      <c r="BY910" s="80">
        <f>BW910*BX910</f>
        <v>0</v>
      </c>
      <c r="BZ910" s="80" t="str">
        <f>IF(Y910=1,F910&amp;IF(AND(F910&amp;""&lt;&gt;"",E910&amp;""&lt;&gt;"")," · ","")&amp;E910,"")</f>
        <v/>
      </c>
      <c r="CA910" s="80" t="str">
        <f>IF(AND(BD910=1,E910&amp;""&lt;&gt;""),IF(COUNTIFS($E$5:E909,E910,$BD$5:BD909,1)=0,MAX($CA$5:CA909)+1,""),"")</f>
        <v/>
      </c>
      <c r="CB910" s="80" t="str">
        <f>IF(AND(BE910=1,D910="Malcolm",E910&amp;""&lt;&gt;""),IF(COUNTIFS($D$5:D909,"Malcolm",$E$5:E909,E910,$BE$5:BE909,1)=0,MAX($CB$5:CB909)+1,""),"")</f>
        <v/>
      </c>
      <c r="CC910" s="80" t="str">
        <f>IF(AND(BD910=1,D910="proMX",E910&amp;""&lt;&gt;""),IF(COUNTIFS($D$5:D909,"proMX",$E$5:E909,E910,$BD$5:BD909,1)=0,MAX($CC$5:CC909)+1,""),"")</f>
        <v/>
      </c>
      <c r="CD910" s="80" t="str">
        <f>IF(AND(BE910=1,D910="Malcolm",F910&amp;""&lt;&gt;""),IF(COUNTIFS($D$5:D909,"Malcolm",$F$5:F909,F910,$BE$5:BE909,1)=0,MAX($CD$5:CD909)+1,""),"")</f>
        <v/>
      </c>
      <c r="CE910" s="80" t="str">
        <f>IF(AND(BD910=1,D910="proMX",F910&amp;""&lt;&gt;""),IF(COUNTIFS($D$5:D909,"proMX",$F$5:F909,F910,$BD$5:BD909,1)=0,MAX($CE$5:CE909)+1,""),"")</f>
        <v/>
      </c>
      <c r="CF910" s="80" t="str">
        <f>IF(AND(D910="proMX",BD910=1),IF(OR(BF910="Draft",BF910="Submitted",BF910="Returned",BF910="Recall Requested"),MAX($CF$5:CF909)+1,""),"")</f>
        <v/>
      </c>
      <c r="CG910" s="80">
        <f>IF(BD910=0,0,IF(D910="Malcolm",1,MATCH(BF910,{"Draft","Submitted","Approved","Returned","Recall Requested","Cancelled"},0)+1))</f>
        <v>0</v>
      </c>
      <c r="CH910" s="80">
        <f>IF(AND(BF910="Submitted",ISNUMBER(V910)),IF(V910&gt;CFG_MAXD,1,0),0)</f>
        <v>0</v>
      </c>
    </row>
    <row r="911">
      <c r="A911" s="71" t="str">
        <f>IF(Y911=1,ROW()-5,"")</f>
        <v/>
      </c>
      <c r="B911" s="72" t="n"/>
      <c r="C911" s="71" t="str">
        <f>IF(ISNUMBER(B911),CHOOSE(WEEKDAY(B911,2),"Lun","Mar","Mié","Jue","Vie","Sáb","Dom"),"")</f>
        <v/>
      </c>
      <c r="D911" s="73" t="n"/>
      <c r="E911" s="74" t="n"/>
      <c r="F911" s="74" t="n"/>
      <c r="G911" s="74" t="n"/>
      <c r="H911" s="75" t="n"/>
      <c r="I911" s="75" t="n"/>
      <c r="J911" s="76" t="n"/>
      <c r="K911" s="77" t="str">
        <f>IF(AB911=1,ROUND(AG911/60,4),"")</f>
        <v/>
      </c>
      <c r="L911" s="77" t="str">
        <f>IF(BD911=1,ROUND(AP911/60,4),"")</f>
        <v/>
      </c>
      <c r="M911" s="77" t="str">
        <f>IF(BD911=1,ROUND(AQ911/60,4),"")</f>
        <v/>
      </c>
      <c r="N911" s="71" t="str">
        <f>IF(AND(D911="proMX",AB911=1),ROUND(AG911/CFG_BLK,2),"")</f>
        <v/>
      </c>
      <c r="O911" s="77" t="str">
        <f>IF(D911="proMX",IF(BD911=1,ROUND(AG911/60,4),0),"")</f>
        <v/>
      </c>
      <c r="P911" s="78" t="str">
        <f>IF(Y911=0,"",IF(BD911=1,"OK",IF(D911="proMX","Revisar bloques: ","Revisar: ")&amp;BC911))</f>
        <v/>
      </c>
      <c r="Q911" s="78" t="str">
        <f>IF(NOT(ISNUMBER(B911)),"",IF(COUNTIFS(FER_F,INT(B911))&gt;0,"Feriado"&amp;IF(AH911=1," (laborable)"," (no laborable)"),IF(AH911=1,"Laborable",IF(WEEKDAY(B911,2)&gt;5,"Fin de semana","No laborable"))))</f>
        <v/>
      </c>
      <c r="R911" s="73" t="n"/>
      <c r="S911" s="72" t="n"/>
      <c r="T911" s="72" t="n"/>
      <c r="U911" s="74" t="n"/>
      <c r="V911" s="79" t="str">
        <f>IF(AND(D911="proMX",OR(R911="Submitted",R911="Recall Requested"),ISNUMBER(S911)),CFG_TODAY-INT(S911),"")</f>
        <v/>
      </c>
      <c r="W911" s="78" t="str">
        <f>IF(BD911=0,"",IF(BA911&gt;0,"⚠ Se superpone con un registro de la otra empresa",IF(D911="Malcolm",IF(COUNTA(R911,S911,T911)&gt;0,"Estado/fechas proMX se ignoran en Malcolm",""),IF(BF911="Cancelled","Cancelado: excluido de totales",IF(R911="","Sin estado: se trata como Draft",IF(BF911="Submitted",IF(ISNUMBER(V911),IF(V911&gt;CFG_MAXD,"⚠ "&amp;V911&amp;" días en Submitted (máx. "&amp;CFG_MAXD&amp;")",""),"Falta fecha de envío"),IF(BF911="Returned","⚠ Devuelto: corregir y reenviar",IF(BF911="Recall Requested","Retirada solicitada: pendiente",IF(AND(BF911="Approved",NOT(ISNUMBER(T911))),"Falta fecha de aprobación",IF(AND(ISNUMBER(S911),ISNUMBER(T911),T911&lt;S911),"Aprobación anterior al envío","")))))))))</f>
        <v/>
      </c>
      <c r="Y911" s="80">
        <f>IF(COUNTA(B911,D911,E911,F911,G911,H911,I911,J911,R911,S911,T911)&gt;0,1,0)</f>
        <v>0</v>
      </c>
      <c r="Z911" s="80" t="str">
        <f>IF(AND(ISNUMBER(H911),H911&gt;=0,H911&lt;1),ROUND(H911*1440,0),"")</f>
        <v/>
      </c>
      <c r="AA911" s="80" t="str">
        <f>IF(AND(ISNUMBER(I911),I911&gt;=0,I911&lt;1),ROUND(I911*1440,0),"")</f>
        <v/>
      </c>
      <c r="AB911" s="80">
        <f>IF(AND(ISNUMBER(B911),D911&lt;&gt;"",ISNUMBER(Z911),ISNUMBER(AA911)),IF(Z911=AA911,0,1),0)</f>
        <v>0</v>
      </c>
      <c r="AC911" s="80">
        <f>IF(AB911=1,IF(AA911&lt;Z911,1,0),0)</f>
        <v>0</v>
      </c>
      <c r="AD911" s="80">
        <f>IF(AB911=1,IF(AC911=1,1440-Z911+AA911,AA911-Z911),0)</f>
        <v>0</v>
      </c>
      <c r="AE911" s="80">
        <f>IF(J911="",0,IF(ISNUMBER(J911),J911,-1))</f>
        <v>0</v>
      </c>
      <c r="AF911" s="80">
        <f>MIN(MAX(0,AE911),AD911)</f>
        <v>0</v>
      </c>
      <c r="AG911" s="80">
        <f>MAX(0,AD911-MAX(0,AE911))</f>
        <v>0</v>
      </c>
      <c r="AH911" s="80">
        <f>IF(ISNUMBER(B911),IF(AND(INDEX(CFG_WDAYS,WEEKDAY(INT(B911),2))="Sí",IF(D911="proMX",COUNTIFS(FER_F,INT(B911),FER_NLP,"Sí"),COUNTIFS(FER_F,INT(B911),FER_NLM,"Sí"))=0),1,0),0)</f>
        <v>0</v>
      </c>
      <c r="AI911" s="80">
        <f>IF(AC911=1,IF(AND(INDEX(CFG_WDAYS,WEEKDAY(INT(B911)+1,2))="Sí",IF(D911="proMX",COUNTIFS(FER_F,INT(B911)+1,FER_NLP,"Sí"),COUNTIFS(FER_F,INT(B911)+1,FER_NLM,"Sí"))=0),1,0),0)</f>
        <v>0</v>
      </c>
      <c r="AJ911" s="80">
        <f>IF(AC911=1,1440-Z911,AD911)</f>
        <v>0</v>
      </c>
      <c r="AK911" s="80">
        <f>IF(AND(AB911=1,AH911=1),MAX(0,MIN(IF(AC911=1,1440,AA911),CFG_WEM)-MAX(Z911,CFG_WSM)),0)</f>
        <v>0</v>
      </c>
      <c r="AL911" s="80">
        <f>IF(AND(AC911=1,AI911=1),MAX(0,MIN(AA911,CFG_WEM)-CFG_WSM),0)</f>
        <v>0</v>
      </c>
      <c r="AM911" s="80">
        <f>AK911+AL911</f>
        <v>0</v>
      </c>
      <c r="AN911" s="80">
        <f>IF(CFG_BRK="Proporcional",IF(AD911=0,0,AF911*AM911/AD911),IF(CFG_BRK="Extras primero",MIN(AM911,MAX(0,AF911-(AD911-AM911))),MIN(AF911,AM911)))</f>
        <v>0</v>
      </c>
      <c r="AO911" s="80">
        <f>AF911-AN911</f>
        <v>0</v>
      </c>
      <c r="AP911" s="80">
        <f>AM911-AN911</f>
        <v>0</v>
      </c>
      <c r="AQ911" s="80">
        <f>AD911-AM911-AO911</f>
        <v>0</v>
      </c>
      <c r="AR911" s="80">
        <f>IF(AM911=0,0,AK911-AN911*AK911/AM911)</f>
        <v>0</v>
      </c>
      <c r="AS911" s="80">
        <f>IF(AD911-AM911=0,0,(AJ911-AK911)-AO911*(AJ911-AK911)/(AD911-AM911))</f>
        <v>0</v>
      </c>
      <c r="AT911" s="80" t="str">
        <f>IF(AC911=1,INT(B911)+1,"")</f>
        <v/>
      </c>
      <c r="AU911" s="80">
        <f>IF(AND(D911="proMX",R911="Cancelled"),0,1)</f>
        <v>1</v>
      </c>
      <c r="AV911" s="80">
        <f>IF(AND(AB911=1,AU911=1),IF(COUNTIFS($D$5:D910,D911,$B$5:B910,B911,$Z$5:Z910,Z911,$AA$5:AA910,AA911,$F$5:F910,F911&amp;"",$AU$5:AU910,1)&gt;0,1,0),0)</f>
        <v>0</v>
      </c>
      <c r="AW911" s="80" t="str">
        <f>IF(AB911=1,INT(B911)*1440+Z911,"")</f>
        <v/>
      </c>
      <c r="AX911" s="80" t="str">
        <f>IF(AB911=1,AW911+AD911,"")</f>
        <v/>
      </c>
      <c r="AY911" s="80">
        <f>IF(AND(AB911=1,AV911=0,AU911=1),1,0)</f>
        <v>0</v>
      </c>
      <c r="AZ911" s="80">
        <f>IF(AY911=1,COUNTIFS(R_Emp,D911,R_SAbs,"&lt;"&amp;AX911,R_EAbs,"&gt;"&amp;AW911,R_OKey,1)-1,0)</f>
        <v>0</v>
      </c>
      <c r="BA911" s="80">
        <f>IF(AY911=1,COUNTIFS(R_Emp,"&lt;&gt;"&amp;D911,R_SAbs,"&lt;"&amp;AX911,R_EAbs,"&gt;"&amp;AW911,R_OKey,1),0)</f>
        <v>0</v>
      </c>
      <c r="BB911" s="80">
        <f>IF(AND(AB911=1,D911="proMX"),IF(AND(MOD(Z911,CFG_BLK)=0,MOD(AA911,CFG_BLK)=0,MOD(AG911,CFG_BLK)=0,AG911&gt;0),1,0),1)</f>
        <v>1</v>
      </c>
      <c r="BC911" s="80" t="str">
        <f>IF(Y911=0,"",IF(NOT(ISNUMBER(B911)),"Falta fecha o fecha inválida",IF(D911="","Falta empresa",IF(AND(D911&lt;&gt;"Malcolm",D911&lt;&gt;"proMX"),"Empresa inválida",IF(OR(INT(B911)&lt;CFG_PSTART,INT(B911)&gt;CFG_PEND),"Fecha fuera del período",IF(OR(NOT(ISNUMBER(Z911)),NOT(ISNUMBER(AA911))),"Falta hora inicio/fin o formato inválido",IF(AB911=0,"Hora inicio = hora fin",IF(AE911&lt;0,"Descanso inválido",IF(AE911&gt;=AD911,"Descanso ≥ duración",IF(AV911=1,"Registro duplicado",IF(AZ911&gt;0,"Se superpone con otro registro "&amp;D911,IF(BB911=0,"inicio, fin y duración neta deben ser múltiplos de "&amp;CFG_BLK&amp;" min",""))))))))))))</f>
        <v/>
      </c>
      <c r="BD911" s="80">
        <f>IF(AND(Y911=1,BC911=""),1,0)</f>
        <v>0</v>
      </c>
      <c r="BE911" s="80">
        <f>IF(AND(BD911=1,AU911=1),1,0)</f>
        <v>0</v>
      </c>
      <c r="BF911" s="80" t="str">
        <f>IF(AND(D911="proMX",BD911=1),IF(R911="","Draft",R911),"")</f>
        <v/>
      </c>
      <c r="BG911" s="80">
        <f>IF(BD911=1,ROUND(AG911/60,6),0)</f>
        <v>0</v>
      </c>
      <c r="BH911" s="80">
        <f>IF(BE911=1,ROUND(AG911/60,6),0)</f>
        <v>0</v>
      </c>
      <c r="BI911" s="80">
        <f>IF(BE911=1,ROUND(AP911/60,6),0)</f>
        <v>0</v>
      </c>
      <c r="BJ911" s="80">
        <f>IF(BE911=1,ROUND(AQ911/60,6),0)</f>
        <v>0</v>
      </c>
      <c r="BK911" s="80">
        <f>IF(BE911=1,ROUND((AR911+AS911)/60,6),0)</f>
        <v>0</v>
      </c>
      <c r="BL911" s="80">
        <f>ROUND(BH911-BK911,6)</f>
        <v>0</v>
      </c>
      <c r="BM911" s="80">
        <f>IF(BE911=1,ROUND(AR911/60,6),0)</f>
        <v>0</v>
      </c>
      <c r="BN911" s="80">
        <f>ROUND(BI911-BM911,6)</f>
        <v>0</v>
      </c>
      <c r="BO911" s="80">
        <f>IF(BE911=1,ROUND(AS911/60,6),0)</f>
        <v>0</v>
      </c>
      <c r="BP911" s="80">
        <f>ROUND(BJ911-BO911,6)</f>
        <v>0</v>
      </c>
      <c r="BQ911" s="80">
        <f>IF(BE911=1,AW911,0)</f>
        <v>0</v>
      </c>
      <c r="BR911" s="80">
        <f>IF(BE911=1,AX911,0)</f>
        <v>0</v>
      </c>
      <c r="BS911" s="80">
        <f>IF(AND(BE911=1,D911="Malcolm",BA911&gt;0),MIN(BH911,SUMPRODUCT((R_Emp="proMX")*(R_EN&gt;0)*((R_EN-(R_EN&gt;BR911)*(R_EN-BR911))&gt;(R_SN+(R_SN&lt;BQ911)*(BQ911-R_SN)))*((R_EN-(R_EN&gt;BR911)*(R_EN-BR911))-(R_SN+(R_SN&lt;BQ911)*(BQ911-R_SN))))/60),0)</f>
        <v>0</v>
      </c>
      <c r="BT911" s="80">
        <f>IF(AND(BE911=1,D911="proMX"),ROUND(BI911*CFG_RATE+BJ911*CFG_OTRATE,6),0)</f>
        <v>0</v>
      </c>
      <c r="BU911" s="80">
        <f>IF(AND(BD911=1,D911="proMX"),ROUND(AG911/CFG_BLK,6),0)</f>
        <v>0</v>
      </c>
      <c r="BV911" s="80" t="str">
        <f>IF(BF911="Approved",IF(ISNUMBER(T911),INT(T911),INT(B911)),"")</f>
        <v/>
      </c>
      <c r="BW911" s="80">
        <f>IF(ISNUMBER(B911),IF(DB_MON="Todos",1,IF(AND(INT(B911)&gt;=DB_MS,INT(B911)&lt;=DB_ME),1,0)),0)</f>
        <v>0</v>
      </c>
      <c r="BX911" s="80">
        <f>IF(DB_PROJ="Todos",1,IF(E911&amp;""=DB_PROJ&amp;"",1,0))</f>
        <v>1</v>
      </c>
      <c r="BY911" s="80">
        <f>BW911*BX911</f>
        <v>0</v>
      </c>
      <c r="BZ911" s="80" t="str">
        <f>IF(Y911=1,F911&amp;IF(AND(F911&amp;""&lt;&gt;"",E911&amp;""&lt;&gt;"")," · ","")&amp;E911,"")</f>
        <v/>
      </c>
      <c r="CA911" s="80" t="str">
        <f>IF(AND(BD911=1,E911&amp;""&lt;&gt;""),IF(COUNTIFS($E$5:E910,E911,$BD$5:BD910,1)=0,MAX($CA$5:CA910)+1,""),"")</f>
        <v/>
      </c>
      <c r="CB911" s="80" t="str">
        <f>IF(AND(BE911=1,D911="Malcolm",E911&amp;""&lt;&gt;""),IF(COUNTIFS($D$5:D910,"Malcolm",$E$5:E910,E911,$BE$5:BE910,1)=0,MAX($CB$5:CB910)+1,""),"")</f>
        <v/>
      </c>
      <c r="CC911" s="80" t="str">
        <f>IF(AND(BD911=1,D911="proMX",E911&amp;""&lt;&gt;""),IF(COUNTIFS($D$5:D910,"proMX",$E$5:E910,E911,$BD$5:BD910,1)=0,MAX($CC$5:CC910)+1,""),"")</f>
        <v/>
      </c>
      <c r="CD911" s="80" t="str">
        <f>IF(AND(BE911=1,D911="Malcolm",F911&amp;""&lt;&gt;""),IF(COUNTIFS($D$5:D910,"Malcolm",$F$5:F910,F911,$BE$5:BE910,1)=0,MAX($CD$5:CD910)+1,""),"")</f>
        <v/>
      </c>
      <c r="CE911" s="80" t="str">
        <f>IF(AND(BD911=1,D911="proMX",F911&amp;""&lt;&gt;""),IF(COUNTIFS($D$5:D910,"proMX",$F$5:F910,F911,$BD$5:BD910,1)=0,MAX($CE$5:CE910)+1,""),"")</f>
        <v/>
      </c>
      <c r="CF911" s="80" t="str">
        <f>IF(AND(D911="proMX",BD911=1),IF(OR(BF911="Draft",BF911="Submitted",BF911="Returned",BF911="Recall Requested"),MAX($CF$5:CF910)+1,""),"")</f>
        <v/>
      </c>
      <c r="CG911" s="80">
        <f>IF(BD911=0,0,IF(D911="Malcolm",1,MATCH(BF911,{"Draft","Submitted","Approved","Returned","Recall Requested","Cancelled"},0)+1))</f>
        <v>0</v>
      </c>
      <c r="CH911" s="80">
        <f>IF(AND(BF911="Submitted",ISNUMBER(V911)),IF(V911&gt;CFG_MAXD,1,0),0)</f>
        <v>0</v>
      </c>
    </row>
    <row r="912">
      <c r="A912" s="71" t="str">
        <f>IF(Y912=1,ROW()-5,"")</f>
        <v/>
      </c>
      <c r="B912" s="72" t="n"/>
      <c r="C912" s="71" t="str">
        <f>IF(ISNUMBER(B912),CHOOSE(WEEKDAY(B912,2),"Lun","Mar","Mié","Jue","Vie","Sáb","Dom"),"")</f>
        <v/>
      </c>
      <c r="D912" s="73" t="n"/>
      <c r="E912" s="74" t="n"/>
      <c r="F912" s="74" t="n"/>
      <c r="G912" s="74" t="n"/>
      <c r="H912" s="75" t="n"/>
      <c r="I912" s="75" t="n"/>
      <c r="J912" s="76" t="n"/>
      <c r="K912" s="77" t="str">
        <f>IF(AB912=1,ROUND(AG912/60,4),"")</f>
        <v/>
      </c>
      <c r="L912" s="77" t="str">
        <f>IF(BD912=1,ROUND(AP912/60,4),"")</f>
        <v/>
      </c>
      <c r="M912" s="77" t="str">
        <f>IF(BD912=1,ROUND(AQ912/60,4),"")</f>
        <v/>
      </c>
      <c r="N912" s="71" t="str">
        <f>IF(AND(D912="proMX",AB912=1),ROUND(AG912/CFG_BLK,2),"")</f>
        <v/>
      </c>
      <c r="O912" s="77" t="str">
        <f>IF(D912="proMX",IF(BD912=1,ROUND(AG912/60,4),0),"")</f>
        <v/>
      </c>
      <c r="P912" s="78" t="str">
        <f>IF(Y912=0,"",IF(BD912=1,"OK",IF(D912="proMX","Revisar bloques: ","Revisar: ")&amp;BC912))</f>
        <v/>
      </c>
      <c r="Q912" s="78" t="str">
        <f>IF(NOT(ISNUMBER(B912)),"",IF(COUNTIFS(FER_F,INT(B912))&gt;0,"Feriado"&amp;IF(AH912=1," (laborable)"," (no laborable)"),IF(AH912=1,"Laborable",IF(WEEKDAY(B912,2)&gt;5,"Fin de semana","No laborable"))))</f>
        <v/>
      </c>
      <c r="R912" s="73" t="n"/>
      <c r="S912" s="72" t="n"/>
      <c r="T912" s="72" t="n"/>
      <c r="U912" s="74" t="n"/>
      <c r="V912" s="79" t="str">
        <f>IF(AND(D912="proMX",OR(R912="Submitted",R912="Recall Requested"),ISNUMBER(S912)),CFG_TODAY-INT(S912),"")</f>
        <v/>
      </c>
      <c r="W912" s="78" t="str">
        <f>IF(BD912=0,"",IF(BA912&gt;0,"⚠ Se superpone con un registro de la otra empresa",IF(D912="Malcolm",IF(COUNTA(R912,S912,T912)&gt;0,"Estado/fechas proMX se ignoran en Malcolm",""),IF(BF912="Cancelled","Cancelado: excluido de totales",IF(R912="","Sin estado: se trata como Draft",IF(BF912="Submitted",IF(ISNUMBER(V912),IF(V912&gt;CFG_MAXD,"⚠ "&amp;V912&amp;" días en Submitted (máx. "&amp;CFG_MAXD&amp;")",""),"Falta fecha de envío"),IF(BF912="Returned","⚠ Devuelto: corregir y reenviar",IF(BF912="Recall Requested","Retirada solicitada: pendiente",IF(AND(BF912="Approved",NOT(ISNUMBER(T912))),"Falta fecha de aprobación",IF(AND(ISNUMBER(S912),ISNUMBER(T912),T912&lt;S912),"Aprobación anterior al envío","")))))))))</f>
        <v/>
      </c>
      <c r="Y912" s="80">
        <f>IF(COUNTA(B912,D912,E912,F912,G912,H912,I912,J912,R912,S912,T912)&gt;0,1,0)</f>
        <v>0</v>
      </c>
      <c r="Z912" s="80" t="str">
        <f>IF(AND(ISNUMBER(H912),H912&gt;=0,H912&lt;1),ROUND(H912*1440,0),"")</f>
        <v/>
      </c>
      <c r="AA912" s="80" t="str">
        <f>IF(AND(ISNUMBER(I912),I912&gt;=0,I912&lt;1),ROUND(I912*1440,0),"")</f>
        <v/>
      </c>
      <c r="AB912" s="80">
        <f>IF(AND(ISNUMBER(B912),D912&lt;&gt;"",ISNUMBER(Z912),ISNUMBER(AA912)),IF(Z912=AA912,0,1),0)</f>
        <v>0</v>
      </c>
      <c r="AC912" s="80">
        <f>IF(AB912=1,IF(AA912&lt;Z912,1,0),0)</f>
        <v>0</v>
      </c>
      <c r="AD912" s="80">
        <f>IF(AB912=1,IF(AC912=1,1440-Z912+AA912,AA912-Z912),0)</f>
        <v>0</v>
      </c>
      <c r="AE912" s="80">
        <f>IF(J912="",0,IF(ISNUMBER(J912),J912,-1))</f>
        <v>0</v>
      </c>
      <c r="AF912" s="80">
        <f>MIN(MAX(0,AE912),AD912)</f>
        <v>0</v>
      </c>
      <c r="AG912" s="80">
        <f>MAX(0,AD912-MAX(0,AE912))</f>
        <v>0</v>
      </c>
      <c r="AH912" s="80">
        <f>IF(ISNUMBER(B912),IF(AND(INDEX(CFG_WDAYS,WEEKDAY(INT(B912),2))="Sí",IF(D912="proMX",COUNTIFS(FER_F,INT(B912),FER_NLP,"Sí"),COUNTIFS(FER_F,INT(B912),FER_NLM,"Sí"))=0),1,0),0)</f>
        <v>0</v>
      </c>
      <c r="AI912" s="80">
        <f>IF(AC912=1,IF(AND(INDEX(CFG_WDAYS,WEEKDAY(INT(B912)+1,2))="Sí",IF(D912="proMX",COUNTIFS(FER_F,INT(B912)+1,FER_NLP,"Sí"),COUNTIFS(FER_F,INT(B912)+1,FER_NLM,"Sí"))=0),1,0),0)</f>
        <v>0</v>
      </c>
      <c r="AJ912" s="80">
        <f>IF(AC912=1,1440-Z912,AD912)</f>
        <v>0</v>
      </c>
      <c r="AK912" s="80">
        <f>IF(AND(AB912=1,AH912=1),MAX(0,MIN(IF(AC912=1,1440,AA912),CFG_WEM)-MAX(Z912,CFG_WSM)),0)</f>
        <v>0</v>
      </c>
      <c r="AL912" s="80">
        <f>IF(AND(AC912=1,AI912=1),MAX(0,MIN(AA912,CFG_WEM)-CFG_WSM),0)</f>
        <v>0</v>
      </c>
      <c r="AM912" s="80">
        <f>AK912+AL912</f>
        <v>0</v>
      </c>
      <c r="AN912" s="80">
        <f>IF(CFG_BRK="Proporcional",IF(AD912=0,0,AF912*AM912/AD912),IF(CFG_BRK="Extras primero",MIN(AM912,MAX(0,AF912-(AD912-AM912))),MIN(AF912,AM912)))</f>
        <v>0</v>
      </c>
      <c r="AO912" s="80">
        <f>AF912-AN912</f>
        <v>0</v>
      </c>
      <c r="AP912" s="80">
        <f>AM912-AN912</f>
        <v>0</v>
      </c>
      <c r="AQ912" s="80">
        <f>AD912-AM912-AO912</f>
        <v>0</v>
      </c>
      <c r="AR912" s="80">
        <f>IF(AM912=0,0,AK912-AN912*AK912/AM912)</f>
        <v>0</v>
      </c>
      <c r="AS912" s="80">
        <f>IF(AD912-AM912=0,0,(AJ912-AK912)-AO912*(AJ912-AK912)/(AD912-AM912))</f>
        <v>0</v>
      </c>
      <c r="AT912" s="80" t="str">
        <f>IF(AC912=1,INT(B912)+1,"")</f>
        <v/>
      </c>
      <c r="AU912" s="80">
        <f>IF(AND(D912="proMX",R912="Cancelled"),0,1)</f>
        <v>1</v>
      </c>
      <c r="AV912" s="80">
        <f>IF(AND(AB912=1,AU912=1),IF(COUNTIFS($D$5:D911,D912,$B$5:B911,B912,$Z$5:Z911,Z912,$AA$5:AA911,AA912,$F$5:F911,F912&amp;"",$AU$5:AU911,1)&gt;0,1,0),0)</f>
        <v>0</v>
      </c>
      <c r="AW912" s="80" t="str">
        <f>IF(AB912=1,INT(B912)*1440+Z912,"")</f>
        <v/>
      </c>
      <c r="AX912" s="80" t="str">
        <f>IF(AB912=1,AW912+AD912,"")</f>
        <v/>
      </c>
      <c r="AY912" s="80">
        <f>IF(AND(AB912=1,AV912=0,AU912=1),1,0)</f>
        <v>0</v>
      </c>
      <c r="AZ912" s="80">
        <f>IF(AY912=1,COUNTIFS(R_Emp,D912,R_SAbs,"&lt;"&amp;AX912,R_EAbs,"&gt;"&amp;AW912,R_OKey,1)-1,0)</f>
        <v>0</v>
      </c>
      <c r="BA912" s="80">
        <f>IF(AY912=1,COUNTIFS(R_Emp,"&lt;&gt;"&amp;D912,R_SAbs,"&lt;"&amp;AX912,R_EAbs,"&gt;"&amp;AW912,R_OKey,1),0)</f>
        <v>0</v>
      </c>
      <c r="BB912" s="80">
        <f>IF(AND(AB912=1,D912="proMX"),IF(AND(MOD(Z912,CFG_BLK)=0,MOD(AA912,CFG_BLK)=0,MOD(AG912,CFG_BLK)=0,AG912&gt;0),1,0),1)</f>
        <v>1</v>
      </c>
      <c r="BC912" s="80" t="str">
        <f>IF(Y912=0,"",IF(NOT(ISNUMBER(B912)),"Falta fecha o fecha inválida",IF(D912="","Falta empresa",IF(AND(D912&lt;&gt;"Malcolm",D912&lt;&gt;"proMX"),"Empresa inválida",IF(OR(INT(B912)&lt;CFG_PSTART,INT(B912)&gt;CFG_PEND),"Fecha fuera del período",IF(OR(NOT(ISNUMBER(Z912)),NOT(ISNUMBER(AA912))),"Falta hora inicio/fin o formato inválido",IF(AB912=0,"Hora inicio = hora fin",IF(AE912&lt;0,"Descanso inválido",IF(AE912&gt;=AD912,"Descanso ≥ duración",IF(AV912=1,"Registro duplicado",IF(AZ912&gt;0,"Se superpone con otro registro "&amp;D912,IF(BB912=0,"inicio, fin y duración neta deben ser múltiplos de "&amp;CFG_BLK&amp;" min",""))))))))))))</f>
        <v/>
      </c>
      <c r="BD912" s="80">
        <f>IF(AND(Y912=1,BC912=""),1,0)</f>
        <v>0</v>
      </c>
      <c r="BE912" s="80">
        <f>IF(AND(BD912=1,AU912=1),1,0)</f>
        <v>0</v>
      </c>
      <c r="BF912" s="80" t="str">
        <f>IF(AND(D912="proMX",BD912=1),IF(R912="","Draft",R912),"")</f>
        <v/>
      </c>
      <c r="BG912" s="80">
        <f>IF(BD912=1,ROUND(AG912/60,6),0)</f>
        <v>0</v>
      </c>
      <c r="BH912" s="80">
        <f>IF(BE912=1,ROUND(AG912/60,6),0)</f>
        <v>0</v>
      </c>
      <c r="BI912" s="80">
        <f>IF(BE912=1,ROUND(AP912/60,6),0)</f>
        <v>0</v>
      </c>
      <c r="BJ912" s="80">
        <f>IF(BE912=1,ROUND(AQ912/60,6),0)</f>
        <v>0</v>
      </c>
      <c r="BK912" s="80">
        <f>IF(BE912=1,ROUND((AR912+AS912)/60,6),0)</f>
        <v>0</v>
      </c>
      <c r="BL912" s="80">
        <f>ROUND(BH912-BK912,6)</f>
        <v>0</v>
      </c>
      <c r="BM912" s="80">
        <f>IF(BE912=1,ROUND(AR912/60,6),0)</f>
        <v>0</v>
      </c>
      <c r="BN912" s="80">
        <f>ROUND(BI912-BM912,6)</f>
        <v>0</v>
      </c>
      <c r="BO912" s="80">
        <f>IF(BE912=1,ROUND(AS912/60,6),0)</f>
        <v>0</v>
      </c>
      <c r="BP912" s="80">
        <f>ROUND(BJ912-BO912,6)</f>
        <v>0</v>
      </c>
      <c r="BQ912" s="80">
        <f>IF(BE912=1,AW912,0)</f>
        <v>0</v>
      </c>
      <c r="BR912" s="80">
        <f>IF(BE912=1,AX912,0)</f>
        <v>0</v>
      </c>
      <c r="BS912" s="80">
        <f>IF(AND(BE912=1,D912="Malcolm",BA912&gt;0),MIN(BH912,SUMPRODUCT((R_Emp="proMX")*(R_EN&gt;0)*((R_EN-(R_EN&gt;BR912)*(R_EN-BR912))&gt;(R_SN+(R_SN&lt;BQ912)*(BQ912-R_SN)))*((R_EN-(R_EN&gt;BR912)*(R_EN-BR912))-(R_SN+(R_SN&lt;BQ912)*(BQ912-R_SN))))/60),0)</f>
        <v>0</v>
      </c>
      <c r="BT912" s="80">
        <f>IF(AND(BE912=1,D912="proMX"),ROUND(BI912*CFG_RATE+BJ912*CFG_OTRATE,6),0)</f>
        <v>0</v>
      </c>
      <c r="BU912" s="80">
        <f>IF(AND(BD912=1,D912="proMX"),ROUND(AG912/CFG_BLK,6),0)</f>
        <v>0</v>
      </c>
      <c r="BV912" s="80" t="str">
        <f>IF(BF912="Approved",IF(ISNUMBER(T912),INT(T912),INT(B912)),"")</f>
        <v/>
      </c>
      <c r="BW912" s="80">
        <f>IF(ISNUMBER(B912),IF(DB_MON="Todos",1,IF(AND(INT(B912)&gt;=DB_MS,INT(B912)&lt;=DB_ME),1,0)),0)</f>
        <v>0</v>
      </c>
      <c r="BX912" s="80">
        <f>IF(DB_PROJ="Todos",1,IF(E912&amp;""=DB_PROJ&amp;"",1,0))</f>
        <v>1</v>
      </c>
      <c r="BY912" s="80">
        <f>BW912*BX912</f>
        <v>0</v>
      </c>
      <c r="BZ912" s="80" t="str">
        <f>IF(Y912=1,F912&amp;IF(AND(F912&amp;""&lt;&gt;"",E912&amp;""&lt;&gt;"")," · ","")&amp;E912,"")</f>
        <v/>
      </c>
      <c r="CA912" s="80" t="str">
        <f>IF(AND(BD912=1,E912&amp;""&lt;&gt;""),IF(COUNTIFS($E$5:E911,E912,$BD$5:BD911,1)=0,MAX($CA$5:CA911)+1,""),"")</f>
        <v/>
      </c>
      <c r="CB912" s="80" t="str">
        <f>IF(AND(BE912=1,D912="Malcolm",E912&amp;""&lt;&gt;""),IF(COUNTIFS($D$5:D911,"Malcolm",$E$5:E911,E912,$BE$5:BE911,1)=0,MAX($CB$5:CB911)+1,""),"")</f>
        <v/>
      </c>
      <c r="CC912" s="80" t="str">
        <f>IF(AND(BD912=1,D912="proMX",E912&amp;""&lt;&gt;""),IF(COUNTIFS($D$5:D911,"proMX",$E$5:E911,E912,$BD$5:BD911,1)=0,MAX($CC$5:CC911)+1,""),"")</f>
        <v/>
      </c>
      <c r="CD912" s="80" t="str">
        <f>IF(AND(BE912=1,D912="Malcolm",F912&amp;""&lt;&gt;""),IF(COUNTIFS($D$5:D911,"Malcolm",$F$5:F911,F912,$BE$5:BE911,1)=0,MAX($CD$5:CD911)+1,""),"")</f>
        <v/>
      </c>
      <c r="CE912" s="80" t="str">
        <f>IF(AND(BD912=1,D912="proMX",F912&amp;""&lt;&gt;""),IF(COUNTIFS($D$5:D911,"proMX",$F$5:F911,F912,$BD$5:BD911,1)=0,MAX($CE$5:CE911)+1,""),"")</f>
        <v/>
      </c>
      <c r="CF912" s="80" t="str">
        <f>IF(AND(D912="proMX",BD912=1),IF(OR(BF912="Draft",BF912="Submitted",BF912="Returned",BF912="Recall Requested"),MAX($CF$5:CF911)+1,""),"")</f>
        <v/>
      </c>
      <c r="CG912" s="80">
        <f>IF(BD912=0,0,IF(D912="Malcolm",1,MATCH(BF912,{"Draft","Submitted","Approved","Returned","Recall Requested","Cancelled"},0)+1))</f>
        <v>0</v>
      </c>
      <c r="CH912" s="80">
        <f>IF(AND(BF912="Submitted",ISNUMBER(V912)),IF(V912&gt;CFG_MAXD,1,0),0)</f>
        <v>0</v>
      </c>
    </row>
    <row r="913">
      <c r="A913" s="71" t="str">
        <f>IF(Y913=1,ROW()-5,"")</f>
        <v/>
      </c>
      <c r="B913" s="72" t="n"/>
      <c r="C913" s="71" t="str">
        <f>IF(ISNUMBER(B913),CHOOSE(WEEKDAY(B913,2),"Lun","Mar","Mié","Jue","Vie","Sáb","Dom"),"")</f>
        <v/>
      </c>
      <c r="D913" s="73" t="n"/>
      <c r="E913" s="74" t="n"/>
      <c r="F913" s="74" t="n"/>
      <c r="G913" s="74" t="n"/>
      <c r="H913" s="75" t="n"/>
      <c r="I913" s="75" t="n"/>
      <c r="J913" s="76" t="n"/>
      <c r="K913" s="77" t="str">
        <f>IF(AB913=1,ROUND(AG913/60,4),"")</f>
        <v/>
      </c>
      <c r="L913" s="77" t="str">
        <f>IF(BD913=1,ROUND(AP913/60,4),"")</f>
        <v/>
      </c>
      <c r="M913" s="77" t="str">
        <f>IF(BD913=1,ROUND(AQ913/60,4),"")</f>
        <v/>
      </c>
      <c r="N913" s="71" t="str">
        <f>IF(AND(D913="proMX",AB913=1),ROUND(AG913/CFG_BLK,2),"")</f>
        <v/>
      </c>
      <c r="O913" s="77" t="str">
        <f>IF(D913="proMX",IF(BD913=1,ROUND(AG913/60,4),0),"")</f>
        <v/>
      </c>
      <c r="P913" s="78" t="str">
        <f>IF(Y913=0,"",IF(BD913=1,"OK",IF(D913="proMX","Revisar bloques: ","Revisar: ")&amp;BC913))</f>
        <v/>
      </c>
      <c r="Q913" s="78" t="str">
        <f>IF(NOT(ISNUMBER(B913)),"",IF(COUNTIFS(FER_F,INT(B913))&gt;0,"Feriado"&amp;IF(AH913=1," (laborable)"," (no laborable)"),IF(AH913=1,"Laborable",IF(WEEKDAY(B913,2)&gt;5,"Fin de semana","No laborable"))))</f>
        <v/>
      </c>
      <c r="R913" s="73" t="n"/>
      <c r="S913" s="72" t="n"/>
      <c r="T913" s="72" t="n"/>
      <c r="U913" s="74" t="n"/>
      <c r="V913" s="79" t="str">
        <f>IF(AND(D913="proMX",OR(R913="Submitted",R913="Recall Requested"),ISNUMBER(S913)),CFG_TODAY-INT(S913),"")</f>
        <v/>
      </c>
      <c r="W913" s="78" t="str">
        <f>IF(BD913=0,"",IF(BA913&gt;0,"⚠ Se superpone con un registro de la otra empresa",IF(D913="Malcolm",IF(COUNTA(R913,S913,T913)&gt;0,"Estado/fechas proMX se ignoran en Malcolm",""),IF(BF913="Cancelled","Cancelado: excluido de totales",IF(R913="","Sin estado: se trata como Draft",IF(BF913="Submitted",IF(ISNUMBER(V913),IF(V913&gt;CFG_MAXD,"⚠ "&amp;V913&amp;" días en Submitted (máx. "&amp;CFG_MAXD&amp;")",""),"Falta fecha de envío"),IF(BF913="Returned","⚠ Devuelto: corregir y reenviar",IF(BF913="Recall Requested","Retirada solicitada: pendiente",IF(AND(BF913="Approved",NOT(ISNUMBER(T913))),"Falta fecha de aprobación",IF(AND(ISNUMBER(S913),ISNUMBER(T913),T913&lt;S913),"Aprobación anterior al envío","")))))))))</f>
        <v/>
      </c>
      <c r="Y913" s="80">
        <f>IF(COUNTA(B913,D913,E913,F913,G913,H913,I913,J913,R913,S913,T913)&gt;0,1,0)</f>
        <v>0</v>
      </c>
      <c r="Z913" s="80" t="str">
        <f>IF(AND(ISNUMBER(H913),H913&gt;=0,H913&lt;1),ROUND(H913*1440,0),"")</f>
        <v/>
      </c>
      <c r="AA913" s="80" t="str">
        <f>IF(AND(ISNUMBER(I913),I913&gt;=0,I913&lt;1),ROUND(I913*1440,0),"")</f>
        <v/>
      </c>
      <c r="AB913" s="80">
        <f>IF(AND(ISNUMBER(B913),D913&lt;&gt;"",ISNUMBER(Z913),ISNUMBER(AA913)),IF(Z913=AA913,0,1),0)</f>
        <v>0</v>
      </c>
      <c r="AC913" s="80">
        <f>IF(AB913=1,IF(AA913&lt;Z913,1,0),0)</f>
        <v>0</v>
      </c>
      <c r="AD913" s="80">
        <f>IF(AB913=1,IF(AC913=1,1440-Z913+AA913,AA913-Z913),0)</f>
        <v>0</v>
      </c>
      <c r="AE913" s="80">
        <f>IF(J913="",0,IF(ISNUMBER(J913),J913,-1))</f>
        <v>0</v>
      </c>
      <c r="AF913" s="80">
        <f>MIN(MAX(0,AE913),AD913)</f>
        <v>0</v>
      </c>
      <c r="AG913" s="80">
        <f>MAX(0,AD913-MAX(0,AE913))</f>
        <v>0</v>
      </c>
      <c r="AH913" s="80">
        <f>IF(ISNUMBER(B913),IF(AND(INDEX(CFG_WDAYS,WEEKDAY(INT(B913),2))="Sí",IF(D913="proMX",COUNTIFS(FER_F,INT(B913),FER_NLP,"Sí"),COUNTIFS(FER_F,INT(B913),FER_NLM,"Sí"))=0),1,0),0)</f>
        <v>0</v>
      </c>
      <c r="AI913" s="80">
        <f>IF(AC913=1,IF(AND(INDEX(CFG_WDAYS,WEEKDAY(INT(B913)+1,2))="Sí",IF(D913="proMX",COUNTIFS(FER_F,INT(B913)+1,FER_NLP,"Sí"),COUNTIFS(FER_F,INT(B913)+1,FER_NLM,"Sí"))=0),1,0),0)</f>
        <v>0</v>
      </c>
      <c r="AJ913" s="80">
        <f>IF(AC913=1,1440-Z913,AD913)</f>
        <v>0</v>
      </c>
      <c r="AK913" s="80">
        <f>IF(AND(AB913=1,AH913=1),MAX(0,MIN(IF(AC913=1,1440,AA913),CFG_WEM)-MAX(Z913,CFG_WSM)),0)</f>
        <v>0</v>
      </c>
      <c r="AL913" s="80">
        <f>IF(AND(AC913=1,AI913=1),MAX(0,MIN(AA913,CFG_WEM)-CFG_WSM),0)</f>
        <v>0</v>
      </c>
      <c r="AM913" s="80">
        <f>AK913+AL913</f>
        <v>0</v>
      </c>
      <c r="AN913" s="80">
        <f>IF(CFG_BRK="Proporcional",IF(AD913=0,0,AF913*AM913/AD913),IF(CFG_BRK="Extras primero",MIN(AM913,MAX(0,AF913-(AD913-AM913))),MIN(AF913,AM913)))</f>
        <v>0</v>
      </c>
      <c r="AO913" s="80">
        <f>AF913-AN913</f>
        <v>0</v>
      </c>
      <c r="AP913" s="80">
        <f>AM913-AN913</f>
        <v>0</v>
      </c>
      <c r="AQ913" s="80">
        <f>AD913-AM913-AO913</f>
        <v>0</v>
      </c>
      <c r="AR913" s="80">
        <f>IF(AM913=0,0,AK913-AN913*AK913/AM913)</f>
        <v>0</v>
      </c>
      <c r="AS913" s="80">
        <f>IF(AD913-AM913=0,0,(AJ913-AK913)-AO913*(AJ913-AK913)/(AD913-AM913))</f>
        <v>0</v>
      </c>
      <c r="AT913" s="80" t="str">
        <f>IF(AC913=1,INT(B913)+1,"")</f>
        <v/>
      </c>
      <c r="AU913" s="80">
        <f>IF(AND(D913="proMX",R913="Cancelled"),0,1)</f>
        <v>1</v>
      </c>
      <c r="AV913" s="80">
        <f>IF(AND(AB913=1,AU913=1),IF(COUNTIFS($D$5:D912,D913,$B$5:B912,B913,$Z$5:Z912,Z913,$AA$5:AA912,AA913,$F$5:F912,F913&amp;"",$AU$5:AU912,1)&gt;0,1,0),0)</f>
        <v>0</v>
      </c>
      <c r="AW913" s="80" t="str">
        <f>IF(AB913=1,INT(B913)*1440+Z913,"")</f>
        <v/>
      </c>
      <c r="AX913" s="80" t="str">
        <f>IF(AB913=1,AW913+AD913,"")</f>
        <v/>
      </c>
      <c r="AY913" s="80">
        <f>IF(AND(AB913=1,AV913=0,AU913=1),1,0)</f>
        <v>0</v>
      </c>
      <c r="AZ913" s="80">
        <f>IF(AY913=1,COUNTIFS(R_Emp,D913,R_SAbs,"&lt;"&amp;AX913,R_EAbs,"&gt;"&amp;AW913,R_OKey,1)-1,0)</f>
        <v>0</v>
      </c>
      <c r="BA913" s="80">
        <f>IF(AY913=1,COUNTIFS(R_Emp,"&lt;&gt;"&amp;D913,R_SAbs,"&lt;"&amp;AX913,R_EAbs,"&gt;"&amp;AW913,R_OKey,1),0)</f>
        <v>0</v>
      </c>
      <c r="BB913" s="80">
        <f>IF(AND(AB913=1,D913="proMX"),IF(AND(MOD(Z913,CFG_BLK)=0,MOD(AA913,CFG_BLK)=0,MOD(AG913,CFG_BLK)=0,AG913&gt;0),1,0),1)</f>
        <v>1</v>
      </c>
      <c r="BC913" s="80" t="str">
        <f>IF(Y913=0,"",IF(NOT(ISNUMBER(B913)),"Falta fecha o fecha inválida",IF(D913="","Falta empresa",IF(AND(D913&lt;&gt;"Malcolm",D913&lt;&gt;"proMX"),"Empresa inválida",IF(OR(INT(B913)&lt;CFG_PSTART,INT(B913)&gt;CFG_PEND),"Fecha fuera del período",IF(OR(NOT(ISNUMBER(Z913)),NOT(ISNUMBER(AA913))),"Falta hora inicio/fin o formato inválido",IF(AB913=0,"Hora inicio = hora fin",IF(AE913&lt;0,"Descanso inválido",IF(AE913&gt;=AD913,"Descanso ≥ duración",IF(AV913=1,"Registro duplicado",IF(AZ913&gt;0,"Se superpone con otro registro "&amp;D913,IF(BB913=0,"inicio, fin y duración neta deben ser múltiplos de "&amp;CFG_BLK&amp;" min",""))))))))))))</f>
        <v/>
      </c>
      <c r="BD913" s="80">
        <f>IF(AND(Y913=1,BC913=""),1,0)</f>
        <v>0</v>
      </c>
      <c r="BE913" s="80">
        <f>IF(AND(BD913=1,AU913=1),1,0)</f>
        <v>0</v>
      </c>
      <c r="BF913" s="80" t="str">
        <f>IF(AND(D913="proMX",BD913=1),IF(R913="","Draft",R913),"")</f>
        <v/>
      </c>
      <c r="BG913" s="80">
        <f>IF(BD913=1,ROUND(AG913/60,6),0)</f>
        <v>0</v>
      </c>
      <c r="BH913" s="80">
        <f>IF(BE913=1,ROUND(AG913/60,6),0)</f>
        <v>0</v>
      </c>
      <c r="BI913" s="80">
        <f>IF(BE913=1,ROUND(AP913/60,6),0)</f>
        <v>0</v>
      </c>
      <c r="BJ913" s="80">
        <f>IF(BE913=1,ROUND(AQ913/60,6),0)</f>
        <v>0</v>
      </c>
      <c r="BK913" s="80">
        <f>IF(BE913=1,ROUND((AR913+AS913)/60,6),0)</f>
        <v>0</v>
      </c>
      <c r="BL913" s="80">
        <f>ROUND(BH913-BK913,6)</f>
        <v>0</v>
      </c>
      <c r="BM913" s="80">
        <f>IF(BE913=1,ROUND(AR913/60,6),0)</f>
        <v>0</v>
      </c>
      <c r="BN913" s="80">
        <f>ROUND(BI913-BM913,6)</f>
        <v>0</v>
      </c>
      <c r="BO913" s="80">
        <f>IF(BE913=1,ROUND(AS913/60,6),0)</f>
        <v>0</v>
      </c>
      <c r="BP913" s="80">
        <f>ROUND(BJ913-BO913,6)</f>
        <v>0</v>
      </c>
      <c r="BQ913" s="80">
        <f>IF(BE913=1,AW913,0)</f>
        <v>0</v>
      </c>
      <c r="BR913" s="80">
        <f>IF(BE913=1,AX913,0)</f>
        <v>0</v>
      </c>
      <c r="BS913" s="80">
        <f>IF(AND(BE913=1,D913="Malcolm",BA913&gt;0),MIN(BH913,SUMPRODUCT((R_Emp="proMX")*(R_EN&gt;0)*((R_EN-(R_EN&gt;BR913)*(R_EN-BR913))&gt;(R_SN+(R_SN&lt;BQ913)*(BQ913-R_SN)))*((R_EN-(R_EN&gt;BR913)*(R_EN-BR913))-(R_SN+(R_SN&lt;BQ913)*(BQ913-R_SN))))/60),0)</f>
        <v>0</v>
      </c>
      <c r="BT913" s="80">
        <f>IF(AND(BE913=1,D913="proMX"),ROUND(BI913*CFG_RATE+BJ913*CFG_OTRATE,6),0)</f>
        <v>0</v>
      </c>
      <c r="BU913" s="80">
        <f>IF(AND(BD913=1,D913="proMX"),ROUND(AG913/CFG_BLK,6),0)</f>
        <v>0</v>
      </c>
      <c r="BV913" s="80" t="str">
        <f>IF(BF913="Approved",IF(ISNUMBER(T913),INT(T913),INT(B913)),"")</f>
        <v/>
      </c>
      <c r="BW913" s="80">
        <f>IF(ISNUMBER(B913),IF(DB_MON="Todos",1,IF(AND(INT(B913)&gt;=DB_MS,INT(B913)&lt;=DB_ME),1,0)),0)</f>
        <v>0</v>
      </c>
      <c r="BX913" s="80">
        <f>IF(DB_PROJ="Todos",1,IF(E913&amp;""=DB_PROJ&amp;"",1,0))</f>
        <v>1</v>
      </c>
      <c r="BY913" s="80">
        <f>BW913*BX913</f>
        <v>0</v>
      </c>
      <c r="BZ913" s="80" t="str">
        <f>IF(Y913=1,F913&amp;IF(AND(F913&amp;""&lt;&gt;"",E913&amp;""&lt;&gt;"")," · ","")&amp;E913,"")</f>
        <v/>
      </c>
      <c r="CA913" s="80" t="str">
        <f>IF(AND(BD913=1,E913&amp;""&lt;&gt;""),IF(COUNTIFS($E$5:E912,E913,$BD$5:BD912,1)=0,MAX($CA$5:CA912)+1,""),"")</f>
        <v/>
      </c>
      <c r="CB913" s="80" t="str">
        <f>IF(AND(BE913=1,D913="Malcolm",E913&amp;""&lt;&gt;""),IF(COUNTIFS($D$5:D912,"Malcolm",$E$5:E912,E913,$BE$5:BE912,1)=0,MAX($CB$5:CB912)+1,""),"")</f>
        <v/>
      </c>
      <c r="CC913" s="80" t="str">
        <f>IF(AND(BD913=1,D913="proMX",E913&amp;""&lt;&gt;""),IF(COUNTIFS($D$5:D912,"proMX",$E$5:E912,E913,$BD$5:BD912,1)=0,MAX($CC$5:CC912)+1,""),"")</f>
        <v/>
      </c>
      <c r="CD913" s="80" t="str">
        <f>IF(AND(BE913=1,D913="Malcolm",F913&amp;""&lt;&gt;""),IF(COUNTIFS($D$5:D912,"Malcolm",$F$5:F912,F913,$BE$5:BE912,1)=0,MAX($CD$5:CD912)+1,""),"")</f>
        <v/>
      </c>
      <c r="CE913" s="80" t="str">
        <f>IF(AND(BD913=1,D913="proMX",F913&amp;""&lt;&gt;""),IF(COUNTIFS($D$5:D912,"proMX",$F$5:F912,F913,$BD$5:BD912,1)=0,MAX($CE$5:CE912)+1,""),"")</f>
        <v/>
      </c>
      <c r="CF913" s="80" t="str">
        <f>IF(AND(D913="proMX",BD913=1),IF(OR(BF913="Draft",BF913="Submitted",BF913="Returned",BF913="Recall Requested"),MAX($CF$5:CF912)+1,""),"")</f>
        <v/>
      </c>
      <c r="CG913" s="80">
        <f>IF(BD913=0,0,IF(D913="Malcolm",1,MATCH(BF913,{"Draft","Submitted","Approved","Returned","Recall Requested","Cancelled"},0)+1))</f>
        <v>0</v>
      </c>
      <c r="CH913" s="80">
        <f>IF(AND(BF913="Submitted",ISNUMBER(V913)),IF(V913&gt;CFG_MAXD,1,0),0)</f>
        <v>0</v>
      </c>
    </row>
    <row r="914">
      <c r="A914" s="71" t="str">
        <f>IF(Y914=1,ROW()-5,"")</f>
        <v/>
      </c>
      <c r="B914" s="72" t="n"/>
      <c r="C914" s="71" t="str">
        <f>IF(ISNUMBER(B914),CHOOSE(WEEKDAY(B914,2),"Lun","Mar","Mié","Jue","Vie","Sáb","Dom"),"")</f>
        <v/>
      </c>
      <c r="D914" s="73" t="n"/>
      <c r="E914" s="74" t="n"/>
      <c r="F914" s="74" t="n"/>
      <c r="G914" s="74" t="n"/>
      <c r="H914" s="75" t="n"/>
      <c r="I914" s="75" t="n"/>
      <c r="J914" s="76" t="n"/>
      <c r="K914" s="77" t="str">
        <f>IF(AB914=1,ROUND(AG914/60,4),"")</f>
        <v/>
      </c>
      <c r="L914" s="77" t="str">
        <f>IF(BD914=1,ROUND(AP914/60,4),"")</f>
        <v/>
      </c>
      <c r="M914" s="77" t="str">
        <f>IF(BD914=1,ROUND(AQ914/60,4),"")</f>
        <v/>
      </c>
      <c r="N914" s="71" t="str">
        <f>IF(AND(D914="proMX",AB914=1),ROUND(AG914/CFG_BLK,2),"")</f>
        <v/>
      </c>
      <c r="O914" s="77" t="str">
        <f>IF(D914="proMX",IF(BD914=1,ROUND(AG914/60,4),0),"")</f>
        <v/>
      </c>
      <c r="P914" s="78" t="str">
        <f>IF(Y914=0,"",IF(BD914=1,"OK",IF(D914="proMX","Revisar bloques: ","Revisar: ")&amp;BC914))</f>
        <v/>
      </c>
      <c r="Q914" s="78" t="str">
        <f>IF(NOT(ISNUMBER(B914)),"",IF(COUNTIFS(FER_F,INT(B914))&gt;0,"Feriado"&amp;IF(AH914=1," (laborable)"," (no laborable)"),IF(AH914=1,"Laborable",IF(WEEKDAY(B914,2)&gt;5,"Fin de semana","No laborable"))))</f>
        <v/>
      </c>
      <c r="R914" s="73" t="n"/>
      <c r="S914" s="72" t="n"/>
      <c r="T914" s="72" t="n"/>
      <c r="U914" s="74" t="n"/>
      <c r="V914" s="79" t="str">
        <f>IF(AND(D914="proMX",OR(R914="Submitted",R914="Recall Requested"),ISNUMBER(S914)),CFG_TODAY-INT(S914),"")</f>
        <v/>
      </c>
      <c r="W914" s="78" t="str">
        <f>IF(BD914=0,"",IF(BA914&gt;0,"⚠ Se superpone con un registro de la otra empresa",IF(D914="Malcolm",IF(COUNTA(R914,S914,T914)&gt;0,"Estado/fechas proMX se ignoran en Malcolm",""),IF(BF914="Cancelled","Cancelado: excluido de totales",IF(R914="","Sin estado: se trata como Draft",IF(BF914="Submitted",IF(ISNUMBER(V914),IF(V914&gt;CFG_MAXD,"⚠ "&amp;V914&amp;" días en Submitted (máx. "&amp;CFG_MAXD&amp;")",""),"Falta fecha de envío"),IF(BF914="Returned","⚠ Devuelto: corregir y reenviar",IF(BF914="Recall Requested","Retirada solicitada: pendiente",IF(AND(BF914="Approved",NOT(ISNUMBER(T914))),"Falta fecha de aprobación",IF(AND(ISNUMBER(S914),ISNUMBER(T914),T914&lt;S914),"Aprobación anterior al envío","")))))))))</f>
        <v/>
      </c>
      <c r="Y914" s="80">
        <f>IF(COUNTA(B914,D914,E914,F914,G914,H914,I914,J914,R914,S914,T914)&gt;0,1,0)</f>
        <v>0</v>
      </c>
      <c r="Z914" s="80" t="str">
        <f>IF(AND(ISNUMBER(H914),H914&gt;=0,H914&lt;1),ROUND(H914*1440,0),"")</f>
        <v/>
      </c>
      <c r="AA914" s="80" t="str">
        <f>IF(AND(ISNUMBER(I914),I914&gt;=0,I914&lt;1),ROUND(I914*1440,0),"")</f>
        <v/>
      </c>
      <c r="AB914" s="80">
        <f>IF(AND(ISNUMBER(B914),D914&lt;&gt;"",ISNUMBER(Z914),ISNUMBER(AA914)),IF(Z914=AA914,0,1),0)</f>
        <v>0</v>
      </c>
      <c r="AC914" s="80">
        <f>IF(AB914=1,IF(AA914&lt;Z914,1,0),0)</f>
        <v>0</v>
      </c>
      <c r="AD914" s="80">
        <f>IF(AB914=1,IF(AC914=1,1440-Z914+AA914,AA914-Z914),0)</f>
        <v>0</v>
      </c>
      <c r="AE914" s="80">
        <f>IF(J914="",0,IF(ISNUMBER(J914),J914,-1))</f>
        <v>0</v>
      </c>
      <c r="AF914" s="80">
        <f>MIN(MAX(0,AE914),AD914)</f>
        <v>0</v>
      </c>
      <c r="AG914" s="80">
        <f>MAX(0,AD914-MAX(0,AE914))</f>
        <v>0</v>
      </c>
      <c r="AH914" s="80">
        <f>IF(ISNUMBER(B914),IF(AND(INDEX(CFG_WDAYS,WEEKDAY(INT(B914),2))="Sí",IF(D914="proMX",COUNTIFS(FER_F,INT(B914),FER_NLP,"Sí"),COUNTIFS(FER_F,INT(B914),FER_NLM,"Sí"))=0),1,0),0)</f>
        <v>0</v>
      </c>
      <c r="AI914" s="80">
        <f>IF(AC914=1,IF(AND(INDEX(CFG_WDAYS,WEEKDAY(INT(B914)+1,2))="Sí",IF(D914="proMX",COUNTIFS(FER_F,INT(B914)+1,FER_NLP,"Sí"),COUNTIFS(FER_F,INT(B914)+1,FER_NLM,"Sí"))=0),1,0),0)</f>
        <v>0</v>
      </c>
      <c r="AJ914" s="80">
        <f>IF(AC914=1,1440-Z914,AD914)</f>
        <v>0</v>
      </c>
      <c r="AK914" s="80">
        <f>IF(AND(AB914=1,AH914=1),MAX(0,MIN(IF(AC914=1,1440,AA914),CFG_WEM)-MAX(Z914,CFG_WSM)),0)</f>
        <v>0</v>
      </c>
      <c r="AL914" s="80">
        <f>IF(AND(AC914=1,AI914=1),MAX(0,MIN(AA914,CFG_WEM)-CFG_WSM),0)</f>
        <v>0</v>
      </c>
      <c r="AM914" s="80">
        <f>AK914+AL914</f>
        <v>0</v>
      </c>
      <c r="AN914" s="80">
        <f>IF(CFG_BRK="Proporcional",IF(AD914=0,0,AF914*AM914/AD914),IF(CFG_BRK="Extras primero",MIN(AM914,MAX(0,AF914-(AD914-AM914))),MIN(AF914,AM914)))</f>
        <v>0</v>
      </c>
      <c r="AO914" s="80">
        <f>AF914-AN914</f>
        <v>0</v>
      </c>
      <c r="AP914" s="80">
        <f>AM914-AN914</f>
        <v>0</v>
      </c>
      <c r="AQ914" s="80">
        <f>AD914-AM914-AO914</f>
        <v>0</v>
      </c>
      <c r="AR914" s="80">
        <f>IF(AM914=0,0,AK914-AN914*AK914/AM914)</f>
        <v>0</v>
      </c>
      <c r="AS914" s="80">
        <f>IF(AD914-AM914=0,0,(AJ914-AK914)-AO914*(AJ914-AK914)/(AD914-AM914))</f>
        <v>0</v>
      </c>
      <c r="AT914" s="80" t="str">
        <f>IF(AC914=1,INT(B914)+1,"")</f>
        <v/>
      </c>
      <c r="AU914" s="80">
        <f>IF(AND(D914="proMX",R914="Cancelled"),0,1)</f>
        <v>1</v>
      </c>
      <c r="AV914" s="80">
        <f>IF(AND(AB914=1,AU914=1),IF(COUNTIFS($D$5:D913,D914,$B$5:B913,B914,$Z$5:Z913,Z914,$AA$5:AA913,AA914,$F$5:F913,F914&amp;"",$AU$5:AU913,1)&gt;0,1,0),0)</f>
        <v>0</v>
      </c>
      <c r="AW914" s="80" t="str">
        <f>IF(AB914=1,INT(B914)*1440+Z914,"")</f>
        <v/>
      </c>
      <c r="AX914" s="80" t="str">
        <f>IF(AB914=1,AW914+AD914,"")</f>
        <v/>
      </c>
      <c r="AY914" s="80">
        <f>IF(AND(AB914=1,AV914=0,AU914=1),1,0)</f>
        <v>0</v>
      </c>
      <c r="AZ914" s="80">
        <f>IF(AY914=1,COUNTIFS(R_Emp,D914,R_SAbs,"&lt;"&amp;AX914,R_EAbs,"&gt;"&amp;AW914,R_OKey,1)-1,0)</f>
        <v>0</v>
      </c>
      <c r="BA914" s="80">
        <f>IF(AY914=1,COUNTIFS(R_Emp,"&lt;&gt;"&amp;D914,R_SAbs,"&lt;"&amp;AX914,R_EAbs,"&gt;"&amp;AW914,R_OKey,1),0)</f>
        <v>0</v>
      </c>
      <c r="BB914" s="80">
        <f>IF(AND(AB914=1,D914="proMX"),IF(AND(MOD(Z914,CFG_BLK)=0,MOD(AA914,CFG_BLK)=0,MOD(AG914,CFG_BLK)=0,AG914&gt;0),1,0),1)</f>
        <v>1</v>
      </c>
      <c r="BC914" s="80" t="str">
        <f>IF(Y914=0,"",IF(NOT(ISNUMBER(B914)),"Falta fecha o fecha inválida",IF(D914="","Falta empresa",IF(AND(D914&lt;&gt;"Malcolm",D914&lt;&gt;"proMX"),"Empresa inválida",IF(OR(INT(B914)&lt;CFG_PSTART,INT(B914)&gt;CFG_PEND),"Fecha fuera del período",IF(OR(NOT(ISNUMBER(Z914)),NOT(ISNUMBER(AA914))),"Falta hora inicio/fin o formato inválido",IF(AB914=0,"Hora inicio = hora fin",IF(AE914&lt;0,"Descanso inválido",IF(AE914&gt;=AD914,"Descanso ≥ duración",IF(AV914=1,"Registro duplicado",IF(AZ914&gt;0,"Se superpone con otro registro "&amp;D914,IF(BB914=0,"inicio, fin y duración neta deben ser múltiplos de "&amp;CFG_BLK&amp;" min",""))))))))))))</f>
        <v/>
      </c>
      <c r="BD914" s="80">
        <f>IF(AND(Y914=1,BC914=""),1,0)</f>
        <v>0</v>
      </c>
      <c r="BE914" s="80">
        <f>IF(AND(BD914=1,AU914=1),1,0)</f>
        <v>0</v>
      </c>
      <c r="BF914" s="80" t="str">
        <f>IF(AND(D914="proMX",BD914=1),IF(R914="","Draft",R914),"")</f>
        <v/>
      </c>
      <c r="BG914" s="80">
        <f>IF(BD914=1,ROUND(AG914/60,6),0)</f>
        <v>0</v>
      </c>
      <c r="BH914" s="80">
        <f>IF(BE914=1,ROUND(AG914/60,6),0)</f>
        <v>0</v>
      </c>
      <c r="BI914" s="80">
        <f>IF(BE914=1,ROUND(AP914/60,6),0)</f>
        <v>0</v>
      </c>
      <c r="BJ914" s="80">
        <f>IF(BE914=1,ROUND(AQ914/60,6),0)</f>
        <v>0</v>
      </c>
      <c r="BK914" s="80">
        <f>IF(BE914=1,ROUND((AR914+AS914)/60,6),0)</f>
        <v>0</v>
      </c>
      <c r="BL914" s="80">
        <f>ROUND(BH914-BK914,6)</f>
        <v>0</v>
      </c>
      <c r="BM914" s="80">
        <f>IF(BE914=1,ROUND(AR914/60,6),0)</f>
        <v>0</v>
      </c>
      <c r="BN914" s="80">
        <f>ROUND(BI914-BM914,6)</f>
        <v>0</v>
      </c>
      <c r="BO914" s="80">
        <f>IF(BE914=1,ROUND(AS914/60,6),0)</f>
        <v>0</v>
      </c>
      <c r="BP914" s="80">
        <f>ROUND(BJ914-BO914,6)</f>
        <v>0</v>
      </c>
      <c r="BQ914" s="80">
        <f>IF(BE914=1,AW914,0)</f>
        <v>0</v>
      </c>
      <c r="BR914" s="80">
        <f>IF(BE914=1,AX914,0)</f>
        <v>0</v>
      </c>
      <c r="BS914" s="80">
        <f>IF(AND(BE914=1,D914="Malcolm",BA914&gt;0),MIN(BH914,SUMPRODUCT((R_Emp="proMX")*(R_EN&gt;0)*((R_EN-(R_EN&gt;BR914)*(R_EN-BR914))&gt;(R_SN+(R_SN&lt;BQ914)*(BQ914-R_SN)))*((R_EN-(R_EN&gt;BR914)*(R_EN-BR914))-(R_SN+(R_SN&lt;BQ914)*(BQ914-R_SN))))/60),0)</f>
        <v>0</v>
      </c>
      <c r="BT914" s="80">
        <f>IF(AND(BE914=1,D914="proMX"),ROUND(BI914*CFG_RATE+BJ914*CFG_OTRATE,6),0)</f>
        <v>0</v>
      </c>
      <c r="BU914" s="80">
        <f>IF(AND(BD914=1,D914="proMX"),ROUND(AG914/CFG_BLK,6),0)</f>
        <v>0</v>
      </c>
      <c r="BV914" s="80" t="str">
        <f>IF(BF914="Approved",IF(ISNUMBER(T914),INT(T914),INT(B914)),"")</f>
        <v/>
      </c>
      <c r="BW914" s="80">
        <f>IF(ISNUMBER(B914),IF(DB_MON="Todos",1,IF(AND(INT(B914)&gt;=DB_MS,INT(B914)&lt;=DB_ME),1,0)),0)</f>
        <v>0</v>
      </c>
      <c r="BX914" s="80">
        <f>IF(DB_PROJ="Todos",1,IF(E914&amp;""=DB_PROJ&amp;"",1,0))</f>
        <v>1</v>
      </c>
      <c r="BY914" s="80">
        <f>BW914*BX914</f>
        <v>0</v>
      </c>
      <c r="BZ914" s="80" t="str">
        <f>IF(Y914=1,F914&amp;IF(AND(F914&amp;""&lt;&gt;"",E914&amp;""&lt;&gt;"")," · ","")&amp;E914,"")</f>
        <v/>
      </c>
      <c r="CA914" s="80" t="str">
        <f>IF(AND(BD914=1,E914&amp;""&lt;&gt;""),IF(COUNTIFS($E$5:E913,E914,$BD$5:BD913,1)=0,MAX($CA$5:CA913)+1,""),"")</f>
        <v/>
      </c>
      <c r="CB914" s="80" t="str">
        <f>IF(AND(BE914=1,D914="Malcolm",E914&amp;""&lt;&gt;""),IF(COUNTIFS($D$5:D913,"Malcolm",$E$5:E913,E914,$BE$5:BE913,1)=0,MAX($CB$5:CB913)+1,""),"")</f>
        <v/>
      </c>
      <c r="CC914" s="80" t="str">
        <f>IF(AND(BD914=1,D914="proMX",E914&amp;""&lt;&gt;""),IF(COUNTIFS($D$5:D913,"proMX",$E$5:E913,E914,$BD$5:BD913,1)=0,MAX($CC$5:CC913)+1,""),"")</f>
        <v/>
      </c>
      <c r="CD914" s="80" t="str">
        <f>IF(AND(BE914=1,D914="Malcolm",F914&amp;""&lt;&gt;""),IF(COUNTIFS($D$5:D913,"Malcolm",$F$5:F913,F914,$BE$5:BE913,1)=0,MAX($CD$5:CD913)+1,""),"")</f>
        <v/>
      </c>
      <c r="CE914" s="80" t="str">
        <f>IF(AND(BD914=1,D914="proMX",F914&amp;""&lt;&gt;""),IF(COUNTIFS($D$5:D913,"proMX",$F$5:F913,F914,$BD$5:BD913,1)=0,MAX($CE$5:CE913)+1,""),"")</f>
        <v/>
      </c>
      <c r="CF914" s="80" t="str">
        <f>IF(AND(D914="proMX",BD914=1),IF(OR(BF914="Draft",BF914="Submitted",BF914="Returned",BF914="Recall Requested"),MAX($CF$5:CF913)+1,""),"")</f>
        <v/>
      </c>
      <c r="CG914" s="80">
        <f>IF(BD914=0,0,IF(D914="Malcolm",1,MATCH(BF914,{"Draft","Submitted","Approved","Returned","Recall Requested","Cancelled"},0)+1))</f>
        <v>0</v>
      </c>
      <c r="CH914" s="80">
        <f>IF(AND(BF914="Submitted",ISNUMBER(V914)),IF(V914&gt;CFG_MAXD,1,0),0)</f>
        <v>0</v>
      </c>
    </row>
    <row r="915">
      <c r="A915" s="71" t="str">
        <f>IF(Y915=1,ROW()-5,"")</f>
        <v/>
      </c>
      <c r="B915" s="72" t="n"/>
      <c r="C915" s="71" t="str">
        <f>IF(ISNUMBER(B915),CHOOSE(WEEKDAY(B915,2),"Lun","Mar","Mié","Jue","Vie","Sáb","Dom"),"")</f>
        <v/>
      </c>
      <c r="D915" s="73" t="n"/>
      <c r="E915" s="74" t="n"/>
      <c r="F915" s="74" t="n"/>
      <c r="G915" s="74" t="n"/>
      <c r="H915" s="75" t="n"/>
      <c r="I915" s="75" t="n"/>
      <c r="J915" s="76" t="n"/>
      <c r="K915" s="77" t="str">
        <f>IF(AB915=1,ROUND(AG915/60,4),"")</f>
        <v/>
      </c>
      <c r="L915" s="77" t="str">
        <f>IF(BD915=1,ROUND(AP915/60,4),"")</f>
        <v/>
      </c>
      <c r="M915" s="77" t="str">
        <f>IF(BD915=1,ROUND(AQ915/60,4),"")</f>
        <v/>
      </c>
      <c r="N915" s="71" t="str">
        <f>IF(AND(D915="proMX",AB915=1),ROUND(AG915/CFG_BLK,2),"")</f>
        <v/>
      </c>
      <c r="O915" s="77" t="str">
        <f>IF(D915="proMX",IF(BD915=1,ROUND(AG915/60,4),0),"")</f>
        <v/>
      </c>
      <c r="P915" s="78" t="str">
        <f>IF(Y915=0,"",IF(BD915=1,"OK",IF(D915="proMX","Revisar bloques: ","Revisar: ")&amp;BC915))</f>
        <v/>
      </c>
      <c r="Q915" s="78" t="str">
        <f>IF(NOT(ISNUMBER(B915)),"",IF(COUNTIFS(FER_F,INT(B915))&gt;0,"Feriado"&amp;IF(AH915=1," (laborable)"," (no laborable)"),IF(AH915=1,"Laborable",IF(WEEKDAY(B915,2)&gt;5,"Fin de semana","No laborable"))))</f>
        <v/>
      </c>
      <c r="R915" s="73" t="n"/>
      <c r="S915" s="72" t="n"/>
      <c r="T915" s="72" t="n"/>
      <c r="U915" s="74" t="n"/>
      <c r="V915" s="79" t="str">
        <f>IF(AND(D915="proMX",OR(R915="Submitted",R915="Recall Requested"),ISNUMBER(S915)),CFG_TODAY-INT(S915),"")</f>
        <v/>
      </c>
      <c r="W915" s="78" t="str">
        <f>IF(BD915=0,"",IF(BA915&gt;0,"⚠ Se superpone con un registro de la otra empresa",IF(D915="Malcolm",IF(COUNTA(R915,S915,T915)&gt;0,"Estado/fechas proMX se ignoran en Malcolm",""),IF(BF915="Cancelled","Cancelado: excluido de totales",IF(R915="","Sin estado: se trata como Draft",IF(BF915="Submitted",IF(ISNUMBER(V915),IF(V915&gt;CFG_MAXD,"⚠ "&amp;V915&amp;" días en Submitted (máx. "&amp;CFG_MAXD&amp;")",""),"Falta fecha de envío"),IF(BF915="Returned","⚠ Devuelto: corregir y reenviar",IF(BF915="Recall Requested","Retirada solicitada: pendiente",IF(AND(BF915="Approved",NOT(ISNUMBER(T915))),"Falta fecha de aprobación",IF(AND(ISNUMBER(S915),ISNUMBER(T915),T915&lt;S915),"Aprobación anterior al envío","")))))))))</f>
        <v/>
      </c>
      <c r="Y915" s="80">
        <f>IF(COUNTA(B915,D915,E915,F915,G915,H915,I915,J915,R915,S915,T915)&gt;0,1,0)</f>
        <v>0</v>
      </c>
      <c r="Z915" s="80" t="str">
        <f>IF(AND(ISNUMBER(H915),H915&gt;=0,H915&lt;1),ROUND(H915*1440,0),"")</f>
        <v/>
      </c>
      <c r="AA915" s="80" t="str">
        <f>IF(AND(ISNUMBER(I915),I915&gt;=0,I915&lt;1),ROUND(I915*1440,0),"")</f>
        <v/>
      </c>
      <c r="AB915" s="80">
        <f>IF(AND(ISNUMBER(B915),D915&lt;&gt;"",ISNUMBER(Z915),ISNUMBER(AA915)),IF(Z915=AA915,0,1),0)</f>
        <v>0</v>
      </c>
      <c r="AC915" s="80">
        <f>IF(AB915=1,IF(AA915&lt;Z915,1,0),0)</f>
        <v>0</v>
      </c>
      <c r="AD915" s="80">
        <f>IF(AB915=1,IF(AC915=1,1440-Z915+AA915,AA915-Z915),0)</f>
        <v>0</v>
      </c>
      <c r="AE915" s="80">
        <f>IF(J915="",0,IF(ISNUMBER(J915),J915,-1))</f>
        <v>0</v>
      </c>
      <c r="AF915" s="80">
        <f>MIN(MAX(0,AE915),AD915)</f>
        <v>0</v>
      </c>
      <c r="AG915" s="80">
        <f>MAX(0,AD915-MAX(0,AE915))</f>
        <v>0</v>
      </c>
      <c r="AH915" s="80">
        <f>IF(ISNUMBER(B915),IF(AND(INDEX(CFG_WDAYS,WEEKDAY(INT(B915),2))="Sí",IF(D915="proMX",COUNTIFS(FER_F,INT(B915),FER_NLP,"Sí"),COUNTIFS(FER_F,INT(B915),FER_NLM,"Sí"))=0),1,0),0)</f>
        <v>0</v>
      </c>
      <c r="AI915" s="80">
        <f>IF(AC915=1,IF(AND(INDEX(CFG_WDAYS,WEEKDAY(INT(B915)+1,2))="Sí",IF(D915="proMX",COUNTIFS(FER_F,INT(B915)+1,FER_NLP,"Sí"),COUNTIFS(FER_F,INT(B915)+1,FER_NLM,"Sí"))=0),1,0),0)</f>
        <v>0</v>
      </c>
      <c r="AJ915" s="80">
        <f>IF(AC915=1,1440-Z915,AD915)</f>
        <v>0</v>
      </c>
      <c r="AK915" s="80">
        <f>IF(AND(AB915=1,AH915=1),MAX(0,MIN(IF(AC915=1,1440,AA915),CFG_WEM)-MAX(Z915,CFG_WSM)),0)</f>
        <v>0</v>
      </c>
      <c r="AL915" s="80">
        <f>IF(AND(AC915=1,AI915=1),MAX(0,MIN(AA915,CFG_WEM)-CFG_WSM),0)</f>
        <v>0</v>
      </c>
      <c r="AM915" s="80">
        <f>AK915+AL915</f>
        <v>0</v>
      </c>
      <c r="AN915" s="80">
        <f>IF(CFG_BRK="Proporcional",IF(AD915=0,0,AF915*AM915/AD915),IF(CFG_BRK="Extras primero",MIN(AM915,MAX(0,AF915-(AD915-AM915))),MIN(AF915,AM915)))</f>
        <v>0</v>
      </c>
      <c r="AO915" s="80">
        <f>AF915-AN915</f>
        <v>0</v>
      </c>
      <c r="AP915" s="80">
        <f>AM915-AN915</f>
        <v>0</v>
      </c>
      <c r="AQ915" s="80">
        <f>AD915-AM915-AO915</f>
        <v>0</v>
      </c>
      <c r="AR915" s="80">
        <f>IF(AM915=0,0,AK915-AN915*AK915/AM915)</f>
        <v>0</v>
      </c>
      <c r="AS915" s="80">
        <f>IF(AD915-AM915=0,0,(AJ915-AK915)-AO915*(AJ915-AK915)/(AD915-AM915))</f>
        <v>0</v>
      </c>
      <c r="AT915" s="80" t="str">
        <f>IF(AC915=1,INT(B915)+1,"")</f>
        <v/>
      </c>
      <c r="AU915" s="80">
        <f>IF(AND(D915="proMX",R915="Cancelled"),0,1)</f>
        <v>1</v>
      </c>
      <c r="AV915" s="80">
        <f>IF(AND(AB915=1,AU915=1),IF(COUNTIFS($D$5:D914,D915,$B$5:B914,B915,$Z$5:Z914,Z915,$AA$5:AA914,AA915,$F$5:F914,F915&amp;"",$AU$5:AU914,1)&gt;0,1,0),0)</f>
        <v>0</v>
      </c>
      <c r="AW915" s="80" t="str">
        <f>IF(AB915=1,INT(B915)*1440+Z915,"")</f>
        <v/>
      </c>
      <c r="AX915" s="80" t="str">
        <f>IF(AB915=1,AW915+AD915,"")</f>
        <v/>
      </c>
      <c r="AY915" s="80">
        <f>IF(AND(AB915=1,AV915=0,AU915=1),1,0)</f>
        <v>0</v>
      </c>
      <c r="AZ915" s="80">
        <f>IF(AY915=1,COUNTIFS(R_Emp,D915,R_SAbs,"&lt;"&amp;AX915,R_EAbs,"&gt;"&amp;AW915,R_OKey,1)-1,0)</f>
        <v>0</v>
      </c>
      <c r="BA915" s="80">
        <f>IF(AY915=1,COUNTIFS(R_Emp,"&lt;&gt;"&amp;D915,R_SAbs,"&lt;"&amp;AX915,R_EAbs,"&gt;"&amp;AW915,R_OKey,1),0)</f>
        <v>0</v>
      </c>
      <c r="BB915" s="80">
        <f>IF(AND(AB915=1,D915="proMX"),IF(AND(MOD(Z915,CFG_BLK)=0,MOD(AA915,CFG_BLK)=0,MOD(AG915,CFG_BLK)=0,AG915&gt;0),1,0),1)</f>
        <v>1</v>
      </c>
      <c r="BC915" s="80" t="str">
        <f>IF(Y915=0,"",IF(NOT(ISNUMBER(B915)),"Falta fecha o fecha inválida",IF(D915="","Falta empresa",IF(AND(D915&lt;&gt;"Malcolm",D915&lt;&gt;"proMX"),"Empresa inválida",IF(OR(INT(B915)&lt;CFG_PSTART,INT(B915)&gt;CFG_PEND),"Fecha fuera del período",IF(OR(NOT(ISNUMBER(Z915)),NOT(ISNUMBER(AA915))),"Falta hora inicio/fin o formato inválido",IF(AB915=0,"Hora inicio = hora fin",IF(AE915&lt;0,"Descanso inválido",IF(AE915&gt;=AD915,"Descanso ≥ duración",IF(AV915=1,"Registro duplicado",IF(AZ915&gt;0,"Se superpone con otro registro "&amp;D915,IF(BB915=0,"inicio, fin y duración neta deben ser múltiplos de "&amp;CFG_BLK&amp;" min",""))))))))))))</f>
        <v/>
      </c>
      <c r="BD915" s="80">
        <f>IF(AND(Y915=1,BC915=""),1,0)</f>
        <v>0</v>
      </c>
      <c r="BE915" s="80">
        <f>IF(AND(BD915=1,AU915=1),1,0)</f>
        <v>0</v>
      </c>
      <c r="BF915" s="80" t="str">
        <f>IF(AND(D915="proMX",BD915=1),IF(R915="","Draft",R915),"")</f>
        <v/>
      </c>
      <c r="BG915" s="80">
        <f>IF(BD915=1,ROUND(AG915/60,6),0)</f>
        <v>0</v>
      </c>
      <c r="BH915" s="80">
        <f>IF(BE915=1,ROUND(AG915/60,6),0)</f>
        <v>0</v>
      </c>
      <c r="BI915" s="80">
        <f>IF(BE915=1,ROUND(AP915/60,6),0)</f>
        <v>0</v>
      </c>
      <c r="BJ915" s="80">
        <f>IF(BE915=1,ROUND(AQ915/60,6),0)</f>
        <v>0</v>
      </c>
      <c r="BK915" s="80">
        <f>IF(BE915=1,ROUND((AR915+AS915)/60,6),0)</f>
        <v>0</v>
      </c>
      <c r="BL915" s="80">
        <f>ROUND(BH915-BK915,6)</f>
        <v>0</v>
      </c>
      <c r="BM915" s="80">
        <f>IF(BE915=1,ROUND(AR915/60,6),0)</f>
        <v>0</v>
      </c>
      <c r="BN915" s="80">
        <f>ROUND(BI915-BM915,6)</f>
        <v>0</v>
      </c>
      <c r="BO915" s="80">
        <f>IF(BE915=1,ROUND(AS915/60,6),0)</f>
        <v>0</v>
      </c>
      <c r="BP915" s="80">
        <f>ROUND(BJ915-BO915,6)</f>
        <v>0</v>
      </c>
      <c r="BQ915" s="80">
        <f>IF(BE915=1,AW915,0)</f>
        <v>0</v>
      </c>
      <c r="BR915" s="80">
        <f>IF(BE915=1,AX915,0)</f>
        <v>0</v>
      </c>
      <c r="BS915" s="80">
        <f>IF(AND(BE915=1,D915="Malcolm",BA915&gt;0),MIN(BH915,SUMPRODUCT((R_Emp="proMX")*(R_EN&gt;0)*((R_EN-(R_EN&gt;BR915)*(R_EN-BR915))&gt;(R_SN+(R_SN&lt;BQ915)*(BQ915-R_SN)))*((R_EN-(R_EN&gt;BR915)*(R_EN-BR915))-(R_SN+(R_SN&lt;BQ915)*(BQ915-R_SN))))/60),0)</f>
        <v>0</v>
      </c>
      <c r="BT915" s="80">
        <f>IF(AND(BE915=1,D915="proMX"),ROUND(BI915*CFG_RATE+BJ915*CFG_OTRATE,6),0)</f>
        <v>0</v>
      </c>
      <c r="BU915" s="80">
        <f>IF(AND(BD915=1,D915="proMX"),ROUND(AG915/CFG_BLK,6),0)</f>
        <v>0</v>
      </c>
      <c r="BV915" s="80" t="str">
        <f>IF(BF915="Approved",IF(ISNUMBER(T915),INT(T915),INT(B915)),"")</f>
        <v/>
      </c>
      <c r="BW915" s="80">
        <f>IF(ISNUMBER(B915),IF(DB_MON="Todos",1,IF(AND(INT(B915)&gt;=DB_MS,INT(B915)&lt;=DB_ME),1,0)),0)</f>
        <v>0</v>
      </c>
      <c r="BX915" s="80">
        <f>IF(DB_PROJ="Todos",1,IF(E915&amp;""=DB_PROJ&amp;"",1,0))</f>
        <v>1</v>
      </c>
      <c r="BY915" s="80">
        <f>BW915*BX915</f>
        <v>0</v>
      </c>
      <c r="BZ915" s="80" t="str">
        <f>IF(Y915=1,F915&amp;IF(AND(F915&amp;""&lt;&gt;"",E915&amp;""&lt;&gt;"")," · ","")&amp;E915,"")</f>
        <v/>
      </c>
      <c r="CA915" s="80" t="str">
        <f>IF(AND(BD915=1,E915&amp;""&lt;&gt;""),IF(COUNTIFS($E$5:E914,E915,$BD$5:BD914,1)=0,MAX($CA$5:CA914)+1,""),"")</f>
        <v/>
      </c>
      <c r="CB915" s="80" t="str">
        <f>IF(AND(BE915=1,D915="Malcolm",E915&amp;""&lt;&gt;""),IF(COUNTIFS($D$5:D914,"Malcolm",$E$5:E914,E915,$BE$5:BE914,1)=0,MAX($CB$5:CB914)+1,""),"")</f>
        <v/>
      </c>
      <c r="CC915" s="80" t="str">
        <f>IF(AND(BD915=1,D915="proMX",E915&amp;""&lt;&gt;""),IF(COUNTIFS($D$5:D914,"proMX",$E$5:E914,E915,$BD$5:BD914,1)=0,MAX($CC$5:CC914)+1,""),"")</f>
        <v/>
      </c>
      <c r="CD915" s="80" t="str">
        <f>IF(AND(BE915=1,D915="Malcolm",F915&amp;""&lt;&gt;""),IF(COUNTIFS($D$5:D914,"Malcolm",$F$5:F914,F915,$BE$5:BE914,1)=0,MAX($CD$5:CD914)+1,""),"")</f>
        <v/>
      </c>
      <c r="CE915" s="80" t="str">
        <f>IF(AND(BD915=1,D915="proMX",F915&amp;""&lt;&gt;""),IF(COUNTIFS($D$5:D914,"proMX",$F$5:F914,F915,$BD$5:BD914,1)=0,MAX($CE$5:CE914)+1,""),"")</f>
        <v/>
      </c>
      <c r="CF915" s="80" t="str">
        <f>IF(AND(D915="proMX",BD915=1),IF(OR(BF915="Draft",BF915="Submitted",BF915="Returned",BF915="Recall Requested"),MAX($CF$5:CF914)+1,""),"")</f>
        <v/>
      </c>
      <c r="CG915" s="80">
        <f>IF(BD915=0,0,IF(D915="Malcolm",1,MATCH(BF915,{"Draft","Submitted","Approved","Returned","Recall Requested","Cancelled"},0)+1))</f>
        <v>0</v>
      </c>
      <c r="CH915" s="80">
        <f>IF(AND(BF915="Submitted",ISNUMBER(V915)),IF(V915&gt;CFG_MAXD,1,0),0)</f>
        <v>0</v>
      </c>
    </row>
    <row r="916">
      <c r="A916" s="71" t="str">
        <f>IF(Y916=1,ROW()-5,"")</f>
        <v/>
      </c>
      <c r="B916" s="72" t="n"/>
      <c r="C916" s="71" t="str">
        <f>IF(ISNUMBER(B916),CHOOSE(WEEKDAY(B916,2),"Lun","Mar","Mié","Jue","Vie","Sáb","Dom"),"")</f>
        <v/>
      </c>
      <c r="D916" s="73" t="n"/>
      <c r="E916" s="74" t="n"/>
      <c r="F916" s="74" t="n"/>
      <c r="G916" s="74" t="n"/>
      <c r="H916" s="75" t="n"/>
      <c r="I916" s="75" t="n"/>
      <c r="J916" s="76" t="n"/>
      <c r="K916" s="77" t="str">
        <f>IF(AB916=1,ROUND(AG916/60,4),"")</f>
        <v/>
      </c>
      <c r="L916" s="77" t="str">
        <f>IF(BD916=1,ROUND(AP916/60,4),"")</f>
        <v/>
      </c>
      <c r="M916" s="77" t="str">
        <f>IF(BD916=1,ROUND(AQ916/60,4),"")</f>
        <v/>
      </c>
      <c r="N916" s="71" t="str">
        <f>IF(AND(D916="proMX",AB916=1),ROUND(AG916/CFG_BLK,2),"")</f>
        <v/>
      </c>
      <c r="O916" s="77" t="str">
        <f>IF(D916="proMX",IF(BD916=1,ROUND(AG916/60,4),0),"")</f>
        <v/>
      </c>
      <c r="P916" s="78" t="str">
        <f>IF(Y916=0,"",IF(BD916=1,"OK",IF(D916="proMX","Revisar bloques: ","Revisar: ")&amp;BC916))</f>
        <v/>
      </c>
      <c r="Q916" s="78" t="str">
        <f>IF(NOT(ISNUMBER(B916)),"",IF(COUNTIFS(FER_F,INT(B916))&gt;0,"Feriado"&amp;IF(AH916=1," (laborable)"," (no laborable)"),IF(AH916=1,"Laborable",IF(WEEKDAY(B916,2)&gt;5,"Fin de semana","No laborable"))))</f>
        <v/>
      </c>
      <c r="R916" s="73" t="n"/>
      <c r="S916" s="72" t="n"/>
      <c r="T916" s="72" t="n"/>
      <c r="U916" s="74" t="n"/>
      <c r="V916" s="79" t="str">
        <f>IF(AND(D916="proMX",OR(R916="Submitted",R916="Recall Requested"),ISNUMBER(S916)),CFG_TODAY-INT(S916),"")</f>
        <v/>
      </c>
      <c r="W916" s="78" t="str">
        <f>IF(BD916=0,"",IF(BA916&gt;0,"⚠ Se superpone con un registro de la otra empresa",IF(D916="Malcolm",IF(COUNTA(R916,S916,T916)&gt;0,"Estado/fechas proMX se ignoran en Malcolm",""),IF(BF916="Cancelled","Cancelado: excluido de totales",IF(R916="","Sin estado: se trata como Draft",IF(BF916="Submitted",IF(ISNUMBER(V916),IF(V916&gt;CFG_MAXD,"⚠ "&amp;V916&amp;" días en Submitted (máx. "&amp;CFG_MAXD&amp;")",""),"Falta fecha de envío"),IF(BF916="Returned","⚠ Devuelto: corregir y reenviar",IF(BF916="Recall Requested","Retirada solicitada: pendiente",IF(AND(BF916="Approved",NOT(ISNUMBER(T916))),"Falta fecha de aprobación",IF(AND(ISNUMBER(S916),ISNUMBER(T916),T916&lt;S916),"Aprobación anterior al envío","")))))))))</f>
        <v/>
      </c>
      <c r="Y916" s="80">
        <f>IF(COUNTA(B916,D916,E916,F916,G916,H916,I916,J916,R916,S916,T916)&gt;0,1,0)</f>
        <v>0</v>
      </c>
      <c r="Z916" s="80" t="str">
        <f>IF(AND(ISNUMBER(H916),H916&gt;=0,H916&lt;1),ROUND(H916*1440,0),"")</f>
        <v/>
      </c>
      <c r="AA916" s="80" t="str">
        <f>IF(AND(ISNUMBER(I916),I916&gt;=0,I916&lt;1),ROUND(I916*1440,0),"")</f>
        <v/>
      </c>
      <c r="AB916" s="80">
        <f>IF(AND(ISNUMBER(B916),D916&lt;&gt;"",ISNUMBER(Z916),ISNUMBER(AA916)),IF(Z916=AA916,0,1),0)</f>
        <v>0</v>
      </c>
      <c r="AC916" s="80">
        <f>IF(AB916=1,IF(AA916&lt;Z916,1,0),0)</f>
        <v>0</v>
      </c>
      <c r="AD916" s="80">
        <f>IF(AB916=1,IF(AC916=1,1440-Z916+AA916,AA916-Z916),0)</f>
        <v>0</v>
      </c>
      <c r="AE916" s="80">
        <f>IF(J916="",0,IF(ISNUMBER(J916),J916,-1))</f>
        <v>0</v>
      </c>
      <c r="AF916" s="80">
        <f>MIN(MAX(0,AE916),AD916)</f>
        <v>0</v>
      </c>
      <c r="AG916" s="80">
        <f>MAX(0,AD916-MAX(0,AE916))</f>
        <v>0</v>
      </c>
      <c r="AH916" s="80">
        <f>IF(ISNUMBER(B916),IF(AND(INDEX(CFG_WDAYS,WEEKDAY(INT(B916),2))="Sí",IF(D916="proMX",COUNTIFS(FER_F,INT(B916),FER_NLP,"Sí"),COUNTIFS(FER_F,INT(B916),FER_NLM,"Sí"))=0),1,0),0)</f>
        <v>0</v>
      </c>
      <c r="AI916" s="80">
        <f>IF(AC916=1,IF(AND(INDEX(CFG_WDAYS,WEEKDAY(INT(B916)+1,2))="Sí",IF(D916="proMX",COUNTIFS(FER_F,INT(B916)+1,FER_NLP,"Sí"),COUNTIFS(FER_F,INT(B916)+1,FER_NLM,"Sí"))=0),1,0),0)</f>
        <v>0</v>
      </c>
      <c r="AJ916" s="80">
        <f>IF(AC916=1,1440-Z916,AD916)</f>
        <v>0</v>
      </c>
      <c r="AK916" s="80">
        <f>IF(AND(AB916=1,AH916=1),MAX(0,MIN(IF(AC916=1,1440,AA916),CFG_WEM)-MAX(Z916,CFG_WSM)),0)</f>
        <v>0</v>
      </c>
      <c r="AL916" s="80">
        <f>IF(AND(AC916=1,AI916=1),MAX(0,MIN(AA916,CFG_WEM)-CFG_WSM),0)</f>
        <v>0</v>
      </c>
      <c r="AM916" s="80">
        <f>AK916+AL916</f>
        <v>0</v>
      </c>
      <c r="AN916" s="80">
        <f>IF(CFG_BRK="Proporcional",IF(AD916=0,0,AF916*AM916/AD916),IF(CFG_BRK="Extras primero",MIN(AM916,MAX(0,AF916-(AD916-AM916))),MIN(AF916,AM916)))</f>
        <v>0</v>
      </c>
      <c r="AO916" s="80">
        <f>AF916-AN916</f>
        <v>0</v>
      </c>
      <c r="AP916" s="80">
        <f>AM916-AN916</f>
        <v>0</v>
      </c>
      <c r="AQ916" s="80">
        <f>AD916-AM916-AO916</f>
        <v>0</v>
      </c>
      <c r="AR916" s="80">
        <f>IF(AM916=0,0,AK916-AN916*AK916/AM916)</f>
        <v>0</v>
      </c>
      <c r="AS916" s="80">
        <f>IF(AD916-AM916=0,0,(AJ916-AK916)-AO916*(AJ916-AK916)/(AD916-AM916))</f>
        <v>0</v>
      </c>
      <c r="AT916" s="80" t="str">
        <f>IF(AC916=1,INT(B916)+1,"")</f>
        <v/>
      </c>
      <c r="AU916" s="80">
        <f>IF(AND(D916="proMX",R916="Cancelled"),0,1)</f>
        <v>1</v>
      </c>
      <c r="AV916" s="80">
        <f>IF(AND(AB916=1,AU916=1),IF(COUNTIFS($D$5:D915,D916,$B$5:B915,B916,$Z$5:Z915,Z916,$AA$5:AA915,AA916,$F$5:F915,F916&amp;"",$AU$5:AU915,1)&gt;0,1,0),0)</f>
        <v>0</v>
      </c>
      <c r="AW916" s="80" t="str">
        <f>IF(AB916=1,INT(B916)*1440+Z916,"")</f>
        <v/>
      </c>
      <c r="AX916" s="80" t="str">
        <f>IF(AB916=1,AW916+AD916,"")</f>
        <v/>
      </c>
      <c r="AY916" s="80">
        <f>IF(AND(AB916=1,AV916=0,AU916=1),1,0)</f>
        <v>0</v>
      </c>
      <c r="AZ916" s="80">
        <f>IF(AY916=1,COUNTIFS(R_Emp,D916,R_SAbs,"&lt;"&amp;AX916,R_EAbs,"&gt;"&amp;AW916,R_OKey,1)-1,0)</f>
        <v>0</v>
      </c>
      <c r="BA916" s="80">
        <f>IF(AY916=1,COUNTIFS(R_Emp,"&lt;&gt;"&amp;D916,R_SAbs,"&lt;"&amp;AX916,R_EAbs,"&gt;"&amp;AW916,R_OKey,1),0)</f>
        <v>0</v>
      </c>
      <c r="BB916" s="80">
        <f>IF(AND(AB916=1,D916="proMX"),IF(AND(MOD(Z916,CFG_BLK)=0,MOD(AA916,CFG_BLK)=0,MOD(AG916,CFG_BLK)=0,AG916&gt;0),1,0),1)</f>
        <v>1</v>
      </c>
      <c r="BC916" s="80" t="str">
        <f>IF(Y916=0,"",IF(NOT(ISNUMBER(B916)),"Falta fecha o fecha inválida",IF(D916="","Falta empresa",IF(AND(D916&lt;&gt;"Malcolm",D916&lt;&gt;"proMX"),"Empresa inválida",IF(OR(INT(B916)&lt;CFG_PSTART,INT(B916)&gt;CFG_PEND),"Fecha fuera del período",IF(OR(NOT(ISNUMBER(Z916)),NOT(ISNUMBER(AA916))),"Falta hora inicio/fin o formato inválido",IF(AB916=0,"Hora inicio = hora fin",IF(AE916&lt;0,"Descanso inválido",IF(AE916&gt;=AD916,"Descanso ≥ duración",IF(AV916=1,"Registro duplicado",IF(AZ916&gt;0,"Se superpone con otro registro "&amp;D916,IF(BB916=0,"inicio, fin y duración neta deben ser múltiplos de "&amp;CFG_BLK&amp;" min",""))))))))))))</f>
        <v/>
      </c>
      <c r="BD916" s="80">
        <f>IF(AND(Y916=1,BC916=""),1,0)</f>
        <v>0</v>
      </c>
      <c r="BE916" s="80">
        <f>IF(AND(BD916=1,AU916=1),1,0)</f>
        <v>0</v>
      </c>
      <c r="BF916" s="80" t="str">
        <f>IF(AND(D916="proMX",BD916=1),IF(R916="","Draft",R916),"")</f>
        <v/>
      </c>
      <c r="BG916" s="80">
        <f>IF(BD916=1,ROUND(AG916/60,6),0)</f>
        <v>0</v>
      </c>
      <c r="BH916" s="80">
        <f>IF(BE916=1,ROUND(AG916/60,6),0)</f>
        <v>0</v>
      </c>
      <c r="BI916" s="80">
        <f>IF(BE916=1,ROUND(AP916/60,6),0)</f>
        <v>0</v>
      </c>
      <c r="BJ916" s="80">
        <f>IF(BE916=1,ROUND(AQ916/60,6),0)</f>
        <v>0</v>
      </c>
      <c r="BK916" s="80">
        <f>IF(BE916=1,ROUND((AR916+AS916)/60,6),0)</f>
        <v>0</v>
      </c>
      <c r="BL916" s="80">
        <f>ROUND(BH916-BK916,6)</f>
        <v>0</v>
      </c>
      <c r="BM916" s="80">
        <f>IF(BE916=1,ROUND(AR916/60,6),0)</f>
        <v>0</v>
      </c>
      <c r="BN916" s="80">
        <f>ROUND(BI916-BM916,6)</f>
        <v>0</v>
      </c>
      <c r="BO916" s="80">
        <f>IF(BE916=1,ROUND(AS916/60,6),0)</f>
        <v>0</v>
      </c>
      <c r="BP916" s="80">
        <f>ROUND(BJ916-BO916,6)</f>
        <v>0</v>
      </c>
      <c r="BQ916" s="80">
        <f>IF(BE916=1,AW916,0)</f>
        <v>0</v>
      </c>
      <c r="BR916" s="80">
        <f>IF(BE916=1,AX916,0)</f>
        <v>0</v>
      </c>
      <c r="BS916" s="80">
        <f>IF(AND(BE916=1,D916="Malcolm",BA916&gt;0),MIN(BH916,SUMPRODUCT((R_Emp="proMX")*(R_EN&gt;0)*((R_EN-(R_EN&gt;BR916)*(R_EN-BR916))&gt;(R_SN+(R_SN&lt;BQ916)*(BQ916-R_SN)))*((R_EN-(R_EN&gt;BR916)*(R_EN-BR916))-(R_SN+(R_SN&lt;BQ916)*(BQ916-R_SN))))/60),0)</f>
        <v>0</v>
      </c>
      <c r="BT916" s="80">
        <f>IF(AND(BE916=1,D916="proMX"),ROUND(BI916*CFG_RATE+BJ916*CFG_OTRATE,6),0)</f>
        <v>0</v>
      </c>
      <c r="BU916" s="80">
        <f>IF(AND(BD916=1,D916="proMX"),ROUND(AG916/CFG_BLK,6),0)</f>
        <v>0</v>
      </c>
      <c r="BV916" s="80" t="str">
        <f>IF(BF916="Approved",IF(ISNUMBER(T916),INT(T916),INT(B916)),"")</f>
        <v/>
      </c>
      <c r="BW916" s="80">
        <f>IF(ISNUMBER(B916),IF(DB_MON="Todos",1,IF(AND(INT(B916)&gt;=DB_MS,INT(B916)&lt;=DB_ME),1,0)),0)</f>
        <v>0</v>
      </c>
      <c r="BX916" s="80">
        <f>IF(DB_PROJ="Todos",1,IF(E916&amp;""=DB_PROJ&amp;"",1,0))</f>
        <v>1</v>
      </c>
      <c r="BY916" s="80">
        <f>BW916*BX916</f>
        <v>0</v>
      </c>
      <c r="BZ916" s="80" t="str">
        <f>IF(Y916=1,F916&amp;IF(AND(F916&amp;""&lt;&gt;"",E916&amp;""&lt;&gt;"")," · ","")&amp;E916,"")</f>
        <v/>
      </c>
      <c r="CA916" s="80" t="str">
        <f>IF(AND(BD916=1,E916&amp;""&lt;&gt;""),IF(COUNTIFS($E$5:E915,E916,$BD$5:BD915,1)=0,MAX($CA$5:CA915)+1,""),"")</f>
        <v/>
      </c>
      <c r="CB916" s="80" t="str">
        <f>IF(AND(BE916=1,D916="Malcolm",E916&amp;""&lt;&gt;""),IF(COUNTIFS($D$5:D915,"Malcolm",$E$5:E915,E916,$BE$5:BE915,1)=0,MAX($CB$5:CB915)+1,""),"")</f>
        <v/>
      </c>
      <c r="CC916" s="80" t="str">
        <f>IF(AND(BD916=1,D916="proMX",E916&amp;""&lt;&gt;""),IF(COUNTIFS($D$5:D915,"proMX",$E$5:E915,E916,$BD$5:BD915,1)=0,MAX($CC$5:CC915)+1,""),"")</f>
        <v/>
      </c>
      <c r="CD916" s="80" t="str">
        <f>IF(AND(BE916=1,D916="Malcolm",F916&amp;""&lt;&gt;""),IF(COUNTIFS($D$5:D915,"Malcolm",$F$5:F915,F916,$BE$5:BE915,1)=0,MAX($CD$5:CD915)+1,""),"")</f>
        <v/>
      </c>
      <c r="CE916" s="80" t="str">
        <f>IF(AND(BD916=1,D916="proMX",F916&amp;""&lt;&gt;""),IF(COUNTIFS($D$5:D915,"proMX",$F$5:F915,F916,$BD$5:BD915,1)=0,MAX($CE$5:CE915)+1,""),"")</f>
        <v/>
      </c>
      <c r="CF916" s="80" t="str">
        <f>IF(AND(D916="proMX",BD916=1),IF(OR(BF916="Draft",BF916="Submitted",BF916="Returned",BF916="Recall Requested"),MAX($CF$5:CF915)+1,""),"")</f>
        <v/>
      </c>
      <c r="CG916" s="80">
        <f>IF(BD916=0,0,IF(D916="Malcolm",1,MATCH(BF916,{"Draft","Submitted","Approved","Returned","Recall Requested","Cancelled"},0)+1))</f>
        <v>0</v>
      </c>
      <c r="CH916" s="80">
        <f>IF(AND(BF916="Submitted",ISNUMBER(V916)),IF(V916&gt;CFG_MAXD,1,0),0)</f>
        <v>0</v>
      </c>
    </row>
    <row r="917">
      <c r="A917" s="71" t="str">
        <f>IF(Y917=1,ROW()-5,"")</f>
        <v/>
      </c>
      <c r="B917" s="72" t="n"/>
      <c r="C917" s="71" t="str">
        <f>IF(ISNUMBER(B917),CHOOSE(WEEKDAY(B917,2),"Lun","Mar","Mié","Jue","Vie","Sáb","Dom"),"")</f>
        <v/>
      </c>
      <c r="D917" s="73" t="n"/>
      <c r="E917" s="74" t="n"/>
      <c r="F917" s="74" t="n"/>
      <c r="G917" s="74" t="n"/>
      <c r="H917" s="75" t="n"/>
      <c r="I917" s="75" t="n"/>
      <c r="J917" s="76" t="n"/>
      <c r="K917" s="77" t="str">
        <f>IF(AB917=1,ROUND(AG917/60,4),"")</f>
        <v/>
      </c>
      <c r="L917" s="77" t="str">
        <f>IF(BD917=1,ROUND(AP917/60,4),"")</f>
        <v/>
      </c>
      <c r="M917" s="77" t="str">
        <f>IF(BD917=1,ROUND(AQ917/60,4),"")</f>
        <v/>
      </c>
      <c r="N917" s="71" t="str">
        <f>IF(AND(D917="proMX",AB917=1),ROUND(AG917/CFG_BLK,2),"")</f>
        <v/>
      </c>
      <c r="O917" s="77" t="str">
        <f>IF(D917="proMX",IF(BD917=1,ROUND(AG917/60,4),0),"")</f>
        <v/>
      </c>
      <c r="P917" s="78" t="str">
        <f>IF(Y917=0,"",IF(BD917=1,"OK",IF(D917="proMX","Revisar bloques: ","Revisar: ")&amp;BC917))</f>
        <v/>
      </c>
      <c r="Q917" s="78" t="str">
        <f>IF(NOT(ISNUMBER(B917)),"",IF(COUNTIFS(FER_F,INT(B917))&gt;0,"Feriado"&amp;IF(AH917=1," (laborable)"," (no laborable)"),IF(AH917=1,"Laborable",IF(WEEKDAY(B917,2)&gt;5,"Fin de semana","No laborable"))))</f>
        <v/>
      </c>
      <c r="R917" s="73" t="n"/>
      <c r="S917" s="72" t="n"/>
      <c r="T917" s="72" t="n"/>
      <c r="U917" s="74" t="n"/>
      <c r="V917" s="79" t="str">
        <f>IF(AND(D917="proMX",OR(R917="Submitted",R917="Recall Requested"),ISNUMBER(S917)),CFG_TODAY-INT(S917),"")</f>
        <v/>
      </c>
      <c r="W917" s="78" t="str">
        <f>IF(BD917=0,"",IF(BA917&gt;0,"⚠ Se superpone con un registro de la otra empresa",IF(D917="Malcolm",IF(COUNTA(R917,S917,T917)&gt;0,"Estado/fechas proMX se ignoran en Malcolm",""),IF(BF917="Cancelled","Cancelado: excluido de totales",IF(R917="","Sin estado: se trata como Draft",IF(BF917="Submitted",IF(ISNUMBER(V917),IF(V917&gt;CFG_MAXD,"⚠ "&amp;V917&amp;" días en Submitted (máx. "&amp;CFG_MAXD&amp;")",""),"Falta fecha de envío"),IF(BF917="Returned","⚠ Devuelto: corregir y reenviar",IF(BF917="Recall Requested","Retirada solicitada: pendiente",IF(AND(BF917="Approved",NOT(ISNUMBER(T917))),"Falta fecha de aprobación",IF(AND(ISNUMBER(S917),ISNUMBER(T917),T917&lt;S917),"Aprobación anterior al envío","")))))))))</f>
        <v/>
      </c>
      <c r="Y917" s="80">
        <f>IF(COUNTA(B917,D917,E917,F917,G917,H917,I917,J917,R917,S917,T917)&gt;0,1,0)</f>
        <v>0</v>
      </c>
      <c r="Z917" s="80" t="str">
        <f>IF(AND(ISNUMBER(H917),H917&gt;=0,H917&lt;1),ROUND(H917*1440,0),"")</f>
        <v/>
      </c>
      <c r="AA917" s="80" t="str">
        <f>IF(AND(ISNUMBER(I917),I917&gt;=0,I917&lt;1),ROUND(I917*1440,0),"")</f>
        <v/>
      </c>
      <c r="AB917" s="80">
        <f>IF(AND(ISNUMBER(B917),D917&lt;&gt;"",ISNUMBER(Z917),ISNUMBER(AA917)),IF(Z917=AA917,0,1),0)</f>
        <v>0</v>
      </c>
      <c r="AC917" s="80">
        <f>IF(AB917=1,IF(AA917&lt;Z917,1,0),0)</f>
        <v>0</v>
      </c>
      <c r="AD917" s="80">
        <f>IF(AB917=1,IF(AC917=1,1440-Z917+AA917,AA917-Z917),0)</f>
        <v>0</v>
      </c>
      <c r="AE917" s="80">
        <f>IF(J917="",0,IF(ISNUMBER(J917),J917,-1))</f>
        <v>0</v>
      </c>
      <c r="AF917" s="80">
        <f>MIN(MAX(0,AE917),AD917)</f>
        <v>0</v>
      </c>
      <c r="AG917" s="80">
        <f>MAX(0,AD917-MAX(0,AE917))</f>
        <v>0</v>
      </c>
      <c r="AH917" s="80">
        <f>IF(ISNUMBER(B917),IF(AND(INDEX(CFG_WDAYS,WEEKDAY(INT(B917),2))="Sí",IF(D917="proMX",COUNTIFS(FER_F,INT(B917),FER_NLP,"Sí"),COUNTIFS(FER_F,INT(B917),FER_NLM,"Sí"))=0),1,0),0)</f>
        <v>0</v>
      </c>
      <c r="AI917" s="80">
        <f>IF(AC917=1,IF(AND(INDEX(CFG_WDAYS,WEEKDAY(INT(B917)+1,2))="Sí",IF(D917="proMX",COUNTIFS(FER_F,INT(B917)+1,FER_NLP,"Sí"),COUNTIFS(FER_F,INT(B917)+1,FER_NLM,"Sí"))=0),1,0),0)</f>
        <v>0</v>
      </c>
      <c r="AJ917" s="80">
        <f>IF(AC917=1,1440-Z917,AD917)</f>
        <v>0</v>
      </c>
      <c r="AK917" s="80">
        <f>IF(AND(AB917=1,AH917=1),MAX(0,MIN(IF(AC917=1,1440,AA917),CFG_WEM)-MAX(Z917,CFG_WSM)),0)</f>
        <v>0</v>
      </c>
      <c r="AL917" s="80">
        <f>IF(AND(AC917=1,AI917=1),MAX(0,MIN(AA917,CFG_WEM)-CFG_WSM),0)</f>
        <v>0</v>
      </c>
      <c r="AM917" s="80">
        <f>AK917+AL917</f>
        <v>0</v>
      </c>
      <c r="AN917" s="80">
        <f>IF(CFG_BRK="Proporcional",IF(AD917=0,0,AF917*AM917/AD917),IF(CFG_BRK="Extras primero",MIN(AM917,MAX(0,AF917-(AD917-AM917))),MIN(AF917,AM917)))</f>
        <v>0</v>
      </c>
      <c r="AO917" s="80">
        <f>AF917-AN917</f>
        <v>0</v>
      </c>
      <c r="AP917" s="80">
        <f>AM917-AN917</f>
        <v>0</v>
      </c>
      <c r="AQ917" s="80">
        <f>AD917-AM917-AO917</f>
        <v>0</v>
      </c>
      <c r="AR917" s="80">
        <f>IF(AM917=0,0,AK917-AN917*AK917/AM917)</f>
        <v>0</v>
      </c>
      <c r="AS917" s="80">
        <f>IF(AD917-AM917=0,0,(AJ917-AK917)-AO917*(AJ917-AK917)/(AD917-AM917))</f>
        <v>0</v>
      </c>
      <c r="AT917" s="80" t="str">
        <f>IF(AC917=1,INT(B917)+1,"")</f>
        <v/>
      </c>
      <c r="AU917" s="80">
        <f>IF(AND(D917="proMX",R917="Cancelled"),0,1)</f>
        <v>1</v>
      </c>
      <c r="AV917" s="80">
        <f>IF(AND(AB917=1,AU917=1),IF(COUNTIFS($D$5:D916,D917,$B$5:B916,B917,$Z$5:Z916,Z917,$AA$5:AA916,AA917,$F$5:F916,F917&amp;"",$AU$5:AU916,1)&gt;0,1,0),0)</f>
        <v>0</v>
      </c>
      <c r="AW917" s="80" t="str">
        <f>IF(AB917=1,INT(B917)*1440+Z917,"")</f>
        <v/>
      </c>
      <c r="AX917" s="80" t="str">
        <f>IF(AB917=1,AW917+AD917,"")</f>
        <v/>
      </c>
      <c r="AY917" s="80">
        <f>IF(AND(AB917=1,AV917=0,AU917=1),1,0)</f>
        <v>0</v>
      </c>
      <c r="AZ917" s="80">
        <f>IF(AY917=1,COUNTIFS(R_Emp,D917,R_SAbs,"&lt;"&amp;AX917,R_EAbs,"&gt;"&amp;AW917,R_OKey,1)-1,0)</f>
        <v>0</v>
      </c>
      <c r="BA917" s="80">
        <f>IF(AY917=1,COUNTIFS(R_Emp,"&lt;&gt;"&amp;D917,R_SAbs,"&lt;"&amp;AX917,R_EAbs,"&gt;"&amp;AW917,R_OKey,1),0)</f>
        <v>0</v>
      </c>
      <c r="BB917" s="80">
        <f>IF(AND(AB917=1,D917="proMX"),IF(AND(MOD(Z917,CFG_BLK)=0,MOD(AA917,CFG_BLK)=0,MOD(AG917,CFG_BLK)=0,AG917&gt;0),1,0),1)</f>
        <v>1</v>
      </c>
      <c r="BC917" s="80" t="str">
        <f>IF(Y917=0,"",IF(NOT(ISNUMBER(B917)),"Falta fecha o fecha inválida",IF(D917="","Falta empresa",IF(AND(D917&lt;&gt;"Malcolm",D917&lt;&gt;"proMX"),"Empresa inválida",IF(OR(INT(B917)&lt;CFG_PSTART,INT(B917)&gt;CFG_PEND),"Fecha fuera del período",IF(OR(NOT(ISNUMBER(Z917)),NOT(ISNUMBER(AA917))),"Falta hora inicio/fin o formato inválido",IF(AB917=0,"Hora inicio = hora fin",IF(AE917&lt;0,"Descanso inválido",IF(AE917&gt;=AD917,"Descanso ≥ duración",IF(AV917=1,"Registro duplicado",IF(AZ917&gt;0,"Se superpone con otro registro "&amp;D917,IF(BB917=0,"inicio, fin y duración neta deben ser múltiplos de "&amp;CFG_BLK&amp;" min",""))))))))))))</f>
        <v/>
      </c>
      <c r="BD917" s="80">
        <f>IF(AND(Y917=1,BC917=""),1,0)</f>
        <v>0</v>
      </c>
      <c r="BE917" s="80">
        <f>IF(AND(BD917=1,AU917=1),1,0)</f>
        <v>0</v>
      </c>
      <c r="BF917" s="80" t="str">
        <f>IF(AND(D917="proMX",BD917=1),IF(R917="","Draft",R917),"")</f>
        <v/>
      </c>
      <c r="BG917" s="80">
        <f>IF(BD917=1,ROUND(AG917/60,6),0)</f>
        <v>0</v>
      </c>
      <c r="BH917" s="80">
        <f>IF(BE917=1,ROUND(AG917/60,6),0)</f>
        <v>0</v>
      </c>
      <c r="BI917" s="80">
        <f>IF(BE917=1,ROUND(AP917/60,6),0)</f>
        <v>0</v>
      </c>
      <c r="BJ917" s="80">
        <f>IF(BE917=1,ROUND(AQ917/60,6),0)</f>
        <v>0</v>
      </c>
      <c r="BK917" s="80">
        <f>IF(BE917=1,ROUND((AR917+AS917)/60,6),0)</f>
        <v>0</v>
      </c>
      <c r="BL917" s="80">
        <f>ROUND(BH917-BK917,6)</f>
        <v>0</v>
      </c>
      <c r="BM917" s="80">
        <f>IF(BE917=1,ROUND(AR917/60,6),0)</f>
        <v>0</v>
      </c>
      <c r="BN917" s="80">
        <f>ROUND(BI917-BM917,6)</f>
        <v>0</v>
      </c>
      <c r="BO917" s="80">
        <f>IF(BE917=1,ROUND(AS917/60,6),0)</f>
        <v>0</v>
      </c>
      <c r="BP917" s="80">
        <f>ROUND(BJ917-BO917,6)</f>
        <v>0</v>
      </c>
      <c r="BQ917" s="80">
        <f>IF(BE917=1,AW917,0)</f>
        <v>0</v>
      </c>
      <c r="BR917" s="80">
        <f>IF(BE917=1,AX917,0)</f>
        <v>0</v>
      </c>
      <c r="BS917" s="80">
        <f>IF(AND(BE917=1,D917="Malcolm",BA917&gt;0),MIN(BH917,SUMPRODUCT((R_Emp="proMX")*(R_EN&gt;0)*((R_EN-(R_EN&gt;BR917)*(R_EN-BR917))&gt;(R_SN+(R_SN&lt;BQ917)*(BQ917-R_SN)))*((R_EN-(R_EN&gt;BR917)*(R_EN-BR917))-(R_SN+(R_SN&lt;BQ917)*(BQ917-R_SN))))/60),0)</f>
        <v>0</v>
      </c>
      <c r="BT917" s="80">
        <f>IF(AND(BE917=1,D917="proMX"),ROUND(BI917*CFG_RATE+BJ917*CFG_OTRATE,6),0)</f>
        <v>0</v>
      </c>
      <c r="BU917" s="80">
        <f>IF(AND(BD917=1,D917="proMX"),ROUND(AG917/CFG_BLK,6),0)</f>
        <v>0</v>
      </c>
      <c r="BV917" s="80" t="str">
        <f>IF(BF917="Approved",IF(ISNUMBER(T917),INT(T917),INT(B917)),"")</f>
        <v/>
      </c>
      <c r="BW917" s="80">
        <f>IF(ISNUMBER(B917),IF(DB_MON="Todos",1,IF(AND(INT(B917)&gt;=DB_MS,INT(B917)&lt;=DB_ME),1,0)),0)</f>
        <v>0</v>
      </c>
      <c r="BX917" s="80">
        <f>IF(DB_PROJ="Todos",1,IF(E917&amp;""=DB_PROJ&amp;"",1,0))</f>
        <v>1</v>
      </c>
      <c r="BY917" s="80">
        <f>BW917*BX917</f>
        <v>0</v>
      </c>
      <c r="BZ917" s="80" t="str">
        <f>IF(Y917=1,F917&amp;IF(AND(F917&amp;""&lt;&gt;"",E917&amp;""&lt;&gt;"")," · ","")&amp;E917,"")</f>
        <v/>
      </c>
      <c r="CA917" s="80" t="str">
        <f>IF(AND(BD917=1,E917&amp;""&lt;&gt;""),IF(COUNTIFS($E$5:E916,E917,$BD$5:BD916,1)=0,MAX($CA$5:CA916)+1,""),"")</f>
        <v/>
      </c>
      <c r="CB917" s="80" t="str">
        <f>IF(AND(BE917=1,D917="Malcolm",E917&amp;""&lt;&gt;""),IF(COUNTIFS($D$5:D916,"Malcolm",$E$5:E916,E917,$BE$5:BE916,1)=0,MAX($CB$5:CB916)+1,""),"")</f>
        <v/>
      </c>
      <c r="CC917" s="80" t="str">
        <f>IF(AND(BD917=1,D917="proMX",E917&amp;""&lt;&gt;""),IF(COUNTIFS($D$5:D916,"proMX",$E$5:E916,E917,$BD$5:BD916,1)=0,MAX($CC$5:CC916)+1,""),"")</f>
        <v/>
      </c>
      <c r="CD917" s="80" t="str">
        <f>IF(AND(BE917=1,D917="Malcolm",F917&amp;""&lt;&gt;""),IF(COUNTIFS($D$5:D916,"Malcolm",$F$5:F916,F917,$BE$5:BE916,1)=0,MAX($CD$5:CD916)+1,""),"")</f>
        <v/>
      </c>
      <c r="CE917" s="80" t="str">
        <f>IF(AND(BD917=1,D917="proMX",F917&amp;""&lt;&gt;""),IF(COUNTIFS($D$5:D916,"proMX",$F$5:F916,F917,$BD$5:BD916,1)=0,MAX($CE$5:CE916)+1,""),"")</f>
        <v/>
      </c>
      <c r="CF917" s="80" t="str">
        <f>IF(AND(D917="proMX",BD917=1),IF(OR(BF917="Draft",BF917="Submitted",BF917="Returned",BF917="Recall Requested"),MAX($CF$5:CF916)+1,""),"")</f>
        <v/>
      </c>
      <c r="CG917" s="80">
        <f>IF(BD917=0,0,IF(D917="Malcolm",1,MATCH(BF917,{"Draft","Submitted","Approved","Returned","Recall Requested","Cancelled"},0)+1))</f>
        <v>0</v>
      </c>
      <c r="CH917" s="80">
        <f>IF(AND(BF917="Submitted",ISNUMBER(V917)),IF(V917&gt;CFG_MAXD,1,0),0)</f>
        <v>0</v>
      </c>
    </row>
    <row r="918">
      <c r="A918" s="71" t="str">
        <f>IF(Y918=1,ROW()-5,"")</f>
        <v/>
      </c>
      <c r="B918" s="72" t="n"/>
      <c r="C918" s="71" t="str">
        <f>IF(ISNUMBER(B918),CHOOSE(WEEKDAY(B918,2),"Lun","Mar","Mié","Jue","Vie","Sáb","Dom"),"")</f>
        <v/>
      </c>
      <c r="D918" s="73" t="n"/>
      <c r="E918" s="74" t="n"/>
      <c r="F918" s="74" t="n"/>
      <c r="G918" s="74" t="n"/>
      <c r="H918" s="75" t="n"/>
      <c r="I918" s="75" t="n"/>
      <c r="J918" s="76" t="n"/>
      <c r="K918" s="77" t="str">
        <f>IF(AB918=1,ROUND(AG918/60,4),"")</f>
        <v/>
      </c>
      <c r="L918" s="77" t="str">
        <f>IF(BD918=1,ROUND(AP918/60,4),"")</f>
        <v/>
      </c>
      <c r="M918" s="77" t="str">
        <f>IF(BD918=1,ROUND(AQ918/60,4),"")</f>
        <v/>
      </c>
      <c r="N918" s="71" t="str">
        <f>IF(AND(D918="proMX",AB918=1),ROUND(AG918/CFG_BLK,2),"")</f>
        <v/>
      </c>
      <c r="O918" s="77" t="str">
        <f>IF(D918="proMX",IF(BD918=1,ROUND(AG918/60,4),0),"")</f>
        <v/>
      </c>
      <c r="P918" s="78" t="str">
        <f>IF(Y918=0,"",IF(BD918=1,"OK",IF(D918="proMX","Revisar bloques: ","Revisar: ")&amp;BC918))</f>
        <v/>
      </c>
      <c r="Q918" s="78" t="str">
        <f>IF(NOT(ISNUMBER(B918)),"",IF(COUNTIFS(FER_F,INT(B918))&gt;0,"Feriado"&amp;IF(AH918=1," (laborable)"," (no laborable)"),IF(AH918=1,"Laborable",IF(WEEKDAY(B918,2)&gt;5,"Fin de semana","No laborable"))))</f>
        <v/>
      </c>
      <c r="R918" s="73" t="n"/>
      <c r="S918" s="72" t="n"/>
      <c r="T918" s="72" t="n"/>
      <c r="U918" s="74" t="n"/>
      <c r="V918" s="79" t="str">
        <f>IF(AND(D918="proMX",OR(R918="Submitted",R918="Recall Requested"),ISNUMBER(S918)),CFG_TODAY-INT(S918),"")</f>
        <v/>
      </c>
      <c r="W918" s="78" t="str">
        <f>IF(BD918=0,"",IF(BA918&gt;0,"⚠ Se superpone con un registro de la otra empresa",IF(D918="Malcolm",IF(COUNTA(R918,S918,T918)&gt;0,"Estado/fechas proMX se ignoran en Malcolm",""),IF(BF918="Cancelled","Cancelado: excluido de totales",IF(R918="","Sin estado: se trata como Draft",IF(BF918="Submitted",IF(ISNUMBER(V918),IF(V918&gt;CFG_MAXD,"⚠ "&amp;V918&amp;" días en Submitted (máx. "&amp;CFG_MAXD&amp;")",""),"Falta fecha de envío"),IF(BF918="Returned","⚠ Devuelto: corregir y reenviar",IF(BF918="Recall Requested","Retirada solicitada: pendiente",IF(AND(BF918="Approved",NOT(ISNUMBER(T918))),"Falta fecha de aprobación",IF(AND(ISNUMBER(S918),ISNUMBER(T918),T918&lt;S918),"Aprobación anterior al envío","")))))))))</f>
        <v/>
      </c>
      <c r="Y918" s="80">
        <f>IF(COUNTA(B918,D918,E918,F918,G918,H918,I918,J918,R918,S918,T918)&gt;0,1,0)</f>
        <v>0</v>
      </c>
      <c r="Z918" s="80" t="str">
        <f>IF(AND(ISNUMBER(H918),H918&gt;=0,H918&lt;1),ROUND(H918*1440,0),"")</f>
        <v/>
      </c>
      <c r="AA918" s="80" t="str">
        <f>IF(AND(ISNUMBER(I918),I918&gt;=0,I918&lt;1),ROUND(I918*1440,0),"")</f>
        <v/>
      </c>
      <c r="AB918" s="80">
        <f>IF(AND(ISNUMBER(B918),D918&lt;&gt;"",ISNUMBER(Z918),ISNUMBER(AA918)),IF(Z918=AA918,0,1),0)</f>
        <v>0</v>
      </c>
      <c r="AC918" s="80">
        <f>IF(AB918=1,IF(AA918&lt;Z918,1,0),0)</f>
        <v>0</v>
      </c>
      <c r="AD918" s="80">
        <f>IF(AB918=1,IF(AC918=1,1440-Z918+AA918,AA918-Z918),0)</f>
        <v>0</v>
      </c>
      <c r="AE918" s="80">
        <f>IF(J918="",0,IF(ISNUMBER(J918),J918,-1))</f>
        <v>0</v>
      </c>
      <c r="AF918" s="80">
        <f>MIN(MAX(0,AE918),AD918)</f>
        <v>0</v>
      </c>
      <c r="AG918" s="80">
        <f>MAX(0,AD918-MAX(0,AE918))</f>
        <v>0</v>
      </c>
      <c r="AH918" s="80">
        <f>IF(ISNUMBER(B918),IF(AND(INDEX(CFG_WDAYS,WEEKDAY(INT(B918),2))="Sí",IF(D918="proMX",COUNTIFS(FER_F,INT(B918),FER_NLP,"Sí"),COUNTIFS(FER_F,INT(B918),FER_NLM,"Sí"))=0),1,0),0)</f>
        <v>0</v>
      </c>
      <c r="AI918" s="80">
        <f>IF(AC918=1,IF(AND(INDEX(CFG_WDAYS,WEEKDAY(INT(B918)+1,2))="Sí",IF(D918="proMX",COUNTIFS(FER_F,INT(B918)+1,FER_NLP,"Sí"),COUNTIFS(FER_F,INT(B918)+1,FER_NLM,"Sí"))=0),1,0),0)</f>
        <v>0</v>
      </c>
      <c r="AJ918" s="80">
        <f>IF(AC918=1,1440-Z918,AD918)</f>
        <v>0</v>
      </c>
      <c r="AK918" s="80">
        <f>IF(AND(AB918=1,AH918=1),MAX(0,MIN(IF(AC918=1,1440,AA918),CFG_WEM)-MAX(Z918,CFG_WSM)),0)</f>
        <v>0</v>
      </c>
      <c r="AL918" s="80">
        <f>IF(AND(AC918=1,AI918=1),MAX(0,MIN(AA918,CFG_WEM)-CFG_WSM),0)</f>
        <v>0</v>
      </c>
      <c r="AM918" s="80">
        <f>AK918+AL918</f>
        <v>0</v>
      </c>
      <c r="AN918" s="80">
        <f>IF(CFG_BRK="Proporcional",IF(AD918=0,0,AF918*AM918/AD918),IF(CFG_BRK="Extras primero",MIN(AM918,MAX(0,AF918-(AD918-AM918))),MIN(AF918,AM918)))</f>
        <v>0</v>
      </c>
      <c r="AO918" s="80">
        <f>AF918-AN918</f>
        <v>0</v>
      </c>
      <c r="AP918" s="80">
        <f>AM918-AN918</f>
        <v>0</v>
      </c>
      <c r="AQ918" s="80">
        <f>AD918-AM918-AO918</f>
        <v>0</v>
      </c>
      <c r="AR918" s="80">
        <f>IF(AM918=0,0,AK918-AN918*AK918/AM918)</f>
        <v>0</v>
      </c>
      <c r="AS918" s="80">
        <f>IF(AD918-AM918=0,0,(AJ918-AK918)-AO918*(AJ918-AK918)/(AD918-AM918))</f>
        <v>0</v>
      </c>
      <c r="AT918" s="80" t="str">
        <f>IF(AC918=1,INT(B918)+1,"")</f>
        <v/>
      </c>
      <c r="AU918" s="80">
        <f>IF(AND(D918="proMX",R918="Cancelled"),0,1)</f>
        <v>1</v>
      </c>
      <c r="AV918" s="80">
        <f>IF(AND(AB918=1,AU918=1),IF(COUNTIFS($D$5:D917,D918,$B$5:B917,B918,$Z$5:Z917,Z918,$AA$5:AA917,AA918,$F$5:F917,F918&amp;"",$AU$5:AU917,1)&gt;0,1,0),0)</f>
        <v>0</v>
      </c>
      <c r="AW918" s="80" t="str">
        <f>IF(AB918=1,INT(B918)*1440+Z918,"")</f>
        <v/>
      </c>
      <c r="AX918" s="80" t="str">
        <f>IF(AB918=1,AW918+AD918,"")</f>
        <v/>
      </c>
      <c r="AY918" s="80">
        <f>IF(AND(AB918=1,AV918=0,AU918=1),1,0)</f>
        <v>0</v>
      </c>
      <c r="AZ918" s="80">
        <f>IF(AY918=1,COUNTIFS(R_Emp,D918,R_SAbs,"&lt;"&amp;AX918,R_EAbs,"&gt;"&amp;AW918,R_OKey,1)-1,0)</f>
        <v>0</v>
      </c>
      <c r="BA918" s="80">
        <f>IF(AY918=1,COUNTIFS(R_Emp,"&lt;&gt;"&amp;D918,R_SAbs,"&lt;"&amp;AX918,R_EAbs,"&gt;"&amp;AW918,R_OKey,1),0)</f>
        <v>0</v>
      </c>
      <c r="BB918" s="80">
        <f>IF(AND(AB918=1,D918="proMX"),IF(AND(MOD(Z918,CFG_BLK)=0,MOD(AA918,CFG_BLK)=0,MOD(AG918,CFG_BLK)=0,AG918&gt;0),1,0),1)</f>
        <v>1</v>
      </c>
      <c r="BC918" s="80" t="str">
        <f>IF(Y918=0,"",IF(NOT(ISNUMBER(B918)),"Falta fecha o fecha inválida",IF(D918="","Falta empresa",IF(AND(D918&lt;&gt;"Malcolm",D918&lt;&gt;"proMX"),"Empresa inválida",IF(OR(INT(B918)&lt;CFG_PSTART,INT(B918)&gt;CFG_PEND),"Fecha fuera del período",IF(OR(NOT(ISNUMBER(Z918)),NOT(ISNUMBER(AA918))),"Falta hora inicio/fin o formato inválido",IF(AB918=0,"Hora inicio = hora fin",IF(AE918&lt;0,"Descanso inválido",IF(AE918&gt;=AD918,"Descanso ≥ duración",IF(AV918=1,"Registro duplicado",IF(AZ918&gt;0,"Se superpone con otro registro "&amp;D918,IF(BB918=0,"inicio, fin y duración neta deben ser múltiplos de "&amp;CFG_BLK&amp;" min",""))))))))))))</f>
        <v/>
      </c>
      <c r="BD918" s="80">
        <f>IF(AND(Y918=1,BC918=""),1,0)</f>
        <v>0</v>
      </c>
      <c r="BE918" s="80">
        <f>IF(AND(BD918=1,AU918=1),1,0)</f>
        <v>0</v>
      </c>
      <c r="BF918" s="80" t="str">
        <f>IF(AND(D918="proMX",BD918=1),IF(R918="","Draft",R918),"")</f>
        <v/>
      </c>
      <c r="BG918" s="80">
        <f>IF(BD918=1,ROUND(AG918/60,6),0)</f>
        <v>0</v>
      </c>
      <c r="BH918" s="80">
        <f>IF(BE918=1,ROUND(AG918/60,6),0)</f>
        <v>0</v>
      </c>
      <c r="BI918" s="80">
        <f>IF(BE918=1,ROUND(AP918/60,6),0)</f>
        <v>0</v>
      </c>
      <c r="BJ918" s="80">
        <f>IF(BE918=1,ROUND(AQ918/60,6),0)</f>
        <v>0</v>
      </c>
      <c r="BK918" s="80">
        <f>IF(BE918=1,ROUND((AR918+AS918)/60,6),0)</f>
        <v>0</v>
      </c>
      <c r="BL918" s="80">
        <f>ROUND(BH918-BK918,6)</f>
        <v>0</v>
      </c>
      <c r="BM918" s="80">
        <f>IF(BE918=1,ROUND(AR918/60,6),0)</f>
        <v>0</v>
      </c>
      <c r="BN918" s="80">
        <f>ROUND(BI918-BM918,6)</f>
        <v>0</v>
      </c>
      <c r="BO918" s="80">
        <f>IF(BE918=1,ROUND(AS918/60,6),0)</f>
        <v>0</v>
      </c>
      <c r="BP918" s="80">
        <f>ROUND(BJ918-BO918,6)</f>
        <v>0</v>
      </c>
      <c r="BQ918" s="80">
        <f>IF(BE918=1,AW918,0)</f>
        <v>0</v>
      </c>
      <c r="BR918" s="80">
        <f>IF(BE918=1,AX918,0)</f>
        <v>0</v>
      </c>
      <c r="BS918" s="80">
        <f>IF(AND(BE918=1,D918="Malcolm",BA918&gt;0),MIN(BH918,SUMPRODUCT((R_Emp="proMX")*(R_EN&gt;0)*((R_EN-(R_EN&gt;BR918)*(R_EN-BR918))&gt;(R_SN+(R_SN&lt;BQ918)*(BQ918-R_SN)))*((R_EN-(R_EN&gt;BR918)*(R_EN-BR918))-(R_SN+(R_SN&lt;BQ918)*(BQ918-R_SN))))/60),0)</f>
        <v>0</v>
      </c>
      <c r="BT918" s="80">
        <f>IF(AND(BE918=1,D918="proMX"),ROUND(BI918*CFG_RATE+BJ918*CFG_OTRATE,6),0)</f>
        <v>0</v>
      </c>
      <c r="BU918" s="80">
        <f>IF(AND(BD918=1,D918="proMX"),ROUND(AG918/CFG_BLK,6),0)</f>
        <v>0</v>
      </c>
      <c r="BV918" s="80" t="str">
        <f>IF(BF918="Approved",IF(ISNUMBER(T918),INT(T918),INT(B918)),"")</f>
        <v/>
      </c>
      <c r="BW918" s="80">
        <f>IF(ISNUMBER(B918),IF(DB_MON="Todos",1,IF(AND(INT(B918)&gt;=DB_MS,INT(B918)&lt;=DB_ME),1,0)),0)</f>
        <v>0</v>
      </c>
      <c r="BX918" s="80">
        <f>IF(DB_PROJ="Todos",1,IF(E918&amp;""=DB_PROJ&amp;"",1,0))</f>
        <v>1</v>
      </c>
      <c r="BY918" s="80">
        <f>BW918*BX918</f>
        <v>0</v>
      </c>
      <c r="BZ918" s="80" t="str">
        <f>IF(Y918=1,F918&amp;IF(AND(F918&amp;""&lt;&gt;"",E918&amp;""&lt;&gt;"")," · ","")&amp;E918,"")</f>
        <v/>
      </c>
      <c r="CA918" s="80" t="str">
        <f>IF(AND(BD918=1,E918&amp;""&lt;&gt;""),IF(COUNTIFS($E$5:E917,E918,$BD$5:BD917,1)=0,MAX($CA$5:CA917)+1,""),"")</f>
        <v/>
      </c>
      <c r="CB918" s="80" t="str">
        <f>IF(AND(BE918=1,D918="Malcolm",E918&amp;""&lt;&gt;""),IF(COUNTIFS($D$5:D917,"Malcolm",$E$5:E917,E918,$BE$5:BE917,1)=0,MAX($CB$5:CB917)+1,""),"")</f>
        <v/>
      </c>
      <c r="CC918" s="80" t="str">
        <f>IF(AND(BD918=1,D918="proMX",E918&amp;""&lt;&gt;""),IF(COUNTIFS($D$5:D917,"proMX",$E$5:E917,E918,$BD$5:BD917,1)=0,MAX($CC$5:CC917)+1,""),"")</f>
        <v/>
      </c>
      <c r="CD918" s="80" t="str">
        <f>IF(AND(BE918=1,D918="Malcolm",F918&amp;""&lt;&gt;""),IF(COUNTIFS($D$5:D917,"Malcolm",$F$5:F917,F918,$BE$5:BE917,1)=0,MAX($CD$5:CD917)+1,""),"")</f>
        <v/>
      </c>
      <c r="CE918" s="80" t="str">
        <f>IF(AND(BD918=1,D918="proMX",F918&amp;""&lt;&gt;""),IF(COUNTIFS($D$5:D917,"proMX",$F$5:F917,F918,$BD$5:BD917,1)=0,MAX($CE$5:CE917)+1,""),"")</f>
        <v/>
      </c>
      <c r="CF918" s="80" t="str">
        <f>IF(AND(D918="proMX",BD918=1),IF(OR(BF918="Draft",BF918="Submitted",BF918="Returned",BF918="Recall Requested"),MAX($CF$5:CF917)+1,""),"")</f>
        <v/>
      </c>
      <c r="CG918" s="80">
        <f>IF(BD918=0,0,IF(D918="Malcolm",1,MATCH(BF918,{"Draft","Submitted","Approved","Returned","Recall Requested","Cancelled"},0)+1))</f>
        <v>0</v>
      </c>
      <c r="CH918" s="80">
        <f>IF(AND(BF918="Submitted",ISNUMBER(V918)),IF(V918&gt;CFG_MAXD,1,0),0)</f>
        <v>0</v>
      </c>
    </row>
    <row r="919">
      <c r="A919" s="71" t="str">
        <f>IF(Y919=1,ROW()-5,"")</f>
        <v/>
      </c>
      <c r="B919" s="72" t="n"/>
      <c r="C919" s="71" t="str">
        <f>IF(ISNUMBER(B919),CHOOSE(WEEKDAY(B919,2),"Lun","Mar","Mié","Jue","Vie","Sáb","Dom"),"")</f>
        <v/>
      </c>
      <c r="D919" s="73" t="n"/>
      <c r="E919" s="74" t="n"/>
      <c r="F919" s="74" t="n"/>
      <c r="G919" s="74" t="n"/>
      <c r="H919" s="75" t="n"/>
      <c r="I919" s="75" t="n"/>
      <c r="J919" s="76" t="n"/>
      <c r="K919" s="77" t="str">
        <f>IF(AB919=1,ROUND(AG919/60,4),"")</f>
        <v/>
      </c>
      <c r="L919" s="77" t="str">
        <f>IF(BD919=1,ROUND(AP919/60,4),"")</f>
        <v/>
      </c>
      <c r="M919" s="77" t="str">
        <f>IF(BD919=1,ROUND(AQ919/60,4),"")</f>
        <v/>
      </c>
      <c r="N919" s="71" t="str">
        <f>IF(AND(D919="proMX",AB919=1),ROUND(AG919/CFG_BLK,2),"")</f>
        <v/>
      </c>
      <c r="O919" s="77" t="str">
        <f>IF(D919="proMX",IF(BD919=1,ROUND(AG919/60,4),0),"")</f>
        <v/>
      </c>
      <c r="P919" s="78" t="str">
        <f>IF(Y919=0,"",IF(BD919=1,"OK",IF(D919="proMX","Revisar bloques: ","Revisar: ")&amp;BC919))</f>
        <v/>
      </c>
      <c r="Q919" s="78" t="str">
        <f>IF(NOT(ISNUMBER(B919)),"",IF(COUNTIFS(FER_F,INT(B919))&gt;0,"Feriado"&amp;IF(AH919=1," (laborable)"," (no laborable)"),IF(AH919=1,"Laborable",IF(WEEKDAY(B919,2)&gt;5,"Fin de semana","No laborable"))))</f>
        <v/>
      </c>
      <c r="R919" s="73" t="n"/>
      <c r="S919" s="72" t="n"/>
      <c r="T919" s="72" t="n"/>
      <c r="U919" s="74" t="n"/>
      <c r="V919" s="79" t="str">
        <f>IF(AND(D919="proMX",OR(R919="Submitted",R919="Recall Requested"),ISNUMBER(S919)),CFG_TODAY-INT(S919),"")</f>
        <v/>
      </c>
      <c r="W919" s="78" t="str">
        <f>IF(BD919=0,"",IF(BA919&gt;0,"⚠ Se superpone con un registro de la otra empresa",IF(D919="Malcolm",IF(COUNTA(R919,S919,T919)&gt;0,"Estado/fechas proMX se ignoran en Malcolm",""),IF(BF919="Cancelled","Cancelado: excluido de totales",IF(R919="","Sin estado: se trata como Draft",IF(BF919="Submitted",IF(ISNUMBER(V919),IF(V919&gt;CFG_MAXD,"⚠ "&amp;V919&amp;" días en Submitted (máx. "&amp;CFG_MAXD&amp;")",""),"Falta fecha de envío"),IF(BF919="Returned","⚠ Devuelto: corregir y reenviar",IF(BF919="Recall Requested","Retirada solicitada: pendiente",IF(AND(BF919="Approved",NOT(ISNUMBER(T919))),"Falta fecha de aprobación",IF(AND(ISNUMBER(S919),ISNUMBER(T919),T919&lt;S919),"Aprobación anterior al envío","")))))))))</f>
        <v/>
      </c>
      <c r="Y919" s="80">
        <f>IF(COUNTA(B919,D919,E919,F919,G919,H919,I919,J919,R919,S919,T919)&gt;0,1,0)</f>
        <v>0</v>
      </c>
      <c r="Z919" s="80" t="str">
        <f>IF(AND(ISNUMBER(H919),H919&gt;=0,H919&lt;1),ROUND(H919*1440,0),"")</f>
        <v/>
      </c>
      <c r="AA919" s="80" t="str">
        <f>IF(AND(ISNUMBER(I919),I919&gt;=0,I919&lt;1),ROUND(I919*1440,0),"")</f>
        <v/>
      </c>
      <c r="AB919" s="80">
        <f>IF(AND(ISNUMBER(B919),D919&lt;&gt;"",ISNUMBER(Z919),ISNUMBER(AA919)),IF(Z919=AA919,0,1),0)</f>
        <v>0</v>
      </c>
      <c r="AC919" s="80">
        <f>IF(AB919=1,IF(AA919&lt;Z919,1,0),0)</f>
        <v>0</v>
      </c>
      <c r="AD919" s="80">
        <f>IF(AB919=1,IF(AC919=1,1440-Z919+AA919,AA919-Z919),0)</f>
        <v>0</v>
      </c>
      <c r="AE919" s="80">
        <f>IF(J919="",0,IF(ISNUMBER(J919),J919,-1))</f>
        <v>0</v>
      </c>
      <c r="AF919" s="80">
        <f>MIN(MAX(0,AE919),AD919)</f>
        <v>0</v>
      </c>
      <c r="AG919" s="80">
        <f>MAX(0,AD919-MAX(0,AE919))</f>
        <v>0</v>
      </c>
      <c r="AH919" s="80">
        <f>IF(ISNUMBER(B919),IF(AND(INDEX(CFG_WDAYS,WEEKDAY(INT(B919),2))="Sí",IF(D919="proMX",COUNTIFS(FER_F,INT(B919),FER_NLP,"Sí"),COUNTIFS(FER_F,INT(B919),FER_NLM,"Sí"))=0),1,0),0)</f>
        <v>0</v>
      </c>
      <c r="AI919" s="80">
        <f>IF(AC919=1,IF(AND(INDEX(CFG_WDAYS,WEEKDAY(INT(B919)+1,2))="Sí",IF(D919="proMX",COUNTIFS(FER_F,INT(B919)+1,FER_NLP,"Sí"),COUNTIFS(FER_F,INT(B919)+1,FER_NLM,"Sí"))=0),1,0),0)</f>
        <v>0</v>
      </c>
      <c r="AJ919" s="80">
        <f>IF(AC919=1,1440-Z919,AD919)</f>
        <v>0</v>
      </c>
      <c r="AK919" s="80">
        <f>IF(AND(AB919=1,AH919=1),MAX(0,MIN(IF(AC919=1,1440,AA919),CFG_WEM)-MAX(Z919,CFG_WSM)),0)</f>
        <v>0</v>
      </c>
      <c r="AL919" s="80">
        <f>IF(AND(AC919=1,AI919=1),MAX(0,MIN(AA919,CFG_WEM)-CFG_WSM),0)</f>
        <v>0</v>
      </c>
      <c r="AM919" s="80">
        <f>AK919+AL919</f>
        <v>0</v>
      </c>
      <c r="AN919" s="80">
        <f>IF(CFG_BRK="Proporcional",IF(AD919=0,0,AF919*AM919/AD919),IF(CFG_BRK="Extras primero",MIN(AM919,MAX(0,AF919-(AD919-AM919))),MIN(AF919,AM919)))</f>
        <v>0</v>
      </c>
      <c r="AO919" s="80">
        <f>AF919-AN919</f>
        <v>0</v>
      </c>
      <c r="AP919" s="80">
        <f>AM919-AN919</f>
        <v>0</v>
      </c>
      <c r="AQ919" s="80">
        <f>AD919-AM919-AO919</f>
        <v>0</v>
      </c>
      <c r="AR919" s="80">
        <f>IF(AM919=0,0,AK919-AN919*AK919/AM919)</f>
        <v>0</v>
      </c>
      <c r="AS919" s="80">
        <f>IF(AD919-AM919=0,0,(AJ919-AK919)-AO919*(AJ919-AK919)/(AD919-AM919))</f>
        <v>0</v>
      </c>
      <c r="AT919" s="80" t="str">
        <f>IF(AC919=1,INT(B919)+1,"")</f>
        <v/>
      </c>
      <c r="AU919" s="80">
        <f>IF(AND(D919="proMX",R919="Cancelled"),0,1)</f>
        <v>1</v>
      </c>
      <c r="AV919" s="80">
        <f>IF(AND(AB919=1,AU919=1),IF(COUNTIFS($D$5:D918,D919,$B$5:B918,B919,$Z$5:Z918,Z919,$AA$5:AA918,AA919,$F$5:F918,F919&amp;"",$AU$5:AU918,1)&gt;0,1,0),0)</f>
        <v>0</v>
      </c>
      <c r="AW919" s="80" t="str">
        <f>IF(AB919=1,INT(B919)*1440+Z919,"")</f>
        <v/>
      </c>
      <c r="AX919" s="80" t="str">
        <f>IF(AB919=1,AW919+AD919,"")</f>
        <v/>
      </c>
      <c r="AY919" s="80">
        <f>IF(AND(AB919=1,AV919=0,AU919=1),1,0)</f>
        <v>0</v>
      </c>
      <c r="AZ919" s="80">
        <f>IF(AY919=1,COUNTIFS(R_Emp,D919,R_SAbs,"&lt;"&amp;AX919,R_EAbs,"&gt;"&amp;AW919,R_OKey,1)-1,0)</f>
        <v>0</v>
      </c>
      <c r="BA919" s="80">
        <f>IF(AY919=1,COUNTIFS(R_Emp,"&lt;&gt;"&amp;D919,R_SAbs,"&lt;"&amp;AX919,R_EAbs,"&gt;"&amp;AW919,R_OKey,1),0)</f>
        <v>0</v>
      </c>
      <c r="BB919" s="80">
        <f>IF(AND(AB919=1,D919="proMX"),IF(AND(MOD(Z919,CFG_BLK)=0,MOD(AA919,CFG_BLK)=0,MOD(AG919,CFG_BLK)=0,AG919&gt;0),1,0),1)</f>
        <v>1</v>
      </c>
      <c r="BC919" s="80" t="str">
        <f>IF(Y919=0,"",IF(NOT(ISNUMBER(B919)),"Falta fecha o fecha inválida",IF(D919="","Falta empresa",IF(AND(D919&lt;&gt;"Malcolm",D919&lt;&gt;"proMX"),"Empresa inválida",IF(OR(INT(B919)&lt;CFG_PSTART,INT(B919)&gt;CFG_PEND),"Fecha fuera del período",IF(OR(NOT(ISNUMBER(Z919)),NOT(ISNUMBER(AA919))),"Falta hora inicio/fin o formato inválido",IF(AB919=0,"Hora inicio = hora fin",IF(AE919&lt;0,"Descanso inválido",IF(AE919&gt;=AD919,"Descanso ≥ duración",IF(AV919=1,"Registro duplicado",IF(AZ919&gt;0,"Se superpone con otro registro "&amp;D919,IF(BB919=0,"inicio, fin y duración neta deben ser múltiplos de "&amp;CFG_BLK&amp;" min",""))))))))))))</f>
        <v/>
      </c>
      <c r="BD919" s="80">
        <f>IF(AND(Y919=1,BC919=""),1,0)</f>
        <v>0</v>
      </c>
      <c r="BE919" s="80">
        <f>IF(AND(BD919=1,AU919=1),1,0)</f>
        <v>0</v>
      </c>
      <c r="BF919" s="80" t="str">
        <f>IF(AND(D919="proMX",BD919=1),IF(R919="","Draft",R919),"")</f>
        <v/>
      </c>
      <c r="BG919" s="80">
        <f>IF(BD919=1,ROUND(AG919/60,6),0)</f>
        <v>0</v>
      </c>
      <c r="BH919" s="80">
        <f>IF(BE919=1,ROUND(AG919/60,6),0)</f>
        <v>0</v>
      </c>
      <c r="BI919" s="80">
        <f>IF(BE919=1,ROUND(AP919/60,6),0)</f>
        <v>0</v>
      </c>
      <c r="BJ919" s="80">
        <f>IF(BE919=1,ROUND(AQ919/60,6),0)</f>
        <v>0</v>
      </c>
      <c r="BK919" s="80">
        <f>IF(BE919=1,ROUND((AR919+AS919)/60,6),0)</f>
        <v>0</v>
      </c>
      <c r="BL919" s="80">
        <f>ROUND(BH919-BK919,6)</f>
        <v>0</v>
      </c>
      <c r="BM919" s="80">
        <f>IF(BE919=1,ROUND(AR919/60,6),0)</f>
        <v>0</v>
      </c>
      <c r="BN919" s="80">
        <f>ROUND(BI919-BM919,6)</f>
        <v>0</v>
      </c>
      <c r="BO919" s="80">
        <f>IF(BE919=1,ROUND(AS919/60,6),0)</f>
        <v>0</v>
      </c>
      <c r="BP919" s="80">
        <f>ROUND(BJ919-BO919,6)</f>
        <v>0</v>
      </c>
      <c r="BQ919" s="80">
        <f>IF(BE919=1,AW919,0)</f>
        <v>0</v>
      </c>
      <c r="BR919" s="80">
        <f>IF(BE919=1,AX919,0)</f>
        <v>0</v>
      </c>
      <c r="BS919" s="80">
        <f>IF(AND(BE919=1,D919="Malcolm",BA919&gt;0),MIN(BH919,SUMPRODUCT((R_Emp="proMX")*(R_EN&gt;0)*((R_EN-(R_EN&gt;BR919)*(R_EN-BR919))&gt;(R_SN+(R_SN&lt;BQ919)*(BQ919-R_SN)))*((R_EN-(R_EN&gt;BR919)*(R_EN-BR919))-(R_SN+(R_SN&lt;BQ919)*(BQ919-R_SN))))/60),0)</f>
        <v>0</v>
      </c>
      <c r="BT919" s="80">
        <f>IF(AND(BE919=1,D919="proMX"),ROUND(BI919*CFG_RATE+BJ919*CFG_OTRATE,6),0)</f>
        <v>0</v>
      </c>
      <c r="BU919" s="80">
        <f>IF(AND(BD919=1,D919="proMX"),ROUND(AG919/CFG_BLK,6),0)</f>
        <v>0</v>
      </c>
      <c r="BV919" s="80" t="str">
        <f>IF(BF919="Approved",IF(ISNUMBER(T919),INT(T919),INT(B919)),"")</f>
        <v/>
      </c>
      <c r="BW919" s="80">
        <f>IF(ISNUMBER(B919),IF(DB_MON="Todos",1,IF(AND(INT(B919)&gt;=DB_MS,INT(B919)&lt;=DB_ME),1,0)),0)</f>
        <v>0</v>
      </c>
      <c r="BX919" s="80">
        <f>IF(DB_PROJ="Todos",1,IF(E919&amp;""=DB_PROJ&amp;"",1,0))</f>
        <v>1</v>
      </c>
      <c r="BY919" s="80">
        <f>BW919*BX919</f>
        <v>0</v>
      </c>
      <c r="BZ919" s="80" t="str">
        <f>IF(Y919=1,F919&amp;IF(AND(F919&amp;""&lt;&gt;"",E919&amp;""&lt;&gt;"")," · ","")&amp;E919,"")</f>
        <v/>
      </c>
      <c r="CA919" s="80" t="str">
        <f>IF(AND(BD919=1,E919&amp;""&lt;&gt;""),IF(COUNTIFS($E$5:E918,E919,$BD$5:BD918,1)=0,MAX($CA$5:CA918)+1,""),"")</f>
        <v/>
      </c>
      <c r="CB919" s="80" t="str">
        <f>IF(AND(BE919=1,D919="Malcolm",E919&amp;""&lt;&gt;""),IF(COUNTIFS($D$5:D918,"Malcolm",$E$5:E918,E919,$BE$5:BE918,1)=0,MAX($CB$5:CB918)+1,""),"")</f>
        <v/>
      </c>
      <c r="CC919" s="80" t="str">
        <f>IF(AND(BD919=1,D919="proMX",E919&amp;""&lt;&gt;""),IF(COUNTIFS($D$5:D918,"proMX",$E$5:E918,E919,$BD$5:BD918,1)=0,MAX($CC$5:CC918)+1,""),"")</f>
        <v/>
      </c>
      <c r="CD919" s="80" t="str">
        <f>IF(AND(BE919=1,D919="Malcolm",F919&amp;""&lt;&gt;""),IF(COUNTIFS($D$5:D918,"Malcolm",$F$5:F918,F919,$BE$5:BE918,1)=0,MAX($CD$5:CD918)+1,""),"")</f>
        <v/>
      </c>
      <c r="CE919" s="80" t="str">
        <f>IF(AND(BD919=1,D919="proMX",F919&amp;""&lt;&gt;""),IF(COUNTIFS($D$5:D918,"proMX",$F$5:F918,F919,$BD$5:BD918,1)=0,MAX($CE$5:CE918)+1,""),"")</f>
        <v/>
      </c>
      <c r="CF919" s="80" t="str">
        <f>IF(AND(D919="proMX",BD919=1),IF(OR(BF919="Draft",BF919="Submitted",BF919="Returned",BF919="Recall Requested"),MAX($CF$5:CF918)+1,""),"")</f>
        <v/>
      </c>
      <c r="CG919" s="80">
        <f>IF(BD919=0,0,IF(D919="Malcolm",1,MATCH(BF919,{"Draft","Submitted","Approved","Returned","Recall Requested","Cancelled"},0)+1))</f>
        <v>0</v>
      </c>
      <c r="CH919" s="80">
        <f>IF(AND(BF919="Submitted",ISNUMBER(V919)),IF(V919&gt;CFG_MAXD,1,0),0)</f>
        <v>0</v>
      </c>
    </row>
    <row r="920">
      <c r="A920" s="71" t="str">
        <f>IF(Y920=1,ROW()-5,"")</f>
        <v/>
      </c>
      <c r="B920" s="72" t="n"/>
      <c r="C920" s="71" t="str">
        <f>IF(ISNUMBER(B920),CHOOSE(WEEKDAY(B920,2),"Lun","Mar","Mié","Jue","Vie","Sáb","Dom"),"")</f>
        <v/>
      </c>
      <c r="D920" s="73" t="n"/>
      <c r="E920" s="74" t="n"/>
      <c r="F920" s="74" t="n"/>
      <c r="G920" s="74" t="n"/>
      <c r="H920" s="75" t="n"/>
      <c r="I920" s="75" t="n"/>
      <c r="J920" s="76" t="n"/>
      <c r="K920" s="77" t="str">
        <f>IF(AB920=1,ROUND(AG920/60,4),"")</f>
        <v/>
      </c>
      <c r="L920" s="77" t="str">
        <f>IF(BD920=1,ROUND(AP920/60,4),"")</f>
        <v/>
      </c>
      <c r="M920" s="77" t="str">
        <f>IF(BD920=1,ROUND(AQ920/60,4),"")</f>
        <v/>
      </c>
      <c r="N920" s="71" t="str">
        <f>IF(AND(D920="proMX",AB920=1),ROUND(AG920/CFG_BLK,2),"")</f>
        <v/>
      </c>
      <c r="O920" s="77" t="str">
        <f>IF(D920="proMX",IF(BD920=1,ROUND(AG920/60,4),0),"")</f>
        <v/>
      </c>
      <c r="P920" s="78" t="str">
        <f>IF(Y920=0,"",IF(BD920=1,"OK",IF(D920="proMX","Revisar bloques: ","Revisar: ")&amp;BC920))</f>
        <v/>
      </c>
      <c r="Q920" s="78" t="str">
        <f>IF(NOT(ISNUMBER(B920)),"",IF(COUNTIFS(FER_F,INT(B920))&gt;0,"Feriado"&amp;IF(AH920=1," (laborable)"," (no laborable)"),IF(AH920=1,"Laborable",IF(WEEKDAY(B920,2)&gt;5,"Fin de semana","No laborable"))))</f>
        <v/>
      </c>
      <c r="R920" s="73" t="n"/>
      <c r="S920" s="72" t="n"/>
      <c r="T920" s="72" t="n"/>
      <c r="U920" s="74" t="n"/>
      <c r="V920" s="79" t="str">
        <f>IF(AND(D920="proMX",OR(R920="Submitted",R920="Recall Requested"),ISNUMBER(S920)),CFG_TODAY-INT(S920),"")</f>
        <v/>
      </c>
      <c r="W920" s="78" t="str">
        <f>IF(BD920=0,"",IF(BA920&gt;0,"⚠ Se superpone con un registro de la otra empresa",IF(D920="Malcolm",IF(COUNTA(R920,S920,T920)&gt;0,"Estado/fechas proMX se ignoran en Malcolm",""),IF(BF920="Cancelled","Cancelado: excluido de totales",IF(R920="","Sin estado: se trata como Draft",IF(BF920="Submitted",IF(ISNUMBER(V920),IF(V920&gt;CFG_MAXD,"⚠ "&amp;V920&amp;" días en Submitted (máx. "&amp;CFG_MAXD&amp;")",""),"Falta fecha de envío"),IF(BF920="Returned","⚠ Devuelto: corregir y reenviar",IF(BF920="Recall Requested","Retirada solicitada: pendiente",IF(AND(BF920="Approved",NOT(ISNUMBER(T920))),"Falta fecha de aprobación",IF(AND(ISNUMBER(S920),ISNUMBER(T920),T920&lt;S920),"Aprobación anterior al envío","")))))))))</f>
        <v/>
      </c>
      <c r="Y920" s="80">
        <f>IF(COUNTA(B920,D920,E920,F920,G920,H920,I920,J920,R920,S920,T920)&gt;0,1,0)</f>
        <v>0</v>
      </c>
      <c r="Z920" s="80" t="str">
        <f>IF(AND(ISNUMBER(H920),H920&gt;=0,H920&lt;1),ROUND(H920*1440,0),"")</f>
        <v/>
      </c>
      <c r="AA920" s="80" t="str">
        <f>IF(AND(ISNUMBER(I920),I920&gt;=0,I920&lt;1),ROUND(I920*1440,0),"")</f>
        <v/>
      </c>
      <c r="AB920" s="80">
        <f>IF(AND(ISNUMBER(B920),D920&lt;&gt;"",ISNUMBER(Z920),ISNUMBER(AA920)),IF(Z920=AA920,0,1),0)</f>
        <v>0</v>
      </c>
      <c r="AC920" s="80">
        <f>IF(AB920=1,IF(AA920&lt;Z920,1,0),0)</f>
        <v>0</v>
      </c>
      <c r="AD920" s="80">
        <f>IF(AB920=1,IF(AC920=1,1440-Z920+AA920,AA920-Z920),0)</f>
        <v>0</v>
      </c>
      <c r="AE920" s="80">
        <f>IF(J920="",0,IF(ISNUMBER(J920),J920,-1))</f>
        <v>0</v>
      </c>
      <c r="AF920" s="80">
        <f>MIN(MAX(0,AE920),AD920)</f>
        <v>0</v>
      </c>
      <c r="AG920" s="80">
        <f>MAX(0,AD920-MAX(0,AE920))</f>
        <v>0</v>
      </c>
      <c r="AH920" s="80">
        <f>IF(ISNUMBER(B920),IF(AND(INDEX(CFG_WDAYS,WEEKDAY(INT(B920),2))="Sí",IF(D920="proMX",COUNTIFS(FER_F,INT(B920),FER_NLP,"Sí"),COUNTIFS(FER_F,INT(B920),FER_NLM,"Sí"))=0),1,0),0)</f>
        <v>0</v>
      </c>
      <c r="AI920" s="80">
        <f>IF(AC920=1,IF(AND(INDEX(CFG_WDAYS,WEEKDAY(INT(B920)+1,2))="Sí",IF(D920="proMX",COUNTIFS(FER_F,INT(B920)+1,FER_NLP,"Sí"),COUNTIFS(FER_F,INT(B920)+1,FER_NLM,"Sí"))=0),1,0),0)</f>
        <v>0</v>
      </c>
      <c r="AJ920" s="80">
        <f>IF(AC920=1,1440-Z920,AD920)</f>
        <v>0</v>
      </c>
      <c r="AK920" s="80">
        <f>IF(AND(AB920=1,AH920=1),MAX(0,MIN(IF(AC920=1,1440,AA920),CFG_WEM)-MAX(Z920,CFG_WSM)),0)</f>
        <v>0</v>
      </c>
      <c r="AL920" s="80">
        <f>IF(AND(AC920=1,AI920=1),MAX(0,MIN(AA920,CFG_WEM)-CFG_WSM),0)</f>
        <v>0</v>
      </c>
      <c r="AM920" s="80">
        <f>AK920+AL920</f>
        <v>0</v>
      </c>
      <c r="AN920" s="80">
        <f>IF(CFG_BRK="Proporcional",IF(AD920=0,0,AF920*AM920/AD920),IF(CFG_BRK="Extras primero",MIN(AM920,MAX(0,AF920-(AD920-AM920))),MIN(AF920,AM920)))</f>
        <v>0</v>
      </c>
      <c r="AO920" s="80">
        <f>AF920-AN920</f>
        <v>0</v>
      </c>
      <c r="AP920" s="80">
        <f>AM920-AN920</f>
        <v>0</v>
      </c>
      <c r="AQ920" s="80">
        <f>AD920-AM920-AO920</f>
        <v>0</v>
      </c>
      <c r="AR920" s="80">
        <f>IF(AM920=0,0,AK920-AN920*AK920/AM920)</f>
        <v>0</v>
      </c>
      <c r="AS920" s="80">
        <f>IF(AD920-AM920=0,0,(AJ920-AK920)-AO920*(AJ920-AK920)/(AD920-AM920))</f>
        <v>0</v>
      </c>
      <c r="AT920" s="80" t="str">
        <f>IF(AC920=1,INT(B920)+1,"")</f>
        <v/>
      </c>
      <c r="AU920" s="80">
        <f>IF(AND(D920="proMX",R920="Cancelled"),0,1)</f>
        <v>1</v>
      </c>
      <c r="AV920" s="80">
        <f>IF(AND(AB920=1,AU920=1),IF(COUNTIFS($D$5:D919,D920,$B$5:B919,B920,$Z$5:Z919,Z920,$AA$5:AA919,AA920,$F$5:F919,F920&amp;"",$AU$5:AU919,1)&gt;0,1,0),0)</f>
        <v>0</v>
      </c>
      <c r="AW920" s="80" t="str">
        <f>IF(AB920=1,INT(B920)*1440+Z920,"")</f>
        <v/>
      </c>
      <c r="AX920" s="80" t="str">
        <f>IF(AB920=1,AW920+AD920,"")</f>
        <v/>
      </c>
      <c r="AY920" s="80">
        <f>IF(AND(AB920=1,AV920=0,AU920=1),1,0)</f>
        <v>0</v>
      </c>
      <c r="AZ920" s="80">
        <f>IF(AY920=1,COUNTIFS(R_Emp,D920,R_SAbs,"&lt;"&amp;AX920,R_EAbs,"&gt;"&amp;AW920,R_OKey,1)-1,0)</f>
        <v>0</v>
      </c>
      <c r="BA920" s="80">
        <f>IF(AY920=1,COUNTIFS(R_Emp,"&lt;&gt;"&amp;D920,R_SAbs,"&lt;"&amp;AX920,R_EAbs,"&gt;"&amp;AW920,R_OKey,1),0)</f>
        <v>0</v>
      </c>
      <c r="BB920" s="80">
        <f>IF(AND(AB920=1,D920="proMX"),IF(AND(MOD(Z920,CFG_BLK)=0,MOD(AA920,CFG_BLK)=0,MOD(AG920,CFG_BLK)=0,AG920&gt;0),1,0),1)</f>
        <v>1</v>
      </c>
      <c r="BC920" s="80" t="str">
        <f>IF(Y920=0,"",IF(NOT(ISNUMBER(B920)),"Falta fecha o fecha inválida",IF(D920="","Falta empresa",IF(AND(D920&lt;&gt;"Malcolm",D920&lt;&gt;"proMX"),"Empresa inválida",IF(OR(INT(B920)&lt;CFG_PSTART,INT(B920)&gt;CFG_PEND),"Fecha fuera del período",IF(OR(NOT(ISNUMBER(Z920)),NOT(ISNUMBER(AA920))),"Falta hora inicio/fin o formato inválido",IF(AB920=0,"Hora inicio = hora fin",IF(AE920&lt;0,"Descanso inválido",IF(AE920&gt;=AD920,"Descanso ≥ duración",IF(AV920=1,"Registro duplicado",IF(AZ920&gt;0,"Se superpone con otro registro "&amp;D920,IF(BB920=0,"inicio, fin y duración neta deben ser múltiplos de "&amp;CFG_BLK&amp;" min",""))))))))))))</f>
        <v/>
      </c>
      <c r="BD920" s="80">
        <f>IF(AND(Y920=1,BC920=""),1,0)</f>
        <v>0</v>
      </c>
      <c r="BE920" s="80">
        <f>IF(AND(BD920=1,AU920=1),1,0)</f>
        <v>0</v>
      </c>
      <c r="BF920" s="80" t="str">
        <f>IF(AND(D920="proMX",BD920=1),IF(R920="","Draft",R920),"")</f>
        <v/>
      </c>
      <c r="BG920" s="80">
        <f>IF(BD920=1,ROUND(AG920/60,6),0)</f>
        <v>0</v>
      </c>
      <c r="BH920" s="80">
        <f>IF(BE920=1,ROUND(AG920/60,6),0)</f>
        <v>0</v>
      </c>
      <c r="BI920" s="80">
        <f>IF(BE920=1,ROUND(AP920/60,6),0)</f>
        <v>0</v>
      </c>
      <c r="BJ920" s="80">
        <f>IF(BE920=1,ROUND(AQ920/60,6),0)</f>
        <v>0</v>
      </c>
      <c r="BK920" s="80">
        <f>IF(BE920=1,ROUND((AR920+AS920)/60,6),0)</f>
        <v>0</v>
      </c>
      <c r="BL920" s="80">
        <f>ROUND(BH920-BK920,6)</f>
        <v>0</v>
      </c>
      <c r="BM920" s="80">
        <f>IF(BE920=1,ROUND(AR920/60,6),0)</f>
        <v>0</v>
      </c>
      <c r="BN920" s="80">
        <f>ROUND(BI920-BM920,6)</f>
        <v>0</v>
      </c>
      <c r="BO920" s="80">
        <f>IF(BE920=1,ROUND(AS920/60,6),0)</f>
        <v>0</v>
      </c>
      <c r="BP920" s="80">
        <f>ROUND(BJ920-BO920,6)</f>
        <v>0</v>
      </c>
      <c r="BQ920" s="80">
        <f>IF(BE920=1,AW920,0)</f>
        <v>0</v>
      </c>
      <c r="BR920" s="80">
        <f>IF(BE920=1,AX920,0)</f>
        <v>0</v>
      </c>
      <c r="BS920" s="80">
        <f>IF(AND(BE920=1,D920="Malcolm",BA920&gt;0),MIN(BH920,SUMPRODUCT((R_Emp="proMX")*(R_EN&gt;0)*((R_EN-(R_EN&gt;BR920)*(R_EN-BR920))&gt;(R_SN+(R_SN&lt;BQ920)*(BQ920-R_SN)))*((R_EN-(R_EN&gt;BR920)*(R_EN-BR920))-(R_SN+(R_SN&lt;BQ920)*(BQ920-R_SN))))/60),0)</f>
        <v>0</v>
      </c>
      <c r="BT920" s="80">
        <f>IF(AND(BE920=1,D920="proMX"),ROUND(BI920*CFG_RATE+BJ920*CFG_OTRATE,6),0)</f>
        <v>0</v>
      </c>
      <c r="BU920" s="80">
        <f>IF(AND(BD920=1,D920="proMX"),ROUND(AG920/CFG_BLK,6),0)</f>
        <v>0</v>
      </c>
      <c r="BV920" s="80" t="str">
        <f>IF(BF920="Approved",IF(ISNUMBER(T920),INT(T920),INT(B920)),"")</f>
        <v/>
      </c>
      <c r="BW920" s="80">
        <f>IF(ISNUMBER(B920),IF(DB_MON="Todos",1,IF(AND(INT(B920)&gt;=DB_MS,INT(B920)&lt;=DB_ME),1,0)),0)</f>
        <v>0</v>
      </c>
      <c r="BX920" s="80">
        <f>IF(DB_PROJ="Todos",1,IF(E920&amp;""=DB_PROJ&amp;"",1,0))</f>
        <v>1</v>
      </c>
      <c r="BY920" s="80">
        <f>BW920*BX920</f>
        <v>0</v>
      </c>
      <c r="BZ920" s="80" t="str">
        <f>IF(Y920=1,F920&amp;IF(AND(F920&amp;""&lt;&gt;"",E920&amp;""&lt;&gt;"")," · ","")&amp;E920,"")</f>
        <v/>
      </c>
      <c r="CA920" s="80" t="str">
        <f>IF(AND(BD920=1,E920&amp;""&lt;&gt;""),IF(COUNTIFS($E$5:E919,E920,$BD$5:BD919,1)=0,MAX($CA$5:CA919)+1,""),"")</f>
        <v/>
      </c>
      <c r="CB920" s="80" t="str">
        <f>IF(AND(BE920=1,D920="Malcolm",E920&amp;""&lt;&gt;""),IF(COUNTIFS($D$5:D919,"Malcolm",$E$5:E919,E920,$BE$5:BE919,1)=0,MAX($CB$5:CB919)+1,""),"")</f>
        <v/>
      </c>
      <c r="CC920" s="80" t="str">
        <f>IF(AND(BD920=1,D920="proMX",E920&amp;""&lt;&gt;""),IF(COUNTIFS($D$5:D919,"proMX",$E$5:E919,E920,$BD$5:BD919,1)=0,MAX($CC$5:CC919)+1,""),"")</f>
        <v/>
      </c>
      <c r="CD920" s="80" t="str">
        <f>IF(AND(BE920=1,D920="Malcolm",F920&amp;""&lt;&gt;""),IF(COUNTIFS($D$5:D919,"Malcolm",$F$5:F919,F920,$BE$5:BE919,1)=0,MAX($CD$5:CD919)+1,""),"")</f>
        <v/>
      </c>
      <c r="CE920" s="80" t="str">
        <f>IF(AND(BD920=1,D920="proMX",F920&amp;""&lt;&gt;""),IF(COUNTIFS($D$5:D919,"proMX",$F$5:F919,F920,$BD$5:BD919,1)=0,MAX($CE$5:CE919)+1,""),"")</f>
        <v/>
      </c>
      <c r="CF920" s="80" t="str">
        <f>IF(AND(D920="proMX",BD920=1),IF(OR(BF920="Draft",BF920="Submitted",BF920="Returned",BF920="Recall Requested"),MAX($CF$5:CF919)+1,""),"")</f>
        <v/>
      </c>
      <c r="CG920" s="80">
        <f>IF(BD920=0,0,IF(D920="Malcolm",1,MATCH(BF920,{"Draft","Submitted","Approved","Returned","Recall Requested","Cancelled"},0)+1))</f>
        <v>0</v>
      </c>
      <c r="CH920" s="80">
        <f>IF(AND(BF920="Submitted",ISNUMBER(V920)),IF(V920&gt;CFG_MAXD,1,0),0)</f>
        <v>0</v>
      </c>
    </row>
    <row r="921">
      <c r="A921" s="71" t="str">
        <f>IF(Y921=1,ROW()-5,"")</f>
        <v/>
      </c>
      <c r="B921" s="72" t="n"/>
      <c r="C921" s="71" t="str">
        <f>IF(ISNUMBER(B921),CHOOSE(WEEKDAY(B921,2),"Lun","Mar","Mié","Jue","Vie","Sáb","Dom"),"")</f>
        <v/>
      </c>
      <c r="D921" s="73" t="n"/>
      <c r="E921" s="74" t="n"/>
      <c r="F921" s="74" t="n"/>
      <c r="G921" s="74" t="n"/>
      <c r="H921" s="75" t="n"/>
      <c r="I921" s="75" t="n"/>
      <c r="J921" s="76" t="n"/>
      <c r="K921" s="77" t="str">
        <f>IF(AB921=1,ROUND(AG921/60,4),"")</f>
        <v/>
      </c>
      <c r="L921" s="77" t="str">
        <f>IF(BD921=1,ROUND(AP921/60,4),"")</f>
        <v/>
      </c>
      <c r="M921" s="77" t="str">
        <f>IF(BD921=1,ROUND(AQ921/60,4),"")</f>
        <v/>
      </c>
      <c r="N921" s="71" t="str">
        <f>IF(AND(D921="proMX",AB921=1),ROUND(AG921/CFG_BLK,2),"")</f>
        <v/>
      </c>
      <c r="O921" s="77" t="str">
        <f>IF(D921="proMX",IF(BD921=1,ROUND(AG921/60,4),0),"")</f>
        <v/>
      </c>
      <c r="P921" s="78" t="str">
        <f>IF(Y921=0,"",IF(BD921=1,"OK",IF(D921="proMX","Revisar bloques: ","Revisar: ")&amp;BC921))</f>
        <v/>
      </c>
      <c r="Q921" s="78" t="str">
        <f>IF(NOT(ISNUMBER(B921)),"",IF(COUNTIFS(FER_F,INT(B921))&gt;0,"Feriado"&amp;IF(AH921=1," (laborable)"," (no laborable)"),IF(AH921=1,"Laborable",IF(WEEKDAY(B921,2)&gt;5,"Fin de semana","No laborable"))))</f>
        <v/>
      </c>
      <c r="R921" s="73" t="n"/>
      <c r="S921" s="72" t="n"/>
      <c r="T921" s="72" t="n"/>
      <c r="U921" s="74" t="n"/>
      <c r="V921" s="79" t="str">
        <f>IF(AND(D921="proMX",OR(R921="Submitted",R921="Recall Requested"),ISNUMBER(S921)),CFG_TODAY-INT(S921),"")</f>
        <v/>
      </c>
      <c r="W921" s="78" t="str">
        <f>IF(BD921=0,"",IF(BA921&gt;0,"⚠ Se superpone con un registro de la otra empresa",IF(D921="Malcolm",IF(COUNTA(R921,S921,T921)&gt;0,"Estado/fechas proMX se ignoran en Malcolm",""),IF(BF921="Cancelled","Cancelado: excluido de totales",IF(R921="","Sin estado: se trata como Draft",IF(BF921="Submitted",IF(ISNUMBER(V921),IF(V921&gt;CFG_MAXD,"⚠ "&amp;V921&amp;" días en Submitted (máx. "&amp;CFG_MAXD&amp;")",""),"Falta fecha de envío"),IF(BF921="Returned","⚠ Devuelto: corregir y reenviar",IF(BF921="Recall Requested","Retirada solicitada: pendiente",IF(AND(BF921="Approved",NOT(ISNUMBER(T921))),"Falta fecha de aprobación",IF(AND(ISNUMBER(S921),ISNUMBER(T921),T921&lt;S921),"Aprobación anterior al envío","")))))))))</f>
        <v/>
      </c>
      <c r="Y921" s="80">
        <f>IF(COUNTA(B921,D921,E921,F921,G921,H921,I921,J921,R921,S921,T921)&gt;0,1,0)</f>
        <v>0</v>
      </c>
      <c r="Z921" s="80" t="str">
        <f>IF(AND(ISNUMBER(H921),H921&gt;=0,H921&lt;1),ROUND(H921*1440,0),"")</f>
        <v/>
      </c>
      <c r="AA921" s="80" t="str">
        <f>IF(AND(ISNUMBER(I921),I921&gt;=0,I921&lt;1),ROUND(I921*1440,0),"")</f>
        <v/>
      </c>
      <c r="AB921" s="80">
        <f>IF(AND(ISNUMBER(B921),D921&lt;&gt;"",ISNUMBER(Z921),ISNUMBER(AA921)),IF(Z921=AA921,0,1),0)</f>
        <v>0</v>
      </c>
      <c r="AC921" s="80">
        <f>IF(AB921=1,IF(AA921&lt;Z921,1,0),0)</f>
        <v>0</v>
      </c>
      <c r="AD921" s="80">
        <f>IF(AB921=1,IF(AC921=1,1440-Z921+AA921,AA921-Z921),0)</f>
        <v>0</v>
      </c>
      <c r="AE921" s="80">
        <f>IF(J921="",0,IF(ISNUMBER(J921),J921,-1))</f>
        <v>0</v>
      </c>
      <c r="AF921" s="80">
        <f>MIN(MAX(0,AE921),AD921)</f>
        <v>0</v>
      </c>
      <c r="AG921" s="80">
        <f>MAX(0,AD921-MAX(0,AE921))</f>
        <v>0</v>
      </c>
      <c r="AH921" s="80">
        <f>IF(ISNUMBER(B921),IF(AND(INDEX(CFG_WDAYS,WEEKDAY(INT(B921),2))="Sí",IF(D921="proMX",COUNTIFS(FER_F,INT(B921),FER_NLP,"Sí"),COUNTIFS(FER_F,INT(B921),FER_NLM,"Sí"))=0),1,0),0)</f>
        <v>0</v>
      </c>
      <c r="AI921" s="80">
        <f>IF(AC921=1,IF(AND(INDEX(CFG_WDAYS,WEEKDAY(INT(B921)+1,2))="Sí",IF(D921="proMX",COUNTIFS(FER_F,INT(B921)+1,FER_NLP,"Sí"),COUNTIFS(FER_F,INT(B921)+1,FER_NLM,"Sí"))=0),1,0),0)</f>
        <v>0</v>
      </c>
      <c r="AJ921" s="80">
        <f>IF(AC921=1,1440-Z921,AD921)</f>
        <v>0</v>
      </c>
      <c r="AK921" s="80">
        <f>IF(AND(AB921=1,AH921=1),MAX(0,MIN(IF(AC921=1,1440,AA921),CFG_WEM)-MAX(Z921,CFG_WSM)),0)</f>
        <v>0</v>
      </c>
      <c r="AL921" s="80">
        <f>IF(AND(AC921=1,AI921=1),MAX(0,MIN(AA921,CFG_WEM)-CFG_WSM),0)</f>
        <v>0</v>
      </c>
      <c r="AM921" s="80">
        <f>AK921+AL921</f>
        <v>0</v>
      </c>
      <c r="AN921" s="80">
        <f>IF(CFG_BRK="Proporcional",IF(AD921=0,0,AF921*AM921/AD921),IF(CFG_BRK="Extras primero",MIN(AM921,MAX(0,AF921-(AD921-AM921))),MIN(AF921,AM921)))</f>
        <v>0</v>
      </c>
      <c r="AO921" s="80">
        <f>AF921-AN921</f>
        <v>0</v>
      </c>
      <c r="AP921" s="80">
        <f>AM921-AN921</f>
        <v>0</v>
      </c>
      <c r="AQ921" s="80">
        <f>AD921-AM921-AO921</f>
        <v>0</v>
      </c>
      <c r="AR921" s="80">
        <f>IF(AM921=0,0,AK921-AN921*AK921/AM921)</f>
        <v>0</v>
      </c>
      <c r="AS921" s="80">
        <f>IF(AD921-AM921=0,0,(AJ921-AK921)-AO921*(AJ921-AK921)/(AD921-AM921))</f>
        <v>0</v>
      </c>
      <c r="AT921" s="80" t="str">
        <f>IF(AC921=1,INT(B921)+1,"")</f>
        <v/>
      </c>
      <c r="AU921" s="80">
        <f>IF(AND(D921="proMX",R921="Cancelled"),0,1)</f>
        <v>1</v>
      </c>
      <c r="AV921" s="80">
        <f>IF(AND(AB921=1,AU921=1),IF(COUNTIFS($D$5:D920,D921,$B$5:B920,B921,$Z$5:Z920,Z921,$AA$5:AA920,AA921,$F$5:F920,F921&amp;"",$AU$5:AU920,1)&gt;0,1,0),0)</f>
        <v>0</v>
      </c>
      <c r="AW921" s="80" t="str">
        <f>IF(AB921=1,INT(B921)*1440+Z921,"")</f>
        <v/>
      </c>
      <c r="AX921" s="80" t="str">
        <f>IF(AB921=1,AW921+AD921,"")</f>
        <v/>
      </c>
      <c r="AY921" s="80">
        <f>IF(AND(AB921=1,AV921=0,AU921=1),1,0)</f>
        <v>0</v>
      </c>
      <c r="AZ921" s="80">
        <f>IF(AY921=1,COUNTIFS(R_Emp,D921,R_SAbs,"&lt;"&amp;AX921,R_EAbs,"&gt;"&amp;AW921,R_OKey,1)-1,0)</f>
        <v>0</v>
      </c>
      <c r="BA921" s="80">
        <f>IF(AY921=1,COUNTIFS(R_Emp,"&lt;&gt;"&amp;D921,R_SAbs,"&lt;"&amp;AX921,R_EAbs,"&gt;"&amp;AW921,R_OKey,1),0)</f>
        <v>0</v>
      </c>
      <c r="BB921" s="80">
        <f>IF(AND(AB921=1,D921="proMX"),IF(AND(MOD(Z921,CFG_BLK)=0,MOD(AA921,CFG_BLK)=0,MOD(AG921,CFG_BLK)=0,AG921&gt;0),1,0),1)</f>
        <v>1</v>
      </c>
      <c r="BC921" s="80" t="str">
        <f>IF(Y921=0,"",IF(NOT(ISNUMBER(B921)),"Falta fecha o fecha inválida",IF(D921="","Falta empresa",IF(AND(D921&lt;&gt;"Malcolm",D921&lt;&gt;"proMX"),"Empresa inválida",IF(OR(INT(B921)&lt;CFG_PSTART,INT(B921)&gt;CFG_PEND),"Fecha fuera del período",IF(OR(NOT(ISNUMBER(Z921)),NOT(ISNUMBER(AA921))),"Falta hora inicio/fin o formato inválido",IF(AB921=0,"Hora inicio = hora fin",IF(AE921&lt;0,"Descanso inválido",IF(AE921&gt;=AD921,"Descanso ≥ duración",IF(AV921=1,"Registro duplicado",IF(AZ921&gt;0,"Se superpone con otro registro "&amp;D921,IF(BB921=0,"inicio, fin y duración neta deben ser múltiplos de "&amp;CFG_BLK&amp;" min",""))))))))))))</f>
        <v/>
      </c>
      <c r="BD921" s="80">
        <f>IF(AND(Y921=1,BC921=""),1,0)</f>
        <v>0</v>
      </c>
      <c r="BE921" s="80">
        <f>IF(AND(BD921=1,AU921=1),1,0)</f>
        <v>0</v>
      </c>
      <c r="BF921" s="80" t="str">
        <f>IF(AND(D921="proMX",BD921=1),IF(R921="","Draft",R921),"")</f>
        <v/>
      </c>
      <c r="BG921" s="80">
        <f>IF(BD921=1,ROUND(AG921/60,6),0)</f>
        <v>0</v>
      </c>
      <c r="BH921" s="80">
        <f>IF(BE921=1,ROUND(AG921/60,6),0)</f>
        <v>0</v>
      </c>
      <c r="BI921" s="80">
        <f>IF(BE921=1,ROUND(AP921/60,6),0)</f>
        <v>0</v>
      </c>
      <c r="BJ921" s="80">
        <f>IF(BE921=1,ROUND(AQ921/60,6),0)</f>
        <v>0</v>
      </c>
      <c r="BK921" s="80">
        <f>IF(BE921=1,ROUND((AR921+AS921)/60,6),0)</f>
        <v>0</v>
      </c>
      <c r="BL921" s="80">
        <f>ROUND(BH921-BK921,6)</f>
        <v>0</v>
      </c>
      <c r="BM921" s="80">
        <f>IF(BE921=1,ROUND(AR921/60,6),0)</f>
        <v>0</v>
      </c>
      <c r="BN921" s="80">
        <f>ROUND(BI921-BM921,6)</f>
        <v>0</v>
      </c>
      <c r="BO921" s="80">
        <f>IF(BE921=1,ROUND(AS921/60,6),0)</f>
        <v>0</v>
      </c>
      <c r="BP921" s="80">
        <f>ROUND(BJ921-BO921,6)</f>
        <v>0</v>
      </c>
      <c r="BQ921" s="80">
        <f>IF(BE921=1,AW921,0)</f>
        <v>0</v>
      </c>
      <c r="BR921" s="80">
        <f>IF(BE921=1,AX921,0)</f>
        <v>0</v>
      </c>
      <c r="BS921" s="80">
        <f>IF(AND(BE921=1,D921="Malcolm",BA921&gt;0),MIN(BH921,SUMPRODUCT((R_Emp="proMX")*(R_EN&gt;0)*((R_EN-(R_EN&gt;BR921)*(R_EN-BR921))&gt;(R_SN+(R_SN&lt;BQ921)*(BQ921-R_SN)))*((R_EN-(R_EN&gt;BR921)*(R_EN-BR921))-(R_SN+(R_SN&lt;BQ921)*(BQ921-R_SN))))/60),0)</f>
        <v>0</v>
      </c>
      <c r="BT921" s="80">
        <f>IF(AND(BE921=1,D921="proMX"),ROUND(BI921*CFG_RATE+BJ921*CFG_OTRATE,6),0)</f>
        <v>0</v>
      </c>
      <c r="BU921" s="80">
        <f>IF(AND(BD921=1,D921="proMX"),ROUND(AG921/CFG_BLK,6),0)</f>
        <v>0</v>
      </c>
      <c r="BV921" s="80" t="str">
        <f>IF(BF921="Approved",IF(ISNUMBER(T921),INT(T921),INT(B921)),"")</f>
        <v/>
      </c>
      <c r="BW921" s="80">
        <f>IF(ISNUMBER(B921),IF(DB_MON="Todos",1,IF(AND(INT(B921)&gt;=DB_MS,INT(B921)&lt;=DB_ME),1,0)),0)</f>
        <v>0</v>
      </c>
      <c r="BX921" s="80">
        <f>IF(DB_PROJ="Todos",1,IF(E921&amp;""=DB_PROJ&amp;"",1,0))</f>
        <v>1</v>
      </c>
      <c r="BY921" s="80">
        <f>BW921*BX921</f>
        <v>0</v>
      </c>
      <c r="BZ921" s="80" t="str">
        <f>IF(Y921=1,F921&amp;IF(AND(F921&amp;""&lt;&gt;"",E921&amp;""&lt;&gt;"")," · ","")&amp;E921,"")</f>
        <v/>
      </c>
      <c r="CA921" s="80" t="str">
        <f>IF(AND(BD921=1,E921&amp;""&lt;&gt;""),IF(COUNTIFS($E$5:E920,E921,$BD$5:BD920,1)=0,MAX($CA$5:CA920)+1,""),"")</f>
        <v/>
      </c>
      <c r="CB921" s="80" t="str">
        <f>IF(AND(BE921=1,D921="Malcolm",E921&amp;""&lt;&gt;""),IF(COUNTIFS($D$5:D920,"Malcolm",$E$5:E920,E921,$BE$5:BE920,1)=0,MAX($CB$5:CB920)+1,""),"")</f>
        <v/>
      </c>
      <c r="CC921" s="80" t="str">
        <f>IF(AND(BD921=1,D921="proMX",E921&amp;""&lt;&gt;""),IF(COUNTIFS($D$5:D920,"proMX",$E$5:E920,E921,$BD$5:BD920,1)=0,MAX($CC$5:CC920)+1,""),"")</f>
        <v/>
      </c>
      <c r="CD921" s="80" t="str">
        <f>IF(AND(BE921=1,D921="Malcolm",F921&amp;""&lt;&gt;""),IF(COUNTIFS($D$5:D920,"Malcolm",$F$5:F920,F921,$BE$5:BE920,1)=0,MAX($CD$5:CD920)+1,""),"")</f>
        <v/>
      </c>
      <c r="CE921" s="80" t="str">
        <f>IF(AND(BD921=1,D921="proMX",F921&amp;""&lt;&gt;""),IF(COUNTIFS($D$5:D920,"proMX",$F$5:F920,F921,$BD$5:BD920,1)=0,MAX($CE$5:CE920)+1,""),"")</f>
        <v/>
      </c>
      <c r="CF921" s="80" t="str">
        <f>IF(AND(D921="proMX",BD921=1),IF(OR(BF921="Draft",BF921="Submitted",BF921="Returned",BF921="Recall Requested"),MAX($CF$5:CF920)+1,""),"")</f>
        <v/>
      </c>
      <c r="CG921" s="80">
        <f>IF(BD921=0,0,IF(D921="Malcolm",1,MATCH(BF921,{"Draft","Submitted","Approved","Returned","Recall Requested","Cancelled"},0)+1))</f>
        <v>0</v>
      </c>
      <c r="CH921" s="80">
        <f>IF(AND(BF921="Submitted",ISNUMBER(V921)),IF(V921&gt;CFG_MAXD,1,0),0)</f>
        <v>0</v>
      </c>
    </row>
    <row r="922">
      <c r="A922" s="71" t="str">
        <f>IF(Y922=1,ROW()-5,"")</f>
        <v/>
      </c>
      <c r="B922" s="72" t="n"/>
      <c r="C922" s="71" t="str">
        <f>IF(ISNUMBER(B922),CHOOSE(WEEKDAY(B922,2),"Lun","Mar","Mié","Jue","Vie","Sáb","Dom"),"")</f>
        <v/>
      </c>
      <c r="D922" s="73" t="n"/>
      <c r="E922" s="74" t="n"/>
      <c r="F922" s="74" t="n"/>
      <c r="G922" s="74" t="n"/>
      <c r="H922" s="75" t="n"/>
      <c r="I922" s="75" t="n"/>
      <c r="J922" s="76" t="n"/>
      <c r="K922" s="77" t="str">
        <f>IF(AB922=1,ROUND(AG922/60,4),"")</f>
        <v/>
      </c>
      <c r="L922" s="77" t="str">
        <f>IF(BD922=1,ROUND(AP922/60,4),"")</f>
        <v/>
      </c>
      <c r="M922" s="77" t="str">
        <f>IF(BD922=1,ROUND(AQ922/60,4),"")</f>
        <v/>
      </c>
      <c r="N922" s="71" t="str">
        <f>IF(AND(D922="proMX",AB922=1),ROUND(AG922/CFG_BLK,2),"")</f>
        <v/>
      </c>
      <c r="O922" s="77" t="str">
        <f>IF(D922="proMX",IF(BD922=1,ROUND(AG922/60,4),0),"")</f>
        <v/>
      </c>
      <c r="P922" s="78" t="str">
        <f>IF(Y922=0,"",IF(BD922=1,"OK",IF(D922="proMX","Revisar bloques: ","Revisar: ")&amp;BC922))</f>
        <v/>
      </c>
      <c r="Q922" s="78" t="str">
        <f>IF(NOT(ISNUMBER(B922)),"",IF(COUNTIFS(FER_F,INT(B922))&gt;0,"Feriado"&amp;IF(AH922=1," (laborable)"," (no laborable)"),IF(AH922=1,"Laborable",IF(WEEKDAY(B922,2)&gt;5,"Fin de semana","No laborable"))))</f>
        <v/>
      </c>
      <c r="R922" s="73" t="n"/>
      <c r="S922" s="72" t="n"/>
      <c r="T922" s="72" t="n"/>
      <c r="U922" s="74" t="n"/>
      <c r="V922" s="79" t="str">
        <f>IF(AND(D922="proMX",OR(R922="Submitted",R922="Recall Requested"),ISNUMBER(S922)),CFG_TODAY-INT(S922),"")</f>
        <v/>
      </c>
      <c r="W922" s="78" t="str">
        <f>IF(BD922=0,"",IF(BA922&gt;0,"⚠ Se superpone con un registro de la otra empresa",IF(D922="Malcolm",IF(COUNTA(R922,S922,T922)&gt;0,"Estado/fechas proMX se ignoran en Malcolm",""),IF(BF922="Cancelled","Cancelado: excluido de totales",IF(R922="","Sin estado: se trata como Draft",IF(BF922="Submitted",IF(ISNUMBER(V922),IF(V922&gt;CFG_MAXD,"⚠ "&amp;V922&amp;" días en Submitted (máx. "&amp;CFG_MAXD&amp;")",""),"Falta fecha de envío"),IF(BF922="Returned","⚠ Devuelto: corregir y reenviar",IF(BF922="Recall Requested","Retirada solicitada: pendiente",IF(AND(BF922="Approved",NOT(ISNUMBER(T922))),"Falta fecha de aprobación",IF(AND(ISNUMBER(S922),ISNUMBER(T922),T922&lt;S922),"Aprobación anterior al envío","")))))))))</f>
        <v/>
      </c>
      <c r="Y922" s="80">
        <f>IF(COUNTA(B922,D922,E922,F922,G922,H922,I922,J922,R922,S922,T922)&gt;0,1,0)</f>
        <v>0</v>
      </c>
      <c r="Z922" s="80" t="str">
        <f>IF(AND(ISNUMBER(H922),H922&gt;=0,H922&lt;1),ROUND(H922*1440,0),"")</f>
        <v/>
      </c>
      <c r="AA922" s="80" t="str">
        <f>IF(AND(ISNUMBER(I922),I922&gt;=0,I922&lt;1),ROUND(I922*1440,0),"")</f>
        <v/>
      </c>
      <c r="AB922" s="80">
        <f>IF(AND(ISNUMBER(B922),D922&lt;&gt;"",ISNUMBER(Z922),ISNUMBER(AA922)),IF(Z922=AA922,0,1),0)</f>
        <v>0</v>
      </c>
      <c r="AC922" s="80">
        <f>IF(AB922=1,IF(AA922&lt;Z922,1,0),0)</f>
        <v>0</v>
      </c>
      <c r="AD922" s="80">
        <f>IF(AB922=1,IF(AC922=1,1440-Z922+AA922,AA922-Z922),0)</f>
        <v>0</v>
      </c>
      <c r="AE922" s="80">
        <f>IF(J922="",0,IF(ISNUMBER(J922),J922,-1))</f>
        <v>0</v>
      </c>
      <c r="AF922" s="80">
        <f>MIN(MAX(0,AE922),AD922)</f>
        <v>0</v>
      </c>
      <c r="AG922" s="80">
        <f>MAX(0,AD922-MAX(0,AE922))</f>
        <v>0</v>
      </c>
      <c r="AH922" s="80">
        <f>IF(ISNUMBER(B922),IF(AND(INDEX(CFG_WDAYS,WEEKDAY(INT(B922),2))="Sí",IF(D922="proMX",COUNTIFS(FER_F,INT(B922),FER_NLP,"Sí"),COUNTIFS(FER_F,INT(B922),FER_NLM,"Sí"))=0),1,0),0)</f>
        <v>0</v>
      </c>
      <c r="AI922" s="80">
        <f>IF(AC922=1,IF(AND(INDEX(CFG_WDAYS,WEEKDAY(INT(B922)+1,2))="Sí",IF(D922="proMX",COUNTIFS(FER_F,INT(B922)+1,FER_NLP,"Sí"),COUNTIFS(FER_F,INT(B922)+1,FER_NLM,"Sí"))=0),1,0),0)</f>
        <v>0</v>
      </c>
      <c r="AJ922" s="80">
        <f>IF(AC922=1,1440-Z922,AD922)</f>
        <v>0</v>
      </c>
      <c r="AK922" s="80">
        <f>IF(AND(AB922=1,AH922=1),MAX(0,MIN(IF(AC922=1,1440,AA922),CFG_WEM)-MAX(Z922,CFG_WSM)),0)</f>
        <v>0</v>
      </c>
      <c r="AL922" s="80">
        <f>IF(AND(AC922=1,AI922=1),MAX(0,MIN(AA922,CFG_WEM)-CFG_WSM),0)</f>
        <v>0</v>
      </c>
      <c r="AM922" s="80">
        <f>AK922+AL922</f>
        <v>0</v>
      </c>
      <c r="AN922" s="80">
        <f>IF(CFG_BRK="Proporcional",IF(AD922=0,0,AF922*AM922/AD922),IF(CFG_BRK="Extras primero",MIN(AM922,MAX(0,AF922-(AD922-AM922))),MIN(AF922,AM922)))</f>
        <v>0</v>
      </c>
      <c r="AO922" s="80">
        <f>AF922-AN922</f>
        <v>0</v>
      </c>
      <c r="AP922" s="80">
        <f>AM922-AN922</f>
        <v>0</v>
      </c>
      <c r="AQ922" s="80">
        <f>AD922-AM922-AO922</f>
        <v>0</v>
      </c>
      <c r="AR922" s="80">
        <f>IF(AM922=0,0,AK922-AN922*AK922/AM922)</f>
        <v>0</v>
      </c>
      <c r="AS922" s="80">
        <f>IF(AD922-AM922=0,0,(AJ922-AK922)-AO922*(AJ922-AK922)/(AD922-AM922))</f>
        <v>0</v>
      </c>
      <c r="AT922" s="80" t="str">
        <f>IF(AC922=1,INT(B922)+1,"")</f>
        <v/>
      </c>
      <c r="AU922" s="80">
        <f>IF(AND(D922="proMX",R922="Cancelled"),0,1)</f>
        <v>1</v>
      </c>
      <c r="AV922" s="80">
        <f>IF(AND(AB922=1,AU922=1),IF(COUNTIFS($D$5:D921,D922,$B$5:B921,B922,$Z$5:Z921,Z922,$AA$5:AA921,AA922,$F$5:F921,F922&amp;"",$AU$5:AU921,1)&gt;0,1,0),0)</f>
        <v>0</v>
      </c>
      <c r="AW922" s="80" t="str">
        <f>IF(AB922=1,INT(B922)*1440+Z922,"")</f>
        <v/>
      </c>
      <c r="AX922" s="80" t="str">
        <f>IF(AB922=1,AW922+AD922,"")</f>
        <v/>
      </c>
      <c r="AY922" s="80">
        <f>IF(AND(AB922=1,AV922=0,AU922=1),1,0)</f>
        <v>0</v>
      </c>
      <c r="AZ922" s="80">
        <f>IF(AY922=1,COUNTIFS(R_Emp,D922,R_SAbs,"&lt;"&amp;AX922,R_EAbs,"&gt;"&amp;AW922,R_OKey,1)-1,0)</f>
        <v>0</v>
      </c>
      <c r="BA922" s="80">
        <f>IF(AY922=1,COUNTIFS(R_Emp,"&lt;&gt;"&amp;D922,R_SAbs,"&lt;"&amp;AX922,R_EAbs,"&gt;"&amp;AW922,R_OKey,1),0)</f>
        <v>0</v>
      </c>
      <c r="BB922" s="80">
        <f>IF(AND(AB922=1,D922="proMX"),IF(AND(MOD(Z922,CFG_BLK)=0,MOD(AA922,CFG_BLK)=0,MOD(AG922,CFG_BLK)=0,AG922&gt;0),1,0),1)</f>
        <v>1</v>
      </c>
      <c r="BC922" s="80" t="str">
        <f>IF(Y922=0,"",IF(NOT(ISNUMBER(B922)),"Falta fecha o fecha inválida",IF(D922="","Falta empresa",IF(AND(D922&lt;&gt;"Malcolm",D922&lt;&gt;"proMX"),"Empresa inválida",IF(OR(INT(B922)&lt;CFG_PSTART,INT(B922)&gt;CFG_PEND),"Fecha fuera del período",IF(OR(NOT(ISNUMBER(Z922)),NOT(ISNUMBER(AA922))),"Falta hora inicio/fin o formato inválido",IF(AB922=0,"Hora inicio = hora fin",IF(AE922&lt;0,"Descanso inválido",IF(AE922&gt;=AD922,"Descanso ≥ duración",IF(AV922=1,"Registro duplicado",IF(AZ922&gt;0,"Se superpone con otro registro "&amp;D922,IF(BB922=0,"inicio, fin y duración neta deben ser múltiplos de "&amp;CFG_BLK&amp;" min",""))))))))))))</f>
        <v/>
      </c>
      <c r="BD922" s="80">
        <f>IF(AND(Y922=1,BC922=""),1,0)</f>
        <v>0</v>
      </c>
      <c r="BE922" s="80">
        <f>IF(AND(BD922=1,AU922=1),1,0)</f>
        <v>0</v>
      </c>
      <c r="BF922" s="80" t="str">
        <f>IF(AND(D922="proMX",BD922=1),IF(R922="","Draft",R922),"")</f>
        <v/>
      </c>
      <c r="BG922" s="80">
        <f>IF(BD922=1,ROUND(AG922/60,6),0)</f>
        <v>0</v>
      </c>
      <c r="BH922" s="80">
        <f>IF(BE922=1,ROUND(AG922/60,6),0)</f>
        <v>0</v>
      </c>
      <c r="BI922" s="80">
        <f>IF(BE922=1,ROUND(AP922/60,6),0)</f>
        <v>0</v>
      </c>
      <c r="BJ922" s="80">
        <f>IF(BE922=1,ROUND(AQ922/60,6),0)</f>
        <v>0</v>
      </c>
      <c r="BK922" s="80">
        <f>IF(BE922=1,ROUND((AR922+AS922)/60,6),0)</f>
        <v>0</v>
      </c>
      <c r="BL922" s="80">
        <f>ROUND(BH922-BK922,6)</f>
        <v>0</v>
      </c>
      <c r="BM922" s="80">
        <f>IF(BE922=1,ROUND(AR922/60,6),0)</f>
        <v>0</v>
      </c>
      <c r="BN922" s="80">
        <f>ROUND(BI922-BM922,6)</f>
        <v>0</v>
      </c>
      <c r="BO922" s="80">
        <f>IF(BE922=1,ROUND(AS922/60,6),0)</f>
        <v>0</v>
      </c>
      <c r="BP922" s="80">
        <f>ROUND(BJ922-BO922,6)</f>
        <v>0</v>
      </c>
      <c r="BQ922" s="80">
        <f>IF(BE922=1,AW922,0)</f>
        <v>0</v>
      </c>
      <c r="BR922" s="80">
        <f>IF(BE922=1,AX922,0)</f>
        <v>0</v>
      </c>
      <c r="BS922" s="80">
        <f>IF(AND(BE922=1,D922="Malcolm",BA922&gt;0),MIN(BH922,SUMPRODUCT((R_Emp="proMX")*(R_EN&gt;0)*((R_EN-(R_EN&gt;BR922)*(R_EN-BR922))&gt;(R_SN+(R_SN&lt;BQ922)*(BQ922-R_SN)))*((R_EN-(R_EN&gt;BR922)*(R_EN-BR922))-(R_SN+(R_SN&lt;BQ922)*(BQ922-R_SN))))/60),0)</f>
        <v>0</v>
      </c>
      <c r="BT922" s="80">
        <f>IF(AND(BE922=1,D922="proMX"),ROUND(BI922*CFG_RATE+BJ922*CFG_OTRATE,6),0)</f>
        <v>0</v>
      </c>
      <c r="BU922" s="80">
        <f>IF(AND(BD922=1,D922="proMX"),ROUND(AG922/CFG_BLK,6),0)</f>
        <v>0</v>
      </c>
      <c r="BV922" s="80" t="str">
        <f>IF(BF922="Approved",IF(ISNUMBER(T922),INT(T922),INT(B922)),"")</f>
        <v/>
      </c>
      <c r="BW922" s="80">
        <f>IF(ISNUMBER(B922),IF(DB_MON="Todos",1,IF(AND(INT(B922)&gt;=DB_MS,INT(B922)&lt;=DB_ME),1,0)),0)</f>
        <v>0</v>
      </c>
      <c r="BX922" s="80">
        <f>IF(DB_PROJ="Todos",1,IF(E922&amp;""=DB_PROJ&amp;"",1,0))</f>
        <v>1</v>
      </c>
      <c r="BY922" s="80">
        <f>BW922*BX922</f>
        <v>0</v>
      </c>
      <c r="BZ922" s="80" t="str">
        <f>IF(Y922=1,F922&amp;IF(AND(F922&amp;""&lt;&gt;"",E922&amp;""&lt;&gt;"")," · ","")&amp;E922,"")</f>
        <v/>
      </c>
      <c r="CA922" s="80" t="str">
        <f>IF(AND(BD922=1,E922&amp;""&lt;&gt;""),IF(COUNTIFS($E$5:E921,E922,$BD$5:BD921,1)=0,MAX($CA$5:CA921)+1,""),"")</f>
        <v/>
      </c>
      <c r="CB922" s="80" t="str">
        <f>IF(AND(BE922=1,D922="Malcolm",E922&amp;""&lt;&gt;""),IF(COUNTIFS($D$5:D921,"Malcolm",$E$5:E921,E922,$BE$5:BE921,1)=0,MAX($CB$5:CB921)+1,""),"")</f>
        <v/>
      </c>
      <c r="CC922" s="80" t="str">
        <f>IF(AND(BD922=1,D922="proMX",E922&amp;""&lt;&gt;""),IF(COUNTIFS($D$5:D921,"proMX",$E$5:E921,E922,$BD$5:BD921,1)=0,MAX($CC$5:CC921)+1,""),"")</f>
        <v/>
      </c>
      <c r="CD922" s="80" t="str">
        <f>IF(AND(BE922=1,D922="Malcolm",F922&amp;""&lt;&gt;""),IF(COUNTIFS($D$5:D921,"Malcolm",$F$5:F921,F922,$BE$5:BE921,1)=0,MAX($CD$5:CD921)+1,""),"")</f>
        <v/>
      </c>
      <c r="CE922" s="80" t="str">
        <f>IF(AND(BD922=1,D922="proMX",F922&amp;""&lt;&gt;""),IF(COUNTIFS($D$5:D921,"proMX",$F$5:F921,F922,$BD$5:BD921,1)=0,MAX($CE$5:CE921)+1,""),"")</f>
        <v/>
      </c>
      <c r="CF922" s="80" t="str">
        <f>IF(AND(D922="proMX",BD922=1),IF(OR(BF922="Draft",BF922="Submitted",BF922="Returned",BF922="Recall Requested"),MAX($CF$5:CF921)+1,""),"")</f>
        <v/>
      </c>
      <c r="CG922" s="80">
        <f>IF(BD922=0,0,IF(D922="Malcolm",1,MATCH(BF922,{"Draft","Submitted","Approved","Returned","Recall Requested","Cancelled"},0)+1))</f>
        <v>0</v>
      </c>
      <c r="CH922" s="80">
        <f>IF(AND(BF922="Submitted",ISNUMBER(V922)),IF(V922&gt;CFG_MAXD,1,0),0)</f>
        <v>0</v>
      </c>
    </row>
    <row r="923">
      <c r="A923" s="71" t="str">
        <f>IF(Y923=1,ROW()-5,"")</f>
        <v/>
      </c>
      <c r="B923" s="72" t="n"/>
      <c r="C923" s="71" t="str">
        <f>IF(ISNUMBER(B923),CHOOSE(WEEKDAY(B923,2),"Lun","Mar","Mié","Jue","Vie","Sáb","Dom"),"")</f>
        <v/>
      </c>
      <c r="D923" s="73" t="n"/>
      <c r="E923" s="74" t="n"/>
      <c r="F923" s="74" t="n"/>
      <c r="G923" s="74" t="n"/>
      <c r="H923" s="75" t="n"/>
      <c r="I923" s="75" t="n"/>
      <c r="J923" s="76" t="n"/>
      <c r="K923" s="77" t="str">
        <f>IF(AB923=1,ROUND(AG923/60,4),"")</f>
        <v/>
      </c>
      <c r="L923" s="77" t="str">
        <f>IF(BD923=1,ROUND(AP923/60,4),"")</f>
        <v/>
      </c>
      <c r="M923" s="77" t="str">
        <f>IF(BD923=1,ROUND(AQ923/60,4),"")</f>
        <v/>
      </c>
      <c r="N923" s="71" t="str">
        <f>IF(AND(D923="proMX",AB923=1),ROUND(AG923/CFG_BLK,2),"")</f>
        <v/>
      </c>
      <c r="O923" s="77" t="str">
        <f>IF(D923="proMX",IF(BD923=1,ROUND(AG923/60,4),0),"")</f>
        <v/>
      </c>
      <c r="P923" s="78" t="str">
        <f>IF(Y923=0,"",IF(BD923=1,"OK",IF(D923="proMX","Revisar bloques: ","Revisar: ")&amp;BC923))</f>
        <v/>
      </c>
      <c r="Q923" s="78" t="str">
        <f>IF(NOT(ISNUMBER(B923)),"",IF(COUNTIFS(FER_F,INT(B923))&gt;0,"Feriado"&amp;IF(AH923=1," (laborable)"," (no laborable)"),IF(AH923=1,"Laborable",IF(WEEKDAY(B923,2)&gt;5,"Fin de semana","No laborable"))))</f>
        <v/>
      </c>
      <c r="R923" s="73" t="n"/>
      <c r="S923" s="72" t="n"/>
      <c r="T923" s="72" t="n"/>
      <c r="U923" s="74" t="n"/>
      <c r="V923" s="79" t="str">
        <f>IF(AND(D923="proMX",OR(R923="Submitted",R923="Recall Requested"),ISNUMBER(S923)),CFG_TODAY-INT(S923),"")</f>
        <v/>
      </c>
      <c r="W923" s="78" t="str">
        <f>IF(BD923=0,"",IF(BA923&gt;0,"⚠ Se superpone con un registro de la otra empresa",IF(D923="Malcolm",IF(COUNTA(R923,S923,T923)&gt;0,"Estado/fechas proMX se ignoran en Malcolm",""),IF(BF923="Cancelled","Cancelado: excluido de totales",IF(R923="","Sin estado: se trata como Draft",IF(BF923="Submitted",IF(ISNUMBER(V923),IF(V923&gt;CFG_MAXD,"⚠ "&amp;V923&amp;" días en Submitted (máx. "&amp;CFG_MAXD&amp;")",""),"Falta fecha de envío"),IF(BF923="Returned","⚠ Devuelto: corregir y reenviar",IF(BF923="Recall Requested","Retirada solicitada: pendiente",IF(AND(BF923="Approved",NOT(ISNUMBER(T923))),"Falta fecha de aprobación",IF(AND(ISNUMBER(S923),ISNUMBER(T923),T923&lt;S923),"Aprobación anterior al envío","")))))))))</f>
        <v/>
      </c>
      <c r="Y923" s="80">
        <f>IF(COUNTA(B923,D923,E923,F923,G923,H923,I923,J923,R923,S923,T923)&gt;0,1,0)</f>
        <v>0</v>
      </c>
      <c r="Z923" s="80" t="str">
        <f>IF(AND(ISNUMBER(H923),H923&gt;=0,H923&lt;1),ROUND(H923*1440,0),"")</f>
        <v/>
      </c>
      <c r="AA923" s="80" t="str">
        <f>IF(AND(ISNUMBER(I923),I923&gt;=0,I923&lt;1),ROUND(I923*1440,0),"")</f>
        <v/>
      </c>
      <c r="AB923" s="80">
        <f>IF(AND(ISNUMBER(B923),D923&lt;&gt;"",ISNUMBER(Z923),ISNUMBER(AA923)),IF(Z923=AA923,0,1),0)</f>
        <v>0</v>
      </c>
      <c r="AC923" s="80">
        <f>IF(AB923=1,IF(AA923&lt;Z923,1,0),0)</f>
        <v>0</v>
      </c>
      <c r="AD923" s="80">
        <f>IF(AB923=1,IF(AC923=1,1440-Z923+AA923,AA923-Z923),0)</f>
        <v>0</v>
      </c>
      <c r="AE923" s="80">
        <f>IF(J923="",0,IF(ISNUMBER(J923),J923,-1))</f>
        <v>0</v>
      </c>
      <c r="AF923" s="80">
        <f>MIN(MAX(0,AE923),AD923)</f>
        <v>0</v>
      </c>
      <c r="AG923" s="80">
        <f>MAX(0,AD923-MAX(0,AE923))</f>
        <v>0</v>
      </c>
      <c r="AH923" s="80">
        <f>IF(ISNUMBER(B923),IF(AND(INDEX(CFG_WDAYS,WEEKDAY(INT(B923),2))="Sí",IF(D923="proMX",COUNTIFS(FER_F,INT(B923),FER_NLP,"Sí"),COUNTIFS(FER_F,INT(B923),FER_NLM,"Sí"))=0),1,0),0)</f>
        <v>0</v>
      </c>
      <c r="AI923" s="80">
        <f>IF(AC923=1,IF(AND(INDEX(CFG_WDAYS,WEEKDAY(INT(B923)+1,2))="Sí",IF(D923="proMX",COUNTIFS(FER_F,INT(B923)+1,FER_NLP,"Sí"),COUNTIFS(FER_F,INT(B923)+1,FER_NLM,"Sí"))=0),1,0),0)</f>
        <v>0</v>
      </c>
      <c r="AJ923" s="80">
        <f>IF(AC923=1,1440-Z923,AD923)</f>
        <v>0</v>
      </c>
      <c r="AK923" s="80">
        <f>IF(AND(AB923=1,AH923=1),MAX(0,MIN(IF(AC923=1,1440,AA923),CFG_WEM)-MAX(Z923,CFG_WSM)),0)</f>
        <v>0</v>
      </c>
      <c r="AL923" s="80">
        <f>IF(AND(AC923=1,AI923=1),MAX(0,MIN(AA923,CFG_WEM)-CFG_WSM),0)</f>
        <v>0</v>
      </c>
      <c r="AM923" s="80">
        <f>AK923+AL923</f>
        <v>0</v>
      </c>
      <c r="AN923" s="80">
        <f>IF(CFG_BRK="Proporcional",IF(AD923=0,0,AF923*AM923/AD923),IF(CFG_BRK="Extras primero",MIN(AM923,MAX(0,AF923-(AD923-AM923))),MIN(AF923,AM923)))</f>
        <v>0</v>
      </c>
      <c r="AO923" s="80">
        <f>AF923-AN923</f>
        <v>0</v>
      </c>
      <c r="AP923" s="80">
        <f>AM923-AN923</f>
        <v>0</v>
      </c>
      <c r="AQ923" s="80">
        <f>AD923-AM923-AO923</f>
        <v>0</v>
      </c>
      <c r="AR923" s="80">
        <f>IF(AM923=0,0,AK923-AN923*AK923/AM923)</f>
        <v>0</v>
      </c>
      <c r="AS923" s="80">
        <f>IF(AD923-AM923=0,0,(AJ923-AK923)-AO923*(AJ923-AK923)/(AD923-AM923))</f>
        <v>0</v>
      </c>
      <c r="AT923" s="80" t="str">
        <f>IF(AC923=1,INT(B923)+1,"")</f>
        <v/>
      </c>
      <c r="AU923" s="80">
        <f>IF(AND(D923="proMX",R923="Cancelled"),0,1)</f>
        <v>1</v>
      </c>
      <c r="AV923" s="80">
        <f>IF(AND(AB923=1,AU923=1),IF(COUNTIFS($D$5:D922,D923,$B$5:B922,B923,$Z$5:Z922,Z923,$AA$5:AA922,AA923,$F$5:F922,F923&amp;"",$AU$5:AU922,1)&gt;0,1,0),0)</f>
        <v>0</v>
      </c>
      <c r="AW923" s="80" t="str">
        <f>IF(AB923=1,INT(B923)*1440+Z923,"")</f>
        <v/>
      </c>
      <c r="AX923" s="80" t="str">
        <f>IF(AB923=1,AW923+AD923,"")</f>
        <v/>
      </c>
      <c r="AY923" s="80">
        <f>IF(AND(AB923=1,AV923=0,AU923=1),1,0)</f>
        <v>0</v>
      </c>
      <c r="AZ923" s="80">
        <f>IF(AY923=1,COUNTIFS(R_Emp,D923,R_SAbs,"&lt;"&amp;AX923,R_EAbs,"&gt;"&amp;AW923,R_OKey,1)-1,0)</f>
        <v>0</v>
      </c>
      <c r="BA923" s="80">
        <f>IF(AY923=1,COUNTIFS(R_Emp,"&lt;&gt;"&amp;D923,R_SAbs,"&lt;"&amp;AX923,R_EAbs,"&gt;"&amp;AW923,R_OKey,1),0)</f>
        <v>0</v>
      </c>
      <c r="BB923" s="80">
        <f>IF(AND(AB923=1,D923="proMX"),IF(AND(MOD(Z923,CFG_BLK)=0,MOD(AA923,CFG_BLK)=0,MOD(AG923,CFG_BLK)=0,AG923&gt;0),1,0),1)</f>
        <v>1</v>
      </c>
      <c r="BC923" s="80" t="str">
        <f>IF(Y923=0,"",IF(NOT(ISNUMBER(B923)),"Falta fecha o fecha inválida",IF(D923="","Falta empresa",IF(AND(D923&lt;&gt;"Malcolm",D923&lt;&gt;"proMX"),"Empresa inválida",IF(OR(INT(B923)&lt;CFG_PSTART,INT(B923)&gt;CFG_PEND),"Fecha fuera del período",IF(OR(NOT(ISNUMBER(Z923)),NOT(ISNUMBER(AA923))),"Falta hora inicio/fin o formato inválido",IF(AB923=0,"Hora inicio = hora fin",IF(AE923&lt;0,"Descanso inválido",IF(AE923&gt;=AD923,"Descanso ≥ duración",IF(AV923=1,"Registro duplicado",IF(AZ923&gt;0,"Se superpone con otro registro "&amp;D923,IF(BB923=0,"inicio, fin y duración neta deben ser múltiplos de "&amp;CFG_BLK&amp;" min",""))))))))))))</f>
        <v/>
      </c>
      <c r="BD923" s="80">
        <f>IF(AND(Y923=1,BC923=""),1,0)</f>
        <v>0</v>
      </c>
      <c r="BE923" s="80">
        <f>IF(AND(BD923=1,AU923=1),1,0)</f>
        <v>0</v>
      </c>
      <c r="BF923" s="80" t="str">
        <f>IF(AND(D923="proMX",BD923=1),IF(R923="","Draft",R923),"")</f>
        <v/>
      </c>
      <c r="BG923" s="80">
        <f>IF(BD923=1,ROUND(AG923/60,6),0)</f>
        <v>0</v>
      </c>
      <c r="BH923" s="80">
        <f>IF(BE923=1,ROUND(AG923/60,6),0)</f>
        <v>0</v>
      </c>
      <c r="BI923" s="80">
        <f>IF(BE923=1,ROUND(AP923/60,6),0)</f>
        <v>0</v>
      </c>
      <c r="BJ923" s="80">
        <f>IF(BE923=1,ROUND(AQ923/60,6),0)</f>
        <v>0</v>
      </c>
      <c r="BK923" s="80">
        <f>IF(BE923=1,ROUND((AR923+AS923)/60,6),0)</f>
        <v>0</v>
      </c>
      <c r="BL923" s="80">
        <f>ROUND(BH923-BK923,6)</f>
        <v>0</v>
      </c>
      <c r="BM923" s="80">
        <f>IF(BE923=1,ROUND(AR923/60,6),0)</f>
        <v>0</v>
      </c>
      <c r="BN923" s="80">
        <f>ROUND(BI923-BM923,6)</f>
        <v>0</v>
      </c>
      <c r="BO923" s="80">
        <f>IF(BE923=1,ROUND(AS923/60,6),0)</f>
        <v>0</v>
      </c>
      <c r="BP923" s="80">
        <f>ROUND(BJ923-BO923,6)</f>
        <v>0</v>
      </c>
      <c r="BQ923" s="80">
        <f>IF(BE923=1,AW923,0)</f>
        <v>0</v>
      </c>
      <c r="BR923" s="80">
        <f>IF(BE923=1,AX923,0)</f>
        <v>0</v>
      </c>
      <c r="BS923" s="80">
        <f>IF(AND(BE923=1,D923="Malcolm",BA923&gt;0),MIN(BH923,SUMPRODUCT((R_Emp="proMX")*(R_EN&gt;0)*((R_EN-(R_EN&gt;BR923)*(R_EN-BR923))&gt;(R_SN+(R_SN&lt;BQ923)*(BQ923-R_SN)))*((R_EN-(R_EN&gt;BR923)*(R_EN-BR923))-(R_SN+(R_SN&lt;BQ923)*(BQ923-R_SN))))/60),0)</f>
        <v>0</v>
      </c>
      <c r="BT923" s="80">
        <f>IF(AND(BE923=1,D923="proMX"),ROUND(BI923*CFG_RATE+BJ923*CFG_OTRATE,6),0)</f>
        <v>0</v>
      </c>
      <c r="BU923" s="80">
        <f>IF(AND(BD923=1,D923="proMX"),ROUND(AG923/CFG_BLK,6),0)</f>
        <v>0</v>
      </c>
      <c r="BV923" s="80" t="str">
        <f>IF(BF923="Approved",IF(ISNUMBER(T923),INT(T923),INT(B923)),"")</f>
        <v/>
      </c>
      <c r="BW923" s="80">
        <f>IF(ISNUMBER(B923),IF(DB_MON="Todos",1,IF(AND(INT(B923)&gt;=DB_MS,INT(B923)&lt;=DB_ME),1,0)),0)</f>
        <v>0</v>
      </c>
      <c r="BX923" s="80">
        <f>IF(DB_PROJ="Todos",1,IF(E923&amp;""=DB_PROJ&amp;"",1,0))</f>
        <v>1</v>
      </c>
      <c r="BY923" s="80">
        <f>BW923*BX923</f>
        <v>0</v>
      </c>
      <c r="BZ923" s="80" t="str">
        <f>IF(Y923=1,F923&amp;IF(AND(F923&amp;""&lt;&gt;"",E923&amp;""&lt;&gt;"")," · ","")&amp;E923,"")</f>
        <v/>
      </c>
      <c r="CA923" s="80" t="str">
        <f>IF(AND(BD923=1,E923&amp;""&lt;&gt;""),IF(COUNTIFS($E$5:E922,E923,$BD$5:BD922,1)=0,MAX($CA$5:CA922)+1,""),"")</f>
        <v/>
      </c>
      <c r="CB923" s="80" t="str">
        <f>IF(AND(BE923=1,D923="Malcolm",E923&amp;""&lt;&gt;""),IF(COUNTIFS($D$5:D922,"Malcolm",$E$5:E922,E923,$BE$5:BE922,1)=0,MAX($CB$5:CB922)+1,""),"")</f>
        <v/>
      </c>
      <c r="CC923" s="80" t="str">
        <f>IF(AND(BD923=1,D923="proMX",E923&amp;""&lt;&gt;""),IF(COUNTIFS($D$5:D922,"proMX",$E$5:E922,E923,$BD$5:BD922,1)=0,MAX($CC$5:CC922)+1,""),"")</f>
        <v/>
      </c>
      <c r="CD923" s="80" t="str">
        <f>IF(AND(BE923=1,D923="Malcolm",F923&amp;""&lt;&gt;""),IF(COUNTIFS($D$5:D922,"Malcolm",$F$5:F922,F923,$BE$5:BE922,1)=0,MAX($CD$5:CD922)+1,""),"")</f>
        <v/>
      </c>
      <c r="CE923" s="80" t="str">
        <f>IF(AND(BD923=1,D923="proMX",F923&amp;""&lt;&gt;""),IF(COUNTIFS($D$5:D922,"proMX",$F$5:F922,F923,$BD$5:BD922,1)=0,MAX($CE$5:CE922)+1,""),"")</f>
        <v/>
      </c>
      <c r="CF923" s="80" t="str">
        <f>IF(AND(D923="proMX",BD923=1),IF(OR(BF923="Draft",BF923="Submitted",BF923="Returned",BF923="Recall Requested"),MAX($CF$5:CF922)+1,""),"")</f>
        <v/>
      </c>
      <c r="CG923" s="80">
        <f>IF(BD923=0,0,IF(D923="Malcolm",1,MATCH(BF923,{"Draft","Submitted","Approved","Returned","Recall Requested","Cancelled"},0)+1))</f>
        <v>0</v>
      </c>
      <c r="CH923" s="80">
        <f>IF(AND(BF923="Submitted",ISNUMBER(V923)),IF(V923&gt;CFG_MAXD,1,0),0)</f>
        <v>0</v>
      </c>
    </row>
    <row r="924">
      <c r="A924" s="71" t="str">
        <f>IF(Y924=1,ROW()-5,"")</f>
        <v/>
      </c>
      <c r="B924" s="72" t="n"/>
      <c r="C924" s="71" t="str">
        <f>IF(ISNUMBER(B924),CHOOSE(WEEKDAY(B924,2),"Lun","Mar","Mié","Jue","Vie","Sáb","Dom"),"")</f>
        <v/>
      </c>
      <c r="D924" s="73" t="n"/>
      <c r="E924" s="74" t="n"/>
      <c r="F924" s="74" t="n"/>
      <c r="G924" s="74" t="n"/>
      <c r="H924" s="75" t="n"/>
      <c r="I924" s="75" t="n"/>
      <c r="J924" s="76" t="n"/>
      <c r="K924" s="77" t="str">
        <f>IF(AB924=1,ROUND(AG924/60,4),"")</f>
        <v/>
      </c>
      <c r="L924" s="77" t="str">
        <f>IF(BD924=1,ROUND(AP924/60,4),"")</f>
        <v/>
      </c>
      <c r="M924" s="77" t="str">
        <f>IF(BD924=1,ROUND(AQ924/60,4),"")</f>
        <v/>
      </c>
      <c r="N924" s="71" t="str">
        <f>IF(AND(D924="proMX",AB924=1),ROUND(AG924/CFG_BLK,2),"")</f>
        <v/>
      </c>
      <c r="O924" s="77" t="str">
        <f>IF(D924="proMX",IF(BD924=1,ROUND(AG924/60,4),0),"")</f>
        <v/>
      </c>
      <c r="P924" s="78" t="str">
        <f>IF(Y924=0,"",IF(BD924=1,"OK",IF(D924="proMX","Revisar bloques: ","Revisar: ")&amp;BC924))</f>
        <v/>
      </c>
      <c r="Q924" s="78" t="str">
        <f>IF(NOT(ISNUMBER(B924)),"",IF(COUNTIFS(FER_F,INT(B924))&gt;0,"Feriado"&amp;IF(AH924=1," (laborable)"," (no laborable)"),IF(AH924=1,"Laborable",IF(WEEKDAY(B924,2)&gt;5,"Fin de semana","No laborable"))))</f>
        <v/>
      </c>
      <c r="R924" s="73" t="n"/>
      <c r="S924" s="72" t="n"/>
      <c r="T924" s="72" t="n"/>
      <c r="U924" s="74" t="n"/>
      <c r="V924" s="79" t="str">
        <f>IF(AND(D924="proMX",OR(R924="Submitted",R924="Recall Requested"),ISNUMBER(S924)),CFG_TODAY-INT(S924),"")</f>
        <v/>
      </c>
      <c r="W924" s="78" t="str">
        <f>IF(BD924=0,"",IF(BA924&gt;0,"⚠ Se superpone con un registro de la otra empresa",IF(D924="Malcolm",IF(COUNTA(R924,S924,T924)&gt;0,"Estado/fechas proMX se ignoran en Malcolm",""),IF(BF924="Cancelled","Cancelado: excluido de totales",IF(R924="","Sin estado: se trata como Draft",IF(BF924="Submitted",IF(ISNUMBER(V924),IF(V924&gt;CFG_MAXD,"⚠ "&amp;V924&amp;" días en Submitted (máx. "&amp;CFG_MAXD&amp;")",""),"Falta fecha de envío"),IF(BF924="Returned","⚠ Devuelto: corregir y reenviar",IF(BF924="Recall Requested","Retirada solicitada: pendiente",IF(AND(BF924="Approved",NOT(ISNUMBER(T924))),"Falta fecha de aprobación",IF(AND(ISNUMBER(S924),ISNUMBER(T924),T924&lt;S924),"Aprobación anterior al envío","")))))))))</f>
        <v/>
      </c>
      <c r="Y924" s="80">
        <f>IF(COUNTA(B924,D924,E924,F924,G924,H924,I924,J924,R924,S924,T924)&gt;0,1,0)</f>
        <v>0</v>
      </c>
      <c r="Z924" s="80" t="str">
        <f>IF(AND(ISNUMBER(H924),H924&gt;=0,H924&lt;1),ROUND(H924*1440,0),"")</f>
        <v/>
      </c>
      <c r="AA924" s="80" t="str">
        <f>IF(AND(ISNUMBER(I924),I924&gt;=0,I924&lt;1),ROUND(I924*1440,0),"")</f>
        <v/>
      </c>
      <c r="AB924" s="80">
        <f>IF(AND(ISNUMBER(B924),D924&lt;&gt;"",ISNUMBER(Z924),ISNUMBER(AA924)),IF(Z924=AA924,0,1),0)</f>
        <v>0</v>
      </c>
      <c r="AC924" s="80">
        <f>IF(AB924=1,IF(AA924&lt;Z924,1,0),0)</f>
        <v>0</v>
      </c>
      <c r="AD924" s="80">
        <f>IF(AB924=1,IF(AC924=1,1440-Z924+AA924,AA924-Z924),0)</f>
        <v>0</v>
      </c>
      <c r="AE924" s="80">
        <f>IF(J924="",0,IF(ISNUMBER(J924),J924,-1))</f>
        <v>0</v>
      </c>
      <c r="AF924" s="80">
        <f>MIN(MAX(0,AE924),AD924)</f>
        <v>0</v>
      </c>
      <c r="AG924" s="80">
        <f>MAX(0,AD924-MAX(0,AE924))</f>
        <v>0</v>
      </c>
      <c r="AH924" s="80">
        <f>IF(ISNUMBER(B924),IF(AND(INDEX(CFG_WDAYS,WEEKDAY(INT(B924),2))="Sí",IF(D924="proMX",COUNTIFS(FER_F,INT(B924),FER_NLP,"Sí"),COUNTIFS(FER_F,INT(B924),FER_NLM,"Sí"))=0),1,0),0)</f>
        <v>0</v>
      </c>
      <c r="AI924" s="80">
        <f>IF(AC924=1,IF(AND(INDEX(CFG_WDAYS,WEEKDAY(INT(B924)+1,2))="Sí",IF(D924="proMX",COUNTIFS(FER_F,INT(B924)+1,FER_NLP,"Sí"),COUNTIFS(FER_F,INT(B924)+1,FER_NLM,"Sí"))=0),1,0),0)</f>
        <v>0</v>
      </c>
      <c r="AJ924" s="80">
        <f>IF(AC924=1,1440-Z924,AD924)</f>
        <v>0</v>
      </c>
      <c r="AK924" s="80">
        <f>IF(AND(AB924=1,AH924=1),MAX(0,MIN(IF(AC924=1,1440,AA924),CFG_WEM)-MAX(Z924,CFG_WSM)),0)</f>
        <v>0</v>
      </c>
      <c r="AL924" s="80">
        <f>IF(AND(AC924=1,AI924=1),MAX(0,MIN(AA924,CFG_WEM)-CFG_WSM),0)</f>
        <v>0</v>
      </c>
      <c r="AM924" s="80">
        <f>AK924+AL924</f>
        <v>0</v>
      </c>
      <c r="AN924" s="80">
        <f>IF(CFG_BRK="Proporcional",IF(AD924=0,0,AF924*AM924/AD924),IF(CFG_BRK="Extras primero",MIN(AM924,MAX(0,AF924-(AD924-AM924))),MIN(AF924,AM924)))</f>
        <v>0</v>
      </c>
      <c r="AO924" s="80">
        <f>AF924-AN924</f>
        <v>0</v>
      </c>
      <c r="AP924" s="80">
        <f>AM924-AN924</f>
        <v>0</v>
      </c>
      <c r="AQ924" s="80">
        <f>AD924-AM924-AO924</f>
        <v>0</v>
      </c>
      <c r="AR924" s="80">
        <f>IF(AM924=0,0,AK924-AN924*AK924/AM924)</f>
        <v>0</v>
      </c>
      <c r="AS924" s="80">
        <f>IF(AD924-AM924=0,0,(AJ924-AK924)-AO924*(AJ924-AK924)/(AD924-AM924))</f>
        <v>0</v>
      </c>
      <c r="AT924" s="80" t="str">
        <f>IF(AC924=1,INT(B924)+1,"")</f>
        <v/>
      </c>
      <c r="AU924" s="80">
        <f>IF(AND(D924="proMX",R924="Cancelled"),0,1)</f>
        <v>1</v>
      </c>
      <c r="AV924" s="80">
        <f>IF(AND(AB924=1,AU924=1),IF(COUNTIFS($D$5:D923,D924,$B$5:B923,B924,$Z$5:Z923,Z924,$AA$5:AA923,AA924,$F$5:F923,F924&amp;"",$AU$5:AU923,1)&gt;0,1,0),0)</f>
        <v>0</v>
      </c>
      <c r="AW924" s="80" t="str">
        <f>IF(AB924=1,INT(B924)*1440+Z924,"")</f>
        <v/>
      </c>
      <c r="AX924" s="80" t="str">
        <f>IF(AB924=1,AW924+AD924,"")</f>
        <v/>
      </c>
      <c r="AY924" s="80">
        <f>IF(AND(AB924=1,AV924=0,AU924=1),1,0)</f>
        <v>0</v>
      </c>
      <c r="AZ924" s="80">
        <f>IF(AY924=1,COUNTIFS(R_Emp,D924,R_SAbs,"&lt;"&amp;AX924,R_EAbs,"&gt;"&amp;AW924,R_OKey,1)-1,0)</f>
        <v>0</v>
      </c>
      <c r="BA924" s="80">
        <f>IF(AY924=1,COUNTIFS(R_Emp,"&lt;&gt;"&amp;D924,R_SAbs,"&lt;"&amp;AX924,R_EAbs,"&gt;"&amp;AW924,R_OKey,1),0)</f>
        <v>0</v>
      </c>
      <c r="BB924" s="80">
        <f>IF(AND(AB924=1,D924="proMX"),IF(AND(MOD(Z924,CFG_BLK)=0,MOD(AA924,CFG_BLK)=0,MOD(AG924,CFG_BLK)=0,AG924&gt;0),1,0),1)</f>
        <v>1</v>
      </c>
      <c r="BC924" s="80" t="str">
        <f>IF(Y924=0,"",IF(NOT(ISNUMBER(B924)),"Falta fecha o fecha inválida",IF(D924="","Falta empresa",IF(AND(D924&lt;&gt;"Malcolm",D924&lt;&gt;"proMX"),"Empresa inválida",IF(OR(INT(B924)&lt;CFG_PSTART,INT(B924)&gt;CFG_PEND),"Fecha fuera del período",IF(OR(NOT(ISNUMBER(Z924)),NOT(ISNUMBER(AA924))),"Falta hora inicio/fin o formato inválido",IF(AB924=0,"Hora inicio = hora fin",IF(AE924&lt;0,"Descanso inválido",IF(AE924&gt;=AD924,"Descanso ≥ duración",IF(AV924=1,"Registro duplicado",IF(AZ924&gt;0,"Se superpone con otro registro "&amp;D924,IF(BB924=0,"inicio, fin y duración neta deben ser múltiplos de "&amp;CFG_BLK&amp;" min",""))))))))))))</f>
        <v/>
      </c>
      <c r="BD924" s="80">
        <f>IF(AND(Y924=1,BC924=""),1,0)</f>
        <v>0</v>
      </c>
      <c r="BE924" s="80">
        <f>IF(AND(BD924=1,AU924=1),1,0)</f>
        <v>0</v>
      </c>
      <c r="BF924" s="80" t="str">
        <f>IF(AND(D924="proMX",BD924=1),IF(R924="","Draft",R924),"")</f>
        <v/>
      </c>
      <c r="BG924" s="80">
        <f>IF(BD924=1,ROUND(AG924/60,6),0)</f>
        <v>0</v>
      </c>
      <c r="BH924" s="80">
        <f>IF(BE924=1,ROUND(AG924/60,6),0)</f>
        <v>0</v>
      </c>
      <c r="BI924" s="80">
        <f>IF(BE924=1,ROUND(AP924/60,6),0)</f>
        <v>0</v>
      </c>
      <c r="BJ924" s="80">
        <f>IF(BE924=1,ROUND(AQ924/60,6),0)</f>
        <v>0</v>
      </c>
      <c r="BK924" s="80">
        <f>IF(BE924=1,ROUND((AR924+AS924)/60,6),0)</f>
        <v>0</v>
      </c>
      <c r="BL924" s="80">
        <f>ROUND(BH924-BK924,6)</f>
        <v>0</v>
      </c>
      <c r="BM924" s="80">
        <f>IF(BE924=1,ROUND(AR924/60,6),0)</f>
        <v>0</v>
      </c>
      <c r="BN924" s="80">
        <f>ROUND(BI924-BM924,6)</f>
        <v>0</v>
      </c>
      <c r="BO924" s="80">
        <f>IF(BE924=1,ROUND(AS924/60,6),0)</f>
        <v>0</v>
      </c>
      <c r="BP924" s="80">
        <f>ROUND(BJ924-BO924,6)</f>
        <v>0</v>
      </c>
      <c r="BQ924" s="80">
        <f>IF(BE924=1,AW924,0)</f>
        <v>0</v>
      </c>
      <c r="BR924" s="80">
        <f>IF(BE924=1,AX924,0)</f>
        <v>0</v>
      </c>
      <c r="BS924" s="80">
        <f>IF(AND(BE924=1,D924="Malcolm",BA924&gt;0),MIN(BH924,SUMPRODUCT((R_Emp="proMX")*(R_EN&gt;0)*((R_EN-(R_EN&gt;BR924)*(R_EN-BR924))&gt;(R_SN+(R_SN&lt;BQ924)*(BQ924-R_SN)))*((R_EN-(R_EN&gt;BR924)*(R_EN-BR924))-(R_SN+(R_SN&lt;BQ924)*(BQ924-R_SN))))/60),0)</f>
        <v>0</v>
      </c>
      <c r="BT924" s="80">
        <f>IF(AND(BE924=1,D924="proMX"),ROUND(BI924*CFG_RATE+BJ924*CFG_OTRATE,6),0)</f>
        <v>0</v>
      </c>
      <c r="BU924" s="80">
        <f>IF(AND(BD924=1,D924="proMX"),ROUND(AG924/CFG_BLK,6),0)</f>
        <v>0</v>
      </c>
      <c r="BV924" s="80" t="str">
        <f>IF(BF924="Approved",IF(ISNUMBER(T924),INT(T924),INT(B924)),"")</f>
        <v/>
      </c>
      <c r="BW924" s="80">
        <f>IF(ISNUMBER(B924),IF(DB_MON="Todos",1,IF(AND(INT(B924)&gt;=DB_MS,INT(B924)&lt;=DB_ME),1,0)),0)</f>
        <v>0</v>
      </c>
      <c r="BX924" s="80">
        <f>IF(DB_PROJ="Todos",1,IF(E924&amp;""=DB_PROJ&amp;"",1,0))</f>
        <v>1</v>
      </c>
      <c r="BY924" s="80">
        <f>BW924*BX924</f>
        <v>0</v>
      </c>
      <c r="BZ924" s="80" t="str">
        <f>IF(Y924=1,F924&amp;IF(AND(F924&amp;""&lt;&gt;"",E924&amp;""&lt;&gt;"")," · ","")&amp;E924,"")</f>
        <v/>
      </c>
      <c r="CA924" s="80" t="str">
        <f>IF(AND(BD924=1,E924&amp;""&lt;&gt;""),IF(COUNTIFS($E$5:E923,E924,$BD$5:BD923,1)=0,MAX($CA$5:CA923)+1,""),"")</f>
        <v/>
      </c>
      <c r="CB924" s="80" t="str">
        <f>IF(AND(BE924=1,D924="Malcolm",E924&amp;""&lt;&gt;""),IF(COUNTIFS($D$5:D923,"Malcolm",$E$5:E923,E924,$BE$5:BE923,1)=0,MAX($CB$5:CB923)+1,""),"")</f>
        <v/>
      </c>
      <c r="CC924" s="80" t="str">
        <f>IF(AND(BD924=1,D924="proMX",E924&amp;""&lt;&gt;""),IF(COUNTIFS($D$5:D923,"proMX",$E$5:E923,E924,$BD$5:BD923,1)=0,MAX($CC$5:CC923)+1,""),"")</f>
        <v/>
      </c>
      <c r="CD924" s="80" t="str">
        <f>IF(AND(BE924=1,D924="Malcolm",F924&amp;""&lt;&gt;""),IF(COUNTIFS($D$5:D923,"Malcolm",$F$5:F923,F924,$BE$5:BE923,1)=0,MAX($CD$5:CD923)+1,""),"")</f>
        <v/>
      </c>
      <c r="CE924" s="80" t="str">
        <f>IF(AND(BD924=1,D924="proMX",F924&amp;""&lt;&gt;""),IF(COUNTIFS($D$5:D923,"proMX",$F$5:F923,F924,$BD$5:BD923,1)=0,MAX($CE$5:CE923)+1,""),"")</f>
        <v/>
      </c>
      <c r="CF924" s="80" t="str">
        <f>IF(AND(D924="proMX",BD924=1),IF(OR(BF924="Draft",BF924="Submitted",BF924="Returned",BF924="Recall Requested"),MAX($CF$5:CF923)+1,""),"")</f>
        <v/>
      </c>
      <c r="CG924" s="80">
        <f>IF(BD924=0,0,IF(D924="Malcolm",1,MATCH(BF924,{"Draft","Submitted","Approved","Returned","Recall Requested","Cancelled"},0)+1))</f>
        <v>0</v>
      </c>
      <c r="CH924" s="80">
        <f>IF(AND(BF924="Submitted",ISNUMBER(V924)),IF(V924&gt;CFG_MAXD,1,0),0)</f>
        <v>0</v>
      </c>
    </row>
    <row r="925">
      <c r="A925" s="71" t="str">
        <f>IF(Y925=1,ROW()-5,"")</f>
        <v/>
      </c>
      <c r="B925" s="72" t="n"/>
      <c r="C925" s="71" t="str">
        <f>IF(ISNUMBER(B925),CHOOSE(WEEKDAY(B925,2),"Lun","Mar","Mié","Jue","Vie","Sáb","Dom"),"")</f>
        <v/>
      </c>
      <c r="D925" s="73" t="n"/>
      <c r="E925" s="74" t="n"/>
      <c r="F925" s="74" t="n"/>
      <c r="G925" s="74" t="n"/>
      <c r="H925" s="75" t="n"/>
      <c r="I925" s="75" t="n"/>
      <c r="J925" s="76" t="n"/>
      <c r="K925" s="77" t="str">
        <f>IF(AB925=1,ROUND(AG925/60,4),"")</f>
        <v/>
      </c>
      <c r="L925" s="77" t="str">
        <f>IF(BD925=1,ROUND(AP925/60,4),"")</f>
        <v/>
      </c>
      <c r="M925" s="77" t="str">
        <f>IF(BD925=1,ROUND(AQ925/60,4),"")</f>
        <v/>
      </c>
      <c r="N925" s="71" t="str">
        <f>IF(AND(D925="proMX",AB925=1),ROUND(AG925/CFG_BLK,2),"")</f>
        <v/>
      </c>
      <c r="O925" s="77" t="str">
        <f>IF(D925="proMX",IF(BD925=1,ROUND(AG925/60,4),0),"")</f>
        <v/>
      </c>
      <c r="P925" s="78" t="str">
        <f>IF(Y925=0,"",IF(BD925=1,"OK",IF(D925="proMX","Revisar bloques: ","Revisar: ")&amp;BC925))</f>
        <v/>
      </c>
      <c r="Q925" s="78" t="str">
        <f>IF(NOT(ISNUMBER(B925)),"",IF(COUNTIFS(FER_F,INT(B925))&gt;0,"Feriado"&amp;IF(AH925=1," (laborable)"," (no laborable)"),IF(AH925=1,"Laborable",IF(WEEKDAY(B925,2)&gt;5,"Fin de semana","No laborable"))))</f>
        <v/>
      </c>
      <c r="R925" s="73" t="n"/>
      <c r="S925" s="72" t="n"/>
      <c r="T925" s="72" t="n"/>
      <c r="U925" s="74" t="n"/>
      <c r="V925" s="79" t="str">
        <f>IF(AND(D925="proMX",OR(R925="Submitted",R925="Recall Requested"),ISNUMBER(S925)),CFG_TODAY-INT(S925),"")</f>
        <v/>
      </c>
      <c r="W925" s="78" t="str">
        <f>IF(BD925=0,"",IF(BA925&gt;0,"⚠ Se superpone con un registro de la otra empresa",IF(D925="Malcolm",IF(COUNTA(R925,S925,T925)&gt;0,"Estado/fechas proMX se ignoran en Malcolm",""),IF(BF925="Cancelled","Cancelado: excluido de totales",IF(R925="","Sin estado: se trata como Draft",IF(BF925="Submitted",IF(ISNUMBER(V925),IF(V925&gt;CFG_MAXD,"⚠ "&amp;V925&amp;" días en Submitted (máx. "&amp;CFG_MAXD&amp;")",""),"Falta fecha de envío"),IF(BF925="Returned","⚠ Devuelto: corregir y reenviar",IF(BF925="Recall Requested","Retirada solicitada: pendiente",IF(AND(BF925="Approved",NOT(ISNUMBER(T925))),"Falta fecha de aprobación",IF(AND(ISNUMBER(S925),ISNUMBER(T925),T925&lt;S925),"Aprobación anterior al envío","")))))))))</f>
        <v/>
      </c>
      <c r="Y925" s="80">
        <f>IF(COUNTA(B925,D925,E925,F925,G925,H925,I925,J925,R925,S925,T925)&gt;0,1,0)</f>
        <v>0</v>
      </c>
      <c r="Z925" s="80" t="str">
        <f>IF(AND(ISNUMBER(H925),H925&gt;=0,H925&lt;1),ROUND(H925*1440,0),"")</f>
        <v/>
      </c>
      <c r="AA925" s="80" t="str">
        <f>IF(AND(ISNUMBER(I925),I925&gt;=0,I925&lt;1),ROUND(I925*1440,0),"")</f>
        <v/>
      </c>
      <c r="AB925" s="80">
        <f>IF(AND(ISNUMBER(B925),D925&lt;&gt;"",ISNUMBER(Z925),ISNUMBER(AA925)),IF(Z925=AA925,0,1),0)</f>
        <v>0</v>
      </c>
      <c r="AC925" s="80">
        <f>IF(AB925=1,IF(AA925&lt;Z925,1,0),0)</f>
        <v>0</v>
      </c>
      <c r="AD925" s="80">
        <f>IF(AB925=1,IF(AC925=1,1440-Z925+AA925,AA925-Z925),0)</f>
        <v>0</v>
      </c>
      <c r="AE925" s="80">
        <f>IF(J925="",0,IF(ISNUMBER(J925),J925,-1))</f>
        <v>0</v>
      </c>
      <c r="AF925" s="80">
        <f>MIN(MAX(0,AE925),AD925)</f>
        <v>0</v>
      </c>
      <c r="AG925" s="80">
        <f>MAX(0,AD925-MAX(0,AE925))</f>
        <v>0</v>
      </c>
      <c r="AH925" s="80">
        <f>IF(ISNUMBER(B925),IF(AND(INDEX(CFG_WDAYS,WEEKDAY(INT(B925),2))="Sí",IF(D925="proMX",COUNTIFS(FER_F,INT(B925),FER_NLP,"Sí"),COUNTIFS(FER_F,INT(B925),FER_NLM,"Sí"))=0),1,0),0)</f>
        <v>0</v>
      </c>
      <c r="AI925" s="80">
        <f>IF(AC925=1,IF(AND(INDEX(CFG_WDAYS,WEEKDAY(INT(B925)+1,2))="Sí",IF(D925="proMX",COUNTIFS(FER_F,INT(B925)+1,FER_NLP,"Sí"),COUNTIFS(FER_F,INT(B925)+1,FER_NLM,"Sí"))=0),1,0),0)</f>
        <v>0</v>
      </c>
      <c r="AJ925" s="80">
        <f>IF(AC925=1,1440-Z925,AD925)</f>
        <v>0</v>
      </c>
      <c r="AK925" s="80">
        <f>IF(AND(AB925=1,AH925=1),MAX(0,MIN(IF(AC925=1,1440,AA925),CFG_WEM)-MAX(Z925,CFG_WSM)),0)</f>
        <v>0</v>
      </c>
      <c r="AL925" s="80">
        <f>IF(AND(AC925=1,AI925=1),MAX(0,MIN(AA925,CFG_WEM)-CFG_WSM),0)</f>
        <v>0</v>
      </c>
      <c r="AM925" s="80">
        <f>AK925+AL925</f>
        <v>0</v>
      </c>
      <c r="AN925" s="80">
        <f>IF(CFG_BRK="Proporcional",IF(AD925=0,0,AF925*AM925/AD925),IF(CFG_BRK="Extras primero",MIN(AM925,MAX(0,AF925-(AD925-AM925))),MIN(AF925,AM925)))</f>
        <v>0</v>
      </c>
      <c r="AO925" s="80">
        <f>AF925-AN925</f>
        <v>0</v>
      </c>
      <c r="AP925" s="80">
        <f>AM925-AN925</f>
        <v>0</v>
      </c>
      <c r="AQ925" s="80">
        <f>AD925-AM925-AO925</f>
        <v>0</v>
      </c>
      <c r="AR925" s="80">
        <f>IF(AM925=0,0,AK925-AN925*AK925/AM925)</f>
        <v>0</v>
      </c>
      <c r="AS925" s="80">
        <f>IF(AD925-AM925=0,0,(AJ925-AK925)-AO925*(AJ925-AK925)/(AD925-AM925))</f>
        <v>0</v>
      </c>
      <c r="AT925" s="80" t="str">
        <f>IF(AC925=1,INT(B925)+1,"")</f>
        <v/>
      </c>
      <c r="AU925" s="80">
        <f>IF(AND(D925="proMX",R925="Cancelled"),0,1)</f>
        <v>1</v>
      </c>
      <c r="AV925" s="80">
        <f>IF(AND(AB925=1,AU925=1),IF(COUNTIFS($D$5:D924,D925,$B$5:B924,B925,$Z$5:Z924,Z925,$AA$5:AA924,AA925,$F$5:F924,F925&amp;"",$AU$5:AU924,1)&gt;0,1,0),0)</f>
        <v>0</v>
      </c>
      <c r="AW925" s="80" t="str">
        <f>IF(AB925=1,INT(B925)*1440+Z925,"")</f>
        <v/>
      </c>
      <c r="AX925" s="80" t="str">
        <f>IF(AB925=1,AW925+AD925,"")</f>
        <v/>
      </c>
      <c r="AY925" s="80">
        <f>IF(AND(AB925=1,AV925=0,AU925=1),1,0)</f>
        <v>0</v>
      </c>
      <c r="AZ925" s="80">
        <f>IF(AY925=1,COUNTIFS(R_Emp,D925,R_SAbs,"&lt;"&amp;AX925,R_EAbs,"&gt;"&amp;AW925,R_OKey,1)-1,0)</f>
        <v>0</v>
      </c>
      <c r="BA925" s="80">
        <f>IF(AY925=1,COUNTIFS(R_Emp,"&lt;&gt;"&amp;D925,R_SAbs,"&lt;"&amp;AX925,R_EAbs,"&gt;"&amp;AW925,R_OKey,1),0)</f>
        <v>0</v>
      </c>
      <c r="BB925" s="80">
        <f>IF(AND(AB925=1,D925="proMX"),IF(AND(MOD(Z925,CFG_BLK)=0,MOD(AA925,CFG_BLK)=0,MOD(AG925,CFG_BLK)=0,AG925&gt;0),1,0),1)</f>
        <v>1</v>
      </c>
      <c r="BC925" s="80" t="str">
        <f>IF(Y925=0,"",IF(NOT(ISNUMBER(B925)),"Falta fecha o fecha inválida",IF(D925="","Falta empresa",IF(AND(D925&lt;&gt;"Malcolm",D925&lt;&gt;"proMX"),"Empresa inválida",IF(OR(INT(B925)&lt;CFG_PSTART,INT(B925)&gt;CFG_PEND),"Fecha fuera del período",IF(OR(NOT(ISNUMBER(Z925)),NOT(ISNUMBER(AA925))),"Falta hora inicio/fin o formato inválido",IF(AB925=0,"Hora inicio = hora fin",IF(AE925&lt;0,"Descanso inválido",IF(AE925&gt;=AD925,"Descanso ≥ duración",IF(AV925=1,"Registro duplicado",IF(AZ925&gt;0,"Se superpone con otro registro "&amp;D925,IF(BB925=0,"inicio, fin y duración neta deben ser múltiplos de "&amp;CFG_BLK&amp;" min",""))))))))))))</f>
        <v/>
      </c>
      <c r="BD925" s="80">
        <f>IF(AND(Y925=1,BC925=""),1,0)</f>
        <v>0</v>
      </c>
      <c r="BE925" s="80">
        <f>IF(AND(BD925=1,AU925=1),1,0)</f>
        <v>0</v>
      </c>
      <c r="BF925" s="80" t="str">
        <f>IF(AND(D925="proMX",BD925=1),IF(R925="","Draft",R925),"")</f>
        <v/>
      </c>
      <c r="BG925" s="80">
        <f>IF(BD925=1,ROUND(AG925/60,6),0)</f>
        <v>0</v>
      </c>
      <c r="BH925" s="80">
        <f>IF(BE925=1,ROUND(AG925/60,6),0)</f>
        <v>0</v>
      </c>
      <c r="BI925" s="80">
        <f>IF(BE925=1,ROUND(AP925/60,6),0)</f>
        <v>0</v>
      </c>
      <c r="BJ925" s="80">
        <f>IF(BE925=1,ROUND(AQ925/60,6),0)</f>
        <v>0</v>
      </c>
      <c r="BK925" s="80">
        <f>IF(BE925=1,ROUND((AR925+AS925)/60,6),0)</f>
        <v>0</v>
      </c>
      <c r="BL925" s="80">
        <f>ROUND(BH925-BK925,6)</f>
        <v>0</v>
      </c>
      <c r="BM925" s="80">
        <f>IF(BE925=1,ROUND(AR925/60,6),0)</f>
        <v>0</v>
      </c>
      <c r="BN925" s="80">
        <f>ROUND(BI925-BM925,6)</f>
        <v>0</v>
      </c>
      <c r="BO925" s="80">
        <f>IF(BE925=1,ROUND(AS925/60,6),0)</f>
        <v>0</v>
      </c>
      <c r="BP925" s="80">
        <f>ROUND(BJ925-BO925,6)</f>
        <v>0</v>
      </c>
      <c r="BQ925" s="80">
        <f>IF(BE925=1,AW925,0)</f>
        <v>0</v>
      </c>
      <c r="BR925" s="80">
        <f>IF(BE925=1,AX925,0)</f>
        <v>0</v>
      </c>
      <c r="BS925" s="80">
        <f>IF(AND(BE925=1,D925="Malcolm",BA925&gt;0),MIN(BH925,SUMPRODUCT((R_Emp="proMX")*(R_EN&gt;0)*((R_EN-(R_EN&gt;BR925)*(R_EN-BR925))&gt;(R_SN+(R_SN&lt;BQ925)*(BQ925-R_SN)))*((R_EN-(R_EN&gt;BR925)*(R_EN-BR925))-(R_SN+(R_SN&lt;BQ925)*(BQ925-R_SN))))/60),0)</f>
        <v>0</v>
      </c>
      <c r="BT925" s="80">
        <f>IF(AND(BE925=1,D925="proMX"),ROUND(BI925*CFG_RATE+BJ925*CFG_OTRATE,6),0)</f>
        <v>0</v>
      </c>
      <c r="BU925" s="80">
        <f>IF(AND(BD925=1,D925="proMX"),ROUND(AG925/CFG_BLK,6),0)</f>
        <v>0</v>
      </c>
      <c r="BV925" s="80" t="str">
        <f>IF(BF925="Approved",IF(ISNUMBER(T925),INT(T925),INT(B925)),"")</f>
        <v/>
      </c>
      <c r="BW925" s="80">
        <f>IF(ISNUMBER(B925),IF(DB_MON="Todos",1,IF(AND(INT(B925)&gt;=DB_MS,INT(B925)&lt;=DB_ME),1,0)),0)</f>
        <v>0</v>
      </c>
      <c r="BX925" s="80">
        <f>IF(DB_PROJ="Todos",1,IF(E925&amp;""=DB_PROJ&amp;"",1,0))</f>
        <v>1</v>
      </c>
      <c r="BY925" s="80">
        <f>BW925*BX925</f>
        <v>0</v>
      </c>
      <c r="BZ925" s="80" t="str">
        <f>IF(Y925=1,F925&amp;IF(AND(F925&amp;""&lt;&gt;"",E925&amp;""&lt;&gt;"")," · ","")&amp;E925,"")</f>
        <v/>
      </c>
      <c r="CA925" s="80" t="str">
        <f>IF(AND(BD925=1,E925&amp;""&lt;&gt;""),IF(COUNTIFS($E$5:E924,E925,$BD$5:BD924,1)=0,MAX($CA$5:CA924)+1,""),"")</f>
        <v/>
      </c>
      <c r="CB925" s="80" t="str">
        <f>IF(AND(BE925=1,D925="Malcolm",E925&amp;""&lt;&gt;""),IF(COUNTIFS($D$5:D924,"Malcolm",$E$5:E924,E925,$BE$5:BE924,1)=0,MAX($CB$5:CB924)+1,""),"")</f>
        <v/>
      </c>
      <c r="CC925" s="80" t="str">
        <f>IF(AND(BD925=1,D925="proMX",E925&amp;""&lt;&gt;""),IF(COUNTIFS($D$5:D924,"proMX",$E$5:E924,E925,$BD$5:BD924,1)=0,MAX($CC$5:CC924)+1,""),"")</f>
        <v/>
      </c>
      <c r="CD925" s="80" t="str">
        <f>IF(AND(BE925=1,D925="Malcolm",F925&amp;""&lt;&gt;""),IF(COUNTIFS($D$5:D924,"Malcolm",$F$5:F924,F925,$BE$5:BE924,1)=0,MAX($CD$5:CD924)+1,""),"")</f>
        <v/>
      </c>
      <c r="CE925" s="80" t="str">
        <f>IF(AND(BD925=1,D925="proMX",F925&amp;""&lt;&gt;""),IF(COUNTIFS($D$5:D924,"proMX",$F$5:F924,F925,$BD$5:BD924,1)=0,MAX($CE$5:CE924)+1,""),"")</f>
        <v/>
      </c>
      <c r="CF925" s="80" t="str">
        <f>IF(AND(D925="proMX",BD925=1),IF(OR(BF925="Draft",BF925="Submitted",BF925="Returned",BF925="Recall Requested"),MAX($CF$5:CF924)+1,""),"")</f>
        <v/>
      </c>
      <c r="CG925" s="80">
        <f>IF(BD925=0,0,IF(D925="Malcolm",1,MATCH(BF925,{"Draft","Submitted","Approved","Returned","Recall Requested","Cancelled"},0)+1))</f>
        <v>0</v>
      </c>
      <c r="CH925" s="80">
        <f>IF(AND(BF925="Submitted",ISNUMBER(V925)),IF(V925&gt;CFG_MAXD,1,0),0)</f>
        <v>0</v>
      </c>
    </row>
    <row r="926">
      <c r="A926" s="71" t="str">
        <f>IF(Y926=1,ROW()-5,"")</f>
        <v/>
      </c>
      <c r="B926" s="72" t="n"/>
      <c r="C926" s="71" t="str">
        <f>IF(ISNUMBER(B926),CHOOSE(WEEKDAY(B926,2),"Lun","Mar","Mié","Jue","Vie","Sáb","Dom"),"")</f>
        <v/>
      </c>
      <c r="D926" s="73" t="n"/>
      <c r="E926" s="74" t="n"/>
      <c r="F926" s="74" t="n"/>
      <c r="G926" s="74" t="n"/>
      <c r="H926" s="75" t="n"/>
      <c r="I926" s="75" t="n"/>
      <c r="J926" s="76" t="n"/>
      <c r="K926" s="77" t="str">
        <f>IF(AB926=1,ROUND(AG926/60,4),"")</f>
        <v/>
      </c>
      <c r="L926" s="77" t="str">
        <f>IF(BD926=1,ROUND(AP926/60,4),"")</f>
        <v/>
      </c>
      <c r="M926" s="77" t="str">
        <f>IF(BD926=1,ROUND(AQ926/60,4),"")</f>
        <v/>
      </c>
      <c r="N926" s="71" t="str">
        <f>IF(AND(D926="proMX",AB926=1),ROUND(AG926/CFG_BLK,2),"")</f>
        <v/>
      </c>
      <c r="O926" s="77" t="str">
        <f>IF(D926="proMX",IF(BD926=1,ROUND(AG926/60,4),0),"")</f>
        <v/>
      </c>
      <c r="P926" s="78" t="str">
        <f>IF(Y926=0,"",IF(BD926=1,"OK",IF(D926="proMX","Revisar bloques: ","Revisar: ")&amp;BC926))</f>
        <v/>
      </c>
      <c r="Q926" s="78" t="str">
        <f>IF(NOT(ISNUMBER(B926)),"",IF(COUNTIFS(FER_F,INT(B926))&gt;0,"Feriado"&amp;IF(AH926=1," (laborable)"," (no laborable)"),IF(AH926=1,"Laborable",IF(WEEKDAY(B926,2)&gt;5,"Fin de semana","No laborable"))))</f>
        <v/>
      </c>
      <c r="R926" s="73" t="n"/>
      <c r="S926" s="72" t="n"/>
      <c r="T926" s="72" t="n"/>
      <c r="U926" s="74" t="n"/>
      <c r="V926" s="79" t="str">
        <f>IF(AND(D926="proMX",OR(R926="Submitted",R926="Recall Requested"),ISNUMBER(S926)),CFG_TODAY-INT(S926),"")</f>
        <v/>
      </c>
      <c r="W926" s="78" t="str">
        <f>IF(BD926=0,"",IF(BA926&gt;0,"⚠ Se superpone con un registro de la otra empresa",IF(D926="Malcolm",IF(COUNTA(R926,S926,T926)&gt;0,"Estado/fechas proMX se ignoran en Malcolm",""),IF(BF926="Cancelled","Cancelado: excluido de totales",IF(R926="","Sin estado: se trata como Draft",IF(BF926="Submitted",IF(ISNUMBER(V926),IF(V926&gt;CFG_MAXD,"⚠ "&amp;V926&amp;" días en Submitted (máx. "&amp;CFG_MAXD&amp;")",""),"Falta fecha de envío"),IF(BF926="Returned","⚠ Devuelto: corregir y reenviar",IF(BF926="Recall Requested","Retirada solicitada: pendiente",IF(AND(BF926="Approved",NOT(ISNUMBER(T926))),"Falta fecha de aprobación",IF(AND(ISNUMBER(S926),ISNUMBER(T926),T926&lt;S926),"Aprobación anterior al envío","")))))))))</f>
        <v/>
      </c>
      <c r="Y926" s="80">
        <f>IF(COUNTA(B926,D926,E926,F926,G926,H926,I926,J926,R926,S926,T926)&gt;0,1,0)</f>
        <v>0</v>
      </c>
      <c r="Z926" s="80" t="str">
        <f>IF(AND(ISNUMBER(H926),H926&gt;=0,H926&lt;1),ROUND(H926*1440,0),"")</f>
        <v/>
      </c>
      <c r="AA926" s="80" t="str">
        <f>IF(AND(ISNUMBER(I926),I926&gt;=0,I926&lt;1),ROUND(I926*1440,0),"")</f>
        <v/>
      </c>
      <c r="AB926" s="80">
        <f>IF(AND(ISNUMBER(B926),D926&lt;&gt;"",ISNUMBER(Z926),ISNUMBER(AA926)),IF(Z926=AA926,0,1),0)</f>
        <v>0</v>
      </c>
      <c r="AC926" s="80">
        <f>IF(AB926=1,IF(AA926&lt;Z926,1,0),0)</f>
        <v>0</v>
      </c>
      <c r="AD926" s="80">
        <f>IF(AB926=1,IF(AC926=1,1440-Z926+AA926,AA926-Z926),0)</f>
        <v>0</v>
      </c>
      <c r="AE926" s="80">
        <f>IF(J926="",0,IF(ISNUMBER(J926),J926,-1))</f>
        <v>0</v>
      </c>
      <c r="AF926" s="80">
        <f>MIN(MAX(0,AE926),AD926)</f>
        <v>0</v>
      </c>
      <c r="AG926" s="80">
        <f>MAX(0,AD926-MAX(0,AE926))</f>
        <v>0</v>
      </c>
      <c r="AH926" s="80">
        <f>IF(ISNUMBER(B926),IF(AND(INDEX(CFG_WDAYS,WEEKDAY(INT(B926),2))="Sí",IF(D926="proMX",COUNTIFS(FER_F,INT(B926),FER_NLP,"Sí"),COUNTIFS(FER_F,INT(B926),FER_NLM,"Sí"))=0),1,0),0)</f>
        <v>0</v>
      </c>
      <c r="AI926" s="80">
        <f>IF(AC926=1,IF(AND(INDEX(CFG_WDAYS,WEEKDAY(INT(B926)+1,2))="Sí",IF(D926="proMX",COUNTIFS(FER_F,INT(B926)+1,FER_NLP,"Sí"),COUNTIFS(FER_F,INT(B926)+1,FER_NLM,"Sí"))=0),1,0),0)</f>
        <v>0</v>
      </c>
      <c r="AJ926" s="80">
        <f>IF(AC926=1,1440-Z926,AD926)</f>
        <v>0</v>
      </c>
      <c r="AK926" s="80">
        <f>IF(AND(AB926=1,AH926=1),MAX(0,MIN(IF(AC926=1,1440,AA926),CFG_WEM)-MAX(Z926,CFG_WSM)),0)</f>
        <v>0</v>
      </c>
      <c r="AL926" s="80">
        <f>IF(AND(AC926=1,AI926=1),MAX(0,MIN(AA926,CFG_WEM)-CFG_WSM),0)</f>
        <v>0</v>
      </c>
      <c r="AM926" s="80">
        <f>AK926+AL926</f>
        <v>0</v>
      </c>
      <c r="AN926" s="80">
        <f>IF(CFG_BRK="Proporcional",IF(AD926=0,0,AF926*AM926/AD926),IF(CFG_BRK="Extras primero",MIN(AM926,MAX(0,AF926-(AD926-AM926))),MIN(AF926,AM926)))</f>
        <v>0</v>
      </c>
      <c r="AO926" s="80">
        <f>AF926-AN926</f>
        <v>0</v>
      </c>
      <c r="AP926" s="80">
        <f>AM926-AN926</f>
        <v>0</v>
      </c>
      <c r="AQ926" s="80">
        <f>AD926-AM926-AO926</f>
        <v>0</v>
      </c>
      <c r="AR926" s="80">
        <f>IF(AM926=0,0,AK926-AN926*AK926/AM926)</f>
        <v>0</v>
      </c>
      <c r="AS926" s="80">
        <f>IF(AD926-AM926=0,0,(AJ926-AK926)-AO926*(AJ926-AK926)/(AD926-AM926))</f>
        <v>0</v>
      </c>
      <c r="AT926" s="80" t="str">
        <f>IF(AC926=1,INT(B926)+1,"")</f>
        <v/>
      </c>
      <c r="AU926" s="80">
        <f>IF(AND(D926="proMX",R926="Cancelled"),0,1)</f>
        <v>1</v>
      </c>
      <c r="AV926" s="80">
        <f>IF(AND(AB926=1,AU926=1),IF(COUNTIFS($D$5:D925,D926,$B$5:B925,B926,$Z$5:Z925,Z926,$AA$5:AA925,AA926,$F$5:F925,F926&amp;"",$AU$5:AU925,1)&gt;0,1,0),0)</f>
        <v>0</v>
      </c>
      <c r="AW926" s="80" t="str">
        <f>IF(AB926=1,INT(B926)*1440+Z926,"")</f>
        <v/>
      </c>
      <c r="AX926" s="80" t="str">
        <f>IF(AB926=1,AW926+AD926,"")</f>
        <v/>
      </c>
      <c r="AY926" s="80">
        <f>IF(AND(AB926=1,AV926=0,AU926=1),1,0)</f>
        <v>0</v>
      </c>
      <c r="AZ926" s="80">
        <f>IF(AY926=1,COUNTIFS(R_Emp,D926,R_SAbs,"&lt;"&amp;AX926,R_EAbs,"&gt;"&amp;AW926,R_OKey,1)-1,0)</f>
        <v>0</v>
      </c>
      <c r="BA926" s="80">
        <f>IF(AY926=1,COUNTIFS(R_Emp,"&lt;&gt;"&amp;D926,R_SAbs,"&lt;"&amp;AX926,R_EAbs,"&gt;"&amp;AW926,R_OKey,1),0)</f>
        <v>0</v>
      </c>
      <c r="BB926" s="80">
        <f>IF(AND(AB926=1,D926="proMX"),IF(AND(MOD(Z926,CFG_BLK)=0,MOD(AA926,CFG_BLK)=0,MOD(AG926,CFG_BLK)=0,AG926&gt;0),1,0),1)</f>
        <v>1</v>
      </c>
      <c r="BC926" s="80" t="str">
        <f>IF(Y926=0,"",IF(NOT(ISNUMBER(B926)),"Falta fecha o fecha inválida",IF(D926="","Falta empresa",IF(AND(D926&lt;&gt;"Malcolm",D926&lt;&gt;"proMX"),"Empresa inválida",IF(OR(INT(B926)&lt;CFG_PSTART,INT(B926)&gt;CFG_PEND),"Fecha fuera del período",IF(OR(NOT(ISNUMBER(Z926)),NOT(ISNUMBER(AA926))),"Falta hora inicio/fin o formato inválido",IF(AB926=0,"Hora inicio = hora fin",IF(AE926&lt;0,"Descanso inválido",IF(AE926&gt;=AD926,"Descanso ≥ duración",IF(AV926=1,"Registro duplicado",IF(AZ926&gt;0,"Se superpone con otro registro "&amp;D926,IF(BB926=0,"inicio, fin y duración neta deben ser múltiplos de "&amp;CFG_BLK&amp;" min",""))))))))))))</f>
        <v/>
      </c>
      <c r="BD926" s="80">
        <f>IF(AND(Y926=1,BC926=""),1,0)</f>
        <v>0</v>
      </c>
      <c r="BE926" s="80">
        <f>IF(AND(BD926=1,AU926=1),1,0)</f>
        <v>0</v>
      </c>
      <c r="BF926" s="80" t="str">
        <f>IF(AND(D926="proMX",BD926=1),IF(R926="","Draft",R926),"")</f>
        <v/>
      </c>
      <c r="BG926" s="80">
        <f>IF(BD926=1,ROUND(AG926/60,6),0)</f>
        <v>0</v>
      </c>
      <c r="BH926" s="80">
        <f>IF(BE926=1,ROUND(AG926/60,6),0)</f>
        <v>0</v>
      </c>
      <c r="BI926" s="80">
        <f>IF(BE926=1,ROUND(AP926/60,6),0)</f>
        <v>0</v>
      </c>
      <c r="BJ926" s="80">
        <f>IF(BE926=1,ROUND(AQ926/60,6),0)</f>
        <v>0</v>
      </c>
      <c r="BK926" s="80">
        <f>IF(BE926=1,ROUND((AR926+AS926)/60,6),0)</f>
        <v>0</v>
      </c>
      <c r="BL926" s="80">
        <f>ROUND(BH926-BK926,6)</f>
        <v>0</v>
      </c>
      <c r="BM926" s="80">
        <f>IF(BE926=1,ROUND(AR926/60,6),0)</f>
        <v>0</v>
      </c>
      <c r="BN926" s="80">
        <f>ROUND(BI926-BM926,6)</f>
        <v>0</v>
      </c>
      <c r="BO926" s="80">
        <f>IF(BE926=1,ROUND(AS926/60,6),0)</f>
        <v>0</v>
      </c>
      <c r="BP926" s="80">
        <f>ROUND(BJ926-BO926,6)</f>
        <v>0</v>
      </c>
      <c r="BQ926" s="80">
        <f>IF(BE926=1,AW926,0)</f>
        <v>0</v>
      </c>
      <c r="BR926" s="80">
        <f>IF(BE926=1,AX926,0)</f>
        <v>0</v>
      </c>
      <c r="BS926" s="80">
        <f>IF(AND(BE926=1,D926="Malcolm",BA926&gt;0),MIN(BH926,SUMPRODUCT((R_Emp="proMX")*(R_EN&gt;0)*((R_EN-(R_EN&gt;BR926)*(R_EN-BR926))&gt;(R_SN+(R_SN&lt;BQ926)*(BQ926-R_SN)))*((R_EN-(R_EN&gt;BR926)*(R_EN-BR926))-(R_SN+(R_SN&lt;BQ926)*(BQ926-R_SN))))/60),0)</f>
        <v>0</v>
      </c>
      <c r="BT926" s="80">
        <f>IF(AND(BE926=1,D926="proMX"),ROUND(BI926*CFG_RATE+BJ926*CFG_OTRATE,6),0)</f>
        <v>0</v>
      </c>
      <c r="BU926" s="80">
        <f>IF(AND(BD926=1,D926="proMX"),ROUND(AG926/CFG_BLK,6),0)</f>
        <v>0</v>
      </c>
      <c r="BV926" s="80" t="str">
        <f>IF(BF926="Approved",IF(ISNUMBER(T926),INT(T926),INT(B926)),"")</f>
        <v/>
      </c>
      <c r="BW926" s="80">
        <f>IF(ISNUMBER(B926),IF(DB_MON="Todos",1,IF(AND(INT(B926)&gt;=DB_MS,INT(B926)&lt;=DB_ME),1,0)),0)</f>
        <v>0</v>
      </c>
      <c r="BX926" s="80">
        <f>IF(DB_PROJ="Todos",1,IF(E926&amp;""=DB_PROJ&amp;"",1,0))</f>
        <v>1</v>
      </c>
      <c r="BY926" s="80">
        <f>BW926*BX926</f>
        <v>0</v>
      </c>
      <c r="BZ926" s="80" t="str">
        <f>IF(Y926=1,F926&amp;IF(AND(F926&amp;""&lt;&gt;"",E926&amp;""&lt;&gt;"")," · ","")&amp;E926,"")</f>
        <v/>
      </c>
      <c r="CA926" s="80" t="str">
        <f>IF(AND(BD926=1,E926&amp;""&lt;&gt;""),IF(COUNTIFS($E$5:E925,E926,$BD$5:BD925,1)=0,MAX($CA$5:CA925)+1,""),"")</f>
        <v/>
      </c>
      <c r="CB926" s="80" t="str">
        <f>IF(AND(BE926=1,D926="Malcolm",E926&amp;""&lt;&gt;""),IF(COUNTIFS($D$5:D925,"Malcolm",$E$5:E925,E926,$BE$5:BE925,1)=0,MAX($CB$5:CB925)+1,""),"")</f>
        <v/>
      </c>
      <c r="CC926" s="80" t="str">
        <f>IF(AND(BD926=1,D926="proMX",E926&amp;""&lt;&gt;""),IF(COUNTIFS($D$5:D925,"proMX",$E$5:E925,E926,$BD$5:BD925,1)=0,MAX($CC$5:CC925)+1,""),"")</f>
        <v/>
      </c>
      <c r="CD926" s="80" t="str">
        <f>IF(AND(BE926=1,D926="Malcolm",F926&amp;""&lt;&gt;""),IF(COUNTIFS($D$5:D925,"Malcolm",$F$5:F925,F926,$BE$5:BE925,1)=0,MAX($CD$5:CD925)+1,""),"")</f>
        <v/>
      </c>
      <c r="CE926" s="80" t="str">
        <f>IF(AND(BD926=1,D926="proMX",F926&amp;""&lt;&gt;""),IF(COUNTIFS($D$5:D925,"proMX",$F$5:F925,F926,$BD$5:BD925,1)=0,MAX($CE$5:CE925)+1,""),"")</f>
        <v/>
      </c>
      <c r="CF926" s="80" t="str">
        <f>IF(AND(D926="proMX",BD926=1),IF(OR(BF926="Draft",BF926="Submitted",BF926="Returned",BF926="Recall Requested"),MAX($CF$5:CF925)+1,""),"")</f>
        <v/>
      </c>
      <c r="CG926" s="80">
        <f>IF(BD926=0,0,IF(D926="Malcolm",1,MATCH(BF926,{"Draft","Submitted","Approved","Returned","Recall Requested","Cancelled"},0)+1))</f>
        <v>0</v>
      </c>
      <c r="CH926" s="80">
        <f>IF(AND(BF926="Submitted",ISNUMBER(V926)),IF(V926&gt;CFG_MAXD,1,0),0)</f>
        <v>0</v>
      </c>
    </row>
    <row r="927">
      <c r="A927" s="71" t="str">
        <f>IF(Y927=1,ROW()-5,"")</f>
        <v/>
      </c>
      <c r="B927" s="72" t="n"/>
      <c r="C927" s="71" t="str">
        <f>IF(ISNUMBER(B927),CHOOSE(WEEKDAY(B927,2),"Lun","Mar","Mié","Jue","Vie","Sáb","Dom"),"")</f>
        <v/>
      </c>
      <c r="D927" s="73" t="n"/>
      <c r="E927" s="74" t="n"/>
      <c r="F927" s="74" t="n"/>
      <c r="G927" s="74" t="n"/>
      <c r="H927" s="75" t="n"/>
      <c r="I927" s="75" t="n"/>
      <c r="J927" s="76" t="n"/>
      <c r="K927" s="77" t="str">
        <f>IF(AB927=1,ROUND(AG927/60,4),"")</f>
        <v/>
      </c>
      <c r="L927" s="77" t="str">
        <f>IF(BD927=1,ROUND(AP927/60,4),"")</f>
        <v/>
      </c>
      <c r="M927" s="77" t="str">
        <f>IF(BD927=1,ROUND(AQ927/60,4),"")</f>
        <v/>
      </c>
      <c r="N927" s="71" t="str">
        <f>IF(AND(D927="proMX",AB927=1),ROUND(AG927/CFG_BLK,2),"")</f>
        <v/>
      </c>
      <c r="O927" s="77" t="str">
        <f>IF(D927="proMX",IF(BD927=1,ROUND(AG927/60,4),0),"")</f>
        <v/>
      </c>
      <c r="P927" s="78" t="str">
        <f>IF(Y927=0,"",IF(BD927=1,"OK",IF(D927="proMX","Revisar bloques: ","Revisar: ")&amp;BC927))</f>
        <v/>
      </c>
      <c r="Q927" s="78" t="str">
        <f>IF(NOT(ISNUMBER(B927)),"",IF(COUNTIFS(FER_F,INT(B927))&gt;0,"Feriado"&amp;IF(AH927=1," (laborable)"," (no laborable)"),IF(AH927=1,"Laborable",IF(WEEKDAY(B927,2)&gt;5,"Fin de semana","No laborable"))))</f>
        <v/>
      </c>
      <c r="R927" s="73" t="n"/>
      <c r="S927" s="72" t="n"/>
      <c r="T927" s="72" t="n"/>
      <c r="U927" s="74" t="n"/>
      <c r="V927" s="79" t="str">
        <f>IF(AND(D927="proMX",OR(R927="Submitted",R927="Recall Requested"),ISNUMBER(S927)),CFG_TODAY-INT(S927),"")</f>
        <v/>
      </c>
      <c r="W927" s="78" t="str">
        <f>IF(BD927=0,"",IF(BA927&gt;0,"⚠ Se superpone con un registro de la otra empresa",IF(D927="Malcolm",IF(COUNTA(R927,S927,T927)&gt;0,"Estado/fechas proMX se ignoran en Malcolm",""),IF(BF927="Cancelled","Cancelado: excluido de totales",IF(R927="","Sin estado: se trata como Draft",IF(BF927="Submitted",IF(ISNUMBER(V927),IF(V927&gt;CFG_MAXD,"⚠ "&amp;V927&amp;" días en Submitted (máx. "&amp;CFG_MAXD&amp;")",""),"Falta fecha de envío"),IF(BF927="Returned","⚠ Devuelto: corregir y reenviar",IF(BF927="Recall Requested","Retirada solicitada: pendiente",IF(AND(BF927="Approved",NOT(ISNUMBER(T927))),"Falta fecha de aprobación",IF(AND(ISNUMBER(S927),ISNUMBER(T927),T927&lt;S927),"Aprobación anterior al envío","")))))))))</f>
        <v/>
      </c>
      <c r="Y927" s="80">
        <f>IF(COUNTA(B927,D927,E927,F927,G927,H927,I927,J927,R927,S927,T927)&gt;0,1,0)</f>
        <v>0</v>
      </c>
      <c r="Z927" s="80" t="str">
        <f>IF(AND(ISNUMBER(H927),H927&gt;=0,H927&lt;1),ROUND(H927*1440,0),"")</f>
        <v/>
      </c>
      <c r="AA927" s="80" t="str">
        <f>IF(AND(ISNUMBER(I927),I927&gt;=0,I927&lt;1),ROUND(I927*1440,0),"")</f>
        <v/>
      </c>
      <c r="AB927" s="80">
        <f>IF(AND(ISNUMBER(B927),D927&lt;&gt;"",ISNUMBER(Z927),ISNUMBER(AA927)),IF(Z927=AA927,0,1),0)</f>
        <v>0</v>
      </c>
      <c r="AC927" s="80">
        <f>IF(AB927=1,IF(AA927&lt;Z927,1,0),0)</f>
        <v>0</v>
      </c>
      <c r="AD927" s="80">
        <f>IF(AB927=1,IF(AC927=1,1440-Z927+AA927,AA927-Z927),0)</f>
        <v>0</v>
      </c>
      <c r="AE927" s="80">
        <f>IF(J927="",0,IF(ISNUMBER(J927),J927,-1))</f>
        <v>0</v>
      </c>
      <c r="AF927" s="80">
        <f>MIN(MAX(0,AE927),AD927)</f>
        <v>0</v>
      </c>
      <c r="AG927" s="80">
        <f>MAX(0,AD927-MAX(0,AE927))</f>
        <v>0</v>
      </c>
      <c r="AH927" s="80">
        <f>IF(ISNUMBER(B927),IF(AND(INDEX(CFG_WDAYS,WEEKDAY(INT(B927),2))="Sí",IF(D927="proMX",COUNTIFS(FER_F,INT(B927),FER_NLP,"Sí"),COUNTIFS(FER_F,INT(B927),FER_NLM,"Sí"))=0),1,0),0)</f>
        <v>0</v>
      </c>
      <c r="AI927" s="80">
        <f>IF(AC927=1,IF(AND(INDEX(CFG_WDAYS,WEEKDAY(INT(B927)+1,2))="Sí",IF(D927="proMX",COUNTIFS(FER_F,INT(B927)+1,FER_NLP,"Sí"),COUNTIFS(FER_F,INT(B927)+1,FER_NLM,"Sí"))=0),1,0),0)</f>
        <v>0</v>
      </c>
      <c r="AJ927" s="80">
        <f>IF(AC927=1,1440-Z927,AD927)</f>
        <v>0</v>
      </c>
      <c r="AK927" s="80">
        <f>IF(AND(AB927=1,AH927=1),MAX(0,MIN(IF(AC927=1,1440,AA927),CFG_WEM)-MAX(Z927,CFG_WSM)),0)</f>
        <v>0</v>
      </c>
      <c r="AL927" s="80">
        <f>IF(AND(AC927=1,AI927=1),MAX(0,MIN(AA927,CFG_WEM)-CFG_WSM),0)</f>
        <v>0</v>
      </c>
      <c r="AM927" s="80">
        <f>AK927+AL927</f>
        <v>0</v>
      </c>
      <c r="AN927" s="80">
        <f>IF(CFG_BRK="Proporcional",IF(AD927=0,0,AF927*AM927/AD927),IF(CFG_BRK="Extras primero",MIN(AM927,MAX(0,AF927-(AD927-AM927))),MIN(AF927,AM927)))</f>
        <v>0</v>
      </c>
      <c r="AO927" s="80">
        <f>AF927-AN927</f>
        <v>0</v>
      </c>
      <c r="AP927" s="80">
        <f>AM927-AN927</f>
        <v>0</v>
      </c>
      <c r="AQ927" s="80">
        <f>AD927-AM927-AO927</f>
        <v>0</v>
      </c>
      <c r="AR927" s="80">
        <f>IF(AM927=0,0,AK927-AN927*AK927/AM927)</f>
        <v>0</v>
      </c>
      <c r="AS927" s="80">
        <f>IF(AD927-AM927=0,0,(AJ927-AK927)-AO927*(AJ927-AK927)/(AD927-AM927))</f>
        <v>0</v>
      </c>
      <c r="AT927" s="80" t="str">
        <f>IF(AC927=1,INT(B927)+1,"")</f>
        <v/>
      </c>
      <c r="AU927" s="80">
        <f>IF(AND(D927="proMX",R927="Cancelled"),0,1)</f>
        <v>1</v>
      </c>
      <c r="AV927" s="80">
        <f>IF(AND(AB927=1,AU927=1),IF(COUNTIFS($D$5:D926,D927,$B$5:B926,B927,$Z$5:Z926,Z927,$AA$5:AA926,AA927,$F$5:F926,F927&amp;"",$AU$5:AU926,1)&gt;0,1,0),0)</f>
        <v>0</v>
      </c>
      <c r="AW927" s="80" t="str">
        <f>IF(AB927=1,INT(B927)*1440+Z927,"")</f>
        <v/>
      </c>
      <c r="AX927" s="80" t="str">
        <f>IF(AB927=1,AW927+AD927,"")</f>
        <v/>
      </c>
      <c r="AY927" s="80">
        <f>IF(AND(AB927=1,AV927=0,AU927=1),1,0)</f>
        <v>0</v>
      </c>
      <c r="AZ927" s="80">
        <f>IF(AY927=1,COUNTIFS(R_Emp,D927,R_SAbs,"&lt;"&amp;AX927,R_EAbs,"&gt;"&amp;AW927,R_OKey,1)-1,0)</f>
        <v>0</v>
      </c>
      <c r="BA927" s="80">
        <f>IF(AY927=1,COUNTIFS(R_Emp,"&lt;&gt;"&amp;D927,R_SAbs,"&lt;"&amp;AX927,R_EAbs,"&gt;"&amp;AW927,R_OKey,1),0)</f>
        <v>0</v>
      </c>
      <c r="BB927" s="80">
        <f>IF(AND(AB927=1,D927="proMX"),IF(AND(MOD(Z927,CFG_BLK)=0,MOD(AA927,CFG_BLK)=0,MOD(AG927,CFG_BLK)=0,AG927&gt;0),1,0),1)</f>
        <v>1</v>
      </c>
      <c r="BC927" s="80" t="str">
        <f>IF(Y927=0,"",IF(NOT(ISNUMBER(B927)),"Falta fecha o fecha inválida",IF(D927="","Falta empresa",IF(AND(D927&lt;&gt;"Malcolm",D927&lt;&gt;"proMX"),"Empresa inválida",IF(OR(INT(B927)&lt;CFG_PSTART,INT(B927)&gt;CFG_PEND),"Fecha fuera del período",IF(OR(NOT(ISNUMBER(Z927)),NOT(ISNUMBER(AA927))),"Falta hora inicio/fin o formato inválido",IF(AB927=0,"Hora inicio = hora fin",IF(AE927&lt;0,"Descanso inválido",IF(AE927&gt;=AD927,"Descanso ≥ duración",IF(AV927=1,"Registro duplicado",IF(AZ927&gt;0,"Se superpone con otro registro "&amp;D927,IF(BB927=0,"inicio, fin y duración neta deben ser múltiplos de "&amp;CFG_BLK&amp;" min",""))))))))))))</f>
        <v/>
      </c>
      <c r="BD927" s="80">
        <f>IF(AND(Y927=1,BC927=""),1,0)</f>
        <v>0</v>
      </c>
      <c r="BE927" s="80">
        <f>IF(AND(BD927=1,AU927=1),1,0)</f>
        <v>0</v>
      </c>
      <c r="BF927" s="80" t="str">
        <f>IF(AND(D927="proMX",BD927=1),IF(R927="","Draft",R927),"")</f>
        <v/>
      </c>
      <c r="BG927" s="80">
        <f>IF(BD927=1,ROUND(AG927/60,6),0)</f>
        <v>0</v>
      </c>
      <c r="BH927" s="80">
        <f>IF(BE927=1,ROUND(AG927/60,6),0)</f>
        <v>0</v>
      </c>
      <c r="BI927" s="80">
        <f>IF(BE927=1,ROUND(AP927/60,6),0)</f>
        <v>0</v>
      </c>
      <c r="BJ927" s="80">
        <f>IF(BE927=1,ROUND(AQ927/60,6),0)</f>
        <v>0</v>
      </c>
      <c r="BK927" s="80">
        <f>IF(BE927=1,ROUND((AR927+AS927)/60,6),0)</f>
        <v>0</v>
      </c>
      <c r="BL927" s="80">
        <f>ROUND(BH927-BK927,6)</f>
        <v>0</v>
      </c>
      <c r="BM927" s="80">
        <f>IF(BE927=1,ROUND(AR927/60,6),0)</f>
        <v>0</v>
      </c>
      <c r="BN927" s="80">
        <f>ROUND(BI927-BM927,6)</f>
        <v>0</v>
      </c>
      <c r="BO927" s="80">
        <f>IF(BE927=1,ROUND(AS927/60,6),0)</f>
        <v>0</v>
      </c>
      <c r="BP927" s="80">
        <f>ROUND(BJ927-BO927,6)</f>
        <v>0</v>
      </c>
      <c r="BQ927" s="80">
        <f>IF(BE927=1,AW927,0)</f>
        <v>0</v>
      </c>
      <c r="BR927" s="80">
        <f>IF(BE927=1,AX927,0)</f>
        <v>0</v>
      </c>
      <c r="BS927" s="80">
        <f>IF(AND(BE927=1,D927="Malcolm",BA927&gt;0),MIN(BH927,SUMPRODUCT((R_Emp="proMX")*(R_EN&gt;0)*((R_EN-(R_EN&gt;BR927)*(R_EN-BR927))&gt;(R_SN+(R_SN&lt;BQ927)*(BQ927-R_SN)))*((R_EN-(R_EN&gt;BR927)*(R_EN-BR927))-(R_SN+(R_SN&lt;BQ927)*(BQ927-R_SN))))/60),0)</f>
        <v>0</v>
      </c>
      <c r="BT927" s="80">
        <f>IF(AND(BE927=1,D927="proMX"),ROUND(BI927*CFG_RATE+BJ927*CFG_OTRATE,6),0)</f>
        <v>0</v>
      </c>
      <c r="BU927" s="80">
        <f>IF(AND(BD927=1,D927="proMX"),ROUND(AG927/CFG_BLK,6),0)</f>
        <v>0</v>
      </c>
      <c r="BV927" s="80" t="str">
        <f>IF(BF927="Approved",IF(ISNUMBER(T927),INT(T927),INT(B927)),"")</f>
        <v/>
      </c>
      <c r="BW927" s="80">
        <f>IF(ISNUMBER(B927),IF(DB_MON="Todos",1,IF(AND(INT(B927)&gt;=DB_MS,INT(B927)&lt;=DB_ME),1,0)),0)</f>
        <v>0</v>
      </c>
      <c r="BX927" s="80">
        <f>IF(DB_PROJ="Todos",1,IF(E927&amp;""=DB_PROJ&amp;"",1,0))</f>
        <v>1</v>
      </c>
      <c r="BY927" s="80">
        <f>BW927*BX927</f>
        <v>0</v>
      </c>
      <c r="BZ927" s="80" t="str">
        <f>IF(Y927=1,F927&amp;IF(AND(F927&amp;""&lt;&gt;"",E927&amp;""&lt;&gt;"")," · ","")&amp;E927,"")</f>
        <v/>
      </c>
      <c r="CA927" s="80" t="str">
        <f>IF(AND(BD927=1,E927&amp;""&lt;&gt;""),IF(COUNTIFS($E$5:E926,E927,$BD$5:BD926,1)=0,MAX($CA$5:CA926)+1,""),"")</f>
        <v/>
      </c>
      <c r="CB927" s="80" t="str">
        <f>IF(AND(BE927=1,D927="Malcolm",E927&amp;""&lt;&gt;""),IF(COUNTIFS($D$5:D926,"Malcolm",$E$5:E926,E927,$BE$5:BE926,1)=0,MAX($CB$5:CB926)+1,""),"")</f>
        <v/>
      </c>
      <c r="CC927" s="80" t="str">
        <f>IF(AND(BD927=1,D927="proMX",E927&amp;""&lt;&gt;""),IF(COUNTIFS($D$5:D926,"proMX",$E$5:E926,E927,$BD$5:BD926,1)=0,MAX($CC$5:CC926)+1,""),"")</f>
        <v/>
      </c>
      <c r="CD927" s="80" t="str">
        <f>IF(AND(BE927=1,D927="Malcolm",F927&amp;""&lt;&gt;""),IF(COUNTIFS($D$5:D926,"Malcolm",$F$5:F926,F927,$BE$5:BE926,1)=0,MAX($CD$5:CD926)+1,""),"")</f>
        <v/>
      </c>
      <c r="CE927" s="80" t="str">
        <f>IF(AND(BD927=1,D927="proMX",F927&amp;""&lt;&gt;""),IF(COUNTIFS($D$5:D926,"proMX",$F$5:F926,F927,$BD$5:BD926,1)=0,MAX($CE$5:CE926)+1,""),"")</f>
        <v/>
      </c>
      <c r="CF927" s="80" t="str">
        <f>IF(AND(D927="proMX",BD927=1),IF(OR(BF927="Draft",BF927="Submitted",BF927="Returned",BF927="Recall Requested"),MAX($CF$5:CF926)+1,""),"")</f>
        <v/>
      </c>
      <c r="CG927" s="80">
        <f>IF(BD927=0,0,IF(D927="Malcolm",1,MATCH(BF927,{"Draft","Submitted","Approved","Returned","Recall Requested","Cancelled"},0)+1))</f>
        <v>0</v>
      </c>
      <c r="CH927" s="80">
        <f>IF(AND(BF927="Submitted",ISNUMBER(V927)),IF(V927&gt;CFG_MAXD,1,0),0)</f>
        <v>0</v>
      </c>
    </row>
    <row r="928">
      <c r="A928" s="71" t="str">
        <f>IF(Y928=1,ROW()-5,"")</f>
        <v/>
      </c>
      <c r="B928" s="72" t="n"/>
      <c r="C928" s="71" t="str">
        <f>IF(ISNUMBER(B928),CHOOSE(WEEKDAY(B928,2),"Lun","Mar","Mié","Jue","Vie","Sáb","Dom"),"")</f>
        <v/>
      </c>
      <c r="D928" s="73" t="n"/>
      <c r="E928" s="74" t="n"/>
      <c r="F928" s="74" t="n"/>
      <c r="G928" s="74" t="n"/>
      <c r="H928" s="75" t="n"/>
      <c r="I928" s="75" t="n"/>
      <c r="J928" s="76" t="n"/>
      <c r="K928" s="77" t="str">
        <f>IF(AB928=1,ROUND(AG928/60,4),"")</f>
        <v/>
      </c>
      <c r="L928" s="77" t="str">
        <f>IF(BD928=1,ROUND(AP928/60,4),"")</f>
        <v/>
      </c>
      <c r="M928" s="77" t="str">
        <f>IF(BD928=1,ROUND(AQ928/60,4),"")</f>
        <v/>
      </c>
      <c r="N928" s="71" t="str">
        <f>IF(AND(D928="proMX",AB928=1),ROUND(AG928/CFG_BLK,2),"")</f>
        <v/>
      </c>
      <c r="O928" s="77" t="str">
        <f>IF(D928="proMX",IF(BD928=1,ROUND(AG928/60,4),0),"")</f>
        <v/>
      </c>
      <c r="P928" s="78" t="str">
        <f>IF(Y928=0,"",IF(BD928=1,"OK",IF(D928="proMX","Revisar bloques: ","Revisar: ")&amp;BC928))</f>
        <v/>
      </c>
      <c r="Q928" s="78" t="str">
        <f>IF(NOT(ISNUMBER(B928)),"",IF(COUNTIFS(FER_F,INT(B928))&gt;0,"Feriado"&amp;IF(AH928=1," (laborable)"," (no laborable)"),IF(AH928=1,"Laborable",IF(WEEKDAY(B928,2)&gt;5,"Fin de semana","No laborable"))))</f>
        <v/>
      </c>
      <c r="R928" s="73" t="n"/>
      <c r="S928" s="72" t="n"/>
      <c r="T928" s="72" t="n"/>
      <c r="U928" s="74" t="n"/>
      <c r="V928" s="79" t="str">
        <f>IF(AND(D928="proMX",OR(R928="Submitted",R928="Recall Requested"),ISNUMBER(S928)),CFG_TODAY-INT(S928),"")</f>
        <v/>
      </c>
      <c r="W928" s="78" t="str">
        <f>IF(BD928=0,"",IF(BA928&gt;0,"⚠ Se superpone con un registro de la otra empresa",IF(D928="Malcolm",IF(COUNTA(R928,S928,T928)&gt;0,"Estado/fechas proMX se ignoran en Malcolm",""),IF(BF928="Cancelled","Cancelado: excluido de totales",IF(R928="","Sin estado: se trata como Draft",IF(BF928="Submitted",IF(ISNUMBER(V928),IF(V928&gt;CFG_MAXD,"⚠ "&amp;V928&amp;" días en Submitted (máx. "&amp;CFG_MAXD&amp;")",""),"Falta fecha de envío"),IF(BF928="Returned","⚠ Devuelto: corregir y reenviar",IF(BF928="Recall Requested","Retirada solicitada: pendiente",IF(AND(BF928="Approved",NOT(ISNUMBER(T928))),"Falta fecha de aprobación",IF(AND(ISNUMBER(S928),ISNUMBER(T928),T928&lt;S928),"Aprobación anterior al envío","")))))))))</f>
        <v/>
      </c>
      <c r="Y928" s="80">
        <f>IF(COUNTA(B928,D928,E928,F928,G928,H928,I928,J928,R928,S928,T928)&gt;0,1,0)</f>
        <v>0</v>
      </c>
      <c r="Z928" s="80" t="str">
        <f>IF(AND(ISNUMBER(H928),H928&gt;=0,H928&lt;1),ROUND(H928*1440,0),"")</f>
        <v/>
      </c>
      <c r="AA928" s="80" t="str">
        <f>IF(AND(ISNUMBER(I928),I928&gt;=0,I928&lt;1),ROUND(I928*1440,0),"")</f>
        <v/>
      </c>
      <c r="AB928" s="80">
        <f>IF(AND(ISNUMBER(B928),D928&lt;&gt;"",ISNUMBER(Z928),ISNUMBER(AA928)),IF(Z928=AA928,0,1),0)</f>
        <v>0</v>
      </c>
      <c r="AC928" s="80">
        <f>IF(AB928=1,IF(AA928&lt;Z928,1,0),0)</f>
        <v>0</v>
      </c>
      <c r="AD928" s="80">
        <f>IF(AB928=1,IF(AC928=1,1440-Z928+AA928,AA928-Z928),0)</f>
        <v>0</v>
      </c>
      <c r="AE928" s="80">
        <f>IF(J928="",0,IF(ISNUMBER(J928),J928,-1))</f>
        <v>0</v>
      </c>
      <c r="AF928" s="80">
        <f>MIN(MAX(0,AE928),AD928)</f>
        <v>0</v>
      </c>
      <c r="AG928" s="80">
        <f>MAX(0,AD928-MAX(0,AE928))</f>
        <v>0</v>
      </c>
      <c r="AH928" s="80">
        <f>IF(ISNUMBER(B928),IF(AND(INDEX(CFG_WDAYS,WEEKDAY(INT(B928),2))="Sí",IF(D928="proMX",COUNTIFS(FER_F,INT(B928),FER_NLP,"Sí"),COUNTIFS(FER_F,INT(B928),FER_NLM,"Sí"))=0),1,0),0)</f>
        <v>0</v>
      </c>
      <c r="AI928" s="80">
        <f>IF(AC928=1,IF(AND(INDEX(CFG_WDAYS,WEEKDAY(INT(B928)+1,2))="Sí",IF(D928="proMX",COUNTIFS(FER_F,INT(B928)+1,FER_NLP,"Sí"),COUNTIFS(FER_F,INT(B928)+1,FER_NLM,"Sí"))=0),1,0),0)</f>
        <v>0</v>
      </c>
      <c r="AJ928" s="80">
        <f>IF(AC928=1,1440-Z928,AD928)</f>
        <v>0</v>
      </c>
      <c r="AK928" s="80">
        <f>IF(AND(AB928=1,AH928=1),MAX(0,MIN(IF(AC928=1,1440,AA928),CFG_WEM)-MAX(Z928,CFG_WSM)),0)</f>
        <v>0</v>
      </c>
      <c r="AL928" s="80">
        <f>IF(AND(AC928=1,AI928=1),MAX(0,MIN(AA928,CFG_WEM)-CFG_WSM),0)</f>
        <v>0</v>
      </c>
      <c r="AM928" s="80">
        <f>AK928+AL928</f>
        <v>0</v>
      </c>
      <c r="AN928" s="80">
        <f>IF(CFG_BRK="Proporcional",IF(AD928=0,0,AF928*AM928/AD928),IF(CFG_BRK="Extras primero",MIN(AM928,MAX(0,AF928-(AD928-AM928))),MIN(AF928,AM928)))</f>
        <v>0</v>
      </c>
      <c r="AO928" s="80">
        <f>AF928-AN928</f>
        <v>0</v>
      </c>
      <c r="AP928" s="80">
        <f>AM928-AN928</f>
        <v>0</v>
      </c>
      <c r="AQ928" s="80">
        <f>AD928-AM928-AO928</f>
        <v>0</v>
      </c>
      <c r="AR928" s="80">
        <f>IF(AM928=0,0,AK928-AN928*AK928/AM928)</f>
        <v>0</v>
      </c>
      <c r="AS928" s="80">
        <f>IF(AD928-AM928=0,0,(AJ928-AK928)-AO928*(AJ928-AK928)/(AD928-AM928))</f>
        <v>0</v>
      </c>
      <c r="AT928" s="80" t="str">
        <f>IF(AC928=1,INT(B928)+1,"")</f>
        <v/>
      </c>
      <c r="AU928" s="80">
        <f>IF(AND(D928="proMX",R928="Cancelled"),0,1)</f>
        <v>1</v>
      </c>
      <c r="AV928" s="80">
        <f>IF(AND(AB928=1,AU928=1),IF(COUNTIFS($D$5:D927,D928,$B$5:B927,B928,$Z$5:Z927,Z928,$AA$5:AA927,AA928,$F$5:F927,F928&amp;"",$AU$5:AU927,1)&gt;0,1,0),0)</f>
        <v>0</v>
      </c>
      <c r="AW928" s="80" t="str">
        <f>IF(AB928=1,INT(B928)*1440+Z928,"")</f>
        <v/>
      </c>
      <c r="AX928" s="80" t="str">
        <f>IF(AB928=1,AW928+AD928,"")</f>
        <v/>
      </c>
      <c r="AY928" s="80">
        <f>IF(AND(AB928=1,AV928=0,AU928=1),1,0)</f>
        <v>0</v>
      </c>
      <c r="AZ928" s="80">
        <f>IF(AY928=1,COUNTIFS(R_Emp,D928,R_SAbs,"&lt;"&amp;AX928,R_EAbs,"&gt;"&amp;AW928,R_OKey,1)-1,0)</f>
        <v>0</v>
      </c>
      <c r="BA928" s="80">
        <f>IF(AY928=1,COUNTIFS(R_Emp,"&lt;&gt;"&amp;D928,R_SAbs,"&lt;"&amp;AX928,R_EAbs,"&gt;"&amp;AW928,R_OKey,1),0)</f>
        <v>0</v>
      </c>
      <c r="BB928" s="80">
        <f>IF(AND(AB928=1,D928="proMX"),IF(AND(MOD(Z928,CFG_BLK)=0,MOD(AA928,CFG_BLK)=0,MOD(AG928,CFG_BLK)=0,AG928&gt;0),1,0),1)</f>
        <v>1</v>
      </c>
      <c r="BC928" s="80" t="str">
        <f>IF(Y928=0,"",IF(NOT(ISNUMBER(B928)),"Falta fecha o fecha inválida",IF(D928="","Falta empresa",IF(AND(D928&lt;&gt;"Malcolm",D928&lt;&gt;"proMX"),"Empresa inválida",IF(OR(INT(B928)&lt;CFG_PSTART,INT(B928)&gt;CFG_PEND),"Fecha fuera del período",IF(OR(NOT(ISNUMBER(Z928)),NOT(ISNUMBER(AA928))),"Falta hora inicio/fin o formato inválido",IF(AB928=0,"Hora inicio = hora fin",IF(AE928&lt;0,"Descanso inválido",IF(AE928&gt;=AD928,"Descanso ≥ duración",IF(AV928=1,"Registro duplicado",IF(AZ928&gt;0,"Se superpone con otro registro "&amp;D928,IF(BB928=0,"inicio, fin y duración neta deben ser múltiplos de "&amp;CFG_BLK&amp;" min",""))))))))))))</f>
        <v/>
      </c>
      <c r="BD928" s="80">
        <f>IF(AND(Y928=1,BC928=""),1,0)</f>
        <v>0</v>
      </c>
      <c r="BE928" s="80">
        <f>IF(AND(BD928=1,AU928=1),1,0)</f>
        <v>0</v>
      </c>
      <c r="BF928" s="80" t="str">
        <f>IF(AND(D928="proMX",BD928=1),IF(R928="","Draft",R928),"")</f>
        <v/>
      </c>
      <c r="BG928" s="80">
        <f>IF(BD928=1,ROUND(AG928/60,6),0)</f>
        <v>0</v>
      </c>
      <c r="BH928" s="80">
        <f>IF(BE928=1,ROUND(AG928/60,6),0)</f>
        <v>0</v>
      </c>
      <c r="BI928" s="80">
        <f>IF(BE928=1,ROUND(AP928/60,6),0)</f>
        <v>0</v>
      </c>
      <c r="BJ928" s="80">
        <f>IF(BE928=1,ROUND(AQ928/60,6),0)</f>
        <v>0</v>
      </c>
      <c r="BK928" s="80">
        <f>IF(BE928=1,ROUND((AR928+AS928)/60,6),0)</f>
        <v>0</v>
      </c>
      <c r="BL928" s="80">
        <f>ROUND(BH928-BK928,6)</f>
        <v>0</v>
      </c>
      <c r="BM928" s="80">
        <f>IF(BE928=1,ROUND(AR928/60,6),0)</f>
        <v>0</v>
      </c>
      <c r="BN928" s="80">
        <f>ROUND(BI928-BM928,6)</f>
        <v>0</v>
      </c>
      <c r="BO928" s="80">
        <f>IF(BE928=1,ROUND(AS928/60,6),0)</f>
        <v>0</v>
      </c>
      <c r="BP928" s="80">
        <f>ROUND(BJ928-BO928,6)</f>
        <v>0</v>
      </c>
      <c r="BQ928" s="80">
        <f>IF(BE928=1,AW928,0)</f>
        <v>0</v>
      </c>
      <c r="BR928" s="80">
        <f>IF(BE928=1,AX928,0)</f>
        <v>0</v>
      </c>
      <c r="BS928" s="80">
        <f>IF(AND(BE928=1,D928="Malcolm",BA928&gt;0),MIN(BH928,SUMPRODUCT((R_Emp="proMX")*(R_EN&gt;0)*((R_EN-(R_EN&gt;BR928)*(R_EN-BR928))&gt;(R_SN+(R_SN&lt;BQ928)*(BQ928-R_SN)))*((R_EN-(R_EN&gt;BR928)*(R_EN-BR928))-(R_SN+(R_SN&lt;BQ928)*(BQ928-R_SN))))/60),0)</f>
        <v>0</v>
      </c>
      <c r="BT928" s="80">
        <f>IF(AND(BE928=1,D928="proMX"),ROUND(BI928*CFG_RATE+BJ928*CFG_OTRATE,6),0)</f>
        <v>0</v>
      </c>
      <c r="BU928" s="80">
        <f>IF(AND(BD928=1,D928="proMX"),ROUND(AG928/CFG_BLK,6),0)</f>
        <v>0</v>
      </c>
      <c r="BV928" s="80" t="str">
        <f>IF(BF928="Approved",IF(ISNUMBER(T928),INT(T928),INT(B928)),"")</f>
        <v/>
      </c>
      <c r="BW928" s="80">
        <f>IF(ISNUMBER(B928),IF(DB_MON="Todos",1,IF(AND(INT(B928)&gt;=DB_MS,INT(B928)&lt;=DB_ME),1,0)),0)</f>
        <v>0</v>
      </c>
      <c r="BX928" s="80">
        <f>IF(DB_PROJ="Todos",1,IF(E928&amp;""=DB_PROJ&amp;"",1,0))</f>
        <v>1</v>
      </c>
      <c r="BY928" s="80">
        <f>BW928*BX928</f>
        <v>0</v>
      </c>
      <c r="BZ928" s="80" t="str">
        <f>IF(Y928=1,F928&amp;IF(AND(F928&amp;""&lt;&gt;"",E928&amp;""&lt;&gt;"")," · ","")&amp;E928,"")</f>
        <v/>
      </c>
      <c r="CA928" s="80" t="str">
        <f>IF(AND(BD928=1,E928&amp;""&lt;&gt;""),IF(COUNTIFS($E$5:E927,E928,$BD$5:BD927,1)=0,MAX($CA$5:CA927)+1,""),"")</f>
        <v/>
      </c>
      <c r="CB928" s="80" t="str">
        <f>IF(AND(BE928=1,D928="Malcolm",E928&amp;""&lt;&gt;""),IF(COUNTIFS($D$5:D927,"Malcolm",$E$5:E927,E928,$BE$5:BE927,1)=0,MAX($CB$5:CB927)+1,""),"")</f>
        <v/>
      </c>
      <c r="CC928" s="80" t="str">
        <f>IF(AND(BD928=1,D928="proMX",E928&amp;""&lt;&gt;""),IF(COUNTIFS($D$5:D927,"proMX",$E$5:E927,E928,$BD$5:BD927,1)=0,MAX($CC$5:CC927)+1,""),"")</f>
        <v/>
      </c>
      <c r="CD928" s="80" t="str">
        <f>IF(AND(BE928=1,D928="Malcolm",F928&amp;""&lt;&gt;""),IF(COUNTIFS($D$5:D927,"Malcolm",$F$5:F927,F928,$BE$5:BE927,1)=0,MAX($CD$5:CD927)+1,""),"")</f>
        <v/>
      </c>
      <c r="CE928" s="80" t="str">
        <f>IF(AND(BD928=1,D928="proMX",F928&amp;""&lt;&gt;""),IF(COUNTIFS($D$5:D927,"proMX",$F$5:F927,F928,$BD$5:BD927,1)=0,MAX($CE$5:CE927)+1,""),"")</f>
        <v/>
      </c>
      <c r="CF928" s="80" t="str">
        <f>IF(AND(D928="proMX",BD928=1),IF(OR(BF928="Draft",BF928="Submitted",BF928="Returned",BF928="Recall Requested"),MAX($CF$5:CF927)+1,""),"")</f>
        <v/>
      </c>
      <c r="CG928" s="80">
        <f>IF(BD928=0,0,IF(D928="Malcolm",1,MATCH(BF928,{"Draft","Submitted","Approved","Returned","Recall Requested","Cancelled"},0)+1))</f>
        <v>0</v>
      </c>
      <c r="CH928" s="80">
        <f>IF(AND(BF928="Submitted",ISNUMBER(V928)),IF(V928&gt;CFG_MAXD,1,0),0)</f>
        <v>0</v>
      </c>
    </row>
    <row r="929">
      <c r="A929" s="71" t="str">
        <f>IF(Y929=1,ROW()-5,"")</f>
        <v/>
      </c>
      <c r="B929" s="72" t="n"/>
      <c r="C929" s="71" t="str">
        <f>IF(ISNUMBER(B929),CHOOSE(WEEKDAY(B929,2),"Lun","Mar","Mié","Jue","Vie","Sáb","Dom"),"")</f>
        <v/>
      </c>
      <c r="D929" s="73" t="n"/>
      <c r="E929" s="74" t="n"/>
      <c r="F929" s="74" t="n"/>
      <c r="G929" s="74" t="n"/>
      <c r="H929" s="75" t="n"/>
      <c r="I929" s="75" t="n"/>
      <c r="J929" s="76" t="n"/>
      <c r="K929" s="77" t="str">
        <f>IF(AB929=1,ROUND(AG929/60,4),"")</f>
        <v/>
      </c>
      <c r="L929" s="77" t="str">
        <f>IF(BD929=1,ROUND(AP929/60,4),"")</f>
        <v/>
      </c>
      <c r="M929" s="77" t="str">
        <f>IF(BD929=1,ROUND(AQ929/60,4),"")</f>
        <v/>
      </c>
      <c r="N929" s="71" t="str">
        <f>IF(AND(D929="proMX",AB929=1),ROUND(AG929/CFG_BLK,2),"")</f>
        <v/>
      </c>
      <c r="O929" s="77" t="str">
        <f>IF(D929="proMX",IF(BD929=1,ROUND(AG929/60,4),0),"")</f>
        <v/>
      </c>
      <c r="P929" s="78" t="str">
        <f>IF(Y929=0,"",IF(BD929=1,"OK",IF(D929="proMX","Revisar bloques: ","Revisar: ")&amp;BC929))</f>
        <v/>
      </c>
      <c r="Q929" s="78" t="str">
        <f>IF(NOT(ISNUMBER(B929)),"",IF(COUNTIFS(FER_F,INT(B929))&gt;0,"Feriado"&amp;IF(AH929=1," (laborable)"," (no laborable)"),IF(AH929=1,"Laborable",IF(WEEKDAY(B929,2)&gt;5,"Fin de semana","No laborable"))))</f>
        <v/>
      </c>
      <c r="R929" s="73" t="n"/>
      <c r="S929" s="72" t="n"/>
      <c r="T929" s="72" t="n"/>
      <c r="U929" s="74" t="n"/>
      <c r="V929" s="79" t="str">
        <f>IF(AND(D929="proMX",OR(R929="Submitted",R929="Recall Requested"),ISNUMBER(S929)),CFG_TODAY-INT(S929),"")</f>
        <v/>
      </c>
      <c r="W929" s="78" t="str">
        <f>IF(BD929=0,"",IF(BA929&gt;0,"⚠ Se superpone con un registro de la otra empresa",IF(D929="Malcolm",IF(COUNTA(R929,S929,T929)&gt;0,"Estado/fechas proMX se ignoran en Malcolm",""),IF(BF929="Cancelled","Cancelado: excluido de totales",IF(R929="","Sin estado: se trata como Draft",IF(BF929="Submitted",IF(ISNUMBER(V929),IF(V929&gt;CFG_MAXD,"⚠ "&amp;V929&amp;" días en Submitted (máx. "&amp;CFG_MAXD&amp;")",""),"Falta fecha de envío"),IF(BF929="Returned","⚠ Devuelto: corregir y reenviar",IF(BF929="Recall Requested","Retirada solicitada: pendiente",IF(AND(BF929="Approved",NOT(ISNUMBER(T929))),"Falta fecha de aprobación",IF(AND(ISNUMBER(S929),ISNUMBER(T929),T929&lt;S929),"Aprobación anterior al envío","")))))))))</f>
        <v/>
      </c>
      <c r="Y929" s="80">
        <f>IF(COUNTA(B929,D929,E929,F929,G929,H929,I929,J929,R929,S929,T929)&gt;0,1,0)</f>
        <v>0</v>
      </c>
      <c r="Z929" s="80" t="str">
        <f>IF(AND(ISNUMBER(H929),H929&gt;=0,H929&lt;1),ROUND(H929*1440,0),"")</f>
        <v/>
      </c>
      <c r="AA929" s="80" t="str">
        <f>IF(AND(ISNUMBER(I929),I929&gt;=0,I929&lt;1),ROUND(I929*1440,0),"")</f>
        <v/>
      </c>
      <c r="AB929" s="80">
        <f>IF(AND(ISNUMBER(B929),D929&lt;&gt;"",ISNUMBER(Z929),ISNUMBER(AA929)),IF(Z929=AA929,0,1),0)</f>
        <v>0</v>
      </c>
      <c r="AC929" s="80">
        <f>IF(AB929=1,IF(AA929&lt;Z929,1,0),0)</f>
        <v>0</v>
      </c>
      <c r="AD929" s="80">
        <f>IF(AB929=1,IF(AC929=1,1440-Z929+AA929,AA929-Z929),0)</f>
        <v>0</v>
      </c>
      <c r="AE929" s="80">
        <f>IF(J929="",0,IF(ISNUMBER(J929),J929,-1))</f>
        <v>0</v>
      </c>
      <c r="AF929" s="80">
        <f>MIN(MAX(0,AE929),AD929)</f>
        <v>0</v>
      </c>
      <c r="AG929" s="80">
        <f>MAX(0,AD929-MAX(0,AE929))</f>
        <v>0</v>
      </c>
      <c r="AH929" s="80">
        <f>IF(ISNUMBER(B929),IF(AND(INDEX(CFG_WDAYS,WEEKDAY(INT(B929),2))="Sí",IF(D929="proMX",COUNTIFS(FER_F,INT(B929),FER_NLP,"Sí"),COUNTIFS(FER_F,INT(B929),FER_NLM,"Sí"))=0),1,0),0)</f>
        <v>0</v>
      </c>
      <c r="AI929" s="80">
        <f>IF(AC929=1,IF(AND(INDEX(CFG_WDAYS,WEEKDAY(INT(B929)+1,2))="Sí",IF(D929="proMX",COUNTIFS(FER_F,INT(B929)+1,FER_NLP,"Sí"),COUNTIFS(FER_F,INT(B929)+1,FER_NLM,"Sí"))=0),1,0),0)</f>
        <v>0</v>
      </c>
      <c r="AJ929" s="80">
        <f>IF(AC929=1,1440-Z929,AD929)</f>
        <v>0</v>
      </c>
      <c r="AK929" s="80">
        <f>IF(AND(AB929=1,AH929=1),MAX(0,MIN(IF(AC929=1,1440,AA929),CFG_WEM)-MAX(Z929,CFG_WSM)),0)</f>
        <v>0</v>
      </c>
      <c r="AL929" s="80">
        <f>IF(AND(AC929=1,AI929=1),MAX(0,MIN(AA929,CFG_WEM)-CFG_WSM),0)</f>
        <v>0</v>
      </c>
      <c r="AM929" s="80">
        <f>AK929+AL929</f>
        <v>0</v>
      </c>
      <c r="AN929" s="80">
        <f>IF(CFG_BRK="Proporcional",IF(AD929=0,0,AF929*AM929/AD929),IF(CFG_BRK="Extras primero",MIN(AM929,MAX(0,AF929-(AD929-AM929))),MIN(AF929,AM929)))</f>
        <v>0</v>
      </c>
      <c r="AO929" s="80">
        <f>AF929-AN929</f>
        <v>0</v>
      </c>
      <c r="AP929" s="80">
        <f>AM929-AN929</f>
        <v>0</v>
      </c>
      <c r="AQ929" s="80">
        <f>AD929-AM929-AO929</f>
        <v>0</v>
      </c>
      <c r="AR929" s="80">
        <f>IF(AM929=0,0,AK929-AN929*AK929/AM929)</f>
        <v>0</v>
      </c>
      <c r="AS929" s="80">
        <f>IF(AD929-AM929=0,0,(AJ929-AK929)-AO929*(AJ929-AK929)/(AD929-AM929))</f>
        <v>0</v>
      </c>
      <c r="AT929" s="80" t="str">
        <f>IF(AC929=1,INT(B929)+1,"")</f>
        <v/>
      </c>
      <c r="AU929" s="80">
        <f>IF(AND(D929="proMX",R929="Cancelled"),0,1)</f>
        <v>1</v>
      </c>
      <c r="AV929" s="80">
        <f>IF(AND(AB929=1,AU929=1),IF(COUNTIFS($D$5:D928,D929,$B$5:B928,B929,$Z$5:Z928,Z929,$AA$5:AA928,AA929,$F$5:F928,F929&amp;"",$AU$5:AU928,1)&gt;0,1,0),0)</f>
        <v>0</v>
      </c>
      <c r="AW929" s="80" t="str">
        <f>IF(AB929=1,INT(B929)*1440+Z929,"")</f>
        <v/>
      </c>
      <c r="AX929" s="80" t="str">
        <f>IF(AB929=1,AW929+AD929,"")</f>
        <v/>
      </c>
      <c r="AY929" s="80">
        <f>IF(AND(AB929=1,AV929=0,AU929=1),1,0)</f>
        <v>0</v>
      </c>
      <c r="AZ929" s="80">
        <f>IF(AY929=1,COUNTIFS(R_Emp,D929,R_SAbs,"&lt;"&amp;AX929,R_EAbs,"&gt;"&amp;AW929,R_OKey,1)-1,0)</f>
        <v>0</v>
      </c>
      <c r="BA929" s="80">
        <f>IF(AY929=1,COUNTIFS(R_Emp,"&lt;&gt;"&amp;D929,R_SAbs,"&lt;"&amp;AX929,R_EAbs,"&gt;"&amp;AW929,R_OKey,1),0)</f>
        <v>0</v>
      </c>
      <c r="BB929" s="80">
        <f>IF(AND(AB929=1,D929="proMX"),IF(AND(MOD(Z929,CFG_BLK)=0,MOD(AA929,CFG_BLK)=0,MOD(AG929,CFG_BLK)=0,AG929&gt;0),1,0),1)</f>
        <v>1</v>
      </c>
      <c r="BC929" s="80" t="str">
        <f>IF(Y929=0,"",IF(NOT(ISNUMBER(B929)),"Falta fecha o fecha inválida",IF(D929="","Falta empresa",IF(AND(D929&lt;&gt;"Malcolm",D929&lt;&gt;"proMX"),"Empresa inválida",IF(OR(INT(B929)&lt;CFG_PSTART,INT(B929)&gt;CFG_PEND),"Fecha fuera del período",IF(OR(NOT(ISNUMBER(Z929)),NOT(ISNUMBER(AA929))),"Falta hora inicio/fin o formato inválido",IF(AB929=0,"Hora inicio = hora fin",IF(AE929&lt;0,"Descanso inválido",IF(AE929&gt;=AD929,"Descanso ≥ duración",IF(AV929=1,"Registro duplicado",IF(AZ929&gt;0,"Se superpone con otro registro "&amp;D929,IF(BB929=0,"inicio, fin y duración neta deben ser múltiplos de "&amp;CFG_BLK&amp;" min",""))))))))))))</f>
        <v/>
      </c>
      <c r="BD929" s="80">
        <f>IF(AND(Y929=1,BC929=""),1,0)</f>
        <v>0</v>
      </c>
      <c r="BE929" s="80">
        <f>IF(AND(BD929=1,AU929=1),1,0)</f>
        <v>0</v>
      </c>
      <c r="BF929" s="80" t="str">
        <f>IF(AND(D929="proMX",BD929=1),IF(R929="","Draft",R929),"")</f>
        <v/>
      </c>
      <c r="BG929" s="80">
        <f>IF(BD929=1,ROUND(AG929/60,6),0)</f>
        <v>0</v>
      </c>
      <c r="BH929" s="80">
        <f>IF(BE929=1,ROUND(AG929/60,6),0)</f>
        <v>0</v>
      </c>
      <c r="BI929" s="80">
        <f>IF(BE929=1,ROUND(AP929/60,6),0)</f>
        <v>0</v>
      </c>
      <c r="BJ929" s="80">
        <f>IF(BE929=1,ROUND(AQ929/60,6),0)</f>
        <v>0</v>
      </c>
      <c r="BK929" s="80">
        <f>IF(BE929=1,ROUND((AR929+AS929)/60,6),0)</f>
        <v>0</v>
      </c>
      <c r="BL929" s="80">
        <f>ROUND(BH929-BK929,6)</f>
        <v>0</v>
      </c>
      <c r="BM929" s="80">
        <f>IF(BE929=1,ROUND(AR929/60,6),0)</f>
        <v>0</v>
      </c>
      <c r="BN929" s="80">
        <f>ROUND(BI929-BM929,6)</f>
        <v>0</v>
      </c>
      <c r="BO929" s="80">
        <f>IF(BE929=1,ROUND(AS929/60,6),0)</f>
        <v>0</v>
      </c>
      <c r="BP929" s="80">
        <f>ROUND(BJ929-BO929,6)</f>
        <v>0</v>
      </c>
      <c r="BQ929" s="80">
        <f>IF(BE929=1,AW929,0)</f>
        <v>0</v>
      </c>
      <c r="BR929" s="80">
        <f>IF(BE929=1,AX929,0)</f>
        <v>0</v>
      </c>
      <c r="BS929" s="80">
        <f>IF(AND(BE929=1,D929="Malcolm",BA929&gt;0),MIN(BH929,SUMPRODUCT((R_Emp="proMX")*(R_EN&gt;0)*((R_EN-(R_EN&gt;BR929)*(R_EN-BR929))&gt;(R_SN+(R_SN&lt;BQ929)*(BQ929-R_SN)))*((R_EN-(R_EN&gt;BR929)*(R_EN-BR929))-(R_SN+(R_SN&lt;BQ929)*(BQ929-R_SN))))/60),0)</f>
        <v>0</v>
      </c>
      <c r="BT929" s="80">
        <f>IF(AND(BE929=1,D929="proMX"),ROUND(BI929*CFG_RATE+BJ929*CFG_OTRATE,6),0)</f>
        <v>0</v>
      </c>
      <c r="BU929" s="80">
        <f>IF(AND(BD929=1,D929="proMX"),ROUND(AG929/CFG_BLK,6),0)</f>
        <v>0</v>
      </c>
      <c r="BV929" s="80" t="str">
        <f>IF(BF929="Approved",IF(ISNUMBER(T929),INT(T929),INT(B929)),"")</f>
        <v/>
      </c>
      <c r="BW929" s="80">
        <f>IF(ISNUMBER(B929),IF(DB_MON="Todos",1,IF(AND(INT(B929)&gt;=DB_MS,INT(B929)&lt;=DB_ME),1,0)),0)</f>
        <v>0</v>
      </c>
      <c r="BX929" s="80">
        <f>IF(DB_PROJ="Todos",1,IF(E929&amp;""=DB_PROJ&amp;"",1,0))</f>
        <v>1</v>
      </c>
      <c r="BY929" s="80">
        <f>BW929*BX929</f>
        <v>0</v>
      </c>
      <c r="BZ929" s="80" t="str">
        <f>IF(Y929=1,F929&amp;IF(AND(F929&amp;""&lt;&gt;"",E929&amp;""&lt;&gt;"")," · ","")&amp;E929,"")</f>
        <v/>
      </c>
      <c r="CA929" s="80" t="str">
        <f>IF(AND(BD929=1,E929&amp;""&lt;&gt;""),IF(COUNTIFS($E$5:E928,E929,$BD$5:BD928,1)=0,MAX($CA$5:CA928)+1,""),"")</f>
        <v/>
      </c>
      <c r="CB929" s="80" t="str">
        <f>IF(AND(BE929=1,D929="Malcolm",E929&amp;""&lt;&gt;""),IF(COUNTIFS($D$5:D928,"Malcolm",$E$5:E928,E929,$BE$5:BE928,1)=0,MAX($CB$5:CB928)+1,""),"")</f>
        <v/>
      </c>
      <c r="CC929" s="80" t="str">
        <f>IF(AND(BD929=1,D929="proMX",E929&amp;""&lt;&gt;""),IF(COUNTIFS($D$5:D928,"proMX",$E$5:E928,E929,$BD$5:BD928,1)=0,MAX($CC$5:CC928)+1,""),"")</f>
        <v/>
      </c>
      <c r="CD929" s="80" t="str">
        <f>IF(AND(BE929=1,D929="Malcolm",F929&amp;""&lt;&gt;""),IF(COUNTIFS($D$5:D928,"Malcolm",$F$5:F928,F929,$BE$5:BE928,1)=0,MAX($CD$5:CD928)+1,""),"")</f>
        <v/>
      </c>
      <c r="CE929" s="80" t="str">
        <f>IF(AND(BD929=1,D929="proMX",F929&amp;""&lt;&gt;""),IF(COUNTIFS($D$5:D928,"proMX",$F$5:F928,F929,$BD$5:BD928,1)=0,MAX($CE$5:CE928)+1,""),"")</f>
        <v/>
      </c>
      <c r="CF929" s="80" t="str">
        <f>IF(AND(D929="proMX",BD929=1),IF(OR(BF929="Draft",BF929="Submitted",BF929="Returned",BF929="Recall Requested"),MAX($CF$5:CF928)+1,""),"")</f>
        <v/>
      </c>
      <c r="CG929" s="80">
        <f>IF(BD929=0,0,IF(D929="Malcolm",1,MATCH(BF929,{"Draft","Submitted","Approved","Returned","Recall Requested","Cancelled"},0)+1))</f>
        <v>0</v>
      </c>
      <c r="CH929" s="80">
        <f>IF(AND(BF929="Submitted",ISNUMBER(V929)),IF(V929&gt;CFG_MAXD,1,0),0)</f>
        <v>0</v>
      </c>
    </row>
    <row r="930">
      <c r="A930" s="71" t="str">
        <f>IF(Y930=1,ROW()-5,"")</f>
        <v/>
      </c>
      <c r="B930" s="72" t="n"/>
      <c r="C930" s="71" t="str">
        <f>IF(ISNUMBER(B930),CHOOSE(WEEKDAY(B930,2),"Lun","Mar","Mié","Jue","Vie","Sáb","Dom"),"")</f>
        <v/>
      </c>
      <c r="D930" s="73" t="n"/>
      <c r="E930" s="74" t="n"/>
      <c r="F930" s="74" t="n"/>
      <c r="G930" s="74" t="n"/>
      <c r="H930" s="75" t="n"/>
      <c r="I930" s="75" t="n"/>
      <c r="J930" s="76" t="n"/>
      <c r="K930" s="77" t="str">
        <f>IF(AB930=1,ROUND(AG930/60,4),"")</f>
        <v/>
      </c>
      <c r="L930" s="77" t="str">
        <f>IF(BD930=1,ROUND(AP930/60,4),"")</f>
        <v/>
      </c>
      <c r="M930" s="77" t="str">
        <f>IF(BD930=1,ROUND(AQ930/60,4),"")</f>
        <v/>
      </c>
      <c r="N930" s="71" t="str">
        <f>IF(AND(D930="proMX",AB930=1),ROUND(AG930/CFG_BLK,2),"")</f>
        <v/>
      </c>
      <c r="O930" s="77" t="str">
        <f>IF(D930="proMX",IF(BD930=1,ROUND(AG930/60,4),0),"")</f>
        <v/>
      </c>
      <c r="P930" s="78" t="str">
        <f>IF(Y930=0,"",IF(BD930=1,"OK",IF(D930="proMX","Revisar bloques: ","Revisar: ")&amp;BC930))</f>
        <v/>
      </c>
      <c r="Q930" s="78" t="str">
        <f>IF(NOT(ISNUMBER(B930)),"",IF(COUNTIFS(FER_F,INT(B930))&gt;0,"Feriado"&amp;IF(AH930=1," (laborable)"," (no laborable)"),IF(AH930=1,"Laborable",IF(WEEKDAY(B930,2)&gt;5,"Fin de semana","No laborable"))))</f>
        <v/>
      </c>
      <c r="R930" s="73" t="n"/>
      <c r="S930" s="72" t="n"/>
      <c r="T930" s="72" t="n"/>
      <c r="U930" s="74" t="n"/>
      <c r="V930" s="79" t="str">
        <f>IF(AND(D930="proMX",OR(R930="Submitted",R930="Recall Requested"),ISNUMBER(S930)),CFG_TODAY-INT(S930),"")</f>
        <v/>
      </c>
      <c r="W930" s="78" t="str">
        <f>IF(BD930=0,"",IF(BA930&gt;0,"⚠ Se superpone con un registro de la otra empresa",IF(D930="Malcolm",IF(COUNTA(R930,S930,T930)&gt;0,"Estado/fechas proMX se ignoran en Malcolm",""),IF(BF930="Cancelled","Cancelado: excluido de totales",IF(R930="","Sin estado: se trata como Draft",IF(BF930="Submitted",IF(ISNUMBER(V930),IF(V930&gt;CFG_MAXD,"⚠ "&amp;V930&amp;" días en Submitted (máx. "&amp;CFG_MAXD&amp;")",""),"Falta fecha de envío"),IF(BF930="Returned","⚠ Devuelto: corregir y reenviar",IF(BF930="Recall Requested","Retirada solicitada: pendiente",IF(AND(BF930="Approved",NOT(ISNUMBER(T930))),"Falta fecha de aprobación",IF(AND(ISNUMBER(S930),ISNUMBER(T930),T930&lt;S930),"Aprobación anterior al envío","")))))))))</f>
        <v/>
      </c>
      <c r="Y930" s="80">
        <f>IF(COUNTA(B930,D930,E930,F930,G930,H930,I930,J930,R930,S930,T930)&gt;0,1,0)</f>
        <v>0</v>
      </c>
      <c r="Z930" s="80" t="str">
        <f>IF(AND(ISNUMBER(H930),H930&gt;=0,H930&lt;1),ROUND(H930*1440,0),"")</f>
        <v/>
      </c>
      <c r="AA930" s="80" t="str">
        <f>IF(AND(ISNUMBER(I930),I930&gt;=0,I930&lt;1),ROUND(I930*1440,0),"")</f>
        <v/>
      </c>
      <c r="AB930" s="80">
        <f>IF(AND(ISNUMBER(B930),D930&lt;&gt;"",ISNUMBER(Z930),ISNUMBER(AA930)),IF(Z930=AA930,0,1),0)</f>
        <v>0</v>
      </c>
      <c r="AC930" s="80">
        <f>IF(AB930=1,IF(AA930&lt;Z930,1,0),0)</f>
        <v>0</v>
      </c>
      <c r="AD930" s="80">
        <f>IF(AB930=1,IF(AC930=1,1440-Z930+AA930,AA930-Z930),0)</f>
        <v>0</v>
      </c>
      <c r="AE930" s="80">
        <f>IF(J930="",0,IF(ISNUMBER(J930),J930,-1))</f>
        <v>0</v>
      </c>
      <c r="AF930" s="80">
        <f>MIN(MAX(0,AE930),AD930)</f>
        <v>0</v>
      </c>
      <c r="AG930" s="80">
        <f>MAX(0,AD930-MAX(0,AE930))</f>
        <v>0</v>
      </c>
      <c r="AH930" s="80">
        <f>IF(ISNUMBER(B930),IF(AND(INDEX(CFG_WDAYS,WEEKDAY(INT(B930),2))="Sí",IF(D930="proMX",COUNTIFS(FER_F,INT(B930),FER_NLP,"Sí"),COUNTIFS(FER_F,INT(B930),FER_NLM,"Sí"))=0),1,0),0)</f>
        <v>0</v>
      </c>
      <c r="AI930" s="80">
        <f>IF(AC930=1,IF(AND(INDEX(CFG_WDAYS,WEEKDAY(INT(B930)+1,2))="Sí",IF(D930="proMX",COUNTIFS(FER_F,INT(B930)+1,FER_NLP,"Sí"),COUNTIFS(FER_F,INT(B930)+1,FER_NLM,"Sí"))=0),1,0),0)</f>
        <v>0</v>
      </c>
      <c r="AJ930" s="80">
        <f>IF(AC930=1,1440-Z930,AD930)</f>
        <v>0</v>
      </c>
      <c r="AK930" s="80">
        <f>IF(AND(AB930=1,AH930=1),MAX(0,MIN(IF(AC930=1,1440,AA930),CFG_WEM)-MAX(Z930,CFG_WSM)),0)</f>
        <v>0</v>
      </c>
      <c r="AL930" s="80">
        <f>IF(AND(AC930=1,AI930=1),MAX(0,MIN(AA930,CFG_WEM)-CFG_WSM),0)</f>
        <v>0</v>
      </c>
      <c r="AM930" s="80">
        <f>AK930+AL930</f>
        <v>0</v>
      </c>
      <c r="AN930" s="80">
        <f>IF(CFG_BRK="Proporcional",IF(AD930=0,0,AF930*AM930/AD930),IF(CFG_BRK="Extras primero",MIN(AM930,MAX(0,AF930-(AD930-AM930))),MIN(AF930,AM930)))</f>
        <v>0</v>
      </c>
      <c r="AO930" s="80">
        <f>AF930-AN930</f>
        <v>0</v>
      </c>
      <c r="AP930" s="80">
        <f>AM930-AN930</f>
        <v>0</v>
      </c>
      <c r="AQ930" s="80">
        <f>AD930-AM930-AO930</f>
        <v>0</v>
      </c>
      <c r="AR930" s="80">
        <f>IF(AM930=0,0,AK930-AN930*AK930/AM930)</f>
        <v>0</v>
      </c>
      <c r="AS930" s="80">
        <f>IF(AD930-AM930=0,0,(AJ930-AK930)-AO930*(AJ930-AK930)/(AD930-AM930))</f>
        <v>0</v>
      </c>
      <c r="AT930" s="80" t="str">
        <f>IF(AC930=1,INT(B930)+1,"")</f>
        <v/>
      </c>
      <c r="AU930" s="80">
        <f>IF(AND(D930="proMX",R930="Cancelled"),0,1)</f>
        <v>1</v>
      </c>
      <c r="AV930" s="80">
        <f>IF(AND(AB930=1,AU930=1),IF(COUNTIFS($D$5:D929,D930,$B$5:B929,B930,$Z$5:Z929,Z930,$AA$5:AA929,AA930,$F$5:F929,F930&amp;"",$AU$5:AU929,1)&gt;0,1,0),0)</f>
        <v>0</v>
      </c>
      <c r="AW930" s="80" t="str">
        <f>IF(AB930=1,INT(B930)*1440+Z930,"")</f>
        <v/>
      </c>
      <c r="AX930" s="80" t="str">
        <f>IF(AB930=1,AW930+AD930,"")</f>
        <v/>
      </c>
      <c r="AY930" s="80">
        <f>IF(AND(AB930=1,AV930=0,AU930=1),1,0)</f>
        <v>0</v>
      </c>
      <c r="AZ930" s="80">
        <f>IF(AY930=1,COUNTIFS(R_Emp,D930,R_SAbs,"&lt;"&amp;AX930,R_EAbs,"&gt;"&amp;AW930,R_OKey,1)-1,0)</f>
        <v>0</v>
      </c>
      <c r="BA930" s="80">
        <f>IF(AY930=1,COUNTIFS(R_Emp,"&lt;&gt;"&amp;D930,R_SAbs,"&lt;"&amp;AX930,R_EAbs,"&gt;"&amp;AW930,R_OKey,1),0)</f>
        <v>0</v>
      </c>
      <c r="BB930" s="80">
        <f>IF(AND(AB930=1,D930="proMX"),IF(AND(MOD(Z930,CFG_BLK)=0,MOD(AA930,CFG_BLK)=0,MOD(AG930,CFG_BLK)=0,AG930&gt;0),1,0),1)</f>
        <v>1</v>
      </c>
      <c r="BC930" s="80" t="str">
        <f>IF(Y930=0,"",IF(NOT(ISNUMBER(B930)),"Falta fecha o fecha inválida",IF(D930="","Falta empresa",IF(AND(D930&lt;&gt;"Malcolm",D930&lt;&gt;"proMX"),"Empresa inválida",IF(OR(INT(B930)&lt;CFG_PSTART,INT(B930)&gt;CFG_PEND),"Fecha fuera del período",IF(OR(NOT(ISNUMBER(Z930)),NOT(ISNUMBER(AA930))),"Falta hora inicio/fin o formato inválido",IF(AB930=0,"Hora inicio = hora fin",IF(AE930&lt;0,"Descanso inválido",IF(AE930&gt;=AD930,"Descanso ≥ duración",IF(AV930=1,"Registro duplicado",IF(AZ930&gt;0,"Se superpone con otro registro "&amp;D930,IF(BB930=0,"inicio, fin y duración neta deben ser múltiplos de "&amp;CFG_BLK&amp;" min",""))))))))))))</f>
        <v/>
      </c>
      <c r="BD930" s="80">
        <f>IF(AND(Y930=1,BC930=""),1,0)</f>
        <v>0</v>
      </c>
      <c r="BE930" s="80">
        <f>IF(AND(BD930=1,AU930=1),1,0)</f>
        <v>0</v>
      </c>
      <c r="BF930" s="80" t="str">
        <f>IF(AND(D930="proMX",BD930=1),IF(R930="","Draft",R930),"")</f>
        <v/>
      </c>
      <c r="BG930" s="80">
        <f>IF(BD930=1,ROUND(AG930/60,6),0)</f>
        <v>0</v>
      </c>
      <c r="BH930" s="80">
        <f>IF(BE930=1,ROUND(AG930/60,6),0)</f>
        <v>0</v>
      </c>
      <c r="BI930" s="80">
        <f>IF(BE930=1,ROUND(AP930/60,6),0)</f>
        <v>0</v>
      </c>
      <c r="BJ930" s="80">
        <f>IF(BE930=1,ROUND(AQ930/60,6),0)</f>
        <v>0</v>
      </c>
      <c r="BK930" s="80">
        <f>IF(BE930=1,ROUND((AR930+AS930)/60,6),0)</f>
        <v>0</v>
      </c>
      <c r="BL930" s="80">
        <f>ROUND(BH930-BK930,6)</f>
        <v>0</v>
      </c>
      <c r="BM930" s="80">
        <f>IF(BE930=1,ROUND(AR930/60,6),0)</f>
        <v>0</v>
      </c>
      <c r="BN930" s="80">
        <f>ROUND(BI930-BM930,6)</f>
        <v>0</v>
      </c>
      <c r="BO930" s="80">
        <f>IF(BE930=1,ROUND(AS930/60,6),0)</f>
        <v>0</v>
      </c>
      <c r="BP930" s="80">
        <f>ROUND(BJ930-BO930,6)</f>
        <v>0</v>
      </c>
      <c r="BQ930" s="80">
        <f>IF(BE930=1,AW930,0)</f>
        <v>0</v>
      </c>
      <c r="BR930" s="80">
        <f>IF(BE930=1,AX930,0)</f>
        <v>0</v>
      </c>
      <c r="BS930" s="80">
        <f>IF(AND(BE930=1,D930="Malcolm",BA930&gt;0),MIN(BH930,SUMPRODUCT((R_Emp="proMX")*(R_EN&gt;0)*((R_EN-(R_EN&gt;BR930)*(R_EN-BR930))&gt;(R_SN+(R_SN&lt;BQ930)*(BQ930-R_SN)))*((R_EN-(R_EN&gt;BR930)*(R_EN-BR930))-(R_SN+(R_SN&lt;BQ930)*(BQ930-R_SN))))/60),0)</f>
        <v>0</v>
      </c>
      <c r="BT930" s="80">
        <f>IF(AND(BE930=1,D930="proMX"),ROUND(BI930*CFG_RATE+BJ930*CFG_OTRATE,6),0)</f>
        <v>0</v>
      </c>
      <c r="BU930" s="80">
        <f>IF(AND(BD930=1,D930="proMX"),ROUND(AG930/CFG_BLK,6),0)</f>
        <v>0</v>
      </c>
      <c r="BV930" s="80" t="str">
        <f>IF(BF930="Approved",IF(ISNUMBER(T930),INT(T930),INT(B930)),"")</f>
        <v/>
      </c>
      <c r="BW930" s="80">
        <f>IF(ISNUMBER(B930),IF(DB_MON="Todos",1,IF(AND(INT(B930)&gt;=DB_MS,INT(B930)&lt;=DB_ME),1,0)),0)</f>
        <v>0</v>
      </c>
      <c r="BX930" s="80">
        <f>IF(DB_PROJ="Todos",1,IF(E930&amp;""=DB_PROJ&amp;"",1,0))</f>
        <v>1</v>
      </c>
      <c r="BY930" s="80">
        <f>BW930*BX930</f>
        <v>0</v>
      </c>
      <c r="BZ930" s="80" t="str">
        <f>IF(Y930=1,F930&amp;IF(AND(F930&amp;""&lt;&gt;"",E930&amp;""&lt;&gt;"")," · ","")&amp;E930,"")</f>
        <v/>
      </c>
      <c r="CA930" s="80" t="str">
        <f>IF(AND(BD930=1,E930&amp;""&lt;&gt;""),IF(COUNTIFS($E$5:E929,E930,$BD$5:BD929,1)=0,MAX($CA$5:CA929)+1,""),"")</f>
        <v/>
      </c>
      <c r="CB930" s="80" t="str">
        <f>IF(AND(BE930=1,D930="Malcolm",E930&amp;""&lt;&gt;""),IF(COUNTIFS($D$5:D929,"Malcolm",$E$5:E929,E930,$BE$5:BE929,1)=0,MAX($CB$5:CB929)+1,""),"")</f>
        <v/>
      </c>
      <c r="CC930" s="80" t="str">
        <f>IF(AND(BD930=1,D930="proMX",E930&amp;""&lt;&gt;""),IF(COUNTIFS($D$5:D929,"proMX",$E$5:E929,E930,$BD$5:BD929,1)=0,MAX($CC$5:CC929)+1,""),"")</f>
        <v/>
      </c>
      <c r="CD930" s="80" t="str">
        <f>IF(AND(BE930=1,D930="Malcolm",F930&amp;""&lt;&gt;""),IF(COUNTIFS($D$5:D929,"Malcolm",$F$5:F929,F930,$BE$5:BE929,1)=0,MAX($CD$5:CD929)+1,""),"")</f>
        <v/>
      </c>
      <c r="CE930" s="80" t="str">
        <f>IF(AND(BD930=1,D930="proMX",F930&amp;""&lt;&gt;""),IF(COUNTIFS($D$5:D929,"proMX",$F$5:F929,F930,$BD$5:BD929,1)=0,MAX($CE$5:CE929)+1,""),"")</f>
        <v/>
      </c>
      <c r="CF930" s="80" t="str">
        <f>IF(AND(D930="proMX",BD930=1),IF(OR(BF930="Draft",BF930="Submitted",BF930="Returned",BF930="Recall Requested"),MAX($CF$5:CF929)+1,""),"")</f>
        <v/>
      </c>
      <c r="CG930" s="80">
        <f>IF(BD930=0,0,IF(D930="Malcolm",1,MATCH(BF930,{"Draft","Submitted","Approved","Returned","Recall Requested","Cancelled"},0)+1))</f>
        <v>0</v>
      </c>
      <c r="CH930" s="80">
        <f>IF(AND(BF930="Submitted",ISNUMBER(V930)),IF(V930&gt;CFG_MAXD,1,0),0)</f>
        <v>0</v>
      </c>
    </row>
    <row r="931">
      <c r="A931" s="71" t="str">
        <f>IF(Y931=1,ROW()-5,"")</f>
        <v/>
      </c>
      <c r="B931" s="72" t="n"/>
      <c r="C931" s="71" t="str">
        <f>IF(ISNUMBER(B931),CHOOSE(WEEKDAY(B931,2),"Lun","Mar","Mié","Jue","Vie","Sáb","Dom"),"")</f>
        <v/>
      </c>
      <c r="D931" s="73" t="n"/>
      <c r="E931" s="74" t="n"/>
      <c r="F931" s="74" t="n"/>
      <c r="G931" s="74" t="n"/>
      <c r="H931" s="75" t="n"/>
      <c r="I931" s="75" t="n"/>
      <c r="J931" s="76" t="n"/>
      <c r="K931" s="77" t="str">
        <f>IF(AB931=1,ROUND(AG931/60,4),"")</f>
        <v/>
      </c>
      <c r="L931" s="77" t="str">
        <f>IF(BD931=1,ROUND(AP931/60,4),"")</f>
        <v/>
      </c>
      <c r="M931" s="77" t="str">
        <f>IF(BD931=1,ROUND(AQ931/60,4),"")</f>
        <v/>
      </c>
      <c r="N931" s="71" t="str">
        <f>IF(AND(D931="proMX",AB931=1),ROUND(AG931/CFG_BLK,2),"")</f>
        <v/>
      </c>
      <c r="O931" s="77" t="str">
        <f>IF(D931="proMX",IF(BD931=1,ROUND(AG931/60,4),0),"")</f>
        <v/>
      </c>
      <c r="P931" s="78" t="str">
        <f>IF(Y931=0,"",IF(BD931=1,"OK",IF(D931="proMX","Revisar bloques: ","Revisar: ")&amp;BC931))</f>
        <v/>
      </c>
      <c r="Q931" s="78" t="str">
        <f>IF(NOT(ISNUMBER(B931)),"",IF(COUNTIFS(FER_F,INT(B931))&gt;0,"Feriado"&amp;IF(AH931=1," (laborable)"," (no laborable)"),IF(AH931=1,"Laborable",IF(WEEKDAY(B931,2)&gt;5,"Fin de semana","No laborable"))))</f>
        <v/>
      </c>
      <c r="R931" s="73" t="n"/>
      <c r="S931" s="72" t="n"/>
      <c r="T931" s="72" t="n"/>
      <c r="U931" s="74" t="n"/>
      <c r="V931" s="79" t="str">
        <f>IF(AND(D931="proMX",OR(R931="Submitted",R931="Recall Requested"),ISNUMBER(S931)),CFG_TODAY-INT(S931),"")</f>
        <v/>
      </c>
      <c r="W931" s="78" t="str">
        <f>IF(BD931=0,"",IF(BA931&gt;0,"⚠ Se superpone con un registro de la otra empresa",IF(D931="Malcolm",IF(COUNTA(R931,S931,T931)&gt;0,"Estado/fechas proMX se ignoran en Malcolm",""),IF(BF931="Cancelled","Cancelado: excluido de totales",IF(R931="","Sin estado: se trata como Draft",IF(BF931="Submitted",IF(ISNUMBER(V931),IF(V931&gt;CFG_MAXD,"⚠ "&amp;V931&amp;" días en Submitted (máx. "&amp;CFG_MAXD&amp;")",""),"Falta fecha de envío"),IF(BF931="Returned","⚠ Devuelto: corregir y reenviar",IF(BF931="Recall Requested","Retirada solicitada: pendiente",IF(AND(BF931="Approved",NOT(ISNUMBER(T931))),"Falta fecha de aprobación",IF(AND(ISNUMBER(S931),ISNUMBER(T931),T931&lt;S931),"Aprobación anterior al envío","")))))))))</f>
        <v/>
      </c>
      <c r="Y931" s="80">
        <f>IF(COUNTA(B931,D931,E931,F931,G931,H931,I931,J931,R931,S931,T931)&gt;0,1,0)</f>
        <v>0</v>
      </c>
      <c r="Z931" s="80" t="str">
        <f>IF(AND(ISNUMBER(H931),H931&gt;=0,H931&lt;1),ROUND(H931*1440,0),"")</f>
        <v/>
      </c>
      <c r="AA931" s="80" t="str">
        <f>IF(AND(ISNUMBER(I931),I931&gt;=0,I931&lt;1),ROUND(I931*1440,0),"")</f>
        <v/>
      </c>
      <c r="AB931" s="80">
        <f>IF(AND(ISNUMBER(B931),D931&lt;&gt;"",ISNUMBER(Z931),ISNUMBER(AA931)),IF(Z931=AA931,0,1),0)</f>
        <v>0</v>
      </c>
      <c r="AC931" s="80">
        <f>IF(AB931=1,IF(AA931&lt;Z931,1,0),0)</f>
        <v>0</v>
      </c>
      <c r="AD931" s="80">
        <f>IF(AB931=1,IF(AC931=1,1440-Z931+AA931,AA931-Z931),0)</f>
        <v>0</v>
      </c>
      <c r="AE931" s="80">
        <f>IF(J931="",0,IF(ISNUMBER(J931),J931,-1))</f>
        <v>0</v>
      </c>
      <c r="AF931" s="80">
        <f>MIN(MAX(0,AE931),AD931)</f>
        <v>0</v>
      </c>
      <c r="AG931" s="80">
        <f>MAX(0,AD931-MAX(0,AE931))</f>
        <v>0</v>
      </c>
      <c r="AH931" s="80">
        <f>IF(ISNUMBER(B931),IF(AND(INDEX(CFG_WDAYS,WEEKDAY(INT(B931),2))="Sí",IF(D931="proMX",COUNTIFS(FER_F,INT(B931),FER_NLP,"Sí"),COUNTIFS(FER_F,INT(B931),FER_NLM,"Sí"))=0),1,0),0)</f>
        <v>0</v>
      </c>
      <c r="AI931" s="80">
        <f>IF(AC931=1,IF(AND(INDEX(CFG_WDAYS,WEEKDAY(INT(B931)+1,2))="Sí",IF(D931="proMX",COUNTIFS(FER_F,INT(B931)+1,FER_NLP,"Sí"),COUNTIFS(FER_F,INT(B931)+1,FER_NLM,"Sí"))=0),1,0),0)</f>
        <v>0</v>
      </c>
      <c r="AJ931" s="80">
        <f>IF(AC931=1,1440-Z931,AD931)</f>
        <v>0</v>
      </c>
      <c r="AK931" s="80">
        <f>IF(AND(AB931=1,AH931=1),MAX(0,MIN(IF(AC931=1,1440,AA931),CFG_WEM)-MAX(Z931,CFG_WSM)),0)</f>
        <v>0</v>
      </c>
      <c r="AL931" s="80">
        <f>IF(AND(AC931=1,AI931=1),MAX(0,MIN(AA931,CFG_WEM)-CFG_WSM),0)</f>
        <v>0</v>
      </c>
      <c r="AM931" s="80">
        <f>AK931+AL931</f>
        <v>0</v>
      </c>
      <c r="AN931" s="80">
        <f>IF(CFG_BRK="Proporcional",IF(AD931=0,0,AF931*AM931/AD931),IF(CFG_BRK="Extras primero",MIN(AM931,MAX(0,AF931-(AD931-AM931))),MIN(AF931,AM931)))</f>
        <v>0</v>
      </c>
      <c r="AO931" s="80">
        <f>AF931-AN931</f>
        <v>0</v>
      </c>
      <c r="AP931" s="80">
        <f>AM931-AN931</f>
        <v>0</v>
      </c>
      <c r="AQ931" s="80">
        <f>AD931-AM931-AO931</f>
        <v>0</v>
      </c>
      <c r="AR931" s="80">
        <f>IF(AM931=0,0,AK931-AN931*AK931/AM931)</f>
        <v>0</v>
      </c>
      <c r="AS931" s="80">
        <f>IF(AD931-AM931=0,0,(AJ931-AK931)-AO931*(AJ931-AK931)/(AD931-AM931))</f>
        <v>0</v>
      </c>
      <c r="AT931" s="80" t="str">
        <f>IF(AC931=1,INT(B931)+1,"")</f>
        <v/>
      </c>
      <c r="AU931" s="80">
        <f>IF(AND(D931="proMX",R931="Cancelled"),0,1)</f>
        <v>1</v>
      </c>
      <c r="AV931" s="80">
        <f>IF(AND(AB931=1,AU931=1),IF(COUNTIFS($D$5:D930,D931,$B$5:B930,B931,$Z$5:Z930,Z931,$AA$5:AA930,AA931,$F$5:F930,F931&amp;"",$AU$5:AU930,1)&gt;0,1,0),0)</f>
        <v>0</v>
      </c>
      <c r="AW931" s="80" t="str">
        <f>IF(AB931=1,INT(B931)*1440+Z931,"")</f>
        <v/>
      </c>
      <c r="AX931" s="80" t="str">
        <f>IF(AB931=1,AW931+AD931,"")</f>
        <v/>
      </c>
      <c r="AY931" s="80">
        <f>IF(AND(AB931=1,AV931=0,AU931=1),1,0)</f>
        <v>0</v>
      </c>
      <c r="AZ931" s="80">
        <f>IF(AY931=1,COUNTIFS(R_Emp,D931,R_SAbs,"&lt;"&amp;AX931,R_EAbs,"&gt;"&amp;AW931,R_OKey,1)-1,0)</f>
        <v>0</v>
      </c>
      <c r="BA931" s="80">
        <f>IF(AY931=1,COUNTIFS(R_Emp,"&lt;&gt;"&amp;D931,R_SAbs,"&lt;"&amp;AX931,R_EAbs,"&gt;"&amp;AW931,R_OKey,1),0)</f>
        <v>0</v>
      </c>
      <c r="BB931" s="80">
        <f>IF(AND(AB931=1,D931="proMX"),IF(AND(MOD(Z931,CFG_BLK)=0,MOD(AA931,CFG_BLK)=0,MOD(AG931,CFG_BLK)=0,AG931&gt;0),1,0),1)</f>
        <v>1</v>
      </c>
      <c r="BC931" s="80" t="str">
        <f>IF(Y931=0,"",IF(NOT(ISNUMBER(B931)),"Falta fecha o fecha inválida",IF(D931="","Falta empresa",IF(AND(D931&lt;&gt;"Malcolm",D931&lt;&gt;"proMX"),"Empresa inválida",IF(OR(INT(B931)&lt;CFG_PSTART,INT(B931)&gt;CFG_PEND),"Fecha fuera del período",IF(OR(NOT(ISNUMBER(Z931)),NOT(ISNUMBER(AA931))),"Falta hora inicio/fin o formato inválido",IF(AB931=0,"Hora inicio = hora fin",IF(AE931&lt;0,"Descanso inválido",IF(AE931&gt;=AD931,"Descanso ≥ duración",IF(AV931=1,"Registro duplicado",IF(AZ931&gt;0,"Se superpone con otro registro "&amp;D931,IF(BB931=0,"inicio, fin y duración neta deben ser múltiplos de "&amp;CFG_BLK&amp;" min",""))))))))))))</f>
        <v/>
      </c>
      <c r="BD931" s="80">
        <f>IF(AND(Y931=1,BC931=""),1,0)</f>
        <v>0</v>
      </c>
      <c r="BE931" s="80">
        <f>IF(AND(BD931=1,AU931=1),1,0)</f>
        <v>0</v>
      </c>
      <c r="BF931" s="80" t="str">
        <f>IF(AND(D931="proMX",BD931=1),IF(R931="","Draft",R931),"")</f>
        <v/>
      </c>
      <c r="BG931" s="80">
        <f>IF(BD931=1,ROUND(AG931/60,6),0)</f>
        <v>0</v>
      </c>
      <c r="BH931" s="80">
        <f>IF(BE931=1,ROUND(AG931/60,6),0)</f>
        <v>0</v>
      </c>
      <c r="BI931" s="80">
        <f>IF(BE931=1,ROUND(AP931/60,6),0)</f>
        <v>0</v>
      </c>
      <c r="BJ931" s="80">
        <f>IF(BE931=1,ROUND(AQ931/60,6),0)</f>
        <v>0</v>
      </c>
      <c r="BK931" s="80">
        <f>IF(BE931=1,ROUND((AR931+AS931)/60,6),0)</f>
        <v>0</v>
      </c>
      <c r="BL931" s="80">
        <f>ROUND(BH931-BK931,6)</f>
        <v>0</v>
      </c>
      <c r="BM931" s="80">
        <f>IF(BE931=1,ROUND(AR931/60,6),0)</f>
        <v>0</v>
      </c>
      <c r="BN931" s="80">
        <f>ROUND(BI931-BM931,6)</f>
        <v>0</v>
      </c>
      <c r="BO931" s="80">
        <f>IF(BE931=1,ROUND(AS931/60,6),0)</f>
        <v>0</v>
      </c>
      <c r="BP931" s="80">
        <f>ROUND(BJ931-BO931,6)</f>
        <v>0</v>
      </c>
      <c r="BQ931" s="80">
        <f>IF(BE931=1,AW931,0)</f>
        <v>0</v>
      </c>
      <c r="BR931" s="80">
        <f>IF(BE931=1,AX931,0)</f>
        <v>0</v>
      </c>
      <c r="BS931" s="80">
        <f>IF(AND(BE931=1,D931="Malcolm",BA931&gt;0),MIN(BH931,SUMPRODUCT((R_Emp="proMX")*(R_EN&gt;0)*((R_EN-(R_EN&gt;BR931)*(R_EN-BR931))&gt;(R_SN+(R_SN&lt;BQ931)*(BQ931-R_SN)))*((R_EN-(R_EN&gt;BR931)*(R_EN-BR931))-(R_SN+(R_SN&lt;BQ931)*(BQ931-R_SN))))/60),0)</f>
        <v>0</v>
      </c>
      <c r="BT931" s="80">
        <f>IF(AND(BE931=1,D931="proMX"),ROUND(BI931*CFG_RATE+BJ931*CFG_OTRATE,6),0)</f>
        <v>0</v>
      </c>
      <c r="BU931" s="80">
        <f>IF(AND(BD931=1,D931="proMX"),ROUND(AG931/CFG_BLK,6),0)</f>
        <v>0</v>
      </c>
      <c r="BV931" s="80" t="str">
        <f>IF(BF931="Approved",IF(ISNUMBER(T931),INT(T931),INT(B931)),"")</f>
        <v/>
      </c>
      <c r="BW931" s="80">
        <f>IF(ISNUMBER(B931),IF(DB_MON="Todos",1,IF(AND(INT(B931)&gt;=DB_MS,INT(B931)&lt;=DB_ME),1,0)),0)</f>
        <v>0</v>
      </c>
      <c r="BX931" s="80">
        <f>IF(DB_PROJ="Todos",1,IF(E931&amp;""=DB_PROJ&amp;"",1,0))</f>
        <v>1</v>
      </c>
      <c r="BY931" s="80">
        <f>BW931*BX931</f>
        <v>0</v>
      </c>
      <c r="BZ931" s="80" t="str">
        <f>IF(Y931=1,F931&amp;IF(AND(F931&amp;""&lt;&gt;"",E931&amp;""&lt;&gt;"")," · ","")&amp;E931,"")</f>
        <v/>
      </c>
      <c r="CA931" s="80" t="str">
        <f>IF(AND(BD931=1,E931&amp;""&lt;&gt;""),IF(COUNTIFS($E$5:E930,E931,$BD$5:BD930,1)=0,MAX($CA$5:CA930)+1,""),"")</f>
        <v/>
      </c>
      <c r="CB931" s="80" t="str">
        <f>IF(AND(BE931=1,D931="Malcolm",E931&amp;""&lt;&gt;""),IF(COUNTIFS($D$5:D930,"Malcolm",$E$5:E930,E931,$BE$5:BE930,1)=0,MAX($CB$5:CB930)+1,""),"")</f>
        <v/>
      </c>
      <c r="CC931" s="80" t="str">
        <f>IF(AND(BD931=1,D931="proMX",E931&amp;""&lt;&gt;""),IF(COUNTIFS($D$5:D930,"proMX",$E$5:E930,E931,$BD$5:BD930,1)=0,MAX($CC$5:CC930)+1,""),"")</f>
        <v/>
      </c>
      <c r="CD931" s="80" t="str">
        <f>IF(AND(BE931=1,D931="Malcolm",F931&amp;""&lt;&gt;""),IF(COUNTIFS($D$5:D930,"Malcolm",$F$5:F930,F931,$BE$5:BE930,1)=0,MAX($CD$5:CD930)+1,""),"")</f>
        <v/>
      </c>
      <c r="CE931" s="80" t="str">
        <f>IF(AND(BD931=1,D931="proMX",F931&amp;""&lt;&gt;""),IF(COUNTIFS($D$5:D930,"proMX",$F$5:F930,F931,$BD$5:BD930,1)=0,MAX($CE$5:CE930)+1,""),"")</f>
        <v/>
      </c>
      <c r="CF931" s="80" t="str">
        <f>IF(AND(D931="proMX",BD931=1),IF(OR(BF931="Draft",BF931="Submitted",BF931="Returned",BF931="Recall Requested"),MAX($CF$5:CF930)+1,""),"")</f>
        <v/>
      </c>
      <c r="CG931" s="80">
        <f>IF(BD931=0,0,IF(D931="Malcolm",1,MATCH(BF931,{"Draft","Submitted","Approved","Returned","Recall Requested","Cancelled"},0)+1))</f>
        <v>0</v>
      </c>
      <c r="CH931" s="80">
        <f>IF(AND(BF931="Submitted",ISNUMBER(V931)),IF(V931&gt;CFG_MAXD,1,0),0)</f>
        <v>0</v>
      </c>
    </row>
    <row r="932">
      <c r="A932" s="71" t="str">
        <f>IF(Y932=1,ROW()-5,"")</f>
        <v/>
      </c>
      <c r="B932" s="72" t="n"/>
      <c r="C932" s="71" t="str">
        <f>IF(ISNUMBER(B932),CHOOSE(WEEKDAY(B932,2),"Lun","Mar","Mié","Jue","Vie","Sáb","Dom"),"")</f>
        <v/>
      </c>
      <c r="D932" s="73" t="n"/>
      <c r="E932" s="74" t="n"/>
      <c r="F932" s="74" t="n"/>
      <c r="G932" s="74" t="n"/>
      <c r="H932" s="75" t="n"/>
      <c r="I932" s="75" t="n"/>
      <c r="J932" s="76" t="n"/>
      <c r="K932" s="77" t="str">
        <f>IF(AB932=1,ROUND(AG932/60,4),"")</f>
        <v/>
      </c>
      <c r="L932" s="77" t="str">
        <f>IF(BD932=1,ROUND(AP932/60,4),"")</f>
        <v/>
      </c>
      <c r="M932" s="77" t="str">
        <f>IF(BD932=1,ROUND(AQ932/60,4),"")</f>
        <v/>
      </c>
      <c r="N932" s="71" t="str">
        <f>IF(AND(D932="proMX",AB932=1),ROUND(AG932/CFG_BLK,2),"")</f>
        <v/>
      </c>
      <c r="O932" s="77" t="str">
        <f>IF(D932="proMX",IF(BD932=1,ROUND(AG932/60,4),0),"")</f>
        <v/>
      </c>
      <c r="P932" s="78" t="str">
        <f>IF(Y932=0,"",IF(BD932=1,"OK",IF(D932="proMX","Revisar bloques: ","Revisar: ")&amp;BC932))</f>
        <v/>
      </c>
      <c r="Q932" s="78" t="str">
        <f>IF(NOT(ISNUMBER(B932)),"",IF(COUNTIFS(FER_F,INT(B932))&gt;0,"Feriado"&amp;IF(AH932=1," (laborable)"," (no laborable)"),IF(AH932=1,"Laborable",IF(WEEKDAY(B932,2)&gt;5,"Fin de semana","No laborable"))))</f>
        <v/>
      </c>
      <c r="R932" s="73" t="n"/>
      <c r="S932" s="72" t="n"/>
      <c r="T932" s="72" t="n"/>
      <c r="U932" s="74" t="n"/>
      <c r="V932" s="79" t="str">
        <f>IF(AND(D932="proMX",OR(R932="Submitted",R932="Recall Requested"),ISNUMBER(S932)),CFG_TODAY-INT(S932),"")</f>
        <v/>
      </c>
      <c r="W932" s="78" t="str">
        <f>IF(BD932=0,"",IF(BA932&gt;0,"⚠ Se superpone con un registro de la otra empresa",IF(D932="Malcolm",IF(COUNTA(R932,S932,T932)&gt;0,"Estado/fechas proMX se ignoran en Malcolm",""),IF(BF932="Cancelled","Cancelado: excluido de totales",IF(R932="","Sin estado: se trata como Draft",IF(BF932="Submitted",IF(ISNUMBER(V932),IF(V932&gt;CFG_MAXD,"⚠ "&amp;V932&amp;" días en Submitted (máx. "&amp;CFG_MAXD&amp;")",""),"Falta fecha de envío"),IF(BF932="Returned","⚠ Devuelto: corregir y reenviar",IF(BF932="Recall Requested","Retirada solicitada: pendiente",IF(AND(BF932="Approved",NOT(ISNUMBER(T932))),"Falta fecha de aprobación",IF(AND(ISNUMBER(S932),ISNUMBER(T932),T932&lt;S932),"Aprobación anterior al envío","")))))))))</f>
        <v/>
      </c>
      <c r="Y932" s="80">
        <f>IF(COUNTA(B932,D932,E932,F932,G932,H932,I932,J932,R932,S932,T932)&gt;0,1,0)</f>
        <v>0</v>
      </c>
      <c r="Z932" s="80" t="str">
        <f>IF(AND(ISNUMBER(H932),H932&gt;=0,H932&lt;1),ROUND(H932*1440,0),"")</f>
        <v/>
      </c>
      <c r="AA932" s="80" t="str">
        <f>IF(AND(ISNUMBER(I932),I932&gt;=0,I932&lt;1),ROUND(I932*1440,0),"")</f>
        <v/>
      </c>
      <c r="AB932" s="80">
        <f>IF(AND(ISNUMBER(B932),D932&lt;&gt;"",ISNUMBER(Z932),ISNUMBER(AA932)),IF(Z932=AA932,0,1),0)</f>
        <v>0</v>
      </c>
      <c r="AC932" s="80">
        <f>IF(AB932=1,IF(AA932&lt;Z932,1,0),0)</f>
        <v>0</v>
      </c>
      <c r="AD932" s="80">
        <f>IF(AB932=1,IF(AC932=1,1440-Z932+AA932,AA932-Z932),0)</f>
        <v>0</v>
      </c>
      <c r="AE932" s="80">
        <f>IF(J932="",0,IF(ISNUMBER(J932),J932,-1))</f>
        <v>0</v>
      </c>
      <c r="AF932" s="80">
        <f>MIN(MAX(0,AE932),AD932)</f>
        <v>0</v>
      </c>
      <c r="AG932" s="80">
        <f>MAX(0,AD932-MAX(0,AE932))</f>
        <v>0</v>
      </c>
      <c r="AH932" s="80">
        <f>IF(ISNUMBER(B932),IF(AND(INDEX(CFG_WDAYS,WEEKDAY(INT(B932),2))="Sí",IF(D932="proMX",COUNTIFS(FER_F,INT(B932),FER_NLP,"Sí"),COUNTIFS(FER_F,INT(B932),FER_NLM,"Sí"))=0),1,0),0)</f>
        <v>0</v>
      </c>
      <c r="AI932" s="80">
        <f>IF(AC932=1,IF(AND(INDEX(CFG_WDAYS,WEEKDAY(INT(B932)+1,2))="Sí",IF(D932="proMX",COUNTIFS(FER_F,INT(B932)+1,FER_NLP,"Sí"),COUNTIFS(FER_F,INT(B932)+1,FER_NLM,"Sí"))=0),1,0),0)</f>
        <v>0</v>
      </c>
      <c r="AJ932" s="80">
        <f>IF(AC932=1,1440-Z932,AD932)</f>
        <v>0</v>
      </c>
      <c r="AK932" s="80">
        <f>IF(AND(AB932=1,AH932=1),MAX(0,MIN(IF(AC932=1,1440,AA932),CFG_WEM)-MAX(Z932,CFG_WSM)),0)</f>
        <v>0</v>
      </c>
      <c r="AL932" s="80">
        <f>IF(AND(AC932=1,AI932=1),MAX(0,MIN(AA932,CFG_WEM)-CFG_WSM),0)</f>
        <v>0</v>
      </c>
      <c r="AM932" s="80">
        <f>AK932+AL932</f>
        <v>0</v>
      </c>
      <c r="AN932" s="80">
        <f>IF(CFG_BRK="Proporcional",IF(AD932=0,0,AF932*AM932/AD932),IF(CFG_BRK="Extras primero",MIN(AM932,MAX(0,AF932-(AD932-AM932))),MIN(AF932,AM932)))</f>
        <v>0</v>
      </c>
      <c r="AO932" s="80">
        <f>AF932-AN932</f>
        <v>0</v>
      </c>
      <c r="AP932" s="80">
        <f>AM932-AN932</f>
        <v>0</v>
      </c>
      <c r="AQ932" s="80">
        <f>AD932-AM932-AO932</f>
        <v>0</v>
      </c>
      <c r="AR932" s="80">
        <f>IF(AM932=0,0,AK932-AN932*AK932/AM932)</f>
        <v>0</v>
      </c>
      <c r="AS932" s="80">
        <f>IF(AD932-AM932=0,0,(AJ932-AK932)-AO932*(AJ932-AK932)/(AD932-AM932))</f>
        <v>0</v>
      </c>
      <c r="AT932" s="80" t="str">
        <f>IF(AC932=1,INT(B932)+1,"")</f>
        <v/>
      </c>
      <c r="AU932" s="80">
        <f>IF(AND(D932="proMX",R932="Cancelled"),0,1)</f>
        <v>1</v>
      </c>
      <c r="AV932" s="80">
        <f>IF(AND(AB932=1,AU932=1),IF(COUNTIFS($D$5:D931,D932,$B$5:B931,B932,$Z$5:Z931,Z932,$AA$5:AA931,AA932,$F$5:F931,F932&amp;"",$AU$5:AU931,1)&gt;0,1,0),0)</f>
        <v>0</v>
      </c>
      <c r="AW932" s="80" t="str">
        <f>IF(AB932=1,INT(B932)*1440+Z932,"")</f>
        <v/>
      </c>
      <c r="AX932" s="80" t="str">
        <f>IF(AB932=1,AW932+AD932,"")</f>
        <v/>
      </c>
      <c r="AY932" s="80">
        <f>IF(AND(AB932=1,AV932=0,AU932=1),1,0)</f>
        <v>0</v>
      </c>
      <c r="AZ932" s="80">
        <f>IF(AY932=1,COUNTIFS(R_Emp,D932,R_SAbs,"&lt;"&amp;AX932,R_EAbs,"&gt;"&amp;AW932,R_OKey,1)-1,0)</f>
        <v>0</v>
      </c>
      <c r="BA932" s="80">
        <f>IF(AY932=1,COUNTIFS(R_Emp,"&lt;&gt;"&amp;D932,R_SAbs,"&lt;"&amp;AX932,R_EAbs,"&gt;"&amp;AW932,R_OKey,1),0)</f>
        <v>0</v>
      </c>
      <c r="BB932" s="80">
        <f>IF(AND(AB932=1,D932="proMX"),IF(AND(MOD(Z932,CFG_BLK)=0,MOD(AA932,CFG_BLK)=0,MOD(AG932,CFG_BLK)=0,AG932&gt;0),1,0),1)</f>
        <v>1</v>
      </c>
      <c r="BC932" s="80" t="str">
        <f>IF(Y932=0,"",IF(NOT(ISNUMBER(B932)),"Falta fecha o fecha inválida",IF(D932="","Falta empresa",IF(AND(D932&lt;&gt;"Malcolm",D932&lt;&gt;"proMX"),"Empresa inválida",IF(OR(INT(B932)&lt;CFG_PSTART,INT(B932)&gt;CFG_PEND),"Fecha fuera del período",IF(OR(NOT(ISNUMBER(Z932)),NOT(ISNUMBER(AA932))),"Falta hora inicio/fin o formato inválido",IF(AB932=0,"Hora inicio = hora fin",IF(AE932&lt;0,"Descanso inválido",IF(AE932&gt;=AD932,"Descanso ≥ duración",IF(AV932=1,"Registro duplicado",IF(AZ932&gt;0,"Se superpone con otro registro "&amp;D932,IF(BB932=0,"inicio, fin y duración neta deben ser múltiplos de "&amp;CFG_BLK&amp;" min",""))))))))))))</f>
        <v/>
      </c>
      <c r="BD932" s="80">
        <f>IF(AND(Y932=1,BC932=""),1,0)</f>
        <v>0</v>
      </c>
      <c r="BE932" s="80">
        <f>IF(AND(BD932=1,AU932=1),1,0)</f>
        <v>0</v>
      </c>
      <c r="BF932" s="80" t="str">
        <f>IF(AND(D932="proMX",BD932=1),IF(R932="","Draft",R932),"")</f>
        <v/>
      </c>
      <c r="BG932" s="80">
        <f>IF(BD932=1,ROUND(AG932/60,6),0)</f>
        <v>0</v>
      </c>
      <c r="BH932" s="80">
        <f>IF(BE932=1,ROUND(AG932/60,6),0)</f>
        <v>0</v>
      </c>
      <c r="BI932" s="80">
        <f>IF(BE932=1,ROUND(AP932/60,6),0)</f>
        <v>0</v>
      </c>
      <c r="BJ932" s="80">
        <f>IF(BE932=1,ROUND(AQ932/60,6),0)</f>
        <v>0</v>
      </c>
      <c r="BK932" s="80">
        <f>IF(BE932=1,ROUND((AR932+AS932)/60,6),0)</f>
        <v>0</v>
      </c>
      <c r="BL932" s="80">
        <f>ROUND(BH932-BK932,6)</f>
        <v>0</v>
      </c>
      <c r="BM932" s="80">
        <f>IF(BE932=1,ROUND(AR932/60,6),0)</f>
        <v>0</v>
      </c>
      <c r="BN932" s="80">
        <f>ROUND(BI932-BM932,6)</f>
        <v>0</v>
      </c>
      <c r="BO932" s="80">
        <f>IF(BE932=1,ROUND(AS932/60,6),0)</f>
        <v>0</v>
      </c>
      <c r="BP932" s="80">
        <f>ROUND(BJ932-BO932,6)</f>
        <v>0</v>
      </c>
      <c r="BQ932" s="80">
        <f>IF(BE932=1,AW932,0)</f>
        <v>0</v>
      </c>
      <c r="BR932" s="80">
        <f>IF(BE932=1,AX932,0)</f>
        <v>0</v>
      </c>
      <c r="BS932" s="80">
        <f>IF(AND(BE932=1,D932="Malcolm",BA932&gt;0),MIN(BH932,SUMPRODUCT((R_Emp="proMX")*(R_EN&gt;0)*((R_EN-(R_EN&gt;BR932)*(R_EN-BR932))&gt;(R_SN+(R_SN&lt;BQ932)*(BQ932-R_SN)))*((R_EN-(R_EN&gt;BR932)*(R_EN-BR932))-(R_SN+(R_SN&lt;BQ932)*(BQ932-R_SN))))/60),0)</f>
        <v>0</v>
      </c>
      <c r="BT932" s="80">
        <f>IF(AND(BE932=1,D932="proMX"),ROUND(BI932*CFG_RATE+BJ932*CFG_OTRATE,6),0)</f>
        <v>0</v>
      </c>
      <c r="BU932" s="80">
        <f>IF(AND(BD932=1,D932="proMX"),ROUND(AG932/CFG_BLK,6),0)</f>
        <v>0</v>
      </c>
      <c r="BV932" s="80" t="str">
        <f>IF(BF932="Approved",IF(ISNUMBER(T932),INT(T932),INT(B932)),"")</f>
        <v/>
      </c>
      <c r="BW932" s="80">
        <f>IF(ISNUMBER(B932),IF(DB_MON="Todos",1,IF(AND(INT(B932)&gt;=DB_MS,INT(B932)&lt;=DB_ME),1,0)),0)</f>
        <v>0</v>
      </c>
      <c r="BX932" s="80">
        <f>IF(DB_PROJ="Todos",1,IF(E932&amp;""=DB_PROJ&amp;"",1,0))</f>
        <v>1</v>
      </c>
      <c r="BY932" s="80">
        <f>BW932*BX932</f>
        <v>0</v>
      </c>
      <c r="BZ932" s="80" t="str">
        <f>IF(Y932=1,F932&amp;IF(AND(F932&amp;""&lt;&gt;"",E932&amp;""&lt;&gt;"")," · ","")&amp;E932,"")</f>
        <v/>
      </c>
      <c r="CA932" s="80" t="str">
        <f>IF(AND(BD932=1,E932&amp;""&lt;&gt;""),IF(COUNTIFS($E$5:E931,E932,$BD$5:BD931,1)=0,MAX($CA$5:CA931)+1,""),"")</f>
        <v/>
      </c>
      <c r="CB932" s="80" t="str">
        <f>IF(AND(BE932=1,D932="Malcolm",E932&amp;""&lt;&gt;""),IF(COUNTIFS($D$5:D931,"Malcolm",$E$5:E931,E932,$BE$5:BE931,1)=0,MAX($CB$5:CB931)+1,""),"")</f>
        <v/>
      </c>
      <c r="CC932" s="80" t="str">
        <f>IF(AND(BD932=1,D932="proMX",E932&amp;""&lt;&gt;""),IF(COUNTIFS($D$5:D931,"proMX",$E$5:E931,E932,$BD$5:BD931,1)=0,MAX($CC$5:CC931)+1,""),"")</f>
        <v/>
      </c>
      <c r="CD932" s="80" t="str">
        <f>IF(AND(BE932=1,D932="Malcolm",F932&amp;""&lt;&gt;""),IF(COUNTIFS($D$5:D931,"Malcolm",$F$5:F931,F932,$BE$5:BE931,1)=0,MAX($CD$5:CD931)+1,""),"")</f>
        <v/>
      </c>
      <c r="CE932" s="80" t="str">
        <f>IF(AND(BD932=1,D932="proMX",F932&amp;""&lt;&gt;""),IF(COUNTIFS($D$5:D931,"proMX",$F$5:F931,F932,$BD$5:BD931,1)=0,MAX($CE$5:CE931)+1,""),"")</f>
        <v/>
      </c>
      <c r="CF932" s="80" t="str">
        <f>IF(AND(D932="proMX",BD932=1),IF(OR(BF932="Draft",BF932="Submitted",BF932="Returned",BF932="Recall Requested"),MAX($CF$5:CF931)+1,""),"")</f>
        <v/>
      </c>
      <c r="CG932" s="80">
        <f>IF(BD932=0,0,IF(D932="Malcolm",1,MATCH(BF932,{"Draft","Submitted","Approved","Returned","Recall Requested","Cancelled"},0)+1))</f>
        <v>0</v>
      </c>
      <c r="CH932" s="80">
        <f>IF(AND(BF932="Submitted",ISNUMBER(V932)),IF(V932&gt;CFG_MAXD,1,0),0)</f>
        <v>0</v>
      </c>
    </row>
    <row r="933">
      <c r="A933" s="71" t="str">
        <f>IF(Y933=1,ROW()-5,"")</f>
        <v/>
      </c>
      <c r="B933" s="72" t="n"/>
      <c r="C933" s="71" t="str">
        <f>IF(ISNUMBER(B933),CHOOSE(WEEKDAY(B933,2),"Lun","Mar","Mié","Jue","Vie","Sáb","Dom"),"")</f>
        <v/>
      </c>
      <c r="D933" s="73" t="n"/>
      <c r="E933" s="74" t="n"/>
      <c r="F933" s="74" t="n"/>
      <c r="G933" s="74" t="n"/>
      <c r="H933" s="75" t="n"/>
      <c r="I933" s="75" t="n"/>
      <c r="J933" s="76" t="n"/>
      <c r="K933" s="77" t="str">
        <f>IF(AB933=1,ROUND(AG933/60,4),"")</f>
        <v/>
      </c>
      <c r="L933" s="77" t="str">
        <f>IF(BD933=1,ROUND(AP933/60,4),"")</f>
        <v/>
      </c>
      <c r="M933" s="77" t="str">
        <f>IF(BD933=1,ROUND(AQ933/60,4),"")</f>
        <v/>
      </c>
      <c r="N933" s="71" t="str">
        <f>IF(AND(D933="proMX",AB933=1),ROUND(AG933/CFG_BLK,2),"")</f>
        <v/>
      </c>
      <c r="O933" s="77" t="str">
        <f>IF(D933="proMX",IF(BD933=1,ROUND(AG933/60,4),0),"")</f>
        <v/>
      </c>
      <c r="P933" s="78" t="str">
        <f>IF(Y933=0,"",IF(BD933=1,"OK",IF(D933="proMX","Revisar bloques: ","Revisar: ")&amp;BC933))</f>
        <v/>
      </c>
      <c r="Q933" s="78" t="str">
        <f>IF(NOT(ISNUMBER(B933)),"",IF(COUNTIFS(FER_F,INT(B933))&gt;0,"Feriado"&amp;IF(AH933=1," (laborable)"," (no laborable)"),IF(AH933=1,"Laborable",IF(WEEKDAY(B933,2)&gt;5,"Fin de semana","No laborable"))))</f>
        <v/>
      </c>
      <c r="R933" s="73" t="n"/>
      <c r="S933" s="72" t="n"/>
      <c r="T933" s="72" t="n"/>
      <c r="U933" s="74" t="n"/>
      <c r="V933" s="79" t="str">
        <f>IF(AND(D933="proMX",OR(R933="Submitted",R933="Recall Requested"),ISNUMBER(S933)),CFG_TODAY-INT(S933),"")</f>
        <v/>
      </c>
      <c r="W933" s="78" t="str">
        <f>IF(BD933=0,"",IF(BA933&gt;0,"⚠ Se superpone con un registro de la otra empresa",IF(D933="Malcolm",IF(COUNTA(R933,S933,T933)&gt;0,"Estado/fechas proMX se ignoran en Malcolm",""),IF(BF933="Cancelled","Cancelado: excluido de totales",IF(R933="","Sin estado: se trata como Draft",IF(BF933="Submitted",IF(ISNUMBER(V933),IF(V933&gt;CFG_MAXD,"⚠ "&amp;V933&amp;" días en Submitted (máx. "&amp;CFG_MAXD&amp;")",""),"Falta fecha de envío"),IF(BF933="Returned","⚠ Devuelto: corregir y reenviar",IF(BF933="Recall Requested","Retirada solicitada: pendiente",IF(AND(BF933="Approved",NOT(ISNUMBER(T933))),"Falta fecha de aprobación",IF(AND(ISNUMBER(S933),ISNUMBER(T933),T933&lt;S933),"Aprobación anterior al envío","")))))))))</f>
        <v/>
      </c>
      <c r="Y933" s="80">
        <f>IF(COUNTA(B933,D933,E933,F933,G933,H933,I933,J933,R933,S933,T933)&gt;0,1,0)</f>
        <v>0</v>
      </c>
      <c r="Z933" s="80" t="str">
        <f>IF(AND(ISNUMBER(H933),H933&gt;=0,H933&lt;1),ROUND(H933*1440,0),"")</f>
        <v/>
      </c>
      <c r="AA933" s="80" t="str">
        <f>IF(AND(ISNUMBER(I933),I933&gt;=0,I933&lt;1),ROUND(I933*1440,0),"")</f>
        <v/>
      </c>
      <c r="AB933" s="80">
        <f>IF(AND(ISNUMBER(B933),D933&lt;&gt;"",ISNUMBER(Z933),ISNUMBER(AA933)),IF(Z933=AA933,0,1),0)</f>
        <v>0</v>
      </c>
      <c r="AC933" s="80">
        <f>IF(AB933=1,IF(AA933&lt;Z933,1,0),0)</f>
        <v>0</v>
      </c>
      <c r="AD933" s="80">
        <f>IF(AB933=1,IF(AC933=1,1440-Z933+AA933,AA933-Z933),0)</f>
        <v>0</v>
      </c>
      <c r="AE933" s="80">
        <f>IF(J933="",0,IF(ISNUMBER(J933),J933,-1))</f>
        <v>0</v>
      </c>
      <c r="AF933" s="80">
        <f>MIN(MAX(0,AE933),AD933)</f>
        <v>0</v>
      </c>
      <c r="AG933" s="80">
        <f>MAX(0,AD933-MAX(0,AE933))</f>
        <v>0</v>
      </c>
      <c r="AH933" s="80">
        <f>IF(ISNUMBER(B933),IF(AND(INDEX(CFG_WDAYS,WEEKDAY(INT(B933),2))="Sí",IF(D933="proMX",COUNTIFS(FER_F,INT(B933),FER_NLP,"Sí"),COUNTIFS(FER_F,INT(B933),FER_NLM,"Sí"))=0),1,0),0)</f>
        <v>0</v>
      </c>
      <c r="AI933" s="80">
        <f>IF(AC933=1,IF(AND(INDEX(CFG_WDAYS,WEEKDAY(INT(B933)+1,2))="Sí",IF(D933="proMX",COUNTIFS(FER_F,INT(B933)+1,FER_NLP,"Sí"),COUNTIFS(FER_F,INT(B933)+1,FER_NLM,"Sí"))=0),1,0),0)</f>
        <v>0</v>
      </c>
      <c r="AJ933" s="80">
        <f>IF(AC933=1,1440-Z933,AD933)</f>
        <v>0</v>
      </c>
      <c r="AK933" s="80">
        <f>IF(AND(AB933=1,AH933=1),MAX(0,MIN(IF(AC933=1,1440,AA933),CFG_WEM)-MAX(Z933,CFG_WSM)),0)</f>
        <v>0</v>
      </c>
      <c r="AL933" s="80">
        <f>IF(AND(AC933=1,AI933=1),MAX(0,MIN(AA933,CFG_WEM)-CFG_WSM),0)</f>
        <v>0</v>
      </c>
      <c r="AM933" s="80">
        <f>AK933+AL933</f>
        <v>0</v>
      </c>
      <c r="AN933" s="80">
        <f>IF(CFG_BRK="Proporcional",IF(AD933=0,0,AF933*AM933/AD933),IF(CFG_BRK="Extras primero",MIN(AM933,MAX(0,AF933-(AD933-AM933))),MIN(AF933,AM933)))</f>
        <v>0</v>
      </c>
      <c r="AO933" s="80">
        <f>AF933-AN933</f>
        <v>0</v>
      </c>
      <c r="AP933" s="80">
        <f>AM933-AN933</f>
        <v>0</v>
      </c>
      <c r="AQ933" s="80">
        <f>AD933-AM933-AO933</f>
        <v>0</v>
      </c>
      <c r="AR933" s="80">
        <f>IF(AM933=0,0,AK933-AN933*AK933/AM933)</f>
        <v>0</v>
      </c>
      <c r="AS933" s="80">
        <f>IF(AD933-AM933=0,0,(AJ933-AK933)-AO933*(AJ933-AK933)/(AD933-AM933))</f>
        <v>0</v>
      </c>
      <c r="AT933" s="80" t="str">
        <f>IF(AC933=1,INT(B933)+1,"")</f>
        <v/>
      </c>
      <c r="AU933" s="80">
        <f>IF(AND(D933="proMX",R933="Cancelled"),0,1)</f>
        <v>1</v>
      </c>
      <c r="AV933" s="80">
        <f>IF(AND(AB933=1,AU933=1),IF(COUNTIFS($D$5:D932,D933,$B$5:B932,B933,$Z$5:Z932,Z933,$AA$5:AA932,AA933,$F$5:F932,F933&amp;"",$AU$5:AU932,1)&gt;0,1,0),0)</f>
        <v>0</v>
      </c>
      <c r="AW933" s="80" t="str">
        <f>IF(AB933=1,INT(B933)*1440+Z933,"")</f>
        <v/>
      </c>
      <c r="AX933" s="80" t="str">
        <f>IF(AB933=1,AW933+AD933,"")</f>
        <v/>
      </c>
      <c r="AY933" s="80">
        <f>IF(AND(AB933=1,AV933=0,AU933=1),1,0)</f>
        <v>0</v>
      </c>
      <c r="AZ933" s="80">
        <f>IF(AY933=1,COUNTIFS(R_Emp,D933,R_SAbs,"&lt;"&amp;AX933,R_EAbs,"&gt;"&amp;AW933,R_OKey,1)-1,0)</f>
        <v>0</v>
      </c>
      <c r="BA933" s="80">
        <f>IF(AY933=1,COUNTIFS(R_Emp,"&lt;&gt;"&amp;D933,R_SAbs,"&lt;"&amp;AX933,R_EAbs,"&gt;"&amp;AW933,R_OKey,1),0)</f>
        <v>0</v>
      </c>
      <c r="BB933" s="80">
        <f>IF(AND(AB933=1,D933="proMX"),IF(AND(MOD(Z933,CFG_BLK)=0,MOD(AA933,CFG_BLK)=0,MOD(AG933,CFG_BLK)=0,AG933&gt;0),1,0),1)</f>
        <v>1</v>
      </c>
      <c r="BC933" s="80" t="str">
        <f>IF(Y933=0,"",IF(NOT(ISNUMBER(B933)),"Falta fecha o fecha inválida",IF(D933="","Falta empresa",IF(AND(D933&lt;&gt;"Malcolm",D933&lt;&gt;"proMX"),"Empresa inválida",IF(OR(INT(B933)&lt;CFG_PSTART,INT(B933)&gt;CFG_PEND),"Fecha fuera del período",IF(OR(NOT(ISNUMBER(Z933)),NOT(ISNUMBER(AA933))),"Falta hora inicio/fin o formato inválido",IF(AB933=0,"Hora inicio = hora fin",IF(AE933&lt;0,"Descanso inválido",IF(AE933&gt;=AD933,"Descanso ≥ duración",IF(AV933=1,"Registro duplicado",IF(AZ933&gt;0,"Se superpone con otro registro "&amp;D933,IF(BB933=0,"inicio, fin y duración neta deben ser múltiplos de "&amp;CFG_BLK&amp;" min",""))))))))))))</f>
        <v/>
      </c>
      <c r="BD933" s="80">
        <f>IF(AND(Y933=1,BC933=""),1,0)</f>
        <v>0</v>
      </c>
      <c r="BE933" s="80">
        <f>IF(AND(BD933=1,AU933=1),1,0)</f>
        <v>0</v>
      </c>
      <c r="BF933" s="80" t="str">
        <f>IF(AND(D933="proMX",BD933=1),IF(R933="","Draft",R933),"")</f>
        <v/>
      </c>
      <c r="BG933" s="80">
        <f>IF(BD933=1,ROUND(AG933/60,6),0)</f>
        <v>0</v>
      </c>
      <c r="BH933" s="80">
        <f>IF(BE933=1,ROUND(AG933/60,6),0)</f>
        <v>0</v>
      </c>
      <c r="BI933" s="80">
        <f>IF(BE933=1,ROUND(AP933/60,6),0)</f>
        <v>0</v>
      </c>
      <c r="BJ933" s="80">
        <f>IF(BE933=1,ROUND(AQ933/60,6),0)</f>
        <v>0</v>
      </c>
      <c r="BK933" s="80">
        <f>IF(BE933=1,ROUND((AR933+AS933)/60,6),0)</f>
        <v>0</v>
      </c>
      <c r="BL933" s="80">
        <f>ROUND(BH933-BK933,6)</f>
        <v>0</v>
      </c>
      <c r="BM933" s="80">
        <f>IF(BE933=1,ROUND(AR933/60,6),0)</f>
        <v>0</v>
      </c>
      <c r="BN933" s="80">
        <f>ROUND(BI933-BM933,6)</f>
        <v>0</v>
      </c>
      <c r="BO933" s="80">
        <f>IF(BE933=1,ROUND(AS933/60,6),0)</f>
        <v>0</v>
      </c>
      <c r="BP933" s="80">
        <f>ROUND(BJ933-BO933,6)</f>
        <v>0</v>
      </c>
      <c r="BQ933" s="80">
        <f>IF(BE933=1,AW933,0)</f>
        <v>0</v>
      </c>
      <c r="BR933" s="80">
        <f>IF(BE933=1,AX933,0)</f>
        <v>0</v>
      </c>
      <c r="BS933" s="80">
        <f>IF(AND(BE933=1,D933="Malcolm",BA933&gt;0),MIN(BH933,SUMPRODUCT((R_Emp="proMX")*(R_EN&gt;0)*((R_EN-(R_EN&gt;BR933)*(R_EN-BR933))&gt;(R_SN+(R_SN&lt;BQ933)*(BQ933-R_SN)))*((R_EN-(R_EN&gt;BR933)*(R_EN-BR933))-(R_SN+(R_SN&lt;BQ933)*(BQ933-R_SN))))/60),0)</f>
        <v>0</v>
      </c>
      <c r="BT933" s="80">
        <f>IF(AND(BE933=1,D933="proMX"),ROUND(BI933*CFG_RATE+BJ933*CFG_OTRATE,6),0)</f>
        <v>0</v>
      </c>
      <c r="BU933" s="80">
        <f>IF(AND(BD933=1,D933="proMX"),ROUND(AG933/CFG_BLK,6),0)</f>
        <v>0</v>
      </c>
      <c r="BV933" s="80" t="str">
        <f>IF(BF933="Approved",IF(ISNUMBER(T933),INT(T933),INT(B933)),"")</f>
        <v/>
      </c>
      <c r="BW933" s="80">
        <f>IF(ISNUMBER(B933),IF(DB_MON="Todos",1,IF(AND(INT(B933)&gt;=DB_MS,INT(B933)&lt;=DB_ME),1,0)),0)</f>
        <v>0</v>
      </c>
      <c r="BX933" s="80">
        <f>IF(DB_PROJ="Todos",1,IF(E933&amp;""=DB_PROJ&amp;"",1,0))</f>
        <v>1</v>
      </c>
      <c r="BY933" s="80">
        <f>BW933*BX933</f>
        <v>0</v>
      </c>
      <c r="BZ933" s="80" t="str">
        <f>IF(Y933=1,F933&amp;IF(AND(F933&amp;""&lt;&gt;"",E933&amp;""&lt;&gt;"")," · ","")&amp;E933,"")</f>
        <v/>
      </c>
      <c r="CA933" s="80" t="str">
        <f>IF(AND(BD933=1,E933&amp;""&lt;&gt;""),IF(COUNTIFS($E$5:E932,E933,$BD$5:BD932,1)=0,MAX($CA$5:CA932)+1,""),"")</f>
        <v/>
      </c>
      <c r="CB933" s="80" t="str">
        <f>IF(AND(BE933=1,D933="Malcolm",E933&amp;""&lt;&gt;""),IF(COUNTIFS($D$5:D932,"Malcolm",$E$5:E932,E933,$BE$5:BE932,1)=0,MAX($CB$5:CB932)+1,""),"")</f>
        <v/>
      </c>
      <c r="CC933" s="80" t="str">
        <f>IF(AND(BD933=1,D933="proMX",E933&amp;""&lt;&gt;""),IF(COUNTIFS($D$5:D932,"proMX",$E$5:E932,E933,$BD$5:BD932,1)=0,MAX($CC$5:CC932)+1,""),"")</f>
        <v/>
      </c>
      <c r="CD933" s="80" t="str">
        <f>IF(AND(BE933=1,D933="Malcolm",F933&amp;""&lt;&gt;""),IF(COUNTIFS($D$5:D932,"Malcolm",$F$5:F932,F933,$BE$5:BE932,1)=0,MAX($CD$5:CD932)+1,""),"")</f>
        <v/>
      </c>
      <c r="CE933" s="80" t="str">
        <f>IF(AND(BD933=1,D933="proMX",F933&amp;""&lt;&gt;""),IF(COUNTIFS($D$5:D932,"proMX",$F$5:F932,F933,$BD$5:BD932,1)=0,MAX($CE$5:CE932)+1,""),"")</f>
        <v/>
      </c>
      <c r="CF933" s="80" t="str">
        <f>IF(AND(D933="proMX",BD933=1),IF(OR(BF933="Draft",BF933="Submitted",BF933="Returned",BF933="Recall Requested"),MAX($CF$5:CF932)+1,""),"")</f>
        <v/>
      </c>
      <c r="CG933" s="80">
        <f>IF(BD933=0,0,IF(D933="Malcolm",1,MATCH(BF933,{"Draft","Submitted","Approved","Returned","Recall Requested","Cancelled"},0)+1))</f>
        <v>0</v>
      </c>
      <c r="CH933" s="80">
        <f>IF(AND(BF933="Submitted",ISNUMBER(V933)),IF(V933&gt;CFG_MAXD,1,0),0)</f>
        <v>0</v>
      </c>
    </row>
    <row r="934">
      <c r="A934" s="71" t="str">
        <f>IF(Y934=1,ROW()-5,"")</f>
        <v/>
      </c>
      <c r="B934" s="72" t="n"/>
      <c r="C934" s="71" t="str">
        <f>IF(ISNUMBER(B934),CHOOSE(WEEKDAY(B934,2),"Lun","Mar","Mié","Jue","Vie","Sáb","Dom"),"")</f>
        <v/>
      </c>
      <c r="D934" s="73" t="n"/>
      <c r="E934" s="74" t="n"/>
      <c r="F934" s="74" t="n"/>
      <c r="G934" s="74" t="n"/>
      <c r="H934" s="75" t="n"/>
      <c r="I934" s="75" t="n"/>
      <c r="J934" s="76" t="n"/>
      <c r="K934" s="77" t="str">
        <f>IF(AB934=1,ROUND(AG934/60,4),"")</f>
        <v/>
      </c>
      <c r="L934" s="77" t="str">
        <f>IF(BD934=1,ROUND(AP934/60,4),"")</f>
        <v/>
      </c>
      <c r="M934" s="77" t="str">
        <f>IF(BD934=1,ROUND(AQ934/60,4),"")</f>
        <v/>
      </c>
      <c r="N934" s="71" t="str">
        <f>IF(AND(D934="proMX",AB934=1),ROUND(AG934/CFG_BLK,2),"")</f>
        <v/>
      </c>
      <c r="O934" s="77" t="str">
        <f>IF(D934="proMX",IF(BD934=1,ROUND(AG934/60,4),0),"")</f>
        <v/>
      </c>
      <c r="P934" s="78" t="str">
        <f>IF(Y934=0,"",IF(BD934=1,"OK",IF(D934="proMX","Revisar bloques: ","Revisar: ")&amp;BC934))</f>
        <v/>
      </c>
      <c r="Q934" s="78" t="str">
        <f>IF(NOT(ISNUMBER(B934)),"",IF(COUNTIFS(FER_F,INT(B934))&gt;0,"Feriado"&amp;IF(AH934=1," (laborable)"," (no laborable)"),IF(AH934=1,"Laborable",IF(WEEKDAY(B934,2)&gt;5,"Fin de semana","No laborable"))))</f>
        <v/>
      </c>
      <c r="R934" s="73" t="n"/>
      <c r="S934" s="72" t="n"/>
      <c r="T934" s="72" t="n"/>
      <c r="U934" s="74" t="n"/>
      <c r="V934" s="79" t="str">
        <f>IF(AND(D934="proMX",OR(R934="Submitted",R934="Recall Requested"),ISNUMBER(S934)),CFG_TODAY-INT(S934),"")</f>
        <v/>
      </c>
      <c r="W934" s="78" t="str">
        <f>IF(BD934=0,"",IF(BA934&gt;0,"⚠ Se superpone con un registro de la otra empresa",IF(D934="Malcolm",IF(COUNTA(R934,S934,T934)&gt;0,"Estado/fechas proMX se ignoran en Malcolm",""),IF(BF934="Cancelled","Cancelado: excluido de totales",IF(R934="","Sin estado: se trata como Draft",IF(BF934="Submitted",IF(ISNUMBER(V934),IF(V934&gt;CFG_MAXD,"⚠ "&amp;V934&amp;" días en Submitted (máx. "&amp;CFG_MAXD&amp;")",""),"Falta fecha de envío"),IF(BF934="Returned","⚠ Devuelto: corregir y reenviar",IF(BF934="Recall Requested","Retirada solicitada: pendiente",IF(AND(BF934="Approved",NOT(ISNUMBER(T934))),"Falta fecha de aprobación",IF(AND(ISNUMBER(S934),ISNUMBER(T934),T934&lt;S934),"Aprobación anterior al envío","")))))))))</f>
        <v/>
      </c>
      <c r="Y934" s="80">
        <f>IF(COUNTA(B934,D934,E934,F934,G934,H934,I934,J934,R934,S934,T934)&gt;0,1,0)</f>
        <v>0</v>
      </c>
      <c r="Z934" s="80" t="str">
        <f>IF(AND(ISNUMBER(H934),H934&gt;=0,H934&lt;1),ROUND(H934*1440,0),"")</f>
        <v/>
      </c>
      <c r="AA934" s="80" t="str">
        <f>IF(AND(ISNUMBER(I934),I934&gt;=0,I934&lt;1),ROUND(I934*1440,0),"")</f>
        <v/>
      </c>
      <c r="AB934" s="80">
        <f>IF(AND(ISNUMBER(B934),D934&lt;&gt;"",ISNUMBER(Z934),ISNUMBER(AA934)),IF(Z934=AA934,0,1),0)</f>
        <v>0</v>
      </c>
      <c r="AC934" s="80">
        <f>IF(AB934=1,IF(AA934&lt;Z934,1,0),0)</f>
        <v>0</v>
      </c>
      <c r="AD934" s="80">
        <f>IF(AB934=1,IF(AC934=1,1440-Z934+AA934,AA934-Z934),0)</f>
        <v>0</v>
      </c>
      <c r="AE934" s="80">
        <f>IF(J934="",0,IF(ISNUMBER(J934),J934,-1))</f>
        <v>0</v>
      </c>
      <c r="AF934" s="80">
        <f>MIN(MAX(0,AE934),AD934)</f>
        <v>0</v>
      </c>
      <c r="AG934" s="80">
        <f>MAX(0,AD934-MAX(0,AE934))</f>
        <v>0</v>
      </c>
      <c r="AH934" s="80">
        <f>IF(ISNUMBER(B934),IF(AND(INDEX(CFG_WDAYS,WEEKDAY(INT(B934),2))="Sí",IF(D934="proMX",COUNTIFS(FER_F,INT(B934),FER_NLP,"Sí"),COUNTIFS(FER_F,INT(B934),FER_NLM,"Sí"))=0),1,0),0)</f>
        <v>0</v>
      </c>
      <c r="AI934" s="80">
        <f>IF(AC934=1,IF(AND(INDEX(CFG_WDAYS,WEEKDAY(INT(B934)+1,2))="Sí",IF(D934="proMX",COUNTIFS(FER_F,INT(B934)+1,FER_NLP,"Sí"),COUNTIFS(FER_F,INT(B934)+1,FER_NLM,"Sí"))=0),1,0),0)</f>
        <v>0</v>
      </c>
      <c r="AJ934" s="80">
        <f>IF(AC934=1,1440-Z934,AD934)</f>
        <v>0</v>
      </c>
      <c r="AK934" s="80">
        <f>IF(AND(AB934=1,AH934=1),MAX(0,MIN(IF(AC934=1,1440,AA934),CFG_WEM)-MAX(Z934,CFG_WSM)),0)</f>
        <v>0</v>
      </c>
      <c r="AL934" s="80">
        <f>IF(AND(AC934=1,AI934=1),MAX(0,MIN(AA934,CFG_WEM)-CFG_WSM),0)</f>
        <v>0</v>
      </c>
      <c r="AM934" s="80">
        <f>AK934+AL934</f>
        <v>0</v>
      </c>
      <c r="AN934" s="80">
        <f>IF(CFG_BRK="Proporcional",IF(AD934=0,0,AF934*AM934/AD934),IF(CFG_BRK="Extras primero",MIN(AM934,MAX(0,AF934-(AD934-AM934))),MIN(AF934,AM934)))</f>
        <v>0</v>
      </c>
      <c r="AO934" s="80">
        <f>AF934-AN934</f>
        <v>0</v>
      </c>
      <c r="AP934" s="80">
        <f>AM934-AN934</f>
        <v>0</v>
      </c>
      <c r="AQ934" s="80">
        <f>AD934-AM934-AO934</f>
        <v>0</v>
      </c>
      <c r="AR934" s="80">
        <f>IF(AM934=0,0,AK934-AN934*AK934/AM934)</f>
        <v>0</v>
      </c>
      <c r="AS934" s="80">
        <f>IF(AD934-AM934=0,0,(AJ934-AK934)-AO934*(AJ934-AK934)/(AD934-AM934))</f>
        <v>0</v>
      </c>
      <c r="AT934" s="80" t="str">
        <f>IF(AC934=1,INT(B934)+1,"")</f>
        <v/>
      </c>
      <c r="AU934" s="80">
        <f>IF(AND(D934="proMX",R934="Cancelled"),0,1)</f>
        <v>1</v>
      </c>
      <c r="AV934" s="80">
        <f>IF(AND(AB934=1,AU934=1),IF(COUNTIFS($D$5:D933,D934,$B$5:B933,B934,$Z$5:Z933,Z934,$AA$5:AA933,AA934,$F$5:F933,F934&amp;"",$AU$5:AU933,1)&gt;0,1,0),0)</f>
        <v>0</v>
      </c>
      <c r="AW934" s="80" t="str">
        <f>IF(AB934=1,INT(B934)*1440+Z934,"")</f>
        <v/>
      </c>
      <c r="AX934" s="80" t="str">
        <f>IF(AB934=1,AW934+AD934,"")</f>
        <v/>
      </c>
      <c r="AY934" s="80">
        <f>IF(AND(AB934=1,AV934=0,AU934=1),1,0)</f>
        <v>0</v>
      </c>
      <c r="AZ934" s="80">
        <f>IF(AY934=1,COUNTIFS(R_Emp,D934,R_SAbs,"&lt;"&amp;AX934,R_EAbs,"&gt;"&amp;AW934,R_OKey,1)-1,0)</f>
        <v>0</v>
      </c>
      <c r="BA934" s="80">
        <f>IF(AY934=1,COUNTIFS(R_Emp,"&lt;&gt;"&amp;D934,R_SAbs,"&lt;"&amp;AX934,R_EAbs,"&gt;"&amp;AW934,R_OKey,1),0)</f>
        <v>0</v>
      </c>
      <c r="BB934" s="80">
        <f>IF(AND(AB934=1,D934="proMX"),IF(AND(MOD(Z934,CFG_BLK)=0,MOD(AA934,CFG_BLK)=0,MOD(AG934,CFG_BLK)=0,AG934&gt;0),1,0),1)</f>
        <v>1</v>
      </c>
      <c r="BC934" s="80" t="str">
        <f>IF(Y934=0,"",IF(NOT(ISNUMBER(B934)),"Falta fecha o fecha inválida",IF(D934="","Falta empresa",IF(AND(D934&lt;&gt;"Malcolm",D934&lt;&gt;"proMX"),"Empresa inválida",IF(OR(INT(B934)&lt;CFG_PSTART,INT(B934)&gt;CFG_PEND),"Fecha fuera del período",IF(OR(NOT(ISNUMBER(Z934)),NOT(ISNUMBER(AA934))),"Falta hora inicio/fin o formato inválido",IF(AB934=0,"Hora inicio = hora fin",IF(AE934&lt;0,"Descanso inválido",IF(AE934&gt;=AD934,"Descanso ≥ duración",IF(AV934=1,"Registro duplicado",IF(AZ934&gt;0,"Se superpone con otro registro "&amp;D934,IF(BB934=0,"inicio, fin y duración neta deben ser múltiplos de "&amp;CFG_BLK&amp;" min",""))))))))))))</f>
        <v/>
      </c>
      <c r="BD934" s="80">
        <f>IF(AND(Y934=1,BC934=""),1,0)</f>
        <v>0</v>
      </c>
      <c r="BE934" s="80">
        <f>IF(AND(BD934=1,AU934=1),1,0)</f>
        <v>0</v>
      </c>
      <c r="BF934" s="80" t="str">
        <f>IF(AND(D934="proMX",BD934=1),IF(R934="","Draft",R934),"")</f>
        <v/>
      </c>
      <c r="BG934" s="80">
        <f>IF(BD934=1,ROUND(AG934/60,6),0)</f>
        <v>0</v>
      </c>
      <c r="BH934" s="80">
        <f>IF(BE934=1,ROUND(AG934/60,6),0)</f>
        <v>0</v>
      </c>
      <c r="BI934" s="80">
        <f>IF(BE934=1,ROUND(AP934/60,6),0)</f>
        <v>0</v>
      </c>
      <c r="BJ934" s="80">
        <f>IF(BE934=1,ROUND(AQ934/60,6),0)</f>
        <v>0</v>
      </c>
      <c r="BK934" s="80">
        <f>IF(BE934=1,ROUND((AR934+AS934)/60,6),0)</f>
        <v>0</v>
      </c>
      <c r="BL934" s="80">
        <f>ROUND(BH934-BK934,6)</f>
        <v>0</v>
      </c>
      <c r="BM934" s="80">
        <f>IF(BE934=1,ROUND(AR934/60,6),0)</f>
        <v>0</v>
      </c>
      <c r="BN934" s="80">
        <f>ROUND(BI934-BM934,6)</f>
        <v>0</v>
      </c>
      <c r="BO934" s="80">
        <f>IF(BE934=1,ROUND(AS934/60,6),0)</f>
        <v>0</v>
      </c>
      <c r="BP934" s="80">
        <f>ROUND(BJ934-BO934,6)</f>
        <v>0</v>
      </c>
      <c r="BQ934" s="80">
        <f>IF(BE934=1,AW934,0)</f>
        <v>0</v>
      </c>
      <c r="BR934" s="80">
        <f>IF(BE934=1,AX934,0)</f>
        <v>0</v>
      </c>
      <c r="BS934" s="80">
        <f>IF(AND(BE934=1,D934="Malcolm",BA934&gt;0),MIN(BH934,SUMPRODUCT((R_Emp="proMX")*(R_EN&gt;0)*((R_EN-(R_EN&gt;BR934)*(R_EN-BR934))&gt;(R_SN+(R_SN&lt;BQ934)*(BQ934-R_SN)))*((R_EN-(R_EN&gt;BR934)*(R_EN-BR934))-(R_SN+(R_SN&lt;BQ934)*(BQ934-R_SN))))/60),0)</f>
        <v>0</v>
      </c>
      <c r="BT934" s="80">
        <f>IF(AND(BE934=1,D934="proMX"),ROUND(BI934*CFG_RATE+BJ934*CFG_OTRATE,6),0)</f>
        <v>0</v>
      </c>
      <c r="BU934" s="80">
        <f>IF(AND(BD934=1,D934="proMX"),ROUND(AG934/CFG_BLK,6),0)</f>
        <v>0</v>
      </c>
      <c r="BV934" s="80" t="str">
        <f>IF(BF934="Approved",IF(ISNUMBER(T934),INT(T934),INT(B934)),"")</f>
        <v/>
      </c>
      <c r="BW934" s="80">
        <f>IF(ISNUMBER(B934),IF(DB_MON="Todos",1,IF(AND(INT(B934)&gt;=DB_MS,INT(B934)&lt;=DB_ME),1,0)),0)</f>
        <v>0</v>
      </c>
      <c r="BX934" s="80">
        <f>IF(DB_PROJ="Todos",1,IF(E934&amp;""=DB_PROJ&amp;"",1,0))</f>
        <v>1</v>
      </c>
      <c r="BY934" s="80">
        <f>BW934*BX934</f>
        <v>0</v>
      </c>
      <c r="BZ934" s="80" t="str">
        <f>IF(Y934=1,F934&amp;IF(AND(F934&amp;""&lt;&gt;"",E934&amp;""&lt;&gt;"")," · ","")&amp;E934,"")</f>
        <v/>
      </c>
      <c r="CA934" s="80" t="str">
        <f>IF(AND(BD934=1,E934&amp;""&lt;&gt;""),IF(COUNTIFS($E$5:E933,E934,$BD$5:BD933,1)=0,MAX($CA$5:CA933)+1,""),"")</f>
        <v/>
      </c>
      <c r="CB934" s="80" t="str">
        <f>IF(AND(BE934=1,D934="Malcolm",E934&amp;""&lt;&gt;""),IF(COUNTIFS($D$5:D933,"Malcolm",$E$5:E933,E934,$BE$5:BE933,1)=0,MAX($CB$5:CB933)+1,""),"")</f>
        <v/>
      </c>
      <c r="CC934" s="80" t="str">
        <f>IF(AND(BD934=1,D934="proMX",E934&amp;""&lt;&gt;""),IF(COUNTIFS($D$5:D933,"proMX",$E$5:E933,E934,$BD$5:BD933,1)=0,MAX($CC$5:CC933)+1,""),"")</f>
        <v/>
      </c>
      <c r="CD934" s="80" t="str">
        <f>IF(AND(BE934=1,D934="Malcolm",F934&amp;""&lt;&gt;""),IF(COUNTIFS($D$5:D933,"Malcolm",$F$5:F933,F934,$BE$5:BE933,1)=0,MAX($CD$5:CD933)+1,""),"")</f>
        <v/>
      </c>
      <c r="CE934" s="80" t="str">
        <f>IF(AND(BD934=1,D934="proMX",F934&amp;""&lt;&gt;""),IF(COUNTIFS($D$5:D933,"proMX",$F$5:F933,F934,$BD$5:BD933,1)=0,MAX($CE$5:CE933)+1,""),"")</f>
        <v/>
      </c>
      <c r="CF934" s="80" t="str">
        <f>IF(AND(D934="proMX",BD934=1),IF(OR(BF934="Draft",BF934="Submitted",BF934="Returned",BF934="Recall Requested"),MAX($CF$5:CF933)+1,""),"")</f>
        <v/>
      </c>
      <c r="CG934" s="80">
        <f>IF(BD934=0,0,IF(D934="Malcolm",1,MATCH(BF934,{"Draft","Submitted","Approved","Returned","Recall Requested","Cancelled"},0)+1))</f>
        <v>0</v>
      </c>
      <c r="CH934" s="80">
        <f>IF(AND(BF934="Submitted",ISNUMBER(V934)),IF(V934&gt;CFG_MAXD,1,0),0)</f>
        <v>0</v>
      </c>
    </row>
    <row r="935">
      <c r="A935" s="71" t="str">
        <f>IF(Y935=1,ROW()-5,"")</f>
        <v/>
      </c>
      <c r="B935" s="72" t="n"/>
      <c r="C935" s="71" t="str">
        <f>IF(ISNUMBER(B935),CHOOSE(WEEKDAY(B935,2),"Lun","Mar","Mié","Jue","Vie","Sáb","Dom"),"")</f>
        <v/>
      </c>
      <c r="D935" s="73" t="n"/>
      <c r="E935" s="74" t="n"/>
      <c r="F935" s="74" t="n"/>
      <c r="G935" s="74" t="n"/>
      <c r="H935" s="75" t="n"/>
      <c r="I935" s="75" t="n"/>
      <c r="J935" s="76" t="n"/>
      <c r="K935" s="77" t="str">
        <f>IF(AB935=1,ROUND(AG935/60,4),"")</f>
        <v/>
      </c>
      <c r="L935" s="77" t="str">
        <f>IF(BD935=1,ROUND(AP935/60,4),"")</f>
        <v/>
      </c>
      <c r="M935" s="77" t="str">
        <f>IF(BD935=1,ROUND(AQ935/60,4),"")</f>
        <v/>
      </c>
      <c r="N935" s="71" t="str">
        <f>IF(AND(D935="proMX",AB935=1),ROUND(AG935/CFG_BLK,2),"")</f>
        <v/>
      </c>
      <c r="O935" s="77" t="str">
        <f>IF(D935="proMX",IF(BD935=1,ROUND(AG935/60,4),0),"")</f>
        <v/>
      </c>
      <c r="P935" s="78" t="str">
        <f>IF(Y935=0,"",IF(BD935=1,"OK",IF(D935="proMX","Revisar bloques: ","Revisar: ")&amp;BC935))</f>
        <v/>
      </c>
      <c r="Q935" s="78" t="str">
        <f>IF(NOT(ISNUMBER(B935)),"",IF(COUNTIFS(FER_F,INT(B935))&gt;0,"Feriado"&amp;IF(AH935=1," (laborable)"," (no laborable)"),IF(AH935=1,"Laborable",IF(WEEKDAY(B935,2)&gt;5,"Fin de semana","No laborable"))))</f>
        <v/>
      </c>
      <c r="R935" s="73" t="n"/>
      <c r="S935" s="72" t="n"/>
      <c r="T935" s="72" t="n"/>
      <c r="U935" s="74" t="n"/>
      <c r="V935" s="79" t="str">
        <f>IF(AND(D935="proMX",OR(R935="Submitted",R935="Recall Requested"),ISNUMBER(S935)),CFG_TODAY-INT(S935),"")</f>
        <v/>
      </c>
      <c r="W935" s="78" t="str">
        <f>IF(BD935=0,"",IF(BA935&gt;0,"⚠ Se superpone con un registro de la otra empresa",IF(D935="Malcolm",IF(COUNTA(R935,S935,T935)&gt;0,"Estado/fechas proMX se ignoran en Malcolm",""),IF(BF935="Cancelled","Cancelado: excluido de totales",IF(R935="","Sin estado: se trata como Draft",IF(BF935="Submitted",IF(ISNUMBER(V935),IF(V935&gt;CFG_MAXD,"⚠ "&amp;V935&amp;" días en Submitted (máx. "&amp;CFG_MAXD&amp;")",""),"Falta fecha de envío"),IF(BF935="Returned","⚠ Devuelto: corregir y reenviar",IF(BF935="Recall Requested","Retirada solicitada: pendiente",IF(AND(BF935="Approved",NOT(ISNUMBER(T935))),"Falta fecha de aprobación",IF(AND(ISNUMBER(S935),ISNUMBER(T935),T935&lt;S935),"Aprobación anterior al envío","")))))))))</f>
        <v/>
      </c>
      <c r="Y935" s="80">
        <f>IF(COUNTA(B935,D935,E935,F935,G935,H935,I935,J935,R935,S935,T935)&gt;0,1,0)</f>
        <v>0</v>
      </c>
      <c r="Z935" s="80" t="str">
        <f>IF(AND(ISNUMBER(H935),H935&gt;=0,H935&lt;1),ROUND(H935*1440,0),"")</f>
        <v/>
      </c>
      <c r="AA935" s="80" t="str">
        <f>IF(AND(ISNUMBER(I935),I935&gt;=0,I935&lt;1),ROUND(I935*1440,0),"")</f>
        <v/>
      </c>
      <c r="AB935" s="80">
        <f>IF(AND(ISNUMBER(B935),D935&lt;&gt;"",ISNUMBER(Z935),ISNUMBER(AA935)),IF(Z935=AA935,0,1),0)</f>
        <v>0</v>
      </c>
      <c r="AC935" s="80">
        <f>IF(AB935=1,IF(AA935&lt;Z935,1,0),0)</f>
        <v>0</v>
      </c>
      <c r="AD935" s="80">
        <f>IF(AB935=1,IF(AC935=1,1440-Z935+AA935,AA935-Z935),0)</f>
        <v>0</v>
      </c>
      <c r="AE935" s="80">
        <f>IF(J935="",0,IF(ISNUMBER(J935),J935,-1))</f>
        <v>0</v>
      </c>
      <c r="AF935" s="80">
        <f>MIN(MAX(0,AE935),AD935)</f>
        <v>0</v>
      </c>
      <c r="AG935" s="80">
        <f>MAX(0,AD935-MAX(0,AE935))</f>
        <v>0</v>
      </c>
      <c r="AH935" s="80">
        <f>IF(ISNUMBER(B935),IF(AND(INDEX(CFG_WDAYS,WEEKDAY(INT(B935),2))="Sí",IF(D935="proMX",COUNTIFS(FER_F,INT(B935),FER_NLP,"Sí"),COUNTIFS(FER_F,INT(B935),FER_NLM,"Sí"))=0),1,0),0)</f>
        <v>0</v>
      </c>
      <c r="AI935" s="80">
        <f>IF(AC935=1,IF(AND(INDEX(CFG_WDAYS,WEEKDAY(INT(B935)+1,2))="Sí",IF(D935="proMX",COUNTIFS(FER_F,INT(B935)+1,FER_NLP,"Sí"),COUNTIFS(FER_F,INT(B935)+1,FER_NLM,"Sí"))=0),1,0),0)</f>
        <v>0</v>
      </c>
      <c r="AJ935" s="80">
        <f>IF(AC935=1,1440-Z935,AD935)</f>
        <v>0</v>
      </c>
      <c r="AK935" s="80">
        <f>IF(AND(AB935=1,AH935=1),MAX(0,MIN(IF(AC935=1,1440,AA935),CFG_WEM)-MAX(Z935,CFG_WSM)),0)</f>
        <v>0</v>
      </c>
      <c r="AL935" s="80">
        <f>IF(AND(AC935=1,AI935=1),MAX(0,MIN(AA935,CFG_WEM)-CFG_WSM),0)</f>
        <v>0</v>
      </c>
      <c r="AM935" s="80">
        <f>AK935+AL935</f>
        <v>0</v>
      </c>
      <c r="AN935" s="80">
        <f>IF(CFG_BRK="Proporcional",IF(AD935=0,0,AF935*AM935/AD935),IF(CFG_BRK="Extras primero",MIN(AM935,MAX(0,AF935-(AD935-AM935))),MIN(AF935,AM935)))</f>
        <v>0</v>
      </c>
      <c r="AO935" s="80">
        <f>AF935-AN935</f>
        <v>0</v>
      </c>
      <c r="AP935" s="80">
        <f>AM935-AN935</f>
        <v>0</v>
      </c>
      <c r="AQ935" s="80">
        <f>AD935-AM935-AO935</f>
        <v>0</v>
      </c>
      <c r="AR935" s="80">
        <f>IF(AM935=0,0,AK935-AN935*AK935/AM935)</f>
        <v>0</v>
      </c>
      <c r="AS935" s="80">
        <f>IF(AD935-AM935=0,0,(AJ935-AK935)-AO935*(AJ935-AK935)/(AD935-AM935))</f>
        <v>0</v>
      </c>
      <c r="AT935" s="80" t="str">
        <f>IF(AC935=1,INT(B935)+1,"")</f>
        <v/>
      </c>
      <c r="AU935" s="80">
        <f>IF(AND(D935="proMX",R935="Cancelled"),0,1)</f>
        <v>1</v>
      </c>
      <c r="AV935" s="80">
        <f>IF(AND(AB935=1,AU935=1),IF(COUNTIFS($D$5:D934,D935,$B$5:B934,B935,$Z$5:Z934,Z935,$AA$5:AA934,AA935,$F$5:F934,F935&amp;"",$AU$5:AU934,1)&gt;0,1,0),0)</f>
        <v>0</v>
      </c>
      <c r="AW935" s="80" t="str">
        <f>IF(AB935=1,INT(B935)*1440+Z935,"")</f>
        <v/>
      </c>
      <c r="AX935" s="80" t="str">
        <f>IF(AB935=1,AW935+AD935,"")</f>
        <v/>
      </c>
      <c r="AY935" s="80">
        <f>IF(AND(AB935=1,AV935=0,AU935=1),1,0)</f>
        <v>0</v>
      </c>
      <c r="AZ935" s="80">
        <f>IF(AY935=1,COUNTIFS(R_Emp,D935,R_SAbs,"&lt;"&amp;AX935,R_EAbs,"&gt;"&amp;AW935,R_OKey,1)-1,0)</f>
        <v>0</v>
      </c>
      <c r="BA935" s="80">
        <f>IF(AY935=1,COUNTIFS(R_Emp,"&lt;&gt;"&amp;D935,R_SAbs,"&lt;"&amp;AX935,R_EAbs,"&gt;"&amp;AW935,R_OKey,1),0)</f>
        <v>0</v>
      </c>
      <c r="BB935" s="80">
        <f>IF(AND(AB935=1,D935="proMX"),IF(AND(MOD(Z935,CFG_BLK)=0,MOD(AA935,CFG_BLK)=0,MOD(AG935,CFG_BLK)=0,AG935&gt;0),1,0),1)</f>
        <v>1</v>
      </c>
      <c r="BC935" s="80" t="str">
        <f>IF(Y935=0,"",IF(NOT(ISNUMBER(B935)),"Falta fecha o fecha inválida",IF(D935="","Falta empresa",IF(AND(D935&lt;&gt;"Malcolm",D935&lt;&gt;"proMX"),"Empresa inválida",IF(OR(INT(B935)&lt;CFG_PSTART,INT(B935)&gt;CFG_PEND),"Fecha fuera del período",IF(OR(NOT(ISNUMBER(Z935)),NOT(ISNUMBER(AA935))),"Falta hora inicio/fin o formato inválido",IF(AB935=0,"Hora inicio = hora fin",IF(AE935&lt;0,"Descanso inválido",IF(AE935&gt;=AD935,"Descanso ≥ duración",IF(AV935=1,"Registro duplicado",IF(AZ935&gt;0,"Se superpone con otro registro "&amp;D935,IF(BB935=0,"inicio, fin y duración neta deben ser múltiplos de "&amp;CFG_BLK&amp;" min",""))))))))))))</f>
        <v/>
      </c>
      <c r="BD935" s="80">
        <f>IF(AND(Y935=1,BC935=""),1,0)</f>
        <v>0</v>
      </c>
      <c r="BE935" s="80">
        <f>IF(AND(BD935=1,AU935=1),1,0)</f>
        <v>0</v>
      </c>
      <c r="BF935" s="80" t="str">
        <f>IF(AND(D935="proMX",BD935=1),IF(R935="","Draft",R935),"")</f>
        <v/>
      </c>
      <c r="BG935" s="80">
        <f>IF(BD935=1,ROUND(AG935/60,6),0)</f>
        <v>0</v>
      </c>
      <c r="BH935" s="80">
        <f>IF(BE935=1,ROUND(AG935/60,6),0)</f>
        <v>0</v>
      </c>
      <c r="BI935" s="80">
        <f>IF(BE935=1,ROUND(AP935/60,6),0)</f>
        <v>0</v>
      </c>
      <c r="BJ935" s="80">
        <f>IF(BE935=1,ROUND(AQ935/60,6),0)</f>
        <v>0</v>
      </c>
      <c r="BK935" s="80">
        <f>IF(BE935=1,ROUND((AR935+AS935)/60,6),0)</f>
        <v>0</v>
      </c>
      <c r="BL935" s="80">
        <f>ROUND(BH935-BK935,6)</f>
        <v>0</v>
      </c>
      <c r="BM935" s="80">
        <f>IF(BE935=1,ROUND(AR935/60,6),0)</f>
        <v>0</v>
      </c>
      <c r="BN935" s="80">
        <f>ROUND(BI935-BM935,6)</f>
        <v>0</v>
      </c>
      <c r="BO935" s="80">
        <f>IF(BE935=1,ROUND(AS935/60,6),0)</f>
        <v>0</v>
      </c>
      <c r="BP935" s="80">
        <f>ROUND(BJ935-BO935,6)</f>
        <v>0</v>
      </c>
      <c r="BQ935" s="80">
        <f>IF(BE935=1,AW935,0)</f>
        <v>0</v>
      </c>
      <c r="BR935" s="80">
        <f>IF(BE935=1,AX935,0)</f>
        <v>0</v>
      </c>
      <c r="BS935" s="80">
        <f>IF(AND(BE935=1,D935="Malcolm",BA935&gt;0),MIN(BH935,SUMPRODUCT((R_Emp="proMX")*(R_EN&gt;0)*((R_EN-(R_EN&gt;BR935)*(R_EN-BR935))&gt;(R_SN+(R_SN&lt;BQ935)*(BQ935-R_SN)))*((R_EN-(R_EN&gt;BR935)*(R_EN-BR935))-(R_SN+(R_SN&lt;BQ935)*(BQ935-R_SN))))/60),0)</f>
        <v>0</v>
      </c>
      <c r="BT935" s="80">
        <f>IF(AND(BE935=1,D935="proMX"),ROUND(BI935*CFG_RATE+BJ935*CFG_OTRATE,6),0)</f>
        <v>0</v>
      </c>
      <c r="BU935" s="80">
        <f>IF(AND(BD935=1,D935="proMX"),ROUND(AG935/CFG_BLK,6),0)</f>
        <v>0</v>
      </c>
      <c r="BV935" s="80" t="str">
        <f>IF(BF935="Approved",IF(ISNUMBER(T935),INT(T935),INT(B935)),"")</f>
        <v/>
      </c>
      <c r="BW935" s="80">
        <f>IF(ISNUMBER(B935),IF(DB_MON="Todos",1,IF(AND(INT(B935)&gt;=DB_MS,INT(B935)&lt;=DB_ME),1,0)),0)</f>
        <v>0</v>
      </c>
      <c r="BX935" s="80">
        <f>IF(DB_PROJ="Todos",1,IF(E935&amp;""=DB_PROJ&amp;"",1,0))</f>
        <v>1</v>
      </c>
      <c r="BY935" s="80">
        <f>BW935*BX935</f>
        <v>0</v>
      </c>
      <c r="BZ935" s="80" t="str">
        <f>IF(Y935=1,F935&amp;IF(AND(F935&amp;""&lt;&gt;"",E935&amp;""&lt;&gt;"")," · ","")&amp;E935,"")</f>
        <v/>
      </c>
      <c r="CA935" s="80" t="str">
        <f>IF(AND(BD935=1,E935&amp;""&lt;&gt;""),IF(COUNTIFS($E$5:E934,E935,$BD$5:BD934,1)=0,MAX($CA$5:CA934)+1,""),"")</f>
        <v/>
      </c>
      <c r="CB935" s="80" t="str">
        <f>IF(AND(BE935=1,D935="Malcolm",E935&amp;""&lt;&gt;""),IF(COUNTIFS($D$5:D934,"Malcolm",$E$5:E934,E935,$BE$5:BE934,1)=0,MAX($CB$5:CB934)+1,""),"")</f>
        <v/>
      </c>
      <c r="CC935" s="80" t="str">
        <f>IF(AND(BD935=1,D935="proMX",E935&amp;""&lt;&gt;""),IF(COUNTIFS($D$5:D934,"proMX",$E$5:E934,E935,$BD$5:BD934,1)=0,MAX($CC$5:CC934)+1,""),"")</f>
        <v/>
      </c>
      <c r="CD935" s="80" t="str">
        <f>IF(AND(BE935=1,D935="Malcolm",F935&amp;""&lt;&gt;""),IF(COUNTIFS($D$5:D934,"Malcolm",$F$5:F934,F935,$BE$5:BE934,1)=0,MAX($CD$5:CD934)+1,""),"")</f>
        <v/>
      </c>
      <c r="CE935" s="80" t="str">
        <f>IF(AND(BD935=1,D935="proMX",F935&amp;""&lt;&gt;""),IF(COUNTIFS($D$5:D934,"proMX",$F$5:F934,F935,$BD$5:BD934,1)=0,MAX($CE$5:CE934)+1,""),"")</f>
        <v/>
      </c>
      <c r="CF935" s="80" t="str">
        <f>IF(AND(D935="proMX",BD935=1),IF(OR(BF935="Draft",BF935="Submitted",BF935="Returned",BF935="Recall Requested"),MAX($CF$5:CF934)+1,""),"")</f>
        <v/>
      </c>
      <c r="CG935" s="80">
        <f>IF(BD935=0,0,IF(D935="Malcolm",1,MATCH(BF935,{"Draft","Submitted","Approved","Returned","Recall Requested","Cancelled"},0)+1))</f>
        <v>0</v>
      </c>
      <c r="CH935" s="80">
        <f>IF(AND(BF935="Submitted",ISNUMBER(V935)),IF(V935&gt;CFG_MAXD,1,0),0)</f>
        <v>0</v>
      </c>
    </row>
    <row r="936">
      <c r="A936" s="71" t="str">
        <f>IF(Y936=1,ROW()-5,"")</f>
        <v/>
      </c>
      <c r="B936" s="72" t="n"/>
      <c r="C936" s="71" t="str">
        <f>IF(ISNUMBER(B936),CHOOSE(WEEKDAY(B936,2),"Lun","Mar","Mié","Jue","Vie","Sáb","Dom"),"")</f>
        <v/>
      </c>
      <c r="D936" s="73" t="n"/>
      <c r="E936" s="74" t="n"/>
      <c r="F936" s="74" t="n"/>
      <c r="G936" s="74" t="n"/>
      <c r="H936" s="75" t="n"/>
      <c r="I936" s="75" t="n"/>
      <c r="J936" s="76" t="n"/>
      <c r="K936" s="77" t="str">
        <f>IF(AB936=1,ROUND(AG936/60,4),"")</f>
        <v/>
      </c>
      <c r="L936" s="77" t="str">
        <f>IF(BD936=1,ROUND(AP936/60,4),"")</f>
        <v/>
      </c>
      <c r="M936" s="77" t="str">
        <f>IF(BD936=1,ROUND(AQ936/60,4),"")</f>
        <v/>
      </c>
      <c r="N936" s="71" t="str">
        <f>IF(AND(D936="proMX",AB936=1),ROUND(AG936/CFG_BLK,2),"")</f>
        <v/>
      </c>
      <c r="O936" s="77" t="str">
        <f>IF(D936="proMX",IF(BD936=1,ROUND(AG936/60,4),0),"")</f>
        <v/>
      </c>
      <c r="P936" s="78" t="str">
        <f>IF(Y936=0,"",IF(BD936=1,"OK",IF(D936="proMX","Revisar bloques: ","Revisar: ")&amp;BC936))</f>
        <v/>
      </c>
      <c r="Q936" s="78" t="str">
        <f>IF(NOT(ISNUMBER(B936)),"",IF(COUNTIFS(FER_F,INT(B936))&gt;0,"Feriado"&amp;IF(AH936=1," (laborable)"," (no laborable)"),IF(AH936=1,"Laborable",IF(WEEKDAY(B936,2)&gt;5,"Fin de semana","No laborable"))))</f>
        <v/>
      </c>
      <c r="R936" s="73" t="n"/>
      <c r="S936" s="72" t="n"/>
      <c r="T936" s="72" t="n"/>
      <c r="U936" s="74" t="n"/>
      <c r="V936" s="79" t="str">
        <f>IF(AND(D936="proMX",OR(R936="Submitted",R936="Recall Requested"),ISNUMBER(S936)),CFG_TODAY-INT(S936),"")</f>
        <v/>
      </c>
      <c r="W936" s="78" t="str">
        <f>IF(BD936=0,"",IF(BA936&gt;0,"⚠ Se superpone con un registro de la otra empresa",IF(D936="Malcolm",IF(COUNTA(R936,S936,T936)&gt;0,"Estado/fechas proMX se ignoran en Malcolm",""),IF(BF936="Cancelled","Cancelado: excluido de totales",IF(R936="","Sin estado: se trata como Draft",IF(BF936="Submitted",IF(ISNUMBER(V936),IF(V936&gt;CFG_MAXD,"⚠ "&amp;V936&amp;" días en Submitted (máx. "&amp;CFG_MAXD&amp;")",""),"Falta fecha de envío"),IF(BF936="Returned","⚠ Devuelto: corregir y reenviar",IF(BF936="Recall Requested","Retirada solicitada: pendiente",IF(AND(BF936="Approved",NOT(ISNUMBER(T936))),"Falta fecha de aprobación",IF(AND(ISNUMBER(S936),ISNUMBER(T936),T936&lt;S936),"Aprobación anterior al envío","")))))))))</f>
        <v/>
      </c>
      <c r="Y936" s="80">
        <f>IF(COUNTA(B936,D936,E936,F936,G936,H936,I936,J936,R936,S936,T936)&gt;0,1,0)</f>
        <v>0</v>
      </c>
      <c r="Z936" s="80" t="str">
        <f>IF(AND(ISNUMBER(H936),H936&gt;=0,H936&lt;1),ROUND(H936*1440,0),"")</f>
        <v/>
      </c>
      <c r="AA936" s="80" t="str">
        <f>IF(AND(ISNUMBER(I936),I936&gt;=0,I936&lt;1),ROUND(I936*1440,0),"")</f>
        <v/>
      </c>
      <c r="AB936" s="80">
        <f>IF(AND(ISNUMBER(B936),D936&lt;&gt;"",ISNUMBER(Z936),ISNUMBER(AA936)),IF(Z936=AA936,0,1),0)</f>
        <v>0</v>
      </c>
      <c r="AC936" s="80">
        <f>IF(AB936=1,IF(AA936&lt;Z936,1,0),0)</f>
        <v>0</v>
      </c>
      <c r="AD936" s="80">
        <f>IF(AB936=1,IF(AC936=1,1440-Z936+AA936,AA936-Z936),0)</f>
        <v>0</v>
      </c>
      <c r="AE936" s="80">
        <f>IF(J936="",0,IF(ISNUMBER(J936),J936,-1))</f>
        <v>0</v>
      </c>
      <c r="AF936" s="80">
        <f>MIN(MAX(0,AE936),AD936)</f>
        <v>0</v>
      </c>
      <c r="AG936" s="80">
        <f>MAX(0,AD936-MAX(0,AE936))</f>
        <v>0</v>
      </c>
      <c r="AH936" s="80">
        <f>IF(ISNUMBER(B936),IF(AND(INDEX(CFG_WDAYS,WEEKDAY(INT(B936),2))="Sí",IF(D936="proMX",COUNTIFS(FER_F,INT(B936),FER_NLP,"Sí"),COUNTIFS(FER_F,INT(B936),FER_NLM,"Sí"))=0),1,0),0)</f>
        <v>0</v>
      </c>
      <c r="AI936" s="80">
        <f>IF(AC936=1,IF(AND(INDEX(CFG_WDAYS,WEEKDAY(INT(B936)+1,2))="Sí",IF(D936="proMX",COUNTIFS(FER_F,INT(B936)+1,FER_NLP,"Sí"),COUNTIFS(FER_F,INT(B936)+1,FER_NLM,"Sí"))=0),1,0),0)</f>
        <v>0</v>
      </c>
      <c r="AJ936" s="80">
        <f>IF(AC936=1,1440-Z936,AD936)</f>
        <v>0</v>
      </c>
      <c r="AK936" s="80">
        <f>IF(AND(AB936=1,AH936=1),MAX(0,MIN(IF(AC936=1,1440,AA936),CFG_WEM)-MAX(Z936,CFG_WSM)),0)</f>
        <v>0</v>
      </c>
      <c r="AL936" s="80">
        <f>IF(AND(AC936=1,AI936=1),MAX(0,MIN(AA936,CFG_WEM)-CFG_WSM),0)</f>
        <v>0</v>
      </c>
      <c r="AM936" s="80">
        <f>AK936+AL936</f>
        <v>0</v>
      </c>
      <c r="AN936" s="80">
        <f>IF(CFG_BRK="Proporcional",IF(AD936=0,0,AF936*AM936/AD936),IF(CFG_BRK="Extras primero",MIN(AM936,MAX(0,AF936-(AD936-AM936))),MIN(AF936,AM936)))</f>
        <v>0</v>
      </c>
      <c r="AO936" s="80">
        <f>AF936-AN936</f>
        <v>0</v>
      </c>
      <c r="AP936" s="80">
        <f>AM936-AN936</f>
        <v>0</v>
      </c>
      <c r="AQ936" s="80">
        <f>AD936-AM936-AO936</f>
        <v>0</v>
      </c>
      <c r="AR936" s="80">
        <f>IF(AM936=0,0,AK936-AN936*AK936/AM936)</f>
        <v>0</v>
      </c>
      <c r="AS936" s="80">
        <f>IF(AD936-AM936=0,0,(AJ936-AK936)-AO936*(AJ936-AK936)/(AD936-AM936))</f>
        <v>0</v>
      </c>
      <c r="AT936" s="80" t="str">
        <f>IF(AC936=1,INT(B936)+1,"")</f>
        <v/>
      </c>
      <c r="AU936" s="80">
        <f>IF(AND(D936="proMX",R936="Cancelled"),0,1)</f>
        <v>1</v>
      </c>
      <c r="AV936" s="80">
        <f>IF(AND(AB936=1,AU936=1),IF(COUNTIFS($D$5:D935,D936,$B$5:B935,B936,$Z$5:Z935,Z936,$AA$5:AA935,AA936,$F$5:F935,F936&amp;"",$AU$5:AU935,1)&gt;0,1,0),0)</f>
        <v>0</v>
      </c>
      <c r="AW936" s="80" t="str">
        <f>IF(AB936=1,INT(B936)*1440+Z936,"")</f>
        <v/>
      </c>
      <c r="AX936" s="80" t="str">
        <f>IF(AB936=1,AW936+AD936,"")</f>
        <v/>
      </c>
      <c r="AY936" s="80">
        <f>IF(AND(AB936=1,AV936=0,AU936=1),1,0)</f>
        <v>0</v>
      </c>
      <c r="AZ936" s="80">
        <f>IF(AY936=1,COUNTIFS(R_Emp,D936,R_SAbs,"&lt;"&amp;AX936,R_EAbs,"&gt;"&amp;AW936,R_OKey,1)-1,0)</f>
        <v>0</v>
      </c>
      <c r="BA936" s="80">
        <f>IF(AY936=1,COUNTIFS(R_Emp,"&lt;&gt;"&amp;D936,R_SAbs,"&lt;"&amp;AX936,R_EAbs,"&gt;"&amp;AW936,R_OKey,1),0)</f>
        <v>0</v>
      </c>
      <c r="BB936" s="80">
        <f>IF(AND(AB936=1,D936="proMX"),IF(AND(MOD(Z936,CFG_BLK)=0,MOD(AA936,CFG_BLK)=0,MOD(AG936,CFG_BLK)=0,AG936&gt;0),1,0),1)</f>
        <v>1</v>
      </c>
      <c r="BC936" s="80" t="str">
        <f>IF(Y936=0,"",IF(NOT(ISNUMBER(B936)),"Falta fecha o fecha inválida",IF(D936="","Falta empresa",IF(AND(D936&lt;&gt;"Malcolm",D936&lt;&gt;"proMX"),"Empresa inválida",IF(OR(INT(B936)&lt;CFG_PSTART,INT(B936)&gt;CFG_PEND),"Fecha fuera del período",IF(OR(NOT(ISNUMBER(Z936)),NOT(ISNUMBER(AA936))),"Falta hora inicio/fin o formato inválido",IF(AB936=0,"Hora inicio = hora fin",IF(AE936&lt;0,"Descanso inválido",IF(AE936&gt;=AD936,"Descanso ≥ duración",IF(AV936=1,"Registro duplicado",IF(AZ936&gt;0,"Se superpone con otro registro "&amp;D936,IF(BB936=0,"inicio, fin y duración neta deben ser múltiplos de "&amp;CFG_BLK&amp;" min",""))))))))))))</f>
        <v/>
      </c>
      <c r="BD936" s="80">
        <f>IF(AND(Y936=1,BC936=""),1,0)</f>
        <v>0</v>
      </c>
      <c r="BE936" s="80">
        <f>IF(AND(BD936=1,AU936=1),1,0)</f>
        <v>0</v>
      </c>
      <c r="BF936" s="80" t="str">
        <f>IF(AND(D936="proMX",BD936=1),IF(R936="","Draft",R936),"")</f>
        <v/>
      </c>
      <c r="BG936" s="80">
        <f>IF(BD936=1,ROUND(AG936/60,6),0)</f>
        <v>0</v>
      </c>
      <c r="BH936" s="80">
        <f>IF(BE936=1,ROUND(AG936/60,6),0)</f>
        <v>0</v>
      </c>
      <c r="BI936" s="80">
        <f>IF(BE936=1,ROUND(AP936/60,6),0)</f>
        <v>0</v>
      </c>
      <c r="BJ936" s="80">
        <f>IF(BE936=1,ROUND(AQ936/60,6),0)</f>
        <v>0</v>
      </c>
      <c r="BK936" s="80">
        <f>IF(BE936=1,ROUND((AR936+AS936)/60,6),0)</f>
        <v>0</v>
      </c>
      <c r="BL936" s="80">
        <f>ROUND(BH936-BK936,6)</f>
        <v>0</v>
      </c>
      <c r="BM936" s="80">
        <f>IF(BE936=1,ROUND(AR936/60,6),0)</f>
        <v>0</v>
      </c>
      <c r="BN936" s="80">
        <f>ROUND(BI936-BM936,6)</f>
        <v>0</v>
      </c>
      <c r="BO936" s="80">
        <f>IF(BE936=1,ROUND(AS936/60,6),0)</f>
        <v>0</v>
      </c>
      <c r="BP936" s="80">
        <f>ROUND(BJ936-BO936,6)</f>
        <v>0</v>
      </c>
      <c r="BQ936" s="80">
        <f>IF(BE936=1,AW936,0)</f>
        <v>0</v>
      </c>
      <c r="BR936" s="80">
        <f>IF(BE936=1,AX936,0)</f>
        <v>0</v>
      </c>
      <c r="BS936" s="80">
        <f>IF(AND(BE936=1,D936="Malcolm",BA936&gt;0),MIN(BH936,SUMPRODUCT((R_Emp="proMX")*(R_EN&gt;0)*((R_EN-(R_EN&gt;BR936)*(R_EN-BR936))&gt;(R_SN+(R_SN&lt;BQ936)*(BQ936-R_SN)))*((R_EN-(R_EN&gt;BR936)*(R_EN-BR936))-(R_SN+(R_SN&lt;BQ936)*(BQ936-R_SN))))/60),0)</f>
        <v>0</v>
      </c>
      <c r="BT936" s="80">
        <f>IF(AND(BE936=1,D936="proMX"),ROUND(BI936*CFG_RATE+BJ936*CFG_OTRATE,6),0)</f>
        <v>0</v>
      </c>
      <c r="BU936" s="80">
        <f>IF(AND(BD936=1,D936="proMX"),ROUND(AG936/CFG_BLK,6),0)</f>
        <v>0</v>
      </c>
      <c r="BV936" s="80" t="str">
        <f>IF(BF936="Approved",IF(ISNUMBER(T936),INT(T936),INT(B936)),"")</f>
        <v/>
      </c>
      <c r="BW936" s="80">
        <f>IF(ISNUMBER(B936),IF(DB_MON="Todos",1,IF(AND(INT(B936)&gt;=DB_MS,INT(B936)&lt;=DB_ME),1,0)),0)</f>
        <v>0</v>
      </c>
      <c r="BX936" s="80">
        <f>IF(DB_PROJ="Todos",1,IF(E936&amp;""=DB_PROJ&amp;"",1,0))</f>
        <v>1</v>
      </c>
      <c r="BY936" s="80">
        <f>BW936*BX936</f>
        <v>0</v>
      </c>
      <c r="BZ936" s="80" t="str">
        <f>IF(Y936=1,F936&amp;IF(AND(F936&amp;""&lt;&gt;"",E936&amp;""&lt;&gt;"")," · ","")&amp;E936,"")</f>
        <v/>
      </c>
      <c r="CA936" s="80" t="str">
        <f>IF(AND(BD936=1,E936&amp;""&lt;&gt;""),IF(COUNTIFS($E$5:E935,E936,$BD$5:BD935,1)=0,MAX($CA$5:CA935)+1,""),"")</f>
        <v/>
      </c>
      <c r="CB936" s="80" t="str">
        <f>IF(AND(BE936=1,D936="Malcolm",E936&amp;""&lt;&gt;""),IF(COUNTIFS($D$5:D935,"Malcolm",$E$5:E935,E936,$BE$5:BE935,1)=0,MAX($CB$5:CB935)+1,""),"")</f>
        <v/>
      </c>
      <c r="CC936" s="80" t="str">
        <f>IF(AND(BD936=1,D936="proMX",E936&amp;""&lt;&gt;""),IF(COUNTIFS($D$5:D935,"proMX",$E$5:E935,E936,$BD$5:BD935,1)=0,MAX($CC$5:CC935)+1,""),"")</f>
        <v/>
      </c>
      <c r="CD936" s="80" t="str">
        <f>IF(AND(BE936=1,D936="Malcolm",F936&amp;""&lt;&gt;""),IF(COUNTIFS($D$5:D935,"Malcolm",$F$5:F935,F936,$BE$5:BE935,1)=0,MAX($CD$5:CD935)+1,""),"")</f>
        <v/>
      </c>
      <c r="CE936" s="80" t="str">
        <f>IF(AND(BD936=1,D936="proMX",F936&amp;""&lt;&gt;""),IF(COUNTIFS($D$5:D935,"proMX",$F$5:F935,F936,$BD$5:BD935,1)=0,MAX($CE$5:CE935)+1,""),"")</f>
        <v/>
      </c>
      <c r="CF936" s="80" t="str">
        <f>IF(AND(D936="proMX",BD936=1),IF(OR(BF936="Draft",BF936="Submitted",BF936="Returned",BF936="Recall Requested"),MAX($CF$5:CF935)+1,""),"")</f>
        <v/>
      </c>
      <c r="CG936" s="80">
        <f>IF(BD936=0,0,IF(D936="Malcolm",1,MATCH(BF936,{"Draft","Submitted","Approved","Returned","Recall Requested","Cancelled"},0)+1))</f>
        <v>0</v>
      </c>
      <c r="CH936" s="80">
        <f>IF(AND(BF936="Submitted",ISNUMBER(V936)),IF(V936&gt;CFG_MAXD,1,0),0)</f>
        <v>0</v>
      </c>
    </row>
    <row r="937">
      <c r="A937" s="71" t="str">
        <f>IF(Y937=1,ROW()-5,"")</f>
        <v/>
      </c>
      <c r="B937" s="72" t="n"/>
      <c r="C937" s="71" t="str">
        <f>IF(ISNUMBER(B937),CHOOSE(WEEKDAY(B937,2),"Lun","Mar","Mié","Jue","Vie","Sáb","Dom"),"")</f>
        <v/>
      </c>
      <c r="D937" s="73" t="n"/>
      <c r="E937" s="74" t="n"/>
      <c r="F937" s="74" t="n"/>
      <c r="G937" s="74" t="n"/>
      <c r="H937" s="75" t="n"/>
      <c r="I937" s="75" t="n"/>
      <c r="J937" s="76" t="n"/>
      <c r="K937" s="77" t="str">
        <f>IF(AB937=1,ROUND(AG937/60,4),"")</f>
        <v/>
      </c>
      <c r="L937" s="77" t="str">
        <f>IF(BD937=1,ROUND(AP937/60,4),"")</f>
        <v/>
      </c>
      <c r="M937" s="77" t="str">
        <f>IF(BD937=1,ROUND(AQ937/60,4),"")</f>
        <v/>
      </c>
      <c r="N937" s="71" t="str">
        <f>IF(AND(D937="proMX",AB937=1),ROUND(AG937/CFG_BLK,2),"")</f>
        <v/>
      </c>
      <c r="O937" s="77" t="str">
        <f>IF(D937="proMX",IF(BD937=1,ROUND(AG937/60,4),0),"")</f>
        <v/>
      </c>
      <c r="P937" s="78" t="str">
        <f>IF(Y937=0,"",IF(BD937=1,"OK",IF(D937="proMX","Revisar bloques: ","Revisar: ")&amp;BC937))</f>
        <v/>
      </c>
      <c r="Q937" s="78" t="str">
        <f>IF(NOT(ISNUMBER(B937)),"",IF(COUNTIFS(FER_F,INT(B937))&gt;0,"Feriado"&amp;IF(AH937=1," (laborable)"," (no laborable)"),IF(AH937=1,"Laborable",IF(WEEKDAY(B937,2)&gt;5,"Fin de semana","No laborable"))))</f>
        <v/>
      </c>
      <c r="R937" s="73" t="n"/>
      <c r="S937" s="72" t="n"/>
      <c r="T937" s="72" t="n"/>
      <c r="U937" s="74" t="n"/>
      <c r="V937" s="79" t="str">
        <f>IF(AND(D937="proMX",OR(R937="Submitted",R937="Recall Requested"),ISNUMBER(S937)),CFG_TODAY-INT(S937),"")</f>
        <v/>
      </c>
      <c r="W937" s="78" t="str">
        <f>IF(BD937=0,"",IF(BA937&gt;0,"⚠ Se superpone con un registro de la otra empresa",IF(D937="Malcolm",IF(COUNTA(R937,S937,T937)&gt;0,"Estado/fechas proMX se ignoran en Malcolm",""),IF(BF937="Cancelled","Cancelado: excluido de totales",IF(R937="","Sin estado: se trata como Draft",IF(BF937="Submitted",IF(ISNUMBER(V937),IF(V937&gt;CFG_MAXD,"⚠ "&amp;V937&amp;" días en Submitted (máx. "&amp;CFG_MAXD&amp;")",""),"Falta fecha de envío"),IF(BF937="Returned","⚠ Devuelto: corregir y reenviar",IF(BF937="Recall Requested","Retirada solicitada: pendiente",IF(AND(BF937="Approved",NOT(ISNUMBER(T937))),"Falta fecha de aprobación",IF(AND(ISNUMBER(S937),ISNUMBER(T937),T937&lt;S937),"Aprobación anterior al envío","")))))))))</f>
        <v/>
      </c>
      <c r="Y937" s="80">
        <f>IF(COUNTA(B937,D937,E937,F937,G937,H937,I937,J937,R937,S937,T937)&gt;0,1,0)</f>
        <v>0</v>
      </c>
      <c r="Z937" s="80" t="str">
        <f>IF(AND(ISNUMBER(H937),H937&gt;=0,H937&lt;1),ROUND(H937*1440,0),"")</f>
        <v/>
      </c>
      <c r="AA937" s="80" t="str">
        <f>IF(AND(ISNUMBER(I937),I937&gt;=0,I937&lt;1),ROUND(I937*1440,0),"")</f>
        <v/>
      </c>
      <c r="AB937" s="80">
        <f>IF(AND(ISNUMBER(B937),D937&lt;&gt;"",ISNUMBER(Z937),ISNUMBER(AA937)),IF(Z937=AA937,0,1),0)</f>
        <v>0</v>
      </c>
      <c r="AC937" s="80">
        <f>IF(AB937=1,IF(AA937&lt;Z937,1,0),0)</f>
        <v>0</v>
      </c>
      <c r="AD937" s="80">
        <f>IF(AB937=1,IF(AC937=1,1440-Z937+AA937,AA937-Z937),0)</f>
        <v>0</v>
      </c>
      <c r="AE937" s="80">
        <f>IF(J937="",0,IF(ISNUMBER(J937),J937,-1))</f>
        <v>0</v>
      </c>
      <c r="AF937" s="80">
        <f>MIN(MAX(0,AE937),AD937)</f>
        <v>0</v>
      </c>
      <c r="AG937" s="80">
        <f>MAX(0,AD937-MAX(0,AE937))</f>
        <v>0</v>
      </c>
      <c r="AH937" s="80">
        <f>IF(ISNUMBER(B937),IF(AND(INDEX(CFG_WDAYS,WEEKDAY(INT(B937),2))="Sí",IF(D937="proMX",COUNTIFS(FER_F,INT(B937),FER_NLP,"Sí"),COUNTIFS(FER_F,INT(B937),FER_NLM,"Sí"))=0),1,0),0)</f>
        <v>0</v>
      </c>
      <c r="AI937" s="80">
        <f>IF(AC937=1,IF(AND(INDEX(CFG_WDAYS,WEEKDAY(INT(B937)+1,2))="Sí",IF(D937="proMX",COUNTIFS(FER_F,INT(B937)+1,FER_NLP,"Sí"),COUNTIFS(FER_F,INT(B937)+1,FER_NLM,"Sí"))=0),1,0),0)</f>
        <v>0</v>
      </c>
      <c r="AJ937" s="80">
        <f>IF(AC937=1,1440-Z937,AD937)</f>
        <v>0</v>
      </c>
      <c r="AK937" s="80">
        <f>IF(AND(AB937=1,AH937=1),MAX(0,MIN(IF(AC937=1,1440,AA937),CFG_WEM)-MAX(Z937,CFG_WSM)),0)</f>
        <v>0</v>
      </c>
      <c r="AL937" s="80">
        <f>IF(AND(AC937=1,AI937=1),MAX(0,MIN(AA937,CFG_WEM)-CFG_WSM),0)</f>
        <v>0</v>
      </c>
      <c r="AM937" s="80">
        <f>AK937+AL937</f>
        <v>0</v>
      </c>
      <c r="AN937" s="80">
        <f>IF(CFG_BRK="Proporcional",IF(AD937=0,0,AF937*AM937/AD937),IF(CFG_BRK="Extras primero",MIN(AM937,MAX(0,AF937-(AD937-AM937))),MIN(AF937,AM937)))</f>
        <v>0</v>
      </c>
      <c r="AO937" s="80">
        <f>AF937-AN937</f>
        <v>0</v>
      </c>
      <c r="AP937" s="80">
        <f>AM937-AN937</f>
        <v>0</v>
      </c>
      <c r="AQ937" s="80">
        <f>AD937-AM937-AO937</f>
        <v>0</v>
      </c>
      <c r="AR937" s="80">
        <f>IF(AM937=0,0,AK937-AN937*AK937/AM937)</f>
        <v>0</v>
      </c>
      <c r="AS937" s="80">
        <f>IF(AD937-AM937=0,0,(AJ937-AK937)-AO937*(AJ937-AK937)/(AD937-AM937))</f>
        <v>0</v>
      </c>
      <c r="AT937" s="80" t="str">
        <f>IF(AC937=1,INT(B937)+1,"")</f>
        <v/>
      </c>
      <c r="AU937" s="80">
        <f>IF(AND(D937="proMX",R937="Cancelled"),0,1)</f>
        <v>1</v>
      </c>
      <c r="AV937" s="80">
        <f>IF(AND(AB937=1,AU937=1),IF(COUNTIFS($D$5:D936,D937,$B$5:B936,B937,$Z$5:Z936,Z937,$AA$5:AA936,AA937,$F$5:F936,F937&amp;"",$AU$5:AU936,1)&gt;0,1,0),0)</f>
        <v>0</v>
      </c>
      <c r="AW937" s="80" t="str">
        <f>IF(AB937=1,INT(B937)*1440+Z937,"")</f>
        <v/>
      </c>
      <c r="AX937" s="80" t="str">
        <f>IF(AB937=1,AW937+AD937,"")</f>
        <v/>
      </c>
      <c r="AY937" s="80">
        <f>IF(AND(AB937=1,AV937=0,AU937=1),1,0)</f>
        <v>0</v>
      </c>
      <c r="AZ937" s="80">
        <f>IF(AY937=1,COUNTIFS(R_Emp,D937,R_SAbs,"&lt;"&amp;AX937,R_EAbs,"&gt;"&amp;AW937,R_OKey,1)-1,0)</f>
        <v>0</v>
      </c>
      <c r="BA937" s="80">
        <f>IF(AY937=1,COUNTIFS(R_Emp,"&lt;&gt;"&amp;D937,R_SAbs,"&lt;"&amp;AX937,R_EAbs,"&gt;"&amp;AW937,R_OKey,1),0)</f>
        <v>0</v>
      </c>
      <c r="BB937" s="80">
        <f>IF(AND(AB937=1,D937="proMX"),IF(AND(MOD(Z937,CFG_BLK)=0,MOD(AA937,CFG_BLK)=0,MOD(AG937,CFG_BLK)=0,AG937&gt;0),1,0),1)</f>
        <v>1</v>
      </c>
      <c r="BC937" s="80" t="str">
        <f>IF(Y937=0,"",IF(NOT(ISNUMBER(B937)),"Falta fecha o fecha inválida",IF(D937="","Falta empresa",IF(AND(D937&lt;&gt;"Malcolm",D937&lt;&gt;"proMX"),"Empresa inválida",IF(OR(INT(B937)&lt;CFG_PSTART,INT(B937)&gt;CFG_PEND),"Fecha fuera del período",IF(OR(NOT(ISNUMBER(Z937)),NOT(ISNUMBER(AA937))),"Falta hora inicio/fin o formato inválido",IF(AB937=0,"Hora inicio = hora fin",IF(AE937&lt;0,"Descanso inválido",IF(AE937&gt;=AD937,"Descanso ≥ duración",IF(AV937=1,"Registro duplicado",IF(AZ937&gt;0,"Se superpone con otro registro "&amp;D937,IF(BB937=0,"inicio, fin y duración neta deben ser múltiplos de "&amp;CFG_BLK&amp;" min",""))))))))))))</f>
        <v/>
      </c>
      <c r="BD937" s="80">
        <f>IF(AND(Y937=1,BC937=""),1,0)</f>
        <v>0</v>
      </c>
      <c r="BE937" s="80">
        <f>IF(AND(BD937=1,AU937=1),1,0)</f>
        <v>0</v>
      </c>
      <c r="BF937" s="80" t="str">
        <f>IF(AND(D937="proMX",BD937=1),IF(R937="","Draft",R937),"")</f>
        <v/>
      </c>
      <c r="BG937" s="80">
        <f>IF(BD937=1,ROUND(AG937/60,6),0)</f>
        <v>0</v>
      </c>
      <c r="BH937" s="80">
        <f>IF(BE937=1,ROUND(AG937/60,6),0)</f>
        <v>0</v>
      </c>
      <c r="BI937" s="80">
        <f>IF(BE937=1,ROUND(AP937/60,6),0)</f>
        <v>0</v>
      </c>
      <c r="BJ937" s="80">
        <f>IF(BE937=1,ROUND(AQ937/60,6),0)</f>
        <v>0</v>
      </c>
      <c r="BK937" s="80">
        <f>IF(BE937=1,ROUND((AR937+AS937)/60,6),0)</f>
        <v>0</v>
      </c>
      <c r="BL937" s="80">
        <f>ROUND(BH937-BK937,6)</f>
        <v>0</v>
      </c>
      <c r="BM937" s="80">
        <f>IF(BE937=1,ROUND(AR937/60,6),0)</f>
        <v>0</v>
      </c>
      <c r="BN937" s="80">
        <f>ROUND(BI937-BM937,6)</f>
        <v>0</v>
      </c>
      <c r="BO937" s="80">
        <f>IF(BE937=1,ROUND(AS937/60,6),0)</f>
        <v>0</v>
      </c>
      <c r="BP937" s="80">
        <f>ROUND(BJ937-BO937,6)</f>
        <v>0</v>
      </c>
      <c r="BQ937" s="80">
        <f>IF(BE937=1,AW937,0)</f>
        <v>0</v>
      </c>
      <c r="BR937" s="80">
        <f>IF(BE937=1,AX937,0)</f>
        <v>0</v>
      </c>
      <c r="BS937" s="80">
        <f>IF(AND(BE937=1,D937="Malcolm",BA937&gt;0),MIN(BH937,SUMPRODUCT((R_Emp="proMX")*(R_EN&gt;0)*((R_EN-(R_EN&gt;BR937)*(R_EN-BR937))&gt;(R_SN+(R_SN&lt;BQ937)*(BQ937-R_SN)))*((R_EN-(R_EN&gt;BR937)*(R_EN-BR937))-(R_SN+(R_SN&lt;BQ937)*(BQ937-R_SN))))/60),0)</f>
        <v>0</v>
      </c>
      <c r="BT937" s="80">
        <f>IF(AND(BE937=1,D937="proMX"),ROUND(BI937*CFG_RATE+BJ937*CFG_OTRATE,6),0)</f>
        <v>0</v>
      </c>
      <c r="BU937" s="80">
        <f>IF(AND(BD937=1,D937="proMX"),ROUND(AG937/CFG_BLK,6),0)</f>
        <v>0</v>
      </c>
      <c r="BV937" s="80" t="str">
        <f>IF(BF937="Approved",IF(ISNUMBER(T937),INT(T937),INT(B937)),"")</f>
        <v/>
      </c>
      <c r="BW937" s="80">
        <f>IF(ISNUMBER(B937),IF(DB_MON="Todos",1,IF(AND(INT(B937)&gt;=DB_MS,INT(B937)&lt;=DB_ME),1,0)),0)</f>
        <v>0</v>
      </c>
      <c r="BX937" s="80">
        <f>IF(DB_PROJ="Todos",1,IF(E937&amp;""=DB_PROJ&amp;"",1,0))</f>
        <v>1</v>
      </c>
      <c r="BY937" s="80">
        <f>BW937*BX937</f>
        <v>0</v>
      </c>
      <c r="BZ937" s="80" t="str">
        <f>IF(Y937=1,F937&amp;IF(AND(F937&amp;""&lt;&gt;"",E937&amp;""&lt;&gt;"")," · ","")&amp;E937,"")</f>
        <v/>
      </c>
      <c r="CA937" s="80" t="str">
        <f>IF(AND(BD937=1,E937&amp;""&lt;&gt;""),IF(COUNTIFS($E$5:E936,E937,$BD$5:BD936,1)=0,MAX($CA$5:CA936)+1,""),"")</f>
        <v/>
      </c>
      <c r="CB937" s="80" t="str">
        <f>IF(AND(BE937=1,D937="Malcolm",E937&amp;""&lt;&gt;""),IF(COUNTIFS($D$5:D936,"Malcolm",$E$5:E936,E937,$BE$5:BE936,1)=0,MAX($CB$5:CB936)+1,""),"")</f>
        <v/>
      </c>
      <c r="CC937" s="80" t="str">
        <f>IF(AND(BD937=1,D937="proMX",E937&amp;""&lt;&gt;""),IF(COUNTIFS($D$5:D936,"proMX",$E$5:E936,E937,$BD$5:BD936,1)=0,MAX($CC$5:CC936)+1,""),"")</f>
        <v/>
      </c>
      <c r="CD937" s="80" t="str">
        <f>IF(AND(BE937=1,D937="Malcolm",F937&amp;""&lt;&gt;""),IF(COUNTIFS($D$5:D936,"Malcolm",$F$5:F936,F937,$BE$5:BE936,1)=0,MAX($CD$5:CD936)+1,""),"")</f>
        <v/>
      </c>
      <c r="CE937" s="80" t="str">
        <f>IF(AND(BD937=1,D937="proMX",F937&amp;""&lt;&gt;""),IF(COUNTIFS($D$5:D936,"proMX",$F$5:F936,F937,$BD$5:BD936,1)=0,MAX($CE$5:CE936)+1,""),"")</f>
        <v/>
      </c>
      <c r="CF937" s="80" t="str">
        <f>IF(AND(D937="proMX",BD937=1),IF(OR(BF937="Draft",BF937="Submitted",BF937="Returned",BF937="Recall Requested"),MAX($CF$5:CF936)+1,""),"")</f>
        <v/>
      </c>
      <c r="CG937" s="80">
        <f>IF(BD937=0,0,IF(D937="Malcolm",1,MATCH(BF937,{"Draft","Submitted","Approved","Returned","Recall Requested","Cancelled"},0)+1))</f>
        <v>0</v>
      </c>
      <c r="CH937" s="80">
        <f>IF(AND(BF937="Submitted",ISNUMBER(V937)),IF(V937&gt;CFG_MAXD,1,0),0)</f>
        <v>0</v>
      </c>
    </row>
    <row r="938">
      <c r="A938" s="71" t="str">
        <f>IF(Y938=1,ROW()-5,"")</f>
        <v/>
      </c>
      <c r="B938" s="72" t="n"/>
      <c r="C938" s="71" t="str">
        <f>IF(ISNUMBER(B938),CHOOSE(WEEKDAY(B938,2),"Lun","Mar","Mié","Jue","Vie","Sáb","Dom"),"")</f>
        <v/>
      </c>
      <c r="D938" s="73" t="n"/>
      <c r="E938" s="74" t="n"/>
      <c r="F938" s="74" t="n"/>
      <c r="G938" s="74" t="n"/>
      <c r="H938" s="75" t="n"/>
      <c r="I938" s="75" t="n"/>
      <c r="J938" s="76" t="n"/>
      <c r="K938" s="77" t="str">
        <f>IF(AB938=1,ROUND(AG938/60,4),"")</f>
        <v/>
      </c>
      <c r="L938" s="77" t="str">
        <f>IF(BD938=1,ROUND(AP938/60,4),"")</f>
        <v/>
      </c>
      <c r="M938" s="77" t="str">
        <f>IF(BD938=1,ROUND(AQ938/60,4),"")</f>
        <v/>
      </c>
      <c r="N938" s="71" t="str">
        <f>IF(AND(D938="proMX",AB938=1),ROUND(AG938/CFG_BLK,2),"")</f>
        <v/>
      </c>
      <c r="O938" s="77" t="str">
        <f>IF(D938="proMX",IF(BD938=1,ROUND(AG938/60,4),0),"")</f>
        <v/>
      </c>
      <c r="P938" s="78" t="str">
        <f>IF(Y938=0,"",IF(BD938=1,"OK",IF(D938="proMX","Revisar bloques: ","Revisar: ")&amp;BC938))</f>
        <v/>
      </c>
      <c r="Q938" s="78" t="str">
        <f>IF(NOT(ISNUMBER(B938)),"",IF(COUNTIFS(FER_F,INT(B938))&gt;0,"Feriado"&amp;IF(AH938=1," (laborable)"," (no laborable)"),IF(AH938=1,"Laborable",IF(WEEKDAY(B938,2)&gt;5,"Fin de semana","No laborable"))))</f>
        <v/>
      </c>
      <c r="R938" s="73" t="n"/>
      <c r="S938" s="72" t="n"/>
      <c r="T938" s="72" t="n"/>
      <c r="U938" s="74" t="n"/>
      <c r="V938" s="79" t="str">
        <f>IF(AND(D938="proMX",OR(R938="Submitted",R938="Recall Requested"),ISNUMBER(S938)),CFG_TODAY-INT(S938),"")</f>
        <v/>
      </c>
      <c r="W938" s="78" t="str">
        <f>IF(BD938=0,"",IF(BA938&gt;0,"⚠ Se superpone con un registro de la otra empresa",IF(D938="Malcolm",IF(COUNTA(R938,S938,T938)&gt;0,"Estado/fechas proMX se ignoran en Malcolm",""),IF(BF938="Cancelled","Cancelado: excluido de totales",IF(R938="","Sin estado: se trata como Draft",IF(BF938="Submitted",IF(ISNUMBER(V938),IF(V938&gt;CFG_MAXD,"⚠ "&amp;V938&amp;" días en Submitted (máx. "&amp;CFG_MAXD&amp;")",""),"Falta fecha de envío"),IF(BF938="Returned","⚠ Devuelto: corregir y reenviar",IF(BF938="Recall Requested","Retirada solicitada: pendiente",IF(AND(BF938="Approved",NOT(ISNUMBER(T938))),"Falta fecha de aprobación",IF(AND(ISNUMBER(S938),ISNUMBER(T938),T938&lt;S938),"Aprobación anterior al envío","")))))))))</f>
        <v/>
      </c>
      <c r="Y938" s="80">
        <f>IF(COUNTA(B938,D938,E938,F938,G938,H938,I938,J938,R938,S938,T938)&gt;0,1,0)</f>
        <v>0</v>
      </c>
      <c r="Z938" s="80" t="str">
        <f>IF(AND(ISNUMBER(H938),H938&gt;=0,H938&lt;1),ROUND(H938*1440,0),"")</f>
        <v/>
      </c>
      <c r="AA938" s="80" t="str">
        <f>IF(AND(ISNUMBER(I938),I938&gt;=0,I938&lt;1),ROUND(I938*1440,0),"")</f>
        <v/>
      </c>
      <c r="AB938" s="80">
        <f>IF(AND(ISNUMBER(B938),D938&lt;&gt;"",ISNUMBER(Z938),ISNUMBER(AA938)),IF(Z938=AA938,0,1),0)</f>
        <v>0</v>
      </c>
      <c r="AC938" s="80">
        <f>IF(AB938=1,IF(AA938&lt;Z938,1,0),0)</f>
        <v>0</v>
      </c>
      <c r="AD938" s="80">
        <f>IF(AB938=1,IF(AC938=1,1440-Z938+AA938,AA938-Z938),0)</f>
        <v>0</v>
      </c>
      <c r="AE938" s="80">
        <f>IF(J938="",0,IF(ISNUMBER(J938),J938,-1))</f>
        <v>0</v>
      </c>
      <c r="AF938" s="80">
        <f>MIN(MAX(0,AE938),AD938)</f>
        <v>0</v>
      </c>
      <c r="AG938" s="80">
        <f>MAX(0,AD938-MAX(0,AE938))</f>
        <v>0</v>
      </c>
      <c r="AH938" s="80">
        <f>IF(ISNUMBER(B938),IF(AND(INDEX(CFG_WDAYS,WEEKDAY(INT(B938),2))="Sí",IF(D938="proMX",COUNTIFS(FER_F,INT(B938),FER_NLP,"Sí"),COUNTIFS(FER_F,INT(B938),FER_NLM,"Sí"))=0),1,0),0)</f>
        <v>0</v>
      </c>
      <c r="AI938" s="80">
        <f>IF(AC938=1,IF(AND(INDEX(CFG_WDAYS,WEEKDAY(INT(B938)+1,2))="Sí",IF(D938="proMX",COUNTIFS(FER_F,INT(B938)+1,FER_NLP,"Sí"),COUNTIFS(FER_F,INT(B938)+1,FER_NLM,"Sí"))=0),1,0),0)</f>
        <v>0</v>
      </c>
      <c r="AJ938" s="80">
        <f>IF(AC938=1,1440-Z938,AD938)</f>
        <v>0</v>
      </c>
      <c r="AK938" s="80">
        <f>IF(AND(AB938=1,AH938=1),MAX(0,MIN(IF(AC938=1,1440,AA938),CFG_WEM)-MAX(Z938,CFG_WSM)),0)</f>
        <v>0</v>
      </c>
      <c r="AL938" s="80">
        <f>IF(AND(AC938=1,AI938=1),MAX(0,MIN(AA938,CFG_WEM)-CFG_WSM),0)</f>
        <v>0</v>
      </c>
      <c r="AM938" s="80">
        <f>AK938+AL938</f>
        <v>0</v>
      </c>
      <c r="AN938" s="80">
        <f>IF(CFG_BRK="Proporcional",IF(AD938=0,0,AF938*AM938/AD938),IF(CFG_BRK="Extras primero",MIN(AM938,MAX(0,AF938-(AD938-AM938))),MIN(AF938,AM938)))</f>
        <v>0</v>
      </c>
      <c r="AO938" s="80">
        <f>AF938-AN938</f>
        <v>0</v>
      </c>
      <c r="AP938" s="80">
        <f>AM938-AN938</f>
        <v>0</v>
      </c>
      <c r="AQ938" s="80">
        <f>AD938-AM938-AO938</f>
        <v>0</v>
      </c>
      <c r="AR938" s="80">
        <f>IF(AM938=0,0,AK938-AN938*AK938/AM938)</f>
        <v>0</v>
      </c>
      <c r="AS938" s="80">
        <f>IF(AD938-AM938=0,0,(AJ938-AK938)-AO938*(AJ938-AK938)/(AD938-AM938))</f>
        <v>0</v>
      </c>
      <c r="AT938" s="80" t="str">
        <f>IF(AC938=1,INT(B938)+1,"")</f>
        <v/>
      </c>
      <c r="AU938" s="80">
        <f>IF(AND(D938="proMX",R938="Cancelled"),0,1)</f>
        <v>1</v>
      </c>
      <c r="AV938" s="80">
        <f>IF(AND(AB938=1,AU938=1),IF(COUNTIFS($D$5:D937,D938,$B$5:B937,B938,$Z$5:Z937,Z938,$AA$5:AA937,AA938,$F$5:F937,F938&amp;"",$AU$5:AU937,1)&gt;0,1,0),0)</f>
        <v>0</v>
      </c>
      <c r="AW938" s="80" t="str">
        <f>IF(AB938=1,INT(B938)*1440+Z938,"")</f>
        <v/>
      </c>
      <c r="AX938" s="80" t="str">
        <f>IF(AB938=1,AW938+AD938,"")</f>
        <v/>
      </c>
      <c r="AY938" s="80">
        <f>IF(AND(AB938=1,AV938=0,AU938=1),1,0)</f>
        <v>0</v>
      </c>
      <c r="AZ938" s="80">
        <f>IF(AY938=1,COUNTIFS(R_Emp,D938,R_SAbs,"&lt;"&amp;AX938,R_EAbs,"&gt;"&amp;AW938,R_OKey,1)-1,0)</f>
        <v>0</v>
      </c>
      <c r="BA938" s="80">
        <f>IF(AY938=1,COUNTIFS(R_Emp,"&lt;&gt;"&amp;D938,R_SAbs,"&lt;"&amp;AX938,R_EAbs,"&gt;"&amp;AW938,R_OKey,1),0)</f>
        <v>0</v>
      </c>
      <c r="BB938" s="80">
        <f>IF(AND(AB938=1,D938="proMX"),IF(AND(MOD(Z938,CFG_BLK)=0,MOD(AA938,CFG_BLK)=0,MOD(AG938,CFG_BLK)=0,AG938&gt;0),1,0),1)</f>
        <v>1</v>
      </c>
      <c r="BC938" s="80" t="str">
        <f>IF(Y938=0,"",IF(NOT(ISNUMBER(B938)),"Falta fecha o fecha inválida",IF(D938="","Falta empresa",IF(AND(D938&lt;&gt;"Malcolm",D938&lt;&gt;"proMX"),"Empresa inválida",IF(OR(INT(B938)&lt;CFG_PSTART,INT(B938)&gt;CFG_PEND),"Fecha fuera del período",IF(OR(NOT(ISNUMBER(Z938)),NOT(ISNUMBER(AA938))),"Falta hora inicio/fin o formato inválido",IF(AB938=0,"Hora inicio = hora fin",IF(AE938&lt;0,"Descanso inválido",IF(AE938&gt;=AD938,"Descanso ≥ duración",IF(AV938=1,"Registro duplicado",IF(AZ938&gt;0,"Se superpone con otro registro "&amp;D938,IF(BB938=0,"inicio, fin y duración neta deben ser múltiplos de "&amp;CFG_BLK&amp;" min",""))))))))))))</f>
        <v/>
      </c>
      <c r="BD938" s="80">
        <f>IF(AND(Y938=1,BC938=""),1,0)</f>
        <v>0</v>
      </c>
      <c r="BE938" s="80">
        <f>IF(AND(BD938=1,AU938=1),1,0)</f>
        <v>0</v>
      </c>
      <c r="BF938" s="80" t="str">
        <f>IF(AND(D938="proMX",BD938=1),IF(R938="","Draft",R938),"")</f>
        <v/>
      </c>
      <c r="BG938" s="80">
        <f>IF(BD938=1,ROUND(AG938/60,6),0)</f>
        <v>0</v>
      </c>
      <c r="BH938" s="80">
        <f>IF(BE938=1,ROUND(AG938/60,6),0)</f>
        <v>0</v>
      </c>
      <c r="BI938" s="80">
        <f>IF(BE938=1,ROUND(AP938/60,6),0)</f>
        <v>0</v>
      </c>
      <c r="BJ938" s="80">
        <f>IF(BE938=1,ROUND(AQ938/60,6),0)</f>
        <v>0</v>
      </c>
      <c r="BK938" s="80">
        <f>IF(BE938=1,ROUND((AR938+AS938)/60,6),0)</f>
        <v>0</v>
      </c>
      <c r="BL938" s="80">
        <f>ROUND(BH938-BK938,6)</f>
        <v>0</v>
      </c>
      <c r="BM938" s="80">
        <f>IF(BE938=1,ROUND(AR938/60,6),0)</f>
        <v>0</v>
      </c>
      <c r="BN938" s="80">
        <f>ROUND(BI938-BM938,6)</f>
        <v>0</v>
      </c>
      <c r="BO938" s="80">
        <f>IF(BE938=1,ROUND(AS938/60,6),0)</f>
        <v>0</v>
      </c>
      <c r="BP938" s="80">
        <f>ROUND(BJ938-BO938,6)</f>
        <v>0</v>
      </c>
      <c r="BQ938" s="80">
        <f>IF(BE938=1,AW938,0)</f>
        <v>0</v>
      </c>
      <c r="BR938" s="80">
        <f>IF(BE938=1,AX938,0)</f>
        <v>0</v>
      </c>
      <c r="BS938" s="80">
        <f>IF(AND(BE938=1,D938="Malcolm",BA938&gt;0),MIN(BH938,SUMPRODUCT((R_Emp="proMX")*(R_EN&gt;0)*((R_EN-(R_EN&gt;BR938)*(R_EN-BR938))&gt;(R_SN+(R_SN&lt;BQ938)*(BQ938-R_SN)))*((R_EN-(R_EN&gt;BR938)*(R_EN-BR938))-(R_SN+(R_SN&lt;BQ938)*(BQ938-R_SN))))/60),0)</f>
        <v>0</v>
      </c>
      <c r="BT938" s="80">
        <f>IF(AND(BE938=1,D938="proMX"),ROUND(BI938*CFG_RATE+BJ938*CFG_OTRATE,6),0)</f>
        <v>0</v>
      </c>
      <c r="BU938" s="80">
        <f>IF(AND(BD938=1,D938="proMX"),ROUND(AG938/CFG_BLK,6),0)</f>
        <v>0</v>
      </c>
      <c r="BV938" s="80" t="str">
        <f>IF(BF938="Approved",IF(ISNUMBER(T938),INT(T938),INT(B938)),"")</f>
        <v/>
      </c>
      <c r="BW938" s="80">
        <f>IF(ISNUMBER(B938),IF(DB_MON="Todos",1,IF(AND(INT(B938)&gt;=DB_MS,INT(B938)&lt;=DB_ME),1,0)),0)</f>
        <v>0</v>
      </c>
      <c r="BX938" s="80">
        <f>IF(DB_PROJ="Todos",1,IF(E938&amp;""=DB_PROJ&amp;"",1,0))</f>
        <v>1</v>
      </c>
      <c r="BY938" s="80">
        <f>BW938*BX938</f>
        <v>0</v>
      </c>
      <c r="BZ938" s="80" t="str">
        <f>IF(Y938=1,F938&amp;IF(AND(F938&amp;""&lt;&gt;"",E938&amp;""&lt;&gt;"")," · ","")&amp;E938,"")</f>
        <v/>
      </c>
      <c r="CA938" s="80" t="str">
        <f>IF(AND(BD938=1,E938&amp;""&lt;&gt;""),IF(COUNTIFS($E$5:E937,E938,$BD$5:BD937,1)=0,MAX($CA$5:CA937)+1,""),"")</f>
        <v/>
      </c>
      <c r="CB938" s="80" t="str">
        <f>IF(AND(BE938=1,D938="Malcolm",E938&amp;""&lt;&gt;""),IF(COUNTIFS($D$5:D937,"Malcolm",$E$5:E937,E938,$BE$5:BE937,1)=0,MAX($CB$5:CB937)+1,""),"")</f>
        <v/>
      </c>
      <c r="CC938" s="80" t="str">
        <f>IF(AND(BD938=1,D938="proMX",E938&amp;""&lt;&gt;""),IF(COUNTIFS($D$5:D937,"proMX",$E$5:E937,E938,$BD$5:BD937,1)=0,MAX($CC$5:CC937)+1,""),"")</f>
        <v/>
      </c>
      <c r="CD938" s="80" t="str">
        <f>IF(AND(BE938=1,D938="Malcolm",F938&amp;""&lt;&gt;""),IF(COUNTIFS($D$5:D937,"Malcolm",$F$5:F937,F938,$BE$5:BE937,1)=0,MAX($CD$5:CD937)+1,""),"")</f>
        <v/>
      </c>
      <c r="CE938" s="80" t="str">
        <f>IF(AND(BD938=1,D938="proMX",F938&amp;""&lt;&gt;""),IF(COUNTIFS($D$5:D937,"proMX",$F$5:F937,F938,$BD$5:BD937,1)=0,MAX($CE$5:CE937)+1,""),"")</f>
        <v/>
      </c>
      <c r="CF938" s="80" t="str">
        <f>IF(AND(D938="proMX",BD938=1),IF(OR(BF938="Draft",BF938="Submitted",BF938="Returned",BF938="Recall Requested"),MAX($CF$5:CF937)+1,""),"")</f>
        <v/>
      </c>
      <c r="CG938" s="80">
        <f>IF(BD938=0,0,IF(D938="Malcolm",1,MATCH(BF938,{"Draft","Submitted","Approved","Returned","Recall Requested","Cancelled"},0)+1))</f>
        <v>0</v>
      </c>
      <c r="CH938" s="80">
        <f>IF(AND(BF938="Submitted",ISNUMBER(V938)),IF(V938&gt;CFG_MAXD,1,0),0)</f>
        <v>0</v>
      </c>
    </row>
    <row r="939">
      <c r="A939" s="71" t="str">
        <f>IF(Y939=1,ROW()-5,"")</f>
        <v/>
      </c>
      <c r="B939" s="72" t="n"/>
      <c r="C939" s="71" t="str">
        <f>IF(ISNUMBER(B939),CHOOSE(WEEKDAY(B939,2),"Lun","Mar","Mié","Jue","Vie","Sáb","Dom"),"")</f>
        <v/>
      </c>
      <c r="D939" s="73" t="n"/>
      <c r="E939" s="74" t="n"/>
      <c r="F939" s="74" t="n"/>
      <c r="G939" s="74" t="n"/>
      <c r="H939" s="75" t="n"/>
      <c r="I939" s="75" t="n"/>
      <c r="J939" s="76" t="n"/>
      <c r="K939" s="77" t="str">
        <f>IF(AB939=1,ROUND(AG939/60,4),"")</f>
        <v/>
      </c>
      <c r="L939" s="77" t="str">
        <f>IF(BD939=1,ROUND(AP939/60,4),"")</f>
        <v/>
      </c>
      <c r="M939" s="77" t="str">
        <f>IF(BD939=1,ROUND(AQ939/60,4),"")</f>
        <v/>
      </c>
      <c r="N939" s="71" t="str">
        <f>IF(AND(D939="proMX",AB939=1),ROUND(AG939/CFG_BLK,2),"")</f>
        <v/>
      </c>
      <c r="O939" s="77" t="str">
        <f>IF(D939="proMX",IF(BD939=1,ROUND(AG939/60,4),0),"")</f>
        <v/>
      </c>
      <c r="P939" s="78" t="str">
        <f>IF(Y939=0,"",IF(BD939=1,"OK",IF(D939="proMX","Revisar bloques: ","Revisar: ")&amp;BC939))</f>
        <v/>
      </c>
      <c r="Q939" s="78" t="str">
        <f>IF(NOT(ISNUMBER(B939)),"",IF(COUNTIFS(FER_F,INT(B939))&gt;0,"Feriado"&amp;IF(AH939=1," (laborable)"," (no laborable)"),IF(AH939=1,"Laborable",IF(WEEKDAY(B939,2)&gt;5,"Fin de semana","No laborable"))))</f>
        <v/>
      </c>
      <c r="R939" s="73" t="n"/>
      <c r="S939" s="72" t="n"/>
      <c r="T939" s="72" t="n"/>
      <c r="U939" s="74" t="n"/>
      <c r="V939" s="79" t="str">
        <f>IF(AND(D939="proMX",OR(R939="Submitted",R939="Recall Requested"),ISNUMBER(S939)),CFG_TODAY-INT(S939),"")</f>
        <v/>
      </c>
      <c r="W939" s="78" t="str">
        <f>IF(BD939=0,"",IF(BA939&gt;0,"⚠ Se superpone con un registro de la otra empresa",IF(D939="Malcolm",IF(COUNTA(R939,S939,T939)&gt;0,"Estado/fechas proMX se ignoran en Malcolm",""),IF(BF939="Cancelled","Cancelado: excluido de totales",IF(R939="","Sin estado: se trata como Draft",IF(BF939="Submitted",IF(ISNUMBER(V939),IF(V939&gt;CFG_MAXD,"⚠ "&amp;V939&amp;" días en Submitted (máx. "&amp;CFG_MAXD&amp;")",""),"Falta fecha de envío"),IF(BF939="Returned","⚠ Devuelto: corregir y reenviar",IF(BF939="Recall Requested","Retirada solicitada: pendiente",IF(AND(BF939="Approved",NOT(ISNUMBER(T939))),"Falta fecha de aprobación",IF(AND(ISNUMBER(S939),ISNUMBER(T939),T939&lt;S939),"Aprobación anterior al envío","")))))))))</f>
        <v/>
      </c>
      <c r="Y939" s="80">
        <f>IF(COUNTA(B939,D939,E939,F939,G939,H939,I939,J939,R939,S939,T939)&gt;0,1,0)</f>
        <v>0</v>
      </c>
      <c r="Z939" s="80" t="str">
        <f>IF(AND(ISNUMBER(H939),H939&gt;=0,H939&lt;1),ROUND(H939*1440,0),"")</f>
        <v/>
      </c>
      <c r="AA939" s="80" t="str">
        <f>IF(AND(ISNUMBER(I939),I939&gt;=0,I939&lt;1),ROUND(I939*1440,0),"")</f>
        <v/>
      </c>
      <c r="AB939" s="80">
        <f>IF(AND(ISNUMBER(B939),D939&lt;&gt;"",ISNUMBER(Z939),ISNUMBER(AA939)),IF(Z939=AA939,0,1),0)</f>
        <v>0</v>
      </c>
      <c r="AC939" s="80">
        <f>IF(AB939=1,IF(AA939&lt;Z939,1,0),0)</f>
        <v>0</v>
      </c>
      <c r="AD939" s="80">
        <f>IF(AB939=1,IF(AC939=1,1440-Z939+AA939,AA939-Z939),0)</f>
        <v>0</v>
      </c>
      <c r="AE939" s="80">
        <f>IF(J939="",0,IF(ISNUMBER(J939),J939,-1))</f>
        <v>0</v>
      </c>
      <c r="AF939" s="80">
        <f>MIN(MAX(0,AE939),AD939)</f>
        <v>0</v>
      </c>
      <c r="AG939" s="80">
        <f>MAX(0,AD939-MAX(0,AE939))</f>
        <v>0</v>
      </c>
      <c r="AH939" s="80">
        <f>IF(ISNUMBER(B939),IF(AND(INDEX(CFG_WDAYS,WEEKDAY(INT(B939),2))="Sí",IF(D939="proMX",COUNTIFS(FER_F,INT(B939),FER_NLP,"Sí"),COUNTIFS(FER_F,INT(B939),FER_NLM,"Sí"))=0),1,0),0)</f>
        <v>0</v>
      </c>
      <c r="AI939" s="80">
        <f>IF(AC939=1,IF(AND(INDEX(CFG_WDAYS,WEEKDAY(INT(B939)+1,2))="Sí",IF(D939="proMX",COUNTIFS(FER_F,INT(B939)+1,FER_NLP,"Sí"),COUNTIFS(FER_F,INT(B939)+1,FER_NLM,"Sí"))=0),1,0),0)</f>
        <v>0</v>
      </c>
      <c r="AJ939" s="80">
        <f>IF(AC939=1,1440-Z939,AD939)</f>
        <v>0</v>
      </c>
      <c r="AK939" s="80">
        <f>IF(AND(AB939=1,AH939=1),MAX(0,MIN(IF(AC939=1,1440,AA939),CFG_WEM)-MAX(Z939,CFG_WSM)),0)</f>
        <v>0</v>
      </c>
      <c r="AL939" s="80">
        <f>IF(AND(AC939=1,AI939=1),MAX(0,MIN(AA939,CFG_WEM)-CFG_WSM),0)</f>
        <v>0</v>
      </c>
      <c r="AM939" s="80">
        <f>AK939+AL939</f>
        <v>0</v>
      </c>
      <c r="AN939" s="80">
        <f>IF(CFG_BRK="Proporcional",IF(AD939=0,0,AF939*AM939/AD939),IF(CFG_BRK="Extras primero",MIN(AM939,MAX(0,AF939-(AD939-AM939))),MIN(AF939,AM939)))</f>
        <v>0</v>
      </c>
      <c r="AO939" s="80">
        <f>AF939-AN939</f>
        <v>0</v>
      </c>
      <c r="AP939" s="80">
        <f>AM939-AN939</f>
        <v>0</v>
      </c>
      <c r="AQ939" s="80">
        <f>AD939-AM939-AO939</f>
        <v>0</v>
      </c>
      <c r="AR939" s="80">
        <f>IF(AM939=0,0,AK939-AN939*AK939/AM939)</f>
        <v>0</v>
      </c>
      <c r="AS939" s="80">
        <f>IF(AD939-AM939=0,0,(AJ939-AK939)-AO939*(AJ939-AK939)/(AD939-AM939))</f>
        <v>0</v>
      </c>
      <c r="AT939" s="80" t="str">
        <f>IF(AC939=1,INT(B939)+1,"")</f>
        <v/>
      </c>
      <c r="AU939" s="80">
        <f>IF(AND(D939="proMX",R939="Cancelled"),0,1)</f>
        <v>1</v>
      </c>
      <c r="AV939" s="80">
        <f>IF(AND(AB939=1,AU939=1),IF(COUNTIFS($D$5:D938,D939,$B$5:B938,B939,$Z$5:Z938,Z939,$AA$5:AA938,AA939,$F$5:F938,F939&amp;"",$AU$5:AU938,1)&gt;0,1,0),0)</f>
        <v>0</v>
      </c>
      <c r="AW939" s="80" t="str">
        <f>IF(AB939=1,INT(B939)*1440+Z939,"")</f>
        <v/>
      </c>
      <c r="AX939" s="80" t="str">
        <f>IF(AB939=1,AW939+AD939,"")</f>
        <v/>
      </c>
      <c r="AY939" s="80">
        <f>IF(AND(AB939=1,AV939=0,AU939=1),1,0)</f>
        <v>0</v>
      </c>
      <c r="AZ939" s="80">
        <f>IF(AY939=1,COUNTIFS(R_Emp,D939,R_SAbs,"&lt;"&amp;AX939,R_EAbs,"&gt;"&amp;AW939,R_OKey,1)-1,0)</f>
        <v>0</v>
      </c>
      <c r="BA939" s="80">
        <f>IF(AY939=1,COUNTIFS(R_Emp,"&lt;&gt;"&amp;D939,R_SAbs,"&lt;"&amp;AX939,R_EAbs,"&gt;"&amp;AW939,R_OKey,1),0)</f>
        <v>0</v>
      </c>
      <c r="BB939" s="80">
        <f>IF(AND(AB939=1,D939="proMX"),IF(AND(MOD(Z939,CFG_BLK)=0,MOD(AA939,CFG_BLK)=0,MOD(AG939,CFG_BLK)=0,AG939&gt;0),1,0),1)</f>
        <v>1</v>
      </c>
      <c r="BC939" s="80" t="str">
        <f>IF(Y939=0,"",IF(NOT(ISNUMBER(B939)),"Falta fecha o fecha inválida",IF(D939="","Falta empresa",IF(AND(D939&lt;&gt;"Malcolm",D939&lt;&gt;"proMX"),"Empresa inválida",IF(OR(INT(B939)&lt;CFG_PSTART,INT(B939)&gt;CFG_PEND),"Fecha fuera del período",IF(OR(NOT(ISNUMBER(Z939)),NOT(ISNUMBER(AA939))),"Falta hora inicio/fin o formato inválido",IF(AB939=0,"Hora inicio = hora fin",IF(AE939&lt;0,"Descanso inválido",IF(AE939&gt;=AD939,"Descanso ≥ duración",IF(AV939=1,"Registro duplicado",IF(AZ939&gt;0,"Se superpone con otro registro "&amp;D939,IF(BB939=0,"inicio, fin y duración neta deben ser múltiplos de "&amp;CFG_BLK&amp;" min",""))))))))))))</f>
        <v/>
      </c>
      <c r="BD939" s="80">
        <f>IF(AND(Y939=1,BC939=""),1,0)</f>
        <v>0</v>
      </c>
      <c r="BE939" s="80">
        <f>IF(AND(BD939=1,AU939=1),1,0)</f>
        <v>0</v>
      </c>
      <c r="BF939" s="80" t="str">
        <f>IF(AND(D939="proMX",BD939=1),IF(R939="","Draft",R939),"")</f>
        <v/>
      </c>
      <c r="BG939" s="80">
        <f>IF(BD939=1,ROUND(AG939/60,6),0)</f>
        <v>0</v>
      </c>
      <c r="BH939" s="80">
        <f>IF(BE939=1,ROUND(AG939/60,6),0)</f>
        <v>0</v>
      </c>
      <c r="BI939" s="80">
        <f>IF(BE939=1,ROUND(AP939/60,6),0)</f>
        <v>0</v>
      </c>
      <c r="BJ939" s="80">
        <f>IF(BE939=1,ROUND(AQ939/60,6),0)</f>
        <v>0</v>
      </c>
      <c r="BK939" s="80">
        <f>IF(BE939=1,ROUND((AR939+AS939)/60,6),0)</f>
        <v>0</v>
      </c>
      <c r="BL939" s="80">
        <f>ROUND(BH939-BK939,6)</f>
        <v>0</v>
      </c>
      <c r="BM939" s="80">
        <f>IF(BE939=1,ROUND(AR939/60,6),0)</f>
        <v>0</v>
      </c>
      <c r="BN939" s="80">
        <f>ROUND(BI939-BM939,6)</f>
        <v>0</v>
      </c>
      <c r="BO939" s="80">
        <f>IF(BE939=1,ROUND(AS939/60,6),0)</f>
        <v>0</v>
      </c>
      <c r="BP939" s="80">
        <f>ROUND(BJ939-BO939,6)</f>
        <v>0</v>
      </c>
      <c r="BQ939" s="80">
        <f>IF(BE939=1,AW939,0)</f>
        <v>0</v>
      </c>
      <c r="BR939" s="80">
        <f>IF(BE939=1,AX939,0)</f>
        <v>0</v>
      </c>
      <c r="BS939" s="80">
        <f>IF(AND(BE939=1,D939="Malcolm",BA939&gt;0),MIN(BH939,SUMPRODUCT((R_Emp="proMX")*(R_EN&gt;0)*((R_EN-(R_EN&gt;BR939)*(R_EN-BR939))&gt;(R_SN+(R_SN&lt;BQ939)*(BQ939-R_SN)))*((R_EN-(R_EN&gt;BR939)*(R_EN-BR939))-(R_SN+(R_SN&lt;BQ939)*(BQ939-R_SN))))/60),0)</f>
        <v>0</v>
      </c>
      <c r="BT939" s="80">
        <f>IF(AND(BE939=1,D939="proMX"),ROUND(BI939*CFG_RATE+BJ939*CFG_OTRATE,6),0)</f>
        <v>0</v>
      </c>
      <c r="BU939" s="80">
        <f>IF(AND(BD939=1,D939="proMX"),ROUND(AG939/CFG_BLK,6),0)</f>
        <v>0</v>
      </c>
      <c r="BV939" s="80" t="str">
        <f>IF(BF939="Approved",IF(ISNUMBER(T939),INT(T939),INT(B939)),"")</f>
        <v/>
      </c>
      <c r="BW939" s="80">
        <f>IF(ISNUMBER(B939),IF(DB_MON="Todos",1,IF(AND(INT(B939)&gt;=DB_MS,INT(B939)&lt;=DB_ME),1,0)),0)</f>
        <v>0</v>
      </c>
      <c r="BX939" s="80">
        <f>IF(DB_PROJ="Todos",1,IF(E939&amp;""=DB_PROJ&amp;"",1,0))</f>
        <v>1</v>
      </c>
      <c r="BY939" s="80">
        <f>BW939*BX939</f>
        <v>0</v>
      </c>
      <c r="BZ939" s="80" t="str">
        <f>IF(Y939=1,F939&amp;IF(AND(F939&amp;""&lt;&gt;"",E939&amp;""&lt;&gt;"")," · ","")&amp;E939,"")</f>
        <v/>
      </c>
      <c r="CA939" s="80" t="str">
        <f>IF(AND(BD939=1,E939&amp;""&lt;&gt;""),IF(COUNTIFS($E$5:E938,E939,$BD$5:BD938,1)=0,MAX($CA$5:CA938)+1,""),"")</f>
        <v/>
      </c>
      <c r="CB939" s="80" t="str">
        <f>IF(AND(BE939=1,D939="Malcolm",E939&amp;""&lt;&gt;""),IF(COUNTIFS($D$5:D938,"Malcolm",$E$5:E938,E939,$BE$5:BE938,1)=0,MAX($CB$5:CB938)+1,""),"")</f>
        <v/>
      </c>
      <c r="CC939" s="80" t="str">
        <f>IF(AND(BD939=1,D939="proMX",E939&amp;""&lt;&gt;""),IF(COUNTIFS($D$5:D938,"proMX",$E$5:E938,E939,$BD$5:BD938,1)=0,MAX($CC$5:CC938)+1,""),"")</f>
        <v/>
      </c>
      <c r="CD939" s="80" t="str">
        <f>IF(AND(BE939=1,D939="Malcolm",F939&amp;""&lt;&gt;""),IF(COUNTIFS($D$5:D938,"Malcolm",$F$5:F938,F939,$BE$5:BE938,1)=0,MAX($CD$5:CD938)+1,""),"")</f>
        <v/>
      </c>
      <c r="CE939" s="80" t="str">
        <f>IF(AND(BD939=1,D939="proMX",F939&amp;""&lt;&gt;""),IF(COUNTIFS($D$5:D938,"proMX",$F$5:F938,F939,$BD$5:BD938,1)=0,MAX($CE$5:CE938)+1,""),"")</f>
        <v/>
      </c>
      <c r="CF939" s="80" t="str">
        <f>IF(AND(D939="proMX",BD939=1),IF(OR(BF939="Draft",BF939="Submitted",BF939="Returned",BF939="Recall Requested"),MAX($CF$5:CF938)+1,""),"")</f>
        <v/>
      </c>
      <c r="CG939" s="80">
        <f>IF(BD939=0,0,IF(D939="Malcolm",1,MATCH(BF939,{"Draft","Submitted","Approved","Returned","Recall Requested","Cancelled"},0)+1))</f>
        <v>0</v>
      </c>
      <c r="CH939" s="80">
        <f>IF(AND(BF939="Submitted",ISNUMBER(V939)),IF(V939&gt;CFG_MAXD,1,0),0)</f>
        <v>0</v>
      </c>
    </row>
    <row r="940">
      <c r="A940" s="71" t="str">
        <f>IF(Y940=1,ROW()-5,"")</f>
        <v/>
      </c>
      <c r="B940" s="72" t="n"/>
      <c r="C940" s="71" t="str">
        <f>IF(ISNUMBER(B940),CHOOSE(WEEKDAY(B940,2),"Lun","Mar","Mié","Jue","Vie","Sáb","Dom"),"")</f>
        <v/>
      </c>
      <c r="D940" s="73" t="n"/>
      <c r="E940" s="74" t="n"/>
      <c r="F940" s="74" t="n"/>
      <c r="G940" s="74" t="n"/>
      <c r="H940" s="75" t="n"/>
      <c r="I940" s="75" t="n"/>
      <c r="J940" s="76" t="n"/>
      <c r="K940" s="77" t="str">
        <f>IF(AB940=1,ROUND(AG940/60,4),"")</f>
        <v/>
      </c>
      <c r="L940" s="77" t="str">
        <f>IF(BD940=1,ROUND(AP940/60,4),"")</f>
        <v/>
      </c>
      <c r="M940" s="77" t="str">
        <f>IF(BD940=1,ROUND(AQ940/60,4),"")</f>
        <v/>
      </c>
      <c r="N940" s="71" t="str">
        <f>IF(AND(D940="proMX",AB940=1),ROUND(AG940/CFG_BLK,2),"")</f>
        <v/>
      </c>
      <c r="O940" s="77" t="str">
        <f>IF(D940="proMX",IF(BD940=1,ROUND(AG940/60,4),0),"")</f>
        <v/>
      </c>
      <c r="P940" s="78" t="str">
        <f>IF(Y940=0,"",IF(BD940=1,"OK",IF(D940="proMX","Revisar bloques: ","Revisar: ")&amp;BC940))</f>
        <v/>
      </c>
      <c r="Q940" s="78" t="str">
        <f>IF(NOT(ISNUMBER(B940)),"",IF(COUNTIFS(FER_F,INT(B940))&gt;0,"Feriado"&amp;IF(AH940=1," (laborable)"," (no laborable)"),IF(AH940=1,"Laborable",IF(WEEKDAY(B940,2)&gt;5,"Fin de semana","No laborable"))))</f>
        <v/>
      </c>
      <c r="R940" s="73" t="n"/>
      <c r="S940" s="72" t="n"/>
      <c r="T940" s="72" t="n"/>
      <c r="U940" s="74" t="n"/>
      <c r="V940" s="79" t="str">
        <f>IF(AND(D940="proMX",OR(R940="Submitted",R940="Recall Requested"),ISNUMBER(S940)),CFG_TODAY-INT(S940),"")</f>
        <v/>
      </c>
      <c r="W940" s="78" t="str">
        <f>IF(BD940=0,"",IF(BA940&gt;0,"⚠ Se superpone con un registro de la otra empresa",IF(D940="Malcolm",IF(COUNTA(R940,S940,T940)&gt;0,"Estado/fechas proMX se ignoran en Malcolm",""),IF(BF940="Cancelled","Cancelado: excluido de totales",IF(R940="","Sin estado: se trata como Draft",IF(BF940="Submitted",IF(ISNUMBER(V940),IF(V940&gt;CFG_MAXD,"⚠ "&amp;V940&amp;" días en Submitted (máx. "&amp;CFG_MAXD&amp;")",""),"Falta fecha de envío"),IF(BF940="Returned","⚠ Devuelto: corregir y reenviar",IF(BF940="Recall Requested","Retirada solicitada: pendiente",IF(AND(BF940="Approved",NOT(ISNUMBER(T940))),"Falta fecha de aprobación",IF(AND(ISNUMBER(S940),ISNUMBER(T940),T940&lt;S940),"Aprobación anterior al envío","")))))))))</f>
        <v/>
      </c>
      <c r="Y940" s="80">
        <f>IF(COUNTA(B940,D940,E940,F940,G940,H940,I940,J940,R940,S940,T940)&gt;0,1,0)</f>
        <v>0</v>
      </c>
      <c r="Z940" s="80" t="str">
        <f>IF(AND(ISNUMBER(H940),H940&gt;=0,H940&lt;1),ROUND(H940*1440,0),"")</f>
        <v/>
      </c>
      <c r="AA940" s="80" t="str">
        <f>IF(AND(ISNUMBER(I940),I940&gt;=0,I940&lt;1),ROUND(I940*1440,0),"")</f>
        <v/>
      </c>
      <c r="AB940" s="80">
        <f>IF(AND(ISNUMBER(B940),D940&lt;&gt;"",ISNUMBER(Z940),ISNUMBER(AA940)),IF(Z940=AA940,0,1),0)</f>
        <v>0</v>
      </c>
      <c r="AC940" s="80">
        <f>IF(AB940=1,IF(AA940&lt;Z940,1,0),0)</f>
        <v>0</v>
      </c>
      <c r="AD940" s="80">
        <f>IF(AB940=1,IF(AC940=1,1440-Z940+AA940,AA940-Z940),0)</f>
        <v>0</v>
      </c>
      <c r="AE940" s="80">
        <f>IF(J940="",0,IF(ISNUMBER(J940),J940,-1))</f>
        <v>0</v>
      </c>
      <c r="AF940" s="80">
        <f>MIN(MAX(0,AE940),AD940)</f>
        <v>0</v>
      </c>
      <c r="AG940" s="80">
        <f>MAX(0,AD940-MAX(0,AE940))</f>
        <v>0</v>
      </c>
      <c r="AH940" s="80">
        <f>IF(ISNUMBER(B940),IF(AND(INDEX(CFG_WDAYS,WEEKDAY(INT(B940),2))="Sí",IF(D940="proMX",COUNTIFS(FER_F,INT(B940),FER_NLP,"Sí"),COUNTIFS(FER_F,INT(B940),FER_NLM,"Sí"))=0),1,0),0)</f>
        <v>0</v>
      </c>
      <c r="AI940" s="80">
        <f>IF(AC940=1,IF(AND(INDEX(CFG_WDAYS,WEEKDAY(INT(B940)+1,2))="Sí",IF(D940="proMX",COUNTIFS(FER_F,INT(B940)+1,FER_NLP,"Sí"),COUNTIFS(FER_F,INT(B940)+1,FER_NLM,"Sí"))=0),1,0),0)</f>
        <v>0</v>
      </c>
      <c r="AJ940" s="80">
        <f>IF(AC940=1,1440-Z940,AD940)</f>
        <v>0</v>
      </c>
      <c r="AK940" s="80">
        <f>IF(AND(AB940=1,AH940=1),MAX(0,MIN(IF(AC940=1,1440,AA940),CFG_WEM)-MAX(Z940,CFG_WSM)),0)</f>
        <v>0</v>
      </c>
      <c r="AL940" s="80">
        <f>IF(AND(AC940=1,AI940=1),MAX(0,MIN(AA940,CFG_WEM)-CFG_WSM),0)</f>
        <v>0</v>
      </c>
      <c r="AM940" s="80">
        <f>AK940+AL940</f>
        <v>0</v>
      </c>
      <c r="AN940" s="80">
        <f>IF(CFG_BRK="Proporcional",IF(AD940=0,0,AF940*AM940/AD940),IF(CFG_BRK="Extras primero",MIN(AM940,MAX(0,AF940-(AD940-AM940))),MIN(AF940,AM940)))</f>
        <v>0</v>
      </c>
      <c r="AO940" s="80">
        <f>AF940-AN940</f>
        <v>0</v>
      </c>
      <c r="AP940" s="80">
        <f>AM940-AN940</f>
        <v>0</v>
      </c>
      <c r="AQ940" s="80">
        <f>AD940-AM940-AO940</f>
        <v>0</v>
      </c>
      <c r="AR940" s="80">
        <f>IF(AM940=0,0,AK940-AN940*AK940/AM940)</f>
        <v>0</v>
      </c>
      <c r="AS940" s="80">
        <f>IF(AD940-AM940=0,0,(AJ940-AK940)-AO940*(AJ940-AK940)/(AD940-AM940))</f>
        <v>0</v>
      </c>
      <c r="AT940" s="80" t="str">
        <f>IF(AC940=1,INT(B940)+1,"")</f>
        <v/>
      </c>
      <c r="AU940" s="80">
        <f>IF(AND(D940="proMX",R940="Cancelled"),0,1)</f>
        <v>1</v>
      </c>
      <c r="AV940" s="80">
        <f>IF(AND(AB940=1,AU940=1),IF(COUNTIFS($D$5:D939,D940,$B$5:B939,B940,$Z$5:Z939,Z940,$AA$5:AA939,AA940,$F$5:F939,F940&amp;"",$AU$5:AU939,1)&gt;0,1,0),0)</f>
        <v>0</v>
      </c>
      <c r="AW940" s="80" t="str">
        <f>IF(AB940=1,INT(B940)*1440+Z940,"")</f>
        <v/>
      </c>
      <c r="AX940" s="80" t="str">
        <f>IF(AB940=1,AW940+AD940,"")</f>
        <v/>
      </c>
      <c r="AY940" s="80">
        <f>IF(AND(AB940=1,AV940=0,AU940=1),1,0)</f>
        <v>0</v>
      </c>
      <c r="AZ940" s="80">
        <f>IF(AY940=1,COUNTIFS(R_Emp,D940,R_SAbs,"&lt;"&amp;AX940,R_EAbs,"&gt;"&amp;AW940,R_OKey,1)-1,0)</f>
        <v>0</v>
      </c>
      <c r="BA940" s="80">
        <f>IF(AY940=1,COUNTIFS(R_Emp,"&lt;&gt;"&amp;D940,R_SAbs,"&lt;"&amp;AX940,R_EAbs,"&gt;"&amp;AW940,R_OKey,1),0)</f>
        <v>0</v>
      </c>
      <c r="BB940" s="80">
        <f>IF(AND(AB940=1,D940="proMX"),IF(AND(MOD(Z940,CFG_BLK)=0,MOD(AA940,CFG_BLK)=0,MOD(AG940,CFG_BLK)=0,AG940&gt;0),1,0),1)</f>
        <v>1</v>
      </c>
      <c r="BC940" s="80" t="str">
        <f>IF(Y940=0,"",IF(NOT(ISNUMBER(B940)),"Falta fecha o fecha inválida",IF(D940="","Falta empresa",IF(AND(D940&lt;&gt;"Malcolm",D940&lt;&gt;"proMX"),"Empresa inválida",IF(OR(INT(B940)&lt;CFG_PSTART,INT(B940)&gt;CFG_PEND),"Fecha fuera del período",IF(OR(NOT(ISNUMBER(Z940)),NOT(ISNUMBER(AA940))),"Falta hora inicio/fin o formato inválido",IF(AB940=0,"Hora inicio = hora fin",IF(AE940&lt;0,"Descanso inválido",IF(AE940&gt;=AD940,"Descanso ≥ duración",IF(AV940=1,"Registro duplicado",IF(AZ940&gt;0,"Se superpone con otro registro "&amp;D940,IF(BB940=0,"inicio, fin y duración neta deben ser múltiplos de "&amp;CFG_BLK&amp;" min",""))))))))))))</f>
        <v/>
      </c>
      <c r="BD940" s="80">
        <f>IF(AND(Y940=1,BC940=""),1,0)</f>
        <v>0</v>
      </c>
      <c r="BE940" s="80">
        <f>IF(AND(BD940=1,AU940=1),1,0)</f>
        <v>0</v>
      </c>
      <c r="BF940" s="80" t="str">
        <f>IF(AND(D940="proMX",BD940=1),IF(R940="","Draft",R940),"")</f>
        <v/>
      </c>
      <c r="BG940" s="80">
        <f>IF(BD940=1,ROUND(AG940/60,6),0)</f>
        <v>0</v>
      </c>
      <c r="BH940" s="80">
        <f>IF(BE940=1,ROUND(AG940/60,6),0)</f>
        <v>0</v>
      </c>
      <c r="BI940" s="80">
        <f>IF(BE940=1,ROUND(AP940/60,6),0)</f>
        <v>0</v>
      </c>
      <c r="BJ940" s="80">
        <f>IF(BE940=1,ROUND(AQ940/60,6),0)</f>
        <v>0</v>
      </c>
      <c r="BK940" s="80">
        <f>IF(BE940=1,ROUND((AR940+AS940)/60,6),0)</f>
        <v>0</v>
      </c>
      <c r="BL940" s="80">
        <f>ROUND(BH940-BK940,6)</f>
        <v>0</v>
      </c>
      <c r="BM940" s="80">
        <f>IF(BE940=1,ROUND(AR940/60,6),0)</f>
        <v>0</v>
      </c>
      <c r="BN940" s="80">
        <f>ROUND(BI940-BM940,6)</f>
        <v>0</v>
      </c>
      <c r="BO940" s="80">
        <f>IF(BE940=1,ROUND(AS940/60,6),0)</f>
        <v>0</v>
      </c>
      <c r="BP940" s="80">
        <f>ROUND(BJ940-BO940,6)</f>
        <v>0</v>
      </c>
      <c r="BQ940" s="80">
        <f>IF(BE940=1,AW940,0)</f>
        <v>0</v>
      </c>
      <c r="BR940" s="80">
        <f>IF(BE940=1,AX940,0)</f>
        <v>0</v>
      </c>
      <c r="BS940" s="80">
        <f>IF(AND(BE940=1,D940="Malcolm",BA940&gt;0),MIN(BH940,SUMPRODUCT((R_Emp="proMX")*(R_EN&gt;0)*((R_EN-(R_EN&gt;BR940)*(R_EN-BR940))&gt;(R_SN+(R_SN&lt;BQ940)*(BQ940-R_SN)))*((R_EN-(R_EN&gt;BR940)*(R_EN-BR940))-(R_SN+(R_SN&lt;BQ940)*(BQ940-R_SN))))/60),0)</f>
        <v>0</v>
      </c>
      <c r="BT940" s="80">
        <f>IF(AND(BE940=1,D940="proMX"),ROUND(BI940*CFG_RATE+BJ940*CFG_OTRATE,6),0)</f>
        <v>0</v>
      </c>
      <c r="BU940" s="80">
        <f>IF(AND(BD940=1,D940="proMX"),ROUND(AG940/CFG_BLK,6),0)</f>
        <v>0</v>
      </c>
      <c r="BV940" s="80" t="str">
        <f>IF(BF940="Approved",IF(ISNUMBER(T940),INT(T940),INT(B940)),"")</f>
        <v/>
      </c>
      <c r="BW940" s="80">
        <f>IF(ISNUMBER(B940),IF(DB_MON="Todos",1,IF(AND(INT(B940)&gt;=DB_MS,INT(B940)&lt;=DB_ME),1,0)),0)</f>
        <v>0</v>
      </c>
      <c r="BX940" s="80">
        <f>IF(DB_PROJ="Todos",1,IF(E940&amp;""=DB_PROJ&amp;"",1,0))</f>
        <v>1</v>
      </c>
      <c r="BY940" s="80">
        <f>BW940*BX940</f>
        <v>0</v>
      </c>
      <c r="BZ940" s="80" t="str">
        <f>IF(Y940=1,F940&amp;IF(AND(F940&amp;""&lt;&gt;"",E940&amp;""&lt;&gt;"")," · ","")&amp;E940,"")</f>
        <v/>
      </c>
      <c r="CA940" s="80" t="str">
        <f>IF(AND(BD940=1,E940&amp;""&lt;&gt;""),IF(COUNTIFS($E$5:E939,E940,$BD$5:BD939,1)=0,MAX($CA$5:CA939)+1,""),"")</f>
        <v/>
      </c>
      <c r="CB940" s="80" t="str">
        <f>IF(AND(BE940=1,D940="Malcolm",E940&amp;""&lt;&gt;""),IF(COUNTIFS($D$5:D939,"Malcolm",$E$5:E939,E940,$BE$5:BE939,1)=0,MAX($CB$5:CB939)+1,""),"")</f>
        <v/>
      </c>
      <c r="CC940" s="80" t="str">
        <f>IF(AND(BD940=1,D940="proMX",E940&amp;""&lt;&gt;""),IF(COUNTIFS($D$5:D939,"proMX",$E$5:E939,E940,$BD$5:BD939,1)=0,MAX($CC$5:CC939)+1,""),"")</f>
        <v/>
      </c>
      <c r="CD940" s="80" t="str">
        <f>IF(AND(BE940=1,D940="Malcolm",F940&amp;""&lt;&gt;""),IF(COUNTIFS($D$5:D939,"Malcolm",$F$5:F939,F940,$BE$5:BE939,1)=0,MAX($CD$5:CD939)+1,""),"")</f>
        <v/>
      </c>
      <c r="CE940" s="80" t="str">
        <f>IF(AND(BD940=1,D940="proMX",F940&amp;""&lt;&gt;""),IF(COUNTIFS($D$5:D939,"proMX",$F$5:F939,F940,$BD$5:BD939,1)=0,MAX($CE$5:CE939)+1,""),"")</f>
        <v/>
      </c>
      <c r="CF940" s="80" t="str">
        <f>IF(AND(D940="proMX",BD940=1),IF(OR(BF940="Draft",BF940="Submitted",BF940="Returned",BF940="Recall Requested"),MAX($CF$5:CF939)+1,""),"")</f>
        <v/>
      </c>
      <c r="CG940" s="80">
        <f>IF(BD940=0,0,IF(D940="Malcolm",1,MATCH(BF940,{"Draft","Submitted","Approved","Returned","Recall Requested","Cancelled"},0)+1))</f>
        <v>0</v>
      </c>
      <c r="CH940" s="80">
        <f>IF(AND(BF940="Submitted",ISNUMBER(V940)),IF(V940&gt;CFG_MAXD,1,0),0)</f>
        <v>0</v>
      </c>
    </row>
    <row r="941">
      <c r="A941" s="71" t="str">
        <f>IF(Y941=1,ROW()-5,"")</f>
        <v/>
      </c>
      <c r="B941" s="72" t="n"/>
      <c r="C941" s="71" t="str">
        <f>IF(ISNUMBER(B941),CHOOSE(WEEKDAY(B941,2),"Lun","Mar","Mié","Jue","Vie","Sáb","Dom"),"")</f>
        <v/>
      </c>
      <c r="D941" s="73" t="n"/>
      <c r="E941" s="74" t="n"/>
      <c r="F941" s="74" t="n"/>
      <c r="G941" s="74" t="n"/>
      <c r="H941" s="75" t="n"/>
      <c r="I941" s="75" t="n"/>
      <c r="J941" s="76" t="n"/>
      <c r="K941" s="77" t="str">
        <f>IF(AB941=1,ROUND(AG941/60,4),"")</f>
        <v/>
      </c>
      <c r="L941" s="77" t="str">
        <f>IF(BD941=1,ROUND(AP941/60,4),"")</f>
        <v/>
      </c>
      <c r="M941" s="77" t="str">
        <f>IF(BD941=1,ROUND(AQ941/60,4),"")</f>
        <v/>
      </c>
      <c r="N941" s="71" t="str">
        <f>IF(AND(D941="proMX",AB941=1),ROUND(AG941/CFG_BLK,2),"")</f>
        <v/>
      </c>
      <c r="O941" s="77" t="str">
        <f>IF(D941="proMX",IF(BD941=1,ROUND(AG941/60,4),0),"")</f>
        <v/>
      </c>
      <c r="P941" s="78" t="str">
        <f>IF(Y941=0,"",IF(BD941=1,"OK",IF(D941="proMX","Revisar bloques: ","Revisar: ")&amp;BC941))</f>
        <v/>
      </c>
      <c r="Q941" s="78" t="str">
        <f>IF(NOT(ISNUMBER(B941)),"",IF(COUNTIFS(FER_F,INT(B941))&gt;0,"Feriado"&amp;IF(AH941=1," (laborable)"," (no laborable)"),IF(AH941=1,"Laborable",IF(WEEKDAY(B941,2)&gt;5,"Fin de semana","No laborable"))))</f>
        <v/>
      </c>
      <c r="R941" s="73" t="n"/>
      <c r="S941" s="72" t="n"/>
      <c r="T941" s="72" t="n"/>
      <c r="U941" s="74" t="n"/>
      <c r="V941" s="79" t="str">
        <f>IF(AND(D941="proMX",OR(R941="Submitted",R941="Recall Requested"),ISNUMBER(S941)),CFG_TODAY-INT(S941),"")</f>
        <v/>
      </c>
      <c r="W941" s="78" t="str">
        <f>IF(BD941=0,"",IF(BA941&gt;0,"⚠ Se superpone con un registro de la otra empresa",IF(D941="Malcolm",IF(COUNTA(R941,S941,T941)&gt;0,"Estado/fechas proMX se ignoran en Malcolm",""),IF(BF941="Cancelled","Cancelado: excluido de totales",IF(R941="","Sin estado: se trata como Draft",IF(BF941="Submitted",IF(ISNUMBER(V941),IF(V941&gt;CFG_MAXD,"⚠ "&amp;V941&amp;" días en Submitted (máx. "&amp;CFG_MAXD&amp;")",""),"Falta fecha de envío"),IF(BF941="Returned","⚠ Devuelto: corregir y reenviar",IF(BF941="Recall Requested","Retirada solicitada: pendiente",IF(AND(BF941="Approved",NOT(ISNUMBER(T941))),"Falta fecha de aprobación",IF(AND(ISNUMBER(S941),ISNUMBER(T941),T941&lt;S941),"Aprobación anterior al envío","")))))))))</f>
        <v/>
      </c>
      <c r="Y941" s="80">
        <f>IF(COUNTA(B941,D941,E941,F941,G941,H941,I941,J941,R941,S941,T941)&gt;0,1,0)</f>
        <v>0</v>
      </c>
      <c r="Z941" s="80" t="str">
        <f>IF(AND(ISNUMBER(H941),H941&gt;=0,H941&lt;1),ROUND(H941*1440,0),"")</f>
        <v/>
      </c>
      <c r="AA941" s="80" t="str">
        <f>IF(AND(ISNUMBER(I941),I941&gt;=0,I941&lt;1),ROUND(I941*1440,0),"")</f>
        <v/>
      </c>
      <c r="AB941" s="80">
        <f>IF(AND(ISNUMBER(B941),D941&lt;&gt;"",ISNUMBER(Z941),ISNUMBER(AA941)),IF(Z941=AA941,0,1),0)</f>
        <v>0</v>
      </c>
      <c r="AC941" s="80">
        <f>IF(AB941=1,IF(AA941&lt;Z941,1,0),0)</f>
        <v>0</v>
      </c>
      <c r="AD941" s="80">
        <f>IF(AB941=1,IF(AC941=1,1440-Z941+AA941,AA941-Z941),0)</f>
        <v>0</v>
      </c>
      <c r="AE941" s="80">
        <f>IF(J941="",0,IF(ISNUMBER(J941),J941,-1))</f>
        <v>0</v>
      </c>
      <c r="AF941" s="80">
        <f>MIN(MAX(0,AE941),AD941)</f>
        <v>0</v>
      </c>
      <c r="AG941" s="80">
        <f>MAX(0,AD941-MAX(0,AE941))</f>
        <v>0</v>
      </c>
      <c r="AH941" s="80">
        <f>IF(ISNUMBER(B941),IF(AND(INDEX(CFG_WDAYS,WEEKDAY(INT(B941),2))="Sí",IF(D941="proMX",COUNTIFS(FER_F,INT(B941),FER_NLP,"Sí"),COUNTIFS(FER_F,INT(B941),FER_NLM,"Sí"))=0),1,0),0)</f>
        <v>0</v>
      </c>
      <c r="AI941" s="80">
        <f>IF(AC941=1,IF(AND(INDEX(CFG_WDAYS,WEEKDAY(INT(B941)+1,2))="Sí",IF(D941="proMX",COUNTIFS(FER_F,INT(B941)+1,FER_NLP,"Sí"),COUNTIFS(FER_F,INT(B941)+1,FER_NLM,"Sí"))=0),1,0),0)</f>
        <v>0</v>
      </c>
      <c r="AJ941" s="80">
        <f>IF(AC941=1,1440-Z941,AD941)</f>
        <v>0</v>
      </c>
      <c r="AK941" s="80">
        <f>IF(AND(AB941=1,AH941=1),MAX(0,MIN(IF(AC941=1,1440,AA941),CFG_WEM)-MAX(Z941,CFG_WSM)),0)</f>
        <v>0</v>
      </c>
      <c r="AL941" s="80">
        <f>IF(AND(AC941=1,AI941=1),MAX(0,MIN(AA941,CFG_WEM)-CFG_WSM),0)</f>
        <v>0</v>
      </c>
      <c r="AM941" s="80">
        <f>AK941+AL941</f>
        <v>0</v>
      </c>
      <c r="AN941" s="80">
        <f>IF(CFG_BRK="Proporcional",IF(AD941=0,0,AF941*AM941/AD941),IF(CFG_BRK="Extras primero",MIN(AM941,MAX(0,AF941-(AD941-AM941))),MIN(AF941,AM941)))</f>
        <v>0</v>
      </c>
      <c r="AO941" s="80">
        <f>AF941-AN941</f>
        <v>0</v>
      </c>
      <c r="AP941" s="80">
        <f>AM941-AN941</f>
        <v>0</v>
      </c>
      <c r="AQ941" s="80">
        <f>AD941-AM941-AO941</f>
        <v>0</v>
      </c>
      <c r="AR941" s="80">
        <f>IF(AM941=0,0,AK941-AN941*AK941/AM941)</f>
        <v>0</v>
      </c>
      <c r="AS941" s="80">
        <f>IF(AD941-AM941=0,0,(AJ941-AK941)-AO941*(AJ941-AK941)/(AD941-AM941))</f>
        <v>0</v>
      </c>
      <c r="AT941" s="80" t="str">
        <f>IF(AC941=1,INT(B941)+1,"")</f>
        <v/>
      </c>
      <c r="AU941" s="80">
        <f>IF(AND(D941="proMX",R941="Cancelled"),0,1)</f>
        <v>1</v>
      </c>
      <c r="AV941" s="80">
        <f>IF(AND(AB941=1,AU941=1),IF(COUNTIFS($D$5:D940,D941,$B$5:B940,B941,$Z$5:Z940,Z941,$AA$5:AA940,AA941,$F$5:F940,F941&amp;"",$AU$5:AU940,1)&gt;0,1,0),0)</f>
        <v>0</v>
      </c>
      <c r="AW941" s="80" t="str">
        <f>IF(AB941=1,INT(B941)*1440+Z941,"")</f>
        <v/>
      </c>
      <c r="AX941" s="80" t="str">
        <f>IF(AB941=1,AW941+AD941,"")</f>
        <v/>
      </c>
      <c r="AY941" s="80">
        <f>IF(AND(AB941=1,AV941=0,AU941=1),1,0)</f>
        <v>0</v>
      </c>
      <c r="AZ941" s="80">
        <f>IF(AY941=1,COUNTIFS(R_Emp,D941,R_SAbs,"&lt;"&amp;AX941,R_EAbs,"&gt;"&amp;AW941,R_OKey,1)-1,0)</f>
        <v>0</v>
      </c>
      <c r="BA941" s="80">
        <f>IF(AY941=1,COUNTIFS(R_Emp,"&lt;&gt;"&amp;D941,R_SAbs,"&lt;"&amp;AX941,R_EAbs,"&gt;"&amp;AW941,R_OKey,1),0)</f>
        <v>0</v>
      </c>
      <c r="BB941" s="80">
        <f>IF(AND(AB941=1,D941="proMX"),IF(AND(MOD(Z941,CFG_BLK)=0,MOD(AA941,CFG_BLK)=0,MOD(AG941,CFG_BLK)=0,AG941&gt;0),1,0),1)</f>
        <v>1</v>
      </c>
      <c r="BC941" s="80" t="str">
        <f>IF(Y941=0,"",IF(NOT(ISNUMBER(B941)),"Falta fecha o fecha inválida",IF(D941="","Falta empresa",IF(AND(D941&lt;&gt;"Malcolm",D941&lt;&gt;"proMX"),"Empresa inválida",IF(OR(INT(B941)&lt;CFG_PSTART,INT(B941)&gt;CFG_PEND),"Fecha fuera del período",IF(OR(NOT(ISNUMBER(Z941)),NOT(ISNUMBER(AA941))),"Falta hora inicio/fin o formato inválido",IF(AB941=0,"Hora inicio = hora fin",IF(AE941&lt;0,"Descanso inválido",IF(AE941&gt;=AD941,"Descanso ≥ duración",IF(AV941=1,"Registro duplicado",IF(AZ941&gt;0,"Se superpone con otro registro "&amp;D941,IF(BB941=0,"inicio, fin y duración neta deben ser múltiplos de "&amp;CFG_BLK&amp;" min",""))))))))))))</f>
        <v/>
      </c>
      <c r="BD941" s="80">
        <f>IF(AND(Y941=1,BC941=""),1,0)</f>
        <v>0</v>
      </c>
      <c r="BE941" s="80">
        <f>IF(AND(BD941=1,AU941=1),1,0)</f>
        <v>0</v>
      </c>
      <c r="BF941" s="80" t="str">
        <f>IF(AND(D941="proMX",BD941=1),IF(R941="","Draft",R941),"")</f>
        <v/>
      </c>
      <c r="BG941" s="80">
        <f>IF(BD941=1,ROUND(AG941/60,6),0)</f>
        <v>0</v>
      </c>
      <c r="BH941" s="80">
        <f>IF(BE941=1,ROUND(AG941/60,6),0)</f>
        <v>0</v>
      </c>
      <c r="BI941" s="80">
        <f>IF(BE941=1,ROUND(AP941/60,6),0)</f>
        <v>0</v>
      </c>
      <c r="BJ941" s="80">
        <f>IF(BE941=1,ROUND(AQ941/60,6),0)</f>
        <v>0</v>
      </c>
      <c r="BK941" s="80">
        <f>IF(BE941=1,ROUND((AR941+AS941)/60,6),0)</f>
        <v>0</v>
      </c>
      <c r="BL941" s="80">
        <f>ROUND(BH941-BK941,6)</f>
        <v>0</v>
      </c>
      <c r="BM941" s="80">
        <f>IF(BE941=1,ROUND(AR941/60,6),0)</f>
        <v>0</v>
      </c>
      <c r="BN941" s="80">
        <f>ROUND(BI941-BM941,6)</f>
        <v>0</v>
      </c>
      <c r="BO941" s="80">
        <f>IF(BE941=1,ROUND(AS941/60,6),0)</f>
        <v>0</v>
      </c>
      <c r="BP941" s="80">
        <f>ROUND(BJ941-BO941,6)</f>
        <v>0</v>
      </c>
      <c r="BQ941" s="80">
        <f>IF(BE941=1,AW941,0)</f>
        <v>0</v>
      </c>
      <c r="BR941" s="80">
        <f>IF(BE941=1,AX941,0)</f>
        <v>0</v>
      </c>
      <c r="BS941" s="80">
        <f>IF(AND(BE941=1,D941="Malcolm",BA941&gt;0),MIN(BH941,SUMPRODUCT((R_Emp="proMX")*(R_EN&gt;0)*((R_EN-(R_EN&gt;BR941)*(R_EN-BR941))&gt;(R_SN+(R_SN&lt;BQ941)*(BQ941-R_SN)))*((R_EN-(R_EN&gt;BR941)*(R_EN-BR941))-(R_SN+(R_SN&lt;BQ941)*(BQ941-R_SN))))/60),0)</f>
        <v>0</v>
      </c>
      <c r="BT941" s="80">
        <f>IF(AND(BE941=1,D941="proMX"),ROUND(BI941*CFG_RATE+BJ941*CFG_OTRATE,6),0)</f>
        <v>0</v>
      </c>
      <c r="BU941" s="80">
        <f>IF(AND(BD941=1,D941="proMX"),ROUND(AG941/CFG_BLK,6),0)</f>
        <v>0</v>
      </c>
      <c r="BV941" s="80" t="str">
        <f>IF(BF941="Approved",IF(ISNUMBER(T941),INT(T941),INT(B941)),"")</f>
        <v/>
      </c>
      <c r="BW941" s="80">
        <f>IF(ISNUMBER(B941),IF(DB_MON="Todos",1,IF(AND(INT(B941)&gt;=DB_MS,INT(B941)&lt;=DB_ME),1,0)),0)</f>
        <v>0</v>
      </c>
      <c r="BX941" s="80">
        <f>IF(DB_PROJ="Todos",1,IF(E941&amp;""=DB_PROJ&amp;"",1,0))</f>
        <v>1</v>
      </c>
      <c r="BY941" s="80">
        <f>BW941*BX941</f>
        <v>0</v>
      </c>
      <c r="BZ941" s="80" t="str">
        <f>IF(Y941=1,F941&amp;IF(AND(F941&amp;""&lt;&gt;"",E941&amp;""&lt;&gt;"")," · ","")&amp;E941,"")</f>
        <v/>
      </c>
      <c r="CA941" s="80" t="str">
        <f>IF(AND(BD941=1,E941&amp;""&lt;&gt;""),IF(COUNTIFS($E$5:E940,E941,$BD$5:BD940,1)=0,MAX($CA$5:CA940)+1,""),"")</f>
        <v/>
      </c>
      <c r="CB941" s="80" t="str">
        <f>IF(AND(BE941=1,D941="Malcolm",E941&amp;""&lt;&gt;""),IF(COUNTIFS($D$5:D940,"Malcolm",$E$5:E940,E941,$BE$5:BE940,1)=0,MAX($CB$5:CB940)+1,""),"")</f>
        <v/>
      </c>
      <c r="CC941" s="80" t="str">
        <f>IF(AND(BD941=1,D941="proMX",E941&amp;""&lt;&gt;""),IF(COUNTIFS($D$5:D940,"proMX",$E$5:E940,E941,$BD$5:BD940,1)=0,MAX($CC$5:CC940)+1,""),"")</f>
        <v/>
      </c>
      <c r="CD941" s="80" t="str">
        <f>IF(AND(BE941=1,D941="Malcolm",F941&amp;""&lt;&gt;""),IF(COUNTIFS($D$5:D940,"Malcolm",$F$5:F940,F941,$BE$5:BE940,1)=0,MAX($CD$5:CD940)+1,""),"")</f>
        <v/>
      </c>
      <c r="CE941" s="80" t="str">
        <f>IF(AND(BD941=1,D941="proMX",F941&amp;""&lt;&gt;""),IF(COUNTIFS($D$5:D940,"proMX",$F$5:F940,F941,$BD$5:BD940,1)=0,MAX($CE$5:CE940)+1,""),"")</f>
        <v/>
      </c>
      <c r="CF941" s="80" t="str">
        <f>IF(AND(D941="proMX",BD941=1),IF(OR(BF941="Draft",BF941="Submitted",BF941="Returned",BF941="Recall Requested"),MAX($CF$5:CF940)+1,""),"")</f>
        <v/>
      </c>
      <c r="CG941" s="80">
        <f>IF(BD941=0,0,IF(D941="Malcolm",1,MATCH(BF941,{"Draft","Submitted","Approved","Returned","Recall Requested","Cancelled"},0)+1))</f>
        <v>0</v>
      </c>
      <c r="CH941" s="80">
        <f>IF(AND(BF941="Submitted",ISNUMBER(V941)),IF(V941&gt;CFG_MAXD,1,0),0)</f>
        <v>0</v>
      </c>
    </row>
    <row r="942">
      <c r="A942" s="71" t="str">
        <f>IF(Y942=1,ROW()-5,"")</f>
        <v/>
      </c>
      <c r="B942" s="72" t="n"/>
      <c r="C942" s="71" t="str">
        <f>IF(ISNUMBER(B942),CHOOSE(WEEKDAY(B942,2),"Lun","Mar","Mié","Jue","Vie","Sáb","Dom"),"")</f>
        <v/>
      </c>
      <c r="D942" s="73" t="n"/>
      <c r="E942" s="74" t="n"/>
      <c r="F942" s="74" t="n"/>
      <c r="G942" s="74" t="n"/>
      <c r="H942" s="75" t="n"/>
      <c r="I942" s="75" t="n"/>
      <c r="J942" s="76" t="n"/>
      <c r="K942" s="77" t="str">
        <f>IF(AB942=1,ROUND(AG942/60,4),"")</f>
        <v/>
      </c>
      <c r="L942" s="77" t="str">
        <f>IF(BD942=1,ROUND(AP942/60,4),"")</f>
        <v/>
      </c>
      <c r="M942" s="77" t="str">
        <f>IF(BD942=1,ROUND(AQ942/60,4),"")</f>
        <v/>
      </c>
      <c r="N942" s="71" t="str">
        <f>IF(AND(D942="proMX",AB942=1),ROUND(AG942/CFG_BLK,2),"")</f>
        <v/>
      </c>
      <c r="O942" s="77" t="str">
        <f>IF(D942="proMX",IF(BD942=1,ROUND(AG942/60,4),0),"")</f>
        <v/>
      </c>
      <c r="P942" s="78" t="str">
        <f>IF(Y942=0,"",IF(BD942=1,"OK",IF(D942="proMX","Revisar bloques: ","Revisar: ")&amp;BC942))</f>
        <v/>
      </c>
      <c r="Q942" s="78" t="str">
        <f>IF(NOT(ISNUMBER(B942)),"",IF(COUNTIFS(FER_F,INT(B942))&gt;0,"Feriado"&amp;IF(AH942=1," (laborable)"," (no laborable)"),IF(AH942=1,"Laborable",IF(WEEKDAY(B942,2)&gt;5,"Fin de semana","No laborable"))))</f>
        <v/>
      </c>
      <c r="R942" s="73" t="n"/>
      <c r="S942" s="72" t="n"/>
      <c r="T942" s="72" t="n"/>
      <c r="U942" s="74" t="n"/>
      <c r="V942" s="79" t="str">
        <f>IF(AND(D942="proMX",OR(R942="Submitted",R942="Recall Requested"),ISNUMBER(S942)),CFG_TODAY-INT(S942),"")</f>
        <v/>
      </c>
      <c r="W942" s="78" t="str">
        <f>IF(BD942=0,"",IF(BA942&gt;0,"⚠ Se superpone con un registro de la otra empresa",IF(D942="Malcolm",IF(COUNTA(R942,S942,T942)&gt;0,"Estado/fechas proMX se ignoran en Malcolm",""),IF(BF942="Cancelled","Cancelado: excluido de totales",IF(R942="","Sin estado: se trata como Draft",IF(BF942="Submitted",IF(ISNUMBER(V942),IF(V942&gt;CFG_MAXD,"⚠ "&amp;V942&amp;" días en Submitted (máx. "&amp;CFG_MAXD&amp;")",""),"Falta fecha de envío"),IF(BF942="Returned","⚠ Devuelto: corregir y reenviar",IF(BF942="Recall Requested","Retirada solicitada: pendiente",IF(AND(BF942="Approved",NOT(ISNUMBER(T942))),"Falta fecha de aprobación",IF(AND(ISNUMBER(S942),ISNUMBER(T942),T942&lt;S942),"Aprobación anterior al envío","")))))))))</f>
        <v/>
      </c>
      <c r="Y942" s="80">
        <f>IF(COUNTA(B942,D942,E942,F942,G942,H942,I942,J942,R942,S942,T942)&gt;0,1,0)</f>
        <v>0</v>
      </c>
      <c r="Z942" s="80" t="str">
        <f>IF(AND(ISNUMBER(H942),H942&gt;=0,H942&lt;1),ROUND(H942*1440,0),"")</f>
        <v/>
      </c>
      <c r="AA942" s="80" t="str">
        <f>IF(AND(ISNUMBER(I942),I942&gt;=0,I942&lt;1),ROUND(I942*1440,0),"")</f>
        <v/>
      </c>
      <c r="AB942" s="80">
        <f>IF(AND(ISNUMBER(B942),D942&lt;&gt;"",ISNUMBER(Z942),ISNUMBER(AA942)),IF(Z942=AA942,0,1),0)</f>
        <v>0</v>
      </c>
      <c r="AC942" s="80">
        <f>IF(AB942=1,IF(AA942&lt;Z942,1,0),0)</f>
        <v>0</v>
      </c>
      <c r="AD942" s="80">
        <f>IF(AB942=1,IF(AC942=1,1440-Z942+AA942,AA942-Z942),0)</f>
        <v>0</v>
      </c>
      <c r="AE942" s="80">
        <f>IF(J942="",0,IF(ISNUMBER(J942),J942,-1))</f>
        <v>0</v>
      </c>
      <c r="AF942" s="80">
        <f>MIN(MAX(0,AE942),AD942)</f>
        <v>0</v>
      </c>
      <c r="AG942" s="80">
        <f>MAX(0,AD942-MAX(0,AE942))</f>
        <v>0</v>
      </c>
      <c r="AH942" s="80">
        <f>IF(ISNUMBER(B942),IF(AND(INDEX(CFG_WDAYS,WEEKDAY(INT(B942),2))="Sí",IF(D942="proMX",COUNTIFS(FER_F,INT(B942),FER_NLP,"Sí"),COUNTIFS(FER_F,INT(B942),FER_NLM,"Sí"))=0),1,0),0)</f>
        <v>0</v>
      </c>
      <c r="AI942" s="80">
        <f>IF(AC942=1,IF(AND(INDEX(CFG_WDAYS,WEEKDAY(INT(B942)+1,2))="Sí",IF(D942="proMX",COUNTIFS(FER_F,INT(B942)+1,FER_NLP,"Sí"),COUNTIFS(FER_F,INT(B942)+1,FER_NLM,"Sí"))=0),1,0),0)</f>
        <v>0</v>
      </c>
      <c r="AJ942" s="80">
        <f>IF(AC942=1,1440-Z942,AD942)</f>
        <v>0</v>
      </c>
      <c r="AK942" s="80">
        <f>IF(AND(AB942=1,AH942=1),MAX(0,MIN(IF(AC942=1,1440,AA942),CFG_WEM)-MAX(Z942,CFG_WSM)),0)</f>
        <v>0</v>
      </c>
      <c r="AL942" s="80">
        <f>IF(AND(AC942=1,AI942=1),MAX(0,MIN(AA942,CFG_WEM)-CFG_WSM),0)</f>
        <v>0</v>
      </c>
      <c r="AM942" s="80">
        <f>AK942+AL942</f>
        <v>0</v>
      </c>
      <c r="AN942" s="80">
        <f>IF(CFG_BRK="Proporcional",IF(AD942=0,0,AF942*AM942/AD942),IF(CFG_BRK="Extras primero",MIN(AM942,MAX(0,AF942-(AD942-AM942))),MIN(AF942,AM942)))</f>
        <v>0</v>
      </c>
      <c r="AO942" s="80">
        <f>AF942-AN942</f>
        <v>0</v>
      </c>
      <c r="AP942" s="80">
        <f>AM942-AN942</f>
        <v>0</v>
      </c>
      <c r="AQ942" s="80">
        <f>AD942-AM942-AO942</f>
        <v>0</v>
      </c>
      <c r="AR942" s="80">
        <f>IF(AM942=0,0,AK942-AN942*AK942/AM942)</f>
        <v>0</v>
      </c>
      <c r="AS942" s="80">
        <f>IF(AD942-AM942=0,0,(AJ942-AK942)-AO942*(AJ942-AK942)/(AD942-AM942))</f>
        <v>0</v>
      </c>
      <c r="AT942" s="80" t="str">
        <f>IF(AC942=1,INT(B942)+1,"")</f>
        <v/>
      </c>
      <c r="AU942" s="80">
        <f>IF(AND(D942="proMX",R942="Cancelled"),0,1)</f>
        <v>1</v>
      </c>
      <c r="AV942" s="80">
        <f>IF(AND(AB942=1,AU942=1),IF(COUNTIFS($D$5:D941,D942,$B$5:B941,B942,$Z$5:Z941,Z942,$AA$5:AA941,AA942,$F$5:F941,F942&amp;"",$AU$5:AU941,1)&gt;0,1,0),0)</f>
        <v>0</v>
      </c>
      <c r="AW942" s="80" t="str">
        <f>IF(AB942=1,INT(B942)*1440+Z942,"")</f>
        <v/>
      </c>
      <c r="AX942" s="80" t="str">
        <f>IF(AB942=1,AW942+AD942,"")</f>
        <v/>
      </c>
      <c r="AY942" s="80">
        <f>IF(AND(AB942=1,AV942=0,AU942=1),1,0)</f>
        <v>0</v>
      </c>
      <c r="AZ942" s="80">
        <f>IF(AY942=1,COUNTIFS(R_Emp,D942,R_SAbs,"&lt;"&amp;AX942,R_EAbs,"&gt;"&amp;AW942,R_OKey,1)-1,0)</f>
        <v>0</v>
      </c>
      <c r="BA942" s="80">
        <f>IF(AY942=1,COUNTIFS(R_Emp,"&lt;&gt;"&amp;D942,R_SAbs,"&lt;"&amp;AX942,R_EAbs,"&gt;"&amp;AW942,R_OKey,1),0)</f>
        <v>0</v>
      </c>
      <c r="BB942" s="80">
        <f>IF(AND(AB942=1,D942="proMX"),IF(AND(MOD(Z942,CFG_BLK)=0,MOD(AA942,CFG_BLK)=0,MOD(AG942,CFG_BLK)=0,AG942&gt;0),1,0),1)</f>
        <v>1</v>
      </c>
      <c r="BC942" s="80" t="str">
        <f>IF(Y942=0,"",IF(NOT(ISNUMBER(B942)),"Falta fecha o fecha inválida",IF(D942="","Falta empresa",IF(AND(D942&lt;&gt;"Malcolm",D942&lt;&gt;"proMX"),"Empresa inválida",IF(OR(INT(B942)&lt;CFG_PSTART,INT(B942)&gt;CFG_PEND),"Fecha fuera del período",IF(OR(NOT(ISNUMBER(Z942)),NOT(ISNUMBER(AA942))),"Falta hora inicio/fin o formato inválido",IF(AB942=0,"Hora inicio = hora fin",IF(AE942&lt;0,"Descanso inválido",IF(AE942&gt;=AD942,"Descanso ≥ duración",IF(AV942=1,"Registro duplicado",IF(AZ942&gt;0,"Se superpone con otro registro "&amp;D942,IF(BB942=0,"inicio, fin y duración neta deben ser múltiplos de "&amp;CFG_BLK&amp;" min",""))))))))))))</f>
        <v/>
      </c>
      <c r="BD942" s="80">
        <f>IF(AND(Y942=1,BC942=""),1,0)</f>
        <v>0</v>
      </c>
      <c r="BE942" s="80">
        <f>IF(AND(BD942=1,AU942=1),1,0)</f>
        <v>0</v>
      </c>
      <c r="BF942" s="80" t="str">
        <f>IF(AND(D942="proMX",BD942=1),IF(R942="","Draft",R942),"")</f>
        <v/>
      </c>
      <c r="BG942" s="80">
        <f>IF(BD942=1,ROUND(AG942/60,6),0)</f>
        <v>0</v>
      </c>
      <c r="BH942" s="80">
        <f>IF(BE942=1,ROUND(AG942/60,6),0)</f>
        <v>0</v>
      </c>
      <c r="BI942" s="80">
        <f>IF(BE942=1,ROUND(AP942/60,6),0)</f>
        <v>0</v>
      </c>
      <c r="BJ942" s="80">
        <f>IF(BE942=1,ROUND(AQ942/60,6),0)</f>
        <v>0</v>
      </c>
      <c r="BK942" s="80">
        <f>IF(BE942=1,ROUND((AR942+AS942)/60,6),0)</f>
        <v>0</v>
      </c>
      <c r="BL942" s="80">
        <f>ROUND(BH942-BK942,6)</f>
        <v>0</v>
      </c>
      <c r="BM942" s="80">
        <f>IF(BE942=1,ROUND(AR942/60,6),0)</f>
        <v>0</v>
      </c>
      <c r="BN942" s="80">
        <f>ROUND(BI942-BM942,6)</f>
        <v>0</v>
      </c>
      <c r="BO942" s="80">
        <f>IF(BE942=1,ROUND(AS942/60,6),0)</f>
        <v>0</v>
      </c>
      <c r="BP942" s="80">
        <f>ROUND(BJ942-BO942,6)</f>
        <v>0</v>
      </c>
      <c r="BQ942" s="80">
        <f>IF(BE942=1,AW942,0)</f>
        <v>0</v>
      </c>
      <c r="BR942" s="80">
        <f>IF(BE942=1,AX942,0)</f>
        <v>0</v>
      </c>
      <c r="BS942" s="80">
        <f>IF(AND(BE942=1,D942="Malcolm",BA942&gt;0),MIN(BH942,SUMPRODUCT((R_Emp="proMX")*(R_EN&gt;0)*((R_EN-(R_EN&gt;BR942)*(R_EN-BR942))&gt;(R_SN+(R_SN&lt;BQ942)*(BQ942-R_SN)))*((R_EN-(R_EN&gt;BR942)*(R_EN-BR942))-(R_SN+(R_SN&lt;BQ942)*(BQ942-R_SN))))/60),0)</f>
        <v>0</v>
      </c>
      <c r="BT942" s="80">
        <f>IF(AND(BE942=1,D942="proMX"),ROUND(BI942*CFG_RATE+BJ942*CFG_OTRATE,6),0)</f>
        <v>0</v>
      </c>
      <c r="BU942" s="80">
        <f>IF(AND(BD942=1,D942="proMX"),ROUND(AG942/CFG_BLK,6),0)</f>
        <v>0</v>
      </c>
      <c r="BV942" s="80" t="str">
        <f>IF(BF942="Approved",IF(ISNUMBER(T942),INT(T942),INT(B942)),"")</f>
        <v/>
      </c>
      <c r="BW942" s="80">
        <f>IF(ISNUMBER(B942),IF(DB_MON="Todos",1,IF(AND(INT(B942)&gt;=DB_MS,INT(B942)&lt;=DB_ME),1,0)),0)</f>
        <v>0</v>
      </c>
      <c r="BX942" s="80">
        <f>IF(DB_PROJ="Todos",1,IF(E942&amp;""=DB_PROJ&amp;"",1,0))</f>
        <v>1</v>
      </c>
      <c r="BY942" s="80">
        <f>BW942*BX942</f>
        <v>0</v>
      </c>
      <c r="BZ942" s="80" t="str">
        <f>IF(Y942=1,F942&amp;IF(AND(F942&amp;""&lt;&gt;"",E942&amp;""&lt;&gt;"")," · ","")&amp;E942,"")</f>
        <v/>
      </c>
      <c r="CA942" s="80" t="str">
        <f>IF(AND(BD942=1,E942&amp;""&lt;&gt;""),IF(COUNTIFS($E$5:E941,E942,$BD$5:BD941,1)=0,MAX($CA$5:CA941)+1,""),"")</f>
        <v/>
      </c>
      <c r="CB942" s="80" t="str">
        <f>IF(AND(BE942=1,D942="Malcolm",E942&amp;""&lt;&gt;""),IF(COUNTIFS($D$5:D941,"Malcolm",$E$5:E941,E942,$BE$5:BE941,1)=0,MAX($CB$5:CB941)+1,""),"")</f>
        <v/>
      </c>
      <c r="CC942" s="80" t="str">
        <f>IF(AND(BD942=1,D942="proMX",E942&amp;""&lt;&gt;""),IF(COUNTIFS($D$5:D941,"proMX",$E$5:E941,E942,$BD$5:BD941,1)=0,MAX($CC$5:CC941)+1,""),"")</f>
        <v/>
      </c>
      <c r="CD942" s="80" t="str">
        <f>IF(AND(BE942=1,D942="Malcolm",F942&amp;""&lt;&gt;""),IF(COUNTIFS($D$5:D941,"Malcolm",$F$5:F941,F942,$BE$5:BE941,1)=0,MAX($CD$5:CD941)+1,""),"")</f>
        <v/>
      </c>
      <c r="CE942" s="80" t="str">
        <f>IF(AND(BD942=1,D942="proMX",F942&amp;""&lt;&gt;""),IF(COUNTIFS($D$5:D941,"proMX",$F$5:F941,F942,$BD$5:BD941,1)=0,MAX($CE$5:CE941)+1,""),"")</f>
        <v/>
      </c>
      <c r="CF942" s="80" t="str">
        <f>IF(AND(D942="proMX",BD942=1),IF(OR(BF942="Draft",BF942="Submitted",BF942="Returned",BF942="Recall Requested"),MAX($CF$5:CF941)+1,""),"")</f>
        <v/>
      </c>
      <c r="CG942" s="80">
        <f>IF(BD942=0,0,IF(D942="Malcolm",1,MATCH(BF942,{"Draft","Submitted","Approved","Returned","Recall Requested","Cancelled"},0)+1))</f>
        <v>0</v>
      </c>
      <c r="CH942" s="80">
        <f>IF(AND(BF942="Submitted",ISNUMBER(V942)),IF(V942&gt;CFG_MAXD,1,0),0)</f>
        <v>0</v>
      </c>
    </row>
    <row r="943">
      <c r="A943" s="71" t="str">
        <f>IF(Y943=1,ROW()-5,"")</f>
        <v/>
      </c>
      <c r="B943" s="72" t="n"/>
      <c r="C943" s="71" t="str">
        <f>IF(ISNUMBER(B943),CHOOSE(WEEKDAY(B943,2),"Lun","Mar","Mié","Jue","Vie","Sáb","Dom"),"")</f>
        <v/>
      </c>
      <c r="D943" s="73" t="n"/>
      <c r="E943" s="74" t="n"/>
      <c r="F943" s="74" t="n"/>
      <c r="G943" s="74" t="n"/>
      <c r="H943" s="75" t="n"/>
      <c r="I943" s="75" t="n"/>
      <c r="J943" s="76" t="n"/>
      <c r="K943" s="77" t="str">
        <f>IF(AB943=1,ROUND(AG943/60,4),"")</f>
        <v/>
      </c>
      <c r="L943" s="77" t="str">
        <f>IF(BD943=1,ROUND(AP943/60,4),"")</f>
        <v/>
      </c>
      <c r="M943" s="77" t="str">
        <f>IF(BD943=1,ROUND(AQ943/60,4),"")</f>
        <v/>
      </c>
      <c r="N943" s="71" t="str">
        <f>IF(AND(D943="proMX",AB943=1),ROUND(AG943/CFG_BLK,2),"")</f>
        <v/>
      </c>
      <c r="O943" s="77" t="str">
        <f>IF(D943="proMX",IF(BD943=1,ROUND(AG943/60,4),0),"")</f>
        <v/>
      </c>
      <c r="P943" s="78" t="str">
        <f>IF(Y943=0,"",IF(BD943=1,"OK",IF(D943="proMX","Revisar bloques: ","Revisar: ")&amp;BC943))</f>
        <v/>
      </c>
      <c r="Q943" s="78" t="str">
        <f>IF(NOT(ISNUMBER(B943)),"",IF(COUNTIFS(FER_F,INT(B943))&gt;0,"Feriado"&amp;IF(AH943=1," (laborable)"," (no laborable)"),IF(AH943=1,"Laborable",IF(WEEKDAY(B943,2)&gt;5,"Fin de semana","No laborable"))))</f>
        <v/>
      </c>
      <c r="R943" s="73" t="n"/>
      <c r="S943" s="72" t="n"/>
      <c r="T943" s="72" t="n"/>
      <c r="U943" s="74" t="n"/>
      <c r="V943" s="79" t="str">
        <f>IF(AND(D943="proMX",OR(R943="Submitted",R943="Recall Requested"),ISNUMBER(S943)),CFG_TODAY-INT(S943),"")</f>
        <v/>
      </c>
      <c r="W943" s="78" t="str">
        <f>IF(BD943=0,"",IF(BA943&gt;0,"⚠ Se superpone con un registro de la otra empresa",IF(D943="Malcolm",IF(COUNTA(R943,S943,T943)&gt;0,"Estado/fechas proMX se ignoran en Malcolm",""),IF(BF943="Cancelled","Cancelado: excluido de totales",IF(R943="","Sin estado: se trata como Draft",IF(BF943="Submitted",IF(ISNUMBER(V943),IF(V943&gt;CFG_MAXD,"⚠ "&amp;V943&amp;" días en Submitted (máx. "&amp;CFG_MAXD&amp;")",""),"Falta fecha de envío"),IF(BF943="Returned","⚠ Devuelto: corregir y reenviar",IF(BF943="Recall Requested","Retirada solicitada: pendiente",IF(AND(BF943="Approved",NOT(ISNUMBER(T943))),"Falta fecha de aprobación",IF(AND(ISNUMBER(S943),ISNUMBER(T943),T943&lt;S943),"Aprobación anterior al envío","")))))))))</f>
        <v/>
      </c>
      <c r="Y943" s="80">
        <f>IF(COUNTA(B943,D943,E943,F943,G943,H943,I943,J943,R943,S943,T943)&gt;0,1,0)</f>
        <v>0</v>
      </c>
      <c r="Z943" s="80" t="str">
        <f>IF(AND(ISNUMBER(H943),H943&gt;=0,H943&lt;1),ROUND(H943*1440,0),"")</f>
        <v/>
      </c>
      <c r="AA943" s="80" t="str">
        <f>IF(AND(ISNUMBER(I943),I943&gt;=0,I943&lt;1),ROUND(I943*1440,0),"")</f>
        <v/>
      </c>
      <c r="AB943" s="80">
        <f>IF(AND(ISNUMBER(B943),D943&lt;&gt;"",ISNUMBER(Z943),ISNUMBER(AA943)),IF(Z943=AA943,0,1),0)</f>
        <v>0</v>
      </c>
      <c r="AC943" s="80">
        <f>IF(AB943=1,IF(AA943&lt;Z943,1,0),0)</f>
        <v>0</v>
      </c>
      <c r="AD943" s="80">
        <f>IF(AB943=1,IF(AC943=1,1440-Z943+AA943,AA943-Z943),0)</f>
        <v>0</v>
      </c>
      <c r="AE943" s="80">
        <f>IF(J943="",0,IF(ISNUMBER(J943),J943,-1))</f>
        <v>0</v>
      </c>
      <c r="AF943" s="80">
        <f>MIN(MAX(0,AE943),AD943)</f>
        <v>0</v>
      </c>
      <c r="AG943" s="80">
        <f>MAX(0,AD943-MAX(0,AE943))</f>
        <v>0</v>
      </c>
      <c r="AH943" s="80">
        <f>IF(ISNUMBER(B943),IF(AND(INDEX(CFG_WDAYS,WEEKDAY(INT(B943),2))="Sí",IF(D943="proMX",COUNTIFS(FER_F,INT(B943),FER_NLP,"Sí"),COUNTIFS(FER_F,INT(B943),FER_NLM,"Sí"))=0),1,0),0)</f>
        <v>0</v>
      </c>
      <c r="AI943" s="80">
        <f>IF(AC943=1,IF(AND(INDEX(CFG_WDAYS,WEEKDAY(INT(B943)+1,2))="Sí",IF(D943="proMX",COUNTIFS(FER_F,INT(B943)+1,FER_NLP,"Sí"),COUNTIFS(FER_F,INT(B943)+1,FER_NLM,"Sí"))=0),1,0),0)</f>
        <v>0</v>
      </c>
      <c r="AJ943" s="80">
        <f>IF(AC943=1,1440-Z943,AD943)</f>
        <v>0</v>
      </c>
      <c r="AK943" s="80">
        <f>IF(AND(AB943=1,AH943=1),MAX(0,MIN(IF(AC943=1,1440,AA943),CFG_WEM)-MAX(Z943,CFG_WSM)),0)</f>
        <v>0</v>
      </c>
      <c r="AL943" s="80">
        <f>IF(AND(AC943=1,AI943=1),MAX(0,MIN(AA943,CFG_WEM)-CFG_WSM),0)</f>
        <v>0</v>
      </c>
      <c r="AM943" s="80">
        <f>AK943+AL943</f>
        <v>0</v>
      </c>
      <c r="AN943" s="80">
        <f>IF(CFG_BRK="Proporcional",IF(AD943=0,0,AF943*AM943/AD943),IF(CFG_BRK="Extras primero",MIN(AM943,MAX(0,AF943-(AD943-AM943))),MIN(AF943,AM943)))</f>
        <v>0</v>
      </c>
      <c r="AO943" s="80">
        <f>AF943-AN943</f>
        <v>0</v>
      </c>
      <c r="AP943" s="80">
        <f>AM943-AN943</f>
        <v>0</v>
      </c>
      <c r="AQ943" s="80">
        <f>AD943-AM943-AO943</f>
        <v>0</v>
      </c>
      <c r="AR943" s="80">
        <f>IF(AM943=0,0,AK943-AN943*AK943/AM943)</f>
        <v>0</v>
      </c>
      <c r="AS943" s="80">
        <f>IF(AD943-AM943=0,0,(AJ943-AK943)-AO943*(AJ943-AK943)/(AD943-AM943))</f>
        <v>0</v>
      </c>
      <c r="AT943" s="80" t="str">
        <f>IF(AC943=1,INT(B943)+1,"")</f>
        <v/>
      </c>
      <c r="AU943" s="80">
        <f>IF(AND(D943="proMX",R943="Cancelled"),0,1)</f>
        <v>1</v>
      </c>
      <c r="AV943" s="80">
        <f>IF(AND(AB943=1,AU943=1),IF(COUNTIFS($D$5:D942,D943,$B$5:B942,B943,$Z$5:Z942,Z943,$AA$5:AA942,AA943,$F$5:F942,F943&amp;"",$AU$5:AU942,1)&gt;0,1,0),0)</f>
        <v>0</v>
      </c>
      <c r="AW943" s="80" t="str">
        <f>IF(AB943=1,INT(B943)*1440+Z943,"")</f>
        <v/>
      </c>
      <c r="AX943" s="80" t="str">
        <f>IF(AB943=1,AW943+AD943,"")</f>
        <v/>
      </c>
      <c r="AY943" s="80">
        <f>IF(AND(AB943=1,AV943=0,AU943=1),1,0)</f>
        <v>0</v>
      </c>
      <c r="AZ943" s="80">
        <f>IF(AY943=1,COUNTIFS(R_Emp,D943,R_SAbs,"&lt;"&amp;AX943,R_EAbs,"&gt;"&amp;AW943,R_OKey,1)-1,0)</f>
        <v>0</v>
      </c>
      <c r="BA943" s="80">
        <f>IF(AY943=1,COUNTIFS(R_Emp,"&lt;&gt;"&amp;D943,R_SAbs,"&lt;"&amp;AX943,R_EAbs,"&gt;"&amp;AW943,R_OKey,1),0)</f>
        <v>0</v>
      </c>
      <c r="BB943" s="80">
        <f>IF(AND(AB943=1,D943="proMX"),IF(AND(MOD(Z943,CFG_BLK)=0,MOD(AA943,CFG_BLK)=0,MOD(AG943,CFG_BLK)=0,AG943&gt;0),1,0),1)</f>
        <v>1</v>
      </c>
      <c r="BC943" s="80" t="str">
        <f>IF(Y943=0,"",IF(NOT(ISNUMBER(B943)),"Falta fecha o fecha inválida",IF(D943="","Falta empresa",IF(AND(D943&lt;&gt;"Malcolm",D943&lt;&gt;"proMX"),"Empresa inválida",IF(OR(INT(B943)&lt;CFG_PSTART,INT(B943)&gt;CFG_PEND),"Fecha fuera del período",IF(OR(NOT(ISNUMBER(Z943)),NOT(ISNUMBER(AA943))),"Falta hora inicio/fin o formato inválido",IF(AB943=0,"Hora inicio = hora fin",IF(AE943&lt;0,"Descanso inválido",IF(AE943&gt;=AD943,"Descanso ≥ duración",IF(AV943=1,"Registro duplicado",IF(AZ943&gt;0,"Se superpone con otro registro "&amp;D943,IF(BB943=0,"inicio, fin y duración neta deben ser múltiplos de "&amp;CFG_BLK&amp;" min",""))))))))))))</f>
        <v/>
      </c>
      <c r="BD943" s="80">
        <f>IF(AND(Y943=1,BC943=""),1,0)</f>
        <v>0</v>
      </c>
      <c r="BE943" s="80">
        <f>IF(AND(BD943=1,AU943=1),1,0)</f>
        <v>0</v>
      </c>
      <c r="BF943" s="80" t="str">
        <f>IF(AND(D943="proMX",BD943=1),IF(R943="","Draft",R943),"")</f>
        <v/>
      </c>
      <c r="BG943" s="80">
        <f>IF(BD943=1,ROUND(AG943/60,6),0)</f>
        <v>0</v>
      </c>
      <c r="BH943" s="80">
        <f>IF(BE943=1,ROUND(AG943/60,6),0)</f>
        <v>0</v>
      </c>
      <c r="BI943" s="80">
        <f>IF(BE943=1,ROUND(AP943/60,6),0)</f>
        <v>0</v>
      </c>
      <c r="BJ943" s="80">
        <f>IF(BE943=1,ROUND(AQ943/60,6),0)</f>
        <v>0</v>
      </c>
      <c r="BK943" s="80">
        <f>IF(BE943=1,ROUND((AR943+AS943)/60,6),0)</f>
        <v>0</v>
      </c>
      <c r="BL943" s="80">
        <f>ROUND(BH943-BK943,6)</f>
        <v>0</v>
      </c>
      <c r="BM943" s="80">
        <f>IF(BE943=1,ROUND(AR943/60,6),0)</f>
        <v>0</v>
      </c>
      <c r="BN943" s="80">
        <f>ROUND(BI943-BM943,6)</f>
        <v>0</v>
      </c>
      <c r="BO943" s="80">
        <f>IF(BE943=1,ROUND(AS943/60,6),0)</f>
        <v>0</v>
      </c>
      <c r="BP943" s="80">
        <f>ROUND(BJ943-BO943,6)</f>
        <v>0</v>
      </c>
      <c r="BQ943" s="80">
        <f>IF(BE943=1,AW943,0)</f>
        <v>0</v>
      </c>
      <c r="BR943" s="80">
        <f>IF(BE943=1,AX943,0)</f>
        <v>0</v>
      </c>
      <c r="BS943" s="80">
        <f>IF(AND(BE943=1,D943="Malcolm",BA943&gt;0),MIN(BH943,SUMPRODUCT((R_Emp="proMX")*(R_EN&gt;0)*((R_EN-(R_EN&gt;BR943)*(R_EN-BR943))&gt;(R_SN+(R_SN&lt;BQ943)*(BQ943-R_SN)))*((R_EN-(R_EN&gt;BR943)*(R_EN-BR943))-(R_SN+(R_SN&lt;BQ943)*(BQ943-R_SN))))/60),0)</f>
        <v>0</v>
      </c>
      <c r="BT943" s="80">
        <f>IF(AND(BE943=1,D943="proMX"),ROUND(BI943*CFG_RATE+BJ943*CFG_OTRATE,6),0)</f>
        <v>0</v>
      </c>
      <c r="BU943" s="80">
        <f>IF(AND(BD943=1,D943="proMX"),ROUND(AG943/CFG_BLK,6),0)</f>
        <v>0</v>
      </c>
      <c r="BV943" s="80" t="str">
        <f>IF(BF943="Approved",IF(ISNUMBER(T943),INT(T943),INT(B943)),"")</f>
        <v/>
      </c>
      <c r="BW943" s="80">
        <f>IF(ISNUMBER(B943),IF(DB_MON="Todos",1,IF(AND(INT(B943)&gt;=DB_MS,INT(B943)&lt;=DB_ME),1,0)),0)</f>
        <v>0</v>
      </c>
      <c r="BX943" s="80">
        <f>IF(DB_PROJ="Todos",1,IF(E943&amp;""=DB_PROJ&amp;"",1,0))</f>
        <v>1</v>
      </c>
      <c r="BY943" s="80">
        <f>BW943*BX943</f>
        <v>0</v>
      </c>
      <c r="BZ943" s="80" t="str">
        <f>IF(Y943=1,F943&amp;IF(AND(F943&amp;""&lt;&gt;"",E943&amp;""&lt;&gt;"")," · ","")&amp;E943,"")</f>
        <v/>
      </c>
      <c r="CA943" s="80" t="str">
        <f>IF(AND(BD943=1,E943&amp;""&lt;&gt;""),IF(COUNTIFS($E$5:E942,E943,$BD$5:BD942,1)=0,MAX($CA$5:CA942)+1,""),"")</f>
        <v/>
      </c>
      <c r="CB943" s="80" t="str">
        <f>IF(AND(BE943=1,D943="Malcolm",E943&amp;""&lt;&gt;""),IF(COUNTIFS($D$5:D942,"Malcolm",$E$5:E942,E943,$BE$5:BE942,1)=0,MAX($CB$5:CB942)+1,""),"")</f>
        <v/>
      </c>
      <c r="CC943" s="80" t="str">
        <f>IF(AND(BD943=1,D943="proMX",E943&amp;""&lt;&gt;""),IF(COUNTIFS($D$5:D942,"proMX",$E$5:E942,E943,$BD$5:BD942,1)=0,MAX($CC$5:CC942)+1,""),"")</f>
        <v/>
      </c>
      <c r="CD943" s="80" t="str">
        <f>IF(AND(BE943=1,D943="Malcolm",F943&amp;""&lt;&gt;""),IF(COUNTIFS($D$5:D942,"Malcolm",$F$5:F942,F943,$BE$5:BE942,1)=0,MAX($CD$5:CD942)+1,""),"")</f>
        <v/>
      </c>
      <c r="CE943" s="80" t="str">
        <f>IF(AND(BD943=1,D943="proMX",F943&amp;""&lt;&gt;""),IF(COUNTIFS($D$5:D942,"proMX",$F$5:F942,F943,$BD$5:BD942,1)=0,MAX($CE$5:CE942)+1,""),"")</f>
        <v/>
      </c>
      <c r="CF943" s="80" t="str">
        <f>IF(AND(D943="proMX",BD943=1),IF(OR(BF943="Draft",BF943="Submitted",BF943="Returned",BF943="Recall Requested"),MAX($CF$5:CF942)+1,""),"")</f>
        <v/>
      </c>
      <c r="CG943" s="80">
        <f>IF(BD943=0,0,IF(D943="Malcolm",1,MATCH(BF943,{"Draft","Submitted","Approved","Returned","Recall Requested","Cancelled"},0)+1))</f>
        <v>0</v>
      </c>
      <c r="CH943" s="80">
        <f>IF(AND(BF943="Submitted",ISNUMBER(V943)),IF(V943&gt;CFG_MAXD,1,0),0)</f>
        <v>0</v>
      </c>
    </row>
    <row r="944">
      <c r="A944" s="71" t="str">
        <f>IF(Y944=1,ROW()-5,"")</f>
        <v/>
      </c>
      <c r="B944" s="72" t="n"/>
      <c r="C944" s="71" t="str">
        <f>IF(ISNUMBER(B944),CHOOSE(WEEKDAY(B944,2),"Lun","Mar","Mié","Jue","Vie","Sáb","Dom"),"")</f>
        <v/>
      </c>
      <c r="D944" s="73" t="n"/>
      <c r="E944" s="74" t="n"/>
      <c r="F944" s="74" t="n"/>
      <c r="G944" s="74" t="n"/>
      <c r="H944" s="75" t="n"/>
      <c r="I944" s="75" t="n"/>
      <c r="J944" s="76" t="n"/>
      <c r="K944" s="77" t="str">
        <f>IF(AB944=1,ROUND(AG944/60,4),"")</f>
        <v/>
      </c>
      <c r="L944" s="77" t="str">
        <f>IF(BD944=1,ROUND(AP944/60,4),"")</f>
        <v/>
      </c>
      <c r="M944" s="77" t="str">
        <f>IF(BD944=1,ROUND(AQ944/60,4),"")</f>
        <v/>
      </c>
      <c r="N944" s="71" t="str">
        <f>IF(AND(D944="proMX",AB944=1),ROUND(AG944/CFG_BLK,2),"")</f>
        <v/>
      </c>
      <c r="O944" s="77" t="str">
        <f>IF(D944="proMX",IF(BD944=1,ROUND(AG944/60,4),0),"")</f>
        <v/>
      </c>
      <c r="P944" s="78" t="str">
        <f>IF(Y944=0,"",IF(BD944=1,"OK",IF(D944="proMX","Revisar bloques: ","Revisar: ")&amp;BC944))</f>
        <v/>
      </c>
      <c r="Q944" s="78" t="str">
        <f>IF(NOT(ISNUMBER(B944)),"",IF(COUNTIFS(FER_F,INT(B944))&gt;0,"Feriado"&amp;IF(AH944=1," (laborable)"," (no laborable)"),IF(AH944=1,"Laborable",IF(WEEKDAY(B944,2)&gt;5,"Fin de semana","No laborable"))))</f>
        <v/>
      </c>
      <c r="R944" s="73" t="n"/>
      <c r="S944" s="72" t="n"/>
      <c r="T944" s="72" t="n"/>
      <c r="U944" s="74" t="n"/>
      <c r="V944" s="79" t="str">
        <f>IF(AND(D944="proMX",OR(R944="Submitted",R944="Recall Requested"),ISNUMBER(S944)),CFG_TODAY-INT(S944),"")</f>
        <v/>
      </c>
      <c r="W944" s="78" t="str">
        <f>IF(BD944=0,"",IF(BA944&gt;0,"⚠ Se superpone con un registro de la otra empresa",IF(D944="Malcolm",IF(COUNTA(R944,S944,T944)&gt;0,"Estado/fechas proMX se ignoran en Malcolm",""),IF(BF944="Cancelled","Cancelado: excluido de totales",IF(R944="","Sin estado: se trata como Draft",IF(BF944="Submitted",IF(ISNUMBER(V944),IF(V944&gt;CFG_MAXD,"⚠ "&amp;V944&amp;" días en Submitted (máx. "&amp;CFG_MAXD&amp;")",""),"Falta fecha de envío"),IF(BF944="Returned","⚠ Devuelto: corregir y reenviar",IF(BF944="Recall Requested","Retirada solicitada: pendiente",IF(AND(BF944="Approved",NOT(ISNUMBER(T944))),"Falta fecha de aprobación",IF(AND(ISNUMBER(S944),ISNUMBER(T944),T944&lt;S944),"Aprobación anterior al envío","")))))))))</f>
        <v/>
      </c>
      <c r="Y944" s="80">
        <f>IF(COUNTA(B944,D944,E944,F944,G944,H944,I944,J944,R944,S944,T944)&gt;0,1,0)</f>
        <v>0</v>
      </c>
      <c r="Z944" s="80" t="str">
        <f>IF(AND(ISNUMBER(H944),H944&gt;=0,H944&lt;1),ROUND(H944*1440,0),"")</f>
        <v/>
      </c>
      <c r="AA944" s="80" t="str">
        <f>IF(AND(ISNUMBER(I944),I944&gt;=0,I944&lt;1),ROUND(I944*1440,0),"")</f>
        <v/>
      </c>
      <c r="AB944" s="80">
        <f>IF(AND(ISNUMBER(B944),D944&lt;&gt;"",ISNUMBER(Z944),ISNUMBER(AA944)),IF(Z944=AA944,0,1),0)</f>
        <v>0</v>
      </c>
      <c r="AC944" s="80">
        <f>IF(AB944=1,IF(AA944&lt;Z944,1,0),0)</f>
        <v>0</v>
      </c>
      <c r="AD944" s="80">
        <f>IF(AB944=1,IF(AC944=1,1440-Z944+AA944,AA944-Z944),0)</f>
        <v>0</v>
      </c>
      <c r="AE944" s="80">
        <f>IF(J944="",0,IF(ISNUMBER(J944),J944,-1))</f>
        <v>0</v>
      </c>
      <c r="AF944" s="80">
        <f>MIN(MAX(0,AE944),AD944)</f>
        <v>0</v>
      </c>
      <c r="AG944" s="80">
        <f>MAX(0,AD944-MAX(0,AE944))</f>
        <v>0</v>
      </c>
      <c r="AH944" s="80">
        <f>IF(ISNUMBER(B944),IF(AND(INDEX(CFG_WDAYS,WEEKDAY(INT(B944),2))="Sí",IF(D944="proMX",COUNTIFS(FER_F,INT(B944),FER_NLP,"Sí"),COUNTIFS(FER_F,INT(B944),FER_NLM,"Sí"))=0),1,0),0)</f>
        <v>0</v>
      </c>
      <c r="AI944" s="80">
        <f>IF(AC944=1,IF(AND(INDEX(CFG_WDAYS,WEEKDAY(INT(B944)+1,2))="Sí",IF(D944="proMX",COUNTIFS(FER_F,INT(B944)+1,FER_NLP,"Sí"),COUNTIFS(FER_F,INT(B944)+1,FER_NLM,"Sí"))=0),1,0),0)</f>
        <v>0</v>
      </c>
      <c r="AJ944" s="80">
        <f>IF(AC944=1,1440-Z944,AD944)</f>
        <v>0</v>
      </c>
      <c r="AK944" s="80">
        <f>IF(AND(AB944=1,AH944=1),MAX(0,MIN(IF(AC944=1,1440,AA944),CFG_WEM)-MAX(Z944,CFG_WSM)),0)</f>
        <v>0</v>
      </c>
      <c r="AL944" s="80">
        <f>IF(AND(AC944=1,AI944=1),MAX(0,MIN(AA944,CFG_WEM)-CFG_WSM),0)</f>
        <v>0</v>
      </c>
      <c r="AM944" s="80">
        <f>AK944+AL944</f>
        <v>0</v>
      </c>
      <c r="AN944" s="80">
        <f>IF(CFG_BRK="Proporcional",IF(AD944=0,0,AF944*AM944/AD944),IF(CFG_BRK="Extras primero",MIN(AM944,MAX(0,AF944-(AD944-AM944))),MIN(AF944,AM944)))</f>
        <v>0</v>
      </c>
      <c r="AO944" s="80">
        <f>AF944-AN944</f>
        <v>0</v>
      </c>
      <c r="AP944" s="80">
        <f>AM944-AN944</f>
        <v>0</v>
      </c>
      <c r="AQ944" s="80">
        <f>AD944-AM944-AO944</f>
        <v>0</v>
      </c>
      <c r="AR944" s="80">
        <f>IF(AM944=0,0,AK944-AN944*AK944/AM944)</f>
        <v>0</v>
      </c>
      <c r="AS944" s="80">
        <f>IF(AD944-AM944=0,0,(AJ944-AK944)-AO944*(AJ944-AK944)/(AD944-AM944))</f>
        <v>0</v>
      </c>
      <c r="AT944" s="80" t="str">
        <f>IF(AC944=1,INT(B944)+1,"")</f>
        <v/>
      </c>
      <c r="AU944" s="80">
        <f>IF(AND(D944="proMX",R944="Cancelled"),0,1)</f>
        <v>1</v>
      </c>
      <c r="AV944" s="80">
        <f>IF(AND(AB944=1,AU944=1),IF(COUNTIFS($D$5:D943,D944,$B$5:B943,B944,$Z$5:Z943,Z944,$AA$5:AA943,AA944,$F$5:F943,F944&amp;"",$AU$5:AU943,1)&gt;0,1,0),0)</f>
        <v>0</v>
      </c>
      <c r="AW944" s="80" t="str">
        <f>IF(AB944=1,INT(B944)*1440+Z944,"")</f>
        <v/>
      </c>
      <c r="AX944" s="80" t="str">
        <f>IF(AB944=1,AW944+AD944,"")</f>
        <v/>
      </c>
      <c r="AY944" s="80">
        <f>IF(AND(AB944=1,AV944=0,AU944=1),1,0)</f>
        <v>0</v>
      </c>
      <c r="AZ944" s="80">
        <f>IF(AY944=1,COUNTIFS(R_Emp,D944,R_SAbs,"&lt;"&amp;AX944,R_EAbs,"&gt;"&amp;AW944,R_OKey,1)-1,0)</f>
        <v>0</v>
      </c>
      <c r="BA944" s="80">
        <f>IF(AY944=1,COUNTIFS(R_Emp,"&lt;&gt;"&amp;D944,R_SAbs,"&lt;"&amp;AX944,R_EAbs,"&gt;"&amp;AW944,R_OKey,1),0)</f>
        <v>0</v>
      </c>
      <c r="BB944" s="80">
        <f>IF(AND(AB944=1,D944="proMX"),IF(AND(MOD(Z944,CFG_BLK)=0,MOD(AA944,CFG_BLK)=0,MOD(AG944,CFG_BLK)=0,AG944&gt;0),1,0),1)</f>
        <v>1</v>
      </c>
      <c r="BC944" s="80" t="str">
        <f>IF(Y944=0,"",IF(NOT(ISNUMBER(B944)),"Falta fecha o fecha inválida",IF(D944="","Falta empresa",IF(AND(D944&lt;&gt;"Malcolm",D944&lt;&gt;"proMX"),"Empresa inválida",IF(OR(INT(B944)&lt;CFG_PSTART,INT(B944)&gt;CFG_PEND),"Fecha fuera del período",IF(OR(NOT(ISNUMBER(Z944)),NOT(ISNUMBER(AA944))),"Falta hora inicio/fin o formato inválido",IF(AB944=0,"Hora inicio = hora fin",IF(AE944&lt;0,"Descanso inválido",IF(AE944&gt;=AD944,"Descanso ≥ duración",IF(AV944=1,"Registro duplicado",IF(AZ944&gt;0,"Se superpone con otro registro "&amp;D944,IF(BB944=0,"inicio, fin y duración neta deben ser múltiplos de "&amp;CFG_BLK&amp;" min",""))))))))))))</f>
        <v/>
      </c>
      <c r="BD944" s="80">
        <f>IF(AND(Y944=1,BC944=""),1,0)</f>
        <v>0</v>
      </c>
      <c r="BE944" s="80">
        <f>IF(AND(BD944=1,AU944=1),1,0)</f>
        <v>0</v>
      </c>
      <c r="BF944" s="80" t="str">
        <f>IF(AND(D944="proMX",BD944=1),IF(R944="","Draft",R944),"")</f>
        <v/>
      </c>
      <c r="BG944" s="80">
        <f>IF(BD944=1,ROUND(AG944/60,6),0)</f>
        <v>0</v>
      </c>
      <c r="BH944" s="80">
        <f>IF(BE944=1,ROUND(AG944/60,6),0)</f>
        <v>0</v>
      </c>
      <c r="BI944" s="80">
        <f>IF(BE944=1,ROUND(AP944/60,6),0)</f>
        <v>0</v>
      </c>
      <c r="BJ944" s="80">
        <f>IF(BE944=1,ROUND(AQ944/60,6),0)</f>
        <v>0</v>
      </c>
      <c r="BK944" s="80">
        <f>IF(BE944=1,ROUND((AR944+AS944)/60,6),0)</f>
        <v>0</v>
      </c>
      <c r="BL944" s="80">
        <f>ROUND(BH944-BK944,6)</f>
        <v>0</v>
      </c>
      <c r="BM944" s="80">
        <f>IF(BE944=1,ROUND(AR944/60,6),0)</f>
        <v>0</v>
      </c>
      <c r="BN944" s="80">
        <f>ROUND(BI944-BM944,6)</f>
        <v>0</v>
      </c>
      <c r="BO944" s="80">
        <f>IF(BE944=1,ROUND(AS944/60,6),0)</f>
        <v>0</v>
      </c>
      <c r="BP944" s="80">
        <f>ROUND(BJ944-BO944,6)</f>
        <v>0</v>
      </c>
      <c r="BQ944" s="80">
        <f>IF(BE944=1,AW944,0)</f>
        <v>0</v>
      </c>
      <c r="BR944" s="80">
        <f>IF(BE944=1,AX944,0)</f>
        <v>0</v>
      </c>
      <c r="BS944" s="80">
        <f>IF(AND(BE944=1,D944="Malcolm",BA944&gt;0),MIN(BH944,SUMPRODUCT((R_Emp="proMX")*(R_EN&gt;0)*((R_EN-(R_EN&gt;BR944)*(R_EN-BR944))&gt;(R_SN+(R_SN&lt;BQ944)*(BQ944-R_SN)))*((R_EN-(R_EN&gt;BR944)*(R_EN-BR944))-(R_SN+(R_SN&lt;BQ944)*(BQ944-R_SN))))/60),0)</f>
        <v>0</v>
      </c>
      <c r="BT944" s="80">
        <f>IF(AND(BE944=1,D944="proMX"),ROUND(BI944*CFG_RATE+BJ944*CFG_OTRATE,6),0)</f>
        <v>0</v>
      </c>
      <c r="BU944" s="80">
        <f>IF(AND(BD944=1,D944="proMX"),ROUND(AG944/CFG_BLK,6),0)</f>
        <v>0</v>
      </c>
      <c r="BV944" s="80" t="str">
        <f>IF(BF944="Approved",IF(ISNUMBER(T944),INT(T944),INT(B944)),"")</f>
        <v/>
      </c>
      <c r="BW944" s="80">
        <f>IF(ISNUMBER(B944),IF(DB_MON="Todos",1,IF(AND(INT(B944)&gt;=DB_MS,INT(B944)&lt;=DB_ME),1,0)),0)</f>
        <v>0</v>
      </c>
      <c r="BX944" s="80">
        <f>IF(DB_PROJ="Todos",1,IF(E944&amp;""=DB_PROJ&amp;"",1,0))</f>
        <v>1</v>
      </c>
      <c r="BY944" s="80">
        <f>BW944*BX944</f>
        <v>0</v>
      </c>
      <c r="BZ944" s="80" t="str">
        <f>IF(Y944=1,F944&amp;IF(AND(F944&amp;""&lt;&gt;"",E944&amp;""&lt;&gt;"")," · ","")&amp;E944,"")</f>
        <v/>
      </c>
      <c r="CA944" s="80" t="str">
        <f>IF(AND(BD944=1,E944&amp;""&lt;&gt;""),IF(COUNTIFS($E$5:E943,E944,$BD$5:BD943,1)=0,MAX($CA$5:CA943)+1,""),"")</f>
        <v/>
      </c>
      <c r="CB944" s="80" t="str">
        <f>IF(AND(BE944=1,D944="Malcolm",E944&amp;""&lt;&gt;""),IF(COUNTIFS($D$5:D943,"Malcolm",$E$5:E943,E944,$BE$5:BE943,1)=0,MAX($CB$5:CB943)+1,""),"")</f>
        <v/>
      </c>
      <c r="CC944" s="80" t="str">
        <f>IF(AND(BD944=1,D944="proMX",E944&amp;""&lt;&gt;""),IF(COUNTIFS($D$5:D943,"proMX",$E$5:E943,E944,$BD$5:BD943,1)=0,MAX($CC$5:CC943)+1,""),"")</f>
        <v/>
      </c>
      <c r="CD944" s="80" t="str">
        <f>IF(AND(BE944=1,D944="Malcolm",F944&amp;""&lt;&gt;""),IF(COUNTIFS($D$5:D943,"Malcolm",$F$5:F943,F944,$BE$5:BE943,1)=0,MAX($CD$5:CD943)+1,""),"")</f>
        <v/>
      </c>
      <c r="CE944" s="80" t="str">
        <f>IF(AND(BD944=1,D944="proMX",F944&amp;""&lt;&gt;""),IF(COUNTIFS($D$5:D943,"proMX",$F$5:F943,F944,$BD$5:BD943,1)=0,MAX($CE$5:CE943)+1,""),"")</f>
        <v/>
      </c>
      <c r="CF944" s="80" t="str">
        <f>IF(AND(D944="proMX",BD944=1),IF(OR(BF944="Draft",BF944="Submitted",BF944="Returned",BF944="Recall Requested"),MAX($CF$5:CF943)+1,""),"")</f>
        <v/>
      </c>
      <c r="CG944" s="80">
        <f>IF(BD944=0,0,IF(D944="Malcolm",1,MATCH(BF944,{"Draft","Submitted","Approved","Returned","Recall Requested","Cancelled"},0)+1))</f>
        <v>0</v>
      </c>
      <c r="CH944" s="80">
        <f>IF(AND(BF944="Submitted",ISNUMBER(V944)),IF(V944&gt;CFG_MAXD,1,0),0)</f>
        <v>0</v>
      </c>
    </row>
    <row r="945">
      <c r="A945" s="71" t="str">
        <f>IF(Y945=1,ROW()-5,"")</f>
        <v/>
      </c>
      <c r="B945" s="72" t="n"/>
      <c r="C945" s="71" t="str">
        <f>IF(ISNUMBER(B945),CHOOSE(WEEKDAY(B945,2),"Lun","Mar","Mié","Jue","Vie","Sáb","Dom"),"")</f>
        <v/>
      </c>
      <c r="D945" s="73" t="n"/>
      <c r="E945" s="74" t="n"/>
      <c r="F945" s="74" t="n"/>
      <c r="G945" s="74" t="n"/>
      <c r="H945" s="75" t="n"/>
      <c r="I945" s="75" t="n"/>
      <c r="J945" s="76" t="n"/>
      <c r="K945" s="77" t="str">
        <f>IF(AB945=1,ROUND(AG945/60,4),"")</f>
        <v/>
      </c>
      <c r="L945" s="77" t="str">
        <f>IF(BD945=1,ROUND(AP945/60,4),"")</f>
        <v/>
      </c>
      <c r="M945" s="77" t="str">
        <f>IF(BD945=1,ROUND(AQ945/60,4),"")</f>
        <v/>
      </c>
      <c r="N945" s="71" t="str">
        <f>IF(AND(D945="proMX",AB945=1),ROUND(AG945/CFG_BLK,2),"")</f>
        <v/>
      </c>
      <c r="O945" s="77" t="str">
        <f>IF(D945="proMX",IF(BD945=1,ROUND(AG945/60,4),0),"")</f>
        <v/>
      </c>
      <c r="P945" s="78" t="str">
        <f>IF(Y945=0,"",IF(BD945=1,"OK",IF(D945="proMX","Revisar bloques: ","Revisar: ")&amp;BC945))</f>
        <v/>
      </c>
      <c r="Q945" s="78" t="str">
        <f>IF(NOT(ISNUMBER(B945)),"",IF(COUNTIFS(FER_F,INT(B945))&gt;0,"Feriado"&amp;IF(AH945=1," (laborable)"," (no laborable)"),IF(AH945=1,"Laborable",IF(WEEKDAY(B945,2)&gt;5,"Fin de semana","No laborable"))))</f>
        <v/>
      </c>
      <c r="R945" s="73" t="n"/>
      <c r="S945" s="72" t="n"/>
      <c r="T945" s="72" t="n"/>
      <c r="U945" s="74" t="n"/>
      <c r="V945" s="79" t="str">
        <f>IF(AND(D945="proMX",OR(R945="Submitted",R945="Recall Requested"),ISNUMBER(S945)),CFG_TODAY-INT(S945),"")</f>
        <v/>
      </c>
      <c r="W945" s="78" t="str">
        <f>IF(BD945=0,"",IF(BA945&gt;0,"⚠ Se superpone con un registro de la otra empresa",IF(D945="Malcolm",IF(COUNTA(R945,S945,T945)&gt;0,"Estado/fechas proMX se ignoran en Malcolm",""),IF(BF945="Cancelled","Cancelado: excluido de totales",IF(R945="","Sin estado: se trata como Draft",IF(BF945="Submitted",IF(ISNUMBER(V945),IF(V945&gt;CFG_MAXD,"⚠ "&amp;V945&amp;" días en Submitted (máx. "&amp;CFG_MAXD&amp;")",""),"Falta fecha de envío"),IF(BF945="Returned","⚠ Devuelto: corregir y reenviar",IF(BF945="Recall Requested","Retirada solicitada: pendiente",IF(AND(BF945="Approved",NOT(ISNUMBER(T945))),"Falta fecha de aprobación",IF(AND(ISNUMBER(S945),ISNUMBER(T945),T945&lt;S945),"Aprobación anterior al envío","")))))))))</f>
        <v/>
      </c>
      <c r="Y945" s="80">
        <f>IF(COUNTA(B945,D945,E945,F945,G945,H945,I945,J945,R945,S945,T945)&gt;0,1,0)</f>
        <v>0</v>
      </c>
      <c r="Z945" s="80" t="str">
        <f>IF(AND(ISNUMBER(H945),H945&gt;=0,H945&lt;1),ROUND(H945*1440,0),"")</f>
        <v/>
      </c>
      <c r="AA945" s="80" t="str">
        <f>IF(AND(ISNUMBER(I945),I945&gt;=0,I945&lt;1),ROUND(I945*1440,0),"")</f>
        <v/>
      </c>
      <c r="AB945" s="80">
        <f>IF(AND(ISNUMBER(B945),D945&lt;&gt;"",ISNUMBER(Z945),ISNUMBER(AA945)),IF(Z945=AA945,0,1),0)</f>
        <v>0</v>
      </c>
      <c r="AC945" s="80">
        <f>IF(AB945=1,IF(AA945&lt;Z945,1,0),0)</f>
        <v>0</v>
      </c>
      <c r="AD945" s="80">
        <f>IF(AB945=1,IF(AC945=1,1440-Z945+AA945,AA945-Z945),0)</f>
        <v>0</v>
      </c>
      <c r="AE945" s="80">
        <f>IF(J945="",0,IF(ISNUMBER(J945),J945,-1))</f>
        <v>0</v>
      </c>
      <c r="AF945" s="80">
        <f>MIN(MAX(0,AE945),AD945)</f>
        <v>0</v>
      </c>
      <c r="AG945" s="80">
        <f>MAX(0,AD945-MAX(0,AE945))</f>
        <v>0</v>
      </c>
      <c r="AH945" s="80">
        <f>IF(ISNUMBER(B945),IF(AND(INDEX(CFG_WDAYS,WEEKDAY(INT(B945),2))="Sí",IF(D945="proMX",COUNTIFS(FER_F,INT(B945),FER_NLP,"Sí"),COUNTIFS(FER_F,INT(B945),FER_NLM,"Sí"))=0),1,0),0)</f>
        <v>0</v>
      </c>
      <c r="AI945" s="80">
        <f>IF(AC945=1,IF(AND(INDEX(CFG_WDAYS,WEEKDAY(INT(B945)+1,2))="Sí",IF(D945="proMX",COUNTIFS(FER_F,INT(B945)+1,FER_NLP,"Sí"),COUNTIFS(FER_F,INT(B945)+1,FER_NLM,"Sí"))=0),1,0),0)</f>
        <v>0</v>
      </c>
      <c r="AJ945" s="80">
        <f>IF(AC945=1,1440-Z945,AD945)</f>
        <v>0</v>
      </c>
      <c r="AK945" s="80">
        <f>IF(AND(AB945=1,AH945=1),MAX(0,MIN(IF(AC945=1,1440,AA945),CFG_WEM)-MAX(Z945,CFG_WSM)),0)</f>
        <v>0</v>
      </c>
      <c r="AL945" s="80">
        <f>IF(AND(AC945=1,AI945=1),MAX(0,MIN(AA945,CFG_WEM)-CFG_WSM),0)</f>
        <v>0</v>
      </c>
      <c r="AM945" s="80">
        <f>AK945+AL945</f>
        <v>0</v>
      </c>
      <c r="AN945" s="80">
        <f>IF(CFG_BRK="Proporcional",IF(AD945=0,0,AF945*AM945/AD945),IF(CFG_BRK="Extras primero",MIN(AM945,MAX(0,AF945-(AD945-AM945))),MIN(AF945,AM945)))</f>
        <v>0</v>
      </c>
      <c r="AO945" s="80">
        <f>AF945-AN945</f>
        <v>0</v>
      </c>
      <c r="AP945" s="80">
        <f>AM945-AN945</f>
        <v>0</v>
      </c>
      <c r="AQ945" s="80">
        <f>AD945-AM945-AO945</f>
        <v>0</v>
      </c>
      <c r="AR945" s="80">
        <f>IF(AM945=0,0,AK945-AN945*AK945/AM945)</f>
        <v>0</v>
      </c>
      <c r="AS945" s="80">
        <f>IF(AD945-AM945=0,0,(AJ945-AK945)-AO945*(AJ945-AK945)/(AD945-AM945))</f>
        <v>0</v>
      </c>
      <c r="AT945" s="80" t="str">
        <f>IF(AC945=1,INT(B945)+1,"")</f>
        <v/>
      </c>
      <c r="AU945" s="80">
        <f>IF(AND(D945="proMX",R945="Cancelled"),0,1)</f>
        <v>1</v>
      </c>
      <c r="AV945" s="80">
        <f>IF(AND(AB945=1,AU945=1),IF(COUNTIFS($D$5:D944,D945,$B$5:B944,B945,$Z$5:Z944,Z945,$AA$5:AA944,AA945,$F$5:F944,F945&amp;"",$AU$5:AU944,1)&gt;0,1,0),0)</f>
        <v>0</v>
      </c>
      <c r="AW945" s="80" t="str">
        <f>IF(AB945=1,INT(B945)*1440+Z945,"")</f>
        <v/>
      </c>
      <c r="AX945" s="80" t="str">
        <f>IF(AB945=1,AW945+AD945,"")</f>
        <v/>
      </c>
      <c r="AY945" s="80">
        <f>IF(AND(AB945=1,AV945=0,AU945=1),1,0)</f>
        <v>0</v>
      </c>
      <c r="AZ945" s="80">
        <f>IF(AY945=1,COUNTIFS(R_Emp,D945,R_SAbs,"&lt;"&amp;AX945,R_EAbs,"&gt;"&amp;AW945,R_OKey,1)-1,0)</f>
        <v>0</v>
      </c>
      <c r="BA945" s="80">
        <f>IF(AY945=1,COUNTIFS(R_Emp,"&lt;&gt;"&amp;D945,R_SAbs,"&lt;"&amp;AX945,R_EAbs,"&gt;"&amp;AW945,R_OKey,1),0)</f>
        <v>0</v>
      </c>
      <c r="BB945" s="80">
        <f>IF(AND(AB945=1,D945="proMX"),IF(AND(MOD(Z945,CFG_BLK)=0,MOD(AA945,CFG_BLK)=0,MOD(AG945,CFG_BLK)=0,AG945&gt;0),1,0),1)</f>
        <v>1</v>
      </c>
      <c r="BC945" s="80" t="str">
        <f>IF(Y945=0,"",IF(NOT(ISNUMBER(B945)),"Falta fecha o fecha inválida",IF(D945="","Falta empresa",IF(AND(D945&lt;&gt;"Malcolm",D945&lt;&gt;"proMX"),"Empresa inválida",IF(OR(INT(B945)&lt;CFG_PSTART,INT(B945)&gt;CFG_PEND),"Fecha fuera del período",IF(OR(NOT(ISNUMBER(Z945)),NOT(ISNUMBER(AA945))),"Falta hora inicio/fin o formato inválido",IF(AB945=0,"Hora inicio = hora fin",IF(AE945&lt;0,"Descanso inválido",IF(AE945&gt;=AD945,"Descanso ≥ duración",IF(AV945=1,"Registro duplicado",IF(AZ945&gt;0,"Se superpone con otro registro "&amp;D945,IF(BB945=0,"inicio, fin y duración neta deben ser múltiplos de "&amp;CFG_BLK&amp;" min",""))))))))))))</f>
        <v/>
      </c>
      <c r="BD945" s="80">
        <f>IF(AND(Y945=1,BC945=""),1,0)</f>
        <v>0</v>
      </c>
      <c r="BE945" s="80">
        <f>IF(AND(BD945=1,AU945=1),1,0)</f>
        <v>0</v>
      </c>
      <c r="BF945" s="80" t="str">
        <f>IF(AND(D945="proMX",BD945=1),IF(R945="","Draft",R945),"")</f>
        <v/>
      </c>
      <c r="BG945" s="80">
        <f>IF(BD945=1,ROUND(AG945/60,6),0)</f>
        <v>0</v>
      </c>
      <c r="BH945" s="80">
        <f>IF(BE945=1,ROUND(AG945/60,6),0)</f>
        <v>0</v>
      </c>
      <c r="BI945" s="80">
        <f>IF(BE945=1,ROUND(AP945/60,6),0)</f>
        <v>0</v>
      </c>
      <c r="BJ945" s="80">
        <f>IF(BE945=1,ROUND(AQ945/60,6),0)</f>
        <v>0</v>
      </c>
      <c r="BK945" s="80">
        <f>IF(BE945=1,ROUND((AR945+AS945)/60,6),0)</f>
        <v>0</v>
      </c>
      <c r="BL945" s="80">
        <f>ROUND(BH945-BK945,6)</f>
        <v>0</v>
      </c>
      <c r="BM945" s="80">
        <f>IF(BE945=1,ROUND(AR945/60,6),0)</f>
        <v>0</v>
      </c>
      <c r="BN945" s="80">
        <f>ROUND(BI945-BM945,6)</f>
        <v>0</v>
      </c>
      <c r="BO945" s="80">
        <f>IF(BE945=1,ROUND(AS945/60,6),0)</f>
        <v>0</v>
      </c>
      <c r="BP945" s="80">
        <f>ROUND(BJ945-BO945,6)</f>
        <v>0</v>
      </c>
      <c r="BQ945" s="80">
        <f>IF(BE945=1,AW945,0)</f>
        <v>0</v>
      </c>
      <c r="BR945" s="80">
        <f>IF(BE945=1,AX945,0)</f>
        <v>0</v>
      </c>
      <c r="BS945" s="80">
        <f>IF(AND(BE945=1,D945="Malcolm",BA945&gt;0),MIN(BH945,SUMPRODUCT((R_Emp="proMX")*(R_EN&gt;0)*((R_EN-(R_EN&gt;BR945)*(R_EN-BR945))&gt;(R_SN+(R_SN&lt;BQ945)*(BQ945-R_SN)))*((R_EN-(R_EN&gt;BR945)*(R_EN-BR945))-(R_SN+(R_SN&lt;BQ945)*(BQ945-R_SN))))/60),0)</f>
        <v>0</v>
      </c>
      <c r="BT945" s="80">
        <f>IF(AND(BE945=1,D945="proMX"),ROUND(BI945*CFG_RATE+BJ945*CFG_OTRATE,6),0)</f>
        <v>0</v>
      </c>
      <c r="BU945" s="80">
        <f>IF(AND(BD945=1,D945="proMX"),ROUND(AG945/CFG_BLK,6),0)</f>
        <v>0</v>
      </c>
      <c r="BV945" s="80" t="str">
        <f>IF(BF945="Approved",IF(ISNUMBER(T945),INT(T945),INT(B945)),"")</f>
        <v/>
      </c>
      <c r="BW945" s="80">
        <f>IF(ISNUMBER(B945),IF(DB_MON="Todos",1,IF(AND(INT(B945)&gt;=DB_MS,INT(B945)&lt;=DB_ME),1,0)),0)</f>
        <v>0</v>
      </c>
      <c r="BX945" s="80">
        <f>IF(DB_PROJ="Todos",1,IF(E945&amp;""=DB_PROJ&amp;"",1,0))</f>
        <v>1</v>
      </c>
      <c r="BY945" s="80">
        <f>BW945*BX945</f>
        <v>0</v>
      </c>
      <c r="BZ945" s="80" t="str">
        <f>IF(Y945=1,F945&amp;IF(AND(F945&amp;""&lt;&gt;"",E945&amp;""&lt;&gt;"")," · ","")&amp;E945,"")</f>
        <v/>
      </c>
      <c r="CA945" s="80" t="str">
        <f>IF(AND(BD945=1,E945&amp;""&lt;&gt;""),IF(COUNTIFS($E$5:E944,E945,$BD$5:BD944,1)=0,MAX($CA$5:CA944)+1,""),"")</f>
        <v/>
      </c>
      <c r="CB945" s="80" t="str">
        <f>IF(AND(BE945=1,D945="Malcolm",E945&amp;""&lt;&gt;""),IF(COUNTIFS($D$5:D944,"Malcolm",$E$5:E944,E945,$BE$5:BE944,1)=0,MAX($CB$5:CB944)+1,""),"")</f>
        <v/>
      </c>
      <c r="CC945" s="80" t="str">
        <f>IF(AND(BD945=1,D945="proMX",E945&amp;""&lt;&gt;""),IF(COUNTIFS($D$5:D944,"proMX",$E$5:E944,E945,$BD$5:BD944,1)=0,MAX($CC$5:CC944)+1,""),"")</f>
        <v/>
      </c>
      <c r="CD945" s="80" t="str">
        <f>IF(AND(BE945=1,D945="Malcolm",F945&amp;""&lt;&gt;""),IF(COUNTIFS($D$5:D944,"Malcolm",$F$5:F944,F945,$BE$5:BE944,1)=0,MAX($CD$5:CD944)+1,""),"")</f>
        <v/>
      </c>
      <c r="CE945" s="80" t="str">
        <f>IF(AND(BD945=1,D945="proMX",F945&amp;""&lt;&gt;""),IF(COUNTIFS($D$5:D944,"proMX",$F$5:F944,F945,$BD$5:BD944,1)=0,MAX($CE$5:CE944)+1,""),"")</f>
        <v/>
      </c>
      <c r="CF945" s="80" t="str">
        <f>IF(AND(D945="proMX",BD945=1),IF(OR(BF945="Draft",BF945="Submitted",BF945="Returned",BF945="Recall Requested"),MAX($CF$5:CF944)+1,""),"")</f>
        <v/>
      </c>
      <c r="CG945" s="80">
        <f>IF(BD945=0,0,IF(D945="Malcolm",1,MATCH(BF945,{"Draft","Submitted","Approved","Returned","Recall Requested","Cancelled"},0)+1))</f>
        <v>0</v>
      </c>
      <c r="CH945" s="80">
        <f>IF(AND(BF945="Submitted",ISNUMBER(V945)),IF(V945&gt;CFG_MAXD,1,0),0)</f>
        <v>0</v>
      </c>
    </row>
    <row r="946">
      <c r="A946" s="71" t="str">
        <f>IF(Y946=1,ROW()-5,"")</f>
        <v/>
      </c>
      <c r="B946" s="72" t="n"/>
      <c r="C946" s="71" t="str">
        <f>IF(ISNUMBER(B946),CHOOSE(WEEKDAY(B946,2),"Lun","Mar","Mié","Jue","Vie","Sáb","Dom"),"")</f>
        <v/>
      </c>
      <c r="D946" s="73" t="n"/>
      <c r="E946" s="74" t="n"/>
      <c r="F946" s="74" t="n"/>
      <c r="G946" s="74" t="n"/>
      <c r="H946" s="75" t="n"/>
      <c r="I946" s="75" t="n"/>
      <c r="J946" s="76" t="n"/>
      <c r="K946" s="77" t="str">
        <f>IF(AB946=1,ROUND(AG946/60,4),"")</f>
        <v/>
      </c>
      <c r="L946" s="77" t="str">
        <f>IF(BD946=1,ROUND(AP946/60,4),"")</f>
        <v/>
      </c>
      <c r="M946" s="77" t="str">
        <f>IF(BD946=1,ROUND(AQ946/60,4),"")</f>
        <v/>
      </c>
      <c r="N946" s="71" t="str">
        <f>IF(AND(D946="proMX",AB946=1),ROUND(AG946/CFG_BLK,2),"")</f>
        <v/>
      </c>
      <c r="O946" s="77" t="str">
        <f>IF(D946="proMX",IF(BD946=1,ROUND(AG946/60,4),0),"")</f>
        <v/>
      </c>
      <c r="P946" s="78" t="str">
        <f>IF(Y946=0,"",IF(BD946=1,"OK",IF(D946="proMX","Revisar bloques: ","Revisar: ")&amp;BC946))</f>
        <v/>
      </c>
      <c r="Q946" s="78" t="str">
        <f>IF(NOT(ISNUMBER(B946)),"",IF(COUNTIFS(FER_F,INT(B946))&gt;0,"Feriado"&amp;IF(AH946=1," (laborable)"," (no laborable)"),IF(AH946=1,"Laborable",IF(WEEKDAY(B946,2)&gt;5,"Fin de semana","No laborable"))))</f>
        <v/>
      </c>
      <c r="R946" s="73" t="n"/>
      <c r="S946" s="72" t="n"/>
      <c r="T946" s="72" t="n"/>
      <c r="U946" s="74" t="n"/>
      <c r="V946" s="79" t="str">
        <f>IF(AND(D946="proMX",OR(R946="Submitted",R946="Recall Requested"),ISNUMBER(S946)),CFG_TODAY-INT(S946),"")</f>
        <v/>
      </c>
      <c r="W946" s="78" t="str">
        <f>IF(BD946=0,"",IF(BA946&gt;0,"⚠ Se superpone con un registro de la otra empresa",IF(D946="Malcolm",IF(COUNTA(R946,S946,T946)&gt;0,"Estado/fechas proMX se ignoran en Malcolm",""),IF(BF946="Cancelled","Cancelado: excluido de totales",IF(R946="","Sin estado: se trata como Draft",IF(BF946="Submitted",IF(ISNUMBER(V946),IF(V946&gt;CFG_MAXD,"⚠ "&amp;V946&amp;" días en Submitted (máx. "&amp;CFG_MAXD&amp;")",""),"Falta fecha de envío"),IF(BF946="Returned","⚠ Devuelto: corregir y reenviar",IF(BF946="Recall Requested","Retirada solicitada: pendiente",IF(AND(BF946="Approved",NOT(ISNUMBER(T946))),"Falta fecha de aprobación",IF(AND(ISNUMBER(S946),ISNUMBER(T946),T946&lt;S946),"Aprobación anterior al envío","")))))))))</f>
        <v/>
      </c>
      <c r="Y946" s="80">
        <f>IF(COUNTA(B946,D946,E946,F946,G946,H946,I946,J946,R946,S946,T946)&gt;0,1,0)</f>
        <v>0</v>
      </c>
      <c r="Z946" s="80" t="str">
        <f>IF(AND(ISNUMBER(H946),H946&gt;=0,H946&lt;1),ROUND(H946*1440,0),"")</f>
        <v/>
      </c>
      <c r="AA946" s="80" t="str">
        <f>IF(AND(ISNUMBER(I946),I946&gt;=0,I946&lt;1),ROUND(I946*1440,0),"")</f>
        <v/>
      </c>
      <c r="AB946" s="80">
        <f>IF(AND(ISNUMBER(B946),D946&lt;&gt;"",ISNUMBER(Z946),ISNUMBER(AA946)),IF(Z946=AA946,0,1),0)</f>
        <v>0</v>
      </c>
      <c r="AC946" s="80">
        <f>IF(AB946=1,IF(AA946&lt;Z946,1,0),0)</f>
        <v>0</v>
      </c>
      <c r="AD946" s="80">
        <f>IF(AB946=1,IF(AC946=1,1440-Z946+AA946,AA946-Z946),0)</f>
        <v>0</v>
      </c>
      <c r="AE946" s="80">
        <f>IF(J946="",0,IF(ISNUMBER(J946),J946,-1))</f>
        <v>0</v>
      </c>
      <c r="AF946" s="80">
        <f>MIN(MAX(0,AE946),AD946)</f>
        <v>0</v>
      </c>
      <c r="AG946" s="80">
        <f>MAX(0,AD946-MAX(0,AE946))</f>
        <v>0</v>
      </c>
      <c r="AH946" s="80">
        <f>IF(ISNUMBER(B946),IF(AND(INDEX(CFG_WDAYS,WEEKDAY(INT(B946),2))="Sí",IF(D946="proMX",COUNTIFS(FER_F,INT(B946),FER_NLP,"Sí"),COUNTIFS(FER_F,INT(B946),FER_NLM,"Sí"))=0),1,0),0)</f>
        <v>0</v>
      </c>
      <c r="AI946" s="80">
        <f>IF(AC946=1,IF(AND(INDEX(CFG_WDAYS,WEEKDAY(INT(B946)+1,2))="Sí",IF(D946="proMX",COUNTIFS(FER_F,INT(B946)+1,FER_NLP,"Sí"),COUNTIFS(FER_F,INT(B946)+1,FER_NLM,"Sí"))=0),1,0),0)</f>
        <v>0</v>
      </c>
      <c r="AJ946" s="80">
        <f>IF(AC946=1,1440-Z946,AD946)</f>
        <v>0</v>
      </c>
      <c r="AK946" s="80">
        <f>IF(AND(AB946=1,AH946=1),MAX(0,MIN(IF(AC946=1,1440,AA946),CFG_WEM)-MAX(Z946,CFG_WSM)),0)</f>
        <v>0</v>
      </c>
      <c r="AL946" s="80">
        <f>IF(AND(AC946=1,AI946=1),MAX(0,MIN(AA946,CFG_WEM)-CFG_WSM),0)</f>
        <v>0</v>
      </c>
      <c r="AM946" s="80">
        <f>AK946+AL946</f>
        <v>0</v>
      </c>
      <c r="AN946" s="80">
        <f>IF(CFG_BRK="Proporcional",IF(AD946=0,0,AF946*AM946/AD946),IF(CFG_BRK="Extras primero",MIN(AM946,MAX(0,AF946-(AD946-AM946))),MIN(AF946,AM946)))</f>
        <v>0</v>
      </c>
      <c r="AO946" s="80">
        <f>AF946-AN946</f>
        <v>0</v>
      </c>
      <c r="AP946" s="80">
        <f>AM946-AN946</f>
        <v>0</v>
      </c>
      <c r="AQ946" s="80">
        <f>AD946-AM946-AO946</f>
        <v>0</v>
      </c>
      <c r="AR946" s="80">
        <f>IF(AM946=0,0,AK946-AN946*AK946/AM946)</f>
        <v>0</v>
      </c>
      <c r="AS946" s="80">
        <f>IF(AD946-AM946=0,0,(AJ946-AK946)-AO946*(AJ946-AK946)/(AD946-AM946))</f>
        <v>0</v>
      </c>
      <c r="AT946" s="80" t="str">
        <f>IF(AC946=1,INT(B946)+1,"")</f>
        <v/>
      </c>
      <c r="AU946" s="80">
        <f>IF(AND(D946="proMX",R946="Cancelled"),0,1)</f>
        <v>1</v>
      </c>
      <c r="AV946" s="80">
        <f>IF(AND(AB946=1,AU946=1),IF(COUNTIFS($D$5:D945,D946,$B$5:B945,B946,$Z$5:Z945,Z946,$AA$5:AA945,AA946,$F$5:F945,F946&amp;"",$AU$5:AU945,1)&gt;0,1,0),0)</f>
        <v>0</v>
      </c>
      <c r="AW946" s="80" t="str">
        <f>IF(AB946=1,INT(B946)*1440+Z946,"")</f>
        <v/>
      </c>
      <c r="AX946" s="80" t="str">
        <f>IF(AB946=1,AW946+AD946,"")</f>
        <v/>
      </c>
      <c r="AY946" s="80">
        <f>IF(AND(AB946=1,AV946=0,AU946=1),1,0)</f>
        <v>0</v>
      </c>
      <c r="AZ946" s="80">
        <f>IF(AY946=1,COUNTIFS(R_Emp,D946,R_SAbs,"&lt;"&amp;AX946,R_EAbs,"&gt;"&amp;AW946,R_OKey,1)-1,0)</f>
        <v>0</v>
      </c>
      <c r="BA946" s="80">
        <f>IF(AY946=1,COUNTIFS(R_Emp,"&lt;&gt;"&amp;D946,R_SAbs,"&lt;"&amp;AX946,R_EAbs,"&gt;"&amp;AW946,R_OKey,1),0)</f>
        <v>0</v>
      </c>
      <c r="BB946" s="80">
        <f>IF(AND(AB946=1,D946="proMX"),IF(AND(MOD(Z946,CFG_BLK)=0,MOD(AA946,CFG_BLK)=0,MOD(AG946,CFG_BLK)=0,AG946&gt;0),1,0),1)</f>
        <v>1</v>
      </c>
      <c r="BC946" s="80" t="str">
        <f>IF(Y946=0,"",IF(NOT(ISNUMBER(B946)),"Falta fecha o fecha inválida",IF(D946="","Falta empresa",IF(AND(D946&lt;&gt;"Malcolm",D946&lt;&gt;"proMX"),"Empresa inválida",IF(OR(INT(B946)&lt;CFG_PSTART,INT(B946)&gt;CFG_PEND),"Fecha fuera del período",IF(OR(NOT(ISNUMBER(Z946)),NOT(ISNUMBER(AA946))),"Falta hora inicio/fin o formato inválido",IF(AB946=0,"Hora inicio = hora fin",IF(AE946&lt;0,"Descanso inválido",IF(AE946&gt;=AD946,"Descanso ≥ duración",IF(AV946=1,"Registro duplicado",IF(AZ946&gt;0,"Se superpone con otro registro "&amp;D946,IF(BB946=0,"inicio, fin y duración neta deben ser múltiplos de "&amp;CFG_BLK&amp;" min",""))))))))))))</f>
        <v/>
      </c>
      <c r="BD946" s="80">
        <f>IF(AND(Y946=1,BC946=""),1,0)</f>
        <v>0</v>
      </c>
      <c r="BE946" s="80">
        <f>IF(AND(BD946=1,AU946=1),1,0)</f>
        <v>0</v>
      </c>
      <c r="BF946" s="80" t="str">
        <f>IF(AND(D946="proMX",BD946=1),IF(R946="","Draft",R946),"")</f>
        <v/>
      </c>
      <c r="BG946" s="80">
        <f>IF(BD946=1,ROUND(AG946/60,6),0)</f>
        <v>0</v>
      </c>
      <c r="BH946" s="80">
        <f>IF(BE946=1,ROUND(AG946/60,6),0)</f>
        <v>0</v>
      </c>
      <c r="BI946" s="80">
        <f>IF(BE946=1,ROUND(AP946/60,6),0)</f>
        <v>0</v>
      </c>
      <c r="BJ946" s="80">
        <f>IF(BE946=1,ROUND(AQ946/60,6),0)</f>
        <v>0</v>
      </c>
      <c r="BK946" s="80">
        <f>IF(BE946=1,ROUND((AR946+AS946)/60,6),0)</f>
        <v>0</v>
      </c>
      <c r="BL946" s="80">
        <f>ROUND(BH946-BK946,6)</f>
        <v>0</v>
      </c>
      <c r="BM946" s="80">
        <f>IF(BE946=1,ROUND(AR946/60,6),0)</f>
        <v>0</v>
      </c>
      <c r="BN946" s="80">
        <f>ROUND(BI946-BM946,6)</f>
        <v>0</v>
      </c>
      <c r="BO946" s="80">
        <f>IF(BE946=1,ROUND(AS946/60,6),0)</f>
        <v>0</v>
      </c>
      <c r="BP946" s="80">
        <f>ROUND(BJ946-BO946,6)</f>
        <v>0</v>
      </c>
      <c r="BQ946" s="80">
        <f>IF(BE946=1,AW946,0)</f>
        <v>0</v>
      </c>
      <c r="BR946" s="80">
        <f>IF(BE946=1,AX946,0)</f>
        <v>0</v>
      </c>
      <c r="BS946" s="80">
        <f>IF(AND(BE946=1,D946="Malcolm",BA946&gt;0),MIN(BH946,SUMPRODUCT((R_Emp="proMX")*(R_EN&gt;0)*((R_EN-(R_EN&gt;BR946)*(R_EN-BR946))&gt;(R_SN+(R_SN&lt;BQ946)*(BQ946-R_SN)))*((R_EN-(R_EN&gt;BR946)*(R_EN-BR946))-(R_SN+(R_SN&lt;BQ946)*(BQ946-R_SN))))/60),0)</f>
        <v>0</v>
      </c>
      <c r="BT946" s="80">
        <f>IF(AND(BE946=1,D946="proMX"),ROUND(BI946*CFG_RATE+BJ946*CFG_OTRATE,6),0)</f>
        <v>0</v>
      </c>
      <c r="BU946" s="80">
        <f>IF(AND(BD946=1,D946="proMX"),ROUND(AG946/CFG_BLK,6),0)</f>
        <v>0</v>
      </c>
      <c r="BV946" s="80" t="str">
        <f>IF(BF946="Approved",IF(ISNUMBER(T946),INT(T946),INT(B946)),"")</f>
        <v/>
      </c>
      <c r="BW946" s="80">
        <f>IF(ISNUMBER(B946),IF(DB_MON="Todos",1,IF(AND(INT(B946)&gt;=DB_MS,INT(B946)&lt;=DB_ME),1,0)),0)</f>
        <v>0</v>
      </c>
      <c r="BX946" s="80">
        <f>IF(DB_PROJ="Todos",1,IF(E946&amp;""=DB_PROJ&amp;"",1,0))</f>
        <v>1</v>
      </c>
      <c r="BY946" s="80">
        <f>BW946*BX946</f>
        <v>0</v>
      </c>
      <c r="BZ946" s="80" t="str">
        <f>IF(Y946=1,F946&amp;IF(AND(F946&amp;""&lt;&gt;"",E946&amp;""&lt;&gt;"")," · ","")&amp;E946,"")</f>
        <v/>
      </c>
      <c r="CA946" s="80" t="str">
        <f>IF(AND(BD946=1,E946&amp;""&lt;&gt;""),IF(COUNTIFS($E$5:E945,E946,$BD$5:BD945,1)=0,MAX($CA$5:CA945)+1,""),"")</f>
        <v/>
      </c>
      <c r="CB946" s="80" t="str">
        <f>IF(AND(BE946=1,D946="Malcolm",E946&amp;""&lt;&gt;""),IF(COUNTIFS($D$5:D945,"Malcolm",$E$5:E945,E946,$BE$5:BE945,1)=0,MAX($CB$5:CB945)+1,""),"")</f>
        <v/>
      </c>
      <c r="CC946" s="80" t="str">
        <f>IF(AND(BD946=1,D946="proMX",E946&amp;""&lt;&gt;""),IF(COUNTIFS($D$5:D945,"proMX",$E$5:E945,E946,$BD$5:BD945,1)=0,MAX($CC$5:CC945)+1,""),"")</f>
        <v/>
      </c>
      <c r="CD946" s="80" t="str">
        <f>IF(AND(BE946=1,D946="Malcolm",F946&amp;""&lt;&gt;""),IF(COUNTIFS($D$5:D945,"Malcolm",$F$5:F945,F946,$BE$5:BE945,1)=0,MAX($CD$5:CD945)+1,""),"")</f>
        <v/>
      </c>
      <c r="CE946" s="80" t="str">
        <f>IF(AND(BD946=1,D946="proMX",F946&amp;""&lt;&gt;""),IF(COUNTIFS($D$5:D945,"proMX",$F$5:F945,F946,$BD$5:BD945,1)=0,MAX($CE$5:CE945)+1,""),"")</f>
        <v/>
      </c>
      <c r="CF946" s="80" t="str">
        <f>IF(AND(D946="proMX",BD946=1),IF(OR(BF946="Draft",BF946="Submitted",BF946="Returned",BF946="Recall Requested"),MAX($CF$5:CF945)+1,""),"")</f>
        <v/>
      </c>
      <c r="CG946" s="80">
        <f>IF(BD946=0,0,IF(D946="Malcolm",1,MATCH(BF946,{"Draft","Submitted","Approved","Returned","Recall Requested","Cancelled"},0)+1))</f>
        <v>0</v>
      </c>
      <c r="CH946" s="80">
        <f>IF(AND(BF946="Submitted",ISNUMBER(V946)),IF(V946&gt;CFG_MAXD,1,0),0)</f>
        <v>0</v>
      </c>
    </row>
    <row r="947">
      <c r="A947" s="71" t="str">
        <f>IF(Y947=1,ROW()-5,"")</f>
        <v/>
      </c>
      <c r="B947" s="72" t="n"/>
      <c r="C947" s="71" t="str">
        <f>IF(ISNUMBER(B947),CHOOSE(WEEKDAY(B947,2),"Lun","Mar","Mié","Jue","Vie","Sáb","Dom"),"")</f>
        <v/>
      </c>
      <c r="D947" s="73" t="n"/>
      <c r="E947" s="74" t="n"/>
      <c r="F947" s="74" t="n"/>
      <c r="G947" s="74" t="n"/>
      <c r="H947" s="75" t="n"/>
      <c r="I947" s="75" t="n"/>
      <c r="J947" s="76" t="n"/>
      <c r="K947" s="77" t="str">
        <f>IF(AB947=1,ROUND(AG947/60,4),"")</f>
        <v/>
      </c>
      <c r="L947" s="77" t="str">
        <f>IF(BD947=1,ROUND(AP947/60,4),"")</f>
        <v/>
      </c>
      <c r="M947" s="77" t="str">
        <f>IF(BD947=1,ROUND(AQ947/60,4),"")</f>
        <v/>
      </c>
      <c r="N947" s="71" t="str">
        <f>IF(AND(D947="proMX",AB947=1),ROUND(AG947/CFG_BLK,2),"")</f>
        <v/>
      </c>
      <c r="O947" s="77" t="str">
        <f>IF(D947="proMX",IF(BD947=1,ROUND(AG947/60,4),0),"")</f>
        <v/>
      </c>
      <c r="P947" s="78" t="str">
        <f>IF(Y947=0,"",IF(BD947=1,"OK",IF(D947="proMX","Revisar bloques: ","Revisar: ")&amp;BC947))</f>
        <v/>
      </c>
      <c r="Q947" s="78" t="str">
        <f>IF(NOT(ISNUMBER(B947)),"",IF(COUNTIFS(FER_F,INT(B947))&gt;0,"Feriado"&amp;IF(AH947=1," (laborable)"," (no laborable)"),IF(AH947=1,"Laborable",IF(WEEKDAY(B947,2)&gt;5,"Fin de semana","No laborable"))))</f>
        <v/>
      </c>
      <c r="R947" s="73" t="n"/>
      <c r="S947" s="72" t="n"/>
      <c r="T947" s="72" t="n"/>
      <c r="U947" s="74" t="n"/>
      <c r="V947" s="79" t="str">
        <f>IF(AND(D947="proMX",OR(R947="Submitted",R947="Recall Requested"),ISNUMBER(S947)),CFG_TODAY-INT(S947),"")</f>
        <v/>
      </c>
      <c r="W947" s="78" t="str">
        <f>IF(BD947=0,"",IF(BA947&gt;0,"⚠ Se superpone con un registro de la otra empresa",IF(D947="Malcolm",IF(COUNTA(R947,S947,T947)&gt;0,"Estado/fechas proMX se ignoran en Malcolm",""),IF(BF947="Cancelled","Cancelado: excluido de totales",IF(R947="","Sin estado: se trata como Draft",IF(BF947="Submitted",IF(ISNUMBER(V947),IF(V947&gt;CFG_MAXD,"⚠ "&amp;V947&amp;" días en Submitted (máx. "&amp;CFG_MAXD&amp;")",""),"Falta fecha de envío"),IF(BF947="Returned","⚠ Devuelto: corregir y reenviar",IF(BF947="Recall Requested","Retirada solicitada: pendiente",IF(AND(BF947="Approved",NOT(ISNUMBER(T947))),"Falta fecha de aprobación",IF(AND(ISNUMBER(S947),ISNUMBER(T947),T947&lt;S947),"Aprobación anterior al envío","")))))))))</f>
        <v/>
      </c>
      <c r="Y947" s="80">
        <f>IF(COUNTA(B947,D947,E947,F947,G947,H947,I947,J947,R947,S947,T947)&gt;0,1,0)</f>
        <v>0</v>
      </c>
      <c r="Z947" s="80" t="str">
        <f>IF(AND(ISNUMBER(H947),H947&gt;=0,H947&lt;1),ROUND(H947*1440,0),"")</f>
        <v/>
      </c>
      <c r="AA947" s="80" t="str">
        <f>IF(AND(ISNUMBER(I947),I947&gt;=0,I947&lt;1),ROUND(I947*1440,0),"")</f>
        <v/>
      </c>
      <c r="AB947" s="80">
        <f>IF(AND(ISNUMBER(B947),D947&lt;&gt;"",ISNUMBER(Z947),ISNUMBER(AA947)),IF(Z947=AA947,0,1),0)</f>
        <v>0</v>
      </c>
      <c r="AC947" s="80">
        <f>IF(AB947=1,IF(AA947&lt;Z947,1,0),0)</f>
        <v>0</v>
      </c>
      <c r="AD947" s="80">
        <f>IF(AB947=1,IF(AC947=1,1440-Z947+AA947,AA947-Z947),0)</f>
        <v>0</v>
      </c>
      <c r="AE947" s="80">
        <f>IF(J947="",0,IF(ISNUMBER(J947),J947,-1))</f>
        <v>0</v>
      </c>
      <c r="AF947" s="80">
        <f>MIN(MAX(0,AE947),AD947)</f>
        <v>0</v>
      </c>
      <c r="AG947" s="80">
        <f>MAX(0,AD947-MAX(0,AE947))</f>
        <v>0</v>
      </c>
      <c r="AH947" s="80">
        <f>IF(ISNUMBER(B947),IF(AND(INDEX(CFG_WDAYS,WEEKDAY(INT(B947),2))="Sí",IF(D947="proMX",COUNTIFS(FER_F,INT(B947),FER_NLP,"Sí"),COUNTIFS(FER_F,INT(B947),FER_NLM,"Sí"))=0),1,0),0)</f>
        <v>0</v>
      </c>
      <c r="AI947" s="80">
        <f>IF(AC947=1,IF(AND(INDEX(CFG_WDAYS,WEEKDAY(INT(B947)+1,2))="Sí",IF(D947="proMX",COUNTIFS(FER_F,INT(B947)+1,FER_NLP,"Sí"),COUNTIFS(FER_F,INT(B947)+1,FER_NLM,"Sí"))=0),1,0),0)</f>
        <v>0</v>
      </c>
      <c r="AJ947" s="80">
        <f>IF(AC947=1,1440-Z947,AD947)</f>
        <v>0</v>
      </c>
      <c r="AK947" s="80">
        <f>IF(AND(AB947=1,AH947=1),MAX(0,MIN(IF(AC947=1,1440,AA947),CFG_WEM)-MAX(Z947,CFG_WSM)),0)</f>
        <v>0</v>
      </c>
      <c r="AL947" s="80">
        <f>IF(AND(AC947=1,AI947=1),MAX(0,MIN(AA947,CFG_WEM)-CFG_WSM),0)</f>
        <v>0</v>
      </c>
      <c r="AM947" s="80">
        <f>AK947+AL947</f>
        <v>0</v>
      </c>
      <c r="AN947" s="80">
        <f>IF(CFG_BRK="Proporcional",IF(AD947=0,0,AF947*AM947/AD947),IF(CFG_BRK="Extras primero",MIN(AM947,MAX(0,AF947-(AD947-AM947))),MIN(AF947,AM947)))</f>
        <v>0</v>
      </c>
      <c r="AO947" s="80">
        <f>AF947-AN947</f>
        <v>0</v>
      </c>
      <c r="AP947" s="80">
        <f>AM947-AN947</f>
        <v>0</v>
      </c>
      <c r="AQ947" s="80">
        <f>AD947-AM947-AO947</f>
        <v>0</v>
      </c>
      <c r="AR947" s="80">
        <f>IF(AM947=0,0,AK947-AN947*AK947/AM947)</f>
        <v>0</v>
      </c>
      <c r="AS947" s="80">
        <f>IF(AD947-AM947=0,0,(AJ947-AK947)-AO947*(AJ947-AK947)/(AD947-AM947))</f>
        <v>0</v>
      </c>
      <c r="AT947" s="80" t="str">
        <f>IF(AC947=1,INT(B947)+1,"")</f>
        <v/>
      </c>
      <c r="AU947" s="80">
        <f>IF(AND(D947="proMX",R947="Cancelled"),0,1)</f>
        <v>1</v>
      </c>
      <c r="AV947" s="80">
        <f>IF(AND(AB947=1,AU947=1),IF(COUNTIFS($D$5:D946,D947,$B$5:B946,B947,$Z$5:Z946,Z947,$AA$5:AA946,AA947,$F$5:F946,F947&amp;"",$AU$5:AU946,1)&gt;0,1,0),0)</f>
        <v>0</v>
      </c>
      <c r="AW947" s="80" t="str">
        <f>IF(AB947=1,INT(B947)*1440+Z947,"")</f>
        <v/>
      </c>
      <c r="AX947" s="80" t="str">
        <f>IF(AB947=1,AW947+AD947,"")</f>
        <v/>
      </c>
      <c r="AY947" s="80">
        <f>IF(AND(AB947=1,AV947=0,AU947=1),1,0)</f>
        <v>0</v>
      </c>
      <c r="AZ947" s="80">
        <f>IF(AY947=1,COUNTIFS(R_Emp,D947,R_SAbs,"&lt;"&amp;AX947,R_EAbs,"&gt;"&amp;AW947,R_OKey,1)-1,0)</f>
        <v>0</v>
      </c>
      <c r="BA947" s="80">
        <f>IF(AY947=1,COUNTIFS(R_Emp,"&lt;&gt;"&amp;D947,R_SAbs,"&lt;"&amp;AX947,R_EAbs,"&gt;"&amp;AW947,R_OKey,1),0)</f>
        <v>0</v>
      </c>
      <c r="BB947" s="80">
        <f>IF(AND(AB947=1,D947="proMX"),IF(AND(MOD(Z947,CFG_BLK)=0,MOD(AA947,CFG_BLK)=0,MOD(AG947,CFG_BLK)=0,AG947&gt;0),1,0),1)</f>
        <v>1</v>
      </c>
      <c r="BC947" s="80" t="str">
        <f>IF(Y947=0,"",IF(NOT(ISNUMBER(B947)),"Falta fecha o fecha inválida",IF(D947="","Falta empresa",IF(AND(D947&lt;&gt;"Malcolm",D947&lt;&gt;"proMX"),"Empresa inválida",IF(OR(INT(B947)&lt;CFG_PSTART,INT(B947)&gt;CFG_PEND),"Fecha fuera del período",IF(OR(NOT(ISNUMBER(Z947)),NOT(ISNUMBER(AA947))),"Falta hora inicio/fin o formato inválido",IF(AB947=0,"Hora inicio = hora fin",IF(AE947&lt;0,"Descanso inválido",IF(AE947&gt;=AD947,"Descanso ≥ duración",IF(AV947=1,"Registro duplicado",IF(AZ947&gt;0,"Se superpone con otro registro "&amp;D947,IF(BB947=0,"inicio, fin y duración neta deben ser múltiplos de "&amp;CFG_BLK&amp;" min",""))))))))))))</f>
        <v/>
      </c>
      <c r="BD947" s="80">
        <f>IF(AND(Y947=1,BC947=""),1,0)</f>
        <v>0</v>
      </c>
      <c r="BE947" s="80">
        <f>IF(AND(BD947=1,AU947=1),1,0)</f>
        <v>0</v>
      </c>
      <c r="BF947" s="80" t="str">
        <f>IF(AND(D947="proMX",BD947=1),IF(R947="","Draft",R947),"")</f>
        <v/>
      </c>
      <c r="BG947" s="80">
        <f>IF(BD947=1,ROUND(AG947/60,6),0)</f>
        <v>0</v>
      </c>
      <c r="BH947" s="80">
        <f>IF(BE947=1,ROUND(AG947/60,6),0)</f>
        <v>0</v>
      </c>
      <c r="BI947" s="80">
        <f>IF(BE947=1,ROUND(AP947/60,6),0)</f>
        <v>0</v>
      </c>
      <c r="BJ947" s="80">
        <f>IF(BE947=1,ROUND(AQ947/60,6),0)</f>
        <v>0</v>
      </c>
      <c r="BK947" s="80">
        <f>IF(BE947=1,ROUND((AR947+AS947)/60,6),0)</f>
        <v>0</v>
      </c>
      <c r="BL947" s="80">
        <f>ROUND(BH947-BK947,6)</f>
        <v>0</v>
      </c>
      <c r="BM947" s="80">
        <f>IF(BE947=1,ROUND(AR947/60,6),0)</f>
        <v>0</v>
      </c>
      <c r="BN947" s="80">
        <f>ROUND(BI947-BM947,6)</f>
        <v>0</v>
      </c>
      <c r="BO947" s="80">
        <f>IF(BE947=1,ROUND(AS947/60,6),0)</f>
        <v>0</v>
      </c>
      <c r="BP947" s="80">
        <f>ROUND(BJ947-BO947,6)</f>
        <v>0</v>
      </c>
      <c r="BQ947" s="80">
        <f>IF(BE947=1,AW947,0)</f>
        <v>0</v>
      </c>
      <c r="BR947" s="80">
        <f>IF(BE947=1,AX947,0)</f>
        <v>0</v>
      </c>
      <c r="BS947" s="80">
        <f>IF(AND(BE947=1,D947="Malcolm",BA947&gt;0),MIN(BH947,SUMPRODUCT((R_Emp="proMX")*(R_EN&gt;0)*((R_EN-(R_EN&gt;BR947)*(R_EN-BR947))&gt;(R_SN+(R_SN&lt;BQ947)*(BQ947-R_SN)))*((R_EN-(R_EN&gt;BR947)*(R_EN-BR947))-(R_SN+(R_SN&lt;BQ947)*(BQ947-R_SN))))/60),0)</f>
        <v>0</v>
      </c>
      <c r="BT947" s="80">
        <f>IF(AND(BE947=1,D947="proMX"),ROUND(BI947*CFG_RATE+BJ947*CFG_OTRATE,6),0)</f>
        <v>0</v>
      </c>
      <c r="BU947" s="80">
        <f>IF(AND(BD947=1,D947="proMX"),ROUND(AG947/CFG_BLK,6),0)</f>
        <v>0</v>
      </c>
      <c r="BV947" s="80" t="str">
        <f>IF(BF947="Approved",IF(ISNUMBER(T947),INT(T947),INT(B947)),"")</f>
        <v/>
      </c>
      <c r="BW947" s="80">
        <f>IF(ISNUMBER(B947),IF(DB_MON="Todos",1,IF(AND(INT(B947)&gt;=DB_MS,INT(B947)&lt;=DB_ME),1,0)),0)</f>
        <v>0</v>
      </c>
      <c r="BX947" s="80">
        <f>IF(DB_PROJ="Todos",1,IF(E947&amp;""=DB_PROJ&amp;"",1,0))</f>
        <v>1</v>
      </c>
      <c r="BY947" s="80">
        <f>BW947*BX947</f>
        <v>0</v>
      </c>
      <c r="BZ947" s="80" t="str">
        <f>IF(Y947=1,F947&amp;IF(AND(F947&amp;""&lt;&gt;"",E947&amp;""&lt;&gt;"")," · ","")&amp;E947,"")</f>
        <v/>
      </c>
      <c r="CA947" s="80" t="str">
        <f>IF(AND(BD947=1,E947&amp;""&lt;&gt;""),IF(COUNTIFS($E$5:E946,E947,$BD$5:BD946,1)=0,MAX($CA$5:CA946)+1,""),"")</f>
        <v/>
      </c>
      <c r="CB947" s="80" t="str">
        <f>IF(AND(BE947=1,D947="Malcolm",E947&amp;""&lt;&gt;""),IF(COUNTIFS($D$5:D946,"Malcolm",$E$5:E946,E947,$BE$5:BE946,1)=0,MAX($CB$5:CB946)+1,""),"")</f>
        <v/>
      </c>
      <c r="CC947" s="80" t="str">
        <f>IF(AND(BD947=1,D947="proMX",E947&amp;""&lt;&gt;""),IF(COUNTIFS($D$5:D946,"proMX",$E$5:E946,E947,$BD$5:BD946,1)=0,MAX($CC$5:CC946)+1,""),"")</f>
        <v/>
      </c>
      <c r="CD947" s="80" t="str">
        <f>IF(AND(BE947=1,D947="Malcolm",F947&amp;""&lt;&gt;""),IF(COUNTIFS($D$5:D946,"Malcolm",$F$5:F946,F947,$BE$5:BE946,1)=0,MAX($CD$5:CD946)+1,""),"")</f>
        <v/>
      </c>
      <c r="CE947" s="80" t="str">
        <f>IF(AND(BD947=1,D947="proMX",F947&amp;""&lt;&gt;""),IF(COUNTIFS($D$5:D946,"proMX",$F$5:F946,F947,$BD$5:BD946,1)=0,MAX($CE$5:CE946)+1,""),"")</f>
        <v/>
      </c>
      <c r="CF947" s="80" t="str">
        <f>IF(AND(D947="proMX",BD947=1),IF(OR(BF947="Draft",BF947="Submitted",BF947="Returned",BF947="Recall Requested"),MAX($CF$5:CF946)+1,""),"")</f>
        <v/>
      </c>
      <c r="CG947" s="80">
        <f>IF(BD947=0,0,IF(D947="Malcolm",1,MATCH(BF947,{"Draft","Submitted","Approved","Returned","Recall Requested","Cancelled"},0)+1))</f>
        <v>0</v>
      </c>
      <c r="CH947" s="80">
        <f>IF(AND(BF947="Submitted",ISNUMBER(V947)),IF(V947&gt;CFG_MAXD,1,0),0)</f>
        <v>0</v>
      </c>
    </row>
    <row r="948">
      <c r="A948" s="71" t="str">
        <f>IF(Y948=1,ROW()-5,"")</f>
        <v/>
      </c>
      <c r="B948" s="72" t="n"/>
      <c r="C948" s="71" t="str">
        <f>IF(ISNUMBER(B948),CHOOSE(WEEKDAY(B948,2),"Lun","Mar","Mié","Jue","Vie","Sáb","Dom"),"")</f>
        <v/>
      </c>
      <c r="D948" s="73" t="n"/>
      <c r="E948" s="74" t="n"/>
      <c r="F948" s="74" t="n"/>
      <c r="G948" s="74" t="n"/>
      <c r="H948" s="75" t="n"/>
      <c r="I948" s="75" t="n"/>
      <c r="J948" s="76" t="n"/>
      <c r="K948" s="77" t="str">
        <f>IF(AB948=1,ROUND(AG948/60,4),"")</f>
        <v/>
      </c>
      <c r="L948" s="77" t="str">
        <f>IF(BD948=1,ROUND(AP948/60,4),"")</f>
        <v/>
      </c>
      <c r="M948" s="77" t="str">
        <f>IF(BD948=1,ROUND(AQ948/60,4),"")</f>
        <v/>
      </c>
      <c r="N948" s="71" t="str">
        <f>IF(AND(D948="proMX",AB948=1),ROUND(AG948/CFG_BLK,2),"")</f>
        <v/>
      </c>
      <c r="O948" s="77" t="str">
        <f>IF(D948="proMX",IF(BD948=1,ROUND(AG948/60,4),0),"")</f>
        <v/>
      </c>
      <c r="P948" s="78" t="str">
        <f>IF(Y948=0,"",IF(BD948=1,"OK",IF(D948="proMX","Revisar bloques: ","Revisar: ")&amp;BC948))</f>
        <v/>
      </c>
      <c r="Q948" s="78" t="str">
        <f>IF(NOT(ISNUMBER(B948)),"",IF(COUNTIFS(FER_F,INT(B948))&gt;0,"Feriado"&amp;IF(AH948=1," (laborable)"," (no laborable)"),IF(AH948=1,"Laborable",IF(WEEKDAY(B948,2)&gt;5,"Fin de semana","No laborable"))))</f>
        <v/>
      </c>
      <c r="R948" s="73" t="n"/>
      <c r="S948" s="72" t="n"/>
      <c r="T948" s="72" t="n"/>
      <c r="U948" s="74" t="n"/>
      <c r="V948" s="79" t="str">
        <f>IF(AND(D948="proMX",OR(R948="Submitted",R948="Recall Requested"),ISNUMBER(S948)),CFG_TODAY-INT(S948),"")</f>
        <v/>
      </c>
      <c r="W948" s="78" t="str">
        <f>IF(BD948=0,"",IF(BA948&gt;0,"⚠ Se superpone con un registro de la otra empresa",IF(D948="Malcolm",IF(COUNTA(R948,S948,T948)&gt;0,"Estado/fechas proMX se ignoran en Malcolm",""),IF(BF948="Cancelled","Cancelado: excluido de totales",IF(R948="","Sin estado: se trata como Draft",IF(BF948="Submitted",IF(ISNUMBER(V948),IF(V948&gt;CFG_MAXD,"⚠ "&amp;V948&amp;" días en Submitted (máx. "&amp;CFG_MAXD&amp;")",""),"Falta fecha de envío"),IF(BF948="Returned","⚠ Devuelto: corregir y reenviar",IF(BF948="Recall Requested","Retirada solicitada: pendiente",IF(AND(BF948="Approved",NOT(ISNUMBER(T948))),"Falta fecha de aprobación",IF(AND(ISNUMBER(S948),ISNUMBER(T948),T948&lt;S948),"Aprobación anterior al envío","")))))))))</f>
        <v/>
      </c>
      <c r="Y948" s="80">
        <f>IF(COUNTA(B948,D948,E948,F948,G948,H948,I948,J948,R948,S948,T948)&gt;0,1,0)</f>
        <v>0</v>
      </c>
      <c r="Z948" s="80" t="str">
        <f>IF(AND(ISNUMBER(H948),H948&gt;=0,H948&lt;1),ROUND(H948*1440,0),"")</f>
        <v/>
      </c>
      <c r="AA948" s="80" t="str">
        <f>IF(AND(ISNUMBER(I948),I948&gt;=0,I948&lt;1),ROUND(I948*1440,0),"")</f>
        <v/>
      </c>
      <c r="AB948" s="80">
        <f>IF(AND(ISNUMBER(B948),D948&lt;&gt;"",ISNUMBER(Z948),ISNUMBER(AA948)),IF(Z948=AA948,0,1),0)</f>
        <v>0</v>
      </c>
      <c r="AC948" s="80">
        <f>IF(AB948=1,IF(AA948&lt;Z948,1,0),0)</f>
        <v>0</v>
      </c>
      <c r="AD948" s="80">
        <f>IF(AB948=1,IF(AC948=1,1440-Z948+AA948,AA948-Z948),0)</f>
        <v>0</v>
      </c>
      <c r="AE948" s="80">
        <f>IF(J948="",0,IF(ISNUMBER(J948),J948,-1))</f>
        <v>0</v>
      </c>
      <c r="AF948" s="80">
        <f>MIN(MAX(0,AE948),AD948)</f>
        <v>0</v>
      </c>
      <c r="AG948" s="80">
        <f>MAX(0,AD948-MAX(0,AE948))</f>
        <v>0</v>
      </c>
      <c r="AH948" s="80">
        <f>IF(ISNUMBER(B948),IF(AND(INDEX(CFG_WDAYS,WEEKDAY(INT(B948),2))="Sí",IF(D948="proMX",COUNTIFS(FER_F,INT(B948),FER_NLP,"Sí"),COUNTIFS(FER_F,INT(B948),FER_NLM,"Sí"))=0),1,0),0)</f>
        <v>0</v>
      </c>
      <c r="AI948" s="80">
        <f>IF(AC948=1,IF(AND(INDEX(CFG_WDAYS,WEEKDAY(INT(B948)+1,2))="Sí",IF(D948="proMX",COUNTIFS(FER_F,INT(B948)+1,FER_NLP,"Sí"),COUNTIFS(FER_F,INT(B948)+1,FER_NLM,"Sí"))=0),1,0),0)</f>
        <v>0</v>
      </c>
      <c r="AJ948" s="80">
        <f>IF(AC948=1,1440-Z948,AD948)</f>
        <v>0</v>
      </c>
      <c r="AK948" s="80">
        <f>IF(AND(AB948=1,AH948=1),MAX(0,MIN(IF(AC948=1,1440,AA948),CFG_WEM)-MAX(Z948,CFG_WSM)),0)</f>
        <v>0</v>
      </c>
      <c r="AL948" s="80">
        <f>IF(AND(AC948=1,AI948=1),MAX(0,MIN(AA948,CFG_WEM)-CFG_WSM),0)</f>
        <v>0</v>
      </c>
      <c r="AM948" s="80">
        <f>AK948+AL948</f>
        <v>0</v>
      </c>
      <c r="AN948" s="80">
        <f>IF(CFG_BRK="Proporcional",IF(AD948=0,0,AF948*AM948/AD948),IF(CFG_BRK="Extras primero",MIN(AM948,MAX(0,AF948-(AD948-AM948))),MIN(AF948,AM948)))</f>
        <v>0</v>
      </c>
      <c r="AO948" s="80">
        <f>AF948-AN948</f>
        <v>0</v>
      </c>
      <c r="AP948" s="80">
        <f>AM948-AN948</f>
        <v>0</v>
      </c>
      <c r="AQ948" s="80">
        <f>AD948-AM948-AO948</f>
        <v>0</v>
      </c>
      <c r="AR948" s="80">
        <f>IF(AM948=0,0,AK948-AN948*AK948/AM948)</f>
        <v>0</v>
      </c>
      <c r="AS948" s="80">
        <f>IF(AD948-AM948=0,0,(AJ948-AK948)-AO948*(AJ948-AK948)/(AD948-AM948))</f>
        <v>0</v>
      </c>
      <c r="AT948" s="80" t="str">
        <f>IF(AC948=1,INT(B948)+1,"")</f>
        <v/>
      </c>
      <c r="AU948" s="80">
        <f>IF(AND(D948="proMX",R948="Cancelled"),0,1)</f>
        <v>1</v>
      </c>
      <c r="AV948" s="80">
        <f>IF(AND(AB948=1,AU948=1),IF(COUNTIFS($D$5:D947,D948,$B$5:B947,B948,$Z$5:Z947,Z948,$AA$5:AA947,AA948,$F$5:F947,F948&amp;"",$AU$5:AU947,1)&gt;0,1,0),0)</f>
        <v>0</v>
      </c>
      <c r="AW948" s="80" t="str">
        <f>IF(AB948=1,INT(B948)*1440+Z948,"")</f>
        <v/>
      </c>
      <c r="AX948" s="80" t="str">
        <f>IF(AB948=1,AW948+AD948,"")</f>
        <v/>
      </c>
      <c r="AY948" s="80">
        <f>IF(AND(AB948=1,AV948=0,AU948=1),1,0)</f>
        <v>0</v>
      </c>
      <c r="AZ948" s="80">
        <f>IF(AY948=1,COUNTIFS(R_Emp,D948,R_SAbs,"&lt;"&amp;AX948,R_EAbs,"&gt;"&amp;AW948,R_OKey,1)-1,0)</f>
        <v>0</v>
      </c>
      <c r="BA948" s="80">
        <f>IF(AY948=1,COUNTIFS(R_Emp,"&lt;&gt;"&amp;D948,R_SAbs,"&lt;"&amp;AX948,R_EAbs,"&gt;"&amp;AW948,R_OKey,1),0)</f>
        <v>0</v>
      </c>
      <c r="BB948" s="80">
        <f>IF(AND(AB948=1,D948="proMX"),IF(AND(MOD(Z948,CFG_BLK)=0,MOD(AA948,CFG_BLK)=0,MOD(AG948,CFG_BLK)=0,AG948&gt;0),1,0),1)</f>
        <v>1</v>
      </c>
      <c r="BC948" s="80" t="str">
        <f>IF(Y948=0,"",IF(NOT(ISNUMBER(B948)),"Falta fecha o fecha inválida",IF(D948="","Falta empresa",IF(AND(D948&lt;&gt;"Malcolm",D948&lt;&gt;"proMX"),"Empresa inválida",IF(OR(INT(B948)&lt;CFG_PSTART,INT(B948)&gt;CFG_PEND),"Fecha fuera del período",IF(OR(NOT(ISNUMBER(Z948)),NOT(ISNUMBER(AA948))),"Falta hora inicio/fin o formato inválido",IF(AB948=0,"Hora inicio = hora fin",IF(AE948&lt;0,"Descanso inválido",IF(AE948&gt;=AD948,"Descanso ≥ duración",IF(AV948=1,"Registro duplicado",IF(AZ948&gt;0,"Se superpone con otro registro "&amp;D948,IF(BB948=0,"inicio, fin y duración neta deben ser múltiplos de "&amp;CFG_BLK&amp;" min",""))))))))))))</f>
        <v/>
      </c>
      <c r="BD948" s="80">
        <f>IF(AND(Y948=1,BC948=""),1,0)</f>
        <v>0</v>
      </c>
      <c r="BE948" s="80">
        <f>IF(AND(BD948=1,AU948=1),1,0)</f>
        <v>0</v>
      </c>
      <c r="BF948" s="80" t="str">
        <f>IF(AND(D948="proMX",BD948=1),IF(R948="","Draft",R948),"")</f>
        <v/>
      </c>
      <c r="BG948" s="80">
        <f>IF(BD948=1,ROUND(AG948/60,6),0)</f>
        <v>0</v>
      </c>
      <c r="BH948" s="80">
        <f>IF(BE948=1,ROUND(AG948/60,6),0)</f>
        <v>0</v>
      </c>
      <c r="BI948" s="80">
        <f>IF(BE948=1,ROUND(AP948/60,6),0)</f>
        <v>0</v>
      </c>
      <c r="BJ948" s="80">
        <f>IF(BE948=1,ROUND(AQ948/60,6),0)</f>
        <v>0</v>
      </c>
      <c r="BK948" s="80">
        <f>IF(BE948=1,ROUND((AR948+AS948)/60,6),0)</f>
        <v>0</v>
      </c>
      <c r="BL948" s="80">
        <f>ROUND(BH948-BK948,6)</f>
        <v>0</v>
      </c>
      <c r="BM948" s="80">
        <f>IF(BE948=1,ROUND(AR948/60,6),0)</f>
        <v>0</v>
      </c>
      <c r="BN948" s="80">
        <f>ROUND(BI948-BM948,6)</f>
        <v>0</v>
      </c>
      <c r="BO948" s="80">
        <f>IF(BE948=1,ROUND(AS948/60,6),0)</f>
        <v>0</v>
      </c>
      <c r="BP948" s="80">
        <f>ROUND(BJ948-BO948,6)</f>
        <v>0</v>
      </c>
      <c r="BQ948" s="80">
        <f>IF(BE948=1,AW948,0)</f>
        <v>0</v>
      </c>
      <c r="BR948" s="80">
        <f>IF(BE948=1,AX948,0)</f>
        <v>0</v>
      </c>
      <c r="BS948" s="80">
        <f>IF(AND(BE948=1,D948="Malcolm",BA948&gt;0),MIN(BH948,SUMPRODUCT((R_Emp="proMX")*(R_EN&gt;0)*((R_EN-(R_EN&gt;BR948)*(R_EN-BR948))&gt;(R_SN+(R_SN&lt;BQ948)*(BQ948-R_SN)))*((R_EN-(R_EN&gt;BR948)*(R_EN-BR948))-(R_SN+(R_SN&lt;BQ948)*(BQ948-R_SN))))/60),0)</f>
        <v>0</v>
      </c>
      <c r="BT948" s="80">
        <f>IF(AND(BE948=1,D948="proMX"),ROUND(BI948*CFG_RATE+BJ948*CFG_OTRATE,6),0)</f>
        <v>0</v>
      </c>
      <c r="BU948" s="80">
        <f>IF(AND(BD948=1,D948="proMX"),ROUND(AG948/CFG_BLK,6),0)</f>
        <v>0</v>
      </c>
      <c r="BV948" s="80" t="str">
        <f>IF(BF948="Approved",IF(ISNUMBER(T948),INT(T948),INT(B948)),"")</f>
        <v/>
      </c>
      <c r="BW948" s="80">
        <f>IF(ISNUMBER(B948),IF(DB_MON="Todos",1,IF(AND(INT(B948)&gt;=DB_MS,INT(B948)&lt;=DB_ME),1,0)),0)</f>
        <v>0</v>
      </c>
      <c r="BX948" s="80">
        <f>IF(DB_PROJ="Todos",1,IF(E948&amp;""=DB_PROJ&amp;"",1,0))</f>
        <v>1</v>
      </c>
      <c r="BY948" s="80">
        <f>BW948*BX948</f>
        <v>0</v>
      </c>
      <c r="BZ948" s="80" t="str">
        <f>IF(Y948=1,F948&amp;IF(AND(F948&amp;""&lt;&gt;"",E948&amp;""&lt;&gt;"")," · ","")&amp;E948,"")</f>
        <v/>
      </c>
      <c r="CA948" s="80" t="str">
        <f>IF(AND(BD948=1,E948&amp;""&lt;&gt;""),IF(COUNTIFS($E$5:E947,E948,$BD$5:BD947,1)=0,MAX($CA$5:CA947)+1,""),"")</f>
        <v/>
      </c>
      <c r="CB948" s="80" t="str">
        <f>IF(AND(BE948=1,D948="Malcolm",E948&amp;""&lt;&gt;""),IF(COUNTIFS($D$5:D947,"Malcolm",$E$5:E947,E948,$BE$5:BE947,1)=0,MAX($CB$5:CB947)+1,""),"")</f>
        <v/>
      </c>
      <c r="CC948" s="80" t="str">
        <f>IF(AND(BD948=1,D948="proMX",E948&amp;""&lt;&gt;""),IF(COUNTIFS($D$5:D947,"proMX",$E$5:E947,E948,$BD$5:BD947,1)=0,MAX($CC$5:CC947)+1,""),"")</f>
        <v/>
      </c>
      <c r="CD948" s="80" t="str">
        <f>IF(AND(BE948=1,D948="Malcolm",F948&amp;""&lt;&gt;""),IF(COUNTIFS($D$5:D947,"Malcolm",$F$5:F947,F948,$BE$5:BE947,1)=0,MAX($CD$5:CD947)+1,""),"")</f>
        <v/>
      </c>
      <c r="CE948" s="80" t="str">
        <f>IF(AND(BD948=1,D948="proMX",F948&amp;""&lt;&gt;""),IF(COUNTIFS($D$5:D947,"proMX",$F$5:F947,F948,$BD$5:BD947,1)=0,MAX($CE$5:CE947)+1,""),"")</f>
        <v/>
      </c>
      <c r="CF948" s="80" t="str">
        <f>IF(AND(D948="proMX",BD948=1),IF(OR(BF948="Draft",BF948="Submitted",BF948="Returned",BF948="Recall Requested"),MAX($CF$5:CF947)+1,""),"")</f>
        <v/>
      </c>
      <c r="CG948" s="80">
        <f>IF(BD948=0,0,IF(D948="Malcolm",1,MATCH(BF948,{"Draft","Submitted","Approved","Returned","Recall Requested","Cancelled"},0)+1))</f>
        <v>0</v>
      </c>
      <c r="CH948" s="80">
        <f>IF(AND(BF948="Submitted",ISNUMBER(V948)),IF(V948&gt;CFG_MAXD,1,0),0)</f>
        <v>0</v>
      </c>
    </row>
    <row r="949">
      <c r="A949" s="71" t="str">
        <f>IF(Y949=1,ROW()-5,"")</f>
        <v/>
      </c>
      <c r="B949" s="72" t="n"/>
      <c r="C949" s="71" t="str">
        <f>IF(ISNUMBER(B949),CHOOSE(WEEKDAY(B949,2),"Lun","Mar","Mié","Jue","Vie","Sáb","Dom"),"")</f>
        <v/>
      </c>
      <c r="D949" s="73" t="n"/>
      <c r="E949" s="74" t="n"/>
      <c r="F949" s="74" t="n"/>
      <c r="G949" s="74" t="n"/>
      <c r="H949" s="75" t="n"/>
      <c r="I949" s="75" t="n"/>
      <c r="J949" s="76" t="n"/>
      <c r="K949" s="77" t="str">
        <f>IF(AB949=1,ROUND(AG949/60,4),"")</f>
        <v/>
      </c>
      <c r="L949" s="77" t="str">
        <f>IF(BD949=1,ROUND(AP949/60,4),"")</f>
        <v/>
      </c>
      <c r="M949" s="77" t="str">
        <f>IF(BD949=1,ROUND(AQ949/60,4),"")</f>
        <v/>
      </c>
      <c r="N949" s="71" t="str">
        <f>IF(AND(D949="proMX",AB949=1),ROUND(AG949/CFG_BLK,2),"")</f>
        <v/>
      </c>
      <c r="O949" s="77" t="str">
        <f>IF(D949="proMX",IF(BD949=1,ROUND(AG949/60,4),0),"")</f>
        <v/>
      </c>
      <c r="P949" s="78" t="str">
        <f>IF(Y949=0,"",IF(BD949=1,"OK",IF(D949="proMX","Revisar bloques: ","Revisar: ")&amp;BC949))</f>
        <v/>
      </c>
      <c r="Q949" s="78" t="str">
        <f>IF(NOT(ISNUMBER(B949)),"",IF(COUNTIFS(FER_F,INT(B949))&gt;0,"Feriado"&amp;IF(AH949=1," (laborable)"," (no laborable)"),IF(AH949=1,"Laborable",IF(WEEKDAY(B949,2)&gt;5,"Fin de semana","No laborable"))))</f>
        <v/>
      </c>
      <c r="R949" s="73" t="n"/>
      <c r="S949" s="72" t="n"/>
      <c r="T949" s="72" t="n"/>
      <c r="U949" s="74" t="n"/>
      <c r="V949" s="79" t="str">
        <f>IF(AND(D949="proMX",OR(R949="Submitted",R949="Recall Requested"),ISNUMBER(S949)),CFG_TODAY-INT(S949),"")</f>
        <v/>
      </c>
      <c r="W949" s="78" t="str">
        <f>IF(BD949=0,"",IF(BA949&gt;0,"⚠ Se superpone con un registro de la otra empresa",IF(D949="Malcolm",IF(COUNTA(R949,S949,T949)&gt;0,"Estado/fechas proMX se ignoran en Malcolm",""),IF(BF949="Cancelled","Cancelado: excluido de totales",IF(R949="","Sin estado: se trata como Draft",IF(BF949="Submitted",IF(ISNUMBER(V949),IF(V949&gt;CFG_MAXD,"⚠ "&amp;V949&amp;" días en Submitted (máx. "&amp;CFG_MAXD&amp;")",""),"Falta fecha de envío"),IF(BF949="Returned","⚠ Devuelto: corregir y reenviar",IF(BF949="Recall Requested","Retirada solicitada: pendiente",IF(AND(BF949="Approved",NOT(ISNUMBER(T949))),"Falta fecha de aprobación",IF(AND(ISNUMBER(S949),ISNUMBER(T949),T949&lt;S949),"Aprobación anterior al envío","")))))))))</f>
        <v/>
      </c>
      <c r="Y949" s="80">
        <f>IF(COUNTA(B949,D949,E949,F949,G949,H949,I949,J949,R949,S949,T949)&gt;0,1,0)</f>
        <v>0</v>
      </c>
      <c r="Z949" s="80" t="str">
        <f>IF(AND(ISNUMBER(H949),H949&gt;=0,H949&lt;1),ROUND(H949*1440,0),"")</f>
        <v/>
      </c>
      <c r="AA949" s="80" t="str">
        <f>IF(AND(ISNUMBER(I949),I949&gt;=0,I949&lt;1),ROUND(I949*1440,0),"")</f>
        <v/>
      </c>
      <c r="AB949" s="80">
        <f>IF(AND(ISNUMBER(B949),D949&lt;&gt;"",ISNUMBER(Z949),ISNUMBER(AA949)),IF(Z949=AA949,0,1),0)</f>
        <v>0</v>
      </c>
      <c r="AC949" s="80">
        <f>IF(AB949=1,IF(AA949&lt;Z949,1,0),0)</f>
        <v>0</v>
      </c>
      <c r="AD949" s="80">
        <f>IF(AB949=1,IF(AC949=1,1440-Z949+AA949,AA949-Z949),0)</f>
        <v>0</v>
      </c>
      <c r="AE949" s="80">
        <f>IF(J949="",0,IF(ISNUMBER(J949),J949,-1))</f>
        <v>0</v>
      </c>
      <c r="AF949" s="80">
        <f>MIN(MAX(0,AE949),AD949)</f>
        <v>0</v>
      </c>
      <c r="AG949" s="80">
        <f>MAX(0,AD949-MAX(0,AE949))</f>
        <v>0</v>
      </c>
      <c r="AH949" s="80">
        <f>IF(ISNUMBER(B949),IF(AND(INDEX(CFG_WDAYS,WEEKDAY(INT(B949),2))="Sí",IF(D949="proMX",COUNTIFS(FER_F,INT(B949),FER_NLP,"Sí"),COUNTIFS(FER_F,INT(B949),FER_NLM,"Sí"))=0),1,0),0)</f>
        <v>0</v>
      </c>
      <c r="AI949" s="80">
        <f>IF(AC949=1,IF(AND(INDEX(CFG_WDAYS,WEEKDAY(INT(B949)+1,2))="Sí",IF(D949="proMX",COUNTIFS(FER_F,INT(B949)+1,FER_NLP,"Sí"),COUNTIFS(FER_F,INT(B949)+1,FER_NLM,"Sí"))=0),1,0),0)</f>
        <v>0</v>
      </c>
      <c r="AJ949" s="80">
        <f>IF(AC949=1,1440-Z949,AD949)</f>
        <v>0</v>
      </c>
      <c r="AK949" s="80">
        <f>IF(AND(AB949=1,AH949=1),MAX(0,MIN(IF(AC949=1,1440,AA949),CFG_WEM)-MAX(Z949,CFG_WSM)),0)</f>
        <v>0</v>
      </c>
      <c r="AL949" s="80">
        <f>IF(AND(AC949=1,AI949=1),MAX(0,MIN(AA949,CFG_WEM)-CFG_WSM),0)</f>
        <v>0</v>
      </c>
      <c r="AM949" s="80">
        <f>AK949+AL949</f>
        <v>0</v>
      </c>
      <c r="AN949" s="80">
        <f>IF(CFG_BRK="Proporcional",IF(AD949=0,0,AF949*AM949/AD949),IF(CFG_BRK="Extras primero",MIN(AM949,MAX(0,AF949-(AD949-AM949))),MIN(AF949,AM949)))</f>
        <v>0</v>
      </c>
      <c r="AO949" s="80">
        <f>AF949-AN949</f>
        <v>0</v>
      </c>
      <c r="AP949" s="80">
        <f>AM949-AN949</f>
        <v>0</v>
      </c>
      <c r="AQ949" s="80">
        <f>AD949-AM949-AO949</f>
        <v>0</v>
      </c>
      <c r="AR949" s="80">
        <f>IF(AM949=0,0,AK949-AN949*AK949/AM949)</f>
        <v>0</v>
      </c>
      <c r="AS949" s="80">
        <f>IF(AD949-AM949=0,0,(AJ949-AK949)-AO949*(AJ949-AK949)/(AD949-AM949))</f>
        <v>0</v>
      </c>
      <c r="AT949" s="80" t="str">
        <f>IF(AC949=1,INT(B949)+1,"")</f>
        <v/>
      </c>
      <c r="AU949" s="80">
        <f>IF(AND(D949="proMX",R949="Cancelled"),0,1)</f>
        <v>1</v>
      </c>
      <c r="AV949" s="80">
        <f>IF(AND(AB949=1,AU949=1),IF(COUNTIFS($D$5:D948,D949,$B$5:B948,B949,$Z$5:Z948,Z949,$AA$5:AA948,AA949,$F$5:F948,F949&amp;"",$AU$5:AU948,1)&gt;0,1,0),0)</f>
        <v>0</v>
      </c>
      <c r="AW949" s="80" t="str">
        <f>IF(AB949=1,INT(B949)*1440+Z949,"")</f>
        <v/>
      </c>
      <c r="AX949" s="80" t="str">
        <f>IF(AB949=1,AW949+AD949,"")</f>
        <v/>
      </c>
      <c r="AY949" s="80">
        <f>IF(AND(AB949=1,AV949=0,AU949=1),1,0)</f>
        <v>0</v>
      </c>
      <c r="AZ949" s="80">
        <f>IF(AY949=1,COUNTIFS(R_Emp,D949,R_SAbs,"&lt;"&amp;AX949,R_EAbs,"&gt;"&amp;AW949,R_OKey,1)-1,0)</f>
        <v>0</v>
      </c>
      <c r="BA949" s="80">
        <f>IF(AY949=1,COUNTIFS(R_Emp,"&lt;&gt;"&amp;D949,R_SAbs,"&lt;"&amp;AX949,R_EAbs,"&gt;"&amp;AW949,R_OKey,1),0)</f>
        <v>0</v>
      </c>
      <c r="BB949" s="80">
        <f>IF(AND(AB949=1,D949="proMX"),IF(AND(MOD(Z949,CFG_BLK)=0,MOD(AA949,CFG_BLK)=0,MOD(AG949,CFG_BLK)=0,AG949&gt;0),1,0),1)</f>
        <v>1</v>
      </c>
      <c r="BC949" s="80" t="str">
        <f>IF(Y949=0,"",IF(NOT(ISNUMBER(B949)),"Falta fecha o fecha inválida",IF(D949="","Falta empresa",IF(AND(D949&lt;&gt;"Malcolm",D949&lt;&gt;"proMX"),"Empresa inválida",IF(OR(INT(B949)&lt;CFG_PSTART,INT(B949)&gt;CFG_PEND),"Fecha fuera del período",IF(OR(NOT(ISNUMBER(Z949)),NOT(ISNUMBER(AA949))),"Falta hora inicio/fin o formato inválido",IF(AB949=0,"Hora inicio = hora fin",IF(AE949&lt;0,"Descanso inválido",IF(AE949&gt;=AD949,"Descanso ≥ duración",IF(AV949=1,"Registro duplicado",IF(AZ949&gt;0,"Se superpone con otro registro "&amp;D949,IF(BB949=0,"inicio, fin y duración neta deben ser múltiplos de "&amp;CFG_BLK&amp;" min",""))))))))))))</f>
        <v/>
      </c>
      <c r="BD949" s="80">
        <f>IF(AND(Y949=1,BC949=""),1,0)</f>
        <v>0</v>
      </c>
      <c r="BE949" s="80">
        <f>IF(AND(BD949=1,AU949=1),1,0)</f>
        <v>0</v>
      </c>
      <c r="BF949" s="80" t="str">
        <f>IF(AND(D949="proMX",BD949=1),IF(R949="","Draft",R949),"")</f>
        <v/>
      </c>
      <c r="BG949" s="80">
        <f>IF(BD949=1,ROUND(AG949/60,6),0)</f>
        <v>0</v>
      </c>
      <c r="BH949" s="80">
        <f>IF(BE949=1,ROUND(AG949/60,6),0)</f>
        <v>0</v>
      </c>
      <c r="BI949" s="80">
        <f>IF(BE949=1,ROUND(AP949/60,6),0)</f>
        <v>0</v>
      </c>
      <c r="BJ949" s="80">
        <f>IF(BE949=1,ROUND(AQ949/60,6),0)</f>
        <v>0</v>
      </c>
      <c r="BK949" s="80">
        <f>IF(BE949=1,ROUND((AR949+AS949)/60,6),0)</f>
        <v>0</v>
      </c>
      <c r="BL949" s="80">
        <f>ROUND(BH949-BK949,6)</f>
        <v>0</v>
      </c>
      <c r="BM949" s="80">
        <f>IF(BE949=1,ROUND(AR949/60,6),0)</f>
        <v>0</v>
      </c>
      <c r="BN949" s="80">
        <f>ROUND(BI949-BM949,6)</f>
        <v>0</v>
      </c>
      <c r="BO949" s="80">
        <f>IF(BE949=1,ROUND(AS949/60,6),0)</f>
        <v>0</v>
      </c>
      <c r="BP949" s="80">
        <f>ROUND(BJ949-BO949,6)</f>
        <v>0</v>
      </c>
      <c r="BQ949" s="80">
        <f>IF(BE949=1,AW949,0)</f>
        <v>0</v>
      </c>
      <c r="BR949" s="80">
        <f>IF(BE949=1,AX949,0)</f>
        <v>0</v>
      </c>
      <c r="BS949" s="80">
        <f>IF(AND(BE949=1,D949="Malcolm",BA949&gt;0),MIN(BH949,SUMPRODUCT((R_Emp="proMX")*(R_EN&gt;0)*((R_EN-(R_EN&gt;BR949)*(R_EN-BR949))&gt;(R_SN+(R_SN&lt;BQ949)*(BQ949-R_SN)))*((R_EN-(R_EN&gt;BR949)*(R_EN-BR949))-(R_SN+(R_SN&lt;BQ949)*(BQ949-R_SN))))/60),0)</f>
        <v>0</v>
      </c>
      <c r="BT949" s="80">
        <f>IF(AND(BE949=1,D949="proMX"),ROUND(BI949*CFG_RATE+BJ949*CFG_OTRATE,6),0)</f>
        <v>0</v>
      </c>
      <c r="BU949" s="80">
        <f>IF(AND(BD949=1,D949="proMX"),ROUND(AG949/CFG_BLK,6),0)</f>
        <v>0</v>
      </c>
      <c r="BV949" s="80" t="str">
        <f>IF(BF949="Approved",IF(ISNUMBER(T949),INT(T949),INT(B949)),"")</f>
        <v/>
      </c>
      <c r="BW949" s="80">
        <f>IF(ISNUMBER(B949),IF(DB_MON="Todos",1,IF(AND(INT(B949)&gt;=DB_MS,INT(B949)&lt;=DB_ME),1,0)),0)</f>
        <v>0</v>
      </c>
      <c r="BX949" s="80">
        <f>IF(DB_PROJ="Todos",1,IF(E949&amp;""=DB_PROJ&amp;"",1,0))</f>
        <v>1</v>
      </c>
      <c r="BY949" s="80">
        <f>BW949*BX949</f>
        <v>0</v>
      </c>
      <c r="BZ949" s="80" t="str">
        <f>IF(Y949=1,F949&amp;IF(AND(F949&amp;""&lt;&gt;"",E949&amp;""&lt;&gt;"")," · ","")&amp;E949,"")</f>
        <v/>
      </c>
      <c r="CA949" s="80" t="str">
        <f>IF(AND(BD949=1,E949&amp;""&lt;&gt;""),IF(COUNTIFS($E$5:E948,E949,$BD$5:BD948,1)=0,MAX($CA$5:CA948)+1,""),"")</f>
        <v/>
      </c>
      <c r="CB949" s="80" t="str">
        <f>IF(AND(BE949=1,D949="Malcolm",E949&amp;""&lt;&gt;""),IF(COUNTIFS($D$5:D948,"Malcolm",$E$5:E948,E949,$BE$5:BE948,1)=0,MAX($CB$5:CB948)+1,""),"")</f>
        <v/>
      </c>
      <c r="CC949" s="80" t="str">
        <f>IF(AND(BD949=1,D949="proMX",E949&amp;""&lt;&gt;""),IF(COUNTIFS($D$5:D948,"proMX",$E$5:E948,E949,$BD$5:BD948,1)=0,MAX($CC$5:CC948)+1,""),"")</f>
        <v/>
      </c>
      <c r="CD949" s="80" t="str">
        <f>IF(AND(BE949=1,D949="Malcolm",F949&amp;""&lt;&gt;""),IF(COUNTIFS($D$5:D948,"Malcolm",$F$5:F948,F949,$BE$5:BE948,1)=0,MAX($CD$5:CD948)+1,""),"")</f>
        <v/>
      </c>
      <c r="CE949" s="80" t="str">
        <f>IF(AND(BD949=1,D949="proMX",F949&amp;""&lt;&gt;""),IF(COUNTIFS($D$5:D948,"proMX",$F$5:F948,F949,$BD$5:BD948,1)=0,MAX($CE$5:CE948)+1,""),"")</f>
        <v/>
      </c>
      <c r="CF949" s="80" t="str">
        <f>IF(AND(D949="proMX",BD949=1),IF(OR(BF949="Draft",BF949="Submitted",BF949="Returned",BF949="Recall Requested"),MAX($CF$5:CF948)+1,""),"")</f>
        <v/>
      </c>
      <c r="CG949" s="80">
        <f>IF(BD949=0,0,IF(D949="Malcolm",1,MATCH(BF949,{"Draft","Submitted","Approved","Returned","Recall Requested","Cancelled"},0)+1))</f>
        <v>0</v>
      </c>
      <c r="CH949" s="80">
        <f>IF(AND(BF949="Submitted",ISNUMBER(V949)),IF(V949&gt;CFG_MAXD,1,0),0)</f>
        <v>0</v>
      </c>
    </row>
    <row r="950">
      <c r="A950" s="71" t="str">
        <f>IF(Y950=1,ROW()-5,"")</f>
        <v/>
      </c>
      <c r="B950" s="72" t="n"/>
      <c r="C950" s="71" t="str">
        <f>IF(ISNUMBER(B950),CHOOSE(WEEKDAY(B950,2),"Lun","Mar","Mié","Jue","Vie","Sáb","Dom"),"")</f>
        <v/>
      </c>
      <c r="D950" s="73" t="n"/>
      <c r="E950" s="74" t="n"/>
      <c r="F950" s="74" t="n"/>
      <c r="G950" s="74" t="n"/>
      <c r="H950" s="75" t="n"/>
      <c r="I950" s="75" t="n"/>
      <c r="J950" s="76" t="n"/>
      <c r="K950" s="77" t="str">
        <f>IF(AB950=1,ROUND(AG950/60,4),"")</f>
        <v/>
      </c>
      <c r="L950" s="77" t="str">
        <f>IF(BD950=1,ROUND(AP950/60,4),"")</f>
        <v/>
      </c>
      <c r="M950" s="77" t="str">
        <f>IF(BD950=1,ROUND(AQ950/60,4),"")</f>
        <v/>
      </c>
      <c r="N950" s="71" t="str">
        <f>IF(AND(D950="proMX",AB950=1),ROUND(AG950/CFG_BLK,2),"")</f>
        <v/>
      </c>
      <c r="O950" s="77" t="str">
        <f>IF(D950="proMX",IF(BD950=1,ROUND(AG950/60,4),0),"")</f>
        <v/>
      </c>
      <c r="P950" s="78" t="str">
        <f>IF(Y950=0,"",IF(BD950=1,"OK",IF(D950="proMX","Revisar bloques: ","Revisar: ")&amp;BC950))</f>
        <v/>
      </c>
      <c r="Q950" s="78" t="str">
        <f>IF(NOT(ISNUMBER(B950)),"",IF(COUNTIFS(FER_F,INT(B950))&gt;0,"Feriado"&amp;IF(AH950=1," (laborable)"," (no laborable)"),IF(AH950=1,"Laborable",IF(WEEKDAY(B950,2)&gt;5,"Fin de semana","No laborable"))))</f>
        <v/>
      </c>
      <c r="R950" s="73" t="n"/>
      <c r="S950" s="72" t="n"/>
      <c r="T950" s="72" t="n"/>
      <c r="U950" s="74" t="n"/>
      <c r="V950" s="79" t="str">
        <f>IF(AND(D950="proMX",OR(R950="Submitted",R950="Recall Requested"),ISNUMBER(S950)),CFG_TODAY-INT(S950),"")</f>
        <v/>
      </c>
      <c r="W950" s="78" t="str">
        <f>IF(BD950=0,"",IF(BA950&gt;0,"⚠ Se superpone con un registro de la otra empresa",IF(D950="Malcolm",IF(COUNTA(R950,S950,T950)&gt;0,"Estado/fechas proMX se ignoran en Malcolm",""),IF(BF950="Cancelled","Cancelado: excluido de totales",IF(R950="","Sin estado: se trata como Draft",IF(BF950="Submitted",IF(ISNUMBER(V950),IF(V950&gt;CFG_MAXD,"⚠ "&amp;V950&amp;" días en Submitted (máx. "&amp;CFG_MAXD&amp;")",""),"Falta fecha de envío"),IF(BF950="Returned","⚠ Devuelto: corregir y reenviar",IF(BF950="Recall Requested","Retirada solicitada: pendiente",IF(AND(BF950="Approved",NOT(ISNUMBER(T950))),"Falta fecha de aprobación",IF(AND(ISNUMBER(S950),ISNUMBER(T950),T950&lt;S950),"Aprobación anterior al envío","")))))))))</f>
        <v/>
      </c>
      <c r="Y950" s="80">
        <f>IF(COUNTA(B950,D950,E950,F950,G950,H950,I950,J950,R950,S950,T950)&gt;0,1,0)</f>
        <v>0</v>
      </c>
      <c r="Z950" s="80" t="str">
        <f>IF(AND(ISNUMBER(H950),H950&gt;=0,H950&lt;1),ROUND(H950*1440,0),"")</f>
        <v/>
      </c>
      <c r="AA950" s="80" t="str">
        <f>IF(AND(ISNUMBER(I950),I950&gt;=0,I950&lt;1),ROUND(I950*1440,0),"")</f>
        <v/>
      </c>
      <c r="AB950" s="80">
        <f>IF(AND(ISNUMBER(B950),D950&lt;&gt;"",ISNUMBER(Z950),ISNUMBER(AA950)),IF(Z950=AA950,0,1),0)</f>
        <v>0</v>
      </c>
      <c r="AC950" s="80">
        <f>IF(AB950=1,IF(AA950&lt;Z950,1,0),0)</f>
        <v>0</v>
      </c>
      <c r="AD950" s="80">
        <f>IF(AB950=1,IF(AC950=1,1440-Z950+AA950,AA950-Z950),0)</f>
        <v>0</v>
      </c>
      <c r="AE950" s="80">
        <f>IF(J950="",0,IF(ISNUMBER(J950),J950,-1))</f>
        <v>0</v>
      </c>
      <c r="AF950" s="80">
        <f>MIN(MAX(0,AE950),AD950)</f>
        <v>0</v>
      </c>
      <c r="AG950" s="80">
        <f>MAX(0,AD950-MAX(0,AE950))</f>
        <v>0</v>
      </c>
      <c r="AH950" s="80">
        <f>IF(ISNUMBER(B950),IF(AND(INDEX(CFG_WDAYS,WEEKDAY(INT(B950),2))="Sí",IF(D950="proMX",COUNTIFS(FER_F,INT(B950),FER_NLP,"Sí"),COUNTIFS(FER_F,INT(B950),FER_NLM,"Sí"))=0),1,0),0)</f>
        <v>0</v>
      </c>
      <c r="AI950" s="80">
        <f>IF(AC950=1,IF(AND(INDEX(CFG_WDAYS,WEEKDAY(INT(B950)+1,2))="Sí",IF(D950="proMX",COUNTIFS(FER_F,INT(B950)+1,FER_NLP,"Sí"),COUNTIFS(FER_F,INT(B950)+1,FER_NLM,"Sí"))=0),1,0),0)</f>
        <v>0</v>
      </c>
      <c r="AJ950" s="80">
        <f>IF(AC950=1,1440-Z950,AD950)</f>
        <v>0</v>
      </c>
      <c r="AK950" s="80">
        <f>IF(AND(AB950=1,AH950=1),MAX(0,MIN(IF(AC950=1,1440,AA950),CFG_WEM)-MAX(Z950,CFG_WSM)),0)</f>
        <v>0</v>
      </c>
      <c r="AL950" s="80">
        <f>IF(AND(AC950=1,AI950=1),MAX(0,MIN(AA950,CFG_WEM)-CFG_WSM),0)</f>
        <v>0</v>
      </c>
      <c r="AM950" s="80">
        <f>AK950+AL950</f>
        <v>0</v>
      </c>
      <c r="AN950" s="80">
        <f>IF(CFG_BRK="Proporcional",IF(AD950=0,0,AF950*AM950/AD950),IF(CFG_BRK="Extras primero",MIN(AM950,MAX(0,AF950-(AD950-AM950))),MIN(AF950,AM950)))</f>
        <v>0</v>
      </c>
      <c r="AO950" s="80">
        <f>AF950-AN950</f>
        <v>0</v>
      </c>
      <c r="AP950" s="80">
        <f>AM950-AN950</f>
        <v>0</v>
      </c>
      <c r="AQ950" s="80">
        <f>AD950-AM950-AO950</f>
        <v>0</v>
      </c>
      <c r="AR950" s="80">
        <f>IF(AM950=0,0,AK950-AN950*AK950/AM950)</f>
        <v>0</v>
      </c>
      <c r="AS950" s="80">
        <f>IF(AD950-AM950=0,0,(AJ950-AK950)-AO950*(AJ950-AK950)/(AD950-AM950))</f>
        <v>0</v>
      </c>
      <c r="AT950" s="80" t="str">
        <f>IF(AC950=1,INT(B950)+1,"")</f>
        <v/>
      </c>
      <c r="AU950" s="80">
        <f>IF(AND(D950="proMX",R950="Cancelled"),0,1)</f>
        <v>1</v>
      </c>
      <c r="AV950" s="80">
        <f>IF(AND(AB950=1,AU950=1),IF(COUNTIFS($D$5:D949,D950,$B$5:B949,B950,$Z$5:Z949,Z950,$AA$5:AA949,AA950,$F$5:F949,F950&amp;"",$AU$5:AU949,1)&gt;0,1,0),0)</f>
        <v>0</v>
      </c>
      <c r="AW950" s="80" t="str">
        <f>IF(AB950=1,INT(B950)*1440+Z950,"")</f>
        <v/>
      </c>
      <c r="AX950" s="80" t="str">
        <f>IF(AB950=1,AW950+AD950,"")</f>
        <v/>
      </c>
      <c r="AY950" s="80">
        <f>IF(AND(AB950=1,AV950=0,AU950=1),1,0)</f>
        <v>0</v>
      </c>
      <c r="AZ950" s="80">
        <f>IF(AY950=1,COUNTIFS(R_Emp,D950,R_SAbs,"&lt;"&amp;AX950,R_EAbs,"&gt;"&amp;AW950,R_OKey,1)-1,0)</f>
        <v>0</v>
      </c>
      <c r="BA950" s="80">
        <f>IF(AY950=1,COUNTIFS(R_Emp,"&lt;&gt;"&amp;D950,R_SAbs,"&lt;"&amp;AX950,R_EAbs,"&gt;"&amp;AW950,R_OKey,1),0)</f>
        <v>0</v>
      </c>
      <c r="BB950" s="80">
        <f>IF(AND(AB950=1,D950="proMX"),IF(AND(MOD(Z950,CFG_BLK)=0,MOD(AA950,CFG_BLK)=0,MOD(AG950,CFG_BLK)=0,AG950&gt;0),1,0),1)</f>
        <v>1</v>
      </c>
      <c r="BC950" s="80" t="str">
        <f>IF(Y950=0,"",IF(NOT(ISNUMBER(B950)),"Falta fecha o fecha inválida",IF(D950="","Falta empresa",IF(AND(D950&lt;&gt;"Malcolm",D950&lt;&gt;"proMX"),"Empresa inválida",IF(OR(INT(B950)&lt;CFG_PSTART,INT(B950)&gt;CFG_PEND),"Fecha fuera del período",IF(OR(NOT(ISNUMBER(Z950)),NOT(ISNUMBER(AA950))),"Falta hora inicio/fin o formato inválido",IF(AB950=0,"Hora inicio = hora fin",IF(AE950&lt;0,"Descanso inválido",IF(AE950&gt;=AD950,"Descanso ≥ duración",IF(AV950=1,"Registro duplicado",IF(AZ950&gt;0,"Se superpone con otro registro "&amp;D950,IF(BB950=0,"inicio, fin y duración neta deben ser múltiplos de "&amp;CFG_BLK&amp;" min",""))))))))))))</f>
        <v/>
      </c>
      <c r="BD950" s="80">
        <f>IF(AND(Y950=1,BC950=""),1,0)</f>
        <v>0</v>
      </c>
      <c r="BE950" s="80">
        <f>IF(AND(BD950=1,AU950=1),1,0)</f>
        <v>0</v>
      </c>
      <c r="BF950" s="80" t="str">
        <f>IF(AND(D950="proMX",BD950=1),IF(R950="","Draft",R950),"")</f>
        <v/>
      </c>
      <c r="BG950" s="80">
        <f>IF(BD950=1,ROUND(AG950/60,6),0)</f>
        <v>0</v>
      </c>
      <c r="BH950" s="80">
        <f>IF(BE950=1,ROUND(AG950/60,6),0)</f>
        <v>0</v>
      </c>
      <c r="BI950" s="80">
        <f>IF(BE950=1,ROUND(AP950/60,6),0)</f>
        <v>0</v>
      </c>
      <c r="BJ950" s="80">
        <f>IF(BE950=1,ROUND(AQ950/60,6),0)</f>
        <v>0</v>
      </c>
      <c r="BK950" s="80">
        <f>IF(BE950=1,ROUND((AR950+AS950)/60,6),0)</f>
        <v>0</v>
      </c>
      <c r="BL950" s="80">
        <f>ROUND(BH950-BK950,6)</f>
        <v>0</v>
      </c>
      <c r="BM950" s="80">
        <f>IF(BE950=1,ROUND(AR950/60,6),0)</f>
        <v>0</v>
      </c>
      <c r="BN950" s="80">
        <f>ROUND(BI950-BM950,6)</f>
        <v>0</v>
      </c>
      <c r="BO950" s="80">
        <f>IF(BE950=1,ROUND(AS950/60,6),0)</f>
        <v>0</v>
      </c>
      <c r="BP950" s="80">
        <f>ROUND(BJ950-BO950,6)</f>
        <v>0</v>
      </c>
      <c r="BQ950" s="80">
        <f>IF(BE950=1,AW950,0)</f>
        <v>0</v>
      </c>
      <c r="BR950" s="80">
        <f>IF(BE950=1,AX950,0)</f>
        <v>0</v>
      </c>
      <c r="BS950" s="80">
        <f>IF(AND(BE950=1,D950="Malcolm",BA950&gt;0),MIN(BH950,SUMPRODUCT((R_Emp="proMX")*(R_EN&gt;0)*((R_EN-(R_EN&gt;BR950)*(R_EN-BR950))&gt;(R_SN+(R_SN&lt;BQ950)*(BQ950-R_SN)))*((R_EN-(R_EN&gt;BR950)*(R_EN-BR950))-(R_SN+(R_SN&lt;BQ950)*(BQ950-R_SN))))/60),0)</f>
        <v>0</v>
      </c>
      <c r="BT950" s="80">
        <f>IF(AND(BE950=1,D950="proMX"),ROUND(BI950*CFG_RATE+BJ950*CFG_OTRATE,6),0)</f>
        <v>0</v>
      </c>
      <c r="BU950" s="80">
        <f>IF(AND(BD950=1,D950="proMX"),ROUND(AG950/CFG_BLK,6),0)</f>
        <v>0</v>
      </c>
      <c r="BV950" s="80" t="str">
        <f>IF(BF950="Approved",IF(ISNUMBER(T950),INT(T950),INT(B950)),"")</f>
        <v/>
      </c>
      <c r="BW950" s="80">
        <f>IF(ISNUMBER(B950),IF(DB_MON="Todos",1,IF(AND(INT(B950)&gt;=DB_MS,INT(B950)&lt;=DB_ME),1,0)),0)</f>
        <v>0</v>
      </c>
      <c r="BX950" s="80">
        <f>IF(DB_PROJ="Todos",1,IF(E950&amp;""=DB_PROJ&amp;"",1,0))</f>
        <v>1</v>
      </c>
      <c r="BY950" s="80">
        <f>BW950*BX950</f>
        <v>0</v>
      </c>
      <c r="BZ950" s="80" t="str">
        <f>IF(Y950=1,F950&amp;IF(AND(F950&amp;""&lt;&gt;"",E950&amp;""&lt;&gt;"")," · ","")&amp;E950,"")</f>
        <v/>
      </c>
      <c r="CA950" s="80" t="str">
        <f>IF(AND(BD950=1,E950&amp;""&lt;&gt;""),IF(COUNTIFS($E$5:E949,E950,$BD$5:BD949,1)=0,MAX($CA$5:CA949)+1,""),"")</f>
        <v/>
      </c>
      <c r="CB950" s="80" t="str">
        <f>IF(AND(BE950=1,D950="Malcolm",E950&amp;""&lt;&gt;""),IF(COUNTIFS($D$5:D949,"Malcolm",$E$5:E949,E950,$BE$5:BE949,1)=0,MAX($CB$5:CB949)+1,""),"")</f>
        <v/>
      </c>
      <c r="CC950" s="80" t="str">
        <f>IF(AND(BD950=1,D950="proMX",E950&amp;""&lt;&gt;""),IF(COUNTIFS($D$5:D949,"proMX",$E$5:E949,E950,$BD$5:BD949,1)=0,MAX($CC$5:CC949)+1,""),"")</f>
        <v/>
      </c>
      <c r="CD950" s="80" t="str">
        <f>IF(AND(BE950=1,D950="Malcolm",F950&amp;""&lt;&gt;""),IF(COUNTIFS($D$5:D949,"Malcolm",$F$5:F949,F950,$BE$5:BE949,1)=0,MAX($CD$5:CD949)+1,""),"")</f>
        <v/>
      </c>
      <c r="CE950" s="80" t="str">
        <f>IF(AND(BD950=1,D950="proMX",F950&amp;""&lt;&gt;""),IF(COUNTIFS($D$5:D949,"proMX",$F$5:F949,F950,$BD$5:BD949,1)=0,MAX($CE$5:CE949)+1,""),"")</f>
        <v/>
      </c>
      <c r="CF950" s="80" t="str">
        <f>IF(AND(D950="proMX",BD950=1),IF(OR(BF950="Draft",BF950="Submitted",BF950="Returned",BF950="Recall Requested"),MAX($CF$5:CF949)+1,""),"")</f>
        <v/>
      </c>
      <c r="CG950" s="80">
        <f>IF(BD950=0,0,IF(D950="Malcolm",1,MATCH(BF950,{"Draft","Submitted","Approved","Returned","Recall Requested","Cancelled"},0)+1))</f>
        <v>0</v>
      </c>
      <c r="CH950" s="80">
        <f>IF(AND(BF950="Submitted",ISNUMBER(V950)),IF(V950&gt;CFG_MAXD,1,0),0)</f>
        <v>0</v>
      </c>
    </row>
    <row r="951">
      <c r="A951" s="71" t="str">
        <f>IF(Y951=1,ROW()-5,"")</f>
        <v/>
      </c>
      <c r="B951" s="72" t="n"/>
      <c r="C951" s="71" t="str">
        <f>IF(ISNUMBER(B951),CHOOSE(WEEKDAY(B951,2),"Lun","Mar","Mié","Jue","Vie","Sáb","Dom"),"")</f>
        <v/>
      </c>
      <c r="D951" s="73" t="n"/>
      <c r="E951" s="74" t="n"/>
      <c r="F951" s="74" t="n"/>
      <c r="G951" s="74" t="n"/>
      <c r="H951" s="75" t="n"/>
      <c r="I951" s="75" t="n"/>
      <c r="J951" s="76" t="n"/>
      <c r="K951" s="77" t="str">
        <f>IF(AB951=1,ROUND(AG951/60,4),"")</f>
        <v/>
      </c>
      <c r="L951" s="77" t="str">
        <f>IF(BD951=1,ROUND(AP951/60,4),"")</f>
        <v/>
      </c>
      <c r="M951" s="77" t="str">
        <f>IF(BD951=1,ROUND(AQ951/60,4),"")</f>
        <v/>
      </c>
      <c r="N951" s="71" t="str">
        <f>IF(AND(D951="proMX",AB951=1),ROUND(AG951/CFG_BLK,2),"")</f>
        <v/>
      </c>
      <c r="O951" s="77" t="str">
        <f>IF(D951="proMX",IF(BD951=1,ROUND(AG951/60,4),0),"")</f>
        <v/>
      </c>
      <c r="P951" s="78" t="str">
        <f>IF(Y951=0,"",IF(BD951=1,"OK",IF(D951="proMX","Revisar bloques: ","Revisar: ")&amp;BC951))</f>
        <v/>
      </c>
      <c r="Q951" s="78" t="str">
        <f>IF(NOT(ISNUMBER(B951)),"",IF(COUNTIFS(FER_F,INT(B951))&gt;0,"Feriado"&amp;IF(AH951=1," (laborable)"," (no laborable)"),IF(AH951=1,"Laborable",IF(WEEKDAY(B951,2)&gt;5,"Fin de semana","No laborable"))))</f>
        <v/>
      </c>
      <c r="R951" s="73" t="n"/>
      <c r="S951" s="72" t="n"/>
      <c r="T951" s="72" t="n"/>
      <c r="U951" s="74" t="n"/>
      <c r="V951" s="79" t="str">
        <f>IF(AND(D951="proMX",OR(R951="Submitted",R951="Recall Requested"),ISNUMBER(S951)),CFG_TODAY-INT(S951),"")</f>
        <v/>
      </c>
      <c r="W951" s="78" t="str">
        <f>IF(BD951=0,"",IF(BA951&gt;0,"⚠ Se superpone con un registro de la otra empresa",IF(D951="Malcolm",IF(COUNTA(R951,S951,T951)&gt;0,"Estado/fechas proMX se ignoran en Malcolm",""),IF(BF951="Cancelled","Cancelado: excluido de totales",IF(R951="","Sin estado: se trata como Draft",IF(BF951="Submitted",IF(ISNUMBER(V951),IF(V951&gt;CFG_MAXD,"⚠ "&amp;V951&amp;" días en Submitted (máx. "&amp;CFG_MAXD&amp;")",""),"Falta fecha de envío"),IF(BF951="Returned","⚠ Devuelto: corregir y reenviar",IF(BF951="Recall Requested","Retirada solicitada: pendiente",IF(AND(BF951="Approved",NOT(ISNUMBER(T951))),"Falta fecha de aprobación",IF(AND(ISNUMBER(S951),ISNUMBER(T951),T951&lt;S951),"Aprobación anterior al envío","")))))))))</f>
        <v/>
      </c>
      <c r="Y951" s="80">
        <f>IF(COUNTA(B951,D951,E951,F951,G951,H951,I951,J951,R951,S951,T951)&gt;0,1,0)</f>
        <v>0</v>
      </c>
      <c r="Z951" s="80" t="str">
        <f>IF(AND(ISNUMBER(H951),H951&gt;=0,H951&lt;1),ROUND(H951*1440,0),"")</f>
        <v/>
      </c>
      <c r="AA951" s="80" t="str">
        <f>IF(AND(ISNUMBER(I951),I951&gt;=0,I951&lt;1),ROUND(I951*1440,0),"")</f>
        <v/>
      </c>
      <c r="AB951" s="80">
        <f>IF(AND(ISNUMBER(B951),D951&lt;&gt;"",ISNUMBER(Z951),ISNUMBER(AA951)),IF(Z951=AA951,0,1),0)</f>
        <v>0</v>
      </c>
      <c r="AC951" s="80">
        <f>IF(AB951=1,IF(AA951&lt;Z951,1,0),0)</f>
        <v>0</v>
      </c>
      <c r="AD951" s="80">
        <f>IF(AB951=1,IF(AC951=1,1440-Z951+AA951,AA951-Z951),0)</f>
        <v>0</v>
      </c>
      <c r="AE951" s="80">
        <f>IF(J951="",0,IF(ISNUMBER(J951),J951,-1))</f>
        <v>0</v>
      </c>
      <c r="AF951" s="80">
        <f>MIN(MAX(0,AE951),AD951)</f>
        <v>0</v>
      </c>
      <c r="AG951" s="80">
        <f>MAX(0,AD951-MAX(0,AE951))</f>
        <v>0</v>
      </c>
      <c r="AH951" s="80">
        <f>IF(ISNUMBER(B951),IF(AND(INDEX(CFG_WDAYS,WEEKDAY(INT(B951),2))="Sí",IF(D951="proMX",COUNTIFS(FER_F,INT(B951),FER_NLP,"Sí"),COUNTIFS(FER_F,INT(B951),FER_NLM,"Sí"))=0),1,0),0)</f>
        <v>0</v>
      </c>
      <c r="AI951" s="80">
        <f>IF(AC951=1,IF(AND(INDEX(CFG_WDAYS,WEEKDAY(INT(B951)+1,2))="Sí",IF(D951="proMX",COUNTIFS(FER_F,INT(B951)+1,FER_NLP,"Sí"),COUNTIFS(FER_F,INT(B951)+1,FER_NLM,"Sí"))=0),1,0),0)</f>
        <v>0</v>
      </c>
      <c r="AJ951" s="80">
        <f>IF(AC951=1,1440-Z951,AD951)</f>
        <v>0</v>
      </c>
      <c r="AK951" s="80">
        <f>IF(AND(AB951=1,AH951=1),MAX(0,MIN(IF(AC951=1,1440,AA951),CFG_WEM)-MAX(Z951,CFG_WSM)),0)</f>
        <v>0</v>
      </c>
      <c r="AL951" s="80">
        <f>IF(AND(AC951=1,AI951=1),MAX(0,MIN(AA951,CFG_WEM)-CFG_WSM),0)</f>
        <v>0</v>
      </c>
      <c r="AM951" s="80">
        <f>AK951+AL951</f>
        <v>0</v>
      </c>
      <c r="AN951" s="80">
        <f>IF(CFG_BRK="Proporcional",IF(AD951=0,0,AF951*AM951/AD951),IF(CFG_BRK="Extras primero",MIN(AM951,MAX(0,AF951-(AD951-AM951))),MIN(AF951,AM951)))</f>
        <v>0</v>
      </c>
      <c r="AO951" s="80">
        <f>AF951-AN951</f>
        <v>0</v>
      </c>
      <c r="AP951" s="80">
        <f>AM951-AN951</f>
        <v>0</v>
      </c>
      <c r="AQ951" s="80">
        <f>AD951-AM951-AO951</f>
        <v>0</v>
      </c>
      <c r="AR951" s="80">
        <f>IF(AM951=0,0,AK951-AN951*AK951/AM951)</f>
        <v>0</v>
      </c>
      <c r="AS951" s="80">
        <f>IF(AD951-AM951=0,0,(AJ951-AK951)-AO951*(AJ951-AK951)/(AD951-AM951))</f>
        <v>0</v>
      </c>
      <c r="AT951" s="80" t="str">
        <f>IF(AC951=1,INT(B951)+1,"")</f>
        <v/>
      </c>
      <c r="AU951" s="80">
        <f>IF(AND(D951="proMX",R951="Cancelled"),0,1)</f>
        <v>1</v>
      </c>
      <c r="AV951" s="80">
        <f>IF(AND(AB951=1,AU951=1),IF(COUNTIFS($D$5:D950,D951,$B$5:B950,B951,$Z$5:Z950,Z951,$AA$5:AA950,AA951,$F$5:F950,F951&amp;"",$AU$5:AU950,1)&gt;0,1,0),0)</f>
        <v>0</v>
      </c>
      <c r="AW951" s="80" t="str">
        <f>IF(AB951=1,INT(B951)*1440+Z951,"")</f>
        <v/>
      </c>
      <c r="AX951" s="80" t="str">
        <f>IF(AB951=1,AW951+AD951,"")</f>
        <v/>
      </c>
      <c r="AY951" s="80">
        <f>IF(AND(AB951=1,AV951=0,AU951=1),1,0)</f>
        <v>0</v>
      </c>
      <c r="AZ951" s="80">
        <f>IF(AY951=1,COUNTIFS(R_Emp,D951,R_SAbs,"&lt;"&amp;AX951,R_EAbs,"&gt;"&amp;AW951,R_OKey,1)-1,0)</f>
        <v>0</v>
      </c>
      <c r="BA951" s="80">
        <f>IF(AY951=1,COUNTIFS(R_Emp,"&lt;&gt;"&amp;D951,R_SAbs,"&lt;"&amp;AX951,R_EAbs,"&gt;"&amp;AW951,R_OKey,1),0)</f>
        <v>0</v>
      </c>
      <c r="BB951" s="80">
        <f>IF(AND(AB951=1,D951="proMX"),IF(AND(MOD(Z951,CFG_BLK)=0,MOD(AA951,CFG_BLK)=0,MOD(AG951,CFG_BLK)=0,AG951&gt;0),1,0),1)</f>
        <v>1</v>
      </c>
      <c r="BC951" s="80" t="str">
        <f>IF(Y951=0,"",IF(NOT(ISNUMBER(B951)),"Falta fecha o fecha inválida",IF(D951="","Falta empresa",IF(AND(D951&lt;&gt;"Malcolm",D951&lt;&gt;"proMX"),"Empresa inválida",IF(OR(INT(B951)&lt;CFG_PSTART,INT(B951)&gt;CFG_PEND),"Fecha fuera del período",IF(OR(NOT(ISNUMBER(Z951)),NOT(ISNUMBER(AA951))),"Falta hora inicio/fin o formato inválido",IF(AB951=0,"Hora inicio = hora fin",IF(AE951&lt;0,"Descanso inválido",IF(AE951&gt;=AD951,"Descanso ≥ duración",IF(AV951=1,"Registro duplicado",IF(AZ951&gt;0,"Se superpone con otro registro "&amp;D951,IF(BB951=0,"inicio, fin y duración neta deben ser múltiplos de "&amp;CFG_BLK&amp;" min",""))))))))))))</f>
        <v/>
      </c>
      <c r="BD951" s="80">
        <f>IF(AND(Y951=1,BC951=""),1,0)</f>
        <v>0</v>
      </c>
      <c r="BE951" s="80">
        <f>IF(AND(BD951=1,AU951=1),1,0)</f>
        <v>0</v>
      </c>
      <c r="BF951" s="80" t="str">
        <f>IF(AND(D951="proMX",BD951=1),IF(R951="","Draft",R951),"")</f>
        <v/>
      </c>
      <c r="BG951" s="80">
        <f>IF(BD951=1,ROUND(AG951/60,6),0)</f>
        <v>0</v>
      </c>
      <c r="BH951" s="80">
        <f>IF(BE951=1,ROUND(AG951/60,6),0)</f>
        <v>0</v>
      </c>
      <c r="BI951" s="80">
        <f>IF(BE951=1,ROUND(AP951/60,6),0)</f>
        <v>0</v>
      </c>
      <c r="BJ951" s="80">
        <f>IF(BE951=1,ROUND(AQ951/60,6),0)</f>
        <v>0</v>
      </c>
      <c r="BK951" s="80">
        <f>IF(BE951=1,ROUND((AR951+AS951)/60,6),0)</f>
        <v>0</v>
      </c>
      <c r="BL951" s="80">
        <f>ROUND(BH951-BK951,6)</f>
        <v>0</v>
      </c>
      <c r="BM951" s="80">
        <f>IF(BE951=1,ROUND(AR951/60,6),0)</f>
        <v>0</v>
      </c>
      <c r="BN951" s="80">
        <f>ROUND(BI951-BM951,6)</f>
        <v>0</v>
      </c>
      <c r="BO951" s="80">
        <f>IF(BE951=1,ROUND(AS951/60,6),0)</f>
        <v>0</v>
      </c>
      <c r="BP951" s="80">
        <f>ROUND(BJ951-BO951,6)</f>
        <v>0</v>
      </c>
      <c r="BQ951" s="80">
        <f>IF(BE951=1,AW951,0)</f>
        <v>0</v>
      </c>
      <c r="BR951" s="80">
        <f>IF(BE951=1,AX951,0)</f>
        <v>0</v>
      </c>
      <c r="BS951" s="80">
        <f>IF(AND(BE951=1,D951="Malcolm",BA951&gt;0),MIN(BH951,SUMPRODUCT((R_Emp="proMX")*(R_EN&gt;0)*((R_EN-(R_EN&gt;BR951)*(R_EN-BR951))&gt;(R_SN+(R_SN&lt;BQ951)*(BQ951-R_SN)))*((R_EN-(R_EN&gt;BR951)*(R_EN-BR951))-(R_SN+(R_SN&lt;BQ951)*(BQ951-R_SN))))/60),0)</f>
        <v>0</v>
      </c>
      <c r="BT951" s="80">
        <f>IF(AND(BE951=1,D951="proMX"),ROUND(BI951*CFG_RATE+BJ951*CFG_OTRATE,6),0)</f>
        <v>0</v>
      </c>
      <c r="BU951" s="80">
        <f>IF(AND(BD951=1,D951="proMX"),ROUND(AG951/CFG_BLK,6),0)</f>
        <v>0</v>
      </c>
      <c r="BV951" s="80" t="str">
        <f>IF(BF951="Approved",IF(ISNUMBER(T951),INT(T951),INT(B951)),"")</f>
        <v/>
      </c>
      <c r="BW951" s="80">
        <f>IF(ISNUMBER(B951),IF(DB_MON="Todos",1,IF(AND(INT(B951)&gt;=DB_MS,INT(B951)&lt;=DB_ME),1,0)),0)</f>
        <v>0</v>
      </c>
      <c r="BX951" s="80">
        <f>IF(DB_PROJ="Todos",1,IF(E951&amp;""=DB_PROJ&amp;"",1,0))</f>
        <v>1</v>
      </c>
      <c r="BY951" s="80">
        <f>BW951*BX951</f>
        <v>0</v>
      </c>
      <c r="BZ951" s="80" t="str">
        <f>IF(Y951=1,F951&amp;IF(AND(F951&amp;""&lt;&gt;"",E951&amp;""&lt;&gt;"")," · ","")&amp;E951,"")</f>
        <v/>
      </c>
      <c r="CA951" s="80" t="str">
        <f>IF(AND(BD951=1,E951&amp;""&lt;&gt;""),IF(COUNTIFS($E$5:E950,E951,$BD$5:BD950,1)=0,MAX($CA$5:CA950)+1,""),"")</f>
        <v/>
      </c>
      <c r="CB951" s="80" t="str">
        <f>IF(AND(BE951=1,D951="Malcolm",E951&amp;""&lt;&gt;""),IF(COUNTIFS($D$5:D950,"Malcolm",$E$5:E950,E951,$BE$5:BE950,1)=0,MAX($CB$5:CB950)+1,""),"")</f>
        <v/>
      </c>
      <c r="CC951" s="80" t="str">
        <f>IF(AND(BD951=1,D951="proMX",E951&amp;""&lt;&gt;""),IF(COUNTIFS($D$5:D950,"proMX",$E$5:E950,E951,$BD$5:BD950,1)=0,MAX($CC$5:CC950)+1,""),"")</f>
        <v/>
      </c>
      <c r="CD951" s="80" t="str">
        <f>IF(AND(BE951=1,D951="Malcolm",F951&amp;""&lt;&gt;""),IF(COUNTIFS($D$5:D950,"Malcolm",$F$5:F950,F951,$BE$5:BE950,1)=0,MAX($CD$5:CD950)+1,""),"")</f>
        <v/>
      </c>
      <c r="CE951" s="80" t="str">
        <f>IF(AND(BD951=1,D951="proMX",F951&amp;""&lt;&gt;""),IF(COUNTIFS($D$5:D950,"proMX",$F$5:F950,F951,$BD$5:BD950,1)=0,MAX($CE$5:CE950)+1,""),"")</f>
        <v/>
      </c>
      <c r="CF951" s="80" t="str">
        <f>IF(AND(D951="proMX",BD951=1),IF(OR(BF951="Draft",BF951="Submitted",BF951="Returned",BF951="Recall Requested"),MAX($CF$5:CF950)+1,""),"")</f>
        <v/>
      </c>
      <c r="CG951" s="80">
        <f>IF(BD951=0,0,IF(D951="Malcolm",1,MATCH(BF951,{"Draft","Submitted","Approved","Returned","Recall Requested","Cancelled"},0)+1))</f>
        <v>0</v>
      </c>
      <c r="CH951" s="80">
        <f>IF(AND(BF951="Submitted",ISNUMBER(V951)),IF(V951&gt;CFG_MAXD,1,0),0)</f>
        <v>0</v>
      </c>
    </row>
    <row r="952">
      <c r="A952" s="71" t="str">
        <f>IF(Y952=1,ROW()-5,"")</f>
        <v/>
      </c>
      <c r="B952" s="72" t="n"/>
      <c r="C952" s="71" t="str">
        <f>IF(ISNUMBER(B952),CHOOSE(WEEKDAY(B952,2),"Lun","Mar","Mié","Jue","Vie","Sáb","Dom"),"")</f>
        <v/>
      </c>
      <c r="D952" s="73" t="n"/>
      <c r="E952" s="74" t="n"/>
      <c r="F952" s="74" t="n"/>
      <c r="G952" s="74" t="n"/>
      <c r="H952" s="75" t="n"/>
      <c r="I952" s="75" t="n"/>
      <c r="J952" s="76" t="n"/>
      <c r="K952" s="77" t="str">
        <f>IF(AB952=1,ROUND(AG952/60,4),"")</f>
        <v/>
      </c>
      <c r="L952" s="77" t="str">
        <f>IF(BD952=1,ROUND(AP952/60,4),"")</f>
        <v/>
      </c>
      <c r="M952" s="77" t="str">
        <f>IF(BD952=1,ROUND(AQ952/60,4),"")</f>
        <v/>
      </c>
      <c r="N952" s="71" t="str">
        <f>IF(AND(D952="proMX",AB952=1),ROUND(AG952/CFG_BLK,2),"")</f>
        <v/>
      </c>
      <c r="O952" s="77" t="str">
        <f>IF(D952="proMX",IF(BD952=1,ROUND(AG952/60,4),0),"")</f>
        <v/>
      </c>
      <c r="P952" s="78" t="str">
        <f>IF(Y952=0,"",IF(BD952=1,"OK",IF(D952="proMX","Revisar bloques: ","Revisar: ")&amp;BC952))</f>
        <v/>
      </c>
      <c r="Q952" s="78" t="str">
        <f>IF(NOT(ISNUMBER(B952)),"",IF(COUNTIFS(FER_F,INT(B952))&gt;0,"Feriado"&amp;IF(AH952=1," (laborable)"," (no laborable)"),IF(AH952=1,"Laborable",IF(WEEKDAY(B952,2)&gt;5,"Fin de semana","No laborable"))))</f>
        <v/>
      </c>
      <c r="R952" s="73" t="n"/>
      <c r="S952" s="72" t="n"/>
      <c r="T952" s="72" t="n"/>
      <c r="U952" s="74" t="n"/>
      <c r="V952" s="79" t="str">
        <f>IF(AND(D952="proMX",OR(R952="Submitted",R952="Recall Requested"),ISNUMBER(S952)),CFG_TODAY-INT(S952),"")</f>
        <v/>
      </c>
      <c r="W952" s="78" t="str">
        <f>IF(BD952=0,"",IF(BA952&gt;0,"⚠ Se superpone con un registro de la otra empresa",IF(D952="Malcolm",IF(COUNTA(R952,S952,T952)&gt;0,"Estado/fechas proMX se ignoran en Malcolm",""),IF(BF952="Cancelled","Cancelado: excluido de totales",IF(R952="","Sin estado: se trata como Draft",IF(BF952="Submitted",IF(ISNUMBER(V952),IF(V952&gt;CFG_MAXD,"⚠ "&amp;V952&amp;" días en Submitted (máx. "&amp;CFG_MAXD&amp;")",""),"Falta fecha de envío"),IF(BF952="Returned","⚠ Devuelto: corregir y reenviar",IF(BF952="Recall Requested","Retirada solicitada: pendiente",IF(AND(BF952="Approved",NOT(ISNUMBER(T952))),"Falta fecha de aprobación",IF(AND(ISNUMBER(S952),ISNUMBER(T952),T952&lt;S952),"Aprobación anterior al envío","")))))))))</f>
        <v/>
      </c>
      <c r="Y952" s="80">
        <f>IF(COUNTA(B952,D952,E952,F952,G952,H952,I952,J952,R952,S952,T952)&gt;0,1,0)</f>
        <v>0</v>
      </c>
      <c r="Z952" s="80" t="str">
        <f>IF(AND(ISNUMBER(H952),H952&gt;=0,H952&lt;1),ROUND(H952*1440,0),"")</f>
        <v/>
      </c>
      <c r="AA952" s="80" t="str">
        <f>IF(AND(ISNUMBER(I952),I952&gt;=0,I952&lt;1),ROUND(I952*1440,0),"")</f>
        <v/>
      </c>
      <c r="AB952" s="80">
        <f>IF(AND(ISNUMBER(B952),D952&lt;&gt;"",ISNUMBER(Z952),ISNUMBER(AA952)),IF(Z952=AA952,0,1),0)</f>
        <v>0</v>
      </c>
      <c r="AC952" s="80">
        <f>IF(AB952=1,IF(AA952&lt;Z952,1,0),0)</f>
        <v>0</v>
      </c>
      <c r="AD952" s="80">
        <f>IF(AB952=1,IF(AC952=1,1440-Z952+AA952,AA952-Z952),0)</f>
        <v>0</v>
      </c>
      <c r="AE952" s="80">
        <f>IF(J952="",0,IF(ISNUMBER(J952),J952,-1))</f>
        <v>0</v>
      </c>
      <c r="AF952" s="80">
        <f>MIN(MAX(0,AE952),AD952)</f>
        <v>0</v>
      </c>
      <c r="AG952" s="80">
        <f>MAX(0,AD952-MAX(0,AE952))</f>
        <v>0</v>
      </c>
      <c r="AH952" s="80">
        <f>IF(ISNUMBER(B952),IF(AND(INDEX(CFG_WDAYS,WEEKDAY(INT(B952),2))="Sí",IF(D952="proMX",COUNTIFS(FER_F,INT(B952),FER_NLP,"Sí"),COUNTIFS(FER_F,INT(B952),FER_NLM,"Sí"))=0),1,0),0)</f>
        <v>0</v>
      </c>
      <c r="AI952" s="80">
        <f>IF(AC952=1,IF(AND(INDEX(CFG_WDAYS,WEEKDAY(INT(B952)+1,2))="Sí",IF(D952="proMX",COUNTIFS(FER_F,INT(B952)+1,FER_NLP,"Sí"),COUNTIFS(FER_F,INT(B952)+1,FER_NLM,"Sí"))=0),1,0),0)</f>
        <v>0</v>
      </c>
      <c r="AJ952" s="80">
        <f>IF(AC952=1,1440-Z952,AD952)</f>
        <v>0</v>
      </c>
      <c r="AK952" s="80">
        <f>IF(AND(AB952=1,AH952=1),MAX(0,MIN(IF(AC952=1,1440,AA952),CFG_WEM)-MAX(Z952,CFG_WSM)),0)</f>
        <v>0</v>
      </c>
      <c r="AL952" s="80">
        <f>IF(AND(AC952=1,AI952=1),MAX(0,MIN(AA952,CFG_WEM)-CFG_WSM),0)</f>
        <v>0</v>
      </c>
      <c r="AM952" s="80">
        <f>AK952+AL952</f>
        <v>0</v>
      </c>
      <c r="AN952" s="80">
        <f>IF(CFG_BRK="Proporcional",IF(AD952=0,0,AF952*AM952/AD952),IF(CFG_BRK="Extras primero",MIN(AM952,MAX(0,AF952-(AD952-AM952))),MIN(AF952,AM952)))</f>
        <v>0</v>
      </c>
      <c r="AO952" s="80">
        <f>AF952-AN952</f>
        <v>0</v>
      </c>
      <c r="AP952" s="80">
        <f>AM952-AN952</f>
        <v>0</v>
      </c>
      <c r="AQ952" s="80">
        <f>AD952-AM952-AO952</f>
        <v>0</v>
      </c>
      <c r="AR952" s="80">
        <f>IF(AM952=0,0,AK952-AN952*AK952/AM952)</f>
        <v>0</v>
      </c>
      <c r="AS952" s="80">
        <f>IF(AD952-AM952=0,0,(AJ952-AK952)-AO952*(AJ952-AK952)/(AD952-AM952))</f>
        <v>0</v>
      </c>
      <c r="AT952" s="80" t="str">
        <f>IF(AC952=1,INT(B952)+1,"")</f>
        <v/>
      </c>
      <c r="AU952" s="80">
        <f>IF(AND(D952="proMX",R952="Cancelled"),0,1)</f>
        <v>1</v>
      </c>
      <c r="AV952" s="80">
        <f>IF(AND(AB952=1,AU952=1),IF(COUNTIFS($D$5:D951,D952,$B$5:B951,B952,$Z$5:Z951,Z952,$AA$5:AA951,AA952,$F$5:F951,F952&amp;"",$AU$5:AU951,1)&gt;0,1,0),0)</f>
        <v>0</v>
      </c>
      <c r="AW952" s="80" t="str">
        <f>IF(AB952=1,INT(B952)*1440+Z952,"")</f>
        <v/>
      </c>
      <c r="AX952" s="80" t="str">
        <f>IF(AB952=1,AW952+AD952,"")</f>
        <v/>
      </c>
      <c r="AY952" s="80">
        <f>IF(AND(AB952=1,AV952=0,AU952=1),1,0)</f>
        <v>0</v>
      </c>
      <c r="AZ952" s="80">
        <f>IF(AY952=1,COUNTIFS(R_Emp,D952,R_SAbs,"&lt;"&amp;AX952,R_EAbs,"&gt;"&amp;AW952,R_OKey,1)-1,0)</f>
        <v>0</v>
      </c>
      <c r="BA952" s="80">
        <f>IF(AY952=1,COUNTIFS(R_Emp,"&lt;&gt;"&amp;D952,R_SAbs,"&lt;"&amp;AX952,R_EAbs,"&gt;"&amp;AW952,R_OKey,1),0)</f>
        <v>0</v>
      </c>
      <c r="BB952" s="80">
        <f>IF(AND(AB952=1,D952="proMX"),IF(AND(MOD(Z952,CFG_BLK)=0,MOD(AA952,CFG_BLK)=0,MOD(AG952,CFG_BLK)=0,AG952&gt;0),1,0),1)</f>
        <v>1</v>
      </c>
      <c r="BC952" s="80" t="str">
        <f>IF(Y952=0,"",IF(NOT(ISNUMBER(B952)),"Falta fecha o fecha inválida",IF(D952="","Falta empresa",IF(AND(D952&lt;&gt;"Malcolm",D952&lt;&gt;"proMX"),"Empresa inválida",IF(OR(INT(B952)&lt;CFG_PSTART,INT(B952)&gt;CFG_PEND),"Fecha fuera del período",IF(OR(NOT(ISNUMBER(Z952)),NOT(ISNUMBER(AA952))),"Falta hora inicio/fin o formato inválido",IF(AB952=0,"Hora inicio = hora fin",IF(AE952&lt;0,"Descanso inválido",IF(AE952&gt;=AD952,"Descanso ≥ duración",IF(AV952=1,"Registro duplicado",IF(AZ952&gt;0,"Se superpone con otro registro "&amp;D952,IF(BB952=0,"inicio, fin y duración neta deben ser múltiplos de "&amp;CFG_BLK&amp;" min",""))))))))))))</f>
        <v/>
      </c>
      <c r="BD952" s="80">
        <f>IF(AND(Y952=1,BC952=""),1,0)</f>
        <v>0</v>
      </c>
      <c r="BE952" s="80">
        <f>IF(AND(BD952=1,AU952=1),1,0)</f>
        <v>0</v>
      </c>
      <c r="BF952" s="80" t="str">
        <f>IF(AND(D952="proMX",BD952=1),IF(R952="","Draft",R952),"")</f>
        <v/>
      </c>
      <c r="BG952" s="80">
        <f>IF(BD952=1,ROUND(AG952/60,6),0)</f>
        <v>0</v>
      </c>
      <c r="BH952" s="80">
        <f>IF(BE952=1,ROUND(AG952/60,6),0)</f>
        <v>0</v>
      </c>
      <c r="BI952" s="80">
        <f>IF(BE952=1,ROUND(AP952/60,6),0)</f>
        <v>0</v>
      </c>
      <c r="BJ952" s="80">
        <f>IF(BE952=1,ROUND(AQ952/60,6),0)</f>
        <v>0</v>
      </c>
      <c r="BK952" s="80">
        <f>IF(BE952=1,ROUND((AR952+AS952)/60,6),0)</f>
        <v>0</v>
      </c>
      <c r="BL952" s="80">
        <f>ROUND(BH952-BK952,6)</f>
        <v>0</v>
      </c>
      <c r="BM952" s="80">
        <f>IF(BE952=1,ROUND(AR952/60,6),0)</f>
        <v>0</v>
      </c>
      <c r="BN952" s="80">
        <f>ROUND(BI952-BM952,6)</f>
        <v>0</v>
      </c>
      <c r="BO952" s="80">
        <f>IF(BE952=1,ROUND(AS952/60,6),0)</f>
        <v>0</v>
      </c>
      <c r="BP952" s="80">
        <f>ROUND(BJ952-BO952,6)</f>
        <v>0</v>
      </c>
      <c r="BQ952" s="80">
        <f>IF(BE952=1,AW952,0)</f>
        <v>0</v>
      </c>
      <c r="BR952" s="80">
        <f>IF(BE952=1,AX952,0)</f>
        <v>0</v>
      </c>
      <c r="BS952" s="80">
        <f>IF(AND(BE952=1,D952="Malcolm",BA952&gt;0),MIN(BH952,SUMPRODUCT((R_Emp="proMX")*(R_EN&gt;0)*((R_EN-(R_EN&gt;BR952)*(R_EN-BR952))&gt;(R_SN+(R_SN&lt;BQ952)*(BQ952-R_SN)))*((R_EN-(R_EN&gt;BR952)*(R_EN-BR952))-(R_SN+(R_SN&lt;BQ952)*(BQ952-R_SN))))/60),0)</f>
        <v>0</v>
      </c>
      <c r="BT952" s="80">
        <f>IF(AND(BE952=1,D952="proMX"),ROUND(BI952*CFG_RATE+BJ952*CFG_OTRATE,6),0)</f>
        <v>0</v>
      </c>
      <c r="BU952" s="80">
        <f>IF(AND(BD952=1,D952="proMX"),ROUND(AG952/CFG_BLK,6),0)</f>
        <v>0</v>
      </c>
      <c r="BV952" s="80" t="str">
        <f>IF(BF952="Approved",IF(ISNUMBER(T952),INT(T952),INT(B952)),"")</f>
        <v/>
      </c>
      <c r="BW952" s="80">
        <f>IF(ISNUMBER(B952),IF(DB_MON="Todos",1,IF(AND(INT(B952)&gt;=DB_MS,INT(B952)&lt;=DB_ME),1,0)),0)</f>
        <v>0</v>
      </c>
      <c r="BX952" s="80">
        <f>IF(DB_PROJ="Todos",1,IF(E952&amp;""=DB_PROJ&amp;"",1,0))</f>
        <v>1</v>
      </c>
      <c r="BY952" s="80">
        <f>BW952*BX952</f>
        <v>0</v>
      </c>
      <c r="BZ952" s="80" t="str">
        <f>IF(Y952=1,F952&amp;IF(AND(F952&amp;""&lt;&gt;"",E952&amp;""&lt;&gt;"")," · ","")&amp;E952,"")</f>
        <v/>
      </c>
      <c r="CA952" s="80" t="str">
        <f>IF(AND(BD952=1,E952&amp;""&lt;&gt;""),IF(COUNTIFS($E$5:E951,E952,$BD$5:BD951,1)=0,MAX($CA$5:CA951)+1,""),"")</f>
        <v/>
      </c>
      <c r="CB952" s="80" t="str">
        <f>IF(AND(BE952=1,D952="Malcolm",E952&amp;""&lt;&gt;""),IF(COUNTIFS($D$5:D951,"Malcolm",$E$5:E951,E952,$BE$5:BE951,1)=0,MAX($CB$5:CB951)+1,""),"")</f>
        <v/>
      </c>
      <c r="CC952" s="80" t="str">
        <f>IF(AND(BD952=1,D952="proMX",E952&amp;""&lt;&gt;""),IF(COUNTIFS($D$5:D951,"proMX",$E$5:E951,E952,$BD$5:BD951,1)=0,MAX($CC$5:CC951)+1,""),"")</f>
        <v/>
      </c>
      <c r="CD952" s="80" t="str">
        <f>IF(AND(BE952=1,D952="Malcolm",F952&amp;""&lt;&gt;""),IF(COUNTIFS($D$5:D951,"Malcolm",$F$5:F951,F952,$BE$5:BE951,1)=0,MAX($CD$5:CD951)+1,""),"")</f>
        <v/>
      </c>
      <c r="CE952" s="80" t="str">
        <f>IF(AND(BD952=1,D952="proMX",F952&amp;""&lt;&gt;""),IF(COUNTIFS($D$5:D951,"proMX",$F$5:F951,F952,$BD$5:BD951,1)=0,MAX($CE$5:CE951)+1,""),"")</f>
        <v/>
      </c>
      <c r="CF952" s="80" t="str">
        <f>IF(AND(D952="proMX",BD952=1),IF(OR(BF952="Draft",BF952="Submitted",BF952="Returned",BF952="Recall Requested"),MAX($CF$5:CF951)+1,""),"")</f>
        <v/>
      </c>
      <c r="CG952" s="80">
        <f>IF(BD952=0,0,IF(D952="Malcolm",1,MATCH(BF952,{"Draft","Submitted","Approved","Returned","Recall Requested","Cancelled"},0)+1))</f>
        <v>0</v>
      </c>
      <c r="CH952" s="80">
        <f>IF(AND(BF952="Submitted",ISNUMBER(V952)),IF(V952&gt;CFG_MAXD,1,0),0)</f>
        <v>0</v>
      </c>
    </row>
    <row r="953">
      <c r="A953" s="71" t="str">
        <f>IF(Y953=1,ROW()-5,"")</f>
        <v/>
      </c>
      <c r="B953" s="72" t="n"/>
      <c r="C953" s="71" t="str">
        <f>IF(ISNUMBER(B953),CHOOSE(WEEKDAY(B953,2),"Lun","Mar","Mié","Jue","Vie","Sáb","Dom"),"")</f>
        <v/>
      </c>
      <c r="D953" s="73" t="n"/>
      <c r="E953" s="74" t="n"/>
      <c r="F953" s="74" t="n"/>
      <c r="G953" s="74" t="n"/>
      <c r="H953" s="75" t="n"/>
      <c r="I953" s="75" t="n"/>
      <c r="J953" s="76" t="n"/>
      <c r="K953" s="77" t="str">
        <f>IF(AB953=1,ROUND(AG953/60,4),"")</f>
        <v/>
      </c>
      <c r="L953" s="77" t="str">
        <f>IF(BD953=1,ROUND(AP953/60,4),"")</f>
        <v/>
      </c>
      <c r="M953" s="77" t="str">
        <f>IF(BD953=1,ROUND(AQ953/60,4),"")</f>
        <v/>
      </c>
      <c r="N953" s="71" t="str">
        <f>IF(AND(D953="proMX",AB953=1),ROUND(AG953/CFG_BLK,2),"")</f>
        <v/>
      </c>
      <c r="O953" s="77" t="str">
        <f>IF(D953="proMX",IF(BD953=1,ROUND(AG953/60,4),0),"")</f>
        <v/>
      </c>
      <c r="P953" s="78" t="str">
        <f>IF(Y953=0,"",IF(BD953=1,"OK",IF(D953="proMX","Revisar bloques: ","Revisar: ")&amp;BC953))</f>
        <v/>
      </c>
      <c r="Q953" s="78" t="str">
        <f>IF(NOT(ISNUMBER(B953)),"",IF(COUNTIFS(FER_F,INT(B953))&gt;0,"Feriado"&amp;IF(AH953=1," (laborable)"," (no laborable)"),IF(AH953=1,"Laborable",IF(WEEKDAY(B953,2)&gt;5,"Fin de semana","No laborable"))))</f>
        <v/>
      </c>
      <c r="R953" s="73" t="n"/>
      <c r="S953" s="72" t="n"/>
      <c r="T953" s="72" t="n"/>
      <c r="U953" s="74" t="n"/>
      <c r="V953" s="79" t="str">
        <f>IF(AND(D953="proMX",OR(R953="Submitted",R953="Recall Requested"),ISNUMBER(S953)),CFG_TODAY-INT(S953),"")</f>
        <v/>
      </c>
      <c r="W953" s="78" t="str">
        <f>IF(BD953=0,"",IF(BA953&gt;0,"⚠ Se superpone con un registro de la otra empresa",IF(D953="Malcolm",IF(COUNTA(R953,S953,T953)&gt;0,"Estado/fechas proMX se ignoran en Malcolm",""),IF(BF953="Cancelled","Cancelado: excluido de totales",IF(R953="","Sin estado: se trata como Draft",IF(BF953="Submitted",IF(ISNUMBER(V953),IF(V953&gt;CFG_MAXD,"⚠ "&amp;V953&amp;" días en Submitted (máx. "&amp;CFG_MAXD&amp;")",""),"Falta fecha de envío"),IF(BF953="Returned","⚠ Devuelto: corregir y reenviar",IF(BF953="Recall Requested","Retirada solicitada: pendiente",IF(AND(BF953="Approved",NOT(ISNUMBER(T953))),"Falta fecha de aprobación",IF(AND(ISNUMBER(S953),ISNUMBER(T953),T953&lt;S953),"Aprobación anterior al envío","")))))))))</f>
        <v/>
      </c>
      <c r="Y953" s="80">
        <f>IF(COUNTA(B953,D953,E953,F953,G953,H953,I953,J953,R953,S953,T953)&gt;0,1,0)</f>
        <v>0</v>
      </c>
      <c r="Z953" s="80" t="str">
        <f>IF(AND(ISNUMBER(H953),H953&gt;=0,H953&lt;1),ROUND(H953*1440,0),"")</f>
        <v/>
      </c>
      <c r="AA953" s="80" t="str">
        <f>IF(AND(ISNUMBER(I953),I953&gt;=0,I953&lt;1),ROUND(I953*1440,0),"")</f>
        <v/>
      </c>
      <c r="AB953" s="80">
        <f>IF(AND(ISNUMBER(B953),D953&lt;&gt;"",ISNUMBER(Z953),ISNUMBER(AA953)),IF(Z953=AA953,0,1),0)</f>
        <v>0</v>
      </c>
      <c r="AC953" s="80">
        <f>IF(AB953=1,IF(AA953&lt;Z953,1,0),0)</f>
        <v>0</v>
      </c>
      <c r="AD953" s="80">
        <f>IF(AB953=1,IF(AC953=1,1440-Z953+AA953,AA953-Z953),0)</f>
        <v>0</v>
      </c>
      <c r="AE953" s="80">
        <f>IF(J953="",0,IF(ISNUMBER(J953),J953,-1))</f>
        <v>0</v>
      </c>
      <c r="AF953" s="80">
        <f>MIN(MAX(0,AE953),AD953)</f>
        <v>0</v>
      </c>
      <c r="AG953" s="80">
        <f>MAX(0,AD953-MAX(0,AE953))</f>
        <v>0</v>
      </c>
      <c r="AH953" s="80">
        <f>IF(ISNUMBER(B953),IF(AND(INDEX(CFG_WDAYS,WEEKDAY(INT(B953),2))="Sí",IF(D953="proMX",COUNTIFS(FER_F,INT(B953),FER_NLP,"Sí"),COUNTIFS(FER_F,INT(B953),FER_NLM,"Sí"))=0),1,0),0)</f>
        <v>0</v>
      </c>
      <c r="AI953" s="80">
        <f>IF(AC953=1,IF(AND(INDEX(CFG_WDAYS,WEEKDAY(INT(B953)+1,2))="Sí",IF(D953="proMX",COUNTIFS(FER_F,INT(B953)+1,FER_NLP,"Sí"),COUNTIFS(FER_F,INT(B953)+1,FER_NLM,"Sí"))=0),1,0),0)</f>
        <v>0</v>
      </c>
      <c r="AJ953" s="80">
        <f>IF(AC953=1,1440-Z953,AD953)</f>
        <v>0</v>
      </c>
      <c r="AK953" s="80">
        <f>IF(AND(AB953=1,AH953=1),MAX(0,MIN(IF(AC953=1,1440,AA953),CFG_WEM)-MAX(Z953,CFG_WSM)),0)</f>
        <v>0</v>
      </c>
      <c r="AL953" s="80">
        <f>IF(AND(AC953=1,AI953=1),MAX(0,MIN(AA953,CFG_WEM)-CFG_WSM),0)</f>
        <v>0</v>
      </c>
      <c r="AM953" s="80">
        <f>AK953+AL953</f>
        <v>0</v>
      </c>
      <c r="AN953" s="80">
        <f>IF(CFG_BRK="Proporcional",IF(AD953=0,0,AF953*AM953/AD953),IF(CFG_BRK="Extras primero",MIN(AM953,MAX(0,AF953-(AD953-AM953))),MIN(AF953,AM953)))</f>
        <v>0</v>
      </c>
      <c r="AO953" s="80">
        <f>AF953-AN953</f>
        <v>0</v>
      </c>
      <c r="AP953" s="80">
        <f>AM953-AN953</f>
        <v>0</v>
      </c>
      <c r="AQ953" s="80">
        <f>AD953-AM953-AO953</f>
        <v>0</v>
      </c>
      <c r="AR953" s="80">
        <f>IF(AM953=0,0,AK953-AN953*AK953/AM953)</f>
        <v>0</v>
      </c>
      <c r="AS953" s="80">
        <f>IF(AD953-AM953=0,0,(AJ953-AK953)-AO953*(AJ953-AK953)/(AD953-AM953))</f>
        <v>0</v>
      </c>
      <c r="AT953" s="80" t="str">
        <f>IF(AC953=1,INT(B953)+1,"")</f>
        <v/>
      </c>
      <c r="AU953" s="80">
        <f>IF(AND(D953="proMX",R953="Cancelled"),0,1)</f>
        <v>1</v>
      </c>
      <c r="AV953" s="80">
        <f>IF(AND(AB953=1,AU953=1),IF(COUNTIFS($D$5:D952,D953,$B$5:B952,B953,$Z$5:Z952,Z953,$AA$5:AA952,AA953,$F$5:F952,F953&amp;"",$AU$5:AU952,1)&gt;0,1,0),0)</f>
        <v>0</v>
      </c>
      <c r="AW953" s="80" t="str">
        <f>IF(AB953=1,INT(B953)*1440+Z953,"")</f>
        <v/>
      </c>
      <c r="AX953" s="80" t="str">
        <f>IF(AB953=1,AW953+AD953,"")</f>
        <v/>
      </c>
      <c r="AY953" s="80">
        <f>IF(AND(AB953=1,AV953=0,AU953=1),1,0)</f>
        <v>0</v>
      </c>
      <c r="AZ953" s="80">
        <f>IF(AY953=1,COUNTIFS(R_Emp,D953,R_SAbs,"&lt;"&amp;AX953,R_EAbs,"&gt;"&amp;AW953,R_OKey,1)-1,0)</f>
        <v>0</v>
      </c>
      <c r="BA953" s="80">
        <f>IF(AY953=1,COUNTIFS(R_Emp,"&lt;&gt;"&amp;D953,R_SAbs,"&lt;"&amp;AX953,R_EAbs,"&gt;"&amp;AW953,R_OKey,1),0)</f>
        <v>0</v>
      </c>
      <c r="BB953" s="80">
        <f>IF(AND(AB953=1,D953="proMX"),IF(AND(MOD(Z953,CFG_BLK)=0,MOD(AA953,CFG_BLK)=0,MOD(AG953,CFG_BLK)=0,AG953&gt;0),1,0),1)</f>
        <v>1</v>
      </c>
      <c r="BC953" s="80" t="str">
        <f>IF(Y953=0,"",IF(NOT(ISNUMBER(B953)),"Falta fecha o fecha inválida",IF(D953="","Falta empresa",IF(AND(D953&lt;&gt;"Malcolm",D953&lt;&gt;"proMX"),"Empresa inválida",IF(OR(INT(B953)&lt;CFG_PSTART,INT(B953)&gt;CFG_PEND),"Fecha fuera del período",IF(OR(NOT(ISNUMBER(Z953)),NOT(ISNUMBER(AA953))),"Falta hora inicio/fin o formato inválido",IF(AB953=0,"Hora inicio = hora fin",IF(AE953&lt;0,"Descanso inválido",IF(AE953&gt;=AD953,"Descanso ≥ duración",IF(AV953=1,"Registro duplicado",IF(AZ953&gt;0,"Se superpone con otro registro "&amp;D953,IF(BB953=0,"inicio, fin y duración neta deben ser múltiplos de "&amp;CFG_BLK&amp;" min",""))))))))))))</f>
        <v/>
      </c>
      <c r="BD953" s="80">
        <f>IF(AND(Y953=1,BC953=""),1,0)</f>
        <v>0</v>
      </c>
      <c r="BE953" s="80">
        <f>IF(AND(BD953=1,AU953=1),1,0)</f>
        <v>0</v>
      </c>
      <c r="BF953" s="80" t="str">
        <f>IF(AND(D953="proMX",BD953=1),IF(R953="","Draft",R953),"")</f>
        <v/>
      </c>
      <c r="BG953" s="80">
        <f>IF(BD953=1,ROUND(AG953/60,6),0)</f>
        <v>0</v>
      </c>
      <c r="BH953" s="80">
        <f>IF(BE953=1,ROUND(AG953/60,6),0)</f>
        <v>0</v>
      </c>
      <c r="BI953" s="80">
        <f>IF(BE953=1,ROUND(AP953/60,6),0)</f>
        <v>0</v>
      </c>
      <c r="BJ953" s="80">
        <f>IF(BE953=1,ROUND(AQ953/60,6),0)</f>
        <v>0</v>
      </c>
      <c r="BK953" s="80">
        <f>IF(BE953=1,ROUND((AR953+AS953)/60,6),0)</f>
        <v>0</v>
      </c>
      <c r="BL953" s="80">
        <f>ROUND(BH953-BK953,6)</f>
        <v>0</v>
      </c>
      <c r="BM953" s="80">
        <f>IF(BE953=1,ROUND(AR953/60,6),0)</f>
        <v>0</v>
      </c>
      <c r="BN953" s="80">
        <f>ROUND(BI953-BM953,6)</f>
        <v>0</v>
      </c>
      <c r="BO953" s="80">
        <f>IF(BE953=1,ROUND(AS953/60,6),0)</f>
        <v>0</v>
      </c>
      <c r="BP953" s="80">
        <f>ROUND(BJ953-BO953,6)</f>
        <v>0</v>
      </c>
      <c r="BQ953" s="80">
        <f>IF(BE953=1,AW953,0)</f>
        <v>0</v>
      </c>
      <c r="BR953" s="80">
        <f>IF(BE953=1,AX953,0)</f>
        <v>0</v>
      </c>
      <c r="BS953" s="80">
        <f>IF(AND(BE953=1,D953="Malcolm",BA953&gt;0),MIN(BH953,SUMPRODUCT((R_Emp="proMX")*(R_EN&gt;0)*((R_EN-(R_EN&gt;BR953)*(R_EN-BR953))&gt;(R_SN+(R_SN&lt;BQ953)*(BQ953-R_SN)))*((R_EN-(R_EN&gt;BR953)*(R_EN-BR953))-(R_SN+(R_SN&lt;BQ953)*(BQ953-R_SN))))/60),0)</f>
        <v>0</v>
      </c>
      <c r="BT953" s="80">
        <f>IF(AND(BE953=1,D953="proMX"),ROUND(BI953*CFG_RATE+BJ953*CFG_OTRATE,6),0)</f>
        <v>0</v>
      </c>
      <c r="BU953" s="80">
        <f>IF(AND(BD953=1,D953="proMX"),ROUND(AG953/CFG_BLK,6),0)</f>
        <v>0</v>
      </c>
      <c r="BV953" s="80" t="str">
        <f>IF(BF953="Approved",IF(ISNUMBER(T953),INT(T953),INT(B953)),"")</f>
        <v/>
      </c>
      <c r="BW953" s="80">
        <f>IF(ISNUMBER(B953),IF(DB_MON="Todos",1,IF(AND(INT(B953)&gt;=DB_MS,INT(B953)&lt;=DB_ME),1,0)),0)</f>
        <v>0</v>
      </c>
      <c r="BX953" s="80">
        <f>IF(DB_PROJ="Todos",1,IF(E953&amp;""=DB_PROJ&amp;"",1,0))</f>
        <v>1</v>
      </c>
      <c r="BY953" s="80">
        <f>BW953*BX953</f>
        <v>0</v>
      </c>
      <c r="BZ953" s="80" t="str">
        <f>IF(Y953=1,F953&amp;IF(AND(F953&amp;""&lt;&gt;"",E953&amp;""&lt;&gt;"")," · ","")&amp;E953,"")</f>
        <v/>
      </c>
      <c r="CA953" s="80" t="str">
        <f>IF(AND(BD953=1,E953&amp;""&lt;&gt;""),IF(COUNTIFS($E$5:E952,E953,$BD$5:BD952,1)=0,MAX($CA$5:CA952)+1,""),"")</f>
        <v/>
      </c>
      <c r="CB953" s="80" t="str">
        <f>IF(AND(BE953=1,D953="Malcolm",E953&amp;""&lt;&gt;""),IF(COUNTIFS($D$5:D952,"Malcolm",$E$5:E952,E953,$BE$5:BE952,1)=0,MAX($CB$5:CB952)+1,""),"")</f>
        <v/>
      </c>
      <c r="CC953" s="80" t="str">
        <f>IF(AND(BD953=1,D953="proMX",E953&amp;""&lt;&gt;""),IF(COUNTIFS($D$5:D952,"proMX",$E$5:E952,E953,$BD$5:BD952,1)=0,MAX($CC$5:CC952)+1,""),"")</f>
        <v/>
      </c>
      <c r="CD953" s="80" t="str">
        <f>IF(AND(BE953=1,D953="Malcolm",F953&amp;""&lt;&gt;""),IF(COUNTIFS($D$5:D952,"Malcolm",$F$5:F952,F953,$BE$5:BE952,1)=0,MAX($CD$5:CD952)+1,""),"")</f>
        <v/>
      </c>
      <c r="CE953" s="80" t="str">
        <f>IF(AND(BD953=1,D953="proMX",F953&amp;""&lt;&gt;""),IF(COUNTIFS($D$5:D952,"proMX",$F$5:F952,F953,$BD$5:BD952,1)=0,MAX($CE$5:CE952)+1,""),"")</f>
        <v/>
      </c>
      <c r="CF953" s="80" t="str">
        <f>IF(AND(D953="proMX",BD953=1),IF(OR(BF953="Draft",BF953="Submitted",BF953="Returned",BF953="Recall Requested"),MAX($CF$5:CF952)+1,""),"")</f>
        <v/>
      </c>
      <c r="CG953" s="80">
        <f>IF(BD953=0,0,IF(D953="Malcolm",1,MATCH(BF953,{"Draft","Submitted","Approved","Returned","Recall Requested","Cancelled"},0)+1))</f>
        <v>0</v>
      </c>
      <c r="CH953" s="80">
        <f>IF(AND(BF953="Submitted",ISNUMBER(V953)),IF(V953&gt;CFG_MAXD,1,0),0)</f>
        <v>0</v>
      </c>
    </row>
    <row r="954">
      <c r="A954" s="71" t="str">
        <f>IF(Y954=1,ROW()-5,"")</f>
        <v/>
      </c>
      <c r="B954" s="72" t="n"/>
      <c r="C954" s="71" t="str">
        <f>IF(ISNUMBER(B954),CHOOSE(WEEKDAY(B954,2),"Lun","Mar","Mié","Jue","Vie","Sáb","Dom"),"")</f>
        <v/>
      </c>
      <c r="D954" s="73" t="n"/>
      <c r="E954" s="74" t="n"/>
      <c r="F954" s="74" t="n"/>
      <c r="G954" s="74" t="n"/>
      <c r="H954" s="75" t="n"/>
      <c r="I954" s="75" t="n"/>
      <c r="J954" s="76" t="n"/>
      <c r="K954" s="77" t="str">
        <f>IF(AB954=1,ROUND(AG954/60,4),"")</f>
        <v/>
      </c>
      <c r="L954" s="77" t="str">
        <f>IF(BD954=1,ROUND(AP954/60,4),"")</f>
        <v/>
      </c>
      <c r="M954" s="77" t="str">
        <f>IF(BD954=1,ROUND(AQ954/60,4),"")</f>
        <v/>
      </c>
      <c r="N954" s="71" t="str">
        <f>IF(AND(D954="proMX",AB954=1),ROUND(AG954/CFG_BLK,2),"")</f>
        <v/>
      </c>
      <c r="O954" s="77" t="str">
        <f>IF(D954="proMX",IF(BD954=1,ROUND(AG954/60,4),0),"")</f>
        <v/>
      </c>
      <c r="P954" s="78" t="str">
        <f>IF(Y954=0,"",IF(BD954=1,"OK",IF(D954="proMX","Revisar bloques: ","Revisar: ")&amp;BC954))</f>
        <v/>
      </c>
      <c r="Q954" s="78" t="str">
        <f>IF(NOT(ISNUMBER(B954)),"",IF(COUNTIFS(FER_F,INT(B954))&gt;0,"Feriado"&amp;IF(AH954=1," (laborable)"," (no laborable)"),IF(AH954=1,"Laborable",IF(WEEKDAY(B954,2)&gt;5,"Fin de semana","No laborable"))))</f>
        <v/>
      </c>
      <c r="R954" s="73" t="n"/>
      <c r="S954" s="72" t="n"/>
      <c r="T954" s="72" t="n"/>
      <c r="U954" s="74" t="n"/>
      <c r="V954" s="79" t="str">
        <f>IF(AND(D954="proMX",OR(R954="Submitted",R954="Recall Requested"),ISNUMBER(S954)),CFG_TODAY-INT(S954),"")</f>
        <v/>
      </c>
      <c r="W954" s="78" t="str">
        <f>IF(BD954=0,"",IF(BA954&gt;0,"⚠ Se superpone con un registro de la otra empresa",IF(D954="Malcolm",IF(COUNTA(R954,S954,T954)&gt;0,"Estado/fechas proMX se ignoran en Malcolm",""),IF(BF954="Cancelled","Cancelado: excluido de totales",IF(R954="","Sin estado: se trata como Draft",IF(BF954="Submitted",IF(ISNUMBER(V954),IF(V954&gt;CFG_MAXD,"⚠ "&amp;V954&amp;" días en Submitted (máx. "&amp;CFG_MAXD&amp;")",""),"Falta fecha de envío"),IF(BF954="Returned","⚠ Devuelto: corregir y reenviar",IF(BF954="Recall Requested","Retirada solicitada: pendiente",IF(AND(BF954="Approved",NOT(ISNUMBER(T954))),"Falta fecha de aprobación",IF(AND(ISNUMBER(S954),ISNUMBER(T954),T954&lt;S954),"Aprobación anterior al envío","")))))))))</f>
        <v/>
      </c>
      <c r="Y954" s="80">
        <f>IF(COUNTA(B954,D954,E954,F954,G954,H954,I954,J954,R954,S954,T954)&gt;0,1,0)</f>
        <v>0</v>
      </c>
      <c r="Z954" s="80" t="str">
        <f>IF(AND(ISNUMBER(H954),H954&gt;=0,H954&lt;1),ROUND(H954*1440,0),"")</f>
        <v/>
      </c>
      <c r="AA954" s="80" t="str">
        <f>IF(AND(ISNUMBER(I954),I954&gt;=0,I954&lt;1),ROUND(I954*1440,0),"")</f>
        <v/>
      </c>
      <c r="AB954" s="80">
        <f>IF(AND(ISNUMBER(B954),D954&lt;&gt;"",ISNUMBER(Z954),ISNUMBER(AA954)),IF(Z954=AA954,0,1),0)</f>
        <v>0</v>
      </c>
      <c r="AC954" s="80">
        <f>IF(AB954=1,IF(AA954&lt;Z954,1,0),0)</f>
        <v>0</v>
      </c>
      <c r="AD954" s="80">
        <f>IF(AB954=1,IF(AC954=1,1440-Z954+AA954,AA954-Z954),0)</f>
        <v>0</v>
      </c>
      <c r="AE954" s="80">
        <f>IF(J954="",0,IF(ISNUMBER(J954),J954,-1))</f>
        <v>0</v>
      </c>
      <c r="AF954" s="80">
        <f>MIN(MAX(0,AE954),AD954)</f>
        <v>0</v>
      </c>
      <c r="AG954" s="80">
        <f>MAX(0,AD954-MAX(0,AE954))</f>
        <v>0</v>
      </c>
      <c r="AH954" s="80">
        <f>IF(ISNUMBER(B954),IF(AND(INDEX(CFG_WDAYS,WEEKDAY(INT(B954),2))="Sí",IF(D954="proMX",COUNTIFS(FER_F,INT(B954),FER_NLP,"Sí"),COUNTIFS(FER_F,INT(B954),FER_NLM,"Sí"))=0),1,0),0)</f>
        <v>0</v>
      </c>
      <c r="AI954" s="80">
        <f>IF(AC954=1,IF(AND(INDEX(CFG_WDAYS,WEEKDAY(INT(B954)+1,2))="Sí",IF(D954="proMX",COUNTIFS(FER_F,INT(B954)+1,FER_NLP,"Sí"),COUNTIFS(FER_F,INT(B954)+1,FER_NLM,"Sí"))=0),1,0),0)</f>
        <v>0</v>
      </c>
      <c r="AJ954" s="80">
        <f>IF(AC954=1,1440-Z954,AD954)</f>
        <v>0</v>
      </c>
      <c r="AK954" s="80">
        <f>IF(AND(AB954=1,AH954=1),MAX(0,MIN(IF(AC954=1,1440,AA954),CFG_WEM)-MAX(Z954,CFG_WSM)),0)</f>
        <v>0</v>
      </c>
      <c r="AL954" s="80">
        <f>IF(AND(AC954=1,AI954=1),MAX(0,MIN(AA954,CFG_WEM)-CFG_WSM),0)</f>
        <v>0</v>
      </c>
      <c r="AM954" s="80">
        <f>AK954+AL954</f>
        <v>0</v>
      </c>
      <c r="AN954" s="80">
        <f>IF(CFG_BRK="Proporcional",IF(AD954=0,0,AF954*AM954/AD954),IF(CFG_BRK="Extras primero",MIN(AM954,MAX(0,AF954-(AD954-AM954))),MIN(AF954,AM954)))</f>
        <v>0</v>
      </c>
      <c r="AO954" s="80">
        <f>AF954-AN954</f>
        <v>0</v>
      </c>
      <c r="AP954" s="80">
        <f>AM954-AN954</f>
        <v>0</v>
      </c>
      <c r="AQ954" s="80">
        <f>AD954-AM954-AO954</f>
        <v>0</v>
      </c>
      <c r="AR954" s="80">
        <f>IF(AM954=0,0,AK954-AN954*AK954/AM954)</f>
        <v>0</v>
      </c>
      <c r="AS954" s="80">
        <f>IF(AD954-AM954=0,0,(AJ954-AK954)-AO954*(AJ954-AK954)/(AD954-AM954))</f>
        <v>0</v>
      </c>
      <c r="AT954" s="80" t="str">
        <f>IF(AC954=1,INT(B954)+1,"")</f>
        <v/>
      </c>
      <c r="AU954" s="80">
        <f>IF(AND(D954="proMX",R954="Cancelled"),0,1)</f>
        <v>1</v>
      </c>
      <c r="AV954" s="80">
        <f>IF(AND(AB954=1,AU954=1),IF(COUNTIFS($D$5:D953,D954,$B$5:B953,B954,$Z$5:Z953,Z954,$AA$5:AA953,AA954,$F$5:F953,F954&amp;"",$AU$5:AU953,1)&gt;0,1,0),0)</f>
        <v>0</v>
      </c>
      <c r="AW954" s="80" t="str">
        <f>IF(AB954=1,INT(B954)*1440+Z954,"")</f>
        <v/>
      </c>
      <c r="AX954" s="80" t="str">
        <f>IF(AB954=1,AW954+AD954,"")</f>
        <v/>
      </c>
      <c r="AY954" s="80">
        <f>IF(AND(AB954=1,AV954=0,AU954=1),1,0)</f>
        <v>0</v>
      </c>
      <c r="AZ954" s="80">
        <f>IF(AY954=1,COUNTIFS(R_Emp,D954,R_SAbs,"&lt;"&amp;AX954,R_EAbs,"&gt;"&amp;AW954,R_OKey,1)-1,0)</f>
        <v>0</v>
      </c>
      <c r="BA954" s="80">
        <f>IF(AY954=1,COUNTIFS(R_Emp,"&lt;&gt;"&amp;D954,R_SAbs,"&lt;"&amp;AX954,R_EAbs,"&gt;"&amp;AW954,R_OKey,1),0)</f>
        <v>0</v>
      </c>
      <c r="BB954" s="80">
        <f>IF(AND(AB954=1,D954="proMX"),IF(AND(MOD(Z954,CFG_BLK)=0,MOD(AA954,CFG_BLK)=0,MOD(AG954,CFG_BLK)=0,AG954&gt;0),1,0),1)</f>
        <v>1</v>
      </c>
      <c r="BC954" s="80" t="str">
        <f>IF(Y954=0,"",IF(NOT(ISNUMBER(B954)),"Falta fecha o fecha inválida",IF(D954="","Falta empresa",IF(AND(D954&lt;&gt;"Malcolm",D954&lt;&gt;"proMX"),"Empresa inválida",IF(OR(INT(B954)&lt;CFG_PSTART,INT(B954)&gt;CFG_PEND),"Fecha fuera del período",IF(OR(NOT(ISNUMBER(Z954)),NOT(ISNUMBER(AA954))),"Falta hora inicio/fin o formato inválido",IF(AB954=0,"Hora inicio = hora fin",IF(AE954&lt;0,"Descanso inválido",IF(AE954&gt;=AD954,"Descanso ≥ duración",IF(AV954=1,"Registro duplicado",IF(AZ954&gt;0,"Se superpone con otro registro "&amp;D954,IF(BB954=0,"inicio, fin y duración neta deben ser múltiplos de "&amp;CFG_BLK&amp;" min",""))))))))))))</f>
        <v/>
      </c>
      <c r="BD954" s="80">
        <f>IF(AND(Y954=1,BC954=""),1,0)</f>
        <v>0</v>
      </c>
      <c r="BE954" s="80">
        <f>IF(AND(BD954=1,AU954=1),1,0)</f>
        <v>0</v>
      </c>
      <c r="BF954" s="80" t="str">
        <f>IF(AND(D954="proMX",BD954=1),IF(R954="","Draft",R954),"")</f>
        <v/>
      </c>
      <c r="BG954" s="80">
        <f>IF(BD954=1,ROUND(AG954/60,6),0)</f>
        <v>0</v>
      </c>
      <c r="BH954" s="80">
        <f>IF(BE954=1,ROUND(AG954/60,6),0)</f>
        <v>0</v>
      </c>
      <c r="BI954" s="80">
        <f>IF(BE954=1,ROUND(AP954/60,6),0)</f>
        <v>0</v>
      </c>
      <c r="BJ954" s="80">
        <f>IF(BE954=1,ROUND(AQ954/60,6),0)</f>
        <v>0</v>
      </c>
      <c r="BK954" s="80">
        <f>IF(BE954=1,ROUND((AR954+AS954)/60,6),0)</f>
        <v>0</v>
      </c>
      <c r="BL954" s="80">
        <f>ROUND(BH954-BK954,6)</f>
        <v>0</v>
      </c>
      <c r="BM954" s="80">
        <f>IF(BE954=1,ROUND(AR954/60,6),0)</f>
        <v>0</v>
      </c>
      <c r="BN954" s="80">
        <f>ROUND(BI954-BM954,6)</f>
        <v>0</v>
      </c>
      <c r="BO954" s="80">
        <f>IF(BE954=1,ROUND(AS954/60,6),0)</f>
        <v>0</v>
      </c>
      <c r="BP954" s="80">
        <f>ROUND(BJ954-BO954,6)</f>
        <v>0</v>
      </c>
      <c r="BQ954" s="80">
        <f>IF(BE954=1,AW954,0)</f>
        <v>0</v>
      </c>
      <c r="BR954" s="80">
        <f>IF(BE954=1,AX954,0)</f>
        <v>0</v>
      </c>
      <c r="BS954" s="80">
        <f>IF(AND(BE954=1,D954="Malcolm",BA954&gt;0),MIN(BH954,SUMPRODUCT((R_Emp="proMX")*(R_EN&gt;0)*((R_EN-(R_EN&gt;BR954)*(R_EN-BR954))&gt;(R_SN+(R_SN&lt;BQ954)*(BQ954-R_SN)))*((R_EN-(R_EN&gt;BR954)*(R_EN-BR954))-(R_SN+(R_SN&lt;BQ954)*(BQ954-R_SN))))/60),0)</f>
        <v>0</v>
      </c>
      <c r="BT954" s="80">
        <f>IF(AND(BE954=1,D954="proMX"),ROUND(BI954*CFG_RATE+BJ954*CFG_OTRATE,6),0)</f>
        <v>0</v>
      </c>
      <c r="BU954" s="80">
        <f>IF(AND(BD954=1,D954="proMX"),ROUND(AG954/CFG_BLK,6),0)</f>
        <v>0</v>
      </c>
      <c r="BV954" s="80" t="str">
        <f>IF(BF954="Approved",IF(ISNUMBER(T954),INT(T954),INT(B954)),"")</f>
        <v/>
      </c>
      <c r="BW954" s="80">
        <f>IF(ISNUMBER(B954),IF(DB_MON="Todos",1,IF(AND(INT(B954)&gt;=DB_MS,INT(B954)&lt;=DB_ME),1,0)),0)</f>
        <v>0</v>
      </c>
      <c r="BX954" s="80">
        <f>IF(DB_PROJ="Todos",1,IF(E954&amp;""=DB_PROJ&amp;"",1,0))</f>
        <v>1</v>
      </c>
      <c r="BY954" s="80">
        <f>BW954*BX954</f>
        <v>0</v>
      </c>
      <c r="BZ954" s="80" t="str">
        <f>IF(Y954=1,F954&amp;IF(AND(F954&amp;""&lt;&gt;"",E954&amp;""&lt;&gt;"")," · ","")&amp;E954,"")</f>
        <v/>
      </c>
      <c r="CA954" s="80" t="str">
        <f>IF(AND(BD954=1,E954&amp;""&lt;&gt;""),IF(COUNTIFS($E$5:E953,E954,$BD$5:BD953,1)=0,MAX($CA$5:CA953)+1,""),"")</f>
        <v/>
      </c>
      <c r="CB954" s="80" t="str">
        <f>IF(AND(BE954=1,D954="Malcolm",E954&amp;""&lt;&gt;""),IF(COUNTIFS($D$5:D953,"Malcolm",$E$5:E953,E954,$BE$5:BE953,1)=0,MAX($CB$5:CB953)+1,""),"")</f>
        <v/>
      </c>
      <c r="CC954" s="80" t="str">
        <f>IF(AND(BD954=1,D954="proMX",E954&amp;""&lt;&gt;""),IF(COUNTIFS($D$5:D953,"proMX",$E$5:E953,E954,$BD$5:BD953,1)=0,MAX($CC$5:CC953)+1,""),"")</f>
        <v/>
      </c>
      <c r="CD954" s="80" t="str">
        <f>IF(AND(BE954=1,D954="Malcolm",F954&amp;""&lt;&gt;""),IF(COUNTIFS($D$5:D953,"Malcolm",$F$5:F953,F954,$BE$5:BE953,1)=0,MAX($CD$5:CD953)+1,""),"")</f>
        <v/>
      </c>
      <c r="CE954" s="80" t="str">
        <f>IF(AND(BD954=1,D954="proMX",F954&amp;""&lt;&gt;""),IF(COUNTIFS($D$5:D953,"proMX",$F$5:F953,F954,$BD$5:BD953,1)=0,MAX($CE$5:CE953)+1,""),"")</f>
        <v/>
      </c>
      <c r="CF954" s="80" t="str">
        <f>IF(AND(D954="proMX",BD954=1),IF(OR(BF954="Draft",BF954="Submitted",BF954="Returned",BF954="Recall Requested"),MAX($CF$5:CF953)+1,""),"")</f>
        <v/>
      </c>
      <c r="CG954" s="80">
        <f>IF(BD954=0,0,IF(D954="Malcolm",1,MATCH(BF954,{"Draft","Submitted","Approved","Returned","Recall Requested","Cancelled"},0)+1))</f>
        <v>0</v>
      </c>
      <c r="CH954" s="80">
        <f>IF(AND(BF954="Submitted",ISNUMBER(V954)),IF(V954&gt;CFG_MAXD,1,0),0)</f>
        <v>0</v>
      </c>
    </row>
    <row r="955">
      <c r="A955" s="71" t="str">
        <f>IF(Y955=1,ROW()-5,"")</f>
        <v/>
      </c>
      <c r="B955" s="72" t="n"/>
      <c r="C955" s="71" t="str">
        <f>IF(ISNUMBER(B955),CHOOSE(WEEKDAY(B955,2),"Lun","Mar","Mié","Jue","Vie","Sáb","Dom"),"")</f>
        <v/>
      </c>
      <c r="D955" s="73" t="n"/>
      <c r="E955" s="74" t="n"/>
      <c r="F955" s="74" t="n"/>
      <c r="G955" s="74" t="n"/>
      <c r="H955" s="75" t="n"/>
      <c r="I955" s="75" t="n"/>
      <c r="J955" s="76" t="n"/>
      <c r="K955" s="77" t="str">
        <f>IF(AB955=1,ROUND(AG955/60,4),"")</f>
        <v/>
      </c>
      <c r="L955" s="77" t="str">
        <f>IF(BD955=1,ROUND(AP955/60,4),"")</f>
        <v/>
      </c>
      <c r="M955" s="77" t="str">
        <f>IF(BD955=1,ROUND(AQ955/60,4),"")</f>
        <v/>
      </c>
      <c r="N955" s="71" t="str">
        <f>IF(AND(D955="proMX",AB955=1),ROUND(AG955/CFG_BLK,2),"")</f>
        <v/>
      </c>
      <c r="O955" s="77" t="str">
        <f>IF(D955="proMX",IF(BD955=1,ROUND(AG955/60,4),0),"")</f>
        <v/>
      </c>
      <c r="P955" s="78" t="str">
        <f>IF(Y955=0,"",IF(BD955=1,"OK",IF(D955="proMX","Revisar bloques: ","Revisar: ")&amp;BC955))</f>
        <v/>
      </c>
      <c r="Q955" s="78" t="str">
        <f>IF(NOT(ISNUMBER(B955)),"",IF(COUNTIFS(FER_F,INT(B955))&gt;0,"Feriado"&amp;IF(AH955=1," (laborable)"," (no laborable)"),IF(AH955=1,"Laborable",IF(WEEKDAY(B955,2)&gt;5,"Fin de semana","No laborable"))))</f>
        <v/>
      </c>
      <c r="R955" s="73" t="n"/>
      <c r="S955" s="72" t="n"/>
      <c r="T955" s="72" t="n"/>
      <c r="U955" s="74" t="n"/>
      <c r="V955" s="79" t="str">
        <f>IF(AND(D955="proMX",OR(R955="Submitted",R955="Recall Requested"),ISNUMBER(S955)),CFG_TODAY-INT(S955),"")</f>
        <v/>
      </c>
      <c r="W955" s="78" t="str">
        <f>IF(BD955=0,"",IF(BA955&gt;0,"⚠ Se superpone con un registro de la otra empresa",IF(D955="Malcolm",IF(COUNTA(R955,S955,T955)&gt;0,"Estado/fechas proMX se ignoran en Malcolm",""),IF(BF955="Cancelled","Cancelado: excluido de totales",IF(R955="","Sin estado: se trata como Draft",IF(BF955="Submitted",IF(ISNUMBER(V955),IF(V955&gt;CFG_MAXD,"⚠ "&amp;V955&amp;" días en Submitted (máx. "&amp;CFG_MAXD&amp;")",""),"Falta fecha de envío"),IF(BF955="Returned","⚠ Devuelto: corregir y reenviar",IF(BF955="Recall Requested","Retirada solicitada: pendiente",IF(AND(BF955="Approved",NOT(ISNUMBER(T955))),"Falta fecha de aprobación",IF(AND(ISNUMBER(S955),ISNUMBER(T955),T955&lt;S955),"Aprobación anterior al envío","")))))))))</f>
        <v/>
      </c>
      <c r="Y955" s="80">
        <f>IF(COUNTA(B955,D955,E955,F955,G955,H955,I955,J955,R955,S955,T955)&gt;0,1,0)</f>
        <v>0</v>
      </c>
      <c r="Z955" s="80" t="str">
        <f>IF(AND(ISNUMBER(H955),H955&gt;=0,H955&lt;1),ROUND(H955*1440,0),"")</f>
        <v/>
      </c>
      <c r="AA955" s="80" t="str">
        <f>IF(AND(ISNUMBER(I955),I955&gt;=0,I955&lt;1),ROUND(I955*1440,0),"")</f>
        <v/>
      </c>
      <c r="AB955" s="80">
        <f>IF(AND(ISNUMBER(B955),D955&lt;&gt;"",ISNUMBER(Z955),ISNUMBER(AA955)),IF(Z955=AA955,0,1),0)</f>
        <v>0</v>
      </c>
      <c r="AC955" s="80">
        <f>IF(AB955=1,IF(AA955&lt;Z955,1,0),0)</f>
        <v>0</v>
      </c>
      <c r="AD955" s="80">
        <f>IF(AB955=1,IF(AC955=1,1440-Z955+AA955,AA955-Z955),0)</f>
        <v>0</v>
      </c>
      <c r="AE955" s="80">
        <f>IF(J955="",0,IF(ISNUMBER(J955),J955,-1))</f>
        <v>0</v>
      </c>
      <c r="AF955" s="80">
        <f>MIN(MAX(0,AE955),AD955)</f>
        <v>0</v>
      </c>
      <c r="AG955" s="80">
        <f>MAX(0,AD955-MAX(0,AE955))</f>
        <v>0</v>
      </c>
      <c r="AH955" s="80">
        <f>IF(ISNUMBER(B955),IF(AND(INDEX(CFG_WDAYS,WEEKDAY(INT(B955),2))="Sí",IF(D955="proMX",COUNTIFS(FER_F,INT(B955),FER_NLP,"Sí"),COUNTIFS(FER_F,INT(B955),FER_NLM,"Sí"))=0),1,0),0)</f>
        <v>0</v>
      </c>
      <c r="AI955" s="80">
        <f>IF(AC955=1,IF(AND(INDEX(CFG_WDAYS,WEEKDAY(INT(B955)+1,2))="Sí",IF(D955="proMX",COUNTIFS(FER_F,INT(B955)+1,FER_NLP,"Sí"),COUNTIFS(FER_F,INT(B955)+1,FER_NLM,"Sí"))=0),1,0),0)</f>
        <v>0</v>
      </c>
      <c r="AJ955" s="80">
        <f>IF(AC955=1,1440-Z955,AD955)</f>
        <v>0</v>
      </c>
      <c r="AK955" s="80">
        <f>IF(AND(AB955=1,AH955=1),MAX(0,MIN(IF(AC955=1,1440,AA955),CFG_WEM)-MAX(Z955,CFG_WSM)),0)</f>
        <v>0</v>
      </c>
      <c r="AL955" s="80">
        <f>IF(AND(AC955=1,AI955=1),MAX(0,MIN(AA955,CFG_WEM)-CFG_WSM),0)</f>
        <v>0</v>
      </c>
      <c r="AM955" s="80">
        <f>AK955+AL955</f>
        <v>0</v>
      </c>
      <c r="AN955" s="80">
        <f>IF(CFG_BRK="Proporcional",IF(AD955=0,0,AF955*AM955/AD955),IF(CFG_BRK="Extras primero",MIN(AM955,MAX(0,AF955-(AD955-AM955))),MIN(AF955,AM955)))</f>
        <v>0</v>
      </c>
      <c r="AO955" s="80">
        <f>AF955-AN955</f>
        <v>0</v>
      </c>
      <c r="AP955" s="80">
        <f>AM955-AN955</f>
        <v>0</v>
      </c>
      <c r="AQ955" s="80">
        <f>AD955-AM955-AO955</f>
        <v>0</v>
      </c>
      <c r="AR955" s="80">
        <f>IF(AM955=0,0,AK955-AN955*AK955/AM955)</f>
        <v>0</v>
      </c>
      <c r="AS955" s="80">
        <f>IF(AD955-AM955=0,0,(AJ955-AK955)-AO955*(AJ955-AK955)/(AD955-AM955))</f>
        <v>0</v>
      </c>
      <c r="AT955" s="80" t="str">
        <f>IF(AC955=1,INT(B955)+1,"")</f>
        <v/>
      </c>
      <c r="AU955" s="80">
        <f>IF(AND(D955="proMX",R955="Cancelled"),0,1)</f>
        <v>1</v>
      </c>
      <c r="AV955" s="80">
        <f>IF(AND(AB955=1,AU955=1),IF(COUNTIFS($D$5:D954,D955,$B$5:B954,B955,$Z$5:Z954,Z955,$AA$5:AA954,AA955,$F$5:F954,F955&amp;"",$AU$5:AU954,1)&gt;0,1,0),0)</f>
        <v>0</v>
      </c>
      <c r="AW955" s="80" t="str">
        <f>IF(AB955=1,INT(B955)*1440+Z955,"")</f>
        <v/>
      </c>
      <c r="AX955" s="80" t="str">
        <f>IF(AB955=1,AW955+AD955,"")</f>
        <v/>
      </c>
      <c r="AY955" s="80">
        <f>IF(AND(AB955=1,AV955=0,AU955=1),1,0)</f>
        <v>0</v>
      </c>
      <c r="AZ955" s="80">
        <f>IF(AY955=1,COUNTIFS(R_Emp,D955,R_SAbs,"&lt;"&amp;AX955,R_EAbs,"&gt;"&amp;AW955,R_OKey,1)-1,0)</f>
        <v>0</v>
      </c>
      <c r="BA955" s="80">
        <f>IF(AY955=1,COUNTIFS(R_Emp,"&lt;&gt;"&amp;D955,R_SAbs,"&lt;"&amp;AX955,R_EAbs,"&gt;"&amp;AW955,R_OKey,1),0)</f>
        <v>0</v>
      </c>
      <c r="BB955" s="80">
        <f>IF(AND(AB955=1,D955="proMX"),IF(AND(MOD(Z955,CFG_BLK)=0,MOD(AA955,CFG_BLK)=0,MOD(AG955,CFG_BLK)=0,AG955&gt;0),1,0),1)</f>
        <v>1</v>
      </c>
      <c r="BC955" s="80" t="str">
        <f>IF(Y955=0,"",IF(NOT(ISNUMBER(B955)),"Falta fecha o fecha inválida",IF(D955="","Falta empresa",IF(AND(D955&lt;&gt;"Malcolm",D955&lt;&gt;"proMX"),"Empresa inválida",IF(OR(INT(B955)&lt;CFG_PSTART,INT(B955)&gt;CFG_PEND),"Fecha fuera del período",IF(OR(NOT(ISNUMBER(Z955)),NOT(ISNUMBER(AA955))),"Falta hora inicio/fin o formato inválido",IF(AB955=0,"Hora inicio = hora fin",IF(AE955&lt;0,"Descanso inválido",IF(AE955&gt;=AD955,"Descanso ≥ duración",IF(AV955=1,"Registro duplicado",IF(AZ955&gt;0,"Se superpone con otro registro "&amp;D955,IF(BB955=0,"inicio, fin y duración neta deben ser múltiplos de "&amp;CFG_BLK&amp;" min",""))))))))))))</f>
        <v/>
      </c>
      <c r="BD955" s="80">
        <f>IF(AND(Y955=1,BC955=""),1,0)</f>
        <v>0</v>
      </c>
      <c r="BE955" s="80">
        <f>IF(AND(BD955=1,AU955=1),1,0)</f>
        <v>0</v>
      </c>
      <c r="BF955" s="80" t="str">
        <f>IF(AND(D955="proMX",BD955=1),IF(R955="","Draft",R955),"")</f>
        <v/>
      </c>
      <c r="BG955" s="80">
        <f>IF(BD955=1,ROUND(AG955/60,6),0)</f>
        <v>0</v>
      </c>
      <c r="BH955" s="80">
        <f>IF(BE955=1,ROUND(AG955/60,6),0)</f>
        <v>0</v>
      </c>
      <c r="BI955" s="80">
        <f>IF(BE955=1,ROUND(AP955/60,6),0)</f>
        <v>0</v>
      </c>
      <c r="BJ955" s="80">
        <f>IF(BE955=1,ROUND(AQ955/60,6),0)</f>
        <v>0</v>
      </c>
      <c r="BK955" s="80">
        <f>IF(BE955=1,ROUND((AR955+AS955)/60,6),0)</f>
        <v>0</v>
      </c>
      <c r="BL955" s="80">
        <f>ROUND(BH955-BK955,6)</f>
        <v>0</v>
      </c>
      <c r="BM955" s="80">
        <f>IF(BE955=1,ROUND(AR955/60,6),0)</f>
        <v>0</v>
      </c>
      <c r="BN955" s="80">
        <f>ROUND(BI955-BM955,6)</f>
        <v>0</v>
      </c>
      <c r="BO955" s="80">
        <f>IF(BE955=1,ROUND(AS955/60,6),0)</f>
        <v>0</v>
      </c>
      <c r="BP955" s="80">
        <f>ROUND(BJ955-BO955,6)</f>
        <v>0</v>
      </c>
      <c r="BQ955" s="80">
        <f>IF(BE955=1,AW955,0)</f>
        <v>0</v>
      </c>
      <c r="BR955" s="80">
        <f>IF(BE955=1,AX955,0)</f>
        <v>0</v>
      </c>
      <c r="BS955" s="80">
        <f>IF(AND(BE955=1,D955="Malcolm",BA955&gt;0),MIN(BH955,SUMPRODUCT((R_Emp="proMX")*(R_EN&gt;0)*((R_EN-(R_EN&gt;BR955)*(R_EN-BR955))&gt;(R_SN+(R_SN&lt;BQ955)*(BQ955-R_SN)))*((R_EN-(R_EN&gt;BR955)*(R_EN-BR955))-(R_SN+(R_SN&lt;BQ955)*(BQ955-R_SN))))/60),0)</f>
        <v>0</v>
      </c>
      <c r="BT955" s="80">
        <f>IF(AND(BE955=1,D955="proMX"),ROUND(BI955*CFG_RATE+BJ955*CFG_OTRATE,6),0)</f>
        <v>0</v>
      </c>
      <c r="BU955" s="80">
        <f>IF(AND(BD955=1,D955="proMX"),ROUND(AG955/CFG_BLK,6),0)</f>
        <v>0</v>
      </c>
      <c r="BV955" s="80" t="str">
        <f>IF(BF955="Approved",IF(ISNUMBER(T955),INT(T955),INT(B955)),"")</f>
        <v/>
      </c>
      <c r="BW955" s="80">
        <f>IF(ISNUMBER(B955),IF(DB_MON="Todos",1,IF(AND(INT(B955)&gt;=DB_MS,INT(B955)&lt;=DB_ME),1,0)),0)</f>
        <v>0</v>
      </c>
      <c r="BX955" s="80">
        <f>IF(DB_PROJ="Todos",1,IF(E955&amp;""=DB_PROJ&amp;"",1,0))</f>
        <v>1</v>
      </c>
      <c r="BY955" s="80">
        <f>BW955*BX955</f>
        <v>0</v>
      </c>
      <c r="BZ955" s="80" t="str">
        <f>IF(Y955=1,F955&amp;IF(AND(F955&amp;""&lt;&gt;"",E955&amp;""&lt;&gt;"")," · ","")&amp;E955,"")</f>
        <v/>
      </c>
      <c r="CA955" s="80" t="str">
        <f>IF(AND(BD955=1,E955&amp;""&lt;&gt;""),IF(COUNTIFS($E$5:E954,E955,$BD$5:BD954,1)=0,MAX($CA$5:CA954)+1,""),"")</f>
        <v/>
      </c>
      <c r="CB955" s="80" t="str">
        <f>IF(AND(BE955=1,D955="Malcolm",E955&amp;""&lt;&gt;""),IF(COUNTIFS($D$5:D954,"Malcolm",$E$5:E954,E955,$BE$5:BE954,1)=0,MAX($CB$5:CB954)+1,""),"")</f>
        <v/>
      </c>
      <c r="CC955" s="80" t="str">
        <f>IF(AND(BD955=1,D955="proMX",E955&amp;""&lt;&gt;""),IF(COUNTIFS($D$5:D954,"proMX",$E$5:E954,E955,$BD$5:BD954,1)=0,MAX($CC$5:CC954)+1,""),"")</f>
        <v/>
      </c>
      <c r="CD955" s="80" t="str">
        <f>IF(AND(BE955=1,D955="Malcolm",F955&amp;""&lt;&gt;""),IF(COUNTIFS($D$5:D954,"Malcolm",$F$5:F954,F955,$BE$5:BE954,1)=0,MAX($CD$5:CD954)+1,""),"")</f>
        <v/>
      </c>
      <c r="CE955" s="80" t="str">
        <f>IF(AND(BD955=1,D955="proMX",F955&amp;""&lt;&gt;""),IF(COUNTIFS($D$5:D954,"proMX",$F$5:F954,F955,$BD$5:BD954,1)=0,MAX($CE$5:CE954)+1,""),"")</f>
        <v/>
      </c>
      <c r="CF955" s="80" t="str">
        <f>IF(AND(D955="proMX",BD955=1),IF(OR(BF955="Draft",BF955="Submitted",BF955="Returned",BF955="Recall Requested"),MAX($CF$5:CF954)+1,""),"")</f>
        <v/>
      </c>
      <c r="CG955" s="80">
        <f>IF(BD955=0,0,IF(D955="Malcolm",1,MATCH(BF955,{"Draft","Submitted","Approved","Returned","Recall Requested","Cancelled"},0)+1))</f>
        <v>0</v>
      </c>
      <c r="CH955" s="80">
        <f>IF(AND(BF955="Submitted",ISNUMBER(V955)),IF(V955&gt;CFG_MAXD,1,0),0)</f>
        <v>0</v>
      </c>
    </row>
    <row r="956">
      <c r="A956" s="71" t="str">
        <f>IF(Y956=1,ROW()-5,"")</f>
        <v/>
      </c>
      <c r="B956" s="72" t="n"/>
      <c r="C956" s="71" t="str">
        <f>IF(ISNUMBER(B956),CHOOSE(WEEKDAY(B956,2),"Lun","Mar","Mié","Jue","Vie","Sáb","Dom"),"")</f>
        <v/>
      </c>
      <c r="D956" s="73" t="n"/>
      <c r="E956" s="74" t="n"/>
      <c r="F956" s="74" t="n"/>
      <c r="G956" s="74" t="n"/>
      <c r="H956" s="75" t="n"/>
      <c r="I956" s="75" t="n"/>
      <c r="J956" s="76" t="n"/>
      <c r="K956" s="77" t="str">
        <f>IF(AB956=1,ROUND(AG956/60,4),"")</f>
        <v/>
      </c>
      <c r="L956" s="77" t="str">
        <f>IF(BD956=1,ROUND(AP956/60,4),"")</f>
        <v/>
      </c>
      <c r="M956" s="77" t="str">
        <f>IF(BD956=1,ROUND(AQ956/60,4),"")</f>
        <v/>
      </c>
      <c r="N956" s="71" t="str">
        <f>IF(AND(D956="proMX",AB956=1),ROUND(AG956/CFG_BLK,2),"")</f>
        <v/>
      </c>
      <c r="O956" s="77" t="str">
        <f>IF(D956="proMX",IF(BD956=1,ROUND(AG956/60,4),0),"")</f>
        <v/>
      </c>
      <c r="P956" s="78" t="str">
        <f>IF(Y956=0,"",IF(BD956=1,"OK",IF(D956="proMX","Revisar bloques: ","Revisar: ")&amp;BC956))</f>
        <v/>
      </c>
      <c r="Q956" s="78" t="str">
        <f>IF(NOT(ISNUMBER(B956)),"",IF(COUNTIFS(FER_F,INT(B956))&gt;0,"Feriado"&amp;IF(AH956=1," (laborable)"," (no laborable)"),IF(AH956=1,"Laborable",IF(WEEKDAY(B956,2)&gt;5,"Fin de semana","No laborable"))))</f>
        <v/>
      </c>
      <c r="R956" s="73" t="n"/>
      <c r="S956" s="72" t="n"/>
      <c r="T956" s="72" t="n"/>
      <c r="U956" s="74" t="n"/>
      <c r="V956" s="79" t="str">
        <f>IF(AND(D956="proMX",OR(R956="Submitted",R956="Recall Requested"),ISNUMBER(S956)),CFG_TODAY-INT(S956),"")</f>
        <v/>
      </c>
      <c r="W956" s="78" t="str">
        <f>IF(BD956=0,"",IF(BA956&gt;0,"⚠ Se superpone con un registro de la otra empresa",IF(D956="Malcolm",IF(COUNTA(R956,S956,T956)&gt;0,"Estado/fechas proMX se ignoran en Malcolm",""),IF(BF956="Cancelled","Cancelado: excluido de totales",IF(R956="","Sin estado: se trata como Draft",IF(BF956="Submitted",IF(ISNUMBER(V956),IF(V956&gt;CFG_MAXD,"⚠ "&amp;V956&amp;" días en Submitted (máx. "&amp;CFG_MAXD&amp;")",""),"Falta fecha de envío"),IF(BF956="Returned","⚠ Devuelto: corregir y reenviar",IF(BF956="Recall Requested","Retirada solicitada: pendiente",IF(AND(BF956="Approved",NOT(ISNUMBER(T956))),"Falta fecha de aprobación",IF(AND(ISNUMBER(S956),ISNUMBER(T956),T956&lt;S956),"Aprobación anterior al envío","")))))))))</f>
        <v/>
      </c>
      <c r="Y956" s="80">
        <f>IF(COUNTA(B956,D956,E956,F956,G956,H956,I956,J956,R956,S956,T956)&gt;0,1,0)</f>
        <v>0</v>
      </c>
      <c r="Z956" s="80" t="str">
        <f>IF(AND(ISNUMBER(H956),H956&gt;=0,H956&lt;1),ROUND(H956*1440,0),"")</f>
        <v/>
      </c>
      <c r="AA956" s="80" t="str">
        <f>IF(AND(ISNUMBER(I956),I956&gt;=0,I956&lt;1),ROUND(I956*1440,0),"")</f>
        <v/>
      </c>
      <c r="AB956" s="80">
        <f>IF(AND(ISNUMBER(B956),D956&lt;&gt;"",ISNUMBER(Z956),ISNUMBER(AA956)),IF(Z956=AA956,0,1),0)</f>
        <v>0</v>
      </c>
      <c r="AC956" s="80">
        <f>IF(AB956=1,IF(AA956&lt;Z956,1,0),0)</f>
        <v>0</v>
      </c>
      <c r="AD956" s="80">
        <f>IF(AB956=1,IF(AC956=1,1440-Z956+AA956,AA956-Z956),0)</f>
        <v>0</v>
      </c>
      <c r="AE956" s="80">
        <f>IF(J956="",0,IF(ISNUMBER(J956),J956,-1))</f>
        <v>0</v>
      </c>
      <c r="AF956" s="80">
        <f>MIN(MAX(0,AE956),AD956)</f>
        <v>0</v>
      </c>
      <c r="AG956" s="80">
        <f>MAX(0,AD956-MAX(0,AE956))</f>
        <v>0</v>
      </c>
      <c r="AH956" s="80">
        <f>IF(ISNUMBER(B956),IF(AND(INDEX(CFG_WDAYS,WEEKDAY(INT(B956),2))="Sí",IF(D956="proMX",COUNTIFS(FER_F,INT(B956),FER_NLP,"Sí"),COUNTIFS(FER_F,INT(B956),FER_NLM,"Sí"))=0),1,0),0)</f>
        <v>0</v>
      </c>
      <c r="AI956" s="80">
        <f>IF(AC956=1,IF(AND(INDEX(CFG_WDAYS,WEEKDAY(INT(B956)+1,2))="Sí",IF(D956="proMX",COUNTIFS(FER_F,INT(B956)+1,FER_NLP,"Sí"),COUNTIFS(FER_F,INT(B956)+1,FER_NLM,"Sí"))=0),1,0),0)</f>
        <v>0</v>
      </c>
      <c r="AJ956" s="80">
        <f>IF(AC956=1,1440-Z956,AD956)</f>
        <v>0</v>
      </c>
      <c r="AK956" s="80">
        <f>IF(AND(AB956=1,AH956=1),MAX(0,MIN(IF(AC956=1,1440,AA956),CFG_WEM)-MAX(Z956,CFG_WSM)),0)</f>
        <v>0</v>
      </c>
      <c r="AL956" s="80">
        <f>IF(AND(AC956=1,AI956=1),MAX(0,MIN(AA956,CFG_WEM)-CFG_WSM),0)</f>
        <v>0</v>
      </c>
      <c r="AM956" s="80">
        <f>AK956+AL956</f>
        <v>0</v>
      </c>
      <c r="AN956" s="80">
        <f>IF(CFG_BRK="Proporcional",IF(AD956=0,0,AF956*AM956/AD956),IF(CFG_BRK="Extras primero",MIN(AM956,MAX(0,AF956-(AD956-AM956))),MIN(AF956,AM956)))</f>
        <v>0</v>
      </c>
      <c r="AO956" s="80">
        <f>AF956-AN956</f>
        <v>0</v>
      </c>
      <c r="AP956" s="80">
        <f>AM956-AN956</f>
        <v>0</v>
      </c>
      <c r="AQ956" s="80">
        <f>AD956-AM956-AO956</f>
        <v>0</v>
      </c>
      <c r="AR956" s="80">
        <f>IF(AM956=0,0,AK956-AN956*AK956/AM956)</f>
        <v>0</v>
      </c>
      <c r="AS956" s="80">
        <f>IF(AD956-AM956=0,0,(AJ956-AK956)-AO956*(AJ956-AK956)/(AD956-AM956))</f>
        <v>0</v>
      </c>
      <c r="AT956" s="80" t="str">
        <f>IF(AC956=1,INT(B956)+1,"")</f>
        <v/>
      </c>
      <c r="AU956" s="80">
        <f>IF(AND(D956="proMX",R956="Cancelled"),0,1)</f>
        <v>1</v>
      </c>
      <c r="AV956" s="80">
        <f>IF(AND(AB956=1,AU956=1),IF(COUNTIFS($D$5:D955,D956,$B$5:B955,B956,$Z$5:Z955,Z956,$AA$5:AA955,AA956,$F$5:F955,F956&amp;"",$AU$5:AU955,1)&gt;0,1,0),0)</f>
        <v>0</v>
      </c>
      <c r="AW956" s="80" t="str">
        <f>IF(AB956=1,INT(B956)*1440+Z956,"")</f>
        <v/>
      </c>
      <c r="AX956" s="80" t="str">
        <f>IF(AB956=1,AW956+AD956,"")</f>
        <v/>
      </c>
      <c r="AY956" s="80">
        <f>IF(AND(AB956=1,AV956=0,AU956=1),1,0)</f>
        <v>0</v>
      </c>
      <c r="AZ956" s="80">
        <f>IF(AY956=1,COUNTIFS(R_Emp,D956,R_SAbs,"&lt;"&amp;AX956,R_EAbs,"&gt;"&amp;AW956,R_OKey,1)-1,0)</f>
        <v>0</v>
      </c>
      <c r="BA956" s="80">
        <f>IF(AY956=1,COUNTIFS(R_Emp,"&lt;&gt;"&amp;D956,R_SAbs,"&lt;"&amp;AX956,R_EAbs,"&gt;"&amp;AW956,R_OKey,1),0)</f>
        <v>0</v>
      </c>
      <c r="BB956" s="80">
        <f>IF(AND(AB956=1,D956="proMX"),IF(AND(MOD(Z956,CFG_BLK)=0,MOD(AA956,CFG_BLK)=0,MOD(AG956,CFG_BLK)=0,AG956&gt;0),1,0),1)</f>
        <v>1</v>
      </c>
      <c r="BC956" s="80" t="str">
        <f>IF(Y956=0,"",IF(NOT(ISNUMBER(B956)),"Falta fecha o fecha inválida",IF(D956="","Falta empresa",IF(AND(D956&lt;&gt;"Malcolm",D956&lt;&gt;"proMX"),"Empresa inválida",IF(OR(INT(B956)&lt;CFG_PSTART,INT(B956)&gt;CFG_PEND),"Fecha fuera del período",IF(OR(NOT(ISNUMBER(Z956)),NOT(ISNUMBER(AA956))),"Falta hora inicio/fin o formato inválido",IF(AB956=0,"Hora inicio = hora fin",IF(AE956&lt;0,"Descanso inválido",IF(AE956&gt;=AD956,"Descanso ≥ duración",IF(AV956=1,"Registro duplicado",IF(AZ956&gt;0,"Se superpone con otro registro "&amp;D956,IF(BB956=0,"inicio, fin y duración neta deben ser múltiplos de "&amp;CFG_BLK&amp;" min",""))))))))))))</f>
        <v/>
      </c>
      <c r="BD956" s="80">
        <f>IF(AND(Y956=1,BC956=""),1,0)</f>
        <v>0</v>
      </c>
      <c r="BE956" s="80">
        <f>IF(AND(BD956=1,AU956=1),1,0)</f>
        <v>0</v>
      </c>
      <c r="BF956" s="80" t="str">
        <f>IF(AND(D956="proMX",BD956=1),IF(R956="","Draft",R956),"")</f>
        <v/>
      </c>
      <c r="BG956" s="80">
        <f>IF(BD956=1,ROUND(AG956/60,6),0)</f>
        <v>0</v>
      </c>
      <c r="BH956" s="80">
        <f>IF(BE956=1,ROUND(AG956/60,6),0)</f>
        <v>0</v>
      </c>
      <c r="BI956" s="80">
        <f>IF(BE956=1,ROUND(AP956/60,6),0)</f>
        <v>0</v>
      </c>
      <c r="BJ956" s="80">
        <f>IF(BE956=1,ROUND(AQ956/60,6),0)</f>
        <v>0</v>
      </c>
      <c r="BK956" s="80">
        <f>IF(BE956=1,ROUND((AR956+AS956)/60,6),0)</f>
        <v>0</v>
      </c>
      <c r="BL956" s="80">
        <f>ROUND(BH956-BK956,6)</f>
        <v>0</v>
      </c>
      <c r="BM956" s="80">
        <f>IF(BE956=1,ROUND(AR956/60,6),0)</f>
        <v>0</v>
      </c>
      <c r="BN956" s="80">
        <f>ROUND(BI956-BM956,6)</f>
        <v>0</v>
      </c>
      <c r="BO956" s="80">
        <f>IF(BE956=1,ROUND(AS956/60,6),0)</f>
        <v>0</v>
      </c>
      <c r="BP956" s="80">
        <f>ROUND(BJ956-BO956,6)</f>
        <v>0</v>
      </c>
      <c r="BQ956" s="80">
        <f>IF(BE956=1,AW956,0)</f>
        <v>0</v>
      </c>
      <c r="BR956" s="80">
        <f>IF(BE956=1,AX956,0)</f>
        <v>0</v>
      </c>
      <c r="BS956" s="80">
        <f>IF(AND(BE956=1,D956="Malcolm",BA956&gt;0),MIN(BH956,SUMPRODUCT((R_Emp="proMX")*(R_EN&gt;0)*((R_EN-(R_EN&gt;BR956)*(R_EN-BR956))&gt;(R_SN+(R_SN&lt;BQ956)*(BQ956-R_SN)))*((R_EN-(R_EN&gt;BR956)*(R_EN-BR956))-(R_SN+(R_SN&lt;BQ956)*(BQ956-R_SN))))/60),0)</f>
        <v>0</v>
      </c>
      <c r="BT956" s="80">
        <f>IF(AND(BE956=1,D956="proMX"),ROUND(BI956*CFG_RATE+BJ956*CFG_OTRATE,6),0)</f>
        <v>0</v>
      </c>
      <c r="BU956" s="80">
        <f>IF(AND(BD956=1,D956="proMX"),ROUND(AG956/CFG_BLK,6),0)</f>
        <v>0</v>
      </c>
      <c r="BV956" s="80" t="str">
        <f>IF(BF956="Approved",IF(ISNUMBER(T956),INT(T956),INT(B956)),"")</f>
        <v/>
      </c>
      <c r="BW956" s="80">
        <f>IF(ISNUMBER(B956),IF(DB_MON="Todos",1,IF(AND(INT(B956)&gt;=DB_MS,INT(B956)&lt;=DB_ME),1,0)),0)</f>
        <v>0</v>
      </c>
      <c r="BX956" s="80">
        <f>IF(DB_PROJ="Todos",1,IF(E956&amp;""=DB_PROJ&amp;"",1,0))</f>
        <v>1</v>
      </c>
      <c r="BY956" s="80">
        <f>BW956*BX956</f>
        <v>0</v>
      </c>
      <c r="BZ956" s="80" t="str">
        <f>IF(Y956=1,F956&amp;IF(AND(F956&amp;""&lt;&gt;"",E956&amp;""&lt;&gt;"")," · ","")&amp;E956,"")</f>
        <v/>
      </c>
      <c r="CA956" s="80" t="str">
        <f>IF(AND(BD956=1,E956&amp;""&lt;&gt;""),IF(COUNTIFS($E$5:E955,E956,$BD$5:BD955,1)=0,MAX($CA$5:CA955)+1,""),"")</f>
        <v/>
      </c>
      <c r="CB956" s="80" t="str">
        <f>IF(AND(BE956=1,D956="Malcolm",E956&amp;""&lt;&gt;""),IF(COUNTIFS($D$5:D955,"Malcolm",$E$5:E955,E956,$BE$5:BE955,1)=0,MAX($CB$5:CB955)+1,""),"")</f>
        <v/>
      </c>
      <c r="CC956" s="80" t="str">
        <f>IF(AND(BD956=1,D956="proMX",E956&amp;""&lt;&gt;""),IF(COUNTIFS($D$5:D955,"proMX",$E$5:E955,E956,$BD$5:BD955,1)=0,MAX($CC$5:CC955)+1,""),"")</f>
        <v/>
      </c>
      <c r="CD956" s="80" t="str">
        <f>IF(AND(BE956=1,D956="Malcolm",F956&amp;""&lt;&gt;""),IF(COUNTIFS($D$5:D955,"Malcolm",$F$5:F955,F956,$BE$5:BE955,1)=0,MAX($CD$5:CD955)+1,""),"")</f>
        <v/>
      </c>
      <c r="CE956" s="80" t="str">
        <f>IF(AND(BD956=1,D956="proMX",F956&amp;""&lt;&gt;""),IF(COUNTIFS($D$5:D955,"proMX",$F$5:F955,F956,$BD$5:BD955,1)=0,MAX($CE$5:CE955)+1,""),"")</f>
        <v/>
      </c>
      <c r="CF956" s="80" t="str">
        <f>IF(AND(D956="proMX",BD956=1),IF(OR(BF956="Draft",BF956="Submitted",BF956="Returned",BF956="Recall Requested"),MAX($CF$5:CF955)+1,""),"")</f>
        <v/>
      </c>
      <c r="CG956" s="80">
        <f>IF(BD956=0,0,IF(D956="Malcolm",1,MATCH(BF956,{"Draft","Submitted","Approved","Returned","Recall Requested","Cancelled"},0)+1))</f>
        <v>0</v>
      </c>
      <c r="CH956" s="80">
        <f>IF(AND(BF956="Submitted",ISNUMBER(V956)),IF(V956&gt;CFG_MAXD,1,0),0)</f>
        <v>0</v>
      </c>
    </row>
    <row r="957">
      <c r="A957" s="71" t="str">
        <f>IF(Y957=1,ROW()-5,"")</f>
        <v/>
      </c>
      <c r="B957" s="72" t="n"/>
      <c r="C957" s="71" t="str">
        <f>IF(ISNUMBER(B957),CHOOSE(WEEKDAY(B957,2),"Lun","Mar","Mié","Jue","Vie","Sáb","Dom"),"")</f>
        <v/>
      </c>
      <c r="D957" s="73" t="n"/>
      <c r="E957" s="74" t="n"/>
      <c r="F957" s="74" t="n"/>
      <c r="G957" s="74" t="n"/>
      <c r="H957" s="75" t="n"/>
      <c r="I957" s="75" t="n"/>
      <c r="J957" s="76" t="n"/>
      <c r="K957" s="77" t="str">
        <f>IF(AB957=1,ROUND(AG957/60,4),"")</f>
        <v/>
      </c>
      <c r="L957" s="77" t="str">
        <f>IF(BD957=1,ROUND(AP957/60,4),"")</f>
        <v/>
      </c>
      <c r="M957" s="77" t="str">
        <f>IF(BD957=1,ROUND(AQ957/60,4),"")</f>
        <v/>
      </c>
      <c r="N957" s="71" t="str">
        <f>IF(AND(D957="proMX",AB957=1),ROUND(AG957/CFG_BLK,2),"")</f>
        <v/>
      </c>
      <c r="O957" s="77" t="str">
        <f>IF(D957="proMX",IF(BD957=1,ROUND(AG957/60,4),0),"")</f>
        <v/>
      </c>
      <c r="P957" s="78" t="str">
        <f>IF(Y957=0,"",IF(BD957=1,"OK",IF(D957="proMX","Revisar bloques: ","Revisar: ")&amp;BC957))</f>
        <v/>
      </c>
      <c r="Q957" s="78" t="str">
        <f>IF(NOT(ISNUMBER(B957)),"",IF(COUNTIFS(FER_F,INT(B957))&gt;0,"Feriado"&amp;IF(AH957=1," (laborable)"," (no laborable)"),IF(AH957=1,"Laborable",IF(WEEKDAY(B957,2)&gt;5,"Fin de semana","No laborable"))))</f>
        <v/>
      </c>
      <c r="R957" s="73" t="n"/>
      <c r="S957" s="72" t="n"/>
      <c r="T957" s="72" t="n"/>
      <c r="U957" s="74" t="n"/>
      <c r="V957" s="79" t="str">
        <f>IF(AND(D957="proMX",OR(R957="Submitted",R957="Recall Requested"),ISNUMBER(S957)),CFG_TODAY-INT(S957),"")</f>
        <v/>
      </c>
      <c r="W957" s="78" t="str">
        <f>IF(BD957=0,"",IF(BA957&gt;0,"⚠ Se superpone con un registro de la otra empresa",IF(D957="Malcolm",IF(COUNTA(R957,S957,T957)&gt;0,"Estado/fechas proMX se ignoran en Malcolm",""),IF(BF957="Cancelled","Cancelado: excluido de totales",IF(R957="","Sin estado: se trata como Draft",IF(BF957="Submitted",IF(ISNUMBER(V957),IF(V957&gt;CFG_MAXD,"⚠ "&amp;V957&amp;" días en Submitted (máx. "&amp;CFG_MAXD&amp;")",""),"Falta fecha de envío"),IF(BF957="Returned","⚠ Devuelto: corregir y reenviar",IF(BF957="Recall Requested","Retirada solicitada: pendiente",IF(AND(BF957="Approved",NOT(ISNUMBER(T957))),"Falta fecha de aprobación",IF(AND(ISNUMBER(S957),ISNUMBER(T957),T957&lt;S957),"Aprobación anterior al envío","")))))))))</f>
        <v/>
      </c>
      <c r="Y957" s="80">
        <f>IF(COUNTA(B957,D957,E957,F957,G957,H957,I957,J957,R957,S957,T957)&gt;0,1,0)</f>
        <v>0</v>
      </c>
      <c r="Z957" s="80" t="str">
        <f>IF(AND(ISNUMBER(H957),H957&gt;=0,H957&lt;1),ROUND(H957*1440,0),"")</f>
        <v/>
      </c>
      <c r="AA957" s="80" t="str">
        <f>IF(AND(ISNUMBER(I957),I957&gt;=0,I957&lt;1),ROUND(I957*1440,0),"")</f>
        <v/>
      </c>
      <c r="AB957" s="80">
        <f>IF(AND(ISNUMBER(B957),D957&lt;&gt;"",ISNUMBER(Z957),ISNUMBER(AA957)),IF(Z957=AA957,0,1),0)</f>
        <v>0</v>
      </c>
      <c r="AC957" s="80">
        <f>IF(AB957=1,IF(AA957&lt;Z957,1,0),0)</f>
        <v>0</v>
      </c>
      <c r="AD957" s="80">
        <f>IF(AB957=1,IF(AC957=1,1440-Z957+AA957,AA957-Z957),0)</f>
        <v>0</v>
      </c>
      <c r="AE957" s="80">
        <f>IF(J957="",0,IF(ISNUMBER(J957),J957,-1))</f>
        <v>0</v>
      </c>
      <c r="AF957" s="80">
        <f>MIN(MAX(0,AE957),AD957)</f>
        <v>0</v>
      </c>
      <c r="AG957" s="80">
        <f>MAX(0,AD957-MAX(0,AE957))</f>
        <v>0</v>
      </c>
      <c r="AH957" s="80">
        <f>IF(ISNUMBER(B957),IF(AND(INDEX(CFG_WDAYS,WEEKDAY(INT(B957),2))="Sí",IF(D957="proMX",COUNTIFS(FER_F,INT(B957),FER_NLP,"Sí"),COUNTIFS(FER_F,INT(B957),FER_NLM,"Sí"))=0),1,0),0)</f>
        <v>0</v>
      </c>
      <c r="AI957" s="80">
        <f>IF(AC957=1,IF(AND(INDEX(CFG_WDAYS,WEEKDAY(INT(B957)+1,2))="Sí",IF(D957="proMX",COUNTIFS(FER_F,INT(B957)+1,FER_NLP,"Sí"),COUNTIFS(FER_F,INT(B957)+1,FER_NLM,"Sí"))=0),1,0),0)</f>
        <v>0</v>
      </c>
      <c r="AJ957" s="80">
        <f>IF(AC957=1,1440-Z957,AD957)</f>
        <v>0</v>
      </c>
      <c r="AK957" s="80">
        <f>IF(AND(AB957=1,AH957=1),MAX(0,MIN(IF(AC957=1,1440,AA957),CFG_WEM)-MAX(Z957,CFG_WSM)),0)</f>
        <v>0</v>
      </c>
      <c r="AL957" s="80">
        <f>IF(AND(AC957=1,AI957=1),MAX(0,MIN(AA957,CFG_WEM)-CFG_WSM),0)</f>
        <v>0</v>
      </c>
      <c r="AM957" s="80">
        <f>AK957+AL957</f>
        <v>0</v>
      </c>
      <c r="AN957" s="80">
        <f>IF(CFG_BRK="Proporcional",IF(AD957=0,0,AF957*AM957/AD957),IF(CFG_BRK="Extras primero",MIN(AM957,MAX(0,AF957-(AD957-AM957))),MIN(AF957,AM957)))</f>
        <v>0</v>
      </c>
      <c r="AO957" s="80">
        <f>AF957-AN957</f>
        <v>0</v>
      </c>
      <c r="AP957" s="80">
        <f>AM957-AN957</f>
        <v>0</v>
      </c>
      <c r="AQ957" s="80">
        <f>AD957-AM957-AO957</f>
        <v>0</v>
      </c>
      <c r="AR957" s="80">
        <f>IF(AM957=0,0,AK957-AN957*AK957/AM957)</f>
        <v>0</v>
      </c>
      <c r="AS957" s="80">
        <f>IF(AD957-AM957=0,0,(AJ957-AK957)-AO957*(AJ957-AK957)/(AD957-AM957))</f>
        <v>0</v>
      </c>
      <c r="AT957" s="80" t="str">
        <f>IF(AC957=1,INT(B957)+1,"")</f>
        <v/>
      </c>
      <c r="AU957" s="80">
        <f>IF(AND(D957="proMX",R957="Cancelled"),0,1)</f>
        <v>1</v>
      </c>
      <c r="AV957" s="80">
        <f>IF(AND(AB957=1,AU957=1),IF(COUNTIFS($D$5:D956,D957,$B$5:B956,B957,$Z$5:Z956,Z957,$AA$5:AA956,AA957,$F$5:F956,F957&amp;"",$AU$5:AU956,1)&gt;0,1,0),0)</f>
        <v>0</v>
      </c>
      <c r="AW957" s="80" t="str">
        <f>IF(AB957=1,INT(B957)*1440+Z957,"")</f>
        <v/>
      </c>
      <c r="AX957" s="80" t="str">
        <f>IF(AB957=1,AW957+AD957,"")</f>
        <v/>
      </c>
      <c r="AY957" s="80">
        <f>IF(AND(AB957=1,AV957=0,AU957=1),1,0)</f>
        <v>0</v>
      </c>
      <c r="AZ957" s="80">
        <f>IF(AY957=1,COUNTIFS(R_Emp,D957,R_SAbs,"&lt;"&amp;AX957,R_EAbs,"&gt;"&amp;AW957,R_OKey,1)-1,0)</f>
        <v>0</v>
      </c>
      <c r="BA957" s="80">
        <f>IF(AY957=1,COUNTIFS(R_Emp,"&lt;&gt;"&amp;D957,R_SAbs,"&lt;"&amp;AX957,R_EAbs,"&gt;"&amp;AW957,R_OKey,1),0)</f>
        <v>0</v>
      </c>
      <c r="BB957" s="80">
        <f>IF(AND(AB957=1,D957="proMX"),IF(AND(MOD(Z957,CFG_BLK)=0,MOD(AA957,CFG_BLK)=0,MOD(AG957,CFG_BLK)=0,AG957&gt;0),1,0),1)</f>
        <v>1</v>
      </c>
      <c r="BC957" s="80" t="str">
        <f>IF(Y957=0,"",IF(NOT(ISNUMBER(B957)),"Falta fecha o fecha inválida",IF(D957="","Falta empresa",IF(AND(D957&lt;&gt;"Malcolm",D957&lt;&gt;"proMX"),"Empresa inválida",IF(OR(INT(B957)&lt;CFG_PSTART,INT(B957)&gt;CFG_PEND),"Fecha fuera del período",IF(OR(NOT(ISNUMBER(Z957)),NOT(ISNUMBER(AA957))),"Falta hora inicio/fin o formato inválido",IF(AB957=0,"Hora inicio = hora fin",IF(AE957&lt;0,"Descanso inválido",IF(AE957&gt;=AD957,"Descanso ≥ duración",IF(AV957=1,"Registro duplicado",IF(AZ957&gt;0,"Se superpone con otro registro "&amp;D957,IF(BB957=0,"inicio, fin y duración neta deben ser múltiplos de "&amp;CFG_BLK&amp;" min",""))))))))))))</f>
        <v/>
      </c>
      <c r="BD957" s="80">
        <f>IF(AND(Y957=1,BC957=""),1,0)</f>
        <v>0</v>
      </c>
      <c r="BE957" s="80">
        <f>IF(AND(BD957=1,AU957=1),1,0)</f>
        <v>0</v>
      </c>
      <c r="BF957" s="80" t="str">
        <f>IF(AND(D957="proMX",BD957=1),IF(R957="","Draft",R957),"")</f>
        <v/>
      </c>
      <c r="BG957" s="80">
        <f>IF(BD957=1,ROUND(AG957/60,6),0)</f>
        <v>0</v>
      </c>
      <c r="BH957" s="80">
        <f>IF(BE957=1,ROUND(AG957/60,6),0)</f>
        <v>0</v>
      </c>
      <c r="BI957" s="80">
        <f>IF(BE957=1,ROUND(AP957/60,6),0)</f>
        <v>0</v>
      </c>
      <c r="BJ957" s="80">
        <f>IF(BE957=1,ROUND(AQ957/60,6),0)</f>
        <v>0</v>
      </c>
      <c r="BK957" s="80">
        <f>IF(BE957=1,ROUND((AR957+AS957)/60,6),0)</f>
        <v>0</v>
      </c>
      <c r="BL957" s="80">
        <f>ROUND(BH957-BK957,6)</f>
        <v>0</v>
      </c>
      <c r="BM957" s="80">
        <f>IF(BE957=1,ROUND(AR957/60,6),0)</f>
        <v>0</v>
      </c>
      <c r="BN957" s="80">
        <f>ROUND(BI957-BM957,6)</f>
        <v>0</v>
      </c>
      <c r="BO957" s="80">
        <f>IF(BE957=1,ROUND(AS957/60,6),0)</f>
        <v>0</v>
      </c>
      <c r="BP957" s="80">
        <f>ROUND(BJ957-BO957,6)</f>
        <v>0</v>
      </c>
      <c r="BQ957" s="80">
        <f>IF(BE957=1,AW957,0)</f>
        <v>0</v>
      </c>
      <c r="BR957" s="80">
        <f>IF(BE957=1,AX957,0)</f>
        <v>0</v>
      </c>
      <c r="BS957" s="80">
        <f>IF(AND(BE957=1,D957="Malcolm",BA957&gt;0),MIN(BH957,SUMPRODUCT((R_Emp="proMX")*(R_EN&gt;0)*((R_EN-(R_EN&gt;BR957)*(R_EN-BR957))&gt;(R_SN+(R_SN&lt;BQ957)*(BQ957-R_SN)))*((R_EN-(R_EN&gt;BR957)*(R_EN-BR957))-(R_SN+(R_SN&lt;BQ957)*(BQ957-R_SN))))/60),0)</f>
        <v>0</v>
      </c>
      <c r="BT957" s="80">
        <f>IF(AND(BE957=1,D957="proMX"),ROUND(BI957*CFG_RATE+BJ957*CFG_OTRATE,6),0)</f>
        <v>0</v>
      </c>
      <c r="BU957" s="80">
        <f>IF(AND(BD957=1,D957="proMX"),ROUND(AG957/CFG_BLK,6),0)</f>
        <v>0</v>
      </c>
      <c r="BV957" s="80" t="str">
        <f>IF(BF957="Approved",IF(ISNUMBER(T957),INT(T957),INT(B957)),"")</f>
        <v/>
      </c>
      <c r="BW957" s="80">
        <f>IF(ISNUMBER(B957),IF(DB_MON="Todos",1,IF(AND(INT(B957)&gt;=DB_MS,INT(B957)&lt;=DB_ME),1,0)),0)</f>
        <v>0</v>
      </c>
      <c r="BX957" s="80">
        <f>IF(DB_PROJ="Todos",1,IF(E957&amp;""=DB_PROJ&amp;"",1,0))</f>
        <v>1</v>
      </c>
      <c r="BY957" s="80">
        <f>BW957*BX957</f>
        <v>0</v>
      </c>
      <c r="BZ957" s="80" t="str">
        <f>IF(Y957=1,F957&amp;IF(AND(F957&amp;""&lt;&gt;"",E957&amp;""&lt;&gt;"")," · ","")&amp;E957,"")</f>
        <v/>
      </c>
      <c r="CA957" s="80" t="str">
        <f>IF(AND(BD957=1,E957&amp;""&lt;&gt;""),IF(COUNTIFS($E$5:E956,E957,$BD$5:BD956,1)=0,MAX($CA$5:CA956)+1,""),"")</f>
        <v/>
      </c>
      <c r="CB957" s="80" t="str">
        <f>IF(AND(BE957=1,D957="Malcolm",E957&amp;""&lt;&gt;""),IF(COUNTIFS($D$5:D956,"Malcolm",$E$5:E956,E957,$BE$5:BE956,1)=0,MAX($CB$5:CB956)+1,""),"")</f>
        <v/>
      </c>
      <c r="CC957" s="80" t="str">
        <f>IF(AND(BD957=1,D957="proMX",E957&amp;""&lt;&gt;""),IF(COUNTIFS($D$5:D956,"proMX",$E$5:E956,E957,$BD$5:BD956,1)=0,MAX($CC$5:CC956)+1,""),"")</f>
        <v/>
      </c>
      <c r="CD957" s="80" t="str">
        <f>IF(AND(BE957=1,D957="Malcolm",F957&amp;""&lt;&gt;""),IF(COUNTIFS($D$5:D956,"Malcolm",$F$5:F956,F957,$BE$5:BE956,1)=0,MAX($CD$5:CD956)+1,""),"")</f>
        <v/>
      </c>
      <c r="CE957" s="80" t="str">
        <f>IF(AND(BD957=1,D957="proMX",F957&amp;""&lt;&gt;""),IF(COUNTIFS($D$5:D956,"proMX",$F$5:F956,F957,$BD$5:BD956,1)=0,MAX($CE$5:CE956)+1,""),"")</f>
        <v/>
      </c>
      <c r="CF957" s="80" t="str">
        <f>IF(AND(D957="proMX",BD957=1),IF(OR(BF957="Draft",BF957="Submitted",BF957="Returned",BF957="Recall Requested"),MAX($CF$5:CF956)+1,""),"")</f>
        <v/>
      </c>
      <c r="CG957" s="80">
        <f>IF(BD957=0,0,IF(D957="Malcolm",1,MATCH(BF957,{"Draft","Submitted","Approved","Returned","Recall Requested","Cancelled"},0)+1))</f>
        <v>0</v>
      </c>
      <c r="CH957" s="80">
        <f>IF(AND(BF957="Submitted",ISNUMBER(V957)),IF(V957&gt;CFG_MAXD,1,0),0)</f>
        <v>0</v>
      </c>
    </row>
    <row r="958">
      <c r="A958" s="71" t="str">
        <f>IF(Y958=1,ROW()-5,"")</f>
        <v/>
      </c>
      <c r="B958" s="72" t="n"/>
      <c r="C958" s="71" t="str">
        <f>IF(ISNUMBER(B958),CHOOSE(WEEKDAY(B958,2),"Lun","Mar","Mié","Jue","Vie","Sáb","Dom"),"")</f>
        <v/>
      </c>
      <c r="D958" s="73" t="n"/>
      <c r="E958" s="74" t="n"/>
      <c r="F958" s="74" t="n"/>
      <c r="G958" s="74" t="n"/>
      <c r="H958" s="75" t="n"/>
      <c r="I958" s="75" t="n"/>
      <c r="J958" s="76" t="n"/>
      <c r="K958" s="77" t="str">
        <f>IF(AB958=1,ROUND(AG958/60,4),"")</f>
        <v/>
      </c>
      <c r="L958" s="77" t="str">
        <f>IF(BD958=1,ROUND(AP958/60,4),"")</f>
        <v/>
      </c>
      <c r="M958" s="77" t="str">
        <f>IF(BD958=1,ROUND(AQ958/60,4),"")</f>
        <v/>
      </c>
      <c r="N958" s="71" t="str">
        <f>IF(AND(D958="proMX",AB958=1),ROUND(AG958/CFG_BLK,2),"")</f>
        <v/>
      </c>
      <c r="O958" s="77" t="str">
        <f>IF(D958="proMX",IF(BD958=1,ROUND(AG958/60,4),0),"")</f>
        <v/>
      </c>
      <c r="P958" s="78" t="str">
        <f>IF(Y958=0,"",IF(BD958=1,"OK",IF(D958="proMX","Revisar bloques: ","Revisar: ")&amp;BC958))</f>
        <v/>
      </c>
      <c r="Q958" s="78" t="str">
        <f>IF(NOT(ISNUMBER(B958)),"",IF(COUNTIFS(FER_F,INT(B958))&gt;0,"Feriado"&amp;IF(AH958=1," (laborable)"," (no laborable)"),IF(AH958=1,"Laborable",IF(WEEKDAY(B958,2)&gt;5,"Fin de semana","No laborable"))))</f>
        <v/>
      </c>
      <c r="R958" s="73" t="n"/>
      <c r="S958" s="72" t="n"/>
      <c r="T958" s="72" t="n"/>
      <c r="U958" s="74" t="n"/>
      <c r="V958" s="79" t="str">
        <f>IF(AND(D958="proMX",OR(R958="Submitted",R958="Recall Requested"),ISNUMBER(S958)),CFG_TODAY-INT(S958),"")</f>
        <v/>
      </c>
      <c r="W958" s="78" t="str">
        <f>IF(BD958=0,"",IF(BA958&gt;0,"⚠ Se superpone con un registro de la otra empresa",IF(D958="Malcolm",IF(COUNTA(R958,S958,T958)&gt;0,"Estado/fechas proMX se ignoran en Malcolm",""),IF(BF958="Cancelled","Cancelado: excluido de totales",IF(R958="","Sin estado: se trata como Draft",IF(BF958="Submitted",IF(ISNUMBER(V958),IF(V958&gt;CFG_MAXD,"⚠ "&amp;V958&amp;" días en Submitted (máx. "&amp;CFG_MAXD&amp;")",""),"Falta fecha de envío"),IF(BF958="Returned","⚠ Devuelto: corregir y reenviar",IF(BF958="Recall Requested","Retirada solicitada: pendiente",IF(AND(BF958="Approved",NOT(ISNUMBER(T958))),"Falta fecha de aprobación",IF(AND(ISNUMBER(S958),ISNUMBER(T958),T958&lt;S958),"Aprobación anterior al envío","")))))))))</f>
        <v/>
      </c>
      <c r="Y958" s="80">
        <f>IF(COUNTA(B958,D958,E958,F958,G958,H958,I958,J958,R958,S958,T958)&gt;0,1,0)</f>
        <v>0</v>
      </c>
      <c r="Z958" s="80" t="str">
        <f>IF(AND(ISNUMBER(H958),H958&gt;=0,H958&lt;1),ROUND(H958*1440,0),"")</f>
        <v/>
      </c>
      <c r="AA958" s="80" t="str">
        <f>IF(AND(ISNUMBER(I958),I958&gt;=0,I958&lt;1),ROUND(I958*1440,0),"")</f>
        <v/>
      </c>
      <c r="AB958" s="80">
        <f>IF(AND(ISNUMBER(B958),D958&lt;&gt;"",ISNUMBER(Z958),ISNUMBER(AA958)),IF(Z958=AA958,0,1),0)</f>
        <v>0</v>
      </c>
      <c r="AC958" s="80">
        <f>IF(AB958=1,IF(AA958&lt;Z958,1,0),0)</f>
        <v>0</v>
      </c>
      <c r="AD958" s="80">
        <f>IF(AB958=1,IF(AC958=1,1440-Z958+AA958,AA958-Z958),0)</f>
        <v>0</v>
      </c>
      <c r="AE958" s="80">
        <f>IF(J958="",0,IF(ISNUMBER(J958),J958,-1))</f>
        <v>0</v>
      </c>
      <c r="AF958" s="80">
        <f>MIN(MAX(0,AE958),AD958)</f>
        <v>0</v>
      </c>
      <c r="AG958" s="80">
        <f>MAX(0,AD958-MAX(0,AE958))</f>
        <v>0</v>
      </c>
      <c r="AH958" s="80">
        <f>IF(ISNUMBER(B958),IF(AND(INDEX(CFG_WDAYS,WEEKDAY(INT(B958),2))="Sí",IF(D958="proMX",COUNTIFS(FER_F,INT(B958),FER_NLP,"Sí"),COUNTIFS(FER_F,INT(B958),FER_NLM,"Sí"))=0),1,0),0)</f>
        <v>0</v>
      </c>
      <c r="AI958" s="80">
        <f>IF(AC958=1,IF(AND(INDEX(CFG_WDAYS,WEEKDAY(INT(B958)+1,2))="Sí",IF(D958="proMX",COUNTIFS(FER_F,INT(B958)+1,FER_NLP,"Sí"),COUNTIFS(FER_F,INT(B958)+1,FER_NLM,"Sí"))=0),1,0),0)</f>
        <v>0</v>
      </c>
      <c r="AJ958" s="80">
        <f>IF(AC958=1,1440-Z958,AD958)</f>
        <v>0</v>
      </c>
      <c r="AK958" s="80">
        <f>IF(AND(AB958=1,AH958=1),MAX(0,MIN(IF(AC958=1,1440,AA958),CFG_WEM)-MAX(Z958,CFG_WSM)),0)</f>
        <v>0</v>
      </c>
      <c r="AL958" s="80">
        <f>IF(AND(AC958=1,AI958=1),MAX(0,MIN(AA958,CFG_WEM)-CFG_WSM),0)</f>
        <v>0</v>
      </c>
      <c r="AM958" s="80">
        <f>AK958+AL958</f>
        <v>0</v>
      </c>
      <c r="AN958" s="80">
        <f>IF(CFG_BRK="Proporcional",IF(AD958=0,0,AF958*AM958/AD958),IF(CFG_BRK="Extras primero",MIN(AM958,MAX(0,AF958-(AD958-AM958))),MIN(AF958,AM958)))</f>
        <v>0</v>
      </c>
      <c r="AO958" s="80">
        <f>AF958-AN958</f>
        <v>0</v>
      </c>
      <c r="AP958" s="80">
        <f>AM958-AN958</f>
        <v>0</v>
      </c>
      <c r="AQ958" s="80">
        <f>AD958-AM958-AO958</f>
        <v>0</v>
      </c>
      <c r="AR958" s="80">
        <f>IF(AM958=0,0,AK958-AN958*AK958/AM958)</f>
        <v>0</v>
      </c>
      <c r="AS958" s="80">
        <f>IF(AD958-AM958=0,0,(AJ958-AK958)-AO958*(AJ958-AK958)/(AD958-AM958))</f>
        <v>0</v>
      </c>
      <c r="AT958" s="80" t="str">
        <f>IF(AC958=1,INT(B958)+1,"")</f>
        <v/>
      </c>
      <c r="AU958" s="80">
        <f>IF(AND(D958="proMX",R958="Cancelled"),0,1)</f>
        <v>1</v>
      </c>
      <c r="AV958" s="80">
        <f>IF(AND(AB958=1,AU958=1),IF(COUNTIFS($D$5:D957,D958,$B$5:B957,B958,$Z$5:Z957,Z958,$AA$5:AA957,AA958,$F$5:F957,F958&amp;"",$AU$5:AU957,1)&gt;0,1,0),0)</f>
        <v>0</v>
      </c>
      <c r="AW958" s="80" t="str">
        <f>IF(AB958=1,INT(B958)*1440+Z958,"")</f>
        <v/>
      </c>
      <c r="AX958" s="80" t="str">
        <f>IF(AB958=1,AW958+AD958,"")</f>
        <v/>
      </c>
      <c r="AY958" s="80">
        <f>IF(AND(AB958=1,AV958=0,AU958=1),1,0)</f>
        <v>0</v>
      </c>
      <c r="AZ958" s="80">
        <f>IF(AY958=1,COUNTIFS(R_Emp,D958,R_SAbs,"&lt;"&amp;AX958,R_EAbs,"&gt;"&amp;AW958,R_OKey,1)-1,0)</f>
        <v>0</v>
      </c>
      <c r="BA958" s="80">
        <f>IF(AY958=1,COUNTIFS(R_Emp,"&lt;&gt;"&amp;D958,R_SAbs,"&lt;"&amp;AX958,R_EAbs,"&gt;"&amp;AW958,R_OKey,1),0)</f>
        <v>0</v>
      </c>
      <c r="BB958" s="80">
        <f>IF(AND(AB958=1,D958="proMX"),IF(AND(MOD(Z958,CFG_BLK)=0,MOD(AA958,CFG_BLK)=0,MOD(AG958,CFG_BLK)=0,AG958&gt;0),1,0),1)</f>
        <v>1</v>
      </c>
      <c r="BC958" s="80" t="str">
        <f>IF(Y958=0,"",IF(NOT(ISNUMBER(B958)),"Falta fecha o fecha inválida",IF(D958="","Falta empresa",IF(AND(D958&lt;&gt;"Malcolm",D958&lt;&gt;"proMX"),"Empresa inválida",IF(OR(INT(B958)&lt;CFG_PSTART,INT(B958)&gt;CFG_PEND),"Fecha fuera del período",IF(OR(NOT(ISNUMBER(Z958)),NOT(ISNUMBER(AA958))),"Falta hora inicio/fin o formato inválido",IF(AB958=0,"Hora inicio = hora fin",IF(AE958&lt;0,"Descanso inválido",IF(AE958&gt;=AD958,"Descanso ≥ duración",IF(AV958=1,"Registro duplicado",IF(AZ958&gt;0,"Se superpone con otro registro "&amp;D958,IF(BB958=0,"inicio, fin y duración neta deben ser múltiplos de "&amp;CFG_BLK&amp;" min",""))))))))))))</f>
        <v/>
      </c>
      <c r="BD958" s="80">
        <f>IF(AND(Y958=1,BC958=""),1,0)</f>
        <v>0</v>
      </c>
      <c r="BE958" s="80">
        <f>IF(AND(BD958=1,AU958=1),1,0)</f>
        <v>0</v>
      </c>
      <c r="BF958" s="80" t="str">
        <f>IF(AND(D958="proMX",BD958=1),IF(R958="","Draft",R958),"")</f>
        <v/>
      </c>
      <c r="BG958" s="80">
        <f>IF(BD958=1,ROUND(AG958/60,6),0)</f>
        <v>0</v>
      </c>
      <c r="BH958" s="80">
        <f>IF(BE958=1,ROUND(AG958/60,6),0)</f>
        <v>0</v>
      </c>
      <c r="BI958" s="80">
        <f>IF(BE958=1,ROUND(AP958/60,6),0)</f>
        <v>0</v>
      </c>
      <c r="BJ958" s="80">
        <f>IF(BE958=1,ROUND(AQ958/60,6),0)</f>
        <v>0</v>
      </c>
      <c r="BK958" s="80">
        <f>IF(BE958=1,ROUND((AR958+AS958)/60,6),0)</f>
        <v>0</v>
      </c>
      <c r="BL958" s="80">
        <f>ROUND(BH958-BK958,6)</f>
        <v>0</v>
      </c>
      <c r="BM958" s="80">
        <f>IF(BE958=1,ROUND(AR958/60,6),0)</f>
        <v>0</v>
      </c>
      <c r="BN958" s="80">
        <f>ROUND(BI958-BM958,6)</f>
        <v>0</v>
      </c>
      <c r="BO958" s="80">
        <f>IF(BE958=1,ROUND(AS958/60,6),0)</f>
        <v>0</v>
      </c>
      <c r="BP958" s="80">
        <f>ROUND(BJ958-BO958,6)</f>
        <v>0</v>
      </c>
      <c r="BQ958" s="80">
        <f>IF(BE958=1,AW958,0)</f>
        <v>0</v>
      </c>
      <c r="BR958" s="80">
        <f>IF(BE958=1,AX958,0)</f>
        <v>0</v>
      </c>
      <c r="BS958" s="80">
        <f>IF(AND(BE958=1,D958="Malcolm",BA958&gt;0),MIN(BH958,SUMPRODUCT((R_Emp="proMX")*(R_EN&gt;0)*((R_EN-(R_EN&gt;BR958)*(R_EN-BR958))&gt;(R_SN+(R_SN&lt;BQ958)*(BQ958-R_SN)))*((R_EN-(R_EN&gt;BR958)*(R_EN-BR958))-(R_SN+(R_SN&lt;BQ958)*(BQ958-R_SN))))/60),0)</f>
        <v>0</v>
      </c>
      <c r="BT958" s="80">
        <f>IF(AND(BE958=1,D958="proMX"),ROUND(BI958*CFG_RATE+BJ958*CFG_OTRATE,6),0)</f>
        <v>0</v>
      </c>
      <c r="BU958" s="80">
        <f>IF(AND(BD958=1,D958="proMX"),ROUND(AG958/CFG_BLK,6),0)</f>
        <v>0</v>
      </c>
      <c r="BV958" s="80" t="str">
        <f>IF(BF958="Approved",IF(ISNUMBER(T958),INT(T958),INT(B958)),"")</f>
        <v/>
      </c>
      <c r="BW958" s="80">
        <f>IF(ISNUMBER(B958),IF(DB_MON="Todos",1,IF(AND(INT(B958)&gt;=DB_MS,INT(B958)&lt;=DB_ME),1,0)),0)</f>
        <v>0</v>
      </c>
      <c r="BX958" s="80">
        <f>IF(DB_PROJ="Todos",1,IF(E958&amp;""=DB_PROJ&amp;"",1,0))</f>
        <v>1</v>
      </c>
      <c r="BY958" s="80">
        <f>BW958*BX958</f>
        <v>0</v>
      </c>
      <c r="BZ958" s="80" t="str">
        <f>IF(Y958=1,F958&amp;IF(AND(F958&amp;""&lt;&gt;"",E958&amp;""&lt;&gt;"")," · ","")&amp;E958,"")</f>
        <v/>
      </c>
      <c r="CA958" s="80" t="str">
        <f>IF(AND(BD958=1,E958&amp;""&lt;&gt;""),IF(COUNTIFS($E$5:E957,E958,$BD$5:BD957,1)=0,MAX($CA$5:CA957)+1,""),"")</f>
        <v/>
      </c>
      <c r="CB958" s="80" t="str">
        <f>IF(AND(BE958=1,D958="Malcolm",E958&amp;""&lt;&gt;""),IF(COUNTIFS($D$5:D957,"Malcolm",$E$5:E957,E958,$BE$5:BE957,1)=0,MAX($CB$5:CB957)+1,""),"")</f>
        <v/>
      </c>
      <c r="CC958" s="80" t="str">
        <f>IF(AND(BD958=1,D958="proMX",E958&amp;""&lt;&gt;""),IF(COUNTIFS($D$5:D957,"proMX",$E$5:E957,E958,$BD$5:BD957,1)=0,MAX($CC$5:CC957)+1,""),"")</f>
        <v/>
      </c>
      <c r="CD958" s="80" t="str">
        <f>IF(AND(BE958=1,D958="Malcolm",F958&amp;""&lt;&gt;""),IF(COUNTIFS($D$5:D957,"Malcolm",$F$5:F957,F958,$BE$5:BE957,1)=0,MAX($CD$5:CD957)+1,""),"")</f>
        <v/>
      </c>
      <c r="CE958" s="80" t="str">
        <f>IF(AND(BD958=1,D958="proMX",F958&amp;""&lt;&gt;""),IF(COUNTIFS($D$5:D957,"proMX",$F$5:F957,F958,$BD$5:BD957,1)=0,MAX($CE$5:CE957)+1,""),"")</f>
        <v/>
      </c>
      <c r="CF958" s="80" t="str">
        <f>IF(AND(D958="proMX",BD958=1),IF(OR(BF958="Draft",BF958="Submitted",BF958="Returned",BF958="Recall Requested"),MAX($CF$5:CF957)+1,""),"")</f>
        <v/>
      </c>
      <c r="CG958" s="80">
        <f>IF(BD958=0,0,IF(D958="Malcolm",1,MATCH(BF958,{"Draft","Submitted","Approved","Returned","Recall Requested","Cancelled"},0)+1))</f>
        <v>0</v>
      </c>
      <c r="CH958" s="80">
        <f>IF(AND(BF958="Submitted",ISNUMBER(V958)),IF(V958&gt;CFG_MAXD,1,0),0)</f>
        <v>0</v>
      </c>
    </row>
    <row r="959">
      <c r="A959" s="71" t="str">
        <f>IF(Y959=1,ROW()-5,"")</f>
        <v/>
      </c>
      <c r="B959" s="72" t="n"/>
      <c r="C959" s="71" t="str">
        <f>IF(ISNUMBER(B959),CHOOSE(WEEKDAY(B959,2),"Lun","Mar","Mié","Jue","Vie","Sáb","Dom"),"")</f>
        <v/>
      </c>
      <c r="D959" s="73" t="n"/>
      <c r="E959" s="74" t="n"/>
      <c r="F959" s="74" t="n"/>
      <c r="G959" s="74" t="n"/>
      <c r="H959" s="75" t="n"/>
      <c r="I959" s="75" t="n"/>
      <c r="J959" s="76" t="n"/>
      <c r="K959" s="77" t="str">
        <f>IF(AB959=1,ROUND(AG959/60,4),"")</f>
        <v/>
      </c>
      <c r="L959" s="77" t="str">
        <f>IF(BD959=1,ROUND(AP959/60,4),"")</f>
        <v/>
      </c>
      <c r="M959" s="77" t="str">
        <f>IF(BD959=1,ROUND(AQ959/60,4),"")</f>
        <v/>
      </c>
      <c r="N959" s="71" t="str">
        <f>IF(AND(D959="proMX",AB959=1),ROUND(AG959/CFG_BLK,2),"")</f>
        <v/>
      </c>
      <c r="O959" s="77" t="str">
        <f>IF(D959="proMX",IF(BD959=1,ROUND(AG959/60,4),0),"")</f>
        <v/>
      </c>
      <c r="P959" s="78" t="str">
        <f>IF(Y959=0,"",IF(BD959=1,"OK",IF(D959="proMX","Revisar bloques: ","Revisar: ")&amp;BC959))</f>
        <v/>
      </c>
      <c r="Q959" s="78" t="str">
        <f>IF(NOT(ISNUMBER(B959)),"",IF(COUNTIFS(FER_F,INT(B959))&gt;0,"Feriado"&amp;IF(AH959=1," (laborable)"," (no laborable)"),IF(AH959=1,"Laborable",IF(WEEKDAY(B959,2)&gt;5,"Fin de semana","No laborable"))))</f>
        <v/>
      </c>
      <c r="R959" s="73" t="n"/>
      <c r="S959" s="72" t="n"/>
      <c r="T959" s="72" t="n"/>
      <c r="U959" s="74" t="n"/>
      <c r="V959" s="79" t="str">
        <f>IF(AND(D959="proMX",OR(R959="Submitted",R959="Recall Requested"),ISNUMBER(S959)),CFG_TODAY-INT(S959),"")</f>
        <v/>
      </c>
      <c r="W959" s="78" t="str">
        <f>IF(BD959=0,"",IF(BA959&gt;0,"⚠ Se superpone con un registro de la otra empresa",IF(D959="Malcolm",IF(COUNTA(R959,S959,T959)&gt;0,"Estado/fechas proMX se ignoran en Malcolm",""),IF(BF959="Cancelled","Cancelado: excluido de totales",IF(R959="","Sin estado: se trata como Draft",IF(BF959="Submitted",IF(ISNUMBER(V959),IF(V959&gt;CFG_MAXD,"⚠ "&amp;V959&amp;" días en Submitted (máx. "&amp;CFG_MAXD&amp;")",""),"Falta fecha de envío"),IF(BF959="Returned","⚠ Devuelto: corregir y reenviar",IF(BF959="Recall Requested","Retirada solicitada: pendiente",IF(AND(BF959="Approved",NOT(ISNUMBER(T959))),"Falta fecha de aprobación",IF(AND(ISNUMBER(S959),ISNUMBER(T959),T959&lt;S959),"Aprobación anterior al envío","")))))))))</f>
        <v/>
      </c>
      <c r="Y959" s="80">
        <f>IF(COUNTA(B959,D959,E959,F959,G959,H959,I959,J959,R959,S959,T959)&gt;0,1,0)</f>
        <v>0</v>
      </c>
      <c r="Z959" s="80" t="str">
        <f>IF(AND(ISNUMBER(H959),H959&gt;=0,H959&lt;1),ROUND(H959*1440,0),"")</f>
        <v/>
      </c>
      <c r="AA959" s="80" t="str">
        <f>IF(AND(ISNUMBER(I959),I959&gt;=0,I959&lt;1),ROUND(I959*1440,0),"")</f>
        <v/>
      </c>
      <c r="AB959" s="80">
        <f>IF(AND(ISNUMBER(B959),D959&lt;&gt;"",ISNUMBER(Z959),ISNUMBER(AA959)),IF(Z959=AA959,0,1),0)</f>
        <v>0</v>
      </c>
      <c r="AC959" s="80">
        <f>IF(AB959=1,IF(AA959&lt;Z959,1,0),0)</f>
        <v>0</v>
      </c>
      <c r="AD959" s="80">
        <f>IF(AB959=1,IF(AC959=1,1440-Z959+AA959,AA959-Z959),0)</f>
        <v>0</v>
      </c>
      <c r="AE959" s="80">
        <f>IF(J959="",0,IF(ISNUMBER(J959),J959,-1))</f>
        <v>0</v>
      </c>
      <c r="AF959" s="80">
        <f>MIN(MAX(0,AE959),AD959)</f>
        <v>0</v>
      </c>
      <c r="AG959" s="80">
        <f>MAX(0,AD959-MAX(0,AE959))</f>
        <v>0</v>
      </c>
      <c r="AH959" s="80">
        <f>IF(ISNUMBER(B959),IF(AND(INDEX(CFG_WDAYS,WEEKDAY(INT(B959),2))="Sí",IF(D959="proMX",COUNTIFS(FER_F,INT(B959),FER_NLP,"Sí"),COUNTIFS(FER_F,INT(B959),FER_NLM,"Sí"))=0),1,0),0)</f>
        <v>0</v>
      </c>
      <c r="AI959" s="80">
        <f>IF(AC959=1,IF(AND(INDEX(CFG_WDAYS,WEEKDAY(INT(B959)+1,2))="Sí",IF(D959="proMX",COUNTIFS(FER_F,INT(B959)+1,FER_NLP,"Sí"),COUNTIFS(FER_F,INT(B959)+1,FER_NLM,"Sí"))=0),1,0),0)</f>
        <v>0</v>
      </c>
      <c r="AJ959" s="80">
        <f>IF(AC959=1,1440-Z959,AD959)</f>
        <v>0</v>
      </c>
      <c r="AK959" s="80">
        <f>IF(AND(AB959=1,AH959=1),MAX(0,MIN(IF(AC959=1,1440,AA959),CFG_WEM)-MAX(Z959,CFG_WSM)),0)</f>
        <v>0</v>
      </c>
      <c r="AL959" s="80">
        <f>IF(AND(AC959=1,AI959=1),MAX(0,MIN(AA959,CFG_WEM)-CFG_WSM),0)</f>
        <v>0</v>
      </c>
      <c r="AM959" s="80">
        <f>AK959+AL959</f>
        <v>0</v>
      </c>
      <c r="AN959" s="80">
        <f>IF(CFG_BRK="Proporcional",IF(AD959=0,0,AF959*AM959/AD959),IF(CFG_BRK="Extras primero",MIN(AM959,MAX(0,AF959-(AD959-AM959))),MIN(AF959,AM959)))</f>
        <v>0</v>
      </c>
      <c r="AO959" s="80">
        <f>AF959-AN959</f>
        <v>0</v>
      </c>
      <c r="AP959" s="80">
        <f>AM959-AN959</f>
        <v>0</v>
      </c>
      <c r="AQ959" s="80">
        <f>AD959-AM959-AO959</f>
        <v>0</v>
      </c>
      <c r="AR959" s="80">
        <f>IF(AM959=0,0,AK959-AN959*AK959/AM959)</f>
        <v>0</v>
      </c>
      <c r="AS959" s="80">
        <f>IF(AD959-AM959=0,0,(AJ959-AK959)-AO959*(AJ959-AK959)/(AD959-AM959))</f>
        <v>0</v>
      </c>
      <c r="AT959" s="80" t="str">
        <f>IF(AC959=1,INT(B959)+1,"")</f>
        <v/>
      </c>
      <c r="AU959" s="80">
        <f>IF(AND(D959="proMX",R959="Cancelled"),0,1)</f>
        <v>1</v>
      </c>
      <c r="AV959" s="80">
        <f>IF(AND(AB959=1,AU959=1),IF(COUNTIFS($D$5:D958,D959,$B$5:B958,B959,$Z$5:Z958,Z959,$AA$5:AA958,AA959,$F$5:F958,F959&amp;"",$AU$5:AU958,1)&gt;0,1,0),0)</f>
        <v>0</v>
      </c>
      <c r="AW959" s="80" t="str">
        <f>IF(AB959=1,INT(B959)*1440+Z959,"")</f>
        <v/>
      </c>
      <c r="AX959" s="80" t="str">
        <f>IF(AB959=1,AW959+AD959,"")</f>
        <v/>
      </c>
      <c r="AY959" s="80">
        <f>IF(AND(AB959=1,AV959=0,AU959=1),1,0)</f>
        <v>0</v>
      </c>
      <c r="AZ959" s="80">
        <f>IF(AY959=1,COUNTIFS(R_Emp,D959,R_SAbs,"&lt;"&amp;AX959,R_EAbs,"&gt;"&amp;AW959,R_OKey,1)-1,0)</f>
        <v>0</v>
      </c>
      <c r="BA959" s="80">
        <f>IF(AY959=1,COUNTIFS(R_Emp,"&lt;&gt;"&amp;D959,R_SAbs,"&lt;"&amp;AX959,R_EAbs,"&gt;"&amp;AW959,R_OKey,1),0)</f>
        <v>0</v>
      </c>
      <c r="BB959" s="80">
        <f>IF(AND(AB959=1,D959="proMX"),IF(AND(MOD(Z959,CFG_BLK)=0,MOD(AA959,CFG_BLK)=0,MOD(AG959,CFG_BLK)=0,AG959&gt;0),1,0),1)</f>
        <v>1</v>
      </c>
      <c r="BC959" s="80" t="str">
        <f>IF(Y959=0,"",IF(NOT(ISNUMBER(B959)),"Falta fecha o fecha inválida",IF(D959="","Falta empresa",IF(AND(D959&lt;&gt;"Malcolm",D959&lt;&gt;"proMX"),"Empresa inválida",IF(OR(INT(B959)&lt;CFG_PSTART,INT(B959)&gt;CFG_PEND),"Fecha fuera del período",IF(OR(NOT(ISNUMBER(Z959)),NOT(ISNUMBER(AA959))),"Falta hora inicio/fin o formato inválido",IF(AB959=0,"Hora inicio = hora fin",IF(AE959&lt;0,"Descanso inválido",IF(AE959&gt;=AD959,"Descanso ≥ duración",IF(AV959=1,"Registro duplicado",IF(AZ959&gt;0,"Se superpone con otro registro "&amp;D959,IF(BB959=0,"inicio, fin y duración neta deben ser múltiplos de "&amp;CFG_BLK&amp;" min",""))))))))))))</f>
        <v/>
      </c>
      <c r="BD959" s="80">
        <f>IF(AND(Y959=1,BC959=""),1,0)</f>
        <v>0</v>
      </c>
      <c r="BE959" s="80">
        <f>IF(AND(BD959=1,AU959=1),1,0)</f>
        <v>0</v>
      </c>
      <c r="BF959" s="80" t="str">
        <f>IF(AND(D959="proMX",BD959=1),IF(R959="","Draft",R959),"")</f>
        <v/>
      </c>
      <c r="BG959" s="80">
        <f>IF(BD959=1,ROUND(AG959/60,6),0)</f>
        <v>0</v>
      </c>
      <c r="BH959" s="80">
        <f>IF(BE959=1,ROUND(AG959/60,6),0)</f>
        <v>0</v>
      </c>
      <c r="BI959" s="80">
        <f>IF(BE959=1,ROUND(AP959/60,6),0)</f>
        <v>0</v>
      </c>
      <c r="BJ959" s="80">
        <f>IF(BE959=1,ROUND(AQ959/60,6),0)</f>
        <v>0</v>
      </c>
      <c r="BK959" s="80">
        <f>IF(BE959=1,ROUND((AR959+AS959)/60,6),0)</f>
        <v>0</v>
      </c>
      <c r="BL959" s="80">
        <f>ROUND(BH959-BK959,6)</f>
        <v>0</v>
      </c>
      <c r="BM959" s="80">
        <f>IF(BE959=1,ROUND(AR959/60,6),0)</f>
        <v>0</v>
      </c>
      <c r="BN959" s="80">
        <f>ROUND(BI959-BM959,6)</f>
        <v>0</v>
      </c>
      <c r="BO959" s="80">
        <f>IF(BE959=1,ROUND(AS959/60,6),0)</f>
        <v>0</v>
      </c>
      <c r="BP959" s="80">
        <f>ROUND(BJ959-BO959,6)</f>
        <v>0</v>
      </c>
      <c r="BQ959" s="80">
        <f>IF(BE959=1,AW959,0)</f>
        <v>0</v>
      </c>
      <c r="BR959" s="80">
        <f>IF(BE959=1,AX959,0)</f>
        <v>0</v>
      </c>
      <c r="BS959" s="80">
        <f>IF(AND(BE959=1,D959="Malcolm",BA959&gt;0),MIN(BH959,SUMPRODUCT((R_Emp="proMX")*(R_EN&gt;0)*((R_EN-(R_EN&gt;BR959)*(R_EN-BR959))&gt;(R_SN+(R_SN&lt;BQ959)*(BQ959-R_SN)))*((R_EN-(R_EN&gt;BR959)*(R_EN-BR959))-(R_SN+(R_SN&lt;BQ959)*(BQ959-R_SN))))/60),0)</f>
        <v>0</v>
      </c>
      <c r="BT959" s="80">
        <f>IF(AND(BE959=1,D959="proMX"),ROUND(BI959*CFG_RATE+BJ959*CFG_OTRATE,6),0)</f>
        <v>0</v>
      </c>
      <c r="BU959" s="80">
        <f>IF(AND(BD959=1,D959="proMX"),ROUND(AG959/CFG_BLK,6),0)</f>
        <v>0</v>
      </c>
      <c r="BV959" s="80" t="str">
        <f>IF(BF959="Approved",IF(ISNUMBER(T959),INT(T959),INT(B959)),"")</f>
        <v/>
      </c>
      <c r="BW959" s="80">
        <f>IF(ISNUMBER(B959),IF(DB_MON="Todos",1,IF(AND(INT(B959)&gt;=DB_MS,INT(B959)&lt;=DB_ME),1,0)),0)</f>
        <v>0</v>
      </c>
      <c r="BX959" s="80">
        <f>IF(DB_PROJ="Todos",1,IF(E959&amp;""=DB_PROJ&amp;"",1,0))</f>
        <v>1</v>
      </c>
      <c r="BY959" s="80">
        <f>BW959*BX959</f>
        <v>0</v>
      </c>
      <c r="BZ959" s="80" t="str">
        <f>IF(Y959=1,F959&amp;IF(AND(F959&amp;""&lt;&gt;"",E959&amp;""&lt;&gt;"")," · ","")&amp;E959,"")</f>
        <v/>
      </c>
      <c r="CA959" s="80" t="str">
        <f>IF(AND(BD959=1,E959&amp;""&lt;&gt;""),IF(COUNTIFS($E$5:E958,E959,$BD$5:BD958,1)=0,MAX($CA$5:CA958)+1,""),"")</f>
        <v/>
      </c>
      <c r="CB959" s="80" t="str">
        <f>IF(AND(BE959=1,D959="Malcolm",E959&amp;""&lt;&gt;""),IF(COUNTIFS($D$5:D958,"Malcolm",$E$5:E958,E959,$BE$5:BE958,1)=0,MAX($CB$5:CB958)+1,""),"")</f>
        <v/>
      </c>
      <c r="CC959" s="80" t="str">
        <f>IF(AND(BD959=1,D959="proMX",E959&amp;""&lt;&gt;""),IF(COUNTIFS($D$5:D958,"proMX",$E$5:E958,E959,$BD$5:BD958,1)=0,MAX($CC$5:CC958)+1,""),"")</f>
        <v/>
      </c>
      <c r="CD959" s="80" t="str">
        <f>IF(AND(BE959=1,D959="Malcolm",F959&amp;""&lt;&gt;""),IF(COUNTIFS($D$5:D958,"Malcolm",$F$5:F958,F959,$BE$5:BE958,1)=0,MAX($CD$5:CD958)+1,""),"")</f>
        <v/>
      </c>
      <c r="CE959" s="80" t="str">
        <f>IF(AND(BD959=1,D959="proMX",F959&amp;""&lt;&gt;""),IF(COUNTIFS($D$5:D958,"proMX",$F$5:F958,F959,$BD$5:BD958,1)=0,MAX($CE$5:CE958)+1,""),"")</f>
        <v/>
      </c>
      <c r="CF959" s="80" t="str">
        <f>IF(AND(D959="proMX",BD959=1),IF(OR(BF959="Draft",BF959="Submitted",BF959="Returned",BF959="Recall Requested"),MAX($CF$5:CF958)+1,""),"")</f>
        <v/>
      </c>
      <c r="CG959" s="80">
        <f>IF(BD959=0,0,IF(D959="Malcolm",1,MATCH(BF959,{"Draft","Submitted","Approved","Returned","Recall Requested","Cancelled"},0)+1))</f>
        <v>0</v>
      </c>
      <c r="CH959" s="80">
        <f>IF(AND(BF959="Submitted",ISNUMBER(V959)),IF(V959&gt;CFG_MAXD,1,0),0)</f>
        <v>0</v>
      </c>
    </row>
    <row r="960">
      <c r="A960" s="71" t="str">
        <f>IF(Y960=1,ROW()-5,"")</f>
        <v/>
      </c>
      <c r="B960" s="72" t="n"/>
      <c r="C960" s="71" t="str">
        <f>IF(ISNUMBER(B960),CHOOSE(WEEKDAY(B960,2),"Lun","Mar","Mié","Jue","Vie","Sáb","Dom"),"")</f>
        <v/>
      </c>
      <c r="D960" s="73" t="n"/>
      <c r="E960" s="74" t="n"/>
      <c r="F960" s="74" t="n"/>
      <c r="G960" s="74" t="n"/>
      <c r="H960" s="75" t="n"/>
      <c r="I960" s="75" t="n"/>
      <c r="J960" s="76" t="n"/>
      <c r="K960" s="77" t="str">
        <f>IF(AB960=1,ROUND(AG960/60,4),"")</f>
        <v/>
      </c>
      <c r="L960" s="77" t="str">
        <f>IF(BD960=1,ROUND(AP960/60,4),"")</f>
        <v/>
      </c>
      <c r="M960" s="77" t="str">
        <f>IF(BD960=1,ROUND(AQ960/60,4),"")</f>
        <v/>
      </c>
      <c r="N960" s="71" t="str">
        <f>IF(AND(D960="proMX",AB960=1),ROUND(AG960/CFG_BLK,2),"")</f>
        <v/>
      </c>
      <c r="O960" s="77" t="str">
        <f>IF(D960="proMX",IF(BD960=1,ROUND(AG960/60,4),0),"")</f>
        <v/>
      </c>
      <c r="P960" s="78" t="str">
        <f>IF(Y960=0,"",IF(BD960=1,"OK",IF(D960="proMX","Revisar bloques: ","Revisar: ")&amp;BC960))</f>
        <v/>
      </c>
      <c r="Q960" s="78" t="str">
        <f>IF(NOT(ISNUMBER(B960)),"",IF(COUNTIFS(FER_F,INT(B960))&gt;0,"Feriado"&amp;IF(AH960=1," (laborable)"," (no laborable)"),IF(AH960=1,"Laborable",IF(WEEKDAY(B960,2)&gt;5,"Fin de semana","No laborable"))))</f>
        <v/>
      </c>
      <c r="R960" s="73" t="n"/>
      <c r="S960" s="72" t="n"/>
      <c r="T960" s="72" t="n"/>
      <c r="U960" s="74" t="n"/>
      <c r="V960" s="79" t="str">
        <f>IF(AND(D960="proMX",OR(R960="Submitted",R960="Recall Requested"),ISNUMBER(S960)),CFG_TODAY-INT(S960),"")</f>
        <v/>
      </c>
      <c r="W960" s="78" t="str">
        <f>IF(BD960=0,"",IF(BA960&gt;0,"⚠ Se superpone con un registro de la otra empresa",IF(D960="Malcolm",IF(COUNTA(R960,S960,T960)&gt;0,"Estado/fechas proMX se ignoran en Malcolm",""),IF(BF960="Cancelled","Cancelado: excluido de totales",IF(R960="","Sin estado: se trata como Draft",IF(BF960="Submitted",IF(ISNUMBER(V960),IF(V960&gt;CFG_MAXD,"⚠ "&amp;V960&amp;" días en Submitted (máx. "&amp;CFG_MAXD&amp;")",""),"Falta fecha de envío"),IF(BF960="Returned","⚠ Devuelto: corregir y reenviar",IF(BF960="Recall Requested","Retirada solicitada: pendiente",IF(AND(BF960="Approved",NOT(ISNUMBER(T960))),"Falta fecha de aprobación",IF(AND(ISNUMBER(S960),ISNUMBER(T960),T960&lt;S960),"Aprobación anterior al envío","")))))))))</f>
        <v/>
      </c>
      <c r="Y960" s="80">
        <f>IF(COUNTA(B960,D960,E960,F960,G960,H960,I960,J960,R960,S960,T960)&gt;0,1,0)</f>
        <v>0</v>
      </c>
      <c r="Z960" s="80" t="str">
        <f>IF(AND(ISNUMBER(H960),H960&gt;=0,H960&lt;1),ROUND(H960*1440,0),"")</f>
        <v/>
      </c>
      <c r="AA960" s="80" t="str">
        <f>IF(AND(ISNUMBER(I960),I960&gt;=0,I960&lt;1),ROUND(I960*1440,0),"")</f>
        <v/>
      </c>
      <c r="AB960" s="80">
        <f>IF(AND(ISNUMBER(B960),D960&lt;&gt;"",ISNUMBER(Z960),ISNUMBER(AA960)),IF(Z960=AA960,0,1),0)</f>
        <v>0</v>
      </c>
      <c r="AC960" s="80">
        <f>IF(AB960=1,IF(AA960&lt;Z960,1,0),0)</f>
        <v>0</v>
      </c>
      <c r="AD960" s="80">
        <f>IF(AB960=1,IF(AC960=1,1440-Z960+AA960,AA960-Z960),0)</f>
        <v>0</v>
      </c>
      <c r="AE960" s="80">
        <f>IF(J960="",0,IF(ISNUMBER(J960),J960,-1))</f>
        <v>0</v>
      </c>
      <c r="AF960" s="80">
        <f>MIN(MAX(0,AE960),AD960)</f>
        <v>0</v>
      </c>
      <c r="AG960" s="80">
        <f>MAX(0,AD960-MAX(0,AE960))</f>
        <v>0</v>
      </c>
      <c r="AH960" s="80">
        <f>IF(ISNUMBER(B960),IF(AND(INDEX(CFG_WDAYS,WEEKDAY(INT(B960),2))="Sí",IF(D960="proMX",COUNTIFS(FER_F,INT(B960),FER_NLP,"Sí"),COUNTIFS(FER_F,INT(B960),FER_NLM,"Sí"))=0),1,0),0)</f>
        <v>0</v>
      </c>
      <c r="AI960" s="80">
        <f>IF(AC960=1,IF(AND(INDEX(CFG_WDAYS,WEEKDAY(INT(B960)+1,2))="Sí",IF(D960="proMX",COUNTIFS(FER_F,INT(B960)+1,FER_NLP,"Sí"),COUNTIFS(FER_F,INT(B960)+1,FER_NLM,"Sí"))=0),1,0),0)</f>
        <v>0</v>
      </c>
      <c r="AJ960" s="80">
        <f>IF(AC960=1,1440-Z960,AD960)</f>
        <v>0</v>
      </c>
      <c r="AK960" s="80">
        <f>IF(AND(AB960=1,AH960=1),MAX(0,MIN(IF(AC960=1,1440,AA960),CFG_WEM)-MAX(Z960,CFG_WSM)),0)</f>
        <v>0</v>
      </c>
      <c r="AL960" s="80">
        <f>IF(AND(AC960=1,AI960=1),MAX(0,MIN(AA960,CFG_WEM)-CFG_WSM),0)</f>
        <v>0</v>
      </c>
      <c r="AM960" s="80">
        <f>AK960+AL960</f>
        <v>0</v>
      </c>
      <c r="AN960" s="80">
        <f>IF(CFG_BRK="Proporcional",IF(AD960=0,0,AF960*AM960/AD960),IF(CFG_BRK="Extras primero",MIN(AM960,MAX(0,AF960-(AD960-AM960))),MIN(AF960,AM960)))</f>
        <v>0</v>
      </c>
      <c r="AO960" s="80">
        <f>AF960-AN960</f>
        <v>0</v>
      </c>
      <c r="AP960" s="80">
        <f>AM960-AN960</f>
        <v>0</v>
      </c>
      <c r="AQ960" s="80">
        <f>AD960-AM960-AO960</f>
        <v>0</v>
      </c>
      <c r="AR960" s="80">
        <f>IF(AM960=0,0,AK960-AN960*AK960/AM960)</f>
        <v>0</v>
      </c>
      <c r="AS960" s="80">
        <f>IF(AD960-AM960=0,0,(AJ960-AK960)-AO960*(AJ960-AK960)/(AD960-AM960))</f>
        <v>0</v>
      </c>
      <c r="AT960" s="80" t="str">
        <f>IF(AC960=1,INT(B960)+1,"")</f>
        <v/>
      </c>
      <c r="AU960" s="80">
        <f>IF(AND(D960="proMX",R960="Cancelled"),0,1)</f>
        <v>1</v>
      </c>
      <c r="AV960" s="80">
        <f>IF(AND(AB960=1,AU960=1),IF(COUNTIFS($D$5:D959,D960,$B$5:B959,B960,$Z$5:Z959,Z960,$AA$5:AA959,AA960,$F$5:F959,F960&amp;"",$AU$5:AU959,1)&gt;0,1,0),0)</f>
        <v>0</v>
      </c>
      <c r="AW960" s="80" t="str">
        <f>IF(AB960=1,INT(B960)*1440+Z960,"")</f>
        <v/>
      </c>
      <c r="AX960" s="80" t="str">
        <f>IF(AB960=1,AW960+AD960,"")</f>
        <v/>
      </c>
      <c r="AY960" s="80">
        <f>IF(AND(AB960=1,AV960=0,AU960=1),1,0)</f>
        <v>0</v>
      </c>
      <c r="AZ960" s="80">
        <f>IF(AY960=1,COUNTIFS(R_Emp,D960,R_SAbs,"&lt;"&amp;AX960,R_EAbs,"&gt;"&amp;AW960,R_OKey,1)-1,0)</f>
        <v>0</v>
      </c>
      <c r="BA960" s="80">
        <f>IF(AY960=1,COUNTIFS(R_Emp,"&lt;&gt;"&amp;D960,R_SAbs,"&lt;"&amp;AX960,R_EAbs,"&gt;"&amp;AW960,R_OKey,1),0)</f>
        <v>0</v>
      </c>
      <c r="BB960" s="80">
        <f>IF(AND(AB960=1,D960="proMX"),IF(AND(MOD(Z960,CFG_BLK)=0,MOD(AA960,CFG_BLK)=0,MOD(AG960,CFG_BLK)=0,AG960&gt;0),1,0),1)</f>
        <v>1</v>
      </c>
      <c r="BC960" s="80" t="str">
        <f>IF(Y960=0,"",IF(NOT(ISNUMBER(B960)),"Falta fecha o fecha inválida",IF(D960="","Falta empresa",IF(AND(D960&lt;&gt;"Malcolm",D960&lt;&gt;"proMX"),"Empresa inválida",IF(OR(INT(B960)&lt;CFG_PSTART,INT(B960)&gt;CFG_PEND),"Fecha fuera del período",IF(OR(NOT(ISNUMBER(Z960)),NOT(ISNUMBER(AA960))),"Falta hora inicio/fin o formato inválido",IF(AB960=0,"Hora inicio = hora fin",IF(AE960&lt;0,"Descanso inválido",IF(AE960&gt;=AD960,"Descanso ≥ duración",IF(AV960=1,"Registro duplicado",IF(AZ960&gt;0,"Se superpone con otro registro "&amp;D960,IF(BB960=0,"inicio, fin y duración neta deben ser múltiplos de "&amp;CFG_BLK&amp;" min",""))))))))))))</f>
        <v/>
      </c>
      <c r="BD960" s="80">
        <f>IF(AND(Y960=1,BC960=""),1,0)</f>
        <v>0</v>
      </c>
      <c r="BE960" s="80">
        <f>IF(AND(BD960=1,AU960=1),1,0)</f>
        <v>0</v>
      </c>
      <c r="BF960" s="80" t="str">
        <f>IF(AND(D960="proMX",BD960=1),IF(R960="","Draft",R960),"")</f>
        <v/>
      </c>
      <c r="BG960" s="80">
        <f>IF(BD960=1,ROUND(AG960/60,6),0)</f>
        <v>0</v>
      </c>
      <c r="BH960" s="80">
        <f>IF(BE960=1,ROUND(AG960/60,6),0)</f>
        <v>0</v>
      </c>
      <c r="BI960" s="80">
        <f>IF(BE960=1,ROUND(AP960/60,6),0)</f>
        <v>0</v>
      </c>
      <c r="BJ960" s="80">
        <f>IF(BE960=1,ROUND(AQ960/60,6),0)</f>
        <v>0</v>
      </c>
      <c r="BK960" s="80">
        <f>IF(BE960=1,ROUND((AR960+AS960)/60,6),0)</f>
        <v>0</v>
      </c>
      <c r="BL960" s="80">
        <f>ROUND(BH960-BK960,6)</f>
        <v>0</v>
      </c>
      <c r="BM960" s="80">
        <f>IF(BE960=1,ROUND(AR960/60,6),0)</f>
        <v>0</v>
      </c>
      <c r="BN960" s="80">
        <f>ROUND(BI960-BM960,6)</f>
        <v>0</v>
      </c>
      <c r="BO960" s="80">
        <f>IF(BE960=1,ROUND(AS960/60,6),0)</f>
        <v>0</v>
      </c>
      <c r="BP960" s="80">
        <f>ROUND(BJ960-BO960,6)</f>
        <v>0</v>
      </c>
      <c r="BQ960" s="80">
        <f>IF(BE960=1,AW960,0)</f>
        <v>0</v>
      </c>
      <c r="BR960" s="80">
        <f>IF(BE960=1,AX960,0)</f>
        <v>0</v>
      </c>
      <c r="BS960" s="80">
        <f>IF(AND(BE960=1,D960="Malcolm",BA960&gt;0),MIN(BH960,SUMPRODUCT((R_Emp="proMX")*(R_EN&gt;0)*((R_EN-(R_EN&gt;BR960)*(R_EN-BR960))&gt;(R_SN+(R_SN&lt;BQ960)*(BQ960-R_SN)))*((R_EN-(R_EN&gt;BR960)*(R_EN-BR960))-(R_SN+(R_SN&lt;BQ960)*(BQ960-R_SN))))/60),0)</f>
        <v>0</v>
      </c>
      <c r="BT960" s="80">
        <f>IF(AND(BE960=1,D960="proMX"),ROUND(BI960*CFG_RATE+BJ960*CFG_OTRATE,6),0)</f>
        <v>0</v>
      </c>
      <c r="BU960" s="80">
        <f>IF(AND(BD960=1,D960="proMX"),ROUND(AG960/CFG_BLK,6),0)</f>
        <v>0</v>
      </c>
      <c r="BV960" s="80" t="str">
        <f>IF(BF960="Approved",IF(ISNUMBER(T960),INT(T960),INT(B960)),"")</f>
        <v/>
      </c>
      <c r="BW960" s="80">
        <f>IF(ISNUMBER(B960),IF(DB_MON="Todos",1,IF(AND(INT(B960)&gt;=DB_MS,INT(B960)&lt;=DB_ME),1,0)),0)</f>
        <v>0</v>
      </c>
      <c r="BX960" s="80">
        <f>IF(DB_PROJ="Todos",1,IF(E960&amp;""=DB_PROJ&amp;"",1,0))</f>
        <v>1</v>
      </c>
      <c r="BY960" s="80">
        <f>BW960*BX960</f>
        <v>0</v>
      </c>
      <c r="BZ960" s="80" t="str">
        <f>IF(Y960=1,F960&amp;IF(AND(F960&amp;""&lt;&gt;"",E960&amp;""&lt;&gt;"")," · ","")&amp;E960,"")</f>
        <v/>
      </c>
      <c r="CA960" s="80" t="str">
        <f>IF(AND(BD960=1,E960&amp;""&lt;&gt;""),IF(COUNTIFS($E$5:E959,E960,$BD$5:BD959,1)=0,MAX($CA$5:CA959)+1,""),"")</f>
        <v/>
      </c>
      <c r="CB960" s="80" t="str">
        <f>IF(AND(BE960=1,D960="Malcolm",E960&amp;""&lt;&gt;""),IF(COUNTIFS($D$5:D959,"Malcolm",$E$5:E959,E960,$BE$5:BE959,1)=0,MAX($CB$5:CB959)+1,""),"")</f>
        <v/>
      </c>
      <c r="CC960" s="80" t="str">
        <f>IF(AND(BD960=1,D960="proMX",E960&amp;""&lt;&gt;""),IF(COUNTIFS($D$5:D959,"proMX",$E$5:E959,E960,$BD$5:BD959,1)=0,MAX($CC$5:CC959)+1,""),"")</f>
        <v/>
      </c>
      <c r="CD960" s="80" t="str">
        <f>IF(AND(BE960=1,D960="Malcolm",F960&amp;""&lt;&gt;""),IF(COUNTIFS($D$5:D959,"Malcolm",$F$5:F959,F960,$BE$5:BE959,1)=0,MAX($CD$5:CD959)+1,""),"")</f>
        <v/>
      </c>
      <c r="CE960" s="80" t="str">
        <f>IF(AND(BD960=1,D960="proMX",F960&amp;""&lt;&gt;""),IF(COUNTIFS($D$5:D959,"proMX",$F$5:F959,F960,$BD$5:BD959,1)=0,MAX($CE$5:CE959)+1,""),"")</f>
        <v/>
      </c>
      <c r="CF960" s="80" t="str">
        <f>IF(AND(D960="proMX",BD960=1),IF(OR(BF960="Draft",BF960="Submitted",BF960="Returned",BF960="Recall Requested"),MAX($CF$5:CF959)+1,""),"")</f>
        <v/>
      </c>
      <c r="CG960" s="80">
        <f>IF(BD960=0,0,IF(D960="Malcolm",1,MATCH(BF960,{"Draft","Submitted","Approved","Returned","Recall Requested","Cancelled"},0)+1))</f>
        <v>0</v>
      </c>
      <c r="CH960" s="80">
        <f>IF(AND(BF960="Submitted",ISNUMBER(V960)),IF(V960&gt;CFG_MAXD,1,0),0)</f>
        <v>0</v>
      </c>
    </row>
    <row r="961">
      <c r="A961" s="71" t="str">
        <f>IF(Y961=1,ROW()-5,"")</f>
        <v/>
      </c>
      <c r="B961" s="72" t="n"/>
      <c r="C961" s="71" t="str">
        <f>IF(ISNUMBER(B961),CHOOSE(WEEKDAY(B961,2),"Lun","Mar","Mié","Jue","Vie","Sáb","Dom"),"")</f>
        <v/>
      </c>
      <c r="D961" s="73" t="n"/>
      <c r="E961" s="74" t="n"/>
      <c r="F961" s="74" t="n"/>
      <c r="G961" s="74" t="n"/>
      <c r="H961" s="75" t="n"/>
      <c r="I961" s="75" t="n"/>
      <c r="J961" s="76" t="n"/>
      <c r="K961" s="77" t="str">
        <f>IF(AB961=1,ROUND(AG961/60,4),"")</f>
        <v/>
      </c>
      <c r="L961" s="77" t="str">
        <f>IF(BD961=1,ROUND(AP961/60,4),"")</f>
        <v/>
      </c>
      <c r="M961" s="77" t="str">
        <f>IF(BD961=1,ROUND(AQ961/60,4),"")</f>
        <v/>
      </c>
      <c r="N961" s="71" t="str">
        <f>IF(AND(D961="proMX",AB961=1),ROUND(AG961/CFG_BLK,2),"")</f>
        <v/>
      </c>
      <c r="O961" s="77" t="str">
        <f>IF(D961="proMX",IF(BD961=1,ROUND(AG961/60,4),0),"")</f>
        <v/>
      </c>
      <c r="P961" s="78" t="str">
        <f>IF(Y961=0,"",IF(BD961=1,"OK",IF(D961="proMX","Revisar bloques: ","Revisar: ")&amp;BC961))</f>
        <v/>
      </c>
      <c r="Q961" s="78" t="str">
        <f>IF(NOT(ISNUMBER(B961)),"",IF(COUNTIFS(FER_F,INT(B961))&gt;0,"Feriado"&amp;IF(AH961=1," (laborable)"," (no laborable)"),IF(AH961=1,"Laborable",IF(WEEKDAY(B961,2)&gt;5,"Fin de semana","No laborable"))))</f>
        <v/>
      </c>
      <c r="R961" s="73" t="n"/>
      <c r="S961" s="72" t="n"/>
      <c r="T961" s="72" t="n"/>
      <c r="U961" s="74" t="n"/>
      <c r="V961" s="79" t="str">
        <f>IF(AND(D961="proMX",OR(R961="Submitted",R961="Recall Requested"),ISNUMBER(S961)),CFG_TODAY-INT(S961),"")</f>
        <v/>
      </c>
      <c r="W961" s="78" t="str">
        <f>IF(BD961=0,"",IF(BA961&gt;0,"⚠ Se superpone con un registro de la otra empresa",IF(D961="Malcolm",IF(COUNTA(R961,S961,T961)&gt;0,"Estado/fechas proMX se ignoran en Malcolm",""),IF(BF961="Cancelled","Cancelado: excluido de totales",IF(R961="","Sin estado: se trata como Draft",IF(BF961="Submitted",IF(ISNUMBER(V961),IF(V961&gt;CFG_MAXD,"⚠ "&amp;V961&amp;" días en Submitted (máx. "&amp;CFG_MAXD&amp;")",""),"Falta fecha de envío"),IF(BF961="Returned","⚠ Devuelto: corregir y reenviar",IF(BF961="Recall Requested","Retirada solicitada: pendiente",IF(AND(BF961="Approved",NOT(ISNUMBER(T961))),"Falta fecha de aprobación",IF(AND(ISNUMBER(S961),ISNUMBER(T961),T961&lt;S961),"Aprobación anterior al envío","")))))))))</f>
        <v/>
      </c>
      <c r="Y961" s="80">
        <f>IF(COUNTA(B961,D961,E961,F961,G961,H961,I961,J961,R961,S961,T961)&gt;0,1,0)</f>
        <v>0</v>
      </c>
      <c r="Z961" s="80" t="str">
        <f>IF(AND(ISNUMBER(H961),H961&gt;=0,H961&lt;1),ROUND(H961*1440,0),"")</f>
        <v/>
      </c>
      <c r="AA961" s="80" t="str">
        <f>IF(AND(ISNUMBER(I961),I961&gt;=0,I961&lt;1),ROUND(I961*1440,0),"")</f>
        <v/>
      </c>
      <c r="AB961" s="80">
        <f>IF(AND(ISNUMBER(B961),D961&lt;&gt;"",ISNUMBER(Z961),ISNUMBER(AA961)),IF(Z961=AA961,0,1),0)</f>
        <v>0</v>
      </c>
      <c r="AC961" s="80">
        <f>IF(AB961=1,IF(AA961&lt;Z961,1,0),0)</f>
        <v>0</v>
      </c>
      <c r="AD961" s="80">
        <f>IF(AB961=1,IF(AC961=1,1440-Z961+AA961,AA961-Z961),0)</f>
        <v>0</v>
      </c>
      <c r="AE961" s="80">
        <f>IF(J961="",0,IF(ISNUMBER(J961),J961,-1))</f>
        <v>0</v>
      </c>
      <c r="AF961" s="80">
        <f>MIN(MAX(0,AE961),AD961)</f>
        <v>0</v>
      </c>
      <c r="AG961" s="80">
        <f>MAX(0,AD961-MAX(0,AE961))</f>
        <v>0</v>
      </c>
      <c r="AH961" s="80">
        <f>IF(ISNUMBER(B961),IF(AND(INDEX(CFG_WDAYS,WEEKDAY(INT(B961),2))="Sí",IF(D961="proMX",COUNTIFS(FER_F,INT(B961),FER_NLP,"Sí"),COUNTIFS(FER_F,INT(B961),FER_NLM,"Sí"))=0),1,0),0)</f>
        <v>0</v>
      </c>
      <c r="AI961" s="80">
        <f>IF(AC961=1,IF(AND(INDEX(CFG_WDAYS,WEEKDAY(INT(B961)+1,2))="Sí",IF(D961="proMX",COUNTIFS(FER_F,INT(B961)+1,FER_NLP,"Sí"),COUNTIFS(FER_F,INT(B961)+1,FER_NLM,"Sí"))=0),1,0),0)</f>
        <v>0</v>
      </c>
      <c r="AJ961" s="80">
        <f>IF(AC961=1,1440-Z961,AD961)</f>
        <v>0</v>
      </c>
      <c r="AK961" s="80">
        <f>IF(AND(AB961=1,AH961=1),MAX(0,MIN(IF(AC961=1,1440,AA961),CFG_WEM)-MAX(Z961,CFG_WSM)),0)</f>
        <v>0</v>
      </c>
      <c r="AL961" s="80">
        <f>IF(AND(AC961=1,AI961=1),MAX(0,MIN(AA961,CFG_WEM)-CFG_WSM),0)</f>
        <v>0</v>
      </c>
      <c r="AM961" s="80">
        <f>AK961+AL961</f>
        <v>0</v>
      </c>
      <c r="AN961" s="80">
        <f>IF(CFG_BRK="Proporcional",IF(AD961=0,0,AF961*AM961/AD961),IF(CFG_BRK="Extras primero",MIN(AM961,MAX(0,AF961-(AD961-AM961))),MIN(AF961,AM961)))</f>
        <v>0</v>
      </c>
      <c r="AO961" s="80">
        <f>AF961-AN961</f>
        <v>0</v>
      </c>
      <c r="AP961" s="80">
        <f>AM961-AN961</f>
        <v>0</v>
      </c>
      <c r="AQ961" s="80">
        <f>AD961-AM961-AO961</f>
        <v>0</v>
      </c>
      <c r="AR961" s="80">
        <f>IF(AM961=0,0,AK961-AN961*AK961/AM961)</f>
        <v>0</v>
      </c>
      <c r="AS961" s="80">
        <f>IF(AD961-AM961=0,0,(AJ961-AK961)-AO961*(AJ961-AK961)/(AD961-AM961))</f>
        <v>0</v>
      </c>
      <c r="AT961" s="80" t="str">
        <f>IF(AC961=1,INT(B961)+1,"")</f>
        <v/>
      </c>
      <c r="AU961" s="80">
        <f>IF(AND(D961="proMX",R961="Cancelled"),0,1)</f>
        <v>1</v>
      </c>
      <c r="AV961" s="80">
        <f>IF(AND(AB961=1,AU961=1),IF(COUNTIFS($D$5:D960,D961,$B$5:B960,B961,$Z$5:Z960,Z961,$AA$5:AA960,AA961,$F$5:F960,F961&amp;"",$AU$5:AU960,1)&gt;0,1,0),0)</f>
        <v>0</v>
      </c>
      <c r="AW961" s="80" t="str">
        <f>IF(AB961=1,INT(B961)*1440+Z961,"")</f>
        <v/>
      </c>
      <c r="AX961" s="80" t="str">
        <f>IF(AB961=1,AW961+AD961,"")</f>
        <v/>
      </c>
      <c r="AY961" s="80">
        <f>IF(AND(AB961=1,AV961=0,AU961=1),1,0)</f>
        <v>0</v>
      </c>
      <c r="AZ961" s="80">
        <f>IF(AY961=1,COUNTIFS(R_Emp,D961,R_SAbs,"&lt;"&amp;AX961,R_EAbs,"&gt;"&amp;AW961,R_OKey,1)-1,0)</f>
        <v>0</v>
      </c>
      <c r="BA961" s="80">
        <f>IF(AY961=1,COUNTIFS(R_Emp,"&lt;&gt;"&amp;D961,R_SAbs,"&lt;"&amp;AX961,R_EAbs,"&gt;"&amp;AW961,R_OKey,1),0)</f>
        <v>0</v>
      </c>
      <c r="BB961" s="80">
        <f>IF(AND(AB961=1,D961="proMX"),IF(AND(MOD(Z961,CFG_BLK)=0,MOD(AA961,CFG_BLK)=0,MOD(AG961,CFG_BLK)=0,AG961&gt;0),1,0),1)</f>
        <v>1</v>
      </c>
      <c r="BC961" s="80" t="str">
        <f>IF(Y961=0,"",IF(NOT(ISNUMBER(B961)),"Falta fecha o fecha inválida",IF(D961="","Falta empresa",IF(AND(D961&lt;&gt;"Malcolm",D961&lt;&gt;"proMX"),"Empresa inválida",IF(OR(INT(B961)&lt;CFG_PSTART,INT(B961)&gt;CFG_PEND),"Fecha fuera del período",IF(OR(NOT(ISNUMBER(Z961)),NOT(ISNUMBER(AA961))),"Falta hora inicio/fin o formato inválido",IF(AB961=0,"Hora inicio = hora fin",IF(AE961&lt;0,"Descanso inválido",IF(AE961&gt;=AD961,"Descanso ≥ duración",IF(AV961=1,"Registro duplicado",IF(AZ961&gt;0,"Se superpone con otro registro "&amp;D961,IF(BB961=0,"inicio, fin y duración neta deben ser múltiplos de "&amp;CFG_BLK&amp;" min",""))))))))))))</f>
        <v/>
      </c>
      <c r="BD961" s="80">
        <f>IF(AND(Y961=1,BC961=""),1,0)</f>
        <v>0</v>
      </c>
      <c r="BE961" s="80">
        <f>IF(AND(BD961=1,AU961=1),1,0)</f>
        <v>0</v>
      </c>
      <c r="BF961" s="80" t="str">
        <f>IF(AND(D961="proMX",BD961=1),IF(R961="","Draft",R961),"")</f>
        <v/>
      </c>
      <c r="BG961" s="80">
        <f>IF(BD961=1,ROUND(AG961/60,6),0)</f>
        <v>0</v>
      </c>
      <c r="BH961" s="80">
        <f>IF(BE961=1,ROUND(AG961/60,6),0)</f>
        <v>0</v>
      </c>
      <c r="BI961" s="80">
        <f>IF(BE961=1,ROUND(AP961/60,6),0)</f>
        <v>0</v>
      </c>
      <c r="BJ961" s="80">
        <f>IF(BE961=1,ROUND(AQ961/60,6),0)</f>
        <v>0</v>
      </c>
      <c r="BK961" s="80">
        <f>IF(BE961=1,ROUND((AR961+AS961)/60,6),0)</f>
        <v>0</v>
      </c>
      <c r="BL961" s="80">
        <f>ROUND(BH961-BK961,6)</f>
        <v>0</v>
      </c>
      <c r="BM961" s="80">
        <f>IF(BE961=1,ROUND(AR961/60,6),0)</f>
        <v>0</v>
      </c>
      <c r="BN961" s="80">
        <f>ROUND(BI961-BM961,6)</f>
        <v>0</v>
      </c>
      <c r="BO961" s="80">
        <f>IF(BE961=1,ROUND(AS961/60,6),0)</f>
        <v>0</v>
      </c>
      <c r="BP961" s="80">
        <f>ROUND(BJ961-BO961,6)</f>
        <v>0</v>
      </c>
      <c r="BQ961" s="80">
        <f>IF(BE961=1,AW961,0)</f>
        <v>0</v>
      </c>
      <c r="BR961" s="80">
        <f>IF(BE961=1,AX961,0)</f>
        <v>0</v>
      </c>
      <c r="BS961" s="80">
        <f>IF(AND(BE961=1,D961="Malcolm",BA961&gt;0),MIN(BH961,SUMPRODUCT((R_Emp="proMX")*(R_EN&gt;0)*((R_EN-(R_EN&gt;BR961)*(R_EN-BR961))&gt;(R_SN+(R_SN&lt;BQ961)*(BQ961-R_SN)))*((R_EN-(R_EN&gt;BR961)*(R_EN-BR961))-(R_SN+(R_SN&lt;BQ961)*(BQ961-R_SN))))/60),0)</f>
        <v>0</v>
      </c>
      <c r="BT961" s="80">
        <f>IF(AND(BE961=1,D961="proMX"),ROUND(BI961*CFG_RATE+BJ961*CFG_OTRATE,6),0)</f>
        <v>0</v>
      </c>
      <c r="BU961" s="80">
        <f>IF(AND(BD961=1,D961="proMX"),ROUND(AG961/CFG_BLK,6),0)</f>
        <v>0</v>
      </c>
      <c r="BV961" s="80" t="str">
        <f>IF(BF961="Approved",IF(ISNUMBER(T961),INT(T961),INT(B961)),"")</f>
        <v/>
      </c>
      <c r="BW961" s="80">
        <f>IF(ISNUMBER(B961),IF(DB_MON="Todos",1,IF(AND(INT(B961)&gt;=DB_MS,INT(B961)&lt;=DB_ME),1,0)),0)</f>
        <v>0</v>
      </c>
      <c r="BX961" s="80">
        <f>IF(DB_PROJ="Todos",1,IF(E961&amp;""=DB_PROJ&amp;"",1,0))</f>
        <v>1</v>
      </c>
      <c r="BY961" s="80">
        <f>BW961*BX961</f>
        <v>0</v>
      </c>
      <c r="BZ961" s="80" t="str">
        <f>IF(Y961=1,F961&amp;IF(AND(F961&amp;""&lt;&gt;"",E961&amp;""&lt;&gt;"")," · ","")&amp;E961,"")</f>
        <v/>
      </c>
      <c r="CA961" s="80" t="str">
        <f>IF(AND(BD961=1,E961&amp;""&lt;&gt;""),IF(COUNTIFS($E$5:E960,E961,$BD$5:BD960,1)=0,MAX($CA$5:CA960)+1,""),"")</f>
        <v/>
      </c>
      <c r="CB961" s="80" t="str">
        <f>IF(AND(BE961=1,D961="Malcolm",E961&amp;""&lt;&gt;""),IF(COUNTIFS($D$5:D960,"Malcolm",$E$5:E960,E961,$BE$5:BE960,1)=0,MAX($CB$5:CB960)+1,""),"")</f>
        <v/>
      </c>
      <c r="CC961" s="80" t="str">
        <f>IF(AND(BD961=1,D961="proMX",E961&amp;""&lt;&gt;""),IF(COUNTIFS($D$5:D960,"proMX",$E$5:E960,E961,$BD$5:BD960,1)=0,MAX($CC$5:CC960)+1,""),"")</f>
        <v/>
      </c>
      <c r="CD961" s="80" t="str">
        <f>IF(AND(BE961=1,D961="Malcolm",F961&amp;""&lt;&gt;""),IF(COUNTIFS($D$5:D960,"Malcolm",$F$5:F960,F961,$BE$5:BE960,1)=0,MAX($CD$5:CD960)+1,""),"")</f>
        <v/>
      </c>
      <c r="CE961" s="80" t="str">
        <f>IF(AND(BD961=1,D961="proMX",F961&amp;""&lt;&gt;""),IF(COUNTIFS($D$5:D960,"proMX",$F$5:F960,F961,$BD$5:BD960,1)=0,MAX($CE$5:CE960)+1,""),"")</f>
        <v/>
      </c>
      <c r="CF961" s="80" t="str">
        <f>IF(AND(D961="proMX",BD961=1),IF(OR(BF961="Draft",BF961="Submitted",BF961="Returned",BF961="Recall Requested"),MAX($CF$5:CF960)+1,""),"")</f>
        <v/>
      </c>
      <c r="CG961" s="80">
        <f>IF(BD961=0,0,IF(D961="Malcolm",1,MATCH(BF961,{"Draft","Submitted","Approved","Returned","Recall Requested","Cancelled"},0)+1))</f>
        <v>0</v>
      </c>
      <c r="CH961" s="80">
        <f>IF(AND(BF961="Submitted",ISNUMBER(V961)),IF(V961&gt;CFG_MAXD,1,0),0)</f>
        <v>0</v>
      </c>
    </row>
    <row r="962">
      <c r="A962" s="71" t="str">
        <f>IF(Y962=1,ROW()-5,"")</f>
        <v/>
      </c>
      <c r="B962" s="72" t="n"/>
      <c r="C962" s="71" t="str">
        <f>IF(ISNUMBER(B962),CHOOSE(WEEKDAY(B962,2),"Lun","Mar","Mié","Jue","Vie","Sáb","Dom"),"")</f>
        <v/>
      </c>
      <c r="D962" s="73" t="n"/>
      <c r="E962" s="74" t="n"/>
      <c r="F962" s="74" t="n"/>
      <c r="G962" s="74" t="n"/>
      <c r="H962" s="75" t="n"/>
      <c r="I962" s="75" t="n"/>
      <c r="J962" s="76" t="n"/>
      <c r="K962" s="77" t="str">
        <f>IF(AB962=1,ROUND(AG962/60,4),"")</f>
        <v/>
      </c>
      <c r="L962" s="77" t="str">
        <f>IF(BD962=1,ROUND(AP962/60,4),"")</f>
        <v/>
      </c>
      <c r="M962" s="77" t="str">
        <f>IF(BD962=1,ROUND(AQ962/60,4),"")</f>
        <v/>
      </c>
      <c r="N962" s="71" t="str">
        <f>IF(AND(D962="proMX",AB962=1),ROUND(AG962/CFG_BLK,2),"")</f>
        <v/>
      </c>
      <c r="O962" s="77" t="str">
        <f>IF(D962="proMX",IF(BD962=1,ROUND(AG962/60,4),0),"")</f>
        <v/>
      </c>
      <c r="P962" s="78" t="str">
        <f>IF(Y962=0,"",IF(BD962=1,"OK",IF(D962="proMX","Revisar bloques: ","Revisar: ")&amp;BC962))</f>
        <v/>
      </c>
      <c r="Q962" s="78" t="str">
        <f>IF(NOT(ISNUMBER(B962)),"",IF(COUNTIFS(FER_F,INT(B962))&gt;0,"Feriado"&amp;IF(AH962=1," (laborable)"," (no laborable)"),IF(AH962=1,"Laborable",IF(WEEKDAY(B962,2)&gt;5,"Fin de semana","No laborable"))))</f>
        <v/>
      </c>
      <c r="R962" s="73" t="n"/>
      <c r="S962" s="72" t="n"/>
      <c r="T962" s="72" t="n"/>
      <c r="U962" s="74" t="n"/>
      <c r="V962" s="79" t="str">
        <f>IF(AND(D962="proMX",OR(R962="Submitted",R962="Recall Requested"),ISNUMBER(S962)),CFG_TODAY-INT(S962),"")</f>
        <v/>
      </c>
      <c r="W962" s="78" t="str">
        <f>IF(BD962=0,"",IF(BA962&gt;0,"⚠ Se superpone con un registro de la otra empresa",IF(D962="Malcolm",IF(COUNTA(R962,S962,T962)&gt;0,"Estado/fechas proMX se ignoran en Malcolm",""),IF(BF962="Cancelled","Cancelado: excluido de totales",IF(R962="","Sin estado: se trata como Draft",IF(BF962="Submitted",IF(ISNUMBER(V962),IF(V962&gt;CFG_MAXD,"⚠ "&amp;V962&amp;" días en Submitted (máx. "&amp;CFG_MAXD&amp;")",""),"Falta fecha de envío"),IF(BF962="Returned","⚠ Devuelto: corregir y reenviar",IF(BF962="Recall Requested","Retirada solicitada: pendiente",IF(AND(BF962="Approved",NOT(ISNUMBER(T962))),"Falta fecha de aprobación",IF(AND(ISNUMBER(S962),ISNUMBER(T962),T962&lt;S962),"Aprobación anterior al envío","")))))))))</f>
        <v/>
      </c>
      <c r="Y962" s="80">
        <f>IF(COUNTA(B962,D962,E962,F962,G962,H962,I962,J962,R962,S962,T962)&gt;0,1,0)</f>
        <v>0</v>
      </c>
      <c r="Z962" s="80" t="str">
        <f>IF(AND(ISNUMBER(H962),H962&gt;=0,H962&lt;1),ROUND(H962*1440,0),"")</f>
        <v/>
      </c>
      <c r="AA962" s="80" t="str">
        <f>IF(AND(ISNUMBER(I962),I962&gt;=0,I962&lt;1),ROUND(I962*1440,0),"")</f>
        <v/>
      </c>
      <c r="AB962" s="80">
        <f>IF(AND(ISNUMBER(B962),D962&lt;&gt;"",ISNUMBER(Z962),ISNUMBER(AA962)),IF(Z962=AA962,0,1),0)</f>
        <v>0</v>
      </c>
      <c r="AC962" s="80">
        <f>IF(AB962=1,IF(AA962&lt;Z962,1,0),0)</f>
        <v>0</v>
      </c>
      <c r="AD962" s="80">
        <f>IF(AB962=1,IF(AC962=1,1440-Z962+AA962,AA962-Z962),0)</f>
        <v>0</v>
      </c>
      <c r="AE962" s="80">
        <f>IF(J962="",0,IF(ISNUMBER(J962),J962,-1))</f>
        <v>0</v>
      </c>
      <c r="AF962" s="80">
        <f>MIN(MAX(0,AE962),AD962)</f>
        <v>0</v>
      </c>
      <c r="AG962" s="80">
        <f>MAX(0,AD962-MAX(0,AE962))</f>
        <v>0</v>
      </c>
      <c r="AH962" s="80">
        <f>IF(ISNUMBER(B962),IF(AND(INDEX(CFG_WDAYS,WEEKDAY(INT(B962),2))="Sí",IF(D962="proMX",COUNTIFS(FER_F,INT(B962),FER_NLP,"Sí"),COUNTIFS(FER_F,INT(B962),FER_NLM,"Sí"))=0),1,0),0)</f>
        <v>0</v>
      </c>
      <c r="AI962" s="80">
        <f>IF(AC962=1,IF(AND(INDEX(CFG_WDAYS,WEEKDAY(INT(B962)+1,2))="Sí",IF(D962="proMX",COUNTIFS(FER_F,INT(B962)+1,FER_NLP,"Sí"),COUNTIFS(FER_F,INT(B962)+1,FER_NLM,"Sí"))=0),1,0),0)</f>
        <v>0</v>
      </c>
      <c r="AJ962" s="80">
        <f>IF(AC962=1,1440-Z962,AD962)</f>
        <v>0</v>
      </c>
      <c r="AK962" s="80">
        <f>IF(AND(AB962=1,AH962=1),MAX(0,MIN(IF(AC962=1,1440,AA962),CFG_WEM)-MAX(Z962,CFG_WSM)),0)</f>
        <v>0</v>
      </c>
      <c r="AL962" s="80">
        <f>IF(AND(AC962=1,AI962=1),MAX(0,MIN(AA962,CFG_WEM)-CFG_WSM),0)</f>
        <v>0</v>
      </c>
      <c r="AM962" s="80">
        <f>AK962+AL962</f>
        <v>0</v>
      </c>
      <c r="AN962" s="80">
        <f>IF(CFG_BRK="Proporcional",IF(AD962=0,0,AF962*AM962/AD962),IF(CFG_BRK="Extras primero",MIN(AM962,MAX(0,AF962-(AD962-AM962))),MIN(AF962,AM962)))</f>
        <v>0</v>
      </c>
      <c r="AO962" s="80">
        <f>AF962-AN962</f>
        <v>0</v>
      </c>
      <c r="AP962" s="80">
        <f>AM962-AN962</f>
        <v>0</v>
      </c>
      <c r="AQ962" s="80">
        <f>AD962-AM962-AO962</f>
        <v>0</v>
      </c>
      <c r="AR962" s="80">
        <f>IF(AM962=0,0,AK962-AN962*AK962/AM962)</f>
        <v>0</v>
      </c>
      <c r="AS962" s="80">
        <f>IF(AD962-AM962=0,0,(AJ962-AK962)-AO962*(AJ962-AK962)/(AD962-AM962))</f>
        <v>0</v>
      </c>
      <c r="AT962" s="80" t="str">
        <f>IF(AC962=1,INT(B962)+1,"")</f>
        <v/>
      </c>
      <c r="AU962" s="80">
        <f>IF(AND(D962="proMX",R962="Cancelled"),0,1)</f>
        <v>1</v>
      </c>
      <c r="AV962" s="80">
        <f>IF(AND(AB962=1,AU962=1),IF(COUNTIFS($D$5:D961,D962,$B$5:B961,B962,$Z$5:Z961,Z962,$AA$5:AA961,AA962,$F$5:F961,F962&amp;"",$AU$5:AU961,1)&gt;0,1,0),0)</f>
        <v>0</v>
      </c>
      <c r="AW962" s="80" t="str">
        <f>IF(AB962=1,INT(B962)*1440+Z962,"")</f>
        <v/>
      </c>
      <c r="AX962" s="80" t="str">
        <f>IF(AB962=1,AW962+AD962,"")</f>
        <v/>
      </c>
      <c r="AY962" s="80">
        <f>IF(AND(AB962=1,AV962=0,AU962=1),1,0)</f>
        <v>0</v>
      </c>
      <c r="AZ962" s="80">
        <f>IF(AY962=1,COUNTIFS(R_Emp,D962,R_SAbs,"&lt;"&amp;AX962,R_EAbs,"&gt;"&amp;AW962,R_OKey,1)-1,0)</f>
        <v>0</v>
      </c>
      <c r="BA962" s="80">
        <f>IF(AY962=1,COUNTIFS(R_Emp,"&lt;&gt;"&amp;D962,R_SAbs,"&lt;"&amp;AX962,R_EAbs,"&gt;"&amp;AW962,R_OKey,1),0)</f>
        <v>0</v>
      </c>
      <c r="BB962" s="80">
        <f>IF(AND(AB962=1,D962="proMX"),IF(AND(MOD(Z962,CFG_BLK)=0,MOD(AA962,CFG_BLK)=0,MOD(AG962,CFG_BLK)=0,AG962&gt;0),1,0),1)</f>
        <v>1</v>
      </c>
      <c r="BC962" s="80" t="str">
        <f>IF(Y962=0,"",IF(NOT(ISNUMBER(B962)),"Falta fecha o fecha inválida",IF(D962="","Falta empresa",IF(AND(D962&lt;&gt;"Malcolm",D962&lt;&gt;"proMX"),"Empresa inválida",IF(OR(INT(B962)&lt;CFG_PSTART,INT(B962)&gt;CFG_PEND),"Fecha fuera del período",IF(OR(NOT(ISNUMBER(Z962)),NOT(ISNUMBER(AA962))),"Falta hora inicio/fin o formato inválido",IF(AB962=0,"Hora inicio = hora fin",IF(AE962&lt;0,"Descanso inválido",IF(AE962&gt;=AD962,"Descanso ≥ duración",IF(AV962=1,"Registro duplicado",IF(AZ962&gt;0,"Se superpone con otro registro "&amp;D962,IF(BB962=0,"inicio, fin y duración neta deben ser múltiplos de "&amp;CFG_BLK&amp;" min",""))))))))))))</f>
        <v/>
      </c>
      <c r="BD962" s="80">
        <f>IF(AND(Y962=1,BC962=""),1,0)</f>
        <v>0</v>
      </c>
      <c r="BE962" s="80">
        <f>IF(AND(BD962=1,AU962=1),1,0)</f>
        <v>0</v>
      </c>
      <c r="BF962" s="80" t="str">
        <f>IF(AND(D962="proMX",BD962=1),IF(R962="","Draft",R962),"")</f>
        <v/>
      </c>
      <c r="BG962" s="80">
        <f>IF(BD962=1,ROUND(AG962/60,6),0)</f>
        <v>0</v>
      </c>
      <c r="BH962" s="80">
        <f>IF(BE962=1,ROUND(AG962/60,6),0)</f>
        <v>0</v>
      </c>
      <c r="BI962" s="80">
        <f>IF(BE962=1,ROUND(AP962/60,6),0)</f>
        <v>0</v>
      </c>
      <c r="BJ962" s="80">
        <f>IF(BE962=1,ROUND(AQ962/60,6),0)</f>
        <v>0</v>
      </c>
      <c r="BK962" s="80">
        <f>IF(BE962=1,ROUND((AR962+AS962)/60,6),0)</f>
        <v>0</v>
      </c>
      <c r="BL962" s="80">
        <f>ROUND(BH962-BK962,6)</f>
        <v>0</v>
      </c>
      <c r="BM962" s="80">
        <f>IF(BE962=1,ROUND(AR962/60,6),0)</f>
        <v>0</v>
      </c>
      <c r="BN962" s="80">
        <f>ROUND(BI962-BM962,6)</f>
        <v>0</v>
      </c>
      <c r="BO962" s="80">
        <f>IF(BE962=1,ROUND(AS962/60,6),0)</f>
        <v>0</v>
      </c>
      <c r="BP962" s="80">
        <f>ROUND(BJ962-BO962,6)</f>
        <v>0</v>
      </c>
      <c r="BQ962" s="80">
        <f>IF(BE962=1,AW962,0)</f>
        <v>0</v>
      </c>
      <c r="BR962" s="80">
        <f>IF(BE962=1,AX962,0)</f>
        <v>0</v>
      </c>
      <c r="BS962" s="80">
        <f>IF(AND(BE962=1,D962="Malcolm",BA962&gt;0),MIN(BH962,SUMPRODUCT((R_Emp="proMX")*(R_EN&gt;0)*((R_EN-(R_EN&gt;BR962)*(R_EN-BR962))&gt;(R_SN+(R_SN&lt;BQ962)*(BQ962-R_SN)))*((R_EN-(R_EN&gt;BR962)*(R_EN-BR962))-(R_SN+(R_SN&lt;BQ962)*(BQ962-R_SN))))/60),0)</f>
        <v>0</v>
      </c>
      <c r="BT962" s="80">
        <f>IF(AND(BE962=1,D962="proMX"),ROUND(BI962*CFG_RATE+BJ962*CFG_OTRATE,6),0)</f>
        <v>0</v>
      </c>
      <c r="BU962" s="80">
        <f>IF(AND(BD962=1,D962="proMX"),ROUND(AG962/CFG_BLK,6),0)</f>
        <v>0</v>
      </c>
      <c r="BV962" s="80" t="str">
        <f>IF(BF962="Approved",IF(ISNUMBER(T962),INT(T962),INT(B962)),"")</f>
        <v/>
      </c>
      <c r="BW962" s="80">
        <f>IF(ISNUMBER(B962),IF(DB_MON="Todos",1,IF(AND(INT(B962)&gt;=DB_MS,INT(B962)&lt;=DB_ME),1,0)),0)</f>
        <v>0</v>
      </c>
      <c r="BX962" s="80">
        <f>IF(DB_PROJ="Todos",1,IF(E962&amp;""=DB_PROJ&amp;"",1,0))</f>
        <v>1</v>
      </c>
      <c r="BY962" s="80">
        <f>BW962*BX962</f>
        <v>0</v>
      </c>
      <c r="BZ962" s="80" t="str">
        <f>IF(Y962=1,F962&amp;IF(AND(F962&amp;""&lt;&gt;"",E962&amp;""&lt;&gt;"")," · ","")&amp;E962,"")</f>
        <v/>
      </c>
      <c r="CA962" s="80" t="str">
        <f>IF(AND(BD962=1,E962&amp;""&lt;&gt;""),IF(COUNTIFS($E$5:E961,E962,$BD$5:BD961,1)=0,MAX($CA$5:CA961)+1,""),"")</f>
        <v/>
      </c>
      <c r="CB962" s="80" t="str">
        <f>IF(AND(BE962=1,D962="Malcolm",E962&amp;""&lt;&gt;""),IF(COUNTIFS($D$5:D961,"Malcolm",$E$5:E961,E962,$BE$5:BE961,1)=0,MAX($CB$5:CB961)+1,""),"")</f>
        <v/>
      </c>
      <c r="CC962" s="80" t="str">
        <f>IF(AND(BD962=1,D962="proMX",E962&amp;""&lt;&gt;""),IF(COUNTIFS($D$5:D961,"proMX",$E$5:E961,E962,$BD$5:BD961,1)=0,MAX($CC$5:CC961)+1,""),"")</f>
        <v/>
      </c>
      <c r="CD962" s="80" t="str">
        <f>IF(AND(BE962=1,D962="Malcolm",F962&amp;""&lt;&gt;""),IF(COUNTIFS($D$5:D961,"Malcolm",$F$5:F961,F962,$BE$5:BE961,1)=0,MAX($CD$5:CD961)+1,""),"")</f>
        <v/>
      </c>
      <c r="CE962" s="80" t="str">
        <f>IF(AND(BD962=1,D962="proMX",F962&amp;""&lt;&gt;""),IF(COUNTIFS($D$5:D961,"proMX",$F$5:F961,F962,$BD$5:BD961,1)=0,MAX($CE$5:CE961)+1,""),"")</f>
        <v/>
      </c>
      <c r="CF962" s="80" t="str">
        <f>IF(AND(D962="proMX",BD962=1),IF(OR(BF962="Draft",BF962="Submitted",BF962="Returned",BF962="Recall Requested"),MAX($CF$5:CF961)+1,""),"")</f>
        <v/>
      </c>
      <c r="CG962" s="80">
        <f>IF(BD962=0,0,IF(D962="Malcolm",1,MATCH(BF962,{"Draft","Submitted","Approved","Returned","Recall Requested","Cancelled"},0)+1))</f>
        <v>0</v>
      </c>
      <c r="CH962" s="80">
        <f>IF(AND(BF962="Submitted",ISNUMBER(V962)),IF(V962&gt;CFG_MAXD,1,0),0)</f>
        <v>0</v>
      </c>
    </row>
    <row r="963">
      <c r="A963" s="71" t="str">
        <f>IF(Y963=1,ROW()-5,"")</f>
        <v/>
      </c>
      <c r="B963" s="72" t="n"/>
      <c r="C963" s="71" t="str">
        <f>IF(ISNUMBER(B963),CHOOSE(WEEKDAY(B963,2),"Lun","Mar","Mié","Jue","Vie","Sáb","Dom"),"")</f>
        <v/>
      </c>
      <c r="D963" s="73" t="n"/>
      <c r="E963" s="74" t="n"/>
      <c r="F963" s="74" t="n"/>
      <c r="G963" s="74" t="n"/>
      <c r="H963" s="75" t="n"/>
      <c r="I963" s="75" t="n"/>
      <c r="J963" s="76" t="n"/>
      <c r="K963" s="77" t="str">
        <f>IF(AB963=1,ROUND(AG963/60,4),"")</f>
        <v/>
      </c>
      <c r="L963" s="77" t="str">
        <f>IF(BD963=1,ROUND(AP963/60,4),"")</f>
        <v/>
      </c>
      <c r="M963" s="77" t="str">
        <f>IF(BD963=1,ROUND(AQ963/60,4),"")</f>
        <v/>
      </c>
      <c r="N963" s="71" t="str">
        <f>IF(AND(D963="proMX",AB963=1),ROUND(AG963/CFG_BLK,2),"")</f>
        <v/>
      </c>
      <c r="O963" s="77" t="str">
        <f>IF(D963="proMX",IF(BD963=1,ROUND(AG963/60,4),0),"")</f>
        <v/>
      </c>
      <c r="P963" s="78" t="str">
        <f>IF(Y963=0,"",IF(BD963=1,"OK",IF(D963="proMX","Revisar bloques: ","Revisar: ")&amp;BC963))</f>
        <v/>
      </c>
      <c r="Q963" s="78" t="str">
        <f>IF(NOT(ISNUMBER(B963)),"",IF(COUNTIFS(FER_F,INT(B963))&gt;0,"Feriado"&amp;IF(AH963=1," (laborable)"," (no laborable)"),IF(AH963=1,"Laborable",IF(WEEKDAY(B963,2)&gt;5,"Fin de semana","No laborable"))))</f>
        <v/>
      </c>
      <c r="R963" s="73" t="n"/>
      <c r="S963" s="72" t="n"/>
      <c r="T963" s="72" t="n"/>
      <c r="U963" s="74" t="n"/>
      <c r="V963" s="79" t="str">
        <f>IF(AND(D963="proMX",OR(R963="Submitted",R963="Recall Requested"),ISNUMBER(S963)),CFG_TODAY-INT(S963),"")</f>
        <v/>
      </c>
      <c r="W963" s="78" t="str">
        <f>IF(BD963=0,"",IF(BA963&gt;0,"⚠ Se superpone con un registro de la otra empresa",IF(D963="Malcolm",IF(COUNTA(R963,S963,T963)&gt;0,"Estado/fechas proMX se ignoran en Malcolm",""),IF(BF963="Cancelled","Cancelado: excluido de totales",IF(R963="","Sin estado: se trata como Draft",IF(BF963="Submitted",IF(ISNUMBER(V963),IF(V963&gt;CFG_MAXD,"⚠ "&amp;V963&amp;" días en Submitted (máx. "&amp;CFG_MAXD&amp;")",""),"Falta fecha de envío"),IF(BF963="Returned","⚠ Devuelto: corregir y reenviar",IF(BF963="Recall Requested","Retirada solicitada: pendiente",IF(AND(BF963="Approved",NOT(ISNUMBER(T963))),"Falta fecha de aprobación",IF(AND(ISNUMBER(S963),ISNUMBER(T963),T963&lt;S963),"Aprobación anterior al envío","")))))))))</f>
        <v/>
      </c>
      <c r="Y963" s="80">
        <f>IF(COUNTA(B963,D963,E963,F963,G963,H963,I963,J963,R963,S963,T963)&gt;0,1,0)</f>
        <v>0</v>
      </c>
      <c r="Z963" s="80" t="str">
        <f>IF(AND(ISNUMBER(H963),H963&gt;=0,H963&lt;1),ROUND(H963*1440,0),"")</f>
        <v/>
      </c>
      <c r="AA963" s="80" t="str">
        <f>IF(AND(ISNUMBER(I963),I963&gt;=0,I963&lt;1),ROUND(I963*1440,0),"")</f>
        <v/>
      </c>
      <c r="AB963" s="80">
        <f>IF(AND(ISNUMBER(B963),D963&lt;&gt;"",ISNUMBER(Z963),ISNUMBER(AA963)),IF(Z963=AA963,0,1),0)</f>
        <v>0</v>
      </c>
      <c r="AC963" s="80">
        <f>IF(AB963=1,IF(AA963&lt;Z963,1,0),0)</f>
        <v>0</v>
      </c>
      <c r="AD963" s="80">
        <f>IF(AB963=1,IF(AC963=1,1440-Z963+AA963,AA963-Z963),0)</f>
        <v>0</v>
      </c>
      <c r="AE963" s="80">
        <f>IF(J963="",0,IF(ISNUMBER(J963),J963,-1))</f>
        <v>0</v>
      </c>
      <c r="AF963" s="80">
        <f>MIN(MAX(0,AE963),AD963)</f>
        <v>0</v>
      </c>
      <c r="AG963" s="80">
        <f>MAX(0,AD963-MAX(0,AE963))</f>
        <v>0</v>
      </c>
      <c r="AH963" s="80">
        <f>IF(ISNUMBER(B963),IF(AND(INDEX(CFG_WDAYS,WEEKDAY(INT(B963),2))="Sí",IF(D963="proMX",COUNTIFS(FER_F,INT(B963),FER_NLP,"Sí"),COUNTIFS(FER_F,INT(B963),FER_NLM,"Sí"))=0),1,0),0)</f>
        <v>0</v>
      </c>
      <c r="AI963" s="80">
        <f>IF(AC963=1,IF(AND(INDEX(CFG_WDAYS,WEEKDAY(INT(B963)+1,2))="Sí",IF(D963="proMX",COUNTIFS(FER_F,INT(B963)+1,FER_NLP,"Sí"),COUNTIFS(FER_F,INT(B963)+1,FER_NLM,"Sí"))=0),1,0),0)</f>
        <v>0</v>
      </c>
      <c r="AJ963" s="80">
        <f>IF(AC963=1,1440-Z963,AD963)</f>
        <v>0</v>
      </c>
      <c r="AK963" s="80">
        <f>IF(AND(AB963=1,AH963=1),MAX(0,MIN(IF(AC963=1,1440,AA963),CFG_WEM)-MAX(Z963,CFG_WSM)),0)</f>
        <v>0</v>
      </c>
      <c r="AL963" s="80">
        <f>IF(AND(AC963=1,AI963=1),MAX(0,MIN(AA963,CFG_WEM)-CFG_WSM),0)</f>
        <v>0</v>
      </c>
      <c r="AM963" s="80">
        <f>AK963+AL963</f>
        <v>0</v>
      </c>
      <c r="AN963" s="80">
        <f>IF(CFG_BRK="Proporcional",IF(AD963=0,0,AF963*AM963/AD963),IF(CFG_BRK="Extras primero",MIN(AM963,MAX(0,AF963-(AD963-AM963))),MIN(AF963,AM963)))</f>
        <v>0</v>
      </c>
      <c r="AO963" s="80">
        <f>AF963-AN963</f>
        <v>0</v>
      </c>
      <c r="AP963" s="80">
        <f>AM963-AN963</f>
        <v>0</v>
      </c>
      <c r="AQ963" s="80">
        <f>AD963-AM963-AO963</f>
        <v>0</v>
      </c>
      <c r="AR963" s="80">
        <f>IF(AM963=0,0,AK963-AN963*AK963/AM963)</f>
        <v>0</v>
      </c>
      <c r="AS963" s="80">
        <f>IF(AD963-AM963=0,0,(AJ963-AK963)-AO963*(AJ963-AK963)/(AD963-AM963))</f>
        <v>0</v>
      </c>
      <c r="AT963" s="80" t="str">
        <f>IF(AC963=1,INT(B963)+1,"")</f>
        <v/>
      </c>
      <c r="AU963" s="80">
        <f>IF(AND(D963="proMX",R963="Cancelled"),0,1)</f>
        <v>1</v>
      </c>
      <c r="AV963" s="80">
        <f>IF(AND(AB963=1,AU963=1),IF(COUNTIFS($D$5:D962,D963,$B$5:B962,B963,$Z$5:Z962,Z963,$AA$5:AA962,AA963,$F$5:F962,F963&amp;"",$AU$5:AU962,1)&gt;0,1,0),0)</f>
        <v>0</v>
      </c>
      <c r="AW963" s="80" t="str">
        <f>IF(AB963=1,INT(B963)*1440+Z963,"")</f>
        <v/>
      </c>
      <c r="AX963" s="80" t="str">
        <f>IF(AB963=1,AW963+AD963,"")</f>
        <v/>
      </c>
      <c r="AY963" s="80">
        <f>IF(AND(AB963=1,AV963=0,AU963=1),1,0)</f>
        <v>0</v>
      </c>
      <c r="AZ963" s="80">
        <f>IF(AY963=1,COUNTIFS(R_Emp,D963,R_SAbs,"&lt;"&amp;AX963,R_EAbs,"&gt;"&amp;AW963,R_OKey,1)-1,0)</f>
        <v>0</v>
      </c>
      <c r="BA963" s="80">
        <f>IF(AY963=1,COUNTIFS(R_Emp,"&lt;&gt;"&amp;D963,R_SAbs,"&lt;"&amp;AX963,R_EAbs,"&gt;"&amp;AW963,R_OKey,1),0)</f>
        <v>0</v>
      </c>
      <c r="BB963" s="80">
        <f>IF(AND(AB963=1,D963="proMX"),IF(AND(MOD(Z963,CFG_BLK)=0,MOD(AA963,CFG_BLK)=0,MOD(AG963,CFG_BLK)=0,AG963&gt;0),1,0),1)</f>
        <v>1</v>
      </c>
      <c r="BC963" s="80" t="str">
        <f>IF(Y963=0,"",IF(NOT(ISNUMBER(B963)),"Falta fecha o fecha inválida",IF(D963="","Falta empresa",IF(AND(D963&lt;&gt;"Malcolm",D963&lt;&gt;"proMX"),"Empresa inválida",IF(OR(INT(B963)&lt;CFG_PSTART,INT(B963)&gt;CFG_PEND),"Fecha fuera del período",IF(OR(NOT(ISNUMBER(Z963)),NOT(ISNUMBER(AA963))),"Falta hora inicio/fin o formato inválido",IF(AB963=0,"Hora inicio = hora fin",IF(AE963&lt;0,"Descanso inválido",IF(AE963&gt;=AD963,"Descanso ≥ duración",IF(AV963=1,"Registro duplicado",IF(AZ963&gt;0,"Se superpone con otro registro "&amp;D963,IF(BB963=0,"inicio, fin y duración neta deben ser múltiplos de "&amp;CFG_BLK&amp;" min",""))))))))))))</f>
        <v/>
      </c>
      <c r="BD963" s="80">
        <f>IF(AND(Y963=1,BC963=""),1,0)</f>
        <v>0</v>
      </c>
      <c r="BE963" s="80">
        <f>IF(AND(BD963=1,AU963=1),1,0)</f>
        <v>0</v>
      </c>
      <c r="BF963" s="80" t="str">
        <f>IF(AND(D963="proMX",BD963=1),IF(R963="","Draft",R963),"")</f>
        <v/>
      </c>
      <c r="BG963" s="80">
        <f>IF(BD963=1,ROUND(AG963/60,6),0)</f>
        <v>0</v>
      </c>
      <c r="BH963" s="80">
        <f>IF(BE963=1,ROUND(AG963/60,6),0)</f>
        <v>0</v>
      </c>
      <c r="BI963" s="80">
        <f>IF(BE963=1,ROUND(AP963/60,6),0)</f>
        <v>0</v>
      </c>
      <c r="BJ963" s="80">
        <f>IF(BE963=1,ROUND(AQ963/60,6),0)</f>
        <v>0</v>
      </c>
      <c r="BK963" s="80">
        <f>IF(BE963=1,ROUND((AR963+AS963)/60,6),0)</f>
        <v>0</v>
      </c>
      <c r="BL963" s="80">
        <f>ROUND(BH963-BK963,6)</f>
        <v>0</v>
      </c>
      <c r="BM963" s="80">
        <f>IF(BE963=1,ROUND(AR963/60,6),0)</f>
        <v>0</v>
      </c>
      <c r="BN963" s="80">
        <f>ROUND(BI963-BM963,6)</f>
        <v>0</v>
      </c>
      <c r="BO963" s="80">
        <f>IF(BE963=1,ROUND(AS963/60,6),0)</f>
        <v>0</v>
      </c>
      <c r="BP963" s="80">
        <f>ROUND(BJ963-BO963,6)</f>
        <v>0</v>
      </c>
      <c r="BQ963" s="80">
        <f>IF(BE963=1,AW963,0)</f>
        <v>0</v>
      </c>
      <c r="BR963" s="80">
        <f>IF(BE963=1,AX963,0)</f>
        <v>0</v>
      </c>
      <c r="BS963" s="80">
        <f>IF(AND(BE963=1,D963="Malcolm",BA963&gt;0),MIN(BH963,SUMPRODUCT((R_Emp="proMX")*(R_EN&gt;0)*((R_EN-(R_EN&gt;BR963)*(R_EN-BR963))&gt;(R_SN+(R_SN&lt;BQ963)*(BQ963-R_SN)))*((R_EN-(R_EN&gt;BR963)*(R_EN-BR963))-(R_SN+(R_SN&lt;BQ963)*(BQ963-R_SN))))/60),0)</f>
        <v>0</v>
      </c>
      <c r="BT963" s="80">
        <f>IF(AND(BE963=1,D963="proMX"),ROUND(BI963*CFG_RATE+BJ963*CFG_OTRATE,6),0)</f>
        <v>0</v>
      </c>
      <c r="BU963" s="80">
        <f>IF(AND(BD963=1,D963="proMX"),ROUND(AG963/CFG_BLK,6),0)</f>
        <v>0</v>
      </c>
      <c r="BV963" s="80" t="str">
        <f>IF(BF963="Approved",IF(ISNUMBER(T963),INT(T963),INT(B963)),"")</f>
        <v/>
      </c>
      <c r="BW963" s="80">
        <f>IF(ISNUMBER(B963),IF(DB_MON="Todos",1,IF(AND(INT(B963)&gt;=DB_MS,INT(B963)&lt;=DB_ME),1,0)),0)</f>
        <v>0</v>
      </c>
      <c r="BX963" s="80">
        <f>IF(DB_PROJ="Todos",1,IF(E963&amp;""=DB_PROJ&amp;"",1,0))</f>
        <v>1</v>
      </c>
      <c r="BY963" s="80">
        <f>BW963*BX963</f>
        <v>0</v>
      </c>
      <c r="BZ963" s="80" t="str">
        <f>IF(Y963=1,F963&amp;IF(AND(F963&amp;""&lt;&gt;"",E963&amp;""&lt;&gt;"")," · ","")&amp;E963,"")</f>
        <v/>
      </c>
      <c r="CA963" s="80" t="str">
        <f>IF(AND(BD963=1,E963&amp;""&lt;&gt;""),IF(COUNTIFS($E$5:E962,E963,$BD$5:BD962,1)=0,MAX($CA$5:CA962)+1,""),"")</f>
        <v/>
      </c>
      <c r="CB963" s="80" t="str">
        <f>IF(AND(BE963=1,D963="Malcolm",E963&amp;""&lt;&gt;""),IF(COUNTIFS($D$5:D962,"Malcolm",$E$5:E962,E963,$BE$5:BE962,1)=0,MAX($CB$5:CB962)+1,""),"")</f>
        <v/>
      </c>
      <c r="CC963" s="80" t="str">
        <f>IF(AND(BD963=1,D963="proMX",E963&amp;""&lt;&gt;""),IF(COUNTIFS($D$5:D962,"proMX",$E$5:E962,E963,$BD$5:BD962,1)=0,MAX($CC$5:CC962)+1,""),"")</f>
        <v/>
      </c>
      <c r="CD963" s="80" t="str">
        <f>IF(AND(BE963=1,D963="Malcolm",F963&amp;""&lt;&gt;""),IF(COUNTIFS($D$5:D962,"Malcolm",$F$5:F962,F963,$BE$5:BE962,1)=0,MAX($CD$5:CD962)+1,""),"")</f>
        <v/>
      </c>
      <c r="CE963" s="80" t="str">
        <f>IF(AND(BD963=1,D963="proMX",F963&amp;""&lt;&gt;""),IF(COUNTIFS($D$5:D962,"proMX",$F$5:F962,F963,$BD$5:BD962,1)=0,MAX($CE$5:CE962)+1,""),"")</f>
        <v/>
      </c>
      <c r="CF963" s="80" t="str">
        <f>IF(AND(D963="proMX",BD963=1),IF(OR(BF963="Draft",BF963="Submitted",BF963="Returned",BF963="Recall Requested"),MAX($CF$5:CF962)+1,""),"")</f>
        <v/>
      </c>
      <c r="CG963" s="80">
        <f>IF(BD963=0,0,IF(D963="Malcolm",1,MATCH(BF963,{"Draft","Submitted","Approved","Returned","Recall Requested","Cancelled"},0)+1))</f>
        <v>0</v>
      </c>
      <c r="CH963" s="80">
        <f>IF(AND(BF963="Submitted",ISNUMBER(V963)),IF(V963&gt;CFG_MAXD,1,0),0)</f>
        <v>0</v>
      </c>
    </row>
    <row r="964">
      <c r="A964" s="71" t="str">
        <f>IF(Y964=1,ROW()-5,"")</f>
        <v/>
      </c>
      <c r="B964" s="72" t="n"/>
      <c r="C964" s="71" t="str">
        <f>IF(ISNUMBER(B964),CHOOSE(WEEKDAY(B964,2),"Lun","Mar","Mié","Jue","Vie","Sáb","Dom"),"")</f>
        <v/>
      </c>
      <c r="D964" s="73" t="n"/>
      <c r="E964" s="74" t="n"/>
      <c r="F964" s="74" t="n"/>
      <c r="G964" s="74" t="n"/>
      <c r="H964" s="75" t="n"/>
      <c r="I964" s="75" t="n"/>
      <c r="J964" s="76" t="n"/>
      <c r="K964" s="77" t="str">
        <f>IF(AB964=1,ROUND(AG964/60,4),"")</f>
        <v/>
      </c>
      <c r="L964" s="77" t="str">
        <f>IF(BD964=1,ROUND(AP964/60,4),"")</f>
        <v/>
      </c>
      <c r="M964" s="77" t="str">
        <f>IF(BD964=1,ROUND(AQ964/60,4),"")</f>
        <v/>
      </c>
      <c r="N964" s="71" t="str">
        <f>IF(AND(D964="proMX",AB964=1),ROUND(AG964/CFG_BLK,2),"")</f>
        <v/>
      </c>
      <c r="O964" s="77" t="str">
        <f>IF(D964="proMX",IF(BD964=1,ROUND(AG964/60,4),0),"")</f>
        <v/>
      </c>
      <c r="P964" s="78" t="str">
        <f>IF(Y964=0,"",IF(BD964=1,"OK",IF(D964="proMX","Revisar bloques: ","Revisar: ")&amp;BC964))</f>
        <v/>
      </c>
      <c r="Q964" s="78" t="str">
        <f>IF(NOT(ISNUMBER(B964)),"",IF(COUNTIFS(FER_F,INT(B964))&gt;0,"Feriado"&amp;IF(AH964=1," (laborable)"," (no laborable)"),IF(AH964=1,"Laborable",IF(WEEKDAY(B964,2)&gt;5,"Fin de semana","No laborable"))))</f>
        <v/>
      </c>
      <c r="R964" s="73" t="n"/>
      <c r="S964" s="72" t="n"/>
      <c r="T964" s="72" t="n"/>
      <c r="U964" s="74" t="n"/>
      <c r="V964" s="79" t="str">
        <f>IF(AND(D964="proMX",OR(R964="Submitted",R964="Recall Requested"),ISNUMBER(S964)),CFG_TODAY-INT(S964),"")</f>
        <v/>
      </c>
      <c r="W964" s="78" t="str">
        <f>IF(BD964=0,"",IF(BA964&gt;0,"⚠ Se superpone con un registro de la otra empresa",IF(D964="Malcolm",IF(COUNTA(R964,S964,T964)&gt;0,"Estado/fechas proMX se ignoran en Malcolm",""),IF(BF964="Cancelled","Cancelado: excluido de totales",IF(R964="","Sin estado: se trata como Draft",IF(BF964="Submitted",IF(ISNUMBER(V964),IF(V964&gt;CFG_MAXD,"⚠ "&amp;V964&amp;" días en Submitted (máx. "&amp;CFG_MAXD&amp;")",""),"Falta fecha de envío"),IF(BF964="Returned","⚠ Devuelto: corregir y reenviar",IF(BF964="Recall Requested","Retirada solicitada: pendiente",IF(AND(BF964="Approved",NOT(ISNUMBER(T964))),"Falta fecha de aprobación",IF(AND(ISNUMBER(S964),ISNUMBER(T964),T964&lt;S964),"Aprobación anterior al envío","")))))))))</f>
        <v/>
      </c>
      <c r="Y964" s="80">
        <f>IF(COUNTA(B964,D964,E964,F964,G964,H964,I964,J964,R964,S964,T964)&gt;0,1,0)</f>
        <v>0</v>
      </c>
      <c r="Z964" s="80" t="str">
        <f>IF(AND(ISNUMBER(H964),H964&gt;=0,H964&lt;1),ROUND(H964*1440,0),"")</f>
        <v/>
      </c>
      <c r="AA964" s="80" t="str">
        <f>IF(AND(ISNUMBER(I964),I964&gt;=0,I964&lt;1),ROUND(I964*1440,0),"")</f>
        <v/>
      </c>
      <c r="AB964" s="80">
        <f>IF(AND(ISNUMBER(B964),D964&lt;&gt;"",ISNUMBER(Z964),ISNUMBER(AA964)),IF(Z964=AA964,0,1),0)</f>
        <v>0</v>
      </c>
      <c r="AC964" s="80">
        <f>IF(AB964=1,IF(AA964&lt;Z964,1,0),0)</f>
        <v>0</v>
      </c>
      <c r="AD964" s="80">
        <f>IF(AB964=1,IF(AC964=1,1440-Z964+AA964,AA964-Z964),0)</f>
        <v>0</v>
      </c>
      <c r="AE964" s="80">
        <f>IF(J964="",0,IF(ISNUMBER(J964),J964,-1))</f>
        <v>0</v>
      </c>
      <c r="AF964" s="80">
        <f>MIN(MAX(0,AE964),AD964)</f>
        <v>0</v>
      </c>
      <c r="AG964" s="80">
        <f>MAX(0,AD964-MAX(0,AE964))</f>
        <v>0</v>
      </c>
      <c r="AH964" s="80">
        <f>IF(ISNUMBER(B964),IF(AND(INDEX(CFG_WDAYS,WEEKDAY(INT(B964),2))="Sí",IF(D964="proMX",COUNTIFS(FER_F,INT(B964),FER_NLP,"Sí"),COUNTIFS(FER_F,INT(B964),FER_NLM,"Sí"))=0),1,0),0)</f>
        <v>0</v>
      </c>
      <c r="AI964" s="80">
        <f>IF(AC964=1,IF(AND(INDEX(CFG_WDAYS,WEEKDAY(INT(B964)+1,2))="Sí",IF(D964="proMX",COUNTIFS(FER_F,INT(B964)+1,FER_NLP,"Sí"),COUNTIFS(FER_F,INT(B964)+1,FER_NLM,"Sí"))=0),1,0),0)</f>
        <v>0</v>
      </c>
      <c r="AJ964" s="80">
        <f>IF(AC964=1,1440-Z964,AD964)</f>
        <v>0</v>
      </c>
      <c r="AK964" s="80">
        <f>IF(AND(AB964=1,AH964=1),MAX(0,MIN(IF(AC964=1,1440,AA964),CFG_WEM)-MAX(Z964,CFG_WSM)),0)</f>
        <v>0</v>
      </c>
      <c r="AL964" s="80">
        <f>IF(AND(AC964=1,AI964=1),MAX(0,MIN(AA964,CFG_WEM)-CFG_WSM),0)</f>
        <v>0</v>
      </c>
      <c r="AM964" s="80">
        <f>AK964+AL964</f>
        <v>0</v>
      </c>
      <c r="AN964" s="80">
        <f>IF(CFG_BRK="Proporcional",IF(AD964=0,0,AF964*AM964/AD964),IF(CFG_BRK="Extras primero",MIN(AM964,MAX(0,AF964-(AD964-AM964))),MIN(AF964,AM964)))</f>
        <v>0</v>
      </c>
      <c r="AO964" s="80">
        <f>AF964-AN964</f>
        <v>0</v>
      </c>
      <c r="AP964" s="80">
        <f>AM964-AN964</f>
        <v>0</v>
      </c>
      <c r="AQ964" s="80">
        <f>AD964-AM964-AO964</f>
        <v>0</v>
      </c>
      <c r="AR964" s="80">
        <f>IF(AM964=0,0,AK964-AN964*AK964/AM964)</f>
        <v>0</v>
      </c>
      <c r="AS964" s="80">
        <f>IF(AD964-AM964=0,0,(AJ964-AK964)-AO964*(AJ964-AK964)/(AD964-AM964))</f>
        <v>0</v>
      </c>
      <c r="AT964" s="80" t="str">
        <f>IF(AC964=1,INT(B964)+1,"")</f>
        <v/>
      </c>
      <c r="AU964" s="80">
        <f>IF(AND(D964="proMX",R964="Cancelled"),0,1)</f>
        <v>1</v>
      </c>
      <c r="AV964" s="80">
        <f>IF(AND(AB964=1,AU964=1),IF(COUNTIFS($D$5:D963,D964,$B$5:B963,B964,$Z$5:Z963,Z964,$AA$5:AA963,AA964,$F$5:F963,F964&amp;"",$AU$5:AU963,1)&gt;0,1,0),0)</f>
        <v>0</v>
      </c>
      <c r="AW964" s="80" t="str">
        <f>IF(AB964=1,INT(B964)*1440+Z964,"")</f>
        <v/>
      </c>
      <c r="AX964" s="80" t="str">
        <f>IF(AB964=1,AW964+AD964,"")</f>
        <v/>
      </c>
      <c r="AY964" s="80">
        <f>IF(AND(AB964=1,AV964=0,AU964=1),1,0)</f>
        <v>0</v>
      </c>
      <c r="AZ964" s="80">
        <f>IF(AY964=1,COUNTIFS(R_Emp,D964,R_SAbs,"&lt;"&amp;AX964,R_EAbs,"&gt;"&amp;AW964,R_OKey,1)-1,0)</f>
        <v>0</v>
      </c>
      <c r="BA964" s="80">
        <f>IF(AY964=1,COUNTIFS(R_Emp,"&lt;&gt;"&amp;D964,R_SAbs,"&lt;"&amp;AX964,R_EAbs,"&gt;"&amp;AW964,R_OKey,1),0)</f>
        <v>0</v>
      </c>
      <c r="BB964" s="80">
        <f>IF(AND(AB964=1,D964="proMX"),IF(AND(MOD(Z964,CFG_BLK)=0,MOD(AA964,CFG_BLK)=0,MOD(AG964,CFG_BLK)=0,AG964&gt;0),1,0),1)</f>
        <v>1</v>
      </c>
      <c r="BC964" s="80" t="str">
        <f>IF(Y964=0,"",IF(NOT(ISNUMBER(B964)),"Falta fecha o fecha inválida",IF(D964="","Falta empresa",IF(AND(D964&lt;&gt;"Malcolm",D964&lt;&gt;"proMX"),"Empresa inválida",IF(OR(INT(B964)&lt;CFG_PSTART,INT(B964)&gt;CFG_PEND),"Fecha fuera del período",IF(OR(NOT(ISNUMBER(Z964)),NOT(ISNUMBER(AA964))),"Falta hora inicio/fin o formato inválido",IF(AB964=0,"Hora inicio = hora fin",IF(AE964&lt;0,"Descanso inválido",IF(AE964&gt;=AD964,"Descanso ≥ duración",IF(AV964=1,"Registro duplicado",IF(AZ964&gt;0,"Se superpone con otro registro "&amp;D964,IF(BB964=0,"inicio, fin y duración neta deben ser múltiplos de "&amp;CFG_BLK&amp;" min",""))))))))))))</f>
        <v/>
      </c>
      <c r="BD964" s="80">
        <f>IF(AND(Y964=1,BC964=""),1,0)</f>
        <v>0</v>
      </c>
      <c r="BE964" s="80">
        <f>IF(AND(BD964=1,AU964=1),1,0)</f>
        <v>0</v>
      </c>
      <c r="BF964" s="80" t="str">
        <f>IF(AND(D964="proMX",BD964=1),IF(R964="","Draft",R964),"")</f>
        <v/>
      </c>
      <c r="BG964" s="80">
        <f>IF(BD964=1,ROUND(AG964/60,6),0)</f>
        <v>0</v>
      </c>
      <c r="BH964" s="80">
        <f>IF(BE964=1,ROUND(AG964/60,6),0)</f>
        <v>0</v>
      </c>
      <c r="BI964" s="80">
        <f>IF(BE964=1,ROUND(AP964/60,6),0)</f>
        <v>0</v>
      </c>
      <c r="BJ964" s="80">
        <f>IF(BE964=1,ROUND(AQ964/60,6),0)</f>
        <v>0</v>
      </c>
      <c r="BK964" s="80">
        <f>IF(BE964=1,ROUND((AR964+AS964)/60,6),0)</f>
        <v>0</v>
      </c>
      <c r="BL964" s="80">
        <f>ROUND(BH964-BK964,6)</f>
        <v>0</v>
      </c>
      <c r="BM964" s="80">
        <f>IF(BE964=1,ROUND(AR964/60,6),0)</f>
        <v>0</v>
      </c>
      <c r="BN964" s="80">
        <f>ROUND(BI964-BM964,6)</f>
        <v>0</v>
      </c>
      <c r="BO964" s="80">
        <f>IF(BE964=1,ROUND(AS964/60,6),0)</f>
        <v>0</v>
      </c>
      <c r="BP964" s="80">
        <f>ROUND(BJ964-BO964,6)</f>
        <v>0</v>
      </c>
      <c r="BQ964" s="80">
        <f>IF(BE964=1,AW964,0)</f>
        <v>0</v>
      </c>
      <c r="BR964" s="80">
        <f>IF(BE964=1,AX964,0)</f>
        <v>0</v>
      </c>
      <c r="BS964" s="80">
        <f>IF(AND(BE964=1,D964="Malcolm",BA964&gt;0),MIN(BH964,SUMPRODUCT((R_Emp="proMX")*(R_EN&gt;0)*((R_EN-(R_EN&gt;BR964)*(R_EN-BR964))&gt;(R_SN+(R_SN&lt;BQ964)*(BQ964-R_SN)))*((R_EN-(R_EN&gt;BR964)*(R_EN-BR964))-(R_SN+(R_SN&lt;BQ964)*(BQ964-R_SN))))/60),0)</f>
        <v>0</v>
      </c>
      <c r="BT964" s="80">
        <f>IF(AND(BE964=1,D964="proMX"),ROUND(BI964*CFG_RATE+BJ964*CFG_OTRATE,6),0)</f>
        <v>0</v>
      </c>
      <c r="BU964" s="80">
        <f>IF(AND(BD964=1,D964="proMX"),ROUND(AG964/CFG_BLK,6),0)</f>
        <v>0</v>
      </c>
      <c r="BV964" s="80" t="str">
        <f>IF(BF964="Approved",IF(ISNUMBER(T964),INT(T964),INT(B964)),"")</f>
        <v/>
      </c>
      <c r="BW964" s="80">
        <f>IF(ISNUMBER(B964),IF(DB_MON="Todos",1,IF(AND(INT(B964)&gt;=DB_MS,INT(B964)&lt;=DB_ME),1,0)),0)</f>
        <v>0</v>
      </c>
      <c r="BX964" s="80">
        <f>IF(DB_PROJ="Todos",1,IF(E964&amp;""=DB_PROJ&amp;"",1,0))</f>
        <v>1</v>
      </c>
      <c r="BY964" s="80">
        <f>BW964*BX964</f>
        <v>0</v>
      </c>
      <c r="BZ964" s="80" t="str">
        <f>IF(Y964=1,F964&amp;IF(AND(F964&amp;""&lt;&gt;"",E964&amp;""&lt;&gt;"")," · ","")&amp;E964,"")</f>
        <v/>
      </c>
      <c r="CA964" s="80" t="str">
        <f>IF(AND(BD964=1,E964&amp;""&lt;&gt;""),IF(COUNTIFS($E$5:E963,E964,$BD$5:BD963,1)=0,MAX($CA$5:CA963)+1,""),"")</f>
        <v/>
      </c>
      <c r="CB964" s="80" t="str">
        <f>IF(AND(BE964=1,D964="Malcolm",E964&amp;""&lt;&gt;""),IF(COUNTIFS($D$5:D963,"Malcolm",$E$5:E963,E964,$BE$5:BE963,1)=0,MAX($CB$5:CB963)+1,""),"")</f>
        <v/>
      </c>
      <c r="CC964" s="80" t="str">
        <f>IF(AND(BD964=1,D964="proMX",E964&amp;""&lt;&gt;""),IF(COUNTIFS($D$5:D963,"proMX",$E$5:E963,E964,$BD$5:BD963,1)=0,MAX($CC$5:CC963)+1,""),"")</f>
        <v/>
      </c>
      <c r="CD964" s="80" t="str">
        <f>IF(AND(BE964=1,D964="Malcolm",F964&amp;""&lt;&gt;""),IF(COUNTIFS($D$5:D963,"Malcolm",$F$5:F963,F964,$BE$5:BE963,1)=0,MAX($CD$5:CD963)+1,""),"")</f>
        <v/>
      </c>
      <c r="CE964" s="80" t="str">
        <f>IF(AND(BD964=1,D964="proMX",F964&amp;""&lt;&gt;""),IF(COUNTIFS($D$5:D963,"proMX",$F$5:F963,F964,$BD$5:BD963,1)=0,MAX($CE$5:CE963)+1,""),"")</f>
        <v/>
      </c>
      <c r="CF964" s="80" t="str">
        <f>IF(AND(D964="proMX",BD964=1),IF(OR(BF964="Draft",BF964="Submitted",BF964="Returned",BF964="Recall Requested"),MAX($CF$5:CF963)+1,""),"")</f>
        <v/>
      </c>
      <c r="CG964" s="80">
        <f>IF(BD964=0,0,IF(D964="Malcolm",1,MATCH(BF964,{"Draft","Submitted","Approved","Returned","Recall Requested","Cancelled"},0)+1))</f>
        <v>0</v>
      </c>
      <c r="CH964" s="80">
        <f>IF(AND(BF964="Submitted",ISNUMBER(V964)),IF(V964&gt;CFG_MAXD,1,0),0)</f>
        <v>0</v>
      </c>
    </row>
    <row r="965">
      <c r="A965" s="71" t="str">
        <f>IF(Y965=1,ROW()-5,"")</f>
        <v/>
      </c>
      <c r="B965" s="72" t="n"/>
      <c r="C965" s="71" t="str">
        <f>IF(ISNUMBER(B965),CHOOSE(WEEKDAY(B965,2),"Lun","Mar","Mié","Jue","Vie","Sáb","Dom"),"")</f>
        <v/>
      </c>
      <c r="D965" s="73" t="n"/>
      <c r="E965" s="74" t="n"/>
      <c r="F965" s="74" t="n"/>
      <c r="G965" s="74" t="n"/>
      <c r="H965" s="75" t="n"/>
      <c r="I965" s="75" t="n"/>
      <c r="J965" s="76" t="n"/>
      <c r="K965" s="77" t="str">
        <f>IF(AB965=1,ROUND(AG965/60,4),"")</f>
        <v/>
      </c>
      <c r="L965" s="77" t="str">
        <f>IF(BD965=1,ROUND(AP965/60,4),"")</f>
        <v/>
      </c>
      <c r="M965" s="77" t="str">
        <f>IF(BD965=1,ROUND(AQ965/60,4),"")</f>
        <v/>
      </c>
      <c r="N965" s="71" t="str">
        <f>IF(AND(D965="proMX",AB965=1),ROUND(AG965/CFG_BLK,2),"")</f>
        <v/>
      </c>
      <c r="O965" s="77" t="str">
        <f>IF(D965="proMX",IF(BD965=1,ROUND(AG965/60,4),0),"")</f>
        <v/>
      </c>
      <c r="P965" s="78" t="str">
        <f>IF(Y965=0,"",IF(BD965=1,"OK",IF(D965="proMX","Revisar bloques: ","Revisar: ")&amp;BC965))</f>
        <v/>
      </c>
      <c r="Q965" s="78" t="str">
        <f>IF(NOT(ISNUMBER(B965)),"",IF(COUNTIFS(FER_F,INT(B965))&gt;0,"Feriado"&amp;IF(AH965=1," (laborable)"," (no laborable)"),IF(AH965=1,"Laborable",IF(WEEKDAY(B965,2)&gt;5,"Fin de semana","No laborable"))))</f>
        <v/>
      </c>
      <c r="R965" s="73" t="n"/>
      <c r="S965" s="72" t="n"/>
      <c r="T965" s="72" t="n"/>
      <c r="U965" s="74" t="n"/>
      <c r="V965" s="79" t="str">
        <f>IF(AND(D965="proMX",OR(R965="Submitted",R965="Recall Requested"),ISNUMBER(S965)),CFG_TODAY-INT(S965),"")</f>
        <v/>
      </c>
      <c r="W965" s="78" t="str">
        <f>IF(BD965=0,"",IF(BA965&gt;0,"⚠ Se superpone con un registro de la otra empresa",IF(D965="Malcolm",IF(COUNTA(R965,S965,T965)&gt;0,"Estado/fechas proMX se ignoran en Malcolm",""),IF(BF965="Cancelled","Cancelado: excluido de totales",IF(R965="","Sin estado: se trata como Draft",IF(BF965="Submitted",IF(ISNUMBER(V965),IF(V965&gt;CFG_MAXD,"⚠ "&amp;V965&amp;" días en Submitted (máx. "&amp;CFG_MAXD&amp;")",""),"Falta fecha de envío"),IF(BF965="Returned","⚠ Devuelto: corregir y reenviar",IF(BF965="Recall Requested","Retirada solicitada: pendiente",IF(AND(BF965="Approved",NOT(ISNUMBER(T965))),"Falta fecha de aprobación",IF(AND(ISNUMBER(S965),ISNUMBER(T965),T965&lt;S965),"Aprobación anterior al envío","")))))))))</f>
        <v/>
      </c>
      <c r="Y965" s="80">
        <f>IF(COUNTA(B965,D965,E965,F965,G965,H965,I965,J965,R965,S965,T965)&gt;0,1,0)</f>
        <v>0</v>
      </c>
      <c r="Z965" s="80" t="str">
        <f>IF(AND(ISNUMBER(H965),H965&gt;=0,H965&lt;1),ROUND(H965*1440,0),"")</f>
        <v/>
      </c>
      <c r="AA965" s="80" t="str">
        <f>IF(AND(ISNUMBER(I965),I965&gt;=0,I965&lt;1),ROUND(I965*1440,0),"")</f>
        <v/>
      </c>
      <c r="AB965" s="80">
        <f>IF(AND(ISNUMBER(B965),D965&lt;&gt;"",ISNUMBER(Z965),ISNUMBER(AA965)),IF(Z965=AA965,0,1),0)</f>
        <v>0</v>
      </c>
      <c r="AC965" s="80">
        <f>IF(AB965=1,IF(AA965&lt;Z965,1,0),0)</f>
        <v>0</v>
      </c>
      <c r="AD965" s="80">
        <f>IF(AB965=1,IF(AC965=1,1440-Z965+AA965,AA965-Z965),0)</f>
        <v>0</v>
      </c>
      <c r="AE965" s="80">
        <f>IF(J965="",0,IF(ISNUMBER(J965),J965,-1))</f>
        <v>0</v>
      </c>
      <c r="AF965" s="80">
        <f>MIN(MAX(0,AE965),AD965)</f>
        <v>0</v>
      </c>
      <c r="AG965" s="80">
        <f>MAX(0,AD965-MAX(0,AE965))</f>
        <v>0</v>
      </c>
      <c r="AH965" s="80">
        <f>IF(ISNUMBER(B965),IF(AND(INDEX(CFG_WDAYS,WEEKDAY(INT(B965),2))="Sí",IF(D965="proMX",COUNTIFS(FER_F,INT(B965),FER_NLP,"Sí"),COUNTIFS(FER_F,INT(B965),FER_NLM,"Sí"))=0),1,0),0)</f>
        <v>0</v>
      </c>
      <c r="AI965" s="80">
        <f>IF(AC965=1,IF(AND(INDEX(CFG_WDAYS,WEEKDAY(INT(B965)+1,2))="Sí",IF(D965="proMX",COUNTIFS(FER_F,INT(B965)+1,FER_NLP,"Sí"),COUNTIFS(FER_F,INT(B965)+1,FER_NLM,"Sí"))=0),1,0),0)</f>
        <v>0</v>
      </c>
      <c r="AJ965" s="80">
        <f>IF(AC965=1,1440-Z965,AD965)</f>
        <v>0</v>
      </c>
      <c r="AK965" s="80">
        <f>IF(AND(AB965=1,AH965=1),MAX(0,MIN(IF(AC965=1,1440,AA965),CFG_WEM)-MAX(Z965,CFG_WSM)),0)</f>
        <v>0</v>
      </c>
      <c r="AL965" s="80">
        <f>IF(AND(AC965=1,AI965=1),MAX(0,MIN(AA965,CFG_WEM)-CFG_WSM),0)</f>
        <v>0</v>
      </c>
      <c r="AM965" s="80">
        <f>AK965+AL965</f>
        <v>0</v>
      </c>
      <c r="AN965" s="80">
        <f>IF(CFG_BRK="Proporcional",IF(AD965=0,0,AF965*AM965/AD965),IF(CFG_BRK="Extras primero",MIN(AM965,MAX(0,AF965-(AD965-AM965))),MIN(AF965,AM965)))</f>
        <v>0</v>
      </c>
      <c r="AO965" s="80">
        <f>AF965-AN965</f>
        <v>0</v>
      </c>
      <c r="AP965" s="80">
        <f>AM965-AN965</f>
        <v>0</v>
      </c>
      <c r="AQ965" s="80">
        <f>AD965-AM965-AO965</f>
        <v>0</v>
      </c>
      <c r="AR965" s="80">
        <f>IF(AM965=0,0,AK965-AN965*AK965/AM965)</f>
        <v>0</v>
      </c>
      <c r="AS965" s="80">
        <f>IF(AD965-AM965=0,0,(AJ965-AK965)-AO965*(AJ965-AK965)/(AD965-AM965))</f>
        <v>0</v>
      </c>
      <c r="AT965" s="80" t="str">
        <f>IF(AC965=1,INT(B965)+1,"")</f>
        <v/>
      </c>
      <c r="AU965" s="80">
        <f>IF(AND(D965="proMX",R965="Cancelled"),0,1)</f>
        <v>1</v>
      </c>
      <c r="AV965" s="80">
        <f>IF(AND(AB965=1,AU965=1),IF(COUNTIFS($D$5:D964,D965,$B$5:B964,B965,$Z$5:Z964,Z965,$AA$5:AA964,AA965,$F$5:F964,F965&amp;"",$AU$5:AU964,1)&gt;0,1,0),0)</f>
        <v>0</v>
      </c>
      <c r="AW965" s="80" t="str">
        <f>IF(AB965=1,INT(B965)*1440+Z965,"")</f>
        <v/>
      </c>
      <c r="AX965" s="80" t="str">
        <f>IF(AB965=1,AW965+AD965,"")</f>
        <v/>
      </c>
      <c r="AY965" s="80">
        <f>IF(AND(AB965=1,AV965=0,AU965=1),1,0)</f>
        <v>0</v>
      </c>
      <c r="AZ965" s="80">
        <f>IF(AY965=1,COUNTIFS(R_Emp,D965,R_SAbs,"&lt;"&amp;AX965,R_EAbs,"&gt;"&amp;AW965,R_OKey,1)-1,0)</f>
        <v>0</v>
      </c>
      <c r="BA965" s="80">
        <f>IF(AY965=1,COUNTIFS(R_Emp,"&lt;&gt;"&amp;D965,R_SAbs,"&lt;"&amp;AX965,R_EAbs,"&gt;"&amp;AW965,R_OKey,1),0)</f>
        <v>0</v>
      </c>
      <c r="BB965" s="80">
        <f>IF(AND(AB965=1,D965="proMX"),IF(AND(MOD(Z965,CFG_BLK)=0,MOD(AA965,CFG_BLK)=0,MOD(AG965,CFG_BLK)=0,AG965&gt;0),1,0),1)</f>
        <v>1</v>
      </c>
      <c r="BC965" s="80" t="str">
        <f>IF(Y965=0,"",IF(NOT(ISNUMBER(B965)),"Falta fecha o fecha inválida",IF(D965="","Falta empresa",IF(AND(D965&lt;&gt;"Malcolm",D965&lt;&gt;"proMX"),"Empresa inválida",IF(OR(INT(B965)&lt;CFG_PSTART,INT(B965)&gt;CFG_PEND),"Fecha fuera del período",IF(OR(NOT(ISNUMBER(Z965)),NOT(ISNUMBER(AA965))),"Falta hora inicio/fin o formato inválido",IF(AB965=0,"Hora inicio = hora fin",IF(AE965&lt;0,"Descanso inválido",IF(AE965&gt;=AD965,"Descanso ≥ duración",IF(AV965=1,"Registro duplicado",IF(AZ965&gt;0,"Se superpone con otro registro "&amp;D965,IF(BB965=0,"inicio, fin y duración neta deben ser múltiplos de "&amp;CFG_BLK&amp;" min",""))))))))))))</f>
        <v/>
      </c>
      <c r="BD965" s="80">
        <f>IF(AND(Y965=1,BC965=""),1,0)</f>
        <v>0</v>
      </c>
      <c r="BE965" s="80">
        <f>IF(AND(BD965=1,AU965=1),1,0)</f>
        <v>0</v>
      </c>
      <c r="BF965" s="80" t="str">
        <f>IF(AND(D965="proMX",BD965=1),IF(R965="","Draft",R965),"")</f>
        <v/>
      </c>
      <c r="BG965" s="80">
        <f>IF(BD965=1,ROUND(AG965/60,6),0)</f>
        <v>0</v>
      </c>
      <c r="BH965" s="80">
        <f>IF(BE965=1,ROUND(AG965/60,6),0)</f>
        <v>0</v>
      </c>
      <c r="BI965" s="80">
        <f>IF(BE965=1,ROUND(AP965/60,6),0)</f>
        <v>0</v>
      </c>
      <c r="BJ965" s="80">
        <f>IF(BE965=1,ROUND(AQ965/60,6),0)</f>
        <v>0</v>
      </c>
      <c r="BK965" s="80">
        <f>IF(BE965=1,ROUND((AR965+AS965)/60,6),0)</f>
        <v>0</v>
      </c>
      <c r="BL965" s="80">
        <f>ROUND(BH965-BK965,6)</f>
        <v>0</v>
      </c>
      <c r="BM965" s="80">
        <f>IF(BE965=1,ROUND(AR965/60,6),0)</f>
        <v>0</v>
      </c>
      <c r="BN965" s="80">
        <f>ROUND(BI965-BM965,6)</f>
        <v>0</v>
      </c>
      <c r="BO965" s="80">
        <f>IF(BE965=1,ROUND(AS965/60,6),0)</f>
        <v>0</v>
      </c>
      <c r="BP965" s="80">
        <f>ROUND(BJ965-BO965,6)</f>
        <v>0</v>
      </c>
      <c r="BQ965" s="80">
        <f>IF(BE965=1,AW965,0)</f>
        <v>0</v>
      </c>
      <c r="BR965" s="80">
        <f>IF(BE965=1,AX965,0)</f>
        <v>0</v>
      </c>
      <c r="BS965" s="80">
        <f>IF(AND(BE965=1,D965="Malcolm",BA965&gt;0),MIN(BH965,SUMPRODUCT((R_Emp="proMX")*(R_EN&gt;0)*((R_EN-(R_EN&gt;BR965)*(R_EN-BR965))&gt;(R_SN+(R_SN&lt;BQ965)*(BQ965-R_SN)))*((R_EN-(R_EN&gt;BR965)*(R_EN-BR965))-(R_SN+(R_SN&lt;BQ965)*(BQ965-R_SN))))/60),0)</f>
        <v>0</v>
      </c>
      <c r="BT965" s="80">
        <f>IF(AND(BE965=1,D965="proMX"),ROUND(BI965*CFG_RATE+BJ965*CFG_OTRATE,6),0)</f>
        <v>0</v>
      </c>
      <c r="BU965" s="80">
        <f>IF(AND(BD965=1,D965="proMX"),ROUND(AG965/CFG_BLK,6),0)</f>
        <v>0</v>
      </c>
      <c r="BV965" s="80" t="str">
        <f>IF(BF965="Approved",IF(ISNUMBER(T965),INT(T965),INT(B965)),"")</f>
        <v/>
      </c>
      <c r="BW965" s="80">
        <f>IF(ISNUMBER(B965),IF(DB_MON="Todos",1,IF(AND(INT(B965)&gt;=DB_MS,INT(B965)&lt;=DB_ME),1,0)),0)</f>
        <v>0</v>
      </c>
      <c r="BX965" s="80">
        <f>IF(DB_PROJ="Todos",1,IF(E965&amp;""=DB_PROJ&amp;"",1,0))</f>
        <v>1</v>
      </c>
      <c r="BY965" s="80">
        <f>BW965*BX965</f>
        <v>0</v>
      </c>
      <c r="BZ965" s="80" t="str">
        <f>IF(Y965=1,F965&amp;IF(AND(F965&amp;""&lt;&gt;"",E965&amp;""&lt;&gt;"")," · ","")&amp;E965,"")</f>
        <v/>
      </c>
      <c r="CA965" s="80" t="str">
        <f>IF(AND(BD965=1,E965&amp;""&lt;&gt;""),IF(COUNTIFS($E$5:E964,E965,$BD$5:BD964,1)=0,MAX($CA$5:CA964)+1,""),"")</f>
        <v/>
      </c>
      <c r="CB965" s="80" t="str">
        <f>IF(AND(BE965=1,D965="Malcolm",E965&amp;""&lt;&gt;""),IF(COUNTIFS($D$5:D964,"Malcolm",$E$5:E964,E965,$BE$5:BE964,1)=0,MAX($CB$5:CB964)+1,""),"")</f>
        <v/>
      </c>
      <c r="CC965" s="80" t="str">
        <f>IF(AND(BD965=1,D965="proMX",E965&amp;""&lt;&gt;""),IF(COUNTIFS($D$5:D964,"proMX",$E$5:E964,E965,$BD$5:BD964,1)=0,MAX($CC$5:CC964)+1,""),"")</f>
        <v/>
      </c>
      <c r="CD965" s="80" t="str">
        <f>IF(AND(BE965=1,D965="Malcolm",F965&amp;""&lt;&gt;""),IF(COUNTIFS($D$5:D964,"Malcolm",$F$5:F964,F965,$BE$5:BE964,1)=0,MAX($CD$5:CD964)+1,""),"")</f>
        <v/>
      </c>
      <c r="CE965" s="80" t="str">
        <f>IF(AND(BD965=1,D965="proMX",F965&amp;""&lt;&gt;""),IF(COUNTIFS($D$5:D964,"proMX",$F$5:F964,F965,$BD$5:BD964,1)=0,MAX($CE$5:CE964)+1,""),"")</f>
        <v/>
      </c>
      <c r="CF965" s="80" t="str">
        <f>IF(AND(D965="proMX",BD965=1),IF(OR(BF965="Draft",BF965="Submitted",BF965="Returned",BF965="Recall Requested"),MAX($CF$5:CF964)+1,""),"")</f>
        <v/>
      </c>
      <c r="CG965" s="80">
        <f>IF(BD965=0,0,IF(D965="Malcolm",1,MATCH(BF965,{"Draft","Submitted","Approved","Returned","Recall Requested","Cancelled"},0)+1))</f>
        <v>0</v>
      </c>
      <c r="CH965" s="80">
        <f>IF(AND(BF965="Submitted",ISNUMBER(V965)),IF(V965&gt;CFG_MAXD,1,0),0)</f>
        <v>0</v>
      </c>
    </row>
    <row r="966">
      <c r="A966" s="71" t="str">
        <f>IF(Y966=1,ROW()-5,"")</f>
        <v/>
      </c>
      <c r="B966" s="72" t="n"/>
      <c r="C966" s="71" t="str">
        <f>IF(ISNUMBER(B966),CHOOSE(WEEKDAY(B966,2),"Lun","Mar","Mié","Jue","Vie","Sáb","Dom"),"")</f>
        <v/>
      </c>
      <c r="D966" s="73" t="n"/>
      <c r="E966" s="74" t="n"/>
      <c r="F966" s="74" t="n"/>
      <c r="G966" s="74" t="n"/>
      <c r="H966" s="75" t="n"/>
      <c r="I966" s="75" t="n"/>
      <c r="J966" s="76" t="n"/>
      <c r="K966" s="77" t="str">
        <f>IF(AB966=1,ROUND(AG966/60,4),"")</f>
        <v/>
      </c>
      <c r="L966" s="77" t="str">
        <f>IF(BD966=1,ROUND(AP966/60,4),"")</f>
        <v/>
      </c>
      <c r="M966" s="77" t="str">
        <f>IF(BD966=1,ROUND(AQ966/60,4),"")</f>
        <v/>
      </c>
      <c r="N966" s="71" t="str">
        <f>IF(AND(D966="proMX",AB966=1),ROUND(AG966/CFG_BLK,2),"")</f>
        <v/>
      </c>
      <c r="O966" s="77" t="str">
        <f>IF(D966="proMX",IF(BD966=1,ROUND(AG966/60,4),0),"")</f>
        <v/>
      </c>
      <c r="P966" s="78" t="str">
        <f>IF(Y966=0,"",IF(BD966=1,"OK",IF(D966="proMX","Revisar bloques: ","Revisar: ")&amp;BC966))</f>
        <v/>
      </c>
      <c r="Q966" s="78" t="str">
        <f>IF(NOT(ISNUMBER(B966)),"",IF(COUNTIFS(FER_F,INT(B966))&gt;0,"Feriado"&amp;IF(AH966=1," (laborable)"," (no laborable)"),IF(AH966=1,"Laborable",IF(WEEKDAY(B966,2)&gt;5,"Fin de semana","No laborable"))))</f>
        <v/>
      </c>
      <c r="R966" s="73" t="n"/>
      <c r="S966" s="72" t="n"/>
      <c r="T966" s="72" t="n"/>
      <c r="U966" s="74" t="n"/>
      <c r="V966" s="79" t="str">
        <f>IF(AND(D966="proMX",OR(R966="Submitted",R966="Recall Requested"),ISNUMBER(S966)),CFG_TODAY-INT(S966),"")</f>
        <v/>
      </c>
      <c r="W966" s="78" t="str">
        <f>IF(BD966=0,"",IF(BA966&gt;0,"⚠ Se superpone con un registro de la otra empresa",IF(D966="Malcolm",IF(COUNTA(R966,S966,T966)&gt;0,"Estado/fechas proMX se ignoran en Malcolm",""),IF(BF966="Cancelled","Cancelado: excluido de totales",IF(R966="","Sin estado: se trata como Draft",IF(BF966="Submitted",IF(ISNUMBER(V966),IF(V966&gt;CFG_MAXD,"⚠ "&amp;V966&amp;" días en Submitted (máx. "&amp;CFG_MAXD&amp;")",""),"Falta fecha de envío"),IF(BF966="Returned","⚠ Devuelto: corregir y reenviar",IF(BF966="Recall Requested","Retirada solicitada: pendiente",IF(AND(BF966="Approved",NOT(ISNUMBER(T966))),"Falta fecha de aprobación",IF(AND(ISNUMBER(S966),ISNUMBER(T966),T966&lt;S966),"Aprobación anterior al envío","")))))))))</f>
        <v/>
      </c>
      <c r="Y966" s="80">
        <f>IF(COUNTA(B966,D966,E966,F966,G966,H966,I966,J966,R966,S966,T966)&gt;0,1,0)</f>
        <v>0</v>
      </c>
      <c r="Z966" s="80" t="str">
        <f>IF(AND(ISNUMBER(H966),H966&gt;=0,H966&lt;1),ROUND(H966*1440,0),"")</f>
        <v/>
      </c>
      <c r="AA966" s="80" t="str">
        <f>IF(AND(ISNUMBER(I966),I966&gt;=0,I966&lt;1),ROUND(I966*1440,0),"")</f>
        <v/>
      </c>
      <c r="AB966" s="80">
        <f>IF(AND(ISNUMBER(B966),D966&lt;&gt;"",ISNUMBER(Z966),ISNUMBER(AA966)),IF(Z966=AA966,0,1),0)</f>
        <v>0</v>
      </c>
      <c r="AC966" s="80">
        <f>IF(AB966=1,IF(AA966&lt;Z966,1,0),0)</f>
        <v>0</v>
      </c>
      <c r="AD966" s="80">
        <f>IF(AB966=1,IF(AC966=1,1440-Z966+AA966,AA966-Z966),0)</f>
        <v>0</v>
      </c>
      <c r="AE966" s="80">
        <f>IF(J966="",0,IF(ISNUMBER(J966),J966,-1))</f>
        <v>0</v>
      </c>
      <c r="AF966" s="80">
        <f>MIN(MAX(0,AE966),AD966)</f>
        <v>0</v>
      </c>
      <c r="AG966" s="80">
        <f>MAX(0,AD966-MAX(0,AE966))</f>
        <v>0</v>
      </c>
      <c r="AH966" s="80">
        <f>IF(ISNUMBER(B966),IF(AND(INDEX(CFG_WDAYS,WEEKDAY(INT(B966),2))="Sí",IF(D966="proMX",COUNTIFS(FER_F,INT(B966),FER_NLP,"Sí"),COUNTIFS(FER_F,INT(B966),FER_NLM,"Sí"))=0),1,0),0)</f>
        <v>0</v>
      </c>
      <c r="AI966" s="80">
        <f>IF(AC966=1,IF(AND(INDEX(CFG_WDAYS,WEEKDAY(INT(B966)+1,2))="Sí",IF(D966="proMX",COUNTIFS(FER_F,INT(B966)+1,FER_NLP,"Sí"),COUNTIFS(FER_F,INT(B966)+1,FER_NLM,"Sí"))=0),1,0),0)</f>
        <v>0</v>
      </c>
      <c r="AJ966" s="80">
        <f>IF(AC966=1,1440-Z966,AD966)</f>
        <v>0</v>
      </c>
      <c r="AK966" s="80">
        <f>IF(AND(AB966=1,AH966=1),MAX(0,MIN(IF(AC966=1,1440,AA966),CFG_WEM)-MAX(Z966,CFG_WSM)),0)</f>
        <v>0</v>
      </c>
      <c r="AL966" s="80">
        <f>IF(AND(AC966=1,AI966=1),MAX(0,MIN(AA966,CFG_WEM)-CFG_WSM),0)</f>
        <v>0</v>
      </c>
      <c r="AM966" s="80">
        <f>AK966+AL966</f>
        <v>0</v>
      </c>
      <c r="AN966" s="80">
        <f>IF(CFG_BRK="Proporcional",IF(AD966=0,0,AF966*AM966/AD966),IF(CFG_BRK="Extras primero",MIN(AM966,MAX(0,AF966-(AD966-AM966))),MIN(AF966,AM966)))</f>
        <v>0</v>
      </c>
      <c r="AO966" s="80">
        <f>AF966-AN966</f>
        <v>0</v>
      </c>
      <c r="AP966" s="80">
        <f>AM966-AN966</f>
        <v>0</v>
      </c>
      <c r="AQ966" s="80">
        <f>AD966-AM966-AO966</f>
        <v>0</v>
      </c>
      <c r="AR966" s="80">
        <f>IF(AM966=0,0,AK966-AN966*AK966/AM966)</f>
        <v>0</v>
      </c>
      <c r="AS966" s="80">
        <f>IF(AD966-AM966=0,0,(AJ966-AK966)-AO966*(AJ966-AK966)/(AD966-AM966))</f>
        <v>0</v>
      </c>
      <c r="AT966" s="80" t="str">
        <f>IF(AC966=1,INT(B966)+1,"")</f>
        <v/>
      </c>
      <c r="AU966" s="80">
        <f>IF(AND(D966="proMX",R966="Cancelled"),0,1)</f>
        <v>1</v>
      </c>
      <c r="AV966" s="80">
        <f>IF(AND(AB966=1,AU966=1),IF(COUNTIFS($D$5:D965,D966,$B$5:B965,B966,$Z$5:Z965,Z966,$AA$5:AA965,AA966,$F$5:F965,F966&amp;"",$AU$5:AU965,1)&gt;0,1,0),0)</f>
        <v>0</v>
      </c>
      <c r="AW966" s="80" t="str">
        <f>IF(AB966=1,INT(B966)*1440+Z966,"")</f>
        <v/>
      </c>
      <c r="AX966" s="80" t="str">
        <f>IF(AB966=1,AW966+AD966,"")</f>
        <v/>
      </c>
      <c r="AY966" s="80">
        <f>IF(AND(AB966=1,AV966=0,AU966=1),1,0)</f>
        <v>0</v>
      </c>
      <c r="AZ966" s="80">
        <f>IF(AY966=1,COUNTIFS(R_Emp,D966,R_SAbs,"&lt;"&amp;AX966,R_EAbs,"&gt;"&amp;AW966,R_OKey,1)-1,0)</f>
        <v>0</v>
      </c>
      <c r="BA966" s="80">
        <f>IF(AY966=1,COUNTIFS(R_Emp,"&lt;&gt;"&amp;D966,R_SAbs,"&lt;"&amp;AX966,R_EAbs,"&gt;"&amp;AW966,R_OKey,1),0)</f>
        <v>0</v>
      </c>
      <c r="BB966" s="80">
        <f>IF(AND(AB966=1,D966="proMX"),IF(AND(MOD(Z966,CFG_BLK)=0,MOD(AA966,CFG_BLK)=0,MOD(AG966,CFG_BLK)=0,AG966&gt;0),1,0),1)</f>
        <v>1</v>
      </c>
      <c r="BC966" s="80" t="str">
        <f>IF(Y966=0,"",IF(NOT(ISNUMBER(B966)),"Falta fecha o fecha inválida",IF(D966="","Falta empresa",IF(AND(D966&lt;&gt;"Malcolm",D966&lt;&gt;"proMX"),"Empresa inválida",IF(OR(INT(B966)&lt;CFG_PSTART,INT(B966)&gt;CFG_PEND),"Fecha fuera del período",IF(OR(NOT(ISNUMBER(Z966)),NOT(ISNUMBER(AA966))),"Falta hora inicio/fin o formato inválido",IF(AB966=0,"Hora inicio = hora fin",IF(AE966&lt;0,"Descanso inválido",IF(AE966&gt;=AD966,"Descanso ≥ duración",IF(AV966=1,"Registro duplicado",IF(AZ966&gt;0,"Se superpone con otro registro "&amp;D966,IF(BB966=0,"inicio, fin y duración neta deben ser múltiplos de "&amp;CFG_BLK&amp;" min",""))))))))))))</f>
        <v/>
      </c>
      <c r="BD966" s="80">
        <f>IF(AND(Y966=1,BC966=""),1,0)</f>
        <v>0</v>
      </c>
      <c r="BE966" s="80">
        <f>IF(AND(BD966=1,AU966=1),1,0)</f>
        <v>0</v>
      </c>
      <c r="BF966" s="80" t="str">
        <f>IF(AND(D966="proMX",BD966=1),IF(R966="","Draft",R966),"")</f>
        <v/>
      </c>
      <c r="BG966" s="80">
        <f>IF(BD966=1,ROUND(AG966/60,6),0)</f>
        <v>0</v>
      </c>
      <c r="BH966" s="80">
        <f>IF(BE966=1,ROUND(AG966/60,6),0)</f>
        <v>0</v>
      </c>
      <c r="BI966" s="80">
        <f>IF(BE966=1,ROUND(AP966/60,6),0)</f>
        <v>0</v>
      </c>
      <c r="BJ966" s="80">
        <f>IF(BE966=1,ROUND(AQ966/60,6),0)</f>
        <v>0</v>
      </c>
      <c r="BK966" s="80">
        <f>IF(BE966=1,ROUND((AR966+AS966)/60,6),0)</f>
        <v>0</v>
      </c>
      <c r="BL966" s="80">
        <f>ROUND(BH966-BK966,6)</f>
        <v>0</v>
      </c>
      <c r="BM966" s="80">
        <f>IF(BE966=1,ROUND(AR966/60,6),0)</f>
        <v>0</v>
      </c>
      <c r="BN966" s="80">
        <f>ROUND(BI966-BM966,6)</f>
        <v>0</v>
      </c>
      <c r="BO966" s="80">
        <f>IF(BE966=1,ROUND(AS966/60,6),0)</f>
        <v>0</v>
      </c>
      <c r="BP966" s="80">
        <f>ROUND(BJ966-BO966,6)</f>
        <v>0</v>
      </c>
      <c r="BQ966" s="80">
        <f>IF(BE966=1,AW966,0)</f>
        <v>0</v>
      </c>
      <c r="BR966" s="80">
        <f>IF(BE966=1,AX966,0)</f>
        <v>0</v>
      </c>
      <c r="BS966" s="80">
        <f>IF(AND(BE966=1,D966="Malcolm",BA966&gt;0),MIN(BH966,SUMPRODUCT((R_Emp="proMX")*(R_EN&gt;0)*((R_EN-(R_EN&gt;BR966)*(R_EN-BR966))&gt;(R_SN+(R_SN&lt;BQ966)*(BQ966-R_SN)))*((R_EN-(R_EN&gt;BR966)*(R_EN-BR966))-(R_SN+(R_SN&lt;BQ966)*(BQ966-R_SN))))/60),0)</f>
        <v>0</v>
      </c>
      <c r="BT966" s="80">
        <f>IF(AND(BE966=1,D966="proMX"),ROUND(BI966*CFG_RATE+BJ966*CFG_OTRATE,6),0)</f>
        <v>0</v>
      </c>
      <c r="BU966" s="80">
        <f>IF(AND(BD966=1,D966="proMX"),ROUND(AG966/CFG_BLK,6),0)</f>
        <v>0</v>
      </c>
      <c r="BV966" s="80" t="str">
        <f>IF(BF966="Approved",IF(ISNUMBER(T966),INT(T966),INT(B966)),"")</f>
        <v/>
      </c>
      <c r="BW966" s="80">
        <f>IF(ISNUMBER(B966),IF(DB_MON="Todos",1,IF(AND(INT(B966)&gt;=DB_MS,INT(B966)&lt;=DB_ME),1,0)),0)</f>
        <v>0</v>
      </c>
      <c r="BX966" s="80">
        <f>IF(DB_PROJ="Todos",1,IF(E966&amp;""=DB_PROJ&amp;"",1,0))</f>
        <v>1</v>
      </c>
      <c r="BY966" s="80">
        <f>BW966*BX966</f>
        <v>0</v>
      </c>
      <c r="BZ966" s="80" t="str">
        <f>IF(Y966=1,F966&amp;IF(AND(F966&amp;""&lt;&gt;"",E966&amp;""&lt;&gt;"")," · ","")&amp;E966,"")</f>
        <v/>
      </c>
      <c r="CA966" s="80" t="str">
        <f>IF(AND(BD966=1,E966&amp;""&lt;&gt;""),IF(COUNTIFS($E$5:E965,E966,$BD$5:BD965,1)=0,MAX($CA$5:CA965)+1,""),"")</f>
        <v/>
      </c>
      <c r="CB966" s="80" t="str">
        <f>IF(AND(BE966=1,D966="Malcolm",E966&amp;""&lt;&gt;""),IF(COUNTIFS($D$5:D965,"Malcolm",$E$5:E965,E966,$BE$5:BE965,1)=0,MAX($CB$5:CB965)+1,""),"")</f>
        <v/>
      </c>
      <c r="CC966" s="80" t="str">
        <f>IF(AND(BD966=1,D966="proMX",E966&amp;""&lt;&gt;""),IF(COUNTIFS($D$5:D965,"proMX",$E$5:E965,E966,$BD$5:BD965,1)=0,MAX($CC$5:CC965)+1,""),"")</f>
        <v/>
      </c>
      <c r="CD966" s="80" t="str">
        <f>IF(AND(BE966=1,D966="Malcolm",F966&amp;""&lt;&gt;""),IF(COUNTIFS($D$5:D965,"Malcolm",$F$5:F965,F966,$BE$5:BE965,1)=0,MAX($CD$5:CD965)+1,""),"")</f>
        <v/>
      </c>
      <c r="CE966" s="80" t="str">
        <f>IF(AND(BD966=1,D966="proMX",F966&amp;""&lt;&gt;""),IF(COUNTIFS($D$5:D965,"proMX",$F$5:F965,F966,$BD$5:BD965,1)=0,MAX($CE$5:CE965)+1,""),"")</f>
        <v/>
      </c>
      <c r="CF966" s="80" t="str">
        <f>IF(AND(D966="proMX",BD966=1),IF(OR(BF966="Draft",BF966="Submitted",BF966="Returned",BF966="Recall Requested"),MAX($CF$5:CF965)+1,""),"")</f>
        <v/>
      </c>
      <c r="CG966" s="80">
        <f>IF(BD966=0,0,IF(D966="Malcolm",1,MATCH(BF966,{"Draft","Submitted","Approved","Returned","Recall Requested","Cancelled"},0)+1))</f>
        <v>0</v>
      </c>
      <c r="CH966" s="80">
        <f>IF(AND(BF966="Submitted",ISNUMBER(V966)),IF(V966&gt;CFG_MAXD,1,0),0)</f>
        <v>0</v>
      </c>
    </row>
    <row r="967">
      <c r="A967" s="71" t="str">
        <f>IF(Y967=1,ROW()-5,"")</f>
        <v/>
      </c>
      <c r="B967" s="72" t="n"/>
      <c r="C967" s="71" t="str">
        <f>IF(ISNUMBER(B967),CHOOSE(WEEKDAY(B967,2),"Lun","Mar","Mié","Jue","Vie","Sáb","Dom"),"")</f>
        <v/>
      </c>
      <c r="D967" s="73" t="n"/>
      <c r="E967" s="74" t="n"/>
      <c r="F967" s="74" t="n"/>
      <c r="G967" s="74" t="n"/>
      <c r="H967" s="75" t="n"/>
      <c r="I967" s="75" t="n"/>
      <c r="J967" s="76" t="n"/>
      <c r="K967" s="77" t="str">
        <f>IF(AB967=1,ROUND(AG967/60,4),"")</f>
        <v/>
      </c>
      <c r="L967" s="77" t="str">
        <f>IF(BD967=1,ROUND(AP967/60,4),"")</f>
        <v/>
      </c>
      <c r="M967" s="77" t="str">
        <f>IF(BD967=1,ROUND(AQ967/60,4),"")</f>
        <v/>
      </c>
      <c r="N967" s="71" t="str">
        <f>IF(AND(D967="proMX",AB967=1),ROUND(AG967/CFG_BLK,2),"")</f>
        <v/>
      </c>
      <c r="O967" s="77" t="str">
        <f>IF(D967="proMX",IF(BD967=1,ROUND(AG967/60,4),0),"")</f>
        <v/>
      </c>
      <c r="P967" s="78" t="str">
        <f>IF(Y967=0,"",IF(BD967=1,"OK",IF(D967="proMX","Revisar bloques: ","Revisar: ")&amp;BC967))</f>
        <v/>
      </c>
      <c r="Q967" s="78" t="str">
        <f>IF(NOT(ISNUMBER(B967)),"",IF(COUNTIFS(FER_F,INT(B967))&gt;0,"Feriado"&amp;IF(AH967=1," (laborable)"," (no laborable)"),IF(AH967=1,"Laborable",IF(WEEKDAY(B967,2)&gt;5,"Fin de semana","No laborable"))))</f>
        <v/>
      </c>
      <c r="R967" s="73" t="n"/>
      <c r="S967" s="72" t="n"/>
      <c r="T967" s="72" t="n"/>
      <c r="U967" s="74" t="n"/>
      <c r="V967" s="79" t="str">
        <f>IF(AND(D967="proMX",OR(R967="Submitted",R967="Recall Requested"),ISNUMBER(S967)),CFG_TODAY-INT(S967),"")</f>
        <v/>
      </c>
      <c r="W967" s="78" t="str">
        <f>IF(BD967=0,"",IF(BA967&gt;0,"⚠ Se superpone con un registro de la otra empresa",IF(D967="Malcolm",IF(COUNTA(R967,S967,T967)&gt;0,"Estado/fechas proMX se ignoran en Malcolm",""),IF(BF967="Cancelled","Cancelado: excluido de totales",IF(R967="","Sin estado: se trata como Draft",IF(BF967="Submitted",IF(ISNUMBER(V967),IF(V967&gt;CFG_MAXD,"⚠ "&amp;V967&amp;" días en Submitted (máx. "&amp;CFG_MAXD&amp;")",""),"Falta fecha de envío"),IF(BF967="Returned","⚠ Devuelto: corregir y reenviar",IF(BF967="Recall Requested","Retirada solicitada: pendiente",IF(AND(BF967="Approved",NOT(ISNUMBER(T967))),"Falta fecha de aprobación",IF(AND(ISNUMBER(S967),ISNUMBER(T967),T967&lt;S967),"Aprobación anterior al envío","")))))))))</f>
        <v/>
      </c>
      <c r="Y967" s="80">
        <f>IF(COUNTA(B967,D967,E967,F967,G967,H967,I967,J967,R967,S967,T967)&gt;0,1,0)</f>
        <v>0</v>
      </c>
      <c r="Z967" s="80" t="str">
        <f>IF(AND(ISNUMBER(H967),H967&gt;=0,H967&lt;1),ROUND(H967*1440,0),"")</f>
        <v/>
      </c>
      <c r="AA967" s="80" t="str">
        <f>IF(AND(ISNUMBER(I967),I967&gt;=0,I967&lt;1),ROUND(I967*1440,0),"")</f>
        <v/>
      </c>
      <c r="AB967" s="80">
        <f>IF(AND(ISNUMBER(B967),D967&lt;&gt;"",ISNUMBER(Z967),ISNUMBER(AA967)),IF(Z967=AA967,0,1),0)</f>
        <v>0</v>
      </c>
      <c r="AC967" s="80">
        <f>IF(AB967=1,IF(AA967&lt;Z967,1,0),0)</f>
        <v>0</v>
      </c>
      <c r="AD967" s="80">
        <f>IF(AB967=1,IF(AC967=1,1440-Z967+AA967,AA967-Z967),0)</f>
        <v>0</v>
      </c>
      <c r="AE967" s="80">
        <f>IF(J967="",0,IF(ISNUMBER(J967),J967,-1))</f>
        <v>0</v>
      </c>
      <c r="AF967" s="80">
        <f>MIN(MAX(0,AE967),AD967)</f>
        <v>0</v>
      </c>
      <c r="AG967" s="80">
        <f>MAX(0,AD967-MAX(0,AE967))</f>
        <v>0</v>
      </c>
      <c r="AH967" s="80">
        <f>IF(ISNUMBER(B967),IF(AND(INDEX(CFG_WDAYS,WEEKDAY(INT(B967),2))="Sí",IF(D967="proMX",COUNTIFS(FER_F,INT(B967),FER_NLP,"Sí"),COUNTIFS(FER_F,INT(B967),FER_NLM,"Sí"))=0),1,0),0)</f>
        <v>0</v>
      </c>
      <c r="AI967" s="80">
        <f>IF(AC967=1,IF(AND(INDEX(CFG_WDAYS,WEEKDAY(INT(B967)+1,2))="Sí",IF(D967="proMX",COUNTIFS(FER_F,INT(B967)+1,FER_NLP,"Sí"),COUNTIFS(FER_F,INT(B967)+1,FER_NLM,"Sí"))=0),1,0),0)</f>
        <v>0</v>
      </c>
      <c r="AJ967" s="80">
        <f>IF(AC967=1,1440-Z967,AD967)</f>
        <v>0</v>
      </c>
      <c r="AK967" s="80">
        <f>IF(AND(AB967=1,AH967=1),MAX(0,MIN(IF(AC967=1,1440,AA967),CFG_WEM)-MAX(Z967,CFG_WSM)),0)</f>
        <v>0</v>
      </c>
      <c r="AL967" s="80">
        <f>IF(AND(AC967=1,AI967=1),MAX(0,MIN(AA967,CFG_WEM)-CFG_WSM),0)</f>
        <v>0</v>
      </c>
      <c r="AM967" s="80">
        <f>AK967+AL967</f>
        <v>0</v>
      </c>
      <c r="AN967" s="80">
        <f>IF(CFG_BRK="Proporcional",IF(AD967=0,0,AF967*AM967/AD967),IF(CFG_BRK="Extras primero",MIN(AM967,MAX(0,AF967-(AD967-AM967))),MIN(AF967,AM967)))</f>
        <v>0</v>
      </c>
      <c r="AO967" s="80">
        <f>AF967-AN967</f>
        <v>0</v>
      </c>
      <c r="AP967" s="80">
        <f>AM967-AN967</f>
        <v>0</v>
      </c>
      <c r="AQ967" s="80">
        <f>AD967-AM967-AO967</f>
        <v>0</v>
      </c>
      <c r="AR967" s="80">
        <f>IF(AM967=0,0,AK967-AN967*AK967/AM967)</f>
        <v>0</v>
      </c>
      <c r="AS967" s="80">
        <f>IF(AD967-AM967=0,0,(AJ967-AK967)-AO967*(AJ967-AK967)/(AD967-AM967))</f>
        <v>0</v>
      </c>
      <c r="AT967" s="80" t="str">
        <f>IF(AC967=1,INT(B967)+1,"")</f>
        <v/>
      </c>
      <c r="AU967" s="80">
        <f>IF(AND(D967="proMX",R967="Cancelled"),0,1)</f>
        <v>1</v>
      </c>
      <c r="AV967" s="80">
        <f>IF(AND(AB967=1,AU967=1),IF(COUNTIFS($D$5:D966,D967,$B$5:B966,B967,$Z$5:Z966,Z967,$AA$5:AA966,AA967,$F$5:F966,F967&amp;"",$AU$5:AU966,1)&gt;0,1,0),0)</f>
        <v>0</v>
      </c>
      <c r="AW967" s="80" t="str">
        <f>IF(AB967=1,INT(B967)*1440+Z967,"")</f>
        <v/>
      </c>
      <c r="AX967" s="80" t="str">
        <f>IF(AB967=1,AW967+AD967,"")</f>
        <v/>
      </c>
      <c r="AY967" s="80">
        <f>IF(AND(AB967=1,AV967=0,AU967=1),1,0)</f>
        <v>0</v>
      </c>
      <c r="AZ967" s="80">
        <f>IF(AY967=1,COUNTIFS(R_Emp,D967,R_SAbs,"&lt;"&amp;AX967,R_EAbs,"&gt;"&amp;AW967,R_OKey,1)-1,0)</f>
        <v>0</v>
      </c>
      <c r="BA967" s="80">
        <f>IF(AY967=1,COUNTIFS(R_Emp,"&lt;&gt;"&amp;D967,R_SAbs,"&lt;"&amp;AX967,R_EAbs,"&gt;"&amp;AW967,R_OKey,1),0)</f>
        <v>0</v>
      </c>
      <c r="BB967" s="80">
        <f>IF(AND(AB967=1,D967="proMX"),IF(AND(MOD(Z967,CFG_BLK)=0,MOD(AA967,CFG_BLK)=0,MOD(AG967,CFG_BLK)=0,AG967&gt;0),1,0),1)</f>
        <v>1</v>
      </c>
      <c r="BC967" s="80" t="str">
        <f>IF(Y967=0,"",IF(NOT(ISNUMBER(B967)),"Falta fecha o fecha inválida",IF(D967="","Falta empresa",IF(AND(D967&lt;&gt;"Malcolm",D967&lt;&gt;"proMX"),"Empresa inválida",IF(OR(INT(B967)&lt;CFG_PSTART,INT(B967)&gt;CFG_PEND),"Fecha fuera del período",IF(OR(NOT(ISNUMBER(Z967)),NOT(ISNUMBER(AA967))),"Falta hora inicio/fin o formato inválido",IF(AB967=0,"Hora inicio = hora fin",IF(AE967&lt;0,"Descanso inválido",IF(AE967&gt;=AD967,"Descanso ≥ duración",IF(AV967=1,"Registro duplicado",IF(AZ967&gt;0,"Se superpone con otro registro "&amp;D967,IF(BB967=0,"inicio, fin y duración neta deben ser múltiplos de "&amp;CFG_BLK&amp;" min",""))))))))))))</f>
        <v/>
      </c>
      <c r="BD967" s="80">
        <f>IF(AND(Y967=1,BC967=""),1,0)</f>
        <v>0</v>
      </c>
      <c r="BE967" s="80">
        <f>IF(AND(BD967=1,AU967=1),1,0)</f>
        <v>0</v>
      </c>
      <c r="BF967" s="80" t="str">
        <f>IF(AND(D967="proMX",BD967=1),IF(R967="","Draft",R967),"")</f>
        <v/>
      </c>
      <c r="BG967" s="80">
        <f>IF(BD967=1,ROUND(AG967/60,6),0)</f>
        <v>0</v>
      </c>
      <c r="BH967" s="80">
        <f>IF(BE967=1,ROUND(AG967/60,6),0)</f>
        <v>0</v>
      </c>
      <c r="BI967" s="80">
        <f>IF(BE967=1,ROUND(AP967/60,6),0)</f>
        <v>0</v>
      </c>
      <c r="BJ967" s="80">
        <f>IF(BE967=1,ROUND(AQ967/60,6),0)</f>
        <v>0</v>
      </c>
      <c r="BK967" s="80">
        <f>IF(BE967=1,ROUND((AR967+AS967)/60,6),0)</f>
        <v>0</v>
      </c>
      <c r="BL967" s="80">
        <f>ROUND(BH967-BK967,6)</f>
        <v>0</v>
      </c>
      <c r="BM967" s="80">
        <f>IF(BE967=1,ROUND(AR967/60,6),0)</f>
        <v>0</v>
      </c>
      <c r="BN967" s="80">
        <f>ROUND(BI967-BM967,6)</f>
        <v>0</v>
      </c>
      <c r="BO967" s="80">
        <f>IF(BE967=1,ROUND(AS967/60,6),0)</f>
        <v>0</v>
      </c>
      <c r="BP967" s="80">
        <f>ROUND(BJ967-BO967,6)</f>
        <v>0</v>
      </c>
      <c r="BQ967" s="80">
        <f>IF(BE967=1,AW967,0)</f>
        <v>0</v>
      </c>
      <c r="BR967" s="80">
        <f>IF(BE967=1,AX967,0)</f>
        <v>0</v>
      </c>
      <c r="BS967" s="80">
        <f>IF(AND(BE967=1,D967="Malcolm",BA967&gt;0),MIN(BH967,SUMPRODUCT((R_Emp="proMX")*(R_EN&gt;0)*((R_EN-(R_EN&gt;BR967)*(R_EN-BR967))&gt;(R_SN+(R_SN&lt;BQ967)*(BQ967-R_SN)))*((R_EN-(R_EN&gt;BR967)*(R_EN-BR967))-(R_SN+(R_SN&lt;BQ967)*(BQ967-R_SN))))/60),0)</f>
        <v>0</v>
      </c>
      <c r="BT967" s="80">
        <f>IF(AND(BE967=1,D967="proMX"),ROUND(BI967*CFG_RATE+BJ967*CFG_OTRATE,6),0)</f>
        <v>0</v>
      </c>
      <c r="BU967" s="80">
        <f>IF(AND(BD967=1,D967="proMX"),ROUND(AG967/CFG_BLK,6),0)</f>
        <v>0</v>
      </c>
      <c r="BV967" s="80" t="str">
        <f>IF(BF967="Approved",IF(ISNUMBER(T967),INT(T967),INT(B967)),"")</f>
        <v/>
      </c>
      <c r="BW967" s="80">
        <f>IF(ISNUMBER(B967),IF(DB_MON="Todos",1,IF(AND(INT(B967)&gt;=DB_MS,INT(B967)&lt;=DB_ME),1,0)),0)</f>
        <v>0</v>
      </c>
      <c r="BX967" s="80">
        <f>IF(DB_PROJ="Todos",1,IF(E967&amp;""=DB_PROJ&amp;"",1,0))</f>
        <v>1</v>
      </c>
      <c r="BY967" s="80">
        <f>BW967*BX967</f>
        <v>0</v>
      </c>
      <c r="BZ967" s="80" t="str">
        <f>IF(Y967=1,F967&amp;IF(AND(F967&amp;""&lt;&gt;"",E967&amp;""&lt;&gt;"")," · ","")&amp;E967,"")</f>
        <v/>
      </c>
      <c r="CA967" s="80" t="str">
        <f>IF(AND(BD967=1,E967&amp;""&lt;&gt;""),IF(COUNTIFS($E$5:E966,E967,$BD$5:BD966,1)=0,MAX($CA$5:CA966)+1,""),"")</f>
        <v/>
      </c>
      <c r="CB967" s="80" t="str">
        <f>IF(AND(BE967=1,D967="Malcolm",E967&amp;""&lt;&gt;""),IF(COUNTIFS($D$5:D966,"Malcolm",$E$5:E966,E967,$BE$5:BE966,1)=0,MAX($CB$5:CB966)+1,""),"")</f>
        <v/>
      </c>
      <c r="CC967" s="80" t="str">
        <f>IF(AND(BD967=1,D967="proMX",E967&amp;""&lt;&gt;""),IF(COUNTIFS($D$5:D966,"proMX",$E$5:E966,E967,$BD$5:BD966,1)=0,MAX($CC$5:CC966)+1,""),"")</f>
        <v/>
      </c>
      <c r="CD967" s="80" t="str">
        <f>IF(AND(BE967=1,D967="Malcolm",F967&amp;""&lt;&gt;""),IF(COUNTIFS($D$5:D966,"Malcolm",$F$5:F966,F967,$BE$5:BE966,1)=0,MAX($CD$5:CD966)+1,""),"")</f>
        <v/>
      </c>
      <c r="CE967" s="80" t="str">
        <f>IF(AND(BD967=1,D967="proMX",F967&amp;""&lt;&gt;""),IF(COUNTIFS($D$5:D966,"proMX",$F$5:F966,F967,$BD$5:BD966,1)=0,MAX($CE$5:CE966)+1,""),"")</f>
        <v/>
      </c>
      <c r="CF967" s="80" t="str">
        <f>IF(AND(D967="proMX",BD967=1),IF(OR(BF967="Draft",BF967="Submitted",BF967="Returned",BF967="Recall Requested"),MAX($CF$5:CF966)+1,""),"")</f>
        <v/>
      </c>
      <c r="CG967" s="80">
        <f>IF(BD967=0,0,IF(D967="Malcolm",1,MATCH(BF967,{"Draft","Submitted","Approved","Returned","Recall Requested","Cancelled"},0)+1))</f>
        <v>0</v>
      </c>
      <c r="CH967" s="80">
        <f>IF(AND(BF967="Submitted",ISNUMBER(V967)),IF(V967&gt;CFG_MAXD,1,0),0)</f>
        <v>0</v>
      </c>
    </row>
    <row r="968">
      <c r="A968" s="71" t="str">
        <f>IF(Y968=1,ROW()-5,"")</f>
        <v/>
      </c>
      <c r="B968" s="72" t="n"/>
      <c r="C968" s="71" t="str">
        <f>IF(ISNUMBER(B968),CHOOSE(WEEKDAY(B968,2),"Lun","Mar","Mié","Jue","Vie","Sáb","Dom"),"")</f>
        <v/>
      </c>
      <c r="D968" s="73" t="n"/>
      <c r="E968" s="74" t="n"/>
      <c r="F968" s="74" t="n"/>
      <c r="G968" s="74" t="n"/>
      <c r="H968" s="75" t="n"/>
      <c r="I968" s="75" t="n"/>
      <c r="J968" s="76" t="n"/>
      <c r="K968" s="77" t="str">
        <f>IF(AB968=1,ROUND(AG968/60,4),"")</f>
        <v/>
      </c>
      <c r="L968" s="77" t="str">
        <f>IF(BD968=1,ROUND(AP968/60,4),"")</f>
        <v/>
      </c>
      <c r="M968" s="77" t="str">
        <f>IF(BD968=1,ROUND(AQ968/60,4),"")</f>
        <v/>
      </c>
      <c r="N968" s="71" t="str">
        <f>IF(AND(D968="proMX",AB968=1),ROUND(AG968/CFG_BLK,2),"")</f>
        <v/>
      </c>
      <c r="O968" s="77" t="str">
        <f>IF(D968="proMX",IF(BD968=1,ROUND(AG968/60,4),0),"")</f>
        <v/>
      </c>
      <c r="P968" s="78" t="str">
        <f>IF(Y968=0,"",IF(BD968=1,"OK",IF(D968="proMX","Revisar bloques: ","Revisar: ")&amp;BC968))</f>
        <v/>
      </c>
      <c r="Q968" s="78" t="str">
        <f>IF(NOT(ISNUMBER(B968)),"",IF(COUNTIFS(FER_F,INT(B968))&gt;0,"Feriado"&amp;IF(AH968=1," (laborable)"," (no laborable)"),IF(AH968=1,"Laborable",IF(WEEKDAY(B968,2)&gt;5,"Fin de semana","No laborable"))))</f>
        <v/>
      </c>
      <c r="R968" s="73" t="n"/>
      <c r="S968" s="72" t="n"/>
      <c r="T968" s="72" t="n"/>
      <c r="U968" s="74" t="n"/>
      <c r="V968" s="79" t="str">
        <f>IF(AND(D968="proMX",OR(R968="Submitted",R968="Recall Requested"),ISNUMBER(S968)),CFG_TODAY-INT(S968),"")</f>
        <v/>
      </c>
      <c r="W968" s="78" t="str">
        <f>IF(BD968=0,"",IF(BA968&gt;0,"⚠ Se superpone con un registro de la otra empresa",IF(D968="Malcolm",IF(COUNTA(R968,S968,T968)&gt;0,"Estado/fechas proMX se ignoran en Malcolm",""),IF(BF968="Cancelled","Cancelado: excluido de totales",IF(R968="","Sin estado: se trata como Draft",IF(BF968="Submitted",IF(ISNUMBER(V968),IF(V968&gt;CFG_MAXD,"⚠ "&amp;V968&amp;" días en Submitted (máx. "&amp;CFG_MAXD&amp;")",""),"Falta fecha de envío"),IF(BF968="Returned","⚠ Devuelto: corregir y reenviar",IF(BF968="Recall Requested","Retirada solicitada: pendiente",IF(AND(BF968="Approved",NOT(ISNUMBER(T968))),"Falta fecha de aprobación",IF(AND(ISNUMBER(S968),ISNUMBER(T968),T968&lt;S968),"Aprobación anterior al envío","")))))))))</f>
        <v/>
      </c>
      <c r="Y968" s="80">
        <f>IF(COUNTA(B968,D968,E968,F968,G968,H968,I968,J968,R968,S968,T968)&gt;0,1,0)</f>
        <v>0</v>
      </c>
      <c r="Z968" s="80" t="str">
        <f>IF(AND(ISNUMBER(H968),H968&gt;=0,H968&lt;1),ROUND(H968*1440,0),"")</f>
        <v/>
      </c>
      <c r="AA968" s="80" t="str">
        <f>IF(AND(ISNUMBER(I968),I968&gt;=0,I968&lt;1),ROUND(I968*1440,0),"")</f>
        <v/>
      </c>
      <c r="AB968" s="80">
        <f>IF(AND(ISNUMBER(B968),D968&lt;&gt;"",ISNUMBER(Z968),ISNUMBER(AA968)),IF(Z968=AA968,0,1),0)</f>
        <v>0</v>
      </c>
      <c r="AC968" s="80">
        <f>IF(AB968=1,IF(AA968&lt;Z968,1,0),0)</f>
        <v>0</v>
      </c>
      <c r="AD968" s="80">
        <f>IF(AB968=1,IF(AC968=1,1440-Z968+AA968,AA968-Z968),0)</f>
        <v>0</v>
      </c>
      <c r="AE968" s="80">
        <f>IF(J968="",0,IF(ISNUMBER(J968),J968,-1))</f>
        <v>0</v>
      </c>
      <c r="AF968" s="80">
        <f>MIN(MAX(0,AE968),AD968)</f>
        <v>0</v>
      </c>
      <c r="AG968" s="80">
        <f>MAX(0,AD968-MAX(0,AE968))</f>
        <v>0</v>
      </c>
      <c r="AH968" s="80">
        <f>IF(ISNUMBER(B968),IF(AND(INDEX(CFG_WDAYS,WEEKDAY(INT(B968),2))="Sí",IF(D968="proMX",COUNTIFS(FER_F,INT(B968),FER_NLP,"Sí"),COUNTIFS(FER_F,INT(B968),FER_NLM,"Sí"))=0),1,0),0)</f>
        <v>0</v>
      </c>
      <c r="AI968" s="80">
        <f>IF(AC968=1,IF(AND(INDEX(CFG_WDAYS,WEEKDAY(INT(B968)+1,2))="Sí",IF(D968="proMX",COUNTIFS(FER_F,INT(B968)+1,FER_NLP,"Sí"),COUNTIFS(FER_F,INT(B968)+1,FER_NLM,"Sí"))=0),1,0),0)</f>
        <v>0</v>
      </c>
      <c r="AJ968" s="80">
        <f>IF(AC968=1,1440-Z968,AD968)</f>
        <v>0</v>
      </c>
      <c r="AK968" s="80">
        <f>IF(AND(AB968=1,AH968=1),MAX(0,MIN(IF(AC968=1,1440,AA968),CFG_WEM)-MAX(Z968,CFG_WSM)),0)</f>
        <v>0</v>
      </c>
      <c r="AL968" s="80">
        <f>IF(AND(AC968=1,AI968=1),MAX(0,MIN(AA968,CFG_WEM)-CFG_WSM),0)</f>
        <v>0</v>
      </c>
      <c r="AM968" s="80">
        <f>AK968+AL968</f>
        <v>0</v>
      </c>
      <c r="AN968" s="80">
        <f>IF(CFG_BRK="Proporcional",IF(AD968=0,0,AF968*AM968/AD968),IF(CFG_BRK="Extras primero",MIN(AM968,MAX(0,AF968-(AD968-AM968))),MIN(AF968,AM968)))</f>
        <v>0</v>
      </c>
      <c r="AO968" s="80">
        <f>AF968-AN968</f>
        <v>0</v>
      </c>
      <c r="AP968" s="80">
        <f>AM968-AN968</f>
        <v>0</v>
      </c>
      <c r="AQ968" s="80">
        <f>AD968-AM968-AO968</f>
        <v>0</v>
      </c>
      <c r="AR968" s="80">
        <f>IF(AM968=0,0,AK968-AN968*AK968/AM968)</f>
        <v>0</v>
      </c>
      <c r="AS968" s="80">
        <f>IF(AD968-AM968=0,0,(AJ968-AK968)-AO968*(AJ968-AK968)/(AD968-AM968))</f>
        <v>0</v>
      </c>
      <c r="AT968" s="80" t="str">
        <f>IF(AC968=1,INT(B968)+1,"")</f>
        <v/>
      </c>
      <c r="AU968" s="80">
        <f>IF(AND(D968="proMX",R968="Cancelled"),0,1)</f>
        <v>1</v>
      </c>
      <c r="AV968" s="80">
        <f>IF(AND(AB968=1,AU968=1),IF(COUNTIFS($D$5:D967,D968,$B$5:B967,B968,$Z$5:Z967,Z968,$AA$5:AA967,AA968,$F$5:F967,F968&amp;"",$AU$5:AU967,1)&gt;0,1,0),0)</f>
        <v>0</v>
      </c>
      <c r="AW968" s="80" t="str">
        <f>IF(AB968=1,INT(B968)*1440+Z968,"")</f>
        <v/>
      </c>
      <c r="AX968" s="80" t="str">
        <f>IF(AB968=1,AW968+AD968,"")</f>
        <v/>
      </c>
      <c r="AY968" s="80">
        <f>IF(AND(AB968=1,AV968=0,AU968=1),1,0)</f>
        <v>0</v>
      </c>
      <c r="AZ968" s="80">
        <f>IF(AY968=1,COUNTIFS(R_Emp,D968,R_SAbs,"&lt;"&amp;AX968,R_EAbs,"&gt;"&amp;AW968,R_OKey,1)-1,0)</f>
        <v>0</v>
      </c>
      <c r="BA968" s="80">
        <f>IF(AY968=1,COUNTIFS(R_Emp,"&lt;&gt;"&amp;D968,R_SAbs,"&lt;"&amp;AX968,R_EAbs,"&gt;"&amp;AW968,R_OKey,1),0)</f>
        <v>0</v>
      </c>
      <c r="BB968" s="80">
        <f>IF(AND(AB968=1,D968="proMX"),IF(AND(MOD(Z968,CFG_BLK)=0,MOD(AA968,CFG_BLK)=0,MOD(AG968,CFG_BLK)=0,AG968&gt;0),1,0),1)</f>
        <v>1</v>
      </c>
      <c r="BC968" s="80" t="str">
        <f>IF(Y968=0,"",IF(NOT(ISNUMBER(B968)),"Falta fecha o fecha inválida",IF(D968="","Falta empresa",IF(AND(D968&lt;&gt;"Malcolm",D968&lt;&gt;"proMX"),"Empresa inválida",IF(OR(INT(B968)&lt;CFG_PSTART,INT(B968)&gt;CFG_PEND),"Fecha fuera del período",IF(OR(NOT(ISNUMBER(Z968)),NOT(ISNUMBER(AA968))),"Falta hora inicio/fin o formato inválido",IF(AB968=0,"Hora inicio = hora fin",IF(AE968&lt;0,"Descanso inválido",IF(AE968&gt;=AD968,"Descanso ≥ duración",IF(AV968=1,"Registro duplicado",IF(AZ968&gt;0,"Se superpone con otro registro "&amp;D968,IF(BB968=0,"inicio, fin y duración neta deben ser múltiplos de "&amp;CFG_BLK&amp;" min",""))))))))))))</f>
        <v/>
      </c>
      <c r="BD968" s="80">
        <f>IF(AND(Y968=1,BC968=""),1,0)</f>
        <v>0</v>
      </c>
      <c r="BE968" s="80">
        <f>IF(AND(BD968=1,AU968=1),1,0)</f>
        <v>0</v>
      </c>
      <c r="BF968" s="80" t="str">
        <f>IF(AND(D968="proMX",BD968=1),IF(R968="","Draft",R968),"")</f>
        <v/>
      </c>
      <c r="BG968" s="80">
        <f>IF(BD968=1,ROUND(AG968/60,6),0)</f>
        <v>0</v>
      </c>
      <c r="BH968" s="80">
        <f>IF(BE968=1,ROUND(AG968/60,6),0)</f>
        <v>0</v>
      </c>
      <c r="BI968" s="80">
        <f>IF(BE968=1,ROUND(AP968/60,6),0)</f>
        <v>0</v>
      </c>
      <c r="BJ968" s="80">
        <f>IF(BE968=1,ROUND(AQ968/60,6),0)</f>
        <v>0</v>
      </c>
      <c r="BK968" s="80">
        <f>IF(BE968=1,ROUND((AR968+AS968)/60,6),0)</f>
        <v>0</v>
      </c>
      <c r="BL968" s="80">
        <f>ROUND(BH968-BK968,6)</f>
        <v>0</v>
      </c>
      <c r="BM968" s="80">
        <f>IF(BE968=1,ROUND(AR968/60,6),0)</f>
        <v>0</v>
      </c>
      <c r="BN968" s="80">
        <f>ROUND(BI968-BM968,6)</f>
        <v>0</v>
      </c>
      <c r="BO968" s="80">
        <f>IF(BE968=1,ROUND(AS968/60,6),0)</f>
        <v>0</v>
      </c>
      <c r="BP968" s="80">
        <f>ROUND(BJ968-BO968,6)</f>
        <v>0</v>
      </c>
      <c r="BQ968" s="80">
        <f>IF(BE968=1,AW968,0)</f>
        <v>0</v>
      </c>
      <c r="BR968" s="80">
        <f>IF(BE968=1,AX968,0)</f>
        <v>0</v>
      </c>
      <c r="BS968" s="80">
        <f>IF(AND(BE968=1,D968="Malcolm",BA968&gt;0),MIN(BH968,SUMPRODUCT((R_Emp="proMX")*(R_EN&gt;0)*((R_EN-(R_EN&gt;BR968)*(R_EN-BR968))&gt;(R_SN+(R_SN&lt;BQ968)*(BQ968-R_SN)))*((R_EN-(R_EN&gt;BR968)*(R_EN-BR968))-(R_SN+(R_SN&lt;BQ968)*(BQ968-R_SN))))/60),0)</f>
        <v>0</v>
      </c>
      <c r="BT968" s="80">
        <f>IF(AND(BE968=1,D968="proMX"),ROUND(BI968*CFG_RATE+BJ968*CFG_OTRATE,6),0)</f>
        <v>0</v>
      </c>
      <c r="BU968" s="80">
        <f>IF(AND(BD968=1,D968="proMX"),ROUND(AG968/CFG_BLK,6),0)</f>
        <v>0</v>
      </c>
      <c r="BV968" s="80" t="str">
        <f>IF(BF968="Approved",IF(ISNUMBER(T968),INT(T968),INT(B968)),"")</f>
        <v/>
      </c>
      <c r="BW968" s="80">
        <f>IF(ISNUMBER(B968),IF(DB_MON="Todos",1,IF(AND(INT(B968)&gt;=DB_MS,INT(B968)&lt;=DB_ME),1,0)),0)</f>
        <v>0</v>
      </c>
      <c r="BX968" s="80">
        <f>IF(DB_PROJ="Todos",1,IF(E968&amp;""=DB_PROJ&amp;"",1,0))</f>
        <v>1</v>
      </c>
      <c r="BY968" s="80">
        <f>BW968*BX968</f>
        <v>0</v>
      </c>
      <c r="BZ968" s="80" t="str">
        <f>IF(Y968=1,F968&amp;IF(AND(F968&amp;""&lt;&gt;"",E968&amp;""&lt;&gt;"")," · ","")&amp;E968,"")</f>
        <v/>
      </c>
      <c r="CA968" s="80" t="str">
        <f>IF(AND(BD968=1,E968&amp;""&lt;&gt;""),IF(COUNTIFS($E$5:E967,E968,$BD$5:BD967,1)=0,MAX($CA$5:CA967)+1,""),"")</f>
        <v/>
      </c>
      <c r="CB968" s="80" t="str">
        <f>IF(AND(BE968=1,D968="Malcolm",E968&amp;""&lt;&gt;""),IF(COUNTIFS($D$5:D967,"Malcolm",$E$5:E967,E968,$BE$5:BE967,1)=0,MAX($CB$5:CB967)+1,""),"")</f>
        <v/>
      </c>
      <c r="CC968" s="80" t="str">
        <f>IF(AND(BD968=1,D968="proMX",E968&amp;""&lt;&gt;""),IF(COUNTIFS($D$5:D967,"proMX",$E$5:E967,E968,$BD$5:BD967,1)=0,MAX($CC$5:CC967)+1,""),"")</f>
        <v/>
      </c>
      <c r="CD968" s="80" t="str">
        <f>IF(AND(BE968=1,D968="Malcolm",F968&amp;""&lt;&gt;""),IF(COUNTIFS($D$5:D967,"Malcolm",$F$5:F967,F968,$BE$5:BE967,1)=0,MAX($CD$5:CD967)+1,""),"")</f>
        <v/>
      </c>
      <c r="CE968" s="80" t="str">
        <f>IF(AND(BD968=1,D968="proMX",F968&amp;""&lt;&gt;""),IF(COUNTIFS($D$5:D967,"proMX",$F$5:F967,F968,$BD$5:BD967,1)=0,MAX($CE$5:CE967)+1,""),"")</f>
        <v/>
      </c>
      <c r="CF968" s="80" t="str">
        <f>IF(AND(D968="proMX",BD968=1),IF(OR(BF968="Draft",BF968="Submitted",BF968="Returned",BF968="Recall Requested"),MAX($CF$5:CF967)+1,""),"")</f>
        <v/>
      </c>
      <c r="CG968" s="80">
        <f>IF(BD968=0,0,IF(D968="Malcolm",1,MATCH(BF968,{"Draft","Submitted","Approved","Returned","Recall Requested","Cancelled"},0)+1))</f>
        <v>0</v>
      </c>
      <c r="CH968" s="80">
        <f>IF(AND(BF968="Submitted",ISNUMBER(V968)),IF(V968&gt;CFG_MAXD,1,0),0)</f>
        <v>0</v>
      </c>
    </row>
    <row r="969">
      <c r="A969" s="71" t="str">
        <f>IF(Y969=1,ROW()-5,"")</f>
        <v/>
      </c>
      <c r="B969" s="72" t="n"/>
      <c r="C969" s="71" t="str">
        <f>IF(ISNUMBER(B969),CHOOSE(WEEKDAY(B969,2),"Lun","Mar","Mié","Jue","Vie","Sáb","Dom"),"")</f>
        <v/>
      </c>
      <c r="D969" s="73" t="n"/>
      <c r="E969" s="74" t="n"/>
      <c r="F969" s="74" t="n"/>
      <c r="G969" s="74" t="n"/>
      <c r="H969" s="75" t="n"/>
      <c r="I969" s="75" t="n"/>
      <c r="J969" s="76" t="n"/>
      <c r="K969" s="77" t="str">
        <f>IF(AB969=1,ROUND(AG969/60,4),"")</f>
        <v/>
      </c>
      <c r="L969" s="77" t="str">
        <f>IF(BD969=1,ROUND(AP969/60,4),"")</f>
        <v/>
      </c>
      <c r="M969" s="77" t="str">
        <f>IF(BD969=1,ROUND(AQ969/60,4),"")</f>
        <v/>
      </c>
      <c r="N969" s="71" t="str">
        <f>IF(AND(D969="proMX",AB969=1),ROUND(AG969/CFG_BLK,2),"")</f>
        <v/>
      </c>
      <c r="O969" s="77" t="str">
        <f>IF(D969="proMX",IF(BD969=1,ROUND(AG969/60,4),0),"")</f>
        <v/>
      </c>
      <c r="P969" s="78" t="str">
        <f>IF(Y969=0,"",IF(BD969=1,"OK",IF(D969="proMX","Revisar bloques: ","Revisar: ")&amp;BC969))</f>
        <v/>
      </c>
      <c r="Q969" s="78" t="str">
        <f>IF(NOT(ISNUMBER(B969)),"",IF(COUNTIFS(FER_F,INT(B969))&gt;0,"Feriado"&amp;IF(AH969=1," (laborable)"," (no laborable)"),IF(AH969=1,"Laborable",IF(WEEKDAY(B969,2)&gt;5,"Fin de semana","No laborable"))))</f>
        <v/>
      </c>
      <c r="R969" s="73" t="n"/>
      <c r="S969" s="72" t="n"/>
      <c r="T969" s="72" t="n"/>
      <c r="U969" s="74" t="n"/>
      <c r="V969" s="79" t="str">
        <f>IF(AND(D969="proMX",OR(R969="Submitted",R969="Recall Requested"),ISNUMBER(S969)),CFG_TODAY-INT(S969),"")</f>
        <v/>
      </c>
      <c r="W969" s="78" t="str">
        <f>IF(BD969=0,"",IF(BA969&gt;0,"⚠ Se superpone con un registro de la otra empresa",IF(D969="Malcolm",IF(COUNTA(R969,S969,T969)&gt;0,"Estado/fechas proMX se ignoran en Malcolm",""),IF(BF969="Cancelled","Cancelado: excluido de totales",IF(R969="","Sin estado: se trata como Draft",IF(BF969="Submitted",IF(ISNUMBER(V969),IF(V969&gt;CFG_MAXD,"⚠ "&amp;V969&amp;" días en Submitted (máx. "&amp;CFG_MAXD&amp;")",""),"Falta fecha de envío"),IF(BF969="Returned","⚠ Devuelto: corregir y reenviar",IF(BF969="Recall Requested","Retirada solicitada: pendiente",IF(AND(BF969="Approved",NOT(ISNUMBER(T969))),"Falta fecha de aprobación",IF(AND(ISNUMBER(S969),ISNUMBER(T969),T969&lt;S969),"Aprobación anterior al envío","")))))))))</f>
        <v/>
      </c>
      <c r="Y969" s="80">
        <f>IF(COUNTA(B969,D969,E969,F969,G969,H969,I969,J969,R969,S969,T969)&gt;0,1,0)</f>
        <v>0</v>
      </c>
      <c r="Z969" s="80" t="str">
        <f>IF(AND(ISNUMBER(H969),H969&gt;=0,H969&lt;1),ROUND(H969*1440,0),"")</f>
        <v/>
      </c>
      <c r="AA969" s="80" t="str">
        <f>IF(AND(ISNUMBER(I969),I969&gt;=0,I969&lt;1),ROUND(I969*1440,0),"")</f>
        <v/>
      </c>
      <c r="AB969" s="80">
        <f>IF(AND(ISNUMBER(B969),D969&lt;&gt;"",ISNUMBER(Z969),ISNUMBER(AA969)),IF(Z969=AA969,0,1),0)</f>
        <v>0</v>
      </c>
      <c r="AC969" s="80">
        <f>IF(AB969=1,IF(AA969&lt;Z969,1,0),0)</f>
        <v>0</v>
      </c>
      <c r="AD969" s="80">
        <f>IF(AB969=1,IF(AC969=1,1440-Z969+AA969,AA969-Z969),0)</f>
        <v>0</v>
      </c>
      <c r="AE969" s="80">
        <f>IF(J969="",0,IF(ISNUMBER(J969),J969,-1))</f>
        <v>0</v>
      </c>
      <c r="AF969" s="80">
        <f>MIN(MAX(0,AE969),AD969)</f>
        <v>0</v>
      </c>
      <c r="AG969" s="80">
        <f>MAX(0,AD969-MAX(0,AE969))</f>
        <v>0</v>
      </c>
      <c r="AH969" s="80">
        <f>IF(ISNUMBER(B969),IF(AND(INDEX(CFG_WDAYS,WEEKDAY(INT(B969),2))="Sí",IF(D969="proMX",COUNTIFS(FER_F,INT(B969),FER_NLP,"Sí"),COUNTIFS(FER_F,INT(B969),FER_NLM,"Sí"))=0),1,0),0)</f>
        <v>0</v>
      </c>
      <c r="AI969" s="80">
        <f>IF(AC969=1,IF(AND(INDEX(CFG_WDAYS,WEEKDAY(INT(B969)+1,2))="Sí",IF(D969="proMX",COUNTIFS(FER_F,INT(B969)+1,FER_NLP,"Sí"),COUNTIFS(FER_F,INT(B969)+1,FER_NLM,"Sí"))=0),1,0),0)</f>
        <v>0</v>
      </c>
      <c r="AJ969" s="80">
        <f>IF(AC969=1,1440-Z969,AD969)</f>
        <v>0</v>
      </c>
      <c r="AK969" s="80">
        <f>IF(AND(AB969=1,AH969=1),MAX(0,MIN(IF(AC969=1,1440,AA969),CFG_WEM)-MAX(Z969,CFG_WSM)),0)</f>
        <v>0</v>
      </c>
      <c r="AL969" s="80">
        <f>IF(AND(AC969=1,AI969=1),MAX(0,MIN(AA969,CFG_WEM)-CFG_WSM),0)</f>
        <v>0</v>
      </c>
      <c r="AM969" s="80">
        <f>AK969+AL969</f>
        <v>0</v>
      </c>
      <c r="AN969" s="80">
        <f>IF(CFG_BRK="Proporcional",IF(AD969=0,0,AF969*AM969/AD969),IF(CFG_BRK="Extras primero",MIN(AM969,MAX(0,AF969-(AD969-AM969))),MIN(AF969,AM969)))</f>
        <v>0</v>
      </c>
      <c r="AO969" s="80">
        <f>AF969-AN969</f>
        <v>0</v>
      </c>
      <c r="AP969" s="80">
        <f>AM969-AN969</f>
        <v>0</v>
      </c>
      <c r="AQ969" s="80">
        <f>AD969-AM969-AO969</f>
        <v>0</v>
      </c>
      <c r="AR969" s="80">
        <f>IF(AM969=0,0,AK969-AN969*AK969/AM969)</f>
        <v>0</v>
      </c>
      <c r="AS969" s="80">
        <f>IF(AD969-AM969=0,0,(AJ969-AK969)-AO969*(AJ969-AK969)/(AD969-AM969))</f>
        <v>0</v>
      </c>
      <c r="AT969" s="80" t="str">
        <f>IF(AC969=1,INT(B969)+1,"")</f>
        <v/>
      </c>
      <c r="AU969" s="80">
        <f>IF(AND(D969="proMX",R969="Cancelled"),0,1)</f>
        <v>1</v>
      </c>
      <c r="AV969" s="80">
        <f>IF(AND(AB969=1,AU969=1),IF(COUNTIFS($D$5:D968,D969,$B$5:B968,B969,$Z$5:Z968,Z969,$AA$5:AA968,AA969,$F$5:F968,F969&amp;"",$AU$5:AU968,1)&gt;0,1,0),0)</f>
        <v>0</v>
      </c>
      <c r="AW969" s="80" t="str">
        <f>IF(AB969=1,INT(B969)*1440+Z969,"")</f>
        <v/>
      </c>
      <c r="AX969" s="80" t="str">
        <f>IF(AB969=1,AW969+AD969,"")</f>
        <v/>
      </c>
      <c r="AY969" s="80">
        <f>IF(AND(AB969=1,AV969=0,AU969=1),1,0)</f>
        <v>0</v>
      </c>
      <c r="AZ969" s="80">
        <f>IF(AY969=1,COUNTIFS(R_Emp,D969,R_SAbs,"&lt;"&amp;AX969,R_EAbs,"&gt;"&amp;AW969,R_OKey,1)-1,0)</f>
        <v>0</v>
      </c>
      <c r="BA969" s="80">
        <f>IF(AY969=1,COUNTIFS(R_Emp,"&lt;&gt;"&amp;D969,R_SAbs,"&lt;"&amp;AX969,R_EAbs,"&gt;"&amp;AW969,R_OKey,1),0)</f>
        <v>0</v>
      </c>
      <c r="BB969" s="80">
        <f>IF(AND(AB969=1,D969="proMX"),IF(AND(MOD(Z969,CFG_BLK)=0,MOD(AA969,CFG_BLK)=0,MOD(AG969,CFG_BLK)=0,AG969&gt;0),1,0),1)</f>
        <v>1</v>
      </c>
      <c r="BC969" s="80" t="str">
        <f>IF(Y969=0,"",IF(NOT(ISNUMBER(B969)),"Falta fecha o fecha inválida",IF(D969="","Falta empresa",IF(AND(D969&lt;&gt;"Malcolm",D969&lt;&gt;"proMX"),"Empresa inválida",IF(OR(INT(B969)&lt;CFG_PSTART,INT(B969)&gt;CFG_PEND),"Fecha fuera del período",IF(OR(NOT(ISNUMBER(Z969)),NOT(ISNUMBER(AA969))),"Falta hora inicio/fin o formato inválido",IF(AB969=0,"Hora inicio = hora fin",IF(AE969&lt;0,"Descanso inválido",IF(AE969&gt;=AD969,"Descanso ≥ duración",IF(AV969=1,"Registro duplicado",IF(AZ969&gt;0,"Se superpone con otro registro "&amp;D969,IF(BB969=0,"inicio, fin y duración neta deben ser múltiplos de "&amp;CFG_BLK&amp;" min",""))))))))))))</f>
        <v/>
      </c>
      <c r="BD969" s="80">
        <f>IF(AND(Y969=1,BC969=""),1,0)</f>
        <v>0</v>
      </c>
      <c r="BE969" s="80">
        <f>IF(AND(BD969=1,AU969=1),1,0)</f>
        <v>0</v>
      </c>
      <c r="BF969" s="80" t="str">
        <f>IF(AND(D969="proMX",BD969=1),IF(R969="","Draft",R969),"")</f>
        <v/>
      </c>
      <c r="BG969" s="80">
        <f>IF(BD969=1,ROUND(AG969/60,6),0)</f>
        <v>0</v>
      </c>
      <c r="BH969" s="80">
        <f>IF(BE969=1,ROUND(AG969/60,6),0)</f>
        <v>0</v>
      </c>
      <c r="BI969" s="80">
        <f>IF(BE969=1,ROUND(AP969/60,6),0)</f>
        <v>0</v>
      </c>
      <c r="BJ969" s="80">
        <f>IF(BE969=1,ROUND(AQ969/60,6),0)</f>
        <v>0</v>
      </c>
      <c r="BK969" s="80">
        <f>IF(BE969=1,ROUND((AR969+AS969)/60,6),0)</f>
        <v>0</v>
      </c>
      <c r="BL969" s="80">
        <f>ROUND(BH969-BK969,6)</f>
        <v>0</v>
      </c>
      <c r="BM969" s="80">
        <f>IF(BE969=1,ROUND(AR969/60,6),0)</f>
        <v>0</v>
      </c>
      <c r="BN969" s="80">
        <f>ROUND(BI969-BM969,6)</f>
        <v>0</v>
      </c>
      <c r="BO969" s="80">
        <f>IF(BE969=1,ROUND(AS969/60,6),0)</f>
        <v>0</v>
      </c>
      <c r="BP969" s="80">
        <f>ROUND(BJ969-BO969,6)</f>
        <v>0</v>
      </c>
      <c r="BQ969" s="80">
        <f>IF(BE969=1,AW969,0)</f>
        <v>0</v>
      </c>
      <c r="BR969" s="80">
        <f>IF(BE969=1,AX969,0)</f>
        <v>0</v>
      </c>
      <c r="BS969" s="80">
        <f>IF(AND(BE969=1,D969="Malcolm",BA969&gt;0),MIN(BH969,SUMPRODUCT((R_Emp="proMX")*(R_EN&gt;0)*((R_EN-(R_EN&gt;BR969)*(R_EN-BR969))&gt;(R_SN+(R_SN&lt;BQ969)*(BQ969-R_SN)))*((R_EN-(R_EN&gt;BR969)*(R_EN-BR969))-(R_SN+(R_SN&lt;BQ969)*(BQ969-R_SN))))/60),0)</f>
        <v>0</v>
      </c>
      <c r="BT969" s="80">
        <f>IF(AND(BE969=1,D969="proMX"),ROUND(BI969*CFG_RATE+BJ969*CFG_OTRATE,6),0)</f>
        <v>0</v>
      </c>
      <c r="BU969" s="80">
        <f>IF(AND(BD969=1,D969="proMX"),ROUND(AG969/CFG_BLK,6),0)</f>
        <v>0</v>
      </c>
      <c r="BV969" s="80" t="str">
        <f>IF(BF969="Approved",IF(ISNUMBER(T969),INT(T969),INT(B969)),"")</f>
        <v/>
      </c>
      <c r="BW969" s="80">
        <f>IF(ISNUMBER(B969),IF(DB_MON="Todos",1,IF(AND(INT(B969)&gt;=DB_MS,INT(B969)&lt;=DB_ME),1,0)),0)</f>
        <v>0</v>
      </c>
      <c r="BX969" s="80">
        <f>IF(DB_PROJ="Todos",1,IF(E969&amp;""=DB_PROJ&amp;"",1,0))</f>
        <v>1</v>
      </c>
      <c r="BY969" s="80">
        <f>BW969*BX969</f>
        <v>0</v>
      </c>
      <c r="BZ969" s="80" t="str">
        <f>IF(Y969=1,F969&amp;IF(AND(F969&amp;""&lt;&gt;"",E969&amp;""&lt;&gt;"")," · ","")&amp;E969,"")</f>
        <v/>
      </c>
      <c r="CA969" s="80" t="str">
        <f>IF(AND(BD969=1,E969&amp;""&lt;&gt;""),IF(COUNTIFS($E$5:E968,E969,$BD$5:BD968,1)=0,MAX($CA$5:CA968)+1,""),"")</f>
        <v/>
      </c>
      <c r="CB969" s="80" t="str">
        <f>IF(AND(BE969=1,D969="Malcolm",E969&amp;""&lt;&gt;""),IF(COUNTIFS($D$5:D968,"Malcolm",$E$5:E968,E969,$BE$5:BE968,1)=0,MAX($CB$5:CB968)+1,""),"")</f>
        <v/>
      </c>
      <c r="CC969" s="80" t="str">
        <f>IF(AND(BD969=1,D969="proMX",E969&amp;""&lt;&gt;""),IF(COUNTIFS($D$5:D968,"proMX",$E$5:E968,E969,$BD$5:BD968,1)=0,MAX($CC$5:CC968)+1,""),"")</f>
        <v/>
      </c>
      <c r="CD969" s="80" t="str">
        <f>IF(AND(BE969=1,D969="Malcolm",F969&amp;""&lt;&gt;""),IF(COUNTIFS($D$5:D968,"Malcolm",$F$5:F968,F969,$BE$5:BE968,1)=0,MAX($CD$5:CD968)+1,""),"")</f>
        <v/>
      </c>
      <c r="CE969" s="80" t="str">
        <f>IF(AND(BD969=1,D969="proMX",F969&amp;""&lt;&gt;""),IF(COUNTIFS($D$5:D968,"proMX",$F$5:F968,F969,$BD$5:BD968,1)=0,MAX($CE$5:CE968)+1,""),"")</f>
        <v/>
      </c>
      <c r="CF969" s="80" t="str">
        <f>IF(AND(D969="proMX",BD969=1),IF(OR(BF969="Draft",BF969="Submitted",BF969="Returned",BF969="Recall Requested"),MAX($CF$5:CF968)+1,""),"")</f>
        <v/>
      </c>
      <c r="CG969" s="80">
        <f>IF(BD969=0,0,IF(D969="Malcolm",1,MATCH(BF969,{"Draft","Submitted","Approved","Returned","Recall Requested","Cancelled"},0)+1))</f>
        <v>0</v>
      </c>
      <c r="CH969" s="80">
        <f>IF(AND(BF969="Submitted",ISNUMBER(V969)),IF(V969&gt;CFG_MAXD,1,0),0)</f>
        <v>0</v>
      </c>
    </row>
    <row r="970">
      <c r="A970" s="71" t="str">
        <f>IF(Y970=1,ROW()-5,"")</f>
        <v/>
      </c>
      <c r="B970" s="72" t="n"/>
      <c r="C970" s="71" t="str">
        <f>IF(ISNUMBER(B970),CHOOSE(WEEKDAY(B970,2),"Lun","Mar","Mié","Jue","Vie","Sáb","Dom"),"")</f>
        <v/>
      </c>
      <c r="D970" s="73" t="n"/>
      <c r="E970" s="74" t="n"/>
      <c r="F970" s="74" t="n"/>
      <c r="G970" s="74" t="n"/>
      <c r="H970" s="75" t="n"/>
      <c r="I970" s="75" t="n"/>
      <c r="J970" s="76" t="n"/>
      <c r="K970" s="77" t="str">
        <f>IF(AB970=1,ROUND(AG970/60,4),"")</f>
        <v/>
      </c>
      <c r="L970" s="77" t="str">
        <f>IF(BD970=1,ROUND(AP970/60,4),"")</f>
        <v/>
      </c>
      <c r="M970" s="77" t="str">
        <f>IF(BD970=1,ROUND(AQ970/60,4),"")</f>
        <v/>
      </c>
      <c r="N970" s="71" t="str">
        <f>IF(AND(D970="proMX",AB970=1),ROUND(AG970/CFG_BLK,2),"")</f>
        <v/>
      </c>
      <c r="O970" s="77" t="str">
        <f>IF(D970="proMX",IF(BD970=1,ROUND(AG970/60,4),0),"")</f>
        <v/>
      </c>
      <c r="P970" s="78" t="str">
        <f>IF(Y970=0,"",IF(BD970=1,"OK",IF(D970="proMX","Revisar bloques: ","Revisar: ")&amp;BC970))</f>
        <v/>
      </c>
      <c r="Q970" s="78" t="str">
        <f>IF(NOT(ISNUMBER(B970)),"",IF(COUNTIFS(FER_F,INT(B970))&gt;0,"Feriado"&amp;IF(AH970=1," (laborable)"," (no laborable)"),IF(AH970=1,"Laborable",IF(WEEKDAY(B970,2)&gt;5,"Fin de semana","No laborable"))))</f>
        <v/>
      </c>
      <c r="R970" s="73" t="n"/>
      <c r="S970" s="72" t="n"/>
      <c r="T970" s="72" t="n"/>
      <c r="U970" s="74" t="n"/>
      <c r="V970" s="79" t="str">
        <f>IF(AND(D970="proMX",OR(R970="Submitted",R970="Recall Requested"),ISNUMBER(S970)),CFG_TODAY-INT(S970),"")</f>
        <v/>
      </c>
      <c r="W970" s="78" t="str">
        <f>IF(BD970=0,"",IF(BA970&gt;0,"⚠ Se superpone con un registro de la otra empresa",IF(D970="Malcolm",IF(COUNTA(R970,S970,T970)&gt;0,"Estado/fechas proMX se ignoran en Malcolm",""),IF(BF970="Cancelled","Cancelado: excluido de totales",IF(R970="","Sin estado: se trata como Draft",IF(BF970="Submitted",IF(ISNUMBER(V970),IF(V970&gt;CFG_MAXD,"⚠ "&amp;V970&amp;" días en Submitted (máx. "&amp;CFG_MAXD&amp;")",""),"Falta fecha de envío"),IF(BF970="Returned","⚠ Devuelto: corregir y reenviar",IF(BF970="Recall Requested","Retirada solicitada: pendiente",IF(AND(BF970="Approved",NOT(ISNUMBER(T970))),"Falta fecha de aprobación",IF(AND(ISNUMBER(S970),ISNUMBER(T970),T970&lt;S970),"Aprobación anterior al envío","")))))))))</f>
        <v/>
      </c>
      <c r="Y970" s="80">
        <f>IF(COUNTA(B970,D970,E970,F970,G970,H970,I970,J970,R970,S970,T970)&gt;0,1,0)</f>
        <v>0</v>
      </c>
      <c r="Z970" s="80" t="str">
        <f>IF(AND(ISNUMBER(H970),H970&gt;=0,H970&lt;1),ROUND(H970*1440,0),"")</f>
        <v/>
      </c>
      <c r="AA970" s="80" t="str">
        <f>IF(AND(ISNUMBER(I970),I970&gt;=0,I970&lt;1),ROUND(I970*1440,0),"")</f>
        <v/>
      </c>
      <c r="AB970" s="80">
        <f>IF(AND(ISNUMBER(B970),D970&lt;&gt;"",ISNUMBER(Z970),ISNUMBER(AA970)),IF(Z970=AA970,0,1),0)</f>
        <v>0</v>
      </c>
      <c r="AC970" s="80">
        <f>IF(AB970=1,IF(AA970&lt;Z970,1,0),0)</f>
        <v>0</v>
      </c>
      <c r="AD970" s="80">
        <f>IF(AB970=1,IF(AC970=1,1440-Z970+AA970,AA970-Z970),0)</f>
        <v>0</v>
      </c>
      <c r="AE970" s="80">
        <f>IF(J970="",0,IF(ISNUMBER(J970),J970,-1))</f>
        <v>0</v>
      </c>
      <c r="AF970" s="80">
        <f>MIN(MAX(0,AE970),AD970)</f>
        <v>0</v>
      </c>
      <c r="AG970" s="80">
        <f>MAX(0,AD970-MAX(0,AE970))</f>
        <v>0</v>
      </c>
      <c r="AH970" s="80">
        <f>IF(ISNUMBER(B970),IF(AND(INDEX(CFG_WDAYS,WEEKDAY(INT(B970),2))="Sí",IF(D970="proMX",COUNTIFS(FER_F,INT(B970),FER_NLP,"Sí"),COUNTIFS(FER_F,INT(B970),FER_NLM,"Sí"))=0),1,0),0)</f>
        <v>0</v>
      </c>
      <c r="AI970" s="80">
        <f>IF(AC970=1,IF(AND(INDEX(CFG_WDAYS,WEEKDAY(INT(B970)+1,2))="Sí",IF(D970="proMX",COUNTIFS(FER_F,INT(B970)+1,FER_NLP,"Sí"),COUNTIFS(FER_F,INT(B970)+1,FER_NLM,"Sí"))=0),1,0),0)</f>
        <v>0</v>
      </c>
      <c r="AJ970" s="80">
        <f>IF(AC970=1,1440-Z970,AD970)</f>
        <v>0</v>
      </c>
      <c r="AK970" s="80">
        <f>IF(AND(AB970=1,AH970=1),MAX(0,MIN(IF(AC970=1,1440,AA970),CFG_WEM)-MAX(Z970,CFG_WSM)),0)</f>
        <v>0</v>
      </c>
      <c r="AL970" s="80">
        <f>IF(AND(AC970=1,AI970=1),MAX(0,MIN(AA970,CFG_WEM)-CFG_WSM),0)</f>
        <v>0</v>
      </c>
      <c r="AM970" s="80">
        <f>AK970+AL970</f>
        <v>0</v>
      </c>
      <c r="AN970" s="80">
        <f>IF(CFG_BRK="Proporcional",IF(AD970=0,0,AF970*AM970/AD970),IF(CFG_BRK="Extras primero",MIN(AM970,MAX(0,AF970-(AD970-AM970))),MIN(AF970,AM970)))</f>
        <v>0</v>
      </c>
      <c r="AO970" s="80">
        <f>AF970-AN970</f>
        <v>0</v>
      </c>
      <c r="AP970" s="80">
        <f>AM970-AN970</f>
        <v>0</v>
      </c>
      <c r="AQ970" s="80">
        <f>AD970-AM970-AO970</f>
        <v>0</v>
      </c>
      <c r="AR970" s="80">
        <f>IF(AM970=0,0,AK970-AN970*AK970/AM970)</f>
        <v>0</v>
      </c>
      <c r="AS970" s="80">
        <f>IF(AD970-AM970=0,0,(AJ970-AK970)-AO970*(AJ970-AK970)/(AD970-AM970))</f>
        <v>0</v>
      </c>
      <c r="AT970" s="80" t="str">
        <f>IF(AC970=1,INT(B970)+1,"")</f>
        <v/>
      </c>
      <c r="AU970" s="80">
        <f>IF(AND(D970="proMX",R970="Cancelled"),0,1)</f>
        <v>1</v>
      </c>
      <c r="AV970" s="80">
        <f>IF(AND(AB970=1,AU970=1),IF(COUNTIFS($D$5:D969,D970,$B$5:B969,B970,$Z$5:Z969,Z970,$AA$5:AA969,AA970,$F$5:F969,F970&amp;"",$AU$5:AU969,1)&gt;0,1,0),0)</f>
        <v>0</v>
      </c>
      <c r="AW970" s="80" t="str">
        <f>IF(AB970=1,INT(B970)*1440+Z970,"")</f>
        <v/>
      </c>
      <c r="AX970" s="80" t="str">
        <f>IF(AB970=1,AW970+AD970,"")</f>
        <v/>
      </c>
      <c r="AY970" s="80">
        <f>IF(AND(AB970=1,AV970=0,AU970=1),1,0)</f>
        <v>0</v>
      </c>
      <c r="AZ970" s="80">
        <f>IF(AY970=1,COUNTIFS(R_Emp,D970,R_SAbs,"&lt;"&amp;AX970,R_EAbs,"&gt;"&amp;AW970,R_OKey,1)-1,0)</f>
        <v>0</v>
      </c>
      <c r="BA970" s="80">
        <f>IF(AY970=1,COUNTIFS(R_Emp,"&lt;&gt;"&amp;D970,R_SAbs,"&lt;"&amp;AX970,R_EAbs,"&gt;"&amp;AW970,R_OKey,1),0)</f>
        <v>0</v>
      </c>
      <c r="BB970" s="80">
        <f>IF(AND(AB970=1,D970="proMX"),IF(AND(MOD(Z970,CFG_BLK)=0,MOD(AA970,CFG_BLK)=0,MOD(AG970,CFG_BLK)=0,AG970&gt;0),1,0),1)</f>
        <v>1</v>
      </c>
      <c r="BC970" s="80" t="str">
        <f>IF(Y970=0,"",IF(NOT(ISNUMBER(B970)),"Falta fecha o fecha inválida",IF(D970="","Falta empresa",IF(AND(D970&lt;&gt;"Malcolm",D970&lt;&gt;"proMX"),"Empresa inválida",IF(OR(INT(B970)&lt;CFG_PSTART,INT(B970)&gt;CFG_PEND),"Fecha fuera del período",IF(OR(NOT(ISNUMBER(Z970)),NOT(ISNUMBER(AA970))),"Falta hora inicio/fin o formato inválido",IF(AB970=0,"Hora inicio = hora fin",IF(AE970&lt;0,"Descanso inválido",IF(AE970&gt;=AD970,"Descanso ≥ duración",IF(AV970=1,"Registro duplicado",IF(AZ970&gt;0,"Se superpone con otro registro "&amp;D970,IF(BB970=0,"inicio, fin y duración neta deben ser múltiplos de "&amp;CFG_BLK&amp;" min",""))))))))))))</f>
        <v/>
      </c>
      <c r="BD970" s="80">
        <f>IF(AND(Y970=1,BC970=""),1,0)</f>
        <v>0</v>
      </c>
      <c r="BE970" s="80">
        <f>IF(AND(BD970=1,AU970=1),1,0)</f>
        <v>0</v>
      </c>
      <c r="BF970" s="80" t="str">
        <f>IF(AND(D970="proMX",BD970=1),IF(R970="","Draft",R970),"")</f>
        <v/>
      </c>
      <c r="BG970" s="80">
        <f>IF(BD970=1,ROUND(AG970/60,6),0)</f>
        <v>0</v>
      </c>
      <c r="BH970" s="80">
        <f>IF(BE970=1,ROUND(AG970/60,6),0)</f>
        <v>0</v>
      </c>
      <c r="BI970" s="80">
        <f>IF(BE970=1,ROUND(AP970/60,6),0)</f>
        <v>0</v>
      </c>
      <c r="BJ970" s="80">
        <f>IF(BE970=1,ROUND(AQ970/60,6),0)</f>
        <v>0</v>
      </c>
      <c r="BK970" s="80">
        <f>IF(BE970=1,ROUND((AR970+AS970)/60,6),0)</f>
        <v>0</v>
      </c>
      <c r="BL970" s="80">
        <f>ROUND(BH970-BK970,6)</f>
        <v>0</v>
      </c>
      <c r="BM970" s="80">
        <f>IF(BE970=1,ROUND(AR970/60,6),0)</f>
        <v>0</v>
      </c>
      <c r="BN970" s="80">
        <f>ROUND(BI970-BM970,6)</f>
        <v>0</v>
      </c>
      <c r="BO970" s="80">
        <f>IF(BE970=1,ROUND(AS970/60,6),0)</f>
        <v>0</v>
      </c>
      <c r="BP970" s="80">
        <f>ROUND(BJ970-BO970,6)</f>
        <v>0</v>
      </c>
      <c r="BQ970" s="80">
        <f>IF(BE970=1,AW970,0)</f>
        <v>0</v>
      </c>
      <c r="BR970" s="80">
        <f>IF(BE970=1,AX970,0)</f>
        <v>0</v>
      </c>
      <c r="BS970" s="80">
        <f>IF(AND(BE970=1,D970="Malcolm",BA970&gt;0),MIN(BH970,SUMPRODUCT((R_Emp="proMX")*(R_EN&gt;0)*((R_EN-(R_EN&gt;BR970)*(R_EN-BR970))&gt;(R_SN+(R_SN&lt;BQ970)*(BQ970-R_SN)))*((R_EN-(R_EN&gt;BR970)*(R_EN-BR970))-(R_SN+(R_SN&lt;BQ970)*(BQ970-R_SN))))/60),0)</f>
        <v>0</v>
      </c>
      <c r="BT970" s="80">
        <f>IF(AND(BE970=1,D970="proMX"),ROUND(BI970*CFG_RATE+BJ970*CFG_OTRATE,6),0)</f>
        <v>0</v>
      </c>
      <c r="BU970" s="80">
        <f>IF(AND(BD970=1,D970="proMX"),ROUND(AG970/CFG_BLK,6),0)</f>
        <v>0</v>
      </c>
      <c r="BV970" s="80" t="str">
        <f>IF(BF970="Approved",IF(ISNUMBER(T970),INT(T970),INT(B970)),"")</f>
        <v/>
      </c>
      <c r="BW970" s="80">
        <f>IF(ISNUMBER(B970),IF(DB_MON="Todos",1,IF(AND(INT(B970)&gt;=DB_MS,INT(B970)&lt;=DB_ME),1,0)),0)</f>
        <v>0</v>
      </c>
      <c r="BX970" s="80">
        <f>IF(DB_PROJ="Todos",1,IF(E970&amp;""=DB_PROJ&amp;"",1,0))</f>
        <v>1</v>
      </c>
      <c r="BY970" s="80">
        <f>BW970*BX970</f>
        <v>0</v>
      </c>
      <c r="BZ970" s="80" t="str">
        <f>IF(Y970=1,F970&amp;IF(AND(F970&amp;""&lt;&gt;"",E970&amp;""&lt;&gt;"")," · ","")&amp;E970,"")</f>
        <v/>
      </c>
      <c r="CA970" s="80" t="str">
        <f>IF(AND(BD970=1,E970&amp;""&lt;&gt;""),IF(COUNTIFS($E$5:E969,E970,$BD$5:BD969,1)=0,MAX($CA$5:CA969)+1,""),"")</f>
        <v/>
      </c>
      <c r="CB970" s="80" t="str">
        <f>IF(AND(BE970=1,D970="Malcolm",E970&amp;""&lt;&gt;""),IF(COUNTIFS($D$5:D969,"Malcolm",$E$5:E969,E970,$BE$5:BE969,1)=0,MAX($CB$5:CB969)+1,""),"")</f>
        <v/>
      </c>
      <c r="CC970" s="80" t="str">
        <f>IF(AND(BD970=1,D970="proMX",E970&amp;""&lt;&gt;""),IF(COUNTIFS($D$5:D969,"proMX",$E$5:E969,E970,$BD$5:BD969,1)=0,MAX($CC$5:CC969)+1,""),"")</f>
        <v/>
      </c>
      <c r="CD970" s="80" t="str">
        <f>IF(AND(BE970=1,D970="Malcolm",F970&amp;""&lt;&gt;""),IF(COUNTIFS($D$5:D969,"Malcolm",$F$5:F969,F970,$BE$5:BE969,1)=0,MAX($CD$5:CD969)+1,""),"")</f>
        <v/>
      </c>
      <c r="CE970" s="80" t="str">
        <f>IF(AND(BD970=1,D970="proMX",F970&amp;""&lt;&gt;""),IF(COUNTIFS($D$5:D969,"proMX",$F$5:F969,F970,$BD$5:BD969,1)=0,MAX($CE$5:CE969)+1,""),"")</f>
        <v/>
      </c>
      <c r="CF970" s="80" t="str">
        <f>IF(AND(D970="proMX",BD970=1),IF(OR(BF970="Draft",BF970="Submitted",BF970="Returned",BF970="Recall Requested"),MAX($CF$5:CF969)+1,""),"")</f>
        <v/>
      </c>
      <c r="CG970" s="80">
        <f>IF(BD970=0,0,IF(D970="Malcolm",1,MATCH(BF970,{"Draft","Submitted","Approved","Returned","Recall Requested","Cancelled"},0)+1))</f>
        <v>0</v>
      </c>
      <c r="CH970" s="80">
        <f>IF(AND(BF970="Submitted",ISNUMBER(V970)),IF(V970&gt;CFG_MAXD,1,0),0)</f>
        <v>0</v>
      </c>
    </row>
    <row r="971">
      <c r="A971" s="71" t="str">
        <f>IF(Y971=1,ROW()-5,"")</f>
        <v/>
      </c>
      <c r="B971" s="72" t="n"/>
      <c r="C971" s="71" t="str">
        <f>IF(ISNUMBER(B971),CHOOSE(WEEKDAY(B971,2),"Lun","Mar","Mié","Jue","Vie","Sáb","Dom"),"")</f>
        <v/>
      </c>
      <c r="D971" s="73" t="n"/>
      <c r="E971" s="74" t="n"/>
      <c r="F971" s="74" t="n"/>
      <c r="G971" s="74" t="n"/>
      <c r="H971" s="75" t="n"/>
      <c r="I971" s="75" t="n"/>
      <c r="J971" s="76" t="n"/>
      <c r="K971" s="77" t="str">
        <f>IF(AB971=1,ROUND(AG971/60,4),"")</f>
        <v/>
      </c>
      <c r="L971" s="77" t="str">
        <f>IF(BD971=1,ROUND(AP971/60,4),"")</f>
        <v/>
      </c>
      <c r="M971" s="77" t="str">
        <f>IF(BD971=1,ROUND(AQ971/60,4),"")</f>
        <v/>
      </c>
      <c r="N971" s="71" t="str">
        <f>IF(AND(D971="proMX",AB971=1),ROUND(AG971/CFG_BLK,2),"")</f>
        <v/>
      </c>
      <c r="O971" s="77" t="str">
        <f>IF(D971="proMX",IF(BD971=1,ROUND(AG971/60,4),0),"")</f>
        <v/>
      </c>
      <c r="P971" s="78" t="str">
        <f>IF(Y971=0,"",IF(BD971=1,"OK",IF(D971="proMX","Revisar bloques: ","Revisar: ")&amp;BC971))</f>
        <v/>
      </c>
      <c r="Q971" s="78" t="str">
        <f>IF(NOT(ISNUMBER(B971)),"",IF(COUNTIFS(FER_F,INT(B971))&gt;0,"Feriado"&amp;IF(AH971=1," (laborable)"," (no laborable)"),IF(AH971=1,"Laborable",IF(WEEKDAY(B971,2)&gt;5,"Fin de semana","No laborable"))))</f>
        <v/>
      </c>
      <c r="R971" s="73" t="n"/>
      <c r="S971" s="72" t="n"/>
      <c r="T971" s="72" t="n"/>
      <c r="U971" s="74" t="n"/>
      <c r="V971" s="79" t="str">
        <f>IF(AND(D971="proMX",OR(R971="Submitted",R971="Recall Requested"),ISNUMBER(S971)),CFG_TODAY-INT(S971),"")</f>
        <v/>
      </c>
      <c r="W971" s="78" t="str">
        <f>IF(BD971=0,"",IF(BA971&gt;0,"⚠ Se superpone con un registro de la otra empresa",IF(D971="Malcolm",IF(COUNTA(R971,S971,T971)&gt;0,"Estado/fechas proMX se ignoran en Malcolm",""),IF(BF971="Cancelled","Cancelado: excluido de totales",IF(R971="","Sin estado: se trata como Draft",IF(BF971="Submitted",IF(ISNUMBER(V971),IF(V971&gt;CFG_MAXD,"⚠ "&amp;V971&amp;" días en Submitted (máx. "&amp;CFG_MAXD&amp;")",""),"Falta fecha de envío"),IF(BF971="Returned","⚠ Devuelto: corregir y reenviar",IF(BF971="Recall Requested","Retirada solicitada: pendiente",IF(AND(BF971="Approved",NOT(ISNUMBER(T971))),"Falta fecha de aprobación",IF(AND(ISNUMBER(S971),ISNUMBER(T971),T971&lt;S971),"Aprobación anterior al envío","")))))))))</f>
        <v/>
      </c>
      <c r="Y971" s="80">
        <f>IF(COUNTA(B971,D971,E971,F971,G971,H971,I971,J971,R971,S971,T971)&gt;0,1,0)</f>
        <v>0</v>
      </c>
      <c r="Z971" s="80" t="str">
        <f>IF(AND(ISNUMBER(H971),H971&gt;=0,H971&lt;1),ROUND(H971*1440,0),"")</f>
        <v/>
      </c>
      <c r="AA971" s="80" t="str">
        <f>IF(AND(ISNUMBER(I971),I971&gt;=0,I971&lt;1),ROUND(I971*1440,0),"")</f>
        <v/>
      </c>
      <c r="AB971" s="80">
        <f>IF(AND(ISNUMBER(B971),D971&lt;&gt;"",ISNUMBER(Z971),ISNUMBER(AA971)),IF(Z971=AA971,0,1),0)</f>
        <v>0</v>
      </c>
      <c r="AC971" s="80">
        <f>IF(AB971=1,IF(AA971&lt;Z971,1,0),0)</f>
        <v>0</v>
      </c>
      <c r="AD971" s="80">
        <f>IF(AB971=1,IF(AC971=1,1440-Z971+AA971,AA971-Z971),0)</f>
        <v>0</v>
      </c>
      <c r="AE971" s="80">
        <f>IF(J971="",0,IF(ISNUMBER(J971),J971,-1))</f>
        <v>0</v>
      </c>
      <c r="AF971" s="80">
        <f>MIN(MAX(0,AE971),AD971)</f>
        <v>0</v>
      </c>
      <c r="AG971" s="80">
        <f>MAX(0,AD971-MAX(0,AE971))</f>
        <v>0</v>
      </c>
      <c r="AH971" s="80">
        <f>IF(ISNUMBER(B971),IF(AND(INDEX(CFG_WDAYS,WEEKDAY(INT(B971),2))="Sí",IF(D971="proMX",COUNTIFS(FER_F,INT(B971),FER_NLP,"Sí"),COUNTIFS(FER_F,INT(B971),FER_NLM,"Sí"))=0),1,0),0)</f>
        <v>0</v>
      </c>
      <c r="AI971" s="80">
        <f>IF(AC971=1,IF(AND(INDEX(CFG_WDAYS,WEEKDAY(INT(B971)+1,2))="Sí",IF(D971="proMX",COUNTIFS(FER_F,INT(B971)+1,FER_NLP,"Sí"),COUNTIFS(FER_F,INT(B971)+1,FER_NLM,"Sí"))=0),1,0),0)</f>
        <v>0</v>
      </c>
      <c r="AJ971" s="80">
        <f>IF(AC971=1,1440-Z971,AD971)</f>
        <v>0</v>
      </c>
      <c r="AK971" s="80">
        <f>IF(AND(AB971=1,AH971=1),MAX(0,MIN(IF(AC971=1,1440,AA971),CFG_WEM)-MAX(Z971,CFG_WSM)),0)</f>
        <v>0</v>
      </c>
      <c r="AL971" s="80">
        <f>IF(AND(AC971=1,AI971=1),MAX(0,MIN(AA971,CFG_WEM)-CFG_WSM),0)</f>
        <v>0</v>
      </c>
      <c r="AM971" s="80">
        <f>AK971+AL971</f>
        <v>0</v>
      </c>
      <c r="AN971" s="80">
        <f>IF(CFG_BRK="Proporcional",IF(AD971=0,0,AF971*AM971/AD971),IF(CFG_BRK="Extras primero",MIN(AM971,MAX(0,AF971-(AD971-AM971))),MIN(AF971,AM971)))</f>
        <v>0</v>
      </c>
      <c r="AO971" s="80">
        <f>AF971-AN971</f>
        <v>0</v>
      </c>
      <c r="AP971" s="80">
        <f>AM971-AN971</f>
        <v>0</v>
      </c>
      <c r="AQ971" s="80">
        <f>AD971-AM971-AO971</f>
        <v>0</v>
      </c>
      <c r="AR971" s="80">
        <f>IF(AM971=0,0,AK971-AN971*AK971/AM971)</f>
        <v>0</v>
      </c>
      <c r="AS971" s="80">
        <f>IF(AD971-AM971=0,0,(AJ971-AK971)-AO971*(AJ971-AK971)/(AD971-AM971))</f>
        <v>0</v>
      </c>
      <c r="AT971" s="80" t="str">
        <f>IF(AC971=1,INT(B971)+1,"")</f>
        <v/>
      </c>
      <c r="AU971" s="80">
        <f>IF(AND(D971="proMX",R971="Cancelled"),0,1)</f>
        <v>1</v>
      </c>
      <c r="AV971" s="80">
        <f>IF(AND(AB971=1,AU971=1),IF(COUNTIFS($D$5:D970,D971,$B$5:B970,B971,$Z$5:Z970,Z971,$AA$5:AA970,AA971,$F$5:F970,F971&amp;"",$AU$5:AU970,1)&gt;0,1,0),0)</f>
        <v>0</v>
      </c>
      <c r="AW971" s="80" t="str">
        <f>IF(AB971=1,INT(B971)*1440+Z971,"")</f>
        <v/>
      </c>
      <c r="AX971" s="80" t="str">
        <f>IF(AB971=1,AW971+AD971,"")</f>
        <v/>
      </c>
      <c r="AY971" s="80">
        <f>IF(AND(AB971=1,AV971=0,AU971=1),1,0)</f>
        <v>0</v>
      </c>
      <c r="AZ971" s="80">
        <f>IF(AY971=1,COUNTIFS(R_Emp,D971,R_SAbs,"&lt;"&amp;AX971,R_EAbs,"&gt;"&amp;AW971,R_OKey,1)-1,0)</f>
        <v>0</v>
      </c>
      <c r="BA971" s="80">
        <f>IF(AY971=1,COUNTIFS(R_Emp,"&lt;&gt;"&amp;D971,R_SAbs,"&lt;"&amp;AX971,R_EAbs,"&gt;"&amp;AW971,R_OKey,1),0)</f>
        <v>0</v>
      </c>
      <c r="BB971" s="80">
        <f>IF(AND(AB971=1,D971="proMX"),IF(AND(MOD(Z971,CFG_BLK)=0,MOD(AA971,CFG_BLK)=0,MOD(AG971,CFG_BLK)=0,AG971&gt;0),1,0),1)</f>
        <v>1</v>
      </c>
      <c r="BC971" s="80" t="str">
        <f>IF(Y971=0,"",IF(NOT(ISNUMBER(B971)),"Falta fecha o fecha inválida",IF(D971="","Falta empresa",IF(AND(D971&lt;&gt;"Malcolm",D971&lt;&gt;"proMX"),"Empresa inválida",IF(OR(INT(B971)&lt;CFG_PSTART,INT(B971)&gt;CFG_PEND),"Fecha fuera del período",IF(OR(NOT(ISNUMBER(Z971)),NOT(ISNUMBER(AA971))),"Falta hora inicio/fin o formato inválido",IF(AB971=0,"Hora inicio = hora fin",IF(AE971&lt;0,"Descanso inválido",IF(AE971&gt;=AD971,"Descanso ≥ duración",IF(AV971=1,"Registro duplicado",IF(AZ971&gt;0,"Se superpone con otro registro "&amp;D971,IF(BB971=0,"inicio, fin y duración neta deben ser múltiplos de "&amp;CFG_BLK&amp;" min",""))))))))))))</f>
        <v/>
      </c>
      <c r="BD971" s="80">
        <f>IF(AND(Y971=1,BC971=""),1,0)</f>
        <v>0</v>
      </c>
      <c r="BE971" s="80">
        <f>IF(AND(BD971=1,AU971=1),1,0)</f>
        <v>0</v>
      </c>
      <c r="BF971" s="80" t="str">
        <f>IF(AND(D971="proMX",BD971=1),IF(R971="","Draft",R971),"")</f>
        <v/>
      </c>
      <c r="BG971" s="80">
        <f>IF(BD971=1,ROUND(AG971/60,6),0)</f>
        <v>0</v>
      </c>
      <c r="BH971" s="80">
        <f>IF(BE971=1,ROUND(AG971/60,6),0)</f>
        <v>0</v>
      </c>
      <c r="BI971" s="80">
        <f>IF(BE971=1,ROUND(AP971/60,6),0)</f>
        <v>0</v>
      </c>
      <c r="BJ971" s="80">
        <f>IF(BE971=1,ROUND(AQ971/60,6),0)</f>
        <v>0</v>
      </c>
      <c r="BK971" s="80">
        <f>IF(BE971=1,ROUND((AR971+AS971)/60,6),0)</f>
        <v>0</v>
      </c>
      <c r="BL971" s="80">
        <f>ROUND(BH971-BK971,6)</f>
        <v>0</v>
      </c>
      <c r="BM971" s="80">
        <f>IF(BE971=1,ROUND(AR971/60,6),0)</f>
        <v>0</v>
      </c>
      <c r="BN971" s="80">
        <f>ROUND(BI971-BM971,6)</f>
        <v>0</v>
      </c>
      <c r="BO971" s="80">
        <f>IF(BE971=1,ROUND(AS971/60,6),0)</f>
        <v>0</v>
      </c>
      <c r="BP971" s="80">
        <f>ROUND(BJ971-BO971,6)</f>
        <v>0</v>
      </c>
      <c r="BQ971" s="80">
        <f>IF(BE971=1,AW971,0)</f>
        <v>0</v>
      </c>
      <c r="BR971" s="80">
        <f>IF(BE971=1,AX971,0)</f>
        <v>0</v>
      </c>
      <c r="BS971" s="80">
        <f>IF(AND(BE971=1,D971="Malcolm",BA971&gt;0),MIN(BH971,SUMPRODUCT((R_Emp="proMX")*(R_EN&gt;0)*((R_EN-(R_EN&gt;BR971)*(R_EN-BR971))&gt;(R_SN+(R_SN&lt;BQ971)*(BQ971-R_SN)))*((R_EN-(R_EN&gt;BR971)*(R_EN-BR971))-(R_SN+(R_SN&lt;BQ971)*(BQ971-R_SN))))/60),0)</f>
        <v>0</v>
      </c>
      <c r="BT971" s="80">
        <f>IF(AND(BE971=1,D971="proMX"),ROUND(BI971*CFG_RATE+BJ971*CFG_OTRATE,6),0)</f>
        <v>0</v>
      </c>
      <c r="BU971" s="80">
        <f>IF(AND(BD971=1,D971="proMX"),ROUND(AG971/CFG_BLK,6),0)</f>
        <v>0</v>
      </c>
      <c r="BV971" s="80" t="str">
        <f>IF(BF971="Approved",IF(ISNUMBER(T971),INT(T971),INT(B971)),"")</f>
        <v/>
      </c>
      <c r="BW971" s="80">
        <f>IF(ISNUMBER(B971),IF(DB_MON="Todos",1,IF(AND(INT(B971)&gt;=DB_MS,INT(B971)&lt;=DB_ME),1,0)),0)</f>
        <v>0</v>
      </c>
      <c r="BX971" s="80">
        <f>IF(DB_PROJ="Todos",1,IF(E971&amp;""=DB_PROJ&amp;"",1,0))</f>
        <v>1</v>
      </c>
      <c r="BY971" s="80">
        <f>BW971*BX971</f>
        <v>0</v>
      </c>
      <c r="BZ971" s="80" t="str">
        <f>IF(Y971=1,F971&amp;IF(AND(F971&amp;""&lt;&gt;"",E971&amp;""&lt;&gt;"")," · ","")&amp;E971,"")</f>
        <v/>
      </c>
      <c r="CA971" s="80" t="str">
        <f>IF(AND(BD971=1,E971&amp;""&lt;&gt;""),IF(COUNTIFS($E$5:E970,E971,$BD$5:BD970,1)=0,MAX($CA$5:CA970)+1,""),"")</f>
        <v/>
      </c>
      <c r="CB971" s="80" t="str">
        <f>IF(AND(BE971=1,D971="Malcolm",E971&amp;""&lt;&gt;""),IF(COUNTIFS($D$5:D970,"Malcolm",$E$5:E970,E971,$BE$5:BE970,1)=0,MAX($CB$5:CB970)+1,""),"")</f>
        <v/>
      </c>
      <c r="CC971" s="80" t="str">
        <f>IF(AND(BD971=1,D971="proMX",E971&amp;""&lt;&gt;""),IF(COUNTIFS($D$5:D970,"proMX",$E$5:E970,E971,$BD$5:BD970,1)=0,MAX($CC$5:CC970)+1,""),"")</f>
        <v/>
      </c>
      <c r="CD971" s="80" t="str">
        <f>IF(AND(BE971=1,D971="Malcolm",F971&amp;""&lt;&gt;""),IF(COUNTIFS($D$5:D970,"Malcolm",$F$5:F970,F971,$BE$5:BE970,1)=0,MAX($CD$5:CD970)+1,""),"")</f>
        <v/>
      </c>
      <c r="CE971" s="80" t="str">
        <f>IF(AND(BD971=1,D971="proMX",F971&amp;""&lt;&gt;""),IF(COUNTIFS($D$5:D970,"proMX",$F$5:F970,F971,$BD$5:BD970,1)=0,MAX($CE$5:CE970)+1,""),"")</f>
        <v/>
      </c>
      <c r="CF971" s="80" t="str">
        <f>IF(AND(D971="proMX",BD971=1),IF(OR(BF971="Draft",BF971="Submitted",BF971="Returned",BF971="Recall Requested"),MAX($CF$5:CF970)+1,""),"")</f>
        <v/>
      </c>
      <c r="CG971" s="80">
        <f>IF(BD971=0,0,IF(D971="Malcolm",1,MATCH(BF971,{"Draft","Submitted","Approved","Returned","Recall Requested","Cancelled"},0)+1))</f>
        <v>0</v>
      </c>
      <c r="CH971" s="80">
        <f>IF(AND(BF971="Submitted",ISNUMBER(V971)),IF(V971&gt;CFG_MAXD,1,0),0)</f>
        <v>0</v>
      </c>
    </row>
    <row r="972">
      <c r="A972" s="71" t="str">
        <f>IF(Y972=1,ROW()-5,"")</f>
        <v/>
      </c>
      <c r="B972" s="72" t="n"/>
      <c r="C972" s="71" t="str">
        <f>IF(ISNUMBER(B972),CHOOSE(WEEKDAY(B972,2),"Lun","Mar","Mié","Jue","Vie","Sáb","Dom"),"")</f>
        <v/>
      </c>
      <c r="D972" s="73" t="n"/>
      <c r="E972" s="74" t="n"/>
      <c r="F972" s="74" t="n"/>
      <c r="G972" s="74" t="n"/>
      <c r="H972" s="75" t="n"/>
      <c r="I972" s="75" t="n"/>
      <c r="J972" s="76" t="n"/>
      <c r="K972" s="77" t="str">
        <f>IF(AB972=1,ROUND(AG972/60,4),"")</f>
        <v/>
      </c>
      <c r="L972" s="77" t="str">
        <f>IF(BD972=1,ROUND(AP972/60,4),"")</f>
        <v/>
      </c>
      <c r="M972" s="77" t="str">
        <f>IF(BD972=1,ROUND(AQ972/60,4),"")</f>
        <v/>
      </c>
      <c r="N972" s="71" t="str">
        <f>IF(AND(D972="proMX",AB972=1),ROUND(AG972/CFG_BLK,2),"")</f>
        <v/>
      </c>
      <c r="O972" s="77" t="str">
        <f>IF(D972="proMX",IF(BD972=1,ROUND(AG972/60,4),0),"")</f>
        <v/>
      </c>
      <c r="P972" s="78" t="str">
        <f>IF(Y972=0,"",IF(BD972=1,"OK",IF(D972="proMX","Revisar bloques: ","Revisar: ")&amp;BC972))</f>
        <v/>
      </c>
      <c r="Q972" s="78" t="str">
        <f>IF(NOT(ISNUMBER(B972)),"",IF(COUNTIFS(FER_F,INT(B972))&gt;0,"Feriado"&amp;IF(AH972=1," (laborable)"," (no laborable)"),IF(AH972=1,"Laborable",IF(WEEKDAY(B972,2)&gt;5,"Fin de semana","No laborable"))))</f>
        <v/>
      </c>
      <c r="R972" s="73" t="n"/>
      <c r="S972" s="72" t="n"/>
      <c r="T972" s="72" t="n"/>
      <c r="U972" s="74" t="n"/>
      <c r="V972" s="79" t="str">
        <f>IF(AND(D972="proMX",OR(R972="Submitted",R972="Recall Requested"),ISNUMBER(S972)),CFG_TODAY-INT(S972),"")</f>
        <v/>
      </c>
      <c r="W972" s="78" t="str">
        <f>IF(BD972=0,"",IF(BA972&gt;0,"⚠ Se superpone con un registro de la otra empresa",IF(D972="Malcolm",IF(COUNTA(R972,S972,T972)&gt;0,"Estado/fechas proMX se ignoran en Malcolm",""),IF(BF972="Cancelled","Cancelado: excluido de totales",IF(R972="","Sin estado: se trata como Draft",IF(BF972="Submitted",IF(ISNUMBER(V972),IF(V972&gt;CFG_MAXD,"⚠ "&amp;V972&amp;" días en Submitted (máx. "&amp;CFG_MAXD&amp;")",""),"Falta fecha de envío"),IF(BF972="Returned","⚠ Devuelto: corregir y reenviar",IF(BF972="Recall Requested","Retirada solicitada: pendiente",IF(AND(BF972="Approved",NOT(ISNUMBER(T972))),"Falta fecha de aprobación",IF(AND(ISNUMBER(S972),ISNUMBER(T972),T972&lt;S972),"Aprobación anterior al envío","")))))))))</f>
        <v/>
      </c>
      <c r="Y972" s="80">
        <f>IF(COUNTA(B972,D972,E972,F972,G972,H972,I972,J972,R972,S972,T972)&gt;0,1,0)</f>
        <v>0</v>
      </c>
      <c r="Z972" s="80" t="str">
        <f>IF(AND(ISNUMBER(H972),H972&gt;=0,H972&lt;1),ROUND(H972*1440,0),"")</f>
        <v/>
      </c>
      <c r="AA972" s="80" t="str">
        <f>IF(AND(ISNUMBER(I972),I972&gt;=0,I972&lt;1),ROUND(I972*1440,0),"")</f>
        <v/>
      </c>
      <c r="AB972" s="80">
        <f>IF(AND(ISNUMBER(B972),D972&lt;&gt;"",ISNUMBER(Z972),ISNUMBER(AA972)),IF(Z972=AA972,0,1),0)</f>
        <v>0</v>
      </c>
      <c r="AC972" s="80">
        <f>IF(AB972=1,IF(AA972&lt;Z972,1,0),0)</f>
        <v>0</v>
      </c>
      <c r="AD972" s="80">
        <f>IF(AB972=1,IF(AC972=1,1440-Z972+AA972,AA972-Z972),0)</f>
        <v>0</v>
      </c>
      <c r="AE972" s="80">
        <f>IF(J972="",0,IF(ISNUMBER(J972),J972,-1))</f>
        <v>0</v>
      </c>
      <c r="AF972" s="80">
        <f>MIN(MAX(0,AE972),AD972)</f>
        <v>0</v>
      </c>
      <c r="AG972" s="80">
        <f>MAX(0,AD972-MAX(0,AE972))</f>
        <v>0</v>
      </c>
      <c r="AH972" s="80">
        <f>IF(ISNUMBER(B972),IF(AND(INDEX(CFG_WDAYS,WEEKDAY(INT(B972),2))="Sí",IF(D972="proMX",COUNTIFS(FER_F,INT(B972),FER_NLP,"Sí"),COUNTIFS(FER_F,INT(B972),FER_NLM,"Sí"))=0),1,0),0)</f>
        <v>0</v>
      </c>
      <c r="AI972" s="80">
        <f>IF(AC972=1,IF(AND(INDEX(CFG_WDAYS,WEEKDAY(INT(B972)+1,2))="Sí",IF(D972="proMX",COUNTIFS(FER_F,INT(B972)+1,FER_NLP,"Sí"),COUNTIFS(FER_F,INT(B972)+1,FER_NLM,"Sí"))=0),1,0),0)</f>
        <v>0</v>
      </c>
      <c r="AJ972" s="80">
        <f>IF(AC972=1,1440-Z972,AD972)</f>
        <v>0</v>
      </c>
      <c r="AK972" s="80">
        <f>IF(AND(AB972=1,AH972=1),MAX(0,MIN(IF(AC972=1,1440,AA972),CFG_WEM)-MAX(Z972,CFG_WSM)),0)</f>
        <v>0</v>
      </c>
      <c r="AL972" s="80">
        <f>IF(AND(AC972=1,AI972=1),MAX(0,MIN(AA972,CFG_WEM)-CFG_WSM),0)</f>
        <v>0</v>
      </c>
      <c r="AM972" s="80">
        <f>AK972+AL972</f>
        <v>0</v>
      </c>
      <c r="AN972" s="80">
        <f>IF(CFG_BRK="Proporcional",IF(AD972=0,0,AF972*AM972/AD972),IF(CFG_BRK="Extras primero",MIN(AM972,MAX(0,AF972-(AD972-AM972))),MIN(AF972,AM972)))</f>
        <v>0</v>
      </c>
      <c r="AO972" s="80">
        <f>AF972-AN972</f>
        <v>0</v>
      </c>
      <c r="AP972" s="80">
        <f>AM972-AN972</f>
        <v>0</v>
      </c>
      <c r="AQ972" s="80">
        <f>AD972-AM972-AO972</f>
        <v>0</v>
      </c>
      <c r="AR972" s="80">
        <f>IF(AM972=0,0,AK972-AN972*AK972/AM972)</f>
        <v>0</v>
      </c>
      <c r="AS972" s="80">
        <f>IF(AD972-AM972=0,0,(AJ972-AK972)-AO972*(AJ972-AK972)/(AD972-AM972))</f>
        <v>0</v>
      </c>
      <c r="AT972" s="80" t="str">
        <f>IF(AC972=1,INT(B972)+1,"")</f>
        <v/>
      </c>
      <c r="AU972" s="80">
        <f>IF(AND(D972="proMX",R972="Cancelled"),0,1)</f>
        <v>1</v>
      </c>
      <c r="AV972" s="80">
        <f>IF(AND(AB972=1,AU972=1),IF(COUNTIFS($D$5:D971,D972,$B$5:B971,B972,$Z$5:Z971,Z972,$AA$5:AA971,AA972,$F$5:F971,F972&amp;"",$AU$5:AU971,1)&gt;0,1,0),0)</f>
        <v>0</v>
      </c>
      <c r="AW972" s="80" t="str">
        <f>IF(AB972=1,INT(B972)*1440+Z972,"")</f>
        <v/>
      </c>
      <c r="AX972" s="80" t="str">
        <f>IF(AB972=1,AW972+AD972,"")</f>
        <v/>
      </c>
      <c r="AY972" s="80">
        <f>IF(AND(AB972=1,AV972=0,AU972=1),1,0)</f>
        <v>0</v>
      </c>
      <c r="AZ972" s="80">
        <f>IF(AY972=1,COUNTIFS(R_Emp,D972,R_SAbs,"&lt;"&amp;AX972,R_EAbs,"&gt;"&amp;AW972,R_OKey,1)-1,0)</f>
        <v>0</v>
      </c>
      <c r="BA972" s="80">
        <f>IF(AY972=1,COUNTIFS(R_Emp,"&lt;&gt;"&amp;D972,R_SAbs,"&lt;"&amp;AX972,R_EAbs,"&gt;"&amp;AW972,R_OKey,1),0)</f>
        <v>0</v>
      </c>
      <c r="BB972" s="80">
        <f>IF(AND(AB972=1,D972="proMX"),IF(AND(MOD(Z972,CFG_BLK)=0,MOD(AA972,CFG_BLK)=0,MOD(AG972,CFG_BLK)=0,AG972&gt;0),1,0),1)</f>
        <v>1</v>
      </c>
      <c r="BC972" s="80" t="str">
        <f>IF(Y972=0,"",IF(NOT(ISNUMBER(B972)),"Falta fecha o fecha inválida",IF(D972="","Falta empresa",IF(AND(D972&lt;&gt;"Malcolm",D972&lt;&gt;"proMX"),"Empresa inválida",IF(OR(INT(B972)&lt;CFG_PSTART,INT(B972)&gt;CFG_PEND),"Fecha fuera del período",IF(OR(NOT(ISNUMBER(Z972)),NOT(ISNUMBER(AA972))),"Falta hora inicio/fin o formato inválido",IF(AB972=0,"Hora inicio = hora fin",IF(AE972&lt;0,"Descanso inválido",IF(AE972&gt;=AD972,"Descanso ≥ duración",IF(AV972=1,"Registro duplicado",IF(AZ972&gt;0,"Se superpone con otro registro "&amp;D972,IF(BB972=0,"inicio, fin y duración neta deben ser múltiplos de "&amp;CFG_BLK&amp;" min",""))))))))))))</f>
        <v/>
      </c>
      <c r="BD972" s="80">
        <f>IF(AND(Y972=1,BC972=""),1,0)</f>
        <v>0</v>
      </c>
      <c r="BE972" s="80">
        <f>IF(AND(BD972=1,AU972=1),1,0)</f>
        <v>0</v>
      </c>
      <c r="BF972" s="80" t="str">
        <f>IF(AND(D972="proMX",BD972=1),IF(R972="","Draft",R972),"")</f>
        <v/>
      </c>
      <c r="BG972" s="80">
        <f>IF(BD972=1,ROUND(AG972/60,6),0)</f>
        <v>0</v>
      </c>
      <c r="BH972" s="80">
        <f>IF(BE972=1,ROUND(AG972/60,6),0)</f>
        <v>0</v>
      </c>
      <c r="BI972" s="80">
        <f>IF(BE972=1,ROUND(AP972/60,6),0)</f>
        <v>0</v>
      </c>
      <c r="BJ972" s="80">
        <f>IF(BE972=1,ROUND(AQ972/60,6),0)</f>
        <v>0</v>
      </c>
      <c r="BK972" s="80">
        <f>IF(BE972=1,ROUND((AR972+AS972)/60,6),0)</f>
        <v>0</v>
      </c>
      <c r="BL972" s="80">
        <f>ROUND(BH972-BK972,6)</f>
        <v>0</v>
      </c>
      <c r="BM972" s="80">
        <f>IF(BE972=1,ROUND(AR972/60,6),0)</f>
        <v>0</v>
      </c>
      <c r="BN972" s="80">
        <f>ROUND(BI972-BM972,6)</f>
        <v>0</v>
      </c>
      <c r="BO972" s="80">
        <f>IF(BE972=1,ROUND(AS972/60,6),0)</f>
        <v>0</v>
      </c>
      <c r="BP972" s="80">
        <f>ROUND(BJ972-BO972,6)</f>
        <v>0</v>
      </c>
      <c r="BQ972" s="80">
        <f>IF(BE972=1,AW972,0)</f>
        <v>0</v>
      </c>
      <c r="BR972" s="80">
        <f>IF(BE972=1,AX972,0)</f>
        <v>0</v>
      </c>
      <c r="BS972" s="80">
        <f>IF(AND(BE972=1,D972="Malcolm",BA972&gt;0),MIN(BH972,SUMPRODUCT((R_Emp="proMX")*(R_EN&gt;0)*((R_EN-(R_EN&gt;BR972)*(R_EN-BR972))&gt;(R_SN+(R_SN&lt;BQ972)*(BQ972-R_SN)))*((R_EN-(R_EN&gt;BR972)*(R_EN-BR972))-(R_SN+(R_SN&lt;BQ972)*(BQ972-R_SN))))/60),0)</f>
        <v>0</v>
      </c>
      <c r="BT972" s="80">
        <f>IF(AND(BE972=1,D972="proMX"),ROUND(BI972*CFG_RATE+BJ972*CFG_OTRATE,6),0)</f>
        <v>0</v>
      </c>
      <c r="BU972" s="80">
        <f>IF(AND(BD972=1,D972="proMX"),ROUND(AG972/CFG_BLK,6),0)</f>
        <v>0</v>
      </c>
      <c r="BV972" s="80" t="str">
        <f>IF(BF972="Approved",IF(ISNUMBER(T972),INT(T972),INT(B972)),"")</f>
        <v/>
      </c>
      <c r="BW972" s="80">
        <f>IF(ISNUMBER(B972),IF(DB_MON="Todos",1,IF(AND(INT(B972)&gt;=DB_MS,INT(B972)&lt;=DB_ME),1,0)),0)</f>
        <v>0</v>
      </c>
      <c r="BX972" s="80">
        <f>IF(DB_PROJ="Todos",1,IF(E972&amp;""=DB_PROJ&amp;"",1,0))</f>
        <v>1</v>
      </c>
      <c r="BY972" s="80">
        <f>BW972*BX972</f>
        <v>0</v>
      </c>
      <c r="BZ972" s="80" t="str">
        <f>IF(Y972=1,F972&amp;IF(AND(F972&amp;""&lt;&gt;"",E972&amp;""&lt;&gt;"")," · ","")&amp;E972,"")</f>
        <v/>
      </c>
      <c r="CA972" s="80" t="str">
        <f>IF(AND(BD972=1,E972&amp;""&lt;&gt;""),IF(COUNTIFS($E$5:E971,E972,$BD$5:BD971,1)=0,MAX($CA$5:CA971)+1,""),"")</f>
        <v/>
      </c>
      <c r="CB972" s="80" t="str">
        <f>IF(AND(BE972=1,D972="Malcolm",E972&amp;""&lt;&gt;""),IF(COUNTIFS($D$5:D971,"Malcolm",$E$5:E971,E972,$BE$5:BE971,1)=0,MAX($CB$5:CB971)+1,""),"")</f>
        <v/>
      </c>
      <c r="CC972" s="80" t="str">
        <f>IF(AND(BD972=1,D972="proMX",E972&amp;""&lt;&gt;""),IF(COUNTIFS($D$5:D971,"proMX",$E$5:E971,E972,$BD$5:BD971,1)=0,MAX($CC$5:CC971)+1,""),"")</f>
        <v/>
      </c>
      <c r="CD972" s="80" t="str">
        <f>IF(AND(BE972=1,D972="Malcolm",F972&amp;""&lt;&gt;""),IF(COUNTIFS($D$5:D971,"Malcolm",$F$5:F971,F972,$BE$5:BE971,1)=0,MAX($CD$5:CD971)+1,""),"")</f>
        <v/>
      </c>
      <c r="CE972" s="80" t="str">
        <f>IF(AND(BD972=1,D972="proMX",F972&amp;""&lt;&gt;""),IF(COUNTIFS($D$5:D971,"proMX",$F$5:F971,F972,$BD$5:BD971,1)=0,MAX($CE$5:CE971)+1,""),"")</f>
        <v/>
      </c>
      <c r="CF972" s="80" t="str">
        <f>IF(AND(D972="proMX",BD972=1),IF(OR(BF972="Draft",BF972="Submitted",BF972="Returned",BF972="Recall Requested"),MAX($CF$5:CF971)+1,""),"")</f>
        <v/>
      </c>
      <c r="CG972" s="80">
        <f>IF(BD972=0,0,IF(D972="Malcolm",1,MATCH(BF972,{"Draft","Submitted","Approved","Returned","Recall Requested","Cancelled"},0)+1))</f>
        <v>0</v>
      </c>
      <c r="CH972" s="80">
        <f>IF(AND(BF972="Submitted",ISNUMBER(V972)),IF(V972&gt;CFG_MAXD,1,0),0)</f>
        <v>0</v>
      </c>
    </row>
    <row r="973">
      <c r="A973" s="71" t="str">
        <f>IF(Y973=1,ROW()-5,"")</f>
        <v/>
      </c>
      <c r="B973" s="72" t="n"/>
      <c r="C973" s="71" t="str">
        <f>IF(ISNUMBER(B973),CHOOSE(WEEKDAY(B973,2),"Lun","Mar","Mié","Jue","Vie","Sáb","Dom"),"")</f>
        <v/>
      </c>
      <c r="D973" s="73" t="n"/>
      <c r="E973" s="74" t="n"/>
      <c r="F973" s="74" t="n"/>
      <c r="G973" s="74" t="n"/>
      <c r="H973" s="75" t="n"/>
      <c r="I973" s="75" t="n"/>
      <c r="J973" s="76" t="n"/>
      <c r="K973" s="77" t="str">
        <f>IF(AB973=1,ROUND(AG973/60,4),"")</f>
        <v/>
      </c>
      <c r="L973" s="77" t="str">
        <f>IF(BD973=1,ROUND(AP973/60,4),"")</f>
        <v/>
      </c>
      <c r="M973" s="77" t="str">
        <f>IF(BD973=1,ROUND(AQ973/60,4),"")</f>
        <v/>
      </c>
      <c r="N973" s="71" t="str">
        <f>IF(AND(D973="proMX",AB973=1),ROUND(AG973/CFG_BLK,2),"")</f>
        <v/>
      </c>
      <c r="O973" s="77" t="str">
        <f>IF(D973="proMX",IF(BD973=1,ROUND(AG973/60,4),0),"")</f>
        <v/>
      </c>
      <c r="P973" s="78" t="str">
        <f>IF(Y973=0,"",IF(BD973=1,"OK",IF(D973="proMX","Revisar bloques: ","Revisar: ")&amp;BC973))</f>
        <v/>
      </c>
      <c r="Q973" s="78" t="str">
        <f>IF(NOT(ISNUMBER(B973)),"",IF(COUNTIFS(FER_F,INT(B973))&gt;0,"Feriado"&amp;IF(AH973=1," (laborable)"," (no laborable)"),IF(AH973=1,"Laborable",IF(WEEKDAY(B973,2)&gt;5,"Fin de semana","No laborable"))))</f>
        <v/>
      </c>
      <c r="R973" s="73" t="n"/>
      <c r="S973" s="72" t="n"/>
      <c r="T973" s="72" t="n"/>
      <c r="U973" s="74" t="n"/>
      <c r="V973" s="79" t="str">
        <f>IF(AND(D973="proMX",OR(R973="Submitted",R973="Recall Requested"),ISNUMBER(S973)),CFG_TODAY-INT(S973),"")</f>
        <v/>
      </c>
      <c r="W973" s="78" t="str">
        <f>IF(BD973=0,"",IF(BA973&gt;0,"⚠ Se superpone con un registro de la otra empresa",IF(D973="Malcolm",IF(COUNTA(R973,S973,T973)&gt;0,"Estado/fechas proMX se ignoran en Malcolm",""),IF(BF973="Cancelled","Cancelado: excluido de totales",IF(R973="","Sin estado: se trata como Draft",IF(BF973="Submitted",IF(ISNUMBER(V973),IF(V973&gt;CFG_MAXD,"⚠ "&amp;V973&amp;" días en Submitted (máx. "&amp;CFG_MAXD&amp;")",""),"Falta fecha de envío"),IF(BF973="Returned","⚠ Devuelto: corregir y reenviar",IF(BF973="Recall Requested","Retirada solicitada: pendiente",IF(AND(BF973="Approved",NOT(ISNUMBER(T973))),"Falta fecha de aprobación",IF(AND(ISNUMBER(S973),ISNUMBER(T973),T973&lt;S973),"Aprobación anterior al envío","")))))))))</f>
        <v/>
      </c>
      <c r="Y973" s="80">
        <f>IF(COUNTA(B973,D973,E973,F973,G973,H973,I973,J973,R973,S973,T973)&gt;0,1,0)</f>
        <v>0</v>
      </c>
      <c r="Z973" s="80" t="str">
        <f>IF(AND(ISNUMBER(H973),H973&gt;=0,H973&lt;1),ROUND(H973*1440,0),"")</f>
        <v/>
      </c>
      <c r="AA973" s="80" t="str">
        <f>IF(AND(ISNUMBER(I973),I973&gt;=0,I973&lt;1),ROUND(I973*1440,0),"")</f>
        <v/>
      </c>
      <c r="AB973" s="80">
        <f>IF(AND(ISNUMBER(B973),D973&lt;&gt;"",ISNUMBER(Z973),ISNUMBER(AA973)),IF(Z973=AA973,0,1),0)</f>
        <v>0</v>
      </c>
      <c r="AC973" s="80">
        <f>IF(AB973=1,IF(AA973&lt;Z973,1,0),0)</f>
        <v>0</v>
      </c>
      <c r="AD973" s="80">
        <f>IF(AB973=1,IF(AC973=1,1440-Z973+AA973,AA973-Z973),0)</f>
        <v>0</v>
      </c>
      <c r="AE973" s="80">
        <f>IF(J973="",0,IF(ISNUMBER(J973),J973,-1))</f>
        <v>0</v>
      </c>
      <c r="AF973" s="80">
        <f>MIN(MAX(0,AE973),AD973)</f>
        <v>0</v>
      </c>
      <c r="AG973" s="80">
        <f>MAX(0,AD973-MAX(0,AE973))</f>
        <v>0</v>
      </c>
      <c r="AH973" s="80">
        <f>IF(ISNUMBER(B973),IF(AND(INDEX(CFG_WDAYS,WEEKDAY(INT(B973),2))="Sí",IF(D973="proMX",COUNTIFS(FER_F,INT(B973),FER_NLP,"Sí"),COUNTIFS(FER_F,INT(B973),FER_NLM,"Sí"))=0),1,0),0)</f>
        <v>0</v>
      </c>
      <c r="AI973" s="80">
        <f>IF(AC973=1,IF(AND(INDEX(CFG_WDAYS,WEEKDAY(INT(B973)+1,2))="Sí",IF(D973="proMX",COUNTIFS(FER_F,INT(B973)+1,FER_NLP,"Sí"),COUNTIFS(FER_F,INT(B973)+1,FER_NLM,"Sí"))=0),1,0),0)</f>
        <v>0</v>
      </c>
      <c r="AJ973" s="80">
        <f>IF(AC973=1,1440-Z973,AD973)</f>
        <v>0</v>
      </c>
      <c r="AK973" s="80">
        <f>IF(AND(AB973=1,AH973=1),MAX(0,MIN(IF(AC973=1,1440,AA973),CFG_WEM)-MAX(Z973,CFG_WSM)),0)</f>
        <v>0</v>
      </c>
      <c r="AL973" s="80">
        <f>IF(AND(AC973=1,AI973=1),MAX(0,MIN(AA973,CFG_WEM)-CFG_WSM),0)</f>
        <v>0</v>
      </c>
      <c r="AM973" s="80">
        <f>AK973+AL973</f>
        <v>0</v>
      </c>
      <c r="AN973" s="80">
        <f>IF(CFG_BRK="Proporcional",IF(AD973=0,0,AF973*AM973/AD973),IF(CFG_BRK="Extras primero",MIN(AM973,MAX(0,AF973-(AD973-AM973))),MIN(AF973,AM973)))</f>
        <v>0</v>
      </c>
      <c r="AO973" s="80">
        <f>AF973-AN973</f>
        <v>0</v>
      </c>
      <c r="AP973" s="80">
        <f>AM973-AN973</f>
        <v>0</v>
      </c>
      <c r="AQ973" s="80">
        <f>AD973-AM973-AO973</f>
        <v>0</v>
      </c>
      <c r="AR973" s="80">
        <f>IF(AM973=0,0,AK973-AN973*AK973/AM973)</f>
        <v>0</v>
      </c>
      <c r="AS973" s="80">
        <f>IF(AD973-AM973=0,0,(AJ973-AK973)-AO973*(AJ973-AK973)/(AD973-AM973))</f>
        <v>0</v>
      </c>
      <c r="AT973" s="80" t="str">
        <f>IF(AC973=1,INT(B973)+1,"")</f>
        <v/>
      </c>
      <c r="AU973" s="80">
        <f>IF(AND(D973="proMX",R973="Cancelled"),0,1)</f>
        <v>1</v>
      </c>
      <c r="AV973" s="80">
        <f>IF(AND(AB973=1,AU973=1),IF(COUNTIFS($D$5:D972,D973,$B$5:B972,B973,$Z$5:Z972,Z973,$AA$5:AA972,AA973,$F$5:F972,F973&amp;"",$AU$5:AU972,1)&gt;0,1,0),0)</f>
        <v>0</v>
      </c>
      <c r="AW973" s="80" t="str">
        <f>IF(AB973=1,INT(B973)*1440+Z973,"")</f>
        <v/>
      </c>
      <c r="AX973" s="80" t="str">
        <f>IF(AB973=1,AW973+AD973,"")</f>
        <v/>
      </c>
      <c r="AY973" s="80">
        <f>IF(AND(AB973=1,AV973=0,AU973=1),1,0)</f>
        <v>0</v>
      </c>
      <c r="AZ973" s="80">
        <f>IF(AY973=1,COUNTIFS(R_Emp,D973,R_SAbs,"&lt;"&amp;AX973,R_EAbs,"&gt;"&amp;AW973,R_OKey,1)-1,0)</f>
        <v>0</v>
      </c>
      <c r="BA973" s="80">
        <f>IF(AY973=1,COUNTIFS(R_Emp,"&lt;&gt;"&amp;D973,R_SAbs,"&lt;"&amp;AX973,R_EAbs,"&gt;"&amp;AW973,R_OKey,1),0)</f>
        <v>0</v>
      </c>
      <c r="BB973" s="80">
        <f>IF(AND(AB973=1,D973="proMX"),IF(AND(MOD(Z973,CFG_BLK)=0,MOD(AA973,CFG_BLK)=0,MOD(AG973,CFG_BLK)=0,AG973&gt;0),1,0),1)</f>
        <v>1</v>
      </c>
      <c r="BC973" s="80" t="str">
        <f>IF(Y973=0,"",IF(NOT(ISNUMBER(B973)),"Falta fecha o fecha inválida",IF(D973="","Falta empresa",IF(AND(D973&lt;&gt;"Malcolm",D973&lt;&gt;"proMX"),"Empresa inválida",IF(OR(INT(B973)&lt;CFG_PSTART,INT(B973)&gt;CFG_PEND),"Fecha fuera del período",IF(OR(NOT(ISNUMBER(Z973)),NOT(ISNUMBER(AA973))),"Falta hora inicio/fin o formato inválido",IF(AB973=0,"Hora inicio = hora fin",IF(AE973&lt;0,"Descanso inválido",IF(AE973&gt;=AD973,"Descanso ≥ duración",IF(AV973=1,"Registro duplicado",IF(AZ973&gt;0,"Se superpone con otro registro "&amp;D973,IF(BB973=0,"inicio, fin y duración neta deben ser múltiplos de "&amp;CFG_BLK&amp;" min",""))))))))))))</f>
        <v/>
      </c>
      <c r="BD973" s="80">
        <f>IF(AND(Y973=1,BC973=""),1,0)</f>
        <v>0</v>
      </c>
      <c r="BE973" s="80">
        <f>IF(AND(BD973=1,AU973=1),1,0)</f>
        <v>0</v>
      </c>
      <c r="BF973" s="80" t="str">
        <f>IF(AND(D973="proMX",BD973=1),IF(R973="","Draft",R973),"")</f>
        <v/>
      </c>
      <c r="BG973" s="80">
        <f>IF(BD973=1,ROUND(AG973/60,6),0)</f>
        <v>0</v>
      </c>
      <c r="BH973" s="80">
        <f>IF(BE973=1,ROUND(AG973/60,6),0)</f>
        <v>0</v>
      </c>
      <c r="BI973" s="80">
        <f>IF(BE973=1,ROUND(AP973/60,6),0)</f>
        <v>0</v>
      </c>
      <c r="BJ973" s="80">
        <f>IF(BE973=1,ROUND(AQ973/60,6),0)</f>
        <v>0</v>
      </c>
      <c r="BK973" s="80">
        <f>IF(BE973=1,ROUND((AR973+AS973)/60,6),0)</f>
        <v>0</v>
      </c>
      <c r="BL973" s="80">
        <f>ROUND(BH973-BK973,6)</f>
        <v>0</v>
      </c>
      <c r="BM973" s="80">
        <f>IF(BE973=1,ROUND(AR973/60,6),0)</f>
        <v>0</v>
      </c>
      <c r="BN973" s="80">
        <f>ROUND(BI973-BM973,6)</f>
        <v>0</v>
      </c>
      <c r="BO973" s="80">
        <f>IF(BE973=1,ROUND(AS973/60,6),0)</f>
        <v>0</v>
      </c>
      <c r="BP973" s="80">
        <f>ROUND(BJ973-BO973,6)</f>
        <v>0</v>
      </c>
      <c r="BQ973" s="80">
        <f>IF(BE973=1,AW973,0)</f>
        <v>0</v>
      </c>
      <c r="BR973" s="80">
        <f>IF(BE973=1,AX973,0)</f>
        <v>0</v>
      </c>
      <c r="BS973" s="80">
        <f>IF(AND(BE973=1,D973="Malcolm",BA973&gt;0),MIN(BH973,SUMPRODUCT((R_Emp="proMX")*(R_EN&gt;0)*((R_EN-(R_EN&gt;BR973)*(R_EN-BR973))&gt;(R_SN+(R_SN&lt;BQ973)*(BQ973-R_SN)))*((R_EN-(R_EN&gt;BR973)*(R_EN-BR973))-(R_SN+(R_SN&lt;BQ973)*(BQ973-R_SN))))/60),0)</f>
        <v>0</v>
      </c>
      <c r="BT973" s="80">
        <f>IF(AND(BE973=1,D973="proMX"),ROUND(BI973*CFG_RATE+BJ973*CFG_OTRATE,6),0)</f>
        <v>0</v>
      </c>
      <c r="BU973" s="80">
        <f>IF(AND(BD973=1,D973="proMX"),ROUND(AG973/CFG_BLK,6),0)</f>
        <v>0</v>
      </c>
      <c r="BV973" s="80" t="str">
        <f>IF(BF973="Approved",IF(ISNUMBER(T973),INT(T973),INT(B973)),"")</f>
        <v/>
      </c>
      <c r="BW973" s="80">
        <f>IF(ISNUMBER(B973),IF(DB_MON="Todos",1,IF(AND(INT(B973)&gt;=DB_MS,INT(B973)&lt;=DB_ME),1,0)),0)</f>
        <v>0</v>
      </c>
      <c r="BX973" s="80">
        <f>IF(DB_PROJ="Todos",1,IF(E973&amp;""=DB_PROJ&amp;"",1,0))</f>
        <v>1</v>
      </c>
      <c r="BY973" s="80">
        <f>BW973*BX973</f>
        <v>0</v>
      </c>
      <c r="BZ973" s="80" t="str">
        <f>IF(Y973=1,F973&amp;IF(AND(F973&amp;""&lt;&gt;"",E973&amp;""&lt;&gt;"")," · ","")&amp;E973,"")</f>
        <v/>
      </c>
      <c r="CA973" s="80" t="str">
        <f>IF(AND(BD973=1,E973&amp;""&lt;&gt;""),IF(COUNTIFS($E$5:E972,E973,$BD$5:BD972,1)=0,MAX($CA$5:CA972)+1,""),"")</f>
        <v/>
      </c>
      <c r="CB973" s="80" t="str">
        <f>IF(AND(BE973=1,D973="Malcolm",E973&amp;""&lt;&gt;""),IF(COUNTIFS($D$5:D972,"Malcolm",$E$5:E972,E973,$BE$5:BE972,1)=0,MAX($CB$5:CB972)+1,""),"")</f>
        <v/>
      </c>
      <c r="CC973" s="80" t="str">
        <f>IF(AND(BD973=1,D973="proMX",E973&amp;""&lt;&gt;""),IF(COUNTIFS($D$5:D972,"proMX",$E$5:E972,E973,$BD$5:BD972,1)=0,MAX($CC$5:CC972)+1,""),"")</f>
        <v/>
      </c>
      <c r="CD973" s="80" t="str">
        <f>IF(AND(BE973=1,D973="Malcolm",F973&amp;""&lt;&gt;""),IF(COUNTIFS($D$5:D972,"Malcolm",$F$5:F972,F973,$BE$5:BE972,1)=0,MAX($CD$5:CD972)+1,""),"")</f>
        <v/>
      </c>
      <c r="CE973" s="80" t="str">
        <f>IF(AND(BD973=1,D973="proMX",F973&amp;""&lt;&gt;""),IF(COUNTIFS($D$5:D972,"proMX",$F$5:F972,F973,$BD$5:BD972,1)=0,MAX($CE$5:CE972)+1,""),"")</f>
        <v/>
      </c>
      <c r="CF973" s="80" t="str">
        <f>IF(AND(D973="proMX",BD973=1),IF(OR(BF973="Draft",BF973="Submitted",BF973="Returned",BF973="Recall Requested"),MAX($CF$5:CF972)+1,""),"")</f>
        <v/>
      </c>
      <c r="CG973" s="80">
        <f>IF(BD973=0,0,IF(D973="Malcolm",1,MATCH(BF973,{"Draft","Submitted","Approved","Returned","Recall Requested","Cancelled"},0)+1))</f>
        <v>0</v>
      </c>
      <c r="CH973" s="80">
        <f>IF(AND(BF973="Submitted",ISNUMBER(V973)),IF(V973&gt;CFG_MAXD,1,0),0)</f>
        <v>0</v>
      </c>
    </row>
    <row r="974">
      <c r="A974" s="71" t="str">
        <f>IF(Y974=1,ROW()-5,"")</f>
        <v/>
      </c>
      <c r="B974" s="72" t="n"/>
      <c r="C974" s="71" t="str">
        <f>IF(ISNUMBER(B974),CHOOSE(WEEKDAY(B974,2),"Lun","Mar","Mié","Jue","Vie","Sáb","Dom"),"")</f>
        <v/>
      </c>
      <c r="D974" s="73" t="n"/>
      <c r="E974" s="74" t="n"/>
      <c r="F974" s="74" t="n"/>
      <c r="G974" s="74" t="n"/>
      <c r="H974" s="75" t="n"/>
      <c r="I974" s="75" t="n"/>
      <c r="J974" s="76" t="n"/>
      <c r="K974" s="77" t="str">
        <f>IF(AB974=1,ROUND(AG974/60,4),"")</f>
        <v/>
      </c>
      <c r="L974" s="77" t="str">
        <f>IF(BD974=1,ROUND(AP974/60,4),"")</f>
        <v/>
      </c>
      <c r="M974" s="77" t="str">
        <f>IF(BD974=1,ROUND(AQ974/60,4),"")</f>
        <v/>
      </c>
      <c r="N974" s="71" t="str">
        <f>IF(AND(D974="proMX",AB974=1),ROUND(AG974/CFG_BLK,2),"")</f>
        <v/>
      </c>
      <c r="O974" s="77" t="str">
        <f>IF(D974="proMX",IF(BD974=1,ROUND(AG974/60,4),0),"")</f>
        <v/>
      </c>
      <c r="P974" s="78" t="str">
        <f>IF(Y974=0,"",IF(BD974=1,"OK",IF(D974="proMX","Revisar bloques: ","Revisar: ")&amp;BC974))</f>
        <v/>
      </c>
      <c r="Q974" s="78" t="str">
        <f>IF(NOT(ISNUMBER(B974)),"",IF(COUNTIFS(FER_F,INT(B974))&gt;0,"Feriado"&amp;IF(AH974=1," (laborable)"," (no laborable)"),IF(AH974=1,"Laborable",IF(WEEKDAY(B974,2)&gt;5,"Fin de semana","No laborable"))))</f>
        <v/>
      </c>
      <c r="R974" s="73" t="n"/>
      <c r="S974" s="72" t="n"/>
      <c r="T974" s="72" t="n"/>
      <c r="U974" s="74" t="n"/>
      <c r="V974" s="79" t="str">
        <f>IF(AND(D974="proMX",OR(R974="Submitted",R974="Recall Requested"),ISNUMBER(S974)),CFG_TODAY-INT(S974),"")</f>
        <v/>
      </c>
      <c r="W974" s="78" t="str">
        <f>IF(BD974=0,"",IF(BA974&gt;0,"⚠ Se superpone con un registro de la otra empresa",IF(D974="Malcolm",IF(COUNTA(R974,S974,T974)&gt;0,"Estado/fechas proMX se ignoran en Malcolm",""),IF(BF974="Cancelled","Cancelado: excluido de totales",IF(R974="","Sin estado: se trata como Draft",IF(BF974="Submitted",IF(ISNUMBER(V974),IF(V974&gt;CFG_MAXD,"⚠ "&amp;V974&amp;" días en Submitted (máx. "&amp;CFG_MAXD&amp;")",""),"Falta fecha de envío"),IF(BF974="Returned","⚠ Devuelto: corregir y reenviar",IF(BF974="Recall Requested","Retirada solicitada: pendiente",IF(AND(BF974="Approved",NOT(ISNUMBER(T974))),"Falta fecha de aprobación",IF(AND(ISNUMBER(S974),ISNUMBER(T974),T974&lt;S974),"Aprobación anterior al envío","")))))))))</f>
        <v/>
      </c>
      <c r="Y974" s="80">
        <f>IF(COUNTA(B974,D974,E974,F974,G974,H974,I974,J974,R974,S974,T974)&gt;0,1,0)</f>
        <v>0</v>
      </c>
      <c r="Z974" s="80" t="str">
        <f>IF(AND(ISNUMBER(H974),H974&gt;=0,H974&lt;1),ROUND(H974*1440,0),"")</f>
        <v/>
      </c>
      <c r="AA974" s="80" t="str">
        <f>IF(AND(ISNUMBER(I974),I974&gt;=0,I974&lt;1),ROUND(I974*1440,0),"")</f>
        <v/>
      </c>
      <c r="AB974" s="80">
        <f>IF(AND(ISNUMBER(B974),D974&lt;&gt;"",ISNUMBER(Z974),ISNUMBER(AA974)),IF(Z974=AA974,0,1),0)</f>
        <v>0</v>
      </c>
      <c r="AC974" s="80">
        <f>IF(AB974=1,IF(AA974&lt;Z974,1,0),0)</f>
        <v>0</v>
      </c>
      <c r="AD974" s="80">
        <f>IF(AB974=1,IF(AC974=1,1440-Z974+AA974,AA974-Z974),0)</f>
        <v>0</v>
      </c>
      <c r="AE974" s="80">
        <f>IF(J974="",0,IF(ISNUMBER(J974),J974,-1))</f>
        <v>0</v>
      </c>
      <c r="AF974" s="80">
        <f>MIN(MAX(0,AE974),AD974)</f>
        <v>0</v>
      </c>
      <c r="AG974" s="80">
        <f>MAX(0,AD974-MAX(0,AE974))</f>
        <v>0</v>
      </c>
      <c r="AH974" s="80">
        <f>IF(ISNUMBER(B974),IF(AND(INDEX(CFG_WDAYS,WEEKDAY(INT(B974),2))="Sí",IF(D974="proMX",COUNTIFS(FER_F,INT(B974),FER_NLP,"Sí"),COUNTIFS(FER_F,INT(B974),FER_NLM,"Sí"))=0),1,0),0)</f>
        <v>0</v>
      </c>
      <c r="AI974" s="80">
        <f>IF(AC974=1,IF(AND(INDEX(CFG_WDAYS,WEEKDAY(INT(B974)+1,2))="Sí",IF(D974="proMX",COUNTIFS(FER_F,INT(B974)+1,FER_NLP,"Sí"),COUNTIFS(FER_F,INT(B974)+1,FER_NLM,"Sí"))=0),1,0),0)</f>
        <v>0</v>
      </c>
      <c r="AJ974" s="80">
        <f>IF(AC974=1,1440-Z974,AD974)</f>
        <v>0</v>
      </c>
      <c r="AK974" s="80">
        <f>IF(AND(AB974=1,AH974=1),MAX(0,MIN(IF(AC974=1,1440,AA974),CFG_WEM)-MAX(Z974,CFG_WSM)),0)</f>
        <v>0</v>
      </c>
      <c r="AL974" s="80">
        <f>IF(AND(AC974=1,AI974=1),MAX(0,MIN(AA974,CFG_WEM)-CFG_WSM),0)</f>
        <v>0</v>
      </c>
      <c r="AM974" s="80">
        <f>AK974+AL974</f>
        <v>0</v>
      </c>
      <c r="AN974" s="80">
        <f>IF(CFG_BRK="Proporcional",IF(AD974=0,0,AF974*AM974/AD974),IF(CFG_BRK="Extras primero",MIN(AM974,MAX(0,AF974-(AD974-AM974))),MIN(AF974,AM974)))</f>
        <v>0</v>
      </c>
      <c r="AO974" s="80">
        <f>AF974-AN974</f>
        <v>0</v>
      </c>
      <c r="AP974" s="80">
        <f>AM974-AN974</f>
        <v>0</v>
      </c>
      <c r="AQ974" s="80">
        <f>AD974-AM974-AO974</f>
        <v>0</v>
      </c>
      <c r="AR974" s="80">
        <f>IF(AM974=0,0,AK974-AN974*AK974/AM974)</f>
        <v>0</v>
      </c>
      <c r="AS974" s="80">
        <f>IF(AD974-AM974=0,0,(AJ974-AK974)-AO974*(AJ974-AK974)/(AD974-AM974))</f>
        <v>0</v>
      </c>
      <c r="AT974" s="80" t="str">
        <f>IF(AC974=1,INT(B974)+1,"")</f>
        <v/>
      </c>
      <c r="AU974" s="80">
        <f>IF(AND(D974="proMX",R974="Cancelled"),0,1)</f>
        <v>1</v>
      </c>
      <c r="AV974" s="80">
        <f>IF(AND(AB974=1,AU974=1),IF(COUNTIFS($D$5:D973,D974,$B$5:B973,B974,$Z$5:Z973,Z974,$AA$5:AA973,AA974,$F$5:F973,F974&amp;"",$AU$5:AU973,1)&gt;0,1,0),0)</f>
        <v>0</v>
      </c>
      <c r="AW974" s="80" t="str">
        <f>IF(AB974=1,INT(B974)*1440+Z974,"")</f>
        <v/>
      </c>
      <c r="AX974" s="80" t="str">
        <f>IF(AB974=1,AW974+AD974,"")</f>
        <v/>
      </c>
      <c r="AY974" s="80">
        <f>IF(AND(AB974=1,AV974=0,AU974=1),1,0)</f>
        <v>0</v>
      </c>
      <c r="AZ974" s="80">
        <f>IF(AY974=1,COUNTIFS(R_Emp,D974,R_SAbs,"&lt;"&amp;AX974,R_EAbs,"&gt;"&amp;AW974,R_OKey,1)-1,0)</f>
        <v>0</v>
      </c>
      <c r="BA974" s="80">
        <f>IF(AY974=1,COUNTIFS(R_Emp,"&lt;&gt;"&amp;D974,R_SAbs,"&lt;"&amp;AX974,R_EAbs,"&gt;"&amp;AW974,R_OKey,1),0)</f>
        <v>0</v>
      </c>
      <c r="BB974" s="80">
        <f>IF(AND(AB974=1,D974="proMX"),IF(AND(MOD(Z974,CFG_BLK)=0,MOD(AA974,CFG_BLK)=0,MOD(AG974,CFG_BLK)=0,AG974&gt;0),1,0),1)</f>
        <v>1</v>
      </c>
      <c r="BC974" s="80" t="str">
        <f>IF(Y974=0,"",IF(NOT(ISNUMBER(B974)),"Falta fecha o fecha inválida",IF(D974="","Falta empresa",IF(AND(D974&lt;&gt;"Malcolm",D974&lt;&gt;"proMX"),"Empresa inválida",IF(OR(INT(B974)&lt;CFG_PSTART,INT(B974)&gt;CFG_PEND),"Fecha fuera del período",IF(OR(NOT(ISNUMBER(Z974)),NOT(ISNUMBER(AA974))),"Falta hora inicio/fin o formato inválido",IF(AB974=0,"Hora inicio = hora fin",IF(AE974&lt;0,"Descanso inválido",IF(AE974&gt;=AD974,"Descanso ≥ duración",IF(AV974=1,"Registro duplicado",IF(AZ974&gt;0,"Se superpone con otro registro "&amp;D974,IF(BB974=0,"inicio, fin y duración neta deben ser múltiplos de "&amp;CFG_BLK&amp;" min",""))))))))))))</f>
        <v/>
      </c>
      <c r="BD974" s="80">
        <f>IF(AND(Y974=1,BC974=""),1,0)</f>
        <v>0</v>
      </c>
      <c r="BE974" s="80">
        <f>IF(AND(BD974=1,AU974=1),1,0)</f>
        <v>0</v>
      </c>
      <c r="BF974" s="80" t="str">
        <f>IF(AND(D974="proMX",BD974=1),IF(R974="","Draft",R974),"")</f>
        <v/>
      </c>
      <c r="BG974" s="80">
        <f>IF(BD974=1,ROUND(AG974/60,6),0)</f>
        <v>0</v>
      </c>
      <c r="BH974" s="80">
        <f>IF(BE974=1,ROUND(AG974/60,6),0)</f>
        <v>0</v>
      </c>
      <c r="BI974" s="80">
        <f>IF(BE974=1,ROUND(AP974/60,6),0)</f>
        <v>0</v>
      </c>
      <c r="BJ974" s="80">
        <f>IF(BE974=1,ROUND(AQ974/60,6),0)</f>
        <v>0</v>
      </c>
      <c r="BK974" s="80">
        <f>IF(BE974=1,ROUND((AR974+AS974)/60,6),0)</f>
        <v>0</v>
      </c>
      <c r="BL974" s="80">
        <f>ROUND(BH974-BK974,6)</f>
        <v>0</v>
      </c>
      <c r="BM974" s="80">
        <f>IF(BE974=1,ROUND(AR974/60,6),0)</f>
        <v>0</v>
      </c>
      <c r="BN974" s="80">
        <f>ROUND(BI974-BM974,6)</f>
        <v>0</v>
      </c>
      <c r="BO974" s="80">
        <f>IF(BE974=1,ROUND(AS974/60,6),0)</f>
        <v>0</v>
      </c>
      <c r="BP974" s="80">
        <f>ROUND(BJ974-BO974,6)</f>
        <v>0</v>
      </c>
      <c r="BQ974" s="80">
        <f>IF(BE974=1,AW974,0)</f>
        <v>0</v>
      </c>
      <c r="BR974" s="80">
        <f>IF(BE974=1,AX974,0)</f>
        <v>0</v>
      </c>
      <c r="BS974" s="80">
        <f>IF(AND(BE974=1,D974="Malcolm",BA974&gt;0),MIN(BH974,SUMPRODUCT((R_Emp="proMX")*(R_EN&gt;0)*((R_EN-(R_EN&gt;BR974)*(R_EN-BR974))&gt;(R_SN+(R_SN&lt;BQ974)*(BQ974-R_SN)))*((R_EN-(R_EN&gt;BR974)*(R_EN-BR974))-(R_SN+(R_SN&lt;BQ974)*(BQ974-R_SN))))/60),0)</f>
        <v>0</v>
      </c>
      <c r="BT974" s="80">
        <f>IF(AND(BE974=1,D974="proMX"),ROUND(BI974*CFG_RATE+BJ974*CFG_OTRATE,6),0)</f>
        <v>0</v>
      </c>
      <c r="BU974" s="80">
        <f>IF(AND(BD974=1,D974="proMX"),ROUND(AG974/CFG_BLK,6),0)</f>
        <v>0</v>
      </c>
      <c r="BV974" s="80" t="str">
        <f>IF(BF974="Approved",IF(ISNUMBER(T974),INT(T974),INT(B974)),"")</f>
        <v/>
      </c>
      <c r="BW974" s="80">
        <f>IF(ISNUMBER(B974),IF(DB_MON="Todos",1,IF(AND(INT(B974)&gt;=DB_MS,INT(B974)&lt;=DB_ME),1,0)),0)</f>
        <v>0</v>
      </c>
      <c r="BX974" s="80">
        <f>IF(DB_PROJ="Todos",1,IF(E974&amp;""=DB_PROJ&amp;"",1,0))</f>
        <v>1</v>
      </c>
      <c r="BY974" s="80">
        <f>BW974*BX974</f>
        <v>0</v>
      </c>
      <c r="BZ974" s="80" t="str">
        <f>IF(Y974=1,F974&amp;IF(AND(F974&amp;""&lt;&gt;"",E974&amp;""&lt;&gt;"")," · ","")&amp;E974,"")</f>
        <v/>
      </c>
      <c r="CA974" s="80" t="str">
        <f>IF(AND(BD974=1,E974&amp;""&lt;&gt;""),IF(COUNTIFS($E$5:E973,E974,$BD$5:BD973,1)=0,MAX($CA$5:CA973)+1,""),"")</f>
        <v/>
      </c>
      <c r="CB974" s="80" t="str">
        <f>IF(AND(BE974=1,D974="Malcolm",E974&amp;""&lt;&gt;""),IF(COUNTIFS($D$5:D973,"Malcolm",$E$5:E973,E974,$BE$5:BE973,1)=0,MAX($CB$5:CB973)+1,""),"")</f>
        <v/>
      </c>
      <c r="CC974" s="80" t="str">
        <f>IF(AND(BD974=1,D974="proMX",E974&amp;""&lt;&gt;""),IF(COUNTIFS($D$5:D973,"proMX",$E$5:E973,E974,$BD$5:BD973,1)=0,MAX($CC$5:CC973)+1,""),"")</f>
        <v/>
      </c>
      <c r="CD974" s="80" t="str">
        <f>IF(AND(BE974=1,D974="Malcolm",F974&amp;""&lt;&gt;""),IF(COUNTIFS($D$5:D973,"Malcolm",$F$5:F973,F974,$BE$5:BE973,1)=0,MAX($CD$5:CD973)+1,""),"")</f>
        <v/>
      </c>
      <c r="CE974" s="80" t="str">
        <f>IF(AND(BD974=1,D974="proMX",F974&amp;""&lt;&gt;""),IF(COUNTIFS($D$5:D973,"proMX",$F$5:F973,F974,$BD$5:BD973,1)=0,MAX($CE$5:CE973)+1,""),"")</f>
        <v/>
      </c>
      <c r="CF974" s="80" t="str">
        <f>IF(AND(D974="proMX",BD974=1),IF(OR(BF974="Draft",BF974="Submitted",BF974="Returned",BF974="Recall Requested"),MAX($CF$5:CF973)+1,""),"")</f>
        <v/>
      </c>
      <c r="CG974" s="80">
        <f>IF(BD974=0,0,IF(D974="Malcolm",1,MATCH(BF974,{"Draft","Submitted","Approved","Returned","Recall Requested","Cancelled"},0)+1))</f>
        <v>0</v>
      </c>
      <c r="CH974" s="80">
        <f>IF(AND(BF974="Submitted",ISNUMBER(V974)),IF(V974&gt;CFG_MAXD,1,0),0)</f>
        <v>0</v>
      </c>
    </row>
    <row r="975">
      <c r="A975" s="71" t="str">
        <f>IF(Y975=1,ROW()-5,"")</f>
        <v/>
      </c>
      <c r="B975" s="72" t="n"/>
      <c r="C975" s="71" t="str">
        <f>IF(ISNUMBER(B975),CHOOSE(WEEKDAY(B975,2),"Lun","Mar","Mié","Jue","Vie","Sáb","Dom"),"")</f>
        <v/>
      </c>
      <c r="D975" s="73" t="n"/>
      <c r="E975" s="74" t="n"/>
      <c r="F975" s="74" t="n"/>
      <c r="G975" s="74" t="n"/>
      <c r="H975" s="75" t="n"/>
      <c r="I975" s="75" t="n"/>
      <c r="J975" s="76" t="n"/>
      <c r="K975" s="77" t="str">
        <f>IF(AB975=1,ROUND(AG975/60,4),"")</f>
        <v/>
      </c>
      <c r="L975" s="77" t="str">
        <f>IF(BD975=1,ROUND(AP975/60,4),"")</f>
        <v/>
      </c>
      <c r="M975" s="77" t="str">
        <f>IF(BD975=1,ROUND(AQ975/60,4),"")</f>
        <v/>
      </c>
      <c r="N975" s="71" t="str">
        <f>IF(AND(D975="proMX",AB975=1),ROUND(AG975/CFG_BLK,2),"")</f>
        <v/>
      </c>
      <c r="O975" s="77" t="str">
        <f>IF(D975="proMX",IF(BD975=1,ROUND(AG975/60,4),0),"")</f>
        <v/>
      </c>
      <c r="P975" s="78" t="str">
        <f>IF(Y975=0,"",IF(BD975=1,"OK",IF(D975="proMX","Revisar bloques: ","Revisar: ")&amp;BC975))</f>
        <v/>
      </c>
      <c r="Q975" s="78" t="str">
        <f>IF(NOT(ISNUMBER(B975)),"",IF(COUNTIFS(FER_F,INT(B975))&gt;0,"Feriado"&amp;IF(AH975=1," (laborable)"," (no laborable)"),IF(AH975=1,"Laborable",IF(WEEKDAY(B975,2)&gt;5,"Fin de semana","No laborable"))))</f>
        <v/>
      </c>
      <c r="R975" s="73" t="n"/>
      <c r="S975" s="72" t="n"/>
      <c r="T975" s="72" t="n"/>
      <c r="U975" s="74" t="n"/>
      <c r="V975" s="79" t="str">
        <f>IF(AND(D975="proMX",OR(R975="Submitted",R975="Recall Requested"),ISNUMBER(S975)),CFG_TODAY-INT(S975),"")</f>
        <v/>
      </c>
      <c r="W975" s="78" t="str">
        <f>IF(BD975=0,"",IF(BA975&gt;0,"⚠ Se superpone con un registro de la otra empresa",IF(D975="Malcolm",IF(COUNTA(R975,S975,T975)&gt;0,"Estado/fechas proMX se ignoran en Malcolm",""),IF(BF975="Cancelled","Cancelado: excluido de totales",IF(R975="","Sin estado: se trata como Draft",IF(BF975="Submitted",IF(ISNUMBER(V975),IF(V975&gt;CFG_MAXD,"⚠ "&amp;V975&amp;" días en Submitted (máx. "&amp;CFG_MAXD&amp;")",""),"Falta fecha de envío"),IF(BF975="Returned","⚠ Devuelto: corregir y reenviar",IF(BF975="Recall Requested","Retirada solicitada: pendiente",IF(AND(BF975="Approved",NOT(ISNUMBER(T975))),"Falta fecha de aprobación",IF(AND(ISNUMBER(S975),ISNUMBER(T975),T975&lt;S975),"Aprobación anterior al envío","")))))))))</f>
        <v/>
      </c>
      <c r="Y975" s="80">
        <f>IF(COUNTA(B975,D975,E975,F975,G975,H975,I975,J975,R975,S975,T975)&gt;0,1,0)</f>
        <v>0</v>
      </c>
      <c r="Z975" s="80" t="str">
        <f>IF(AND(ISNUMBER(H975),H975&gt;=0,H975&lt;1),ROUND(H975*1440,0),"")</f>
        <v/>
      </c>
      <c r="AA975" s="80" t="str">
        <f>IF(AND(ISNUMBER(I975),I975&gt;=0,I975&lt;1),ROUND(I975*1440,0),"")</f>
        <v/>
      </c>
      <c r="AB975" s="80">
        <f>IF(AND(ISNUMBER(B975),D975&lt;&gt;"",ISNUMBER(Z975),ISNUMBER(AA975)),IF(Z975=AA975,0,1),0)</f>
        <v>0</v>
      </c>
      <c r="AC975" s="80">
        <f>IF(AB975=1,IF(AA975&lt;Z975,1,0),0)</f>
        <v>0</v>
      </c>
      <c r="AD975" s="80">
        <f>IF(AB975=1,IF(AC975=1,1440-Z975+AA975,AA975-Z975),0)</f>
        <v>0</v>
      </c>
      <c r="AE975" s="80">
        <f>IF(J975="",0,IF(ISNUMBER(J975),J975,-1))</f>
        <v>0</v>
      </c>
      <c r="AF975" s="80">
        <f>MIN(MAX(0,AE975),AD975)</f>
        <v>0</v>
      </c>
      <c r="AG975" s="80">
        <f>MAX(0,AD975-MAX(0,AE975))</f>
        <v>0</v>
      </c>
      <c r="AH975" s="80">
        <f>IF(ISNUMBER(B975),IF(AND(INDEX(CFG_WDAYS,WEEKDAY(INT(B975),2))="Sí",IF(D975="proMX",COUNTIFS(FER_F,INT(B975),FER_NLP,"Sí"),COUNTIFS(FER_F,INT(B975),FER_NLM,"Sí"))=0),1,0),0)</f>
        <v>0</v>
      </c>
      <c r="AI975" s="80">
        <f>IF(AC975=1,IF(AND(INDEX(CFG_WDAYS,WEEKDAY(INT(B975)+1,2))="Sí",IF(D975="proMX",COUNTIFS(FER_F,INT(B975)+1,FER_NLP,"Sí"),COUNTIFS(FER_F,INT(B975)+1,FER_NLM,"Sí"))=0),1,0),0)</f>
        <v>0</v>
      </c>
      <c r="AJ975" s="80">
        <f>IF(AC975=1,1440-Z975,AD975)</f>
        <v>0</v>
      </c>
      <c r="AK975" s="80">
        <f>IF(AND(AB975=1,AH975=1),MAX(0,MIN(IF(AC975=1,1440,AA975),CFG_WEM)-MAX(Z975,CFG_WSM)),0)</f>
        <v>0</v>
      </c>
      <c r="AL975" s="80">
        <f>IF(AND(AC975=1,AI975=1),MAX(0,MIN(AA975,CFG_WEM)-CFG_WSM),0)</f>
        <v>0</v>
      </c>
      <c r="AM975" s="80">
        <f>AK975+AL975</f>
        <v>0</v>
      </c>
      <c r="AN975" s="80">
        <f>IF(CFG_BRK="Proporcional",IF(AD975=0,0,AF975*AM975/AD975),IF(CFG_BRK="Extras primero",MIN(AM975,MAX(0,AF975-(AD975-AM975))),MIN(AF975,AM975)))</f>
        <v>0</v>
      </c>
      <c r="AO975" s="80">
        <f>AF975-AN975</f>
        <v>0</v>
      </c>
      <c r="AP975" s="80">
        <f>AM975-AN975</f>
        <v>0</v>
      </c>
      <c r="AQ975" s="80">
        <f>AD975-AM975-AO975</f>
        <v>0</v>
      </c>
      <c r="AR975" s="80">
        <f>IF(AM975=0,0,AK975-AN975*AK975/AM975)</f>
        <v>0</v>
      </c>
      <c r="AS975" s="80">
        <f>IF(AD975-AM975=0,0,(AJ975-AK975)-AO975*(AJ975-AK975)/(AD975-AM975))</f>
        <v>0</v>
      </c>
      <c r="AT975" s="80" t="str">
        <f>IF(AC975=1,INT(B975)+1,"")</f>
        <v/>
      </c>
      <c r="AU975" s="80">
        <f>IF(AND(D975="proMX",R975="Cancelled"),0,1)</f>
        <v>1</v>
      </c>
      <c r="AV975" s="80">
        <f>IF(AND(AB975=1,AU975=1),IF(COUNTIFS($D$5:D974,D975,$B$5:B974,B975,$Z$5:Z974,Z975,$AA$5:AA974,AA975,$F$5:F974,F975&amp;"",$AU$5:AU974,1)&gt;0,1,0),0)</f>
        <v>0</v>
      </c>
      <c r="AW975" s="80" t="str">
        <f>IF(AB975=1,INT(B975)*1440+Z975,"")</f>
        <v/>
      </c>
      <c r="AX975" s="80" t="str">
        <f>IF(AB975=1,AW975+AD975,"")</f>
        <v/>
      </c>
      <c r="AY975" s="80">
        <f>IF(AND(AB975=1,AV975=0,AU975=1),1,0)</f>
        <v>0</v>
      </c>
      <c r="AZ975" s="80">
        <f>IF(AY975=1,COUNTIFS(R_Emp,D975,R_SAbs,"&lt;"&amp;AX975,R_EAbs,"&gt;"&amp;AW975,R_OKey,1)-1,0)</f>
        <v>0</v>
      </c>
      <c r="BA975" s="80">
        <f>IF(AY975=1,COUNTIFS(R_Emp,"&lt;&gt;"&amp;D975,R_SAbs,"&lt;"&amp;AX975,R_EAbs,"&gt;"&amp;AW975,R_OKey,1),0)</f>
        <v>0</v>
      </c>
      <c r="BB975" s="80">
        <f>IF(AND(AB975=1,D975="proMX"),IF(AND(MOD(Z975,CFG_BLK)=0,MOD(AA975,CFG_BLK)=0,MOD(AG975,CFG_BLK)=0,AG975&gt;0),1,0),1)</f>
        <v>1</v>
      </c>
      <c r="BC975" s="80" t="str">
        <f>IF(Y975=0,"",IF(NOT(ISNUMBER(B975)),"Falta fecha o fecha inválida",IF(D975="","Falta empresa",IF(AND(D975&lt;&gt;"Malcolm",D975&lt;&gt;"proMX"),"Empresa inválida",IF(OR(INT(B975)&lt;CFG_PSTART,INT(B975)&gt;CFG_PEND),"Fecha fuera del período",IF(OR(NOT(ISNUMBER(Z975)),NOT(ISNUMBER(AA975))),"Falta hora inicio/fin o formato inválido",IF(AB975=0,"Hora inicio = hora fin",IF(AE975&lt;0,"Descanso inválido",IF(AE975&gt;=AD975,"Descanso ≥ duración",IF(AV975=1,"Registro duplicado",IF(AZ975&gt;0,"Se superpone con otro registro "&amp;D975,IF(BB975=0,"inicio, fin y duración neta deben ser múltiplos de "&amp;CFG_BLK&amp;" min",""))))))))))))</f>
        <v/>
      </c>
      <c r="BD975" s="80">
        <f>IF(AND(Y975=1,BC975=""),1,0)</f>
        <v>0</v>
      </c>
      <c r="BE975" s="80">
        <f>IF(AND(BD975=1,AU975=1),1,0)</f>
        <v>0</v>
      </c>
      <c r="BF975" s="80" t="str">
        <f>IF(AND(D975="proMX",BD975=1),IF(R975="","Draft",R975),"")</f>
        <v/>
      </c>
      <c r="BG975" s="80">
        <f>IF(BD975=1,ROUND(AG975/60,6),0)</f>
        <v>0</v>
      </c>
      <c r="BH975" s="80">
        <f>IF(BE975=1,ROUND(AG975/60,6),0)</f>
        <v>0</v>
      </c>
      <c r="BI975" s="80">
        <f>IF(BE975=1,ROUND(AP975/60,6),0)</f>
        <v>0</v>
      </c>
      <c r="BJ975" s="80">
        <f>IF(BE975=1,ROUND(AQ975/60,6),0)</f>
        <v>0</v>
      </c>
      <c r="BK975" s="80">
        <f>IF(BE975=1,ROUND((AR975+AS975)/60,6),0)</f>
        <v>0</v>
      </c>
      <c r="BL975" s="80">
        <f>ROUND(BH975-BK975,6)</f>
        <v>0</v>
      </c>
      <c r="BM975" s="80">
        <f>IF(BE975=1,ROUND(AR975/60,6),0)</f>
        <v>0</v>
      </c>
      <c r="BN975" s="80">
        <f>ROUND(BI975-BM975,6)</f>
        <v>0</v>
      </c>
      <c r="BO975" s="80">
        <f>IF(BE975=1,ROUND(AS975/60,6),0)</f>
        <v>0</v>
      </c>
      <c r="BP975" s="80">
        <f>ROUND(BJ975-BO975,6)</f>
        <v>0</v>
      </c>
      <c r="BQ975" s="80">
        <f>IF(BE975=1,AW975,0)</f>
        <v>0</v>
      </c>
      <c r="BR975" s="80">
        <f>IF(BE975=1,AX975,0)</f>
        <v>0</v>
      </c>
      <c r="BS975" s="80">
        <f>IF(AND(BE975=1,D975="Malcolm",BA975&gt;0),MIN(BH975,SUMPRODUCT((R_Emp="proMX")*(R_EN&gt;0)*((R_EN-(R_EN&gt;BR975)*(R_EN-BR975))&gt;(R_SN+(R_SN&lt;BQ975)*(BQ975-R_SN)))*((R_EN-(R_EN&gt;BR975)*(R_EN-BR975))-(R_SN+(R_SN&lt;BQ975)*(BQ975-R_SN))))/60),0)</f>
        <v>0</v>
      </c>
      <c r="BT975" s="80">
        <f>IF(AND(BE975=1,D975="proMX"),ROUND(BI975*CFG_RATE+BJ975*CFG_OTRATE,6),0)</f>
        <v>0</v>
      </c>
      <c r="BU975" s="80">
        <f>IF(AND(BD975=1,D975="proMX"),ROUND(AG975/CFG_BLK,6),0)</f>
        <v>0</v>
      </c>
      <c r="BV975" s="80" t="str">
        <f>IF(BF975="Approved",IF(ISNUMBER(T975),INT(T975),INT(B975)),"")</f>
        <v/>
      </c>
      <c r="BW975" s="80">
        <f>IF(ISNUMBER(B975),IF(DB_MON="Todos",1,IF(AND(INT(B975)&gt;=DB_MS,INT(B975)&lt;=DB_ME),1,0)),0)</f>
        <v>0</v>
      </c>
      <c r="BX975" s="80">
        <f>IF(DB_PROJ="Todos",1,IF(E975&amp;""=DB_PROJ&amp;"",1,0))</f>
        <v>1</v>
      </c>
      <c r="BY975" s="80">
        <f>BW975*BX975</f>
        <v>0</v>
      </c>
      <c r="BZ975" s="80" t="str">
        <f>IF(Y975=1,F975&amp;IF(AND(F975&amp;""&lt;&gt;"",E975&amp;""&lt;&gt;"")," · ","")&amp;E975,"")</f>
        <v/>
      </c>
      <c r="CA975" s="80" t="str">
        <f>IF(AND(BD975=1,E975&amp;""&lt;&gt;""),IF(COUNTIFS($E$5:E974,E975,$BD$5:BD974,1)=0,MAX($CA$5:CA974)+1,""),"")</f>
        <v/>
      </c>
      <c r="CB975" s="80" t="str">
        <f>IF(AND(BE975=1,D975="Malcolm",E975&amp;""&lt;&gt;""),IF(COUNTIFS($D$5:D974,"Malcolm",$E$5:E974,E975,$BE$5:BE974,1)=0,MAX($CB$5:CB974)+1,""),"")</f>
        <v/>
      </c>
      <c r="CC975" s="80" t="str">
        <f>IF(AND(BD975=1,D975="proMX",E975&amp;""&lt;&gt;""),IF(COUNTIFS($D$5:D974,"proMX",$E$5:E974,E975,$BD$5:BD974,1)=0,MAX($CC$5:CC974)+1,""),"")</f>
        <v/>
      </c>
      <c r="CD975" s="80" t="str">
        <f>IF(AND(BE975=1,D975="Malcolm",F975&amp;""&lt;&gt;""),IF(COUNTIFS($D$5:D974,"Malcolm",$F$5:F974,F975,$BE$5:BE974,1)=0,MAX($CD$5:CD974)+1,""),"")</f>
        <v/>
      </c>
      <c r="CE975" s="80" t="str">
        <f>IF(AND(BD975=1,D975="proMX",F975&amp;""&lt;&gt;""),IF(COUNTIFS($D$5:D974,"proMX",$F$5:F974,F975,$BD$5:BD974,1)=0,MAX($CE$5:CE974)+1,""),"")</f>
        <v/>
      </c>
      <c r="CF975" s="80" t="str">
        <f>IF(AND(D975="proMX",BD975=1),IF(OR(BF975="Draft",BF975="Submitted",BF975="Returned",BF975="Recall Requested"),MAX($CF$5:CF974)+1,""),"")</f>
        <v/>
      </c>
      <c r="CG975" s="80">
        <f>IF(BD975=0,0,IF(D975="Malcolm",1,MATCH(BF975,{"Draft","Submitted","Approved","Returned","Recall Requested","Cancelled"},0)+1))</f>
        <v>0</v>
      </c>
      <c r="CH975" s="80">
        <f>IF(AND(BF975="Submitted",ISNUMBER(V975)),IF(V975&gt;CFG_MAXD,1,0),0)</f>
        <v>0</v>
      </c>
    </row>
    <row r="976">
      <c r="A976" s="71" t="str">
        <f>IF(Y976=1,ROW()-5,"")</f>
        <v/>
      </c>
      <c r="B976" s="72" t="n"/>
      <c r="C976" s="71" t="str">
        <f>IF(ISNUMBER(B976),CHOOSE(WEEKDAY(B976,2),"Lun","Mar","Mié","Jue","Vie","Sáb","Dom"),"")</f>
        <v/>
      </c>
      <c r="D976" s="73" t="n"/>
      <c r="E976" s="74" t="n"/>
      <c r="F976" s="74" t="n"/>
      <c r="G976" s="74" t="n"/>
      <c r="H976" s="75" t="n"/>
      <c r="I976" s="75" t="n"/>
      <c r="J976" s="76" t="n"/>
      <c r="K976" s="77" t="str">
        <f>IF(AB976=1,ROUND(AG976/60,4),"")</f>
        <v/>
      </c>
      <c r="L976" s="77" t="str">
        <f>IF(BD976=1,ROUND(AP976/60,4),"")</f>
        <v/>
      </c>
      <c r="M976" s="77" t="str">
        <f>IF(BD976=1,ROUND(AQ976/60,4),"")</f>
        <v/>
      </c>
      <c r="N976" s="71" t="str">
        <f>IF(AND(D976="proMX",AB976=1),ROUND(AG976/CFG_BLK,2),"")</f>
        <v/>
      </c>
      <c r="O976" s="77" t="str">
        <f>IF(D976="proMX",IF(BD976=1,ROUND(AG976/60,4),0),"")</f>
        <v/>
      </c>
      <c r="P976" s="78" t="str">
        <f>IF(Y976=0,"",IF(BD976=1,"OK",IF(D976="proMX","Revisar bloques: ","Revisar: ")&amp;BC976))</f>
        <v/>
      </c>
      <c r="Q976" s="78" t="str">
        <f>IF(NOT(ISNUMBER(B976)),"",IF(COUNTIFS(FER_F,INT(B976))&gt;0,"Feriado"&amp;IF(AH976=1," (laborable)"," (no laborable)"),IF(AH976=1,"Laborable",IF(WEEKDAY(B976,2)&gt;5,"Fin de semana","No laborable"))))</f>
        <v/>
      </c>
      <c r="R976" s="73" t="n"/>
      <c r="S976" s="72" t="n"/>
      <c r="T976" s="72" t="n"/>
      <c r="U976" s="74" t="n"/>
      <c r="V976" s="79" t="str">
        <f>IF(AND(D976="proMX",OR(R976="Submitted",R976="Recall Requested"),ISNUMBER(S976)),CFG_TODAY-INT(S976),"")</f>
        <v/>
      </c>
      <c r="W976" s="78" t="str">
        <f>IF(BD976=0,"",IF(BA976&gt;0,"⚠ Se superpone con un registro de la otra empresa",IF(D976="Malcolm",IF(COUNTA(R976,S976,T976)&gt;0,"Estado/fechas proMX se ignoran en Malcolm",""),IF(BF976="Cancelled","Cancelado: excluido de totales",IF(R976="","Sin estado: se trata como Draft",IF(BF976="Submitted",IF(ISNUMBER(V976),IF(V976&gt;CFG_MAXD,"⚠ "&amp;V976&amp;" días en Submitted (máx. "&amp;CFG_MAXD&amp;")",""),"Falta fecha de envío"),IF(BF976="Returned","⚠ Devuelto: corregir y reenviar",IF(BF976="Recall Requested","Retirada solicitada: pendiente",IF(AND(BF976="Approved",NOT(ISNUMBER(T976))),"Falta fecha de aprobación",IF(AND(ISNUMBER(S976),ISNUMBER(T976),T976&lt;S976),"Aprobación anterior al envío","")))))))))</f>
        <v/>
      </c>
      <c r="Y976" s="80">
        <f>IF(COUNTA(B976,D976,E976,F976,G976,H976,I976,J976,R976,S976,T976)&gt;0,1,0)</f>
        <v>0</v>
      </c>
      <c r="Z976" s="80" t="str">
        <f>IF(AND(ISNUMBER(H976),H976&gt;=0,H976&lt;1),ROUND(H976*1440,0),"")</f>
        <v/>
      </c>
      <c r="AA976" s="80" t="str">
        <f>IF(AND(ISNUMBER(I976),I976&gt;=0,I976&lt;1),ROUND(I976*1440,0),"")</f>
        <v/>
      </c>
      <c r="AB976" s="80">
        <f>IF(AND(ISNUMBER(B976),D976&lt;&gt;"",ISNUMBER(Z976),ISNUMBER(AA976)),IF(Z976=AA976,0,1),0)</f>
        <v>0</v>
      </c>
      <c r="AC976" s="80">
        <f>IF(AB976=1,IF(AA976&lt;Z976,1,0),0)</f>
        <v>0</v>
      </c>
      <c r="AD976" s="80">
        <f>IF(AB976=1,IF(AC976=1,1440-Z976+AA976,AA976-Z976),0)</f>
        <v>0</v>
      </c>
      <c r="AE976" s="80">
        <f>IF(J976="",0,IF(ISNUMBER(J976),J976,-1))</f>
        <v>0</v>
      </c>
      <c r="AF976" s="80">
        <f>MIN(MAX(0,AE976),AD976)</f>
        <v>0</v>
      </c>
      <c r="AG976" s="80">
        <f>MAX(0,AD976-MAX(0,AE976))</f>
        <v>0</v>
      </c>
      <c r="AH976" s="80">
        <f>IF(ISNUMBER(B976),IF(AND(INDEX(CFG_WDAYS,WEEKDAY(INT(B976),2))="Sí",IF(D976="proMX",COUNTIFS(FER_F,INT(B976),FER_NLP,"Sí"),COUNTIFS(FER_F,INT(B976),FER_NLM,"Sí"))=0),1,0),0)</f>
        <v>0</v>
      </c>
      <c r="AI976" s="80">
        <f>IF(AC976=1,IF(AND(INDEX(CFG_WDAYS,WEEKDAY(INT(B976)+1,2))="Sí",IF(D976="proMX",COUNTIFS(FER_F,INT(B976)+1,FER_NLP,"Sí"),COUNTIFS(FER_F,INT(B976)+1,FER_NLM,"Sí"))=0),1,0),0)</f>
        <v>0</v>
      </c>
      <c r="AJ976" s="80">
        <f>IF(AC976=1,1440-Z976,AD976)</f>
        <v>0</v>
      </c>
      <c r="AK976" s="80">
        <f>IF(AND(AB976=1,AH976=1),MAX(0,MIN(IF(AC976=1,1440,AA976),CFG_WEM)-MAX(Z976,CFG_WSM)),0)</f>
        <v>0</v>
      </c>
      <c r="AL976" s="80">
        <f>IF(AND(AC976=1,AI976=1),MAX(0,MIN(AA976,CFG_WEM)-CFG_WSM),0)</f>
        <v>0</v>
      </c>
      <c r="AM976" s="80">
        <f>AK976+AL976</f>
        <v>0</v>
      </c>
      <c r="AN976" s="80">
        <f>IF(CFG_BRK="Proporcional",IF(AD976=0,0,AF976*AM976/AD976),IF(CFG_BRK="Extras primero",MIN(AM976,MAX(0,AF976-(AD976-AM976))),MIN(AF976,AM976)))</f>
        <v>0</v>
      </c>
      <c r="AO976" s="80">
        <f>AF976-AN976</f>
        <v>0</v>
      </c>
      <c r="AP976" s="80">
        <f>AM976-AN976</f>
        <v>0</v>
      </c>
      <c r="AQ976" s="80">
        <f>AD976-AM976-AO976</f>
        <v>0</v>
      </c>
      <c r="AR976" s="80">
        <f>IF(AM976=0,0,AK976-AN976*AK976/AM976)</f>
        <v>0</v>
      </c>
      <c r="AS976" s="80">
        <f>IF(AD976-AM976=0,0,(AJ976-AK976)-AO976*(AJ976-AK976)/(AD976-AM976))</f>
        <v>0</v>
      </c>
      <c r="AT976" s="80" t="str">
        <f>IF(AC976=1,INT(B976)+1,"")</f>
        <v/>
      </c>
      <c r="AU976" s="80">
        <f>IF(AND(D976="proMX",R976="Cancelled"),0,1)</f>
        <v>1</v>
      </c>
      <c r="AV976" s="80">
        <f>IF(AND(AB976=1,AU976=1),IF(COUNTIFS($D$5:D975,D976,$B$5:B975,B976,$Z$5:Z975,Z976,$AA$5:AA975,AA976,$F$5:F975,F976&amp;"",$AU$5:AU975,1)&gt;0,1,0),0)</f>
        <v>0</v>
      </c>
      <c r="AW976" s="80" t="str">
        <f>IF(AB976=1,INT(B976)*1440+Z976,"")</f>
        <v/>
      </c>
      <c r="AX976" s="80" t="str">
        <f>IF(AB976=1,AW976+AD976,"")</f>
        <v/>
      </c>
      <c r="AY976" s="80">
        <f>IF(AND(AB976=1,AV976=0,AU976=1),1,0)</f>
        <v>0</v>
      </c>
      <c r="AZ976" s="80">
        <f>IF(AY976=1,COUNTIFS(R_Emp,D976,R_SAbs,"&lt;"&amp;AX976,R_EAbs,"&gt;"&amp;AW976,R_OKey,1)-1,0)</f>
        <v>0</v>
      </c>
      <c r="BA976" s="80">
        <f>IF(AY976=1,COUNTIFS(R_Emp,"&lt;&gt;"&amp;D976,R_SAbs,"&lt;"&amp;AX976,R_EAbs,"&gt;"&amp;AW976,R_OKey,1),0)</f>
        <v>0</v>
      </c>
      <c r="BB976" s="80">
        <f>IF(AND(AB976=1,D976="proMX"),IF(AND(MOD(Z976,CFG_BLK)=0,MOD(AA976,CFG_BLK)=0,MOD(AG976,CFG_BLK)=0,AG976&gt;0),1,0),1)</f>
        <v>1</v>
      </c>
      <c r="BC976" s="80" t="str">
        <f>IF(Y976=0,"",IF(NOT(ISNUMBER(B976)),"Falta fecha o fecha inválida",IF(D976="","Falta empresa",IF(AND(D976&lt;&gt;"Malcolm",D976&lt;&gt;"proMX"),"Empresa inválida",IF(OR(INT(B976)&lt;CFG_PSTART,INT(B976)&gt;CFG_PEND),"Fecha fuera del período",IF(OR(NOT(ISNUMBER(Z976)),NOT(ISNUMBER(AA976))),"Falta hora inicio/fin o formato inválido",IF(AB976=0,"Hora inicio = hora fin",IF(AE976&lt;0,"Descanso inválido",IF(AE976&gt;=AD976,"Descanso ≥ duración",IF(AV976=1,"Registro duplicado",IF(AZ976&gt;0,"Se superpone con otro registro "&amp;D976,IF(BB976=0,"inicio, fin y duración neta deben ser múltiplos de "&amp;CFG_BLK&amp;" min",""))))))))))))</f>
        <v/>
      </c>
      <c r="BD976" s="80">
        <f>IF(AND(Y976=1,BC976=""),1,0)</f>
        <v>0</v>
      </c>
      <c r="BE976" s="80">
        <f>IF(AND(BD976=1,AU976=1),1,0)</f>
        <v>0</v>
      </c>
      <c r="BF976" s="80" t="str">
        <f>IF(AND(D976="proMX",BD976=1),IF(R976="","Draft",R976),"")</f>
        <v/>
      </c>
      <c r="BG976" s="80">
        <f>IF(BD976=1,ROUND(AG976/60,6),0)</f>
        <v>0</v>
      </c>
      <c r="BH976" s="80">
        <f>IF(BE976=1,ROUND(AG976/60,6),0)</f>
        <v>0</v>
      </c>
      <c r="BI976" s="80">
        <f>IF(BE976=1,ROUND(AP976/60,6),0)</f>
        <v>0</v>
      </c>
      <c r="BJ976" s="80">
        <f>IF(BE976=1,ROUND(AQ976/60,6),0)</f>
        <v>0</v>
      </c>
      <c r="BK976" s="80">
        <f>IF(BE976=1,ROUND((AR976+AS976)/60,6),0)</f>
        <v>0</v>
      </c>
      <c r="BL976" s="80">
        <f>ROUND(BH976-BK976,6)</f>
        <v>0</v>
      </c>
      <c r="BM976" s="80">
        <f>IF(BE976=1,ROUND(AR976/60,6),0)</f>
        <v>0</v>
      </c>
      <c r="BN976" s="80">
        <f>ROUND(BI976-BM976,6)</f>
        <v>0</v>
      </c>
      <c r="BO976" s="80">
        <f>IF(BE976=1,ROUND(AS976/60,6),0)</f>
        <v>0</v>
      </c>
      <c r="BP976" s="80">
        <f>ROUND(BJ976-BO976,6)</f>
        <v>0</v>
      </c>
      <c r="BQ976" s="80">
        <f>IF(BE976=1,AW976,0)</f>
        <v>0</v>
      </c>
      <c r="BR976" s="80">
        <f>IF(BE976=1,AX976,0)</f>
        <v>0</v>
      </c>
      <c r="BS976" s="80">
        <f>IF(AND(BE976=1,D976="Malcolm",BA976&gt;0),MIN(BH976,SUMPRODUCT((R_Emp="proMX")*(R_EN&gt;0)*((R_EN-(R_EN&gt;BR976)*(R_EN-BR976))&gt;(R_SN+(R_SN&lt;BQ976)*(BQ976-R_SN)))*((R_EN-(R_EN&gt;BR976)*(R_EN-BR976))-(R_SN+(R_SN&lt;BQ976)*(BQ976-R_SN))))/60),0)</f>
        <v>0</v>
      </c>
      <c r="BT976" s="80">
        <f>IF(AND(BE976=1,D976="proMX"),ROUND(BI976*CFG_RATE+BJ976*CFG_OTRATE,6),0)</f>
        <v>0</v>
      </c>
      <c r="BU976" s="80">
        <f>IF(AND(BD976=1,D976="proMX"),ROUND(AG976/CFG_BLK,6),0)</f>
        <v>0</v>
      </c>
      <c r="BV976" s="80" t="str">
        <f>IF(BF976="Approved",IF(ISNUMBER(T976),INT(T976),INT(B976)),"")</f>
        <v/>
      </c>
      <c r="BW976" s="80">
        <f>IF(ISNUMBER(B976),IF(DB_MON="Todos",1,IF(AND(INT(B976)&gt;=DB_MS,INT(B976)&lt;=DB_ME),1,0)),0)</f>
        <v>0</v>
      </c>
      <c r="BX976" s="80">
        <f>IF(DB_PROJ="Todos",1,IF(E976&amp;""=DB_PROJ&amp;"",1,0))</f>
        <v>1</v>
      </c>
      <c r="BY976" s="80">
        <f>BW976*BX976</f>
        <v>0</v>
      </c>
      <c r="BZ976" s="80" t="str">
        <f>IF(Y976=1,F976&amp;IF(AND(F976&amp;""&lt;&gt;"",E976&amp;""&lt;&gt;"")," · ","")&amp;E976,"")</f>
        <v/>
      </c>
      <c r="CA976" s="80" t="str">
        <f>IF(AND(BD976=1,E976&amp;""&lt;&gt;""),IF(COUNTIFS($E$5:E975,E976,$BD$5:BD975,1)=0,MAX($CA$5:CA975)+1,""),"")</f>
        <v/>
      </c>
      <c r="CB976" s="80" t="str">
        <f>IF(AND(BE976=1,D976="Malcolm",E976&amp;""&lt;&gt;""),IF(COUNTIFS($D$5:D975,"Malcolm",$E$5:E975,E976,$BE$5:BE975,1)=0,MAX($CB$5:CB975)+1,""),"")</f>
        <v/>
      </c>
      <c r="CC976" s="80" t="str">
        <f>IF(AND(BD976=1,D976="proMX",E976&amp;""&lt;&gt;""),IF(COUNTIFS($D$5:D975,"proMX",$E$5:E975,E976,$BD$5:BD975,1)=0,MAX($CC$5:CC975)+1,""),"")</f>
        <v/>
      </c>
      <c r="CD976" s="80" t="str">
        <f>IF(AND(BE976=1,D976="Malcolm",F976&amp;""&lt;&gt;""),IF(COUNTIFS($D$5:D975,"Malcolm",$F$5:F975,F976,$BE$5:BE975,1)=0,MAX($CD$5:CD975)+1,""),"")</f>
        <v/>
      </c>
      <c r="CE976" s="80" t="str">
        <f>IF(AND(BD976=1,D976="proMX",F976&amp;""&lt;&gt;""),IF(COUNTIFS($D$5:D975,"proMX",$F$5:F975,F976,$BD$5:BD975,1)=0,MAX($CE$5:CE975)+1,""),"")</f>
        <v/>
      </c>
      <c r="CF976" s="80" t="str">
        <f>IF(AND(D976="proMX",BD976=1),IF(OR(BF976="Draft",BF976="Submitted",BF976="Returned",BF976="Recall Requested"),MAX($CF$5:CF975)+1,""),"")</f>
        <v/>
      </c>
      <c r="CG976" s="80">
        <f>IF(BD976=0,0,IF(D976="Malcolm",1,MATCH(BF976,{"Draft","Submitted","Approved","Returned","Recall Requested","Cancelled"},0)+1))</f>
        <v>0</v>
      </c>
      <c r="CH976" s="80">
        <f>IF(AND(BF976="Submitted",ISNUMBER(V976)),IF(V976&gt;CFG_MAXD,1,0),0)</f>
        <v>0</v>
      </c>
    </row>
    <row r="977">
      <c r="A977" s="71" t="str">
        <f>IF(Y977=1,ROW()-5,"")</f>
        <v/>
      </c>
      <c r="B977" s="72" t="n"/>
      <c r="C977" s="71" t="str">
        <f>IF(ISNUMBER(B977),CHOOSE(WEEKDAY(B977,2),"Lun","Mar","Mié","Jue","Vie","Sáb","Dom"),"")</f>
        <v/>
      </c>
      <c r="D977" s="73" t="n"/>
      <c r="E977" s="74" t="n"/>
      <c r="F977" s="74" t="n"/>
      <c r="G977" s="74" t="n"/>
      <c r="H977" s="75" t="n"/>
      <c r="I977" s="75" t="n"/>
      <c r="J977" s="76" t="n"/>
      <c r="K977" s="77" t="str">
        <f>IF(AB977=1,ROUND(AG977/60,4),"")</f>
        <v/>
      </c>
      <c r="L977" s="77" t="str">
        <f>IF(BD977=1,ROUND(AP977/60,4),"")</f>
        <v/>
      </c>
      <c r="M977" s="77" t="str">
        <f>IF(BD977=1,ROUND(AQ977/60,4),"")</f>
        <v/>
      </c>
      <c r="N977" s="71" t="str">
        <f>IF(AND(D977="proMX",AB977=1),ROUND(AG977/CFG_BLK,2),"")</f>
        <v/>
      </c>
      <c r="O977" s="77" t="str">
        <f>IF(D977="proMX",IF(BD977=1,ROUND(AG977/60,4),0),"")</f>
        <v/>
      </c>
      <c r="P977" s="78" t="str">
        <f>IF(Y977=0,"",IF(BD977=1,"OK",IF(D977="proMX","Revisar bloques: ","Revisar: ")&amp;BC977))</f>
        <v/>
      </c>
      <c r="Q977" s="78" t="str">
        <f>IF(NOT(ISNUMBER(B977)),"",IF(COUNTIFS(FER_F,INT(B977))&gt;0,"Feriado"&amp;IF(AH977=1," (laborable)"," (no laborable)"),IF(AH977=1,"Laborable",IF(WEEKDAY(B977,2)&gt;5,"Fin de semana","No laborable"))))</f>
        <v/>
      </c>
      <c r="R977" s="73" t="n"/>
      <c r="S977" s="72" t="n"/>
      <c r="T977" s="72" t="n"/>
      <c r="U977" s="74" t="n"/>
      <c r="V977" s="79" t="str">
        <f>IF(AND(D977="proMX",OR(R977="Submitted",R977="Recall Requested"),ISNUMBER(S977)),CFG_TODAY-INT(S977),"")</f>
        <v/>
      </c>
      <c r="W977" s="78" t="str">
        <f>IF(BD977=0,"",IF(BA977&gt;0,"⚠ Se superpone con un registro de la otra empresa",IF(D977="Malcolm",IF(COUNTA(R977,S977,T977)&gt;0,"Estado/fechas proMX se ignoran en Malcolm",""),IF(BF977="Cancelled","Cancelado: excluido de totales",IF(R977="","Sin estado: se trata como Draft",IF(BF977="Submitted",IF(ISNUMBER(V977),IF(V977&gt;CFG_MAXD,"⚠ "&amp;V977&amp;" días en Submitted (máx. "&amp;CFG_MAXD&amp;")",""),"Falta fecha de envío"),IF(BF977="Returned","⚠ Devuelto: corregir y reenviar",IF(BF977="Recall Requested","Retirada solicitada: pendiente",IF(AND(BF977="Approved",NOT(ISNUMBER(T977))),"Falta fecha de aprobación",IF(AND(ISNUMBER(S977),ISNUMBER(T977),T977&lt;S977),"Aprobación anterior al envío","")))))))))</f>
        <v/>
      </c>
      <c r="Y977" s="80">
        <f>IF(COUNTA(B977,D977,E977,F977,G977,H977,I977,J977,R977,S977,T977)&gt;0,1,0)</f>
        <v>0</v>
      </c>
      <c r="Z977" s="80" t="str">
        <f>IF(AND(ISNUMBER(H977),H977&gt;=0,H977&lt;1),ROUND(H977*1440,0),"")</f>
        <v/>
      </c>
      <c r="AA977" s="80" t="str">
        <f>IF(AND(ISNUMBER(I977),I977&gt;=0,I977&lt;1),ROUND(I977*1440,0),"")</f>
        <v/>
      </c>
      <c r="AB977" s="80">
        <f>IF(AND(ISNUMBER(B977),D977&lt;&gt;"",ISNUMBER(Z977),ISNUMBER(AA977)),IF(Z977=AA977,0,1),0)</f>
        <v>0</v>
      </c>
      <c r="AC977" s="80">
        <f>IF(AB977=1,IF(AA977&lt;Z977,1,0),0)</f>
        <v>0</v>
      </c>
      <c r="AD977" s="80">
        <f>IF(AB977=1,IF(AC977=1,1440-Z977+AA977,AA977-Z977),0)</f>
        <v>0</v>
      </c>
      <c r="AE977" s="80">
        <f>IF(J977="",0,IF(ISNUMBER(J977),J977,-1))</f>
        <v>0</v>
      </c>
      <c r="AF977" s="80">
        <f>MIN(MAX(0,AE977),AD977)</f>
        <v>0</v>
      </c>
      <c r="AG977" s="80">
        <f>MAX(0,AD977-MAX(0,AE977))</f>
        <v>0</v>
      </c>
      <c r="AH977" s="80">
        <f>IF(ISNUMBER(B977),IF(AND(INDEX(CFG_WDAYS,WEEKDAY(INT(B977),2))="Sí",IF(D977="proMX",COUNTIFS(FER_F,INT(B977),FER_NLP,"Sí"),COUNTIFS(FER_F,INT(B977),FER_NLM,"Sí"))=0),1,0),0)</f>
        <v>0</v>
      </c>
      <c r="AI977" s="80">
        <f>IF(AC977=1,IF(AND(INDEX(CFG_WDAYS,WEEKDAY(INT(B977)+1,2))="Sí",IF(D977="proMX",COUNTIFS(FER_F,INT(B977)+1,FER_NLP,"Sí"),COUNTIFS(FER_F,INT(B977)+1,FER_NLM,"Sí"))=0),1,0),0)</f>
        <v>0</v>
      </c>
      <c r="AJ977" s="80">
        <f>IF(AC977=1,1440-Z977,AD977)</f>
        <v>0</v>
      </c>
      <c r="AK977" s="80">
        <f>IF(AND(AB977=1,AH977=1),MAX(0,MIN(IF(AC977=1,1440,AA977),CFG_WEM)-MAX(Z977,CFG_WSM)),0)</f>
        <v>0</v>
      </c>
      <c r="AL977" s="80">
        <f>IF(AND(AC977=1,AI977=1),MAX(0,MIN(AA977,CFG_WEM)-CFG_WSM),0)</f>
        <v>0</v>
      </c>
      <c r="AM977" s="80">
        <f>AK977+AL977</f>
        <v>0</v>
      </c>
      <c r="AN977" s="80">
        <f>IF(CFG_BRK="Proporcional",IF(AD977=0,0,AF977*AM977/AD977),IF(CFG_BRK="Extras primero",MIN(AM977,MAX(0,AF977-(AD977-AM977))),MIN(AF977,AM977)))</f>
        <v>0</v>
      </c>
      <c r="AO977" s="80">
        <f>AF977-AN977</f>
        <v>0</v>
      </c>
      <c r="AP977" s="80">
        <f>AM977-AN977</f>
        <v>0</v>
      </c>
      <c r="AQ977" s="80">
        <f>AD977-AM977-AO977</f>
        <v>0</v>
      </c>
      <c r="AR977" s="80">
        <f>IF(AM977=0,0,AK977-AN977*AK977/AM977)</f>
        <v>0</v>
      </c>
      <c r="AS977" s="80">
        <f>IF(AD977-AM977=0,0,(AJ977-AK977)-AO977*(AJ977-AK977)/(AD977-AM977))</f>
        <v>0</v>
      </c>
      <c r="AT977" s="80" t="str">
        <f>IF(AC977=1,INT(B977)+1,"")</f>
        <v/>
      </c>
      <c r="AU977" s="80">
        <f>IF(AND(D977="proMX",R977="Cancelled"),0,1)</f>
        <v>1</v>
      </c>
      <c r="AV977" s="80">
        <f>IF(AND(AB977=1,AU977=1),IF(COUNTIFS($D$5:D976,D977,$B$5:B976,B977,$Z$5:Z976,Z977,$AA$5:AA976,AA977,$F$5:F976,F977&amp;"",$AU$5:AU976,1)&gt;0,1,0),0)</f>
        <v>0</v>
      </c>
      <c r="AW977" s="80" t="str">
        <f>IF(AB977=1,INT(B977)*1440+Z977,"")</f>
        <v/>
      </c>
      <c r="AX977" s="80" t="str">
        <f>IF(AB977=1,AW977+AD977,"")</f>
        <v/>
      </c>
      <c r="AY977" s="80">
        <f>IF(AND(AB977=1,AV977=0,AU977=1),1,0)</f>
        <v>0</v>
      </c>
      <c r="AZ977" s="80">
        <f>IF(AY977=1,COUNTIFS(R_Emp,D977,R_SAbs,"&lt;"&amp;AX977,R_EAbs,"&gt;"&amp;AW977,R_OKey,1)-1,0)</f>
        <v>0</v>
      </c>
      <c r="BA977" s="80">
        <f>IF(AY977=1,COUNTIFS(R_Emp,"&lt;&gt;"&amp;D977,R_SAbs,"&lt;"&amp;AX977,R_EAbs,"&gt;"&amp;AW977,R_OKey,1),0)</f>
        <v>0</v>
      </c>
      <c r="BB977" s="80">
        <f>IF(AND(AB977=1,D977="proMX"),IF(AND(MOD(Z977,CFG_BLK)=0,MOD(AA977,CFG_BLK)=0,MOD(AG977,CFG_BLK)=0,AG977&gt;0),1,0),1)</f>
        <v>1</v>
      </c>
      <c r="BC977" s="80" t="str">
        <f>IF(Y977=0,"",IF(NOT(ISNUMBER(B977)),"Falta fecha o fecha inválida",IF(D977="","Falta empresa",IF(AND(D977&lt;&gt;"Malcolm",D977&lt;&gt;"proMX"),"Empresa inválida",IF(OR(INT(B977)&lt;CFG_PSTART,INT(B977)&gt;CFG_PEND),"Fecha fuera del período",IF(OR(NOT(ISNUMBER(Z977)),NOT(ISNUMBER(AA977))),"Falta hora inicio/fin o formato inválido",IF(AB977=0,"Hora inicio = hora fin",IF(AE977&lt;0,"Descanso inválido",IF(AE977&gt;=AD977,"Descanso ≥ duración",IF(AV977=1,"Registro duplicado",IF(AZ977&gt;0,"Se superpone con otro registro "&amp;D977,IF(BB977=0,"inicio, fin y duración neta deben ser múltiplos de "&amp;CFG_BLK&amp;" min",""))))))))))))</f>
        <v/>
      </c>
      <c r="BD977" s="80">
        <f>IF(AND(Y977=1,BC977=""),1,0)</f>
        <v>0</v>
      </c>
      <c r="BE977" s="80">
        <f>IF(AND(BD977=1,AU977=1),1,0)</f>
        <v>0</v>
      </c>
      <c r="BF977" s="80" t="str">
        <f>IF(AND(D977="proMX",BD977=1),IF(R977="","Draft",R977),"")</f>
        <v/>
      </c>
      <c r="BG977" s="80">
        <f>IF(BD977=1,ROUND(AG977/60,6),0)</f>
        <v>0</v>
      </c>
      <c r="BH977" s="80">
        <f>IF(BE977=1,ROUND(AG977/60,6),0)</f>
        <v>0</v>
      </c>
      <c r="BI977" s="80">
        <f>IF(BE977=1,ROUND(AP977/60,6),0)</f>
        <v>0</v>
      </c>
      <c r="BJ977" s="80">
        <f>IF(BE977=1,ROUND(AQ977/60,6),0)</f>
        <v>0</v>
      </c>
      <c r="BK977" s="80">
        <f>IF(BE977=1,ROUND((AR977+AS977)/60,6),0)</f>
        <v>0</v>
      </c>
      <c r="BL977" s="80">
        <f>ROUND(BH977-BK977,6)</f>
        <v>0</v>
      </c>
      <c r="BM977" s="80">
        <f>IF(BE977=1,ROUND(AR977/60,6),0)</f>
        <v>0</v>
      </c>
      <c r="BN977" s="80">
        <f>ROUND(BI977-BM977,6)</f>
        <v>0</v>
      </c>
      <c r="BO977" s="80">
        <f>IF(BE977=1,ROUND(AS977/60,6),0)</f>
        <v>0</v>
      </c>
      <c r="BP977" s="80">
        <f>ROUND(BJ977-BO977,6)</f>
        <v>0</v>
      </c>
      <c r="BQ977" s="80">
        <f>IF(BE977=1,AW977,0)</f>
        <v>0</v>
      </c>
      <c r="BR977" s="80">
        <f>IF(BE977=1,AX977,0)</f>
        <v>0</v>
      </c>
      <c r="BS977" s="80">
        <f>IF(AND(BE977=1,D977="Malcolm",BA977&gt;0),MIN(BH977,SUMPRODUCT((R_Emp="proMX")*(R_EN&gt;0)*((R_EN-(R_EN&gt;BR977)*(R_EN-BR977))&gt;(R_SN+(R_SN&lt;BQ977)*(BQ977-R_SN)))*((R_EN-(R_EN&gt;BR977)*(R_EN-BR977))-(R_SN+(R_SN&lt;BQ977)*(BQ977-R_SN))))/60),0)</f>
        <v>0</v>
      </c>
      <c r="BT977" s="80">
        <f>IF(AND(BE977=1,D977="proMX"),ROUND(BI977*CFG_RATE+BJ977*CFG_OTRATE,6),0)</f>
        <v>0</v>
      </c>
      <c r="BU977" s="80">
        <f>IF(AND(BD977=1,D977="proMX"),ROUND(AG977/CFG_BLK,6),0)</f>
        <v>0</v>
      </c>
      <c r="BV977" s="80" t="str">
        <f>IF(BF977="Approved",IF(ISNUMBER(T977),INT(T977),INT(B977)),"")</f>
        <v/>
      </c>
      <c r="BW977" s="80">
        <f>IF(ISNUMBER(B977),IF(DB_MON="Todos",1,IF(AND(INT(B977)&gt;=DB_MS,INT(B977)&lt;=DB_ME),1,0)),0)</f>
        <v>0</v>
      </c>
      <c r="BX977" s="80">
        <f>IF(DB_PROJ="Todos",1,IF(E977&amp;""=DB_PROJ&amp;"",1,0))</f>
        <v>1</v>
      </c>
      <c r="BY977" s="80">
        <f>BW977*BX977</f>
        <v>0</v>
      </c>
      <c r="BZ977" s="80" t="str">
        <f>IF(Y977=1,F977&amp;IF(AND(F977&amp;""&lt;&gt;"",E977&amp;""&lt;&gt;"")," · ","")&amp;E977,"")</f>
        <v/>
      </c>
      <c r="CA977" s="80" t="str">
        <f>IF(AND(BD977=1,E977&amp;""&lt;&gt;""),IF(COUNTIFS($E$5:E976,E977,$BD$5:BD976,1)=0,MAX($CA$5:CA976)+1,""),"")</f>
        <v/>
      </c>
      <c r="CB977" s="80" t="str">
        <f>IF(AND(BE977=1,D977="Malcolm",E977&amp;""&lt;&gt;""),IF(COUNTIFS($D$5:D976,"Malcolm",$E$5:E976,E977,$BE$5:BE976,1)=0,MAX($CB$5:CB976)+1,""),"")</f>
        <v/>
      </c>
      <c r="CC977" s="80" t="str">
        <f>IF(AND(BD977=1,D977="proMX",E977&amp;""&lt;&gt;""),IF(COUNTIFS($D$5:D976,"proMX",$E$5:E976,E977,$BD$5:BD976,1)=0,MAX($CC$5:CC976)+1,""),"")</f>
        <v/>
      </c>
      <c r="CD977" s="80" t="str">
        <f>IF(AND(BE977=1,D977="Malcolm",F977&amp;""&lt;&gt;""),IF(COUNTIFS($D$5:D976,"Malcolm",$F$5:F976,F977,$BE$5:BE976,1)=0,MAX($CD$5:CD976)+1,""),"")</f>
        <v/>
      </c>
      <c r="CE977" s="80" t="str">
        <f>IF(AND(BD977=1,D977="proMX",F977&amp;""&lt;&gt;""),IF(COUNTIFS($D$5:D976,"proMX",$F$5:F976,F977,$BD$5:BD976,1)=0,MAX($CE$5:CE976)+1,""),"")</f>
        <v/>
      </c>
      <c r="CF977" s="80" t="str">
        <f>IF(AND(D977="proMX",BD977=1),IF(OR(BF977="Draft",BF977="Submitted",BF977="Returned",BF977="Recall Requested"),MAX($CF$5:CF976)+1,""),"")</f>
        <v/>
      </c>
      <c r="CG977" s="80">
        <f>IF(BD977=0,0,IF(D977="Malcolm",1,MATCH(BF977,{"Draft","Submitted","Approved","Returned","Recall Requested","Cancelled"},0)+1))</f>
        <v>0</v>
      </c>
      <c r="CH977" s="80">
        <f>IF(AND(BF977="Submitted",ISNUMBER(V977)),IF(V977&gt;CFG_MAXD,1,0),0)</f>
        <v>0</v>
      </c>
    </row>
    <row r="978">
      <c r="A978" s="71" t="str">
        <f>IF(Y978=1,ROW()-5,"")</f>
        <v/>
      </c>
      <c r="B978" s="72" t="n"/>
      <c r="C978" s="71" t="str">
        <f>IF(ISNUMBER(B978),CHOOSE(WEEKDAY(B978,2),"Lun","Mar","Mié","Jue","Vie","Sáb","Dom"),"")</f>
        <v/>
      </c>
      <c r="D978" s="73" t="n"/>
      <c r="E978" s="74" t="n"/>
      <c r="F978" s="74" t="n"/>
      <c r="G978" s="74" t="n"/>
      <c r="H978" s="75" t="n"/>
      <c r="I978" s="75" t="n"/>
      <c r="J978" s="76" t="n"/>
      <c r="K978" s="77" t="str">
        <f>IF(AB978=1,ROUND(AG978/60,4),"")</f>
        <v/>
      </c>
      <c r="L978" s="77" t="str">
        <f>IF(BD978=1,ROUND(AP978/60,4),"")</f>
        <v/>
      </c>
      <c r="M978" s="77" t="str">
        <f>IF(BD978=1,ROUND(AQ978/60,4),"")</f>
        <v/>
      </c>
      <c r="N978" s="71" t="str">
        <f>IF(AND(D978="proMX",AB978=1),ROUND(AG978/CFG_BLK,2),"")</f>
        <v/>
      </c>
      <c r="O978" s="77" t="str">
        <f>IF(D978="proMX",IF(BD978=1,ROUND(AG978/60,4),0),"")</f>
        <v/>
      </c>
      <c r="P978" s="78" t="str">
        <f>IF(Y978=0,"",IF(BD978=1,"OK",IF(D978="proMX","Revisar bloques: ","Revisar: ")&amp;BC978))</f>
        <v/>
      </c>
      <c r="Q978" s="78" t="str">
        <f>IF(NOT(ISNUMBER(B978)),"",IF(COUNTIFS(FER_F,INT(B978))&gt;0,"Feriado"&amp;IF(AH978=1," (laborable)"," (no laborable)"),IF(AH978=1,"Laborable",IF(WEEKDAY(B978,2)&gt;5,"Fin de semana","No laborable"))))</f>
        <v/>
      </c>
      <c r="R978" s="73" t="n"/>
      <c r="S978" s="72" t="n"/>
      <c r="T978" s="72" t="n"/>
      <c r="U978" s="74" t="n"/>
      <c r="V978" s="79" t="str">
        <f>IF(AND(D978="proMX",OR(R978="Submitted",R978="Recall Requested"),ISNUMBER(S978)),CFG_TODAY-INT(S978),"")</f>
        <v/>
      </c>
      <c r="W978" s="78" t="str">
        <f>IF(BD978=0,"",IF(BA978&gt;0,"⚠ Se superpone con un registro de la otra empresa",IF(D978="Malcolm",IF(COUNTA(R978,S978,T978)&gt;0,"Estado/fechas proMX se ignoran en Malcolm",""),IF(BF978="Cancelled","Cancelado: excluido de totales",IF(R978="","Sin estado: se trata como Draft",IF(BF978="Submitted",IF(ISNUMBER(V978),IF(V978&gt;CFG_MAXD,"⚠ "&amp;V978&amp;" días en Submitted (máx. "&amp;CFG_MAXD&amp;")",""),"Falta fecha de envío"),IF(BF978="Returned","⚠ Devuelto: corregir y reenviar",IF(BF978="Recall Requested","Retirada solicitada: pendiente",IF(AND(BF978="Approved",NOT(ISNUMBER(T978))),"Falta fecha de aprobación",IF(AND(ISNUMBER(S978),ISNUMBER(T978),T978&lt;S978),"Aprobación anterior al envío","")))))))))</f>
        <v/>
      </c>
      <c r="Y978" s="80">
        <f>IF(COUNTA(B978,D978,E978,F978,G978,H978,I978,J978,R978,S978,T978)&gt;0,1,0)</f>
        <v>0</v>
      </c>
      <c r="Z978" s="80" t="str">
        <f>IF(AND(ISNUMBER(H978),H978&gt;=0,H978&lt;1),ROUND(H978*1440,0),"")</f>
        <v/>
      </c>
      <c r="AA978" s="80" t="str">
        <f>IF(AND(ISNUMBER(I978),I978&gt;=0,I978&lt;1),ROUND(I978*1440,0),"")</f>
        <v/>
      </c>
      <c r="AB978" s="80">
        <f>IF(AND(ISNUMBER(B978),D978&lt;&gt;"",ISNUMBER(Z978),ISNUMBER(AA978)),IF(Z978=AA978,0,1),0)</f>
        <v>0</v>
      </c>
      <c r="AC978" s="80">
        <f>IF(AB978=1,IF(AA978&lt;Z978,1,0),0)</f>
        <v>0</v>
      </c>
      <c r="AD978" s="80">
        <f>IF(AB978=1,IF(AC978=1,1440-Z978+AA978,AA978-Z978),0)</f>
        <v>0</v>
      </c>
      <c r="AE978" s="80">
        <f>IF(J978="",0,IF(ISNUMBER(J978),J978,-1))</f>
        <v>0</v>
      </c>
      <c r="AF978" s="80">
        <f>MIN(MAX(0,AE978),AD978)</f>
        <v>0</v>
      </c>
      <c r="AG978" s="80">
        <f>MAX(0,AD978-MAX(0,AE978))</f>
        <v>0</v>
      </c>
      <c r="AH978" s="80">
        <f>IF(ISNUMBER(B978),IF(AND(INDEX(CFG_WDAYS,WEEKDAY(INT(B978),2))="Sí",IF(D978="proMX",COUNTIFS(FER_F,INT(B978),FER_NLP,"Sí"),COUNTIFS(FER_F,INT(B978),FER_NLM,"Sí"))=0),1,0),0)</f>
        <v>0</v>
      </c>
      <c r="AI978" s="80">
        <f>IF(AC978=1,IF(AND(INDEX(CFG_WDAYS,WEEKDAY(INT(B978)+1,2))="Sí",IF(D978="proMX",COUNTIFS(FER_F,INT(B978)+1,FER_NLP,"Sí"),COUNTIFS(FER_F,INT(B978)+1,FER_NLM,"Sí"))=0),1,0),0)</f>
        <v>0</v>
      </c>
      <c r="AJ978" s="80">
        <f>IF(AC978=1,1440-Z978,AD978)</f>
        <v>0</v>
      </c>
      <c r="AK978" s="80">
        <f>IF(AND(AB978=1,AH978=1),MAX(0,MIN(IF(AC978=1,1440,AA978),CFG_WEM)-MAX(Z978,CFG_WSM)),0)</f>
        <v>0</v>
      </c>
      <c r="AL978" s="80">
        <f>IF(AND(AC978=1,AI978=1),MAX(0,MIN(AA978,CFG_WEM)-CFG_WSM),0)</f>
        <v>0</v>
      </c>
      <c r="AM978" s="80">
        <f>AK978+AL978</f>
        <v>0</v>
      </c>
      <c r="AN978" s="80">
        <f>IF(CFG_BRK="Proporcional",IF(AD978=0,0,AF978*AM978/AD978),IF(CFG_BRK="Extras primero",MIN(AM978,MAX(0,AF978-(AD978-AM978))),MIN(AF978,AM978)))</f>
        <v>0</v>
      </c>
      <c r="AO978" s="80">
        <f>AF978-AN978</f>
        <v>0</v>
      </c>
      <c r="AP978" s="80">
        <f>AM978-AN978</f>
        <v>0</v>
      </c>
      <c r="AQ978" s="80">
        <f>AD978-AM978-AO978</f>
        <v>0</v>
      </c>
      <c r="AR978" s="80">
        <f>IF(AM978=0,0,AK978-AN978*AK978/AM978)</f>
        <v>0</v>
      </c>
      <c r="AS978" s="80">
        <f>IF(AD978-AM978=0,0,(AJ978-AK978)-AO978*(AJ978-AK978)/(AD978-AM978))</f>
        <v>0</v>
      </c>
      <c r="AT978" s="80" t="str">
        <f>IF(AC978=1,INT(B978)+1,"")</f>
        <v/>
      </c>
      <c r="AU978" s="80">
        <f>IF(AND(D978="proMX",R978="Cancelled"),0,1)</f>
        <v>1</v>
      </c>
      <c r="AV978" s="80">
        <f>IF(AND(AB978=1,AU978=1),IF(COUNTIFS($D$5:D977,D978,$B$5:B977,B978,$Z$5:Z977,Z978,$AA$5:AA977,AA978,$F$5:F977,F978&amp;"",$AU$5:AU977,1)&gt;0,1,0),0)</f>
        <v>0</v>
      </c>
      <c r="AW978" s="80" t="str">
        <f>IF(AB978=1,INT(B978)*1440+Z978,"")</f>
        <v/>
      </c>
      <c r="AX978" s="80" t="str">
        <f>IF(AB978=1,AW978+AD978,"")</f>
        <v/>
      </c>
      <c r="AY978" s="80">
        <f>IF(AND(AB978=1,AV978=0,AU978=1),1,0)</f>
        <v>0</v>
      </c>
      <c r="AZ978" s="80">
        <f>IF(AY978=1,COUNTIFS(R_Emp,D978,R_SAbs,"&lt;"&amp;AX978,R_EAbs,"&gt;"&amp;AW978,R_OKey,1)-1,0)</f>
        <v>0</v>
      </c>
      <c r="BA978" s="80">
        <f>IF(AY978=1,COUNTIFS(R_Emp,"&lt;&gt;"&amp;D978,R_SAbs,"&lt;"&amp;AX978,R_EAbs,"&gt;"&amp;AW978,R_OKey,1),0)</f>
        <v>0</v>
      </c>
      <c r="BB978" s="80">
        <f>IF(AND(AB978=1,D978="proMX"),IF(AND(MOD(Z978,CFG_BLK)=0,MOD(AA978,CFG_BLK)=0,MOD(AG978,CFG_BLK)=0,AG978&gt;0),1,0),1)</f>
        <v>1</v>
      </c>
      <c r="BC978" s="80" t="str">
        <f>IF(Y978=0,"",IF(NOT(ISNUMBER(B978)),"Falta fecha o fecha inválida",IF(D978="","Falta empresa",IF(AND(D978&lt;&gt;"Malcolm",D978&lt;&gt;"proMX"),"Empresa inválida",IF(OR(INT(B978)&lt;CFG_PSTART,INT(B978)&gt;CFG_PEND),"Fecha fuera del período",IF(OR(NOT(ISNUMBER(Z978)),NOT(ISNUMBER(AA978))),"Falta hora inicio/fin o formato inválido",IF(AB978=0,"Hora inicio = hora fin",IF(AE978&lt;0,"Descanso inválido",IF(AE978&gt;=AD978,"Descanso ≥ duración",IF(AV978=1,"Registro duplicado",IF(AZ978&gt;0,"Se superpone con otro registro "&amp;D978,IF(BB978=0,"inicio, fin y duración neta deben ser múltiplos de "&amp;CFG_BLK&amp;" min",""))))))))))))</f>
        <v/>
      </c>
      <c r="BD978" s="80">
        <f>IF(AND(Y978=1,BC978=""),1,0)</f>
        <v>0</v>
      </c>
      <c r="BE978" s="80">
        <f>IF(AND(BD978=1,AU978=1),1,0)</f>
        <v>0</v>
      </c>
      <c r="BF978" s="80" t="str">
        <f>IF(AND(D978="proMX",BD978=1),IF(R978="","Draft",R978),"")</f>
        <v/>
      </c>
      <c r="BG978" s="80">
        <f>IF(BD978=1,ROUND(AG978/60,6),0)</f>
        <v>0</v>
      </c>
      <c r="BH978" s="80">
        <f>IF(BE978=1,ROUND(AG978/60,6),0)</f>
        <v>0</v>
      </c>
      <c r="BI978" s="80">
        <f>IF(BE978=1,ROUND(AP978/60,6),0)</f>
        <v>0</v>
      </c>
      <c r="BJ978" s="80">
        <f>IF(BE978=1,ROUND(AQ978/60,6),0)</f>
        <v>0</v>
      </c>
      <c r="BK978" s="80">
        <f>IF(BE978=1,ROUND((AR978+AS978)/60,6),0)</f>
        <v>0</v>
      </c>
      <c r="BL978" s="80">
        <f>ROUND(BH978-BK978,6)</f>
        <v>0</v>
      </c>
      <c r="BM978" s="80">
        <f>IF(BE978=1,ROUND(AR978/60,6),0)</f>
        <v>0</v>
      </c>
      <c r="BN978" s="80">
        <f>ROUND(BI978-BM978,6)</f>
        <v>0</v>
      </c>
      <c r="BO978" s="80">
        <f>IF(BE978=1,ROUND(AS978/60,6),0)</f>
        <v>0</v>
      </c>
      <c r="BP978" s="80">
        <f>ROUND(BJ978-BO978,6)</f>
        <v>0</v>
      </c>
      <c r="BQ978" s="80">
        <f>IF(BE978=1,AW978,0)</f>
        <v>0</v>
      </c>
      <c r="BR978" s="80">
        <f>IF(BE978=1,AX978,0)</f>
        <v>0</v>
      </c>
      <c r="BS978" s="80">
        <f>IF(AND(BE978=1,D978="Malcolm",BA978&gt;0),MIN(BH978,SUMPRODUCT((R_Emp="proMX")*(R_EN&gt;0)*((R_EN-(R_EN&gt;BR978)*(R_EN-BR978))&gt;(R_SN+(R_SN&lt;BQ978)*(BQ978-R_SN)))*((R_EN-(R_EN&gt;BR978)*(R_EN-BR978))-(R_SN+(R_SN&lt;BQ978)*(BQ978-R_SN))))/60),0)</f>
        <v>0</v>
      </c>
      <c r="BT978" s="80">
        <f>IF(AND(BE978=1,D978="proMX"),ROUND(BI978*CFG_RATE+BJ978*CFG_OTRATE,6),0)</f>
        <v>0</v>
      </c>
      <c r="BU978" s="80">
        <f>IF(AND(BD978=1,D978="proMX"),ROUND(AG978/CFG_BLK,6),0)</f>
        <v>0</v>
      </c>
      <c r="BV978" s="80" t="str">
        <f>IF(BF978="Approved",IF(ISNUMBER(T978),INT(T978),INT(B978)),"")</f>
        <v/>
      </c>
      <c r="BW978" s="80">
        <f>IF(ISNUMBER(B978),IF(DB_MON="Todos",1,IF(AND(INT(B978)&gt;=DB_MS,INT(B978)&lt;=DB_ME),1,0)),0)</f>
        <v>0</v>
      </c>
      <c r="BX978" s="80">
        <f>IF(DB_PROJ="Todos",1,IF(E978&amp;""=DB_PROJ&amp;"",1,0))</f>
        <v>1</v>
      </c>
      <c r="BY978" s="80">
        <f>BW978*BX978</f>
        <v>0</v>
      </c>
      <c r="BZ978" s="80" t="str">
        <f>IF(Y978=1,F978&amp;IF(AND(F978&amp;""&lt;&gt;"",E978&amp;""&lt;&gt;"")," · ","")&amp;E978,"")</f>
        <v/>
      </c>
      <c r="CA978" s="80" t="str">
        <f>IF(AND(BD978=1,E978&amp;""&lt;&gt;""),IF(COUNTIFS($E$5:E977,E978,$BD$5:BD977,1)=0,MAX($CA$5:CA977)+1,""),"")</f>
        <v/>
      </c>
      <c r="CB978" s="80" t="str">
        <f>IF(AND(BE978=1,D978="Malcolm",E978&amp;""&lt;&gt;""),IF(COUNTIFS($D$5:D977,"Malcolm",$E$5:E977,E978,$BE$5:BE977,1)=0,MAX($CB$5:CB977)+1,""),"")</f>
        <v/>
      </c>
      <c r="CC978" s="80" t="str">
        <f>IF(AND(BD978=1,D978="proMX",E978&amp;""&lt;&gt;""),IF(COUNTIFS($D$5:D977,"proMX",$E$5:E977,E978,$BD$5:BD977,1)=0,MAX($CC$5:CC977)+1,""),"")</f>
        <v/>
      </c>
      <c r="CD978" s="80" t="str">
        <f>IF(AND(BE978=1,D978="Malcolm",F978&amp;""&lt;&gt;""),IF(COUNTIFS($D$5:D977,"Malcolm",$F$5:F977,F978,$BE$5:BE977,1)=0,MAX($CD$5:CD977)+1,""),"")</f>
        <v/>
      </c>
      <c r="CE978" s="80" t="str">
        <f>IF(AND(BD978=1,D978="proMX",F978&amp;""&lt;&gt;""),IF(COUNTIFS($D$5:D977,"proMX",$F$5:F977,F978,$BD$5:BD977,1)=0,MAX($CE$5:CE977)+1,""),"")</f>
        <v/>
      </c>
      <c r="CF978" s="80" t="str">
        <f>IF(AND(D978="proMX",BD978=1),IF(OR(BF978="Draft",BF978="Submitted",BF978="Returned",BF978="Recall Requested"),MAX($CF$5:CF977)+1,""),"")</f>
        <v/>
      </c>
      <c r="CG978" s="80">
        <f>IF(BD978=0,0,IF(D978="Malcolm",1,MATCH(BF978,{"Draft","Submitted","Approved","Returned","Recall Requested","Cancelled"},0)+1))</f>
        <v>0</v>
      </c>
      <c r="CH978" s="80">
        <f>IF(AND(BF978="Submitted",ISNUMBER(V978)),IF(V978&gt;CFG_MAXD,1,0),0)</f>
        <v>0</v>
      </c>
    </row>
    <row r="979">
      <c r="A979" s="71" t="str">
        <f>IF(Y979=1,ROW()-5,"")</f>
        <v/>
      </c>
      <c r="B979" s="72" t="n"/>
      <c r="C979" s="71" t="str">
        <f>IF(ISNUMBER(B979),CHOOSE(WEEKDAY(B979,2),"Lun","Mar","Mié","Jue","Vie","Sáb","Dom"),"")</f>
        <v/>
      </c>
      <c r="D979" s="73" t="n"/>
      <c r="E979" s="74" t="n"/>
      <c r="F979" s="74" t="n"/>
      <c r="G979" s="74" t="n"/>
      <c r="H979" s="75" t="n"/>
      <c r="I979" s="75" t="n"/>
      <c r="J979" s="76" t="n"/>
      <c r="K979" s="77" t="str">
        <f>IF(AB979=1,ROUND(AG979/60,4),"")</f>
        <v/>
      </c>
      <c r="L979" s="77" t="str">
        <f>IF(BD979=1,ROUND(AP979/60,4),"")</f>
        <v/>
      </c>
      <c r="M979" s="77" t="str">
        <f>IF(BD979=1,ROUND(AQ979/60,4),"")</f>
        <v/>
      </c>
      <c r="N979" s="71" t="str">
        <f>IF(AND(D979="proMX",AB979=1),ROUND(AG979/CFG_BLK,2),"")</f>
        <v/>
      </c>
      <c r="O979" s="77" t="str">
        <f>IF(D979="proMX",IF(BD979=1,ROUND(AG979/60,4),0),"")</f>
        <v/>
      </c>
      <c r="P979" s="78" t="str">
        <f>IF(Y979=0,"",IF(BD979=1,"OK",IF(D979="proMX","Revisar bloques: ","Revisar: ")&amp;BC979))</f>
        <v/>
      </c>
      <c r="Q979" s="78" t="str">
        <f>IF(NOT(ISNUMBER(B979)),"",IF(COUNTIFS(FER_F,INT(B979))&gt;0,"Feriado"&amp;IF(AH979=1," (laborable)"," (no laborable)"),IF(AH979=1,"Laborable",IF(WEEKDAY(B979,2)&gt;5,"Fin de semana","No laborable"))))</f>
        <v/>
      </c>
      <c r="R979" s="73" t="n"/>
      <c r="S979" s="72" t="n"/>
      <c r="T979" s="72" t="n"/>
      <c r="U979" s="74" t="n"/>
      <c r="V979" s="79" t="str">
        <f>IF(AND(D979="proMX",OR(R979="Submitted",R979="Recall Requested"),ISNUMBER(S979)),CFG_TODAY-INT(S979),"")</f>
        <v/>
      </c>
      <c r="W979" s="78" t="str">
        <f>IF(BD979=0,"",IF(BA979&gt;0,"⚠ Se superpone con un registro de la otra empresa",IF(D979="Malcolm",IF(COUNTA(R979,S979,T979)&gt;0,"Estado/fechas proMX se ignoran en Malcolm",""),IF(BF979="Cancelled","Cancelado: excluido de totales",IF(R979="","Sin estado: se trata como Draft",IF(BF979="Submitted",IF(ISNUMBER(V979),IF(V979&gt;CFG_MAXD,"⚠ "&amp;V979&amp;" días en Submitted (máx. "&amp;CFG_MAXD&amp;")",""),"Falta fecha de envío"),IF(BF979="Returned","⚠ Devuelto: corregir y reenviar",IF(BF979="Recall Requested","Retirada solicitada: pendiente",IF(AND(BF979="Approved",NOT(ISNUMBER(T979))),"Falta fecha de aprobación",IF(AND(ISNUMBER(S979),ISNUMBER(T979),T979&lt;S979),"Aprobación anterior al envío","")))))))))</f>
        <v/>
      </c>
      <c r="Y979" s="80">
        <f>IF(COUNTA(B979,D979,E979,F979,G979,H979,I979,J979,R979,S979,T979)&gt;0,1,0)</f>
        <v>0</v>
      </c>
      <c r="Z979" s="80" t="str">
        <f>IF(AND(ISNUMBER(H979),H979&gt;=0,H979&lt;1),ROUND(H979*1440,0),"")</f>
        <v/>
      </c>
      <c r="AA979" s="80" t="str">
        <f>IF(AND(ISNUMBER(I979),I979&gt;=0,I979&lt;1),ROUND(I979*1440,0),"")</f>
        <v/>
      </c>
      <c r="AB979" s="80">
        <f>IF(AND(ISNUMBER(B979),D979&lt;&gt;"",ISNUMBER(Z979),ISNUMBER(AA979)),IF(Z979=AA979,0,1),0)</f>
        <v>0</v>
      </c>
      <c r="AC979" s="80">
        <f>IF(AB979=1,IF(AA979&lt;Z979,1,0),0)</f>
        <v>0</v>
      </c>
      <c r="AD979" s="80">
        <f>IF(AB979=1,IF(AC979=1,1440-Z979+AA979,AA979-Z979),0)</f>
        <v>0</v>
      </c>
      <c r="AE979" s="80">
        <f>IF(J979="",0,IF(ISNUMBER(J979),J979,-1))</f>
        <v>0</v>
      </c>
      <c r="AF979" s="80">
        <f>MIN(MAX(0,AE979),AD979)</f>
        <v>0</v>
      </c>
      <c r="AG979" s="80">
        <f>MAX(0,AD979-MAX(0,AE979))</f>
        <v>0</v>
      </c>
      <c r="AH979" s="80">
        <f>IF(ISNUMBER(B979),IF(AND(INDEX(CFG_WDAYS,WEEKDAY(INT(B979),2))="Sí",IF(D979="proMX",COUNTIFS(FER_F,INT(B979),FER_NLP,"Sí"),COUNTIFS(FER_F,INT(B979),FER_NLM,"Sí"))=0),1,0),0)</f>
        <v>0</v>
      </c>
      <c r="AI979" s="80">
        <f>IF(AC979=1,IF(AND(INDEX(CFG_WDAYS,WEEKDAY(INT(B979)+1,2))="Sí",IF(D979="proMX",COUNTIFS(FER_F,INT(B979)+1,FER_NLP,"Sí"),COUNTIFS(FER_F,INT(B979)+1,FER_NLM,"Sí"))=0),1,0),0)</f>
        <v>0</v>
      </c>
      <c r="AJ979" s="80">
        <f>IF(AC979=1,1440-Z979,AD979)</f>
        <v>0</v>
      </c>
      <c r="AK979" s="80">
        <f>IF(AND(AB979=1,AH979=1),MAX(0,MIN(IF(AC979=1,1440,AA979),CFG_WEM)-MAX(Z979,CFG_WSM)),0)</f>
        <v>0</v>
      </c>
      <c r="AL979" s="80">
        <f>IF(AND(AC979=1,AI979=1),MAX(0,MIN(AA979,CFG_WEM)-CFG_WSM),0)</f>
        <v>0</v>
      </c>
      <c r="AM979" s="80">
        <f>AK979+AL979</f>
        <v>0</v>
      </c>
      <c r="AN979" s="80">
        <f>IF(CFG_BRK="Proporcional",IF(AD979=0,0,AF979*AM979/AD979),IF(CFG_BRK="Extras primero",MIN(AM979,MAX(0,AF979-(AD979-AM979))),MIN(AF979,AM979)))</f>
        <v>0</v>
      </c>
      <c r="AO979" s="80">
        <f>AF979-AN979</f>
        <v>0</v>
      </c>
      <c r="AP979" s="80">
        <f>AM979-AN979</f>
        <v>0</v>
      </c>
      <c r="AQ979" s="80">
        <f>AD979-AM979-AO979</f>
        <v>0</v>
      </c>
      <c r="AR979" s="80">
        <f>IF(AM979=0,0,AK979-AN979*AK979/AM979)</f>
        <v>0</v>
      </c>
      <c r="AS979" s="80">
        <f>IF(AD979-AM979=0,0,(AJ979-AK979)-AO979*(AJ979-AK979)/(AD979-AM979))</f>
        <v>0</v>
      </c>
      <c r="AT979" s="80" t="str">
        <f>IF(AC979=1,INT(B979)+1,"")</f>
        <v/>
      </c>
      <c r="AU979" s="80">
        <f>IF(AND(D979="proMX",R979="Cancelled"),0,1)</f>
        <v>1</v>
      </c>
      <c r="AV979" s="80">
        <f>IF(AND(AB979=1,AU979=1),IF(COUNTIFS($D$5:D978,D979,$B$5:B978,B979,$Z$5:Z978,Z979,$AA$5:AA978,AA979,$F$5:F978,F979&amp;"",$AU$5:AU978,1)&gt;0,1,0),0)</f>
        <v>0</v>
      </c>
      <c r="AW979" s="80" t="str">
        <f>IF(AB979=1,INT(B979)*1440+Z979,"")</f>
        <v/>
      </c>
      <c r="AX979" s="80" t="str">
        <f>IF(AB979=1,AW979+AD979,"")</f>
        <v/>
      </c>
      <c r="AY979" s="80">
        <f>IF(AND(AB979=1,AV979=0,AU979=1),1,0)</f>
        <v>0</v>
      </c>
      <c r="AZ979" s="80">
        <f>IF(AY979=1,COUNTIFS(R_Emp,D979,R_SAbs,"&lt;"&amp;AX979,R_EAbs,"&gt;"&amp;AW979,R_OKey,1)-1,0)</f>
        <v>0</v>
      </c>
      <c r="BA979" s="80">
        <f>IF(AY979=1,COUNTIFS(R_Emp,"&lt;&gt;"&amp;D979,R_SAbs,"&lt;"&amp;AX979,R_EAbs,"&gt;"&amp;AW979,R_OKey,1),0)</f>
        <v>0</v>
      </c>
      <c r="BB979" s="80">
        <f>IF(AND(AB979=1,D979="proMX"),IF(AND(MOD(Z979,CFG_BLK)=0,MOD(AA979,CFG_BLK)=0,MOD(AG979,CFG_BLK)=0,AG979&gt;0),1,0),1)</f>
        <v>1</v>
      </c>
      <c r="BC979" s="80" t="str">
        <f>IF(Y979=0,"",IF(NOT(ISNUMBER(B979)),"Falta fecha o fecha inválida",IF(D979="","Falta empresa",IF(AND(D979&lt;&gt;"Malcolm",D979&lt;&gt;"proMX"),"Empresa inválida",IF(OR(INT(B979)&lt;CFG_PSTART,INT(B979)&gt;CFG_PEND),"Fecha fuera del período",IF(OR(NOT(ISNUMBER(Z979)),NOT(ISNUMBER(AA979))),"Falta hora inicio/fin o formato inválido",IF(AB979=0,"Hora inicio = hora fin",IF(AE979&lt;0,"Descanso inválido",IF(AE979&gt;=AD979,"Descanso ≥ duración",IF(AV979=1,"Registro duplicado",IF(AZ979&gt;0,"Se superpone con otro registro "&amp;D979,IF(BB979=0,"inicio, fin y duración neta deben ser múltiplos de "&amp;CFG_BLK&amp;" min",""))))))))))))</f>
        <v/>
      </c>
      <c r="BD979" s="80">
        <f>IF(AND(Y979=1,BC979=""),1,0)</f>
        <v>0</v>
      </c>
      <c r="BE979" s="80">
        <f>IF(AND(BD979=1,AU979=1),1,0)</f>
        <v>0</v>
      </c>
      <c r="BF979" s="80" t="str">
        <f>IF(AND(D979="proMX",BD979=1),IF(R979="","Draft",R979),"")</f>
        <v/>
      </c>
      <c r="BG979" s="80">
        <f>IF(BD979=1,ROUND(AG979/60,6),0)</f>
        <v>0</v>
      </c>
      <c r="BH979" s="80">
        <f>IF(BE979=1,ROUND(AG979/60,6),0)</f>
        <v>0</v>
      </c>
      <c r="BI979" s="80">
        <f>IF(BE979=1,ROUND(AP979/60,6),0)</f>
        <v>0</v>
      </c>
      <c r="BJ979" s="80">
        <f>IF(BE979=1,ROUND(AQ979/60,6),0)</f>
        <v>0</v>
      </c>
      <c r="BK979" s="80">
        <f>IF(BE979=1,ROUND((AR979+AS979)/60,6),0)</f>
        <v>0</v>
      </c>
      <c r="BL979" s="80">
        <f>ROUND(BH979-BK979,6)</f>
        <v>0</v>
      </c>
      <c r="BM979" s="80">
        <f>IF(BE979=1,ROUND(AR979/60,6),0)</f>
        <v>0</v>
      </c>
      <c r="BN979" s="80">
        <f>ROUND(BI979-BM979,6)</f>
        <v>0</v>
      </c>
      <c r="BO979" s="80">
        <f>IF(BE979=1,ROUND(AS979/60,6),0)</f>
        <v>0</v>
      </c>
      <c r="BP979" s="80">
        <f>ROUND(BJ979-BO979,6)</f>
        <v>0</v>
      </c>
      <c r="BQ979" s="80">
        <f>IF(BE979=1,AW979,0)</f>
        <v>0</v>
      </c>
      <c r="BR979" s="80">
        <f>IF(BE979=1,AX979,0)</f>
        <v>0</v>
      </c>
      <c r="BS979" s="80">
        <f>IF(AND(BE979=1,D979="Malcolm",BA979&gt;0),MIN(BH979,SUMPRODUCT((R_Emp="proMX")*(R_EN&gt;0)*((R_EN-(R_EN&gt;BR979)*(R_EN-BR979))&gt;(R_SN+(R_SN&lt;BQ979)*(BQ979-R_SN)))*((R_EN-(R_EN&gt;BR979)*(R_EN-BR979))-(R_SN+(R_SN&lt;BQ979)*(BQ979-R_SN))))/60),0)</f>
        <v>0</v>
      </c>
      <c r="BT979" s="80">
        <f>IF(AND(BE979=1,D979="proMX"),ROUND(BI979*CFG_RATE+BJ979*CFG_OTRATE,6),0)</f>
        <v>0</v>
      </c>
      <c r="BU979" s="80">
        <f>IF(AND(BD979=1,D979="proMX"),ROUND(AG979/CFG_BLK,6),0)</f>
        <v>0</v>
      </c>
      <c r="BV979" s="80" t="str">
        <f>IF(BF979="Approved",IF(ISNUMBER(T979),INT(T979),INT(B979)),"")</f>
        <v/>
      </c>
      <c r="BW979" s="80">
        <f>IF(ISNUMBER(B979),IF(DB_MON="Todos",1,IF(AND(INT(B979)&gt;=DB_MS,INT(B979)&lt;=DB_ME),1,0)),0)</f>
        <v>0</v>
      </c>
      <c r="BX979" s="80">
        <f>IF(DB_PROJ="Todos",1,IF(E979&amp;""=DB_PROJ&amp;"",1,0))</f>
        <v>1</v>
      </c>
      <c r="BY979" s="80">
        <f>BW979*BX979</f>
        <v>0</v>
      </c>
      <c r="BZ979" s="80" t="str">
        <f>IF(Y979=1,F979&amp;IF(AND(F979&amp;""&lt;&gt;"",E979&amp;""&lt;&gt;"")," · ","")&amp;E979,"")</f>
        <v/>
      </c>
      <c r="CA979" s="80" t="str">
        <f>IF(AND(BD979=1,E979&amp;""&lt;&gt;""),IF(COUNTIFS($E$5:E978,E979,$BD$5:BD978,1)=0,MAX($CA$5:CA978)+1,""),"")</f>
        <v/>
      </c>
      <c r="CB979" s="80" t="str">
        <f>IF(AND(BE979=1,D979="Malcolm",E979&amp;""&lt;&gt;""),IF(COUNTIFS($D$5:D978,"Malcolm",$E$5:E978,E979,$BE$5:BE978,1)=0,MAX($CB$5:CB978)+1,""),"")</f>
        <v/>
      </c>
      <c r="CC979" s="80" t="str">
        <f>IF(AND(BD979=1,D979="proMX",E979&amp;""&lt;&gt;""),IF(COUNTIFS($D$5:D978,"proMX",$E$5:E978,E979,$BD$5:BD978,1)=0,MAX($CC$5:CC978)+1,""),"")</f>
        <v/>
      </c>
      <c r="CD979" s="80" t="str">
        <f>IF(AND(BE979=1,D979="Malcolm",F979&amp;""&lt;&gt;""),IF(COUNTIFS($D$5:D978,"Malcolm",$F$5:F978,F979,$BE$5:BE978,1)=0,MAX($CD$5:CD978)+1,""),"")</f>
        <v/>
      </c>
      <c r="CE979" s="80" t="str">
        <f>IF(AND(BD979=1,D979="proMX",F979&amp;""&lt;&gt;""),IF(COUNTIFS($D$5:D978,"proMX",$F$5:F978,F979,$BD$5:BD978,1)=0,MAX($CE$5:CE978)+1,""),"")</f>
        <v/>
      </c>
      <c r="CF979" s="80" t="str">
        <f>IF(AND(D979="proMX",BD979=1),IF(OR(BF979="Draft",BF979="Submitted",BF979="Returned",BF979="Recall Requested"),MAX($CF$5:CF978)+1,""),"")</f>
        <v/>
      </c>
      <c r="CG979" s="80">
        <f>IF(BD979=0,0,IF(D979="Malcolm",1,MATCH(BF979,{"Draft","Submitted","Approved","Returned","Recall Requested","Cancelled"},0)+1))</f>
        <v>0</v>
      </c>
      <c r="CH979" s="80">
        <f>IF(AND(BF979="Submitted",ISNUMBER(V979)),IF(V979&gt;CFG_MAXD,1,0),0)</f>
        <v>0</v>
      </c>
    </row>
    <row r="980">
      <c r="A980" s="71" t="str">
        <f>IF(Y980=1,ROW()-5,"")</f>
        <v/>
      </c>
      <c r="B980" s="72" t="n"/>
      <c r="C980" s="71" t="str">
        <f>IF(ISNUMBER(B980),CHOOSE(WEEKDAY(B980,2),"Lun","Mar","Mié","Jue","Vie","Sáb","Dom"),"")</f>
        <v/>
      </c>
      <c r="D980" s="73" t="n"/>
      <c r="E980" s="74" t="n"/>
      <c r="F980" s="74" t="n"/>
      <c r="G980" s="74" t="n"/>
      <c r="H980" s="75" t="n"/>
      <c r="I980" s="75" t="n"/>
      <c r="J980" s="76" t="n"/>
      <c r="K980" s="77" t="str">
        <f>IF(AB980=1,ROUND(AG980/60,4),"")</f>
        <v/>
      </c>
      <c r="L980" s="77" t="str">
        <f>IF(BD980=1,ROUND(AP980/60,4),"")</f>
        <v/>
      </c>
      <c r="M980" s="77" t="str">
        <f>IF(BD980=1,ROUND(AQ980/60,4),"")</f>
        <v/>
      </c>
      <c r="N980" s="71" t="str">
        <f>IF(AND(D980="proMX",AB980=1),ROUND(AG980/CFG_BLK,2),"")</f>
        <v/>
      </c>
      <c r="O980" s="77" t="str">
        <f>IF(D980="proMX",IF(BD980=1,ROUND(AG980/60,4),0),"")</f>
        <v/>
      </c>
      <c r="P980" s="78" t="str">
        <f>IF(Y980=0,"",IF(BD980=1,"OK",IF(D980="proMX","Revisar bloques: ","Revisar: ")&amp;BC980))</f>
        <v/>
      </c>
      <c r="Q980" s="78" t="str">
        <f>IF(NOT(ISNUMBER(B980)),"",IF(COUNTIFS(FER_F,INT(B980))&gt;0,"Feriado"&amp;IF(AH980=1," (laborable)"," (no laborable)"),IF(AH980=1,"Laborable",IF(WEEKDAY(B980,2)&gt;5,"Fin de semana","No laborable"))))</f>
        <v/>
      </c>
      <c r="R980" s="73" t="n"/>
      <c r="S980" s="72" t="n"/>
      <c r="T980" s="72" t="n"/>
      <c r="U980" s="74" t="n"/>
      <c r="V980" s="79" t="str">
        <f>IF(AND(D980="proMX",OR(R980="Submitted",R980="Recall Requested"),ISNUMBER(S980)),CFG_TODAY-INT(S980),"")</f>
        <v/>
      </c>
      <c r="W980" s="78" t="str">
        <f>IF(BD980=0,"",IF(BA980&gt;0,"⚠ Se superpone con un registro de la otra empresa",IF(D980="Malcolm",IF(COUNTA(R980,S980,T980)&gt;0,"Estado/fechas proMX se ignoran en Malcolm",""),IF(BF980="Cancelled","Cancelado: excluido de totales",IF(R980="","Sin estado: se trata como Draft",IF(BF980="Submitted",IF(ISNUMBER(V980),IF(V980&gt;CFG_MAXD,"⚠ "&amp;V980&amp;" días en Submitted (máx. "&amp;CFG_MAXD&amp;")",""),"Falta fecha de envío"),IF(BF980="Returned","⚠ Devuelto: corregir y reenviar",IF(BF980="Recall Requested","Retirada solicitada: pendiente",IF(AND(BF980="Approved",NOT(ISNUMBER(T980))),"Falta fecha de aprobación",IF(AND(ISNUMBER(S980),ISNUMBER(T980),T980&lt;S980),"Aprobación anterior al envío","")))))))))</f>
        <v/>
      </c>
      <c r="Y980" s="80">
        <f>IF(COUNTA(B980,D980,E980,F980,G980,H980,I980,J980,R980,S980,T980)&gt;0,1,0)</f>
        <v>0</v>
      </c>
      <c r="Z980" s="80" t="str">
        <f>IF(AND(ISNUMBER(H980),H980&gt;=0,H980&lt;1),ROUND(H980*1440,0),"")</f>
        <v/>
      </c>
      <c r="AA980" s="80" t="str">
        <f>IF(AND(ISNUMBER(I980),I980&gt;=0,I980&lt;1),ROUND(I980*1440,0),"")</f>
        <v/>
      </c>
      <c r="AB980" s="80">
        <f>IF(AND(ISNUMBER(B980),D980&lt;&gt;"",ISNUMBER(Z980),ISNUMBER(AA980)),IF(Z980=AA980,0,1),0)</f>
        <v>0</v>
      </c>
      <c r="AC980" s="80">
        <f>IF(AB980=1,IF(AA980&lt;Z980,1,0),0)</f>
        <v>0</v>
      </c>
      <c r="AD980" s="80">
        <f>IF(AB980=1,IF(AC980=1,1440-Z980+AA980,AA980-Z980),0)</f>
        <v>0</v>
      </c>
      <c r="AE980" s="80">
        <f>IF(J980="",0,IF(ISNUMBER(J980),J980,-1))</f>
        <v>0</v>
      </c>
      <c r="AF980" s="80">
        <f>MIN(MAX(0,AE980),AD980)</f>
        <v>0</v>
      </c>
      <c r="AG980" s="80">
        <f>MAX(0,AD980-MAX(0,AE980))</f>
        <v>0</v>
      </c>
      <c r="AH980" s="80">
        <f>IF(ISNUMBER(B980),IF(AND(INDEX(CFG_WDAYS,WEEKDAY(INT(B980),2))="Sí",IF(D980="proMX",COUNTIFS(FER_F,INT(B980),FER_NLP,"Sí"),COUNTIFS(FER_F,INT(B980),FER_NLM,"Sí"))=0),1,0),0)</f>
        <v>0</v>
      </c>
      <c r="AI980" s="80">
        <f>IF(AC980=1,IF(AND(INDEX(CFG_WDAYS,WEEKDAY(INT(B980)+1,2))="Sí",IF(D980="proMX",COUNTIFS(FER_F,INT(B980)+1,FER_NLP,"Sí"),COUNTIFS(FER_F,INT(B980)+1,FER_NLM,"Sí"))=0),1,0),0)</f>
        <v>0</v>
      </c>
      <c r="AJ980" s="80">
        <f>IF(AC980=1,1440-Z980,AD980)</f>
        <v>0</v>
      </c>
      <c r="AK980" s="80">
        <f>IF(AND(AB980=1,AH980=1),MAX(0,MIN(IF(AC980=1,1440,AA980),CFG_WEM)-MAX(Z980,CFG_WSM)),0)</f>
        <v>0</v>
      </c>
      <c r="AL980" s="80">
        <f>IF(AND(AC980=1,AI980=1),MAX(0,MIN(AA980,CFG_WEM)-CFG_WSM),0)</f>
        <v>0</v>
      </c>
      <c r="AM980" s="80">
        <f>AK980+AL980</f>
        <v>0</v>
      </c>
      <c r="AN980" s="80">
        <f>IF(CFG_BRK="Proporcional",IF(AD980=0,0,AF980*AM980/AD980),IF(CFG_BRK="Extras primero",MIN(AM980,MAX(0,AF980-(AD980-AM980))),MIN(AF980,AM980)))</f>
        <v>0</v>
      </c>
      <c r="AO980" s="80">
        <f>AF980-AN980</f>
        <v>0</v>
      </c>
      <c r="AP980" s="80">
        <f>AM980-AN980</f>
        <v>0</v>
      </c>
      <c r="AQ980" s="80">
        <f>AD980-AM980-AO980</f>
        <v>0</v>
      </c>
      <c r="AR980" s="80">
        <f>IF(AM980=0,0,AK980-AN980*AK980/AM980)</f>
        <v>0</v>
      </c>
      <c r="AS980" s="80">
        <f>IF(AD980-AM980=0,0,(AJ980-AK980)-AO980*(AJ980-AK980)/(AD980-AM980))</f>
        <v>0</v>
      </c>
      <c r="AT980" s="80" t="str">
        <f>IF(AC980=1,INT(B980)+1,"")</f>
        <v/>
      </c>
      <c r="AU980" s="80">
        <f>IF(AND(D980="proMX",R980="Cancelled"),0,1)</f>
        <v>1</v>
      </c>
      <c r="AV980" s="80">
        <f>IF(AND(AB980=1,AU980=1),IF(COUNTIFS($D$5:D979,D980,$B$5:B979,B980,$Z$5:Z979,Z980,$AA$5:AA979,AA980,$F$5:F979,F980&amp;"",$AU$5:AU979,1)&gt;0,1,0),0)</f>
        <v>0</v>
      </c>
      <c r="AW980" s="80" t="str">
        <f>IF(AB980=1,INT(B980)*1440+Z980,"")</f>
        <v/>
      </c>
      <c r="AX980" s="80" t="str">
        <f>IF(AB980=1,AW980+AD980,"")</f>
        <v/>
      </c>
      <c r="AY980" s="80">
        <f>IF(AND(AB980=1,AV980=0,AU980=1),1,0)</f>
        <v>0</v>
      </c>
      <c r="AZ980" s="80">
        <f>IF(AY980=1,COUNTIFS(R_Emp,D980,R_SAbs,"&lt;"&amp;AX980,R_EAbs,"&gt;"&amp;AW980,R_OKey,1)-1,0)</f>
        <v>0</v>
      </c>
      <c r="BA980" s="80">
        <f>IF(AY980=1,COUNTIFS(R_Emp,"&lt;&gt;"&amp;D980,R_SAbs,"&lt;"&amp;AX980,R_EAbs,"&gt;"&amp;AW980,R_OKey,1),0)</f>
        <v>0</v>
      </c>
      <c r="BB980" s="80">
        <f>IF(AND(AB980=1,D980="proMX"),IF(AND(MOD(Z980,CFG_BLK)=0,MOD(AA980,CFG_BLK)=0,MOD(AG980,CFG_BLK)=0,AG980&gt;0),1,0),1)</f>
        <v>1</v>
      </c>
      <c r="BC980" s="80" t="str">
        <f>IF(Y980=0,"",IF(NOT(ISNUMBER(B980)),"Falta fecha o fecha inválida",IF(D980="","Falta empresa",IF(AND(D980&lt;&gt;"Malcolm",D980&lt;&gt;"proMX"),"Empresa inválida",IF(OR(INT(B980)&lt;CFG_PSTART,INT(B980)&gt;CFG_PEND),"Fecha fuera del período",IF(OR(NOT(ISNUMBER(Z980)),NOT(ISNUMBER(AA980))),"Falta hora inicio/fin o formato inválido",IF(AB980=0,"Hora inicio = hora fin",IF(AE980&lt;0,"Descanso inválido",IF(AE980&gt;=AD980,"Descanso ≥ duración",IF(AV980=1,"Registro duplicado",IF(AZ980&gt;0,"Se superpone con otro registro "&amp;D980,IF(BB980=0,"inicio, fin y duración neta deben ser múltiplos de "&amp;CFG_BLK&amp;" min",""))))))))))))</f>
        <v/>
      </c>
      <c r="BD980" s="80">
        <f>IF(AND(Y980=1,BC980=""),1,0)</f>
        <v>0</v>
      </c>
      <c r="BE980" s="80">
        <f>IF(AND(BD980=1,AU980=1),1,0)</f>
        <v>0</v>
      </c>
      <c r="BF980" s="80" t="str">
        <f>IF(AND(D980="proMX",BD980=1),IF(R980="","Draft",R980),"")</f>
        <v/>
      </c>
      <c r="BG980" s="80">
        <f>IF(BD980=1,ROUND(AG980/60,6),0)</f>
        <v>0</v>
      </c>
      <c r="BH980" s="80">
        <f>IF(BE980=1,ROUND(AG980/60,6),0)</f>
        <v>0</v>
      </c>
      <c r="BI980" s="80">
        <f>IF(BE980=1,ROUND(AP980/60,6),0)</f>
        <v>0</v>
      </c>
      <c r="BJ980" s="80">
        <f>IF(BE980=1,ROUND(AQ980/60,6),0)</f>
        <v>0</v>
      </c>
      <c r="BK980" s="80">
        <f>IF(BE980=1,ROUND((AR980+AS980)/60,6),0)</f>
        <v>0</v>
      </c>
      <c r="BL980" s="80">
        <f>ROUND(BH980-BK980,6)</f>
        <v>0</v>
      </c>
      <c r="BM980" s="80">
        <f>IF(BE980=1,ROUND(AR980/60,6),0)</f>
        <v>0</v>
      </c>
      <c r="BN980" s="80">
        <f>ROUND(BI980-BM980,6)</f>
        <v>0</v>
      </c>
      <c r="BO980" s="80">
        <f>IF(BE980=1,ROUND(AS980/60,6),0)</f>
        <v>0</v>
      </c>
      <c r="BP980" s="80">
        <f>ROUND(BJ980-BO980,6)</f>
        <v>0</v>
      </c>
      <c r="BQ980" s="80">
        <f>IF(BE980=1,AW980,0)</f>
        <v>0</v>
      </c>
      <c r="BR980" s="80">
        <f>IF(BE980=1,AX980,0)</f>
        <v>0</v>
      </c>
      <c r="BS980" s="80">
        <f>IF(AND(BE980=1,D980="Malcolm",BA980&gt;0),MIN(BH980,SUMPRODUCT((R_Emp="proMX")*(R_EN&gt;0)*((R_EN-(R_EN&gt;BR980)*(R_EN-BR980))&gt;(R_SN+(R_SN&lt;BQ980)*(BQ980-R_SN)))*((R_EN-(R_EN&gt;BR980)*(R_EN-BR980))-(R_SN+(R_SN&lt;BQ980)*(BQ980-R_SN))))/60),0)</f>
        <v>0</v>
      </c>
      <c r="BT980" s="80">
        <f>IF(AND(BE980=1,D980="proMX"),ROUND(BI980*CFG_RATE+BJ980*CFG_OTRATE,6),0)</f>
        <v>0</v>
      </c>
      <c r="BU980" s="80">
        <f>IF(AND(BD980=1,D980="proMX"),ROUND(AG980/CFG_BLK,6),0)</f>
        <v>0</v>
      </c>
      <c r="BV980" s="80" t="str">
        <f>IF(BF980="Approved",IF(ISNUMBER(T980),INT(T980),INT(B980)),"")</f>
        <v/>
      </c>
      <c r="BW980" s="80">
        <f>IF(ISNUMBER(B980),IF(DB_MON="Todos",1,IF(AND(INT(B980)&gt;=DB_MS,INT(B980)&lt;=DB_ME),1,0)),0)</f>
        <v>0</v>
      </c>
      <c r="BX980" s="80">
        <f>IF(DB_PROJ="Todos",1,IF(E980&amp;""=DB_PROJ&amp;"",1,0))</f>
        <v>1</v>
      </c>
      <c r="BY980" s="80">
        <f>BW980*BX980</f>
        <v>0</v>
      </c>
      <c r="BZ980" s="80" t="str">
        <f>IF(Y980=1,F980&amp;IF(AND(F980&amp;""&lt;&gt;"",E980&amp;""&lt;&gt;"")," · ","")&amp;E980,"")</f>
        <v/>
      </c>
      <c r="CA980" s="80" t="str">
        <f>IF(AND(BD980=1,E980&amp;""&lt;&gt;""),IF(COUNTIFS($E$5:E979,E980,$BD$5:BD979,1)=0,MAX($CA$5:CA979)+1,""),"")</f>
        <v/>
      </c>
      <c r="CB980" s="80" t="str">
        <f>IF(AND(BE980=1,D980="Malcolm",E980&amp;""&lt;&gt;""),IF(COUNTIFS($D$5:D979,"Malcolm",$E$5:E979,E980,$BE$5:BE979,1)=0,MAX($CB$5:CB979)+1,""),"")</f>
        <v/>
      </c>
      <c r="CC980" s="80" t="str">
        <f>IF(AND(BD980=1,D980="proMX",E980&amp;""&lt;&gt;""),IF(COUNTIFS($D$5:D979,"proMX",$E$5:E979,E980,$BD$5:BD979,1)=0,MAX($CC$5:CC979)+1,""),"")</f>
        <v/>
      </c>
      <c r="CD980" s="80" t="str">
        <f>IF(AND(BE980=1,D980="Malcolm",F980&amp;""&lt;&gt;""),IF(COUNTIFS($D$5:D979,"Malcolm",$F$5:F979,F980,$BE$5:BE979,1)=0,MAX($CD$5:CD979)+1,""),"")</f>
        <v/>
      </c>
      <c r="CE980" s="80" t="str">
        <f>IF(AND(BD980=1,D980="proMX",F980&amp;""&lt;&gt;""),IF(COUNTIFS($D$5:D979,"proMX",$F$5:F979,F980,$BD$5:BD979,1)=0,MAX($CE$5:CE979)+1,""),"")</f>
        <v/>
      </c>
      <c r="CF980" s="80" t="str">
        <f>IF(AND(D980="proMX",BD980=1),IF(OR(BF980="Draft",BF980="Submitted",BF980="Returned",BF980="Recall Requested"),MAX($CF$5:CF979)+1,""),"")</f>
        <v/>
      </c>
      <c r="CG980" s="80">
        <f>IF(BD980=0,0,IF(D980="Malcolm",1,MATCH(BF980,{"Draft","Submitted","Approved","Returned","Recall Requested","Cancelled"},0)+1))</f>
        <v>0</v>
      </c>
      <c r="CH980" s="80">
        <f>IF(AND(BF980="Submitted",ISNUMBER(V980)),IF(V980&gt;CFG_MAXD,1,0),0)</f>
        <v>0</v>
      </c>
    </row>
    <row r="981">
      <c r="A981" s="71" t="str">
        <f>IF(Y981=1,ROW()-5,"")</f>
        <v/>
      </c>
      <c r="B981" s="72" t="n"/>
      <c r="C981" s="71" t="str">
        <f>IF(ISNUMBER(B981),CHOOSE(WEEKDAY(B981,2),"Lun","Mar","Mié","Jue","Vie","Sáb","Dom"),"")</f>
        <v/>
      </c>
      <c r="D981" s="73" t="n"/>
      <c r="E981" s="74" t="n"/>
      <c r="F981" s="74" t="n"/>
      <c r="G981" s="74" t="n"/>
      <c r="H981" s="75" t="n"/>
      <c r="I981" s="75" t="n"/>
      <c r="J981" s="76" t="n"/>
      <c r="K981" s="77" t="str">
        <f>IF(AB981=1,ROUND(AG981/60,4),"")</f>
        <v/>
      </c>
      <c r="L981" s="77" t="str">
        <f>IF(BD981=1,ROUND(AP981/60,4),"")</f>
        <v/>
      </c>
      <c r="M981" s="77" t="str">
        <f>IF(BD981=1,ROUND(AQ981/60,4),"")</f>
        <v/>
      </c>
      <c r="N981" s="71" t="str">
        <f>IF(AND(D981="proMX",AB981=1),ROUND(AG981/CFG_BLK,2),"")</f>
        <v/>
      </c>
      <c r="O981" s="77" t="str">
        <f>IF(D981="proMX",IF(BD981=1,ROUND(AG981/60,4),0),"")</f>
        <v/>
      </c>
      <c r="P981" s="78" t="str">
        <f>IF(Y981=0,"",IF(BD981=1,"OK",IF(D981="proMX","Revisar bloques: ","Revisar: ")&amp;BC981))</f>
        <v/>
      </c>
      <c r="Q981" s="78" t="str">
        <f>IF(NOT(ISNUMBER(B981)),"",IF(COUNTIFS(FER_F,INT(B981))&gt;0,"Feriado"&amp;IF(AH981=1," (laborable)"," (no laborable)"),IF(AH981=1,"Laborable",IF(WEEKDAY(B981,2)&gt;5,"Fin de semana","No laborable"))))</f>
        <v/>
      </c>
      <c r="R981" s="73" t="n"/>
      <c r="S981" s="72" t="n"/>
      <c r="T981" s="72" t="n"/>
      <c r="U981" s="74" t="n"/>
      <c r="V981" s="79" t="str">
        <f>IF(AND(D981="proMX",OR(R981="Submitted",R981="Recall Requested"),ISNUMBER(S981)),CFG_TODAY-INT(S981),"")</f>
        <v/>
      </c>
      <c r="W981" s="78" t="str">
        <f>IF(BD981=0,"",IF(BA981&gt;0,"⚠ Se superpone con un registro de la otra empresa",IF(D981="Malcolm",IF(COUNTA(R981,S981,T981)&gt;0,"Estado/fechas proMX se ignoran en Malcolm",""),IF(BF981="Cancelled","Cancelado: excluido de totales",IF(R981="","Sin estado: se trata como Draft",IF(BF981="Submitted",IF(ISNUMBER(V981),IF(V981&gt;CFG_MAXD,"⚠ "&amp;V981&amp;" días en Submitted (máx. "&amp;CFG_MAXD&amp;")",""),"Falta fecha de envío"),IF(BF981="Returned","⚠ Devuelto: corregir y reenviar",IF(BF981="Recall Requested","Retirada solicitada: pendiente",IF(AND(BF981="Approved",NOT(ISNUMBER(T981))),"Falta fecha de aprobación",IF(AND(ISNUMBER(S981),ISNUMBER(T981),T981&lt;S981),"Aprobación anterior al envío","")))))))))</f>
        <v/>
      </c>
      <c r="Y981" s="80">
        <f>IF(COUNTA(B981,D981,E981,F981,G981,H981,I981,J981,R981,S981,T981)&gt;0,1,0)</f>
        <v>0</v>
      </c>
      <c r="Z981" s="80" t="str">
        <f>IF(AND(ISNUMBER(H981),H981&gt;=0,H981&lt;1),ROUND(H981*1440,0),"")</f>
        <v/>
      </c>
      <c r="AA981" s="80" t="str">
        <f>IF(AND(ISNUMBER(I981),I981&gt;=0,I981&lt;1),ROUND(I981*1440,0),"")</f>
        <v/>
      </c>
      <c r="AB981" s="80">
        <f>IF(AND(ISNUMBER(B981),D981&lt;&gt;"",ISNUMBER(Z981),ISNUMBER(AA981)),IF(Z981=AA981,0,1),0)</f>
        <v>0</v>
      </c>
      <c r="AC981" s="80">
        <f>IF(AB981=1,IF(AA981&lt;Z981,1,0),0)</f>
        <v>0</v>
      </c>
      <c r="AD981" s="80">
        <f>IF(AB981=1,IF(AC981=1,1440-Z981+AA981,AA981-Z981),0)</f>
        <v>0</v>
      </c>
      <c r="AE981" s="80">
        <f>IF(J981="",0,IF(ISNUMBER(J981),J981,-1))</f>
        <v>0</v>
      </c>
      <c r="AF981" s="80">
        <f>MIN(MAX(0,AE981),AD981)</f>
        <v>0</v>
      </c>
      <c r="AG981" s="80">
        <f>MAX(0,AD981-MAX(0,AE981))</f>
        <v>0</v>
      </c>
      <c r="AH981" s="80">
        <f>IF(ISNUMBER(B981),IF(AND(INDEX(CFG_WDAYS,WEEKDAY(INT(B981),2))="Sí",IF(D981="proMX",COUNTIFS(FER_F,INT(B981),FER_NLP,"Sí"),COUNTIFS(FER_F,INT(B981),FER_NLM,"Sí"))=0),1,0),0)</f>
        <v>0</v>
      </c>
      <c r="AI981" s="80">
        <f>IF(AC981=1,IF(AND(INDEX(CFG_WDAYS,WEEKDAY(INT(B981)+1,2))="Sí",IF(D981="proMX",COUNTIFS(FER_F,INT(B981)+1,FER_NLP,"Sí"),COUNTIFS(FER_F,INT(B981)+1,FER_NLM,"Sí"))=0),1,0),0)</f>
        <v>0</v>
      </c>
      <c r="AJ981" s="80">
        <f>IF(AC981=1,1440-Z981,AD981)</f>
        <v>0</v>
      </c>
      <c r="AK981" s="80">
        <f>IF(AND(AB981=1,AH981=1),MAX(0,MIN(IF(AC981=1,1440,AA981),CFG_WEM)-MAX(Z981,CFG_WSM)),0)</f>
        <v>0</v>
      </c>
      <c r="AL981" s="80">
        <f>IF(AND(AC981=1,AI981=1),MAX(0,MIN(AA981,CFG_WEM)-CFG_WSM),0)</f>
        <v>0</v>
      </c>
      <c r="AM981" s="80">
        <f>AK981+AL981</f>
        <v>0</v>
      </c>
      <c r="AN981" s="80">
        <f>IF(CFG_BRK="Proporcional",IF(AD981=0,0,AF981*AM981/AD981),IF(CFG_BRK="Extras primero",MIN(AM981,MAX(0,AF981-(AD981-AM981))),MIN(AF981,AM981)))</f>
        <v>0</v>
      </c>
      <c r="AO981" s="80">
        <f>AF981-AN981</f>
        <v>0</v>
      </c>
      <c r="AP981" s="80">
        <f>AM981-AN981</f>
        <v>0</v>
      </c>
      <c r="AQ981" s="80">
        <f>AD981-AM981-AO981</f>
        <v>0</v>
      </c>
      <c r="AR981" s="80">
        <f>IF(AM981=0,0,AK981-AN981*AK981/AM981)</f>
        <v>0</v>
      </c>
      <c r="AS981" s="80">
        <f>IF(AD981-AM981=0,0,(AJ981-AK981)-AO981*(AJ981-AK981)/(AD981-AM981))</f>
        <v>0</v>
      </c>
      <c r="AT981" s="80" t="str">
        <f>IF(AC981=1,INT(B981)+1,"")</f>
        <v/>
      </c>
      <c r="AU981" s="80">
        <f>IF(AND(D981="proMX",R981="Cancelled"),0,1)</f>
        <v>1</v>
      </c>
      <c r="AV981" s="80">
        <f>IF(AND(AB981=1,AU981=1),IF(COUNTIFS($D$5:D980,D981,$B$5:B980,B981,$Z$5:Z980,Z981,$AA$5:AA980,AA981,$F$5:F980,F981&amp;"",$AU$5:AU980,1)&gt;0,1,0),0)</f>
        <v>0</v>
      </c>
      <c r="AW981" s="80" t="str">
        <f>IF(AB981=1,INT(B981)*1440+Z981,"")</f>
        <v/>
      </c>
      <c r="AX981" s="80" t="str">
        <f>IF(AB981=1,AW981+AD981,"")</f>
        <v/>
      </c>
      <c r="AY981" s="80">
        <f>IF(AND(AB981=1,AV981=0,AU981=1),1,0)</f>
        <v>0</v>
      </c>
      <c r="AZ981" s="80">
        <f>IF(AY981=1,COUNTIFS(R_Emp,D981,R_SAbs,"&lt;"&amp;AX981,R_EAbs,"&gt;"&amp;AW981,R_OKey,1)-1,0)</f>
        <v>0</v>
      </c>
      <c r="BA981" s="80">
        <f>IF(AY981=1,COUNTIFS(R_Emp,"&lt;&gt;"&amp;D981,R_SAbs,"&lt;"&amp;AX981,R_EAbs,"&gt;"&amp;AW981,R_OKey,1),0)</f>
        <v>0</v>
      </c>
      <c r="BB981" s="80">
        <f>IF(AND(AB981=1,D981="proMX"),IF(AND(MOD(Z981,CFG_BLK)=0,MOD(AA981,CFG_BLK)=0,MOD(AG981,CFG_BLK)=0,AG981&gt;0),1,0),1)</f>
        <v>1</v>
      </c>
      <c r="BC981" s="80" t="str">
        <f>IF(Y981=0,"",IF(NOT(ISNUMBER(B981)),"Falta fecha o fecha inválida",IF(D981="","Falta empresa",IF(AND(D981&lt;&gt;"Malcolm",D981&lt;&gt;"proMX"),"Empresa inválida",IF(OR(INT(B981)&lt;CFG_PSTART,INT(B981)&gt;CFG_PEND),"Fecha fuera del período",IF(OR(NOT(ISNUMBER(Z981)),NOT(ISNUMBER(AA981))),"Falta hora inicio/fin o formato inválido",IF(AB981=0,"Hora inicio = hora fin",IF(AE981&lt;0,"Descanso inválido",IF(AE981&gt;=AD981,"Descanso ≥ duración",IF(AV981=1,"Registro duplicado",IF(AZ981&gt;0,"Se superpone con otro registro "&amp;D981,IF(BB981=0,"inicio, fin y duración neta deben ser múltiplos de "&amp;CFG_BLK&amp;" min",""))))))))))))</f>
        <v/>
      </c>
      <c r="BD981" s="80">
        <f>IF(AND(Y981=1,BC981=""),1,0)</f>
        <v>0</v>
      </c>
      <c r="BE981" s="80">
        <f>IF(AND(BD981=1,AU981=1),1,0)</f>
        <v>0</v>
      </c>
      <c r="BF981" s="80" t="str">
        <f>IF(AND(D981="proMX",BD981=1),IF(R981="","Draft",R981),"")</f>
        <v/>
      </c>
      <c r="BG981" s="80">
        <f>IF(BD981=1,ROUND(AG981/60,6),0)</f>
        <v>0</v>
      </c>
      <c r="BH981" s="80">
        <f>IF(BE981=1,ROUND(AG981/60,6),0)</f>
        <v>0</v>
      </c>
      <c r="BI981" s="80">
        <f>IF(BE981=1,ROUND(AP981/60,6),0)</f>
        <v>0</v>
      </c>
      <c r="BJ981" s="80">
        <f>IF(BE981=1,ROUND(AQ981/60,6),0)</f>
        <v>0</v>
      </c>
      <c r="BK981" s="80">
        <f>IF(BE981=1,ROUND((AR981+AS981)/60,6),0)</f>
        <v>0</v>
      </c>
      <c r="BL981" s="80">
        <f>ROUND(BH981-BK981,6)</f>
        <v>0</v>
      </c>
      <c r="BM981" s="80">
        <f>IF(BE981=1,ROUND(AR981/60,6),0)</f>
        <v>0</v>
      </c>
      <c r="BN981" s="80">
        <f>ROUND(BI981-BM981,6)</f>
        <v>0</v>
      </c>
      <c r="BO981" s="80">
        <f>IF(BE981=1,ROUND(AS981/60,6),0)</f>
        <v>0</v>
      </c>
      <c r="BP981" s="80">
        <f>ROUND(BJ981-BO981,6)</f>
        <v>0</v>
      </c>
      <c r="BQ981" s="80">
        <f>IF(BE981=1,AW981,0)</f>
        <v>0</v>
      </c>
      <c r="BR981" s="80">
        <f>IF(BE981=1,AX981,0)</f>
        <v>0</v>
      </c>
      <c r="BS981" s="80">
        <f>IF(AND(BE981=1,D981="Malcolm",BA981&gt;0),MIN(BH981,SUMPRODUCT((R_Emp="proMX")*(R_EN&gt;0)*((R_EN-(R_EN&gt;BR981)*(R_EN-BR981))&gt;(R_SN+(R_SN&lt;BQ981)*(BQ981-R_SN)))*((R_EN-(R_EN&gt;BR981)*(R_EN-BR981))-(R_SN+(R_SN&lt;BQ981)*(BQ981-R_SN))))/60),0)</f>
        <v>0</v>
      </c>
      <c r="BT981" s="80">
        <f>IF(AND(BE981=1,D981="proMX"),ROUND(BI981*CFG_RATE+BJ981*CFG_OTRATE,6),0)</f>
        <v>0</v>
      </c>
      <c r="BU981" s="80">
        <f>IF(AND(BD981=1,D981="proMX"),ROUND(AG981/CFG_BLK,6),0)</f>
        <v>0</v>
      </c>
      <c r="BV981" s="80" t="str">
        <f>IF(BF981="Approved",IF(ISNUMBER(T981),INT(T981),INT(B981)),"")</f>
        <v/>
      </c>
      <c r="BW981" s="80">
        <f>IF(ISNUMBER(B981),IF(DB_MON="Todos",1,IF(AND(INT(B981)&gt;=DB_MS,INT(B981)&lt;=DB_ME),1,0)),0)</f>
        <v>0</v>
      </c>
      <c r="BX981" s="80">
        <f>IF(DB_PROJ="Todos",1,IF(E981&amp;""=DB_PROJ&amp;"",1,0))</f>
        <v>1</v>
      </c>
      <c r="BY981" s="80">
        <f>BW981*BX981</f>
        <v>0</v>
      </c>
      <c r="BZ981" s="80" t="str">
        <f>IF(Y981=1,F981&amp;IF(AND(F981&amp;""&lt;&gt;"",E981&amp;""&lt;&gt;"")," · ","")&amp;E981,"")</f>
        <v/>
      </c>
      <c r="CA981" s="80" t="str">
        <f>IF(AND(BD981=1,E981&amp;""&lt;&gt;""),IF(COUNTIFS($E$5:E980,E981,$BD$5:BD980,1)=0,MAX($CA$5:CA980)+1,""),"")</f>
        <v/>
      </c>
      <c r="CB981" s="80" t="str">
        <f>IF(AND(BE981=1,D981="Malcolm",E981&amp;""&lt;&gt;""),IF(COUNTIFS($D$5:D980,"Malcolm",$E$5:E980,E981,$BE$5:BE980,1)=0,MAX($CB$5:CB980)+1,""),"")</f>
        <v/>
      </c>
      <c r="CC981" s="80" t="str">
        <f>IF(AND(BD981=1,D981="proMX",E981&amp;""&lt;&gt;""),IF(COUNTIFS($D$5:D980,"proMX",$E$5:E980,E981,$BD$5:BD980,1)=0,MAX($CC$5:CC980)+1,""),"")</f>
        <v/>
      </c>
      <c r="CD981" s="80" t="str">
        <f>IF(AND(BE981=1,D981="Malcolm",F981&amp;""&lt;&gt;""),IF(COUNTIFS($D$5:D980,"Malcolm",$F$5:F980,F981,$BE$5:BE980,1)=0,MAX($CD$5:CD980)+1,""),"")</f>
        <v/>
      </c>
      <c r="CE981" s="80" t="str">
        <f>IF(AND(BD981=1,D981="proMX",F981&amp;""&lt;&gt;""),IF(COUNTIFS($D$5:D980,"proMX",$F$5:F980,F981,$BD$5:BD980,1)=0,MAX($CE$5:CE980)+1,""),"")</f>
        <v/>
      </c>
      <c r="CF981" s="80" t="str">
        <f>IF(AND(D981="proMX",BD981=1),IF(OR(BF981="Draft",BF981="Submitted",BF981="Returned",BF981="Recall Requested"),MAX($CF$5:CF980)+1,""),"")</f>
        <v/>
      </c>
      <c r="CG981" s="80">
        <f>IF(BD981=0,0,IF(D981="Malcolm",1,MATCH(BF981,{"Draft","Submitted","Approved","Returned","Recall Requested","Cancelled"},0)+1))</f>
        <v>0</v>
      </c>
      <c r="CH981" s="80">
        <f>IF(AND(BF981="Submitted",ISNUMBER(V981)),IF(V981&gt;CFG_MAXD,1,0),0)</f>
        <v>0</v>
      </c>
    </row>
    <row r="982">
      <c r="A982" s="71" t="str">
        <f>IF(Y982=1,ROW()-5,"")</f>
        <v/>
      </c>
      <c r="B982" s="72" t="n"/>
      <c r="C982" s="71" t="str">
        <f>IF(ISNUMBER(B982),CHOOSE(WEEKDAY(B982,2),"Lun","Mar","Mié","Jue","Vie","Sáb","Dom"),"")</f>
        <v/>
      </c>
      <c r="D982" s="73" t="n"/>
      <c r="E982" s="74" t="n"/>
      <c r="F982" s="74" t="n"/>
      <c r="G982" s="74" t="n"/>
      <c r="H982" s="75" t="n"/>
      <c r="I982" s="75" t="n"/>
      <c r="J982" s="76" t="n"/>
      <c r="K982" s="77" t="str">
        <f>IF(AB982=1,ROUND(AG982/60,4),"")</f>
        <v/>
      </c>
      <c r="L982" s="77" t="str">
        <f>IF(BD982=1,ROUND(AP982/60,4),"")</f>
        <v/>
      </c>
      <c r="M982" s="77" t="str">
        <f>IF(BD982=1,ROUND(AQ982/60,4),"")</f>
        <v/>
      </c>
      <c r="N982" s="71" t="str">
        <f>IF(AND(D982="proMX",AB982=1),ROUND(AG982/CFG_BLK,2),"")</f>
        <v/>
      </c>
      <c r="O982" s="77" t="str">
        <f>IF(D982="proMX",IF(BD982=1,ROUND(AG982/60,4),0),"")</f>
        <v/>
      </c>
      <c r="P982" s="78" t="str">
        <f>IF(Y982=0,"",IF(BD982=1,"OK",IF(D982="proMX","Revisar bloques: ","Revisar: ")&amp;BC982))</f>
        <v/>
      </c>
      <c r="Q982" s="78" t="str">
        <f>IF(NOT(ISNUMBER(B982)),"",IF(COUNTIFS(FER_F,INT(B982))&gt;0,"Feriado"&amp;IF(AH982=1," (laborable)"," (no laborable)"),IF(AH982=1,"Laborable",IF(WEEKDAY(B982,2)&gt;5,"Fin de semana","No laborable"))))</f>
        <v/>
      </c>
      <c r="R982" s="73" t="n"/>
      <c r="S982" s="72" t="n"/>
      <c r="T982" s="72" t="n"/>
      <c r="U982" s="74" t="n"/>
      <c r="V982" s="79" t="str">
        <f>IF(AND(D982="proMX",OR(R982="Submitted",R982="Recall Requested"),ISNUMBER(S982)),CFG_TODAY-INT(S982),"")</f>
        <v/>
      </c>
      <c r="W982" s="78" t="str">
        <f>IF(BD982=0,"",IF(BA982&gt;0,"⚠ Se superpone con un registro de la otra empresa",IF(D982="Malcolm",IF(COUNTA(R982,S982,T982)&gt;0,"Estado/fechas proMX se ignoran en Malcolm",""),IF(BF982="Cancelled","Cancelado: excluido de totales",IF(R982="","Sin estado: se trata como Draft",IF(BF982="Submitted",IF(ISNUMBER(V982),IF(V982&gt;CFG_MAXD,"⚠ "&amp;V982&amp;" días en Submitted (máx. "&amp;CFG_MAXD&amp;")",""),"Falta fecha de envío"),IF(BF982="Returned","⚠ Devuelto: corregir y reenviar",IF(BF982="Recall Requested","Retirada solicitada: pendiente",IF(AND(BF982="Approved",NOT(ISNUMBER(T982))),"Falta fecha de aprobación",IF(AND(ISNUMBER(S982),ISNUMBER(T982),T982&lt;S982),"Aprobación anterior al envío","")))))))))</f>
        <v/>
      </c>
      <c r="Y982" s="80">
        <f>IF(COUNTA(B982,D982,E982,F982,G982,H982,I982,J982,R982,S982,T982)&gt;0,1,0)</f>
        <v>0</v>
      </c>
      <c r="Z982" s="80" t="str">
        <f>IF(AND(ISNUMBER(H982),H982&gt;=0,H982&lt;1),ROUND(H982*1440,0),"")</f>
        <v/>
      </c>
      <c r="AA982" s="80" t="str">
        <f>IF(AND(ISNUMBER(I982),I982&gt;=0,I982&lt;1),ROUND(I982*1440,0),"")</f>
        <v/>
      </c>
      <c r="AB982" s="80">
        <f>IF(AND(ISNUMBER(B982),D982&lt;&gt;"",ISNUMBER(Z982),ISNUMBER(AA982)),IF(Z982=AA982,0,1),0)</f>
        <v>0</v>
      </c>
      <c r="AC982" s="80">
        <f>IF(AB982=1,IF(AA982&lt;Z982,1,0),0)</f>
        <v>0</v>
      </c>
      <c r="AD982" s="80">
        <f>IF(AB982=1,IF(AC982=1,1440-Z982+AA982,AA982-Z982),0)</f>
        <v>0</v>
      </c>
      <c r="AE982" s="80">
        <f>IF(J982="",0,IF(ISNUMBER(J982),J982,-1))</f>
        <v>0</v>
      </c>
      <c r="AF982" s="80">
        <f>MIN(MAX(0,AE982),AD982)</f>
        <v>0</v>
      </c>
      <c r="AG982" s="80">
        <f>MAX(0,AD982-MAX(0,AE982))</f>
        <v>0</v>
      </c>
      <c r="AH982" s="80">
        <f>IF(ISNUMBER(B982),IF(AND(INDEX(CFG_WDAYS,WEEKDAY(INT(B982),2))="Sí",IF(D982="proMX",COUNTIFS(FER_F,INT(B982),FER_NLP,"Sí"),COUNTIFS(FER_F,INT(B982),FER_NLM,"Sí"))=0),1,0),0)</f>
        <v>0</v>
      </c>
      <c r="AI982" s="80">
        <f>IF(AC982=1,IF(AND(INDEX(CFG_WDAYS,WEEKDAY(INT(B982)+1,2))="Sí",IF(D982="proMX",COUNTIFS(FER_F,INT(B982)+1,FER_NLP,"Sí"),COUNTIFS(FER_F,INT(B982)+1,FER_NLM,"Sí"))=0),1,0),0)</f>
        <v>0</v>
      </c>
      <c r="AJ982" s="80">
        <f>IF(AC982=1,1440-Z982,AD982)</f>
        <v>0</v>
      </c>
      <c r="AK982" s="80">
        <f>IF(AND(AB982=1,AH982=1),MAX(0,MIN(IF(AC982=1,1440,AA982),CFG_WEM)-MAX(Z982,CFG_WSM)),0)</f>
        <v>0</v>
      </c>
      <c r="AL982" s="80">
        <f>IF(AND(AC982=1,AI982=1),MAX(0,MIN(AA982,CFG_WEM)-CFG_WSM),0)</f>
        <v>0</v>
      </c>
      <c r="AM982" s="80">
        <f>AK982+AL982</f>
        <v>0</v>
      </c>
      <c r="AN982" s="80">
        <f>IF(CFG_BRK="Proporcional",IF(AD982=0,0,AF982*AM982/AD982),IF(CFG_BRK="Extras primero",MIN(AM982,MAX(0,AF982-(AD982-AM982))),MIN(AF982,AM982)))</f>
        <v>0</v>
      </c>
      <c r="AO982" s="80">
        <f>AF982-AN982</f>
        <v>0</v>
      </c>
      <c r="AP982" s="80">
        <f>AM982-AN982</f>
        <v>0</v>
      </c>
      <c r="AQ982" s="80">
        <f>AD982-AM982-AO982</f>
        <v>0</v>
      </c>
      <c r="AR982" s="80">
        <f>IF(AM982=0,0,AK982-AN982*AK982/AM982)</f>
        <v>0</v>
      </c>
      <c r="AS982" s="80">
        <f>IF(AD982-AM982=0,0,(AJ982-AK982)-AO982*(AJ982-AK982)/(AD982-AM982))</f>
        <v>0</v>
      </c>
      <c r="AT982" s="80" t="str">
        <f>IF(AC982=1,INT(B982)+1,"")</f>
        <v/>
      </c>
      <c r="AU982" s="80">
        <f>IF(AND(D982="proMX",R982="Cancelled"),0,1)</f>
        <v>1</v>
      </c>
      <c r="AV982" s="80">
        <f>IF(AND(AB982=1,AU982=1),IF(COUNTIFS($D$5:D981,D982,$B$5:B981,B982,$Z$5:Z981,Z982,$AA$5:AA981,AA982,$F$5:F981,F982&amp;"",$AU$5:AU981,1)&gt;0,1,0),0)</f>
        <v>0</v>
      </c>
      <c r="AW982" s="80" t="str">
        <f>IF(AB982=1,INT(B982)*1440+Z982,"")</f>
        <v/>
      </c>
      <c r="AX982" s="80" t="str">
        <f>IF(AB982=1,AW982+AD982,"")</f>
        <v/>
      </c>
      <c r="AY982" s="80">
        <f>IF(AND(AB982=1,AV982=0,AU982=1),1,0)</f>
        <v>0</v>
      </c>
      <c r="AZ982" s="80">
        <f>IF(AY982=1,COUNTIFS(R_Emp,D982,R_SAbs,"&lt;"&amp;AX982,R_EAbs,"&gt;"&amp;AW982,R_OKey,1)-1,0)</f>
        <v>0</v>
      </c>
      <c r="BA982" s="80">
        <f>IF(AY982=1,COUNTIFS(R_Emp,"&lt;&gt;"&amp;D982,R_SAbs,"&lt;"&amp;AX982,R_EAbs,"&gt;"&amp;AW982,R_OKey,1),0)</f>
        <v>0</v>
      </c>
      <c r="BB982" s="80">
        <f>IF(AND(AB982=1,D982="proMX"),IF(AND(MOD(Z982,CFG_BLK)=0,MOD(AA982,CFG_BLK)=0,MOD(AG982,CFG_BLK)=0,AG982&gt;0),1,0),1)</f>
        <v>1</v>
      </c>
      <c r="BC982" s="80" t="str">
        <f>IF(Y982=0,"",IF(NOT(ISNUMBER(B982)),"Falta fecha o fecha inválida",IF(D982="","Falta empresa",IF(AND(D982&lt;&gt;"Malcolm",D982&lt;&gt;"proMX"),"Empresa inválida",IF(OR(INT(B982)&lt;CFG_PSTART,INT(B982)&gt;CFG_PEND),"Fecha fuera del período",IF(OR(NOT(ISNUMBER(Z982)),NOT(ISNUMBER(AA982))),"Falta hora inicio/fin o formato inválido",IF(AB982=0,"Hora inicio = hora fin",IF(AE982&lt;0,"Descanso inválido",IF(AE982&gt;=AD982,"Descanso ≥ duración",IF(AV982=1,"Registro duplicado",IF(AZ982&gt;0,"Se superpone con otro registro "&amp;D982,IF(BB982=0,"inicio, fin y duración neta deben ser múltiplos de "&amp;CFG_BLK&amp;" min",""))))))))))))</f>
        <v/>
      </c>
      <c r="BD982" s="80">
        <f>IF(AND(Y982=1,BC982=""),1,0)</f>
        <v>0</v>
      </c>
      <c r="BE982" s="80">
        <f>IF(AND(BD982=1,AU982=1),1,0)</f>
        <v>0</v>
      </c>
      <c r="BF982" s="80" t="str">
        <f>IF(AND(D982="proMX",BD982=1),IF(R982="","Draft",R982),"")</f>
        <v/>
      </c>
      <c r="BG982" s="80">
        <f>IF(BD982=1,ROUND(AG982/60,6),0)</f>
        <v>0</v>
      </c>
      <c r="BH982" s="80">
        <f>IF(BE982=1,ROUND(AG982/60,6),0)</f>
        <v>0</v>
      </c>
      <c r="BI982" s="80">
        <f>IF(BE982=1,ROUND(AP982/60,6),0)</f>
        <v>0</v>
      </c>
      <c r="BJ982" s="80">
        <f>IF(BE982=1,ROUND(AQ982/60,6),0)</f>
        <v>0</v>
      </c>
      <c r="BK982" s="80">
        <f>IF(BE982=1,ROUND((AR982+AS982)/60,6),0)</f>
        <v>0</v>
      </c>
      <c r="BL982" s="80">
        <f>ROUND(BH982-BK982,6)</f>
        <v>0</v>
      </c>
      <c r="BM982" s="80">
        <f>IF(BE982=1,ROUND(AR982/60,6),0)</f>
        <v>0</v>
      </c>
      <c r="BN982" s="80">
        <f>ROUND(BI982-BM982,6)</f>
        <v>0</v>
      </c>
      <c r="BO982" s="80">
        <f>IF(BE982=1,ROUND(AS982/60,6),0)</f>
        <v>0</v>
      </c>
      <c r="BP982" s="80">
        <f>ROUND(BJ982-BO982,6)</f>
        <v>0</v>
      </c>
      <c r="BQ982" s="80">
        <f>IF(BE982=1,AW982,0)</f>
        <v>0</v>
      </c>
      <c r="BR982" s="80">
        <f>IF(BE982=1,AX982,0)</f>
        <v>0</v>
      </c>
      <c r="BS982" s="80">
        <f>IF(AND(BE982=1,D982="Malcolm",BA982&gt;0),MIN(BH982,SUMPRODUCT((R_Emp="proMX")*(R_EN&gt;0)*((R_EN-(R_EN&gt;BR982)*(R_EN-BR982))&gt;(R_SN+(R_SN&lt;BQ982)*(BQ982-R_SN)))*((R_EN-(R_EN&gt;BR982)*(R_EN-BR982))-(R_SN+(R_SN&lt;BQ982)*(BQ982-R_SN))))/60),0)</f>
        <v>0</v>
      </c>
      <c r="BT982" s="80">
        <f>IF(AND(BE982=1,D982="proMX"),ROUND(BI982*CFG_RATE+BJ982*CFG_OTRATE,6),0)</f>
        <v>0</v>
      </c>
      <c r="BU982" s="80">
        <f>IF(AND(BD982=1,D982="proMX"),ROUND(AG982/CFG_BLK,6),0)</f>
        <v>0</v>
      </c>
      <c r="BV982" s="80" t="str">
        <f>IF(BF982="Approved",IF(ISNUMBER(T982),INT(T982),INT(B982)),"")</f>
        <v/>
      </c>
      <c r="BW982" s="80">
        <f>IF(ISNUMBER(B982),IF(DB_MON="Todos",1,IF(AND(INT(B982)&gt;=DB_MS,INT(B982)&lt;=DB_ME),1,0)),0)</f>
        <v>0</v>
      </c>
      <c r="BX982" s="80">
        <f>IF(DB_PROJ="Todos",1,IF(E982&amp;""=DB_PROJ&amp;"",1,0))</f>
        <v>1</v>
      </c>
      <c r="BY982" s="80">
        <f>BW982*BX982</f>
        <v>0</v>
      </c>
      <c r="BZ982" s="80" t="str">
        <f>IF(Y982=1,F982&amp;IF(AND(F982&amp;""&lt;&gt;"",E982&amp;""&lt;&gt;"")," · ","")&amp;E982,"")</f>
        <v/>
      </c>
      <c r="CA982" s="80" t="str">
        <f>IF(AND(BD982=1,E982&amp;""&lt;&gt;""),IF(COUNTIFS($E$5:E981,E982,$BD$5:BD981,1)=0,MAX($CA$5:CA981)+1,""),"")</f>
        <v/>
      </c>
      <c r="CB982" s="80" t="str">
        <f>IF(AND(BE982=1,D982="Malcolm",E982&amp;""&lt;&gt;""),IF(COUNTIFS($D$5:D981,"Malcolm",$E$5:E981,E982,$BE$5:BE981,1)=0,MAX($CB$5:CB981)+1,""),"")</f>
        <v/>
      </c>
      <c r="CC982" s="80" t="str">
        <f>IF(AND(BD982=1,D982="proMX",E982&amp;""&lt;&gt;""),IF(COUNTIFS($D$5:D981,"proMX",$E$5:E981,E982,$BD$5:BD981,1)=0,MAX($CC$5:CC981)+1,""),"")</f>
        <v/>
      </c>
      <c r="CD982" s="80" t="str">
        <f>IF(AND(BE982=1,D982="Malcolm",F982&amp;""&lt;&gt;""),IF(COUNTIFS($D$5:D981,"Malcolm",$F$5:F981,F982,$BE$5:BE981,1)=0,MAX($CD$5:CD981)+1,""),"")</f>
        <v/>
      </c>
      <c r="CE982" s="80" t="str">
        <f>IF(AND(BD982=1,D982="proMX",F982&amp;""&lt;&gt;""),IF(COUNTIFS($D$5:D981,"proMX",$F$5:F981,F982,$BD$5:BD981,1)=0,MAX($CE$5:CE981)+1,""),"")</f>
        <v/>
      </c>
      <c r="CF982" s="80" t="str">
        <f>IF(AND(D982="proMX",BD982=1),IF(OR(BF982="Draft",BF982="Submitted",BF982="Returned",BF982="Recall Requested"),MAX($CF$5:CF981)+1,""),"")</f>
        <v/>
      </c>
      <c r="CG982" s="80">
        <f>IF(BD982=0,0,IF(D982="Malcolm",1,MATCH(BF982,{"Draft","Submitted","Approved","Returned","Recall Requested","Cancelled"},0)+1))</f>
        <v>0</v>
      </c>
      <c r="CH982" s="80">
        <f>IF(AND(BF982="Submitted",ISNUMBER(V982)),IF(V982&gt;CFG_MAXD,1,0),0)</f>
        <v>0</v>
      </c>
    </row>
    <row r="983">
      <c r="A983" s="71" t="str">
        <f>IF(Y983=1,ROW()-5,"")</f>
        <v/>
      </c>
      <c r="B983" s="72" t="n"/>
      <c r="C983" s="71" t="str">
        <f>IF(ISNUMBER(B983),CHOOSE(WEEKDAY(B983,2),"Lun","Mar","Mié","Jue","Vie","Sáb","Dom"),"")</f>
        <v/>
      </c>
      <c r="D983" s="73" t="n"/>
      <c r="E983" s="74" t="n"/>
      <c r="F983" s="74" t="n"/>
      <c r="G983" s="74" t="n"/>
      <c r="H983" s="75" t="n"/>
      <c r="I983" s="75" t="n"/>
      <c r="J983" s="76" t="n"/>
      <c r="K983" s="77" t="str">
        <f>IF(AB983=1,ROUND(AG983/60,4),"")</f>
        <v/>
      </c>
      <c r="L983" s="77" t="str">
        <f>IF(BD983=1,ROUND(AP983/60,4),"")</f>
        <v/>
      </c>
      <c r="M983" s="77" t="str">
        <f>IF(BD983=1,ROUND(AQ983/60,4),"")</f>
        <v/>
      </c>
      <c r="N983" s="71" t="str">
        <f>IF(AND(D983="proMX",AB983=1),ROUND(AG983/CFG_BLK,2),"")</f>
        <v/>
      </c>
      <c r="O983" s="77" t="str">
        <f>IF(D983="proMX",IF(BD983=1,ROUND(AG983/60,4),0),"")</f>
        <v/>
      </c>
      <c r="P983" s="78" t="str">
        <f>IF(Y983=0,"",IF(BD983=1,"OK",IF(D983="proMX","Revisar bloques: ","Revisar: ")&amp;BC983))</f>
        <v/>
      </c>
      <c r="Q983" s="78" t="str">
        <f>IF(NOT(ISNUMBER(B983)),"",IF(COUNTIFS(FER_F,INT(B983))&gt;0,"Feriado"&amp;IF(AH983=1," (laborable)"," (no laborable)"),IF(AH983=1,"Laborable",IF(WEEKDAY(B983,2)&gt;5,"Fin de semana","No laborable"))))</f>
        <v/>
      </c>
      <c r="R983" s="73" t="n"/>
      <c r="S983" s="72" t="n"/>
      <c r="T983" s="72" t="n"/>
      <c r="U983" s="74" t="n"/>
      <c r="V983" s="79" t="str">
        <f>IF(AND(D983="proMX",OR(R983="Submitted",R983="Recall Requested"),ISNUMBER(S983)),CFG_TODAY-INT(S983),"")</f>
        <v/>
      </c>
      <c r="W983" s="78" t="str">
        <f>IF(BD983=0,"",IF(BA983&gt;0,"⚠ Se superpone con un registro de la otra empresa",IF(D983="Malcolm",IF(COUNTA(R983,S983,T983)&gt;0,"Estado/fechas proMX se ignoran en Malcolm",""),IF(BF983="Cancelled","Cancelado: excluido de totales",IF(R983="","Sin estado: se trata como Draft",IF(BF983="Submitted",IF(ISNUMBER(V983),IF(V983&gt;CFG_MAXD,"⚠ "&amp;V983&amp;" días en Submitted (máx. "&amp;CFG_MAXD&amp;")",""),"Falta fecha de envío"),IF(BF983="Returned","⚠ Devuelto: corregir y reenviar",IF(BF983="Recall Requested","Retirada solicitada: pendiente",IF(AND(BF983="Approved",NOT(ISNUMBER(T983))),"Falta fecha de aprobación",IF(AND(ISNUMBER(S983),ISNUMBER(T983),T983&lt;S983),"Aprobación anterior al envío","")))))))))</f>
        <v/>
      </c>
      <c r="Y983" s="80">
        <f>IF(COUNTA(B983,D983,E983,F983,G983,H983,I983,J983,R983,S983,T983)&gt;0,1,0)</f>
        <v>0</v>
      </c>
      <c r="Z983" s="80" t="str">
        <f>IF(AND(ISNUMBER(H983),H983&gt;=0,H983&lt;1),ROUND(H983*1440,0),"")</f>
        <v/>
      </c>
      <c r="AA983" s="80" t="str">
        <f>IF(AND(ISNUMBER(I983),I983&gt;=0,I983&lt;1),ROUND(I983*1440,0),"")</f>
        <v/>
      </c>
      <c r="AB983" s="80">
        <f>IF(AND(ISNUMBER(B983),D983&lt;&gt;"",ISNUMBER(Z983),ISNUMBER(AA983)),IF(Z983=AA983,0,1),0)</f>
        <v>0</v>
      </c>
      <c r="AC983" s="80">
        <f>IF(AB983=1,IF(AA983&lt;Z983,1,0),0)</f>
        <v>0</v>
      </c>
      <c r="AD983" s="80">
        <f>IF(AB983=1,IF(AC983=1,1440-Z983+AA983,AA983-Z983),0)</f>
        <v>0</v>
      </c>
      <c r="AE983" s="80">
        <f>IF(J983="",0,IF(ISNUMBER(J983),J983,-1))</f>
        <v>0</v>
      </c>
      <c r="AF983" s="80">
        <f>MIN(MAX(0,AE983),AD983)</f>
        <v>0</v>
      </c>
      <c r="AG983" s="80">
        <f>MAX(0,AD983-MAX(0,AE983))</f>
        <v>0</v>
      </c>
      <c r="AH983" s="80">
        <f>IF(ISNUMBER(B983),IF(AND(INDEX(CFG_WDAYS,WEEKDAY(INT(B983),2))="Sí",IF(D983="proMX",COUNTIFS(FER_F,INT(B983),FER_NLP,"Sí"),COUNTIFS(FER_F,INT(B983),FER_NLM,"Sí"))=0),1,0),0)</f>
        <v>0</v>
      </c>
      <c r="AI983" s="80">
        <f>IF(AC983=1,IF(AND(INDEX(CFG_WDAYS,WEEKDAY(INT(B983)+1,2))="Sí",IF(D983="proMX",COUNTIFS(FER_F,INT(B983)+1,FER_NLP,"Sí"),COUNTIFS(FER_F,INT(B983)+1,FER_NLM,"Sí"))=0),1,0),0)</f>
        <v>0</v>
      </c>
      <c r="AJ983" s="80">
        <f>IF(AC983=1,1440-Z983,AD983)</f>
        <v>0</v>
      </c>
      <c r="AK983" s="80">
        <f>IF(AND(AB983=1,AH983=1),MAX(0,MIN(IF(AC983=1,1440,AA983),CFG_WEM)-MAX(Z983,CFG_WSM)),0)</f>
        <v>0</v>
      </c>
      <c r="AL983" s="80">
        <f>IF(AND(AC983=1,AI983=1),MAX(0,MIN(AA983,CFG_WEM)-CFG_WSM),0)</f>
        <v>0</v>
      </c>
      <c r="AM983" s="80">
        <f>AK983+AL983</f>
        <v>0</v>
      </c>
      <c r="AN983" s="80">
        <f>IF(CFG_BRK="Proporcional",IF(AD983=0,0,AF983*AM983/AD983),IF(CFG_BRK="Extras primero",MIN(AM983,MAX(0,AF983-(AD983-AM983))),MIN(AF983,AM983)))</f>
        <v>0</v>
      </c>
      <c r="AO983" s="80">
        <f>AF983-AN983</f>
        <v>0</v>
      </c>
      <c r="AP983" s="80">
        <f>AM983-AN983</f>
        <v>0</v>
      </c>
      <c r="AQ983" s="80">
        <f>AD983-AM983-AO983</f>
        <v>0</v>
      </c>
      <c r="AR983" s="80">
        <f>IF(AM983=0,0,AK983-AN983*AK983/AM983)</f>
        <v>0</v>
      </c>
      <c r="AS983" s="80">
        <f>IF(AD983-AM983=0,0,(AJ983-AK983)-AO983*(AJ983-AK983)/(AD983-AM983))</f>
        <v>0</v>
      </c>
      <c r="AT983" s="80" t="str">
        <f>IF(AC983=1,INT(B983)+1,"")</f>
        <v/>
      </c>
      <c r="AU983" s="80">
        <f>IF(AND(D983="proMX",R983="Cancelled"),0,1)</f>
        <v>1</v>
      </c>
      <c r="AV983" s="80">
        <f>IF(AND(AB983=1,AU983=1),IF(COUNTIFS($D$5:D982,D983,$B$5:B982,B983,$Z$5:Z982,Z983,$AA$5:AA982,AA983,$F$5:F982,F983&amp;"",$AU$5:AU982,1)&gt;0,1,0),0)</f>
        <v>0</v>
      </c>
      <c r="AW983" s="80" t="str">
        <f>IF(AB983=1,INT(B983)*1440+Z983,"")</f>
        <v/>
      </c>
      <c r="AX983" s="80" t="str">
        <f>IF(AB983=1,AW983+AD983,"")</f>
        <v/>
      </c>
      <c r="AY983" s="80">
        <f>IF(AND(AB983=1,AV983=0,AU983=1),1,0)</f>
        <v>0</v>
      </c>
      <c r="AZ983" s="80">
        <f>IF(AY983=1,COUNTIFS(R_Emp,D983,R_SAbs,"&lt;"&amp;AX983,R_EAbs,"&gt;"&amp;AW983,R_OKey,1)-1,0)</f>
        <v>0</v>
      </c>
      <c r="BA983" s="80">
        <f>IF(AY983=1,COUNTIFS(R_Emp,"&lt;&gt;"&amp;D983,R_SAbs,"&lt;"&amp;AX983,R_EAbs,"&gt;"&amp;AW983,R_OKey,1),0)</f>
        <v>0</v>
      </c>
      <c r="BB983" s="80">
        <f>IF(AND(AB983=1,D983="proMX"),IF(AND(MOD(Z983,CFG_BLK)=0,MOD(AA983,CFG_BLK)=0,MOD(AG983,CFG_BLK)=0,AG983&gt;0),1,0),1)</f>
        <v>1</v>
      </c>
      <c r="BC983" s="80" t="str">
        <f>IF(Y983=0,"",IF(NOT(ISNUMBER(B983)),"Falta fecha o fecha inválida",IF(D983="","Falta empresa",IF(AND(D983&lt;&gt;"Malcolm",D983&lt;&gt;"proMX"),"Empresa inválida",IF(OR(INT(B983)&lt;CFG_PSTART,INT(B983)&gt;CFG_PEND),"Fecha fuera del período",IF(OR(NOT(ISNUMBER(Z983)),NOT(ISNUMBER(AA983))),"Falta hora inicio/fin o formato inválido",IF(AB983=0,"Hora inicio = hora fin",IF(AE983&lt;0,"Descanso inválido",IF(AE983&gt;=AD983,"Descanso ≥ duración",IF(AV983=1,"Registro duplicado",IF(AZ983&gt;0,"Se superpone con otro registro "&amp;D983,IF(BB983=0,"inicio, fin y duración neta deben ser múltiplos de "&amp;CFG_BLK&amp;" min",""))))))))))))</f>
        <v/>
      </c>
      <c r="BD983" s="80">
        <f>IF(AND(Y983=1,BC983=""),1,0)</f>
        <v>0</v>
      </c>
      <c r="BE983" s="80">
        <f>IF(AND(BD983=1,AU983=1),1,0)</f>
        <v>0</v>
      </c>
      <c r="BF983" s="80" t="str">
        <f>IF(AND(D983="proMX",BD983=1),IF(R983="","Draft",R983),"")</f>
        <v/>
      </c>
      <c r="BG983" s="80">
        <f>IF(BD983=1,ROUND(AG983/60,6),0)</f>
        <v>0</v>
      </c>
      <c r="BH983" s="80">
        <f>IF(BE983=1,ROUND(AG983/60,6),0)</f>
        <v>0</v>
      </c>
      <c r="BI983" s="80">
        <f>IF(BE983=1,ROUND(AP983/60,6),0)</f>
        <v>0</v>
      </c>
      <c r="BJ983" s="80">
        <f>IF(BE983=1,ROUND(AQ983/60,6),0)</f>
        <v>0</v>
      </c>
      <c r="BK983" s="80">
        <f>IF(BE983=1,ROUND((AR983+AS983)/60,6),0)</f>
        <v>0</v>
      </c>
      <c r="BL983" s="80">
        <f>ROUND(BH983-BK983,6)</f>
        <v>0</v>
      </c>
      <c r="BM983" s="80">
        <f>IF(BE983=1,ROUND(AR983/60,6),0)</f>
        <v>0</v>
      </c>
      <c r="BN983" s="80">
        <f>ROUND(BI983-BM983,6)</f>
        <v>0</v>
      </c>
      <c r="BO983" s="80">
        <f>IF(BE983=1,ROUND(AS983/60,6),0)</f>
        <v>0</v>
      </c>
      <c r="BP983" s="80">
        <f>ROUND(BJ983-BO983,6)</f>
        <v>0</v>
      </c>
      <c r="BQ983" s="80">
        <f>IF(BE983=1,AW983,0)</f>
        <v>0</v>
      </c>
      <c r="BR983" s="80">
        <f>IF(BE983=1,AX983,0)</f>
        <v>0</v>
      </c>
      <c r="BS983" s="80">
        <f>IF(AND(BE983=1,D983="Malcolm",BA983&gt;0),MIN(BH983,SUMPRODUCT((R_Emp="proMX")*(R_EN&gt;0)*((R_EN-(R_EN&gt;BR983)*(R_EN-BR983))&gt;(R_SN+(R_SN&lt;BQ983)*(BQ983-R_SN)))*((R_EN-(R_EN&gt;BR983)*(R_EN-BR983))-(R_SN+(R_SN&lt;BQ983)*(BQ983-R_SN))))/60),0)</f>
        <v>0</v>
      </c>
      <c r="BT983" s="80">
        <f>IF(AND(BE983=1,D983="proMX"),ROUND(BI983*CFG_RATE+BJ983*CFG_OTRATE,6),0)</f>
        <v>0</v>
      </c>
      <c r="BU983" s="80">
        <f>IF(AND(BD983=1,D983="proMX"),ROUND(AG983/CFG_BLK,6),0)</f>
        <v>0</v>
      </c>
      <c r="BV983" s="80" t="str">
        <f>IF(BF983="Approved",IF(ISNUMBER(T983),INT(T983),INT(B983)),"")</f>
        <v/>
      </c>
      <c r="BW983" s="80">
        <f>IF(ISNUMBER(B983),IF(DB_MON="Todos",1,IF(AND(INT(B983)&gt;=DB_MS,INT(B983)&lt;=DB_ME),1,0)),0)</f>
        <v>0</v>
      </c>
      <c r="BX983" s="80">
        <f>IF(DB_PROJ="Todos",1,IF(E983&amp;""=DB_PROJ&amp;"",1,0))</f>
        <v>1</v>
      </c>
      <c r="BY983" s="80">
        <f>BW983*BX983</f>
        <v>0</v>
      </c>
      <c r="BZ983" s="80" t="str">
        <f>IF(Y983=1,F983&amp;IF(AND(F983&amp;""&lt;&gt;"",E983&amp;""&lt;&gt;"")," · ","")&amp;E983,"")</f>
        <v/>
      </c>
      <c r="CA983" s="80" t="str">
        <f>IF(AND(BD983=1,E983&amp;""&lt;&gt;""),IF(COUNTIFS($E$5:E982,E983,$BD$5:BD982,1)=0,MAX($CA$5:CA982)+1,""),"")</f>
        <v/>
      </c>
      <c r="CB983" s="80" t="str">
        <f>IF(AND(BE983=1,D983="Malcolm",E983&amp;""&lt;&gt;""),IF(COUNTIFS($D$5:D982,"Malcolm",$E$5:E982,E983,$BE$5:BE982,1)=0,MAX($CB$5:CB982)+1,""),"")</f>
        <v/>
      </c>
      <c r="CC983" s="80" t="str">
        <f>IF(AND(BD983=1,D983="proMX",E983&amp;""&lt;&gt;""),IF(COUNTIFS($D$5:D982,"proMX",$E$5:E982,E983,$BD$5:BD982,1)=0,MAX($CC$5:CC982)+1,""),"")</f>
        <v/>
      </c>
      <c r="CD983" s="80" t="str">
        <f>IF(AND(BE983=1,D983="Malcolm",F983&amp;""&lt;&gt;""),IF(COUNTIFS($D$5:D982,"Malcolm",$F$5:F982,F983,$BE$5:BE982,1)=0,MAX($CD$5:CD982)+1,""),"")</f>
        <v/>
      </c>
      <c r="CE983" s="80" t="str">
        <f>IF(AND(BD983=1,D983="proMX",F983&amp;""&lt;&gt;""),IF(COUNTIFS($D$5:D982,"proMX",$F$5:F982,F983,$BD$5:BD982,1)=0,MAX($CE$5:CE982)+1,""),"")</f>
        <v/>
      </c>
      <c r="CF983" s="80" t="str">
        <f>IF(AND(D983="proMX",BD983=1),IF(OR(BF983="Draft",BF983="Submitted",BF983="Returned",BF983="Recall Requested"),MAX($CF$5:CF982)+1,""),"")</f>
        <v/>
      </c>
      <c r="CG983" s="80">
        <f>IF(BD983=0,0,IF(D983="Malcolm",1,MATCH(BF983,{"Draft","Submitted","Approved","Returned","Recall Requested","Cancelled"},0)+1))</f>
        <v>0</v>
      </c>
      <c r="CH983" s="80">
        <f>IF(AND(BF983="Submitted",ISNUMBER(V983)),IF(V983&gt;CFG_MAXD,1,0),0)</f>
        <v>0</v>
      </c>
    </row>
    <row r="984">
      <c r="A984" s="71" t="str">
        <f>IF(Y984=1,ROW()-5,"")</f>
        <v/>
      </c>
      <c r="B984" s="72" t="n"/>
      <c r="C984" s="71" t="str">
        <f>IF(ISNUMBER(B984),CHOOSE(WEEKDAY(B984,2),"Lun","Mar","Mié","Jue","Vie","Sáb","Dom"),"")</f>
        <v/>
      </c>
      <c r="D984" s="73" t="n"/>
      <c r="E984" s="74" t="n"/>
      <c r="F984" s="74" t="n"/>
      <c r="G984" s="74" t="n"/>
      <c r="H984" s="75" t="n"/>
      <c r="I984" s="75" t="n"/>
      <c r="J984" s="76" t="n"/>
      <c r="K984" s="77" t="str">
        <f>IF(AB984=1,ROUND(AG984/60,4),"")</f>
        <v/>
      </c>
      <c r="L984" s="77" t="str">
        <f>IF(BD984=1,ROUND(AP984/60,4),"")</f>
        <v/>
      </c>
      <c r="M984" s="77" t="str">
        <f>IF(BD984=1,ROUND(AQ984/60,4),"")</f>
        <v/>
      </c>
      <c r="N984" s="71" t="str">
        <f>IF(AND(D984="proMX",AB984=1),ROUND(AG984/CFG_BLK,2),"")</f>
        <v/>
      </c>
      <c r="O984" s="77" t="str">
        <f>IF(D984="proMX",IF(BD984=1,ROUND(AG984/60,4),0),"")</f>
        <v/>
      </c>
      <c r="P984" s="78" t="str">
        <f>IF(Y984=0,"",IF(BD984=1,"OK",IF(D984="proMX","Revisar bloques: ","Revisar: ")&amp;BC984))</f>
        <v/>
      </c>
      <c r="Q984" s="78" t="str">
        <f>IF(NOT(ISNUMBER(B984)),"",IF(COUNTIFS(FER_F,INT(B984))&gt;0,"Feriado"&amp;IF(AH984=1," (laborable)"," (no laborable)"),IF(AH984=1,"Laborable",IF(WEEKDAY(B984,2)&gt;5,"Fin de semana","No laborable"))))</f>
        <v/>
      </c>
      <c r="R984" s="73" t="n"/>
      <c r="S984" s="72" t="n"/>
      <c r="T984" s="72" t="n"/>
      <c r="U984" s="74" t="n"/>
      <c r="V984" s="79" t="str">
        <f>IF(AND(D984="proMX",OR(R984="Submitted",R984="Recall Requested"),ISNUMBER(S984)),CFG_TODAY-INT(S984),"")</f>
        <v/>
      </c>
      <c r="W984" s="78" t="str">
        <f>IF(BD984=0,"",IF(BA984&gt;0,"⚠ Se superpone con un registro de la otra empresa",IF(D984="Malcolm",IF(COUNTA(R984,S984,T984)&gt;0,"Estado/fechas proMX se ignoran en Malcolm",""),IF(BF984="Cancelled","Cancelado: excluido de totales",IF(R984="","Sin estado: se trata como Draft",IF(BF984="Submitted",IF(ISNUMBER(V984),IF(V984&gt;CFG_MAXD,"⚠ "&amp;V984&amp;" días en Submitted (máx. "&amp;CFG_MAXD&amp;")",""),"Falta fecha de envío"),IF(BF984="Returned","⚠ Devuelto: corregir y reenviar",IF(BF984="Recall Requested","Retirada solicitada: pendiente",IF(AND(BF984="Approved",NOT(ISNUMBER(T984))),"Falta fecha de aprobación",IF(AND(ISNUMBER(S984),ISNUMBER(T984),T984&lt;S984),"Aprobación anterior al envío","")))))))))</f>
        <v/>
      </c>
      <c r="Y984" s="80">
        <f>IF(COUNTA(B984,D984,E984,F984,G984,H984,I984,J984,R984,S984,T984)&gt;0,1,0)</f>
        <v>0</v>
      </c>
      <c r="Z984" s="80" t="str">
        <f>IF(AND(ISNUMBER(H984),H984&gt;=0,H984&lt;1),ROUND(H984*1440,0),"")</f>
        <v/>
      </c>
      <c r="AA984" s="80" t="str">
        <f>IF(AND(ISNUMBER(I984),I984&gt;=0,I984&lt;1),ROUND(I984*1440,0),"")</f>
        <v/>
      </c>
      <c r="AB984" s="80">
        <f>IF(AND(ISNUMBER(B984),D984&lt;&gt;"",ISNUMBER(Z984),ISNUMBER(AA984)),IF(Z984=AA984,0,1),0)</f>
        <v>0</v>
      </c>
      <c r="AC984" s="80">
        <f>IF(AB984=1,IF(AA984&lt;Z984,1,0),0)</f>
        <v>0</v>
      </c>
      <c r="AD984" s="80">
        <f>IF(AB984=1,IF(AC984=1,1440-Z984+AA984,AA984-Z984),0)</f>
        <v>0</v>
      </c>
      <c r="AE984" s="80">
        <f>IF(J984="",0,IF(ISNUMBER(J984),J984,-1))</f>
        <v>0</v>
      </c>
      <c r="AF984" s="80">
        <f>MIN(MAX(0,AE984),AD984)</f>
        <v>0</v>
      </c>
      <c r="AG984" s="80">
        <f>MAX(0,AD984-MAX(0,AE984))</f>
        <v>0</v>
      </c>
      <c r="AH984" s="80">
        <f>IF(ISNUMBER(B984),IF(AND(INDEX(CFG_WDAYS,WEEKDAY(INT(B984),2))="Sí",IF(D984="proMX",COUNTIFS(FER_F,INT(B984),FER_NLP,"Sí"),COUNTIFS(FER_F,INT(B984),FER_NLM,"Sí"))=0),1,0),0)</f>
        <v>0</v>
      </c>
      <c r="AI984" s="80">
        <f>IF(AC984=1,IF(AND(INDEX(CFG_WDAYS,WEEKDAY(INT(B984)+1,2))="Sí",IF(D984="proMX",COUNTIFS(FER_F,INT(B984)+1,FER_NLP,"Sí"),COUNTIFS(FER_F,INT(B984)+1,FER_NLM,"Sí"))=0),1,0),0)</f>
        <v>0</v>
      </c>
      <c r="AJ984" s="80">
        <f>IF(AC984=1,1440-Z984,AD984)</f>
        <v>0</v>
      </c>
      <c r="AK984" s="80">
        <f>IF(AND(AB984=1,AH984=1),MAX(0,MIN(IF(AC984=1,1440,AA984),CFG_WEM)-MAX(Z984,CFG_WSM)),0)</f>
        <v>0</v>
      </c>
      <c r="AL984" s="80">
        <f>IF(AND(AC984=1,AI984=1),MAX(0,MIN(AA984,CFG_WEM)-CFG_WSM),0)</f>
        <v>0</v>
      </c>
      <c r="AM984" s="80">
        <f>AK984+AL984</f>
        <v>0</v>
      </c>
      <c r="AN984" s="80">
        <f>IF(CFG_BRK="Proporcional",IF(AD984=0,0,AF984*AM984/AD984),IF(CFG_BRK="Extras primero",MIN(AM984,MAX(0,AF984-(AD984-AM984))),MIN(AF984,AM984)))</f>
        <v>0</v>
      </c>
      <c r="AO984" s="80">
        <f>AF984-AN984</f>
        <v>0</v>
      </c>
      <c r="AP984" s="80">
        <f>AM984-AN984</f>
        <v>0</v>
      </c>
      <c r="AQ984" s="80">
        <f>AD984-AM984-AO984</f>
        <v>0</v>
      </c>
      <c r="AR984" s="80">
        <f>IF(AM984=0,0,AK984-AN984*AK984/AM984)</f>
        <v>0</v>
      </c>
      <c r="AS984" s="80">
        <f>IF(AD984-AM984=0,0,(AJ984-AK984)-AO984*(AJ984-AK984)/(AD984-AM984))</f>
        <v>0</v>
      </c>
      <c r="AT984" s="80" t="str">
        <f>IF(AC984=1,INT(B984)+1,"")</f>
        <v/>
      </c>
      <c r="AU984" s="80">
        <f>IF(AND(D984="proMX",R984="Cancelled"),0,1)</f>
        <v>1</v>
      </c>
      <c r="AV984" s="80">
        <f>IF(AND(AB984=1,AU984=1),IF(COUNTIFS($D$5:D983,D984,$B$5:B983,B984,$Z$5:Z983,Z984,$AA$5:AA983,AA984,$F$5:F983,F984&amp;"",$AU$5:AU983,1)&gt;0,1,0),0)</f>
        <v>0</v>
      </c>
      <c r="AW984" s="80" t="str">
        <f>IF(AB984=1,INT(B984)*1440+Z984,"")</f>
        <v/>
      </c>
      <c r="AX984" s="80" t="str">
        <f>IF(AB984=1,AW984+AD984,"")</f>
        <v/>
      </c>
      <c r="AY984" s="80">
        <f>IF(AND(AB984=1,AV984=0,AU984=1),1,0)</f>
        <v>0</v>
      </c>
      <c r="AZ984" s="80">
        <f>IF(AY984=1,COUNTIFS(R_Emp,D984,R_SAbs,"&lt;"&amp;AX984,R_EAbs,"&gt;"&amp;AW984,R_OKey,1)-1,0)</f>
        <v>0</v>
      </c>
      <c r="BA984" s="80">
        <f>IF(AY984=1,COUNTIFS(R_Emp,"&lt;&gt;"&amp;D984,R_SAbs,"&lt;"&amp;AX984,R_EAbs,"&gt;"&amp;AW984,R_OKey,1),0)</f>
        <v>0</v>
      </c>
      <c r="BB984" s="80">
        <f>IF(AND(AB984=1,D984="proMX"),IF(AND(MOD(Z984,CFG_BLK)=0,MOD(AA984,CFG_BLK)=0,MOD(AG984,CFG_BLK)=0,AG984&gt;0),1,0),1)</f>
        <v>1</v>
      </c>
      <c r="BC984" s="80" t="str">
        <f>IF(Y984=0,"",IF(NOT(ISNUMBER(B984)),"Falta fecha o fecha inválida",IF(D984="","Falta empresa",IF(AND(D984&lt;&gt;"Malcolm",D984&lt;&gt;"proMX"),"Empresa inválida",IF(OR(INT(B984)&lt;CFG_PSTART,INT(B984)&gt;CFG_PEND),"Fecha fuera del período",IF(OR(NOT(ISNUMBER(Z984)),NOT(ISNUMBER(AA984))),"Falta hora inicio/fin o formato inválido",IF(AB984=0,"Hora inicio = hora fin",IF(AE984&lt;0,"Descanso inválido",IF(AE984&gt;=AD984,"Descanso ≥ duración",IF(AV984=1,"Registro duplicado",IF(AZ984&gt;0,"Se superpone con otro registro "&amp;D984,IF(BB984=0,"inicio, fin y duración neta deben ser múltiplos de "&amp;CFG_BLK&amp;" min",""))))))))))))</f>
        <v/>
      </c>
      <c r="BD984" s="80">
        <f>IF(AND(Y984=1,BC984=""),1,0)</f>
        <v>0</v>
      </c>
      <c r="BE984" s="80">
        <f>IF(AND(BD984=1,AU984=1),1,0)</f>
        <v>0</v>
      </c>
      <c r="BF984" s="80" t="str">
        <f>IF(AND(D984="proMX",BD984=1),IF(R984="","Draft",R984),"")</f>
        <v/>
      </c>
      <c r="BG984" s="80">
        <f>IF(BD984=1,ROUND(AG984/60,6),0)</f>
        <v>0</v>
      </c>
      <c r="BH984" s="80">
        <f>IF(BE984=1,ROUND(AG984/60,6),0)</f>
        <v>0</v>
      </c>
      <c r="BI984" s="80">
        <f>IF(BE984=1,ROUND(AP984/60,6),0)</f>
        <v>0</v>
      </c>
      <c r="BJ984" s="80">
        <f>IF(BE984=1,ROUND(AQ984/60,6),0)</f>
        <v>0</v>
      </c>
      <c r="BK984" s="80">
        <f>IF(BE984=1,ROUND((AR984+AS984)/60,6),0)</f>
        <v>0</v>
      </c>
      <c r="BL984" s="80">
        <f>ROUND(BH984-BK984,6)</f>
        <v>0</v>
      </c>
      <c r="BM984" s="80">
        <f>IF(BE984=1,ROUND(AR984/60,6),0)</f>
        <v>0</v>
      </c>
      <c r="BN984" s="80">
        <f>ROUND(BI984-BM984,6)</f>
        <v>0</v>
      </c>
      <c r="BO984" s="80">
        <f>IF(BE984=1,ROUND(AS984/60,6),0)</f>
        <v>0</v>
      </c>
      <c r="BP984" s="80">
        <f>ROUND(BJ984-BO984,6)</f>
        <v>0</v>
      </c>
      <c r="BQ984" s="80">
        <f>IF(BE984=1,AW984,0)</f>
        <v>0</v>
      </c>
      <c r="BR984" s="80">
        <f>IF(BE984=1,AX984,0)</f>
        <v>0</v>
      </c>
      <c r="BS984" s="80">
        <f>IF(AND(BE984=1,D984="Malcolm",BA984&gt;0),MIN(BH984,SUMPRODUCT((R_Emp="proMX")*(R_EN&gt;0)*((R_EN-(R_EN&gt;BR984)*(R_EN-BR984))&gt;(R_SN+(R_SN&lt;BQ984)*(BQ984-R_SN)))*((R_EN-(R_EN&gt;BR984)*(R_EN-BR984))-(R_SN+(R_SN&lt;BQ984)*(BQ984-R_SN))))/60),0)</f>
        <v>0</v>
      </c>
      <c r="BT984" s="80">
        <f>IF(AND(BE984=1,D984="proMX"),ROUND(BI984*CFG_RATE+BJ984*CFG_OTRATE,6),0)</f>
        <v>0</v>
      </c>
      <c r="BU984" s="80">
        <f>IF(AND(BD984=1,D984="proMX"),ROUND(AG984/CFG_BLK,6),0)</f>
        <v>0</v>
      </c>
      <c r="BV984" s="80" t="str">
        <f>IF(BF984="Approved",IF(ISNUMBER(T984),INT(T984),INT(B984)),"")</f>
        <v/>
      </c>
      <c r="BW984" s="80">
        <f>IF(ISNUMBER(B984),IF(DB_MON="Todos",1,IF(AND(INT(B984)&gt;=DB_MS,INT(B984)&lt;=DB_ME),1,0)),0)</f>
        <v>0</v>
      </c>
      <c r="BX984" s="80">
        <f>IF(DB_PROJ="Todos",1,IF(E984&amp;""=DB_PROJ&amp;"",1,0))</f>
        <v>1</v>
      </c>
      <c r="BY984" s="80">
        <f>BW984*BX984</f>
        <v>0</v>
      </c>
      <c r="BZ984" s="80" t="str">
        <f>IF(Y984=1,F984&amp;IF(AND(F984&amp;""&lt;&gt;"",E984&amp;""&lt;&gt;"")," · ","")&amp;E984,"")</f>
        <v/>
      </c>
      <c r="CA984" s="80" t="str">
        <f>IF(AND(BD984=1,E984&amp;""&lt;&gt;""),IF(COUNTIFS($E$5:E983,E984,$BD$5:BD983,1)=0,MAX($CA$5:CA983)+1,""),"")</f>
        <v/>
      </c>
      <c r="CB984" s="80" t="str">
        <f>IF(AND(BE984=1,D984="Malcolm",E984&amp;""&lt;&gt;""),IF(COUNTIFS($D$5:D983,"Malcolm",$E$5:E983,E984,$BE$5:BE983,1)=0,MAX($CB$5:CB983)+1,""),"")</f>
        <v/>
      </c>
      <c r="CC984" s="80" t="str">
        <f>IF(AND(BD984=1,D984="proMX",E984&amp;""&lt;&gt;""),IF(COUNTIFS($D$5:D983,"proMX",$E$5:E983,E984,$BD$5:BD983,1)=0,MAX($CC$5:CC983)+1,""),"")</f>
        <v/>
      </c>
      <c r="CD984" s="80" t="str">
        <f>IF(AND(BE984=1,D984="Malcolm",F984&amp;""&lt;&gt;""),IF(COUNTIFS($D$5:D983,"Malcolm",$F$5:F983,F984,$BE$5:BE983,1)=0,MAX($CD$5:CD983)+1,""),"")</f>
        <v/>
      </c>
      <c r="CE984" s="80" t="str">
        <f>IF(AND(BD984=1,D984="proMX",F984&amp;""&lt;&gt;""),IF(COUNTIFS($D$5:D983,"proMX",$F$5:F983,F984,$BD$5:BD983,1)=0,MAX($CE$5:CE983)+1,""),"")</f>
        <v/>
      </c>
      <c r="CF984" s="80" t="str">
        <f>IF(AND(D984="proMX",BD984=1),IF(OR(BF984="Draft",BF984="Submitted",BF984="Returned",BF984="Recall Requested"),MAX($CF$5:CF983)+1,""),"")</f>
        <v/>
      </c>
      <c r="CG984" s="80">
        <f>IF(BD984=0,0,IF(D984="Malcolm",1,MATCH(BF984,{"Draft","Submitted","Approved","Returned","Recall Requested","Cancelled"},0)+1))</f>
        <v>0</v>
      </c>
      <c r="CH984" s="80">
        <f>IF(AND(BF984="Submitted",ISNUMBER(V984)),IF(V984&gt;CFG_MAXD,1,0),0)</f>
        <v>0</v>
      </c>
    </row>
    <row r="985">
      <c r="A985" s="71" t="str">
        <f>IF(Y985=1,ROW()-5,"")</f>
        <v/>
      </c>
      <c r="B985" s="72" t="n"/>
      <c r="C985" s="71" t="str">
        <f>IF(ISNUMBER(B985),CHOOSE(WEEKDAY(B985,2),"Lun","Mar","Mié","Jue","Vie","Sáb","Dom"),"")</f>
        <v/>
      </c>
      <c r="D985" s="73" t="n"/>
      <c r="E985" s="74" t="n"/>
      <c r="F985" s="74" t="n"/>
      <c r="G985" s="74" t="n"/>
      <c r="H985" s="75" t="n"/>
      <c r="I985" s="75" t="n"/>
      <c r="J985" s="76" t="n"/>
      <c r="K985" s="77" t="str">
        <f>IF(AB985=1,ROUND(AG985/60,4),"")</f>
        <v/>
      </c>
      <c r="L985" s="77" t="str">
        <f>IF(BD985=1,ROUND(AP985/60,4),"")</f>
        <v/>
      </c>
      <c r="M985" s="77" t="str">
        <f>IF(BD985=1,ROUND(AQ985/60,4),"")</f>
        <v/>
      </c>
      <c r="N985" s="71" t="str">
        <f>IF(AND(D985="proMX",AB985=1),ROUND(AG985/CFG_BLK,2),"")</f>
        <v/>
      </c>
      <c r="O985" s="77" t="str">
        <f>IF(D985="proMX",IF(BD985=1,ROUND(AG985/60,4),0),"")</f>
        <v/>
      </c>
      <c r="P985" s="78" t="str">
        <f>IF(Y985=0,"",IF(BD985=1,"OK",IF(D985="proMX","Revisar bloques: ","Revisar: ")&amp;BC985))</f>
        <v/>
      </c>
      <c r="Q985" s="78" t="str">
        <f>IF(NOT(ISNUMBER(B985)),"",IF(COUNTIFS(FER_F,INT(B985))&gt;0,"Feriado"&amp;IF(AH985=1," (laborable)"," (no laborable)"),IF(AH985=1,"Laborable",IF(WEEKDAY(B985,2)&gt;5,"Fin de semana","No laborable"))))</f>
        <v/>
      </c>
      <c r="R985" s="73" t="n"/>
      <c r="S985" s="72" t="n"/>
      <c r="T985" s="72" t="n"/>
      <c r="U985" s="74" t="n"/>
      <c r="V985" s="79" t="str">
        <f>IF(AND(D985="proMX",OR(R985="Submitted",R985="Recall Requested"),ISNUMBER(S985)),CFG_TODAY-INT(S985),"")</f>
        <v/>
      </c>
      <c r="W985" s="78" t="str">
        <f>IF(BD985=0,"",IF(BA985&gt;0,"⚠ Se superpone con un registro de la otra empresa",IF(D985="Malcolm",IF(COUNTA(R985,S985,T985)&gt;0,"Estado/fechas proMX se ignoran en Malcolm",""),IF(BF985="Cancelled","Cancelado: excluido de totales",IF(R985="","Sin estado: se trata como Draft",IF(BF985="Submitted",IF(ISNUMBER(V985),IF(V985&gt;CFG_MAXD,"⚠ "&amp;V985&amp;" días en Submitted (máx. "&amp;CFG_MAXD&amp;")",""),"Falta fecha de envío"),IF(BF985="Returned","⚠ Devuelto: corregir y reenviar",IF(BF985="Recall Requested","Retirada solicitada: pendiente",IF(AND(BF985="Approved",NOT(ISNUMBER(T985))),"Falta fecha de aprobación",IF(AND(ISNUMBER(S985),ISNUMBER(T985),T985&lt;S985),"Aprobación anterior al envío","")))))))))</f>
        <v/>
      </c>
      <c r="Y985" s="80">
        <f>IF(COUNTA(B985,D985,E985,F985,G985,H985,I985,J985,R985,S985,T985)&gt;0,1,0)</f>
        <v>0</v>
      </c>
      <c r="Z985" s="80" t="str">
        <f>IF(AND(ISNUMBER(H985),H985&gt;=0,H985&lt;1),ROUND(H985*1440,0),"")</f>
        <v/>
      </c>
      <c r="AA985" s="80" t="str">
        <f>IF(AND(ISNUMBER(I985),I985&gt;=0,I985&lt;1),ROUND(I985*1440,0),"")</f>
        <v/>
      </c>
      <c r="AB985" s="80">
        <f>IF(AND(ISNUMBER(B985),D985&lt;&gt;"",ISNUMBER(Z985),ISNUMBER(AA985)),IF(Z985=AA985,0,1),0)</f>
        <v>0</v>
      </c>
      <c r="AC985" s="80">
        <f>IF(AB985=1,IF(AA985&lt;Z985,1,0),0)</f>
        <v>0</v>
      </c>
      <c r="AD985" s="80">
        <f>IF(AB985=1,IF(AC985=1,1440-Z985+AA985,AA985-Z985),0)</f>
        <v>0</v>
      </c>
      <c r="AE985" s="80">
        <f>IF(J985="",0,IF(ISNUMBER(J985),J985,-1))</f>
        <v>0</v>
      </c>
      <c r="AF985" s="80">
        <f>MIN(MAX(0,AE985),AD985)</f>
        <v>0</v>
      </c>
      <c r="AG985" s="80">
        <f>MAX(0,AD985-MAX(0,AE985))</f>
        <v>0</v>
      </c>
      <c r="AH985" s="80">
        <f>IF(ISNUMBER(B985),IF(AND(INDEX(CFG_WDAYS,WEEKDAY(INT(B985),2))="Sí",IF(D985="proMX",COUNTIFS(FER_F,INT(B985),FER_NLP,"Sí"),COUNTIFS(FER_F,INT(B985),FER_NLM,"Sí"))=0),1,0),0)</f>
        <v>0</v>
      </c>
      <c r="AI985" s="80">
        <f>IF(AC985=1,IF(AND(INDEX(CFG_WDAYS,WEEKDAY(INT(B985)+1,2))="Sí",IF(D985="proMX",COUNTIFS(FER_F,INT(B985)+1,FER_NLP,"Sí"),COUNTIFS(FER_F,INT(B985)+1,FER_NLM,"Sí"))=0),1,0),0)</f>
        <v>0</v>
      </c>
      <c r="AJ985" s="80">
        <f>IF(AC985=1,1440-Z985,AD985)</f>
        <v>0</v>
      </c>
      <c r="AK985" s="80">
        <f>IF(AND(AB985=1,AH985=1),MAX(0,MIN(IF(AC985=1,1440,AA985),CFG_WEM)-MAX(Z985,CFG_WSM)),0)</f>
        <v>0</v>
      </c>
      <c r="AL985" s="80">
        <f>IF(AND(AC985=1,AI985=1),MAX(0,MIN(AA985,CFG_WEM)-CFG_WSM),0)</f>
        <v>0</v>
      </c>
      <c r="AM985" s="80">
        <f>AK985+AL985</f>
        <v>0</v>
      </c>
      <c r="AN985" s="80">
        <f>IF(CFG_BRK="Proporcional",IF(AD985=0,0,AF985*AM985/AD985),IF(CFG_BRK="Extras primero",MIN(AM985,MAX(0,AF985-(AD985-AM985))),MIN(AF985,AM985)))</f>
        <v>0</v>
      </c>
      <c r="AO985" s="80">
        <f>AF985-AN985</f>
        <v>0</v>
      </c>
      <c r="AP985" s="80">
        <f>AM985-AN985</f>
        <v>0</v>
      </c>
      <c r="AQ985" s="80">
        <f>AD985-AM985-AO985</f>
        <v>0</v>
      </c>
      <c r="AR985" s="80">
        <f>IF(AM985=0,0,AK985-AN985*AK985/AM985)</f>
        <v>0</v>
      </c>
      <c r="AS985" s="80">
        <f>IF(AD985-AM985=0,0,(AJ985-AK985)-AO985*(AJ985-AK985)/(AD985-AM985))</f>
        <v>0</v>
      </c>
      <c r="AT985" s="80" t="str">
        <f>IF(AC985=1,INT(B985)+1,"")</f>
        <v/>
      </c>
      <c r="AU985" s="80">
        <f>IF(AND(D985="proMX",R985="Cancelled"),0,1)</f>
        <v>1</v>
      </c>
      <c r="AV985" s="80">
        <f>IF(AND(AB985=1,AU985=1),IF(COUNTIFS($D$5:D984,D985,$B$5:B984,B985,$Z$5:Z984,Z985,$AA$5:AA984,AA985,$F$5:F984,F985&amp;"",$AU$5:AU984,1)&gt;0,1,0),0)</f>
        <v>0</v>
      </c>
      <c r="AW985" s="80" t="str">
        <f>IF(AB985=1,INT(B985)*1440+Z985,"")</f>
        <v/>
      </c>
      <c r="AX985" s="80" t="str">
        <f>IF(AB985=1,AW985+AD985,"")</f>
        <v/>
      </c>
      <c r="AY985" s="80">
        <f>IF(AND(AB985=1,AV985=0,AU985=1),1,0)</f>
        <v>0</v>
      </c>
      <c r="AZ985" s="80">
        <f>IF(AY985=1,COUNTIFS(R_Emp,D985,R_SAbs,"&lt;"&amp;AX985,R_EAbs,"&gt;"&amp;AW985,R_OKey,1)-1,0)</f>
        <v>0</v>
      </c>
      <c r="BA985" s="80">
        <f>IF(AY985=1,COUNTIFS(R_Emp,"&lt;&gt;"&amp;D985,R_SAbs,"&lt;"&amp;AX985,R_EAbs,"&gt;"&amp;AW985,R_OKey,1),0)</f>
        <v>0</v>
      </c>
      <c r="BB985" s="80">
        <f>IF(AND(AB985=1,D985="proMX"),IF(AND(MOD(Z985,CFG_BLK)=0,MOD(AA985,CFG_BLK)=0,MOD(AG985,CFG_BLK)=0,AG985&gt;0),1,0),1)</f>
        <v>1</v>
      </c>
      <c r="BC985" s="80" t="str">
        <f>IF(Y985=0,"",IF(NOT(ISNUMBER(B985)),"Falta fecha o fecha inválida",IF(D985="","Falta empresa",IF(AND(D985&lt;&gt;"Malcolm",D985&lt;&gt;"proMX"),"Empresa inválida",IF(OR(INT(B985)&lt;CFG_PSTART,INT(B985)&gt;CFG_PEND),"Fecha fuera del período",IF(OR(NOT(ISNUMBER(Z985)),NOT(ISNUMBER(AA985))),"Falta hora inicio/fin o formato inválido",IF(AB985=0,"Hora inicio = hora fin",IF(AE985&lt;0,"Descanso inválido",IF(AE985&gt;=AD985,"Descanso ≥ duración",IF(AV985=1,"Registro duplicado",IF(AZ985&gt;0,"Se superpone con otro registro "&amp;D985,IF(BB985=0,"inicio, fin y duración neta deben ser múltiplos de "&amp;CFG_BLK&amp;" min",""))))))))))))</f>
        <v/>
      </c>
      <c r="BD985" s="80">
        <f>IF(AND(Y985=1,BC985=""),1,0)</f>
        <v>0</v>
      </c>
      <c r="BE985" s="80">
        <f>IF(AND(BD985=1,AU985=1),1,0)</f>
        <v>0</v>
      </c>
      <c r="BF985" s="80" t="str">
        <f>IF(AND(D985="proMX",BD985=1),IF(R985="","Draft",R985),"")</f>
        <v/>
      </c>
      <c r="BG985" s="80">
        <f>IF(BD985=1,ROUND(AG985/60,6),0)</f>
        <v>0</v>
      </c>
      <c r="BH985" s="80">
        <f>IF(BE985=1,ROUND(AG985/60,6),0)</f>
        <v>0</v>
      </c>
      <c r="BI985" s="80">
        <f>IF(BE985=1,ROUND(AP985/60,6),0)</f>
        <v>0</v>
      </c>
      <c r="BJ985" s="80">
        <f>IF(BE985=1,ROUND(AQ985/60,6),0)</f>
        <v>0</v>
      </c>
      <c r="BK985" s="80">
        <f>IF(BE985=1,ROUND((AR985+AS985)/60,6),0)</f>
        <v>0</v>
      </c>
      <c r="BL985" s="80">
        <f>ROUND(BH985-BK985,6)</f>
        <v>0</v>
      </c>
      <c r="BM985" s="80">
        <f>IF(BE985=1,ROUND(AR985/60,6),0)</f>
        <v>0</v>
      </c>
      <c r="BN985" s="80">
        <f>ROUND(BI985-BM985,6)</f>
        <v>0</v>
      </c>
      <c r="BO985" s="80">
        <f>IF(BE985=1,ROUND(AS985/60,6),0)</f>
        <v>0</v>
      </c>
      <c r="BP985" s="80">
        <f>ROUND(BJ985-BO985,6)</f>
        <v>0</v>
      </c>
      <c r="BQ985" s="80">
        <f>IF(BE985=1,AW985,0)</f>
        <v>0</v>
      </c>
      <c r="BR985" s="80">
        <f>IF(BE985=1,AX985,0)</f>
        <v>0</v>
      </c>
      <c r="BS985" s="80">
        <f>IF(AND(BE985=1,D985="Malcolm",BA985&gt;0),MIN(BH985,SUMPRODUCT((R_Emp="proMX")*(R_EN&gt;0)*((R_EN-(R_EN&gt;BR985)*(R_EN-BR985))&gt;(R_SN+(R_SN&lt;BQ985)*(BQ985-R_SN)))*((R_EN-(R_EN&gt;BR985)*(R_EN-BR985))-(R_SN+(R_SN&lt;BQ985)*(BQ985-R_SN))))/60),0)</f>
        <v>0</v>
      </c>
      <c r="BT985" s="80">
        <f>IF(AND(BE985=1,D985="proMX"),ROUND(BI985*CFG_RATE+BJ985*CFG_OTRATE,6),0)</f>
        <v>0</v>
      </c>
      <c r="BU985" s="80">
        <f>IF(AND(BD985=1,D985="proMX"),ROUND(AG985/CFG_BLK,6),0)</f>
        <v>0</v>
      </c>
      <c r="BV985" s="80" t="str">
        <f>IF(BF985="Approved",IF(ISNUMBER(T985),INT(T985),INT(B985)),"")</f>
        <v/>
      </c>
      <c r="BW985" s="80">
        <f>IF(ISNUMBER(B985),IF(DB_MON="Todos",1,IF(AND(INT(B985)&gt;=DB_MS,INT(B985)&lt;=DB_ME),1,0)),0)</f>
        <v>0</v>
      </c>
      <c r="BX985" s="80">
        <f>IF(DB_PROJ="Todos",1,IF(E985&amp;""=DB_PROJ&amp;"",1,0))</f>
        <v>1</v>
      </c>
      <c r="BY985" s="80">
        <f>BW985*BX985</f>
        <v>0</v>
      </c>
      <c r="BZ985" s="80" t="str">
        <f>IF(Y985=1,F985&amp;IF(AND(F985&amp;""&lt;&gt;"",E985&amp;""&lt;&gt;"")," · ","")&amp;E985,"")</f>
        <v/>
      </c>
      <c r="CA985" s="80" t="str">
        <f>IF(AND(BD985=1,E985&amp;""&lt;&gt;""),IF(COUNTIFS($E$5:E984,E985,$BD$5:BD984,1)=0,MAX($CA$5:CA984)+1,""),"")</f>
        <v/>
      </c>
      <c r="CB985" s="80" t="str">
        <f>IF(AND(BE985=1,D985="Malcolm",E985&amp;""&lt;&gt;""),IF(COUNTIFS($D$5:D984,"Malcolm",$E$5:E984,E985,$BE$5:BE984,1)=0,MAX($CB$5:CB984)+1,""),"")</f>
        <v/>
      </c>
      <c r="CC985" s="80" t="str">
        <f>IF(AND(BD985=1,D985="proMX",E985&amp;""&lt;&gt;""),IF(COUNTIFS($D$5:D984,"proMX",$E$5:E984,E985,$BD$5:BD984,1)=0,MAX($CC$5:CC984)+1,""),"")</f>
        <v/>
      </c>
      <c r="CD985" s="80" t="str">
        <f>IF(AND(BE985=1,D985="Malcolm",F985&amp;""&lt;&gt;""),IF(COUNTIFS($D$5:D984,"Malcolm",$F$5:F984,F985,$BE$5:BE984,1)=0,MAX($CD$5:CD984)+1,""),"")</f>
        <v/>
      </c>
      <c r="CE985" s="80" t="str">
        <f>IF(AND(BD985=1,D985="proMX",F985&amp;""&lt;&gt;""),IF(COUNTIFS($D$5:D984,"proMX",$F$5:F984,F985,$BD$5:BD984,1)=0,MAX($CE$5:CE984)+1,""),"")</f>
        <v/>
      </c>
      <c r="CF985" s="80" t="str">
        <f>IF(AND(D985="proMX",BD985=1),IF(OR(BF985="Draft",BF985="Submitted",BF985="Returned",BF985="Recall Requested"),MAX($CF$5:CF984)+1,""),"")</f>
        <v/>
      </c>
      <c r="CG985" s="80">
        <f>IF(BD985=0,0,IF(D985="Malcolm",1,MATCH(BF985,{"Draft","Submitted","Approved","Returned","Recall Requested","Cancelled"},0)+1))</f>
        <v>0</v>
      </c>
      <c r="CH985" s="80">
        <f>IF(AND(BF985="Submitted",ISNUMBER(V985)),IF(V985&gt;CFG_MAXD,1,0),0)</f>
        <v>0</v>
      </c>
    </row>
    <row r="986">
      <c r="A986" s="71" t="str">
        <f>IF(Y986=1,ROW()-5,"")</f>
        <v/>
      </c>
      <c r="B986" s="72" t="n"/>
      <c r="C986" s="71" t="str">
        <f>IF(ISNUMBER(B986),CHOOSE(WEEKDAY(B986,2),"Lun","Mar","Mié","Jue","Vie","Sáb","Dom"),"")</f>
        <v/>
      </c>
      <c r="D986" s="73" t="n"/>
      <c r="E986" s="74" t="n"/>
      <c r="F986" s="74" t="n"/>
      <c r="G986" s="74" t="n"/>
      <c r="H986" s="75" t="n"/>
      <c r="I986" s="75" t="n"/>
      <c r="J986" s="76" t="n"/>
      <c r="K986" s="77" t="str">
        <f>IF(AB986=1,ROUND(AG986/60,4),"")</f>
        <v/>
      </c>
      <c r="L986" s="77" t="str">
        <f>IF(BD986=1,ROUND(AP986/60,4),"")</f>
        <v/>
      </c>
      <c r="M986" s="77" t="str">
        <f>IF(BD986=1,ROUND(AQ986/60,4),"")</f>
        <v/>
      </c>
      <c r="N986" s="71" t="str">
        <f>IF(AND(D986="proMX",AB986=1),ROUND(AG986/CFG_BLK,2),"")</f>
        <v/>
      </c>
      <c r="O986" s="77" t="str">
        <f>IF(D986="proMX",IF(BD986=1,ROUND(AG986/60,4),0),"")</f>
        <v/>
      </c>
      <c r="P986" s="78" t="str">
        <f>IF(Y986=0,"",IF(BD986=1,"OK",IF(D986="proMX","Revisar bloques: ","Revisar: ")&amp;BC986))</f>
        <v/>
      </c>
      <c r="Q986" s="78" t="str">
        <f>IF(NOT(ISNUMBER(B986)),"",IF(COUNTIFS(FER_F,INT(B986))&gt;0,"Feriado"&amp;IF(AH986=1," (laborable)"," (no laborable)"),IF(AH986=1,"Laborable",IF(WEEKDAY(B986,2)&gt;5,"Fin de semana","No laborable"))))</f>
        <v/>
      </c>
      <c r="R986" s="73" t="n"/>
      <c r="S986" s="72" t="n"/>
      <c r="T986" s="72" t="n"/>
      <c r="U986" s="74" t="n"/>
      <c r="V986" s="79" t="str">
        <f>IF(AND(D986="proMX",OR(R986="Submitted",R986="Recall Requested"),ISNUMBER(S986)),CFG_TODAY-INT(S986),"")</f>
        <v/>
      </c>
      <c r="W986" s="78" t="str">
        <f>IF(BD986=0,"",IF(BA986&gt;0,"⚠ Se superpone con un registro de la otra empresa",IF(D986="Malcolm",IF(COUNTA(R986,S986,T986)&gt;0,"Estado/fechas proMX se ignoran en Malcolm",""),IF(BF986="Cancelled","Cancelado: excluido de totales",IF(R986="","Sin estado: se trata como Draft",IF(BF986="Submitted",IF(ISNUMBER(V986),IF(V986&gt;CFG_MAXD,"⚠ "&amp;V986&amp;" días en Submitted (máx. "&amp;CFG_MAXD&amp;")",""),"Falta fecha de envío"),IF(BF986="Returned","⚠ Devuelto: corregir y reenviar",IF(BF986="Recall Requested","Retirada solicitada: pendiente",IF(AND(BF986="Approved",NOT(ISNUMBER(T986))),"Falta fecha de aprobación",IF(AND(ISNUMBER(S986),ISNUMBER(T986),T986&lt;S986),"Aprobación anterior al envío","")))))))))</f>
        <v/>
      </c>
      <c r="Y986" s="80">
        <f>IF(COUNTA(B986,D986,E986,F986,G986,H986,I986,J986,R986,S986,T986)&gt;0,1,0)</f>
        <v>0</v>
      </c>
      <c r="Z986" s="80" t="str">
        <f>IF(AND(ISNUMBER(H986),H986&gt;=0,H986&lt;1),ROUND(H986*1440,0),"")</f>
        <v/>
      </c>
      <c r="AA986" s="80" t="str">
        <f>IF(AND(ISNUMBER(I986),I986&gt;=0,I986&lt;1),ROUND(I986*1440,0),"")</f>
        <v/>
      </c>
      <c r="AB986" s="80">
        <f>IF(AND(ISNUMBER(B986),D986&lt;&gt;"",ISNUMBER(Z986),ISNUMBER(AA986)),IF(Z986=AA986,0,1),0)</f>
        <v>0</v>
      </c>
      <c r="AC986" s="80">
        <f>IF(AB986=1,IF(AA986&lt;Z986,1,0),0)</f>
        <v>0</v>
      </c>
      <c r="AD986" s="80">
        <f>IF(AB986=1,IF(AC986=1,1440-Z986+AA986,AA986-Z986),0)</f>
        <v>0</v>
      </c>
      <c r="AE986" s="80">
        <f>IF(J986="",0,IF(ISNUMBER(J986),J986,-1))</f>
        <v>0</v>
      </c>
      <c r="AF986" s="80">
        <f>MIN(MAX(0,AE986),AD986)</f>
        <v>0</v>
      </c>
      <c r="AG986" s="80">
        <f>MAX(0,AD986-MAX(0,AE986))</f>
        <v>0</v>
      </c>
      <c r="AH986" s="80">
        <f>IF(ISNUMBER(B986),IF(AND(INDEX(CFG_WDAYS,WEEKDAY(INT(B986),2))="Sí",IF(D986="proMX",COUNTIFS(FER_F,INT(B986),FER_NLP,"Sí"),COUNTIFS(FER_F,INT(B986),FER_NLM,"Sí"))=0),1,0),0)</f>
        <v>0</v>
      </c>
      <c r="AI986" s="80">
        <f>IF(AC986=1,IF(AND(INDEX(CFG_WDAYS,WEEKDAY(INT(B986)+1,2))="Sí",IF(D986="proMX",COUNTIFS(FER_F,INT(B986)+1,FER_NLP,"Sí"),COUNTIFS(FER_F,INT(B986)+1,FER_NLM,"Sí"))=0),1,0),0)</f>
        <v>0</v>
      </c>
      <c r="AJ986" s="80">
        <f>IF(AC986=1,1440-Z986,AD986)</f>
        <v>0</v>
      </c>
      <c r="AK986" s="80">
        <f>IF(AND(AB986=1,AH986=1),MAX(0,MIN(IF(AC986=1,1440,AA986),CFG_WEM)-MAX(Z986,CFG_WSM)),0)</f>
        <v>0</v>
      </c>
      <c r="AL986" s="80">
        <f>IF(AND(AC986=1,AI986=1),MAX(0,MIN(AA986,CFG_WEM)-CFG_WSM),0)</f>
        <v>0</v>
      </c>
      <c r="AM986" s="80">
        <f>AK986+AL986</f>
        <v>0</v>
      </c>
      <c r="AN986" s="80">
        <f>IF(CFG_BRK="Proporcional",IF(AD986=0,0,AF986*AM986/AD986),IF(CFG_BRK="Extras primero",MIN(AM986,MAX(0,AF986-(AD986-AM986))),MIN(AF986,AM986)))</f>
        <v>0</v>
      </c>
      <c r="AO986" s="80">
        <f>AF986-AN986</f>
        <v>0</v>
      </c>
      <c r="AP986" s="80">
        <f>AM986-AN986</f>
        <v>0</v>
      </c>
      <c r="AQ986" s="80">
        <f>AD986-AM986-AO986</f>
        <v>0</v>
      </c>
      <c r="AR986" s="80">
        <f>IF(AM986=0,0,AK986-AN986*AK986/AM986)</f>
        <v>0</v>
      </c>
      <c r="AS986" s="80">
        <f>IF(AD986-AM986=0,0,(AJ986-AK986)-AO986*(AJ986-AK986)/(AD986-AM986))</f>
        <v>0</v>
      </c>
      <c r="AT986" s="80" t="str">
        <f>IF(AC986=1,INT(B986)+1,"")</f>
        <v/>
      </c>
      <c r="AU986" s="80">
        <f>IF(AND(D986="proMX",R986="Cancelled"),0,1)</f>
        <v>1</v>
      </c>
      <c r="AV986" s="80">
        <f>IF(AND(AB986=1,AU986=1),IF(COUNTIFS($D$5:D985,D986,$B$5:B985,B986,$Z$5:Z985,Z986,$AA$5:AA985,AA986,$F$5:F985,F986&amp;"",$AU$5:AU985,1)&gt;0,1,0),0)</f>
        <v>0</v>
      </c>
      <c r="AW986" s="80" t="str">
        <f>IF(AB986=1,INT(B986)*1440+Z986,"")</f>
        <v/>
      </c>
      <c r="AX986" s="80" t="str">
        <f>IF(AB986=1,AW986+AD986,"")</f>
        <v/>
      </c>
      <c r="AY986" s="80">
        <f>IF(AND(AB986=1,AV986=0,AU986=1),1,0)</f>
        <v>0</v>
      </c>
      <c r="AZ986" s="80">
        <f>IF(AY986=1,COUNTIFS(R_Emp,D986,R_SAbs,"&lt;"&amp;AX986,R_EAbs,"&gt;"&amp;AW986,R_OKey,1)-1,0)</f>
        <v>0</v>
      </c>
      <c r="BA986" s="80">
        <f>IF(AY986=1,COUNTIFS(R_Emp,"&lt;&gt;"&amp;D986,R_SAbs,"&lt;"&amp;AX986,R_EAbs,"&gt;"&amp;AW986,R_OKey,1),0)</f>
        <v>0</v>
      </c>
      <c r="BB986" s="80">
        <f>IF(AND(AB986=1,D986="proMX"),IF(AND(MOD(Z986,CFG_BLK)=0,MOD(AA986,CFG_BLK)=0,MOD(AG986,CFG_BLK)=0,AG986&gt;0),1,0),1)</f>
        <v>1</v>
      </c>
      <c r="BC986" s="80" t="str">
        <f>IF(Y986=0,"",IF(NOT(ISNUMBER(B986)),"Falta fecha o fecha inválida",IF(D986="","Falta empresa",IF(AND(D986&lt;&gt;"Malcolm",D986&lt;&gt;"proMX"),"Empresa inválida",IF(OR(INT(B986)&lt;CFG_PSTART,INT(B986)&gt;CFG_PEND),"Fecha fuera del período",IF(OR(NOT(ISNUMBER(Z986)),NOT(ISNUMBER(AA986))),"Falta hora inicio/fin o formato inválido",IF(AB986=0,"Hora inicio = hora fin",IF(AE986&lt;0,"Descanso inválido",IF(AE986&gt;=AD986,"Descanso ≥ duración",IF(AV986=1,"Registro duplicado",IF(AZ986&gt;0,"Se superpone con otro registro "&amp;D986,IF(BB986=0,"inicio, fin y duración neta deben ser múltiplos de "&amp;CFG_BLK&amp;" min",""))))))))))))</f>
        <v/>
      </c>
      <c r="BD986" s="80">
        <f>IF(AND(Y986=1,BC986=""),1,0)</f>
        <v>0</v>
      </c>
      <c r="BE986" s="80">
        <f>IF(AND(BD986=1,AU986=1),1,0)</f>
        <v>0</v>
      </c>
      <c r="BF986" s="80" t="str">
        <f>IF(AND(D986="proMX",BD986=1),IF(R986="","Draft",R986),"")</f>
        <v/>
      </c>
      <c r="BG986" s="80">
        <f>IF(BD986=1,ROUND(AG986/60,6),0)</f>
        <v>0</v>
      </c>
      <c r="BH986" s="80">
        <f>IF(BE986=1,ROUND(AG986/60,6),0)</f>
        <v>0</v>
      </c>
      <c r="BI986" s="80">
        <f>IF(BE986=1,ROUND(AP986/60,6),0)</f>
        <v>0</v>
      </c>
      <c r="BJ986" s="80">
        <f>IF(BE986=1,ROUND(AQ986/60,6),0)</f>
        <v>0</v>
      </c>
      <c r="BK986" s="80">
        <f>IF(BE986=1,ROUND((AR986+AS986)/60,6),0)</f>
        <v>0</v>
      </c>
      <c r="BL986" s="80">
        <f>ROUND(BH986-BK986,6)</f>
        <v>0</v>
      </c>
      <c r="BM986" s="80">
        <f>IF(BE986=1,ROUND(AR986/60,6),0)</f>
        <v>0</v>
      </c>
      <c r="BN986" s="80">
        <f>ROUND(BI986-BM986,6)</f>
        <v>0</v>
      </c>
      <c r="BO986" s="80">
        <f>IF(BE986=1,ROUND(AS986/60,6),0)</f>
        <v>0</v>
      </c>
      <c r="BP986" s="80">
        <f>ROUND(BJ986-BO986,6)</f>
        <v>0</v>
      </c>
      <c r="BQ986" s="80">
        <f>IF(BE986=1,AW986,0)</f>
        <v>0</v>
      </c>
      <c r="BR986" s="80">
        <f>IF(BE986=1,AX986,0)</f>
        <v>0</v>
      </c>
      <c r="BS986" s="80">
        <f>IF(AND(BE986=1,D986="Malcolm",BA986&gt;0),MIN(BH986,SUMPRODUCT((R_Emp="proMX")*(R_EN&gt;0)*((R_EN-(R_EN&gt;BR986)*(R_EN-BR986))&gt;(R_SN+(R_SN&lt;BQ986)*(BQ986-R_SN)))*((R_EN-(R_EN&gt;BR986)*(R_EN-BR986))-(R_SN+(R_SN&lt;BQ986)*(BQ986-R_SN))))/60),0)</f>
        <v>0</v>
      </c>
      <c r="BT986" s="80">
        <f>IF(AND(BE986=1,D986="proMX"),ROUND(BI986*CFG_RATE+BJ986*CFG_OTRATE,6),0)</f>
        <v>0</v>
      </c>
      <c r="BU986" s="80">
        <f>IF(AND(BD986=1,D986="proMX"),ROUND(AG986/CFG_BLK,6),0)</f>
        <v>0</v>
      </c>
      <c r="BV986" s="80" t="str">
        <f>IF(BF986="Approved",IF(ISNUMBER(T986),INT(T986),INT(B986)),"")</f>
        <v/>
      </c>
      <c r="BW986" s="80">
        <f>IF(ISNUMBER(B986),IF(DB_MON="Todos",1,IF(AND(INT(B986)&gt;=DB_MS,INT(B986)&lt;=DB_ME),1,0)),0)</f>
        <v>0</v>
      </c>
      <c r="BX986" s="80">
        <f>IF(DB_PROJ="Todos",1,IF(E986&amp;""=DB_PROJ&amp;"",1,0))</f>
        <v>1</v>
      </c>
      <c r="BY986" s="80">
        <f>BW986*BX986</f>
        <v>0</v>
      </c>
      <c r="BZ986" s="80" t="str">
        <f>IF(Y986=1,F986&amp;IF(AND(F986&amp;""&lt;&gt;"",E986&amp;""&lt;&gt;"")," · ","")&amp;E986,"")</f>
        <v/>
      </c>
      <c r="CA986" s="80" t="str">
        <f>IF(AND(BD986=1,E986&amp;""&lt;&gt;""),IF(COUNTIFS($E$5:E985,E986,$BD$5:BD985,1)=0,MAX($CA$5:CA985)+1,""),"")</f>
        <v/>
      </c>
      <c r="CB986" s="80" t="str">
        <f>IF(AND(BE986=1,D986="Malcolm",E986&amp;""&lt;&gt;""),IF(COUNTIFS($D$5:D985,"Malcolm",$E$5:E985,E986,$BE$5:BE985,1)=0,MAX($CB$5:CB985)+1,""),"")</f>
        <v/>
      </c>
      <c r="CC986" s="80" t="str">
        <f>IF(AND(BD986=1,D986="proMX",E986&amp;""&lt;&gt;""),IF(COUNTIFS($D$5:D985,"proMX",$E$5:E985,E986,$BD$5:BD985,1)=0,MAX($CC$5:CC985)+1,""),"")</f>
        <v/>
      </c>
      <c r="CD986" s="80" t="str">
        <f>IF(AND(BE986=1,D986="Malcolm",F986&amp;""&lt;&gt;""),IF(COUNTIFS($D$5:D985,"Malcolm",$F$5:F985,F986,$BE$5:BE985,1)=0,MAX($CD$5:CD985)+1,""),"")</f>
        <v/>
      </c>
      <c r="CE986" s="80" t="str">
        <f>IF(AND(BD986=1,D986="proMX",F986&amp;""&lt;&gt;""),IF(COUNTIFS($D$5:D985,"proMX",$F$5:F985,F986,$BD$5:BD985,1)=0,MAX($CE$5:CE985)+1,""),"")</f>
        <v/>
      </c>
      <c r="CF986" s="80" t="str">
        <f>IF(AND(D986="proMX",BD986=1),IF(OR(BF986="Draft",BF986="Submitted",BF986="Returned",BF986="Recall Requested"),MAX($CF$5:CF985)+1,""),"")</f>
        <v/>
      </c>
      <c r="CG986" s="80">
        <f>IF(BD986=0,0,IF(D986="Malcolm",1,MATCH(BF986,{"Draft","Submitted","Approved","Returned","Recall Requested","Cancelled"},0)+1))</f>
        <v>0</v>
      </c>
      <c r="CH986" s="80">
        <f>IF(AND(BF986="Submitted",ISNUMBER(V986)),IF(V986&gt;CFG_MAXD,1,0),0)</f>
        <v>0</v>
      </c>
    </row>
    <row r="987">
      <c r="A987" s="71" t="str">
        <f>IF(Y987=1,ROW()-5,"")</f>
        <v/>
      </c>
      <c r="B987" s="72" t="n"/>
      <c r="C987" s="71" t="str">
        <f>IF(ISNUMBER(B987),CHOOSE(WEEKDAY(B987,2),"Lun","Mar","Mié","Jue","Vie","Sáb","Dom"),"")</f>
        <v/>
      </c>
      <c r="D987" s="73" t="n"/>
      <c r="E987" s="74" t="n"/>
      <c r="F987" s="74" t="n"/>
      <c r="G987" s="74" t="n"/>
      <c r="H987" s="75" t="n"/>
      <c r="I987" s="75" t="n"/>
      <c r="J987" s="76" t="n"/>
      <c r="K987" s="77" t="str">
        <f>IF(AB987=1,ROUND(AG987/60,4),"")</f>
        <v/>
      </c>
      <c r="L987" s="77" t="str">
        <f>IF(BD987=1,ROUND(AP987/60,4),"")</f>
        <v/>
      </c>
      <c r="M987" s="77" t="str">
        <f>IF(BD987=1,ROUND(AQ987/60,4),"")</f>
        <v/>
      </c>
      <c r="N987" s="71" t="str">
        <f>IF(AND(D987="proMX",AB987=1),ROUND(AG987/CFG_BLK,2),"")</f>
        <v/>
      </c>
      <c r="O987" s="77" t="str">
        <f>IF(D987="proMX",IF(BD987=1,ROUND(AG987/60,4),0),"")</f>
        <v/>
      </c>
      <c r="P987" s="78" t="str">
        <f>IF(Y987=0,"",IF(BD987=1,"OK",IF(D987="proMX","Revisar bloques: ","Revisar: ")&amp;BC987))</f>
        <v/>
      </c>
      <c r="Q987" s="78" t="str">
        <f>IF(NOT(ISNUMBER(B987)),"",IF(COUNTIFS(FER_F,INT(B987))&gt;0,"Feriado"&amp;IF(AH987=1," (laborable)"," (no laborable)"),IF(AH987=1,"Laborable",IF(WEEKDAY(B987,2)&gt;5,"Fin de semana","No laborable"))))</f>
        <v/>
      </c>
      <c r="R987" s="73" t="n"/>
      <c r="S987" s="72" t="n"/>
      <c r="T987" s="72" t="n"/>
      <c r="U987" s="74" t="n"/>
      <c r="V987" s="79" t="str">
        <f>IF(AND(D987="proMX",OR(R987="Submitted",R987="Recall Requested"),ISNUMBER(S987)),CFG_TODAY-INT(S987),"")</f>
        <v/>
      </c>
      <c r="W987" s="78" t="str">
        <f>IF(BD987=0,"",IF(BA987&gt;0,"⚠ Se superpone con un registro de la otra empresa",IF(D987="Malcolm",IF(COUNTA(R987,S987,T987)&gt;0,"Estado/fechas proMX se ignoran en Malcolm",""),IF(BF987="Cancelled","Cancelado: excluido de totales",IF(R987="","Sin estado: se trata como Draft",IF(BF987="Submitted",IF(ISNUMBER(V987),IF(V987&gt;CFG_MAXD,"⚠ "&amp;V987&amp;" días en Submitted (máx. "&amp;CFG_MAXD&amp;")",""),"Falta fecha de envío"),IF(BF987="Returned","⚠ Devuelto: corregir y reenviar",IF(BF987="Recall Requested","Retirada solicitada: pendiente",IF(AND(BF987="Approved",NOT(ISNUMBER(T987))),"Falta fecha de aprobación",IF(AND(ISNUMBER(S987),ISNUMBER(T987),T987&lt;S987),"Aprobación anterior al envío","")))))))))</f>
        <v/>
      </c>
      <c r="Y987" s="80">
        <f>IF(COUNTA(B987,D987,E987,F987,G987,H987,I987,J987,R987,S987,T987)&gt;0,1,0)</f>
        <v>0</v>
      </c>
      <c r="Z987" s="80" t="str">
        <f>IF(AND(ISNUMBER(H987),H987&gt;=0,H987&lt;1),ROUND(H987*1440,0),"")</f>
        <v/>
      </c>
      <c r="AA987" s="80" t="str">
        <f>IF(AND(ISNUMBER(I987),I987&gt;=0,I987&lt;1),ROUND(I987*1440,0),"")</f>
        <v/>
      </c>
      <c r="AB987" s="80">
        <f>IF(AND(ISNUMBER(B987),D987&lt;&gt;"",ISNUMBER(Z987),ISNUMBER(AA987)),IF(Z987=AA987,0,1),0)</f>
        <v>0</v>
      </c>
      <c r="AC987" s="80">
        <f>IF(AB987=1,IF(AA987&lt;Z987,1,0),0)</f>
        <v>0</v>
      </c>
      <c r="AD987" s="80">
        <f>IF(AB987=1,IF(AC987=1,1440-Z987+AA987,AA987-Z987),0)</f>
        <v>0</v>
      </c>
      <c r="AE987" s="80">
        <f>IF(J987="",0,IF(ISNUMBER(J987),J987,-1))</f>
        <v>0</v>
      </c>
      <c r="AF987" s="80">
        <f>MIN(MAX(0,AE987),AD987)</f>
        <v>0</v>
      </c>
      <c r="AG987" s="80">
        <f>MAX(0,AD987-MAX(0,AE987))</f>
        <v>0</v>
      </c>
      <c r="AH987" s="80">
        <f>IF(ISNUMBER(B987),IF(AND(INDEX(CFG_WDAYS,WEEKDAY(INT(B987),2))="Sí",IF(D987="proMX",COUNTIFS(FER_F,INT(B987),FER_NLP,"Sí"),COUNTIFS(FER_F,INT(B987),FER_NLM,"Sí"))=0),1,0),0)</f>
        <v>0</v>
      </c>
      <c r="AI987" s="80">
        <f>IF(AC987=1,IF(AND(INDEX(CFG_WDAYS,WEEKDAY(INT(B987)+1,2))="Sí",IF(D987="proMX",COUNTIFS(FER_F,INT(B987)+1,FER_NLP,"Sí"),COUNTIFS(FER_F,INT(B987)+1,FER_NLM,"Sí"))=0),1,0),0)</f>
        <v>0</v>
      </c>
      <c r="AJ987" s="80">
        <f>IF(AC987=1,1440-Z987,AD987)</f>
        <v>0</v>
      </c>
      <c r="AK987" s="80">
        <f>IF(AND(AB987=1,AH987=1),MAX(0,MIN(IF(AC987=1,1440,AA987),CFG_WEM)-MAX(Z987,CFG_WSM)),0)</f>
        <v>0</v>
      </c>
      <c r="AL987" s="80">
        <f>IF(AND(AC987=1,AI987=1),MAX(0,MIN(AA987,CFG_WEM)-CFG_WSM),0)</f>
        <v>0</v>
      </c>
      <c r="AM987" s="80">
        <f>AK987+AL987</f>
        <v>0</v>
      </c>
      <c r="AN987" s="80">
        <f>IF(CFG_BRK="Proporcional",IF(AD987=0,0,AF987*AM987/AD987),IF(CFG_BRK="Extras primero",MIN(AM987,MAX(0,AF987-(AD987-AM987))),MIN(AF987,AM987)))</f>
        <v>0</v>
      </c>
      <c r="AO987" s="80">
        <f>AF987-AN987</f>
        <v>0</v>
      </c>
      <c r="AP987" s="80">
        <f>AM987-AN987</f>
        <v>0</v>
      </c>
      <c r="AQ987" s="80">
        <f>AD987-AM987-AO987</f>
        <v>0</v>
      </c>
      <c r="AR987" s="80">
        <f>IF(AM987=0,0,AK987-AN987*AK987/AM987)</f>
        <v>0</v>
      </c>
      <c r="AS987" s="80">
        <f>IF(AD987-AM987=0,0,(AJ987-AK987)-AO987*(AJ987-AK987)/(AD987-AM987))</f>
        <v>0</v>
      </c>
      <c r="AT987" s="80" t="str">
        <f>IF(AC987=1,INT(B987)+1,"")</f>
        <v/>
      </c>
      <c r="AU987" s="80">
        <f>IF(AND(D987="proMX",R987="Cancelled"),0,1)</f>
        <v>1</v>
      </c>
      <c r="AV987" s="80">
        <f>IF(AND(AB987=1,AU987=1),IF(COUNTIFS($D$5:D986,D987,$B$5:B986,B987,$Z$5:Z986,Z987,$AA$5:AA986,AA987,$F$5:F986,F987&amp;"",$AU$5:AU986,1)&gt;0,1,0),0)</f>
        <v>0</v>
      </c>
      <c r="AW987" s="80" t="str">
        <f>IF(AB987=1,INT(B987)*1440+Z987,"")</f>
        <v/>
      </c>
      <c r="AX987" s="80" t="str">
        <f>IF(AB987=1,AW987+AD987,"")</f>
        <v/>
      </c>
      <c r="AY987" s="80">
        <f>IF(AND(AB987=1,AV987=0,AU987=1),1,0)</f>
        <v>0</v>
      </c>
      <c r="AZ987" s="80">
        <f>IF(AY987=1,COUNTIFS(R_Emp,D987,R_SAbs,"&lt;"&amp;AX987,R_EAbs,"&gt;"&amp;AW987,R_OKey,1)-1,0)</f>
        <v>0</v>
      </c>
      <c r="BA987" s="80">
        <f>IF(AY987=1,COUNTIFS(R_Emp,"&lt;&gt;"&amp;D987,R_SAbs,"&lt;"&amp;AX987,R_EAbs,"&gt;"&amp;AW987,R_OKey,1),0)</f>
        <v>0</v>
      </c>
      <c r="BB987" s="80">
        <f>IF(AND(AB987=1,D987="proMX"),IF(AND(MOD(Z987,CFG_BLK)=0,MOD(AA987,CFG_BLK)=0,MOD(AG987,CFG_BLK)=0,AG987&gt;0),1,0),1)</f>
        <v>1</v>
      </c>
      <c r="BC987" s="80" t="str">
        <f>IF(Y987=0,"",IF(NOT(ISNUMBER(B987)),"Falta fecha o fecha inválida",IF(D987="","Falta empresa",IF(AND(D987&lt;&gt;"Malcolm",D987&lt;&gt;"proMX"),"Empresa inválida",IF(OR(INT(B987)&lt;CFG_PSTART,INT(B987)&gt;CFG_PEND),"Fecha fuera del período",IF(OR(NOT(ISNUMBER(Z987)),NOT(ISNUMBER(AA987))),"Falta hora inicio/fin o formato inválido",IF(AB987=0,"Hora inicio = hora fin",IF(AE987&lt;0,"Descanso inválido",IF(AE987&gt;=AD987,"Descanso ≥ duración",IF(AV987=1,"Registro duplicado",IF(AZ987&gt;0,"Se superpone con otro registro "&amp;D987,IF(BB987=0,"inicio, fin y duración neta deben ser múltiplos de "&amp;CFG_BLK&amp;" min",""))))))))))))</f>
        <v/>
      </c>
      <c r="BD987" s="80">
        <f>IF(AND(Y987=1,BC987=""),1,0)</f>
        <v>0</v>
      </c>
      <c r="BE987" s="80">
        <f>IF(AND(BD987=1,AU987=1),1,0)</f>
        <v>0</v>
      </c>
      <c r="BF987" s="80" t="str">
        <f>IF(AND(D987="proMX",BD987=1),IF(R987="","Draft",R987),"")</f>
        <v/>
      </c>
      <c r="BG987" s="80">
        <f>IF(BD987=1,ROUND(AG987/60,6),0)</f>
        <v>0</v>
      </c>
      <c r="BH987" s="80">
        <f>IF(BE987=1,ROUND(AG987/60,6),0)</f>
        <v>0</v>
      </c>
      <c r="BI987" s="80">
        <f>IF(BE987=1,ROUND(AP987/60,6),0)</f>
        <v>0</v>
      </c>
      <c r="BJ987" s="80">
        <f>IF(BE987=1,ROUND(AQ987/60,6),0)</f>
        <v>0</v>
      </c>
      <c r="BK987" s="80">
        <f>IF(BE987=1,ROUND((AR987+AS987)/60,6),0)</f>
        <v>0</v>
      </c>
      <c r="BL987" s="80">
        <f>ROUND(BH987-BK987,6)</f>
        <v>0</v>
      </c>
      <c r="BM987" s="80">
        <f>IF(BE987=1,ROUND(AR987/60,6),0)</f>
        <v>0</v>
      </c>
      <c r="BN987" s="80">
        <f>ROUND(BI987-BM987,6)</f>
        <v>0</v>
      </c>
      <c r="BO987" s="80">
        <f>IF(BE987=1,ROUND(AS987/60,6),0)</f>
        <v>0</v>
      </c>
      <c r="BP987" s="80">
        <f>ROUND(BJ987-BO987,6)</f>
        <v>0</v>
      </c>
      <c r="BQ987" s="80">
        <f>IF(BE987=1,AW987,0)</f>
        <v>0</v>
      </c>
      <c r="BR987" s="80">
        <f>IF(BE987=1,AX987,0)</f>
        <v>0</v>
      </c>
      <c r="BS987" s="80">
        <f>IF(AND(BE987=1,D987="Malcolm",BA987&gt;0),MIN(BH987,SUMPRODUCT((R_Emp="proMX")*(R_EN&gt;0)*((R_EN-(R_EN&gt;BR987)*(R_EN-BR987))&gt;(R_SN+(R_SN&lt;BQ987)*(BQ987-R_SN)))*((R_EN-(R_EN&gt;BR987)*(R_EN-BR987))-(R_SN+(R_SN&lt;BQ987)*(BQ987-R_SN))))/60),0)</f>
        <v>0</v>
      </c>
      <c r="BT987" s="80">
        <f>IF(AND(BE987=1,D987="proMX"),ROUND(BI987*CFG_RATE+BJ987*CFG_OTRATE,6),0)</f>
        <v>0</v>
      </c>
      <c r="BU987" s="80">
        <f>IF(AND(BD987=1,D987="proMX"),ROUND(AG987/CFG_BLK,6),0)</f>
        <v>0</v>
      </c>
      <c r="BV987" s="80" t="str">
        <f>IF(BF987="Approved",IF(ISNUMBER(T987),INT(T987),INT(B987)),"")</f>
        <v/>
      </c>
      <c r="BW987" s="80">
        <f>IF(ISNUMBER(B987),IF(DB_MON="Todos",1,IF(AND(INT(B987)&gt;=DB_MS,INT(B987)&lt;=DB_ME),1,0)),0)</f>
        <v>0</v>
      </c>
      <c r="BX987" s="80">
        <f>IF(DB_PROJ="Todos",1,IF(E987&amp;""=DB_PROJ&amp;"",1,0))</f>
        <v>1</v>
      </c>
      <c r="BY987" s="80">
        <f>BW987*BX987</f>
        <v>0</v>
      </c>
      <c r="BZ987" s="80" t="str">
        <f>IF(Y987=1,F987&amp;IF(AND(F987&amp;""&lt;&gt;"",E987&amp;""&lt;&gt;"")," · ","")&amp;E987,"")</f>
        <v/>
      </c>
      <c r="CA987" s="80" t="str">
        <f>IF(AND(BD987=1,E987&amp;""&lt;&gt;""),IF(COUNTIFS($E$5:E986,E987,$BD$5:BD986,1)=0,MAX($CA$5:CA986)+1,""),"")</f>
        <v/>
      </c>
      <c r="CB987" s="80" t="str">
        <f>IF(AND(BE987=1,D987="Malcolm",E987&amp;""&lt;&gt;""),IF(COUNTIFS($D$5:D986,"Malcolm",$E$5:E986,E987,$BE$5:BE986,1)=0,MAX($CB$5:CB986)+1,""),"")</f>
        <v/>
      </c>
      <c r="CC987" s="80" t="str">
        <f>IF(AND(BD987=1,D987="proMX",E987&amp;""&lt;&gt;""),IF(COUNTIFS($D$5:D986,"proMX",$E$5:E986,E987,$BD$5:BD986,1)=0,MAX($CC$5:CC986)+1,""),"")</f>
        <v/>
      </c>
      <c r="CD987" s="80" t="str">
        <f>IF(AND(BE987=1,D987="Malcolm",F987&amp;""&lt;&gt;""),IF(COUNTIFS($D$5:D986,"Malcolm",$F$5:F986,F987,$BE$5:BE986,1)=0,MAX($CD$5:CD986)+1,""),"")</f>
        <v/>
      </c>
      <c r="CE987" s="80" t="str">
        <f>IF(AND(BD987=1,D987="proMX",F987&amp;""&lt;&gt;""),IF(COUNTIFS($D$5:D986,"proMX",$F$5:F986,F987,$BD$5:BD986,1)=0,MAX($CE$5:CE986)+1,""),"")</f>
        <v/>
      </c>
      <c r="CF987" s="80" t="str">
        <f>IF(AND(D987="proMX",BD987=1),IF(OR(BF987="Draft",BF987="Submitted",BF987="Returned",BF987="Recall Requested"),MAX($CF$5:CF986)+1,""),"")</f>
        <v/>
      </c>
      <c r="CG987" s="80">
        <f>IF(BD987=0,0,IF(D987="Malcolm",1,MATCH(BF987,{"Draft","Submitted","Approved","Returned","Recall Requested","Cancelled"},0)+1))</f>
        <v>0</v>
      </c>
      <c r="CH987" s="80">
        <f>IF(AND(BF987="Submitted",ISNUMBER(V987)),IF(V987&gt;CFG_MAXD,1,0),0)</f>
        <v>0</v>
      </c>
    </row>
    <row r="988">
      <c r="A988" s="71" t="str">
        <f>IF(Y988=1,ROW()-5,"")</f>
        <v/>
      </c>
      <c r="B988" s="72" t="n"/>
      <c r="C988" s="71" t="str">
        <f>IF(ISNUMBER(B988),CHOOSE(WEEKDAY(B988,2),"Lun","Mar","Mié","Jue","Vie","Sáb","Dom"),"")</f>
        <v/>
      </c>
      <c r="D988" s="73" t="n"/>
      <c r="E988" s="74" t="n"/>
      <c r="F988" s="74" t="n"/>
      <c r="G988" s="74" t="n"/>
      <c r="H988" s="75" t="n"/>
      <c r="I988" s="75" t="n"/>
      <c r="J988" s="76" t="n"/>
      <c r="K988" s="77" t="str">
        <f>IF(AB988=1,ROUND(AG988/60,4),"")</f>
        <v/>
      </c>
      <c r="L988" s="77" t="str">
        <f>IF(BD988=1,ROUND(AP988/60,4),"")</f>
        <v/>
      </c>
      <c r="M988" s="77" t="str">
        <f>IF(BD988=1,ROUND(AQ988/60,4),"")</f>
        <v/>
      </c>
      <c r="N988" s="71" t="str">
        <f>IF(AND(D988="proMX",AB988=1),ROUND(AG988/CFG_BLK,2),"")</f>
        <v/>
      </c>
      <c r="O988" s="77" t="str">
        <f>IF(D988="proMX",IF(BD988=1,ROUND(AG988/60,4),0),"")</f>
        <v/>
      </c>
      <c r="P988" s="78" t="str">
        <f>IF(Y988=0,"",IF(BD988=1,"OK",IF(D988="proMX","Revisar bloques: ","Revisar: ")&amp;BC988))</f>
        <v/>
      </c>
      <c r="Q988" s="78" t="str">
        <f>IF(NOT(ISNUMBER(B988)),"",IF(COUNTIFS(FER_F,INT(B988))&gt;0,"Feriado"&amp;IF(AH988=1," (laborable)"," (no laborable)"),IF(AH988=1,"Laborable",IF(WEEKDAY(B988,2)&gt;5,"Fin de semana","No laborable"))))</f>
        <v/>
      </c>
      <c r="R988" s="73" t="n"/>
      <c r="S988" s="72" t="n"/>
      <c r="T988" s="72" t="n"/>
      <c r="U988" s="74" t="n"/>
      <c r="V988" s="79" t="str">
        <f>IF(AND(D988="proMX",OR(R988="Submitted",R988="Recall Requested"),ISNUMBER(S988)),CFG_TODAY-INT(S988),"")</f>
        <v/>
      </c>
      <c r="W988" s="78" t="str">
        <f>IF(BD988=0,"",IF(BA988&gt;0,"⚠ Se superpone con un registro de la otra empresa",IF(D988="Malcolm",IF(COUNTA(R988,S988,T988)&gt;0,"Estado/fechas proMX se ignoran en Malcolm",""),IF(BF988="Cancelled","Cancelado: excluido de totales",IF(R988="","Sin estado: se trata como Draft",IF(BF988="Submitted",IF(ISNUMBER(V988),IF(V988&gt;CFG_MAXD,"⚠ "&amp;V988&amp;" días en Submitted (máx. "&amp;CFG_MAXD&amp;")",""),"Falta fecha de envío"),IF(BF988="Returned","⚠ Devuelto: corregir y reenviar",IF(BF988="Recall Requested","Retirada solicitada: pendiente",IF(AND(BF988="Approved",NOT(ISNUMBER(T988))),"Falta fecha de aprobación",IF(AND(ISNUMBER(S988),ISNUMBER(T988),T988&lt;S988),"Aprobación anterior al envío","")))))))))</f>
        <v/>
      </c>
      <c r="Y988" s="80">
        <f>IF(COUNTA(B988,D988,E988,F988,G988,H988,I988,J988,R988,S988,T988)&gt;0,1,0)</f>
        <v>0</v>
      </c>
      <c r="Z988" s="80" t="str">
        <f>IF(AND(ISNUMBER(H988),H988&gt;=0,H988&lt;1),ROUND(H988*1440,0),"")</f>
        <v/>
      </c>
      <c r="AA988" s="80" t="str">
        <f>IF(AND(ISNUMBER(I988),I988&gt;=0,I988&lt;1),ROUND(I988*1440,0),"")</f>
        <v/>
      </c>
      <c r="AB988" s="80">
        <f>IF(AND(ISNUMBER(B988),D988&lt;&gt;"",ISNUMBER(Z988),ISNUMBER(AA988)),IF(Z988=AA988,0,1),0)</f>
        <v>0</v>
      </c>
      <c r="AC988" s="80">
        <f>IF(AB988=1,IF(AA988&lt;Z988,1,0),0)</f>
        <v>0</v>
      </c>
      <c r="AD988" s="80">
        <f>IF(AB988=1,IF(AC988=1,1440-Z988+AA988,AA988-Z988),0)</f>
        <v>0</v>
      </c>
      <c r="AE988" s="80">
        <f>IF(J988="",0,IF(ISNUMBER(J988),J988,-1))</f>
        <v>0</v>
      </c>
      <c r="AF988" s="80">
        <f>MIN(MAX(0,AE988),AD988)</f>
        <v>0</v>
      </c>
      <c r="AG988" s="80">
        <f>MAX(0,AD988-MAX(0,AE988))</f>
        <v>0</v>
      </c>
      <c r="AH988" s="80">
        <f>IF(ISNUMBER(B988),IF(AND(INDEX(CFG_WDAYS,WEEKDAY(INT(B988),2))="Sí",IF(D988="proMX",COUNTIFS(FER_F,INT(B988),FER_NLP,"Sí"),COUNTIFS(FER_F,INT(B988),FER_NLM,"Sí"))=0),1,0),0)</f>
        <v>0</v>
      </c>
      <c r="AI988" s="80">
        <f>IF(AC988=1,IF(AND(INDEX(CFG_WDAYS,WEEKDAY(INT(B988)+1,2))="Sí",IF(D988="proMX",COUNTIFS(FER_F,INT(B988)+1,FER_NLP,"Sí"),COUNTIFS(FER_F,INT(B988)+1,FER_NLM,"Sí"))=0),1,0),0)</f>
        <v>0</v>
      </c>
      <c r="AJ988" s="80">
        <f>IF(AC988=1,1440-Z988,AD988)</f>
        <v>0</v>
      </c>
      <c r="AK988" s="80">
        <f>IF(AND(AB988=1,AH988=1),MAX(0,MIN(IF(AC988=1,1440,AA988),CFG_WEM)-MAX(Z988,CFG_WSM)),0)</f>
        <v>0</v>
      </c>
      <c r="AL988" s="80">
        <f>IF(AND(AC988=1,AI988=1),MAX(0,MIN(AA988,CFG_WEM)-CFG_WSM),0)</f>
        <v>0</v>
      </c>
      <c r="AM988" s="80">
        <f>AK988+AL988</f>
        <v>0</v>
      </c>
      <c r="AN988" s="80">
        <f>IF(CFG_BRK="Proporcional",IF(AD988=0,0,AF988*AM988/AD988),IF(CFG_BRK="Extras primero",MIN(AM988,MAX(0,AF988-(AD988-AM988))),MIN(AF988,AM988)))</f>
        <v>0</v>
      </c>
      <c r="AO988" s="80">
        <f>AF988-AN988</f>
        <v>0</v>
      </c>
      <c r="AP988" s="80">
        <f>AM988-AN988</f>
        <v>0</v>
      </c>
      <c r="AQ988" s="80">
        <f>AD988-AM988-AO988</f>
        <v>0</v>
      </c>
      <c r="AR988" s="80">
        <f>IF(AM988=0,0,AK988-AN988*AK988/AM988)</f>
        <v>0</v>
      </c>
      <c r="AS988" s="80">
        <f>IF(AD988-AM988=0,0,(AJ988-AK988)-AO988*(AJ988-AK988)/(AD988-AM988))</f>
        <v>0</v>
      </c>
      <c r="AT988" s="80" t="str">
        <f>IF(AC988=1,INT(B988)+1,"")</f>
        <v/>
      </c>
      <c r="AU988" s="80">
        <f>IF(AND(D988="proMX",R988="Cancelled"),0,1)</f>
        <v>1</v>
      </c>
      <c r="AV988" s="80">
        <f>IF(AND(AB988=1,AU988=1),IF(COUNTIFS($D$5:D987,D988,$B$5:B987,B988,$Z$5:Z987,Z988,$AA$5:AA987,AA988,$F$5:F987,F988&amp;"",$AU$5:AU987,1)&gt;0,1,0),0)</f>
        <v>0</v>
      </c>
      <c r="AW988" s="80" t="str">
        <f>IF(AB988=1,INT(B988)*1440+Z988,"")</f>
        <v/>
      </c>
      <c r="AX988" s="80" t="str">
        <f>IF(AB988=1,AW988+AD988,"")</f>
        <v/>
      </c>
      <c r="AY988" s="80">
        <f>IF(AND(AB988=1,AV988=0,AU988=1),1,0)</f>
        <v>0</v>
      </c>
      <c r="AZ988" s="80">
        <f>IF(AY988=1,COUNTIFS(R_Emp,D988,R_SAbs,"&lt;"&amp;AX988,R_EAbs,"&gt;"&amp;AW988,R_OKey,1)-1,0)</f>
        <v>0</v>
      </c>
      <c r="BA988" s="80">
        <f>IF(AY988=1,COUNTIFS(R_Emp,"&lt;&gt;"&amp;D988,R_SAbs,"&lt;"&amp;AX988,R_EAbs,"&gt;"&amp;AW988,R_OKey,1),0)</f>
        <v>0</v>
      </c>
      <c r="BB988" s="80">
        <f>IF(AND(AB988=1,D988="proMX"),IF(AND(MOD(Z988,CFG_BLK)=0,MOD(AA988,CFG_BLK)=0,MOD(AG988,CFG_BLK)=0,AG988&gt;0),1,0),1)</f>
        <v>1</v>
      </c>
      <c r="BC988" s="80" t="str">
        <f>IF(Y988=0,"",IF(NOT(ISNUMBER(B988)),"Falta fecha o fecha inválida",IF(D988="","Falta empresa",IF(AND(D988&lt;&gt;"Malcolm",D988&lt;&gt;"proMX"),"Empresa inválida",IF(OR(INT(B988)&lt;CFG_PSTART,INT(B988)&gt;CFG_PEND),"Fecha fuera del período",IF(OR(NOT(ISNUMBER(Z988)),NOT(ISNUMBER(AA988))),"Falta hora inicio/fin o formato inválido",IF(AB988=0,"Hora inicio = hora fin",IF(AE988&lt;0,"Descanso inválido",IF(AE988&gt;=AD988,"Descanso ≥ duración",IF(AV988=1,"Registro duplicado",IF(AZ988&gt;0,"Se superpone con otro registro "&amp;D988,IF(BB988=0,"inicio, fin y duración neta deben ser múltiplos de "&amp;CFG_BLK&amp;" min",""))))))))))))</f>
        <v/>
      </c>
      <c r="BD988" s="80">
        <f>IF(AND(Y988=1,BC988=""),1,0)</f>
        <v>0</v>
      </c>
      <c r="BE988" s="80">
        <f>IF(AND(BD988=1,AU988=1),1,0)</f>
        <v>0</v>
      </c>
      <c r="BF988" s="80" t="str">
        <f>IF(AND(D988="proMX",BD988=1),IF(R988="","Draft",R988),"")</f>
        <v/>
      </c>
      <c r="BG988" s="80">
        <f>IF(BD988=1,ROUND(AG988/60,6),0)</f>
        <v>0</v>
      </c>
      <c r="BH988" s="80">
        <f>IF(BE988=1,ROUND(AG988/60,6),0)</f>
        <v>0</v>
      </c>
      <c r="BI988" s="80">
        <f>IF(BE988=1,ROUND(AP988/60,6),0)</f>
        <v>0</v>
      </c>
      <c r="BJ988" s="80">
        <f>IF(BE988=1,ROUND(AQ988/60,6),0)</f>
        <v>0</v>
      </c>
      <c r="BK988" s="80">
        <f>IF(BE988=1,ROUND((AR988+AS988)/60,6),0)</f>
        <v>0</v>
      </c>
      <c r="BL988" s="80">
        <f>ROUND(BH988-BK988,6)</f>
        <v>0</v>
      </c>
      <c r="BM988" s="80">
        <f>IF(BE988=1,ROUND(AR988/60,6),0)</f>
        <v>0</v>
      </c>
      <c r="BN988" s="80">
        <f>ROUND(BI988-BM988,6)</f>
        <v>0</v>
      </c>
      <c r="BO988" s="80">
        <f>IF(BE988=1,ROUND(AS988/60,6),0)</f>
        <v>0</v>
      </c>
      <c r="BP988" s="80">
        <f>ROUND(BJ988-BO988,6)</f>
        <v>0</v>
      </c>
      <c r="BQ988" s="80">
        <f>IF(BE988=1,AW988,0)</f>
        <v>0</v>
      </c>
      <c r="BR988" s="80">
        <f>IF(BE988=1,AX988,0)</f>
        <v>0</v>
      </c>
      <c r="BS988" s="80">
        <f>IF(AND(BE988=1,D988="Malcolm",BA988&gt;0),MIN(BH988,SUMPRODUCT((R_Emp="proMX")*(R_EN&gt;0)*((R_EN-(R_EN&gt;BR988)*(R_EN-BR988))&gt;(R_SN+(R_SN&lt;BQ988)*(BQ988-R_SN)))*((R_EN-(R_EN&gt;BR988)*(R_EN-BR988))-(R_SN+(R_SN&lt;BQ988)*(BQ988-R_SN))))/60),0)</f>
        <v>0</v>
      </c>
      <c r="BT988" s="80">
        <f>IF(AND(BE988=1,D988="proMX"),ROUND(BI988*CFG_RATE+BJ988*CFG_OTRATE,6),0)</f>
        <v>0</v>
      </c>
      <c r="BU988" s="80">
        <f>IF(AND(BD988=1,D988="proMX"),ROUND(AG988/CFG_BLK,6),0)</f>
        <v>0</v>
      </c>
      <c r="BV988" s="80" t="str">
        <f>IF(BF988="Approved",IF(ISNUMBER(T988),INT(T988),INT(B988)),"")</f>
        <v/>
      </c>
      <c r="BW988" s="80">
        <f>IF(ISNUMBER(B988),IF(DB_MON="Todos",1,IF(AND(INT(B988)&gt;=DB_MS,INT(B988)&lt;=DB_ME),1,0)),0)</f>
        <v>0</v>
      </c>
      <c r="BX988" s="80">
        <f>IF(DB_PROJ="Todos",1,IF(E988&amp;""=DB_PROJ&amp;"",1,0))</f>
        <v>1</v>
      </c>
      <c r="BY988" s="80">
        <f>BW988*BX988</f>
        <v>0</v>
      </c>
      <c r="BZ988" s="80" t="str">
        <f>IF(Y988=1,F988&amp;IF(AND(F988&amp;""&lt;&gt;"",E988&amp;""&lt;&gt;"")," · ","")&amp;E988,"")</f>
        <v/>
      </c>
      <c r="CA988" s="80" t="str">
        <f>IF(AND(BD988=1,E988&amp;""&lt;&gt;""),IF(COUNTIFS($E$5:E987,E988,$BD$5:BD987,1)=0,MAX($CA$5:CA987)+1,""),"")</f>
        <v/>
      </c>
      <c r="CB988" s="80" t="str">
        <f>IF(AND(BE988=1,D988="Malcolm",E988&amp;""&lt;&gt;""),IF(COUNTIFS($D$5:D987,"Malcolm",$E$5:E987,E988,$BE$5:BE987,1)=0,MAX($CB$5:CB987)+1,""),"")</f>
        <v/>
      </c>
      <c r="CC988" s="80" t="str">
        <f>IF(AND(BD988=1,D988="proMX",E988&amp;""&lt;&gt;""),IF(COUNTIFS($D$5:D987,"proMX",$E$5:E987,E988,$BD$5:BD987,1)=0,MAX($CC$5:CC987)+1,""),"")</f>
        <v/>
      </c>
      <c r="CD988" s="80" t="str">
        <f>IF(AND(BE988=1,D988="Malcolm",F988&amp;""&lt;&gt;""),IF(COUNTIFS($D$5:D987,"Malcolm",$F$5:F987,F988,$BE$5:BE987,1)=0,MAX($CD$5:CD987)+1,""),"")</f>
        <v/>
      </c>
      <c r="CE988" s="80" t="str">
        <f>IF(AND(BD988=1,D988="proMX",F988&amp;""&lt;&gt;""),IF(COUNTIFS($D$5:D987,"proMX",$F$5:F987,F988,$BD$5:BD987,1)=0,MAX($CE$5:CE987)+1,""),"")</f>
        <v/>
      </c>
      <c r="CF988" s="80" t="str">
        <f>IF(AND(D988="proMX",BD988=1),IF(OR(BF988="Draft",BF988="Submitted",BF988="Returned",BF988="Recall Requested"),MAX($CF$5:CF987)+1,""),"")</f>
        <v/>
      </c>
      <c r="CG988" s="80">
        <f>IF(BD988=0,0,IF(D988="Malcolm",1,MATCH(BF988,{"Draft","Submitted","Approved","Returned","Recall Requested","Cancelled"},0)+1))</f>
        <v>0</v>
      </c>
      <c r="CH988" s="80">
        <f>IF(AND(BF988="Submitted",ISNUMBER(V988)),IF(V988&gt;CFG_MAXD,1,0),0)</f>
        <v>0</v>
      </c>
    </row>
    <row r="989">
      <c r="A989" s="71" t="str">
        <f>IF(Y989=1,ROW()-5,"")</f>
        <v/>
      </c>
      <c r="B989" s="72" t="n"/>
      <c r="C989" s="71" t="str">
        <f>IF(ISNUMBER(B989),CHOOSE(WEEKDAY(B989,2),"Lun","Mar","Mié","Jue","Vie","Sáb","Dom"),"")</f>
        <v/>
      </c>
      <c r="D989" s="73" t="n"/>
      <c r="E989" s="74" t="n"/>
      <c r="F989" s="74" t="n"/>
      <c r="G989" s="74" t="n"/>
      <c r="H989" s="75" t="n"/>
      <c r="I989" s="75" t="n"/>
      <c r="J989" s="76" t="n"/>
      <c r="K989" s="77" t="str">
        <f>IF(AB989=1,ROUND(AG989/60,4),"")</f>
        <v/>
      </c>
      <c r="L989" s="77" t="str">
        <f>IF(BD989=1,ROUND(AP989/60,4),"")</f>
        <v/>
      </c>
      <c r="M989" s="77" t="str">
        <f>IF(BD989=1,ROUND(AQ989/60,4),"")</f>
        <v/>
      </c>
      <c r="N989" s="71" t="str">
        <f>IF(AND(D989="proMX",AB989=1),ROUND(AG989/CFG_BLK,2),"")</f>
        <v/>
      </c>
      <c r="O989" s="77" t="str">
        <f>IF(D989="proMX",IF(BD989=1,ROUND(AG989/60,4),0),"")</f>
        <v/>
      </c>
      <c r="P989" s="78" t="str">
        <f>IF(Y989=0,"",IF(BD989=1,"OK",IF(D989="proMX","Revisar bloques: ","Revisar: ")&amp;BC989))</f>
        <v/>
      </c>
      <c r="Q989" s="78" t="str">
        <f>IF(NOT(ISNUMBER(B989)),"",IF(COUNTIFS(FER_F,INT(B989))&gt;0,"Feriado"&amp;IF(AH989=1," (laborable)"," (no laborable)"),IF(AH989=1,"Laborable",IF(WEEKDAY(B989,2)&gt;5,"Fin de semana","No laborable"))))</f>
        <v/>
      </c>
      <c r="R989" s="73" t="n"/>
      <c r="S989" s="72" t="n"/>
      <c r="T989" s="72" t="n"/>
      <c r="U989" s="74" t="n"/>
      <c r="V989" s="79" t="str">
        <f>IF(AND(D989="proMX",OR(R989="Submitted",R989="Recall Requested"),ISNUMBER(S989)),CFG_TODAY-INT(S989),"")</f>
        <v/>
      </c>
      <c r="W989" s="78" t="str">
        <f>IF(BD989=0,"",IF(BA989&gt;0,"⚠ Se superpone con un registro de la otra empresa",IF(D989="Malcolm",IF(COUNTA(R989,S989,T989)&gt;0,"Estado/fechas proMX se ignoran en Malcolm",""),IF(BF989="Cancelled","Cancelado: excluido de totales",IF(R989="","Sin estado: se trata como Draft",IF(BF989="Submitted",IF(ISNUMBER(V989),IF(V989&gt;CFG_MAXD,"⚠ "&amp;V989&amp;" días en Submitted (máx. "&amp;CFG_MAXD&amp;")",""),"Falta fecha de envío"),IF(BF989="Returned","⚠ Devuelto: corregir y reenviar",IF(BF989="Recall Requested","Retirada solicitada: pendiente",IF(AND(BF989="Approved",NOT(ISNUMBER(T989))),"Falta fecha de aprobación",IF(AND(ISNUMBER(S989),ISNUMBER(T989),T989&lt;S989),"Aprobación anterior al envío","")))))))))</f>
        <v/>
      </c>
      <c r="Y989" s="80">
        <f>IF(COUNTA(B989,D989,E989,F989,G989,H989,I989,J989,R989,S989,T989)&gt;0,1,0)</f>
        <v>0</v>
      </c>
      <c r="Z989" s="80" t="str">
        <f>IF(AND(ISNUMBER(H989),H989&gt;=0,H989&lt;1),ROUND(H989*1440,0),"")</f>
        <v/>
      </c>
      <c r="AA989" s="80" t="str">
        <f>IF(AND(ISNUMBER(I989),I989&gt;=0,I989&lt;1),ROUND(I989*1440,0),"")</f>
        <v/>
      </c>
      <c r="AB989" s="80">
        <f>IF(AND(ISNUMBER(B989),D989&lt;&gt;"",ISNUMBER(Z989),ISNUMBER(AA989)),IF(Z989=AA989,0,1),0)</f>
        <v>0</v>
      </c>
      <c r="AC989" s="80">
        <f>IF(AB989=1,IF(AA989&lt;Z989,1,0),0)</f>
        <v>0</v>
      </c>
      <c r="AD989" s="80">
        <f>IF(AB989=1,IF(AC989=1,1440-Z989+AA989,AA989-Z989),0)</f>
        <v>0</v>
      </c>
      <c r="AE989" s="80">
        <f>IF(J989="",0,IF(ISNUMBER(J989),J989,-1))</f>
        <v>0</v>
      </c>
      <c r="AF989" s="80">
        <f>MIN(MAX(0,AE989),AD989)</f>
        <v>0</v>
      </c>
      <c r="AG989" s="80">
        <f>MAX(0,AD989-MAX(0,AE989))</f>
        <v>0</v>
      </c>
      <c r="AH989" s="80">
        <f>IF(ISNUMBER(B989),IF(AND(INDEX(CFG_WDAYS,WEEKDAY(INT(B989),2))="Sí",IF(D989="proMX",COUNTIFS(FER_F,INT(B989),FER_NLP,"Sí"),COUNTIFS(FER_F,INT(B989),FER_NLM,"Sí"))=0),1,0),0)</f>
        <v>0</v>
      </c>
      <c r="AI989" s="80">
        <f>IF(AC989=1,IF(AND(INDEX(CFG_WDAYS,WEEKDAY(INT(B989)+1,2))="Sí",IF(D989="proMX",COUNTIFS(FER_F,INT(B989)+1,FER_NLP,"Sí"),COUNTIFS(FER_F,INT(B989)+1,FER_NLM,"Sí"))=0),1,0),0)</f>
        <v>0</v>
      </c>
      <c r="AJ989" s="80">
        <f>IF(AC989=1,1440-Z989,AD989)</f>
        <v>0</v>
      </c>
      <c r="AK989" s="80">
        <f>IF(AND(AB989=1,AH989=1),MAX(0,MIN(IF(AC989=1,1440,AA989),CFG_WEM)-MAX(Z989,CFG_WSM)),0)</f>
        <v>0</v>
      </c>
      <c r="AL989" s="80">
        <f>IF(AND(AC989=1,AI989=1),MAX(0,MIN(AA989,CFG_WEM)-CFG_WSM),0)</f>
        <v>0</v>
      </c>
      <c r="AM989" s="80">
        <f>AK989+AL989</f>
        <v>0</v>
      </c>
      <c r="AN989" s="80">
        <f>IF(CFG_BRK="Proporcional",IF(AD989=0,0,AF989*AM989/AD989),IF(CFG_BRK="Extras primero",MIN(AM989,MAX(0,AF989-(AD989-AM989))),MIN(AF989,AM989)))</f>
        <v>0</v>
      </c>
      <c r="AO989" s="80">
        <f>AF989-AN989</f>
        <v>0</v>
      </c>
      <c r="AP989" s="80">
        <f>AM989-AN989</f>
        <v>0</v>
      </c>
      <c r="AQ989" s="80">
        <f>AD989-AM989-AO989</f>
        <v>0</v>
      </c>
      <c r="AR989" s="80">
        <f>IF(AM989=0,0,AK989-AN989*AK989/AM989)</f>
        <v>0</v>
      </c>
      <c r="AS989" s="80">
        <f>IF(AD989-AM989=0,0,(AJ989-AK989)-AO989*(AJ989-AK989)/(AD989-AM989))</f>
        <v>0</v>
      </c>
      <c r="AT989" s="80" t="str">
        <f>IF(AC989=1,INT(B989)+1,"")</f>
        <v/>
      </c>
      <c r="AU989" s="80">
        <f>IF(AND(D989="proMX",R989="Cancelled"),0,1)</f>
        <v>1</v>
      </c>
      <c r="AV989" s="80">
        <f>IF(AND(AB989=1,AU989=1),IF(COUNTIFS($D$5:D988,D989,$B$5:B988,B989,$Z$5:Z988,Z989,$AA$5:AA988,AA989,$F$5:F988,F989&amp;"",$AU$5:AU988,1)&gt;0,1,0),0)</f>
        <v>0</v>
      </c>
      <c r="AW989" s="80" t="str">
        <f>IF(AB989=1,INT(B989)*1440+Z989,"")</f>
        <v/>
      </c>
      <c r="AX989" s="80" t="str">
        <f>IF(AB989=1,AW989+AD989,"")</f>
        <v/>
      </c>
      <c r="AY989" s="80">
        <f>IF(AND(AB989=1,AV989=0,AU989=1),1,0)</f>
        <v>0</v>
      </c>
      <c r="AZ989" s="80">
        <f>IF(AY989=1,COUNTIFS(R_Emp,D989,R_SAbs,"&lt;"&amp;AX989,R_EAbs,"&gt;"&amp;AW989,R_OKey,1)-1,0)</f>
        <v>0</v>
      </c>
      <c r="BA989" s="80">
        <f>IF(AY989=1,COUNTIFS(R_Emp,"&lt;&gt;"&amp;D989,R_SAbs,"&lt;"&amp;AX989,R_EAbs,"&gt;"&amp;AW989,R_OKey,1),0)</f>
        <v>0</v>
      </c>
      <c r="BB989" s="80">
        <f>IF(AND(AB989=1,D989="proMX"),IF(AND(MOD(Z989,CFG_BLK)=0,MOD(AA989,CFG_BLK)=0,MOD(AG989,CFG_BLK)=0,AG989&gt;0),1,0),1)</f>
        <v>1</v>
      </c>
      <c r="BC989" s="80" t="str">
        <f>IF(Y989=0,"",IF(NOT(ISNUMBER(B989)),"Falta fecha o fecha inválida",IF(D989="","Falta empresa",IF(AND(D989&lt;&gt;"Malcolm",D989&lt;&gt;"proMX"),"Empresa inválida",IF(OR(INT(B989)&lt;CFG_PSTART,INT(B989)&gt;CFG_PEND),"Fecha fuera del período",IF(OR(NOT(ISNUMBER(Z989)),NOT(ISNUMBER(AA989))),"Falta hora inicio/fin o formato inválido",IF(AB989=0,"Hora inicio = hora fin",IF(AE989&lt;0,"Descanso inválido",IF(AE989&gt;=AD989,"Descanso ≥ duración",IF(AV989=1,"Registro duplicado",IF(AZ989&gt;0,"Se superpone con otro registro "&amp;D989,IF(BB989=0,"inicio, fin y duración neta deben ser múltiplos de "&amp;CFG_BLK&amp;" min",""))))))))))))</f>
        <v/>
      </c>
      <c r="BD989" s="80">
        <f>IF(AND(Y989=1,BC989=""),1,0)</f>
        <v>0</v>
      </c>
      <c r="BE989" s="80">
        <f>IF(AND(BD989=1,AU989=1),1,0)</f>
        <v>0</v>
      </c>
      <c r="BF989" s="80" t="str">
        <f>IF(AND(D989="proMX",BD989=1),IF(R989="","Draft",R989),"")</f>
        <v/>
      </c>
      <c r="BG989" s="80">
        <f>IF(BD989=1,ROUND(AG989/60,6),0)</f>
        <v>0</v>
      </c>
      <c r="BH989" s="80">
        <f>IF(BE989=1,ROUND(AG989/60,6),0)</f>
        <v>0</v>
      </c>
      <c r="BI989" s="80">
        <f>IF(BE989=1,ROUND(AP989/60,6),0)</f>
        <v>0</v>
      </c>
      <c r="BJ989" s="80">
        <f>IF(BE989=1,ROUND(AQ989/60,6),0)</f>
        <v>0</v>
      </c>
      <c r="BK989" s="80">
        <f>IF(BE989=1,ROUND((AR989+AS989)/60,6),0)</f>
        <v>0</v>
      </c>
      <c r="BL989" s="80">
        <f>ROUND(BH989-BK989,6)</f>
        <v>0</v>
      </c>
      <c r="BM989" s="80">
        <f>IF(BE989=1,ROUND(AR989/60,6),0)</f>
        <v>0</v>
      </c>
      <c r="BN989" s="80">
        <f>ROUND(BI989-BM989,6)</f>
        <v>0</v>
      </c>
      <c r="BO989" s="80">
        <f>IF(BE989=1,ROUND(AS989/60,6),0)</f>
        <v>0</v>
      </c>
      <c r="BP989" s="80">
        <f>ROUND(BJ989-BO989,6)</f>
        <v>0</v>
      </c>
      <c r="BQ989" s="80">
        <f>IF(BE989=1,AW989,0)</f>
        <v>0</v>
      </c>
      <c r="BR989" s="80">
        <f>IF(BE989=1,AX989,0)</f>
        <v>0</v>
      </c>
      <c r="BS989" s="80">
        <f>IF(AND(BE989=1,D989="Malcolm",BA989&gt;0),MIN(BH989,SUMPRODUCT((R_Emp="proMX")*(R_EN&gt;0)*((R_EN-(R_EN&gt;BR989)*(R_EN-BR989))&gt;(R_SN+(R_SN&lt;BQ989)*(BQ989-R_SN)))*((R_EN-(R_EN&gt;BR989)*(R_EN-BR989))-(R_SN+(R_SN&lt;BQ989)*(BQ989-R_SN))))/60),0)</f>
        <v>0</v>
      </c>
      <c r="BT989" s="80">
        <f>IF(AND(BE989=1,D989="proMX"),ROUND(BI989*CFG_RATE+BJ989*CFG_OTRATE,6),0)</f>
        <v>0</v>
      </c>
      <c r="BU989" s="80">
        <f>IF(AND(BD989=1,D989="proMX"),ROUND(AG989/CFG_BLK,6),0)</f>
        <v>0</v>
      </c>
      <c r="BV989" s="80" t="str">
        <f>IF(BF989="Approved",IF(ISNUMBER(T989),INT(T989),INT(B989)),"")</f>
        <v/>
      </c>
      <c r="BW989" s="80">
        <f>IF(ISNUMBER(B989),IF(DB_MON="Todos",1,IF(AND(INT(B989)&gt;=DB_MS,INT(B989)&lt;=DB_ME),1,0)),0)</f>
        <v>0</v>
      </c>
      <c r="BX989" s="80">
        <f>IF(DB_PROJ="Todos",1,IF(E989&amp;""=DB_PROJ&amp;"",1,0))</f>
        <v>1</v>
      </c>
      <c r="BY989" s="80">
        <f>BW989*BX989</f>
        <v>0</v>
      </c>
      <c r="BZ989" s="80" t="str">
        <f>IF(Y989=1,F989&amp;IF(AND(F989&amp;""&lt;&gt;"",E989&amp;""&lt;&gt;"")," · ","")&amp;E989,"")</f>
        <v/>
      </c>
      <c r="CA989" s="80" t="str">
        <f>IF(AND(BD989=1,E989&amp;""&lt;&gt;""),IF(COUNTIFS($E$5:E988,E989,$BD$5:BD988,1)=0,MAX($CA$5:CA988)+1,""),"")</f>
        <v/>
      </c>
      <c r="CB989" s="80" t="str">
        <f>IF(AND(BE989=1,D989="Malcolm",E989&amp;""&lt;&gt;""),IF(COUNTIFS($D$5:D988,"Malcolm",$E$5:E988,E989,$BE$5:BE988,1)=0,MAX($CB$5:CB988)+1,""),"")</f>
        <v/>
      </c>
      <c r="CC989" s="80" t="str">
        <f>IF(AND(BD989=1,D989="proMX",E989&amp;""&lt;&gt;""),IF(COUNTIFS($D$5:D988,"proMX",$E$5:E988,E989,$BD$5:BD988,1)=0,MAX($CC$5:CC988)+1,""),"")</f>
        <v/>
      </c>
      <c r="CD989" s="80" t="str">
        <f>IF(AND(BE989=1,D989="Malcolm",F989&amp;""&lt;&gt;""),IF(COUNTIFS($D$5:D988,"Malcolm",$F$5:F988,F989,$BE$5:BE988,1)=0,MAX($CD$5:CD988)+1,""),"")</f>
        <v/>
      </c>
      <c r="CE989" s="80" t="str">
        <f>IF(AND(BD989=1,D989="proMX",F989&amp;""&lt;&gt;""),IF(COUNTIFS($D$5:D988,"proMX",$F$5:F988,F989,$BD$5:BD988,1)=0,MAX($CE$5:CE988)+1,""),"")</f>
        <v/>
      </c>
      <c r="CF989" s="80" t="str">
        <f>IF(AND(D989="proMX",BD989=1),IF(OR(BF989="Draft",BF989="Submitted",BF989="Returned",BF989="Recall Requested"),MAX($CF$5:CF988)+1,""),"")</f>
        <v/>
      </c>
      <c r="CG989" s="80">
        <f>IF(BD989=0,0,IF(D989="Malcolm",1,MATCH(BF989,{"Draft","Submitted","Approved","Returned","Recall Requested","Cancelled"},0)+1))</f>
        <v>0</v>
      </c>
      <c r="CH989" s="80">
        <f>IF(AND(BF989="Submitted",ISNUMBER(V989)),IF(V989&gt;CFG_MAXD,1,0),0)</f>
        <v>0</v>
      </c>
    </row>
    <row r="990">
      <c r="A990" s="71" t="str">
        <f>IF(Y990=1,ROW()-5,"")</f>
        <v/>
      </c>
      <c r="B990" s="72" t="n"/>
      <c r="C990" s="71" t="str">
        <f>IF(ISNUMBER(B990),CHOOSE(WEEKDAY(B990,2),"Lun","Mar","Mié","Jue","Vie","Sáb","Dom"),"")</f>
        <v/>
      </c>
      <c r="D990" s="73" t="n"/>
      <c r="E990" s="74" t="n"/>
      <c r="F990" s="74" t="n"/>
      <c r="G990" s="74" t="n"/>
      <c r="H990" s="75" t="n"/>
      <c r="I990" s="75" t="n"/>
      <c r="J990" s="76" t="n"/>
      <c r="K990" s="77" t="str">
        <f>IF(AB990=1,ROUND(AG990/60,4),"")</f>
        <v/>
      </c>
      <c r="L990" s="77" t="str">
        <f>IF(BD990=1,ROUND(AP990/60,4),"")</f>
        <v/>
      </c>
      <c r="M990" s="77" t="str">
        <f>IF(BD990=1,ROUND(AQ990/60,4),"")</f>
        <v/>
      </c>
      <c r="N990" s="71" t="str">
        <f>IF(AND(D990="proMX",AB990=1),ROUND(AG990/CFG_BLK,2),"")</f>
        <v/>
      </c>
      <c r="O990" s="77" t="str">
        <f>IF(D990="proMX",IF(BD990=1,ROUND(AG990/60,4),0),"")</f>
        <v/>
      </c>
      <c r="P990" s="78" t="str">
        <f>IF(Y990=0,"",IF(BD990=1,"OK",IF(D990="proMX","Revisar bloques: ","Revisar: ")&amp;BC990))</f>
        <v/>
      </c>
      <c r="Q990" s="78" t="str">
        <f>IF(NOT(ISNUMBER(B990)),"",IF(COUNTIFS(FER_F,INT(B990))&gt;0,"Feriado"&amp;IF(AH990=1," (laborable)"," (no laborable)"),IF(AH990=1,"Laborable",IF(WEEKDAY(B990,2)&gt;5,"Fin de semana","No laborable"))))</f>
        <v/>
      </c>
      <c r="R990" s="73" t="n"/>
      <c r="S990" s="72" t="n"/>
      <c r="T990" s="72" t="n"/>
      <c r="U990" s="74" t="n"/>
      <c r="V990" s="79" t="str">
        <f>IF(AND(D990="proMX",OR(R990="Submitted",R990="Recall Requested"),ISNUMBER(S990)),CFG_TODAY-INT(S990),"")</f>
        <v/>
      </c>
      <c r="W990" s="78" t="str">
        <f>IF(BD990=0,"",IF(BA990&gt;0,"⚠ Se superpone con un registro de la otra empresa",IF(D990="Malcolm",IF(COUNTA(R990,S990,T990)&gt;0,"Estado/fechas proMX se ignoran en Malcolm",""),IF(BF990="Cancelled","Cancelado: excluido de totales",IF(R990="","Sin estado: se trata como Draft",IF(BF990="Submitted",IF(ISNUMBER(V990),IF(V990&gt;CFG_MAXD,"⚠ "&amp;V990&amp;" días en Submitted (máx. "&amp;CFG_MAXD&amp;")",""),"Falta fecha de envío"),IF(BF990="Returned","⚠ Devuelto: corregir y reenviar",IF(BF990="Recall Requested","Retirada solicitada: pendiente",IF(AND(BF990="Approved",NOT(ISNUMBER(T990))),"Falta fecha de aprobación",IF(AND(ISNUMBER(S990),ISNUMBER(T990),T990&lt;S990),"Aprobación anterior al envío","")))))))))</f>
        <v/>
      </c>
      <c r="Y990" s="80">
        <f>IF(COUNTA(B990,D990,E990,F990,G990,H990,I990,J990,R990,S990,T990)&gt;0,1,0)</f>
        <v>0</v>
      </c>
      <c r="Z990" s="80" t="str">
        <f>IF(AND(ISNUMBER(H990),H990&gt;=0,H990&lt;1),ROUND(H990*1440,0),"")</f>
        <v/>
      </c>
      <c r="AA990" s="80" t="str">
        <f>IF(AND(ISNUMBER(I990),I990&gt;=0,I990&lt;1),ROUND(I990*1440,0),"")</f>
        <v/>
      </c>
      <c r="AB990" s="80">
        <f>IF(AND(ISNUMBER(B990),D990&lt;&gt;"",ISNUMBER(Z990),ISNUMBER(AA990)),IF(Z990=AA990,0,1),0)</f>
        <v>0</v>
      </c>
      <c r="AC990" s="80">
        <f>IF(AB990=1,IF(AA990&lt;Z990,1,0),0)</f>
        <v>0</v>
      </c>
      <c r="AD990" s="80">
        <f>IF(AB990=1,IF(AC990=1,1440-Z990+AA990,AA990-Z990),0)</f>
        <v>0</v>
      </c>
      <c r="AE990" s="80">
        <f>IF(J990="",0,IF(ISNUMBER(J990),J990,-1))</f>
        <v>0</v>
      </c>
      <c r="AF990" s="80">
        <f>MIN(MAX(0,AE990),AD990)</f>
        <v>0</v>
      </c>
      <c r="AG990" s="80">
        <f>MAX(0,AD990-MAX(0,AE990))</f>
        <v>0</v>
      </c>
      <c r="AH990" s="80">
        <f>IF(ISNUMBER(B990),IF(AND(INDEX(CFG_WDAYS,WEEKDAY(INT(B990),2))="Sí",IF(D990="proMX",COUNTIFS(FER_F,INT(B990),FER_NLP,"Sí"),COUNTIFS(FER_F,INT(B990),FER_NLM,"Sí"))=0),1,0),0)</f>
        <v>0</v>
      </c>
      <c r="AI990" s="80">
        <f>IF(AC990=1,IF(AND(INDEX(CFG_WDAYS,WEEKDAY(INT(B990)+1,2))="Sí",IF(D990="proMX",COUNTIFS(FER_F,INT(B990)+1,FER_NLP,"Sí"),COUNTIFS(FER_F,INT(B990)+1,FER_NLM,"Sí"))=0),1,0),0)</f>
        <v>0</v>
      </c>
      <c r="AJ990" s="80">
        <f>IF(AC990=1,1440-Z990,AD990)</f>
        <v>0</v>
      </c>
      <c r="AK990" s="80">
        <f>IF(AND(AB990=1,AH990=1),MAX(0,MIN(IF(AC990=1,1440,AA990),CFG_WEM)-MAX(Z990,CFG_WSM)),0)</f>
        <v>0</v>
      </c>
      <c r="AL990" s="80">
        <f>IF(AND(AC990=1,AI990=1),MAX(0,MIN(AA990,CFG_WEM)-CFG_WSM),0)</f>
        <v>0</v>
      </c>
      <c r="AM990" s="80">
        <f>AK990+AL990</f>
        <v>0</v>
      </c>
      <c r="AN990" s="80">
        <f>IF(CFG_BRK="Proporcional",IF(AD990=0,0,AF990*AM990/AD990),IF(CFG_BRK="Extras primero",MIN(AM990,MAX(0,AF990-(AD990-AM990))),MIN(AF990,AM990)))</f>
        <v>0</v>
      </c>
      <c r="AO990" s="80">
        <f>AF990-AN990</f>
        <v>0</v>
      </c>
      <c r="AP990" s="80">
        <f>AM990-AN990</f>
        <v>0</v>
      </c>
      <c r="AQ990" s="80">
        <f>AD990-AM990-AO990</f>
        <v>0</v>
      </c>
      <c r="AR990" s="80">
        <f>IF(AM990=0,0,AK990-AN990*AK990/AM990)</f>
        <v>0</v>
      </c>
      <c r="AS990" s="80">
        <f>IF(AD990-AM990=0,0,(AJ990-AK990)-AO990*(AJ990-AK990)/(AD990-AM990))</f>
        <v>0</v>
      </c>
      <c r="AT990" s="80" t="str">
        <f>IF(AC990=1,INT(B990)+1,"")</f>
        <v/>
      </c>
      <c r="AU990" s="80">
        <f>IF(AND(D990="proMX",R990="Cancelled"),0,1)</f>
        <v>1</v>
      </c>
      <c r="AV990" s="80">
        <f>IF(AND(AB990=1,AU990=1),IF(COUNTIFS($D$5:D989,D990,$B$5:B989,B990,$Z$5:Z989,Z990,$AA$5:AA989,AA990,$F$5:F989,F990&amp;"",$AU$5:AU989,1)&gt;0,1,0),0)</f>
        <v>0</v>
      </c>
      <c r="AW990" s="80" t="str">
        <f>IF(AB990=1,INT(B990)*1440+Z990,"")</f>
        <v/>
      </c>
      <c r="AX990" s="80" t="str">
        <f>IF(AB990=1,AW990+AD990,"")</f>
        <v/>
      </c>
      <c r="AY990" s="80">
        <f>IF(AND(AB990=1,AV990=0,AU990=1),1,0)</f>
        <v>0</v>
      </c>
      <c r="AZ990" s="80">
        <f>IF(AY990=1,COUNTIFS(R_Emp,D990,R_SAbs,"&lt;"&amp;AX990,R_EAbs,"&gt;"&amp;AW990,R_OKey,1)-1,0)</f>
        <v>0</v>
      </c>
      <c r="BA990" s="80">
        <f>IF(AY990=1,COUNTIFS(R_Emp,"&lt;&gt;"&amp;D990,R_SAbs,"&lt;"&amp;AX990,R_EAbs,"&gt;"&amp;AW990,R_OKey,1),0)</f>
        <v>0</v>
      </c>
      <c r="BB990" s="80">
        <f>IF(AND(AB990=1,D990="proMX"),IF(AND(MOD(Z990,CFG_BLK)=0,MOD(AA990,CFG_BLK)=0,MOD(AG990,CFG_BLK)=0,AG990&gt;0),1,0),1)</f>
        <v>1</v>
      </c>
      <c r="BC990" s="80" t="str">
        <f>IF(Y990=0,"",IF(NOT(ISNUMBER(B990)),"Falta fecha o fecha inválida",IF(D990="","Falta empresa",IF(AND(D990&lt;&gt;"Malcolm",D990&lt;&gt;"proMX"),"Empresa inválida",IF(OR(INT(B990)&lt;CFG_PSTART,INT(B990)&gt;CFG_PEND),"Fecha fuera del período",IF(OR(NOT(ISNUMBER(Z990)),NOT(ISNUMBER(AA990))),"Falta hora inicio/fin o formato inválido",IF(AB990=0,"Hora inicio = hora fin",IF(AE990&lt;0,"Descanso inválido",IF(AE990&gt;=AD990,"Descanso ≥ duración",IF(AV990=1,"Registro duplicado",IF(AZ990&gt;0,"Se superpone con otro registro "&amp;D990,IF(BB990=0,"inicio, fin y duración neta deben ser múltiplos de "&amp;CFG_BLK&amp;" min",""))))))))))))</f>
        <v/>
      </c>
      <c r="BD990" s="80">
        <f>IF(AND(Y990=1,BC990=""),1,0)</f>
        <v>0</v>
      </c>
      <c r="BE990" s="80">
        <f>IF(AND(BD990=1,AU990=1),1,0)</f>
        <v>0</v>
      </c>
      <c r="BF990" s="80" t="str">
        <f>IF(AND(D990="proMX",BD990=1),IF(R990="","Draft",R990),"")</f>
        <v/>
      </c>
      <c r="BG990" s="80">
        <f>IF(BD990=1,ROUND(AG990/60,6),0)</f>
        <v>0</v>
      </c>
      <c r="BH990" s="80">
        <f>IF(BE990=1,ROUND(AG990/60,6),0)</f>
        <v>0</v>
      </c>
      <c r="BI990" s="80">
        <f>IF(BE990=1,ROUND(AP990/60,6),0)</f>
        <v>0</v>
      </c>
      <c r="BJ990" s="80">
        <f>IF(BE990=1,ROUND(AQ990/60,6),0)</f>
        <v>0</v>
      </c>
      <c r="BK990" s="80">
        <f>IF(BE990=1,ROUND((AR990+AS990)/60,6),0)</f>
        <v>0</v>
      </c>
      <c r="BL990" s="80">
        <f>ROUND(BH990-BK990,6)</f>
        <v>0</v>
      </c>
      <c r="BM990" s="80">
        <f>IF(BE990=1,ROUND(AR990/60,6),0)</f>
        <v>0</v>
      </c>
      <c r="BN990" s="80">
        <f>ROUND(BI990-BM990,6)</f>
        <v>0</v>
      </c>
      <c r="BO990" s="80">
        <f>IF(BE990=1,ROUND(AS990/60,6),0)</f>
        <v>0</v>
      </c>
      <c r="BP990" s="80">
        <f>ROUND(BJ990-BO990,6)</f>
        <v>0</v>
      </c>
      <c r="BQ990" s="80">
        <f>IF(BE990=1,AW990,0)</f>
        <v>0</v>
      </c>
      <c r="BR990" s="80">
        <f>IF(BE990=1,AX990,0)</f>
        <v>0</v>
      </c>
      <c r="BS990" s="80">
        <f>IF(AND(BE990=1,D990="Malcolm",BA990&gt;0),MIN(BH990,SUMPRODUCT((R_Emp="proMX")*(R_EN&gt;0)*((R_EN-(R_EN&gt;BR990)*(R_EN-BR990))&gt;(R_SN+(R_SN&lt;BQ990)*(BQ990-R_SN)))*((R_EN-(R_EN&gt;BR990)*(R_EN-BR990))-(R_SN+(R_SN&lt;BQ990)*(BQ990-R_SN))))/60),0)</f>
        <v>0</v>
      </c>
      <c r="BT990" s="80">
        <f>IF(AND(BE990=1,D990="proMX"),ROUND(BI990*CFG_RATE+BJ990*CFG_OTRATE,6),0)</f>
        <v>0</v>
      </c>
      <c r="BU990" s="80">
        <f>IF(AND(BD990=1,D990="proMX"),ROUND(AG990/CFG_BLK,6),0)</f>
        <v>0</v>
      </c>
      <c r="BV990" s="80" t="str">
        <f>IF(BF990="Approved",IF(ISNUMBER(T990),INT(T990),INT(B990)),"")</f>
        <v/>
      </c>
      <c r="BW990" s="80">
        <f>IF(ISNUMBER(B990),IF(DB_MON="Todos",1,IF(AND(INT(B990)&gt;=DB_MS,INT(B990)&lt;=DB_ME),1,0)),0)</f>
        <v>0</v>
      </c>
      <c r="BX990" s="80">
        <f>IF(DB_PROJ="Todos",1,IF(E990&amp;""=DB_PROJ&amp;"",1,0))</f>
        <v>1</v>
      </c>
      <c r="BY990" s="80">
        <f>BW990*BX990</f>
        <v>0</v>
      </c>
      <c r="BZ990" s="80" t="str">
        <f>IF(Y990=1,F990&amp;IF(AND(F990&amp;""&lt;&gt;"",E990&amp;""&lt;&gt;"")," · ","")&amp;E990,"")</f>
        <v/>
      </c>
      <c r="CA990" s="80" t="str">
        <f>IF(AND(BD990=1,E990&amp;""&lt;&gt;""),IF(COUNTIFS($E$5:E989,E990,$BD$5:BD989,1)=0,MAX($CA$5:CA989)+1,""),"")</f>
        <v/>
      </c>
      <c r="CB990" s="80" t="str">
        <f>IF(AND(BE990=1,D990="Malcolm",E990&amp;""&lt;&gt;""),IF(COUNTIFS($D$5:D989,"Malcolm",$E$5:E989,E990,$BE$5:BE989,1)=0,MAX($CB$5:CB989)+1,""),"")</f>
        <v/>
      </c>
      <c r="CC990" s="80" t="str">
        <f>IF(AND(BD990=1,D990="proMX",E990&amp;""&lt;&gt;""),IF(COUNTIFS($D$5:D989,"proMX",$E$5:E989,E990,$BD$5:BD989,1)=0,MAX($CC$5:CC989)+1,""),"")</f>
        <v/>
      </c>
      <c r="CD990" s="80" t="str">
        <f>IF(AND(BE990=1,D990="Malcolm",F990&amp;""&lt;&gt;""),IF(COUNTIFS($D$5:D989,"Malcolm",$F$5:F989,F990,$BE$5:BE989,1)=0,MAX($CD$5:CD989)+1,""),"")</f>
        <v/>
      </c>
      <c r="CE990" s="80" t="str">
        <f>IF(AND(BD990=1,D990="proMX",F990&amp;""&lt;&gt;""),IF(COUNTIFS($D$5:D989,"proMX",$F$5:F989,F990,$BD$5:BD989,1)=0,MAX($CE$5:CE989)+1,""),"")</f>
        <v/>
      </c>
      <c r="CF990" s="80" t="str">
        <f>IF(AND(D990="proMX",BD990=1),IF(OR(BF990="Draft",BF990="Submitted",BF990="Returned",BF990="Recall Requested"),MAX($CF$5:CF989)+1,""),"")</f>
        <v/>
      </c>
      <c r="CG990" s="80">
        <f>IF(BD990=0,0,IF(D990="Malcolm",1,MATCH(BF990,{"Draft","Submitted","Approved","Returned","Recall Requested","Cancelled"},0)+1))</f>
        <v>0</v>
      </c>
      <c r="CH990" s="80">
        <f>IF(AND(BF990="Submitted",ISNUMBER(V990)),IF(V990&gt;CFG_MAXD,1,0),0)</f>
        <v>0</v>
      </c>
    </row>
    <row r="991">
      <c r="A991" s="71" t="str">
        <f>IF(Y991=1,ROW()-5,"")</f>
        <v/>
      </c>
      <c r="B991" s="72" t="n"/>
      <c r="C991" s="71" t="str">
        <f>IF(ISNUMBER(B991),CHOOSE(WEEKDAY(B991,2),"Lun","Mar","Mié","Jue","Vie","Sáb","Dom"),"")</f>
        <v/>
      </c>
      <c r="D991" s="73" t="n"/>
      <c r="E991" s="74" t="n"/>
      <c r="F991" s="74" t="n"/>
      <c r="G991" s="74" t="n"/>
      <c r="H991" s="75" t="n"/>
      <c r="I991" s="75" t="n"/>
      <c r="J991" s="76" t="n"/>
      <c r="K991" s="77" t="str">
        <f>IF(AB991=1,ROUND(AG991/60,4),"")</f>
        <v/>
      </c>
      <c r="L991" s="77" t="str">
        <f>IF(BD991=1,ROUND(AP991/60,4),"")</f>
        <v/>
      </c>
      <c r="M991" s="77" t="str">
        <f>IF(BD991=1,ROUND(AQ991/60,4),"")</f>
        <v/>
      </c>
      <c r="N991" s="71" t="str">
        <f>IF(AND(D991="proMX",AB991=1),ROUND(AG991/CFG_BLK,2),"")</f>
        <v/>
      </c>
      <c r="O991" s="77" t="str">
        <f>IF(D991="proMX",IF(BD991=1,ROUND(AG991/60,4),0),"")</f>
        <v/>
      </c>
      <c r="P991" s="78" t="str">
        <f>IF(Y991=0,"",IF(BD991=1,"OK",IF(D991="proMX","Revisar bloques: ","Revisar: ")&amp;BC991))</f>
        <v/>
      </c>
      <c r="Q991" s="78" t="str">
        <f>IF(NOT(ISNUMBER(B991)),"",IF(COUNTIFS(FER_F,INT(B991))&gt;0,"Feriado"&amp;IF(AH991=1," (laborable)"," (no laborable)"),IF(AH991=1,"Laborable",IF(WEEKDAY(B991,2)&gt;5,"Fin de semana","No laborable"))))</f>
        <v/>
      </c>
      <c r="R991" s="73" t="n"/>
      <c r="S991" s="72" t="n"/>
      <c r="T991" s="72" t="n"/>
      <c r="U991" s="74" t="n"/>
      <c r="V991" s="79" t="str">
        <f>IF(AND(D991="proMX",OR(R991="Submitted",R991="Recall Requested"),ISNUMBER(S991)),CFG_TODAY-INT(S991),"")</f>
        <v/>
      </c>
      <c r="W991" s="78" t="str">
        <f>IF(BD991=0,"",IF(BA991&gt;0,"⚠ Se superpone con un registro de la otra empresa",IF(D991="Malcolm",IF(COUNTA(R991,S991,T991)&gt;0,"Estado/fechas proMX se ignoran en Malcolm",""),IF(BF991="Cancelled","Cancelado: excluido de totales",IF(R991="","Sin estado: se trata como Draft",IF(BF991="Submitted",IF(ISNUMBER(V991),IF(V991&gt;CFG_MAXD,"⚠ "&amp;V991&amp;" días en Submitted (máx. "&amp;CFG_MAXD&amp;")",""),"Falta fecha de envío"),IF(BF991="Returned","⚠ Devuelto: corregir y reenviar",IF(BF991="Recall Requested","Retirada solicitada: pendiente",IF(AND(BF991="Approved",NOT(ISNUMBER(T991))),"Falta fecha de aprobación",IF(AND(ISNUMBER(S991),ISNUMBER(T991),T991&lt;S991),"Aprobación anterior al envío","")))))))))</f>
        <v/>
      </c>
      <c r="Y991" s="80">
        <f>IF(COUNTA(B991,D991,E991,F991,G991,H991,I991,J991,R991,S991,T991)&gt;0,1,0)</f>
        <v>0</v>
      </c>
      <c r="Z991" s="80" t="str">
        <f>IF(AND(ISNUMBER(H991),H991&gt;=0,H991&lt;1),ROUND(H991*1440,0),"")</f>
        <v/>
      </c>
      <c r="AA991" s="80" t="str">
        <f>IF(AND(ISNUMBER(I991),I991&gt;=0,I991&lt;1),ROUND(I991*1440,0),"")</f>
        <v/>
      </c>
      <c r="AB991" s="80">
        <f>IF(AND(ISNUMBER(B991),D991&lt;&gt;"",ISNUMBER(Z991),ISNUMBER(AA991)),IF(Z991=AA991,0,1),0)</f>
        <v>0</v>
      </c>
      <c r="AC991" s="80">
        <f>IF(AB991=1,IF(AA991&lt;Z991,1,0),0)</f>
        <v>0</v>
      </c>
      <c r="AD991" s="80">
        <f>IF(AB991=1,IF(AC991=1,1440-Z991+AA991,AA991-Z991),0)</f>
        <v>0</v>
      </c>
      <c r="AE991" s="80">
        <f>IF(J991="",0,IF(ISNUMBER(J991),J991,-1))</f>
        <v>0</v>
      </c>
      <c r="AF991" s="80">
        <f>MIN(MAX(0,AE991),AD991)</f>
        <v>0</v>
      </c>
      <c r="AG991" s="80">
        <f>MAX(0,AD991-MAX(0,AE991))</f>
        <v>0</v>
      </c>
      <c r="AH991" s="80">
        <f>IF(ISNUMBER(B991),IF(AND(INDEX(CFG_WDAYS,WEEKDAY(INT(B991),2))="Sí",IF(D991="proMX",COUNTIFS(FER_F,INT(B991),FER_NLP,"Sí"),COUNTIFS(FER_F,INT(B991),FER_NLM,"Sí"))=0),1,0),0)</f>
        <v>0</v>
      </c>
      <c r="AI991" s="80">
        <f>IF(AC991=1,IF(AND(INDEX(CFG_WDAYS,WEEKDAY(INT(B991)+1,2))="Sí",IF(D991="proMX",COUNTIFS(FER_F,INT(B991)+1,FER_NLP,"Sí"),COUNTIFS(FER_F,INT(B991)+1,FER_NLM,"Sí"))=0),1,0),0)</f>
        <v>0</v>
      </c>
      <c r="AJ991" s="80">
        <f>IF(AC991=1,1440-Z991,AD991)</f>
        <v>0</v>
      </c>
      <c r="AK991" s="80">
        <f>IF(AND(AB991=1,AH991=1),MAX(0,MIN(IF(AC991=1,1440,AA991),CFG_WEM)-MAX(Z991,CFG_WSM)),0)</f>
        <v>0</v>
      </c>
      <c r="AL991" s="80">
        <f>IF(AND(AC991=1,AI991=1),MAX(0,MIN(AA991,CFG_WEM)-CFG_WSM),0)</f>
        <v>0</v>
      </c>
      <c r="AM991" s="80">
        <f>AK991+AL991</f>
        <v>0</v>
      </c>
      <c r="AN991" s="80">
        <f>IF(CFG_BRK="Proporcional",IF(AD991=0,0,AF991*AM991/AD991),IF(CFG_BRK="Extras primero",MIN(AM991,MAX(0,AF991-(AD991-AM991))),MIN(AF991,AM991)))</f>
        <v>0</v>
      </c>
      <c r="AO991" s="80">
        <f>AF991-AN991</f>
        <v>0</v>
      </c>
      <c r="AP991" s="80">
        <f>AM991-AN991</f>
        <v>0</v>
      </c>
      <c r="AQ991" s="80">
        <f>AD991-AM991-AO991</f>
        <v>0</v>
      </c>
      <c r="AR991" s="80">
        <f>IF(AM991=0,0,AK991-AN991*AK991/AM991)</f>
        <v>0</v>
      </c>
      <c r="AS991" s="80">
        <f>IF(AD991-AM991=0,0,(AJ991-AK991)-AO991*(AJ991-AK991)/(AD991-AM991))</f>
        <v>0</v>
      </c>
      <c r="AT991" s="80" t="str">
        <f>IF(AC991=1,INT(B991)+1,"")</f>
        <v/>
      </c>
      <c r="AU991" s="80">
        <f>IF(AND(D991="proMX",R991="Cancelled"),0,1)</f>
        <v>1</v>
      </c>
      <c r="AV991" s="80">
        <f>IF(AND(AB991=1,AU991=1),IF(COUNTIFS($D$5:D990,D991,$B$5:B990,B991,$Z$5:Z990,Z991,$AA$5:AA990,AA991,$F$5:F990,F991&amp;"",$AU$5:AU990,1)&gt;0,1,0),0)</f>
        <v>0</v>
      </c>
      <c r="AW991" s="80" t="str">
        <f>IF(AB991=1,INT(B991)*1440+Z991,"")</f>
        <v/>
      </c>
      <c r="AX991" s="80" t="str">
        <f>IF(AB991=1,AW991+AD991,"")</f>
        <v/>
      </c>
      <c r="AY991" s="80">
        <f>IF(AND(AB991=1,AV991=0,AU991=1),1,0)</f>
        <v>0</v>
      </c>
      <c r="AZ991" s="80">
        <f>IF(AY991=1,COUNTIFS(R_Emp,D991,R_SAbs,"&lt;"&amp;AX991,R_EAbs,"&gt;"&amp;AW991,R_OKey,1)-1,0)</f>
        <v>0</v>
      </c>
      <c r="BA991" s="80">
        <f>IF(AY991=1,COUNTIFS(R_Emp,"&lt;&gt;"&amp;D991,R_SAbs,"&lt;"&amp;AX991,R_EAbs,"&gt;"&amp;AW991,R_OKey,1),0)</f>
        <v>0</v>
      </c>
      <c r="BB991" s="80">
        <f>IF(AND(AB991=1,D991="proMX"),IF(AND(MOD(Z991,CFG_BLK)=0,MOD(AA991,CFG_BLK)=0,MOD(AG991,CFG_BLK)=0,AG991&gt;0),1,0),1)</f>
        <v>1</v>
      </c>
      <c r="BC991" s="80" t="str">
        <f>IF(Y991=0,"",IF(NOT(ISNUMBER(B991)),"Falta fecha o fecha inválida",IF(D991="","Falta empresa",IF(AND(D991&lt;&gt;"Malcolm",D991&lt;&gt;"proMX"),"Empresa inválida",IF(OR(INT(B991)&lt;CFG_PSTART,INT(B991)&gt;CFG_PEND),"Fecha fuera del período",IF(OR(NOT(ISNUMBER(Z991)),NOT(ISNUMBER(AA991))),"Falta hora inicio/fin o formato inválido",IF(AB991=0,"Hora inicio = hora fin",IF(AE991&lt;0,"Descanso inválido",IF(AE991&gt;=AD991,"Descanso ≥ duración",IF(AV991=1,"Registro duplicado",IF(AZ991&gt;0,"Se superpone con otro registro "&amp;D991,IF(BB991=0,"inicio, fin y duración neta deben ser múltiplos de "&amp;CFG_BLK&amp;" min",""))))))))))))</f>
        <v/>
      </c>
      <c r="BD991" s="80">
        <f>IF(AND(Y991=1,BC991=""),1,0)</f>
        <v>0</v>
      </c>
      <c r="BE991" s="80">
        <f>IF(AND(BD991=1,AU991=1),1,0)</f>
        <v>0</v>
      </c>
      <c r="BF991" s="80" t="str">
        <f>IF(AND(D991="proMX",BD991=1),IF(R991="","Draft",R991),"")</f>
        <v/>
      </c>
      <c r="BG991" s="80">
        <f>IF(BD991=1,ROUND(AG991/60,6),0)</f>
        <v>0</v>
      </c>
      <c r="BH991" s="80">
        <f>IF(BE991=1,ROUND(AG991/60,6),0)</f>
        <v>0</v>
      </c>
      <c r="BI991" s="80">
        <f>IF(BE991=1,ROUND(AP991/60,6),0)</f>
        <v>0</v>
      </c>
      <c r="BJ991" s="80">
        <f>IF(BE991=1,ROUND(AQ991/60,6),0)</f>
        <v>0</v>
      </c>
      <c r="BK991" s="80">
        <f>IF(BE991=1,ROUND((AR991+AS991)/60,6),0)</f>
        <v>0</v>
      </c>
      <c r="BL991" s="80">
        <f>ROUND(BH991-BK991,6)</f>
        <v>0</v>
      </c>
      <c r="BM991" s="80">
        <f>IF(BE991=1,ROUND(AR991/60,6),0)</f>
        <v>0</v>
      </c>
      <c r="BN991" s="80">
        <f>ROUND(BI991-BM991,6)</f>
        <v>0</v>
      </c>
      <c r="BO991" s="80">
        <f>IF(BE991=1,ROUND(AS991/60,6),0)</f>
        <v>0</v>
      </c>
      <c r="BP991" s="80">
        <f>ROUND(BJ991-BO991,6)</f>
        <v>0</v>
      </c>
      <c r="BQ991" s="80">
        <f>IF(BE991=1,AW991,0)</f>
        <v>0</v>
      </c>
      <c r="BR991" s="80">
        <f>IF(BE991=1,AX991,0)</f>
        <v>0</v>
      </c>
      <c r="BS991" s="80">
        <f>IF(AND(BE991=1,D991="Malcolm",BA991&gt;0),MIN(BH991,SUMPRODUCT((R_Emp="proMX")*(R_EN&gt;0)*((R_EN-(R_EN&gt;BR991)*(R_EN-BR991))&gt;(R_SN+(R_SN&lt;BQ991)*(BQ991-R_SN)))*((R_EN-(R_EN&gt;BR991)*(R_EN-BR991))-(R_SN+(R_SN&lt;BQ991)*(BQ991-R_SN))))/60),0)</f>
        <v>0</v>
      </c>
      <c r="BT991" s="80">
        <f>IF(AND(BE991=1,D991="proMX"),ROUND(BI991*CFG_RATE+BJ991*CFG_OTRATE,6),0)</f>
        <v>0</v>
      </c>
      <c r="BU991" s="80">
        <f>IF(AND(BD991=1,D991="proMX"),ROUND(AG991/CFG_BLK,6),0)</f>
        <v>0</v>
      </c>
      <c r="BV991" s="80" t="str">
        <f>IF(BF991="Approved",IF(ISNUMBER(T991),INT(T991),INT(B991)),"")</f>
        <v/>
      </c>
      <c r="BW991" s="80">
        <f>IF(ISNUMBER(B991),IF(DB_MON="Todos",1,IF(AND(INT(B991)&gt;=DB_MS,INT(B991)&lt;=DB_ME),1,0)),0)</f>
        <v>0</v>
      </c>
      <c r="BX991" s="80">
        <f>IF(DB_PROJ="Todos",1,IF(E991&amp;""=DB_PROJ&amp;"",1,0))</f>
        <v>1</v>
      </c>
      <c r="BY991" s="80">
        <f>BW991*BX991</f>
        <v>0</v>
      </c>
      <c r="BZ991" s="80" t="str">
        <f>IF(Y991=1,F991&amp;IF(AND(F991&amp;""&lt;&gt;"",E991&amp;""&lt;&gt;"")," · ","")&amp;E991,"")</f>
        <v/>
      </c>
      <c r="CA991" s="80" t="str">
        <f>IF(AND(BD991=1,E991&amp;""&lt;&gt;""),IF(COUNTIFS($E$5:E990,E991,$BD$5:BD990,1)=0,MAX($CA$5:CA990)+1,""),"")</f>
        <v/>
      </c>
      <c r="CB991" s="80" t="str">
        <f>IF(AND(BE991=1,D991="Malcolm",E991&amp;""&lt;&gt;""),IF(COUNTIFS($D$5:D990,"Malcolm",$E$5:E990,E991,$BE$5:BE990,1)=0,MAX($CB$5:CB990)+1,""),"")</f>
        <v/>
      </c>
      <c r="CC991" s="80" t="str">
        <f>IF(AND(BD991=1,D991="proMX",E991&amp;""&lt;&gt;""),IF(COUNTIFS($D$5:D990,"proMX",$E$5:E990,E991,$BD$5:BD990,1)=0,MAX($CC$5:CC990)+1,""),"")</f>
        <v/>
      </c>
      <c r="CD991" s="80" t="str">
        <f>IF(AND(BE991=1,D991="Malcolm",F991&amp;""&lt;&gt;""),IF(COUNTIFS($D$5:D990,"Malcolm",$F$5:F990,F991,$BE$5:BE990,1)=0,MAX($CD$5:CD990)+1,""),"")</f>
        <v/>
      </c>
      <c r="CE991" s="80" t="str">
        <f>IF(AND(BD991=1,D991="proMX",F991&amp;""&lt;&gt;""),IF(COUNTIFS($D$5:D990,"proMX",$F$5:F990,F991,$BD$5:BD990,1)=0,MAX($CE$5:CE990)+1,""),"")</f>
        <v/>
      </c>
      <c r="CF991" s="80" t="str">
        <f>IF(AND(D991="proMX",BD991=1),IF(OR(BF991="Draft",BF991="Submitted",BF991="Returned",BF991="Recall Requested"),MAX($CF$5:CF990)+1,""),"")</f>
        <v/>
      </c>
      <c r="CG991" s="80">
        <f>IF(BD991=0,0,IF(D991="Malcolm",1,MATCH(BF991,{"Draft","Submitted","Approved","Returned","Recall Requested","Cancelled"},0)+1))</f>
        <v>0</v>
      </c>
      <c r="CH991" s="80">
        <f>IF(AND(BF991="Submitted",ISNUMBER(V991)),IF(V991&gt;CFG_MAXD,1,0),0)</f>
        <v>0</v>
      </c>
    </row>
    <row r="992">
      <c r="A992" s="71" t="str">
        <f>IF(Y992=1,ROW()-5,"")</f>
        <v/>
      </c>
      <c r="B992" s="72" t="n"/>
      <c r="C992" s="71" t="str">
        <f>IF(ISNUMBER(B992),CHOOSE(WEEKDAY(B992,2),"Lun","Mar","Mié","Jue","Vie","Sáb","Dom"),"")</f>
        <v/>
      </c>
      <c r="D992" s="73" t="n"/>
      <c r="E992" s="74" t="n"/>
      <c r="F992" s="74" t="n"/>
      <c r="G992" s="74" t="n"/>
      <c r="H992" s="75" t="n"/>
      <c r="I992" s="75" t="n"/>
      <c r="J992" s="76" t="n"/>
      <c r="K992" s="77" t="str">
        <f>IF(AB992=1,ROUND(AG992/60,4),"")</f>
        <v/>
      </c>
      <c r="L992" s="77" t="str">
        <f>IF(BD992=1,ROUND(AP992/60,4),"")</f>
        <v/>
      </c>
      <c r="M992" s="77" t="str">
        <f>IF(BD992=1,ROUND(AQ992/60,4),"")</f>
        <v/>
      </c>
      <c r="N992" s="71" t="str">
        <f>IF(AND(D992="proMX",AB992=1),ROUND(AG992/CFG_BLK,2),"")</f>
        <v/>
      </c>
      <c r="O992" s="77" t="str">
        <f>IF(D992="proMX",IF(BD992=1,ROUND(AG992/60,4),0),"")</f>
        <v/>
      </c>
      <c r="P992" s="78" t="str">
        <f>IF(Y992=0,"",IF(BD992=1,"OK",IF(D992="proMX","Revisar bloques: ","Revisar: ")&amp;BC992))</f>
        <v/>
      </c>
      <c r="Q992" s="78" t="str">
        <f>IF(NOT(ISNUMBER(B992)),"",IF(COUNTIFS(FER_F,INT(B992))&gt;0,"Feriado"&amp;IF(AH992=1," (laborable)"," (no laborable)"),IF(AH992=1,"Laborable",IF(WEEKDAY(B992,2)&gt;5,"Fin de semana","No laborable"))))</f>
        <v/>
      </c>
      <c r="R992" s="73" t="n"/>
      <c r="S992" s="72" t="n"/>
      <c r="T992" s="72" t="n"/>
      <c r="U992" s="74" t="n"/>
      <c r="V992" s="79" t="str">
        <f>IF(AND(D992="proMX",OR(R992="Submitted",R992="Recall Requested"),ISNUMBER(S992)),CFG_TODAY-INT(S992),"")</f>
        <v/>
      </c>
      <c r="W992" s="78" t="str">
        <f>IF(BD992=0,"",IF(BA992&gt;0,"⚠ Se superpone con un registro de la otra empresa",IF(D992="Malcolm",IF(COUNTA(R992,S992,T992)&gt;0,"Estado/fechas proMX se ignoran en Malcolm",""),IF(BF992="Cancelled","Cancelado: excluido de totales",IF(R992="","Sin estado: se trata como Draft",IF(BF992="Submitted",IF(ISNUMBER(V992),IF(V992&gt;CFG_MAXD,"⚠ "&amp;V992&amp;" días en Submitted (máx. "&amp;CFG_MAXD&amp;")",""),"Falta fecha de envío"),IF(BF992="Returned","⚠ Devuelto: corregir y reenviar",IF(BF992="Recall Requested","Retirada solicitada: pendiente",IF(AND(BF992="Approved",NOT(ISNUMBER(T992))),"Falta fecha de aprobación",IF(AND(ISNUMBER(S992),ISNUMBER(T992),T992&lt;S992),"Aprobación anterior al envío","")))))))))</f>
        <v/>
      </c>
      <c r="Y992" s="80">
        <f>IF(COUNTA(B992,D992,E992,F992,G992,H992,I992,J992,R992,S992,T992)&gt;0,1,0)</f>
        <v>0</v>
      </c>
      <c r="Z992" s="80" t="str">
        <f>IF(AND(ISNUMBER(H992),H992&gt;=0,H992&lt;1),ROUND(H992*1440,0),"")</f>
        <v/>
      </c>
      <c r="AA992" s="80" t="str">
        <f>IF(AND(ISNUMBER(I992),I992&gt;=0,I992&lt;1),ROUND(I992*1440,0),"")</f>
        <v/>
      </c>
      <c r="AB992" s="80">
        <f>IF(AND(ISNUMBER(B992),D992&lt;&gt;"",ISNUMBER(Z992),ISNUMBER(AA992)),IF(Z992=AA992,0,1),0)</f>
        <v>0</v>
      </c>
      <c r="AC992" s="80">
        <f>IF(AB992=1,IF(AA992&lt;Z992,1,0),0)</f>
        <v>0</v>
      </c>
      <c r="AD992" s="80">
        <f>IF(AB992=1,IF(AC992=1,1440-Z992+AA992,AA992-Z992),0)</f>
        <v>0</v>
      </c>
      <c r="AE992" s="80">
        <f>IF(J992="",0,IF(ISNUMBER(J992),J992,-1))</f>
        <v>0</v>
      </c>
      <c r="AF992" s="80">
        <f>MIN(MAX(0,AE992),AD992)</f>
        <v>0</v>
      </c>
      <c r="AG992" s="80">
        <f>MAX(0,AD992-MAX(0,AE992))</f>
        <v>0</v>
      </c>
      <c r="AH992" s="80">
        <f>IF(ISNUMBER(B992),IF(AND(INDEX(CFG_WDAYS,WEEKDAY(INT(B992),2))="Sí",IF(D992="proMX",COUNTIFS(FER_F,INT(B992),FER_NLP,"Sí"),COUNTIFS(FER_F,INT(B992),FER_NLM,"Sí"))=0),1,0),0)</f>
        <v>0</v>
      </c>
      <c r="AI992" s="80">
        <f>IF(AC992=1,IF(AND(INDEX(CFG_WDAYS,WEEKDAY(INT(B992)+1,2))="Sí",IF(D992="proMX",COUNTIFS(FER_F,INT(B992)+1,FER_NLP,"Sí"),COUNTIFS(FER_F,INT(B992)+1,FER_NLM,"Sí"))=0),1,0),0)</f>
        <v>0</v>
      </c>
      <c r="AJ992" s="80">
        <f>IF(AC992=1,1440-Z992,AD992)</f>
        <v>0</v>
      </c>
      <c r="AK992" s="80">
        <f>IF(AND(AB992=1,AH992=1),MAX(0,MIN(IF(AC992=1,1440,AA992),CFG_WEM)-MAX(Z992,CFG_WSM)),0)</f>
        <v>0</v>
      </c>
      <c r="AL992" s="80">
        <f>IF(AND(AC992=1,AI992=1),MAX(0,MIN(AA992,CFG_WEM)-CFG_WSM),0)</f>
        <v>0</v>
      </c>
      <c r="AM992" s="80">
        <f>AK992+AL992</f>
        <v>0</v>
      </c>
      <c r="AN992" s="80">
        <f>IF(CFG_BRK="Proporcional",IF(AD992=0,0,AF992*AM992/AD992),IF(CFG_BRK="Extras primero",MIN(AM992,MAX(0,AF992-(AD992-AM992))),MIN(AF992,AM992)))</f>
        <v>0</v>
      </c>
      <c r="AO992" s="80">
        <f>AF992-AN992</f>
        <v>0</v>
      </c>
      <c r="AP992" s="80">
        <f>AM992-AN992</f>
        <v>0</v>
      </c>
      <c r="AQ992" s="80">
        <f>AD992-AM992-AO992</f>
        <v>0</v>
      </c>
      <c r="AR992" s="80">
        <f>IF(AM992=0,0,AK992-AN992*AK992/AM992)</f>
        <v>0</v>
      </c>
      <c r="AS992" s="80">
        <f>IF(AD992-AM992=0,0,(AJ992-AK992)-AO992*(AJ992-AK992)/(AD992-AM992))</f>
        <v>0</v>
      </c>
      <c r="AT992" s="80" t="str">
        <f>IF(AC992=1,INT(B992)+1,"")</f>
        <v/>
      </c>
      <c r="AU992" s="80">
        <f>IF(AND(D992="proMX",R992="Cancelled"),0,1)</f>
        <v>1</v>
      </c>
      <c r="AV992" s="80">
        <f>IF(AND(AB992=1,AU992=1),IF(COUNTIFS($D$5:D991,D992,$B$5:B991,B992,$Z$5:Z991,Z992,$AA$5:AA991,AA992,$F$5:F991,F992&amp;"",$AU$5:AU991,1)&gt;0,1,0),0)</f>
        <v>0</v>
      </c>
      <c r="AW992" s="80" t="str">
        <f>IF(AB992=1,INT(B992)*1440+Z992,"")</f>
        <v/>
      </c>
      <c r="AX992" s="80" t="str">
        <f>IF(AB992=1,AW992+AD992,"")</f>
        <v/>
      </c>
      <c r="AY992" s="80">
        <f>IF(AND(AB992=1,AV992=0,AU992=1),1,0)</f>
        <v>0</v>
      </c>
      <c r="AZ992" s="80">
        <f>IF(AY992=1,COUNTIFS(R_Emp,D992,R_SAbs,"&lt;"&amp;AX992,R_EAbs,"&gt;"&amp;AW992,R_OKey,1)-1,0)</f>
        <v>0</v>
      </c>
      <c r="BA992" s="80">
        <f>IF(AY992=1,COUNTIFS(R_Emp,"&lt;&gt;"&amp;D992,R_SAbs,"&lt;"&amp;AX992,R_EAbs,"&gt;"&amp;AW992,R_OKey,1),0)</f>
        <v>0</v>
      </c>
      <c r="BB992" s="80">
        <f>IF(AND(AB992=1,D992="proMX"),IF(AND(MOD(Z992,CFG_BLK)=0,MOD(AA992,CFG_BLK)=0,MOD(AG992,CFG_BLK)=0,AG992&gt;0),1,0),1)</f>
        <v>1</v>
      </c>
      <c r="BC992" s="80" t="str">
        <f>IF(Y992=0,"",IF(NOT(ISNUMBER(B992)),"Falta fecha o fecha inválida",IF(D992="","Falta empresa",IF(AND(D992&lt;&gt;"Malcolm",D992&lt;&gt;"proMX"),"Empresa inválida",IF(OR(INT(B992)&lt;CFG_PSTART,INT(B992)&gt;CFG_PEND),"Fecha fuera del período",IF(OR(NOT(ISNUMBER(Z992)),NOT(ISNUMBER(AA992))),"Falta hora inicio/fin o formato inválido",IF(AB992=0,"Hora inicio = hora fin",IF(AE992&lt;0,"Descanso inválido",IF(AE992&gt;=AD992,"Descanso ≥ duración",IF(AV992=1,"Registro duplicado",IF(AZ992&gt;0,"Se superpone con otro registro "&amp;D992,IF(BB992=0,"inicio, fin y duración neta deben ser múltiplos de "&amp;CFG_BLK&amp;" min",""))))))))))))</f>
        <v/>
      </c>
      <c r="BD992" s="80">
        <f>IF(AND(Y992=1,BC992=""),1,0)</f>
        <v>0</v>
      </c>
      <c r="BE992" s="80">
        <f>IF(AND(BD992=1,AU992=1),1,0)</f>
        <v>0</v>
      </c>
      <c r="BF992" s="80" t="str">
        <f>IF(AND(D992="proMX",BD992=1),IF(R992="","Draft",R992),"")</f>
        <v/>
      </c>
      <c r="BG992" s="80">
        <f>IF(BD992=1,ROUND(AG992/60,6),0)</f>
        <v>0</v>
      </c>
      <c r="BH992" s="80">
        <f>IF(BE992=1,ROUND(AG992/60,6),0)</f>
        <v>0</v>
      </c>
      <c r="BI992" s="80">
        <f>IF(BE992=1,ROUND(AP992/60,6),0)</f>
        <v>0</v>
      </c>
      <c r="BJ992" s="80">
        <f>IF(BE992=1,ROUND(AQ992/60,6),0)</f>
        <v>0</v>
      </c>
      <c r="BK992" s="80">
        <f>IF(BE992=1,ROUND((AR992+AS992)/60,6),0)</f>
        <v>0</v>
      </c>
      <c r="BL992" s="80">
        <f>ROUND(BH992-BK992,6)</f>
        <v>0</v>
      </c>
      <c r="BM992" s="80">
        <f>IF(BE992=1,ROUND(AR992/60,6),0)</f>
        <v>0</v>
      </c>
      <c r="BN992" s="80">
        <f>ROUND(BI992-BM992,6)</f>
        <v>0</v>
      </c>
      <c r="BO992" s="80">
        <f>IF(BE992=1,ROUND(AS992/60,6),0)</f>
        <v>0</v>
      </c>
      <c r="BP992" s="80">
        <f>ROUND(BJ992-BO992,6)</f>
        <v>0</v>
      </c>
      <c r="BQ992" s="80">
        <f>IF(BE992=1,AW992,0)</f>
        <v>0</v>
      </c>
      <c r="BR992" s="80">
        <f>IF(BE992=1,AX992,0)</f>
        <v>0</v>
      </c>
      <c r="BS992" s="80">
        <f>IF(AND(BE992=1,D992="Malcolm",BA992&gt;0),MIN(BH992,SUMPRODUCT((R_Emp="proMX")*(R_EN&gt;0)*((R_EN-(R_EN&gt;BR992)*(R_EN-BR992))&gt;(R_SN+(R_SN&lt;BQ992)*(BQ992-R_SN)))*((R_EN-(R_EN&gt;BR992)*(R_EN-BR992))-(R_SN+(R_SN&lt;BQ992)*(BQ992-R_SN))))/60),0)</f>
        <v>0</v>
      </c>
      <c r="BT992" s="80">
        <f>IF(AND(BE992=1,D992="proMX"),ROUND(BI992*CFG_RATE+BJ992*CFG_OTRATE,6),0)</f>
        <v>0</v>
      </c>
      <c r="BU992" s="80">
        <f>IF(AND(BD992=1,D992="proMX"),ROUND(AG992/CFG_BLK,6),0)</f>
        <v>0</v>
      </c>
      <c r="BV992" s="80" t="str">
        <f>IF(BF992="Approved",IF(ISNUMBER(T992),INT(T992),INT(B992)),"")</f>
        <v/>
      </c>
      <c r="BW992" s="80">
        <f>IF(ISNUMBER(B992),IF(DB_MON="Todos",1,IF(AND(INT(B992)&gt;=DB_MS,INT(B992)&lt;=DB_ME),1,0)),0)</f>
        <v>0</v>
      </c>
      <c r="BX992" s="80">
        <f>IF(DB_PROJ="Todos",1,IF(E992&amp;""=DB_PROJ&amp;"",1,0))</f>
        <v>1</v>
      </c>
      <c r="BY992" s="80">
        <f>BW992*BX992</f>
        <v>0</v>
      </c>
      <c r="BZ992" s="80" t="str">
        <f>IF(Y992=1,F992&amp;IF(AND(F992&amp;""&lt;&gt;"",E992&amp;""&lt;&gt;"")," · ","")&amp;E992,"")</f>
        <v/>
      </c>
      <c r="CA992" s="80" t="str">
        <f>IF(AND(BD992=1,E992&amp;""&lt;&gt;""),IF(COUNTIFS($E$5:E991,E992,$BD$5:BD991,1)=0,MAX($CA$5:CA991)+1,""),"")</f>
        <v/>
      </c>
      <c r="CB992" s="80" t="str">
        <f>IF(AND(BE992=1,D992="Malcolm",E992&amp;""&lt;&gt;""),IF(COUNTIFS($D$5:D991,"Malcolm",$E$5:E991,E992,$BE$5:BE991,1)=0,MAX($CB$5:CB991)+1,""),"")</f>
        <v/>
      </c>
      <c r="CC992" s="80" t="str">
        <f>IF(AND(BD992=1,D992="proMX",E992&amp;""&lt;&gt;""),IF(COUNTIFS($D$5:D991,"proMX",$E$5:E991,E992,$BD$5:BD991,1)=0,MAX($CC$5:CC991)+1,""),"")</f>
        <v/>
      </c>
      <c r="CD992" s="80" t="str">
        <f>IF(AND(BE992=1,D992="Malcolm",F992&amp;""&lt;&gt;""),IF(COUNTIFS($D$5:D991,"Malcolm",$F$5:F991,F992,$BE$5:BE991,1)=0,MAX($CD$5:CD991)+1,""),"")</f>
        <v/>
      </c>
      <c r="CE992" s="80" t="str">
        <f>IF(AND(BD992=1,D992="proMX",F992&amp;""&lt;&gt;""),IF(COUNTIFS($D$5:D991,"proMX",$F$5:F991,F992,$BD$5:BD991,1)=0,MAX($CE$5:CE991)+1,""),"")</f>
        <v/>
      </c>
      <c r="CF992" s="80" t="str">
        <f>IF(AND(D992="proMX",BD992=1),IF(OR(BF992="Draft",BF992="Submitted",BF992="Returned",BF992="Recall Requested"),MAX($CF$5:CF991)+1,""),"")</f>
        <v/>
      </c>
      <c r="CG992" s="80">
        <f>IF(BD992=0,0,IF(D992="Malcolm",1,MATCH(BF992,{"Draft","Submitted","Approved","Returned","Recall Requested","Cancelled"},0)+1))</f>
        <v>0</v>
      </c>
      <c r="CH992" s="80">
        <f>IF(AND(BF992="Submitted",ISNUMBER(V992)),IF(V992&gt;CFG_MAXD,1,0),0)</f>
        <v>0</v>
      </c>
    </row>
    <row r="993">
      <c r="A993" s="71" t="str">
        <f>IF(Y993=1,ROW()-5,"")</f>
        <v/>
      </c>
      <c r="B993" s="72" t="n"/>
      <c r="C993" s="71" t="str">
        <f>IF(ISNUMBER(B993),CHOOSE(WEEKDAY(B993,2),"Lun","Mar","Mié","Jue","Vie","Sáb","Dom"),"")</f>
        <v/>
      </c>
      <c r="D993" s="73" t="n"/>
      <c r="E993" s="74" t="n"/>
      <c r="F993" s="74" t="n"/>
      <c r="G993" s="74" t="n"/>
      <c r="H993" s="75" t="n"/>
      <c r="I993" s="75" t="n"/>
      <c r="J993" s="76" t="n"/>
      <c r="K993" s="77" t="str">
        <f>IF(AB993=1,ROUND(AG993/60,4),"")</f>
        <v/>
      </c>
      <c r="L993" s="77" t="str">
        <f>IF(BD993=1,ROUND(AP993/60,4),"")</f>
        <v/>
      </c>
      <c r="M993" s="77" t="str">
        <f>IF(BD993=1,ROUND(AQ993/60,4),"")</f>
        <v/>
      </c>
      <c r="N993" s="71" t="str">
        <f>IF(AND(D993="proMX",AB993=1),ROUND(AG993/CFG_BLK,2),"")</f>
        <v/>
      </c>
      <c r="O993" s="77" t="str">
        <f>IF(D993="proMX",IF(BD993=1,ROUND(AG993/60,4),0),"")</f>
        <v/>
      </c>
      <c r="P993" s="78" t="str">
        <f>IF(Y993=0,"",IF(BD993=1,"OK",IF(D993="proMX","Revisar bloques: ","Revisar: ")&amp;BC993))</f>
        <v/>
      </c>
      <c r="Q993" s="78" t="str">
        <f>IF(NOT(ISNUMBER(B993)),"",IF(COUNTIFS(FER_F,INT(B993))&gt;0,"Feriado"&amp;IF(AH993=1," (laborable)"," (no laborable)"),IF(AH993=1,"Laborable",IF(WEEKDAY(B993,2)&gt;5,"Fin de semana","No laborable"))))</f>
        <v/>
      </c>
      <c r="R993" s="73" t="n"/>
      <c r="S993" s="72" t="n"/>
      <c r="T993" s="72" t="n"/>
      <c r="U993" s="74" t="n"/>
      <c r="V993" s="79" t="str">
        <f>IF(AND(D993="proMX",OR(R993="Submitted",R993="Recall Requested"),ISNUMBER(S993)),CFG_TODAY-INT(S993),"")</f>
        <v/>
      </c>
      <c r="W993" s="78" t="str">
        <f>IF(BD993=0,"",IF(BA993&gt;0,"⚠ Se superpone con un registro de la otra empresa",IF(D993="Malcolm",IF(COUNTA(R993,S993,T993)&gt;0,"Estado/fechas proMX se ignoran en Malcolm",""),IF(BF993="Cancelled","Cancelado: excluido de totales",IF(R993="","Sin estado: se trata como Draft",IF(BF993="Submitted",IF(ISNUMBER(V993),IF(V993&gt;CFG_MAXD,"⚠ "&amp;V993&amp;" días en Submitted (máx. "&amp;CFG_MAXD&amp;")",""),"Falta fecha de envío"),IF(BF993="Returned","⚠ Devuelto: corregir y reenviar",IF(BF993="Recall Requested","Retirada solicitada: pendiente",IF(AND(BF993="Approved",NOT(ISNUMBER(T993))),"Falta fecha de aprobación",IF(AND(ISNUMBER(S993),ISNUMBER(T993),T993&lt;S993),"Aprobación anterior al envío","")))))))))</f>
        <v/>
      </c>
      <c r="Y993" s="80">
        <f>IF(COUNTA(B993,D993,E993,F993,G993,H993,I993,J993,R993,S993,T993)&gt;0,1,0)</f>
        <v>0</v>
      </c>
      <c r="Z993" s="80" t="str">
        <f>IF(AND(ISNUMBER(H993),H993&gt;=0,H993&lt;1),ROUND(H993*1440,0),"")</f>
        <v/>
      </c>
      <c r="AA993" s="80" t="str">
        <f>IF(AND(ISNUMBER(I993),I993&gt;=0,I993&lt;1),ROUND(I993*1440,0),"")</f>
        <v/>
      </c>
      <c r="AB993" s="80">
        <f>IF(AND(ISNUMBER(B993),D993&lt;&gt;"",ISNUMBER(Z993),ISNUMBER(AA993)),IF(Z993=AA993,0,1),0)</f>
        <v>0</v>
      </c>
      <c r="AC993" s="80">
        <f>IF(AB993=1,IF(AA993&lt;Z993,1,0),0)</f>
        <v>0</v>
      </c>
      <c r="AD993" s="80">
        <f>IF(AB993=1,IF(AC993=1,1440-Z993+AA993,AA993-Z993),0)</f>
        <v>0</v>
      </c>
      <c r="AE993" s="80">
        <f>IF(J993="",0,IF(ISNUMBER(J993),J993,-1))</f>
        <v>0</v>
      </c>
      <c r="AF993" s="80">
        <f>MIN(MAX(0,AE993),AD993)</f>
        <v>0</v>
      </c>
      <c r="AG993" s="80">
        <f>MAX(0,AD993-MAX(0,AE993))</f>
        <v>0</v>
      </c>
      <c r="AH993" s="80">
        <f>IF(ISNUMBER(B993),IF(AND(INDEX(CFG_WDAYS,WEEKDAY(INT(B993),2))="Sí",IF(D993="proMX",COUNTIFS(FER_F,INT(B993),FER_NLP,"Sí"),COUNTIFS(FER_F,INT(B993),FER_NLM,"Sí"))=0),1,0),0)</f>
        <v>0</v>
      </c>
      <c r="AI993" s="80">
        <f>IF(AC993=1,IF(AND(INDEX(CFG_WDAYS,WEEKDAY(INT(B993)+1,2))="Sí",IF(D993="proMX",COUNTIFS(FER_F,INT(B993)+1,FER_NLP,"Sí"),COUNTIFS(FER_F,INT(B993)+1,FER_NLM,"Sí"))=0),1,0),0)</f>
        <v>0</v>
      </c>
      <c r="AJ993" s="80">
        <f>IF(AC993=1,1440-Z993,AD993)</f>
        <v>0</v>
      </c>
      <c r="AK993" s="80">
        <f>IF(AND(AB993=1,AH993=1),MAX(0,MIN(IF(AC993=1,1440,AA993),CFG_WEM)-MAX(Z993,CFG_WSM)),0)</f>
        <v>0</v>
      </c>
      <c r="AL993" s="80">
        <f>IF(AND(AC993=1,AI993=1),MAX(0,MIN(AA993,CFG_WEM)-CFG_WSM),0)</f>
        <v>0</v>
      </c>
      <c r="AM993" s="80">
        <f>AK993+AL993</f>
        <v>0</v>
      </c>
      <c r="AN993" s="80">
        <f>IF(CFG_BRK="Proporcional",IF(AD993=0,0,AF993*AM993/AD993),IF(CFG_BRK="Extras primero",MIN(AM993,MAX(0,AF993-(AD993-AM993))),MIN(AF993,AM993)))</f>
        <v>0</v>
      </c>
      <c r="AO993" s="80">
        <f>AF993-AN993</f>
        <v>0</v>
      </c>
      <c r="AP993" s="80">
        <f>AM993-AN993</f>
        <v>0</v>
      </c>
      <c r="AQ993" s="80">
        <f>AD993-AM993-AO993</f>
        <v>0</v>
      </c>
      <c r="AR993" s="80">
        <f>IF(AM993=0,0,AK993-AN993*AK993/AM993)</f>
        <v>0</v>
      </c>
      <c r="AS993" s="80">
        <f>IF(AD993-AM993=0,0,(AJ993-AK993)-AO993*(AJ993-AK993)/(AD993-AM993))</f>
        <v>0</v>
      </c>
      <c r="AT993" s="80" t="str">
        <f>IF(AC993=1,INT(B993)+1,"")</f>
        <v/>
      </c>
      <c r="AU993" s="80">
        <f>IF(AND(D993="proMX",R993="Cancelled"),0,1)</f>
        <v>1</v>
      </c>
      <c r="AV993" s="80">
        <f>IF(AND(AB993=1,AU993=1),IF(COUNTIFS($D$5:D992,D993,$B$5:B992,B993,$Z$5:Z992,Z993,$AA$5:AA992,AA993,$F$5:F992,F993&amp;"",$AU$5:AU992,1)&gt;0,1,0),0)</f>
        <v>0</v>
      </c>
      <c r="AW993" s="80" t="str">
        <f>IF(AB993=1,INT(B993)*1440+Z993,"")</f>
        <v/>
      </c>
      <c r="AX993" s="80" t="str">
        <f>IF(AB993=1,AW993+AD993,"")</f>
        <v/>
      </c>
      <c r="AY993" s="80">
        <f>IF(AND(AB993=1,AV993=0,AU993=1),1,0)</f>
        <v>0</v>
      </c>
      <c r="AZ993" s="80">
        <f>IF(AY993=1,COUNTIFS(R_Emp,D993,R_SAbs,"&lt;"&amp;AX993,R_EAbs,"&gt;"&amp;AW993,R_OKey,1)-1,0)</f>
        <v>0</v>
      </c>
      <c r="BA993" s="80">
        <f>IF(AY993=1,COUNTIFS(R_Emp,"&lt;&gt;"&amp;D993,R_SAbs,"&lt;"&amp;AX993,R_EAbs,"&gt;"&amp;AW993,R_OKey,1),0)</f>
        <v>0</v>
      </c>
      <c r="BB993" s="80">
        <f>IF(AND(AB993=1,D993="proMX"),IF(AND(MOD(Z993,CFG_BLK)=0,MOD(AA993,CFG_BLK)=0,MOD(AG993,CFG_BLK)=0,AG993&gt;0),1,0),1)</f>
        <v>1</v>
      </c>
      <c r="BC993" s="80" t="str">
        <f>IF(Y993=0,"",IF(NOT(ISNUMBER(B993)),"Falta fecha o fecha inválida",IF(D993="","Falta empresa",IF(AND(D993&lt;&gt;"Malcolm",D993&lt;&gt;"proMX"),"Empresa inválida",IF(OR(INT(B993)&lt;CFG_PSTART,INT(B993)&gt;CFG_PEND),"Fecha fuera del período",IF(OR(NOT(ISNUMBER(Z993)),NOT(ISNUMBER(AA993))),"Falta hora inicio/fin o formato inválido",IF(AB993=0,"Hora inicio = hora fin",IF(AE993&lt;0,"Descanso inválido",IF(AE993&gt;=AD993,"Descanso ≥ duración",IF(AV993=1,"Registro duplicado",IF(AZ993&gt;0,"Se superpone con otro registro "&amp;D993,IF(BB993=0,"inicio, fin y duración neta deben ser múltiplos de "&amp;CFG_BLK&amp;" min",""))))))))))))</f>
        <v/>
      </c>
      <c r="BD993" s="80">
        <f>IF(AND(Y993=1,BC993=""),1,0)</f>
        <v>0</v>
      </c>
      <c r="BE993" s="80">
        <f>IF(AND(BD993=1,AU993=1),1,0)</f>
        <v>0</v>
      </c>
      <c r="BF993" s="80" t="str">
        <f>IF(AND(D993="proMX",BD993=1),IF(R993="","Draft",R993),"")</f>
        <v/>
      </c>
      <c r="BG993" s="80">
        <f>IF(BD993=1,ROUND(AG993/60,6),0)</f>
        <v>0</v>
      </c>
      <c r="BH993" s="80">
        <f>IF(BE993=1,ROUND(AG993/60,6),0)</f>
        <v>0</v>
      </c>
      <c r="BI993" s="80">
        <f>IF(BE993=1,ROUND(AP993/60,6),0)</f>
        <v>0</v>
      </c>
      <c r="BJ993" s="80">
        <f>IF(BE993=1,ROUND(AQ993/60,6),0)</f>
        <v>0</v>
      </c>
      <c r="BK993" s="80">
        <f>IF(BE993=1,ROUND((AR993+AS993)/60,6),0)</f>
        <v>0</v>
      </c>
      <c r="BL993" s="80">
        <f>ROUND(BH993-BK993,6)</f>
        <v>0</v>
      </c>
      <c r="BM993" s="80">
        <f>IF(BE993=1,ROUND(AR993/60,6),0)</f>
        <v>0</v>
      </c>
      <c r="BN993" s="80">
        <f>ROUND(BI993-BM993,6)</f>
        <v>0</v>
      </c>
      <c r="BO993" s="80">
        <f>IF(BE993=1,ROUND(AS993/60,6),0)</f>
        <v>0</v>
      </c>
      <c r="BP993" s="80">
        <f>ROUND(BJ993-BO993,6)</f>
        <v>0</v>
      </c>
      <c r="BQ993" s="80">
        <f>IF(BE993=1,AW993,0)</f>
        <v>0</v>
      </c>
      <c r="BR993" s="80">
        <f>IF(BE993=1,AX993,0)</f>
        <v>0</v>
      </c>
      <c r="BS993" s="80">
        <f>IF(AND(BE993=1,D993="Malcolm",BA993&gt;0),MIN(BH993,SUMPRODUCT((R_Emp="proMX")*(R_EN&gt;0)*((R_EN-(R_EN&gt;BR993)*(R_EN-BR993))&gt;(R_SN+(R_SN&lt;BQ993)*(BQ993-R_SN)))*((R_EN-(R_EN&gt;BR993)*(R_EN-BR993))-(R_SN+(R_SN&lt;BQ993)*(BQ993-R_SN))))/60),0)</f>
        <v>0</v>
      </c>
      <c r="BT993" s="80">
        <f>IF(AND(BE993=1,D993="proMX"),ROUND(BI993*CFG_RATE+BJ993*CFG_OTRATE,6),0)</f>
        <v>0</v>
      </c>
      <c r="BU993" s="80">
        <f>IF(AND(BD993=1,D993="proMX"),ROUND(AG993/CFG_BLK,6),0)</f>
        <v>0</v>
      </c>
      <c r="BV993" s="80" t="str">
        <f>IF(BF993="Approved",IF(ISNUMBER(T993),INT(T993),INT(B993)),"")</f>
        <v/>
      </c>
      <c r="BW993" s="80">
        <f>IF(ISNUMBER(B993),IF(DB_MON="Todos",1,IF(AND(INT(B993)&gt;=DB_MS,INT(B993)&lt;=DB_ME),1,0)),0)</f>
        <v>0</v>
      </c>
      <c r="BX993" s="80">
        <f>IF(DB_PROJ="Todos",1,IF(E993&amp;""=DB_PROJ&amp;"",1,0))</f>
        <v>1</v>
      </c>
      <c r="BY993" s="80">
        <f>BW993*BX993</f>
        <v>0</v>
      </c>
      <c r="BZ993" s="80" t="str">
        <f>IF(Y993=1,F993&amp;IF(AND(F993&amp;""&lt;&gt;"",E993&amp;""&lt;&gt;"")," · ","")&amp;E993,"")</f>
        <v/>
      </c>
      <c r="CA993" s="80" t="str">
        <f>IF(AND(BD993=1,E993&amp;""&lt;&gt;""),IF(COUNTIFS($E$5:E992,E993,$BD$5:BD992,1)=0,MAX($CA$5:CA992)+1,""),"")</f>
        <v/>
      </c>
      <c r="CB993" s="80" t="str">
        <f>IF(AND(BE993=1,D993="Malcolm",E993&amp;""&lt;&gt;""),IF(COUNTIFS($D$5:D992,"Malcolm",$E$5:E992,E993,$BE$5:BE992,1)=0,MAX($CB$5:CB992)+1,""),"")</f>
        <v/>
      </c>
      <c r="CC993" s="80" t="str">
        <f>IF(AND(BD993=1,D993="proMX",E993&amp;""&lt;&gt;""),IF(COUNTIFS($D$5:D992,"proMX",$E$5:E992,E993,$BD$5:BD992,1)=0,MAX($CC$5:CC992)+1,""),"")</f>
        <v/>
      </c>
      <c r="CD993" s="80" t="str">
        <f>IF(AND(BE993=1,D993="Malcolm",F993&amp;""&lt;&gt;""),IF(COUNTIFS($D$5:D992,"Malcolm",$F$5:F992,F993,$BE$5:BE992,1)=0,MAX($CD$5:CD992)+1,""),"")</f>
        <v/>
      </c>
      <c r="CE993" s="80" t="str">
        <f>IF(AND(BD993=1,D993="proMX",F993&amp;""&lt;&gt;""),IF(COUNTIFS($D$5:D992,"proMX",$F$5:F992,F993,$BD$5:BD992,1)=0,MAX($CE$5:CE992)+1,""),"")</f>
        <v/>
      </c>
      <c r="CF993" s="80" t="str">
        <f>IF(AND(D993="proMX",BD993=1),IF(OR(BF993="Draft",BF993="Submitted",BF993="Returned",BF993="Recall Requested"),MAX($CF$5:CF992)+1,""),"")</f>
        <v/>
      </c>
      <c r="CG993" s="80">
        <f>IF(BD993=0,0,IF(D993="Malcolm",1,MATCH(BF993,{"Draft","Submitted","Approved","Returned","Recall Requested","Cancelled"},0)+1))</f>
        <v>0</v>
      </c>
      <c r="CH993" s="80">
        <f>IF(AND(BF993="Submitted",ISNUMBER(V993)),IF(V993&gt;CFG_MAXD,1,0),0)</f>
        <v>0</v>
      </c>
    </row>
    <row r="994">
      <c r="A994" s="71" t="str">
        <f>IF(Y994=1,ROW()-5,"")</f>
        <v/>
      </c>
      <c r="B994" s="72" t="n"/>
      <c r="C994" s="71" t="str">
        <f>IF(ISNUMBER(B994),CHOOSE(WEEKDAY(B994,2),"Lun","Mar","Mié","Jue","Vie","Sáb","Dom"),"")</f>
        <v/>
      </c>
      <c r="D994" s="73" t="n"/>
      <c r="E994" s="74" t="n"/>
      <c r="F994" s="74" t="n"/>
      <c r="G994" s="74" t="n"/>
      <c r="H994" s="75" t="n"/>
      <c r="I994" s="75" t="n"/>
      <c r="J994" s="76" t="n"/>
      <c r="K994" s="77" t="str">
        <f>IF(AB994=1,ROUND(AG994/60,4),"")</f>
        <v/>
      </c>
      <c r="L994" s="77" t="str">
        <f>IF(BD994=1,ROUND(AP994/60,4),"")</f>
        <v/>
      </c>
      <c r="M994" s="77" t="str">
        <f>IF(BD994=1,ROUND(AQ994/60,4),"")</f>
        <v/>
      </c>
      <c r="N994" s="71" t="str">
        <f>IF(AND(D994="proMX",AB994=1),ROUND(AG994/CFG_BLK,2),"")</f>
        <v/>
      </c>
      <c r="O994" s="77" t="str">
        <f>IF(D994="proMX",IF(BD994=1,ROUND(AG994/60,4),0),"")</f>
        <v/>
      </c>
      <c r="P994" s="78" t="str">
        <f>IF(Y994=0,"",IF(BD994=1,"OK",IF(D994="proMX","Revisar bloques: ","Revisar: ")&amp;BC994))</f>
        <v/>
      </c>
      <c r="Q994" s="78" t="str">
        <f>IF(NOT(ISNUMBER(B994)),"",IF(COUNTIFS(FER_F,INT(B994))&gt;0,"Feriado"&amp;IF(AH994=1," (laborable)"," (no laborable)"),IF(AH994=1,"Laborable",IF(WEEKDAY(B994,2)&gt;5,"Fin de semana","No laborable"))))</f>
        <v/>
      </c>
      <c r="R994" s="73" t="n"/>
      <c r="S994" s="72" t="n"/>
      <c r="T994" s="72" t="n"/>
      <c r="U994" s="74" t="n"/>
      <c r="V994" s="79" t="str">
        <f>IF(AND(D994="proMX",OR(R994="Submitted",R994="Recall Requested"),ISNUMBER(S994)),CFG_TODAY-INT(S994),"")</f>
        <v/>
      </c>
      <c r="W994" s="78" t="str">
        <f>IF(BD994=0,"",IF(BA994&gt;0,"⚠ Se superpone con un registro de la otra empresa",IF(D994="Malcolm",IF(COUNTA(R994,S994,T994)&gt;0,"Estado/fechas proMX se ignoran en Malcolm",""),IF(BF994="Cancelled","Cancelado: excluido de totales",IF(R994="","Sin estado: se trata como Draft",IF(BF994="Submitted",IF(ISNUMBER(V994),IF(V994&gt;CFG_MAXD,"⚠ "&amp;V994&amp;" días en Submitted (máx. "&amp;CFG_MAXD&amp;")",""),"Falta fecha de envío"),IF(BF994="Returned","⚠ Devuelto: corregir y reenviar",IF(BF994="Recall Requested","Retirada solicitada: pendiente",IF(AND(BF994="Approved",NOT(ISNUMBER(T994))),"Falta fecha de aprobación",IF(AND(ISNUMBER(S994),ISNUMBER(T994),T994&lt;S994),"Aprobación anterior al envío","")))))))))</f>
        <v/>
      </c>
      <c r="Y994" s="80">
        <f>IF(COUNTA(B994,D994,E994,F994,G994,H994,I994,J994,R994,S994,T994)&gt;0,1,0)</f>
        <v>0</v>
      </c>
      <c r="Z994" s="80" t="str">
        <f>IF(AND(ISNUMBER(H994),H994&gt;=0,H994&lt;1),ROUND(H994*1440,0),"")</f>
        <v/>
      </c>
      <c r="AA994" s="80" t="str">
        <f>IF(AND(ISNUMBER(I994),I994&gt;=0,I994&lt;1),ROUND(I994*1440,0),"")</f>
        <v/>
      </c>
      <c r="AB994" s="80">
        <f>IF(AND(ISNUMBER(B994),D994&lt;&gt;"",ISNUMBER(Z994),ISNUMBER(AA994)),IF(Z994=AA994,0,1),0)</f>
        <v>0</v>
      </c>
      <c r="AC994" s="80">
        <f>IF(AB994=1,IF(AA994&lt;Z994,1,0),0)</f>
        <v>0</v>
      </c>
      <c r="AD994" s="80">
        <f>IF(AB994=1,IF(AC994=1,1440-Z994+AA994,AA994-Z994),0)</f>
        <v>0</v>
      </c>
      <c r="AE994" s="80">
        <f>IF(J994="",0,IF(ISNUMBER(J994),J994,-1))</f>
        <v>0</v>
      </c>
      <c r="AF994" s="80">
        <f>MIN(MAX(0,AE994),AD994)</f>
        <v>0</v>
      </c>
      <c r="AG994" s="80">
        <f>MAX(0,AD994-MAX(0,AE994))</f>
        <v>0</v>
      </c>
      <c r="AH994" s="80">
        <f>IF(ISNUMBER(B994),IF(AND(INDEX(CFG_WDAYS,WEEKDAY(INT(B994),2))="Sí",IF(D994="proMX",COUNTIFS(FER_F,INT(B994),FER_NLP,"Sí"),COUNTIFS(FER_F,INT(B994),FER_NLM,"Sí"))=0),1,0),0)</f>
        <v>0</v>
      </c>
      <c r="AI994" s="80">
        <f>IF(AC994=1,IF(AND(INDEX(CFG_WDAYS,WEEKDAY(INT(B994)+1,2))="Sí",IF(D994="proMX",COUNTIFS(FER_F,INT(B994)+1,FER_NLP,"Sí"),COUNTIFS(FER_F,INT(B994)+1,FER_NLM,"Sí"))=0),1,0),0)</f>
        <v>0</v>
      </c>
      <c r="AJ994" s="80">
        <f>IF(AC994=1,1440-Z994,AD994)</f>
        <v>0</v>
      </c>
      <c r="AK994" s="80">
        <f>IF(AND(AB994=1,AH994=1),MAX(0,MIN(IF(AC994=1,1440,AA994),CFG_WEM)-MAX(Z994,CFG_WSM)),0)</f>
        <v>0</v>
      </c>
      <c r="AL994" s="80">
        <f>IF(AND(AC994=1,AI994=1),MAX(0,MIN(AA994,CFG_WEM)-CFG_WSM),0)</f>
        <v>0</v>
      </c>
      <c r="AM994" s="80">
        <f>AK994+AL994</f>
        <v>0</v>
      </c>
      <c r="AN994" s="80">
        <f>IF(CFG_BRK="Proporcional",IF(AD994=0,0,AF994*AM994/AD994),IF(CFG_BRK="Extras primero",MIN(AM994,MAX(0,AF994-(AD994-AM994))),MIN(AF994,AM994)))</f>
        <v>0</v>
      </c>
      <c r="AO994" s="80">
        <f>AF994-AN994</f>
        <v>0</v>
      </c>
      <c r="AP994" s="80">
        <f>AM994-AN994</f>
        <v>0</v>
      </c>
      <c r="AQ994" s="80">
        <f>AD994-AM994-AO994</f>
        <v>0</v>
      </c>
      <c r="AR994" s="80">
        <f>IF(AM994=0,0,AK994-AN994*AK994/AM994)</f>
        <v>0</v>
      </c>
      <c r="AS994" s="80">
        <f>IF(AD994-AM994=0,0,(AJ994-AK994)-AO994*(AJ994-AK994)/(AD994-AM994))</f>
        <v>0</v>
      </c>
      <c r="AT994" s="80" t="str">
        <f>IF(AC994=1,INT(B994)+1,"")</f>
        <v/>
      </c>
      <c r="AU994" s="80">
        <f>IF(AND(D994="proMX",R994="Cancelled"),0,1)</f>
        <v>1</v>
      </c>
      <c r="AV994" s="80">
        <f>IF(AND(AB994=1,AU994=1),IF(COUNTIFS($D$5:D993,D994,$B$5:B993,B994,$Z$5:Z993,Z994,$AA$5:AA993,AA994,$F$5:F993,F994&amp;"",$AU$5:AU993,1)&gt;0,1,0),0)</f>
        <v>0</v>
      </c>
      <c r="AW994" s="80" t="str">
        <f>IF(AB994=1,INT(B994)*1440+Z994,"")</f>
        <v/>
      </c>
      <c r="AX994" s="80" t="str">
        <f>IF(AB994=1,AW994+AD994,"")</f>
        <v/>
      </c>
      <c r="AY994" s="80">
        <f>IF(AND(AB994=1,AV994=0,AU994=1),1,0)</f>
        <v>0</v>
      </c>
      <c r="AZ994" s="80">
        <f>IF(AY994=1,COUNTIFS(R_Emp,D994,R_SAbs,"&lt;"&amp;AX994,R_EAbs,"&gt;"&amp;AW994,R_OKey,1)-1,0)</f>
        <v>0</v>
      </c>
      <c r="BA994" s="80">
        <f>IF(AY994=1,COUNTIFS(R_Emp,"&lt;&gt;"&amp;D994,R_SAbs,"&lt;"&amp;AX994,R_EAbs,"&gt;"&amp;AW994,R_OKey,1),0)</f>
        <v>0</v>
      </c>
      <c r="BB994" s="80">
        <f>IF(AND(AB994=1,D994="proMX"),IF(AND(MOD(Z994,CFG_BLK)=0,MOD(AA994,CFG_BLK)=0,MOD(AG994,CFG_BLK)=0,AG994&gt;0),1,0),1)</f>
        <v>1</v>
      </c>
      <c r="BC994" s="80" t="str">
        <f>IF(Y994=0,"",IF(NOT(ISNUMBER(B994)),"Falta fecha o fecha inválida",IF(D994="","Falta empresa",IF(AND(D994&lt;&gt;"Malcolm",D994&lt;&gt;"proMX"),"Empresa inválida",IF(OR(INT(B994)&lt;CFG_PSTART,INT(B994)&gt;CFG_PEND),"Fecha fuera del período",IF(OR(NOT(ISNUMBER(Z994)),NOT(ISNUMBER(AA994))),"Falta hora inicio/fin o formato inválido",IF(AB994=0,"Hora inicio = hora fin",IF(AE994&lt;0,"Descanso inválido",IF(AE994&gt;=AD994,"Descanso ≥ duración",IF(AV994=1,"Registro duplicado",IF(AZ994&gt;0,"Se superpone con otro registro "&amp;D994,IF(BB994=0,"inicio, fin y duración neta deben ser múltiplos de "&amp;CFG_BLK&amp;" min",""))))))))))))</f>
        <v/>
      </c>
      <c r="BD994" s="80">
        <f>IF(AND(Y994=1,BC994=""),1,0)</f>
        <v>0</v>
      </c>
      <c r="BE994" s="80">
        <f>IF(AND(BD994=1,AU994=1),1,0)</f>
        <v>0</v>
      </c>
      <c r="BF994" s="80" t="str">
        <f>IF(AND(D994="proMX",BD994=1),IF(R994="","Draft",R994),"")</f>
        <v/>
      </c>
      <c r="BG994" s="80">
        <f>IF(BD994=1,ROUND(AG994/60,6),0)</f>
        <v>0</v>
      </c>
      <c r="BH994" s="80">
        <f>IF(BE994=1,ROUND(AG994/60,6),0)</f>
        <v>0</v>
      </c>
      <c r="BI994" s="80">
        <f>IF(BE994=1,ROUND(AP994/60,6),0)</f>
        <v>0</v>
      </c>
      <c r="BJ994" s="80">
        <f>IF(BE994=1,ROUND(AQ994/60,6),0)</f>
        <v>0</v>
      </c>
      <c r="BK994" s="80">
        <f>IF(BE994=1,ROUND((AR994+AS994)/60,6),0)</f>
        <v>0</v>
      </c>
      <c r="BL994" s="80">
        <f>ROUND(BH994-BK994,6)</f>
        <v>0</v>
      </c>
      <c r="BM994" s="80">
        <f>IF(BE994=1,ROUND(AR994/60,6),0)</f>
        <v>0</v>
      </c>
      <c r="BN994" s="80">
        <f>ROUND(BI994-BM994,6)</f>
        <v>0</v>
      </c>
      <c r="BO994" s="80">
        <f>IF(BE994=1,ROUND(AS994/60,6),0)</f>
        <v>0</v>
      </c>
      <c r="BP994" s="80">
        <f>ROUND(BJ994-BO994,6)</f>
        <v>0</v>
      </c>
      <c r="BQ994" s="80">
        <f>IF(BE994=1,AW994,0)</f>
        <v>0</v>
      </c>
      <c r="BR994" s="80">
        <f>IF(BE994=1,AX994,0)</f>
        <v>0</v>
      </c>
      <c r="BS994" s="80">
        <f>IF(AND(BE994=1,D994="Malcolm",BA994&gt;0),MIN(BH994,SUMPRODUCT((R_Emp="proMX")*(R_EN&gt;0)*((R_EN-(R_EN&gt;BR994)*(R_EN-BR994))&gt;(R_SN+(R_SN&lt;BQ994)*(BQ994-R_SN)))*((R_EN-(R_EN&gt;BR994)*(R_EN-BR994))-(R_SN+(R_SN&lt;BQ994)*(BQ994-R_SN))))/60),0)</f>
        <v>0</v>
      </c>
      <c r="BT994" s="80">
        <f>IF(AND(BE994=1,D994="proMX"),ROUND(BI994*CFG_RATE+BJ994*CFG_OTRATE,6),0)</f>
        <v>0</v>
      </c>
      <c r="BU994" s="80">
        <f>IF(AND(BD994=1,D994="proMX"),ROUND(AG994/CFG_BLK,6),0)</f>
        <v>0</v>
      </c>
      <c r="BV994" s="80" t="str">
        <f>IF(BF994="Approved",IF(ISNUMBER(T994),INT(T994),INT(B994)),"")</f>
        <v/>
      </c>
      <c r="BW994" s="80">
        <f>IF(ISNUMBER(B994),IF(DB_MON="Todos",1,IF(AND(INT(B994)&gt;=DB_MS,INT(B994)&lt;=DB_ME),1,0)),0)</f>
        <v>0</v>
      </c>
      <c r="BX994" s="80">
        <f>IF(DB_PROJ="Todos",1,IF(E994&amp;""=DB_PROJ&amp;"",1,0))</f>
        <v>1</v>
      </c>
      <c r="BY994" s="80">
        <f>BW994*BX994</f>
        <v>0</v>
      </c>
      <c r="BZ994" s="80" t="str">
        <f>IF(Y994=1,F994&amp;IF(AND(F994&amp;""&lt;&gt;"",E994&amp;""&lt;&gt;"")," · ","")&amp;E994,"")</f>
        <v/>
      </c>
      <c r="CA994" s="80" t="str">
        <f>IF(AND(BD994=1,E994&amp;""&lt;&gt;""),IF(COUNTIFS($E$5:E993,E994,$BD$5:BD993,1)=0,MAX($CA$5:CA993)+1,""),"")</f>
        <v/>
      </c>
      <c r="CB994" s="80" t="str">
        <f>IF(AND(BE994=1,D994="Malcolm",E994&amp;""&lt;&gt;""),IF(COUNTIFS($D$5:D993,"Malcolm",$E$5:E993,E994,$BE$5:BE993,1)=0,MAX($CB$5:CB993)+1,""),"")</f>
        <v/>
      </c>
      <c r="CC994" s="80" t="str">
        <f>IF(AND(BD994=1,D994="proMX",E994&amp;""&lt;&gt;""),IF(COUNTIFS($D$5:D993,"proMX",$E$5:E993,E994,$BD$5:BD993,1)=0,MAX($CC$5:CC993)+1,""),"")</f>
        <v/>
      </c>
      <c r="CD994" s="80" t="str">
        <f>IF(AND(BE994=1,D994="Malcolm",F994&amp;""&lt;&gt;""),IF(COUNTIFS($D$5:D993,"Malcolm",$F$5:F993,F994,$BE$5:BE993,1)=0,MAX($CD$5:CD993)+1,""),"")</f>
        <v/>
      </c>
      <c r="CE994" s="80" t="str">
        <f>IF(AND(BD994=1,D994="proMX",F994&amp;""&lt;&gt;""),IF(COUNTIFS($D$5:D993,"proMX",$F$5:F993,F994,$BD$5:BD993,1)=0,MAX($CE$5:CE993)+1,""),"")</f>
        <v/>
      </c>
      <c r="CF994" s="80" t="str">
        <f>IF(AND(D994="proMX",BD994=1),IF(OR(BF994="Draft",BF994="Submitted",BF994="Returned",BF994="Recall Requested"),MAX($CF$5:CF993)+1,""),"")</f>
        <v/>
      </c>
      <c r="CG994" s="80">
        <f>IF(BD994=0,0,IF(D994="Malcolm",1,MATCH(BF994,{"Draft","Submitted","Approved","Returned","Recall Requested","Cancelled"},0)+1))</f>
        <v>0</v>
      </c>
      <c r="CH994" s="80">
        <f>IF(AND(BF994="Submitted",ISNUMBER(V994)),IF(V994&gt;CFG_MAXD,1,0),0)</f>
        <v>0</v>
      </c>
    </row>
    <row r="995">
      <c r="A995" s="71" t="str">
        <f>IF(Y995=1,ROW()-5,"")</f>
        <v/>
      </c>
      <c r="B995" s="72" t="n"/>
      <c r="C995" s="71" t="str">
        <f>IF(ISNUMBER(B995),CHOOSE(WEEKDAY(B995,2),"Lun","Mar","Mié","Jue","Vie","Sáb","Dom"),"")</f>
        <v/>
      </c>
      <c r="D995" s="73" t="n"/>
      <c r="E995" s="74" t="n"/>
      <c r="F995" s="74" t="n"/>
      <c r="G995" s="74" t="n"/>
      <c r="H995" s="75" t="n"/>
      <c r="I995" s="75" t="n"/>
      <c r="J995" s="76" t="n"/>
      <c r="K995" s="77" t="str">
        <f>IF(AB995=1,ROUND(AG995/60,4),"")</f>
        <v/>
      </c>
      <c r="L995" s="77" t="str">
        <f>IF(BD995=1,ROUND(AP995/60,4),"")</f>
        <v/>
      </c>
      <c r="M995" s="77" t="str">
        <f>IF(BD995=1,ROUND(AQ995/60,4),"")</f>
        <v/>
      </c>
      <c r="N995" s="71" t="str">
        <f>IF(AND(D995="proMX",AB995=1),ROUND(AG995/CFG_BLK,2),"")</f>
        <v/>
      </c>
      <c r="O995" s="77" t="str">
        <f>IF(D995="proMX",IF(BD995=1,ROUND(AG995/60,4),0),"")</f>
        <v/>
      </c>
      <c r="P995" s="78" t="str">
        <f>IF(Y995=0,"",IF(BD995=1,"OK",IF(D995="proMX","Revisar bloques: ","Revisar: ")&amp;BC995))</f>
        <v/>
      </c>
      <c r="Q995" s="78" t="str">
        <f>IF(NOT(ISNUMBER(B995)),"",IF(COUNTIFS(FER_F,INT(B995))&gt;0,"Feriado"&amp;IF(AH995=1," (laborable)"," (no laborable)"),IF(AH995=1,"Laborable",IF(WEEKDAY(B995,2)&gt;5,"Fin de semana","No laborable"))))</f>
        <v/>
      </c>
      <c r="R995" s="73" t="n"/>
      <c r="S995" s="72" t="n"/>
      <c r="T995" s="72" t="n"/>
      <c r="U995" s="74" t="n"/>
      <c r="V995" s="79" t="str">
        <f>IF(AND(D995="proMX",OR(R995="Submitted",R995="Recall Requested"),ISNUMBER(S995)),CFG_TODAY-INT(S995),"")</f>
        <v/>
      </c>
      <c r="W995" s="78" t="str">
        <f>IF(BD995=0,"",IF(BA995&gt;0,"⚠ Se superpone con un registro de la otra empresa",IF(D995="Malcolm",IF(COUNTA(R995,S995,T995)&gt;0,"Estado/fechas proMX se ignoran en Malcolm",""),IF(BF995="Cancelled","Cancelado: excluido de totales",IF(R995="","Sin estado: se trata como Draft",IF(BF995="Submitted",IF(ISNUMBER(V995),IF(V995&gt;CFG_MAXD,"⚠ "&amp;V995&amp;" días en Submitted (máx. "&amp;CFG_MAXD&amp;")",""),"Falta fecha de envío"),IF(BF995="Returned","⚠ Devuelto: corregir y reenviar",IF(BF995="Recall Requested","Retirada solicitada: pendiente",IF(AND(BF995="Approved",NOT(ISNUMBER(T995))),"Falta fecha de aprobación",IF(AND(ISNUMBER(S995),ISNUMBER(T995),T995&lt;S995),"Aprobación anterior al envío","")))))))))</f>
        <v/>
      </c>
      <c r="Y995" s="80">
        <f>IF(COUNTA(B995,D995,E995,F995,G995,H995,I995,J995,R995,S995,T995)&gt;0,1,0)</f>
        <v>0</v>
      </c>
      <c r="Z995" s="80" t="str">
        <f>IF(AND(ISNUMBER(H995),H995&gt;=0,H995&lt;1),ROUND(H995*1440,0),"")</f>
        <v/>
      </c>
      <c r="AA995" s="80" t="str">
        <f>IF(AND(ISNUMBER(I995),I995&gt;=0,I995&lt;1),ROUND(I995*1440,0),"")</f>
        <v/>
      </c>
      <c r="AB995" s="80">
        <f>IF(AND(ISNUMBER(B995),D995&lt;&gt;"",ISNUMBER(Z995),ISNUMBER(AA995)),IF(Z995=AA995,0,1),0)</f>
        <v>0</v>
      </c>
      <c r="AC995" s="80">
        <f>IF(AB995=1,IF(AA995&lt;Z995,1,0),0)</f>
        <v>0</v>
      </c>
      <c r="AD995" s="80">
        <f>IF(AB995=1,IF(AC995=1,1440-Z995+AA995,AA995-Z995),0)</f>
        <v>0</v>
      </c>
      <c r="AE995" s="80">
        <f>IF(J995="",0,IF(ISNUMBER(J995),J995,-1))</f>
        <v>0</v>
      </c>
      <c r="AF995" s="80">
        <f>MIN(MAX(0,AE995),AD995)</f>
        <v>0</v>
      </c>
      <c r="AG995" s="80">
        <f>MAX(0,AD995-MAX(0,AE995))</f>
        <v>0</v>
      </c>
      <c r="AH995" s="80">
        <f>IF(ISNUMBER(B995),IF(AND(INDEX(CFG_WDAYS,WEEKDAY(INT(B995),2))="Sí",IF(D995="proMX",COUNTIFS(FER_F,INT(B995),FER_NLP,"Sí"),COUNTIFS(FER_F,INT(B995),FER_NLM,"Sí"))=0),1,0),0)</f>
        <v>0</v>
      </c>
      <c r="AI995" s="80">
        <f>IF(AC995=1,IF(AND(INDEX(CFG_WDAYS,WEEKDAY(INT(B995)+1,2))="Sí",IF(D995="proMX",COUNTIFS(FER_F,INT(B995)+1,FER_NLP,"Sí"),COUNTIFS(FER_F,INT(B995)+1,FER_NLM,"Sí"))=0),1,0),0)</f>
        <v>0</v>
      </c>
      <c r="AJ995" s="80">
        <f>IF(AC995=1,1440-Z995,AD995)</f>
        <v>0</v>
      </c>
      <c r="AK995" s="80">
        <f>IF(AND(AB995=1,AH995=1),MAX(0,MIN(IF(AC995=1,1440,AA995),CFG_WEM)-MAX(Z995,CFG_WSM)),0)</f>
        <v>0</v>
      </c>
      <c r="AL995" s="80">
        <f>IF(AND(AC995=1,AI995=1),MAX(0,MIN(AA995,CFG_WEM)-CFG_WSM),0)</f>
        <v>0</v>
      </c>
      <c r="AM995" s="80">
        <f>AK995+AL995</f>
        <v>0</v>
      </c>
      <c r="AN995" s="80">
        <f>IF(CFG_BRK="Proporcional",IF(AD995=0,0,AF995*AM995/AD995),IF(CFG_BRK="Extras primero",MIN(AM995,MAX(0,AF995-(AD995-AM995))),MIN(AF995,AM995)))</f>
        <v>0</v>
      </c>
      <c r="AO995" s="80">
        <f>AF995-AN995</f>
        <v>0</v>
      </c>
      <c r="AP995" s="80">
        <f>AM995-AN995</f>
        <v>0</v>
      </c>
      <c r="AQ995" s="80">
        <f>AD995-AM995-AO995</f>
        <v>0</v>
      </c>
      <c r="AR995" s="80">
        <f>IF(AM995=0,0,AK995-AN995*AK995/AM995)</f>
        <v>0</v>
      </c>
      <c r="AS995" s="80">
        <f>IF(AD995-AM995=0,0,(AJ995-AK995)-AO995*(AJ995-AK995)/(AD995-AM995))</f>
        <v>0</v>
      </c>
      <c r="AT995" s="80" t="str">
        <f>IF(AC995=1,INT(B995)+1,"")</f>
        <v/>
      </c>
      <c r="AU995" s="80">
        <f>IF(AND(D995="proMX",R995="Cancelled"),0,1)</f>
        <v>1</v>
      </c>
      <c r="AV995" s="80">
        <f>IF(AND(AB995=1,AU995=1),IF(COUNTIFS($D$5:D994,D995,$B$5:B994,B995,$Z$5:Z994,Z995,$AA$5:AA994,AA995,$F$5:F994,F995&amp;"",$AU$5:AU994,1)&gt;0,1,0),0)</f>
        <v>0</v>
      </c>
      <c r="AW995" s="80" t="str">
        <f>IF(AB995=1,INT(B995)*1440+Z995,"")</f>
        <v/>
      </c>
      <c r="AX995" s="80" t="str">
        <f>IF(AB995=1,AW995+AD995,"")</f>
        <v/>
      </c>
      <c r="AY995" s="80">
        <f>IF(AND(AB995=1,AV995=0,AU995=1),1,0)</f>
        <v>0</v>
      </c>
      <c r="AZ995" s="80">
        <f>IF(AY995=1,COUNTIFS(R_Emp,D995,R_SAbs,"&lt;"&amp;AX995,R_EAbs,"&gt;"&amp;AW995,R_OKey,1)-1,0)</f>
        <v>0</v>
      </c>
      <c r="BA995" s="80">
        <f>IF(AY995=1,COUNTIFS(R_Emp,"&lt;&gt;"&amp;D995,R_SAbs,"&lt;"&amp;AX995,R_EAbs,"&gt;"&amp;AW995,R_OKey,1),0)</f>
        <v>0</v>
      </c>
      <c r="BB995" s="80">
        <f>IF(AND(AB995=1,D995="proMX"),IF(AND(MOD(Z995,CFG_BLK)=0,MOD(AA995,CFG_BLK)=0,MOD(AG995,CFG_BLK)=0,AG995&gt;0),1,0),1)</f>
        <v>1</v>
      </c>
      <c r="BC995" s="80" t="str">
        <f>IF(Y995=0,"",IF(NOT(ISNUMBER(B995)),"Falta fecha o fecha inválida",IF(D995="","Falta empresa",IF(AND(D995&lt;&gt;"Malcolm",D995&lt;&gt;"proMX"),"Empresa inválida",IF(OR(INT(B995)&lt;CFG_PSTART,INT(B995)&gt;CFG_PEND),"Fecha fuera del período",IF(OR(NOT(ISNUMBER(Z995)),NOT(ISNUMBER(AA995))),"Falta hora inicio/fin o formato inválido",IF(AB995=0,"Hora inicio = hora fin",IF(AE995&lt;0,"Descanso inválido",IF(AE995&gt;=AD995,"Descanso ≥ duración",IF(AV995=1,"Registro duplicado",IF(AZ995&gt;0,"Se superpone con otro registro "&amp;D995,IF(BB995=0,"inicio, fin y duración neta deben ser múltiplos de "&amp;CFG_BLK&amp;" min",""))))))))))))</f>
        <v/>
      </c>
      <c r="BD995" s="80">
        <f>IF(AND(Y995=1,BC995=""),1,0)</f>
        <v>0</v>
      </c>
      <c r="BE995" s="80">
        <f>IF(AND(BD995=1,AU995=1),1,0)</f>
        <v>0</v>
      </c>
      <c r="BF995" s="80" t="str">
        <f>IF(AND(D995="proMX",BD995=1),IF(R995="","Draft",R995),"")</f>
        <v/>
      </c>
      <c r="BG995" s="80">
        <f>IF(BD995=1,ROUND(AG995/60,6),0)</f>
        <v>0</v>
      </c>
      <c r="BH995" s="80">
        <f>IF(BE995=1,ROUND(AG995/60,6),0)</f>
        <v>0</v>
      </c>
      <c r="BI995" s="80">
        <f>IF(BE995=1,ROUND(AP995/60,6),0)</f>
        <v>0</v>
      </c>
      <c r="BJ995" s="80">
        <f>IF(BE995=1,ROUND(AQ995/60,6),0)</f>
        <v>0</v>
      </c>
      <c r="BK995" s="80">
        <f>IF(BE995=1,ROUND((AR995+AS995)/60,6),0)</f>
        <v>0</v>
      </c>
      <c r="BL995" s="80">
        <f>ROUND(BH995-BK995,6)</f>
        <v>0</v>
      </c>
      <c r="BM995" s="80">
        <f>IF(BE995=1,ROUND(AR995/60,6),0)</f>
        <v>0</v>
      </c>
      <c r="BN995" s="80">
        <f>ROUND(BI995-BM995,6)</f>
        <v>0</v>
      </c>
      <c r="BO995" s="80">
        <f>IF(BE995=1,ROUND(AS995/60,6),0)</f>
        <v>0</v>
      </c>
      <c r="BP995" s="80">
        <f>ROUND(BJ995-BO995,6)</f>
        <v>0</v>
      </c>
      <c r="BQ995" s="80">
        <f>IF(BE995=1,AW995,0)</f>
        <v>0</v>
      </c>
      <c r="BR995" s="80">
        <f>IF(BE995=1,AX995,0)</f>
        <v>0</v>
      </c>
      <c r="BS995" s="80">
        <f>IF(AND(BE995=1,D995="Malcolm",BA995&gt;0),MIN(BH995,SUMPRODUCT((R_Emp="proMX")*(R_EN&gt;0)*((R_EN-(R_EN&gt;BR995)*(R_EN-BR995))&gt;(R_SN+(R_SN&lt;BQ995)*(BQ995-R_SN)))*((R_EN-(R_EN&gt;BR995)*(R_EN-BR995))-(R_SN+(R_SN&lt;BQ995)*(BQ995-R_SN))))/60),0)</f>
        <v>0</v>
      </c>
      <c r="BT995" s="80">
        <f>IF(AND(BE995=1,D995="proMX"),ROUND(BI995*CFG_RATE+BJ995*CFG_OTRATE,6),0)</f>
        <v>0</v>
      </c>
      <c r="BU995" s="80">
        <f>IF(AND(BD995=1,D995="proMX"),ROUND(AG995/CFG_BLK,6),0)</f>
        <v>0</v>
      </c>
      <c r="BV995" s="80" t="str">
        <f>IF(BF995="Approved",IF(ISNUMBER(T995),INT(T995),INT(B995)),"")</f>
        <v/>
      </c>
      <c r="BW995" s="80">
        <f>IF(ISNUMBER(B995),IF(DB_MON="Todos",1,IF(AND(INT(B995)&gt;=DB_MS,INT(B995)&lt;=DB_ME),1,0)),0)</f>
        <v>0</v>
      </c>
      <c r="BX995" s="80">
        <f>IF(DB_PROJ="Todos",1,IF(E995&amp;""=DB_PROJ&amp;"",1,0))</f>
        <v>1</v>
      </c>
      <c r="BY995" s="80">
        <f>BW995*BX995</f>
        <v>0</v>
      </c>
      <c r="BZ995" s="80" t="str">
        <f>IF(Y995=1,F995&amp;IF(AND(F995&amp;""&lt;&gt;"",E995&amp;""&lt;&gt;"")," · ","")&amp;E995,"")</f>
        <v/>
      </c>
      <c r="CA995" s="80" t="str">
        <f>IF(AND(BD995=1,E995&amp;""&lt;&gt;""),IF(COUNTIFS($E$5:E994,E995,$BD$5:BD994,1)=0,MAX($CA$5:CA994)+1,""),"")</f>
        <v/>
      </c>
      <c r="CB995" s="80" t="str">
        <f>IF(AND(BE995=1,D995="Malcolm",E995&amp;""&lt;&gt;""),IF(COUNTIFS($D$5:D994,"Malcolm",$E$5:E994,E995,$BE$5:BE994,1)=0,MAX($CB$5:CB994)+1,""),"")</f>
        <v/>
      </c>
      <c r="CC995" s="80" t="str">
        <f>IF(AND(BD995=1,D995="proMX",E995&amp;""&lt;&gt;""),IF(COUNTIFS($D$5:D994,"proMX",$E$5:E994,E995,$BD$5:BD994,1)=0,MAX($CC$5:CC994)+1,""),"")</f>
        <v/>
      </c>
      <c r="CD995" s="80" t="str">
        <f>IF(AND(BE995=1,D995="Malcolm",F995&amp;""&lt;&gt;""),IF(COUNTIFS($D$5:D994,"Malcolm",$F$5:F994,F995,$BE$5:BE994,1)=0,MAX($CD$5:CD994)+1,""),"")</f>
        <v/>
      </c>
      <c r="CE995" s="80" t="str">
        <f>IF(AND(BD995=1,D995="proMX",F995&amp;""&lt;&gt;""),IF(COUNTIFS($D$5:D994,"proMX",$F$5:F994,F995,$BD$5:BD994,1)=0,MAX($CE$5:CE994)+1,""),"")</f>
        <v/>
      </c>
      <c r="CF995" s="80" t="str">
        <f>IF(AND(D995="proMX",BD995=1),IF(OR(BF995="Draft",BF995="Submitted",BF995="Returned",BF995="Recall Requested"),MAX($CF$5:CF994)+1,""),"")</f>
        <v/>
      </c>
      <c r="CG995" s="80">
        <f>IF(BD995=0,0,IF(D995="Malcolm",1,MATCH(BF995,{"Draft","Submitted","Approved","Returned","Recall Requested","Cancelled"},0)+1))</f>
        <v>0</v>
      </c>
      <c r="CH995" s="80">
        <f>IF(AND(BF995="Submitted",ISNUMBER(V995)),IF(V995&gt;CFG_MAXD,1,0),0)</f>
        <v>0</v>
      </c>
    </row>
    <row r="996">
      <c r="A996" s="71" t="str">
        <f>IF(Y996=1,ROW()-5,"")</f>
        <v/>
      </c>
      <c r="B996" s="72" t="n"/>
      <c r="C996" s="71" t="str">
        <f>IF(ISNUMBER(B996),CHOOSE(WEEKDAY(B996,2),"Lun","Mar","Mié","Jue","Vie","Sáb","Dom"),"")</f>
        <v/>
      </c>
      <c r="D996" s="73" t="n"/>
      <c r="E996" s="74" t="n"/>
      <c r="F996" s="74" t="n"/>
      <c r="G996" s="74" t="n"/>
      <c r="H996" s="75" t="n"/>
      <c r="I996" s="75" t="n"/>
      <c r="J996" s="76" t="n"/>
      <c r="K996" s="77" t="str">
        <f>IF(AB996=1,ROUND(AG996/60,4),"")</f>
        <v/>
      </c>
      <c r="L996" s="77" t="str">
        <f>IF(BD996=1,ROUND(AP996/60,4),"")</f>
        <v/>
      </c>
      <c r="M996" s="77" t="str">
        <f>IF(BD996=1,ROUND(AQ996/60,4),"")</f>
        <v/>
      </c>
      <c r="N996" s="71" t="str">
        <f>IF(AND(D996="proMX",AB996=1),ROUND(AG996/CFG_BLK,2),"")</f>
        <v/>
      </c>
      <c r="O996" s="77" t="str">
        <f>IF(D996="proMX",IF(BD996=1,ROUND(AG996/60,4),0),"")</f>
        <v/>
      </c>
      <c r="P996" s="78" t="str">
        <f>IF(Y996=0,"",IF(BD996=1,"OK",IF(D996="proMX","Revisar bloques: ","Revisar: ")&amp;BC996))</f>
        <v/>
      </c>
      <c r="Q996" s="78" t="str">
        <f>IF(NOT(ISNUMBER(B996)),"",IF(COUNTIFS(FER_F,INT(B996))&gt;0,"Feriado"&amp;IF(AH996=1," (laborable)"," (no laborable)"),IF(AH996=1,"Laborable",IF(WEEKDAY(B996,2)&gt;5,"Fin de semana","No laborable"))))</f>
        <v/>
      </c>
      <c r="R996" s="73" t="n"/>
      <c r="S996" s="72" t="n"/>
      <c r="T996" s="72" t="n"/>
      <c r="U996" s="74" t="n"/>
      <c r="V996" s="79" t="str">
        <f>IF(AND(D996="proMX",OR(R996="Submitted",R996="Recall Requested"),ISNUMBER(S996)),CFG_TODAY-INT(S996),"")</f>
        <v/>
      </c>
      <c r="W996" s="78" t="str">
        <f>IF(BD996=0,"",IF(BA996&gt;0,"⚠ Se superpone con un registro de la otra empresa",IF(D996="Malcolm",IF(COUNTA(R996,S996,T996)&gt;0,"Estado/fechas proMX se ignoran en Malcolm",""),IF(BF996="Cancelled","Cancelado: excluido de totales",IF(R996="","Sin estado: se trata como Draft",IF(BF996="Submitted",IF(ISNUMBER(V996),IF(V996&gt;CFG_MAXD,"⚠ "&amp;V996&amp;" días en Submitted (máx. "&amp;CFG_MAXD&amp;")",""),"Falta fecha de envío"),IF(BF996="Returned","⚠ Devuelto: corregir y reenviar",IF(BF996="Recall Requested","Retirada solicitada: pendiente",IF(AND(BF996="Approved",NOT(ISNUMBER(T996))),"Falta fecha de aprobación",IF(AND(ISNUMBER(S996),ISNUMBER(T996),T996&lt;S996),"Aprobación anterior al envío","")))))))))</f>
        <v/>
      </c>
      <c r="Y996" s="80">
        <f>IF(COUNTA(B996,D996,E996,F996,G996,H996,I996,J996,R996,S996,T996)&gt;0,1,0)</f>
        <v>0</v>
      </c>
      <c r="Z996" s="80" t="str">
        <f>IF(AND(ISNUMBER(H996),H996&gt;=0,H996&lt;1),ROUND(H996*1440,0),"")</f>
        <v/>
      </c>
      <c r="AA996" s="80" t="str">
        <f>IF(AND(ISNUMBER(I996),I996&gt;=0,I996&lt;1),ROUND(I996*1440,0),"")</f>
        <v/>
      </c>
      <c r="AB996" s="80">
        <f>IF(AND(ISNUMBER(B996),D996&lt;&gt;"",ISNUMBER(Z996),ISNUMBER(AA996)),IF(Z996=AA996,0,1),0)</f>
        <v>0</v>
      </c>
      <c r="AC996" s="80">
        <f>IF(AB996=1,IF(AA996&lt;Z996,1,0),0)</f>
        <v>0</v>
      </c>
      <c r="AD996" s="80">
        <f>IF(AB996=1,IF(AC996=1,1440-Z996+AA996,AA996-Z996),0)</f>
        <v>0</v>
      </c>
      <c r="AE996" s="80">
        <f>IF(J996="",0,IF(ISNUMBER(J996),J996,-1))</f>
        <v>0</v>
      </c>
      <c r="AF996" s="80">
        <f>MIN(MAX(0,AE996),AD996)</f>
        <v>0</v>
      </c>
      <c r="AG996" s="80">
        <f>MAX(0,AD996-MAX(0,AE996))</f>
        <v>0</v>
      </c>
      <c r="AH996" s="80">
        <f>IF(ISNUMBER(B996),IF(AND(INDEX(CFG_WDAYS,WEEKDAY(INT(B996),2))="Sí",IF(D996="proMX",COUNTIFS(FER_F,INT(B996),FER_NLP,"Sí"),COUNTIFS(FER_F,INT(B996),FER_NLM,"Sí"))=0),1,0),0)</f>
        <v>0</v>
      </c>
      <c r="AI996" s="80">
        <f>IF(AC996=1,IF(AND(INDEX(CFG_WDAYS,WEEKDAY(INT(B996)+1,2))="Sí",IF(D996="proMX",COUNTIFS(FER_F,INT(B996)+1,FER_NLP,"Sí"),COUNTIFS(FER_F,INT(B996)+1,FER_NLM,"Sí"))=0),1,0),0)</f>
        <v>0</v>
      </c>
      <c r="AJ996" s="80">
        <f>IF(AC996=1,1440-Z996,AD996)</f>
        <v>0</v>
      </c>
      <c r="AK996" s="80">
        <f>IF(AND(AB996=1,AH996=1),MAX(0,MIN(IF(AC996=1,1440,AA996),CFG_WEM)-MAX(Z996,CFG_WSM)),0)</f>
        <v>0</v>
      </c>
      <c r="AL996" s="80">
        <f>IF(AND(AC996=1,AI996=1),MAX(0,MIN(AA996,CFG_WEM)-CFG_WSM),0)</f>
        <v>0</v>
      </c>
      <c r="AM996" s="80">
        <f>AK996+AL996</f>
        <v>0</v>
      </c>
      <c r="AN996" s="80">
        <f>IF(CFG_BRK="Proporcional",IF(AD996=0,0,AF996*AM996/AD996),IF(CFG_BRK="Extras primero",MIN(AM996,MAX(0,AF996-(AD996-AM996))),MIN(AF996,AM996)))</f>
        <v>0</v>
      </c>
      <c r="AO996" s="80">
        <f>AF996-AN996</f>
        <v>0</v>
      </c>
      <c r="AP996" s="80">
        <f>AM996-AN996</f>
        <v>0</v>
      </c>
      <c r="AQ996" s="80">
        <f>AD996-AM996-AO996</f>
        <v>0</v>
      </c>
      <c r="AR996" s="80">
        <f>IF(AM996=0,0,AK996-AN996*AK996/AM996)</f>
        <v>0</v>
      </c>
      <c r="AS996" s="80">
        <f>IF(AD996-AM996=0,0,(AJ996-AK996)-AO996*(AJ996-AK996)/(AD996-AM996))</f>
        <v>0</v>
      </c>
      <c r="AT996" s="80" t="str">
        <f>IF(AC996=1,INT(B996)+1,"")</f>
        <v/>
      </c>
      <c r="AU996" s="80">
        <f>IF(AND(D996="proMX",R996="Cancelled"),0,1)</f>
        <v>1</v>
      </c>
      <c r="AV996" s="80">
        <f>IF(AND(AB996=1,AU996=1),IF(COUNTIFS($D$5:D995,D996,$B$5:B995,B996,$Z$5:Z995,Z996,$AA$5:AA995,AA996,$F$5:F995,F996&amp;"",$AU$5:AU995,1)&gt;0,1,0),0)</f>
        <v>0</v>
      </c>
      <c r="AW996" s="80" t="str">
        <f>IF(AB996=1,INT(B996)*1440+Z996,"")</f>
        <v/>
      </c>
      <c r="AX996" s="80" t="str">
        <f>IF(AB996=1,AW996+AD996,"")</f>
        <v/>
      </c>
      <c r="AY996" s="80">
        <f>IF(AND(AB996=1,AV996=0,AU996=1),1,0)</f>
        <v>0</v>
      </c>
      <c r="AZ996" s="80">
        <f>IF(AY996=1,COUNTIFS(R_Emp,D996,R_SAbs,"&lt;"&amp;AX996,R_EAbs,"&gt;"&amp;AW996,R_OKey,1)-1,0)</f>
        <v>0</v>
      </c>
      <c r="BA996" s="80">
        <f>IF(AY996=1,COUNTIFS(R_Emp,"&lt;&gt;"&amp;D996,R_SAbs,"&lt;"&amp;AX996,R_EAbs,"&gt;"&amp;AW996,R_OKey,1),0)</f>
        <v>0</v>
      </c>
      <c r="BB996" s="80">
        <f>IF(AND(AB996=1,D996="proMX"),IF(AND(MOD(Z996,CFG_BLK)=0,MOD(AA996,CFG_BLK)=0,MOD(AG996,CFG_BLK)=0,AG996&gt;0),1,0),1)</f>
        <v>1</v>
      </c>
      <c r="BC996" s="80" t="str">
        <f>IF(Y996=0,"",IF(NOT(ISNUMBER(B996)),"Falta fecha o fecha inválida",IF(D996="","Falta empresa",IF(AND(D996&lt;&gt;"Malcolm",D996&lt;&gt;"proMX"),"Empresa inválida",IF(OR(INT(B996)&lt;CFG_PSTART,INT(B996)&gt;CFG_PEND),"Fecha fuera del período",IF(OR(NOT(ISNUMBER(Z996)),NOT(ISNUMBER(AA996))),"Falta hora inicio/fin o formato inválido",IF(AB996=0,"Hora inicio = hora fin",IF(AE996&lt;0,"Descanso inválido",IF(AE996&gt;=AD996,"Descanso ≥ duración",IF(AV996=1,"Registro duplicado",IF(AZ996&gt;0,"Se superpone con otro registro "&amp;D996,IF(BB996=0,"inicio, fin y duración neta deben ser múltiplos de "&amp;CFG_BLK&amp;" min",""))))))))))))</f>
        <v/>
      </c>
      <c r="BD996" s="80">
        <f>IF(AND(Y996=1,BC996=""),1,0)</f>
        <v>0</v>
      </c>
      <c r="BE996" s="80">
        <f>IF(AND(BD996=1,AU996=1),1,0)</f>
        <v>0</v>
      </c>
      <c r="BF996" s="80" t="str">
        <f>IF(AND(D996="proMX",BD996=1),IF(R996="","Draft",R996),"")</f>
        <v/>
      </c>
      <c r="BG996" s="80">
        <f>IF(BD996=1,ROUND(AG996/60,6),0)</f>
        <v>0</v>
      </c>
      <c r="BH996" s="80">
        <f>IF(BE996=1,ROUND(AG996/60,6),0)</f>
        <v>0</v>
      </c>
      <c r="BI996" s="80">
        <f>IF(BE996=1,ROUND(AP996/60,6),0)</f>
        <v>0</v>
      </c>
      <c r="BJ996" s="80">
        <f>IF(BE996=1,ROUND(AQ996/60,6),0)</f>
        <v>0</v>
      </c>
      <c r="BK996" s="80">
        <f>IF(BE996=1,ROUND((AR996+AS996)/60,6),0)</f>
        <v>0</v>
      </c>
      <c r="BL996" s="80">
        <f>ROUND(BH996-BK996,6)</f>
        <v>0</v>
      </c>
      <c r="BM996" s="80">
        <f>IF(BE996=1,ROUND(AR996/60,6),0)</f>
        <v>0</v>
      </c>
      <c r="BN996" s="80">
        <f>ROUND(BI996-BM996,6)</f>
        <v>0</v>
      </c>
      <c r="BO996" s="80">
        <f>IF(BE996=1,ROUND(AS996/60,6),0)</f>
        <v>0</v>
      </c>
      <c r="BP996" s="80">
        <f>ROUND(BJ996-BO996,6)</f>
        <v>0</v>
      </c>
      <c r="BQ996" s="80">
        <f>IF(BE996=1,AW996,0)</f>
        <v>0</v>
      </c>
      <c r="BR996" s="80">
        <f>IF(BE996=1,AX996,0)</f>
        <v>0</v>
      </c>
      <c r="BS996" s="80">
        <f>IF(AND(BE996=1,D996="Malcolm",BA996&gt;0),MIN(BH996,SUMPRODUCT((R_Emp="proMX")*(R_EN&gt;0)*((R_EN-(R_EN&gt;BR996)*(R_EN-BR996))&gt;(R_SN+(R_SN&lt;BQ996)*(BQ996-R_SN)))*((R_EN-(R_EN&gt;BR996)*(R_EN-BR996))-(R_SN+(R_SN&lt;BQ996)*(BQ996-R_SN))))/60),0)</f>
        <v>0</v>
      </c>
      <c r="BT996" s="80">
        <f>IF(AND(BE996=1,D996="proMX"),ROUND(BI996*CFG_RATE+BJ996*CFG_OTRATE,6),0)</f>
        <v>0</v>
      </c>
      <c r="BU996" s="80">
        <f>IF(AND(BD996=1,D996="proMX"),ROUND(AG996/CFG_BLK,6),0)</f>
        <v>0</v>
      </c>
      <c r="BV996" s="80" t="str">
        <f>IF(BF996="Approved",IF(ISNUMBER(T996),INT(T996),INT(B996)),"")</f>
        <v/>
      </c>
      <c r="BW996" s="80">
        <f>IF(ISNUMBER(B996),IF(DB_MON="Todos",1,IF(AND(INT(B996)&gt;=DB_MS,INT(B996)&lt;=DB_ME),1,0)),0)</f>
        <v>0</v>
      </c>
      <c r="BX996" s="80">
        <f>IF(DB_PROJ="Todos",1,IF(E996&amp;""=DB_PROJ&amp;"",1,0))</f>
        <v>1</v>
      </c>
      <c r="BY996" s="80">
        <f>BW996*BX996</f>
        <v>0</v>
      </c>
      <c r="BZ996" s="80" t="str">
        <f>IF(Y996=1,F996&amp;IF(AND(F996&amp;""&lt;&gt;"",E996&amp;""&lt;&gt;"")," · ","")&amp;E996,"")</f>
        <v/>
      </c>
      <c r="CA996" s="80" t="str">
        <f>IF(AND(BD996=1,E996&amp;""&lt;&gt;""),IF(COUNTIFS($E$5:E995,E996,$BD$5:BD995,1)=0,MAX($CA$5:CA995)+1,""),"")</f>
        <v/>
      </c>
      <c r="CB996" s="80" t="str">
        <f>IF(AND(BE996=1,D996="Malcolm",E996&amp;""&lt;&gt;""),IF(COUNTIFS($D$5:D995,"Malcolm",$E$5:E995,E996,$BE$5:BE995,1)=0,MAX($CB$5:CB995)+1,""),"")</f>
        <v/>
      </c>
      <c r="CC996" s="80" t="str">
        <f>IF(AND(BD996=1,D996="proMX",E996&amp;""&lt;&gt;""),IF(COUNTIFS($D$5:D995,"proMX",$E$5:E995,E996,$BD$5:BD995,1)=0,MAX($CC$5:CC995)+1,""),"")</f>
        <v/>
      </c>
      <c r="CD996" s="80" t="str">
        <f>IF(AND(BE996=1,D996="Malcolm",F996&amp;""&lt;&gt;""),IF(COUNTIFS($D$5:D995,"Malcolm",$F$5:F995,F996,$BE$5:BE995,1)=0,MAX($CD$5:CD995)+1,""),"")</f>
        <v/>
      </c>
      <c r="CE996" s="80" t="str">
        <f>IF(AND(BD996=1,D996="proMX",F996&amp;""&lt;&gt;""),IF(COUNTIFS($D$5:D995,"proMX",$F$5:F995,F996,$BD$5:BD995,1)=0,MAX($CE$5:CE995)+1,""),"")</f>
        <v/>
      </c>
      <c r="CF996" s="80" t="str">
        <f>IF(AND(D996="proMX",BD996=1),IF(OR(BF996="Draft",BF996="Submitted",BF996="Returned",BF996="Recall Requested"),MAX($CF$5:CF995)+1,""),"")</f>
        <v/>
      </c>
      <c r="CG996" s="80">
        <f>IF(BD996=0,0,IF(D996="Malcolm",1,MATCH(BF996,{"Draft","Submitted","Approved","Returned","Recall Requested","Cancelled"},0)+1))</f>
        <v>0</v>
      </c>
      <c r="CH996" s="80">
        <f>IF(AND(BF996="Submitted",ISNUMBER(V996)),IF(V996&gt;CFG_MAXD,1,0),0)</f>
        <v>0</v>
      </c>
    </row>
    <row r="997">
      <c r="A997" s="71" t="str">
        <f>IF(Y997=1,ROW()-5,"")</f>
        <v/>
      </c>
      <c r="B997" s="72" t="n"/>
      <c r="C997" s="71" t="str">
        <f>IF(ISNUMBER(B997),CHOOSE(WEEKDAY(B997,2),"Lun","Mar","Mié","Jue","Vie","Sáb","Dom"),"")</f>
        <v/>
      </c>
      <c r="D997" s="73" t="n"/>
      <c r="E997" s="74" t="n"/>
      <c r="F997" s="74" t="n"/>
      <c r="G997" s="74" t="n"/>
      <c r="H997" s="75" t="n"/>
      <c r="I997" s="75" t="n"/>
      <c r="J997" s="76" t="n"/>
      <c r="K997" s="77" t="str">
        <f>IF(AB997=1,ROUND(AG997/60,4),"")</f>
        <v/>
      </c>
      <c r="L997" s="77" t="str">
        <f>IF(BD997=1,ROUND(AP997/60,4),"")</f>
        <v/>
      </c>
      <c r="M997" s="77" t="str">
        <f>IF(BD997=1,ROUND(AQ997/60,4),"")</f>
        <v/>
      </c>
      <c r="N997" s="71" t="str">
        <f>IF(AND(D997="proMX",AB997=1),ROUND(AG997/CFG_BLK,2),"")</f>
        <v/>
      </c>
      <c r="O997" s="77" t="str">
        <f>IF(D997="proMX",IF(BD997=1,ROUND(AG997/60,4),0),"")</f>
        <v/>
      </c>
      <c r="P997" s="78" t="str">
        <f>IF(Y997=0,"",IF(BD997=1,"OK",IF(D997="proMX","Revisar bloques: ","Revisar: ")&amp;BC997))</f>
        <v/>
      </c>
      <c r="Q997" s="78" t="str">
        <f>IF(NOT(ISNUMBER(B997)),"",IF(COUNTIFS(FER_F,INT(B997))&gt;0,"Feriado"&amp;IF(AH997=1," (laborable)"," (no laborable)"),IF(AH997=1,"Laborable",IF(WEEKDAY(B997,2)&gt;5,"Fin de semana","No laborable"))))</f>
        <v/>
      </c>
      <c r="R997" s="73" t="n"/>
      <c r="S997" s="72" t="n"/>
      <c r="T997" s="72" t="n"/>
      <c r="U997" s="74" t="n"/>
      <c r="V997" s="79" t="str">
        <f>IF(AND(D997="proMX",OR(R997="Submitted",R997="Recall Requested"),ISNUMBER(S997)),CFG_TODAY-INT(S997),"")</f>
        <v/>
      </c>
      <c r="W997" s="78" t="str">
        <f>IF(BD997=0,"",IF(BA997&gt;0,"⚠ Se superpone con un registro de la otra empresa",IF(D997="Malcolm",IF(COUNTA(R997,S997,T997)&gt;0,"Estado/fechas proMX se ignoran en Malcolm",""),IF(BF997="Cancelled","Cancelado: excluido de totales",IF(R997="","Sin estado: se trata como Draft",IF(BF997="Submitted",IF(ISNUMBER(V997),IF(V997&gt;CFG_MAXD,"⚠ "&amp;V997&amp;" días en Submitted (máx. "&amp;CFG_MAXD&amp;")",""),"Falta fecha de envío"),IF(BF997="Returned","⚠ Devuelto: corregir y reenviar",IF(BF997="Recall Requested","Retirada solicitada: pendiente",IF(AND(BF997="Approved",NOT(ISNUMBER(T997))),"Falta fecha de aprobación",IF(AND(ISNUMBER(S997),ISNUMBER(T997),T997&lt;S997),"Aprobación anterior al envío","")))))))))</f>
        <v/>
      </c>
      <c r="Y997" s="80">
        <f>IF(COUNTA(B997,D997,E997,F997,G997,H997,I997,J997,R997,S997,T997)&gt;0,1,0)</f>
        <v>0</v>
      </c>
      <c r="Z997" s="80" t="str">
        <f>IF(AND(ISNUMBER(H997),H997&gt;=0,H997&lt;1),ROUND(H997*1440,0),"")</f>
        <v/>
      </c>
      <c r="AA997" s="80" t="str">
        <f>IF(AND(ISNUMBER(I997),I997&gt;=0,I997&lt;1),ROUND(I997*1440,0),"")</f>
        <v/>
      </c>
      <c r="AB997" s="80">
        <f>IF(AND(ISNUMBER(B997),D997&lt;&gt;"",ISNUMBER(Z997),ISNUMBER(AA997)),IF(Z997=AA997,0,1),0)</f>
        <v>0</v>
      </c>
      <c r="AC997" s="80">
        <f>IF(AB997=1,IF(AA997&lt;Z997,1,0),0)</f>
        <v>0</v>
      </c>
      <c r="AD997" s="80">
        <f>IF(AB997=1,IF(AC997=1,1440-Z997+AA997,AA997-Z997),0)</f>
        <v>0</v>
      </c>
      <c r="AE997" s="80">
        <f>IF(J997="",0,IF(ISNUMBER(J997),J997,-1))</f>
        <v>0</v>
      </c>
      <c r="AF997" s="80">
        <f>MIN(MAX(0,AE997),AD997)</f>
        <v>0</v>
      </c>
      <c r="AG997" s="80">
        <f>MAX(0,AD997-MAX(0,AE997))</f>
        <v>0</v>
      </c>
      <c r="AH997" s="80">
        <f>IF(ISNUMBER(B997),IF(AND(INDEX(CFG_WDAYS,WEEKDAY(INT(B997),2))="Sí",IF(D997="proMX",COUNTIFS(FER_F,INT(B997),FER_NLP,"Sí"),COUNTIFS(FER_F,INT(B997),FER_NLM,"Sí"))=0),1,0),0)</f>
        <v>0</v>
      </c>
      <c r="AI997" s="80">
        <f>IF(AC997=1,IF(AND(INDEX(CFG_WDAYS,WEEKDAY(INT(B997)+1,2))="Sí",IF(D997="proMX",COUNTIFS(FER_F,INT(B997)+1,FER_NLP,"Sí"),COUNTIFS(FER_F,INT(B997)+1,FER_NLM,"Sí"))=0),1,0),0)</f>
        <v>0</v>
      </c>
      <c r="AJ997" s="80">
        <f>IF(AC997=1,1440-Z997,AD997)</f>
        <v>0</v>
      </c>
      <c r="AK997" s="80">
        <f>IF(AND(AB997=1,AH997=1),MAX(0,MIN(IF(AC997=1,1440,AA997),CFG_WEM)-MAX(Z997,CFG_WSM)),0)</f>
        <v>0</v>
      </c>
      <c r="AL997" s="80">
        <f>IF(AND(AC997=1,AI997=1),MAX(0,MIN(AA997,CFG_WEM)-CFG_WSM),0)</f>
        <v>0</v>
      </c>
      <c r="AM997" s="80">
        <f>AK997+AL997</f>
        <v>0</v>
      </c>
      <c r="AN997" s="80">
        <f>IF(CFG_BRK="Proporcional",IF(AD997=0,0,AF997*AM997/AD997),IF(CFG_BRK="Extras primero",MIN(AM997,MAX(0,AF997-(AD997-AM997))),MIN(AF997,AM997)))</f>
        <v>0</v>
      </c>
      <c r="AO997" s="80">
        <f>AF997-AN997</f>
        <v>0</v>
      </c>
      <c r="AP997" s="80">
        <f>AM997-AN997</f>
        <v>0</v>
      </c>
      <c r="AQ997" s="80">
        <f>AD997-AM997-AO997</f>
        <v>0</v>
      </c>
      <c r="AR997" s="80">
        <f>IF(AM997=0,0,AK997-AN997*AK997/AM997)</f>
        <v>0</v>
      </c>
      <c r="AS997" s="80">
        <f>IF(AD997-AM997=0,0,(AJ997-AK997)-AO997*(AJ997-AK997)/(AD997-AM997))</f>
        <v>0</v>
      </c>
      <c r="AT997" s="80" t="str">
        <f>IF(AC997=1,INT(B997)+1,"")</f>
        <v/>
      </c>
      <c r="AU997" s="80">
        <f>IF(AND(D997="proMX",R997="Cancelled"),0,1)</f>
        <v>1</v>
      </c>
      <c r="AV997" s="80">
        <f>IF(AND(AB997=1,AU997=1),IF(COUNTIFS($D$5:D996,D997,$B$5:B996,B997,$Z$5:Z996,Z997,$AA$5:AA996,AA997,$F$5:F996,F997&amp;"",$AU$5:AU996,1)&gt;0,1,0),0)</f>
        <v>0</v>
      </c>
      <c r="AW997" s="80" t="str">
        <f>IF(AB997=1,INT(B997)*1440+Z997,"")</f>
        <v/>
      </c>
      <c r="AX997" s="80" t="str">
        <f>IF(AB997=1,AW997+AD997,"")</f>
        <v/>
      </c>
      <c r="AY997" s="80">
        <f>IF(AND(AB997=1,AV997=0,AU997=1),1,0)</f>
        <v>0</v>
      </c>
      <c r="AZ997" s="80">
        <f>IF(AY997=1,COUNTIFS(R_Emp,D997,R_SAbs,"&lt;"&amp;AX997,R_EAbs,"&gt;"&amp;AW997,R_OKey,1)-1,0)</f>
        <v>0</v>
      </c>
      <c r="BA997" s="80">
        <f>IF(AY997=1,COUNTIFS(R_Emp,"&lt;&gt;"&amp;D997,R_SAbs,"&lt;"&amp;AX997,R_EAbs,"&gt;"&amp;AW997,R_OKey,1),0)</f>
        <v>0</v>
      </c>
      <c r="BB997" s="80">
        <f>IF(AND(AB997=1,D997="proMX"),IF(AND(MOD(Z997,CFG_BLK)=0,MOD(AA997,CFG_BLK)=0,MOD(AG997,CFG_BLK)=0,AG997&gt;0),1,0),1)</f>
        <v>1</v>
      </c>
      <c r="BC997" s="80" t="str">
        <f>IF(Y997=0,"",IF(NOT(ISNUMBER(B997)),"Falta fecha o fecha inválida",IF(D997="","Falta empresa",IF(AND(D997&lt;&gt;"Malcolm",D997&lt;&gt;"proMX"),"Empresa inválida",IF(OR(INT(B997)&lt;CFG_PSTART,INT(B997)&gt;CFG_PEND),"Fecha fuera del período",IF(OR(NOT(ISNUMBER(Z997)),NOT(ISNUMBER(AA997))),"Falta hora inicio/fin o formato inválido",IF(AB997=0,"Hora inicio = hora fin",IF(AE997&lt;0,"Descanso inválido",IF(AE997&gt;=AD997,"Descanso ≥ duración",IF(AV997=1,"Registro duplicado",IF(AZ997&gt;0,"Se superpone con otro registro "&amp;D997,IF(BB997=0,"inicio, fin y duración neta deben ser múltiplos de "&amp;CFG_BLK&amp;" min",""))))))))))))</f>
        <v/>
      </c>
      <c r="BD997" s="80">
        <f>IF(AND(Y997=1,BC997=""),1,0)</f>
        <v>0</v>
      </c>
      <c r="BE997" s="80">
        <f>IF(AND(BD997=1,AU997=1),1,0)</f>
        <v>0</v>
      </c>
      <c r="BF997" s="80" t="str">
        <f>IF(AND(D997="proMX",BD997=1),IF(R997="","Draft",R997),"")</f>
        <v/>
      </c>
      <c r="BG997" s="80">
        <f>IF(BD997=1,ROUND(AG997/60,6),0)</f>
        <v>0</v>
      </c>
      <c r="BH997" s="80">
        <f>IF(BE997=1,ROUND(AG997/60,6),0)</f>
        <v>0</v>
      </c>
      <c r="BI997" s="80">
        <f>IF(BE997=1,ROUND(AP997/60,6),0)</f>
        <v>0</v>
      </c>
      <c r="BJ997" s="80">
        <f>IF(BE997=1,ROUND(AQ997/60,6),0)</f>
        <v>0</v>
      </c>
      <c r="BK997" s="80">
        <f>IF(BE997=1,ROUND((AR997+AS997)/60,6),0)</f>
        <v>0</v>
      </c>
      <c r="BL997" s="80">
        <f>ROUND(BH997-BK997,6)</f>
        <v>0</v>
      </c>
      <c r="BM997" s="80">
        <f>IF(BE997=1,ROUND(AR997/60,6),0)</f>
        <v>0</v>
      </c>
      <c r="BN997" s="80">
        <f>ROUND(BI997-BM997,6)</f>
        <v>0</v>
      </c>
      <c r="BO997" s="80">
        <f>IF(BE997=1,ROUND(AS997/60,6),0)</f>
        <v>0</v>
      </c>
      <c r="BP997" s="80">
        <f>ROUND(BJ997-BO997,6)</f>
        <v>0</v>
      </c>
      <c r="BQ997" s="80">
        <f>IF(BE997=1,AW997,0)</f>
        <v>0</v>
      </c>
      <c r="BR997" s="80">
        <f>IF(BE997=1,AX997,0)</f>
        <v>0</v>
      </c>
      <c r="BS997" s="80">
        <f>IF(AND(BE997=1,D997="Malcolm",BA997&gt;0),MIN(BH997,SUMPRODUCT((R_Emp="proMX")*(R_EN&gt;0)*((R_EN-(R_EN&gt;BR997)*(R_EN-BR997))&gt;(R_SN+(R_SN&lt;BQ997)*(BQ997-R_SN)))*((R_EN-(R_EN&gt;BR997)*(R_EN-BR997))-(R_SN+(R_SN&lt;BQ997)*(BQ997-R_SN))))/60),0)</f>
        <v>0</v>
      </c>
      <c r="BT997" s="80">
        <f>IF(AND(BE997=1,D997="proMX"),ROUND(BI997*CFG_RATE+BJ997*CFG_OTRATE,6),0)</f>
        <v>0</v>
      </c>
      <c r="BU997" s="80">
        <f>IF(AND(BD997=1,D997="proMX"),ROUND(AG997/CFG_BLK,6),0)</f>
        <v>0</v>
      </c>
      <c r="BV997" s="80" t="str">
        <f>IF(BF997="Approved",IF(ISNUMBER(T997),INT(T997),INT(B997)),"")</f>
        <v/>
      </c>
      <c r="BW997" s="80">
        <f>IF(ISNUMBER(B997),IF(DB_MON="Todos",1,IF(AND(INT(B997)&gt;=DB_MS,INT(B997)&lt;=DB_ME),1,0)),0)</f>
        <v>0</v>
      </c>
      <c r="BX997" s="80">
        <f>IF(DB_PROJ="Todos",1,IF(E997&amp;""=DB_PROJ&amp;"",1,0))</f>
        <v>1</v>
      </c>
      <c r="BY997" s="80">
        <f>BW997*BX997</f>
        <v>0</v>
      </c>
      <c r="BZ997" s="80" t="str">
        <f>IF(Y997=1,F997&amp;IF(AND(F997&amp;""&lt;&gt;"",E997&amp;""&lt;&gt;"")," · ","")&amp;E997,"")</f>
        <v/>
      </c>
      <c r="CA997" s="80" t="str">
        <f>IF(AND(BD997=1,E997&amp;""&lt;&gt;""),IF(COUNTIFS($E$5:E996,E997,$BD$5:BD996,1)=0,MAX($CA$5:CA996)+1,""),"")</f>
        <v/>
      </c>
      <c r="CB997" s="80" t="str">
        <f>IF(AND(BE997=1,D997="Malcolm",E997&amp;""&lt;&gt;""),IF(COUNTIFS($D$5:D996,"Malcolm",$E$5:E996,E997,$BE$5:BE996,1)=0,MAX($CB$5:CB996)+1,""),"")</f>
        <v/>
      </c>
      <c r="CC997" s="80" t="str">
        <f>IF(AND(BD997=1,D997="proMX",E997&amp;""&lt;&gt;""),IF(COUNTIFS($D$5:D996,"proMX",$E$5:E996,E997,$BD$5:BD996,1)=0,MAX($CC$5:CC996)+1,""),"")</f>
        <v/>
      </c>
      <c r="CD997" s="80" t="str">
        <f>IF(AND(BE997=1,D997="Malcolm",F997&amp;""&lt;&gt;""),IF(COUNTIFS($D$5:D996,"Malcolm",$F$5:F996,F997,$BE$5:BE996,1)=0,MAX($CD$5:CD996)+1,""),"")</f>
        <v/>
      </c>
      <c r="CE997" s="80" t="str">
        <f>IF(AND(BD997=1,D997="proMX",F997&amp;""&lt;&gt;""),IF(COUNTIFS($D$5:D996,"proMX",$F$5:F996,F997,$BD$5:BD996,1)=0,MAX($CE$5:CE996)+1,""),"")</f>
        <v/>
      </c>
      <c r="CF997" s="80" t="str">
        <f>IF(AND(D997="proMX",BD997=1),IF(OR(BF997="Draft",BF997="Submitted",BF997="Returned",BF997="Recall Requested"),MAX($CF$5:CF996)+1,""),"")</f>
        <v/>
      </c>
      <c r="CG997" s="80">
        <f>IF(BD997=0,0,IF(D997="Malcolm",1,MATCH(BF997,{"Draft","Submitted","Approved","Returned","Recall Requested","Cancelled"},0)+1))</f>
        <v>0</v>
      </c>
      <c r="CH997" s="80">
        <f>IF(AND(BF997="Submitted",ISNUMBER(V997)),IF(V997&gt;CFG_MAXD,1,0),0)</f>
        <v>0</v>
      </c>
    </row>
    <row r="998">
      <c r="A998" s="71" t="str">
        <f>IF(Y998=1,ROW()-5,"")</f>
        <v/>
      </c>
      <c r="B998" s="72" t="n"/>
      <c r="C998" s="71" t="str">
        <f>IF(ISNUMBER(B998),CHOOSE(WEEKDAY(B998,2),"Lun","Mar","Mié","Jue","Vie","Sáb","Dom"),"")</f>
        <v/>
      </c>
      <c r="D998" s="73" t="n"/>
      <c r="E998" s="74" t="n"/>
      <c r="F998" s="74" t="n"/>
      <c r="G998" s="74" t="n"/>
      <c r="H998" s="75" t="n"/>
      <c r="I998" s="75" t="n"/>
      <c r="J998" s="76" t="n"/>
      <c r="K998" s="77" t="str">
        <f>IF(AB998=1,ROUND(AG998/60,4),"")</f>
        <v/>
      </c>
      <c r="L998" s="77" t="str">
        <f>IF(BD998=1,ROUND(AP998/60,4),"")</f>
        <v/>
      </c>
      <c r="M998" s="77" t="str">
        <f>IF(BD998=1,ROUND(AQ998/60,4),"")</f>
        <v/>
      </c>
      <c r="N998" s="71" t="str">
        <f>IF(AND(D998="proMX",AB998=1),ROUND(AG998/CFG_BLK,2),"")</f>
        <v/>
      </c>
      <c r="O998" s="77" t="str">
        <f>IF(D998="proMX",IF(BD998=1,ROUND(AG998/60,4),0),"")</f>
        <v/>
      </c>
      <c r="P998" s="78" t="str">
        <f>IF(Y998=0,"",IF(BD998=1,"OK",IF(D998="proMX","Revisar bloques: ","Revisar: ")&amp;BC998))</f>
        <v/>
      </c>
      <c r="Q998" s="78" t="str">
        <f>IF(NOT(ISNUMBER(B998)),"",IF(COUNTIFS(FER_F,INT(B998))&gt;0,"Feriado"&amp;IF(AH998=1," (laborable)"," (no laborable)"),IF(AH998=1,"Laborable",IF(WEEKDAY(B998,2)&gt;5,"Fin de semana","No laborable"))))</f>
        <v/>
      </c>
      <c r="R998" s="73" t="n"/>
      <c r="S998" s="72" t="n"/>
      <c r="T998" s="72" t="n"/>
      <c r="U998" s="74" t="n"/>
      <c r="V998" s="79" t="str">
        <f>IF(AND(D998="proMX",OR(R998="Submitted",R998="Recall Requested"),ISNUMBER(S998)),CFG_TODAY-INT(S998),"")</f>
        <v/>
      </c>
      <c r="W998" s="78" t="str">
        <f>IF(BD998=0,"",IF(BA998&gt;0,"⚠ Se superpone con un registro de la otra empresa",IF(D998="Malcolm",IF(COUNTA(R998,S998,T998)&gt;0,"Estado/fechas proMX se ignoran en Malcolm",""),IF(BF998="Cancelled","Cancelado: excluido de totales",IF(R998="","Sin estado: se trata como Draft",IF(BF998="Submitted",IF(ISNUMBER(V998),IF(V998&gt;CFG_MAXD,"⚠ "&amp;V998&amp;" días en Submitted (máx. "&amp;CFG_MAXD&amp;")",""),"Falta fecha de envío"),IF(BF998="Returned","⚠ Devuelto: corregir y reenviar",IF(BF998="Recall Requested","Retirada solicitada: pendiente",IF(AND(BF998="Approved",NOT(ISNUMBER(T998))),"Falta fecha de aprobación",IF(AND(ISNUMBER(S998),ISNUMBER(T998),T998&lt;S998),"Aprobación anterior al envío","")))))))))</f>
        <v/>
      </c>
      <c r="Y998" s="80">
        <f>IF(COUNTA(B998,D998,E998,F998,G998,H998,I998,J998,R998,S998,T998)&gt;0,1,0)</f>
        <v>0</v>
      </c>
      <c r="Z998" s="80" t="str">
        <f>IF(AND(ISNUMBER(H998),H998&gt;=0,H998&lt;1),ROUND(H998*1440,0),"")</f>
        <v/>
      </c>
      <c r="AA998" s="80" t="str">
        <f>IF(AND(ISNUMBER(I998),I998&gt;=0,I998&lt;1),ROUND(I998*1440,0),"")</f>
        <v/>
      </c>
      <c r="AB998" s="80">
        <f>IF(AND(ISNUMBER(B998),D998&lt;&gt;"",ISNUMBER(Z998),ISNUMBER(AA998)),IF(Z998=AA998,0,1),0)</f>
        <v>0</v>
      </c>
      <c r="AC998" s="80">
        <f>IF(AB998=1,IF(AA998&lt;Z998,1,0),0)</f>
        <v>0</v>
      </c>
      <c r="AD998" s="80">
        <f>IF(AB998=1,IF(AC998=1,1440-Z998+AA998,AA998-Z998),0)</f>
        <v>0</v>
      </c>
      <c r="AE998" s="80">
        <f>IF(J998="",0,IF(ISNUMBER(J998),J998,-1))</f>
        <v>0</v>
      </c>
      <c r="AF998" s="80">
        <f>MIN(MAX(0,AE998),AD998)</f>
        <v>0</v>
      </c>
      <c r="AG998" s="80">
        <f>MAX(0,AD998-MAX(0,AE998))</f>
        <v>0</v>
      </c>
      <c r="AH998" s="80">
        <f>IF(ISNUMBER(B998),IF(AND(INDEX(CFG_WDAYS,WEEKDAY(INT(B998),2))="Sí",IF(D998="proMX",COUNTIFS(FER_F,INT(B998),FER_NLP,"Sí"),COUNTIFS(FER_F,INT(B998),FER_NLM,"Sí"))=0),1,0),0)</f>
        <v>0</v>
      </c>
      <c r="AI998" s="80">
        <f>IF(AC998=1,IF(AND(INDEX(CFG_WDAYS,WEEKDAY(INT(B998)+1,2))="Sí",IF(D998="proMX",COUNTIFS(FER_F,INT(B998)+1,FER_NLP,"Sí"),COUNTIFS(FER_F,INT(B998)+1,FER_NLM,"Sí"))=0),1,0),0)</f>
        <v>0</v>
      </c>
      <c r="AJ998" s="80">
        <f>IF(AC998=1,1440-Z998,AD998)</f>
        <v>0</v>
      </c>
      <c r="AK998" s="80">
        <f>IF(AND(AB998=1,AH998=1),MAX(0,MIN(IF(AC998=1,1440,AA998),CFG_WEM)-MAX(Z998,CFG_WSM)),0)</f>
        <v>0</v>
      </c>
      <c r="AL998" s="80">
        <f>IF(AND(AC998=1,AI998=1),MAX(0,MIN(AA998,CFG_WEM)-CFG_WSM),0)</f>
        <v>0</v>
      </c>
      <c r="AM998" s="80">
        <f>AK998+AL998</f>
        <v>0</v>
      </c>
      <c r="AN998" s="80">
        <f>IF(CFG_BRK="Proporcional",IF(AD998=0,0,AF998*AM998/AD998),IF(CFG_BRK="Extras primero",MIN(AM998,MAX(0,AF998-(AD998-AM998))),MIN(AF998,AM998)))</f>
        <v>0</v>
      </c>
      <c r="AO998" s="80">
        <f>AF998-AN998</f>
        <v>0</v>
      </c>
      <c r="AP998" s="80">
        <f>AM998-AN998</f>
        <v>0</v>
      </c>
      <c r="AQ998" s="80">
        <f>AD998-AM998-AO998</f>
        <v>0</v>
      </c>
      <c r="AR998" s="80">
        <f>IF(AM998=0,0,AK998-AN998*AK998/AM998)</f>
        <v>0</v>
      </c>
      <c r="AS998" s="80">
        <f>IF(AD998-AM998=0,0,(AJ998-AK998)-AO998*(AJ998-AK998)/(AD998-AM998))</f>
        <v>0</v>
      </c>
      <c r="AT998" s="80" t="str">
        <f>IF(AC998=1,INT(B998)+1,"")</f>
        <v/>
      </c>
      <c r="AU998" s="80">
        <f>IF(AND(D998="proMX",R998="Cancelled"),0,1)</f>
        <v>1</v>
      </c>
      <c r="AV998" s="80">
        <f>IF(AND(AB998=1,AU998=1),IF(COUNTIFS($D$5:D997,D998,$B$5:B997,B998,$Z$5:Z997,Z998,$AA$5:AA997,AA998,$F$5:F997,F998&amp;"",$AU$5:AU997,1)&gt;0,1,0),0)</f>
        <v>0</v>
      </c>
      <c r="AW998" s="80" t="str">
        <f>IF(AB998=1,INT(B998)*1440+Z998,"")</f>
        <v/>
      </c>
      <c r="AX998" s="80" t="str">
        <f>IF(AB998=1,AW998+AD998,"")</f>
        <v/>
      </c>
      <c r="AY998" s="80">
        <f>IF(AND(AB998=1,AV998=0,AU998=1),1,0)</f>
        <v>0</v>
      </c>
      <c r="AZ998" s="80">
        <f>IF(AY998=1,COUNTIFS(R_Emp,D998,R_SAbs,"&lt;"&amp;AX998,R_EAbs,"&gt;"&amp;AW998,R_OKey,1)-1,0)</f>
        <v>0</v>
      </c>
      <c r="BA998" s="80">
        <f>IF(AY998=1,COUNTIFS(R_Emp,"&lt;&gt;"&amp;D998,R_SAbs,"&lt;"&amp;AX998,R_EAbs,"&gt;"&amp;AW998,R_OKey,1),0)</f>
        <v>0</v>
      </c>
      <c r="BB998" s="80">
        <f>IF(AND(AB998=1,D998="proMX"),IF(AND(MOD(Z998,CFG_BLK)=0,MOD(AA998,CFG_BLK)=0,MOD(AG998,CFG_BLK)=0,AG998&gt;0),1,0),1)</f>
        <v>1</v>
      </c>
      <c r="BC998" s="80" t="str">
        <f>IF(Y998=0,"",IF(NOT(ISNUMBER(B998)),"Falta fecha o fecha inválida",IF(D998="","Falta empresa",IF(AND(D998&lt;&gt;"Malcolm",D998&lt;&gt;"proMX"),"Empresa inválida",IF(OR(INT(B998)&lt;CFG_PSTART,INT(B998)&gt;CFG_PEND),"Fecha fuera del período",IF(OR(NOT(ISNUMBER(Z998)),NOT(ISNUMBER(AA998))),"Falta hora inicio/fin o formato inválido",IF(AB998=0,"Hora inicio = hora fin",IF(AE998&lt;0,"Descanso inválido",IF(AE998&gt;=AD998,"Descanso ≥ duración",IF(AV998=1,"Registro duplicado",IF(AZ998&gt;0,"Se superpone con otro registro "&amp;D998,IF(BB998=0,"inicio, fin y duración neta deben ser múltiplos de "&amp;CFG_BLK&amp;" min",""))))))))))))</f>
        <v/>
      </c>
      <c r="BD998" s="80">
        <f>IF(AND(Y998=1,BC998=""),1,0)</f>
        <v>0</v>
      </c>
      <c r="BE998" s="80">
        <f>IF(AND(BD998=1,AU998=1),1,0)</f>
        <v>0</v>
      </c>
      <c r="BF998" s="80" t="str">
        <f>IF(AND(D998="proMX",BD998=1),IF(R998="","Draft",R998),"")</f>
        <v/>
      </c>
      <c r="BG998" s="80">
        <f>IF(BD998=1,ROUND(AG998/60,6),0)</f>
        <v>0</v>
      </c>
      <c r="BH998" s="80">
        <f>IF(BE998=1,ROUND(AG998/60,6),0)</f>
        <v>0</v>
      </c>
      <c r="BI998" s="80">
        <f>IF(BE998=1,ROUND(AP998/60,6),0)</f>
        <v>0</v>
      </c>
      <c r="BJ998" s="80">
        <f>IF(BE998=1,ROUND(AQ998/60,6),0)</f>
        <v>0</v>
      </c>
      <c r="BK998" s="80">
        <f>IF(BE998=1,ROUND((AR998+AS998)/60,6),0)</f>
        <v>0</v>
      </c>
      <c r="BL998" s="80">
        <f>ROUND(BH998-BK998,6)</f>
        <v>0</v>
      </c>
      <c r="BM998" s="80">
        <f>IF(BE998=1,ROUND(AR998/60,6),0)</f>
        <v>0</v>
      </c>
      <c r="BN998" s="80">
        <f>ROUND(BI998-BM998,6)</f>
        <v>0</v>
      </c>
      <c r="BO998" s="80">
        <f>IF(BE998=1,ROUND(AS998/60,6),0)</f>
        <v>0</v>
      </c>
      <c r="BP998" s="80">
        <f>ROUND(BJ998-BO998,6)</f>
        <v>0</v>
      </c>
      <c r="BQ998" s="80">
        <f>IF(BE998=1,AW998,0)</f>
        <v>0</v>
      </c>
      <c r="BR998" s="80">
        <f>IF(BE998=1,AX998,0)</f>
        <v>0</v>
      </c>
      <c r="BS998" s="80">
        <f>IF(AND(BE998=1,D998="Malcolm",BA998&gt;0),MIN(BH998,SUMPRODUCT((R_Emp="proMX")*(R_EN&gt;0)*((R_EN-(R_EN&gt;BR998)*(R_EN-BR998))&gt;(R_SN+(R_SN&lt;BQ998)*(BQ998-R_SN)))*((R_EN-(R_EN&gt;BR998)*(R_EN-BR998))-(R_SN+(R_SN&lt;BQ998)*(BQ998-R_SN))))/60),0)</f>
        <v>0</v>
      </c>
      <c r="BT998" s="80">
        <f>IF(AND(BE998=1,D998="proMX"),ROUND(BI998*CFG_RATE+BJ998*CFG_OTRATE,6),0)</f>
        <v>0</v>
      </c>
      <c r="BU998" s="80">
        <f>IF(AND(BD998=1,D998="proMX"),ROUND(AG998/CFG_BLK,6),0)</f>
        <v>0</v>
      </c>
      <c r="BV998" s="80" t="str">
        <f>IF(BF998="Approved",IF(ISNUMBER(T998),INT(T998),INT(B998)),"")</f>
        <v/>
      </c>
      <c r="BW998" s="80">
        <f>IF(ISNUMBER(B998),IF(DB_MON="Todos",1,IF(AND(INT(B998)&gt;=DB_MS,INT(B998)&lt;=DB_ME),1,0)),0)</f>
        <v>0</v>
      </c>
      <c r="BX998" s="80">
        <f>IF(DB_PROJ="Todos",1,IF(E998&amp;""=DB_PROJ&amp;"",1,0))</f>
        <v>1</v>
      </c>
      <c r="BY998" s="80">
        <f>BW998*BX998</f>
        <v>0</v>
      </c>
      <c r="BZ998" s="80" t="str">
        <f>IF(Y998=1,F998&amp;IF(AND(F998&amp;""&lt;&gt;"",E998&amp;""&lt;&gt;"")," · ","")&amp;E998,"")</f>
        <v/>
      </c>
      <c r="CA998" s="80" t="str">
        <f>IF(AND(BD998=1,E998&amp;""&lt;&gt;""),IF(COUNTIFS($E$5:E997,E998,$BD$5:BD997,1)=0,MAX($CA$5:CA997)+1,""),"")</f>
        <v/>
      </c>
      <c r="CB998" s="80" t="str">
        <f>IF(AND(BE998=1,D998="Malcolm",E998&amp;""&lt;&gt;""),IF(COUNTIFS($D$5:D997,"Malcolm",$E$5:E997,E998,$BE$5:BE997,1)=0,MAX($CB$5:CB997)+1,""),"")</f>
        <v/>
      </c>
      <c r="CC998" s="80" t="str">
        <f>IF(AND(BD998=1,D998="proMX",E998&amp;""&lt;&gt;""),IF(COUNTIFS($D$5:D997,"proMX",$E$5:E997,E998,$BD$5:BD997,1)=0,MAX($CC$5:CC997)+1,""),"")</f>
        <v/>
      </c>
      <c r="CD998" s="80" t="str">
        <f>IF(AND(BE998=1,D998="Malcolm",F998&amp;""&lt;&gt;""),IF(COUNTIFS($D$5:D997,"Malcolm",$F$5:F997,F998,$BE$5:BE997,1)=0,MAX($CD$5:CD997)+1,""),"")</f>
        <v/>
      </c>
      <c r="CE998" s="80" t="str">
        <f>IF(AND(BD998=1,D998="proMX",F998&amp;""&lt;&gt;""),IF(COUNTIFS($D$5:D997,"proMX",$F$5:F997,F998,$BD$5:BD997,1)=0,MAX($CE$5:CE997)+1,""),"")</f>
        <v/>
      </c>
      <c r="CF998" s="80" t="str">
        <f>IF(AND(D998="proMX",BD998=1),IF(OR(BF998="Draft",BF998="Submitted",BF998="Returned",BF998="Recall Requested"),MAX($CF$5:CF997)+1,""),"")</f>
        <v/>
      </c>
      <c r="CG998" s="80">
        <f>IF(BD998=0,0,IF(D998="Malcolm",1,MATCH(BF998,{"Draft","Submitted","Approved","Returned","Recall Requested","Cancelled"},0)+1))</f>
        <v>0</v>
      </c>
      <c r="CH998" s="80">
        <f>IF(AND(BF998="Submitted",ISNUMBER(V998)),IF(V998&gt;CFG_MAXD,1,0),0)</f>
        <v>0</v>
      </c>
    </row>
    <row r="999">
      <c r="A999" s="71" t="str">
        <f>IF(Y999=1,ROW()-5,"")</f>
        <v/>
      </c>
      <c r="B999" s="72" t="n"/>
      <c r="C999" s="71" t="str">
        <f>IF(ISNUMBER(B999),CHOOSE(WEEKDAY(B999,2),"Lun","Mar","Mié","Jue","Vie","Sáb","Dom"),"")</f>
        <v/>
      </c>
      <c r="D999" s="73" t="n"/>
      <c r="E999" s="74" t="n"/>
      <c r="F999" s="74" t="n"/>
      <c r="G999" s="74" t="n"/>
      <c r="H999" s="75" t="n"/>
      <c r="I999" s="75" t="n"/>
      <c r="J999" s="76" t="n"/>
      <c r="K999" s="77" t="str">
        <f>IF(AB999=1,ROUND(AG999/60,4),"")</f>
        <v/>
      </c>
      <c r="L999" s="77" t="str">
        <f>IF(BD999=1,ROUND(AP999/60,4),"")</f>
        <v/>
      </c>
      <c r="M999" s="77" t="str">
        <f>IF(BD999=1,ROUND(AQ999/60,4),"")</f>
        <v/>
      </c>
      <c r="N999" s="71" t="str">
        <f>IF(AND(D999="proMX",AB999=1),ROUND(AG999/CFG_BLK,2),"")</f>
        <v/>
      </c>
      <c r="O999" s="77" t="str">
        <f>IF(D999="proMX",IF(BD999=1,ROUND(AG999/60,4),0),"")</f>
        <v/>
      </c>
      <c r="P999" s="78" t="str">
        <f>IF(Y999=0,"",IF(BD999=1,"OK",IF(D999="proMX","Revisar bloques: ","Revisar: ")&amp;BC999))</f>
        <v/>
      </c>
      <c r="Q999" s="78" t="str">
        <f>IF(NOT(ISNUMBER(B999)),"",IF(COUNTIFS(FER_F,INT(B999))&gt;0,"Feriado"&amp;IF(AH999=1," (laborable)"," (no laborable)"),IF(AH999=1,"Laborable",IF(WEEKDAY(B999,2)&gt;5,"Fin de semana","No laborable"))))</f>
        <v/>
      </c>
      <c r="R999" s="73" t="n"/>
      <c r="S999" s="72" t="n"/>
      <c r="T999" s="72" t="n"/>
      <c r="U999" s="74" t="n"/>
      <c r="V999" s="79" t="str">
        <f>IF(AND(D999="proMX",OR(R999="Submitted",R999="Recall Requested"),ISNUMBER(S999)),CFG_TODAY-INT(S999),"")</f>
        <v/>
      </c>
      <c r="W999" s="78" t="str">
        <f>IF(BD999=0,"",IF(BA999&gt;0,"⚠ Se superpone con un registro de la otra empresa",IF(D999="Malcolm",IF(COUNTA(R999,S999,T999)&gt;0,"Estado/fechas proMX se ignoran en Malcolm",""),IF(BF999="Cancelled","Cancelado: excluido de totales",IF(R999="","Sin estado: se trata como Draft",IF(BF999="Submitted",IF(ISNUMBER(V999),IF(V999&gt;CFG_MAXD,"⚠ "&amp;V999&amp;" días en Submitted (máx. "&amp;CFG_MAXD&amp;")",""),"Falta fecha de envío"),IF(BF999="Returned","⚠ Devuelto: corregir y reenviar",IF(BF999="Recall Requested","Retirada solicitada: pendiente",IF(AND(BF999="Approved",NOT(ISNUMBER(T999))),"Falta fecha de aprobación",IF(AND(ISNUMBER(S999),ISNUMBER(T999),T999&lt;S999),"Aprobación anterior al envío","")))))))))</f>
        <v/>
      </c>
      <c r="Y999" s="80">
        <f>IF(COUNTA(B999,D999,E999,F999,G999,H999,I999,J999,R999,S999,T999)&gt;0,1,0)</f>
        <v>0</v>
      </c>
      <c r="Z999" s="80" t="str">
        <f>IF(AND(ISNUMBER(H999),H999&gt;=0,H999&lt;1),ROUND(H999*1440,0),"")</f>
        <v/>
      </c>
      <c r="AA999" s="80" t="str">
        <f>IF(AND(ISNUMBER(I999),I999&gt;=0,I999&lt;1),ROUND(I999*1440,0),"")</f>
        <v/>
      </c>
      <c r="AB999" s="80">
        <f>IF(AND(ISNUMBER(B999),D999&lt;&gt;"",ISNUMBER(Z999),ISNUMBER(AA999)),IF(Z999=AA999,0,1),0)</f>
        <v>0</v>
      </c>
      <c r="AC999" s="80">
        <f>IF(AB999=1,IF(AA999&lt;Z999,1,0),0)</f>
        <v>0</v>
      </c>
      <c r="AD999" s="80">
        <f>IF(AB999=1,IF(AC999=1,1440-Z999+AA999,AA999-Z999),0)</f>
        <v>0</v>
      </c>
      <c r="AE999" s="80">
        <f>IF(J999="",0,IF(ISNUMBER(J999),J999,-1))</f>
        <v>0</v>
      </c>
      <c r="AF999" s="80">
        <f>MIN(MAX(0,AE999),AD999)</f>
        <v>0</v>
      </c>
      <c r="AG999" s="80">
        <f>MAX(0,AD999-MAX(0,AE999))</f>
        <v>0</v>
      </c>
      <c r="AH999" s="80">
        <f>IF(ISNUMBER(B999),IF(AND(INDEX(CFG_WDAYS,WEEKDAY(INT(B999),2))="Sí",IF(D999="proMX",COUNTIFS(FER_F,INT(B999),FER_NLP,"Sí"),COUNTIFS(FER_F,INT(B999),FER_NLM,"Sí"))=0),1,0),0)</f>
        <v>0</v>
      </c>
      <c r="AI999" s="80">
        <f>IF(AC999=1,IF(AND(INDEX(CFG_WDAYS,WEEKDAY(INT(B999)+1,2))="Sí",IF(D999="proMX",COUNTIFS(FER_F,INT(B999)+1,FER_NLP,"Sí"),COUNTIFS(FER_F,INT(B999)+1,FER_NLM,"Sí"))=0),1,0),0)</f>
        <v>0</v>
      </c>
      <c r="AJ999" s="80">
        <f>IF(AC999=1,1440-Z999,AD999)</f>
        <v>0</v>
      </c>
      <c r="AK999" s="80">
        <f>IF(AND(AB999=1,AH999=1),MAX(0,MIN(IF(AC999=1,1440,AA999),CFG_WEM)-MAX(Z999,CFG_WSM)),0)</f>
        <v>0</v>
      </c>
      <c r="AL999" s="80">
        <f>IF(AND(AC999=1,AI999=1),MAX(0,MIN(AA999,CFG_WEM)-CFG_WSM),0)</f>
        <v>0</v>
      </c>
      <c r="AM999" s="80">
        <f>AK999+AL999</f>
        <v>0</v>
      </c>
      <c r="AN999" s="80">
        <f>IF(CFG_BRK="Proporcional",IF(AD999=0,0,AF999*AM999/AD999),IF(CFG_BRK="Extras primero",MIN(AM999,MAX(0,AF999-(AD999-AM999))),MIN(AF999,AM999)))</f>
        <v>0</v>
      </c>
      <c r="AO999" s="80">
        <f>AF999-AN999</f>
        <v>0</v>
      </c>
      <c r="AP999" s="80">
        <f>AM999-AN999</f>
        <v>0</v>
      </c>
      <c r="AQ999" s="80">
        <f>AD999-AM999-AO999</f>
        <v>0</v>
      </c>
      <c r="AR999" s="80">
        <f>IF(AM999=0,0,AK999-AN999*AK999/AM999)</f>
        <v>0</v>
      </c>
      <c r="AS999" s="80">
        <f>IF(AD999-AM999=0,0,(AJ999-AK999)-AO999*(AJ999-AK999)/(AD999-AM999))</f>
        <v>0</v>
      </c>
      <c r="AT999" s="80" t="str">
        <f>IF(AC999=1,INT(B999)+1,"")</f>
        <v/>
      </c>
      <c r="AU999" s="80">
        <f>IF(AND(D999="proMX",R999="Cancelled"),0,1)</f>
        <v>1</v>
      </c>
      <c r="AV999" s="80">
        <f>IF(AND(AB999=1,AU999=1),IF(COUNTIFS($D$5:D998,D999,$B$5:B998,B999,$Z$5:Z998,Z999,$AA$5:AA998,AA999,$F$5:F998,F999&amp;"",$AU$5:AU998,1)&gt;0,1,0),0)</f>
        <v>0</v>
      </c>
      <c r="AW999" s="80" t="str">
        <f>IF(AB999=1,INT(B999)*1440+Z999,"")</f>
        <v/>
      </c>
      <c r="AX999" s="80" t="str">
        <f>IF(AB999=1,AW999+AD999,"")</f>
        <v/>
      </c>
      <c r="AY999" s="80">
        <f>IF(AND(AB999=1,AV999=0,AU999=1),1,0)</f>
        <v>0</v>
      </c>
      <c r="AZ999" s="80">
        <f>IF(AY999=1,COUNTIFS(R_Emp,D999,R_SAbs,"&lt;"&amp;AX999,R_EAbs,"&gt;"&amp;AW999,R_OKey,1)-1,0)</f>
        <v>0</v>
      </c>
      <c r="BA999" s="80">
        <f>IF(AY999=1,COUNTIFS(R_Emp,"&lt;&gt;"&amp;D999,R_SAbs,"&lt;"&amp;AX999,R_EAbs,"&gt;"&amp;AW999,R_OKey,1),0)</f>
        <v>0</v>
      </c>
      <c r="BB999" s="80">
        <f>IF(AND(AB999=1,D999="proMX"),IF(AND(MOD(Z999,CFG_BLK)=0,MOD(AA999,CFG_BLK)=0,MOD(AG999,CFG_BLK)=0,AG999&gt;0),1,0),1)</f>
        <v>1</v>
      </c>
      <c r="BC999" s="80" t="str">
        <f>IF(Y999=0,"",IF(NOT(ISNUMBER(B999)),"Falta fecha o fecha inválida",IF(D999="","Falta empresa",IF(AND(D999&lt;&gt;"Malcolm",D999&lt;&gt;"proMX"),"Empresa inválida",IF(OR(INT(B999)&lt;CFG_PSTART,INT(B999)&gt;CFG_PEND),"Fecha fuera del período",IF(OR(NOT(ISNUMBER(Z999)),NOT(ISNUMBER(AA999))),"Falta hora inicio/fin o formato inválido",IF(AB999=0,"Hora inicio = hora fin",IF(AE999&lt;0,"Descanso inválido",IF(AE999&gt;=AD999,"Descanso ≥ duración",IF(AV999=1,"Registro duplicado",IF(AZ999&gt;0,"Se superpone con otro registro "&amp;D999,IF(BB999=0,"inicio, fin y duración neta deben ser múltiplos de "&amp;CFG_BLK&amp;" min",""))))))))))))</f>
        <v/>
      </c>
      <c r="BD999" s="80">
        <f>IF(AND(Y999=1,BC999=""),1,0)</f>
        <v>0</v>
      </c>
      <c r="BE999" s="80">
        <f>IF(AND(BD999=1,AU999=1),1,0)</f>
        <v>0</v>
      </c>
      <c r="BF999" s="80" t="str">
        <f>IF(AND(D999="proMX",BD999=1),IF(R999="","Draft",R999),"")</f>
        <v/>
      </c>
      <c r="BG999" s="80">
        <f>IF(BD999=1,ROUND(AG999/60,6),0)</f>
        <v>0</v>
      </c>
      <c r="BH999" s="80">
        <f>IF(BE999=1,ROUND(AG999/60,6),0)</f>
        <v>0</v>
      </c>
      <c r="BI999" s="80">
        <f>IF(BE999=1,ROUND(AP999/60,6),0)</f>
        <v>0</v>
      </c>
      <c r="BJ999" s="80">
        <f>IF(BE999=1,ROUND(AQ999/60,6),0)</f>
        <v>0</v>
      </c>
      <c r="BK999" s="80">
        <f>IF(BE999=1,ROUND((AR999+AS999)/60,6),0)</f>
        <v>0</v>
      </c>
      <c r="BL999" s="80">
        <f>ROUND(BH999-BK999,6)</f>
        <v>0</v>
      </c>
      <c r="BM999" s="80">
        <f>IF(BE999=1,ROUND(AR999/60,6),0)</f>
        <v>0</v>
      </c>
      <c r="BN999" s="80">
        <f>ROUND(BI999-BM999,6)</f>
        <v>0</v>
      </c>
      <c r="BO999" s="80">
        <f>IF(BE999=1,ROUND(AS999/60,6),0)</f>
        <v>0</v>
      </c>
      <c r="BP999" s="80">
        <f>ROUND(BJ999-BO999,6)</f>
        <v>0</v>
      </c>
      <c r="BQ999" s="80">
        <f>IF(BE999=1,AW999,0)</f>
        <v>0</v>
      </c>
      <c r="BR999" s="80">
        <f>IF(BE999=1,AX999,0)</f>
        <v>0</v>
      </c>
      <c r="BS999" s="80">
        <f>IF(AND(BE999=1,D999="Malcolm",BA999&gt;0),MIN(BH999,SUMPRODUCT((R_Emp="proMX")*(R_EN&gt;0)*((R_EN-(R_EN&gt;BR999)*(R_EN-BR999))&gt;(R_SN+(R_SN&lt;BQ999)*(BQ999-R_SN)))*((R_EN-(R_EN&gt;BR999)*(R_EN-BR999))-(R_SN+(R_SN&lt;BQ999)*(BQ999-R_SN))))/60),0)</f>
        <v>0</v>
      </c>
      <c r="BT999" s="80">
        <f>IF(AND(BE999=1,D999="proMX"),ROUND(BI999*CFG_RATE+BJ999*CFG_OTRATE,6),0)</f>
        <v>0</v>
      </c>
      <c r="BU999" s="80">
        <f>IF(AND(BD999=1,D999="proMX"),ROUND(AG999/CFG_BLK,6),0)</f>
        <v>0</v>
      </c>
      <c r="BV999" s="80" t="str">
        <f>IF(BF999="Approved",IF(ISNUMBER(T999),INT(T999),INT(B999)),"")</f>
        <v/>
      </c>
      <c r="BW999" s="80">
        <f>IF(ISNUMBER(B999),IF(DB_MON="Todos",1,IF(AND(INT(B999)&gt;=DB_MS,INT(B999)&lt;=DB_ME),1,0)),0)</f>
        <v>0</v>
      </c>
      <c r="BX999" s="80">
        <f>IF(DB_PROJ="Todos",1,IF(E999&amp;""=DB_PROJ&amp;"",1,0))</f>
        <v>1</v>
      </c>
      <c r="BY999" s="80">
        <f>BW999*BX999</f>
        <v>0</v>
      </c>
      <c r="BZ999" s="80" t="str">
        <f>IF(Y999=1,F999&amp;IF(AND(F999&amp;""&lt;&gt;"",E999&amp;""&lt;&gt;"")," · ","")&amp;E999,"")</f>
        <v/>
      </c>
      <c r="CA999" s="80" t="str">
        <f>IF(AND(BD999=1,E999&amp;""&lt;&gt;""),IF(COUNTIFS($E$5:E998,E999,$BD$5:BD998,1)=0,MAX($CA$5:CA998)+1,""),"")</f>
        <v/>
      </c>
      <c r="CB999" s="80" t="str">
        <f>IF(AND(BE999=1,D999="Malcolm",E999&amp;""&lt;&gt;""),IF(COUNTIFS($D$5:D998,"Malcolm",$E$5:E998,E999,$BE$5:BE998,1)=0,MAX($CB$5:CB998)+1,""),"")</f>
        <v/>
      </c>
      <c r="CC999" s="80" t="str">
        <f>IF(AND(BD999=1,D999="proMX",E999&amp;""&lt;&gt;""),IF(COUNTIFS($D$5:D998,"proMX",$E$5:E998,E999,$BD$5:BD998,1)=0,MAX($CC$5:CC998)+1,""),"")</f>
        <v/>
      </c>
      <c r="CD999" s="80" t="str">
        <f>IF(AND(BE999=1,D999="Malcolm",F999&amp;""&lt;&gt;""),IF(COUNTIFS($D$5:D998,"Malcolm",$F$5:F998,F999,$BE$5:BE998,1)=0,MAX($CD$5:CD998)+1,""),"")</f>
        <v/>
      </c>
      <c r="CE999" s="80" t="str">
        <f>IF(AND(BD999=1,D999="proMX",F999&amp;""&lt;&gt;""),IF(COUNTIFS($D$5:D998,"proMX",$F$5:F998,F999,$BD$5:BD998,1)=0,MAX($CE$5:CE998)+1,""),"")</f>
        <v/>
      </c>
      <c r="CF999" s="80" t="str">
        <f>IF(AND(D999="proMX",BD999=1),IF(OR(BF999="Draft",BF999="Submitted",BF999="Returned",BF999="Recall Requested"),MAX($CF$5:CF998)+1,""),"")</f>
        <v/>
      </c>
      <c r="CG999" s="80">
        <f>IF(BD999=0,0,IF(D999="Malcolm",1,MATCH(BF999,{"Draft","Submitted","Approved","Returned","Recall Requested","Cancelled"},0)+1))</f>
        <v>0</v>
      </c>
      <c r="CH999" s="80">
        <f>IF(AND(BF999="Submitted",ISNUMBER(V999)),IF(V999&gt;CFG_MAXD,1,0),0)</f>
        <v>0</v>
      </c>
    </row>
    <row r="1000">
      <c r="A1000" s="71" t="str">
        <f>IF(Y1000=1,ROW()-5,"")</f>
        <v/>
      </c>
      <c r="B1000" s="72" t="n"/>
      <c r="C1000" s="71" t="str">
        <f>IF(ISNUMBER(B1000),CHOOSE(WEEKDAY(B1000,2),"Lun","Mar","Mié","Jue","Vie","Sáb","Dom"),"")</f>
        <v/>
      </c>
      <c r="D1000" s="73" t="n"/>
      <c r="E1000" s="74" t="n"/>
      <c r="F1000" s="74" t="n"/>
      <c r="G1000" s="74" t="n"/>
      <c r="H1000" s="75" t="n"/>
      <c r="I1000" s="75" t="n"/>
      <c r="J1000" s="76" t="n"/>
      <c r="K1000" s="77" t="str">
        <f>IF(AB1000=1,ROUND(AG1000/60,4),"")</f>
        <v/>
      </c>
      <c r="L1000" s="77" t="str">
        <f>IF(BD1000=1,ROUND(AP1000/60,4),"")</f>
        <v/>
      </c>
      <c r="M1000" s="77" t="str">
        <f>IF(BD1000=1,ROUND(AQ1000/60,4),"")</f>
        <v/>
      </c>
      <c r="N1000" s="71" t="str">
        <f>IF(AND(D1000="proMX",AB1000=1),ROUND(AG1000/CFG_BLK,2),"")</f>
        <v/>
      </c>
      <c r="O1000" s="77" t="str">
        <f>IF(D1000="proMX",IF(BD1000=1,ROUND(AG1000/60,4),0),"")</f>
        <v/>
      </c>
      <c r="P1000" s="78" t="str">
        <f>IF(Y1000=0,"",IF(BD1000=1,"OK",IF(D1000="proMX","Revisar bloques: ","Revisar: ")&amp;BC1000))</f>
        <v/>
      </c>
      <c r="Q1000" s="78" t="str">
        <f>IF(NOT(ISNUMBER(B1000)),"",IF(COUNTIFS(FER_F,INT(B1000))&gt;0,"Feriado"&amp;IF(AH1000=1," (laborable)"," (no laborable)"),IF(AH1000=1,"Laborable",IF(WEEKDAY(B1000,2)&gt;5,"Fin de semana","No laborable"))))</f>
        <v/>
      </c>
      <c r="R1000" s="73" t="n"/>
      <c r="S1000" s="72" t="n"/>
      <c r="T1000" s="72" t="n"/>
      <c r="U1000" s="74" t="n"/>
      <c r="V1000" s="79" t="str">
        <f>IF(AND(D1000="proMX",OR(R1000="Submitted",R1000="Recall Requested"),ISNUMBER(S1000)),CFG_TODAY-INT(S1000),"")</f>
        <v/>
      </c>
      <c r="W1000" s="78" t="str">
        <f>IF(BD1000=0,"",IF(BA1000&gt;0,"⚠ Se superpone con un registro de la otra empresa",IF(D1000="Malcolm",IF(COUNTA(R1000,S1000,T1000)&gt;0,"Estado/fechas proMX se ignoran en Malcolm",""),IF(BF1000="Cancelled","Cancelado: excluido de totales",IF(R1000="","Sin estado: se trata como Draft",IF(BF1000="Submitted",IF(ISNUMBER(V1000),IF(V1000&gt;CFG_MAXD,"⚠ "&amp;V1000&amp;" días en Submitted (máx. "&amp;CFG_MAXD&amp;")",""),"Falta fecha de envío"),IF(BF1000="Returned","⚠ Devuelto: corregir y reenviar",IF(BF1000="Recall Requested","Retirada solicitada: pendiente",IF(AND(BF1000="Approved",NOT(ISNUMBER(T1000))),"Falta fecha de aprobación",IF(AND(ISNUMBER(S1000),ISNUMBER(T1000),T1000&lt;S1000),"Aprobación anterior al envío","")))))))))</f>
        <v/>
      </c>
      <c r="Y1000" s="80">
        <f>IF(COUNTA(B1000,D1000,E1000,F1000,G1000,H1000,I1000,J1000,R1000,S1000,T1000)&gt;0,1,0)</f>
        <v>0</v>
      </c>
      <c r="Z1000" s="80" t="str">
        <f>IF(AND(ISNUMBER(H1000),H1000&gt;=0,H1000&lt;1),ROUND(H1000*1440,0),"")</f>
        <v/>
      </c>
      <c r="AA1000" s="80" t="str">
        <f>IF(AND(ISNUMBER(I1000),I1000&gt;=0,I1000&lt;1),ROUND(I1000*1440,0),"")</f>
        <v/>
      </c>
      <c r="AB1000" s="80">
        <f>IF(AND(ISNUMBER(B1000),D1000&lt;&gt;"",ISNUMBER(Z1000),ISNUMBER(AA1000)),IF(Z1000=AA1000,0,1),0)</f>
        <v>0</v>
      </c>
      <c r="AC1000" s="80">
        <f>IF(AB1000=1,IF(AA1000&lt;Z1000,1,0),0)</f>
        <v>0</v>
      </c>
      <c r="AD1000" s="80">
        <f>IF(AB1000=1,IF(AC1000=1,1440-Z1000+AA1000,AA1000-Z1000),0)</f>
        <v>0</v>
      </c>
      <c r="AE1000" s="80">
        <f>IF(J1000="",0,IF(ISNUMBER(J1000),J1000,-1))</f>
        <v>0</v>
      </c>
      <c r="AF1000" s="80">
        <f>MIN(MAX(0,AE1000),AD1000)</f>
        <v>0</v>
      </c>
      <c r="AG1000" s="80">
        <f>MAX(0,AD1000-MAX(0,AE1000))</f>
        <v>0</v>
      </c>
      <c r="AH1000" s="80">
        <f>IF(ISNUMBER(B1000),IF(AND(INDEX(CFG_WDAYS,WEEKDAY(INT(B1000),2))="Sí",IF(D1000="proMX",COUNTIFS(FER_F,INT(B1000),FER_NLP,"Sí"),COUNTIFS(FER_F,INT(B1000),FER_NLM,"Sí"))=0),1,0),0)</f>
        <v>0</v>
      </c>
      <c r="AI1000" s="80">
        <f>IF(AC1000=1,IF(AND(INDEX(CFG_WDAYS,WEEKDAY(INT(B1000)+1,2))="Sí",IF(D1000="proMX",COUNTIFS(FER_F,INT(B1000)+1,FER_NLP,"Sí"),COUNTIFS(FER_F,INT(B1000)+1,FER_NLM,"Sí"))=0),1,0),0)</f>
        <v>0</v>
      </c>
      <c r="AJ1000" s="80">
        <f>IF(AC1000=1,1440-Z1000,AD1000)</f>
        <v>0</v>
      </c>
      <c r="AK1000" s="80">
        <f>IF(AND(AB1000=1,AH1000=1),MAX(0,MIN(IF(AC1000=1,1440,AA1000),CFG_WEM)-MAX(Z1000,CFG_WSM)),0)</f>
        <v>0</v>
      </c>
      <c r="AL1000" s="80">
        <f>IF(AND(AC1000=1,AI1000=1),MAX(0,MIN(AA1000,CFG_WEM)-CFG_WSM),0)</f>
        <v>0</v>
      </c>
      <c r="AM1000" s="80">
        <f>AK1000+AL1000</f>
        <v>0</v>
      </c>
      <c r="AN1000" s="80">
        <f>IF(CFG_BRK="Proporcional",IF(AD1000=0,0,AF1000*AM1000/AD1000),IF(CFG_BRK="Extras primero",MIN(AM1000,MAX(0,AF1000-(AD1000-AM1000))),MIN(AF1000,AM1000)))</f>
        <v>0</v>
      </c>
      <c r="AO1000" s="80">
        <f>AF1000-AN1000</f>
        <v>0</v>
      </c>
      <c r="AP1000" s="80">
        <f>AM1000-AN1000</f>
        <v>0</v>
      </c>
      <c r="AQ1000" s="80">
        <f>AD1000-AM1000-AO1000</f>
        <v>0</v>
      </c>
      <c r="AR1000" s="80">
        <f>IF(AM1000=0,0,AK1000-AN1000*AK1000/AM1000)</f>
        <v>0</v>
      </c>
      <c r="AS1000" s="80">
        <f>IF(AD1000-AM1000=0,0,(AJ1000-AK1000)-AO1000*(AJ1000-AK1000)/(AD1000-AM1000))</f>
        <v>0</v>
      </c>
      <c r="AT1000" s="80" t="str">
        <f>IF(AC1000=1,INT(B1000)+1,"")</f>
        <v/>
      </c>
      <c r="AU1000" s="80">
        <f>IF(AND(D1000="proMX",R1000="Cancelled"),0,1)</f>
        <v>1</v>
      </c>
      <c r="AV1000" s="80">
        <f>IF(AND(AB1000=1,AU1000=1),IF(COUNTIFS($D$5:D999,D1000,$B$5:B999,B1000,$Z$5:Z999,Z1000,$AA$5:AA999,AA1000,$F$5:F999,F1000&amp;"",$AU$5:AU999,1)&gt;0,1,0),0)</f>
        <v>0</v>
      </c>
      <c r="AW1000" s="80" t="str">
        <f>IF(AB1000=1,INT(B1000)*1440+Z1000,"")</f>
        <v/>
      </c>
      <c r="AX1000" s="80" t="str">
        <f>IF(AB1000=1,AW1000+AD1000,"")</f>
        <v/>
      </c>
      <c r="AY1000" s="80">
        <f>IF(AND(AB1000=1,AV1000=0,AU1000=1),1,0)</f>
        <v>0</v>
      </c>
      <c r="AZ1000" s="80">
        <f>IF(AY1000=1,COUNTIFS(R_Emp,D1000,R_SAbs,"&lt;"&amp;AX1000,R_EAbs,"&gt;"&amp;AW1000,R_OKey,1)-1,0)</f>
        <v>0</v>
      </c>
      <c r="BA1000" s="80">
        <f>IF(AY1000=1,COUNTIFS(R_Emp,"&lt;&gt;"&amp;D1000,R_SAbs,"&lt;"&amp;AX1000,R_EAbs,"&gt;"&amp;AW1000,R_OKey,1),0)</f>
        <v>0</v>
      </c>
      <c r="BB1000" s="80">
        <f>IF(AND(AB1000=1,D1000="proMX"),IF(AND(MOD(Z1000,CFG_BLK)=0,MOD(AA1000,CFG_BLK)=0,MOD(AG1000,CFG_BLK)=0,AG1000&gt;0),1,0),1)</f>
        <v>1</v>
      </c>
      <c r="BC1000" s="80" t="str">
        <f>IF(Y1000=0,"",IF(NOT(ISNUMBER(B1000)),"Falta fecha o fecha inválida",IF(D1000="","Falta empresa",IF(AND(D1000&lt;&gt;"Malcolm",D1000&lt;&gt;"proMX"),"Empresa inválida",IF(OR(INT(B1000)&lt;CFG_PSTART,INT(B1000)&gt;CFG_PEND),"Fecha fuera del período",IF(OR(NOT(ISNUMBER(Z1000)),NOT(ISNUMBER(AA1000))),"Falta hora inicio/fin o formato inválido",IF(AB1000=0,"Hora inicio = hora fin",IF(AE1000&lt;0,"Descanso inválido",IF(AE1000&gt;=AD1000,"Descanso ≥ duración",IF(AV1000=1,"Registro duplicado",IF(AZ1000&gt;0,"Se superpone con otro registro "&amp;D1000,IF(BB1000=0,"inicio, fin y duración neta deben ser múltiplos de "&amp;CFG_BLK&amp;" min",""))))))))))))</f>
        <v/>
      </c>
      <c r="BD1000" s="80">
        <f>IF(AND(Y1000=1,BC1000=""),1,0)</f>
        <v>0</v>
      </c>
      <c r="BE1000" s="80">
        <f>IF(AND(BD1000=1,AU1000=1),1,0)</f>
        <v>0</v>
      </c>
      <c r="BF1000" s="80" t="str">
        <f>IF(AND(D1000="proMX",BD1000=1),IF(R1000="","Draft",R1000),"")</f>
        <v/>
      </c>
      <c r="BG1000" s="80">
        <f>IF(BD1000=1,ROUND(AG1000/60,6),0)</f>
        <v>0</v>
      </c>
      <c r="BH1000" s="80">
        <f>IF(BE1000=1,ROUND(AG1000/60,6),0)</f>
        <v>0</v>
      </c>
      <c r="BI1000" s="80">
        <f>IF(BE1000=1,ROUND(AP1000/60,6),0)</f>
        <v>0</v>
      </c>
      <c r="BJ1000" s="80">
        <f>IF(BE1000=1,ROUND(AQ1000/60,6),0)</f>
        <v>0</v>
      </c>
      <c r="BK1000" s="80">
        <f>IF(BE1000=1,ROUND((AR1000+AS1000)/60,6),0)</f>
        <v>0</v>
      </c>
      <c r="BL1000" s="80">
        <f>ROUND(BH1000-BK1000,6)</f>
        <v>0</v>
      </c>
      <c r="BM1000" s="80">
        <f>IF(BE1000=1,ROUND(AR1000/60,6),0)</f>
        <v>0</v>
      </c>
      <c r="BN1000" s="80">
        <f>ROUND(BI1000-BM1000,6)</f>
        <v>0</v>
      </c>
      <c r="BO1000" s="80">
        <f>IF(BE1000=1,ROUND(AS1000/60,6),0)</f>
        <v>0</v>
      </c>
      <c r="BP1000" s="80">
        <f>ROUND(BJ1000-BO1000,6)</f>
        <v>0</v>
      </c>
      <c r="BQ1000" s="80">
        <f>IF(BE1000=1,AW1000,0)</f>
        <v>0</v>
      </c>
      <c r="BR1000" s="80">
        <f>IF(BE1000=1,AX1000,0)</f>
        <v>0</v>
      </c>
      <c r="BS1000" s="80">
        <f>IF(AND(BE1000=1,D1000="Malcolm",BA1000&gt;0),MIN(BH1000,SUMPRODUCT((R_Emp="proMX")*(R_EN&gt;0)*((R_EN-(R_EN&gt;BR1000)*(R_EN-BR1000))&gt;(R_SN+(R_SN&lt;BQ1000)*(BQ1000-R_SN)))*((R_EN-(R_EN&gt;BR1000)*(R_EN-BR1000))-(R_SN+(R_SN&lt;BQ1000)*(BQ1000-R_SN))))/60),0)</f>
        <v>0</v>
      </c>
      <c r="BT1000" s="80">
        <f>IF(AND(BE1000=1,D1000="proMX"),ROUND(BI1000*CFG_RATE+BJ1000*CFG_OTRATE,6),0)</f>
        <v>0</v>
      </c>
      <c r="BU1000" s="80">
        <f>IF(AND(BD1000=1,D1000="proMX"),ROUND(AG1000/CFG_BLK,6),0)</f>
        <v>0</v>
      </c>
      <c r="BV1000" s="80" t="str">
        <f>IF(BF1000="Approved",IF(ISNUMBER(T1000),INT(T1000),INT(B1000)),"")</f>
        <v/>
      </c>
      <c r="BW1000" s="80">
        <f>IF(ISNUMBER(B1000),IF(DB_MON="Todos",1,IF(AND(INT(B1000)&gt;=DB_MS,INT(B1000)&lt;=DB_ME),1,0)),0)</f>
        <v>0</v>
      </c>
      <c r="BX1000" s="80">
        <f>IF(DB_PROJ="Todos",1,IF(E1000&amp;""=DB_PROJ&amp;"",1,0))</f>
        <v>1</v>
      </c>
      <c r="BY1000" s="80">
        <f>BW1000*BX1000</f>
        <v>0</v>
      </c>
      <c r="BZ1000" s="80" t="str">
        <f>IF(Y1000=1,F1000&amp;IF(AND(F1000&amp;""&lt;&gt;"",E1000&amp;""&lt;&gt;"")," · ","")&amp;E1000,"")</f>
        <v/>
      </c>
      <c r="CA1000" s="80" t="str">
        <f>IF(AND(BD1000=1,E1000&amp;""&lt;&gt;""),IF(COUNTIFS($E$5:E999,E1000,$BD$5:BD999,1)=0,MAX($CA$5:CA999)+1,""),"")</f>
        <v/>
      </c>
      <c r="CB1000" s="80" t="str">
        <f>IF(AND(BE1000=1,D1000="Malcolm",E1000&amp;""&lt;&gt;""),IF(COUNTIFS($D$5:D999,"Malcolm",$E$5:E999,E1000,$BE$5:BE999,1)=0,MAX($CB$5:CB999)+1,""),"")</f>
        <v/>
      </c>
      <c r="CC1000" s="80" t="str">
        <f>IF(AND(BD1000=1,D1000="proMX",E1000&amp;""&lt;&gt;""),IF(COUNTIFS($D$5:D999,"proMX",$E$5:E999,E1000,$BD$5:BD999,1)=0,MAX($CC$5:CC999)+1,""),"")</f>
        <v/>
      </c>
      <c r="CD1000" s="80" t="str">
        <f>IF(AND(BE1000=1,D1000="Malcolm",F1000&amp;""&lt;&gt;""),IF(COUNTIFS($D$5:D999,"Malcolm",$F$5:F999,F1000,$BE$5:BE999,1)=0,MAX($CD$5:CD999)+1,""),"")</f>
        <v/>
      </c>
      <c r="CE1000" s="80" t="str">
        <f>IF(AND(BD1000=1,D1000="proMX",F1000&amp;""&lt;&gt;""),IF(COUNTIFS($D$5:D999,"proMX",$F$5:F999,F1000,$BD$5:BD999,1)=0,MAX($CE$5:CE999)+1,""),"")</f>
        <v/>
      </c>
      <c r="CF1000" s="80" t="str">
        <f>IF(AND(D1000="proMX",BD1000=1),IF(OR(BF1000="Draft",BF1000="Submitted",BF1000="Returned",BF1000="Recall Requested"),MAX($CF$5:CF999)+1,""),"")</f>
        <v/>
      </c>
      <c r="CG1000" s="80">
        <f>IF(BD1000=0,0,IF(D1000="Malcolm",1,MATCH(BF1000,{"Draft","Submitted","Approved","Returned","Recall Requested","Cancelled"},0)+1))</f>
        <v>0</v>
      </c>
      <c r="CH1000" s="80">
        <f>IF(AND(BF1000="Submitted",ISNUMBER(V1000)),IF(V1000&gt;CFG_MAXD,1,0),0)</f>
        <v>0</v>
      </c>
    </row>
    <row r="1001">
      <c r="A1001" s="71" t="str">
        <f>IF(Y1001=1,ROW()-5,"")</f>
        <v/>
      </c>
      <c r="B1001" s="72" t="n"/>
      <c r="C1001" s="71" t="str">
        <f>IF(ISNUMBER(B1001),CHOOSE(WEEKDAY(B1001,2),"Lun","Mar","Mié","Jue","Vie","Sáb","Dom"),"")</f>
        <v/>
      </c>
      <c r="D1001" s="73" t="n"/>
      <c r="E1001" s="74" t="n"/>
      <c r="F1001" s="74" t="n"/>
      <c r="G1001" s="74" t="n"/>
      <c r="H1001" s="75" t="n"/>
      <c r="I1001" s="75" t="n"/>
      <c r="J1001" s="76" t="n"/>
      <c r="K1001" s="77" t="str">
        <f>IF(AB1001=1,ROUND(AG1001/60,4),"")</f>
        <v/>
      </c>
      <c r="L1001" s="77" t="str">
        <f>IF(BD1001=1,ROUND(AP1001/60,4),"")</f>
        <v/>
      </c>
      <c r="M1001" s="77" t="str">
        <f>IF(BD1001=1,ROUND(AQ1001/60,4),"")</f>
        <v/>
      </c>
      <c r="N1001" s="71" t="str">
        <f>IF(AND(D1001="proMX",AB1001=1),ROUND(AG1001/CFG_BLK,2),"")</f>
        <v/>
      </c>
      <c r="O1001" s="77" t="str">
        <f>IF(D1001="proMX",IF(BD1001=1,ROUND(AG1001/60,4),0),"")</f>
        <v/>
      </c>
      <c r="P1001" s="78" t="str">
        <f>IF(Y1001=0,"",IF(BD1001=1,"OK",IF(D1001="proMX","Revisar bloques: ","Revisar: ")&amp;BC1001))</f>
        <v/>
      </c>
      <c r="Q1001" s="78" t="str">
        <f>IF(NOT(ISNUMBER(B1001)),"",IF(COUNTIFS(FER_F,INT(B1001))&gt;0,"Feriado"&amp;IF(AH1001=1," (laborable)"," (no laborable)"),IF(AH1001=1,"Laborable",IF(WEEKDAY(B1001,2)&gt;5,"Fin de semana","No laborable"))))</f>
        <v/>
      </c>
      <c r="R1001" s="73" t="n"/>
      <c r="S1001" s="72" t="n"/>
      <c r="T1001" s="72" t="n"/>
      <c r="U1001" s="74" t="n"/>
      <c r="V1001" s="79" t="str">
        <f>IF(AND(D1001="proMX",OR(R1001="Submitted",R1001="Recall Requested"),ISNUMBER(S1001)),CFG_TODAY-INT(S1001),"")</f>
        <v/>
      </c>
      <c r="W1001" s="78" t="str">
        <f>IF(BD1001=0,"",IF(BA1001&gt;0,"⚠ Se superpone con un registro de la otra empresa",IF(D1001="Malcolm",IF(COUNTA(R1001,S1001,T1001)&gt;0,"Estado/fechas proMX se ignoran en Malcolm",""),IF(BF1001="Cancelled","Cancelado: excluido de totales",IF(R1001="","Sin estado: se trata como Draft",IF(BF1001="Submitted",IF(ISNUMBER(V1001),IF(V1001&gt;CFG_MAXD,"⚠ "&amp;V1001&amp;" días en Submitted (máx. "&amp;CFG_MAXD&amp;")",""),"Falta fecha de envío"),IF(BF1001="Returned","⚠ Devuelto: corregir y reenviar",IF(BF1001="Recall Requested","Retirada solicitada: pendiente",IF(AND(BF1001="Approved",NOT(ISNUMBER(T1001))),"Falta fecha de aprobación",IF(AND(ISNUMBER(S1001),ISNUMBER(T1001),T1001&lt;S1001),"Aprobación anterior al envío","")))))))))</f>
        <v/>
      </c>
      <c r="Y1001" s="80">
        <f>IF(COUNTA(B1001,D1001,E1001,F1001,G1001,H1001,I1001,J1001,R1001,S1001,T1001)&gt;0,1,0)</f>
        <v>0</v>
      </c>
      <c r="Z1001" s="80" t="str">
        <f>IF(AND(ISNUMBER(H1001),H1001&gt;=0,H1001&lt;1),ROUND(H1001*1440,0),"")</f>
        <v/>
      </c>
      <c r="AA1001" s="80" t="str">
        <f>IF(AND(ISNUMBER(I1001),I1001&gt;=0,I1001&lt;1),ROUND(I1001*1440,0),"")</f>
        <v/>
      </c>
      <c r="AB1001" s="80">
        <f>IF(AND(ISNUMBER(B1001),D1001&lt;&gt;"",ISNUMBER(Z1001),ISNUMBER(AA1001)),IF(Z1001=AA1001,0,1),0)</f>
        <v>0</v>
      </c>
      <c r="AC1001" s="80">
        <f>IF(AB1001=1,IF(AA1001&lt;Z1001,1,0),0)</f>
        <v>0</v>
      </c>
      <c r="AD1001" s="80">
        <f>IF(AB1001=1,IF(AC1001=1,1440-Z1001+AA1001,AA1001-Z1001),0)</f>
        <v>0</v>
      </c>
      <c r="AE1001" s="80">
        <f>IF(J1001="",0,IF(ISNUMBER(J1001),J1001,-1))</f>
        <v>0</v>
      </c>
      <c r="AF1001" s="80">
        <f>MIN(MAX(0,AE1001),AD1001)</f>
        <v>0</v>
      </c>
      <c r="AG1001" s="80">
        <f>MAX(0,AD1001-MAX(0,AE1001))</f>
        <v>0</v>
      </c>
      <c r="AH1001" s="80">
        <f>IF(ISNUMBER(B1001),IF(AND(INDEX(CFG_WDAYS,WEEKDAY(INT(B1001),2))="Sí",IF(D1001="proMX",COUNTIFS(FER_F,INT(B1001),FER_NLP,"Sí"),COUNTIFS(FER_F,INT(B1001),FER_NLM,"Sí"))=0),1,0),0)</f>
        <v>0</v>
      </c>
      <c r="AI1001" s="80">
        <f>IF(AC1001=1,IF(AND(INDEX(CFG_WDAYS,WEEKDAY(INT(B1001)+1,2))="Sí",IF(D1001="proMX",COUNTIFS(FER_F,INT(B1001)+1,FER_NLP,"Sí"),COUNTIFS(FER_F,INT(B1001)+1,FER_NLM,"Sí"))=0),1,0),0)</f>
        <v>0</v>
      </c>
      <c r="AJ1001" s="80">
        <f>IF(AC1001=1,1440-Z1001,AD1001)</f>
        <v>0</v>
      </c>
      <c r="AK1001" s="80">
        <f>IF(AND(AB1001=1,AH1001=1),MAX(0,MIN(IF(AC1001=1,1440,AA1001),CFG_WEM)-MAX(Z1001,CFG_WSM)),0)</f>
        <v>0</v>
      </c>
      <c r="AL1001" s="80">
        <f>IF(AND(AC1001=1,AI1001=1),MAX(0,MIN(AA1001,CFG_WEM)-CFG_WSM),0)</f>
        <v>0</v>
      </c>
      <c r="AM1001" s="80">
        <f>AK1001+AL1001</f>
        <v>0</v>
      </c>
      <c r="AN1001" s="80">
        <f>IF(CFG_BRK="Proporcional",IF(AD1001=0,0,AF1001*AM1001/AD1001),IF(CFG_BRK="Extras primero",MIN(AM1001,MAX(0,AF1001-(AD1001-AM1001))),MIN(AF1001,AM1001)))</f>
        <v>0</v>
      </c>
      <c r="AO1001" s="80">
        <f>AF1001-AN1001</f>
        <v>0</v>
      </c>
      <c r="AP1001" s="80">
        <f>AM1001-AN1001</f>
        <v>0</v>
      </c>
      <c r="AQ1001" s="80">
        <f>AD1001-AM1001-AO1001</f>
        <v>0</v>
      </c>
      <c r="AR1001" s="80">
        <f>IF(AM1001=0,0,AK1001-AN1001*AK1001/AM1001)</f>
        <v>0</v>
      </c>
      <c r="AS1001" s="80">
        <f>IF(AD1001-AM1001=0,0,(AJ1001-AK1001)-AO1001*(AJ1001-AK1001)/(AD1001-AM1001))</f>
        <v>0</v>
      </c>
      <c r="AT1001" s="80" t="str">
        <f>IF(AC1001=1,INT(B1001)+1,"")</f>
        <v/>
      </c>
      <c r="AU1001" s="80">
        <f>IF(AND(D1001="proMX",R1001="Cancelled"),0,1)</f>
        <v>1</v>
      </c>
      <c r="AV1001" s="80">
        <f>IF(AND(AB1001=1,AU1001=1),IF(COUNTIFS($D$5:D1000,D1001,$B$5:B1000,B1001,$Z$5:Z1000,Z1001,$AA$5:AA1000,AA1001,$F$5:F1000,F1001&amp;"",$AU$5:AU1000,1)&gt;0,1,0),0)</f>
        <v>0</v>
      </c>
      <c r="AW1001" s="80" t="str">
        <f>IF(AB1001=1,INT(B1001)*1440+Z1001,"")</f>
        <v/>
      </c>
      <c r="AX1001" s="80" t="str">
        <f>IF(AB1001=1,AW1001+AD1001,"")</f>
        <v/>
      </c>
      <c r="AY1001" s="80">
        <f>IF(AND(AB1001=1,AV1001=0,AU1001=1),1,0)</f>
        <v>0</v>
      </c>
      <c r="AZ1001" s="80">
        <f>IF(AY1001=1,COUNTIFS(R_Emp,D1001,R_SAbs,"&lt;"&amp;AX1001,R_EAbs,"&gt;"&amp;AW1001,R_OKey,1)-1,0)</f>
        <v>0</v>
      </c>
      <c r="BA1001" s="80">
        <f>IF(AY1001=1,COUNTIFS(R_Emp,"&lt;&gt;"&amp;D1001,R_SAbs,"&lt;"&amp;AX1001,R_EAbs,"&gt;"&amp;AW1001,R_OKey,1),0)</f>
        <v>0</v>
      </c>
      <c r="BB1001" s="80">
        <f>IF(AND(AB1001=1,D1001="proMX"),IF(AND(MOD(Z1001,CFG_BLK)=0,MOD(AA1001,CFG_BLK)=0,MOD(AG1001,CFG_BLK)=0,AG1001&gt;0),1,0),1)</f>
        <v>1</v>
      </c>
      <c r="BC1001" s="80" t="str">
        <f>IF(Y1001=0,"",IF(NOT(ISNUMBER(B1001)),"Falta fecha o fecha inválida",IF(D1001="","Falta empresa",IF(AND(D1001&lt;&gt;"Malcolm",D1001&lt;&gt;"proMX"),"Empresa inválida",IF(OR(INT(B1001)&lt;CFG_PSTART,INT(B1001)&gt;CFG_PEND),"Fecha fuera del período",IF(OR(NOT(ISNUMBER(Z1001)),NOT(ISNUMBER(AA1001))),"Falta hora inicio/fin o formato inválido",IF(AB1001=0,"Hora inicio = hora fin",IF(AE1001&lt;0,"Descanso inválido",IF(AE1001&gt;=AD1001,"Descanso ≥ duración",IF(AV1001=1,"Registro duplicado",IF(AZ1001&gt;0,"Se superpone con otro registro "&amp;D1001,IF(BB1001=0,"inicio, fin y duración neta deben ser múltiplos de "&amp;CFG_BLK&amp;" min",""))))))))))))</f>
        <v/>
      </c>
      <c r="BD1001" s="80">
        <f>IF(AND(Y1001=1,BC1001=""),1,0)</f>
        <v>0</v>
      </c>
      <c r="BE1001" s="80">
        <f>IF(AND(BD1001=1,AU1001=1),1,0)</f>
        <v>0</v>
      </c>
      <c r="BF1001" s="80" t="str">
        <f>IF(AND(D1001="proMX",BD1001=1),IF(R1001="","Draft",R1001),"")</f>
        <v/>
      </c>
      <c r="BG1001" s="80">
        <f>IF(BD1001=1,ROUND(AG1001/60,6),0)</f>
        <v>0</v>
      </c>
      <c r="BH1001" s="80">
        <f>IF(BE1001=1,ROUND(AG1001/60,6),0)</f>
        <v>0</v>
      </c>
      <c r="BI1001" s="80">
        <f>IF(BE1001=1,ROUND(AP1001/60,6),0)</f>
        <v>0</v>
      </c>
      <c r="BJ1001" s="80">
        <f>IF(BE1001=1,ROUND(AQ1001/60,6),0)</f>
        <v>0</v>
      </c>
      <c r="BK1001" s="80">
        <f>IF(BE1001=1,ROUND((AR1001+AS1001)/60,6),0)</f>
        <v>0</v>
      </c>
      <c r="BL1001" s="80">
        <f>ROUND(BH1001-BK1001,6)</f>
        <v>0</v>
      </c>
      <c r="BM1001" s="80">
        <f>IF(BE1001=1,ROUND(AR1001/60,6),0)</f>
        <v>0</v>
      </c>
      <c r="BN1001" s="80">
        <f>ROUND(BI1001-BM1001,6)</f>
        <v>0</v>
      </c>
      <c r="BO1001" s="80">
        <f>IF(BE1001=1,ROUND(AS1001/60,6),0)</f>
        <v>0</v>
      </c>
      <c r="BP1001" s="80">
        <f>ROUND(BJ1001-BO1001,6)</f>
        <v>0</v>
      </c>
      <c r="BQ1001" s="80">
        <f>IF(BE1001=1,AW1001,0)</f>
        <v>0</v>
      </c>
      <c r="BR1001" s="80">
        <f>IF(BE1001=1,AX1001,0)</f>
        <v>0</v>
      </c>
      <c r="BS1001" s="80">
        <f>IF(AND(BE1001=1,D1001="Malcolm",BA1001&gt;0),MIN(BH1001,SUMPRODUCT((R_Emp="proMX")*(R_EN&gt;0)*((R_EN-(R_EN&gt;BR1001)*(R_EN-BR1001))&gt;(R_SN+(R_SN&lt;BQ1001)*(BQ1001-R_SN)))*((R_EN-(R_EN&gt;BR1001)*(R_EN-BR1001))-(R_SN+(R_SN&lt;BQ1001)*(BQ1001-R_SN))))/60),0)</f>
        <v>0</v>
      </c>
      <c r="BT1001" s="80">
        <f>IF(AND(BE1001=1,D1001="proMX"),ROUND(BI1001*CFG_RATE+BJ1001*CFG_OTRATE,6),0)</f>
        <v>0</v>
      </c>
      <c r="BU1001" s="80">
        <f>IF(AND(BD1001=1,D1001="proMX"),ROUND(AG1001/CFG_BLK,6),0)</f>
        <v>0</v>
      </c>
      <c r="BV1001" s="80" t="str">
        <f>IF(BF1001="Approved",IF(ISNUMBER(T1001),INT(T1001),INT(B1001)),"")</f>
        <v/>
      </c>
      <c r="BW1001" s="80">
        <f>IF(ISNUMBER(B1001),IF(DB_MON="Todos",1,IF(AND(INT(B1001)&gt;=DB_MS,INT(B1001)&lt;=DB_ME),1,0)),0)</f>
        <v>0</v>
      </c>
      <c r="BX1001" s="80">
        <f>IF(DB_PROJ="Todos",1,IF(E1001&amp;""=DB_PROJ&amp;"",1,0))</f>
        <v>1</v>
      </c>
      <c r="BY1001" s="80">
        <f>BW1001*BX1001</f>
        <v>0</v>
      </c>
      <c r="BZ1001" s="80" t="str">
        <f>IF(Y1001=1,F1001&amp;IF(AND(F1001&amp;""&lt;&gt;"",E1001&amp;""&lt;&gt;"")," · ","")&amp;E1001,"")</f>
        <v/>
      </c>
      <c r="CA1001" s="80" t="str">
        <f>IF(AND(BD1001=1,E1001&amp;""&lt;&gt;""),IF(COUNTIFS($E$5:E1000,E1001,$BD$5:BD1000,1)=0,MAX($CA$5:CA1000)+1,""),"")</f>
        <v/>
      </c>
      <c r="CB1001" s="80" t="str">
        <f>IF(AND(BE1001=1,D1001="Malcolm",E1001&amp;""&lt;&gt;""),IF(COUNTIFS($D$5:D1000,"Malcolm",$E$5:E1000,E1001,$BE$5:BE1000,1)=0,MAX($CB$5:CB1000)+1,""),"")</f>
        <v/>
      </c>
      <c r="CC1001" s="80" t="str">
        <f>IF(AND(BD1001=1,D1001="proMX",E1001&amp;""&lt;&gt;""),IF(COUNTIFS($D$5:D1000,"proMX",$E$5:E1000,E1001,$BD$5:BD1000,1)=0,MAX($CC$5:CC1000)+1,""),"")</f>
        <v/>
      </c>
      <c r="CD1001" s="80" t="str">
        <f>IF(AND(BE1001=1,D1001="Malcolm",F1001&amp;""&lt;&gt;""),IF(COUNTIFS($D$5:D1000,"Malcolm",$F$5:F1000,F1001,$BE$5:BE1000,1)=0,MAX($CD$5:CD1000)+1,""),"")</f>
        <v/>
      </c>
      <c r="CE1001" s="80" t="str">
        <f>IF(AND(BD1001=1,D1001="proMX",F1001&amp;""&lt;&gt;""),IF(COUNTIFS($D$5:D1000,"proMX",$F$5:F1000,F1001,$BD$5:BD1000,1)=0,MAX($CE$5:CE1000)+1,""),"")</f>
        <v/>
      </c>
      <c r="CF1001" s="80" t="str">
        <f>IF(AND(D1001="proMX",BD1001=1),IF(OR(BF1001="Draft",BF1001="Submitted",BF1001="Returned",BF1001="Recall Requested"),MAX($CF$5:CF1000)+1,""),"")</f>
        <v/>
      </c>
      <c r="CG1001" s="80">
        <f>IF(BD1001=0,0,IF(D1001="Malcolm",1,MATCH(BF1001,{"Draft","Submitted","Approved","Returned","Recall Requested","Cancelled"},0)+1))</f>
        <v>0</v>
      </c>
      <c r="CH1001" s="80">
        <f>IF(AND(BF1001="Submitted",ISNUMBER(V1001)),IF(V1001&gt;CFG_MAXD,1,0),0)</f>
        <v>0</v>
      </c>
    </row>
    <row r="1002">
      <c r="A1002" s="71" t="str">
        <f>IF(Y1002=1,ROW()-5,"")</f>
        <v/>
      </c>
      <c r="B1002" s="72" t="n"/>
      <c r="C1002" s="71" t="str">
        <f>IF(ISNUMBER(B1002),CHOOSE(WEEKDAY(B1002,2),"Lun","Mar","Mié","Jue","Vie","Sáb","Dom"),"")</f>
        <v/>
      </c>
      <c r="D1002" s="73" t="n"/>
      <c r="E1002" s="74" t="n"/>
      <c r="F1002" s="74" t="n"/>
      <c r="G1002" s="74" t="n"/>
      <c r="H1002" s="75" t="n"/>
      <c r="I1002" s="75" t="n"/>
      <c r="J1002" s="76" t="n"/>
      <c r="K1002" s="77" t="str">
        <f>IF(AB1002=1,ROUND(AG1002/60,4),"")</f>
        <v/>
      </c>
      <c r="L1002" s="77" t="str">
        <f>IF(BD1002=1,ROUND(AP1002/60,4),"")</f>
        <v/>
      </c>
      <c r="M1002" s="77" t="str">
        <f>IF(BD1002=1,ROUND(AQ1002/60,4),"")</f>
        <v/>
      </c>
      <c r="N1002" s="71" t="str">
        <f>IF(AND(D1002="proMX",AB1002=1),ROUND(AG1002/CFG_BLK,2),"")</f>
        <v/>
      </c>
      <c r="O1002" s="77" t="str">
        <f>IF(D1002="proMX",IF(BD1002=1,ROUND(AG1002/60,4),0),"")</f>
        <v/>
      </c>
      <c r="P1002" s="78" t="str">
        <f>IF(Y1002=0,"",IF(BD1002=1,"OK",IF(D1002="proMX","Revisar bloques: ","Revisar: ")&amp;BC1002))</f>
        <v/>
      </c>
      <c r="Q1002" s="78" t="str">
        <f>IF(NOT(ISNUMBER(B1002)),"",IF(COUNTIFS(FER_F,INT(B1002))&gt;0,"Feriado"&amp;IF(AH1002=1," (laborable)"," (no laborable)"),IF(AH1002=1,"Laborable",IF(WEEKDAY(B1002,2)&gt;5,"Fin de semana","No laborable"))))</f>
        <v/>
      </c>
      <c r="R1002" s="73" t="n"/>
      <c r="S1002" s="72" t="n"/>
      <c r="T1002" s="72" t="n"/>
      <c r="U1002" s="74" t="n"/>
      <c r="V1002" s="79" t="str">
        <f>IF(AND(D1002="proMX",OR(R1002="Submitted",R1002="Recall Requested"),ISNUMBER(S1002)),CFG_TODAY-INT(S1002),"")</f>
        <v/>
      </c>
      <c r="W1002" s="78" t="str">
        <f>IF(BD1002=0,"",IF(BA1002&gt;0,"⚠ Se superpone con un registro de la otra empresa",IF(D1002="Malcolm",IF(COUNTA(R1002,S1002,T1002)&gt;0,"Estado/fechas proMX se ignoran en Malcolm",""),IF(BF1002="Cancelled","Cancelado: excluido de totales",IF(R1002="","Sin estado: se trata como Draft",IF(BF1002="Submitted",IF(ISNUMBER(V1002),IF(V1002&gt;CFG_MAXD,"⚠ "&amp;V1002&amp;" días en Submitted (máx. "&amp;CFG_MAXD&amp;")",""),"Falta fecha de envío"),IF(BF1002="Returned","⚠ Devuelto: corregir y reenviar",IF(BF1002="Recall Requested","Retirada solicitada: pendiente",IF(AND(BF1002="Approved",NOT(ISNUMBER(T1002))),"Falta fecha de aprobación",IF(AND(ISNUMBER(S1002),ISNUMBER(T1002),T1002&lt;S1002),"Aprobación anterior al envío","")))))))))</f>
        <v/>
      </c>
      <c r="Y1002" s="80">
        <f>IF(COUNTA(B1002,D1002,E1002,F1002,G1002,H1002,I1002,J1002,R1002,S1002,T1002)&gt;0,1,0)</f>
        <v>0</v>
      </c>
      <c r="Z1002" s="80" t="str">
        <f>IF(AND(ISNUMBER(H1002),H1002&gt;=0,H1002&lt;1),ROUND(H1002*1440,0),"")</f>
        <v/>
      </c>
      <c r="AA1002" s="80" t="str">
        <f>IF(AND(ISNUMBER(I1002),I1002&gt;=0,I1002&lt;1),ROUND(I1002*1440,0),"")</f>
        <v/>
      </c>
      <c r="AB1002" s="80">
        <f>IF(AND(ISNUMBER(B1002),D1002&lt;&gt;"",ISNUMBER(Z1002),ISNUMBER(AA1002)),IF(Z1002=AA1002,0,1),0)</f>
        <v>0</v>
      </c>
      <c r="AC1002" s="80">
        <f>IF(AB1002=1,IF(AA1002&lt;Z1002,1,0),0)</f>
        <v>0</v>
      </c>
      <c r="AD1002" s="80">
        <f>IF(AB1002=1,IF(AC1002=1,1440-Z1002+AA1002,AA1002-Z1002),0)</f>
        <v>0</v>
      </c>
      <c r="AE1002" s="80">
        <f>IF(J1002="",0,IF(ISNUMBER(J1002),J1002,-1))</f>
        <v>0</v>
      </c>
      <c r="AF1002" s="80">
        <f>MIN(MAX(0,AE1002),AD1002)</f>
        <v>0</v>
      </c>
      <c r="AG1002" s="80">
        <f>MAX(0,AD1002-MAX(0,AE1002))</f>
        <v>0</v>
      </c>
      <c r="AH1002" s="80">
        <f>IF(ISNUMBER(B1002),IF(AND(INDEX(CFG_WDAYS,WEEKDAY(INT(B1002),2))="Sí",IF(D1002="proMX",COUNTIFS(FER_F,INT(B1002),FER_NLP,"Sí"),COUNTIFS(FER_F,INT(B1002),FER_NLM,"Sí"))=0),1,0),0)</f>
        <v>0</v>
      </c>
      <c r="AI1002" s="80">
        <f>IF(AC1002=1,IF(AND(INDEX(CFG_WDAYS,WEEKDAY(INT(B1002)+1,2))="Sí",IF(D1002="proMX",COUNTIFS(FER_F,INT(B1002)+1,FER_NLP,"Sí"),COUNTIFS(FER_F,INT(B1002)+1,FER_NLM,"Sí"))=0),1,0),0)</f>
        <v>0</v>
      </c>
      <c r="AJ1002" s="80">
        <f>IF(AC1002=1,1440-Z1002,AD1002)</f>
        <v>0</v>
      </c>
      <c r="AK1002" s="80">
        <f>IF(AND(AB1002=1,AH1002=1),MAX(0,MIN(IF(AC1002=1,1440,AA1002),CFG_WEM)-MAX(Z1002,CFG_WSM)),0)</f>
        <v>0</v>
      </c>
      <c r="AL1002" s="80">
        <f>IF(AND(AC1002=1,AI1002=1),MAX(0,MIN(AA1002,CFG_WEM)-CFG_WSM),0)</f>
        <v>0</v>
      </c>
      <c r="AM1002" s="80">
        <f>AK1002+AL1002</f>
        <v>0</v>
      </c>
      <c r="AN1002" s="80">
        <f>IF(CFG_BRK="Proporcional",IF(AD1002=0,0,AF1002*AM1002/AD1002),IF(CFG_BRK="Extras primero",MIN(AM1002,MAX(0,AF1002-(AD1002-AM1002))),MIN(AF1002,AM1002)))</f>
        <v>0</v>
      </c>
      <c r="AO1002" s="80">
        <f>AF1002-AN1002</f>
        <v>0</v>
      </c>
      <c r="AP1002" s="80">
        <f>AM1002-AN1002</f>
        <v>0</v>
      </c>
      <c r="AQ1002" s="80">
        <f>AD1002-AM1002-AO1002</f>
        <v>0</v>
      </c>
      <c r="AR1002" s="80">
        <f>IF(AM1002=0,0,AK1002-AN1002*AK1002/AM1002)</f>
        <v>0</v>
      </c>
      <c r="AS1002" s="80">
        <f>IF(AD1002-AM1002=0,0,(AJ1002-AK1002)-AO1002*(AJ1002-AK1002)/(AD1002-AM1002))</f>
        <v>0</v>
      </c>
      <c r="AT1002" s="80" t="str">
        <f>IF(AC1002=1,INT(B1002)+1,"")</f>
        <v/>
      </c>
      <c r="AU1002" s="80">
        <f>IF(AND(D1002="proMX",R1002="Cancelled"),0,1)</f>
        <v>1</v>
      </c>
      <c r="AV1002" s="80">
        <f>IF(AND(AB1002=1,AU1002=1),IF(COUNTIFS($D$5:D1001,D1002,$B$5:B1001,B1002,$Z$5:Z1001,Z1002,$AA$5:AA1001,AA1002,$F$5:F1001,F1002&amp;"",$AU$5:AU1001,1)&gt;0,1,0),0)</f>
        <v>0</v>
      </c>
      <c r="AW1002" s="80" t="str">
        <f>IF(AB1002=1,INT(B1002)*1440+Z1002,"")</f>
        <v/>
      </c>
      <c r="AX1002" s="80" t="str">
        <f>IF(AB1002=1,AW1002+AD1002,"")</f>
        <v/>
      </c>
      <c r="AY1002" s="80">
        <f>IF(AND(AB1002=1,AV1002=0,AU1002=1),1,0)</f>
        <v>0</v>
      </c>
      <c r="AZ1002" s="80">
        <f>IF(AY1002=1,COUNTIFS(R_Emp,D1002,R_SAbs,"&lt;"&amp;AX1002,R_EAbs,"&gt;"&amp;AW1002,R_OKey,1)-1,0)</f>
        <v>0</v>
      </c>
      <c r="BA1002" s="80">
        <f>IF(AY1002=1,COUNTIFS(R_Emp,"&lt;&gt;"&amp;D1002,R_SAbs,"&lt;"&amp;AX1002,R_EAbs,"&gt;"&amp;AW1002,R_OKey,1),0)</f>
        <v>0</v>
      </c>
      <c r="BB1002" s="80">
        <f>IF(AND(AB1002=1,D1002="proMX"),IF(AND(MOD(Z1002,CFG_BLK)=0,MOD(AA1002,CFG_BLK)=0,MOD(AG1002,CFG_BLK)=0,AG1002&gt;0),1,0),1)</f>
        <v>1</v>
      </c>
      <c r="BC1002" s="80" t="str">
        <f>IF(Y1002=0,"",IF(NOT(ISNUMBER(B1002)),"Falta fecha o fecha inválida",IF(D1002="","Falta empresa",IF(AND(D1002&lt;&gt;"Malcolm",D1002&lt;&gt;"proMX"),"Empresa inválida",IF(OR(INT(B1002)&lt;CFG_PSTART,INT(B1002)&gt;CFG_PEND),"Fecha fuera del período",IF(OR(NOT(ISNUMBER(Z1002)),NOT(ISNUMBER(AA1002))),"Falta hora inicio/fin o formato inválido",IF(AB1002=0,"Hora inicio = hora fin",IF(AE1002&lt;0,"Descanso inválido",IF(AE1002&gt;=AD1002,"Descanso ≥ duración",IF(AV1002=1,"Registro duplicado",IF(AZ1002&gt;0,"Se superpone con otro registro "&amp;D1002,IF(BB1002=0,"inicio, fin y duración neta deben ser múltiplos de "&amp;CFG_BLK&amp;" min",""))))))))))))</f>
        <v/>
      </c>
      <c r="BD1002" s="80">
        <f>IF(AND(Y1002=1,BC1002=""),1,0)</f>
        <v>0</v>
      </c>
      <c r="BE1002" s="80">
        <f>IF(AND(BD1002=1,AU1002=1),1,0)</f>
        <v>0</v>
      </c>
      <c r="BF1002" s="80" t="str">
        <f>IF(AND(D1002="proMX",BD1002=1),IF(R1002="","Draft",R1002),"")</f>
        <v/>
      </c>
      <c r="BG1002" s="80">
        <f>IF(BD1002=1,ROUND(AG1002/60,6),0)</f>
        <v>0</v>
      </c>
      <c r="BH1002" s="80">
        <f>IF(BE1002=1,ROUND(AG1002/60,6),0)</f>
        <v>0</v>
      </c>
      <c r="BI1002" s="80">
        <f>IF(BE1002=1,ROUND(AP1002/60,6),0)</f>
        <v>0</v>
      </c>
      <c r="BJ1002" s="80">
        <f>IF(BE1002=1,ROUND(AQ1002/60,6),0)</f>
        <v>0</v>
      </c>
      <c r="BK1002" s="80">
        <f>IF(BE1002=1,ROUND((AR1002+AS1002)/60,6),0)</f>
        <v>0</v>
      </c>
      <c r="BL1002" s="80">
        <f>ROUND(BH1002-BK1002,6)</f>
        <v>0</v>
      </c>
      <c r="BM1002" s="80">
        <f>IF(BE1002=1,ROUND(AR1002/60,6),0)</f>
        <v>0</v>
      </c>
      <c r="BN1002" s="80">
        <f>ROUND(BI1002-BM1002,6)</f>
        <v>0</v>
      </c>
      <c r="BO1002" s="80">
        <f>IF(BE1002=1,ROUND(AS1002/60,6),0)</f>
        <v>0</v>
      </c>
      <c r="BP1002" s="80">
        <f>ROUND(BJ1002-BO1002,6)</f>
        <v>0</v>
      </c>
      <c r="BQ1002" s="80">
        <f>IF(BE1002=1,AW1002,0)</f>
        <v>0</v>
      </c>
      <c r="BR1002" s="80">
        <f>IF(BE1002=1,AX1002,0)</f>
        <v>0</v>
      </c>
      <c r="BS1002" s="80">
        <f>IF(AND(BE1002=1,D1002="Malcolm",BA1002&gt;0),MIN(BH1002,SUMPRODUCT((R_Emp="proMX")*(R_EN&gt;0)*((R_EN-(R_EN&gt;BR1002)*(R_EN-BR1002))&gt;(R_SN+(R_SN&lt;BQ1002)*(BQ1002-R_SN)))*((R_EN-(R_EN&gt;BR1002)*(R_EN-BR1002))-(R_SN+(R_SN&lt;BQ1002)*(BQ1002-R_SN))))/60),0)</f>
        <v>0</v>
      </c>
      <c r="BT1002" s="80">
        <f>IF(AND(BE1002=1,D1002="proMX"),ROUND(BI1002*CFG_RATE+BJ1002*CFG_OTRATE,6),0)</f>
        <v>0</v>
      </c>
      <c r="BU1002" s="80">
        <f>IF(AND(BD1002=1,D1002="proMX"),ROUND(AG1002/CFG_BLK,6),0)</f>
        <v>0</v>
      </c>
      <c r="BV1002" s="80" t="str">
        <f>IF(BF1002="Approved",IF(ISNUMBER(T1002),INT(T1002),INT(B1002)),"")</f>
        <v/>
      </c>
      <c r="BW1002" s="80">
        <f>IF(ISNUMBER(B1002),IF(DB_MON="Todos",1,IF(AND(INT(B1002)&gt;=DB_MS,INT(B1002)&lt;=DB_ME),1,0)),0)</f>
        <v>0</v>
      </c>
      <c r="BX1002" s="80">
        <f>IF(DB_PROJ="Todos",1,IF(E1002&amp;""=DB_PROJ&amp;"",1,0))</f>
        <v>1</v>
      </c>
      <c r="BY1002" s="80">
        <f>BW1002*BX1002</f>
        <v>0</v>
      </c>
      <c r="BZ1002" s="80" t="str">
        <f>IF(Y1002=1,F1002&amp;IF(AND(F1002&amp;""&lt;&gt;"",E1002&amp;""&lt;&gt;"")," · ","")&amp;E1002,"")</f>
        <v/>
      </c>
      <c r="CA1002" s="80" t="str">
        <f>IF(AND(BD1002=1,E1002&amp;""&lt;&gt;""),IF(COUNTIFS($E$5:E1001,E1002,$BD$5:BD1001,1)=0,MAX($CA$5:CA1001)+1,""),"")</f>
        <v/>
      </c>
      <c r="CB1002" s="80" t="str">
        <f>IF(AND(BE1002=1,D1002="Malcolm",E1002&amp;""&lt;&gt;""),IF(COUNTIFS($D$5:D1001,"Malcolm",$E$5:E1001,E1002,$BE$5:BE1001,1)=0,MAX($CB$5:CB1001)+1,""),"")</f>
        <v/>
      </c>
      <c r="CC1002" s="80" t="str">
        <f>IF(AND(BD1002=1,D1002="proMX",E1002&amp;""&lt;&gt;""),IF(COUNTIFS($D$5:D1001,"proMX",$E$5:E1001,E1002,$BD$5:BD1001,1)=0,MAX($CC$5:CC1001)+1,""),"")</f>
        <v/>
      </c>
      <c r="CD1002" s="80" t="str">
        <f>IF(AND(BE1002=1,D1002="Malcolm",F1002&amp;""&lt;&gt;""),IF(COUNTIFS($D$5:D1001,"Malcolm",$F$5:F1001,F1002,$BE$5:BE1001,1)=0,MAX($CD$5:CD1001)+1,""),"")</f>
        <v/>
      </c>
      <c r="CE1002" s="80" t="str">
        <f>IF(AND(BD1002=1,D1002="proMX",F1002&amp;""&lt;&gt;""),IF(COUNTIFS($D$5:D1001,"proMX",$F$5:F1001,F1002,$BD$5:BD1001,1)=0,MAX($CE$5:CE1001)+1,""),"")</f>
        <v/>
      </c>
      <c r="CF1002" s="80" t="str">
        <f>IF(AND(D1002="proMX",BD1002=1),IF(OR(BF1002="Draft",BF1002="Submitted",BF1002="Returned",BF1002="Recall Requested"),MAX($CF$5:CF1001)+1,""),"")</f>
        <v/>
      </c>
      <c r="CG1002" s="80">
        <f>IF(BD1002=0,0,IF(D1002="Malcolm",1,MATCH(BF1002,{"Draft","Submitted","Approved","Returned","Recall Requested","Cancelled"},0)+1))</f>
        <v>0</v>
      </c>
      <c r="CH1002" s="80">
        <f>IF(AND(BF1002="Submitted",ISNUMBER(V1002)),IF(V1002&gt;CFG_MAXD,1,0),0)</f>
        <v>0</v>
      </c>
    </row>
    <row r="1003">
      <c r="A1003" s="71" t="str">
        <f>IF(Y1003=1,ROW()-5,"")</f>
        <v/>
      </c>
      <c r="B1003" s="72" t="n"/>
      <c r="C1003" s="71" t="str">
        <f>IF(ISNUMBER(B1003),CHOOSE(WEEKDAY(B1003,2),"Lun","Mar","Mié","Jue","Vie","Sáb","Dom"),"")</f>
        <v/>
      </c>
      <c r="D1003" s="73" t="n"/>
      <c r="E1003" s="74" t="n"/>
      <c r="F1003" s="74" t="n"/>
      <c r="G1003" s="74" t="n"/>
      <c r="H1003" s="75" t="n"/>
      <c r="I1003" s="75" t="n"/>
      <c r="J1003" s="76" t="n"/>
      <c r="K1003" s="77" t="str">
        <f>IF(AB1003=1,ROUND(AG1003/60,4),"")</f>
        <v/>
      </c>
      <c r="L1003" s="77" t="str">
        <f>IF(BD1003=1,ROUND(AP1003/60,4),"")</f>
        <v/>
      </c>
      <c r="M1003" s="77" t="str">
        <f>IF(BD1003=1,ROUND(AQ1003/60,4),"")</f>
        <v/>
      </c>
      <c r="N1003" s="71" t="str">
        <f>IF(AND(D1003="proMX",AB1003=1),ROUND(AG1003/CFG_BLK,2),"")</f>
        <v/>
      </c>
      <c r="O1003" s="77" t="str">
        <f>IF(D1003="proMX",IF(BD1003=1,ROUND(AG1003/60,4),0),"")</f>
        <v/>
      </c>
      <c r="P1003" s="78" t="str">
        <f>IF(Y1003=0,"",IF(BD1003=1,"OK",IF(D1003="proMX","Revisar bloques: ","Revisar: ")&amp;BC1003))</f>
        <v/>
      </c>
      <c r="Q1003" s="78" t="str">
        <f>IF(NOT(ISNUMBER(B1003)),"",IF(COUNTIFS(FER_F,INT(B1003))&gt;0,"Feriado"&amp;IF(AH1003=1," (laborable)"," (no laborable)"),IF(AH1003=1,"Laborable",IF(WEEKDAY(B1003,2)&gt;5,"Fin de semana","No laborable"))))</f>
        <v/>
      </c>
      <c r="R1003" s="73" t="n"/>
      <c r="S1003" s="72" t="n"/>
      <c r="T1003" s="72" t="n"/>
      <c r="U1003" s="74" t="n"/>
      <c r="V1003" s="79" t="str">
        <f>IF(AND(D1003="proMX",OR(R1003="Submitted",R1003="Recall Requested"),ISNUMBER(S1003)),CFG_TODAY-INT(S1003),"")</f>
        <v/>
      </c>
      <c r="W1003" s="78" t="str">
        <f>IF(BD1003=0,"",IF(BA1003&gt;0,"⚠ Se superpone con un registro de la otra empresa",IF(D1003="Malcolm",IF(COUNTA(R1003,S1003,T1003)&gt;0,"Estado/fechas proMX se ignoran en Malcolm",""),IF(BF1003="Cancelled","Cancelado: excluido de totales",IF(R1003="","Sin estado: se trata como Draft",IF(BF1003="Submitted",IF(ISNUMBER(V1003),IF(V1003&gt;CFG_MAXD,"⚠ "&amp;V1003&amp;" días en Submitted (máx. "&amp;CFG_MAXD&amp;")",""),"Falta fecha de envío"),IF(BF1003="Returned","⚠ Devuelto: corregir y reenviar",IF(BF1003="Recall Requested","Retirada solicitada: pendiente",IF(AND(BF1003="Approved",NOT(ISNUMBER(T1003))),"Falta fecha de aprobación",IF(AND(ISNUMBER(S1003),ISNUMBER(T1003),T1003&lt;S1003),"Aprobación anterior al envío","")))))))))</f>
        <v/>
      </c>
      <c r="Y1003" s="80">
        <f>IF(COUNTA(B1003,D1003,E1003,F1003,G1003,H1003,I1003,J1003,R1003,S1003,T1003)&gt;0,1,0)</f>
        <v>0</v>
      </c>
      <c r="Z1003" s="80" t="str">
        <f>IF(AND(ISNUMBER(H1003),H1003&gt;=0,H1003&lt;1),ROUND(H1003*1440,0),"")</f>
        <v/>
      </c>
      <c r="AA1003" s="80" t="str">
        <f>IF(AND(ISNUMBER(I1003),I1003&gt;=0,I1003&lt;1),ROUND(I1003*1440,0),"")</f>
        <v/>
      </c>
      <c r="AB1003" s="80">
        <f>IF(AND(ISNUMBER(B1003),D1003&lt;&gt;"",ISNUMBER(Z1003),ISNUMBER(AA1003)),IF(Z1003=AA1003,0,1),0)</f>
        <v>0</v>
      </c>
      <c r="AC1003" s="80">
        <f>IF(AB1003=1,IF(AA1003&lt;Z1003,1,0),0)</f>
        <v>0</v>
      </c>
      <c r="AD1003" s="80">
        <f>IF(AB1003=1,IF(AC1003=1,1440-Z1003+AA1003,AA1003-Z1003),0)</f>
        <v>0</v>
      </c>
      <c r="AE1003" s="80">
        <f>IF(J1003="",0,IF(ISNUMBER(J1003),J1003,-1))</f>
        <v>0</v>
      </c>
      <c r="AF1003" s="80">
        <f>MIN(MAX(0,AE1003),AD1003)</f>
        <v>0</v>
      </c>
      <c r="AG1003" s="80">
        <f>MAX(0,AD1003-MAX(0,AE1003))</f>
        <v>0</v>
      </c>
      <c r="AH1003" s="80">
        <f>IF(ISNUMBER(B1003),IF(AND(INDEX(CFG_WDAYS,WEEKDAY(INT(B1003),2))="Sí",IF(D1003="proMX",COUNTIFS(FER_F,INT(B1003),FER_NLP,"Sí"),COUNTIFS(FER_F,INT(B1003),FER_NLM,"Sí"))=0),1,0),0)</f>
        <v>0</v>
      </c>
      <c r="AI1003" s="80">
        <f>IF(AC1003=1,IF(AND(INDEX(CFG_WDAYS,WEEKDAY(INT(B1003)+1,2))="Sí",IF(D1003="proMX",COUNTIFS(FER_F,INT(B1003)+1,FER_NLP,"Sí"),COUNTIFS(FER_F,INT(B1003)+1,FER_NLM,"Sí"))=0),1,0),0)</f>
        <v>0</v>
      </c>
      <c r="AJ1003" s="80">
        <f>IF(AC1003=1,1440-Z1003,AD1003)</f>
        <v>0</v>
      </c>
      <c r="AK1003" s="80">
        <f>IF(AND(AB1003=1,AH1003=1),MAX(0,MIN(IF(AC1003=1,1440,AA1003),CFG_WEM)-MAX(Z1003,CFG_WSM)),0)</f>
        <v>0</v>
      </c>
      <c r="AL1003" s="80">
        <f>IF(AND(AC1003=1,AI1003=1),MAX(0,MIN(AA1003,CFG_WEM)-CFG_WSM),0)</f>
        <v>0</v>
      </c>
      <c r="AM1003" s="80">
        <f>AK1003+AL1003</f>
        <v>0</v>
      </c>
      <c r="AN1003" s="80">
        <f>IF(CFG_BRK="Proporcional",IF(AD1003=0,0,AF1003*AM1003/AD1003),IF(CFG_BRK="Extras primero",MIN(AM1003,MAX(0,AF1003-(AD1003-AM1003))),MIN(AF1003,AM1003)))</f>
        <v>0</v>
      </c>
      <c r="AO1003" s="80">
        <f>AF1003-AN1003</f>
        <v>0</v>
      </c>
      <c r="AP1003" s="80">
        <f>AM1003-AN1003</f>
        <v>0</v>
      </c>
      <c r="AQ1003" s="80">
        <f>AD1003-AM1003-AO1003</f>
        <v>0</v>
      </c>
      <c r="AR1003" s="80">
        <f>IF(AM1003=0,0,AK1003-AN1003*AK1003/AM1003)</f>
        <v>0</v>
      </c>
      <c r="AS1003" s="80">
        <f>IF(AD1003-AM1003=0,0,(AJ1003-AK1003)-AO1003*(AJ1003-AK1003)/(AD1003-AM1003))</f>
        <v>0</v>
      </c>
      <c r="AT1003" s="80" t="str">
        <f>IF(AC1003=1,INT(B1003)+1,"")</f>
        <v/>
      </c>
      <c r="AU1003" s="80">
        <f>IF(AND(D1003="proMX",R1003="Cancelled"),0,1)</f>
        <v>1</v>
      </c>
      <c r="AV1003" s="80">
        <f>IF(AND(AB1003=1,AU1003=1),IF(COUNTIFS($D$5:D1002,D1003,$B$5:B1002,B1003,$Z$5:Z1002,Z1003,$AA$5:AA1002,AA1003,$F$5:F1002,F1003&amp;"",$AU$5:AU1002,1)&gt;0,1,0),0)</f>
        <v>0</v>
      </c>
      <c r="AW1003" s="80" t="str">
        <f>IF(AB1003=1,INT(B1003)*1440+Z1003,"")</f>
        <v/>
      </c>
      <c r="AX1003" s="80" t="str">
        <f>IF(AB1003=1,AW1003+AD1003,"")</f>
        <v/>
      </c>
      <c r="AY1003" s="80">
        <f>IF(AND(AB1003=1,AV1003=0,AU1003=1),1,0)</f>
        <v>0</v>
      </c>
      <c r="AZ1003" s="80">
        <f>IF(AY1003=1,COUNTIFS(R_Emp,D1003,R_SAbs,"&lt;"&amp;AX1003,R_EAbs,"&gt;"&amp;AW1003,R_OKey,1)-1,0)</f>
        <v>0</v>
      </c>
      <c r="BA1003" s="80">
        <f>IF(AY1003=1,COUNTIFS(R_Emp,"&lt;&gt;"&amp;D1003,R_SAbs,"&lt;"&amp;AX1003,R_EAbs,"&gt;"&amp;AW1003,R_OKey,1),0)</f>
        <v>0</v>
      </c>
      <c r="BB1003" s="80">
        <f>IF(AND(AB1003=1,D1003="proMX"),IF(AND(MOD(Z1003,CFG_BLK)=0,MOD(AA1003,CFG_BLK)=0,MOD(AG1003,CFG_BLK)=0,AG1003&gt;0),1,0),1)</f>
        <v>1</v>
      </c>
      <c r="BC1003" s="80" t="str">
        <f>IF(Y1003=0,"",IF(NOT(ISNUMBER(B1003)),"Falta fecha o fecha inválida",IF(D1003="","Falta empresa",IF(AND(D1003&lt;&gt;"Malcolm",D1003&lt;&gt;"proMX"),"Empresa inválida",IF(OR(INT(B1003)&lt;CFG_PSTART,INT(B1003)&gt;CFG_PEND),"Fecha fuera del período",IF(OR(NOT(ISNUMBER(Z1003)),NOT(ISNUMBER(AA1003))),"Falta hora inicio/fin o formato inválido",IF(AB1003=0,"Hora inicio = hora fin",IF(AE1003&lt;0,"Descanso inválido",IF(AE1003&gt;=AD1003,"Descanso ≥ duración",IF(AV1003=1,"Registro duplicado",IF(AZ1003&gt;0,"Se superpone con otro registro "&amp;D1003,IF(BB1003=0,"inicio, fin y duración neta deben ser múltiplos de "&amp;CFG_BLK&amp;" min",""))))))))))))</f>
        <v/>
      </c>
      <c r="BD1003" s="80">
        <f>IF(AND(Y1003=1,BC1003=""),1,0)</f>
        <v>0</v>
      </c>
      <c r="BE1003" s="80">
        <f>IF(AND(BD1003=1,AU1003=1),1,0)</f>
        <v>0</v>
      </c>
      <c r="BF1003" s="80" t="str">
        <f>IF(AND(D1003="proMX",BD1003=1),IF(R1003="","Draft",R1003),"")</f>
        <v/>
      </c>
      <c r="BG1003" s="80">
        <f>IF(BD1003=1,ROUND(AG1003/60,6),0)</f>
        <v>0</v>
      </c>
      <c r="BH1003" s="80">
        <f>IF(BE1003=1,ROUND(AG1003/60,6),0)</f>
        <v>0</v>
      </c>
      <c r="BI1003" s="80">
        <f>IF(BE1003=1,ROUND(AP1003/60,6),0)</f>
        <v>0</v>
      </c>
      <c r="BJ1003" s="80">
        <f>IF(BE1003=1,ROUND(AQ1003/60,6),0)</f>
        <v>0</v>
      </c>
      <c r="BK1003" s="80">
        <f>IF(BE1003=1,ROUND((AR1003+AS1003)/60,6),0)</f>
        <v>0</v>
      </c>
      <c r="BL1003" s="80">
        <f>ROUND(BH1003-BK1003,6)</f>
        <v>0</v>
      </c>
      <c r="BM1003" s="80">
        <f>IF(BE1003=1,ROUND(AR1003/60,6),0)</f>
        <v>0</v>
      </c>
      <c r="BN1003" s="80">
        <f>ROUND(BI1003-BM1003,6)</f>
        <v>0</v>
      </c>
      <c r="BO1003" s="80">
        <f>IF(BE1003=1,ROUND(AS1003/60,6),0)</f>
        <v>0</v>
      </c>
      <c r="BP1003" s="80">
        <f>ROUND(BJ1003-BO1003,6)</f>
        <v>0</v>
      </c>
      <c r="BQ1003" s="80">
        <f>IF(BE1003=1,AW1003,0)</f>
        <v>0</v>
      </c>
      <c r="BR1003" s="80">
        <f>IF(BE1003=1,AX1003,0)</f>
        <v>0</v>
      </c>
      <c r="BS1003" s="80">
        <f>IF(AND(BE1003=1,D1003="Malcolm",BA1003&gt;0),MIN(BH1003,SUMPRODUCT((R_Emp="proMX")*(R_EN&gt;0)*((R_EN-(R_EN&gt;BR1003)*(R_EN-BR1003))&gt;(R_SN+(R_SN&lt;BQ1003)*(BQ1003-R_SN)))*((R_EN-(R_EN&gt;BR1003)*(R_EN-BR1003))-(R_SN+(R_SN&lt;BQ1003)*(BQ1003-R_SN))))/60),0)</f>
        <v>0</v>
      </c>
      <c r="BT1003" s="80">
        <f>IF(AND(BE1003=1,D1003="proMX"),ROUND(BI1003*CFG_RATE+BJ1003*CFG_OTRATE,6),0)</f>
        <v>0</v>
      </c>
      <c r="BU1003" s="80">
        <f>IF(AND(BD1003=1,D1003="proMX"),ROUND(AG1003/CFG_BLK,6),0)</f>
        <v>0</v>
      </c>
      <c r="BV1003" s="80" t="str">
        <f>IF(BF1003="Approved",IF(ISNUMBER(T1003),INT(T1003),INT(B1003)),"")</f>
        <v/>
      </c>
      <c r="BW1003" s="80">
        <f>IF(ISNUMBER(B1003),IF(DB_MON="Todos",1,IF(AND(INT(B1003)&gt;=DB_MS,INT(B1003)&lt;=DB_ME),1,0)),0)</f>
        <v>0</v>
      </c>
      <c r="BX1003" s="80">
        <f>IF(DB_PROJ="Todos",1,IF(E1003&amp;""=DB_PROJ&amp;"",1,0))</f>
        <v>1</v>
      </c>
      <c r="BY1003" s="80">
        <f>BW1003*BX1003</f>
        <v>0</v>
      </c>
      <c r="BZ1003" s="80" t="str">
        <f>IF(Y1003=1,F1003&amp;IF(AND(F1003&amp;""&lt;&gt;"",E1003&amp;""&lt;&gt;"")," · ","")&amp;E1003,"")</f>
        <v/>
      </c>
      <c r="CA1003" s="80" t="str">
        <f>IF(AND(BD1003=1,E1003&amp;""&lt;&gt;""),IF(COUNTIFS($E$5:E1002,E1003,$BD$5:BD1002,1)=0,MAX($CA$5:CA1002)+1,""),"")</f>
        <v/>
      </c>
      <c r="CB1003" s="80" t="str">
        <f>IF(AND(BE1003=1,D1003="Malcolm",E1003&amp;""&lt;&gt;""),IF(COUNTIFS($D$5:D1002,"Malcolm",$E$5:E1002,E1003,$BE$5:BE1002,1)=0,MAX($CB$5:CB1002)+1,""),"")</f>
        <v/>
      </c>
      <c r="CC1003" s="80" t="str">
        <f>IF(AND(BD1003=1,D1003="proMX",E1003&amp;""&lt;&gt;""),IF(COUNTIFS($D$5:D1002,"proMX",$E$5:E1002,E1003,$BD$5:BD1002,1)=0,MAX($CC$5:CC1002)+1,""),"")</f>
        <v/>
      </c>
      <c r="CD1003" s="80" t="str">
        <f>IF(AND(BE1003=1,D1003="Malcolm",F1003&amp;""&lt;&gt;""),IF(COUNTIFS($D$5:D1002,"Malcolm",$F$5:F1002,F1003,$BE$5:BE1002,1)=0,MAX($CD$5:CD1002)+1,""),"")</f>
        <v/>
      </c>
      <c r="CE1003" s="80" t="str">
        <f>IF(AND(BD1003=1,D1003="proMX",F1003&amp;""&lt;&gt;""),IF(COUNTIFS($D$5:D1002,"proMX",$F$5:F1002,F1003,$BD$5:BD1002,1)=0,MAX($CE$5:CE1002)+1,""),"")</f>
        <v/>
      </c>
      <c r="CF1003" s="80" t="str">
        <f>IF(AND(D1003="proMX",BD1003=1),IF(OR(BF1003="Draft",BF1003="Submitted",BF1003="Returned",BF1003="Recall Requested"),MAX($CF$5:CF1002)+1,""),"")</f>
        <v/>
      </c>
      <c r="CG1003" s="80">
        <f>IF(BD1003=0,0,IF(D1003="Malcolm",1,MATCH(BF1003,{"Draft","Submitted","Approved","Returned","Recall Requested","Cancelled"},0)+1))</f>
        <v>0</v>
      </c>
      <c r="CH1003" s="80">
        <f>IF(AND(BF1003="Submitted",ISNUMBER(V1003)),IF(V1003&gt;CFG_MAXD,1,0),0)</f>
        <v>0</v>
      </c>
    </row>
    <row r="1004">
      <c r="A1004" s="71" t="str">
        <f>IF(Y1004=1,ROW()-5,"")</f>
        <v/>
      </c>
      <c r="B1004" s="72" t="n"/>
      <c r="C1004" s="71" t="str">
        <f>IF(ISNUMBER(B1004),CHOOSE(WEEKDAY(B1004,2),"Lun","Mar","Mié","Jue","Vie","Sáb","Dom"),"")</f>
        <v/>
      </c>
      <c r="D1004" s="73" t="n"/>
      <c r="E1004" s="74" t="n"/>
      <c r="F1004" s="74" t="n"/>
      <c r="G1004" s="74" t="n"/>
      <c r="H1004" s="75" t="n"/>
      <c r="I1004" s="75" t="n"/>
      <c r="J1004" s="76" t="n"/>
      <c r="K1004" s="77" t="str">
        <f>IF(AB1004=1,ROUND(AG1004/60,4),"")</f>
        <v/>
      </c>
      <c r="L1004" s="77" t="str">
        <f>IF(BD1004=1,ROUND(AP1004/60,4),"")</f>
        <v/>
      </c>
      <c r="M1004" s="77" t="str">
        <f>IF(BD1004=1,ROUND(AQ1004/60,4),"")</f>
        <v/>
      </c>
      <c r="N1004" s="71" t="str">
        <f>IF(AND(D1004="proMX",AB1004=1),ROUND(AG1004/CFG_BLK,2),"")</f>
        <v/>
      </c>
      <c r="O1004" s="77" t="str">
        <f>IF(D1004="proMX",IF(BD1004=1,ROUND(AG1004/60,4),0),"")</f>
        <v/>
      </c>
      <c r="P1004" s="78" t="str">
        <f>IF(Y1004=0,"",IF(BD1004=1,"OK",IF(D1004="proMX","Revisar bloques: ","Revisar: ")&amp;BC1004))</f>
        <v/>
      </c>
      <c r="Q1004" s="78" t="str">
        <f>IF(NOT(ISNUMBER(B1004)),"",IF(COUNTIFS(FER_F,INT(B1004))&gt;0,"Feriado"&amp;IF(AH1004=1," (laborable)"," (no laborable)"),IF(AH1004=1,"Laborable",IF(WEEKDAY(B1004,2)&gt;5,"Fin de semana","No laborable"))))</f>
        <v/>
      </c>
      <c r="R1004" s="73" t="n"/>
      <c r="S1004" s="72" t="n"/>
      <c r="T1004" s="72" t="n"/>
      <c r="U1004" s="74" t="n"/>
      <c r="V1004" s="79" t="str">
        <f>IF(AND(D1004="proMX",OR(R1004="Submitted",R1004="Recall Requested"),ISNUMBER(S1004)),CFG_TODAY-INT(S1004),"")</f>
        <v/>
      </c>
      <c r="W1004" s="78" t="str">
        <f>IF(BD1004=0,"",IF(BA1004&gt;0,"⚠ Se superpone con un registro de la otra empresa",IF(D1004="Malcolm",IF(COUNTA(R1004,S1004,T1004)&gt;0,"Estado/fechas proMX se ignoran en Malcolm",""),IF(BF1004="Cancelled","Cancelado: excluido de totales",IF(R1004="","Sin estado: se trata como Draft",IF(BF1004="Submitted",IF(ISNUMBER(V1004),IF(V1004&gt;CFG_MAXD,"⚠ "&amp;V1004&amp;" días en Submitted (máx. "&amp;CFG_MAXD&amp;")",""),"Falta fecha de envío"),IF(BF1004="Returned","⚠ Devuelto: corregir y reenviar",IF(BF1004="Recall Requested","Retirada solicitada: pendiente",IF(AND(BF1004="Approved",NOT(ISNUMBER(T1004))),"Falta fecha de aprobación",IF(AND(ISNUMBER(S1004),ISNUMBER(T1004),T1004&lt;S1004),"Aprobación anterior al envío","")))))))))</f>
        <v/>
      </c>
      <c r="Y1004" s="80">
        <f>IF(COUNTA(B1004,D1004,E1004,F1004,G1004,H1004,I1004,J1004,R1004,S1004,T1004)&gt;0,1,0)</f>
        <v>0</v>
      </c>
      <c r="Z1004" s="80" t="str">
        <f>IF(AND(ISNUMBER(H1004),H1004&gt;=0,H1004&lt;1),ROUND(H1004*1440,0),"")</f>
        <v/>
      </c>
      <c r="AA1004" s="80" t="str">
        <f>IF(AND(ISNUMBER(I1004),I1004&gt;=0,I1004&lt;1),ROUND(I1004*1440,0),"")</f>
        <v/>
      </c>
      <c r="AB1004" s="80">
        <f>IF(AND(ISNUMBER(B1004),D1004&lt;&gt;"",ISNUMBER(Z1004),ISNUMBER(AA1004)),IF(Z1004=AA1004,0,1),0)</f>
        <v>0</v>
      </c>
      <c r="AC1004" s="80">
        <f>IF(AB1004=1,IF(AA1004&lt;Z1004,1,0),0)</f>
        <v>0</v>
      </c>
      <c r="AD1004" s="80">
        <f>IF(AB1004=1,IF(AC1004=1,1440-Z1004+AA1004,AA1004-Z1004),0)</f>
        <v>0</v>
      </c>
      <c r="AE1004" s="80">
        <f>IF(J1004="",0,IF(ISNUMBER(J1004),J1004,-1))</f>
        <v>0</v>
      </c>
      <c r="AF1004" s="80">
        <f>MIN(MAX(0,AE1004),AD1004)</f>
        <v>0</v>
      </c>
      <c r="AG1004" s="80">
        <f>MAX(0,AD1004-MAX(0,AE1004))</f>
        <v>0</v>
      </c>
      <c r="AH1004" s="80">
        <f>IF(ISNUMBER(B1004),IF(AND(INDEX(CFG_WDAYS,WEEKDAY(INT(B1004),2))="Sí",IF(D1004="proMX",COUNTIFS(FER_F,INT(B1004),FER_NLP,"Sí"),COUNTIFS(FER_F,INT(B1004),FER_NLM,"Sí"))=0),1,0),0)</f>
        <v>0</v>
      </c>
      <c r="AI1004" s="80">
        <f>IF(AC1004=1,IF(AND(INDEX(CFG_WDAYS,WEEKDAY(INT(B1004)+1,2))="Sí",IF(D1004="proMX",COUNTIFS(FER_F,INT(B1004)+1,FER_NLP,"Sí"),COUNTIFS(FER_F,INT(B1004)+1,FER_NLM,"Sí"))=0),1,0),0)</f>
        <v>0</v>
      </c>
      <c r="AJ1004" s="80">
        <f>IF(AC1004=1,1440-Z1004,AD1004)</f>
        <v>0</v>
      </c>
      <c r="AK1004" s="80">
        <f>IF(AND(AB1004=1,AH1004=1),MAX(0,MIN(IF(AC1004=1,1440,AA1004),CFG_WEM)-MAX(Z1004,CFG_WSM)),0)</f>
        <v>0</v>
      </c>
      <c r="AL1004" s="80">
        <f>IF(AND(AC1004=1,AI1004=1),MAX(0,MIN(AA1004,CFG_WEM)-CFG_WSM),0)</f>
        <v>0</v>
      </c>
      <c r="AM1004" s="80">
        <f>AK1004+AL1004</f>
        <v>0</v>
      </c>
      <c r="AN1004" s="80">
        <f>IF(CFG_BRK="Proporcional",IF(AD1004=0,0,AF1004*AM1004/AD1004),IF(CFG_BRK="Extras primero",MIN(AM1004,MAX(0,AF1004-(AD1004-AM1004))),MIN(AF1004,AM1004)))</f>
        <v>0</v>
      </c>
      <c r="AO1004" s="80">
        <f>AF1004-AN1004</f>
        <v>0</v>
      </c>
      <c r="AP1004" s="80">
        <f>AM1004-AN1004</f>
        <v>0</v>
      </c>
      <c r="AQ1004" s="80">
        <f>AD1004-AM1004-AO1004</f>
        <v>0</v>
      </c>
      <c r="AR1004" s="80">
        <f>IF(AM1004=0,0,AK1004-AN1004*AK1004/AM1004)</f>
        <v>0</v>
      </c>
      <c r="AS1004" s="80">
        <f>IF(AD1004-AM1004=0,0,(AJ1004-AK1004)-AO1004*(AJ1004-AK1004)/(AD1004-AM1004))</f>
        <v>0</v>
      </c>
      <c r="AT1004" s="80" t="str">
        <f>IF(AC1004=1,INT(B1004)+1,"")</f>
        <v/>
      </c>
      <c r="AU1004" s="80">
        <f>IF(AND(D1004="proMX",R1004="Cancelled"),0,1)</f>
        <v>1</v>
      </c>
      <c r="AV1004" s="80">
        <f>IF(AND(AB1004=1,AU1004=1),IF(COUNTIFS($D$5:D1003,D1004,$B$5:B1003,B1004,$Z$5:Z1003,Z1004,$AA$5:AA1003,AA1004,$F$5:F1003,F1004&amp;"",$AU$5:AU1003,1)&gt;0,1,0),0)</f>
        <v>0</v>
      </c>
      <c r="AW1004" s="80" t="str">
        <f>IF(AB1004=1,INT(B1004)*1440+Z1004,"")</f>
        <v/>
      </c>
      <c r="AX1004" s="80" t="str">
        <f>IF(AB1004=1,AW1004+AD1004,"")</f>
        <v/>
      </c>
      <c r="AY1004" s="80">
        <f>IF(AND(AB1004=1,AV1004=0,AU1004=1),1,0)</f>
        <v>0</v>
      </c>
      <c r="AZ1004" s="80">
        <f>IF(AY1004=1,COUNTIFS(R_Emp,D1004,R_SAbs,"&lt;"&amp;AX1004,R_EAbs,"&gt;"&amp;AW1004,R_OKey,1)-1,0)</f>
        <v>0</v>
      </c>
      <c r="BA1004" s="80">
        <f>IF(AY1004=1,COUNTIFS(R_Emp,"&lt;&gt;"&amp;D1004,R_SAbs,"&lt;"&amp;AX1004,R_EAbs,"&gt;"&amp;AW1004,R_OKey,1),0)</f>
        <v>0</v>
      </c>
      <c r="BB1004" s="80">
        <f>IF(AND(AB1004=1,D1004="proMX"),IF(AND(MOD(Z1004,CFG_BLK)=0,MOD(AA1004,CFG_BLK)=0,MOD(AG1004,CFG_BLK)=0,AG1004&gt;0),1,0),1)</f>
        <v>1</v>
      </c>
      <c r="BC1004" s="80" t="str">
        <f>IF(Y1004=0,"",IF(NOT(ISNUMBER(B1004)),"Falta fecha o fecha inválida",IF(D1004="","Falta empresa",IF(AND(D1004&lt;&gt;"Malcolm",D1004&lt;&gt;"proMX"),"Empresa inválida",IF(OR(INT(B1004)&lt;CFG_PSTART,INT(B1004)&gt;CFG_PEND),"Fecha fuera del período",IF(OR(NOT(ISNUMBER(Z1004)),NOT(ISNUMBER(AA1004))),"Falta hora inicio/fin o formato inválido",IF(AB1004=0,"Hora inicio = hora fin",IF(AE1004&lt;0,"Descanso inválido",IF(AE1004&gt;=AD1004,"Descanso ≥ duración",IF(AV1004=1,"Registro duplicado",IF(AZ1004&gt;0,"Se superpone con otro registro "&amp;D1004,IF(BB1004=0,"inicio, fin y duración neta deben ser múltiplos de "&amp;CFG_BLK&amp;" min",""))))))))))))</f>
        <v/>
      </c>
      <c r="BD1004" s="80">
        <f>IF(AND(Y1004=1,BC1004=""),1,0)</f>
        <v>0</v>
      </c>
      <c r="BE1004" s="80">
        <f>IF(AND(BD1004=1,AU1004=1),1,0)</f>
        <v>0</v>
      </c>
      <c r="BF1004" s="80" t="str">
        <f>IF(AND(D1004="proMX",BD1004=1),IF(R1004="","Draft",R1004),"")</f>
        <v/>
      </c>
      <c r="BG1004" s="80">
        <f>IF(BD1004=1,ROUND(AG1004/60,6),0)</f>
        <v>0</v>
      </c>
      <c r="BH1004" s="80">
        <f>IF(BE1004=1,ROUND(AG1004/60,6),0)</f>
        <v>0</v>
      </c>
      <c r="BI1004" s="80">
        <f>IF(BE1004=1,ROUND(AP1004/60,6),0)</f>
        <v>0</v>
      </c>
      <c r="BJ1004" s="80">
        <f>IF(BE1004=1,ROUND(AQ1004/60,6),0)</f>
        <v>0</v>
      </c>
      <c r="BK1004" s="80">
        <f>IF(BE1004=1,ROUND((AR1004+AS1004)/60,6),0)</f>
        <v>0</v>
      </c>
      <c r="BL1004" s="80">
        <f>ROUND(BH1004-BK1004,6)</f>
        <v>0</v>
      </c>
      <c r="BM1004" s="80">
        <f>IF(BE1004=1,ROUND(AR1004/60,6),0)</f>
        <v>0</v>
      </c>
      <c r="BN1004" s="80">
        <f>ROUND(BI1004-BM1004,6)</f>
        <v>0</v>
      </c>
      <c r="BO1004" s="80">
        <f>IF(BE1004=1,ROUND(AS1004/60,6),0)</f>
        <v>0</v>
      </c>
      <c r="BP1004" s="80">
        <f>ROUND(BJ1004-BO1004,6)</f>
        <v>0</v>
      </c>
      <c r="BQ1004" s="80">
        <f>IF(BE1004=1,AW1004,0)</f>
        <v>0</v>
      </c>
      <c r="BR1004" s="80">
        <f>IF(BE1004=1,AX1004,0)</f>
        <v>0</v>
      </c>
      <c r="BS1004" s="80">
        <f>IF(AND(BE1004=1,D1004="Malcolm",BA1004&gt;0),MIN(BH1004,SUMPRODUCT((R_Emp="proMX")*(R_EN&gt;0)*((R_EN-(R_EN&gt;BR1004)*(R_EN-BR1004))&gt;(R_SN+(R_SN&lt;BQ1004)*(BQ1004-R_SN)))*((R_EN-(R_EN&gt;BR1004)*(R_EN-BR1004))-(R_SN+(R_SN&lt;BQ1004)*(BQ1004-R_SN))))/60),0)</f>
        <v>0</v>
      </c>
      <c r="BT1004" s="80">
        <f>IF(AND(BE1004=1,D1004="proMX"),ROUND(BI1004*CFG_RATE+BJ1004*CFG_OTRATE,6),0)</f>
        <v>0</v>
      </c>
      <c r="BU1004" s="80">
        <f>IF(AND(BD1004=1,D1004="proMX"),ROUND(AG1004/CFG_BLK,6),0)</f>
        <v>0</v>
      </c>
      <c r="BV1004" s="80" t="str">
        <f>IF(BF1004="Approved",IF(ISNUMBER(T1004),INT(T1004),INT(B1004)),"")</f>
        <v/>
      </c>
      <c r="BW1004" s="80">
        <f>IF(ISNUMBER(B1004),IF(DB_MON="Todos",1,IF(AND(INT(B1004)&gt;=DB_MS,INT(B1004)&lt;=DB_ME),1,0)),0)</f>
        <v>0</v>
      </c>
      <c r="BX1004" s="80">
        <f>IF(DB_PROJ="Todos",1,IF(E1004&amp;""=DB_PROJ&amp;"",1,0))</f>
        <v>1</v>
      </c>
      <c r="BY1004" s="80">
        <f>BW1004*BX1004</f>
        <v>0</v>
      </c>
      <c r="BZ1004" s="80" t="str">
        <f>IF(Y1004=1,F1004&amp;IF(AND(F1004&amp;""&lt;&gt;"",E1004&amp;""&lt;&gt;"")," · ","")&amp;E1004,"")</f>
        <v/>
      </c>
      <c r="CA1004" s="80" t="str">
        <f>IF(AND(BD1004=1,E1004&amp;""&lt;&gt;""),IF(COUNTIFS($E$5:E1003,E1004,$BD$5:BD1003,1)=0,MAX($CA$5:CA1003)+1,""),"")</f>
        <v/>
      </c>
      <c r="CB1004" s="80" t="str">
        <f>IF(AND(BE1004=1,D1004="Malcolm",E1004&amp;""&lt;&gt;""),IF(COUNTIFS($D$5:D1003,"Malcolm",$E$5:E1003,E1004,$BE$5:BE1003,1)=0,MAX($CB$5:CB1003)+1,""),"")</f>
        <v/>
      </c>
      <c r="CC1004" s="80" t="str">
        <f>IF(AND(BD1004=1,D1004="proMX",E1004&amp;""&lt;&gt;""),IF(COUNTIFS($D$5:D1003,"proMX",$E$5:E1003,E1004,$BD$5:BD1003,1)=0,MAX($CC$5:CC1003)+1,""),"")</f>
        <v/>
      </c>
      <c r="CD1004" s="80" t="str">
        <f>IF(AND(BE1004=1,D1004="Malcolm",F1004&amp;""&lt;&gt;""),IF(COUNTIFS($D$5:D1003,"Malcolm",$F$5:F1003,F1004,$BE$5:BE1003,1)=0,MAX($CD$5:CD1003)+1,""),"")</f>
        <v/>
      </c>
      <c r="CE1004" s="80" t="str">
        <f>IF(AND(BD1004=1,D1004="proMX",F1004&amp;""&lt;&gt;""),IF(COUNTIFS($D$5:D1003,"proMX",$F$5:F1003,F1004,$BD$5:BD1003,1)=0,MAX($CE$5:CE1003)+1,""),"")</f>
        <v/>
      </c>
      <c r="CF1004" s="80" t="str">
        <f>IF(AND(D1004="proMX",BD1004=1),IF(OR(BF1004="Draft",BF1004="Submitted",BF1004="Returned",BF1004="Recall Requested"),MAX($CF$5:CF1003)+1,""),"")</f>
        <v/>
      </c>
      <c r="CG1004" s="80">
        <f>IF(BD1004=0,0,IF(D1004="Malcolm",1,MATCH(BF1004,{"Draft","Submitted","Approved","Returned","Recall Requested","Cancelled"},0)+1))</f>
        <v>0</v>
      </c>
      <c r="CH1004" s="80">
        <f>IF(AND(BF1004="Submitted",ISNUMBER(V1004)),IF(V1004&gt;CFG_MAXD,1,0),0)</f>
        <v>0</v>
      </c>
    </row>
    <row r="1005">
      <c r="A1005" s="71" t="str">
        <f>IF(Y1005=1,ROW()-5,"")</f>
        <v/>
      </c>
      <c r="B1005" s="72" t="n"/>
      <c r="C1005" s="71" t="str">
        <f>IF(ISNUMBER(B1005),CHOOSE(WEEKDAY(B1005,2),"Lun","Mar","Mié","Jue","Vie","Sáb","Dom"),"")</f>
        <v/>
      </c>
      <c r="D1005" s="73" t="n"/>
      <c r="E1005" s="74" t="n"/>
      <c r="F1005" s="74" t="n"/>
      <c r="G1005" s="74" t="n"/>
      <c r="H1005" s="75" t="n"/>
      <c r="I1005" s="75" t="n"/>
      <c r="J1005" s="76" t="n"/>
      <c r="K1005" s="77" t="str">
        <f>IF(AB1005=1,ROUND(AG1005/60,4),"")</f>
        <v/>
      </c>
      <c r="L1005" s="77" t="str">
        <f>IF(BD1005=1,ROUND(AP1005/60,4),"")</f>
        <v/>
      </c>
      <c r="M1005" s="77" t="str">
        <f>IF(BD1005=1,ROUND(AQ1005/60,4),"")</f>
        <v/>
      </c>
      <c r="N1005" s="71" t="str">
        <f>IF(AND(D1005="proMX",AB1005=1),ROUND(AG1005/CFG_BLK,2),"")</f>
        <v/>
      </c>
      <c r="O1005" s="77" t="str">
        <f>IF(D1005="proMX",IF(BD1005=1,ROUND(AG1005/60,4),0),"")</f>
        <v/>
      </c>
      <c r="P1005" s="78" t="str">
        <f>IF(Y1005=0,"",IF(BD1005=1,"OK",IF(D1005="proMX","Revisar bloques: ","Revisar: ")&amp;BC1005))</f>
        <v/>
      </c>
      <c r="Q1005" s="78" t="str">
        <f>IF(NOT(ISNUMBER(B1005)),"",IF(COUNTIFS(FER_F,INT(B1005))&gt;0,"Feriado"&amp;IF(AH1005=1," (laborable)"," (no laborable)"),IF(AH1005=1,"Laborable",IF(WEEKDAY(B1005,2)&gt;5,"Fin de semana","No laborable"))))</f>
        <v/>
      </c>
      <c r="R1005" s="73" t="n"/>
      <c r="S1005" s="72" t="n"/>
      <c r="T1005" s="72" t="n"/>
      <c r="U1005" s="74" t="n"/>
      <c r="V1005" s="79" t="str">
        <f>IF(AND(D1005="proMX",OR(R1005="Submitted",R1005="Recall Requested"),ISNUMBER(S1005)),CFG_TODAY-INT(S1005),"")</f>
        <v/>
      </c>
      <c r="W1005" s="78" t="str">
        <f>IF(BD1005=0,"",IF(BA1005&gt;0,"⚠ Se superpone con un registro de la otra empresa",IF(D1005="Malcolm",IF(COUNTA(R1005,S1005,T1005)&gt;0,"Estado/fechas proMX se ignoran en Malcolm",""),IF(BF1005="Cancelled","Cancelado: excluido de totales",IF(R1005="","Sin estado: se trata como Draft",IF(BF1005="Submitted",IF(ISNUMBER(V1005),IF(V1005&gt;CFG_MAXD,"⚠ "&amp;V1005&amp;" días en Submitted (máx. "&amp;CFG_MAXD&amp;")",""),"Falta fecha de envío"),IF(BF1005="Returned","⚠ Devuelto: corregir y reenviar",IF(BF1005="Recall Requested","Retirada solicitada: pendiente",IF(AND(BF1005="Approved",NOT(ISNUMBER(T1005))),"Falta fecha de aprobación",IF(AND(ISNUMBER(S1005),ISNUMBER(T1005),T1005&lt;S1005),"Aprobación anterior al envío","")))))))))</f>
        <v/>
      </c>
      <c r="Y1005" s="80">
        <f>IF(COUNTA(B1005,D1005,E1005,F1005,G1005,H1005,I1005,J1005,R1005,S1005,T1005)&gt;0,1,0)</f>
        <v>0</v>
      </c>
      <c r="Z1005" s="80" t="str">
        <f>IF(AND(ISNUMBER(H1005),H1005&gt;=0,H1005&lt;1),ROUND(H1005*1440,0),"")</f>
        <v/>
      </c>
      <c r="AA1005" s="80" t="str">
        <f>IF(AND(ISNUMBER(I1005),I1005&gt;=0,I1005&lt;1),ROUND(I1005*1440,0),"")</f>
        <v/>
      </c>
      <c r="AB1005" s="80">
        <f>IF(AND(ISNUMBER(B1005),D1005&lt;&gt;"",ISNUMBER(Z1005),ISNUMBER(AA1005)),IF(Z1005=AA1005,0,1),0)</f>
        <v>0</v>
      </c>
      <c r="AC1005" s="80">
        <f>IF(AB1005=1,IF(AA1005&lt;Z1005,1,0),0)</f>
        <v>0</v>
      </c>
      <c r="AD1005" s="80">
        <f>IF(AB1005=1,IF(AC1005=1,1440-Z1005+AA1005,AA1005-Z1005),0)</f>
        <v>0</v>
      </c>
      <c r="AE1005" s="80">
        <f>IF(J1005="",0,IF(ISNUMBER(J1005),J1005,-1))</f>
        <v>0</v>
      </c>
      <c r="AF1005" s="80">
        <f>MIN(MAX(0,AE1005),AD1005)</f>
        <v>0</v>
      </c>
      <c r="AG1005" s="80">
        <f>MAX(0,AD1005-MAX(0,AE1005))</f>
        <v>0</v>
      </c>
      <c r="AH1005" s="80">
        <f>IF(ISNUMBER(B1005),IF(AND(INDEX(CFG_WDAYS,WEEKDAY(INT(B1005),2))="Sí",IF(D1005="proMX",COUNTIFS(FER_F,INT(B1005),FER_NLP,"Sí"),COUNTIFS(FER_F,INT(B1005),FER_NLM,"Sí"))=0),1,0),0)</f>
        <v>0</v>
      </c>
      <c r="AI1005" s="80">
        <f>IF(AC1005=1,IF(AND(INDEX(CFG_WDAYS,WEEKDAY(INT(B1005)+1,2))="Sí",IF(D1005="proMX",COUNTIFS(FER_F,INT(B1005)+1,FER_NLP,"Sí"),COUNTIFS(FER_F,INT(B1005)+1,FER_NLM,"Sí"))=0),1,0),0)</f>
        <v>0</v>
      </c>
      <c r="AJ1005" s="80">
        <f>IF(AC1005=1,1440-Z1005,AD1005)</f>
        <v>0</v>
      </c>
      <c r="AK1005" s="80">
        <f>IF(AND(AB1005=1,AH1005=1),MAX(0,MIN(IF(AC1005=1,1440,AA1005),CFG_WEM)-MAX(Z1005,CFG_WSM)),0)</f>
        <v>0</v>
      </c>
      <c r="AL1005" s="80">
        <f>IF(AND(AC1005=1,AI1005=1),MAX(0,MIN(AA1005,CFG_WEM)-CFG_WSM),0)</f>
        <v>0</v>
      </c>
      <c r="AM1005" s="80">
        <f>AK1005+AL1005</f>
        <v>0</v>
      </c>
      <c r="AN1005" s="80">
        <f>IF(CFG_BRK="Proporcional",IF(AD1005=0,0,AF1005*AM1005/AD1005),IF(CFG_BRK="Extras primero",MIN(AM1005,MAX(0,AF1005-(AD1005-AM1005))),MIN(AF1005,AM1005)))</f>
        <v>0</v>
      </c>
      <c r="AO1005" s="80">
        <f>AF1005-AN1005</f>
        <v>0</v>
      </c>
      <c r="AP1005" s="80">
        <f>AM1005-AN1005</f>
        <v>0</v>
      </c>
      <c r="AQ1005" s="80">
        <f>AD1005-AM1005-AO1005</f>
        <v>0</v>
      </c>
      <c r="AR1005" s="80">
        <f>IF(AM1005=0,0,AK1005-AN1005*AK1005/AM1005)</f>
        <v>0</v>
      </c>
      <c r="AS1005" s="80">
        <f>IF(AD1005-AM1005=0,0,(AJ1005-AK1005)-AO1005*(AJ1005-AK1005)/(AD1005-AM1005))</f>
        <v>0</v>
      </c>
      <c r="AT1005" s="80" t="str">
        <f>IF(AC1005=1,INT(B1005)+1,"")</f>
        <v/>
      </c>
      <c r="AU1005" s="80">
        <f>IF(AND(D1005="proMX",R1005="Cancelled"),0,1)</f>
        <v>1</v>
      </c>
      <c r="AV1005" s="80">
        <f>IF(AND(AB1005=1,AU1005=1),IF(COUNTIFS($D$5:D1004,D1005,$B$5:B1004,B1005,$Z$5:Z1004,Z1005,$AA$5:AA1004,AA1005,$F$5:F1004,F1005&amp;"",$AU$5:AU1004,1)&gt;0,1,0),0)</f>
        <v>0</v>
      </c>
      <c r="AW1005" s="80" t="str">
        <f>IF(AB1005=1,INT(B1005)*1440+Z1005,"")</f>
        <v/>
      </c>
      <c r="AX1005" s="80" t="str">
        <f>IF(AB1005=1,AW1005+AD1005,"")</f>
        <v/>
      </c>
      <c r="AY1005" s="80">
        <f>IF(AND(AB1005=1,AV1005=0,AU1005=1),1,0)</f>
        <v>0</v>
      </c>
      <c r="AZ1005" s="80">
        <f>IF(AY1005=1,COUNTIFS(R_Emp,D1005,R_SAbs,"&lt;"&amp;AX1005,R_EAbs,"&gt;"&amp;AW1005,R_OKey,1)-1,0)</f>
        <v>0</v>
      </c>
      <c r="BA1005" s="80">
        <f>IF(AY1005=1,COUNTIFS(R_Emp,"&lt;&gt;"&amp;D1005,R_SAbs,"&lt;"&amp;AX1005,R_EAbs,"&gt;"&amp;AW1005,R_OKey,1),0)</f>
        <v>0</v>
      </c>
      <c r="BB1005" s="80">
        <f>IF(AND(AB1005=1,D1005="proMX"),IF(AND(MOD(Z1005,CFG_BLK)=0,MOD(AA1005,CFG_BLK)=0,MOD(AG1005,CFG_BLK)=0,AG1005&gt;0),1,0),1)</f>
        <v>1</v>
      </c>
      <c r="BC1005" s="80" t="str">
        <f>IF(Y1005=0,"",IF(NOT(ISNUMBER(B1005)),"Falta fecha o fecha inválida",IF(D1005="","Falta empresa",IF(AND(D1005&lt;&gt;"Malcolm",D1005&lt;&gt;"proMX"),"Empresa inválida",IF(OR(INT(B1005)&lt;CFG_PSTART,INT(B1005)&gt;CFG_PEND),"Fecha fuera del período",IF(OR(NOT(ISNUMBER(Z1005)),NOT(ISNUMBER(AA1005))),"Falta hora inicio/fin o formato inválido",IF(AB1005=0,"Hora inicio = hora fin",IF(AE1005&lt;0,"Descanso inválido",IF(AE1005&gt;=AD1005,"Descanso ≥ duración",IF(AV1005=1,"Registro duplicado",IF(AZ1005&gt;0,"Se superpone con otro registro "&amp;D1005,IF(BB1005=0,"inicio, fin y duración neta deben ser múltiplos de "&amp;CFG_BLK&amp;" min",""))))))))))))</f>
        <v/>
      </c>
      <c r="BD1005" s="80">
        <f>IF(AND(Y1005=1,BC1005=""),1,0)</f>
        <v>0</v>
      </c>
      <c r="BE1005" s="80">
        <f>IF(AND(BD1005=1,AU1005=1),1,0)</f>
        <v>0</v>
      </c>
      <c r="BF1005" s="80" t="str">
        <f>IF(AND(D1005="proMX",BD1005=1),IF(R1005="","Draft",R1005),"")</f>
        <v/>
      </c>
      <c r="BG1005" s="80">
        <f>IF(BD1005=1,ROUND(AG1005/60,6),0)</f>
        <v>0</v>
      </c>
      <c r="BH1005" s="80">
        <f>IF(BE1005=1,ROUND(AG1005/60,6),0)</f>
        <v>0</v>
      </c>
      <c r="BI1005" s="80">
        <f>IF(BE1005=1,ROUND(AP1005/60,6),0)</f>
        <v>0</v>
      </c>
      <c r="BJ1005" s="80">
        <f>IF(BE1005=1,ROUND(AQ1005/60,6),0)</f>
        <v>0</v>
      </c>
      <c r="BK1005" s="80">
        <f>IF(BE1005=1,ROUND((AR1005+AS1005)/60,6),0)</f>
        <v>0</v>
      </c>
      <c r="BL1005" s="80">
        <f>ROUND(BH1005-BK1005,6)</f>
        <v>0</v>
      </c>
      <c r="BM1005" s="80">
        <f>IF(BE1005=1,ROUND(AR1005/60,6),0)</f>
        <v>0</v>
      </c>
      <c r="BN1005" s="80">
        <f>ROUND(BI1005-BM1005,6)</f>
        <v>0</v>
      </c>
      <c r="BO1005" s="80">
        <f>IF(BE1005=1,ROUND(AS1005/60,6),0)</f>
        <v>0</v>
      </c>
      <c r="BP1005" s="80">
        <f>ROUND(BJ1005-BO1005,6)</f>
        <v>0</v>
      </c>
      <c r="BQ1005" s="80">
        <f>IF(BE1005=1,AW1005,0)</f>
        <v>0</v>
      </c>
      <c r="BR1005" s="80">
        <f>IF(BE1005=1,AX1005,0)</f>
        <v>0</v>
      </c>
      <c r="BS1005" s="80">
        <f>IF(AND(BE1005=1,D1005="Malcolm",BA1005&gt;0),MIN(BH1005,SUMPRODUCT((R_Emp="proMX")*(R_EN&gt;0)*((R_EN-(R_EN&gt;BR1005)*(R_EN-BR1005))&gt;(R_SN+(R_SN&lt;BQ1005)*(BQ1005-R_SN)))*((R_EN-(R_EN&gt;BR1005)*(R_EN-BR1005))-(R_SN+(R_SN&lt;BQ1005)*(BQ1005-R_SN))))/60),0)</f>
        <v>0</v>
      </c>
      <c r="BT1005" s="80">
        <f>IF(AND(BE1005=1,D1005="proMX"),ROUND(BI1005*CFG_RATE+BJ1005*CFG_OTRATE,6),0)</f>
        <v>0</v>
      </c>
      <c r="BU1005" s="80">
        <f>IF(AND(BD1005=1,D1005="proMX"),ROUND(AG1005/CFG_BLK,6),0)</f>
        <v>0</v>
      </c>
      <c r="BV1005" s="80" t="str">
        <f>IF(BF1005="Approved",IF(ISNUMBER(T1005),INT(T1005),INT(B1005)),"")</f>
        <v/>
      </c>
      <c r="BW1005" s="80">
        <f>IF(ISNUMBER(B1005),IF(DB_MON="Todos",1,IF(AND(INT(B1005)&gt;=DB_MS,INT(B1005)&lt;=DB_ME),1,0)),0)</f>
        <v>0</v>
      </c>
      <c r="BX1005" s="80">
        <f>IF(DB_PROJ="Todos",1,IF(E1005&amp;""=DB_PROJ&amp;"",1,0))</f>
        <v>1</v>
      </c>
      <c r="BY1005" s="80">
        <f>BW1005*BX1005</f>
        <v>0</v>
      </c>
      <c r="BZ1005" s="80" t="str">
        <f>IF(Y1005=1,F1005&amp;IF(AND(F1005&amp;""&lt;&gt;"",E1005&amp;""&lt;&gt;"")," · ","")&amp;E1005,"")</f>
        <v/>
      </c>
      <c r="CA1005" s="80" t="str">
        <f>IF(AND(BD1005=1,E1005&amp;""&lt;&gt;""),IF(COUNTIFS($E$5:E1004,E1005,$BD$5:BD1004,1)=0,MAX($CA$5:CA1004)+1,""),"")</f>
        <v/>
      </c>
      <c r="CB1005" s="80" t="str">
        <f>IF(AND(BE1005=1,D1005="Malcolm",E1005&amp;""&lt;&gt;""),IF(COUNTIFS($D$5:D1004,"Malcolm",$E$5:E1004,E1005,$BE$5:BE1004,1)=0,MAX($CB$5:CB1004)+1,""),"")</f>
        <v/>
      </c>
      <c r="CC1005" s="80" t="str">
        <f>IF(AND(BD1005=1,D1005="proMX",E1005&amp;""&lt;&gt;""),IF(COUNTIFS($D$5:D1004,"proMX",$E$5:E1004,E1005,$BD$5:BD1004,1)=0,MAX($CC$5:CC1004)+1,""),"")</f>
        <v/>
      </c>
      <c r="CD1005" s="80" t="str">
        <f>IF(AND(BE1005=1,D1005="Malcolm",F1005&amp;""&lt;&gt;""),IF(COUNTIFS($D$5:D1004,"Malcolm",$F$5:F1004,F1005,$BE$5:BE1004,1)=0,MAX($CD$5:CD1004)+1,""),"")</f>
        <v/>
      </c>
      <c r="CE1005" s="80" t="str">
        <f>IF(AND(BD1005=1,D1005="proMX",F1005&amp;""&lt;&gt;""),IF(COUNTIFS($D$5:D1004,"proMX",$F$5:F1004,F1005,$BD$5:BD1004,1)=0,MAX($CE$5:CE1004)+1,""),"")</f>
        <v/>
      </c>
      <c r="CF1005" s="80" t="str">
        <f>IF(AND(D1005="proMX",BD1005=1),IF(OR(BF1005="Draft",BF1005="Submitted",BF1005="Returned",BF1005="Recall Requested"),MAX($CF$5:CF1004)+1,""),"")</f>
        <v/>
      </c>
      <c r="CG1005" s="80">
        <f>IF(BD1005=0,0,IF(D1005="Malcolm",1,MATCH(BF1005,{"Draft","Submitted","Approved","Returned","Recall Requested","Cancelled"},0)+1))</f>
        <v>0</v>
      </c>
      <c r="CH1005" s="80">
        <f>IF(AND(BF1005="Submitted",ISNUMBER(V1005)),IF(V1005&gt;CFG_MAXD,1,0),0)</f>
        <v>0</v>
      </c>
    </row>
    <row r="1006">
      <c r="A1006" s="71" t="str">
        <f>IF(Y1006=1,ROW()-5,"")</f>
        <v/>
      </c>
      <c r="B1006" s="72" t="n"/>
      <c r="C1006" s="71" t="str">
        <f>IF(ISNUMBER(B1006),CHOOSE(WEEKDAY(B1006,2),"Lun","Mar","Mié","Jue","Vie","Sáb","Dom"),"")</f>
        <v/>
      </c>
      <c r="D1006" s="73" t="n"/>
      <c r="E1006" s="74" t="n"/>
      <c r="F1006" s="74" t="n"/>
      <c r="G1006" s="74" t="n"/>
      <c r="H1006" s="75" t="n"/>
      <c r="I1006" s="75" t="n"/>
      <c r="J1006" s="76" t="n"/>
      <c r="K1006" s="77" t="str">
        <f>IF(AB1006=1,ROUND(AG1006/60,4),"")</f>
        <v/>
      </c>
      <c r="L1006" s="77" t="str">
        <f>IF(BD1006=1,ROUND(AP1006/60,4),"")</f>
        <v/>
      </c>
      <c r="M1006" s="77" t="str">
        <f>IF(BD1006=1,ROUND(AQ1006/60,4),"")</f>
        <v/>
      </c>
      <c r="N1006" s="71" t="str">
        <f>IF(AND(D1006="proMX",AB1006=1),ROUND(AG1006/CFG_BLK,2),"")</f>
        <v/>
      </c>
      <c r="O1006" s="77" t="str">
        <f>IF(D1006="proMX",IF(BD1006=1,ROUND(AG1006/60,4),0),"")</f>
        <v/>
      </c>
      <c r="P1006" s="78" t="str">
        <f>IF(Y1006=0,"",IF(BD1006=1,"OK",IF(D1006="proMX","Revisar bloques: ","Revisar: ")&amp;BC1006))</f>
        <v/>
      </c>
      <c r="Q1006" s="78" t="str">
        <f>IF(NOT(ISNUMBER(B1006)),"",IF(COUNTIFS(FER_F,INT(B1006))&gt;0,"Feriado"&amp;IF(AH1006=1," (laborable)"," (no laborable)"),IF(AH1006=1,"Laborable",IF(WEEKDAY(B1006,2)&gt;5,"Fin de semana","No laborable"))))</f>
        <v/>
      </c>
      <c r="R1006" s="73" t="n"/>
      <c r="S1006" s="72" t="n"/>
      <c r="T1006" s="72" t="n"/>
      <c r="U1006" s="74" t="n"/>
      <c r="V1006" s="79" t="str">
        <f>IF(AND(D1006="proMX",OR(R1006="Submitted",R1006="Recall Requested"),ISNUMBER(S1006)),CFG_TODAY-INT(S1006),"")</f>
        <v/>
      </c>
      <c r="W1006" s="78" t="str">
        <f>IF(BD1006=0,"",IF(BA1006&gt;0,"⚠ Se superpone con un registro de la otra empresa",IF(D1006="Malcolm",IF(COUNTA(R1006,S1006,T1006)&gt;0,"Estado/fechas proMX se ignoran en Malcolm",""),IF(BF1006="Cancelled","Cancelado: excluido de totales",IF(R1006="","Sin estado: se trata como Draft",IF(BF1006="Submitted",IF(ISNUMBER(V1006),IF(V1006&gt;CFG_MAXD,"⚠ "&amp;V1006&amp;" días en Submitted (máx. "&amp;CFG_MAXD&amp;")",""),"Falta fecha de envío"),IF(BF1006="Returned","⚠ Devuelto: corregir y reenviar",IF(BF1006="Recall Requested","Retirada solicitada: pendiente",IF(AND(BF1006="Approved",NOT(ISNUMBER(T1006))),"Falta fecha de aprobación",IF(AND(ISNUMBER(S1006),ISNUMBER(T1006),T1006&lt;S1006),"Aprobación anterior al envío","")))))))))</f>
        <v/>
      </c>
      <c r="Y1006" s="80">
        <f>IF(COUNTA(B1006,D1006,E1006,F1006,G1006,H1006,I1006,J1006,R1006,S1006,T1006)&gt;0,1,0)</f>
        <v>0</v>
      </c>
      <c r="Z1006" s="80" t="str">
        <f>IF(AND(ISNUMBER(H1006),H1006&gt;=0,H1006&lt;1),ROUND(H1006*1440,0),"")</f>
        <v/>
      </c>
      <c r="AA1006" s="80" t="str">
        <f>IF(AND(ISNUMBER(I1006),I1006&gt;=0,I1006&lt;1),ROUND(I1006*1440,0),"")</f>
        <v/>
      </c>
      <c r="AB1006" s="80">
        <f>IF(AND(ISNUMBER(B1006),D1006&lt;&gt;"",ISNUMBER(Z1006),ISNUMBER(AA1006)),IF(Z1006=AA1006,0,1),0)</f>
        <v>0</v>
      </c>
      <c r="AC1006" s="80">
        <f>IF(AB1006=1,IF(AA1006&lt;Z1006,1,0),0)</f>
        <v>0</v>
      </c>
      <c r="AD1006" s="80">
        <f>IF(AB1006=1,IF(AC1006=1,1440-Z1006+AA1006,AA1006-Z1006),0)</f>
        <v>0</v>
      </c>
      <c r="AE1006" s="80">
        <f>IF(J1006="",0,IF(ISNUMBER(J1006),J1006,-1))</f>
        <v>0</v>
      </c>
      <c r="AF1006" s="80">
        <f>MIN(MAX(0,AE1006),AD1006)</f>
        <v>0</v>
      </c>
      <c r="AG1006" s="80">
        <f>MAX(0,AD1006-MAX(0,AE1006))</f>
        <v>0</v>
      </c>
      <c r="AH1006" s="80">
        <f>IF(ISNUMBER(B1006),IF(AND(INDEX(CFG_WDAYS,WEEKDAY(INT(B1006),2))="Sí",IF(D1006="proMX",COUNTIFS(FER_F,INT(B1006),FER_NLP,"Sí"),COUNTIFS(FER_F,INT(B1006),FER_NLM,"Sí"))=0),1,0),0)</f>
        <v>0</v>
      </c>
      <c r="AI1006" s="80">
        <f>IF(AC1006=1,IF(AND(INDEX(CFG_WDAYS,WEEKDAY(INT(B1006)+1,2))="Sí",IF(D1006="proMX",COUNTIFS(FER_F,INT(B1006)+1,FER_NLP,"Sí"),COUNTIFS(FER_F,INT(B1006)+1,FER_NLM,"Sí"))=0),1,0),0)</f>
        <v>0</v>
      </c>
      <c r="AJ1006" s="80">
        <f>IF(AC1006=1,1440-Z1006,AD1006)</f>
        <v>0</v>
      </c>
      <c r="AK1006" s="80">
        <f>IF(AND(AB1006=1,AH1006=1),MAX(0,MIN(IF(AC1006=1,1440,AA1006),CFG_WEM)-MAX(Z1006,CFG_WSM)),0)</f>
        <v>0</v>
      </c>
      <c r="AL1006" s="80">
        <f>IF(AND(AC1006=1,AI1006=1),MAX(0,MIN(AA1006,CFG_WEM)-CFG_WSM),0)</f>
        <v>0</v>
      </c>
      <c r="AM1006" s="80">
        <f>AK1006+AL1006</f>
        <v>0</v>
      </c>
      <c r="AN1006" s="80">
        <f>IF(CFG_BRK="Proporcional",IF(AD1006=0,0,AF1006*AM1006/AD1006),IF(CFG_BRK="Extras primero",MIN(AM1006,MAX(0,AF1006-(AD1006-AM1006))),MIN(AF1006,AM1006)))</f>
        <v>0</v>
      </c>
      <c r="AO1006" s="80">
        <f>AF1006-AN1006</f>
        <v>0</v>
      </c>
      <c r="AP1006" s="80">
        <f>AM1006-AN1006</f>
        <v>0</v>
      </c>
      <c r="AQ1006" s="80">
        <f>AD1006-AM1006-AO1006</f>
        <v>0</v>
      </c>
      <c r="AR1006" s="80">
        <f>IF(AM1006=0,0,AK1006-AN1006*AK1006/AM1006)</f>
        <v>0</v>
      </c>
      <c r="AS1006" s="80">
        <f>IF(AD1006-AM1006=0,0,(AJ1006-AK1006)-AO1006*(AJ1006-AK1006)/(AD1006-AM1006))</f>
        <v>0</v>
      </c>
      <c r="AT1006" s="80" t="str">
        <f>IF(AC1006=1,INT(B1006)+1,"")</f>
        <v/>
      </c>
      <c r="AU1006" s="80">
        <f>IF(AND(D1006="proMX",R1006="Cancelled"),0,1)</f>
        <v>1</v>
      </c>
      <c r="AV1006" s="80">
        <f>IF(AND(AB1006=1,AU1006=1),IF(COUNTIFS($D$5:D1005,D1006,$B$5:B1005,B1006,$Z$5:Z1005,Z1006,$AA$5:AA1005,AA1006,$F$5:F1005,F1006&amp;"",$AU$5:AU1005,1)&gt;0,1,0),0)</f>
        <v>0</v>
      </c>
      <c r="AW1006" s="80" t="str">
        <f>IF(AB1006=1,INT(B1006)*1440+Z1006,"")</f>
        <v/>
      </c>
      <c r="AX1006" s="80" t="str">
        <f>IF(AB1006=1,AW1006+AD1006,"")</f>
        <v/>
      </c>
      <c r="AY1006" s="80">
        <f>IF(AND(AB1006=1,AV1006=0,AU1006=1),1,0)</f>
        <v>0</v>
      </c>
      <c r="AZ1006" s="80">
        <f>IF(AY1006=1,COUNTIFS(R_Emp,D1006,R_SAbs,"&lt;"&amp;AX1006,R_EAbs,"&gt;"&amp;AW1006,R_OKey,1)-1,0)</f>
        <v>0</v>
      </c>
      <c r="BA1006" s="80">
        <f>IF(AY1006=1,COUNTIFS(R_Emp,"&lt;&gt;"&amp;D1006,R_SAbs,"&lt;"&amp;AX1006,R_EAbs,"&gt;"&amp;AW1006,R_OKey,1),0)</f>
        <v>0</v>
      </c>
      <c r="BB1006" s="80">
        <f>IF(AND(AB1006=1,D1006="proMX"),IF(AND(MOD(Z1006,CFG_BLK)=0,MOD(AA1006,CFG_BLK)=0,MOD(AG1006,CFG_BLK)=0,AG1006&gt;0),1,0),1)</f>
        <v>1</v>
      </c>
      <c r="BC1006" s="80" t="str">
        <f>IF(Y1006=0,"",IF(NOT(ISNUMBER(B1006)),"Falta fecha o fecha inválida",IF(D1006="","Falta empresa",IF(AND(D1006&lt;&gt;"Malcolm",D1006&lt;&gt;"proMX"),"Empresa inválida",IF(OR(INT(B1006)&lt;CFG_PSTART,INT(B1006)&gt;CFG_PEND),"Fecha fuera del período",IF(OR(NOT(ISNUMBER(Z1006)),NOT(ISNUMBER(AA1006))),"Falta hora inicio/fin o formato inválido",IF(AB1006=0,"Hora inicio = hora fin",IF(AE1006&lt;0,"Descanso inválido",IF(AE1006&gt;=AD1006,"Descanso ≥ duración",IF(AV1006=1,"Registro duplicado",IF(AZ1006&gt;0,"Se superpone con otro registro "&amp;D1006,IF(BB1006=0,"inicio, fin y duración neta deben ser múltiplos de "&amp;CFG_BLK&amp;" min",""))))))))))))</f>
        <v/>
      </c>
      <c r="BD1006" s="80">
        <f>IF(AND(Y1006=1,BC1006=""),1,0)</f>
        <v>0</v>
      </c>
      <c r="BE1006" s="80">
        <f>IF(AND(BD1006=1,AU1006=1),1,0)</f>
        <v>0</v>
      </c>
      <c r="BF1006" s="80" t="str">
        <f>IF(AND(D1006="proMX",BD1006=1),IF(R1006="","Draft",R1006),"")</f>
        <v/>
      </c>
      <c r="BG1006" s="80">
        <f>IF(BD1006=1,ROUND(AG1006/60,6),0)</f>
        <v>0</v>
      </c>
      <c r="BH1006" s="80">
        <f>IF(BE1006=1,ROUND(AG1006/60,6),0)</f>
        <v>0</v>
      </c>
      <c r="BI1006" s="80">
        <f>IF(BE1006=1,ROUND(AP1006/60,6),0)</f>
        <v>0</v>
      </c>
      <c r="BJ1006" s="80">
        <f>IF(BE1006=1,ROUND(AQ1006/60,6),0)</f>
        <v>0</v>
      </c>
      <c r="BK1006" s="80">
        <f>IF(BE1006=1,ROUND((AR1006+AS1006)/60,6),0)</f>
        <v>0</v>
      </c>
      <c r="BL1006" s="80">
        <f>ROUND(BH1006-BK1006,6)</f>
        <v>0</v>
      </c>
      <c r="BM1006" s="80">
        <f>IF(BE1006=1,ROUND(AR1006/60,6),0)</f>
        <v>0</v>
      </c>
      <c r="BN1006" s="80">
        <f>ROUND(BI1006-BM1006,6)</f>
        <v>0</v>
      </c>
      <c r="BO1006" s="80">
        <f>IF(BE1006=1,ROUND(AS1006/60,6),0)</f>
        <v>0</v>
      </c>
      <c r="BP1006" s="80">
        <f>ROUND(BJ1006-BO1006,6)</f>
        <v>0</v>
      </c>
      <c r="BQ1006" s="80">
        <f>IF(BE1006=1,AW1006,0)</f>
        <v>0</v>
      </c>
      <c r="BR1006" s="80">
        <f>IF(BE1006=1,AX1006,0)</f>
        <v>0</v>
      </c>
      <c r="BS1006" s="80">
        <f>IF(AND(BE1006=1,D1006="Malcolm",BA1006&gt;0),MIN(BH1006,SUMPRODUCT((R_Emp="proMX")*(R_EN&gt;0)*((R_EN-(R_EN&gt;BR1006)*(R_EN-BR1006))&gt;(R_SN+(R_SN&lt;BQ1006)*(BQ1006-R_SN)))*((R_EN-(R_EN&gt;BR1006)*(R_EN-BR1006))-(R_SN+(R_SN&lt;BQ1006)*(BQ1006-R_SN))))/60),0)</f>
        <v>0</v>
      </c>
      <c r="BT1006" s="80">
        <f>IF(AND(BE1006=1,D1006="proMX"),ROUND(BI1006*CFG_RATE+BJ1006*CFG_OTRATE,6),0)</f>
        <v>0</v>
      </c>
      <c r="BU1006" s="80">
        <f>IF(AND(BD1006=1,D1006="proMX"),ROUND(AG1006/CFG_BLK,6),0)</f>
        <v>0</v>
      </c>
      <c r="BV1006" s="80" t="str">
        <f>IF(BF1006="Approved",IF(ISNUMBER(T1006),INT(T1006),INT(B1006)),"")</f>
        <v/>
      </c>
      <c r="BW1006" s="80">
        <f>IF(ISNUMBER(B1006),IF(DB_MON="Todos",1,IF(AND(INT(B1006)&gt;=DB_MS,INT(B1006)&lt;=DB_ME),1,0)),0)</f>
        <v>0</v>
      </c>
      <c r="BX1006" s="80">
        <f>IF(DB_PROJ="Todos",1,IF(E1006&amp;""=DB_PROJ&amp;"",1,0))</f>
        <v>1</v>
      </c>
      <c r="BY1006" s="80">
        <f>BW1006*BX1006</f>
        <v>0</v>
      </c>
      <c r="BZ1006" s="80" t="str">
        <f>IF(Y1006=1,F1006&amp;IF(AND(F1006&amp;""&lt;&gt;"",E1006&amp;""&lt;&gt;"")," · ","")&amp;E1006,"")</f>
        <v/>
      </c>
      <c r="CA1006" s="80" t="str">
        <f>IF(AND(BD1006=1,E1006&amp;""&lt;&gt;""),IF(COUNTIFS($E$5:E1005,E1006,$BD$5:BD1005,1)=0,MAX($CA$5:CA1005)+1,""),"")</f>
        <v/>
      </c>
      <c r="CB1006" s="80" t="str">
        <f>IF(AND(BE1006=1,D1006="Malcolm",E1006&amp;""&lt;&gt;""),IF(COUNTIFS($D$5:D1005,"Malcolm",$E$5:E1005,E1006,$BE$5:BE1005,1)=0,MAX($CB$5:CB1005)+1,""),"")</f>
        <v/>
      </c>
      <c r="CC1006" s="80" t="str">
        <f>IF(AND(BD1006=1,D1006="proMX",E1006&amp;""&lt;&gt;""),IF(COUNTIFS($D$5:D1005,"proMX",$E$5:E1005,E1006,$BD$5:BD1005,1)=0,MAX($CC$5:CC1005)+1,""),"")</f>
        <v/>
      </c>
      <c r="CD1006" s="80" t="str">
        <f>IF(AND(BE1006=1,D1006="Malcolm",F1006&amp;""&lt;&gt;""),IF(COUNTIFS($D$5:D1005,"Malcolm",$F$5:F1005,F1006,$BE$5:BE1005,1)=0,MAX($CD$5:CD1005)+1,""),"")</f>
        <v/>
      </c>
      <c r="CE1006" s="80" t="str">
        <f>IF(AND(BD1006=1,D1006="proMX",F1006&amp;""&lt;&gt;""),IF(COUNTIFS($D$5:D1005,"proMX",$F$5:F1005,F1006,$BD$5:BD1005,1)=0,MAX($CE$5:CE1005)+1,""),"")</f>
        <v/>
      </c>
      <c r="CF1006" s="80" t="str">
        <f>IF(AND(D1006="proMX",BD1006=1),IF(OR(BF1006="Draft",BF1006="Submitted",BF1006="Returned",BF1006="Recall Requested"),MAX($CF$5:CF1005)+1,""),"")</f>
        <v/>
      </c>
      <c r="CG1006" s="80">
        <f>IF(BD1006=0,0,IF(D1006="Malcolm",1,MATCH(BF1006,{"Draft","Submitted","Approved","Returned","Recall Requested","Cancelled"},0)+1))</f>
        <v>0</v>
      </c>
      <c r="CH1006" s="80">
        <f>IF(AND(BF1006="Submitted",ISNUMBER(V1006)),IF(V1006&gt;CFG_MAXD,1,0),0)</f>
        <v>0</v>
      </c>
    </row>
    <row r="1007">
      <c r="A1007" s="71" t="str">
        <f>IF(Y1007=1,ROW()-5,"")</f>
        <v/>
      </c>
      <c r="B1007" s="72" t="n"/>
      <c r="C1007" s="71" t="str">
        <f>IF(ISNUMBER(B1007),CHOOSE(WEEKDAY(B1007,2),"Lun","Mar","Mié","Jue","Vie","Sáb","Dom"),"")</f>
        <v/>
      </c>
      <c r="D1007" s="73" t="n"/>
      <c r="E1007" s="74" t="n"/>
      <c r="F1007" s="74" t="n"/>
      <c r="G1007" s="74" t="n"/>
      <c r="H1007" s="75" t="n"/>
      <c r="I1007" s="75" t="n"/>
      <c r="J1007" s="76" t="n"/>
      <c r="K1007" s="77" t="str">
        <f>IF(AB1007=1,ROUND(AG1007/60,4),"")</f>
        <v/>
      </c>
      <c r="L1007" s="77" t="str">
        <f>IF(BD1007=1,ROUND(AP1007/60,4),"")</f>
        <v/>
      </c>
      <c r="M1007" s="77" t="str">
        <f>IF(BD1007=1,ROUND(AQ1007/60,4),"")</f>
        <v/>
      </c>
      <c r="N1007" s="71" t="str">
        <f>IF(AND(D1007="proMX",AB1007=1),ROUND(AG1007/CFG_BLK,2),"")</f>
        <v/>
      </c>
      <c r="O1007" s="77" t="str">
        <f>IF(D1007="proMX",IF(BD1007=1,ROUND(AG1007/60,4),0),"")</f>
        <v/>
      </c>
      <c r="P1007" s="78" t="str">
        <f>IF(Y1007=0,"",IF(BD1007=1,"OK",IF(D1007="proMX","Revisar bloques: ","Revisar: ")&amp;BC1007))</f>
        <v/>
      </c>
      <c r="Q1007" s="78" t="str">
        <f>IF(NOT(ISNUMBER(B1007)),"",IF(COUNTIFS(FER_F,INT(B1007))&gt;0,"Feriado"&amp;IF(AH1007=1," (laborable)"," (no laborable)"),IF(AH1007=1,"Laborable",IF(WEEKDAY(B1007,2)&gt;5,"Fin de semana","No laborable"))))</f>
        <v/>
      </c>
      <c r="R1007" s="73" t="n"/>
      <c r="S1007" s="72" t="n"/>
      <c r="T1007" s="72" t="n"/>
      <c r="U1007" s="74" t="n"/>
      <c r="V1007" s="79" t="str">
        <f>IF(AND(D1007="proMX",OR(R1007="Submitted",R1007="Recall Requested"),ISNUMBER(S1007)),CFG_TODAY-INT(S1007),"")</f>
        <v/>
      </c>
      <c r="W1007" s="78" t="str">
        <f>IF(BD1007=0,"",IF(BA1007&gt;0,"⚠ Se superpone con un registro de la otra empresa",IF(D1007="Malcolm",IF(COUNTA(R1007,S1007,T1007)&gt;0,"Estado/fechas proMX se ignoran en Malcolm",""),IF(BF1007="Cancelled","Cancelado: excluido de totales",IF(R1007="","Sin estado: se trata como Draft",IF(BF1007="Submitted",IF(ISNUMBER(V1007),IF(V1007&gt;CFG_MAXD,"⚠ "&amp;V1007&amp;" días en Submitted (máx. "&amp;CFG_MAXD&amp;")",""),"Falta fecha de envío"),IF(BF1007="Returned","⚠ Devuelto: corregir y reenviar",IF(BF1007="Recall Requested","Retirada solicitada: pendiente",IF(AND(BF1007="Approved",NOT(ISNUMBER(T1007))),"Falta fecha de aprobación",IF(AND(ISNUMBER(S1007),ISNUMBER(T1007),T1007&lt;S1007),"Aprobación anterior al envío","")))))))))</f>
        <v/>
      </c>
      <c r="Y1007" s="80">
        <f>IF(COUNTA(B1007,D1007,E1007,F1007,G1007,H1007,I1007,J1007,R1007,S1007,T1007)&gt;0,1,0)</f>
        <v>0</v>
      </c>
      <c r="Z1007" s="80" t="str">
        <f>IF(AND(ISNUMBER(H1007),H1007&gt;=0,H1007&lt;1),ROUND(H1007*1440,0),"")</f>
        <v/>
      </c>
      <c r="AA1007" s="80" t="str">
        <f>IF(AND(ISNUMBER(I1007),I1007&gt;=0,I1007&lt;1),ROUND(I1007*1440,0),"")</f>
        <v/>
      </c>
      <c r="AB1007" s="80">
        <f>IF(AND(ISNUMBER(B1007),D1007&lt;&gt;"",ISNUMBER(Z1007),ISNUMBER(AA1007)),IF(Z1007=AA1007,0,1),0)</f>
        <v>0</v>
      </c>
      <c r="AC1007" s="80">
        <f>IF(AB1007=1,IF(AA1007&lt;Z1007,1,0),0)</f>
        <v>0</v>
      </c>
      <c r="AD1007" s="80">
        <f>IF(AB1007=1,IF(AC1007=1,1440-Z1007+AA1007,AA1007-Z1007),0)</f>
        <v>0</v>
      </c>
      <c r="AE1007" s="80">
        <f>IF(J1007="",0,IF(ISNUMBER(J1007),J1007,-1))</f>
        <v>0</v>
      </c>
      <c r="AF1007" s="80">
        <f>MIN(MAX(0,AE1007),AD1007)</f>
        <v>0</v>
      </c>
      <c r="AG1007" s="80">
        <f>MAX(0,AD1007-MAX(0,AE1007))</f>
        <v>0</v>
      </c>
      <c r="AH1007" s="80">
        <f>IF(ISNUMBER(B1007),IF(AND(INDEX(CFG_WDAYS,WEEKDAY(INT(B1007),2))="Sí",IF(D1007="proMX",COUNTIFS(FER_F,INT(B1007),FER_NLP,"Sí"),COUNTIFS(FER_F,INT(B1007),FER_NLM,"Sí"))=0),1,0),0)</f>
        <v>0</v>
      </c>
      <c r="AI1007" s="80">
        <f>IF(AC1007=1,IF(AND(INDEX(CFG_WDAYS,WEEKDAY(INT(B1007)+1,2))="Sí",IF(D1007="proMX",COUNTIFS(FER_F,INT(B1007)+1,FER_NLP,"Sí"),COUNTIFS(FER_F,INT(B1007)+1,FER_NLM,"Sí"))=0),1,0),0)</f>
        <v>0</v>
      </c>
      <c r="AJ1007" s="80">
        <f>IF(AC1007=1,1440-Z1007,AD1007)</f>
        <v>0</v>
      </c>
      <c r="AK1007" s="80">
        <f>IF(AND(AB1007=1,AH1007=1),MAX(0,MIN(IF(AC1007=1,1440,AA1007),CFG_WEM)-MAX(Z1007,CFG_WSM)),0)</f>
        <v>0</v>
      </c>
      <c r="AL1007" s="80">
        <f>IF(AND(AC1007=1,AI1007=1),MAX(0,MIN(AA1007,CFG_WEM)-CFG_WSM),0)</f>
        <v>0</v>
      </c>
      <c r="AM1007" s="80">
        <f>AK1007+AL1007</f>
        <v>0</v>
      </c>
      <c r="AN1007" s="80">
        <f>IF(CFG_BRK="Proporcional",IF(AD1007=0,0,AF1007*AM1007/AD1007),IF(CFG_BRK="Extras primero",MIN(AM1007,MAX(0,AF1007-(AD1007-AM1007))),MIN(AF1007,AM1007)))</f>
        <v>0</v>
      </c>
      <c r="AO1007" s="80">
        <f>AF1007-AN1007</f>
        <v>0</v>
      </c>
      <c r="AP1007" s="80">
        <f>AM1007-AN1007</f>
        <v>0</v>
      </c>
      <c r="AQ1007" s="80">
        <f>AD1007-AM1007-AO1007</f>
        <v>0</v>
      </c>
      <c r="AR1007" s="80">
        <f>IF(AM1007=0,0,AK1007-AN1007*AK1007/AM1007)</f>
        <v>0</v>
      </c>
      <c r="AS1007" s="80">
        <f>IF(AD1007-AM1007=0,0,(AJ1007-AK1007)-AO1007*(AJ1007-AK1007)/(AD1007-AM1007))</f>
        <v>0</v>
      </c>
      <c r="AT1007" s="80" t="str">
        <f>IF(AC1007=1,INT(B1007)+1,"")</f>
        <v/>
      </c>
      <c r="AU1007" s="80">
        <f>IF(AND(D1007="proMX",R1007="Cancelled"),0,1)</f>
        <v>1</v>
      </c>
      <c r="AV1007" s="80">
        <f>IF(AND(AB1007=1,AU1007=1),IF(COUNTIFS($D$5:D1006,D1007,$B$5:B1006,B1007,$Z$5:Z1006,Z1007,$AA$5:AA1006,AA1007,$F$5:F1006,F1007&amp;"",$AU$5:AU1006,1)&gt;0,1,0),0)</f>
        <v>0</v>
      </c>
      <c r="AW1007" s="80" t="str">
        <f>IF(AB1007=1,INT(B1007)*1440+Z1007,"")</f>
        <v/>
      </c>
      <c r="AX1007" s="80" t="str">
        <f>IF(AB1007=1,AW1007+AD1007,"")</f>
        <v/>
      </c>
      <c r="AY1007" s="80">
        <f>IF(AND(AB1007=1,AV1007=0,AU1007=1),1,0)</f>
        <v>0</v>
      </c>
      <c r="AZ1007" s="80">
        <f>IF(AY1007=1,COUNTIFS(R_Emp,D1007,R_SAbs,"&lt;"&amp;AX1007,R_EAbs,"&gt;"&amp;AW1007,R_OKey,1)-1,0)</f>
        <v>0</v>
      </c>
      <c r="BA1007" s="80">
        <f>IF(AY1007=1,COUNTIFS(R_Emp,"&lt;&gt;"&amp;D1007,R_SAbs,"&lt;"&amp;AX1007,R_EAbs,"&gt;"&amp;AW1007,R_OKey,1),0)</f>
        <v>0</v>
      </c>
      <c r="BB1007" s="80">
        <f>IF(AND(AB1007=1,D1007="proMX"),IF(AND(MOD(Z1007,CFG_BLK)=0,MOD(AA1007,CFG_BLK)=0,MOD(AG1007,CFG_BLK)=0,AG1007&gt;0),1,0),1)</f>
        <v>1</v>
      </c>
      <c r="BC1007" s="80" t="str">
        <f>IF(Y1007=0,"",IF(NOT(ISNUMBER(B1007)),"Falta fecha o fecha inválida",IF(D1007="","Falta empresa",IF(AND(D1007&lt;&gt;"Malcolm",D1007&lt;&gt;"proMX"),"Empresa inválida",IF(OR(INT(B1007)&lt;CFG_PSTART,INT(B1007)&gt;CFG_PEND),"Fecha fuera del período",IF(OR(NOT(ISNUMBER(Z1007)),NOT(ISNUMBER(AA1007))),"Falta hora inicio/fin o formato inválido",IF(AB1007=0,"Hora inicio = hora fin",IF(AE1007&lt;0,"Descanso inválido",IF(AE1007&gt;=AD1007,"Descanso ≥ duración",IF(AV1007=1,"Registro duplicado",IF(AZ1007&gt;0,"Se superpone con otro registro "&amp;D1007,IF(BB1007=0,"inicio, fin y duración neta deben ser múltiplos de "&amp;CFG_BLK&amp;" min",""))))))))))))</f>
        <v/>
      </c>
      <c r="BD1007" s="80">
        <f>IF(AND(Y1007=1,BC1007=""),1,0)</f>
        <v>0</v>
      </c>
      <c r="BE1007" s="80">
        <f>IF(AND(BD1007=1,AU1007=1),1,0)</f>
        <v>0</v>
      </c>
      <c r="BF1007" s="80" t="str">
        <f>IF(AND(D1007="proMX",BD1007=1),IF(R1007="","Draft",R1007),"")</f>
        <v/>
      </c>
      <c r="BG1007" s="80">
        <f>IF(BD1007=1,ROUND(AG1007/60,6),0)</f>
        <v>0</v>
      </c>
      <c r="BH1007" s="80">
        <f>IF(BE1007=1,ROUND(AG1007/60,6),0)</f>
        <v>0</v>
      </c>
      <c r="BI1007" s="80">
        <f>IF(BE1007=1,ROUND(AP1007/60,6),0)</f>
        <v>0</v>
      </c>
      <c r="BJ1007" s="80">
        <f>IF(BE1007=1,ROUND(AQ1007/60,6),0)</f>
        <v>0</v>
      </c>
      <c r="BK1007" s="80">
        <f>IF(BE1007=1,ROUND((AR1007+AS1007)/60,6),0)</f>
        <v>0</v>
      </c>
      <c r="BL1007" s="80">
        <f>ROUND(BH1007-BK1007,6)</f>
        <v>0</v>
      </c>
      <c r="BM1007" s="80">
        <f>IF(BE1007=1,ROUND(AR1007/60,6),0)</f>
        <v>0</v>
      </c>
      <c r="BN1007" s="80">
        <f>ROUND(BI1007-BM1007,6)</f>
        <v>0</v>
      </c>
      <c r="BO1007" s="80">
        <f>IF(BE1007=1,ROUND(AS1007/60,6),0)</f>
        <v>0</v>
      </c>
      <c r="BP1007" s="80">
        <f>ROUND(BJ1007-BO1007,6)</f>
        <v>0</v>
      </c>
      <c r="BQ1007" s="80">
        <f>IF(BE1007=1,AW1007,0)</f>
        <v>0</v>
      </c>
      <c r="BR1007" s="80">
        <f>IF(BE1007=1,AX1007,0)</f>
        <v>0</v>
      </c>
      <c r="BS1007" s="80">
        <f>IF(AND(BE1007=1,D1007="Malcolm",BA1007&gt;0),MIN(BH1007,SUMPRODUCT((R_Emp="proMX")*(R_EN&gt;0)*((R_EN-(R_EN&gt;BR1007)*(R_EN-BR1007))&gt;(R_SN+(R_SN&lt;BQ1007)*(BQ1007-R_SN)))*((R_EN-(R_EN&gt;BR1007)*(R_EN-BR1007))-(R_SN+(R_SN&lt;BQ1007)*(BQ1007-R_SN))))/60),0)</f>
        <v>0</v>
      </c>
      <c r="BT1007" s="80">
        <f>IF(AND(BE1007=1,D1007="proMX"),ROUND(BI1007*CFG_RATE+BJ1007*CFG_OTRATE,6),0)</f>
        <v>0</v>
      </c>
      <c r="BU1007" s="80">
        <f>IF(AND(BD1007=1,D1007="proMX"),ROUND(AG1007/CFG_BLK,6),0)</f>
        <v>0</v>
      </c>
      <c r="BV1007" s="80" t="str">
        <f>IF(BF1007="Approved",IF(ISNUMBER(T1007),INT(T1007),INT(B1007)),"")</f>
        <v/>
      </c>
      <c r="BW1007" s="80">
        <f>IF(ISNUMBER(B1007),IF(DB_MON="Todos",1,IF(AND(INT(B1007)&gt;=DB_MS,INT(B1007)&lt;=DB_ME),1,0)),0)</f>
        <v>0</v>
      </c>
      <c r="BX1007" s="80">
        <f>IF(DB_PROJ="Todos",1,IF(E1007&amp;""=DB_PROJ&amp;"",1,0))</f>
        <v>1</v>
      </c>
      <c r="BY1007" s="80">
        <f>BW1007*BX1007</f>
        <v>0</v>
      </c>
      <c r="BZ1007" s="80" t="str">
        <f>IF(Y1007=1,F1007&amp;IF(AND(F1007&amp;""&lt;&gt;"",E1007&amp;""&lt;&gt;"")," · ","")&amp;E1007,"")</f>
        <v/>
      </c>
      <c r="CA1007" s="80" t="str">
        <f>IF(AND(BD1007=1,E1007&amp;""&lt;&gt;""),IF(COUNTIFS($E$5:E1006,E1007,$BD$5:BD1006,1)=0,MAX($CA$5:CA1006)+1,""),"")</f>
        <v/>
      </c>
      <c r="CB1007" s="80" t="str">
        <f>IF(AND(BE1007=1,D1007="Malcolm",E1007&amp;""&lt;&gt;""),IF(COUNTIFS($D$5:D1006,"Malcolm",$E$5:E1006,E1007,$BE$5:BE1006,1)=0,MAX($CB$5:CB1006)+1,""),"")</f>
        <v/>
      </c>
      <c r="CC1007" s="80" t="str">
        <f>IF(AND(BD1007=1,D1007="proMX",E1007&amp;""&lt;&gt;""),IF(COUNTIFS($D$5:D1006,"proMX",$E$5:E1006,E1007,$BD$5:BD1006,1)=0,MAX($CC$5:CC1006)+1,""),"")</f>
        <v/>
      </c>
      <c r="CD1007" s="80" t="str">
        <f>IF(AND(BE1007=1,D1007="Malcolm",F1007&amp;""&lt;&gt;""),IF(COUNTIFS($D$5:D1006,"Malcolm",$F$5:F1006,F1007,$BE$5:BE1006,1)=0,MAX($CD$5:CD1006)+1,""),"")</f>
        <v/>
      </c>
      <c r="CE1007" s="80" t="str">
        <f>IF(AND(BD1007=1,D1007="proMX",F1007&amp;""&lt;&gt;""),IF(COUNTIFS($D$5:D1006,"proMX",$F$5:F1006,F1007,$BD$5:BD1006,1)=0,MAX($CE$5:CE1006)+1,""),"")</f>
        <v/>
      </c>
      <c r="CF1007" s="80" t="str">
        <f>IF(AND(D1007="proMX",BD1007=1),IF(OR(BF1007="Draft",BF1007="Submitted",BF1007="Returned",BF1007="Recall Requested"),MAX($CF$5:CF1006)+1,""),"")</f>
        <v/>
      </c>
      <c r="CG1007" s="80">
        <f>IF(BD1007=0,0,IF(D1007="Malcolm",1,MATCH(BF1007,{"Draft","Submitted","Approved","Returned","Recall Requested","Cancelled"},0)+1))</f>
        <v>0</v>
      </c>
      <c r="CH1007" s="80">
        <f>IF(AND(BF1007="Submitted",ISNUMBER(V1007)),IF(V1007&gt;CFG_MAXD,1,0),0)</f>
        <v>0</v>
      </c>
    </row>
    <row r="1008">
      <c r="A1008" s="71" t="str">
        <f>IF(Y1008=1,ROW()-5,"")</f>
        <v/>
      </c>
      <c r="B1008" s="72" t="n"/>
      <c r="C1008" s="71" t="str">
        <f>IF(ISNUMBER(B1008),CHOOSE(WEEKDAY(B1008,2),"Lun","Mar","Mié","Jue","Vie","Sáb","Dom"),"")</f>
        <v/>
      </c>
      <c r="D1008" s="73" t="n"/>
      <c r="E1008" s="74" t="n"/>
      <c r="F1008" s="74" t="n"/>
      <c r="G1008" s="74" t="n"/>
      <c r="H1008" s="75" t="n"/>
      <c r="I1008" s="75" t="n"/>
      <c r="J1008" s="76" t="n"/>
      <c r="K1008" s="77" t="str">
        <f>IF(AB1008=1,ROUND(AG1008/60,4),"")</f>
        <v/>
      </c>
      <c r="L1008" s="77" t="str">
        <f>IF(BD1008=1,ROUND(AP1008/60,4),"")</f>
        <v/>
      </c>
      <c r="M1008" s="77" t="str">
        <f>IF(BD1008=1,ROUND(AQ1008/60,4),"")</f>
        <v/>
      </c>
      <c r="N1008" s="71" t="str">
        <f>IF(AND(D1008="proMX",AB1008=1),ROUND(AG1008/CFG_BLK,2),"")</f>
        <v/>
      </c>
      <c r="O1008" s="77" t="str">
        <f>IF(D1008="proMX",IF(BD1008=1,ROUND(AG1008/60,4),0),"")</f>
        <v/>
      </c>
      <c r="P1008" s="78" t="str">
        <f>IF(Y1008=0,"",IF(BD1008=1,"OK",IF(D1008="proMX","Revisar bloques: ","Revisar: ")&amp;BC1008))</f>
        <v/>
      </c>
      <c r="Q1008" s="78" t="str">
        <f>IF(NOT(ISNUMBER(B1008)),"",IF(COUNTIFS(FER_F,INT(B1008))&gt;0,"Feriado"&amp;IF(AH1008=1," (laborable)"," (no laborable)"),IF(AH1008=1,"Laborable",IF(WEEKDAY(B1008,2)&gt;5,"Fin de semana","No laborable"))))</f>
        <v/>
      </c>
      <c r="R1008" s="73" t="n"/>
      <c r="S1008" s="72" t="n"/>
      <c r="T1008" s="72" t="n"/>
      <c r="U1008" s="74" t="n"/>
      <c r="V1008" s="79" t="str">
        <f>IF(AND(D1008="proMX",OR(R1008="Submitted",R1008="Recall Requested"),ISNUMBER(S1008)),CFG_TODAY-INT(S1008),"")</f>
        <v/>
      </c>
      <c r="W1008" s="78" t="str">
        <f>IF(BD1008=0,"",IF(BA1008&gt;0,"⚠ Se superpone con un registro de la otra empresa",IF(D1008="Malcolm",IF(COUNTA(R1008,S1008,T1008)&gt;0,"Estado/fechas proMX se ignoran en Malcolm",""),IF(BF1008="Cancelled","Cancelado: excluido de totales",IF(R1008="","Sin estado: se trata como Draft",IF(BF1008="Submitted",IF(ISNUMBER(V1008),IF(V1008&gt;CFG_MAXD,"⚠ "&amp;V1008&amp;" días en Submitted (máx. "&amp;CFG_MAXD&amp;")",""),"Falta fecha de envío"),IF(BF1008="Returned","⚠ Devuelto: corregir y reenviar",IF(BF1008="Recall Requested","Retirada solicitada: pendiente",IF(AND(BF1008="Approved",NOT(ISNUMBER(T1008))),"Falta fecha de aprobación",IF(AND(ISNUMBER(S1008),ISNUMBER(T1008),T1008&lt;S1008),"Aprobación anterior al envío","")))))))))</f>
        <v/>
      </c>
      <c r="Y1008" s="80">
        <f>IF(COUNTA(B1008,D1008,E1008,F1008,G1008,H1008,I1008,J1008,R1008,S1008,T1008)&gt;0,1,0)</f>
        <v>0</v>
      </c>
      <c r="Z1008" s="80" t="str">
        <f>IF(AND(ISNUMBER(H1008),H1008&gt;=0,H1008&lt;1),ROUND(H1008*1440,0),"")</f>
        <v/>
      </c>
      <c r="AA1008" s="80" t="str">
        <f>IF(AND(ISNUMBER(I1008),I1008&gt;=0,I1008&lt;1),ROUND(I1008*1440,0),"")</f>
        <v/>
      </c>
      <c r="AB1008" s="80">
        <f>IF(AND(ISNUMBER(B1008),D1008&lt;&gt;"",ISNUMBER(Z1008),ISNUMBER(AA1008)),IF(Z1008=AA1008,0,1),0)</f>
        <v>0</v>
      </c>
      <c r="AC1008" s="80">
        <f>IF(AB1008=1,IF(AA1008&lt;Z1008,1,0),0)</f>
        <v>0</v>
      </c>
      <c r="AD1008" s="80">
        <f>IF(AB1008=1,IF(AC1008=1,1440-Z1008+AA1008,AA1008-Z1008),0)</f>
        <v>0</v>
      </c>
      <c r="AE1008" s="80">
        <f>IF(J1008="",0,IF(ISNUMBER(J1008),J1008,-1))</f>
        <v>0</v>
      </c>
      <c r="AF1008" s="80">
        <f>MIN(MAX(0,AE1008),AD1008)</f>
        <v>0</v>
      </c>
      <c r="AG1008" s="80">
        <f>MAX(0,AD1008-MAX(0,AE1008))</f>
        <v>0</v>
      </c>
      <c r="AH1008" s="80">
        <f>IF(ISNUMBER(B1008),IF(AND(INDEX(CFG_WDAYS,WEEKDAY(INT(B1008),2))="Sí",IF(D1008="proMX",COUNTIFS(FER_F,INT(B1008),FER_NLP,"Sí"),COUNTIFS(FER_F,INT(B1008),FER_NLM,"Sí"))=0),1,0),0)</f>
        <v>0</v>
      </c>
      <c r="AI1008" s="80">
        <f>IF(AC1008=1,IF(AND(INDEX(CFG_WDAYS,WEEKDAY(INT(B1008)+1,2))="Sí",IF(D1008="proMX",COUNTIFS(FER_F,INT(B1008)+1,FER_NLP,"Sí"),COUNTIFS(FER_F,INT(B1008)+1,FER_NLM,"Sí"))=0),1,0),0)</f>
        <v>0</v>
      </c>
      <c r="AJ1008" s="80">
        <f>IF(AC1008=1,1440-Z1008,AD1008)</f>
        <v>0</v>
      </c>
      <c r="AK1008" s="80">
        <f>IF(AND(AB1008=1,AH1008=1),MAX(0,MIN(IF(AC1008=1,1440,AA1008),CFG_WEM)-MAX(Z1008,CFG_WSM)),0)</f>
        <v>0</v>
      </c>
      <c r="AL1008" s="80">
        <f>IF(AND(AC1008=1,AI1008=1),MAX(0,MIN(AA1008,CFG_WEM)-CFG_WSM),0)</f>
        <v>0</v>
      </c>
      <c r="AM1008" s="80">
        <f>AK1008+AL1008</f>
        <v>0</v>
      </c>
      <c r="AN1008" s="80">
        <f>IF(CFG_BRK="Proporcional",IF(AD1008=0,0,AF1008*AM1008/AD1008),IF(CFG_BRK="Extras primero",MIN(AM1008,MAX(0,AF1008-(AD1008-AM1008))),MIN(AF1008,AM1008)))</f>
        <v>0</v>
      </c>
      <c r="AO1008" s="80">
        <f>AF1008-AN1008</f>
        <v>0</v>
      </c>
      <c r="AP1008" s="80">
        <f>AM1008-AN1008</f>
        <v>0</v>
      </c>
      <c r="AQ1008" s="80">
        <f>AD1008-AM1008-AO1008</f>
        <v>0</v>
      </c>
      <c r="AR1008" s="80">
        <f>IF(AM1008=0,0,AK1008-AN1008*AK1008/AM1008)</f>
        <v>0</v>
      </c>
      <c r="AS1008" s="80">
        <f>IF(AD1008-AM1008=0,0,(AJ1008-AK1008)-AO1008*(AJ1008-AK1008)/(AD1008-AM1008))</f>
        <v>0</v>
      </c>
      <c r="AT1008" s="80" t="str">
        <f>IF(AC1008=1,INT(B1008)+1,"")</f>
        <v/>
      </c>
      <c r="AU1008" s="80">
        <f>IF(AND(D1008="proMX",R1008="Cancelled"),0,1)</f>
        <v>1</v>
      </c>
      <c r="AV1008" s="80">
        <f>IF(AND(AB1008=1,AU1008=1),IF(COUNTIFS($D$5:D1007,D1008,$B$5:B1007,B1008,$Z$5:Z1007,Z1008,$AA$5:AA1007,AA1008,$F$5:F1007,F1008&amp;"",$AU$5:AU1007,1)&gt;0,1,0),0)</f>
        <v>0</v>
      </c>
      <c r="AW1008" s="80" t="str">
        <f>IF(AB1008=1,INT(B1008)*1440+Z1008,"")</f>
        <v/>
      </c>
      <c r="AX1008" s="80" t="str">
        <f>IF(AB1008=1,AW1008+AD1008,"")</f>
        <v/>
      </c>
      <c r="AY1008" s="80">
        <f>IF(AND(AB1008=1,AV1008=0,AU1008=1),1,0)</f>
        <v>0</v>
      </c>
      <c r="AZ1008" s="80">
        <f>IF(AY1008=1,COUNTIFS(R_Emp,D1008,R_SAbs,"&lt;"&amp;AX1008,R_EAbs,"&gt;"&amp;AW1008,R_OKey,1)-1,0)</f>
        <v>0</v>
      </c>
      <c r="BA1008" s="80">
        <f>IF(AY1008=1,COUNTIFS(R_Emp,"&lt;&gt;"&amp;D1008,R_SAbs,"&lt;"&amp;AX1008,R_EAbs,"&gt;"&amp;AW1008,R_OKey,1),0)</f>
        <v>0</v>
      </c>
      <c r="BB1008" s="80">
        <f>IF(AND(AB1008=1,D1008="proMX"),IF(AND(MOD(Z1008,CFG_BLK)=0,MOD(AA1008,CFG_BLK)=0,MOD(AG1008,CFG_BLK)=0,AG1008&gt;0),1,0),1)</f>
        <v>1</v>
      </c>
      <c r="BC1008" s="80" t="str">
        <f>IF(Y1008=0,"",IF(NOT(ISNUMBER(B1008)),"Falta fecha o fecha inválida",IF(D1008="","Falta empresa",IF(AND(D1008&lt;&gt;"Malcolm",D1008&lt;&gt;"proMX"),"Empresa inválida",IF(OR(INT(B1008)&lt;CFG_PSTART,INT(B1008)&gt;CFG_PEND),"Fecha fuera del período",IF(OR(NOT(ISNUMBER(Z1008)),NOT(ISNUMBER(AA1008))),"Falta hora inicio/fin o formato inválido",IF(AB1008=0,"Hora inicio = hora fin",IF(AE1008&lt;0,"Descanso inválido",IF(AE1008&gt;=AD1008,"Descanso ≥ duración",IF(AV1008=1,"Registro duplicado",IF(AZ1008&gt;0,"Se superpone con otro registro "&amp;D1008,IF(BB1008=0,"inicio, fin y duración neta deben ser múltiplos de "&amp;CFG_BLK&amp;" min",""))))))))))))</f>
        <v/>
      </c>
      <c r="BD1008" s="80">
        <f>IF(AND(Y1008=1,BC1008=""),1,0)</f>
        <v>0</v>
      </c>
      <c r="BE1008" s="80">
        <f>IF(AND(BD1008=1,AU1008=1),1,0)</f>
        <v>0</v>
      </c>
      <c r="BF1008" s="80" t="str">
        <f>IF(AND(D1008="proMX",BD1008=1),IF(R1008="","Draft",R1008),"")</f>
        <v/>
      </c>
      <c r="BG1008" s="80">
        <f>IF(BD1008=1,ROUND(AG1008/60,6),0)</f>
        <v>0</v>
      </c>
      <c r="BH1008" s="80">
        <f>IF(BE1008=1,ROUND(AG1008/60,6),0)</f>
        <v>0</v>
      </c>
      <c r="BI1008" s="80">
        <f>IF(BE1008=1,ROUND(AP1008/60,6),0)</f>
        <v>0</v>
      </c>
      <c r="BJ1008" s="80">
        <f>IF(BE1008=1,ROUND(AQ1008/60,6),0)</f>
        <v>0</v>
      </c>
      <c r="BK1008" s="80">
        <f>IF(BE1008=1,ROUND((AR1008+AS1008)/60,6),0)</f>
        <v>0</v>
      </c>
      <c r="BL1008" s="80">
        <f>ROUND(BH1008-BK1008,6)</f>
        <v>0</v>
      </c>
      <c r="BM1008" s="80">
        <f>IF(BE1008=1,ROUND(AR1008/60,6),0)</f>
        <v>0</v>
      </c>
      <c r="BN1008" s="80">
        <f>ROUND(BI1008-BM1008,6)</f>
        <v>0</v>
      </c>
      <c r="BO1008" s="80">
        <f>IF(BE1008=1,ROUND(AS1008/60,6),0)</f>
        <v>0</v>
      </c>
      <c r="BP1008" s="80">
        <f>ROUND(BJ1008-BO1008,6)</f>
        <v>0</v>
      </c>
      <c r="BQ1008" s="80">
        <f>IF(BE1008=1,AW1008,0)</f>
        <v>0</v>
      </c>
      <c r="BR1008" s="80">
        <f>IF(BE1008=1,AX1008,0)</f>
        <v>0</v>
      </c>
      <c r="BS1008" s="80">
        <f>IF(AND(BE1008=1,D1008="Malcolm",BA1008&gt;0),MIN(BH1008,SUMPRODUCT((R_Emp="proMX")*(R_EN&gt;0)*((R_EN-(R_EN&gt;BR1008)*(R_EN-BR1008))&gt;(R_SN+(R_SN&lt;BQ1008)*(BQ1008-R_SN)))*((R_EN-(R_EN&gt;BR1008)*(R_EN-BR1008))-(R_SN+(R_SN&lt;BQ1008)*(BQ1008-R_SN))))/60),0)</f>
        <v>0</v>
      </c>
      <c r="BT1008" s="80">
        <f>IF(AND(BE1008=1,D1008="proMX"),ROUND(BI1008*CFG_RATE+BJ1008*CFG_OTRATE,6),0)</f>
        <v>0</v>
      </c>
      <c r="BU1008" s="80">
        <f>IF(AND(BD1008=1,D1008="proMX"),ROUND(AG1008/CFG_BLK,6),0)</f>
        <v>0</v>
      </c>
      <c r="BV1008" s="80" t="str">
        <f>IF(BF1008="Approved",IF(ISNUMBER(T1008),INT(T1008),INT(B1008)),"")</f>
        <v/>
      </c>
      <c r="BW1008" s="80">
        <f>IF(ISNUMBER(B1008),IF(DB_MON="Todos",1,IF(AND(INT(B1008)&gt;=DB_MS,INT(B1008)&lt;=DB_ME),1,0)),0)</f>
        <v>0</v>
      </c>
      <c r="BX1008" s="80">
        <f>IF(DB_PROJ="Todos",1,IF(E1008&amp;""=DB_PROJ&amp;"",1,0))</f>
        <v>1</v>
      </c>
      <c r="BY1008" s="80">
        <f>BW1008*BX1008</f>
        <v>0</v>
      </c>
      <c r="BZ1008" s="80" t="str">
        <f>IF(Y1008=1,F1008&amp;IF(AND(F1008&amp;""&lt;&gt;"",E1008&amp;""&lt;&gt;"")," · ","")&amp;E1008,"")</f>
        <v/>
      </c>
      <c r="CA1008" s="80" t="str">
        <f>IF(AND(BD1008=1,E1008&amp;""&lt;&gt;""),IF(COUNTIFS($E$5:E1007,E1008,$BD$5:BD1007,1)=0,MAX($CA$5:CA1007)+1,""),"")</f>
        <v/>
      </c>
      <c r="CB1008" s="80" t="str">
        <f>IF(AND(BE1008=1,D1008="Malcolm",E1008&amp;""&lt;&gt;""),IF(COUNTIFS($D$5:D1007,"Malcolm",$E$5:E1007,E1008,$BE$5:BE1007,1)=0,MAX($CB$5:CB1007)+1,""),"")</f>
        <v/>
      </c>
      <c r="CC1008" s="80" t="str">
        <f>IF(AND(BD1008=1,D1008="proMX",E1008&amp;""&lt;&gt;""),IF(COUNTIFS($D$5:D1007,"proMX",$E$5:E1007,E1008,$BD$5:BD1007,1)=0,MAX($CC$5:CC1007)+1,""),"")</f>
        <v/>
      </c>
      <c r="CD1008" s="80" t="str">
        <f>IF(AND(BE1008=1,D1008="Malcolm",F1008&amp;""&lt;&gt;""),IF(COUNTIFS($D$5:D1007,"Malcolm",$F$5:F1007,F1008,$BE$5:BE1007,1)=0,MAX($CD$5:CD1007)+1,""),"")</f>
        <v/>
      </c>
      <c r="CE1008" s="80" t="str">
        <f>IF(AND(BD1008=1,D1008="proMX",F1008&amp;""&lt;&gt;""),IF(COUNTIFS($D$5:D1007,"proMX",$F$5:F1007,F1008,$BD$5:BD1007,1)=0,MAX($CE$5:CE1007)+1,""),"")</f>
        <v/>
      </c>
      <c r="CF1008" s="80" t="str">
        <f>IF(AND(D1008="proMX",BD1008=1),IF(OR(BF1008="Draft",BF1008="Submitted",BF1008="Returned",BF1008="Recall Requested"),MAX($CF$5:CF1007)+1,""),"")</f>
        <v/>
      </c>
      <c r="CG1008" s="80">
        <f>IF(BD1008=0,0,IF(D1008="Malcolm",1,MATCH(BF1008,{"Draft","Submitted","Approved","Returned","Recall Requested","Cancelled"},0)+1))</f>
        <v>0</v>
      </c>
      <c r="CH1008" s="80">
        <f>IF(AND(BF1008="Submitted",ISNUMBER(V1008)),IF(V1008&gt;CFG_MAXD,1,0),0)</f>
        <v>0</v>
      </c>
    </row>
    <row r="1009">
      <c r="A1009" s="71" t="str">
        <f>IF(Y1009=1,ROW()-5,"")</f>
        <v/>
      </c>
      <c r="B1009" s="72" t="n"/>
      <c r="C1009" s="71" t="str">
        <f>IF(ISNUMBER(B1009),CHOOSE(WEEKDAY(B1009,2),"Lun","Mar","Mié","Jue","Vie","Sáb","Dom"),"")</f>
        <v/>
      </c>
      <c r="D1009" s="73" t="n"/>
      <c r="E1009" s="74" t="n"/>
      <c r="F1009" s="74" t="n"/>
      <c r="G1009" s="74" t="n"/>
      <c r="H1009" s="75" t="n"/>
      <c r="I1009" s="75" t="n"/>
      <c r="J1009" s="76" t="n"/>
      <c r="K1009" s="77" t="str">
        <f>IF(AB1009=1,ROUND(AG1009/60,4),"")</f>
        <v/>
      </c>
      <c r="L1009" s="77" t="str">
        <f>IF(BD1009=1,ROUND(AP1009/60,4),"")</f>
        <v/>
      </c>
      <c r="M1009" s="77" t="str">
        <f>IF(BD1009=1,ROUND(AQ1009/60,4),"")</f>
        <v/>
      </c>
      <c r="N1009" s="71" t="str">
        <f>IF(AND(D1009="proMX",AB1009=1),ROUND(AG1009/CFG_BLK,2),"")</f>
        <v/>
      </c>
      <c r="O1009" s="77" t="str">
        <f>IF(D1009="proMX",IF(BD1009=1,ROUND(AG1009/60,4),0),"")</f>
        <v/>
      </c>
      <c r="P1009" s="78" t="str">
        <f>IF(Y1009=0,"",IF(BD1009=1,"OK",IF(D1009="proMX","Revisar bloques: ","Revisar: ")&amp;BC1009))</f>
        <v/>
      </c>
      <c r="Q1009" s="78" t="str">
        <f>IF(NOT(ISNUMBER(B1009)),"",IF(COUNTIFS(FER_F,INT(B1009))&gt;0,"Feriado"&amp;IF(AH1009=1," (laborable)"," (no laborable)"),IF(AH1009=1,"Laborable",IF(WEEKDAY(B1009,2)&gt;5,"Fin de semana","No laborable"))))</f>
        <v/>
      </c>
      <c r="R1009" s="73" t="n"/>
      <c r="S1009" s="72" t="n"/>
      <c r="T1009" s="72" t="n"/>
      <c r="U1009" s="74" t="n"/>
      <c r="V1009" s="79" t="str">
        <f>IF(AND(D1009="proMX",OR(R1009="Submitted",R1009="Recall Requested"),ISNUMBER(S1009)),CFG_TODAY-INT(S1009),"")</f>
        <v/>
      </c>
      <c r="W1009" s="78" t="str">
        <f>IF(BD1009=0,"",IF(BA1009&gt;0,"⚠ Se superpone con un registro de la otra empresa",IF(D1009="Malcolm",IF(COUNTA(R1009,S1009,T1009)&gt;0,"Estado/fechas proMX se ignoran en Malcolm",""),IF(BF1009="Cancelled","Cancelado: excluido de totales",IF(R1009="","Sin estado: se trata como Draft",IF(BF1009="Submitted",IF(ISNUMBER(V1009),IF(V1009&gt;CFG_MAXD,"⚠ "&amp;V1009&amp;" días en Submitted (máx. "&amp;CFG_MAXD&amp;")",""),"Falta fecha de envío"),IF(BF1009="Returned","⚠ Devuelto: corregir y reenviar",IF(BF1009="Recall Requested","Retirada solicitada: pendiente",IF(AND(BF1009="Approved",NOT(ISNUMBER(T1009))),"Falta fecha de aprobación",IF(AND(ISNUMBER(S1009),ISNUMBER(T1009),T1009&lt;S1009),"Aprobación anterior al envío","")))))))))</f>
        <v/>
      </c>
      <c r="Y1009" s="80">
        <f>IF(COUNTA(B1009,D1009,E1009,F1009,G1009,H1009,I1009,J1009,R1009,S1009,T1009)&gt;0,1,0)</f>
        <v>0</v>
      </c>
      <c r="Z1009" s="80" t="str">
        <f>IF(AND(ISNUMBER(H1009),H1009&gt;=0,H1009&lt;1),ROUND(H1009*1440,0),"")</f>
        <v/>
      </c>
      <c r="AA1009" s="80" t="str">
        <f>IF(AND(ISNUMBER(I1009),I1009&gt;=0,I1009&lt;1),ROUND(I1009*1440,0),"")</f>
        <v/>
      </c>
      <c r="AB1009" s="80">
        <f>IF(AND(ISNUMBER(B1009),D1009&lt;&gt;"",ISNUMBER(Z1009),ISNUMBER(AA1009)),IF(Z1009=AA1009,0,1),0)</f>
        <v>0</v>
      </c>
      <c r="AC1009" s="80">
        <f>IF(AB1009=1,IF(AA1009&lt;Z1009,1,0),0)</f>
        <v>0</v>
      </c>
      <c r="AD1009" s="80">
        <f>IF(AB1009=1,IF(AC1009=1,1440-Z1009+AA1009,AA1009-Z1009),0)</f>
        <v>0</v>
      </c>
      <c r="AE1009" s="80">
        <f>IF(J1009="",0,IF(ISNUMBER(J1009),J1009,-1))</f>
        <v>0</v>
      </c>
      <c r="AF1009" s="80">
        <f>MIN(MAX(0,AE1009),AD1009)</f>
        <v>0</v>
      </c>
      <c r="AG1009" s="80">
        <f>MAX(0,AD1009-MAX(0,AE1009))</f>
        <v>0</v>
      </c>
      <c r="AH1009" s="80">
        <f>IF(ISNUMBER(B1009),IF(AND(INDEX(CFG_WDAYS,WEEKDAY(INT(B1009),2))="Sí",IF(D1009="proMX",COUNTIFS(FER_F,INT(B1009),FER_NLP,"Sí"),COUNTIFS(FER_F,INT(B1009),FER_NLM,"Sí"))=0),1,0),0)</f>
        <v>0</v>
      </c>
      <c r="AI1009" s="80">
        <f>IF(AC1009=1,IF(AND(INDEX(CFG_WDAYS,WEEKDAY(INT(B1009)+1,2))="Sí",IF(D1009="proMX",COUNTIFS(FER_F,INT(B1009)+1,FER_NLP,"Sí"),COUNTIFS(FER_F,INT(B1009)+1,FER_NLM,"Sí"))=0),1,0),0)</f>
        <v>0</v>
      </c>
      <c r="AJ1009" s="80">
        <f>IF(AC1009=1,1440-Z1009,AD1009)</f>
        <v>0</v>
      </c>
      <c r="AK1009" s="80">
        <f>IF(AND(AB1009=1,AH1009=1),MAX(0,MIN(IF(AC1009=1,1440,AA1009),CFG_WEM)-MAX(Z1009,CFG_WSM)),0)</f>
        <v>0</v>
      </c>
      <c r="AL1009" s="80">
        <f>IF(AND(AC1009=1,AI1009=1),MAX(0,MIN(AA1009,CFG_WEM)-CFG_WSM),0)</f>
        <v>0</v>
      </c>
      <c r="AM1009" s="80">
        <f>AK1009+AL1009</f>
        <v>0</v>
      </c>
      <c r="AN1009" s="80">
        <f>IF(CFG_BRK="Proporcional",IF(AD1009=0,0,AF1009*AM1009/AD1009),IF(CFG_BRK="Extras primero",MIN(AM1009,MAX(0,AF1009-(AD1009-AM1009))),MIN(AF1009,AM1009)))</f>
        <v>0</v>
      </c>
      <c r="AO1009" s="80">
        <f>AF1009-AN1009</f>
        <v>0</v>
      </c>
      <c r="AP1009" s="80">
        <f>AM1009-AN1009</f>
        <v>0</v>
      </c>
      <c r="AQ1009" s="80">
        <f>AD1009-AM1009-AO1009</f>
        <v>0</v>
      </c>
      <c r="AR1009" s="80">
        <f>IF(AM1009=0,0,AK1009-AN1009*AK1009/AM1009)</f>
        <v>0</v>
      </c>
      <c r="AS1009" s="80">
        <f>IF(AD1009-AM1009=0,0,(AJ1009-AK1009)-AO1009*(AJ1009-AK1009)/(AD1009-AM1009))</f>
        <v>0</v>
      </c>
      <c r="AT1009" s="80" t="str">
        <f>IF(AC1009=1,INT(B1009)+1,"")</f>
        <v/>
      </c>
      <c r="AU1009" s="80">
        <f>IF(AND(D1009="proMX",R1009="Cancelled"),0,1)</f>
        <v>1</v>
      </c>
      <c r="AV1009" s="80">
        <f>IF(AND(AB1009=1,AU1009=1),IF(COUNTIFS($D$5:D1008,D1009,$B$5:B1008,B1009,$Z$5:Z1008,Z1009,$AA$5:AA1008,AA1009,$F$5:F1008,F1009&amp;"",$AU$5:AU1008,1)&gt;0,1,0),0)</f>
        <v>0</v>
      </c>
      <c r="AW1009" s="80" t="str">
        <f>IF(AB1009=1,INT(B1009)*1440+Z1009,"")</f>
        <v/>
      </c>
      <c r="AX1009" s="80" t="str">
        <f>IF(AB1009=1,AW1009+AD1009,"")</f>
        <v/>
      </c>
      <c r="AY1009" s="80">
        <f>IF(AND(AB1009=1,AV1009=0,AU1009=1),1,0)</f>
        <v>0</v>
      </c>
      <c r="AZ1009" s="80">
        <f>IF(AY1009=1,COUNTIFS(R_Emp,D1009,R_SAbs,"&lt;"&amp;AX1009,R_EAbs,"&gt;"&amp;AW1009,R_OKey,1)-1,0)</f>
        <v>0</v>
      </c>
      <c r="BA1009" s="80">
        <f>IF(AY1009=1,COUNTIFS(R_Emp,"&lt;&gt;"&amp;D1009,R_SAbs,"&lt;"&amp;AX1009,R_EAbs,"&gt;"&amp;AW1009,R_OKey,1),0)</f>
        <v>0</v>
      </c>
      <c r="BB1009" s="80">
        <f>IF(AND(AB1009=1,D1009="proMX"),IF(AND(MOD(Z1009,CFG_BLK)=0,MOD(AA1009,CFG_BLK)=0,MOD(AG1009,CFG_BLK)=0,AG1009&gt;0),1,0),1)</f>
        <v>1</v>
      </c>
      <c r="BC1009" s="80" t="str">
        <f>IF(Y1009=0,"",IF(NOT(ISNUMBER(B1009)),"Falta fecha o fecha inválida",IF(D1009="","Falta empresa",IF(AND(D1009&lt;&gt;"Malcolm",D1009&lt;&gt;"proMX"),"Empresa inválida",IF(OR(INT(B1009)&lt;CFG_PSTART,INT(B1009)&gt;CFG_PEND),"Fecha fuera del período",IF(OR(NOT(ISNUMBER(Z1009)),NOT(ISNUMBER(AA1009))),"Falta hora inicio/fin o formato inválido",IF(AB1009=0,"Hora inicio = hora fin",IF(AE1009&lt;0,"Descanso inválido",IF(AE1009&gt;=AD1009,"Descanso ≥ duración",IF(AV1009=1,"Registro duplicado",IF(AZ1009&gt;0,"Se superpone con otro registro "&amp;D1009,IF(BB1009=0,"inicio, fin y duración neta deben ser múltiplos de "&amp;CFG_BLK&amp;" min",""))))))))))))</f>
        <v/>
      </c>
      <c r="BD1009" s="80">
        <f>IF(AND(Y1009=1,BC1009=""),1,0)</f>
        <v>0</v>
      </c>
      <c r="BE1009" s="80">
        <f>IF(AND(BD1009=1,AU1009=1),1,0)</f>
        <v>0</v>
      </c>
      <c r="BF1009" s="80" t="str">
        <f>IF(AND(D1009="proMX",BD1009=1),IF(R1009="","Draft",R1009),"")</f>
        <v/>
      </c>
      <c r="BG1009" s="80">
        <f>IF(BD1009=1,ROUND(AG1009/60,6),0)</f>
        <v>0</v>
      </c>
      <c r="BH1009" s="80">
        <f>IF(BE1009=1,ROUND(AG1009/60,6),0)</f>
        <v>0</v>
      </c>
      <c r="BI1009" s="80">
        <f>IF(BE1009=1,ROUND(AP1009/60,6),0)</f>
        <v>0</v>
      </c>
      <c r="BJ1009" s="80">
        <f>IF(BE1009=1,ROUND(AQ1009/60,6),0)</f>
        <v>0</v>
      </c>
      <c r="BK1009" s="80">
        <f>IF(BE1009=1,ROUND((AR1009+AS1009)/60,6),0)</f>
        <v>0</v>
      </c>
      <c r="BL1009" s="80">
        <f>ROUND(BH1009-BK1009,6)</f>
        <v>0</v>
      </c>
      <c r="BM1009" s="80">
        <f>IF(BE1009=1,ROUND(AR1009/60,6),0)</f>
        <v>0</v>
      </c>
      <c r="BN1009" s="80">
        <f>ROUND(BI1009-BM1009,6)</f>
        <v>0</v>
      </c>
      <c r="BO1009" s="80">
        <f>IF(BE1009=1,ROUND(AS1009/60,6),0)</f>
        <v>0</v>
      </c>
      <c r="BP1009" s="80">
        <f>ROUND(BJ1009-BO1009,6)</f>
        <v>0</v>
      </c>
      <c r="BQ1009" s="80">
        <f>IF(BE1009=1,AW1009,0)</f>
        <v>0</v>
      </c>
      <c r="BR1009" s="80">
        <f>IF(BE1009=1,AX1009,0)</f>
        <v>0</v>
      </c>
      <c r="BS1009" s="80">
        <f>IF(AND(BE1009=1,D1009="Malcolm",BA1009&gt;0),MIN(BH1009,SUMPRODUCT((R_Emp="proMX")*(R_EN&gt;0)*((R_EN-(R_EN&gt;BR1009)*(R_EN-BR1009))&gt;(R_SN+(R_SN&lt;BQ1009)*(BQ1009-R_SN)))*((R_EN-(R_EN&gt;BR1009)*(R_EN-BR1009))-(R_SN+(R_SN&lt;BQ1009)*(BQ1009-R_SN))))/60),0)</f>
        <v>0</v>
      </c>
      <c r="BT1009" s="80">
        <f>IF(AND(BE1009=1,D1009="proMX"),ROUND(BI1009*CFG_RATE+BJ1009*CFG_OTRATE,6),0)</f>
        <v>0</v>
      </c>
      <c r="BU1009" s="80">
        <f>IF(AND(BD1009=1,D1009="proMX"),ROUND(AG1009/CFG_BLK,6),0)</f>
        <v>0</v>
      </c>
      <c r="BV1009" s="80" t="str">
        <f>IF(BF1009="Approved",IF(ISNUMBER(T1009),INT(T1009),INT(B1009)),"")</f>
        <v/>
      </c>
      <c r="BW1009" s="80">
        <f>IF(ISNUMBER(B1009),IF(DB_MON="Todos",1,IF(AND(INT(B1009)&gt;=DB_MS,INT(B1009)&lt;=DB_ME),1,0)),0)</f>
        <v>0</v>
      </c>
      <c r="BX1009" s="80">
        <f>IF(DB_PROJ="Todos",1,IF(E1009&amp;""=DB_PROJ&amp;"",1,0))</f>
        <v>1</v>
      </c>
      <c r="BY1009" s="80">
        <f>BW1009*BX1009</f>
        <v>0</v>
      </c>
      <c r="BZ1009" s="80" t="str">
        <f>IF(Y1009=1,F1009&amp;IF(AND(F1009&amp;""&lt;&gt;"",E1009&amp;""&lt;&gt;"")," · ","")&amp;E1009,"")</f>
        <v/>
      </c>
      <c r="CA1009" s="80" t="str">
        <f>IF(AND(BD1009=1,E1009&amp;""&lt;&gt;""),IF(COUNTIFS($E$5:E1008,E1009,$BD$5:BD1008,1)=0,MAX($CA$5:CA1008)+1,""),"")</f>
        <v/>
      </c>
      <c r="CB1009" s="80" t="str">
        <f>IF(AND(BE1009=1,D1009="Malcolm",E1009&amp;""&lt;&gt;""),IF(COUNTIFS($D$5:D1008,"Malcolm",$E$5:E1008,E1009,$BE$5:BE1008,1)=0,MAX($CB$5:CB1008)+1,""),"")</f>
        <v/>
      </c>
      <c r="CC1009" s="80" t="str">
        <f>IF(AND(BD1009=1,D1009="proMX",E1009&amp;""&lt;&gt;""),IF(COUNTIFS($D$5:D1008,"proMX",$E$5:E1008,E1009,$BD$5:BD1008,1)=0,MAX($CC$5:CC1008)+1,""),"")</f>
        <v/>
      </c>
      <c r="CD1009" s="80" t="str">
        <f>IF(AND(BE1009=1,D1009="Malcolm",F1009&amp;""&lt;&gt;""),IF(COUNTIFS($D$5:D1008,"Malcolm",$F$5:F1008,F1009,$BE$5:BE1008,1)=0,MAX($CD$5:CD1008)+1,""),"")</f>
        <v/>
      </c>
      <c r="CE1009" s="80" t="str">
        <f>IF(AND(BD1009=1,D1009="proMX",F1009&amp;""&lt;&gt;""),IF(COUNTIFS($D$5:D1008,"proMX",$F$5:F1008,F1009,$BD$5:BD1008,1)=0,MAX($CE$5:CE1008)+1,""),"")</f>
        <v/>
      </c>
      <c r="CF1009" s="80" t="str">
        <f>IF(AND(D1009="proMX",BD1009=1),IF(OR(BF1009="Draft",BF1009="Submitted",BF1009="Returned",BF1009="Recall Requested"),MAX($CF$5:CF1008)+1,""),"")</f>
        <v/>
      </c>
      <c r="CG1009" s="80">
        <f>IF(BD1009=0,0,IF(D1009="Malcolm",1,MATCH(BF1009,{"Draft","Submitted","Approved","Returned","Recall Requested","Cancelled"},0)+1))</f>
        <v>0</v>
      </c>
      <c r="CH1009" s="80">
        <f>IF(AND(BF1009="Submitted",ISNUMBER(V1009)),IF(V1009&gt;CFG_MAXD,1,0),0)</f>
        <v>0</v>
      </c>
    </row>
    <row r="1010">
      <c r="A1010" s="71" t="str">
        <f>IF(Y1010=1,ROW()-5,"")</f>
        <v/>
      </c>
      <c r="B1010" s="72" t="n"/>
      <c r="C1010" s="71" t="str">
        <f>IF(ISNUMBER(B1010),CHOOSE(WEEKDAY(B1010,2),"Lun","Mar","Mié","Jue","Vie","Sáb","Dom"),"")</f>
        <v/>
      </c>
      <c r="D1010" s="73" t="n"/>
      <c r="E1010" s="74" t="n"/>
      <c r="F1010" s="74" t="n"/>
      <c r="G1010" s="74" t="n"/>
      <c r="H1010" s="75" t="n"/>
      <c r="I1010" s="75" t="n"/>
      <c r="J1010" s="76" t="n"/>
      <c r="K1010" s="77" t="str">
        <f>IF(AB1010=1,ROUND(AG1010/60,4),"")</f>
        <v/>
      </c>
      <c r="L1010" s="77" t="str">
        <f>IF(BD1010=1,ROUND(AP1010/60,4),"")</f>
        <v/>
      </c>
      <c r="M1010" s="77" t="str">
        <f>IF(BD1010=1,ROUND(AQ1010/60,4),"")</f>
        <v/>
      </c>
      <c r="N1010" s="71" t="str">
        <f>IF(AND(D1010="proMX",AB1010=1),ROUND(AG1010/CFG_BLK,2),"")</f>
        <v/>
      </c>
      <c r="O1010" s="77" t="str">
        <f>IF(D1010="proMX",IF(BD1010=1,ROUND(AG1010/60,4),0),"")</f>
        <v/>
      </c>
      <c r="P1010" s="78" t="str">
        <f>IF(Y1010=0,"",IF(BD1010=1,"OK",IF(D1010="proMX","Revisar bloques: ","Revisar: ")&amp;BC1010))</f>
        <v/>
      </c>
      <c r="Q1010" s="78" t="str">
        <f>IF(NOT(ISNUMBER(B1010)),"",IF(COUNTIFS(FER_F,INT(B1010))&gt;0,"Feriado"&amp;IF(AH1010=1," (laborable)"," (no laborable)"),IF(AH1010=1,"Laborable",IF(WEEKDAY(B1010,2)&gt;5,"Fin de semana","No laborable"))))</f>
        <v/>
      </c>
      <c r="R1010" s="73" t="n"/>
      <c r="S1010" s="72" t="n"/>
      <c r="T1010" s="72" t="n"/>
      <c r="U1010" s="74" t="n"/>
      <c r="V1010" s="79" t="str">
        <f>IF(AND(D1010="proMX",OR(R1010="Submitted",R1010="Recall Requested"),ISNUMBER(S1010)),CFG_TODAY-INT(S1010),"")</f>
        <v/>
      </c>
      <c r="W1010" s="78" t="str">
        <f>IF(BD1010=0,"",IF(BA1010&gt;0,"⚠ Se superpone con un registro de la otra empresa",IF(D1010="Malcolm",IF(COUNTA(R1010,S1010,T1010)&gt;0,"Estado/fechas proMX se ignoran en Malcolm",""),IF(BF1010="Cancelled","Cancelado: excluido de totales",IF(R1010="","Sin estado: se trata como Draft",IF(BF1010="Submitted",IF(ISNUMBER(V1010),IF(V1010&gt;CFG_MAXD,"⚠ "&amp;V1010&amp;" días en Submitted (máx. "&amp;CFG_MAXD&amp;")",""),"Falta fecha de envío"),IF(BF1010="Returned","⚠ Devuelto: corregir y reenviar",IF(BF1010="Recall Requested","Retirada solicitada: pendiente",IF(AND(BF1010="Approved",NOT(ISNUMBER(T1010))),"Falta fecha de aprobación",IF(AND(ISNUMBER(S1010),ISNUMBER(T1010),T1010&lt;S1010),"Aprobación anterior al envío","")))))))))</f>
        <v/>
      </c>
      <c r="Y1010" s="80">
        <f>IF(COUNTA(B1010,D1010,E1010,F1010,G1010,H1010,I1010,J1010,R1010,S1010,T1010)&gt;0,1,0)</f>
        <v>0</v>
      </c>
      <c r="Z1010" s="80" t="str">
        <f>IF(AND(ISNUMBER(H1010),H1010&gt;=0,H1010&lt;1),ROUND(H1010*1440,0),"")</f>
        <v/>
      </c>
      <c r="AA1010" s="80" t="str">
        <f>IF(AND(ISNUMBER(I1010),I1010&gt;=0,I1010&lt;1),ROUND(I1010*1440,0),"")</f>
        <v/>
      </c>
      <c r="AB1010" s="80">
        <f>IF(AND(ISNUMBER(B1010),D1010&lt;&gt;"",ISNUMBER(Z1010),ISNUMBER(AA1010)),IF(Z1010=AA1010,0,1),0)</f>
        <v>0</v>
      </c>
      <c r="AC1010" s="80">
        <f>IF(AB1010=1,IF(AA1010&lt;Z1010,1,0),0)</f>
        <v>0</v>
      </c>
      <c r="AD1010" s="80">
        <f>IF(AB1010=1,IF(AC1010=1,1440-Z1010+AA1010,AA1010-Z1010),0)</f>
        <v>0</v>
      </c>
      <c r="AE1010" s="80">
        <f>IF(J1010="",0,IF(ISNUMBER(J1010),J1010,-1))</f>
        <v>0</v>
      </c>
      <c r="AF1010" s="80">
        <f>MIN(MAX(0,AE1010),AD1010)</f>
        <v>0</v>
      </c>
      <c r="AG1010" s="80">
        <f>MAX(0,AD1010-MAX(0,AE1010))</f>
        <v>0</v>
      </c>
      <c r="AH1010" s="80">
        <f>IF(ISNUMBER(B1010),IF(AND(INDEX(CFG_WDAYS,WEEKDAY(INT(B1010),2))="Sí",IF(D1010="proMX",COUNTIFS(FER_F,INT(B1010),FER_NLP,"Sí"),COUNTIFS(FER_F,INT(B1010),FER_NLM,"Sí"))=0),1,0),0)</f>
        <v>0</v>
      </c>
      <c r="AI1010" s="80">
        <f>IF(AC1010=1,IF(AND(INDEX(CFG_WDAYS,WEEKDAY(INT(B1010)+1,2))="Sí",IF(D1010="proMX",COUNTIFS(FER_F,INT(B1010)+1,FER_NLP,"Sí"),COUNTIFS(FER_F,INT(B1010)+1,FER_NLM,"Sí"))=0),1,0),0)</f>
        <v>0</v>
      </c>
      <c r="AJ1010" s="80">
        <f>IF(AC1010=1,1440-Z1010,AD1010)</f>
        <v>0</v>
      </c>
      <c r="AK1010" s="80">
        <f>IF(AND(AB1010=1,AH1010=1),MAX(0,MIN(IF(AC1010=1,1440,AA1010),CFG_WEM)-MAX(Z1010,CFG_WSM)),0)</f>
        <v>0</v>
      </c>
      <c r="AL1010" s="80">
        <f>IF(AND(AC1010=1,AI1010=1),MAX(0,MIN(AA1010,CFG_WEM)-CFG_WSM),0)</f>
        <v>0</v>
      </c>
      <c r="AM1010" s="80">
        <f>AK1010+AL1010</f>
        <v>0</v>
      </c>
      <c r="AN1010" s="80">
        <f>IF(CFG_BRK="Proporcional",IF(AD1010=0,0,AF1010*AM1010/AD1010),IF(CFG_BRK="Extras primero",MIN(AM1010,MAX(0,AF1010-(AD1010-AM1010))),MIN(AF1010,AM1010)))</f>
        <v>0</v>
      </c>
      <c r="AO1010" s="80">
        <f>AF1010-AN1010</f>
        <v>0</v>
      </c>
      <c r="AP1010" s="80">
        <f>AM1010-AN1010</f>
        <v>0</v>
      </c>
      <c r="AQ1010" s="80">
        <f>AD1010-AM1010-AO1010</f>
        <v>0</v>
      </c>
      <c r="AR1010" s="80">
        <f>IF(AM1010=0,0,AK1010-AN1010*AK1010/AM1010)</f>
        <v>0</v>
      </c>
      <c r="AS1010" s="80">
        <f>IF(AD1010-AM1010=0,0,(AJ1010-AK1010)-AO1010*(AJ1010-AK1010)/(AD1010-AM1010))</f>
        <v>0</v>
      </c>
      <c r="AT1010" s="80" t="str">
        <f>IF(AC1010=1,INT(B1010)+1,"")</f>
        <v/>
      </c>
      <c r="AU1010" s="80">
        <f>IF(AND(D1010="proMX",R1010="Cancelled"),0,1)</f>
        <v>1</v>
      </c>
      <c r="AV1010" s="80">
        <f>IF(AND(AB1010=1,AU1010=1),IF(COUNTIFS($D$5:D1009,D1010,$B$5:B1009,B1010,$Z$5:Z1009,Z1010,$AA$5:AA1009,AA1010,$F$5:F1009,F1010&amp;"",$AU$5:AU1009,1)&gt;0,1,0),0)</f>
        <v>0</v>
      </c>
      <c r="AW1010" s="80" t="str">
        <f>IF(AB1010=1,INT(B1010)*1440+Z1010,"")</f>
        <v/>
      </c>
      <c r="AX1010" s="80" t="str">
        <f>IF(AB1010=1,AW1010+AD1010,"")</f>
        <v/>
      </c>
      <c r="AY1010" s="80">
        <f>IF(AND(AB1010=1,AV1010=0,AU1010=1),1,0)</f>
        <v>0</v>
      </c>
      <c r="AZ1010" s="80">
        <f>IF(AY1010=1,COUNTIFS(R_Emp,D1010,R_SAbs,"&lt;"&amp;AX1010,R_EAbs,"&gt;"&amp;AW1010,R_OKey,1)-1,0)</f>
        <v>0</v>
      </c>
      <c r="BA1010" s="80">
        <f>IF(AY1010=1,COUNTIFS(R_Emp,"&lt;&gt;"&amp;D1010,R_SAbs,"&lt;"&amp;AX1010,R_EAbs,"&gt;"&amp;AW1010,R_OKey,1),0)</f>
        <v>0</v>
      </c>
      <c r="BB1010" s="80">
        <f>IF(AND(AB1010=1,D1010="proMX"),IF(AND(MOD(Z1010,CFG_BLK)=0,MOD(AA1010,CFG_BLK)=0,MOD(AG1010,CFG_BLK)=0,AG1010&gt;0),1,0),1)</f>
        <v>1</v>
      </c>
      <c r="BC1010" s="80" t="str">
        <f>IF(Y1010=0,"",IF(NOT(ISNUMBER(B1010)),"Falta fecha o fecha inválida",IF(D1010="","Falta empresa",IF(AND(D1010&lt;&gt;"Malcolm",D1010&lt;&gt;"proMX"),"Empresa inválida",IF(OR(INT(B1010)&lt;CFG_PSTART,INT(B1010)&gt;CFG_PEND),"Fecha fuera del período",IF(OR(NOT(ISNUMBER(Z1010)),NOT(ISNUMBER(AA1010))),"Falta hora inicio/fin o formato inválido",IF(AB1010=0,"Hora inicio = hora fin",IF(AE1010&lt;0,"Descanso inválido",IF(AE1010&gt;=AD1010,"Descanso ≥ duración",IF(AV1010=1,"Registro duplicado",IF(AZ1010&gt;0,"Se superpone con otro registro "&amp;D1010,IF(BB1010=0,"inicio, fin y duración neta deben ser múltiplos de "&amp;CFG_BLK&amp;" min",""))))))))))))</f>
        <v/>
      </c>
      <c r="BD1010" s="80">
        <f>IF(AND(Y1010=1,BC1010=""),1,0)</f>
        <v>0</v>
      </c>
      <c r="BE1010" s="80">
        <f>IF(AND(BD1010=1,AU1010=1),1,0)</f>
        <v>0</v>
      </c>
      <c r="BF1010" s="80" t="str">
        <f>IF(AND(D1010="proMX",BD1010=1),IF(R1010="","Draft",R1010),"")</f>
        <v/>
      </c>
      <c r="BG1010" s="80">
        <f>IF(BD1010=1,ROUND(AG1010/60,6),0)</f>
        <v>0</v>
      </c>
      <c r="BH1010" s="80">
        <f>IF(BE1010=1,ROUND(AG1010/60,6),0)</f>
        <v>0</v>
      </c>
      <c r="BI1010" s="80">
        <f>IF(BE1010=1,ROUND(AP1010/60,6),0)</f>
        <v>0</v>
      </c>
      <c r="BJ1010" s="80">
        <f>IF(BE1010=1,ROUND(AQ1010/60,6),0)</f>
        <v>0</v>
      </c>
      <c r="BK1010" s="80">
        <f>IF(BE1010=1,ROUND((AR1010+AS1010)/60,6),0)</f>
        <v>0</v>
      </c>
      <c r="BL1010" s="80">
        <f>ROUND(BH1010-BK1010,6)</f>
        <v>0</v>
      </c>
      <c r="BM1010" s="80">
        <f>IF(BE1010=1,ROUND(AR1010/60,6),0)</f>
        <v>0</v>
      </c>
      <c r="BN1010" s="80">
        <f>ROUND(BI1010-BM1010,6)</f>
        <v>0</v>
      </c>
      <c r="BO1010" s="80">
        <f>IF(BE1010=1,ROUND(AS1010/60,6),0)</f>
        <v>0</v>
      </c>
      <c r="BP1010" s="80">
        <f>ROUND(BJ1010-BO1010,6)</f>
        <v>0</v>
      </c>
      <c r="BQ1010" s="80">
        <f>IF(BE1010=1,AW1010,0)</f>
        <v>0</v>
      </c>
      <c r="BR1010" s="80">
        <f>IF(BE1010=1,AX1010,0)</f>
        <v>0</v>
      </c>
      <c r="BS1010" s="80">
        <f>IF(AND(BE1010=1,D1010="Malcolm",BA1010&gt;0),MIN(BH1010,SUMPRODUCT((R_Emp="proMX")*(R_EN&gt;0)*((R_EN-(R_EN&gt;BR1010)*(R_EN-BR1010))&gt;(R_SN+(R_SN&lt;BQ1010)*(BQ1010-R_SN)))*((R_EN-(R_EN&gt;BR1010)*(R_EN-BR1010))-(R_SN+(R_SN&lt;BQ1010)*(BQ1010-R_SN))))/60),0)</f>
        <v>0</v>
      </c>
      <c r="BT1010" s="80">
        <f>IF(AND(BE1010=1,D1010="proMX"),ROUND(BI1010*CFG_RATE+BJ1010*CFG_OTRATE,6),0)</f>
        <v>0</v>
      </c>
      <c r="BU1010" s="80">
        <f>IF(AND(BD1010=1,D1010="proMX"),ROUND(AG1010/CFG_BLK,6),0)</f>
        <v>0</v>
      </c>
      <c r="BV1010" s="80" t="str">
        <f>IF(BF1010="Approved",IF(ISNUMBER(T1010),INT(T1010),INT(B1010)),"")</f>
        <v/>
      </c>
      <c r="BW1010" s="80">
        <f>IF(ISNUMBER(B1010),IF(DB_MON="Todos",1,IF(AND(INT(B1010)&gt;=DB_MS,INT(B1010)&lt;=DB_ME),1,0)),0)</f>
        <v>0</v>
      </c>
      <c r="BX1010" s="80">
        <f>IF(DB_PROJ="Todos",1,IF(E1010&amp;""=DB_PROJ&amp;"",1,0))</f>
        <v>1</v>
      </c>
      <c r="BY1010" s="80">
        <f>BW1010*BX1010</f>
        <v>0</v>
      </c>
      <c r="BZ1010" s="80" t="str">
        <f>IF(Y1010=1,F1010&amp;IF(AND(F1010&amp;""&lt;&gt;"",E1010&amp;""&lt;&gt;"")," · ","")&amp;E1010,"")</f>
        <v/>
      </c>
      <c r="CA1010" s="80" t="str">
        <f>IF(AND(BD1010=1,E1010&amp;""&lt;&gt;""),IF(COUNTIFS($E$5:E1009,E1010,$BD$5:BD1009,1)=0,MAX($CA$5:CA1009)+1,""),"")</f>
        <v/>
      </c>
      <c r="CB1010" s="80" t="str">
        <f>IF(AND(BE1010=1,D1010="Malcolm",E1010&amp;""&lt;&gt;""),IF(COUNTIFS($D$5:D1009,"Malcolm",$E$5:E1009,E1010,$BE$5:BE1009,1)=0,MAX($CB$5:CB1009)+1,""),"")</f>
        <v/>
      </c>
      <c r="CC1010" s="80" t="str">
        <f>IF(AND(BD1010=1,D1010="proMX",E1010&amp;""&lt;&gt;""),IF(COUNTIFS($D$5:D1009,"proMX",$E$5:E1009,E1010,$BD$5:BD1009,1)=0,MAX($CC$5:CC1009)+1,""),"")</f>
        <v/>
      </c>
      <c r="CD1010" s="80" t="str">
        <f>IF(AND(BE1010=1,D1010="Malcolm",F1010&amp;""&lt;&gt;""),IF(COUNTIFS($D$5:D1009,"Malcolm",$F$5:F1009,F1010,$BE$5:BE1009,1)=0,MAX($CD$5:CD1009)+1,""),"")</f>
        <v/>
      </c>
      <c r="CE1010" s="80" t="str">
        <f>IF(AND(BD1010=1,D1010="proMX",F1010&amp;""&lt;&gt;""),IF(COUNTIFS($D$5:D1009,"proMX",$F$5:F1009,F1010,$BD$5:BD1009,1)=0,MAX($CE$5:CE1009)+1,""),"")</f>
        <v/>
      </c>
      <c r="CF1010" s="80" t="str">
        <f>IF(AND(D1010="proMX",BD1010=1),IF(OR(BF1010="Draft",BF1010="Submitted",BF1010="Returned",BF1010="Recall Requested"),MAX($CF$5:CF1009)+1,""),"")</f>
        <v/>
      </c>
      <c r="CG1010" s="80">
        <f>IF(BD1010=0,0,IF(D1010="Malcolm",1,MATCH(BF1010,{"Draft","Submitted","Approved","Returned","Recall Requested","Cancelled"},0)+1))</f>
        <v>0</v>
      </c>
      <c r="CH1010" s="80">
        <f>IF(AND(BF1010="Submitted",ISNUMBER(V1010)),IF(V1010&gt;CFG_MAXD,1,0),0)</f>
        <v>0</v>
      </c>
    </row>
    <row r="1011">
      <c r="A1011" s="71" t="str">
        <f>IF(Y1011=1,ROW()-5,"")</f>
        <v/>
      </c>
      <c r="B1011" s="72" t="n"/>
      <c r="C1011" s="71" t="str">
        <f>IF(ISNUMBER(B1011),CHOOSE(WEEKDAY(B1011,2),"Lun","Mar","Mié","Jue","Vie","Sáb","Dom"),"")</f>
        <v/>
      </c>
      <c r="D1011" s="73" t="n"/>
      <c r="E1011" s="74" t="n"/>
      <c r="F1011" s="74" t="n"/>
      <c r="G1011" s="74" t="n"/>
      <c r="H1011" s="75" t="n"/>
      <c r="I1011" s="75" t="n"/>
      <c r="J1011" s="76" t="n"/>
      <c r="K1011" s="77" t="str">
        <f>IF(AB1011=1,ROUND(AG1011/60,4),"")</f>
        <v/>
      </c>
      <c r="L1011" s="77" t="str">
        <f>IF(BD1011=1,ROUND(AP1011/60,4),"")</f>
        <v/>
      </c>
      <c r="M1011" s="77" t="str">
        <f>IF(BD1011=1,ROUND(AQ1011/60,4),"")</f>
        <v/>
      </c>
      <c r="N1011" s="71" t="str">
        <f>IF(AND(D1011="proMX",AB1011=1),ROUND(AG1011/CFG_BLK,2),"")</f>
        <v/>
      </c>
      <c r="O1011" s="77" t="str">
        <f>IF(D1011="proMX",IF(BD1011=1,ROUND(AG1011/60,4),0),"")</f>
        <v/>
      </c>
      <c r="P1011" s="78" t="str">
        <f>IF(Y1011=0,"",IF(BD1011=1,"OK",IF(D1011="proMX","Revisar bloques: ","Revisar: ")&amp;BC1011))</f>
        <v/>
      </c>
      <c r="Q1011" s="78" t="str">
        <f>IF(NOT(ISNUMBER(B1011)),"",IF(COUNTIFS(FER_F,INT(B1011))&gt;0,"Feriado"&amp;IF(AH1011=1," (laborable)"," (no laborable)"),IF(AH1011=1,"Laborable",IF(WEEKDAY(B1011,2)&gt;5,"Fin de semana","No laborable"))))</f>
        <v/>
      </c>
      <c r="R1011" s="73" t="n"/>
      <c r="S1011" s="72" t="n"/>
      <c r="T1011" s="72" t="n"/>
      <c r="U1011" s="74" t="n"/>
      <c r="V1011" s="79" t="str">
        <f>IF(AND(D1011="proMX",OR(R1011="Submitted",R1011="Recall Requested"),ISNUMBER(S1011)),CFG_TODAY-INT(S1011),"")</f>
        <v/>
      </c>
      <c r="W1011" s="78" t="str">
        <f>IF(BD1011=0,"",IF(BA1011&gt;0,"⚠ Se superpone con un registro de la otra empresa",IF(D1011="Malcolm",IF(COUNTA(R1011,S1011,T1011)&gt;0,"Estado/fechas proMX se ignoran en Malcolm",""),IF(BF1011="Cancelled","Cancelado: excluido de totales",IF(R1011="","Sin estado: se trata como Draft",IF(BF1011="Submitted",IF(ISNUMBER(V1011),IF(V1011&gt;CFG_MAXD,"⚠ "&amp;V1011&amp;" días en Submitted (máx. "&amp;CFG_MAXD&amp;")",""),"Falta fecha de envío"),IF(BF1011="Returned","⚠ Devuelto: corregir y reenviar",IF(BF1011="Recall Requested","Retirada solicitada: pendiente",IF(AND(BF1011="Approved",NOT(ISNUMBER(T1011))),"Falta fecha de aprobación",IF(AND(ISNUMBER(S1011),ISNUMBER(T1011),T1011&lt;S1011),"Aprobación anterior al envío","")))))))))</f>
        <v/>
      </c>
      <c r="Y1011" s="80">
        <f>IF(COUNTA(B1011,D1011,E1011,F1011,G1011,H1011,I1011,J1011,R1011,S1011,T1011)&gt;0,1,0)</f>
        <v>0</v>
      </c>
      <c r="Z1011" s="80" t="str">
        <f>IF(AND(ISNUMBER(H1011),H1011&gt;=0,H1011&lt;1),ROUND(H1011*1440,0),"")</f>
        <v/>
      </c>
      <c r="AA1011" s="80" t="str">
        <f>IF(AND(ISNUMBER(I1011),I1011&gt;=0,I1011&lt;1),ROUND(I1011*1440,0),"")</f>
        <v/>
      </c>
      <c r="AB1011" s="80">
        <f>IF(AND(ISNUMBER(B1011),D1011&lt;&gt;"",ISNUMBER(Z1011),ISNUMBER(AA1011)),IF(Z1011=AA1011,0,1),0)</f>
        <v>0</v>
      </c>
      <c r="AC1011" s="80">
        <f>IF(AB1011=1,IF(AA1011&lt;Z1011,1,0),0)</f>
        <v>0</v>
      </c>
      <c r="AD1011" s="80">
        <f>IF(AB1011=1,IF(AC1011=1,1440-Z1011+AA1011,AA1011-Z1011),0)</f>
        <v>0</v>
      </c>
      <c r="AE1011" s="80">
        <f>IF(J1011="",0,IF(ISNUMBER(J1011),J1011,-1))</f>
        <v>0</v>
      </c>
      <c r="AF1011" s="80">
        <f>MIN(MAX(0,AE1011),AD1011)</f>
        <v>0</v>
      </c>
      <c r="AG1011" s="80">
        <f>MAX(0,AD1011-MAX(0,AE1011))</f>
        <v>0</v>
      </c>
      <c r="AH1011" s="80">
        <f>IF(ISNUMBER(B1011),IF(AND(INDEX(CFG_WDAYS,WEEKDAY(INT(B1011),2))="Sí",IF(D1011="proMX",COUNTIFS(FER_F,INT(B1011),FER_NLP,"Sí"),COUNTIFS(FER_F,INT(B1011),FER_NLM,"Sí"))=0),1,0),0)</f>
        <v>0</v>
      </c>
      <c r="AI1011" s="80">
        <f>IF(AC1011=1,IF(AND(INDEX(CFG_WDAYS,WEEKDAY(INT(B1011)+1,2))="Sí",IF(D1011="proMX",COUNTIFS(FER_F,INT(B1011)+1,FER_NLP,"Sí"),COUNTIFS(FER_F,INT(B1011)+1,FER_NLM,"Sí"))=0),1,0),0)</f>
        <v>0</v>
      </c>
      <c r="AJ1011" s="80">
        <f>IF(AC1011=1,1440-Z1011,AD1011)</f>
        <v>0</v>
      </c>
      <c r="AK1011" s="80">
        <f>IF(AND(AB1011=1,AH1011=1),MAX(0,MIN(IF(AC1011=1,1440,AA1011),CFG_WEM)-MAX(Z1011,CFG_WSM)),0)</f>
        <v>0</v>
      </c>
      <c r="AL1011" s="80">
        <f>IF(AND(AC1011=1,AI1011=1),MAX(0,MIN(AA1011,CFG_WEM)-CFG_WSM),0)</f>
        <v>0</v>
      </c>
      <c r="AM1011" s="80">
        <f>AK1011+AL1011</f>
        <v>0</v>
      </c>
      <c r="AN1011" s="80">
        <f>IF(CFG_BRK="Proporcional",IF(AD1011=0,0,AF1011*AM1011/AD1011),IF(CFG_BRK="Extras primero",MIN(AM1011,MAX(0,AF1011-(AD1011-AM1011))),MIN(AF1011,AM1011)))</f>
        <v>0</v>
      </c>
      <c r="AO1011" s="80">
        <f>AF1011-AN1011</f>
        <v>0</v>
      </c>
      <c r="AP1011" s="80">
        <f>AM1011-AN1011</f>
        <v>0</v>
      </c>
      <c r="AQ1011" s="80">
        <f>AD1011-AM1011-AO1011</f>
        <v>0</v>
      </c>
      <c r="AR1011" s="80">
        <f>IF(AM1011=0,0,AK1011-AN1011*AK1011/AM1011)</f>
        <v>0</v>
      </c>
      <c r="AS1011" s="80">
        <f>IF(AD1011-AM1011=0,0,(AJ1011-AK1011)-AO1011*(AJ1011-AK1011)/(AD1011-AM1011))</f>
        <v>0</v>
      </c>
      <c r="AT1011" s="80" t="str">
        <f>IF(AC1011=1,INT(B1011)+1,"")</f>
        <v/>
      </c>
      <c r="AU1011" s="80">
        <f>IF(AND(D1011="proMX",R1011="Cancelled"),0,1)</f>
        <v>1</v>
      </c>
      <c r="AV1011" s="80">
        <f>IF(AND(AB1011=1,AU1011=1),IF(COUNTIFS($D$5:D1010,D1011,$B$5:B1010,B1011,$Z$5:Z1010,Z1011,$AA$5:AA1010,AA1011,$F$5:F1010,F1011&amp;"",$AU$5:AU1010,1)&gt;0,1,0),0)</f>
        <v>0</v>
      </c>
      <c r="AW1011" s="80" t="str">
        <f>IF(AB1011=1,INT(B1011)*1440+Z1011,"")</f>
        <v/>
      </c>
      <c r="AX1011" s="80" t="str">
        <f>IF(AB1011=1,AW1011+AD1011,"")</f>
        <v/>
      </c>
      <c r="AY1011" s="80">
        <f>IF(AND(AB1011=1,AV1011=0,AU1011=1),1,0)</f>
        <v>0</v>
      </c>
      <c r="AZ1011" s="80">
        <f>IF(AY1011=1,COUNTIFS(R_Emp,D1011,R_SAbs,"&lt;"&amp;AX1011,R_EAbs,"&gt;"&amp;AW1011,R_OKey,1)-1,0)</f>
        <v>0</v>
      </c>
      <c r="BA1011" s="80">
        <f>IF(AY1011=1,COUNTIFS(R_Emp,"&lt;&gt;"&amp;D1011,R_SAbs,"&lt;"&amp;AX1011,R_EAbs,"&gt;"&amp;AW1011,R_OKey,1),0)</f>
        <v>0</v>
      </c>
      <c r="BB1011" s="80">
        <f>IF(AND(AB1011=1,D1011="proMX"),IF(AND(MOD(Z1011,CFG_BLK)=0,MOD(AA1011,CFG_BLK)=0,MOD(AG1011,CFG_BLK)=0,AG1011&gt;0),1,0),1)</f>
        <v>1</v>
      </c>
      <c r="BC1011" s="80" t="str">
        <f>IF(Y1011=0,"",IF(NOT(ISNUMBER(B1011)),"Falta fecha o fecha inválida",IF(D1011="","Falta empresa",IF(AND(D1011&lt;&gt;"Malcolm",D1011&lt;&gt;"proMX"),"Empresa inválida",IF(OR(INT(B1011)&lt;CFG_PSTART,INT(B1011)&gt;CFG_PEND),"Fecha fuera del período",IF(OR(NOT(ISNUMBER(Z1011)),NOT(ISNUMBER(AA1011))),"Falta hora inicio/fin o formato inválido",IF(AB1011=0,"Hora inicio = hora fin",IF(AE1011&lt;0,"Descanso inválido",IF(AE1011&gt;=AD1011,"Descanso ≥ duración",IF(AV1011=1,"Registro duplicado",IF(AZ1011&gt;0,"Se superpone con otro registro "&amp;D1011,IF(BB1011=0,"inicio, fin y duración neta deben ser múltiplos de "&amp;CFG_BLK&amp;" min",""))))))))))))</f>
        <v/>
      </c>
      <c r="BD1011" s="80">
        <f>IF(AND(Y1011=1,BC1011=""),1,0)</f>
        <v>0</v>
      </c>
      <c r="BE1011" s="80">
        <f>IF(AND(BD1011=1,AU1011=1),1,0)</f>
        <v>0</v>
      </c>
      <c r="BF1011" s="80" t="str">
        <f>IF(AND(D1011="proMX",BD1011=1),IF(R1011="","Draft",R1011),"")</f>
        <v/>
      </c>
      <c r="BG1011" s="80">
        <f>IF(BD1011=1,ROUND(AG1011/60,6),0)</f>
        <v>0</v>
      </c>
      <c r="BH1011" s="80">
        <f>IF(BE1011=1,ROUND(AG1011/60,6),0)</f>
        <v>0</v>
      </c>
      <c r="BI1011" s="80">
        <f>IF(BE1011=1,ROUND(AP1011/60,6),0)</f>
        <v>0</v>
      </c>
      <c r="BJ1011" s="80">
        <f>IF(BE1011=1,ROUND(AQ1011/60,6),0)</f>
        <v>0</v>
      </c>
      <c r="BK1011" s="80">
        <f>IF(BE1011=1,ROUND((AR1011+AS1011)/60,6),0)</f>
        <v>0</v>
      </c>
      <c r="BL1011" s="80">
        <f>ROUND(BH1011-BK1011,6)</f>
        <v>0</v>
      </c>
      <c r="BM1011" s="80">
        <f>IF(BE1011=1,ROUND(AR1011/60,6),0)</f>
        <v>0</v>
      </c>
      <c r="BN1011" s="80">
        <f>ROUND(BI1011-BM1011,6)</f>
        <v>0</v>
      </c>
      <c r="BO1011" s="80">
        <f>IF(BE1011=1,ROUND(AS1011/60,6),0)</f>
        <v>0</v>
      </c>
      <c r="BP1011" s="80">
        <f>ROUND(BJ1011-BO1011,6)</f>
        <v>0</v>
      </c>
      <c r="BQ1011" s="80">
        <f>IF(BE1011=1,AW1011,0)</f>
        <v>0</v>
      </c>
      <c r="BR1011" s="80">
        <f>IF(BE1011=1,AX1011,0)</f>
        <v>0</v>
      </c>
      <c r="BS1011" s="80">
        <f>IF(AND(BE1011=1,D1011="Malcolm",BA1011&gt;0),MIN(BH1011,SUMPRODUCT((R_Emp="proMX")*(R_EN&gt;0)*((R_EN-(R_EN&gt;BR1011)*(R_EN-BR1011))&gt;(R_SN+(R_SN&lt;BQ1011)*(BQ1011-R_SN)))*((R_EN-(R_EN&gt;BR1011)*(R_EN-BR1011))-(R_SN+(R_SN&lt;BQ1011)*(BQ1011-R_SN))))/60),0)</f>
        <v>0</v>
      </c>
      <c r="BT1011" s="80">
        <f>IF(AND(BE1011=1,D1011="proMX"),ROUND(BI1011*CFG_RATE+BJ1011*CFG_OTRATE,6),0)</f>
        <v>0</v>
      </c>
      <c r="BU1011" s="80">
        <f>IF(AND(BD1011=1,D1011="proMX"),ROUND(AG1011/CFG_BLK,6),0)</f>
        <v>0</v>
      </c>
      <c r="BV1011" s="80" t="str">
        <f>IF(BF1011="Approved",IF(ISNUMBER(T1011),INT(T1011),INT(B1011)),"")</f>
        <v/>
      </c>
      <c r="BW1011" s="80">
        <f>IF(ISNUMBER(B1011),IF(DB_MON="Todos",1,IF(AND(INT(B1011)&gt;=DB_MS,INT(B1011)&lt;=DB_ME),1,0)),0)</f>
        <v>0</v>
      </c>
      <c r="BX1011" s="80">
        <f>IF(DB_PROJ="Todos",1,IF(E1011&amp;""=DB_PROJ&amp;"",1,0))</f>
        <v>1</v>
      </c>
      <c r="BY1011" s="80">
        <f>BW1011*BX1011</f>
        <v>0</v>
      </c>
      <c r="BZ1011" s="80" t="str">
        <f>IF(Y1011=1,F1011&amp;IF(AND(F1011&amp;""&lt;&gt;"",E1011&amp;""&lt;&gt;"")," · ","")&amp;E1011,"")</f>
        <v/>
      </c>
      <c r="CA1011" s="80" t="str">
        <f>IF(AND(BD1011=1,E1011&amp;""&lt;&gt;""),IF(COUNTIFS($E$5:E1010,E1011,$BD$5:BD1010,1)=0,MAX($CA$5:CA1010)+1,""),"")</f>
        <v/>
      </c>
      <c r="CB1011" s="80" t="str">
        <f>IF(AND(BE1011=1,D1011="Malcolm",E1011&amp;""&lt;&gt;""),IF(COUNTIFS($D$5:D1010,"Malcolm",$E$5:E1010,E1011,$BE$5:BE1010,1)=0,MAX($CB$5:CB1010)+1,""),"")</f>
        <v/>
      </c>
      <c r="CC1011" s="80" t="str">
        <f>IF(AND(BD1011=1,D1011="proMX",E1011&amp;""&lt;&gt;""),IF(COUNTIFS($D$5:D1010,"proMX",$E$5:E1010,E1011,$BD$5:BD1010,1)=0,MAX($CC$5:CC1010)+1,""),"")</f>
        <v/>
      </c>
      <c r="CD1011" s="80" t="str">
        <f>IF(AND(BE1011=1,D1011="Malcolm",F1011&amp;""&lt;&gt;""),IF(COUNTIFS($D$5:D1010,"Malcolm",$F$5:F1010,F1011,$BE$5:BE1010,1)=0,MAX($CD$5:CD1010)+1,""),"")</f>
        <v/>
      </c>
      <c r="CE1011" s="80" t="str">
        <f>IF(AND(BD1011=1,D1011="proMX",F1011&amp;""&lt;&gt;""),IF(COUNTIFS($D$5:D1010,"proMX",$F$5:F1010,F1011,$BD$5:BD1010,1)=0,MAX($CE$5:CE1010)+1,""),"")</f>
        <v/>
      </c>
      <c r="CF1011" s="80" t="str">
        <f>IF(AND(D1011="proMX",BD1011=1),IF(OR(BF1011="Draft",BF1011="Submitted",BF1011="Returned",BF1011="Recall Requested"),MAX($CF$5:CF1010)+1,""),"")</f>
        <v/>
      </c>
      <c r="CG1011" s="80">
        <f>IF(BD1011=0,0,IF(D1011="Malcolm",1,MATCH(BF1011,{"Draft","Submitted","Approved","Returned","Recall Requested","Cancelled"},0)+1))</f>
        <v>0</v>
      </c>
      <c r="CH1011" s="80">
        <f>IF(AND(BF1011="Submitted",ISNUMBER(V1011)),IF(V1011&gt;CFG_MAXD,1,0),0)</f>
        <v>0</v>
      </c>
    </row>
    <row r="1012">
      <c r="A1012" s="71" t="str">
        <f>IF(Y1012=1,ROW()-5,"")</f>
        <v/>
      </c>
      <c r="B1012" s="72" t="n"/>
      <c r="C1012" s="71" t="str">
        <f>IF(ISNUMBER(B1012),CHOOSE(WEEKDAY(B1012,2),"Lun","Mar","Mié","Jue","Vie","Sáb","Dom"),"")</f>
        <v/>
      </c>
      <c r="D1012" s="73" t="n"/>
      <c r="E1012" s="74" t="n"/>
      <c r="F1012" s="74" t="n"/>
      <c r="G1012" s="74" t="n"/>
      <c r="H1012" s="75" t="n"/>
      <c r="I1012" s="75" t="n"/>
      <c r="J1012" s="76" t="n"/>
      <c r="K1012" s="77" t="str">
        <f>IF(AB1012=1,ROUND(AG1012/60,4),"")</f>
        <v/>
      </c>
      <c r="L1012" s="77" t="str">
        <f>IF(BD1012=1,ROUND(AP1012/60,4),"")</f>
        <v/>
      </c>
      <c r="M1012" s="77" t="str">
        <f>IF(BD1012=1,ROUND(AQ1012/60,4),"")</f>
        <v/>
      </c>
      <c r="N1012" s="71" t="str">
        <f>IF(AND(D1012="proMX",AB1012=1),ROUND(AG1012/CFG_BLK,2),"")</f>
        <v/>
      </c>
      <c r="O1012" s="77" t="str">
        <f>IF(D1012="proMX",IF(BD1012=1,ROUND(AG1012/60,4),0),"")</f>
        <v/>
      </c>
      <c r="P1012" s="78" t="str">
        <f>IF(Y1012=0,"",IF(BD1012=1,"OK",IF(D1012="proMX","Revisar bloques: ","Revisar: ")&amp;BC1012))</f>
        <v/>
      </c>
      <c r="Q1012" s="78" t="str">
        <f>IF(NOT(ISNUMBER(B1012)),"",IF(COUNTIFS(FER_F,INT(B1012))&gt;0,"Feriado"&amp;IF(AH1012=1," (laborable)"," (no laborable)"),IF(AH1012=1,"Laborable",IF(WEEKDAY(B1012,2)&gt;5,"Fin de semana","No laborable"))))</f>
        <v/>
      </c>
      <c r="R1012" s="73" t="n"/>
      <c r="S1012" s="72" t="n"/>
      <c r="T1012" s="72" t="n"/>
      <c r="U1012" s="74" t="n"/>
      <c r="V1012" s="79" t="str">
        <f>IF(AND(D1012="proMX",OR(R1012="Submitted",R1012="Recall Requested"),ISNUMBER(S1012)),CFG_TODAY-INT(S1012),"")</f>
        <v/>
      </c>
      <c r="W1012" s="78" t="str">
        <f>IF(BD1012=0,"",IF(BA1012&gt;0,"⚠ Se superpone con un registro de la otra empresa",IF(D1012="Malcolm",IF(COUNTA(R1012,S1012,T1012)&gt;0,"Estado/fechas proMX se ignoran en Malcolm",""),IF(BF1012="Cancelled","Cancelado: excluido de totales",IF(R1012="","Sin estado: se trata como Draft",IF(BF1012="Submitted",IF(ISNUMBER(V1012),IF(V1012&gt;CFG_MAXD,"⚠ "&amp;V1012&amp;" días en Submitted (máx. "&amp;CFG_MAXD&amp;")",""),"Falta fecha de envío"),IF(BF1012="Returned","⚠ Devuelto: corregir y reenviar",IF(BF1012="Recall Requested","Retirada solicitada: pendiente",IF(AND(BF1012="Approved",NOT(ISNUMBER(T1012))),"Falta fecha de aprobación",IF(AND(ISNUMBER(S1012),ISNUMBER(T1012),T1012&lt;S1012),"Aprobación anterior al envío","")))))))))</f>
        <v/>
      </c>
      <c r="Y1012" s="80">
        <f>IF(COUNTA(B1012,D1012,E1012,F1012,G1012,H1012,I1012,J1012,R1012,S1012,T1012)&gt;0,1,0)</f>
        <v>0</v>
      </c>
      <c r="Z1012" s="80" t="str">
        <f>IF(AND(ISNUMBER(H1012),H1012&gt;=0,H1012&lt;1),ROUND(H1012*1440,0),"")</f>
        <v/>
      </c>
      <c r="AA1012" s="80" t="str">
        <f>IF(AND(ISNUMBER(I1012),I1012&gt;=0,I1012&lt;1),ROUND(I1012*1440,0),"")</f>
        <v/>
      </c>
      <c r="AB1012" s="80">
        <f>IF(AND(ISNUMBER(B1012),D1012&lt;&gt;"",ISNUMBER(Z1012),ISNUMBER(AA1012)),IF(Z1012=AA1012,0,1),0)</f>
        <v>0</v>
      </c>
      <c r="AC1012" s="80">
        <f>IF(AB1012=1,IF(AA1012&lt;Z1012,1,0),0)</f>
        <v>0</v>
      </c>
      <c r="AD1012" s="80">
        <f>IF(AB1012=1,IF(AC1012=1,1440-Z1012+AA1012,AA1012-Z1012),0)</f>
        <v>0</v>
      </c>
      <c r="AE1012" s="80">
        <f>IF(J1012="",0,IF(ISNUMBER(J1012),J1012,-1))</f>
        <v>0</v>
      </c>
      <c r="AF1012" s="80">
        <f>MIN(MAX(0,AE1012),AD1012)</f>
        <v>0</v>
      </c>
      <c r="AG1012" s="80">
        <f>MAX(0,AD1012-MAX(0,AE1012))</f>
        <v>0</v>
      </c>
      <c r="AH1012" s="80">
        <f>IF(ISNUMBER(B1012),IF(AND(INDEX(CFG_WDAYS,WEEKDAY(INT(B1012),2))="Sí",IF(D1012="proMX",COUNTIFS(FER_F,INT(B1012),FER_NLP,"Sí"),COUNTIFS(FER_F,INT(B1012),FER_NLM,"Sí"))=0),1,0),0)</f>
        <v>0</v>
      </c>
      <c r="AI1012" s="80">
        <f>IF(AC1012=1,IF(AND(INDEX(CFG_WDAYS,WEEKDAY(INT(B1012)+1,2))="Sí",IF(D1012="proMX",COUNTIFS(FER_F,INT(B1012)+1,FER_NLP,"Sí"),COUNTIFS(FER_F,INT(B1012)+1,FER_NLM,"Sí"))=0),1,0),0)</f>
        <v>0</v>
      </c>
      <c r="AJ1012" s="80">
        <f>IF(AC1012=1,1440-Z1012,AD1012)</f>
        <v>0</v>
      </c>
      <c r="AK1012" s="80">
        <f>IF(AND(AB1012=1,AH1012=1),MAX(0,MIN(IF(AC1012=1,1440,AA1012),CFG_WEM)-MAX(Z1012,CFG_WSM)),0)</f>
        <v>0</v>
      </c>
      <c r="AL1012" s="80">
        <f>IF(AND(AC1012=1,AI1012=1),MAX(0,MIN(AA1012,CFG_WEM)-CFG_WSM),0)</f>
        <v>0</v>
      </c>
      <c r="AM1012" s="80">
        <f>AK1012+AL1012</f>
        <v>0</v>
      </c>
      <c r="AN1012" s="80">
        <f>IF(CFG_BRK="Proporcional",IF(AD1012=0,0,AF1012*AM1012/AD1012),IF(CFG_BRK="Extras primero",MIN(AM1012,MAX(0,AF1012-(AD1012-AM1012))),MIN(AF1012,AM1012)))</f>
        <v>0</v>
      </c>
      <c r="AO1012" s="80">
        <f>AF1012-AN1012</f>
        <v>0</v>
      </c>
      <c r="AP1012" s="80">
        <f>AM1012-AN1012</f>
        <v>0</v>
      </c>
      <c r="AQ1012" s="80">
        <f>AD1012-AM1012-AO1012</f>
        <v>0</v>
      </c>
      <c r="AR1012" s="80">
        <f>IF(AM1012=0,0,AK1012-AN1012*AK1012/AM1012)</f>
        <v>0</v>
      </c>
      <c r="AS1012" s="80">
        <f>IF(AD1012-AM1012=0,0,(AJ1012-AK1012)-AO1012*(AJ1012-AK1012)/(AD1012-AM1012))</f>
        <v>0</v>
      </c>
      <c r="AT1012" s="80" t="str">
        <f>IF(AC1012=1,INT(B1012)+1,"")</f>
        <v/>
      </c>
      <c r="AU1012" s="80">
        <f>IF(AND(D1012="proMX",R1012="Cancelled"),0,1)</f>
        <v>1</v>
      </c>
      <c r="AV1012" s="80">
        <f>IF(AND(AB1012=1,AU1012=1),IF(COUNTIFS($D$5:D1011,D1012,$B$5:B1011,B1012,$Z$5:Z1011,Z1012,$AA$5:AA1011,AA1012,$F$5:F1011,F1012&amp;"",$AU$5:AU1011,1)&gt;0,1,0),0)</f>
        <v>0</v>
      </c>
      <c r="AW1012" s="80" t="str">
        <f>IF(AB1012=1,INT(B1012)*1440+Z1012,"")</f>
        <v/>
      </c>
      <c r="AX1012" s="80" t="str">
        <f>IF(AB1012=1,AW1012+AD1012,"")</f>
        <v/>
      </c>
      <c r="AY1012" s="80">
        <f>IF(AND(AB1012=1,AV1012=0,AU1012=1),1,0)</f>
        <v>0</v>
      </c>
      <c r="AZ1012" s="80">
        <f>IF(AY1012=1,COUNTIFS(R_Emp,D1012,R_SAbs,"&lt;"&amp;AX1012,R_EAbs,"&gt;"&amp;AW1012,R_OKey,1)-1,0)</f>
        <v>0</v>
      </c>
      <c r="BA1012" s="80">
        <f>IF(AY1012=1,COUNTIFS(R_Emp,"&lt;&gt;"&amp;D1012,R_SAbs,"&lt;"&amp;AX1012,R_EAbs,"&gt;"&amp;AW1012,R_OKey,1),0)</f>
        <v>0</v>
      </c>
      <c r="BB1012" s="80">
        <f>IF(AND(AB1012=1,D1012="proMX"),IF(AND(MOD(Z1012,CFG_BLK)=0,MOD(AA1012,CFG_BLK)=0,MOD(AG1012,CFG_BLK)=0,AG1012&gt;0),1,0),1)</f>
        <v>1</v>
      </c>
      <c r="BC1012" s="80" t="str">
        <f>IF(Y1012=0,"",IF(NOT(ISNUMBER(B1012)),"Falta fecha o fecha inválida",IF(D1012="","Falta empresa",IF(AND(D1012&lt;&gt;"Malcolm",D1012&lt;&gt;"proMX"),"Empresa inválida",IF(OR(INT(B1012)&lt;CFG_PSTART,INT(B1012)&gt;CFG_PEND),"Fecha fuera del período",IF(OR(NOT(ISNUMBER(Z1012)),NOT(ISNUMBER(AA1012))),"Falta hora inicio/fin o formato inválido",IF(AB1012=0,"Hora inicio = hora fin",IF(AE1012&lt;0,"Descanso inválido",IF(AE1012&gt;=AD1012,"Descanso ≥ duración",IF(AV1012=1,"Registro duplicado",IF(AZ1012&gt;0,"Se superpone con otro registro "&amp;D1012,IF(BB1012=0,"inicio, fin y duración neta deben ser múltiplos de "&amp;CFG_BLK&amp;" min",""))))))))))))</f>
        <v/>
      </c>
      <c r="BD1012" s="80">
        <f>IF(AND(Y1012=1,BC1012=""),1,0)</f>
        <v>0</v>
      </c>
      <c r="BE1012" s="80">
        <f>IF(AND(BD1012=1,AU1012=1),1,0)</f>
        <v>0</v>
      </c>
      <c r="BF1012" s="80" t="str">
        <f>IF(AND(D1012="proMX",BD1012=1),IF(R1012="","Draft",R1012),"")</f>
        <v/>
      </c>
      <c r="BG1012" s="80">
        <f>IF(BD1012=1,ROUND(AG1012/60,6),0)</f>
        <v>0</v>
      </c>
      <c r="BH1012" s="80">
        <f>IF(BE1012=1,ROUND(AG1012/60,6),0)</f>
        <v>0</v>
      </c>
      <c r="BI1012" s="80">
        <f>IF(BE1012=1,ROUND(AP1012/60,6),0)</f>
        <v>0</v>
      </c>
      <c r="BJ1012" s="80">
        <f>IF(BE1012=1,ROUND(AQ1012/60,6),0)</f>
        <v>0</v>
      </c>
      <c r="BK1012" s="80">
        <f>IF(BE1012=1,ROUND((AR1012+AS1012)/60,6),0)</f>
        <v>0</v>
      </c>
      <c r="BL1012" s="80">
        <f>ROUND(BH1012-BK1012,6)</f>
        <v>0</v>
      </c>
      <c r="BM1012" s="80">
        <f>IF(BE1012=1,ROUND(AR1012/60,6),0)</f>
        <v>0</v>
      </c>
      <c r="BN1012" s="80">
        <f>ROUND(BI1012-BM1012,6)</f>
        <v>0</v>
      </c>
      <c r="BO1012" s="80">
        <f>IF(BE1012=1,ROUND(AS1012/60,6),0)</f>
        <v>0</v>
      </c>
      <c r="BP1012" s="80">
        <f>ROUND(BJ1012-BO1012,6)</f>
        <v>0</v>
      </c>
      <c r="BQ1012" s="80">
        <f>IF(BE1012=1,AW1012,0)</f>
        <v>0</v>
      </c>
      <c r="BR1012" s="80">
        <f>IF(BE1012=1,AX1012,0)</f>
        <v>0</v>
      </c>
      <c r="BS1012" s="80">
        <f>IF(AND(BE1012=1,D1012="Malcolm",BA1012&gt;0),MIN(BH1012,SUMPRODUCT((R_Emp="proMX")*(R_EN&gt;0)*((R_EN-(R_EN&gt;BR1012)*(R_EN-BR1012))&gt;(R_SN+(R_SN&lt;BQ1012)*(BQ1012-R_SN)))*((R_EN-(R_EN&gt;BR1012)*(R_EN-BR1012))-(R_SN+(R_SN&lt;BQ1012)*(BQ1012-R_SN))))/60),0)</f>
        <v>0</v>
      </c>
      <c r="BT1012" s="80">
        <f>IF(AND(BE1012=1,D1012="proMX"),ROUND(BI1012*CFG_RATE+BJ1012*CFG_OTRATE,6),0)</f>
        <v>0</v>
      </c>
      <c r="BU1012" s="80">
        <f>IF(AND(BD1012=1,D1012="proMX"),ROUND(AG1012/CFG_BLK,6),0)</f>
        <v>0</v>
      </c>
      <c r="BV1012" s="80" t="str">
        <f>IF(BF1012="Approved",IF(ISNUMBER(T1012),INT(T1012),INT(B1012)),"")</f>
        <v/>
      </c>
      <c r="BW1012" s="80">
        <f>IF(ISNUMBER(B1012),IF(DB_MON="Todos",1,IF(AND(INT(B1012)&gt;=DB_MS,INT(B1012)&lt;=DB_ME),1,0)),0)</f>
        <v>0</v>
      </c>
      <c r="BX1012" s="80">
        <f>IF(DB_PROJ="Todos",1,IF(E1012&amp;""=DB_PROJ&amp;"",1,0))</f>
        <v>1</v>
      </c>
      <c r="BY1012" s="80">
        <f>BW1012*BX1012</f>
        <v>0</v>
      </c>
      <c r="BZ1012" s="80" t="str">
        <f>IF(Y1012=1,F1012&amp;IF(AND(F1012&amp;""&lt;&gt;"",E1012&amp;""&lt;&gt;"")," · ","")&amp;E1012,"")</f>
        <v/>
      </c>
      <c r="CA1012" s="80" t="str">
        <f>IF(AND(BD1012=1,E1012&amp;""&lt;&gt;""),IF(COUNTIFS($E$5:E1011,E1012,$BD$5:BD1011,1)=0,MAX($CA$5:CA1011)+1,""),"")</f>
        <v/>
      </c>
      <c r="CB1012" s="80" t="str">
        <f>IF(AND(BE1012=1,D1012="Malcolm",E1012&amp;""&lt;&gt;""),IF(COUNTIFS($D$5:D1011,"Malcolm",$E$5:E1011,E1012,$BE$5:BE1011,1)=0,MAX($CB$5:CB1011)+1,""),"")</f>
        <v/>
      </c>
      <c r="CC1012" s="80" t="str">
        <f>IF(AND(BD1012=1,D1012="proMX",E1012&amp;""&lt;&gt;""),IF(COUNTIFS($D$5:D1011,"proMX",$E$5:E1011,E1012,$BD$5:BD1011,1)=0,MAX($CC$5:CC1011)+1,""),"")</f>
        <v/>
      </c>
      <c r="CD1012" s="80" t="str">
        <f>IF(AND(BE1012=1,D1012="Malcolm",F1012&amp;""&lt;&gt;""),IF(COUNTIFS($D$5:D1011,"Malcolm",$F$5:F1011,F1012,$BE$5:BE1011,1)=0,MAX($CD$5:CD1011)+1,""),"")</f>
        <v/>
      </c>
      <c r="CE1012" s="80" t="str">
        <f>IF(AND(BD1012=1,D1012="proMX",F1012&amp;""&lt;&gt;""),IF(COUNTIFS($D$5:D1011,"proMX",$F$5:F1011,F1012,$BD$5:BD1011,1)=0,MAX($CE$5:CE1011)+1,""),"")</f>
        <v/>
      </c>
      <c r="CF1012" s="80" t="str">
        <f>IF(AND(D1012="proMX",BD1012=1),IF(OR(BF1012="Draft",BF1012="Submitted",BF1012="Returned",BF1012="Recall Requested"),MAX($CF$5:CF1011)+1,""),"")</f>
        <v/>
      </c>
      <c r="CG1012" s="80">
        <f>IF(BD1012=0,0,IF(D1012="Malcolm",1,MATCH(BF1012,{"Draft","Submitted","Approved","Returned","Recall Requested","Cancelled"},0)+1))</f>
        <v>0</v>
      </c>
      <c r="CH1012" s="80">
        <f>IF(AND(BF1012="Submitted",ISNUMBER(V1012)),IF(V1012&gt;CFG_MAXD,1,0),0)</f>
        <v>0</v>
      </c>
    </row>
    <row r="1013">
      <c r="A1013" s="71" t="str">
        <f>IF(Y1013=1,ROW()-5,"")</f>
        <v/>
      </c>
      <c r="B1013" s="72" t="n"/>
      <c r="C1013" s="71" t="str">
        <f>IF(ISNUMBER(B1013),CHOOSE(WEEKDAY(B1013,2),"Lun","Mar","Mié","Jue","Vie","Sáb","Dom"),"")</f>
        <v/>
      </c>
      <c r="D1013" s="73" t="n"/>
      <c r="E1013" s="74" t="n"/>
      <c r="F1013" s="74" t="n"/>
      <c r="G1013" s="74" t="n"/>
      <c r="H1013" s="75" t="n"/>
      <c r="I1013" s="75" t="n"/>
      <c r="J1013" s="76" t="n"/>
      <c r="K1013" s="77" t="str">
        <f>IF(AB1013=1,ROUND(AG1013/60,4),"")</f>
        <v/>
      </c>
      <c r="L1013" s="77" t="str">
        <f>IF(BD1013=1,ROUND(AP1013/60,4),"")</f>
        <v/>
      </c>
      <c r="M1013" s="77" t="str">
        <f>IF(BD1013=1,ROUND(AQ1013/60,4),"")</f>
        <v/>
      </c>
      <c r="N1013" s="71" t="str">
        <f>IF(AND(D1013="proMX",AB1013=1),ROUND(AG1013/CFG_BLK,2),"")</f>
        <v/>
      </c>
      <c r="O1013" s="77" t="str">
        <f>IF(D1013="proMX",IF(BD1013=1,ROUND(AG1013/60,4),0),"")</f>
        <v/>
      </c>
      <c r="P1013" s="78" t="str">
        <f>IF(Y1013=0,"",IF(BD1013=1,"OK",IF(D1013="proMX","Revisar bloques: ","Revisar: ")&amp;BC1013))</f>
        <v/>
      </c>
      <c r="Q1013" s="78" t="str">
        <f>IF(NOT(ISNUMBER(B1013)),"",IF(COUNTIFS(FER_F,INT(B1013))&gt;0,"Feriado"&amp;IF(AH1013=1," (laborable)"," (no laborable)"),IF(AH1013=1,"Laborable",IF(WEEKDAY(B1013,2)&gt;5,"Fin de semana","No laborable"))))</f>
        <v/>
      </c>
      <c r="R1013" s="73" t="n"/>
      <c r="S1013" s="72" t="n"/>
      <c r="T1013" s="72" t="n"/>
      <c r="U1013" s="74" t="n"/>
      <c r="V1013" s="79" t="str">
        <f>IF(AND(D1013="proMX",OR(R1013="Submitted",R1013="Recall Requested"),ISNUMBER(S1013)),CFG_TODAY-INT(S1013),"")</f>
        <v/>
      </c>
      <c r="W1013" s="78" t="str">
        <f>IF(BD1013=0,"",IF(BA1013&gt;0,"⚠ Se superpone con un registro de la otra empresa",IF(D1013="Malcolm",IF(COUNTA(R1013,S1013,T1013)&gt;0,"Estado/fechas proMX se ignoran en Malcolm",""),IF(BF1013="Cancelled","Cancelado: excluido de totales",IF(R1013="","Sin estado: se trata como Draft",IF(BF1013="Submitted",IF(ISNUMBER(V1013),IF(V1013&gt;CFG_MAXD,"⚠ "&amp;V1013&amp;" días en Submitted (máx. "&amp;CFG_MAXD&amp;")",""),"Falta fecha de envío"),IF(BF1013="Returned","⚠ Devuelto: corregir y reenviar",IF(BF1013="Recall Requested","Retirada solicitada: pendiente",IF(AND(BF1013="Approved",NOT(ISNUMBER(T1013))),"Falta fecha de aprobación",IF(AND(ISNUMBER(S1013),ISNUMBER(T1013),T1013&lt;S1013),"Aprobación anterior al envío","")))))))))</f>
        <v/>
      </c>
      <c r="Y1013" s="80">
        <f>IF(COUNTA(B1013,D1013,E1013,F1013,G1013,H1013,I1013,J1013,R1013,S1013,T1013)&gt;0,1,0)</f>
        <v>0</v>
      </c>
      <c r="Z1013" s="80" t="str">
        <f>IF(AND(ISNUMBER(H1013),H1013&gt;=0,H1013&lt;1),ROUND(H1013*1440,0),"")</f>
        <v/>
      </c>
      <c r="AA1013" s="80" t="str">
        <f>IF(AND(ISNUMBER(I1013),I1013&gt;=0,I1013&lt;1),ROUND(I1013*1440,0),"")</f>
        <v/>
      </c>
      <c r="AB1013" s="80">
        <f>IF(AND(ISNUMBER(B1013),D1013&lt;&gt;"",ISNUMBER(Z1013),ISNUMBER(AA1013)),IF(Z1013=AA1013,0,1),0)</f>
        <v>0</v>
      </c>
      <c r="AC1013" s="80">
        <f>IF(AB1013=1,IF(AA1013&lt;Z1013,1,0),0)</f>
        <v>0</v>
      </c>
      <c r="AD1013" s="80">
        <f>IF(AB1013=1,IF(AC1013=1,1440-Z1013+AA1013,AA1013-Z1013),0)</f>
        <v>0</v>
      </c>
      <c r="AE1013" s="80">
        <f>IF(J1013="",0,IF(ISNUMBER(J1013),J1013,-1))</f>
        <v>0</v>
      </c>
      <c r="AF1013" s="80">
        <f>MIN(MAX(0,AE1013),AD1013)</f>
        <v>0</v>
      </c>
      <c r="AG1013" s="80">
        <f>MAX(0,AD1013-MAX(0,AE1013))</f>
        <v>0</v>
      </c>
      <c r="AH1013" s="80">
        <f>IF(ISNUMBER(B1013),IF(AND(INDEX(CFG_WDAYS,WEEKDAY(INT(B1013),2))="Sí",IF(D1013="proMX",COUNTIFS(FER_F,INT(B1013),FER_NLP,"Sí"),COUNTIFS(FER_F,INT(B1013),FER_NLM,"Sí"))=0),1,0),0)</f>
        <v>0</v>
      </c>
      <c r="AI1013" s="80">
        <f>IF(AC1013=1,IF(AND(INDEX(CFG_WDAYS,WEEKDAY(INT(B1013)+1,2))="Sí",IF(D1013="proMX",COUNTIFS(FER_F,INT(B1013)+1,FER_NLP,"Sí"),COUNTIFS(FER_F,INT(B1013)+1,FER_NLM,"Sí"))=0),1,0),0)</f>
        <v>0</v>
      </c>
      <c r="AJ1013" s="80">
        <f>IF(AC1013=1,1440-Z1013,AD1013)</f>
        <v>0</v>
      </c>
      <c r="AK1013" s="80">
        <f>IF(AND(AB1013=1,AH1013=1),MAX(0,MIN(IF(AC1013=1,1440,AA1013),CFG_WEM)-MAX(Z1013,CFG_WSM)),0)</f>
        <v>0</v>
      </c>
      <c r="AL1013" s="80">
        <f>IF(AND(AC1013=1,AI1013=1),MAX(0,MIN(AA1013,CFG_WEM)-CFG_WSM),0)</f>
        <v>0</v>
      </c>
      <c r="AM1013" s="80">
        <f>AK1013+AL1013</f>
        <v>0</v>
      </c>
      <c r="AN1013" s="80">
        <f>IF(CFG_BRK="Proporcional",IF(AD1013=0,0,AF1013*AM1013/AD1013),IF(CFG_BRK="Extras primero",MIN(AM1013,MAX(0,AF1013-(AD1013-AM1013))),MIN(AF1013,AM1013)))</f>
        <v>0</v>
      </c>
      <c r="AO1013" s="80">
        <f>AF1013-AN1013</f>
        <v>0</v>
      </c>
      <c r="AP1013" s="80">
        <f>AM1013-AN1013</f>
        <v>0</v>
      </c>
      <c r="AQ1013" s="80">
        <f>AD1013-AM1013-AO1013</f>
        <v>0</v>
      </c>
      <c r="AR1013" s="80">
        <f>IF(AM1013=0,0,AK1013-AN1013*AK1013/AM1013)</f>
        <v>0</v>
      </c>
      <c r="AS1013" s="80">
        <f>IF(AD1013-AM1013=0,0,(AJ1013-AK1013)-AO1013*(AJ1013-AK1013)/(AD1013-AM1013))</f>
        <v>0</v>
      </c>
      <c r="AT1013" s="80" t="str">
        <f>IF(AC1013=1,INT(B1013)+1,"")</f>
        <v/>
      </c>
      <c r="AU1013" s="80">
        <f>IF(AND(D1013="proMX",R1013="Cancelled"),0,1)</f>
        <v>1</v>
      </c>
      <c r="AV1013" s="80">
        <f>IF(AND(AB1013=1,AU1013=1),IF(COUNTIFS($D$5:D1012,D1013,$B$5:B1012,B1013,$Z$5:Z1012,Z1013,$AA$5:AA1012,AA1013,$F$5:F1012,F1013&amp;"",$AU$5:AU1012,1)&gt;0,1,0),0)</f>
        <v>0</v>
      </c>
      <c r="AW1013" s="80" t="str">
        <f>IF(AB1013=1,INT(B1013)*1440+Z1013,"")</f>
        <v/>
      </c>
      <c r="AX1013" s="80" t="str">
        <f>IF(AB1013=1,AW1013+AD1013,"")</f>
        <v/>
      </c>
      <c r="AY1013" s="80">
        <f>IF(AND(AB1013=1,AV1013=0,AU1013=1),1,0)</f>
        <v>0</v>
      </c>
      <c r="AZ1013" s="80">
        <f>IF(AY1013=1,COUNTIFS(R_Emp,D1013,R_SAbs,"&lt;"&amp;AX1013,R_EAbs,"&gt;"&amp;AW1013,R_OKey,1)-1,0)</f>
        <v>0</v>
      </c>
      <c r="BA1013" s="80">
        <f>IF(AY1013=1,COUNTIFS(R_Emp,"&lt;&gt;"&amp;D1013,R_SAbs,"&lt;"&amp;AX1013,R_EAbs,"&gt;"&amp;AW1013,R_OKey,1),0)</f>
        <v>0</v>
      </c>
      <c r="BB1013" s="80">
        <f>IF(AND(AB1013=1,D1013="proMX"),IF(AND(MOD(Z1013,CFG_BLK)=0,MOD(AA1013,CFG_BLK)=0,MOD(AG1013,CFG_BLK)=0,AG1013&gt;0),1,0),1)</f>
        <v>1</v>
      </c>
      <c r="BC1013" s="80" t="str">
        <f>IF(Y1013=0,"",IF(NOT(ISNUMBER(B1013)),"Falta fecha o fecha inválida",IF(D1013="","Falta empresa",IF(AND(D1013&lt;&gt;"Malcolm",D1013&lt;&gt;"proMX"),"Empresa inválida",IF(OR(INT(B1013)&lt;CFG_PSTART,INT(B1013)&gt;CFG_PEND),"Fecha fuera del período",IF(OR(NOT(ISNUMBER(Z1013)),NOT(ISNUMBER(AA1013))),"Falta hora inicio/fin o formato inválido",IF(AB1013=0,"Hora inicio = hora fin",IF(AE1013&lt;0,"Descanso inválido",IF(AE1013&gt;=AD1013,"Descanso ≥ duración",IF(AV1013=1,"Registro duplicado",IF(AZ1013&gt;0,"Se superpone con otro registro "&amp;D1013,IF(BB1013=0,"inicio, fin y duración neta deben ser múltiplos de "&amp;CFG_BLK&amp;" min",""))))))))))))</f>
        <v/>
      </c>
      <c r="BD1013" s="80">
        <f>IF(AND(Y1013=1,BC1013=""),1,0)</f>
        <v>0</v>
      </c>
      <c r="BE1013" s="80">
        <f>IF(AND(BD1013=1,AU1013=1),1,0)</f>
        <v>0</v>
      </c>
      <c r="BF1013" s="80" t="str">
        <f>IF(AND(D1013="proMX",BD1013=1),IF(R1013="","Draft",R1013),"")</f>
        <v/>
      </c>
      <c r="BG1013" s="80">
        <f>IF(BD1013=1,ROUND(AG1013/60,6),0)</f>
        <v>0</v>
      </c>
      <c r="BH1013" s="80">
        <f>IF(BE1013=1,ROUND(AG1013/60,6),0)</f>
        <v>0</v>
      </c>
      <c r="BI1013" s="80">
        <f>IF(BE1013=1,ROUND(AP1013/60,6),0)</f>
        <v>0</v>
      </c>
      <c r="BJ1013" s="80">
        <f>IF(BE1013=1,ROUND(AQ1013/60,6),0)</f>
        <v>0</v>
      </c>
      <c r="BK1013" s="80">
        <f>IF(BE1013=1,ROUND((AR1013+AS1013)/60,6),0)</f>
        <v>0</v>
      </c>
      <c r="BL1013" s="80">
        <f>ROUND(BH1013-BK1013,6)</f>
        <v>0</v>
      </c>
      <c r="BM1013" s="80">
        <f>IF(BE1013=1,ROUND(AR1013/60,6),0)</f>
        <v>0</v>
      </c>
      <c r="BN1013" s="80">
        <f>ROUND(BI1013-BM1013,6)</f>
        <v>0</v>
      </c>
      <c r="BO1013" s="80">
        <f>IF(BE1013=1,ROUND(AS1013/60,6),0)</f>
        <v>0</v>
      </c>
      <c r="BP1013" s="80">
        <f>ROUND(BJ1013-BO1013,6)</f>
        <v>0</v>
      </c>
      <c r="BQ1013" s="80">
        <f>IF(BE1013=1,AW1013,0)</f>
        <v>0</v>
      </c>
      <c r="BR1013" s="80">
        <f>IF(BE1013=1,AX1013,0)</f>
        <v>0</v>
      </c>
      <c r="BS1013" s="80">
        <f>IF(AND(BE1013=1,D1013="Malcolm",BA1013&gt;0),MIN(BH1013,SUMPRODUCT((R_Emp="proMX")*(R_EN&gt;0)*((R_EN-(R_EN&gt;BR1013)*(R_EN-BR1013))&gt;(R_SN+(R_SN&lt;BQ1013)*(BQ1013-R_SN)))*((R_EN-(R_EN&gt;BR1013)*(R_EN-BR1013))-(R_SN+(R_SN&lt;BQ1013)*(BQ1013-R_SN))))/60),0)</f>
        <v>0</v>
      </c>
      <c r="BT1013" s="80">
        <f>IF(AND(BE1013=1,D1013="proMX"),ROUND(BI1013*CFG_RATE+BJ1013*CFG_OTRATE,6),0)</f>
        <v>0</v>
      </c>
      <c r="BU1013" s="80">
        <f>IF(AND(BD1013=1,D1013="proMX"),ROUND(AG1013/CFG_BLK,6),0)</f>
        <v>0</v>
      </c>
      <c r="BV1013" s="80" t="str">
        <f>IF(BF1013="Approved",IF(ISNUMBER(T1013),INT(T1013),INT(B1013)),"")</f>
        <v/>
      </c>
      <c r="BW1013" s="80">
        <f>IF(ISNUMBER(B1013),IF(DB_MON="Todos",1,IF(AND(INT(B1013)&gt;=DB_MS,INT(B1013)&lt;=DB_ME),1,0)),0)</f>
        <v>0</v>
      </c>
      <c r="BX1013" s="80">
        <f>IF(DB_PROJ="Todos",1,IF(E1013&amp;""=DB_PROJ&amp;"",1,0))</f>
        <v>1</v>
      </c>
      <c r="BY1013" s="80">
        <f>BW1013*BX1013</f>
        <v>0</v>
      </c>
      <c r="BZ1013" s="80" t="str">
        <f>IF(Y1013=1,F1013&amp;IF(AND(F1013&amp;""&lt;&gt;"",E1013&amp;""&lt;&gt;"")," · ","")&amp;E1013,"")</f>
        <v/>
      </c>
      <c r="CA1013" s="80" t="str">
        <f>IF(AND(BD1013=1,E1013&amp;""&lt;&gt;""),IF(COUNTIFS($E$5:E1012,E1013,$BD$5:BD1012,1)=0,MAX($CA$5:CA1012)+1,""),"")</f>
        <v/>
      </c>
      <c r="CB1013" s="80" t="str">
        <f>IF(AND(BE1013=1,D1013="Malcolm",E1013&amp;""&lt;&gt;""),IF(COUNTIFS($D$5:D1012,"Malcolm",$E$5:E1012,E1013,$BE$5:BE1012,1)=0,MAX($CB$5:CB1012)+1,""),"")</f>
        <v/>
      </c>
      <c r="CC1013" s="80" t="str">
        <f>IF(AND(BD1013=1,D1013="proMX",E1013&amp;""&lt;&gt;""),IF(COUNTIFS($D$5:D1012,"proMX",$E$5:E1012,E1013,$BD$5:BD1012,1)=0,MAX($CC$5:CC1012)+1,""),"")</f>
        <v/>
      </c>
      <c r="CD1013" s="80" t="str">
        <f>IF(AND(BE1013=1,D1013="Malcolm",F1013&amp;""&lt;&gt;""),IF(COUNTIFS($D$5:D1012,"Malcolm",$F$5:F1012,F1013,$BE$5:BE1012,1)=0,MAX($CD$5:CD1012)+1,""),"")</f>
        <v/>
      </c>
      <c r="CE1013" s="80" t="str">
        <f>IF(AND(BD1013=1,D1013="proMX",F1013&amp;""&lt;&gt;""),IF(COUNTIFS($D$5:D1012,"proMX",$F$5:F1012,F1013,$BD$5:BD1012,1)=0,MAX($CE$5:CE1012)+1,""),"")</f>
        <v/>
      </c>
      <c r="CF1013" s="80" t="str">
        <f>IF(AND(D1013="proMX",BD1013=1),IF(OR(BF1013="Draft",BF1013="Submitted",BF1013="Returned",BF1013="Recall Requested"),MAX($CF$5:CF1012)+1,""),"")</f>
        <v/>
      </c>
      <c r="CG1013" s="80">
        <f>IF(BD1013=0,0,IF(D1013="Malcolm",1,MATCH(BF1013,{"Draft","Submitted","Approved","Returned","Recall Requested","Cancelled"},0)+1))</f>
        <v>0</v>
      </c>
      <c r="CH1013" s="80">
        <f>IF(AND(BF1013="Submitted",ISNUMBER(V1013)),IF(V1013&gt;CFG_MAXD,1,0),0)</f>
        <v>0</v>
      </c>
    </row>
    <row r="1014">
      <c r="A1014" s="71" t="str">
        <f>IF(Y1014=1,ROW()-5,"")</f>
        <v/>
      </c>
      <c r="B1014" s="72" t="n"/>
      <c r="C1014" s="71" t="str">
        <f>IF(ISNUMBER(B1014),CHOOSE(WEEKDAY(B1014,2),"Lun","Mar","Mié","Jue","Vie","Sáb","Dom"),"")</f>
        <v/>
      </c>
      <c r="D1014" s="73" t="n"/>
      <c r="E1014" s="74" t="n"/>
      <c r="F1014" s="74" t="n"/>
      <c r="G1014" s="74" t="n"/>
      <c r="H1014" s="75" t="n"/>
      <c r="I1014" s="75" t="n"/>
      <c r="J1014" s="76" t="n"/>
      <c r="K1014" s="77" t="str">
        <f>IF(AB1014=1,ROUND(AG1014/60,4),"")</f>
        <v/>
      </c>
      <c r="L1014" s="77" t="str">
        <f>IF(BD1014=1,ROUND(AP1014/60,4),"")</f>
        <v/>
      </c>
      <c r="M1014" s="77" t="str">
        <f>IF(BD1014=1,ROUND(AQ1014/60,4),"")</f>
        <v/>
      </c>
      <c r="N1014" s="71" t="str">
        <f>IF(AND(D1014="proMX",AB1014=1),ROUND(AG1014/CFG_BLK,2),"")</f>
        <v/>
      </c>
      <c r="O1014" s="77" t="str">
        <f>IF(D1014="proMX",IF(BD1014=1,ROUND(AG1014/60,4),0),"")</f>
        <v/>
      </c>
      <c r="P1014" s="78" t="str">
        <f>IF(Y1014=0,"",IF(BD1014=1,"OK",IF(D1014="proMX","Revisar bloques: ","Revisar: ")&amp;BC1014))</f>
        <v/>
      </c>
      <c r="Q1014" s="78" t="str">
        <f>IF(NOT(ISNUMBER(B1014)),"",IF(COUNTIFS(FER_F,INT(B1014))&gt;0,"Feriado"&amp;IF(AH1014=1," (laborable)"," (no laborable)"),IF(AH1014=1,"Laborable",IF(WEEKDAY(B1014,2)&gt;5,"Fin de semana","No laborable"))))</f>
        <v/>
      </c>
      <c r="R1014" s="73" t="n"/>
      <c r="S1014" s="72" t="n"/>
      <c r="T1014" s="72" t="n"/>
      <c r="U1014" s="74" t="n"/>
      <c r="V1014" s="79" t="str">
        <f>IF(AND(D1014="proMX",OR(R1014="Submitted",R1014="Recall Requested"),ISNUMBER(S1014)),CFG_TODAY-INT(S1014),"")</f>
        <v/>
      </c>
      <c r="W1014" s="78" t="str">
        <f>IF(BD1014=0,"",IF(BA1014&gt;0,"⚠ Se superpone con un registro de la otra empresa",IF(D1014="Malcolm",IF(COUNTA(R1014,S1014,T1014)&gt;0,"Estado/fechas proMX se ignoran en Malcolm",""),IF(BF1014="Cancelled","Cancelado: excluido de totales",IF(R1014="","Sin estado: se trata como Draft",IF(BF1014="Submitted",IF(ISNUMBER(V1014),IF(V1014&gt;CFG_MAXD,"⚠ "&amp;V1014&amp;" días en Submitted (máx. "&amp;CFG_MAXD&amp;")",""),"Falta fecha de envío"),IF(BF1014="Returned","⚠ Devuelto: corregir y reenviar",IF(BF1014="Recall Requested","Retirada solicitada: pendiente",IF(AND(BF1014="Approved",NOT(ISNUMBER(T1014))),"Falta fecha de aprobación",IF(AND(ISNUMBER(S1014),ISNUMBER(T1014),T1014&lt;S1014),"Aprobación anterior al envío","")))))))))</f>
        <v/>
      </c>
      <c r="Y1014" s="80">
        <f>IF(COUNTA(B1014,D1014,E1014,F1014,G1014,H1014,I1014,J1014,R1014,S1014,T1014)&gt;0,1,0)</f>
        <v>0</v>
      </c>
      <c r="Z1014" s="80" t="str">
        <f>IF(AND(ISNUMBER(H1014),H1014&gt;=0,H1014&lt;1),ROUND(H1014*1440,0),"")</f>
        <v/>
      </c>
      <c r="AA1014" s="80" t="str">
        <f>IF(AND(ISNUMBER(I1014),I1014&gt;=0,I1014&lt;1),ROUND(I1014*1440,0),"")</f>
        <v/>
      </c>
      <c r="AB1014" s="80">
        <f>IF(AND(ISNUMBER(B1014),D1014&lt;&gt;"",ISNUMBER(Z1014),ISNUMBER(AA1014)),IF(Z1014=AA1014,0,1),0)</f>
        <v>0</v>
      </c>
      <c r="AC1014" s="80">
        <f>IF(AB1014=1,IF(AA1014&lt;Z1014,1,0),0)</f>
        <v>0</v>
      </c>
      <c r="AD1014" s="80">
        <f>IF(AB1014=1,IF(AC1014=1,1440-Z1014+AA1014,AA1014-Z1014),0)</f>
        <v>0</v>
      </c>
      <c r="AE1014" s="80">
        <f>IF(J1014="",0,IF(ISNUMBER(J1014),J1014,-1))</f>
        <v>0</v>
      </c>
      <c r="AF1014" s="80">
        <f>MIN(MAX(0,AE1014),AD1014)</f>
        <v>0</v>
      </c>
      <c r="AG1014" s="80">
        <f>MAX(0,AD1014-MAX(0,AE1014))</f>
        <v>0</v>
      </c>
      <c r="AH1014" s="80">
        <f>IF(ISNUMBER(B1014),IF(AND(INDEX(CFG_WDAYS,WEEKDAY(INT(B1014),2))="Sí",IF(D1014="proMX",COUNTIFS(FER_F,INT(B1014),FER_NLP,"Sí"),COUNTIFS(FER_F,INT(B1014),FER_NLM,"Sí"))=0),1,0),0)</f>
        <v>0</v>
      </c>
      <c r="AI1014" s="80">
        <f>IF(AC1014=1,IF(AND(INDEX(CFG_WDAYS,WEEKDAY(INT(B1014)+1,2))="Sí",IF(D1014="proMX",COUNTIFS(FER_F,INT(B1014)+1,FER_NLP,"Sí"),COUNTIFS(FER_F,INT(B1014)+1,FER_NLM,"Sí"))=0),1,0),0)</f>
        <v>0</v>
      </c>
      <c r="AJ1014" s="80">
        <f>IF(AC1014=1,1440-Z1014,AD1014)</f>
        <v>0</v>
      </c>
      <c r="AK1014" s="80">
        <f>IF(AND(AB1014=1,AH1014=1),MAX(0,MIN(IF(AC1014=1,1440,AA1014),CFG_WEM)-MAX(Z1014,CFG_WSM)),0)</f>
        <v>0</v>
      </c>
      <c r="AL1014" s="80">
        <f>IF(AND(AC1014=1,AI1014=1),MAX(0,MIN(AA1014,CFG_WEM)-CFG_WSM),0)</f>
        <v>0</v>
      </c>
      <c r="AM1014" s="80">
        <f>AK1014+AL1014</f>
        <v>0</v>
      </c>
      <c r="AN1014" s="80">
        <f>IF(CFG_BRK="Proporcional",IF(AD1014=0,0,AF1014*AM1014/AD1014),IF(CFG_BRK="Extras primero",MIN(AM1014,MAX(0,AF1014-(AD1014-AM1014))),MIN(AF1014,AM1014)))</f>
        <v>0</v>
      </c>
      <c r="AO1014" s="80">
        <f>AF1014-AN1014</f>
        <v>0</v>
      </c>
      <c r="AP1014" s="80">
        <f>AM1014-AN1014</f>
        <v>0</v>
      </c>
      <c r="AQ1014" s="80">
        <f>AD1014-AM1014-AO1014</f>
        <v>0</v>
      </c>
      <c r="AR1014" s="80">
        <f>IF(AM1014=0,0,AK1014-AN1014*AK1014/AM1014)</f>
        <v>0</v>
      </c>
      <c r="AS1014" s="80">
        <f>IF(AD1014-AM1014=0,0,(AJ1014-AK1014)-AO1014*(AJ1014-AK1014)/(AD1014-AM1014))</f>
        <v>0</v>
      </c>
      <c r="AT1014" s="80" t="str">
        <f>IF(AC1014=1,INT(B1014)+1,"")</f>
        <v/>
      </c>
      <c r="AU1014" s="80">
        <f>IF(AND(D1014="proMX",R1014="Cancelled"),0,1)</f>
        <v>1</v>
      </c>
      <c r="AV1014" s="80">
        <f>IF(AND(AB1014=1,AU1014=1),IF(COUNTIFS($D$5:D1013,D1014,$B$5:B1013,B1014,$Z$5:Z1013,Z1014,$AA$5:AA1013,AA1014,$F$5:F1013,F1014&amp;"",$AU$5:AU1013,1)&gt;0,1,0),0)</f>
        <v>0</v>
      </c>
      <c r="AW1014" s="80" t="str">
        <f>IF(AB1014=1,INT(B1014)*1440+Z1014,"")</f>
        <v/>
      </c>
      <c r="AX1014" s="80" t="str">
        <f>IF(AB1014=1,AW1014+AD1014,"")</f>
        <v/>
      </c>
      <c r="AY1014" s="80">
        <f>IF(AND(AB1014=1,AV1014=0,AU1014=1),1,0)</f>
        <v>0</v>
      </c>
      <c r="AZ1014" s="80">
        <f>IF(AY1014=1,COUNTIFS(R_Emp,D1014,R_SAbs,"&lt;"&amp;AX1014,R_EAbs,"&gt;"&amp;AW1014,R_OKey,1)-1,0)</f>
        <v>0</v>
      </c>
      <c r="BA1014" s="80">
        <f>IF(AY1014=1,COUNTIFS(R_Emp,"&lt;&gt;"&amp;D1014,R_SAbs,"&lt;"&amp;AX1014,R_EAbs,"&gt;"&amp;AW1014,R_OKey,1),0)</f>
        <v>0</v>
      </c>
      <c r="BB1014" s="80">
        <f>IF(AND(AB1014=1,D1014="proMX"),IF(AND(MOD(Z1014,CFG_BLK)=0,MOD(AA1014,CFG_BLK)=0,MOD(AG1014,CFG_BLK)=0,AG1014&gt;0),1,0),1)</f>
        <v>1</v>
      </c>
      <c r="BC1014" s="80" t="str">
        <f>IF(Y1014=0,"",IF(NOT(ISNUMBER(B1014)),"Falta fecha o fecha inválida",IF(D1014="","Falta empresa",IF(AND(D1014&lt;&gt;"Malcolm",D1014&lt;&gt;"proMX"),"Empresa inválida",IF(OR(INT(B1014)&lt;CFG_PSTART,INT(B1014)&gt;CFG_PEND),"Fecha fuera del período",IF(OR(NOT(ISNUMBER(Z1014)),NOT(ISNUMBER(AA1014))),"Falta hora inicio/fin o formato inválido",IF(AB1014=0,"Hora inicio = hora fin",IF(AE1014&lt;0,"Descanso inválido",IF(AE1014&gt;=AD1014,"Descanso ≥ duración",IF(AV1014=1,"Registro duplicado",IF(AZ1014&gt;0,"Se superpone con otro registro "&amp;D1014,IF(BB1014=0,"inicio, fin y duración neta deben ser múltiplos de "&amp;CFG_BLK&amp;" min",""))))))))))))</f>
        <v/>
      </c>
      <c r="BD1014" s="80">
        <f>IF(AND(Y1014=1,BC1014=""),1,0)</f>
        <v>0</v>
      </c>
      <c r="BE1014" s="80">
        <f>IF(AND(BD1014=1,AU1014=1),1,0)</f>
        <v>0</v>
      </c>
      <c r="BF1014" s="80" t="str">
        <f>IF(AND(D1014="proMX",BD1014=1),IF(R1014="","Draft",R1014),"")</f>
        <v/>
      </c>
      <c r="BG1014" s="80">
        <f>IF(BD1014=1,ROUND(AG1014/60,6),0)</f>
        <v>0</v>
      </c>
      <c r="BH1014" s="80">
        <f>IF(BE1014=1,ROUND(AG1014/60,6),0)</f>
        <v>0</v>
      </c>
      <c r="BI1014" s="80">
        <f>IF(BE1014=1,ROUND(AP1014/60,6),0)</f>
        <v>0</v>
      </c>
      <c r="BJ1014" s="80">
        <f>IF(BE1014=1,ROUND(AQ1014/60,6),0)</f>
        <v>0</v>
      </c>
      <c r="BK1014" s="80">
        <f>IF(BE1014=1,ROUND((AR1014+AS1014)/60,6),0)</f>
        <v>0</v>
      </c>
      <c r="BL1014" s="80">
        <f>ROUND(BH1014-BK1014,6)</f>
        <v>0</v>
      </c>
      <c r="BM1014" s="80">
        <f>IF(BE1014=1,ROUND(AR1014/60,6),0)</f>
        <v>0</v>
      </c>
      <c r="BN1014" s="80">
        <f>ROUND(BI1014-BM1014,6)</f>
        <v>0</v>
      </c>
      <c r="BO1014" s="80">
        <f>IF(BE1014=1,ROUND(AS1014/60,6),0)</f>
        <v>0</v>
      </c>
      <c r="BP1014" s="80">
        <f>ROUND(BJ1014-BO1014,6)</f>
        <v>0</v>
      </c>
      <c r="BQ1014" s="80">
        <f>IF(BE1014=1,AW1014,0)</f>
        <v>0</v>
      </c>
      <c r="BR1014" s="80">
        <f>IF(BE1014=1,AX1014,0)</f>
        <v>0</v>
      </c>
      <c r="BS1014" s="80">
        <f>IF(AND(BE1014=1,D1014="Malcolm",BA1014&gt;0),MIN(BH1014,SUMPRODUCT((R_Emp="proMX")*(R_EN&gt;0)*((R_EN-(R_EN&gt;BR1014)*(R_EN-BR1014))&gt;(R_SN+(R_SN&lt;BQ1014)*(BQ1014-R_SN)))*((R_EN-(R_EN&gt;BR1014)*(R_EN-BR1014))-(R_SN+(R_SN&lt;BQ1014)*(BQ1014-R_SN))))/60),0)</f>
        <v>0</v>
      </c>
      <c r="BT1014" s="80">
        <f>IF(AND(BE1014=1,D1014="proMX"),ROUND(BI1014*CFG_RATE+BJ1014*CFG_OTRATE,6),0)</f>
        <v>0</v>
      </c>
      <c r="BU1014" s="80">
        <f>IF(AND(BD1014=1,D1014="proMX"),ROUND(AG1014/CFG_BLK,6),0)</f>
        <v>0</v>
      </c>
      <c r="BV1014" s="80" t="str">
        <f>IF(BF1014="Approved",IF(ISNUMBER(T1014),INT(T1014),INT(B1014)),"")</f>
        <v/>
      </c>
      <c r="BW1014" s="80">
        <f>IF(ISNUMBER(B1014),IF(DB_MON="Todos",1,IF(AND(INT(B1014)&gt;=DB_MS,INT(B1014)&lt;=DB_ME),1,0)),0)</f>
        <v>0</v>
      </c>
      <c r="BX1014" s="80">
        <f>IF(DB_PROJ="Todos",1,IF(E1014&amp;""=DB_PROJ&amp;"",1,0))</f>
        <v>1</v>
      </c>
      <c r="BY1014" s="80">
        <f>BW1014*BX1014</f>
        <v>0</v>
      </c>
      <c r="BZ1014" s="80" t="str">
        <f>IF(Y1014=1,F1014&amp;IF(AND(F1014&amp;""&lt;&gt;"",E1014&amp;""&lt;&gt;"")," · ","")&amp;E1014,"")</f>
        <v/>
      </c>
      <c r="CA1014" s="80" t="str">
        <f>IF(AND(BD1014=1,E1014&amp;""&lt;&gt;""),IF(COUNTIFS($E$5:E1013,E1014,$BD$5:BD1013,1)=0,MAX($CA$5:CA1013)+1,""),"")</f>
        <v/>
      </c>
      <c r="CB1014" s="80" t="str">
        <f>IF(AND(BE1014=1,D1014="Malcolm",E1014&amp;""&lt;&gt;""),IF(COUNTIFS($D$5:D1013,"Malcolm",$E$5:E1013,E1014,$BE$5:BE1013,1)=0,MAX($CB$5:CB1013)+1,""),"")</f>
        <v/>
      </c>
      <c r="CC1014" s="80" t="str">
        <f>IF(AND(BD1014=1,D1014="proMX",E1014&amp;""&lt;&gt;""),IF(COUNTIFS($D$5:D1013,"proMX",$E$5:E1013,E1014,$BD$5:BD1013,1)=0,MAX($CC$5:CC1013)+1,""),"")</f>
        <v/>
      </c>
      <c r="CD1014" s="80" t="str">
        <f>IF(AND(BE1014=1,D1014="Malcolm",F1014&amp;""&lt;&gt;""),IF(COUNTIFS($D$5:D1013,"Malcolm",$F$5:F1013,F1014,$BE$5:BE1013,1)=0,MAX($CD$5:CD1013)+1,""),"")</f>
        <v/>
      </c>
      <c r="CE1014" s="80" t="str">
        <f>IF(AND(BD1014=1,D1014="proMX",F1014&amp;""&lt;&gt;""),IF(COUNTIFS($D$5:D1013,"proMX",$F$5:F1013,F1014,$BD$5:BD1013,1)=0,MAX($CE$5:CE1013)+1,""),"")</f>
        <v/>
      </c>
      <c r="CF1014" s="80" t="str">
        <f>IF(AND(D1014="proMX",BD1014=1),IF(OR(BF1014="Draft",BF1014="Submitted",BF1014="Returned",BF1014="Recall Requested"),MAX($CF$5:CF1013)+1,""),"")</f>
        <v/>
      </c>
      <c r="CG1014" s="80">
        <f>IF(BD1014=0,0,IF(D1014="Malcolm",1,MATCH(BF1014,{"Draft","Submitted","Approved","Returned","Recall Requested","Cancelled"},0)+1))</f>
        <v>0</v>
      </c>
      <c r="CH1014" s="80">
        <f>IF(AND(BF1014="Submitted",ISNUMBER(V1014)),IF(V1014&gt;CFG_MAXD,1,0),0)</f>
        <v>0</v>
      </c>
    </row>
    <row r="1015">
      <c r="A1015" s="71" t="str">
        <f>IF(Y1015=1,ROW()-5,"")</f>
        <v/>
      </c>
      <c r="B1015" s="72" t="n"/>
      <c r="C1015" s="71" t="str">
        <f>IF(ISNUMBER(B1015),CHOOSE(WEEKDAY(B1015,2),"Lun","Mar","Mié","Jue","Vie","Sáb","Dom"),"")</f>
        <v/>
      </c>
      <c r="D1015" s="73" t="n"/>
      <c r="E1015" s="74" t="n"/>
      <c r="F1015" s="74" t="n"/>
      <c r="G1015" s="74" t="n"/>
      <c r="H1015" s="75" t="n"/>
      <c r="I1015" s="75" t="n"/>
      <c r="J1015" s="76" t="n"/>
      <c r="K1015" s="77" t="str">
        <f>IF(AB1015=1,ROUND(AG1015/60,4),"")</f>
        <v/>
      </c>
      <c r="L1015" s="77" t="str">
        <f>IF(BD1015=1,ROUND(AP1015/60,4),"")</f>
        <v/>
      </c>
      <c r="M1015" s="77" t="str">
        <f>IF(BD1015=1,ROUND(AQ1015/60,4),"")</f>
        <v/>
      </c>
      <c r="N1015" s="71" t="str">
        <f>IF(AND(D1015="proMX",AB1015=1),ROUND(AG1015/CFG_BLK,2),"")</f>
        <v/>
      </c>
      <c r="O1015" s="77" t="str">
        <f>IF(D1015="proMX",IF(BD1015=1,ROUND(AG1015/60,4),0),"")</f>
        <v/>
      </c>
      <c r="P1015" s="78" t="str">
        <f>IF(Y1015=0,"",IF(BD1015=1,"OK",IF(D1015="proMX","Revisar bloques: ","Revisar: ")&amp;BC1015))</f>
        <v/>
      </c>
      <c r="Q1015" s="78" t="str">
        <f>IF(NOT(ISNUMBER(B1015)),"",IF(COUNTIFS(FER_F,INT(B1015))&gt;0,"Feriado"&amp;IF(AH1015=1," (laborable)"," (no laborable)"),IF(AH1015=1,"Laborable",IF(WEEKDAY(B1015,2)&gt;5,"Fin de semana","No laborable"))))</f>
        <v/>
      </c>
      <c r="R1015" s="73" t="n"/>
      <c r="S1015" s="72" t="n"/>
      <c r="T1015" s="72" t="n"/>
      <c r="U1015" s="74" t="n"/>
      <c r="V1015" s="79" t="str">
        <f>IF(AND(D1015="proMX",OR(R1015="Submitted",R1015="Recall Requested"),ISNUMBER(S1015)),CFG_TODAY-INT(S1015),"")</f>
        <v/>
      </c>
      <c r="W1015" s="78" t="str">
        <f>IF(BD1015=0,"",IF(BA1015&gt;0,"⚠ Se superpone con un registro de la otra empresa",IF(D1015="Malcolm",IF(COUNTA(R1015,S1015,T1015)&gt;0,"Estado/fechas proMX se ignoran en Malcolm",""),IF(BF1015="Cancelled","Cancelado: excluido de totales",IF(R1015="","Sin estado: se trata como Draft",IF(BF1015="Submitted",IF(ISNUMBER(V1015),IF(V1015&gt;CFG_MAXD,"⚠ "&amp;V1015&amp;" días en Submitted (máx. "&amp;CFG_MAXD&amp;")",""),"Falta fecha de envío"),IF(BF1015="Returned","⚠ Devuelto: corregir y reenviar",IF(BF1015="Recall Requested","Retirada solicitada: pendiente",IF(AND(BF1015="Approved",NOT(ISNUMBER(T1015))),"Falta fecha de aprobación",IF(AND(ISNUMBER(S1015),ISNUMBER(T1015),T1015&lt;S1015),"Aprobación anterior al envío","")))))))))</f>
        <v/>
      </c>
      <c r="Y1015" s="80">
        <f>IF(COUNTA(B1015,D1015,E1015,F1015,G1015,H1015,I1015,J1015,R1015,S1015,T1015)&gt;0,1,0)</f>
        <v>0</v>
      </c>
      <c r="Z1015" s="80" t="str">
        <f>IF(AND(ISNUMBER(H1015),H1015&gt;=0,H1015&lt;1),ROUND(H1015*1440,0),"")</f>
        <v/>
      </c>
      <c r="AA1015" s="80" t="str">
        <f>IF(AND(ISNUMBER(I1015),I1015&gt;=0,I1015&lt;1),ROUND(I1015*1440,0),"")</f>
        <v/>
      </c>
      <c r="AB1015" s="80">
        <f>IF(AND(ISNUMBER(B1015),D1015&lt;&gt;"",ISNUMBER(Z1015),ISNUMBER(AA1015)),IF(Z1015=AA1015,0,1),0)</f>
        <v>0</v>
      </c>
      <c r="AC1015" s="80">
        <f>IF(AB1015=1,IF(AA1015&lt;Z1015,1,0),0)</f>
        <v>0</v>
      </c>
      <c r="AD1015" s="80">
        <f>IF(AB1015=1,IF(AC1015=1,1440-Z1015+AA1015,AA1015-Z1015),0)</f>
        <v>0</v>
      </c>
      <c r="AE1015" s="80">
        <f>IF(J1015="",0,IF(ISNUMBER(J1015),J1015,-1))</f>
        <v>0</v>
      </c>
      <c r="AF1015" s="80">
        <f>MIN(MAX(0,AE1015),AD1015)</f>
        <v>0</v>
      </c>
      <c r="AG1015" s="80">
        <f>MAX(0,AD1015-MAX(0,AE1015))</f>
        <v>0</v>
      </c>
      <c r="AH1015" s="80">
        <f>IF(ISNUMBER(B1015),IF(AND(INDEX(CFG_WDAYS,WEEKDAY(INT(B1015),2))="Sí",IF(D1015="proMX",COUNTIFS(FER_F,INT(B1015),FER_NLP,"Sí"),COUNTIFS(FER_F,INT(B1015),FER_NLM,"Sí"))=0),1,0),0)</f>
        <v>0</v>
      </c>
      <c r="AI1015" s="80">
        <f>IF(AC1015=1,IF(AND(INDEX(CFG_WDAYS,WEEKDAY(INT(B1015)+1,2))="Sí",IF(D1015="proMX",COUNTIFS(FER_F,INT(B1015)+1,FER_NLP,"Sí"),COUNTIFS(FER_F,INT(B1015)+1,FER_NLM,"Sí"))=0),1,0),0)</f>
        <v>0</v>
      </c>
      <c r="AJ1015" s="80">
        <f>IF(AC1015=1,1440-Z1015,AD1015)</f>
        <v>0</v>
      </c>
      <c r="AK1015" s="80">
        <f>IF(AND(AB1015=1,AH1015=1),MAX(0,MIN(IF(AC1015=1,1440,AA1015),CFG_WEM)-MAX(Z1015,CFG_WSM)),0)</f>
        <v>0</v>
      </c>
      <c r="AL1015" s="80">
        <f>IF(AND(AC1015=1,AI1015=1),MAX(0,MIN(AA1015,CFG_WEM)-CFG_WSM),0)</f>
        <v>0</v>
      </c>
      <c r="AM1015" s="80">
        <f>AK1015+AL1015</f>
        <v>0</v>
      </c>
      <c r="AN1015" s="80">
        <f>IF(CFG_BRK="Proporcional",IF(AD1015=0,0,AF1015*AM1015/AD1015),IF(CFG_BRK="Extras primero",MIN(AM1015,MAX(0,AF1015-(AD1015-AM1015))),MIN(AF1015,AM1015)))</f>
        <v>0</v>
      </c>
      <c r="AO1015" s="80">
        <f>AF1015-AN1015</f>
        <v>0</v>
      </c>
      <c r="AP1015" s="80">
        <f>AM1015-AN1015</f>
        <v>0</v>
      </c>
      <c r="AQ1015" s="80">
        <f>AD1015-AM1015-AO1015</f>
        <v>0</v>
      </c>
      <c r="AR1015" s="80">
        <f>IF(AM1015=0,0,AK1015-AN1015*AK1015/AM1015)</f>
        <v>0</v>
      </c>
      <c r="AS1015" s="80">
        <f>IF(AD1015-AM1015=0,0,(AJ1015-AK1015)-AO1015*(AJ1015-AK1015)/(AD1015-AM1015))</f>
        <v>0</v>
      </c>
      <c r="AT1015" s="80" t="str">
        <f>IF(AC1015=1,INT(B1015)+1,"")</f>
        <v/>
      </c>
      <c r="AU1015" s="80">
        <f>IF(AND(D1015="proMX",R1015="Cancelled"),0,1)</f>
        <v>1</v>
      </c>
      <c r="AV1015" s="80">
        <f>IF(AND(AB1015=1,AU1015=1),IF(COUNTIFS($D$5:D1014,D1015,$B$5:B1014,B1015,$Z$5:Z1014,Z1015,$AA$5:AA1014,AA1015,$F$5:F1014,F1015&amp;"",$AU$5:AU1014,1)&gt;0,1,0),0)</f>
        <v>0</v>
      </c>
      <c r="AW1015" s="80" t="str">
        <f>IF(AB1015=1,INT(B1015)*1440+Z1015,"")</f>
        <v/>
      </c>
      <c r="AX1015" s="80" t="str">
        <f>IF(AB1015=1,AW1015+AD1015,"")</f>
        <v/>
      </c>
      <c r="AY1015" s="80">
        <f>IF(AND(AB1015=1,AV1015=0,AU1015=1),1,0)</f>
        <v>0</v>
      </c>
      <c r="AZ1015" s="80">
        <f>IF(AY1015=1,COUNTIFS(R_Emp,D1015,R_SAbs,"&lt;"&amp;AX1015,R_EAbs,"&gt;"&amp;AW1015,R_OKey,1)-1,0)</f>
        <v>0</v>
      </c>
      <c r="BA1015" s="80">
        <f>IF(AY1015=1,COUNTIFS(R_Emp,"&lt;&gt;"&amp;D1015,R_SAbs,"&lt;"&amp;AX1015,R_EAbs,"&gt;"&amp;AW1015,R_OKey,1),0)</f>
        <v>0</v>
      </c>
      <c r="BB1015" s="80">
        <f>IF(AND(AB1015=1,D1015="proMX"),IF(AND(MOD(Z1015,CFG_BLK)=0,MOD(AA1015,CFG_BLK)=0,MOD(AG1015,CFG_BLK)=0,AG1015&gt;0),1,0),1)</f>
        <v>1</v>
      </c>
      <c r="BC1015" s="80" t="str">
        <f>IF(Y1015=0,"",IF(NOT(ISNUMBER(B1015)),"Falta fecha o fecha inválida",IF(D1015="","Falta empresa",IF(AND(D1015&lt;&gt;"Malcolm",D1015&lt;&gt;"proMX"),"Empresa inválida",IF(OR(INT(B1015)&lt;CFG_PSTART,INT(B1015)&gt;CFG_PEND),"Fecha fuera del período",IF(OR(NOT(ISNUMBER(Z1015)),NOT(ISNUMBER(AA1015))),"Falta hora inicio/fin o formato inválido",IF(AB1015=0,"Hora inicio = hora fin",IF(AE1015&lt;0,"Descanso inválido",IF(AE1015&gt;=AD1015,"Descanso ≥ duración",IF(AV1015=1,"Registro duplicado",IF(AZ1015&gt;0,"Se superpone con otro registro "&amp;D1015,IF(BB1015=0,"inicio, fin y duración neta deben ser múltiplos de "&amp;CFG_BLK&amp;" min",""))))))))))))</f>
        <v/>
      </c>
      <c r="BD1015" s="80">
        <f>IF(AND(Y1015=1,BC1015=""),1,0)</f>
        <v>0</v>
      </c>
      <c r="BE1015" s="80">
        <f>IF(AND(BD1015=1,AU1015=1),1,0)</f>
        <v>0</v>
      </c>
      <c r="BF1015" s="80" t="str">
        <f>IF(AND(D1015="proMX",BD1015=1),IF(R1015="","Draft",R1015),"")</f>
        <v/>
      </c>
      <c r="BG1015" s="80">
        <f>IF(BD1015=1,ROUND(AG1015/60,6),0)</f>
        <v>0</v>
      </c>
      <c r="BH1015" s="80">
        <f>IF(BE1015=1,ROUND(AG1015/60,6),0)</f>
        <v>0</v>
      </c>
      <c r="BI1015" s="80">
        <f>IF(BE1015=1,ROUND(AP1015/60,6),0)</f>
        <v>0</v>
      </c>
      <c r="BJ1015" s="80">
        <f>IF(BE1015=1,ROUND(AQ1015/60,6),0)</f>
        <v>0</v>
      </c>
      <c r="BK1015" s="80">
        <f>IF(BE1015=1,ROUND((AR1015+AS1015)/60,6),0)</f>
        <v>0</v>
      </c>
      <c r="BL1015" s="80">
        <f>ROUND(BH1015-BK1015,6)</f>
        <v>0</v>
      </c>
      <c r="BM1015" s="80">
        <f>IF(BE1015=1,ROUND(AR1015/60,6),0)</f>
        <v>0</v>
      </c>
      <c r="BN1015" s="80">
        <f>ROUND(BI1015-BM1015,6)</f>
        <v>0</v>
      </c>
      <c r="BO1015" s="80">
        <f>IF(BE1015=1,ROUND(AS1015/60,6),0)</f>
        <v>0</v>
      </c>
      <c r="BP1015" s="80">
        <f>ROUND(BJ1015-BO1015,6)</f>
        <v>0</v>
      </c>
      <c r="BQ1015" s="80">
        <f>IF(BE1015=1,AW1015,0)</f>
        <v>0</v>
      </c>
      <c r="BR1015" s="80">
        <f>IF(BE1015=1,AX1015,0)</f>
        <v>0</v>
      </c>
      <c r="BS1015" s="80">
        <f>IF(AND(BE1015=1,D1015="Malcolm",BA1015&gt;0),MIN(BH1015,SUMPRODUCT((R_Emp="proMX")*(R_EN&gt;0)*((R_EN-(R_EN&gt;BR1015)*(R_EN-BR1015))&gt;(R_SN+(R_SN&lt;BQ1015)*(BQ1015-R_SN)))*((R_EN-(R_EN&gt;BR1015)*(R_EN-BR1015))-(R_SN+(R_SN&lt;BQ1015)*(BQ1015-R_SN))))/60),0)</f>
        <v>0</v>
      </c>
      <c r="BT1015" s="80">
        <f>IF(AND(BE1015=1,D1015="proMX"),ROUND(BI1015*CFG_RATE+BJ1015*CFG_OTRATE,6),0)</f>
        <v>0</v>
      </c>
      <c r="BU1015" s="80">
        <f>IF(AND(BD1015=1,D1015="proMX"),ROUND(AG1015/CFG_BLK,6),0)</f>
        <v>0</v>
      </c>
      <c r="BV1015" s="80" t="str">
        <f>IF(BF1015="Approved",IF(ISNUMBER(T1015),INT(T1015),INT(B1015)),"")</f>
        <v/>
      </c>
      <c r="BW1015" s="80">
        <f>IF(ISNUMBER(B1015),IF(DB_MON="Todos",1,IF(AND(INT(B1015)&gt;=DB_MS,INT(B1015)&lt;=DB_ME),1,0)),0)</f>
        <v>0</v>
      </c>
      <c r="BX1015" s="80">
        <f>IF(DB_PROJ="Todos",1,IF(E1015&amp;""=DB_PROJ&amp;"",1,0))</f>
        <v>1</v>
      </c>
      <c r="BY1015" s="80">
        <f>BW1015*BX1015</f>
        <v>0</v>
      </c>
      <c r="BZ1015" s="80" t="str">
        <f>IF(Y1015=1,F1015&amp;IF(AND(F1015&amp;""&lt;&gt;"",E1015&amp;""&lt;&gt;"")," · ","")&amp;E1015,"")</f>
        <v/>
      </c>
      <c r="CA1015" s="80" t="str">
        <f>IF(AND(BD1015=1,E1015&amp;""&lt;&gt;""),IF(COUNTIFS($E$5:E1014,E1015,$BD$5:BD1014,1)=0,MAX($CA$5:CA1014)+1,""),"")</f>
        <v/>
      </c>
      <c r="CB1015" s="80" t="str">
        <f>IF(AND(BE1015=1,D1015="Malcolm",E1015&amp;""&lt;&gt;""),IF(COUNTIFS($D$5:D1014,"Malcolm",$E$5:E1014,E1015,$BE$5:BE1014,1)=0,MAX($CB$5:CB1014)+1,""),"")</f>
        <v/>
      </c>
      <c r="CC1015" s="80" t="str">
        <f>IF(AND(BD1015=1,D1015="proMX",E1015&amp;""&lt;&gt;""),IF(COUNTIFS($D$5:D1014,"proMX",$E$5:E1014,E1015,$BD$5:BD1014,1)=0,MAX($CC$5:CC1014)+1,""),"")</f>
        <v/>
      </c>
      <c r="CD1015" s="80" t="str">
        <f>IF(AND(BE1015=1,D1015="Malcolm",F1015&amp;""&lt;&gt;""),IF(COUNTIFS($D$5:D1014,"Malcolm",$F$5:F1014,F1015,$BE$5:BE1014,1)=0,MAX($CD$5:CD1014)+1,""),"")</f>
        <v/>
      </c>
      <c r="CE1015" s="80" t="str">
        <f>IF(AND(BD1015=1,D1015="proMX",F1015&amp;""&lt;&gt;""),IF(COUNTIFS($D$5:D1014,"proMX",$F$5:F1014,F1015,$BD$5:BD1014,1)=0,MAX($CE$5:CE1014)+1,""),"")</f>
        <v/>
      </c>
      <c r="CF1015" s="80" t="str">
        <f>IF(AND(D1015="proMX",BD1015=1),IF(OR(BF1015="Draft",BF1015="Submitted",BF1015="Returned",BF1015="Recall Requested"),MAX($CF$5:CF1014)+1,""),"")</f>
        <v/>
      </c>
      <c r="CG1015" s="80">
        <f>IF(BD1015=0,0,IF(D1015="Malcolm",1,MATCH(BF1015,{"Draft","Submitted","Approved","Returned","Recall Requested","Cancelled"},0)+1))</f>
        <v>0</v>
      </c>
      <c r="CH1015" s="80">
        <f>IF(AND(BF1015="Submitted",ISNUMBER(V1015)),IF(V1015&gt;CFG_MAXD,1,0),0)</f>
        <v>0</v>
      </c>
    </row>
    <row r="1016">
      <c r="A1016" s="71" t="str">
        <f>IF(Y1016=1,ROW()-5,"")</f>
        <v/>
      </c>
      <c r="B1016" s="72" t="n"/>
      <c r="C1016" s="71" t="str">
        <f>IF(ISNUMBER(B1016),CHOOSE(WEEKDAY(B1016,2),"Lun","Mar","Mié","Jue","Vie","Sáb","Dom"),"")</f>
        <v/>
      </c>
      <c r="D1016" s="73" t="n"/>
      <c r="E1016" s="74" t="n"/>
      <c r="F1016" s="74" t="n"/>
      <c r="G1016" s="74" t="n"/>
      <c r="H1016" s="75" t="n"/>
      <c r="I1016" s="75" t="n"/>
      <c r="J1016" s="76" t="n"/>
      <c r="K1016" s="77" t="str">
        <f>IF(AB1016=1,ROUND(AG1016/60,4),"")</f>
        <v/>
      </c>
      <c r="L1016" s="77" t="str">
        <f>IF(BD1016=1,ROUND(AP1016/60,4),"")</f>
        <v/>
      </c>
      <c r="M1016" s="77" t="str">
        <f>IF(BD1016=1,ROUND(AQ1016/60,4),"")</f>
        <v/>
      </c>
      <c r="N1016" s="71" t="str">
        <f>IF(AND(D1016="proMX",AB1016=1),ROUND(AG1016/CFG_BLK,2),"")</f>
        <v/>
      </c>
      <c r="O1016" s="77" t="str">
        <f>IF(D1016="proMX",IF(BD1016=1,ROUND(AG1016/60,4),0),"")</f>
        <v/>
      </c>
      <c r="P1016" s="78" t="str">
        <f>IF(Y1016=0,"",IF(BD1016=1,"OK",IF(D1016="proMX","Revisar bloques: ","Revisar: ")&amp;BC1016))</f>
        <v/>
      </c>
      <c r="Q1016" s="78" t="str">
        <f>IF(NOT(ISNUMBER(B1016)),"",IF(COUNTIFS(FER_F,INT(B1016))&gt;0,"Feriado"&amp;IF(AH1016=1," (laborable)"," (no laborable)"),IF(AH1016=1,"Laborable",IF(WEEKDAY(B1016,2)&gt;5,"Fin de semana","No laborable"))))</f>
        <v/>
      </c>
      <c r="R1016" s="73" t="n"/>
      <c r="S1016" s="72" t="n"/>
      <c r="T1016" s="72" t="n"/>
      <c r="U1016" s="74" t="n"/>
      <c r="V1016" s="79" t="str">
        <f>IF(AND(D1016="proMX",OR(R1016="Submitted",R1016="Recall Requested"),ISNUMBER(S1016)),CFG_TODAY-INT(S1016),"")</f>
        <v/>
      </c>
      <c r="W1016" s="78" t="str">
        <f>IF(BD1016=0,"",IF(BA1016&gt;0,"⚠ Se superpone con un registro de la otra empresa",IF(D1016="Malcolm",IF(COUNTA(R1016,S1016,T1016)&gt;0,"Estado/fechas proMX se ignoran en Malcolm",""),IF(BF1016="Cancelled","Cancelado: excluido de totales",IF(R1016="","Sin estado: se trata como Draft",IF(BF1016="Submitted",IF(ISNUMBER(V1016),IF(V1016&gt;CFG_MAXD,"⚠ "&amp;V1016&amp;" días en Submitted (máx. "&amp;CFG_MAXD&amp;")",""),"Falta fecha de envío"),IF(BF1016="Returned","⚠ Devuelto: corregir y reenviar",IF(BF1016="Recall Requested","Retirada solicitada: pendiente",IF(AND(BF1016="Approved",NOT(ISNUMBER(T1016))),"Falta fecha de aprobación",IF(AND(ISNUMBER(S1016),ISNUMBER(T1016),T1016&lt;S1016),"Aprobación anterior al envío","")))))))))</f>
        <v/>
      </c>
      <c r="Y1016" s="80">
        <f>IF(COUNTA(B1016,D1016,E1016,F1016,G1016,H1016,I1016,J1016,R1016,S1016,T1016)&gt;0,1,0)</f>
        <v>0</v>
      </c>
      <c r="Z1016" s="80" t="str">
        <f>IF(AND(ISNUMBER(H1016),H1016&gt;=0,H1016&lt;1),ROUND(H1016*1440,0),"")</f>
        <v/>
      </c>
      <c r="AA1016" s="80" t="str">
        <f>IF(AND(ISNUMBER(I1016),I1016&gt;=0,I1016&lt;1),ROUND(I1016*1440,0),"")</f>
        <v/>
      </c>
      <c r="AB1016" s="80">
        <f>IF(AND(ISNUMBER(B1016),D1016&lt;&gt;"",ISNUMBER(Z1016),ISNUMBER(AA1016)),IF(Z1016=AA1016,0,1),0)</f>
        <v>0</v>
      </c>
      <c r="AC1016" s="80">
        <f>IF(AB1016=1,IF(AA1016&lt;Z1016,1,0),0)</f>
        <v>0</v>
      </c>
      <c r="AD1016" s="80">
        <f>IF(AB1016=1,IF(AC1016=1,1440-Z1016+AA1016,AA1016-Z1016),0)</f>
        <v>0</v>
      </c>
      <c r="AE1016" s="80">
        <f>IF(J1016="",0,IF(ISNUMBER(J1016),J1016,-1))</f>
        <v>0</v>
      </c>
      <c r="AF1016" s="80">
        <f>MIN(MAX(0,AE1016),AD1016)</f>
        <v>0</v>
      </c>
      <c r="AG1016" s="80">
        <f>MAX(0,AD1016-MAX(0,AE1016))</f>
        <v>0</v>
      </c>
      <c r="AH1016" s="80">
        <f>IF(ISNUMBER(B1016),IF(AND(INDEX(CFG_WDAYS,WEEKDAY(INT(B1016),2))="Sí",IF(D1016="proMX",COUNTIFS(FER_F,INT(B1016),FER_NLP,"Sí"),COUNTIFS(FER_F,INT(B1016),FER_NLM,"Sí"))=0),1,0),0)</f>
        <v>0</v>
      </c>
      <c r="AI1016" s="80">
        <f>IF(AC1016=1,IF(AND(INDEX(CFG_WDAYS,WEEKDAY(INT(B1016)+1,2))="Sí",IF(D1016="proMX",COUNTIFS(FER_F,INT(B1016)+1,FER_NLP,"Sí"),COUNTIFS(FER_F,INT(B1016)+1,FER_NLM,"Sí"))=0),1,0),0)</f>
        <v>0</v>
      </c>
      <c r="AJ1016" s="80">
        <f>IF(AC1016=1,1440-Z1016,AD1016)</f>
        <v>0</v>
      </c>
      <c r="AK1016" s="80">
        <f>IF(AND(AB1016=1,AH1016=1),MAX(0,MIN(IF(AC1016=1,1440,AA1016),CFG_WEM)-MAX(Z1016,CFG_WSM)),0)</f>
        <v>0</v>
      </c>
      <c r="AL1016" s="80">
        <f>IF(AND(AC1016=1,AI1016=1),MAX(0,MIN(AA1016,CFG_WEM)-CFG_WSM),0)</f>
        <v>0</v>
      </c>
      <c r="AM1016" s="80">
        <f>AK1016+AL1016</f>
        <v>0</v>
      </c>
      <c r="AN1016" s="80">
        <f>IF(CFG_BRK="Proporcional",IF(AD1016=0,0,AF1016*AM1016/AD1016),IF(CFG_BRK="Extras primero",MIN(AM1016,MAX(0,AF1016-(AD1016-AM1016))),MIN(AF1016,AM1016)))</f>
        <v>0</v>
      </c>
      <c r="AO1016" s="80">
        <f>AF1016-AN1016</f>
        <v>0</v>
      </c>
      <c r="AP1016" s="80">
        <f>AM1016-AN1016</f>
        <v>0</v>
      </c>
      <c r="AQ1016" s="80">
        <f>AD1016-AM1016-AO1016</f>
        <v>0</v>
      </c>
      <c r="AR1016" s="80">
        <f>IF(AM1016=0,0,AK1016-AN1016*AK1016/AM1016)</f>
        <v>0</v>
      </c>
      <c r="AS1016" s="80">
        <f>IF(AD1016-AM1016=0,0,(AJ1016-AK1016)-AO1016*(AJ1016-AK1016)/(AD1016-AM1016))</f>
        <v>0</v>
      </c>
      <c r="AT1016" s="80" t="str">
        <f>IF(AC1016=1,INT(B1016)+1,"")</f>
        <v/>
      </c>
      <c r="AU1016" s="80">
        <f>IF(AND(D1016="proMX",R1016="Cancelled"),0,1)</f>
        <v>1</v>
      </c>
      <c r="AV1016" s="80">
        <f>IF(AND(AB1016=1,AU1016=1),IF(COUNTIFS($D$5:D1015,D1016,$B$5:B1015,B1016,$Z$5:Z1015,Z1016,$AA$5:AA1015,AA1016,$F$5:F1015,F1016&amp;"",$AU$5:AU1015,1)&gt;0,1,0),0)</f>
        <v>0</v>
      </c>
      <c r="AW1016" s="80" t="str">
        <f>IF(AB1016=1,INT(B1016)*1440+Z1016,"")</f>
        <v/>
      </c>
      <c r="AX1016" s="80" t="str">
        <f>IF(AB1016=1,AW1016+AD1016,"")</f>
        <v/>
      </c>
      <c r="AY1016" s="80">
        <f>IF(AND(AB1016=1,AV1016=0,AU1016=1),1,0)</f>
        <v>0</v>
      </c>
      <c r="AZ1016" s="80">
        <f>IF(AY1016=1,COUNTIFS(R_Emp,D1016,R_SAbs,"&lt;"&amp;AX1016,R_EAbs,"&gt;"&amp;AW1016,R_OKey,1)-1,0)</f>
        <v>0</v>
      </c>
      <c r="BA1016" s="80">
        <f>IF(AY1016=1,COUNTIFS(R_Emp,"&lt;&gt;"&amp;D1016,R_SAbs,"&lt;"&amp;AX1016,R_EAbs,"&gt;"&amp;AW1016,R_OKey,1),0)</f>
        <v>0</v>
      </c>
      <c r="BB1016" s="80">
        <f>IF(AND(AB1016=1,D1016="proMX"),IF(AND(MOD(Z1016,CFG_BLK)=0,MOD(AA1016,CFG_BLK)=0,MOD(AG1016,CFG_BLK)=0,AG1016&gt;0),1,0),1)</f>
        <v>1</v>
      </c>
      <c r="BC1016" s="80" t="str">
        <f>IF(Y1016=0,"",IF(NOT(ISNUMBER(B1016)),"Falta fecha o fecha inválida",IF(D1016="","Falta empresa",IF(AND(D1016&lt;&gt;"Malcolm",D1016&lt;&gt;"proMX"),"Empresa inválida",IF(OR(INT(B1016)&lt;CFG_PSTART,INT(B1016)&gt;CFG_PEND),"Fecha fuera del período",IF(OR(NOT(ISNUMBER(Z1016)),NOT(ISNUMBER(AA1016))),"Falta hora inicio/fin o formato inválido",IF(AB1016=0,"Hora inicio = hora fin",IF(AE1016&lt;0,"Descanso inválido",IF(AE1016&gt;=AD1016,"Descanso ≥ duración",IF(AV1016=1,"Registro duplicado",IF(AZ1016&gt;0,"Se superpone con otro registro "&amp;D1016,IF(BB1016=0,"inicio, fin y duración neta deben ser múltiplos de "&amp;CFG_BLK&amp;" min",""))))))))))))</f>
        <v/>
      </c>
      <c r="BD1016" s="80">
        <f>IF(AND(Y1016=1,BC1016=""),1,0)</f>
        <v>0</v>
      </c>
      <c r="BE1016" s="80">
        <f>IF(AND(BD1016=1,AU1016=1),1,0)</f>
        <v>0</v>
      </c>
      <c r="BF1016" s="80" t="str">
        <f>IF(AND(D1016="proMX",BD1016=1),IF(R1016="","Draft",R1016),"")</f>
        <v/>
      </c>
      <c r="BG1016" s="80">
        <f>IF(BD1016=1,ROUND(AG1016/60,6),0)</f>
        <v>0</v>
      </c>
      <c r="BH1016" s="80">
        <f>IF(BE1016=1,ROUND(AG1016/60,6),0)</f>
        <v>0</v>
      </c>
      <c r="BI1016" s="80">
        <f>IF(BE1016=1,ROUND(AP1016/60,6),0)</f>
        <v>0</v>
      </c>
      <c r="BJ1016" s="80">
        <f>IF(BE1016=1,ROUND(AQ1016/60,6),0)</f>
        <v>0</v>
      </c>
      <c r="BK1016" s="80">
        <f>IF(BE1016=1,ROUND((AR1016+AS1016)/60,6),0)</f>
        <v>0</v>
      </c>
      <c r="BL1016" s="80">
        <f>ROUND(BH1016-BK1016,6)</f>
        <v>0</v>
      </c>
      <c r="BM1016" s="80">
        <f>IF(BE1016=1,ROUND(AR1016/60,6),0)</f>
        <v>0</v>
      </c>
      <c r="BN1016" s="80">
        <f>ROUND(BI1016-BM1016,6)</f>
        <v>0</v>
      </c>
      <c r="BO1016" s="80">
        <f>IF(BE1016=1,ROUND(AS1016/60,6),0)</f>
        <v>0</v>
      </c>
      <c r="BP1016" s="80">
        <f>ROUND(BJ1016-BO1016,6)</f>
        <v>0</v>
      </c>
      <c r="BQ1016" s="80">
        <f>IF(BE1016=1,AW1016,0)</f>
        <v>0</v>
      </c>
      <c r="BR1016" s="80">
        <f>IF(BE1016=1,AX1016,0)</f>
        <v>0</v>
      </c>
      <c r="BS1016" s="80">
        <f>IF(AND(BE1016=1,D1016="Malcolm",BA1016&gt;0),MIN(BH1016,SUMPRODUCT((R_Emp="proMX")*(R_EN&gt;0)*((R_EN-(R_EN&gt;BR1016)*(R_EN-BR1016))&gt;(R_SN+(R_SN&lt;BQ1016)*(BQ1016-R_SN)))*((R_EN-(R_EN&gt;BR1016)*(R_EN-BR1016))-(R_SN+(R_SN&lt;BQ1016)*(BQ1016-R_SN))))/60),0)</f>
        <v>0</v>
      </c>
      <c r="BT1016" s="80">
        <f>IF(AND(BE1016=1,D1016="proMX"),ROUND(BI1016*CFG_RATE+BJ1016*CFG_OTRATE,6),0)</f>
        <v>0</v>
      </c>
      <c r="BU1016" s="80">
        <f>IF(AND(BD1016=1,D1016="proMX"),ROUND(AG1016/CFG_BLK,6),0)</f>
        <v>0</v>
      </c>
      <c r="BV1016" s="80" t="str">
        <f>IF(BF1016="Approved",IF(ISNUMBER(T1016),INT(T1016),INT(B1016)),"")</f>
        <v/>
      </c>
      <c r="BW1016" s="80">
        <f>IF(ISNUMBER(B1016),IF(DB_MON="Todos",1,IF(AND(INT(B1016)&gt;=DB_MS,INT(B1016)&lt;=DB_ME),1,0)),0)</f>
        <v>0</v>
      </c>
      <c r="BX1016" s="80">
        <f>IF(DB_PROJ="Todos",1,IF(E1016&amp;""=DB_PROJ&amp;"",1,0))</f>
        <v>1</v>
      </c>
      <c r="BY1016" s="80">
        <f>BW1016*BX1016</f>
        <v>0</v>
      </c>
      <c r="BZ1016" s="80" t="str">
        <f>IF(Y1016=1,F1016&amp;IF(AND(F1016&amp;""&lt;&gt;"",E1016&amp;""&lt;&gt;"")," · ","")&amp;E1016,"")</f>
        <v/>
      </c>
      <c r="CA1016" s="80" t="str">
        <f>IF(AND(BD1016=1,E1016&amp;""&lt;&gt;""),IF(COUNTIFS($E$5:E1015,E1016,$BD$5:BD1015,1)=0,MAX($CA$5:CA1015)+1,""),"")</f>
        <v/>
      </c>
      <c r="CB1016" s="80" t="str">
        <f>IF(AND(BE1016=1,D1016="Malcolm",E1016&amp;""&lt;&gt;""),IF(COUNTIFS($D$5:D1015,"Malcolm",$E$5:E1015,E1016,$BE$5:BE1015,1)=0,MAX($CB$5:CB1015)+1,""),"")</f>
        <v/>
      </c>
      <c r="CC1016" s="80" t="str">
        <f>IF(AND(BD1016=1,D1016="proMX",E1016&amp;""&lt;&gt;""),IF(COUNTIFS($D$5:D1015,"proMX",$E$5:E1015,E1016,$BD$5:BD1015,1)=0,MAX($CC$5:CC1015)+1,""),"")</f>
        <v/>
      </c>
      <c r="CD1016" s="80" t="str">
        <f>IF(AND(BE1016=1,D1016="Malcolm",F1016&amp;""&lt;&gt;""),IF(COUNTIFS($D$5:D1015,"Malcolm",$F$5:F1015,F1016,$BE$5:BE1015,1)=0,MAX($CD$5:CD1015)+1,""),"")</f>
        <v/>
      </c>
      <c r="CE1016" s="80" t="str">
        <f>IF(AND(BD1016=1,D1016="proMX",F1016&amp;""&lt;&gt;""),IF(COUNTIFS($D$5:D1015,"proMX",$F$5:F1015,F1016,$BD$5:BD1015,1)=0,MAX($CE$5:CE1015)+1,""),"")</f>
        <v/>
      </c>
      <c r="CF1016" s="80" t="str">
        <f>IF(AND(D1016="proMX",BD1016=1),IF(OR(BF1016="Draft",BF1016="Submitted",BF1016="Returned",BF1016="Recall Requested"),MAX($CF$5:CF1015)+1,""),"")</f>
        <v/>
      </c>
      <c r="CG1016" s="80">
        <f>IF(BD1016=0,0,IF(D1016="Malcolm",1,MATCH(BF1016,{"Draft","Submitted","Approved","Returned","Recall Requested","Cancelled"},0)+1))</f>
        <v>0</v>
      </c>
      <c r="CH1016" s="80">
        <f>IF(AND(BF1016="Submitted",ISNUMBER(V1016)),IF(V1016&gt;CFG_MAXD,1,0),0)</f>
        <v>0</v>
      </c>
    </row>
    <row r="1017">
      <c r="A1017" s="71" t="str">
        <f>IF(Y1017=1,ROW()-5,"")</f>
        <v/>
      </c>
      <c r="B1017" s="72" t="n"/>
      <c r="C1017" s="71" t="str">
        <f>IF(ISNUMBER(B1017),CHOOSE(WEEKDAY(B1017,2),"Lun","Mar","Mié","Jue","Vie","Sáb","Dom"),"")</f>
        <v/>
      </c>
      <c r="D1017" s="73" t="n"/>
      <c r="E1017" s="74" t="n"/>
      <c r="F1017" s="74" t="n"/>
      <c r="G1017" s="74" t="n"/>
      <c r="H1017" s="75" t="n"/>
      <c r="I1017" s="75" t="n"/>
      <c r="J1017" s="76" t="n"/>
      <c r="K1017" s="77" t="str">
        <f>IF(AB1017=1,ROUND(AG1017/60,4),"")</f>
        <v/>
      </c>
      <c r="L1017" s="77" t="str">
        <f>IF(BD1017=1,ROUND(AP1017/60,4),"")</f>
        <v/>
      </c>
      <c r="M1017" s="77" t="str">
        <f>IF(BD1017=1,ROUND(AQ1017/60,4),"")</f>
        <v/>
      </c>
      <c r="N1017" s="71" t="str">
        <f>IF(AND(D1017="proMX",AB1017=1),ROUND(AG1017/CFG_BLK,2),"")</f>
        <v/>
      </c>
      <c r="O1017" s="77" t="str">
        <f>IF(D1017="proMX",IF(BD1017=1,ROUND(AG1017/60,4),0),"")</f>
        <v/>
      </c>
      <c r="P1017" s="78" t="str">
        <f>IF(Y1017=0,"",IF(BD1017=1,"OK",IF(D1017="proMX","Revisar bloques: ","Revisar: ")&amp;BC1017))</f>
        <v/>
      </c>
      <c r="Q1017" s="78" t="str">
        <f>IF(NOT(ISNUMBER(B1017)),"",IF(COUNTIFS(FER_F,INT(B1017))&gt;0,"Feriado"&amp;IF(AH1017=1," (laborable)"," (no laborable)"),IF(AH1017=1,"Laborable",IF(WEEKDAY(B1017,2)&gt;5,"Fin de semana","No laborable"))))</f>
        <v/>
      </c>
      <c r="R1017" s="73" t="n"/>
      <c r="S1017" s="72" t="n"/>
      <c r="T1017" s="72" t="n"/>
      <c r="U1017" s="74" t="n"/>
      <c r="V1017" s="79" t="str">
        <f>IF(AND(D1017="proMX",OR(R1017="Submitted",R1017="Recall Requested"),ISNUMBER(S1017)),CFG_TODAY-INT(S1017),"")</f>
        <v/>
      </c>
      <c r="W1017" s="78" t="str">
        <f>IF(BD1017=0,"",IF(BA1017&gt;0,"⚠ Se superpone con un registro de la otra empresa",IF(D1017="Malcolm",IF(COUNTA(R1017,S1017,T1017)&gt;0,"Estado/fechas proMX se ignoran en Malcolm",""),IF(BF1017="Cancelled","Cancelado: excluido de totales",IF(R1017="","Sin estado: se trata como Draft",IF(BF1017="Submitted",IF(ISNUMBER(V1017),IF(V1017&gt;CFG_MAXD,"⚠ "&amp;V1017&amp;" días en Submitted (máx. "&amp;CFG_MAXD&amp;")",""),"Falta fecha de envío"),IF(BF1017="Returned","⚠ Devuelto: corregir y reenviar",IF(BF1017="Recall Requested","Retirada solicitada: pendiente",IF(AND(BF1017="Approved",NOT(ISNUMBER(T1017))),"Falta fecha de aprobación",IF(AND(ISNUMBER(S1017),ISNUMBER(T1017),T1017&lt;S1017),"Aprobación anterior al envío","")))))))))</f>
        <v/>
      </c>
      <c r="Y1017" s="80">
        <f>IF(COUNTA(B1017,D1017,E1017,F1017,G1017,H1017,I1017,J1017,R1017,S1017,T1017)&gt;0,1,0)</f>
        <v>0</v>
      </c>
      <c r="Z1017" s="80" t="str">
        <f>IF(AND(ISNUMBER(H1017),H1017&gt;=0,H1017&lt;1),ROUND(H1017*1440,0),"")</f>
        <v/>
      </c>
      <c r="AA1017" s="80" t="str">
        <f>IF(AND(ISNUMBER(I1017),I1017&gt;=0,I1017&lt;1),ROUND(I1017*1440,0),"")</f>
        <v/>
      </c>
      <c r="AB1017" s="80">
        <f>IF(AND(ISNUMBER(B1017),D1017&lt;&gt;"",ISNUMBER(Z1017),ISNUMBER(AA1017)),IF(Z1017=AA1017,0,1),0)</f>
        <v>0</v>
      </c>
      <c r="AC1017" s="80">
        <f>IF(AB1017=1,IF(AA1017&lt;Z1017,1,0),0)</f>
        <v>0</v>
      </c>
      <c r="AD1017" s="80">
        <f>IF(AB1017=1,IF(AC1017=1,1440-Z1017+AA1017,AA1017-Z1017),0)</f>
        <v>0</v>
      </c>
      <c r="AE1017" s="80">
        <f>IF(J1017="",0,IF(ISNUMBER(J1017),J1017,-1))</f>
        <v>0</v>
      </c>
      <c r="AF1017" s="80">
        <f>MIN(MAX(0,AE1017),AD1017)</f>
        <v>0</v>
      </c>
      <c r="AG1017" s="80">
        <f>MAX(0,AD1017-MAX(0,AE1017))</f>
        <v>0</v>
      </c>
      <c r="AH1017" s="80">
        <f>IF(ISNUMBER(B1017),IF(AND(INDEX(CFG_WDAYS,WEEKDAY(INT(B1017),2))="Sí",IF(D1017="proMX",COUNTIFS(FER_F,INT(B1017),FER_NLP,"Sí"),COUNTIFS(FER_F,INT(B1017),FER_NLM,"Sí"))=0),1,0),0)</f>
        <v>0</v>
      </c>
      <c r="AI1017" s="80">
        <f>IF(AC1017=1,IF(AND(INDEX(CFG_WDAYS,WEEKDAY(INT(B1017)+1,2))="Sí",IF(D1017="proMX",COUNTIFS(FER_F,INT(B1017)+1,FER_NLP,"Sí"),COUNTIFS(FER_F,INT(B1017)+1,FER_NLM,"Sí"))=0),1,0),0)</f>
        <v>0</v>
      </c>
      <c r="AJ1017" s="80">
        <f>IF(AC1017=1,1440-Z1017,AD1017)</f>
        <v>0</v>
      </c>
      <c r="AK1017" s="80">
        <f>IF(AND(AB1017=1,AH1017=1),MAX(0,MIN(IF(AC1017=1,1440,AA1017),CFG_WEM)-MAX(Z1017,CFG_WSM)),0)</f>
        <v>0</v>
      </c>
      <c r="AL1017" s="80">
        <f>IF(AND(AC1017=1,AI1017=1),MAX(0,MIN(AA1017,CFG_WEM)-CFG_WSM),0)</f>
        <v>0</v>
      </c>
      <c r="AM1017" s="80">
        <f>AK1017+AL1017</f>
        <v>0</v>
      </c>
      <c r="AN1017" s="80">
        <f>IF(CFG_BRK="Proporcional",IF(AD1017=0,0,AF1017*AM1017/AD1017),IF(CFG_BRK="Extras primero",MIN(AM1017,MAX(0,AF1017-(AD1017-AM1017))),MIN(AF1017,AM1017)))</f>
        <v>0</v>
      </c>
      <c r="AO1017" s="80">
        <f>AF1017-AN1017</f>
        <v>0</v>
      </c>
      <c r="AP1017" s="80">
        <f>AM1017-AN1017</f>
        <v>0</v>
      </c>
      <c r="AQ1017" s="80">
        <f>AD1017-AM1017-AO1017</f>
        <v>0</v>
      </c>
      <c r="AR1017" s="80">
        <f>IF(AM1017=0,0,AK1017-AN1017*AK1017/AM1017)</f>
        <v>0</v>
      </c>
      <c r="AS1017" s="80">
        <f>IF(AD1017-AM1017=0,0,(AJ1017-AK1017)-AO1017*(AJ1017-AK1017)/(AD1017-AM1017))</f>
        <v>0</v>
      </c>
      <c r="AT1017" s="80" t="str">
        <f>IF(AC1017=1,INT(B1017)+1,"")</f>
        <v/>
      </c>
      <c r="AU1017" s="80">
        <f>IF(AND(D1017="proMX",R1017="Cancelled"),0,1)</f>
        <v>1</v>
      </c>
      <c r="AV1017" s="80">
        <f>IF(AND(AB1017=1,AU1017=1),IF(COUNTIFS($D$5:D1016,D1017,$B$5:B1016,B1017,$Z$5:Z1016,Z1017,$AA$5:AA1016,AA1017,$F$5:F1016,F1017&amp;"",$AU$5:AU1016,1)&gt;0,1,0),0)</f>
        <v>0</v>
      </c>
      <c r="AW1017" s="80" t="str">
        <f>IF(AB1017=1,INT(B1017)*1440+Z1017,"")</f>
        <v/>
      </c>
      <c r="AX1017" s="80" t="str">
        <f>IF(AB1017=1,AW1017+AD1017,"")</f>
        <v/>
      </c>
      <c r="AY1017" s="80">
        <f>IF(AND(AB1017=1,AV1017=0,AU1017=1),1,0)</f>
        <v>0</v>
      </c>
      <c r="AZ1017" s="80">
        <f>IF(AY1017=1,COUNTIFS(R_Emp,D1017,R_SAbs,"&lt;"&amp;AX1017,R_EAbs,"&gt;"&amp;AW1017,R_OKey,1)-1,0)</f>
        <v>0</v>
      </c>
      <c r="BA1017" s="80">
        <f>IF(AY1017=1,COUNTIFS(R_Emp,"&lt;&gt;"&amp;D1017,R_SAbs,"&lt;"&amp;AX1017,R_EAbs,"&gt;"&amp;AW1017,R_OKey,1),0)</f>
        <v>0</v>
      </c>
      <c r="BB1017" s="80">
        <f>IF(AND(AB1017=1,D1017="proMX"),IF(AND(MOD(Z1017,CFG_BLK)=0,MOD(AA1017,CFG_BLK)=0,MOD(AG1017,CFG_BLK)=0,AG1017&gt;0),1,0),1)</f>
        <v>1</v>
      </c>
      <c r="BC1017" s="80" t="str">
        <f>IF(Y1017=0,"",IF(NOT(ISNUMBER(B1017)),"Falta fecha o fecha inválida",IF(D1017="","Falta empresa",IF(AND(D1017&lt;&gt;"Malcolm",D1017&lt;&gt;"proMX"),"Empresa inválida",IF(OR(INT(B1017)&lt;CFG_PSTART,INT(B1017)&gt;CFG_PEND),"Fecha fuera del período",IF(OR(NOT(ISNUMBER(Z1017)),NOT(ISNUMBER(AA1017))),"Falta hora inicio/fin o formato inválido",IF(AB1017=0,"Hora inicio = hora fin",IF(AE1017&lt;0,"Descanso inválido",IF(AE1017&gt;=AD1017,"Descanso ≥ duración",IF(AV1017=1,"Registro duplicado",IF(AZ1017&gt;0,"Se superpone con otro registro "&amp;D1017,IF(BB1017=0,"inicio, fin y duración neta deben ser múltiplos de "&amp;CFG_BLK&amp;" min",""))))))))))))</f>
        <v/>
      </c>
      <c r="BD1017" s="80">
        <f>IF(AND(Y1017=1,BC1017=""),1,0)</f>
        <v>0</v>
      </c>
      <c r="BE1017" s="80">
        <f>IF(AND(BD1017=1,AU1017=1),1,0)</f>
        <v>0</v>
      </c>
      <c r="BF1017" s="80" t="str">
        <f>IF(AND(D1017="proMX",BD1017=1),IF(R1017="","Draft",R1017),"")</f>
        <v/>
      </c>
      <c r="BG1017" s="80">
        <f>IF(BD1017=1,ROUND(AG1017/60,6),0)</f>
        <v>0</v>
      </c>
      <c r="BH1017" s="80">
        <f>IF(BE1017=1,ROUND(AG1017/60,6),0)</f>
        <v>0</v>
      </c>
      <c r="BI1017" s="80">
        <f>IF(BE1017=1,ROUND(AP1017/60,6),0)</f>
        <v>0</v>
      </c>
      <c r="BJ1017" s="80">
        <f>IF(BE1017=1,ROUND(AQ1017/60,6),0)</f>
        <v>0</v>
      </c>
      <c r="BK1017" s="80">
        <f>IF(BE1017=1,ROUND((AR1017+AS1017)/60,6),0)</f>
        <v>0</v>
      </c>
      <c r="BL1017" s="80">
        <f>ROUND(BH1017-BK1017,6)</f>
        <v>0</v>
      </c>
      <c r="BM1017" s="80">
        <f>IF(BE1017=1,ROUND(AR1017/60,6),0)</f>
        <v>0</v>
      </c>
      <c r="BN1017" s="80">
        <f>ROUND(BI1017-BM1017,6)</f>
        <v>0</v>
      </c>
      <c r="BO1017" s="80">
        <f>IF(BE1017=1,ROUND(AS1017/60,6),0)</f>
        <v>0</v>
      </c>
      <c r="BP1017" s="80">
        <f>ROUND(BJ1017-BO1017,6)</f>
        <v>0</v>
      </c>
      <c r="BQ1017" s="80">
        <f>IF(BE1017=1,AW1017,0)</f>
        <v>0</v>
      </c>
      <c r="BR1017" s="80">
        <f>IF(BE1017=1,AX1017,0)</f>
        <v>0</v>
      </c>
      <c r="BS1017" s="80">
        <f>IF(AND(BE1017=1,D1017="Malcolm",BA1017&gt;0),MIN(BH1017,SUMPRODUCT((R_Emp="proMX")*(R_EN&gt;0)*((R_EN-(R_EN&gt;BR1017)*(R_EN-BR1017))&gt;(R_SN+(R_SN&lt;BQ1017)*(BQ1017-R_SN)))*((R_EN-(R_EN&gt;BR1017)*(R_EN-BR1017))-(R_SN+(R_SN&lt;BQ1017)*(BQ1017-R_SN))))/60),0)</f>
        <v>0</v>
      </c>
      <c r="BT1017" s="80">
        <f>IF(AND(BE1017=1,D1017="proMX"),ROUND(BI1017*CFG_RATE+BJ1017*CFG_OTRATE,6),0)</f>
        <v>0</v>
      </c>
      <c r="BU1017" s="80">
        <f>IF(AND(BD1017=1,D1017="proMX"),ROUND(AG1017/CFG_BLK,6),0)</f>
        <v>0</v>
      </c>
      <c r="BV1017" s="80" t="str">
        <f>IF(BF1017="Approved",IF(ISNUMBER(T1017),INT(T1017),INT(B1017)),"")</f>
        <v/>
      </c>
      <c r="BW1017" s="80">
        <f>IF(ISNUMBER(B1017),IF(DB_MON="Todos",1,IF(AND(INT(B1017)&gt;=DB_MS,INT(B1017)&lt;=DB_ME),1,0)),0)</f>
        <v>0</v>
      </c>
      <c r="BX1017" s="80">
        <f>IF(DB_PROJ="Todos",1,IF(E1017&amp;""=DB_PROJ&amp;"",1,0))</f>
        <v>1</v>
      </c>
      <c r="BY1017" s="80">
        <f>BW1017*BX1017</f>
        <v>0</v>
      </c>
      <c r="BZ1017" s="80" t="str">
        <f>IF(Y1017=1,F1017&amp;IF(AND(F1017&amp;""&lt;&gt;"",E1017&amp;""&lt;&gt;"")," · ","")&amp;E1017,"")</f>
        <v/>
      </c>
      <c r="CA1017" s="80" t="str">
        <f>IF(AND(BD1017=1,E1017&amp;""&lt;&gt;""),IF(COUNTIFS($E$5:E1016,E1017,$BD$5:BD1016,1)=0,MAX($CA$5:CA1016)+1,""),"")</f>
        <v/>
      </c>
      <c r="CB1017" s="80" t="str">
        <f>IF(AND(BE1017=1,D1017="Malcolm",E1017&amp;""&lt;&gt;""),IF(COUNTIFS($D$5:D1016,"Malcolm",$E$5:E1016,E1017,$BE$5:BE1016,1)=0,MAX($CB$5:CB1016)+1,""),"")</f>
        <v/>
      </c>
      <c r="CC1017" s="80" t="str">
        <f>IF(AND(BD1017=1,D1017="proMX",E1017&amp;""&lt;&gt;""),IF(COUNTIFS($D$5:D1016,"proMX",$E$5:E1016,E1017,$BD$5:BD1016,1)=0,MAX($CC$5:CC1016)+1,""),"")</f>
        <v/>
      </c>
      <c r="CD1017" s="80" t="str">
        <f>IF(AND(BE1017=1,D1017="Malcolm",F1017&amp;""&lt;&gt;""),IF(COUNTIFS($D$5:D1016,"Malcolm",$F$5:F1016,F1017,$BE$5:BE1016,1)=0,MAX($CD$5:CD1016)+1,""),"")</f>
        <v/>
      </c>
      <c r="CE1017" s="80" t="str">
        <f>IF(AND(BD1017=1,D1017="proMX",F1017&amp;""&lt;&gt;""),IF(COUNTIFS($D$5:D1016,"proMX",$F$5:F1016,F1017,$BD$5:BD1016,1)=0,MAX($CE$5:CE1016)+1,""),"")</f>
        <v/>
      </c>
      <c r="CF1017" s="80" t="str">
        <f>IF(AND(D1017="proMX",BD1017=1),IF(OR(BF1017="Draft",BF1017="Submitted",BF1017="Returned",BF1017="Recall Requested"),MAX($CF$5:CF1016)+1,""),"")</f>
        <v/>
      </c>
      <c r="CG1017" s="80">
        <f>IF(BD1017=0,0,IF(D1017="Malcolm",1,MATCH(BF1017,{"Draft","Submitted","Approved","Returned","Recall Requested","Cancelled"},0)+1))</f>
        <v>0</v>
      </c>
      <c r="CH1017" s="80">
        <f>IF(AND(BF1017="Submitted",ISNUMBER(V1017)),IF(V1017&gt;CFG_MAXD,1,0),0)</f>
        <v>0</v>
      </c>
    </row>
    <row r="1018">
      <c r="A1018" s="71" t="str">
        <f>IF(Y1018=1,ROW()-5,"")</f>
        <v/>
      </c>
      <c r="B1018" s="72" t="n"/>
      <c r="C1018" s="71" t="str">
        <f>IF(ISNUMBER(B1018),CHOOSE(WEEKDAY(B1018,2),"Lun","Mar","Mié","Jue","Vie","Sáb","Dom"),"")</f>
        <v/>
      </c>
      <c r="D1018" s="73" t="n"/>
      <c r="E1018" s="74" t="n"/>
      <c r="F1018" s="74" t="n"/>
      <c r="G1018" s="74" t="n"/>
      <c r="H1018" s="75" t="n"/>
      <c r="I1018" s="75" t="n"/>
      <c r="J1018" s="76" t="n"/>
      <c r="K1018" s="77" t="str">
        <f>IF(AB1018=1,ROUND(AG1018/60,4),"")</f>
        <v/>
      </c>
      <c r="L1018" s="77" t="str">
        <f>IF(BD1018=1,ROUND(AP1018/60,4),"")</f>
        <v/>
      </c>
      <c r="M1018" s="77" t="str">
        <f>IF(BD1018=1,ROUND(AQ1018/60,4),"")</f>
        <v/>
      </c>
      <c r="N1018" s="71" t="str">
        <f>IF(AND(D1018="proMX",AB1018=1),ROUND(AG1018/CFG_BLK,2),"")</f>
        <v/>
      </c>
      <c r="O1018" s="77" t="str">
        <f>IF(D1018="proMX",IF(BD1018=1,ROUND(AG1018/60,4),0),"")</f>
        <v/>
      </c>
      <c r="P1018" s="78" t="str">
        <f>IF(Y1018=0,"",IF(BD1018=1,"OK",IF(D1018="proMX","Revisar bloques: ","Revisar: ")&amp;BC1018))</f>
        <v/>
      </c>
      <c r="Q1018" s="78" t="str">
        <f>IF(NOT(ISNUMBER(B1018)),"",IF(COUNTIFS(FER_F,INT(B1018))&gt;0,"Feriado"&amp;IF(AH1018=1," (laborable)"," (no laborable)"),IF(AH1018=1,"Laborable",IF(WEEKDAY(B1018,2)&gt;5,"Fin de semana","No laborable"))))</f>
        <v/>
      </c>
      <c r="R1018" s="73" t="n"/>
      <c r="S1018" s="72" t="n"/>
      <c r="T1018" s="72" t="n"/>
      <c r="U1018" s="74" t="n"/>
      <c r="V1018" s="79" t="str">
        <f>IF(AND(D1018="proMX",OR(R1018="Submitted",R1018="Recall Requested"),ISNUMBER(S1018)),CFG_TODAY-INT(S1018),"")</f>
        <v/>
      </c>
      <c r="W1018" s="78" t="str">
        <f>IF(BD1018=0,"",IF(BA1018&gt;0,"⚠ Se superpone con un registro de la otra empresa",IF(D1018="Malcolm",IF(COUNTA(R1018,S1018,T1018)&gt;0,"Estado/fechas proMX se ignoran en Malcolm",""),IF(BF1018="Cancelled","Cancelado: excluido de totales",IF(R1018="","Sin estado: se trata como Draft",IF(BF1018="Submitted",IF(ISNUMBER(V1018),IF(V1018&gt;CFG_MAXD,"⚠ "&amp;V1018&amp;" días en Submitted (máx. "&amp;CFG_MAXD&amp;")",""),"Falta fecha de envío"),IF(BF1018="Returned","⚠ Devuelto: corregir y reenviar",IF(BF1018="Recall Requested","Retirada solicitada: pendiente",IF(AND(BF1018="Approved",NOT(ISNUMBER(T1018))),"Falta fecha de aprobación",IF(AND(ISNUMBER(S1018),ISNUMBER(T1018),T1018&lt;S1018),"Aprobación anterior al envío","")))))))))</f>
        <v/>
      </c>
      <c r="Y1018" s="80">
        <f>IF(COUNTA(B1018,D1018,E1018,F1018,G1018,H1018,I1018,J1018,R1018,S1018,T1018)&gt;0,1,0)</f>
        <v>0</v>
      </c>
      <c r="Z1018" s="80" t="str">
        <f>IF(AND(ISNUMBER(H1018),H1018&gt;=0,H1018&lt;1),ROUND(H1018*1440,0),"")</f>
        <v/>
      </c>
      <c r="AA1018" s="80" t="str">
        <f>IF(AND(ISNUMBER(I1018),I1018&gt;=0,I1018&lt;1),ROUND(I1018*1440,0),"")</f>
        <v/>
      </c>
      <c r="AB1018" s="80">
        <f>IF(AND(ISNUMBER(B1018),D1018&lt;&gt;"",ISNUMBER(Z1018),ISNUMBER(AA1018)),IF(Z1018=AA1018,0,1),0)</f>
        <v>0</v>
      </c>
      <c r="AC1018" s="80">
        <f>IF(AB1018=1,IF(AA1018&lt;Z1018,1,0),0)</f>
        <v>0</v>
      </c>
      <c r="AD1018" s="80">
        <f>IF(AB1018=1,IF(AC1018=1,1440-Z1018+AA1018,AA1018-Z1018),0)</f>
        <v>0</v>
      </c>
      <c r="AE1018" s="80">
        <f>IF(J1018="",0,IF(ISNUMBER(J1018),J1018,-1))</f>
        <v>0</v>
      </c>
      <c r="AF1018" s="80">
        <f>MIN(MAX(0,AE1018),AD1018)</f>
        <v>0</v>
      </c>
      <c r="AG1018" s="80">
        <f>MAX(0,AD1018-MAX(0,AE1018))</f>
        <v>0</v>
      </c>
      <c r="AH1018" s="80">
        <f>IF(ISNUMBER(B1018),IF(AND(INDEX(CFG_WDAYS,WEEKDAY(INT(B1018),2))="Sí",IF(D1018="proMX",COUNTIFS(FER_F,INT(B1018),FER_NLP,"Sí"),COUNTIFS(FER_F,INT(B1018),FER_NLM,"Sí"))=0),1,0),0)</f>
        <v>0</v>
      </c>
      <c r="AI1018" s="80">
        <f>IF(AC1018=1,IF(AND(INDEX(CFG_WDAYS,WEEKDAY(INT(B1018)+1,2))="Sí",IF(D1018="proMX",COUNTIFS(FER_F,INT(B1018)+1,FER_NLP,"Sí"),COUNTIFS(FER_F,INT(B1018)+1,FER_NLM,"Sí"))=0),1,0),0)</f>
        <v>0</v>
      </c>
      <c r="AJ1018" s="80">
        <f>IF(AC1018=1,1440-Z1018,AD1018)</f>
        <v>0</v>
      </c>
      <c r="AK1018" s="80">
        <f>IF(AND(AB1018=1,AH1018=1),MAX(0,MIN(IF(AC1018=1,1440,AA1018),CFG_WEM)-MAX(Z1018,CFG_WSM)),0)</f>
        <v>0</v>
      </c>
      <c r="AL1018" s="80">
        <f>IF(AND(AC1018=1,AI1018=1),MAX(0,MIN(AA1018,CFG_WEM)-CFG_WSM),0)</f>
        <v>0</v>
      </c>
      <c r="AM1018" s="80">
        <f>AK1018+AL1018</f>
        <v>0</v>
      </c>
      <c r="AN1018" s="80">
        <f>IF(CFG_BRK="Proporcional",IF(AD1018=0,0,AF1018*AM1018/AD1018),IF(CFG_BRK="Extras primero",MIN(AM1018,MAX(0,AF1018-(AD1018-AM1018))),MIN(AF1018,AM1018)))</f>
        <v>0</v>
      </c>
      <c r="AO1018" s="80">
        <f>AF1018-AN1018</f>
        <v>0</v>
      </c>
      <c r="AP1018" s="80">
        <f>AM1018-AN1018</f>
        <v>0</v>
      </c>
      <c r="AQ1018" s="80">
        <f>AD1018-AM1018-AO1018</f>
        <v>0</v>
      </c>
      <c r="AR1018" s="80">
        <f>IF(AM1018=0,0,AK1018-AN1018*AK1018/AM1018)</f>
        <v>0</v>
      </c>
      <c r="AS1018" s="80">
        <f>IF(AD1018-AM1018=0,0,(AJ1018-AK1018)-AO1018*(AJ1018-AK1018)/(AD1018-AM1018))</f>
        <v>0</v>
      </c>
      <c r="AT1018" s="80" t="str">
        <f>IF(AC1018=1,INT(B1018)+1,"")</f>
        <v/>
      </c>
      <c r="AU1018" s="80">
        <f>IF(AND(D1018="proMX",R1018="Cancelled"),0,1)</f>
        <v>1</v>
      </c>
      <c r="AV1018" s="80">
        <f>IF(AND(AB1018=1,AU1018=1),IF(COUNTIFS($D$5:D1017,D1018,$B$5:B1017,B1018,$Z$5:Z1017,Z1018,$AA$5:AA1017,AA1018,$F$5:F1017,F1018&amp;"",$AU$5:AU1017,1)&gt;0,1,0),0)</f>
        <v>0</v>
      </c>
      <c r="AW1018" s="80" t="str">
        <f>IF(AB1018=1,INT(B1018)*1440+Z1018,"")</f>
        <v/>
      </c>
      <c r="AX1018" s="80" t="str">
        <f>IF(AB1018=1,AW1018+AD1018,"")</f>
        <v/>
      </c>
      <c r="AY1018" s="80">
        <f>IF(AND(AB1018=1,AV1018=0,AU1018=1),1,0)</f>
        <v>0</v>
      </c>
      <c r="AZ1018" s="80">
        <f>IF(AY1018=1,COUNTIFS(R_Emp,D1018,R_SAbs,"&lt;"&amp;AX1018,R_EAbs,"&gt;"&amp;AW1018,R_OKey,1)-1,0)</f>
        <v>0</v>
      </c>
      <c r="BA1018" s="80">
        <f>IF(AY1018=1,COUNTIFS(R_Emp,"&lt;&gt;"&amp;D1018,R_SAbs,"&lt;"&amp;AX1018,R_EAbs,"&gt;"&amp;AW1018,R_OKey,1),0)</f>
        <v>0</v>
      </c>
      <c r="BB1018" s="80">
        <f>IF(AND(AB1018=1,D1018="proMX"),IF(AND(MOD(Z1018,CFG_BLK)=0,MOD(AA1018,CFG_BLK)=0,MOD(AG1018,CFG_BLK)=0,AG1018&gt;0),1,0),1)</f>
        <v>1</v>
      </c>
      <c r="BC1018" s="80" t="str">
        <f>IF(Y1018=0,"",IF(NOT(ISNUMBER(B1018)),"Falta fecha o fecha inválida",IF(D1018="","Falta empresa",IF(AND(D1018&lt;&gt;"Malcolm",D1018&lt;&gt;"proMX"),"Empresa inválida",IF(OR(INT(B1018)&lt;CFG_PSTART,INT(B1018)&gt;CFG_PEND),"Fecha fuera del período",IF(OR(NOT(ISNUMBER(Z1018)),NOT(ISNUMBER(AA1018))),"Falta hora inicio/fin o formato inválido",IF(AB1018=0,"Hora inicio = hora fin",IF(AE1018&lt;0,"Descanso inválido",IF(AE1018&gt;=AD1018,"Descanso ≥ duración",IF(AV1018=1,"Registro duplicado",IF(AZ1018&gt;0,"Se superpone con otro registro "&amp;D1018,IF(BB1018=0,"inicio, fin y duración neta deben ser múltiplos de "&amp;CFG_BLK&amp;" min",""))))))))))))</f>
        <v/>
      </c>
      <c r="BD1018" s="80">
        <f>IF(AND(Y1018=1,BC1018=""),1,0)</f>
        <v>0</v>
      </c>
      <c r="BE1018" s="80">
        <f>IF(AND(BD1018=1,AU1018=1),1,0)</f>
        <v>0</v>
      </c>
      <c r="BF1018" s="80" t="str">
        <f>IF(AND(D1018="proMX",BD1018=1),IF(R1018="","Draft",R1018),"")</f>
        <v/>
      </c>
      <c r="BG1018" s="80">
        <f>IF(BD1018=1,ROUND(AG1018/60,6),0)</f>
        <v>0</v>
      </c>
      <c r="BH1018" s="80">
        <f>IF(BE1018=1,ROUND(AG1018/60,6),0)</f>
        <v>0</v>
      </c>
      <c r="BI1018" s="80">
        <f>IF(BE1018=1,ROUND(AP1018/60,6),0)</f>
        <v>0</v>
      </c>
      <c r="BJ1018" s="80">
        <f>IF(BE1018=1,ROUND(AQ1018/60,6),0)</f>
        <v>0</v>
      </c>
      <c r="BK1018" s="80">
        <f>IF(BE1018=1,ROUND((AR1018+AS1018)/60,6),0)</f>
        <v>0</v>
      </c>
      <c r="BL1018" s="80">
        <f>ROUND(BH1018-BK1018,6)</f>
        <v>0</v>
      </c>
      <c r="BM1018" s="80">
        <f>IF(BE1018=1,ROUND(AR1018/60,6),0)</f>
        <v>0</v>
      </c>
      <c r="BN1018" s="80">
        <f>ROUND(BI1018-BM1018,6)</f>
        <v>0</v>
      </c>
      <c r="BO1018" s="80">
        <f>IF(BE1018=1,ROUND(AS1018/60,6),0)</f>
        <v>0</v>
      </c>
      <c r="BP1018" s="80">
        <f>ROUND(BJ1018-BO1018,6)</f>
        <v>0</v>
      </c>
      <c r="BQ1018" s="80">
        <f>IF(BE1018=1,AW1018,0)</f>
        <v>0</v>
      </c>
      <c r="BR1018" s="80">
        <f>IF(BE1018=1,AX1018,0)</f>
        <v>0</v>
      </c>
      <c r="BS1018" s="80">
        <f>IF(AND(BE1018=1,D1018="Malcolm",BA1018&gt;0),MIN(BH1018,SUMPRODUCT((R_Emp="proMX")*(R_EN&gt;0)*((R_EN-(R_EN&gt;BR1018)*(R_EN-BR1018))&gt;(R_SN+(R_SN&lt;BQ1018)*(BQ1018-R_SN)))*((R_EN-(R_EN&gt;BR1018)*(R_EN-BR1018))-(R_SN+(R_SN&lt;BQ1018)*(BQ1018-R_SN))))/60),0)</f>
        <v>0</v>
      </c>
      <c r="BT1018" s="80">
        <f>IF(AND(BE1018=1,D1018="proMX"),ROUND(BI1018*CFG_RATE+BJ1018*CFG_OTRATE,6),0)</f>
        <v>0</v>
      </c>
      <c r="BU1018" s="80">
        <f>IF(AND(BD1018=1,D1018="proMX"),ROUND(AG1018/CFG_BLK,6),0)</f>
        <v>0</v>
      </c>
      <c r="BV1018" s="80" t="str">
        <f>IF(BF1018="Approved",IF(ISNUMBER(T1018),INT(T1018),INT(B1018)),"")</f>
        <v/>
      </c>
      <c r="BW1018" s="80">
        <f>IF(ISNUMBER(B1018),IF(DB_MON="Todos",1,IF(AND(INT(B1018)&gt;=DB_MS,INT(B1018)&lt;=DB_ME),1,0)),0)</f>
        <v>0</v>
      </c>
      <c r="BX1018" s="80">
        <f>IF(DB_PROJ="Todos",1,IF(E1018&amp;""=DB_PROJ&amp;"",1,0))</f>
        <v>1</v>
      </c>
      <c r="BY1018" s="80">
        <f>BW1018*BX1018</f>
        <v>0</v>
      </c>
      <c r="BZ1018" s="80" t="str">
        <f>IF(Y1018=1,F1018&amp;IF(AND(F1018&amp;""&lt;&gt;"",E1018&amp;""&lt;&gt;"")," · ","")&amp;E1018,"")</f>
        <v/>
      </c>
      <c r="CA1018" s="80" t="str">
        <f>IF(AND(BD1018=1,E1018&amp;""&lt;&gt;""),IF(COUNTIFS($E$5:E1017,E1018,$BD$5:BD1017,1)=0,MAX($CA$5:CA1017)+1,""),"")</f>
        <v/>
      </c>
      <c r="CB1018" s="80" t="str">
        <f>IF(AND(BE1018=1,D1018="Malcolm",E1018&amp;""&lt;&gt;""),IF(COUNTIFS($D$5:D1017,"Malcolm",$E$5:E1017,E1018,$BE$5:BE1017,1)=0,MAX($CB$5:CB1017)+1,""),"")</f>
        <v/>
      </c>
      <c r="CC1018" s="80" t="str">
        <f>IF(AND(BD1018=1,D1018="proMX",E1018&amp;""&lt;&gt;""),IF(COUNTIFS($D$5:D1017,"proMX",$E$5:E1017,E1018,$BD$5:BD1017,1)=0,MAX($CC$5:CC1017)+1,""),"")</f>
        <v/>
      </c>
      <c r="CD1018" s="80" t="str">
        <f>IF(AND(BE1018=1,D1018="Malcolm",F1018&amp;""&lt;&gt;""),IF(COUNTIFS($D$5:D1017,"Malcolm",$F$5:F1017,F1018,$BE$5:BE1017,1)=0,MAX($CD$5:CD1017)+1,""),"")</f>
        <v/>
      </c>
      <c r="CE1018" s="80" t="str">
        <f>IF(AND(BD1018=1,D1018="proMX",F1018&amp;""&lt;&gt;""),IF(COUNTIFS($D$5:D1017,"proMX",$F$5:F1017,F1018,$BD$5:BD1017,1)=0,MAX($CE$5:CE1017)+1,""),"")</f>
        <v/>
      </c>
      <c r="CF1018" s="80" t="str">
        <f>IF(AND(D1018="proMX",BD1018=1),IF(OR(BF1018="Draft",BF1018="Submitted",BF1018="Returned",BF1018="Recall Requested"),MAX($CF$5:CF1017)+1,""),"")</f>
        <v/>
      </c>
      <c r="CG1018" s="80">
        <f>IF(BD1018=0,0,IF(D1018="Malcolm",1,MATCH(BF1018,{"Draft","Submitted","Approved","Returned","Recall Requested","Cancelled"},0)+1))</f>
        <v>0</v>
      </c>
      <c r="CH1018" s="80">
        <f>IF(AND(BF1018="Submitted",ISNUMBER(V1018)),IF(V1018&gt;CFG_MAXD,1,0),0)</f>
        <v>0</v>
      </c>
    </row>
    <row r="1019">
      <c r="A1019" s="71" t="str">
        <f>IF(Y1019=1,ROW()-5,"")</f>
        <v/>
      </c>
      <c r="B1019" s="72" t="n"/>
      <c r="C1019" s="71" t="str">
        <f>IF(ISNUMBER(B1019),CHOOSE(WEEKDAY(B1019,2),"Lun","Mar","Mié","Jue","Vie","Sáb","Dom"),"")</f>
        <v/>
      </c>
      <c r="D1019" s="73" t="n"/>
      <c r="E1019" s="74" t="n"/>
      <c r="F1019" s="74" t="n"/>
      <c r="G1019" s="74" t="n"/>
      <c r="H1019" s="75" t="n"/>
      <c r="I1019" s="75" t="n"/>
      <c r="J1019" s="76" t="n"/>
      <c r="K1019" s="77" t="str">
        <f>IF(AB1019=1,ROUND(AG1019/60,4),"")</f>
        <v/>
      </c>
      <c r="L1019" s="77" t="str">
        <f>IF(BD1019=1,ROUND(AP1019/60,4),"")</f>
        <v/>
      </c>
      <c r="M1019" s="77" t="str">
        <f>IF(BD1019=1,ROUND(AQ1019/60,4),"")</f>
        <v/>
      </c>
      <c r="N1019" s="71" t="str">
        <f>IF(AND(D1019="proMX",AB1019=1),ROUND(AG1019/CFG_BLK,2),"")</f>
        <v/>
      </c>
      <c r="O1019" s="77" t="str">
        <f>IF(D1019="proMX",IF(BD1019=1,ROUND(AG1019/60,4),0),"")</f>
        <v/>
      </c>
      <c r="P1019" s="78" t="str">
        <f>IF(Y1019=0,"",IF(BD1019=1,"OK",IF(D1019="proMX","Revisar bloques: ","Revisar: ")&amp;BC1019))</f>
        <v/>
      </c>
      <c r="Q1019" s="78" t="str">
        <f>IF(NOT(ISNUMBER(B1019)),"",IF(COUNTIFS(FER_F,INT(B1019))&gt;0,"Feriado"&amp;IF(AH1019=1," (laborable)"," (no laborable)"),IF(AH1019=1,"Laborable",IF(WEEKDAY(B1019,2)&gt;5,"Fin de semana","No laborable"))))</f>
        <v/>
      </c>
      <c r="R1019" s="73" t="n"/>
      <c r="S1019" s="72" t="n"/>
      <c r="T1019" s="72" t="n"/>
      <c r="U1019" s="74" t="n"/>
      <c r="V1019" s="79" t="str">
        <f>IF(AND(D1019="proMX",OR(R1019="Submitted",R1019="Recall Requested"),ISNUMBER(S1019)),CFG_TODAY-INT(S1019),"")</f>
        <v/>
      </c>
      <c r="W1019" s="78" t="str">
        <f>IF(BD1019=0,"",IF(BA1019&gt;0,"⚠ Se superpone con un registro de la otra empresa",IF(D1019="Malcolm",IF(COUNTA(R1019,S1019,T1019)&gt;0,"Estado/fechas proMX se ignoran en Malcolm",""),IF(BF1019="Cancelled","Cancelado: excluido de totales",IF(R1019="","Sin estado: se trata como Draft",IF(BF1019="Submitted",IF(ISNUMBER(V1019),IF(V1019&gt;CFG_MAXD,"⚠ "&amp;V1019&amp;" días en Submitted (máx. "&amp;CFG_MAXD&amp;")",""),"Falta fecha de envío"),IF(BF1019="Returned","⚠ Devuelto: corregir y reenviar",IF(BF1019="Recall Requested","Retirada solicitada: pendiente",IF(AND(BF1019="Approved",NOT(ISNUMBER(T1019))),"Falta fecha de aprobación",IF(AND(ISNUMBER(S1019),ISNUMBER(T1019),T1019&lt;S1019),"Aprobación anterior al envío","")))))))))</f>
        <v/>
      </c>
      <c r="Y1019" s="80">
        <f>IF(COUNTA(B1019,D1019,E1019,F1019,G1019,H1019,I1019,J1019,R1019,S1019,T1019)&gt;0,1,0)</f>
        <v>0</v>
      </c>
      <c r="Z1019" s="80" t="str">
        <f>IF(AND(ISNUMBER(H1019),H1019&gt;=0,H1019&lt;1),ROUND(H1019*1440,0),"")</f>
        <v/>
      </c>
      <c r="AA1019" s="80" t="str">
        <f>IF(AND(ISNUMBER(I1019),I1019&gt;=0,I1019&lt;1),ROUND(I1019*1440,0),"")</f>
        <v/>
      </c>
      <c r="AB1019" s="80">
        <f>IF(AND(ISNUMBER(B1019),D1019&lt;&gt;"",ISNUMBER(Z1019),ISNUMBER(AA1019)),IF(Z1019=AA1019,0,1),0)</f>
        <v>0</v>
      </c>
      <c r="AC1019" s="80">
        <f>IF(AB1019=1,IF(AA1019&lt;Z1019,1,0),0)</f>
        <v>0</v>
      </c>
      <c r="AD1019" s="80">
        <f>IF(AB1019=1,IF(AC1019=1,1440-Z1019+AA1019,AA1019-Z1019),0)</f>
        <v>0</v>
      </c>
      <c r="AE1019" s="80">
        <f>IF(J1019="",0,IF(ISNUMBER(J1019),J1019,-1))</f>
        <v>0</v>
      </c>
      <c r="AF1019" s="80">
        <f>MIN(MAX(0,AE1019),AD1019)</f>
        <v>0</v>
      </c>
      <c r="AG1019" s="80">
        <f>MAX(0,AD1019-MAX(0,AE1019))</f>
        <v>0</v>
      </c>
      <c r="AH1019" s="80">
        <f>IF(ISNUMBER(B1019),IF(AND(INDEX(CFG_WDAYS,WEEKDAY(INT(B1019),2))="Sí",IF(D1019="proMX",COUNTIFS(FER_F,INT(B1019),FER_NLP,"Sí"),COUNTIFS(FER_F,INT(B1019),FER_NLM,"Sí"))=0),1,0),0)</f>
        <v>0</v>
      </c>
      <c r="AI1019" s="80">
        <f>IF(AC1019=1,IF(AND(INDEX(CFG_WDAYS,WEEKDAY(INT(B1019)+1,2))="Sí",IF(D1019="proMX",COUNTIFS(FER_F,INT(B1019)+1,FER_NLP,"Sí"),COUNTIFS(FER_F,INT(B1019)+1,FER_NLM,"Sí"))=0),1,0),0)</f>
        <v>0</v>
      </c>
      <c r="AJ1019" s="80">
        <f>IF(AC1019=1,1440-Z1019,AD1019)</f>
        <v>0</v>
      </c>
      <c r="AK1019" s="80">
        <f>IF(AND(AB1019=1,AH1019=1),MAX(0,MIN(IF(AC1019=1,1440,AA1019),CFG_WEM)-MAX(Z1019,CFG_WSM)),0)</f>
        <v>0</v>
      </c>
      <c r="AL1019" s="80">
        <f>IF(AND(AC1019=1,AI1019=1),MAX(0,MIN(AA1019,CFG_WEM)-CFG_WSM),0)</f>
        <v>0</v>
      </c>
      <c r="AM1019" s="80">
        <f>AK1019+AL1019</f>
        <v>0</v>
      </c>
      <c r="AN1019" s="80">
        <f>IF(CFG_BRK="Proporcional",IF(AD1019=0,0,AF1019*AM1019/AD1019),IF(CFG_BRK="Extras primero",MIN(AM1019,MAX(0,AF1019-(AD1019-AM1019))),MIN(AF1019,AM1019)))</f>
        <v>0</v>
      </c>
      <c r="AO1019" s="80">
        <f>AF1019-AN1019</f>
        <v>0</v>
      </c>
      <c r="AP1019" s="80">
        <f>AM1019-AN1019</f>
        <v>0</v>
      </c>
      <c r="AQ1019" s="80">
        <f>AD1019-AM1019-AO1019</f>
        <v>0</v>
      </c>
      <c r="AR1019" s="80">
        <f>IF(AM1019=0,0,AK1019-AN1019*AK1019/AM1019)</f>
        <v>0</v>
      </c>
      <c r="AS1019" s="80">
        <f>IF(AD1019-AM1019=0,0,(AJ1019-AK1019)-AO1019*(AJ1019-AK1019)/(AD1019-AM1019))</f>
        <v>0</v>
      </c>
      <c r="AT1019" s="80" t="str">
        <f>IF(AC1019=1,INT(B1019)+1,"")</f>
        <v/>
      </c>
      <c r="AU1019" s="80">
        <f>IF(AND(D1019="proMX",R1019="Cancelled"),0,1)</f>
        <v>1</v>
      </c>
      <c r="AV1019" s="80">
        <f>IF(AND(AB1019=1,AU1019=1),IF(COUNTIFS($D$5:D1018,D1019,$B$5:B1018,B1019,$Z$5:Z1018,Z1019,$AA$5:AA1018,AA1019,$F$5:F1018,F1019&amp;"",$AU$5:AU1018,1)&gt;0,1,0),0)</f>
        <v>0</v>
      </c>
      <c r="AW1019" s="80" t="str">
        <f>IF(AB1019=1,INT(B1019)*1440+Z1019,"")</f>
        <v/>
      </c>
      <c r="AX1019" s="80" t="str">
        <f>IF(AB1019=1,AW1019+AD1019,"")</f>
        <v/>
      </c>
      <c r="AY1019" s="80">
        <f>IF(AND(AB1019=1,AV1019=0,AU1019=1),1,0)</f>
        <v>0</v>
      </c>
      <c r="AZ1019" s="80">
        <f>IF(AY1019=1,COUNTIFS(R_Emp,D1019,R_SAbs,"&lt;"&amp;AX1019,R_EAbs,"&gt;"&amp;AW1019,R_OKey,1)-1,0)</f>
        <v>0</v>
      </c>
      <c r="BA1019" s="80">
        <f>IF(AY1019=1,COUNTIFS(R_Emp,"&lt;&gt;"&amp;D1019,R_SAbs,"&lt;"&amp;AX1019,R_EAbs,"&gt;"&amp;AW1019,R_OKey,1),0)</f>
        <v>0</v>
      </c>
      <c r="BB1019" s="80">
        <f>IF(AND(AB1019=1,D1019="proMX"),IF(AND(MOD(Z1019,CFG_BLK)=0,MOD(AA1019,CFG_BLK)=0,MOD(AG1019,CFG_BLK)=0,AG1019&gt;0),1,0),1)</f>
        <v>1</v>
      </c>
      <c r="BC1019" s="80" t="str">
        <f>IF(Y1019=0,"",IF(NOT(ISNUMBER(B1019)),"Falta fecha o fecha inválida",IF(D1019="","Falta empresa",IF(AND(D1019&lt;&gt;"Malcolm",D1019&lt;&gt;"proMX"),"Empresa inválida",IF(OR(INT(B1019)&lt;CFG_PSTART,INT(B1019)&gt;CFG_PEND),"Fecha fuera del período",IF(OR(NOT(ISNUMBER(Z1019)),NOT(ISNUMBER(AA1019))),"Falta hora inicio/fin o formato inválido",IF(AB1019=0,"Hora inicio = hora fin",IF(AE1019&lt;0,"Descanso inválido",IF(AE1019&gt;=AD1019,"Descanso ≥ duración",IF(AV1019=1,"Registro duplicado",IF(AZ1019&gt;0,"Se superpone con otro registro "&amp;D1019,IF(BB1019=0,"inicio, fin y duración neta deben ser múltiplos de "&amp;CFG_BLK&amp;" min",""))))))))))))</f>
        <v/>
      </c>
      <c r="BD1019" s="80">
        <f>IF(AND(Y1019=1,BC1019=""),1,0)</f>
        <v>0</v>
      </c>
      <c r="BE1019" s="80">
        <f>IF(AND(BD1019=1,AU1019=1),1,0)</f>
        <v>0</v>
      </c>
      <c r="BF1019" s="80" t="str">
        <f>IF(AND(D1019="proMX",BD1019=1),IF(R1019="","Draft",R1019),"")</f>
        <v/>
      </c>
      <c r="BG1019" s="80">
        <f>IF(BD1019=1,ROUND(AG1019/60,6),0)</f>
        <v>0</v>
      </c>
      <c r="BH1019" s="80">
        <f>IF(BE1019=1,ROUND(AG1019/60,6),0)</f>
        <v>0</v>
      </c>
      <c r="BI1019" s="80">
        <f>IF(BE1019=1,ROUND(AP1019/60,6),0)</f>
        <v>0</v>
      </c>
      <c r="BJ1019" s="80">
        <f>IF(BE1019=1,ROUND(AQ1019/60,6),0)</f>
        <v>0</v>
      </c>
      <c r="BK1019" s="80">
        <f>IF(BE1019=1,ROUND((AR1019+AS1019)/60,6),0)</f>
        <v>0</v>
      </c>
      <c r="BL1019" s="80">
        <f>ROUND(BH1019-BK1019,6)</f>
        <v>0</v>
      </c>
      <c r="BM1019" s="80">
        <f>IF(BE1019=1,ROUND(AR1019/60,6),0)</f>
        <v>0</v>
      </c>
      <c r="BN1019" s="80">
        <f>ROUND(BI1019-BM1019,6)</f>
        <v>0</v>
      </c>
      <c r="BO1019" s="80">
        <f>IF(BE1019=1,ROUND(AS1019/60,6),0)</f>
        <v>0</v>
      </c>
      <c r="BP1019" s="80">
        <f>ROUND(BJ1019-BO1019,6)</f>
        <v>0</v>
      </c>
      <c r="BQ1019" s="80">
        <f>IF(BE1019=1,AW1019,0)</f>
        <v>0</v>
      </c>
      <c r="BR1019" s="80">
        <f>IF(BE1019=1,AX1019,0)</f>
        <v>0</v>
      </c>
      <c r="BS1019" s="80">
        <f>IF(AND(BE1019=1,D1019="Malcolm",BA1019&gt;0),MIN(BH1019,SUMPRODUCT((R_Emp="proMX")*(R_EN&gt;0)*((R_EN-(R_EN&gt;BR1019)*(R_EN-BR1019))&gt;(R_SN+(R_SN&lt;BQ1019)*(BQ1019-R_SN)))*((R_EN-(R_EN&gt;BR1019)*(R_EN-BR1019))-(R_SN+(R_SN&lt;BQ1019)*(BQ1019-R_SN))))/60),0)</f>
        <v>0</v>
      </c>
      <c r="BT1019" s="80">
        <f>IF(AND(BE1019=1,D1019="proMX"),ROUND(BI1019*CFG_RATE+BJ1019*CFG_OTRATE,6),0)</f>
        <v>0</v>
      </c>
      <c r="BU1019" s="80">
        <f>IF(AND(BD1019=1,D1019="proMX"),ROUND(AG1019/CFG_BLK,6),0)</f>
        <v>0</v>
      </c>
      <c r="BV1019" s="80" t="str">
        <f>IF(BF1019="Approved",IF(ISNUMBER(T1019),INT(T1019),INT(B1019)),"")</f>
        <v/>
      </c>
      <c r="BW1019" s="80">
        <f>IF(ISNUMBER(B1019),IF(DB_MON="Todos",1,IF(AND(INT(B1019)&gt;=DB_MS,INT(B1019)&lt;=DB_ME),1,0)),0)</f>
        <v>0</v>
      </c>
      <c r="BX1019" s="80">
        <f>IF(DB_PROJ="Todos",1,IF(E1019&amp;""=DB_PROJ&amp;"",1,0))</f>
        <v>1</v>
      </c>
      <c r="BY1019" s="80">
        <f>BW1019*BX1019</f>
        <v>0</v>
      </c>
      <c r="BZ1019" s="80" t="str">
        <f>IF(Y1019=1,F1019&amp;IF(AND(F1019&amp;""&lt;&gt;"",E1019&amp;""&lt;&gt;"")," · ","")&amp;E1019,"")</f>
        <v/>
      </c>
      <c r="CA1019" s="80" t="str">
        <f>IF(AND(BD1019=1,E1019&amp;""&lt;&gt;""),IF(COUNTIFS($E$5:E1018,E1019,$BD$5:BD1018,1)=0,MAX($CA$5:CA1018)+1,""),"")</f>
        <v/>
      </c>
      <c r="CB1019" s="80" t="str">
        <f>IF(AND(BE1019=1,D1019="Malcolm",E1019&amp;""&lt;&gt;""),IF(COUNTIFS($D$5:D1018,"Malcolm",$E$5:E1018,E1019,$BE$5:BE1018,1)=0,MAX($CB$5:CB1018)+1,""),"")</f>
        <v/>
      </c>
      <c r="CC1019" s="80" t="str">
        <f>IF(AND(BD1019=1,D1019="proMX",E1019&amp;""&lt;&gt;""),IF(COUNTIFS($D$5:D1018,"proMX",$E$5:E1018,E1019,$BD$5:BD1018,1)=0,MAX($CC$5:CC1018)+1,""),"")</f>
        <v/>
      </c>
      <c r="CD1019" s="80" t="str">
        <f>IF(AND(BE1019=1,D1019="Malcolm",F1019&amp;""&lt;&gt;""),IF(COUNTIFS($D$5:D1018,"Malcolm",$F$5:F1018,F1019,$BE$5:BE1018,1)=0,MAX($CD$5:CD1018)+1,""),"")</f>
        <v/>
      </c>
      <c r="CE1019" s="80" t="str">
        <f>IF(AND(BD1019=1,D1019="proMX",F1019&amp;""&lt;&gt;""),IF(COUNTIFS($D$5:D1018,"proMX",$F$5:F1018,F1019,$BD$5:BD1018,1)=0,MAX($CE$5:CE1018)+1,""),"")</f>
        <v/>
      </c>
      <c r="CF1019" s="80" t="str">
        <f>IF(AND(D1019="proMX",BD1019=1),IF(OR(BF1019="Draft",BF1019="Submitted",BF1019="Returned",BF1019="Recall Requested"),MAX($CF$5:CF1018)+1,""),"")</f>
        <v/>
      </c>
      <c r="CG1019" s="80">
        <f>IF(BD1019=0,0,IF(D1019="Malcolm",1,MATCH(BF1019,{"Draft","Submitted","Approved","Returned","Recall Requested","Cancelled"},0)+1))</f>
        <v>0</v>
      </c>
      <c r="CH1019" s="80">
        <f>IF(AND(BF1019="Submitted",ISNUMBER(V1019)),IF(V1019&gt;CFG_MAXD,1,0),0)</f>
        <v>0</v>
      </c>
    </row>
    <row r="1020">
      <c r="A1020" s="71" t="str">
        <f>IF(Y1020=1,ROW()-5,"")</f>
        <v/>
      </c>
      <c r="B1020" s="72" t="n"/>
      <c r="C1020" s="71" t="str">
        <f>IF(ISNUMBER(B1020),CHOOSE(WEEKDAY(B1020,2),"Lun","Mar","Mié","Jue","Vie","Sáb","Dom"),"")</f>
        <v/>
      </c>
      <c r="D1020" s="73" t="n"/>
      <c r="E1020" s="74" t="n"/>
      <c r="F1020" s="74" t="n"/>
      <c r="G1020" s="74" t="n"/>
      <c r="H1020" s="75" t="n"/>
      <c r="I1020" s="75" t="n"/>
      <c r="J1020" s="76" t="n"/>
      <c r="K1020" s="77" t="str">
        <f>IF(AB1020=1,ROUND(AG1020/60,4),"")</f>
        <v/>
      </c>
      <c r="L1020" s="77" t="str">
        <f>IF(BD1020=1,ROUND(AP1020/60,4),"")</f>
        <v/>
      </c>
      <c r="M1020" s="77" t="str">
        <f>IF(BD1020=1,ROUND(AQ1020/60,4),"")</f>
        <v/>
      </c>
      <c r="N1020" s="71" t="str">
        <f>IF(AND(D1020="proMX",AB1020=1),ROUND(AG1020/CFG_BLK,2),"")</f>
        <v/>
      </c>
      <c r="O1020" s="77" t="str">
        <f>IF(D1020="proMX",IF(BD1020=1,ROUND(AG1020/60,4),0),"")</f>
        <v/>
      </c>
      <c r="P1020" s="78" t="str">
        <f>IF(Y1020=0,"",IF(BD1020=1,"OK",IF(D1020="proMX","Revisar bloques: ","Revisar: ")&amp;BC1020))</f>
        <v/>
      </c>
      <c r="Q1020" s="78" t="str">
        <f>IF(NOT(ISNUMBER(B1020)),"",IF(COUNTIFS(FER_F,INT(B1020))&gt;0,"Feriado"&amp;IF(AH1020=1," (laborable)"," (no laborable)"),IF(AH1020=1,"Laborable",IF(WEEKDAY(B1020,2)&gt;5,"Fin de semana","No laborable"))))</f>
        <v/>
      </c>
      <c r="R1020" s="73" t="n"/>
      <c r="S1020" s="72" t="n"/>
      <c r="T1020" s="72" t="n"/>
      <c r="U1020" s="74" t="n"/>
      <c r="V1020" s="79" t="str">
        <f>IF(AND(D1020="proMX",OR(R1020="Submitted",R1020="Recall Requested"),ISNUMBER(S1020)),CFG_TODAY-INT(S1020),"")</f>
        <v/>
      </c>
      <c r="W1020" s="78" t="str">
        <f>IF(BD1020=0,"",IF(BA1020&gt;0,"⚠ Se superpone con un registro de la otra empresa",IF(D1020="Malcolm",IF(COUNTA(R1020,S1020,T1020)&gt;0,"Estado/fechas proMX se ignoran en Malcolm",""),IF(BF1020="Cancelled","Cancelado: excluido de totales",IF(R1020="","Sin estado: se trata como Draft",IF(BF1020="Submitted",IF(ISNUMBER(V1020),IF(V1020&gt;CFG_MAXD,"⚠ "&amp;V1020&amp;" días en Submitted (máx. "&amp;CFG_MAXD&amp;")",""),"Falta fecha de envío"),IF(BF1020="Returned","⚠ Devuelto: corregir y reenviar",IF(BF1020="Recall Requested","Retirada solicitada: pendiente",IF(AND(BF1020="Approved",NOT(ISNUMBER(T1020))),"Falta fecha de aprobación",IF(AND(ISNUMBER(S1020),ISNUMBER(T1020),T1020&lt;S1020),"Aprobación anterior al envío","")))))))))</f>
        <v/>
      </c>
      <c r="Y1020" s="80">
        <f>IF(COUNTA(B1020,D1020,E1020,F1020,G1020,H1020,I1020,J1020,R1020,S1020,T1020)&gt;0,1,0)</f>
        <v>0</v>
      </c>
      <c r="Z1020" s="80" t="str">
        <f>IF(AND(ISNUMBER(H1020),H1020&gt;=0,H1020&lt;1),ROUND(H1020*1440,0),"")</f>
        <v/>
      </c>
      <c r="AA1020" s="80" t="str">
        <f>IF(AND(ISNUMBER(I1020),I1020&gt;=0,I1020&lt;1),ROUND(I1020*1440,0),"")</f>
        <v/>
      </c>
      <c r="AB1020" s="80">
        <f>IF(AND(ISNUMBER(B1020),D1020&lt;&gt;"",ISNUMBER(Z1020),ISNUMBER(AA1020)),IF(Z1020=AA1020,0,1),0)</f>
        <v>0</v>
      </c>
      <c r="AC1020" s="80">
        <f>IF(AB1020=1,IF(AA1020&lt;Z1020,1,0),0)</f>
        <v>0</v>
      </c>
      <c r="AD1020" s="80">
        <f>IF(AB1020=1,IF(AC1020=1,1440-Z1020+AA1020,AA1020-Z1020),0)</f>
        <v>0</v>
      </c>
      <c r="AE1020" s="80">
        <f>IF(J1020="",0,IF(ISNUMBER(J1020),J1020,-1))</f>
        <v>0</v>
      </c>
      <c r="AF1020" s="80">
        <f>MIN(MAX(0,AE1020),AD1020)</f>
        <v>0</v>
      </c>
      <c r="AG1020" s="80">
        <f>MAX(0,AD1020-MAX(0,AE1020))</f>
        <v>0</v>
      </c>
      <c r="AH1020" s="80">
        <f>IF(ISNUMBER(B1020),IF(AND(INDEX(CFG_WDAYS,WEEKDAY(INT(B1020),2))="Sí",IF(D1020="proMX",COUNTIFS(FER_F,INT(B1020),FER_NLP,"Sí"),COUNTIFS(FER_F,INT(B1020),FER_NLM,"Sí"))=0),1,0),0)</f>
        <v>0</v>
      </c>
      <c r="AI1020" s="80">
        <f>IF(AC1020=1,IF(AND(INDEX(CFG_WDAYS,WEEKDAY(INT(B1020)+1,2))="Sí",IF(D1020="proMX",COUNTIFS(FER_F,INT(B1020)+1,FER_NLP,"Sí"),COUNTIFS(FER_F,INT(B1020)+1,FER_NLM,"Sí"))=0),1,0),0)</f>
        <v>0</v>
      </c>
      <c r="AJ1020" s="80">
        <f>IF(AC1020=1,1440-Z1020,AD1020)</f>
        <v>0</v>
      </c>
      <c r="AK1020" s="80">
        <f>IF(AND(AB1020=1,AH1020=1),MAX(0,MIN(IF(AC1020=1,1440,AA1020),CFG_WEM)-MAX(Z1020,CFG_WSM)),0)</f>
        <v>0</v>
      </c>
      <c r="AL1020" s="80">
        <f>IF(AND(AC1020=1,AI1020=1),MAX(0,MIN(AA1020,CFG_WEM)-CFG_WSM),0)</f>
        <v>0</v>
      </c>
      <c r="AM1020" s="80">
        <f>AK1020+AL1020</f>
        <v>0</v>
      </c>
      <c r="AN1020" s="80">
        <f>IF(CFG_BRK="Proporcional",IF(AD1020=0,0,AF1020*AM1020/AD1020),IF(CFG_BRK="Extras primero",MIN(AM1020,MAX(0,AF1020-(AD1020-AM1020))),MIN(AF1020,AM1020)))</f>
        <v>0</v>
      </c>
      <c r="AO1020" s="80">
        <f>AF1020-AN1020</f>
        <v>0</v>
      </c>
      <c r="AP1020" s="80">
        <f>AM1020-AN1020</f>
        <v>0</v>
      </c>
      <c r="AQ1020" s="80">
        <f>AD1020-AM1020-AO1020</f>
        <v>0</v>
      </c>
      <c r="AR1020" s="80">
        <f>IF(AM1020=0,0,AK1020-AN1020*AK1020/AM1020)</f>
        <v>0</v>
      </c>
      <c r="AS1020" s="80">
        <f>IF(AD1020-AM1020=0,0,(AJ1020-AK1020)-AO1020*(AJ1020-AK1020)/(AD1020-AM1020))</f>
        <v>0</v>
      </c>
      <c r="AT1020" s="80" t="str">
        <f>IF(AC1020=1,INT(B1020)+1,"")</f>
        <v/>
      </c>
      <c r="AU1020" s="80">
        <f>IF(AND(D1020="proMX",R1020="Cancelled"),0,1)</f>
        <v>1</v>
      </c>
      <c r="AV1020" s="80">
        <f>IF(AND(AB1020=1,AU1020=1),IF(COUNTIFS($D$5:D1019,D1020,$B$5:B1019,B1020,$Z$5:Z1019,Z1020,$AA$5:AA1019,AA1020,$F$5:F1019,F1020&amp;"",$AU$5:AU1019,1)&gt;0,1,0),0)</f>
        <v>0</v>
      </c>
      <c r="AW1020" s="80" t="str">
        <f>IF(AB1020=1,INT(B1020)*1440+Z1020,"")</f>
        <v/>
      </c>
      <c r="AX1020" s="80" t="str">
        <f>IF(AB1020=1,AW1020+AD1020,"")</f>
        <v/>
      </c>
      <c r="AY1020" s="80">
        <f>IF(AND(AB1020=1,AV1020=0,AU1020=1),1,0)</f>
        <v>0</v>
      </c>
      <c r="AZ1020" s="80">
        <f>IF(AY1020=1,COUNTIFS(R_Emp,D1020,R_SAbs,"&lt;"&amp;AX1020,R_EAbs,"&gt;"&amp;AW1020,R_OKey,1)-1,0)</f>
        <v>0</v>
      </c>
      <c r="BA1020" s="80">
        <f>IF(AY1020=1,COUNTIFS(R_Emp,"&lt;&gt;"&amp;D1020,R_SAbs,"&lt;"&amp;AX1020,R_EAbs,"&gt;"&amp;AW1020,R_OKey,1),0)</f>
        <v>0</v>
      </c>
      <c r="BB1020" s="80">
        <f>IF(AND(AB1020=1,D1020="proMX"),IF(AND(MOD(Z1020,CFG_BLK)=0,MOD(AA1020,CFG_BLK)=0,MOD(AG1020,CFG_BLK)=0,AG1020&gt;0),1,0),1)</f>
        <v>1</v>
      </c>
      <c r="BC1020" s="80" t="str">
        <f>IF(Y1020=0,"",IF(NOT(ISNUMBER(B1020)),"Falta fecha o fecha inválida",IF(D1020="","Falta empresa",IF(AND(D1020&lt;&gt;"Malcolm",D1020&lt;&gt;"proMX"),"Empresa inválida",IF(OR(INT(B1020)&lt;CFG_PSTART,INT(B1020)&gt;CFG_PEND),"Fecha fuera del período",IF(OR(NOT(ISNUMBER(Z1020)),NOT(ISNUMBER(AA1020))),"Falta hora inicio/fin o formato inválido",IF(AB1020=0,"Hora inicio = hora fin",IF(AE1020&lt;0,"Descanso inválido",IF(AE1020&gt;=AD1020,"Descanso ≥ duración",IF(AV1020=1,"Registro duplicado",IF(AZ1020&gt;0,"Se superpone con otro registro "&amp;D1020,IF(BB1020=0,"inicio, fin y duración neta deben ser múltiplos de "&amp;CFG_BLK&amp;" min",""))))))))))))</f>
        <v/>
      </c>
      <c r="BD1020" s="80">
        <f>IF(AND(Y1020=1,BC1020=""),1,0)</f>
        <v>0</v>
      </c>
      <c r="BE1020" s="80">
        <f>IF(AND(BD1020=1,AU1020=1),1,0)</f>
        <v>0</v>
      </c>
      <c r="BF1020" s="80" t="str">
        <f>IF(AND(D1020="proMX",BD1020=1),IF(R1020="","Draft",R1020),"")</f>
        <v/>
      </c>
      <c r="BG1020" s="80">
        <f>IF(BD1020=1,ROUND(AG1020/60,6),0)</f>
        <v>0</v>
      </c>
      <c r="BH1020" s="80">
        <f>IF(BE1020=1,ROUND(AG1020/60,6),0)</f>
        <v>0</v>
      </c>
      <c r="BI1020" s="80">
        <f>IF(BE1020=1,ROUND(AP1020/60,6),0)</f>
        <v>0</v>
      </c>
      <c r="BJ1020" s="80">
        <f>IF(BE1020=1,ROUND(AQ1020/60,6),0)</f>
        <v>0</v>
      </c>
      <c r="BK1020" s="80">
        <f>IF(BE1020=1,ROUND((AR1020+AS1020)/60,6),0)</f>
        <v>0</v>
      </c>
      <c r="BL1020" s="80">
        <f>ROUND(BH1020-BK1020,6)</f>
        <v>0</v>
      </c>
      <c r="BM1020" s="80">
        <f>IF(BE1020=1,ROUND(AR1020/60,6),0)</f>
        <v>0</v>
      </c>
      <c r="BN1020" s="80">
        <f>ROUND(BI1020-BM1020,6)</f>
        <v>0</v>
      </c>
      <c r="BO1020" s="80">
        <f>IF(BE1020=1,ROUND(AS1020/60,6),0)</f>
        <v>0</v>
      </c>
      <c r="BP1020" s="80">
        <f>ROUND(BJ1020-BO1020,6)</f>
        <v>0</v>
      </c>
      <c r="BQ1020" s="80">
        <f>IF(BE1020=1,AW1020,0)</f>
        <v>0</v>
      </c>
      <c r="BR1020" s="80">
        <f>IF(BE1020=1,AX1020,0)</f>
        <v>0</v>
      </c>
      <c r="BS1020" s="80">
        <f>IF(AND(BE1020=1,D1020="Malcolm",BA1020&gt;0),MIN(BH1020,SUMPRODUCT((R_Emp="proMX")*(R_EN&gt;0)*((R_EN-(R_EN&gt;BR1020)*(R_EN-BR1020))&gt;(R_SN+(R_SN&lt;BQ1020)*(BQ1020-R_SN)))*((R_EN-(R_EN&gt;BR1020)*(R_EN-BR1020))-(R_SN+(R_SN&lt;BQ1020)*(BQ1020-R_SN))))/60),0)</f>
        <v>0</v>
      </c>
      <c r="BT1020" s="80">
        <f>IF(AND(BE1020=1,D1020="proMX"),ROUND(BI1020*CFG_RATE+BJ1020*CFG_OTRATE,6),0)</f>
        <v>0</v>
      </c>
      <c r="BU1020" s="80">
        <f>IF(AND(BD1020=1,D1020="proMX"),ROUND(AG1020/CFG_BLK,6),0)</f>
        <v>0</v>
      </c>
      <c r="BV1020" s="80" t="str">
        <f>IF(BF1020="Approved",IF(ISNUMBER(T1020),INT(T1020),INT(B1020)),"")</f>
        <v/>
      </c>
      <c r="BW1020" s="80">
        <f>IF(ISNUMBER(B1020),IF(DB_MON="Todos",1,IF(AND(INT(B1020)&gt;=DB_MS,INT(B1020)&lt;=DB_ME),1,0)),0)</f>
        <v>0</v>
      </c>
      <c r="BX1020" s="80">
        <f>IF(DB_PROJ="Todos",1,IF(E1020&amp;""=DB_PROJ&amp;"",1,0))</f>
        <v>1</v>
      </c>
      <c r="BY1020" s="80">
        <f>BW1020*BX1020</f>
        <v>0</v>
      </c>
      <c r="BZ1020" s="80" t="str">
        <f>IF(Y1020=1,F1020&amp;IF(AND(F1020&amp;""&lt;&gt;"",E1020&amp;""&lt;&gt;"")," · ","")&amp;E1020,"")</f>
        <v/>
      </c>
      <c r="CA1020" s="80" t="str">
        <f>IF(AND(BD1020=1,E1020&amp;""&lt;&gt;""),IF(COUNTIFS($E$5:E1019,E1020,$BD$5:BD1019,1)=0,MAX($CA$5:CA1019)+1,""),"")</f>
        <v/>
      </c>
      <c r="CB1020" s="80" t="str">
        <f>IF(AND(BE1020=1,D1020="Malcolm",E1020&amp;""&lt;&gt;""),IF(COUNTIFS($D$5:D1019,"Malcolm",$E$5:E1019,E1020,$BE$5:BE1019,1)=0,MAX($CB$5:CB1019)+1,""),"")</f>
        <v/>
      </c>
      <c r="CC1020" s="80" t="str">
        <f>IF(AND(BD1020=1,D1020="proMX",E1020&amp;""&lt;&gt;""),IF(COUNTIFS($D$5:D1019,"proMX",$E$5:E1019,E1020,$BD$5:BD1019,1)=0,MAX($CC$5:CC1019)+1,""),"")</f>
        <v/>
      </c>
      <c r="CD1020" s="80" t="str">
        <f>IF(AND(BE1020=1,D1020="Malcolm",F1020&amp;""&lt;&gt;""),IF(COUNTIFS($D$5:D1019,"Malcolm",$F$5:F1019,F1020,$BE$5:BE1019,1)=0,MAX($CD$5:CD1019)+1,""),"")</f>
        <v/>
      </c>
      <c r="CE1020" s="80" t="str">
        <f>IF(AND(BD1020=1,D1020="proMX",F1020&amp;""&lt;&gt;""),IF(COUNTIFS($D$5:D1019,"proMX",$F$5:F1019,F1020,$BD$5:BD1019,1)=0,MAX($CE$5:CE1019)+1,""),"")</f>
        <v/>
      </c>
      <c r="CF1020" s="80" t="str">
        <f>IF(AND(D1020="proMX",BD1020=1),IF(OR(BF1020="Draft",BF1020="Submitted",BF1020="Returned",BF1020="Recall Requested"),MAX($CF$5:CF1019)+1,""),"")</f>
        <v/>
      </c>
      <c r="CG1020" s="80">
        <f>IF(BD1020=0,0,IF(D1020="Malcolm",1,MATCH(BF1020,{"Draft","Submitted","Approved","Returned","Recall Requested","Cancelled"},0)+1))</f>
        <v>0</v>
      </c>
      <c r="CH1020" s="80">
        <f>IF(AND(BF1020="Submitted",ISNUMBER(V1020)),IF(V1020&gt;CFG_MAXD,1,0),0)</f>
        <v>0</v>
      </c>
    </row>
    <row r="1021">
      <c r="A1021" s="71" t="str">
        <f>IF(Y1021=1,ROW()-5,"")</f>
        <v/>
      </c>
      <c r="B1021" s="72" t="n"/>
      <c r="C1021" s="71" t="str">
        <f>IF(ISNUMBER(B1021),CHOOSE(WEEKDAY(B1021,2),"Lun","Mar","Mié","Jue","Vie","Sáb","Dom"),"")</f>
        <v/>
      </c>
      <c r="D1021" s="73" t="n"/>
      <c r="E1021" s="74" t="n"/>
      <c r="F1021" s="74" t="n"/>
      <c r="G1021" s="74" t="n"/>
      <c r="H1021" s="75" t="n"/>
      <c r="I1021" s="75" t="n"/>
      <c r="J1021" s="76" t="n"/>
      <c r="K1021" s="77" t="str">
        <f>IF(AB1021=1,ROUND(AG1021/60,4),"")</f>
        <v/>
      </c>
      <c r="L1021" s="77" t="str">
        <f>IF(BD1021=1,ROUND(AP1021/60,4),"")</f>
        <v/>
      </c>
      <c r="M1021" s="77" t="str">
        <f>IF(BD1021=1,ROUND(AQ1021/60,4),"")</f>
        <v/>
      </c>
      <c r="N1021" s="71" t="str">
        <f>IF(AND(D1021="proMX",AB1021=1),ROUND(AG1021/CFG_BLK,2),"")</f>
        <v/>
      </c>
      <c r="O1021" s="77" t="str">
        <f>IF(D1021="proMX",IF(BD1021=1,ROUND(AG1021/60,4),0),"")</f>
        <v/>
      </c>
      <c r="P1021" s="78" t="str">
        <f>IF(Y1021=0,"",IF(BD1021=1,"OK",IF(D1021="proMX","Revisar bloques: ","Revisar: ")&amp;BC1021))</f>
        <v/>
      </c>
      <c r="Q1021" s="78" t="str">
        <f>IF(NOT(ISNUMBER(B1021)),"",IF(COUNTIFS(FER_F,INT(B1021))&gt;0,"Feriado"&amp;IF(AH1021=1," (laborable)"," (no laborable)"),IF(AH1021=1,"Laborable",IF(WEEKDAY(B1021,2)&gt;5,"Fin de semana","No laborable"))))</f>
        <v/>
      </c>
      <c r="R1021" s="73" t="n"/>
      <c r="S1021" s="72" t="n"/>
      <c r="T1021" s="72" t="n"/>
      <c r="U1021" s="74" t="n"/>
      <c r="V1021" s="79" t="str">
        <f>IF(AND(D1021="proMX",OR(R1021="Submitted",R1021="Recall Requested"),ISNUMBER(S1021)),CFG_TODAY-INT(S1021),"")</f>
        <v/>
      </c>
      <c r="W1021" s="78" t="str">
        <f>IF(BD1021=0,"",IF(BA1021&gt;0,"⚠ Se superpone con un registro de la otra empresa",IF(D1021="Malcolm",IF(COUNTA(R1021,S1021,T1021)&gt;0,"Estado/fechas proMX se ignoran en Malcolm",""),IF(BF1021="Cancelled","Cancelado: excluido de totales",IF(R1021="","Sin estado: se trata como Draft",IF(BF1021="Submitted",IF(ISNUMBER(V1021),IF(V1021&gt;CFG_MAXD,"⚠ "&amp;V1021&amp;" días en Submitted (máx. "&amp;CFG_MAXD&amp;")",""),"Falta fecha de envío"),IF(BF1021="Returned","⚠ Devuelto: corregir y reenviar",IF(BF1021="Recall Requested","Retirada solicitada: pendiente",IF(AND(BF1021="Approved",NOT(ISNUMBER(T1021))),"Falta fecha de aprobación",IF(AND(ISNUMBER(S1021),ISNUMBER(T1021),T1021&lt;S1021),"Aprobación anterior al envío","")))))))))</f>
        <v/>
      </c>
      <c r="Y1021" s="80">
        <f>IF(COUNTA(B1021,D1021,E1021,F1021,G1021,H1021,I1021,J1021,R1021,S1021,T1021)&gt;0,1,0)</f>
        <v>0</v>
      </c>
      <c r="Z1021" s="80" t="str">
        <f>IF(AND(ISNUMBER(H1021),H1021&gt;=0,H1021&lt;1),ROUND(H1021*1440,0),"")</f>
        <v/>
      </c>
      <c r="AA1021" s="80" t="str">
        <f>IF(AND(ISNUMBER(I1021),I1021&gt;=0,I1021&lt;1),ROUND(I1021*1440,0),"")</f>
        <v/>
      </c>
      <c r="AB1021" s="80">
        <f>IF(AND(ISNUMBER(B1021),D1021&lt;&gt;"",ISNUMBER(Z1021),ISNUMBER(AA1021)),IF(Z1021=AA1021,0,1),0)</f>
        <v>0</v>
      </c>
      <c r="AC1021" s="80">
        <f>IF(AB1021=1,IF(AA1021&lt;Z1021,1,0),0)</f>
        <v>0</v>
      </c>
      <c r="AD1021" s="80">
        <f>IF(AB1021=1,IF(AC1021=1,1440-Z1021+AA1021,AA1021-Z1021),0)</f>
        <v>0</v>
      </c>
      <c r="AE1021" s="80">
        <f>IF(J1021="",0,IF(ISNUMBER(J1021),J1021,-1))</f>
        <v>0</v>
      </c>
      <c r="AF1021" s="80">
        <f>MIN(MAX(0,AE1021),AD1021)</f>
        <v>0</v>
      </c>
      <c r="AG1021" s="80">
        <f>MAX(0,AD1021-MAX(0,AE1021))</f>
        <v>0</v>
      </c>
      <c r="AH1021" s="80">
        <f>IF(ISNUMBER(B1021),IF(AND(INDEX(CFG_WDAYS,WEEKDAY(INT(B1021),2))="Sí",IF(D1021="proMX",COUNTIFS(FER_F,INT(B1021),FER_NLP,"Sí"),COUNTIFS(FER_F,INT(B1021),FER_NLM,"Sí"))=0),1,0),0)</f>
        <v>0</v>
      </c>
      <c r="AI1021" s="80">
        <f>IF(AC1021=1,IF(AND(INDEX(CFG_WDAYS,WEEKDAY(INT(B1021)+1,2))="Sí",IF(D1021="proMX",COUNTIFS(FER_F,INT(B1021)+1,FER_NLP,"Sí"),COUNTIFS(FER_F,INT(B1021)+1,FER_NLM,"Sí"))=0),1,0),0)</f>
        <v>0</v>
      </c>
      <c r="AJ1021" s="80">
        <f>IF(AC1021=1,1440-Z1021,AD1021)</f>
        <v>0</v>
      </c>
      <c r="AK1021" s="80">
        <f>IF(AND(AB1021=1,AH1021=1),MAX(0,MIN(IF(AC1021=1,1440,AA1021),CFG_WEM)-MAX(Z1021,CFG_WSM)),0)</f>
        <v>0</v>
      </c>
      <c r="AL1021" s="80">
        <f>IF(AND(AC1021=1,AI1021=1),MAX(0,MIN(AA1021,CFG_WEM)-CFG_WSM),0)</f>
        <v>0</v>
      </c>
      <c r="AM1021" s="80">
        <f>AK1021+AL1021</f>
        <v>0</v>
      </c>
      <c r="AN1021" s="80">
        <f>IF(CFG_BRK="Proporcional",IF(AD1021=0,0,AF1021*AM1021/AD1021),IF(CFG_BRK="Extras primero",MIN(AM1021,MAX(0,AF1021-(AD1021-AM1021))),MIN(AF1021,AM1021)))</f>
        <v>0</v>
      </c>
      <c r="AO1021" s="80">
        <f>AF1021-AN1021</f>
        <v>0</v>
      </c>
      <c r="AP1021" s="80">
        <f>AM1021-AN1021</f>
        <v>0</v>
      </c>
      <c r="AQ1021" s="80">
        <f>AD1021-AM1021-AO1021</f>
        <v>0</v>
      </c>
      <c r="AR1021" s="80">
        <f>IF(AM1021=0,0,AK1021-AN1021*AK1021/AM1021)</f>
        <v>0</v>
      </c>
      <c r="AS1021" s="80">
        <f>IF(AD1021-AM1021=0,0,(AJ1021-AK1021)-AO1021*(AJ1021-AK1021)/(AD1021-AM1021))</f>
        <v>0</v>
      </c>
      <c r="AT1021" s="80" t="str">
        <f>IF(AC1021=1,INT(B1021)+1,"")</f>
        <v/>
      </c>
      <c r="AU1021" s="80">
        <f>IF(AND(D1021="proMX",R1021="Cancelled"),0,1)</f>
        <v>1</v>
      </c>
      <c r="AV1021" s="80">
        <f>IF(AND(AB1021=1,AU1021=1),IF(COUNTIFS($D$5:D1020,D1021,$B$5:B1020,B1021,$Z$5:Z1020,Z1021,$AA$5:AA1020,AA1021,$F$5:F1020,F1021&amp;"",$AU$5:AU1020,1)&gt;0,1,0),0)</f>
        <v>0</v>
      </c>
      <c r="AW1021" s="80" t="str">
        <f>IF(AB1021=1,INT(B1021)*1440+Z1021,"")</f>
        <v/>
      </c>
      <c r="AX1021" s="80" t="str">
        <f>IF(AB1021=1,AW1021+AD1021,"")</f>
        <v/>
      </c>
      <c r="AY1021" s="80">
        <f>IF(AND(AB1021=1,AV1021=0,AU1021=1),1,0)</f>
        <v>0</v>
      </c>
      <c r="AZ1021" s="80">
        <f>IF(AY1021=1,COUNTIFS(R_Emp,D1021,R_SAbs,"&lt;"&amp;AX1021,R_EAbs,"&gt;"&amp;AW1021,R_OKey,1)-1,0)</f>
        <v>0</v>
      </c>
      <c r="BA1021" s="80">
        <f>IF(AY1021=1,COUNTIFS(R_Emp,"&lt;&gt;"&amp;D1021,R_SAbs,"&lt;"&amp;AX1021,R_EAbs,"&gt;"&amp;AW1021,R_OKey,1),0)</f>
        <v>0</v>
      </c>
      <c r="BB1021" s="80">
        <f>IF(AND(AB1021=1,D1021="proMX"),IF(AND(MOD(Z1021,CFG_BLK)=0,MOD(AA1021,CFG_BLK)=0,MOD(AG1021,CFG_BLK)=0,AG1021&gt;0),1,0),1)</f>
        <v>1</v>
      </c>
      <c r="BC1021" s="80" t="str">
        <f>IF(Y1021=0,"",IF(NOT(ISNUMBER(B1021)),"Falta fecha o fecha inválida",IF(D1021="","Falta empresa",IF(AND(D1021&lt;&gt;"Malcolm",D1021&lt;&gt;"proMX"),"Empresa inválida",IF(OR(INT(B1021)&lt;CFG_PSTART,INT(B1021)&gt;CFG_PEND),"Fecha fuera del período",IF(OR(NOT(ISNUMBER(Z1021)),NOT(ISNUMBER(AA1021))),"Falta hora inicio/fin o formato inválido",IF(AB1021=0,"Hora inicio = hora fin",IF(AE1021&lt;0,"Descanso inválido",IF(AE1021&gt;=AD1021,"Descanso ≥ duración",IF(AV1021=1,"Registro duplicado",IF(AZ1021&gt;0,"Se superpone con otro registro "&amp;D1021,IF(BB1021=0,"inicio, fin y duración neta deben ser múltiplos de "&amp;CFG_BLK&amp;" min",""))))))))))))</f>
        <v/>
      </c>
      <c r="BD1021" s="80">
        <f>IF(AND(Y1021=1,BC1021=""),1,0)</f>
        <v>0</v>
      </c>
      <c r="BE1021" s="80">
        <f>IF(AND(BD1021=1,AU1021=1),1,0)</f>
        <v>0</v>
      </c>
      <c r="BF1021" s="80" t="str">
        <f>IF(AND(D1021="proMX",BD1021=1),IF(R1021="","Draft",R1021),"")</f>
        <v/>
      </c>
      <c r="BG1021" s="80">
        <f>IF(BD1021=1,ROUND(AG1021/60,6),0)</f>
        <v>0</v>
      </c>
      <c r="BH1021" s="80">
        <f>IF(BE1021=1,ROUND(AG1021/60,6),0)</f>
        <v>0</v>
      </c>
      <c r="BI1021" s="80">
        <f>IF(BE1021=1,ROUND(AP1021/60,6),0)</f>
        <v>0</v>
      </c>
      <c r="BJ1021" s="80">
        <f>IF(BE1021=1,ROUND(AQ1021/60,6),0)</f>
        <v>0</v>
      </c>
      <c r="BK1021" s="80">
        <f>IF(BE1021=1,ROUND((AR1021+AS1021)/60,6),0)</f>
        <v>0</v>
      </c>
      <c r="BL1021" s="80">
        <f>ROUND(BH1021-BK1021,6)</f>
        <v>0</v>
      </c>
      <c r="BM1021" s="80">
        <f>IF(BE1021=1,ROUND(AR1021/60,6),0)</f>
        <v>0</v>
      </c>
      <c r="BN1021" s="80">
        <f>ROUND(BI1021-BM1021,6)</f>
        <v>0</v>
      </c>
      <c r="BO1021" s="80">
        <f>IF(BE1021=1,ROUND(AS1021/60,6),0)</f>
        <v>0</v>
      </c>
      <c r="BP1021" s="80">
        <f>ROUND(BJ1021-BO1021,6)</f>
        <v>0</v>
      </c>
      <c r="BQ1021" s="80">
        <f>IF(BE1021=1,AW1021,0)</f>
        <v>0</v>
      </c>
      <c r="BR1021" s="80">
        <f>IF(BE1021=1,AX1021,0)</f>
        <v>0</v>
      </c>
      <c r="BS1021" s="80">
        <f>IF(AND(BE1021=1,D1021="Malcolm",BA1021&gt;0),MIN(BH1021,SUMPRODUCT((R_Emp="proMX")*(R_EN&gt;0)*((R_EN-(R_EN&gt;BR1021)*(R_EN-BR1021))&gt;(R_SN+(R_SN&lt;BQ1021)*(BQ1021-R_SN)))*((R_EN-(R_EN&gt;BR1021)*(R_EN-BR1021))-(R_SN+(R_SN&lt;BQ1021)*(BQ1021-R_SN))))/60),0)</f>
        <v>0</v>
      </c>
      <c r="BT1021" s="80">
        <f>IF(AND(BE1021=1,D1021="proMX"),ROUND(BI1021*CFG_RATE+BJ1021*CFG_OTRATE,6),0)</f>
        <v>0</v>
      </c>
      <c r="BU1021" s="80">
        <f>IF(AND(BD1021=1,D1021="proMX"),ROUND(AG1021/CFG_BLK,6),0)</f>
        <v>0</v>
      </c>
      <c r="BV1021" s="80" t="str">
        <f>IF(BF1021="Approved",IF(ISNUMBER(T1021),INT(T1021),INT(B1021)),"")</f>
        <v/>
      </c>
      <c r="BW1021" s="80">
        <f>IF(ISNUMBER(B1021),IF(DB_MON="Todos",1,IF(AND(INT(B1021)&gt;=DB_MS,INT(B1021)&lt;=DB_ME),1,0)),0)</f>
        <v>0</v>
      </c>
      <c r="BX1021" s="80">
        <f>IF(DB_PROJ="Todos",1,IF(E1021&amp;""=DB_PROJ&amp;"",1,0))</f>
        <v>1</v>
      </c>
      <c r="BY1021" s="80">
        <f>BW1021*BX1021</f>
        <v>0</v>
      </c>
      <c r="BZ1021" s="80" t="str">
        <f>IF(Y1021=1,F1021&amp;IF(AND(F1021&amp;""&lt;&gt;"",E1021&amp;""&lt;&gt;"")," · ","")&amp;E1021,"")</f>
        <v/>
      </c>
      <c r="CA1021" s="80" t="str">
        <f>IF(AND(BD1021=1,E1021&amp;""&lt;&gt;""),IF(COUNTIFS($E$5:E1020,E1021,$BD$5:BD1020,1)=0,MAX($CA$5:CA1020)+1,""),"")</f>
        <v/>
      </c>
      <c r="CB1021" s="80" t="str">
        <f>IF(AND(BE1021=1,D1021="Malcolm",E1021&amp;""&lt;&gt;""),IF(COUNTIFS($D$5:D1020,"Malcolm",$E$5:E1020,E1021,$BE$5:BE1020,1)=0,MAX($CB$5:CB1020)+1,""),"")</f>
        <v/>
      </c>
      <c r="CC1021" s="80" t="str">
        <f>IF(AND(BD1021=1,D1021="proMX",E1021&amp;""&lt;&gt;""),IF(COUNTIFS($D$5:D1020,"proMX",$E$5:E1020,E1021,$BD$5:BD1020,1)=0,MAX($CC$5:CC1020)+1,""),"")</f>
        <v/>
      </c>
      <c r="CD1021" s="80" t="str">
        <f>IF(AND(BE1021=1,D1021="Malcolm",F1021&amp;""&lt;&gt;""),IF(COUNTIFS($D$5:D1020,"Malcolm",$F$5:F1020,F1021,$BE$5:BE1020,1)=0,MAX($CD$5:CD1020)+1,""),"")</f>
        <v/>
      </c>
      <c r="CE1021" s="80" t="str">
        <f>IF(AND(BD1021=1,D1021="proMX",F1021&amp;""&lt;&gt;""),IF(COUNTIFS($D$5:D1020,"proMX",$F$5:F1020,F1021,$BD$5:BD1020,1)=0,MAX($CE$5:CE1020)+1,""),"")</f>
        <v/>
      </c>
      <c r="CF1021" s="80" t="str">
        <f>IF(AND(D1021="proMX",BD1021=1),IF(OR(BF1021="Draft",BF1021="Submitted",BF1021="Returned",BF1021="Recall Requested"),MAX($CF$5:CF1020)+1,""),"")</f>
        <v/>
      </c>
      <c r="CG1021" s="80">
        <f>IF(BD1021=0,0,IF(D1021="Malcolm",1,MATCH(BF1021,{"Draft","Submitted","Approved","Returned","Recall Requested","Cancelled"},0)+1))</f>
        <v>0</v>
      </c>
      <c r="CH1021" s="80">
        <f>IF(AND(BF1021="Submitted",ISNUMBER(V1021)),IF(V1021&gt;CFG_MAXD,1,0),0)</f>
        <v>0</v>
      </c>
    </row>
    <row r="1022">
      <c r="A1022" s="71" t="str">
        <f>IF(Y1022=1,ROW()-5,"")</f>
        <v/>
      </c>
      <c r="B1022" s="72" t="n"/>
      <c r="C1022" s="71" t="str">
        <f>IF(ISNUMBER(B1022),CHOOSE(WEEKDAY(B1022,2),"Lun","Mar","Mié","Jue","Vie","Sáb","Dom"),"")</f>
        <v/>
      </c>
      <c r="D1022" s="73" t="n"/>
      <c r="E1022" s="74" t="n"/>
      <c r="F1022" s="74" t="n"/>
      <c r="G1022" s="74" t="n"/>
      <c r="H1022" s="75" t="n"/>
      <c r="I1022" s="75" t="n"/>
      <c r="J1022" s="76" t="n"/>
      <c r="K1022" s="77" t="str">
        <f>IF(AB1022=1,ROUND(AG1022/60,4),"")</f>
        <v/>
      </c>
      <c r="L1022" s="77" t="str">
        <f>IF(BD1022=1,ROUND(AP1022/60,4),"")</f>
        <v/>
      </c>
      <c r="M1022" s="77" t="str">
        <f>IF(BD1022=1,ROUND(AQ1022/60,4),"")</f>
        <v/>
      </c>
      <c r="N1022" s="71" t="str">
        <f>IF(AND(D1022="proMX",AB1022=1),ROUND(AG1022/CFG_BLK,2),"")</f>
        <v/>
      </c>
      <c r="O1022" s="77" t="str">
        <f>IF(D1022="proMX",IF(BD1022=1,ROUND(AG1022/60,4),0),"")</f>
        <v/>
      </c>
      <c r="P1022" s="78" t="str">
        <f>IF(Y1022=0,"",IF(BD1022=1,"OK",IF(D1022="proMX","Revisar bloques: ","Revisar: ")&amp;BC1022))</f>
        <v/>
      </c>
      <c r="Q1022" s="78" t="str">
        <f>IF(NOT(ISNUMBER(B1022)),"",IF(COUNTIFS(FER_F,INT(B1022))&gt;0,"Feriado"&amp;IF(AH1022=1," (laborable)"," (no laborable)"),IF(AH1022=1,"Laborable",IF(WEEKDAY(B1022,2)&gt;5,"Fin de semana","No laborable"))))</f>
        <v/>
      </c>
      <c r="R1022" s="73" t="n"/>
      <c r="S1022" s="72" t="n"/>
      <c r="T1022" s="72" t="n"/>
      <c r="U1022" s="74" t="n"/>
      <c r="V1022" s="79" t="str">
        <f>IF(AND(D1022="proMX",OR(R1022="Submitted",R1022="Recall Requested"),ISNUMBER(S1022)),CFG_TODAY-INT(S1022),"")</f>
        <v/>
      </c>
      <c r="W1022" s="78" t="str">
        <f>IF(BD1022=0,"",IF(BA1022&gt;0,"⚠ Se superpone con un registro de la otra empresa",IF(D1022="Malcolm",IF(COUNTA(R1022,S1022,T1022)&gt;0,"Estado/fechas proMX se ignoran en Malcolm",""),IF(BF1022="Cancelled","Cancelado: excluido de totales",IF(R1022="","Sin estado: se trata como Draft",IF(BF1022="Submitted",IF(ISNUMBER(V1022),IF(V1022&gt;CFG_MAXD,"⚠ "&amp;V1022&amp;" días en Submitted (máx. "&amp;CFG_MAXD&amp;")",""),"Falta fecha de envío"),IF(BF1022="Returned","⚠ Devuelto: corregir y reenviar",IF(BF1022="Recall Requested","Retirada solicitada: pendiente",IF(AND(BF1022="Approved",NOT(ISNUMBER(T1022))),"Falta fecha de aprobación",IF(AND(ISNUMBER(S1022),ISNUMBER(T1022),T1022&lt;S1022),"Aprobación anterior al envío","")))))))))</f>
        <v/>
      </c>
      <c r="Y1022" s="80">
        <f>IF(COUNTA(B1022,D1022,E1022,F1022,G1022,H1022,I1022,J1022,R1022,S1022,T1022)&gt;0,1,0)</f>
        <v>0</v>
      </c>
      <c r="Z1022" s="80" t="str">
        <f>IF(AND(ISNUMBER(H1022),H1022&gt;=0,H1022&lt;1),ROUND(H1022*1440,0),"")</f>
        <v/>
      </c>
      <c r="AA1022" s="80" t="str">
        <f>IF(AND(ISNUMBER(I1022),I1022&gt;=0,I1022&lt;1),ROUND(I1022*1440,0),"")</f>
        <v/>
      </c>
      <c r="AB1022" s="80">
        <f>IF(AND(ISNUMBER(B1022),D1022&lt;&gt;"",ISNUMBER(Z1022),ISNUMBER(AA1022)),IF(Z1022=AA1022,0,1),0)</f>
        <v>0</v>
      </c>
      <c r="AC1022" s="80">
        <f>IF(AB1022=1,IF(AA1022&lt;Z1022,1,0),0)</f>
        <v>0</v>
      </c>
      <c r="AD1022" s="80">
        <f>IF(AB1022=1,IF(AC1022=1,1440-Z1022+AA1022,AA1022-Z1022),0)</f>
        <v>0</v>
      </c>
      <c r="AE1022" s="80">
        <f>IF(J1022="",0,IF(ISNUMBER(J1022),J1022,-1))</f>
        <v>0</v>
      </c>
      <c r="AF1022" s="80">
        <f>MIN(MAX(0,AE1022),AD1022)</f>
        <v>0</v>
      </c>
      <c r="AG1022" s="80">
        <f>MAX(0,AD1022-MAX(0,AE1022))</f>
        <v>0</v>
      </c>
      <c r="AH1022" s="80">
        <f>IF(ISNUMBER(B1022),IF(AND(INDEX(CFG_WDAYS,WEEKDAY(INT(B1022),2))="Sí",IF(D1022="proMX",COUNTIFS(FER_F,INT(B1022),FER_NLP,"Sí"),COUNTIFS(FER_F,INT(B1022),FER_NLM,"Sí"))=0),1,0),0)</f>
        <v>0</v>
      </c>
      <c r="AI1022" s="80">
        <f>IF(AC1022=1,IF(AND(INDEX(CFG_WDAYS,WEEKDAY(INT(B1022)+1,2))="Sí",IF(D1022="proMX",COUNTIFS(FER_F,INT(B1022)+1,FER_NLP,"Sí"),COUNTIFS(FER_F,INT(B1022)+1,FER_NLM,"Sí"))=0),1,0),0)</f>
        <v>0</v>
      </c>
      <c r="AJ1022" s="80">
        <f>IF(AC1022=1,1440-Z1022,AD1022)</f>
        <v>0</v>
      </c>
      <c r="AK1022" s="80">
        <f>IF(AND(AB1022=1,AH1022=1),MAX(0,MIN(IF(AC1022=1,1440,AA1022),CFG_WEM)-MAX(Z1022,CFG_WSM)),0)</f>
        <v>0</v>
      </c>
      <c r="AL1022" s="80">
        <f>IF(AND(AC1022=1,AI1022=1),MAX(0,MIN(AA1022,CFG_WEM)-CFG_WSM),0)</f>
        <v>0</v>
      </c>
      <c r="AM1022" s="80">
        <f>AK1022+AL1022</f>
        <v>0</v>
      </c>
      <c r="AN1022" s="80">
        <f>IF(CFG_BRK="Proporcional",IF(AD1022=0,0,AF1022*AM1022/AD1022),IF(CFG_BRK="Extras primero",MIN(AM1022,MAX(0,AF1022-(AD1022-AM1022))),MIN(AF1022,AM1022)))</f>
        <v>0</v>
      </c>
      <c r="AO1022" s="80">
        <f>AF1022-AN1022</f>
        <v>0</v>
      </c>
      <c r="AP1022" s="80">
        <f>AM1022-AN1022</f>
        <v>0</v>
      </c>
      <c r="AQ1022" s="80">
        <f>AD1022-AM1022-AO1022</f>
        <v>0</v>
      </c>
      <c r="AR1022" s="80">
        <f>IF(AM1022=0,0,AK1022-AN1022*AK1022/AM1022)</f>
        <v>0</v>
      </c>
      <c r="AS1022" s="80">
        <f>IF(AD1022-AM1022=0,0,(AJ1022-AK1022)-AO1022*(AJ1022-AK1022)/(AD1022-AM1022))</f>
        <v>0</v>
      </c>
      <c r="AT1022" s="80" t="str">
        <f>IF(AC1022=1,INT(B1022)+1,"")</f>
        <v/>
      </c>
      <c r="AU1022" s="80">
        <f>IF(AND(D1022="proMX",R1022="Cancelled"),0,1)</f>
        <v>1</v>
      </c>
      <c r="AV1022" s="80">
        <f>IF(AND(AB1022=1,AU1022=1),IF(COUNTIFS($D$5:D1021,D1022,$B$5:B1021,B1022,$Z$5:Z1021,Z1022,$AA$5:AA1021,AA1022,$F$5:F1021,F1022&amp;"",$AU$5:AU1021,1)&gt;0,1,0),0)</f>
        <v>0</v>
      </c>
      <c r="AW1022" s="80" t="str">
        <f>IF(AB1022=1,INT(B1022)*1440+Z1022,"")</f>
        <v/>
      </c>
      <c r="AX1022" s="80" t="str">
        <f>IF(AB1022=1,AW1022+AD1022,"")</f>
        <v/>
      </c>
      <c r="AY1022" s="80">
        <f>IF(AND(AB1022=1,AV1022=0,AU1022=1),1,0)</f>
        <v>0</v>
      </c>
      <c r="AZ1022" s="80">
        <f>IF(AY1022=1,COUNTIFS(R_Emp,D1022,R_SAbs,"&lt;"&amp;AX1022,R_EAbs,"&gt;"&amp;AW1022,R_OKey,1)-1,0)</f>
        <v>0</v>
      </c>
      <c r="BA1022" s="80">
        <f>IF(AY1022=1,COUNTIFS(R_Emp,"&lt;&gt;"&amp;D1022,R_SAbs,"&lt;"&amp;AX1022,R_EAbs,"&gt;"&amp;AW1022,R_OKey,1),0)</f>
        <v>0</v>
      </c>
      <c r="BB1022" s="80">
        <f>IF(AND(AB1022=1,D1022="proMX"),IF(AND(MOD(Z1022,CFG_BLK)=0,MOD(AA1022,CFG_BLK)=0,MOD(AG1022,CFG_BLK)=0,AG1022&gt;0),1,0),1)</f>
        <v>1</v>
      </c>
      <c r="BC1022" s="80" t="str">
        <f>IF(Y1022=0,"",IF(NOT(ISNUMBER(B1022)),"Falta fecha o fecha inválida",IF(D1022="","Falta empresa",IF(AND(D1022&lt;&gt;"Malcolm",D1022&lt;&gt;"proMX"),"Empresa inválida",IF(OR(INT(B1022)&lt;CFG_PSTART,INT(B1022)&gt;CFG_PEND),"Fecha fuera del período",IF(OR(NOT(ISNUMBER(Z1022)),NOT(ISNUMBER(AA1022))),"Falta hora inicio/fin o formato inválido",IF(AB1022=0,"Hora inicio = hora fin",IF(AE1022&lt;0,"Descanso inválido",IF(AE1022&gt;=AD1022,"Descanso ≥ duración",IF(AV1022=1,"Registro duplicado",IF(AZ1022&gt;0,"Se superpone con otro registro "&amp;D1022,IF(BB1022=0,"inicio, fin y duración neta deben ser múltiplos de "&amp;CFG_BLK&amp;" min",""))))))))))))</f>
        <v/>
      </c>
      <c r="BD1022" s="80">
        <f>IF(AND(Y1022=1,BC1022=""),1,0)</f>
        <v>0</v>
      </c>
      <c r="BE1022" s="80">
        <f>IF(AND(BD1022=1,AU1022=1),1,0)</f>
        <v>0</v>
      </c>
      <c r="BF1022" s="80" t="str">
        <f>IF(AND(D1022="proMX",BD1022=1),IF(R1022="","Draft",R1022),"")</f>
        <v/>
      </c>
      <c r="BG1022" s="80">
        <f>IF(BD1022=1,ROUND(AG1022/60,6),0)</f>
        <v>0</v>
      </c>
      <c r="BH1022" s="80">
        <f>IF(BE1022=1,ROUND(AG1022/60,6),0)</f>
        <v>0</v>
      </c>
      <c r="BI1022" s="80">
        <f>IF(BE1022=1,ROUND(AP1022/60,6),0)</f>
        <v>0</v>
      </c>
      <c r="BJ1022" s="80">
        <f>IF(BE1022=1,ROUND(AQ1022/60,6),0)</f>
        <v>0</v>
      </c>
      <c r="BK1022" s="80">
        <f>IF(BE1022=1,ROUND((AR1022+AS1022)/60,6),0)</f>
        <v>0</v>
      </c>
      <c r="BL1022" s="80">
        <f>ROUND(BH1022-BK1022,6)</f>
        <v>0</v>
      </c>
      <c r="BM1022" s="80">
        <f>IF(BE1022=1,ROUND(AR1022/60,6),0)</f>
        <v>0</v>
      </c>
      <c r="BN1022" s="80">
        <f>ROUND(BI1022-BM1022,6)</f>
        <v>0</v>
      </c>
      <c r="BO1022" s="80">
        <f>IF(BE1022=1,ROUND(AS1022/60,6),0)</f>
        <v>0</v>
      </c>
      <c r="BP1022" s="80">
        <f>ROUND(BJ1022-BO1022,6)</f>
        <v>0</v>
      </c>
      <c r="BQ1022" s="80">
        <f>IF(BE1022=1,AW1022,0)</f>
        <v>0</v>
      </c>
      <c r="BR1022" s="80">
        <f>IF(BE1022=1,AX1022,0)</f>
        <v>0</v>
      </c>
      <c r="BS1022" s="80">
        <f>IF(AND(BE1022=1,D1022="Malcolm",BA1022&gt;0),MIN(BH1022,SUMPRODUCT((R_Emp="proMX")*(R_EN&gt;0)*((R_EN-(R_EN&gt;BR1022)*(R_EN-BR1022))&gt;(R_SN+(R_SN&lt;BQ1022)*(BQ1022-R_SN)))*((R_EN-(R_EN&gt;BR1022)*(R_EN-BR1022))-(R_SN+(R_SN&lt;BQ1022)*(BQ1022-R_SN))))/60),0)</f>
        <v>0</v>
      </c>
      <c r="BT1022" s="80">
        <f>IF(AND(BE1022=1,D1022="proMX"),ROUND(BI1022*CFG_RATE+BJ1022*CFG_OTRATE,6),0)</f>
        <v>0</v>
      </c>
      <c r="BU1022" s="80">
        <f>IF(AND(BD1022=1,D1022="proMX"),ROUND(AG1022/CFG_BLK,6),0)</f>
        <v>0</v>
      </c>
      <c r="BV1022" s="80" t="str">
        <f>IF(BF1022="Approved",IF(ISNUMBER(T1022),INT(T1022),INT(B1022)),"")</f>
        <v/>
      </c>
      <c r="BW1022" s="80">
        <f>IF(ISNUMBER(B1022),IF(DB_MON="Todos",1,IF(AND(INT(B1022)&gt;=DB_MS,INT(B1022)&lt;=DB_ME),1,0)),0)</f>
        <v>0</v>
      </c>
      <c r="BX1022" s="80">
        <f>IF(DB_PROJ="Todos",1,IF(E1022&amp;""=DB_PROJ&amp;"",1,0))</f>
        <v>1</v>
      </c>
      <c r="BY1022" s="80">
        <f>BW1022*BX1022</f>
        <v>0</v>
      </c>
      <c r="BZ1022" s="80" t="str">
        <f>IF(Y1022=1,F1022&amp;IF(AND(F1022&amp;""&lt;&gt;"",E1022&amp;""&lt;&gt;"")," · ","")&amp;E1022,"")</f>
        <v/>
      </c>
      <c r="CA1022" s="80" t="str">
        <f>IF(AND(BD1022=1,E1022&amp;""&lt;&gt;""),IF(COUNTIFS($E$5:E1021,E1022,$BD$5:BD1021,1)=0,MAX($CA$5:CA1021)+1,""),"")</f>
        <v/>
      </c>
      <c r="CB1022" s="80" t="str">
        <f>IF(AND(BE1022=1,D1022="Malcolm",E1022&amp;""&lt;&gt;""),IF(COUNTIFS($D$5:D1021,"Malcolm",$E$5:E1021,E1022,$BE$5:BE1021,1)=0,MAX($CB$5:CB1021)+1,""),"")</f>
        <v/>
      </c>
      <c r="CC1022" s="80" t="str">
        <f>IF(AND(BD1022=1,D1022="proMX",E1022&amp;""&lt;&gt;""),IF(COUNTIFS($D$5:D1021,"proMX",$E$5:E1021,E1022,$BD$5:BD1021,1)=0,MAX($CC$5:CC1021)+1,""),"")</f>
        <v/>
      </c>
      <c r="CD1022" s="80" t="str">
        <f>IF(AND(BE1022=1,D1022="Malcolm",F1022&amp;""&lt;&gt;""),IF(COUNTIFS($D$5:D1021,"Malcolm",$F$5:F1021,F1022,$BE$5:BE1021,1)=0,MAX($CD$5:CD1021)+1,""),"")</f>
        <v/>
      </c>
      <c r="CE1022" s="80" t="str">
        <f>IF(AND(BD1022=1,D1022="proMX",F1022&amp;""&lt;&gt;""),IF(COUNTIFS($D$5:D1021,"proMX",$F$5:F1021,F1022,$BD$5:BD1021,1)=0,MAX($CE$5:CE1021)+1,""),"")</f>
        <v/>
      </c>
      <c r="CF1022" s="80" t="str">
        <f>IF(AND(D1022="proMX",BD1022=1),IF(OR(BF1022="Draft",BF1022="Submitted",BF1022="Returned",BF1022="Recall Requested"),MAX($CF$5:CF1021)+1,""),"")</f>
        <v/>
      </c>
      <c r="CG1022" s="80">
        <f>IF(BD1022=0,0,IF(D1022="Malcolm",1,MATCH(BF1022,{"Draft","Submitted","Approved","Returned","Recall Requested","Cancelled"},0)+1))</f>
        <v>0</v>
      </c>
      <c r="CH1022" s="80">
        <f>IF(AND(BF1022="Submitted",ISNUMBER(V1022)),IF(V1022&gt;CFG_MAXD,1,0),0)</f>
        <v>0</v>
      </c>
    </row>
    <row r="1023">
      <c r="A1023" s="71" t="str">
        <f>IF(Y1023=1,ROW()-5,"")</f>
        <v/>
      </c>
      <c r="B1023" s="72" t="n"/>
      <c r="C1023" s="71" t="str">
        <f>IF(ISNUMBER(B1023),CHOOSE(WEEKDAY(B1023,2),"Lun","Mar","Mié","Jue","Vie","Sáb","Dom"),"")</f>
        <v/>
      </c>
      <c r="D1023" s="73" t="n"/>
      <c r="E1023" s="74" t="n"/>
      <c r="F1023" s="74" t="n"/>
      <c r="G1023" s="74" t="n"/>
      <c r="H1023" s="75" t="n"/>
      <c r="I1023" s="75" t="n"/>
      <c r="J1023" s="76" t="n"/>
      <c r="K1023" s="77" t="str">
        <f>IF(AB1023=1,ROUND(AG1023/60,4),"")</f>
        <v/>
      </c>
      <c r="L1023" s="77" t="str">
        <f>IF(BD1023=1,ROUND(AP1023/60,4),"")</f>
        <v/>
      </c>
      <c r="M1023" s="77" t="str">
        <f>IF(BD1023=1,ROUND(AQ1023/60,4),"")</f>
        <v/>
      </c>
      <c r="N1023" s="71" t="str">
        <f>IF(AND(D1023="proMX",AB1023=1),ROUND(AG1023/CFG_BLK,2),"")</f>
        <v/>
      </c>
      <c r="O1023" s="77" t="str">
        <f>IF(D1023="proMX",IF(BD1023=1,ROUND(AG1023/60,4),0),"")</f>
        <v/>
      </c>
      <c r="P1023" s="78" t="str">
        <f>IF(Y1023=0,"",IF(BD1023=1,"OK",IF(D1023="proMX","Revisar bloques: ","Revisar: ")&amp;BC1023))</f>
        <v/>
      </c>
      <c r="Q1023" s="78" t="str">
        <f>IF(NOT(ISNUMBER(B1023)),"",IF(COUNTIFS(FER_F,INT(B1023))&gt;0,"Feriado"&amp;IF(AH1023=1," (laborable)"," (no laborable)"),IF(AH1023=1,"Laborable",IF(WEEKDAY(B1023,2)&gt;5,"Fin de semana","No laborable"))))</f>
        <v/>
      </c>
      <c r="R1023" s="73" t="n"/>
      <c r="S1023" s="72" t="n"/>
      <c r="T1023" s="72" t="n"/>
      <c r="U1023" s="74" t="n"/>
      <c r="V1023" s="79" t="str">
        <f>IF(AND(D1023="proMX",OR(R1023="Submitted",R1023="Recall Requested"),ISNUMBER(S1023)),CFG_TODAY-INT(S1023),"")</f>
        <v/>
      </c>
      <c r="W1023" s="78" t="str">
        <f>IF(BD1023=0,"",IF(BA1023&gt;0,"⚠ Se superpone con un registro de la otra empresa",IF(D1023="Malcolm",IF(COUNTA(R1023,S1023,T1023)&gt;0,"Estado/fechas proMX se ignoran en Malcolm",""),IF(BF1023="Cancelled","Cancelado: excluido de totales",IF(R1023="","Sin estado: se trata como Draft",IF(BF1023="Submitted",IF(ISNUMBER(V1023),IF(V1023&gt;CFG_MAXD,"⚠ "&amp;V1023&amp;" días en Submitted (máx. "&amp;CFG_MAXD&amp;")",""),"Falta fecha de envío"),IF(BF1023="Returned","⚠ Devuelto: corregir y reenviar",IF(BF1023="Recall Requested","Retirada solicitada: pendiente",IF(AND(BF1023="Approved",NOT(ISNUMBER(T1023))),"Falta fecha de aprobación",IF(AND(ISNUMBER(S1023),ISNUMBER(T1023),T1023&lt;S1023),"Aprobación anterior al envío","")))))))))</f>
        <v/>
      </c>
      <c r="Y1023" s="80">
        <f>IF(COUNTA(B1023,D1023,E1023,F1023,G1023,H1023,I1023,J1023,R1023,S1023,T1023)&gt;0,1,0)</f>
        <v>0</v>
      </c>
      <c r="Z1023" s="80" t="str">
        <f>IF(AND(ISNUMBER(H1023),H1023&gt;=0,H1023&lt;1),ROUND(H1023*1440,0),"")</f>
        <v/>
      </c>
      <c r="AA1023" s="80" t="str">
        <f>IF(AND(ISNUMBER(I1023),I1023&gt;=0,I1023&lt;1),ROUND(I1023*1440,0),"")</f>
        <v/>
      </c>
      <c r="AB1023" s="80">
        <f>IF(AND(ISNUMBER(B1023),D1023&lt;&gt;"",ISNUMBER(Z1023),ISNUMBER(AA1023)),IF(Z1023=AA1023,0,1),0)</f>
        <v>0</v>
      </c>
      <c r="AC1023" s="80">
        <f>IF(AB1023=1,IF(AA1023&lt;Z1023,1,0),0)</f>
        <v>0</v>
      </c>
      <c r="AD1023" s="80">
        <f>IF(AB1023=1,IF(AC1023=1,1440-Z1023+AA1023,AA1023-Z1023),0)</f>
        <v>0</v>
      </c>
      <c r="AE1023" s="80">
        <f>IF(J1023="",0,IF(ISNUMBER(J1023),J1023,-1))</f>
        <v>0</v>
      </c>
      <c r="AF1023" s="80">
        <f>MIN(MAX(0,AE1023),AD1023)</f>
        <v>0</v>
      </c>
      <c r="AG1023" s="80">
        <f>MAX(0,AD1023-MAX(0,AE1023))</f>
        <v>0</v>
      </c>
      <c r="AH1023" s="80">
        <f>IF(ISNUMBER(B1023),IF(AND(INDEX(CFG_WDAYS,WEEKDAY(INT(B1023),2))="Sí",IF(D1023="proMX",COUNTIFS(FER_F,INT(B1023),FER_NLP,"Sí"),COUNTIFS(FER_F,INT(B1023),FER_NLM,"Sí"))=0),1,0),0)</f>
        <v>0</v>
      </c>
      <c r="AI1023" s="80">
        <f>IF(AC1023=1,IF(AND(INDEX(CFG_WDAYS,WEEKDAY(INT(B1023)+1,2))="Sí",IF(D1023="proMX",COUNTIFS(FER_F,INT(B1023)+1,FER_NLP,"Sí"),COUNTIFS(FER_F,INT(B1023)+1,FER_NLM,"Sí"))=0),1,0),0)</f>
        <v>0</v>
      </c>
      <c r="AJ1023" s="80">
        <f>IF(AC1023=1,1440-Z1023,AD1023)</f>
        <v>0</v>
      </c>
      <c r="AK1023" s="80">
        <f>IF(AND(AB1023=1,AH1023=1),MAX(0,MIN(IF(AC1023=1,1440,AA1023),CFG_WEM)-MAX(Z1023,CFG_WSM)),0)</f>
        <v>0</v>
      </c>
      <c r="AL1023" s="80">
        <f>IF(AND(AC1023=1,AI1023=1),MAX(0,MIN(AA1023,CFG_WEM)-CFG_WSM),0)</f>
        <v>0</v>
      </c>
      <c r="AM1023" s="80">
        <f>AK1023+AL1023</f>
        <v>0</v>
      </c>
      <c r="AN1023" s="80">
        <f>IF(CFG_BRK="Proporcional",IF(AD1023=0,0,AF1023*AM1023/AD1023),IF(CFG_BRK="Extras primero",MIN(AM1023,MAX(0,AF1023-(AD1023-AM1023))),MIN(AF1023,AM1023)))</f>
        <v>0</v>
      </c>
      <c r="AO1023" s="80">
        <f>AF1023-AN1023</f>
        <v>0</v>
      </c>
      <c r="AP1023" s="80">
        <f>AM1023-AN1023</f>
        <v>0</v>
      </c>
      <c r="AQ1023" s="80">
        <f>AD1023-AM1023-AO1023</f>
        <v>0</v>
      </c>
      <c r="AR1023" s="80">
        <f>IF(AM1023=0,0,AK1023-AN1023*AK1023/AM1023)</f>
        <v>0</v>
      </c>
      <c r="AS1023" s="80">
        <f>IF(AD1023-AM1023=0,0,(AJ1023-AK1023)-AO1023*(AJ1023-AK1023)/(AD1023-AM1023))</f>
        <v>0</v>
      </c>
      <c r="AT1023" s="80" t="str">
        <f>IF(AC1023=1,INT(B1023)+1,"")</f>
        <v/>
      </c>
      <c r="AU1023" s="80">
        <f>IF(AND(D1023="proMX",R1023="Cancelled"),0,1)</f>
        <v>1</v>
      </c>
      <c r="AV1023" s="80">
        <f>IF(AND(AB1023=1,AU1023=1),IF(COUNTIFS($D$5:D1022,D1023,$B$5:B1022,B1023,$Z$5:Z1022,Z1023,$AA$5:AA1022,AA1023,$F$5:F1022,F1023&amp;"",$AU$5:AU1022,1)&gt;0,1,0),0)</f>
        <v>0</v>
      </c>
      <c r="AW1023" s="80" t="str">
        <f>IF(AB1023=1,INT(B1023)*1440+Z1023,"")</f>
        <v/>
      </c>
      <c r="AX1023" s="80" t="str">
        <f>IF(AB1023=1,AW1023+AD1023,"")</f>
        <v/>
      </c>
      <c r="AY1023" s="80">
        <f>IF(AND(AB1023=1,AV1023=0,AU1023=1),1,0)</f>
        <v>0</v>
      </c>
      <c r="AZ1023" s="80">
        <f>IF(AY1023=1,COUNTIFS(R_Emp,D1023,R_SAbs,"&lt;"&amp;AX1023,R_EAbs,"&gt;"&amp;AW1023,R_OKey,1)-1,0)</f>
        <v>0</v>
      </c>
      <c r="BA1023" s="80">
        <f>IF(AY1023=1,COUNTIFS(R_Emp,"&lt;&gt;"&amp;D1023,R_SAbs,"&lt;"&amp;AX1023,R_EAbs,"&gt;"&amp;AW1023,R_OKey,1),0)</f>
        <v>0</v>
      </c>
      <c r="BB1023" s="80">
        <f>IF(AND(AB1023=1,D1023="proMX"),IF(AND(MOD(Z1023,CFG_BLK)=0,MOD(AA1023,CFG_BLK)=0,MOD(AG1023,CFG_BLK)=0,AG1023&gt;0),1,0),1)</f>
        <v>1</v>
      </c>
      <c r="BC1023" s="80" t="str">
        <f>IF(Y1023=0,"",IF(NOT(ISNUMBER(B1023)),"Falta fecha o fecha inválida",IF(D1023="","Falta empresa",IF(AND(D1023&lt;&gt;"Malcolm",D1023&lt;&gt;"proMX"),"Empresa inválida",IF(OR(INT(B1023)&lt;CFG_PSTART,INT(B1023)&gt;CFG_PEND),"Fecha fuera del período",IF(OR(NOT(ISNUMBER(Z1023)),NOT(ISNUMBER(AA1023))),"Falta hora inicio/fin o formato inválido",IF(AB1023=0,"Hora inicio = hora fin",IF(AE1023&lt;0,"Descanso inválido",IF(AE1023&gt;=AD1023,"Descanso ≥ duración",IF(AV1023=1,"Registro duplicado",IF(AZ1023&gt;0,"Se superpone con otro registro "&amp;D1023,IF(BB1023=0,"inicio, fin y duración neta deben ser múltiplos de "&amp;CFG_BLK&amp;" min",""))))))))))))</f>
        <v/>
      </c>
      <c r="BD1023" s="80">
        <f>IF(AND(Y1023=1,BC1023=""),1,0)</f>
        <v>0</v>
      </c>
      <c r="BE1023" s="80">
        <f>IF(AND(BD1023=1,AU1023=1),1,0)</f>
        <v>0</v>
      </c>
      <c r="BF1023" s="80" t="str">
        <f>IF(AND(D1023="proMX",BD1023=1),IF(R1023="","Draft",R1023),"")</f>
        <v/>
      </c>
      <c r="BG1023" s="80">
        <f>IF(BD1023=1,ROUND(AG1023/60,6),0)</f>
        <v>0</v>
      </c>
      <c r="BH1023" s="80">
        <f>IF(BE1023=1,ROUND(AG1023/60,6),0)</f>
        <v>0</v>
      </c>
      <c r="BI1023" s="80">
        <f>IF(BE1023=1,ROUND(AP1023/60,6),0)</f>
        <v>0</v>
      </c>
      <c r="BJ1023" s="80">
        <f>IF(BE1023=1,ROUND(AQ1023/60,6),0)</f>
        <v>0</v>
      </c>
      <c r="BK1023" s="80">
        <f>IF(BE1023=1,ROUND((AR1023+AS1023)/60,6),0)</f>
        <v>0</v>
      </c>
      <c r="BL1023" s="80">
        <f>ROUND(BH1023-BK1023,6)</f>
        <v>0</v>
      </c>
      <c r="BM1023" s="80">
        <f>IF(BE1023=1,ROUND(AR1023/60,6),0)</f>
        <v>0</v>
      </c>
      <c r="BN1023" s="80">
        <f>ROUND(BI1023-BM1023,6)</f>
        <v>0</v>
      </c>
      <c r="BO1023" s="80">
        <f>IF(BE1023=1,ROUND(AS1023/60,6),0)</f>
        <v>0</v>
      </c>
      <c r="BP1023" s="80">
        <f>ROUND(BJ1023-BO1023,6)</f>
        <v>0</v>
      </c>
      <c r="BQ1023" s="80">
        <f>IF(BE1023=1,AW1023,0)</f>
        <v>0</v>
      </c>
      <c r="BR1023" s="80">
        <f>IF(BE1023=1,AX1023,0)</f>
        <v>0</v>
      </c>
      <c r="BS1023" s="80">
        <f>IF(AND(BE1023=1,D1023="Malcolm",BA1023&gt;0),MIN(BH1023,SUMPRODUCT((R_Emp="proMX")*(R_EN&gt;0)*((R_EN-(R_EN&gt;BR1023)*(R_EN-BR1023))&gt;(R_SN+(R_SN&lt;BQ1023)*(BQ1023-R_SN)))*((R_EN-(R_EN&gt;BR1023)*(R_EN-BR1023))-(R_SN+(R_SN&lt;BQ1023)*(BQ1023-R_SN))))/60),0)</f>
        <v>0</v>
      </c>
      <c r="BT1023" s="80">
        <f>IF(AND(BE1023=1,D1023="proMX"),ROUND(BI1023*CFG_RATE+BJ1023*CFG_OTRATE,6),0)</f>
        <v>0</v>
      </c>
      <c r="BU1023" s="80">
        <f>IF(AND(BD1023=1,D1023="proMX"),ROUND(AG1023/CFG_BLK,6),0)</f>
        <v>0</v>
      </c>
      <c r="BV1023" s="80" t="str">
        <f>IF(BF1023="Approved",IF(ISNUMBER(T1023),INT(T1023),INT(B1023)),"")</f>
        <v/>
      </c>
      <c r="BW1023" s="80">
        <f>IF(ISNUMBER(B1023),IF(DB_MON="Todos",1,IF(AND(INT(B1023)&gt;=DB_MS,INT(B1023)&lt;=DB_ME),1,0)),0)</f>
        <v>0</v>
      </c>
      <c r="BX1023" s="80">
        <f>IF(DB_PROJ="Todos",1,IF(E1023&amp;""=DB_PROJ&amp;"",1,0))</f>
        <v>1</v>
      </c>
      <c r="BY1023" s="80">
        <f>BW1023*BX1023</f>
        <v>0</v>
      </c>
      <c r="BZ1023" s="80" t="str">
        <f>IF(Y1023=1,F1023&amp;IF(AND(F1023&amp;""&lt;&gt;"",E1023&amp;""&lt;&gt;"")," · ","")&amp;E1023,"")</f>
        <v/>
      </c>
      <c r="CA1023" s="80" t="str">
        <f>IF(AND(BD1023=1,E1023&amp;""&lt;&gt;""),IF(COUNTIFS($E$5:E1022,E1023,$BD$5:BD1022,1)=0,MAX($CA$5:CA1022)+1,""),"")</f>
        <v/>
      </c>
      <c r="CB1023" s="80" t="str">
        <f>IF(AND(BE1023=1,D1023="Malcolm",E1023&amp;""&lt;&gt;""),IF(COUNTIFS($D$5:D1022,"Malcolm",$E$5:E1022,E1023,$BE$5:BE1022,1)=0,MAX($CB$5:CB1022)+1,""),"")</f>
        <v/>
      </c>
      <c r="CC1023" s="80" t="str">
        <f>IF(AND(BD1023=1,D1023="proMX",E1023&amp;""&lt;&gt;""),IF(COUNTIFS($D$5:D1022,"proMX",$E$5:E1022,E1023,$BD$5:BD1022,1)=0,MAX($CC$5:CC1022)+1,""),"")</f>
        <v/>
      </c>
      <c r="CD1023" s="80" t="str">
        <f>IF(AND(BE1023=1,D1023="Malcolm",F1023&amp;""&lt;&gt;""),IF(COUNTIFS($D$5:D1022,"Malcolm",$F$5:F1022,F1023,$BE$5:BE1022,1)=0,MAX($CD$5:CD1022)+1,""),"")</f>
        <v/>
      </c>
      <c r="CE1023" s="80" t="str">
        <f>IF(AND(BD1023=1,D1023="proMX",F1023&amp;""&lt;&gt;""),IF(COUNTIFS($D$5:D1022,"proMX",$F$5:F1022,F1023,$BD$5:BD1022,1)=0,MAX($CE$5:CE1022)+1,""),"")</f>
        <v/>
      </c>
      <c r="CF1023" s="80" t="str">
        <f>IF(AND(D1023="proMX",BD1023=1),IF(OR(BF1023="Draft",BF1023="Submitted",BF1023="Returned",BF1023="Recall Requested"),MAX($CF$5:CF1022)+1,""),"")</f>
        <v/>
      </c>
      <c r="CG1023" s="80">
        <f>IF(BD1023=0,0,IF(D1023="Malcolm",1,MATCH(BF1023,{"Draft","Submitted","Approved","Returned","Recall Requested","Cancelled"},0)+1))</f>
        <v>0</v>
      </c>
      <c r="CH1023" s="80">
        <f>IF(AND(BF1023="Submitted",ISNUMBER(V1023)),IF(V1023&gt;CFG_MAXD,1,0),0)</f>
        <v>0</v>
      </c>
    </row>
    <row r="1024">
      <c r="A1024" s="71" t="str">
        <f>IF(Y1024=1,ROW()-5,"")</f>
        <v/>
      </c>
      <c r="B1024" s="72" t="n"/>
      <c r="C1024" s="71" t="str">
        <f>IF(ISNUMBER(B1024),CHOOSE(WEEKDAY(B1024,2),"Lun","Mar","Mié","Jue","Vie","Sáb","Dom"),"")</f>
        <v/>
      </c>
      <c r="D1024" s="73" t="n"/>
      <c r="E1024" s="74" t="n"/>
      <c r="F1024" s="74" t="n"/>
      <c r="G1024" s="74" t="n"/>
      <c r="H1024" s="75" t="n"/>
      <c r="I1024" s="75" t="n"/>
      <c r="J1024" s="76" t="n"/>
      <c r="K1024" s="77" t="str">
        <f>IF(AB1024=1,ROUND(AG1024/60,4),"")</f>
        <v/>
      </c>
      <c r="L1024" s="77" t="str">
        <f>IF(BD1024=1,ROUND(AP1024/60,4),"")</f>
        <v/>
      </c>
      <c r="M1024" s="77" t="str">
        <f>IF(BD1024=1,ROUND(AQ1024/60,4),"")</f>
        <v/>
      </c>
      <c r="N1024" s="71" t="str">
        <f>IF(AND(D1024="proMX",AB1024=1),ROUND(AG1024/CFG_BLK,2),"")</f>
        <v/>
      </c>
      <c r="O1024" s="77" t="str">
        <f>IF(D1024="proMX",IF(BD1024=1,ROUND(AG1024/60,4),0),"")</f>
        <v/>
      </c>
      <c r="P1024" s="78" t="str">
        <f>IF(Y1024=0,"",IF(BD1024=1,"OK",IF(D1024="proMX","Revisar bloques: ","Revisar: ")&amp;BC1024))</f>
        <v/>
      </c>
      <c r="Q1024" s="78" t="str">
        <f>IF(NOT(ISNUMBER(B1024)),"",IF(COUNTIFS(FER_F,INT(B1024))&gt;0,"Feriado"&amp;IF(AH1024=1," (laborable)"," (no laborable)"),IF(AH1024=1,"Laborable",IF(WEEKDAY(B1024,2)&gt;5,"Fin de semana","No laborable"))))</f>
        <v/>
      </c>
      <c r="R1024" s="73" t="n"/>
      <c r="S1024" s="72" t="n"/>
      <c r="T1024" s="72" t="n"/>
      <c r="U1024" s="74" t="n"/>
      <c r="V1024" s="79" t="str">
        <f>IF(AND(D1024="proMX",OR(R1024="Submitted",R1024="Recall Requested"),ISNUMBER(S1024)),CFG_TODAY-INT(S1024),"")</f>
        <v/>
      </c>
      <c r="W1024" s="78" t="str">
        <f>IF(BD1024=0,"",IF(BA1024&gt;0,"⚠ Se superpone con un registro de la otra empresa",IF(D1024="Malcolm",IF(COUNTA(R1024,S1024,T1024)&gt;0,"Estado/fechas proMX se ignoran en Malcolm",""),IF(BF1024="Cancelled","Cancelado: excluido de totales",IF(R1024="","Sin estado: se trata como Draft",IF(BF1024="Submitted",IF(ISNUMBER(V1024),IF(V1024&gt;CFG_MAXD,"⚠ "&amp;V1024&amp;" días en Submitted (máx. "&amp;CFG_MAXD&amp;")",""),"Falta fecha de envío"),IF(BF1024="Returned","⚠ Devuelto: corregir y reenviar",IF(BF1024="Recall Requested","Retirada solicitada: pendiente",IF(AND(BF1024="Approved",NOT(ISNUMBER(T1024))),"Falta fecha de aprobación",IF(AND(ISNUMBER(S1024),ISNUMBER(T1024),T1024&lt;S1024),"Aprobación anterior al envío","")))))))))</f>
        <v/>
      </c>
      <c r="Y1024" s="80">
        <f>IF(COUNTA(B1024,D1024,E1024,F1024,G1024,H1024,I1024,J1024,R1024,S1024,T1024)&gt;0,1,0)</f>
        <v>0</v>
      </c>
      <c r="Z1024" s="80" t="str">
        <f>IF(AND(ISNUMBER(H1024),H1024&gt;=0,H1024&lt;1),ROUND(H1024*1440,0),"")</f>
        <v/>
      </c>
      <c r="AA1024" s="80" t="str">
        <f>IF(AND(ISNUMBER(I1024),I1024&gt;=0,I1024&lt;1),ROUND(I1024*1440,0),"")</f>
        <v/>
      </c>
      <c r="AB1024" s="80">
        <f>IF(AND(ISNUMBER(B1024),D1024&lt;&gt;"",ISNUMBER(Z1024),ISNUMBER(AA1024)),IF(Z1024=AA1024,0,1),0)</f>
        <v>0</v>
      </c>
      <c r="AC1024" s="80">
        <f>IF(AB1024=1,IF(AA1024&lt;Z1024,1,0),0)</f>
        <v>0</v>
      </c>
      <c r="AD1024" s="80">
        <f>IF(AB1024=1,IF(AC1024=1,1440-Z1024+AA1024,AA1024-Z1024),0)</f>
        <v>0</v>
      </c>
      <c r="AE1024" s="80">
        <f>IF(J1024="",0,IF(ISNUMBER(J1024),J1024,-1))</f>
        <v>0</v>
      </c>
      <c r="AF1024" s="80">
        <f>MIN(MAX(0,AE1024),AD1024)</f>
        <v>0</v>
      </c>
      <c r="AG1024" s="80">
        <f>MAX(0,AD1024-MAX(0,AE1024))</f>
        <v>0</v>
      </c>
      <c r="AH1024" s="80">
        <f>IF(ISNUMBER(B1024),IF(AND(INDEX(CFG_WDAYS,WEEKDAY(INT(B1024),2))="Sí",IF(D1024="proMX",COUNTIFS(FER_F,INT(B1024),FER_NLP,"Sí"),COUNTIFS(FER_F,INT(B1024),FER_NLM,"Sí"))=0),1,0),0)</f>
        <v>0</v>
      </c>
      <c r="AI1024" s="80">
        <f>IF(AC1024=1,IF(AND(INDEX(CFG_WDAYS,WEEKDAY(INT(B1024)+1,2))="Sí",IF(D1024="proMX",COUNTIFS(FER_F,INT(B1024)+1,FER_NLP,"Sí"),COUNTIFS(FER_F,INT(B1024)+1,FER_NLM,"Sí"))=0),1,0),0)</f>
        <v>0</v>
      </c>
      <c r="AJ1024" s="80">
        <f>IF(AC1024=1,1440-Z1024,AD1024)</f>
        <v>0</v>
      </c>
      <c r="AK1024" s="80">
        <f>IF(AND(AB1024=1,AH1024=1),MAX(0,MIN(IF(AC1024=1,1440,AA1024),CFG_WEM)-MAX(Z1024,CFG_WSM)),0)</f>
        <v>0</v>
      </c>
      <c r="AL1024" s="80">
        <f>IF(AND(AC1024=1,AI1024=1),MAX(0,MIN(AA1024,CFG_WEM)-CFG_WSM),0)</f>
        <v>0</v>
      </c>
      <c r="AM1024" s="80">
        <f>AK1024+AL1024</f>
        <v>0</v>
      </c>
      <c r="AN1024" s="80">
        <f>IF(CFG_BRK="Proporcional",IF(AD1024=0,0,AF1024*AM1024/AD1024),IF(CFG_BRK="Extras primero",MIN(AM1024,MAX(0,AF1024-(AD1024-AM1024))),MIN(AF1024,AM1024)))</f>
        <v>0</v>
      </c>
      <c r="AO1024" s="80">
        <f>AF1024-AN1024</f>
        <v>0</v>
      </c>
      <c r="AP1024" s="80">
        <f>AM1024-AN1024</f>
        <v>0</v>
      </c>
      <c r="AQ1024" s="80">
        <f>AD1024-AM1024-AO1024</f>
        <v>0</v>
      </c>
      <c r="AR1024" s="80">
        <f>IF(AM1024=0,0,AK1024-AN1024*AK1024/AM1024)</f>
        <v>0</v>
      </c>
      <c r="AS1024" s="80">
        <f>IF(AD1024-AM1024=0,0,(AJ1024-AK1024)-AO1024*(AJ1024-AK1024)/(AD1024-AM1024))</f>
        <v>0</v>
      </c>
      <c r="AT1024" s="80" t="str">
        <f>IF(AC1024=1,INT(B1024)+1,"")</f>
        <v/>
      </c>
      <c r="AU1024" s="80">
        <f>IF(AND(D1024="proMX",R1024="Cancelled"),0,1)</f>
        <v>1</v>
      </c>
      <c r="AV1024" s="80">
        <f>IF(AND(AB1024=1,AU1024=1),IF(COUNTIFS($D$5:D1023,D1024,$B$5:B1023,B1024,$Z$5:Z1023,Z1024,$AA$5:AA1023,AA1024,$F$5:F1023,F1024&amp;"",$AU$5:AU1023,1)&gt;0,1,0),0)</f>
        <v>0</v>
      </c>
      <c r="AW1024" s="80" t="str">
        <f>IF(AB1024=1,INT(B1024)*1440+Z1024,"")</f>
        <v/>
      </c>
      <c r="AX1024" s="80" t="str">
        <f>IF(AB1024=1,AW1024+AD1024,"")</f>
        <v/>
      </c>
      <c r="AY1024" s="80">
        <f>IF(AND(AB1024=1,AV1024=0,AU1024=1),1,0)</f>
        <v>0</v>
      </c>
      <c r="AZ1024" s="80">
        <f>IF(AY1024=1,COUNTIFS(R_Emp,D1024,R_SAbs,"&lt;"&amp;AX1024,R_EAbs,"&gt;"&amp;AW1024,R_OKey,1)-1,0)</f>
        <v>0</v>
      </c>
      <c r="BA1024" s="80">
        <f>IF(AY1024=1,COUNTIFS(R_Emp,"&lt;&gt;"&amp;D1024,R_SAbs,"&lt;"&amp;AX1024,R_EAbs,"&gt;"&amp;AW1024,R_OKey,1),0)</f>
        <v>0</v>
      </c>
      <c r="BB1024" s="80">
        <f>IF(AND(AB1024=1,D1024="proMX"),IF(AND(MOD(Z1024,CFG_BLK)=0,MOD(AA1024,CFG_BLK)=0,MOD(AG1024,CFG_BLK)=0,AG1024&gt;0),1,0),1)</f>
        <v>1</v>
      </c>
      <c r="BC1024" s="80" t="str">
        <f>IF(Y1024=0,"",IF(NOT(ISNUMBER(B1024)),"Falta fecha o fecha inválida",IF(D1024="","Falta empresa",IF(AND(D1024&lt;&gt;"Malcolm",D1024&lt;&gt;"proMX"),"Empresa inválida",IF(OR(INT(B1024)&lt;CFG_PSTART,INT(B1024)&gt;CFG_PEND),"Fecha fuera del período",IF(OR(NOT(ISNUMBER(Z1024)),NOT(ISNUMBER(AA1024))),"Falta hora inicio/fin o formato inválido",IF(AB1024=0,"Hora inicio = hora fin",IF(AE1024&lt;0,"Descanso inválido",IF(AE1024&gt;=AD1024,"Descanso ≥ duración",IF(AV1024=1,"Registro duplicado",IF(AZ1024&gt;0,"Se superpone con otro registro "&amp;D1024,IF(BB1024=0,"inicio, fin y duración neta deben ser múltiplos de "&amp;CFG_BLK&amp;" min",""))))))))))))</f>
        <v/>
      </c>
      <c r="BD1024" s="80">
        <f>IF(AND(Y1024=1,BC1024=""),1,0)</f>
        <v>0</v>
      </c>
      <c r="BE1024" s="80">
        <f>IF(AND(BD1024=1,AU1024=1),1,0)</f>
        <v>0</v>
      </c>
      <c r="BF1024" s="80" t="str">
        <f>IF(AND(D1024="proMX",BD1024=1),IF(R1024="","Draft",R1024),"")</f>
        <v/>
      </c>
      <c r="BG1024" s="80">
        <f>IF(BD1024=1,ROUND(AG1024/60,6),0)</f>
        <v>0</v>
      </c>
      <c r="BH1024" s="80">
        <f>IF(BE1024=1,ROUND(AG1024/60,6),0)</f>
        <v>0</v>
      </c>
      <c r="BI1024" s="80">
        <f>IF(BE1024=1,ROUND(AP1024/60,6),0)</f>
        <v>0</v>
      </c>
      <c r="BJ1024" s="80">
        <f>IF(BE1024=1,ROUND(AQ1024/60,6),0)</f>
        <v>0</v>
      </c>
      <c r="BK1024" s="80">
        <f>IF(BE1024=1,ROUND((AR1024+AS1024)/60,6),0)</f>
        <v>0</v>
      </c>
      <c r="BL1024" s="80">
        <f>ROUND(BH1024-BK1024,6)</f>
        <v>0</v>
      </c>
      <c r="BM1024" s="80">
        <f>IF(BE1024=1,ROUND(AR1024/60,6),0)</f>
        <v>0</v>
      </c>
      <c r="BN1024" s="80">
        <f>ROUND(BI1024-BM1024,6)</f>
        <v>0</v>
      </c>
      <c r="BO1024" s="80">
        <f>IF(BE1024=1,ROUND(AS1024/60,6),0)</f>
        <v>0</v>
      </c>
      <c r="BP1024" s="80">
        <f>ROUND(BJ1024-BO1024,6)</f>
        <v>0</v>
      </c>
      <c r="BQ1024" s="80">
        <f>IF(BE1024=1,AW1024,0)</f>
        <v>0</v>
      </c>
      <c r="BR1024" s="80">
        <f>IF(BE1024=1,AX1024,0)</f>
        <v>0</v>
      </c>
      <c r="BS1024" s="80">
        <f>IF(AND(BE1024=1,D1024="Malcolm",BA1024&gt;0),MIN(BH1024,SUMPRODUCT((R_Emp="proMX")*(R_EN&gt;0)*((R_EN-(R_EN&gt;BR1024)*(R_EN-BR1024))&gt;(R_SN+(R_SN&lt;BQ1024)*(BQ1024-R_SN)))*((R_EN-(R_EN&gt;BR1024)*(R_EN-BR1024))-(R_SN+(R_SN&lt;BQ1024)*(BQ1024-R_SN))))/60),0)</f>
        <v>0</v>
      </c>
      <c r="BT1024" s="80">
        <f>IF(AND(BE1024=1,D1024="proMX"),ROUND(BI1024*CFG_RATE+BJ1024*CFG_OTRATE,6),0)</f>
        <v>0</v>
      </c>
      <c r="BU1024" s="80">
        <f>IF(AND(BD1024=1,D1024="proMX"),ROUND(AG1024/CFG_BLK,6),0)</f>
        <v>0</v>
      </c>
      <c r="BV1024" s="80" t="str">
        <f>IF(BF1024="Approved",IF(ISNUMBER(T1024),INT(T1024),INT(B1024)),"")</f>
        <v/>
      </c>
      <c r="BW1024" s="80">
        <f>IF(ISNUMBER(B1024),IF(DB_MON="Todos",1,IF(AND(INT(B1024)&gt;=DB_MS,INT(B1024)&lt;=DB_ME),1,0)),0)</f>
        <v>0</v>
      </c>
      <c r="BX1024" s="80">
        <f>IF(DB_PROJ="Todos",1,IF(E1024&amp;""=DB_PROJ&amp;"",1,0))</f>
        <v>1</v>
      </c>
      <c r="BY1024" s="80">
        <f>BW1024*BX1024</f>
        <v>0</v>
      </c>
      <c r="BZ1024" s="80" t="str">
        <f>IF(Y1024=1,F1024&amp;IF(AND(F1024&amp;""&lt;&gt;"",E1024&amp;""&lt;&gt;"")," · ","")&amp;E1024,"")</f>
        <v/>
      </c>
      <c r="CA1024" s="80" t="str">
        <f>IF(AND(BD1024=1,E1024&amp;""&lt;&gt;""),IF(COUNTIFS($E$5:E1023,E1024,$BD$5:BD1023,1)=0,MAX($CA$5:CA1023)+1,""),"")</f>
        <v/>
      </c>
      <c r="CB1024" s="80" t="str">
        <f>IF(AND(BE1024=1,D1024="Malcolm",E1024&amp;""&lt;&gt;""),IF(COUNTIFS($D$5:D1023,"Malcolm",$E$5:E1023,E1024,$BE$5:BE1023,1)=0,MAX($CB$5:CB1023)+1,""),"")</f>
        <v/>
      </c>
      <c r="CC1024" s="80" t="str">
        <f>IF(AND(BD1024=1,D1024="proMX",E1024&amp;""&lt;&gt;""),IF(COUNTIFS($D$5:D1023,"proMX",$E$5:E1023,E1024,$BD$5:BD1023,1)=0,MAX($CC$5:CC1023)+1,""),"")</f>
        <v/>
      </c>
      <c r="CD1024" s="80" t="str">
        <f>IF(AND(BE1024=1,D1024="Malcolm",F1024&amp;""&lt;&gt;""),IF(COUNTIFS($D$5:D1023,"Malcolm",$F$5:F1023,F1024,$BE$5:BE1023,1)=0,MAX($CD$5:CD1023)+1,""),"")</f>
        <v/>
      </c>
      <c r="CE1024" s="80" t="str">
        <f>IF(AND(BD1024=1,D1024="proMX",F1024&amp;""&lt;&gt;""),IF(COUNTIFS($D$5:D1023,"proMX",$F$5:F1023,F1024,$BD$5:BD1023,1)=0,MAX($CE$5:CE1023)+1,""),"")</f>
        <v/>
      </c>
      <c r="CF1024" s="80" t="str">
        <f>IF(AND(D1024="proMX",BD1024=1),IF(OR(BF1024="Draft",BF1024="Submitted",BF1024="Returned",BF1024="Recall Requested"),MAX($CF$5:CF1023)+1,""),"")</f>
        <v/>
      </c>
      <c r="CG1024" s="80">
        <f>IF(BD1024=0,0,IF(D1024="Malcolm",1,MATCH(BF1024,{"Draft","Submitted","Approved","Returned","Recall Requested","Cancelled"},0)+1))</f>
        <v>0</v>
      </c>
      <c r="CH1024" s="80">
        <f>IF(AND(BF1024="Submitted",ISNUMBER(V1024)),IF(V1024&gt;CFG_MAXD,1,0),0)</f>
        <v>0</v>
      </c>
    </row>
    <row r="1025">
      <c r="A1025" s="71" t="str">
        <f>IF(Y1025=1,ROW()-5,"")</f>
        <v/>
      </c>
      <c r="B1025" s="72" t="n"/>
      <c r="C1025" s="71" t="str">
        <f>IF(ISNUMBER(B1025),CHOOSE(WEEKDAY(B1025,2),"Lun","Mar","Mié","Jue","Vie","Sáb","Dom"),"")</f>
        <v/>
      </c>
      <c r="D1025" s="73" t="n"/>
      <c r="E1025" s="74" t="n"/>
      <c r="F1025" s="74" t="n"/>
      <c r="G1025" s="74" t="n"/>
      <c r="H1025" s="75" t="n"/>
      <c r="I1025" s="75" t="n"/>
      <c r="J1025" s="76" t="n"/>
      <c r="K1025" s="77" t="str">
        <f>IF(AB1025=1,ROUND(AG1025/60,4),"")</f>
        <v/>
      </c>
      <c r="L1025" s="77" t="str">
        <f>IF(BD1025=1,ROUND(AP1025/60,4),"")</f>
        <v/>
      </c>
      <c r="M1025" s="77" t="str">
        <f>IF(BD1025=1,ROUND(AQ1025/60,4),"")</f>
        <v/>
      </c>
      <c r="N1025" s="71" t="str">
        <f>IF(AND(D1025="proMX",AB1025=1),ROUND(AG1025/CFG_BLK,2),"")</f>
        <v/>
      </c>
      <c r="O1025" s="77" t="str">
        <f>IF(D1025="proMX",IF(BD1025=1,ROUND(AG1025/60,4),0),"")</f>
        <v/>
      </c>
      <c r="P1025" s="78" t="str">
        <f>IF(Y1025=0,"",IF(BD1025=1,"OK",IF(D1025="proMX","Revisar bloques: ","Revisar: ")&amp;BC1025))</f>
        <v/>
      </c>
      <c r="Q1025" s="78" t="str">
        <f>IF(NOT(ISNUMBER(B1025)),"",IF(COUNTIFS(FER_F,INT(B1025))&gt;0,"Feriado"&amp;IF(AH1025=1," (laborable)"," (no laborable)"),IF(AH1025=1,"Laborable",IF(WEEKDAY(B1025,2)&gt;5,"Fin de semana","No laborable"))))</f>
        <v/>
      </c>
      <c r="R1025" s="73" t="n"/>
      <c r="S1025" s="72" t="n"/>
      <c r="T1025" s="72" t="n"/>
      <c r="U1025" s="74" t="n"/>
      <c r="V1025" s="79" t="str">
        <f>IF(AND(D1025="proMX",OR(R1025="Submitted",R1025="Recall Requested"),ISNUMBER(S1025)),CFG_TODAY-INT(S1025),"")</f>
        <v/>
      </c>
      <c r="W1025" s="78" t="str">
        <f>IF(BD1025=0,"",IF(BA1025&gt;0,"⚠ Se superpone con un registro de la otra empresa",IF(D1025="Malcolm",IF(COUNTA(R1025,S1025,T1025)&gt;0,"Estado/fechas proMX se ignoran en Malcolm",""),IF(BF1025="Cancelled","Cancelado: excluido de totales",IF(R1025="","Sin estado: se trata como Draft",IF(BF1025="Submitted",IF(ISNUMBER(V1025),IF(V1025&gt;CFG_MAXD,"⚠ "&amp;V1025&amp;" días en Submitted (máx. "&amp;CFG_MAXD&amp;")",""),"Falta fecha de envío"),IF(BF1025="Returned","⚠ Devuelto: corregir y reenviar",IF(BF1025="Recall Requested","Retirada solicitada: pendiente",IF(AND(BF1025="Approved",NOT(ISNUMBER(T1025))),"Falta fecha de aprobación",IF(AND(ISNUMBER(S1025),ISNUMBER(T1025),T1025&lt;S1025),"Aprobación anterior al envío","")))))))))</f>
        <v/>
      </c>
      <c r="Y1025" s="80">
        <f>IF(COUNTA(B1025,D1025,E1025,F1025,G1025,H1025,I1025,J1025,R1025,S1025,T1025)&gt;0,1,0)</f>
        <v>0</v>
      </c>
      <c r="Z1025" s="80" t="str">
        <f>IF(AND(ISNUMBER(H1025),H1025&gt;=0,H1025&lt;1),ROUND(H1025*1440,0),"")</f>
        <v/>
      </c>
      <c r="AA1025" s="80" t="str">
        <f>IF(AND(ISNUMBER(I1025),I1025&gt;=0,I1025&lt;1),ROUND(I1025*1440,0),"")</f>
        <v/>
      </c>
      <c r="AB1025" s="80">
        <f>IF(AND(ISNUMBER(B1025),D1025&lt;&gt;"",ISNUMBER(Z1025),ISNUMBER(AA1025)),IF(Z1025=AA1025,0,1),0)</f>
        <v>0</v>
      </c>
      <c r="AC1025" s="80">
        <f>IF(AB1025=1,IF(AA1025&lt;Z1025,1,0),0)</f>
        <v>0</v>
      </c>
      <c r="AD1025" s="80">
        <f>IF(AB1025=1,IF(AC1025=1,1440-Z1025+AA1025,AA1025-Z1025),0)</f>
        <v>0</v>
      </c>
      <c r="AE1025" s="80">
        <f>IF(J1025="",0,IF(ISNUMBER(J1025),J1025,-1))</f>
        <v>0</v>
      </c>
      <c r="AF1025" s="80">
        <f>MIN(MAX(0,AE1025),AD1025)</f>
        <v>0</v>
      </c>
      <c r="AG1025" s="80">
        <f>MAX(0,AD1025-MAX(0,AE1025))</f>
        <v>0</v>
      </c>
      <c r="AH1025" s="80">
        <f>IF(ISNUMBER(B1025),IF(AND(INDEX(CFG_WDAYS,WEEKDAY(INT(B1025),2))="Sí",IF(D1025="proMX",COUNTIFS(FER_F,INT(B1025),FER_NLP,"Sí"),COUNTIFS(FER_F,INT(B1025),FER_NLM,"Sí"))=0),1,0),0)</f>
        <v>0</v>
      </c>
      <c r="AI1025" s="80">
        <f>IF(AC1025=1,IF(AND(INDEX(CFG_WDAYS,WEEKDAY(INT(B1025)+1,2))="Sí",IF(D1025="proMX",COUNTIFS(FER_F,INT(B1025)+1,FER_NLP,"Sí"),COUNTIFS(FER_F,INT(B1025)+1,FER_NLM,"Sí"))=0),1,0),0)</f>
        <v>0</v>
      </c>
      <c r="AJ1025" s="80">
        <f>IF(AC1025=1,1440-Z1025,AD1025)</f>
        <v>0</v>
      </c>
      <c r="AK1025" s="80">
        <f>IF(AND(AB1025=1,AH1025=1),MAX(0,MIN(IF(AC1025=1,1440,AA1025),CFG_WEM)-MAX(Z1025,CFG_WSM)),0)</f>
        <v>0</v>
      </c>
      <c r="AL1025" s="80">
        <f>IF(AND(AC1025=1,AI1025=1),MAX(0,MIN(AA1025,CFG_WEM)-CFG_WSM),0)</f>
        <v>0</v>
      </c>
      <c r="AM1025" s="80">
        <f>AK1025+AL1025</f>
        <v>0</v>
      </c>
      <c r="AN1025" s="80">
        <f>IF(CFG_BRK="Proporcional",IF(AD1025=0,0,AF1025*AM1025/AD1025),IF(CFG_BRK="Extras primero",MIN(AM1025,MAX(0,AF1025-(AD1025-AM1025))),MIN(AF1025,AM1025)))</f>
        <v>0</v>
      </c>
      <c r="AO1025" s="80">
        <f>AF1025-AN1025</f>
        <v>0</v>
      </c>
      <c r="AP1025" s="80">
        <f>AM1025-AN1025</f>
        <v>0</v>
      </c>
      <c r="AQ1025" s="80">
        <f>AD1025-AM1025-AO1025</f>
        <v>0</v>
      </c>
      <c r="AR1025" s="80">
        <f>IF(AM1025=0,0,AK1025-AN1025*AK1025/AM1025)</f>
        <v>0</v>
      </c>
      <c r="AS1025" s="80">
        <f>IF(AD1025-AM1025=0,0,(AJ1025-AK1025)-AO1025*(AJ1025-AK1025)/(AD1025-AM1025))</f>
        <v>0</v>
      </c>
      <c r="AT1025" s="80" t="str">
        <f>IF(AC1025=1,INT(B1025)+1,"")</f>
        <v/>
      </c>
      <c r="AU1025" s="80">
        <f>IF(AND(D1025="proMX",R1025="Cancelled"),0,1)</f>
        <v>1</v>
      </c>
      <c r="AV1025" s="80">
        <f>IF(AND(AB1025=1,AU1025=1),IF(COUNTIFS($D$5:D1024,D1025,$B$5:B1024,B1025,$Z$5:Z1024,Z1025,$AA$5:AA1024,AA1025,$F$5:F1024,F1025&amp;"",$AU$5:AU1024,1)&gt;0,1,0),0)</f>
        <v>0</v>
      </c>
      <c r="AW1025" s="80" t="str">
        <f>IF(AB1025=1,INT(B1025)*1440+Z1025,"")</f>
        <v/>
      </c>
      <c r="AX1025" s="80" t="str">
        <f>IF(AB1025=1,AW1025+AD1025,"")</f>
        <v/>
      </c>
      <c r="AY1025" s="80">
        <f>IF(AND(AB1025=1,AV1025=0,AU1025=1),1,0)</f>
        <v>0</v>
      </c>
      <c r="AZ1025" s="80">
        <f>IF(AY1025=1,COUNTIFS(R_Emp,D1025,R_SAbs,"&lt;"&amp;AX1025,R_EAbs,"&gt;"&amp;AW1025,R_OKey,1)-1,0)</f>
        <v>0</v>
      </c>
      <c r="BA1025" s="80">
        <f>IF(AY1025=1,COUNTIFS(R_Emp,"&lt;&gt;"&amp;D1025,R_SAbs,"&lt;"&amp;AX1025,R_EAbs,"&gt;"&amp;AW1025,R_OKey,1),0)</f>
        <v>0</v>
      </c>
      <c r="BB1025" s="80">
        <f>IF(AND(AB1025=1,D1025="proMX"),IF(AND(MOD(Z1025,CFG_BLK)=0,MOD(AA1025,CFG_BLK)=0,MOD(AG1025,CFG_BLK)=0,AG1025&gt;0),1,0),1)</f>
        <v>1</v>
      </c>
      <c r="BC1025" s="80" t="str">
        <f>IF(Y1025=0,"",IF(NOT(ISNUMBER(B1025)),"Falta fecha o fecha inválida",IF(D1025="","Falta empresa",IF(AND(D1025&lt;&gt;"Malcolm",D1025&lt;&gt;"proMX"),"Empresa inválida",IF(OR(INT(B1025)&lt;CFG_PSTART,INT(B1025)&gt;CFG_PEND),"Fecha fuera del período",IF(OR(NOT(ISNUMBER(Z1025)),NOT(ISNUMBER(AA1025))),"Falta hora inicio/fin o formato inválido",IF(AB1025=0,"Hora inicio = hora fin",IF(AE1025&lt;0,"Descanso inválido",IF(AE1025&gt;=AD1025,"Descanso ≥ duración",IF(AV1025=1,"Registro duplicado",IF(AZ1025&gt;0,"Se superpone con otro registro "&amp;D1025,IF(BB1025=0,"inicio, fin y duración neta deben ser múltiplos de "&amp;CFG_BLK&amp;" min",""))))))))))))</f>
        <v/>
      </c>
      <c r="BD1025" s="80">
        <f>IF(AND(Y1025=1,BC1025=""),1,0)</f>
        <v>0</v>
      </c>
      <c r="BE1025" s="80">
        <f>IF(AND(BD1025=1,AU1025=1),1,0)</f>
        <v>0</v>
      </c>
      <c r="BF1025" s="80" t="str">
        <f>IF(AND(D1025="proMX",BD1025=1),IF(R1025="","Draft",R1025),"")</f>
        <v/>
      </c>
      <c r="BG1025" s="80">
        <f>IF(BD1025=1,ROUND(AG1025/60,6),0)</f>
        <v>0</v>
      </c>
      <c r="BH1025" s="80">
        <f>IF(BE1025=1,ROUND(AG1025/60,6),0)</f>
        <v>0</v>
      </c>
      <c r="BI1025" s="80">
        <f>IF(BE1025=1,ROUND(AP1025/60,6),0)</f>
        <v>0</v>
      </c>
      <c r="BJ1025" s="80">
        <f>IF(BE1025=1,ROUND(AQ1025/60,6),0)</f>
        <v>0</v>
      </c>
      <c r="BK1025" s="80">
        <f>IF(BE1025=1,ROUND((AR1025+AS1025)/60,6),0)</f>
        <v>0</v>
      </c>
      <c r="BL1025" s="80">
        <f>ROUND(BH1025-BK1025,6)</f>
        <v>0</v>
      </c>
      <c r="BM1025" s="80">
        <f>IF(BE1025=1,ROUND(AR1025/60,6),0)</f>
        <v>0</v>
      </c>
      <c r="BN1025" s="80">
        <f>ROUND(BI1025-BM1025,6)</f>
        <v>0</v>
      </c>
      <c r="BO1025" s="80">
        <f>IF(BE1025=1,ROUND(AS1025/60,6),0)</f>
        <v>0</v>
      </c>
      <c r="BP1025" s="80">
        <f>ROUND(BJ1025-BO1025,6)</f>
        <v>0</v>
      </c>
      <c r="BQ1025" s="80">
        <f>IF(BE1025=1,AW1025,0)</f>
        <v>0</v>
      </c>
      <c r="BR1025" s="80">
        <f>IF(BE1025=1,AX1025,0)</f>
        <v>0</v>
      </c>
      <c r="BS1025" s="80">
        <f>IF(AND(BE1025=1,D1025="Malcolm",BA1025&gt;0),MIN(BH1025,SUMPRODUCT((R_Emp="proMX")*(R_EN&gt;0)*((R_EN-(R_EN&gt;BR1025)*(R_EN-BR1025))&gt;(R_SN+(R_SN&lt;BQ1025)*(BQ1025-R_SN)))*((R_EN-(R_EN&gt;BR1025)*(R_EN-BR1025))-(R_SN+(R_SN&lt;BQ1025)*(BQ1025-R_SN))))/60),0)</f>
        <v>0</v>
      </c>
      <c r="BT1025" s="80">
        <f>IF(AND(BE1025=1,D1025="proMX"),ROUND(BI1025*CFG_RATE+BJ1025*CFG_OTRATE,6),0)</f>
        <v>0</v>
      </c>
      <c r="BU1025" s="80">
        <f>IF(AND(BD1025=1,D1025="proMX"),ROUND(AG1025/CFG_BLK,6),0)</f>
        <v>0</v>
      </c>
      <c r="BV1025" s="80" t="str">
        <f>IF(BF1025="Approved",IF(ISNUMBER(T1025),INT(T1025),INT(B1025)),"")</f>
        <v/>
      </c>
      <c r="BW1025" s="80">
        <f>IF(ISNUMBER(B1025),IF(DB_MON="Todos",1,IF(AND(INT(B1025)&gt;=DB_MS,INT(B1025)&lt;=DB_ME),1,0)),0)</f>
        <v>0</v>
      </c>
      <c r="BX1025" s="80">
        <f>IF(DB_PROJ="Todos",1,IF(E1025&amp;""=DB_PROJ&amp;"",1,0))</f>
        <v>1</v>
      </c>
      <c r="BY1025" s="80">
        <f>BW1025*BX1025</f>
        <v>0</v>
      </c>
      <c r="BZ1025" s="80" t="str">
        <f>IF(Y1025=1,F1025&amp;IF(AND(F1025&amp;""&lt;&gt;"",E1025&amp;""&lt;&gt;"")," · ","")&amp;E1025,"")</f>
        <v/>
      </c>
      <c r="CA1025" s="80" t="str">
        <f>IF(AND(BD1025=1,E1025&amp;""&lt;&gt;""),IF(COUNTIFS($E$5:E1024,E1025,$BD$5:BD1024,1)=0,MAX($CA$5:CA1024)+1,""),"")</f>
        <v/>
      </c>
      <c r="CB1025" s="80" t="str">
        <f>IF(AND(BE1025=1,D1025="Malcolm",E1025&amp;""&lt;&gt;""),IF(COUNTIFS($D$5:D1024,"Malcolm",$E$5:E1024,E1025,$BE$5:BE1024,1)=0,MAX($CB$5:CB1024)+1,""),"")</f>
        <v/>
      </c>
      <c r="CC1025" s="80" t="str">
        <f>IF(AND(BD1025=1,D1025="proMX",E1025&amp;""&lt;&gt;""),IF(COUNTIFS($D$5:D1024,"proMX",$E$5:E1024,E1025,$BD$5:BD1024,1)=0,MAX($CC$5:CC1024)+1,""),"")</f>
        <v/>
      </c>
      <c r="CD1025" s="80" t="str">
        <f>IF(AND(BE1025=1,D1025="Malcolm",F1025&amp;""&lt;&gt;""),IF(COUNTIFS($D$5:D1024,"Malcolm",$F$5:F1024,F1025,$BE$5:BE1024,1)=0,MAX($CD$5:CD1024)+1,""),"")</f>
        <v/>
      </c>
      <c r="CE1025" s="80" t="str">
        <f>IF(AND(BD1025=1,D1025="proMX",F1025&amp;""&lt;&gt;""),IF(COUNTIFS($D$5:D1024,"proMX",$F$5:F1024,F1025,$BD$5:BD1024,1)=0,MAX($CE$5:CE1024)+1,""),"")</f>
        <v/>
      </c>
      <c r="CF1025" s="80" t="str">
        <f>IF(AND(D1025="proMX",BD1025=1),IF(OR(BF1025="Draft",BF1025="Submitted",BF1025="Returned",BF1025="Recall Requested"),MAX($CF$5:CF1024)+1,""),"")</f>
        <v/>
      </c>
      <c r="CG1025" s="80">
        <f>IF(BD1025=0,0,IF(D1025="Malcolm",1,MATCH(BF1025,{"Draft","Submitted","Approved","Returned","Recall Requested","Cancelled"},0)+1))</f>
        <v>0</v>
      </c>
      <c r="CH1025" s="80">
        <f>IF(AND(BF1025="Submitted",ISNUMBER(V1025)),IF(V1025&gt;CFG_MAXD,1,0),0)</f>
        <v>0</v>
      </c>
    </row>
    <row r="1026">
      <c r="A1026" s="71" t="str">
        <f>IF(Y1026=1,ROW()-5,"")</f>
        <v/>
      </c>
      <c r="B1026" s="72" t="n"/>
      <c r="C1026" s="71" t="str">
        <f>IF(ISNUMBER(B1026),CHOOSE(WEEKDAY(B1026,2),"Lun","Mar","Mié","Jue","Vie","Sáb","Dom"),"")</f>
        <v/>
      </c>
      <c r="D1026" s="73" t="n"/>
      <c r="E1026" s="74" t="n"/>
      <c r="F1026" s="74" t="n"/>
      <c r="G1026" s="74" t="n"/>
      <c r="H1026" s="75" t="n"/>
      <c r="I1026" s="75" t="n"/>
      <c r="J1026" s="76" t="n"/>
      <c r="K1026" s="77" t="str">
        <f>IF(AB1026=1,ROUND(AG1026/60,4),"")</f>
        <v/>
      </c>
      <c r="L1026" s="77" t="str">
        <f>IF(BD1026=1,ROUND(AP1026/60,4),"")</f>
        <v/>
      </c>
      <c r="M1026" s="77" t="str">
        <f>IF(BD1026=1,ROUND(AQ1026/60,4),"")</f>
        <v/>
      </c>
      <c r="N1026" s="71" t="str">
        <f>IF(AND(D1026="proMX",AB1026=1),ROUND(AG1026/CFG_BLK,2),"")</f>
        <v/>
      </c>
      <c r="O1026" s="77" t="str">
        <f>IF(D1026="proMX",IF(BD1026=1,ROUND(AG1026/60,4),0),"")</f>
        <v/>
      </c>
      <c r="P1026" s="78" t="str">
        <f>IF(Y1026=0,"",IF(BD1026=1,"OK",IF(D1026="proMX","Revisar bloques: ","Revisar: ")&amp;BC1026))</f>
        <v/>
      </c>
      <c r="Q1026" s="78" t="str">
        <f>IF(NOT(ISNUMBER(B1026)),"",IF(COUNTIFS(FER_F,INT(B1026))&gt;0,"Feriado"&amp;IF(AH1026=1," (laborable)"," (no laborable)"),IF(AH1026=1,"Laborable",IF(WEEKDAY(B1026,2)&gt;5,"Fin de semana","No laborable"))))</f>
        <v/>
      </c>
      <c r="R1026" s="73" t="n"/>
      <c r="S1026" s="72" t="n"/>
      <c r="T1026" s="72" t="n"/>
      <c r="U1026" s="74" t="n"/>
      <c r="V1026" s="79" t="str">
        <f>IF(AND(D1026="proMX",OR(R1026="Submitted",R1026="Recall Requested"),ISNUMBER(S1026)),CFG_TODAY-INT(S1026),"")</f>
        <v/>
      </c>
      <c r="W1026" s="78" t="str">
        <f>IF(BD1026=0,"",IF(BA1026&gt;0,"⚠ Se superpone con un registro de la otra empresa",IF(D1026="Malcolm",IF(COUNTA(R1026,S1026,T1026)&gt;0,"Estado/fechas proMX se ignoran en Malcolm",""),IF(BF1026="Cancelled","Cancelado: excluido de totales",IF(R1026="","Sin estado: se trata como Draft",IF(BF1026="Submitted",IF(ISNUMBER(V1026),IF(V1026&gt;CFG_MAXD,"⚠ "&amp;V1026&amp;" días en Submitted (máx. "&amp;CFG_MAXD&amp;")",""),"Falta fecha de envío"),IF(BF1026="Returned","⚠ Devuelto: corregir y reenviar",IF(BF1026="Recall Requested","Retirada solicitada: pendiente",IF(AND(BF1026="Approved",NOT(ISNUMBER(T1026))),"Falta fecha de aprobación",IF(AND(ISNUMBER(S1026),ISNUMBER(T1026),T1026&lt;S1026),"Aprobación anterior al envío","")))))))))</f>
        <v/>
      </c>
      <c r="Y1026" s="80">
        <f>IF(COUNTA(B1026,D1026,E1026,F1026,G1026,H1026,I1026,J1026,R1026,S1026,T1026)&gt;0,1,0)</f>
        <v>0</v>
      </c>
      <c r="Z1026" s="80" t="str">
        <f>IF(AND(ISNUMBER(H1026),H1026&gt;=0,H1026&lt;1),ROUND(H1026*1440,0),"")</f>
        <v/>
      </c>
      <c r="AA1026" s="80" t="str">
        <f>IF(AND(ISNUMBER(I1026),I1026&gt;=0,I1026&lt;1),ROUND(I1026*1440,0),"")</f>
        <v/>
      </c>
      <c r="AB1026" s="80">
        <f>IF(AND(ISNUMBER(B1026),D1026&lt;&gt;"",ISNUMBER(Z1026),ISNUMBER(AA1026)),IF(Z1026=AA1026,0,1),0)</f>
        <v>0</v>
      </c>
      <c r="AC1026" s="80">
        <f>IF(AB1026=1,IF(AA1026&lt;Z1026,1,0),0)</f>
        <v>0</v>
      </c>
      <c r="AD1026" s="80">
        <f>IF(AB1026=1,IF(AC1026=1,1440-Z1026+AA1026,AA1026-Z1026),0)</f>
        <v>0</v>
      </c>
      <c r="AE1026" s="80">
        <f>IF(J1026="",0,IF(ISNUMBER(J1026),J1026,-1))</f>
        <v>0</v>
      </c>
      <c r="AF1026" s="80">
        <f>MIN(MAX(0,AE1026),AD1026)</f>
        <v>0</v>
      </c>
      <c r="AG1026" s="80">
        <f>MAX(0,AD1026-MAX(0,AE1026))</f>
        <v>0</v>
      </c>
      <c r="AH1026" s="80">
        <f>IF(ISNUMBER(B1026),IF(AND(INDEX(CFG_WDAYS,WEEKDAY(INT(B1026),2))="Sí",IF(D1026="proMX",COUNTIFS(FER_F,INT(B1026),FER_NLP,"Sí"),COUNTIFS(FER_F,INT(B1026),FER_NLM,"Sí"))=0),1,0),0)</f>
        <v>0</v>
      </c>
      <c r="AI1026" s="80">
        <f>IF(AC1026=1,IF(AND(INDEX(CFG_WDAYS,WEEKDAY(INT(B1026)+1,2))="Sí",IF(D1026="proMX",COUNTIFS(FER_F,INT(B1026)+1,FER_NLP,"Sí"),COUNTIFS(FER_F,INT(B1026)+1,FER_NLM,"Sí"))=0),1,0),0)</f>
        <v>0</v>
      </c>
      <c r="AJ1026" s="80">
        <f>IF(AC1026=1,1440-Z1026,AD1026)</f>
        <v>0</v>
      </c>
      <c r="AK1026" s="80">
        <f>IF(AND(AB1026=1,AH1026=1),MAX(0,MIN(IF(AC1026=1,1440,AA1026),CFG_WEM)-MAX(Z1026,CFG_WSM)),0)</f>
        <v>0</v>
      </c>
      <c r="AL1026" s="80">
        <f>IF(AND(AC1026=1,AI1026=1),MAX(0,MIN(AA1026,CFG_WEM)-CFG_WSM),0)</f>
        <v>0</v>
      </c>
      <c r="AM1026" s="80">
        <f>AK1026+AL1026</f>
        <v>0</v>
      </c>
      <c r="AN1026" s="80">
        <f>IF(CFG_BRK="Proporcional",IF(AD1026=0,0,AF1026*AM1026/AD1026),IF(CFG_BRK="Extras primero",MIN(AM1026,MAX(0,AF1026-(AD1026-AM1026))),MIN(AF1026,AM1026)))</f>
        <v>0</v>
      </c>
      <c r="AO1026" s="80">
        <f>AF1026-AN1026</f>
        <v>0</v>
      </c>
      <c r="AP1026" s="80">
        <f>AM1026-AN1026</f>
        <v>0</v>
      </c>
      <c r="AQ1026" s="80">
        <f>AD1026-AM1026-AO1026</f>
        <v>0</v>
      </c>
      <c r="AR1026" s="80">
        <f>IF(AM1026=0,0,AK1026-AN1026*AK1026/AM1026)</f>
        <v>0</v>
      </c>
      <c r="AS1026" s="80">
        <f>IF(AD1026-AM1026=0,0,(AJ1026-AK1026)-AO1026*(AJ1026-AK1026)/(AD1026-AM1026))</f>
        <v>0</v>
      </c>
      <c r="AT1026" s="80" t="str">
        <f>IF(AC1026=1,INT(B1026)+1,"")</f>
        <v/>
      </c>
      <c r="AU1026" s="80">
        <f>IF(AND(D1026="proMX",R1026="Cancelled"),0,1)</f>
        <v>1</v>
      </c>
      <c r="AV1026" s="80">
        <f>IF(AND(AB1026=1,AU1026=1),IF(COUNTIFS($D$5:D1025,D1026,$B$5:B1025,B1026,$Z$5:Z1025,Z1026,$AA$5:AA1025,AA1026,$F$5:F1025,F1026&amp;"",$AU$5:AU1025,1)&gt;0,1,0),0)</f>
        <v>0</v>
      </c>
      <c r="AW1026" s="80" t="str">
        <f>IF(AB1026=1,INT(B1026)*1440+Z1026,"")</f>
        <v/>
      </c>
      <c r="AX1026" s="80" t="str">
        <f>IF(AB1026=1,AW1026+AD1026,"")</f>
        <v/>
      </c>
      <c r="AY1026" s="80">
        <f>IF(AND(AB1026=1,AV1026=0,AU1026=1),1,0)</f>
        <v>0</v>
      </c>
      <c r="AZ1026" s="80">
        <f>IF(AY1026=1,COUNTIFS(R_Emp,D1026,R_SAbs,"&lt;"&amp;AX1026,R_EAbs,"&gt;"&amp;AW1026,R_OKey,1)-1,0)</f>
        <v>0</v>
      </c>
      <c r="BA1026" s="80">
        <f>IF(AY1026=1,COUNTIFS(R_Emp,"&lt;&gt;"&amp;D1026,R_SAbs,"&lt;"&amp;AX1026,R_EAbs,"&gt;"&amp;AW1026,R_OKey,1),0)</f>
        <v>0</v>
      </c>
      <c r="BB1026" s="80">
        <f>IF(AND(AB1026=1,D1026="proMX"),IF(AND(MOD(Z1026,CFG_BLK)=0,MOD(AA1026,CFG_BLK)=0,MOD(AG1026,CFG_BLK)=0,AG1026&gt;0),1,0),1)</f>
        <v>1</v>
      </c>
      <c r="BC1026" s="80" t="str">
        <f>IF(Y1026=0,"",IF(NOT(ISNUMBER(B1026)),"Falta fecha o fecha inválida",IF(D1026="","Falta empresa",IF(AND(D1026&lt;&gt;"Malcolm",D1026&lt;&gt;"proMX"),"Empresa inválida",IF(OR(INT(B1026)&lt;CFG_PSTART,INT(B1026)&gt;CFG_PEND),"Fecha fuera del período",IF(OR(NOT(ISNUMBER(Z1026)),NOT(ISNUMBER(AA1026))),"Falta hora inicio/fin o formato inválido",IF(AB1026=0,"Hora inicio = hora fin",IF(AE1026&lt;0,"Descanso inválido",IF(AE1026&gt;=AD1026,"Descanso ≥ duración",IF(AV1026=1,"Registro duplicado",IF(AZ1026&gt;0,"Se superpone con otro registro "&amp;D1026,IF(BB1026=0,"inicio, fin y duración neta deben ser múltiplos de "&amp;CFG_BLK&amp;" min",""))))))))))))</f>
        <v/>
      </c>
      <c r="BD1026" s="80">
        <f>IF(AND(Y1026=1,BC1026=""),1,0)</f>
        <v>0</v>
      </c>
      <c r="BE1026" s="80">
        <f>IF(AND(BD1026=1,AU1026=1),1,0)</f>
        <v>0</v>
      </c>
      <c r="BF1026" s="80" t="str">
        <f>IF(AND(D1026="proMX",BD1026=1),IF(R1026="","Draft",R1026),"")</f>
        <v/>
      </c>
      <c r="BG1026" s="80">
        <f>IF(BD1026=1,ROUND(AG1026/60,6),0)</f>
        <v>0</v>
      </c>
      <c r="BH1026" s="80">
        <f>IF(BE1026=1,ROUND(AG1026/60,6),0)</f>
        <v>0</v>
      </c>
      <c r="BI1026" s="80">
        <f>IF(BE1026=1,ROUND(AP1026/60,6),0)</f>
        <v>0</v>
      </c>
      <c r="BJ1026" s="80">
        <f>IF(BE1026=1,ROUND(AQ1026/60,6),0)</f>
        <v>0</v>
      </c>
      <c r="BK1026" s="80">
        <f>IF(BE1026=1,ROUND((AR1026+AS1026)/60,6),0)</f>
        <v>0</v>
      </c>
      <c r="BL1026" s="80">
        <f>ROUND(BH1026-BK1026,6)</f>
        <v>0</v>
      </c>
      <c r="BM1026" s="80">
        <f>IF(BE1026=1,ROUND(AR1026/60,6),0)</f>
        <v>0</v>
      </c>
      <c r="BN1026" s="80">
        <f>ROUND(BI1026-BM1026,6)</f>
        <v>0</v>
      </c>
      <c r="BO1026" s="80">
        <f>IF(BE1026=1,ROUND(AS1026/60,6),0)</f>
        <v>0</v>
      </c>
      <c r="BP1026" s="80">
        <f>ROUND(BJ1026-BO1026,6)</f>
        <v>0</v>
      </c>
      <c r="BQ1026" s="80">
        <f>IF(BE1026=1,AW1026,0)</f>
        <v>0</v>
      </c>
      <c r="BR1026" s="80">
        <f>IF(BE1026=1,AX1026,0)</f>
        <v>0</v>
      </c>
      <c r="BS1026" s="80">
        <f>IF(AND(BE1026=1,D1026="Malcolm",BA1026&gt;0),MIN(BH1026,SUMPRODUCT((R_Emp="proMX")*(R_EN&gt;0)*((R_EN-(R_EN&gt;BR1026)*(R_EN-BR1026))&gt;(R_SN+(R_SN&lt;BQ1026)*(BQ1026-R_SN)))*((R_EN-(R_EN&gt;BR1026)*(R_EN-BR1026))-(R_SN+(R_SN&lt;BQ1026)*(BQ1026-R_SN))))/60),0)</f>
        <v>0</v>
      </c>
      <c r="BT1026" s="80">
        <f>IF(AND(BE1026=1,D1026="proMX"),ROUND(BI1026*CFG_RATE+BJ1026*CFG_OTRATE,6),0)</f>
        <v>0</v>
      </c>
      <c r="BU1026" s="80">
        <f>IF(AND(BD1026=1,D1026="proMX"),ROUND(AG1026/CFG_BLK,6),0)</f>
        <v>0</v>
      </c>
      <c r="BV1026" s="80" t="str">
        <f>IF(BF1026="Approved",IF(ISNUMBER(T1026),INT(T1026),INT(B1026)),"")</f>
        <v/>
      </c>
      <c r="BW1026" s="80">
        <f>IF(ISNUMBER(B1026),IF(DB_MON="Todos",1,IF(AND(INT(B1026)&gt;=DB_MS,INT(B1026)&lt;=DB_ME),1,0)),0)</f>
        <v>0</v>
      </c>
      <c r="BX1026" s="80">
        <f>IF(DB_PROJ="Todos",1,IF(E1026&amp;""=DB_PROJ&amp;"",1,0))</f>
        <v>1</v>
      </c>
      <c r="BY1026" s="80">
        <f>BW1026*BX1026</f>
        <v>0</v>
      </c>
      <c r="BZ1026" s="80" t="str">
        <f>IF(Y1026=1,F1026&amp;IF(AND(F1026&amp;""&lt;&gt;"",E1026&amp;""&lt;&gt;"")," · ","")&amp;E1026,"")</f>
        <v/>
      </c>
      <c r="CA1026" s="80" t="str">
        <f>IF(AND(BD1026=1,E1026&amp;""&lt;&gt;""),IF(COUNTIFS($E$5:E1025,E1026,$BD$5:BD1025,1)=0,MAX($CA$5:CA1025)+1,""),"")</f>
        <v/>
      </c>
      <c r="CB1026" s="80" t="str">
        <f>IF(AND(BE1026=1,D1026="Malcolm",E1026&amp;""&lt;&gt;""),IF(COUNTIFS($D$5:D1025,"Malcolm",$E$5:E1025,E1026,$BE$5:BE1025,1)=0,MAX($CB$5:CB1025)+1,""),"")</f>
        <v/>
      </c>
      <c r="CC1026" s="80" t="str">
        <f>IF(AND(BD1026=1,D1026="proMX",E1026&amp;""&lt;&gt;""),IF(COUNTIFS($D$5:D1025,"proMX",$E$5:E1025,E1026,$BD$5:BD1025,1)=0,MAX($CC$5:CC1025)+1,""),"")</f>
        <v/>
      </c>
      <c r="CD1026" s="80" t="str">
        <f>IF(AND(BE1026=1,D1026="Malcolm",F1026&amp;""&lt;&gt;""),IF(COUNTIFS($D$5:D1025,"Malcolm",$F$5:F1025,F1026,$BE$5:BE1025,1)=0,MAX($CD$5:CD1025)+1,""),"")</f>
        <v/>
      </c>
      <c r="CE1026" s="80" t="str">
        <f>IF(AND(BD1026=1,D1026="proMX",F1026&amp;""&lt;&gt;""),IF(COUNTIFS($D$5:D1025,"proMX",$F$5:F1025,F1026,$BD$5:BD1025,1)=0,MAX($CE$5:CE1025)+1,""),"")</f>
        <v/>
      </c>
      <c r="CF1026" s="80" t="str">
        <f>IF(AND(D1026="proMX",BD1026=1),IF(OR(BF1026="Draft",BF1026="Submitted",BF1026="Returned",BF1026="Recall Requested"),MAX($CF$5:CF1025)+1,""),"")</f>
        <v/>
      </c>
      <c r="CG1026" s="80">
        <f>IF(BD1026=0,0,IF(D1026="Malcolm",1,MATCH(BF1026,{"Draft","Submitted","Approved","Returned","Recall Requested","Cancelled"},0)+1))</f>
        <v>0</v>
      </c>
      <c r="CH1026" s="80">
        <f>IF(AND(BF1026="Submitted",ISNUMBER(V1026)),IF(V1026&gt;CFG_MAXD,1,0),0)</f>
        <v>0</v>
      </c>
    </row>
    <row r="1027">
      <c r="A1027" s="71" t="str">
        <f>IF(Y1027=1,ROW()-5,"")</f>
        <v/>
      </c>
      <c r="B1027" s="72" t="n"/>
      <c r="C1027" s="71" t="str">
        <f>IF(ISNUMBER(B1027),CHOOSE(WEEKDAY(B1027,2),"Lun","Mar","Mié","Jue","Vie","Sáb","Dom"),"")</f>
        <v/>
      </c>
      <c r="D1027" s="73" t="n"/>
      <c r="E1027" s="74" t="n"/>
      <c r="F1027" s="74" t="n"/>
      <c r="G1027" s="74" t="n"/>
      <c r="H1027" s="75" t="n"/>
      <c r="I1027" s="75" t="n"/>
      <c r="J1027" s="76" t="n"/>
      <c r="K1027" s="77" t="str">
        <f>IF(AB1027=1,ROUND(AG1027/60,4),"")</f>
        <v/>
      </c>
      <c r="L1027" s="77" t="str">
        <f>IF(BD1027=1,ROUND(AP1027/60,4),"")</f>
        <v/>
      </c>
      <c r="M1027" s="77" t="str">
        <f>IF(BD1027=1,ROUND(AQ1027/60,4),"")</f>
        <v/>
      </c>
      <c r="N1027" s="71" t="str">
        <f>IF(AND(D1027="proMX",AB1027=1),ROUND(AG1027/CFG_BLK,2),"")</f>
        <v/>
      </c>
      <c r="O1027" s="77" t="str">
        <f>IF(D1027="proMX",IF(BD1027=1,ROUND(AG1027/60,4),0),"")</f>
        <v/>
      </c>
      <c r="P1027" s="78" t="str">
        <f>IF(Y1027=0,"",IF(BD1027=1,"OK",IF(D1027="proMX","Revisar bloques: ","Revisar: ")&amp;BC1027))</f>
        <v/>
      </c>
      <c r="Q1027" s="78" t="str">
        <f>IF(NOT(ISNUMBER(B1027)),"",IF(COUNTIFS(FER_F,INT(B1027))&gt;0,"Feriado"&amp;IF(AH1027=1," (laborable)"," (no laborable)"),IF(AH1027=1,"Laborable",IF(WEEKDAY(B1027,2)&gt;5,"Fin de semana","No laborable"))))</f>
        <v/>
      </c>
      <c r="R1027" s="73" t="n"/>
      <c r="S1027" s="72" t="n"/>
      <c r="T1027" s="72" t="n"/>
      <c r="U1027" s="74" t="n"/>
      <c r="V1027" s="79" t="str">
        <f>IF(AND(D1027="proMX",OR(R1027="Submitted",R1027="Recall Requested"),ISNUMBER(S1027)),CFG_TODAY-INT(S1027),"")</f>
        <v/>
      </c>
      <c r="W1027" s="78" t="str">
        <f>IF(BD1027=0,"",IF(BA1027&gt;0,"⚠ Se superpone con un registro de la otra empresa",IF(D1027="Malcolm",IF(COUNTA(R1027,S1027,T1027)&gt;0,"Estado/fechas proMX se ignoran en Malcolm",""),IF(BF1027="Cancelled","Cancelado: excluido de totales",IF(R1027="","Sin estado: se trata como Draft",IF(BF1027="Submitted",IF(ISNUMBER(V1027),IF(V1027&gt;CFG_MAXD,"⚠ "&amp;V1027&amp;" días en Submitted (máx. "&amp;CFG_MAXD&amp;")",""),"Falta fecha de envío"),IF(BF1027="Returned","⚠ Devuelto: corregir y reenviar",IF(BF1027="Recall Requested","Retirada solicitada: pendiente",IF(AND(BF1027="Approved",NOT(ISNUMBER(T1027))),"Falta fecha de aprobación",IF(AND(ISNUMBER(S1027),ISNUMBER(T1027),T1027&lt;S1027),"Aprobación anterior al envío","")))))))))</f>
        <v/>
      </c>
      <c r="Y1027" s="80">
        <f>IF(COUNTA(B1027,D1027,E1027,F1027,G1027,H1027,I1027,J1027,R1027,S1027,T1027)&gt;0,1,0)</f>
        <v>0</v>
      </c>
      <c r="Z1027" s="80" t="str">
        <f>IF(AND(ISNUMBER(H1027),H1027&gt;=0,H1027&lt;1),ROUND(H1027*1440,0),"")</f>
        <v/>
      </c>
      <c r="AA1027" s="80" t="str">
        <f>IF(AND(ISNUMBER(I1027),I1027&gt;=0,I1027&lt;1),ROUND(I1027*1440,0),"")</f>
        <v/>
      </c>
      <c r="AB1027" s="80">
        <f>IF(AND(ISNUMBER(B1027),D1027&lt;&gt;"",ISNUMBER(Z1027),ISNUMBER(AA1027)),IF(Z1027=AA1027,0,1),0)</f>
        <v>0</v>
      </c>
      <c r="AC1027" s="80">
        <f>IF(AB1027=1,IF(AA1027&lt;Z1027,1,0),0)</f>
        <v>0</v>
      </c>
      <c r="AD1027" s="80">
        <f>IF(AB1027=1,IF(AC1027=1,1440-Z1027+AA1027,AA1027-Z1027),0)</f>
        <v>0</v>
      </c>
      <c r="AE1027" s="80">
        <f>IF(J1027="",0,IF(ISNUMBER(J1027),J1027,-1))</f>
        <v>0</v>
      </c>
      <c r="AF1027" s="80">
        <f>MIN(MAX(0,AE1027),AD1027)</f>
        <v>0</v>
      </c>
      <c r="AG1027" s="80">
        <f>MAX(0,AD1027-MAX(0,AE1027))</f>
        <v>0</v>
      </c>
      <c r="AH1027" s="80">
        <f>IF(ISNUMBER(B1027),IF(AND(INDEX(CFG_WDAYS,WEEKDAY(INT(B1027),2))="Sí",IF(D1027="proMX",COUNTIFS(FER_F,INT(B1027),FER_NLP,"Sí"),COUNTIFS(FER_F,INT(B1027),FER_NLM,"Sí"))=0),1,0),0)</f>
        <v>0</v>
      </c>
      <c r="AI1027" s="80">
        <f>IF(AC1027=1,IF(AND(INDEX(CFG_WDAYS,WEEKDAY(INT(B1027)+1,2))="Sí",IF(D1027="proMX",COUNTIFS(FER_F,INT(B1027)+1,FER_NLP,"Sí"),COUNTIFS(FER_F,INT(B1027)+1,FER_NLM,"Sí"))=0),1,0),0)</f>
        <v>0</v>
      </c>
      <c r="AJ1027" s="80">
        <f>IF(AC1027=1,1440-Z1027,AD1027)</f>
        <v>0</v>
      </c>
      <c r="AK1027" s="80">
        <f>IF(AND(AB1027=1,AH1027=1),MAX(0,MIN(IF(AC1027=1,1440,AA1027),CFG_WEM)-MAX(Z1027,CFG_WSM)),0)</f>
        <v>0</v>
      </c>
      <c r="AL1027" s="80">
        <f>IF(AND(AC1027=1,AI1027=1),MAX(0,MIN(AA1027,CFG_WEM)-CFG_WSM),0)</f>
        <v>0</v>
      </c>
      <c r="AM1027" s="80">
        <f>AK1027+AL1027</f>
        <v>0</v>
      </c>
      <c r="AN1027" s="80">
        <f>IF(CFG_BRK="Proporcional",IF(AD1027=0,0,AF1027*AM1027/AD1027),IF(CFG_BRK="Extras primero",MIN(AM1027,MAX(0,AF1027-(AD1027-AM1027))),MIN(AF1027,AM1027)))</f>
        <v>0</v>
      </c>
      <c r="AO1027" s="80">
        <f>AF1027-AN1027</f>
        <v>0</v>
      </c>
      <c r="AP1027" s="80">
        <f>AM1027-AN1027</f>
        <v>0</v>
      </c>
      <c r="AQ1027" s="80">
        <f>AD1027-AM1027-AO1027</f>
        <v>0</v>
      </c>
      <c r="AR1027" s="80">
        <f>IF(AM1027=0,0,AK1027-AN1027*AK1027/AM1027)</f>
        <v>0</v>
      </c>
      <c r="AS1027" s="80">
        <f>IF(AD1027-AM1027=0,0,(AJ1027-AK1027)-AO1027*(AJ1027-AK1027)/(AD1027-AM1027))</f>
        <v>0</v>
      </c>
      <c r="AT1027" s="80" t="str">
        <f>IF(AC1027=1,INT(B1027)+1,"")</f>
        <v/>
      </c>
      <c r="AU1027" s="80">
        <f>IF(AND(D1027="proMX",R1027="Cancelled"),0,1)</f>
        <v>1</v>
      </c>
      <c r="AV1027" s="80">
        <f>IF(AND(AB1027=1,AU1027=1),IF(COUNTIFS($D$5:D1026,D1027,$B$5:B1026,B1027,$Z$5:Z1026,Z1027,$AA$5:AA1026,AA1027,$F$5:F1026,F1027&amp;"",$AU$5:AU1026,1)&gt;0,1,0),0)</f>
        <v>0</v>
      </c>
      <c r="AW1027" s="80" t="str">
        <f>IF(AB1027=1,INT(B1027)*1440+Z1027,"")</f>
        <v/>
      </c>
      <c r="AX1027" s="80" t="str">
        <f>IF(AB1027=1,AW1027+AD1027,"")</f>
        <v/>
      </c>
      <c r="AY1027" s="80">
        <f>IF(AND(AB1027=1,AV1027=0,AU1027=1),1,0)</f>
        <v>0</v>
      </c>
      <c r="AZ1027" s="80">
        <f>IF(AY1027=1,COUNTIFS(R_Emp,D1027,R_SAbs,"&lt;"&amp;AX1027,R_EAbs,"&gt;"&amp;AW1027,R_OKey,1)-1,0)</f>
        <v>0</v>
      </c>
      <c r="BA1027" s="80">
        <f>IF(AY1027=1,COUNTIFS(R_Emp,"&lt;&gt;"&amp;D1027,R_SAbs,"&lt;"&amp;AX1027,R_EAbs,"&gt;"&amp;AW1027,R_OKey,1),0)</f>
        <v>0</v>
      </c>
      <c r="BB1027" s="80">
        <f>IF(AND(AB1027=1,D1027="proMX"),IF(AND(MOD(Z1027,CFG_BLK)=0,MOD(AA1027,CFG_BLK)=0,MOD(AG1027,CFG_BLK)=0,AG1027&gt;0),1,0),1)</f>
        <v>1</v>
      </c>
      <c r="BC1027" s="80" t="str">
        <f>IF(Y1027=0,"",IF(NOT(ISNUMBER(B1027)),"Falta fecha o fecha inválida",IF(D1027="","Falta empresa",IF(AND(D1027&lt;&gt;"Malcolm",D1027&lt;&gt;"proMX"),"Empresa inválida",IF(OR(INT(B1027)&lt;CFG_PSTART,INT(B1027)&gt;CFG_PEND),"Fecha fuera del período",IF(OR(NOT(ISNUMBER(Z1027)),NOT(ISNUMBER(AA1027))),"Falta hora inicio/fin o formato inválido",IF(AB1027=0,"Hora inicio = hora fin",IF(AE1027&lt;0,"Descanso inválido",IF(AE1027&gt;=AD1027,"Descanso ≥ duración",IF(AV1027=1,"Registro duplicado",IF(AZ1027&gt;0,"Se superpone con otro registro "&amp;D1027,IF(BB1027=0,"inicio, fin y duración neta deben ser múltiplos de "&amp;CFG_BLK&amp;" min",""))))))))))))</f>
        <v/>
      </c>
      <c r="BD1027" s="80">
        <f>IF(AND(Y1027=1,BC1027=""),1,0)</f>
        <v>0</v>
      </c>
      <c r="BE1027" s="80">
        <f>IF(AND(BD1027=1,AU1027=1),1,0)</f>
        <v>0</v>
      </c>
      <c r="BF1027" s="80" t="str">
        <f>IF(AND(D1027="proMX",BD1027=1),IF(R1027="","Draft",R1027),"")</f>
        <v/>
      </c>
      <c r="BG1027" s="80">
        <f>IF(BD1027=1,ROUND(AG1027/60,6),0)</f>
        <v>0</v>
      </c>
      <c r="BH1027" s="80">
        <f>IF(BE1027=1,ROUND(AG1027/60,6),0)</f>
        <v>0</v>
      </c>
      <c r="BI1027" s="80">
        <f>IF(BE1027=1,ROUND(AP1027/60,6),0)</f>
        <v>0</v>
      </c>
      <c r="BJ1027" s="80">
        <f>IF(BE1027=1,ROUND(AQ1027/60,6),0)</f>
        <v>0</v>
      </c>
      <c r="BK1027" s="80">
        <f>IF(BE1027=1,ROUND((AR1027+AS1027)/60,6),0)</f>
        <v>0</v>
      </c>
      <c r="BL1027" s="80">
        <f>ROUND(BH1027-BK1027,6)</f>
        <v>0</v>
      </c>
      <c r="BM1027" s="80">
        <f>IF(BE1027=1,ROUND(AR1027/60,6),0)</f>
        <v>0</v>
      </c>
      <c r="BN1027" s="80">
        <f>ROUND(BI1027-BM1027,6)</f>
        <v>0</v>
      </c>
      <c r="BO1027" s="80">
        <f>IF(BE1027=1,ROUND(AS1027/60,6),0)</f>
        <v>0</v>
      </c>
      <c r="BP1027" s="80">
        <f>ROUND(BJ1027-BO1027,6)</f>
        <v>0</v>
      </c>
      <c r="BQ1027" s="80">
        <f>IF(BE1027=1,AW1027,0)</f>
        <v>0</v>
      </c>
      <c r="BR1027" s="80">
        <f>IF(BE1027=1,AX1027,0)</f>
        <v>0</v>
      </c>
      <c r="BS1027" s="80">
        <f>IF(AND(BE1027=1,D1027="Malcolm",BA1027&gt;0),MIN(BH1027,SUMPRODUCT((R_Emp="proMX")*(R_EN&gt;0)*((R_EN-(R_EN&gt;BR1027)*(R_EN-BR1027))&gt;(R_SN+(R_SN&lt;BQ1027)*(BQ1027-R_SN)))*((R_EN-(R_EN&gt;BR1027)*(R_EN-BR1027))-(R_SN+(R_SN&lt;BQ1027)*(BQ1027-R_SN))))/60),0)</f>
        <v>0</v>
      </c>
      <c r="BT1027" s="80">
        <f>IF(AND(BE1027=1,D1027="proMX"),ROUND(BI1027*CFG_RATE+BJ1027*CFG_OTRATE,6),0)</f>
        <v>0</v>
      </c>
      <c r="BU1027" s="80">
        <f>IF(AND(BD1027=1,D1027="proMX"),ROUND(AG1027/CFG_BLK,6),0)</f>
        <v>0</v>
      </c>
      <c r="BV1027" s="80" t="str">
        <f>IF(BF1027="Approved",IF(ISNUMBER(T1027),INT(T1027),INT(B1027)),"")</f>
        <v/>
      </c>
      <c r="BW1027" s="80">
        <f>IF(ISNUMBER(B1027),IF(DB_MON="Todos",1,IF(AND(INT(B1027)&gt;=DB_MS,INT(B1027)&lt;=DB_ME),1,0)),0)</f>
        <v>0</v>
      </c>
      <c r="BX1027" s="80">
        <f>IF(DB_PROJ="Todos",1,IF(E1027&amp;""=DB_PROJ&amp;"",1,0))</f>
        <v>1</v>
      </c>
      <c r="BY1027" s="80">
        <f>BW1027*BX1027</f>
        <v>0</v>
      </c>
      <c r="BZ1027" s="80" t="str">
        <f>IF(Y1027=1,F1027&amp;IF(AND(F1027&amp;""&lt;&gt;"",E1027&amp;""&lt;&gt;"")," · ","")&amp;E1027,"")</f>
        <v/>
      </c>
      <c r="CA1027" s="80" t="str">
        <f>IF(AND(BD1027=1,E1027&amp;""&lt;&gt;""),IF(COUNTIFS($E$5:E1026,E1027,$BD$5:BD1026,1)=0,MAX($CA$5:CA1026)+1,""),"")</f>
        <v/>
      </c>
      <c r="CB1027" s="80" t="str">
        <f>IF(AND(BE1027=1,D1027="Malcolm",E1027&amp;""&lt;&gt;""),IF(COUNTIFS($D$5:D1026,"Malcolm",$E$5:E1026,E1027,$BE$5:BE1026,1)=0,MAX($CB$5:CB1026)+1,""),"")</f>
        <v/>
      </c>
      <c r="CC1027" s="80" t="str">
        <f>IF(AND(BD1027=1,D1027="proMX",E1027&amp;""&lt;&gt;""),IF(COUNTIFS($D$5:D1026,"proMX",$E$5:E1026,E1027,$BD$5:BD1026,1)=0,MAX($CC$5:CC1026)+1,""),"")</f>
        <v/>
      </c>
      <c r="CD1027" s="80" t="str">
        <f>IF(AND(BE1027=1,D1027="Malcolm",F1027&amp;""&lt;&gt;""),IF(COUNTIFS($D$5:D1026,"Malcolm",$F$5:F1026,F1027,$BE$5:BE1026,1)=0,MAX($CD$5:CD1026)+1,""),"")</f>
        <v/>
      </c>
      <c r="CE1027" s="80" t="str">
        <f>IF(AND(BD1027=1,D1027="proMX",F1027&amp;""&lt;&gt;""),IF(COUNTIFS($D$5:D1026,"proMX",$F$5:F1026,F1027,$BD$5:BD1026,1)=0,MAX($CE$5:CE1026)+1,""),"")</f>
        <v/>
      </c>
      <c r="CF1027" s="80" t="str">
        <f>IF(AND(D1027="proMX",BD1027=1),IF(OR(BF1027="Draft",BF1027="Submitted",BF1027="Returned",BF1027="Recall Requested"),MAX($CF$5:CF1026)+1,""),"")</f>
        <v/>
      </c>
      <c r="CG1027" s="80">
        <f>IF(BD1027=0,0,IF(D1027="Malcolm",1,MATCH(BF1027,{"Draft","Submitted","Approved","Returned","Recall Requested","Cancelled"},0)+1))</f>
        <v>0</v>
      </c>
      <c r="CH1027" s="80">
        <f>IF(AND(BF1027="Submitted",ISNUMBER(V1027)),IF(V1027&gt;CFG_MAXD,1,0),0)</f>
        <v>0</v>
      </c>
    </row>
    <row r="1028">
      <c r="A1028" s="71" t="str">
        <f>IF(Y1028=1,ROW()-5,"")</f>
        <v/>
      </c>
      <c r="B1028" s="72" t="n"/>
      <c r="C1028" s="71" t="str">
        <f>IF(ISNUMBER(B1028),CHOOSE(WEEKDAY(B1028,2),"Lun","Mar","Mié","Jue","Vie","Sáb","Dom"),"")</f>
        <v/>
      </c>
      <c r="D1028" s="73" t="n"/>
      <c r="E1028" s="74" t="n"/>
      <c r="F1028" s="74" t="n"/>
      <c r="G1028" s="74" t="n"/>
      <c r="H1028" s="75" t="n"/>
      <c r="I1028" s="75" t="n"/>
      <c r="J1028" s="76" t="n"/>
      <c r="K1028" s="77" t="str">
        <f>IF(AB1028=1,ROUND(AG1028/60,4),"")</f>
        <v/>
      </c>
      <c r="L1028" s="77" t="str">
        <f>IF(BD1028=1,ROUND(AP1028/60,4),"")</f>
        <v/>
      </c>
      <c r="M1028" s="77" t="str">
        <f>IF(BD1028=1,ROUND(AQ1028/60,4),"")</f>
        <v/>
      </c>
      <c r="N1028" s="71" t="str">
        <f>IF(AND(D1028="proMX",AB1028=1),ROUND(AG1028/CFG_BLK,2),"")</f>
        <v/>
      </c>
      <c r="O1028" s="77" t="str">
        <f>IF(D1028="proMX",IF(BD1028=1,ROUND(AG1028/60,4),0),"")</f>
        <v/>
      </c>
      <c r="P1028" s="78" t="str">
        <f>IF(Y1028=0,"",IF(BD1028=1,"OK",IF(D1028="proMX","Revisar bloques: ","Revisar: ")&amp;BC1028))</f>
        <v/>
      </c>
      <c r="Q1028" s="78" t="str">
        <f>IF(NOT(ISNUMBER(B1028)),"",IF(COUNTIFS(FER_F,INT(B1028))&gt;0,"Feriado"&amp;IF(AH1028=1," (laborable)"," (no laborable)"),IF(AH1028=1,"Laborable",IF(WEEKDAY(B1028,2)&gt;5,"Fin de semana","No laborable"))))</f>
        <v/>
      </c>
      <c r="R1028" s="73" t="n"/>
      <c r="S1028" s="72" t="n"/>
      <c r="T1028" s="72" t="n"/>
      <c r="U1028" s="74" t="n"/>
      <c r="V1028" s="79" t="str">
        <f>IF(AND(D1028="proMX",OR(R1028="Submitted",R1028="Recall Requested"),ISNUMBER(S1028)),CFG_TODAY-INT(S1028),"")</f>
        <v/>
      </c>
      <c r="W1028" s="78" t="str">
        <f>IF(BD1028=0,"",IF(BA1028&gt;0,"⚠ Se superpone con un registro de la otra empresa",IF(D1028="Malcolm",IF(COUNTA(R1028,S1028,T1028)&gt;0,"Estado/fechas proMX se ignoran en Malcolm",""),IF(BF1028="Cancelled","Cancelado: excluido de totales",IF(R1028="","Sin estado: se trata como Draft",IF(BF1028="Submitted",IF(ISNUMBER(V1028),IF(V1028&gt;CFG_MAXD,"⚠ "&amp;V1028&amp;" días en Submitted (máx. "&amp;CFG_MAXD&amp;")",""),"Falta fecha de envío"),IF(BF1028="Returned","⚠ Devuelto: corregir y reenviar",IF(BF1028="Recall Requested","Retirada solicitada: pendiente",IF(AND(BF1028="Approved",NOT(ISNUMBER(T1028))),"Falta fecha de aprobación",IF(AND(ISNUMBER(S1028),ISNUMBER(T1028),T1028&lt;S1028),"Aprobación anterior al envío","")))))))))</f>
        <v/>
      </c>
      <c r="Y1028" s="80">
        <f>IF(COUNTA(B1028,D1028,E1028,F1028,G1028,H1028,I1028,J1028,R1028,S1028,T1028)&gt;0,1,0)</f>
        <v>0</v>
      </c>
      <c r="Z1028" s="80" t="str">
        <f>IF(AND(ISNUMBER(H1028),H1028&gt;=0,H1028&lt;1),ROUND(H1028*1440,0),"")</f>
        <v/>
      </c>
      <c r="AA1028" s="80" t="str">
        <f>IF(AND(ISNUMBER(I1028),I1028&gt;=0,I1028&lt;1),ROUND(I1028*1440,0),"")</f>
        <v/>
      </c>
      <c r="AB1028" s="80">
        <f>IF(AND(ISNUMBER(B1028),D1028&lt;&gt;"",ISNUMBER(Z1028),ISNUMBER(AA1028)),IF(Z1028=AA1028,0,1),0)</f>
        <v>0</v>
      </c>
      <c r="AC1028" s="80">
        <f>IF(AB1028=1,IF(AA1028&lt;Z1028,1,0),0)</f>
        <v>0</v>
      </c>
      <c r="AD1028" s="80">
        <f>IF(AB1028=1,IF(AC1028=1,1440-Z1028+AA1028,AA1028-Z1028),0)</f>
        <v>0</v>
      </c>
      <c r="AE1028" s="80">
        <f>IF(J1028="",0,IF(ISNUMBER(J1028),J1028,-1))</f>
        <v>0</v>
      </c>
      <c r="AF1028" s="80">
        <f>MIN(MAX(0,AE1028),AD1028)</f>
        <v>0</v>
      </c>
      <c r="AG1028" s="80">
        <f>MAX(0,AD1028-MAX(0,AE1028))</f>
        <v>0</v>
      </c>
      <c r="AH1028" s="80">
        <f>IF(ISNUMBER(B1028),IF(AND(INDEX(CFG_WDAYS,WEEKDAY(INT(B1028),2))="Sí",IF(D1028="proMX",COUNTIFS(FER_F,INT(B1028),FER_NLP,"Sí"),COUNTIFS(FER_F,INT(B1028),FER_NLM,"Sí"))=0),1,0),0)</f>
        <v>0</v>
      </c>
      <c r="AI1028" s="80">
        <f>IF(AC1028=1,IF(AND(INDEX(CFG_WDAYS,WEEKDAY(INT(B1028)+1,2))="Sí",IF(D1028="proMX",COUNTIFS(FER_F,INT(B1028)+1,FER_NLP,"Sí"),COUNTIFS(FER_F,INT(B1028)+1,FER_NLM,"Sí"))=0),1,0),0)</f>
        <v>0</v>
      </c>
      <c r="AJ1028" s="80">
        <f>IF(AC1028=1,1440-Z1028,AD1028)</f>
        <v>0</v>
      </c>
      <c r="AK1028" s="80">
        <f>IF(AND(AB1028=1,AH1028=1),MAX(0,MIN(IF(AC1028=1,1440,AA1028),CFG_WEM)-MAX(Z1028,CFG_WSM)),0)</f>
        <v>0</v>
      </c>
      <c r="AL1028" s="80">
        <f>IF(AND(AC1028=1,AI1028=1),MAX(0,MIN(AA1028,CFG_WEM)-CFG_WSM),0)</f>
        <v>0</v>
      </c>
      <c r="AM1028" s="80">
        <f>AK1028+AL1028</f>
        <v>0</v>
      </c>
      <c r="AN1028" s="80">
        <f>IF(CFG_BRK="Proporcional",IF(AD1028=0,0,AF1028*AM1028/AD1028),IF(CFG_BRK="Extras primero",MIN(AM1028,MAX(0,AF1028-(AD1028-AM1028))),MIN(AF1028,AM1028)))</f>
        <v>0</v>
      </c>
      <c r="AO1028" s="80">
        <f>AF1028-AN1028</f>
        <v>0</v>
      </c>
      <c r="AP1028" s="80">
        <f>AM1028-AN1028</f>
        <v>0</v>
      </c>
      <c r="AQ1028" s="80">
        <f>AD1028-AM1028-AO1028</f>
        <v>0</v>
      </c>
      <c r="AR1028" s="80">
        <f>IF(AM1028=0,0,AK1028-AN1028*AK1028/AM1028)</f>
        <v>0</v>
      </c>
      <c r="AS1028" s="80">
        <f>IF(AD1028-AM1028=0,0,(AJ1028-AK1028)-AO1028*(AJ1028-AK1028)/(AD1028-AM1028))</f>
        <v>0</v>
      </c>
      <c r="AT1028" s="80" t="str">
        <f>IF(AC1028=1,INT(B1028)+1,"")</f>
        <v/>
      </c>
      <c r="AU1028" s="80">
        <f>IF(AND(D1028="proMX",R1028="Cancelled"),0,1)</f>
        <v>1</v>
      </c>
      <c r="AV1028" s="80">
        <f>IF(AND(AB1028=1,AU1028=1),IF(COUNTIFS($D$5:D1027,D1028,$B$5:B1027,B1028,$Z$5:Z1027,Z1028,$AA$5:AA1027,AA1028,$F$5:F1027,F1028&amp;"",$AU$5:AU1027,1)&gt;0,1,0),0)</f>
        <v>0</v>
      </c>
      <c r="AW1028" s="80" t="str">
        <f>IF(AB1028=1,INT(B1028)*1440+Z1028,"")</f>
        <v/>
      </c>
      <c r="AX1028" s="80" t="str">
        <f>IF(AB1028=1,AW1028+AD1028,"")</f>
        <v/>
      </c>
      <c r="AY1028" s="80">
        <f>IF(AND(AB1028=1,AV1028=0,AU1028=1),1,0)</f>
        <v>0</v>
      </c>
      <c r="AZ1028" s="80">
        <f>IF(AY1028=1,COUNTIFS(R_Emp,D1028,R_SAbs,"&lt;"&amp;AX1028,R_EAbs,"&gt;"&amp;AW1028,R_OKey,1)-1,0)</f>
        <v>0</v>
      </c>
      <c r="BA1028" s="80">
        <f>IF(AY1028=1,COUNTIFS(R_Emp,"&lt;&gt;"&amp;D1028,R_SAbs,"&lt;"&amp;AX1028,R_EAbs,"&gt;"&amp;AW1028,R_OKey,1),0)</f>
        <v>0</v>
      </c>
      <c r="BB1028" s="80">
        <f>IF(AND(AB1028=1,D1028="proMX"),IF(AND(MOD(Z1028,CFG_BLK)=0,MOD(AA1028,CFG_BLK)=0,MOD(AG1028,CFG_BLK)=0,AG1028&gt;0),1,0),1)</f>
        <v>1</v>
      </c>
      <c r="BC1028" s="80" t="str">
        <f>IF(Y1028=0,"",IF(NOT(ISNUMBER(B1028)),"Falta fecha o fecha inválida",IF(D1028="","Falta empresa",IF(AND(D1028&lt;&gt;"Malcolm",D1028&lt;&gt;"proMX"),"Empresa inválida",IF(OR(INT(B1028)&lt;CFG_PSTART,INT(B1028)&gt;CFG_PEND),"Fecha fuera del período",IF(OR(NOT(ISNUMBER(Z1028)),NOT(ISNUMBER(AA1028))),"Falta hora inicio/fin o formato inválido",IF(AB1028=0,"Hora inicio = hora fin",IF(AE1028&lt;0,"Descanso inválido",IF(AE1028&gt;=AD1028,"Descanso ≥ duración",IF(AV1028=1,"Registro duplicado",IF(AZ1028&gt;0,"Se superpone con otro registro "&amp;D1028,IF(BB1028=0,"inicio, fin y duración neta deben ser múltiplos de "&amp;CFG_BLK&amp;" min",""))))))))))))</f>
        <v/>
      </c>
      <c r="BD1028" s="80">
        <f>IF(AND(Y1028=1,BC1028=""),1,0)</f>
        <v>0</v>
      </c>
      <c r="BE1028" s="80">
        <f>IF(AND(BD1028=1,AU1028=1),1,0)</f>
        <v>0</v>
      </c>
      <c r="BF1028" s="80" t="str">
        <f>IF(AND(D1028="proMX",BD1028=1),IF(R1028="","Draft",R1028),"")</f>
        <v/>
      </c>
      <c r="BG1028" s="80">
        <f>IF(BD1028=1,ROUND(AG1028/60,6),0)</f>
        <v>0</v>
      </c>
      <c r="BH1028" s="80">
        <f>IF(BE1028=1,ROUND(AG1028/60,6),0)</f>
        <v>0</v>
      </c>
      <c r="BI1028" s="80">
        <f>IF(BE1028=1,ROUND(AP1028/60,6),0)</f>
        <v>0</v>
      </c>
      <c r="BJ1028" s="80">
        <f>IF(BE1028=1,ROUND(AQ1028/60,6),0)</f>
        <v>0</v>
      </c>
      <c r="BK1028" s="80">
        <f>IF(BE1028=1,ROUND((AR1028+AS1028)/60,6),0)</f>
        <v>0</v>
      </c>
      <c r="BL1028" s="80">
        <f>ROUND(BH1028-BK1028,6)</f>
        <v>0</v>
      </c>
      <c r="BM1028" s="80">
        <f>IF(BE1028=1,ROUND(AR1028/60,6),0)</f>
        <v>0</v>
      </c>
      <c r="BN1028" s="80">
        <f>ROUND(BI1028-BM1028,6)</f>
        <v>0</v>
      </c>
      <c r="BO1028" s="80">
        <f>IF(BE1028=1,ROUND(AS1028/60,6),0)</f>
        <v>0</v>
      </c>
      <c r="BP1028" s="80">
        <f>ROUND(BJ1028-BO1028,6)</f>
        <v>0</v>
      </c>
      <c r="BQ1028" s="80">
        <f>IF(BE1028=1,AW1028,0)</f>
        <v>0</v>
      </c>
      <c r="BR1028" s="80">
        <f>IF(BE1028=1,AX1028,0)</f>
        <v>0</v>
      </c>
      <c r="BS1028" s="80">
        <f>IF(AND(BE1028=1,D1028="Malcolm",BA1028&gt;0),MIN(BH1028,SUMPRODUCT((R_Emp="proMX")*(R_EN&gt;0)*((R_EN-(R_EN&gt;BR1028)*(R_EN-BR1028))&gt;(R_SN+(R_SN&lt;BQ1028)*(BQ1028-R_SN)))*((R_EN-(R_EN&gt;BR1028)*(R_EN-BR1028))-(R_SN+(R_SN&lt;BQ1028)*(BQ1028-R_SN))))/60),0)</f>
        <v>0</v>
      </c>
      <c r="BT1028" s="80">
        <f>IF(AND(BE1028=1,D1028="proMX"),ROUND(BI1028*CFG_RATE+BJ1028*CFG_OTRATE,6),0)</f>
        <v>0</v>
      </c>
      <c r="BU1028" s="80">
        <f>IF(AND(BD1028=1,D1028="proMX"),ROUND(AG1028/CFG_BLK,6),0)</f>
        <v>0</v>
      </c>
      <c r="BV1028" s="80" t="str">
        <f>IF(BF1028="Approved",IF(ISNUMBER(T1028),INT(T1028),INT(B1028)),"")</f>
        <v/>
      </c>
      <c r="BW1028" s="80">
        <f>IF(ISNUMBER(B1028),IF(DB_MON="Todos",1,IF(AND(INT(B1028)&gt;=DB_MS,INT(B1028)&lt;=DB_ME),1,0)),0)</f>
        <v>0</v>
      </c>
      <c r="BX1028" s="80">
        <f>IF(DB_PROJ="Todos",1,IF(E1028&amp;""=DB_PROJ&amp;"",1,0))</f>
        <v>1</v>
      </c>
      <c r="BY1028" s="80">
        <f>BW1028*BX1028</f>
        <v>0</v>
      </c>
      <c r="BZ1028" s="80" t="str">
        <f>IF(Y1028=1,F1028&amp;IF(AND(F1028&amp;""&lt;&gt;"",E1028&amp;""&lt;&gt;"")," · ","")&amp;E1028,"")</f>
        <v/>
      </c>
      <c r="CA1028" s="80" t="str">
        <f>IF(AND(BD1028=1,E1028&amp;""&lt;&gt;""),IF(COUNTIFS($E$5:E1027,E1028,$BD$5:BD1027,1)=0,MAX($CA$5:CA1027)+1,""),"")</f>
        <v/>
      </c>
      <c r="CB1028" s="80" t="str">
        <f>IF(AND(BE1028=1,D1028="Malcolm",E1028&amp;""&lt;&gt;""),IF(COUNTIFS($D$5:D1027,"Malcolm",$E$5:E1027,E1028,$BE$5:BE1027,1)=0,MAX($CB$5:CB1027)+1,""),"")</f>
        <v/>
      </c>
      <c r="CC1028" s="80" t="str">
        <f>IF(AND(BD1028=1,D1028="proMX",E1028&amp;""&lt;&gt;""),IF(COUNTIFS($D$5:D1027,"proMX",$E$5:E1027,E1028,$BD$5:BD1027,1)=0,MAX($CC$5:CC1027)+1,""),"")</f>
        <v/>
      </c>
      <c r="CD1028" s="80" t="str">
        <f>IF(AND(BE1028=1,D1028="Malcolm",F1028&amp;""&lt;&gt;""),IF(COUNTIFS($D$5:D1027,"Malcolm",$F$5:F1027,F1028,$BE$5:BE1027,1)=0,MAX($CD$5:CD1027)+1,""),"")</f>
        <v/>
      </c>
      <c r="CE1028" s="80" t="str">
        <f>IF(AND(BD1028=1,D1028="proMX",F1028&amp;""&lt;&gt;""),IF(COUNTIFS($D$5:D1027,"proMX",$F$5:F1027,F1028,$BD$5:BD1027,1)=0,MAX($CE$5:CE1027)+1,""),"")</f>
        <v/>
      </c>
      <c r="CF1028" s="80" t="str">
        <f>IF(AND(D1028="proMX",BD1028=1),IF(OR(BF1028="Draft",BF1028="Submitted",BF1028="Returned",BF1028="Recall Requested"),MAX($CF$5:CF1027)+1,""),"")</f>
        <v/>
      </c>
      <c r="CG1028" s="80">
        <f>IF(BD1028=0,0,IF(D1028="Malcolm",1,MATCH(BF1028,{"Draft","Submitted","Approved","Returned","Recall Requested","Cancelled"},0)+1))</f>
        <v>0</v>
      </c>
      <c r="CH1028" s="80">
        <f>IF(AND(BF1028="Submitted",ISNUMBER(V1028)),IF(V1028&gt;CFG_MAXD,1,0),0)</f>
        <v>0</v>
      </c>
    </row>
    <row r="1029">
      <c r="A1029" s="71" t="str">
        <f>IF(Y1029=1,ROW()-5,"")</f>
        <v/>
      </c>
      <c r="B1029" s="72" t="n"/>
      <c r="C1029" s="71" t="str">
        <f>IF(ISNUMBER(B1029),CHOOSE(WEEKDAY(B1029,2),"Lun","Mar","Mié","Jue","Vie","Sáb","Dom"),"")</f>
        <v/>
      </c>
      <c r="D1029" s="73" t="n"/>
      <c r="E1029" s="74" t="n"/>
      <c r="F1029" s="74" t="n"/>
      <c r="G1029" s="74" t="n"/>
      <c r="H1029" s="75" t="n"/>
      <c r="I1029" s="75" t="n"/>
      <c r="J1029" s="76" t="n"/>
      <c r="K1029" s="77" t="str">
        <f>IF(AB1029=1,ROUND(AG1029/60,4),"")</f>
        <v/>
      </c>
      <c r="L1029" s="77" t="str">
        <f>IF(BD1029=1,ROUND(AP1029/60,4),"")</f>
        <v/>
      </c>
      <c r="M1029" s="77" t="str">
        <f>IF(BD1029=1,ROUND(AQ1029/60,4),"")</f>
        <v/>
      </c>
      <c r="N1029" s="71" t="str">
        <f>IF(AND(D1029="proMX",AB1029=1),ROUND(AG1029/CFG_BLK,2),"")</f>
        <v/>
      </c>
      <c r="O1029" s="77" t="str">
        <f>IF(D1029="proMX",IF(BD1029=1,ROUND(AG1029/60,4),0),"")</f>
        <v/>
      </c>
      <c r="P1029" s="78" t="str">
        <f>IF(Y1029=0,"",IF(BD1029=1,"OK",IF(D1029="proMX","Revisar bloques: ","Revisar: ")&amp;BC1029))</f>
        <v/>
      </c>
      <c r="Q1029" s="78" t="str">
        <f>IF(NOT(ISNUMBER(B1029)),"",IF(COUNTIFS(FER_F,INT(B1029))&gt;0,"Feriado"&amp;IF(AH1029=1," (laborable)"," (no laborable)"),IF(AH1029=1,"Laborable",IF(WEEKDAY(B1029,2)&gt;5,"Fin de semana","No laborable"))))</f>
        <v/>
      </c>
      <c r="R1029" s="73" t="n"/>
      <c r="S1029" s="72" t="n"/>
      <c r="T1029" s="72" t="n"/>
      <c r="U1029" s="74" t="n"/>
      <c r="V1029" s="79" t="str">
        <f>IF(AND(D1029="proMX",OR(R1029="Submitted",R1029="Recall Requested"),ISNUMBER(S1029)),CFG_TODAY-INT(S1029),"")</f>
        <v/>
      </c>
      <c r="W1029" s="78" t="str">
        <f>IF(BD1029=0,"",IF(BA1029&gt;0,"⚠ Se superpone con un registro de la otra empresa",IF(D1029="Malcolm",IF(COUNTA(R1029,S1029,T1029)&gt;0,"Estado/fechas proMX se ignoran en Malcolm",""),IF(BF1029="Cancelled","Cancelado: excluido de totales",IF(R1029="","Sin estado: se trata como Draft",IF(BF1029="Submitted",IF(ISNUMBER(V1029),IF(V1029&gt;CFG_MAXD,"⚠ "&amp;V1029&amp;" días en Submitted (máx. "&amp;CFG_MAXD&amp;")",""),"Falta fecha de envío"),IF(BF1029="Returned","⚠ Devuelto: corregir y reenviar",IF(BF1029="Recall Requested","Retirada solicitada: pendiente",IF(AND(BF1029="Approved",NOT(ISNUMBER(T1029))),"Falta fecha de aprobación",IF(AND(ISNUMBER(S1029),ISNUMBER(T1029),T1029&lt;S1029),"Aprobación anterior al envío","")))))))))</f>
        <v/>
      </c>
      <c r="Y1029" s="80">
        <f>IF(COUNTA(B1029,D1029,E1029,F1029,G1029,H1029,I1029,J1029,R1029,S1029,T1029)&gt;0,1,0)</f>
        <v>0</v>
      </c>
      <c r="Z1029" s="80" t="str">
        <f>IF(AND(ISNUMBER(H1029),H1029&gt;=0,H1029&lt;1),ROUND(H1029*1440,0),"")</f>
        <v/>
      </c>
      <c r="AA1029" s="80" t="str">
        <f>IF(AND(ISNUMBER(I1029),I1029&gt;=0,I1029&lt;1),ROUND(I1029*1440,0),"")</f>
        <v/>
      </c>
      <c r="AB1029" s="80">
        <f>IF(AND(ISNUMBER(B1029),D1029&lt;&gt;"",ISNUMBER(Z1029),ISNUMBER(AA1029)),IF(Z1029=AA1029,0,1),0)</f>
        <v>0</v>
      </c>
      <c r="AC1029" s="80">
        <f>IF(AB1029=1,IF(AA1029&lt;Z1029,1,0),0)</f>
        <v>0</v>
      </c>
      <c r="AD1029" s="80">
        <f>IF(AB1029=1,IF(AC1029=1,1440-Z1029+AA1029,AA1029-Z1029),0)</f>
        <v>0</v>
      </c>
      <c r="AE1029" s="80">
        <f>IF(J1029="",0,IF(ISNUMBER(J1029),J1029,-1))</f>
        <v>0</v>
      </c>
      <c r="AF1029" s="80">
        <f>MIN(MAX(0,AE1029),AD1029)</f>
        <v>0</v>
      </c>
      <c r="AG1029" s="80">
        <f>MAX(0,AD1029-MAX(0,AE1029))</f>
        <v>0</v>
      </c>
      <c r="AH1029" s="80">
        <f>IF(ISNUMBER(B1029),IF(AND(INDEX(CFG_WDAYS,WEEKDAY(INT(B1029),2))="Sí",IF(D1029="proMX",COUNTIFS(FER_F,INT(B1029),FER_NLP,"Sí"),COUNTIFS(FER_F,INT(B1029),FER_NLM,"Sí"))=0),1,0),0)</f>
        <v>0</v>
      </c>
      <c r="AI1029" s="80">
        <f>IF(AC1029=1,IF(AND(INDEX(CFG_WDAYS,WEEKDAY(INT(B1029)+1,2))="Sí",IF(D1029="proMX",COUNTIFS(FER_F,INT(B1029)+1,FER_NLP,"Sí"),COUNTIFS(FER_F,INT(B1029)+1,FER_NLM,"Sí"))=0),1,0),0)</f>
        <v>0</v>
      </c>
      <c r="AJ1029" s="80">
        <f>IF(AC1029=1,1440-Z1029,AD1029)</f>
        <v>0</v>
      </c>
      <c r="AK1029" s="80">
        <f>IF(AND(AB1029=1,AH1029=1),MAX(0,MIN(IF(AC1029=1,1440,AA1029),CFG_WEM)-MAX(Z1029,CFG_WSM)),0)</f>
        <v>0</v>
      </c>
      <c r="AL1029" s="80">
        <f>IF(AND(AC1029=1,AI1029=1),MAX(0,MIN(AA1029,CFG_WEM)-CFG_WSM),0)</f>
        <v>0</v>
      </c>
      <c r="AM1029" s="80">
        <f>AK1029+AL1029</f>
        <v>0</v>
      </c>
      <c r="AN1029" s="80">
        <f>IF(CFG_BRK="Proporcional",IF(AD1029=0,0,AF1029*AM1029/AD1029),IF(CFG_BRK="Extras primero",MIN(AM1029,MAX(0,AF1029-(AD1029-AM1029))),MIN(AF1029,AM1029)))</f>
        <v>0</v>
      </c>
      <c r="AO1029" s="80">
        <f>AF1029-AN1029</f>
        <v>0</v>
      </c>
      <c r="AP1029" s="80">
        <f>AM1029-AN1029</f>
        <v>0</v>
      </c>
      <c r="AQ1029" s="80">
        <f>AD1029-AM1029-AO1029</f>
        <v>0</v>
      </c>
      <c r="AR1029" s="80">
        <f>IF(AM1029=0,0,AK1029-AN1029*AK1029/AM1029)</f>
        <v>0</v>
      </c>
      <c r="AS1029" s="80">
        <f>IF(AD1029-AM1029=0,0,(AJ1029-AK1029)-AO1029*(AJ1029-AK1029)/(AD1029-AM1029))</f>
        <v>0</v>
      </c>
      <c r="AT1029" s="80" t="str">
        <f>IF(AC1029=1,INT(B1029)+1,"")</f>
        <v/>
      </c>
      <c r="AU1029" s="80">
        <f>IF(AND(D1029="proMX",R1029="Cancelled"),0,1)</f>
        <v>1</v>
      </c>
      <c r="AV1029" s="80">
        <f>IF(AND(AB1029=1,AU1029=1),IF(COUNTIFS($D$5:D1028,D1029,$B$5:B1028,B1029,$Z$5:Z1028,Z1029,$AA$5:AA1028,AA1029,$F$5:F1028,F1029&amp;"",$AU$5:AU1028,1)&gt;0,1,0),0)</f>
        <v>0</v>
      </c>
      <c r="AW1029" s="80" t="str">
        <f>IF(AB1029=1,INT(B1029)*1440+Z1029,"")</f>
        <v/>
      </c>
      <c r="AX1029" s="80" t="str">
        <f>IF(AB1029=1,AW1029+AD1029,"")</f>
        <v/>
      </c>
      <c r="AY1029" s="80">
        <f>IF(AND(AB1029=1,AV1029=0,AU1029=1),1,0)</f>
        <v>0</v>
      </c>
      <c r="AZ1029" s="80">
        <f>IF(AY1029=1,COUNTIFS(R_Emp,D1029,R_SAbs,"&lt;"&amp;AX1029,R_EAbs,"&gt;"&amp;AW1029,R_OKey,1)-1,0)</f>
        <v>0</v>
      </c>
      <c r="BA1029" s="80">
        <f>IF(AY1029=1,COUNTIFS(R_Emp,"&lt;&gt;"&amp;D1029,R_SAbs,"&lt;"&amp;AX1029,R_EAbs,"&gt;"&amp;AW1029,R_OKey,1),0)</f>
        <v>0</v>
      </c>
      <c r="BB1029" s="80">
        <f>IF(AND(AB1029=1,D1029="proMX"),IF(AND(MOD(Z1029,CFG_BLK)=0,MOD(AA1029,CFG_BLK)=0,MOD(AG1029,CFG_BLK)=0,AG1029&gt;0),1,0),1)</f>
        <v>1</v>
      </c>
      <c r="BC1029" s="80" t="str">
        <f>IF(Y1029=0,"",IF(NOT(ISNUMBER(B1029)),"Falta fecha o fecha inválida",IF(D1029="","Falta empresa",IF(AND(D1029&lt;&gt;"Malcolm",D1029&lt;&gt;"proMX"),"Empresa inválida",IF(OR(INT(B1029)&lt;CFG_PSTART,INT(B1029)&gt;CFG_PEND),"Fecha fuera del período",IF(OR(NOT(ISNUMBER(Z1029)),NOT(ISNUMBER(AA1029))),"Falta hora inicio/fin o formato inválido",IF(AB1029=0,"Hora inicio = hora fin",IF(AE1029&lt;0,"Descanso inválido",IF(AE1029&gt;=AD1029,"Descanso ≥ duración",IF(AV1029=1,"Registro duplicado",IF(AZ1029&gt;0,"Se superpone con otro registro "&amp;D1029,IF(BB1029=0,"inicio, fin y duración neta deben ser múltiplos de "&amp;CFG_BLK&amp;" min",""))))))))))))</f>
        <v/>
      </c>
      <c r="BD1029" s="80">
        <f>IF(AND(Y1029=1,BC1029=""),1,0)</f>
        <v>0</v>
      </c>
      <c r="BE1029" s="80">
        <f>IF(AND(BD1029=1,AU1029=1),1,0)</f>
        <v>0</v>
      </c>
      <c r="BF1029" s="80" t="str">
        <f>IF(AND(D1029="proMX",BD1029=1),IF(R1029="","Draft",R1029),"")</f>
        <v/>
      </c>
      <c r="BG1029" s="80">
        <f>IF(BD1029=1,ROUND(AG1029/60,6),0)</f>
        <v>0</v>
      </c>
      <c r="BH1029" s="80">
        <f>IF(BE1029=1,ROUND(AG1029/60,6),0)</f>
        <v>0</v>
      </c>
      <c r="BI1029" s="80">
        <f>IF(BE1029=1,ROUND(AP1029/60,6),0)</f>
        <v>0</v>
      </c>
      <c r="BJ1029" s="80">
        <f>IF(BE1029=1,ROUND(AQ1029/60,6),0)</f>
        <v>0</v>
      </c>
      <c r="BK1029" s="80">
        <f>IF(BE1029=1,ROUND((AR1029+AS1029)/60,6),0)</f>
        <v>0</v>
      </c>
      <c r="BL1029" s="80">
        <f>ROUND(BH1029-BK1029,6)</f>
        <v>0</v>
      </c>
      <c r="BM1029" s="80">
        <f>IF(BE1029=1,ROUND(AR1029/60,6),0)</f>
        <v>0</v>
      </c>
      <c r="BN1029" s="80">
        <f>ROUND(BI1029-BM1029,6)</f>
        <v>0</v>
      </c>
      <c r="BO1029" s="80">
        <f>IF(BE1029=1,ROUND(AS1029/60,6),0)</f>
        <v>0</v>
      </c>
      <c r="BP1029" s="80">
        <f>ROUND(BJ1029-BO1029,6)</f>
        <v>0</v>
      </c>
      <c r="BQ1029" s="80">
        <f>IF(BE1029=1,AW1029,0)</f>
        <v>0</v>
      </c>
      <c r="BR1029" s="80">
        <f>IF(BE1029=1,AX1029,0)</f>
        <v>0</v>
      </c>
      <c r="BS1029" s="80">
        <f>IF(AND(BE1029=1,D1029="Malcolm",BA1029&gt;0),MIN(BH1029,SUMPRODUCT((R_Emp="proMX")*(R_EN&gt;0)*((R_EN-(R_EN&gt;BR1029)*(R_EN-BR1029))&gt;(R_SN+(R_SN&lt;BQ1029)*(BQ1029-R_SN)))*((R_EN-(R_EN&gt;BR1029)*(R_EN-BR1029))-(R_SN+(R_SN&lt;BQ1029)*(BQ1029-R_SN))))/60),0)</f>
        <v>0</v>
      </c>
      <c r="BT1029" s="80">
        <f>IF(AND(BE1029=1,D1029="proMX"),ROUND(BI1029*CFG_RATE+BJ1029*CFG_OTRATE,6),0)</f>
        <v>0</v>
      </c>
      <c r="BU1029" s="80">
        <f>IF(AND(BD1029=1,D1029="proMX"),ROUND(AG1029/CFG_BLK,6),0)</f>
        <v>0</v>
      </c>
      <c r="BV1029" s="80" t="str">
        <f>IF(BF1029="Approved",IF(ISNUMBER(T1029),INT(T1029),INT(B1029)),"")</f>
        <v/>
      </c>
      <c r="BW1029" s="80">
        <f>IF(ISNUMBER(B1029),IF(DB_MON="Todos",1,IF(AND(INT(B1029)&gt;=DB_MS,INT(B1029)&lt;=DB_ME),1,0)),0)</f>
        <v>0</v>
      </c>
      <c r="BX1029" s="80">
        <f>IF(DB_PROJ="Todos",1,IF(E1029&amp;""=DB_PROJ&amp;"",1,0))</f>
        <v>1</v>
      </c>
      <c r="BY1029" s="80">
        <f>BW1029*BX1029</f>
        <v>0</v>
      </c>
      <c r="BZ1029" s="80" t="str">
        <f>IF(Y1029=1,F1029&amp;IF(AND(F1029&amp;""&lt;&gt;"",E1029&amp;""&lt;&gt;"")," · ","")&amp;E1029,"")</f>
        <v/>
      </c>
      <c r="CA1029" s="80" t="str">
        <f>IF(AND(BD1029=1,E1029&amp;""&lt;&gt;""),IF(COUNTIFS($E$5:E1028,E1029,$BD$5:BD1028,1)=0,MAX($CA$5:CA1028)+1,""),"")</f>
        <v/>
      </c>
      <c r="CB1029" s="80" t="str">
        <f>IF(AND(BE1029=1,D1029="Malcolm",E1029&amp;""&lt;&gt;""),IF(COUNTIFS($D$5:D1028,"Malcolm",$E$5:E1028,E1029,$BE$5:BE1028,1)=0,MAX($CB$5:CB1028)+1,""),"")</f>
        <v/>
      </c>
      <c r="CC1029" s="80" t="str">
        <f>IF(AND(BD1029=1,D1029="proMX",E1029&amp;""&lt;&gt;""),IF(COUNTIFS($D$5:D1028,"proMX",$E$5:E1028,E1029,$BD$5:BD1028,1)=0,MAX($CC$5:CC1028)+1,""),"")</f>
        <v/>
      </c>
      <c r="CD1029" s="80" t="str">
        <f>IF(AND(BE1029=1,D1029="Malcolm",F1029&amp;""&lt;&gt;""),IF(COUNTIFS($D$5:D1028,"Malcolm",$F$5:F1028,F1029,$BE$5:BE1028,1)=0,MAX($CD$5:CD1028)+1,""),"")</f>
        <v/>
      </c>
      <c r="CE1029" s="80" t="str">
        <f>IF(AND(BD1029=1,D1029="proMX",F1029&amp;""&lt;&gt;""),IF(COUNTIFS($D$5:D1028,"proMX",$F$5:F1028,F1029,$BD$5:BD1028,1)=0,MAX($CE$5:CE1028)+1,""),"")</f>
        <v/>
      </c>
      <c r="CF1029" s="80" t="str">
        <f>IF(AND(D1029="proMX",BD1029=1),IF(OR(BF1029="Draft",BF1029="Submitted",BF1029="Returned",BF1029="Recall Requested"),MAX($CF$5:CF1028)+1,""),"")</f>
        <v/>
      </c>
      <c r="CG1029" s="80">
        <f>IF(BD1029=0,0,IF(D1029="Malcolm",1,MATCH(BF1029,{"Draft","Submitted","Approved","Returned","Recall Requested","Cancelled"},0)+1))</f>
        <v>0</v>
      </c>
      <c r="CH1029" s="80">
        <f>IF(AND(BF1029="Submitted",ISNUMBER(V1029)),IF(V1029&gt;CFG_MAXD,1,0),0)</f>
        <v>0</v>
      </c>
    </row>
    <row r="1030">
      <c r="A1030" s="71" t="str">
        <f>IF(Y1030=1,ROW()-5,"")</f>
        <v/>
      </c>
      <c r="B1030" s="72" t="n"/>
      <c r="C1030" s="71" t="str">
        <f>IF(ISNUMBER(B1030),CHOOSE(WEEKDAY(B1030,2),"Lun","Mar","Mié","Jue","Vie","Sáb","Dom"),"")</f>
        <v/>
      </c>
      <c r="D1030" s="73" t="n"/>
      <c r="E1030" s="74" t="n"/>
      <c r="F1030" s="74" t="n"/>
      <c r="G1030" s="74" t="n"/>
      <c r="H1030" s="75" t="n"/>
      <c r="I1030" s="75" t="n"/>
      <c r="J1030" s="76" t="n"/>
      <c r="K1030" s="77" t="str">
        <f>IF(AB1030=1,ROUND(AG1030/60,4),"")</f>
        <v/>
      </c>
      <c r="L1030" s="77" t="str">
        <f>IF(BD1030=1,ROUND(AP1030/60,4),"")</f>
        <v/>
      </c>
      <c r="M1030" s="77" t="str">
        <f>IF(BD1030=1,ROUND(AQ1030/60,4),"")</f>
        <v/>
      </c>
      <c r="N1030" s="71" t="str">
        <f>IF(AND(D1030="proMX",AB1030=1),ROUND(AG1030/CFG_BLK,2),"")</f>
        <v/>
      </c>
      <c r="O1030" s="77" t="str">
        <f>IF(D1030="proMX",IF(BD1030=1,ROUND(AG1030/60,4),0),"")</f>
        <v/>
      </c>
      <c r="P1030" s="78" t="str">
        <f>IF(Y1030=0,"",IF(BD1030=1,"OK",IF(D1030="proMX","Revisar bloques: ","Revisar: ")&amp;BC1030))</f>
        <v/>
      </c>
      <c r="Q1030" s="78" t="str">
        <f>IF(NOT(ISNUMBER(B1030)),"",IF(COUNTIFS(FER_F,INT(B1030))&gt;0,"Feriado"&amp;IF(AH1030=1," (laborable)"," (no laborable)"),IF(AH1030=1,"Laborable",IF(WEEKDAY(B1030,2)&gt;5,"Fin de semana","No laborable"))))</f>
        <v/>
      </c>
      <c r="R1030" s="73" t="n"/>
      <c r="S1030" s="72" t="n"/>
      <c r="T1030" s="72" t="n"/>
      <c r="U1030" s="74" t="n"/>
      <c r="V1030" s="79" t="str">
        <f>IF(AND(D1030="proMX",OR(R1030="Submitted",R1030="Recall Requested"),ISNUMBER(S1030)),CFG_TODAY-INT(S1030),"")</f>
        <v/>
      </c>
      <c r="W1030" s="78" t="str">
        <f>IF(BD1030=0,"",IF(BA1030&gt;0,"⚠ Se superpone con un registro de la otra empresa",IF(D1030="Malcolm",IF(COUNTA(R1030,S1030,T1030)&gt;0,"Estado/fechas proMX se ignoran en Malcolm",""),IF(BF1030="Cancelled","Cancelado: excluido de totales",IF(R1030="","Sin estado: se trata como Draft",IF(BF1030="Submitted",IF(ISNUMBER(V1030),IF(V1030&gt;CFG_MAXD,"⚠ "&amp;V1030&amp;" días en Submitted (máx. "&amp;CFG_MAXD&amp;")",""),"Falta fecha de envío"),IF(BF1030="Returned","⚠ Devuelto: corregir y reenviar",IF(BF1030="Recall Requested","Retirada solicitada: pendiente",IF(AND(BF1030="Approved",NOT(ISNUMBER(T1030))),"Falta fecha de aprobación",IF(AND(ISNUMBER(S1030),ISNUMBER(T1030),T1030&lt;S1030),"Aprobación anterior al envío","")))))))))</f>
        <v/>
      </c>
      <c r="Y1030" s="80">
        <f>IF(COUNTA(B1030,D1030,E1030,F1030,G1030,H1030,I1030,J1030,R1030,S1030,T1030)&gt;0,1,0)</f>
        <v>0</v>
      </c>
      <c r="Z1030" s="80" t="str">
        <f>IF(AND(ISNUMBER(H1030),H1030&gt;=0,H1030&lt;1),ROUND(H1030*1440,0),"")</f>
        <v/>
      </c>
      <c r="AA1030" s="80" t="str">
        <f>IF(AND(ISNUMBER(I1030),I1030&gt;=0,I1030&lt;1),ROUND(I1030*1440,0),"")</f>
        <v/>
      </c>
      <c r="AB1030" s="80">
        <f>IF(AND(ISNUMBER(B1030),D1030&lt;&gt;"",ISNUMBER(Z1030),ISNUMBER(AA1030)),IF(Z1030=AA1030,0,1),0)</f>
        <v>0</v>
      </c>
      <c r="AC1030" s="80">
        <f>IF(AB1030=1,IF(AA1030&lt;Z1030,1,0),0)</f>
        <v>0</v>
      </c>
      <c r="AD1030" s="80">
        <f>IF(AB1030=1,IF(AC1030=1,1440-Z1030+AA1030,AA1030-Z1030),0)</f>
        <v>0</v>
      </c>
      <c r="AE1030" s="80">
        <f>IF(J1030="",0,IF(ISNUMBER(J1030),J1030,-1))</f>
        <v>0</v>
      </c>
      <c r="AF1030" s="80">
        <f>MIN(MAX(0,AE1030),AD1030)</f>
        <v>0</v>
      </c>
      <c r="AG1030" s="80">
        <f>MAX(0,AD1030-MAX(0,AE1030))</f>
        <v>0</v>
      </c>
      <c r="AH1030" s="80">
        <f>IF(ISNUMBER(B1030),IF(AND(INDEX(CFG_WDAYS,WEEKDAY(INT(B1030),2))="Sí",IF(D1030="proMX",COUNTIFS(FER_F,INT(B1030),FER_NLP,"Sí"),COUNTIFS(FER_F,INT(B1030),FER_NLM,"Sí"))=0),1,0),0)</f>
        <v>0</v>
      </c>
      <c r="AI1030" s="80">
        <f>IF(AC1030=1,IF(AND(INDEX(CFG_WDAYS,WEEKDAY(INT(B1030)+1,2))="Sí",IF(D1030="proMX",COUNTIFS(FER_F,INT(B1030)+1,FER_NLP,"Sí"),COUNTIFS(FER_F,INT(B1030)+1,FER_NLM,"Sí"))=0),1,0),0)</f>
        <v>0</v>
      </c>
      <c r="AJ1030" s="80">
        <f>IF(AC1030=1,1440-Z1030,AD1030)</f>
        <v>0</v>
      </c>
      <c r="AK1030" s="80">
        <f>IF(AND(AB1030=1,AH1030=1),MAX(0,MIN(IF(AC1030=1,1440,AA1030),CFG_WEM)-MAX(Z1030,CFG_WSM)),0)</f>
        <v>0</v>
      </c>
      <c r="AL1030" s="80">
        <f>IF(AND(AC1030=1,AI1030=1),MAX(0,MIN(AA1030,CFG_WEM)-CFG_WSM),0)</f>
        <v>0</v>
      </c>
      <c r="AM1030" s="80">
        <f>AK1030+AL1030</f>
        <v>0</v>
      </c>
      <c r="AN1030" s="80">
        <f>IF(CFG_BRK="Proporcional",IF(AD1030=0,0,AF1030*AM1030/AD1030),IF(CFG_BRK="Extras primero",MIN(AM1030,MAX(0,AF1030-(AD1030-AM1030))),MIN(AF1030,AM1030)))</f>
        <v>0</v>
      </c>
      <c r="AO1030" s="80">
        <f>AF1030-AN1030</f>
        <v>0</v>
      </c>
      <c r="AP1030" s="80">
        <f>AM1030-AN1030</f>
        <v>0</v>
      </c>
      <c r="AQ1030" s="80">
        <f>AD1030-AM1030-AO1030</f>
        <v>0</v>
      </c>
      <c r="AR1030" s="80">
        <f>IF(AM1030=0,0,AK1030-AN1030*AK1030/AM1030)</f>
        <v>0</v>
      </c>
      <c r="AS1030" s="80">
        <f>IF(AD1030-AM1030=0,0,(AJ1030-AK1030)-AO1030*(AJ1030-AK1030)/(AD1030-AM1030))</f>
        <v>0</v>
      </c>
      <c r="AT1030" s="80" t="str">
        <f>IF(AC1030=1,INT(B1030)+1,"")</f>
        <v/>
      </c>
      <c r="AU1030" s="80">
        <f>IF(AND(D1030="proMX",R1030="Cancelled"),0,1)</f>
        <v>1</v>
      </c>
      <c r="AV1030" s="80">
        <f>IF(AND(AB1030=1,AU1030=1),IF(COUNTIFS($D$5:D1029,D1030,$B$5:B1029,B1030,$Z$5:Z1029,Z1030,$AA$5:AA1029,AA1030,$F$5:F1029,F1030&amp;"",$AU$5:AU1029,1)&gt;0,1,0),0)</f>
        <v>0</v>
      </c>
      <c r="AW1030" s="80" t="str">
        <f>IF(AB1030=1,INT(B1030)*1440+Z1030,"")</f>
        <v/>
      </c>
      <c r="AX1030" s="80" t="str">
        <f>IF(AB1030=1,AW1030+AD1030,"")</f>
        <v/>
      </c>
      <c r="AY1030" s="80">
        <f>IF(AND(AB1030=1,AV1030=0,AU1030=1),1,0)</f>
        <v>0</v>
      </c>
      <c r="AZ1030" s="80">
        <f>IF(AY1030=1,COUNTIFS(R_Emp,D1030,R_SAbs,"&lt;"&amp;AX1030,R_EAbs,"&gt;"&amp;AW1030,R_OKey,1)-1,0)</f>
        <v>0</v>
      </c>
      <c r="BA1030" s="80">
        <f>IF(AY1030=1,COUNTIFS(R_Emp,"&lt;&gt;"&amp;D1030,R_SAbs,"&lt;"&amp;AX1030,R_EAbs,"&gt;"&amp;AW1030,R_OKey,1),0)</f>
        <v>0</v>
      </c>
      <c r="BB1030" s="80">
        <f>IF(AND(AB1030=1,D1030="proMX"),IF(AND(MOD(Z1030,CFG_BLK)=0,MOD(AA1030,CFG_BLK)=0,MOD(AG1030,CFG_BLK)=0,AG1030&gt;0),1,0),1)</f>
        <v>1</v>
      </c>
      <c r="BC1030" s="80" t="str">
        <f>IF(Y1030=0,"",IF(NOT(ISNUMBER(B1030)),"Falta fecha o fecha inválida",IF(D1030="","Falta empresa",IF(AND(D1030&lt;&gt;"Malcolm",D1030&lt;&gt;"proMX"),"Empresa inválida",IF(OR(INT(B1030)&lt;CFG_PSTART,INT(B1030)&gt;CFG_PEND),"Fecha fuera del período",IF(OR(NOT(ISNUMBER(Z1030)),NOT(ISNUMBER(AA1030))),"Falta hora inicio/fin o formato inválido",IF(AB1030=0,"Hora inicio = hora fin",IF(AE1030&lt;0,"Descanso inválido",IF(AE1030&gt;=AD1030,"Descanso ≥ duración",IF(AV1030=1,"Registro duplicado",IF(AZ1030&gt;0,"Se superpone con otro registro "&amp;D1030,IF(BB1030=0,"inicio, fin y duración neta deben ser múltiplos de "&amp;CFG_BLK&amp;" min",""))))))))))))</f>
        <v/>
      </c>
      <c r="BD1030" s="80">
        <f>IF(AND(Y1030=1,BC1030=""),1,0)</f>
        <v>0</v>
      </c>
      <c r="BE1030" s="80">
        <f>IF(AND(BD1030=1,AU1030=1),1,0)</f>
        <v>0</v>
      </c>
      <c r="BF1030" s="80" t="str">
        <f>IF(AND(D1030="proMX",BD1030=1),IF(R1030="","Draft",R1030),"")</f>
        <v/>
      </c>
      <c r="BG1030" s="80">
        <f>IF(BD1030=1,ROUND(AG1030/60,6),0)</f>
        <v>0</v>
      </c>
      <c r="BH1030" s="80">
        <f>IF(BE1030=1,ROUND(AG1030/60,6),0)</f>
        <v>0</v>
      </c>
      <c r="BI1030" s="80">
        <f>IF(BE1030=1,ROUND(AP1030/60,6),0)</f>
        <v>0</v>
      </c>
      <c r="BJ1030" s="80">
        <f>IF(BE1030=1,ROUND(AQ1030/60,6),0)</f>
        <v>0</v>
      </c>
      <c r="BK1030" s="80">
        <f>IF(BE1030=1,ROUND((AR1030+AS1030)/60,6),0)</f>
        <v>0</v>
      </c>
      <c r="BL1030" s="80">
        <f>ROUND(BH1030-BK1030,6)</f>
        <v>0</v>
      </c>
      <c r="BM1030" s="80">
        <f>IF(BE1030=1,ROUND(AR1030/60,6),0)</f>
        <v>0</v>
      </c>
      <c r="BN1030" s="80">
        <f>ROUND(BI1030-BM1030,6)</f>
        <v>0</v>
      </c>
      <c r="BO1030" s="80">
        <f>IF(BE1030=1,ROUND(AS1030/60,6),0)</f>
        <v>0</v>
      </c>
      <c r="BP1030" s="80">
        <f>ROUND(BJ1030-BO1030,6)</f>
        <v>0</v>
      </c>
      <c r="BQ1030" s="80">
        <f>IF(BE1030=1,AW1030,0)</f>
        <v>0</v>
      </c>
      <c r="BR1030" s="80">
        <f>IF(BE1030=1,AX1030,0)</f>
        <v>0</v>
      </c>
      <c r="BS1030" s="80">
        <f>IF(AND(BE1030=1,D1030="Malcolm",BA1030&gt;0),MIN(BH1030,SUMPRODUCT((R_Emp="proMX")*(R_EN&gt;0)*((R_EN-(R_EN&gt;BR1030)*(R_EN-BR1030))&gt;(R_SN+(R_SN&lt;BQ1030)*(BQ1030-R_SN)))*((R_EN-(R_EN&gt;BR1030)*(R_EN-BR1030))-(R_SN+(R_SN&lt;BQ1030)*(BQ1030-R_SN))))/60),0)</f>
        <v>0</v>
      </c>
      <c r="BT1030" s="80">
        <f>IF(AND(BE1030=1,D1030="proMX"),ROUND(BI1030*CFG_RATE+BJ1030*CFG_OTRATE,6),0)</f>
        <v>0</v>
      </c>
      <c r="BU1030" s="80">
        <f>IF(AND(BD1030=1,D1030="proMX"),ROUND(AG1030/CFG_BLK,6),0)</f>
        <v>0</v>
      </c>
      <c r="BV1030" s="80" t="str">
        <f>IF(BF1030="Approved",IF(ISNUMBER(T1030),INT(T1030),INT(B1030)),"")</f>
        <v/>
      </c>
      <c r="BW1030" s="80">
        <f>IF(ISNUMBER(B1030),IF(DB_MON="Todos",1,IF(AND(INT(B1030)&gt;=DB_MS,INT(B1030)&lt;=DB_ME),1,0)),0)</f>
        <v>0</v>
      </c>
      <c r="BX1030" s="80">
        <f>IF(DB_PROJ="Todos",1,IF(E1030&amp;""=DB_PROJ&amp;"",1,0))</f>
        <v>1</v>
      </c>
      <c r="BY1030" s="80">
        <f>BW1030*BX1030</f>
        <v>0</v>
      </c>
      <c r="BZ1030" s="80" t="str">
        <f>IF(Y1030=1,F1030&amp;IF(AND(F1030&amp;""&lt;&gt;"",E1030&amp;""&lt;&gt;"")," · ","")&amp;E1030,"")</f>
        <v/>
      </c>
      <c r="CA1030" s="80" t="str">
        <f>IF(AND(BD1030=1,E1030&amp;""&lt;&gt;""),IF(COUNTIFS($E$5:E1029,E1030,$BD$5:BD1029,1)=0,MAX($CA$5:CA1029)+1,""),"")</f>
        <v/>
      </c>
      <c r="CB1030" s="80" t="str">
        <f>IF(AND(BE1030=1,D1030="Malcolm",E1030&amp;""&lt;&gt;""),IF(COUNTIFS($D$5:D1029,"Malcolm",$E$5:E1029,E1030,$BE$5:BE1029,1)=0,MAX($CB$5:CB1029)+1,""),"")</f>
        <v/>
      </c>
      <c r="CC1030" s="80" t="str">
        <f>IF(AND(BD1030=1,D1030="proMX",E1030&amp;""&lt;&gt;""),IF(COUNTIFS($D$5:D1029,"proMX",$E$5:E1029,E1030,$BD$5:BD1029,1)=0,MAX($CC$5:CC1029)+1,""),"")</f>
        <v/>
      </c>
      <c r="CD1030" s="80" t="str">
        <f>IF(AND(BE1030=1,D1030="Malcolm",F1030&amp;""&lt;&gt;""),IF(COUNTIFS($D$5:D1029,"Malcolm",$F$5:F1029,F1030,$BE$5:BE1029,1)=0,MAX($CD$5:CD1029)+1,""),"")</f>
        <v/>
      </c>
      <c r="CE1030" s="80" t="str">
        <f>IF(AND(BD1030=1,D1030="proMX",F1030&amp;""&lt;&gt;""),IF(COUNTIFS($D$5:D1029,"proMX",$F$5:F1029,F1030,$BD$5:BD1029,1)=0,MAX($CE$5:CE1029)+1,""),"")</f>
        <v/>
      </c>
      <c r="CF1030" s="80" t="str">
        <f>IF(AND(D1030="proMX",BD1030=1),IF(OR(BF1030="Draft",BF1030="Submitted",BF1030="Returned",BF1030="Recall Requested"),MAX($CF$5:CF1029)+1,""),"")</f>
        <v/>
      </c>
      <c r="CG1030" s="80">
        <f>IF(BD1030=0,0,IF(D1030="Malcolm",1,MATCH(BF1030,{"Draft","Submitted","Approved","Returned","Recall Requested","Cancelled"},0)+1))</f>
        <v>0</v>
      </c>
      <c r="CH1030" s="80">
        <f>IF(AND(BF1030="Submitted",ISNUMBER(V1030)),IF(V1030&gt;CFG_MAXD,1,0),0)</f>
        <v>0</v>
      </c>
    </row>
    <row r="1031">
      <c r="A1031" s="71" t="str">
        <f>IF(Y1031=1,ROW()-5,"")</f>
        <v/>
      </c>
      <c r="B1031" s="72" t="n"/>
      <c r="C1031" s="71" t="str">
        <f>IF(ISNUMBER(B1031),CHOOSE(WEEKDAY(B1031,2),"Lun","Mar","Mié","Jue","Vie","Sáb","Dom"),"")</f>
        <v/>
      </c>
      <c r="D1031" s="73" t="n"/>
      <c r="E1031" s="74" t="n"/>
      <c r="F1031" s="74" t="n"/>
      <c r="G1031" s="74" t="n"/>
      <c r="H1031" s="75" t="n"/>
      <c r="I1031" s="75" t="n"/>
      <c r="J1031" s="76" t="n"/>
      <c r="K1031" s="77" t="str">
        <f>IF(AB1031=1,ROUND(AG1031/60,4),"")</f>
        <v/>
      </c>
      <c r="L1031" s="77" t="str">
        <f>IF(BD1031=1,ROUND(AP1031/60,4),"")</f>
        <v/>
      </c>
      <c r="M1031" s="77" t="str">
        <f>IF(BD1031=1,ROUND(AQ1031/60,4),"")</f>
        <v/>
      </c>
      <c r="N1031" s="71" t="str">
        <f>IF(AND(D1031="proMX",AB1031=1),ROUND(AG1031/CFG_BLK,2),"")</f>
        <v/>
      </c>
      <c r="O1031" s="77" t="str">
        <f>IF(D1031="proMX",IF(BD1031=1,ROUND(AG1031/60,4),0),"")</f>
        <v/>
      </c>
      <c r="P1031" s="78" t="str">
        <f>IF(Y1031=0,"",IF(BD1031=1,"OK",IF(D1031="proMX","Revisar bloques: ","Revisar: ")&amp;BC1031))</f>
        <v/>
      </c>
      <c r="Q1031" s="78" t="str">
        <f>IF(NOT(ISNUMBER(B1031)),"",IF(COUNTIFS(FER_F,INT(B1031))&gt;0,"Feriado"&amp;IF(AH1031=1," (laborable)"," (no laborable)"),IF(AH1031=1,"Laborable",IF(WEEKDAY(B1031,2)&gt;5,"Fin de semana","No laborable"))))</f>
        <v/>
      </c>
      <c r="R1031" s="73" t="n"/>
      <c r="S1031" s="72" t="n"/>
      <c r="T1031" s="72" t="n"/>
      <c r="U1031" s="74" t="n"/>
      <c r="V1031" s="79" t="str">
        <f>IF(AND(D1031="proMX",OR(R1031="Submitted",R1031="Recall Requested"),ISNUMBER(S1031)),CFG_TODAY-INT(S1031),"")</f>
        <v/>
      </c>
      <c r="W1031" s="78" t="str">
        <f>IF(BD1031=0,"",IF(BA1031&gt;0,"⚠ Se superpone con un registro de la otra empresa",IF(D1031="Malcolm",IF(COUNTA(R1031,S1031,T1031)&gt;0,"Estado/fechas proMX se ignoran en Malcolm",""),IF(BF1031="Cancelled","Cancelado: excluido de totales",IF(R1031="","Sin estado: se trata como Draft",IF(BF1031="Submitted",IF(ISNUMBER(V1031),IF(V1031&gt;CFG_MAXD,"⚠ "&amp;V1031&amp;" días en Submitted (máx. "&amp;CFG_MAXD&amp;")",""),"Falta fecha de envío"),IF(BF1031="Returned","⚠ Devuelto: corregir y reenviar",IF(BF1031="Recall Requested","Retirada solicitada: pendiente",IF(AND(BF1031="Approved",NOT(ISNUMBER(T1031))),"Falta fecha de aprobación",IF(AND(ISNUMBER(S1031),ISNUMBER(T1031),T1031&lt;S1031),"Aprobación anterior al envío","")))))))))</f>
        <v/>
      </c>
      <c r="Y1031" s="80">
        <f>IF(COUNTA(B1031,D1031,E1031,F1031,G1031,H1031,I1031,J1031,R1031,S1031,T1031)&gt;0,1,0)</f>
        <v>0</v>
      </c>
      <c r="Z1031" s="80" t="str">
        <f>IF(AND(ISNUMBER(H1031),H1031&gt;=0,H1031&lt;1),ROUND(H1031*1440,0),"")</f>
        <v/>
      </c>
      <c r="AA1031" s="80" t="str">
        <f>IF(AND(ISNUMBER(I1031),I1031&gt;=0,I1031&lt;1),ROUND(I1031*1440,0),"")</f>
        <v/>
      </c>
      <c r="AB1031" s="80">
        <f>IF(AND(ISNUMBER(B1031),D1031&lt;&gt;"",ISNUMBER(Z1031),ISNUMBER(AA1031)),IF(Z1031=AA1031,0,1),0)</f>
        <v>0</v>
      </c>
      <c r="AC1031" s="80">
        <f>IF(AB1031=1,IF(AA1031&lt;Z1031,1,0),0)</f>
        <v>0</v>
      </c>
      <c r="AD1031" s="80">
        <f>IF(AB1031=1,IF(AC1031=1,1440-Z1031+AA1031,AA1031-Z1031),0)</f>
        <v>0</v>
      </c>
      <c r="AE1031" s="80">
        <f>IF(J1031="",0,IF(ISNUMBER(J1031),J1031,-1))</f>
        <v>0</v>
      </c>
      <c r="AF1031" s="80">
        <f>MIN(MAX(0,AE1031),AD1031)</f>
        <v>0</v>
      </c>
      <c r="AG1031" s="80">
        <f>MAX(0,AD1031-MAX(0,AE1031))</f>
        <v>0</v>
      </c>
      <c r="AH1031" s="80">
        <f>IF(ISNUMBER(B1031),IF(AND(INDEX(CFG_WDAYS,WEEKDAY(INT(B1031),2))="Sí",IF(D1031="proMX",COUNTIFS(FER_F,INT(B1031),FER_NLP,"Sí"),COUNTIFS(FER_F,INT(B1031),FER_NLM,"Sí"))=0),1,0),0)</f>
        <v>0</v>
      </c>
      <c r="AI1031" s="80">
        <f>IF(AC1031=1,IF(AND(INDEX(CFG_WDAYS,WEEKDAY(INT(B1031)+1,2))="Sí",IF(D1031="proMX",COUNTIFS(FER_F,INT(B1031)+1,FER_NLP,"Sí"),COUNTIFS(FER_F,INT(B1031)+1,FER_NLM,"Sí"))=0),1,0),0)</f>
        <v>0</v>
      </c>
      <c r="AJ1031" s="80">
        <f>IF(AC1031=1,1440-Z1031,AD1031)</f>
        <v>0</v>
      </c>
      <c r="AK1031" s="80">
        <f>IF(AND(AB1031=1,AH1031=1),MAX(0,MIN(IF(AC1031=1,1440,AA1031),CFG_WEM)-MAX(Z1031,CFG_WSM)),0)</f>
        <v>0</v>
      </c>
      <c r="AL1031" s="80">
        <f>IF(AND(AC1031=1,AI1031=1),MAX(0,MIN(AA1031,CFG_WEM)-CFG_WSM),0)</f>
        <v>0</v>
      </c>
      <c r="AM1031" s="80">
        <f>AK1031+AL1031</f>
        <v>0</v>
      </c>
      <c r="AN1031" s="80">
        <f>IF(CFG_BRK="Proporcional",IF(AD1031=0,0,AF1031*AM1031/AD1031),IF(CFG_BRK="Extras primero",MIN(AM1031,MAX(0,AF1031-(AD1031-AM1031))),MIN(AF1031,AM1031)))</f>
        <v>0</v>
      </c>
      <c r="AO1031" s="80">
        <f>AF1031-AN1031</f>
        <v>0</v>
      </c>
      <c r="AP1031" s="80">
        <f>AM1031-AN1031</f>
        <v>0</v>
      </c>
      <c r="AQ1031" s="80">
        <f>AD1031-AM1031-AO1031</f>
        <v>0</v>
      </c>
      <c r="AR1031" s="80">
        <f>IF(AM1031=0,0,AK1031-AN1031*AK1031/AM1031)</f>
        <v>0</v>
      </c>
      <c r="AS1031" s="80">
        <f>IF(AD1031-AM1031=0,0,(AJ1031-AK1031)-AO1031*(AJ1031-AK1031)/(AD1031-AM1031))</f>
        <v>0</v>
      </c>
      <c r="AT1031" s="80" t="str">
        <f>IF(AC1031=1,INT(B1031)+1,"")</f>
        <v/>
      </c>
      <c r="AU1031" s="80">
        <f>IF(AND(D1031="proMX",R1031="Cancelled"),0,1)</f>
        <v>1</v>
      </c>
      <c r="AV1031" s="80">
        <f>IF(AND(AB1031=1,AU1031=1),IF(COUNTIFS($D$5:D1030,D1031,$B$5:B1030,B1031,$Z$5:Z1030,Z1031,$AA$5:AA1030,AA1031,$F$5:F1030,F1031&amp;"",$AU$5:AU1030,1)&gt;0,1,0),0)</f>
        <v>0</v>
      </c>
      <c r="AW1031" s="80" t="str">
        <f>IF(AB1031=1,INT(B1031)*1440+Z1031,"")</f>
        <v/>
      </c>
      <c r="AX1031" s="80" t="str">
        <f>IF(AB1031=1,AW1031+AD1031,"")</f>
        <v/>
      </c>
      <c r="AY1031" s="80">
        <f>IF(AND(AB1031=1,AV1031=0,AU1031=1),1,0)</f>
        <v>0</v>
      </c>
      <c r="AZ1031" s="80">
        <f>IF(AY1031=1,COUNTIFS(R_Emp,D1031,R_SAbs,"&lt;"&amp;AX1031,R_EAbs,"&gt;"&amp;AW1031,R_OKey,1)-1,0)</f>
        <v>0</v>
      </c>
      <c r="BA1031" s="80">
        <f>IF(AY1031=1,COUNTIFS(R_Emp,"&lt;&gt;"&amp;D1031,R_SAbs,"&lt;"&amp;AX1031,R_EAbs,"&gt;"&amp;AW1031,R_OKey,1),0)</f>
        <v>0</v>
      </c>
      <c r="BB1031" s="80">
        <f>IF(AND(AB1031=1,D1031="proMX"),IF(AND(MOD(Z1031,CFG_BLK)=0,MOD(AA1031,CFG_BLK)=0,MOD(AG1031,CFG_BLK)=0,AG1031&gt;0),1,0),1)</f>
        <v>1</v>
      </c>
      <c r="BC1031" s="80" t="str">
        <f>IF(Y1031=0,"",IF(NOT(ISNUMBER(B1031)),"Falta fecha o fecha inválida",IF(D1031="","Falta empresa",IF(AND(D1031&lt;&gt;"Malcolm",D1031&lt;&gt;"proMX"),"Empresa inválida",IF(OR(INT(B1031)&lt;CFG_PSTART,INT(B1031)&gt;CFG_PEND),"Fecha fuera del período",IF(OR(NOT(ISNUMBER(Z1031)),NOT(ISNUMBER(AA1031))),"Falta hora inicio/fin o formato inválido",IF(AB1031=0,"Hora inicio = hora fin",IF(AE1031&lt;0,"Descanso inválido",IF(AE1031&gt;=AD1031,"Descanso ≥ duración",IF(AV1031=1,"Registro duplicado",IF(AZ1031&gt;0,"Se superpone con otro registro "&amp;D1031,IF(BB1031=0,"inicio, fin y duración neta deben ser múltiplos de "&amp;CFG_BLK&amp;" min",""))))))))))))</f>
        <v/>
      </c>
      <c r="BD1031" s="80">
        <f>IF(AND(Y1031=1,BC1031=""),1,0)</f>
        <v>0</v>
      </c>
      <c r="BE1031" s="80">
        <f>IF(AND(BD1031=1,AU1031=1),1,0)</f>
        <v>0</v>
      </c>
      <c r="BF1031" s="80" t="str">
        <f>IF(AND(D1031="proMX",BD1031=1),IF(R1031="","Draft",R1031),"")</f>
        <v/>
      </c>
      <c r="BG1031" s="80">
        <f>IF(BD1031=1,ROUND(AG1031/60,6),0)</f>
        <v>0</v>
      </c>
      <c r="BH1031" s="80">
        <f>IF(BE1031=1,ROUND(AG1031/60,6),0)</f>
        <v>0</v>
      </c>
      <c r="BI1031" s="80">
        <f>IF(BE1031=1,ROUND(AP1031/60,6),0)</f>
        <v>0</v>
      </c>
      <c r="BJ1031" s="80">
        <f>IF(BE1031=1,ROUND(AQ1031/60,6),0)</f>
        <v>0</v>
      </c>
      <c r="BK1031" s="80">
        <f>IF(BE1031=1,ROUND((AR1031+AS1031)/60,6),0)</f>
        <v>0</v>
      </c>
      <c r="BL1031" s="80">
        <f>ROUND(BH1031-BK1031,6)</f>
        <v>0</v>
      </c>
      <c r="BM1031" s="80">
        <f>IF(BE1031=1,ROUND(AR1031/60,6),0)</f>
        <v>0</v>
      </c>
      <c r="BN1031" s="80">
        <f>ROUND(BI1031-BM1031,6)</f>
        <v>0</v>
      </c>
      <c r="BO1031" s="80">
        <f>IF(BE1031=1,ROUND(AS1031/60,6),0)</f>
        <v>0</v>
      </c>
      <c r="BP1031" s="80">
        <f>ROUND(BJ1031-BO1031,6)</f>
        <v>0</v>
      </c>
      <c r="BQ1031" s="80">
        <f>IF(BE1031=1,AW1031,0)</f>
        <v>0</v>
      </c>
      <c r="BR1031" s="80">
        <f>IF(BE1031=1,AX1031,0)</f>
        <v>0</v>
      </c>
      <c r="BS1031" s="80">
        <f>IF(AND(BE1031=1,D1031="Malcolm",BA1031&gt;0),MIN(BH1031,SUMPRODUCT((R_Emp="proMX")*(R_EN&gt;0)*((R_EN-(R_EN&gt;BR1031)*(R_EN-BR1031))&gt;(R_SN+(R_SN&lt;BQ1031)*(BQ1031-R_SN)))*((R_EN-(R_EN&gt;BR1031)*(R_EN-BR1031))-(R_SN+(R_SN&lt;BQ1031)*(BQ1031-R_SN))))/60),0)</f>
        <v>0</v>
      </c>
      <c r="BT1031" s="80">
        <f>IF(AND(BE1031=1,D1031="proMX"),ROUND(BI1031*CFG_RATE+BJ1031*CFG_OTRATE,6),0)</f>
        <v>0</v>
      </c>
      <c r="BU1031" s="80">
        <f>IF(AND(BD1031=1,D1031="proMX"),ROUND(AG1031/CFG_BLK,6),0)</f>
        <v>0</v>
      </c>
      <c r="BV1031" s="80" t="str">
        <f>IF(BF1031="Approved",IF(ISNUMBER(T1031),INT(T1031),INT(B1031)),"")</f>
        <v/>
      </c>
      <c r="BW1031" s="80">
        <f>IF(ISNUMBER(B1031),IF(DB_MON="Todos",1,IF(AND(INT(B1031)&gt;=DB_MS,INT(B1031)&lt;=DB_ME),1,0)),0)</f>
        <v>0</v>
      </c>
      <c r="BX1031" s="80">
        <f>IF(DB_PROJ="Todos",1,IF(E1031&amp;""=DB_PROJ&amp;"",1,0))</f>
        <v>1</v>
      </c>
      <c r="BY1031" s="80">
        <f>BW1031*BX1031</f>
        <v>0</v>
      </c>
      <c r="BZ1031" s="80" t="str">
        <f>IF(Y1031=1,F1031&amp;IF(AND(F1031&amp;""&lt;&gt;"",E1031&amp;""&lt;&gt;"")," · ","")&amp;E1031,"")</f>
        <v/>
      </c>
      <c r="CA1031" s="80" t="str">
        <f>IF(AND(BD1031=1,E1031&amp;""&lt;&gt;""),IF(COUNTIFS($E$5:E1030,E1031,$BD$5:BD1030,1)=0,MAX($CA$5:CA1030)+1,""),"")</f>
        <v/>
      </c>
      <c r="CB1031" s="80" t="str">
        <f>IF(AND(BE1031=1,D1031="Malcolm",E1031&amp;""&lt;&gt;""),IF(COUNTIFS($D$5:D1030,"Malcolm",$E$5:E1030,E1031,$BE$5:BE1030,1)=0,MAX($CB$5:CB1030)+1,""),"")</f>
        <v/>
      </c>
      <c r="CC1031" s="80" t="str">
        <f>IF(AND(BD1031=1,D1031="proMX",E1031&amp;""&lt;&gt;""),IF(COUNTIFS($D$5:D1030,"proMX",$E$5:E1030,E1031,$BD$5:BD1030,1)=0,MAX($CC$5:CC1030)+1,""),"")</f>
        <v/>
      </c>
      <c r="CD1031" s="80" t="str">
        <f>IF(AND(BE1031=1,D1031="Malcolm",F1031&amp;""&lt;&gt;""),IF(COUNTIFS($D$5:D1030,"Malcolm",$F$5:F1030,F1031,$BE$5:BE1030,1)=0,MAX($CD$5:CD1030)+1,""),"")</f>
        <v/>
      </c>
      <c r="CE1031" s="80" t="str">
        <f>IF(AND(BD1031=1,D1031="proMX",F1031&amp;""&lt;&gt;""),IF(COUNTIFS($D$5:D1030,"proMX",$F$5:F1030,F1031,$BD$5:BD1030,1)=0,MAX($CE$5:CE1030)+1,""),"")</f>
        <v/>
      </c>
      <c r="CF1031" s="80" t="str">
        <f>IF(AND(D1031="proMX",BD1031=1),IF(OR(BF1031="Draft",BF1031="Submitted",BF1031="Returned",BF1031="Recall Requested"),MAX($CF$5:CF1030)+1,""),"")</f>
        <v/>
      </c>
      <c r="CG1031" s="80">
        <f>IF(BD1031=0,0,IF(D1031="Malcolm",1,MATCH(BF1031,{"Draft","Submitted","Approved","Returned","Recall Requested","Cancelled"},0)+1))</f>
        <v>0</v>
      </c>
      <c r="CH1031" s="80">
        <f>IF(AND(BF1031="Submitted",ISNUMBER(V1031)),IF(V1031&gt;CFG_MAXD,1,0),0)</f>
        <v>0</v>
      </c>
    </row>
    <row r="1032">
      <c r="A1032" s="71" t="str">
        <f>IF(Y1032=1,ROW()-5,"")</f>
        <v/>
      </c>
      <c r="B1032" s="72" t="n"/>
      <c r="C1032" s="71" t="str">
        <f>IF(ISNUMBER(B1032),CHOOSE(WEEKDAY(B1032,2),"Lun","Mar","Mié","Jue","Vie","Sáb","Dom"),"")</f>
        <v/>
      </c>
      <c r="D1032" s="73" t="n"/>
      <c r="E1032" s="74" t="n"/>
      <c r="F1032" s="74" t="n"/>
      <c r="G1032" s="74" t="n"/>
      <c r="H1032" s="75" t="n"/>
      <c r="I1032" s="75" t="n"/>
      <c r="J1032" s="76" t="n"/>
      <c r="K1032" s="77" t="str">
        <f>IF(AB1032=1,ROUND(AG1032/60,4),"")</f>
        <v/>
      </c>
      <c r="L1032" s="77" t="str">
        <f>IF(BD1032=1,ROUND(AP1032/60,4),"")</f>
        <v/>
      </c>
      <c r="M1032" s="77" t="str">
        <f>IF(BD1032=1,ROUND(AQ1032/60,4),"")</f>
        <v/>
      </c>
      <c r="N1032" s="71" t="str">
        <f>IF(AND(D1032="proMX",AB1032=1),ROUND(AG1032/CFG_BLK,2),"")</f>
        <v/>
      </c>
      <c r="O1032" s="77" t="str">
        <f>IF(D1032="proMX",IF(BD1032=1,ROUND(AG1032/60,4),0),"")</f>
        <v/>
      </c>
      <c r="P1032" s="78" t="str">
        <f>IF(Y1032=0,"",IF(BD1032=1,"OK",IF(D1032="proMX","Revisar bloques: ","Revisar: ")&amp;BC1032))</f>
        <v/>
      </c>
      <c r="Q1032" s="78" t="str">
        <f>IF(NOT(ISNUMBER(B1032)),"",IF(COUNTIFS(FER_F,INT(B1032))&gt;0,"Feriado"&amp;IF(AH1032=1," (laborable)"," (no laborable)"),IF(AH1032=1,"Laborable",IF(WEEKDAY(B1032,2)&gt;5,"Fin de semana","No laborable"))))</f>
        <v/>
      </c>
      <c r="R1032" s="73" t="n"/>
      <c r="S1032" s="72" t="n"/>
      <c r="T1032" s="72" t="n"/>
      <c r="U1032" s="74" t="n"/>
      <c r="V1032" s="79" t="str">
        <f>IF(AND(D1032="proMX",OR(R1032="Submitted",R1032="Recall Requested"),ISNUMBER(S1032)),CFG_TODAY-INT(S1032),"")</f>
        <v/>
      </c>
      <c r="W1032" s="78" t="str">
        <f>IF(BD1032=0,"",IF(BA1032&gt;0,"⚠ Se superpone con un registro de la otra empresa",IF(D1032="Malcolm",IF(COUNTA(R1032,S1032,T1032)&gt;0,"Estado/fechas proMX se ignoran en Malcolm",""),IF(BF1032="Cancelled","Cancelado: excluido de totales",IF(R1032="","Sin estado: se trata como Draft",IF(BF1032="Submitted",IF(ISNUMBER(V1032),IF(V1032&gt;CFG_MAXD,"⚠ "&amp;V1032&amp;" días en Submitted (máx. "&amp;CFG_MAXD&amp;")",""),"Falta fecha de envío"),IF(BF1032="Returned","⚠ Devuelto: corregir y reenviar",IF(BF1032="Recall Requested","Retirada solicitada: pendiente",IF(AND(BF1032="Approved",NOT(ISNUMBER(T1032))),"Falta fecha de aprobación",IF(AND(ISNUMBER(S1032),ISNUMBER(T1032),T1032&lt;S1032),"Aprobación anterior al envío","")))))))))</f>
        <v/>
      </c>
      <c r="Y1032" s="80">
        <f>IF(COUNTA(B1032,D1032,E1032,F1032,G1032,H1032,I1032,J1032,R1032,S1032,T1032)&gt;0,1,0)</f>
        <v>0</v>
      </c>
      <c r="Z1032" s="80" t="str">
        <f>IF(AND(ISNUMBER(H1032),H1032&gt;=0,H1032&lt;1),ROUND(H1032*1440,0),"")</f>
        <v/>
      </c>
      <c r="AA1032" s="80" t="str">
        <f>IF(AND(ISNUMBER(I1032),I1032&gt;=0,I1032&lt;1),ROUND(I1032*1440,0),"")</f>
        <v/>
      </c>
      <c r="AB1032" s="80">
        <f>IF(AND(ISNUMBER(B1032),D1032&lt;&gt;"",ISNUMBER(Z1032),ISNUMBER(AA1032)),IF(Z1032=AA1032,0,1),0)</f>
        <v>0</v>
      </c>
      <c r="AC1032" s="80">
        <f>IF(AB1032=1,IF(AA1032&lt;Z1032,1,0),0)</f>
        <v>0</v>
      </c>
      <c r="AD1032" s="80">
        <f>IF(AB1032=1,IF(AC1032=1,1440-Z1032+AA1032,AA1032-Z1032),0)</f>
        <v>0</v>
      </c>
      <c r="AE1032" s="80">
        <f>IF(J1032="",0,IF(ISNUMBER(J1032),J1032,-1))</f>
        <v>0</v>
      </c>
      <c r="AF1032" s="80">
        <f>MIN(MAX(0,AE1032),AD1032)</f>
        <v>0</v>
      </c>
      <c r="AG1032" s="80">
        <f>MAX(0,AD1032-MAX(0,AE1032))</f>
        <v>0</v>
      </c>
      <c r="AH1032" s="80">
        <f>IF(ISNUMBER(B1032),IF(AND(INDEX(CFG_WDAYS,WEEKDAY(INT(B1032),2))="Sí",IF(D1032="proMX",COUNTIFS(FER_F,INT(B1032),FER_NLP,"Sí"),COUNTIFS(FER_F,INT(B1032),FER_NLM,"Sí"))=0),1,0),0)</f>
        <v>0</v>
      </c>
      <c r="AI1032" s="80">
        <f>IF(AC1032=1,IF(AND(INDEX(CFG_WDAYS,WEEKDAY(INT(B1032)+1,2))="Sí",IF(D1032="proMX",COUNTIFS(FER_F,INT(B1032)+1,FER_NLP,"Sí"),COUNTIFS(FER_F,INT(B1032)+1,FER_NLM,"Sí"))=0),1,0),0)</f>
        <v>0</v>
      </c>
      <c r="AJ1032" s="80">
        <f>IF(AC1032=1,1440-Z1032,AD1032)</f>
        <v>0</v>
      </c>
      <c r="AK1032" s="80">
        <f>IF(AND(AB1032=1,AH1032=1),MAX(0,MIN(IF(AC1032=1,1440,AA1032),CFG_WEM)-MAX(Z1032,CFG_WSM)),0)</f>
        <v>0</v>
      </c>
      <c r="AL1032" s="80">
        <f>IF(AND(AC1032=1,AI1032=1),MAX(0,MIN(AA1032,CFG_WEM)-CFG_WSM),0)</f>
        <v>0</v>
      </c>
      <c r="AM1032" s="80">
        <f>AK1032+AL1032</f>
        <v>0</v>
      </c>
      <c r="AN1032" s="80">
        <f>IF(CFG_BRK="Proporcional",IF(AD1032=0,0,AF1032*AM1032/AD1032),IF(CFG_BRK="Extras primero",MIN(AM1032,MAX(0,AF1032-(AD1032-AM1032))),MIN(AF1032,AM1032)))</f>
        <v>0</v>
      </c>
      <c r="AO1032" s="80">
        <f>AF1032-AN1032</f>
        <v>0</v>
      </c>
      <c r="AP1032" s="80">
        <f>AM1032-AN1032</f>
        <v>0</v>
      </c>
      <c r="AQ1032" s="80">
        <f>AD1032-AM1032-AO1032</f>
        <v>0</v>
      </c>
      <c r="AR1032" s="80">
        <f>IF(AM1032=0,0,AK1032-AN1032*AK1032/AM1032)</f>
        <v>0</v>
      </c>
      <c r="AS1032" s="80">
        <f>IF(AD1032-AM1032=0,0,(AJ1032-AK1032)-AO1032*(AJ1032-AK1032)/(AD1032-AM1032))</f>
        <v>0</v>
      </c>
      <c r="AT1032" s="80" t="str">
        <f>IF(AC1032=1,INT(B1032)+1,"")</f>
        <v/>
      </c>
      <c r="AU1032" s="80">
        <f>IF(AND(D1032="proMX",R1032="Cancelled"),0,1)</f>
        <v>1</v>
      </c>
      <c r="AV1032" s="80">
        <f>IF(AND(AB1032=1,AU1032=1),IF(COUNTIFS($D$5:D1031,D1032,$B$5:B1031,B1032,$Z$5:Z1031,Z1032,$AA$5:AA1031,AA1032,$F$5:F1031,F1032&amp;"",$AU$5:AU1031,1)&gt;0,1,0),0)</f>
        <v>0</v>
      </c>
      <c r="AW1032" s="80" t="str">
        <f>IF(AB1032=1,INT(B1032)*1440+Z1032,"")</f>
        <v/>
      </c>
      <c r="AX1032" s="80" t="str">
        <f>IF(AB1032=1,AW1032+AD1032,"")</f>
        <v/>
      </c>
      <c r="AY1032" s="80">
        <f>IF(AND(AB1032=1,AV1032=0,AU1032=1),1,0)</f>
        <v>0</v>
      </c>
      <c r="AZ1032" s="80">
        <f>IF(AY1032=1,COUNTIFS(R_Emp,D1032,R_SAbs,"&lt;"&amp;AX1032,R_EAbs,"&gt;"&amp;AW1032,R_OKey,1)-1,0)</f>
        <v>0</v>
      </c>
      <c r="BA1032" s="80">
        <f>IF(AY1032=1,COUNTIFS(R_Emp,"&lt;&gt;"&amp;D1032,R_SAbs,"&lt;"&amp;AX1032,R_EAbs,"&gt;"&amp;AW1032,R_OKey,1),0)</f>
        <v>0</v>
      </c>
      <c r="BB1032" s="80">
        <f>IF(AND(AB1032=1,D1032="proMX"),IF(AND(MOD(Z1032,CFG_BLK)=0,MOD(AA1032,CFG_BLK)=0,MOD(AG1032,CFG_BLK)=0,AG1032&gt;0),1,0),1)</f>
        <v>1</v>
      </c>
      <c r="BC1032" s="80" t="str">
        <f>IF(Y1032=0,"",IF(NOT(ISNUMBER(B1032)),"Falta fecha o fecha inválida",IF(D1032="","Falta empresa",IF(AND(D1032&lt;&gt;"Malcolm",D1032&lt;&gt;"proMX"),"Empresa inválida",IF(OR(INT(B1032)&lt;CFG_PSTART,INT(B1032)&gt;CFG_PEND),"Fecha fuera del período",IF(OR(NOT(ISNUMBER(Z1032)),NOT(ISNUMBER(AA1032))),"Falta hora inicio/fin o formato inválido",IF(AB1032=0,"Hora inicio = hora fin",IF(AE1032&lt;0,"Descanso inválido",IF(AE1032&gt;=AD1032,"Descanso ≥ duración",IF(AV1032=1,"Registro duplicado",IF(AZ1032&gt;0,"Se superpone con otro registro "&amp;D1032,IF(BB1032=0,"inicio, fin y duración neta deben ser múltiplos de "&amp;CFG_BLK&amp;" min",""))))))))))))</f>
        <v/>
      </c>
      <c r="BD1032" s="80">
        <f>IF(AND(Y1032=1,BC1032=""),1,0)</f>
        <v>0</v>
      </c>
      <c r="BE1032" s="80">
        <f>IF(AND(BD1032=1,AU1032=1),1,0)</f>
        <v>0</v>
      </c>
      <c r="BF1032" s="80" t="str">
        <f>IF(AND(D1032="proMX",BD1032=1),IF(R1032="","Draft",R1032),"")</f>
        <v/>
      </c>
      <c r="BG1032" s="80">
        <f>IF(BD1032=1,ROUND(AG1032/60,6),0)</f>
        <v>0</v>
      </c>
      <c r="BH1032" s="80">
        <f>IF(BE1032=1,ROUND(AG1032/60,6),0)</f>
        <v>0</v>
      </c>
      <c r="BI1032" s="80">
        <f>IF(BE1032=1,ROUND(AP1032/60,6),0)</f>
        <v>0</v>
      </c>
      <c r="BJ1032" s="80">
        <f>IF(BE1032=1,ROUND(AQ1032/60,6),0)</f>
        <v>0</v>
      </c>
      <c r="BK1032" s="80">
        <f>IF(BE1032=1,ROUND((AR1032+AS1032)/60,6),0)</f>
        <v>0</v>
      </c>
      <c r="BL1032" s="80">
        <f>ROUND(BH1032-BK1032,6)</f>
        <v>0</v>
      </c>
      <c r="BM1032" s="80">
        <f>IF(BE1032=1,ROUND(AR1032/60,6),0)</f>
        <v>0</v>
      </c>
      <c r="BN1032" s="80">
        <f>ROUND(BI1032-BM1032,6)</f>
        <v>0</v>
      </c>
      <c r="BO1032" s="80">
        <f>IF(BE1032=1,ROUND(AS1032/60,6),0)</f>
        <v>0</v>
      </c>
      <c r="BP1032" s="80">
        <f>ROUND(BJ1032-BO1032,6)</f>
        <v>0</v>
      </c>
      <c r="BQ1032" s="80">
        <f>IF(BE1032=1,AW1032,0)</f>
        <v>0</v>
      </c>
      <c r="BR1032" s="80">
        <f>IF(BE1032=1,AX1032,0)</f>
        <v>0</v>
      </c>
      <c r="BS1032" s="80">
        <f>IF(AND(BE1032=1,D1032="Malcolm",BA1032&gt;0),MIN(BH1032,SUMPRODUCT((R_Emp="proMX")*(R_EN&gt;0)*((R_EN-(R_EN&gt;BR1032)*(R_EN-BR1032))&gt;(R_SN+(R_SN&lt;BQ1032)*(BQ1032-R_SN)))*((R_EN-(R_EN&gt;BR1032)*(R_EN-BR1032))-(R_SN+(R_SN&lt;BQ1032)*(BQ1032-R_SN))))/60),0)</f>
        <v>0</v>
      </c>
      <c r="BT1032" s="80">
        <f>IF(AND(BE1032=1,D1032="proMX"),ROUND(BI1032*CFG_RATE+BJ1032*CFG_OTRATE,6),0)</f>
        <v>0</v>
      </c>
      <c r="BU1032" s="80">
        <f>IF(AND(BD1032=1,D1032="proMX"),ROUND(AG1032/CFG_BLK,6),0)</f>
        <v>0</v>
      </c>
      <c r="BV1032" s="80" t="str">
        <f>IF(BF1032="Approved",IF(ISNUMBER(T1032),INT(T1032),INT(B1032)),"")</f>
        <v/>
      </c>
      <c r="BW1032" s="80">
        <f>IF(ISNUMBER(B1032),IF(DB_MON="Todos",1,IF(AND(INT(B1032)&gt;=DB_MS,INT(B1032)&lt;=DB_ME),1,0)),0)</f>
        <v>0</v>
      </c>
      <c r="BX1032" s="80">
        <f>IF(DB_PROJ="Todos",1,IF(E1032&amp;""=DB_PROJ&amp;"",1,0))</f>
        <v>1</v>
      </c>
      <c r="BY1032" s="80">
        <f>BW1032*BX1032</f>
        <v>0</v>
      </c>
      <c r="BZ1032" s="80" t="str">
        <f>IF(Y1032=1,F1032&amp;IF(AND(F1032&amp;""&lt;&gt;"",E1032&amp;""&lt;&gt;"")," · ","")&amp;E1032,"")</f>
        <v/>
      </c>
      <c r="CA1032" s="80" t="str">
        <f>IF(AND(BD1032=1,E1032&amp;""&lt;&gt;""),IF(COUNTIFS($E$5:E1031,E1032,$BD$5:BD1031,1)=0,MAX($CA$5:CA1031)+1,""),"")</f>
        <v/>
      </c>
      <c r="CB1032" s="80" t="str">
        <f>IF(AND(BE1032=1,D1032="Malcolm",E1032&amp;""&lt;&gt;""),IF(COUNTIFS($D$5:D1031,"Malcolm",$E$5:E1031,E1032,$BE$5:BE1031,1)=0,MAX($CB$5:CB1031)+1,""),"")</f>
        <v/>
      </c>
      <c r="CC1032" s="80" t="str">
        <f>IF(AND(BD1032=1,D1032="proMX",E1032&amp;""&lt;&gt;""),IF(COUNTIFS($D$5:D1031,"proMX",$E$5:E1031,E1032,$BD$5:BD1031,1)=0,MAX($CC$5:CC1031)+1,""),"")</f>
        <v/>
      </c>
      <c r="CD1032" s="80" t="str">
        <f>IF(AND(BE1032=1,D1032="Malcolm",F1032&amp;""&lt;&gt;""),IF(COUNTIFS($D$5:D1031,"Malcolm",$F$5:F1031,F1032,$BE$5:BE1031,1)=0,MAX($CD$5:CD1031)+1,""),"")</f>
        <v/>
      </c>
      <c r="CE1032" s="80" t="str">
        <f>IF(AND(BD1032=1,D1032="proMX",F1032&amp;""&lt;&gt;""),IF(COUNTIFS($D$5:D1031,"proMX",$F$5:F1031,F1032,$BD$5:BD1031,1)=0,MAX($CE$5:CE1031)+1,""),"")</f>
        <v/>
      </c>
      <c r="CF1032" s="80" t="str">
        <f>IF(AND(D1032="proMX",BD1032=1),IF(OR(BF1032="Draft",BF1032="Submitted",BF1032="Returned",BF1032="Recall Requested"),MAX($CF$5:CF1031)+1,""),"")</f>
        <v/>
      </c>
      <c r="CG1032" s="80">
        <f>IF(BD1032=0,0,IF(D1032="Malcolm",1,MATCH(BF1032,{"Draft","Submitted","Approved","Returned","Recall Requested","Cancelled"},0)+1))</f>
        <v>0</v>
      </c>
      <c r="CH1032" s="80">
        <f>IF(AND(BF1032="Submitted",ISNUMBER(V1032)),IF(V1032&gt;CFG_MAXD,1,0),0)</f>
        <v>0</v>
      </c>
    </row>
    <row r="1033">
      <c r="A1033" s="71" t="str">
        <f>IF(Y1033=1,ROW()-5,"")</f>
        <v/>
      </c>
      <c r="B1033" s="72" t="n"/>
      <c r="C1033" s="71" t="str">
        <f>IF(ISNUMBER(B1033),CHOOSE(WEEKDAY(B1033,2),"Lun","Mar","Mié","Jue","Vie","Sáb","Dom"),"")</f>
        <v/>
      </c>
      <c r="D1033" s="73" t="n"/>
      <c r="E1033" s="74" t="n"/>
      <c r="F1033" s="74" t="n"/>
      <c r="G1033" s="74" t="n"/>
      <c r="H1033" s="75" t="n"/>
      <c r="I1033" s="75" t="n"/>
      <c r="J1033" s="76" t="n"/>
      <c r="K1033" s="77" t="str">
        <f>IF(AB1033=1,ROUND(AG1033/60,4),"")</f>
        <v/>
      </c>
      <c r="L1033" s="77" t="str">
        <f>IF(BD1033=1,ROUND(AP1033/60,4),"")</f>
        <v/>
      </c>
      <c r="M1033" s="77" t="str">
        <f>IF(BD1033=1,ROUND(AQ1033/60,4),"")</f>
        <v/>
      </c>
      <c r="N1033" s="71" t="str">
        <f>IF(AND(D1033="proMX",AB1033=1),ROUND(AG1033/CFG_BLK,2),"")</f>
        <v/>
      </c>
      <c r="O1033" s="77" t="str">
        <f>IF(D1033="proMX",IF(BD1033=1,ROUND(AG1033/60,4),0),"")</f>
        <v/>
      </c>
      <c r="P1033" s="78" t="str">
        <f>IF(Y1033=0,"",IF(BD1033=1,"OK",IF(D1033="proMX","Revisar bloques: ","Revisar: ")&amp;BC1033))</f>
        <v/>
      </c>
      <c r="Q1033" s="78" t="str">
        <f>IF(NOT(ISNUMBER(B1033)),"",IF(COUNTIFS(FER_F,INT(B1033))&gt;0,"Feriado"&amp;IF(AH1033=1," (laborable)"," (no laborable)"),IF(AH1033=1,"Laborable",IF(WEEKDAY(B1033,2)&gt;5,"Fin de semana","No laborable"))))</f>
        <v/>
      </c>
      <c r="R1033" s="73" t="n"/>
      <c r="S1033" s="72" t="n"/>
      <c r="T1033" s="72" t="n"/>
      <c r="U1033" s="74" t="n"/>
      <c r="V1033" s="79" t="str">
        <f>IF(AND(D1033="proMX",OR(R1033="Submitted",R1033="Recall Requested"),ISNUMBER(S1033)),CFG_TODAY-INT(S1033),"")</f>
        <v/>
      </c>
      <c r="W1033" s="78" t="str">
        <f>IF(BD1033=0,"",IF(BA1033&gt;0,"⚠ Se superpone con un registro de la otra empresa",IF(D1033="Malcolm",IF(COUNTA(R1033,S1033,T1033)&gt;0,"Estado/fechas proMX se ignoran en Malcolm",""),IF(BF1033="Cancelled","Cancelado: excluido de totales",IF(R1033="","Sin estado: se trata como Draft",IF(BF1033="Submitted",IF(ISNUMBER(V1033),IF(V1033&gt;CFG_MAXD,"⚠ "&amp;V1033&amp;" días en Submitted (máx. "&amp;CFG_MAXD&amp;")",""),"Falta fecha de envío"),IF(BF1033="Returned","⚠ Devuelto: corregir y reenviar",IF(BF1033="Recall Requested","Retirada solicitada: pendiente",IF(AND(BF1033="Approved",NOT(ISNUMBER(T1033))),"Falta fecha de aprobación",IF(AND(ISNUMBER(S1033),ISNUMBER(T1033),T1033&lt;S1033),"Aprobación anterior al envío","")))))))))</f>
        <v/>
      </c>
      <c r="Y1033" s="80">
        <f>IF(COUNTA(B1033,D1033,E1033,F1033,G1033,H1033,I1033,J1033,R1033,S1033,T1033)&gt;0,1,0)</f>
        <v>0</v>
      </c>
      <c r="Z1033" s="80" t="str">
        <f>IF(AND(ISNUMBER(H1033),H1033&gt;=0,H1033&lt;1),ROUND(H1033*1440,0),"")</f>
        <v/>
      </c>
      <c r="AA1033" s="80" t="str">
        <f>IF(AND(ISNUMBER(I1033),I1033&gt;=0,I1033&lt;1),ROUND(I1033*1440,0),"")</f>
        <v/>
      </c>
      <c r="AB1033" s="80">
        <f>IF(AND(ISNUMBER(B1033),D1033&lt;&gt;"",ISNUMBER(Z1033),ISNUMBER(AA1033)),IF(Z1033=AA1033,0,1),0)</f>
        <v>0</v>
      </c>
      <c r="AC1033" s="80">
        <f>IF(AB1033=1,IF(AA1033&lt;Z1033,1,0),0)</f>
        <v>0</v>
      </c>
      <c r="AD1033" s="80">
        <f>IF(AB1033=1,IF(AC1033=1,1440-Z1033+AA1033,AA1033-Z1033),0)</f>
        <v>0</v>
      </c>
      <c r="AE1033" s="80">
        <f>IF(J1033="",0,IF(ISNUMBER(J1033),J1033,-1))</f>
        <v>0</v>
      </c>
      <c r="AF1033" s="80">
        <f>MIN(MAX(0,AE1033),AD1033)</f>
        <v>0</v>
      </c>
      <c r="AG1033" s="80">
        <f>MAX(0,AD1033-MAX(0,AE1033))</f>
        <v>0</v>
      </c>
      <c r="AH1033" s="80">
        <f>IF(ISNUMBER(B1033),IF(AND(INDEX(CFG_WDAYS,WEEKDAY(INT(B1033),2))="Sí",IF(D1033="proMX",COUNTIFS(FER_F,INT(B1033),FER_NLP,"Sí"),COUNTIFS(FER_F,INT(B1033),FER_NLM,"Sí"))=0),1,0),0)</f>
        <v>0</v>
      </c>
      <c r="AI1033" s="80">
        <f>IF(AC1033=1,IF(AND(INDEX(CFG_WDAYS,WEEKDAY(INT(B1033)+1,2))="Sí",IF(D1033="proMX",COUNTIFS(FER_F,INT(B1033)+1,FER_NLP,"Sí"),COUNTIFS(FER_F,INT(B1033)+1,FER_NLM,"Sí"))=0),1,0),0)</f>
        <v>0</v>
      </c>
      <c r="AJ1033" s="80">
        <f>IF(AC1033=1,1440-Z1033,AD1033)</f>
        <v>0</v>
      </c>
      <c r="AK1033" s="80">
        <f>IF(AND(AB1033=1,AH1033=1),MAX(0,MIN(IF(AC1033=1,1440,AA1033),CFG_WEM)-MAX(Z1033,CFG_WSM)),0)</f>
        <v>0</v>
      </c>
      <c r="AL1033" s="80">
        <f>IF(AND(AC1033=1,AI1033=1),MAX(0,MIN(AA1033,CFG_WEM)-CFG_WSM),0)</f>
        <v>0</v>
      </c>
      <c r="AM1033" s="80">
        <f>AK1033+AL1033</f>
        <v>0</v>
      </c>
      <c r="AN1033" s="80">
        <f>IF(CFG_BRK="Proporcional",IF(AD1033=0,0,AF1033*AM1033/AD1033),IF(CFG_BRK="Extras primero",MIN(AM1033,MAX(0,AF1033-(AD1033-AM1033))),MIN(AF1033,AM1033)))</f>
        <v>0</v>
      </c>
      <c r="AO1033" s="80">
        <f>AF1033-AN1033</f>
        <v>0</v>
      </c>
      <c r="AP1033" s="80">
        <f>AM1033-AN1033</f>
        <v>0</v>
      </c>
      <c r="AQ1033" s="80">
        <f>AD1033-AM1033-AO1033</f>
        <v>0</v>
      </c>
      <c r="AR1033" s="80">
        <f>IF(AM1033=0,0,AK1033-AN1033*AK1033/AM1033)</f>
        <v>0</v>
      </c>
      <c r="AS1033" s="80">
        <f>IF(AD1033-AM1033=0,0,(AJ1033-AK1033)-AO1033*(AJ1033-AK1033)/(AD1033-AM1033))</f>
        <v>0</v>
      </c>
      <c r="AT1033" s="80" t="str">
        <f>IF(AC1033=1,INT(B1033)+1,"")</f>
        <v/>
      </c>
      <c r="AU1033" s="80">
        <f>IF(AND(D1033="proMX",R1033="Cancelled"),0,1)</f>
        <v>1</v>
      </c>
      <c r="AV1033" s="80">
        <f>IF(AND(AB1033=1,AU1033=1),IF(COUNTIFS($D$5:D1032,D1033,$B$5:B1032,B1033,$Z$5:Z1032,Z1033,$AA$5:AA1032,AA1033,$F$5:F1032,F1033&amp;"",$AU$5:AU1032,1)&gt;0,1,0),0)</f>
        <v>0</v>
      </c>
      <c r="AW1033" s="80" t="str">
        <f>IF(AB1033=1,INT(B1033)*1440+Z1033,"")</f>
        <v/>
      </c>
      <c r="AX1033" s="80" t="str">
        <f>IF(AB1033=1,AW1033+AD1033,"")</f>
        <v/>
      </c>
      <c r="AY1033" s="80">
        <f>IF(AND(AB1033=1,AV1033=0,AU1033=1),1,0)</f>
        <v>0</v>
      </c>
      <c r="AZ1033" s="80">
        <f>IF(AY1033=1,COUNTIFS(R_Emp,D1033,R_SAbs,"&lt;"&amp;AX1033,R_EAbs,"&gt;"&amp;AW1033,R_OKey,1)-1,0)</f>
        <v>0</v>
      </c>
      <c r="BA1033" s="80">
        <f>IF(AY1033=1,COUNTIFS(R_Emp,"&lt;&gt;"&amp;D1033,R_SAbs,"&lt;"&amp;AX1033,R_EAbs,"&gt;"&amp;AW1033,R_OKey,1),0)</f>
        <v>0</v>
      </c>
      <c r="BB1033" s="80">
        <f>IF(AND(AB1033=1,D1033="proMX"),IF(AND(MOD(Z1033,CFG_BLK)=0,MOD(AA1033,CFG_BLK)=0,MOD(AG1033,CFG_BLK)=0,AG1033&gt;0),1,0),1)</f>
        <v>1</v>
      </c>
      <c r="BC1033" s="80" t="str">
        <f>IF(Y1033=0,"",IF(NOT(ISNUMBER(B1033)),"Falta fecha o fecha inválida",IF(D1033="","Falta empresa",IF(AND(D1033&lt;&gt;"Malcolm",D1033&lt;&gt;"proMX"),"Empresa inválida",IF(OR(INT(B1033)&lt;CFG_PSTART,INT(B1033)&gt;CFG_PEND),"Fecha fuera del período",IF(OR(NOT(ISNUMBER(Z1033)),NOT(ISNUMBER(AA1033))),"Falta hora inicio/fin o formato inválido",IF(AB1033=0,"Hora inicio = hora fin",IF(AE1033&lt;0,"Descanso inválido",IF(AE1033&gt;=AD1033,"Descanso ≥ duración",IF(AV1033=1,"Registro duplicado",IF(AZ1033&gt;0,"Se superpone con otro registro "&amp;D1033,IF(BB1033=0,"inicio, fin y duración neta deben ser múltiplos de "&amp;CFG_BLK&amp;" min",""))))))))))))</f>
        <v/>
      </c>
      <c r="BD1033" s="80">
        <f>IF(AND(Y1033=1,BC1033=""),1,0)</f>
        <v>0</v>
      </c>
      <c r="BE1033" s="80">
        <f>IF(AND(BD1033=1,AU1033=1),1,0)</f>
        <v>0</v>
      </c>
      <c r="BF1033" s="80" t="str">
        <f>IF(AND(D1033="proMX",BD1033=1),IF(R1033="","Draft",R1033),"")</f>
        <v/>
      </c>
      <c r="BG1033" s="80">
        <f>IF(BD1033=1,ROUND(AG1033/60,6),0)</f>
        <v>0</v>
      </c>
      <c r="BH1033" s="80">
        <f>IF(BE1033=1,ROUND(AG1033/60,6),0)</f>
        <v>0</v>
      </c>
      <c r="BI1033" s="80">
        <f>IF(BE1033=1,ROUND(AP1033/60,6),0)</f>
        <v>0</v>
      </c>
      <c r="BJ1033" s="80">
        <f>IF(BE1033=1,ROUND(AQ1033/60,6),0)</f>
        <v>0</v>
      </c>
      <c r="BK1033" s="80">
        <f>IF(BE1033=1,ROUND((AR1033+AS1033)/60,6),0)</f>
        <v>0</v>
      </c>
      <c r="BL1033" s="80">
        <f>ROUND(BH1033-BK1033,6)</f>
        <v>0</v>
      </c>
      <c r="BM1033" s="80">
        <f>IF(BE1033=1,ROUND(AR1033/60,6),0)</f>
        <v>0</v>
      </c>
      <c r="BN1033" s="80">
        <f>ROUND(BI1033-BM1033,6)</f>
        <v>0</v>
      </c>
      <c r="BO1033" s="80">
        <f>IF(BE1033=1,ROUND(AS1033/60,6),0)</f>
        <v>0</v>
      </c>
      <c r="BP1033" s="80">
        <f>ROUND(BJ1033-BO1033,6)</f>
        <v>0</v>
      </c>
      <c r="BQ1033" s="80">
        <f>IF(BE1033=1,AW1033,0)</f>
        <v>0</v>
      </c>
      <c r="BR1033" s="80">
        <f>IF(BE1033=1,AX1033,0)</f>
        <v>0</v>
      </c>
      <c r="BS1033" s="80">
        <f>IF(AND(BE1033=1,D1033="Malcolm",BA1033&gt;0),MIN(BH1033,SUMPRODUCT((R_Emp="proMX")*(R_EN&gt;0)*((R_EN-(R_EN&gt;BR1033)*(R_EN-BR1033))&gt;(R_SN+(R_SN&lt;BQ1033)*(BQ1033-R_SN)))*((R_EN-(R_EN&gt;BR1033)*(R_EN-BR1033))-(R_SN+(R_SN&lt;BQ1033)*(BQ1033-R_SN))))/60),0)</f>
        <v>0</v>
      </c>
      <c r="BT1033" s="80">
        <f>IF(AND(BE1033=1,D1033="proMX"),ROUND(BI1033*CFG_RATE+BJ1033*CFG_OTRATE,6),0)</f>
        <v>0</v>
      </c>
      <c r="BU1033" s="80">
        <f>IF(AND(BD1033=1,D1033="proMX"),ROUND(AG1033/CFG_BLK,6),0)</f>
        <v>0</v>
      </c>
      <c r="BV1033" s="80" t="str">
        <f>IF(BF1033="Approved",IF(ISNUMBER(T1033),INT(T1033),INT(B1033)),"")</f>
        <v/>
      </c>
      <c r="BW1033" s="80">
        <f>IF(ISNUMBER(B1033),IF(DB_MON="Todos",1,IF(AND(INT(B1033)&gt;=DB_MS,INT(B1033)&lt;=DB_ME),1,0)),0)</f>
        <v>0</v>
      </c>
      <c r="BX1033" s="80">
        <f>IF(DB_PROJ="Todos",1,IF(E1033&amp;""=DB_PROJ&amp;"",1,0))</f>
        <v>1</v>
      </c>
      <c r="BY1033" s="80">
        <f>BW1033*BX1033</f>
        <v>0</v>
      </c>
      <c r="BZ1033" s="80" t="str">
        <f>IF(Y1033=1,F1033&amp;IF(AND(F1033&amp;""&lt;&gt;"",E1033&amp;""&lt;&gt;"")," · ","")&amp;E1033,"")</f>
        <v/>
      </c>
      <c r="CA1033" s="80" t="str">
        <f>IF(AND(BD1033=1,E1033&amp;""&lt;&gt;""),IF(COUNTIFS($E$5:E1032,E1033,$BD$5:BD1032,1)=0,MAX($CA$5:CA1032)+1,""),"")</f>
        <v/>
      </c>
      <c r="CB1033" s="80" t="str">
        <f>IF(AND(BE1033=1,D1033="Malcolm",E1033&amp;""&lt;&gt;""),IF(COUNTIFS($D$5:D1032,"Malcolm",$E$5:E1032,E1033,$BE$5:BE1032,1)=0,MAX($CB$5:CB1032)+1,""),"")</f>
        <v/>
      </c>
      <c r="CC1033" s="80" t="str">
        <f>IF(AND(BD1033=1,D1033="proMX",E1033&amp;""&lt;&gt;""),IF(COUNTIFS($D$5:D1032,"proMX",$E$5:E1032,E1033,$BD$5:BD1032,1)=0,MAX($CC$5:CC1032)+1,""),"")</f>
        <v/>
      </c>
      <c r="CD1033" s="80" t="str">
        <f>IF(AND(BE1033=1,D1033="Malcolm",F1033&amp;""&lt;&gt;""),IF(COUNTIFS($D$5:D1032,"Malcolm",$F$5:F1032,F1033,$BE$5:BE1032,1)=0,MAX($CD$5:CD1032)+1,""),"")</f>
        <v/>
      </c>
      <c r="CE1033" s="80" t="str">
        <f>IF(AND(BD1033=1,D1033="proMX",F1033&amp;""&lt;&gt;""),IF(COUNTIFS($D$5:D1032,"proMX",$F$5:F1032,F1033,$BD$5:BD1032,1)=0,MAX($CE$5:CE1032)+1,""),"")</f>
        <v/>
      </c>
      <c r="CF1033" s="80" t="str">
        <f>IF(AND(D1033="proMX",BD1033=1),IF(OR(BF1033="Draft",BF1033="Submitted",BF1033="Returned",BF1033="Recall Requested"),MAX($CF$5:CF1032)+1,""),"")</f>
        <v/>
      </c>
      <c r="CG1033" s="80">
        <f>IF(BD1033=0,0,IF(D1033="Malcolm",1,MATCH(BF1033,{"Draft","Submitted","Approved","Returned","Recall Requested","Cancelled"},0)+1))</f>
        <v>0</v>
      </c>
      <c r="CH1033" s="80">
        <f>IF(AND(BF1033="Submitted",ISNUMBER(V1033)),IF(V1033&gt;CFG_MAXD,1,0),0)</f>
        <v>0</v>
      </c>
    </row>
    <row r="1034">
      <c r="A1034" s="71" t="str">
        <f>IF(Y1034=1,ROW()-5,"")</f>
        <v/>
      </c>
      <c r="B1034" s="72" t="n"/>
      <c r="C1034" s="71" t="str">
        <f>IF(ISNUMBER(B1034),CHOOSE(WEEKDAY(B1034,2),"Lun","Mar","Mié","Jue","Vie","Sáb","Dom"),"")</f>
        <v/>
      </c>
      <c r="D1034" s="73" t="n"/>
      <c r="E1034" s="74" t="n"/>
      <c r="F1034" s="74" t="n"/>
      <c r="G1034" s="74" t="n"/>
      <c r="H1034" s="75" t="n"/>
      <c r="I1034" s="75" t="n"/>
      <c r="J1034" s="76" t="n"/>
      <c r="K1034" s="77" t="str">
        <f>IF(AB1034=1,ROUND(AG1034/60,4),"")</f>
        <v/>
      </c>
      <c r="L1034" s="77" t="str">
        <f>IF(BD1034=1,ROUND(AP1034/60,4),"")</f>
        <v/>
      </c>
      <c r="M1034" s="77" t="str">
        <f>IF(BD1034=1,ROUND(AQ1034/60,4),"")</f>
        <v/>
      </c>
      <c r="N1034" s="71" t="str">
        <f>IF(AND(D1034="proMX",AB1034=1),ROUND(AG1034/CFG_BLK,2),"")</f>
        <v/>
      </c>
      <c r="O1034" s="77" t="str">
        <f>IF(D1034="proMX",IF(BD1034=1,ROUND(AG1034/60,4),0),"")</f>
        <v/>
      </c>
      <c r="P1034" s="78" t="str">
        <f>IF(Y1034=0,"",IF(BD1034=1,"OK",IF(D1034="proMX","Revisar bloques: ","Revisar: ")&amp;BC1034))</f>
        <v/>
      </c>
      <c r="Q1034" s="78" t="str">
        <f>IF(NOT(ISNUMBER(B1034)),"",IF(COUNTIFS(FER_F,INT(B1034))&gt;0,"Feriado"&amp;IF(AH1034=1," (laborable)"," (no laborable)"),IF(AH1034=1,"Laborable",IF(WEEKDAY(B1034,2)&gt;5,"Fin de semana","No laborable"))))</f>
        <v/>
      </c>
      <c r="R1034" s="73" t="n"/>
      <c r="S1034" s="72" t="n"/>
      <c r="T1034" s="72" t="n"/>
      <c r="U1034" s="74" t="n"/>
      <c r="V1034" s="79" t="str">
        <f>IF(AND(D1034="proMX",OR(R1034="Submitted",R1034="Recall Requested"),ISNUMBER(S1034)),CFG_TODAY-INT(S1034),"")</f>
        <v/>
      </c>
      <c r="W1034" s="78" t="str">
        <f>IF(BD1034=0,"",IF(BA1034&gt;0,"⚠ Se superpone con un registro de la otra empresa",IF(D1034="Malcolm",IF(COUNTA(R1034,S1034,T1034)&gt;0,"Estado/fechas proMX se ignoran en Malcolm",""),IF(BF1034="Cancelled","Cancelado: excluido de totales",IF(R1034="","Sin estado: se trata como Draft",IF(BF1034="Submitted",IF(ISNUMBER(V1034),IF(V1034&gt;CFG_MAXD,"⚠ "&amp;V1034&amp;" días en Submitted (máx. "&amp;CFG_MAXD&amp;")",""),"Falta fecha de envío"),IF(BF1034="Returned","⚠ Devuelto: corregir y reenviar",IF(BF1034="Recall Requested","Retirada solicitada: pendiente",IF(AND(BF1034="Approved",NOT(ISNUMBER(T1034))),"Falta fecha de aprobación",IF(AND(ISNUMBER(S1034),ISNUMBER(T1034),T1034&lt;S1034),"Aprobación anterior al envío","")))))))))</f>
        <v/>
      </c>
      <c r="Y1034" s="80">
        <f>IF(COUNTA(B1034,D1034,E1034,F1034,G1034,H1034,I1034,J1034,R1034,S1034,T1034)&gt;0,1,0)</f>
        <v>0</v>
      </c>
      <c r="Z1034" s="80" t="str">
        <f>IF(AND(ISNUMBER(H1034),H1034&gt;=0,H1034&lt;1),ROUND(H1034*1440,0),"")</f>
        <v/>
      </c>
      <c r="AA1034" s="80" t="str">
        <f>IF(AND(ISNUMBER(I1034),I1034&gt;=0,I1034&lt;1),ROUND(I1034*1440,0),"")</f>
        <v/>
      </c>
      <c r="AB1034" s="80">
        <f>IF(AND(ISNUMBER(B1034),D1034&lt;&gt;"",ISNUMBER(Z1034),ISNUMBER(AA1034)),IF(Z1034=AA1034,0,1),0)</f>
        <v>0</v>
      </c>
      <c r="AC1034" s="80">
        <f>IF(AB1034=1,IF(AA1034&lt;Z1034,1,0),0)</f>
        <v>0</v>
      </c>
      <c r="AD1034" s="80">
        <f>IF(AB1034=1,IF(AC1034=1,1440-Z1034+AA1034,AA1034-Z1034),0)</f>
        <v>0</v>
      </c>
      <c r="AE1034" s="80">
        <f>IF(J1034="",0,IF(ISNUMBER(J1034),J1034,-1))</f>
        <v>0</v>
      </c>
      <c r="AF1034" s="80">
        <f>MIN(MAX(0,AE1034),AD1034)</f>
        <v>0</v>
      </c>
      <c r="AG1034" s="80">
        <f>MAX(0,AD1034-MAX(0,AE1034))</f>
        <v>0</v>
      </c>
      <c r="AH1034" s="80">
        <f>IF(ISNUMBER(B1034),IF(AND(INDEX(CFG_WDAYS,WEEKDAY(INT(B1034),2))="Sí",IF(D1034="proMX",COUNTIFS(FER_F,INT(B1034),FER_NLP,"Sí"),COUNTIFS(FER_F,INT(B1034),FER_NLM,"Sí"))=0),1,0),0)</f>
        <v>0</v>
      </c>
      <c r="AI1034" s="80">
        <f>IF(AC1034=1,IF(AND(INDEX(CFG_WDAYS,WEEKDAY(INT(B1034)+1,2))="Sí",IF(D1034="proMX",COUNTIFS(FER_F,INT(B1034)+1,FER_NLP,"Sí"),COUNTIFS(FER_F,INT(B1034)+1,FER_NLM,"Sí"))=0),1,0),0)</f>
        <v>0</v>
      </c>
      <c r="AJ1034" s="80">
        <f>IF(AC1034=1,1440-Z1034,AD1034)</f>
        <v>0</v>
      </c>
      <c r="AK1034" s="80">
        <f>IF(AND(AB1034=1,AH1034=1),MAX(0,MIN(IF(AC1034=1,1440,AA1034),CFG_WEM)-MAX(Z1034,CFG_WSM)),0)</f>
        <v>0</v>
      </c>
      <c r="AL1034" s="80">
        <f>IF(AND(AC1034=1,AI1034=1),MAX(0,MIN(AA1034,CFG_WEM)-CFG_WSM),0)</f>
        <v>0</v>
      </c>
      <c r="AM1034" s="80">
        <f>AK1034+AL1034</f>
        <v>0</v>
      </c>
      <c r="AN1034" s="80">
        <f>IF(CFG_BRK="Proporcional",IF(AD1034=0,0,AF1034*AM1034/AD1034),IF(CFG_BRK="Extras primero",MIN(AM1034,MAX(0,AF1034-(AD1034-AM1034))),MIN(AF1034,AM1034)))</f>
        <v>0</v>
      </c>
      <c r="AO1034" s="80">
        <f>AF1034-AN1034</f>
        <v>0</v>
      </c>
      <c r="AP1034" s="80">
        <f>AM1034-AN1034</f>
        <v>0</v>
      </c>
      <c r="AQ1034" s="80">
        <f>AD1034-AM1034-AO1034</f>
        <v>0</v>
      </c>
      <c r="AR1034" s="80">
        <f>IF(AM1034=0,0,AK1034-AN1034*AK1034/AM1034)</f>
        <v>0</v>
      </c>
      <c r="AS1034" s="80">
        <f>IF(AD1034-AM1034=0,0,(AJ1034-AK1034)-AO1034*(AJ1034-AK1034)/(AD1034-AM1034))</f>
        <v>0</v>
      </c>
      <c r="AT1034" s="80" t="str">
        <f>IF(AC1034=1,INT(B1034)+1,"")</f>
        <v/>
      </c>
      <c r="AU1034" s="80">
        <f>IF(AND(D1034="proMX",R1034="Cancelled"),0,1)</f>
        <v>1</v>
      </c>
      <c r="AV1034" s="80">
        <f>IF(AND(AB1034=1,AU1034=1),IF(COUNTIFS($D$5:D1033,D1034,$B$5:B1033,B1034,$Z$5:Z1033,Z1034,$AA$5:AA1033,AA1034,$F$5:F1033,F1034&amp;"",$AU$5:AU1033,1)&gt;0,1,0),0)</f>
        <v>0</v>
      </c>
      <c r="AW1034" s="80" t="str">
        <f>IF(AB1034=1,INT(B1034)*1440+Z1034,"")</f>
        <v/>
      </c>
      <c r="AX1034" s="80" t="str">
        <f>IF(AB1034=1,AW1034+AD1034,"")</f>
        <v/>
      </c>
      <c r="AY1034" s="80">
        <f>IF(AND(AB1034=1,AV1034=0,AU1034=1),1,0)</f>
        <v>0</v>
      </c>
      <c r="AZ1034" s="80">
        <f>IF(AY1034=1,COUNTIFS(R_Emp,D1034,R_SAbs,"&lt;"&amp;AX1034,R_EAbs,"&gt;"&amp;AW1034,R_OKey,1)-1,0)</f>
        <v>0</v>
      </c>
      <c r="BA1034" s="80">
        <f>IF(AY1034=1,COUNTIFS(R_Emp,"&lt;&gt;"&amp;D1034,R_SAbs,"&lt;"&amp;AX1034,R_EAbs,"&gt;"&amp;AW1034,R_OKey,1),0)</f>
        <v>0</v>
      </c>
      <c r="BB1034" s="80">
        <f>IF(AND(AB1034=1,D1034="proMX"),IF(AND(MOD(Z1034,CFG_BLK)=0,MOD(AA1034,CFG_BLK)=0,MOD(AG1034,CFG_BLK)=0,AG1034&gt;0),1,0),1)</f>
        <v>1</v>
      </c>
      <c r="BC1034" s="80" t="str">
        <f>IF(Y1034=0,"",IF(NOT(ISNUMBER(B1034)),"Falta fecha o fecha inválida",IF(D1034="","Falta empresa",IF(AND(D1034&lt;&gt;"Malcolm",D1034&lt;&gt;"proMX"),"Empresa inválida",IF(OR(INT(B1034)&lt;CFG_PSTART,INT(B1034)&gt;CFG_PEND),"Fecha fuera del período",IF(OR(NOT(ISNUMBER(Z1034)),NOT(ISNUMBER(AA1034))),"Falta hora inicio/fin o formato inválido",IF(AB1034=0,"Hora inicio = hora fin",IF(AE1034&lt;0,"Descanso inválido",IF(AE1034&gt;=AD1034,"Descanso ≥ duración",IF(AV1034=1,"Registro duplicado",IF(AZ1034&gt;0,"Se superpone con otro registro "&amp;D1034,IF(BB1034=0,"inicio, fin y duración neta deben ser múltiplos de "&amp;CFG_BLK&amp;" min",""))))))))))))</f>
        <v/>
      </c>
      <c r="BD1034" s="80">
        <f>IF(AND(Y1034=1,BC1034=""),1,0)</f>
        <v>0</v>
      </c>
      <c r="BE1034" s="80">
        <f>IF(AND(BD1034=1,AU1034=1),1,0)</f>
        <v>0</v>
      </c>
      <c r="BF1034" s="80" t="str">
        <f>IF(AND(D1034="proMX",BD1034=1),IF(R1034="","Draft",R1034),"")</f>
        <v/>
      </c>
      <c r="BG1034" s="80">
        <f>IF(BD1034=1,ROUND(AG1034/60,6),0)</f>
        <v>0</v>
      </c>
      <c r="BH1034" s="80">
        <f>IF(BE1034=1,ROUND(AG1034/60,6),0)</f>
        <v>0</v>
      </c>
      <c r="BI1034" s="80">
        <f>IF(BE1034=1,ROUND(AP1034/60,6),0)</f>
        <v>0</v>
      </c>
      <c r="BJ1034" s="80">
        <f>IF(BE1034=1,ROUND(AQ1034/60,6),0)</f>
        <v>0</v>
      </c>
      <c r="BK1034" s="80">
        <f>IF(BE1034=1,ROUND((AR1034+AS1034)/60,6),0)</f>
        <v>0</v>
      </c>
      <c r="BL1034" s="80">
        <f>ROUND(BH1034-BK1034,6)</f>
        <v>0</v>
      </c>
      <c r="BM1034" s="80">
        <f>IF(BE1034=1,ROUND(AR1034/60,6),0)</f>
        <v>0</v>
      </c>
      <c r="BN1034" s="80">
        <f>ROUND(BI1034-BM1034,6)</f>
        <v>0</v>
      </c>
      <c r="BO1034" s="80">
        <f>IF(BE1034=1,ROUND(AS1034/60,6),0)</f>
        <v>0</v>
      </c>
      <c r="BP1034" s="80">
        <f>ROUND(BJ1034-BO1034,6)</f>
        <v>0</v>
      </c>
      <c r="BQ1034" s="80">
        <f>IF(BE1034=1,AW1034,0)</f>
        <v>0</v>
      </c>
      <c r="BR1034" s="80">
        <f>IF(BE1034=1,AX1034,0)</f>
        <v>0</v>
      </c>
      <c r="BS1034" s="80">
        <f>IF(AND(BE1034=1,D1034="Malcolm",BA1034&gt;0),MIN(BH1034,SUMPRODUCT((R_Emp="proMX")*(R_EN&gt;0)*((R_EN-(R_EN&gt;BR1034)*(R_EN-BR1034))&gt;(R_SN+(R_SN&lt;BQ1034)*(BQ1034-R_SN)))*((R_EN-(R_EN&gt;BR1034)*(R_EN-BR1034))-(R_SN+(R_SN&lt;BQ1034)*(BQ1034-R_SN))))/60),0)</f>
        <v>0</v>
      </c>
      <c r="BT1034" s="80">
        <f>IF(AND(BE1034=1,D1034="proMX"),ROUND(BI1034*CFG_RATE+BJ1034*CFG_OTRATE,6),0)</f>
        <v>0</v>
      </c>
      <c r="BU1034" s="80">
        <f>IF(AND(BD1034=1,D1034="proMX"),ROUND(AG1034/CFG_BLK,6),0)</f>
        <v>0</v>
      </c>
      <c r="BV1034" s="80" t="str">
        <f>IF(BF1034="Approved",IF(ISNUMBER(T1034),INT(T1034),INT(B1034)),"")</f>
        <v/>
      </c>
      <c r="BW1034" s="80">
        <f>IF(ISNUMBER(B1034),IF(DB_MON="Todos",1,IF(AND(INT(B1034)&gt;=DB_MS,INT(B1034)&lt;=DB_ME),1,0)),0)</f>
        <v>0</v>
      </c>
      <c r="BX1034" s="80">
        <f>IF(DB_PROJ="Todos",1,IF(E1034&amp;""=DB_PROJ&amp;"",1,0))</f>
        <v>1</v>
      </c>
      <c r="BY1034" s="80">
        <f>BW1034*BX1034</f>
        <v>0</v>
      </c>
      <c r="BZ1034" s="80" t="str">
        <f>IF(Y1034=1,F1034&amp;IF(AND(F1034&amp;""&lt;&gt;"",E1034&amp;""&lt;&gt;"")," · ","")&amp;E1034,"")</f>
        <v/>
      </c>
      <c r="CA1034" s="80" t="str">
        <f>IF(AND(BD1034=1,E1034&amp;""&lt;&gt;""),IF(COUNTIFS($E$5:E1033,E1034,$BD$5:BD1033,1)=0,MAX($CA$5:CA1033)+1,""),"")</f>
        <v/>
      </c>
      <c r="CB1034" s="80" t="str">
        <f>IF(AND(BE1034=1,D1034="Malcolm",E1034&amp;""&lt;&gt;""),IF(COUNTIFS($D$5:D1033,"Malcolm",$E$5:E1033,E1034,$BE$5:BE1033,1)=0,MAX($CB$5:CB1033)+1,""),"")</f>
        <v/>
      </c>
      <c r="CC1034" s="80" t="str">
        <f>IF(AND(BD1034=1,D1034="proMX",E1034&amp;""&lt;&gt;""),IF(COUNTIFS($D$5:D1033,"proMX",$E$5:E1033,E1034,$BD$5:BD1033,1)=0,MAX($CC$5:CC1033)+1,""),"")</f>
        <v/>
      </c>
      <c r="CD1034" s="80" t="str">
        <f>IF(AND(BE1034=1,D1034="Malcolm",F1034&amp;""&lt;&gt;""),IF(COUNTIFS($D$5:D1033,"Malcolm",$F$5:F1033,F1034,$BE$5:BE1033,1)=0,MAX($CD$5:CD1033)+1,""),"")</f>
        <v/>
      </c>
      <c r="CE1034" s="80" t="str">
        <f>IF(AND(BD1034=1,D1034="proMX",F1034&amp;""&lt;&gt;""),IF(COUNTIFS($D$5:D1033,"proMX",$F$5:F1033,F1034,$BD$5:BD1033,1)=0,MAX($CE$5:CE1033)+1,""),"")</f>
        <v/>
      </c>
      <c r="CF1034" s="80" t="str">
        <f>IF(AND(D1034="proMX",BD1034=1),IF(OR(BF1034="Draft",BF1034="Submitted",BF1034="Returned",BF1034="Recall Requested"),MAX($CF$5:CF1033)+1,""),"")</f>
        <v/>
      </c>
      <c r="CG1034" s="80">
        <f>IF(BD1034=0,0,IF(D1034="Malcolm",1,MATCH(BF1034,{"Draft","Submitted","Approved","Returned","Recall Requested","Cancelled"},0)+1))</f>
        <v>0</v>
      </c>
      <c r="CH1034" s="80">
        <f>IF(AND(BF1034="Submitted",ISNUMBER(V1034)),IF(V1034&gt;CFG_MAXD,1,0),0)</f>
        <v>0</v>
      </c>
    </row>
    <row r="1035">
      <c r="A1035" s="71" t="str">
        <f>IF(Y1035=1,ROW()-5,"")</f>
        <v/>
      </c>
      <c r="B1035" s="72" t="n"/>
      <c r="C1035" s="71" t="str">
        <f>IF(ISNUMBER(B1035),CHOOSE(WEEKDAY(B1035,2),"Lun","Mar","Mié","Jue","Vie","Sáb","Dom"),"")</f>
        <v/>
      </c>
      <c r="D1035" s="73" t="n"/>
      <c r="E1035" s="74" t="n"/>
      <c r="F1035" s="74" t="n"/>
      <c r="G1035" s="74" t="n"/>
      <c r="H1035" s="75" t="n"/>
      <c r="I1035" s="75" t="n"/>
      <c r="J1035" s="76" t="n"/>
      <c r="K1035" s="77" t="str">
        <f>IF(AB1035=1,ROUND(AG1035/60,4),"")</f>
        <v/>
      </c>
      <c r="L1035" s="77" t="str">
        <f>IF(BD1035=1,ROUND(AP1035/60,4),"")</f>
        <v/>
      </c>
      <c r="M1035" s="77" t="str">
        <f>IF(BD1035=1,ROUND(AQ1035/60,4),"")</f>
        <v/>
      </c>
      <c r="N1035" s="71" t="str">
        <f>IF(AND(D1035="proMX",AB1035=1),ROUND(AG1035/CFG_BLK,2),"")</f>
        <v/>
      </c>
      <c r="O1035" s="77" t="str">
        <f>IF(D1035="proMX",IF(BD1035=1,ROUND(AG1035/60,4),0),"")</f>
        <v/>
      </c>
      <c r="P1035" s="78" t="str">
        <f>IF(Y1035=0,"",IF(BD1035=1,"OK",IF(D1035="proMX","Revisar bloques: ","Revisar: ")&amp;BC1035))</f>
        <v/>
      </c>
      <c r="Q1035" s="78" t="str">
        <f>IF(NOT(ISNUMBER(B1035)),"",IF(COUNTIFS(FER_F,INT(B1035))&gt;0,"Feriado"&amp;IF(AH1035=1," (laborable)"," (no laborable)"),IF(AH1035=1,"Laborable",IF(WEEKDAY(B1035,2)&gt;5,"Fin de semana","No laborable"))))</f>
        <v/>
      </c>
      <c r="R1035" s="73" t="n"/>
      <c r="S1035" s="72" t="n"/>
      <c r="T1035" s="72" t="n"/>
      <c r="U1035" s="74" t="n"/>
      <c r="V1035" s="79" t="str">
        <f>IF(AND(D1035="proMX",OR(R1035="Submitted",R1035="Recall Requested"),ISNUMBER(S1035)),CFG_TODAY-INT(S1035),"")</f>
        <v/>
      </c>
      <c r="W1035" s="78" t="str">
        <f>IF(BD1035=0,"",IF(BA1035&gt;0,"⚠ Se superpone con un registro de la otra empresa",IF(D1035="Malcolm",IF(COUNTA(R1035,S1035,T1035)&gt;0,"Estado/fechas proMX se ignoran en Malcolm",""),IF(BF1035="Cancelled","Cancelado: excluido de totales",IF(R1035="","Sin estado: se trata como Draft",IF(BF1035="Submitted",IF(ISNUMBER(V1035),IF(V1035&gt;CFG_MAXD,"⚠ "&amp;V1035&amp;" días en Submitted (máx. "&amp;CFG_MAXD&amp;")",""),"Falta fecha de envío"),IF(BF1035="Returned","⚠ Devuelto: corregir y reenviar",IF(BF1035="Recall Requested","Retirada solicitada: pendiente",IF(AND(BF1035="Approved",NOT(ISNUMBER(T1035))),"Falta fecha de aprobación",IF(AND(ISNUMBER(S1035),ISNUMBER(T1035),T1035&lt;S1035),"Aprobación anterior al envío","")))))))))</f>
        <v/>
      </c>
      <c r="Y1035" s="80">
        <f>IF(COUNTA(B1035,D1035,E1035,F1035,G1035,H1035,I1035,J1035,R1035,S1035,T1035)&gt;0,1,0)</f>
        <v>0</v>
      </c>
      <c r="Z1035" s="80" t="str">
        <f>IF(AND(ISNUMBER(H1035),H1035&gt;=0,H1035&lt;1),ROUND(H1035*1440,0),"")</f>
        <v/>
      </c>
      <c r="AA1035" s="80" t="str">
        <f>IF(AND(ISNUMBER(I1035),I1035&gt;=0,I1035&lt;1),ROUND(I1035*1440,0),"")</f>
        <v/>
      </c>
      <c r="AB1035" s="80">
        <f>IF(AND(ISNUMBER(B1035),D1035&lt;&gt;"",ISNUMBER(Z1035),ISNUMBER(AA1035)),IF(Z1035=AA1035,0,1),0)</f>
        <v>0</v>
      </c>
      <c r="AC1035" s="80">
        <f>IF(AB1035=1,IF(AA1035&lt;Z1035,1,0),0)</f>
        <v>0</v>
      </c>
      <c r="AD1035" s="80">
        <f>IF(AB1035=1,IF(AC1035=1,1440-Z1035+AA1035,AA1035-Z1035),0)</f>
        <v>0</v>
      </c>
      <c r="AE1035" s="80">
        <f>IF(J1035="",0,IF(ISNUMBER(J1035),J1035,-1))</f>
        <v>0</v>
      </c>
      <c r="AF1035" s="80">
        <f>MIN(MAX(0,AE1035),AD1035)</f>
        <v>0</v>
      </c>
      <c r="AG1035" s="80">
        <f>MAX(0,AD1035-MAX(0,AE1035))</f>
        <v>0</v>
      </c>
      <c r="AH1035" s="80">
        <f>IF(ISNUMBER(B1035),IF(AND(INDEX(CFG_WDAYS,WEEKDAY(INT(B1035),2))="Sí",IF(D1035="proMX",COUNTIFS(FER_F,INT(B1035),FER_NLP,"Sí"),COUNTIFS(FER_F,INT(B1035),FER_NLM,"Sí"))=0),1,0),0)</f>
        <v>0</v>
      </c>
      <c r="AI1035" s="80">
        <f>IF(AC1035=1,IF(AND(INDEX(CFG_WDAYS,WEEKDAY(INT(B1035)+1,2))="Sí",IF(D1035="proMX",COUNTIFS(FER_F,INT(B1035)+1,FER_NLP,"Sí"),COUNTIFS(FER_F,INT(B1035)+1,FER_NLM,"Sí"))=0),1,0),0)</f>
        <v>0</v>
      </c>
      <c r="AJ1035" s="80">
        <f>IF(AC1035=1,1440-Z1035,AD1035)</f>
        <v>0</v>
      </c>
      <c r="AK1035" s="80">
        <f>IF(AND(AB1035=1,AH1035=1),MAX(0,MIN(IF(AC1035=1,1440,AA1035),CFG_WEM)-MAX(Z1035,CFG_WSM)),0)</f>
        <v>0</v>
      </c>
      <c r="AL1035" s="80">
        <f>IF(AND(AC1035=1,AI1035=1),MAX(0,MIN(AA1035,CFG_WEM)-CFG_WSM),0)</f>
        <v>0</v>
      </c>
      <c r="AM1035" s="80">
        <f>AK1035+AL1035</f>
        <v>0</v>
      </c>
      <c r="AN1035" s="80">
        <f>IF(CFG_BRK="Proporcional",IF(AD1035=0,0,AF1035*AM1035/AD1035),IF(CFG_BRK="Extras primero",MIN(AM1035,MAX(0,AF1035-(AD1035-AM1035))),MIN(AF1035,AM1035)))</f>
        <v>0</v>
      </c>
      <c r="AO1035" s="80">
        <f>AF1035-AN1035</f>
        <v>0</v>
      </c>
      <c r="AP1035" s="80">
        <f>AM1035-AN1035</f>
        <v>0</v>
      </c>
      <c r="AQ1035" s="80">
        <f>AD1035-AM1035-AO1035</f>
        <v>0</v>
      </c>
      <c r="AR1035" s="80">
        <f>IF(AM1035=0,0,AK1035-AN1035*AK1035/AM1035)</f>
        <v>0</v>
      </c>
      <c r="AS1035" s="80">
        <f>IF(AD1035-AM1035=0,0,(AJ1035-AK1035)-AO1035*(AJ1035-AK1035)/(AD1035-AM1035))</f>
        <v>0</v>
      </c>
      <c r="AT1035" s="80" t="str">
        <f>IF(AC1035=1,INT(B1035)+1,"")</f>
        <v/>
      </c>
      <c r="AU1035" s="80">
        <f>IF(AND(D1035="proMX",R1035="Cancelled"),0,1)</f>
        <v>1</v>
      </c>
      <c r="AV1035" s="80">
        <f>IF(AND(AB1035=1,AU1035=1),IF(COUNTIFS($D$5:D1034,D1035,$B$5:B1034,B1035,$Z$5:Z1034,Z1035,$AA$5:AA1034,AA1035,$F$5:F1034,F1035&amp;"",$AU$5:AU1034,1)&gt;0,1,0),0)</f>
        <v>0</v>
      </c>
      <c r="AW1035" s="80" t="str">
        <f>IF(AB1035=1,INT(B1035)*1440+Z1035,"")</f>
        <v/>
      </c>
      <c r="AX1035" s="80" t="str">
        <f>IF(AB1035=1,AW1035+AD1035,"")</f>
        <v/>
      </c>
      <c r="AY1035" s="80">
        <f>IF(AND(AB1035=1,AV1035=0,AU1035=1),1,0)</f>
        <v>0</v>
      </c>
      <c r="AZ1035" s="80">
        <f>IF(AY1035=1,COUNTIFS(R_Emp,D1035,R_SAbs,"&lt;"&amp;AX1035,R_EAbs,"&gt;"&amp;AW1035,R_OKey,1)-1,0)</f>
        <v>0</v>
      </c>
      <c r="BA1035" s="80">
        <f>IF(AY1035=1,COUNTIFS(R_Emp,"&lt;&gt;"&amp;D1035,R_SAbs,"&lt;"&amp;AX1035,R_EAbs,"&gt;"&amp;AW1035,R_OKey,1),0)</f>
        <v>0</v>
      </c>
      <c r="BB1035" s="80">
        <f>IF(AND(AB1035=1,D1035="proMX"),IF(AND(MOD(Z1035,CFG_BLK)=0,MOD(AA1035,CFG_BLK)=0,MOD(AG1035,CFG_BLK)=0,AG1035&gt;0),1,0),1)</f>
        <v>1</v>
      </c>
      <c r="BC1035" s="80" t="str">
        <f>IF(Y1035=0,"",IF(NOT(ISNUMBER(B1035)),"Falta fecha o fecha inválida",IF(D1035="","Falta empresa",IF(AND(D1035&lt;&gt;"Malcolm",D1035&lt;&gt;"proMX"),"Empresa inválida",IF(OR(INT(B1035)&lt;CFG_PSTART,INT(B1035)&gt;CFG_PEND),"Fecha fuera del período",IF(OR(NOT(ISNUMBER(Z1035)),NOT(ISNUMBER(AA1035))),"Falta hora inicio/fin o formato inválido",IF(AB1035=0,"Hora inicio = hora fin",IF(AE1035&lt;0,"Descanso inválido",IF(AE1035&gt;=AD1035,"Descanso ≥ duración",IF(AV1035=1,"Registro duplicado",IF(AZ1035&gt;0,"Se superpone con otro registro "&amp;D1035,IF(BB1035=0,"inicio, fin y duración neta deben ser múltiplos de "&amp;CFG_BLK&amp;" min",""))))))))))))</f>
        <v/>
      </c>
      <c r="BD1035" s="80">
        <f>IF(AND(Y1035=1,BC1035=""),1,0)</f>
        <v>0</v>
      </c>
      <c r="BE1035" s="80">
        <f>IF(AND(BD1035=1,AU1035=1),1,0)</f>
        <v>0</v>
      </c>
      <c r="BF1035" s="80" t="str">
        <f>IF(AND(D1035="proMX",BD1035=1),IF(R1035="","Draft",R1035),"")</f>
        <v/>
      </c>
      <c r="BG1035" s="80">
        <f>IF(BD1035=1,ROUND(AG1035/60,6),0)</f>
        <v>0</v>
      </c>
      <c r="BH1035" s="80">
        <f>IF(BE1035=1,ROUND(AG1035/60,6),0)</f>
        <v>0</v>
      </c>
      <c r="BI1035" s="80">
        <f>IF(BE1035=1,ROUND(AP1035/60,6),0)</f>
        <v>0</v>
      </c>
      <c r="BJ1035" s="80">
        <f>IF(BE1035=1,ROUND(AQ1035/60,6),0)</f>
        <v>0</v>
      </c>
      <c r="BK1035" s="80">
        <f>IF(BE1035=1,ROUND((AR1035+AS1035)/60,6),0)</f>
        <v>0</v>
      </c>
      <c r="BL1035" s="80">
        <f>ROUND(BH1035-BK1035,6)</f>
        <v>0</v>
      </c>
      <c r="BM1035" s="80">
        <f>IF(BE1035=1,ROUND(AR1035/60,6),0)</f>
        <v>0</v>
      </c>
      <c r="BN1035" s="80">
        <f>ROUND(BI1035-BM1035,6)</f>
        <v>0</v>
      </c>
      <c r="BO1035" s="80">
        <f>IF(BE1035=1,ROUND(AS1035/60,6),0)</f>
        <v>0</v>
      </c>
      <c r="BP1035" s="80">
        <f>ROUND(BJ1035-BO1035,6)</f>
        <v>0</v>
      </c>
      <c r="BQ1035" s="80">
        <f>IF(BE1035=1,AW1035,0)</f>
        <v>0</v>
      </c>
      <c r="BR1035" s="80">
        <f>IF(BE1035=1,AX1035,0)</f>
        <v>0</v>
      </c>
      <c r="BS1035" s="80">
        <f>IF(AND(BE1035=1,D1035="Malcolm",BA1035&gt;0),MIN(BH1035,SUMPRODUCT((R_Emp="proMX")*(R_EN&gt;0)*((R_EN-(R_EN&gt;BR1035)*(R_EN-BR1035))&gt;(R_SN+(R_SN&lt;BQ1035)*(BQ1035-R_SN)))*((R_EN-(R_EN&gt;BR1035)*(R_EN-BR1035))-(R_SN+(R_SN&lt;BQ1035)*(BQ1035-R_SN))))/60),0)</f>
        <v>0</v>
      </c>
      <c r="BT1035" s="80">
        <f>IF(AND(BE1035=1,D1035="proMX"),ROUND(BI1035*CFG_RATE+BJ1035*CFG_OTRATE,6),0)</f>
        <v>0</v>
      </c>
      <c r="BU1035" s="80">
        <f>IF(AND(BD1035=1,D1035="proMX"),ROUND(AG1035/CFG_BLK,6),0)</f>
        <v>0</v>
      </c>
      <c r="BV1035" s="80" t="str">
        <f>IF(BF1035="Approved",IF(ISNUMBER(T1035),INT(T1035),INT(B1035)),"")</f>
        <v/>
      </c>
      <c r="BW1035" s="80">
        <f>IF(ISNUMBER(B1035),IF(DB_MON="Todos",1,IF(AND(INT(B1035)&gt;=DB_MS,INT(B1035)&lt;=DB_ME),1,0)),0)</f>
        <v>0</v>
      </c>
      <c r="BX1035" s="80">
        <f>IF(DB_PROJ="Todos",1,IF(E1035&amp;""=DB_PROJ&amp;"",1,0))</f>
        <v>1</v>
      </c>
      <c r="BY1035" s="80">
        <f>BW1035*BX1035</f>
        <v>0</v>
      </c>
      <c r="BZ1035" s="80" t="str">
        <f>IF(Y1035=1,F1035&amp;IF(AND(F1035&amp;""&lt;&gt;"",E1035&amp;""&lt;&gt;"")," · ","")&amp;E1035,"")</f>
        <v/>
      </c>
      <c r="CA1035" s="80" t="str">
        <f>IF(AND(BD1035=1,E1035&amp;""&lt;&gt;""),IF(COUNTIFS($E$5:E1034,E1035,$BD$5:BD1034,1)=0,MAX($CA$5:CA1034)+1,""),"")</f>
        <v/>
      </c>
      <c r="CB1035" s="80" t="str">
        <f>IF(AND(BE1035=1,D1035="Malcolm",E1035&amp;""&lt;&gt;""),IF(COUNTIFS($D$5:D1034,"Malcolm",$E$5:E1034,E1035,$BE$5:BE1034,1)=0,MAX($CB$5:CB1034)+1,""),"")</f>
        <v/>
      </c>
      <c r="CC1035" s="80" t="str">
        <f>IF(AND(BD1035=1,D1035="proMX",E1035&amp;""&lt;&gt;""),IF(COUNTIFS($D$5:D1034,"proMX",$E$5:E1034,E1035,$BD$5:BD1034,1)=0,MAX($CC$5:CC1034)+1,""),"")</f>
        <v/>
      </c>
      <c r="CD1035" s="80" t="str">
        <f>IF(AND(BE1035=1,D1035="Malcolm",F1035&amp;""&lt;&gt;""),IF(COUNTIFS($D$5:D1034,"Malcolm",$F$5:F1034,F1035,$BE$5:BE1034,1)=0,MAX($CD$5:CD1034)+1,""),"")</f>
        <v/>
      </c>
      <c r="CE1035" s="80" t="str">
        <f>IF(AND(BD1035=1,D1035="proMX",F1035&amp;""&lt;&gt;""),IF(COUNTIFS($D$5:D1034,"proMX",$F$5:F1034,F1035,$BD$5:BD1034,1)=0,MAX($CE$5:CE1034)+1,""),"")</f>
        <v/>
      </c>
      <c r="CF1035" s="80" t="str">
        <f>IF(AND(D1035="proMX",BD1035=1),IF(OR(BF1035="Draft",BF1035="Submitted",BF1035="Returned",BF1035="Recall Requested"),MAX($CF$5:CF1034)+1,""),"")</f>
        <v/>
      </c>
      <c r="CG1035" s="80">
        <f>IF(BD1035=0,0,IF(D1035="Malcolm",1,MATCH(BF1035,{"Draft","Submitted","Approved","Returned","Recall Requested","Cancelled"},0)+1))</f>
        <v>0</v>
      </c>
      <c r="CH1035" s="80">
        <f>IF(AND(BF1035="Submitted",ISNUMBER(V1035)),IF(V1035&gt;CFG_MAXD,1,0),0)</f>
        <v>0</v>
      </c>
    </row>
    <row r="1036">
      <c r="A1036" s="71" t="str">
        <f>IF(Y1036=1,ROW()-5,"")</f>
        <v/>
      </c>
      <c r="B1036" s="72" t="n"/>
      <c r="C1036" s="71" t="str">
        <f>IF(ISNUMBER(B1036),CHOOSE(WEEKDAY(B1036,2),"Lun","Mar","Mié","Jue","Vie","Sáb","Dom"),"")</f>
        <v/>
      </c>
      <c r="D1036" s="73" t="n"/>
      <c r="E1036" s="74" t="n"/>
      <c r="F1036" s="74" t="n"/>
      <c r="G1036" s="74" t="n"/>
      <c r="H1036" s="75" t="n"/>
      <c r="I1036" s="75" t="n"/>
      <c r="J1036" s="76" t="n"/>
      <c r="K1036" s="77" t="str">
        <f>IF(AB1036=1,ROUND(AG1036/60,4),"")</f>
        <v/>
      </c>
      <c r="L1036" s="77" t="str">
        <f>IF(BD1036=1,ROUND(AP1036/60,4),"")</f>
        <v/>
      </c>
      <c r="M1036" s="77" t="str">
        <f>IF(BD1036=1,ROUND(AQ1036/60,4),"")</f>
        <v/>
      </c>
      <c r="N1036" s="71" t="str">
        <f>IF(AND(D1036="proMX",AB1036=1),ROUND(AG1036/CFG_BLK,2),"")</f>
        <v/>
      </c>
      <c r="O1036" s="77" t="str">
        <f>IF(D1036="proMX",IF(BD1036=1,ROUND(AG1036/60,4),0),"")</f>
        <v/>
      </c>
      <c r="P1036" s="78" t="str">
        <f>IF(Y1036=0,"",IF(BD1036=1,"OK",IF(D1036="proMX","Revisar bloques: ","Revisar: ")&amp;BC1036))</f>
        <v/>
      </c>
      <c r="Q1036" s="78" t="str">
        <f>IF(NOT(ISNUMBER(B1036)),"",IF(COUNTIFS(FER_F,INT(B1036))&gt;0,"Feriado"&amp;IF(AH1036=1," (laborable)"," (no laborable)"),IF(AH1036=1,"Laborable",IF(WEEKDAY(B1036,2)&gt;5,"Fin de semana","No laborable"))))</f>
        <v/>
      </c>
      <c r="R1036" s="73" t="n"/>
      <c r="S1036" s="72" t="n"/>
      <c r="T1036" s="72" t="n"/>
      <c r="U1036" s="74" t="n"/>
      <c r="V1036" s="79" t="str">
        <f>IF(AND(D1036="proMX",OR(R1036="Submitted",R1036="Recall Requested"),ISNUMBER(S1036)),CFG_TODAY-INT(S1036),"")</f>
        <v/>
      </c>
      <c r="W1036" s="78" t="str">
        <f>IF(BD1036=0,"",IF(BA1036&gt;0,"⚠ Se superpone con un registro de la otra empresa",IF(D1036="Malcolm",IF(COUNTA(R1036,S1036,T1036)&gt;0,"Estado/fechas proMX se ignoran en Malcolm",""),IF(BF1036="Cancelled","Cancelado: excluido de totales",IF(R1036="","Sin estado: se trata como Draft",IF(BF1036="Submitted",IF(ISNUMBER(V1036),IF(V1036&gt;CFG_MAXD,"⚠ "&amp;V1036&amp;" días en Submitted (máx. "&amp;CFG_MAXD&amp;")",""),"Falta fecha de envío"),IF(BF1036="Returned","⚠ Devuelto: corregir y reenviar",IF(BF1036="Recall Requested","Retirada solicitada: pendiente",IF(AND(BF1036="Approved",NOT(ISNUMBER(T1036))),"Falta fecha de aprobación",IF(AND(ISNUMBER(S1036),ISNUMBER(T1036),T1036&lt;S1036),"Aprobación anterior al envío","")))))))))</f>
        <v/>
      </c>
      <c r="Y1036" s="80">
        <f>IF(COUNTA(B1036,D1036,E1036,F1036,G1036,H1036,I1036,J1036,R1036,S1036,T1036)&gt;0,1,0)</f>
        <v>0</v>
      </c>
      <c r="Z1036" s="80" t="str">
        <f>IF(AND(ISNUMBER(H1036),H1036&gt;=0,H1036&lt;1),ROUND(H1036*1440,0),"")</f>
        <v/>
      </c>
      <c r="AA1036" s="80" t="str">
        <f>IF(AND(ISNUMBER(I1036),I1036&gt;=0,I1036&lt;1),ROUND(I1036*1440,0),"")</f>
        <v/>
      </c>
      <c r="AB1036" s="80">
        <f>IF(AND(ISNUMBER(B1036),D1036&lt;&gt;"",ISNUMBER(Z1036),ISNUMBER(AA1036)),IF(Z1036=AA1036,0,1),0)</f>
        <v>0</v>
      </c>
      <c r="AC1036" s="80">
        <f>IF(AB1036=1,IF(AA1036&lt;Z1036,1,0),0)</f>
        <v>0</v>
      </c>
      <c r="AD1036" s="80">
        <f>IF(AB1036=1,IF(AC1036=1,1440-Z1036+AA1036,AA1036-Z1036),0)</f>
        <v>0</v>
      </c>
      <c r="AE1036" s="80">
        <f>IF(J1036="",0,IF(ISNUMBER(J1036),J1036,-1))</f>
        <v>0</v>
      </c>
      <c r="AF1036" s="80">
        <f>MIN(MAX(0,AE1036),AD1036)</f>
        <v>0</v>
      </c>
      <c r="AG1036" s="80">
        <f>MAX(0,AD1036-MAX(0,AE1036))</f>
        <v>0</v>
      </c>
      <c r="AH1036" s="80">
        <f>IF(ISNUMBER(B1036),IF(AND(INDEX(CFG_WDAYS,WEEKDAY(INT(B1036),2))="Sí",IF(D1036="proMX",COUNTIFS(FER_F,INT(B1036),FER_NLP,"Sí"),COUNTIFS(FER_F,INT(B1036),FER_NLM,"Sí"))=0),1,0),0)</f>
        <v>0</v>
      </c>
      <c r="AI1036" s="80">
        <f>IF(AC1036=1,IF(AND(INDEX(CFG_WDAYS,WEEKDAY(INT(B1036)+1,2))="Sí",IF(D1036="proMX",COUNTIFS(FER_F,INT(B1036)+1,FER_NLP,"Sí"),COUNTIFS(FER_F,INT(B1036)+1,FER_NLM,"Sí"))=0),1,0),0)</f>
        <v>0</v>
      </c>
      <c r="AJ1036" s="80">
        <f>IF(AC1036=1,1440-Z1036,AD1036)</f>
        <v>0</v>
      </c>
      <c r="AK1036" s="80">
        <f>IF(AND(AB1036=1,AH1036=1),MAX(0,MIN(IF(AC1036=1,1440,AA1036),CFG_WEM)-MAX(Z1036,CFG_WSM)),0)</f>
        <v>0</v>
      </c>
      <c r="AL1036" s="80">
        <f>IF(AND(AC1036=1,AI1036=1),MAX(0,MIN(AA1036,CFG_WEM)-CFG_WSM),0)</f>
        <v>0</v>
      </c>
      <c r="AM1036" s="80">
        <f>AK1036+AL1036</f>
        <v>0</v>
      </c>
      <c r="AN1036" s="80">
        <f>IF(CFG_BRK="Proporcional",IF(AD1036=0,0,AF1036*AM1036/AD1036),IF(CFG_BRK="Extras primero",MIN(AM1036,MAX(0,AF1036-(AD1036-AM1036))),MIN(AF1036,AM1036)))</f>
        <v>0</v>
      </c>
      <c r="AO1036" s="80">
        <f>AF1036-AN1036</f>
        <v>0</v>
      </c>
      <c r="AP1036" s="80">
        <f>AM1036-AN1036</f>
        <v>0</v>
      </c>
      <c r="AQ1036" s="80">
        <f>AD1036-AM1036-AO1036</f>
        <v>0</v>
      </c>
      <c r="AR1036" s="80">
        <f>IF(AM1036=0,0,AK1036-AN1036*AK1036/AM1036)</f>
        <v>0</v>
      </c>
      <c r="AS1036" s="80">
        <f>IF(AD1036-AM1036=0,0,(AJ1036-AK1036)-AO1036*(AJ1036-AK1036)/(AD1036-AM1036))</f>
        <v>0</v>
      </c>
      <c r="AT1036" s="80" t="str">
        <f>IF(AC1036=1,INT(B1036)+1,"")</f>
        <v/>
      </c>
      <c r="AU1036" s="80">
        <f>IF(AND(D1036="proMX",R1036="Cancelled"),0,1)</f>
        <v>1</v>
      </c>
      <c r="AV1036" s="80">
        <f>IF(AND(AB1036=1,AU1036=1),IF(COUNTIFS($D$5:D1035,D1036,$B$5:B1035,B1036,$Z$5:Z1035,Z1036,$AA$5:AA1035,AA1036,$F$5:F1035,F1036&amp;"",$AU$5:AU1035,1)&gt;0,1,0),0)</f>
        <v>0</v>
      </c>
      <c r="AW1036" s="80" t="str">
        <f>IF(AB1036=1,INT(B1036)*1440+Z1036,"")</f>
        <v/>
      </c>
      <c r="AX1036" s="80" t="str">
        <f>IF(AB1036=1,AW1036+AD1036,"")</f>
        <v/>
      </c>
      <c r="AY1036" s="80">
        <f>IF(AND(AB1036=1,AV1036=0,AU1036=1),1,0)</f>
        <v>0</v>
      </c>
      <c r="AZ1036" s="80">
        <f>IF(AY1036=1,COUNTIFS(R_Emp,D1036,R_SAbs,"&lt;"&amp;AX1036,R_EAbs,"&gt;"&amp;AW1036,R_OKey,1)-1,0)</f>
        <v>0</v>
      </c>
      <c r="BA1036" s="80">
        <f>IF(AY1036=1,COUNTIFS(R_Emp,"&lt;&gt;"&amp;D1036,R_SAbs,"&lt;"&amp;AX1036,R_EAbs,"&gt;"&amp;AW1036,R_OKey,1),0)</f>
        <v>0</v>
      </c>
      <c r="BB1036" s="80">
        <f>IF(AND(AB1036=1,D1036="proMX"),IF(AND(MOD(Z1036,CFG_BLK)=0,MOD(AA1036,CFG_BLK)=0,MOD(AG1036,CFG_BLK)=0,AG1036&gt;0),1,0),1)</f>
        <v>1</v>
      </c>
      <c r="BC1036" s="80" t="str">
        <f>IF(Y1036=0,"",IF(NOT(ISNUMBER(B1036)),"Falta fecha o fecha inválida",IF(D1036="","Falta empresa",IF(AND(D1036&lt;&gt;"Malcolm",D1036&lt;&gt;"proMX"),"Empresa inválida",IF(OR(INT(B1036)&lt;CFG_PSTART,INT(B1036)&gt;CFG_PEND),"Fecha fuera del período",IF(OR(NOT(ISNUMBER(Z1036)),NOT(ISNUMBER(AA1036))),"Falta hora inicio/fin o formato inválido",IF(AB1036=0,"Hora inicio = hora fin",IF(AE1036&lt;0,"Descanso inválido",IF(AE1036&gt;=AD1036,"Descanso ≥ duración",IF(AV1036=1,"Registro duplicado",IF(AZ1036&gt;0,"Se superpone con otro registro "&amp;D1036,IF(BB1036=0,"inicio, fin y duración neta deben ser múltiplos de "&amp;CFG_BLK&amp;" min",""))))))))))))</f>
        <v/>
      </c>
      <c r="BD1036" s="80">
        <f>IF(AND(Y1036=1,BC1036=""),1,0)</f>
        <v>0</v>
      </c>
      <c r="BE1036" s="80">
        <f>IF(AND(BD1036=1,AU1036=1),1,0)</f>
        <v>0</v>
      </c>
      <c r="BF1036" s="80" t="str">
        <f>IF(AND(D1036="proMX",BD1036=1),IF(R1036="","Draft",R1036),"")</f>
        <v/>
      </c>
      <c r="BG1036" s="80">
        <f>IF(BD1036=1,ROUND(AG1036/60,6),0)</f>
        <v>0</v>
      </c>
      <c r="BH1036" s="80">
        <f>IF(BE1036=1,ROUND(AG1036/60,6),0)</f>
        <v>0</v>
      </c>
      <c r="BI1036" s="80">
        <f>IF(BE1036=1,ROUND(AP1036/60,6),0)</f>
        <v>0</v>
      </c>
      <c r="BJ1036" s="80">
        <f>IF(BE1036=1,ROUND(AQ1036/60,6),0)</f>
        <v>0</v>
      </c>
      <c r="BK1036" s="80">
        <f>IF(BE1036=1,ROUND((AR1036+AS1036)/60,6),0)</f>
        <v>0</v>
      </c>
      <c r="BL1036" s="80">
        <f>ROUND(BH1036-BK1036,6)</f>
        <v>0</v>
      </c>
      <c r="BM1036" s="80">
        <f>IF(BE1036=1,ROUND(AR1036/60,6),0)</f>
        <v>0</v>
      </c>
      <c r="BN1036" s="80">
        <f>ROUND(BI1036-BM1036,6)</f>
        <v>0</v>
      </c>
      <c r="BO1036" s="80">
        <f>IF(BE1036=1,ROUND(AS1036/60,6),0)</f>
        <v>0</v>
      </c>
      <c r="BP1036" s="80">
        <f>ROUND(BJ1036-BO1036,6)</f>
        <v>0</v>
      </c>
      <c r="BQ1036" s="80">
        <f>IF(BE1036=1,AW1036,0)</f>
        <v>0</v>
      </c>
      <c r="BR1036" s="80">
        <f>IF(BE1036=1,AX1036,0)</f>
        <v>0</v>
      </c>
      <c r="BS1036" s="80">
        <f>IF(AND(BE1036=1,D1036="Malcolm",BA1036&gt;0),MIN(BH1036,SUMPRODUCT((R_Emp="proMX")*(R_EN&gt;0)*((R_EN-(R_EN&gt;BR1036)*(R_EN-BR1036))&gt;(R_SN+(R_SN&lt;BQ1036)*(BQ1036-R_SN)))*((R_EN-(R_EN&gt;BR1036)*(R_EN-BR1036))-(R_SN+(R_SN&lt;BQ1036)*(BQ1036-R_SN))))/60),0)</f>
        <v>0</v>
      </c>
      <c r="BT1036" s="80">
        <f>IF(AND(BE1036=1,D1036="proMX"),ROUND(BI1036*CFG_RATE+BJ1036*CFG_OTRATE,6),0)</f>
        <v>0</v>
      </c>
      <c r="BU1036" s="80">
        <f>IF(AND(BD1036=1,D1036="proMX"),ROUND(AG1036/CFG_BLK,6),0)</f>
        <v>0</v>
      </c>
      <c r="BV1036" s="80" t="str">
        <f>IF(BF1036="Approved",IF(ISNUMBER(T1036),INT(T1036),INT(B1036)),"")</f>
        <v/>
      </c>
      <c r="BW1036" s="80">
        <f>IF(ISNUMBER(B1036),IF(DB_MON="Todos",1,IF(AND(INT(B1036)&gt;=DB_MS,INT(B1036)&lt;=DB_ME),1,0)),0)</f>
        <v>0</v>
      </c>
      <c r="BX1036" s="80">
        <f>IF(DB_PROJ="Todos",1,IF(E1036&amp;""=DB_PROJ&amp;"",1,0))</f>
        <v>1</v>
      </c>
      <c r="BY1036" s="80">
        <f>BW1036*BX1036</f>
        <v>0</v>
      </c>
      <c r="BZ1036" s="80" t="str">
        <f>IF(Y1036=1,F1036&amp;IF(AND(F1036&amp;""&lt;&gt;"",E1036&amp;""&lt;&gt;"")," · ","")&amp;E1036,"")</f>
        <v/>
      </c>
      <c r="CA1036" s="80" t="str">
        <f>IF(AND(BD1036=1,E1036&amp;""&lt;&gt;""),IF(COUNTIFS($E$5:E1035,E1036,$BD$5:BD1035,1)=0,MAX($CA$5:CA1035)+1,""),"")</f>
        <v/>
      </c>
      <c r="CB1036" s="80" t="str">
        <f>IF(AND(BE1036=1,D1036="Malcolm",E1036&amp;""&lt;&gt;""),IF(COUNTIFS($D$5:D1035,"Malcolm",$E$5:E1035,E1036,$BE$5:BE1035,1)=0,MAX($CB$5:CB1035)+1,""),"")</f>
        <v/>
      </c>
      <c r="CC1036" s="80" t="str">
        <f>IF(AND(BD1036=1,D1036="proMX",E1036&amp;""&lt;&gt;""),IF(COUNTIFS($D$5:D1035,"proMX",$E$5:E1035,E1036,$BD$5:BD1035,1)=0,MAX($CC$5:CC1035)+1,""),"")</f>
        <v/>
      </c>
      <c r="CD1036" s="80" t="str">
        <f>IF(AND(BE1036=1,D1036="Malcolm",F1036&amp;""&lt;&gt;""),IF(COUNTIFS($D$5:D1035,"Malcolm",$F$5:F1035,F1036,$BE$5:BE1035,1)=0,MAX($CD$5:CD1035)+1,""),"")</f>
        <v/>
      </c>
      <c r="CE1036" s="80" t="str">
        <f>IF(AND(BD1036=1,D1036="proMX",F1036&amp;""&lt;&gt;""),IF(COUNTIFS($D$5:D1035,"proMX",$F$5:F1035,F1036,$BD$5:BD1035,1)=0,MAX($CE$5:CE1035)+1,""),"")</f>
        <v/>
      </c>
      <c r="CF1036" s="80" t="str">
        <f>IF(AND(D1036="proMX",BD1036=1),IF(OR(BF1036="Draft",BF1036="Submitted",BF1036="Returned",BF1036="Recall Requested"),MAX($CF$5:CF1035)+1,""),"")</f>
        <v/>
      </c>
      <c r="CG1036" s="80">
        <f>IF(BD1036=0,0,IF(D1036="Malcolm",1,MATCH(BF1036,{"Draft","Submitted","Approved","Returned","Recall Requested","Cancelled"},0)+1))</f>
        <v>0</v>
      </c>
      <c r="CH1036" s="80">
        <f>IF(AND(BF1036="Submitted",ISNUMBER(V1036)),IF(V1036&gt;CFG_MAXD,1,0),0)</f>
        <v>0</v>
      </c>
    </row>
    <row r="1037">
      <c r="A1037" s="71" t="str">
        <f>IF(Y1037=1,ROW()-5,"")</f>
        <v/>
      </c>
      <c r="B1037" s="72" t="n"/>
      <c r="C1037" s="71" t="str">
        <f>IF(ISNUMBER(B1037),CHOOSE(WEEKDAY(B1037,2),"Lun","Mar","Mié","Jue","Vie","Sáb","Dom"),"")</f>
        <v/>
      </c>
      <c r="D1037" s="73" t="n"/>
      <c r="E1037" s="74" t="n"/>
      <c r="F1037" s="74" t="n"/>
      <c r="G1037" s="74" t="n"/>
      <c r="H1037" s="75" t="n"/>
      <c r="I1037" s="75" t="n"/>
      <c r="J1037" s="76" t="n"/>
      <c r="K1037" s="77" t="str">
        <f>IF(AB1037=1,ROUND(AG1037/60,4),"")</f>
        <v/>
      </c>
      <c r="L1037" s="77" t="str">
        <f>IF(BD1037=1,ROUND(AP1037/60,4),"")</f>
        <v/>
      </c>
      <c r="M1037" s="77" t="str">
        <f>IF(BD1037=1,ROUND(AQ1037/60,4),"")</f>
        <v/>
      </c>
      <c r="N1037" s="71" t="str">
        <f>IF(AND(D1037="proMX",AB1037=1),ROUND(AG1037/CFG_BLK,2),"")</f>
        <v/>
      </c>
      <c r="O1037" s="77" t="str">
        <f>IF(D1037="proMX",IF(BD1037=1,ROUND(AG1037/60,4),0),"")</f>
        <v/>
      </c>
      <c r="P1037" s="78" t="str">
        <f>IF(Y1037=0,"",IF(BD1037=1,"OK",IF(D1037="proMX","Revisar bloques: ","Revisar: ")&amp;BC1037))</f>
        <v/>
      </c>
      <c r="Q1037" s="78" t="str">
        <f>IF(NOT(ISNUMBER(B1037)),"",IF(COUNTIFS(FER_F,INT(B1037))&gt;0,"Feriado"&amp;IF(AH1037=1," (laborable)"," (no laborable)"),IF(AH1037=1,"Laborable",IF(WEEKDAY(B1037,2)&gt;5,"Fin de semana","No laborable"))))</f>
        <v/>
      </c>
      <c r="R1037" s="73" t="n"/>
      <c r="S1037" s="72" t="n"/>
      <c r="T1037" s="72" t="n"/>
      <c r="U1037" s="74" t="n"/>
      <c r="V1037" s="79" t="str">
        <f>IF(AND(D1037="proMX",OR(R1037="Submitted",R1037="Recall Requested"),ISNUMBER(S1037)),CFG_TODAY-INT(S1037),"")</f>
        <v/>
      </c>
      <c r="W1037" s="78" t="str">
        <f>IF(BD1037=0,"",IF(BA1037&gt;0,"⚠ Se superpone con un registro de la otra empresa",IF(D1037="Malcolm",IF(COUNTA(R1037,S1037,T1037)&gt;0,"Estado/fechas proMX se ignoran en Malcolm",""),IF(BF1037="Cancelled","Cancelado: excluido de totales",IF(R1037="","Sin estado: se trata como Draft",IF(BF1037="Submitted",IF(ISNUMBER(V1037),IF(V1037&gt;CFG_MAXD,"⚠ "&amp;V1037&amp;" días en Submitted (máx. "&amp;CFG_MAXD&amp;")",""),"Falta fecha de envío"),IF(BF1037="Returned","⚠ Devuelto: corregir y reenviar",IF(BF1037="Recall Requested","Retirada solicitada: pendiente",IF(AND(BF1037="Approved",NOT(ISNUMBER(T1037))),"Falta fecha de aprobación",IF(AND(ISNUMBER(S1037),ISNUMBER(T1037),T1037&lt;S1037),"Aprobación anterior al envío","")))))))))</f>
        <v/>
      </c>
      <c r="Y1037" s="80">
        <f>IF(COUNTA(B1037,D1037,E1037,F1037,G1037,H1037,I1037,J1037,R1037,S1037,T1037)&gt;0,1,0)</f>
        <v>0</v>
      </c>
      <c r="Z1037" s="80" t="str">
        <f>IF(AND(ISNUMBER(H1037),H1037&gt;=0,H1037&lt;1),ROUND(H1037*1440,0),"")</f>
        <v/>
      </c>
      <c r="AA1037" s="80" t="str">
        <f>IF(AND(ISNUMBER(I1037),I1037&gt;=0,I1037&lt;1),ROUND(I1037*1440,0),"")</f>
        <v/>
      </c>
      <c r="AB1037" s="80">
        <f>IF(AND(ISNUMBER(B1037),D1037&lt;&gt;"",ISNUMBER(Z1037),ISNUMBER(AA1037)),IF(Z1037=AA1037,0,1),0)</f>
        <v>0</v>
      </c>
      <c r="AC1037" s="80">
        <f>IF(AB1037=1,IF(AA1037&lt;Z1037,1,0),0)</f>
        <v>0</v>
      </c>
      <c r="AD1037" s="80">
        <f>IF(AB1037=1,IF(AC1037=1,1440-Z1037+AA1037,AA1037-Z1037),0)</f>
        <v>0</v>
      </c>
      <c r="AE1037" s="80">
        <f>IF(J1037="",0,IF(ISNUMBER(J1037),J1037,-1))</f>
        <v>0</v>
      </c>
      <c r="AF1037" s="80">
        <f>MIN(MAX(0,AE1037),AD1037)</f>
        <v>0</v>
      </c>
      <c r="AG1037" s="80">
        <f>MAX(0,AD1037-MAX(0,AE1037))</f>
        <v>0</v>
      </c>
      <c r="AH1037" s="80">
        <f>IF(ISNUMBER(B1037),IF(AND(INDEX(CFG_WDAYS,WEEKDAY(INT(B1037),2))="Sí",IF(D1037="proMX",COUNTIFS(FER_F,INT(B1037),FER_NLP,"Sí"),COUNTIFS(FER_F,INT(B1037),FER_NLM,"Sí"))=0),1,0),0)</f>
        <v>0</v>
      </c>
      <c r="AI1037" s="80">
        <f>IF(AC1037=1,IF(AND(INDEX(CFG_WDAYS,WEEKDAY(INT(B1037)+1,2))="Sí",IF(D1037="proMX",COUNTIFS(FER_F,INT(B1037)+1,FER_NLP,"Sí"),COUNTIFS(FER_F,INT(B1037)+1,FER_NLM,"Sí"))=0),1,0),0)</f>
        <v>0</v>
      </c>
      <c r="AJ1037" s="80">
        <f>IF(AC1037=1,1440-Z1037,AD1037)</f>
        <v>0</v>
      </c>
      <c r="AK1037" s="80">
        <f>IF(AND(AB1037=1,AH1037=1),MAX(0,MIN(IF(AC1037=1,1440,AA1037),CFG_WEM)-MAX(Z1037,CFG_WSM)),0)</f>
        <v>0</v>
      </c>
      <c r="AL1037" s="80">
        <f>IF(AND(AC1037=1,AI1037=1),MAX(0,MIN(AA1037,CFG_WEM)-CFG_WSM),0)</f>
        <v>0</v>
      </c>
      <c r="AM1037" s="80">
        <f>AK1037+AL1037</f>
        <v>0</v>
      </c>
      <c r="AN1037" s="80">
        <f>IF(CFG_BRK="Proporcional",IF(AD1037=0,0,AF1037*AM1037/AD1037),IF(CFG_BRK="Extras primero",MIN(AM1037,MAX(0,AF1037-(AD1037-AM1037))),MIN(AF1037,AM1037)))</f>
        <v>0</v>
      </c>
      <c r="AO1037" s="80">
        <f>AF1037-AN1037</f>
        <v>0</v>
      </c>
      <c r="AP1037" s="80">
        <f>AM1037-AN1037</f>
        <v>0</v>
      </c>
      <c r="AQ1037" s="80">
        <f>AD1037-AM1037-AO1037</f>
        <v>0</v>
      </c>
      <c r="AR1037" s="80">
        <f>IF(AM1037=0,0,AK1037-AN1037*AK1037/AM1037)</f>
        <v>0</v>
      </c>
      <c r="AS1037" s="80">
        <f>IF(AD1037-AM1037=0,0,(AJ1037-AK1037)-AO1037*(AJ1037-AK1037)/(AD1037-AM1037))</f>
        <v>0</v>
      </c>
      <c r="AT1037" s="80" t="str">
        <f>IF(AC1037=1,INT(B1037)+1,"")</f>
        <v/>
      </c>
      <c r="AU1037" s="80">
        <f>IF(AND(D1037="proMX",R1037="Cancelled"),0,1)</f>
        <v>1</v>
      </c>
      <c r="AV1037" s="80">
        <f>IF(AND(AB1037=1,AU1037=1),IF(COUNTIFS($D$5:D1036,D1037,$B$5:B1036,B1037,$Z$5:Z1036,Z1037,$AA$5:AA1036,AA1037,$F$5:F1036,F1037&amp;"",$AU$5:AU1036,1)&gt;0,1,0),0)</f>
        <v>0</v>
      </c>
      <c r="AW1037" s="80" t="str">
        <f>IF(AB1037=1,INT(B1037)*1440+Z1037,"")</f>
        <v/>
      </c>
      <c r="AX1037" s="80" t="str">
        <f>IF(AB1037=1,AW1037+AD1037,"")</f>
        <v/>
      </c>
      <c r="AY1037" s="80">
        <f>IF(AND(AB1037=1,AV1037=0,AU1037=1),1,0)</f>
        <v>0</v>
      </c>
      <c r="AZ1037" s="80">
        <f>IF(AY1037=1,COUNTIFS(R_Emp,D1037,R_SAbs,"&lt;"&amp;AX1037,R_EAbs,"&gt;"&amp;AW1037,R_OKey,1)-1,0)</f>
        <v>0</v>
      </c>
      <c r="BA1037" s="80">
        <f>IF(AY1037=1,COUNTIFS(R_Emp,"&lt;&gt;"&amp;D1037,R_SAbs,"&lt;"&amp;AX1037,R_EAbs,"&gt;"&amp;AW1037,R_OKey,1),0)</f>
        <v>0</v>
      </c>
      <c r="BB1037" s="80">
        <f>IF(AND(AB1037=1,D1037="proMX"),IF(AND(MOD(Z1037,CFG_BLK)=0,MOD(AA1037,CFG_BLK)=0,MOD(AG1037,CFG_BLK)=0,AG1037&gt;0),1,0),1)</f>
        <v>1</v>
      </c>
      <c r="BC1037" s="80" t="str">
        <f>IF(Y1037=0,"",IF(NOT(ISNUMBER(B1037)),"Falta fecha o fecha inválida",IF(D1037="","Falta empresa",IF(AND(D1037&lt;&gt;"Malcolm",D1037&lt;&gt;"proMX"),"Empresa inválida",IF(OR(INT(B1037)&lt;CFG_PSTART,INT(B1037)&gt;CFG_PEND),"Fecha fuera del período",IF(OR(NOT(ISNUMBER(Z1037)),NOT(ISNUMBER(AA1037))),"Falta hora inicio/fin o formato inválido",IF(AB1037=0,"Hora inicio = hora fin",IF(AE1037&lt;0,"Descanso inválido",IF(AE1037&gt;=AD1037,"Descanso ≥ duración",IF(AV1037=1,"Registro duplicado",IF(AZ1037&gt;0,"Se superpone con otro registro "&amp;D1037,IF(BB1037=0,"inicio, fin y duración neta deben ser múltiplos de "&amp;CFG_BLK&amp;" min",""))))))))))))</f>
        <v/>
      </c>
      <c r="BD1037" s="80">
        <f>IF(AND(Y1037=1,BC1037=""),1,0)</f>
        <v>0</v>
      </c>
      <c r="BE1037" s="80">
        <f>IF(AND(BD1037=1,AU1037=1),1,0)</f>
        <v>0</v>
      </c>
      <c r="BF1037" s="80" t="str">
        <f>IF(AND(D1037="proMX",BD1037=1),IF(R1037="","Draft",R1037),"")</f>
        <v/>
      </c>
      <c r="BG1037" s="80">
        <f>IF(BD1037=1,ROUND(AG1037/60,6),0)</f>
        <v>0</v>
      </c>
      <c r="BH1037" s="80">
        <f>IF(BE1037=1,ROUND(AG1037/60,6),0)</f>
        <v>0</v>
      </c>
      <c r="BI1037" s="80">
        <f>IF(BE1037=1,ROUND(AP1037/60,6),0)</f>
        <v>0</v>
      </c>
      <c r="BJ1037" s="80">
        <f>IF(BE1037=1,ROUND(AQ1037/60,6),0)</f>
        <v>0</v>
      </c>
      <c r="BK1037" s="80">
        <f>IF(BE1037=1,ROUND((AR1037+AS1037)/60,6),0)</f>
        <v>0</v>
      </c>
      <c r="BL1037" s="80">
        <f>ROUND(BH1037-BK1037,6)</f>
        <v>0</v>
      </c>
      <c r="BM1037" s="80">
        <f>IF(BE1037=1,ROUND(AR1037/60,6),0)</f>
        <v>0</v>
      </c>
      <c r="BN1037" s="80">
        <f>ROUND(BI1037-BM1037,6)</f>
        <v>0</v>
      </c>
      <c r="BO1037" s="80">
        <f>IF(BE1037=1,ROUND(AS1037/60,6),0)</f>
        <v>0</v>
      </c>
      <c r="BP1037" s="80">
        <f>ROUND(BJ1037-BO1037,6)</f>
        <v>0</v>
      </c>
      <c r="BQ1037" s="80">
        <f>IF(BE1037=1,AW1037,0)</f>
        <v>0</v>
      </c>
      <c r="BR1037" s="80">
        <f>IF(BE1037=1,AX1037,0)</f>
        <v>0</v>
      </c>
      <c r="BS1037" s="80">
        <f>IF(AND(BE1037=1,D1037="Malcolm",BA1037&gt;0),MIN(BH1037,SUMPRODUCT((R_Emp="proMX")*(R_EN&gt;0)*((R_EN-(R_EN&gt;BR1037)*(R_EN-BR1037))&gt;(R_SN+(R_SN&lt;BQ1037)*(BQ1037-R_SN)))*((R_EN-(R_EN&gt;BR1037)*(R_EN-BR1037))-(R_SN+(R_SN&lt;BQ1037)*(BQ1037-R_SN))))/60),0)</f>
        <v>0</v>
      </c>
      <c r="BT1037" s="80">
        <f>IF(AND(BE1037=1,D1037="proMX"),ROUND(BI1037*CFG_RATE+BJ1037*CFG_OTRATE,6),0)</f>
        <v>0</v>
      </c>
      <c r="BU1037" s="80">
        <f>IF(AND(BD1037=1,D1037="proMX"),ROUND(AG1037/CFG_BLK,6),0)</f>
        <v>0</v>
      </c>
      <c r="BV1037" s="80" t="str">
        <f>IF(BF1037="Approved",IF(ISNUMBER(T1037),INT(T1037),INT(B1037)),"")</f>
        <v/>
      </c>
      <c r="BW1037" s="80">
        <f>IF(ISNUMBER(B1037),IF(DB_MON="Todos",1,IF(AND(INT(B1037)&gt;=DB_MS,INT(B1037)&lt;=DB_ME),1,0)),0)</f>
        <v>0</v>
      </c>
      <c r="BX1037" s="80">
        <f>IF(DB_PROJ="Todos",1,IF(E1037&amp;""=DB_PROJ&amp;"",1,0))</f>
        <v>1</v>
      </c>
      <c r="BY1037" s="80">
        <f>BW1037*BX1037</f>
        <v>0</v>
      </c>
      <c r="BZ1037" s="80" t="str">
        <f>IF(Y1037=1,F1037&amp;IF(AND(F1037&amp;""&lt;&gt;"",E1037&amp;""&lt;&gt;"")," · ","")&amp;E1037,"")</f>
        <v/>
      </c>
      <c r="CA1037" s="80" t="str">
        <f>IF(AND(BD1037=1,E1037&amp;""&lt;&gt;""),IF(COUNTIFS($E$5:E1036,E1037,$BD$5:BD1036,1)=0,MAX($CA$5:CA1036)+1,""),"")</f>
        <v/>
      </c>
      <c r="CB1037" s="80" t="str">
        <f>IF(AND(BE1037=1,D1037="Malcolm",E1037&amp;""&lt;&gt;""),IF(COUNTIFS($D$5:D1036,"Malcolm",$E$5:E1036,E1037,$BE$5:BE1036,1)=0,MAX($CB$5:CB1036)+1,""),"")</f>
        <v/>
      </c>
      <c r="CC1037" s="80" t="str">
        <f>IF(AND(BD1037=1,D1037="proMX",E1037&amp;""&lt;&gt;""),IF(COUNTIFS($D$5:D1036,"proMX",$E$5:E1036,E1037,$BD$5:BD1036,1)=0,MAX($CC$5:CC1036)+1,""),"")</f>
        <v/>
      </c>
      <c r="CD1037" s="80" t="str">
        <f>IF(AND(BE1037=1,D1037="Malcolm",F1037&amp;""&lt;&gt;""),IF(COUNTIFS($D$5:D1036,"Malcolm",$F$5:F1036,F1037,$BE$5:BE1036,1)=0,MAX($CD$5:CD1036)+1,""),"")</f>
        <v/>
      </c>
      <c r="CE1037" s="80" t="str">
        <f>IF(AND(BD1037=1,D1037="proMX",F1037&amp;""&lt;&gt;""),IF(COUNTIFS($D$5:D1036,"proMX",$F$5:F1036,F1037,$BD$5:BD1036,1)=0,MAX($CE$5:CE1036)+1,""),"")</f>
        <v/>
      </c>
      <c r="CF1037" s="80" t="str">
        <f>IF(AND(D1037="proMX",BD1037=1),IF(OR(BF1037="Draft",BF1037="Submitted",BF1037="Returned",BF1037="Recall Requested"),MAX($CF$5:CF1036)+1,""),"")</f>
        <v/>
      </c>
      <c r="CG1037" s="80">
        <f>IF(BD1037=0,0,IF(D1037="Malcolm",1,MATCH(BF1037,{"Draft","Submitted","Approved","Returned","Recall Requested","Cancelled"},0)+1))</f>
        <v>0</v>
      </c>
      <c r="CH1037" s="80">
        <f>IF(AND(BF1037="Submitted",ISNUMBER(V1037)),IF(V1037&gt;CFG_MAXD,1,0),0)</f>
        <v>0</v>
      </c>
    </row>
    <row r="1038">
      <c r="A1038" s="71" t="str">
        <f>IF(Y1038=1,ROW()-5,"")</f>
        <v/>
      </c>
      <c r="B1038" s="72" t="n"/>
      <c r="C1038" s="71" t="str">
        <f>IF(ISNUMBER(B1038),CHOOSE(WEEKDAY(B1038,2),"Lun","Mar","Mié","Jue","Vie","Sáb","Dom"),"")</f>
        <v/>
      </c>
      <c r="D1038" s="73" t="n"/>
      <c r="E1038" s="74" t="n"/>
      <c r="F1038" s="74" t="n"/>
      <c r="G1038" s="74" t="n"/>
      <c r="H1038" s="75" t="n"/>
      <c r="I1038" s="75" t="n"/>
      <c r="J1038" s="76" t="n"/>
      <c r="K1038" s="77" t="str">
        <f>IF(AB1038=1,ROUND(AG1038/60,4),"")</f>
        <v/>
      </c>
      <c r="L1038" s="77" t="str">
        <f>IF(BD1038=1,ROUND(AP1038/60,4),"")</f>
        <v/>
      </c>
      <c r="M1038" s="77" t="str">
        <f>IF(BD1038=1,ROUND(AQ1038/60,4),"")</f>
        <v/>
      </c>
      <c r="N1038" s="71" t="str">
        <f>IF(AND(D1038="proMX",AB1038=1),ROUND(AG1038/CFG_BLK,2),"")</f>
        <v/>
      </c>
      <c r="O1038" s="77" t="str">
        <f>IF(D1038="proMX",IF(BD1038=1,ROUND(AG1038/60,4),0),"")</f>
        <v/>
      </c>
      <c r="P1038" s="78" t="str">
        <f>IF(Y1038=0,"",IF(BD1038=1,"OK",IF(D1038="proMX","Revisar bloques: ","Revisar: ")&amp;BC1038))</f>
        <v/>
      </c>
      <c r="Q1038" s="78" t="str">
        <f>IF(NOT(ISNUMBER(B1038)),"",IF(COUNTIFS(FER_F,INT(B1038))&gt;0,"Feriado"&amp;IF(AH1038=1," (laborable)"," (no laborable)"),IF(AH1038=1,"Laborable",IF(WEEKDAY(B1038,2)&gt;5,"Fin de semana","No laborable"))))</f>
        <v/>
      </c>
      <c r="R1038" s="73" t="n"/>
      <c r="S1038" s="72" t="n"/>
      <c r="T1038" s="72" t="n"/>
      <c r="U1038" s="74" t="n"/>
      <c r="V1038" s="79" t="str">
        <f>IF(AND(D1038="proMX",OR(R1038="Submitted",R1038="Recall Requested"),ISNUMBER(S1038)),CFG_TODAY-INT(S1038),"")</f>
        <v/>
      </c>
      <c r="W1038" s="78" t="str">
        <f>IF(BD1038=0,"",IF(BA1038&gt;0,"⚠ Se superpone con un registro de la otra empresa",IF(D1038="Malcolm",IF(COUNTA(R1038,S1038,T1038)&gt;0,"Estado/fechas proMX se ignoran en Malcolm",""),IF(BF1038="Cancelled","Cancelado: excluido de totales",IF(R1038="","Sin estado: se trata como Draft",IF(BF1038="Submitted",IF(ISNUMBER(V1038),IF(V1038&gt;CFG_MAXD,"⚠ "&amp;V1038&amp;" días en Submitted (máx. "&amp;CFG_MAXD&amp;")",""),"Falta fecha de envío"),IF(BF1038="Returned","⚠ Devuelto: corregir y reenviar",IF(BF1038="Recall Requested","Retirada solicitada: pendiente",IF(AND(BF1038="Approved",NOT(ISNUMBER(T1038))),"Falta fecha de aprobación",IF(AND(ISNUMBER(S1038),ISNUMBER(T1038),T1038&lt;S1038),"Aprobación anterior al envío","")))))))))</f>
        <v/>
      </c>
      <c r="Y1038" s="80">
        <f>IF(COUNTA(B1038,D1038,E1038,F1038,G1038,H1038,I1038,J1038,R1038,S1038,T1038)&gt;0,1,0)</f>
        <v>0</v>
      </c>
      <c r="Z1038" s="80" t="str">
        <f>IF(AND(ISNUMBER(H1038),H1038&gt;=0,H1038&lt;1),ROUND(H1038*1440,0),"")</f>
        <v/>
      </c>
      <c r="AA1038" s="80" t="str">
        <f>IF(AND(ISNUMBER(I1038),I1038&gt;=0,I1038&lt;1),ROUND(I1038*1440,0),"")</f>
        <v/>
      </c>
      <c r="AB1038" s="80">
        <f>IF(AND(ISNUMBER(B1038),D1038&lt;&gt;"",ISNUMBER(Z1038),ISNUMBER(AA1038)),IF(Z1038=AA1038,0,1),0)</f>
        <v>0</v>
      </c>
      <c r="AC1038" s="80">
        <f>IF(AB1038=1,IF(AA1038&lt;Z1038,1,0),0)</f>
        <v>0</v>
      </c>
      <c r="AD1038" s="80">
        <f>IF(AB1038=1,IF(AC1038=1,1440-Z1038+AA1038,AA1038-Z1038),0)</f>
        <v>0</v>
      </c>
      <c r="AE1038" s="80">
        <f>IF(J1038="",0,IF(ISNUMBER(J1038),J1038,-1))</f>
        <v>0</v>
      </c>
      <c r="AF1038" s="80">
        <f>MIN(MAX(0,AE1038),AD1038)</f>
        <v>0</v>
      </c>
      <c r="AG1038" s="80">
        <f>MAX(0,AD1038-MAX(0,AE1038))</f>
        <v>0</v>
      </c>
      <c r="AH1038" s="80">
        <f>IF(ISNUMBER(B1038),IF(AND(INDEX(CFG_WDAYS,WEEKDAY(INT(B1038),2))="Sí",IF(D1038="proMX",COUNTIFS(FER_F,INT(B1038),FER_NLP,"Sí"),COUNTIFS(FER_F,INT(B1038),FER_NLM,"Sí"))=0),1,0),0)</f>
        <v>0</v>
      </c>
      <c r="AI1038" s="80">
        <f>IF(AC1038=1,IF(AND(INDEX(CFG_WDAYS,WEEKDAY(INT(B1038)+1,2))="Sí",IF(D1038="proMX",COUNTIFS(FER_F,INT(B1038)+1,FER_NLP,"Sí"),COUNTIFS(FER_F,INT(B1038)+1,FER_NLM,"Sí"))=0),1,0),0)</f>
        <v>0</v>
      </c>
      <c r="AJ1038" s="80">
        <f>IF(AC1038=1,1440-Z1038,AD1038)</f>
        <v>0</v>
      </c>
      <c r="AK1038" s="80">
        <f>IF(AND(AB1038=1,AH1038=1),MAX(0,MIN(IF(AC1038=1,1440,AA1038),CFG_WEM)-MAX(Z1038,CFG_WSM)),0)</f>
        <v>0</v>
      </c>
      <c r="AL1038" s="80">
        <f>IF(AND(AC1038=1,AI1038=1),MAX(0,MIN(AA1038,CFG_WEM)-CFG_WSM),0)</f>
        <v>0</v>
      </c>
      <c r="AM1038" s="80">
        <f>AK1038+AL1038</f>
        <v>0</v>
      </c>
      <c r="AN1038" s="80">
        <f>IF(CFG_BRK="Proporcional",IF(AD1038=0,0,AF1038*AM1038/AD1038),IF(CFG_BRK="Extras primero",MIN(AM1038,MAX(0,AF1038-(AD1038-AM1038))),MIN(AF1038,AM1038)))</f>
        <v>0</v>
      </c>
      <c r="AO1038" s="80">
        <f>AF1038-AN1038</f>
        <v>0</v>
      </c>
      <c r="AP1038" s="80">
        <f>AM1038-AN1038</f>
        <v>0</v>
      </c>
      <c r="AQ1038" s="80">
        <f>AD1038-AM1038-AO1038</f>
        <v>0</v>
      </c>
      <c r="AR1038" s="80">
        <f>IF(AM1038=0,0,AK1038-AN1038*AK1038/AM1038)</f>
        <v>0</v>
      </c>
      <c r="AS1038" s="80">
        <f>IF(AD1038-AM1038=0,0,(AJ1038-AK1038)-AO1038*(AJ1038-AK1038)/(AD1038-AM1038))</f>
        <v>0</v>
      </c>
      <c r="AT1038" s="80" t="str">
        <f>IF(AC1038=1,INT(B1038)+1,"")</f>
        <v/>
      </c>
      <c r="AU1038" s="80">
        <f>IF(AND(D1038="proMX",R1038="Cancelled"),0,1)</f>
        <v>1</v>
      </c>
      <c r="AV1038" s="80">
        <f>IF(AND(AB1038=1,AU1038=1),IF(COUNTIFS($D$5:D1037,D1038,$B$5:B1037,B1038,$Z$5:Z1037,Z1038,$AA$5:AA1037,AA1038,$F$5:F1037,F1038&amp;"",$AU$5:AU1037,1)&gt;0,1,0),0)</f>
        <v>0</v>
      </c>
      <c r="AW1038" s="80" t="str">
        <f>IF(AB1038=1,INT(B1038)*1440+Z1038,"")</f>
        <v/>
      </c>
      <c r="AX1038" s="80" t="str">
        <f>IF(AB1038=1,AW1038+AD1038,"")</f>
        <v/>
      </c>
      <c r="AY1038" s="80">
        <f>IF(AND(AB1038=1,AV1038=0,AU1038=1),1,0)</f>
        <v>0</v>
      </c>
      <c r="AZ1038" s="80">
        <f>IF(AY1038=1,COUNTIFS(R_Emp,D1038,R_SAbs,"&lt;"&amp;AX1038,R_EAbs,"&gt;"&amp;AW1038,R_OKey,1)-1,0)</f>
        <v>0</v>
      </c>
      <c r="BA1038" s="80">
        <f>IF(AY1038=1,COUNTIFS(R_Emp,"&lt;&gt;"&amp;D1038,R_SAbs,"&lt;"&amp;AX1038,R_EAbs,"&gt;"&amp;AW1038,R_OKey,1),0)</f>
        <v>0</v>
      </c>
      <c r="BB1038" s="80">
        <f>IF(AND(AB1038=1,D1038="proMX"),IF(AND(MOD(Z1038,CFG_BLK)=0,MOD(AA1038,CFG_BLK)=0,MOD(AG1038,CFG_BLK)=0,AG1038&gt;0),1,0),1)</f>
        <v>1</v>
      </c>
      <c r="BC1038" s="80" t="str">
        <f>IF(Y1038=0,"",IF(NOT(ISNUMBER(B1038)),"Falta fecha o fecha inválida",IF(D1038="","Falta empresa",IF(AND(D1038&lt;&gt;"Malcolm",D1038&lt;&gt;"proMX"),"Empresa inválida",IF(OR(INT(B1038)&lt;CFG_PSTART,INT(B1038)&gt;CFG_PEND),"Fecha fuera del período",IF(OR(NOT(ISNUMBER(Z1038)),NOT(ISNUMBER(AA1038))),"Falta hora inicio/fin o formato inválido",IF(AB1038=0,"Hora inicio = hora fin",IF(AE1038&lt;0,"Descanso inválido",IF(AE1038&gt;=AD1038,"Descanso ≥ duración",IF(AV1038=1,"Registro duplicado",IF(AZ1038&gt;0,"Se superpone con otro registro "&amp;D1038,IF(BB1038=0,"inicio, fin y duración neta deben ser múltiplos de "&amp;CFG_BLK&amp;" min",""))))))))))))</f>
        <v/>
      </c>
      <c r="BD1038" s="80">
        <f>IF(AND(Y1038=1,BC1038=""),1,0)</f>
        <v>0</v>
      </c>
      <c r="BE1038" s="80">
        <f>IF(AND(BD1038=1,AU1038=1),1,0)</f>
        <v>0</v>
      </c>
      <c r="BF1038" s="80" t="str">
        <f>IF(AND(D1038="proMX",BD1038=1),IF(R1038="","Draft",R1038),"")</f>
        <v/>
      </c>
      <c r="BG1038" s="80">
        <f>IF(BD1038=1,ROUND(AG1038/60,6),0)</f>
        <v>0</v>
      </c>
      <c r="BH1038" s="80">
        <f>IF(BE1038=1,ROUND(AG1038/60,6),0)</f>
        <v>0</v>
      </c>
      <c r="BI1038" s="80">
        <f>IF(BE1038=1,ROUND(AP1038/60,6),0)</f>
        <v>0</v>
      </c>
      <c r="BJ1038" s="80">
        <f>IF(BE1038=1,ROUND(AQ1038/60,6),0)</f>
        <v>0</v>
      </c>
      <c r="BK1038" s="80">
        <f>IF(BE1038=1,ROUND((AR1038+AS1038)/60,6),0)</f>
        <v>0</v>
      </c>
      <c r="BL1038" s="80">
        <f>ROUND(BH1038-BK1038,6)</f>
        <v>0</v>
      </c>
      <c r="BM1038" s="80">
        <f>IF(BE1038=1,ROUND(AR1038/60,6),0)</f>
        <v>0</v>
      </c>
      <c r="BN1038" s="80">
        <f>ROUND(BI1038-BM1038,6)</f>
        <v>0</v>
      </c>
      <c r="BO1038" s="80">
        <f>IF(BE1038=1,ROUND(AS1038/60,6),0)</f>
        <v>0</v>
      </c>
      <c r="BP1038" s="80">
        <f>ROUND(BJ1038-BO1038,6)</f>
        <v>0</v>
      </c>
      <c r="BQ1038" s="80">
        <f>IF(BE1038=1,AW1038,0)</f>
        <v>0</v>
      </c>
      <c r="BR1038" s="80">
        <f>IF(BE1038=1,AX1038,0)</f>
        <v>0</v>
      </c>
      <c r="BS1038" s="80">
        <f>IF(AND(BE1038=1,D1038="Malcolm",BA1038&gt;0),MIN(BH1038,SUMPRODUCT((R_Emp="proMX")*(R_EN&gt;0)*((R_EN-(R_EN&gt;BR1038)*(R_EN-BR1038))&gt;(R_SN+(R_SN&lt;BQ1038)*(BQ1038-R_SN)))*((R_EN-(R_EN&gt;BR1038)*(R_EN-BR1038))-(R_SN+(R_SN&lt;BQ1038)*(BQ1038-R_SN))))/60),0)</f>
        <v>0</v>
      </c>
      <c r="BT1038" s="80">
        <f>IF(AND(BE1038=1,D1038="proMX"),ROUND(BI1038*CFG_RATE+BJ1038*CFG_OTRATE,6),0)</f>
        <v>0</v>
      </c>
      <c r="BU1038" s="80">
        <f>IF(AND(BD1038=1,D1038="proMX"),ROUND(AG1038/CFG_BLK,6),0)</f>
        <v>0</v>
      </c>
      <c r="BV1038" s="80" t="str">
        <f>IF(BF1038="Approved",IF(ISNUMBER(T1038),INT(T1038),INT(B1038)),"")</f>
        <v/>
      </c>
      <c r="BW1038" s="80">
        <f>IF(ISNUMBER(B1038),IF(DB_MON="Todos",1,IF(AND(INT(B1038)&gt;=DB_MS,INT(B1038)&lt;=DB_ME),1,0)),0)</f>
        <v>0</v>
      </c>
      <c r="BX1038" s="80">
        <f>IF(DB_PROJ="Todos",1,IF(E1038&amp;""=DB_PROJ&amp;"",1,0))</f>
        <v>1</v>
      </c>
      <c r="BY1038" s="80">
        <f>BW1038*BX1038</f>
        <v>0</v>
      </c>
      <c r="BZ1038" s="80" t="str">
        <f>IF(Y1038=1,F1038&amp;IF(AND(F1038&amp;""&lt;&gt;"",E1038&amp;""&lt;&gt;"")," · ","")&amp;E1038,"")</f>
        <v/>
      </c>
      <c r="CA1038" s="80" t="str">
        <f>IF(AND(BD1038=1,E1038&amp;""&lt;&gt;""),IF(COUNTIFS($E$5:E1037,E1038,$BD$5:BD1037,1)=0,MAX($CA$5:CA1037)+1,""),"")</f>
        <v/>
      </c>
      <c r="CB1038" s="80" t="str">
        <f>IF(AND(BE1038=1,D1038="Malcolm",E1038&amp;""&lt;&gt;""),IF(COUNTIFS($D$5:D1037,"Malcolm",$E$5:E1037,E1038,$BE$5:BE1037,1)=0,MAX($CB$5:CB1037)+1,""),"")</f>
        <v/>
      </c>
      <c r="CC1038" s="80" t="str">
        <f>IF(AND(BD1038=1,D1038="proMX",E1038&amp;""&lt;&gt;""),IF(COUNTIFS($D$5:D1037,"proMX",$E$5:E1037,E1038,$BD$5:BD1037,1)=0,MAX($CC$5:CC1037)+1,""),"")</f>
        <v/>
      </c>
      <c r="CD1038" s="80" t="str">
        <f>IF(AND(BE1038=1,D1038="Malcolm",F1038&amp;""&lt;&gt;""),IF(COUNTIFS($D$5:D1037,"Malcolm",$F$5:F1037,F1038,$BE$5:BE1037,1)=0,MAX($CD$5:CD1037)+1,""),"")</f>
        <v/>
      </c>
      <c r="CE1038" s="80" t="str">
        <f>IF(AND(BD1038=1,D1038="proMX",F1038&amp;""&lt;&gt;""),IF(COUNTIFS($D$5:D1037,"proMX",$F$5:F1037,F1038,$BD$5:BD1037,1)=0,MAX($CE$5:CE1037)+1,""),"")</f>
        <v/>
      </c>
      <c r="CF1038" s="80" t="str">
        <f>IF(AND(D1038="proMX",BD1038=1),IF(OR(BF1038="Draft",BF1038="Submitted",BF1038="Returned",BF1038="Recall Requested"),MAX($CF$5:CF1037)+1,""),"")</f>
        <v/>
      </c>
      <c r="CG1038" s="80">
        <f>IF(BD1038=0,0,IF(D1038="Malcolm",1,MATCH(BF1038,{"Draft","Submitted","Approved","Returned","Recall Requested","Cancelled"},0)+1))</f>
        <v>0</v>
      </c>
      <c r="CH1038" s="80">
        <f>IF(AND(BF1038="Submitted",ISNUMBER(V1038)),IF(V1038&gt;CFG_MAXD,1,0),0)</f>
        <v>0</v>
      </c>
    </row>
    <row r="1039">
      <c r="A1039" s="71" t="str">
        <f>IF(Y1039=1,ROW()-5,"")</f>
        <v/>
      </c>
      <c r="B1039" s="72" t="n"/>
      <c r="C1039" s="71" t="str">
        <f>IF(ISNUMBER(B1039),CHOOSE(WEEKDAY(B1039,2),"Lun","Mar","Mié","Jue","Vie","Sáb","Dom"),"")</f>
        <v/>
      </c>
      <c r="D1039" s="73" t="n"/>
      <c r="E1039" s="74" t="n"/>
      <c r="F1039" s="74" t="n"/>
      <c r="G1039" s="74" t="n"/>
      <c r="H1039" s="75" t="n"/>
      <c r="I1039" s="75" t="n"/>
      <c r="J1039" s="76" t="n"/>
      <c r="K1039" s="77" t="str">
        <f>IF(AB1039=1,ROUND(AG1039/60,4),"")</f>
        <v/>
      </c>
      <c r="L1039" s="77" t="str">
        <f>IF(BD1039=1,ROUND(AP1039/60,4),"")</f>
        <v/>
      </c>
      <c r="M1039" s="77" t="str">
        <f>IF(BD1039=1,ROUND(AQ1039/60,4),"")</f>
        <v/>
      </c>
      <c r="N1039" s="71" t="str">
        <f>IF(AND(D1039="proMX",AB1039=1),ROUND(AG1039/CFG_BLK,2),"")</f>
        <v/>
      </c>
      <c r="O1039" s="77" t="str">
        <f>IF(D1039="proMX",IF(BD1039=1,ROUND(AG1039/60,4),0),"")</f>
        <v/>
      </c>
      <c r="P1039" s="78" t="str">
        <f>IF(Y1039=0,"",IF(BD1039=1,"OK",IF(D1039="proMX","Revisar bloques: ","Revisar: ")&amp;BC1039))</f>
        <v/>
      </c>
      <c r="Q1039" s="78" t="str">
        <f>IF(NOT(ISNUMBER(B1039)),"",IF(COUNTIFS(FER_F,INT(B1039))&gt;0,"Feriado"&amp;IF(AH1039=1," (laborable)"," (no laborable)"),IF(AH1039=1,"Laborable",IF(WEEKDAY(B1039,2)&gt;5,"Fin de semana","No laborable"))))</f>
        <v/>
      </c>
      <c r="R1039" s="73" t="n"/>
      <c r="S1039" s="72" t="n"/>
      <c r="T1039" s="72" t="n"/>
      <c r="U1039" s="74" t="n"/>
      <c r="V1039" s="79" t="str">
        <f>IF(AND(D1039="proMX",OR(R1039="Submitted",R1039="Recall Requested"),ISNUMBER(S1039)),CFG_TODAY-INT(S1039),"")</f>
        <v/>
      </c>
      <c r="W1039" s="78" t="str">
        <f>IF(BD1039=0,"",IF(BA1039&gt;0,"⚠ Se superpone con un registro de la otra empresa",IF(D1039="Malcolm",IF(COUNTA(R1039,S1039,T1039)&gt;0,"Estado/fechas proMX se ignoran en Malcolm",""),IF(BF1039="Cancelled","Cancelado: excluido de totales",IF(R1039="","Sin estado: se trata como Draft",IF(BF1039="Submitted",IF(ISNUMBER(V1039),IF(V1039&gt;CFG_MAXD,"⚠ "&amp;V1039&amp;" días en Submitted (máx. "&amp;CFG_MAXD&amp;")",""),"Falta fecha de envío"),IF(BF1039="Returned","⚠ Devuelto: corregir y reenviar",IF(BF1039="Recall Requested","Retirada solicitada: pendiente",IF(AND(BF1039="Approved",NOT(ISNUMBER(T1039))),"Falta fecha de aprobación",IF(AND(ISNUMBER(S1039),ISNUMBER(T1039),T1039&lt;S1039),"Aprobación anterior al envío","")))))))))</f>
        <v/>
      </c>
      <c r="Y1039" s="80">
        <f>IF(COUNTA(B1039,D1039,E1039,F1039,G1039,H1039,I1039,J1039,R1039,S1039,T1039)&gt;0,1,0)</f>
        <v>0</v>
      </c>
      <c r="Z1039" s="80" t="str">
        <f>IF(AND(ISNUMBER(H1039),H1039&gt;=0,H1039&lt;1),ROUND(H1039*1440,0),"")</f>
        <v/>
      </c>
      <c r="AA1039" s="80" t="str">
        <f>IF(AND(ISNUMBER(I1039),I1039&gt;=0,I1039&lt;1),ROUND(I1039*1440,0),"")</f>
        <v/>
      </c>
      <c r="AB1039" s="80">
        <f>IF(AND(ISNUMBER(B1039),D1039&lt;&gt;"",ISNUMBER(Z1039),ISNUMBER(AA1039)),IF(Z1039=AA1039,0,1),0)</f>
        <v>0</v>
      </c>
      <c r="AC1039" s="80">
        <f>IF(AB1039=1,IF(AA1039&lt;Z1039,1,0),0)</f>
        <v>0</v>
      </c>
      <c r="AD1039" s="80">
        <f>IF(AB1039=1,IF(AC1039=1,1440-Z1039+AA1039,AA1039-Z1039),0)</f>
        <v>0</v>
      </c>
      <c r="AE1039" s="80">
        <f>IF(J1039="",0,IF(ISNUMBER(J1039),J1039,-1))</f>
        <v>0</v>
      </c>
      <c r="AF1039" s="80">
        <f>MIN(MAX(0,AE1039),AD1039)</f>
        <v>0</v>
      </c>
      <c r="AG1039" s="80">
        <f>MAX(0,AD1039-MAX(0,AE1039))</f>
        <v>0</v>
      </c>
      <c r="AH1039" s="80">
        <f>IF(ISNUMBER(B1039),IF(AND(INDEX(CFG_WDAYS,WEEKDAY(INT(B1039),2))="Sí",IF(D1039="proMX",COUNTIFS(FER_F,INT(B1039),FER_NLP,"Sí"),COUNTIFS(FER_F,INT(B1039),FER_NLM,"Sí"))=0),1,0),0)</f>
        <v>0</v>
      </c>
      <c r="AI1039" s="80">
        <f>IF(AC1039=1,IF(AND(INDEX(CFG_WDAYS,WEEKDAY(INT(B1039)+1,2))="Sí",IF(D1039="proMX",COUNTIFS(FER_F,INT(B1039)+1,FER_NLP,"Sí"),COUNTIFS(FER_F,INT(B1039)+1,FER_NLM,"Sí"))=0),1,0),0)</f>
        <v>0</v>
      </c>
      <c r="AJ1039" s="80">
        <f>IF(AC1039=1,1440-Z1039,AD1039)</f>
        <v>0</v>
      </c>
      <c r="AK1039" s="80">
        <f>IF(AND(AB1039=1,AH1039=1),MAX(0,MIN(IF(AC1039=1,1440,AA1039),CFG_WEM)-MAX(Z1039,CFG_WSM)),0)</f>
        <v>0</v>
      </c>
      <c r="AL1039" s="80">
        <f>IF(AND(AC1039=1,AI1039=1),MAX(0,MIN(AA1039,CFG_WEM)-CFG_WSM),0)</f>
        <v>0</v>
      </c>
      <c r="AM1039" s="80">
        <f>AK1039+AL1039</f>
        <v>0</v>
      </c>
      <c r="AN1039" s="80">
        <f>IF(CFG_BRK="Proporcional",IF(AD1039=0,0,AF1039*AM1039/AD1039),IF(CFG_BRK="Extras primero",MIN(AM1039,MAX(0,AF1039-(AD1039-AM1039))),MIN(AF1039,AM1039)))</f>
        <v>0</v>
      </c>
      <c r="AO1039" s="80">
        <f>AF1039-AN1039</f>
        <v>0</v>
      </c>
      <c r="AP1039" s="80">
        <f>AM1039-AN1039</f>
        <v>0</v>
      </c>
      <c r="AQ1039" s="80">
        <f>AD1039-AM1039-AO1039</f>
        <v>0</v>
      </c>
      <c r="AR1039" s="80">
        <f>IF(AM1039=0,0,AK1039-AN1039*AK1039/AM1039)</f>
        <v>0</v>
      </c>
      <c r="AS1039" s="80">
        <f>IF(AD1039-AM1039=0,0,(AJ1039-AK1039)-AO1039*(AJ1039-AK1039)/(AD1039-AM1039))</f>
        <v>0</v>
      </c>
      <c r="AT1039" s="80" t="str">
        <f>IF(AC1039=1,INT(B1039)+1,"")</f>
        <v/>
      </c>
      <c r="AU1039" s="80">
        <f>IF(AND(D1039="proMX",R1039="Cancelled"),0,1)</f>
        <v>1</v>
      </c>
      <c r="AV1039" s="80">
        <f>IF(AND(AB1039=1,AU1039=1),IF(COUNTIFS($D$5:D1038,D1039,$B$5:B1038,B1039,$Z$5:Z1038,Z1039,$AA$5:AA1038,AA1039,$F$5:F1038,F1039&amp;"",$AU$5:AU1038,1)&gt;0,1,0),0)</f>
        <v>0</v>
      </c>
      <c r="AW1039" s="80" t="str">
        <f>IF(AB1039=1,INT(B1039)*1440+Z1039,"")</f>
        <v/>
      </c>
      <c r="AX1039" s="80" t="str">
        <f>IF(AB1039=1,AW1039+AD1039,"")</f>
        <v/>
      </c>
      <c r="AY1039" s="80">
        <f>IF(AND(AB1039=1,AV1039=0,AU1039=1),1,0)</f>
        <v>0</v>
      </c>
      <c r="AZ1039" s="80">
        <f>IF(AY1039=1,COUNTIFS(R_Emp,D1039,R_SAbs,"&lt;"&amp;AX1039,R_EAbs,"&gt;"&amp;AW1039,R_OKey,1)-1,0)</f>
        <v>0</v>
      </c>
      <c r="BA1039" s="80">
        <f>IF(AY1039=1,COUNTIFS(R_Emp,"&lt;&gt;"&amp;D1039,R_SAbs,"&lt;"&amp;AX1039,R_EAbs,"&gt;"&amp;AW1039,R_OKey,1),0)</f>
        <v>0</v>
      </c>
      <c r="BB1039" s="80">
        <f>IF(AND(AB1039=1,D1039="proMX"),IF(AND(MOD(Z1039,CFG_BLK)=0,MOD(AA1039,CFG_BLK)=0,MOD(AG1039,CFG_BLK)=0,AG1039&gt;0),1,0),1)</f>
        <v>1</v>
      </c>
      <c r="BC1039" s="80" t="str">
        <f>IF(Y1039=0,"",IF(NOT(ISNUMBER(B1039)),"Falta fecha o fecha inválida",IF(D1039="","Falta empresa",IF(AND(D1039&lt;&gt;"Malcolm",D1039&lt;&gt;"proMX"),"Empresa inválida",IF(OR(INT(B1039)&lt;CFG_PSTART,INT(B1039)&gt;CFG_PEND),"Fecha fuera del período",IF(OR(NOT(ISNUMBER(Z1039)),NOT(ISNUMBER(AA1039))),"Falta hora inicio/fin o formato inválido",IF(AB1039=0,"Hora inicio = hora fin",IF(AE1039&lt;0,"Descanso inválido",IF(AE1039&gt;=AD1039,"Descanso ≥ duración",IF(AV1039=1,"Registro duplicado",IF(AZ1039&gt;0,"Se superpone con otro registro "&amp;D1039,IF(BB1039=0,"inicio, fin y duración neta deben ser múltiplos de "&amp;CFG_BLK&amp;" min",""))))))))))))</f>
        <v/>
      </c>
      <c r="BD1039" s="80">
        <f>IF(AND(Y1039=1,BC1039=""),1,0)</f>
        <v>0</v>
      </c>
      <c r="BE1039" s="80">
        <f>IF(AND(BD1039=1,AU1039=1),1,0)</f>
        <v>0</v>
      </c>
      <c r="BF1039" s="80" t="str">
        <f>IF(AND(D1039="proMX",BD1039=1),IF(R1039="","Draft",R1039),"")</f>
        <v/>
      </c>
      <c r="BG1039" s="80">
        <f>IF(BD1039=1,ROUND(AG1039/60,6),0)</f>
        <v>0</v>
      </c>
      <c r="BH1039" s="80">
        <f>IF(BE1039=1,ROUND(AG1039/60,6),0)</f>
        <v>0</v>
      </c>
      <c r="BI1039" s="80">
        <f>IF(BE1039=1,ROUND(AP1039/60,6),0)</f>
        <v>0</v>
      </c>
      <c r="BJ1039" s="80">
        <f>IF(BE1039=1,ROUND(AQ1039/60,6),0)</f>
        <v>0</v>
      </c>
      <c r="BK1039" s="80">
        <f>IF(BE1039=1,ROUND((AR1039+AS1039)/60,6),0)</f>
        <v>0</v>
      </c>
      <c r="BL1039" s="80">
        <f>ROUND(BH1039-BK1039,6)</f>
        <v>0</v>
      </c>
      <c r="BM1039" s="80">
        <f>IF(BE1039=1,ROUND(AR1039/60,6),0)</f>
        <v>0</v>
      </c>
      <c r="BN1039" s="80">
        <f>ROUND(BI1039-BM1039,6)</f>
        <v>0</v>
      </c>
      <c r="BO1039" s="80">
        <f>IF(BE1039=1,ROUND(AS1039/60,6),0)</f>
        <v>0</v>
      </c>
      <c r="BP1039" s="80">
        <f>ROUND(BJ1039-BO1039,6)</f>
        <v>0</v>
      </c>
      <c r="BQ1039" s="80">
        <f>IF(BE1039=1,AW1039,0)</f>
        <v>0</v>
      </c>
      <c r="BR1039" s="80">
        <f>IF(BE1039=1,AX1039,0)</f>
        <v>0</v>
      </c>
      <c r="BS1039" s="80">
        <f>IF(AND(BE1039=1,D1039="Malcolm",BA1039&gt;0),MIN(BH1039,SUMPRODUCT((R_Emp="proMX")*(R_EN&gt;0)*((R_EN-(R_EN&gt;BR1039)*(R_EN-BR1039))&gt;(R_SN+(R_SN&lt;BQ1039)*(BQ1039-R_SN)))*((R_EN-(R_EN&gt;BR1039)*(R_EN-BR1039))-(R_SN+(R_SN&lt;BQ1039)*(BQ1039-R_SN))))/60),0)</f>
        <v>0</v>
      </c>
      <c r="BT1039" s="80">
        <f>IF(AND(BE1039=1,D1039="proMX"),ROUND(BI1039*CFG_RATE+BJ1039*CFG_OTRATE,6),0)</f>
        <v>0</v>
      </c>
      <c r="BU1039" s="80">
        <f>IF(AND(BD1039=1,D1039="proMX"),ROUND(AG1039/CFG_BLK,6),0)</f>
        <v>0</v>
      </c>
      <c r="BV1039" s="80" t="str">
        <f>IF(BF1039="Approved",IF(ISNUMBER(T1039),INT(T1039),INT(B1039)),"")</f>
        <v/>
      </c>
      <c r="BW1039" s="80">
        <f>IF(ISNUMBER(B1039),IF(DB_MON="Todos",1,IF(AND(INT(B1039)&gt;=DB_MS,INT(B1039)&lt;=DB_ME),1,0)),0)</f>
        <v>0</v>
      </c>
      <c r="BX1039" s="80">
        <f>IF(DB_PROJ="Todos",1,IF(E1039&amp;""=DB_PROJ&amp;"",1,0))</f>
        <v>1</v>
      </c>
      <c r="BY1039" s="80">
        <f>BW1039*BX1039</f>
        <v>0</v>
      </c>
      <c r="BZ1039" s="80" t="str">
        <f>IF(Y1039=1,F1039&amp;IF(AND(F1039&amp;""&lt;&gt;"",E1039&amp;""&lt;&gt;"")," · ","")&amp;E1039,"")</f>
        <v/>
      </c>
      <c r="CA1039" s="80" t="str">
        <f>IF(AND(BD1039=1,E1039&amp;""&lt;&gt;""),IF(COUNTIFS($E$5:E1038,E1039,$BD$5:BD1038,1)=0,MAX($CA$5:CA1038)+1,""),"")</f>
        <v/>
      </c>
      <c r="CB1039" s="80" t="str">
        <f>IF(AND(BE1039=1,D1039="Malcolm",E1039&amp;""&lt;&gt;""),IF(COUNTIFS($D$5:D1038,"Malcolm",$E$5:E1038,E1039,$BE$5:BE1038,1)=0,MAX($CB$5:CB1038)+1,""),"")</f>
        <v/>
      </c>
      <c r="CC1039" s="80" t="str">
        <f>IF(AND(BD1039=1,D1039="proMX",E1039&amp;""&lt;&gt;""),IF(COUNTIFS($D$5:D1038,"proMX",$E$5:E1038,E1039,$BD$5:BD1038,1)=0,MAX($CC$5:CC1038)+1,""),"")</f>
        <v/>
      </c>
      <c r="CD1039" s="80" t="str">
        <f>IF(AND(BE1039=1,D1039="Malcolm",F1039&amp;""&lt;&gt;""),IF(COUNTIFS($D$5:D1038,"Malcolm",$F$5:F1038,F1039,$BE$5:BE1038,1)=0,MAX($CD$5:CD1038)+1,""),"")</f>
        <v/>
      </c>
      <c r="CE1039" s="80" t="str">
        <f>IF(AND(BD1039=1,D1039="proMX",F1039&amp;""&lt;&gt;""),IF(COUNTIFS($D$5:D1038,"proMX",$F$5:F1038,F1039,$BD$5:BD1038,1)=0,MAX($CE$5:CE1038)+1,""),"")</f>
        <v/>
      </c>
      <c r="CF1039" s="80" t="str">
        <f>IF(AND(D1039="proMX",BD1039=1),IF(OR(BF1039="Draft",BF1039="Submitted",BF1039="Returned",BF1039="Recall Requested"),MAX($CF$5:CF1038)+1,""),"")</f>
        <v/>
      </c>
      <c r="CG1039" s="80">
        <f>IF(BD1039=0,0,IF(D1039="Malcolm",1,MATCH(BF1039,{"Draft","Submitted","Approved","Returned","Recall Requested","Cancelled"},0)+1))</f>
        <v>0</v>
      </c>
      <c r="CH1039" s="80">
        <f>IF(AND(BF1039="Submitted",ISNUMBER(V1039)),IF(V1039&gt;CFG_MAXD,1,0),0)</f>
        <v>0</v>
      </c>
    </row>
    <row r="1040">
      <c r="A1040" s="71" t="str">
        <f>IF(Y1040=1,ROW()-5,"")</f>
        <v/>
      </c>
      <c r="B1040" s="72" t="n"/>
      <c r="C1040" s="71" t="str">
        <f>IF(ISNUMBER(B1040),CHOOSE(WEEKDAY(B1040,2),"Lun","Mar","Mié","Jue","Vie","Sáb","Dom"),"")</f>
        <v/>
      </c>
      <c r="D1040" s="73" t="n"/>
      <c r="E1040" s="74" t="n"/>
      <c r="F1040" s="74" t="n"/>
      <c r="G1040" s="74" t="n"/>
      <c r="H1040" s="75" t="n"/>
      <c r="I1040" s="75" t="n"/>
      <c r="J1040" s="76" t="n"/>
      <c r="K1040" s="77" t="str">
        <f>IF(AB1040=1,ROUND(AG1040/60,4),"")</f>
        <v/>
      </c>
      <c r="L1040" s="77" t="str">
        <f>IF(BD1040=1,ROUND(AP1040/60,4),"")</f>
        <v/>
      </c>
      <c r="M1040" s="77" t="str">
        <f>IF(BD1040=1,ROUND(AQ1040/60,4),"")</f>
        <v/>
      </c>
      <c r="N1040" s="71" t="str">
        <f>IF(AND(D1040="proMX",AB1040=1),ROUND(AG1040/CFG_BLK,2),"")</f>
        <v/>
      </c>
      <c r="O1040" s="77" t="str">
        <f>IF(D1040="proMX",IF(BD1040=1,ROUND(AG1040/60,4),0),"")</f>
        <v/>
      </c>
      <c r="P1040" s="78" t="str">
        <f>IF(Y1040=0,"",IF(BD1040=1,"OK",IF(D1040="proMX","Revisar bloques: ","Revisar: ")&amp;BC1040))</f>
        <v/>
      </c>
      <c r="Q1040" s="78" t="str">
        <f>IF(NOT(ISNUMBER(B1040)),"",IF(COUNTIFS(FER_F,INT(B1040))&gt;0,"Feriado"&amp;IF(AH1040=1," (laborable)"," (no laborable)"),IF(AH1040=1,"Laborable",IF(WEEKDAY(B1040,2)&gt;5,"Fin de semana","No laborable"))))</f>
        <v/>
      </c>
      <c r="R1040" s="73" t="n"/>
      <c r="S1040" s="72" t="n"/>
      <c r="T1040" s="72" t="n"/>
      <c r="U1040" s="74" t="n"/>
      <c r="V1040" s="79" t="str">
        <f>IF(AND(D1040="proMX",OR(R1040="Submitted",R1040="Recall Requested"),ISNUMBER(S1040)),CFG_TODAY-INT(S1040),"")</f>
        <v/>
      </c>
      <c r="W1040" s="78" t="str">
        <f>IF(BD1040=0,"",IF(BA1040&gt;0,"⚠ Se superpone con un registro de la otra empresa",IF(D1040="Malcolm",IF(COUNTA(R1040,S1040,T1040)&gt;0,"Estado/fechas proMX se ignoran en Malcolm",""),IF(BF1040="Cancelled","Cancelado: excluido de totales",IF(R1040="","Sin estado: se trata como Draft",IF(BF1040="Submitted",IF(ISNUMBER(V1040),IF(V1040&gt;CFG_MAXD,"⚠ "&amp;V1040&amp;" días en Submitted (máx. "&amp;CFG_MAXD&amp;")",""),"Falta fecha de envío"),IF(BF1040="Returned","⚠ Devuelto: corregir y reenviar",IF(BF1040="Recall Requested","Retirada solicitada: pendiente",IF(AND(BF1040="Approved",NOT(ISNUMBER(T1040))),"Falta fecha de aprobación",IF(AND(ISNUMBER(S1040),ISNUMBER(T1040),T1040&lt;S1040),"Aprobación anterior al envío","")))))))))</f>
        <v/>
      </c>
      <c r="Y1040" s="80">
        <f>IF(COUNTA(B1040,D1040,E1040,F1040,G1040,H1040,I1040,J1040,R1040,S1040,T1040)&gt;0,1,0)</f>
        <v>0</v>
      </c>
      <c r="Z1040" s="80" t="str">
        <f>IF(AND(ISNUMBER(H1040),H1040&gt;=0,H1040&lt;1),ROUND(H1040*1440,0),"")</f>
        <v/>
      </c>
      <c r="AA1040" s="80" t="str">
        <f>IF(AND(ISNUMBER(I1040),I1040&gt;=0,I1040&lt;1),ROUND(I1040*1440,0),"")</f>
        <v/>
      </c>
      <c r="AB1040" s="80">
        <f>IF(AND(ISNUMBER(B1040),D1040&lt;&gt;"",ISNUMBER(Z1040),ISNUMBER(AA1040)),IF(Z1040=AA1040,0,1),0)</f>
        <v>0</v>
      </c>
      <c r="AC1040" s="80">
        <f>IF(AB1040=1,IF(AA1040&lt;Z1040,1,0),0)</f>
        <v>0</v>
      </c>
      <c r="AD1040" s="80">
        <f>IF(AB1040=1,IF(AC1040=1,1440-Z1040+AA1040,AA1040-Z1040),0)</f>
        <v>0</v>
      </c>
      <c r="AE1040" s="80">
        <f>IF(J1040="",0,IF(ISNUMBER(J1040),J1040,-1))</f>
        <v>0</v>
      </c>
      <c r="AF1040" s="80">
        <f>MIN(MAX(0,AE1040),AD1040)</f>
        <v>0</v>
      </c>
      <c r="AG1040" s="80">
        <f>MAX(0,AD1040-MAX(0,AE1040))</f>
        <v>0</v>
      </c>
      <c r="AH1040" s="80">
        <f>IF(ISNUMBER(B1040),IF(AND(INDEX(CFG_WDAYS,WEEKDAY(INT(B1040),2))="Sí",IF(D1040="proMX",COUNTIFS(FER_F,INT(B1040),FER_NLP,"Sí"),COUNTIFS(FER_F,INT(B1040),FER_NLM,"Sí"))=0),1,0),0)</f>
        <v>0</v>
      </c>
      <c r="AI1040" s="80">
        <f>IF(AC1040=1,IF(AND(INDEX(CFG_WDAYS,WEEKDAY(INT(B1040)+1,2))="Sí",IF(D1040="proMX",COUNTIFS(FER_F,INT(B1040)+1,FER_NLP,"Sí"),COUNTIFS(FER_F,INT(B1040)+1,FER_NLM,"Sí"))=0),1,0),0)</f>
        <v>0</v>
      </c>
      <c r="AJ1040" s="80">
        <f>IF(AC1040=1,1440-Z1040,AD1040)</f>
        <v>0</v>
      </c>
      <c r="AK1040" s="80">
        <f>IF(AND(AB1040=1,AH1040=1),MAX(0,MIN(IF(AC1040=1,1440,AA1040),CFG_WEM)-MAX(Z1040,CFG_WSM)),0)</f>
        <v>0</v>
      </c>
      <c r="AL1040" s="80">
        <f>IF(AND(AC1040=1,AI1040=1),MAX(0,MIN(AA1040,CFG_WEM)-CFG_WSM),0)</f>
        <v>0</v>
      </c>
      <c r="AM1040" s="80">
        <f>AK1040+AL1040</f>
        <v>0</v>
      </c>
      <c r="AN1040" s="80">
        <f>IF(CFG_BRK="Proporcional",IF(AD1040=0,0,AF1040*AM1040/AD1040),IF(CFG_BRK="Extras primero",MIN(AM1040,MAX(0,AF1040-(AD1040-AM1040))),MIN(AF1040,AM1040)))</f>
        <v>0</v>
      </c>
      <c r="AO1040" s="80">
        <f>AF1040-AN1040</f>
        <v>0</v>
      </c>
      <c r="AP1040" s="80">
        <f>AM1040-AN1040</f>
        <v>0</v>
      </c>
      <c r="AQ1040" s="80">
        <f>AD1040-AM1040-AO1040</f>
        <v>0</v>
      </c>
      <c r="AR1040" s="80">
        <f>IF(AM1040=0,0,AK1040-AN1040*AK1040/AM1040)</f>
        <v>0</v>
      </c>
      <c r="AS1040" s="80">
        <f>IF(AD1040-AM1040=0,0,(AJ1040-AK1040)-AO1040*(AJ1040-AK1040)/(AD1040-AM1040))</f>
        <v>0</v>
      </c>
      <c r="AT1040" s="80" t="str">
        <f>IF(AC1040=1,INT(B1040)+1,"")</f>
        <v/>
      </c>
      <c r="AU1040" s="80">
        <f>IF(AND(D1040="proMX",R1040="Cancelled"),0,1)</f>
        <v>1</v>
      </c>
      <c r="AV1040" s="80">
        <f>IF(AND(AB1040=1,AU1040=1),IF(COUNTIFS($D$5:D1039,D1040,$B$5:B1039,B1040,$Z$5:Z1039,Z1040,$AA$5:AA1039,AA1040,$F$5:F1039,F1040&amp;"",$AU$5:AU1039,1)&gt;0,1,0),0)</f>
        <v>0</v>
      </c>
      <c r="AW1040" s="80" t="str">
        <f>IF(AB1040=1,INT(B1040)*1440+Z1040,"")</f>
        <v/>
      </c>
      <c r="AX1040" s="80" t="str">
        <f>IF(AB1040=1,AW1040+AD1040,"")</f>
        <v/>
      </c>
      <c r="AY1040" s="80">
        <f>IF(AND(AB1040=1,AV1040=0,AU1040=1),1,0)</f>
        <v>0</v>
      </c>
      <c r="AZ1040" s="80">
        <f>IF(AY1040=1,COUNTIFS(R_Emp,D1040,R_SAbs,"&lt;"&amp;AX1040,R_EAbs,"&gt;"&amp;AW1040,R_OKey,1)-1,0)</f>
        <v>0</v>
      </c>
      <c r="BA1040" s="80">
        <f>IF(AY1040=1,COUNTIFS(R_Emp,"&lt;&gt;"&amp;D1040,R_SAbs,"&lt;"&amp;AX1040,R_EAbs,"&gt;"&amp;AW1040,R_OKey,1),0)</f>
        <v>0</v>
      </c>
      <c r="BB1040" s="80">
        <f>IF(AND(AB1040=1,D1040="proMX"),IF(AND(MOD(Z1040,CFG_BLK)=0,MOD(AA1040,CFG_BLK)=0,MOD(AG1040,CFG_BLK)=0,AG1040&gt;0),1,0),1)</f>
        <v>1</v>
      </c>
      <c r="BC1040" s="80" t="str">
        <f>IF(Y1040=0,"",IF(NOT(ISNUMBER(B1040)),"Falta fecha o fecha inválida",IF(D1040="","Falta empresa",IF(AND(D1040&lt;&gt;"Malcolm",D1040&lt;&gt;"proMX"),"Empresa inválida",IF(OR(INT(B1040)&lt;CFG_PSTART,INT(B1040)&gt;CFG_PEND),"Fecha fuera del período",IF(OR(NOT(ISNUMBER(Z1040)),NOT(ISNUMBER(AA1040))),"Falta hora inicio/fin o formato inválido",IF(AB1040=0,"Hora inicio = hora fin",IF(AE1040&lt;0,"Descanso inválido",IF(AE1040&gt;=AD1040,"Descanso ≥ duración",IF(AV1040=1,"Registro duplicado",IF(AZ1040&gt;0,"Se superpone con otro registro "&amp;D1040,IF(BB1040=0,"inicio, fin y duración neta deben ser múltiplos de "&amp;CFG_BLK&amp;" min",""))))))))))))</f>
        <v/>
      </c>
      <c r="BD1040" s="80">
        <f>IF(AND(Y1040=1,BC1040=""),1,0)</f>
        <v>0</v>
      </c>
      <c r="BE1040" s="80">
        <f>IF(AND(BD1040=1,AU1040=1),1,0)</f>
        <v>0</v>
      </c>
      <c r="BF1040" s="80" t="str">
        <f>IF(AND(D1040="proMX",BD1040=1),IF(R1040="","Draft",R1040),"")</f>
        <v/>
      </c>
      <c r="BG1040" s="80">
        <f>IF(BD1040=1,ROUND(AG1040/60,6),0)</f>
        <v>0</v>
      </c>
      <c r="BH1040" s="80">
        <f>IF(BE1040=1,ROUND(AG1040/60,6),0)</f>
        <v>0</v>
      </c>
      <c r="BI1040" s="80">
        <f>IF(BE1040=1,ROUND(AP1040/60,6),0)</f>
        <v>0</v>
      </c>
      <c r="BJ1040" s="80">
        <f>IF(BE1040=1,ROUND(AQ1040/60,6),0)</f>
        <v>0</v>
      </c>
      <c r="BK1040" s="80">
        <f>IF(BE1040=1,ROUND((AR1040+AS1040)/60,6),0)</f>
        <v>0</v>
      </c>
      <c r="BL1040" s="80">
        <f>ROUND(BH1040-BK1040,6)</f>
        <v>0</v>
      </c>
      <c r="BM1040" s="80">
        <f>IF(BE1040=1,ROUND(AR1040/60,6),0)</f>
        <v>0</v>
      </c>
      <c r="BN1040" s="80">
        <f>ROUND(BI1040-BM1040,6)</f>
        <v>0</v>
      </c>
      <c r="BO1040" s="80">
        <f>IF(BE1040=1,ROUND(AS1040/60,6),0)</f>
        <v>0</v>
      </c>
      <c r="BP1040" s="80">
        <f>ROUND(BJ1040-BO1040,6)</f>
        <v>0</v>
      </c>
      <c r="BQ1040" s="80">
        <f>IF(BE1040=1,AW1040,0)</f>
        <v>0</v>
      </c>
      <c r="BR1040" s="80">
        <f>IF(BE1040=1,AX1040,0)</f>
        <v>0</v>
      </c>
      <c r="BS1040" s="80">
        <f>IF(AND(BE1040=1,D1040="Malcolm",BA1040&gt;0),MIN(BH1040,SUMPRODUCT((R_Emp="proMX")*(R_EN&gt;0)*((R_EN-(R_EN&gt;BR1040)*(R_EN-BR1040))&gt;(R_SN+(R_SN&lt;BQ1040)*(BQ1040-R_SN)))*((R_EN-(R_EN&gt;BR1040)*(R_EN-BR1040))-(R_SN+(R_SN&lt;BQ1040)*(BQ1040-R_SN))))/60),0)</f>
        <v>0</v>
      </c>
      <c r="BT1040" s="80">
        <f>IF(AND(BE1040=1,D1040="proMX"),ROUND(BI1040*CFG_RATE+BJ1040*CFG_OTRATE,6),0)</f>
        <v>0</v>
      </c>
      <c r="BU1040" s="80">
        <f>IF(AND(BD1040=1,D1040="proMX"),ROUND(AG1040/CFG_BLK,6),0)</f>
        <v>0</v>
      </c>
      <c r="BV1040" s="80" t="str">
        <f>IF(BF1040="Approved",IF(ISNUMBER(T1040),INT(T1040),INT(B1040)),"")</f>
        <v/>
      </c>
      <c r="BW1040" s="80">
        <f>IF(ISNUMBER(B1040),IF(DB_MON="Todos",1,IF(AND(INT(B1040)&gt;=DB_MS,INT(B1040)&lt;=DB_ME),1,0)),0)</f>
        <v>0</v>
      </c>
      <c r="BX1040" s="80">
        <f>IF(DB_PROJ="Todos",1,IF(E1040&amp;""=DB_PROJ&amp;"",1,0))</f>
        <v>1</v>
      </c>
      <c r="BY1040" s="80">
        <f>BW1040*BX1040</f>
        <v>0</v>
      </c>
      <c r="BZ1040" s="80" t="str">
        <f>IF(Y1040=1,F1040&amp;IF(AND(F1040&amp;""&lt;&gt;"",E1040&amp;""&lt;&gt;"")," · ","")&amp;E1040,"")</f>
        <v/>
      </c>
      <c r="CA1040" s="80" t="str">
        <f>IF(AND(BD1040=1,E1040&amp;""&lt;&gt;""),IF(COUNTIFS($E$5:E1039,E1040,$BD$5:BD1039,1)=0,MAX($CA$5:CA1039)+1,""),"")</f>
        <v/>
      </c>
      <c r="CB1040" s="80" t="str">
        <f>IF(AND(BE1040=1,D1040="Malcolm",E1040&amp;""&lt;&gt;""),IF(COUNTIFS($D$5:D1039,"Malcolm",$E$5:E1039,E1040,$BE$5:BE1039,1)=0,MAX($CB$5:CB1039)+1,""),"")</f>
        <v/>
      </c>
      <c r="CC1040" s="80" t="str">
        <f>IF(AND(BD1040=1,D1040="proMX",E1040&amp;""&lt;&gt;""),IF(COUNTIFS($D$5:D1039,"proMX",$E$5:E1039,E1040,$BD$5:BD1039,1)=0,MAX($CC$5:CC1039)+1,""),"")</f>
        <v/>
      </c>
      <c r="CD1040" s="80" t="str">
        <f>IF(AND(BE1040=1,D1040="Malcolm",F1040&amp;""&lt;&gt;""),IF(COUNTIFS($D$5:D1039,"Malcolm",$F$5:F1039,F1040,$BE$5:BE1039,1)=0,MAX($CD$5:CD1039)+1,""),"")</f>
        <v/>
      </c>
      <c r="CE1040" s="80" t="str">
        <f>IF(AND(BD1040=1,D1040="proMX",F1040&amp;""&lt;&gt;""),IF(COUNTIFS($D$5:D1039,"proMX",$F$5:F1039,F1040,$BD$5:BD1039,1)=0,MAX($CE$5:CE1039)+1,""),"")</f>
        <v/>
      </c>
      <c r="CF1040" s="80" t="str">
        <f>IF(AND(D1040="proMX",BD1040=1),IF(OR(BF1040="Draft",BF1040="Submitted",BF1040="Returned",BF1040="Recall Requested"),MAX($CF$5:CF1039)+1,""),"")</f>
        <v/>
      </c>
      <c r="CG1040" s="80">
        <f>IF(BD1040=0,0,IF(D1040="Malcolm",1,MATCH(BF1040,{"Draft","Submitted","Approved","Returned","Recall Requested","Cancelled"},0)+1))</f>
        <v>0</v>
      </c>
      <c r="CH1040" s="80">
        <f>IF(AND(BF1040="Submitted",ISNUMBER(V1040)),IF(V1040&gt;CFG_MAXD,1,0),0)</f>
        <v>0</v>
      </c>
    </row>
    <row r="1041">
      <c r="A1041" s="71" t="str">
        <f>IF(Y1041=1,ROW()-5,"")</f>
        <v/>
      </c>
      <c r="B1041" s="72" t="n"/>
      <c r="C1041" s="71" t="str">
        <f>IF(ISNUMBER(B1041),CHOOSE(WEEKDAY(B1041,2),"Lun","Mar","Mié","Jue","Vie","Sáb","Dom"),"")</f>
        <v/>
      </c>
      <c r="D1041" s="73" t="n"/>
      <c r="E1041" s="74" t="n"/>
      <c r="F1041" s="74" t="n"/>
      <c r="G1041" s="74" t="n"/>
      <c r="H1041" s="75" t="n"/>
      <c r="I1041" s="75" t="n"/>
      <c r="J1041" s="76" t="n"/>
      <c r="K1041" s="77" t="str">
        <f>IF(AB1041=1,ROUND(AG1041/60,4),"")</f>
        <v/>
      </c>
      <c r="L1041" s="77" t="str">
        <f>IF(BD1041=1,ROUND(AP1041/60,4),"")</f>
        <v/>
      </c>
      <c r="M1041" s="77" t="str">
        <f>IF(BD1041=1,ROUND(AQ1041/60,4),"")</f>
        <v/>
      </c>
      <c r="N1041" s="71" t="str">
        <f>IF(AND(D1041="proMX",AB1041=1),ROUND(AG1041/CFG_BLK,2),"")</f>
        <v/>
      </c>
      <c r="O1041" s="77" t="str">
        <f>IF(D1041="proMX",IF(BD1041=1,ROUND(AG1041/60,4),0),"")</f>
        <v/>
      </c>
      <c r="P1041" s="78" t="str">
        <f>IF(Y1041=0,"",IF(BD1041=1,"OK",IF(D1041="proMX","Revisar bloques: ","Revisar: ")&amp;BC1041))</f>
        <v/>
      </c>
      <c r="Q1041" s="78" t="str">
        <f>IF(NOT(ISNUMBER(B1041)),"",IF(COUNTIFS(FER_F,INT(B1041))&gt;0,"Feriado"&amp;IF(AH1041=1," (laborable)"," (no laborable)"),IF(AH1041=1,"Laborable",IF(WEEKDAY(B1041,2)&gt;5,"Fin de semana","No laborable"))))</f>
        <v/>
      </c>
      <c r="R1041" s="73" t="n"/>
      <c r="S1041" s="72" t="n"/>
      <c r="T1041" s="72" t="n"/>
      <c r="U1041" s="74" t="n"/>
      <c r="V1041" s="79" t="str">
        <f>IF(AND(D1041="proMX",OR(R1041="Submitted",R1041="Recall Requested"),ISNUMBER(S1041)),CFG_TODAY-INT(S1041),"")</f>
        <v/>
      </c>
      <c r="W1041" s="78" t="str">
        <f>IF(BD1041=0,"",IF(BA1041&gt;0,"⚠ Se superpone con un registro de la otra empresa",IF(D1041="Malcolm",IF(COUNTA(R1041,S1041,T1041)&gt;0,"Estado/fechas proMX se ignoran en Malcolm",""),IF(BF1041="Cancelled","Cancelado: excluido de totales",IF(R1041="","Sin estado: se trata como Draft",IF(BF1041="Submitted",IF(ISNUMBER(V1041),IF(V1041&gt;CFG_MAXD,"⚠ "&amp;V1041&amp;" días en Submitted (máx. "&amp;CFG_MAXD&amp;")",""),"Falta fecha de envío"),IF(BF1041="Returned","⚠ Devuelto: corregir y reenviar",IF(BF1041="Recall Requested","Retirada solicitada: pendiente",IF(AND(BF1041="Approved",NOT(ISNUMBER(T1041))),"Falta fecha de aprobación",IF(AND(ISNUMBER(S1041),ISNUMBER(T1041),T1041&lt;S1041),"Aprobación anterior al envío","")))))))))</f>
        <v/>
      </c>
      <c r="Y1041" s="80">
        <f>IF(COUNTA(B1041,D1041,E1041,F1041,G1041,H1041,I1041,J1041,R1041,S1041,T1041)&gt;0,1,0)</f>
        <v>0</v>
      </c>
      <c r="Z1041" s="80" t="str">
        <f>IF(AND(ISNUMBER(H1041),H1041&gt;=0,H1041&lt;1),ROUND(H1041*1440,0),"")</f>
        <v/>
      </c>
      <c r="AA1041" s="80" t="str">
        <f>IF(AND(ISNUMBER(I1041),I1041&gt;=0,I1041&lt;1),ROUND(I1041*1440,0),"")</f>
        <v/>
      </c>
      <c r="AB1041" s="80">
        <f>IF(AND(ISNUMBER(B1041),D1041&lt;&gt;"",ISNUMBER(Z1041),ISNUMBER(AA1041)),IF(Z1041=AA1041,0,1),0)</f>
        <v>0</v>
      </c>
      <c r="AC1041" s="80">
        <f>IF(AB1041=1,IF(AA1041&lt;Z1041,1,0),0)</f>
        <v>0</v>
      </c>
      <c r="AD1041" s="80">
        <f>IF(AB1041=1,IF(AC1041=1,1440-Z1041+AA1041,AA1041-Z1041),0)</f>
        <v>0</v>
      </c>
      <c r="AE1041" s="80">
        <f>IF(J1041="",0,IF(ISNUMBER(J1041),J1041,-1))</f>
        <v>0</v>
      </c>
      <c r="AF1041" s="80">
        <f>MIN(MAX(0,AE1041),AD1041)</f>
        <v>0</v>
      </c>
      <c r="AG1041" s="80">
        <f>MAX(0,AD1041-MAX(0,AE1041))</f>
        <v>0</v>
      </c>
      <c r="AH1041" s="80">
        <f>IF(ISNUMBER(B1041),IF(AND(INDEX(CFG_WDAYS,WEEKDAY(INT(B1041),2))="Sí",IF(D1041="proMX",COUNTIFS(FER_F,INT(B1041),FER_NLP,"Sí"),COUNTIFS(FER_F,INT(B1041),FER_NLM,"Sí"))=0),1,0),0)</f>
        <v>0</v>
      </c>
      <c r="AI1041" s="80">
        <f>IF(AC1041=1,IF(AND(INDEX(CFG_WDAYS,WEEKDAY(INT(B1041)+1,2))="Sí",IF(D1041="proMX",COUNTIFS(FER_F,INT(B1041)+1,FER_NLP,"Sí"),COUNTIFS(FER_F,INT(B1041)+1,FER_NLM,"Sí"))=0),1,0),0)</f>
        <v>0</v>
      </c>
      <c r="AJ1041" s="80">
        <f>IF(AC1041=1,1440-Z1041,AD1041)</f>
        <v>0</v>
      </c>
      <c r="AK1041" s="80">
        <f>IF(AND(AB1041=1,AH1041=1),MAX(0,MIN(IF(AC1041=1,1440,AA1041),CFG_WEM)-MAX(Z1041,CFG_WSM)),0)</f>
        <v>0</v>
      </c>
      <c r="AL1041" s="80">
        <f>IF(AND(AC1041=1,AI1041=1),MAX(0,MIN(AA1041,CFG_WEM)-CFG_WSM),0)</f>
        <v>0</v>
      </c>
      <c r="AM1041" s="80">
        <f>AK1041+AL1041</f>
        <v>0</v>
      </c>
      <c r="AN1041" s="80">
        <f>IF(CFG_BRK="Proporcional",IF(AD1041=0,0,AF1041*AM1041/AD1041),IF(CFG_BRK="Extras primero",MIN(AM1041,MAX(0,AF1041-(AD1041-AM1041))),MIN(AF1041,AM1041)))</f>
        <v>0</v>
      </c>
      <c r="AO1041" s="80">
        <f>AF1041-AN1041</f>
        <v>0</v>
      </c>
      <c r="AP1041" s="80">
        <f>AM1041-AN1041</f>
        <v>0</v>
      </c>
      <c r="AQ1041" s="80">
        <f>AD1041-AM1041-AO1041</f>
        <v>0</v>
      </c>
      <c r="AR1041" s="80">
        <f>IF(AM1041=0,0,AK1041-AN1041*AK1041/AM1041)</f>
        <v>0</v>
      </c>
      <c r="AS1041" s="80">
        <f>IF(AD1041-AM1041=0,0,(AJ1041-AK1041)-AO1041*(AJ1041-AK1041)/(AD1041-AM1041))</f>
        <v>0</v>
      </c>
      <c r="AT1041" s="80" t="str">
        <f>IF(AC1041=1,INT(B1041)+1,"")</f>
        <v/>
      </c>
      <c r="AU1041" s="80">
        <f>IF(AND(D1041="proMX",R1041="Cancelled"),0,1)</f>
        <v>1</v>
      </c>
      <c r="AV1041" s="80">
        <f>IF(AND(AB1041=1,AU1041=1),IF(COUNTIFS($D$5:D1040,D1041,$B$5:B1040,B1041,$Z$5:Z1040,Z1041,$AA$5:AA1040,AA1041,$F$5:F1040,F1041&amp;"",$AU$5:AU1040,1)&gt;0,1,0),0)</f>
        <v>0</v>
      </c>
      <c r="AW1041" s="80" t="str">
        <f>IF(AB1041=1,INT(B1041)*1440+Z1041,"")</f>
        <v/>
      </c>
      <c r="AX1041" s="80" t="str">
        <f>IF(AB1041=1,AW1041+AD1041,"")</f>
        <v/>
      </c>
      <c r="AY1041" s="80">
        <f>IF(AND(AB1041=1,AV1041=0,AU1041=1),1,0)</f>
        <v>0</v>
      </c>
      <c r="AZ1041" s="80">
        <f>IF(AY1041=1,COUNTIFS(R_Emp,D1041,R_SAbs,"&lt;"&amp;AX1041,R_EAbs,"&gt;"&amp;AW1041,R_OKey,1)-1,0)</f>
        <v>0</v>
      </c>
      <c r="BA1041" s="80">
        <f>IF(AY1041=1,COUNTIFS(R_Emp,"&lt;&gt;"&amp;D1041,R_SAbs,"&lt;"&amp;AX1041,R_EAbs,"&gt;"&amp;AW1041,R_OKey,1),0)</f>
        <v>0</v>
      </c>
      <c r="BB1041" s="80">
        <f>IF(AND(AB1041=1,D1041="proMX"),IF(AND(MOD(Z1041,CFG_BLK)=0,MOD(AA1041,CFG_BLK)=0,MOD(AG1041,CFG_BLK)=0,AG1041&gt;0),1,0),1)</f>
        <v>1</v>
      </c>
      <c r="BC1041" s="80" t="str">
        <f>IF(Y1041=0,"",IF(NOT(ISNUMBER(B1041)),"Falta fecha o fecha inválida",IF(D1041="","Falta empresa",IF(AND(D1041&lt;&gt;"Malcolm",D1041&lt;&gt;"proMX"),"Empresa inválida",IF(OR(INT(B1041)&lt;CFG_PSTART,INT(B1041)&gt;CFG_PEND),"Fecha fuera del período",IF(OR(NOT(ISNUMBER(Z1041)),NOT(ISNUMBER(AA1041))),"Falta hora inicio/fin o formato inválido",IF(AB1041=0,"Hora inicio = hora fin",IF(AE1041&lt;0,"Descanso inválido",IF(AE1041&gt;=AD1041,"Descanso ≥ duración",IF(AV1041=1,"Registro duplicado",IF(AZ1041&gt;0,"Se superpone con otro registro "&amp;D1041,IF(BB1041=0,"inicio, fin y duración neta deben ser múltiplos de "&amp;CFG_BLK&amp;" min",""))))))))))))</f>
        <v/>
      </c>
      <c r="BD1041" s="80">
        <f>IF(AND(Y1041=1,BC1041=""),1,0)</f>
        <v>0</v>
      </c>
      <c r="BE1041" s="80">
        <f>IF(AND(BD1041=1,AU1041=1),1,0)</f>
        <v>0</v>
      </c>
      <c r="BF1041" s="80" t="str">
        <f>IF(AND(D1041="proMX",BD1041=1),IF(R1041="","Draft",R1041),"")</f>
        <v/>
      </c>
      <c r="BG1041" s="80">
        <f>IF(BD1041=1,ROUND(AG1041/60,6),0)</f>
        <v>0</v>
      </c>
      <c r="BH1041" s="80">
        <f>IF(BE1041=1,ROUND(AG1041/60,6),0)</f>
        <v>0</v>
      </c>
      <c r="BI1041" s="80">
        <f>IF(BE1041=1,ROUND(AP1041/60,6),0)</f>
        <v>0</v>
      </c>
      <c r="BJ1041" s="80">
        <f>IF(BE1041=1,ROUND(AQ1041/60,6),0)</f>
        <v>0</v>
      </c>
      <c r="BK1041" s="80">
        <f>IF(BE1041=1,ROUND((AR1041+AS1041)/60,6),0)</f>
        <v>0</v>
      </c>
      <c r="BL1041" s="80">
        <f>ROUND(BH1041-BK1041,6)</f>
        <v>0</v>
      </c>
      <c r="BM1041" s="80">
        <f>IF(BE1041=1,ROUND(AR1041/60,6),0)</f>
        <v>0</v>
      </c>
      <c r="BN1041" s="80">
        <f>ROUND(BI1041-BM1041,6)</f>
        <v>0</v>
      </c>
      <c r="BO1041" s="80">
        <f>IF(BE1041=1,ROUND(AS1041/60,6),0)</f>
        <v>0</v>
      </c>
      <c r="BP1041" s="80">
        <f>ROUND(BJ1041-BO1041,6)</f>
        <v>0</v>
      </c>
      <c r="BQ1041" s="80">
        <f>IF(BE1041=1,AW1041,0)</f>
        <v>0</v>
      </c>
      <c r="BR1041" s="80">
        <f>IF(BE1041=1,AX1041,0)</f>
        <v>0</v>
      </c>
      <c r="BS1041" s="80">
        <f>IF(AND(BE1041=1,D1041="Malcolm",BA1041&gt;0),MIN(BH1041,SUMPRODUCT((R_Emp="proMX")*(R_EN&gt;0)*((R_EN-(R_EN&gt;BR1041)*(R_EN-BR1041))&gt;(R_SN+(R_SN&lt;BQ1041)*(BQ1041-R_SN)))*((R_EN-(R_EN&gt;BR1041)*(R_EN-BR1041))-(R_SN+(R_SN&lt;BQ1041)*(BQ1041-R_SN))))/60),0)</f>
        <v>0</v>
      </c>
      <c r="BT1041" s="80">
        <f>IF(AND(BE1041=1,D1041="proMX"),ROUND(BI1041*CFG_RATE+BJ1041*CFG_OTRATE,6),0)</f>
        <v>0</v>
      </c>
      <c r="BU1041" s="80">
        <f>IF(AND(BD1041=1,D1041="proMX"),ROUND(AG1041/CFG_BLK,6),0)</f>
        <v>0</v>
      </c>
      <c r="BV1041" s="80" t="str">
        <f>IF(BF1041="Approved",IF(ISNUMBER(T1041),INT(T1041),INT(B1041)),"")</f>
        <v/>
      </c>
      <c r="BW1041" s="80">
        <f>IF(ISNUMBER(B1041),IF(DB_MON="Todos",1,IF(AND(INT(B1041)&gt;=DB_MS,INT(B1041)&lt;=DB_ME),1,0)),0)</f>
        <v>0</v>
      </c>
      <c r="BX1041" s="80">
        <f>IF(DB_PROJ="Todos",1,IF(E1041&amp;""=DB_PROJ&amp;"",1,0))</f>
        <v>1</v>
      </c>
      <c r="BY1041" s="80">
        <f>BW1041*BX1041</f>
        <v>0</v>
      </c>
      <c r="BZ1041" s="80" t="str">
        <f>IF(Y1041=1,F1041&amp;IF(AND(F1041&amp;""&lt;&gt;"",E1041&amp;""&lt;&gt;"")," · ","")&amp;E1041,"")</f>
        <v/>
      </c>
      <c r="CA1041" s="80" t="str">
        <f>IF(AND(BD1041=1,E1041&amp;""&lt;&gt;""),IF(COUNTIFS($E$5:E1040,E1041,$BD$5:BD1040,1)=0,MAX($CA$5:CA1040)+1,""),"")</f>
        <v/>
      </c>
      <c r="CB1041" s="80" t="str">
        <f>IF(AND(BE1041=1,D1041="Malcolm",E1041&amp;""&lt;&gt;""),IF(COUNTIFS($D$5:D1040,"Malcolm",$E$5:E1040,E1041,$BE$5:BE1040,1)=0,MAX($CB$5:CB1040)+1,""),"")</f>
        <v/>
      </c>
      <c r="CC1041" s="80" t="str">
        <f>IF(AND(BD1041=1,D1041="proMX",E1041&amp;""&lt;&gt;""),IF(COUNTIFS($D$5:D1040,"proMX",$E$5:E1040,E1041,$BD$5:BD1040,1)=0,MAX($CC$5:CC1040)+1,""),"")</f>
        <v/>
      </c>
      <c r="CD1041" s="80" t="str">
        <f>IF(AND(BE1041=1,D1041="Malcolm",F1041&amp;""&lt;&gt;""),IF(COUNTIFS($D$5:D1040,"Malcolm",$F$5:F1040,F1041,$BE$5:BE1040,1)=0,MAX($CD$5:CD1040)+1,""),"")</f>
        <v/>
      </c>
      <c r="CE1041" s="80" t="str">
        <f>IF(AND(BD1041=1,D1041="proMX",F1041&amp;""&lt;&gt;""),IF(COUNTIFS($D$5:D1040,"proMX",$F$5:F1040,F1041,$BD$5:BD1040,1)=0,MAX($CE$5:CE1040)+1,""),"")</f>
        <v/>
      </c>
      <c r="CF1041" s="80" t="str">
        <f>IF(AND(D1041="proMX",BD1041=1),IF(OR(BF1041="Draft",BF1041="Submitted",BF1041="Returned",BF1041="Recall Requested"),MAX($CF$5:CF1040)+1,""),"")</f>
        <v/>
      </c>
      <c r="CG1041" s="80">
        <f>IF(BD1041=0,0,IF(D1041="Malcolm",1,MATCH(BF1041,{"Draft","Submitted","Approved","Returned","Recall Requested","Cancelled"},0)+1))</f>
        <v>0</v>
      </c>
      <c r="CH1041" s="80">
        <f>IF(AND(BF1041="Submitted",ISNUMBER(V1041)),IF(V1041&gt;CFG_MAXD,1,0),0)</f>
        <v>0</v>
      </c>
    </row>
    <row r="1042">
      <c r="A1042" s="71" t="str">
        <f>IF(Y1042=1,ROW()-5,"")</f>
        <v/>
      </c>
      <c r="B1042" s="72" t="n"/>
      <c r="C1042" s="71" t="str">
        <f>IF(ISNUMBER(B1042),CHOOSE(WEEKDAY(B1042,2),"Lun","Mar","Mié","Jue","Vie","Sáb","Dom"),"")</f>
        <v/>
      </c>
      <c r="D1042" s="73" t="n"/>
      <c r="E1042" s="74" t="n"/>
      <c r="F1042" s="74" t="n"/>
      <c r="G1042" s="74" t="n"/>
      <c r="H1042" s="75" t="n"/>
      <c r="I1042" s="75" t="n"/>
      <c r="J1042" s="76" t="n"/>
      <c r="K1042" s="77" t="str">
        <f>IF(AB1042=1,ROUND(AG1042/60,4),"")</f>
        <v/>
      </c>
      <c r="L1042" s="77" t="str">
        <f>IF(BD1042=1,ROUND(AP1042/60,4),"")</f>
        <v/>
      </c>
      <c r="M1042" s="77" t="str">
        <f>IF(BD1042=1,ROUND(AQ1042/60,4),"")</f>
        <v/>
      </c>
      <c r="N1042" s="71" t="str">
        <f>IF(AND(D1042="proMX",AB1042=1),ROUND(AG1042/CFG_BLK,2),"")</f>
        <v/>
      </c>
      <c r="O1042" s="77" t="str">
        <f>IF(D1042="proMX",IF(BD1042=1,ROUND(AG1042/60,4),0),"")</f>
        <v/>
      </c>
      <c r="P1042" s="78" t="str">
        <f>IF(Y1042=0,"",IF(BD1042=1,"OK",IF(D1042="proMX","Revisar bloques: ","Revisar: ")&amp;BC1042))</f>
        <v/>
      </c>
      <c r="Q1042" s="78" t="str">
        <f>IF(NOT(ISNUMBER(B1042)),"",IF(COUNTIFS(FER_F,INT(B1042))&gt;0,"Feriado"&amp;IF(AH1042=1," (laborable)"," (no laborable)"),IF(AH1042=1,"Laborable",IF(WEEKDAY(B1042,2)&gt;5,"Fin de semana","No laborable"))))</f>
        <v/>
      </c>
      <c r="R1042" s="73" t="n"/>
      <c r="S1042" s="72" t="n"/>
      <c r="T1042" s="72" t="n"/>
      <c r="U1042" s="74" t="n"/>
      <c r="V1042" s="79" t="str">
        <f>IF(AND(D1042="proMX",OR(R1042="Submitted",R1042="Recall Requested"),ISNUMBER(S1042)),CFG_TODAY-INT(S1042),"")</f>
        <v/>
      </c>
      <c r="W1042" s="78" t="str">
        <f>IF(BD1042=0,"",IF(BA1042&gt;0,"⚠ Se superpone con un registro de la otra empresa",IF(D1042="Malcolm",IF(COUNTA(R1042,S1042,T1042)&gt;0,"Estado/fechas proMX se ignoran en Malcolm",""),IF(BF1042="Cancelled","Cancelado: excluido de totales",IF(R1042="","Sin estado: se trata como Draft",IF(BF1042="Submitted",IF(ISNUMBER(V1042),IF(V1042&gt;CFG_MAXD,"⚠ "&amp;V1042&amp;" días en Submitted (máx. "&amp;CFG_MAXD&amp;")",""),"Falta fecha de envío"),IF(BF1042="Returned","⚠ Devuelto: corregir y reenviar",IF(BF1042="Recall Requested","Retirada solicitada: pendiente",IF(AND(BF1042="Approved",NOT(ISNUMBER(T1042))),"Falta fecha de aprobación",IF(AND(ISNUMBER(S1042),ISNUMBER(T1042),T1042&lt;S1042),"Aprobación anterior al envío","")))))))))</f>
        <v/>
      </c>
      <c r="Y1042" s="80">
        <f>IF(COUNTA(B1042,D1042,E1042,F1042,G1042,H1042,I1042,J1042,R1042,S1042,T1042)&gt;0,1,0)</f>
        <v>0</v>
      </c>
      <c r="Z1042" s="80" t="str">
        <f>IF(AND(ISNUMBER(H1042),H1042&gt;=0,H1042&lt;1),ROUND(H1042*1440,0),"")</f>
        <v/>
      </c>
      <c r="AA1042" s="80" t="str">
        <f>IF(AND(ISNUMBER(I1042),I1042&gt;=0,I1042&lt;1),ROUND(I1042*1440,0),"")</f>
        <v/>
      </c>
      <c r="AB1042" s="80">
        <f>IF(AND(ISNUMBER(B1042),D1042&lt;&gt;"",ISNUMBER(Z1042),ISNUMBER(AA1042)),IF(Z1042=AA1042,0,1),0)</f>
        <v>0</v>
      </c>
      <c r="AC1042" s="80">
        <f>IF(AB1042=1,IF(AA1042&lt;Z1042,1,0),0)</f>
        <v>0</v>
      </c>
      <c r="AD1042" s="80">
        <f>IF(AB1042=1,IF(AC1042=1,1440-Z1042+AA1042,AA1042-Z1042),0)</f>
        <v>0</v>
      </c>
      <c r="AE1042" s="80">
        <f>IF(J1042="",0,IF(ISNUMBER(J1042),J1042,-1))</f>
        <v>0</v>
      </c>
      <c r="AF1042" s="80">
        <f>MIN(MAX(0,AE1042),AD1042)</f>
        <v>0</v>
      </c>
      <c r="AG1042" s="80">
        <f>MAX(0,AD1042-MAX(0,AE1042))</f>
        <v>0</v>
      </c>
      <c r="AH1042" s="80">
        <f>IF(ISNUMBER(B1042),IF(AND(INDEX(CFG_WDAYS,WEEKDAY(INT(B1042),2))="Sí",IF(D1042="proMX",COUNTIFS(FER_F,INT(B1042),FER_NLP,"Sí"),COUNTIFS(FER_F,INT(B1042),FER_NLM,"Sí"))=0),1,0),0)</f>
        <v>0</v>
      </c>
      <c r="AI1042" s="80">
        <f>IF(AC1042=1,IF(AND(INDEX(CFG_WDAYS,WEEKDAY(INT(B1042)+1,2))="Sí",IF(D1042="proMX",COUNTIFS(FER_F,INT(B1042)+1,FER_NLP,"Sí"),COUNTIFS(FER_F,INT(B1042)+1,FER_NLM,"Sí"))=0),1,0),0)</f>
        <v>0</v>
      </c>
      <c r="AJ1042" s="80">
        <f>IF(AC1042=1,1440-Z1042,AD1042)</f>
        <v>0</v>
      </c>
      <c r="AK1042" s="80">
        <f>IF(AND(AB1042=1,AH1042=1),MAX(0,MIN(IF(AC1042=1,1440,AA1042),CFG_WEM)-MAX(Z1042,CFG_WSM)),0)</f>
        <v>0</v>
      </c>
      <c r="AL1042" s="80">
        <f>IF(AND(AC1042=1,AI1042=1),MAX(0,MIN(AA1042,CFG_WEM)-CFG_WSM),0)</f>
        <v>0</v>
      </c>
      <c r="AM1042" s="80">
        <f>AK1042+AL1042</f>
        <v>0</v>
      </c>
      <c r="AN1042" s="80">
        <f>IF(CFG_BRK="Proporcional",IF(AD1042=0,0,AF1042*AM1042/AD1042),IF(CFG_BRK="Extras primero",MIN(AM1042,MAX(0,AF1042-(AD1042-AM1042))),MIN(AF1042,AM1042)))</f>
        <v>0</v>
      </c>
      <c r="AO1042" s="80">
        <f>AF1042-AN1042</f>
        <v>0</v>
      </c>
      <c r="AP1042" s="80">
        <f>AM1042-AN1042</f>
        <v>0</v>
      </c>
      <c r="AQ1042" s="80">
        <f>AD1042-AM1042-AO1042</f>
        <v>0</v>
      </c>
      <c r="AR1042" s="80">
        <f>IF(AM1042=0,0,AK1042-AN1042*AK1042/AM1042)</f>
        <v>0</v>
      </c>
      <c r="AS1042" s="80">
        <f>IF(AD1042-AM1042=0,0,(AJ1042-AK1042)-AO1042*(AJ1042-AK1042)/(AD1042-AM1042))</f>
        <v>0</v>
      </c>
      <c r="AT1042" s="80" t="str">
        <f>IF(AC1042=1,INT(B1042)+1,"")</f>
        <v/>
      </c>
      <c r="AU1042" s="80">
        <f>IF(AND(D1042="proMX",R1042="Cancelled"),0,1)</f>
        <v>1</v>
      </c>
      <c r="AV1042" s="80">
        <f>IF(AND(AB1042=1,AU1042=1),IF(COUNTIFS($D$5:D1041,D1042,$B$5:B1041,B1042,$Z$5:Z1041,Z1042,$AA$5:AA1041,AA1042,$F$5:F1041,F1042&amp;"",$AU$5:AU1041,1)&gt;0,1,0),0)</f>
        <v>0</v>
      </c>
      <c r="AW1042" s="80" t="str">
        <f>IF(AB1042=1,INT(B1042)*1440+Z1042,"")</f>
        <v/>
      </c>
      <c r="AX1042" s="80" t="str">
        <f>IF(AB1042=1,AW1042+AD1042,"")</f>
        <v/>
      </c>
      <c r="AY1042" s="80">
        <f>IF(AND(AB1042=1,AV1042=0,AU1042=1),1,0)</f>
        <v>0</v>
      </c>
      <c r="AZ1042" s="80">
        <f>IF(AY1042=1,COUNTIFS(R_Emp,D1042,R_SAbs,"&lt;"&amp;AX1042,R_EAbs,"&gt;"&amp;AW1042,R_OKey,1)-1,0)</f>
        <v>0</v>
      </c>
      <c r="BA1042" s="80">
        <f>IF(AY1042=1,COUNTIFS(R_Emp,"&lt;&gt;"&amp;D1042,R_SAbs,"&lt;"&amp;AX1042,R_EAbs,"&gt;"&amp;AW1042,R_OKey,1),0)</f>
        <v>0</v>
      </c>
      <c r="BB1042" s="80">
        <f>IF(AND(AB1042=1,D1042="proMX"),IF(AND(MOD(Z1042,CFG_BLK)=0,MOD(AA1042,CFG_BLK)=0,MOD(AG1042,CFG_BLK)=0,AG1042&gt;0),1,0),1)</f>
        <v>1</v>
      </c>
      <c r="BC1042" s="80" t="str">
        <f>IF(Y1042=0,"",IF(NOT(ISNUMBER(B1042)),"Falta fecha o fecha inválida",IF(D1042="","Falta empresa",IF(AND(D1042&lt;&gt;"Malcolm",D1042&lt;&gt;"proMX"),"Empresa inválida",IF(OR(INT(B1042)&lt;CFG_PSTART,INT(B1042)&gt;CFG_PEND),"Fecha fuera del período",IF(OR(NOT(ISNUMBER(Z1042)),NOT(ISNUMBER(AA1042))),"Falta hora inicio/fin o formato inválido",IF(AB1042=0,"Hora inicio = hora fin",IF(AE1042&lt;0,"Descanso inválido",IF(AE1042&gt;=AD1042,"Descanso ≥ duración",IF(AV1042=1,"Registro duplicado",IF(AZ1042&gt;0,"Se superpone con otro registro "&amp;D1042,IF(BB1042=0,"inicio, fin y duración neta deben ser múltiplos de "&amp;CFG_BLK&amp;" min",""))))))))))))</f>
        <v/>
      </c>
      <c r="BD1042" s="80">
        <f>IF(AND(Y1042=1,BC1042=""),1,0)</f>
        <v>0</v>
      </c>
      <c r="BE1042" s="80">
        <f>IF(AND(BD1042=1,AU1042=1),1,0)</f>
        <v>0</v>
      </c>
      <c r="BF1042" s="80" t="str">
        <f>IF(AND(D1042="proMX",BD1042=1),IF(R1042="","Draft",R1042),"")</f>
        <v/>
      </c>
      <c r="BG1042" s="80">
        <f>IF(BD1042=1,ROUND(AG1042/60,6),0)</f>
        <v>0</v>
      </c>
      <c r="BH1042" s="80">
        <f>IF(BE1042=1,ROUND(AG1042/60,6),0)</f>
        <v>0</v>
      </c>
      <c r="BI1042" s="80">
        <f>IF(BE1042=1,ROUND(AP1042/60,6),0)</f>
        <v>0</v>
      </c>
      <c r="BJ1042" s="80">
        <f>IF(BE1042=1,ROUND(AQ1042/60,6),0)</f>
        <v>0</v>
      </c>
      <c r="BK1042" s="80">
        <f>IF(BE1042=1,ROUND((AR1042+AS1042)/60,6),0)</f>
        <v>0</v>
      </c>
      <c r="BL1042" s="80">
        <f>ROUND(BH1042-BK1042,6)</f>
        <v>0</v>
      </c>
      <c r="BM1042" s="80">
        <f>IF(BE1042=1,ROUND(AR1042/60,6),0)</f>
        <v>0</v>
      </c>
      <c r="BN1042" s="80">
        <f>ROUND(BI1042-BM1042,6)</f>
        <v>0</v>
      </c>
      <c r="BO1042" s="80">
        <f>IF(BE1042=1,ROUND(AS1042/60,6),0)</f>
        <v>0</v>
      </c>
      <c r="BP1042" s="80">
        <f>ROUND(BJ1042-BO1042,6)</f>
        <v>0</v>
      </c>
      <c r="BQ1042" s="80">
        <f>IF(BE1042=1,AW1042,0)</f>
        <v>0</v>
      </c>
      <c r="BR1042" s="80">
        <f>IF(BE1042=1,AX1042,0)</f>
        <v>0</v>
      </c>
      <c r="BS1042" s="80">
        <f>IF(AND(BE1042=1,D1042="Malcolm",BA1042&gt;0),MIN(BH1042,SUMPRODUCT((R_Emp="proMX")*(R_EN&gt;0)*((R_EN-(R_EN&gt;BR1042)*(R_EN-BR1042))&gt;(R_SN+(R_SN&lt;BQ1042)*(BQ1042-R_SN)))*((R_EN-(R_EN&gt;BR1042)*(R_EN-BR1042))-(R_SN+(R_SN&lt;BQ1042)*(BQ1042-R_SN))))/60),0)</f>
        <v>0</v>
      </c>
      <c r="BT1042" s="80">
        <f>IF(AND(BE1042=1,D1042="proMX"),ROUND(BI1042*CFG_RATE+BJ1042*CFG_OTRATE,6),0)</f>
        <v>0</v>
      </c>
      <c r="BU1042" s="80">
        <f>IF(AND(BD1042=1,D1042="proMX"),ROUND(AG1042/CFG_BLK,6),0)</f>
        <v>0</v>
      </c>
      <c r="BV1042" s="80" t="str">
        <f>IF(BF1042="Approved",IF(ISNUMBER(T1042),INT(T1042),INT(B1042)),"")</f>
        <v/>
      </c>
      <c r="BW1042" s="80">
        <f>IF(ISNUMBER(B1042),IF(DB_MON="Todos",1,IF(AND(INT(B1042)&gt;=DB_MS,INT(B1042)&lt;=DB_ME),1,0)),0)</f>
        <v>0</v>
      </c>
      <c r="BX1042" s="80">
        <f>IF(DB_PROJ="Todos",1,IF(E1042&amp;""=DB_PROJ&amp;"",1,0))</f>
        <v>1</v>
      </c>
      <c r="BY1042" s="80">
        <f>BW1042*BX1042</f>
        <v>0</v>
      </c>
      <c r="BZ1042" s="80" t="str">
        <f>IF(Y1042=1,F1042&amp;IF(AND(F1042&amp;""&lt;&gt;"",E1042&amp;""&lt;&gt;"")," · ","")&amp;E1042,"")</f>
        <v/>
      </c>
      <c r="CA1042" s="80" t="str">
        <f>IF(AND(BD1042=1,E1042&amp;""&lt;&gt;""),IF(COUNTIFS($E$5:E1041,E1042,$BD$5:BD1041,1)=0,MAX($CA$5:CA1041)+1,""),"")</f>
        <v/>
      </c>
      <c r="CB1042" s="80" t="str">
        <f>IF(AND(BE1042=1,D1042="Malcolm",E1042&amp;""&lt;&gt;""),IF(COUNTIFS($D$5:D1041,"Malcolm",$E$5:E1041,E1042,$BE$5:BE1041,1)=0,MAX($CB$5:CB1041)+1,""),"")</f>
        <v/>
      </c>
      <c r="CC1042" s="80" t="str">
        <f>IF(AND(BD1042=1,D1042="proMX",E1042&amp;""&lt;&gt;""),IF(COUNTIFS($D$5:D1041,"proMX",$E$5:E1041,E1042,$BD$5:BD1041,1)=0,MAX($CC$5:CC1041)+1,""),"")</f>
        <v/>
      </c>
      <c r="CD1042" s="80" t="str">
        <f>IF(AND(BE1042=1,D1042="Malcolm",F1042&amp;""&lt;&gt;""),IF(COUNTIFS($D$5:D1041,"Malcolm",$F$5:F1041,F1042,$BE$5:BE1041,1)=0,MAX($CD$5:CD1041)+1,""),"")</f>
        <v/>
      </c>
      <c r="CE1042" s="80" t="str">
        <f>IF(AND(BD1042=1,D1042="proMX",F1042&amp;""&lt;&gt;""),IF(COUNTIFS($D$5:D1041,"proMX",$F$5:F1041,F1042,$BD$5:BD1041,1)=0,MAX($CE$5:CE1041)+1,""),"")</f>
        <v/>
      </c>
      <c r="CF1042" s="80" t="str">
        <f>IF(AND(D1042="proMX",BD1042=1),IF(OR(BF1042="Draft",BF1042="Submitted",BF1042="Returned",BF1042="Recall Requested"),MAX($CF$5:CF1041)+1,""),"")</f>
        <v/>
      </c>
      <c r="CG1042" s="80">
        <f>IF(BD1042=0,0,IF(D1042="Malcolm",1,MATCH(BF1042,{"Draft","Submitted","Approved","Returned","Recall Requested","Cancelled"},0)+1))</f>
        <v>0</v>
      </c>
      <c r="CH1042" s="80">
        <f>IF(AND(BF1042="Submitted",ISNUMBER(V1042)),IF(V1042&gt;CFG_MAXD,1,0),0)</f>
        <v>0</v>
      </c>
    </row>
    <row r="1043">
      <c r="A1043" s="71" t="str">
        <f>IF(Y1043=1,ROW()-5,"")</f>
        <v/>
      </c>
      <c r="B1043" s="72" t="n"/>
      <c r="C1043" s="71" t="str">
        <f>IF(ISNUMBER(B1043),CHOOSE(WEEKDAY(B1043,2),"Lun","Mar","Mié","Jue","Vie","Sáb","Dom"),"")</f>
        <v/>
      </c>
      <c r="D1043" s="73" t="n"/>
      <c r="E1043" s="74" t="n"/>
      <c r="F1043" s="74" t="n"/>
      <c r="G1043" s="74" t="n"/>
      <c r="H1043" s="75" t="n"/>
      <c r="I1043" s="75" t="n"/>
      <c r="J1043" s="76" t="n"/>
      <c r="K1043" s="77" t="str">
        <f>IF(AB1043=1,ROUND(AG1043/60,4),"")</f>
        <v/>
      </c>
      <c r="L1043" s="77" t="str">
        <f>IF(BD1043=1,ROUND(AP1043/60,4),"")</f>
        <v/>
      </c>
      <c r="M1043" s="77" t="str">
        <f>IF(BD1043=1,ROUND(AQ1043/60,4),"")</f>
        <v/>
      </c>
      <c r="N1043" s="71" t="str">
        <f>IF(AND(D1043="proMX",AB1043=1),ROUND(AG1043/CFG_BLK,2),"")</f>
        <v/>
      </c>
      <c r="O1043" s="77" t="str">
        <f>IF(D1043="proMX",IF(BD1043=1,ROUND(AG1043/60,4),0),"")</f>
        <v/>
      </c>
      <c r="P1043" s="78" t="str">
        <f>IF(Y1043=0,"",IF(BD1043=1,"OK",IF(D1043="proMX","Revisar bloques: ","Revisar: ")&amp;BC1043))</f>
        <v/>
      </c>
      <c r="Q1043" s="78" t="str">
        <f>IF(NOT(ISNUMBER(B1043)),"",IF(COUNTIFS(FER_F,INT(B1043))&gt;0,"Feriado"&amp;IF(AH1043=1," (laborable)"," (no laborable)"),IF(AH1043=1,"Laborable",IF(WEEKDAY(B1043,2)&gt;5,"Fin de semana","No laborable"))))</f>
        <v/>
      </c>
      <c r="R1043" s="73" t="n"/>
      <c r="S1043" s="72" t="n"/>
      <c r="T1043" s="72" t="n"/>
      <c r="U1043" s="74" t="n"/>
      <c r="V1043" s="79" t="str">
        <f>IF(AND(D1043="proMX",OR(R1043="Submitted",R1043="Recall Requested"),ISNUMBER(S1043)),CFG_TODAY-INT(S1043),"")</f>
        <v/>
      </c>
      <c r="W1043" s="78" t="str">
        <f>IF(BD1043=0,"",IF(BA1043&gt;0,"⚠ Se superpone con un registro de la otra empresa",IF(D1043="Malcolm",IF(COUNTA(R1043,S1043,T1043)&gt;0,"Estado/fechas proMX se ignoran en Malcolm",""),IF(BF1043="Cancelled","Cancelado: excluido de totales",IF(R1043="","Sin estado: se trata como Draft",IF(BF1043="Submitted",IF(ISNUMBER(V1043),IF(V1043&gt;CFG_MAXD,"⚠ "&amp;V1043&amp;" días en Submitted (máx. "&amp;CFG_MAXD&amp;")",""),"Falta fecha de envío"),IF(BF1043="Returned","⚠ Devuelto: corregir y reenviar",IF(BF1043="Recall Requested","Retirada solicitada: pendiente",IF(AND(BF1043="Approved",NOT(ISNUMBER(T1043))),"Falta fecha de aprobación",IF(AND(ISNUMBER(S1043),ISNUMBER(T1043),T1043&lt;S1043),"Aprobación anterior al envío","")))))))))</f>
        <v/>
      </c>
      <c r="Y1043" s="80">
        <f>IF(COUNTA(B1043,D1043,E1043,F1043,G1043,H1043,I1043,J1043,R1043,S1043,T1043)&gt;0,1,0)</f>
        <v>0</v>
      </c>
      <c r="Z1043" s="80" t="str">
        <f>IF(AND(ISNUMBER(H1043),H1043&gt;=0,H1043&lt;1),ROUND(H1043*1440,0),"")</f>
        <v/>
      </c>
      <c r="AA1043" s="80" t="str">
        <f>IF(AND(ISNUMBER(I1043),I1043&gt;=0,I1043&lt;1),ROUND(I1043*1440,0),"")</f>
        <v/>
      </c>
      <c r="AB1043" s="80">
        <f>IF(AND(ISNUMBER(B1043),D1043&lt;&gt;"",ISNUMBER(Z1043),ISNUMBER(AA1043)),IF(Z1043=AA1043,0,1),0)</f>
        <v>0</v>
      </c>
      <c r="AC1043" s="80">
        <f>IF(AB1043=1,IF(AA1043&lt;Z1043,1,0),0)</f>
        <v>0</v>
      </c>
      <c r="AD1043" s="80">
        <f>IF(AB1043=1,IF(AC1043=1,1440-Z1043+AA1043,AA1043-Z1043),0)</f>
        <v>0</v>
      </c>
      <c r="AE1043" s="80">
        <f>IF(J1043="",0,IF(ISNUMBER(J1043),J1043,-1))</f>
        <v>0</v>
      </c>
      <c r="AF1043" s="80">
        <f>MIN(MAX(0,AE1043),AD1043)</f>
        <v>0</v>
      </c>
      <c r="AG1043" s="80">
        <f>MAX(0,AD1043-MAX(0,AE1043))</f>
        <v>0</v>
      </c>
      <c r="AH1043" s="80">
        <f>IF(ISNUMBER(B1043),IF(AND(INDEX(CFG_WDAYS,WEEKDAY(INT(B1043),2))="Sí",IF(D1043="proMX",COUNTIFS(FER_F,INT(B1043),FER_NLP,"Sí"),COUNTIFS(FER_F,INT(B1043),FER_NLM,"Sí"))=0),1,0),0)</f>
        <v>0</v>
      </c>
      <c r="AI1043" s="80">
        <f>IF(AC1043=1,IF(AND(INDEX(CFG_WDAYS,WEEKDAY(INT(B1043)+1,2))="Sí",IF(D1043="proMX",COUNTIFS(FER_F,INT(B1043)+1,FER_NLP,"Sí"),COUNTIFS(FER_F,INT(B1043)+1,FER_NLM,"Sí"))=0),1,0),0)</f>
        <v>0</v>
      </c>
      <c r="AJ1043" s="80">
        <f>IF(AC1043=1,1440-Z1043,AD1043)</f>
        <v>0</v>
      </c>
      <c r="AK1043" s="80">
        <f>IF(AND(AB1043=1,AH1043=1),MAX(0,MIN(IF(AC1043=1,1440,AA1043),CFG_WEM)-MAX(Z1043,CFG_WSM)),0)</f>
        <v>0</v>
      </c>
      <c r="AL1043" s="80">
        <f>IF(AND(AC1043=1,AI1043=1),MAX(0,MIN(AA1043,CFG_WEM)-CFG_WSM),0)</f>
        <v>0</v>
      </c>
      <c r="AM1043" s="80">
        <f>AK1043+AL1043</f>
        <v>0</v>
      </c>
      <c r="AN1043" s="80">
        <f>IF(CFG_BRK="Proporcional",IF(AD1043=0,0,AF1043*AM1043/AD1043),IF(CFG_BRK="Extras primero",MIN(AM1043,MAX(0,AF1043-(AD1043-AM1043))),MIN(AF1043,AM1043)))</f>
        <v>0</v>
      </c>
      <c r="AO1043" s="80">
        <f>AF1043-AN1043</f>
        <v>0</v>
      </c>
      <c r="AP1043" s="80">
        <f>AM1043-AN1043</f>
        <v>0</v>
      </c>
      <c r="AQ1043" s="80">
        <f>AD1043-AM1043-AO1043</f>
        <v>0</v>
      </c>
      <c r="AR1043" s="80">
        <f>IF(AM1043=0,0,AK1043-AN1043*AK1043/AM1043)</f>
        <v>0</v>
      </c>
      <c r="AS1043" s="80">
        <f>IF(AD1043-AM1043=0,0,(AJ1043-AK1043)-AO1043*(AJ1043-AK1043)/(AD1043-AM1043))</f>
        <v>0</v>
      </c>
      <c r="AT1043" s="80" t="str">
        <f>IF(AC1043=1,INT(B1043)+1,"")</f>
        <v/>
      </c>
      <c r="AU1043" s="80">
        <f>IF(AND(D1043="proMX",R1043="Cancelled"),0,1)</f>
        <v>1</v>
      </c>
      <c r="AV1043" s="80">
        <f>IF(AND(AB1043=1,AU1043=1),IF(COUNTIFS($D$5:D1042,D1043,$B$5:B1042,B1043,$Z$5:Z1042,Z1043,$AA$5:AA1042,AA1043,$F$5:F1042,F1043&amp;"",$AU$5:AU1042,1)&gt;0,1,0),0)</f>
        <v>0</v>
      </c>
      <c r="AW1043" s="80" t="str">
        <f>IF(AB1043=1,INT(B1043)*1440+Z1043,"")</f>
        <v/>
      </c>
      <c r="AX1043" s="80" t="str">
        <f>IF(AB1043=1,AW1043+AD1043,"")</f>
        <v/>
      </c>
      <c r="AY1043" s="80">
        <f>IF(AND(AB1043=1,AV1043=0,AU1043=1),1,0)</f>
        <v>0</v>
      </c>
      <c r="AZ1043" s="80">
        <f>IF(AY1043=1,COUNTIFS(R_Emp,D1043,R_SAbs,"&lt;"&amp;AX1043,R_EAbs,"&gt;"&amp;AW1043,R_OKey,1)-1,0)</f>
        <v>0</v>
      </c>
      <c r="BA1043" s="80">
        <f>IF(AY1043=1,COUNTIFS(R_Emp,"&lt;&gt;"&amp;D1043,R_SAbs,"&lt;"&amp;AX1043,R_EAbs,"&gt;"&amp;AW1043,R_OKey,1),0)</f>
        <v>0</v>
      </c>
      <c r="BB1043" s="80">
        <f>IF(AND(AB1043=1,D1043="proMX"),IF(AND(MOD(Z1043,CFG_BLK)=0,MOD(AA1043,CFG_BLK)=0,MOD(AG1043,CFG_BLK)=0,AG1043&gt;0),1,0),1)</f>
        <v>1</v>
      </c>
      <c r="BC1043" s="80" t="str">
        <f>IF(Y1043=0,"",IF(NOT(ISNUMBER(B1043)),"Falta fecha o fecha inválida",IF(D1043="","Falta empresa",IF(AND(D1043&lt;&gt;"Malcolm",D1043&lt;&gt;"proMX"),"Empresa inválida",IF(OR(INT(B1043)&lt;CFG_PSTART,INT(B1043)&gt;CFG_PEND),"Fecha fuera del período",IF(OR(NOT(ISNUMBER(Z1043)),NOT(ISNUMBER(AA1043))),"Falta hora inicio/fin o formato inválido",IF(AB1043=0,"Hora inicio = hora fin",IF(AE1043&lt;0,"Descanso inválido",IF(AE1043&gt;=AD1043,"Descanso ≥ duración",IF(AV1043=1,"Registro duplicado",IF(AZ1043&gt;0,"Se superpone con otro registro "&amp;D1043,IF(BB1043=0,"inicio, fin y duración neta deben ser múltiplos de "&amp;CFG_BLK&amp;" min",""))))))))))))</f>
        <v/>
      </c>
      <c r="BD1043" s="80">
        <f>IF(AND(Y1043=1,BC1043=""),1,0)</f>
        <v>0</v>
      </c>
      <c r="BE1043" s="80">
        <f>IF(AND(BD1043=1,AU1043=1),1,0)</f>
        <v>0</v>
      </c>
      <c r="BF1043" s="80" t="str">
        <f>IF(AND(D1043="proMX",BD1043=1),IF(R1043="","Draft",R1043),"")</f>
        <v/>
      </c>
      <c r="BG1043" s="80">
        <f>IF(BD1043=1,ROUND(AG1043/60,6),0)</f>
        <v>0</v>
      </c>
      <c r="BH1043" s="80">
        <f>IF(BE1043=1,ROUND(AG1043/60,6),0)</f>
        <v>0</v>
      </c>
      <c r="BI1043" s="80">
        <f>IF(BE1043=1,ROUND(AP1043/60,6),0)</f>
        <v>0</v>
      </c>
      <c r="BJ1043" s="80">
        <f>IF(BE1043=1,ROUND(AQ1043/60,6),0)</f>
        <v>0</v>
      </c>
      <c r="BK1043" s="80">
        <f>IF(BE1043=1,ROUND((AR1043+AS1043)/60,6),0)</f>
        <v>0</v>
      </c>
      <c r="BL1043" s="80">
        <f>ROUND(BH1043-BK1043,6)</f>
        <v>0</v>
      </c>
      <c r="BM1043" s="80">
        <f>IF(BE1043=1,ROUND(AR1043/60,6),0)</f>
        <v>0</v>
      </c>
      <c r="BN1043" s="80">
        <f>ROUND(BI1043-BM1043,6)</f>
        <v>0</v>
      </c>
      <c r="BO1043" s="80">
        <f>IF(BE1043=1,ROUND(AS1043/60,6),0)</f>
        <v>0</v>
      </c>
      <c r="BP1043" s="80">
        <f>ROUND(BJ1043-BO1043,6)</f>
        <v>0</v>
      </c>
      <c r="BQ1043" s="80">
        <f>IF(BE1043=1,AW1043,0)</f>
        <v>0</v>
      </c>
      <c r="BR1043" s="80">
        <f>IF(BE1043=1,AX1043,0)</f>
        <v>0</v>
      </c>
      <c r="BS1043" s="80">
        <f>IF(AND(BE1043=1,D1043="Malcolm",BA1043&gt;0),MIN(BH1043,SUMPRODUCT((R_Emp="proMX")*(R_EN&gt;0)*((R_EN-(R_EN&gt;BR1043)*(R_EN-BR1043))&gt;(R_SN+(R_SN&lt;BQ1043)*(BQ1043-R_SN)))*((R_EN-(R_EN&gt;BR1043)*(R_EN-BR1043))-(R_SN+(R_SN&lt;BQ1043)*(BQ1043-R_SN))))/60),0)</f>
        <v>0</v>
      </c>
      <c r="BT1043" s="80">
        <f>IF(AND(BE1043=1,D1043="proMX"),ROUND(BI1043*CFG_RATE+BJ1043*CFG_OTRATE,6),0)</f>
        <v>0</v>
      </c>
      <c r="BU1043" s="80">
        <f>IF(AND(BD1043=1,D1043="proMX"),ROUND(AG1043/CFG_BLK,6),0)</f>
        <v>0</v>
      </c>
      <c r="BV1043" s="80" t="str">
        <f>IF(BF1043="Approved",IF(ISNUMBER(T1043),INT(T1043),INT(B1043)),"")</f>
        <v/>
      </c>
      <c r="BW1043" s="80">
        <f>IF(ISNUMBER(B1043),IF(DB_MON="Todos",1,IF(AND(INT(B1043)&gt;=DB_MS,INT(B1043)&lt;=DB_ME),1,0)),0)</f>
        <v>0</v>
      </c>
      <c r="BX1043" s="80">
        <f>IF(DB_PROJ="Todos",1,IF(E1043&amp;""=DB_PROJ&amp;"",1,0))</f>
        <v>1</v>
      </c>
      <c r="BY1043" s="80">
        <f>BW1043*BX1043</f>
        <v>0</v>
      </c>
      <c r="BZ1043" s="80" t="str">
        <f>IF(Y1043=1,F1043&amp;IF(AND(F1043&amp;""&lt;&gt;"",E1043&amp;""&lt;&gt;"")," · ","")&amp;E1043,"")</f>
        <v/>
      </c>
      <c r="CA1043" s="80" t="str">
        <f>IF(AND(BD1043=1,E1043&amp;""&lt;&gt;""),IF(COUNTIFS($E$5:E1042,E1043,$BD$5:BD1042,1)=0,MAX($CA$5:CA1042)+1,""),"")</f>
        <v/>
      </c>
      <c r="CB1043" s="80" t="str">
        <f>IF(AND(BE1043=1,D1043="Malcolm",E1043&amp;""&lt;&gt;""),IF(COUNTIFS($D$5:D1042,"Malcolm",$E$5:E1042,E1043,$BE$5:BE1042,1)=0,MAX($CB$5:CB1042)+1,""),"")</f>
        <v/>
      </c>
      <c r="CC1043" s="80" t="str">
        <f>IF(AND(BD1043=1,D1043="proMX",E1043&amp;""&lt;&gt;""),IF(COUNTIFS($D$5:D1042,"proMX",$E$5:E1042,E1043,$BD$5:BD1042,1)=0,MAX($CC$5:CC1042)+1,""),"")</f>
        <v/>
      </c>
      <c r="CD1043" s="80" t="str">
        <f>IF(AND(BE1043=1,D1043="Malcolm",F1043&amp;""&lt;&gt;""),IF(COUNTIFS($D$5:D1042,"Malcolm",$F$5:F1042,F1043,$BE$5:BE1042,1)=0,MAX($CD$5:CD1042)+1,""),"")</f>
        <v/>
      </c>
      <c r="CE1043" s="80" t="str">
        <f>IF(AND(BD1043=1,D1043="proMX",F1043&amp;""&lt;&gt;""),IF(COUNTIFS($D$5:D1042,"proMX",$F$5:F1042,F1043,$BD$5:BD1042,1)=0,MAX($CE$5:CE1042)+1,""),"")</f>
        <v/>
      </c>
      <c r="CF1043" s="80" t="str">
        <f>IF(AND(D1043="proMX",BD1043=1),IF(OR(BF1043="Draft",BF1043="Submitted",BF1043="Returned",BF1043="Recall Requested"),MAX($CF$5:CF1042)+1,""),"")</f>
        <v/>
      </c>
      <c r="CG1043" s="80">
        <f>IF(BD1043=0,0,IF(D1043="Malcolm",1,MATCH(BF1043,{"Draft","Submitted","Approved","Returned","Recall Requested","Cancelled"},0)+1))</f>
        <v>0</v>
      </c>
      <c r="CH1043" s="80">
        <f>IF(AND(BF1043="Submitted",ISNUMBER(V1043)),IF(V1043&gt;CFG_MAXD,1,0),0)</f>
        <v>0</v>
      </c>
    </row>
    <row r="1044">
      <c r="A1044" s="71" t="str">
        <f>IF(Y1044=1,ROW()-5,"")</f>
        <v/>
      </c>
      <c r="B1044" s="72" t="n"/>
      <c r="C1044" s="71" t="str">
        <f>IF(ISNUMBER(B1044),CHOOSE(WEEKDAY(B1044,2),"Lun","Mar","Mié","Jue","Vie","Sáb","Dom"),"")</f>
        <v/>
      </c>
      <c r="D1044" s="73" t="n"/>
      <c r="E1044" s="74" t="n"/>
      <c r="F1044" s="74" t="n"/>
      <c r="G1044" s="74" t="n"/>
      <c r="H1044" s="75" t="n"/>
      <c r="I1044" s="75" t="n"/>
      <c r="J1044" s="76" t="n"/>
      <c r="K1044" s="77" t="str">
        <f>IF(AB1044=1,ROUND(AG1044/60,4),"")</f>
        <v/>
      </c>
      <c r="L1044" s="77" t="str">
        <f>IF(BD1044=1,ROUND(AP1044/60,4),"")</f>
        <v/>
      </c>
      <c r="M1044" s="77" t="str">
        <f>IF(BD1044=1,ROUND(AQ1044/60,4),"")</f>
        <v/>
      </c>
      <c r="N1044" s="71" t="str">
        <f>IF(AND(D1044="proMX",AB1044=1),ROUND(AG1044/CFG_BLK,2),"")</f>
        <v/>
      </c>
      <c r="O1044" s="77" t="str">
        <f>IF(D1044="proMX",IF(BD1044=1,ROUND(AG1044/60,4),0),"")</f>
        <v/>
      </c>
      <c r="P1044" s="78" t="str">
        <f>IF(Y1044=0,"",IF(BD1044=1,"OK",IF(D1044="proMX","Revisar bloques: ","Revisar: ")&amp;BC1044))</f>
        <v/>
      </c>
      <c r="Q1044" s="78" t="str">
        <f>IF(NOT(ISNUMBER(B1044)),"",IF(COUNTIFS(FER_F,INT(B1044))&gt;0,"Feriado"&amp;IF(AH1044=1," (laborable)"," (no laborable)"),IF(AH1044=1,"Laborable",IF(WEEKDAY(B1044,2)&gt;5,"Fin de semana","No laborable"))))</f>
        <v/>
      </c>
      <c r="R1044" s="73" t="n"/>
      <c r="S1044" s="72" t="n"/>
      <c r="T1044" s="72" t="n"/>
      <c r="U1044" s="74" t="n"/>
      <c r="V1044" s="79" t="str">
        <f>IF(AND(D1044="proMX",OR(R1044="Submitted",R1044="Recall Requested"),ISNUMBER(S1044)),CFG_TODAY-INT(S1044),"")</f>
        <v/>
      </c>
      <c r="W1044" s="78" t="str">
        <f>IF(BD1044=0,"",IF(BA1044&gt;0,"⚠ Se superpone con un registro de la otra empresa",IF(D1044="Malcolm",IF(COUNTA(R1044,S1044,T1044)&gt;0,"Estado/fechas proMX se ignoran en Malcolm",""),IF(BF1044="Cancelled","Cancelado: excluido de totales",IF(R1044="","Sin estado: se trata como Draft",IF(BF1044="Submitted",IF(ISNUMBER(V1044),IF(V1044&gt;CFG_MAXD,"⚠ "&amp;V1044&amp;" días en Submitted (máx. "&amp;CFG_MAXD&amp;")",""),"Falta fecha de envío"),IF(BF1044="Returned","⚠ Devuelto: corregir y reenviar",IF(BF1044="Recall Requested","Retirada solicitada: pendiente",IF(AND(BF1044="Approved",NOT(ISNUMBER(T1044))),"Falta fecha de aprobación",IF(AND(ISNUMBER(S1044),ISNUMBER(T1044),T1044&lt;S1044),"Aprobación anterior al envío","")))))))))</f>
        <v/>
      </c>
      <c r="Y1044" s="80">
        <f>IF(COUNTA(B1044,D1044,E1044,F1044,G1044,H1044,I1044,J1044,R1044,S1044,T1044)&gt;0,1,0)</f>
        <v>0</v>
      </c>
      <c r="Z1044" s="80" t="str">
        <f>IF(AND(ISNUMBER(H1044),H1044&gt;=0,H1044&lt;1),ROUND(H1044*1440,0),"")</f>
        <v/>
      </c>
      <c r="AA1044" s="80" t="str">
        <f>IF(AND(ISNUMBER(I1044),I1044&gt;=0,I1044&lt;1),ROUND(I1044*1440,0),"")</f>
        <v/>
      </c>
      <c r="AB1044" s="80">
        <f>IF(AND(ISNUMBER(B1044),D1044&lt;&gt;"",ISNUMBER(Z1044),ISNUMBER(AA1044)),IF(Z1044=AA1044,0,1),0)</f>
        <v>0</v>
      </c>
      <c r="AC1044" s="80">
        <f>IF(AB1044=1,IF(AA1044&lt;Z1044,1,0),0)</f>
        <v>0</v>
      </c>
      <c r="AD1044" s="80">
        <f>IF(AB1044=1,IF(AC1044=1,1440-Z1044+AA1044,AA1044-Z1044),0)</f>
        <v>0</v>
      </c>
      <c r="AE1044" s="80">
        <f>IF(J1044="",0,IF(ISNUMBER(J1044),J1044,-1))</f>
        <v>0</v>
      </c>
      <c r="AF1044" s="80">
        <f>MIN(MAX(0,AE1044),AD1044)</f>
        <v>0</v>
      </c>
      <c r="AG1044" s="80">
        <f>MAX(0,AD1044-MAX(0,AE1044))</f>
        <v>0</v>
      </c>
      <c r="AH1044" s="80">
        <f>IF(ISNUMBER(B1044),IF(AND(INDEX(CFG_WDAYS,WEEKDAY(INT(B1044),2))="Sí",IF(D1044="proMX",COUNTIFS(FER_F,INT(B1044),FER_NLP,"Sí"),COUNTIFS(FER_F,INT(B1044),FER_NLM,"Sí"))=0),1,0),0)</f>
        <v>0</v>
      </c>
      <c r="AI1044" s="80">
        <f>IF(AC1044=1,IF(AND(INDEX(CFG_WDAYS,WEEKDAY(INT(B1044)+1,2))="Sí",IF(D1044="proMX",COUNTIFS(FER_F,INT(B1044)+1,FER_NLP,"Sí"),COUNTIFS(FER_F,INT(B1044)+1,FER_NLM,"Sí"))=0),1,0),0)</f>
        <v>0</v>
      </c>
      <c r="AJ1044" s="80">
        <f>IF(AC1044=1,1440-Z1044,AD1044)</f>
        <v>0</v>
      </c>
      <c r="AK1044" s="80">
        <f>IF(AND(AB1044=1,AH1044=1),MAX(0,MIN(IF(AC1044=1,1440,AA1044),CFG_WEM)-MAX(Z1044,CFG_WSM)),0)</f>
        <v>0</v>
      </c>
      <c r="AL1044" s="80">
        <f>IF(AND(AC1044=1,AI1044=1),MAX(0,MIN(AA1044,CFG_WEM)-CFG_WSM),0)</f>
        <v>0</v>
      </c>
      <c r="AM1044" s="80">
        <f>AK1044+AL1044</f>
        <v>0</v>
      </c>
      <c r="AN1044" s="80">
        <f>IF(CFG_BRK="Proporcional",IF(AD1044=0,0,AF1044*AM1044/AD1044),IF(CFG_BRK="Extras primero",MIN(AM1044,MAX(0,AF1044-(AD1044-AM1044))),MIN(AF1044,AM1044)))</f>
        <v>0</v>
      </c>
      <c r="AO1044" s="80">
        <f>AF1044-AN1044</f>
        <v>0</v>
      </c>
      <c r="AP1044" s="80">
        <f>AM1044-AN1044</f>
        <v>0</v>
      </c>
      <c r="AQ1044" s="80">
        <f>AD1044-AM1044-AO1044</f>
        <v>0</v>
      </c>
      <c r="AR1044" s="80">
        <f>IF(AM1044=0,0,AK1044-AN1044*AK1044/AM1044)</f>
        <v>0</v>
      </c>
      <c r="AS1044" s="80">
        <f>IF(AD1044-AM1044=0,0,(AJ1044-AK1044)-AO1044*(AJ1044-AK1044)/(AD1044-AM1044))</f>
        <v>0</v>
      </c>
      <c r="AT1044" s="80" t="str">
        <f>IF(AC1044=1,INT(B1044)+1,"")</f>
        <v/>
      </c>
      <c r="AU1044" s="80">
        <f>IF(AND(D1044="proMX",R1044="Cancelled"),0,1)</f>
        <v>1</v>
      </c>
      <c r="AV1044" s="80">
        <f>IF(AND(AB1044=1,AU1044=1),IF(COUNTIFS($D$5:D1043,D1044,$B$5:B1043,B1044,$Z$5:Z1043,Z1044,$AA$5:AA1043,AA1044,$F$5:F1043,F1044&amp;"",$AU$5:AU1043,1)&gt;0,1,0),0)</f>
        <v>0</v>
      </c>
      <c r="AW1044" s="80" t="str">
        <f>IF(AB1044=1,INT(B1044)*1440+Z1044,"")</f>
        <v/>
      </c>
      <c r="AX1044" s="80" t="str">
        <f>IF(AB1044=1,AW1044+AD1044,"")</f>
        <v/>
      </c>
      <c r="AY1044" s="80">
        <f>IF(AND(AB1044=1,AV1044=0,AU1044=1),1,0)</f>
        <v>0</v>
      </c>
      <c r="AZ1044" s="80">
        <f>IF(AY1044=1,COUNTIFS(R_Emp,D1044,R_SAbs,"&lt;"&amp;AX1044,R_EAbs,"&gt;"&amp;AW1044,R_OKey,1)-1,0)</f>
        <v>0</v>
      </c>
      <c r="BA1044" s="80">
        <f>IF(AY1044=1,COUNTIFS(R_Emp,"&lt;&gt;"&amp;D1044,R_SAbs,"&lt;"&amp;AX1044,R_EAbs,"&gt;"&amp;AW1044,R_OKey,1),0)</f>
        <v>0</v>
      </c>
      <c r="BB1044" s="80">
        <f>IF(AND(AB1044=1,D1044="proMX"),IF(AND(MOD(Z1044,CFG_BLK)=0,MOD(AA1044,CFG_BLK)=0,MOD(AG1044,CFG_BLK)=0,AG1044&gt;0),1,0),1)</f>
        <v>1</v>
      </c>
      <c r="BC1044" s="80" t="str">
        <f>IF(Y1044=0,"",IF(NOT(ISNUMBER(B1044)),"Falta fecha o fecha inválida",IF(D1044="","Falta empresa",IF(AND(D1044&lt;&gt;"Malcolm",D1044&lt;&gt;"proMX"),"Empresa inválida",IF(OR(INT(B1044)&lt;CFG_PSTART,INT(B1044)&gt;CFG_PEND),"Fecha fuera del período",IF(OR(NOT(ISNUMBER(Z1044)),NOT(ISNUMBER(AA1044))),"Falta hora inicio/fin o formato inválido",IF(AB1044=0,"Hora inicio = hora fin",IF(AE1044&lt;0,"Descanso inválido",IF(AE1044&gt;=AD1044,"Descanso ≥ duración",IF(AV1044=1,"Registro duplicado",IF(AZ1044&gt;0,"Se superpone con otro registro "&amp;D1044,IF(BB1044=0,"inicio, fin y duración neta deben ser múltiplos de "&amp;CFG_BLK&amp;" min",""))))))))))))</f>
        <v/>
      </c>
      <c r="BD1044" s="80">
        <f>IF(AND(Y1044=1,BC1044=""),1,0)</f>
        <v>0</v>
      </c>
      <c r="BE1044" s="80">
        <f>IF(AND(BD1044=1,AU1044=1),1,0)</f>
        <v>0</v>
      </c>
      <c r="BF1044" s="80" t="str">
        <f>IF(AND(D1044="proMX",BD1044=1),IF(R1044="","Draft",R1044),"")</f>
        <v/>
      </c>
      <c r="BG1044" s="80">
        <f>IF(BD1044=1,ROUND(AG1044/60,6),0)</f>
        <v>0</v>
      </c>
      <c r="BH1044" s="80">
        <f>IF(BE1044=1,ROUND(AG1044/60,6),0)</f>
        <v>0</v>
      </c>
      <c r="BI1044" s="80">
        <f>IF(BE1044=1,ROUND(AP1044/60,6),0)</f>
        <v>0</v>
      </c>
      <c r="BJ1044" s="80">
        <f>IF(BE1044=1,ROUND(AQ1044/60,6),0)</f>
        <v>0</v>
      </c>
      <c r="BK1044" s="80">
        <f>IF(BE1044=1,ROUND((AR1044+AS1044)/60,6),0)</f>
        <v>0</v>
      </c>
      <c r="BL1044" s="80">
        <f>ROUND(BH1044-BK1044,6)</f>
        <v>0</v>
      </c>
      <c r="BM1044" s="80">
        <f>IF(BE1044=1,ROUND(AR1044/60,6),0)</f>
        <v>0</v>
      </c>
      <c r="BN1044" s="80">
        <f>ROUND(BI1044-BM1044,6)</f>
        <v>0</v>
      </c>
      <c r="BO1044" s="80">
        <f>IF(BE1044=1,ROUND(AS1044/60,6),0)</f>
        <v>0</v>
      </c>
      <c r="BP1044" s="80">
        <f>ROUND(BJ1044-BO1044,6)</f>
        <v>0</v>
      </c>
      <c r="BQ1044" s="80">
        <f>IF(BE1044=1,AW1044,0)</f>
        <v>0</v>
      </c>
      <c r="BR1044" s="80">
        <f>IF(BE1044=1,AX1044,0)</f>
        <v>0</v>
      </c>
      <c r="BS1044" s="80">
        <f>IF(AND(BE1044=1,D1044="Malcolm",BA1044&gt;0),MIN(BH1044,SUMPRODUCT((R_Emp="proMX")*(R_EN&gt;0)*((R_EN-(R_EN&gt;BR1044)*(R_EN-BR1044))&gt;(R_SN+(R_SN&lt;BQ1044)*(BQ1044-R_SN)))*((R_EN-(R_EN&gt;BR1044)*(R_EN-BR1044))-(R_SN+(R_SN&lt;BQ1044)*(BQ1044-R_SN))))/60),0)</f>
        <v>0</v>
      </c>
      <c r="BT1044" s="80">
        <f>IF(AND(BE1044=1,D1044="proMX"),ROUND(BI1044*CFG_RATE+BJ1044*CFG_OTRATE,6),0)</f>
        <v>0</v>
      </c>
      <c r="BU1044" s="80">
        <f>IF(AND(BD1044=1,D1044="proMX"),ROUND(AG1044/CFG_BLK,6),0)</f>
        <v>0</v>
      </c>
      <c r="BV1044" s="80" t="str">
        <f>IF(BF1044="Approved",IF(ISNUMBER(T1044),INT(T1044),INT(B1044)),"")</f>
        <v/>
      </c>
      <c r="BW1044" s="80">
        <f>IF(ISNUMBER(B1044),IF(DB_MON="Todos",1,IF(AND(INT(B1044)&gt;=DB_MS,INT(B1044)&lt;=DB_ME),1,0)),0)</f>
        <v>0</v>
      </c>
      <c r="BX1044" s="80">
        <f>IF(DB_PROJ="Todos",1,IF(E1044&amp;""=DB_PROJ&amp;"",1,0))</f>
        <v>1</v>
      </c>
      <c r="BY1044" s="80">
        <f>BW1044*BX1044</f>
        <v>0</v>
      </c>
      <c r="BZ1044" s="80" t="str">
        <f>IF(Y1044=1,F1044&amp;IF(AND(F1044&amp;""&lt;&gt;"",E1044&amp;""&lt;&gt;"")," · ","")&amp;E1044,"")</f>
        <v/>
      </c>
      <c r="CA1044" s="80" t="str">
        <f>IF(AND(BD1044=1,E1044&amp;""&lt;&gt;""),IF(COUNTIFS($E$5:E1043,E1044,$BD$5:BD1043,1)=0,MAX($CA$5:CA1043)+1,""),"")</f>
        <v/>
      </c>
      <c r="CB1044" s="80" t="str">
        <f>IF(AND(BE1044=1,D1044="Malcolm",E1044&amp;""&lt;&gt;""),IF(COUNTIFS($D$5:D1043,"Malcolm",$E$5:E1043,E1044,$BE$5:BE1043,1)=0,MAX($CB$5:CB1043)+1,""),"")</f>
        <v/>
      </c>
      <c r="CC1044" s="80" t="str">
        <f>IF(AND(BD1044=1,D1044="proMX",E1044&amp;""&lt;&gt;""),IF(COUNTIFS($D$5:D1043,"proMX",$E$5:E1043,E1044,$BD$5:BD1043,1)=0,MAX($CC$5:CC1043)+1,""),"")</f>
        <v/>
      </c>
      <c r="CD1044" s="80" t="str">
        <f>IF(AND(BE1044=1,D1044="Malcolm",F1044&amp;""&lt;&gt;""),IF(COUNTIFS($D$5:D1043,"Malcolm",$F$5:F1043,F1044,$BE$5:BE1043,1)=0,MAX($CD$5:CD1043)+1,""),"")</f>
        <v/>
      </c>
      <c r="CE1044" s="80" t="str">
        <f>IF(AND(BD1044=1,D1044="proMX",F1044&amp;""&lt;&gt;""),IF(COUNTIFS($D$5:D1043,"proMX",$F$5:F1043,F1044,$BD$5:BD1043,1)=0,MAX($CE$5:CE1043)+1,""),"")</f>
        <v/>
      </c>
      <c r="CF1044" s="80" t="str">
        <f>IF(AND(D1044="proMX",BD1044=1),IF(OR(BF1044="Draft",BF1044="Submitted",BF1044="Returned",BF1044="Recall Requested"),MAX($CF$5:CF1043)+1,""),"")</f>
        <v/>
      </c>
      <c r="CG1044" s="80">
        <f>IF(BD1044=0,0,IF(D1044="Malcolm",1,MATCH(BF1044,{"Draft","Submitted","Approved","Returned","Recall Requested","Cancelled"},0)+1))</f>
        <v>0</v>
      </c>
      <c r="CH1044" s="80">
        <f>IF(AND(BF1044="Submitted",ISNUMBER(V1044)),IF(V1044&gt;CFG_MAXD,1,0),0)</f>
        <v>0</v>
      </c>
    </row>
    <row r="1045">
      <c r="A1045" s="71" t="str">
        <f>IF(Y1045=1,ROW()-5,"")</f>
        <v/>
      </c>
      <c r="B1045" s="72" t="n"/>
      <c r="C1045" s="71" t="str">
        <f>IF(ISNUMBER(B1045),CHOOSE(WEEKDAY(B1045,2),"Lun","Mar","Mié","Jue","Vie","Sáb","Dom"),"")</f>
        <v/>
      </c>
      <c r="D1045" s="73" t="n"/>
      <c r="E1045" s="74" t="n"/>
      <c r="F1045" s="74" t="n"/>
      <c r="G1045" s="74" t="n"/>
      <c r="H1045" s="75" t="n"/>
      <c r="I1045" s="75" t="n"/>
      <c r="J1045" s="76" t="n"/>
      <c r="K1045" s="77" t="str">
        <f>IF(AB1045=1,ROUND(AG1045/60,4),"")</f>
        <v/>
      </c>
      <c r="L1045" s="77" t="str">
        <f>IF(BD1045=1,ROUND(AP1045/60,4),"")</f>
        <v/>
      </c>
      <c r="M1045" s="77" t="str">
        <f>IF(BD1045=1,ROUND(AQ1045/60,4),"")</f>
        <v/>
      </c>
      <c r="N1045" s="71" t="str">
        <f>IF(AND(D1045="proMX",AB1045=1),ROUND(AG1045/CFG_BLK,2),"")</f>
        <v/>
      </c>
      <c r="O1045" s="77" t="str">
        <f>IF(D1045="proMX",IF(BD1045=1,ROUND(AG1045/60,4),0),"")</f>
        <v/>
      </c>
      <c r="P1045" s="78" t="str">
        <f>IF(Y1045=0,"",IF(BD1045=1,"OK",IF(D1045="proMX","Revisar bloques: ","Revisar: ")&amp;BC1045))</f>
        <v/>
      </c>
      <c r="Q1045" s="78" t="str">
        <f>IF(NOT(ISNUMBER(B1045)),"",IF(COUNTIFS(FER_F,INT(B1045))&gt;0,"Feriado"&amp;IF(AH1045=1," (laborable)"," (no laborable)"),IF(AH1045=1,"Laborable",IF(WEEKDAY(B1045,2)&gt;5,"Fin de semana","No laborable"))))</f>
        <v/>
      </c>
      <c r="R1045" s="73" t="n"/>
      <c r="S1045" s="72" t="n"/>
      <c r="T1045" s="72" t="n"/>
      <c r="U1045" s="74" t="n"/>
      <c r="V1045" s="79" t="str">
        <f>IF(AND(D1045="proMX",OR(R1045="Submitted",R1045="Recall Requested"),ISNUMBER(S1045)),CFG_TODAY-INT(S1045),"")</f>
        <v/>
      </c>
      <c r="W1045" s="78" t="str">
        <f>IF(BD1045=0,"",IF(BA1045&gt;0,"⚠ Se superpone con un registro de la otra empresa",IF(D1045="Malcolm",IF(COUNTA(R1045,S1045,T1045)&gt;0,"Estado/fechas proMX se ignoran en Malcolm",""),IF(BF1045="Cancelled","Cancelado: excluido de totales",IF(R1045="","Sin estado: se trata como Draft",IF(BF1045="Submitted",IF(ISNUMBER(V1045),IF(V1045&gt;CFG_MAXD,"⚠ "&amp;V1045&amp;" días en Submitted (máx. "&amp;CFG_MAXD&amp;")",""),"Falta fecha de envío"),IF(BF1045="Returned","⚠ Devuelto: corregir y reenviar",IF(BF1045="Recall Requested","Retirada solicitada: pendiente",IF(AND(BF1045="Approved",NOT(ISNUMBER(T1045))),"Falta fecha de aprobación",IF(AND(ISNUMBER(S1045),ISNUMBER(T1045),T1045&lt;S1045),"Aprobación anterior al envío","")))))))))</f>
        <v/>
      </c>
      <c r="Y1045" s="80">
        <f>IF(COUNTA(B1045,D1045,E1045,F1045,G1045,H1045,I1045,J1045,R1045,S1045,T1045)&gt;0,1,0)</f>
        <v>0</v>
      </c>
      <c r="Z1045" s="80" t="str">
        <f>IF(AND(ISNUMBER(H1045),H1045&gt;=0,H1045&lt;1),ROUND(H1045*1440,0),"")</f>
        <v/>
      </c>
      <c r="AA1045" s="80" t="str">
        <f>IF(AND(ISNUMBER(I1045),I1045&gt;=0,I1045&lt;1),ROUND(I1045*1440,0),"")</f>
        <v/>
      </c>
      <c r="AB1045" s="80">
        <f>IF(AND(ISNUMBER(B1045),D1045&lt;&gt;"",ISNUMBER(Z1045),ISNUMBER(AA1045)),IF(Z1045=AA1045,0,1),0)</f>
        <v>0</v>
      </c>
      <c r="AC1045" s="80">
        <f>IF(AB1045=1,IF(AA1045&lt;Z1045,1,0),0)</f>
        <v>0</v>
      </c>
      <c r="AD1045" s="80">
        <f>IF(AB1045=1,IF(AC1045=1,1440-Z1045+AA1045,AA1045-Z1045),0)</f>
        <v>0</v>
      </c>
      <c r="AE1045" s="80">
        <f>IF(J1045="",0,IF(ISNUMBER(J1045),J1045,-1))</f>
        <v>0</v>
      </c>
      <c r="AF1045" s="80">
        <f>MIN(MAX(0,AE1045),AD1045)</f>
        <v>0</v>
      </c>
      <c r="AG1045" s="80">
        <f>MAX(0,AD1045-MAX(0,AE1045))</f>
        <v>0</v>
      </c>
      <c r="AH1045" s="80">
        <f>IF(ISNUMBER(B1045),IF(AND(INDEX(CFG_WDAYS,WEEKDAY(INT(B1045),2))="Sí",IF(D1045="proMX",COUNTIFS(FER_F,INT(B1045),FER_NLP,"Sí"),COUNTIFS(FER_F,INT(B1045),FER_NLM,"Sí"))=0),1,0),0)</f>
        <v>0</v>
      </c>
      <c r="AI1045" s="80">
        <f>IF(AC1045=1,IF(AND(INDEX(CFG_WDAYS,WEEKDAY(INT(B1045)+1,2))="Sí",IF(D1045="proMX",COUNTIFS(FER_F,INT(B1045)+1,FER_NLP,"Sí"),COUNTIFS(FER_F,INT(B1045)+1,FER_NLM,"Sí"))=0),1,0),0)</f>
        <v>0</v>
      </c>
      <c r="AJ1045" s="80">
        <f>IF(AC1045=1,1440-Z1045,AD1045)</f>
        <v>0</v>
      </c>
      <c r="AK1045" s="80">
        <f>IF(AND(AB1045=1,AH1045=1),MAX(0,MIN(IF(AC1045=1,1440,AA1045),CFG_WEM)-MAX(Z1045,CFG_WSM)),0)</f>
        <v>0</v>
      </c>
      <c r="AL1045" s="80">
        <f>IF(AND(AC1045=1,AI1045=1),MAX(0,MIN(AA1045,CFG_WEM)-CFG_WSM),0)</f>
        <v>0</v>
      </c>
      <c r="AM1045" s="80">
        <f>AK1045+AL1045</f>
        <v>0</v>
      </c>
      <c r="AN1045" s="80">
        <f>IF(CFG_BRK="Proporcional",IF(AD1045=0,0,AF1045*AM1045/AD1045),IF(CFG_BRK="Extras primero",MIN(AM1045,MAX(0,AF1045-(AD1045-AM1045))),MIN(AF1045,AM1045)))</f>
        <v>0</v>
      </c>
      <c r="AO1045" s="80">
        <f>AF1045-AN1045</f>
        <v>0</v>
      </c>
      <c r="AP1045" s="80">
        <f>AM1045-AN1045</f>
        <v>0</v>
      </c>
      <c r="AQ1045" s="80">
        <f>AD1045-AM1045-AO1045</f>
        <v>0</v>
      </c>
      <c r="AR1045" s="80">
        <f>IF(AM1045=0,0,AK1045-AN1045*AK1045/AM1045)</f>
        <v>0</v>
      </c>
      <c r="AS1045" s="80">
        <f>IF(AD1045-AM1045=0,0,(AJ1045-AK1045)-AO1045*(AJ1045-AK1045)/(AD1045-AM1045))</f>
        <v>0</v>
      </c>
      <c r="AT1045" s="80" t="str">
        <f>IF(AC1045=1,INT(B1045)+1,"")</f>
        <v/>
      </c>
      <c r="AU1045" s="80">
        <f>IF(AND(D1045="proMX",R1045="Cancelled"),0,1)</f>
        <v>1</v>
      </c>
      <c r="AV1045" s="80">
        <f>IF(AND(AB1045=1,AU1045=1),IF(COUNTIFS($D$5:D1044,D1045,$B$5:B1044,B1045,$Z$5:Z1044,Z1045,$AA$5:AA1044,AA1045,$F$5:F1044,F1045&amp;"",$AU$5:AU1044,1)&gt;0,1,0),0)</f>
        <v>0</v>
      </c>
      <c r="AW1045" s="80" t="str">
        <f>IF(AB1045=1,INT(B1045)*1440+Z1045,"")</f>
        <v/>
      </c>
      <c r="AX1045" s="80" t="str">
        <f>IF(AB1045=1,AW1045+AD1045,"")</f>
        <v/>
      </c>
      <c r="AY1045" s="80">
        <f>IF(AND(AB1045=1,AV1045=0,AU1045=1),1,0)</f>
        <v>0</v>
      </c>
      <c r="AZ1045" s="80">
        <f>IF(AY1045=1,COUNTIFS(R_Emp,D1045,R_SAbs,"&lt;"&amp;AX1045,R_EAbs,"&gt;"&amp;AW1045,R_OKey,1)-1,0)</f>
        <v>0</v>
      </c>
      <c r="BA1045" s="80">
        <f>IF(AY1045=1,COUNTIFS(R_Emp,"&lt;&gt;"&amp;D1045,R_SAbs,"&lt;"&amp;AX1045,R_EAbs,"&gt;"&amp;AW1045,R_OKey,1),0)</f>
        <v>0</v>
      </c>
      <c r="BB1045" s="80">
        <f>IF(AND(AB1045=1,D1045="proMX"),IF(AND(MOD(Z1045,CFG_BLK)=0,MOD(AA1045,CFG_BLK)=0,MOD(AG1045,CFG_BLK)=0,AG1045&gt;0),1,0),1)</f>
        <v>1</v>
      </c>
      <c r="BC1045" s="80" t="str">
        <f>IF(Y1045=0,"",IF(NOT(ISNUMBER(B1045)),"Falta fecha o fecha inválida",IF(D1045="","Falta empresa",IF(AND(D1045&lt;&gt;"Malcolm",D1045&lt;&gt;"proMX"),"Empresa inválida",IF(OR(INT(B1045)&lt;CFG_PSTART,INT(B1045)&gt;CFG_PEND),"Fecha fuera del período",IF(OR(NOT(ISNUMBER(Z1045)),NOT(ISNUMBER(AA1045))),"Falta hora inicio/fin o formato inválido",IF(AB1045=0,"Hora inicio = hora fin",IF(AE1045&lt;0,"Descanso inválido",IF(AE1045&gt;=AD1045,"Descanso ≥ duración",IF(AV1045=1,"Registro duplicado",IF(AZ1045&gt;0,"Se superpone con otro registro "&amp;D1045,IF(BB1045=0,"inicio, fin y duración neta deben ser múltiplos de "&amp;CFG_BLK&amp;" min",""))))))))))))</f>
        <v/>
      </c>
      <c r="BD1045" s="80">
        <f>IF(AND(Y1045=1,BC1045=""),1,0)</f>
        <v>0</v>
      </c>
      <c r="BE1045" s="80">
        <f>IF(AND(BD1045=1,AU1045=1),1,0)</f>
        <v>0</v>
      </c>
      <c r="BF1045" s="80" t="str">
        <f>IF(AND(D1045="proMX",BD1045=1),IF(R1045="","Draft",R1045),"")</f>
        <v/>
      </c>
      <c r="BG1045" s="80">
        <f>IF(BD1045=1,ROUND(AG1045/60,6),0)</f>
        <v>0</v>
      </c>
      <c r="BH1045" s="80">
        <f>IF(BE1045=1,ROUND(AG1045/60,6),0)</f>
        <v>0</v>
      </c>
      <c r="BI1045" s="80">
        <f>IF(BE1045=1,ROUND(AP1045/60,6),0)</f>
        <v>0</v>
      </c>
      <c r="BJ1045" s="80">
        <f>IF(BE1045=1,ROUND(AQ1045/60,6),0)</f>
        <v>0</v>
      </c>
      <c r="BK1045" s="80">
        <f>IF(BE1045=1,ROUND((AR1045+AS1045)/60,6),0)</f>
        <v>0</v>
      </c>
      <c r="BL1045" s="80">
        <f>ROUND(BH1045-BK1045,6)</f>
        <v>0</v>
      </c>
      <c r="BM1045" s="80">
        <f>IF(BE1045=1,ROUND(AR1045/60,6),0)</f>
        <v>0</v>
      </c>
      <c r="BN1045" s="80">
        <f>ROUND(BI1045-BM1045,6)</f>
        <v>0</v>
      </c>
      <c r="BO1045" s="80">
        <f>IF(BE1045=1,ROUND(AS1045/60,6),0)</f>
        <v>0</v>
      </c>
      <c r="BP1045" s="80">
        <f>ROUND(BJ1045-BO1045,6)</f>
        <v>0</v>
      </c>
      <c r="BQ1045" s="80">
        <f>IF(BE1045=1,AW1045,0)</f>
        <v>0</v>
      </c>
      <c r="BR1045" s="80">
        <f>IF(BE1045=1,AX1045,0)</f>
        <v>0</v>
      </c>
      <c r="BS1045" s="80">
        <f>IF(AND(BE1045=1,D1045="Malcolm",BA1045&gt;0),MIN(BH1045,SUMPRODUCT((R_Emp="proMX")*(R_EN&gt;0)*((R_EN-(R_EN&gt;BR1045)*(R_EN-BR1045))&gt;(R_SN+(R_SN&lt;BQ1045)*(BQ1045-R_SN)))*((R_EN-(R_EN&gt;BR1045)*(R_EN-BR1045))-(R_SN+(R_SN&lt;BQ1045)*(BQ1045-R_SN))))/60),0)</f>
        <v>0</v>
      </c>
      <c r="BT1045" s="80">
        <f>IF(AND(BE1045=1,D1045="proMX"),ROUND(BI1045*CFG_RATE+BJ1045*CFG_OTRATE,6),0)</f>
        <v>0</v>
      </c>
      <c r="BU1045" s="80">
        <f>IF(AND(BD1045=1,D1045="proMX"),ROUND(AG1045/CFG_BLK,6),0)</f>
        <v>0</v>
      </c>
      <c r="BV1045" s="80" t="str">
        <f>IF(BF1045="Approved",IF(ISNUMBER(T1045),INT(T1045),INT(B1045)),"")</f>
        <v/>
      </c>
      <c r="BW1045" s="80">
        <f>IF(ISNUMBER(B1045),IF(DB_MON="Todos",1,IF(AND(INT(B1045)&gt;=DB_MS,INT(B1045)&lt;=DB_ME),1,0)),0)</f>
        <v>0</v>
      </c>
      <c r="BX1045" s="80">
        <f>IF(DB_PROJ="Todos",1,IF(E1045&amp;""=DB_PROJ&amp;"",1,0))</f>
        <v>1</v>
      </c>
      <c r="BY1045" s="80">
        <f>BW1045*BX1045</f>
        <v>0</v>
      </c>
      <c r="BZ1045" s="80" t="str">
        <f>IF(Y1045=1,F1045&amp;IF(AND(F1045&amp;""&lt;&gt;"",E1045&amp;""&lt;&gt;"")," · ","")&amp;E1045,"")</f>
        <v/>
      </c>
      <c r="CA1045" s="80" t="str">
        <f>IF(AND(BD1045=1,E1045&amp;""&lt;&gt;""),IF(COUNTIFS($E$5:E1044,E1045,$BD$5:BD1044,1)=0,MAX($CA$5:CA1044)+1,""),"")</f>
        <v/>
      </c>
      <c r="CB1045" s="80" t="str">
        <f>IF(AND(BE1045=1,D1045="Malcolm",E1045&amp;""&lt;&gt;""),IF(COUNTIFS($D$5:D1044,"Malcolm",$E$5:E1044,E1045,$BE$5:BE1044,1)=0,MAX($CB$5:CB1044)+1,""),"")</f>
        <v/>
      </c>
      <c r="CC1045" s="80" t="str">
        <f>IF(AND(BD1045=1,D1045="proMX",E1045&amp;""&lt;&gt;""),IF(COUNTIFS($D$5:D1044,"proMX",$E$5:E1044,E1045,$BD$5:BD1044,1)=0,MAX($CC$5:CC1044)+1,""),"")</f>
        <v/>
      </c>
      <c r="CD1045" s="80" t="str">
        <f>IF(AND(BE1045=1,D1045="Malcolm",F1045&amp;""&lt;&gt;""),IF(COUNTIFS($D$5:D1044,"Malcolm",$F$5:F1044,F1045,$BE$5:BE1044,1)=0,MAX($CD$5:CD1044)+1,""),"")</f>
        <v/>
      </c>
      <c r="CE1045" s="80" t="str">
        <f>IF(AND(BD1045=1,D1045="proMX",F1045&amp;""&lt;&gt;""),IF(COUNTIFS($D$5:D1044,"proMX",$F$5:F1044,F1045,$BD$5:BD1044,1)=0,MAX($CE$5:CE1044)+1,""),"")</f>
        <v/>
      </c>
      <c r="CF1045" s="80" t="str">
        <f>IF(AND(D1045="proMX",BD1045=1),IF(OR(BF1045="Draft",BF1045="Submitted",BF1045="Returned",BF1045="Recall Requested"),MAX($CF$5:CF1044)+1,""),"")</f>
        <v/>
      </c>
      <c r="CG1045" s="80">
        <f>IF(BD1045=0,0,IF(D1045="Malcolm",1,MATCH(BF1045,{"Draft","Submitted","Approved","Returned","Recall Requested","Cancelled"},0)+1))</f>
        <v>0</v>
      </c>
      <c r="CH1045" s="80">
        <f>IF(AND(BF1045="Submitted",ISNUMBER(V1045)),IF(V1045&gt;CFG_MAXD,1,0),0)</f>
        <v>0</v>
      </c>
    </row>
    <row r="1046">
      <c r="A1046" s="71" t="str">
        <f>IF(Y1046=1,ROW()-5,"")</f>
        <v/>
      </c>
      <c r="B1046" s="72" t="n"/>
      <c r="C1046" s="71" t="str">
        <f>IF(ISNUMBER(B1046),CHOOSE(WEEKDAY(B1046,2),"Lun","Mar","Mié","Jue","Vie","Sáb","Dom"),"")</f>
        <v/>
      </c>
      <c r="D1046" s="73" t="n"/>
      <c r="E1046" s="74" t="n"/>
      <c r="F1046" s="74" t="n"/>
      <c r="G1046" s="74" t="n"/>
      <c r="H1046" s="75" t="n"/>
      <c r="I1046" s="75" t="n"/>
      <c r="J1046" s="76" t="n"/>
      <c r="K1046" s="77" t="str">
        <f>IF(AB1046=1,ROUND(AG1046/60,4),"")</f>
        <v/>
      </c>
      <c r="L1046" s="77" t="str">
        <f>IF(BD1046=1,ROUND(AP1046/60,4),"")</f>
        <v/>
      </c>
      <c r="M1046" s="77" t="str">
        <f>IF(BD1046=1,ROUND(AQ1046/60,4),"")</f>
        <v/>
      </c>
      <c r="N1046" s="71" t="str">
        <f>IF(AND(D1046="proMX",AB1046=1),ROUND(AG1046/CFG_BLK,2),"")</f>
        <v/>
      </c>
      <c r="O1046" s="77" t="str">
        <f>IF(D1046="proMX",IF(BD1046=1,ROUND(AG1046/60,4),0),"")</f>
        <v/>
      </c>
      <c r="P1046" s="78" t="str">
        <f>IF(Y1046=0,"",IF(BD1046=1,"OK",IF(D1046="proMX","Revisar bloques: ","Revisar: ")&amp;BC1046))</f>
        <v/>
      </c>
      <c r="Q1046" s="78" t="str">
        <f>IF(NOT(ISNUMBER(B1046)),"",IF(COUNTIFS(FER_F,INT(B1046))&gt;0,"Feriado"&amp;IF(AH1046=1," (laborable)"," (no laborable)"),IF(AH1046=1,"Laborable",IF(WEEKDAY(B1046,2)&gt;5,"Fin de semana","No laborable"))))</f>
        <v/>
      </c>
      <c r="R1046" s="73" t="n"/>
      <c r="S1046" s="72" t="n"/>
      <c r="T1046" s="72" t="n"/>
      <c r="U1046" s="74" t="n"/>
      <c r="V1046" s="79" t="str">
        <f>IF(AND(D1046="proMX",OR(R1046="Submitted",R1046="Recall Requested"),ISNUMBER(S1046)),CFG_TODAY-INT(S1046),"")</f>
        <v/>
      </c>
      <c r="W1046" s="78" t="str">
        <f>IF(BD1046=0,"",IF(BA1046&gt;0,"⚠ Se superpone con un registro de la otra empresa",IF(D1046="Malcolm",IF(COUNTA(R1046,S1046,T1046)&gt;0,"Estado/fechas proMX se ignoran en Malcolm",""),IF(BF1046="Cancelled","Cancelado: excluido de totales",IF(R1046="","Sin estado: se trata como Draft",IF(BF1046="Submitted",IF(ISNUMBER(V1046),IF(V1046&gt;CFG_MAXD,"⚠ "&amp;V1046&amp;" días en Submitted (máx. "&amp;CFG_MAXD&amp;")",""),"Falta fecha de envío"),IF(BF1046="Returned","⚠ Devuelto: corregir y reenviar",IF(BF1046="Recall Requested","Retirada solicitada: pendiente",IF(AND(BF1046="Approved",NOT(ISNUMBER(T1046))),"Falta fecha de aprobación",IF(AND(ISNUMBER(S1046),ISNUMBER(T1046),T1046&lt;S1046),"Aprobación anterior al envío","")))))))))</f>
        <v/>
      </c>
      <c r="Y1046" s="80">
        <f>IF(COUNTA(B1046,D1046,E1046,F1046,G1046,H1046,I1046,J1046,R1046,S1046,T1046)&gt;0,1,0)</f>
        <v>0</v>
      </c>
      <c r="Z1046" s="80" t="str">
        <f>IF(AND(ISNUMBER(H1046),H1046&gt;=0,H1046&lt;1),ROUND(H1046*1440,0),"")</f>
        <v/>
      </c>
      <c r="AA1046" s="80" t="str">
        <f>IF(AND(ISNUMBER(I1046),I1046&gt;=0,I1046&lt;1),ROUND(I1046*1440,0),"")</f>
        <v/>
      </c>
      <c r="AB1046" s="80">
        <f>IF(AND(ISNUMBER(B1046),D1046&lt;&gt;"",ISNUMBER(Z1046),ISNUMBER(AA1046)),IF(Z1046=AA1046,0,1),0)</f>
        <v>0</v>
      </c>
      <c r="AC1046" s="80">
        <f>IF(AB1046=1,IF(AA1046&lt;Z1046,1,0),0)</f>
        <v>0</v>
      </c>
      <c r="AD1046" s="80">
        <f>IF(AB1046=1,IF(AC1046=1,1440-Z1046+AA1046,AA1046-Z1046),0)</f>
        <v>0</v>
      </c>
      <c r="AE1046" s="80">
        <f>IF(J1046="",0,IF(ISNUMBER(J1046),J1046,-1))</f>
        <v>0</v>
      </c>
      <c r="AF1046" s="80">
        <f>MIN(MAX(0,AE1046),AD1046)</f>
        <v>0</v>
      </c>
      <c r="AG1046" s="80">
        <f>MAX(0,AD1046-MAX(0,AE1046))</f>
        <v>0</v>
      </c>
      <c r="AH1046" s="80">
        <f>IF(ISNUMBER(B1046),IF(AND(INDEX(CFG_WDAYS,WEEKDAY(INT(B1046),2))="Sí",IF(D1046="proMX",COUNTIFS(FER_F,INT(B1046),FER_NLP,"Sí"),COUNTIFS(FER_F,INT(B1046),FER_NLM,"Sí"))=0),1,0),0)</f>
        <v>0</v>
      </c>
      <c r="AI1046" s="80">
        <f>IF(AC1046=1,IF(AND(INDEX(CFG_WDAYS,WEEKDAY(INT(B1046)+1,2))="Sí",IF(D1046="proMX",COUNTIFS(FER_F,INT(B1046)+1,FER_NLP,"Sí"),COUNTIFS(FER_F,INT(B1046)+1,FER_NLM,"Sí"))=0),1,0),0)</f>
        <v>0</v>
      </c>
      <c r="AJ1046" s="80">
        <f>IF(AC1046=1,1440-Z1046,AD1046)</f>
        <v>0</v>
      </c>
      <c r="AK1046" s="80">
        <f>IF(AND(AB1046=1,AH1046=1),MAX(0,MIN(IF(AC1046=1,1440,AA1046),CFG_WEM)-MAX(Z1046,CFG_WSM)),0)</f>
        <v>0</v>
      </c>
      <c r="AL1046" s="80">
        <f>IF(AND(AC1046=1,AI1046=1),MAX(0,MIN(AA1046,CFG_WEM)-CFG_WSM),0)</f>
        <v>0</v>
      </c>
      <c r="AM1046" s="80">
        <f>AK1046+AL1046</f>
        <v>0</v>
      </c>
      <c r="AN1046" s="80">
        <f>IF(CFG_BRK="Proporcional",IF(AD1046=0,0,AF1046*AM1046/AD1046),IF(CFG_BRK="Extras primero",MIN(AM1046,MAX(0,AF1046-(AD1046-AM1046))),MIN(AF1046,AM1046)))</f>
        <v>0</v>
      </c>
      <c r="AO1046" s="80">
        <f>AF1046-AN1046</f>
        <v>0</v>
      </c>
      <c r="AP1046" s="80">
        <f>AM1046-AN1046</f>
        <v>0</v>
      </c>
      <c r="AQ1046" s="80">
        <f>AD1046-AM1046-AO1046</f>
        <v>0</v>
      </c>
      <c r="AR1046" s="80">
        <f>IF(AM1046=0,0,AK1046-AN1046*AK1046/AM1046)</f>
        <v>0</v>
      </c>
      <c r="AS1046" s="80">
        <f>IF(AD1046-AM1046=0,0,(AJ1046-AK1046)-AO1046*(AJ1046-AK1046)/(AD1046-AM1046))</f>
        <v>0</v>
      </c>
      <c r="AT1046" s="80" t="str">
        <f>IF(AC1046=1,INT(B1046)+1,"")</f>
        <v/>
      </c>
      <c r="AU1046" s="80">
        <f>IF(AND(D1046="proMX",R1046="Cancelled"),0,1)</f>
        <v>1</v>
      </c>
      <c r="AV1046" s="80">
        <f>IF(AND(AB1046=1,AU1046=1),IF(COUNTIFS($D$5:D1045,D1046,$B$5:B1045,B1046,$Z$5:Z1045,Z1046,$AA$5:AA1045,AA1046,$F$5:F1045,F1046&amp;"",$AU$5:AU1045,1)&gt;0,1,0),0)</f>
        <v>0</v>
      </c>
      <c r="AW1046" s="80" t="str">
        <f>IF(AB1046=1,INT(B1046)*1440+Z1046,"")</f>
        <v/>
      </c>
      <c r="AX1046" s="80" t="str">
        <f>IF(AB1046=1,AW1046+AD1046,"")</f>
        <v/>
      </c>
      <c r="AY1046" s="80">
        <f>IF(AND(AB1046=1,AV1046=0,AU1046=1),1,0)</f>
        <v>0</v>
      </c>
      <c r="AZ1046" s="80">
        <f>IF(AY1046=1,COUNTIFS(R_Emp,D1046,R_SAbs,"&lt;"&amp;AX1046,R_EAbs,"&gt;"&amp;AW1046,R_OKey,1)-1,0)</f>
        <v>0</v>
      </c>
      <c r="BA1046" s="80">
        <f>IF(AY1046=1,COUNTIFS(R_Emp,"&lt;&gt;"&amp;D1046,R_SAbs,"&lt;"&amp;AX1046,R_EAbs,"&gt;"&amp;AW1046,R_OKey,1),0)</f>
        <v>0</v>
      </c>
      <c r="BB1046" s="80">
        <f>IF(AND(AB1046=1,D1046="proMX"),IF(AND(MOD(Z1046,CFG_BLK)=0,MOD(AA1046,CFG_BLK)=0,MOD(AG1046,CFG_BLK)=0,AG1046&gt;0),1,0),1)</f>
        <v>1</v>
      </c>
      <c r="BC1046" s="80" t="str">
        <f>IF(Y1046=0,"",IF(NOT(ISNUMBER(B1046)),"Falta fecha o fecha inválida",IF(D1046="","Falta empresa",IF(AND(D1046&lt;&gt;"Malcolm",D1046&lt;&gt;"proMX"),"Empresa inválida",IF(OR(INT(B1046)&lt;CFG_PSTART,INT(B1046)&gt;CFG_PEND),"Fecha fuera del período",IF(OR(NOT(ISNUMBER(Z1046)),NOT(ISNUMBER(AA1046))),"Falta hora inicio/fin o formato inválido",IF(AB1046=0,"Hora inicio = hora fin",IF(AE1046&lt;0,"Descanso inválido",IF(AE1046&gt;=AD1046,"Descanso ≥ duración",IF(AV1046=1,"Registro duplicado",IF(AZ1046&gt;0,"Se superpone con otro registro "&amp;D1046,IF(BB1046=0,"inicio, fin y duración neta deben ser múltiplos de "&amp;CFG_BLK&amp;" min",""))))))))))))</f>
        <v/>
      </c>
      <c r="BD1046" s="80">
        <f>IF(AND(Y1046=1,BC1046=""),1,0)</f>
        <v>0</v>
      </c>
      <c r="BE1046" s="80">
        <f>IF(AND(BD1046=1,AU1046=1),1,0)</f>
        <v>0</v>
      </c>
      <c r="BF1046" s="80" t="str">
        <f>IF(AND(D1046="proMX",BD1046=1),IF(R1046="","Draft",R1046),"")</f>
        <v/>
      </c>
      <c r="BG1046" s="80">
        <f>IF(BD1046=1,ROUND(AG1046/60,6),0)</f>
        <v>0</v>
      </c>
      <c r="BH1046" s="80">
        <f>IF(BE1046=1,ROUND(AG1046/60,6),0)</f>
        <v>0</v>
      </c>
      <c r="BI1046" s="80">
        <f>IF(BE1046=1,ROUND(AP1046/60,6),0)</f>
        <v>0</v>
      </c>
      <c r="BJ1046" s="80">
        <f>IF(BE1046=1,ROUND(AQ1046/60,6),0)</f>
        <v>0</v>
      </c>
      <c r="BK1046" s="80">
        <f>IF(BE1046=1,ROUND((AR1046+AS1046)/60,6),0)</f>
        <v>0</v>
      </c>
      <c r="BL1046" s="80">
        <f>ROUND(BH1046-BK1046,6)</f>
        <v>0</v>
      </c>
      <c r="BM1046" s="80">
        <f>IF(BE1046=1,ROUND(AR1046/60,6),0)</f>
        <v>0</v>
      </c>
      <c r="BN1046" s="80">
        <f>ROUND(BI1046-BM1046,6)</f>
        <v>0</v>
      </c>
      <c r="BO1046" s="80">
        <f>IF(BE1046=1,ROUND(AS1046/60,6),0)</f>
        <v>0</v>
      </c>
      <c r="BP1046" s="80">
        <f>ROUND(BJ1046-BO1046,6)</f>
        <v>0</v>
      </c>
      <c r="BQ1046" s="80">
        <f>IF(BE1046=1,AW1046,0)</f>
        <v>0</v>
      </c>
      <c r="BR1046" s="80">
        <f>IF(BE1046=1,AX1046,0)</f>
        <v>0</v>
      </c>
      <c r="BS1046" s="80">
        <f>IF(AND(BE1046=1,D1046="Malcolm",BA1046&gt;0),MIN(BH1046,SUMPRODUCT((R_Emp="proMX")*(R_EN&gt;0)*((R_EN-(R_EN&gt;BR1046)*(R_EN-BR1046))&gt;(R_SN+(R_SN&lt;BQ1046)*(BQ1046-R_SN)))*((R_EN-(R_EN&gt;BR1046)*(R_EN-BR1046))-(R_SN+(R_SN&lt;BQ1046)*(BQ1046-R_SN))))/60),0)</f>
        <v>0</v>
      </c>
      <c r="BT1046" s="80">
        <f>IF(AND(BE1046=1,D1046="proMX"),ROUND(BI1046*CFG_RATE+BJ1046*CFG_OTRATE,6),0)</f>
        <v>0</v>
      </c>
      <c r="BU1046" s="80">
        <f>IF(AND(BD1046=1,D1046="proMX"),ROUND(AG1046/CFG_BLK,6),0)</f>
        <v>0</v>
      </c>
      <c r="BV1046" s="80" t="str">
        <f>IF(BF1046="Approved",IF(ISNUMBER(T1046),INT(T1046),INT(B1046)),"")</f>
        <v/>
      </c>
      <c r="BW1046" s="80">
        <f>IF(ISNUMBER(B1046),IF(DB_MON="Todos",1,IF(AND(INT(B1046)&gt;=DB_MS,INT(B1046)&lt;=DB_ME),1,0)),0)</f>
        <v>0</v>
      </c>
      <c r="BX1046" s="80">
        <f>IF(DB_PROJ="Todos",1,IF(E1046&amp;""=DB_PROJ&amp;"",1,0))</f>
        <v>1</v>
      </c>
      <c r="BY1046" s="80">
        <f>BW1046*BX1046</f>
        <v>0</v>
      </c>
      <c r="BZ1046" s="80" t="str">
        <f>IF(Y1046=1,F1046&amp;IF(AND(F1046&amp;""&lt;&gt;"",E1046&amp;""&lt;&gt;"")," · ","")&amp;E1046,"")</f>
        <v/>
      </c>
      <c r="CA1046" s="80" t="str">
        <f>IF(AND(BD1046=1,E1046&amp;""&lt;&gt;""),IF(COUNTIFS($E$5:E1045,E1046,$BD$5:BD1045,1)=0,MAX($CA$5:CA1045)+1,""),"")</f>
        <v/>
      </c>
      <c r="CB1046" s="80" t="str">
        <f>IF(AND(BE1046=1,D1046="Malcolm",E1046&amp;""&lt;&gt;""),IF(COUNTIFS($D$5:D1045,"Malcolm",$E$5:E1045,E1046,$BE$5:BE1045,1)=0,MAX($CB$5:CB1045)+1,""),"")</f>
        <v/>
      </c>
      <c r="CC1046" s="80" t="str">
        <f>IF(AND(BD1046=1,D1046="proMX",E1046&amp;""&lt;&gt;""),IF(COUNTIFS($D$5:D1045,"proMX",$E$5:E1045,E1046,$BD$5:BD1045,1)=0,MAX($CC$5:CC1045)+1,""),"")</f>
        <v/>
      </c>
      <c r="CD1046" s="80" t="str">
        <f>IF(AND(BE1046=1,D1046="Malcolm",F1046&amp;""&lt;&gt;""),IF(COUNTIFS($D$5:D1045,"Malcolm",$F$5:F1045,F1046,$BE$5:BE1045,1)=0,MAX($CD$5:CD1045)+1,""),"")</f>
        <v/>
      </c>
      <c r="CE1046" s="80" t="str">
        <f>IF(AND(BD1046=1,D1046="proMX",F1046&amp;""&lt;&gt;""),IF(COUNTIFS($D$5:D1045,"proMX",$F$5:F1045,F1046,$BD$5:BD1045,1)=0,MAX($CE$5:CE1045)+1,""),"")</f>
        <v/>
      </c>
      <c r="CF1046" s="80" t="str">
        <f>IF(AND(D1046="proMX",BD1046=1),IF(OR(BF1046="Draft",BF1046="Submitted",BF1046="Returned",BF1046="Recall Requested"),MAX($CF$5:CF1045)+1,""),"")</f>
        <v/>
      </c>
      <c r="CG1046" s="80">
        <f>IF(BD1046=0,0,IF(D1046="Malcolm",1,MATCH(BF1046,{"Draft","Submitted","Approved","Returned","Recall Requested","Cancelled"},0)+1))</f>
        <v>0</v>
      </c>
      <c r="CH1046" s="80">
        <f>IF(AND(BF1046="Submitted",ISNUMBER(V1046)),IF(V1046&gt;CFG_MAXD,1,0),0)</f>
        <v>0</v>
      </c>
    </row>
    <row r="1047">
      <c r="A1047" s="71" t="str">
        <f>IF(Y1047=1,ROW()-5,"")</f>
        <v/>
      </c>
      <c r="B1047" s="72" t="n"/>
      <c r="C1047" s="71" t="str">
        <f>IF(ISNUMBER(B1047),CHOOSE(WEEKDAY(B1047,2),"Lun","Mar","Mié","Jue","Vie","Sáb","Dom"),"")</f>
        <v/>
      </c>
      <c r="D1047" s="73" t="n"/>
      <c r="E1047" s="74" t="n"/>
      <c r="F1047" s="74" t="n"/>
      <c r="G1047" s="74" t="n"/>
      <c r="H1047" s="75" t="n"/>
      <c r="I1047" s="75" t="n"/>
      <c r="J1047" s="76" t="n"/>
      <c r="K1047" s="77" t="str">
        <f>IF(AB1047=1,ROUND(AG1047/60,4),"")</f>
        <v/>
      </c>
      <c r="L1047" s="77" t="str">
        <f>IF(BD1047=1,ROUND(AP1047/60,4),"")</f>
        <v/>
      </c>
      <c r="M1047" s="77" t="str">
        <f>IF(BD1047=1,ROUND(AQ1047/60,4),"")</f>
        <v/>
      </c>
      <c r="N1047" s="71" t="str">
        <f>IF(AND(D1047="proMX",AB1047=1),ROUND(AG1047/CFG_BLK,2),"")</f>
        <v/>
      </c>
      <c r="O1047" s="77" t="str">
        <f>IF(D1047="proMX",IF(BD1047=1,ROUND(AG1047/60,4),0),"")</f>
        <v/>
      </c>
      <c r="P1047" s="78" t="str">
        <f>IF(Y1047=0,"",IF(BD1047=1,"OK",IF(D1047="proMX","Revisar bloques: ","Revisar: ")&amp;BC1047))</f>
        <v/>
      </c>
      <c r="Q1047" s="78" t="str">
        <f>IF(NOT(ISNUMBER(B1047)),"",IF(COUNTIFS(FER_F,INT(B1047))&gt;0,"Feriado"&amp;IF(AH1047=1," (laborable)"," (no laborable)"),IF(AH1047=1,"Laborable",IF(WEEKDAY(B1047,2)&gt;5,"Fin de semana","No laborable"))))</f>
        <v/>
      </c>
      <c r="R1047" s="73" t="n"/>
      <c r="S1047" s="72" t="n"/>
      <c r="T1047" s="72" t="n"/>
      <c r="U1047" s="74" t="n"/>
      <c r="V1047" s="79" t="str">
        <f>IF(AND(D1047="proMX",OR(R1047="Submitted",R1047="Recall Requested"),ISNUMBER(S1047)),CFG_TODAY-INT(S1047),"")</f>
        <v/>
      </c>
      <c r="W1047" s="78" t="str">
        <f>IF(BD1047=0,"",IF(BA1047&gt;0,"⚠ Se superpone con un registro de la otra empresa",IF(D1047="Malcolm",IF(COUNTA(R1047,S1047,T1047)&gt;0,"Estado/fechas proMX se ignoran en Malcolm",""),IF(BF1047="Cancelled","Cancelado: excluido de totales",IF(R1047="","Sin estado: se trata como Draft",IF(BF1047="Submitted",IF(ISNUMBER(V1047),IF(V1047&gt;CFG_MAXD,"⚠ "&amp;V1047&amp;" días en Submitted (máx. "&amp;CFG_MAXD&amp;")",""),"Falta fecha de envío"),IF(BF1047="Returned","⚠ Devuelto: corregir y reenviar",IF(BF1047="Recall Requested","Retirada solicitada: pendiente",IF(AND(BF1047="Approved",NOT(ISNUMBER(T1047))),"Falta fecha de aprobación",IF(AND(ISNUMBER(S1047),ISNUMBER(T1047),T1047&lt;S1047),"Aprobación anterior al envío","")))))))))</f>
        <v/>
      </c>
      <c r="Y1047" s="80">
        <f>IF(COUNTA(B1047,D1047,E1047,F1047,G1047,H1047,I1047,J1047,R1047,S1047,T1047)&gt;0,1,0)</f>
        <v>0</v>
      </c>
      <c r="Z1047" s="80" t="str">
        <f>IF(AND(ISNUMBER(H1047),H1047&gt;=0,H1047&lt;1),ROUND(H1047*1440,0),"")</f>
        <v/>
      </c>
      <c r="AA1047" s="80" t="str">
        <f>IF(AND(ISNUMBER(I1047),I1047&gt;=0,I1047&lt;1),ROUND(I1047*1440,0),"")</f>
        <v/>
      </c>
      <c r="AB1047" s="80">
        <f>IF(AND(ISNUMBER(B1047),D1047&lt;&gt;"",ISNUMBER(Z1047),ISNUMBER(AA1047)),IF(Z1047=AA1047,0,1),0)</f>
        <v>0</v>
      </c>
      <c r="AC1047" s="80">
        <f>IF(AB1047=1,IF(AA1047&lt;Z1047,1,0),0)</f>
        <v>0</v>
      </c>
      <c r="AD1047" s="80">
        <f>IF(AB1047=1,IF(AC1047=1,1440-Z1047+AA1047,AA1047-Z1047),0)</f>
        <v>0</v>
      </c>
      <c r="AE1047" s="80">
        <f>IF(J1047="",0,IF(ISNUMBER(J1047),J1047,-1))</f>
        <v>0</v>
      </c>
      <c r="AF1047" s="80">
        <f>MIN(MAX(0,AE1047),AD1047)</f>
        <v>0</v>
      </c>
      <c r="AG1047" s="80">
        <f>MAX(0,AD1047-MAX(0,AE1047))</f>
        <v>0</v>
      </c>
      <c r="AH1047" s="80">
        <f>IF(ISNUMBER(B1047),IF(AND(INDEX(CFG_WDAYS,WEEKDAY(INT(B1047),2))="Sí",IF(D1047="proMX",COUNTIFS(FER_F,INT(B1047),FER_NLP,"Sí"),COUNTIFS(FER_F,INT(B1047),FER_NLM,"Sí"))=0),1,0),0)</f>
        <v>0</v>
      </c>
      <c r="AI1047" s="80">
        <f>IF(AC1047=1,IF(AND(INDEX(CFG_WDAYS,WEEKDAY(INT(B1047)+1,2))="Sí",IF(D1047="proMX",COUNTIFS(FER_F,INT(B1047)+1,FER_NLP,"Sí"),COUNTIFS(FER_F,INT(B1047)+1,FER_NLM,"Sí"))=0),1,0),0)</f>
        <v>0</v>
      </c>
      <c r="AJ1047" s="80">
        <f>IF(AC1047=1,1440-Z1047,AD1047)</f>
        <v>0</v>
      </c>
      <c r="AK1047" s="80">
        <f>IF(AND(AB1047=1,AH1047=1),MAX(0,MIN(IF(AC1047=1,1440,AA1047),CFG_WEM)-MAX(Z1047,CFG_WSM)),0)</f>
        <v>0</v>
      </c>
      <c r="AL1047" s="80">
        <f>IF(AND(AC1047=1,AI1047=1),MAX(0,MIN(AA1047,CFG_WEM)-CFG_WSM),0)</f>
        <v>0</v>
      </c>
      <c r="AM1047" s="80">
        <f>AK1047+AL1047</f>
        <v>0</v>
      </c>
      <c r="AN1047" s="80">
        <f>IF(CFG_BRK="Proporcional",IF(AD1047=0,0,AF1047*AM1047/AD1047),IF(CFG_BRK="Extras primero",MIN(AM1047,MAX(0,AF1047-(AD1047-AM1047))),MIN(AF1047,AM1047)))</f>
        <v>0</v>
      </c>
      <c r="AO1047" s="80">
        <f>AF1047-AN1047</f>
        <v>0</v>
      </c>
      <c r="AP1047" s="80">
        <f>AM1047-AN1047</f>
        <v>0</v>
      </c>
      <c r="AQ1047" s="80">
        <f>AD1047-AM1047-AO1047</f>
        <v>0</v>
      </c>
      <c r="AR1047" s="80">
        <f>IF(AM1047=0,0,AK1047-AN1047*AK1047/AM1047)</f>
        <v>0</v>
      </c>
      <c r="AS1047" s="80">
        <f>IF(AD1047-AM1047=0,0,(AJ1047-AK1047)-AO1047*(AJ1047-AK1047)/(AD1047-AM1047))</f>
        <v>0</v>
      </c>
      <c r="AT1047" s="80" t="str">
        <f>IF(AC1047=1,INT(B1047)+1,"")</f>
        <v/>
      </c>
      <c r="AU1047" s="80">
        <f>IF(AND(D1047="proMX",R1047="Cancelled"),0,1)</f>
        <v>1</v>
      </c>
      <c r="AV1047" s="80">
        <f>IF(AND(AB1047=1,AU1047=1),IF(COUNTIFS($D$5:D1046,D1047,$B$5:B1046,B1047,$Z$5:Z1046,Z1047,$AA$5:AA1046,AA1047,$F$5:F1046,F1047&amp;"",$AU$5:AU1046,1)&gt;0,1,0),0)</f>
        <v>0</v>
      </c>
      <c r="AW1047" s="80" t="str">
        <f>IF(AB1047=1,INT(B1047)*1440+Z1047,"")</f>
        <v/>
      </c>
      <c r="AX1047" s="80" t="str">
        <f>IF(AB1047=1,AW1047+AD1047,"")</f>
        <v/>
      </c>
      <c r="AY1047" s="80">
        <f>IF(AND(AB1047=1,AV1047=0,AU1047=1),1,0)</f>
        <v>0</v>
      </c>
      <c r="AZ1047" s="80">
        <f>IF(AY1047=1,COUNTIFS(R_Emp,D1047,R_SAbs,"&lt;"&amp;AX1047,R_EAbs,"&gt;"&amp;AW1047,R_OKey,1)-1,0)</f>
        <v>0</v>
      </c>
      <c r="BA1047" s="80">
        <f>IF(AY1047=1,COUNTIFS(R_Emp,"&lt;&gt;"&amp;D1047,R_SAbs,"&lt;"&amp;AX1047,R_EAbs,"&gt;"&amp;AW1047,R_OKey,1),0)</f>
        <v>0</v>
      </c>
      <c r="BB1047" s="80">
        <f>IF(AND(AB1047=1,D1047="proMX"),IF(AND(MOD(Z1047,CFG_BLK)=0,MOD(AA1047,CFG_BLK)=0,MOD(AG1047,CFG_BLK)=0,AG1047&gt;0),1,0),1)</f>
        <v>1</v>
      </c>
      <c r="BC1047" s="80" t="str">
        <f>IF(Y1047=0,"",IF(NOT(ISNUMBER(B1047)),"Falta fecha o fecha inválida",IF(D1047="","Falta empresa",IF(AND(D1047&lt;&gt;"Malcolm",D1047&lt;&gt;"proMX"),"Empresa inválida",IF(OR(INT(B1047)&lt;CFG_PSTART,INT(B1047)&gt;CFG_PEND),"Fecha fuera del período",IF(OR(NOT(ISNUMBER(Z1047)),NOT(ISNUMBER(AA1047))),"Falta hora inicio/fin o formato inválido",IF(AB1047=0,"Hora inicio = hora fin",IF(AE1047&lt;0,"Descanso inválido",IF(AE1047&gt;=AD1047,"Descanso ≥ duración",IF(AV1047=1,"Registro duplicado",IF(AZ1047&gt;0,"Se superpone con otro registro "&amp;D1047,IF(BB1047=0,"inicio, fin y duración neta deben ser múltiplos de "&amp;CFG_BLK&amp;" min",""))))))))))))</f>
        <v/>
      </c>
      <c r="BD1047" s="80">
        <f>IF(AND(Y1047=1,BC1047=""),1,0)</f>
        <v>0</v>
      </c>
      <c r="BE1047" s="80">
        <f>IF(AND(BD1047=1,AU1047=1),1,0)</f>
        <v>0</v>
      </c>
      <c r="BF1047" s="80" t="str">
        <f>IF(AND(D1047="proMX",BD1047=1),IF(R1047="","Draft",R1047),"")</f>
        <v/>
      </c>
      <c r="BG1047" s="80">
        <f>IF(BD1047=1,ROUND(AG1047/60,6),0)</f>
        <v>0</v>
      </c>
      <c r="BH1047" s="80">
        <f>IF(BE1047=1,ROUND(AG1047/60,6),0)</f>
        <v>0</v>
      </c>
      <c r="BI1047" s="80">
        <f>IF(BE1047=1,ROUND(AP1047/60,6),0)</f>
        <v>0</v>
      </c>
      <c r="BJ1047" s="80">
        <f>IF(BE1047=1,ROUND(AQ1047/60,6),0)</f>
        <v>0</v>
      </c>
      <c r="BK1047" s="80">
        <f>IF(BE1047=1,ROUND((AR1047+AS1047)/60,6),0)</f>
        <v>0</v>
      </c>
      <c r="BL1047" s="80">
        <f>ROUND(BH1047-BK1047,6)</f>
        <v>0</v>
      </c>
      <c r="BM1047" s="80">
        <f>IF(BE1047=1,ROUND(AR1047/60,6),0)</f>
        <v>0</v>
      </c>
      <c r="BN1047" s="80">
        <f>ROUND(BI1047-BM1047,6)</f>
        <v>0</v>
      </c>
      <c r="BO1047" s="80">
        <f>IF(BE1047=1,ROUND(AS1047/60,6),0)</f>
        <v>0</v>
      </c>
      <c r="BP1047" s="80">
        <f>ROUND(BJ1047-BO1047,6)</f>
        <v>0</v>
      </c>
      <c r="BQ1047" s="80">
        <f>IF(BE1047=1,AW1047,0)</f>
        <v>0</v>
      </c>
      <c r="BR1047" s="80">
        <f>IF(BE1047=1,AX1047,0)</f>
        <v>0</v>
      </c>
      <c r="BS1047" s="80">
        <f>IF(AND(BE1047=1,D1047="Malcolm",BA1047&gt;0),MIN(BH1047,SUMPRODUCT((R_Emp="proMX")*(R_EN&gt;0)*((R_EN-(R_EN&gt;BR1047)*(R_EN-BR1047))&gt;(R_SN+(R_SN&lt;BQ1047)*(BQ1047-R_SN)))*((R_EN-(R_EN&gt;BR1047)*(R_EN-BR1047))-(R_SN+(R_SN&lt;BQ1047)*(BQ1047-R_SN))))/60),0)</f>
        <v>0</v>
      </c>
      <c r="BT1047" s="80">
        <f>IF(AND(BE1047=1,D1047="proMX"),ROUND(BI1047*CFG_RATE+BJ1047*CFG_OTRATE,6),0)</f>
        <v>0</v>
      </c>
      <c r="BU1047" s="80">
        <f>IF(AND(BD1047=1,D1047="proMX"),ROUND(AG1047/CFG_BLK,6),0)</f>
        <v>0</v>
      </c>
      <c r="BV1047" s="80" t="str">
        <f>IF(BF1047="Approved",IF(ISNUMBER(T1047),INT(T1047),INT(B1047)),"")</f>
        <v/>
      </c>
      <c r="BW1047" s="80">
        <f>IF(ISNUMBER(B1047),IF(DB_MON="Todos",1,IF(AND(INT(B1047)&gt;=DB_MS,INT(B1047)&lt;=DB_ME),1,0)),0)</f>
        <v>0</v>
      </c>
      <c r="BX1047" s="80">
        <f>IF(DB_PROJ="Todos",1,IF(E1047&amp;""=DB_PROJ&amp;"",1,0))</f>
        <v>1</v>
      </c>
      <c r="BY1047" s="80">
        <f>BW1047*BX1047</f>
        <v>0</v>
      </c>
      <c r="BZ1047" s="80" t="str">
        <f>IF(Y1047=1,F1047&amp;IF(AND(F1047&amp;""&lt;&gt;"",E1047&amp;""&lt;&gt;"")," · ","")&amp;E1047,"")</f>
        <v/>
      </c>
      <c r="CA1047" s="80" t="str">
        <f>IF(AND(BD1047=1,E1047&amp;""&lt;&gt;""),IF(COUNTIFS($E$5:E1046,E1047,$BD$5:BD1046,1)=0,MAX($CA$5:CA1046)+1,""),"")</f>
        <v/>
      </c>
      <c r="CB1047" s="80" t="str">
        <f>IF(AND(BE1047=1,D1047="Malcolm",E1047&amp;""&lt;&gt;""),IF(COUNTIFS($D$5:D1046,"Malcolm",$E$5:E1046,E1047,$BE$5:BE1046,1)=0,MAX($CB$5:CB1046)+1,""),"")</f>
        <v/>
      </c>
      <c r="CC1047" s="80" t="str">
        <f>IF(AND(BD1047=1,D1047="proMX",E1047&amp;""&lt;&gt;""),IF(COUNTIFS($D$5:D1046,"proMX",$E$5:E1046,E1047,$BD$5:BD1046,1)=0,MAX($CC$5:CC1046)+1,""),"")</f>
        <v/>
      </c>
      <c r="CD1047" s="80" t="str">
        <f>IF(AND(BE1047=1,D1047="Malcolm",F1047&amp;""&lt;&gt;""),IF(COUNTIFS($D$5:D1046,"Malcolm",$F$5:F1046,F1047,$BE$5:BE1046,1)=0,MAX($CD$5:CD1046)+1,""),"")</f>
        <v/>
      </c>
      <c r="CE1047" s="80" t="str">
        <f>IF(AND(BD1047=1,D1047="proMX",F1047&amp;""&lt;&gt;""),IF(COUNTIFS($D$5:D1046,"proMX",$F$5:F1046,F1047,$BD$5:BD1046,1)=0,MAX($CE$5:CE1046)+1,""),"")</f>
        <v/>
      </c>
      <c r="CF1047" s="80" t="str">
        <f>IF(AND(D1047="proMX",BD1047=1),IF(OR(BF1047="Draft",BF1047="Submitted",BF1047="Returned",BF1047="Recall Requested"),MAX($CF$5:CF1046)+1,""),"")</f>
        <v/>
      </c>
      <c r="CG1047" s="80">
        <f>IF(BD1047=0,0,IF(D1047="Malcolm",1,MATCH(BF1047,{"Draft","Submitted","Approved","Returned","Recall Requested","Cancelled"},0)+1))</f>
        <v>0</v>
      </c>
      <c r="CH1047" s="80">
        <f>IF(AND(BF1047="Submitted",ISNUMBER(V1047)),IF(V1047&gt;CFG_MAXD,1,0),0)</f>
        <v>0</v>
      </c>
    </row>
    <row r="1048">
      <c r="A1048" s="71" t="str">
        <f>IF(Y1048=1,ROW()-5,"")</f>
        <v/>
      </c>
      <c r="B1048" s="72" t="n"/>
      <c r="C1048" s="71" t="str">
        <f>IF(ISNUMBER(B1048),CHOOSE(WEEKDAY(B1048,2),"Lun","Mar","Mié","Jue","Vie","Sáb","Dom"),"")</f>
        <v/>
      </c>
      <c r="D1048" s="73" t="n"/>
      <c r="E1048" s="74" t="n"/>
      <c r="F1048" s="74" t="n"/>
      <c r="G1048" s="74" t="n"/>
      <c r="H1048" s="75" t="n"/>
      <c r="I1048" s="75" t="n"/>
      <c r="J1048" s="76" t="n"/>
      <c r="K1048" s="77" t="str">
        <f>IF(AB1048=1,ROUND(AG1048/60,4),"")</f>
        <v/>
      </c>
      <c r="L1048" s="77" t="str">
        <f>IF(BD1048=1,ROUND(AP1048/60,4),"")</f>
        <v/>
      </c>
      <c r="M1048" s="77" t="str">
        <f>IF(BD1048=1,ROUND(AQ1048/60,4),"")</f>
        <v/>
      </c>
      <c r="N1048" s="71" t="str">
        <f>IF(AND(D1048="proMX",AB1048=1),ROUND(AG1048/CFG_BLK,2),"")</f>
        <v/>
      </c>
      <c r="O1048" s="77" t="str">
        <f>IF(D1048="proMX",IF(BD1048=1,ROUND(AG1048/60,4),0),"")</f>
        <v/>
      </c>
      <c r="P1048" s="78" t="str">
        <f>IF(Y1048=0,"",IF(BD1048=1,"OK",IF(D1048="proMX","Revisar bloques: ","Revisar: ")&amp;BC1048))</f>
        <v/>
      </c>
      <c r="Q1048" s="78" t="str">
        <f>IF(NOT(ISNUMBER(B1048)),"",IF(COUNTIFS(FER_F,INT(B1048))&gt;0,"Feriado"&amp;IF(AH1048=1," (laborable)"," (no laborable)"),IF(AH1048=1,"Laborable",IF(WEEKDAY(B1048,2)&gt;5,"Fin de semana","No laborable"))))</f>
        <v/>
      </c>
      <c r="R1048" s="73" t="n"/>
      <c r="S1048" s="72" t="n"/>
      <c r="T1048" s="72" t="n"/>
      <c r="U1048" s="74" t="n"/>
      <c r="V1048" s="79" t="str">
        <f>IF(AND(D1048="proMX",OR(R1048="Submitted",R1048="Recall Requested"),ISNUMBER(S1048)),CFG_TODAY-INT(S1048),"")</f>
        <v/>
      </c>
      <c r="W1048" s="78" t="str">
        <f>IF(BD1048=0,"",IF(BA1048&gt;0,"⚠ Se superpone con un registro de la otra empresa",IF(D1048="Malcolm",IF(COUNTA(R1048,S1048,T1048)&gt;0,"Estado/fechas proMX se ignoran en Malcolm",""),IF(BF1048="Cancelled","Cancelado: excluido de totales",IF(R1048="","Sin estado: se trata como Draft",IF(BF1048="Submitted",IF(ISNUMBER(V1048),IF(V1048&gt;CFG_MAXD,"⚠ "&amp;V1048&amp;" días en Submitted (máx. "&amp;CFG_MAXD&amp;")",""),"Falta fecha de envío"),IF(BF1048="Returned","⚠ Devuelto: corregir y reenviar",IF(BF1048="Recall Requested","Retirada solicitada: pendiente",IF(AND(BF1048="Approved",NOT(ISNUMBER(T1048))),"Falta fecha de aprobación",IF(AND(ISNUMBER(S1048),ISNUMBER(T1048),T1048&lt;S1048),"Aprobación anterior al envío","")))))))))</f>
        <v/>
      </c>
      <c r="Y1048" s="80">
        <f>IF(COUNTA(B1048,D1048,E1048,F1048,G1048,H1048,I1048,J1048,R1048,S1048,T1048)&gt;0,1,0)</f>
        <v>0</v>
      </c>
      <c r="Z1048" s="80" t="str">
        <f>IF(AND(ISNUMBER(H1048),H1048&gt;=0,H1048&lt;1),ROUND(H1048*1440,0),"")</f>
        <v/>
      </c>
      <c r="AA1048" s="80" t="str">
        <f>IF(AND(ISNUMBER(I1048),I1048&gt;=0,I1048&lt;1),ROUND(I1048*1440,0),"")</f>
        <v/>
      </c>
      <c r="AB1048" s="80">
        <f>IF(AND(ISNUMBER(B1048),D1048&lt;&gt;"",ISNUMBER(Z1048),ISNUMBER(AA1048)),IF(Z1048=AA1048,0,1),0)</f>
        <v>0</v>
      </c>
      <c r="AC1048" s="80">
        <f>IF(AB1048=1,IF(AA1048&lt;Z1048,1,0),0)</f>
        <v>0</v>
      </c>
      <c r="AD1048" s="80">
        <f>IF(AB1048=1,IF(AC1048=1,1440-Z1048+AA1048,AA1048-Z1048),0)</f>
        <v>0</v>
      </c>
      <c r="AE1048" s="80">
        <f>IF(J1048="",0,IF(ISNUMBER(J1048),J1048,-1))</f>
        <v>0</v>
      </c>
      <c r="AF1048" s="80">
        <f>MIN(MAX(0,AE1048),AD1048)</f>
        <v>0</v>
      </c>
      <c r="AG1048" s="80">
        <f>MAX(0,AD1048-MAX(0,AE1048))</f>
        <v>0</v>
      </c>
      <c r="AH1048" s="80">
        <f>IF(ISNUMBER(B1048),IF(AND(INDEX(CFG_WDAYS,WEEKDAY(INT(B1048),2))="Sí",IF(D1048="proMX",COUNTIFS(FER_F,INT(B1048),FER_NLP,"Sí"),COUNTIFS(FER_F,INT(B1048),FER_NLM,"Sí"))=0),1,0),0)</f>
        <v>0</v>
      </c>
      <c r="AI1048" s="80">
        <f>IF(AC1048=1,IF(AND(INDEX(CFG_WDAYS,WEEKDAY(INT(B1048)+1,2))="Sí",IF(D1048="proMX",COUNTIFS(FER_F,INT(B1048)+1,FER_NLP,"Sí"),COUNTIFS(FER_F,INT(B1048)+1,FER_NLM,"Sí"))=0),1,0),0)</f>
        <v>0</v>
      </c>
      <c r="AJ1048" s="80">
        <f>IF(AC1048=1,1440-Z1048,AD1048)</f>
        <v>0</v>
      </c>
      <c r="AK1048" s="80">
        <f>IF(AND(AB1048=1,AH1048=1),MAX(0,MIN(IF(AC1048=1,1440,AA1048),CFG_WEM)-MAX(Z1048,CFG_WSM)),0)</f>
        <v>0</v>
      </c>
      <c r="AL1048" s="80">
        <f>IF(AND(AC1048=1,AI1048=1),MAX(0,MIN(AA1048,CFG_WEM)-CFG_WSM),0)</f>
        <v>0</v>
      </c>
      <c r="AM1048" s="80">
        <f>AK1048+AL1048</f>
        <v>0</v>
      </c>
      <c r="AN1048" s="80">
        <f>IF(CFG_BRK="Proporcional",IF(AD1048=0,0,AF1048*AM1048/AD1048),IF(CFG_BRK="Extras primero",MIN(AM1048,MAX(0,AF1048-(AD1048-AM1048))),MIN(AF1048,AM1048)))</f>
        <v>0</v>
      </c>
      <c r="AO1048" s="80">
        <f>AF1048-AN1048</f>
        <v>0</v>
      </c>
      <c r="AP1048" s="80">
        <f>AM1048-AN1048</f>
        <v>0</v>
      </c>
      <c r="AQ1048" s="80">
        <f>AD1048-AM1048-AO1048</f>
        <v>0</v>
      </c>
      <c r="AR1048" s="80">
        <f>IF(AM1048=0,0,AK1048-AN1048*AK1048/AM1048)</f>
        <v>0</v>
      </c>
      <c r="AS1048" s="80">
        <f>IF(AD1048-AM1048=0,0,(AJ1048-AK1048)-AO1048*(AJ1048-AK1048)/(AD1048-AM1048))</f>
        <v>0</v>
      </c>
      <c r="AT1048" s="80" t="str">
        <f>IF(AC1048=1,INT(B1048)+1,"")</f>
        <v/>
      </c>
      <c r="AU1048" s="80">
        <f>IF(AND(D1048="proMX",R1048="Cancelled"),0,1)</f>
        <v>1</v>
      </c>
      <c r="AV1048" s="80">
        <f>IF(AND(AB1048=1,AU1048=1),IF(COUNTIFS($D$5:D1047,D1048,$B$5:B1047,B1048,$Z$5:Z1047,Z1048,$AA$5:AA1047,AA1048,$F$5:F1047,F1048&amp;"",$AU$5:AU1047,1)&gt;0,1,0),0)</f>
        <v>0</v>
      </c>
      <c r="AW1048" s="80" t="str">
        <f>IF(AB1048=1,INT(B1048)*1440+Z1048,"")</f>
        <v/>
      </c>
      <c r="AX1048" s="80" t="str">
        <f>IF(AB1048=1,AW1048+AD1048,"")</f>
        <v/>
      </c>
      <c r="AY1048" s="80">
        <f>IF(AND(AB1048=1,AV1048=0,AU1048=1),1,0)</f>
        <v>0</v>
      </c>
      <c r="AZ1048" s="80">
        <f>IF(AY1048=1,COUNTIFS(R_Emp,D1048,R_SAbs,"&lt;"&amp;AX1048,R_EAbs,"&gt;"&amp;AW1048,R_OKey,1)-1,0)</f>
        <v>0</v>
      </c>
      <c r="BA1048" s="80">
        <f>IF(AY1048=1,COUNTIFS(R_Emp,"&lt;&gt;"&amp;D1048,R_SAbs,"&lt;"&amp;AX1048,R_EAbs,"&gt;"&amp;AW1048,R_OKey,1),0)</f>
        <v>0</v>
      </c>
      <c r="BB1048" s="80">
        <f>IF(AND(AB1048=1,D1048="proMX"),IF(AND(MOD(Z1048,CFG_BLK)=0,MOD(AA1048,CFG_BLK)=0,MOD(AG1048,CFG_BLK)=0,AG1048&gt;0),1,0),1)</f>
        <v>1</v>
      </c>
      <c r="BC1048" s="80" t="str">
        <f>IF(Y1048=0,"",IF(NOT(ISNUMBER(B1048)),"Falta fecha o fecha inválida",IF(D1048="","Falta empresa",IF(AND(D1048&lt;&gt;"Malcolm",D1048&lt;&gt;"proMX"),"Empresa inválida",IF(OR(INT(B1048)&lt;CFG_PSTART,INT(B1048)&gt;CFG_PEND),"Fecha fuera del período",IF(OR(NOT(ISNUMBER(Z1048)),NOT(ISNUMBER(AA1048))),"Falta hora inicio/fin o formato inválido",IF(AB1048=0,"Hora inicio = hora fin",IF(AE1048&lt;0,"Descanso inválido",IF(AE1048&gt;=AD1048,"Descanso ≥ duración",IF(AV1048=1,"Registro duplicado",IF(AZ1048&gt;0,"Se superpone con otro registro "&amp;D1048,IF(BB1048=0,"inicio, fin y duración neta deben ser múltiplos de "&amp;CFG_BLK&amp;" min",""))))))))))))</f>
        <v/>
      </c>
      <c r="BD1048" s="80">
        <f>IF(AND(Y1048=1,BC1048=""),1,0)</f>
        <v>0</v>
      </c>
      <c r="BE1048" s="80">
        <f>IF(AND(BD1048=1,AU1048=1),1,0)</f>
        <v>0</v>
      </c>
      <c r="BF1048" s="80" t="str">
        <f>IF(AND(D1048="proMX",BD1048=1),IF(R1048="","Draft",R1048),"")</f>
        <v/>
      </c>
      <c r="BG1048" s="80">
        <f>IF(BD1048=1,ROUND(AG1048/60,6),0)</f>
        <v>0</v>
      </c>
      <c r="BH1048" s="80">
        <f>IF(BE1048=1,ROUND(AG1048/60,6),0)</f>
        <v>0</v>
      </c>
      <c r="BI1048" s="80">
        <f>IF(BE1048=1,ROUND(AP1048/60,6),0)</f>
        <v>0</v>
      </c>
      <c r="BJ1048" s="80">
        <f>IF(BE1048=1,ROUND(AQ1048/60,6),0)</f>
        <v>0</v>
      </c>
      <c r="BK1048" s="80">
        <f>IF(BE1048=1,ROUND((AR1048+AS1048)/60,6),0)</f>
        <v>0</v>
      </c>
      <c r="BL1048" s="80">
        <f>ROUND(BH1048-BK1048,6)</f>
        <v>0</v>
      </c>
      <c r="BM1048" s="80">
        <f>IF(BE1048=1,ROUND(AR1048/60,6),0)</f>
        <v>0</v>
      </c>
      <c r="BN1048" s="80">
        <f>ROUND(BI1048-BM1048,6)</f>
        <v>0</v>
      </c>
      <c r="BO1048" s="80">
        <f>IF(BE1048=1,ROUND(AS1048/60,6),0)</f>
        <v>0</v>
      </c>
      <c r="BP1048" s="80">
        <f>ROUND(BJ1048-BO1048,6)</f>
        <v>0</v>
      </c>
      <c r="BQ1048" s="80">
        <f>IF(BE1048=1,AW1048,0)</f>
        <v>0</v>
      </c>
      <c r="BR1048" s="80">
        <f>IF(BE1048=1,AX1048,0)</f>
        <v>0</v>
      </c>
      <c r="BS1048" s="80">
        <f>IF(AND(BE1048=1,D1048="Malcolm",BA1048&gt;0),MIN(BH1048,SUMPRODUCT((R_Emp="proMX")*(R_EN&gt;0)*((R_EN-(R_EN&gt;BR1048)*(R_EN-BR1048))&gt;(R_SN+(R_SN&lt;BQ1048)*(BQ1048-R_SN)))*((R_EN-(R_EN&gt;BR1048)*(R_EN-BR1048))-(R_SN+(R_SN&lt;BQ1048)*(BQ1048-R_SN))))/60),0)</f>
        <v>0</v>
      </c>
      <c r="BT1048" s="80">
        <f>IF(AND(BE1048=1,D1048="proMX"),ROUND(BI1048*CFG_RATE+BJ1048*CFG_OTRATE,6),0)</f>
        <v>0</v>
      </c>
      <c r="BU1048" s="80">
        <f>IF(AND(BD1048=1,D1048="proMX"),ROUND(AG1048/CFG_BLK,6),0)</f>
        <v>0</v>
      </c>
      <c r="BV1048" s="80" t="str">
        <f>IF(BF1048="Approved",IF(ISNUMBER(T1048),INT(T1048),INT(B1048)),"")</f>
        <v/>
      </c>
      <c r="BW1048" s="80">
        <f>IF(ISNUMBER(B1048),IF(DB_MON="Todos",1,IF(AND(INT(B1048)&gt;=DB_MS,INT(B1048)&lt;=DB_ME),1,0)),0)</f>
        <v>0</v>
      </c>
      <c r="BX1048" s="80">
        <f>IF(DB_PROJ="Todos",1,IF(E1048&amp;""=DB_PROJ&amp;"",1,0))</f>
        <v>1</v>
      </c>
      <c r="BY1048" s="80">
        <f>BW1048*BX1048</f>
        <v>0</v>
      </c>
      <c r="BZ1048" s="80" t="str">
        <f>IF(Y1048=1,F1048&amp;IF(AND(F1048&amp;""&lt;&gt;"",E1048&amp;""&lt;&gt;"")," · ","")&amp;E1048,"")</f>
        <v/>
      </c>
      <c r="CA1048" s="80" t="str">
        <f>IF(AND(BD1048=1,E1048&amp;""&lt;&gt;""),IF(COUNTIFS($E$5:E1047,E1048,$BD$5:BD1047,1)=0,MAX($CA$5:CA1047)+1,""),"")</f>
        <v/>
      </c>
      <c r="CB1048" s="80" t="str">
        <f>IF(AND(BE1048=1,D1048="Malcolm",E1048&amp;""&lt;&gt;""),IF(COUNTIFS($D$5:D1047,"Malcolm",$E$5:E1047,E1048,$BE$5:BE1047,1)=0,MAX($CB$5:CB1047)+1,""),"")</f>
        <v/>
      </c>
      <c r="CC1048" s="80" t="str">
        <f>IF(AND(BD1048=1,D1048="proMX",E1048&amp;""&lt;&gt;""),IF(COUNTIFS($D$5:D1047,"proMX",$E$5:E1047,E1048,$BD$5:BD1047,1)=0,MAX($CC$5:CC1047)+1,""),"")</f>
        <v/>
      </c>
      <c r="CD1048" s="80" t="str">
        <f>IF(AND(BE1048=1,D1048="Malcolm",F1048&amp;""&lt;&gt;""),IF(COUNTIFS($D$5:D1047,"Malcolm",$F$5:F1047,F1048,$BE$5:BE1047,1)=0,MAX($CD$5:CD1047)+1,""),"")</f>
        <v/>
      </c>
      <c r="CE1048" s="80" t="str">
        <f>IF(AND(BD1048=1,D1048="proMX",F1048&amp;""&lt;&gt;""),IF(COUNTIFS($D$5:D1047,"proMX",$F$5:F1047,F1048,$BD$5:BD1047,1)=0,MAX($CE$5:CE1047)+1,""),"")</f>
        <v/>
      </c>
      <c r="CF1048" s="80" t="str">
        <f>IF(AND(D1048="proMX",BD1048=1),IF(OR(BF1048="Draft",BF1048="Submitted",BF1048="Returned",BF1048="Recall Requested"),MAX($CF$5:CF1047)+1,""),"")</f>
        <v/>
      </c>
      <c r="CG1048" s="80">
        <f>IF(BD1048=0,0,IF(D1048="Malcolm",1,MATCH(BF1048,{"Draft","Submitted","Approved","Returned","Recall Requested","Cancelled"},0)+1))</f>
        <v>0</v>
      </c>
      <c r="CH1048" s="80">
        <f>IF(AND(BF1048="Submitted",ISNUMBER(V1048)),IF(V1048&gt;CFG_MAXD,1,0),0)</f>
        <v>0</v>
      </c>
    </row>
    <row r="1049">
      <c r="A1049" s="71" t="str">
        <f>IF(Y1049=1,ROW()-5,"")</f>
        <v/>
      </c>
      <c r="B1049" s="72" t="n"/>
      <c r="C1049" s="71" t="str">
        <f>IF(ISNUMBER(B1049),CHOOSE(WEEKDAY(B1049,2),"Lun","Mar","Mié","Jue","Vie","Sáb","Dom"),"")</f>
        <v/>
      </c>
      <c r="D1049" s="73" t="n"/>
      <c r="E1049" s="74" t="n"/>
      <c r="F1049" s="74" t="n"/>
      <c r="G1049" s="74" t="n"/>
      <c r="H1049" s="75" t="n"/>
      <c r="I1049" s="75" t="n"/>
      <c r="J1049" s="76" t="n"/>
      <c r="K1049" s="77" t="str">
        <f>IF(AB1049=1,ROUND(AG1049/60,4),"")</f>
        <v/>
      </c>
      <c r="L1049" s="77" t="str">
        <f>IF(BD1049=1,ROUND(AP1049/60,4),"")</f>
        <v/>
      </c>
      <c r="M1049" s="77" t="str">
        <f>IF(BD1049=1,ROUND(AQ1049/60,4),"")</f>
        <v/>
      </c>
      <c r="N1049" s="71" t="str">
        <f>IF(AND(D1049="proMX",AB1049=1),ROUND(AG1049/CFG_BLK,2),"")</f>
        <v/>
      </c>
      <c r="O1049" s="77" t="str">
        <f>IF(D1049="proMX",IF(BD1049=1,ROUND(AG1049/60,4),0),"")</f>
        <v/>
      </c>
      <c r="P1049" s="78" t="str">
        <f>IF(Y1049=0,"",IF(BD1049=1,"OK",IF(D1049="proMX","Revisar bloques: ","Revisar: ")&amp;BC1049))</f>
        <v/>
      </c>
      <c r="Q1049" s="78" t="str">
        <f>IF(NOT(ISNUMBER(B1049)),"",IF(COUNTIFS(FER_F,INT(B1049))&gt;0,"Feriado"&amp;IF(AH1049=1," (laborable)"," (no laborable)"),IF(AH1049=1,"Laborable",IF(WEEKDAY(B1049,2)&gt;5,"Fin de semana","No laborable"))))</f>
        <v/>
      </c>
      <c r="R1049" s="73" t="n"/>
      <c r="S1049" s="72" t="n"/>
      <c r="T1049" s="72" t="n"/>
      <c r="U1049" s="74" t="n"/>
      <c r="V1049" s="79" t="str">
        <f>IF(AND(D1049="proMX",OR(R1049="Submitted",R1049="Recall Requested"),ISNUMBER(S1049)),CFG_TODAY-INT(S1049),"")</f>
        <v/>
      </c>
      <c r="W1049" s="78" t="str">
        <f>IF(BD1049=0,"",IF(BA1049&gt;0,"⚠ Se superpone con un registro de la otra empresa",IF(D1049="Malcolm",IF(COUNTA(R1049,S1049,T1049)&gt;0,"Estado/fechas proMX se ignoran en Malcolm",""),IF(BF1049="Cancelled","Cancelado: excluido de totales",IF(R1049="","Sin estado: se trata como Draft",IF(BF1049="Submitted",IF(ISNUMBER(V1049),IF(V1049&gt;CFG_MAXD,"⚠ "&amp;V1049&amp;" días en Submitted (máx. "&amp;CFG_MAXD&amp;")",""),"Falta fecha de envío"),IF(BF1049="Returned","⚠ Devuelto: corregir y reenviar",IF(BF1049="Recall Requested","Retirada solicitada: pendiente",IF(AND(BF1049="Approved",NOT(ISNUMBER(T1049))),"Falta fecha de aprobación",IF(AND(ISNUMBER(S1049),ISNUMBER(T1049),T1049&lt;S1049),"Aprobación anterior al envío","")))))))))</f>
        <v/>
      </c>
      <c r="Y1049" s="80">
        <f>IF(COUNTA(B1049,D1049,E1049,F1049,G1049,H1049,I1049,J1049,R1049,S1049,T1049)&gt;0,1,0)</f>
        <v>0</v>
      </c>
      <c r="Z1049" s="80" t="str">
        <f>IF(AND(ISNUMBER(H1049),H1049&gt;=0,H1049&lt;1),ROUND(H1049*1440,0),"")</f>
        <v/>
      </c>
      <c r="AA1049" s="80" t="str">
        <f>IF(AND(ISNUMBER(I1049),I1049&gt;=0,I1049&lt;1),ROUND(I1049*1440,0),"")</f>
        <v/>
      </c>
      <c r="AB1049" s="80">
        <f>IF(AND(ISNUMBER(B1049),D1049&lt;&gt;"",ISNUMBER(Z1049),ISNUMBER(AA1049)),IF(Z1049=AA1049,0,1),0)</f>
        <v>0</v>
      </c>
      <c r="AC1049" s="80">
        <f>IF(AB1049=1,IF(AA1049&lt;Z1049,1,0),0)</f>
        <v>0</v>
      </c>
      <c r="AD1049" s="80">
        <f>IF(AB1049=1,IF(AC1049=1,1440-Z1049+AA1049,AA1049-Z1049),0)</f>
        <v>0</v>
      </c>
      <c r="AE1049" s="80">
        <f>IF(J1049="",0,IF(ISNUMBER(J1049),J1049,-1))</f>
        <v>0</v>
      </c>
      <c r="AF1049" s="80">
        <f>MIN(MAX(0,AE1049),AD1049)</f>
        <v>0</v>
      </c>
      <c r="AG1049" s="80">
        <f>MAX(0,AD1049-MAX(0,AE1049))</f>
        <v>0</v>
      </c>
      <c r="AH1049" s="80">
        <f>IF(ISNUMBER(B1049),IF(AND(INDEX(CFG_WDAYS,WEEKDAY(INT(B1049),2))="Sí",IF(D1049="proMX",COUNTIFS(FER_F,INT(B1049),FER_NLP,"Sí"),COUNTIFS(FER_F,INT(B1049),FER_NLM,"Sí"))=0),1,0),0)</f>
        <v>0</v>
      </c>
      <c r="AI1049" s="80">
        <f>IF(AC1049=1,IF(AND(INDEX(CFG_WDAYS,WEEKDAY(INT(B1049)+1,2))="Sí",IF(D1049="proMX",COUNTIFS(FER_F,INT(B1049)+1,FER_NLP,"Sí"),COUNTIFS(FER_F,INT(B1049)+1,FER_NLM,"Sí"))=0),1,0),0)</f>
        <v>0</v>
      </c>
      <c r="AJ1049" s="80">
        <f>IF(AC1049=1,1440-Z1049,AD1049)</f>
        <v>0</v>
      </c>
      <c r="AK1049" s="80">
        <f>IF(AND(AB1049=1,AH1049=1),MAX(0,MIN(IF(AC1049=1,1440,AA1049),CFG_WEM)-MAX(Z1049,CFG_WSM)),0)</f>
        <v>0</v>
      </c>
      <c r="AL1049" s="80">
        <f>IF(AND(AC1049=1,AI1049=1),MAX(0,MIN(AA1049,CFG_WEM)-CFG_WSM),0)</f>
        <v>0</v>
      </c>
      <c r="AM1049" s="80">
        <f>AK1049+AL1049</f>
        <v>0</v>
      </c>
      <c r="AN1049" s="80">
        <f>IF(CFG_BRK="Proporcional",IF(AD1049=0,0,AF1049*AM1049/AD1049),IF(CFG_BRK="Extras primero",MIN(AM1049,MAX(0,AF1049-(AD1049-AM1049))),MIN(AF1049,AM1049)))</f>
        <v>0</v>
      </c>
      <c r="AO1049" s="80">
        <f>AF1049-AN1049</f>
        <v>0</v>
      </c>
      <c r="AP1049" s="80">
        <f>AM1049-AN1049</f>
        <v>0</v>
      </c>
      <c r="AQ1049" s="80">
        <f>AD1049-AM1049-AO1049</f>
        <v>0</v>
      </c>
      <c r="AR1049" s="80">
        <f>IF(AM1049=0,0,AK1049-AN1049*AK1049/AM1049)</f>
        <v>0</v>
      </c>
      <c r="AS1049" s="80">
        <f>IF(AD1049-AM1049=0,0,(AJ1049-AK1049)-AO1049*(AJ1049-AK1049)/(AD1049-AM1049))</f>
        <v>0</v>
      </c>
      <c r="AT1049" s="80" t="str">
        <f>IF(AC1049=1,INT(B1049)+1,"")</f>
        <v/>
      </c>
      <c r="AU1049" s="80">
        <f>IF(AND(D1049="proMX",R1049="Cancelled"),0,1)</f>
        <v>1</v>
      </c>
      <c r="AV1049" s="80">
        <f>IF(AND(AB1049=1,AU1049=1),IF(COUNTIFS($D$5:D1048,D1049,$B$5:B1048,B1049,$Z$5:Z1048,Z1049,$AA$5:AA1048,AA1049,$F$5:F1048,F1049&amp;"",$AU$5:AU1048,1)&gt;0,1,0),0)</f>
        <v>0</v>
      </c>
      <c r="AW1049" s="80" t="str">
        <f>IF(AB1049=1,INT(B1049)*1440+Z1049,"")</f>
        <v/>
      </c>
      <c r="AX1049" s="80" t="str">
        <f>IF(AB1049=1,AW1049+AD1049,"")</f>
        <v/>
      </c>
      <c r="AY1049" s="80">
        <f>IF(AND(AB1049=1,AV1049=0,AU1049=1),1,0)</f>
        <v>0</v>
      </c>
      <c r="AZ1049" s="80">
        <f>IF(AY1049=1,COUNTIFS(R_Emp,D1049,R_SAbs,"&lt;"&amp;AX1049,R_EAbs,"&gt;"&amp;AW1049,R_OKey,1)-1,0)</f>
        <v>0</v>
      </c>
      <c r="BA1049" s="80">
        <f>IF(AY1049=1,COUNTIFS(R_Emp,"&lt;&gt;"&amp;D1049,R_SAbs,"&lt;"&amp;AX1049,R_EAbs,"&gt;"&amp;AW1049,R_OKey,1),0)</f>
        <v>0</v>
      </c>
      <c r="BB1049" s="80">
        <f>IF(AND(AB1049=1,D1049="proMX"),IF(AND(MOD(Z1049,CFG_BLK)=0,MOD(AA1049,CFG_BLK)=0,MOD(AG1049,CFG_BLK)=0,AG1049&gt;0),1,0),1)</f>
        <v>1</v>
      </c>
      <c r="BC1049" s="80" t="str">
        <f>IF(Y1049=0,"",IF(NOT(ISNUMBER(B1049)),"Falta fecha o fecha inválida",IF(D1049="","Falta empresa",IF(AND(D1049&lt;&gt;"Malcolm",D1049&lt;&gt;"proMX"),"Empresa inválida",IF(OR(INT(B1049)&lt;CFG_PSTART,INT(B1049)&gt;CFG_PEND),"Fecha fuera del período",IF(OR(NOT(ISNUMBER(Z1049)),NOT(ISNUMBER(AA1049))),"Falta hora inicio/fin o formato inválido",IF(AB1049=0,"Hora inicio = hora fin",IF(AE1049&lt;0,"Descanso inválido",IF(AE1049&gt;=AD1049,"Descanso ≥ duración",IF(AV1049=1,"Registro duplicado",IF(AZ1049&gt;0,"Se superpone con otro registro "&amp;D1049,IF(BB1049=0,"inicio, fin y duración neta deben ser múltiplos de "&amp;CFG_BLK&amp;" min",""))))))))))))</f>
        <v/>
      </c>
      <c r="BD1049" s="80">
        <f>IF(AND(Y1049=1,BC1049=""),1,0)</f>
        <v>0</v>
      </c>
      <c r="BE1049" s="80">
        <f>IF(AND(BD1049=1,AU1049=1),1,0)</f>
        <v>0</v>
      </c>
      <c r="BF1049" s="80" t="str">
        <f>IF(AND(D1049="proMX",BD1049=1),IF(R1049="","Draft",R1049),"")</f>
        <v/>
      </c>
      <c r="BG1049" s="80">
        <f>IF(BD1049=1,ROUND(AG1049/60,6),0)</f>
        <v>0</v>
      </c>
      <c r="BH1049" s="80">
        <f>IF(BE1049=1,ROUND(AG1049/60,6),0)</f>
        <v>0</v>
      </c>
      <c r="BI1049" s="80">
        <f>IF(BE1049=1,ROUND(AP1049/60,6),0)</f>
        <v>0</v>
      </c>
      <c r="BJ1049" s="80">
        <f>IF(BE1049=1,ROUND(AQ1049/60,6),0)</f>
        <v>0</v>
      </c>
      <c r="BK1049" s="80">
        <f>IF(BE1049=1,ROUND((AR1049+AS1049)/60,6),0)</f>
        <v>0</v>
      </c>
      <c r="BL1049" s="80">
        <f>ROUND(BH1049-BK1049,6)</f>
        <v>0</v>
      </c>
      <c r="BM1049" s="80">
        <f>IF(BE1049=1,ROUND(AR1049/60,6),0)</f>
        <v>0</v>
      </c>
      <c r="BN1049" s="80">
        <f>ROUND(BI1049-BM1049,6)</f>
        <v>0</v>
      </c>
      <c r="BO1049" s="80">
        <f>IF(BE1049=1,ROUND(AS1049/60,6),0)</f>
        <v>0</v>
      </c>
      <c r="BP1049" s="80">
        <f>ROUND(BJ1049-BO1049,6)</f>
        <v>0</v>
      </c>
      <c r="BQ1049" s="80">
        <f>IF(BE1049=1,AW1049,0)</f>
        <v>0</v>
      </c>
      <c r="BR1049" s="80">
        <f>IF(BE1049=1,AX1049,0)</f>
        <v>0</v>
      </c>
      <c r="BS1049" s="80">
        <f>IF(AND(BE1049=1,D1049="Malcolm",BA1049&gt;0),MIN(BH1049,SUMPRODUCT((R_Emp="proMX")*(R_EN&gt;0)*((R_EN-(R_EN&gt;BR1049)*(R_EN-BR1049))&gt;(R_SN+(R_SN&lt;BQ1049)*(BQ1049-R_SN)))*((R_EN-(R_EN&gt;BR1049)*(R_EN-BR1049))-(R_SN+(R_SN&lt;BQ1049)*(BQ1049-R_SN))))/60),0)</f>
        <v>0</v>
      </c>
      <c r="BT1049" s="80">
        <f>IF(AND(BE1049=1,D1049="proMX"),ROUND(BI1049*CFG_RATE+BJ1049*CFG_OTRATE,6),0)</f>
        <v>0</v>
      </c>
      <c r="BU1049" s="80">
        <f>IF(AND(BD1049=1,D1049="proMX"),ROUND(AG1049/CFG_BLK,6),0)</f>
        <v>0</v>
      </c>
      <c r="BV1049" s="80" t="str">
        <f>IF(BF1049="Approved",IF(ISNUMBER(T1049),INT(T1049),INT(B1049)),"")</f>
        <v/>
      </c>
      <c r="BW1049" s="80">
        <f>IF(ISNUMBER(B1049),IF(DB_MON="Todos",1,IF(AND(INT(B1049)&gt;=DB_MS,INT(B1049)&lt;=DB_ME),1,0)),0)</f>
        <v>0</v>
      </c>
      <c r="BX1049" s="80">
        <f>IF(DB_PROJ="Todos",1,IF(E1049&amp;""=DB_PROJ&amp;"",1,0))</f>
        <v>1</v>
      </c>
      <c r="BY1049" s="80">
        <f>BW1049*BX1049</f>
        <v>0</v>
      </c>
      <c r="BZ1049" s="80" t="str">
        <f>IF(Y1049=1,F1049&amp;IF(AND(F1049&amp;""&lt;&gt;"",E1049&amp;""&lt;&gt;"")," · ","")&amp;E1049,"")</f>
        <v/>
      </c>
      <c r="CA1049" s="80" t="str">
        <f>IF(AND(BD1049=1,E1049&amp;""&lt;&gt;""),IF(COUNTIFS($E$5:E1048,E1049,$BD$5:BD1048,1)=0,MAX($CA$5:CA1048)+1,""),"")</f>
        <v/>
      </c>
      <c r="CB1049" s="80" t="str">
        <f>IF(AND(BE1049=1,D1049="Malcolm",E1049&amp;""&lt;&gt;""),IF(COUNTIFS($D$5:D1048,"Malcolm",$E$5:E1048,E1049,$BE$5:BE1048,1)=0,MAX($CB$5:CB1048)+1,""),"")</f>
        <v/>
      </c>
      <c r="CC1049" s="80" t="str">
        <f>IF(AND(BD1049=1,D1049="proMX",E1049&amp;""&lt;&gt;""),IF(COUNTIFS($D$5:D1048,"proMX",$E$5:E1048,E1049,$BD$5:BD1048,1)=0,MAX($CC$5:CC1048)+1,""),"")</f>
        <v/>
      </c>
      <c r="CD1049" s="80" t="str">
        <f>IF(AND(BE1049=1,D1049="Malcolm",F1049&amp;""&lt;&gt;""),IF(COUNTIFS($D$5:D1048,"Malcolm",$F$5:F1048,F1049,$BE$5:BE1048,1)=0,MAX($CD$5:CD1048)+1,""),"")</f>
        <v/>
      </c>
      <c r="CE1049" s="80" t="str">
        <f>IF(AND(BD1049=1,D1049="proMX",F1049&amp;""&lt;&gt;""),IF(COUNTIFS($D$5:D1048,"proMX",$F$5:F1048,F1049,$BD$5:BD1048,1)=0,MAX($CE$5:CE1048)+1,""),"")</f>
        <v/>
      </c>
      <c r="CF1049" s="80" t="str">
        <f>IF(AND(D1049="proMX",BD1049=1),IF(OR(BF1049="Draft",BF1049="Submitted",BF1049="Returned",BF1049="Recall Requested"),MAX($CF$5:CF1048)+1,""),"")</f>
        <v/>
      </c>
      <c r="CG1049" s="80">
        <f>IF(BD1049=0,0,IF(D1049="Malcolm",1,MATCH(BF1049,{"Draft","Submitted","Approved","Returned","Recall Requested","Cancelled"},0)+1))</f>
        <v>0</v>
      </c>
      <c r="CH1049" s="80">
        <f>IF(AND(BF1049="Submitted",ISNUMBER(V1049)),IF(V1049&gt;CFG_MAXD,1,0),0)</f>
        <v>0</v>
      </c>
    </row>
    <row r="1050">
      <c r="A1050" s="71" t="str">
        <f>IF(Y1050=1,ROW()-5,"")</f>
        <v/>
      </c>
      <c r="B1050" s="72" t="n"/>
      <c r="C1050" s="71" t="str">
        <f>IF(ISNUMBER(B1050),CHOOSE(WEEKDAY(B1050,2),"Lun","Mar","Mié","Jue","Vie","Sáb","Dom"),"")</f>
        <v/>
      </c>
      <c r="D1050" s="73" t="n"/>
      <c r="E1050" s="74" t="n"/>
      <c r="F1050" s="74" t="n"/>
      <c r="G1050" s="74" t="n"/>
      <c r="H1050" s="75" t="n"/>
      <c r="I1050" s="75" t="n"/>
      <c r="J1050" s="76" t="n"/>
      <c r="K1050" s="77" t="str">
        <f>IF(AB1050=1,ROUND(AG1050/60,4),"")</f>
        <v/>
      </c>
      <c r="L1050" s="77" t="str">
        <f>IF(BD1050=1,ROUND(AP1050/60,4),"")</f>
        <v/>
      </c>
      <c r="M1050" s="77" t="str">
        <f>IF(BD1050=1,ROUND(AQ1050/60,4),"")</f>
        <v/>
      </c>
      <c r="N1050" s="71" t="str">
        <f>IF(AND(D1050="proMX",AB1050=1),ROUND(AG1050/CFG_BLK,2),"")</f>
        <v/>
      </c>
      <c r="O1050" s="77" t="str">
        <f>IF(D1050="proMX",IF(BD1050=1,ROUND(AG1050/60,4),0),"")</f>
        <v/>
      </c>
      <c r="P1050" s="78" t="str">
        <f>IF(Y1050=0,"",IF(BD1050=1,"OK",IF(D1050="proMX","Revisar bloques: ","Revisar: ")&amp;BC1050))</f>
        <v/>
      </c>
      <c r="Q1050" s="78" t="str">
        <f>IF(NOT(ISNUMBER(B1050)),"",IF(COUNTIFS(FER_F,INT(B1050))&gt;0,"Feriado"&amp;IF(AH1050=1," (laborable)"," (no laborable)"),IF(AH1050=1,"Laborable",IF(WEEKDAY(B1050,2)&gt;5,"Fin de semana","No laborable"))))</f>
        <v/>
      </c>
      <c r="R1050" s="73" t="n"/>
      <c r="S1050" s="72" t="n"/>
      <c r="T1050" s="72" t="n"/>
      <c r="U1050" s="74" t="n"/>
      <c r="V1050" s="79" t="str">
        <f>IF(AND(D1050="proMX",OR(R1050="Submitted",R1050="Recall Requested"),ISNUMBER(S1050)),CFG_TODAY-INT(S1050),"")</f>
        <v/>
      </c>
      <c r="W1050" s="78" t="str">
        <f>IF(BD1050=0,"",IF(BA1050&gt;0,"⚠ Se superpone con un registro de la otra empresa",IF(D1050="Malcolm",IF(COUNTA(R1050,S1050,T1050)&gt;0,"Estado/fechas proMX se ignoran en Malcolm",""),IF(BF1050="Cancelled","Cancelado: excluido de totales",IF(R1050="","Sin estado: se trata como Draft",IF(BF1050="Submitted",IF(ISNUMBER(V1050),IF(V1050&gt;CFG_MAXD,"⚠ "&amp;V1050&amp;" días en Submitted (máx. "&amp;CFG_MAXD&amp;")",""),"Falta fecha de envío"),IF(BF1050="Returned","⚠ Devuelto: corregir y reenviar",IF(BF1050="Recall Requested","Retirada solicitada: pendiente",IF(AND(BF1050="Approved",NOT(ISNUMBER(T1050))),"Falta fecha de aprobación",IF(AND(ISNUMBER(S1050),ISNUMBER(T1050),T1050&lt;S1050),"Aprobación anterior al envío","")))))))))</f>
        <v/>
      </c>
      <c r="Y1050" s="80">
        <f>IF(COUNTA(B1050,D1050,E1050,F1050,G1050,H1050,I1050,J1050,R1050,S1050,T1050)&gt;0,1,0)</f>
        <v>0</v>
      </c>
      <c r="Z1050" s="80" t="str">
        <f>IF(AND(ISNUMBER(H1050),H1050&gt;=0,H1050&lt;1),ROUND(H1050*1440,0),"")</f>
        <v/>
      </c>
      <c r="AA1050" s="80" t="str">
        <f>IF(AND(ISNUMBER(I1050),I1050&gt;=0,I1050&lt;1),ROUND(I1050*1440,0),"")</f>
        <v/>
      </c>
      <c r="AB1050" s="80">
        <f>IF(AND(ISNUMBER(B1050),D1050&lt;&gt;"",ISNUMBER(Z1050),ISNUMBER(AA1050)),IF(Z1050=AA1050,0,1),0)</f>
        <v>0</v>
      </c>
      <c r="AC1050" s="80">
        <f>IF(AB1050=1,IF(AA1050&lt;Z1050,1,0),0)</f>
        <v>0</v>
      </c>
      <c r="AD1050" s="80">
        <f>IF(AB1050=1,IF(AC1050=1,1440-Z1050+AA1050,AA1050-Z1050),0)</f>
        <v>0</v>
      </c>
      <c r="AE1050" s="80">
        <f>IF(J1050="",0,IF(ISNUMBER(J1050),J1050,-1))</f>
        <v>0</v>
      </c>
      <c r="AF1050" s="80">
        <f>MIN(MAX(0,AE1050),AD1050)</f>
        <v>0</v>
      </c>
      <c r="AG1050" s="80">
        <f>MAX(0,AD1050-MAX(0,AE1050))</f>
        <v>0</v>
      </c>
      <c r="AH1050" s="80">
        <f>IF(ISNUMBER(B1050),IF(AND(INDEX(CFG_WDAYS,WEEKDAY(INT(B1050),2))="Sí",IF(D1050="proMX",COUNTIFS(FER_F,INT(B1050),FER_NLP,"Sí"),COUNTIFS(FER_F,INT(B1050),FER_NLM,"Sí"))=0),1,0),0)</f>
        <v>0</v>
      </c>
      <c r="AI1050" s="80">
        <f>IF(AC1050=1,IF(AND(INDEX(CFG_WDAYS,WEEKDAY(INT(B1050)+1,2))="Sí",IF(D1050="proMX",COUNTIFS(FER_F,INT(B1050)+1,FER_NLP,"Sí"),COUNTIFS(FER_F,INT(B1050)+1,FER_NLM,"Sí"))=0),1,0),0)</f>
        <v>0</v>
      </c>
      <c r="AJ1050" s="80">
        <f>IF(AC1050=1,1440-Z1050,AD1050)</f>
        <v>0</v>
      </c>
      <c r="AK1050" s="80">
        <f>IF(AND(AB1050=1,AH1050=1),MAX(0,MIN(IF(AC1050=1,1440,AA1050),CFG_WEM)-MAX(Z1050,CFG_WSM)),0)</f>
        <v>0</v>
      </c>
      <c r="AL1050" s="80">
        <f>IF(AND(AC1050=1,AI1050=1),MAX(0,MIN(AA1050,CFG_WEM)-CFG_WSM),0)</f>
        <v>0</v>
      </c>
      <c r="AM1050" s="80">
        <f>AK1050+AL1050</f>
        <v>0</v>
      </c>
      <c r="AN1050" s="80">
        <f>IF(CFG_BRK="Proporcional",IF(AD1050=0,0,AF1050*AM1050/AD1050),IF(CFG_BRK="Extras primero",MIN(AM1050,MAX(0,AF1050-(AD1050-AM1050))),MIN(AF1050,AM1050)))</f>
        <v>0</v>
      </c>
      <c r="AO1050" s="80">
        <f>AF1050-AN1050</f>
        <v>0</v>
      </c>
      <c r="AP1050" s="80">
        <f>AM1050-AN1050</f>
        <v>0</v>
      </c>
      <c r="AQ1050" s="80">
        <f>AD1050-AM1050-AO1050</f>
        <v>0</v>
      </c>
      <c r="AR1050" s="80">
        <f>IF(AM1050=0,0,AK1050-AN1050*AK1050/AM1050)</f>
        <v>0</v>
      </c>
      <c r="AS1050" s="80">
        <f>IF(AD1050-AM1050=0,0,(AJ1050-AK1050)-AO1050*(AJ1050-AK1050)/(AD1050-AM1050))</f>
        <v>0</v>
      </c>
      <c r="AT1050" s="80" t="str">
        <f>IF(AC1050=1,INT(B1050)+1,"")</f>
        <v/>
      </c>
      <c r="AU1050" s="80">
        <f>IF(AND(D1050="proMX",R1050="Cancelled"),0,1)</f>
        <v>1</v>
      </c>
      <c r="AV1050" s="80">
        <f>IF(AND(AB1050=1,AU1050=1),IF(COUNTIFS($D$5:D1049,D1050,$B$5:B1049,B1050,$Z$5:Z1049,Z1050,$AA$5:AA1049,AA1050,$F$5:F1049,F1050&amp;"",$AU$5:AU1049,1)&gt;0,1,0),0)</f>
        <v>0</v>
      </c>
      <c r="AW1050" s="80" t="str">
        <f>IF(AB1050=1,INT(B1050)*1440+Z1050,"")</f>
        <v/>
      </c>
      <c r="AX1050" s="80" t="str">
        <f>IF(AB1050=1,AW1050+AD1050,"")</f>
        <v/>
      </c>
      <c r="AY1050" s="80">
        <f>IF(AND(AB1050=1,AV1050=0,AU1050=1),1,0)</f>
        <v>0</v>
      </c>
      <c r="AZ1050" s="80">
        <f>IF(AY1050=1,COUNTIFS(R_Emp,D1050,R_SAbs,"&lt;"&amp;AX1050,R_EAbs,"&gt;"&amp;AW1050,R_OKey,1)-1,0)</f>
        <v>0</v>
      </c>
      <c r="BA1050" s="80">
        <f>IF(AY1050=1,COUNTIFS(R_Emp,"&lt;&gt;"&amp;D1050,R_SAbs,"&lt;"&amp;AX1050,R_EAbs,"&gt;"&amp;AW1050,R_OKey,1),0)</f>
        <v>0</v>
      </c>
      <c r="BB1050" s="80">
        <f>IF(AND(AB1050=1,D1050="proMX"),IF(AND(MOD(Z1050,CFG_BLK)=0,MOD(AA1050,CFG_BLK)=0,MOD(AG1050,CFG_BLK)=0,AG1050&gt;0),1,0),1)</f>
        <v>1</v>
      </c>
      <c r="BC1050" s="80" t="str">
        <f>IF(Y1050=0,"",IF(NOT(ISNUMBER(B1050)),"Falta fecha o fecha inválida",IF(D1050="","Falta empresa",IF(AND(D1050&lt;&gt;"Malcolm",D1050&lt;&gt;"proMX"),"Empresa inválida",IF(OR(INT(B1050)&lt;CFG_PSTART,INT(B1050)&gt;CFG_PEND),"Fecha fuera del período",IF(OR(NOT(ISNUMBER(Z1050)),NOT(ISNUMBER(AA1050))),"Falta hora inicio/fin o formato inválido",IF(AB1050=0,"Hora inicio = hora fin",IF(AE1050&lt;0,"Descanso inválido",IF(AE1050&gt;=AD1050,"Descanso ≥ duración",IF(AV1050=1,"Registro duplicado",IF(AZ1050&gt;0,"Se superpone con otro registro "&amp;D1050,IF(BB1050=0,"inicio, fin y duración neta deben ser múltiplos de "&amp;CFG_BLK&amp;" min",""))))))))))))</f>
        <v/>
      </c>
      <c r="BD1050" s="80">
        <f>IF(AND(Y1050=1,BC1050=""),1,0)</f>
        <v>0</v>
      </c>
      <c r="BE1050" s="80">
        <f>IF(AND(BD1050=1,AU1050=1),1,0)</f>
        <v>0</v>
      </c>
      <c r="BF1050" s="80" t="str">
        <f>IF(AND(D1050="proMX",BD1050=1),IF(R1050="","Draft",R1050),"")</f>
        <v/>
      </c>
      <c r="BG1050" s="80">
        <f>IF(BD1050=1,ROUND(AG1050/60,6),0)</f>
        <v>0</v>
      </c>
      <c r="BH1050" s="80">
        <f>IF(BE1050=1,ROUND(AG1050/60,6),0)</f>
        <v>0</v>
      </c>
      <c r="BI1050" s="80">
        <f>IF(BE1050=1,ROUND(AP1050/60,6),0)</f>
        <v>0</v>
      </c>
      <c r="BJ1050" s="80">
        <f>IF(BE1050=1,ROUND(AQ1050/60,6),0)</f>
        <v>0</v>
      </c>
      <c r="BK1050" s="80">
        <f>IF(BE1050=1,ROUND((AR1050+AS1050)/60,6),0)</f>
        <v>0</v>
      </c>
      <c r="BL1050" s="80">
        <f>ROUND(BH1050-BK1050,6)</f>
        <v>0</v>
      </c>
      <c r="BM1050" s="80">
        <f>IF(BE1050=1,ROUND(AR1050/60,6),0)</f>
        <v>0</v>
      </c>
      <c r="BN1050" s="80">
        <f>ROUND(BI1050-BM1050,6)</f>
        <v>0</v>
      </c>
      <c r="BO1050" s="80">
        <f>IF(BE1050=1,ROUND(AS1050/60,6),0)</f>
        <v>0</v>
      </c>
      <c r="BP1050" s="80">
        <f>ROUND(BJ1050-BO1050,6)</f>
        <v>0</v>
      </c>
      <c r="BQ1050" s="80">
        <f>IF(BE1050=1,AW1050,0)</f>
        <v>0</v>
      </c>
      <c r="BR1050" s="80">
        <f>IF(BE1050=1,AX1050,0)</f>
        <v>0</v>
      </c>
      <c r="BS1050" s="80">
        <f>IF(AND(BE1050=1,D1050="Malcolm",BA1050&gt;0),MIN(BH1050,SUMPRODUCT((R_Emp="proMX")*(R_EN&gt;0)*((R_EN-(R_EN&gt;BR1050)*(R_EN-BR1050))&gt;(R_SN+(R_SN&lt;BQ1050)*(BQ1050-R_SN)))*((R_EN-(R_EN&gt;BR1050)*(R_EN-BR1050))-(R_SN+(R_SN&lt;BQ1050)*(BQ1050-R_SN))))/60),0)</f>
        <v>0</v>
      </c>
      <c r="BT1050" s="80">
        <f>IF(AND(BE1050=1,D1050="proMX"),ROUND(BI1050*CFG_RATE+BJ1050*CFG_OTRATE,6),0)</f>
        <v>0</v>
      </c>
      <c r="BU1050" s="80">
        <f>IF(AND(BD1050=1,D1050="proMX"),ROUND(AG1050/CFG_BLK,6),0)</f>
        <v>0</v>
      </c>
      <c r="BV1050" s="80" t="str">
        <f>IF(BF1050="Approved",IF(ISNUMBER(T1050),INT(T1050),INT(B1050)),"")</f>
        <v/>
      </c>
      <c r="BW1050" s="80">
        <f>IF(ISNUMBER(B1050),IF(DB_MON="Todos",1,IF(AND(INT(B1050)&gt;=DB_MS,INT(B1050)&lt;=DB_ME),1,0)),0)</f>
        <v>0</v>
      </c>
      <c r="BX1050" s="80">
        <f>IF(DB_PROJ="Todos",1,IF(E1050&amp;""=DB_PROJ&amp;"",1,0))</f>
        <v>1</v>
      </c>
      <c r="BY1050" s="80">
        <f>BW1050*BX1050</f>
        <v>0</v>
      </c>
      <c r="BZ1050" s="80" t="str">
        <f>IF(Y1050=1,F1050&amp;IF(AND(F1050&amp;""&lt;&gt;"",E1050&amp;""&lt;&gt;"")," · ","")&amp;E1050,"")</f>
        <v/>
      </c>
      <c r="CA1050" s="80" t="str">
        <f>IF(AND(BD1050=1,E1050&amp;""&lt;&gt;""),IF(COUNTIFS($E$5:E1049,E1050,$BD$5:BD1049,1)=0,MAX($CA$5:CA1049)+1,""),"")</f>
        <v/>
      </c>
      <c r="CB1050" s="80" t="str">
        <f>IF(AND(BE1050=1,D1050="Malcolm",E1050&amp;""&lt;&gt;""),IF(COUNTIFS($D$5:D1049,"Malcolm",$E$5:E1049,E1050,$BE$5:BE1049,1)=0,MAX($CB$5:CB1049)+1,""),"")</f>
        <v/>
      </c>
      <c r="CC1050" s="80" t="str">
        <f>IF(AND(BD1050=1,D1050="proMX",E1050&amp;""&lt;&gt;""),IF(COUNTIFS($D$5:D1049,"proMX",$E$5:E1049,E1050,$BD$5:BD1049,1)=0,MAX($CC$5:CC1049)+1,""),"")</f>
        <v/>
      </c>
      <c r="CD1050" s="80" t="str">
        <f>IF(AND(BE1050=1,D1050="Malcolm",F1050&amp;""&lt;&gt;""),IF(COUNTIFS($D$5:D1049,"Malcolm",$F$5:F1049,F1050,$BE$5:BE1049,1)=0,MAX($CD$5:CD1049)+1,""),"")</f>
        <v/>
      </c>
      <c r="CE1050" s="80" t="str">
        <f>IF(AND(BD1050=1,D1050="proMX",F1050&amp;""&lt;&gt;""),IF(COUNTIFS($D$5:D1049,"proMX",$F$5:F1049,F1050,$BD$5:BD1049,1)=0,MAX($CE$5:CE1049)+1,""),"")</f>
        <v/>
      </c>
      <c r="CF1050" s="80" t="str">
        <f>IF(AND(D1050="proMX",BD1050=1),IF(OR(BF1050="Draft",BF1050="Submitted",BF1050="Returned",BF1050="Recall Requested"),MAX($CF$5:CF1049)+1,""),"")</f>
        <v/>
      </c>
      <c r="CG1050" s="80">
        <f>IF(BD1050=0,0,IF(D1050="Malcolm",1,MATCH(BF1050,{"Draft","Submitted","Approved","Returned","Recall Requested","Cancelled"},0)+1))</f>
        <v>0</v>
      </c>
      <c r="CH1050" s="80">
        <f>IF(AND(BF1050="Submitted",ISNUMBER(V1050)),IF(V1050&gt;CFG_MAXD,1,0),0)</f>
        <v>0</v>
      </c>
    </row>
    <row r="1051">
      <c r="A1051" s="71" t="str">
        <f>IF(Y1051=1,ROW()-5,"")</f>
        <v/>
      </c>
      <c r="B1051" s="72" t="n"/>
      <c r="C1051" s="71" t="str">
        <f>IF(ISNUMBER(B1051),CHOOSE(WEEKDAY(B1051,2),"Lun","Mar","Mié","Jue","Vie","Sáb","Dom"),"")</f>
        <v/>
      </c>
      <c r="D1051" s="73" t="n"/>
      <c r="E1051" s="74" t="n"/>
      <c r="F1051" s="74" t="n"/>
      <c r="G1051" s="74" t="n"/>
      <c r="H1051" s="75" t="n"/>
      <c r="I1051" s="75" t="n"/>
      <c r="J1051" s="76" t="n"/>
      <c r="K1051" s="77" t="str">
        <f>IF(AB1051=1,ROUND(AG1051/60,4),"")</f>
        <v/>
      </c>
      <c r="L1051" s="77" t="str">
        <f>IF(BD1051=1,ROUND(AP1051/60,4),"")</f>
        <v/>
      </c>
      <c r="M1051" s="77" t="str">
        <f>IF(BD1051=1,ROUND(AQ1051/60,4),"")</f>
        <v/>
      </c>
      <c r="N1051" s="71" t="str">
        <f>IF(AND(D1051="proMX",AB1051=1),ROUND(AG1051/CFG_BLK,2),"")</f>
        <v/>
      </c>
      <c r="O1051" s="77" t="str">
        <f>IF(D1051="proMX",IF(BD1051=1,ROUND(AG1051/60,4),0),"")</f>
        <v/>
      </c>
      <c r="P1051" s="78" t="str">
        <f>IF(Y1051=0,"",IF(BD1051=1,"OK",IF(D1051="proMX","Revisar bloques: ","Revisar: ")&amp;BC1051))</f>
        <v/>
      </c>
      <c r="Q1051" s="78" t="str">
        <f>IF(NOT(ISNUMBER(B1051)),"",IF(COUNTIFS(FER_F,INT(B1051))&gt;0,"Feriado"&amp;IF(AH1051=1," (laborable)"," (no laborable)"),IF(AH1051=1,"Laborable",IF(WEEKDAY(B1051,2)&gt;5,"Fin de semana","No laborable"))))</f>
        <v/>
      </c>
      <c r="R1051" s="73" t="n"/>
      <c r="S1051" s="72" t="n"/>
      <c r="T1051" s="72" t="n"/>
      <c r="U1051" s="74" t="n"/>
      <c r="V1051" s="79" t="str">
        <f>IF(AND(D1051="proMX",OR(R1051="Submitted",R1051="Recall Requested"),ISNUMBER(S1051)),CFG_TODAY-INT(S1051),"")</f>
        <v/>
      </c>
      <c r="W1051" s="78" t="str">
        <f>IF(BD1051=0,"",IF(BA1051&gt;0,"⚠ Se superpone con un registro de la otra empresa",IF(D1051="Malcolm",IF(COUNTA(R1051,S1051,T1051)&gt;0,"Estado/fechas proMX se ignoran en Malcolm",""),IF(BF1051="Cancelled","Cancelado: excluido de totales",IF(R1051="","Sin estado: se trata como Draft",IF(BF1051="Submitted",IF(ISNUMBER(V1051),IF(V1051&gt;CFG_MAXD,"⚠ "&amp;V1051&amp;" días en Submitted (máx. "&amp;CFG_MAXD&amp;")",""),"Falta fecha de envío"),IF(BF1051="Returned","⚠ Devuelto: corregir y reenviar",IF(BF1051="Recall Requested","Retirada solicitada: pendiente",IF(AND(BF1051="Approved",NOT(ISNUMBER(T1051))),"Falta fecha de aprobación",IF(AND(ISNUMBER(S1051),ISNUMBER(T1051),T1051&lt;S1051),"Aprobación anterior al envío","")))))))))</f>
        <v/>
      </c>
      <c r="Y1051" s="80">
        <f>IF(COUNTA(B1051,D1051,E1051,F1051,G1051,H1051,I1051,J1051,R1051,S1051,T1051)&gt;0,1,0)</f>
        <v>0</v>
      </c>
      <c r="Z1051" s="80" t="str">
        <f>IF(AND(ISNUMBER(H1051),H1051&gt;=0,H1051&lt;1),ROUND(H1051*1440,0),"")</f>
        <v/>
      </c>
      <c r="AA1051" s="80" t="str">
        <f>IF(AND(ISNUMBER(I1051),I1051&gt;=0,I1051&lt;1),ROUND(I1051*1440,0),"")</f>
        <v/>
      </c>
      <c r="AB1051" s="80">
        <f>IF(AND(ISNUMBER(B1051),D1051&lt;&gt;"",ISNUMBER(Z1051),ISNUMBER(AA1051)),IF(Z1051=AA1051,0,1),0)</f>
        <v>0</v>
      </c>
      <c r="AC1051" s="80">
        <f>IF(AB1051=1,IF(AA1051&lt;Z1051,1,0),0)</f>
        <v>0</v>
      </c>
      <c r="AD1051" s="80">
        <f>IF(AB1051=1,IF(AC1051=1,1440-Z1051+AA1051,AA1051-Z1051),0)</f>
        <v>0</v>
      </c>
      <c r="AE1051" s="80">
        <f>IF(J1051="",0,IF(ISNUMBER(J1051),J1051,-1))</f>
        <v>0</v>
      </c>
      <c r="AF1051" s="80">
        <f>MIN(MAX(0,AE1051),AD1051)</f>
        <v>0</v>
      </c>
      <c r="AG1051" s="80">
        <f>MAX(0,AD1051-MAX(0,AE1051))</f>
        <v>0</v>
      </c>
      <c r="AH1051" s="80">
        <f>IF(ISNUMBER(B1051),IF(AND(INDEX(CFG_WDAYS,WEEKDAY(INT(B1051),2))="Sí",IF(D1051="proMX",COUNTIFS(FER_F,INT(B1051),FER_NLP,"Sí"),COUNTIFS(FER_F,INT(B1051),FER_NLM,"Sí"))=0),1,0),0)</f>
        <v>0</v>
      </c>
      <c r="AI1051" s="80">
        <f>IF(AC1051=1,IF(AND(INDEX(CFG_WDAYS,WEEKDAY(INT(B1051)+1,2))="Sí",IF(D1051="proMX",COUNTIFS(FER_F,INT(B1051)+1,FER_NLP,"Sí"),COUNTIFS(FER_F,INT(B1051)+1,FER_NLM,"Sí"))=0),1,0),0)</f>
        <v>0</v>
      </c>
      <c r="AJ1051" s="80">
        <f>IF(AC1051=1,1440-Z1051,AD1051)</f>
        <v>0</v>
      </c>
      <c r="AK1051" s="80">
        <f>IF(AND(AB1051=1,AH1051=1),MAX(0,MIN(IF(AC1051=1,1440,AA1051),CFG_WEM)-MAX(Z1051,CFG_WSM)),0)</f>
        <v>0</v>
      </c>
      <c r="AL1051" s="80">
        <f>IF(AND(AC1051=1,AI1051=1),MAX(0,MIN(AA1051,CFG_WEM)-CFG_WSM),0)</f>
        <v>0</v>
      </c>
      <c r="AM1051" s="80">
        <f>AK1051+AL1051</f>
        <v>0</v>
      </c>
      <c r="AN1051" s="80">
        <f>IF(CFG_BRK="Proporcional",IF(AD1051=0,0,AF1051*AM1051/AD1051),IF(CFG_BRK="Extras primero",MIN(AM1051,MAX(0,AF1051-(AD1051-AM1051))),MIN(AF1051,AM1051)))</f>
        <v>0</v>
      </c>
      <c r="AO1051" s="80">
        <f>AF1051-AN1051</f>
        <v>0</v>
      </c>
      <c r="AP1051" s="80">
        <f>AM1051-AN1051</f>
        <v>0</v>
      </c>
      <c r="AQ1051" s="80">
        <f>AD1051-AM1051-AO1051</f>
        <v>0</v>
      </c>
      <c r="AR1051" s="80">
        <f>IF(AM1051=0,0,AK1051-AN1051*AK1051/AM1051)</f>
        <v>0</v>
      </c>
      <c r="AS1051" s="80">
        <f>IF(AD1051-AM1051=0,0,(AJ1051-AK1051)-AO1051*(AJ1051-AK1051)/(AD1051-AM1051))</f>
        <v>0</v>
      </c>
      <c r="AT1051" s="80" t="str">
        <f>IF(AC1051=1,INT(B1051)+1,"")</f>
        <v/>
      </c>
      <c r="AU1051" s="80">
        <f>IF(AND(D1051="proMX",R1051="Cancelled"),0,1)</f>
        <v>1</v>
      </c>
      <c r="AV1051" s="80">
        <f>IF(AND(AB1051=1,AU1051=1),IF(COUNTIFS($D$5:D1050,D1051,$B$5:B1050,B1051,$Z$5:Z1050,Z1051,$AA$5:AA1050,AA1051,$F$5:F1050,F1051&amp;"",$AU$5:AU1050,1)&gt;0,1,0),0)</f>
        <v>0</v>
      </c>
      <c r="AW1051" s="80" t="str">
        <f>IF(AB1051=1,INT(B1051)*1440+Z1051,"")</f>
        <v/>
      </c>
      <c r="AX1051" s="80" t="str">
        <f>IF(AB1051=1,AW1051+AD1051,"")</f>
        <v/>
      </c>
      <c r="AY1051" s="80">
        <f>IF(AND(AB1051=1,AV1051=0,AU1051=1),1,0)</f>
        <v>0</v>
      </c>
      <c r="AZ1051" s="80">
        <f>IF(AY1051=1,COUNTIFS(R_Emp,D1051,R_SAbs,"&lt;"&amp;AX1051,R_EAbs,"&gt;"&amp;AW1051,R_OKey,1)-1,0)</f>
        <v>0</v>
      </c>
      <c r="BA1051" s="80">
        <f>IF(AY1051=1,COUNTIFS(R_Emp,"&lt;&gt;"&amp;D1051,R_SAbs,"&lt;"&amp;AX1051,R_EAbs,"&gt;"&amp;AW1051,R_OKey,1),0)</f>
        <v>0</v>
      </c>
      <c r="BB1051" s="80">
        <f>IF(AND(AB1051=1,D1051="proMX"),IF(AND(MOD(Z1051,CFG_BLK)=0,MOD(AA1051,CFG_BLK)=0,MOD(AG1051,CFG_BLK)=0,AG1051&gt;0),1,0),1)</f>
        <v>1</v>
      </c>
      <c r="BC1051" s="80" t="str">
        <f>IF(Y1051=0,"",IF(NOT(ISNUMBER(B1051)),"Falta fecha o fecha inválida",IF(D1051="","Falta empresa",IF(AND(D1051&lt;&gt;"Malcolm",D1051&lt;&gt;"proMX"),"Empresa inválida",IF(OR(INT(B1051)&lt;CFG_PSTART,INT(B1051)&gt;CFG_PEND),"Fecha fuera del período",IF(OR(NOT(ISNUMBER(Z1051)),NOT(ISNUMBER(AA1051))),"Falta hora inicio/fin o formato inválido",IF(AB1051=0,"Hora inicio = hora fin",IF(AE1051&lt;0,"Descanso inválido",IF(AE1051&gt;=AD1051,"Descanso ≥ duración",IF(AV1051=1,"Registro duplicado",IF(AZ1051&gt;0,"Se superpone con otro registro "&amp;D1051,IF(BB1051=0,"inicio, fin y duración neta deben ser múltiplos de "&amp;CFG_BLK&amp;" min",""))))))))))))</f>
        <v/>
      </c>
      <c r="BD1051" s="80">
        <f>IF(AND(Y1051=1,BC1051=""),1,0)</f>
        <v>0</v>
      </c>
      <c r="BE1051" s="80">
        <f>IF(AND(BD1051=1,AU1051=1),1,0)</f>
        <v>0</v>
      </c>
      <c r="BF1051" s="80" t="str">
        <f>IF(AND(D1051="proMX",BD1051=1),IF(R1051="","Draft",R1051),"")</f>
        <v/>
      </c>
      <c r="BG1051" s="80">
        <f>IF(BD1051=1,ROUND(AG1051/60,6),0)</f>
        <v>0</v>
      </c>
      <c r="BH1051" s="80">
        <f>IF(BE1051=1,ROUND(AG1051/60,6),0)</f>
        <v>0</v>
      </c>
      <c r="BI1051" s="80">
        <f>IF(BE1051=1,ROUND(AP1051/60,6),0)</f>
        <v>0</v>
      </c>
      <c r="BJ1051" s="80">
        <f>IF(BE1051=1,ROUND(AQ1051/60,6),0)</f>
        <v>0</v>
      </c>
      <c r="BK1051" s="80">
        <f>IF(BE1051=1,ROUND((AR1051+AS1051)/60,6),0)</f>
        <v>0</v>
      </c>
      <c r="BL1051" s="80">
        <f>ROUND(BH1051-BK1051,6)</f>
        <v>0</v>
      </c>
      <c r="BM1051" s="80">
        <f>IF(BE1051=1,ROUND(AR1051/60,6),0)</f>
        <v>0</v>
      </c>
      <c r="BN1051" s="80">
        <f>ROUND(BI1051-BM1051,6)</f>
        <v>0</v>
      </c>
      <c r="BO1051" s="80">
        <f>IF(BE1051=1,ROUND(AS1051/60,6),0)</f>
        <v>0</v>
      </c>
      <c r="BP1051" s="80">
        <f>ROUND(BJ1051-BO1051,6)</f>
        <v>0</v>
      </c>
      <c r="BQ1051" s="80">
        <f>IF(BE1051=1,AW1051,0)</f>
        <v>0</v>
      </c>
      <c r="BR1051" s="80">
        <f>IF(BE1051=1,AX1051,0)</f>
        <v>0</v>
      </c>
      <c r="BS1051" s="80">
        <f>IF(AND(BE1051=1,D1051="Malcolm",BA1051&gt;0),MIN(BH1051,SUMPRODUCT((R_Emp="proMX")*(R_EN&gt;0)*((R_EN-(R_EN&gt;BR1051)*(R_EN-BR1051))&gt;(R_SN+(R_SN&lt;BQ1051)*(BQ1051-R_SN)))*((R_EN-(R_EN&gt;BR1051)*(R_EN-BR1051))-(R_SN+(R_SN&lt;BQ1051)*(BQ1051-R_SN))))/60),0)</f>
        <v>0</v>
      </c>
      <c r="BT1051" s="80">
        <f>IF(AND(BE1051=1,D1051="proMX"),ROUND(BI1051*CFG_RATE+BJ1051*CFG_OTRATE,6),0)</f>
        <v>0</v>
      </c>
      <c r="BU1051" s="80">
        <f>IF(AND(BD1051=1,D1051="proMX"),ROUND(AG1051/CFG_BLK,6),0)</f>
        <v>0</v>
      </c>
      <c r="BV1051" s="80" t="str">
        <f>IF(BF1051="Approved",IF(ISNUMBER(T1051),INT(T1051),INT(B1051)),"")</f>
        <v/>
      </c>
      <c r="BW1051" s="80">
        <f>IF(ISNUMBER(B1051),IF(DB_MON="Todos",1,IF(AND(INT(B1051)&gt;=DB_MS,INT(B1051)&lt;=DB_ME),1,0)),0)</f>
        <v>0</v>
      </c>
      <c r="BX1051" s="80">
        <f>IF(DB_PROJ="Todos",1,IF(E1051&amp;""=DB_PROJ&amp;"",1,0))</f>
        <v>1</v>
      </c>
      <c r="BY1051" s="80">
        <f>BW1051*BX1051</f>
        <v>0</v>
      </c>
      <c r="BZ1051" s="80" t="str">
        <f>IF(Y1051=1,F1051&amp;IF(AND(F1051&amp;""&lt;&gt;"",E1051&amp;""&lt;&gt;"")," · ","")&amp;E1051,"")</f>
        <v/>
      </c>
      <c r="CA1051" s="80" t="str">
        <f>IF(AND(BD1051=1,E1051&amp;""&lt;&gt;""),IF(COUNTIFS($E$5:E1050,E1051,$BD$5:BD1050,1)=0,MAX($CA$5:CA1050)+1,""),"")</f>
        <v/>
      </c>
      <c r="CB1051" s="80" t="str">
        <f>IF(AND(BE1051=1,D1051="Malcolm",E1051&amp;""&lt;&gt;""),IF(COUNTIFS($D$5:D1050,"Malcolm",$E$5:E1050,E1051,$BE$5:BE1050,1)=0,MAX($CB$5:CB1050)+1,""),"")</f>
        <v/>
      </c>
      <c r="CC1051" s="80" t="str">
        <f>IF(AND(BD1051=1,D1051="proMX",E1051&amp;""&lt;&gt;""),IF(COUNTIFS($D$5:D1050,"proMX",$E$5:E1050,E1051,$BD$5:BD1050,1)=0,MAX($CC$5:CC1050)+1,""),"")</f>
        <v/>
      </c>
      <c r="CD1051" s="80" t="str">
        <f>IF(AND(BE1051=1,D1051="Malcolm",F1051&amp;""&lt;&gt;""),IF(COUNTIFS($D$5:D1050,"Malcolm",$F$5:F1050,F1051,$BE$5:BE1050,1)=0,MAX($CD$5:CD1050)+1,""),"")</f>
        <v/>
      </c>
      <c r="CE1051" s="80" t="str">
        <f>IF(AND(BD1051=1,D1051="proMX",F1051&amp;""&lt;&gt;""),IF(COUNTIFS($D$5:D1050,"proMX",$F$5:F1050,F1051,$BD$5:BD1050,1)=0,MAX($CE$5:CE1050)+1,""),"")</f>
        <v/>
      </c>
      <c r="CF1051" s="80" t="str">
        <f>IF(AND(D1051="proMX",BD1051=1),IF(OR(BF1051="Draft",BF1051="Submitted",BF1051="Returned",BF1051="Recall Requested"),MAX($CF$5:CF1050)+1,""),"")</f>
        <v/>
      </c>
      <c r="CG1051" s="80">
        <f>IF(BD1051=0,0,IF(D1051="Malcolm",1,MATCH(BF1051,{"Draft","Submitted","Approved","Returned","Recall Requested","Cancelled"},0)+1))</f>
        <v>0</v>
      </c>
      <c r="CH1051" s="80">
        <f>IF(AND(BF1051="Submitted",ISNUMBER(V1051)),IF(V1051&gt;CFG_MAXD,1,0),0)</f>
        <v>0</v>
      </c>
    </row>
    <row r="1052">
      <c r="A1052" s="71" t="str">
        <f>IF(Y1052=1,ROW()-5,"")</f>
        <v/>
      </c>
      <c r="B1052" s="72" t="n"/>
      <c r="C1052" s="71" t="str">
        <f>IF(ISNUMBER(B1052),CHOOSE(WEEKDAY(B1052,2),"Lun","Mar","Mié","Jue","Vie","Sáb","Dom"),"")</f>
        <v/>
      </c>
      <c r="D1052" s="73" t="n"/>
      <c r="E1052" s="74" t="n"/>
      <c r="F1052" s="74" t="n"/>
      <c r="G1052" s="74" t="n"/>
      <c r="H1052" s="75" t="n"/>
      <c r="I1052" s="75" t="n"/>
      <c r="J1052" s="76" t="n"/>
      <c r="K1052" s="77" t="str">
        <f>IF(AB1052=1,ROUND(AG1052/60,4),"")</f>
        <v/>
      </c>
      <c r="L1052" s="77" t="str">
        <f>IF(BD1052=1,ROUND(AP1052/60,4),"")</f>
        <v/>
      </c>
      <c r="M1052" s="77" t="str">
        <f>IF(BD1052=1,ROUND(AQ1052/60,4),"")</f>
        <v/>
      </c>
      <c r="N1052" s="71" t="str">
        <f>IF(AND(D1052="proMX",AB1052=1),ROUND(AG1052/CFG_BLK,2),"")</f>
        <v/>
      </c>
      <c r="O1052" s="77" t="str">
        <f>IF(D1052="proMX",IF(BD1052=1,ROUND(AG1052/60,4),0),"")</f>
        <v/>
      </c>
      <c r="P1052" s="78" t="str">
        <f>IF(Y1052=0,"",IF(BD1052=1,"OK",IF(D1052="proMX","Revisar bloques: ","Revisar: ")&amp;BC1052))</f>
        <v/>
      </c>
      <c r="Q1052" s="78" t="str">
        <f>IF(NOT(ISNUMBER(B1052)),"",IF(COUNTIFS(FER_F,INT(B1052))&gt;0,"Feriado"&amp;IF(AH1052=1," (laborable)"," (no laborable)"),IF(AH1052=1,"Laborable",IF(WEEKDAY(B1052,2)&gt;5,"Fin de semana","No laborable"))))</f>
        <v/>
      </c>
      <c r="R1052" s="73" t="n"/>
      <c r="S1052" s="72" t="n"/>
      <c r="T1052" s="72" t="n"/>
      <c r="U1052" s="74" t="n"/>
      <c r="V1052" s="79" t="str">
        <f>IF(AND(D1052="proMX",OR(R1052="Submitted",R1052="Recall Requested"),ISNUMBER(S1052)),CFG_TODAY-INT(S1052),"")</f>
        <v/>
      </c>
      <c r="W1052" s="78" t="str">
        <f>IF(BD1052=0,"",IF(BA1052&gt;0,"⚠ Se superpone con un registro de la otra empresa",IF(D1052="Malcolm",IF(COUNTA(R1052,S1052,T1052)&gt;0,"Estado/fechas proMX se ignoran en Malcolm",""),IF(BF1052="Cancelled","Cancelado: excluido de totales",IF(R1052="","Sin estado: se trata como Draft",IF(BF1052="Submitted",IF(ISNUMBER(V1052),IF(V1052&gt;CFG_MAXD,"⚠ "&amp;V1052&amp;" días en Submitted (máx. "&amp;CFG_MAXD&amp;")",""),"Falta fecha de envío"),IF(BF1052="Returned","⚠ Devuelto: corregir y reenviar",IF(BF1052="Recall Requested","Retirada solicitada: pendiente",IF(AND(BF1052="Approved",NOT(ISNUMBER(T1052))),"Falta fecha de aprobación",IF(AND(ISNUMBER(S1052),ISNUMBER(T1052),T1052&lt;S1052),"Aprobación anterior al envío","")))))))))</f>
        <v/>
      </c>
      <c r="Y1052" s="80">
        <f>IF(COUNTA(B1052,D1052,E1052,F1052,G1052,H1052,I1052,J1052,R1052,S1052,T1052)&gt;0,1,0)</f>
        <v>0</v>
      </c>
      <c r="Z1052" s="80" t="str">
        <f>IF(AND(ISNUMBER(H1052),H1052&gt;=0,H1052&lt;1),ROUND(H1052*1440,0),"")</f>
        <v/>
      </c>
      <c r="AA1052" s="80" t="str">
        <f>IF(AND(ISNUMBER(I1052),I1052&gt;=0,I1052&lt;1),ROUND(I1052*1440,0),"")</f>
        <v/>
      </c>
      <c r="AB1052" s="80">
        <f>IF(AND(ISNUMBER(B1052),D1052&lt;&gt;"",ISNUMBER(Z1052),ISNUMBER(AA1052)),IF(Z1052=AA1052,0,1),0)</f>
        <v>0</v>
      </c>
      <c r="AC1052" s="80">
        <f>IF(AB1052=1,IF(AA1052&lt;Z1052,1,0),0)</f>
        <v>0</v>
      </c>
      <c r="AD1052" s="80">
        <f>IF(AB1052=1,IF(AC1052=1,1440-Z1052+AA1052,AA1052-Z1052),0)</f>
        <v>0</v>
      </c>
      <c r="AE1052" s="80">
        <f>IF(J1052="",0,IF(ISNUMBER(J1052),J1052,-1))</f>
        <v>0</v>
      </c>
      <c r="AF1052" s="80">
        <f>MIN(MAX(0,AE1052),AD1052)</f>
        <v>0</v>
      </c>
      <c r="AG1052" s="80">
        <f>MAX(0,AD1052-MAX(0,AE1052))</f>
        <v>0</v>
      </c>
      <c r="AH1052" s="80">
        <f>IF(ISNUMBER(B1052),IF(AND(INDEX(CFG_WDAYS,WEEKDAY(INT(B1052),2))="Sí",IF(D1052="proMX",COUNTIFS(FER_F,INT(B1052),FER_NLP,"Sí"),COUNTIFS(FER_F,INT(B1052),FER_NLM,"Sí"))=0),1,0),0)</f>
        <v>0</v>
      </c>
      <c r="AI1052" s="80">
        <f>IF(AC1052=1,IF(AND(INDEX(CFG_WDAYS,WEEKDAY(INT(B1052)+1,2))="Sí",IF(D1052="proMX",COUNTIFS(FER_F,INT(B1052)+1,FER_NLP,"Sí"),COUNTIFS(FER_F,INT(B1052)+1,FER_NLM,"Sí"))=0),1,0),0)</f>
        <v>0</v>
      </c>
      <c r="AJ1052" s="80">
        <f>IF(AC1052=1,1440-Z1052,AD1052)</f>
        <v>0</v>
      </c>
      <c r="AK1052" s="80">
        <f>IF(AND(AB1052=1,AH1052=1),MAX(0,MIN(IF(AC1052=1,1440,AA1052),CFG_WEM)-MAX(Z1052,CFG_WSM)),0)</f>
        <v>0</v>
      </c>
      <c r="AL1052" s="80">
        <f>IF(AND(AC1052=1,AI1052=1),MAX(0,MIN(AA1052,CFG_WEM)-CFG_WSM),0)</f>
        <v>0</v>
      </c>
      <c r="AM1052" s="80">
        <f>AK1052+AL1052</f>
        <v>0</v>
      </c>
      <c r="AN1052" s="80">
        <f>IF(CFG_BRK="Proporcional",IF(AD1052=0,0,AF1052*AM1052/AD1052),IF(CFG_BRK="Extras primero",MIN(AM1052,MAX(0,AF1052-(AD1052-AM1052))),MIN(AF1052,AM1052)))</f>
        <v>0</v>
      </c>
      <c r="AO1052" s="80">
        <f>AF1052-AN1052</f>
        <v>0</v>
      </c>
      <c r="AP1052" s="80">
        <f>AM1052-AN1052</f>
        <v>0</v>
      </c>
      <c r="AQ1052" s="80">
        <f>AD1052-AM1052-AO1052</f>
        <v>0</v>
      </c>
      <c r="AR1052" s="80">
        <f>IF(AM1052=0,0,AK1052-AN1052*AK1052/AM1052)</f>
        <v>0</v>
      </c>
      <c r="AS1052" s="80">
        <f>IF(AD1052-AM1052=0,0,(AJ1052-AK1052)-AO1052*(AJ1052-AK1052)/(AD1052-AM1052))</f>
        <v>0</v>
      </c>
      <c r="AT1052" s="80" t="str">
        <f>IF(AC1052=1,INT(B1052)+1,"")</f>
        <v/>
      </c>
      <c r="AU1052" s="80">
        <f>IF(AND(D1052="proMX",R1052="Cancelled"),0,1)</f>
        <v>1</v>
      </c>
      <c r="AV1052" s="80">
        <f>IF(AND(AB1052=1,AU1052=1),IF(COUNTIFS($D$5:D1051,D1052,$B$5:B1051,B1052,$Z$5:Z1051,Z1052,$AA$5:AA1051,AA1052,$F$5:F1051,F1052&amp;"",$AU$5:AU1051,1)&gt;0,1,0),0)</f>
        <v>0</v>
      </c>
      <c r="AW1052" s="80" t="str">
        <f>IF(AB1052=1,INT(B1052)*1440+Z1052,"")</f>
        <v/>
      </c>
      <c r="AX1052" s="80" t="str">
        <f>IF(AB1052=1,AW1052+AD1052,"")</f>
        <v/>
      </c>
      <c r="AY1052" s="80">
        <f>IF(AND(AB1052=1,AV1052=0,AU1052=1),1,0)</f>
        <v>0</v>
      </c>
      <c r="AZ1052" s="80">
        <f>IF(AY1052=1,COUNTIFS(R_Emp,D1052,R_SAbs,"&lt;"&amp;AX1052,R_EAbs,"&gt;"&amp;AW1052,R_OKey,1)-1,0)</f>
        <v>0</v>
      </c>
      <c r="BA1052" s="80">
        <f>IF(AY1052=1,COUNTIFS(R_Emp,"&lt;&gt;"&amp;D1052,R_SAbs,"&lt;"&amp;AX1052,R_EAbs,"&gt;"&amp;AW1052,R_OKey,1),0)</f>
        <v>0</v>
      </c>
      <c r="BB1052" s="80">
        <f>IF(AND(AB1052=1,D1052="proMX"),IF(AND(MOD(Z1052,CFG_BLK)=0,MOD(AA1052,CFG_BLK)=0,MOD(AG1052,CFG_BLK)=0,AG1052&gt;0),1,0),1)</f>
        <v>1</v>
      </c>
      <c r="BC1052" s="80" t="str">
        <f>IF(Y1052=0,"",IF(NOT(ISNUMBER(B1052)),"Falta fecha o fecha inválida",IF(D1052="","Falta empresa",IF(AND(D1052&lt;&gt;"Malcolm",D1052&lt;&gt;"proMX"),"Empresa inválida",IF(OR(INT(B1052)&lt;CFG_PSTART,INT(B1052)&gt;CFG_PEND),"Fecha fuera del período",IF(OR(NOT(ISNUMBER(Z1052)),NOT(ISNUMBER(AA1052))),"Falta hora inicio/fin o formato inválido",IF(AB1052=0,"Hora inicio = hora fin",IF(AE1052&lt;0,"Descanso inválido",IF(AE1052&gt;=AD1052,"Descanso ≥ duración",IF(AV1052=1,"Registro duplicado",IF(AZ1052&gt;0,"Se superpone con otro registro "&amp;D1052,IF(BB1052=0,"inicio, fin y duración neta deben ser múltiplos de "&amp;CFG_BLK&amp;" min",""))))))))))))</f>
        <v/>
      </c>
      <c r="BD1052" s="80">
        <f>IF(AND(Y1052=1,BC1052=""),1,0)</f>
        <v>0</v>
      </c>
      <c r="BE1052" s="80">
        <f>IF(AND(BD1052=1,AU1052=1),1,0)</f>
        <v>0</v>
      </c>
      <c r="BF1052" s="80" t="str">
        <f>IF(AND(D1052="proMX",BD1052=1),IF(R1052="","Draft",R1052),"")</f>
        <v/>
      </c>
      <c r="BG1052" s="80">
        <f>IF(BD1052=1,ROUND(AG1052/60,6),0)</f>
        <v>0</v>
      </c>
      <c r="BH1052" s="80">
        <f>IF(BE1052=1,ROUND(AG1052/60,6),0)</f>
        <v>0</v>
      </c>
      <c r="BI1052" s="80">
        <f>IF(BE1052=1,ROUND(AP1052/60,6),0)</f>
        <v>0</v>
      </c>
      <c r="BJ1052" s="80">
        <f>IF(BE1052=1,ROUND(AQ1052/60,6),0)</f>
        <v>0</v>
      </c>
      <c r="BK1052" s="80">
        <f>IF(BE1052=1,ROUND((AR1052+AS1052)/60,6),0)</f>
        <v>0</v>
      </c>
      <c r="BL1052" s="80">
        <f>ROUND(BH1052-BK1052,6)</f>
        <v>0</v>
      </c>
      <c r="BM1052" s="80">
        <f>IF(BE1052=1,ROUND(AR1052/60,6),0)</f>
        <v>0</v>
      </c>
      <c r="BN1052" s="80">
        <f>ROUND(BI1052-BM1052,6)</f>
        <v>0</v>
      </c>
      <c r="BO1052" s="80">
        <f>IF(BE1052=1,ROUND(AS1052/60,6),0)</f>
        <v>0</v>
      </c>
      <c r="BP1052" s="80">
        <f>ROUND(BJ1052-BO1052,6)</f>
        <v>0</v>
      </c>
      <c r="BQ1052" s="80">
        <f>IF(BE1052=1,AW1052,0)</f>
        <v>0</v>
      </c>
      <c r="BR1052" s="80">
        <f>IF(BE1052=1,AX1052,0)</f>
        <v>0</v>
      </c>
      <c r="BS1052" s="80">
        <f>IF(AND(BE1052=1,D1052="Malcolm",BA1052&gt;0),MIN(BH1052,SUMPRODUCT((R_Emp="proMX")*(R_EN&gt;0)*((R_EN-(R_EN&gt;BR1052)*(R_EN-BR1052))&gt;(R_SN+(R_SN&lt;BQ1052)*(BQ1052-R_SN)))*((R_EN-(R_EN&gt;BR1052)*(R_EN-BR1052))-(R_SN+(R_SN&lt;BQ1052)*(BQ1052-R_SN))))/60),0)</f>
        <v>0</v>
      </c>
      <c r="BT1052" s="80">
        <f>IF(AND(BE1052=1,D1052="proMX"),ROUND(BI1052*CFG_RATE+BJ1052*CFG_OTRATE,6),0)</f>
        <v>0</v>
      </c>
      <c r="BU1052" s="80">
        <f>IF(AND(BD1052=1,D1052="proMX"),ROUND(AG1052/CFG_BLK,6),0)</f>
        <v>0</v>
      </c>
      <c r="BV1052" s="80" t="str">
        <f>IF(BF1052="Approved",IF(ISNUMBER(T1052),INT(T1052),INT(B1052)),"")</f>
        <v/>
      </c>
      <c r="BW1052" s="80">
        <f>IF(ISNUMBER(B1052),IF(DB_MON="Todos",1,IF(AND(INT(B1052)&gt;=DB_MS,INT(B1052)&lt;=DB_ME),1,0)),0)</f>
        <v>0</v>
      </c>
      <c r="BX1052" s="80">
        <f>IF(DB_PROJ="Todos",1,IF(E1052&amp;""=DB_PROJ&amp;"",1,0))</f>
        <v>1</v>
      </c>
      <c r="BY1052" s="80">
        <f>BW1052*BX1052</f>
        <v>0</v>
      </c>
      <c r="BZ1052" s="80" t="str">
        <f>IF(Y1052=1,F1052&amp;IF(AND(F1052&amp;""&lt;&gt;"",E1052&amp;""&lt;&gt;"")," · ","")&amp;E1052,"")</f>
        <v/>
      </c>
      <c r="CA1052" s="80" t="str">
        <f>IF(AND(BD1052=1,E1052&amp;""&lt;&gt;""),IF(COUNTIFS($E$5:E1051,E1052,$BD$5:BD1051,1)=0,MAX($CA$5:CA1051)+1,""),"")</f>
        <v/>
      </c>
      <c r="CB1052" s="80" t="str">
        <f>IF(AND(BE1052=1,D1052="Malcolm",E1052&amp;""&lt;&gt;""),IF(COUNTIFS($D$5:D1051,"Malcolm",$E$5:E1051,E1052,$BE$5:BE1051,1)=0,MAX($CB$5:CB1051)+1,""),"")</f>
        <v/>
      </c>
      <c r="CC1052" s="80" t="str">
        <f>IF(AND(BD1052=1,D1052="proMX",E1052&amp;""&lt;&gt;""),IF(COUNTIFS($D$5:D1051,"proMX",$E$5:E1051,E1052,$BD$5:BD1051,1)=0,MAX($CC$5:CC1051)+1,""),"")</f>
        <v/>
      </c>
      <c r="CD1052" s="80" t="str">
        <f>IF(AND(BE1052=1,D1052="Malcolm",F1052&amp;""&lt;&gt;""),IF(COUNTIFS($D$5:D1051,"Malcolm",$F$5:F1051,F1052,$BE$5:BE1051,1)=0,MAX($CD$5:CD1051)+1,""),"")</f>
        <v/>
      </c>
      <c r="CE1052" s="80" t="str">
        <f>IF(AND(BD1052=1,D1052="proMX",F1052&amp;""&lt;&gt;""),IF(COUNTIFS($D$5:D1051,"proMX",$F$5:F1051,F1052,$BD$5:BD1051,1)=0,MAX($CE$5:CE1051)+1,""),"")</f>
        <v/>
      </c>
      <c r="CF1052" s="80" t="str">
        <f>IF(AND(D1052="proMX",BD1052=1),IF(OR(BF1052="Draft",BF1052="Submitted",BF1052="Returned",BF1052="Recall Requested"),MAX($CF$5:CF1051)+1,""),"")</f>
        <v/>
      </c>
      <c r="CG1052" s="80">
        <f>IF(BD1052=0,0,IF(D1052="Malcolm",1,MATCH(BF1052,{"Draft","Submitted","Approved","Returned","Recall Requested","Cancelled"},0)+1))</f>
        <v>0</v>
      </c>
      <c r="CH1052" s="80">
        <f>IF(AND(BF1052="Submitted",ISNUMBER(V1052)),IF(V1052&gt;CFG_MAXD,1,0),0)</f>
        <v>0</v>
      </c>
    </row>
    <row r="1053">
      <c r="A1053" s="71" t="str">
        <f>IF(Y1053=1,ROW()-5,"")</f>
        <v/>
      </c>
      <c r="B1053" s="72" t="n"/>
      <c r="C1053" s="71" t="str">
        <f>IF(ISNUMBER(B1053),CHOOSE(WEEKDAY(B1053,2),"Lun","Mar","Mié","Jue","Vie","Sáb","Dom"),"")</f>
        <v/>
      </c>
      <c r="D1053" s="73" t="n"/>
      <c r="E1053" s="74" t="n"/>
      <c r="F1053" s="74" t="n"/>
      <c r="G1053" s="74" t="n"/>
      <c r="H1053" s="75" t="n"/>
      <c r="I1053" s="75" t="n"/>
      <c r="J1053" s="76" t="n"/>
      <c r="K1053" s="77" t="str">
        <f>IF(AB1053=1,ROUND(AG1053/60,4),"")</f>
        <v/>
      </c>
      <c r="L1053" s="77" t="str">
        <f>IF(BD1053=1,ROUND(AP1053/60,4),"")</f>
        <v/>
      </c>
      <c r="M1053" s="77" t="str">
        <f>IF(BD1053=1,ROUND(AQ1053/60,4),"")</f>
        <v/>
      </c>
      <c r="N1053" s="71" t="str">
        <f>IF(AND(D1053="proMX",AB1053=1),ROUND(AG1053/CFG_BLK,2),"")</f>
        <v/>
      </c>
      <c r="O1053" s="77" t="str">
        <f>IF(D1053="proMX",IF(BD1053=1,ROUND(AG1053/60,4),0),"")</f>
        <v/>
      </c>
      <c r="P1053" s="78" t="str">
        <f>IF(Y1053=0,"",IF(BD1053=1,"OK",IF(D1053="proMX","Revisar bloques: ","Revisar: ")&amp;BC1053))</f>
        <v/>
      </c>
      <c r="Q1053" s="78" t="str">
        <f>IF(NOT(ISNUMBER(B1053)),"",IF(COUNTIFS(FER_F,INT(B1053))&gt;0,"Feriado"&amp;IF(AH1053=1," (laborable)"," (no laborable)"),IF(AH1053=1,"Laborable",IF(WEEKDAY(B1053,2)&gt;5,"Fin de semana","No laborable"))))</f>
        <v/>
      </c>
      <c r="R1053" s="73" t="n"/>
      <c r="S1053" s="72" t="n"/>
      <c r="T1053" s="72" t="n"/>
      <c r="U1053" s="74" t="n"/>
      <c r="V1053" s="79" t="str">
        <f>IF(AND(D1053="proMX",OR(R1053="Submitted",R1053="Recall Requested"),ISNUMBER(S1053)),CFG_TODAY-INT(S1053),"")</f>
        <v/>
      </c>
      <c r="W1053" s="78" t="str">
        <f>IF(BD1053=0,"",IF(BA1053&gt;0,"⚠ Se superpone con un registro de la otra empresa",IF(D1053="Malcolm",IF(COUNTA(R1053,S1053,T1053)&gt;0,"Estado/fechas proMX se ignoran en Malcolm",""),IF(BF1053="Cancelled","Cancelado: excluido de totales",IF(R1053="","Sin estado: se trata como Draft",IF(BF1053="Submitted",IF(ISNUMBER(V1053),IF(V1053&gt;CFG_MAXD,"⚠ "&amp;V1053&amp;" días en Submitted (máx. "&amp;CFG_MAXD&amp;")",""),"Falta fecha de envío"),IF(BF1053="Returned","⚠ Devuelto: corregir y reenviar",IF(BF1053="Recall Requested","Retirada solicitada: pendiente",IF(AND(BF1053="Approved",NOT(ISNUMBER(T1053))),"Falta fecha de aprobación",IF(AND(ISNUMBER(S1053),ISNUMBER(T1053),T1053&lt;S1053),"Aprobación anterior al envío","")))))))))</f>
        <v/>
      </c>
      <c r="Y1053" s="80">
        <f>IF(COUNTA(B1053,D1053,E1053,F1053,G1053,H1053,I1053,J1053,R1053,S1053,T1053)&gt;0,1,0)</f>
        <v>0</v>
      </c>
      <c r="Z1053" s="80" t="str">
        <f>IF(AND(ISNUMBER(H1053),H1053&gt;=0,H1053&lt;1),ROUND(H1053*1440,0),"")</f>
        <v/>
      </c>
      <c r="AA1053" s="80" t="str">
        <f>IF(AND(ISNUMBER(I1053),I1053&gt;=0,I1053&lt;1),ROUND(I1053*1440,0),"")</f>
        <v/>
      </c>
      <c r="AB1053" s="80">
        <f>IF(AND(ISNUMBER(B1053),D1053&lt;&gt;"",ISNUMBER(Z1053),ISNUMBER(AA1053)),IF(Z1053=AA1053,0,1),0)</f>
        <v>0</v>
      </c>
      <c r="AC1053" s="80">
        <f>IF(AB1053=1,IF(AA1053&lt;Z1053,1,0),0)</f>
        <v>0</v>
      </c>
      <c r="AD1053" s="80">
        <f>IF(AB1053=1,IF(AC1053=1,1440-Z1053+AA1053,AA1053-Z1053),0)</f>
        <v>0</v>
      </c>
      <c r="AE1053" s="80">
        <f>IF(J1053="",0,IF(ISNUMBER(J1053),J1053,-1))</f>
        <v>0</v>
      </c>
      <c r="AF1053" s="80">
        <f>MIN(MAX(0,AE1053),AD1053)</f>
        <v>0</v>
      </c>
      <c r="AG1053" s="80">
        <f>MAX(0,AD1053-MAX(0,AE1053))</f>
        <v>0</v>
      </c>
      <c r="AH1053" s="80">
        <f>IF(ISNUMBER(B1053),IF(AND(INDEX(CFG_WDAYS,WEEKDAY(INT(B1053),2))="Sí",IF(D1053="proMX",COUNTIFS(FER_F,INT(B1053),FER_NLP,"Sí"),COUNTIFS(FER_F,INT(B1053),FER_NLM,"Sí"))=0),1,0),0)</f>
        <v>0</v>
      </c>
      <c r="AI1053" s="80">
        <f>IF(AC1053=1,IF(AND(INDEX(CFG_WDAYS,WEEKDAY(INT(B1053)+1,2))="Sí",IF(D1053="proMX",COUNTIFS(FER_F,INT(B1053)+1,FER_NLP,"Sí"),COUNTIFS(FER_F,INT(B1053)+1,FER_NLM,"Sí"))=0),1,0),0)</f>
        <v>0</v>
      </c>
      <c r="AJ1053" s="80">
        <f>IF(AC1053=1,1440-Z1053,AD1053)</f>
        <v>0</v>
      </c>
      <c r="AK1053" s="80">
        <f>IF(AND(AB1053=1,AH1053=1),MAX(0,MIN(IF(AC1053=1,1440,AA1053),CFG_WEM)-MAX(Z1053,CFG_WSM)),0)</f>
        <v>0</v>
      </c>
      <c r="AL1053" s="80">
        <f>IF(AND(AC1053=1,AI1053=1),MAX(0,MIN(AA1053,CFG_WEM)-CFG_WSM),0)</f>
        <v>0</v>
      </c>
      <c r="AM1053" s="80">
        <f>AK1053+AL1053</f>
        <v>0</v>
      </c>
      <c r="AN1053" s="80">
        <f>IF(CFG_BRK="Proporcional",IF(AD1053=0,0,AF1053*AM1053/AD1053),IF(CFG_BRK="Extras primero",MIN(AM1053,MAX(0,AF1053-(AD1053-AM1053))),MIN(AF1053,AM1053)))</f>
        <v>0</v>
      </c>
      <c r="AO1053" s="80">
        <f>AF1053-AN1053</f>
        <v>0</v>
      </c>
      <c r="AP1053" s="80">
        <f>AM1053-AN1053</f>
        <v>0</v>
      </c>
      <c r="AQ1053" s="80">
        <f>AD1053-AM1053-AO1053</f>
        <v>0</v>
      </c>
      <c r="AR1053" s="80">
        <f>IF(AM1053=0,0,AK1053-AN1053*AK1053/AM1053)</f>
        <v>0</v>
      </c>
      <c r="AS1053" s="80">
        <f>IF(AD1053-AM1053=0,0,(AJ1053-AK1053)-AO1053*(AJ1053-AK1053)/(AD1053-AM1053))</f>
        <v>0</v>
      </c>
      <c r="AT1053" s="80" t="str">
        <f>IF(AC1053=1,INT(B1053)+1,"")</f>
        <v/>
      </c>
      <c r="AU1053" s="80">
        <f>IF(AND(D1053="proMX",R1053="Cancelled"),0,1)</f>
        <v>1</v>
      </c>
      <c r="AV1053" s="80">
        <f>IF(AND(AB1053=1,AU1053=1),IF(COUNTIFS($D$5:D1052,D1053,$B$5:B1052,B1053,$Z$5:Z1052,Z1053,$AA$5:AA1052,AA1053,$F$5:F1052,F1053&amp;"",$AU$5:AU1052,1)&gt;0,1,0),0)</f>
        <v>0</v>
      </c>
      <c r="AW1053" s="80" t="str">
        <f>IF(AB1053=1,INT(B1053)*1440+Z1053,"")</f>
        <v/>
      </c>
      <c r="AX1053" s="80" t="str">
        <f>IF(AB1053=1,AW1053+AD1053,"")</f>
        <v/>
      </c>
      <c r="AY1053" s="80">
        <f>IF(AND(AB1053=1,AV1053=0,AU1053=1),1,0)</f>
        <v>0</v>
      </c>
      <c r="AZ1053" s="80">
        <f>IF(AY1053=1,COUNTIFS(R_Emp,D1053,R_SAbs,"&lt;"&amp;AX1053,R_EAbs,"&gt;"&amp;AW1053,R_OKey,1)-1,0)</f>
        <v>0</v>
      </c>
      <c r="BA1053" s="80">
        <f>IF(AY1053=1,COUNTIFS(R_Emp,"&lt;&gt;"&amp;D1053,R_SAbs,"&lt;"&amp;AX1053,R_EAbs,"&gt;"&amp;AW1053,R_OKey,1),0)</f>
        <v>0</v>
      </c>
      <c r="BB1053" s="80">
        <f>IF(AND(AB1053=1,D1053="proMX"),IF(AND(MOD(Z1053,CFG_BLK)=0,MOD(AA1053,CFG_BLK)=0,MOD(AG1053,CFG_BLK)=0,AG1053&gt;0),1,0),1)</f>
        <v>1</v>
      </c>
      <c r="BC1053" s="80" t="str">
        <f>IF(Y1053=0,"",IF(NOT(ISNUMBER(B1053)),"Falta fecha o fecha inválida",IF(D1053="","Falta empresa",IF(AND(D1053&lt;&gt;"Malcolm",D1053&lt;&gt;"proMX"),"Empresa inválida",IF(OR(INT(B1053)&lt;CFG_PSTART,INT(B1053)&gt;CFG_PEND),"Fecha fuera del período",IF(OR(NOT(ISNUMBER(Z1053)),NOT(ISNUMBER(AA1053))),"Falta hora inicio/fin o formato inválido",IF(AB1053=0,"Hora inicio = hora fin",IF(AE1053&lt;0,"Descanso inválido",IF(AE1053&gt;=AD1053,"Descanso ≥ duración",IF(AV1053=1,"Registro duplicado",IF(AZ1053&gt;0,"Se superpone con otro registro "&amp;D1053,IF(BB1053=0,"inicio, fin y duración neta deben ser múltiplos de "&amp;CFG_BLK&amp;" min",""))))))))))))</f>
        <v/>
      </c>
      <c r="BD1053" s="80">
        <f>IF(AND(Y1053=1,BC1053=""),1,0)</f>
        <v>0</v>
      </c>
      <c r="BE1053" s="80">
        <f>IF(AND(BD1053=1,AU1053=1),1,0)</f>
        <v>0</v>
      </c>
      <c r="BF1053" s="80" t="str">
        <f>IF(AND(D1053="proMX",BD1053=1),IF(R1053="","Draft",R1053),"")</f>
        <v/>
      </c>
      <c r="BG1053" s="80">
        <f>IF(BD1053=1,ROUND(AG1053/60,6),0)</f>
        <v>0</v>
      </c>
      <c r="BH1053" s="80">
        <f>IF(BE1053=1,ROUND(AG1053/60,6),0)</f>
        <v>0</v>
      </c>
      <c r="BI1053" s="80">
        <f>IF(BE1053=1,ROUND(AP1053/60,6),0)</f>
        <v>0</v>
      </c>
      <c r="BJ1053" s="80">
        <f>IF(BE1053=1,ROUND(AQ1053/60,6),0)</f>
        <v>0</v>
      </c>
      <c r="BK1053" s="80">
        <f>IF(BE1053=1,ROUND((AR1053+AS1053)/60,6),0)</f>
        <v>0</v>
      </c>
      <c r="BL1053" s="80">
        <f>ROUND(BH1053-BK1053,6)</f>
        <v>0</v>
      </c>
      <c r="BM1053" s="80">
        <f>IF(BE1053=1,ROUND(AR1053/60,6),0)</f>
        <v>0</v>
      </c>
      <c r="BN1053" s="80">
        <f>ROUND(BI1053-BM1053,6)</f>
        <v>0</v>
      </c>
      <c r="BO1053" s="80">
        <f>IF(BE1053=1,ROUND(AS1053/60,6),0)</f>
        <v>0</v>
      </c>
      <c r="BP1053" s="80">
        <f>ROUND(BJ1053-BO1053,6)</f>
        <v>0</v>
      </c>
      <c r="BQ1053" s="80">
        <f>IF(BE1053=1,AW1053,0)</f>
        <v>0</v>
      </c>
      <c r="BR1053" s="80">
        <f>IF(BE1053=1,AX1053,0)</f>
        <v>0</v>
      </c>
      <c r="BS1053" s="80">
        <f>IF(AND(BE1053=1,D1053="Malcolm",BA1053&gt;0),MIN(BH1053,SUMPRODUCT((R_Emp="proMX")*(R_EN&gt;0)*((R_EN-(R_EN&gt;BR1053)*(R_EN-BR1053))&gt;(R_SN+(R_SN&lt;BQ1053)*(BQ1053-R_SN)))*((R_EN-(R_EN&gt;BR1053)*(R_EN-BR1053))-(R_SN+(R_SN&lt;BQ1053)*(BQ1053-R_SN))))/60),0)</f>
        <v>0</v>
      </c>
      <c r="BT1053" s="80">
        <f>IF(AND(BE1053=1,D1053="proMX"),ROUND(BI1053*CFG_RATE+BJ1053*CFG_OTRATE,6),0)</f>
        <v>0</v>
      </c>
      <c r="BU1053" s="80">
        <f>IF(AND(BD1053=1,D1053="proMX"),ROUND(AG1053/CFG_BLK,6),0)</f>
        <v>0</v>
      </c>
      <c r="BV1053" s="80" t="str">
        <f>IF(BF1053="Approved",IF(ISNUMBER(T1053),INT(T1053),INT(B1053)),"")</f>
        <v/>
      </c>
      <c r="BW1053" s="80">
        <f>IF(ISNUMBER(B1053),IF(DB_MON="Todos",1,IF(AND(INT(B1053)&gt;=DB_MS,INT(B1053)&lt;=DB_ME),1,0)),0)</f>
        <v>0</v>
      </c>
      <c r="BX1053" s="80">
        <f>IF(DB_PROJ="Todos",1,IF(E1053&amp;""=DB_PROJ&amp;"",1,0))</f>
        <v>1</v>
      </c>
      <c r="BY1053" s="80">
        <f>BW1053*BX1053</f>
        <v>0</v>
      </c>
      <c r="BZ1053" s="80" t="str">
        <f>IF(Y1053=1,F1053&amp;IF(AND(F1053&amp;""&lt;&gt;"",E1053&amp;""&lt;&gt;"")," · ","")&amp;E1053,"")</f>
        <v/>
      </c>
      <c r="CA1053" s="80" t="str">
        <f>IF(AND(BD1053=1,E1053&amp;""&lt;&gt;""),IF(COUNTIFS($E$5:E1052,E1053,$BD$5:BD1052,1)=0,MAX($CA$5:CA1052)+1,""),"")</f>
        <v/>
      </c>
      <c r="CB1053" s="80" t="str">
        <f>IF(AND(BE1053=1,D1053="Malcolm",E1053&amp;""&lt;&gt;""),IF(COUNTIFS($D$5:D1052,"Malcolm",$E$5:E1052,E1053,$BE$5:BE1052,1)=0,MAX($CB$5:CB1052)+1,""),"")</f>
        <v/>
      </c>
      <c r="CC1053" s="80" t="str">
        <f>IF(AND(BD1053=1,D1053="proMX",E1053&amp;""&lt;&gt;""),IF(COUNTIFS($D$5:D1052,"proMX",$E$5:E1052,E1053,$BD$5:BD1052,1)=0,MAX($CC$5:CC1052)+1,""),"")</f>
        <v/>
      </c>
      <c r="CD1053" s="80" t="str">
        <f>IF(AND(BE1053=1,D1053="Malcolm",F1053&amp;""&lt;&gt;""),IF(COUNTIFS($D$5:D1052,"Malcolm",$F$5:F1052,F1053,$BE$5:BE1052,1)=0,MAX($CD$5:CD1052)+1,""),"")</f>
        <v/>
      </c>
      <c r="CE1053" s="80" t="str">
        <f>IF(AND(BD1053=1,D1053="proMX",F1053&amp;""&lt;&gt;""),IF(COUNTIFS($D$5:D1052,"proMX",$F$5:F1052,F1053,$BD$5:BD1052,1)=0,MAX($CE$5:CE1052)+1,""),"")</f>
        <v/>
      </c>
      <c r="CF1053" s="80" t="str">
        <f>IF(AND(D1053="proMX",BD1053=1),IF(OR(BF1053="Draft",BF1053="Submitted",BF1053="Returned",BF1053="Recall Requested"),MAX($CF$5:CF1052)+1,""),"")</f>
        <v/>
      </c>
      <c r="CG1053" s="80">
        <f>IF(BD1053=0,0,IF(D1053="Malcolm",1,MATCH(BF1053,{"Draft","Submitted","Approved","Returned","Recall Requested","Cancelled"},0)+1))</f>
        <v>0</v>
      </c>
      <c r="CH1053" s="80">
        <f>IF(AND(BF1053="Submitted",ISNUMBER(V1053)),IF(V1053&gt;CFG_MAXD,1,0),0)</f>
        <v>0</v>
      </c>
    </row>
    <row r="1054">
      <c r="A1054" s="71" t="str">
        <f>IF(Y1054=1,ROW()-5,"")</f>
        <v/>
      </c>
      <c r="B1054" s="72" t="n"/>
      <c r="C1054" s="71" t="str">
        <f>IF(ISNUMBER(B1054),CHOOSE(WEEKDAY(B1054,2),"Lun","Mar","Mié","Jue","Vie","Sáb","Dom"),"")</f>
        <v/>
      </c>
      <c r="D1054" s="73" t="n"/>
      <c r="E1054" s="74" t="n"/>
      <c r="F1054" s="74" t="n"/>
      <c r="G1054" s="74" t="n"/>
      <c r="H1054" s="75" t="n"/>
      <c r="I1054" s="75" t="n"/>
      <c r="J1054" s="76" t="n"/>
      <c r="K1054" s="77" t="str">
        <f>IF(AB1054=1,ROUND(AG1054/60,4),"")</f>
        <v/>
      </c>
      <c r="L1054" s="77" t="str">
        <f>IF(BD1054=1,ROUND(AP1054/60,4),"")</f>
        <v/>
      </c>
      <c r="M1054" s="77" t="str">
        <f>IF(BD1054=1,ROUND(AQ1054/60,4),"")</f>
        <v/>
      </c>
      <c r="N1054" s="71" t="str">
        <f>IF(AND(D1054="proMX",AB1054=1),ROUND(AG1054/CFG_BLK,2),"")</f>
        <v/>
      </c>
      <c r="O1054" s="77" t="str">
        <f>IF(D1054="proMX",IF(BD1054=1,ROUND(AG1054/60,4),0),"")</f>
        <v/>
      </c>
      <c r="P1054" s="78" t="str">
        <f>IF(Y1054=0,"",IF(BD1054=1,"OK",IF(D1054="proMX","Revisar bloques: ","Revisar: ")&amp;BC1054))</f>
        <v/>
      </c>
      <c r="Q1054" s="78" t="str">
        <f>IF(NOT(ISNUMBER(B1054)),"",IF(COUNTIFS(FER_F,INT(B1054))&gt;0,"Feriado"&amp;IF(AH1054=1," (laborable)"," (no laborable)"),IF(AH1054=1,"Laborable",IF(WEEKDAY(B1054,2)&gt;5,"Fin de semana","No laborable"))))</f>
        <v/>
      </c>
      <c r="R1054" s="73" t="n"/>
      <c r="S1054" s="72" t="n"/>
      <c r="T1054" s="72" t="n"/>
      <c r="U1054" s="74" t="n"/>
      <c r="V1054" s="79" t="str">
        <f>IF(AND(D1054="proMX",OR(R1054="Submitted",R1054="Recall Requested"),ISNUMBER(S1054)),CFG_TODAY-INT(S1054),"")</f>
        <v/>
      </c>
      <c r="W1054" s="78" t="str">
        <f>IF(BD1054=0,"",IF(BA1054&gt;0,"⚠ Se superpone con un registro de la otra empresa",IF(D1054="Malcolm",IF(COUNTA(R1054,S1054,T1054)&gt;0,"Estado/fechas proMX se ignoran en Malcolm",""),IF(BF1054="Cancelled","Cancelado: excluido de totales",IF(R1054="","Sin estado: se trata como Draft",IF(BF1054="Submitted",IF(ISNUMBER(V1054),IF(V1054&gt;CFG_MAXD,"⚠ "&amp;V1054&amp;" días en Submitted (máx. "&amp;CFG_MAXD&amp;")",""),"Falta fecha de envío"),IF(BF1054="Returned","⚠ Devuelto: corregir y reenviar",IF(BF1054="Recall Requested","Retirada solicitada: pendiente",IF(AND(BF1054="Approved",NOT(ISNUMBER(T1054))),"Falta fecha de aprobación",IF(AND(ISNUMBER(S1054),ISNUMBER(T1054),T1054&lt;S1054),"Aprobación anterior al envío","")))))))))</f>
        <v/>
      </c>
      <c r="Y1054" s="80">
        <f>IF(COUNTA(B1054,D1054,E1054,F1054,G1054,H1054,I1054,J1054,R1054,S1054,T1054)&gt;0,1,0)</f>
        <v>0</v>
      </c>
      <c r="Z1054" s="80" t="str">
        <f>IF(AND(ISNUMBER(H1054),H1054&gt;=0,H1054&lt;1),ROUND(H1054*1440,0),"")</f>
        <v/>
      </c>
      <c r="AA1054" s="80" t="str">
        <f>IF(AND(ISNUMBER(I1054),I1054&gt;=0,I1054&lt;1),ROUND(I1054*1440,0),"")</f>
        <v/>
      </c>
      <c r="AB1054" s="80">
        <f>IF(AND(ISNUMBER(B1054),D1054&lt;&gt;"",ISNUMBER(Z1054),ISNUMBER(AA1054)),IF(Z1054=AA1054,0,1),0)</f>
        <v>0</v>
      </c>
      <c r="AC1054" s="80">
        <f>IF(AB1054=1,IF(AA1054&lt;Z1054,1,0),0)</f>
        <v>0</v>
      </c>
      <c r="AD1054" s="80">
        <f>IF(AB1054=1,IF(AC1054=1,1440-Z1054+AA1054,AA1054-Z1054),0)</f>
        <v>0</v>
      </c>
      <c r="AE1054" s="80">
        <f>IF(J1054="",0,IF(ISNUMBER(J1054),J1054,-1))</f>
        <v>0</v>
      </c>
      <c r="AF1054" s="80">
        <f>MIN(MAX(0,AE1054),AD1054)</f>
        <v>0</v>
      </c>
      <c r="AG1054" s="80">
        <f>MAX(0,AD1054-MAX(0,AE1054))</f>
        <v>0</v>
      </c>
      <c r="AH1054" s="80">
        <f>IF(ISNUMBER(B1054),IF(AND(INDEX(CFG_WDAYS,WEEKDAY(INT(B1054),2))="Sí",IF(D1054="proMX",COUNTIFS(FER_F,INT(B1054),FER_NLP,"Sí"),COUNTIFS(FER_F,INT(B1054),FER_NLM,"Sí"))=0),1,0),0)</f>
        <v>0</v>
      </c>
      <c r="AI1054" s="80">
        <f>IF(AC1054=1,IF(AND(INDEX(CFG_WDAYS,WEEKDAY(INT(B1054)+1,2))="Sí",IF(D1054="proMX",COUNTIFS(FER_F,INT(B1054)+1,FER_NLP,"Sí"),COUNTIFS(FER_F,INT(B1054)+1,FER_NLM,"Sí"))=0),1,0),0)</f>
        <v>0</v>
      </c>
      <c r="AJ1054" s="80">
        <f>IF(AC1054=1,1440-Z1054,AD1054)</f>
        <v>0</v>
      </c>
      <c r="AK1054" s="80">
        <f>IF(AND(AB1054=1,AH1054=1),MAX(0,MIN(IF(AC1054=1,1440,AA1054),CFG_WEM)-MAX(Z1054,CFG_WSM)),0)</f>
        <v>0</v>
      </c>
      <c r="AL1054" s="80">
        <f>IF(AND(AC1054=1,AI1054=1),MAX(0,MIN(AA1054,CFG_WEM)-CFG_WSM),0)</f>
        <v>0</v>
      </c>
      <c r="AM1054" s="80">
        <f>AK1054+AL1054</f>
        <v>0</v>
      </c>
      <c r="AN1054" s="80">
        <f>IF(CFG_BRK="Proporcional",IF(AD1054=0,0,AF1054*AM1054/AD1054),IF(CFG_BRK="Extras primero",MIN(AM1054,MAX(0,AF1054-(AD1054-AM1054))),MIN(AF1054,AM1054)))</f>
        <v>0</v>
      </c>
      <c r="AO1054" s="80">
        <f>AF1054-AN1054</f>
        <v>0</v>
      </c>
      <c r="AP1054" s="80">
        <f>AM1054-AN1054</f>
        <v>0</v>
      </c>
      <c r="AQ1054" s="80">
        <f>AD1054-AM1054-AO1054</f>
        <v>0</v>
      </c>
      <c r="AR1054" s="80">
        <f>IF(AM1054=0,0,AK1054-AN1054*AK1054/AM1054)</f>
        <v>0</v>
      </c>
      <c r="AS1054" s="80">
        <f>IF(AD1054-AM1054=0,0,(AJ1054-AK1054)-AO1054*(AJ1054-AK1054)/(AD1054-AM1054))</f>
        <v>0</v>
      </c>
      <c r="AT1054" s="80" t="str">
        <f>IF(AC1054=1,INT(B1054)+1,"")</f>
        <v/>
      </c>
      <c r="AU1054" s="80">
        <f>IF(AND(D1054="proMX",R1054="Cancelled"),0,1)</f>
        <v>1</v>
      </c>
      <c r="AV1054" s="80">
        <f>IF(AND(AB1054=1,AU1054=1),IF(COUNTIFS($D$5:D1053,D1054,$B$5:B1053,B1054,$Z$5:Z1053,Z1054,$AA$5:AA1053,AA1054,$F$5:F1053,F1054&amp;"",$AU$5:AU1053,1)&gt;0,1,0),0)</f>
        <v>0</v>
      </c>
      <c r="AW1054" s="80" t="str">
        <f>IF(AB1054=1,INT(B1054)*1440+Z1054,"")</f>
        <v/>
      </c>
      <c r="AX1054" s="80" t="str">
        <f>IF(AB1054=1,AW1054+AD1054,"")</f>
        <v/>
      </c>
      <c r="AY1054" s="80">
        <f>IF(AND(AB1054=1,AV1054=0,AU1054=1),1,0)</f>
        <v>0</v>
      </c>
      <c r="AZ1054" s="80">
        <f>IF(AY1054=1,COUNTIFS(R_Emp,D1054,R_SAbs,"&lt;"&amp;AX1054,R_EAbs,"&gt;"&amp;AW1054,R_OKey,1)-1,0)</f>
        <v>0</v>
      </c>
      <c r="BA1054" s="80">
        <f>IF(AY1054=1,COUNTIFS(R_Emp,"&lt;&gt;"&amp;D1054,R_SAbs,"&lt;"&amp;AX1054,R_EAbs,"&gt;"&amp;AW1054,R_OKey,1),0)</f>
        <v>0</v>
      </c>
      <c r="BB1054" s="80">
        <f>IF(AND(AB1054=1,D1054="proMX"),IF(AND(MOD(Z1054,CFG_BLK)=0,MOD(AA1054,CFG_BLK)=0,MOD(AG1054,CFG_BLK)=0,AG1054&gt;0),1,0),1)</f>
        <v>1</v>
      </c>
      <c r="BC1054" s="80" t="str">
        <f>IF(Y1054=0,"",IF(NOT(ISNUMBER(B1054)),"Falta fecha o fecha inválida",IF(D1054="","Falta empresa",IF(AND(D1054&lt;&gt;"Malcolm",D1054&lt;&gt;"proMX"),"Empresa inválida",IF(OR(INT(B1054)&lt;CFG_PSTART,INT(B1054)&gt;CFG_PEND),"Fecha fuera del período",IF(OR(NOT(ISNUMBER(Z1054)),NOT(ISNUMBER(AA1054))),"Falta hora inicio/fin o formato inválido",IF(AB1054=0,"Hora inicio = hora fin",IF(AE1054&lt;0,"Descanso inválido",IF(AE1054&gt;=AD1054,"Descanso ≥ duración",IF(AV1054=1,"Registro duplicado",IF(AZ1054&gt;0,"Se superpone con otro registro "&amp;D1054,IF(BB1054=0,"inicio, fin y duración neta deben ser múltiplos de "&amp;CFG_BLK&amp;" min",""))))))))))))</f>
        <v/>
      </c>
      <c r="BD1054" s="80">
        <f>IF(AND(Y1054=1,BC1054=""),1,0)</f>
        <v>0</v>
      </c>
      <c r="BE1054" s="80">
        <f>IF(AND(BD1054=1,AU1054=1),1,0)</f>
        <v>0</v>
      </c>
      <c r="BF1054" s="80" t="str">
        <f>IF(AND(D1054="proMX",BD1054=1),IF(R1054="","Draft",R1054),"")</f>
        <v/>
      </c>
      <c r="BG1054" s="80">
        <f>IF(BD1054=1,ROUND(AG1054/60,6),0)</f>
        <v>0</v>
      </c>
      <c r="BH1054" s="80">
        <f>IF(BE1054=1,ROUND(AG1054/60,6),0)</f>
        <v>0</v>
      </c>
      <c r="BI1054" s="80">
        <f>IF(BE1054=1,ROUND(AP1054/60,6),0)</f>
        <v>0</v>
      </c>
      <c r="BJ1054" s="80">
        <f>IF(BE1054=1,ROUND(AQ1054/60,6),0)</f>
        <v>0</v>
      </c>
      <c r="BK1054" s="80">
        <f>IF(BE1054=1,ROUND((AR1054+AS1054)/60,6),0)</f>
        <v>0</v>
      </c>
      <c r="BL1054" s="80">
        <f>ROUND(BH1054-BK1054,6)</f>
        <v>0</v>
      </c>
      <c r="BM1054" s="80">
        <f>IF(BE1054=1,ROUND(AR1054/60,6),0)</f>
        <v>0</v>
      </c>
      <c r="BN1054" s="80">
        <f>ROUND(BI1054-BM1054,6)</f>
        <v>0</v>
      </c>
      <c r="BO1054" s="80">
        <f>IF(BE1054=1,ROUND(AS1054/60,6),0)</f>
        <v>0</v>
      </c>
      <c r="BP1054" s="80">
        <f>ROUND(BJ1054-BO1054,6)</f>
        <v>0</v>
      </c>
      <c r="BQ1054" s="80">
        <f>IF(BE1054=1,AW1054,0)</f>
        <v>0</v>
      </c>
      <c r="BR1054" s="80">
        <f>IF(BE1054=1,AX1054,0)</f>
        <v>0</v>
      </c>
      <c r="BS1054" s="80">
        <f>IF(AND(BE1054=1,D1054="Malcolm",BA1054&gt;0),MIN(BH1054,SUMPRODUCT((R_Emp="proMX")*(R_EN&gt;0)*((R_EN-(R_EN&gt;BR1054)*(R_EN-BR1054))&gt;(R_SN+(R_SN&lt;BQ1054)*(BQ1054-R_SN)))*((R_EN-(R_EN&gt;BR1054)*(R_EN-BR1054))-(R_SN+(R_SN&lt;BQ1054)*(BQ1054-R_SN))))/60),0)</f>
        <v>0</v>
      </c>
      <c r="BT1054" s="80">
        <f>IF(AND(BE1054=1,D1054="proMX"),ROUND(BI1054*CFG_RATE+BJ1054*CFG_OTRATE,6),0)</f>
        <v>0</v>
      </c>
      <c r="BU1054" s="80">
        <f>IF(AND(BD1054=1,D1054="proMX"),ROUND(AG1054/CFG_BLK,6),0)</f>
        <v>0</v>
      </c>
      <c r="BV1054" s="80" t="str">
        <f>IF(BF1054="Approved",IF(ISNUMBER(T1054),INT(T1054),INT(B1054)),"")</f>
        <v/>
      </c>
      <c r="BW1054" s="80">
        <f>IF(ISNUMBER(B1054),IF(DB_MON="Todos",1,IF(AND(INT(B1054)&gt;=DB_MS,INT(B1054)&lt;=DB_ME),1,0)),0)</f>
        <v>0</v>
      </c>
      <c r="BX1054" s="80">
        <f>IF(DB_PROJ="Todos",1,IF(E1054&amp;""=DB_PROJ&amp;"",1,0))</f>
        <v>1</v>
      </c>
      <c r="BY1054" s="80">
        <f>BW1054*BX1054</f>
        <v>0</v>
      </c>
      <c r="BZ1054" s="80" t="str">
        <f>IF(Y1054=1,F1054&amp;IF(AND(F1054&amp;""&lt;&gt;"",E1054&amp;""&lt;&gt;"")," · ","")&amp;E1054,"")</f>
        <v/>
      </c>
      <c r="CA1054" s="80" t="str">
        <f>IF(AND(BD1054=1,E1054&amp;""&lt;&gt;""),IF(COUNTIFS($E$5:E1053,E1054,$BD$5:BD1053,1)=0,MAX($CA$5:CA1053)+1,""),"")</f>
        <v/>
      </c>
      <c r="CB1054" s="80" t="str">
        <f>IF(AND(BE1054=1,D1054="Malcolm",E1054&amp;""&lt;&gt;""),IF(COUNTIFS($D$5:D1053,"Malcolm",$E$5:E1053,E1054,$BE$5:BE1053,1)=0,MAX($CB$5:CB1053)+1,""),"")</f>
        <v/>
      </c>
      <c r="CC1054" s="80" t="str">
        <f>IF(AND(BD1054=1,D1054="proMX",E1054&amp;""&lt;&gt;""),IF(COUNTIFS($D$5:D1053,"proMX",$E$5:E1053,E1054,$BD$5:BD1053,1)=0,MAX($CC$5:CC1053)+1,""),"")</f>
        <v/>
      </c>
      <c r="CD1054" s="80" t="str">
        <f>IF(AND(BE1054=1,D1054="Malcolm",F1054&amp;""&lt;&gt;""),IF(COUNTIFS($D$5:D1053,"Malcolm",$F$5:F1053,F1054,$BE$5:BE1053,1)=0,MAX($CD$5:CD1053)+1,""),"")</f>
        <v/>
      </c>
      <c r="CE1054" s="80" t="str">
        <f>IF(AND(BD1054=1,D1054="proMX",F1054&amp;""&lt;&gt;""),IF(COUNTIFS($D$5:D1053,"proMX",$F$5:F1053,F1054,$BD$5:BD1053,1)=0,MAX($CE$5:CE1053)+1,""),"")</f>
        <v/>
      </c>
      <c r="CF1054" s="80" t="str">
        <f>IF(AND(D1054="proMX",BD1054=1),IF(OR(BF1054="Draft",BF1054="Submitted",BF1054="Returned",BF1054="Recall Requested"),MAX($CF$5:CF1053)+1,""),"")</f>
        <v/>
      </c>
      <c r="CG1054" s="80">
        <f>IF(BD1054=0,0,IF(D1054="Malcolm",1,MATCH(BF1054,{"Draft","Submitted","Approved","Returned","Recall Requested","Cancelled"},0)+1))</f>
        <v>0</v>
      </c>
      <c r="CH1054" s="80">
        <f>IF(AND(BF1054="Submitted",ISNUMBER(V1054)),IF(V1054&gt;CFG_MAXD,1,0),0)</f>
        <v>0</v>
      </c>
    </row>
    <row r="1055">
      <c r="A1055" s="71" t="str">
        <f>IF(Y1055=1,ROW()-5,"")</f>
        <v/>
      </c>
      <c r="B1055" s="72" t="n"/>
      <c r="C1055" s="71" t="str">
        <f>IF(ISNUMBER(B1055),CHOOSE(WEEKDAY(B1055,2),"Lun","Mar","Mié","Jue","Vie","Sáb","Dom"),"")</f>
        <v/>
      </c>
      <c r="D1055" s="73" t="n"/>
      <c r="E1055" s="74" t="n"/>
      <c r="F1055" s="74" t="n"/>
      <c r="G1055" s="74" t="n"/>
      <c r="H1055" s="75" t="n"/>
      <c r="I1055" s="75" t="n"/>
      <c r="J1055" s="76" t="n"/>
      <c r="K1055" s="77" t="str">
        <f>IF(AB1055=1,ROUND(AG1055/60,4),"")</f>
        <v/>
      </c>
      <c r="L1055" s="77" t="str">
        <f>IF(BD1055=1,ROUND(AP1055/60,4),"")</f>
        <v/>
      </c>
      <c r="M1055" s="77" t="str">
        <f>IF(BD1055=1,ROUND(AQ1055/60,4),"")</f>
        <v/>
      </c>
      <c r="N1055" s="71" t="str">
        <f>IF(AND(D1055="proMX",AB1055=1),ROUND(AG1055/CFG_BLK,2),"")</f>
        <v/>
      </c>
      <c r="O1055" s="77" t="str">
        <f>IF(D1055="proMX",IF(BD1055=1,ROUND(AG1055/60,4),0),"")</f>
        <v/>
      </c>
      <c r="P1055" s="78" t="str">
        <f>IF(Y1055=0,"",IF(BD1055=1,"OK",IF(D1055="proMX","Revisar bloques: ","Revisar: ")&amp;BC1055))</f>
        <v/>
      </c>
      <c r="Q1055" s="78" t="str">
        <f>IF(NOT(ISNUMBER(B1055)),"",IF(COUNTIFS(FER_F,INT(B1055))&gt;0,"Feriado"&amp;IF(AH1055=1," (laborable)"," (no laborable)"),IF(AH1055=1,"Laborable",IF(WEEKDAY(B1055,2)&gt;5,"Fin de semana","No laborable"))))</f>
        <v/>
      </c>
      <c r="R1055" s="73" t="n"/>
      <c r="S1055" s="72" t="n"/>
      <c r="T1055" s="72" t="n"/>
      <c r="U1055" s="74" t="n"/>
      <c r="V1055" s="79" t="str">
        <f>IF(AND(D1055="proMX",OR(R1055="Submitted",R1055="Recall Requested"),ISNUMBER(S1055)),CFG_TODAY-INT(S1055),"")</f>
        <v/>
      </c>
      <c r="W1055" s="78" t="str">
        <f>IF(BD1055=0,"",IF(BA1055&gt;0,"⚠ Se superpone con un registro de la otra empresa",IF(D1055="Malcolm",IF(COUNTA(R1055,S1055,T1055)&gt;0,"Estado/fechas proMX se ignoran en Malcolm",""),IF(BF1055="Cancelled","Cancelado: excluido de totales",IF(R1055="","Sin estado: se trata como Draft",IF(BF1055="Submitted",IF(ISNUMBER(V1055),IF(V1055&gt;CFG_MAXD,"⚠ "&amp;V1055&amp;" días en Submitted (máx. "&amp;CFG_MAXD&amp;")",""),"Falta fecha de envío"),IF(BF1055="Returned","⚠ Devuelto: corregir y reenviar",IF(BF1055="Recall Requested","Retirada solicitada: pendiente",IF(AND(BF1055="Approved",NOT(ISNUMBER(T1055))),"Falta fecha de aprobación",IF(AND(ISNUMBER(S1055),ISNUMBER(T1055),T1055&lt;S1055),"Aprobación anterior al envío","")))))))))</f>
        <v/>
      </c>
      <c r="Y1055" s="80">
        <f>IF(COUNTA(B1055,D1055,E1055,F1055,G1055,H1055,I1055,J1055,R1055,S1055,T1055)&gt;0,1,0)</f>
        <v>0</v>
      </c>
      <c r="Z1055" s="80" t="str">
        <f>IF(AND(ISNUMBER(H1055),H1055&gt;=0,H1055&lt;1),ROUND(H1055*1440,0),"")</f>
        <v/>
      </c>
      <c r="AA1055" s="80" t="str">
        <f>IF(AND(ISNUMBER(I1055),I1055&gt;=0,I1055&lt;1),ROUND(I1055*1440,0),"")</f>
        <v/>
      </c>
      <c r="AB1055" s="80">
        <f>IF(AND(ISNUMBER(B1055),D1055&lt;&gt;"",ISNUMBER(Z1055),ISNUMBER(AA1055)),IF(Z1055=AA1055,0,1),0)</f>
        <v>0</v>
      </c>
      <c r="AC1055" s="80">
        <f>IF(AB1055=1,IF(AA1055&lt;Z1055,1,0),0)</f>
        <v>0</v>
      </c>
      <c r="AD1055" s="80">
        <f>IF(AB1055=1,IF(AC1055=1,1440-Z1055+AA1055,AA1055-Z1055),0)</f>
        <v>0</v>
      </c>
      <c r="AE1055" s="80">
        <f>IF(J1055="",0,IF(ISNUMBER(J1055),J1055,-1))</f>
        <v>0</v>
      </c>
      <c r="AF1055" s="80">
        <f>MIN(MAX(0,AE1055),AD1055)</f>
        <v>0</v>
      </c>
      <c r="AG1055" s="80">
        <f>MAX(0,AD1055-MAX(0,AE1055))</f>
        <v>0</v>
      </c>
      <c r="AH1055" s="80">
        <f>IF(ISNUMBER(B1055),IF(AND(INDEX(CFG_WDAYS,WEEKDAY(INT(B1055),2))="Sí",IF(D1055="proMX",COUNTIFS(FER_F,INT(B1055),FER_NLP,"Sí"),COUNTIFS(FER_F,INT(B1055),FER_NLM,"Sí"))=0),1,0),0)</f>
        <v>0</v>
      </c>
      <c r="AI1055" s="80">
        <f>IF(AC1055=1,IF(AND(INDEX(CFG_WDAYS,WEEKDAY(INT(B1055)+1,2))="Sí",IF(D1055="proMX",COUNTIFS(FER_F,INT(B1055)+1,FER_NLP,"Sí"),COUNTIFS(FER_F,INT(B1055)+1,FER_NLM,"Sí"))=0),1,0),0)</f>
        <v>0</v>
      </c>
      <c r="AJ1055" s="80">
        <f>IF(AC1055=1,1440-Z1055,AD1055)</f>
        <v>0</v>
      </c>
      <c r="AK1055" s="80">
        <f>IF(AND(AB1055=1,AH1055=1),MAX(0,MIN(IF(AC1055=1,1440,AA1055),CFG_WEM)-MAX(Z1055,CFG_WSM)),0)</f>
        <v>0</v>
      </c>
      <c r="AL1055" s="80">
        <f>IF(AND(AC1055=1,AI1055=1),MAX(0,MIN(AA1055,CFG_WEM)-CFG_WSM),0)</f>
        <v>0</v>
      </c>
      <c r="AM1055" s="80">
        <f>AK1055+AL1055</f>
        <v>0</v>
      </c>
      <c r="AN1055" s="80">
        <f>IF(CFG_BRK="Proporcional",IF(AD1055=0,0,AF1055*AM1055/AD1055),IF(CFG_BRK="Extras primero",MIN(AM1055,MAX(0,AF1055-(AD1055-AM1055))),MIN(AF1055,AM1055)))</f>
        <v>0</v>
      </c>
      <c r="AO1055" s="80">
        <f>AF1055-AN1055</f>
        <v>0</v>
      </c>
      <c r="AP1055" s="80">
        <f>AM1055-AN1055</f>
        <v>0</v>
      </c>
      <c r="AQ1055" s="80">
        <f>AD1055-AM1055-AO1055</f>
        <v>0</v>
      </c>
      <c r="AR1055" s="80">
        <f>IF(AM1055=0,0,AK1055-AN1055*AK1055/AM1055)</f>
        <v>0</v>
      </c>
      <c r="AS1055" s="80">
        <f>IF(AD1055-AM1055=0,0,(AJ1055-AK1055)-AO1055*(AJ1055-AK1055)/(AD1055-AM1055))</f>
        <v>0</v>
      </c>
      <c r="AT1055" s="80" t="str">
        <f>IF(AC1055=1,INT(B1055)+1,"")</f>
        <v/>
      </c>
      <c r="AU1055" s="80">
        <f>IF(AND(D1055="proMX",R1055="Cancelled"),0,1)</f>
        <v>1</v>
      </c>
      <c r="AV1055" s="80">
        <f>IF(AND(AB1055=1,AU1055=1),IF(COUNTIFS($D$5:D1054,D1055,$B$5:B1054,B1055,$Z$5:Z1054,Z1055,$AA$5:AA1054,AA1055,$F$5:F1054,F1055&amp;"",$AU$5:AU1054,1)&gt;0,1,0),0)</f>
        <v>0</v>
      </c>
      <c r="AW1055" s="80" t="str">
        <f>IF(AB1055=1,INT(B1055)*1440+Z1055,"")</f>
        <v/>
      </c>
      <c r="AX1055" s="80" t="str">
        <f>IF(AB1055=1,AW1055+AD1055,"")</f>
        <v/>
      </c>
      <c r="AY1055" s="80">
        <f>IF(AND(AB1055=1,AV1055=0,AU1055=1),1,0)</f>
        <v>0</v>
      </c>
      <c r="AZ1055" s="80">
        <f>IF(AY1055=1,COUNTIFS(R_Emp,D1055,R_SAbs,"&lt;"&amp;AX1055,R_EAbs,"&gt;"&amp;AW1055,R_OKey,1)-1,0)</f>
        <v>0</v>
      </c>
      <c r="BA1055" s="80">
        <f>IF(AY1055=1,COUNTIFS(R_Emp,"&lt;&gt;"&amp;D1055,R_SAbs,"&lt;"&amp;AX1055,R_EAbs,"&gt;"&amp;AW1055,R_OKey,1),0)</f>
        <v>0</v>
      </c>
      <c r="BB1055" s="80">
        <f>IF(AND(AB1055=1,D1055="proMX"),IF(AND(MOD(Z1055,CFG_BLK)=0,MOD(AA1055,CFG_BLK)=0,MOD(AG1055,CFG_BLK)=0,AG1055&gt;0),1,0),1)</f>
        <v>1</v>
      </c>
      <c r="BC1055" s="80" t="str">
        <f>IF(Y1055=0,"",IF(NOT(ISNUMBER(B1055)),"Falta fecha o fecha inválida",IF(D1055="","Falta empresa",IF(AND(D1055&lt;&gt;"Malcolm",D1055&lt;&gt;"proMX"),"Empresa inválida",IF(OR(INT(B1055)&lt;CFG_PSTART,INT(B1055)&gt;CFG_PEND),"Fecha fuera del período",IF(OR(NOT(ISNUMBER(Z1055)),NOT(ISNUMBER(AA1055))),"Falta hora inicio/fin o formato inválido",IF(AB1055=0,"Hora inicio = hora fin",IF(AE1055&lt;0,"Descanso inválido",IF(AE1055&gt;=AD1055,"Descanso ≥ duración",IF(AV1055=1,"Registro duplicado",IF(AZ1055&gt;0,"Se superpone con otro registro "&amp;D1055,IF(BB1055=0,"inicio, fin y duración neta deben ser múltiplos de "&amp;CFG_BLK&amp;" min",""))))))))))))</f>
        <v/>
      </c>
      <c r="BD1055" s="80">
        <f>IF(AND(Y1055=1,BC1055=""),1,0)</f>
        <v>0</v>
      </c>
      <c r="BE1055" s="80">
        <f>IF(AND(BD1055=1,AU1055=1),1,0)</f>
        <v>0</v>
      </c>
      <c r="BF1055" s="80" t="str">
        <f>IF(AND(D1055="proMX",BD1055=1),IF(R1055="","Draft",R1055),"")</f>
        <v/>
      </c>
      <c r="BG1055" s="80">
        <f>IF(BD1055=1,ROUND(AG1055/60,6),0)</f>
        <v>0</v>
      </c>
      <c r="BH1055" s="80">
        <f>IF(BE1055=1,ROUND(AG1055/60,6),0)</f>
        <v>0</v>
      </c>
      <c r="BI1055" s="80">
        <f>IF(BE1055=1,ROUND(AP1055/60,6),0)</f>
        <v>0</v>
      </c>
      <c r="BJ1055" s="80">
        <f>IF(BE1055=1,ROUND(AQ1055/60,6),0)</f>
        <v>0</v>
      </c>
      <c r="BK1055" s="80">
        <f>IF(BE1055=1,ROUND((AR1055+AS1055)/60,6),0)</f>
        <v>0</v>
      </c>
      <c r="BL1055" s="80">
        <f>ROUND(BH1055-BK1055,6)</f>
        <v>0</v>
      </c>
      <c r="BM1055" s="80">
        <f>IF(BE1055=1,ROUND(AR1055/60,6),0)</f>
        <v>0</v>
      </c>
      <c r="BN1055" s="80">
        <f>ROUND(BI1055-BM1055,6)</f>
        <v>0</v>
      </c>
      <c r="BO1055" s="80">
        <f>IF(BE1055=1,ROUND(AS1055/60,6),0)</f>
        <v>0</v>
      </c>
      <c r="BP1055" s="80">
        <f>ROUND(BJ1055-BO1055,6)</f>
        <v>0</v>
      </c>
      <c r="BQ1055" s="80">
        <f>IF(BE1055=1,AW1055,0)</f>
        <v>0</v>
      </c>
      <c r="BR1055" s="80">
        <f>IF(BE1055=1,AX1055,0)</f>
        <v>0</v>
      </c>
      <c r="BS1055" s="80">
        <f>IF(AND(BE1055=1,D1055="Malcolm",BA1055&gt;0),MIN(BH1055,SUMPRODUCT((R_Emp="proMX")*(R_EN&gt;0)*((R_EN-(R_EN&gt;BR1055)*(R_EN-BR1055))&gt;(R_SN+(R_SN&lt;BQ1055)*(BQ1055-R_SN)))*((R_EN-(R_EN&gt;BR1055)*(R_EN-BR1055))-(R_SN+(R_SN&lt;BQ1055)*(BQ1055-R_SN))))/60),0)</f>
        <v>0</v>
      </c>
      <c r="BT1055" s="80">
        <f>IF(AND(BE1055=1,D1055="proMX"),ROUND(BI1055*CFG_RATE+BJ1055*CFG_OTRATE,6),0)</f>
        <v>0</v>
      </c>
      <c r="BU1055" s="80">
        <f>IF(AND(BD1055=1,D1055="proMX"),ROUND(AG1055/CFG_BLK,6),0)</f>
        <v>0</v>
      </c>
      <c r="BV1055" s="80" t="str">
        <f>IF(BF1055="Approved",IF(ISNUMBER(T1055),INT(T1055),INT(B1055)),"")</f>
        <v/>
      </c>
      <c r="BW1055" s="80">
        <f>IF(ISNUMBER(B1055),IF(DB_MON="Todos",1,IF(AND(INT(B1055)&gt;=DB_MS,INT(B1055)&lt;=DB_ME),1,0)),0)</f>
        <v>0</v>
      </c>
      <c r="BX1055" s="80">
        <f>IF(DB_PROJ="Todos",1,IF(E1055&amp;""=DB_PROJ&amp;"",1,0))</f>
        <v>1</v>
      </c>
      <c r="BY1055" s="80">
        <f>BW1055*BX1055</f>
        <v>0</v>
      </c>
      <c r="BZ1055" s="80" t="str">
        <f>IF(Y1055=1,F1055&amp;IF(AND(F1055&amp;""&lt;&gt;"",E1055&amp;""&lt;&gt;"")," · ","")&amp;E1055,"")</f>
        <v/>
      </c>
      <c r="CA1055" s="80" t="str">
        <f>IF(AND(BD1055=1,E1055&amp;""&lt;&gt;""),IF(COUNTIFS($E$5:E1054,E1055,$BD$5:BD1054,1)=0,MAX($CA$5:CA1054)+1,""),"")</f>
        <v/>
      </c>
      <c r="CB1055" s="80" t="str">
        <f>IF(AND(BE1055=1,D1055="Malcolm",E1055&amp;""&lt;&gt;""),IF(COUNTIFS($D$5:D1054,"Malcolm",$E$5:E1054,E1055,$BE$5:BE1054,1)=0,MAX($CB$5:CB1054)+1,""),"")</f>
        <v/>
      </c>
      <c r="CC1055" s="80" t="str">
        <f>IF(AND(BD1055=1,D1055="proMX",E1055&amp;""&lt;&gt;""),IF(COUNTIFS($D$5:D1054,"proMX",$E$5:E1054,E1055,$BD$5:BD1054,1)=0,MAX($CC$5:CC1054)+1,""),"")</f>
        <v/>
      </c>
      <c r="CD1055" s="80" t="str">
        <f>IF(AND(BE1055=1,D1055="Malcolm",F1055&amp;""&lt;&gt;""),IF(COUNTIFS($D$5:D1054,"Malcolm",$F$5:F1054,F1055,$BE$5:BE1054,1)=0,MAX($CD$5:CD1054)+1,""),"")</f>
        <v/>
      </c>
      <c r="CE1055" s="80" t="str">
        <f>IF(AND(BD1055=1,D1055="proMX",F1055&amp;""&lt;&gt;""),IF(COUNTIFS($D$5:D1054,"proMX",$F$5:F1054,F1055,$BD$5:BD1054,1)=0,MAX($CE$5:CE1054)+1,""),"")</f>
        <v/>
      </c>
      <c r="CF1055" s="80" t="str">
        <f>IF(AND(D1055="proMX",BD1055=1),IF(OR(BF1055="Draft",BF1055="Submitted",BF1055="Returned",BF1055="Recall Requested"),MAX($CF$5:CF1054)+1,""),"")</f>
        <v/>
      </c>
      <c r="CG1055" s="80">
        <f>IF(BD1055=0,0,IF(D1055="Malcolm",1,MATCH(BF1055,{"Draft","Submitted","Approved","Returned","Recall Requested","Cancelled"},0)+1))</f>
        <v>0</v>
      </c>
      <c r="CH1055" s="80">
        <f>IF(AND(BF1055="Submitted",ISNUMBER(V1055)),IF(V1055&gt;CFG_MAXD,1,0),0)</f>
        <v>0</v>
      </c>
    </row>
    <row r="1056">
      <c r="A1056" s="71" t="str">
        <f>IF(Y1056=1,ROW()-5,"")</f>
        <v/>
      </c>
      <c r="B1056" s="72" t="n"/>
      <c r="C1056" s="71" t="str">
        <f>IF(ISNUMBER(B1056),CHOOSE(WEEKDAY(B1056,2),"Lun","Mar","Mié","Jue","Vie","Sáb","Dom"),"")</f>
        <v/>
      </c>
      <c r="D1056" s="73" t="n"/>
      <c r="E1056" s="74" t="n"/>
      <c r="F1056" s="74" t="n"/>
      <c r="G1056" s="74" t="n"/>
      <c r="H1056" s="75" t="n"/>
      <c r="I1056" s="75" t="n"/>
      <c r="J1056" s="76" t="n"/>
      <c r="K1056" s="77" t="str">
        <f>IF(AB1056=1,ROUND(AG1056/60,4),"")</f>
        <v/>
      </c>
      <c r="L1056" s="77" t="str">
        <f>IF(BD1056=1,ROUND(AP1056/60,4),"")</f>
        <v/>
      </c>
      <c r="M1056" s="77" t="str">
        <f>IF(BD1056=1,ROUND(AQ1056/60,4),"")</f>
        <v/>
      </c>
      <c r="N1056" s="71" t="str">
        <f>IF(AND(D1056="proMX",AB1056=1),ROUND(AG1056/CFG_BLK,2),"")</f>
        <v/>
      </c>
      <c r="O1056" s="77" t="str">
        <f>IF(D1056="proMX",IF(BD1056=1,ROUND(AG1056/60,4),0),"")</f>
        <v/>
      </c>
      <c r="P1056" s="78" t="str">
        <f>IF(Y1056=0,"",IF(BD1056=1,"OK",IF(D1056="proMX","Revisar bloques: ","Revisar: ")&amp;BC1056))</f>
        <v/>
      </c>
      <c r="Q1056" s="78" t="str">
        <f>IF(NOT(ISNUMBER(B1056)),"",IF(COUNTIFS(FER_F,INT(B1056))&gt;0,"Feriado"&amp;IF(AH1056=1," (laborable)"," (no laborable)"),IF(AH1056=1,"Laborable",IF(WEEKDAY(B1056,2)&gt;5,"Fin de semana","No laborable"))))</f>
        <v/>
      </c>
      <c r="R1056" s="73" t="n"/>
      <c r="S1056" s="72" t="n"/>
      <c r="T1056" s="72" t="n"/>
      <c r="U1056" s="74" t="n"/>
      <c r="V1056" s="79" t="str">
        <f>IF(AND(D1056="proMX",OR(R1056="Submitted",R1056="Recall Requested"),ISNUMBER(S1056)),CFG_TODAY-INT(S1056),"")</f>
        <v/>
      </c>
      <c r="W1056" s="78" t="str">
        <f>IF(BD1056=0,"",IF(BA1056&gt;0,"⚠ Se superpone con un registro de la otra empresa",IF(D1056="Malcolm",IF(COUNTA(R1056,S1056,T1056)&gt;0,"Estado/fechas proMX se ignoran en Malcolm",""),IF(BF1056="Cancelled","Cancelado: excluido de totales",IF(R1056="","Sin estado: se trata como Draft",IF(BF1056="Submitted",IF(ISNUMBER(V1056),IF(V1056&gt;CFG_MAXD,"⚠ "&amp;V1056&amp;" días en Submitted (máx. "&amp;CFG_MAXD&amp;")",""),"Falta fecha de envío"),IF(BF1056="Returned","⚠ Devuelto: corregir y reenviar",IF(BF1056="Recall Requested","Retirada solicitada: pendiente",IF(AND(BF1056="Approved",NOT(ISNUMBER(T1056))),"Falta fecha de aprobación",IF(AND(ISNUMBER(S1056),ISNUMBER(T1056),T1056&lt;S1056),"Aprobación anterior al envío","")))))))))</f>
        <v/>
      </c>
      <c r="Y1056" s="80">
        <f>IF(COUNTA(B1056,D1056,E1056,F1056,G1056,H1056,I1056,J1056,R1056,S1056,T1056)&gt;0,1,0)</f>
        <v>0</v>
      </c>
      <c r="Z1056" s="80" t="str">
        <f>IF(AND(ISNUMBER(H1056),H1056&gt;=0,H1056&lt;1),ROUND(H1056*1440,0),"")</f>
        <v/>
      </c>
      <c r="AA1056" s="80" t="str">
        <f>IF(AND(ISNUMBER(I1056),I1056&gt;=0,I1056&lt;1),ROUND(I1056*1440,0),"")</f>
        <v/>
      </c>
      <c r="AB1056" s="80">
        <f>IF(AND(ISNUMBER(B1056),D1056&lt;&gt;"",ISNUMBER(Z1056),ISNUMBER(AA1056)),IF(Z1056=AA1056,0,1),0)</f>
        <v>0</v>
      </c>
      <c r="AC1056" s="80">
        <f>IF(AB1056=1,IF(AA1056&lt;Z1056,1,0),0)</f>
        <v>0</v>
      </c>
      <c r="AD1056" s="80">
        <f>IF(AB1056=1,IF(AC1056=1,1440-Z1056+AA1056,AA1056-Z1056),0)</f>
        <v>0</v>
      </c>
      <c r="AE1056" s="80">
        <f>IF(J1056="",0,IF(ISNUMBER(J1056),J1056,-1))</f>
        <v>0</v>
      </c>
      <c r="AF1056" s="80">
        <f>MIN(MAX(0,AE1056),AD1056)</f>
        <v>0</v>
      </c>
      <c r="AG1056" s="80">
        <f>MAX(0,AD1056-MAX(0,AE1056))</f>
        <v>0</v>
      </c>
      <c r="AH1056" s="80">
        <f>IF(ISNUMBER(B1056),IF(AND(INDEX(CFG_WDAYS,WEEKDAY(INT(B1056),2))="Sí",IF(D1056="proMX",COUNTIFS(FER_F,INT(B1056),FER_NLP,"Sí"),COUNTIFS(FER_F,INT(B1056),FER_NLM,"Sí"))=0),1,0),0)</f>
        <v>0</v>
      </c>
      <c r="AI1056" s="80">
        <f>IF(AC1056=1,IF(AND(INDEX(CFG_WDAYS,WEEKDAY(INT(B1056)+1,2))="Sí",IF(D1056="proMX",COUNTIFS(FER_F,INT(B1056)+1,FER_NLP,"Sí"),COUNTIFS(FER_F,INT(B1056)+1,FER_NLM,"Sí"))=0),1,0),0)</f>
        <v>0</v>
      </c>
      <c r="AJ1056" s="80">
        <f>IF(AC1056=1,1440-Z1056,AD1056)</f>
        <v>0</v>
      </c>
      <c r="AK1056" s="80">
        <f>IF(AND(AB1056=1,AH1056=1),MAX(0,MIN(IF(AC1056=1,1440,AA1056),CFG_WEM)-MAX(Z1056,CFG_WSM)),0)</f>
        <v>0</v>
      </c>
      <c r="AL1056" s="80">
        <f>IF(AND(AC1056=1,AI1056=1),MAX(0,MIN(AA1056,CFG_WEM)-CFG_WSM),0)</f>
        <v>0</v>
      </c>
      <c r="AM1056" s="80">
        <f>AK1056+AL1056</f>
        <v>0</v>
      </c>
      <c r="AN1056" s="80">
        <f>IF(CFG_BRK="Proporcional",IF(AD1056=0,0,AF1056*AM1056/AD1056),IF(CFG_BRK="Extras primero",MIN(AM1056,MAX(0,AF1056-(AD1056-AM1056))),MIN(AF1056,AM1056)))</f>
        <v>0</v>
      </c>
      <c r="AO1056" s="80">
        <f>AF1056-AN1056</f>
        <v>0</v>
      </c>
      <c r="AP1056" s="80">
        <f>AM1056-AN1056</f>
        <v>0</v>
      </c>
      <c r="AQ1056" s="80">
        <f>AD1056-AM1056-AO1056</f>
        <v>0</v>
      </c>
      <c r="AR1056" s="80">
        <f>IF(AM1056=0,0,AK1056-AN1056*AK1056/AM1056)</f>
        <v>0</v>
      </c>
      <c r="AS1056" s="80">
        <f>IF(AD1056-AM1056=0,0,(AJ1056-AK1056)-AO1056*(AJ1056-AK1056)/(AD1056-AM1056))</f>
        <v>0</v>
      </c>
      <c r="AT1056" s="80" t="str">
        <f>IF(AC1056=1,INT(B1056)+1,"")</f>
        <v/>
      </c>
      <c r="AU1056" s="80">
        <f>IF(AND(D1056="proMX",R1056="Cancelled"),0,1)</f>
        <v>1</v>
      </c>
      <c r="AV1056" s="80">
        <f>IF(AND(AB1056=1,AU1056=1),IF(COUNTIFS($D$5:D1055,D1056,$B$5:B1055,B1056,$Z$5:Z1055,Z1056,$AA$5:AA1055,AA1056,$F$5:F1055,F1056&amp;"",$AU$5:AU1055,1)&gt;0,1,0),0)</f>
        <v>0</v>
      </c>
      <c r="AW1056" s="80" t="str">
        <f>IF(AB1056=1,INT(B1056)*1440+Z1056,"")</f>
        <v/>
      </c>
      <c r="AX1056" s="80" t="str">
        <f>IF(AB1056=1,AW1056+AD1056,"")</f>
        <v/>
      </c>
      <c r="AY1056" s="80">
        <f>IF(AND(AB1056=1,AV1056=0,AU1056=1),1,0)</f>
        <v>0</v>
      </c>
      <c r="AZ1056" s="80">
        <f>IF(AY1056=1,COUNTIFS(R_Emp,D1056,R_SAbs,"&lt;"&amp;AX1056,R_EAbs,"&gt;"&amp;AW1056,R_OKey,1)-1,0)</f>
        <v>0</v>
      </c>
      <c r="BA1056" s="80">
        <f>IF(AY1056=1,COUNTIFS(R_Emp,"&lt;&gt;"&amp;D1056,R_SAbs,"&lt;"&amp;AX1056,R_EAbs,"&gt;"&amp;AW1056,R_OKey,1),0)</f>
        <v>0</v>
      </c>
      <c r="BB1056" s="80">
        <f>IF(AND(AB1056=1,D1056="proMX"),IF(AND(MOD(Z1056,CFG_BLK)=0,MOD(AA1056,CFG_BLK)=0,MOD(AG1056,CFG_BLK)=0,AG1056&gt;0),1,0),1)</f>
        <v>1</v>
      </c>
      <c r="BC1056" s="80" t="str">
        <f>IF(Y1056=0,"",IF(NOT(ISNUMBER(B1056)),"Falta fecha o fecha inválida",IF(D1056="","Falta empresa",IF(AND(D1056&lt;&gt;"Malcolm",D1056&lt;&gt;"proMX"),"Empresa inválida",IF(OR(INT(B1056)&lt;CFG_PSTART,INT(B1056)&gt;CFG_PEND),"Fecha fuera del período",IF(OR(NOT(ISNUMBER(Z1056)),NOT(ISNUMBER(AA1056))),"Falta hora inicio/fin o formato inválido",IF(AB1056=0,"Hora inicio = hora fin",IF(AE1056&lt;0,"Descanso inválido",IF(AE1056&gt;=AD1056,"Descanso ≥ duración",IF(AV1056=1,"Registro duplicado",IF(AZ1056&gt;0,"Se superpone con otro registro "&amp;D1056,IF(BB1056=0,"inicio, fin y duración neta deben ser múltiplos de "&amp;CFG_BLK&amp;" min",""))))))))))))</f>
        <v/>
      </c>
      <c r="BD1056" s="80">
        <f>IF(AND(Y1056=1,BC1056=""),1,0)</f>
        <v>0</v>
      </c>
      <c r="BE1056" s="80">
        <f>IF(AND(BD1056=1,AU1056=1),1,0)</f>
        <v>0</v>
      </c>
      <c r="BF1056" s="80" t="str">
        <f>IF(AND(D1056="proMX",BD1056=1),IF(R1056="","Draft",R1056),"")</f>
        <v/>
      </c>
      <c r="BG1056" s="80">
        <f>IF(BD1056=1,ROUND(AG1056/60,6),0)</f>
        <v>0</v>
      </c>
      <c r="BH1056" s="80">
        <f>IF(BE1056=1,ROUND(AG1056/60,6),0)</f>
        <v>0</v>
      </c>
      <c r="BI1056" s="80">
        <f>IF(BE1056=1,ROUND(AP1056/60,6),0)</f>
        <v>0</v>
      </c>
      <c r="BJ1056" s="80">
        <f>IF(BE1056=1,ROUND(AQ1056/60,6),0)</f>
        <v>0</v>
      </c>
      <c r="BK1056" s="80">
        <f>IF(BE1056=1,ROUND((AR1056+AS1056)/60,6),0)</f>
        <v>0</v>
      </c>
      <c r="BL1056" s="80">
        <f>ROUND(BH1056-BK1056,6)</f>
        <v>0</v>
      </c>
      <c r="BM1056" s="80">
        <f>IF(BE1056=1,ROUND(AR1056/60,6),0)</f>
        <v>0</v>
      </c>
      <c r="BN1056" s="80">
        <f>ROUND(BI1056-BM1056,6)</f>
        <v>0</v>
      </c>
      <c r="BO1056" s="80">
        <f>IF(BE1056=1,ROUND(AS1056/60,6),0)</f>
        <v>0</v>
      </c>
      <c r="BP1056" s="80">
        <f>ROUND(BJ1056-BO1056,6)</f>
        <v>0</v>
      </c>
      <c r="BQ1056" s="80">
        <f>IF(BE1056=1,AW1056,0)</f>
        <v>0</v>
      </c>
      <c r="BR1056" s="80">
        <f>IF(BE1056=1,AX1056,0)</f>
        <v>0</v>
      </c>
      <c r="BS1056" s="80">
        <f>IF(AND(BE1056=1,D1056="Malcolm",BA1056&gt;0),MIN(BH1056,SUMPRODUCT((R_Emp="proMX")*(R_EN&gt;0)*((R_EN-(R_EN&gt;BR1056)*(R_EN-BR1056))&gt;(R_SN+(R_SN&lt;BQ1056)*(BQ1056-R_SN)))*((R_EN-(R_EN&gt;BR1056)*(R_EN-BR1056))-(R_SN+(R_SN&lt;BQ1056)*(BQ1056-R_SN))))/60),0)</f>
        <v>0</v>
      </c>
      <c r="BT1056" s="80">
        <f>IF(AND(BE1056=1,D1056="proMX"),ROUND(BI1056*CFG_RATE+BJ1056*CFG_OTRATE,6),0)</f>
        <v>0</v>
      </c>
      <c r="BU1056" s="80">
        <f>IF(AND(BD1056=1,D1056="proMX"),ROUND(AG1056/CFG_BLK,6),0)</f>
        <v>0</v>
      </c>
      <c r="BV1056" s="80" t="str">
        <f>IF(BF1056="Approved",IF(ISNUMBER(T1056),INT(T1056),INT(B1056)),"")</f>
        <v/>
      </c>
      <c r="BW1056" s="80">
        <f>IF(ISNUMBER(B1056),IF(DB_MON="Todos",1,IF(AND(INT(B1056)&gt;=DB_MS,INT(B1056)&lt;=DB_ME),1,0)),0)</f>
        <v>0</v>
      </c>
      <c r="BX1056" s="80">
        <f>IF(DB_PROJ="Todos",1,IF(E1056&amp;""=DB_PROJ&amp;"",1,0))</f>
        <v>1</v>
      </c>
      <c r="BY1056" s="80">
        <f>BW1056*BX1056</f>
        <v>0</v>
      </c>
      <c r="BZ1056" s="80" t="str">
        <f>IF(Y1056=1,F1056&amp;IF(AND(F1056&amp;""&lt;&gt;"",E1056&amp;""&lt;&gt;"")," · ","")&amp;E1056,"")</f>
        <v/>
      </c>
      <c r="CA1056" s="80" t="str">
        <f>IF(AND(BD1056=1,E1056&amp;""&lt;&gt;""),IF(COUNTIFS($E$5:E1055,E1056,$BD$5:BD1055,1)=0,MAX($CA$5:CA1055)+1,""),"")</f>
        <v/>
      </c>
      <c r="CB1056" s="80" t="str">
        <f>IF(AND(BE1056=1,D1056="Malcolm",E1056&amp;""&lt;&gt;""),IF(COUNTIFS($D$5:D1055,"Malcolm",$E$5:E1055,E1056,$BE$5:BE1055,1)=0,MAX($CB$5:CB1055)+1,""),"")</f>
        <v/>
      </c>
      <c r="CC1056" s="80" t="str">
        <f>IF(AND(BD1056=1,D1056="proMX",E1056&amp;""&lt;&gt;""),IF(COUNTIFS($D$5:D1055,"proMX",$E$5:E1055,E1056,$BD$5:BD1055,1)=0,MAX($CC$5:CC1055)+1,""),"")</f>
        <v/>
      </c>
      <c r="CD1056" s="80" t="str">
        <f>IF(AND(BE1056=1,D1056="Malcolm",F1056&amp;""&lt;&gt;""),IF(COUNTIFS($D$5:D1055,"Malcolm",$F$5:F1055,F1056,$BE$5:BE1055,1)=0,MAX($CD$5:CD1055)+1,""),"")</f>
        <v/>
      </c>
      <c r="CE1056" s="80" t="str">
        <f>IF(AND(BD1056=1,D1056="proMX",F1056&amp;""&lt;&gt;""),IF(COUNTIFS($D$5:D1055,"proMX",$F$5:F1055,F1056,$BD$5:BD1055,1)=0,MAX($CE$5:CE1055)+1,""),"")</f>
        <v/>
      </c>
      <c r="CF1056" s="80" t="str">
        <f>IF(AND(D1056="proMX",BD1056=1),IF(OR(BF1056="Draft",BF1056="Submitted",BF1056="Returned",BF1056="Recall Requested"),MAX($CF$5:CF1055)+1,""),"")</f>
        <v/>
      </c>
      <c r="CG1056" s="80">
        <f>IF(BD1056=0,0,IF(D1056="Malcolm",1,MATCH(BF1056,{"Draft","Submitted","Approved","Returned","Recall Requested","Cancelled"},0)+1))</f>
        <v>0</v>
      </c>
      <c r="CH1056" s="80">
        <f>IF(AND(BF1056="Submitted",ISNUMBER(V1056)),IF(V1056&gt;CFG_MAXD,1,0),0)</f>
        <v>0</v>
      </c>
    </row>
    <row r="1057">
      <c r="A1057" s="71" t="str">
        <f>IF(Y1057=1,ROW()-5,"")</f>
        <v/>
      </c>
      <c r="B1057" s="72" t="n"/>
      <c r="C1057" s="71" t="str">
        <f>IF(ISNUMBER(B1057),CHOOSE(WEEKDAY(B1057,2),"Lun","Mar","Mié","Jue","Vie","Sáb","Dom"),"")</f>
        <v/>
      </c>
      <c r="D1057" s="73" t="n"/>
      <c r="E1057" s="74" t="n"/>
      <c r="F1057" s="74" t="n"/>
      <c r="G1057" s="74" t="n"/>
      <c r="H1057" s="75" t="n"/>
      <c r="I1057" s="75" t="n"/>
      <c r="J1057" s="76" t="n"/>
      <c r="K1057" s="77" t="str">
        <f>IF(AB1057=1,ROUND(AG1057/60,4),"")</f>
        <v/>
      </c>
      <c r="L1057" s="77" t="str">
        <f>IF(BD1057=1,ROUND(AP1057/60,4),"")</f>
        <v/>
      </c>
      <c r="M1057" s="77" t="str">
        <f>IF(BD1057=1,ROUND(AQ1057/60,4),"")</f>
        <v/>
      </c>
      <c r="N1057" s="71" t="str">
        <f>IF(AND(D1057="proMX",AB1057=1),ROUND(AG1057/CFG_BLK,2),"")</f>
        <v/>
      </c>
      <c r="O1057" s="77" t="str">
        <f>IF(D1057="proMX",IF(BD1057=1,ROUND(AG1057/60,4),0),"")</f>
        <v/>
      </c>
      <c r="P1057" s="78" t="str">
        <f>IF(Y1057=0,"",IF(BD1057=1,"OK",IF(D1057="proMX","Revisar bloques: ","Revisar: ")&amp;BC1057))</f>
        <v/>
      </c>
      <c r="Q1057" s="78" t="str">
        <f>IF(NOT(ISNUMBER(B1057)),"",IF(COUNTIFS(FER_F,INT(B1057))&gt;0,"Feriado"&amp;IF(AH1057=1," (laborable)"," (no laborable)"),IF(AH1057=1,"Laborable",IF(WEEKDAY(B1057,2)&gt;5,"Fin de semana","No laborable"))))</f>
        <v/>
      </c>
      <c r="R1057" s="73" t="n"/>
      <c r="S1057" s="72" t="n"/>
      <c r="T1057" s="72" t="n"/>
      <c r="U1057" s="74" t="n"/>
      <c r="V1057" s="79" t="str">
        <f>IF(AND(D1057="proMX",OR(R1057="Submitted",R1057="Recall Requested"),ISNUMBER(S1057)),CFG_TODAY-INT(S1057),"")</f>
        <v/>
      </c>
      <c r="W1057" s="78" t="str">
        <f>IF(BD1057=0,"",IF(BA1057&gt;0,"⚠ Se superpone con un registro de la otra empresa",IF(D1057="Malcolm",IF(COUNTA(R1057,S1057,T1057)&gt;0,"Estado/fechas proMX se ignoran en Malcolm",""),IF(BF1057="Cancelled","Cancelado: excluido de totales",IF(R1057="","Sin estado: se trata como Draft",IF(BF1057="Submitted",IF(ISNUMBER(V1057),IF(V1057&gt;CFG_MAXD,"⚠ "&amp;V1057&amp;" días en Submitted (máx. "&amp;CFG_MAXD&amp;")",""),"Falta fecha de envío"),IF(BF1057="Returned","⚠ Devuelto: corregir y reenviar",IF(BF1057="Recall Requested","Retirada solicitada: pendiente",IF(AND(BF1057="Approved",NOT(ISNUMBER(T1057))),"Falta fecha de aprobación",IF(AND(ISNUMBER(S1057),ISNUMBER(T1057),T1057&lt;S1057),"Aprobación anterior al envío","")))))))))</f>
        <v/>
      </c>
      <c r="Y1057" s="80">
        <f>IF(COUNTA(B1057,D1057,E1057,F1057,G1057,H1057,I1057,J1057,R1057,S1057,T1057)&gt;0,1,0)</f>
        <v>0</v>
      </c>
      <c r="Z1057" s="80" t="str">
        <f>IF(AND(ISNUMBER(H1057),H1057&gt;=0,H1057&lt;1),ROUND(H1057*1440,0),"")</f>
        <v/>
      </c>
      <c r="AA1057" s="80" t="str">
        <f>IF(AND(ISNUMBER(I1057),I1057&gt;=0,I1057&lt;1),ROUND(I1057*1440,0),"")</f>
        <v/>
      </c>
      <c r="AB1057" s="80">
        <f>IF(AND(ISNUMBER(B1057),D1057&lt;&gt;"",ISNUMBER(Z1057),ISNUMBER(AA1057)),IF(Z1057=AA1057,0,1),0)</f>
        <v>0</v>
      </c>
      <c r="AC1057" s="80">
        <f>IF(AB1057=1,IF(AA1057&lt;Z1057,1,0),0)</f>
        <v>0</v>
      </c>
      <c r="AD1057" s="80">
        <f>IF(AB1057=1,IF(AC1057=1,1440-Z1057+AA1057,AA1057-Z1057),0)</f>
        <v>0</v>
      </c>
      <c r="AE1057" s="80">
        <f>IF(J1057="",0,IF(ISNUMBER(J1057),J1057,-1))</f>
        <v>0</v>
      </c>
      <c r="AF1057" s="80">
        <f>MIN(MAX(0,AE1057),AD1057)</f>
        <v>0</v>
      </c>
      <c r="AG1057" s="80">
        <f>MAX(0,AD1057-MAX(0,AE1057))</f>
        <v>0</v>
      </c>
      <c r="AH1057" s="80">
        <f>IF(ISNUMBER(B1057),IF(AND(INDEX(CFG_WDAYS,WEEKDAY(INT(B1057),2))="Sí",IF(D1057="proMX",COUNTIFS(FER_F,INT(B1057),FER_NLP,"Sí"),COUNTIFS(FER_F,INT(B1057),FER_NLM,"Sí"))=0),1,0),0)</f>
        <v>0</v>
      </c>
      <c r="AI1057" s="80">
        <f>IF(AC1057=1,IF(AND(INDEX(CFG_WDAYS,WEEKDAY(INT(B1057)+1,2))="Sí",IF(D1057="proMX",COUNTIFS(FER_F,INT(B1057)+1,FER_NLP,"Sí"),COUNTIFS(FER_F,INT(B1057)+1,FER_NLM,"Sí"))=0),1,0),0)</f>
        <v>0</v>
      </c>
      <c r="AJ1057" s="80">
        <f>IF(AC1057=1,1440-Z1057,AD1057)</f>
        <v>0</v>
      </c>
      <c r="AK1057" s="80">
        <f>IF(AND(AB1057=1,AH1057=1),MAX(0,MIN(IF(AC1057=1,1440,AA1057),CFG_WEM)-MAX(Z1057,CFG_WSM)),0)</f>
        <v>0</v>
      </c>
      <c r="AL1057" s="80">
        <f>IF(AND(AC1057=1,AI1057=1),MAX(0,MIN(AA1057,CFG_WEM)-CFG_WSM),0)</f>
        <v>0</v>
      </c>
      <c r="AM1057" s="80">
        <f>AK1057+AL1057</f>
        <v>0</v>
      </c>
      <c r="AN1057" s="80">
        <f>IF(CFG_BRK="Proporcional",IF(AD1057=0,0,AF1057*AM1057/AD1057),IF(CFG_BRK="Extras primero",MIN(AM1057,MAX(0,AF1057-(AD1057-AM1057))),MIN(AF1057,AM1057)))</f>
        <v>0</v>
      </c>
      <c r="AO1057" s="80">
        <f>AF1057-AN1057</f>
        <v>0</v>
      </c>
      <c r="AP1057" s="80">
        <f>AM1057-AN1057</f>
        <v>0</v>
      </c>
      <c r="AQ1057" s="80">
        <f>AD1057-AM1057-AO1057</f>
        <v>0</v>
      </c>
      <c r="AR1057" s="80">
        <f>IF(AM1057=0,0,AK1057-AN1057*AK1057/AM1057)</f>
        <v>0</v>
      </c>
      <c r="AS1057" s="80">
        <f>IF(AD1057-AM1057=0,0,(AJ1057-AK1057)-AO1057*(AJ1057-AK1057)/(AD1057-AM1057))</f>
        <v>0</v>
      </c>
      <c r="AT1057" s="80" t="str">
        <f>IF(AC1057=1,INT(B1057)+1,"")</f>
        <v/>
      </c>
      <c r="AU1057" s="80">
        <f>IF(AND(D1057="proMX",R1057="Cancelled"),0,1)</f>
        <v>1</v>
      </c>
      <c r="AV1057" s="80">
        <f>IF(AND(AB1057=1,AU1057=1),IF(COUNTIFS($D$5:D1056,D1057,$B$5:B1056,B1057,$Z$5:Z1056,Z1057,$AA$5:AA1056,AA1057,$F$5:F1056,F1057&amp;"",$AU$5:AU1056,1)&gt;0,1,0),0)</f>
        <v>0</v>
      </c>
      <c r="AW1057" s="80" t="str">
        <f>IF(AB1057=1,INT(B1057)*1440+Z1057,"")</f>
        <v/>
      </c>
      <c r="AX1057" s="80" t="str">
        <f>IF(AB1057=1,AW1057+AD1057,"")</f>
        <v/>
      </c>
      <c r="AY1057" s="80">
        <f>IF(AND(AB1057=1,AV1057=0,AU1057=1),1,0)</f>
        <v>0</v>
      </c>
      <c r="AZ1057" s="80">
        <f>IF(AY1057=1,COUNTIFS(R_Emp,D1057,R_SAbs,"&lt;"&amp;AX1057,R_EAbs,"&gt;"&amp;AW1057,R_OKey,1)-1,0)</f>
        <v>0</v>
      </c>
      <c r="BA1057" s="80">
        <f>IF(AY1057=1,COUNTIFS(R_Emp,"&lt;&gt;"&amp;D1057,R_SAbs,"&lt;"&amp;AX1057,R_EAbs,"&gt;"&amp;AW1057,R_OKey,1),0)</f>
        <v>0</v>
      </c>
      <c r="BB1057" s="80">
        <f>IF(AND(AB1057=1,D1057="proMX"),IF(AND(MOD(Z1057,CFG_BLK)=0,MOD(AA1057,CFG_BLK)=0,MOD(AG1057,CFG_BLK)=0,AG1057&gt;0),1,0),1)</f>
        <v>1</v>
      </c>
      <c r="BC1057" s="80" t="str">
        <f>IF(Y1057=0,"",IF(NOT(ISNUMBER(B1057)),"Falta fecha o fecha inválida",IF(D1057="","Falta empresa",IF(AND(D1057&lt;&gt;"Malcolm",D1057&lt;&gt;"proMX"),"Empresa inválida",IF(OR(INT(B1057)&lt;CFG_PSTART,INT(B1057)&gt;CFG_PEND),"Fecha fuera del período",IF(OR(NOT(ISNUMBER(Z1057)),NOT(ISNUMBER(AA1057))),"Falta hora inicio/fin o formato inválido",IF(AB1057=0,"Hora inicio = hora fin",IF(AE1057&lt;0,"Descanso inválido",IF(AE1057&gt;=AD1057,"Descanso ≥ duración",IF(AV1057=1,"Registro duplicado",IF(AZ1057&gt;0,"Se superpone con otro registro "&amp;D1057,IF(BB1057=0,"inicio, fin y duración neta deben ser múltiplos de "&amp;CFG_BLK&amp;" min",""))))))))))))</f>
        <v/>
      </c>
      <c r="BD1057" s="80">
        <f>IF(AND(Y1057=1,BC1057=""),1,0)</f>
        <v>0</v>
      </c>
      <c r="BE1057" s="80">
        <f>IF(AND(BD1057=1,AU1057=1),1,0)</f>
        <v>0</v>
      </c>
      <c r="BF1057" s="80" t="str">
        <f>IF(AND(D1057="proMX",BD1057=1),IF(R1057="","Draft",R1057),"")</f>
        <v/>
      </c>
      <c r="BG1057" s="80">
        <f>IF(BD1057=1,ROUND(AG1057/60,6),0)</f>
        <v>0</v>
      </c>
      <c r="BH1057" s="80">
        <f>IF(BE1057=1,ROUND(AG1057/60,6),0)</f>
        <v>0</v>
      </c>
      <c r="BI1057" s="80">
        <f>IF(BE1057=1,ROUND(AP1057/60,6),0)</f>
        <v>0</v>
      </c>
      <c r="BJ1057" s="80">
        <f>IF(BE1057=1,ROUND(AQ1057/60,6),0)</f>
        <v>0</v>
      </c>
      <c r="BK1057" s="80">
        <f>IF(BE1057=1,ROUND((AR1057+AS1057)/60,6),0)</f>
        <v>0</v>
      </c>
      <c r="BL1057" s="80">
        <f>ROUND(BH1057-BK1057,6)</f>
        <v>0</v>
      </c>
      <c r="BM1057" s="80">
        <f>IF(BE1057=1,ROUND(AR1057/60,6),0)</f>
        <v>0</v>
      </c>
      <c r="BN1057" s="80">
        <f>ROUND(BI1057-BM1057,6)</f>
        <v>0</v>
      </c>
      <c r="BO1057" s="80">
        <f>IF(BE1057=1,ROUND(AS1057/60,6),0)</f>
        <v>0</v>
      </c>
      <c r="BP1057" s="80">
        <f>ROUND(BJ1057-BO1057,6)</f>
        <v>0</v>
      </c>
      <c r="BQ1057" s="80">
        <f>IF(BE1057=1,AW1057,0)</f>
        <v>0</v>
      </c>
      <c r="BR1057" s="80">
        <f>IF(BE1057=1,AX1057,0)</f>
        <v>0</v>
      </c>
      <c r="BS1057" s="80">
        <f>IF(AND(BE1057=1,D1057="Malcolm",BA1057&gt;0),MIN(BH1057,SUMPRODUCT((R_Emp="proMX")*(R_EN&gt;0)*((R_EN-(R_EN&gt;BR1057)*(R_EN-BR1057))&gt;(R_SN+(R_SN&lt;BQ1057)*(BQ1057-R_SN)))*((R_EN-(R_EN&gt;BR1057)*(R_EN-BR1057))-(R_SN+(R_SN&lt;BQ1057)*(BQ1057-R_SN))))/60),0)</f>
        <v>0</v>
      </c>
      <c r="BT1057" s="80">
        <f>IF(AND(BE1057=1,D1057="proMX"),ROUND(BI1057*CFG_RATE+BJ1057*CFG_OTRATE,6),0)</f>
        <v>0</v>
      </c>
      <c r="BU1057" s="80">
        <f>IF(AND(BD1057=1,D1057="proMX"),ROUND(AG1057/CFG_BLK,6),0)</f>
        <v>0</v>
      </c>
      <c r="BV1057" s="80" t="str">
        <f>IF(BF1057="Approved",IF(ISNUMBER(T1057),INT(T1057),INT(B1057)),"")</f>
        <v/>
      </c>
      <c r="BW1057" s="80">
        <f>IF(ISNUMBER(B1057),IF(DB_MON="Todos",1,IF(AND(INT(B1057)&gt;=DB_MS,INT(B1057)&lt;=DB_ME),1,0)),0)</f>
        <v>0</v>
      </c>
      <c r="BX1057" s="80">
        <f>IF(DB_PROJ="Todos",1,IF(E1057&amp;""=DB_PROJ&amp;"",1,0))</f>
        <v>1</v>
      </c>
      <c r="BY1057" s="80">
        <f>BW1057*BX1057</f>
        <v>0</v>
      </c>
      <c r="BZ1057" s="80" t="str">
        <f>IF(Y1057=1,F1057&amp;IF(AND(F1057&amp;""&lt;&gt;"",E1057&amp;""&lt;&gt;"")," · ","")&amp;E1057,"")</f>
        <v/>
      </c>
      <c r="CA1057" s="80" t="str">
        <f>IF(AND(BD1057=1,E1057&amp;""&lt;&gt;""),IF(COUNTIFS($E$5:E1056,E1057,$BD$5:BD1056,1)=0,MAX($CA$5:CA1056)+1,""),"")</f>
        <v/>
      </c>
      <c r="CB1057" s="80" t="str">
        <f>IF(AND(BE1057=1,D1057="Malcolm",E1057&amp;""&lt;&gt;""),IF(COUNTIFS($D$5:D1056,"Malcolm",$E$5:E1056,E1057,$BE$5:BE1056,1)=0,MAX($CB$5:CB1056)+1,""),"")</f>
        <v/>
      </c>
      <c r="CC1057" s="80" t="str">
        <f>IF(AND(BD1057=1,D1057="proMX",E1057&amp;""&lt;&gt;""),IF(COUNTIFS($D$5:D1056,"proMX",$E$5:E1056,E1057,$BD$5:BD1056,1)=0,MAX($CC$5:CC1056)+1,""),"")</f>
        <v/>
      </c>
      <c r="CD1057" s="80" t="str">
        <f>IF(AND(BE1057=1,D1057="Malcolm",F1057&amp;""&lt;&gt;""),IF(COUNTIFS($D$5:D1056,"Malcolm",$F$5:F1056,F1057,$BE$5:BE1056,1)=0,MAX($CD$5:CD1056)+1,""),"")</f>
        <v/>
      </c>
      <c r="CE1057" s="80" t="str">
        <f>IF(AND(BD1057=1,D1057="proMX",F1057&amp;""&lt;&gt;""),IF(COUNTIFS($D$5:D1056,"proMX",$F$5:F1056,F1057,$BD$5:BD1056,1)=0,MAX($CE$5:CE1056)+1,""),"")</f>
        <v/>
      </c>
      <c r="CF1057" s="80" t="str">
        <f>IF(AND(D1057="proMX",BD1057=1),IF(OR(BF1057="Draft",BF1057="Submitted",BF1057="Returned",BF1057="Recall Requested"),MAX($CF$5:CF1056)+1,""),"")</f>
        <v/>
      </c>
      <c r="CG1057" s="80">
        <f>IF(BD1057=0,0,IF(D1057="Malcolm",1,MATCH(BF1057,{"Draft","Submitted","Approved","Returned","Recall Requested","Cancelled"},0)+1))</f>
        <v>0</v>
      </c>
      <c r="CH1057" s="80">
        <f>IF(AND(BF1057="Submitted",ISNUMBER(V1057)),IF(V1057&gt;CFG_MAXD,1,0),0)</f>
        <v>0</v>
      </c>
    </row>
    <row r="1058">
      <c r="A1058" s="71" t="str">
        <f>IF(Y1058=1,ROW()-5,"")</f>
        <v/>
      </c>
      <c r="B1058" s="72" t="n"/>
      <c r="C1058" s="71" t="str">
        <f>IF(ISNUMBER(B1058),CHOOSE(WEEKDAY(B1058,2),"Lun","Mar","Mié","Jue","Vie","Sáb","Dom"),"")</f>
        <v/>
      </c>
      <c r="D1058" s="73" t="n"/>
      <c r="E1058" s="74" t="n"/>
      <c r="F1058" s="74" t="n"/>
      <c r="G1058" s="74" t="n"/>
      <c r="H1058" s="75" t="n"/>
      <c r="I1058" s="75" t="n"/>
      <c r="J1058" s="76" t="n"/>
      <c r="K1058" s="77" t="str">
        <f>IF(AB1058=1,ROUND(AG1058/60,4),"")</f>
        <v/>
      </c>
      <c r="L1058" s="77" t="str">
        <f>IF(BD1058=1,ROUND(AP1058/60,4),"")</f>
        <v/>
      </c>
      <c r="M1058" s="77" t="str">
        <f>IF(BD1058=1,ROUND(AQ1058/60,4),"")</f>
        <v/>
      </c>
      <c r="N1058" s="71" t="str">
        <f>IF(AND(D1058="proMX",AB1058=1),ROUND(AG1058/CFG_BLK,2),"")</f>
        <v/>
      </c>
      <c r="O1058" s="77" t="str">
        <f>IF(D1058="proMX",IF(BD1058=1,ROUND(AG1058/60,4),0),"")</f>
        <v/>
      </c>
      <c r="P1058" s="78" t="str">
        <f>IF(Y1058=0,"",IF(BD1058=1,"OK",IF(D1058="proMX","Revisar bloques: ","Revisar: ")&amp;BC1058))</f>
        <v/>
      </c>
      <c r="Q1058" s="78" t="str">
        <f>IF(NOT(ISNUMBER(B1058)),"",IF(COUNTIFS(FER_F,INT(B1058))&gt;0,"Feriado"&amp;IF(AH1058=1," (laborable)"," (no laborable)"),IF(AH1058=1,"Laborable",IF(WEEKDAY(B1058,2)&gt;5,"Fin de semana","No laborable"))))</f>
        <v/>
      </c>
      <c r="R1058" s="73" t="n"/>
      <c r="S1058" s="72" t="n"/>
      <c r="T1058" s="72" t="n"/>
      <c r="U1058" s="74" t="n"/>
      <c r="V1058" s="79" t="str">
        <f>IF(AND(D1058="proMX",OR(R1058="Submitted",R1058="Recall Requested"),ISNUMBER(S1058)),CFG_TODAY-INT(S1058),"")</f>
        <v/>
      </c>
      <c r="W1058" s="78" t="str">
        <f>IF(BD1058=0,"",IF(BA1058&gt;0,"⚠ Se superpone con un registro de la otra empresa",IF(D1058="Malcolm",IF(COUNTA(R1058,S1058,T1058)&gt;0,"Estado/fechas proMX se ignoran en Malcolm",""),IF(BF1058="Cancelled","Cancelado: excluido de totales",IF(R1058="","Sin estado: se trata como Draft",IF(BF1058="Submitted",IF(ISNUMBER(V1058),IF(V1058&gt;CFG_MAXD,"⚠ "&amp;V1058&amp;" días en Submitted (máx. "&amp;CFG_MAXD&amp;")",""),"Falta fecha de envío"),IF(BF1058="Returned","⚠ Devuelto: corregir y reenviar",IF(BF1058="Recall Requested","Retirada solicitada: pendiente",IF(AND(BF1058="Approved",NOT(ISNUMBER(T1058))),"Falta fecha de aprobación",IF(AND(ISNUMBER(S1058),ISNUMBER(T1058),T1058&lt;S1058),"Aprobación anterior al envío","")))))))))</f>
        <v/>
      </c>
      <c r="Y1058" s="80">
        <f>IF(COUNTA(B1058,D1058,E1058,F1058,G1058,H1058,I1058,J1058,R1058,S1058,T1058)&gt;0,1,0)</f>
        <v>0</v>
      </c>
      <c r="Z1058" s="80" t="str">
        <f>IF(AND(ISNUMBER(H1058),H1058&gt;=0,H1058&lt;1),ROUND(H1058*1440,0),"")</f>
        <v/>
      </c>
      <c r="AA1058" s="80" t="str">
        <f>IF(AND(ISNUMBER(I1058),I1058&gt;=0,I1058&lt;1),ROUND(I1058*1440,0),"")</f>
        <v/>
      </c>
      <c r="AB1058" s="80">
        <f>IF(AND(ISNUMBER(B1058),D1058&lt;&gt;"",ISNUMBER(Z1058),ISNUMBER(AA1058)),IF(Z1058=AA1058,0,1),0)</f>
        <v>0</v>
      </c>
      <c r="AC1058" s="80">
        <f>IF(AB1058=1,IF(AA1058&lt;Z1058,1,0),0)</f>
        <v>0</v>
      </c>
      <c r="AD1058" s="80">
        <f>IF(AB1058=1,IF(AC1058=1,1440-Z1058+AA1058,AA1058-Z1058),0)</f>
        <v>0</v>
      </c>
      <c r="AE1058" s="80">
        <f>IF(J1058="",0,IF(ISNUMBER(J1058),J1058,-1))</f>
        <v>0</v>
      </c>
      <c r="AF1058" s="80">
        <f>MIN(MAX(0,AE1058),AD1058)</f>
        <v>0</v>
      </c>
      <c r="AG1058" s="80">
        <f>MAX(0,AD1058-MAX(0,AE1058))</f>
        <v>0</v>
      </c>
      <c r="AH1058" s="80">
        <f>IF(ISNUMBER(B1058),IF(AND(INDEX(CFG_WDAYS,WEEKDAY(INT(B1058),2))="Sí",IF(D1058="proMX",COUNTIFS(FER_F,INT(B1058),FER_NLP,"Sí"),COUNTIFS(FER_F,INT(B1058),FER_NLM,"Sí"))=0),1,0),0)</f>
        <v>0</v>
      </c>
      <c r="AI1058" s="80">
        <f>IF(AC1058=1,IF(AND(INDEX(CFG_WDAYS,WEEKDAY(INT(B1058)+1,2))="Sí",IF(D1058="proMX",COUNTIFS(FER_F,INT(B1058)+1,FER_NLP,"Sí"),COUNTIFS(FER_F,INT(B1058)+1,FER_NLM,"Sí"))=0),1,0),0)</f>
        <v>0</v>
      </c>
      <c r="AJ1058" s="80">
        <f>IF(AC1058=1,1440-Z1058,AD1058)</f>
        <v>0</v>
      </c>
      <c r="AK1058" s="80">
        <f>IF(AND(AB1058=1,AH1058=1),MAX(0,MIN(IF(AC1058=1,1440,AA1058),CFG_WEM)-MAX(Z1058,CFG_WSM)),0)</f>
        <v>0</v>
      </c>
      <c r="AL1058" s="80">
        <f>IF(AND(AC1058=1,AI1058=1),MAX(0,MIN(AA1058,CFG_WEM)-CFG_WSM),0)</f>
        <v>0</v>
      </c>
      <c r="AM1058" s="80">
        <f>AK1058+AL1058</f>
        <v>0</v>
      </c>
      <c r="AN1058" s="80">
        <f>IF(CFG_BRK="Proporcional",IF(AD1058=0,0,AF1058*AM1058/AD1058),IF(CFG_BRK="Extras primero",MIN(AM1058,MAX(0,AF1058-(AD1058-AM1058))),MIN(AF1058,AM1058)))</f>
        <v>0</v>
      </c>
      <c r="AO1058" s="80">
        <f>AF1058-AN1058</f>
        <v>0</v>
      </c>
      <c r="AP1058" s="80">
        <f>AM1058-AN1058</f>
        <v>0</v>
      </c>
      <c r="AQ1058" s="80">
        <f>AD1058-AM1058-AO1058</f>
        <v>0</v>
      </c>
      <c r="AR1058" s="80">
        <f>IF(AM1058=0,0,AK1058-AN1058*AK1058/AM1058)</f>
        <v>0</v>
      </c>
      <c r="AS1058" s="80">
        <f>IF(AD1058-AM1058=0,0,(AJ1058-AK1058)-AO1058*(AJ1058-AK1058)/(AD1058-AM1058))</f>
        <v>0</v>
      </c>
      <c r="AT1058" s="80" t="str">
        <f>IF(AC1058=1,INT(B1058)+1,"")</f>
        <v/>
      </c>
      <c r="AU1058" s="80">
        <f>IF(AND(D1058="proMX",R1058="Cancelled"),0,1)</f>
        <v>1</v>
      </c>
      <c r="AV1058" s="80">
        <f>IF(AND(AB1058=1,AU1058=1),IF(COUNTIFS($D$5:D1057,D1058,$B$5:B1057,B1058,$Z$5:Z1057,Z1058,$AA$5:AA1057,AA1058,$F$5:F1057,F1058&amp;"",$AU$5:AU1057,1)&gt;0,1,0),0)</f>
        <v>0</v>
      </c>
      <c r="AW1058" s="80" t="str">
        <f>IF(AB1058=1,INT(B1058)*1440+Z1058,"")</f>
        <v/>
      </c>
      <c r="AX1058" s="80" t="str">
        <f>IF(AB1058=1,AW1058+AD1058,"")</f>
        <v/>
      </c>
      <c r="AY1058" s="80">
        <f>IF(AND(AB1058=1,AV1058=0,AU1058=1),1,0)</f>
        <v>0</v>
      </c>
      <c r="AZ1058" s="80">
        <f>IF(AY1058=1,COUNTIFS(R_Emp,D1058,R_SAbs,"&lt;"&amp;AX1058,R_EAbs,"&gt;"&amp;AW1058,R_OKey,1)-1,0)</f>
        <v>0</v>
      </c>
      <c r="BA1058" s="80">
        <f>IF(AY1058=1,COUNTIFS(R_Emp,"&lt;&gt;"&amp;D1058,R_SAbs,"&lt;"&amp;AX1058,R_EAbs,"&gt;"&amp;AW1058,R_OKey,1),0)</f>
        <v>0</v>
      </c>
      <c r="BB1058" s="80">
        <f>IF(AND(AB1058=1,D1058="proMX"),IF(AND(MOD(Z1058,CFG_BLK)=0,MOD(AA1058,CFG_BLK)=0,MOD(AG1058,CFG_BLK)=0,AG1058&gt;0),1,0),1)</f>
        <v>1</v>
      </c>
      <c r="BC1058" s="80" t="str">
        <f>IF(Y1058=0,"",IF(NOT(ISNUMBER(B1058)),"Falta fecha o fecha inválida",IF(D1058="","Falta empresa",IF(AND(D1058&lt;&gt;"Malcolm",D1058&lt;&gt;"proMX"),"Empresa inválida",IF(OR(INT(B1058)&lt;CFG_PSTART,INT(B1058)&gt;CFG_PEND),"Fecha fuera del período",IF(OR(NOT(ISNUMBER(Z1058)),NOT(ISNUMBER(AA1058))),"Falta hora inicio/fin o formato inválido",IF(AB1058=0,"Hora inicio = hora fin",IF(AE1058&lt;0,"Descanso inválido",IF(AE1058&gt;=AD1058,"Descanso ≥ duración",IF(AV1058=1,"Registro duplicado",IF(AZ1058&gt;0,"Se superpone con otro registro "&amp;D1058,IF(BB1058=0,"inicio, fin y duración neta deben ser múltiplos de "&amp;CFG_BLK&amp;" min",""))))))))))))</f>
        <v/>
      </c>
      <c r="BD1058" s="80">
        <f>IF(AND(Y1058=1,BC1058=""),1,0)</f>
        <v>0</v>
      </c>
      <c r="BE1058" s="80">
        <f>IF(AND(BD1058=1,AU1058=1),1,0)</f>
        <v>0</v>
      </c>
      <c r="BF1058" s="80" t="str">
        <f>IF(AND(D1058="proMX",BD1058=1),IF(R1058="","Draft",R1058),"")</f>
        <v/>
      </c>
      <c r="BG1058" s="80">
        <f>IF(BD1058=1,ROUND(AG1058/60,6),0)</f>
        <v>0</v>
      </c>
      <c r="BH1058" s="80">
        <f>IF(BE1058=1,ROUND(AG1058/60,6),0)</f>
        <v>0</v>
      </c>
      <c r="BI1058" s="80">
        <f>IF(BE1058=1,ROUND(AP1058/60,6),0)</f>
        <v>0</v>
      </c>
      <c r="BJ1058" s="80">
        <f>IF(BE1058=1,ROUND(AQ1058/60,6),0)</f>
        <v>0</v>
      </c>
      <c r="BK1058" s="80">
        <f>IF(BE1058=1,ROUND((AR1058+AS1058)/60,6),0)</f>
        <v>0</v>
      </c>
      <c r="BL1058" s="80">
        <f>ROUND(BH1058-BK1058,6)</f>
        <v>0</v>
      </c>
      <c r="BM1058" s="80">
        <f>IF(BE1058=1,ROUND(AR1058/60,6),0)</f>
        <v>0</v>
      </c>
      <c r="BN1058" s="80">
        <f>ROUND(BI1058-BM1058,6)</f>
        <v>0</v>
      </c>
      <c r="BO1058" s="80">
        <f>IF(BE1058=1,ROUND(AS1058/60,6),0)</f>
        <v>0</v>
      </c>
      <c r="BP1058" s="80">
        <f>ROUND(BJ1058-BO1058,6)</f>
        <v>0</v>
      </c>
      <c r="BQ1058" s="80">
        <f>IF(BE1058=1,AW1058,0)</f>
        <v>0</v>
      </c>
      <c r="BR1058" s="80">
        <f>IF(BE1058=1,AX1058,0)</f>
        <v>0</v>
      </c>
      <c r="BS1058" s="80">
        <f>IF(AND(BE1058=1,D1058="Malcolm",BA1058&gt;0),MIN(BH1058,SUMPRODUCT((R_Emp="proMX")*(R_EN&gt;0)*((R_EN-(R_EN&gt;BR1058)*(R_EN-BR1058))&gt;(R_SN+(R_SN&lt;BQ1058)*(BQ1058-R_SN)))*((R_EN-(R_EN&gt;BR1058)*(R_EN-BR1058))-(R_SN+(R_SN&lt;BQ1058)*(BQ1058-R_SN))))/60),0)</f>
        <v>0</v>
      </c>
      <c r="BT1058" s="80">
        <f>IF(AND(BE1058=1,D1058="proMX"),ROUND(BI1058*CFG_RATE+BJ1058*CFG_OTRATE,6),0)</f>
        <v>0</v>
      </c>
      <c r="BU1058" s="80">
        <f>IF(AND(BD1058=1,D1058="proMX"),ROUND(AG1058/CFG_BLK,6),0)</f>
        <v>0</v>
      </c>
      <c r="BV1058" s="80" t="str">
        <f>IF(BF1058="Approved",IF(ISNUMBER(T1058),INT(T1058),INT(B1058)),"")</f>
        <v/>
      </c>
      <c r="BW1058" s="80">
        <f>IF(ISNUMBER(B1058),IF(DB_MON="Todos",1,IF(AND(INT(B1058)&gt;=DB_MS,INT(B1058)&lt;=DB_ME),1,0)),0)</f>
        <v>0</v>
      </c>
      <c r="BX1058" s="80">
        <f>IF(DB_PROJ="Todos",1,IF(E1058&amp;""=DB_PROJ&amp;"",1,0))</f>
        <v>1</v>
      </c>
      <c r="BY1058" s="80">
        <f>BW1058*BX1058</f>
        <v>0</v>
      </c>
      <c r="BZ1058" s="80" t="str">
        <f>IF(Y1058=1,F1058&amp;IF(AND(F1058&amp;""&lt;&gt;"",E1058&amp;""&lt;&gt;"")," · ","")&amp;E1058,"")</f>
        <v/>
      </c>
      <c r="CA1058" s="80" t="str">
        <f>IF(AND(BD1058=1,E1058&amp;""&lt;&gt;""),IF(COUNTIFS($E$5:E1057,E1058,$BD$5:BD1057,1)=0,MAX($CA$5:CA1057)+1,""),"")</f>
        <v/>
      </c>
      <c r="CB1058" s="80" t="str">
        <f>IF(AND(BE1058=1,D1058="Malcolm",E1058&amp;""&lt;&gt;""),IF(COUNTIFS($D$5:D1057,"Malcolm",$E$5:E1057,E1058,$BE$5:BE1057,1)=0,MAX($CB$5:CB1057)+1,""),"")</f>
        <v/>
      </c>
      <c r="CC1058" s="80" t="str">
        <f>IF(AND(BD1058=1,D1058="proMX",E1058&amp;""&lt;&gt;""),IF(COUNTIFS($D$5:D1057,"proMX",$E$5:E1057,E1058,$BD$5:BD1057,1)=0,MAX($CC$5:CC1057)+1,""),"")</f>
        <v/>
      </c>
      <c r="CD1058" s="80" t="str">
        <f>IF(AND(BE1058=1,D1058="Malcolm",F1058&amp;""&lt;&gt;""),IF(COUNTIFS($D$5:D1057,"Malcolm",$F$5:F1057,F1058,$BE$5:BE1057,1)=0,MAX($CD$5:CD1057)+1,""),"")</f>
        <v/>
      </c>
      <c r="CE1058" s="80" t="str">
        <f>IF(AND(BD1058=1,D1058="proMX",F1058&amp;""&lt;&gt;""),IF(COUNTIFS($D$5:D1057,"proMX",$F$5:F1057,F1058,$BD$5:BD1057,1)=0,MAX($CE$5:CE1057)+1,""),"")</f>
        <v/>
      </c>
      <c r="CF1058" s="80" t="str">
        <f>IF(AND(D1058="proMX",BD1058=1),IF(OR(BF1058="Draft",BF1058="Submitted",BF1058="Returned",BF1058="Recall Requested"),MAX($CF$5:CF1057)+1,""),"")</f>
        <v/>
      </c>
      <c r="CG1058" s="80">
        <f>IF(BD1058=0,0,IF(D1058="Malcolm",1,MATCH(BF1058,{"Draft","Submitted","Approved","Returned","Recall Requested","Cancelled"},0)+1))</f>
        <v>0</v>
      </c>
      <c r="CH1058" s="80">
        <f>IF(AND(BF1058="Submitted",ISNUMBER(V1058)),IF(V1058&gt;CFG_MAXD,1,0),0)</f>
        <v>0</v>
      </c>
    </row>
    <row r="1059">
      <c r="A1059" s="71" t="str">
        <f>IF(Y1059=1,ROW()-5,"")</f>
        <v/>
      </c>
      <c r="B1059" s="72" t="n"/>
      <c r="C1059" s="71" t="str">
        <f>IF(ISNUMBER(B1059),CHOOSE(WEEKDAY(B1059,2),"Lun","Mar","Mié","Jue","Vie","Sáb","Dom"),"")</f>
        <v/>
      </c>
      <c r="D1059" s="73" t="n"/>
      <c r="E1059" s="74" t="n"/>
      <c r="F1059" s="74" t="n"/>
      <c r="G1059" s="74" t="n"/>
      <c r="H1059" s="75" t="n"/>
      <c r="I1059" s="75" t="n"/>
      <c r="J1059" s="76" t="n"/>
      <c r="K1059" s="77" t="str">
        <f>IF(AB1059=1,ROUND(AG1059/60,4),"")</f>
        <v/>
      </c>
      <c r="L1059" s="77" t="str">
        <f>IF(BD1059=1,ROUND(AP1059/60,4),"")</f>
        <v/>
      </c>
      <c r="M1059" s="77" t="str">
        <f>IF(BD1059=1,ROUND(AQ1059/60,4),"")</f>
        <v/>
      </c>
      <c r="N1059" s="71" t="str">
        <f>IF(AND(D1059="proMX",AB1059=1),ROUND(AG1059/CFG_BLK,2),"")</f>
        <v/>
      </c>
      <c r="O1059" s="77" t="str">
        <f>IF(D1059="proMX",IF(BD1059=1,ROUND(AG1059/60,4),0),"")</f>
        <v/>
      </c>
      <c r="P1059" s="78" t="str">
        <f>IF(Y1059=0,"",IF(BD1059=1,"OK",IF(D1059="proMX","Revisar bloques: ","Revisar: ")&amp;BC1059))</f>
        <v/>
      </c>
      <c r="Q1059" s="78" t="str">
        <f>IF(NOT(ISNUMBER(B1059)),"",IF(COUNTIFS(FER_F,INT(B1059))&gt;0,"Feriado"&amp;IF(AH1059=1," (laborable)"," (no laborable)"),IF(AH1059=1,"Laborable",IF(WEEKDAY(B1059,2)&gt;5,"Fin de semana","No laborable"))))</f>
        <v/>
      </c>
      <c r="R1059" s="73" t="n"/>
      <c r="S1059" s="72" t="n"/>
      <c r="T1059" s="72" t="n"/>
      <c r="U1059" s="74" t="n"/>
      <c r="V1059" s="79" t="str">
        <f>IF(AND(D1059="proMX",OR(R1059="Submitted",R1059="Recall Requested"),ISNUMBER(S1059)),CFG_TODAY-INT(S1059),"")</f>
        <v/>
      </c>
      <c r="W1059" s="78" t="str">
        <f>IF(BD1059=0,"",IF(BA1059&gt;0,"⚠ Se superpone con un registro de la otra empresa",IF(D1059="Malcolm",IF(COUNTA(R1059,S1059,T1059)&gt;0,"Estado/fechas proMX se ignoran en Malcolm",""),IF(BF1059="Cancelled","Cancelado: excluido de totales",IF(R1059="","Sin estado: se trata como Draft",IF(BF1059="Submitted",IF(ISNUMBER(V1059),IF(V1059&gt;CFG_MAXD,"⚠ "&amp;V1059&amp;" días en Submitted (máx. "&amp;CFG_MAXD&amp;")",""),"Falta fecha de envío"),IF(BF1059="Returned","⚠ Devuelto: corregir y reenviar",IF(BF1059="Recall Requested","Retirada solicitada: pendiente",IF(AND(BF1059="Approved",NOT(ISNUMBER(T1059))),"Falta fecha de aprobación",IF(AND(ISNUMBER(S1059),ISNUMBER(T1059),T1059&lt;S1059),"Aprobación anterior al envío","")))))))))</f>
        <v/>
      </c>
      <c r="Y1059" s="80">
        <f>IF(COUNTA(B1059,D1059,E1059,F1059,G1059,H1059,I1059,J1059,R1059,S1059,T1059)&gt;0,1,0)</f>
        <v>0</v>
      </c>
      <c r="Z1059" s="80" t="str">
        <f>IF(AND(ISNUMBER(H1059),H1059&gt;=0,H1059&lt;1),ROUND(H1059*1440,0),"")</f>
        <v/>
      </c>
      <c r="AA1059" s="80" t="str">
        <f>IF(AND(ISNUMBER(I1059),I1059&gt;=0,I1059&lt;1),ROUND(I1059*1440,0),"")</f>
        <v/>
      </c>
      <c r="AB1059" s="80">
        <f>IF(AND(ISNUMBER(B1059),D1059&lt;&gt;"",ISNUMBER(Z1059),ISNUMBER(AA1059)),IF(Z1059=AA1059,0,1),0)</f>
        <v>0</v>
      </c>
      <c r="AC1059" s="80">
        <f>IF(AB1059=1,IF(AA1059&lt;Z1059,1,0),0)</f>
        <v>0</v>
      </c>
      <c r="AD1059" s="80">
        <f>IF(AB1059=1,IF(AC1059=1,1440-Z1059+AA1059,AA1059-Z1059),0)</f>
        <v>0</v>
      </c>
      <c r="AE1059" s="80">
        <f>IF(J1059="",0,IF(ISNUMBER(J1059),J1059,-1))</f>
        <v>0</v>
      </c>
      <c r="AF1059" s="80">
        <f>MIN(MAX(0,AE1059),AD1059)</f>
        <v>0</v>
      </c>
      <c r="AG1059" s="80">
        <f>MAX(0,AD1059-MAX(0,AE1059))</f>
        <v>0</v>
      </c>
      <c r="AH1059" s="80">
        <f>IF(ISNUMBER(B1059),IF(AND(INDEX(CFG_WDAYS,WEEKDAY(INT(B1059),2))="Sí",IF(D1059="proMX",COUNTIFS(FER_F,INT(B1059),FER_NLP,"Sí"),COUNTIFS(FER_F,INT(B1059),FER_NLM,"Sí"))=0),1,0),0)</f>
        <v>0</v>
      </c>
      <c r="AI1059" s="80">
        <f>IF(AC1059=1,IF(AND(INDEX(CFG_WDAYS,WEEKDAY(INT(B1059)+1,2))="Sí",IF(D1059="proMX",COUNTIFS(FER_F,INT(B1059)+1,FER_NLP,"Sí"),COUNTIFS(FER_F,INT(B1059)+1,FER_NLM,"Sí"))=0),1,0),0)</f>
        <v>0</v>
      </c>
      <c r="AJ1059" s="80">
        <f>IF(AC1059=1,1440-Z1059,AD1059)</f>
        <v>0</v>
      </c>
      <c r="AK1059" s="80">
        <f>IF(AND(AB1059=1,AH1059=1),MAX(0,MIN(IF(AC1059=1,1440,AA1059),CFG_WEM)-MAX(Z1059,CFG_WSM)),0)</f>
        <v>0</v>
      </c>
      <c r="AL1059" s="80">
        <f>IF(AND(AC1059=1,AI1059=1),MAX(0,MIN(AA1059,CFG_WEM)-CFG_WSM),0)</f>
        <v>0</v>
      </c>
      <c r="AM1059" s="80">
        <f>AK1059+AL1059</f>
        <v>0</v>
      </c>
      <c r="AN1059" s="80">
        <f>IF(CFG_BRK="Proporcional",IF(AD1059=0,0,AF1059*AM1059/AD1059),IF(CFG_BRK="Extras primero",MIN(AM1059,MAX(0,AF1059-(AD1059-AM1059))),MIN(AF1059,AM1059)))</f>
        <v>0</v>
      </c>
      <c r="AO1059" s="80">
        <f>AF1059-AN1059</f>
        <v>0</v>
      </c>
      <c r="AP1059" s="80">
        <f>AM1059-AN1059</f>
        <v>0</v>
      </c>
      <c r="AQ1059" s="80">
        <f>AD1059-AM1059-AO1059</f>
        <v>0</v>
      </c>
      <c r="AR1059" s="80">
        <f>IF(AM1059=0,0,AK1059-AN1059*AK1059/AM1059)</f>
        <v>0</v>
      </c>
      <c r="AS1059" s="80">
        <f>IF(AD1059-AM1059=0,0,(AJ1059-AK1059)-AO1059*(AJ1059-AK1059)/(AD1059-AM1059))</f>
        <v>0</v>
      </c>
      <c r="AT1059" s="80" t="str">
        <f>IF(AC1059=1,INT(B1059)+1,"")</f>
        <v/>
      </c>
      <c r="AU1059" s="80">
        <f>IF(AND(D1059="proMX",R1059="Cancelled"),0,1)</f>
        <v>1</v>
      </c>
      <c r="AV1059" s="80">
        <f>IF(AND(AB1059=1,AU1059=1),IF(COUNTIFS($D$5:D1058,D1059,$B$5:B1058,B1059,$Z$5:Z1058,Z1059,$AA$5:AA1058,AA1059,$F$5:F1058,F1059&amp;"",$AU$5:AU1058,1)&gt;0,1,0),0)</f>
        <v>0</v>
      </c>
      <c r="AW1059" s="80" t="str">
        <f>IF(AB1059=1,INT(B1059)*1440+Z1059,"")</f>
        <v/>
      </c>
      <c r="AX1059" s="80" t="str">
        <f>IF(AB1059=1,AW1059+AD1059,"")</f>
        <v/>
      </c>
      <c r="AY1059" s="80">
        <f>IF(AND(AB1059=1,AV1059=0,AU1059=1),1,0)</f>
        <v>0</v>
      </c>
      <c r="AZ1059" s="80">
        <f>IF(AY1059=1,COUNTIFS(R_Emp,D1059,R_SAbs,"&lt;"&amp;AX1059,R_EAbs,"&gt;"&amp;AW1059,R_OKey,1)-1,0)</f>
        <v>0</v>
      </c>
      <c r="BA1059" s="80">
        <f>IF(AY1059=1,COUNTIFS(R_Emp,"&lt;&gt;"&amp;D1059,R_SAbs,"&lt;"&amp;AX1059,R_EAbs,"&gt;"&amp;AW1059,R_OKey,1),0)</f>
        <v>0</v>
      </c>
      <c r="BB1059" s="80">
        <f>IF(AND(AB1059=1,D1059="proMX"),IF(AND(MOD(Z1059,CFG_BLK)=0,MOD(AA1059,CFG_BLK)=0,MOD(AG1059,CFG_BLK)=0,AG1059&gt;0),1,0),1)</f>
        <v>1</v>
      </c>
      <c r="BC1059" s="80" t="str">
        <f>IF(Y1059=0,"",IF(NOT(ISNUMBER(B1059)),"Falta fecha o fecha inválida",IF(D1059="","Falta empresa",IF(AND(D1059&lt;&gt;"Malcolm",D1059&lt;&gt;"proMX"),"Empresa inválida",IF(OR(INT(B1059)&lt;CFG_PSTART,INT(B1059)&gt;CFG_PEND),"Fecha fuera del período",IF(OR(NOT(ISNUMBER(Z1059)),NOT(ISNUMBER(AA1059))),"Falta hora inicio/fin o formato inválido",IF(AB1059=0,"Hora inicio = hora fin",IF(AE1059&lt;0,"Descanso inválido",IF(AE1059&gt;=AD1059,"Descanso ≥ duración",IF(AV1059=1,"Registro duplicado",IF(AZ1059&gt;0,"Se superpone con otro registro "&amp;D1059,IF(BB1059=0,"inicio, fin y duración neta deben ser múltiplos de "&amp;CFG_BLK&amp;" min",""))))))))))))</f>
        <v/>
      </c>
      <c r="BD1059" s="80">
        <f>IF(AND(Y1059=1,BC1059=""),1,0)</f>
        <v>0</v>
      </c>
      <c r="BE1059" s="80">
        <f>IF(AND(BD1059=1,AU1059=1),1,0)</f>
        <v>0</v>
      </c>
      <c r="BF1059" s="80" t="str">
        <f>IF(AND(D1059="proMX",BD1059=1),IF(R1059="","Draft",R1059),"")</f>
        <v/>
      </c>
      <c r="BG1059" s="80">
        <f>IF(BD1059=1,ROUND(AG1059/60,6),0)</f>
        <v>0</v>
      </c>
      <c r="BH1059" s="80">
        <f>IF(BE1059=1,ROUND(AG1059/60,6),0)</f>
        <v>0</v>
      </c>
      <c r="BI1059" s="80">
        <f>IF(BE1059=1,ROUND(AP1059/60,6),0)</f>
        <v>0</v>
      </c>
      <c r="BJ1059" s="80">
        <f>IF(BE1059=1,ROUND(AQ1059/60,6),0)</f>
        <v>0</v>
      </c>
      <c r="BK1059" s="80">
        <f>IF(BE1059=1,ROUND((AR1059+AS1059)/60,6),0)</f>
        <v>0</v>
      </c>
      <c r="BL1059" s="80">
        <f>ROUND(BH1059-BK1059,6)</f>
        <v>0</v>
      </c>
      <c r="BM1059" s="80">
        <f>IF(BE1059=1,ROUND(AR1059/60,6),0)</f>
        <v>0</v>
      </c>
      <c r="BN1059" s="80">
        <f>ROUND(BI1059-BM1059,6)</f>
        <v>0</v>
      </c>
      <c r="BO1059" s="80">
        <f>IF(BE1059=1,ROUND(AS1059/60,6),0)</f>
        <v>0</v>
      </c>
      <c r="BP1059" s="80">
        <f>ROUND(BJ1059-BO1059,6)</f>
        <v>0</v>
      </c>
      <c r="BQ1059" s="80">
        <f>IF(BE1059=1,AW1059,0)</f>
        <v>0</v>
      </c>
      <c r="BR1059" s="80">
        <f>IF(BE1059=1,AX1059,0)</f>
        <v>0</v>
      </c>
      <c r="BS1059" s="80">
        <f>IF(AND(BE1059=1,D1059="Malcolm",BA1059&gt;0),MIN(BH1059,SUMPRODUCT((R_Emp="proMX")*(R_EN&gt;0)*((R_EN-(R_EN&gt;BR1059)*(R_EN-BR1059))&gt;(R_SN+(R_SN&lt;BQ1059)*(BQ1059-R_SN)))*((R_EN-(R_EN&gt;BR1059)*(R_EN-BR1059))-(R_SN+(R_SN&lt;BQ1059)*(BQ1059-R_SN))))/60),0)</f>
        <v>0</v>
      </c>
      <c r="BT1059" s="80">
        <f>IF(AND(BE1059=1,D1059="proMX"),ROUND(BI1059*CFG_RATE+BJ1059*CFG_OTRATE,6),0)</f>
        <v>0</v>
      </c>
      <c r="BU1059" s="80">
        <f>IF(AND(BD1059=1,D1059="proMX"),ROUND(AG1059/CFG_BLK,6),0)</f>
        <v>0</v>
      </c>
      <c r="BV1059" s="80" t="str">
        <f>IF(BF1059="Approved",IF(ISNUMBER(T1059),INT(T1059),INT(B1059)),"")</f>
        <v/>
      </c>
      <c r="BW1059" s="80">
        <f>IF(ISNUMBER(B1059),IF(DB_MON="Todos",1,IF(AND(INT(B1059)&gt;=DB_MS,INT(B1059)&lt;=DB_ME),1,0)),0)</f>
        <v>0</v>
      </c>
      <c r="BX1059" s="80">
        <f>IF(DB_PROJ="Todos",1,IF(E1059&amp;""=DB_PROJ&amp;"",1,0))</f>
        <v>1</v>
      </c>
      <c r="BY1059" s="80">
        <f>BW1059*BX1059</f>
        <v>0</v>
      </c>
      <c r="BZ1059" s="80" t="str">
        <f>IF(Y1059=1,F1059&amp;IF(AND(F1059&amp;""&lt;&gt;"",E1059&amp;""&lt;&gt;"")," · ","")&amp;E1059,"")</f>
        <v/>
      </c>
      <c r="CA1059" s="80" t="str">
        <f>IF(AND(BD1059=1,E1059&amp;""&lt;&gt;""),IF(COUNTIFS($E$5:E1058,E1059,$BD$5:BD1058,1)=0,MAX($CA$5:CA1058)+1,""),"")</f>
        <v/>
      </c>
      <c r="CB1059" s="80" t="str">
        <f>IF(AND(BE1059=1,D1059="Malcolm",E1059&amp;""&lt;&gt;""),IF(COUNTIFS($D$5:D1058,"Malcolm",$E$5:E1058,E1059,$BE$5:BE1058,1)=0,MAX($CB$5:CB1058)+1,""),"")</f>
        <v/>
      </c>
      <c r="CC1059" s="80" t="str">
        <f>IF(AND(BD1059=1,D1059="proMX",E1059&amp;""&lt;&gt;""),IF(COUNTIFS($D$5:D1058,"proMX",$E$5:E1058,E1059,$BD$5:BD1058,1)=0,MAX($CC$5:CC1058)+1,""),"")</f>
        <v/>
      </c>
      <c r="CD1059" s="80" t="str">
        <f>IF(AND(BE1059=1,D1059="Malcolm",F1059&amp;""&lt;&gt;""),IF(COUNTIFS($D$5:D1058,"Malcolm",$F$5:F1058,F1059,$BE$5:BE1058,1)=0,MAX($CD$5:CD1058)+1,""),"")</f>
        <v/>
      </c>
      <c r="CE1059" s="80" t="str">
        <f>IF(AND(BD1059=1,D1059="proMX",F1059&amp;""&lt;&gt;""),IF(COUNTIFS($D$5:D1058,"proMX",$F$5:F1058,F1059,$BD$5:BD1058,1)=0,MAX($CE$5:CE1058)+1,""),"")</f>
        <v/>
      </c>
      <c r="CF1059" s="80" t="str">
        <f>IF(AND(D1059="proMX",BD1059=1),IF(OR(BF1059="Draft",BF1059="Submitted",BF1059="Returned",BF1059="Recall Requested"),MAX($CF$5:CF1058)+1,""),"")</f>
        <v/>
      </c>
      <c r="CG1059" s="80">
        <f>IF(BD1059=0,0,IF(D1059="Malcolm",1,MATCH(BF1059,{"Draft","Submitted","Approved","Returned","Recall Requested","Cancelled"},0)+1))</f>
        <v>0</v>
      </c>
      <c r="CH1059" s="80">
        <f>IF(AND(BF1059="Submitted",ISNUMBER(V1059)),IF(V1059&gt;CFG_MAXD,1,0),0)</f>
        <v>0</v>
      </c>
    </row>
    <row r="1060">
      <c r="A1060" s="71" t="str">
        <f>IF(Y1060=1,ROW()-5,"")</f>
        <v/>
      </c>
      <c r="B1060" s="72" t="n"/>
      <c r="C1060" s="71" t="str">
        <f>IF(ISNUMBER(B1060),CHOOSE(WEEKDAY(B1060,2),"Lun","Mar","Mié","Jue","Vie","Sáb","Dom"),"")</f>
        <v/>
      </c>
      <c r="D1060" s="73" t="n"/>
      <c r="E1060" s="74" t="n"/>
      <c r="F1060" s="74" t="n"/>
      <c r="G1060" s="74" t="n"/>
      <c r="H1060" s="75" t="n"/>
      <c r="I1060" s="75" t="n"/>
      <c r="J1060" s="76" t="n"/>
      <c r="K1060" s="77" t="str">
        <f>IF(AB1060=1,ROUND(AG1060/60,4),"")</f>
        <v/>
      </c>
      <c r="L1060" s="77" t="str">
        <f>IF(BD1060=1,ROUND(AP1060/60,4),"")</f>
        <v/>
      </c>
      <c r="M1060" s="77" t="str">
        <f>IF(BD1060=1,ROUND(AQ1060/60,4),"")</f>
        <v/>
      </c>
      <c r="N1060" s="71" t="str">
        <f>IF(AND(D1060="proMX",AB1060=1),ROUND(AG1060/CFG_BLK,2),"")</f>
        <v/>
      </c>
      <c r="O1060" s="77" t="str">
        <f>IF(D1060="proMX",IF(BD1060=1,ROUND(AG1060/60,4),0),"")</f>
        <v/>
      </c>
      <c r="P1060" s="78" t="str">
        <f>IF(Y1060=0,"",IF(BD1060=1,"OK",IF(D1060="proMX","Revisar bloques: ","Revisar: ")&amp;BC1060))</f>
        <v/>
      </c>
      <c r="Q1060" s="78" t="str">
        <f>IF(NOT(ISNUMBER(B1060)),"",IF(COUNTIFS(FER_F,INT(B1060))&gt;0,"Feriado"&amp;IF(AH1060=1," (laborable)"," (no laborable)"),IF(AH1060=1,"Laborable",IF(WEEKDAY(B1060,2)&gt;5,"Fin de semana","No laborable"))))</f>
        <v/>
      </c>
      <c r="R1060" s="73" t="n"/>
      <c r="S1060" s="72" t="n"/>
      <c r="T1060" s="72" t="n"/>
      <c r="U1060" s="74" t="n"/>
      <c r="V1060" s="79" t="str">
        <f>IF(AND(D1060="proMX",OR(R1060="Submitted",R1060="Recall Requested"),ISNUMBER(S1060)),CFG_TODAY-INT(S1060),"")</f>
        <v/>
      </c>
      <c r="W1060" s="78" t="str">
        <f>IF(BD1060=0,"",IF(BA1060&gt;0,"⚠ Se superpone con un registro de la otra empresa",IF(D1060="Malcolm",IF(COUNTA(R1060,S1060,T1060)&gt;0,"Estado/fechas proMX se ignoran en Malcolm",""),IF(BF1060="Cancelled","Cancelado: excluido de totales",IF(R1060="","Sin estado: se trata como Draft",IF(BF1060="Submitted",IF(ISNUMBER(V1060),IF(V1060&gt;CFG_MAXD,"⚠ "&amp;V1060&amp;" días en Submitted (máx. "&amp;CFG_MAXD&amp;")",""),"Falta fecha de envío"),IF(BF1060="Returned","⚠ Devuelto: corregir y reenviar",IF(BF1060="Recall Requested","Retirada solicitada: pendiente",IF(AND(BF1060="Approved",NOT(ISNUMBER(T1060))),"Falta fecha de aprobación",IF(AND(ISNUMBER(S1060),ISNUMBER(T1060),T1060&lt;S1060),"Aprobación anterior al envío","")))))))))</f>
        <v/>
      </c>
      <c r="Y1060" s="80">
        <f>IF(COUNTA(B1060,D1060,E1060,F1060,G1060,H1060,I1060,J1060,R1060,S1060,T1060)&gt;0,1,0)</f>
        <v>0</v>
      </c>
      <c r="Z1060" s="80" t="str">
        <f>IF(AND(ISNUMBER(H1060),H1060&gt;=0,H1060&lt;1),ROUND(H1060*1440,0),"")</f>
        <v/>
      </c>
      <c r="AA1060" s="80" t="str">
        <f>IF(AND(ISNUMBER(I1060),I1060&gt;=0,I1060&lt;1),ROUND(I1060*1440,0),"")</f>
        <v/>
      </c>
      <c r="AB1060" s="80">
        <f>IF(AND(ISNUMBER(B1060),D1060&lt;&gt;"",ISNUMBER(Z1060),ISNUMBER(AA1060)),IF(Z1060=AA1060,0,1),0)</f>
        <v>0</v>
      </c>
      <c r="AC1060" s="80">
        <f>IF(AB1060=1,IF(AA1060&lt;Z1060,1,0),0)</f>
        <v>0</v>
      </c>
      <c r="AD1060" s="80">
        <f>IF(AB1060=1,IF(AC1060=1,1440-Z1060+AA1060,AA1060-Z1060),0)</f>
        <v>0</v>
      </c>
      <c r="AE1060" s="80">
        <f>IF(J1060="",0,IF(ISNUMBER(J1060),J1060,-1))</f>
        <v>0</v>
      </c>
      <c r="AF1060" s="80">
        <f>MIN(MAX(0,AE1060),AD1060)</f>
        <v>0</v>
      </c>
      <c r="AG1060" s="80">
        <f>MAX(0,AD1060-MAX(0,AE1060))</f>
        <v>0</v>
      </c>
      <c r="AH1060" s="80">
        <f>IF(ISNUMBER(B1060),IF(AND(INDEX(CFG_WDAYS,WEEKDAY(INT(B1060),2))="Sí",IF(D1060="proMX",COUNTIFS(FER_F,INT(B1060),FER_NLP,"Sí"),COUNTIFS(FER_F,INT(B1060),FER_NLM,"Sí"))=0),1,0),0)</f>
        <v>0</v>
      </c>
      <c r="AI1060" s="80">
        <f>IF(AC1060=1,IF(AND(INDEX(CFG_WDAYS,WEEKDAY(INT(B1060)+1,2))="Sí",IF(D1060="proMX",COUNTIFS(FER_F,INT(B1060)+1,FER_NLP,"Sí"),COUNTIFS(FER_F,INT(B1060)+1,FER_NLM,"Sí"))=0),1,0),0)</f>
        <v>0</v>
      </c>
      <c r="AJ1060" s="80">
        <f>IF(AC1060=1,1440-Z1060,AD1060)</f>
        <v>0</v>
      </c>
      <c r="AK1060" s="80">
        <f>IF(AND(AB1060=1,AH1060=1),MAX(0,MIN(IF(AC1060=1,1440,AA1060),CFG_WEM)-MAX(Z1060,CFG_WSM)),0)</f>
        <v>0</v>
      </c>
      <c r="AL1060" s="80">
        <f>IF(AND(AC1060=1,AI1060=1),MAX(0,MIN(AA1060,CFG_WEM)-CFG_WSM),0)</f>
        <v>0</v>
      </c>
      <c r="AM1060" s="80">
        <f>AK1060+AL1060</f>
        <v>0</v>
      </c>
      <c r="AN1060" s="80">
        <f>IF(CFG_BRK="Proporcional",IF(AD1060=0,0,AF1060*AM1060/AD1060),IF(CFG_BRK="Extras primero",MIN(AM1060,MAX(0,AF1060-(AD1060-AM1060))),MIN(AF1060,AM1060)))</f>
        <v>0</v>
      </c>
      <c r="AO1060" s="80">
        <f>AF1060-AN1060</f>
        <v>0</v>
      </c>
      <c r="AP1060" s="80">
        <f>AM1060-AN1060</f>
        <v>0</v>
      </c>
      <c r="AQ1060" s="80">
        <f>AD1060-AM1060-AO1060</f>
        <v>0</v>
      </c>
      <c r="AR1060" s="80">
        <f>IF(AM1060=0,0,AK1060-AN1060*AK1060/AM1060)</f>
        <v>0</v>
      </c>
      <c r="AS1060" s="80">
        <f>IF(AD1060-AM1060=0,0,(AJ1060-AK1060)-AO1060*(AJ1060-AK1060)/(AD1060-AM1060))</f>
        <v>0</v>
      </c>
      <c r="AT1060" s="80" t="str">
        <f>IF(AC1060=1,INT(B1060)+1,"")</f>
        <v/>
      </c>
      <c r="AU1060" s="80">
        <f>IF(AND(D1060="proMX",R1060="Cancelled"),0,1)</f>
        <v>1</v>
      </c>
      <c r="AV1060" s="80">
        <f>IF(AND(AB1060=1,AU1060=1),IF(COUNTIFS($D$5:D1059,D1060,$B$5:B1059,B1060,$Z$5:Z1059,Z1060,$AA$5:AA1059,AA1060,$F$5:F1059,F1060&amp;"",$AU$5:AU1059,1)&gt;0,1,0),0)</f>
        <v>0</v>
      </c>
      <c r="AW1060" s="80" t="str">
        <f>IF(AB1060=1,INT(B1060)*1440+Z1060,"")</f>
        <v/>
      </c>
      <c r="AX1060" s="80" t="str">
        <f>IF(AB1060=1,AW1060+AD1060,"")</f>
        <v/>
      </c>
      <c r="AY1060" s="80">
        <f>IF(AND(AB1060=1,AV1060=0,AU1060=1),1,0)</f>
        <v>0</v>
      </c>
      <c r="AZ1060" s="80">
        <f>IF(AY1060=1,COUNTIFS(R_Emp,D1060,R_SAbs,"&lt;"&amp;AX1060,R_EAbs,"&gt;"&amp;AW1060,R_OKey,1)-1,0)</f>
        <v>0</v>
      </c>
      <c r="BA1060" s="80">
        <f>IF(AY1060=1,COUNTIFS(R_Emp,"&lt;&gt;"&amp;D1060,R_SAbs,"&lt;"&amp;AX1060,R_EAbs,"&gt;"&amp;AW1060,R_OKey,1),0)</f>
        <v>0</v>
      </c>
      <c r="BB1060" s="80">
        <f>IF(AND(AB1060=1,D1060="proMX"),IF(AND(MOD(Z1060,CFG_BLK)=0,MOD(AA1060,CFG_BLK)=0,MOD(AG1060,CFG_BLK)=0,AG1060&gt;0),1,0),1)</f>
        <v>1</v>
      </c>
      <c r="BC1060" s="80" t="str">
        <f>IF(Y1060=0,"",IF(NOT(ISNUMBER(B1060)),"Falta fecha o fecha inválida",IF(D1060="","Falta empresa",IF(AND(D1060&lt;&gt;"Malcolm",D1060&lt;&gt;"proMX"),"Empresa inválida",IF(OR(INT(B1060)&lt;CFG_PSTART,INT(B1060)&gt;CFG_PEND),"Fecha fuera del período",IF(OR(NOT(ISNUMBER(Z1060)),NOT(ISNUMBER(AA1060))),"Falta hora inicio/fin o formato inválido",IF(AB1060=0,"Hora inicio = hora fin",IF(AE1060&lt;0,"Descanso inválido",IF(AE1060&gt;=AD1060,"Descanso ≥ duración",IF(AV1060=1,"Registro duplicado",IF(AZ1060&gt;0,"Se superpone con otro registro "&amp;D1060,IF(BB1060=0,"inicio, fin y duración neta deben ser múltiplos de "&amp;CFG_BLK&amp;" min",""))))))))))))</f>
        <v/>
      </c>
      <c r="BD1060" s="80">
        <f>IF(AND(Y1060=1,BC1060=""),1,0)</f>
        <v>0</v>
      </c>
      <c r="BE1060" s="80">
        <f>IF(AND(BD1060=1,AU1060=1),1,0)</f>
        <v>0</v>
      </c>
      <c r="BF1060" s="80" t="str">
        <f>IF(AND(D1060="proMX",BD1060=1),IF(R1060="","Draft",R1060),"")</f>
        <v/>
      </c>
      <c r="BG1060" s="80">
        <f>IF(BD1060=1,ROUND(AG1060/60,6),0)</f>
        <v>0</v>
      </c>
      <c r="BH1060" s="80">
        <f>IF(BE1060=1,ROUND(AG1060/60,6),0)</f>
        <v>0</v>
      </c>
      <c r="BI1060" s="80">
        <f>IF(BE1060=1,ROUND(AP1060/60,6),0)</f>
        <v>0</v>
      </c>
      <c r="BJ1060" s="80">
        <f>IF(BE1060=1,ROUND(AQ1060/60,6),0)</f>
        <v>0</v>
      </c>
      <c r="BK1060" s="80">
        <f>IF(BE1060=1,ROUND((AR1060+AS1060)/60,6),0)</f>
        <v>0</v>
      </c>
      <c r="BL1060" s="80">
        <f>ROUND(BH1060-BK1060,6)</f>
        <v>0</v>
      </c>
      <c r="BM1060" s="80">
        <f>IF(BE1060=1,ROUND(AR1060/60,6),0)</f>
        <v>0</v>
      </c>
      <c r="BN1060" s="80">
        <f>ROUND(BI1060-BM1060,6)</f>
        <v>0</v>
      </c>
      <c r="BO1060" s="80">
        <f>IF(BE1060=1,ROUND(AS1060/60,6),0)</f>
        <v>0</v>
      </c>
      <c r="BP1060" s="80">
        <f>ROUND(BJ1060-BO1060,6)</f>
        <v>0</v>
      </c>
      <c r="BQ1060" s="80">
        <f>IF(BE1060=1,AW1060,0)</f>
        <v>0</v>
      </c>
      <c r="BR1060" s="80">
        <f>IF(BE1060=1,AX1060,0)</f>
        <v>0</v>
      </c>
      <c r="BS1060" s="80">
        <f>IF(AND(BE1060=1,D1060="Malcolm",BA1060&gt;0),MIN(BH1060,SUMPRODUCT((R_Emp="proMX")*(R_EN&gt;0)*((R_EN-(R_EN&gt;BR1060)*(R_EN-BR1060))&gt;(R_SN+(R_SN&lt;BQ1060)*(BQ1060-R_SN)))*((R_EN-(R_EN&gt;BR1060)*(R_EN-BR1060))-(R_SN+(R_SN&lt;BQ1060)*(BQ1060-R_SN))))/60),0)</f>
        <v>0</v>
      </c>
      <c r="BT1060" s="80">
        <f>IF(AND(BE1060=1,D1060="proMX"),ROUND(BI1060*CFG_RATE+BJ1060*CFG_OTRATE,6),0)</f>
        <v>0</v>
      </c>
      <c r="BU1060" s="80">
        <f>IF(AND(BD1060=1,D1060="proMX"),ROUND(AG1060/CFG_BLK,6),0)</f>
        <v>0</v>
      </c>
      <c r="BV1060" s="80" t="str">
        <f>IF(BF1060="Approved",IF(ISNUMBER(T1060),INT(T1060),INT(B1060)),"")</f>
        <v/>
      </c>
      <c r="BW1060" s="80">
        <f>IF(ISNUMBER(B1060),IF(DB_MON="Todos",1,IF(AND(INT(B1060)&gt;=DB_MS,INT(B1060)&lt;=DB_ME),1,0)),0)</f>
        <v>0</v>
      </c>
      <c r="BX1060" s="80">
        <f>IF(DB_PROJ="Todos",1,IF(E1060&amp;""=DB_PROJ&amp;"",1,0))</f>
        <v>1</v>
      </c>
      <c r="BY1060" s="80">
        <f>BW1060*BX1060</f>
        <v>0</v>
      </c>
      <c r="BZ1060" s="80" t="str">
        <f>IF(Y1060=1,F1060&amp;IF(AND(F1060&amp;""&lt;&gt;"",E1060&amp;""&lt;&gt;"")," · ","")&amp;E1060,"")</f>
        <v/>
      </c>
      <c r="CA1060" s="80" t="str">
        <f>IF(AND(BD1060=1,E1060&amp;""&lt;&gt;""),IF(COUNTIFS($E$5:E1059,E1060,$BD$5:BD1059,1)=0,MAX($CA$5:CA1059)+1,""),"")</f>
        <v/>
      </c>
      <c r="CB1060" s="80" t="str">
        <f>IF(AND(BE1060=1,D1060="Malcolm",E1060&amp;""&lt;&gt;""),IF(COUNTIFS($D$5:D1059,"Malcolm",$E$5:E1059,E1060,$BE$5:BE1059,1)=0,MAX($CB$5:CB1059)+1,""),"")</f>
        <v/>
      </c>
      <c r="CC1060" s="80" t="str">
        <f>IF(AND(BD1060=1,D1060="proMX",E1060&amp;""&lt;&gt;""),IF(COUNTIFS($D$5:D1059,"proMX",$E$5:E1059,E1060,$BD$5:BD1059,1)=0,MAX($CC$5:CC1059)+1,""),"")</f>
        <v/>
      </c>
      <c r="CD1060" s="80" t="str">
        <f>IF(AND(BE1060=1,D1060="Malcolm",F1060&amp;""&lt;&gt;""),IF(COUNTIFS($D$5:D1059,"Malcolm",$F$5:F1059,F1060,$BE$5:BE1059,1)=0,MAX($CD$5:CD1059)+1,""),"")</f>
        <v/>
      </c>
      <c r="CE1060" s="80" t="str">
        <f>IF(AND(BD1060=1,D1060="proMX",F1060&amp;""&lt;&gt;""),IF(COUNTIFS($D$5:D1059,"proMX",$F$5:F1059,F1060,$BD$5:BD1059,1)=0,MAX($CE$5:CE1059)+1,""),"")</f>
        <v/>
      </c>
      <c r="CF1060" s="80" t="str">
        <f>IF(AND(D1060="proMX",BD1060=1),IF(OR(BF1060="Draft",BF1060="Submitted",BF1060="Returned",BF1060="Recall Requested"),MAX($CF$5:CF1059)+1,""),"")</f>
        <v/>
      </c>
      <c r="CG1060" s="80">
        <f>IF(BD1060=0,0,IF(D1060="Malcolm",1,MATCH(BF1060,{"Draft","Submitted","Approved","Returned","Recall Requested","Cancelled"},0)+1))</f>
        <v>0</v>
      </c>
      <c r="CH1060" s="80">
        <f>IF(AND(BF1060="Submitted",ISNUMBER(V1060)),IF(V1060&gt;CFG_MAXD,1,0),0)</f>
        <v>0</v>
      </c>
    </row>
    <row r="1061">
      <c r="A1061" s="71" t="str">
        <f>IF(Y1061=1,ROW()-5,"")</f>
        <v/>
      </c>
      <c r="B1061" s="72" t="n"/>
      <c r="C1061" s="71" t="str">
        <f>IF(ISNUMBER(B1061),CHOOSE(WEEKDAY(B1061,2),"Lun","Mar","Mié","Jue","Vie","Sáb","Dom"),"")</f>
        <v/>
      </c>
      <c r="D1061" s="73" t="n"/>
      <c r="E1061" s="74" t="n"/>
      <c r="F1061" s="74" t="n"/>
      <c r="G1061" s="74" t="n"/>
      <c r="H1061" s="75" t="n"/>
      <c r="I1061" s="75" t="n"/>
      <c r="J1061" s="76" t="n"/>
      <c r="K1061" s="77" t="str">
        <f>IF(AB1061=1,ROUND(AG1061/60,4),"")</f>
        <v/>
      </c>
      <c r="L1061" s="77" t="str">
        <f>IF(BD1061=1,ROUND(AP1061/60,4),"")</f>
        <v/>
      </c>
      <c r="M1061" s="77" t="str">
        <f>IF(BD1061=1,ROUND(AQ1061/60,4),"")</f>
        <v/>
      </c>
      <c r="N1061" s="71" t="str">
        <f>IF(AND(D1061="proMX",AB1061=1),ROUND(AG1061/CFG_BLK,2),"")</f>
        <v/>
      </c>
      <c r="O1061" s="77" t="str">
        <f>IF(D1061="proMX",IF(BD1061=1,ROUND(AG1061/60,4),0),"")</f>
        <v/>
      </c>
      <c r="P1061" s="78" t="str">
        <f>IF(Y1061=0,"",IF(BD1061=1,"OK",IF(D1061="proMX","Revisar bloques: ","Revisar: ")&amp;BC1061))</f>
        <v/>
      </c>
      <c r="Q1061" s="78" t="str">
        <f>IF(NOT(ISNUMBER(B1061)),"",IF(COUNTIFS(FER_F,INT(B1061))&gt;0,"Feriado"&amp;IF(AH1061=1," (laborable)"," (no laborable)"),IF(AH1061=1,"Laborable",IF(WEEKDAY(B1061,2)&gt;5,"Fin de semana","No laborable"))))</f>
        <v/>
      </c>
      <c r="R1061" s="73" t="n"/>
      <c r="S1061" s="72" t="n"/>
      <c r="T1061" s="72" t="n"/>
      <c r="U1061" s="74" t="n"/>
      <c r="V1061" s="79" t="str">
        <f>IF(AND(D1061="proMX",OR(R1061="Submitted",R1061="Recall Requested"),ISNUMBER(S1061)),CFG_TODAY-INT(S1061),"")</f>
        <v/>
      </c>
      <c r="W1061" s="78" t="str">
        <f>IF(BD1061=0,"",IF(BA1061&gt;0,"⚠ Se superpone con un registro de la otra empresa",IF(D1061="Malcolm",IF(COUNTA(R1061,S1061,T1061)&gt;0,"Estado/fechas proMX se ignoran en Malcolm",""),IF(BF1061="Cancelled","Cancelado: excluido de totales",IF(R1061="","Sin estado: se trata como Draft",IF(BF1061="Submitted",IF(ISNUMBER(V1061),IF(V1061&gt;CFG_MAXD,"⚠ "&amp;V1061&amp;" días en Submitted (máx. "&amp;CFG_MAXD&amp;")",""),"Falta fecha de envío"),IF(BF1061="Returned","⚠ Devuelto: corregir y reenviar",IF(BF1061="Recall Requested","Retirada solicitada: pendiente",IF(AND(BF1061="Approved",NOT(ISNUMBER(T1061))),"Falta fecha de aprobación",IF(AND(ISNUMBER(S1061),ISNUMBER(T1061),T1061&lt;S1061),"Aprobación anterior al envío","")))))))))</f>
        <v/>
      </c>
      <c r="Y1061" s="80">
        <f>IF(COUNTA(B1061,D1061,E1061,F1061,G1061,H1061,I1061,J1061,R1061,S1061,T1061)&gt;0,1,0)</f>
        <v>0</v>
      </c>
      <c r="Z1061" s="80" t="str">
        <f>IF(AND(ISNUMBER(H1061),H1061&gt;=0,H1061&lt;1),ROUND(H1061*1440,0),"")</f>
        <v/>
      </c>
      <c r="AA1061" s="80" t="str">
        <f>IF(AND(ISNUMBER(I1061),I1061&gt;=0,I1061&lt;1),ROUND(I1061*1440,0),"")</f>
        <v/>
      </c>
      <c r="AB1061" s="80">
        <f>IF(AND(ISNUMBER(B1061),D1061&lt;&gt;"",ISNUMBER(Z1061),ISNUMBER(AA1061)),IF(Z1061=AA1061,0,1),0)</f>
        <v>0</v>
      </c>
      <c r="AC1061" s="80">
        <f>IF(AB1061=1,IF(AA1061&lt;Z1061,1,0),0)</f>
        <v>0</v>
      </c>
      <c r="AD1061" s="80">
        <f>IF(AB1061=1,IF(AC1061=1,1440-Z1061+AA1061,AA1061-Z1061),0)</f>
        <v>0</v>
      </c>
      <c r="AE1061" s="80">
        <f>IF(J1061="",0,IF(ISNUMBER(J1061),J1061,-1))</f>
        <v>0</v>
      </c>
      <c r="AF1061" s="80">
        <f>MIN(MAX(0,AE1061),AD1061)</f>
        <v>0</v>
      </c>
      <c r="AG1061" s="80">
        <f>MAX(0,AD1061-MAX(0,AE1061))</f>
        <v>0</v>
      </c>
      <c r="AH1061" s="80">
        <f>IF(ISNUMBER(B1061),IF(AND(INDEX(CFG_WDAYS,WEEKDAY(INT(B1061),2))="Sí",IF(D1061="proMX",COUNTIFS(FER_F,INT(B1061),FER_NLP,"Sí"),COUNTIFS(FER_F,INT(B1061),FER_NLM,"Sí"))=0),1,0),0)</f>
        <v>0</v>
      </c>
      <c r="AI1061" s="80">
        <f>IF(AC1061=1,IF(AND(INDEX(CFG_WDAYS,WEEKDAY(INT(B1061)+1,2))="Sí",IF(D1061="proMX",COUNTIFS(FER_F,INT(B1061)+1,FER_NLP,"Sí"),COUNTIFS(FER_F,INT(B1061)+1,FER_NLM,"Sí"))=0),1,0),0)</f>
        <v>0</v>
      </c>
      <c r="AJ1061" s="80">
        <f>IF(AC1061=1,1440-Z1061,AD1061)</f>
        <v>0</v>
      </c>
      <c r="AK1061" s="80">
        <f>IF(AND(AB1061=1,AH1061=1),MAX(0,MIN(IF(AC1061=1,1440,AA1061),CFG_WEM)-MAX(Z1061,CFG_WSM)),0)</f>
        <v>0</v>
      </c>
      <c r="AL1061" s="80">
        <f>IF(AND(AC1061=1,AI1061=1),MAX(0,MIN(AA1061,CFG_WEM)-CFG_WSM),0)</f>
        <v>0</v>
      </c>
      <c r="AM1061" s="80">
        <f>AK1061+AL1061</f>
        <v>0</v>
      </c>
      <c r="AN1061" s="80">
        <f>IF(CFG_BRK="Proporcional",IF(AD1061=0,0,AF1061*AM1061/AD1061),IF(CFG_BRK="Extras primero",MIN(AM1061,MAX(0,AF1061-(AD1061-AM1061))),MIN(AF1061,AM1061)))</f>
        <v>0</v>
      </c>
      <c r="AO1061" s="80">
        <f>AF1061-AN1061</f>
        <v>0</v>
      </c>
      <c r="AP1061" s="80">
        <f>AM1061-AN1061</f>
        <v>0</v>
      </c>
      <c r="AQ1061" s="80">
        <f>AD1061-AM1061-AO1061</f>
        <v>0</v>
      </c>
      <c r="AR1061" s="80">
        <f>IF(AM1061=0,0,AK1061-AN1061*AK1061/AM1061)</f>
        <v>0</v>
      </c>
      <c r="AS1061" s="80">
        <f>IF(AD1061-AM1061=0,0,(AJ1061-AK1061)-AO1061*(AJ1061-AK1061)/(AD1061-AM1061))</f>
        <v>0</v>
      </c>
      <c r="AT1061" s="80" t="str">
        <f>IF(AC1061=1,INT(B1061)+1,"")</f>
        <v/>
      </c>
      <c r="AU1061" s="80">
        <f>IF(AND(D1061="proMX",R1061="Cancelled"),0,1)</f>
        <v>1</v>
      </c>
      <c r="AV1061" s="80">
        <f>IF(AND(AB1061=1,AU1061=1),IF(COUNTIFS($D$5:D1060,D1061,$B$5:B1060,B1061,$Z$5:Z1060,Z1061,$AA$5:AA1060,AA1061,$F$5:F1060,F1061&amp;"",$AU$5:AU1060,1)&gt;0,1,0),0)</f>
        <v>0</v>
      </c>
      <c r="AW1061" s="80" t="str">
        <f>IF(AB1061=1,INT(B1061)*1440+Z1061,"")</f>
        <v/>
      </c>
      <c r="AX1061" s="80" t="str">
        <f>IF(AB1061=1,AW1061+AD1061,"")</f>
        <v/>
      </c>
      <c r="AY1061" s="80">
        <f>IF(AND(AB1061=1,AV1061=0,AU1061=1),1,0)</f>
        <v>0</v>
      </c>
      <c r="AZ1061" s="80">
        <f>IF(AY1061=1,COUNTIFS(R_Emp,D1061,R_SAbs,"&lt;"&amp;AX1061,R_EAbs,"&gt;"&amp;AW1061,R_OKey,1)-1,0)</f>
        <v>0</v>
      </c>
      <c r="BA1061" s="80">
        <f>IF(AY1061=1,COUNTIFS(R_Emp,"&lt;&gt;"&amp;D1061,R_SAbs,"&lt;"&amp;AX1061,R_EAbs,"&gt;"&amp;AW1061,R_OKey,1),0)</f>
        <v>0</v>
      </c>
      <c r="BB1061" s="80">
        <f>IF(AND(AB1061=1,D1061="proMX"),IF(AND(MOD(Z1061,CFG_BLK)=0,MOD(AA1061,CFG_BLK)=0,MOD(AG1061,CFG_BLK)=0,AG1061&gt;0),1,0),1)</f>
        <v>1</v>
      </c>
      <c r="BC1061" s="80" t="str">
        <f>IF(Y1061=0,"",IF(NOT(ISNUMBER(B1061)),"Falta fecha o fecha inválida",IF(D1061="","Falta empresa",IF(AND(D1061&lt;&gt;"Malcolm",D1061&lt;&gt;"proMX"),"Empresa inválida",IF(OR(INT(B1061)&lt;CFG_PSTART,INT(B1061)&gt;CFG_PEND),"Fecha fuera del período",IF(OR(NOT(ISNUMBER(Z1061)),NOT(ISNUMBER(AA1061))),"Falta hora inicio/fin o formato inválido",IF(AB1061=0,"Hora inicio = hora fin",IF(AE1061&lt;0,"Descanso inválido",IF(AE1061&gt;=AD1061,"Descanso ≥ duración",IF(AV1061=1,"Registro duplicado",IF(AZ1061&gt;0,"Se superpone con otro registro "&amp;D1061,IF(BB1061=0,"inicio, fin y duración neta deben ser múltiplos de "&amp;CFG_BLK&amp;" min",""))))))))))))</f>
        <v/>
      </c>
      <c r="BD1061" s="80">
        <f>IF(AND(Y1061=1,BC1061=""),1,0)</f>
        <v>0</v>
      </c>
      <c r="BE1061" s="80">
        <f>IF(AND(BD1061=1,AU1061=1),1,0)</f>
        <v>0</v>
      </c>
      <c r="BF1061" s="80" t="str">
        <f>IF(AND(D1061="proMX",BD1061=1),IF(R1061="","Draft",R1061),"")</f>
        <v/>
      </c>
      <c r="BG1061" s="80">
        <f>IF(BD1061=1,ROUND(AG1061/60,6),0)</f>
        <v>0</v>
      </c>
      <c r="BH1061" s="80">
        <f>IF(BE1061=1,ROUND(AG1061/60,6),0)</f>
        <v>0</v>
      </c>
      <c r="BI1061" s="80">
        <f>IF(BE1061=1,ROUND(AP1061/60,6),0)</f>
        <v>0</v>
      </c>
      <c r="BJ1061" s="80">
        <f>IF(BE1061=1,ROUND(AQ1061/60,6),0)</f>
        <v>0</v>
      </c>
      <c r="BK1061" s="80">
        <f>IF(BE1061=1,ROUND((AR1061+AS1061)/60,6),0)</f>
        <v>0</v>
      </c>
      <c r="BL1061" s="80">
        <f>ROUND(BH1061-BK1061,6)</f>
        <v>0</v>
      </c>
      <c r="BM1061" s="80">
        <f>IF(BE1061=1,ROUND(AR1061/60,6),0)</f>
        <v>0</v>
      </c>
      <c r="BN1061" s="80">
        <f>ROUND(BI1061-BM1061,6)</f>
        <v>0</v>
      </c>
      <c r="BO1061" s="80">
        <f>IF(BE1061=1,ROUND(AS1061/60,6),0)</f>
        <v>0</v>
      </c>
      <c r="BP1061" s="80">
        <f>ROUND(BJ1061-BO1061,6)</f>
        <v>0</v>
      </c>
      <c r="BQ1061" s="80">
        <f>IF(BE1061=1,AW1061,0)</f>
        <v>0</v>
      </c>
      <c r="BR1061" s="80">
        <f>IF(BE1061=1,AX1061,0)</f>
        <v>0</v>
      </c>
      <c r="BS1061" s="80">
        <f>IF(AND(BE1061=1,D1061="Malcolm",BA1061&gt;0),MIN(BH1061,SUMPRODUCT((R_Emp="proMX")*(R_EN&gt;0)*((R_EN-(R_EN&gt;BR1061)*(R_EN-BR1061))&gt;(R_SN+(R_SN&lt;BQ1061)*(BQ1061-R_SN)))*((R_EN-(R_EN&gt;BR1061)*(R_EN-BR1061))-(R_SN+(R_SN&lt;BQ1061)*(BQ1061-R_SN))))/60),0)</f>
        <v>0</v>
      </c>
      <c r="BT1061" s="80">
        <f>IF(AND(BE1061=1,D1061="proMX"),ROUND(BI1061*CFG_RATE+BJ1061*CFG_OTRATE,6),0)</f>
        <v>0</v>
      </c>
      <c r="BU1061" s="80">
        <f>IF(AND(BD1061=1,D1061="proMX"),ROUND(AG1061/CFG_BLK,6),0)</f>
        <v>0</v>
      </c>
      <c r="BV1061" s="80" t="str">
        <f>IF(BF1061="Approved",IF(ISNUMBER(T1061),INT(T1061),INT(B1061)),"")</f>
        <v/>
      </c>
      <c r="BW1061" s="80">
        <f>IF(ISNUMBER(B1061),IF(DB_MON="Todos",1,IF(AND(INT(B1061)&gt;=DB_MS,INT(B1061)&lt;=DB_ME),1,0)),0)</f>
        <v>0</v>
      </c>
      <c r="BX1061" s="80">
        <f>IF(DB_PROJ="Todos",1,IF(E1061&amp;""=DB_PROJ&amp;"",1,0))</f>
        <v>1</v>
      </c>
      <c r="BY1061" s="80">
        <f>BW1061*BX1061</f>
        <v>0</v>
      </c>
      <c r="BZ1061" s="80" t="str">
        <f>IF(Y1061=1,F1061&amp;IF(AND(F1061&amp;""&lt;&gt;"",E1061&amp;""&lt;&gt;"")," · ","")&amp;E1061,"")</f>
        <v/>
      </c>
      <c r="CA1061" s="80" t="str">
        <f>IF(AND(BD1061=1,E1061&amp;""&lt;&gt;""),IF(COUNTIFS($E$5:E1060,E1061,$BD$5:BD1060,1)=0,MAX($CA$5:CA1060)+1,""),"")</f>
        <v/>
      </c>
      <c r="CB1061" s="80" t="str">
        <f>IF(AND(BE1061=1,D1061="Malcolm",E1061&amp;""&lt;&gt;""),IF(COUNTIFS($D$5:D1060,"Malcolm",$E$5:E1060,E1061,$BE$5:BE1060,1)=0,MAX($CB$5:CB1060)+1,""),"")</f>
        <v/>
      </c>
      <c r="CC1061" s="80" t="str">
        <f>IF(AND(BD1061=1,D1061="proMX",E1061&amp;""&lt;&gt;""),IF(COUNTIFS($D$5:D1060,"proMX",$E$5:E1060,E1061,$BD$5:BD1060,1)=0,MAX($CC$5:CC1060)+1,""),"")</f>
        <v/>
      </c>
      <c r="CD1061" s="80" t="str">
        <f>IF(AND(BE1061=1,D1061="Malcolm",F1061&amp;""&lt;&gt;""),IF(COUNTIFS($D$5:D1060,"Malcolm",$F$5:F1060,F1061,$BE$5:BE1060,1)=0,MAX($CD$5:CD1060)+1,""),"")</f>
        <v/>
      </c>
      <c r="CE1061" s="80" t="str">
        <f>IF(AND(BD1061=1,D1061="proMX",F1061&amp;""&lt;&gt;""),IF(COUNTIFS($D$5:D1060,"proMX",$F$5:F1060,F1061,$BD$5:BD1060,1)=0,MAX($CE$5:CE1060)+1,""),"")</f>
        <v/>
      </c>
      <c r="CF1061" s="80" t="str">
        <f>IF(AND(D1061="proMX",BD1061=1),IF(OR(BF1061="Draft",BF1061="Submitted",BF1061="Returned",BF1061="Recall Requested"),MAX($CF$5:CF1060)+1,""),"")</f>
        <v/>
      </c>
      <c r="CG1061" s="80">
        <f>IF(BD1061=0,0,IF(D1061="Malcolm",1,MATCH(BF1061,{"Draft","Submitted","Approved","Returned","Recall Requested","Cancelled"},0)+1))</f>
        <v>0</v>
      </c>
      <c r="CH1061" s="80">
        <f>IF(AND(BF1061="Submitted",ISNUMBER(V1061)),IF(V1061&gt;CFG_MAXD,1,0),0)</f>
        <v>0</v>
      </c>
    </row>
    <row r="1062">
      <c r="A1062" s="71" t="str">
        <f>IF(Y1062=1,ROW()-5,"")</f>
        <v/>
      </c>
      <c r="B1062" s="72" t="n"/>
      <c r="C1062" s="71" t="str">
        <f>IF(ISNUMBER(B1062),CHOOSE(WEEKDAY(B1062,2),"Lun","Mar","Mié","Jue","Vie","Sáb","Dom"),"")</f>
        <v/>
      </c>
      <c r="D1062" s="73" t="n"/>
      <c r="E1062" s="74" t="n"/>
      <c r="F1062" s="74" t="n"/>
      <c r="G1062" s="74" t="n"/>
      <c r="H1062" s="75" t="n"/>
      <c r="I1062" s="75" t="n"/>
      <c r="J1062" s="76" t="n"/>
      <c r="K1062" s="77" t="str">
        <f>IF(AB1062=1,ROUND(AG1062/60,4),"")</f>
        <v/>
      </c>
      <c r="L1062" s="77" t="str">
        <f>IF(BD1062=1,ROUND(AP1062/60,4),"")</f>
        <v/>
      </c>
      <c r="M1062" s="77" t="str">
        <f>IF(BD1062=1,ROUND(AQ1062/60,4),"")</f>
        <v/>
      </c>
      <c r="N1062" s="71" t="str">
        <f>IF(AND(D1062="proMX",AB1062=1),ROUND(AG1062/CFG_BLK,2),"")</f>
        <v/>
      </c>
      <c r="O1062" s="77" t="str">
        <f>IF(D1062="proMX",IF(BD1062=1,ROUND(AG1062/60,4),0),"")</f>
        <v/>
      </c>
      <c r="P1062" s="78" t="str">
        <f>IF(Y1062=0,"",IF(BD1062=1,"OK",IF(D1062="proMX","Revisar bloques: ","Revisar: ")&amp;BC1062))</f>
        <v/>
      </c>
      <c r="Q1062" s="78" t="str">
        <f>IF(NOT(ISNUMBER(B1062)),"",IF(COUNTIFS(FER_F,INT(B1062))&gt;0,"Feriado"&amp;IF(AH1062=1," (laborable)"," (no laborable)"),IF(AH1062=1,"Laborable",IF(WEEKDAY(B1062,2)&gt;5,"Fin de semana","No laborable"))))</f>
        <v/>
      </c>
      <c r="R1062" s="73" t="n"/>
      <c r="S1062" s="72" t="n"/>
      <c r="T1062" s="72" t="n"/>
      <c r="U1062" s="74" t="n"/>
      <c r="V1062" s="79" t="str">
        <f>IF(AND(D1062="proMX",OR(R1062="Submitted",R1062="Recall Requested"),ISNUMBER(S1062)),CFG_TODAY-INT(S1062),"")</f>
        <v/>
      </c>
      <c r="W1062" s="78" t="str">
        <f>IF(BD1062=0,"",IF(BA1062&gt;0,"⚠ Se superpone con un registro de la otra empresa",IF(D1062="Malcolm",IF(COUNTA(R1062,S1062,T1062)&gt;0,"Estado/fechas proMX se ignoran en Malcolm",""),IF(BF1062="Cancelled","Cancelado: excluido de totales",IF(R1062="","Sin estado: se trata como Draft",IF(BF1062="Submitted",IF(ISNUMBER(V1062),IF(V1062&gt;CFG_MAXD,"⚠ "&amp;V1062&amp;" días en Submitted (máx. "&amp;CFG_MAXD&amp;")",""),"Falta fecha de envío"),IF(BF1062="Returned","⚠ Devuelto: corregir y reenviar",IF(BF1062="Recall Requested","Retirada solicitada: pendiente",IF(AND(BF1062="Approved",NOT(ISNUMBER(T1062))),"Falta fecha de aprobación",IF(AND(ISNUMBER(S1062),ISNUMBER(T1062),T1062&lt;S1062),"Aprobación anterior al envío","")))))))))</f>
        <v/>
      </c>
      <c r="Y1062" s="80">
        <f>IF(COUNTA(B1062,D1062,E1062,F1062,G1062,H1062,I1062,J1062,R1062,S1062,T1062)&gt;0,1,0)</f>
        <v>0</v>
      </c>
      <c r="Z1062" s="80" t="str">
        <f>IF(AND(ISNUMBER(H1062),H1062&gt;=0,H1062&lt;1),ROUND(H1062*1440,0),"")</f>
        <v/>
      </c>
      <c r="AA1062" s="80" t="str">
        <f>IF(AND(ISNUMBER(I1062),I1062&gt;=0,I1062&lt;1),ROUND(I1062*1440,0),"")</f>
        <v/>
      </c>
      <c r="AB1062" s="80">
        <f>IF(AND(ISNUMBER(B1062),D1062&lt;&gt;"",ISNUMBER(Z1062),ISNUMBER(AA1062)),IF(Z1062=AA1062,0,1),0)</f>
        <v>0</v>
      </c>
      <c r="AC1062" s="80">
        <f>IF(AB1062=1,IF(AA1062&lt;Z1062,1,0),0)</f>
        <v>0</v>
      </c>
      <c r="AD1062" s="80">
        <f>IF(AB1062=1,IF(AC1062=1,1440-Z1062+AA1062,AA1062-Z1062),0)</f>
        <v>0</v>
      </c>
      <c r="AE1062" s="80">
        <f>IF(J1062="",0,IF(ISNUMBER(J1062),J1062,-1))</f>
        <v>0</v>
      </c>
      <c r="AF1062" s="80">
        <f>MIN(MAX(0,AE1062),AD1062)</f>
        <v>0</v>
      </c>
      <c r="AG1062" s="80">
        <f>MAX(0,AD1062-MAX(0,AE1062))</f>
        <v>0</v>
      </c>
      <c r="AH1062" s="80">
        <f>IF(ISNUMBER(B1062),IF(AND(INDEX(CFG_WDAYS,WEEKDAY(INT(B1062),2))="Sí",IF(D1062="proMX",COUNTIFS(FER_F,INT(B1062),FER_NLP,"Sí"),COUNTIFS(FER_F,INT(B1062),FER_NLM,"Sí"))=0),1,0),0)</f>
        <v>0</v>
      </c>
      <c r="AI1062" s="80">
        <f>IF(AC1062=1,IF(AND(INDEX(CFG_WDAYS,WEEKDAY(INT(B1062)+1,2))="Sí",IF(D1062="proMX",COUNTIFS(FER_F,INT(B1062)+1,FER_NLP,"Sí"),COUNTIFS(FER_F,INT(B1062)+1,FER_NLM,"Sí"))=0),1,0),0)</f>
        <v>0</v>
      </c>
      <c r="AJ1062" s="80">
        <f>IF(AC1062=1,1440-Z1062,AD1062)</f>
        <v>0</v>
      </c>
      <c r="AK1062" s="80">
        <f>IF(AND(AB1062=1,AH1062=1),MAX(0,MIN(IF(AC1062=1,1440,AA1062),CFG_WEM)-MAX(Z1062,CFG_WSM)),0)</f>
        <v>0</v>
      </c>
      <c r="AL1062" s="80">
        <f>IF(AND(AC1062=1,AI1062=1),MAX(0,MIN(AA1062,CFG_WEM)-CFG_WSM),0)</f>
        <v>0</v>
      </c>
      <c r="AM1062" s="80">
        <f>AK1062+AL1062</f>
        <v>0</v>
      </c>
      <c r="AN1062" s="80">
        <f>IF(CFG_BRK="Proporcional",IF(AD1062=0,0,AF1062*AM1062/AD1062),IF(CFG_BRK="Extras primero",MIN(AM1062,MAX(0,AF1062-(AD1062-AM1062))),MIN(AF1062,AM1062)))</f>
        <v>0</v>
      </c>
      <c r="AO1062" s="80">
        <f>AF1062-AN1062</f>
        <v>0</v>
      </c>
      <c r="AP1062" s="80">
        <f>AM1062-AN1062</f>
        <v>0</v>
      </c>
      <c r="AQ1062" s="80">
        <f>AD1062-AM1062-AO1062</f>
        <v>0</v>
      </c>
      <c r="AR1062" s="80">
        <f>IF(AM1062=0,0,AK1062-AN1062*AK1062/AM1062)</f>
        <v>0</v>
      </c>
      <c r="AS1062" s="80">
        <f>IF(AD1062-AM1062=0,0,(AJ1062-AK1062)-AO1062*(AJ1062-AK1062)/(AD1062-AM1062))</f>
        <v>0</v>
      </c>
      <c r="AT1062" s="80" t="str">
        <f>IF(AC1062=1,INT(B1062)+1,"")</f>
        <v/>
      </c>
      <c r="AU1062" s="80">
        <f>IF(AND(D1062="proMX",R1062="Cancelled"),0,1)</f>
        <v>1</v>
      </c>
      <c r="AV1062" s="80">
        <f>IF(AND(AB1062=1,AU1062=1),IF(COUNTIFS($D$5:D1061,D1062,$B$5:B1061,B1062,$Z$5:Z1061,Z1062,$AA$5:AA1061,AA1062,$F$5:F1061,F1062&amp;"",$AU$5:AU1061,1)&gt;0,1,0),0)</f>
        <v>0</v>
      </c>
      <c r="AW1062" s="80" t="str">
        <f>IF(AB1062=1,INT(B1062)*1440+Z1062,"")</f>
        <v/>
      </c>
      <c r="AX1062" s="80" t="str">
        <f>IF(AB1062=1,AW1062+AD1062,"")</f>
        <v/>
      </c>
      <c r="AY1062" s="80">
        <f>IF(AND(AB1062=1,AV1062=0,AU1062=1),1,0)</f>
        <v>0</v>
      </c>
      <c r="AZ1062" s="80">
        <f>IF(AY1062=1,COUNTIFS(R_Emp,D1062,R_SAbs,"&lt;"&amp;AX1062,R_EAbs,"&gt;"&amp;AW1062,R_OKey,1)-1,0)</f>
        <v>0</v>
      </c>
      <c r="BA1062" s="80">
        <f>IF(AY1062=1,COUNTIFS(R_Emp,"&lt;&gt;"&amp;D1062,R_SAbs,"&lt;"&amp;AX1062,R_EAbs,"&gt;"&amp;AW1062,R_OKey,1),0)</f>
        <v>0</v>
      </c>
      <c r="BB1062" s="80">
        <f>IF(AND(AB1062=1,D1062="proMX"),IF(AND(MOD(Z1062,CFG_BLK)=0,MOD(AA1062,CFG_BLK)=0,MOD(AG1062,CFG_BLK)=0,AG1062&gt;0),1,0),1)</f>
        <v>1</v>
      </c>
      <c r="BC1062" s="80" t="str">
        <f>IF(Y1062=0,"",IF(NOT(ISNUMBER(B1062)),"Falta fecha o fecha inválida",IF(D1062="","Falta empresa",IF(AND(D1062&lt;&gt;"Malcolm",D1062&lt;&gt;"proMX"),"Empresa inválida",IF(OR(INT(B1062)&lt;CFG_PSTART,INT(B1062)&gt;CFG_PEND),"Fecha fuera del período",IF(OR(NOT(ISNUMBER(Z1062)),NOT(ISNUMBER(AA1062))),"Falta hora inicio/fin o formato inválido",IF(AB1062=0,"Hora inicio = hora fin",IF(AE1062&lt;0,"Descanso inválido",IF(AE1062&gt;=AD1062,"Descanso ≥ duración",IF(AV1062=1,"Registro duplicado",IF(AZ1062&gt;0,"Se superpone con otro registro "&amp;D1062,IF(BB1062=0,"inicio, fin y duración neta deben ser múltiplos de "&amp;CFG_BLK&amp;" min",""))))))))))))</f>
        <v/>
      </c>
      <c r="BD1062" s="80">
        <f>IF(AND(Y1062=1,BC1062=""),1,0)</f>
        <v>0</v>
      </c>
      <c r="BE1062" s="80">
        <f>IF(AND(BD1062=1,AU1062=1),1,0)</f>
        <v>0</v>
      </c>
      <c r="BF1062" s="80" t="str">
        <f>IF(AND(D1062="proMX",BD1062=1),IF(R1062="","Draft",R1062),"")</f>
        <v/>
      </c>
      <c r="BG1062" s="80">
        <f>IF(BD1062=1,ROUND(AG1062/60,6),0)</f>
        <v>0</v>
      </c>
      <c r="BH1062" s="80">
        <f>IF(BE1062=1,ROUND(AG1062/60,6),0)</f>
        <v>0</v>
      </c>
      <c r="BI1062" s="80">
        <f>IF(BE1062=1,ROUND(AP1062/60,6),0)</f>
        <v>0</v>
      </c>
      <c r="BJ1062" s="80">
        <f>IF(BE1062=1,ROUND(AQ1062/60,6),0)</f>
        <v>0</v>
      </c>
      <c r="BK1062" s="80">
        <f>IF(BE1062=1,ROUND((AR1062+AS1062)/60,6),0)</f>
        <v>0</v>
      </c>
      <c r="BL1062" s="80">
        <f>ROUND(BH1062-BK1062,6)</f>
        <v>0</v>
      </c>
      <c r="BM1062" s="80">
        <f>IF(BE1062=1,ROUND(AR1062/60,6),0)</f>
        <v>0</v>
      </c>
      <c r="BN1062" s="80">
        <f>ROUND(BI1062-BM1062,6)</f>
        <v>0</v>
      </c>
      <c r="BO1062" s="80">
        <f>IF(BE1062=1,ROUND(AS1062/60,6),0)</f>
        <v>0</v>
      </c>
      <c r="BP1062" s="80">
        <f>ROUND(BJ1062-BO1062,6)</f>
        <v>0</v>
      </c>
      <c r="BQ1062" s="80">
        <f>IF(BE1062=1,AW1062,0)</f>
        <v>0</v>
      </c>
      <c r="BR1062" s="80">
        <f>IF(BE1062=1,AX1062,0)</f>
        <v>0</v>
      </c>
      <c r="BS1062" s="80">
        <f>IF(AND(BE1062=1,D1062="Malcolm",BA1062&gt;0),MIN(BH1062,SUMPRODUCT((R_Emp="proMX")*(R_EN&gt;0)*((R_EN-(R_EN&gt;BR1062)*(R_EN-BR1062))&gt;(R_SN+(R_SN&lt;BQ1062)*(BQ1062-R_SN)))*((R_EN-(R_EN&gt;BR1062)*(R_EN-BR1062))-(R_SN+(R_SN&lt;BQ1062)*(BQ1062-R_SN))))/60),0)</f>
        <v>0</v>
      </c>
      <c r="BT1062" s="80">
        <f>IF(AND(BE1062=1,D1062="proMX"),ROUND(BI1062*CFG_RATE+BJ1062*CFG_OTRATE,6),0)</f>
        <v>0</v>
      </c>
      <c r="BU1062" s="80">
        <f>IF(AND(BD1062=1,D1062="proMX"),ROUND(AG1062/CFG_BLK,6),0)</f>
        <v>0</v>
      </c>
      <c r="BV1062" s="80" t="str">
        <f>IF(BF1062="Approved",IF(ISNUMBER(T1062),INT(T1062),INT(B1062)),"")</f>
        <v/>
      </c>
      <c r="BW1062" s="80">
        <f>IF(ISNUMBER(B1062),IF(DB_MON="Todos",1,IF(AND(INT(B1062)&gt;=DB_MS,INT(B1062)&lt;=DB_ME),1,0)),0)</f>
        <v>0</v>
      </c>
      <c r="BX1062" s="80">
        <f>IF(DB_PROJ="Todos",1,IF(E1062&amp;""=DB_PROJ&amp;"",1,0))</f>
        <v>1</v>
      </c>
      <c r="BY1062" s="80">
        <f>BW1062*BX1062</f>
        <v>0</v>
      </c>
      <c r="BZ1062" s="80" t="str">
        <f>IF(Y1062=1,F1062&amp;IF(AND(F1062&amp;""&lt;&gt;"",E1062&amp;""&lt;&gt;"")," · ","")&amp;E1062,"")</f>
        <v/>
      </c>
      <c r="CA1062" s="80" t="str">
        <f>IF(AND(BD1062=1,E1062&amp;""&lt;&gt;""),IF(COUNTIFS($E$5:E1061,E1062,$BD$5:BD1061,1)=0,MAX($CA$5:CA1061)+1,""),"")</f>
        <v/>
      </c>
      <c r="CB1062" s="80" t="str">
        <f>IF(AND(BE1062=1,D1062="Malcolm",E1062&amp;""&lt;&gt;""),IF(COUNTIFS($D$5:D1061,"Malcolm",$E$5:E1061,E1062,$BE$5:BE1061,1)=0,MAX($CB$5:CB1061)+1,""),"")</f>
        <v/>
      </c>
      <c r="CC1062" s="80" t="str">
        <f>IF(AND(BD1062=1,D1062="proMX",E1062&amp;""&lt;&gt;""),IF(COUNTIFS($D$5:D1061,"proMX",$E$5:E1061,E1062,$BD$5:BD1061,1)=0,MAX($CC$5:CC1061)+1,""),"")</f>
        <v/>
      </c>
      <c r="CD1062" s="80" t="str">
        <f>IF(AND(BE1062=1,D1062="Malcolm",F1062&amp;""&lt;&gt;""),IF(COUNTIFS($D$5:D1061,"Malcolm",$F$5:F1061,F1062,$BE$5:BE1061,1)=0,MAX($CD$5:CD1061)+1,""),"")</f>
        <v/>
      </c>
      <c r="CE1062" s="80" t="str">
        <f>IF(AND(BD1062=1,D1062="proMX",F1062&amp;""&lt;&gt;""),IF(COUNTIFS($D$5:D1061,"proMX",$F$5:F1061,F1062,$BD$5:BD1061,1)=0,MAX($CE$5:CE1061)+1,""),"")</f>
        <v/>
      </c>
      <c r="CF1062" s="80" t="str">
        <f>IF(AND(D1062="proMX",BD1062=1),IF(OR(BF1062="Draft",BF1062="Submitted",BF1062="Returned",BF1062="Recall Requested"),MAX($CF$5:CF1061)+1,""),"")</f>
        <v/>
      </c>
      <c r="CG1062" s="80">
        <f>IF(BD1062=0,0,IF(D1062="Malcolm",1,MATCH(BF1062,{"Draft","Submitted","Approved","Returned","Recall Requested","Cancelled"},0)+1))</f>
        <v>0</v>
      </c>
      <c r="CH1062" s="80">
        <f>IF(AND(BF1062="Submitted",ISNUMBER(V1062)),IF(V1062&gt;CFG_MAXD,1,0),0)</f>
        <v>0</v>
      </c>
    </row>
    <row r="1063">
      <c r="A1063" s="71" t="str">
        <f>IF(Y1063=1,ROW()-5,"")</f>
        <v/>
      </c>
      <c r="B1063" s="72" t="n"/>
      <c r="C1063" s="71" t="str">
        <f>IF(ISNUMBER(B1063),CHOOSE(WEEKDAY(B1063,2),"Lun","Mar","Mié","Jue","Vie","Sáb","Dom"),"")</f>
        <v/>
      </c>
      <c r="D1063" s="73" t="n"/>
      <c r="E1063" s="74" t="n"/>
      <c r="F1063" s="74" t="n"/>
      <c r="G1063" s="74" t="n"/>
      <c r="H1063" s="75" t="n"/>
      <c r="I1063" s="75" t="n"/>
      <c r="J1063" s="76" t="n"/>
      <c r="K1063" s="77" t="str">
        <f>IF(AB1063=1,ROUND(AG1063/60,4),"")</f>
        <v/>
      </c>
      <c r="L1063" s="77" t="str">
        <f>IF(BD1063=1,ROUND(AP1063/60,4),"")</f>
        <v/>
      </c>
      <c r="M1063" s="77" t="str">
        <f>IF(BD1063=1,ROUND(AQ1063/60,4),"")</f>
        <v/>
      </c>
      <c r="N1063" s="71" t="str">
        <f>IF(AND(D1063="proMX",AB1063=1),ROUND(AG1063/CFG_BLK,2),"")</f>
        <v/>
      </c>
      <c r="O1063" s="77" t="str">
        <f>IF(D1063="proMX",IF(BD1063=1,ROUND(AG1063/60,4),0),"")</f>
        <v/>
      </c>
      <c r="P1063" s="78" t="str">
        <f>IF(Y1063=0,"",IF(BD1063=1,"OK",IF(D1063="proMX","Revisar bloques: ","Revisar: ")&amp;BC1063))</f>
        <v/>
      </c>
      <c r="Q1063" s="78" t="str">
        <f>IF(NOT(ISNUMBER(B1063)),"",IF(COUNTIFS(FER_F,INT(B1063))&gt;0,"Feriado"&amp;IF(AH1063=1," (laborable)"," (no laborable)"),IF(AH1063=1,"Laborable",IF(WEEKDAY(B1063,2)&gt;5,"Fin de semana","No laborable"))))</f>
        <v/>
      </c>
      <c r="R1063" s="73" t="n"/>
      <c r="S1063" s="72" t="n"/>
      <c r="T1063" s="72" t="n"/>
      <c r="U1063" s="74" t="n"/>
      <c r="V1063" s="79" t="str">
        <f>IF(AND(D1063="proMX",OR(R1063="Submitted",R1063="Recall Requested"),ISNUMBER(S1063)),CFG_TODAY-INT(S1063),"")</f>
        <v/>
      </c>
      <c r="W1063" s="78" t="str">
        <f>IF(BD1063=0,"",IF(BA1063&gt;0,"⚠ Se superpone con un registro de la otra empresa",IF(D1063="Malcolm",IF(COUNTA(R1063,S1063,T1063)&gt;0,"Estado/fechas proMX se ignoran en Malcolm",""),IF(BF1063="Cancelled","Cancelado: excluido de totales",IF(R1063="","Sin estado: se trata como Draft",IF(BF1063="Submitted",IF(ISNUMBER(V1063),IF(V1063&gt;CFG_MAXD,"⚠ "&amp;V1063&amp;" días en Submitted (máx. "&amp;CFG_MAXD&amp;")",""),"Falta fecha de envío"),IF(BF1063="Returned","⚠ Devuelto: corregir y reenviar",IF(BF1063="Recall Requested","Retirada solicitada: pendiente",IF(AND(BF1063="Approved",NOT(ISNUMBER(T1063))),"Falta fecha de aprobación",IF(AND(ISNUMBER(S1063),ISNUMBER(T1063),T1063&lt;S1063),"Aprobación anterior al envío","")))))))))</f>
        <v/>
      </c>
      <c r="Y1063" s="80">
        <f>IF(COUNTA(B1063,D1063,E1063,F1063,G1063,H1063,I1063,J1063,R1063,S1063,T1063)&gt;0,1,0)</f>
        <v>0</v>
      </c>
      <c r="Z1063" s="80" t="str">
        <f>IF(AND(ISNUMBER(H1063),H1063&gt;=0,H1063&lt;1),ROUND(H1063*1440,0),"")</f>
        <v/>
      </c>
      <c r="AA1063" s="80" t="str">
        <f>IF(AND(ISNUMBER(I1063),I1063&gt;=0,I1063&lt;1),ROUND(I1063*1440,0),"")</f>
        <v/>
      </c>
      <c r="AB1063" s="80">
        <f>IF(AND(ISNUMBER(B1063),D1063&lt;&gt;"",ISNUMBER(Z1063),ISNUMBER(AA1063)),IF(Z1063=AA1063,0,1),0)</f>
        <v>0</v>
      </c>
      <c r="AC1063" s="80">
        <f>IF(AB1063=1,IF(AA1063&lt;Z1063,1,0),0)</f>
        <v>0</v>
      </c>
      <c r="AD1063" s="80">
        <f>IF(AB1063=1,IF(AC1063=1,1440-Z1063+AA1063,AA1063-Z1063),0)</f>
        <v>0</v>
      </c>
      <c r="AE1063" s="80">
        <f>IF(J1063="",0,IF(ISNUMBER(J1063),J1063,-1))</f>
        <v>0</v>
      </c>
      <c r="AF1063" s="80">
        <f>MIN(MAX(0,AE1063),AD1063)</f>
        <v>0</v>
      </c>
      <c r="AG1063" s="80">
        <f>MAX(0,AD1063-MAX(0,AE1063))</f>
        <v>0</v>
      </c>
      <c r="AH1063" s="80">
        <f>IF(ISNUMBER(B1063),IF(AND(INDEX(CFG_WDAYS,WEEKDAY(INT(B1063),2))="Sí",IF(D1063="proMX",COUNTIFS(FER_F,INT(B1063),FER_NLP,"Sí"),COUNTIFS(FER_F,INT(B1063),FER_NLM,"Sí"))=0),1,0),0)</f>
        <v>0</v>
      </c>
      <c r="AI1063" s="80">
        <f>IF(AC1063=1,IF(AND(INDEX(CFG_WDAYS,WEEKDAY(INT(B1063)+1,2))="Sí",IF(D1063="proMX",COUNTIFS(FER_F,INT(B1063)+1,FER_NLP,"Sí"),COUNTIFS(FER_F,INT(B1063)+1,FER_NLM,"Sí"))=0),1,0),0)</f>
        <v>0</v>
      </c>
      <c r="AJ1063" s="80">
        <f>IF(AC1063=1,1440-Z1063,AD1063)</f>
        <v>0</v>
      </c>
      <c r="AK1063" s="80">
        <f>IF(AND(AB1063=1,AH1063=1),MAX(0,MIN(IF(AC1063=1,1440,AA1063),CFG_WEM)-MAX(Z1063,CFG_WSM)),0)</f>
        <v>0</v>
      </c>
      <c r="AL1063" s="80">
        <f>IF(AND(AC1063=1,AI1063=1),MAX(0,MIN(AA1063,CFG_WEM)-CFG_WSM),0)</f>
        <v>0</v>
      </c>
      <c r="AM1063" s="80">
        <f>AK1063+AL1063</f>
        <v>0</v>
      </c>
      <c r="AN1063" s="80">
        <f>IF(CFG_BRK="Proporcional",IF(AD1063=0,0,AF1063*AM1063/AD1063),IF(CFG_BRK="Extras primero",MIN(AM1063,MAX(0,AF1063-(AD1063-AM1063))),MIN(AF1063,AM1063)))</f>
        <v>0</v>
      </c>
      <c r="AO1063" s="80">
        <f>AF1063-AN1063</f>
        <v>0</v>
      </c>
      <c r="AP1063" s="80">
        <f>AM1063-AN1063</f>
        <v>0</v>
      </c>
      <c r="AQ1063" s="80">
        <f>AD1063-AM1063-AO1063</f>
        <v>0</v>
      </c>
      <c r="AR1063" s="80">
        <f>IF(AM1063=0,0,AK1063-AN1063*AK1063/AM1063)</f>
        <v>0</v>
      </c>
      <c r="AS1063" s="80">
        <f>IF(AD1063-AM1063=0,0,(AJ1063-AK1063)-AO1063*(AJ1063-AK1063)/(AD1063-AM1063))</f>
        <v>0</v>
      </c>
      <c r="AT1063" s="80" t="str">
        <f>IF(AC1063=1,INT(B1063)+1,"")</f>
        <v/>
      </c>
      <c r="AU1063" s="80">
        <f>IF(AND(D1063="proMX",R1063="Cancelled"),0,1)</f>
        <v>1</v>
      </c>
      <c r="AV1063" s="80">
        <f>IF(AND(AB1063=1,AU1063=1),IF(COUNTIFS($D$5:D1062,D1063,$B$5:B1062,B1063,$Z$5:Z1062,Z1063,$AA$5:AA1062,AA1063,$F$5:F1062,F1063&amp;"",$AU$5:AU1062,1)&gt;0,1,0),0)</f>
        <v>0</v>
      </c>
      <c r="AW1063" s="80" t="str">
        <f>IF(AB1063=1,INT(B1063)*1440+Z1063,"")</f>
        <v/>
      </c>
      <c r="AX1063" s="80" t="str">
        <f>IF(AB1063=1,AW1063+AD1063,"")</f>
        <v/>
      </c>
      <c r="AY1063" s="80">
        <f>IF(AND(AB1063=1,AV1063=0,AU1063=1),1,0)</f>
        <v>0</v>
      </c>
      <c r="AZ1063" s="80">
        <f>IF(AY1063=1,COUNTIFS(R_Emp,D1063,R_SAbs,"&lt;"&amp;AX1063,R_EAbs,"&gt;"&amp;AW1063,R_OKey,1)-1,0)</f>
        <v>0</v>
      </c>
      <c r="BA1063" s="80">
        <f>IF(AY1063=1,COUNTIFS(R_Emp,"&lt;&gt;"&amp;D1063,R_SAbs,"&lt;"&amp;AX1063,R_EAbs,"&gt;"&amp;AW1063,R_OKey,1),0)</f>
        <v>0</v>
      </c>
      <c r="BB1063" s="80">
        <f>IF(AND(AB1063=1,D1063="proMX"),IF(AND(MOD(Z1063,CFG_BLK)=0,MOD(AA1063,CFG_BLK)=0,MOD(AG1063,CFG_BLK)=0,AG1063&gt;0),1,0),1)</f>
        <v>1</v>
      </c>
      <c r="BC1063" s="80" t="str">
        <f>IF(Y1063=0,"",IF(NOT(ISNUMBER(B1063)),"Falta fecha o fecha inválida",IF(D1063="","Falta empresa",IF(AND(D1063&lt;&gt;"Malcolm",D1063&lt;&gt;"proMX"),"Empresa inválida",IF(OR(INT(B1063)&lt;CFG_PSTART,INT(B1063)&gt;CFG_PEND),"Fecha fuera del período",IF(OR(NOT(ISNUMBER(Z1063)),NOT(ISNUMBER(AA1063))),"Falta hora inicio/fin o formato inválido",IF(AB1063=0,"Hora inicio = hora fin",IF(AE1063&lt;0,"Descanso inválido",IF(AE1063&gt;=AD1063,"Descanso ≥ duración",IF(AV1063=1,"Registro duplicado",IF(AZ1063&gt;0,"Se superpone con otro registro "&amp;D1063,IF(BB1063=0,"inicio, fin y duración neta deben ser múltiplos de "&amp;CFG_BLK&amp;" min",""))))))))))))</f>
        <v/>
      </c>
      <c r="BD1063" s="80">
        <f>IF(AND(Y1063=1,BC1063=""),1,0)</f>
        <v>0</v>
      </c>
      <c r="BE1063" s="80">
        <f>IF(AND(BD1063=1,AU1063=1),1,0)</f>
        <v>0</v>
      </c>
      <c r="BF1063" s="80" t="str">
        <f>IF(AND(D1063="proMX",BD1063=1),IF(R1063="","Draft",R1063),"")</f>
        <v/>
      </c>
      <c r="BG1063" s="80">
        <f>IF(BD1063=1,ROUND(AG1063/60,6),0)</f>
        <v>0</v>
      </c>
      <c r="BH1063" s="80">
        <f>IF(BE1063=1,ROUND(AG1063/60,6),0)</f>
        <v>0</v>
      </c>
      <c r="BI1063" s="80">
        <f>IF(BE1063=1,ROUND(AP1063/60,6),0)</f>
        <v>0</v>
      </c>
      <c r="BJ1063" s="80">
        <f>IF(BE1063=1,ROUND(AQ1063/60,6),0)</f>
        <v>0</v>
      </c>
      <c r="BK1063" s="80">
        <f>IF(BE1063=1,ROUND((AR1063+AS1063)/60,6),0)</f>
        <v>0</v>
      </c>
      <c r="BL1063" s="80">
        <f>ROUND(BH1063-BK1063,6)</f>
        <v>0</v>
      </c>
      <c r="BM1063" s="80">
        <f>IF(BE1063=1,ROUND(AR1063/60,6),0)</f>
        <v>0</v>
      </c>
      <c r="BN1063" s="80">
        <f>ROUND(BI1063-BM1063,6)</f>
        <v>0</v>
      </c>
      <c r="BO1063" s="80">
        <f>IF(BE1063=1,ROUND(AS1063/60,6),0)</f>
        <v>0</v>
      </c>
      <c r="BP1063" s="80">
        <f>ROUND(BJ1063-BO1063,6)</f>
        <v>0</v>
      </c>
      <c r="BQ1063" s="80">
        <f>IF(BE1063=1,AW1063,0)</f>
        <v>0</v>
      </c>
      <c r="BR1063" s="80">
        <f>IF(BE1063=1,AX1063,0)</f>
        <v>0</v>
      </c>
      <c r="BS1063" s="80">
        <f>IF(AND(BE1063=1,D1063="Malcolm",BA1063&gt;0),MIN(BH1063,SUMPRODUCT((R_Emp="proMX")*(R_EN&gt;0)*((R_EN-(R_EN&gt;BR1063)*(R_EN-BR1063))&gt;(R_SN+(R_SN&lt;BQ1063)*(BQ1063-R_SN)))*((R_EN-(R_EN&gt;BR1063)*(R_EN-BR1063))-(R_SN+(R_SN&lt;BQ1063)*(BQ1063-R_SN))))/60),0)</f>
        <v>0</v>
      </c>
      <c r="BT1063" s="80">
        <f>IF(AND(BE1063=1,D1063="proMX"),ROUND(BI1063*CFG_RATE+BJ1063*CFG_OTRATE,6),0)</f>
        <v>0</v>
      </c>
      <c r="BU1063" s="80">
        <f>IF(AND(BD1063=1,D1063="proMX"),ROUND(AG1063/CFG_BLK,6),0)</f>
        <v>0</v>
      </c>
      <c r="BV1063" s="80" t="str">
        <f>IF(BF1063="Approved",IF(ISNUMBER(T1063),INT(T1063),INT(B1063)),"")</f>
        <v/>
      </c>
      <c r="BW1063" s="80">
        <f>IF(ISNUMBER(B1063),IF(DB_MON="Todos",1,IF(AND(INT(B1063)&gt;=DB_MS,INT(B1063)&lt;=DB_ME),1,0)),0)</f>
        <v>0</v>
      </c>
      <c r="BX1063" s="80">
        <f>IF(DB_PROJ="Todos",1,IF(E1063&amp;""=DB_PROJ&amp;"",1,0))</f>
        <v>1</v>
      </c>
      <c r="BY1063" s="80">
        <f>BW1063*BX1063</f>
        <v>0</v>
      </c>
      <c r="BZ1063" s="80" t="str">
        <f>IF(Y1063=1,F1063&amp;IF(AND(F1063&amp;""&lt;&gt;"",E1063&amp;""&lt;&gt;"")," · ","")&amp;E1063,"")</f>
        <v/>
      </c>
      <c r="CA1063" s="80" t="str">
        <f>IF(AND(BD1063=1,E1063&amp;""&lt;&gt;""),IF(COUNTIFS($E$5:E1062,E1063,$BD$5:BD1062,1)=0,MAX($CA$5:CA1062)+1,""),"")</f>
        <v/>
      </c>
      <c r="CB1063" s="80" t="str">
        <f>IF(AND(BE1063=1,D1063="Malcolm",E1063&amp;""&lt;&gt;""),IF(COUNTIFS($D$5:D1062,"Malcolm",$E$5:E1062,E1063,$BE$5:BE1062,1)=0,MAX($CB$5:CB1062)+1,""),"")</f>
        <v/>
      </c>
      <c r="CC1063" s="80" t="str">
        <f>IF(AND(BD1063=1,D1063="proMX",E1063&amp;""&lt;&gt;""),IF(COUNTIFS($D$5:D1062,"proMX",$E$5:E1062,E1063,$BD$5:BD1062,1)=0,MAX($CC$5:CC1062)+1,""),"")</f>
        <v/>
      </c>
      <c r="CD1063" s="80" t="str">
        <f>IF(AND(BE1063=1,D1063="Malcolm",F1063&amp;""&lt;&gt;""),IF(COUNTIFS($D$5:D1062,"Malcolm",$F$5:F1062,F1063,$BE$5:BE1062,1)=0,MAX($CD$5:CD1062)+1,""),"")</f>
        <v/>
      </c>
      <c r="CE1063" s="80" t="str">
        <f>IF(AND(BD1063=1,D1063="proMX",F1063&amp;""&lt;&gt;""),IF(COUNTIFS($D$5:D1062,"proMX",$F$5:F1062,F1063,$BD$5:BD1062,1)=0,MAX($CE$5:CE1062)+1,""),"")</f>
        <v/>
      </c>
      <c r="CF1063" s="80" t="str">
        <f>IF(AND(D1063="proMX",BD1063=1),IF(OR(BF1063="Draft",BF1063="Submitted",BF1063="Returned",BF1063="Recall Requested"),MAX($CF$5:CF1062)+1,""),"")</f>
        <v/>
      </c>
      <c r="CG1063" s="80">
        <f>IF(BD1063=0,0,IF(D1063="Malcolm",1,MATCH(BF1063,{"Draft","Submitted","Approved","Returned","Recall Requested","Cancelled"},0)+1))</f>
        <v>0</v>
      </c>
      <c r="CH1063" s="80">
        <f>IF(AND(BF1063="Submitted",ISNUMBER(V1063)),IF(V1063&gt;CFG_MAXD,1,0),0)</f>
        <v>0</v>
      </c>
    </row>
    <row r="1064">
      <c r="A1064" s="71" t="str">
        <f>IF(Y1064=1,ROW()-5,"")</f>
        <v/>
      </c>
      <c r="B1064" s="72" t="n"/>
      <c r="C1064" s="71" t="str">
        <f>IF(ISNUMBER(B1064),CHOOSE(WEEKDAY(B1064,2),"Lun","Mar","Mié","Jue","Vie","Sáb","Dom"),"")</f>
        <v/>
      </c>
      <c r="D1064" s="73" t="n"/>
      <c r="E1064" s="74" t="n"/>
      <c r="F1064" s="74" t="n"/>
      <c r="G1064" s="74" t="n"/>
      <c r="H1064" s="75" t="n"/>
      <c r="I1064" s="75" t="n"/>
      <c r="J1064" s="76" t="n"/>
      <c r="K1064" s="77" t="str">
        <f>IF(AB1064=1,ROUND(AG1064/60,4),"")</f>
        <v/>
      </c>
      <c r="L1064" s="77" t="str">
        <f>IF(BD1064=1,ROUND(AP1064/60,4),"")</f>
        <v/>
      </c>
      <c r="M1064" s="77" t="str">
        <f>IF(BD1064=1,ROUND(AQ1064/60,4),"")</f>
        <v/>
      </c>
      <c r="N1064" s="71" t="str">
        <f>IF(AND(D1064="proMX",AB1064=1),ROUND(AG1064/CFG_BLK,2),"")</f>
        <v/>
      </c>
      <c r="O1064" s="77" t="str">
        <f>IF(D1064="proMX",IF(BD1064=1,ROUND(AG1064/60,4),0),"")</f>
        <v/>
      </c>
      <c r="P1064" s="78" t="str">
        <f>IF(Y1064=0,"",IF(BD1064=1,"OK",IF(D1064="proMX","Revisar bloques: ","Revisar: ")&amp;BC1064))</f>
        <v/>
      </c>
      <c r="Q1064" s="78" t="str">
        <f>IF(NOT(ISNUMBER(B1064)),"",IF(COUNTIFS(FER_F,INT(B1064))&gt;0,"Feriado"&amp;IF(AH1064=1," (laborable)"," (no laborable)"),IF(AH1064=1,"Laborable",IF(WEEKDAY(B1064,2)&gt;5,"Fin de semana","No laborable"))))</f>
        <v/>
      </c>
      <c r="R1064" s="73" t="n"/>
      <c r="S1064" s="72" t="n"/>
      <c r="T1064" s="72" t="n"/>
      <c r="U1064" s="74" t="n"/>
      <c r="V1064" s="79" t="str">
        <f>IF(AND(D1064="proMX",OR(R1064="Submitted",R1064="Recall Requested"),ISNUMBER(S1064)),CFG_TODAY-INT(S1064),"")</f>
        <v/>
      </c>
      <c r="W1064" s="78" t="str">
        <f>IF(BD1064=0,"",IF(BA1064&gt;0,"⚠ Se superpone con un registro de la otra empresa",IF(D1064="Malcolm",IF(COUNTA(R1064,S1064,T1064)&gt;0,"Estado/fechas proMX se ignoran en Malcolm",""),IF(BF1064="Cancelled","Cancelado: excluido de totales",IF(R1064="","Sin estado: se trata como Draft",IF(BF1064="Submitted",IF(ISNUMBER(V1064),IF(V1064&gt;CFG_MAXD,"⚠ "&amp;V1064&amp;" días en Submitted (máx. "&amp;CFG_MAXD&amp;")",""),"Falta fecha de envío"),IF(BF1064="Returned","⚠ Devuelto: corregir y reenviar",IF(BF1064="Recall Requested","Retirada solicitada: pendiente",IF(AND(BF1064="Approved",NOT(ISNUMBER(T1064))),"Falta fecha de aprobación",IF(AND(ISNUMBER(S1064),ISNUMBER(T1064),T1064&lt;S1064),"Aprobación anterior al envío","")))))))))</f>
        <v/>
      </c>
      <c r="Y1064" s="80">
        <f>IF(COUNTA(B1064,D1064,E1064,F1064,G1064,H1064,I1064,J1064,R1064,S1064,T1064)&gt;0,1,0)</f>
        <v>0</v>
      </c>
      <c r="Z1064" s="80" t="str">
        <f>IF(AND(ISNUMBER(H1064),H1064&gt;=0,H1064&lt;1),ROUND(H1064*1440,0),"")</f>
        <v/>
      </c>
      <c r="AA1064" s="80" t="str">
        <f>IF(AND(ISNUMBER(I1064),I1064&gt;=0,I1064&lt;1),ROUND(I1064*1440,0),"")</f>
        <v/>
      </c>
      <c r="AB1064" s="80">
        <f>IF(AND(ISNUMBER(B1064),D1064&lt;&gt;"",ISNUMBER(Z1064),ISNUMBER(AA1064)),IF(Z1064=AA1064,0,1),0)</f>
        <v>0</v>
      </c>
      <c r="AC1064" s="80">
        <f>IF(AB1064=1,IF(AA1064&lt;Z1064,1,0),0)</f>
        <v>0</v>
      </c>
      <c r="AD1064" s="80">
        <f>IF(AB1064=1,IF(AC1064=1,1440-Z1064+AA1064,AA1064-Z1064),0)</f>
        <v>0</v>
      </c>
      <c r="AE1064" s="80">
        <f>IF(J1064="",0,IF(ISNUMBER(J1064),J1064,-1))</f>
        <v>0</v>
      </c>
      <c r="AF1064" s="80">
        <f>MIN(MAX(0,AE1064),AD1064)</f>
        <v>0</v>
      </c>
      <c r="AG1064" s="80">
        <f>MAX(0,AD1064-MAX(0,AE1064))</f>
        <v>0</v>
      </c>
      <c r="AH1064" s="80">
        <f>IF(ISNUMBER(B1064),IF(AND(INDEX(CFG_WDAYS,WEEKDAY(INT(B1064),2))="Sí",IF(D1064="proMX",COUNTIFS(FER_F,INT(B1064),FER_NLP,"Sí"),COUNTIFS(FER_F,INT(B1064),FER_NLM,"Sí"))=0),1,0),0)</f>
        <v>0</v>
      </c>
      <c r="AI1064" s="80">
        <f>IF(AC1064=1,IF(AND(INDEX(CFG_WDAYS,WEEKDAY(INT(B1064)+1,2))="Sí",IF(D1064="proMX",COUNTIFS(FER_F,INT(B1064)+1,FER_NLP,"Sí"),COUNTIFS(FER_F,INT(B1064)+1,FER_NLM,"Sí"))=0),1,0),0)</f>
        <v>0</v>
      </c>
      <c r="AJ1064" s="80">
        <f>IF(AC1064=1,1440-Z1064,AD1064)</f>
        <v>0</v>
      </c>
      <c r="AK1064" s="80">
        <f>IF(AND(AB1064=1,AH1064=1),MAX(0,MIN(IF(AC1064=1,1440,AA1064),CFG_WEM)-MAX(Z1064,CFG_WSM)),0)</f>
        <v>0</v>
      </c>
      <c r="AL1064" s="80">
        <f>IF(AND(AC1064=1,AI1064=1),MAX(0,MIN(AA1064,CFG_WEM)-CFG_WSM),0)</f>
        <v>0</v>
      </c>
      <c r="AM1064" s="80">
        <f>AK1064+AL1064</f>
        <v>0</v>
      </c>
      <c r="AN1064" s="80">
        <f>IF(CFG_BRK="Proporcional",IF(AD1064=0,0,AF1064*AM1064/AD1064),IF(CFG_BRK="Extras primero",MIN(AM1064,MAX(0,AF1064-(AD1064-AM1064))),MIN(AF1064,AM1064)))</f>
        <v>0</v>
      </c>
      <c r="AO1064" s="80">
        <f>AF1064-AN1064</f>
        <v>0</v>
      </c>
      <c r="AP1064" s="80">
        <f>AM1064-AN1064</f>
        <v>0</v>
      </c>
      <c r="AQ1064" s="80">
        <f>AD1064-AM1064-AO1064</f>
        <v>0</v>
      </c>
      <c r="AR1064" s="80">
        <f>IF(AM1064=0,0,AK1064-AN1064*AK1064/AM1064)</f>
        <v>0</v>
      </c>
      <c r="AS1064" s="80">
        <f>IF(AD1064-AM1064=0,0,(AJ1064-AK1064)-AO1064*(AJ1064-AK1064)/(AD1064-AM1064))</f>
        <v>0</v>
      </c>
      <c r="AT1064" s="80" t="str">
        <f>IF(AC1064=1,INT(B1064)+1,"")</f>
        <v/>
      </c>
      <c r="AU1064" s="80">
        <f>IF(AND(D1064="proMX",R1064="Cancelled"),0,1)</f>
        <v>1</v>
      </c>
      <c r="AV1064" s="80">
        <f>IF(AND(AB1064=1,AU1064=1),IF(COUNTIFS($D$5:D1063,D1064,$B$5:B1063,B1064,$Z$5:Z1063,Z1064,$AA$5:AA1063,AA1064,$F$5:F1063,F1064&amp;"",$AU$5:AU1063,1)&gt;0,1,0),0)</f>
        <v>0</v>
      </c>
      <c r="AW1064" s="80" t="str">
        <f>IF(AB1064=1,INT(B1064)*1440+Z1064,"")</f>
        <v/>
      </c>
      <c r="AX1064" s="80" t="str">
        <f>IF(AB1064=1,AW1064+AD1064,"")</f>
        <v/>
      </c>
      <c r="AY1064" s="80">
        <f>IF(AND(AB1064=1,AV1064=0,AU1064=1),1,0)</f>
        <v>0</v>
      </c>
      <c r="AZ1064" s="80">
        <f>IF(AY1064=1,COUNTIFS(R_Emp,D1064,R_SAbs,"&lt;"&amp;AX1064,R_EAbs,"&gt;"&amp;AW1064,R_OKey,1)-1,0)</f>
        <v>0</v>
      </c>
      <c r="BA1064" s="80">
        <f>IF(AY1064=1,COUNTIFS(R_Emp,"&lt;&gt;"&amp;D1064,R_SAbs,"&lt;"&amp;AX1064,R_EAbs,"&gt;"&amp;AW1064,R_OKey,1),0)</f>
        <v>0</v>
      </c>
      <c r="BB1064" s="80">
        <f>IF(AND(AB1064=1,D1064="proMX"),IF(AND(MOD(Z1064,CFG_BLK)=0,MOD(AA1064,CFG_BLK)=0,MOD(AG1064,CFG_BLK)=0,AG1064&gt;0),1,0),1)</f>
        <v>1</v>
      </c>
      <c r="BC1064" s="80" t="str">
        <f>IF(Y1064=0,"",IF(NOT(ISNUMBER(B1064)),"Falta fecha o fecha inválida",IF(D1064="","Falta empresa",IF(AND(D1064&lt;&gt;"Malcolm",D1064&lt;&gt;"proMX"),"Empresa inválida",IF(OR(INT(B1064)&lt;CFG_PSTART,INT(B1064)&gt;CFG_PEND),"Fecha fuera del período",IF(OR(NOT(ISNUMBER(Z1064)),NOT(ISNUMBER(AA1064))),"Falta hora inicio/fin o formato inválido",IF(AB1064=0,"Hora inicio = hora fin",IF(AE1064&lt;0,"Descanso inválido",IF(AE1064&gt;=AD1064,"Descanso ≥ duración",IF(AV1064=1,"Registro duplicado",IF(AZ1064&gt;0,"Se superpone con otro registro "&amp;D1064,IF(BB1064=0,"inicio, fin y duración neta deben ser múltiplos de "&amp;CFG_BLK&amp;" min",""))))))))))))</f>
        <v/>
      </c>
      <c r="BD1064" s="80">
        <f>IF(AND(Y1064=1,BC1064=""),1,0)</f>
        <v>0</v>
      </c>
      <c r="BE1064" s="80">
        <f>IF(AND(BD1064=1,AU1064=1),1,0)</f>
        <v>0</v>
      </c>
      <c r="BF1064" s="80" t="str">
        <f>IF(AND(D1064="proMX",BD1064=1),IF(R1064="","Draft",R1064),"")</f>
        <v/>
      </c>
      <c r="BG1064" s="80">
        <f>IF(BD1064=1,ROUND(AG1064/60,6),0)</f>
        <v>0</v>
      </c>
      <c r="BH1064" s="80">
        <f>IF(BE1064=1,ROUND(AG1064/60,6),0)</f>
        <v>0</v>
      </c>
      <c r="BI1064" s="80">
        <f>IF(BE1064=1,ROUND(AP1064/60,6),0)</f>
        <v>0</v>
      </c>
      <c r="BJ1064" s="80">
        <f>IF(BE1064=1,ROUND(AQ1064/60,6),0)</f>
        <v>0</v>
      </c>
      <c r="BK1064" s="80">
        <f>IF(BE1064=1,ROUND((AR1064+AS1064)/60,6),0)</f>
        <v>0</v>
      </c>
      <c r="BL1064" s="80">
        <f>ROUND(BH1064-BK1064,6)</f>
        <v>0</v>
      </c>
      <c r="BM1064" s="80">
        <f>IF(BE1064=1,ROUND(AR1064/60,6),0)</f>
        <v>0</v>
      </c>
      <c r="BN1064" s="80">
        <f>ROUND(BI1064-BM1064,6)</f>
        <v>0</v>
      </c>
      <c r="BO1064" s="80">
        <f>IF(BE1064=1,ROUND(AS1064/60,6),0)</f>
        <v>0</v>
      </c>
      <c r="BP1064" s="80">
        <f>ROUND(BJ1064-BO1064,6)</f>
        <v>0</v>
      </c>
      <c r="BQ1064" s="80">
        <f>IF(BE1064=1,AW1064,0)</f>
        <v>0</v>
      </c>
      <c r="BR1064" s="80">
        <f>IF(BE1064=1,AX1064,0)</f>
        <v>0</v>
      </c>
      <c r="BS1064" s="80">
        <f>IF(AND(BE1064=1,D1064="Malcolm",BA1064&gt;0),MIN(BH1064,SUMPRODUCT((R_Emp="proMX")*(R_EN&gt;0)*((R_EN-(R_EN&gt;BR1064)*(R_EN-BR1064))&gt;(R_SN+(R_SN&lt;BQ1064)*(BQ1064-R_SN)))*((R_EN-(R_EN&gt;BR1064)*(R_EN-BR1064))-(R_SN+(R_SN&lt;BQ1064)*(BQ1064-R_SN))))/60),0)</f>
        <v>0</v>
      </c>
      <c r="BT1064" s="80">
        <f>IF(AND(BE1064=1,D1064="proMX"),ROUND(BI1064*CFG_RATE+BJ1064*CFG_OTRATE,6),0)</f>
        <v>0</v>
      </c>
      <c r="BU1064" s="80">
        <f>IF(AND(BD1064=1,D1064="proMX"),ROUND(AG1064/CFG_BLK,6),0)</f>
        <v>0</v>
      </c>
      <c r="BV1064" s="80" t="str">
        <f>IF(BF1064="Approved",IF(ISNUMBER(T1064),INT(T1064),INT(B1064)),"")</f>
        <v/>
      </c>
      <c r="BW1064" s="80">
        <f>IF(ISNUMBER(B1064),IF(DB_MON="Todos",1,IF(AND(INT(B1064)&gt;=DB_MS,INT(B1064)&lt;=DB_ME),1,0)),0)</f>
        <v>0</v>
      </c>
      <c r="BX1064" s="80">
        <f>IF(DB_PROJ="Todos",1,IF(E1064&amp;""=DB_PROJ&amp;"",1,0))</f>
        <v>1</v>
      </c>
      <c r="BY1064" s="80">
        <f>BW1064*BX1064</f>
        <v>0</v>
      </c>
      <c r="BZ1064" s="80" t="str">
        <f>IF(Y1064=1,F1064&amp;IF(AND(F1064&amp;""&lt;&gt;"",E1064&amp;""&lt;&gt;"")," · ","")&amp;E1064,"")</f>
        <v/>
      </c>
      <c r="CA1064" s="80" t="str">
        <f>IF(AND(BD1064=1,E1064&amp;""&lt;&gt;""),IF(COUNTIFS($E$5:E1063,E1064,$BD$5:BD1063,1)=0,MAX($CA$5:CA1063)+1,""),"")</f>
        <v/>
      </c>
      <c r="CB1064" s="80" t="str">
        <f>IF(AND(BE1064=1,D1064="Malcolm",E1064&amp;""&lt;&gt;""),IF(COUNTIFS($D$5:D1063,"Malcolm",$E$5:E1063,E1064,$BE$5:BE1063,1)=0,MAX($CB$5:CB1063)+1,""),"")</f>
        <v/>
      </c>
      <c r="CC1064" s="80" t="str">
        <f>IF(AND(BD1064=1,D1064="proMX",E1064&amp;""&lt;&gt;""),IF(COUNTIFS($D$5:D1063,"proMX",$E$5:E1063,E1064,$BD$5:BD1063,1)=0,MAX($CC$5:CC1063)+1,""),"")</f>
        <v/>
      </c>
      <c r="CD1064" s="80" t="str">
        <f>IF(AND(BE1064=1,D1064="Malcolm",F1064&amp;""&lt;&gt;""),IF(COUNTIFS($D$5:D1063,"Malcolm",$F$5:F1063,F1064,$BE$5:BE1063,1)=0,MAX($CD$5:CD1063)+1,""),"")</f>
        <v/>
      </c>
      <c r="CE1064" s="80" t="str">
        <f>IF(AND(BD1064=1,D1064="proMX",F1064&amp;""&lt;&gt;""),IF(COUNTIFS($D$5:D1063,"proMX",$F$5:F1063,F1064,$BD$5:BD1063,1)=0,MAX($CE$5:CE1063)+1,""),"")</f>
        <v/>
      </c>
      <c r="CF1064" s="80" t="str">
        <f>IF(AND(D1064="proMX",BD1064=1),IF(OR(BF1064="Draft",BF1064="Submitted",BF1064="Returned",BF1064="Recall Requested"),MAX($CF$5:CF1063)+1,""),"")</f>
        <v/>
      </c>
      <c r="CG1064" s="80">
        <f>IF(BD1064=0,0,IF(D1064="Malcolm",1,MATCH(BF1064,{"Draft","Submitted","Approved","Returned","Recall Requested","Cancelled"},0)+1))</f>
        <v>0</v>
      </c>
      <c r="CH1064" s="80">
        <f>IF(AND(BF1064="Submitted",ISNUMBER(V1064)),IF(V1064&gt;CFG_MAXD,1,0),0)</f>
        <v>0</v>
      </c>
    </row>
    <row r="1065">
      <c r="A1065" s="71" t="str">
        <f>IF(Y1065=1,ROW()-5,"")</f>
        <v/>
      </c>
      <c r="B1065" s="72" t="n"/>
      <c r="C1065" s="71" t="str">
        <f>IF(ISNUMBER(B1065),CHOOSE(WEEKDAY(B1065,2),"Lun","Mar","Mié","Jue","Vie","Sáb","Dom"),"")</f>
        <v/>
      </c>
      <c r="D1065" s="73" t="n"/>
      <c r="E1065" s="74" t="n"/>
      <c r="F1065" s="74" t="n"/>
      <c r="G1065" s="74" t="n"/>
      <c r="H1065" s="75" t="n"/>
      <c r="I1065" s="75" t="n"/>
      <c r="J1065" s="76" t="n"/>
      <c r="K1065" s="77" t="str">
        <f>IF(AB1065=1,ROUND(AG1065/60,4),"")</f>
        <v/>
      </c>
      <c r="L1065" s="77" t="str">
        <f>IF(BD1065=1,ROUND(AP1065/60,4),"")</f>
        <v/>
      </c>
      <c r="M1065" s="77" t="str">
        <f>IF(BD1065=1,ROUND(AQ1065/60,4),"")</f>
        <v/>
      </c>
      <c r="N1065" s="71" t="str">
        <f>IF(AND(D1065="proMX",AB1065=1),ROUND(AG1065/CFG_BLK,2),"")</f>
        <v/>
      </c>
      <c r="O1065" s="77" t="str">
        <f>IF(D1065="proMX",IF(BD1065=1,ROUND(AG1065/60,4),0),"")</f>
        <v/>
      </c>
      <c r="P1065" s="78" t="str">
        <f>IF(Y1065=0,"",IF(BD1065=1,"OK",IF(D1065="proMX","Revisar bloques: ","Revisar: ")&amp;BC1065))</f>
        <v/>
      </c>
      <c r="Q1065" s="78" t="str">
        <f>IF(NOT(ISNUMBER(B1065)),"",IF(COUNTIFS(FER_F,INT(B1065))&gt;0,"Feriado"&amp;IF(AH1065=1," (laborable)"," (no laborable)"),IF(AH1065=1,"Laborable",IF(WEEKDAY(B1065,2)&gt;5,"Fin de semana","No laborable"))))</f>
        <v/>
      </c>
      <c r="R1065" s="73" t="n"/>
      <c r="S1065" s="72" t="n"/>
      <c r="T1065" s="72" t="n"/>
      <c r="U1065" s="74" t="n"/>
      <c r="V1065" s="79" t="str">
        <f>IF(AND(D1065="proMX",OR(R1065="Submitted",R1065="Recall Requested"),ISNUMBER(S1065)),CFG_TODAY-INT(S1065),"")</f>
        <v/>
      </c>
      <c r="W1065" s="78" t="str">
        <f>IF(BD1065=0,"",IF(BA1065&gt;0,"⚠ Se superpone con un registro de la otra empresa",IF(D1065="Malcolm",IF(COUNTA(R1065,S1065,T1065)&gt;0,"Estado/fechas proMX se ignoran en Malcolm",""),IF(BF1065="Cancelled","Cancelado: excluido de totales",IF(R1065="","Sin estado: se trata como Draft",IF(BF1065="Submitted",IF(ISNUMBER(V1065),IF(V1065&gt;CFG_MAXD,"⚠ "&amp;V1065&amp;" días en Submitted (máx. "&amp;CFG_MAXD&amp;")",""),"Falta fecha de envío"),IF(BF1065="Returned","⚠ Devuelto: corregir y reenviar",IF(BF1065="Recall Requested","Retirada solicitada: pendiente",IF(AND(BF1065="Approved",NOT(ISNUMBER(T1065))),"Falta fecha de aprobación",IF(AND(ISNUMBER(S1065),ISNUMBER(T1065),T1065&lt;S1065),"Aprobación anterior al envío","")))))))))</f>
        <v/>
      </c>
      <c r="Y1065" s="80">
        <f>IF(COUNTA(B1065,D1065,E1065,F1065,G1065,H1065,I1065,J1065,R1065,S1065,T1065)&gt;0,1,0)</f>
        <v>0</v>
      </c>
      <c r="Z1065" s="80" t="str">
        <f>IF(AND(ISNUMBER(H1065),H1065&gt;=0,H1065&lt;1),ROUND(H1065*1440,0),"")</f>
        <v/>
      </c>
      <c r="AA1065" s="80" t="str">
        <f>IF(AND(ISNUMBER(I1065),I1065&gt;=0,I1065&lt;1),ROUND(I1065*1440,0),"")</f>
        <v/>
      </c>
      <c r="AB1065" s="80">
        <f>IF(AND(ISNUMBER(B1065),D1065&lt;&gt;"",ISNUMBER(Z1065),ISNUMBER(AA1065)),IF(Z1065=AA1065,0,1),0)</f>
        <v>0</v>
      </c>
      <c r="AC1065" s="80">
        <f>IF(AB1065=1,IF(AA1065&lt;Z1065,1,0),0)</f>
        <v>0</v>
      </c>
      <c r="AD1065" s="80">
        <f>IF(AB1065=1,IF(AC1065=1,1440-Z1065+AA1065,AA1065-Z1065),0)</f>
        <v>0</v>
      </c>
      <c r="AE1065" s="80">
        <f>IF(J1065="",0,IF(ISNUMBER(J1065),J1065,-1))</f>
        <v>0</v>
      </c>
      <c r="AF1065" s="80">
        <f>MIN(MAX(0,AE1065),AD1065)</f>
        <v>0</v>
      </c>
      <c r="AG1065" s="80">
        <f>MAX(0,AD1065-MAX(0,AE1065))</f>
        <v>0</v>
      </c>
      <c r="AH1065" s="80">
        <f>IF(ISNUMBER(B1065),IF(AND(INDEX(CFG_WDAYS,WEEKDAY(INT(B1065),2))="Sí",IF(D1065="proMX",COUNTIFS(FER_F,INT(B1065),FER_NLP,"Sí"),COUNTIFS(FER_F,INT(B1065),FER_NLM,"Sí"))=0),1,0),0)</f>
        <v>0</v>
      </c>
      <c r="AI1065" s="80">
        <f>IF(AC1065=1,IF(AND(INDEX(CFG_WDAYS,WEEKDAY(INT(B1065)+1,2))="Sí",IF(D1065="proMX",COUNTIFS(FER_F,INT(B1065)+1,FER_NLP,"Sí"),COUNTIFS(FER_F,INT(B1065)+1,FER_NLM,"Sí"))=0),1,0),0)</f>
        <v>0</v>
      </c>
      <c r="AJ1065" s="80">
        <f>IF(AC1065=1,1440-Z1065,AD1065)</f>
        <v>0</v>
      </c>
      <c r="AK1065" s="80">
        <f>IF(AND(AB1065=1,AH1065=1),MAX(0,MIN(IF(AC1065=1,1440,AA1065),CFG_WEM)-MAX(Z1065,CFG_WSM)),0)</f>
        <v>0</v>
      </c>
      <c r="AL1065" s="80">
        <f>IF(AND(AC1065=1,AI1065=1),MAX(0,MIN(AA1065,CFG_WEM)-CFG_WSM),0)</f>
        <v>0</v>
      </c>
      <c r="AM1065" s="80">
        <f>AK1065+AL1065</f>
        <v>0</v>
      </c>
      <c r="AN1065" s="80">
        <f>IF(CFG_BRK="Proporcional",IF(AD1065=0,0,AF1065*AM1065/AD1065),IF(CFG_BRK="Extras primero",MIN(AM1065,MAX(0,AF1065-(AD1065-AM1065))),MIN(AF1065,AM1065)))</f>
        <v>0</v>
      </c>
      <c r="AO1065" s="80">
        <f>AF1065-AN1065</f>
        <v>0</v>
      </c>
      <c r="AP1065" s="80">
        <f>AM1065-AN1065</f>
        <v>0</v>
      </c>
      <c r="AQ1065" s="80">
        <f>AD1065-AM1065-AO1065</f>
        <v>0</v>
      </c>
      <c r="AR1065" s="80">
        <f>IF(AM1065=0,0,AK1065-AN1065*AK1065/AM1065)</f>
        <v>0</v>
      </c>
      <c r="AS1065" s="80">
        <f>IF(AD1065-AM1065=0,0,(AJ1065-AK1065)-AO1065*(AJ1065-AK1065)/(AD1065-AM1065))</f>
        <v>0</v>
      </c>
      <c r="AT1065" s="80" t="str">
        <f>IF(AC1065=1,INT(B1065)+1,"")</f>
        <v/>
      </c>
      <c r="AU1065" s="80">
        <f>IF(AND(D1065="proMX",R1065="Cancelled"),0,1)</f>
        <v>1</v>
      </c>
      <c r="AV1065" s="80">
        <f>IF(AND(AB1065=1,AU1065=1),IF(COUNTIFS($D$5:D1064,D1065,$B$5:B1064,B1065,$Z$5:Z1064,Z1065,$AA$5:AA1064,AA1065,$F$5:F1064,F1065&amp;"",$AU$5:AU1064,1)&gt;0,1,0),0)</f>
        <v>0</v>
      </c>
      <c r="AW1065" s="80" t="str">
        <f>IF(AB1065=1,INT(B1065)*1440+Z1065,"")</f>
        <v/>
      </c>
      <c r="AX1065" s="80" t="str">
        <f>IF(AB1065=1,AW1065+AD1065,"")</f>
        <v/>
      </c>
      <c r="AY1065" s="80">
        <f>IF(AND(AB1065=1,AV1065=0,AU1065=1),1,0)</f>
        <v>0</v>
      </c>
      <c r="AZ1065" s="80">
        <f>IF(AY1065=1,COUNTIFS(R_Emp,D1065,R_SAbs,"&lt;"&amp;AX1065,R_EAbs,"&gt;"&amp;AW1065,R_OKey,1)-1,0)</f>
        <v>0</v>
      </c>
      <c r="BA1065" s="80">
        <f>IF(AY1065=1,COUNTIFS(R_Emp,"&lt;&gt;"&amp;D1065,R_SAbs,"&lt;"&amp;AX1065,R_EAbs,"&gt;"&amp;AW1065,R_OKey,1),0)</f>
        <v>0</v>
      </c>
      <c r="BB1065" s="80">
        <f>IF(AND(AB1065=1,D1065="proMX"),IF(AND(MOD(Z1065,CFG_BLK)=0,MOD(AA1065,CFG_BLK)=0,MOD(AG1065,CFG_BLK)=0,AG1065&gt;0),1,0),1)</f>
        <v>1</v>
      </c>
      <c r="BC1065" s="80" t="str">
        <f>IF(Y1065=0,"",IF(NOT(ISNUMBER(B1065)),"Falta fecha o fecha inválida",IF(D1065="","Falta empresa",IF(AND(D1065&lt;&gt;"Malcolm",D1065&lt;&gt;"proMX"),"Empresa inválida",IF(OR(INT(B1065)&lt;CFG_PSTART,INT(B1065)&gt;CFG_PEND),"Fecha fuera del período",IF(OR(NOT(ISNUMBER(Z1065)),NOT(ISNUMBER(AA1065))),"Falta hora inicio/fin o formato inválido",IF(AB1065=0,"Hora inicio = hora fin",IF(AE1065&lt;0,"Descanso inválido",IF(AE1065&gt;=AD1065,"Descanso ≥ duración",IF(AV1065=1,"Registro duplicado",IF(AZ1065&gt;0,"Se superpone con otro registro "&amp;D1065,IF(BB1065=0,"inicio, fin y duración neta deben ser múltiplos de "&amp;CFG_BLK&amp;" min",""))))))))))))</f>
        <v/>
      </c>
      <c r="BD1065" s="80">
        <f>IF(AND(Y1065=1,BC1065=""),1,0)</f>
        <v>0</v>
      </c>
      <c r="BE1065" s="80">
        <f>IF(AND(BD1065=1,AU1065=1),1,0)</f>
        <v>0</v>
      </c>
      <c r="BF1065" s="80" t="str">
        <f>IF(AND(D1065="proMX",BD1065=1),IF(R1065="","Draft",R1065),"")</f>
        <v/>
      </c>
      <c r="BG1065" s="80">
        <f>IF(BD1065=1,ROUND(AG1065/60,6),0)</f>
        <v>0</v>
      </c>
      <c r="BH1065" s="80">
        <f>IF(BE1065=1,ROUND(AG1065/60,6),0)</f>
        <v>0</v>
      </c>
      <c r="BI1065" s="80">
        <f>IF(BE1065=1,ROUND(AP1065/60,6),0)</f>
        <v>0</v>
      </c>
      <c r="BJ1065" s="80">
        <f>IF(BE1065=1,ROUND(AQ1065/60,6),0)</f>
        <v>0</v>
      </c>
      <c r="BK1065" s="80">
        <f>IF(BE1065=1,ROUND((AR1065+AS1065)/60,6),0)</f>
        <v>0</v>
      </c>
      <c r="BL1065" s="80">
        <f>ROUND(BH1065-BK1065,6)</f>
        <v>0</v>
      </c>
      <c r="BM1065" s="80">
        <f>IF(BE1065=1,ROUND(AR1065/60,6),0)</f>
        <v>0</v>
      </c>
      <c r="BN1065" s="80">
        <f>ROUND(BI1065-BM1065,6)</f>
        <v>0</v>
      </c>
      <c r="BO1065" s="80">
        <f>IF(BE1065=1,ROUND(AS1065/60,6),0)</f>
        <v>0</v>
      </c>
      <c r="BP1065" s="80">
        <f>ROUND(BJ1065-BO1065,6)</f>
        <v>0</v>
      </c>
      <c r="BQ1065" s="80">
        <f>IF(BE1065=1,AW1065,0)</f>
        <v>0</v>
      </c>
      <c r="BR1065" s="80">
        <f>IF(BE1065=1,AX1065,0)</f>
        <v>0</v>
      </c>
      <c r="BS1065" s="80">
        <f>IF(AND(BE1065=1,D1065="Malcolm",BA1065&gt;0),MIN(BH1065,SUMPRODUCT((R_Emp="proMX")*(R_EN&gt;0)*((R_EN-(R_EN&gt;BR1065)*(R_EN-BR1065))&gt;(R_SN+(R_SN&lt;BQ1065)*(BQ1065-R_SN)))*((R_EN-(R_EN&gt;BR1065)*(R_EN-BR1065))-(R_SN+(R_SN&lt;BQ1065)*(BQ1065-R_SN))))/60),0)</f>
        <v>0</v>
      </c>
      <c r="BT1065" s="80">
        <f>IF(AND(BE1065=1,D1065="proMX"),ROUND(BI1065*CFG_RATE+BJ1065*CFG_OTRATE,6),0)</f>
        <v>0</v>
      </c>
      <c r="BU1065" s="80">
        <f>IF(AND(BD1065=1,D1065="proMX"),ROUND(AG1065/CFG_BLK,6),0)</f>
        <v>0</v>
      </c>
      <c r="BV1065" s="80" t="str">
        <f>IF(BF1065="Approved",IF(ISNUMBER(T1065),INT(T1065),INT(B1065)),"")</f>
        <v/>
      </c>
      <c r="BW1065" s="80">
        <f>IF(ISNUMBER(B1065),IF(DB_MON="Todos",1,IF(AND(INT(B1065)&gt;=DB_MS,INT(B1065)&lt;=DB_ME),1,0)),0)</f>
        <v>0</v>
      </c>
      <c r="BX1065" s="80">
        <f>IF(DB_PROJ="Todos",1,IF(E1065&amp;""=DB_PROJ&amp;"",1,0))</f>
        <v>1</v>
      </c>
      <c r="BY1065" s="80">
        <f>BW1065*BX1065</f>
        <v>0</v>
      </c>
      <c r="BZ1065" s="80" t="str">
        <f>IF(Y1065=1,F1065&amp;IF(AND(F1065&amp;""&lt;&gt;"",E1065&amp;""&lt;&gt;"")," · ","")&amp;E1065,"")</f>
        <v/>
      </c>
      <c r="CA1065" s="80" t="str">
        <f>IF(AND(BD1065=1,E1065&amp;""&lt;&gt;""),IF(COUNTIFS($E$5:E1064,E1065,$BD$5:BD1064,1)=0,MAX($CA$5:CA1064)+1,""),"")</f>
        <v/>
      </c>
      <c r="CB1065" s="80" t="str">
        <f>IF(AND(BE1065=1,D1065="Malcolm",E1065&amp;""&lt;&gt;""),IF(COUNTIFS($D$5:D1064,"Malcolm",$E$5:E1064,E1065,$BE$5:BE1064,1)=0,MAX($CB$5:CB1064)+1,""),"")</f>
        <v/>
      </c>
      <c r="CC1065" s="80" t="str">
        <f>IF(AND(BD1065=1,D1065="proMX",E1065&amp;""&lt;&gt;""),IF(COUNTIFS($D$5:D1064,"proMX",$E$5:E1064,E1065,$BD$5:BD1064,1)=0,MAX($CC$5:CC1064)+1,""),"")</f>
        <v/>
      </c>
      <c r="CD1065" s="80" t="str">
        <f>IF(AND(BE1065=1,D1065="Malcolm",F1065&amp;""&lt;&gt;""),IF(COUNTIFS($D$5:D1064,"Malcolm",$F$5:F1064,F1065,$BE$5:BE1064,1)=0,MAX($CD$5:CD1064)+1,""),"")</f>
        <v/>
      </c>
      <c r="CE1065" s="80" t="str">
        <f>IF(AND(BD1065=1,D1065="proMX",F1065&amp;""&lt;&gt;""),IF(COUNTIFS($D$5:D1064,"proMX",$F$5:F1064,F1065,$BD$5:BD1064,1)=0,MAX($CE$5:CE1064)+1,""),"")</f>
        <v/>
      </c>
      <c r="CF1065" s="80" t="str">
        <f>IF(AND(D1065="proMX",BD1065=1),IF(OR(BF1065="Draft",BF1065="Submitted",BF1065="Returned",BF1065="Recall Requested"),MAX($CF$5:CF1064)+1,""),"")</f>
        <v/>
      </c>
      <c r="CG1065" s="80">
        <f>IF(BD1065=0,0,IF(D1065="Malcolm",1,MATCH(BF1065,{"Draft","Submitted","Approved","Returned","Recall Requested","Cancelled"},0)+1))</f>
        <v>0</v>
      </c>
      <c r="CH1065" s="80">
        <f>IF(AND(BF1065="Submitted",ISNUMBER(V1065)),IF(V1065&gt;CFG_MAXD,1,0),0)</f>
        <v>0</v>
      </c>
    </row>
    <row r="1066">
      <c r="A1066" s="71" t="str">
        <f>IF(Y1066=1,ROW()-5,"")</f>
        <v/>
      </c>
      <c r="B1066" s="72" t="n"/>
      <c r="C1066" s="71" t="str">
        <f>IF(ISNUMBER(B1066),CHOOSE(WEEKDAY(B1066,2),"Lun","Mar","Mié","Jue","Vie","Sáb","Dom"),"")</f>
        <v/>
      </c>
      <c r="D1066" s="73" t="n"/>
      <c r="E1066" s="74" t="n"/>
      <c r="F1066" s="74" t="n"/>
      <c r="G1066" s="74" t="n"/>
      <c r="H1066" s="75" t="n"/>
      <c r="I1066" s="75" t="n"/>
      <c r="J1066" s="76" t="n"/>
      <c r="K1066" s="77" t="str">
        <f>IF(AB1066=1,ROUND(AG1066/60,4),"")</f>
        <v/>
      </c>
      <c r="L1066" s="77" t="str">
        <f>IF(BD1066=1,ROUND(AP1066/60,4),"")</f>
        <v/>
      </c>
      <c r="M1066" s="77" t="str">
        <f>IF(BD1066=1,ROUND(AQ1066/60,4),"")</f>
        <v/>
      </c>
      <c r="N1066" s="71" t="str">
        <f>IF(AND(D1066="proMX",AB1066=1),ROUND(AG1066/CFG_BLK,2),"")</f>
        <v/>
      </c>
      <c r="O1066" s="77" t="str">
        <f>IF(D1066="proMX",IF(BD1066=1,ROUND(AG1066/60,4),0),"")</f>
        <v/>
      </c>
      <c r="P1066" s="78" t="str">
        <f>IF(Y1066=0,"",IF(BD1066=1,"OK",IF(D1066="proMX","Revisar bloques: ","Revisar: ")&amp;BC1066))</f>
        <v/>
      </c>
      <c r="Q1066" s="78" t="str">
        <f>IF(NOT(ISNUMBER(B1066)),"",IF(COUNTIFS(FER_F,INT(B1066))&gt;0,"Feriado"&amp;IF(AH1066=1," (laborable)"," (no laborable)"),IF(AH1066=1,"Laborable",IF(WEEKDAY(B1066,2)&gt;5,"Fin de semana","No laborable"))))</f>
        <v/>
      </c>
      <c r="R1066" s="73" t="n"/>
      <c r="S1066" s="72" t="n"/>
      <c r="T1066" s="72" t="n"/>
      <c r="U1066" s="74" t="n"/>
      <c r="V1066" s="79" t="str">
        <f>IF(AND(D1066="proMX",OR(R1066="Submitted",R1066="Recall Requested"),ISNUMBER(S1066)),CFG_TODAY-INT(S1066),"")</f>
        <v/>
      </c>
      <c r="W1066" s="78" t="str">
        <f>IF(BD1066=0,"",IF(BA1066&gt;0,"⚠ Se superpone con un registro de la otra empresa",IF(D1066="Malcolm",IF(COUNTA(R1066,S1066,T1066)&gt;0,"Estado/fechas proMX se ignoran en Malcolm",""),IF(BF1066="Cancelled","Cancelado: excluido de totales",IF(R1066="","Sin estado: se trata como Draft",IF(BF1066="Submitted",IF(ISNUMBER(V1066),IF(V1066&gt;CFG_MAXD,"⚠ "&amp;V1066&amp;" días en Submitted (máx. "&amp;CFG_MAXD&amp;")",""),"Falta fecha de envío"),IF(BF1066="Returned","⚠ Devuelto: corregir y reenviar",IF(BF1066="Recall Requested","Retirada solicitada: pendiente",IF(AND(BF1066="Approved",NOT(ISNUMBER(T1066))),"Falta fecha de aprobación",IF(AND(ISNUMBER(S1066),ISNUMBER(T1066),T1066&lt;S1066),"Aprobación anterior al envío","")))))))))</f>
        <v/>
      </c>
      <c r="Y1066" s="80">
        <f>IF(COUNTA(B1066,D1066,E1066,F1066,G1066,H1066,I1066,J1066,R1066,S1066,T1066)&gt;0,1,0)</f>
        <v>0</v>
      </c>
      <c r="Z1066" s="80" t="str">
        <f>IF(AND(ISNUMBER(H1066),H1066&gt;=0,H1066&lt;1),ROUND(H1066*1440,0),"")</f>
        <v/>
      </c>
      <c r="AA1066" s="80" t="str">
        <f>IF(AND(ISNUMBER(I1066),I1066&gt;=0,I1066&lt;1),ROUND(I1066*1440,0),"")</f>
        <v/>
      </c>
      <c r="AB1066" s="80">
        <f>IF(AND(ISNUMBER(B1066),D1066&lt;&gt;"",ISNUMBER(Z1066),ISNUMBER(AA1066)),IF(Z1066=AA1066,0,1),0)</f>
        <v>0</v>
      </c>
      <c r="AC1066" s="80">
        <f>IF(AB1066=1,IF(AA1066&lt;Z1066,1,0),0)</f>
        <v>0</v>
      </c>
      <c r="AD1066" s="80">
        <f>IF(AB1066=1,IF(AC1066=1,1440-Z1066+AA1066,AA1066-Z1066),0)</f>
        <v>0</v>
      </c>
      <c r="AE1066" s="80">
        <f>IF(J1066="",0,IF(ISNUMBER(J1066),J1066,-1))</f>
        <v>0</v>
      </c>
      <c r="AF1066" s="80">
        <f>MIN(MAX(0,AE1066),AD1066)</f>
        <v>0</v>
      </c>
      <c r="AG1066" s="80">
        <f>MAX(0,AD1066-MAX(0,AE1066))</f>
        <v>0</v>
      </c>
      <c r="AH1066" s="80">
        <f>IF(ISNUMBER(B1066),IF(AND(INDEX(CFG_WDAYS,WEEKDAY(INT(B1066),2))="Sí",IF(D1066="proMX",COUNTIFS(FER_F,INT(B1066),FER_NLP,"Sí"),COUNTIFS(FER_F,INT(B1066),FER_NLM,"Sí"))=0),1,0),0)</f>
        <v>0</v>
      </c>
      <c r="AI1066" s="80">
        <f>IF(AC1066=1,IF(AND(INDEX(CFG_WDAYS,WEEKDAY(INT(B1066)+1,2))="Sí",IF(D1066="proMX",COUNTIFS(FER_F,INT(B1066)+1,FER_NLP,"Sí"),COUNTIFS(FER_F,INT(B1066)+1,FER_NLM,"Sí"))=0),1,0),0)</f>
        <v>0</v>
      </c>
      <c r="AJ1066" s="80">
        <f>IF(AC1066=1,1440-Z1066,AD1066)</f>
        <v>0</v>
      </c>
      <c r="AK1066" s="80">
        <f>IF(AND(AB1066=1,AH1066=1),MAX(0,MIN(IF(AC1066=1,1440,AA1066),CFG_WEM)-MAX(Z1066,CFG_WSM)),0)</f>
        <v>0</v>
      </c>
      <c r="AL1066" s="80">
        <f>IF(AND(AC1066=1,AI1066=1),MAX(0,MIN(AA1066,CFG_WEM)-CFG_WSM),0)</f>
        <v>0</v>
      </c>
      <c r="AM1066" s="80">
        <f>AK1066+AL1066</f>
        <v>0</v>
      </c>
      <c r="AN1066" s="80">
        <f>IF(CFG_BRK="Proporcional",IF(AD1066=0,0,AF1066*AM1066/AD1066),IF(CFG_BRK="Extras primero",MIN(AM1066,MAX(0,AF1066-(AD1066-AM1066))),MIN(AF1066,AM1066)))</f>
        <v>0</v>
      </c>
      <c r="AO1066" s="80">
        <f>AF1066-AN1066</f>
        <v>0</v>
      </c>
      <c r="AP1066" s="80">
        <f>AM1066-AN1066</f>
        <v>0</v>
      </c>
      <c r="AQ1066" s="80">
        <f>AD1066-AM1066-AO1066</f>
        <v>0</v>
      </c>
      <c r="AR1066" s="80">
        <f>IF(AM1066=0,0,AK1066-AN1066*AK1066/AM1066)</f>
        <v>0</v>
      </c>
      <c r="AS1066" s="80">
        <f>IF(AD1066-AM1066=0,0,(AJ1066-AK1066)-AO1066*(AJ1066-AK1066)/(AD1066-AM1066))</f>
        <v>0</v>
      </c>
      <c r="AT1066" s="80" t="str">
        <f>IF(AC1066=1,INT(B1066)+1,"")</f>
        <v/>
      </c>
      <c r="AU1066" s="80">
        <f>IF(AND(D1066="proMX",R1066="Cancelled"),0,1)</f>
        <v>1</v>
      </c>
      <c r="AV1066" s="80">
        <f>IF(AND(AB1066=1,AU1066=1),IF(COUNTIFS($D$5:D1065,D1066,$B$5:B1065,B1066,$Z$5:Z1065,Z1066,$AA$5:AA1065,AA1066,$F$5:F1065,F1066&amp;"",$AU$5:AU1065,1)&gt;0,1,0),0)</f>
        <v>0</v>
      </c>
      <c r="AW1066" s="80" t="str">
        <f>IF(AB1066=1,INT(B1066)*1440+Z1066,"")</f>
        <v/>
      </c>
      <c r="AX1066" s="80" t="str">
        <f>IF(AB1066=1,AW1066+AD1066,"")</f>
        <v/>
      </c>
      <c r="AY1066" s="80">
        <f>IF(AND(AB1066=1,AV1066=0,AU1066=1),1,0)</f>
        <v>0</v>
      </c>
      <c r="AZ1066" s="80">
        <f>IF(AY1066=1,COUNTIFS(R_Emp,D1066,R_SAbs,"&lt;"&amp;AX1066,R_EAbs,"&gt;"&amp;AW1066,R_OKey,1)-1,0)</f>
        <v>0</v>
      </c>
      <c r="BA1066" s="80">
        <f>IF(AY1066=1,COUNTIFS(R_Emp,"&lt;&gt;"&amp;D1066,R_SAbs,"&lt;"&amp;AX1066,R_EAbs,"&gt;"&amp;AW1066,R_OKey,1),0)</f>
        <v>0</v>
      </c>
      <c r="BB1066" s="80">
        <f>IF(AND(AB1066=1,D1066="proMX"),IF(AND(MOD(Z1066,CFG_BLK)=0,MOD(AA1066,CFG_BLK)=0,MOD(AG1066,CFG_BLK)=0,AG1066&gt;0),1,0),1)</f>
        <v>1</v>
      </c>
      <c r="BC1066" s="80" t="str">
        <f>IF(Y1066=0,"",IF(NOT(ISNUMBER(B1066)),"Falta fecha o fecha inválida",IF(D1066="","Falta empresa",IF(AND(D1066&lt;&gt;"Malcolm",D1066&lt;&gt;"proMX"),"Empresa inválida",IF(OR(INT(B1066)&lt;CFG_PSTART,INT(B1066)&gt;CFG_PEND),"Fecha fuera del período",IF(OR(NOT(ISNUMBER(Z1066)),NOT(ISNUMBER(AA1066))),"Falta hora inicio/fin o formato inválido",IF(AB1066=0,"Hora inicio = hora fin",IF(AE1066&lt;0,"Descanso inválido",IF(AE1066&gt;=AD1066,"Descanso ≥ duración",IF(AV1066=1,"Registro duplicado",IF(AZ1066&gt;0,"Se superpone con otro registro "&amp;D1066,IF(BB1066=0,"inicio, fin y duración neta deben ser múltiplos de "&amp;CFG_BLK&amp;" min",""))))))))))))</f>
        <v/>
      </c>
      <c r="BD1066" s="80">
        <f>IF(AND(Y1066=1,BC1066=""),1,0)</f>
        <v>0</v>
      </c>
      <c r="BE1066" s="80">
        <f>IF(AND(BD1066=1,AU1066=1),1,0)</f>
        <v>0</v>
      </c>
      <c r="BF1066" s="80" t="str">
        <f>IF(AND(D1066="proMX",BD1066=1),IF(R1066="","Draft",R1066),"")</f>
        <v/>
      </c>
      <c r="BG1066" s="80">
        <f>IF(BD1066=1,ROUND(AG1066/60,6),0)</f>
        <v>0</v>
      </c>
      <c r="BH1066" s="80">
        <f>IF(BE1066=1,ROUND(AG1066/60,6),0)</f>
        <v>0</v>
      </c>
      <c r="BI1066" s="80">
        <f>IF(BE1066=1,ROUND(AP1066/60,6),0)</f>
        <v>0</v>
      </c>
      <c r="BJ1066" s="80">
        <f>IF(BE1066=1,ROUND(AQ1066/60,6),0)</f>
        <v>0</v>
      </c>
      <c r="BK1066" s="80">
        <f>IF(BE1066=1,ROUND((AR1066+AS1066)/60,6),0)</f>
        <v>0</v>
      </c>
      <c r="BL1066" s="80">
        <f>ROUND(BH1066-BK1066,6)</f>
        <v>0</v>
      </c>
      <c r="BM1066" s="80">
        <f>IF(BE1066=1,ROUND(AR1066/60,6),0)</f>
        <v>0</v>
      </c>
      <c r="BN1066" s="80">
        <f>ROUND(BI1066-BM1066,6)</f>
        <v>0</v>
      </c>
      <c r="BO1066" s="80">
        <f>IF(BE1066=1,ROUND(AS1066/60,6),0)</f>
        <v>0</v>
      </c>
      <c r="BP1066" s="80">
        <f>ROUND(BJ1066-BO1066,6)</f>
        <v>0</v>
      </c>
      <c r="BQ1066" s="80">
        <f>IF(BE1066=1,AW1066,0)</f>
        <v>0</v>
      </c>
      <c r="BR1066" s="80">
        <f>IF(BE1066=1,AX1066,0)</f>
        <v>0</v>
      </c>
      <c r="BS1066" s="80">
        <f>IF(AND(BE1066=1,D1066="Malcolm",BA1066&gt;0),MIN(BH1066,SUMPRODUCT((R_Emp="proMX")*(R_EN&gt;0)*((R_EN-(R_EN&gt;BR1066)*(R_EN-BR1066))&gt;(R_SN+(R_SN&lt;BQ1066)*(BQ1066-R_SN)))*((R_EN-(R_EN&gt;BR1066)*(R_EN-BR1066))-(R_SN+(R_SN&lt;BQ1066)*(BQ1066-R_SN))))/60),0)</f>
        <v>0</v>
      </c>
      <c r="BT1066" s="80">
        <f>IF(AND(BE1066=1,D1066="proMX"),ROUND(BI1066*CFG_RATE+BJ1066*CFG_OTRATE,6),0)</f>
        <v>0</v>
      </c>
      <c r="BU1066" s="80">
        <f>IF(AND(BD1066=1,D1066="proMX"),ROUND(AG1066/CFG_BLK,6),0)</f>
        <v>0</v>
      </c>
      <c r="BV1066" s="80" t="str">
        <f>IF(BF1066="Approved",IF(ISNUMBER(T1066),INT(T1066),INT(B1066)),"")</f>
        <v/>
      </c>
      <c r="BW1066" s="80">
        <f>IF(ISNUMBER(B1066),IF(DB_MON="Todos",1,IF(AND(INT(B1066)&gt;=DB_MS,INT(B1066)&lt;=DB_ME),1,0)),0)</f>
        <v>0</v>
      </c>
      <c r="BX1066" s="80">
        <f>IF(DB_PROJ="Todos",1,IF(E1066&amp;""=DB_PROJ&amp;"",1,0))</f>
        <v>1</v>
      </c>
      <c r="BY1066" s="80">
        <f>BW1066*BX1066</f>
        <v>0</v>
      </c>
      <c r="BZ1066" s="80" t="str">
        <f>IF(Y1066=1,F1066&amp;IF(AND(F1066&amp;""&lt;&gt;"",E1066&amp;""&lt;&gt;"")," · ","")&amp;E1066,"")</f>
        <v/>
      </c>
      <c r="CA1066" s="80" t="str">
        <f>IF(AND(BD1066=1,E1066&amp;""&lt;&gt;""),IF(COUNTIFS($E$5:E1065,E1066,$BD$5:BD1065,1)=0,MAX($CA$5:CA1065)+1,""),"")</f>
        <v/>
      </c>
      <c r="CB1066" s="80" t="str">
        <f>IF(AND(BE1066=1,D1066="Malcolm",E1066&amp;""&lt;&gt;""),IF(COUNTIFS($D$5:D1065,"Malcolm",$E$5:E1065,E1066,$BE$5:BE1065,1)=0,MAX($CB$5:CB1065)+1,""),"")</f>
        <v/>
      </c>
      <c r="CC1066" s="80" t="str">
        <f>IF(AND(BD1066=1,D1066="proMX",E1066&amp;""&lt;&gt;""),IF(COUNTIFS($D$5:D1065,"proMX",$E$5:E1065,E1066,$BD$5:BD1065,1)=0,MAX($CC$5:CC1065)+1,""),"")</f>
        <v/>
      </c>
      <c r="CD1066" s="80" t="str">
        <f>IF(AND(BE1066=1,D1066="Malcolm",F1066&amp;""&lt;&gt;""),IF(COUNTIFS($D$5:D1065,"Malcolm",$F$5:F1065,F1066,$BE$5:BE1065,1)=0,MAX($CD$5:CD1065)+1,""),"")</f>
        <v/>
      </c>
      <c r="CE1066" s="80" t="str">
        <f>IF(AND(BD1066=1,D1066="proMX",F1066&amp;""&lt;&gt;""),IF(COUNTIFS($D$5:D1065,"proMX",$F$5:F1065,F1066,$BD$5:BD1065,1)=0,MAX($CE$5:CE1065)+1,""),"")</f>
        <v/>
      </c>
      <c r="CF1066" s="80" t="str">
        <f>IF(AND(D1066="proMX",BD1066=1),IF(OR(BF1066="Draft",BF1066="Submitted",BF1066="Returned",BF1066="Recall Requested"),MAX($CF$5:CF1065)+1,""),"")</f>
        <v/>
      </c>
      <c r="CG1066" s="80">
        <f>IF(BD1066=0,0,IF(D1066="Malcolm",1,MATCH(BF1066,{"Draft","Submitted","Approved","Returned","Recall Requested","Cancelled"},0)+1))</f>
        <v>0</v>
      </c>
      <c r="CH1066" s="80">
        <f>IF(AND(BF1066="Submitted",ISNUMBER(V1066)),IF(V1066&gt;CFG_MAXD,1,0),0)</f>
        <v>0</v>
      </c>
    </row>
    <row r="1067">
      <c r="A1067" s="71" t="str">
        <f>IF(Y1067=1,ROW()-5,"")</f>
        <v/>
      </c>
      <c r="B1067" s="72" t="n"/>
      <c r="C1067" s="71" t="str">
        <f>IF(ISNUMBER(B1067),CHOOSE(WEEKDAY(B1067,2),"Lun","Mar","Mié","Jue","Vie","Sáb","Dom"),"")</f>
        <v/>
      </c>
      <c r="D1067" s="73" t="n"/>
      <c r="E1067" s="74" t="n"/>
      <c r="F1067" s="74" t="n"/>
      <c r="G1067" s="74" t="n"/>
      <c r="H1067" s="75" t="n"/>
      <c r="I1067" s="75" t="n"/>
      <c r="J1067" s="76" t="n"/>
      <c r="K1067" s="77" t="str">
        <f>IF(AB1067=1,ROUND(AG1067/60,4),"")</f>
        <v/>
      </c>
      <c r="L1067" s="77" t="str">
        <f>IF(BD1067=1,ROUND(AP1067/60,4),"")</f>
        <v/>
      </c>
      <c r="M1067" s="77" t="str">
        <f>IF(BD1067=1,ROUND(AQ1067/60,4),"")</f>
        <v/>
      </c>
      <c r="N1067" s="71" t="str">
        <f>IF(AND(D1067="proMX",AB1067=1),ROUND(AG1067/CFG_BLK,2),"")</f>
        <v/>
      </c>
      <c r="O1067" s="77" t="str">
        <f>IF(D1067="proMX",IF(BD1067=1,ROUND(AG1067/60,4),0),"")</f>
        <v/>
      </c>
      <c r="P1067" s="78" t="str">
        <f>IF(Y1067=0,"",IF(BD1067=1,"OK",IF(D1067="proMX","Revisar bloques: ","Revisar: ")&amp;BC1067))</f>
        <v/>
      </c>
      <c r="Q1067" s="78" t="str">
        <f>IF(NOT(ISNUMBER(B1067)),"",IF(COUNTIFS(FER_F,INT(B1067))&gt;0,"Feriado"&amp;IF(AH1067=1," (laborable)"," (no laborable)"),IF(AH1067=1,"Laborable",IF(WEEKDAY(B1067,2)&gt;5,"Fin de semana","No laborable"))))</f>
        <v/>
      </c>
      <c r="R1067" s="73" t="n"/>
      <c r="S1067" s="72" t="n"/>
      <c r="T1067" s="72" t="n"/>
      <c r="U1067" s="74" t="n"/>
      <c r="V1067" s="79" t="str">
        <f>IF(AND(D1067="proMX",OR(R1067="Submitted",R1067="Recall Requested"),ISNUMBER(S1067)),CFG_TODAY-INT(S1067),"")</f>
        <v/>
      </c>
      <c r="W1067" s="78" t="str">
        <f>IF(BD1067=0,"",IF(BA1067&gt;0,"⚠ Se superpone con un registro de la otra empresa",IF(D1067="Malcolm",IF(COUNTA(R1067,S1067,T1067)&gt;0,"Estado/fechas proMX se ignoran en Malcolm",""),IF(BF1067="Cancelled","Cancelado: excluido de totales",IF(R1067="","Sin estado: se trata como Draft",IF(BF1067="Submitted",IF(ISNUMBER(V1067),IF(V1067&gt;CFG_MAXD,"⚠ "&amp;V1067&amp;" días en Submitted (máx. "&amp;CFG_MAXD&amp;")",""),"Falta fecha de envío"),IF(BF1067="Returned","⚠ Devuelto: corregir y reenviar",IF(BF1067="Recall Requested","Retirada solicitada: pendiente",IF(AND(BF1067="Approved",NOT(ISNUMBER(T1067))),"Falta fecha de aprobación",IF(AND(ISNUMBER(S1067),ISNUMBER(T1067),T1067&lt;S1067),"Aprobación anterior al envío","")))))))))</f>
        <v/>
      </c>
      <c r="Y1067" s="80">
        <f>IF(COUNTA(B1067,D1067,E1067,F1067,G1067,H1067,I1067,J1067,R1067,S1067,T1067)&gt;0,1,0)</f>
        <v>0</v>
      </c>
      <c r="Z1067" s="80" t="str">
        <f>IF(AND(ISNUMBER(H1067),H1067&gt;=0,H1067&lt;1),ROUND(H1067*1440,0),"")</f>
        <v/>
      </c>
      <c r="AA1067" s="80" t="str">
        <f>IF(AND(ISNUMBER(I1067),I1067&gt;=0,I1067&lt;1),ROUND(I1067*1440,0),"")</f>
        <v/>
      </c>
      <c r="AB1067" s="80">
        <f>IF(AND(ISNUMBER(B1067),D1067&lt;&gt;"",ISNUMBER(Z1067),ISNUMBER(AA1067)),IF(Z1067=AA1067,0,1),0)</f>
        <v>0</v>
      </c>
      <c r="AC1067" s="80">
        <f>IF(AB1067=1,IF(AA1067&lt;Z1067,1,0),0)</f>
        <v>0</v>
      </c>
      <c r="AD1067" s="80">
        <f>IF(AB1067=1,IF(AC1067=1,1440-Z1067+AA1067,AA1067-Z1067),0)</f>
        <v>0</v>
      </c>
      <c r="AE1067" s="80">
        <f>IF(J1067="",0,IF(ISNUMBER(J1067),J1067,-1))</f>
        <v>0</v>
      </c>
      <c r="AF1067" s="80">
        <f>MIN(MAX(0,AE1067),AD1067)</f>
        <v>0</v>
      </c>
      <c r="AG1067" s="80">
        <f>MAX(0,AD1067-MAX(0,AE1067))</f>
        <v>0</v>
      </c>
      <c r="AH1067" s="80">
        <f>IF(ISNUMBER(B1067),IF(AND(INDEX(CFG_WDAYS,WEEKDAY(INT(B1067),2))="Sí",IF(D1067="proMX",COUNTIFS(FER_F,INT(B1067),FER_NLP,"Sí"),COUNTIFS(FER_F,INT(B1067),FER_NLM,"Sí"))=0),1,0),0)</f>
        <v>0</v>
      </c>
      <c r="AI1067" s="80">
        <f>IF(AC1067=1,IF(AND(INDEX(CFG_WDAYS,WEEKDAY(INT(B1067)+1,2))="Sí",IF(D1067="proMX",COUNTIFS(FER_F,INT(B1067)+1,FER_NLP,"Sí"),COUNTIFS(FER_F,INT(B1067)+1,FER_NLM,"Sí"))=0),1,0),0)</f>
        <v>0</v>
      </c>
      <c r="AJ1067" s="80">
        <f>IF(AC1067=1,1440-Z1067,AD1067)</f>
        <v>0</v>
      </c>
      <c r="AK1067" s="80">
        <f>IF(AND(AB1067=1,AH1067=1),MAX(0,MIN(IF(AC1067=1,1440,AA1067),CFG_WEM)-MAX(Z1067,CFG_WSM)),0)</f>
        <v>0</v>
      </c>
      <c r="AL1067" s="80">
        <f>IF(AND(AC1067=1,AI1067=1),MAX(0,MIN(AA1067,CFG_WEM)-CFG_WSM),0)</f>
        <v>0</v>
      </c>
      <c r="AM1067" s="80">
        <f>AK1067+AL1067</f>
        <v>0</v>
      </c>
      <c r="AN1067" s="80">
        <f>IF(CFG_BRK="Proporcional",IF(AD1067=0,0,AF1067*AM1067/AD1067),IF(CFG_BRK="Extras primero",MIN(AM1067,MAX(0,AF1067-(AD1067-AM1067))),MIN(AF1067,AM1067)))</f>
        <v>0</v>
      </c>
      <c r="AO1067" s="80">
        <f>AF1067-AN1067</f>
        <v>0</v>
      </c>
      <c r="AP1067" s="80">
        <f>AM1067-AN1067</f>
        <v>0</v>
      </c>
      <c r="AQ1067" s="80">
        <f>AD1067-AM1067-AO1067</f>
        <v>0</v>
      </c>
      <c r="AR1067" s="80">
        <f>IF(AM1067=0,0,AK1067-AN1067*AK1067/AM1067)</f>
        <v>0</v>
      </c>
      <c r="AS1067" s="80">
        <f>IF(AD1067-AM1067=0,0,(AJ1067-AK1067)-AO1067*(AJ1067-AK1067)/(AD1067-AM1067))</f>
        <v>0</v>
      </c>
      <c r="AT1067" s="80" t="str">
        <f>IF(AC1067=1,INT(B1067)+1,"")</f>
        <v/>
      </c>
      <c r="AU1067" s="80">
        <f>IF(AND(D1067="proMX",R1067="Cancelled"),0,1)</f>
        <v>1</v>
      </c>
      <c r="AV1067" s="80">
        <f>IF(AND(AB1067=1,AU1067=1),IF(COUNTIFS($D$5:D1066,D1067,$B$5:B1066,B1067,$Z$5:Z1066,Z1067,$AA$5:AA1066,AA1067,$F$5:F1066,F1067&amp;"",$AU$5:AU1066,1)&gt;0,1,0),0)</f>
        <v>0</v>
      </c>
      <c r="AW1067" s="80" t="str">
        <f>IF(AB1067=1,INT(B1067)*1440+Z1067,"")</f>
        <v/>
      </c>
      <c r="AX1067" s="80" t="str">
        <f>IF(AB1067=1,AW1067+AD1067,"")</f>
        <v/>
      </c>
      <c r="AY1067" s="80">
        <f>IF(AND(AB1067=1,AV1067=0,AU1067=1),1,0)</f>
        <v>0</v>
      </c>
      <c r="AZ1067" s="80">
        <f>IF(AY1067=1,COUNTIFS(R_Emp,D1067,R_SAbs,"&lt;"&amp;AX1067,R_EAbs,"&gt;"&amp;AW1067,R_OKey,1)-1,0)</f>
        <v>0</v>
      </c>
      <c r="BA1067" s="80">
        <f>IF(AY1067=1,COUNTIFS(R_Emp,"&lt;&gt;"&amp;D1067,R_SAbs,"&lt;"&amp;AX1067,R_EAbs,"&gt;"&amp;AW1067,R_OKey,1),0)</f>
        <v>0</v>
      </c>
      <c r="BB1067" s="80">
        <f>IF(AND(AB1067=1,D1067="proMX"),IF(AND(MOD(Z1067,CFG_BLK)=0,MOD(AA1067,CFG_BLK)=0,MOD(AG1067,CFG_BLK)=0,AG1067&gt;0),1,0),1)</f>
        <v>1</v>
      </c>
      <c r="BC1067" s="80" t="str">
        <f>IF(Y1067=0,"",IF(NOT(ISNUMBER(B1067)),"Falta fecha o fecha inválida",IF(D1067="","Falta empresa",IF(AND(D1067&lt;&gt;"Malcolm",D1067&lt;&gt;"proMX"),"Empresa inválida",IF(OR(INT(B1067)&lt;CFG_PSTART,INT(B1067)&gt;CFG_PEND),"Fecha fuera del período",IF(OR(NOT(ISNUMBER(Z1067)),NOT(ISNUMBER(AA1067))),"Falta hora inicio/fin o formato inválido",IF(AB1067=0,"Hora inicio = hora fin",IF(AE1067&lt;0,"Descanso inválido",IF(AE1067&gt;=AD1067,"Descanso ≥ duración",IF(AV1067=1,"Registro duplicado",IF(AZ1067&gt;0,"Se superpone con otro registro "&amp;D1067,IF(BB1067=0,"inicio, fin y duración neta deben ser múltiplos de "&amp;CFG_BLK&amp;" min",""))))))))))))</f>
        <v/>
      </c>
      <c r="BD1067" s="80">
        <f>IF(AND(Y1067=1,BC1067=""),1,0)</f>
        <v>0</v>
      </c>
      <c r="BE1067" s="80">
        <f>IF(AND(BD1067=1,AU1067=1),1,0)</f>
        <v>0</v>
      </c>
      <c r="BF1067" s="80" t="str">
        <f>IF(AND(D1067="proMX",BD1067=1),IF(R1067="","Draft",R1067),"")</f>
        <v/>
      </c>
      <c r="BG1067" s="80">
        <f>IF(BD1067=1,ROUND(AG1067/60,6),0)</f>
        <v>0</v>
      </c>
      <c r="BH1067" s="80">
        <f>IF(BE1067=1,ROUND(AG1067/60,6),0)</f>
        <v>0</v>
      </c>
      <c r="BI1067" s="80">
        <f>IF(BE1067=1,ROUND(AP1067/60,6),0)</f>
        <v>0</v>
      </c>
      <c r="BJ1067" s="80">
        <f>IF(BE1067=1,ROUND(AQ1067/60,6),0)</f>
        <v>0</v>
      </c>
      <c r="BK1067" s="80">
        <f>IF(BE1067=1,ROUND((AR1067+AS1067)/60,6),0)</f>
        <v>0</v>
      </c>
      <c r="BL1067" s="80">
        <f>ROUND(BH1067-BK1067,6)</f>
        <v>0</v>
      </c>
      <c r="BM1067" s="80">
        <f>IF(BE1067=1,ROUND(AR1067/60,6),0)</f>
        <v>0</v>
      </c>
      <c r="BN1067" s="80">
        <f>ROUND(BI1067-BM1067,6)</f>
        <v>0</v>
      </c>
      <c r="BO1067" s="80">
        <f>IF(BE1067=1,ROUND(AS1067/60,6),0)</f>
        <v>0</v>
      </c>
      <c r="BP1067" s="80">
        <f>ROUND(BJ1067-BO1067,6)</f>
        <v>0</v>
      </c>
      <c r="BQ1067" s="80">
        <f>IF(BE1067=1,AW1067,0)</f>
        <v>0</v>
      </c>
      <c r="BR1067" s="80">
        <f>IF(BE1067=1,AX1067,0)</f>
        <v>0</v>
      </c>
      <c r="BS1067" s="80">
        <f>IF(AND(BE1067=1,D1067="Malcolm",BA1067&gt;0),MIN(BH1067,SUMPRODUCT((R_Emp="proMX")*(R_EN&gt;0)*((R_EN-(R_EN&gt;BR1067)*(R_EN-BR1067))&gt;(R_SN+(R_SN&lt;BQ1067)*(BQ1067-R_SN)))*((R_EN-(R_EN&gt;BR1067)*(R_EN-BR1067))-(R_SN+(R_SN&lt;BQ1067)*(BQ1067-R_SN))))/60),0)</f>
        <v>0</v>
      </c>
      <c r="BT1067" s="80">
        <f>IF(AND(BE1067=1,D1067="proMX"),ROUND(BI1067*CFG_RATE+BJ1067*CFG_OTRATE,6),0)</f>
        <v>0</v>
      </c>
      <c r="BU1067" s="80">
        <f>IF(AND(BD1067=1,D1067="proMX"),ROUND(AG1067/CFG_BLK,6),0)</f>
        <v>0</v>
      </c>
      <c r="BV1067" s="80" t="str">
        <f>IF(BF1067="Approved",IF(ISNUMBER(T1067),INT(T1067),INT(B1067)),"")</f>
        <v/>
      </c>
      <c r="BW1067" s="80">
        <f>IF(ISNUMBER(B1067),IF(DB_MON="Todos",1,IF(AND(INT(B1067)&gt;=DB_MS,INT(B1067)&lt;=DB_ME),1,0)),0)</f>
        <v>0</v>
      </c>
      <c r="BX1067" s="80">
        <f>IF(DB_PROJ="Todos",1,IF(E1067&amp;""=DB_PROJ&amp;"",1,0))</f>
        <v>1</v>
      </c>
      <c r="BY1067" s="80">
        <f>BW1067*BX1067</f>
        <v>0</v>
      </c>
      <c r="BZ1067" s="80" t="str">
        <f>IF(Y1067=1,F1067&amp;IF(AND(F1067&amp;""&lt;&gt;"",E1067&amp;""&lt;&gt;"")," · ","")&amp;E1067,"")</f>
        <v/>
      </c>
      <c r="CA1067" s="80" t="str">
        <f>IF(AND(BD1067=1,E1067&amp;""&lt;&gt;""),IF(COUNTIFS($E$5:E1066,E1067,$BD$5:BD1066,1)=0,MAX($CA$5:CA1066)+1,""),"")</f>
        <v/>
      </c>
      <c r="CB1067" s="80" t="str">
        <f>IF(AND(BE1067=1,D1067="Malcolm",E1067&amp;""&lt;&gt;""),IF(COUNTIFS($D$5:D1066,"Malcolm",$E$5:E1066,E1067,$BE$5:BE1066,1)=0,MAX($CB$5:CB1066)+1,""),"")</f>
        <v/>
      </c>
      <c r="CC1067" s="80" t="str">
        <f>IF(AND(BD1067=1,D1067="proMX",E1067&amp;""&lt;&gt;""),IF(COUNTIFS($D$5:D1066,"proMX",$E$5:E1066,E1067,$BD$5:BD1066,1)=0,MAX($CC$5:CC1066)+1,""),"")</f>
        <v/>
      </c>
      <c r="CD1067" s="80" t="str">
        <f>IF(AND(BE1067=1,D1067="Malcolm",F1067&amp;""&lt;&gt;""),IF(COUNTIFS($D$5:D1066,"Malcolm",$F$5:F1066,F1067,$BE$5:BE1066,1)=0,MAX($CD$5:CD1066)+1,""),"")</f>
        <v/>
      </c>
      <c r="CE1067" s="80" t="str">
        <f>IF(AND(BD1067=1,D1067="proMX",F1067&amp;""&lt;&gt;""),IF(COUNTIFS($D$5:D1066,"proMX",$F$5:F1066,F1067,$BD$5:BD1066,1)=0,MAX($CE$5:CE1066)+1,""),"")</f>
        <v/>
      </c>
      <c r="CF1067" s="80" t="str">
        <f>IF(AND(D1067="proMX",BD1067=1),IF(OR(BF1067="Draft",BF1067="Submitted",BF1067="Returned",BF1067="Recall Requested"),MAX($CF$5:CF1066)+1,""),"")</f>
        <v/>
      </c>
      <c r="CG1067" s="80">
        <f>IF(BD1067=0,0,IF(D1067="Malcolm",1,MATCH(BF1067,{"Draft","Submitted","Approved","Returned","Recall Requested","Cancelled"},0)+1))</f>
        <v>0</v>
      </c>
      <c r="CH1067" s="80">
        <f>IF(AND(BF1067="Submitted",ISNUMBER(V1067)),IF(V1067&gt;CFG_MAXD,1,0),0)</f>
        <v>0</v>
      </c>
    </row>
    <row r="1068">
      <c r="A1068" s="71" t="str">
        <f>IF(Y1068=1,ROW()-5,"")</f>
        <v/>
      </c>
      <c r="B1068" s="72" t="n"/>
      <c r="C1068" s="71" t="str">
        <f>IF(ISNUMBER(B1068),CHOOSE(WEEKDAY(B1068,2),"Lun","Mar","Mié","Jue","Vie","Sáb","Dom"),"")</f>
        <v/>
      </c>
      <c r="D1068" s="73" t="n"/>
      <c r="E1068" s="74" t="n"/>
      <c r="F1068" s="74" t="n"/>
      <c r="G1068" s="74" t="n"/>
      <c r="H1068" s="75" t="n"/>
      <c r="I1068" s="75" t="n"/>
      <c r="J1068" s="76" t="n"/>
      <c r="K1068" s="77" t="str">
        <f>IF(AB1068=1,ROUND(AG1068/60,4),"")</f>
        <v/>
      </c>
      <c r="L1068" s="77" t="str">
        <f>IF(BD1068=1,ROUND(AP1068/60,4),"")</f>
        <v/>
      </c>
      <c r="M1068" s="77" t="str">
        <f>IF(BD1068=1,ROUND(AQ1068/60,4),"")</f>
        <v/>
      </c>
      <c r="N1068" s="71" t="str">
        <f>IF(AND(D1068="proMX",AB1068=1),ROUND(AG1068/CFG_BLK,2),"")</f>
        <v/>
      </c>
      <c r="O1068" s="77" t="str">
        <f>IF(D1068="proMX",IF(BD1068=1,ROUND(AG1068/60,4),0),"")</f>
        <v/>
      </c>
      <c r="P1068" s="78" t="str">
        <f>IF(Y1068=0,"",IF(BD1068=1,"OK",IF(D1068="proMX","Revisar bloques: ","Revisar: ")&amp;BC1068))</f>
        <v/>
      </c>
      <c r="Q1068" s="78" t="str">
        <f>IF(NOT(ISNUMBER(B1068)),"",IF(COUNTIFS(FER_F,INT(B1068))&gt;0,"Feriado"&amp;IF(AH1068=1," (laborable)"," (no laborable)"),IF(AH1068=1,"Laborable",IF(WEEKDAY(B1068,2)&gt;5,"Fin de semana","No laborable"))))</f>
        <v/>
      </c>
      <c r="R1068" s="73" t="n"/>
      <c r="S1068" s="72" t="n"/>
      <c r="T1068" s="72" t="n"/>
      <c r="U1068" s="74" t="n"/>
      <c r="V1068" s="79" t="str">
        <f>IF(AND(D1068="proMX",OR(R1068="Submitted",R1068="Recall Requested"),ISNUMBER(S1068)),CFG_TODAY-INT(S1068),"")</f>
        <v/>
      </c>
      <c r="W1068" s="78" t="str">
        <f>IF(BD1068=0,"",IF(BA1068&gt;0,"⚠ Se superpone con un registro de la otra empresa",IF(D1068="Malcolm",IF(COUNTA(R1068,S1068,T1068)&gt;0,"Estado/fechas proMX se ignoran en Malcolm",""),IF(BF1068="Cancelled","Cancelado: excluido de totales",IF(R1068="","Sin estado: se trata como Draft",IF(BF1068="Submitted",IF(ISNUMBER(V1068),IF(V1068&gt;CFG_MAXD,"⚠ "&amp;V1068&amp;" días en Submitted (máx. "&amp;CFG_MAXD&amp;")",""),"Falta fecha de envío"),IF(BF1068="Returned","⚠ Devuelto: corregir y reenviar",IF(BF1068="Recall Requested","Retirada solicitada: pendiente",IF(AND(BF1068="Approved",NOT(ISNUMBER(T1068))),"Falta fecha de aprobación",IF(AND(ISNUMBER(S1068),ISNUMBER(T1068),T1068&lt;S1068),"Aprobación anterior al envío","")))))))))</f>
        <v/>
      </c>
      <c r="Y1068" s="80">
        <f>IF(COUNTA(B1068,D1068,E1068,F1068,G1068,H1068,I1068,J1068,R1068,S1068,T1068)&gt;0,1,0)</f>
        <v>0</v>
      </c>
      <c r="Z1068" s="80" t="str">
        <f>IF(AND(ISNUMBER(H1068),H1068&gt;=0,H1068&lt;1),ROUND(H1068*1440,0),"")</f>
        <v/>
      </c>
      <c r="AA1068" s="80" t="str">
        <f>IF(AND(ISNUMBER(I1068),I1068&gt;=0,I1068&lt;1),ROUND(I1068*1440,0),"")</f>
        <v/>
      </c>
      <c r="AB1068" s="80">
        <f>IF(AND(ISNUMBER(B1068),D1068&lt;&gt;"",ISNUMBER(Z1068),ISNUMBER(AA1068)),IF(Z1068=AA1068,0,1),0)</f>
        <v>0</v>
      </c>
      <c r="AC1068" s="80">
        <f>IF(AB1068=1,IF(AA1068&lt;Z1068,1,0),0)</f>
        <v>0</v>
      </c>
      <c r="AD1068" s="80">
        <f>IF(AB1068=1,IF(AC1068=1,1440-Z1068+AA1068,AA1068-Z1068),0)</f>
        <v>0</v>
      </c>
      <c r="AE1068" s="80">
        <f>IF(J1068="",0,IF(ISNUMBER(J1068),J1068,-1))</f>
        <v>0</v>
      </c>
      <c r="AF1068" s="80">
        <f>MIN(MAX(0,AE1068),AD1068)</f>
        <v>0</v>
      </c>
      <c r="AG1068" s="80">
        <f>MAX(0,AD1068-MAX(0,AE1068))</f>
        <v>0</v>
      </c>
      <c r="AH1068" s="80">
        <f>IF(ISNUMBER(B1068),IF(AND(INDEX(CFG_WDAYS,WEEKDAY(INT(B1068),2))="Sí",IF(D1068="proMX",COUNTIFS(FER_F,INT(B1068),FER_NLP,"Sí"),COUNTIFS(FER_F,INT(B1068),FER_NLM,"Sí"))=0),1,0),0)</f>
        <v>0</v>
      </c>
      <c r="AI1068" s="80">
        <f>IF(AC1068=1,IF(AND(INDEX(CFG_WDAYS,WEEKDAY(INT(B1068)+1,2))="Sí",IF(D1068="proMX",COUNTIFS(FER_F,INT(B1068)+1,FER_NLP,"Sí"),COUNTIFS(FER_F,INT(B1068)+1,FER_NLM,"Sí"))=0),1,0),0)</f>
        <v>0</v>
      </c>
      <c r="AJ1068" s="80">
        <f>IF(AC1068=1,1440-Z1068,AD1068)</f>
        <v>0</v>
      </c>
      <c r="AK1068" s="80">
        <f>IF(AND(AB1068=1,AH1068=1),MAX(0,MIN(IF(AC1068=1,1440,AA1068),CFG_WEM)-MAX(Z1068,CFG_WSM)),0)</f>
        <v>0</v>
      </c>
      <c r="AL1068" s="80">
        <f>IF(AND(AC1068=1,AI1068=1),MAX(0,MIN(AA1068,CFG_WEM)-CFG_WSM),0)</f>
        <v>0</v>
      </c>
      <c r="AM1068" s="80">
        <f>AK1068+AL1068</f>
        <v>0</v>
      </c>
      <c r="AN1068" s="80">
        <f>IF(CFG_BRK="Proporcional",IF(AD1068=0,0,AF1068*AM1068/AD1068),IF(CFG_BRK="Extras primero",MIN(AM1068,MAX(0,AF1068-(AD1068-AM1068))),MIN(AF1068,AM1068)))</f>
        <v>0</v>
      </c>
      <c r="AO1068" s="80">
        <f>AF1068-AN1068</f>
        <v>0</v>
      </c>
      <c r="AP1068" s="80">
        <f>AM1068-AN1068</f>
        <v>0</v>
      </c>
      <c r="AQ1068" s="80">
        <f>AD1068-AM1068-AO1068</f>
        <v>0</v>
      </c>
      <c r="AR1068" s="80">
        <f>IF(AM1068=0,0,AK1068-AN1068*AK1068/AM1068)</f>
        <v>0</v>
      </c>
      <c r="AS1068" s="80">
        <f>IF(AD1068-AM1068=0,0,(AJ1068-AK1068)-AO1068*(AJ1068-AK1068)/(AD1068-AM1068))</f>
        <v>0</v>
      </c>
      <c r="AT1068" s="80" t="str">
        <f>IF(AC1068=1,INT(B1068)+1,"")</f>
        <v/>
      </c>
      <c r="AU1068" s="80">
        <f>IF(AND(D1068="proMX",R1068="Cancelled"),0,1)</f>
        <v>1</v>
      </c>
      <c r="AV1068" s="80">
        <f>IF(AND(AB1068=1,AU1068=1),IF(COUNTIFS($D$5:D1067,D1068,$B$5:B1067,B1068,$Z$5:Z1067,Z1068,$AA$5:AA1067,AA1068,$F$5:F1067,F1068&amp;"",$AU$5:AU1067,1)&gt;0,1,0),0)</f>
        <v>0</v>
      </c>
      <c r="AW1068" s="80" t="str">
        <f>IF(AB1068=1,INT(B1068)*1440+Z1068,"")</f>
        <v/>
      </c>
      <c r="AX1068" s="80" t="str">
        <f>IF(AB1068=1,AW1068+AD1068,"")</f>
        <v/>
      </c>
      <c r="AY1068" s="80">
        <f>IF(AND(AB1068=1,AV1068=0,AU1068=1),1,0)</f>
        <v>0</v>
      </c>
      <c r="AZ1068" s="80">
        <f>IF(AY1068=1,COUNTIFS(R_Emp,D1068,R_SAbs,"&lt;"&amp;AX1068,R_EAbs,"&gt;"&amp;AW1068,R_OKey,1)-1,0)</f>
        <v>0</v>
      </c>
      <c r="BA1068" s="80">
        <f>IF(AY1068=1,COUNTIFS(R_Emp,"&lt;&gt;"&amp;D1068,R_SAbs,"&lt;"&amp;AX1068,R_EAbs,"&gt;"&amp;AW1068,R_OKey,1),0)</f>
        <v>0</v>
      </c>
      <c r="BB1068" s="80">
        <f>IF(AND(AB1068=1,D1068="proMX"),IF(AND(MOD(Z1068,CFG_BLK)=0,MOD(AA1068,CFG_BLK)=0,MOD(AG1068,CFG_BLK)=0,AG1068&gt;0),1,0),1)</f>
        <v>1</v>
      </c>
      <c r="BC1068" s="80" t="str">
        <f>IF(Y1068=0,"",IF(NOT(ISNUMBER(B1068)),"Falta fecha o fecha inválida",IF(D1068="","Falta empresa",IF(AND(D1068&lt;&gt;"Malcolm",D1068&lt;&gt;"proMX"),"Empresa inválida",IF(OR(INT(B1068)&lt;CFG_PSTART,INT(B1068)&gt;CFG_PEND),"Fecha fuera del período",IF(OR(NOT(ISNUMBER(Z1068)),NOT(ISNUMBER(AA1068))),"Falta hora inicio/fin o formato inválido",IF(AB1068=0,"Hora inicio = hora fin",IF(AE1068&lt;0,"Descanso inválido",IF(AE1068&gt;=AD1068,"Descanso ≥ duración",IF(AV1068=1,"Registro duplicado",IF(AZ1068&gt;0,"Se superpone con otro registro "&amp;D1068,IF(BB1068=0,"inicio, fin y duración neta deben ser múltiplos de "&amp;CFG_BLK&amp;" min",""))))))))))))</f>
        <v/>
      </c>
      <c r="BD1068" s="80">
        <f>IF(AND(Y1068=1,BC1068=""),1,0)</f>
        <v>0</v>
      </c>
      <c r="BE1068" s="80">
        <f>IF(AND(BD1068=1,AU1068=1),1,0)</f>
        <v>0</v>
      </c>
      <c r="BF1068" s="80" t="str">
        <f>IF(AND(D1068="proMX",BD1068=1),IF(R1068="","Draft",R1068),"")</f>
        <v/>
      </c>
      <c r="BG1068" s="80">
        <f>IF(BD1068=1,ROUND(AG1068/60,6),0)</f>
        <v>0</v>
      </c>
      <c r="BH1068" s="80">
        <f>IF(BE1068=1,ROUND(AG1068/60,6),0)</f>
        <v>0</v>
      </c>
      <c r="BI1068" s="80">
        <f>IF(BE1068=1,ROUND(AP1068/60,6),0)</f>
        <v>0</v>
      </c>
      <c r="BJ1068" s="80">
        <f>IF(BE1068=1,ROUND(AQ1068/60,6),0)</f>
        <v>0</v>
      </c>
      <c r="BK1068" s="80">
        <f>IF(BE1068=1,ROUND((AR1068+AS1068)/60,6),0)</f>
        <v>0</v>
      </c>
      <c r="BL1068" s="80">
        <f>ROUND(BH1068-BK1068,6)</f>
        <v>0</v>
      </c>
      <c r="BM1068" s="80">
        <f>IF(BE1068=1,ROUND(AR1068/60,6),0)</f>
        <v>0</v>
      </c>
      <c r="BN1068" s="80">
        <f>ROUND(BI1068-BM1068,6)</f>
        <v>0</v>
      </c>
      <c r="BO1068" s="80">
        <f>IF(BE1068=1,ROUND(AS1068/60,6),0)</f>
        <v>0</v>
      </c>
      <c r="BP1068" s="80">
        <f>ROUND(BJ1068-BO1068,6)</f>
        <v>0</v>
      </c>
      <c r="BQ1068" s="80">
        <f>IF(BE1068=1,AW1068,0)</f>
        <v>0</v>
      </c>
      <c r="BR1068" s="80">
        <f>IF(BE1068=1,AX1068,0)</f>
        <v>0</v>
      </c>
      <c r="BS1068" s="80">
        <f>IF(AND(BE1068=1,D1068="Malcolm",BA1068&gt;0),MIN(BH1068,SUMPRODUCT((R_Emp="proMX")*(R_EN&gt;0)*((R_EN-(R_EN&gt;BR1068)*(R_EN-BR1068))&gt;(R_SN+(R_SN&lt;BQ1068)*(BQ1068-R_SN)))*((R_EN-(R_EN&gt;BR1068)*(R_EN-BR1068))-(R_SN+(R_SN&lt;BQ1068)*(BQ1068-R_SN))))/60),0)</f>
        <v>0</v>
      </c>
      <c r="BT1068" s="80">
        <f>IF(AND(BE1068=1,D1068="proMX"),ROUND(BI1068*CFG_RATE+BJ1068*CFG_OTRATE,6),0)</f>
        <v>0</v>
      </c>
      <c r="BU1068" s="80">
        <f>IF(AND(BD1068=1,D1068="proMX"),ROUND(AG1068/CFG_BLK,6),0)</f>
        <v>0</v>
      </c>
      <c r="BV1068" s="80" t="str">
        <f>IF(BF1068="Approved",IF(ISNUMBER(T1068),INT(T1068),INT(B1068)),"")</f>
        <v/>
      </c>
      <c r="BW1068" s="80">
        <f>IF(ISNUMBER(B1068),IF(DB_MON="Todos",1,IF(AND(INT(B1068)&gt;=DB_MS,INT(B1068)&lt;=DB_ME),1,0)),0)</f>
        <v>0</v>
      </c>
      <c r="BX1068" s="80">
        <f>IF(DB_PROJ="Todos",1,IF(E1068&amp;""=DB_PROJ&amp;"",1,0))</f>
        <v>1</v>
      </c>
      <c r="BY1068" s="80">
        <f>BW1068*BX1068</f>
        <v>0</v>
      </c>
      <c r="BZ1068" s="80" t="str">
        <f>IF(Y1068=1,F1068&amp;IF(AND(F1068&amp;""&lt;&gt;"",E1068&amp;""&lt;&gt;"")," · ","")&amp;E1068,"")</f>
        <v/>
      </c>
      <c r="CA1068" s="80" t="str">
        <f>IF(AND(BD1068=1,E1068&amp;""&lt;&gt;""),IF(COUNTIFS($E$5:E1067,E1068,$BD$5:BD1067,1)=0,MAX($CA$5:CA1067)+1,""),"")</f>
        <v/>
      </c>
      <c r="CB1068" s="80" t="str">
        <f>IF(AND(BE1068=1,D1068="Malcolm",E1068&amp;""&lt;&gt;""),IF(COUNTIFS($D$5:D1067,"Malcolm",$E$5:E1067,E1068,$BE$5:BE1067,1)=0,MAX($CB$5:CB1067)+1,""),"")</f>
        <v/>
      </c>
      <c r="CC1068" s="80" t="str">
        <f>IF(AND(BD1068=1,D1068="proMX",E1068&amp;""&lt;&gt;""),IF(COUNTIFS($D$5:D1067,"proMX",$E$5:E1067,E1068,$BD$5:BD1067,1)=0,MAX($CC$5:CC1067)+1,""),"")</f>
        <v/>
      </c>
      <c r="CD1068" s="80" t="str">
        <f>IF(AND(BE1068=1,D1068="Malcolm",F1068&amp;""&lt;&gt;""),IF(COUNTIFS($D$5:D1067,"Malcolm",$F$5:F1067,F1068,$BE$5:BE1067,1)=0,MAX($CD$5:CD1067)+1,""),"")</f>
        <v/>
      </c>
      <c r="CE1068" s="80" t="str">
        <f>IF(AND(BD1068=1,D1068="proMX",F1068&amp;""&lt;&gt;""),IF(COUNTIFS($D$5:D1067,"proMX",$F$5:F1067,F1068,$BD$5:BD1067,1)=0,MAX($CE$5:CE1067)+1,""),"")</f>
        <v/>
      </c>
      <c r="CF1068" s="80" t="str">
        <f>IF(AND(D1068="proMX",BD1068=1),IF(OR(BF1068="Draft",BF1068="Submitted",BF1068="Returned",BF1068="Recall Requested"),MAX($CF$5:CF1067)+1,""),"")</f>
        <v/>
      </c>
      <c r="CG1068" s="80">
        <f>IF(BD1068=0,0,IF(D1068="Malcolm",1,MATCH(BF1068,{"Draft","Submitted","Approved","Returned","Recall Requested","Cancelled"},0)+1))</f>
        <v>0</v>
      </c>
      <c r="CH1068" s="80">
        <f>IF(AND(BF1068="Submitted",ISNUMBER(V1068)),IF(V1068&gt;CFG_MAXD,1,0),0)</f>
        <v>0</v>
      </c>
    </row>
    <row r="1069">
      <c r="A1069" s="71" t="str">
        <f>IF(Y1069=1,ROW()-5,"")</f>
        <v/>
      </c>
      <c r="B1069" s="72" t="n"/>
      <c r="C1069" s="71" t="str">
        <f>IF(ISNUMBER(B1069),CHOOSE(WEEKDAY(B1069,2),"Lun","Mar","Mié","Jue","Vie","Sáb","Dom"),"")</f>
        <v/>
      </c>
      <c r="D1069" s="73" t="n"/>
      <c r="E1069" s="74" t="n"/>
      <c r="F1069" s="74" t="n"/>
      <c r="G1069" s="74" t="n"/>
      <c r="H1069" s="75" t="n"/>
      <c r="I1069" s="75" t="n"/>
      <c r="J1069" s="76" t="n"/>
      <c r="K1069" s="77" t="str">
        <f>IF(AB1069=1,ROUND(AG1069/60,4),"")</f>
        <v/>
      </c>
      <c r="L1069" s="77" t="str">
        <f>IF(BD1069=1,ROUND(AP1069/60,4),"")</f>
        <v/>
      </c>
      <c r="M1069" s="77" t="str">
        <f>IF(BD1069=1,ROUND(AQ1069/60,4),"")</f>
        <v/>
      </c>
      <c r="N1069" s="71" t="str">
        <f>IF(AND(D1069="proMX",AB1069=1),ROUND(AG1069/CFG_BLK,2),"")</f>
        <v/>
      </c>
      <c r="O1069" s="77" t="str">
        <f>IF(D1069="proMX",IF(BD1069=1,ROUND(AG1069/60,4),0),"")</f>
        <v/>
      </c>
      <c r="P1069" s="78" t="str">
        <f>IF(Y1069=0,"",IF(BD1069=1,"OK",IF(D1069="proMX","Revisar bloques: ","Revisar: ")&amp;BC1069))</f>
        <v/>
      </c>
      <c r="Q1069" s="78" t="str">
        <f>IF(NOT(ISNUMBER(B1069)),"",IF(COUNTIFS(FER_F,INT(B1069))&gt;0,"Feriado"&amp;IF(AH1069=1," (laborable)"," (no laborable)"),IF(AH1069=1,"Laborable",IF(WEEKDAY(B1069,2)&gt;5,"Fin de semana","No laborable"))))</f>
        <v/>
      </c>
      <c r="R1069" s="73" t="n"/>
      <c r="S1069" s="72" t="n"/>
      <c r="T1069" s="72" t="n"/>
      <c r="U1069" s="74" t="n"/>
      <c r="V1069" s="79" t="str">
        <f>IF(AND(D1069="proMX",OR(R1069="Submitted",R1069="Recall Requested"),ISNUMBER(S1069)),CFG_TODAY-INT(S1069),"")</f>
        <v/>
      </c>
      <c r="W1069" s="78" t="str">
        <f>IF(BD1069=0,"",IF(BA1069&gt;0,"⚠ Se superpone con un registro de la otra empresa",IF(D1069="Malcolm",IF(COUNTA(R1069,S1069,T1069)&gt;0,"Estado/fechas proMX se ignoran en Malcolm",""),IF(BF1069="Cancelled","Cancelado: excluido de totales",IF(R1069="","Sin estado: se trata como Draft",IF(BF1069="Submitted",IF(ISNUMBER(V1069),IF(V1069&gt;CFG_MAXD,"⚠ "&amp;V1069&amp;" días en Submitted (máx. "&amp;CFG_MAXD&amp;")",""),"Falta fecha de envío"),IF(BF1069="Returned","⚠ Devuelto: corregir y reenviar",IF(BF1069="Recall Requested","Retirada solicitada: pendiente",IF(AND(BF1069="Approved",NOT(ISNUMBER(T1069))),"Falta fecha de aprobación",IF(AND(ISNUMBER(S1069),ISNUMBER(T1069),T1069&lt;S1069),"Aprobación anterior al envío","")))))))))</f>
        <v/>
      </c>
      <c r="Y1069" s="80">
        <f>IF(COUNTA(B1069,D1069,E1069,F1069,G1069,H1069,I1069,J1069,R1069,S1069,T1069)&gt;0,1,0)</f>
        <v>0</v>
      </c>
      <c r="Z1069" s="80" t="str">
        <f>IF(AND(ISNUMBER(H1069),H1069&gt;=0,H1069&lt;1),ROUND(H1069*1440,0),"")</f>
        <v/>
      </c>
      <c r="AA1069" s="80" t="str">
        <f>IF(AND(ISNUMBER(I1069),I1069&gt;=0,I1069&lt;1),ROUND(I1069*1440,0),"")</f>
        <v/>
      </c>
      <c r="AB1069" s="80">
        <f>IF(AND(ISNUMBER(B1069),D1069&lt;&gt;"",ISNUMBER(Z1069),ISNUMBER(AA1069)),IF(Z1069=AA1069,0,1),0)</f>
        <v>0</v>
      </c>
      <c r="AC1069" s="80">
        <f>IF(AB1069=1,IF(AA1069&lt;Z1069,1,0),0)</f>
        <v>0</v>
      </c>
      <c r="AD1069" s="80">
        <f>IF(AB1069=1,IF(AC1069=1,1440-Z1069+AA1069,AA1069-Z1069),0)</f>
        <v>0</v>
      </c>
      <c r="AE1069" s="80">
        <f>IF(J1069="",0,IF(ISNUMBER(J1069),J1069,-1))</f>
        <v>0</v>
      </c>
      <c r="AF1069" s="80">
        <f>MIN(MAX(0,AE1069),AD1069)</f>
        <v>0</v>
      </c>
      <c r="AG1069" s="80">
        <f>MAX(0,AD1069-MAX(0,AE1069))</f>
        <v>0</v>
      </c>
      <c r="AH1069" s="80">
        <f>IF(ISNUMBER(B1069),IF(AND(INDEX(CFG_WDAYS,WEEKDAY(INT(B1069),2))="Sí",IF(D1069="proMX",COUNTIFS(FER_F,INT(B1069),FER_NLP,"Sí"),COUNTIFS(FER_F,INT(B1069),FER_NLM,"Sí"))=0),1,0),0)</f>
        <v>0</v>
      </c>
      <c r="AI1069" s="80">
        <f>IF(AC1069=1,IF(AND(INDEX(CFG_WDAYS,WEEKDAY(INT(B1069)+1,2))="Sí",IF(D1069="proMX",COUNTIFS(FER_F,INT(B1069)+1,FER_NLP,"Sí"),COUNTIFS(FER_F,INT(B1069)+1,FER_NLM,"Sí"))=0),1,0),0)</f>
        <v>0</v>
      </c>
      <c r="AJ1069" s="80">
        <f>IF(AC1069=1,1440-Z1069,AD1069)</f>
        <v>0</v>
      </c>
      <c r="AK1069" s="80">
        <f>IF(AND(AB1069=1,AH1069=1),MAX(0,MIN(IF(AC1069=1,1440,AA1069),CFG_WEM)-MAX(Z1069,CFG_WSM)),0)</f>
        <v>0</v>
      </c>
      <c r="AL1069" s="80">
        <f>IF(AND(AC1069=1,AI1069=1),MAX(0,MIN(AA1069,CFG_WEM)-CFG_WSM),0)</f>
        <v>0</v>
      </c>
      <c r="AM1069" s="80">
        <f>AK1069+AL1069</f>
        <v>0</v>
      </c>
      <c r="AN1069" s="80">
        <f>IF(CFG_BRK="Proporcional",IF(AD1069=0,0,AF1069*AM1069/AD1069),IF(CFG_BRK="Extras primero",MIN(AM1069,MAX(0,AF1069-(AD1069-AM1069))),MIN(AF1069,AM1069)))</f>
        <v>0</v>
      </c>
      <c r="AO1069" s="80">
        <f>AF1069-AN1069</f>
        <v>0</v>
      </c>
      <c r="AP1069" s="80">
        <f>AM1069-AN1069</f>
        <v>0</v>
      </c>
      <c r="AQ1069" s="80">
        <f>AD1069-AM1069-AO1069</f>
        <v>0</v>
      </c>
      <c r="AR1069" s="80">
        <f>IF(AM1069=0,0,AK1069-AN1069*AK1069/AM1069)</f>
        <v>0</v>
      </c>
      <c r="AS1069" s="80">
        <f>IF(AD1069-AM1069=0,0,(AJ1069-AK1069)-AO1069*(AJ1069-AK1069)/(AD1069-AM1069))</f>
        <v>0</v>
      </c>
      <c r="AT1069" s="80" t="str">
        <f>IF(AC1069=1,INT(B1069)+1,"")</f>
        <v/>
      </c>
      <c r="AU1069" s="80">
        <f>IF(AND(D1069="proMX",R1069="Cancelled"),0,1)</f>
        <v>1</v>
      </c>
      <c r="AV1069" s="80">
        <f>IF(AND(AB1069=1,AU1069=1),IF(COUNTIFS($D$5:D1068,D1069,$B$5:B1068,B1069,$Z$5:Z1068,Z1069,$AA$5:AA1068,AA1069,$F$5:F1068,F1069&amp;"",$AU$5:AU1068,1)&gt;0,1,0),0)</f>
        <v>0</v>
      </c>
      <c r="AW1069" s="80" t="str">
        <f>IF(AB1069=1,INT(B1069)*1440+Z1069,"")</f>
        <v/>
      </c>
      <c r="AX1069" s="80" t="str">
        <f>IF(AB1069=1,AW1069+AD1069,"")</f>
        <v/>
      </c>
      <c r="AY1069" s="80">
        <f>IF(AND(AB1069=1,AV1069=0,AU1069=1),1,0)</f>
        <v>0</v>
      </c>
      <c r="AZ1069" s="80">
        <f>IF(AY1069=1,COUNTIFS(R_Emp,D1069,R_SAbs,"&lt;"&amp;AX1069,R_EAbs,"&gt;"&amp;AW1069,R_OKey,1)-1,0)</f>
        <v>0</v>
      </c>
      <c r="BA1069" s="80">
        <f>IF(AY1069=1,COUNTIFS(R_Emp,"&lt;&gt;"&amp;D1069,R_SAbs,"&lt;"&amp;AX1069,R_EAbs,"&gt;"&amp;AW1069,R_OKey,1),0)</f>
        <v>0</v>
      </c>
      <c r="BB1069" s="80">
        <f>IF(AND(AB1069=1,D1069="proMX"),IF(AND(MOD(Z1069,CFG_BLK)=0,MOD(AA1069,CFG_BLK)=0,MOD(AG1069,CFG_BLK)=0,AG1069&gt;0),1,0),1)</f>
        <v>1</v>
      </c>
      <c r="BC1069" s="80" t="str">
        <f>IF(Y1069=0,"",IF(NOT(ISNUMBER(B1069)),"Falta fecha o fecha inválida",IF(D1069="","Falta empresa",IF(AND(D1069&lt;&gt;"Malcolm",D1069&lt;&gt;"proMX"),"Empresa inválida",IF(OR(INT(B1069)&lt;CFG_PSTART,INT(B1069)&gt;CFG_PEND),"Fecha fuera del período",IF(OR(NOT(ISNUMBER(Z1069)),NOT(ISNUMBER(AA1069))),"Falta hora inicio/fin o formato inválido",IF(AB1069=0,"Hora inicio = hora fin",IF(AE1069&lt;0,"Descanso inválido",IF(AE1069&gt;=AD1069,"Descanso ≥ duración",IF(AV1069=1,"Registro duplicado",IF(AZ1069&gt;0,"Se superpone con otro registro "&amp;D1069,IF(BB1069=0,"inicio, fin y duración neta deben ser múltiplos de "&amp;CFG_BLK&amp;" min",""))))))))))))</f>
        <v/>
      </c>
      <c r="BD1069" s="80">
        <f>IF(AND(Y1069=1,BC1069=""),1,0)</f>
        <v>0</v>
      </c>
      <c r="BE1069" s="80">
        <f>IF(AND(BD1069=1,AU1069=1),1,0)</f>
        <v>0</v>
      </c>
      <c r="BF1069" s="80" t="str">
        <f>IF(AND(D1069="proMX",BD1069=1),IF(R1069="","Draft",R1069),"")</f>
        <v/>
      </c>
      <c r="BG1069" s="80">
        <f>IF(BD1069=1,ROUND(AG1069/60,6),0)</f>
        <v>0</v>
      </c>
      <c r="BH1069" s="80">
        <f>IF(BE1069=1,ROUND(AG1069/60,6),0)</f>
        <v>0</v>
      </c>
      <c r="BI1069" s="80">
        <f>IF(BE1069=1,ROUND(AP1069/60,6),0)</f>
        <v>0</v>
      </c>
      <c r="BJ1069" s="80">
        <f>IF(BE1069=1,ROUND(AQ1069/60,6),0)</f>
        <v>0</v>
      </c>
      <c r="BK1069" s="80">
        <f>IF(BE1069=1,ROUND((AR1069+AS1069)/60,6),0)</f>
        <v>0</v>
      </c>
      <c r="BL1069" s="80">
        <f>ROUND(BH1069-BK1069,6)</f>
        <v>0</v>
      </c>
      <c r="BM1069" s="80">
        <f>IF(BE1069=1,ROUND(AR1069/60,6),0)</f>
        <v>0</v>
      </c>
      <c r="BN1069" s="80">
        <f>ROUND(BI1069-BM1069,6)</f>
        <v>0</v>
      </c>
      <c r="BO1069" s="80">
        <f>IF(BE1069=1,ROUND(AS1069/60,6),0)</f>
        <v>0</v>
      </c>
      <c r="BP1069" s="80">
        <f>ROUND(BJ1069-BO1069,6)</f>
        <v>0</v>
      </c>
      <c r="BQ1069" s="80">
        <f>IF(BE1069=1,AW1069,0)</f>
        <v>0</v>
      </c>
      <c r="BR1069" s="80">
        <f>IF(BE1069=1,AX1069,0)</f>
        <v>0</v>
      </c>
      <c r="BS1069" s="80">
        <f>IF(AND(BE1069=1,D1069="Malcolm",BA1069&gt;0),MIN(BH1069,SUMPRODUCT((R_Emp="proMX")*(R_EN&gt;0)*((R_EN-(R_EN&gt;BR1069)*(R_EN-BR1069))&gt;(R_SN+(R_SN&lt;BQ1069)*(BQ1069-R_SN)))*((R_EN-(R_EN&gt;BR1069)*(R_EN-BR1069))-(R_SN+(R_SN&lt;BQ1069)*(BQ1069-R_SN))))/60),0)</f>
        <v>0</v>
      </c>
      <c r="BT1069" s="80">
        <f>IF(AND(BE1069=1,D1069="proMX"),ROUND(BI1069*CFG_RATE+BJ1069*CFG_OTRATE,6),0)</f>
        <v>0</v>
      </c>
      <c r="BU1069" s="80">
        <f>IF(AND(BD1069=1,D1069="proMX"),ROUND(AG1069/CFG_BLK,6),0)</f>
        <v>0</v>
      </c>
      <c r="BV1069" s="80" t="str">
        <f>IF(BF1069="Approved",IF(ISNUMBER(T1069),INT(T1069),INT(B1069)),"")</f>
        <v/>
      </c>
      <c r="BW1069" s="80">
        <f>IF(ISNUMBER(B1069),IF(DB_MON="Todos",1,IF(AND(INT(B1069)&gt;=DB_MS,INT(B1069)&lt;=DB_ME),1,0)),0)</f>
        <v>0</v>
      </c>
      <c r="BX1069" s="80">
        <f>IF(DB_PROJ="Todos",1,IF(E1069&amp;""=DB_PROJ&amp;"",1,0))</f>
        <v>1</v>
      </c>
      <c r="BY1069" s="80">
        <f>BW1069*BX1069</f>
        <v>0</v>
      </c>
      <c r="BZ1069" s="80" t="str">
        <f>IF(Y1069=1,F1069&amp;IF(AND(F1069&amp;""&lt;&gt;"",E1069&amp;""&lt;&gt;"")," · ","")&amp;E1069,"")</f>
        <v/>
      </c>
      <c r="CA1069" s="80" t="str">
        <f>IF(AND(BD1069=1,E1069&amp;""&lt;&gt;""),IF(COUNTIFS($E$5:E1068,E1069,$BD$5:BD1068,1)=0,MAX($CA$5:CA1068)+1,""),"")</f>
        <v/>
      </c>
      <c r="CB1069" s="80" t="str">
        <f>IF(AND(BE1069=1,D1069="Malcolm",E1069&amp;""&lt;&gt;""),IF(COUNTIFS($D$5:D1068,"Malcolm",$E$5:E1068,E1069,$BE$5:BE1068,1)=0,MAX($CB$5:CB1068)+1,""),"")</f>
        <v/>
      </c>
      <c r="CC1069" s="80" t="str">
        <f>IF(AND(BD1069=1,D1069="proMX",E1069&amp;""&lt;&gt;""),IF(COUNTIFS($D$5:D1068,"proMX",$E$5:E1068,E1069,$BD$5:BD1068,1)=0,MAX($CC$5:CC1068)+1,""),"")</f>
        <v/>
      </c>
      <c r="CD1069" s="80" t="str">
        <f>IF(AND(BE1069=1,D1069="Malcolm",F1069&amp;""&lt;&gt;""),IF(COUNTIFS($D$5:D1068,"Malcolm",$F$5:F1068,F1069,$BE$5:BE1068,1)=0,MAX($CD$5:CD1068)+1,""),"")</f>
        <v/>
      </c>
      <c r="CE1069" s="80" t="str">
        <f>IF(AND(BD1069=1,D1069="proMX",F1069&amp;""&lt;&gt;""),IF(COUNTIFS($D$5:D1068,"proMX",$F$5:F1068,F1069,$BD$5:BD1068,1)=0,MAX($CE$5:CE1068)+1,""),"")</f>
        <v/>
      </c>
      <c r="CF1069" s="80" t="str">
        <f>IF(AND(D1069="proMX",BD1069=1),IF(OR(BF1069="Draft",BF1069="Submitted",BF1069="Returned",BF1069="Recall Requested"),MAX($CF$5:CF1068)+1,""),"")</f>
        <v/>
      </c>
      <c r="CG1069" s="80">
        <f>IF(BD1069=0,0,IF(D1069="Malcolm",1,MATCH(BF1069,{"Draft","Submitted","Approved","Returned","Recall Requested","Cancelled"},0)+1))</f>
        <v>0</v>
      </c>
      <c r="CH1069" s="80">
        <f>IF(AND(BF1069="Submitted",ISNUMBER(V1069)),IF(V1069&gt;CFG_MAXD,1,0),0)</f>
        <v>0</v>
      </c>
    </row>
    <row r="1070">
      <c r="A1070" s="71" t="str">
        <f>IF(Y1070=1,ROW()-5,"")</f>
        <v/>
      </c>
      <c r="B1070" s="72" t="n"/>
      <c r="C1070" s="71" t="str">
        <f>IF(ISNUMBER(B1070),CHOOSE(WEEKDAY(B1070,2),"Lun","Mar","Mié","Jue","Vie","Sáb","Dom"),"")</f>
        <v/>
      </c>
      <c r="D1070" s="73" t="n"/>
      <c r="E1070" s="74" t="n"/>
      <c r="F1070" s="74" t="n"/>
      <c r="G1070" s="74" t="n"/>
      <c r="H1070" s="75" t="n"/>
      <c r="I1070" s="75" t="n"/>
      <c r="J1070" s="76" t="n"/>
      <c r="K1070" s="77" t="str">
        <f>IF(AB1070=1,ROUND(AG1070/60,4),"")</f>
        <v/>
      </c>
      <c r="L1070" s="77" t="str">
        <f>IF(BD1070=1,ROUND(AP1070/60,4),"")</f>
        <v/>
      </c>
      <c r="M1070" s="77" t="str">
        <f>IF(BD1070=1,ROUND(AQ1070/60,4),"")</f>
        <v/>
      </c>
      <c r="N1070" s="71" t="str">
        <f>IF(AND(D1070="proMX",AB1070=1),ROUND(AG1070/CFG_BLK,2),"")</f>
        <v/>
      </c>
      <c r="O1070" s="77" t="str">
        <f>IF(D1070="proMX",IF(BD1070=1,ROUND(AG1070/60,4),0),"")</f>
        <v/>
      </c>
      <c r="P1070" s="78" t="str">
        <f>IF(Y1070=0,"",IF(BD1070=1,"OK",IF(D1070="proMX","Revisar bloques: ","Revisar: ")&amp;BC1070))</f>
        <v/>
      </c>
      <c r="Q1070" s="78" t="str">
        <f>IF(NOT(ISNUMBER(B1070)),"",IF(COUNTIFS(FER_F,INT(B1070))&gt;0,"Feriado"&amp;IF(AH1070=1," (laborable)"," (no laborable)"),IF(AH1070=1,"Laborable",IF(WEEKDAY(B1070,2)&gt;5,"Fin de semana","No laborable"))))</f>
        <v/>
      </c>
      <c r="R1070" s="73" t="n"/>
      <c r="S1070" s="72" t="n"/>
      <c r="T1070" s="72" t="n"/>
      <c r="U1070" s="74" t="n"/>
      <c r="V1070" s="79" t="str">
        <f>IF(AND(D1070="proMX",OR(R1070="Submitted",R1070="Recall Requested"),ISNUMBER(S1070)),CFG_TODAY-INT(S1070),"")</f>
        <v/>
      </c>
      <c r="W1070" s="78" t="str">
        <f>IF(BD1070=0,"",IF(BA1070&gt;0,"⚠ Se superpone con un registro de la otra empresa",IF(D1070="Malcolm",IF(COUNTA(R1070,S1070,T1070)&gt;0,"Estado/fechas proMX se ignoran en Malcolm",""),IF(BF1070="Cancelled","Cancelado: excluido de totales",IF(R1070="","Sin estado: se trata como Draft",IF(BF1070="Submitted",IF(ISNUMBER(V1070),IF(V1070&gt;CFG_MAXD,"⚠ "&amp;V1070&amp;" días en Submitted (máx. "&amp;CFG_MAXD&amp;")",""),"Falta fecha de envío"),IF(BF1070="Returned","⚠ Devuelto: corregir y reenviar",IF(BF1070="Recall Requested","Retirada solicitada: pendiente",IF(AND(BF1070="Approved",NOT(ISNUMBER(T1070))),"Falta fecha de aprobación",IF(AND(ISNUMBER(S1070),ISNUMBER(T1070),T1070&lt;S1070),"Aprobación anterior al envío","")))))))))</f>
        <v/>
      </c>
      <c r="Y1070" s="80">
        <f>IF(COUNTA(B1070,D1070,E1070,F1070,G1070,H1070,I1070,J1070,R1070,S1070,T1070)&gt;0,1,0)</f>
        <v>0</v>
      </c>
      <c r="Z1070" s="80" t="str">
        <f>IF(AND(ISNUMBER(H1070),H1070&gt;=0,H1070&lt;1),ROUND(H1070*1440,0),"")</f>
        <v/>
      </c>
      <c r="AA1070" s="80" t="str">
        <f>IF(AND(ISNUMBER(I1070),I1070&gt;=0,I1070&lt;1),ROUND(I1070*1440,0),"")</f>
        <v/>
      </c>
      <c r="AB1070" s="80">
        <f>IF(AND(ISNUMBER(B1070),D1070&lt;&gt;"",ISNUMBER(Z1070),ISNUMBER(AA1070)),IF(Z1070=AA1070,0,1),0)</f>
        <v>0</v>
      </c>
      <c r="AC1070" s="80">
        <f>IF(AB1070=1,IF(AA1070&lt;Z1070,1,0),0)</f>
        <v>0</v>
      </c>
      <c r="AD1070" s="80">
        <f>IF(AB1070=1,IF(AC1070=1,1440-Z1070+AA1070,AA1070-Z1070),0)</f>
        <v>0</v>
      </c>
      <c r="AE1070" s="80">
        <f>IF(J1070="",0,IF(ISNUMBER(J1070),J1070,-1))</f>
        <v>0</v>
      </c>
      <c r="AF1070" s="80">
        <f>MIN(MAX(0,AE1070),AD1070)</f>
        <v>0</v>
      </c>
      <c r="AG1070" s="80">
        <f>MAX(0,AD1070-MAX(0,AE1070))</f>
        <v>0</v>
      </c>
      <c r="AH1070" s="80">
        <f>IF(ISNUMBER(B1070),IF(AND(INDEX(CFG_WDAYS,WEEKDAY(INT(B1070),2))="Sí",IF(D1070="proMX",COUNTIFS(FER_F,INT(B1070),FER_NLP,"Sí"),COUNTIFS(FER_F,INT(B1070),FER_NLM,"Sí"))=0),1,0),0)</f>
        <v>0</v>
      </c>
      <c r="AI1070" s="80">
        <f>IF(AC1070=1,IF(AND(INDEX(CFG_WDAYS,WEEKDAY(INT(B1070)+1,2))="Sí",IF(D1070="proMX",COUNTIFS(FER_F,INT(B1070)+1,FER_NLP,"Sí"),COUNTIFS(FER_F,INT(B1070)+1,FER_NLM,"Sí"))=0),1,0),0)</f>
        <v>0</v>
      </c>
      <c r="AJ1070" s="80">
        <f>IF(AC1070=1,1440-Z1070,AD1070)</f>
        <v>0</v>
      </c>
      <c r="AK1070" s="80">
        <f>IF(AND(AB1070=1,AH1070=1),MAX(0,MIN(IF(AC1070=1,1440,AA1070),CFG_WEM)-MAX(Z1070,CFG_WSM)),0)</f>
        <v>0</v>
      </c>
      <c r="AL1070" s="80">
        <f>IF(AND(AC1070=1,AI1070=1),MAX(0,MIN(AA1070,CFG_WEM)-CFG_WSM),0)</f>
        <v>0</v>
      </c>
      <c r="AM1070" s="80">
        <f>AK1070+AL1070</f>
        <v>0</v>
      </c>
      <c r="AN1070" s="80">
        <f>IF(CFG_BRK="Proporcional",IF(AD1070=0,0,AF1070*AM1070/AD1070),IF(CFG_BRK="Extras primero",MIN(AM1070,MAX(0,AF1070-(AD1070-AM1070))),MIN(AF1070,AM1070)))</f>
        <v>0</v>
      </c>
      <c r="AO1070" s="80">
        <f>AF1070-AN1070</f>
        <v>0</v>
      </c>
      <c r="AP1070" s="80">
        <f>AM1070-AN1070</f>
        <v>0</v>
      </c>
      <c r="AQ1070" s="80">
        <f>AD1070-AM1070-AO1070</f>
        <v>0</v>
      </c>
      <c r="AR1070" s="80">
        <f>IF(AM1070=0,0,AK1070-AN1070*AK1070/AM1070)</f>
        <v>0</v>
      </c>
      <c r="AS1070" s="80">
        <f>IF(AD1070-AM1070=0,0,(AJ1070-AK1070)-AO1070*(AJ1070-AK1070)/(AD1070-AM1070))</f>
        <v>0</v>
      </c>
      <c r="AT1070" s="80" t="str">
        <f>IF(AC1070=1,INT(B1070)+1,"")</f>
        <v/>
      </c>
      <c r="AU1070" s="80">
        <f>IF(AND(D1070="proMX",R1070="Cancelled"),0,1)</f>
        <v>1</v>
      </c>
      <c r="AV1070" s="80">
        <f>IF(AND(AB1070=1,AU1070=1),IF(COUNTIFS($D$5:D1069,D1070,$B$5:B1069,B1070,$Z$5:Z1069,Z1070,$AA$5:AA1069,AA1070,$F$5:F1069,F1070&amp;"",$AU$5:AU1069,1)&gt;0,1,0),0)</f>
        <v>0</v>
      </c>
      <c r="AW1070" s="80" t="str">
        <f>IF(AB1070=1,INT(B1070)*1440+Z1070,"")</f>
        <v/>
      </c>
      <c r="AX1070" s="80" t="str">
        <f>IF(AB1070=1,AW1070+AD1070,"")</f>
        <v/>
      </c>
      <c r="AY1070" s="80">
        <f>IF(AND(AB1070=1,AV1070=0,AU1070=1),1,0)</f>
        <v>0</v>
      </c>
      <c r="AZ1070" s="80">
        <f>IF(AY1070=1,COUNTIFS(R_Emp,D1070,R_SAbs,"&lt;"&amp;AX1070,R_EAbs,"&gt;"&amp;AW1070,R_OKey,1)-1,0)</f>
        <v>0</v>
      </c>
      <c r="BA1070" s="80">
        <f>IF(AY1070=1,COUNTIFS(R_Emp,"&lt;&gt;"&amp;D1070,R_SAbs,"&lt;"&amp;AX1070,R_EAbs,"&gt;"&amp;AW1070,R_OKey,1),0)</f>
        <v>0</v>
      </c>
      <c r="BB1070" s="80">
        <f>IF(AND(AB1070=1,D1070="proMX"),IF(AND(MOD(Z1070,CFG_BLK)=0,MOD(AA1070,CFG_BLK)=0,MOD(AG1070,CFG_BLK)=0,AG1070&gt;0),1,0),1)</f>
        <v>1</v>
      </c>
      <c r="BC1070" s="80" t="str">
        <f>IF(Y1070=0,"",IF(NOT(ISNUMBER(B1070)),"Falta fecha o fecha inválida",IF(D1070="","Falta empresa",IF(AND(D1070&lt;&gt;"Malcolm",D1070&lt;&gt;"proMX"),"Empresa inválida",IF(OR(INT(B1070)&lt;CFG_PSTART,INT(B1070)&gt;CFG_PEND),"Fecha fuera del período",IF(OR(NOT(ISNUMBER(Z1070)),NOT(ISNUMBER(AA1070))),"Falta hora inicio/fin o formato inválido",IF(AB1070=0,"Hora inicio = hora fin",IF(AE1070&lt;0,"Descanso inválido",IF(AE1070&gt;=AD1070,"Descanso ≥ duración",IF(AV1070=1,"Registro duplicado",IF(AZ1070&gt;0,"Se superpone con otro registro "&amp;D1070,IF(BB1070=0,"inicio, fin y duración neta deben ser múltiplos de "&amp;CFG_BLK&amp;" min",""))))))))))))</f>
        <v/>
      </c>
      <c r="BD1070" s="80">
        <f>IF(AND(Y1070=1,BC1070=""),1,0)</f>
        <v>0</v>
      </c>
      <c r="BE1070" s="80">
        <f>IF(AND(BD1070=1,AU1070=1),1,0)</f>
        <v>0</v>
      </c>
      <c r="BF1070" s="80" t="str">
        <f>IF(AND(D1070="proMX",BD1070=1),IF(R1070="","Draft",R1070),"")</f>
        <v/>
      </c>
      <c r="BG1070" s="80">
        <f>IF(BD1070=1,ROUND(AG1070/60,6),0)</f>
        <v>0</v>
      </c>
      <c r="BH1070" s="80">
        <f>IF(BE1070=1,ROUND(AG1070/60,6),0)</f>
        <v>0</v>
      </c>
      <c r="BI1070" s="80">
        <f>IF(BE1070=1,ROUND(AP1070/60,6),0)</f>
        <v>0</v>
      </c>
      <c r="BJ1070" s="80">
        <f>IF(BE1070=1,ROUND(AQ1070/60,6),0)</f>
        <v>0</v>
      </c>
      <c r="BK1070" s="80">
        <f>IF(BE1070=1,ROUND((AR1070+AS1070)/60,6),0)</f>
        <v>0</v>
      </c>
      <c r="BL1070" s="80">
        <f>ROUND(BH1070-BK1070,6)</f>
        <v>0</v>
      </c>
      <c r="BM1070" s="80">
        <f>IF(BE1070=1,ROUND(AR1070/60,6),0)</f>
        <v>0</v>
      </c>
      <c r="BN1070" s="80">
        <f>ROUND(BI1070-BM1070,6)</f>
        <v>0</v>
      </c>
      <c r="BO1070" s="80">
        <f>IF(BE1070=1,ROUND(AS1070/60,6),0)</f>
        <v>0</v>
      </c>
      <c r="BP1070" s="80">
        <f>ROUND(BJ1070-BO1070,6)</f>
        <v>0</v>
      </c>
      <c r="BQ1070" s="80">
        <f>IF(BE1070=1,AW1070,0)</f>
        <v>0</v>
      </c>
      <c r="BR1070" s="80">
        <f>IF(BE1070=1,AX1070,0)</f>
        <v>0</v>
      </c>
      <c r="BS1070" s="80">
        <f>IF(AND(BE1070=1,D1070="Malcolm",BA1070&gt;0),MIN(BH1070,SUMPRODUCT((R_Emp="proMX")*(R_EN&gt;0)*((R_EN-(R_EN&gt;BR1070)*(R_EN-BR1070))&gt;(R_SN+(R_SN&lt;BQ1070)*(BQ1070-R_SN)))*((R_EN-(R_EN&gt;BR1070)*(R_EN-BR1070))-(R_SN+(R_SN&lt;BQ1070)*(BQ1070-R_SN))))/60),0)</f>
        <v>0</v>
      </c>
      <c r="BT1070" s="80">
        <f>IF(AND(BE1070=1,D1070="proMX"),ROUND(BI1070*CFG_RATE+BJ1070*CFG_OTRATE,6),0)</f>
        <v>0</v>
      </c>
      <c r="BU1070" s="80">
        <f>IF(AND(BD1070=1,D1070="proMX"),ROUND(AG1070/CFG_BLK,6),0)</f>
        <v>0</v>
      </c>
      <c r="BV1070" s="80" t="str">
        <f>IF(BF1070="Approved",IF(ISNUMBER(T1070),INT(T1070),INT(B1070)),"")</f>
        <v/>
      </c>
      <c r="BW1070" s="80">
        <f>IF(ISNUMBER(B1070),IF(DB_MON="Todos",1,IF(AND(INT(B1070)&gt;=DB_MS,INT(B1070)&lt;=DB_ME),1,0)),0)</f>
        <v>0</v>
      </c>
      <c r="BX1070" s="80">
        <f>IF(DB_PROJ="Todos",1,IF(E1070&amp;""=DB_PROJ&amp;"",1,0))</f>
        <v>1</v>
      </c>
      <c r="BY1070" s="80">
        <f>BW1070*BX1070</f>
        <v>0</v>
      </c>
      <c r="BZ1070" s="80" t="str">
        <f>IF(Y1070=1,F1070&amp;IF(AND(F1070&amp;""&lt;&gt;"",E1070&amp;""&lt;&gt;"")," · ","")&amp;E1070,"")</f>
        <v/>
      </c>
      <c r="CA1070" s="80" t="str">
        <f>IF(AND(BD1070=1,E1070&amp;""&lt;&gt;""),IF(COUNTIFS($E$5:E1069,E1070,$BD$5:BD1069,1)=0,MAX($CA$5:CA1069)+1,""),"")</f>
        <v/>
      </c>
      <c r="CB1070" s="80" t="str">
        <f>IF(AND(BE1070=1,D1070="Malcolm",E1070&amp;""&lt;&gt;""),IF(COUNTIFS($D$5:D1069,"Malcolm",$E$5:E1069,E1070,$BE$5:BE1069,1)=0,MAX($CB$5:CB1069)+1,""),"")</f>
        <v/>
      </c>
      <c r="CC1070" s="80" t="str">
        <f>IF(AND(BD1070=1,D1070="proMX",E1070&amp;""&lt;&gt;""),IF(COUNTIFS($D$5:D1069,"proMX",$E$5:E1069,E1070,$BD$5:BD1069,1)=0,MAX($CC$5:CC1069)+1,""),"")</f>
        <v/>
      </c>
      <c r="CD1070" s="80" t="str">
        <f>IF(AND(BE1070=1,D1070="Malcolm",F1070&amp;""&lt;&gt;""),IF(COUNTIFS($D$5:D1069,"Malcolm",$F$5:F1069,F1070,$BE$5:BE1069,1)=0,MAX($CD$5:CD1069)+1,""),"")</f>
        <v/>
      </c>
      <c r="CE1070" s="80" t="str">
        <f>IF(AND(BD1070=1,D1070="proMX",F1070&amp;""&lt;&gt;""),IF(COUNTIFS($D$5:D1069,"proMX",$F$5:F1069,F1070,$BD$5:BD1069,1)=0,MAX($CE$5:CE1069)+1,""),"")</f>
        <v/>
      </c>
      <c r="CF1070" s="80" t="str">
        <f>IF(AND(D1070="proMX",BD1070=1),IF(OR(BF1070="Draft",BF1070="Submitted",BF1070="Returned",BF1070="Recall Requested"),MAX($CF$5:CF1069)+1,""),"")</f>
        <v/>
      </c>
      <c r="CG1070" s="80">
        <f>IF(BD1070=0,0,IF(D1070="Malcolm",1,MATCH(BF1070,{"Draft","Submitted","Approved","Returned","Recall Requested","Cancelled"},0)+1))</f>
        <v>0</v>
      </c>
      <c r="CH1070" s="80">
        <f>IF(AND(BF1070="Submitted",ISNUMBER(V1070)),IF(V1070&gt;CFG_MAXD,1,0),0)</f>
        <v>0</v>
      </c>
    </row>
    <row r="1071">
      <c r="A1071" s="71" t="str">
        <f>IF(Y1071=1,ROW()-5,"")</f>
        <v/>
      </c>
      <c r="B1071" s="72" t="n"/>
      <c r="C1071" s="71" t="str">
        <f>IF(ISNUMBER(B1071),CHOOSE(WEEKDAY(B1071,2),"Lun","Mar","Mié","Jue","Vie","Sáb","Dom"),"")</f>
        <v/>
      </c>
      <c r="D1071" s="73" t="n"/>
      <c r="E1071" s="74" t="n"/>
      <c r="F1071" s="74" t="n"/>
      <c r="G1071" s="74" t="n"/>
      <c r="H1071" s="75" t="n"/>
      <c r="I1071" s="75" t="n"/>
      <c r="J1071" s="76" t="n"/>
      <c r="K1071" s="77" t="str">
        <f>IF(AB1071=1,ROUND(AG1071/60,4),"")</f>
        <v/>
      </c>
      <c r="L1071" s="77" t="str">
        <f>IF(BD1071=1,ROUND(AP1071/60,4),"")</f>
        <v/>
      </c>
      <c r="M1071" s="77" t="str">
        <f>IF(BD1071=1,ROUND(AQ1071/60,4),"")</f>
        <v/>
      </c>
      <c r="N1071" s="71" t="str">
        <f>IF(AND(D1071="proMX",AB1071=1),ROUND(AG1071/CFG_BLK,2),"")</f>
        <v/>
      </c>
      <c r="O1071" s="77" t="str">
        <f>IF(D1071="proMX",IF(BD1071=1,ROUND(AG1071/60,4),0),"")</f>
        <v/>
      </c>
      <c r="P1071" s="78" t="str">
        <f>IF(Y1071=0,"",IF(BD1071=1,"OK",IF(D1071="proMX","Revisar bloques: ","Revisar: ")&amp;BC1071))</f>
        <v/>
      </c>
      <c r="Q1071" s="78" t="str">
        <f>IF(NOT(ISNUMBER(B1071)),"",IF(COUNTIFS(FER_F,INT(B1071))&gt;0,"Feriado"&amp;IF(AH1071=1," (laborable)"," (no laborable)"),IF(AH1071=1,"Laborable",IF(WEEKDAY(B1071,2)&gt;5,"Fin de semana","No laborable"))))</f>
        <v/>
      </c>
      <c r="R1071" s="73" t="n"/>
      <c r="S1071" s="72" t="n"/>
      <c r="T1071" s="72" t="n"/>
      <c r="U1071" s="74" t="n"/>
      <c r="V1071" s="79" t="str">
        <f>IF(AND(D1071="proMX",OR(R1071="Submitted",R1071="Recall Requested"),ISNUMBER(S1071)),CFG_TODAY-INT(S1071),"")</f>
        <v/>
      </c>
      <c r="W1071" s="78" t="str">
        <f>IF(BD1071=0,"",IF(BA1071&gt;0,"⚠ Se superpone con un registro de la otra empresa",IF(D1071="Malcolm",IF(COUNTA(R1071,S1071,T1071)&gt;0,"Estado/fechas proMX se ignoran en Malcolm",""),IF(BF1071="Cancelled","Cancelado: excluido de totales",IF(R1071="","Sin estado: se trata como Draft",IF(BF1071="Submitted",IF(ISNUMBER(V1071),IF(V1071&gt;CFG_MAXD,"⚠ "&amp;V1071&amp;" días en Submitted (máx. "&amp;CFG_MAXD&amp;")",""),"Falta fecha de envío"),IF(BF1071="Returned","⚠ Devuelto: corregir y reenviar",IF(BF1071="Recall Requested","Retirada solicitada: pendiente",IF(AND(BF1071="Approved",NOT(ISNUMBER(T1071))),"Falta fecha de aprobación",IF(AND(ISNUMBER(S1071),ISNUMBER(T1071),T1071&lt;S1071),"Aprobación anterior al envío","")))))))))</f>
        <v/>
      </c>
      <c r="Y1071" s="80">
        <f>IF(COUNTA(B1071,D1071,E1071,F1071,G1071,H1071,I1071,J1071,R1071,S1071,T1071)&gt;0,1,0)</f>
        <v>0</v>
      </c>
      <c r="Z1071" s="80" t="str">
        <f>IF(AND(ISNUMBER(H1071),H1071&gt;=0,H1071&lt;1),ROUND(H1071*1440,0),"")</f>
        <v/>
      </c>
      <c r="AA1071" s="80" t="str">
        <f>IF(AND(ISNUMBER(I1071),I1071&gt;=0,I1071&lt;1),ROUND(I1071*1440,0),"")</f>
        <v/>
      </c>
      <c r="AB1071" s="80">
        <f>IF(AND(ISNUMBER(B1071),D1071&lt;&gt;"",ISNUMBER(Z1071),ISNUMBER(AA1071)),IF(Z1071=AA1071,0,1),0)</f>
        <v>0</v>
      </c>
      <c r="AC1071" s="80">
        <f>IF(AB1071=1,IF(AA1071&lt;Z1071,1,0),0)</f>
        <v>0</v>
      </c>
      <c r="AD1071" s="80">
        <f>IF(AB1071=1,IF(AC1071=1,1440-Z1071+AA1071,AA1071-Z1071),0)</f>
        <v>0</v>
      </c>
      <c r="AE1071" s="80">
        <f>IF(J1071="",0,IF(ISNUMBER(J1071),J1071,-1))</f>
        <v>0</v>
      </c>
      <c r="AF1071" s="80">
        <f>MIN(MAX(0,AE1071),AD1071)</f>
        <v>0</v>
      </c>
      <c r="AG1071" s="80">
        <f>MAX(0,AD1071-MAX(0,AE1071))</f>
        <v>0</v>
      </c>
      <c r="AH1071" s="80">
        <f>IF(ISNUMBER(B1071),IF(AND(INDEX(CFG_WDAYS,WEEKDAY(INT(B1071),2))="Sí",IF(D1071="proMX",COUNTIFS(FER_F,INT(B1071),FER_NLP,"Sí"),COUNTIFS(FER_F,INT(B1071),FER_NLM,"Sí"))=0),1,0),0)</f>
        <v>0</v>
      </c>
      <c r="AI1071" s="80">
        <f>IF(AC1071=1,IF(AND(INDEX(CFG_WDAYS,WEEKDAY(INT(B1071)+1,2))="Sí",IF(D1071="proMX",COUNTIFS(FER_F,INT(B1071)+1,FER_NLP,"Sí"),COUNTIFS(FER_F,INT(B1071)+1,FER_NLM,"Sí"))=0),1,0),0)</f>
        <v>0</v>
      </c>
      <c r="AJ1071" s="80">
        <f>IF(AC1071=1,1440-Z1071,AD1071)</f>
        <v>0</v>
      </c>
      <c r="AK1071" s="80">
        <f>IF(AND(AB1071=1,AH1071=1),MAX(0,MIN(IF(AC1071=1,1440,AA1071),CFG_WEM)-MAX(Z1071,CFG_WSM)),0)</f>
        <v>0</v>
      </c>
      <c r="AL1071" s="80">
        <f>IF(AND(AC1071=1,AI1071=1),MAX(0,MIN(AA1071,CFG_WEM)-CFG_WSM),0)</f>
        <v>0</v>
      </c>
      <c r="AM1071" s="80">
        <f>AK1071+AL1071</f>
        <v>0</v>
      </c>
      <c r="AN1071" s="80">
        <f>IF(CFG_BRK="Proporcional",IF(AD1071=0,0,AF1071*AM1071/AD1071),IF(CFG_BRK="Extras primero",MIN(AM1071,MAX(0,AF1071-(AD1071-AM1071))),MIN(AF1071,AM1071)))</f>
        <v>0</v>
      </c>
      <c r="AO1071" s="80">
        <f>AF1071-AN1071</f>
        <v>0</v>
      </c>
      <c r="AP1071" s="80">
        <f>AM1071-AN1071</f>
        <v>0</v>
      </c>
      <c r="AQ1071" s="80">
        <f>AD1071-AM1071-AO1071</f>
        <v>0</v>
      </c>
      <c r="AR1071" s="80">
        <f>IF(AM1071=0,0,AK1071-AN1071*AK1071/AM1071)</f>
        <v>0</v>
      </c>
      <c r="AS1071" s="80">
        <f>IF(AD1071-AM1071=0,0,(AJ1071-AK1071)-AO1071*(AJ1071-AK1071)/(AD1071-AM1071))</f>
        <v>0</v>
      </c>
      <c r="AT1071" s="80" t="str">
        <f>IF(AC1071=1,INT(B1071)+1,"")</f>
        <v/>
      </c>
      <c r="AU1071" s="80">
        <f>IF(AND(D1071="proMX",R1071="Cancelled"),0,1)</f>
        <v>1</v>
      </c>
      <c r="AV1071" s="80">
        <f>IF(AND(AB1071=1,AU1071=1),IF(COUNTIFS($D$5:D1070,D1071,$B$5:B1070,B1071,$Z$5:Z1070,Z1071,$AA$5:AA1070,AA1071,$F$5:F1070,F1071&amp;"",$AU$5:AU1070,1)&gt;0,1,0),0)</f>
        <v>0</v>
      </c>
      <c r="AW1071" s="80" t="str">
        <f>IF(AB1071=1,INT(B1071)*1440+Z1071,"")</f>
        <v/>
      </c>
      <c r="AX1071" s="80" t="str">
        <f>IF(AB1071=1,AW1071+AD1071,"")</f>
        <v/>
      </c>
      <c r="AY1071" s="80">
        <f>IF(AND(AB1071=1,AV1071=0,AU1071=1),1,0)</f>
        <v>0</v>
      </c>
      <c r="AZ1071" s="80">
        <f>IF(AY1071=1,COUNTIFS(R_Emp,D1071,R_SAbs,"&lt;"&amp;AX1071,R_EAbs,"&gt;"&amp;AW1071,R_OKey,1)-1,0)</f>
        <v>0</v>
      </c>
      <c r="BA1071" s="80">
        <f>IF(AY1071=1,COUNTIFS(R_Emp,"&lt;&gt;"&amp;D1071,R_SAbs,"&lt;"&amp;AX1071,R_EAbs,"&gt;"&amp;AW1071,R_OKey,1),0)</f>
        <v>0</v>
      </c>
      <c r="BB1071" s="80">
        <f>IF(AND(AB1071=1,D1071="proMX"),IF(AND(MOD(Z1071,CFG_BLK)=0,MOD(AA1071,CFG_BLK)=0,MOD(AG1071,CFG_BLK)=0,AG1071&gt;0),1,0),1)</f>
        <v>1</v>
      </c>
      <c r="BC1071" s="80" t="str">
        <f>IF(Y1071=0,"",IF(NOT(ISNUMBER(B1071)),"Falta fecha o fecha inválida",IF(D1071="","Falta empresa",IF(AND(D1071&lt;&gt;"Malcolm",D1071&lt;&gt;"proMX"),"Empresa inválida",IF(OR(INT(B1071)&lt;CFG_PSTART,INT(B1071)&gt;CFG_PEND),"Fecha fuera del período",IF(OR(NOT(ISNUMBER(Z1071)),NOT(ISNUMBER(AA1071))),"Falta hora inicio/fin o formato inválido",IF(AB1071=0,"Hora inicio = hora fin",IF(AE1071&lt;0,"Descanso inválido",IF(AE1071&gt;=AD1071,"Descanso ≥ duración",IF(AV1071=1,"Registro duplicado",IF(AZ1071&gt;0,"Se superpone con otro registro "&amp;D1071,IF(BB1071=0,"inicio, fin y duración neta deben ser múltiplos de "&amp;CFG_BLK&amp;" min",""))))))))))))</f>
        <v/>
      </c>
      <c r="BD1071" s="80">
        <f>IF(AND(Y1071=1,BC1071=""),1,0)</f>
        <v>0</v>
      </c>
      <c r="BE1071" s="80">
        <f>IF(AND(BD1071=1,AU1071=1),1,0)</f>
        <v>0</v>
      </c>
      <c r="BF1071" s="80" t="str">
        <f>IF(AND(D1071="proMX",BD1071=1),IF(R1071="","Draft",R1071),"")</f>
        <v/>
      </c>
      <c r="BG1071" s="80">
        <f>IF(BD1071=1,ROUND(AG1071/60,6),0)</f>
        <v>0</v>
      </c>
      <c r="BH1071" s="80">
        <f>IF(BE1071=1,ROUND(AG1071/60,6),0)</f>
        <v>0</v>
      </c>
      <c r="BI1071" s="80">
        <f>IF(BE1071=1,ROUND(AP1071/60,6),0)</f>
        <v>0</v>
      </c>
      <c r="BJ1071" s="80">
        <f>IF(BE1071=1,ROUND(AQ1071/60,6),0)</f>
        <v>0</v>
      </c>
      <c r="BK1071" s="80">
        <f>IF(BE1071=1,ROUND((AR1071+AS1071)/60,6),0)</f>
        <v>0</v>
      </c>
      <c r="BL1071" s="80">
        <f>ROUND(BH1071-BK1071,6)</f>
        <v>0</v>
      </c>
      <c r="BM1071" s="80">
        <f>IF(BE1071=1,ROUND(AR1071/60,6),0)</f>
        <v>0</v>
      </c>
      <c r="BN1071" s="80">
        <f>ROUND(BI1071-BM1071,6)</f>
        <v>0</v>
      </c>
      <c r="BO1071" s="80">
        <f>IF(BE1071=1,ROUND(AS1071/60,6),0)</f>
        <v>0</v>
      </c>
      <c r="BP1071" s="80">
        <f>ROUND(BJ1071-BO1071,6)</f>
        <v>0</v>
      </c>
      <c r="BQ1071" s="80">
        <f>IF(BE1071=1,AW1071,0)</f>
        <v>0</v>
      </c>
      <c r="BR1071" s="80">
        <f>IF(BE1071=1,AX1071,0)</f>
        <v>0</v>
      </c>
      <c r="BS1071" s="80">
        <f>IF(AND(BE1071=1,D1071="Malcolm",BA1071&gt;0),MIN(BH1071,SUMPRODUCT((R_Emp="proMX")*(R_EN&gt;0)*((R_EN-(R_EN&gt;BR1071)*(R_EN-BR1071))&gt;(R_SN+(R_SN&lt;BQ1071)*(BQ1071-R_SN)))*((R_EN-(R_EN&gt;BR1071)*(R_EN-BR1071))-(R_SN+(R_SN&lt;BQ1071)*(BQ1071-R_SN))))/60),0)</f>
        <v>0</v>
      </c>
      <c r="BT1071" s="80">
        <f>IF(AND(BE1071=1,D1071="proMX"),ROUND(BI1071*CFG_RATE+BJ1071*CFG_OTRATE,6),0)</f>
        <v>0</v>
      </c>
      <c r="BU1071" s="80">
        <f>IF(AND(BD1071=1,D1071="proMX"),ROUND(AG1071/CFG_BLK,6),0)</f>
        <v>0</v>
      </c>
      <c r="BV1071" s="80" t="str">
        <f>IF(BF1071="Approved",IF(ISNUMBER(T1071),INT(T1071),INT(B1071)),"")</f>
        <v/>
      </c>
      <c r="BW1071" s="80">
        <f>IF(ISNUMBER(B1071),IF(DB_MON="Todos",1,IF(AND(INT(B1071)&gt;=DB_MS,INT(B1071)&lt;=DB_ME),1,0)),0)</f>
        <v>0</v>
      </c>
      <c r="BX1071" s="80">
        <f>IF(DB_PROJ="Todos",1,IF(E1071&amp;""=DB_PROJ&amp;"",1,0))</f>
        <v>1</v>
      </c>
      <c r="BY1071" s="80">
        <f>BW1071*BX1071</f>
        <v>0</v>
      </c>
      <c r="BZ1071" s="80" t="str">
        <f>IF(Y1071=1,F1071&amp;IF(AND(F1071&amp;""&lt;&gt;"",E1071&amp;""&lt;&gt;"")," · ","")&amp;E1071,"")</f>
        <v/>
      </c>
      <c r="CA1071" s="80" t="str">
        <f>IF(AND(BD1071=1,E1071&amp;""&lt;&gt;""),IF(COUNTIFS($E$5:E1070,E1071,$BD$5:BD1070,1)=0,MAX($CA$5:CA1070)+1,""),"")</f>
        <v/>
      </c>
      <c r="CB1071" s="80" t="str">
        <f>IF(AND(BE1071=1,D1071="Malcolm",E1071&amp;""&lt;&gt;""),IF(COUNTIFS($D$5:D1070,"Malcolm",$E$5:E1070,E1071,$BE$5:BE1070,1)=0,MAX($CB$5:CB1070)+1,""),"")</f>
        <v/>
      </c>
      <c r="CC1071" s="80" t="str">
        <f>IF(AND(BD1071=1,D1071="proMX",E1071&amp;""&lt;&gt;""),IF(COUNTIFS($D$5:D1070,"proMX",$E$5:E1070,E1071,$BD$5:BD1070,1)=0,MAX($CC$5:CC1070)+1,""),"")</f>
        <v/>
      </c>
      <c r="CD1071" s="80" t="str">
        <f>IF(AND(BE1071=1,D1071="Malcolm",F1071&amp;""&lt;&gt;""),IF(COUNTIFS($D$5:D1070,"Malcolm",$F$5:F1070,F1071,$BE$5:BE1070,1)=0,MAX($CD$5:CD1070)+1,""),"")</f>
        <v/>
      </c>
      <c r="CE1071" s="80" t="str">
        <f>IF(AND(BD1071=1,D1071="proMX",F1071&amp;""&lt;&gt;""),IF(COUNTIFS($D$5:D1070,"proMX",$F$5:F1070,F1071,$BD$5:BD1070,1)=0,MAX($CE$5:CE1070)+1,""),"")</f>
        <v/>
      </c>
      <c r="CF1071" s="80" t="str">
        <f>IF(AND(D1071="proMX",BD1071=1),IF(OR(BF1071="Draft",BF1071="Submitted",BF1071="Returned",BF1071="Recall Requested"),MAX($CF$5:CF1070)+1,""),"")</f>
        <v/>
      </c>
      <c r="CG1071" s="80">
        <f>IF(BD1071=0,0,IF(D1071="Malcolm",1,MATCH(BF1071,{"Draft","Submitted","Approved","Returned","Recall Requested","Cancelled"},0)+1))</f>
        <v>0</v>
      </c>
      <c r="CH1071" s="80">
        <f>IF(AND(BF1071="Submitted",ISNUMBER(V1071)),IF(V1071&gt;CFG_MAXD,1,0),0)</f>
        <v>0</v>
      </c>
    </row>
    <row r="1072">
      <c r="A1072" s="71" t="str">
        <f>IF(Y1072=1,ROW()-5,"")</f>
        <v/>
      </c>
      <c r="B1072" s="72" t="n"/>
      <c r="C1072" s="71" t="str">
        <f>IF(ISNUMBER(B1072),CHOOSE(WEEKDAY(B1072,2),"Lun","Mar","Mié","Jue","Vie","Sáb","Dom"),"")</f>
        <v/>
      </c>
      <c r="D1072" s="73" t="n"/>
      <c r="E1072" s="74" t="n"/>
      <c r="F1072" s="74" t="n"/>
      <c r="G1072" s="74" t="n"/>
      <c r="H1072" s="75" t="n"/>
      <c r="I1072" s="75" t="n"/>
      <c r="J1072" s="76" t="n"/>
      <c r="K1072" s="77" t="str">
        <f>IF(AB1072=1,ROUND(AG1072/60,4),"")</f>
        <v/>
      </c>
      <c r="L1072" s="77" t="str">
        <f>IF(BD1072=1,ROUND(AP1072/60,4),"")</f>
        <v/>
      </c>
      <c r="M1072" s="77" t="str">
        <f>IF(BD1072=1,ROUND(AQ1072/60,4),"")</f>
        <v/>
      </c>
      <c r="N1072" s="71" t="str">
        <f>IF(AND(D1072="proMX",AB1072=1),ROUND(AG1072/CFG_BLK,2),"")</f>
        <v/>
      </c>
      <c r="O1072" s="77" t="str">
        <f>IF(D1072="proMX",IF(BD1072=1,ROUND(AG1072/60,4),0),"")</f>
        <v/>
      </c>
      <c r="P1072" s="78" t="str">
        <f>IF(Y1072=0,"",IF(BD1072=1,"OK",IF(D1072="proMX","Revisar bloques: ","Revisar: ")&amp;BC1072))</f>
        <v/>
      </c>
      <c r="Q1072" s="78" t="str">
        <f>IF(NOT(ISNUMBER(B1072)),"",IF(COUNTIFS(FER_F,INT(B1072))&gt;0,"Feriado"&amp;IF(AH1072=1," (laborable)"," (no laborable)"),IF(AH1072=1,"Laborable",IF(WEEKDAY(B1072,2)&gt;5,"Fin de semana","No laborable"))))</f>
        <v/>
      </c>
      <c r="R1072" s="73" t="n"/>
      <c r="S1072" s="72" t="n"/>
      <c r="T1072" s="72" t="n"/>
      <c r="U1072" s="74" t="n"/>
      <c r="V1072" s="79" t="str">
        <f>IF(AND(D1072="proMX",OR(R1072="Submitted",R1072="Recall Requested"),ISNUMBER(S1072)),CFG_TODAY-INT(S1072),"")</f>
        <v/>
      </c>
      <c r="W1072" s="78" t="str">
        <f>IF(BD1072=0,"",IF(BA1072&gt;0,"⚠ Se superpone con un registro de la otra empresa",IF(D1072="Malcolm",IF(COUNTA(R1072,S1072,T1072)&gt;0,"Estado/fechas proMX se ignoran en Malcolm",""),IF(BF1072="Cancelled","Cancelado: excluido de totales",IF(R1072="","Sin estado: se trata como Draft",IF(BF1072="Submitted",IF(ISNUMBER(V1072),IF(V1072&gt;CFG_MAXD,"⚠ "&amp;V1072&amp;" días en Submitted (máx. "&amp;CFG_MAXD&amp;")",""),"Falta fecha de envío"),IF(BF1072="Returned","⚠ Devuelto: corregir y reenviar",IF(BF1072="Recall Requested","Retirada solicitada: pendiente",IF(AND(BF1072="Approved",NOT(ISNUMBER(T1072))),"Falta fecha de aprobación",IF(AND(ISNUMBER(S1072),ISNUMBER(T1072),T1072&lt;S1072),"Aprobación anterior al envío","")))))))))</f>
        <v/>
      </c>
      <c r="Y1072" s="80">
        <f>IF(COUNTA(B1072,D1072,E1072,F1072,G1072,H1072,I1072,J1072,R1072,S1072,T1072)&gt;0,1,0)</f>
        <v>0</v>
      </c>
      <c r="Z1072" s="80" t="str">
        <f>IF(AND(ISNUMBER(H1072),H1072&gt;=0,H1072&lt;1),ROUND(H1072*1440,0),"")</f>
        <v/>
      </c>
      <c r="AA1072" s="80" t="str">
        <f>IF(AND(ISNUMBER(I1072),I1072&gt;=0,I1072&lt;1),ROUND(I1072*1440,0),"")</f>
        <v/>
      </c>
      <c r="AB1072" s="80">
        <f>IF(AND(ISNUMBER(B1072),D1072&lt;&gt;"",ISNUMBER(Z1072),ISNUMBER(AA1072)),IF(Z1072=AA1072,0,1),0)</f>
        <v>0</v>
      </c>
      <c r="AC1072" s="80">
        <f>IF(AB1072=1,IF(AA1072&lt;Z1072,1,0),0)</f>
        <v>0</v>
      </c>
      <c r="AD1072" s="80">
        <f>IF(AB1072=1,IF(AC1072=1,1440-Z1072+AA1072,AA1072-Z1072),0)</f>
        <v>0</v>
      </c>
      <c r="AE1072" s="80">
        <f>IF(J1072="",0,IF(ISNUMBER(J1072),J1072,-1))</f>
        <v>0</v>
      </c>
      <c r="AF1072" s="80">
        <f>MIN(MAX(0,AE1072),AD1072)</f>
        <v>0</v>
      </c>
      <c r="AG1072" s="80">
        <f>MAX(0,AD1072-MAX(0,AE1072))</f>
        <v>0</v>
      </c>
      <c r="AH1072" s="80">
        <f>IF(ISNUMBER(B1072),IF(AND(INDEX(CFG_WDAYS,WEEKDAY(INT(B1072),2))="Sí",IF(D1072="proMX",COUNTIFS(FER_F,INT(B1072),FER_NLP,"Sí"),COUNTIFS(FER_F,INT(B1072),FER_NLM,"Sí"))=0),1,0),0)</f>
        <v>0</v>
      </c>
      <c r="AI1072" s="80">
        <f>IF(AC1072=1,IF(AND(INDEX(CFG_WDAYS,WEEKDAY(INT(B1072)+1,2))="Sí",IF(D1072="proMX",COUNTIFS(FER_F,INT(B1072)+1,FER_NLP,"Sí"),COUNTIFS(FER_F,INT(B1072)+1,FER_NLM,"Sí"))=0),1,0),0)</f>
        <v>0</v>
      </c>
      <c r="AJ1072" s="80">
        <f>IF(AC1072=1,1440-Z1072,AD1072)</f>
        <v>0</v>
      </c>
      <c r="AK1072" s="80">
        <f>IF(AND(AB1072=1,AH1072=1),MAX(0,MIN(IF(AC1072=1,1440,AA1072),CFG_WEM)-MAX(Z1072,CFG_WSM)),0)</f>
        <v>0</v>
      </c>
      <c r="AL1072" s="80">
        <f>IF(AND(AC1072=1,AI1072=1),MAX(0,MIN(AA1072,CFG_WEM)-CFG_WSM),0)</f>
        <v>0</v>
      </c>
      <c r="AM1072" s="80">
        <f>AK1072+AL1072</f>
        <v>0</v>
      </c>
      <c r="AN1072" s="80">
        <f>IF(CFG_BRK="Proporcional",IF(AD1072=0,0,AF1072*AM1072/AD1072),IF(CFG_BRK="Extras primero",MIN(AM1072,MAX(0,AF1072-(AD1072-AM1072))),MIN(AF1072,AM1072)))</f>
        <v>0</v>
      </c>
      <c r="AO1072" s="80">
        <f>AF1072-AN1072</f>
        <v>0</v>
      </c>
      <c r="AP1072" s="80">
        <f>AM1072-AN1072</f>
        <v>0</v>
      </c>
      <c r="AQ1072" s="80">
        <f>AD1072-AM1072-AO1072</f>
        <v>0</v>
      </c>
      <c r="AR1072" s="80">
        <f>IF(AM1072=0,0,AK1072-AN1072*AK1072/AM1072)</f>
        <v>0</v>
      </c>
      <c r="AS1072" s="80">
        <f>IF(AD1072-AM1072=0,0,(AJ1072-AK1072)-AO1072*(AJ1072-AK1072)/(AD1072-AM1072))</f>
        <v>0</v>
      </c>
      <c r="AT1072" s="80" t="str">
        <f>IF(AC1072=1,INT(B1072)+1,"")</f>
        <v/>
      </c>
      <c r="AU1072" s="80">
        <f>IF(AND(D1072="proMX",R1072="Cancelled"),0,1)</f>
        <v>1</v>
      </c>
      <c r="AV1072" s="80">
        <f>IF(AND(AB1072=1,AU1072=1),IF(COUNTIFS($D$5:D1071,D1072,$B$5:B1071,B1072,$Z$5:Z1071,Z1072,$AA$5:AA1071,AA1072,$F$5:F1071,F1072&amp;"",$AU$5:AU1071,1)&gt;0,1,0),0)</f>
        <v>0</v>
      </c>
      <c r="AW1072" s="80" t="str">
        <f>IF(AB1072=1,INT(B1072)*1440+Z1072,"")</f>
        <v/>
      </c>
      <c r="AX1072" s="80" t="str">
        <f>IF(AB1072=1,AW1072+AD1072,"")</f>
        <v/>
      </c>
      <c r="AY1072" s="80">
        <f>IF(AND(AB1072=1,AV1072=0,AU1072=1),1,0)</f>
        <v>0</v>
      </c>
      <c r="AZ1072" s="80">
        <f>IF(AY1072=1,COUNTIFS(R_Emp,D1072,R_SAbs,"&lt;"&amp;AX1072,R_EAbs,"&gt;"&amp;AW1072,R_OKey,1)-1,0)</f>
        <v>0</v>
      </c>
      <c r="BA1072" s="80">
        <f>IF(AY1072=1,COUNTIFS(R_Emp,"&lt;&gt;"&amp;D1072,R_SAbs,"&lt;"&amp;AX1072,R_EAbs,"&gt;"&amp;AW1072,R_OKey,1),0)</f>
        <v>0</v>
      </c>
      <c r="BB1072" s="80">
        <f>IF(AND(AB1072=1,D1072="proMX"),IF(AND(MOD(Z1072,CFG_BLK)=0,MOD(AA1072,CFG_BLK)=0,MOD(AG1072,CFG_BLK)=0,AG1072&gt;0),1,0),1)</f>
        <v>1</v>
      </c>
      <c r="BC1072" s="80" t="str">
        <f>IF(Y1072=0,"",IF(NOT(ISNUMBER(B1072)),"Falta fecha o fecha inválida",IF(D1072="","Falta empresa",IF(AND(D1072&lt;&gt;"Malcolm",D1072&lt;&gt;"proMX"),"Empresa inválida",IF(OR(INT(B1072)&lt;CFG_PSTART,INT(B1072)&gt;CFG_PEND),"Fecha fuera del período",IF(OR(NOT(ISNUMBER(Z1072)),NOT(ISNUMBER(AA1072))),"Falta hora inicio/fin o formato inválido",IF(AB1072=0,"Hora inicio = hora fin",IF(AE1072&lt;0,"Descanso inválido",IF(AE1072&gt;=AD1072,"Descanso ≥ duración",IF(AV1072=1,"Registro duplicado",IF(AZ1072&gt;0,"Se superpone con otro registro "&amp;D1072,IF(BB1072=0,"inicio, fin y duración neta deben ser múltiplos de "&amp;CFG_BLK&amp;" min",""))))))))))))</f>
        <v/>
      </c>
      <c r="BD1072" s="80">
        <f>IF(AND(Y1072=1,BC1072=""),1,0)</f>
        <v>0</v>
      </c>
      <c r="BE1072" s="80">
        <f>IF(AND(BD1072=1,AU1072=1),1,0)</f>
        <v>0</v>
      </c>
      <c r="BF1072" s="80" t="str">
        <f>IF(AND(D1072="proMX",BD1072=1),IF(R1072="","Draft",R1072),"")</f>
        <v/>
      </c>
      <c r="BG1072" s="80">
        <f>IF(BD1072=1,ROUND(AG1072/60,6),0)</f>
        <v>0</v>
      </c>
      <c r="BH1072" s="80">
        <f>IF(BE1072=1,ROUND(AG1072/60,6),0)</f>
        <v>0</v>
      </c>
      <c r="BI1072" s="80">
        <f>IF(BE1072=1,ROUND(AP1072/60,6),0)</f>
        <v>0</v>
      </c>
      <c r="BJ1072" s="80">
        <f>IF(BE1072=1,ROUND(AQ1072/60,6),0)</f>
        <v>0</v>
      </c>
      <c r="BK1072" s="80">
        <f>IF(BE1072=1,ROUND((AR1072+AS1072)/60,6),0)</f>
        <v>0</v>
      </c>
      <c r="BL1072" s="80">
        <f>ROUND(BH1072-BK1072,6)</f>
        <v>0</v>
      </c>
      <c r="BM1072" s="80">
        <f>IF(BE1072=1,ROUND(AR1072/60,6),0)</f>
        <v>0</v>
      </c>
      <c r="BN1072" s="80">
        <f>ROUND(BI1072-BM1072,6)</f>
        <v>0</v>
      </c>
      <c r="BO1072" s="80">
        <f>IF(BE1072=1,ROUND(AS1072/60,6),0)</f>
        <v>0</v>
      </c>
      <c r="BP1072" s="80">
        <f>ROUND(BJ1072-BO1072,6)</f>
        <v>0</v>
      </c>
      <c r="BQ1072" s="80">
        <f>IF(BE1072=1,AW1072,0)</f>
        <v>0</v>
      </c>
      <c r="BR1072" s="80">
        <f>IF(BE1072=1,AX1072,0)</f>
        <v>0</v>
      </c>
      <c r="BS1072" s="80">
        <f>IF(AND(BE1072=1,D1072="Malcolm",BA1072&gt;0),MIN(BH1072,SUMPRODUCT((R_Emp="proMX")*(R_EN&gt;0)*((R_EN-(R_EN&gt;BR1072)*(R_EN-BR1072))&gt;(R_SN+(R_SN&lt;BQ1072)*(BQ1072-R_SN)))*((R_EN-(R_EN&gt;BR1072)*(R_EN-BR1072))-(R_SN+(R_SN&lt;BQ1072)*(BQ1072-R_SN))))/60),0)</f>
        <v>0</v>
      </c>
      <c r="BT1072" s="80">
        <f>IF(AND(BE1072=1,D1072="proMX"),ROUND(BI1072*CFG_RATE+BJ1072*CFG_OTRATE,6),0)</f>
        <v>0</v>
      </c>
      <c r="BU1072" s="80">
        <f>IF(AND(BD1072=1,D1072="proMX"),ROUND(AG1072/CFG_BLK,6),0)</f>
        <v>0</v>
      </c>
      <c r="BV1072" s="80" t="str">
        <f>IF(BF1072="Approved",IF(ISNUMBER(T1072),INT(T1072),INT(B1072)),"")</f>
        <v/>
      </c>
      <c r="BW1072" s="80">
        <f>IF(ISNUMBER(B1072),IF(DB_MON="Todos",1,IF(AND(INT(B1072)&gt;=DB_MS,INT(B1072)&lt;=DB_ME),1,0)),0)</f>
        <v>0</v>
      </c>
      <c r="BX1072" s="80">
        <f>IF(DB_PROJ="Todos",1,IF(E1072&amp;""=DB_PROJ&amp;"",1,0))</f>
        <v>1</v>
      </c>
      <c r="BY1072" s="80">
        <f>BW1072*BX1072</f>
        <v>0</v>
      </c>
      <c r="BZ1072" s="80" t="str">
        <f>IF(Y1072=1,F1072&amp;IF(AND(F1072&amp;""&lt;&gt;"",E1072&amp;""&lt;&gt;"")," · ","")&amp;E1072,"")</f>
        <v/>
      </c>
      <c r="CA1072" s="80" t="str">
        <f>IF(AND(BD1072=1,E1072&amp;""&lt;&gt;""),IF(COUNTIFS($E$5:E1071,E1072,$BD$5:BD1071,1)=0,MAX($CA$5:CA1071)+1,""),"")</f>
        <v/>
      </c>
      <c r="CB1072" s="80" t="str">
        <f>IF(AND(BE1072=1,D1072="Malcolm",E1072&amp;""&lt;&gt;""),IF(COUNTIFS($D$5:D1071,"Malcolm",$E$5:E1071,E1072,$BE$5:BE1071,1)=0,MAX($CB$5:CB1071)+1,""),"")</f>
        <v/>
      </c>
      <c r="CC1072" s="80" t="str">
        <f>IF(AND(BD1072=1,D1072="proMX",E1072&amp;""&lt;&gt;""),IF(COUNTIFS($D$5:D1071,"proMX",$E$5:E1071,E1072,$BD$5:BD1071,1)=0,MAX($CC$5:CC1071)+1,""),"")</f>
        <v/>
      </c>
      <c r="CD1072" s="80" t="str">
        <f>IF(AND(BE1072=1,D1072="Malcolm",F1072&amp;""&lt;&gt;""),IF(COUNTIFS($D$5:D1071,"Malcolm",$F$5:F1071,F1072,$BE$5:BE1071,1)=0,MAX($CD$5:CD1071)+1,""),"")</f>
        <v/>
      </c>
      <c r="CE1072" s="80" t="str">
        <f>IF(AND(BD1072=1,D1072="proMX",F1072&amp;""&lt;&gt;""),IF(COUNTIFS($D$5:D1071,"proMX",$F$5:F1071,F1072,$BD$5:BD1071,1)=0,MAX($CE$5:CE1071)+1,""),"")</f>
        <v/>
      </c>
      <c r="CF1072" s="80" t="str">
        <f>IF(AND(D1072="proMX",BD1072=1),IF(OR(BF1072="Draft",BF1072="Submitted",BF1072="Returned",BF1072="Recall Requested"),MAX($CF$5:CF1071)+1,""),"")</f>
        <v/>
      </c>
      <c r="CG1072" s="80">
        <f>IF(BD1072=0,0,IF(D1072="Malcolm",1,MATCH(BF1072,{"Draft","Submitted","Approved","Returned","Recall Requested","Cancelled"},0)+1))</f>
        <v>0</v>
      </c>
      <c r="CH1072" s="80">
        <f>IF(AND(BF1072="Submitted",ISNUMBER(V1072)),IF(V1072&gt;CFG_MAXD,1,0),0)</f>
        <v>0</v>
      </c>
    </row>
    <row r="1073">
      <c r="A1073" s="71" t="str">
        <f>IF(Y1073=1,ROW()-5,"")</f>
        <v/>
      </c>
      <c r="B1073" s="72" t="n"/>
      <c r="C1073" s="71" t="str">
        <f>IF(ISNUMBER(B1073),CHOOSE(WEEKDAY(B1073,2),"Lun","Mar","Mié","Jue","Vie","Sáb","Dom"),"")</f>
        <v/>
      </c>
      <c r="D1073" s="73" t="n"/>
      <c r="E1073" s="74" t="n"/>
      <c r="F1073" s="74" t="n"/>
      <c r="G1073" s="74" t="n"/>
      <c r="H1073" s="75" t="n"/>
      <c r="I1073" s="75" t="n"/>
      <c r="J1073" s="76" t="n"/>
      <c r="K1073" s="77" t="str">
        <f>IF(AB1073=1,ROUND(AG1073/60,4),"")</f>
        <v/>
      </c>
      <c r="L1073" s="77" t="str">
        <f>IF(BD1073=1,ROUND(AP1073/60,4),"")</f>
        <v/>
      </c>
      <c r="M1073" s="77" t="str">
        <f>IF(BD1073=1,ROUND(AQ1073/60,4),"")</f>
        <v/>
      </c>
      <c r="N1073" s="71" t="str">
        <f>IF(AND(D1073="proMX",AB1073=1),ROUND(AG1073/CFG_BLK,2),"")</f>
        <v/>
      </c>
      <c r="O1073" s="77" t="str">
        <f>IF(D1073="proMX",IF(BD1073=1,ROUND(AG1073/60,4),0),"")</f>
        <v/>
      </c>
      <c r="P1073" s="78" t="str">
        <f>IF(Y1073=0,"",IF(BD1073=1,"OK",IF(D1073="proMX","Revisar bloques: ","Revisar: ")&amp;BC1073))</f>
        <v/>
      </c>
      <c r="Q1073" s="78" t="str">
        <f>IF(NOT(ISNUMBER(B1073)),"",IF(COUNTIFS(FER_F,INT(B1073))&gt;0,"Feriado"&amp;IF(AH1073=1," (laborable)"," (no laborable)"),IF(AH1073=1,"Laborable",IF(WEEKDAY(B1073,2)&gt;5,"Fin de semana","No laborable"))))</f>
        <v/>
      </c>
      <c r="R1073" s="73" t="n"/>
      <c r="S1073" s="72" t="n"/>
      <c r="T1073" s="72" t="n"/>
      <c r="U1073" s="74" t="n"/>
      <c r="V1073" s="79" t="str">
        <f>IF(AND(D1073="proMX",OR(R1073="Submitted",R1073="Recall Requested"),ISNUMBER(S1073)),CFG_TODAY-INT(S1073),"")</f>
        <v/>
      </c>
      <c r="W1073" s="78" t="str">
        <f>IF(BD1073=0,"",IF(BA1073&gt;0,"⚠ Se superpone con un registro de la otra empresa",IF(D1073="Malcolm",IF(COUNTA(R1073,S1073,T1073)&gt;0,"Estado/fechas proMX se ignoran en Malcolm",""),IF(BF1073="Cancelled","Cancelado: excluido de totales",IF(R1073="","Sin estado: se trata como Draft",IF(BF1073="Submitted",IF(ISNUMBER(V1073),IF(V1073&gt;CFG_MAXD,"⚠ "&amp;V1073&amp;" días en Submitted (máx. "&amp;CFG_MAXD&amp;")",""),"Falta fecha de envío"),IF(BF1073="Returned","⚠ Devuelto: corregir y reenviar",IF(BF1073="Recall Requested","Retirada solicitada: pendiente",IF(AND(BF1073="Approved",NOT(ISNUMBER(T1073))),"Falta fecha de aprobación",IF(AND(ISNUMBER(S1073),ISNUMBER(T1073),T1073&lt;S1073),"Aprobación anterior al envío","")))))))))</f>
        <v/>
      </c>
      <c r="Y1073" s="80">
        <f>IF(COUNTA(B1073,D1073,E1073,F1073,G1073,H1073,I1073,J1073,R1073,S1073,T1073)&gt;0,1,0)</f>
        <v>0</v>
      </c>
      <c r="Z1073" s="80" t="str">
        <f>IF(AND(ISNUMBER(H1073),H1073&gt;=0,H1073&lt;1),ROUND(H1073*1440,0),"")</f>
        <v/>
      </c>
      <c r="AA1073" s="80" t="str">
        <f>IF(AND(ISNUMBER(I1073),I1073&gt;=0,I1073&lt;1),ROUND(I1073*1440,0),"")</f>
        <v/>
      </c>
      <c r="AB1073" s="80">
        <f>IF(AND(ISNUMBER(B1073),D1073&lt;&gt;"",ISNUMBER(Z1073),ISNUMBER(AA1073)),IF(Z1073=AA1073,0,1),0)</f>
        <v>0</v>
      </c>
      <c r="AC1073" s="80">
        <f>IF(AB1073=1,IF(AA1073&lt;Z1073,1,0),0)</f>
        <v>0</v>
      </c>
      <c r="AD1073" s="80">
        <f>IF(AB1073=1,IF(AC1073=1,1440-Z1073+AA1073,AA1073-Z1073),0)</f>
        <v>0</v>
      </c>
      <c r="AE1073" s="80">
        <f>IF(J1073="",0,IF(ISNUMBER(J1073),J1073,-1))</f>
        <v>0</v>
      </c>
      <c r="AF1073" s="80">
        <f>MIN(MAX(0,AE1073),AD1073)</f>
        <v>0</v>
      </c>
      <c r="AG1073" s="80">
        <f>MAX(0,AD1073-MAX(0,AE1073))</f>
        <v>0</v>
      </c>
      <c r="AH1073" s="80">
        <f>IF(ISNUMBER(B1073),IF(AND(INDEX(CFG_WDAYS,WEEKDAY(INT(B1073),2))="Sí",IF(D1073="proMX",COUNTIFS(FER_F,INT(B1073),FER_NLP,"Sí"),COUNTIFS(FER_F,INT(B1073),FER_NLM,"Sí"))=0),1,0),0)</f>
        <v>0</v>
      </c>
      <c r="AI1073" s="80">
        <f>IF(AC1073=1,IF(AND(INDEX(CFG_WDAYS,WEEKDAY(INT(B1073)+1,2))="Sí",IF(D1073="proMX",COUNTIFS(FER_F,INT(B1073)+1,FER_NLP,"Sí"),COUNTIFS(FER_F,INT(B1073)+1,FER_NLM,"Sí"))=0),1,0),0)</f>
        <v>0</v>
      </c>
      <c r="AJ1073" s="80">
        <f>IF(AC1073=1,1440-Z1073,AD1073)</f>
        <v>0</v>
      </c>
      <c r="AK1073" s="80">
        <f>IF(AND(AB1073=1,AH1073=1),MAX(0,MIN(IF(AC1073=1,1440,AA1073),CFG_WEM)-MAX(Z1073,CFG_WSM)),0)</f>
        <v>0</v>
      </c>
      <c r="AL1073" s="80">
        <f>IF(AND(AC1073=1,AI1073=1),MAX(0,MIN(AA1073,CFG_WEM)-CFG_WSM),0)</f>
        <v>0</v>
      </c>
      <c r="AM1073" s="80">
        <f>AK1073+AL1073</f>
        <v>0</v>
      </c>
      <c r="AN1073" s="80">
        <f>IF(CFG_BRK="Proporcional",IF(AD1073=0,0,AF1073*AM1073/AD1073),IF(CFG_BRK="Extras primero",MIN(AM1073,MAX(0,AF1073-(AD1073-AM1073))),MIN(AF1073,AM1073)))</f>
        <v>0</v>
      </c>
      <c r="AO1073" s="80">
        <f>AF1073-AN1073</f>
        <v>0</v>
      </c>
      <c r="AP1073" s="80">
        <f>AM1073-AN1073</f>
        <v>0</v>
      </c>
      <c r="AQ1073" s="80">
        <f>AD1073-AM1073-AO1073</f>
        <v>0</v>
      </c>
      <c r="AR1073" s="80">
        <f>IF(AM1073=0,0,AK1073-AN1073*AK1073/AM1073)</f>
        <v>0</v>
      </c>
      <c r="AS1073" s="80">
        <f>IF(AD1073-AM1073=0,0,(AJ1073-AK1073)-AO1073*(AJ1073-AK1073)/(AD1073-AM1073))</f>
        <v>0</v>
      </c>
      <c r="AT1073" s="80" t="str">
        <f>IF(AC1073=1,INT(B1073)+1,"")</f>
        <v/>
      </c>
      <c r="AU1073" s="80">
        <f>IF(AND(D1073="proMX",R1073="Cancelled"),0,1)</f>
        <v>1</v>
      </c>
      <c r="AV1073" s="80">
        <f>IF(AND(AB1073=1,AU1073=1),IF(COUNTIFS($D$5:D1072,D1073,$B$5:B1072,B1073,$Z$5:Z1072,Z1073,$AA$5:AA1072,AA1073,$F$5:F1072,F1073&amp;"",$AU$5:AU1072,1)&gt;0,1,0),0)</f>
        <v>0</v>
      </c>
      <c r="AW1073" s="80" t="str">
        <f>IF(AB1073=1,INT(B1073)*1440+Z1073,"")</f>
        <v/>
      </c>
      <c r="AX1073" s="80" t="str">
        <f>IF(AB1073=1,AW1073+AD1073,"")</f>
        <v/>
      </c>
      <c r="AY1073" s="80">
        <f>IF(AND(AB1073=1,AV1073=0,AU1073=1),1,0)</f>
        <v>0</v>
      </c>
      <c r="AZ1073" s="80">
        <f>IF(AY1073=1,COUNTIFS(R_Emp,D1073,R_SAbs,"&lt;"&amp;AX1073,R_EAbs,"&gt;"&amp;AW1073,R_OKey,1)-1,0)</f>
        <v>0</v>
      </c>
      <c r="BA1073" s="80">
        <f>IF(AY1073=1,COUNTIFS(R_Emp,"&lt;&gt;"&amp;D1073,R_SAbs,"&lt;"&amp;AX1073,R_EAbs,"&gt;"&amp;AW1073,R_OKey,1),0)</f>
        <v>0</v>
      </c>
      <c r="BB1073" s="80">
        <f>IF(AND(AB1073=1,D1073="proMX"),IF(AND(MOD(Z1073,CFG_BLK)=0,MOD(AA1073,CFG_BLK)=0,MOD(AG1073,CFG_BLK)=0,AG1073&gt;0),1,0),1)</f>
        <v>1</v>
      </c>
      <c r="BC1073" s="80" t="str">
        <f>IF(Y1073=0,"",IF(NOT(ISNUMBER(B1073)),"Falta fecha o fecha inválida",IF(D1073="","Falta empresa",IF(AND(D1073&lt;&gt;"Malcolm",D1073&lt;&gt;"proMX"),"Empresa inválida",IF(OR(INT(B1073)&lt;CFG_PSTART,INT(B1073)&gt;CFG_PEND),"Fecha fuera del período",IF(OR(NOT(ISNUMBER(Z1073)),NOT(ISNUMBER(AA1073))),"Falta hora inicio/fin o formato inválido",IF(AB1073=0,"Hora inicio = hora fin",IF(AE1073&lt;0,"Descanso inválido",IF(AE1073&gt;=AD1073,"Descanso ≥ duración",IF(AV1073=1,"Registro duplicado",IF(AZ1073&gt;0,"Se superpone con otro registro "&amp;D1073,IF(BB1073=0,"inicio, fin y duración neta deben ser múltiplos de "&amp;CFG_BLK&amp;" min",""))))))))))))</f>
        <v/>
      </c>
      <c r="BD1073" s="80">
        <f>IF(AND(Y1073=1,BC1073=""),1,0)</f>
        <v>0</v>
      </c>
      <c r="BE1073" s="80">
        <f>IF(AND(BD1073=1,AU1073=1),1,0)</f>
        <v>0</v>
      </c>
      <c r="BF1073" s="80" t="str">
        <f>IF(AND(D1073="proMX",BD1073=1),IF(R1073="","Draft",R1073),"")</f>
        <v/>
      </c>
      <c r="BG1073" s="80">
        <f>IF(BD1073=1,ROUND(AG1073/60,6),0)</f>
        <v>0</v>
      </c>
      <c r="BH1073" s="80">
        <f>IF(BE1073=1,ROUND(AG1073/60,6),0)</f>
        <v>0</v>
      </c>
      <c r="BI1073" s="80">
        <f>IF(BE1073=1,ROUND(AP1073/60,6),0)</f>
        <v>0</v>
      </c>
      <c r="BJ1073" s="80">
        <f>IF(BE1073=1,ROUND(AQ1073/60,6),0)</f>
        <v>0</v>
      </c>
      <c r="BK1073" s="80">
        <f>IF(BE1073=1,ROUND((AR1073+AS1073)/60,6),0)</f>
        <v>0</v>
      </c>
      <c r="BL1073" s="80">
        <f>ROUND(BH1073-BK1073,6)</f>
        <v>0</v>
      </c>
      <c r="BM1073" s="80">
        <f>IF(BE1073=1,ROUND(AR1073/60,6),0)</f>
        <v>0</v>
      </c>
      <c r="BN1073" s="80">
        <f>ROUND(BI1073-BM1073,6)</f>
        <v>0</v>
      </c>
      <c r="BO1073" s="80">
        <f>IF(BE1073=1,ROUND(AS1073/60,6),0)</f>
        <v>0</v>
      </c>
      <c r="BP1073" s="80">
        <f>ROUND(BJ1073-BO1073,6)</f>
        <v>0</v>
      </c>
      <c r="BQ1073" s="80">
        <f>IF(BE1073=1,AW1073,0)</f>
        <v>0</v>
      </c>
      <c r="BR1073" s="80">
        <f>IF(BE1073=1,AX1073,0)</f>
        <v>0</v>
      </c>
      <c r="BS1073" s="80">
        <f>IF(AND(BE1073=1,D1073="Malcolm",BA1073&gt;0),MIN(BH1073,SUMPRODUCT((R_Emp="proMX")*(R_EN&gt;0)*((R_EN-(R_EN&gt;BR1073)*(R_EN-BR1073))&gt;(R_SN+(R_SN&lt;BQ1073)*(BQ1073-R_SN)))*((R_EN-(R_EN&gt;BR1073)*(R_EN-BR1073))-(R_SN+(R_SN&lt;BQ1073)*(BQ1073-R_SN))))/60),0)</f>
        <v>0</v>
      </c>
      <c r="BT1073" s="80">
        <f>IF(AND(BE1073=1,D1073="proMX"),ROUND(BI1073*CFG_RATE+BJ1073*CFG_OTRATE,6),0)</f>
        <v>0</v>
      </c>
      <c r="BU1073" s="80">
        <f>IF(AND(BD1073=1,D1073="proMX"),ROUND(AG1073/CFG_BLK,6),0)</f>
        <v>0</v>
      </c>
      <c r="BV1073" s="80" t="str">
        <f>IF(BF1073="Approved",IF(ISNUMBER(T1073),INT(T1073),INT(B1073)),"")</f>
        <v/>
      </c>
      <c r="BW1073" s="80">
        <f>IF(ISNUMBER(B1073),IF(DB_MON="Todos",1,IF(AND(INT(B1073)&gt;=DB_MS,INT(B1073)&lt;=DB_ME),1,0)),0)</f>
        <v>0</v>
      </c>
      <c r="BX1073" s="80">
        <f>IF(DB_PROJ="Todos",1,IF(E1073&amp;""=DB_PROJ&amp;"",1,0))</f>
        <v>1</v>
      </c>
      <c r="BY1073" s="80">
        <f>BW1073*BX1073</f>
        <v>0</v>
      </c>
      <c r="BZ1073" s="80" t="str">
        <f>IF(Y1073=1,F1073&amp;IF(AND(F1073&amp;""&lt;&gt;"",E1073&amp;""&lt;&gt;"")," · ","")&amp;E1073,"")</f>
        <v/>
      </c>
      <c r="CA1073" s="80" t="str">
        <f>IF(AND(BD1073=1,E1073&amp;""&lt;&gt;""),IF(COUNTIFS($E$5:E1072,E1073,$BD$5:BD1072,1)=0,MAX($CA$5:CA1072)+1,""),"")</f>
        <v/>
      </c>
      <c r="CB1073" s="80" t="str">
        <f>IF(AND(BE1073=1,D1073="Malcolm",E1073&amp;""&lt;&gt;""),IF(COUNTIFS($D$5:D1072,"Malcolm",$E$5:E1072,E1073,$BE$5:BE1072,1)=0,MAX($CB$5:CB1072)+1,""),"")</f>
        <v/>
      </c>
      <c r="CC1073" s="80" t="str">
        <f>IF(AND(BD1073=1,D1073="proMX",E1073&amp;""&lt;&gt;""),IF(COUNTIFS($D$5:D1072,"proMX",$E$5:E1072,E1073,$BD$5:BD1072,1)=0,MAX($CC$5:CC1072)+1,""),"")</f>
        <v/>
      </c>
      <c r="CD1073" s="80" t="str">
        <f>IF(AND(BE1073=1,D1073="Malcolm",F1073&amp;""&lt;&gt;""),IF(COUNTIFS($D$5:D1072,"Malcolm",$F$5:F1072,F1073,$BE$5:BE1072,1)=0,MAX($CD$5:CD1072)+1,""),"")</f>
        <v/>
      </c>
      <c r="CE1073" s="80" t="str">
        <f>IF(AND(BD1073=1,D1073="proMX",F1073&amp;""&lt;&gt;""),IF(COUNTIFS($D$5:D1072,"proMX",$F$5:F1072,F1073,$BD$5:BD1072,1)=0,MAX($CE$5:CE1072)+1,""),"")</f>
        <v/>
      </c>
      <c r="CF1073" s="80" t="str">
        <f>IF(AND(D1073="proMX",BD1073=1),IF(OR(BF1073="Draft",BF1073="Submitted",BF1073="Returned",BF1073="Recall Requested"),MAX($CF$5:CF1072)+1,""),"")</f>
        <v/>
      </c>
      <c r="CG1073" s="80">
        <f>IF(BD1073=0,0,IF(D1073="Malcolm",1,MATCH(BF1073,{"Draft","Submitted","Approved","Returned","Recall Requested","Cancelled"},0)+1))</f>
        <v>0</v>
      </c>
      <c r="CH1073" s="80">
        <f>IF(AND(BF1073="Submitted",ISNUMBER(V1073)),IF(V1073&gt;CFG_MAXD,1,0),0)</f>
        <v>0</v>
      </c>
    </row>
    <row r="1074">
      <c r="A1074" s="71" t="str">
        <f>IF(Y1074=1,ROW()-5,"")</f>
        <v/>
      </c>
      <c r="B1074" s="72" t="n"/>
      <c r="C1074" s="71" t="str">
        <f>IF(ISNUMBER(B1074),CHOOSE(WEEKDAY(B1074,2),"Lun","Mar","Mié","Jue","Vie","Sáb","Dom"),"")</f>
        <v/>
      </c>
      <c r="D1074" s="73" t="n"/>
      <c r="E1074" s="74" t="n"/>
      <c r="F1074" s="74" t="n"/>
      <c r="G1074" s="74" t="n"/>
      <c r="H1074" s="75" t="n"/>
      <c r="I1074" s="75" t="n"/>
      <c r="J1074" s="76" t="n"/>
      <c r="K1074" s="77" t="str">
        <f>IF(AB1074=1,ROUND(AG1074/60,4),"")</f>
        <v/>
      </c>
      <c r="L1074" s="77" t="str">
        <f>IF(BD1074=1,ROUND(AP1074/60,4),"")</f>
        <v/>
      </c>
      <c r="M1074" s="77" t="str">
        <f>IF(BD1074=1,ROUND(AQ1074/60,4),"")</f>
        <v/>
      </c>
      <c r="N1074" s="71" t="str">
        <f>IF(AND(D1074="proMX",AB1074=1),ROUND(AG1074/CFG_BLK,2),"")</f>
        <v/>
      </c>
      <c r="O1074" s="77" t="str">
        <f>IF(D1074="proMX",IF(BD1074=1,ROUND(AG1074/60,4),0),"")</f>
        <v/>
      </c>
      <c r="P1074" s="78" t="str">
        <f>IF(Y1074=0,"",IF(BD1074=1,"OK",IF(D1074="proMX","Revisar bloques: ","Revisar: ")&amp;BC1074))</f>
        <v/>
      </c>
      <c r="Q1074" s="78" t="str">
        <f>IF(NOT(ISNUMBER(B1074)),"",IF(COUNTIFS(FER_F,INT(B1074))&gt;0,"Feriado"&amp;IF(AH1074=1," (laborable)"," (no laborable)"),IF(AH1074=1,"Laborable",IF(WEEKDAY(B1074,2)&gt;5,"Fin de semana","No laborable"))))</f>
        <v/>
      </c>
      <c r="R1074" s="73" t="n"/>
      <c r="S1074" s="72" t="n"/>
      <c r="T1074" s="72" t="n"/>
      <c r="U1074" s="74" t="n"/>
      <c r="V1074" s="79" t="str">
        <f>IF(AND(D1074="proMX",OR(R1074="Submitted",R1074="Recall Requested"),ISNUMBER(S1074)),CFG_TODAY-INT(S1074),"")</f>
        <v/>
      </c>
      <c r="W1074" s="78" t="str">
        <f>IF(BD1074=0,"",IF(BA1074&gt;0,"⚠ Se superpone con un registro de la otra empresa",IF(D1074="Malcolm",IF(COUNTA(R1074,S1074,T1074)&gt;0,"Estado/fechas proMX se ignoran en Malcolm",""),IF(BF1074="Cancelled","Cancelado: excluido de totales",IF(R1074="","Sin estado: se trata como Draft",IF(BF1074="Submitted",IF(ISNUMBER(V1074),IF(V1074&gt;CFG_MAXD,"⚠ "&amp;V1074&amp;" días en Submitted (máx. "&amp;CFG_MAXD&amp;")",""),"Falta fecha de envío"),IF(BF1074="Returned","⚠ Devuelto: corregir y reenviar",IF(BF1074="Recall Requested","Retirada solicitada: pendiente",IF(AND(BF1074="Approved",NOT(ISNUMBER(T1074))),"Falta fecha de aprobación",IF(AND(ISNUMBER(S1074),ISNUMBER(T1074),T1074&lt;S1074),"Aprobación anterior al envío","")))))))))</f>
        <v/>
      </c>
      <c r="Y1074" s="80">
        <f>IF(COUNTA(B1074,D1074,E1074,F1074,G1074,H1074,I1074,J1074,R1074,S1074,T1074)&gt;0,1,0)</f>
        <v>0</v>
      </c>
      <c r="Z1074" s="80" t="str">
        <f>IF(AND(ISNUMBER(H1074),H1074&gt;=0,H1074&lt;1),ROUND(H1074*1440,0),"")</f>
        <v/>
      </c>
      <c r="AA1074" s="80" t="str">
        <f>IF(AND(ISNUMBER(I1074),I1074&gt;=0,I1074&lt;1),ROUND(I1074*1440,0),"")</f>
        <v/>
      </c>
      <c r="AB1074" s="80">
        <f>IF(AND(ISNUMBER(B1074),D1074&lt;&gt;"",ISNUMBER(Z1074),ISNUMBER(AA1074)),IF(Z1074=AA1074,0,1),0)</f>
        <v>0</v>
      </c>
      <c r="AC1074" s="80">
        <f>IF(AB1074=1,IF(AA1074&lt;Z1074,1,0),0)</f>
        <v>0</v>
      </c>
      <c r="AD1074" s="80">
        <f>IF(AB1074=1,IF(AC1074=1,1440-Z1074+AA1074,AA1074-Z1074),0)</f>
        <v>0</v>
      </c>
      <c r="AE1074" s="80">
        <f>IF(J1074="",0,IF(ISNUMBER(J1074),J1074,-1))</f>
        <v>0</v>
      </c>
      <c r="AF1074" s="80">
        <f>MIN(MAX(0,AE1074),AD1074)</f>
        <v>0</v>
      </c>
      <c r="AG1074" s="80">
        <f>MAX(0,AD1074-MAX(0,AE1074))</f>
        <v>0</v>
      </c>
      <c r="AH1074" s="80">
        <f>IF(ISNUMBER(B1074),IF(AND(INDEX(CFG_WDAYS,WEEKDAY(INT(B1074),2))="Sí",IF(D1074="proMX",COUNTIFS(FER_F,INT(B1074),FER_NLP,"Sí"),COUNTIFS(FER_F,INT(B1074),FER_NLM,"Sí"))=0),1,0),0)</f>
        <v>0</v>
      </c>
      <c r="AI1074" s="80">
        <f>IF(AC1074=1,IF(AND(INDEX(CFG_WDAYS,WEEKDAY(INT(B1074)+1,2))="Sí",IF(D1074="proMX",COUNTIFS(FER_F,INT(B1074)+1,FER_NLP,"Sí"),COUNTIFS(FER_F,INT(B1074)+1,FER_NLM,"Sí"))=0),1,0),0)</f>
        <v>0</v>
      </c>
      <c r="AJ1074" s="80">
        <f>IF(AC1074=1,1440-Z1074,AD1074)</f>
        <v>0</v>
      </c>
      <c r="AK1074" s="80">
        <f>IF(AND(AB1074=1,AH1074=1),MAX(0,MIN(IF(AC1074=1,1440,AA1074),CFG_WEM)-MAX(Z1074,CFG_WSM)),0)</f>
        <v>0</v>
      </c>
      <c r="AL1074" s="80">
        <f>IF(AND(AC1074=1,AI1074=1),MAX(0,MIN(AA1074,CFG_WEM)-CFG_WSM),0)</f>
        <v>0</v>
      </c>
      <c r="AM1074" s="80">
        <f>AK1074+AL1074</f>
        <v>0</v>
      </c>
      <c r="AN1074" s="80">
        <f>IF(CFG_BRK="Proporcional",IF(AD1074=0,0,AF1074*AM1074/AD1074),IF(CFG_BRK="Extras primero",MIN(AM1074,MAX(0,AF1074-(AD1074-AM1074))),MIN(AF1074,AM1074)))</f>
        <v>0</v>
      </c>
      <c r="AO1074" s="80">
        <f>AF1074-AN1074</f>
        <v>0</v>
      </c>
      <c r="AP1074" s="80">
        <f>AM1074-AN1074</f>
        <v>0</v>
      </c>
      <c r="AQ1074" s="80">
        <f>AD1074-AM1074-AO1074</f>
        <v>0</v>
      </c>
      <c r="AR1074" s="80">
        <f>IF(AM1074=0,0,AK1074-AN1074*AK1074/AM1074)</f>
        <v>0</v>
      </c>
      <c r="AS1074" s="80">
        <f>IF(AD1074-AM1074=0,0,(AJ1074-AK1074)-AO1074*(AJ1074-AK1074)/(AD1074-AM1074))</f>
        <v>0</v>
      </c>
      <c r="AT1074" s="80" t="str">
        <f>IF(AC1074=1,INT(B1074)+1,"")</f>
        <v/>
      </c>
      <c r="AU1074" s="80">
        <f>IF(AND(D1074="proMX",R1074="Cancelled"),0,1)</f>
        <v>1</v>
      </c>
      <c r="AV1074" s="80">
        <f>IF(AND(AB1074=1,AU1074=1),IF(COUNTIFS($D$5:D1073,D1074,$B$5:B1073,B1074,$Z$5:Z1073,Z1074,$AA$5:AA1073,AA1074,$F$5:F1073,F1074&amp;"",$AU$5:AU1073,1)&gt;0,1,0),0)</f>
        <v>0</v>
      </c>
      <c r="AW1074" s="80" t="str">
        <f>IF(AB1074=1,INT(B1074)*1440+Z1074,"")</f>
        <v/>
      </c>
      <c r="AX1074" s="80" t="str">
        <f>IF(AB1074=1,AW1074+AD1074,"")</f>
        <v/>
      </c>
      <c r="AY1074" s="80">
        <f>IF(AND(AB1074=1,AV1074=0,AU1074=1),1,0)</f>
        <v>0</v>
      </c>
      <c r="AZ1074" s="80">
        <f>IF(AY1074=1,COUNTIFS(R_Emp,D1074,R_SAbs,"&lt;"&amp;AX1074,R_EAbs,"&gt;"&amp;AW1074,R_OKey,1)-1,0)</f>
        <v>0</v>
      </c>
      <c r="BA1074" s="80">
        <f>IF(AY1074=1,COUNTIFS(R_Emp,"&lt;&gt;"&amp;D1074,R_SAbs,"&lt;"&amp;AX1074,R_EAbs,"&gt;"&amp;AW1074,R_OKey,1),0)</f>
        <v>0</v>
      </c>
      <c r="BB1074" s="80">
        <f>IF(AND(AB1074=1,D1074="proMX"),IF(AND(MOD(Z1074,CFG_BLK)=0,MOD(AA1074,CFG_BLK)=0,MOD(AG1074,CFG_BLK)=0,AG1074&gt;0),1,0),1)</f>
        <v>1</v>
      </c>
      <c r="BC1074" s="80" t="str">
        <f>IF(Y1074=0,"",IF(NOT(ISNUMBER(B1074)),"Falta fecha o fecha inválida",IF(D1074="","Falta empresa",IF(AND(D1074&lt;&gt;"Malcolm",D1074&lt;&gt;"proMX"),"Empresa inválida",IF(OR(INT(B1074)&lt;CFG_PSTART,INT(B1074)&gt;CFG_PEND),"Fecha fuera del período",IF(OR(NOT(ISNUMBER(Z1074)),NOT(ISNUMBER(AA1074))),"Falta hora inicio/fin o formato inválido",IF(AB1074=0,"Hora inicio = hora fin",IF(AE1074&lt;0,"Descanso inválido",IF(AE1074&gt;=AD1074,"Descanso ≥ duración",IF(AV1074=1,"Registro duplicado",IF(AZ1074&gt;0,"Se superpone con otro registro "&amp;D1074,IF(BB1074=0,"inicio, fin y duración neta deben ser múltiplos de "&amp;CFG_BLK&amp;" min",""))))))))))))</f>
        <v/>
      </c>
      <c r="BD1074" s="80">
        <f>IF(AND(Y1074=1,BC1074=""),1,0)</f>
        <v>0</v>
      </c>
      <c r="BE1074" s="80">
        <f>IF(AND(BD1074=1,AU1074=1),1,0)</f>
        <v>0</v>
      </c>
      <c r="BF1074" s="80" t="str">
        <f>IF(AND(D1074="proMX",BD1074=1),IF(R1074="","Draft",R1074),"")</f>
        <v/>
      </c>
      <c r="BG1074" s="80">
        <f>IF(BD1074=1,ROUND(AG1074/60,6),0)</f>
        <v>0</v>
      </c>
      <c r="BH1074" s="80">
        <f>IF(BE1074=1,ROUND(AG1074/60,6),0)</f>
        <v>0</v>
      </c>
      <c r="BI1074" s="80">
        <f>IF(BE1074=1,ROUND(AP1074/60,6),0)</f>
        <v>0</v>
      </c>
      <c r="BJ1074" s="80">
        <f>IF(BE1074=1,ROUND(AQ1074/60,6),0)</f>
        <v>0</v>
      </c>
      <c r="BK1074" s="80">
        <f>IF(BE1074=1,ROUND((AR1074+AS1074)/60,6),0)</f>
        <v>0</v>
      </c>
      <c r="BL1074" s="80">
        <f>ROUND(BH1074-BK1074,6)</f>
        <v>0</v>
      </c>
      <c r="BM1074" s="80">
        <f>IF(BE1074=1,ROUND(AR1074/60,6),0)</f>
        <v>0</v>
      </c>
      <c r="BN1074" s="80">
        <f>ROUND(BI1074-BM1074,6)</f>
        <v>0</v>
      </c>
      <c r="BO1074" s="80">
        <f>IF(BE1074=1,ROUND(AS1074/60,6),0)</f>
        <v>0</v>
      </c>
      <c r="BP1074" s="80">
        <f>ROUND(BJ1074-BO1074,6)</f>
        <v>0</v>
      </c>
      <c r="BQ1074" s="80">
        <f>IF(BE1074=1,AW1074,0)</f>
        <v>0</v>
      </c>
      <c r="BR1074" s="80">
        <f>IF(BE1074=1,AX1074,0)</f>
        <v>0</v>
      </c>
      <c r="BS1074" s="80">
        <f>IF(AND(BE1074=1,D1074="Malcolm",BA1074&gt;0),MIN(BH1074,SUMPRODUCT((R_Emp="proMX")*(R_EN&gt;0)*((R_EN-(R_EN&gt;BR1074)*(R_EN-BR1074))&gt;(R_SN+(R_SN&lt;BQ1074)*(BQ1074-R_SN)))*((R_EN-(R_EN&gt;BR1074)*(R_EN-BR1074))-(R_SN+(R_SN&lt;BQ1074)*(BQ1074-R_SN))))/60),0)</f>
        <v>0</v>
      </c>
      <c r="BT1074" s="80">
        <f>IF(AND(BE1074=1,D1074="proMX"),ROUND(BI1074*CFG_RATE+BJ1074*CFG_OTRATE,6),0)</f>
        <v>0</v>
      </c>
      <c r="BU1074" s="80">
        <f>IF(AND(BD1074=1,D1074="proMX"),ROUND(AG1074/CFG_BLK,6),0)</f>
        <v>0</v>
      </c>
      <c r="BV1074" s="80" t="str">
        <f>IF(BF1074="Approved",IF(ISNUMBER(T1074),INT(T1074),INT(B1074)),"")</f>
        <v/>
      </c>
      <c r="BW1074" s="80">
        <f>IF(ISNUMBER(B1074),IF(DB_MON="Todos",1,IF(AND(INT(B1074)&gt;=DB_MS,INT(B1074)&lt;=DB_ME),1,0)),0)</f>
        <v>0</v>
      </c>
      <c r="BX1074" s="80">
        <f>IF(DB_PROJ="Todos",1,IF(E1074&amp;""=DB_PROJ&amp;"",1,0))</f>
        <v>1</v>
      </c>
      <c r="BY1074" s="80">
        <f>BW1074*BX1074</f>
        <v>0</v>
      </c>
      <c r="BZ1074" s="80" t="str">
        <f>IF(Y1074=1,F1074&amp;IF(AND(F1074&amp;""&lt;&gt;"",E1074&amp;""&lt;&gt;"")," · ","")&amp;E1074,"")</f>
        <v/>
      </c>
      <c r="CA1074" s="80" t="str">
        <f>IF(AND(BD1074=1,E1074&amp;""&lt;&gt;""),IF(COUNTIFS($E$5:E1073,E1074,$BD$5:BD1073,1)=0,MAX($CA$5:CA1073)+1,""),"")</f>
        <v/>
      </c>
      <c r="CB1074" s="80" t="str">
        <f>IF(AND(BE1074=1,D1074="Malcolm",E1074&amp;""&lt;&gt;""),IF(COUNTIFS($D$5:D1073,"Malcolm",$E$5:E1073,E1074,$BE$5:BE1073,1)=0,MAX($CB$5:CB1073)+1,""),"")</f>
        <v/>
      </c>
      <c r="CC1074" s="80" t="str">
        <f>IF(AND(BD1074=1,D1074="proMX",E1074&amp;""&lt;&gt;""),IF(COUNTIFS($D$5:D1073,"proMX",$E$5:E1073,E1074,$BD$5:BD1073,1)=0,MAX($CC$5:CC1073)+1,""),"")</f>
        <v/>
      </c>
      <c r="CD1074" s="80" t="str">
        <f>IF(AND(BE1074=1,D1074="Malcolm",F1074&amp;""&lt;&gt;""),IF(COUNTIFS($D$5:D1073,"Malcolm",$F$5:F1073,F1074,$BE$5:BE1073,1)=0,MAX($CD$5:CD1073)+1,""),"")</f>
        <v/>
      </c>
      <c r="CE1074" s="80" t="str">
        <f>IF(AND(BD1074=1,D1074="proMX",F1074&amp;""&lt;&gt;""),IF(COUNTIFS($D$5:D1073,"proMX",$F$5:F1073,F1074,$BD$5:BD1073,1)=0,MAX($CE$5:CE1073)+1,""),"")</f>
        <v/>
      </c>
      <c r="CF1074" s="80" t="str">
        <f>IF(AND(D1074="proMX",BD1074=1),IF(OR(BF1074="Draft",BF1074="Submitted",BF1074="Returned",BF1074="Recall Requested"),MAX($CF$5:CF1073)+1,""),"")</f>
        <v/>
      </c>
      <c r="CG1074" s="80">
        <f>IF(BD1074=0,0,IF(D1074="Malcolm",1,MATCH(BF1074,{"Draft","Submitted","Approved","Returned","Recall Requested","Cancelled"},0)+1))</f>
        <v>0</v>
      </c>
      <c r="CH1074" s="80">
        <f>IF(AND(BF1074="Submitted",ISNUMBER(V1074)),IF(V1074&gt;CFG_MAXD,1,0),0)</f>
        <v>0</v>
      </c>
    </row>
    <row r="1075">
      <c r="A1075" s="71" t="str">
        <f>IF(Y1075=1,ROW()-5,"")</f>
        <v/>
      </c>
      <c r="B1075" s="72" t="n"/>
      <c r="C1075" s="71" t="str">
        <f>IF(ISNUMBER(B1075),CHOOSE(WEEKDAY(B1075,2),"Lun","Mar","Mié","Jue","Vie","Sáb","Dom"),"")</f>
        <v/>
      </c>
      <c r="D1075" s="73" t="n"/>
      <c r="E1075" s="74" t="n"/>
      <c r="F1075" s="74" t="n"/>
      <c r="G1075" s="74" t="n"/>
      <c r="H1075" s="75" t="n"/>
      <c r="I1075" s="75" t="n"/>
      <c r="J1075" s="76" t="n"/>
      <c r="K1075" s="77" t="str">
        <f>IF(AB1075=1,ROUND(AG1075/60,4),"")</f>
        <v/>
      </c>
      <c r="L1075" s="77" t="str">
        <f>IF(BD1075=1,ROUND(AP1075/60,4),"")</f>
        <v/>
      </c>
      <c r="M1075" s="77" t="str">
        <f>IF(BD1075=1,ROUND(AQ1075/60,4),"")</f>
        <v/>
      </c>
      <c r="N1075" s="71" t="str">
        <f>IF(AND(D1075="proMX",AB1075=1),ROUND(AG1075/CFG_BLK,2),"")</f>
        <v/>
      </c>
      <c r="O1075" s="77" t="str">
        <f>IF(D1075="proMX",IF(BD1075=1,ROUND(AG1075/60,4),0),"")</f>
        <v/>
      </c>
      <c r="P1075" s="78" t="str">
        <f>IF(Y1075=0,"",IF(BD1075=1,"OK",IF(D1075="proMX","Revisar bloques: ","Revisar: ")&amp;BC1075))</f>
        <v/>
      </c>
      <c r="Q1075" s="78" t="str">
        <f>IF(NOT(ISNUMBER(B1075)),"",IF(COUNTIFS(FER_F,INT(B1075))&gt;0,"Feriado"&amp;IF(AH1075=1," (laborable)"," (no laborable)"),IF(AH1075=1,"Laborable",IF(WEEKDAY(B1075,2)&gt;5,"Fin de semana","No laborable"))))</f>
        <v/>
      </c>
      <c r="R1075" s="73" t="n"/>
      <c r="S1075" s="72" t="n"/>
      <c r="T1075" s="72" t="n"/>
      <c r="U1075" s="74" t="n"/>
      <c r="V1075" s="79" t="str">
        <f>IF(AND(D1075="proMX",OR(R1075="Submitted",R1075="Recall Requested"),ISNUMBER(S1075)),CFG_TODAY-INT(S1075),"")</f>
        <v/>
      </c>
      <c r="W1075" s="78" t="str">
        <f>IF(BD1075=0,"",IF(BA1075&gt;0,"⚠ Se superpone con un registro de la otra empresa",IF(D1075="Malcolm",IF(COUNTA(R1075,S1075,T1075)&gt;0,"Estado/fechas proMX se ignoran en Malcolm",""),IF(BF1075="Cancelled","Cancelado: excluido de totales",IF(R1075="","Sin estado: se trata como Draft",IF(BF1075="Submitted",IF(ISNUMBER(V1075),IF(V1075&gt;CFG_MAXD,"⚠ "&amp;V1075&amp;" días en Submitted (máx. "&amp;CFG_MAXD&amp;")",""),"Falta fecha de envío"),IF(BF1075="Returned","⚠ Devuelto: corregir y reenviar",IF(BF1075="Recall Requested","Retirada solicitada: pendiente",IF(AND(BF1075="Approved",NOT(ISNUMBER(T1075))),"Falta fecha de aprobación",IF(AND(ISNUMBER(S1075),ISNUMBER(T1075),T1075&lt;S1075),"Aprobación anterior al envío","")))))))))</f>
        <v/>
      </c>
      <c r="Y1075" s="80">
        <f>IF(COUNTA(B1075,D1075,E1075,F1075,G1075,H1075,I1075,J1075,R1075,S1075,T1075)&gt;0,1,0)</f>
        <v>0</v>
      </c>
      <c r="Z1075" s="80" t="str">
        <f>IF(AND(ISNUMBER(H1075),H1075&gt;=0,H1075&lt;1),ROUND(H1075*1440,0),"")</f>
        <v/>
      </c>
      <c r="AA1075" s="80" t="str">
        <f>IF(AND(ISNUMBER(I1075),I1075&gt;=0,I1075&lt;1),ROUND(I1075*1440,0),"")</f>
        <v/>
      </c>
      <c r="AB1075" s="80">
        <f>IF(AND(ISNUMBER(B1075),D1075&lt;&gt;"",ISNUMBER(Z1075),ISNUMBER(AA1075)),IF(Z1075=AA1075,0,1),0)</f>
        <v>0</v>
      </c>
      <c r="AC1075" s="80">
        <f>IF(AB1075=1,IF(AA1075&lt;Z1075,1,0),0)</f>
        <v>0</v>
      </c>
      <c r="AD1075" s="80">
        <f>IF(AB1075=1,IF(AC1075=1,1440-Z1075+AA1075,AA1075-Z1075),0)</f>
        <v>0</v>
      </c>
      <c r="AE1075" s="80">
        <f>IF(J1075="",0,IF(ISNUMBER(J1075),J1075,-1))</f>
        <v>0</v>
      </c>
      <c r="AF1075" s="80">
        <f>MIN(MAX(0,AE1075),AD1075)</f>
        <v>0</v>
      </c>
      <c r="AG1075" s="80">
        <f>MAX(0,AD1075-MAX(0,AE1075))</f>
        <v>0</v>
      </c>
      <c r="AH1075" s="80">
        <f>IF(ISNUMBER(B1075),IF(AND(INDEX(CFG_WDAYS,WEEKDAY(INT(B1075),2))="Sí",IF(D1075="proMX",COUNTIFS(FER_F,INT(B1075),FER_NLP,"Sí"),COUNTIFS(FER_F,INT(B1075),FER_NLM,"Sí"))=0),1,0),0)</f>
        <v>0</v>
      </c>
      <c r="AI1075" s="80">
        <f>IF(AC1075=1,IF(AND(INDEX(CFG_WDAYS,WEEKDAY(INT(B1075)+1,2))="Sí",IF(D1075="proMX",COUNTIFS(FER_F,INT(B1075)+1,FER_NLP,"Sí"),COUNTIFS(FER_F,INT(B1075)+1,FER_NLM,"Sí"))=0),1,0),0)</f>
        <v>0</v>
      </c>
      <c r="AJ1075" s="80">
        <f>IF(AC1075=1,1440-Z1075,AD1075)</f>
        <v>0</v>
      </c>
      <c r="AK1075" s="80">
        <f>IF(AND(AB1075=1,AH1075=1),MAX(0,MIN(IF(AC1075=1,1440,AA1075),CFG_WEM)-MAX(Z1075,CFG_WSM)),0)</f>
        <v>0</v>
      </c>
      <c r="AL1075" s="80">
        <f>IF(AND(AC1075=1,AI1075=1),MAX(0,MIN(AA1075,CFG_WEM)-CFG_WSM),0)</f>
        <v>0</v>
      </c>
      <c r="AM1075" s="80">
        <f>AK1075+AL1075</f>
        <v>0</v>
      </c>
      <c r="AN1075" s="80">
        <f>IF(CFG_BRK="Proporcional",IF(AD1075=0,0,AF1075*AM1075/AD1075),IF(CFG_BRK="Extras primero",MIN(AM1075,MAX(0,AF1075-(AD1075-AM1075))),MIN(AF1075,AM1075)))</f>
        <v>0</v>
      </c>
      <c r="AO1075" s="80">
        <f>AF1075-AN1075</f>
        <v>0</v>
      </c>
      <c r="AP1075" s="80">
        <f>AM1075-AN1075</f>
        <v>0</v>
      </c>
      <c r="AQ1075" s="80">
        <f>AD1075-AM1075-AO1075</f>
        <v>0</v>
      </c>
      <c r="AR1075" s="80">
        <f>IF(AM1075=0,0,AK1075-AN1075*AK1075/AM1075)</f>
        <v>0</v>
      </c>
      <c r="AS1075" s="80">
        <f>IF(AD1075-AM1075=0,0,(AJ1075-AK1075)-AO1075*(AJ1075-AK1075)/(AD1075-AM1075))</f>
        <v>0</v>
      </c>
      <c r="AT1075" s="80" t="str">
        <f>IF(AC1075=1,INT(B1075)+1,"")</f>
        <v/>
      </c>
      <c r="AU1075" s="80">
        <f>IF(AND(D1075="proMX",R1075="Cancelled"),0,1)</f>
        <v>1</v>
      </c>
      <c r="AV1075" s="80">
        <f>IF(AND(AB1075=1,AU1075=1),IF(COUNTIFS($D$5:D1074,D1075,$B$5:B1074,B1075,$Z$5:Z1074,Z1075,$AA$5:AA1074,AA1075,$F$5:F1074,F1075&amp;"",$AU$5:AU1074,1)&gt;0,1,0),0)</f>
        <v>0</v>
      </c>
      <c r="AW1075" s="80" t="str">
        <f>IF(AB1075=1,INT(B1075)*1440+Z1075,"")</f>
        <v/>
      </c>
      <c r="AX1075" s="80" t="str">
        <f>IF(AB1075=1,AW1075+AD1075,"")</f>
        <v/>
      </c>
      <c r="AY1075" s="80">
        <f>IF(AND(AB1075=1,AV1075=0,AU1075=1),1,0)</f>
        <v>0</v>
      </c>
      <c r="AZ1075" s="80">
        <f>IF(AY1075=1,COUNTIFS(R_Emp,D1075,R_SAbs,"&lt;"&amp;AX1075,R_EAbs,"&gt;"&amp;AW1075,R_OKey,1)-1,0)</f>
        <v>0</v>
      </c>
      <c r="BA1075" s="80">
        <f>IF(AY1075=1,COUNTIFS(R_Emp,"&lt;&gt;"&amp;D1075,R_SAbs,"&lt;"&amp;AX1075,R_EAbs,"&gt;"&amp;AW1075,R_OKey,1),0)</f>
        <v>0</v>
      </c>
      <c r="BB1075" s="80">
        <f>IF(AND(AB1075=1,D1075="proMX"),IF(AND(MOD(Z1075,CFG_BLK)=0,MOD(AA1075,CFG_BLK)=0,MOD(AG1075,CFG_BLK)=0,AG1075&gt;0),1,0),1)</f>
        <v>1</v>
      </c>
      <c r="BC1075" s="80" t="str">
        <f>IF(Y1075=0,"",IF(NOT(ISNUMBER(B1075)),"Falta fecha o fecha inválida",IF(D1075="","Falta empresa",IF(AND(D1075&lt;&gt;"Malcolm",D1075&lt;&gt;"proMX"),"Empresa inválida",IF(OR(INT(B1075)&lt;CFG_PSTART,INT(B1075)&gt;CFG_PEND),"Fecha fuera del período",IF(OR(NOT(ISNUMBER(Z1075)),NOT(ISNUMBER(AA1075))),"Falta hora inicio/fin o formato inválido",IF(AB1075=0,"Hora inicio = hora fin",IF(AE1075&lt;0,"Descanso inválido",IF(AE1075&gt;=AD1075,"Descanso ≥ duración",IF(AV1075=1,"Registro duplicado",IF(AZ1075&gt;0,"Se superpone con otro registro "&amp;D1075,IF(BB1075=0,"inicio, fin y duración neta deben ser múltiplos de "&amp;CFG_BLK&amp;" min",""))))))))))))</f>
        <v/>
      </c>
      <c r="BD1075" s="80">
        <f>IF(AND(Y1075=1,BC1075=""),1,0)</f>
        <v>0</v>
      </c>
      <c r="BE1075" s="80">
        <f>IF(AND(BD1075=1,AU1075=1),1,0)</f>
        <v>0</v>
      </c>
      <c r="BF1075" s="80" t="str">
        <f>IF(AND(D1075="proMX",BD1075=1),IF(R1075="","Draft",R1075),"")</f>
        <v/>
      </c>
      <c r="BG1075" s="80">
        <f>IF(BD1075=1,ROUND(AG1075/60,6),0)</f>
        <v>0</v>
      </c>
      <c r="BH1075" s="80">
        <f>IF(BE1075=1,ROUND(AG1075/60,6),0)</f>
        <v>0</v>
      </c>
      <c r="BI1075" s="80">
        <f>IF(BE1075=1,ROUND(AP1075/60,6),0)</f>
        <v>0</v>
      </c>
      <c r="BJ1075" s="80">
        <f>IF(BE1075=1,ROUND(AQ1075/60,6),0)</f>
        <v>0</v>
      </c>
      <c r="BK1075" s="80">
        <f>IF(BE1075=1,ROUND((AR1075+AS1075)/60,6),0)</f>
        <v>0</v>
      </c>
      <c r="BL1075" s="80">
        <f>ROUND(BH1075-BK1075,6)</f>
        <v>0</v>
      </c>
      <c r="BM1075" s="80">
        <f>IF(BE1075=1,ROUND(AR1075/60,6),0)</f>
        <v>0</v>
      </c>
      <c r="BN1075" s="80">
        <f>ROUND(BI1075-BM1075,6)</f>
        <v>0</v>
      </c>
      <c r="BO1075" s="80">
        <f>IF(BE1075=1,ROUND(AS1075/60,6),0)</f>
        <v>0</v>
      </c>
      <c r="BP1075" s="80">
        <f>ROUND(BJ1075-BO1075,6)</f>
        <v>0</v>
      </c>
      <c r="BQ1075" s="80">
        <f>IF(BE1075=1,AW1075,0)</f>
        <v>0</v>
      </c>
      <c r="BR1075" s="80">
        <f>IF(BE1075=1,AX1075,0)</f>
        <v>0</v>
      </c>
      <c r="BS1075" s="80">
        <f>IF(AND(BE1075=1,D1075="Malcolm",BA1075&gt;0),MIN(BH1075,SUMPRODUCT((R_Emp="proMX")*(R_EN&gt;0)*((R_EN-(R_EN&gt;BR1075)*(R_EN-BR1075))&gt;(R_SN+(R_SN&lt;BQ1075)*(BQ1075-R_SN)))*((R_EN-(R_EN&gt;BR1075)*(R_EN-BR1075))-(R_SN+(R_SN&lt;BQ1075)*(BQ1075-R_SN))))/60),0)</f>
        <v>0</v>
      </c>
      <c r="BT1075" s="80">
        <f>IF(AND(BE1075=1,D1075="proMX"),ROUND(BI1075*CFG_RATE+BJ1075*CFG_OTRATE,6),0)</f>
        <v>0</v>
      </c>
      <c r="BU1075" s="80">
        <f>IF(AND(BD1075=1,D1075="proMX"),ROUND(AG1075/CFG_BLK,6),0)</f>
        <v>0</v>
      </c>
      <c r="BV1075" s="80" t="str">
        <f>IF(BF1075="Approved",IF(ISNUMBER(T1075),INT(T1075),INT(B1075)),"")</f>
        <v/>
      </c>
      <c r="BW1075" s="80">
        <f>IF(ISNUMBER(B1075),IF(DB_MON="Todos",1,IF(AND(INT(B1075)&gt;=DB_MS,INT(B1075)&lt;=DB_ME),1,0)),0)</f>
        <v>0</v>
      </c>
      <c r="BX1075" s="80">
        <f>IF(DB_PROJ="Todos",1,IF(E1075&amp;""=DB_PROJ&amp;"",1,0))</f>
        <v>1</v>
      </c>
      <c r="BY1075" s="80">
        <f>BW1075*BX1075</f>
        <v>0</v>
      </c>
      <c r="BZ1075" s="80" t="str">
        <f>IF(Y1075=1,F1075&amp;IF(AND(F1075&amp;""&lt;&gt;"",E1075&amp;""&lt;&gt;"")," · ","")&amp;E1075,"")</f>
        <v/>
      </c>
      <c r="CA1075" s="80" t="str">
        <f>IF(AND(BD1075=1,E1075&amp;""&lt;&gt;""),IF(COUNTIFS($E$5:E1074,E1075,$BD$5:BD1074,1)=0,MAX($CA$5:CA1074)+1,""),"")</f>
        <v/>
      </c>
      <c r="CB1075" s="80" t="str">
        <f>IF(AND(BE1075=1,D1075="Malcolm",E1075&amp;""&lt;&gt;""),IF(COUNTIFS($D$5:D1074,"Malcolm",$E$5:E1074,E1075,$BE$5:BE1074,1)=0,MAX($CB$5:CB1074)+1,""),"")</f>
        <v/>
      </c>
      <c r="CC1075" s="80" t="str">
        <f>IF(AND(BD1075=1,D1075="proMX",E1075&amp;""&lt;&gt;""),IF(COUNTIFS($D$5:D1074,"proMX",$E$5:E1074,E1075,$BD$5:BD1074,1)=0,MAX($CC$5:CC1074)+1,""),"")</f>
        <v/>
      </c>
      <c r="CD1075" s="80" t="str">
        <f>IF(AND(BE1075=1,D1075="Malcolm",F1075&amp;""&lt;&gt;""),IF(COUNTIFS($D$5:D1074,"Malcolm",$F$5:F1074,F1075,$BE$5:BE1074,1)=0,MAX($CD$5:CD1074)+1,""),"")</f>
        <v/>
      </c>
      <c r="CE1075" s="80" t="str">
        <f>IF(AND(BD1075=1,D1075="proMX",F1075&amp;""&lt;&gt;""),IF(COUNTIFS($D$5:D1074,"proMX",$F$5:F1074,F1075,$BD$5:BD1074,1)=0,MAX($CE$5:CE1074)+1,""),"")</f>
        <v/>
      </c>
      <c r="CF1075" s="80" t="str">
        <f>IF(AND(D1075="proMX",BD1075=1),IF(OR(BF1075="Draft",BF1075="Submitted",BF1075="Returned",BF1075="Recall Requested"),MAX($CF$5:CF1074)+1,""),"")</f>
        <v/>
      </c>
      <c r="CG1075" s="80">
        <f>IF(BD1075=0,0,IF(D1075="Malcolm",1,MATCH(BF1075,{"Draft","Submitted","Approved","Returned","Recall Requested","Cancelled"},0)+1))</f>
        <v>0</v>
      </c>
      <c r="CH1075" s="80">
        <f>IF(AND(BF1075="Submitted",ISNUMBER(V1075)),IF(V1075&gt;CFG_MAXD,1,0),0)</f>
        <v>0</v>
      </c>
    </row>
    <row r="1076">
      <c r="A1076" s="71" t="str">
        <f>IF(Y1076=1,ROW()-5,"")</f>
        <v/>
      </c>
      <c r="B1076" s="72" t="n"/>
      <c r="C1076" s="71" t="str">
        <f>IF(ISNUMBER(B1076),CHOOSE(WEEKDAY(B1076,2),"Lun","Mar","Mié","Jue","Vie","Sáb","Dom"),"")</f>
        <v/>
      </c>
      <c r="D1076" s="73" t="n"/>
      <c r="E1076" s="74" t="n"/>
      <c r="F1076" s="74" t="n"/>
      <c r="G1076" s="74" t="n"/>
      <c r="H1076" s="75" t="n"/>
      <c r="I1076" s="75" t="n"/>
      <c r="J1076" s="76" t="n"/>
      <c r="K1076" s="77" t="str">
        <f>IF(AB1076=1,ROUND(AG1076/60,4),"")</f>
        <v/>
      </c>
      <c r="L1076" s="77" t="str">
        <f>IF(BD1076=1,ROUND(AP1076/60,4),"")</f>
        <v/>
      </c>
      <c r="M1076" s="77" t="str">
        <f>IF(BD1076=1,ROUND(AQ1076/60,4),"")</f>
        <v/>
      </c>
      <c r="N1076" s="71" t="str">
        <f>IF(AND(D1076="proMX",AB1076=1),ROUND(AG1076/CFG_BLK,2),"")</f>
        <v/>
      </c>
      <c r="O1076" s="77" t="str">
        <f>IF(D1076="proMX",IF(BD1076=1,ROUND(AG1076/60,4),0),"")</f>
        <v/>
      </c>
      <c r="P1076" s="78" t="str">
        <f>IF(Y1076=0,"",IF(BD1076=1,"OK",IF(D1076="proMX","Revisar bloques: ","Revisar: ")&amp;BC1076))</f>
        <v/>
      </c>
      <c r="Q1076" s="78" t="str">
        <f>IF(NOT(ISNUMBER(B1076)),"",IF(COUNTIFS(FER_F,INT(B1076))&gt;0,"Feriado"&amp;IF(AH1076=1," (laborable)"," (no laborable)"),IF(AH1076=1,"Laborable",IF(WEEKDAY(B1076,2)&gt;5,"Fin de semana","No laborable"))))</f>
        <v/>
      </c>
      <c r="R1076" s="73" t="n"/>
      <c r="S1076" s="72" t="n"/>
      <c r="T1076" s="72" t="n"/>
      <c r="U1076" s="74" t="n"/>
      <c r="V1076" s="79" t="str">
        <f>IF(AND(D1076="proMX",OR(R1076="Submitted",R1076="Recall Requested"),ISNUMBER(S1076)),CFG_TODAY-INT(S1076),"")</f>
        <v/>
      </c>
      <c r="W1076" s="78" t="str">
        <f>IF(BD1076=0,"",IF(BA1076&gt;0,"⚠ Se superpone con un registro de la otra empresa",IF(D1076="Malcolm",IF(COUNTA(R1076,S1076,T1076)&gt;0,"Estado/fechas proMX se ignoran en Malcolm",""),IF(BF1076="Cancelled","Cancelado: excluido de totales",IF(R1076="","Sin estado: se trata como Draft",IF(BF1076="Submitted",IF(ISNUMBER(V1076),IF(V1076&gt;CFG_MAXD,"⚠ "&amp;V1076&amp;" días en Submitted (máx. "&amp;CFG_MAXD&amp;")",""),"Falta fecha de envío"),IF(BF1076="Returned","⚠ Devuelto: corregir y reenviar",IF(BF1076="Recall Requested","Retirada solicitada: pendiente",IF(AND(BF1076="Approved",NOT(ISNUMBER(T1076))),"Falta fecha de aprobación",IF(AND(ISNUMBER(S1076),ISNUMBER(T1076),T1076&lt;S1076),"Aprobación anterior al envío","")))))))))</f>
        <v/>
      </c>
      <c r="Y1076" s="80">
        <f>IF(COUNTA(B1076,D1076,E1076,F1076,G1076,H1076,I1076,J1076,R1076,S1076,T1076)&gt;0,1,0)</f>
        <v>0</v>
      </c>
      <c r="Z1076" s="80" t="str">
        <f>IF(AND(ISNUMBER(H1076),H1076&gt;=0,H1076&lt;1),ROUND(H1076*1440,0),"")</f>
        <v/>
      </c>
      <c r="AA1076" s="80" t="str">
        <f>IF(AND(ISNUMBER(I1076),I1076&gt;=0,I1076&lt;1),ROUND(I1076*1440,0),"")</f>
        <v/>
      </c>
      <c r="AB1076" s="80">
        <f>IF(AND(ISNUMBER(B1076),D1076&lt;&gt;"",ISNUMBER(Z1076),ISNUMBER(AA1076)),IF(Z1076=AA1076,0,1),0)</f>
        <v>0</v>
      </c>
      <c r="AC1076" s="80">
        <f>IF(AB1076=1,IF(AA1076&lt;Z1076,1,0),0)</f>
        <v>0</v>
      </c>
      <c r="AD1076" s="80">
        <f>IF(AB1076=1,IF(AC1076=1,1440-Z1076+AA1076,AA1076-Z1076),0)</f>
        <v>0</v>
      </c>
      <c r="AE1076" s="80">
        <f>IF(J1076="",0,IF(ISNUMBER(J1076),J1076,-1))</f>
        <v>0</v>
      </c>
      <c r="AF1076" s="80">
        <f>MIN(MAX(0,AE1076),AD1076)</f>
        <v>0</v>
      </c>
      <c r="AG1076" s="80">
        <f>MAX(0,AD1076-MAX(0,AE1076))</f>
        <v>0</v>
      </c>
      <c r="AH1076" s="80">
        <f>IF(ISNUMBER(B1076),IF(AND(INDEX(CFG_WDAYS,WEEKDAY(INT(B1076),2))="Sí",IF(D1076="proMX",COUNTIFS(FER_F,INT(B1076),FER_NLP,"Sí"),COUNTIFS(FER_F,INT(B1076),FER_NLM,"Sí"))=0),1,0),0)</f>
        <v>0</v>
      </c>
      <c r="AI1076" s="80">
        <f>IF(AC1076=1,IF(AND(INDEX(CFG_WDAYS,WEEKDAY(INT(B1076)+1,2))="Sí",IF(D1076="proMX",COUNTIFS(FER_F,INT(B1076)+1,FER_NLP,"Sí"),COUNTIFS(FER_F,INT(B1076)+1,FER_NLM,"Sí"))=0),1,0),0)</f>
        <v>0</v>
      </c>
      <c r="AJ1076" s="80">
        <f>IF(AC1076=1,1440-Z1076,AD1076)</f>
        <v>0</v>
      </c>
      <c r="AK1076" s="80">
        <f>IF(AND(AB1076=1,AH1076=1),MAX(0,MIN(IF(AC1076=1,1440,AA1076),CFG_WEM)-MAX(Z1076,CFG_WSM)),0)</f>
        <v>0</v>
      </c>
      <c r="AL1076" s="80">
        <f>IF(AND(AC1076=1,AI1076=1),MAX(0,MIN(AA1076,CFG_WEM)-CFG_WSM),0)</f>
        <v>0</v>
      </c>
      <c r="AM1076" s="80">
        <f>AK1076+AL1076</f>
        <v>0</v>
      </c>
      <c r="AN1076" s="80">
        <f>IF(CFG_BRK="Proporcional",IF(AD1076=0,0,AF1076*AM1076/AD1076),IF(CFG_BRK="Extras primero",MIN(AM1076,MAX(0,AF1076-(AD1076-AM1076))),MIN(AF1076,AM1076)))</f>
        <v>0</v>
      </c>
      <c r="AO1076" s="80">
        <f>AF1076-AN1076</f>
        <v>0</v>
      </c>
      <c r="AP1076" s="80">
        <f>AM1076-AN1076</f>
        <v>0</v>
      </c>
      <c r="AQ1076" s="80">
        <f>AD1076-AM1076-AO1076</f>
        <v>0</v>
      </c>
      <c r="AR1076" s="80">
        <f>IF(AM1076=0,0,AK1076-AN1076*AK1076/AM1076)</f>
        <v>0</v>
      </c>
      <c r="AS1076" s="80">
        <f>IF(AD1076-AM1076=0,0,(AJ1076-AK1076)-AO1076*(AJ1076-AK1076)/(AD1076-AM1076))</f>
        <v>0</v>
      </c>
      <c r="AT1076" s="80" t="str">
        <f>IF(AC1076=1,INT(B1076)+1,"")</f>
        <v/>
      </c>
      <c r="AU1076" s="80">
        <f>IF(AND(D1076="proMX",R1076="Cancelled"),0,1)</f>
        <v>1</v>
      </c>
      <c r="AV1076" s="80">
        <f>IF(AND(AB1076=1,AU1076=1),IF(COUNTIFS($D$5:D1075,D1076,$B$5:B1075,B1076,$Z$5:Z1075,Z1076,$AA$5:AA1075,AA1076,$F$5:F1075,F1076&amp;"",$AU$5:AU1075,1)&gt;0,1,0),0)</f>
        <v>0</v>
      </c>
      <c r="AW1076" s="80" t="str">
        <f>IF(AB1076=1,INT(B1076)*1440+Z1076,"")</f>
        <v/>
      </c>
      <c r="AX1076" s="80" t="str">
        <f>IF(AB1076=1,AW1076+AD1076,"")</f>
        <v/>
      </c>
      <c r="AY1076" s="80">
        <f>IF(AND(AB1076=1,AV1076=0,AU1076=1),1,0)</f>
        <v>0</v>
      </c>
      <c r="AZ1076" s="80">
        <f>IF(AY1076=1,COUNTIFS(R_Emp,D1076,R_SAbs,"&lt;"&amp;AX1076,R_EAbs,"&gt;"&amp;AW1076,R_OKey,1)-1,0)</f>
        <v>0</v>
      </c>
      <c r="BA1076" s="80">
        <f>IF(AY1076=1,COUNTIFS(R_Emp,"&lt;&gt;"&amp;D1076,R_SAbs,"&lt;"&amp;AX1076,R_EAbs,"&gt;"&amp;AW1076,R_OKey,1),0)</f>
        <v>0</v>
      </c>
      <c r="BB1076" s="80">
        <f>IF(AND(AB1076=1,D1076="proMX"),IF(AND(MOD(Z1076,CFG_BLK)=0,MOD(AA1076,CFG_BLK)=0,MOD(AG1076,CFG_BLK)=0,AG1076&gt;0),1,0),1)</f>
        <v>1</v>
      </c>
      <c r="BC1076" s="80" t="str">
        <f>IF(Y1076=0,"",IF(NOT(ISNUMBER(B1076)),"Falta fecha o fecha inválida",IF(D1076="","Falta empresa",IF(AND(D1076&lt;&gt;"Malcolm",D1076&lt;&gt;"proMX"),"Empresa inválida",IF(OR(INT(B1076)&lt;CFG_PSTART,INT(B1076)&gt;CFG_PEND),"Fecha fuera del período",IF(OR(NOT(ISNUMBER(Z1076)),NOT(ISNUMBER(AA1076))),"Falta hora inicio/fin o formato inválido",IF(AB1076=0,"Hora inicio = hora fin",IF(AE1076&lt;0,"Descanso inválido",IF(AE1076&gt;=AD1076,"Descanso ≥ duración",IF(AV1076=1,"Registro duplicado",IF(AZ1076&gt;0,"Se superpone con otro registro "&amp;D1076,IF(BB1076=0,"inicio, fin y duración neta deben ser múltiplos de "&amp;CFG_BLK&amp;" min",""))))))))))))</f>
        <v/>
      </c>
      <c r="BD1076" s="80">
        <f>IF(AND(Y1076=1,BC1076=""),1,0)</f>
        <v>0</v>
      </c>
      <c r="BE1076" s="80">
        <f>IF(AND(BD1076=1,AU1076=1),1,0)</f>
        <v>0</v>
      </c>
      <c r="BF1076" s="80" t="str">
        <f>IF(AND(D1076="proMX",BD1076=1),IF(R1076="","Draft",R1076),"")</f>
        <v/>
      </c>
      <c r="BG1076" s="80">
        <f>IF(BD1076=1,ROUND(AG1076/60,6),0)</f>
        <v>0</v>
      </c>
      <c r="BH1076" s="80">
        <f>IF(BE1076=1,ROUND(AG1076/60,6),0)</f>
        <v>0</v>
      </c>
      <c r="BI1076" s="80">
        <f>IF(BE1076=1,ROUND(AP1076/60,6),0)</f>
        <v>0</v>
      </c>
      <c r="BJ1076" s="80">
        <f>IF(BE1076=1,ROUND(AQ1076/60,6),0)</f>
        <v>0</v>
      </c>
      <c r="BK1076" s="80">
        <f>IF(BE1076=1,ROUND((AR1076+AS1076)/60,6),0)</f>
        <v>0</v>
      </c>
      <c r="BL1076" s="80">
        <f>ROUND(BH1076-BK1076,6)</f>
        <v>0</v>
      </c>
      <c r="BM1076" s="80">
        <f>IF(BE1076=1,ROUND(AR1076/60,6),0)</f>
        <v>0</v>
      </c>
      <c r="BN1076" s="80">
        <f>ROUND(BI1076-BM1076,6)</f>
        <v>0</v>
      </c>
      <c r="BO1076" s="80">
        <f>IF(BE1076=1,ROUND(AS1076/60,6),0)</f>
        <v>0</v>
      </c>
      <c r="BP1076" s="80">
        <f>ROUND(BJ1076-BO1076,6)</f>
        <v>0</v>
      </c>
      <c r="BQ1076" s="80">
        <f>IF(BE1076=1,AW1076,0)</f>
        <v>0</v>
      </c>
      <c r="BR1076" s="80">
        <f>IF(BE1076=1,AX1076,0)</f>
        <v>0</v>
      </c>
      <c r="BS1076" s="80">
        <f>IF(AND(BE1076=1,D1076="Malcolm",BA1076&gt;0),MIN(BH1076,SUMPRODUCT((R_Emp="proMX")*(R_EN&gt;0)*((R_EN-(R_EN&gt;BR1076)*(R_EN-BR1076))&gt;(R_SN+(R_SN&lt;BQ1076)*(BQ1076-R_SN)))*((R_EN-(R_EN&gt;BR1076)*(R_EN-BR1076))-(R_SN+(R_SN&lt;BQ1076)*(BQ1076-R_SN))))/60),0)</f>
        <v>0</v>
      </c>
      <c r="BT1076" s="80">
        <f>IF(AND(BE1076=1,D1076="proMX"),ROUND(BI1076*CFG_RATE+BJ1076*CFG_OTRATE,6),0)</f>
        <v>0</v>
      </c>
      <c r="BU1076" s="80">
        <f>IF(AND(BD1076=1,D1076="proMX"),ROUND(AG1076/CFG_BLK,6),0)</f>
        <v>0</v>
      </c>
      <c r="BV1076" s="80" t="str">
        <f>IF(BF1076="Approved",IF(ISNUMBER(T1076),INT(T1076),INT(B1076)),"")</f>
        <v/>
      </c>
      <c r="BW1076" s="80">
        <f>IF(ISNUMBER(B1076),IF(DB_MON="Todos",1,IF(AND(INT(B1076)&gt;=DB_MS,INT(B1076)&lt;=DB_ME),1,0)),0)</f>
        <v>0</v>
      </c>
      <c r="BX1076" s="80">
        <f>IF(DB_PROJ="Todos",1,IF(E1076&amp;""=DB_PROJ&amp;"",1,0))</f>
        <v>1</v>
      </c>
      <c r="BY1076" s="80">
        <f>BW1076*BX1076</f>
        <v>0</v>
      </c>
      <c r="BZ1076" s="80" t="str">
        <f>IF(Y1076=1,F1076&amp;IF(AND(F1076&amp;""&lt;&gt;"",E1076&amp;""&lt;&gt;"")," · ","")&amp;E1076,"")</f>
        <v/>
      </c>
      <c r="CA1076" s="80" t="str">
        <f>IF(AND(BD1076=1,E1076&amp;""&lt;&gt;""),IF(COUNTIFS($E$5:E1075,E1076,$BD$5:BD1075,1)=0,MAX($CA$5:CA1075)+1,""),"")</f>
        <v/>
      </c>
      <c r="CB1076" s="80" t="str">
        <f>IF(AND(BE1076=1,D1076="Malcolm",E1076&amp;""&lt;&gt;""),IF(COUNTIFS($D$5:D1075,"Malcolm",$E$5:E1075,E1076,$BE$5:BE1075,1)=0,MAX($CB$5:CB1075)+1,""),"")</f>
        <v/>
      </c>
      <c r="CC1076" s="80" t="str">
        <f>IF(AND(BD1076=1,D1076="proMX",E1076&amp;""&lt;&gt;""),IF(COUNTIFS($D$5:D1075,"proMX",$E$5:E1075,E1076,$BD$5:BD1075,1)=0,MAX($CC$5:CC1075)+1,""),"")</f>
        <v/>
      </c>
      <c r="CD1076" s="80" t="str">
        <f>IF(AND(BE1076=1,D1076="Malcolm",F1076&amp;""&lt;&gt;""),IF(COUNTIFS($D$5:D1075,"Malcolm",$F$5:F1075,F1076,$BE$5:BE1075,1)=0,MAX($CD$5:CD1075)+1,""),"")</f>
        <v/>
      </c>
      <c r="CE1076" s="80" t="str">
        <f>IF(AND(BD1076=1,D1076="proMX",F1076&amp;""&lt;&gt;""),IF(COUNTIFS($D$5:D1075,"proMX",$F$5:F1075,F1076,$BD$5:BD1075,1)=0,MAX($CE$5:CE1075)+1,""),"")</f>
        <v/>
      </c>
      <c r="CF1076" s="80" t="str">
        <f>IF(AND(D1076="proMX",BD1076=1),IF(OR(BF1076="Draft",BF1076="Submitted",BF1076="Returned",BF1076="Recall Requested"),MAX($CF$5:CF1075)+1,""),"")</f>
        <v/>
      </c>
      <c r="CG1076" s="80">
        <f>IF(BD1076=0,0,IF(D1076="Malcolm",1,MATCH(BF1076,{"Draft","Submitted","Approved","Returned","Recall Requested","Cancelled"},0)+1))</f>
        <v>0</v>
      </c>
      <c r="CH1076" s="80">
        <f>IF(AND(BF1076="Submitted",ISNUMBER(V1076)),IF(V1076&gt;CFG_MAXD,1,0),0)</f>
        <v>0</v>
      </c>
    </row>
    <row r="1077">
      <c r="A1077" s="71" t="str">
        <f>IF(Y1077=1,ROW()-5,"")</f>
        <v/>
      </c>
      <c r="B1077" s="72" t="n"/>
      <c r="C1077" s="71" t="str">
        <f>IF(ISNUMBER(B1077),CHOOSE(WEEKDAY(B1077,2),"Lun","Mar","Mié","Jue","Vie","Sáb","Dom"),"")</f>
        <v/>
      </c>
      <c r="D1077" s="73" t="n"/>
      <c r="E1077" s="74" t="n"/>
      <c r="F1077" s="74" t="n"/>
      <c r="G1077" s="74" t="n"/>
      <c r="H1077" s="75" t="n"/>
      <c r="I1077" s="75" t="n"/>
      <c r="J1077" s="76" t="n"/>
      <c r="K1077" s="77" t="str">
        <f>IF(AB1077=1,ROUND(AG1077/60,4),"")</f>
        <v/>
      </c>
      <c r="L1077" s="77" t="str">
        <f>IF(BD1077=1,ROUND(AP1077/60,4),"")</f>
        <v/>
      </c>
      <c r="M1077" s="77" t="str">
        <f>IF(BD1077=1,ROUND(AQ1077/60,4),"")</f>
        <v/>
      </c>
      <c r="N1077" s="71" t="str">
        <f>IF(AND(D1077="proMX",AB1077=1),ROUND(AG1077/CFG_BLK,2),"")</f>
        <v/>
      </c>
      <c r="O1077" s="77" t="str">
        <f>IF(D1077="proMX",IF(BD1077=1,ROUND(AG1077/60,4),0),"")</f>
        <v/>
      </c>
      <c r="P1077" s="78" t="str">
        <f>IF(Y1077=0,"",IF(BD1077=1,"OK",IF(D1077="proMX","Revisar bloques: ","Revisar: ")&amp;BC1077))</f>
        <v/>
      </c>
      <c r="Q1077" s="78" t="str">
        <f>IF(NOT(ISNUMBER(B1077)),"",IF(COUNTIFS(FER_F,INT(B1077))&gt;0,"Feriado"&amp;IF(AH1077=1," (laborable)"," (no laborable)"),IF(AH1077=1,"Laborable",IF(WEEKDAY(B1077,2)&gt;5,"Fin de semana","No laborable"))))</f>
        <v/>
      </c>
      <c r="R1077" s="73" t="n"/>
      <c r="S1077" s="72" t="n"/>
      <c r="T1077" s="72" t="n"/>
      <c r="U1077" s="74" t="n"/>
      <c r="V1077" s="79" t="str">
        <f>IF(AND(D1077="proMX",OR(R1077="Submitted",R1077="Recall Requested"),ISNUMBER(S1077)),CFG_TODAY-INT(S1077),"")</f>
        <v/>
      </c>
      <c r="W1077" s="78" t="str">
        <f>IF(BD1077=0,"",IF(BA1077&gt;0,"⚠ Se superpone con un registro de la otra empresa",IF(D1077="Malcolm",IF(COUNTA(R1077,S1077,T1077)&gt;0,"Estado/fechas proMX se ignoran en Malcolm",""),IF(BF1077="Cancelled","Cancelado: excluido de totales",IF(R1077="","Sin estado: se trata como Draft",IF(BF1077="Submitted",IF(ISNUMBER(V1077),IF(V1077&gt;CFG_MAXD,"⚠ "&amp;V1077&amp;" días en Submitted (máx. "&amp;CFG_MAXD&amp;")",""),"Falta fecha de envío"),IF(BF1077="Returned","⚠ Devuelto: corregir y reenviar",IF(BF1077="Recall Requested","Retirada solicitada: pendiente",IF(AND(BF1077="Approved",NOT(ISNUMBER(T1077))),"Falta fecha de aprobación",IF(AND(ISNUMBER(S1077),ISNUMBER(T1077),T1077&lt;S1077),"Aprobación anterior al envío","")))))))))</f>
        <v/>
      </c>
      <c r="Y1077" s="80">
        <f>IF(COUNTA(B1077,D1077,E1077,F1077,G1077,H1077,I1077,J1077,R1077,S1077,T1077)&gt;0,1,0)</f>
        <v>0</v>
      </c>
      <c r="Z1077" s="80" t="str">
        <f>IF(AND(ISNUMBER(H1077),H1077&gt;=0,H1077&lt;1),ROUND(H1077*1440,0),"")</f>
        <v/>
      </c>
      <c r="AA1077" s="80" t="str">
        <f>IF(AND(ISNUMBER(I1077),I1077&gt;=0,I1077&lt;1),ROUND(I1077*1440,0),"")</f>
        <v/>
      </c>
      <c r="AB1077" s="80">
        <f>IF(AND(ISNUMBER(B1077),D1077&lt;&gt;"",ISNUMBER(Z1077),ISNUMBER(AA1077)),IF(Z1077=AA1077,0,1),0)</f>
        <v>0</v>
      </c>
      <c r="AC1077" s="80">
        <f>IF(AB1077=1,IF(AA1077&lt;Z1077,1,0),0)</f>
        <v>0</v>
      </c>
      <c r="AD1077" s="80">
        <f>IF(AB1077=1,IF(AC1077=1,1440-Z1077+AA1077,AA1077-Z1077),0)</f>
        <v>0</v>
      </c>
      <c r="AE1077" s="80">
        <f>IF(J1077="",0,IF(ISNUMBER(J1077),J1077,-1))</f>
        <v>0</v>
      </c>
      <c r="AF1077" s="80">
        <f>MIN(MAX(0,AE1077),AD1077)</f>
        <v>0</v>
      </c>
      <c r="AG1077" s="80">
        <f>MAX(0,AD1077-MAX(0,AE1077))</f>
        <v>0</v>
      </c>
      <c r="AH1077" s="80">
        <f>IF(ISNUMBER(B1077),IF(AND(INDEX(CFG_WDAYS,WEEKDAY(INT(B1077),2))="Sí",IF(D1077="proMX",COUNTIFS(FER_F,INT(B1077),FER_NLP,"Sí"),COUNTIFS(FER_F,INT(B1077),FER_NLM,"Sí"))=0),1,0),0)</f>
        <v>0</v>
      </c>
      <c r="AI1077" s="80">
        <f>IF(AC1077=1,IF(AND(INDEX(CFG_WDAYS,WEEKDAY(INT(B1077)+1,2))="Sí",IF(D1077="proMX",COUNTIFS(FER_F,INT(B1077)+1,FER_NLP,"Sí"),COUNTIFS(FER_F,INT(B1077)+1,FER_NLM,"Sí"))=0),1,0),0)</f>
        <v>0</v>
      </c>
      <c r="AJ1077" s="80">
        <f>IF(AC1077=1,1440-Z1077,AD1077)</f>
        <v>0</v>
      </c>
      <c r="AK1077" s="80">
        <f>IF(AND(AB1077=1,AH1077=1),MAX(0,MIN(IF(AC1077=1,1440,AA1077),CFG_WEM)-MAX(Z1077,CFG_WSM)),0)</f>
        <v>0</v>
      </c>
      <c r="AL1077" s="80">
        <f>IF(AND(AC1077=1,AI1077=1),MAX(0,MIN(AA1077,CFG_WEM)-CFG_WSM),0)</f>
        <v>0</v>
      </c>
      <c r="AM1077" s="80">
        <f>AK1077+AL1077</f>
        <v>0</v>
      </c>
      <c r="AN1077" s="80">
        <f>IF(CFG_BRK="Proporcional",IF(AD1077=0,0,AF1077*AM1077/AD1077),IF(CFG_BRK="Extras primero",MIN(AM1077,MAX(0,AF1077-(AD1077-AM1077))),MIN(AF1077,AM1077)))</f>
        <v>0</v>
      </c>
      <c r="AO1077" s="80">
        <f>AF1077-AN1077</f>
        <v>0</v>
      </c>
      <c r="AP1077" s="80">
        <f>AM1077-AN1077</f>
        <v>0</v>
      </c>
      <c r="AQ1077" s="80">
        <f>AD1077-AM1077-AO1077</f>
        <v>0</v>
      </c>
      <c r="AR1077" s="80">
        <f>IF(AM1077=0,0,AK1077-AN1077*AK1077/AM1077)</f>
        <v>0</v>
      </c>
      <c r="AS1077" s="80">
        <f>IF(AD1077-AM1077=0,0,(AJ1077-AK1077)-AO1077*(AJ1077-AK1077)/(AD1077-AM1077))</f>
        <v>0</v>
      </c>
      <c r="AT1077" s="80" t="str">
        <f>IF(AC1077=1,INT(B1077)+1,"")</f>
        <v/>
      </c>
      <c r="AU1077" s="80">
        <f>IF(AND(D1077="proMX",R1077="Cancelled"),0,1)</f>
        <v>1</v>
      </c>
      <c r="AV1077" s="80">
        <f>IF(AND(AB1077=1,AU1077=1),IF(COUNTIFS($D$5:D1076,D1077,$B$5:B1076,B1077,$Z$5:Z1076,Z1077,$AA$5:AA1076,AA1077,$F$5:F1076,F1077&amp;"",$AU$5:AU1076,1)&gt;0,1,0),0)</f>
        <v>0</v>
      </c>
      <c r="AW1077" s="80" t="str">
        <f>IF(AB1077=1,INT(B1077)*1440+Z1077,"")</f>
        <v/>
      </c>
      <c r="AX1077" s="80" t="str">
        <f>IF(AB1077=1,AW1077+AD1077,"")</f>
        <v/>
      </c>
      <c r="AY1077" s="80">
        <f>IF(AND(AB1077=1,AV1077=0,AU1077=1),1,0)</f>
        <v>0</v>
      </c>
      <c r="AZ1077" s="80">
        <f>IF(AY1077=1,COUNTIFS(R_Emp,D1077,R_SAbs,"&lt;"&amp;AX1077,R_EAbs,"&gt;"&amp;AW1077,R_OKey,1)-1,0)</f>
        <v>0</v>
      </c>
      <c r="BA1077" s="80">
        <f>IF(AY1077=1,COUNTIFS(R_Emp,"&lt;&gt;"&amp;D1077,R_SAbs,"&lt;"&amp;AX1077,R_EAbs,"&gt;"&amp;AW1077,R_OKey,1),0)</f>
        <v>0</v>
      </c>
      <c r="BB1077" s="80">
        <f>IF(AND(AB1077=1,D1077="proMX"),IF(AND(MOD(Z1077,CFG_BLK)=0,MOD(AA1077,CFG_BLK)=0,MOD(AG1077,CFG_BLK)=0,AG1077&gt;0),1,0),1)</f>
        <v>1</v>
      </c>
      <c r="BC1077" s="80" t="str">
        <f>IF(Y1077=0,"",IF(NOT(ISNUMBER(B1077)),"Falta fecha o fecha inválida",IF(D1077="","Falta empresa",IF(AND(D1077&lt;&gt;"Malcolm",D1077&lt;&gt;"proMX"),"Empresa inválida",IF(OR(INT(B1077)&lt;CFG_PSTART,INT(B1077)&gt;CFG_PEND),"Fecha fuera del período",IF(OR(NOT(ISNUMBER(Z1077)),NOT(ISNUMBER(AA1077))),"Falta hora inicio/fin o formato inválido",IF(AB1077=0,"Hora inicio = hora fin",IF(AE1077&lt;0,"Descanso inválido",IF(AE1077&gt;=AD1077,"Descanso ≥ duración",IF(AV1077=1,"Registro duplicado",IF(AZ1077&gt;0,"Se superpone con otro registro "&amp;D1077,IF(BB1077=0,"inicio, fin y duración neta deben ser múltiplos de "&amp;CFG_BLK&amp;" min",""))))))))))))</f>
        <v/>
      </c>
      <c r="BD1077" s="80">
        <f>IF(AND(Y1077=1,BC1077=""),1,0)</f>
        <v>0</v>
      </c>
      <c r="BE1077" s="80">
        <f>IF(AND(BD1077=1,AU1077=1),1,0)</f>
        <v>0</v>
      </c>
      <c r="BF1077" s="80" t="str">
        <f>IF(AND(D1077="proMX",BD1077=1),IF(R1077="","Draft",R1077),"")</f>
        <v/>
      </c>
      <c r="BG1077" s="80">
        <f>IF(BD1077=1,ROUND(AG1077/60,6),0)</f>
        <v>0</v>
      </c>
      <c r="BH1077" s="80">
        <f>IF(BE1077=1,ROUND(AG1077/60,6),0)</f>
        <v>0</v>
      </c>
      <c r="BI1077" s="80">
        <f>IF(BE1077=1,ROUND(AP1077/60,6),0)</f>
        <v>0</v>
      </c>
      <c r="BJ1077" s="80">
        <f>IF(BE1077=1,ROUND(AQ1077/60,6),0)</f>
        <v>0</v>
      </c>
      <c r="BK1077" s="80">
        <f>IF(BE1077=1,ROUND((AR1077+AS1077)/60,6),0)</f>
        <v>0</v>
      </c>
      <c r="BL1077" s="80">
        <f>ROUND(BH1077-BK1077,6)</f>
        <v>0</v>
      </c>
      <c r="BM1077" s="80">
        <f>IF(BE1077=1,ROUND(AR1077/60,6),0)</f>
        <v>0</v>
      </c>
      <c r="BN1077" s="80">
        <f>ROUND(BI1077-BM1077,6)</f>
        <v>0</v>
      </c>
      <c r="BO1077" s="80">
        <f>IF(BE1077=1,ROUND(AS1077/60,6),0)</f>
        <v>0</v>
      </c>
      <c r="BP1077" s="80">
        <f>ROUND(BJ1077-BO1077,6)</f>
        <v>0</v>
      </c>
      <c r="BQ1077" s="80">
        <f>IF(BE1077=1,AW1077,0)</f>
        <v>0</v>
      </c>
      <c r="BR1077" s="80">
        <f>IF(BE1077=1,AX1077,0)</f>
        <v>0</v>
      </c>
      <c r="BS1077" s="80">
        <f>IF(AND(BE1077=1,D1077="Malcolm",BA1077&gt;0),MIN(BH1077,SUMPRODUCT((R_Emp="proMX")*(R_EN&gt;0)*((R_EN-(R_EN&gt;BR1077)*(R_EN-BR1077))&gt;(R_SN+(R_SN&lt;BQ1077)*(BQ1077-R_SN)))*((R_EN-(R_EN&gt;BR1077)*(R_EN-BR1077))-(R_SN+(R_SN&lt;BQ1077)*(BQ1077-R_SN))))/60),0)</f>
        <v>0</v>
      </c>
      <c r="BT1077" s="80">
        <f>IF(AND(BE1077=1,D1077="proMX"),ROUND(BI1077*CFG_RATE+BJ1077*CFG_OTRATE,6),0)</f>
        <v>0</v>
      </c>
      <c r="BU1077" s="80">
        <f>IF(AND(BD1077=1,D1077="proMX"),ROUND(AG1077/CFG_BLK,6),0)</f>
        <v>0</v>
      </c>
      <c r="BV1077" s="80" t="str">
        <f>IF(BF1077="Approved",IF(ISNUMBER(T1077),INT(T1077),INT(B1077)),"")</f>
        <v/>
      </c>
      <c r="BW1077" s="80">
        <f>IF(ISNUMBER(B1077),IF(DB_MON="Todos",1,IF(AND(INT(B1077)&gt;=DB_MS,INT(B1077)&lt;=DB_ME),1,0)),0)</f>
        <v>0</v>
      </c>
      <c r="BX1077" s="80">
        <f>IF(DB_PROJ="Todos",1,IF(E1077&amp;""=DB_PROJ&amp;"",1,0))</f>
        <v>1</v>
      </c>
      <c r="BY1077" s="80">
        <f>BW1077*BX1077</f>
        <v>0</v>
      </c>
      <c r="BZ1077" s="80" t="str">
        <f>IF(Y1077=1,F1077&amp;IF(AND(F1077&amp;""&lt;&gt;"",E1077&amp;""&lt;&gt;"")," · ","")&amp;E1077,"")</f>
        <v/>
      </c>
      <c r="CA1077" s="80" t="str">
        <f>IF(AND(BD1077=1,E1077&amp;""&lt;&gt;""),IF(COUNTIFS($E$5:E1076,E1077,$BD$5:BD1076,1)=0,MAX($CA$5:CA1076)+1,""),"")</f>
        <v/>
      </c>
      <c r="CB1077" s="80" t="str">
        <f>IF(AND(BE1077=1,D1077="Malcolm",E1077&amp;""&lt;&gt;""),IF(COUNTIFS($D$5:D1076,"Malcolm",$E$5:E1076,E1077,$BE$5:BE1076,1)=0,MAX($CB$5:CB1076)+1,""),"")</f>
        <v/>
      </c>
      <c r="CC1077" s="80" t="str">
        <f>IF(AND(BD1077=1,D1077="proMX",E1077&amp;""&lt;&gt;""),IF(COUNTIFS($D$5:D1076,"proMX",$E$5:E1076,E1077,$BD$5:BD1076,1)=0,MAX($CC$5:CC1076)+1,""),"")</f>
        <v/>
      </c>
      <c r="CD1077" s="80" t="str">
        <f>IF(AND(BE1077=1,D1077="Malcolm",F1077&amp;""&lt;&gt;""),IF(COUNTIFS($D$5:D1076,"Malcolm",$F$5:F1076,F1077,$BE$5:BE1076,1)=0,MAX($CD$5:CD1076)+1,""),"")</f>
        <v/>
      </c>
      <c r="CE1077" s="80" t="str">
        <f>IF(AND(BD1077=1,D1077="proMX",F1077&amp;""&lt;&gt;""),IF(COUNTIFS($D$5:D1076,"proMX",$F$5:F1076,F1077,$BD$5:BD1076,1)=0,MAX($CE$5:CE1076)+1,""),"")</f>
        <v/>
      </c>
      <c r="CF1077" s="80" t="str">
        <f>IF(AND(D1077="proMX",BD1077=1),IF(OR(BF1077="Draft",BF1077="Submitted",BF1077="Returned",BF1077="Recall Requested"),MAX($CF$5:CF1076)+1,""),"")</f>
        <v/>
      </c>
      <c r="CG1077" s="80">
        <f>IF(BD1077=0,0,IF(D1077="Malcolm",1,MATCH(BF1077,{"Draft","Submitted","Approved","Returned","Recall Requested","Cancelled"},0)+1))</f>
        <v>0</v>
      </c>
      <c r="CH1077" s="80">
        <f>IF(AND(BF1077="Submitted",ISNUMBER(V1077)),IF(V1077&gt;CFG_MAXD,1,0),0)</f>
        <v>0</v>
      </c>
    </row>
    <row r="1078">
      <c r="A1078" s="71" t="str">
        <f>IF(Y1078=1,ROW()-5,"")</f>
        <v/>
      </c>
      <c r="B1078" s="72" t="n"/>
      <c r="C1078" s="71" t="str">
        <f>IF(ISNUMBER(B1078),CHOOSE(WEEKDAY(B1078,2),"Lun","Mar","Mié","Jue","Vie","Sáb","Dom"),"")</f>
        <v/>
      </c>
      <c r="D1078" s="73" t="n"/>
      <c r="E1078" s="74" t="n"/>
      <c r="F1078" s="74" t="n"/>
      <c r="G1078" s="74" t="n"/>
      <c r="H1078" s="75" t="n"/>
      <c r="I1078" s="75" t="n"/>
      <c r="J1078" s="76" t="n"/>
      <c r="K1078" s="77" t="str">
        <f>IF(AB1078=1,ROUND(AG1078/60,4),"")</f>
        <v/>
      </c>
      <c r="L1078" s="77" t="str">
        <f>IF(BD1078=1,ROUND(AP1078/60,4),"")</f>
        <v/>
      </c>
      <c r="M1078" s="77" t="str">
        <f>IF(BD1078=1,ROUND(AQ1078/60,4),"")</f>
        <v/>
      </c>
      <c r="N1078" s="71" t="str">
        <f>IF(AND(D1078="proMX",AB1078=1),ROUND(AG1078/CFG_BLK,2),"")</f>
        <v/>
      </c>
      <c r="O1078" s="77" t="str">
        <f>IF(D1078="proMX",IF(BD1078=1,ROUND(AG1078/60,4),0),"")</f>
        <v/>
      </c>
      <c r="P1078" s="78" t="str">
        <f>IF(Y1078=0,"",IF(BD1078=1,"OK",IF(D1078="proMX","Revisar bloques: ","Revisar: ")&amp;BC1078))</f>
        <v/>
      </c>
      <c r="Q1078" s="78" t="str">
        <f>IF(NOT(ISNUMBER(B1078)),"",IF(COUNTIFS(FER_F,INT(B1078))&gt;0,"Feriado"&amp;IF(AH1078=1," (laborable)"," (no laborable)"),IF(AH1078=1,"Laborable",IF(WEEKDAY(B1078,2)&gt;5,"Fin de semana","No laborable"))))</f>
        <v/>
      </c>
      <c r="R1078" s="73" t="n"/>
      <c r="S1078" s="72" t="n"/>
      <c r="T1078" s="72" t="n"/>
      <c r="U1078" s="74" t="n"/>
      <c r="V1078" s="79" t="str">
        <f>IF(AND(D1078="proMX",OR(R1078="Submitted",R1078="Recall Requested"),ISNUMBER(S1078)),CFG_TODAY-INT(S1078),"")</f>
        <v/>
      </c>
      <c r="W1078" s="78" t="str">
        <f>IF(BD1078=0,"",IF(BA1078&gt;0,"⚠ Se superpone con un registro de la otra empresa",IF(D1078="Malcolm",IF(COUNTA(R1078,S1078,T1078)&gt;0,"Estado/fechas proMX se ignoran en Malcolm",""),IF(BF1078="Cancelled","Cancelado: excluido de totales",IF(R1078="","Sin estado: se trata como Draft",IF(BF1078="Submitted",IF(ISNUMBER(V1078),IF(V1078&gt;CFG_MAXD,"⚠ "&amp;V1078&amp;" días en Submitted (máx. "&amp;CFG_MAXD&amp;")",""),"Falta fecha de envío"),IF(BF1078="Returned","⚠ Devuelto: corregir y reenviar",IF(BF1078="Recall Requested","Retirada solicitada: pendiente",IF(AND(BF1078="Approved",NOT(ISNUMBER(T1078))),"Falta fecha de aprobación",IF(AND(ISNUMBER(S1078),ISNUMBER(T1078),T1078&lt;S1078),"Aprobación anterior al envío","")))))))))</f>
        <v/>
      </c>
      <c r="Y1078" s="80">
        <f>IF(COUNTA(B1078,D1078,E1078,F1078,G1078,H1078,I1078,J1078,R1078,S1078,T1078)&gt;0,1,0)</f>
        <v>0</v>
      </c>
      <c r="Z1078" s="80" t="str">
        <f>IF(AND(ISNUMBER(H1078),H1078&gt;=0,H1078&lt;1),ROUND(H1078*1440,0),"")</f>
        <v/>
      </c>
      <c r="AA1078" s="80" t="str">
        <f>IF(AND(ISNUMBER(I1078),I1078&gt;=0,I1078&lt;1),ROUND(I1078*1440,0),"")</f>
        <v/>
      </c>
      <c r="AB1078" s="80">
        <f>IF(AND(ISNUMBER(B1078),D1078&lt;&gt;"",ISNUMBER(Z1078),ISNUMBER(AA1078)),IF(Z1078=AA1078,0,1),0)</f>
        <v>0</v>
      </c>
      <c r="AC1078" s="80">
        <f>IF(AB1078=1,IF(AA1078&lt;Z1078,1,0),0)</f>
        <v>0</v>
      </c>
      <c r="AD1078" s="80">
        <f>IF(AB1078=1,IF(AC1078=1,1440-Z1078+AA1078,AA1078-Z1078),0)</f>
        <v>0</v>
      </c>
      <c r="AE1078" s="80">
        <f>IF(J1078="",0,IF(ISNUMBER(J1078),J1078,-1))</f>
        <v>0</v>
      </c>
      <c r="AF1078" s="80">
        <f>MIN(MAX(0,AE1078),AD1078)</f>
        <v>0</v>
      </c>
      <c r="AG1078" s="80">
        <f>MAX(0,AD1078-MAX(0,AE1078))</f>
        <v>0</v>
      </c>
      <c r="AH1078" s="80">
        <f>IF(ISNUMBER(B1078),IF(AND(INDEX(CFG_WDAYS,WEEKDAY(INT(B1078),2))="Sí",IF(D1078="proMX",COUNTIFS(FER_F,INT(B1078),FER_NLP,"Sí"),COUNTIFS(FER_F,INT(B1078),FER_NLM,"Sí"))=0),1,0),0)</f>
        <v>0</v>
      </c>
      <c r="AI1078" s="80">
        <f>IF(AC1078=1,IF(AND(INDEX(CFG_WDAYS,WEEKDAY(INT(B1078)+1,2))="Sí",IF(D1078="proMX",COUNTIFS(FER_F,INT(B1078)+1,FER_NLP,"Sí"),COUNTIFS(FER_F,INT(B1078)+1,FER_NLM,"Sí"))=0),1,0),0)</f>
        <v>0</v>
      </c>
      <c r="AJ1078" s="80">
        <f>IF(AC1078=1,1440-Z1078,AD1078)</f>
        <v>0</v>
      </c>
      <c r="AK1078" s="80">
        <f>IF(AND(AB1078=1,AH1078=1),MAX(0,MIN(IF(AC1078=1,1440,AA1078),CFG_WEM)-MAX(Z1078,CFG_WSM)),0)</f>
        <v>0</v>
      </c>
      <c r="AL1078" s="80">
        <f>IF(AND(AC1078=1,AI1078=1),MAX(0,MIN(AA1078,CFG_WEM)-CFG_WSM),0)</f>
        <v>0</v>
      </c>
      <c r="AM1078" s="80">
        <f>AK1078+AL1078</f>
        <v>0</v>
      </c>
      <c r="AN1078" s="80">
        <f>IF(CFG_BRK="Proporcional",IF(AD1078=0,0,AF1078*AM1078/AD1078),IF(CFG_BRK="Extras primero",MIN(AM1078,MAX(0,AF1078-(AD1078-AM1078))),MIN(AF1078,AM1078)))</f>
        <v>0</v>
      </c>
      <c r="AO1078" s="80">
        <f>AF1078-AN1078</f>
        <v>0</v>
      </c>
      <c r="AP1078" s="80">
        <f>AM1078-AN1078</f>
        <v>0</v>
      </c>
      <c r="AQ1078" s="80">
        <f>AD1078-AM1078-AO1078</f>
        <v>0</v>
      </c>
      <c r="AR1078" s="80">
        <f>IF(AM1078=0,0,AK1078-AN1078*AK1078/AM1078)</f>
        <v>0</v>
      </c>
      <c r="AS1078" s="80">
        <f>IF(AD1078-AM1078=0,0,(AJ1078-AK1078)-AO1078*(AJ1078-AK1078)/(AD1078-AM1078))</f>
        <v>0</v>
      </c>
      <c r="AT1078" s="80" t="str">
        <f>IF(AC1078=1,INT(B1078)+1,"")</f>
        <v/>
      </c>
      <c r="AU1078" s="80">
        <f>IF(AND(D1078="proMX",R1078="Cancelled"),0,1)</f>
        <v>1</v>
      </c>
      <c r="AV1078" s="80">
        <f>IF(AND(AB1078=1,AU1078=1),IF(COUNTIFS($D$5:D1077,D1078,$B$5:B1077,B1078,$Z$5:Z1077,Z1078,$AA$5:AA1077,AA1078,$F$5:F1077,F1078&amp;"",$AU$5:AU1077,1)&gt;0,1,0),0)</f>
        <v>0</v>
      </c>
      <c r="AW1078" s="80" t="str">
        <f>IF(AB1078=1,INT(B1078)*1440+Z1078,"")</f>
        <v/>
      </c>
      <c r="AX1078" s="80" t="str">
        <f>IF(AB1078=1,AW1078+AD1078,"")</f>
        <v/>
      </c>
      <c r="AY1078" s="80">
        <f>IF(AND(AB1078=1,AV1078=0,AU1078=1),1,0)</f>
        <v>0</v>
      </c>
      <c r="AZ1078" s="80">
        <f>IF(AY1078=1,COUNTIFS(R_Emp,D1078,R_SAbs,"&lt;"&amp;AX1078,R_EAbs,"&gt;"&amp;AW1078,R_OKey,1)-1,0)</f>
        <v>0</v>
      </c>
      <c r="BA1078" s="80">
        <f>IF(AY1078=1,COUNTIFS(R_Emp,"&lt;&gt;"&amp;D1078,R_SAbs,"&lt;"&amp;AX1078,R_EAbs,"&gt;"&amp;AW1078,R_OKey,1),0)</f>
        <v>0</v>
      </c>
      <c r="BB1078" s="80">
        <f>IF(AND(AB1078=1,D1078="proMX"),IF(AND(MOD(Z1078,CFG_BLK)=0,MOD(AA1078,CFG_BLK)=0,MOD(AG1078,CFG_BLK)=0,AG1078&gt;0),1,0),1)</f>
        <v>1</v>
      </c>
      <c r="BC1078" s="80" t="str">
        <f>IF(Y1078=0,"",IF(NOT(ISNUMBER(B1078)),"Falta fecha o fecha inválida",IF(D1078="","Falta empresa",IF(AND(D1078&lt;&gt;"Malcolm",D1078&lt;&gt;"proMX"),"Empresa inválida",IF(OR(INT(B1078)&lt;CFG_PSTART,INT(B1078)&gt;CFG_PEND),"Fecha fuera del período",IF(OR(NOT(ISNUMBER(Z1078)),NOT(ISNUMBER(AA1078))),"Falta hora inicio/fin o formato inválido",IF(AB1078=0,"Hora inicio = hora fin",IF(AE1078&lt;0,"Descanso inválido",IF(AE1078&gt;=AD1078,"Descanso ≥ duración",IF(AV1078=1,"Registro duplicado",IF(AZ1078&gt;0,"Se superpone con otro registro "&amp;D1078,IF(BB1078=0,"inicio, fin y duración neta deben ser múltiplos de "&amp;CFG_BLK&amp;" min",""))))))))))))</f>
        <v/>
      </c>
      <c r="BD1078" s="80">
        <f>IF(AND(Y1078=1,BC1078=""),1,0)</f>
        <v>0</v>
      </c>
      <c r="BE1078" s="80">
        <f>IF(AND(BD1078=1,AU1078=1),1,0)</f>
        <v>0</v>
      </c>
      <c r="BF1078" s="80" t="str">
        <f>IF(AND(D1078="proMX",BD1078=1),IF(R1078="","Draft",R1078),"")</f>
        <v/>
      </c>
      <c r="BG1078" s="80">
        <f>IF(BD1078=1,ROUND(AG1078/60,6),0)</f>
        <v>0</v>
      </c>
      <c r="BH1078" s="80">
        <f>IF(BE1078=1,ROUND(AG1078/60,6),0)</f>
        <v>0</v>
      </c>
      <c r="BI1078" s="80">
        <f>IF(BE1078=1,ROUND(AP1078/60,6),0)</f>
        <v>0</v>
      </c>
      <c r="BJ1078" s="80">
        <f>IF(BE1078=1,ROUND(AQ1078/60,6),0)</f>
        <v>0</v>
      </c>
      <c r="BK1078" s="80">
        <f>IF(BE1078=1,ROUND((AR1078+AS1078)/60,6),0)</f>
        <v>0</v>
      </c>
      <c r="BL1078" s="80">
        <f>ROUND(BH1078-BK1078,6)</f>
        <v>0</v>
      </c>
      <c r="BM1078" s="80">
        <f>IF(BE1078=1,ROUND(AR1078/60,6),0)</f>
        <v>0</v>
      </c>
      <c r="BN1078" s="80">
        <f>ROUND(BI1078-BM1078,6)</f>
        <v>0</v>
      </c>
      <c r="BO1078" s="80">
        <f>IF(BE1078=1,ROUND(AS1078/60,6),0)</f>
        <v>0</v>
      </c>
      <c r="BP1078" s="80">
        <f>ROUND(BJ1078-BO1078,6)</f>
        <v>0</v>
      </c>
      <c r="BQ1078" s="80">
        <f>IF(BE1078=1,AW1078,0)</f>
        <v>0</v>
      </c>
      <c r="BR1078" s="80">
        <f>IF(BE1078=1,AX1078,0)</f>
        <v>0</v>
      </c>
      <c r="BS1078" s="80">
        <f>IF(AND(BE1078=1,D1078="Malcolm",BA1078&gt;0),MIN(BH1078,SUMPRODUCT((R_Emp="proMX")*(R_EN&gt;0)*((R_EN-(R_EN&gt;BR1078)*(R_EN-BR1078))&gt;(R_SN+(R_SN&lt;BQ1078)*(BQ1078-R_SN)))*((R_EN-(R_EN&gt;BR1078)*(R_EN-BR1078))-(R_SN+(R_SN&lt;BQ1078)*(BQ1078-R_SN))))/60),0)</f>
        <v>0</v>
      </c>
      <c r="BT1078" s="80">
        <f>IF(AND(BE1078=1,D1078="proMX"),ROUND(BI1078*CFG_RATE+BJ1078*CFG_OTRATE,6),0)</f>
        <v>0</v>
      </c>
      <c r="BU1078" s="80">
        <f>IF(AND(BD1078=1,D1078="proMX"),ROUND(AG1078/CFG_BLK,6),0)</f>
        <v>0</v>
      </c>
      <c r="BV1078" s="80" t="str">
        <f>IF(BF1078="Approved",IF(ISNUMBER(T1078),INT(T1078),INT(B1078)),"")</f>
        <v/>
      </c>
      <c r="BW1078" s="80">
        <f>IF(ISNUMBER(B1078),IF(DB_MON="Todos",1,IF(AND(INT(B1078)&gt;=DB_MS,INT(B1078)&lt;=DB_ME),1,0)),0)</f>
        <v>0</v>
      </c>
      <c r="BX1078" s="80">
        <f>IF(DB_PROJ="Todos",1,IF(E1078&amp;""=DB_PROJ&amp;"",1,0))</f>
        <v>1</v>
      </c>
      <c r="BY1078" s="80">
        <f>BW1078*BX1078</f>
        <v>0</v>
      </c>
      <c r="BZ1078" s="80" t="str">
        <f>IF(Y1078=1,F1078&amp;IF(AND(F1078&amp;""&lt;&gt;"",E1078&amp;""&lt;&gt;"")," · ","")&amp;E1078,"")</f>
        <v/>
      </c>
      <c r="CA1078" s="80" t="str">
        <f>IF(AND(BD1078=1,E1078&amp;""&lt;&gt;""),IF(COUNTIFS($E$5:E1077,E1078,$BD$5:BD1077,1)=0,MAX($CA$5:CA1077)+1,""),"")</f>
        <v/>
      </c>
      <c r="CB1078" s="80" t="str">
        <f>IF(AND(BE1078=1,D1078="Malcolm",E1078&amp;""&lt;&gt;""),IF(COUNTIFS($D$5:D1077,"Malcolm",$E$5:E1077,E1078,$BE$5:BE1077,1)=0,MAX($CB$5:CB1077)+1,""),"")</f>
        <v/>
      </c>
      <c r="CC1078" s="80" t="str">
        <f>IF(AND(BD1078=1,D1078="proMX",E1078&amp;""&lt;&gt;""),IF(COUNTIFS($D$5:D1077,"proMX",$E$5:E1077,E1078,$BD$5:BD1077,1)=0,MAX($CC$5:CC1077)+1,""),"")</f>
        <v/>
      </c>
      <c r="CD1078" s="80" t="str">
        <f>IF(AND(BE1078=1,D1078="Malcolm",F1078&amp;""&lt;&gt;""),IF(COUNTIFS($D$5:D1077,"Malcolm",$F$5:F1077,F1078,$BE$5:BE1077,1)=0,MAX($CD$5:CD1077)+1,""),"")</f>
        <v/>
      </c>
      <c r="CE1078" s="80" t="str">
        <f>IF(AND(BD1078=1,D1078="proMX",F1078&amp;""&lt;&gt;""),IF(COUNTIFS($D$5:D1077,"proMX",$F$5:F1077,F1078,$BD$5:BD1077,1)=0,MAX($CE$5:CE1077)+1,""),"")</f>
        <v/>
      </c>
      <c r="CF1078" s="80" t="str">
        <f>IF(AND(D1078="proMX",BD1078=1),IF(OR(BF1078="Draft",BF1078="Submitted",BF1078="Returned",BF1078="Recall Requested"),MAX($CF$5:CF1077)+1,""),"")</f>
        <v/>
      </c>
      <c r="CG1078" s="80">
        <f>IF(BD1078=0,0,IF(D1078="Malcolm",1,MATCH(BF1078,{"Draft","Submitted","Approved","Returned","Recall Requested","Cancelled"},0)+1))</f>
        <v>0</v>
      </c>
      <c r="CH1078" s="80">
        <f>IF(AND(BF1078="Submitted",ISNUMBER(V1078)),IF(V1078&gt;CFG_MAXD,1,0),0)</f>
        <v>0</v>
      </c>
    </row>
    <row r="1079">
      <c r="A1079" s="71" t="str">
        <f>IF(Y1079=1,ROW()-5,"")</f>
        <v/>
      </c>
      <c r="B1079" s="72" t="n"/>
      <c r="C1079" s="71" t="str">
        <f>IF(ISNUMBER(B1079),CHOOSE(WEEKDAY(B1079,2),"Lun","Mar","Mié","Jue","Vie","Sáb","Dom"),"")</f>
        <v/>
      </c>
      <c r="D1079" s="73" t="n"/>
      <c r="E1079" s="74" t="n"/>
      <c r="F1079" s="74" t="n"/>
      <c r="G1079" s="74" t="n"/>
      <c r="H1079" s="75" t="n"/>
      <c r="I1079" s="75" t="n"/>
      <c r="J1079" s="76" t="n"/>
      <c r="K1079" s="77" t="str">
        <f>IF(AB1079=1,ROUND(AG1079/60,4),"")</f>
        <v/>
      </c>
      <c r="L1079" s="77" t="str">
        <f>IF(BD1079=1,ROUND(AP1079/60,4),"")</f>
        <v/>
      </c>
      <c r="M1079" s="77" t="str">
        <f>IF(BD1079=1,ROUND(AQ1079/60,4),"")</f>
        <v/>
      </c>
      <c r="N1079" s="71" t="str">
        <f>IF(AND(D1079="proMX",AB1079=1),ROUND(AG1079/CFG_BLK,2),"")</f>
        <v/>
      </c>
      <c r="O1079" s="77" t="str">
        <f>IF(D1079="proMX",IF(BD1079=1,ROUND(AG1079/60,4),0),"")</f>
        <v/>
      </c>
      <c r="P1079" s="78" t="str">
        <f>IF(Y1079=0,"",IF(BD1079=1,"OK",IF(D1079="proMX","Revisar bloques: ","Revisar: ")&amp;BC1079))</f>
        <v/>
      </c>
      <c r="Q1079" s="78" t="str">
        <f>IF(NOT(ISNUMBER(B1079)),"",IF(COUNTIFS(FER_F,INT(B1079))&gt;0,"Feriado"&amp;IF(AH1079=1," (laborable)"," (no laborable)"),IF(AH1079=1,"Laborable",IF(WEEKDAY(B1079,2)&gt;5,"Fin de semana","No laborable"))))</f>
        <v/>
      </c>
      <c r="R1079" s="73" t="n"/>
      <c r="S1079" s="72" t="n"/>
      <c r="T1079" s="72" t="n"/>
      <c r="U1079" s="74" t="n"/>
      <c r="V1079" s="79" t="str">
        <f>IF(AND(D1079="proMX",OR(R1079="Submitted",R1079="Recall Requested"),ISNUMBER(S1079)),CFG_TODAY-INT(S1079),"")</f>
        <v/>
      </c>
      <c r="W1079" s="78" t="str">
        <f>IF(BD1079=0,"",IF(BA1079&gt;0,"⚠ Se superpone con un registro de la otra empresa",IF(D1079="Malcolm",IF(COUNTA(R1079,S1079,T1079)&gt;0,"Estado/fechas proMX se ignoran en Malcolm",""),IF(BF1079="Cancelled","Cancelado: excluido de totales",IF(R1079="","Sin estado: se trata como Draft",IF(BF1079="Submitted",IF(ISNUMBER(V1079),IF(V1079&gt;CFG_MAXD,"⚠ "&amp;V1079&amp;" días en Submitted (máx. "&amp;CFG_MAXD&amp;")",""),"Falta fecha de envío"),IF(BF1079="Returned","⚠ Devuelto: corregir y reenviar",IF(BF1079="Recall Requested","Retirada solicitada: pendiente",IF(AND(BF1079="Approved",NOT(ISNUMBER(T1079))),"Falta fecha de aprobación",IF(AND(ISNUMBER(S1079),ISNUMBER(T1079),T1079&lt;S1079),"Aprobación anterior al envío","")))))))))</f>
        <v/>
      </c>
      <c r="Y1079" s="80">
        <f>IF(COUNTA(B1079,D1079,E1079,F1079,G1079,H1079,I1079,J1079,R1079,S1079,T1079)&gt;0,1,0)</f>
        <v>0</v>
      </c>
      <c r="Z1079" s="80" t="str">
        <f>IF(AND(ISNUMBER(H1079),H1079&gt;=0,H1079&lt;1),ROUND(H1079*1440,0),"")</f>
        <v/>
      </c>
      <c r="AA1079" s="80" t="str">
        <f>IF(AND(ISNUMBER(I1079),I1079&gt;=0,I1079&lt;1),ROUND(I1079*1440,0),"")</f>
        <v/>
      </c>
      <c r="AB1079" s="80">
        <f>IF(AND(ISNUMBER(B1079),D1079&lt;&gt;"",ISNUMBER(Z1079),ISNUMBER(AA1079)),IF(Z1079=AA1079,0,1),0)</f>
        <v>0</v>
      </c>
      <c r="AC1079" s="80">
        <f>IF(AB1079=1,IF(AA1079&lt;Z1079,1,0),0)</f>
        <v>0</v>
      </c>
      <c r="AD1079" s="80">
        <f>IF(AB1079=1,IF(AC1079=1,1440-Z1079+AA1079,AA1079-Z1079),0)</f>
        <v>0</v>
      </c>
      <c r="AE1079" s="80">
        <f>IF(J1079="",0,IF(ISNUMBER(J1079),J1079,-1))</f>
        <v>0</v>
      </c>
      <c r="AF1079" s="80">
        <f>MIN(MAX(0,AE1079),AD1079)</f>
        <v>0</v>
      </c>
      <c r="AG1079" s="80">
        <f>MAX(0,AD1079-MAX(0,AE1079))</f>
        <v>0</v>
      </c>
      <c r="AH1079" s="80">
        <f>IF(ISNUMBER(B1079),IF(AND(INDEX(CFG_WDAYS,WEEKDAY(INT(B1079),2))="Sí",IF(D1079="proMX",COUNTIFS(FER_F,INT(B1079),FER_NLP,"Sí"),COUNTIFS(FER_F,INT(B1079),FER_NLM,"Sí"))=0),1,0),0)</f>
        <v>0</v>
      </c>
      <c r="AI1079" s="80">
        <f>IF(AC1079=1,IF(AND(INDEX(CFG_WDAYS,WEEKDAY(INT(B1079)+1,2))="Sí",IF(D1079="proMX",COUNTIFS(FER_F,INT(B1079)+1,FER_NLP,"Sí"),COUNTIFS(FER_F,INT(B1079)+1,FER_NLM,"Sí"))=0),1,0),0)</f>
        <v>0</v>
      </c>
      <c r="AJ1079" s="80">
        <f>IF(AC1079=1,1440-Z1079,AD1079)</f>
        <v>0</v>
      </c>
      <c r="AK1079" s="80">
        <f>IF(AND(AB1079=1,AH1079=1),MAX(0,MIN(IF(AC1079=1,1440,AA1079),CFG_WEM)-MAX(Z1079,CFG_WSM)),0)</f>
        <v>0</v>
      </c>
      <c r="AL1079" s="80">
        <f>IF(AND(AC1079=1,AI1079=1),MAX(0,MIN(AA1079,CFG_WEM)-CFG_WSM),0)</f>
        <v>0</v>
      </c>
      <c r="AM1079" s="80">
        <f>AK1079+AL1079</f>
        <v>0</v>
      </c>
      <c r="AN1079" s="80">
        <f>IF(CFG_BRK="Proporcional",IF(AD1079=0,0,AF1079*AM1079/AD1079),IF(CFG_BRK="Extras primero",MIN(AM1079,MAX(0,AF1079-(AD1079-AM1079))),MIN(AF1079,AM1079)))</f>
        <v>0</v>
      </c>
      <c r="AO1079" s="80">
        <f>AF1079-AN1079</f>
        <v>0</v>
      </c>
      <c r="AP1079" s="80">
        <f>AM1079-AN1079</f>
        <v>0</v>
      </c>
      <c r="AQ1079" s="80">
        <f>AD1079-AM1079-AO1079</f>
        <v>0</v>
      </c>
      <c r="AR1079" s="80">
        <f>IF(AM1079=0,0,AK1079-AN1079*AK1079/AM1079)</f>
        <v>0</v>
      </c>
      <c r="AS1079" s="80">
        <f>IF(AD1079-AM1079=0,0,(AJ1079-AK1079)-AO1079*(AJ1079-AK1079)/(AD1079-AM1079))</f>
        <v>0</v>
      </c>
      <c r="AT1079" s="80" t="str">
        <f>IF(AC1079=1,INT(B1079)+1,"")</f>
        <v/>
      </c>
      <c r="AU1079" s="80">
        <f>IF(AND(D1079="proMX",R1079="Cancelled"),0,1)</f>
        <v>1</v>
      </c>
      <c r="AV1079" s="80">
        <f>IF(AND(AB1079=1,AU1079=1),IF(COUNTIFS($D$5:D1078,D1079,$B$5:B1078,B1079,$Z$5:Z1078,Z1079,$AA$5:AA1078,AA1079,$F$5:F1078,F1079&amp;"",$AU$5:AU1078,1)&gt;0,1,0),0)</f>
        <v>0</v>
      </c>
      <c r="AW1079" s="80" t="str">
        <f>IF(AB1079=1,INT(B1079)*1440+Z1079,"")</f>
        <v/>
      </c>
      <c r="AX1079" s="80" t="str">
        <f>IF(AB1079=1,AW1079+AD1079,"")</f>
        <v/>
      </c>
      <c r="AY1079" s="80">
        <f>IF(AND(AB1079=1,AV1079=0,AU1079=1),1,0)</f>
        <v>0</v>
      </c>
      <c r="AZ1079" s="80">
        <f>IF(AY1079=1,COUNTIFS(R_Emp,D1079,R_SAbs,"&lt;"&amp;AX1079,R_EAbs,"&gt;"&amp;AW1079,R_OKey,1)-1,0)</f>
        <v>0</v>
      </c>
      <c r="BA1079" s="80">
        <f>IF(AY1079=1,COUNTIFS(R_Emp,"&lt;&gt;"&amp;D1079,R_SAbs,"&lt;"&amp;AX1079,R_EAbs,"&gt;"&amp;AW1079,R_OKey,1),0)</f>
        <v>0</v>
      </c>
      <c r="BB1079" s="80">
        <f>IF(AND(AB1079=1,D1079="proMX"),IF(AND(MOD(Z1079,CFG_BLK)=0,MOD(AA1079,CFG_BLK)=0,MOD(AG1079,CFG_BLK)=0,AG1079&gt;0),1,0),1)</f>
        <v>1</v>
      </c>
      <c r="BC1079" s="80" t="str">
        <f>IF(Y1079=0,"",IF(NOT(ISNUMBER(B1079)),"Falta fecha o fecha inválida",IF(D1079="","Falta empresa",IF(AND(D1079&lt;&gt;"Malcolm",D1079&lt;&gt;"proMX"),"Empresa inválida",IF(OR(INT(B1079)&lt;CFG_PSTART,INT(B1079)&gt;CFG_PEND),"Fecha fuera del período",IF(OR(NOT(ISNUMBER(Z1079)),NOT(ISNUMBER(AA1079))),"Falta hora inicio/fin o formato inválido",IF(AB1079=0,"Hora inicio = hora fin",IF(AE1079&lt;0,"Descanso inválido",IF(AE1079&gt;=AD1079,"Descanso ≥ duración",IF(AV1079=1,"Registro duplicado",IF(AZ1079&gt;0,"Se superpone con otro registro "&amp;D1079,IF(BB1079=0,"inicio, fin y duración neta deben ser múltiplos de "&amp;CFG_BLK&amp;" min",""))))))))))))</f>
        <v/>
      </c>
      <c r="BD1079" s="80">
        <f>IF(AND(Y1079=1,BC1079=""),1,0)</f>
        <v>0</v>
      </c>
      <c r="BE1079" s="80">
        <f>IF(AND(BD1079=1,AU1079=1),1,0)</f>
        <v>0</v>
      </c>
      <c r="BF1079" s="80" t="str">
        <f>IF(AND(D1079="proMX",BD1079=1),IF(R1079="","Draft",R1079),"")</f>
        <v/>
      </c>
      <c r="BG1079" s="80">
        <f>IF(BD1079=1,ROUND(AG1079/60,6),0)</f>
        <v>0</v>
      </c>
      <c r="BH1079" s="80">
        <f>IF(BE1079=1,ROUND(AG1079/60,6),0)</f>
        <v>0</v>
      </c>
      <c r="BI1079" s="80">
        <f>IF(BE1079=1,ROUND(AP1079/60,6),0)</f>
        <v>0</v>
      </c>
      <c r="BJ1079" s="80">
        <f>IF(BE1079=1,ROUND(AQ1079/60,6),0)</f>
        <v>0</v>
      </c>
      <c r="BK1079" s="80">
        <f>IF(BE1079=1,ROUND((AR1079+AS1079)/60,6),0)</f>
        <v>0</v>
      </c>
      <c r="BL1079" s="80">
        <f>ROUND(BH1079-BK1079,6)</f>
        <v>0</v>
      </c>
      <c r="BM1079" s="80">
        <f>IF(BE1079=1,ROUND(AR1079/60,6),0)</f>
        <v>0</v>
      </c>
      <c r="BN1079" s="80">
        <f>ROUND(BI1079-BM1079,6)</f>
        <v>0</v>
      </c>
      <c r="BO1079" s="80">
        <f>IF(BE1079=1,ROUND(AS1079/60,6),0)</f>
        <v>0</v>
      </c>
      <c r="BP1079" s="80">
        <f>ROUND(BJ1079-BO1079,6)</f>
        <v>0</v>
      </c>
      <c r="BQ1079" s="80">
        <f>IF(BE1079=1,AW1079,0)</f>
        <v>0</v>
      </c>
      <c r="BR1079" s="80">
        <f>IF(BE1079=1,AX1079,0)</f>
        <v>0</v>
      </c>
      <c r="BS1079" s="80">
        <f>IF(AND(BE1079=1,D1079="Malcolm",BA1079&gt;0),MIN(BH1079,SUMPRODUCT((R_Emp="proMX")*(R_EN&gt;0)*((R_EN-(R_EN&gt;BR1079)*(R_EN-BR1079))&gt;(R_SN+(R_SN&lt;BQ1079)*(BQ1079-R_SN)))*((R_EN-(R_EN&gt;BR1079)*(R_EN-BR1079))-(R_SN+(R_SN&lt;BQ1079)*(BQ1079-R_SN))))/60),0)</f>
        <v>0</v>
      </c>
      <c r="BT1079" s="80">
        <f>IF(AND(BE1079=1,D1079="proMX"),ROUND(BI1079*CFG_RATE+BJ1079*CFG_OTRATE,6),0)</f>
        <v>0</v>
      </c>
      <c r="BU1079" s="80">
        <f>IF(AND(BD1079=1,D1079="proMX"),ROUND(AG1079/CFG_BLK,6),0)</f>
        <v>0</v>
      </c>
      <c r="BV1079" s="80" t="str">
        <f>IF(BF1079="Approved",IF(ISNUMBER(T1079),INT(T1079),INT(B1079)),"")</f>
        <v/>
      </c>
      <c r="BW1079" s="80">
        <f>IF(ISNUMBER(B1079),IF(DB_MON="Todos",1,IF(AND(INT(B1079)&gt;=DB_MS,INT(B1079)&lt;=DB_ME),1,0)),0)</f>
        <v>0</v>
      </c>
      <c r="BX1079" s="80">
        <f>IF(DB_PROJ="Todos",1,IF(E1079&amp;""=DB_PROJ&amp;"",1,0))</f>
        <v>1</v>
      </c>
      <c r="BY1079" s="80">
        <f>BW1079*BX1079</f>
        <v>0</v>
      </c>
      <c r="BZ1079" s="80" t="str">
        <f>IF(Y1079=1,F1079&amp;IF(AND(F1079&amp;""&lt;&gt;"",E1079&amp;""&lt;&gt;"")," · ","")&amp;E1079,"")</f>
        <v/>
      </c>
      <c r="CA1079" s="80" t="str">
        <f>IF(AND(BD1079=1,E1079&amp;""&lt;&gt;""),IF(COUNTIFS($E$5:E1078,E1079,$BD$5:BD1078,1)=0,MAX($CA$5:CA1078)+1,""),"")</f>
        <v/>
      </c>
      <c r="CB1079" s="80" t="str">
        <f>IF(AND(BE1079=1,D1079="Malcolm",E1079&amp;""&lt;&gt;""),IF(COUNTIFS($D$5:D1078,"Malcolm",$E$5:E1078,E1079,$BE$5:BE1078,1)=0,MAX($CB$5:CB1078)+1,""),"")</f>
        <v/>
      </c>
      <c r="CC1079" s="80" t="str">
        <f>IF(AND(BD1079=1,D1079="proMX",E1079&amp;""&lt;&gt;""),IF(COUNTIFS($D$5:D1078,"proMX",$E$5:E1078,E1079,$BD$5:BD1078,1)=0,MAX($CC$5:CC1078)+1,""),"")</f>
        <v/>
      </c>
      <c r="CD1079" s="80" t="str">
        <f>IF(AND(BE1079=1,D1079="Malcolm",F1079&amp;""&lt;&gt;""),IF(COUNTIFS($D$5:D1078,"Malcolm",$F$5:F1078,F1079,$BE$5:BE1078,1)=0,MAX($CD$5:CD1078)+1,""),"")</f>
        <v/>
      </c>
      <c r="CE1079" s="80" t="str">
        <f>IF(AND(BD1079=1,D1079="proMX",F1079&amp;""&lt;&gt;""),IF(COUNTIFS($D$5:D1078,"proMX",$F$5:F1078,F1079,$BD$5:BD1078,1)=0,MAX($CE$5:CE1078)+1,""),"")</f>
        <v/>
      </c>
      <c r="CF1079" s="80" t="str">
        <f>IF(AND(D1079="proMX",BD1079=1),IF(OR(BF1079="Draft",BF1079="Submitted",BF1079="Returned",BF1079="Recall Requested"),MAX($CF$5:CF1078)+1,""),"")</f>
        <v/>
      </c>
      <c r="CG1079" s="80">
        <f>IF(BD1079=0,0,IF(D1079="Malcolm",1,MATCH(BF1079,{"Draft","Submitted","Approved","Returned","Recall Requested","Cancelled"},0)+1))</f>
        <v>0</v>
      </c>
      <c r="CH1079" s="80">
        <f>IF(AND(BF1079="Submitted",ISNUMBER(V1079)),IF(V1079&gt;CFG_MAXD,1,0),0)</f>
        <v>0</v>
      </c>
    </row>
    <row r="1080">
      <c r="A1080" s="71" t="str">
        <f>IF(Y1080=1,ROW()-5,"")</f>
        <v/>
      </c>
      <c r="B1080" s="72" t="n"/>
      <c r="C1080" s="71" t="str">
        <f>IF(ISNUMBER(B1080),CHOOSE(WEEKDAY(B1080,2),"Lun","Mar","Mié","Jue","Vie","Sáb","Dom"),"")</f>
        <v/>
      </c>
      <c r="D1080" s="73" t="n"/>
      <c r="E1080" s="74" t="n"/>
      <c r="F1080" s="74" t="n"/>
      <c r="G1080" s="74" t="n"/>
      <c r="H1080" s="75" t="n"/>
      <c r="I1080" s="75" t="n"/>
      <c r="J1080" s="76" t="n"/>
      <c r="K1080" s="77" t="str">
        <f>IF(AB1080=1,ROUND(AG1080/60,4),"")</f>
        <v/>
      </c>
      <c r="L1080" s="77" t="str">
        <f>IF(BD1080=1,ROUND(AP1080/60,4),"")</f>
        <v/>
      </c>
      <c r="M1080" s="77" t="str">
        <f>IF(BD1080=1,ROUND(AQ1080/60,4),"")</f>
        <v/>
      </c>
      <c r="N1080" s="71" t="str">
        <f>IF(AND(D1080="proMX",AB1080=1),ROUND(AG1080/CFG_BLK,2),"")</f>
        <v/>
      </c>
      <c r="O1080" s="77" t="str">
        <f>IF(D1080="proMX",IF(BD1080=1,ROUND(AG1080/60,4),0),"")</f>
        <v/>
      </c>
      <c r="P1080" s="78" t="str">
        <f>IF(Y1080=0,"",IF(BD1080=1,"OK",IF(D1080="proMX","Revisar bloques: ","Revisar: ")&amp;BC1080))</f>
        <v/>
      </c>
      <c r="Q1080" s="78" t="str">
        <f>IF(NOT(ISNUMBER(B1080)),"",IF(COUNTIFS(FER_F,INT(B1080))&gt;0,"Feriado"&amp;IF(AH1080=1," (laborable)"," (no laborable)"),IF(AH1080=1,"Laborable",IF(WEEKDAY(B1080,2)&gt;5,"Fin de semana","No laborable"))))</f>
        <v/>
      </c>
      <c r="R1080" s="73" t="n"/>
      <c r="S1080" s="72" t="n"/>
      <c r="T1080" s="72" t="n"/>
      <c r="U1080" s="74" t="n"/>
      <c r="V1080" s="79" t="str">
        <f>IF(AND(D1080="proMX",OR(R1080="Submitted",R1080="Recall Requested"),ISNUMBER(S1080)),CFG_TODAY-INT(S1080),"")</f>
        <v/>
      </c>
      <c r="W1080" s="78" t="str">
        <f>IF(BD1080=0,"",IF(BA1080&gt;0,"⚠ Se superpone con un registro de la otra empresa",IF(D1080="Malcolm",IF(COUNTA(R1080,S1080,T1080)&gt;0,"Estado/fechas proMX se ignoran en Malcolm",""),IF(BF1080="Cancelled","Cancelado: excluido de totales",IF(R1080="","Sin estado: se trata como Draft",IF(BF1080="Submitted",IF(ISNUMBER(V1080),IF(V1080&gt;CFG_MAXD,"⚠ "&amp;V1080&amp;" días en Submitted (máx. "&amp;CFG_MAXD&amp;")",""),"Falta fecha de envío"),IF(BF1080="Returned","⚠ Devuelto: corregir y reenviar",IF(BF1080="Recall Requested","Retirada solicitada: pendiente",IF(AND(BF1080="Approved",NOT(ISNUMBER(T1080))),"Falta fecha de aprobación",IF(AND(ISNUMBER(S1080),ISNUMBER(T1080),T1080&lt;S1080),"Aprobación anterior al envío","")))))))))</f>
        <v/>
      </c>
      <c r="Y1080" s="80">
        <f>IF(COUNTA(B1080,D1080,E1080,F1080,G1080,H1080,I1080,J1080,R1080,S1080,T1080)&gt;0,1,0)</f>
        <v>0</v>
      </c>
      <c r="Z1080" s="80" t="str">
        <f>IF(AND(ISNUMBER(H1080),H1080&gt;=0,H1080&lt;1),ROUND(H1080*1440,0),"")</f>
        <v/>
      </c>
      <c r="AA1080" s="80" t="str">
        <f>IF(AND(ISNUMBER(I1080),I1080&gt;=0,I1080&lt;1),ROUND(I1080*1440,0),"")</f>
        <v/>
      </c>
      <c r="AB1080" s="80">
        <f>IF(AND(ISNUMBER(B1080),D1080&lt;&gt;"",ISNUMBER(Z1080),ISNUMBER(AA1080)),IF(Z1080=AA1080,0,1),0)</f>
        <v>0</v>
      </c>
      <c r="AC1080" s="80">
        <f>IF(AB1080=1,IF(AA1080&lt;Z1080,1,0),0)</f>
        <v>0</v>
      </c>
      <c r="AD1080" s="80">
        <f>IF(AB1080=1,IF(AC1080=1,1440-Z1080+AA1080,AA1080-Z1080),0)</f>
        <v>0</v>
      </c>
      <c r="AE1080" s="80">
        <f>IF(J1080="",0,IF(ISNUMBER(J1080),J1080,-1))</f>
        <v>0</v>
      </c>
      <c r="AF1080" s="80">
        <f>MIN(MAX(0,AE1080),AD1080)</f>
        <v>0</v>
      </c>
      <c r="AG1080" s="80">
        <f>MAX(0,AD1080-MAX(0,AE1080))</f>
        <v>0</v>
      </c>
      <c r="AH1080" s="80">
        <f>IF(ISNUMBER(B1080),IF(AND(INDEX(CFG_WDAYS,WEEKDAY(INT(B1080),2))="Sí",IF(D1080="proMX",COUNTIFS(FER_F,INT(B1080),FER_NLP,"Sí"),COUNTIFS(FER_F,INT(B1080),FER_NLM,"Sí"))=0),1,0),0)</f>
        <v>0</v>
      </c>
      <c r="AI1080" s="80">
        <f>IF(AC1080=1,IF(AND(INDEX(CFG_WDAYS,WEEKDAY(INT(B1080)+1,2))="Sí",IF(D1080="proMX",COUNTIFS(FER_F,INT(B1080)+1,FER_NLP,"Sí"),COUNTIFS(FER_F,INT(B1080)+1,FER_NLM,"Sí"))=0),1,0),0)</f>
        <v>0</v>
      </c>
      <c r="AJ1080" s="80">
        <f>IF(AC1080=1,1440-Z1080,AD1080)</f>
        <v>0</v>
      </c>
      <c r="AK1080" s="80">
        <f>IF(AND(AB1080=1,AH1080=1),MAX(0,MIN(IF(AC1080=1,1440,AA1080),CFG_WEM)-MAX(Z1080,CFG_WSM)),0)</f>
        <v>0</v>
      </c>
      <c r="AL1080" s="80">
        <f>IF(AND(AC1080=1,AI1080=1),MAX(0,MIN(AA1080,CFG_WEM)-CFG_WSM),0)</f>
        <v>0</v>
      </c>
      <c r="AM1080" s="80">
        <f>AK1080+AL1080</f>
        <v>0</v>
      </c>
      <c r="AN1080" s="80">
        <f>IF(CFG_BRK="Proporcional",IF(AD1080=0,0,AF1080*AM1080/AD1080),IF(CFG_BRK="Extras primero",MIN(AM1080,MAX(0,AF1080-(AD1080-AM1080))),MIN(AF1080,AM1080)))</f>
        <v>0</v>
      </c>
      <c r="AO1080" s="80">
        <f>AF1080-AN1080</f>
        <v>0</v>
      </c>
      <c r="AP1080" s="80">
        <f>AM1080-AN1080</f>
        <v>0</v>
      </c>
      <c r="AQ1080" s="80">
        <f>AD1080-AM1080-AO1080</f>
        <v>0</v>
      </c>
      <c r="AR1080" s="80">
        <f>IF(AM1080=0,0,AK1080-AN1080*AK1080/AM1080)</f>
        <v>0</v>
      </c>
      <c r="AS1080" s="80">
        <f>IF(AD1080-AM1080=0,0,(AJ1080-AK1080)-AO1080*(AJ1080-AK1080)/(AD1080-AM1080))</f>
        <v>0</v>
      </c>
      <c r="AT1080" s="80" t="str">
        <f>IF(AC1080=1,INT(B1080)+1,"")</f>
        <v/>
      </c>
      <c r="AU1080" s="80">
        <f>IF(AND(D1080="proMX",R1080="Cancelled"),0,1)</f>
        <v>1</v>
      </c>
      <c r="AV1080" s="80">
        <f>IF(AND(AB1080=1,AU1080=1),IF(COUNTIFS($D$5:D1079,D1080,$B$5:B1079,B1080,$Z$5:Z1079,Z1080,$AA$5:AA1079,AA1080,$F$5:F1079,F1080&amp;"",$AU$5:AU1079,1)&gt;0,1,0),0)</f>
        <v>0</v>
      </c>
      <c r="AW1080" s="80" t="str">
        <f>IF(AB1080=1,INT(B1080)*1440+Z1080,"")</f>
        <v/>
      </c>
      <c r="AX1080" s="80" t="str">
        <f>IF(AB1080=1,AW1080+AD1080,"")</f>
        <v/>
      </c>
      <c r="AY1080" s="80">
        <f>IF(AND(AB1080=1,AV1080=0,AU1080=1),1,0)</f>
        <v>0</v>
      </c>
      <c r="AZ1080" s="80">
        <f>IF(AY1080=1,COUNTIFS(R_Emp,D1080,R_SAbs,"&lt;"&amp;AX1080,R_EAbs,"&gt;"&amp;AW1080,R_OKey,1)-1,0)</f>
        <v>0</v>
      </c>
      <c r="BA1080" s="80">
        <f>IF(AY1080=1,COUNTIFS(R_Emp,"&lt;&gt;"&amp;D1080,R_SAbs,"&lt;"&amp;AX1080,R_EAbs,"&gt;"&amp;AW1080,R_OKey,1),0)</f>
        <v>0</v>
      </c>
      <c r="BB1080" s="80">
        <f>IF(AND(AB1080=1,D1080="proMX"),IF(AND(MOD(Z1080,CFG_BLK)=0,MOD(AA1080,CFG_BLK)=0,MOD(AG1080,CFG_BLK)=0,AG1080&gt;0),1,0),1)</f>
        <v>1</v>
      </c>
      <c r="BC1080" s="80" t="str">
        <f>IF(Y1080=0,"",IF(NOT(ISNUMBER(B1080)),"Falta fecha o fecha inválida",IF(D1080="","Falta empresa",IF(AND(D1080&lt;&gt;"Malcolm",D1080&lt;&gt;"proMX"),"Empresa inválida",IF(OR(INT(B1080)&lt;CFG_PSTART,INT(B1080)&gt;CFG_PEND),"Fecha fuera del período",IF(OR(NOT(ISNUMBER(Z1080)),NOT(ISNUMBER(AA1080))),"Falta hora inicio/fin o formato inválido",IF(AB1080=0,"Hora inicio = hora fin",IF(AE1080&lt;0,"Descanso inválido",IF(AE1080&gt;=AD1080,"Descanso ≥ duración",IF(AV1080=1,"Registro duplicado",IF(AZ1080&gt;0,"Se superpone con otro registro "&amp;D1080,IF(BB1080=0,"inicio, fin y duración neta deben ser múltiplos de "&amp;CFG_BLK&amp;" min",""))))))))))))</f>
        <v/>
      </c>
      <c r="BD1080" s="80">
        <f>IF(AND(Y1080=1,BC1080=""),1,0)</f>
        <v>0</v>
      </c>
      <c r="BE1080" s="80">
        <f>IF(AND(BD1080=1,AU1080=1),1,0)</f>
        <v>0</v>
      </c>
      <c r="BF1080" s="80" t="str">
        <f>IF(AND(D1080="proMX",BD1080=1),IF(R1080="","Draft",R1080),"")</f>
        <v/>
      </c>
      <c r="BG1080" s="80">
        <f>IF(BD1080=1,ROUND(AG1080/60,6),0)</f>
        <v>0</v>
      </c>
      <c r="BH1080" s="80">
        <f>IF(BE1080=1,ROUND(AG1080/60,6),0)</f>
        <v>0</v>
      </c>
      <c r="BI1080" s="80">
        <f>IF(BE1080=1,ROUND(AP1080/60,6),0)</f>
        <v>0</v>
      </c>
      <c r="BJ1080" s="80">
        <f>IF(BE1080=1,ROUND(AQ1080/60,6),0)</f>
        <v>0</v>
      </c>
      <c r="BK1080" s="80">
        <f>IF(BE1080=1,ROUND((AR1080+AS1080)/60,6),0)</f>
        <v>0</v>
      </c>
      <c r="BL1080" s="80">
        <f>ROUND(BH1080-BK1080,6)</f>
        <v>0</v>
      </c>
      <c r="BM1080" s="80">
        <f>IF(BE1080=1,ROUND(AR1080/60,6),0)</f>
        <v>0</v>
      </c>
      <c r="BN1080" s="80">
        <f>ROUND(BI1080-BM1080,6)</f>
        <v>0</v>
      </c>
      <c r="BO1080" s="80">
        <f>IF(BE1080=1,ROUND(AS1080/60,6),0)</f>
        <v>0</v>
      </c>
      <c r="BP1080" s="80">
        <f>ROUND(BJ1080-BO1080,6)</f>
        <v>0</v>
      </c>
      <c r="BQ1080" s="80">
        <f>IF(BE1080=1,AW1080,0)</f>
        <v>0</v>
      </c>
      <c r="BR1080" s="80">
        <f>IF(BE1080=1,AX1080,0)</f>
        <v>0</v>
      </c>
      <c r="BS1080" s="80">
        <f>IF(AND(BE1080=1,D1080="Malcolm",BA1080&gt;0),MIN(BH1080,SUMPRODUCT((R_Emp="proMX")*(R_EN&gt;0)*((R_EN-(R_EN&gt;BR1080)*(R_EN-BR1080))&gt;(R_SN+(R_SN&lt;BQ1080)*(BQ1080-R_SN)))*((R_EN-(R_EN&gt;BR1080)*(R_EN-BR1080))-(R_SN+(R_SN&lt;BQ1080)*(BQ1080-R_SN))))/60),0)</f>
        <v>0</v>
      </c>
      <c r="BT1080" s="80">
        <f>IF(AND(BE1080=1,D1080="proMX"),ROUND(BI1080*CFG_RATE+BJ1080*CFG_OTRATE,6),0)</f>
        <v>0</v>
      </c>
      <c r="BU1080" s="80">
        <f>IF(AND(BD1080=1,D1080="proMX"),ROUND(AG1080/CFG_BLK,6),0)</f>
        <v>0</v>
      </c>
      <c r="BV1080" s="80" t="str">
        <f>IF(BF1080="Approved",IF(ISNUMBER(T1080),INT(T1080),INT(B1080)),"")</f>
        <v/>
      </c>
      <c r="BW1080" s="80">
        <f>IF(ISNUMBER(B1080),IF(DB_MON="Todos",1,IF(AND(INT(B1080)&gt;=DB_MS,INT(B1080)&lt;=DB_ME),1,0)),0)</f>
        <v>0</v>
      </c>
      <c r="BX1080" s="80">
        <f>IF(DB_PROJ="Todos",1,IF(E1080&amp;""=DB_PROJ&amp;"",1,0))</f>
        <v>1</v>
      </c>
      <c r="BY1080" s="80">
        <f>BW1080*BX1080</f>
        <v>0</v>
      </c>
      <c r="BZ1080" s="80" t="str">
        <f>IF(Y1080=1,F1080&amp;IF(AND(F1080&amp;""&lt;&gt;"",E1080&amp;""&lt;&gt;"")," · ","")&amp;E1080,"")</f>
        <v/>
      </c>
      <c r="CA1080" s="80" t="str">
        <f>IF(AND(BD1080=1,E1080&amp;""&lt;&gt;""),IF(COUNTIFS($E$5:E1079,E1080,$BD$5:BD1079,1)=0,MAX($CA$5:CA1079)+1,""),"")</f>
        <v/>
      </c>
      <c r="CB1080" s="80" t="str">
        <f>IF(AND(BE1080=1,D1080="Malcolm",E1080&amp;""&lt;&gt;""),IF(COUNTIFS($D$5:D1079,"Malcolm",$E$5:E1079,E1080,$BE$5:BE1079,1)=0,MAX($CB$5:CB1079)+1,""),"")</f>
        <v/>
      </c>
      <c r="CC1080" s="80" t="str">
        <f>IF(AND(BD1080=1,D1080="proMX",E1080&amp;""&lt;&gt;""),IF(COUNTIFS($D$5:D1079,"proMX",$E$5:E1079,E1080,$BD$5:BD1079,1)=0,MAX($CC$5:CC1079)+1,""),"")</f>
        <v/>
      </c>
      <c r="CD1080" s="80" t="str">
        <f>IF(AND(BE1080=1,D1080="Malcolm",F1080&amp;""&lt;&gt;""),IF(COUNTIFS($D$5:D1079,"Malcolm",$F$5:F1079,F1080,$BE$5:BE1079,1)=0,MAX($CD$5:CD1079)+1,""),"")</f>
        <v/>
      </c>
      <c r="CE1080" s="80" t="str">
        <f>IF(AND(BD1080=1,D1080="proMX",F1080&amp;""&lt;&gt;""),IF(COUNTIFS($D$5:D1079,"proMX",$F$5:F1079,F1080,$BD$5:BD1079,1)=0,MAX($CE$5:CE1079)+1,""),"")</f>
        <v/>
      </c>
      <c r="CF1080" s="80" t="str">
        <f>IF(AND(D1080="proMX",BD1080=1),IF(OR(BF1080="Draft",BF1080="Submitted",BF1080="Returned",BF1080="Recall Requested"),MAX($CF$5:CF1079)+1,""),"")</f>
        <v/>
      </c>
      <c r="CG1080" s="80">
        <f>IF(BD1080=0,0,IF(D1080="Malcolm",1,MATCH(BF1080,{"Draft","Submitted","Approved","Returned","Recall Requested","Cancelled"},0)+1))</f>
        <v>0</v>
      </c>
      <c r="CH1080" s="80">
        <f>IF(AND(BF1080="Submitted",ISNUMBER(V1080)),IF(V1080&gt;CFG_MAXD,1,0),0)</f>
        <v>0</v>
      </c>
    </row>
    <row r="1081">
      <c r="A1081" s="71" t="str">
        <f>IF(Y1081=1,ROW()-5,"")</f>
        <v/>
      </c>
      <c r="B1081" s="72" t="n"/>
      <c r="C1081" s="71" t="str">
        <f>IF(ISNUMBER(B1081),CHOOSE(WEEKDAY(B1081,2),"Lun","Mar","Mié","Jue","Vie","Sáb","Dom"),"")</f>
        <v/>
      </c>
      <c r="D1081" s="73" t="n"/>
      <c r="E1081" s="74" t="n"/>
      <c r="F1081" s="74" t="n"/>
      <c r="G1081" s="74" t="n"/>
      <c r="H1081" s="75" t="n"/>
      <c r="I1081" s="75" t="n"/>
      <c r="J1081" s="76" t="n"/>
      <c r="K1081" s="77" t="str">
        <f>IF(AB1081=1,ROUND(AG1081/60,4),"")</f>
        <v/>
      </c>
      <c r="L1081" s="77" t="str">
        <f>IF(BD1081=1,ROUND(AP1081/60,4),"")</f>
        <v/>
      </c>
      <c r="M1081" s="77" t="str">
        <f>IF(BD1081=1,ROUND(AQ1081/60,4),"")</f>
        <v/>
      </c>
      <c r="N1081" s="71" t="str">
        <f>IF(AND(D1081="proMX",AB1081=1),ROUND(AG1081/CFG_BLK,2),"")</f>
        <v/>
      </c>
      <c r="O1081" s="77" t="str">
        <f>IF(D1081="proMX",IF(BD1081=1,ROUND(AG1081/60,4),0),"")</f>
        <v/>
      </c>
      <c r="P1081" s="78" t="str">
        <f>IF(Y1081=0,"",IF(BD1081=1,"OK",IF(D1081="proMX","Revisar bloques: ","Revisar: ")&amp;BC1081))</f>
        <v/>
      </c>
      <c r="Q1081" s="78" t="str">
        <f>IF(NOT(ISNUMBER(B1081)),"",IF(COUNTIFS(FER_F,INT(B1081))&gt;0,"Feriado"&amp;IF(AH1081=1," (laborable)"," (no laborable)"),IF(AH1081=1,"Laborable",IF(WEEKDAY(B1081,2)&gt;5,"Fin de semana","No laborable"))))</f>
        <v/>
      </c>
      <c r="R1081" s="73" t="n"/>
      <c r="S1081" s="72" t="n"/>
      <c r="T1081" s="72" t="n"/>
      <c r="U1081" s="74" t="n"/>
      <c r="V1081" s="79" t="str">
        <f>IF(AND(D1081="proMX",OR(R1081="Submitted",R1081="Recall Requested"),ISNUMBER(S1081)),CFG_TODAY-INT(S1081),"")</f>
        <v/>
      </c>
      <c r="W1081" s="78" t="str">
        <f>IF(BD1081=0,"",IF(BA1081&gt;0,"⚠ Se superpone con un registro de la otra empresa",IF(D1081="Malcolm",IF(COUNTA(R1081,S1081,T1081)&gt;0,"Estado/fechas proMX se ignoran en Malcolm",""),IF(BF1081="Cancelled","Cancelado: excluido de totales",IF(R1081="","Sin estado: se trata como Draft",IF(BF1081="Submitted",IF(ISNUMBER(V1081),IF(V1081&gt;CFG_MAXD,"⚠ "&amp;V1081&amp;" días en Submitted (máx. "&amp;CFG_MAXD&amp;")",""),"Falta fecha de envío"),IF(BF1081="Returned","⚠ Devuelto: corregir y reenviar",IF(BF1081="Recall Requested","Retirada solicitada: pendiente",IF(AND(BF1081="Approved",NOT(ISNUMBER(T1081))),"Falta fecha de aprobación",IF(AND(ISNUMBER(S1081),ISNUMBER(T1081),T1081&lt;S1081),"Aprobación anterior al envío","")))))))))</f>
        <v/>
      </c>
      <c r="Y1081" s="80">
        <f>IF(COUNTA(B1081,D1081,E1081,F1081,G1081,H1081,I1081,J1081,R1081,S1081,T1081)&gt;0,1,0)</f>
        <v>0</v>
      </c>
      <c r="Z1081" s="80" t="str">
        <f>IF(AND(ISNUMBER(H1081),H1081&gt;=0,H1081&lt;1),ROUND(H1081*1440,0),"")</f>
        <v/>
      </c>
      <c r="AA1081" s="80" t="str">
        <f>IF(AND(ISNUMBER(I1081),I1081&gt;=0,I1081&lt;1),ROUND(I1081*1440,0),"")</f>
        <v/>
      </c>
      <c r="AB1081" s="80">
        <f>IF(AND(ISNUMBER(B1081),D1081&lt;&gt;"",ISNUMBER(Z1081),ISNUMBER(AA1081)),IF(Z1081=AA1081,0,1),0)</f>
        <v>0</v>
      </c>
      <c r="AC1081" s="80">
        <f>IF(AB1081=1,IF(AA1081&lt;Z1081,1,0),0)</f>
        <v>0</v>
      </c>
      <c r="AD1081" s="80">
        <f>IF(AB1081=1,IF(AC1081=1,1440-Z1081+AA1081,AA1081-Z1081),0)</f>
        <v>0</v>
      </c>
      <c r="AE1081" s="80">
        <f>IF(J1081="",0,IF(ISNUMBER(J1081),J1081,-1))</f>
        <v>0</v>
      </c>
      <c r="AF1081" s="80">
        <f>MIN(MAX(0,AE1081),AD1081)</f>
        <v>0</v>
      </c>
      <c r="AG1081" s="80">
        <f>MAX(0,AD1081-MAX(0,AE1081))</f>
        <v>0</v>
      </c>
      <c r="AH1081" s="80">
        <f>IF(ISNUMBER(B1081),IF(AND(INDEX(CFG_WDAYS,WEEKDAY(INT(B1081),2))="Sí",IF(D1081="proMX",COUNTIFS(FER_F,INT(B1081),FER_NLP,"Sí"),COUNTIFS(FER_F,INT(B1081),FER_NLM,"Sí"))=0),1,0),0)</f>
        <v>0</v>
      </c>
      <c r="AI1081" s="80">
        <f>IF(AC1081=1,IF(AND(INDEX(CFG_WDAYS,WEEKDAY(INT(B1081)+1,2))="Sí",IF(D1081="proMX",COUNTIFS(FER_F,INT(B1081)+1,FER_NLP,"Sí"),COUNTIFS(FER_F,INT(B1081)+1,FER_NLM,"Sí"))=0),1,0),0)</f>
        <v>0</v>
      </c>
      <c r="AJ1081" s="80">
        <f>IF(AC1081=1,1440-Z1081,AD1081)</f>
        <v>0</v>
      </c>
      <c r="AK1081" s="80">
        <f>IF(AND(AB1081=1,AH1081=1),MAX(0,MIN(IF(AC1081=1,1440,AA1081),CFG_WEM)-MAX(Z1081,CFG_WSM)),0)</f>
        <v>0</v>
      </c>
      <c r="AL1081" s="80">
        <f>IF(AND(AC1081=1,AI1081=1),MAX(0,MIN(AA1081,CFG_WEM)-CFG_WSM),0)</f>
        <v>0</v>
      </c>
      <c r="AM1081" s="80">
        <f>AK1081+AL1081</f>
        <v>0</v>
      </c>
      <c r="AN1081" s="80">
        <f>IF(CFG_BRK="Proporcional",IF(AD1081=0,0,AF1081*AM1081/AD1081),IF(CFG_BRK="Extras primero",MIN(AM1081,MAX(0,AF1081-(AD1081-AM1081))),MIN(AF1081,AM1081)))</f>
        <v>0</v>
      </c>
      <c r="AO1081" s="80">
        <f>AF1081-AN1081</f>
        <v>0</v>
      </c>
      <c r="AP1081" s="80">
        <f>AM1081-AN1081</f>
        <v>0</v>
      </c>
      <c r="AQ1081" s="80">
        <f>AD1081-AM1081-AO1081</f>
        <v>0</v>
      </c>
      <c r="AR1081" s="80">
        <f>IF(AM1081=0,0,AK1081-AN1081*AK1081/AM1081)</f>
        <v>0</v>
      </c>
      <c r="AS1081" s="80">
        <f>IF(AD1081-AM1081=0,0,(AJ1081-AK1081)-AO1081*(AJ1081-AK1081)/(AD1081-AM1081))</f>
        <v>0</v>
      </c>
      <c r="AT1081" s="80" t="str">
        <f>IF(AC1081=1,INT(B1081)+1,"")</f>
        <v/>
      </c>
      <c r="AU1081" s="80">
        <f>IF(AND(D1081="proMX",R1081="Cancelled"),0,1)</f>
        <v>1</v>
      </c>
      <c r="AV1081" s="80">
        <f>IF(AND(AB1081=1,AU1081=1),IF(COUNTIFS($D$5:D1080,D1081,$B$5:B1080,B1081,$Z$5:Z1080,Z1081,$AA$5:AA1080,AA1081,$F$5:F1080,F1081&amp;"",$AU$5:AU1080,1)&gt;0,1,0),0)</f>
        <v>0</v>
      </c>
      <c r="AW1081" s="80" t="str">
        <f>IF(AB1081=1,INT(B1081)*1440+Z1081,"")</f>
        <v/>
      </c>
      <c r="AX1081" s="80" t="str">
        <f>IF(AB1081=1,AW1081+AD1081,"")</f>
        <v/>
      </c>
      <c r="AY1081" s="80">
        <f>IF(AND(AB1081=1,AV1081=0,AU1081=1),1,0)</f>
        <v>0</v>
      </c>
      <c r="AZ1081" s="80">
        <f>IF(AY1081=1,COUNTIFS(R_Emp,D1081,R_SAbs,"&lt;"&amp;AX1081,R_EAbs,"&gt;"&amp;AW1081,R_OKey,1)-1,0)</f>
        <v>0</v>
      </c>
      <c r="BA1081" s="80">
        <f>IF(AY1081=1,COUNTIFS(R_Emp,"&lt;&gt;"&amp;D1081,R_SAbs,"&lt;"&amp;AX1081,R_EAbs,"&gt;"&amp;AW1081,R_OKey,1),0)</f>
        <v>0</v>
      </c>
      <c r="BB1081" s="80">
        <f>IF(AND(AB1081=1,D1081="proMX"),IF(AND(MOD(Z1081,CFG_BLK)=0,MOD(AA1081,CFG_BLK)=0,MOD(AG1081,CFG_BLK)=0,AG1081&gt;0),1,0),1)</f>
        <v>1</v>
      </c>
      <c r="BC1081" s="80" t="str">
        <f>IF(Y1081=0,"",IF(NOT(ISNUMBER(B1081)),"Falta fecha o fecha inválida",IF(D1081="","Falta empresa",IF(AND(D1081&lt;&gt;"Malcolm",D1081&lt;&gt;"proMX"),"Empresa inválida",IF(OR(INT(B1081)&lt;CFG_PSTART,INT(B1081)&gt;CFG_PEND),"Fecha fuera del período",IF(OR(NOT(ISNUMBER(Z1081)),NOT(ISNUMBER(AA1081))),"Falta hora inicio/fin o formato inválido",IF(AB1081=0,"Hora inicio = hora fin",IF(AE1081&lt;0,"Descanso inválido",IF(AE1081&gt;=AD1081,"Descanso ≥ duración",IF(AV1081=1,"Registro duplicado",IF(AZ1081&gt;0,"Se superpone con otro registro "&amp;D1081,IF(BB1081=0,"inicio, fin y duración neta deben ser múltiplos de "&amp;CFG_BLK&amp;" min",""))))))))))))</f>
        <v/>
      </c>
      <c r="BD1081" s="80">
        <f>IF(AND(Y1081=1,BC1081=""),1,0)</f>
        <v>0</v>
      </c>
      <c r="BE1081" s="80">
        <f>IF(AND(BD1081=1,AU1081=1),1,0)</f>
        <v>0</v>
      </c>
      <c r="BF1081" s="80" t="str">
        <f>IF(AND(D1081="proMX",BD1081=1),IF(R1081="","Draft",R1081),"")</f>
        <v/>
      </c>
      <c r="BG1081" s="80">
        <f>IF(BD1081=1,ROUND(AG1081/60,6),0)</f>
        <v>0</v>
      </c>
      <c r="BH1081" s="80">
        <f>IF(BE1081=1,ROUND(AG1081/60,6),0)</f>
        <v>0</v>
      </c>
      <c r="BI1081" s="80">
        <f>IF(BE1081=1,ROUND(AP1081/60,6),0)</f>
        <v>0</v>
      </c>
      <c r="BJ1081" s="80">
        <f>IF(BE1081=1,ROUND(AQ1081/60,6),0)</f>
        <v>0</v>
      </c>
      <c r="BK1081" s="80">
        <f>IF(BE1081=1,ROUND((AR1081+AS1081)/60,6),0)</f>
        <v>0</v>
      </c>
      <c r="BL1081" s="80">
        <f>ROUND(BH1081-BK1081,6)</f>
        <v>0</v>
      </c>
      <c r="BM1081" s="80">
        <f>IF(BE1081=1,ROUND(AR1081/60,6),0)</f>
        <v>0</v>
      </c>
      <c r="BN1081" s="80">
        <f>ROUND(BI1081-BM1081,6)</f>
        <v>0</v>
      </c>
      <c r="BO1081" s="80">
        <f>IF(BE1081=1,ROUND(AS1081/60,6),0)</f>
        <v>0</v>
      </c>
      <c r="BP1081" s="80">
        <f>ROUND(BJ1081-BO1081,6)</f>
        <v>0</v>
      </c>
      <c r="BQ1081" s="80">
        <f>IF(BE1081=1,AW1081,0)</f>
        <v>0</v>
      </c>
      <c r="BR1081" s="80">
        <f>IF(BE1081=1,AX1081,0)</f>
        <v>0</v>
      </c>
      <c r="BS1081" s="80">
        <f>IF(AND(BE1081=1,D1081="Malcolm",BA1081&gt;0),MIN(BH1081,SUMPRODUCT((R_Emp="proMX")*(R_EN&gt;0)*((R_EN-(R_EN&gt;BR1081)*(R_EN-BR1081))&gt;(R_SN+(R_SN&lt;BQ1081)*(BQ1081-R_SN)))*((R_EN-(R_EN&gt;BR1081)*(R_EN-BR1081))-(R_SN+(R_SN&lt;BQ1081)*(BQ1081-R_SN))))/60),0)</f>
        <v>0</v>
      </c>
      <c r="BT1081" s="80">
        <f>IF(AND(BE1081=1,D1081="proMX"),ROUND(BI1081*CFG_RATE+BJ1081*CFG_OTRATE,6),0)</f>
        <v>0</v>
      </c>
      <c r="BU1081" s="80">
        <f>IF(AND(BD1081=1,D1081="proMX"),ROUND(AG1081/CFG_BLK,6),0)</f>
        <v>0</v>
      </c>
      <c r="BV1081" s="80" t="str">
        <f>IF(BF1081="Approved",IF(ISNUMBER(T1081),INT(T1081),INT(B1081)),"")</f>
        <v/>
      </c>
      <c r="BW1081" s="80">
        <f>IF(ISNUMBER(B1081),IF(DB_MON="Todos",1,IF(AND(INT(B1081)&gt;=DB_MS,INT(B1081)&lt;=DB_ME),1,0)),0)</f>
        <v>0</v>
      </c>
      <c r="BX1081" s="80">
        <f>IF(DB_PROJ="Todos",1,IF(E1081&amp;""=DB_PROJ&amp;"",1,0))</f>
        <v>1</v>
      </c>
      <c r="BY1081" s="80">
        <f>BW1081*BX1081</f>
        <v>0</v>
      </c>
      <c r="BZ1081" s="80" t="str">
        <f>IF(Y1081=1,F1081&amp;IF(AND(F1081&amp;""&lt;&gt;"",E1081&amp;""&lt;&gt;"")," · ","")&amp;E1081,"")</f>
        <v/>
      </c>
      <c r="CA1081" s="80" t="str">
        <f>IF(AND(BD1081=1,E1081&amp;""&lt;&gt;""),IF(COUNTIFS($E$5:E1080,E1081,$BD$5:BD1080,1)=0,MAX($CA$5:CA1080)+1,""),"")</f>
        <v/>
      </c>
      <c r="CB1081" s="80" t="str">
        <f>IF(AND(BE1081=1,D1081="Malcolm",E1081&amp;""&lt;&gt;""),IF(COUNTIFS($D$5:D1080,"Malcolm",$E$5:E1080,E1081,$BE$5:BE1080,1)=0,MAX($CB$5:CB1080)+1,""),"")</f>
        <v/>
      </c>
      <c r="CC1081" s="80" t="str">
        <f>IF(AND(BD1081=1,D1081="proMX",E1081&amp;""&lt;&gt;""),IF(COUNTIFS($D$5:D1080,"proMX",$E$5:E1080,E1081,$BD$5:BD1080,1)=0,MAX($CC$5:CC1080)+1,""),"")</f>
        <v/>
      </c>
      <c r="CD1081" s="80" t="str">
        <f>IF(AND(BE1081=1,D1081="Malcolm",F1081&amp;""&lt;&gt;""),IF(COUNTIFS($D$5:D1080,"Malcolm",$F$5:F1080,F1081,$BE$5:BE1080,1)=0,MAX($CD$5:CD1080)+1,""),"")</f>
        <v/>
      </c>
      <c r="CE1081" s="80" t="str">
        <f>IF(AND(BD1081=1,D1081="proMX",F1081&amp;""&lt;&gt;""),IF(COUNTIFS($D$5:D1080,"proMX",$F$5:F1080,F1081,$BD$5:BD1080,1)=0,MAX($CE$5:CE1080)+1,""),"")</f>
        <v/>
      </c>
      <c r="CF1081" s="80" t="str">
        <f>IF(AND(D1081="proMX",BD1081=1),IF(OR(BF1081="Draft",BF1081="Submitted",BF1081="Returned",BF1081="Recall Requested"),MAX($CF$5:CF1080)+1,""),"")</f>
        <v/>
      </c>
      <c r="CG1081" s="80">
        <f>IF(BD1081=0,0,IF(D1081="Malcolm",1,MATCH(BF1081,{"Draft","Submitted","Approved","Returned","Recall Requested","Cancelled"},0)+1))</f>
        <v>0</v>
      </c>
      <c r="CH1081" s="80">
        <f>IF(AND(BF1081="Submitted",ISNUMBER(V1081)),IF(V1081&gt;CFG_MAXD,1,0),0)</f>
        <v>0</v>
      </c>
    </row>
    <row r="1082">
      <c r="A1082" s="71" t="str">
        <f>IF(Y1082=1,ROW()-5,"")</f>
        <v/>
      </c>
      <c r="B1082" s="72" t="n"/>
      <c r="C1082" s="71" t="str">
        <f>IF(ISNUMBER(B1082),CHOOSE(WEEKDAY(B1082,2),"Lun","Mar","Mié","Jue","Vie","Sáb","Dom"),"")</f>
        <v/>
      </c>
      <c r="D1082" s="73" t="n"/>
      <c r="E1082" s="74" t="n"/>
      <c r="F1082" s="74" t="n"/>
      <c r="G1082" s="74" t="n"/>
      <c r="H1082" s="75" t="n"/>
      <c r="I1082" s="75" t="n"/>
      <c r="J1082" s="76" t="n"/>
      <c r="K1082" s="77" t="str">
        <f>IF(AB1082=1,ROUND(AG1082/60,4),"")</f>
        <v/>
      </c>
      <c r="L1082" s="77" t="str">
        <f>IF(BD1082=1,ROUND(AP1082/60,4),"")</f>
        <v/>
      </c>
      <c r="M1082" s="77" t="str">
        <f>IF(BD1082=1,ROUND(AQ1082/60,4),"")</f>
        <v/>
      </c>
      <c r="N1082" s="71" t="str">
        <f>IF(AND(D1082="proMX",AB1082=1),ROUND(AG1082/CFG_BLK,2),"")</f>
        <v/>
      </c>
      <c r="O1082" s="77" t="str">
        <f>IF(D1082="proMX",IF(BD1082=1,ROUND(AG1082/60,4),0),"")</f>
        <v/>
      </c>
      <c r="P1082" s="78" t="str">
        <f>IF(Y1082=0,"",IF(BD1082=1,"OK",IF(D1082="proMX","Revisar bloques: ","Revisar: ")&amp;BC1082))</f>
        <v/>
      </c>
      <c r="Q1082" s="78" t="str">
        <f>IF(NOT(ISNUMBER(B1082)),"",IF(COUNTIFS(FER_F,INT(B1082))&gt;0,"Feriado"&amp;IF(AH1082=1," (laborable)"," (no laborable)"),IF(AH1082=1,"Laborable",IF(WEEKDAY(B1082,2)&gt;5,"Fin de semana","No laborable"))))</f>
        <v/>
      </c>
      <c r="R1082" s="73" t="n"/>
      <c r="S1082" s="72" t="n"/>
      <c r="T1082" s="72" t="n"/>
      <c r="U1082" s="74" t="n"/>
      <c r="V1082" s="79" t="str">
        <f>IF(AND(D1082="proMX",OR(R1082="Submitted",R1082="Recall Requested"),ISNUMBER(S1082)),CFG_TODAY-INT(S1082),"")</f>
        <v/>
      </c>
      <c r="W1082" s="78" t="str">
        <f>IF(BD1082=0,"",IF(BA1082&gt;0,"⚠ Se superpone con un registro de la otra empresa",IF(D1082="Malcolm",IF(COUNTA(R1082,S1082,T1082)&gt;0,"Estado/fechas proMX se ignoran en Malcolm",""),IF(BF1082="Cancelled","Cancelado: excluido de totales",IF(R1082="","Sin estado: se trata como Draft",IF(BF1082="Submitted",IF(ISNUMBER(V1082),IF(V1082&gt;CFG_MAXD,"⚠ "&amp;V1082&amp;" días en Submitted (máx. "&amp;CFG_MAXD&amp;")",""),"Falta fecha de envío"),IF(BF1082="Returned","⚠ Devuelto: corregir y reenviar",IF(BF1082="Recall Requested","Retirada solicitada: pendiente",IF(AND(BF1082="Approved",NOT(ISNUMBER(T1082))),"Falta fecha de aprobación",IF(AND(ISNUMBER(S1082),ISNUMBER(T1082),T1082&lt;S1082),"Aprobación anterior al envío","")))))))))</f>
        <v/>
      </c>
      <c r="Y1082" s="80">
        <f>IF(COUNTA(B1082,D1082,E1082,F1082,G1082,H1082,I1082,J1082,R1082,S1082,T1082)&gt;0,1,0)</f>
        <v>0</v>
      </c>
      <c r="Z1082" s="80" t="str">
        <f>IF(AND(ISNUMBER(H1082),H1082&gt;=0,H1082&lt;1),ROUND(H1082*1440,0),"")</f>
        <v/>
      </c>
      <c r="AA1082" s="80" t="str">
        <f>IF(AND(ISNUMBER(I1082),I1082&gt;=0,I1082&lt;1),ROUND(I1082*1440,0),"")</f>
        <v/>
      </c>
      <c r="AB1082" s="80">
        <f>IF(AND(ISNUMBER(B1082),D1082&lt;&gt;"",ISNUMBER(Z1082),ISNUMBER(AA1082)),IF(Z1082=AA1082,0,1),0)</f>
        <v>0</v>
      </c>
      <c r="AC1082" s="80">
        <f>IF(AB1082=1,IF(AA1082&lt;Z1082,1,0),0)</f>
        <v>0</v>
      </c>
      <c r="AD1082" s="80">
        <f>IF(AB1082=1,IF(AC1082=1,1440-Z1082+AA1082,AA1082-Z1082),0)</f>
        <v>0</v>
      </c>
      <c r="AE1082" s="80">
        <f>IF(J1082="",0,IF(ISNUMBER(J1082),J1082,-1))</f>
        <v>0</v>
      </c>
      <c r="AF1082" s="80">
        <f>MIN(MAX(0,AE1082),AD1082)</f>
        <v>0</v>
      </c>
      <c r="AG1082" s="80">
        <f>MAX(0,AD1082-MAX(0,AE1082))</f>
        <v>0</v>
      </c>
      <c r="AH1082" s="80">
        <f>IF(ISNUMBER(B1082),IF(AND(INDEX(CFG_WDAYS,WEEKDAY(INT(B1082),2))="Sí",IF(D1082="proMX",COUNTIFS(FER_F,INT(B1082),FER_NLP,"Sí"),COUNTIFS(FER_F,INT(B1082),FER_NLM,"Sí"))=0),1,0),0)</f>
        <v>0</v>
      </c>
      <c r="AI1082" s="80">
        <f>IF(AC1082=1,IF(AND(INDEX(CFG_WDAYS,WEEKDAY(INT(B1082)+1,2))="Sí",IF(D1082="proMX",COUNTIFS(FER_F,INT(B1082)+1,FER_NLP,"Sí"),COUNTIFS(FER_F,INT(B1082)+1,FER_NLM,"Sí"))=0),1,0),0)</f>
        <v>0</v>
      </c>
      <c r="AJ1082" s="80">
        <f>IF(AC1082=1,1440-Z1082,AD1082)</f>
        <v>0</v>
      </c>
      <c r="AK1082" s="80">
        <f>IF(AND(AB1082=1,AH1082=1),MAX(0,MIN(IF(AC1082=1,1440,AA1082),CFG_WEM)-MAX(Z1082,CFG_WSM)),0)</f>
        <v>0</v>
      </c>
      <c r="AL1082" s="80">
        <f>IF(AND(AC1082=1,AI1082=1),MAX(0,MIN(AA1082,CFG_WEM)-CFG_WSM),0)</f>
        <v>0</v>
      </c>
      <c r="AM1082" s="80">
        <f>AK1082+AL1082</f>
        <v>0</v>
      </c>
      <c r="AN1082" s="80">
        <f>IF(CFG_BRK="Proporcional",IF(AD1082=0,0,AF1082*AM1082/AD1082),IF(CFG_BRK="Extras primero",MIN(AM1082,MAX(0,AF1082-(AD1082-AM1082))),MIN(AF1082,AM1082)))</f>
        <v>0</v>
      </c>
      <c r="AO1082" s="80">
        <f>AF1082-AN1082</f>
        <v>0</v>
      </c>
      <c r="AP1082" s="80">
        <f>AM1082-AN1082</f>
        <v>0</v>
      </c>
      <c r="AQ1082" s="80">
        <f>AD1082-AM1082-AO1082</f>
        <v>0</v>
      </c>
      <c r="AR1082" s="80">
        <f>IF(AM1082=0,0,AK1082-AN1082*AK1082/AM1082)</f>
        <v>0</v>
      </c>
      <c r="AS1082" s="80">
        <f>IF(AD1082-AM1082=0,0,(AJ1082-AK1082)-AO1082*(AJ1082-AK1082)/(AD1082-AM1082))</f>
        <v>0</v>
      </c>
      <c r="AT1082" s="80" t="str">
        <f>IF(AC1082=1,INT(B1082)+1,"")</f>
        <v/>
      </c>
      <c r="AU1082" s="80">
        <f>IF(AND(D1082="proMX",R1082="Cancelled"),0,1)</f>
        <v>1</v>
      </c>
      <c r="AV1082" s="80">
        <f>IF(AND(AB1082=1,AU1082=1),IF(COUNTIFS($D$5:D1081,D1082,$B$5:B1081,B1082,$Z$5:Z1081,Z1082,$AA$5:AA1081,AA1082,$F$5:F1081,F1082&amp;"",$AU$5:AU1081,1)&gt;0,1,0),0)</f>
        <v>0</v>
      </c>
      <c r="AW1082" s="80" t="str">
        <f>IF(AB1082=1,INT(B1082)*1440+Z1082,"")</f>
        <v/>
      </c>
      <c r="AX1082" s="80" t="str">
        <f>IF(AB1082=1,AW1082+AD1082,"")</f>
        <v/>
      </c>
      <c r="AY1082" s="80">
        <f>IF(AND(AB1082=1,AV1082=0,AU1082=1),1,0)</f>
        <v>0</v>
      </c>
      <c r="AZ1082" s="80">
        <f>IF(AY1082=1,COUNTIFS(R_Emp,D1082,R_SAbs,"&lt;"&amp;AX1082,R_EAbs,"&gt;"&amp;AW1082,R_OKey,1)-1,0)</f>
        <v>0</v>
      </c>
      <c r="BA1082" s="80">
        <f>IF(AY1082=1,COUNTIFS(R_Emp,"&lt;&gt;"&amp;D1082,R_SAbs,"&lt;"&amp;AX1082,R_EAbs,"&gt;"&amp;AW1082,R_OKey,1),0)</f>
        <v>0</v>
      </c>
      <c r="BB1082" s="80">
        <f>IF(AND(AB1082=1,D1082="proMX"),IF(AND(MOD(Z1082,CFG_BLK)=0,MOD(AA1082,CFG_BLK)=0,MOD(AG1082,CFG_BLK)=0,AG1082&gt;0),1,0),1)</f>
        <v>1</v>
      </c>
      <c r="BC1082" s="80" t="str">
        <f>IF(Y1082=0,"",IF(NOT(ISNUMBER(B1082)),"Falta fecha o fecha inválida",IF(D1082="","Falta empresa",IF(AND(D1082&lt;&gt;"Malcolm",D1082&lt;&gt;"proMX"),"Empresa inválida",IF(OR(INT(B1082)&lt;CFG_PSTART,INT(B1082)&gt;CFG_PEND),"Fecha fuera del período",IF(OR(NOT(ISNUMBER(Z1082)),NOT(ISNUMBER(AA1082))),"Falta hora inicio/fin o formato inválido",IF(AB1082=0,"Hora inicio = hora fin",IF(AE1082&lt;0,"Descanso inválido",IF(AE1082&gt;=AD1082,"Descanso ≥ duración",IF(AV1082=1,"Registro duplicado",IF(AZ1082&gt;0,"Se superpone con otro registro "&amp;D1082,IF(BB1082=0,"inicio, fin y duración neta deben ser múltiplos de "&amp;CFG_BLK&amp;" min",""))))))))))))</f>
        <v/>
      </c>
      <c r="BD1082" s="80">
        <f>IF(AND(Y1082=1,BC1082=""),1,0)</f>
        <v>0</v>
      </c>
      <c r="BE1082" s="80">
        <f>IF(AND(BD1082=1,AU1082=1),1,0)</f>
        <v>0</v>
      </c>
      <c r="BF1082" s="80" t="str">
        <f>IF(AND(D1082="proMX",BD1082=1),IF(R1082="","Draft",R1082),"")</f>
        <v/>
      </c>
      <c r="BG1082" s="80">
        <f>IF(BD1082=1,ROUND(AG1082/60,6),0)</f>
        <v>0</v>
      </c>
      <c r="BH1082" s="80">
        <f>IF(BE1082=1,ROUND(AG1082/60,6),0)</f>
        <v>0</v>
      </c>
      <c r="BI1082" s="80">
        <f>IF(BE1082=1,ROUND(AP1082/60,6),0)</f>
        <v>0</v>
      </c>
      <c r="BJ1082" s="80">
        <f>IF(BE1082=1,ROUND(AQ1082/60,6),0)</f>
        <v>0</v>
      </c>
      <c r="BK1082" s="80">
        <f>IF(BE1082=1,ROUND((AR1082+AS1082)/60,6),0)</f>
        <v>0</v>
      </c>
      <c r="BL1082" s="80">
        <f>ROUND(BH1082-BK1082,6)</f>
        <v>0</v>
      </c>
      <c r="BM1082" s="80">
        <f>IF(BE1082=1,ROUND(AR1082/60,6),0)</f>
        <v>0</v>
      </c>
      <c r="BN1082" s="80">
        <f>ROUND(BI1082-BM1082,6)</f>
        <v>0</v>
      </c>
      <c r="BO1082" s="80">
        <f>IF(BE1082=1,ROUND(AS1082/60,6),0)</f>
        <v>0</v>
      </c>
      <c r="BP1082" s="80">
        <f>ROUND(BJ1082-BO1082,6)</f>
        <v>0</v>
      </c>
      <c r="BQ1082" s="80">
        <f>IF(BE1082=1,AW1082,0)</f>
        <v>0</v>
      </c>
      <c r="BR1082" s="80">
        <f>IF(BE1082=1,AX1082,0)</f>
        <v>0</v>
      </c>
      <c r="BS1082" s="80">
        <f>IF(AND(BE1082=1,D1082="Malcolm",BA1082&gt;0),MIN(BH1082,SUMPRODUCT((R_Emp="proMX")*(R_EN&gt;0)*((R_EN-(R_EN&gt;BR1082)*(R_EN-BR1082))&gt;(R_SN+(R_SN&lt;BQ1082)*(BQ1082-R_SN)))*((R_EN-(R_EN&gt;BR1082)*(R_EN-BR1082))-(R_SN+(R_SN&lt;BQ1082)*(BQ1082-R_SN))))/60),0)</f>
        <v>0</v>
      </c>
      <c r="BT1082" s="80">
        <f>IF(AND(BE1082=1,D1082="proMX"),ROUND(BI1082*CFG_RATE+BJ1082*CFG_OTRATE,6),0)</f>
        <v>0</v>
      </c>
      <c r="BU1082" s="80">
        <f>IF(AND(BD1082=1,D1082="proMX"),ROUND(AG1082/CFG_BLK,6),0)</f>
        <v>0</v>
      </c>
      <c r="BV1082" s="80" t="str">
        <f>IF(BF1082="Approved",IF(ISNUMBER(T1082),INT(T1082),INT(B1082)),"")</f>
        <v/>
      </c>
      <c r="BW1082" s="80">
        <f>IF(ISNUMBER(B1082),IF(DB_MON="Todos",1,IF(AND(INT(B1082)&gt;=DB_MS,INT(B1082)&lt;=DB_ME),1,0)),0)</f>
        <v>0</v>
      </c>
      <c r="BX1082" s="80">
        <f>IF(DB_PROJ="Todos",1,IF(E1082&amp;""=DB_PROJ&amp;"",1,0))</f>
        <v>1</v>
      </c>
      <c r="BY1082" s="80">
        <f>BW1082*BX1082</f>
        <v>0</v>
      </c>
      <c r="BZ1082" s="80" t="str">
        <f>IF(Y1082=1,F1082&amp;IF(AND(F1082&amp;""&lt;&gt;"",E1082&amp;""&lt;&gt;"")," · ","")&amp;E1082,"")</f>
        <v/>
      </c>
      <c r="CA1082" s="80" t="str">
        <f>IF(AND(BD1082=1,E1082&amp;""&lt;&gt;""),IF(COUNTIFS($E$5:E1081,E1082,$BD$5:BD1081,1)=0,MAX($CA$5:CA1081)+1,""),"")</f>
        <v/>
      </c>
      <c r="CB1082" s="80" t="str">
        <f>IF(AND(BE1082=1,D1082="Malcolm",E1082&amp;""&lt;&gt;""),IF(COUNTIFS($D$5:D1081,"Malcolm",$E$5:E1081,E1082,$BE$5:BE1081,1)=0,MAX($CB$5:CB1081)+1,""),"")</f>
        <v/>
      </c>
      <c r="CC1082" s="80" t="str">
        <f>IF(AND(BD1082=1,D1082="proMX",E1082&amp;""&lt;&gt;""),IF(COUNTIFS($D$5:D1081,"proMX",$E$5:E1081,E1082,$BD$5:BD1081,1)=0,MAX($CC$5:CC1081)+1,""),"")</f>
        <v/>
      </c>
      <c r="CD1082" s="80" t="str">
        <f>IF(AND(BE1082=1,D1082="Malcolm",F1082&amp;""&lt;&gt;""),IF(COUNTIFS($D$5:D1081,"Malcolm",$F$5:F1081,F1082,$BE$5:BE1081,1)=0,MAX($CD$5:CD1081)+1,""),"")</f>
        <v/>
      </c>
      <c r="CE1082" s="80" t="str">
        <f>IF(AND(BD1082=1,D1082="proMX",F1082&amp;""&lt;&gt;""),IF(COUNTIFS($D$5:D1081,"proMX",$F$5:F1081,F1082,$BD$5:BD1081,1)=0,MAX($CE$5:CE1081)+1,""),"")</f>
        <v/>
      </c>
      <c r="CF1082" s="80" t="str">
        <f>IF(AND(D1082="proMX",BD1082=1),IF(OR(BF1082="Draft",BF1082="Submitted",BF1082="Returned",BF1082="Recall Requested"),MAX($CF$5:CF1081)+1,""),"")</f>
        <v/>
      </c>
      <c r="CG1082" s="80">
        <f>IF(BD1082=0,0,IF(D1082="Malcolm",1,MATCH(BF1082,{"Draft","Submitted","Approved","Returned","Recall Requested","Cancelled"},0)+1))</f>
        <v>0</v>
      </c>
      <c r="CH1082" s="80">
        <f>IF(AND(BF1082="Submitted",ISNUMBER(V1082)),IF(V1082&gt;CFG_MAXD,1,0),0)</f>
        <v>0</v>
      </c>
    </row>
    <row r="1083">
      <c r="A1083" s="71" t="str">
        <f>IF(Y1083=1,ROW()-5,"")</f>
        <v/>
      </c>
      <c r="B1083" s="72" t="n"/>
      <c r="C1083" s="71" t="str">
        <f>IF(ISNUMBER(B1083),CHOOSE(WEEKDAY(B1083,2),"Lun","Mar","Mié","Jue","Vie","Sáb","Dom"),"")</f>
        <v/>
      </c>
      <c r="D1083" s="73" t="n"/>
      <c r="E1083" s="74" t="n"/>
      <c r="F1083" s="74" t="n"/>
      <c r="G1083" s="74" t="n"/>
      <c r="H1083" s="75" t="n"/>
      <c r="I1083" s="75" t="n"/>
      <c r="J1083" s="76" t="n"/>
      <c r="K1083" s="77" t="str">
        <f>IF(AB1083=1,ROUND(AG1083/60,4),"")</f>
        <v/>
      </c>
      <c r="L1083" s="77" t="str">
        <f>IF(BD1083=1,ROUND(AP1083/60,4),"")</f>
        <v/>
      </c>
      <c r="M1083" s="77" t="str">
        <f>IF(BD1083=1,ROUND(AQ1083/60,4),"")</f>
        <v/>
      </c>
      <c r="N1083" s="71" t="str">
        <f>IF(AND(D1083="proMX",AB1083=1),ROUND(AG1083/CFG_BLK,2),"")</f>
        <v/>
      </c>
      <c r="O1083" s="77" t="str">
        <f>IF(D1083="proMX",IF(BD1083=1,ROUND(AG1083/60,4),0),"")</f>
        <v/>
      </c>
      <c r="P1083" s="78" t="str">
        <f>IF(Y1083=0,"",IF(BD1083=1,"OK",IF(D1083="proMX","Revisar bloques: ","Revisar: ")&amp;BC1083))</f>
        <v/>
      </c>
      <c r="Q1083" s="78" t="str">
        <f>IF(NOT(ISNUMBER(B1083)),"",IF(COUNTIFS(FER_F,INT(B1083))&gt;0,"Feriado"&amp;IF(AH1083=1," (laborable)"," (no laborable)"),IF(AH1083=1,"Laborable",IF(WEEKDAY(B1083,2)&gt;5,"Fin de semana","No laborable"))))</f>
        <v/>
      </c>
      <c r="R1083" s="73" t="n"/>
      <c r="S1083" s="72" t="n"/>
      <c r="T1083" s="72" t="n"/>
      <c r="U1083" s="74" t="n"/>
      <c r="V1083" s="79" t="str">
        <f>IF(AND(D1083="proMX",OR(R1083="Submitted",R1083="Recall Requested"),ISNUMBER(S1083)),CFG_TODAY-INT(S1083),"")</f>
        <v/>
      </c>
      <c r="W1083" s="78" t="str">
        <f>IF(BD1083=0,"",IF(BA1083&gt;0,"⚠ Se superpone con un registro de la otra empresa",IF(D1083="Malcolm",IF(COUNTA(R1083,S1083,T1083)&gt;0,"Estado/fechas proMX se ignoran en Malcolm",""),IF(BF1083="Cancelled","Cancelado: excluido de totales",IF(R1083="","Sin estado: se trata como Draft",IF(BF1083="Submitted",IF(ISNUMBER(V1083),IF(V1083&gt;CFG_MAXD,"⚠ "&amp;V1083&amp;" días en Submitted (máx. "&amp;CFG_MAXD&amp;")",""),"Falta fecha de envío"),IF(BF1083="Returned","⚠ Devuelto: corregir y reenviar",IF(BF1083="Recall Requested","Retirada solicitada: pendiente",IF(AND(BF1083="Approved",NOT(ISNUMBER(T1083))),"Falta fecha de aprobación",IF(AND(ISNUMBER(S1083),ISNUMBER(T1083),T1083&lt;S1083),"Aprobación anterior al envío","")))))))))</f>
        <v/>
      </c>
      <c r="Y1083" s="80">
        <f>IF(COUNTA(B1083,D1083,E1083,F1083,G1083,H1083,I1083,J1083,R1083,S1083,T1083)&gt;0,1,0)</f>
        <v>0</v>
      </c>
      <c r="Z1083" s="80" t="str">
        <f>IF(AND(ISNUMBER(H1083),H1083&gt;=0,H1083&lt;1),ROUND(H1083*1440,0),"")</f>
        <v/>
      </c>
      <c r="AA1083" s="80" t="str">
        <f>IF(AND(ISNUMBER(I1083),I1083&gt;=0,I1083&lt;1),ROUND(I1083*1440,0),"")</f>
        <v/>
      </c>
      <c r="AB1083" s="80">
        <f>IF(AND(ISNUMBER(B1083),D1083&lt;&gt;"",ISNUMBER(Z1083),ISNUMBER(AA1083)),IF(Z1083=AA1083,0,1),0)</f>
        <v>0</v>
      </c>
      <c r="AC1083" s="80">
        <f>IF(AB1083=1,IF(AA1083&lt;Z1083,1,0),0)</f>
        <v>0</v>
      </c>
      <c r="AD1083" s="80">
        <f>IF(AB1083=1,IF(AC1083=1,1440-Z1083+AA1083,AA1083-Z1083),0)</f>
        <v>0</v>
      </c>
      <c r="AE1083" s="80">
        <f>IF(J1083="",0,IF(ISNUMBER(J1083),J1083,-1))</f>
        <v>0</v>
      </c>
      <c r="AF1083" s="80">
        <f>MIN(MAX(0,AE1083),AD1083)</f>
        <v>0</v>
      </c>
      <c r="AG1083" s="80">
        <f>MAX(0,AD1083-MAX(0,AE1083))</f>
        <v>0</v>
      </c>
      <c r="AH1083" s="80">
        <f>IF(ISNUMBER(B1083),IF(AND(INDEX(CFG_WDAYS,WEEKDAY(INT(B1083),2))="Sí",IF(D1083="proMX",COUNTIFS(FER_F,INT(B1083),FER_NLP,"Sí"),COUNTIFS(FER_F,INT(B1083),FER_NLM,"Sí"))=0),1,0),0)</f>
        <v>0</v>
      </c>
      <c r="AI1083" s="80">
        <f>IF(AC1083=1,IF(AND(INDEX(CFG_WDAYS,WEEKDAY(INT(B1083)+1,2))="Sí",IF(D1083="proMX",COUNTIFS(FER_F,INT(B1083)+1,FER_NLP,"Sí"),COUNTIFS(FER_F,INT(B1083)+1,FER_NLM,"Sí"))=0),1,0),0)</f>
        <v>0</v>
      </c>
      <c r="AJ1083" s="80">
        <f>IF(AC1083=1,1440-Z1083,AD1083)</f>
        <v>0</v>
      </c>
      <c r="AK1083" s="80">
        <f>IF(AND(AB1083=1,AH1083=1),MAX(0,MIN(IF(AC1083=1,1440,AA1083),CFG_WEM)-MAX(Z1083,CFG_WSM)),0)</f>
        <v>0</v>
      </c>
      <c r="AL1083" s="80">
        <f>IF(AND(AC1083=1,AI1083=1),MAX(0,MIN(AA1083,CFG_WEM)-CFG_WSM),0)</f>
        <v>0</v>
      </c>
      <c r="AM1083" s="80">
        <f>AK1083+AL1083</f>
        <v>0</v>
      </c>
      <c r="AN1083" s="80">
        <f>IF(CFG_BRK="Proporcional",IF(AD1083=0,0,AF1083*AM1083/AD1083),IF(CFG_BRK="Extras primero",MIN(AM1083,MAX(0,AF1083-(AD1083-AM1083))),MIN(AF1083,AM1083)))</f>
        <v>0</v>
      </c>
      <c r="AO1083" s="80">
        <f>AF1083-AN1083</f>
        <v>0</v>
      </c>
      <c r="AP1083" s="80">
        <f>AM1083-AN1083</f>
        <v>0</v>
      </c>
      <c r="AQ1083" s="80">
        <f>AD1083-AM1083-AO1083</f>
        <v>0</v>
      </c>
      <c r="AR1083" s="80">
        <f>IF(AM1083=0,0,AK1083-AN1083*AK1083/AM1083)</f>
        <v>0</v>
      </c>
      <c r="AS1083" s="80">
        <f>IF(AD1083-AM1083=0,0,(AJ1083-AK1083)-AO1083*(AJ1083-AK1083)/(AD1083-AM1083))</f>
        <v>0</v>
      </c>
      <c r="AT1083" s="80" t="str">
        <f>IF(AC1083=1,INT(B1083)+1,"")</f>
        <v/>
      </c>
      <c r="AU1083" s="80">
        <f>IF(AND(D1083="proMX",R1083="Cancelled"),0,1)</f>
        <v>1</v>
      </c>
      <c r="AV1083" s="80">
        <f>IF(AND(AB1083=1,AU1083=1),IF(COUNTIFS($D$5:D1082,D1083,$B$5:B1082,B1083,$Z$5:Z1082,Z1083,$AA$5:AA1082,AA1083,$F$5:F1082,F1083&amp;"",$AU$5:AU1082,1)&gt;0,1,0),0)</f>
        <v>0</v>
      </c>
      <c r="AW1083" s="80" t="str">
        <f>IF(AB1083=1,INT(B1083)*1440+Z1083,"")</f>
        <v/>
      </c>
      <c r="AX1083" s="80" t="str">
        <f>IF(AB1083=1,AW1083+AD1083,"")</f>
        <v/>
      </c>
      <c r="AY1083" s="80">
        <f>IF(AND(AB1083=1,AV1083=0,AU1083=1),1,0)</f>
        <v>0</v>
      </c>
      <c r="AZ1083" s="80">
        <f>IF(AY1083=1,COUNTIFS(R_Emp,D1083,R_SAbs,"&lt;"&amp;AX1083,R_EAbs,"&gt;"&amp;AW1083,R_OKey,1)-1,0)</f>
        <v>0</v>
      </c>
      <c r="BA1083" s="80">
        <f>IF(AY1083=1,COUNTIFS(R_Emp,"&lt;&gt;"&amp;D1083,R_SAbs,"&lt;"&amp;AX1083,R_EAbs,"&gt;"&amp;AW1083,R_OKey,1),0)</f>
        <v>0</v>
      </c>
      <c r="BB1083" s="80">
        <f>IF(AND(AB1083=1,D1083="proMX"),IF(AND(MOD(Z1083,CFG_BLK)=0,MOD(AA1083,CFG_BLK)=0,MOD(AG1083,CFG_BLK)=0,AG1083&gt;0),1,0),1)</f>
        <v>1</v>
      </c>
      <c r="BC1083" s="80" t="str">
        <f>IF(Y1083=0,"",IF(NOT(ISNUMBER(B1083)),"Falta fecha o fecha inválida",IF(D1083="","Falta empresa",IF(AND(D1083&lt;&gt;"Malcolm",D1083&lt;&gt;"proMX"),"Empresa inválida",IF(OR(INT(B1083)&lt;CFG_PSTART,INT(B1083)&gt;CFG_PEND),"Fecha fuera del período",IF(OR(NOT(ISNUMBER(Z1083)),NOT(ISNUMBER(AA1083))),"Falta hora inicio/fin o formato inválido",IF(AB1083=0,"Hora inicio = hora fin",IF(AE1083&lt;0,"Descanso inválido",IF(AE1083&gt;=AD1083,"Descanso ≥ duración",IF(AV1083=1,"Registro duplicado",IF(AZ1083&gt;0,"Se superpone con otro registro "&amp;D1083,IF(BB1083=0,"inicio, fin y duración neta deben ser múltiplos de "&amp;CFG_BLK&amp;" min",""))))))))))))</f>
        <v/>
      </c>
      <c r="BD1083" s="80">
        <f>IF(AND(Y1083=1,BC1083=""),1,0)</f>
        <v>0</v>
      </c>
      <c r="BE1083" s="80">
        <f>IF(AND(BD1083=1,AU1083=1),1,0)</f>
        <v>0</v>
      </c>
      <c r="BF1083" s="80" t="str">
        <f>IF(AND(D1083="proMX",BD1083=1),IF(R1083="","Draft",R1083),"")</f>
        <v/>
      </c>
      <c r="BG1083" s="80">
        <f>IF(BD1083=1,ROUND(AG1083/60,6),0)</f>
        <v>0</v>
      </c>
      <c r="BH1083" s="80">
        <f>IF(BE1083=1,ROUND(AG1083/60,6),0)</f>
        <v>0</v>
      </c>
      <c r="BI1083" s="80">
        <f>IF(BE1083=1,ROUND(AP1083/60,6),0)</f>
        <v>0</v>
      </c>
      <c r="BJ1083" s="80">
        <f>IF(BE1083=1,ROUND(AQ1083/60,6),0)</f>
        <v>0</v>
      </c>
      <c r="BK1083" s="80">
        <f>IF(BE1083=1,ROUND((AR1083+AS1083)/60,6),0)</f>
        <v>0</v>
      </c>
      <c r="BL1083" s="80">
        <f>ROUND(BH1083-BK1083,6)</f>
        <v>0</v>
      </c>
      <c r="BM1083" s="80">
        <f>IF(BE1083=1,ROUND(AR1083/60,6),0)</f>
        <v>0</v>
      </c>
      <c r="BN1083" s="80">
        <f>ROUND(BI1083-BM1083,6)</f>
        <v>0</v>
      </c>
      <c r="BO1083" s="80">
        <f>IF(BE1083=1,ROUND(AS1083/60,6),0)</f>
        <v>0</v>
      </c>
      <c r="BP1083" s="80">
        <f>ROUND(BJ1083-BO1083,6)</f>
        <v>0</v>
      </c>
      <c r="BQ1083" s="80">
        <f>IF(BE1083=1,AW1083,0)</f>
        <v>0</v>
      </c>
      <c r="BR1083" s="80">
        <f>IF(BE1083=1,AX1083,0)</f>
        <v>0</v>
      </c>
      <c r="BS1083" s="80">
        <f>IF(AND(BE1083=1,D1083="Malcolm",BA1083&gt;0),MIN(BH1083,SUMPRODUCT((R_Emp="proMX")*(R_EN&gt;0)*((R_EN-(R_EN&gt;BR1083)*(R_EN-BR1083))&gt;(R_SN+(R_SN&lt;BQ1083)*(BQ1083-R_SN)))*((R_EN-(R_EN&gt;BR1083)*(R_EN-BR1083))-(R_SN+(R_SN&lt;BQ1083)*(BQ1083-R_SN))))/60),0)</f>
        <v>0</v>
      </c>
      <c r="BT1083" s="80">
        <f>IF(AND(BE1083=1,D1083="proMX"),ROUND(BI1083*CFG_RATE+BJ1083*CFG_OTRATE,6),0)</f>
        <v>0</v>
      </c>
      <c r="BU1083" s="80">
        <f>IF(AND(BD1083=1,D1083="proMX"),ROUND(AG1083/CFG_BLK,6),0)</f>
        <v>0</v>
      </c>
      <c r="BV1083" s="80" t="str">
        <f>IF(BF1083="Approved",IF(ISNUMBER(T1083),INT(T1083),INT(B1083)),"")</f>
        <v/>
      </c>
      <c r="BW1083" s="80">
        <f>IF(ISNUMBER(B1083),IF(DB_MON="Todos",1,IF(AND(INT(B1083)&gt;=DB_MS,INT(B1083)&lt;=DB_ME),1,0)),0)</f>
        <v>0</v>
      </c>
      <c r="BX1083" s="80">
        <f>IF(DB_PROJ="Todos",1,IF(E1083&amp;""=DB_PROJ&amp;"",1,0))</f>
        <v>1</v>
      </c>
      <c r="BY1083" s="80">
        <f>BW1083*BX1083</f>
        <v>0</v>
      </c>
      <c r="BZ1083" s="80" t="str">
        <f>IF(Y1083=1,F1083&amp;IF(AND(F1083&amp;""&lt;&gt;"",E1083&amp;""&lt;&gt;"")," · ","")&amp;E1083,"")</f>
        <v/>
      </c>
      <c r="CA1083" s="80" t="str">
        <f>IF(AND(BD1083=1,E1083&amp;""&lt;&gt;""),IF(COUNTIFS($E$5:E1082,E1083,$BD$5:BD1082,1)=0,MAX($CA$5:CA1082)+1,""),"")</f>
        <v/>
      </c>
      <c r="CB1083" s="80" t="str">
        <f>IF(AND(BE1083=1,D1083="Malcolm",E1083&amp;""&lt;&gt;""),IF(COUNTIFS($D$5:D1082,"Malcolm",$E$5:E1082,E1083,$BE$5:BE1082,1)=0,MAX($CB$5:CB1082)+1,""),"")</f>
        <v/>
      </c>
      <c r="CC1083" s="80" t="str">
        <f>IF(AND(BD1083=1,D1083="proMX",E1083&amp;""&lt;&gt;""),IF(COUNTIFS($D$5:D1082,"proMX",$E$5:E1082,E1083,$BD$5:BD1082,1)=0,MAX($CC$5:CC1082)+1,""),"")</f>
        <v/>
      </c>
      <c r="CD1083" s="80" t="str">
        <f>IF(AND(BE1083=1,D1083="Malcolm",F1083&amp;""&lt;&gt;""),IF(COUNTIFS($D$5:D1082,"Malcolm",$F$5:F1082,F1083,$BE$5:BE1082,1)=0,MAX($CD$5:CD1082)+1,""),"")</f>
        <v/>
      </c>
      <c r="CE1083" s="80" t="str">
        <f>IF(AND(BD1083=1,D1083="proMX",F1083&amp;""&lt;&gt;""),IF(COUNTIFS($D$5:D1082,"proMX",$F$5:F1082,F1083,$BD$5:BD1082,1)=0,MAX($CE$5:CE1082)+1,""),"")</f>
        <v/>
      </c>
      <c r="CF1083" s="80" t="str">
        <f>IF(AND(D1083="proMX",BD1083=1),IF(OR(BF1083="Draft",BF1083="Submitted",BF1083="Returned",BF1083="Recall Requested"),MAX($CF$5:CF1082)+1,""),"")</f>
        <v/>
      </c>
      <c r="CG1083" s="80">
        <f>IF(BD1083=0,0,IF(D1083="Malcolm",1,MATCH(BF1083,{"Draft","Submitted","Approved","Returned","Recall Requested","Cancelled"},0)+1))</f>
        <v>0</v>
      </c>
      <c r="CH1083" s="80">
        <f>IF(AND(BF1083="Submitted",ISNUMBER(V1083)),IF(V1083&gt;CFG_MAXD,1,0),0)</f>
        <v>0</v>
      </c>
    </row>
    <row r="1084">
      <c r="A1084" s="71" t="str">
        <f>IF(Y1084=1,ROW()-5,"")</f>
        <v/>
      </c>
      <c r="B1084" s="72" t="n"/>
      <c r="C1084" s="71" t="str">
        <f>IF(ISNUMBER(B1084),CHOOSE(WEEKDAY(B1084,2),"Lun","Mar","Mié","Jue","Vie","Sáb","Dom"),"")</f>
        <v/>
      </c>
      <c r="D1084" s="73" t="n"/>
      <c r="E1084" s="74" t="n"/>
      <c r="F1084" s="74" t="n"/>
      <c r="G1084" s="74" t="n"/>
      <c r="H1084" s="75" t="n"/>
      <c r="I1084" s="75" t="n"/>
      <c r="J1084" s="76" t="n"/>
      <c r="K1084" s="77" t="str">
        <f>IF(AB1084=1,ROUND(AG1084/60,4),"")</f>
        <v/>
      </c>
      <c r="L1084" s="77" t="str">
        <f>IF(BD1084=1,ROUND(AP1084/60,4),"")</f>
        <v/>
      </c>
      <c r="M1084" s="77" t="str">
        <f>IF(BD1084=1,ROUND(AQ1084/60,4),"")</f>
        <v/>
      </c>
      <c r="N1084" s="71" t="str">
        <f>IF(AND(D1084="proMX",AB1084=1),ROUND(AG1084/CFG_BLK,2),"")</f>
        <v/>
      </c>
      <c r="O1084" s="77" t="str">
        <f>IF(D1084="proMX",IF(BD1084=1,ROUND(AG1084/60,4),0),"")</f>
        <v/>
      </c>
      <c r="P1084" s="78" t="str">
        <f>IF(Y1084=0,"",IF(BD1084=1,"OK",IF(D1084="proMX","Revisar bloques: ","Revisar: ")&amp;BC1084))</f>
        <v/>
      </c>
      <c r="Q1084" s="78" t="str">
        <f>IF(NOT(ISNUMBER(B1084)),"",IF(COUNTIFS(FER_F,INT(B1084))&gt;0,"Feriado"&amp;IF(AH1084=1," (laborable)"," (no laborable)"),IF(AH1084=1,"Laborable",IF(WEEKDAY(B1084,2)&gt;5,"Fin de semana","No laborable"))))</f>
        <v/>
      </c>
      <c r="R1084" s="73" t="n"/>
      <c r="S1084" s="72" t="n"/>
      <c r="T1084" s="72" t="n"/>
      <c r="U1084" s="74" t="n"/>
      <c r="V1084" s="79" t="str">
        <f>IF(AND(D1084="proMX",OR(R1084="Submitted",R1084="Recall Requested"),ISNUMBER(S1084)),CFG_TODAY-INT(S1084),"")</f>
        <v/>
      </c>
      <c r="W1084" s="78" t="str">
        <f>IF(BD1084=0,"",IF(BA1084&gt;0,"⚠ Se superpone con un registro de la otra empresa",IF(D1084="Malcolm",IF(COUNTA(R1084,S1084,T1084)&gt;0,"Estado/fechas proMX se ignoran en Malcolm",""),IF(BF1084="Cancelled","Cancelado: excluido de totales",IF(R1084="","Sin estado: se trata como Draft",IF(BF1084="Submitted",IF(ISNUMBER(V1084),IF(V1084&gt;CFG_MAXD,"⚠ "&amp;V1084&amp;" días en Submitted (máx. "&amp;CFG_MAXD&amp;")",""),"Falta fecha de envío"),IF(BF1084="Returned","⚠ Devuelto: corregir y reenviar",IF(BF1084="Recall Requested","Retirada solicitada: pendiente",IF(AND(BF1084="Approved",NOT(ISNUMBER(T1084))),"Falta fecha de aprobación",IF(AND(ISNUMBER(S1084),ISNUMBER(T1084),T1084&lt;S1084),"Aprobación anterior al envío","")))))))))</f>
        <v/>
      </c>
      <c r="Y1084" s="80">
        <f>IF(COUNTA(B1084,D1084,E1084,F1084,G1084,H1084,I1084,J1084,R1084,S1084,T1084)&gt;0,1,0)</f>
        <v>0</v>
      </c>
      <c r="Z1084" s="80" t="str">
        <f>IF(AND(ISNUMBER(H1084),H1084&gt;=0,H1084&lt;1),ROUND(H1084*1440,0),"")</f>
        <v/>
      </c>
      <c r="AA1084" s="80" t="str">
        <f>IF(AND(ISNUMBER(I1084),I1084&gt;=0,I1084&lt;1),ROUND(I1084*1440,0),"")</f>
        <v/>
      </c>
      <c r="AB1084" s="80">
        <f>IF(AND(ISNUMBER(B1084),D1084&lt;&gt;"",ISNUMBER(Z1084),ISNUMBER(AA1084)),IF(Z1084=AA1084,0,1),0)</f>
        <v>0</v>
      </c>
      <c r="AC1084" s="80">
        <f>IF(AB1084=1,IF(AA1084&lt;Z1084,1,0),0)</f>
        <v>0</v>
      </c>
      <c r="AD1084" s="80">
        <f>IF(AB1084=1,IF(AC1084=1,1440-Z1084+AA1084,AA1084-Z1084),0)</f>
        <v>0</v>
      </c>
      <c r="AE1084" s="80">
        <f>IF(J1084="",0,IF(ISNUMBER(J1084),J1084,-1))</f>
        <v>0</v>
      </c>
      <c r="AF1084" s="80">
        <f>MIN(MAX(0,AE1084),AD1084)</f>
        <v>0</v>
      </c>
      <c r="AG1084" s="80">
        <f>MAX(0,AD1084-MAX(0,AE1084))</f>
        <v>0</v>
      </c>
      <c r="AH1084" s="80">
        <f>IF(ISNUMBER(B1084),IF(AND(INDEX(CFG_WDAYS,WEEKDAY(INT(B1084),2))="Sí",IF(D1084="proMX",COUNTIFS(FER_F,INT(B1084),FER_NLP,"Sí"),COUNTIFS(FER_F,INT(B1084),FER_NLM,"Sí"))=0),1,0),0)</f>
        <v>0</v>
      </c>
      <c r="AI1084" s="80">
        <f>IF(AC1084=1,IF(AND(INDEX(CFG_WDAYS,WEEKDAY(INT(B1084)+1,2))="Sí",IF(D1084="proMX",COUNTIFS(FER_F,INT(B1084)+1,FER_NLP,"Sí"),COUNTIFS(FER_F,INT(B1084)+1,FER_NLM,"Sí"))=0),1,0),0)</f>
        <v>0</v>
      </c>
      <c r="AJ1084" s="80">
        <f>IF(AC1084=1,1440-Z1084,AD1084)</f>
        <v>0</v>
      </c>
      <c r="AK1084" s="80">
        <f>IF(AND(AB1084=1,AH1084=1),MAX(0,MIN(IF(AC1084=1,1440,AA1084),CFG_WEM)-MAX(Z1084,CFG_WSM)),0)</f>
        <v>0</v>
      </c>
      <c r="AL1084" s="80">
        <f>IF(AND(AC1084=1,AI1084=1),MAX(0,MIN(AA1084,CFG_WEM)-CFG_WSM),0)</f>
        <v>0</v>
      </c>
      <c r="AM1084" s="80">
        <f>AK1084+AL1084</f>
        <v>0</v>
      </c>
      <c r="AN1084" s="80">
        <f>IF(CFG_BRK="Proporcional",IF(AD1084=0,0,AF1084*AM1084/AD1084),IF(CFG_BRK="Extras primero",MIN(AM1084,MAX(0,AF1084-(AD1084-AM1084))),MIN(AF1084,AM1084)))</f>
        <v>0</v>
      </c>
      <c r="AO1084" s="80">
        <f>AF1084-AN1084</f>
        <v>0</v>
      </c>
      <c r="AP1084" s="80">
        <f>AM1084-AN1084</f>
        <v>0</v>
      </c>
      <c r="AQ1084" s="80">
        <f>AD1084-AM1084-AO1084</f>
        <v>0</v>
      </c>
      <c r="AR1084" s="80">
        <f>IF(AM1084=0,0,AK1084-AN1084*AK1084/AM1084)</f>
        <v>0</v>
      </c>
      <c r="AS1084" s="80">
        <f>IF(AD1084-AM1084=0,0,(AJ1084-AK1084)-AO1084*(AJ1084-AK1084)/(AD1084-AM1084))</f>
        <v>0</v>
      </c>
      <c r="AT1084" s="80" t="str">
        <f>IF(AC1084=1,INT(B1084)+1,"")</f>
        <v/>
      </c>
      <c r="AU1084" s="80">
        <f>IF(AND(D1084="proMX",R1084="Cancelled"),0,1)</f>
        <v>1</v>
      </c>
      <c r="AV1084" s="80">
        <f>IF(AND(AB1084=1,AU1084=1),IF(COUNTIFS($D$5:D1083,D1084,$B$5:B1083,B1084,$Z$5:Z1083,Z1084,$AA$5:AA1083,AA1084,$F$5:F1083,F1084&amp;"",$AU$5:AU1083,1)&gt;0,1,0),0)</f>
        <v>0</v>
      </c>
      <c r="AW1084" s="80" t="str">
        <f>IF(AB1084=1,INT(B1084)*1440+Z1084,"")</f>
        <v/>
      </c>
      <c r="AX1084" s="80" t="str">
        <f>IF(AB1084=1,AW1084+AD1084,"")</f>
        <v/>
      </c>
      <c r="AY1084" s="80">
        <f>IF(AND(AB1084=1,AV1084=0,AU1084=1),1,0)</f>
        <v>0</v>
      </c>
      <c r="AZ1084" s="80">
        <f>IF(AY1084=1,COUNTIFS(R_Emp,D1084,R_SAbs,"&lt;"&amp;AX1084,R_EAbs,"&gt;"&amp;AW1084,R_OKey,1)-1,0)</f>
        <v>0</v>
      </c>
      <c r="BA1084" s="80">
        <f>IF(AY1084=1,COUNTIFS(R_Emp,"&lt;&gt;"&amp;D1084,R_SAbs,"&lt;"&amp;AX1084,R_EAbs,"&gt;"&amp;AW1084,R_OKey,1),0)</f>
        <v>0</v>
      </c>
      <c r="BB1084" s="80">
        <f>IF(AND(AB1084=1,D1084="proMX"),IF(AND(MOD(Z1084,CFG_BLK)=0,MOD(AA1084,CFG_BLK)=0,MOD(AG1084,CFG_BLK)=0,AG1084&gt;0),1,0),1)</f>
        <v>1</v>
      </c>
      <c r="BC1084" s="80" t="str">
        <f>IF(Y1084=0,"",IF(NOT(ISNUMBER(B1084)),"Falta fecha o fecha inválida",IF(D1084="","Falta empresa",IF(AND(D1084&lt;&gt;"Malcolm",D1084&lt;&gt;"proMX"),"Empresa inválida",IF(OR(INT(B1084)&lt;CFG_PSTART,INT(B1084)&gt;CFG_PEND),"Fecha fuera del período",IF(OR(NOT(ISNUMBER(Z1084)),NOT(ISNUMBER(AA1084))),"Falta hora inicio/fin o formato inválido",IF(AB1084=0,"Hora inicio = hora fin",IF(AE1084&lt;0,"Descanso inválido",IF(AE1084&gt;=AD1084,"Descanso ≥ duración",IF(AV1084=1,"Registro duplicado",IF(AZ1084&gt;0,"Se superpone con otro registro "&amp;D1084,IF(BB1084=0,"inicio, fin y duración neta deben ser múltiplos de "&amp;CFG_BLK&amp;" min",""))))))))))))</f>
        <v/>
      </c>
      <c r="BD1084" s="80">
        <f>IF(AND(Y1084=1,BC1084=""),1,0)</f>
        <v>0</v>
      </c>
      <c r="BE1084" s="80">
        <f>IF(AND(BD1084=1,AU1084=1),1,0)</f>
        <v>0</v>
      </c>
      <c r="BF1084" s="80" t="str">
        <f>IF(AND(D1084="proMX",BD1084=1),IF(R1084="","Draft",R1084),"")</f>
        <v/>
      </c>
      <c r="BG1084" s="80">
        <f>IF(BD1084=1,ROUND(AG1084/60,6),0)</f>
        <v>0</v>
      </c>
      <c r="BH1084" s="80">
        <f>IF(BE1084=1,ROUND(AG1084/60,6),0)</f>
        <v>0</v>
      </c>
      <c r="BI1084" s="80">
        <f>IF(BE1084=1,ROUND(AP1084/60,6),0)</f>
        <v>0</v>
      </c>
      <c r="BJ1084" s="80">
        <f>IF(BE1084=1,ROUND(AQ1084/60,6),0)</f>
        <v>0</v>
      </c>
      <c r="BK1084" s="80">
        <f>IF(BE1084=1,ROUND((AR1084+AS1084)/60,6),0)</f>
        <v>0</v>
      </c>
      <c r="BL1084" s="80">
        <f>ROUND(BH1084-BK1084,6)</f>
        <v>0</v>
      </c>
      <c r="BM1084" s="80">
        <f>IF(BE1084=1,ROUND(AR1084/60,6),0)</f>
        <v>0</v>
      </c>
      <c r="BN1084" s="80">
        <f>ROUND(BI1084-BM1084,6)</f>
        <v>0</v>
      </c>
      <c r="BO1084" s="80">
        <f>IF(BE1084=1,ROUND(AS1084/60,6),0)</f>
        <v>0</v>
      </c>
      <c r="BP1084" s="80">
        <f>ROUND(BJ1084-BO1084,6)</f>
        <v>0</v>
      </c>
      <c r="BQ1084" s="80">
        <f>IF(BE1084=1,AW1084,0)</f>
        <v>0</v>
      </c>
      <c r="BR1084" s="80">
        <f>IF(BE1084=1,AX1084,0)</f>
        <v>0</v>
      </c>
      <c r="BS1084" s="80">
        <f>IF(AND(BE1084=1,D1084="Malcolm",BA1084&gt;0),MIN(BH1084,SUMPRODUCT((R_Emp="proMX")*(R_EN&gt;0)*((R_EN-(R_EN&gt;BR1084)*(R_EN-BR1084))&gt;(R_SN+(R_SN&lt;BQ1084)*(BQ1084-R_SN)))*((R_EN-(R_EN&gt;BR1084)*(R_EN-BR1084))-(R_SN+(R_SN&lt;BQ1084)*(BQ1084-R_SN))))/60),0)</f>
        <v>0</v>
      </c>
      <c r="BT1084" s="80">
        <f>IF(AND(BE1084=1,D1084="proMX"),ROUND(BI1084*CFG_RATE+BJ1084*CFG_OTRATE,6),0)</f>
        <v>0</v>
      </c>
      <c r="BU1084" s="80">
        <f>IF(AND(BD1084=1,D1084="proMX"),ROUND(AG1084/CFG_BLK,6),0)</f>
        <v>0</v>
      </c>
      <c r="BV1084" s="80" t="str">
        <f>IF(BF1084="Approved",IF(ISNUMBER(T1084),INT(T1084),INT(B1084)),"")</f>
        <v/>
      </c>
      <c r="BW1084" s="80">
        <f>IF(ISNUMBER(B1084),IF(DB_MON="Todos",1,IF(AND(INT(B1084)&gt;=DB_MS,INT(B1084)&lt;=DB_ME),1,0)),0)</f>
        <v>0</v>
      </c>
      <c r="BX1084" s="80">
        <f>IF(DB_PROJ="Todos",1,IF(E1084&amp;""=DB_PROJ&amp;"",1,0))</f>
        <v>1</v>
      </c>
      <c r="BY1084" s="80">
        <f>BW1084*BX1084</f>
        <v>0</v>
      </c>
      <c r="BZ1084" s="80" t="str">
        <f>IF(Y1084=1,F1084&amp;IF(AND(F1084&amp;""&lt;&gt;"",E1084&amp;""&lt;&gt;"")," · ","")&amp;E1084,"")</f>
        <v/>
      </c>
      <c r="CA1084" s="80" t="str">
        <f>IF(AND(BD1084=1,E1084&amp;""&lt;&gt;""),IF(COUNTIFS($E$5:E1083,E1084,$BD$5:BD1083,1)=0,MAX($CA$5:CA1083)+1,""),"")</f>
        <v/>
      </c>
      <c r="CB1084" s="80" t="str">
        <f>IF(AND(BE1084=1,D1084="Malcolm",E1084&amp;""&lt;&gt;""),IF(COUNTIFS($D$5:D1083,"Malcolm",$E$5:E1083,E1084,$BE$5:BE1083,1)=0,MAX($CB$5:CB1083)+1,""),"")</f>
        <v/>
      </c>
      <c r="CC1084" s="80" t="str">
        <f>IF(AND(BD1084=1,D1084="proMX",E1084&amp;""&lt;&gt;""),IF(COUNTIFS($D$5:D1083,"proMX",$E$5:E1083,E1084,$BD$5:BD1083,1)=0,MAX($CC$5:CC1083)+1,""),"")</f>
        <v/>
      </c>
      <c r="CD1084" s="80" t="str">
        <f>IF(AND(BE1084=1,D1084="Malcolm",F1084&amp;""&lt;&gt;""),IF(COUNTIFS($D$5:D1083,"Malcolm",$F$5:F1083,F1084,$BE$5:BE1083,1)=0,MAX($CD$5:CD1083)+1,""),"")</f>
        <v/>
      </c>
      <c r="CE1084" s="80" t="str">
        <f>IF(AND(BD1084=1,D1084="proMX",F1084&amp;""&lt;&gt;""),IF(COUNTIFS($D$5:D1083,"proMX",$F$5:F1083,F1084,$BD$5:BD1083,1)=0,MAX($CE$5:CE1083)+1,""),"")</f>
        <v/>
      </c>
      <c r="CF1084" s="80" t="str">
        <f>IF(AND(D1084="proMX",BD1084=1),IF(OR(BF1084="Draft",BF1084="Submitted",BF1084="Returned",BF1084="Recall Requested"),MAX($CF$5:CF1083)+1,""),"")</f>
        <v/>
      </c>
      <c r="CG1084" s="80">
        <f>IF(BD1084=0,0,IF(D1084="Malcolm",1,MATCH(BF1084,{"Draft","Submitted","Approved","Returned","Recall Requested","Cancelled"},0)+1))</f>
        <v>0</v>
      </c>
      <c r="CH1084" s="80">
        <f>IF(AND(BF1084="Submitted",ISNUMBER(V1084)),IF(V1084&gt;CFG_MAXD,1,0),0)</f>
        <v>0</v>
      </c>
    </row>
    <row r="1085">
      <c r="A1085" s="71" t="str">
        <f>IF(Y1085=1,ROW()-5,"")</f>
        <v/>
      </c>
      <c r="B1085" s="72" t="n"/>
      <c r="C1085" s="71" t="str">
        <f>IF(ISNUMBER(B1085),CHOOSE(WEEKDAY(B1085,2),"Lun","Mar","Mié","Jue","Vie","Sáb","Dom"),"")</f>
        <v/>
      </c>
      <c r="D1085" s="73" t="n"/>
      <c r="E1085" s="74" t="n"/>
      <c r="F1085" s="74" t="n"/>
      <c r="G1085" s="74" t="n"/>
      <c r="H1085" s="75" t="n"/>
      <c r="I1085" s="75" t="n"/>
      <c r="J1085" s="76" t="n"/>
      <c r="K1085" s="77" t="str">
        <f>IF(AB1085=1,ROUND(AG1085/60,4),"")</f>
        <v/>
      </c>
      <c r="L1085" s="77" t="str">
        <f>IF(BD1085=1,ROUND(AP1085/60,4),"")</f>
        <v/>
      </c>
      <c r="M1085" s="77" t="str">
        <f>IF(BD1085=1,ROUND(AQ1085/60,4),"")</f>
        <v/>
      </c>
      <c r="N1085" s="71" t="str">
        <f>IF(AND(D1085="proMX",AB1085=1),ROUND(AG1085/CFG_BLK,2),"")</f>
        <v/>
      </c>
      <c r="O1085" s="77" t="str">
        <f>IF(D1085="proMX",IF(BD1085=1,ROUND(AG1085/60,4),0),"")</f>
        <v/>
      </c>
      <c r="P1085" s="78" t="str">
        <f>IF(Y1085=0,"",IF(BD1085=1,"OK",IF(D1085="proMX","Revisar bloques: ","Revisar: ")&amp;BC1085))</f>
        <v/>
      </c>
      <c r="Q1085" s="78" t="str">
        <f>IF(NOT(ISNUMBER(B1085)),"",IF(COUNTIFS(FER_F,INT(B1085))&gt;0,"Feriado"&amp;IF(AH1085=1," (laborable)"," (no laborable)"),IF(AH1085=1,"Laborable",IF(WEEKDAY(B1085,2)&gt;5,"Fin de semana","No laborable"))))</f>
        <v/>
      </c>
      <c r="R1085" s="73" t="n"/>
      <c r="S1085" s="72" t="n"/>
      <c r="T1085" s="72" t="n"/>
      <c r="U1085" s="74" t="n"/>
      <c r="V1085" s="79" t="str">
        <f>IF(AND(D1085="proMX",OR(R1085="Submitted",R1085="Recall Requested"),ISNUMBER(S1085)),CFG_TODAY-INT(S1085),"")</f>
        <v/>
      </c>
      <c r="W1085" s="78" t="str">
        <f>IF(BD1085=0,"",IF(BA1085&gt;0,"⚠ Se superpone con un registro de la otra empresa",IF(D1085="Malcolm",IF(COUNTA(R1085,S1085,T1085)&gt;0,"Estado/fechas proMX se ignoran en Malcolm",""),IF(BF1085="Cancelled","Cancelado: excluido de totales",IF(R1085="","Sin estado: se trata como Draft",IF(BF1085="Submitted",IF(ISNUMBER(V1085),IF(V1085&gt;CFG_MAXD,"⚠ "&amp;V1085&amp;" días en Submitted (máx. "&amp;CFG_MAXD&amp;")",""),"Falta fecha de envío"),IF(BF1085="Returned","⚠ Devuelto: corregir y reenviar",IF(BF1085="Recall Requested","Retirada solicitada: pendiente",IF(AND(BF1085="Approved",NOT(ISNUMBER(T1085))),"Falta fecha de aprobación",IF(AND(ISNUMBER(S1085),ISNUMBER(T1085),T1085&lt;S1085),"Aprobación anterior al envío","")))))))))</f>
        <v/>
      </c>
      <c r="Y1085" s="80">
        <f>IF(COUNTA(B1085,D1085,E1085,F1085,G1085,H1085,I1085,J1085,R1085,S1085,T1085)&gt;0,1,0)</f>
        <v>0</v>
      </c>
      <c r="Z1085" s="80" t="str">
        <f>IF(AND(ISNUMBER(H1085),H1085&gt;=0,H1085&lt;1),ROUND(H1085*1440,0),"")</f>
        <v/>
      </c>
      <c r="AA1085" s="80" t="str">
        <f>IF(AND(ISNUMBER(I1085),I1085&gt;=0,I1085&lt;1),ROUND(I1085*1440,0),"")</f>
        <v/>
      </c>
      <c r="AB1085" s="80">
        <f>IF(AND(ISNUMBER(B1085),D1085&lt;&gt;"",ISNUMBER(Z1085),ISNUMBER(AA1085)),IF(Z1085=AA1085,0,1),0)</f>
        <v>0</v>
      </c>
      <c r="AC1085" s="80">
        <f>IF(AB1085=1,IF(AA1085&lt;Z1085,1,0),0)</f>
        <v>0</v>
      </c>
      <c r="AD1085" s="80">
        <f>IF(AB1085=1,IF(AC1085=1,1440-Z1085+AA1085,AA1085-Z1085),0)</f>
        <v>0</v>
      </c>
      <c r="AE1085" s="80">
        <f>IF(J1085="",0,IF(ISNUMBER(J1085),J1085,-1))</f>
        <v>0</v>
      </c>
      <c r="AF1085" s="80">
        <f>MIN(MAX(0,AE1085),AD1085)</f>
        <v>0</v>
      </c>
      <c r="AG1085" s="80">
        <f>MAX(0,AD1085-MAX(0,AE1085))</f>
        <v>0</v>
      </c>
      <c r="AH1085" s="80">
        <f>IF(ISNUMBER(B1085),IF(AND(INDEX(CFG_WDAYS,WEEKDAY(INT(B1085),2))="Sí",IF(D1085="proMX",COUNTIFS(FER_F,INT(B1085),FER_NLP,"Sí"),COUNTIFS(FER_F,INT(B1085),FER_NLM,"Sí"))=0),1,0),0)</f>
        <v>0</v>
      </c>
      <c r="AI1085" s="80">
        <f>IF(AC1085=1,IF(AND(INDEX(CFG_WDAYS,WEEKDAY(INT(B1085)+1,2))="Sí",IF(D1085="proMX",COUNTIFS(FER_F,INT(B1085)+1,FER_NLP,"Sí"),COUNTIFS(FER_F,INT(B1085)+1,FER_NLM,"Sí"))=0),1,0),0)</f>
        <v>0</v>
      </c>
      <c r="AJ1085" s="80">
        <f>IF(AC1085=1,1440-Z1085,AD1085)</f>
        <v>0</v>
      </c>
      <c r="AK1085" s="80">
        <f>IF(AND(AB1085=1,AH1085=1),MAX(0,MIN(IF(AC1085=1,1440,AA1085),CFG_WEM)-MAX(Z1085,CFG_WSM)),0)</f>
        <v>0</v>
      </c>
      <c r="AL1085" s="80">
        <f>IF(AND(AC1085=1,AI1085=1),MAX(0,MIN(AA1085,CFG_WEM)-CFG_WSM),0)</f>
        <v>0</v>
      </c>
      <c r="AM1085" s="80">
        <f>AK1085+AL1085</f>
        <v>0</v>
      </c>
      <c r="AN1085" s="80">
        <f>IF(CFG_BRK="Proporcional",IF(AD1085=0,0,AF1085*AM1085/AD1085),IF(CFG_BRK="Extras primero",MIN(AM1085,MAX(0,AF1085-(AD1085-AM1085))),MIN(AF1085,AM1085)))</f>
        <v>0</v>
      </c>
      <c r="AO1085" s="80">
        <f>AF1085-AN1085</f>
        <v>0</v>
      </c>
      <c r="AP1085" s="80">
        <f>AM1085-AN1085</f>
        <v>0</v>
      </c>
      <c r="AQ1085" s="80">
        <f>AD1085-AM1085-AO1085</f>
        <v>0</v>
      </c>
      <c r="AR1085" s="80">
        <f>IF(AM1085=0,0,AK1085-AN1085*AK1085/AM1085)</f>
        <v>0</v>
      </c>
      <c r="AS1085" s="80">
        <f>IF(AD1085-AM1085=0,0,(AJ1085-AK1085)-AO1085*(AJ1085-AK1085)/(AD1085-AM1085))</f>
        <v>0</v>
      </c>
      <c r="AT1085" s="80" t="str">
        <f>IF(AC1085=1,INT(B1085)+1,"")</f>
        <v/>
      </c>
      <c r="AU1085" s="80">
        <f>IF(AND(D1085="proMX",R1085="Cancelled"),0,1)</f>
        <v>1</v>
      </c>
      <c r="AV1085" s="80">
        <f>IF(AND(AB1085=1,AU1085=1),IF(COUNTIFS($D$5:D1084,D1085,$B$5:B1084,B1085,$Z$5:Z1084,Z1085,$AA$5:AA1084,AA1085,$F$5:F1084,F1085&amp;"",$AU$5:AU1084,1)&gt;0,1,0),0)</f>
        <v>0</v>
      </c>
      <c r="AW1085" s="80" t="str">
        <f>IF(AB1085=1,INT(B1085)*1440+Z1085,"")</f>
        <v/>
      </c>
      <c r="AX1085" s="80" t="str">
        <f>IF(AB1085=1,AW1085+AD1085,"")</f>
        <v/>
      </c>
      <c r="AY1085" s="80">
        <f>IF(AND(AB1085=1,AV1085=0,AU1085=1),1,0)</f>
        <v>0</v>
      </c>
      <c r="AZ1085" s="80">
        <f>IF(AY1085=1,COUNTIFS(R_Emp,D1085,R_SAbs,"&lt;"&amp;AX1085,R_EAbs,"&gt;"&amp;AW1085,R_OKey,1)-1,0)</f>
        <v>0</v>
      </c>
      <c r="BA1085" s="80">
        <f>IF(AY1085=1,COUNTIFS(R_Emp,"&lt;&gt;"&amp;D1085,R_SAbs,"&lt;"&amp;AX1085,R_EAbs,"&gt;"&amp;AW1085,R_OKey,1),0)</f>
        <v>0</v>
      </c>
      <c r="BB1085" s="80">
        <f>IF(AND(AB1085=1,D1085="proMX"),IF(AND(MOD(Z1085,CFG_BLK)=0,MOD(AA1085,CFG_BLK)=0,MOD(AG1085,CFG_BLK)=0,AG1085&gt;0),1,0),1)</f>
        <v>1</v>
      </c>
      <c r="BC1085" s="80" t="str">
        <f>IF(Y1085=0,"",IF(NOT(ISNUMBER(B1085)),"Falta fecha o fecha inválida",IF(D1085="","Falta empresa",IF(AND(D1085&lt;&gt;"Malcolm",D1085&lt;&gt;"proMX"),"Empresa inválida",IF(OR(INT(B1085)&lt;CFG_PSTART,INT(B1085)&gt;CFG_PEND),"Fecha fuera del período",IF(OR(NOT(ISNUMBER(Z1085)),NOT(ISNUMBER(AA1085))),"Falta hora inicio/fin o formato inválido",IF(AB1085=0,"Hora inicio = hora fin",IF(AE1085&lt;0,"Descanso inválido",IF(AE1085&gt;=AD1085,"Descanso ≥ duración",IF(AV1085=1,"Registro duplicado",IF(AZ1085&gt;0,"Se superpone con otro registro "&amp;D1085,IF(BB1085=0,"inicio, fin y duración neta deben ser múltiplos de "&amp;CFG_BLK&amp;" min",""))))))))))))</f>
        <v/>
      </c>
      <c r="BD1085" s="80">
        <f>IF(AND(Y1085=1,BC1085=""),1,0)</f>
        <v>0</v>
      </c>
      <c r="BE1085" s="80">
        <f>IF(AND(BD1085=1,AU1085=1),1,0)</f>
        <v>0</v>
      </c>
      <c r="BF1085" s="80" t="str">
        <f>IF(AND(D1085="proMX",BD1085=1),IF(R1085="","Draft",R1085),"")</f>
        <v/>
      </c>
      <c r="BG1085" s="80">
        <f>IF(BD1085=1,ROUND(AG1085/60,6),0)</f>
        <v>0</v>
      </c>
      <c r="BH1085" s="80">
        <f>IF(BE1085=1,ROUND(AG1085/60,6),0)</f>
        <v>0</v>
      </c>
      <c r="BI1085" s="80">
        <f>IF(BE1085=1,ROUND(AP1085/60,6),0)</f>
        <v>0</v>
      </c>
      <c r="BJ1085" s="80">
        <f>IF(BE1085=1,ROUND(AQ1085/60,6),0)</f>
        <v>0</v>
      </c>
      <c r="BK1085" s="80">
        <f>IF(BE1085=1,ROUND((AR1085+AS1085)/60,6),0)</f>
        <v>0</v>
      </c>
      <c r="BL1085" s="80">
        <f>ROUND(BH1085-BK1085,6)</f>
        <v>0</v>
      </c>
      <c r="BM1085" s="80">
        <f>IF(BE1085=1,ROUND(AR1085/60,6),0)</f>
        <v>0</v>
      </c>
      <c r="BN1085" s="80">
        <f>ROUND(BI1085-BM1085,6)</f>
        <v>0</v>
      </c>
      <c r="BO1085" s="80">
        <f>IF(BE1085=1,ROUND(AS1085/60,6),0)</f>
        <v>0</v>
      </c>
      <c r="BP1085" s="80">
        <f>ROUND(BJ1085-BO1085,6)</f>
        <v>0</v>
      </c>
      <c r="BQ1085" s="80">
        <f>IF(BE1085=1,AW1085,0)</f>
        <v>0</v>
      </c>
      <c r="BR1085" s="80">
        <f>IF(BE1085=1,AX1085,0)</f>
        <v>0</v>
      </c>
      <c r="BS1085" s="80">
        <f>IF(AND(BE1085=1,D1085="Malcolm",BA1085&gt;0),MIN(BH1085,SUMPRODUCT((R_Emp="proMX")*(R_EN&gt;0)*((R_EN-(R_EN&gt;BR1085)*(R_EN-BR1085))&gt;(R_SN+(R_SN&lt;BQ1085)*(BQ1085-R_SN)))*((R_EN-(R_EN&gt;BR1085)*(R_EN-BR1085))-(R_SN+(R_SN&lt;BQ1085)*(BQ1085-R_SN))))/60),0)</f>
        <v>0</v>
      </c>
      <c r="BT1085" s="80">
        <f>IF(AND(BE1085=1,D1085="proMX"),ROUND(BI1085*CFG_RATE+BJ1085*CFG_OTRATE,6),0)</f>
        <v>0</v>
      </c>
      <c r="BU1085" s="80">
        <f>IF(AND(BD1085=1,D1085="proMX"),ROUND(AG1085/CFG_BLK,6),0)</f>
        <v>0</v>
      </c>
      <c r="BV1085" s="80" t="str">
        <f>IF(BF1085="Approved",IF(ISNUMBER(T1085),INT(T1085),INT(B1085)),"")</f>
        <v/>
      </c>
      <c r="BW1085" s="80">
        <f>IF(ISNUMBER(B1085),IF(DB_MON="Todos",1,IF(AND(INT(B1085)&gt;=DB_MS,INT(B1085)&lt;=DB_ME),1,0)),0)</f>
        <v>0</v>
      </c>
      <c r="BX1085" s="80">
        <f>IF(DB_PROJ="Todos",1,IF(E1085&amp;""=DB_PROJ&amp;"",1,0))</f>
        <v>1</v>
      </c>
      <c r="BY1085" s="80">
        <f>BW1085*BX1085</f>
        <v>0</v>
      </c>
      <c r="BZ1085" s="80" t="str">
        <f>IF(Y1085=1,F1085&amp;IF(AND(F1085&amp;""&lt;&gt;"",E1085&amp;""&lt;&gt;"")," · ","")&amp;E1085,"")</f>
        <v/>
      </c>
      <c r="CA1085" s="80" t="str">
        <f>IF(AND(BD1085=1,E1085&amp;""&lt;&gt;""),IF(COUNTIFS($E$5:E1084,E1085,$BD$5:BD1084,1)=0,MAX($CA$5:CA1084)+1,""),"")</f>
        <v/>
      </c>
      <c r="CB1085" s="80" t="str">
        <f>IF(AND(BE1085=1,D1085="Malcolm",E1085&amp;""&lt;&gt;""),IF(COUNTIFS($D$5:D1084,"Malcolm",$E$5:E1084,E1085,$BE$5:BE1084,1)=0,MAX($CB$5:CB1084)+1,""),"")</f>
        <v/>
      </c>
      <c r="CC1085" s="80" t="str">
        <f>IF(AND(BD1085=1,D1085="proMX",E1085&amp;""&lt;&gt;""),IF(COUNTIFS($D$5:D1084,"proMX",$E$5:E1084,E1085,$BD$5:BD1084,1)=0,MAX($CC$5:CC1084)+1,""),"")</f>
        <v/>
      </c>
      <c r="CD1085" s="80" t="str">
        <f>IF(AND(BE1085=1,D1085="Malcolm",F1085&amp;""&lt;&gt;""),IF(COUNTIFS($D$5:D1084,"Malcolm",$F$5:F1084,F1085,$BE$5:BE1084,1)=0,MAX($CD$5:CD1084)+1,""),"")</f>
        <v/>
      </c>
      <c r="CE1085" s="80" t="str">
        <f>IF(AND(BD1085=1,D1085="proMX",F1085&amp;""&lt;&gt;""),IF(COUNTIFS($D$5:D1084,"proMX",$F$5:F1084,F1085,$BD$5:BD1084,1)=0,MAX($CE$5:CE1084)+1,""),"")</f>
        <v/>
      </c>
      <c r="CF1085" s="80" t="str">
        <f>IF(AND(D1085="proMX",BD1085=1),IF(OR(BF1085="Draft",BF1085="Submitted",BF1085="Returned",BF1085="Recall Requested"),MAX($CF$5:CF1084)+1,""),"")</f>
        <v/>
      </c>
      <c r="CG1085" s="80">
        <f>IF(BD1085=0,0,IF(D1085="Malcolm",1,MATCH(BF1085,{"Draft","Submitted","Approved","Returned","Recall Requested","Cancelled"},0)+1))</f>
        <v>0</v>
      </c>
      <c r="CH1085" s="80">
        <f>IF(AND(BF1085="Submitted",ISNUMBER(V1085)),IF(V1085&gt;CFG_MAXD,1,0),0)</f>
        <v>0</v>
      </c>
    </row>
    <row r="1086">
      <c r="A1086" s="71" t="str">
        <f>IF(Y1086=1,ROW()-5,"")</f>
        <v/>
      </c>
      <c r="B1086" s="72" t="n"/>
      <c r="C1086" s="71" t="str">
        <f>IF(ISNUMBER(B1086),CHOOSE(WEEKDAY(B1086,2),"Lun","Mar","Mié","Jue","Vie","Sáb","Dom"),"")</f>
        <v/>
      </c>
      <c r="D1086" s="73" t="n"/>
      <c r="E1086" s="74" t="n"/>
      <c r="F1086" s="74" t="n"/>
      <c r="G1086" s="74" t="n"/>
      <c r="H1086" s="75" t="n"/>
      <c r="I1086" s="75" t="n"/>
      <c r="J1086" s="76" t="n"/>
      <c r="K1086" s="77" t="str">
        <f>IF(AB1086=1,ROUND(AG1086/60,4),"")</f>
        <v/>
      </c>
      <c r="L1086" s="77" t="str">
        <f>IF(BD1086=1,ROUND(AP1086/60,4),"")</f>
        <v/>
      </c>
      <c r="M1086" s="77" t="str">
        <f>IF(BD1086=1,ROUND(AQ1086/60,4),"")</f>
        <v/>
      </c>
      <c r="N1086" s="71" t="str">
        <f>IF(AND(D1086="proMX",AB1086=1),ROUND(AG1086/CFG_BLK,2),"")</f>
        <v/>
      </c>
      <c r="O1086" s="77" t="str">
        <f>IF(D1086="proMX",IF(BD1086=1,ROUND(AG1086/60,4),0),"")</f>
        <v/>
      </c>
      <c r="P1086" s="78" t="str">
        <f>IF(Y1086=0,"",IF(BD1086=1,"OK",IF(D1086="proMX","Revisar bloques: ","Revisar: ")&amp;BC1086))</f>
        <v/>
      </c>
      <c r="Q1086" s="78" t="str">
        <f>IF(NOT(ISNUMBER(B1086)),"",IF(COUNTIFS(FER_F,INT(B1086))&gt;0,"Feriado"&amp;IF(AH1086=1," (laborable)"," (no laborable)"),IF(AH1086=1,"Laborable",IF(WEEKDAY(B1086,2)&gt;5,"Fin de semana","No laborable"))))</f>
        <v/>
      </c>
      <c r="R1086" s="73" t="n"/>
      <c r="S1086" s="72" t="n"/>
      <c r="T1086" s="72" t="n"/>
      <c r="U1086" s="74" t="n"/>
      <c r="V1086" s="79" t="str">
        <f>IF(AND(D1086="proMX",OR(R1086="Submitted",R1086="Recall Requested"),ISNUMBER(S1086)),CFG_TODAY-INT(S1086),"")</f>
        <v/>
      </c>
      <c r="W1086" s="78" t="str">
        <f>IF(BD1086=0,"",IF(BA1086&gt;0,"⚠ Se superpone con un registro de la otra empresa",IF(D1086="Malcolm",IF(COUNTA(R1086,S1086,T1086)&gt;0,"Estado/fechas proMX se ignoran en Malcolm",""),IF(BF1086="Cancelled","Cancelado: excluido de totales",IF(R1086="","Sin estado: se trata como Draft",IF(BF1086="Submitted",IF(ISNUMBER(V1086),IF(V1086&gt;CFG_MAXD,"⚠ "&amp;V1086&amp;" días en Submitted (máx. "&amp;CFG_MAXD&amp;")",""),"Falta fecha de envío"),IF(BF1086="Returned","⚠ Devuelto: corregir y reenviar",IF(BF1086="Recall Requested","Retirada solicitada: pendiente",IF(AND(BF1086="Approved",NOT(ISNUMBER(T1086))),"Falta fecha de aprobación",IF(AND(ISNUMBER(S1086),ISNUMBER(T1086),T1086&lt;S1086),"Aprobación anterior al envío","")))))))))</f>
        <v/>
      </c>
      <c r="Y1086" s="80">
        <f>IF(COUNTA(B1086,D1086,E1086,F1086,G1086,H1086,I1086,J1086,R1086,S1086,T1086)&gt;0,1,0)</f>
        <v>0</v>
      </c>
      <c r="Z1086" s="80" t="str">
        <f>IF(AND(ISNUMBER(H1086),H1086&gt;=0,H1086&lt;1),ROUND(H1086*1440,0),"")</f>
        <v/>
      </c>
      <c r="AA1086" s="80" t="str">
        <f>IF(AND(ISNUMBER(I1086),I1086&gt;=0,I1086&lt;1),ROUND(I1086*1440,0),"")</f>
        <v/>
      </c>
      <c r="AB1086" s="80">
        <f>IF(AND(ISNUMBER(B1086),D1086&lt;&gt;"",ISNUMBER(Z1086),ISNUMBER(AA1086)),IF(Z1086=AA1086,0,1),0)</f>
        <v>0</v>
      </c>
      <c r="AC1086" s="80">
        <f>IF(AB1086=1,IF(AA1086&lt;Z1086,1,0),0)</f>
        <v>0</v>
      </c>
      <c r="AD1086" s="80">
        <f>IF(AB1086=1,IF(AC1086=1,1440-Z1086+AA1086,AA1086-Z1086),0)</f>
        <v>0</v>
      </c>
      <c r="AE1086" s="80">
        <f>IF(J1086="",0,IF(ISNUMBER(J1086),J1086,-1))</f>
        <v>0</v>
      </c>
      <c r="AF1086" s="80">
        <f>MIN(MAX(0,AE1086),AD1086)</f>
        <v>0</v>
      </c>
      <c r="AG1086" s="80">
        <f>MAX(0,AD1086-MAX(0,AE1086))</f>
        <v>0</v>
      </c>
      <c r="AH1086" s="80">
        <f>IF(ISNUMBER(B1086),IF(AND(INDEX(CFG_WDAYS,WEEKDAY(INT(B1086),2))="Sí",IF(D1086="proMX",COUNTIFS(FER_F,INT(B1086),FER_NLP,"Sí"),COUNTIFS(FER_F,INT(B1086),FER_NLM,"Sí"))=0),1,0),0)</f>
        <v>0</v>
      </c>
      <c r="AI1086" s="80">
        <f>IF(AC1086=1,IF(AND(INDEX(CFG_WDAYS,WEEKDAY(INT(B1086)+1,2))="Sí",IF(D1086="proMX",COUNTIFS(FER_F,INT(B1086)+1,FER_NLP,"Sí"),COUNTIFS(FER_F,INT(B1086)+1,FER_NLM,"Sí"))=0),1,0),0)</f>
        <v>0</v>
      </c>
      <c r="AJ1086" s="80">
        <f>IF(AC1086=1,1440-Z1086,AD1086)</f>
        <v>0</v>
      </c>
      <c r="AK1086" s="80">
        <f>IF(AND(AB1086=1,AH1086=1),MAX(0,MIN(IF(AC1086=1,1440,AA1086),CFG_WEM)-MAX(Z1086,CFG_WSM)),0)</f>
        <v>0</v>
      </c>
      <c r="AL1086" s="80">
        <f>IF(AND(AC1086=1,AI1086=1),MAX(0,MIN(AA1086,CFG_WEM)-CFG_WSM),0)</f>
        <v>0</v>
      </c>
      <c r="AM1086" s="80">
        <f>AK1086+AL1086</f>
        <v>0</v>
      </c>
      <c r="AN1086" s="80">
        <f>IF(CFG_BRK="Proporcional",IF(AD1086=0,0,AF1086*AM1086/AD1086),IF(CFG_BRK="Extras primero",MIN(AM1086,MAX(0,AF1086-(AD1086-AM1086))),MIN(AF1086,AM1086)))</f>
        <v>0</v>
      </c>
      <c r="AO1086" s="80">
        <f>AF1086-AN1086</f>
        <v>0</v>
      </c>
      <c r="AP1086" s="80">
        <f>AM1086-AN1086</f>
        <v>0</v>
      </c>
      <c r="AQ1086" s="80">
        <f>AD1086-AM1086-AO1086</f>
        <v>0</v>
      </c>
      <c r="AR1086" s="80">
        <f>IF(AM1086=0,0,AK1086-AN1086*AK1086/AM1086)</f>
        <v>0</v>
      </c>
      <c r="AS1086" s="80">
        <f>IF(AD1086-AM1086=0,0,(AJ1086-AK1086)-AO1086*(AJ1086-AK1086)/(AD1086-AM1086))</f>
        <v>0</v>
      </c>
      <c r="AT1086" s="80" t="str">
        <f>IF(AC1086=1,INT(B1086)+1,"")</f>
        <v/>
      </c>
      <c r="AU1086" s="80">
        <f>IF(AND(D1086="proMX",R1086="Cancelled"),0,1)</f>
        <v>1</v>
      </c>
      <c r="AV1086" s="80">
        <f>IF(AND(AB1086=1,AU1086=1),IF(COUNTIFS($D$5:D1085,D1086,$B$5:B1085,B1086,$Z$5:Z1085,Z1086,$AA$5:AA1085,AA1086,$F$5:F1085,F1086&amp;"",$AU$5:AU1085,1)&gt;0,1,0),0)</f>
        <v>0</v>
      </c>
      <c r="AW1086" s="80" t="str">
        <f>IF(AB1086=1,INT(B1086)*1440+Z1086,"")</f>
        <v/>
      </c>
      <c r="AX1086" s="80" t="str">
        <f>IF(AB1086=1,AW1086+AD1086,"")</f>
        <v/>
      </c>
      <c r="AY1086" s="80">
        <f>IF(AND(AB1086=1,AV1086=0,AU1086=1),1,0)</f>
        <v>0</v>
      </c>
      <c r="AZ1086" s="80">
        <f>IF(AY1086=1,COUNTIFS(R_Emp,D1086,R_SAbs,"&lt;"&amp;AX1086,R_EAbs,"&gt;"&amp;AW1086,R_OKey,1)-1,0)</f>
        <v>0</v>
      </c>
      <c r="BA1086" s="80">
        <f>IF(AY1086=1,COUNTIFS(R_Emp,"&lt;&gt;"&amp;D1086,R_SAbs,"&lt;"&amp;AX1086,R_EAbs,"&gt;"&amp;AW1086,R_OKey,1),0)</f>
        <v>0</v>
      </c>
      <c r="BB1086" s="80">
        <f>IF(AND(AB1086=1,D1086="proMX"),IF(AND(MOD(Z1086,CFG_BLK)=0,MOD(AA1086,CFG_BLK)=0,MOD(AG1086,CFG_BLK)=0,AG1086&gt;0),1,0),1)</f>
        <v>1</v>
      </c>
      <c r="BC1086" s="80" t="str">
        <f>IF(Y1086=0,"",IF(NOT(ISNUMBER(B1086)),"Falta fecha o fecha inválida",IF(D1086="","Falta empresa",IF(AND(D1086&lt;&gt;"Malcolm",D1086&lt;&gt;"proMX"),"Empresa inválida",IF(OR(INT(B1086)&lt;CFG_PSTART,INT(B1086)&gt;CFG_PEND),"Fecha fuera del período",IF(OR(NOT(ISNUMBER(Z1086)),NOT(ISNUMBER(AA1086))),"Falta hora inicio/fin o formato inválido",IF(AB1086=0,"Hora inicio = hora fin",IF(AE1086&lt;0,"Descanso inválido",IF(AE1086&gt;=AD1086,"Descanso ≥ duración",IF(AV1086=1,"Registro duplicado",IF(AZ1086&gt;0,"Se superpone con otro registro "&amp;D1086,IF(BB1086=0,"inicio, fin y duración neta deben ser múltiplos de "&amp;CFG_BLK&amp;" min",""))))))))))))</f>
        <v/>
      </c>
      <c r="BD1086" s="80">
        <f>IF(AND(Y1086=1,BC1086=""),1,0)</f>
        <v>0</v>
      </c>
      <c r="BE1086" s="80">
        <f>IF(AND(BD1086=1,AU1086=1),1,0)</f>
        <v>0</v>
      </c>
      <c r="BF1086" s="80" t="str">
        <f>IF(AND(D1086="proMX",BD1086=1),IF(R1086="","Draft",R1086),"")</f>
        <v/>
      </c>
      <c r="BG1086" s="80">
        <f>IF(BD1086=1,ROUND(AG1086/60,6),0)</f>
        <v>0</v>
      </c>
      <c r="BH1086" s="80">
        <f>IF(BE1086=1,ROUND(AG1086/60,6),0)</f>
        <v>0</v>
      </c>
      <c r="BI1086" s="80">
        <f>IF(BE1086=1,ROUND(AP1086/60,6),0)</f>
        <v>0</v>
      </c>
      <c r="BJ1086" s="80">
        <f>IF(BE1086=1,ROUND(AQ1086/60,6),0)</f>
        <v>0</v>
      </c>
      <c r="BK1086" s="80">
        <f>IF(BE1086=1,ROUND((AR1086+AS1086)/60,6),0)</f>
        <v>0</v>
      </c>
      <c r="BL1086" s="80">
        <f>ROUND(BH1086-BK1086,6)</f>
        <v>0</v>
      </c>
      <c r="BM1086" s="80">
        <f>IF(BE1086=1,ROUND(AR1086/60,6),0)</f>
        <v>0</v>
      </c>
      <c r="BN1086" s="80">
        <f>ROUND(BI1086-BM1086,6)</f>
        <v>0</v>
      </c>
      <c r="BO1086" s="80">
        <f>IF(BE1086=1,ROUND(AS1086/60,6),0)</f>
        <v>0</v>
      </c>
      <c r="BP1086" s="80">
        <f>ROUND(BJ1086-BO1086,6)</f>
        <v>0</v>
      </c>
      <c r="BQ1086" s="80">
        <f>IF(BE1086=1,AW1086,0)</f>
        <v>0</v>
      </c>
      <c r="BR1086" s="80">
        <f>IF(BE1086=1,AX1086,0)</f>
        <v>0</v>
      </c>
      <c r="BS1086" s="80">
        <f>IF(AND(BE1086=1,D1086="Malcolm",BA1086&gt;0),MIN(BH1086,SUMPRODUCT((R_Emp="proMX")*(R_EN&gt;0)*((R_EN-(R_EN&gt;BR1086)*(R_EN-BR1086))&gt;(R_SN+(R_SN&lt;BQ1086)*(BQ1086-R_SN)))*((R_EN-(R_EN&gt;BR1086)*(R_EN-BR1086))-(R_SN+(R_SN&lt;BQ1086)*(BQ1086-R_SN))))/60),0)</f>
        <v>0</v>
      </c>
      <c r="BT1086" s="80">
        <f>IF(AND(BE1086=1,D1086="proMX"),ROUND(BI1086*CFG_RATE+BJ1086*CFG_OTRATE,6),0)</f>
        <v>0</v>
      </c>
      <c r="BU1086" s="80">
        <f>IF(AND(BD1086=1,D1086="proMX"),ROUND(AG1086/CFG_BLK,6),0)</f>
        <v>0</v>
      </c>
      <c r="BV1086" s="80" t="str">
        <f>IF(BF1086="Approved",IF(ISNUMBER(T1086),INT(T1086),INT(B1086)),"")</f>
        <v/>
      </c>
      <c r="BW1086" s="80">
        <f>IF(ISNUMBER(B1086),IF(DB_MON="Todos",1,IF(AND(INT(B1086)&gt;=DB_MS,INT(B1086)&lt;=DB_ME),1,0)),0)</f>
        <v>0</v>
      </c>
      <c r="BX1086" s="80">
        <f>IF(DB_PROJ="Todos",1,IF(E1086&amp;""=DB_PROJ&amp;"",1,0))</f>
        <v>1</v>
      </c>
      <c r="BY1086" s="80">
        <f>BW1086*BX1086</f>
        <v>0</v>
      </c>
      <c r="BZ1086" s="80" t="str">
        <f>IF(Y1086=1,F1086&amp;IF(AND(F1086&amp;""&lt;&gt;"",E1086&amp;""&lt;&gt;"")," · ","")&amp;E1086,"")</f>
        <v/>
      </c>
      <c r="CA1086" s="80" t="str">
        <f>IF(AND(BD1086=1,E1086&amp;""&lt;&gt;""),IF(COUNTIFS($E$5:E1085,E1086,$BD$5:BD1085,1)=0,MAX($CA$5:CA1085)+1,""),"")</f>
        <v/>
      </c>
      <c r="CB1086" s="80" t="str">
        <f>IF(AND(BE1086=1,D1086="Malcolm",E1086&amp;""&lt;&gt;""),IF(COUNTIFS($D$5:D1085,"Malcolm",$E$5:E1085,E1086,$BE$5:BE1085,1)=0,MAX($CB$5:CB1085)+1,""),"")</f>
        <v/>
      </c>
      <c r="CC1086" s="80" t="str">
        <f>IF(AND(BD1086=1,D1086="proMX",E1086&amp;""&lt;&gt;""),IF(COUNTIFS($D$5:D1085,"proMX",$E$5:E1085,E1086,$BD$5:BD1085,1)=0,MAX($CC$5:CC1085)+1,""),"")</f>
        <v/>
      </c>
      <c r="CD1086" s="80" t="str">
        <f>IF(AND(BE1086=1,D1086="Malcolm",F1086&amp;""&lt;&gt;""),IF(COUNTIFS($D$5:D1085,"Malcolm",$F$5:F1085,F1086,$BE$5:BE1085,1)=0,MAX($CD$5:CD1085)+1,""),"")</f>
        <v/>
      </c>
      <c r="CE1086" s="80" t="str">
        <f>IF(AND(BD1086=1,D1086="proMX",F1086&amp;""&lt;&gt;""),IF(COUNTIFS($D$5:D1085,"proMX",$F$5:F1085,F1086,$BD$5:BD1085,1)=0,MAX($CE$5:CE1085)+1,""),"")</f>
        <v/>
      </c>
      <c r="CF1086" s="80" t="str">
        <f>IF(AND(D1086="proMX",BD1086=1),IF(OR(BF1086="Draft",BF1086="Submitted",BF1086="Returned",BF1086="Recall Requested"),MAX($CF$5:CF1085)+1,""),"")</f>
        <v/>
      </c>
      <c r="CG1086" s="80">
        <f>IF(BD1086=0,0,IF(D1086="Malcolm",1,MATCH(BF1086,{"Draft","Submitted","Approved","Returned","Recall Requested","Cancelled"},0)+1))</f>
        <v>0</v>
      </c>
      <c r="CH1086" s="80">
        <f>IF(AND(BF1086="Submitted",ISNUMBER(V1086)),IF(V1086&gt;CFG_MAXD,1,0),0)</f>
        <v>0</v>
      </c>
    </row>
    <row r="1087">
      <c r="A1087" s="71" t="str">
        <f>IF(Y1087=1,ROW()-5,"")</f>
        <v/>
      </c>
      <c r="B1087" s="72" t="n"/>
      <c r="C1087" s="71" t="str">
        <f>IF(ISNUMBER(B1087),CHOOSE(WEEKDAY(B1087,2),"Lun","Mar","Mié","Jue","Vie","Sáb","Dom"),"")</f>
        <v/>
      </c>
      <c r="D1087" s="73" t="n"/>
      <c r="E1087" s="74" t="n"/>
      <c r="F1087" s="74" t="n"/>
      <c r="G1087" s="74" t="n"/>
      <c r="H1087" s="75" t="n"/>
      <c r="I1087" s="75" t="n"/>
      <c r="J1087" s="76" t="n"/>
      <c r="K1087" s="77" t="str">
        <f>IF(AB1087=1,ROUND(AG1087/60,4),"")</f>
        <v/>
      </c>
      <c r="L1087" s="77" t="str">
        <f>IF(BD1087=1,ROUND(AP1087/60,4),"")</f>
        <v/>
      </c>
      <c r="M1087" s="77" t="str">
        <f>IF(BD1087=1,ROUND(AQ1087/60,4),"")</f>
        <v/>
      </c>
      <c r="N1087" s="71" t="str">
        <f>IF(AND(D1087="proMX",AB1087=1),ROUND(AG1087/CFG_BLK,2),"")</f>
        <v/>
      </c>
      <c r="O1087" s="77" t="str">
        <f>IF(D1087="proMX",IF(BD1087=1,ROUND(AG1087/60,4),0),"")</f>
        <v/>
      </c>
      <c r="P1087" s="78" t="str">
        <f>IF(Y1087=0,"",IF(BD1087=1,"OK",IF(D1087="proMX","Revisar bloques: ","Revisar: ")&amp;BC1087))</f>
        <v/>
      </c>
      <c r="Q1087" s="78" t="str">
        <f>IF(NOT(ISNUMBER(B1087)),"",IF(COUNTIFS(FER_F,INT(B1087))&gt;0,"Feriado"&amp;IF(AH1087=1," (laborable)"," (no laborable)"),IF(AH1087=1,"Laborable",IF(WEEKDAY(B1087,2)&gt;5,"Fin de semana","No laborable"))))</f>
        <v/>
      </c>
      <c r="R1087" s="73" t="n"/>
      <c r="S1087" s="72" t="n"/>
      <c r="T1087" s="72" t="n"/>
      <c r="U1087" s="74" t="n"/>
      <c r="V1087" s="79" t="str">
        <f>IF(AND(D1087="proMX",OR(R1087="Submitted",R1087="Recall Requested"),ISNUMBER(S1087)),CFG_TODAY-INT(S1087),"")</f>
        <v/>
      </c>
      <c r="W1087" s="78" t="str">
        <f>IF(BD1087=0,"",IF(BA1087&gt;0,"⚠ Se superpone con un registro de la otra empresa",IF(D1087="Malcolm",IF(COUNTA(R1087,S1087,T1087)&gt;0,"Estado/fechas proMX se ignoran en Malcolm",""),IF(BF1087="Cancelled","Cancelado: excluido de totales",IF(R1087="","Sin estado: se trata como Draft",IF(BF1087="Submitted",IF(ISNUMBER(V1087),IF(V1087&gt;CFG_MAXD,"⚠ "&amp;V1087&amp;" días en Submitted (máx. "&amp;CFG_MAXD&amp;")",""),"Falta fecha de envío"),IF(BF1087="Returned","⚠ Devuelto: corregir y reenviar",IF(BF1087="Recall Requested","Retirada solicitada: pendiente",IF(AND(BF1087="Approved",NOT(ISNUMBER(T1087))),"Falta fecha de aprobación",IF(AND(ISNUMBER(S1087),ISNUMBER(T1087),T1087&lt;S1087),"Aprobación anterior al envío","")))))))))</f>
        <v/>
      </c>
      <c r="Y1087" s="80">
        <f>IF(COUNTA(B1087,D1087,E1087,F1087,G1087,H1087,I1087,J1087,R1087,S1087,T1087)&gt;0,1,0)</f>
        <v>0</v>
      </c>
      <c r="Z1087" s="80" t="str">
        <f>IF(AND(ISNUMBER(H1087),H1087&gt;=0,H1087&lt;1),ROUND(H1087*1440,0),"")</f>
        <v/>
      </c>
      <c r="AA1087" s="80" t="str">
        <f>IF(AND(ISNUMBER(I1087),I1087&gt;=0,I1087&lt;1),ROUND(I1087*1440,0),"")</f>
        <v/>
      </c>
      <c r="AB1087" s="80">
        <f>IF(AND(ISNUMBER(B1087),D1087&lt;&gt;"",ISNUMBER(Z1087),ISNUMBER(AA1087)),IF(Z1087=AA1087,0,1),0)</f>
        <v>0</v>
      </c>
      <c r="AC1087" s="80">
        <f>IF(AB1087=1,IF(AA1087&lt;Z1087,1,0),0)</f>
        <v>0</v>
      </c>
      <c r="AD1087" s="80">
        <f>IF(AB1087=1,IF(AC1087=1,1440-Z1087+AA1087,AA1087-Z1087),0)</f>
        <v>0</v>
      </c>
      <c r="AE1087" s="80">
        <f>IF(J1087="",0,IF(ISNUMBER(J1087),J1087,-1))</f>
        <v>0</v>
      </c>
      <c r="AF1087" s="80">
        <f>MIN(MAX(0,AE1087),AD1087)</f>
        <v>0</v>
      </c>
      <c r="AG1087" s="80">
        <f>MAX(0,AD1087-MAX(0,AE1087))</f>
        <v>0</v>
      </c>
      <c r="AH1087" s="80">
        <f>IF(ISNUMBER(B1087),IF(AND(INDEX(CFG_WDAYS,WEEKDAY(INT(B1087),2))="Sí",IF(D1087="proMX",COUNTIFS(FER_F,INT(B1087),FER_NLP,"Sí"),COUNTIFS(FER_F,INT(B1087),FER_NLM,"Sí"))=0),1,0),0)</f>
        <v>0</v>
      </c>
      <c r="AI1087" s="80">
        <f>IF(AC1087=1,IF(AND(INDEX(CFG_WDAYS,WEEKDAY(INT(B1087)+1,2))="Sí",IF(D1087="proMX",COUNTIFS(FER_F,INT(B1087)+1,FER_NLP,"Sí"),COUNTIFS(FER_F,INT(B1087)+1,FER_NLM,"Sí"))=0),1,0),0)</f>
        <v>0</v>
      </c>
      <c r="AJ1087" s="80">
        <f>IF(AC1087=1,1440-Z1087,AD1087)</f>
        <v>0</v>
      </c>
      <c r="AK1087" s="80">
        <f>IF(AND(AB1087=1,AH1087=1),MAX(0,MIN(IF(AC1087=1,1440,AA1087),CFG_WEM)-MAX(Z1087,CFG_WSM)),0)</f>
        <v>0</v>
      </c>
      <c r="AL1087" s="80">
        <f>IF(AND(AC1087=1,AI1087=1),MAX(0,MIN(AA1087,CFG_WEM)-CFG_WSM),0)</f>
        <v>0</v>
      </c>
      <c r="AM1087" s="80">
        <f>AK1087+AL1087</f>
        <v>0</v>
      </c>
      <c r="AN1087" s="80">
        <f>IF(CFG_BRK="Proporcional",IF(AD1087=0,0,AF1087*AM1087/AD1087),IF(CFG_BRK="Extras primero",MIN(AM1087,MAX(0,AF1087-(AD1087-AM1087))),MIN(AF1087,AM1087)))</f>
        <v>0</v>
      </c>
      <c r="AO1087" s="80">
        <f>AF1087-AN1087</f>
        <v>0</v>
      </c>
      <c r="AP1087" s="80">
        <f>AM1087-AN1087</f>
        <v>0</v>
      </c>
      <c r="AQ1087" s="80">
        <f>AD1087-AM1087-AO1087</f>
        <v>0</v>
      </c>
      <c r="AR1087" s="80">
        <f>IF(AM1087=0,0,AK1087-AN1087*AK1087/AM1087)</f>
        <v>0</v>
      </c>
      <c r="AS1087" s="80">
        <f>IF(AD1087-AM1087=0,0,(AJ1087-AK1087)-AO1087*(AJ1087-AK1087)/(AD1087-AM1087))</f>
        <v>0</v>
      </c>
      <c r="AT1087" s="80" t="str">
        <f>IF(AC1087=1,INT(B1087)+1,"")</f>
        <v/>
      </c>
      <c r="AU1087" s="80">
        <f>IF(AND(D1087="proMX",R1087="Cancelled"),0,1)</f>
        <v>1</v>
      </c>
      <c r="AV1087" s="80">
        <f>IF(AND(AB1087=1,AU1087=1),IF(COUNTIFS($D$5:D1086,D1087,$B$5:B1086,B1087,$Z$5:Z1086,Z1087,$AA$5:AA1086,AA1087,$F$5:F1086,F1087&amp;"",$AU$5:AU1086,1)&gt;0,1,0),0)</f>
        <v>0</v>
      </c>
      <c r="AW1087" s="80" t="str">
        <f>IF(AB1087=1,INT(B1087)*1440+Z1087,"")</f>
        <v/>
      </c>
      <c r="AX1087" s="80" t="str">
        <f>IF(AB1087=1,AW1087+AD1087,"")</f>
        <v/>
      </c>
      <c r="AY1087" s="80">
        <f>IF(AND(AB1087=1,AV1087=0,AU1087=1),1,0)</f>
        <v>0</v>
      </c>
      <c r="AZ1087" s="80">
        <f>IF(AY1087=1,COUNTIFS(R_Emp,D1087,R_SAbs,"&lt;"&amp;AX1087,R_EAbs,"&gt;"&amp;AW1087,R_OKey,1)-1,0)</f>
        <v>0</v>
      </c>
      <c r="BA1087" s="80">
        <f>IF(AY1087=1,COUNTIFS(R_Emp,"&lt;&gt;"&amp;D1087,R_SAbs,"&lt;"&amp;AX1087,R_EAbs,"&gt;"&amp;AW1087,R_OKey,1),0)</f>
        <v>0</v>
      </c>
      <c r="BB1087" s="80">
        <f>IF(AND(AB1087=1,D1087="proMX"),IF(AND(MOD(Z1087,CFG_BLK)=0,MOD(AA1087,CFG_BLK)=0,MOD(AG1087,CFG_BLK)=0,AG1087&gt;0),1,0),1)</f>
        <v>1</v>
      </c>
      <c r="BC1087" s="80" t="str">
        <f>IF(Y1087=0,"",IF(NOT(ISNUMBER(B1087)),"Falta fecha o fecha inválida",IF(D1087="","Falta empresa",IF(AND(D1087&lt;&gt;"Malcolm",D1087&lt;&gt;"proMX"),"Empresa inválida",IF(OR(INT(B1087)&lt;CFG_PSTART,INT(B1087)&gt;CFG_PEND),"Fecha fuera del período",IF(OR(NOT(ISNUMBER(Z1087)),NOT(ISNUMBER(AA1087))),"Falta hora inicio/fin o formato inválido",IF(AB1087=0,"Hora inicio = hora fin",IF(AE1087&lt;0,"Descanso inválido",IF(AE1087&gt;=AD1087,"Descanso ≥ duración",IF(AV1087=1,"Registro duplicado",IF(AZ1087&gt;0,"Se superpone con otro registro "&amp;D1087,IF(BB1087=0,"inicio, fin y duración neta deben ser múltiplos de "&amp;CFG_BLK&amp;" min",""))))))))))))</f>
        <v/>
      </c>
      <c r="BD1087" s="80">
        <f>IF(AND(Y1087=1,BC1087=""),1,0)</f>
        <v>0</v>
      </c>
      <c r="BE1087" s="80">
        <f>IF(AND(BD1087=1,AU1087=1),1,0)</f>
        <v>0</v>
      </c>
      <c r="BF1087" s="80" t="str">
        <f>IF(AND(D1087="proMX",BD1087=1),IF(R1087="","Draft",R1087),"")</f>
        <v/>
      </c>
      <c r="BG1087" s="80">
        <f>IF(BD1087=1,ROUND(AG1087/60,6),0)</f>
        <v>0</v>
      </c>
      <c r="BH1087" s="80">
        <f>IF(BE1087=1,ROUND(AG1087/60,6),0)</f>
        <v>0</v>
      </c>
      <c r="BI1087" s="80">
        <f>IF(BE1087=1,ROUND(AP1087/60,6),0)</f>
        <v>0</v>
      </c>
      <c r="BJ1087" s="80">
        <f>IF(BE1087=1,ROUND(AQ1087/60,6),0)</f>
        <v>0</v>
      </c>
      <c r="BK1087" s="80">
        <f>IF(BE1087=1,ROUND((AR1087+AS1087)/60,6),0)</f>
        <v>0</v>
      </c>
      <c r="BL1087" s="80">
        <f>ROUND(BH1087-BK1087,6)</f>
        <v>0</v>
      </c>
      <c r="BM1087" s="80">
        <f>IF(BE1087=1,ROUND(AR1087/60,6),0)</f>
        <v>0</v>
      </c>
      <c r="BN1087" s="80">
        <f>ROUND(BI1087-BM1087,6)</f>
        <v>0</v>
      </c>
      <c r="BO1087" s="80">
        <f>IF(BE1087=1,ROUND(AS1087/60,6),0)</f>
        <v>0</v>
      </c>
      <c r="BP1087" s="80">
        <f>ROUND(BJ1087-BO1087,6)</f>
        <v>0</v>
      </c>
      <c r="BQ1087" s="80">
        <f>IF(BE1087=1,AW1087,0)</f>
        <v>0</v>
      </c>
      <c r="BR1087" s="80">
        <f>IF(BE1087=1,AX1087,0)</f>
        <v>0</v>
      </c>
      <c r="BS1087" s="80">
        <f>IF(AND(BE1087=1,D1087="Malcolm",BA1087&gt;0),MIN(BH1087,SUMPRODUCT((R_Emp="proMX")*(R_EN&gt;0)*((R_EN-(R_EN&gt;BR1087)*(R_EN-BR1087))&gt;(R_SN+(R_SN&lt;BQ1087)*(BQ1087-R_SN)))*((R_EN-(R_EN&gt;BR1087)*(R_EN-BR1087))-(R_SN+(R_SN&lt;BQ1087)*(BQ1087-R_SN))))/60),0)</f>
        <v>0</v>
      </c>
      <c r="BT1087" s="80">
        <f>IF(AND(BE1087=1,D1087="proMX"),ROUND(BI1087*CFG_RATE+BJ1087*CFG_OTRATE,6),0)</f>
        <v>0</v>
      </c>
      <c r="BU1087" s="80">
        <f>IF(AND(BD1087=1,D1087="proMX"),ROUND(AG1087/CFG_BLK,6),0)</f>
        <v>0</v>
      </c>
      <c r="BV1087" s="80" t="str">
        <f>IF(BF1087="Approved",IF(ISNUMBER(T1087),INT(T1087),INT(B1087)),"")</f>
        <v/>
      </c>
      <c r="BW1087" s="80">
        <f>IF(ISNUMBER(B1087),IF(DB_MON="Todos",1,IF(AND(INT(B1087)&gt;=DB_MS,INT(B1087)&lt;=DB_ME),1,0)),0)</f>
        <v>0</v>
      </c>
      <c r="BX1087" s="80">
        <f>IF(DB_PROJ="Todos",1,IF(E1087&amp;""=DB_PROJ&amp;"",1,0))</f>
        <v>1</v>
      </c>
      <c r="BY1087" s="80">
        <f>BW1087*BX1087</f>
        <v>0</v>
      </c>
      <c r="BZ1087" s="80" t="str">
        <f>IF(Y1087=1,F1087&amp;IF(AND(F1087&amp;""&lt;&gt;"",E1087&amp;""&lt;&gt;"")," · ","")&amp;E1087,"")</f>
        <v/>
      </c>
      <c r="CA1087" s="80" t="str">
        <f>IF(AND(BD1087=1,E1087&amp;""&lt;&gt;""),IF(COUNTIFS($E$5:E1086,E1087,$BD$5:BD1086,1)=0,MAX($CA$5:CA1086)+1,""),"")</f>
        <v/>
      </c>
      <c r="CB1087" s="80" t="str">
        <f>IF(AND(BE1087=1,D1087="Malcolm",E1087&amp;""&lt;&gt;""),IF(COUNTIFS($D$5:D1086,"Malcolm",$E$5:E1086,E1087,$BE$5:BE1086,1)=0,MAX($CB$5:CB1086)+1,""),"")</f>
        <v/>
      </c>
      <c r="CC1087" s="80" t="str">
        <f>IF(AND(BD1087=1,D1087="proMX",E1087&amp;""&lt;&gt;""),IF(COUNTIFS($D$5:D1086,"proMX",$E$5:E1086,E1087,$BD$5:BD1086,1)=0,MAX($CC$5:CC1086)+1,""),"")</f>
        <v/>
      </c>
      <c r="CD1087" s="80" t="str">
        <f>IF(AND(BE1087=1,D1087="Malcolm",F1087&amp;""&lt;&gt;""),IF(COUNTIFS($D$5:D1086,"Malcolm",$F$5:F1086,F1087,$BE$5:BE1086,1)=0,MAX($CD$5:CD1086)+1,""),"")</f>
        <v/>
      </c>
      <c r="CE1087" s="80" t="str">
        <f>IF(AND(BD1087=1,D1087="proMX",F1087&amp;""&lt;&gt;""),IF(COUNTIFS($D$5:D1086,"proMX",$F$5:F1086,F1087,$BD$5:BD1086,1)=0,MAX($CE$5:CE1086)+1,""),"")</f>
        <v/>
      </c>
      <c r="CF1087" s="80" t="str">
        <f>IF(AND(D1087="proMX",BD1087=1),IF(OR(BF1087="Draft",BF1087="Submitted",BF1087="Returned",BF1087="Recall Requested"),MAX($CF$5:CF1086)+1,""),"")</f>
        <v/>
      </c>
      <c r="CG1087" s="80">
        <f>IF(BD1087=0,0,IF(D1087="Malcolm",1,MATCH(BF1087,{"Draft","Submitted","Approved","Returned","Recall Requested","Cancelled"},0)+1))</f>
        <v>0</v>
      </c>
      <c r="CH1087" s="80">
        <f>IF(AND(BF1087="Submitted",ISNUMBER(V1087)),IF(V1087&gt;CFG_MAXD,1,0),0)</f>
        <v>0</v>
      </c>
    </row>
    <row r="1088">
      <c r="A1088" s="71" t="str">
        <f>IF(Y1088=1,ROW()-5,"")</f>
        <v/>
      </c>
      <c r="B1088" s="72" t="n"/>
      <c r="C1088" s="71" t="str">
        <f>IF(ISNUMBER(B1088),CHOOSE(WEEKDAY(B1088,2),"Lun","Mar","Mié","Jue","Vie","Sáb","Dom"),"")</f>
        <v/>
      </c>
      <c r="D1088" s="73" t="n"/>
      <c r="E1088" s="74" t="n"/>
      <c r="F1088" s="74" t="n"/>
      <c r="G1088" s="74" t="n"/>
      <c r="H1088" s="75" t="n"/>
      <c r="I1088" s="75" t="n"/>
      <c r="J1088" s="76" t="n"/>
      <c r="K1088" s="77" t="str">
        <f>IF(AB1088=1,ROUND(AG1088/60,4),"")</f>
        <v/>
      </c>
      <c r="L1088" s="77" t="str">
        <f>IF(BD1088=1,ROUND(AP1088/60,4),"")</f>
        <v/>
      </c>
      <c r="M1088" s="77" t="str">
        <f>IF(BD1088=1,ROUND(AQ1088/60,4),"")</f>
        <v/>
      </c>
      <c r="N1088" s="71" t="str">
        <f>IF(AND(D1088="proMX",AB1088=1),ROUND(AG1088/CFG_BLK,2),"")</f>
        <v/>
      </c>
      <c r="O1088" s="77" t="str">
        <f>IF(D1088="proMX",IF(BD1088=1,ROUND(AG1088/60,4),0),"")</f>
        <v/>
      </c>
      <c r="P1088" s="78" t="str">
        <f>IF(Y1088=0,"",IF(BD1088=1,"OK",IF(D1088="proMX","Revisar bloques: ","Revisar: ")&amp;BC1088))</f>
        <v/>
      </c>
      <c r="Q1088" s="78" t="str">
        <f>IF(NOT(ISNUMBER(B1088)),"",IF(COUNTIFS(FER_F,INT(B1088))&gt;0,"Feriado"&amp;IF(AH1088=1," (laborable)"," (no laborable)"),IF(AH1088=1,"Laborable",IF(WEEKDAY(B1088,2)&gt;5,"Fin de semana","No laborable"))))</f>
        <v/>
      </c>
      <c r="R1088" s="73" t="n"/>
      <c r="S1088" s="72" t="n"/>
      <c r="T1088" s="72" t="n"/>
      <c r="U1088" s="74" t="n"/>
      <c r="V1088" s="79" t="str">
        <f>IF(AND(D1088="proMX",OR(R1088="Submitted",R1088="Recall Requested"),ISNUMBER(S1088)),CFG_TODAY-INT(S1088),"")</f>
        <v/>
      </c>
      <c r="W1088" s="78" t="str">
        <f>IF(BD1088=0,"",IF(BA1088&gt;0,"⚠ Se superpone con un registro de la otra empresa",IF(D1088="Malcolm",IF(COUNTA(R1088,S1088,T1088)&gt;0,"Estado/fechas proMX se ignoran en Malcolm",""),IF(BF1088="Cancelled","Cancelado: excluido de totales",IF(R1088="","Sin estado: se trata como Draft",IF(BF1088="Submitted",IF(ISNUMBER(V1088),IF(V1088&gt;CFG_MAXD,"⚠ "&amp;V1088&amp;" días en Submitted (máx. "&amp;CFG_MAXD&amp;")",""),"Falta fecha de envío"),IF(BF1088="Returned","⚠ Devuelto: corregir y reenviar",IF(BF1088="Recall Requested","Retirada solicitada: pendiente",IF(AND(BF1088="Approved",NOT(ISNUMBER(T1088))),"Falta fecha de aprobación",IF(AND(ISNUMBER(S1088),ISNUMBER(T1088),T1088&lt;S1088),"Aprobación anterior al envío","")))))))))</f>
        <v/>
      </c>
      <c r="Y1088" s="80">
        <f>IF(COUNTA(B1088,D1088,E1088,F1088,G1088,H1088,I1088,J1088,R1088,S1088,T1088)&gt;0,1,0)</f>
        <v>0</v>
      </c>
      <c r="Z1088" s="80" t="str">
        <f>IF(AND(ISNUMBER(H1088),H1088&gt;=0,H1088&lt;1),ROUND(H1088*1440,0),"")</f>
        <v/>
      </c>
      <c r="AA1088" s="80" t="str">
        <f>IF(AND(ISNUMBER(I1088),I1088&gt;=0,I1088&lt;1),ROUND(I1088*1440,0),"")</f>
        <v/>
      </c>
      <c r="AB1088" s="80">
        <f>IF(AND(ISNUMBER(B1088),D1088&lt;&gt;"",ISNUMBER(Z1088),ISNUMBER(AA1088)),IF(Z1088=AA1088,0,1),0)</f>
        <v>0</v>
      </c>
      <c r="AC1088" s="80">
        <f>IF(AB1088=1,IF(AA1088&lt;Z1088,1,0),0)</f>
        <v>0</v>
      </c>
      <c r="AD1088" s="80">
        <f>IF(AB1088=1,IF(AC1088=1,1440-Z1088+AA1088,AA1088-Z1088),0)</f>
        <v>0</v>
      </c>
      <c r="AE1088" s="80">
        <f>IF(J1088="",0,IF(ISNUMBER(J1088),J1088,-1))</f>
        <v>0</v>
      </c>
      <c r="AF1088" s="80">
        <f>MIN(MAX(0,AE1088),AD1088)</f>
        <v>0</v>
      </c>
      <c r="AG1088" s="80">
        <f>MAX(0,AD1088-MAX(0,AE1088))</f>
        <v>0</v>
      </c>
      <c r="AH1088" s="80">
        <f>IF(ISNUMBER(B1088),IF(AND(INDEX(CFG_WDAYS,WEEKDAY(INT(B1088),2))="Sí",IF(D1088="proMX",COUNTIFS(FER_F,INT(B1088),FER_NLP,"Sí"),COUNTIFS(FER_F,INT(B1088),FER_NLM,"Sí"))=0),1,0),0)</f>
        <v>0</v>
      </c>
      <c r="AI1088" s="80">
        <f>IF(AC1088=1,IF(AND(INDEX(CFG_WDAYS,WEEKDAY(INT(B1088)+1,2))="Sí",IF(D1088="proMX",COUNTIFS(FER_F,INT(B1088)+1,FER_NLP,"Sí"),COUNTIFS(FER_F,INT(B1088)+1,FER_NLM,"Sí"))=0),1,0),0)</f>
        <v>0</v>
      </c>
      <c r="AJ1088" s="80">
        <f>IF(AC1088=1,1440-Z1088,AD1088)</f>
        <v>0</v>
      </c>
      <c r="AK1088" s="80">
        <f>IF(AND(AB1088=1,AH1088=1),MAX(0,MIN(IF(AC1088=1,1440,AA1088),CFG_WEM)-MAX(Z1088,CFG_WSM)),0)</f>
        <v>0</v>
      </c>
      <c r="AL1088" s="80">
        <f>IF(AND(AC1088=1,AI1088=1),MAX(0,MIN(AA1088,CFG_WEM)-CFG_WSM),0)</f>
        <v>0</v>
      </c>
      <c r="AM1088" s="80">
        <f>AK1088+AL1088</f>
        <v>0</v>
      </c>
      <c r="AN1088" s="80">
        <f>IF(CFG_BRK="Proporcional",IF(AD1088=0,0,AF1088*AM1088/AD1088),IF(CFG_BRK="Extras primero",MIN(AM1088,MAX(0,AF1088-(AD1088-AM1088))),MIN(AF1088,AM1088)))</f>
        <v>0</v>
      </c>
      <c r="AO1088" s="80">
        <f>AF1088-AN1088</f>
        <v>0</v>
      </c>
      <c r="AP1088" s="80">
        <f>AM1088-AN1088</f>
        <v>0</v>
      </c>
      <c r="AQ1088" s="80">
        <f>AD1088-AM1088-AO1088</f>
        <v>0</v>
      </c>
      <c r="AR1088" s="80">
        <f>IF(AM1088=0,0,AK1088-AN1088*AK1088/AM1088)</f>
        <v>0</v>
      </c>
      <c r="AS1088" s="80">
        <f>IF(AD1088-AM1088=0,0,(AJ1088-AK1088)-AO1088*(AJ1088-AK1088)/(AD1088-AM1088))</f>
        <v>0</v>
      </c>
      <c r="AT1088" s="80" t="str">
        <f>IF(AC1088=1,INT(B1088)+1,"")</f>
        <v/>
      </c>
      <c r="AU1088" s="80">
        <f>IF(AND(D1088="proMX",R1088="Cancelled"),0,1)</f>
        <v>1</v>
      </c>
      <c r="AV1088" s="80">
        <f>IF(AND(AB1088=1,AU1088=1),IF(COUNTIFS($D$5:D1087,D1088,$B$5:B1087,B1088,$Z$5:Z1087,Z1088,$AA$5:AA1087,AA1088,$F$5:F1087,F1088&amp;"",$AU$5:AU1087,1)&gt;0,1,0),0)</f>
        <v>0</v>
      </c>
      <c r="AW1088" s="80" t="str">
        <f>IF(AB1088=1,INT(B1088)*1440+Z1088,"")</f>
        <v/>
      </c>
      <c r="AX1088" s="80" t="str">
        <f>IF(AB1088=1,AW1088+AD1088,"")</f>
        <v/>
      </c>
      <c r="AY1088" s="80">
        <f>IF(AND(AB1088=1,AV1088=0,AU1088=1),1,0)</f>
        <v>0</v>
      </c>
      <c r="AZ1088" s="80">
        <f>IF(AY1088=1,COUNTIFS(R_Emp,D1088,R_SAbs,"&lt;"&amp;AX1088,R_EAbs,"&gt;"&amp;AW1088,R_OKey,1)-1,0)</f>
        <v>0</v>
      </c>
      <c r="BA1088" s="80">
        <f>IF(AY1088=1,COUNTIFS(R_Emp,"&lt;&gt;"&amp;D1088,R_SAbs,"&lt;"&amp;AX1088,R_EAbs,"&gt;"&amp;AW1088,R_OKey,1),0)</f>
        <v>0</v>
      </c>
      <c r="BB1088" s="80">
        <f>IF(AND(AB1088=1,D1088="proMX"),IF(AND(MOD(Z1088,CFG_BLK)=0,MOD(AA1088,CFG_BLK)=0,MOD(AG1088,CFG_BLK)=0,AG1088&gt;0),1,0),1)</f>
        <v>1</v>
      </c>
      <c r="BC1088" s="80" t="str">
        <f>IF(Y1088=0,"",IF(NOT(ISNUMBER(B1088)),"Falta fecha o fecha inválida",IF(D1088="","Falta empresa",IF(AND(D1088&lt;&gt;"Malcolm",D1088&lt;&gt;"proMX"),"Empresa inválida",IF(OR(INT(B1088)&lt;CFG_PSTART,INT(B1088)&gt;CFG_PEND),"Fecha fuera del período",IF(OR(NOT(ISNUMBER(Z1088)),NOT(ISNUMBER(AA1088))),"Falta hora inicio/fin o formato inválido",IF(AB1088=0,"Hora inicio = hora fin",IF(AE1088&lt;0,"Descanso inválido",IF(AE1088&gt;=AD1088,"Descanso ≥ duración",IF(AV1088=1,"Registro duplicado",IF(AZ1088&gt;0,"Se superpone con otro registro "&amp;D1088,IF(BB1088=0,"inicio, fin y duración neta deben ser múltiplos de "&amp;CFG_BLK&amp;" min",""))))))))))))</f>
        <v/>
      </c>
      <c r="BD1088" s="80">
        <f>IF(AND(Y1088=1,BC1088=""),1,0)</f>
        <v>0</v>
      </c>
      <c r="BE1088" s="80">
        <f>IF(AND(BD1088=1,AU1088=1),1,0)</f>
        <v>0</v>
      </c>
      <c r="BF1088" s="80" t="str">
        <f>IF(AND(D1088="proMX",BD1088=1),IF(R1088="","Draft",R1088),"")</f>
        <v/>
      </c>
      <c r="BG1088" s="80">
        <f>IF(BD1088=1,ROUND(AG1088/60,6),0)</f>
        <v>0</v>
      </c>
      <c r="BH1088" s="80">
        <f>IF(BE1088=1,ROUND(AG1088/60,6),0)</f>
        <v>0</v>
      </c>
      <c r="BI1088" s="80">
        <f>IF(BE1088=1,ROUND(AP1088/60,6),0)</f>
        <v>0</v>
      </c>
      <c r="BJ1088" s="80">
        <f>IF(BE1088=1,ROUND(AQ1088/60,6),0)</f>
        <v>0</v>
      </c>
      <c r="BK1088" s="80">
        <f>IF(BE1088=1,ROUND((AR1088+AS1088)/60,6),0)</f>
        <v>0</v>
      </c>
      <c r="BL1088" s="80">
        <f>ROUND(BH1088-BK1088,6)</f>
        <v>0</v>
      </c>
      <c r="BM1088" s="80">
        <f>IF(BE1088=1,ROUND(AR1088/60,6),0)</f>
        <v>0</v>
      </c>
      <c r="BN1088" s="80">
        <f>ROUND(BI1088-BM1088,6)</f>
        <v>0</v>
      </c>
      <c r="BO1088" s="80">
        <f>IF(BE1088=1,ROUND(AS1088/60,6),0)</f>
        <v>0</v>
      </c>
      <c r="BP1088" s="80">
        <f>ROUND(BJ1088-BO1088,6)</f>
        <v>0</v>
      </c>
      <c r="BQ1088" s="80">
        <f>IF(BE1088=1,AW1088,0)</f>
        <v>0</v>
      </c>
      <c r="BR1088" s="80">
        <f>IF(BE1088=1,AX1088,0)</f>
        <v>0</v>
      </c>
      <c r="BS1088" s="80">
        <f>IF(AND(BE1088=1,D1088="Malcolm",BA1088&gt;0),MIN(BH1088,SUMPRODUCT((R_Emp="proMX")*(R_EN&gt;0)*((R_EN-(R_EN&gt;BR1088)*(R_EN-BR1088))&gt;(R_SN+(R_SN&lt;BQ1088)*(BQ1088-R_SN)))*((R_EN-(R_EN&gt;BR1088)*(R_EN-BR1088))-(R_SN+(R_SN&lt;BQ1088)*(BQ1088-R_SN))))/60),0)</f>
        <v>0</v>
      </c>
      <c r="BT1088" s="80">
        <f>IF(AND(BE1088=1,D1088="proMX"),ROUND(BI1088*CFG_RATE+BJ1088*CFG_OTRATE,6),0)</f>
        <v>0</v>
      </c>
      <c r="BU1088" s="80">
        <f>IF(AND(BD1088=1,D1088="proMX"),ROUND(AG1088/CFG_BLK,6),0)</f>
        <v>0</v>
      </c>
      <c r="BV1088" s="80" t="str">
        <f>IF(BF1088="Approved",IF(ISNUMBER(T1088),INT(T1088),INT(B1088)),"")</f>
        <v/>
      </c>
      <c r="BW1088" s="80">
        <f>IF(ISNUMBER(B1088),IF(DB_MON="Todos",1,IF(AND(INT(B1088)&gt;=DB_MS,INT(B1088)&lt;=DB_ME),1,0)),0)</f>
        <v>0</v>
      </c>
      <c r="BX1088" s="80">
        <f>IF(DB_PROJ="Todos",1,IF(E1088&amp;""=DB_PROJ&amp;"",1,0))</f>
        <v>1</v>
      </c>
      <c r="BY1088" s="80">
        <f>BW1088*BX1088</f>
        <v>0</v>
      </c>
      <c r="BZ1088" s="80" t="str">
        <f>IF(Y1088=1,F1088&amp;IF(AND(F1088&amp;""&lt;&gt;"",E1088&amp;""&lt;&gt;"")," · ","")&amp;E1088,"")</f>
        <v/>
      </c>
      <c r="CA1088" s="80" t="str">
        <f>IF(AND(BD1088=1,E1088&amp;""&lt;&gt;""),IF(COUNTIFS($E$5:E1087,E1088,$BD$5:BD1087,1)=0,MAX($CA$5:CA1087)+1,""),"")</f>
        <v/>
      </c>
      <c r="CB1088" s="80" t="str">
        <f>IF(AND(BE1088=1,D1088="Malcolm",E1088&amp;""&lt;&gt;""),IF(COUNTIFS($D$5:D1087,"Malcolm",$E$5:E1087,E1088,$BE$5:BE1087,1)=0,MAX($CB$5:CB1087)+1,""),"")</f>
        <v/>
      </c>
      <c r="CC1088" s="80" t="str">
        <f>IF(AND(BD1088=1,D1088="proMX",E1088&amp;""&lt;&gt;""),IF(COUNTIFS($D$5:D1087,"proMX",$E$5:E1087,E1088,$BD$5:BD1087,1)=0,MAX($CC$5:CC1087)+1,""),"")</f>
        <v/>
      </c>
      <c r="CD1088" s="80" t="str">
        <f>IF(AND(BE1088=1,D1088="Malcolm",F1088&amp;""&lt;&gt;""),IF(COUNTIFS($D$5:D1087,"Malcolm",$F$5:F1087,F1088,$BE$5:BE1087,1)=0,MAX($CD$5:CD1087)+1,""),"")</f>
        <v/>
      </c>
      <c r="CE1088" s="80" t="str">
        <f>IF(AND(BD1088=1,D1088="proMX",F1088&amp;""&lt;&gt;""),IF(COUNTIFS($D$5:D1087,"proMX",$F$5:F1087,F1088,$BD$5:BD1087,1)=0,MAX($CE$5:CE1087)+1,""),"")</f>
        <v/>
      </c>
      <c r="CF1088" s="80" t="str">
        <f>IF(AND(D1088="proMX",BD1088=1),IF(OR(BF1088="Draft",BF1088="Submitted",BF1088="Returned",BF1088="Recall Requested"),MAX($CF$5:CF1087)+1,""),"")</f>
        <v/>
      </c>
      <c r="CG1088" s="80">
        <f>IF(BD1088=0,0,IF(D1088="Malcolm",1,MATCH(BF1088,{"Draft","Submitted","Approved","Returned","Recall Requested","Cancelled"},0)+1))</f>
        <v>0</v>
      </c>
      <c r="CH1088" s="80">
        <f>IF(AND(BF1088="Submitted",ISNUMBER(V1088)),IF(V1088&gt;CFG_MAXD,1,0),0)</f>
        <v>0</v>
      </c>
    </row>
    <row r="1089">
      <c r="A1089" s="71" t="str">
        <f>IF(Y1089=1,ROW()-5,"")</f>
        <v/>
      </c>
      <c r="B1089" s="72" t="n"/>
      <c r="C1089" s="71" t="str">
        <f>IF(ISNUMBER(B1089),CHOOSE(WEEKDAY(B1089,2),"Lun","Mar","Mié","Jue","Vie","Sáb","Dom"),"")</f>
        <v/>
      </c>
      <c r="D1089" s="73" t="n"/>
      <c r="E1089" s="74" t="n"/>
      <c r="F1089" s="74" t="n"/>
      <c r="G1089" s="74" t="n"/>
      <c r="H1089" s="75" t="n"/>
      <c r="I1089" s="75" t="n"/>
      <c r="J1089" s="76" t="n"/>
      <c r="K1089" s="77" t="str">
        <f>IF(AB1089=1,ROUND(AG1089/60,4),"")</f>
        <v/>
      </c>
      <c r="L1089" s="77" t="str">
        <f>IF(BD1089=1,ROUND(AP1089/60,4),"")</f>
        <v/>
      </c>
      <c r="M1089" s="77" t="str">
        <f>IF(BD1089=1,ROUND(AQ1089/60,4),"")</f>
        <v/>
      </c>
      <c r="N1089" s="71" t="str">
        <f>IF(AND(D1089="proMX",AB1089=1),ROUND(AG1089/CFG_BLK,2),"")</f>
        <v/>
      </c>
      <c r="O1089" s="77" t="str">
        <f>IF(D1089="proMX",IF(BD1089=1,ROUND(AG1089/60,4),0),"")</f>
        <v/>
      </c>
      <c r="P1089" s="78" t="str">
        <f>IF(Y1089=0,"",IF(BD1089=1,"OK",IF(D1089="proMX","Revisar bloques: ","Revisar: ")&amp;BC1089))</f>
        <v/>
      </c>
      <c r="Q1089" s="78" t="str">
        <f>IF(NOT(ISNUMBER(B1089)),"",IF(COUNTIFS(FER_F,INT(B1089))&gt;0,"Feriado"&amp;IF(AH1089=1," (laborable)"," (no laborable)"),IF(AH1089=1,"Laborable",IF(WEEKDAY(B1089,2)&gt;5,"Fin de semana","No laborable"))))</f>
        <v/>
      </c>
      <c r="R1089" s="73" t="n"/>
      <c r="S1089" s="72" t="n"/>
      <c r="T1089" s="72" t="n"/>
      <c r="U1089" s="74" t="n"/>
      <c r="V1089" s="79" t="str">
        <f>IF(AND(D1089="proMX",OR(R1089="Submitted",R1089="Recall Requested"),ISNUMBER(S1089)),CFG_TODAY-INT(S1089),"")</f>
        <v/>
      </c>
      <c r="W1089" s="78" t="str">
        <f>IF(BD1089=0,"",IF(BA1089&gt;0,"⚠ Se superpone con un registro de la otra empresa",IF(D1089="Malcolm",IF(COUNTA(R1089,S1089,T1089)&gt;0,"Estado/fechas proMX se ignoran en Malcolm",""),IF(BF1089="Cancelled","Cancelado: excluido de totales",IF(R1089="","Sin estado: se trata como Draft",IF(BF1089="Submitted",IF(ISNUMBER(V1089),IF(V1089&gt;CFG_MAXD,"⚠ "&amp;V1089&amp;" días en Submitted (máx. "&amp;CFG_MAXD&amp;")",""),"Falta fecha de envío"),IF(BF1089="Returned","⚠ Devuelto: corregir y reenviar",IF(BF1089="Recall Requested","Retirada solicitada: pendiente",IF(AND(BF1089="Approved",NOT(ISNUMBER(T1089))),"Falta fecha de aprobación",IF(AND(ISNUMBER(S1089),ISNUMBER(T1089),T1089&lt;S1089),"Aprobación anterior al envío","")))))))))</f>
        <v/>
      </c>
      <c r="Y1089" s="80">
        <f>IF(COUNTA(B1089,D1089,E1089,F1089,G1089,H1089,I1089,J1089,R1089,S1089,T1089)&gt;0,1,0)</f>
        <v>0</v>
      </c>
      <c r="Z1089" s="80" t="str">
        <f>IF(AND(ISNUMBER(H1089),H1089&gt;=0,H1089&lt;1),ROUND(H1089*1440,0),"")</f>
        <v/>
      </c>
      <c r="AA1089" s="80" t="str">
        <f>IF(AND(ISNUMBER(I1089),I1089&gt;=0,I1089&lt;1),ROUND(I1089*1440,0),"")</f>
        <v/>
      </c>
      <c r="AB1089" s="80">
        <f>IF(AND(ISNUMBER(B1089),D1089&lt;&gt;"",ISNUMBER(Z1089),ISNUMBER(AA1089)),IF(Z1089=AA1089,0,1),0)</f>
        <v>0</v>
      </c>
      <c r="AC1089" s="80">
        <f>IF(AB1089=1,IF(AA1089&lt;Z1089,1,0),0)</f>
        <v>0</v>
      </c>
      <c r="AD1089" s="80">
        <f>IF(AB1089=1,IF(AC1089=1,1440-Z1089+AA1089,AA1089-Z1089),0)</f>
        <v>0</v>
      </c>
      <c r="AE1089" s="80">
        <f>IF(J1089="",0,IF(ISNUMBER(J1089),J1089,-1))</f>
        <v>0</v>
      </c>
      <c r="AF1089" s="80">
        <f>MIN(MAX(0,AE1089),AD1089)</f>
        <v>0</v>
      </c>
      <c r="AG1089" s="80">
        <f>MAX(0,AD1089-MAX(0,AE1089))</f>
        <v>0</v>
      </c>
      <c r="AH1089" s="80">
        <f>IF(ISNUMBER(B1089),IF(AND(INDEX(CFG_WDAYS,WEEKDAY(INT(B1089),2))="Sí",IF(D1089="proMX",COUNTIFS(FER_F,INT(B1089),FER_NLP,"Sí"),COUNTIFS(FER_F,INT(B1089),FER_NLM,"Sí"))=0),1,0),0)</f>
        <v>0</v>
      </c>
      <c r="AI1089" s="80">
        <f>IF(AC1089=1,IF(AND(INDEX(CFG_WDAYS,WEEKDAY(INT(B1089)+1,2))="Sí",IF(D1089="proMX",COUNTIFS(FER_F,INT(B1089)+1,FER_NLP,"Sí"),COUNTIFS(FER_F,INT(B1089)+1,FER_NLM,"Sí"))=0),1,0),0)</f>
        <v>0</v>
      </c>
      <c r="AJ1089" s="80">
        <f>IF(AC1089=1,1440-Z1089,AD1089)</f>
        <v>0</v>
      </c>
      <c r="AK1089" s="80">
        <f>IF(AND(AB1089=1,AH1089=1),MAX(0,MIN(IF(AC1089=1,1440,AA1089),CFG_WEM)-MAX(Z1089,CFG_WSM)),0)</f>
        <v>0</v>
      </c>
      <c r="AL1089" s="80">
        <f>IF(AND(AC1089=1,AI1089=1),MAX(0,MIN(AA1089,CFG_WEM)-CFG_WSM),0)</f>
        <v>0</v>
      </c>
      <c r="AM1089" s="80">
        <f>AK1089+AL1089</f>
        <v>0</v>
      </c>
      <c r="AN1089" s="80">
        <f>IF(CFG_BRK="Proporcional",IF(AD1089=0,0,AF1089*AM1089/AD1089),IF(CFG_BRK="Extras primero",MIN(AM1089,MAX(0,AF1089-(AD1089-AM1089))),MIN(AF1089,AM1089)))</f>
        <v>0</v>
      </c>
      <c r="AO1089" s="80">
        <f>AF1089-AN1089</f>
        <v>0</v>
      </c>
      <c r="AP1089" s="80">
        <f>AM1089-AN1089</f>
        <v>0</v>
      </c>
      <c r="AQ1089" s="80">
        <f>AD1089-AM1089-AO1089</f>
        <v>0</v>
      </c>
      <c r="AR1089" s="80">
        <f>IF(AM1089=0,0,AK1089-AN1089*AK1089/AM1089)</f>
        <v>0</v>
      </c>
      <c r="AS1089" s="80">
        <f>IF(AD1089-AM1089=0,0,(AJ1089-AK1089)-AO1089*(AJ1089-AK1089)/(AD1089-AM1089))</f>
        <v>0</v>
      </c>
      <c r="AT1089" s="80" t="str">
        <f>IF(AC1089=1,INT(B1089)+1,"")</f>
        <v/>
      </c>
      <c r="AU1089" s="80">
        <f>IF(AND(D1089="proMX",R1089="Cancelled"),0,1)</f>
        <v>1</v>
      </c>
      <c r="AV1089" s="80">
        <f>IF(AND(AB1089=1,AU1089=1),IF(COUNTIFS($D$5:D1088,D1089,$B$5:B1088,B1089,$Z$5:Z1088,Z1089,$AA$5:AA1088,AA1089,$F$5:F1088,F1089&amp;"",$AU$5:AU1088,1)&gt;0,1,0),0)</f>
        <v>0</v>
      </c>
      <c r="AW1089" s="80" t="str">
        <f>IF(AB1089=1,INT(B1089)*1440+Z1089,"")</f>
        <v/>
      </c>
      <c r="AX1089" s="80" t="str">
        <f>IF(AB1089=1,AW1089+AD1089,"")</f>
        <v/>
      </c>
      <c r="AY1089" s="80">
        <f>IF(AND(AB1089=1,AV1089=0,AU1089=1),1,0)</f>
        <v>0</v>
      </c>
      <c r="AZ1089" s="80">
        <f>IF(AY1089=1,COUNTIFS(R_Emp,D1089,R_SAbs,"&lt;"&amp;AX1089,R_EAbs,"&gt;"&amp;AW1089,R_OKey,1)-1,0)</f>
        <v>0</v>
      </c>
      <c r="BA1089" s="80">
        <f>IF(AY1089=1,COUNTIFS(R_Emp,"&lt;&gt;"&amp;D1089,R_SAbs,"&lt;"&amp;AX1089,R_EAbs,"&gt;"&amp;AW1089,R_OKey,1),0)</f>
        <v>0</v>
      </c>
      <c r="BB1089" s="80">
        <f>IF(AND(AB1089=1,D1089="proMX"),IF(AND(MOD(Z1089,CFG_BLK)=0,MOD(AA1089,CFG_BLK)=0,MOD(AG1089,CFG_BLK)=0,AG1089&gt;0),1,0),1)</f>
        <v>1</v>
      </c>
      <c r="BC1089" s="80" t="str">
        <f>IF(Y1089=0,"",IF(NOT(ISNUMBER(B1089)),"Falta fecha o fecha inválida",IF(D1089="","Falta empresa",IF(AND(D1089&lt;&gt;"Malcolm",D1089&lt;&gt;"proMX"),"Empresa inválida",IF(OR(INT(B1089)&lt;CFG_PSTART,INT(B1089)&gt;CFG_PEND),"Fecha fuera del período",IF(OR(NOT(ISNUMBER(Z1089)),NOT(ISNUMBER(AA1089))),"Falta hora inicio/fin o formato inválido",IF(AB1089=0,"Hora inicio = hora fin",IF(AE1089&lt;0,"Descanso inválido",IF(AE1089&gt;=AD1089,"Descanso ≥ duración",IF(AV1089=1,"Registro duplicado",IF(AZ1089&gt;0,"Se superpone con otro registro "&amp;D1089,IF(BB1089=0,"inicio, fin y duración neta deben ser múltiplos de "&amp;CFG_BLK&amp;" min",""))))))))))))</f>
        <v/>
      </c>
      <c r="BD1089" s="80">
        <f>IF(AND(Y1089=1,BC1089=""),1,0)</f>
        <v>0</v>
      </c>
      <c r="BE1089" s="80">
        <f>IF(AND(BD1089=1,AU1089=1),1,0)</f>
        <v>0</v>
      </c>
      <c r="BF1089" s="80" t="str">
        <f>IF(AND(D1089="proMX",BD1089=1),IF(R1089="","Draft",R1089),"")</f>
        <v/>
      </c>
      <c r="BG1089" s="80">
        <f>IF(BD1089=1,ROUND(AG1089/60,6),0)</f>
        <v>0</v>
      </c>
      <c r="BH1089" s="80">
        <f>IF(BE1089=1,ROUND(AG1089/60,6),0)</f>
        <v>0</v>
      </c>
      <c r="BI1089" s="80">
        <f>IF(BE1089=1,ROUND(AP1089/60,6),0)</f>
        <v>0</v>
      </c>
      <c r="BJ1089" s="80">
        <f>IF(BE1089=1,ROUND(AQ1089/60,6),0)</f>
        <v>0</v>
      </c>
      <c r="BK1089" s="80">
        <f>IF(BE1089=1,ROUND((AR1089+AS1089)/60,6),0)</f>
        <v>0</v>
      </c>
      <c r="BL1089" s="80">
        <f>ROUND(BH1089-BK1089,6)</f>
        <v>0</v>
      </c>
      <c r="BM1089" s="80">
        <f>IF(BE1089=1,ROUND(AR1089/60,6),0)</f>
        <v>0</v>
      </c>
      <c r="BN1089" s="80">
        <f>ROUND(BI1089-BM1089,6)</f>
        <v>0</v>
      </c>
      <c r="BO1089" s="80">
        <f>IF(BE1089=1,ROUND(AS1089/60,6),0)</f>
        <v>0</v>
      </c>
      <c r="BP1089" s="80">
        <f>ROUND(BJ1089-BO1089,6)</f>
        <v>0</v>
      </c>
      <c r="BQ1089" s="80">
        <f>IF(BE1089=1,AW1089,0)</f>
        <v>0</v>
      </c>
      <c r="BR1089" s="80">
        <f>IF(BE1089=1,AX1089,0)</f>
        <v>0</v>
      </c>
      <c r="BS1089" s="80">
        <f>IF(AND(BE1089=1,D1089="Malcolm",BA1089&gt;0),MIN(BH1089,SUMPRODUCT((R_Emp="proMX")*(R_EN&gt;0)*((R_EN-(R_EN&gt;BR1089)*(R_EN-BR1089))&gt;(R_SN+(R_SN&lt;BQ1089)*(BQ1089-R_SN)))*((R_EN-(R_EN&gt;BR1089)*(R_EN-BR1089))-(R_SN+(R_SN&lt;BQ1089)*(BQ1089-R_SN))))/60),0)</f>
        <v>0</v>
      </c>
      <c r="BT1089" s="80">
        <f>IF(AND(BE1089=1,D1089="proMX"),ROUND(BI1089*CFG_RATE+BJ1089*CFG_OTRATE,6),0)</f>
        <v>0</v>
      </c>
      <c r="BU1089" s="80">
        <f>IF(AND(BD1089=1,D1089="proMX"),ROUND(AG1089/CFG_BLK,6),0)</f>
        <v>0</v>
      </c>
      <c r="BV1089" s="80" t="str">
        <f>IF(BF1089="Approved",IF(ISNUMBER(T1089),INT(T1089),INT(B1089)),"")</f>
        <v/>
      </c>
      <c r="BW1089" s="80">
        <f>IF(ISNUMBER(B1089),IF(DB_MON="Todos",1,IF(AND(INT(B1089)&gt;=DB_MS,INT(B1089)&lt;=DB_ME),1,0)),0)</f>
        <v>0</v>
      </c>
      <c r="BX1089" s="80">
        <f>IF(DB_PROJ="Todos",1,IF(E1089&amp;""=DB_PROJ&amp;"",1,0))</f>
        <v>1</v>
      </c>
      <c r="BY1089" s="80">
        <f>BW1089*BX1089</f>
        <v>0</v>
      </c>
      <c r="BZ1089" s="80" t="str">
        <f>IF(Y1089=1,F1089&amp;IF(AND(F1089&amp;""&lt;&gt;"",E1089&amp;""&lt;&gt;"")," · ","")&amp;E1089,"")</f>
        <v/>
      </c>
      <c r="CA1089" s="80" t="str">
        <f>IF(AND(BD1089=1,E1089&amp;""&lt;&gt;""),IF(COUNTIFS($E$5:E1088,E1089,$BD$5:BD1088,1)=0,MAX($CA$5:CA1088)+1,""),"")</f>
        <v/>
      </c>
      <c r="CB1089" s="80" t="str">
        <f>IF(AND(BE1089=1,D1089="Malcolm",E1089&amp;""&lt;&gt;""),IF(COUNTIFS($D$5:D1088,"Malcolm",$E$5:E1088,E1089,$BE$5:BE1088,1)=0,MAX($CB$5:CB1088)+1,""),"")</f>
        <v/>
      </c>
      <c r="CC1089" s="80" t="str">
        <f>IF(AND(BD1089=1,D1089="proMX",E1089&amp;""&lt;&gt;""),IF(COUNTIFS($D$5:D1088,"proMX",$E$5:E1088,E1089,$BD$5:BD1088,1)=0,MAX($CC$5:CC1088)+1,""),"")</f>
        <v/>
      </c>
      <c r="CD1089" s="80" t="str">
        <f>IF(AND(BE1089=1,D1089="Malcolm",F1089&amp;""&lt;&gt;""),IF(COUNTIFS($D$5:D1088,"Malcolm",$F$5:F1088,F1089,$BE$5:BE1088,1)=0,MAX($CD$5:CD1088)+1,""),"")</f>
        <v/>
      </c>
      <c r="CE1089" s="80" t="str">
        <f>IF(AND(BD1089=1,D1089="proMX",F1089&amp;""&lt;&gt;""),IF(COUNTIFS($D$5:D1088,"proMX",$F$5:F1088,F1089,$BD$5:BD1088,1)=0,MAX($CE$5:CE1088)+1,""),"")</f>
        <v/>
      </c>
      <c r="CF1089" s="80" t="str">
        <f>IF(AND(D1089="proMX",BD1089=1),IF(OR(BF1089="Draft",BF1089="Submitted",BF1089="Returned",BF1089="Recall Requested"),MAX($CF$5:CF1088)+1,""),"")</f>
        <v/>
      </c>
      <c r="CG1089" s="80">
        <f>IF(BD1089=0,0,IF(D1089="Malcolm",1,MATCH(BF1089,{"Draft","Submitted","Approved","Returned","Recall Requested","Cancelled"},0)+1))</f>
        <v>0</v>
      </c>
      <c r="CH1089" s="80">
        <f>IF(AND(BF1089="Submitted",ISNUMBER(V1089)),IF(V1089&gt;CFG_MAXD,1,0),0)</f>
        <v>0</v>
      </c>
    </row>
    <row r="1090">
      <c r="A1090" s="71" t="str">
        <f>IF(Y1090=1,ROW()-5,"")</f>
        <v/>
      </c>
      <c r="B1090" s="72" t="n"/>
      <c r="C1090" s="71" t="str">
        <f>IF(ISNUMBER(B1090),CHOOSE(WEEKDAY(B1090,2),"Lun","Mar","Mié","Jue","Vie","Sáb","Dom"),"")</f>
        <v/>
      </c>
      <c r="D1090" s="73" t="n"/>
      <c r="E1090" s="74" t="n"/>
      <c r="F1090" s="74" t="n"/>
      <c r="G1090" s="74" t="n"/>
      <c r="H1090" s="75" t="n"/>
      <c r="I1090" s="75" t="n"/>
      <c r="J1090" s="76" t="n"/>
      <c r="K1090" s="77" t="str">
        <f>IF(AB1090=1,ROUND(AG1090/60,4),"")</f>
        <v/>
      </c>
      <c r="L1090" s="77" t="str">
        <f>IF(BD1090=1,ROUND(AP1090/60,4),"")</f>
        <v/>
      </c>
      <c r="M1090" s="77" t="str">
        <f>IF(BD1090=1,ROUND(AQ1090/60,4),"")</f>
        <v/>
      </c>
      <c r="N1090" s="71" t="str">
        <f>IF(AND(D1090="proMX",AB1090=1),ROUND(AG1090/CFG_BLK,2),"")</f>
        <v/>
      </c>
      <c r="O1090" s="77" t="str">
        <f>IF(D1090="proMX",IF(BD1090=1,ROUND(AG1090/60,4),0),"")</f>
        <v/>
      </c>
      <c r="P1090" s="78" t="str">
        <f>IF(Y1090=0,"",IF(BD1090=1,"OK",IF(D1090="proMX","Revisar bloques: ","Revisar: ")&amp;BC1090))</f>
        <v/>
      </c>
      <c r="Q1090" s="78" t="str">
        <f>IF(NOT(ISNUMBER(B1090)),"",IF(COUNTIFS(FER_F,INT(B1090))&gt;0,"Feriado"&amp;IF(AH1090=1," (laborable)"," (no laborable)"),IF(AH1090=1,"Laborable",IF(WEEKDAY(B1090,2)&gt;5,"Fin de semana","No laborable"))))</f>
        <v/>
      </c>
      <c r="R1090" s="73" t="n"/>
      <c r="S1090" s="72" t="n"/>
      <c r="T1090" s="72" t="n"/>
      <c r="U1090" s="74" t="n"/>
      <c r="V1090" s="79" t="str">
        <f>IF(AND(D1090="proMX",OR(R1090="Submitted",R1090="Recall Requested"),ISNUMBER(S1090)),CFG_TODAY-INT(S1090),"")</f>
        <v/>
      </c>
      <c r="W1090" s="78" t="str">
        <f>IF(BD1090=0,"",IF(BA1090&gt;0,"⚠ Se superpone con un registro de la otra empresa",IF(D1090="Malcolm",IF(COUNTA(R1090,S1090,T1090)&gt;0,"Estado/fechas proMX se ignoran en Malcolm",""),IF(BF1090="Cancelled","Cancelado: excluido de totales",IF(R1090="","Sin estado: se trata como Draft",IF(BF1090="Submitted",IF(ISNUMBER(V1090),IF(V1090&gt;CFG_MAXD,"⚠ "&amp;V1090&amp;" días en Submitted (máx. "&amp;CFG_MAXD&amp;")",""),"Falta fecha de envío"),IF(BF1090="Returned","⚠ Devuelto: corregir y reenviar",IF(BF1090="Recall Requested","Retirada solicitada: pendiente",IF(AND(BF1090="Approved",NOT(ISNUMBER(T1090))),"Falta fecha de aprobación",IF(AND(ISNUMBER(S1090),ISNUMBER(T1090),T1090&lt;S1090),"Aprobación anterior al envío","")))))))))</f>
        <v/>
      </c>
      <c r="Y1090" s="80">
        <f>IF(COUNTA(B1090,D1090,E1090,F1090,G1090,H1090,I1090,J1090,R1090,S1090,T1090)&gt;0,1,0)</f>
        <v>0</v>
      </c>
      <c r="Z1090" s="80" t="str">
        <f>IF(AND(ISNUMBER(H1090),H1090&gt;=0,H1090&lt;1),ROUND(H1090*1440,0),"")</f>
        <v/>
      </c>
      <c r="AA1090" s="80" t="str">
        <f>IF(AND(ISNUMBER(I1090),I1090&gt;=0,I1090&lt;1),ROUND(I1090*1440,0),"")</f>
        <v/>
      </c>
      <c r="AB1090" s="80">
        <f>IF(AND(ISNUMBER(B1090),D1090&lt;&gt;"",ISNUMBER(Z1090),ISNUMBER(AA1090)),IF(Z1090=AA1090,0,1),0)</f>
        <v>0</v>
      </c>
      <c r="AC1090" s="80">
        <f>IF(AB1090=1,IF(AA1090&lt;Z1090,1,0),0)</f>
        <v>0</v>
      </c>
      <c r="AD1090" s="80">
        <f>IF(AB1090=1,IF(AC1090=1,1440-Z1090+AA1090,AA1090-Z1090),0)</f>
        <v>0</v>
      </c>
      <c r="AE1090" s="80">
        <f>IF(J1090="",0,IF(ISNUMBER(J1090),J1090,-1))</f>
        <v>0</v>
      </c>
      <c r="AF1090" s="80">
        <f>MIN(MAX(0,AE1090),AD1090)</f>
        <v>0</v>
      </c>
      <c r="AG1090" s="80">
        <f>MAX(0,AD1090-MAX(0,AE1090))</f>
        <v>0</v>
      </c>
      <c r="AH1090" s="80">
        <f>IF(ISNUMBER(B1090),IF(AND(INDEX(CFG_WDAYS,WEEKDAY(INT(B1090),2))="Sí",IF(D1090="proMX",COUNTIFS(FER_F,INT(B1090),FER_NLP,"Sí"),COUNTIFS(FER_F,INT(B1090),FER_NLM,"Sí"))=0),1,0),0)</f>
        <v>0</v>
      </c>
      <c r="AI1090" s="80">
        <f>IF(AC1090=1,IF(AND(INDEX(CFG_WDAYS,WEEKDAY(INT(B1090)+1,2))="Sí",IF(D1090="proMX",COUNTIFS(FER_F,INT(B1090)+1,FER_NLP,"Sí"),COUNTIFS(FER_F,INT(B1090)+1,FER_NLM,"Sí"))=0),1,0),0)</f>
        <v>0</v>
      </c>
      <c r="AJ1090" s="80">
        <f>IF(AC1090=1,1440-Z1090,AD1090)</f>
        <v>0</v>
      </c>
      <c r="AK1090" s="80">
        <f>IF(AND(AB1090=1,AH1090=1),MAX(0,MIN(IF(AC1090=1,1440,AA1090),CFG_WEM)-MAX(Z1090,CFG_WSM)),0)</f>
        <v>0</v>
      </c>
      <c r="AL1090" s="80">
        <f>IF(AND(AC1090=1,AI1090=1),MAX(0,MIN(AA1090,CFG_WEM)-CFG_WSM),0)</f>
        <v>0</v>
      </c>
      <c r="AM1090" s="80">
        <f>AK1090+AL1090</f>
        <v>0</v>
      </c>
      <c r="AN1090" s="80">
        <f>IF(CFG_BRK="Proporcional",IF(AD1090=0,0,AF1090*AM1090/AD1090),IF(CFG_BRK="Extras primero",MIN(AM1090,MAX(0,AF1090-(AD1090-AM1090))),MIN(AF1090,AM1090)))</f>
        <v>0</v>
      </c>
      <c r="AO1090" s="80">
        <f>AF1090-AN1090</f>
        <v>0</v>
      </c>
      <c r="AP1090" s="80">
        <f>AM1090-AN1090</f>
        <v>0</v>
      </c>
      <c r="AQ1090" s="80">
        <f>AD1090-AM1090-AO1090</f>
        <v>0</v>
      </c>
      <c r="AR1090" s="80">
        <f>IF(AM1090=0,0,AK1090-AN1090*AK1090/AM1090)</f>
        <v>0</v>
      </c>
      <c r="AS1090" s="80">
        <f>IF(AD1090-AM1090=0,0,(AJ1090-AK1090)-AO1090*(AJ1090-AK1090)/(AD1090-AM1090))</f>
        <v>0</v>
      </c>
      <c r="AT1090" s="80" t="str">
        <f>IF(AC1090=1,INT(B1090)+1,"")</f>
        <v/>
      </c>
      <c r="AU1090" s="80">
        <f>IF(AND(D1090="proMX",R1090="Cancelled"),0,1)</f>
        <v>1</v>
      </c>
      <c r="AV1090" s="80">
        <f>IF(AND(AB1090=1,AU1090=1),IF(COUNTIFS($D$5:D1089,D1090,$B$5:B1089,B1090,$Z$5:Z1089,Z1090,$AA$5:AA1089,AA1090,$F$5:F1089,F1090&amp;"",$AU$5:AU1089,1)&gt;0,1,0),0)</f>
        <v>0</v>
      </c>
      <c r="AW1090" s="80" t="str">
        <f>IF(AB1090=1,INT(B1090)*1440+Z1090,"")</f>
        <v/>
      </c>
      <c r="AX1090" s="80" t="str">
        <f>IF(AB1090=1,AW1090+AD1090,"")</f>
        <v/>
      </c>
      <c r="AY1090" s="80">
        <f>IF(AND(AB1090=1,AV1090=0,AU1090=1),1,0)</f>
        <v>0</v>
      </c>
      <c r="AZ1090" s="80">
        <f>IF(AY1090=1,COUNTIFS(R_Emp,D1090,R_SAbs,"&lt;"&amp;AX1090,R_EAbs,"&gt;"&amp;AW1090,R_OKey,1)-1,0)</f>
        <v>0</v>
      </c>
      <c r="BA1090" s="80">
        <f>IF(AY1090=1,COUNTIFS(R_Emp,"&lt;&gt;"&amp;D1090,R_SAbs,"&lt;"&amp;AX1090,R_EAbs,"&gt;"&amp;AW1090,R_OKey,1),0)</f>
        <v>0</v>
      </c>
      <c r="BB1090" s="80">
        <f>IF(AND(AB1090=1,D1090="proMX"),IF(AND(MOD(Z1090,CFG_BLK)=0,MOD(AA1090,CFG_BLK)=0,MOD(AG1090,CFG_BLK)=0,AG1090&gt;0),1,0),1)</f>
        <v>1</v>
      </c>
      <c r="BC1090" s="80" t="str">
        <f>IF(Y1090=0,"",IF(NOT(ISNUMBER(B1090)),"Falta fecha o fecha inválida",IF(D1090="","Falta empresa",IF(AND(D1090&lt;&gt;"Malcolm",D1090&lt;&gt;"proMX"),"Empresa inválida",IF(OR(INT(B1090)&lt;CFG_PSTART,INT(B1090)&gt;CFG_PEND),"Fecha fuera del período",IF(OR(NOT(ISNUMBER(Z1090)),NOT(ISNUMBER(AA1090))),"Falta hora inicio/fin o formato inválido",IF(AB1090=0,"Hora inicio = hora fin",IF(AE1090&lt;0,"Descanso inválido",IF(AE1090&gt;=AD1090,"Descanso ≥ duración",IF(AV1090=1,"Registro duplicado",IF(AZ1090&gt;0,"Se superpone con otro registro "&amp;D1090,IF(BB1090=0,"inicio, fin y duración neta deben ser múltiplos de "&amp;CFG_BLK&amp;" min",""))))))))))))</f>
        <v/>
      </c>
      <c r="BD1090" s="80">
        <f>IF(AND(Y1090=1,BC1090=""),1,0)</f>
        <v>0</v>
      </c>
      <c r="BE1090" s="80">
        <f>IF(AND(BD1090=1,AU1090=1),1,0)</f>
        <v>0</v>
      </c>
      <c r="BF1090" s="80" t="str">
        <f>IF(AND(D1090="proMX",BD1090=1),IF(R1090="","Draft",R1090),"")</f>
        <v/>
      </c>
      <c r="BG1090" s="80">
        <f>IF(BD1090=1,ROUND(AG1090/60,6),0)</f>
        <v>0</v>
      </c>
      <c r="BH1090" s="80">
        <f>IF(BE1090=1,ROUND(AG1090/60,6),0)</f>
        <v>0</v>
      </c>
      <c r="BI1090" s="80">
        <f>IF(BE1090=1,ROUND(AP1090/60,6),0)</f>
        <v>0</v>
      </c>
      <c r="BJ1090" s="80">
        <f>IF(BE1090=1,ROUND(AQ1090/60,6),0)</f>
        <v>0</v>
      </c>
      <c r="BK1090" s="80">
        <f>IF(BE1090=1,ROUND((AR1090+AS1090)/60,6),0)</f>
        <v>0</v>
      </c>
      <c r="BL1090" s="80">
        <f>ROUND(BH1090-BK1090,6)</f>
        <v>0</v>
      </c>
      <c r="BM1090" s="80">
        <f>IF(BE1090=1,ROUND(AR1090/60,6),0)</f>
        <v>0</v>
      </c>
      <c r="BN1090" s="80">
        <f>ROUND(BI1090-BM1090,6)</f>
        <v>0</v>
      </c>
      <c r="BO1090" s="80">
        <f>IF(BE1090=1,ROUND(AS1090/60,6),0)</f>
        <v>0</v>
      </c>
      <c r="BP1090" s="80">
        <f>ROUND(BJ1090-BO1090,6)</f>
        <v>0</v>
      </c>
      <c r="BQ1090" s="80">
        <f>IF(BE1090=1,AW1090,0)</f>
        <v>0</v>
      </c>
      <c r="BR1090" s="80">
        <f>IF(BE1090=1,AX1090,0)</f>
        <v>0</v>
      </c>
      <c r="BS1090" s="80">
        <f>IF(AND(BE1090=1,D1090="Malcolm",BA1090&gt;0),MIN(BH1090,SUMPRODUCT((R_Emp="proMX")*(R_EN&gt;0)*((R_EN-(R_EN&gt;BR1090)*(R_EN-BR1090))&gt;(R_SN+(R_SN&lt;BQ1090)*(BQ1090-R_SN)))*((R_EN-(R_EN&gt;BR1090)*(R_EN-BR1090))-(R_SN+(R_SN&lt;BQ1090)*(BQ1090-R_SN))))/60),0)</f>
        <v>0</v>
      </c>
      <c r="BT1090" s="80">
        <f>IF(AND(BE1090=1,D1090="proMX"),ROUND(BI1090*CFG_RATE+BJ1090*CFG_OTRATE,6),0)</f>
        <v>0</v>
      </c>
      <c r="BU1090" s="80">
        <f>IF(AND(BD1090=1,D1090="proMX"),ROUND(AG1090/CFG_BLK,6),0)</f>
        <v>0</v>
      </c>
      <c r="BV1090" s="80" t="str">
        <f>IF(BF1090="Approved",IF(ISNUMBER(T1090),INT(T1090),INT(B1090)),"")</f>
        <v/>
      </c>
      <c r="BW1090" s="80">
        <f>IF(ISNUMBER(B1090),IF(DB_MON="Todos",1,IF(AND(INT(B1090)&gt;=DB_MS,INT(B1090)&lt;=DB_ME),1,0)),0)</f>
        <v>0</v>
      </c>
      <c r="BX1090" s="80">
        <f>IF(DB_PROJ="Todos",1,IF(E1090&amp;""=DB_PROJ&amp;"",1,0))</f>
        <v>1</v>
      </c>
      <c r="BY1090" s="80">
        <f>BW1090*BX1090</f>
        <v>0</v>
      </c>
      <c r="BZ1090" s="80" t="str">
        <f>IF(Y1090=1,F1090&amp;IF(AND(F1090&amp;""&lt;&gt;"",E1090&amp;""&lt;&gt;"")," · ","")&amp;E1090,"")</f>
        <v/>
      </c>
      <c r="CA1090" s="80" t="str">
        <f>IF(AND(BD1090=1,E1090&amp;""&lt;&gt;""),IF(COUNTIFS($E$5:E1089,E1090,$BD$5:BD1089,1)=0,MAX($CA$5:CA1089)+1,""),"")</f>
        <v/>
      </c>
      <c r="CB1090" s="80" t="str">
        <f>IF(AND(BE1090=1,D1090="Malcolm",E1090&amp;""&lt;&gt;""),IF(COUNTIFS($D$5:D1089,"Malcolm",$E$5:E1089,E1090,$BE$5:BE1089,1)=0,MAX($CB$5:CB1089)+1,""),"")</f>
        <v/>
      </c>
      <c r="CC1090" s="80" t="str">
        <f>IF(AND(BD1090=1,D1090="proMX",E1090&amp;""&lt;&gt;""),IF(COUNTIFS($D$5:D1089,"proMX",$E$5:E1089,E1090,$BD$5:BD1089,1)=0,MAX($CC$5:CC1089)+1,""),"")</f>
        <v/>
      </c>
      <c r="CD1090" s="80" t="str">
        <f>IF(AND(BE1090=1,D1090="Malcolm",F1090&amp;""&lt;&gt;""),IF(COUNTIFS($D$5:D1089,"Malcolm",$F$5:F1089,F1090,$BE$5:BE1089,1)=0,MAX($CD$5:CD1089)+1,""),"")</f>
        <v/>
      </c>
      <c r="CE1090" s="80" t="str">
        <f>IF(AND(BD1090=1,D1090="proMX",F1090&amp;""&lt;&gt;""),IF(COUNTIFS($D$5:D1089,"proMX",$F$5:F1089,F1090,$BD$5:BD1089,1)=0,MAX($CE$5:CE1089)+1,""),"")</f>
        <v/>
      </c>
      <c r="CF1090" s="80" t="str">
        <f>IF(AND(D1090="proMX",BD1090=1),IF(OR(BF1090="Draft",BF1090="Submitted",BF1090="Returned",BF1090="Recall Requested"),MAX($CF$5:CF1089)+1,""),"")</f>
        <v/>
      </c>
      <c r="CG1090" s="80">
        <f>IF(BD1090=0,0,IF(D1090="Malcolm",1,MATCH(BF1090,{"Draft","Submitted","Approved","Returned","Recall Requested","Cancelled"},0)+1))</f>
        <v>0</v>
      </c>
      <c r="CH1090" s="80">
        <f>IF(AND(BF1090="Submitted",ISNUMBER(V1090)),IF(V1090&gt;CFG_MAXD,1,0),0)</f>
        <v>0</v>
      </c>
    </row>
    <row r="1091">
      <c r="A1091" s="71" t="str">
        <f>IF(Y1091=1,ROW()-5,"")</f>
        <v/>
      </c>
      <c r="B1091" s="72" t="n"/>
      <c r="C1091" s="71" t="str">
        <f>IF(ISNUMBER(B1091),CHOOSE(WEEKDAY(B1091,2),"Lun","Mar","Mié","Jue","Vie","Sáb","Dom"),"")</f>
        <v/>
      </c>
      <c r="D1091" s="73" t="n"/>
      <c r="E1091" s="74" t="n"/>
      <c r="F1091" s="74" t="n"/>
      <c r="G1091" s="74" t="n"/>
      <c r="H1091" s="75" t="n"/>
      <c r="I1091" s="75" t="n"/>
      <c r="J1091" s="76" t="n"/>
      <c r="K1091" s="77" t="str">
        <f>IF(AB1091=1,ROUND(AG1091/60,4),"")</f>
        <v/>
      </c>
      <c r="L1091" s="77" t="str">
        <f>IF(BD1091=1,ROUND(AP1091/60,4),"")</f>
        <v/>
      </c>
      <c r="M1091" s="77" t="str">
        <f>IF(BD1091=1,ROUND(AQ1091/60,4),"")</f>
        <v/>
      </c>
      <c r="N1091" s="71" t="str">
        <f>IF(AND(D1091="proMX",AB1091=1),ROUND(AG1091/CFG_BLK,2),"")</f>
        <v/>
      </c>
      <c r="O1091" s="77" t="str">
        <f>IF(D1091="proMX",IF(BD1091=1,ROUND(AG1091/60,4),0),"")</f>
        <v/>
      </c>
      <c r="P1091" s="78" t="str">
        <f>IF(Y1091=0,"",IF(BD1091=1,"OK",IF(D1091="proMX","Revisar bloques: ","Revisar: ")&amp;BC1091))</f>
        <v/>
      </c>
      <c r="Q1091" s="78" t="str">
        <f>IF(NOT(ISNUMBER(B1091)),"",IF(COUNTIFS(FER_F,INT(B1091))&gt;0,"Feriado"&amp;IF(AH1091=1," (laborable)"," (no laborable)"),IF(AH1091=1,"Laborable",IF(WEEKDAY(B1091,2)&gt;5,"Fin de semana","No laborable"))))</f>
        <v/>
      </c>
      <c r="R1091" s="73" t="n"/>
      <c r="S1091" s="72" t="n"/>
      <c r="T1091" s="72" t="n"/>
      <c r="U1091" s="74" t="n"/>
      <c r="V1091" s="79" t="str">
        <f>IF(AND(D1091="proMX",OR(R1091="Submitted",R1091="Recall Requested"),ISNUMBER(S1091)),CFG_TODAY-INT(S1091),"")</f>
        <v/>
      </c>
      <c r="W1091" s="78" t="str">
        <f>IF(BD1091=0,"",IF(BA1091&gt;0,"⚠ Se superpone con un registro de la otra empresa",IF(D1091="Malcolm",IF(COUNTA(R1091,S1091,T1091)&gt;0,"Estado/fechas proMX se ignoran en Malcolm",""),IF(BF1091="Cancelled","Cancelado: excluido de totales",IF(R1091="","Sin estado: se trata como Draft",IF(BF1091="Submitted",IF(ISNUMBER(V1091),IF(V1091&gt;CFG_MAXD,"⚠ "&amp;V1091&amp;" días en Submitted (máx. "&amp;CFG_MAXD&amp;")",""),"Falta fecha de envío"),IF(BF1091="Returned","⚠ Devuelto: corregir y reenviar",IF(BF1091="Recall Requested","Retirada solicitada: pendiente",IF(AND(BF1091="Approved",NOT(ISNUMBER(T1091))),"Falta fecha de aprobación",IF(AND(ISNUMBER(S1091),ISNUMBER(T1091),T1091&lt;S1091),"Aprobación anterior al envío","")))))))))</f>
        <v/>
      </c>
      <c r="Y1091" s="80">
        <f>IF(COUNTA(B1091,D1091,E1091,F1091,G1091,H1091,I1091,J1091,R1091,S1091,T1091)&gt;0,1,0)</f>
        <v>0</v>
      </c>
      <c r="Z1091" s="80" t="str">
        <f>IF(AND(ISNUMBER(H1091),H1091&gt;=0,H1091&lt;1),ROUND(H1091*1440,0),"")</f>
        <v/>
      </c>
      <c r="AA1091" s="80" t="str">
        <f>IF(AND(ISNUMBER(I1091),I1091&gt;=0,I1091&lt;1),ROUND(I1091*1440,0),"")</f>
        <v/>
      </c>
      <c r="AB1091" s="80">
        <f>IF(AND(ISNUMBER(B1091),D1091&lt;&gt;"",ISNUMBER(Z1091),ISNUMBER(AA1091)),IF(Z1091=AA1091,0,1),0)</f>
        <v>0</v>
      </c>
      <c r="AC1091" s="80">
        <f>IF(AB1091=1,IF(AA1091&lt;Z1091,1,0),0)</f>
        <v>0</v>
      </c>
      <c r="AD1091" s="80">
        <f>IF(AB1091=1,IF(AC1091=1,1440-Z1091+AA1091,AA1091-Z1091),0)</f>
        <v>0</v>
      </c>
      <c r="AE1091" s="80">
        <f>IF(J1091="",0,IF(ISNUMBER(J1091),J1091,-1))</f>
        <v>0</v>
      </c>
      <c r="AF1091" s="80">
        <f>MIN(MAX(0,AE1091),AD1091)</f>
        <v>0</v>
      </c>
      <c r="AG1091" s="80">
        <f>MAX(0,AD1091-MAX(0,AE1091))</f>
        <v>0</v>
      </c>
      <c r="AH1091" s="80">
        <f>IF(ISNUMBER(B1091),IF(AND(INDEX(CFG_WDAYS,WEEKDAY(INT(B1091),2))="Sí",IF(D1091="proMX",COUNTIFS(FER_F,INT(B1091),FER_NLP,"Sí"),COUNTIFS(FER_F,INT(B1091),FER_NLM,"Sí"))=0),1,0),0)</f>
        <v>0</v>
      </c>
      <c r="AI1091" s="80">
        <f>IF(AC1091=1,IF(AND(INDEX(CFG_WDAYS,WEEKDAY(INT(B1091)+1,2))="Sí",IF(D1091="proMX",COUNTIFS(FER_F,INT(B1091)+1,FER_NLP,"Sí"),COUNTIFS(FER_F,INT(B1091)+1,FER_NLM,"Sí"))=0),1,0),0)</f>
        <v>0</v>
      </c>
      <c r="AJ1091" s="80">
        <f>IF(AC1091=1,1440-Z1091,AD1091)</f>
        <v>0</v>
      </c>
      <c r="AK1091" s="80">
        <f>IF(AND(AB1091=1,AH1091=1),MAX(0,MIN(IF(AC1091=1,1440,AA1091),CFG_WEM)-MAX(Z1091,CFG_WSM)),0)</f>
        <v>0</v>
      </c>
      <c r="AL1091" s="80">
        <f>IF(AND(AC1091=1,AI1091=1),MAX(0,MIN(AA1091,CFG_WEM)-CFG_WSM),0)</f>
        <v>0</v>
      </c>
      <c r="AM1091" s="80">
        <f>AK1091+AL1091</f>
        <v>0</v>
      </c>
      <c r="AN1091" s="80">
        <f>IF(CFG_BRK="Proporcional",IF(AD1091=0,0,AF1091*AM1091/AD1091),IF(CFG_BRK="Extras primero",MIN(AM1091,MAX(0,AF1091-(AD1091-AM1091))),MIN(AF1091,AM1091)))</f>
        <v>0</v>
      </c>
      <c r="AO1091" s="80">
        <f>AF1091-AN1091</f>
        <v>0</v>
      </c>
      <c r="AP1091" s="80">
        <f>AM1091-AN1091</f>
        <v>0</v>
      </c>
      <c r="AQ1091" s="80">
        <f>AD1091-AM1091-AO1091</f>
        <v>0</v>
      </c>
      <c r="AR1091" s="80">
        <f>IF(AM1091=0,0,AK1091-AN1091*AK1091/AM1091)</f>
        <v>0</v>
      </c>
      <c r="AS1091" s="80">
        <f>IF(AD1091-AM1091=0,0,(AJ1091-AK1091)-AO1091*(AJ1091-AK1091)/(AD1091-AM1091))</f>
        <v>0</v>
      </c>
      <c r="AT1091" s="80" t="str">
        <f>IF(AC1091=1,INT(B1091)+1,"")</f>
        <v/>
      </c>
      <c r="AU1091" s="80">
        <f>IF(AND(D1091="proMX",R1091="Cancelled"),0,1)</f>
        <v>1</v>
      </c>
      <c r="AV1091" s="80">
        <f>IF(AND(AB1091=1,AU1091=1),IF(COUNTIFS($D$5:D1090,D1091,$B$5:B1090,B1091,$Z$5:Z1090,Z1091,$AA$5:AA1090,AA1091,$F$5:F1090,F1091&amp;"",$AU$5:AU1090,1)&gt;0,1,0),0)</f>
        <v>0</v>
      </c>
      <c r="AW1091" s="80" t="str">
        <f>IF(AB1091=1,INT(B1091)*1440+Z1091,"")</f>
        <v/>
      </c>
      <c r="AX1091" s="80" t="str">
        <f>IF(AB1091=1,AW1091+AD1091,"")</f>
        <v/>
      </c>
      <c r="AY1091" s="80">
        <f>IF(AND(AB1091=1,AV1091=0,AU1091=1),1,0)</f>
        <v>0</v>
      </c>
      <c r="AZ1091" s="80">
        <f>IF(AY1091=1,COUNTIFS(R_Emp,D1091,R_SAbs,"&lt;"&amp;AX1091,R_EAbs,"&gt;"&amp;AW1091,R_OKey,1)-1,0)</f>
        <v>0</v>
      </c>
      <c r="BA1091" s="80">
        <f>IF(AY1091=1,COUNTIFS(R_Emp,"&lt;&gt;"&amp;D1091,R_SAbs,"&lt;"&amp;AX1091,R_EAbs,"&gt;"&amp;AW1091,R_OKey,1),0)</f>
        <v>0</v>
      </c>
      <c r="BB1091" s="80">
        <f>IF(AND(AB1091=1,D1091="proMX"),IF(AND(MOD(Z1091,CFG_BLK)=0,MOD(AA1091,CFG_BLK)=0,MOD(AG1091,CFG_BLK)=0,AG1091&gt;0),1,0),1)</f>
        <v>1</v>
      </c>
      <c r="BC1091" s="80" t="str">
        <f>IF(Y1091=0,"",IF(NOT(ISNUMBER(B1091)),"Falta fecha o fecha inválida",IF(D1091="","Falta empresa",IF(AND(D1091&lt;&gt;"Malcolm",D1091&lt;&gt;"proMX"),"Empresa inválida",IF(OR(INT(B1091)&lt;CFG_PSTART,INT(B1091)&gt;CFG_PEND),"Fecha fuera del período",IF(OR(NOT(ISNUMBER(Z1091)),NOT(ISNUMBER(AA1091))),"Falta hora inicio/fin o formato inválido",IF(AB1091=0,"Hora inicio = hora fin",IF(AE1091&lt;0,"Descanso inválido",IF(AE1091&gt;=AD1091,"Descanso ≥ duración",IF(AV1091=1,"Registro duplicado",IF(AZ1091&gt;0,"Se superpone con otro registro "&amp;D1091,IF(BB1091=0,"inicio, fin y duración neta deben ser múltiplos de "&amp;CFG_BLK&amp;" min",""))))))))))))</f>
        <v/>
      </c>
      <c r="BD1091" s="80">
        <f>IF(AND(Y1091=1,BC1091=""),1,0)</f>
        <v>0</v>
      </c>
      <c r="BE1091" s="80">
        <f>IF(AND(BD1091=1,AU1091=1),1,0)</f>
        <v>0</v>
      </c>
      <c r="BF1091" s="80" t="str">
        <f>IF(AND(D1091="proMX",BD1091=1),IF(R1091="","Draft",R1091),"")</f>
        <v/>
      </c>
      <c r="BG1091" s="80">
        <f>IF(BD1091=1,ROUND(AG1091/60,6),0)</f>
        <v>0</v>
      </c>
      <c r="BH1091" s="80">
        <f>IF(BE1091=1,ROUND(AG1091/60,6),0)</f>
        <v>0</v>
      </c>
      <c r="BI1091" s="80">
        <f>IF(BE1091=1,ROUND(AP1091/60,6),0)</f>
        <v>0</v>
      </c>
      <c r="BJ1091" s="80">
        <f>IF(BE1091=1,ROUND(AQ1091/60,6),0)</f>
        <v>0</v>
      </c>
      <c r="BK1091" s="80">
        <f>IF(BE1091=1,ROUND((AR1091+AS1091)/60,6),0)</f>
        <v>0</v>
      </c>
      <c r="BL1091" s="80">
        <f>ROUND(BH1091-BK1091,6)</f>
        <v>0</v>
      </c>
      <c r="BM1091" s="80">
        <f>IF(BE1091=1,ROUND(AR1091/60,6),0)</f>
        <v>0</v>
      </c>
      <c r="BN1091" s="80">
        <f>ROUND(BI1091-BM1091,6)</f>
        <v>0</v>
      </c>
      <c r="BO1091" s="80">
        <f>IF(BE1091=1,ROUND(AS1091/60,6),0)</f>
        <v>0</v>
      </c>
      <c r="BP1091" s="80">
        <f>ROUND(BJ1091-BO1091,6)</f>
        <v>0</v>
      </c>
      <c r="BQ1091" s="80">
        <f>IF(BE1091=1,AW1091,0)</f>
        <v>0</v>
      </c>
      <c r="BR1091" s="80">
        <f>IF(BE1091=1,AX1091,0)</f>
        <v>0</v>
      </c>
      <c r="BS1091" s="80">
        <f>IF(AND(BE1091=1,D1091="Malcolm",BA1091&gt;0),MIN(BH1091,SUMPRODUCT((R_Emp="proMX")*(R_EN&gt;0)*((R_EN-(R_EN&gt;BR1091)*(R_EN-BR1091))&gt;(R_SN+(R_SN&lt;BQ1091)*(BQ1091-R_SN)))*((R_EN-(R_EN&gt;BR1091)*(R_EN-BR1091))-(R_SN+(R_SN&lt;BQ1091)*(BQ1091-R_SN))))/60),0)</f>
        <v>0</v>
      </c>
      <c r="BT1091" s="80">
        <f>IF(AND(BE1091=1,D1091="proMX"),ROUND(BI1091*CFG_RATE+BJ1091*CFG_OTRATE,6),0)</f>
        <v>0</v>
      </c>
      <c r="BU1091" s="80">
        <f>IF(AND(BD1091=1,D1091="proMX"),ROUND(AG1091/CFG_BLK,6),0)</f>
        <v>0</v>
      </c>
      <c r="BV1091" s="80" t="str">
        <f>IF(BF1091="Approved",IF(ISNUMBER(T1091),INT(T1091),INT(B1091)),"")</f>
        <v/>
      </c>
      <c r="BW1091" s="80">
        <f>IF(ISNUMBER(B1091),IF(DB_MON="Todos",1,IF(AND(INT(B1091)&gt;=DB_MS,INT(B1091)&lt;=DB_ME),1,0)),0)</f>
        <v>0</v>
      </c>
      <c r="BX1091" s="80">
        <f>IF(DB_PROJ="Todos",1,IF(E1091&amp;""=DB_PROJ&amp;"",1,0))</f>
        <v>1</v>
      </c>
      <c r="BY1091" s="80">
        <f>BW1091*BX1091</f>
        <v>0</v>
      </c>
      <c r="BZ1091" s="80" t="str">
        <f>IF(Y1091=1,F1091&amp;IF(AND(F1091&amp;""&lt;&gt;"",E1091&amp;""&lt;&gt;"")," · ","")&amp;E1091,"")</f>
        <v/>
      </c>
      <c r="CA1091" s="80" t="str">
        <f>IF(AND(BD1091=1,E1091&amp;""&lt;&gt;""),IF(COUNTIFS($E$5:E1090,E1091,$BD$5:BD1090,1)=0,MAX($CA$5:CA1090)+1,""),"")</f>
        <v/>
      </c>
      <c r="CB1091" s="80" t="str">
        <f>IF(AND(BE1091=1,D1091="Malcolm",E1091&amp;""&lt;&gt;""),IF(COUNTIFS($D$5:D1090,"Malcolm",$E$5:E1090,E1091,$BE$5:BE1090,1)=0,MAX($CB$5:CB1090)+1,""),"")</f>
        <v/>
      </c>
      <c r="CC1091" s="80" t="str">
        <f>IF(AND(BD1091=1,D1091="proMX",E1091&amp;""&lt;&gt;""),IF(COUNTIFS($D$5:D1090,"proMX",$E$5:E1090,E1091,$BD$5:BD1090,1)=0,MAX($CC$5:CC1090)+1,""),"")</f>
        <v/>
      </c>
      <c r="CD1091" s="80" t="str">
        <f>IF(AND(BE1091=1,D1091="Malcolm",F1091&amp;""&lt;&gt;""),IF(COUNTIFS($D$5:D1090,"Malcolm",$F$5:F1090,F1091,$BE$5:BE1090,1)=0,MAX($CD$5:CD1090)+1,""),"")</f>
        <v/>
      </c>
      <c r="CE1091" s="80" t="str">
        <f>IF(AND(BD1091=1,D1091="proMX",F1091&amp;""&lt;&gt;""),IF(COUNTIFS($D$5:D1090,"proMX",$F$5:F1090,F1091,$BD$5:BD1090,1)=0,MAX($CE$5:CE1090)+1,""),"")</f>
        <v/>
      </c>
      <c r="CF1091" s="80" t="str">
        <f>IF(AND(D1091="proMX",BD1091=1),IF(OR(BF1091="Draft",BF1091="Submitted",BF1091="Returned",BF1091="Recall Requested"),MAX($CF$5:CF1090)+1,""),"")</f>
        <v/>
      </c>
      <c r="CG1091" s="80">
        <f>IF(BD1091=0,0,IF(D1091="Malcolm",1,MATCH(BF1091,{"Draft","Submitted","Approved","Returned","Recall Requested","Cancelled"},0)+1))</f>
        <v>0</v>
      </c>
      <c r="CH1091" s="80">
        <f>IF(AND(BF1091="Submitted",ISNUMBER(V1091)),IF(V1091&gt;CFG_MAXD,1,0),0)</f>
        <v>0</v>
      </c>
    </row>
    <row r="1092">
      <c r="A1092" s="71" t="str">
        <f>IF(Y1092=1,ROW()-5,"")</f>
        <v/>
      </c>
      <c r="B1092" s="72" t="n"/>
      <c r="C1092" s="71" t="str">
        <f>IF(ISNUMBER(B1092),CHOOSE(WEEKDAY(B1092,2),"Lun","Mar","Mié","Jue","Vie","Sáb","Dom"),"")</f>
        <v/>
      </c>
      <c r="D1092" s="73" t="n"/>
      <c r="E1092" s="74" t="n"/>
      <c r="F1092" s="74" t="n"/>
      <c r="G1092" s="74" t="n"/>
      <c r="H1092" s="75" t="n"/>
      <c r="I1092" s="75" t="n"/>
      <c r="J1092" s="76" t="n"/>
      <c r="K1092" s="77" t="str">
        <f>IF(AB1092=1,ROUND(AG1092/60,4),"")</f>
        <v/>
      </c>
      <c r="L1092" s="77" t="str">
        <f>IF(BD1092=1,ROUND(AP1092/60,4),"")</f>
        <v/>
      </c>
      <c r="M1092" s="77" t="str">
        <f>IF(BD1092=1,ROUND(AQ1092/60,4),"")</f>
        <v/>
      </c>
      <c r="N1092" s="71" t="str">
        <f>IF(AND(D1092="proMX",AB1092=1),ROUND(AG1092/CFG_BLK,2),"")</f>
        <v/>
      </c>
      <c r="O1092" s="77" t="str">
        <f>IF(D1092="proMX",IF(BD1092=1,ROUND(AG1092/60,4),0),"")</f>
        <v/>
      </c>
      <c r="P1092" s="78" t="str">
        <f>IF(Y1092=0,"",IF(BD1092=1,"OK",IF(D1092="proMX","Revisar bloques: ","Revisar: ")&amp;BC1092))</f>
        <v/>
      </c>
      <c r="Q1092" s="78" t="str">
        <f>IF(NOT(ISNUMBER(B1092)),"",IF(COUNTIFS(FER_F,INT(B1092))&gt;0,"Feriado"&amp;IF(AH1092=1," (laborable)"," (no laborable)"),IF(AH1092=1,"Laborable",IF(WEEKDAY(B1092,2)&gt;5,"Fin de semana","No laborable"))))</f>
        <v/>
      </c>
      <c r="R1092" s="73" t="n"/>
      <c r="S1092" s="72" t="n"/>
      <c r="T1092" s="72" t="n"/>
      <c r="U1092" s="74" t="n"/>
      <c r="V1092" s="79" t="str">
        <f>IF(AND(D1092="proMX",OR(R1092="Submitted",R1092="Recall Requested"),ISNUMBER(S1092)),CFG_TODAY-INT(S1092),"")</f>
        <v/>
      </c>
      <c r="W1092" s="78" t="str">
        <f>IF(BD1092=0,"",IF(BA1092&gt;0,"⚠ Se superpone con un registro de la otra empresa",IF(D1092="Malcolm",IF(COUNTA(R1092,S1092,T1092)&gt;0,"Estado/fechas proMX se ignoran en Malcolm",""),IF(BF1092="Cancelled","Cancelado: excluido de totales",IF(R1092="","Sin estado: se trata como Draft",IF(BF1092="Submitted",IF(ISNUMBER(V1092),IF(V1092&gt;CFG_MAXD,"⚠ "&amp;V1092&amp;" días en Submitted (máx. "&amp;CFG_MAXD&amp;")",""),"Falta fecha de envío"),IF(BF1092="Returned","⚠ Devuelto: corregir y reenviar",IF(BF1092="Recall Requested","Retirada solicitada: pendiente",IF(AND(BF1092="Approved",NOT(ISNUMBER(T1092))),"Falta fecha de aprobación",IF(AND(ISNUMBER(S1092),ISNUMBER(T1092),T1092&lt;S1092),"Aprobación anterior al envío","")))))))))</f>
        <v/>
      </c>
      <c r="Y1092" s="80">
        <f>IF(COUNTA(B1092,D1092,E1092,F1092,G1092,H1092,I1092,J1092,R1092,S1092,T1092)&gt;0,1,0)</f>
        <v>0</v>
      </c>
      <c r="Z1092" s="80" t="str">
        <f>IF(AND(ISNUMBER(H1092),H1092&gt;=0,H1092&lt;1),ROUND(H1092*1440,0),"")</f>
        <v/>
      </c>
      <c r="AA1092" s="80" t="str">
        <f>IF(AND(ISNUMBER(I1092),I1092&gt;=0,I1092&lt;1),ROUND(I1092*1440,0),"")</f>
        <v/>
      </c>
      <c r="AB1092" s="80">
        <f>IF(AND(ISNUMBER(B1092),D1092&lt;&gt;"",ISNUMBER(Z1092),ISNUMBER(AA1092)),IF(Z1092=AA1092,0,1),0)</f>
        <v>0</v>
      </c>
      <c r="AC1092" s="80">
        <f>IF(AB1092=1,IF(AA1092&lt;Z1092,1,0),0)</f>
        <v>0</v>
      </c>
      <c r="AD1092" s="80">
        <f>IF(AB1092=1,IF(AC1092=1,1440-Z1092+AA1092,AA1092-Z1092),0)</f>
        <v>0</v>
      </c>
      <c r="AE1092" s="80">
        <f>IF(J1092="",0,IF(ISNUMBER(J1092),J1092,-1))</f>
        <v>0</v>
      </c>
      <c r="AF1092" s="80">
        <f>MIN(MAX(0,AE1092),AD1092)</f>
        <v>0</v>
      </c>
      <c r="AG1092" s="80">
        <f>MAX(0,AD1092-MAX(0,AE1092))</f>
        <v>0</v>
      </c>
      <c r="AH1092" s="80">
        <f>IF(ISNUMBER(B1092),IF(AND(INDEX(CFG_WDAYS,WEEKDAY(INT(B1092),2))="Sí",IF(D1092="proMX",COUNTIFS(FER_F,INT(B1092),FER_NLP,"Sí"),COUNTIFS(FER_F,INT(B1092),FER_NLM,"Sí"))=0),1,0),0)</f>
        <v>0</v>
      </c>
      <c r="AI1092" s="80">
        <f>IF(AC1092=1,IF(AND(INDEX(CFG_WDAYS,WEEKDAY(INT(B1092)+1,2))="Sí",IF(D1092="proMX",COUNTIFS(FER_F,INT(B1092)+1,FER_NLP,"Sí"),COUNTIFS(FER_F,INT(B1092)+1,FER_NLM,"Sí"))=0),1,0),0)</f>
        <v>0</v>
      </c>
      <c r="AJ1092" s="80">
        <f>IF(AC1092=1,1440-Z1092,AD1092)</f>
        <v>0</v>
      </c>
      <c r="AK1092" s="80">
        <f>IF(AND(AB1092=1,AH1092=1),MAX(0,MIN(IF(AC1092=1,1440,AA1092),CFG_WEM)-MAX(Z1092,CFG_WSM)),0)</f>
        <v>0</v>
      </c>
      <c r="AL1092" s="80">
        <f>IF(AND(AC1092=1,AI1092=1),MAX(0,MIN(AA1092,CFG_WEM)-CFG_WSM),0)</f>
        <v>0</v>
      </c>
      <c r="AM1092" s="80">
        <f>AK1092+AL1092</f>
        <v>0</v>
      </c>
      <c r="AN1092" s="80">
        <f>IF(CFG_BRK="Proporcional",IF(AD1092=0,0,AF1092*AM1092/AD1092),IF(CFG_BRK="Extras primero",MIN(AM1092,MAX(0,AF1092-(AD1092-AM1092))),MIN(AF1092,AM1092)))</f>
        <v>0</v>
      </c>
      <c r="AO1092" s="80">
        <f>AF1092-AN1092</f>
        <v>0</v>
      </c>
      <c r="AP1092" s="80">
        <f>AM1092-AN1092</f>
        <v>0</v>
      </c>
      <c r="AQ1092" s="80">
        <f>AD1092-AM1092-AO1092</f>
        <v>0</v>
      </c>
      <c r="AR1092" s="80">
        <f>IF(AM1092=0,0,AK1092-AN1092*AK1092/AM1092)</f>
        <v>0</v>
      </c>
      <c r="AS1092" s="80">
        <f>IF(AD1092-AM1092=0,0,(AJ1092-AK1092)-AO1092*(AJ1092-AK1092)/(AD1092-AM1092))</f>
        <v>0</v>
      </c>
      <c r="AT1092" s="80" t="str">
        <f>IF(AC1092=1,INT(B1092)+1,"")</f>
        <v/>
      </c>
      <c r="AU1092" s="80">
        <f>IF(AND(D1092="proMX",R1092="Cancelled"),0,1)</f>
        <v>1</v>
      </c>
      <c r="AV1092" s="80">
        <f>IF(AND(AB1092=1,AU1092=1),IF(COUNTIFS($D$5:D1091,D1092,$B$5:B1091,B1092,$Z$5:Z1091,Z1092,$AA$5:AA1091,AA1092,$F$5:F1091,F1092&amp;"",$AU$5:AU1091,1)&gt;0,1,0),0)</f>
        <v>0</v>
      </c>
      <c r="AW1092" s="80" t="str">
        <f>IF(AB1092=1,INT(B1092)*1440+Z1092,"")</f>
        <v/>
      </c>
      <c r="AX1092" s="80" t="str">
        <f>IF(AB1092=1,AW1092+AD1092,"")</f>
        <v/>
      </c>
      <c r="AY1092" s="80">
        <f>IF(AND(AB1092=1,AV1092=0,AU1092=1),1,0)</f>
        <v>0</v>
      </c>
      <c r="AZ1092" s="80">
        <f>IF(AY1092=1,COUNTIFS(R_Emp,D1092,R_SAbs,"&lt;"&amp;AX1092,R_EAbs,"&gt;"&amp;AW1092,R_OKey,1)-1,0)</f>
        <v>0</v>
      </c>
      <c r="BA1092" s="80">
        <f>IF(AY1092=1,COUNTIFS(R_Emp,"&lt;&gt;"&amp;D1092,R_SAbs,"&lt;"&amp;AX1092,R_EAbs,"&gt;"&amp;AW1092,R_OKey,1),0)</f>
        <v>0</v>
      </c>
      <c r="BB1092" s="80">
        <f>IF(AND(AB1092=1,D1092="proMX"),IF(AND(MOD(Z1092,CFG_BLK)=0,MOD(AA1092,CFG_BLK)=0,MOD(AG1092,CFG_BLK)=0,AG1092&gt;0),1,0),1)</f>
        <v>1</v>
      </c>
      <c r="BC1092" s="80" t="str">
        <f>IF(Y1092=0,"",IF(NOT(ISNUMBER(B1092)),"Falta fecha o fecha inválida",IF(D1092="","Falta empresa",IF(AND(D1092&lt;&gt;"Malcolm",D1092&lt;&gt;"proMX"),"Empresa inválida",IF(OR(INT(B1092)&lt;CFG_PSTART,INT(B1092)&gt;CFG_PEND),"Fecha fuera del período",IF(OR(NOT(ISNUMBER(Z1092)),NOT(ISNUMBER(AA1092))),"Falta hora inicio/fin o formato inválido",IF(AB1092=0,"Hora inicio = hora fin",IF(AE1092&lt;0,"Descanso inválido",IF(AE1092&gt;=AD1092,"Descanso ≥ duración",IF(AV1092=1,"Registro duplicado",IF(AZ1092&gt;0,"Se superpone con otro registro "&amp;D1092,IF(BB1092=0,"inicio, fin y duración neta deben ser múltiplos de "&amp;CFG_BLK&amp;" min",""))))))))))))</f>
        <v/>
      </c>
      <c r="BD1092" s="80">
        <f>IF(AND(Y1092=1,BC1092=""),1,0)</f>
        <v>0</v>
      </c>
      <c r="BE1092" s="80">
        <f>IF(AND(BD1092=1,AU1092=1),1,0)</f>
        <v>0</v>
      </c>
      <c r="BF1092" s="80" t="str">
        <f>IF(AND(D1092="proMX",BD1092=1),IF(R1092="","Draft",R1092),"")</f>
        <v/>
      </c>
      <c r="BG1092" s="80">
        <f>IF(BD1092=1,ROUND(AG1092/60,6),0)</f>
        <v>0</v>
      </c>
      <c r="BH1092" s="80">
        <f>IF(BE1092=1,ROUND(AG1092/60,6),0)</f>
        <v>0</v>
      </c>
      <c r="BI1092" s="80">
        <f>IF(BE1092=1,ROUND(AP1092/60,6),0)</f>
        <v>0</v>
      </c>
      <c r="BJ1092" s="80">
        <f>IF(BE1092=1,ROUND(AQ1092/60,6),0)</f>
        <v>0</v>
      </c>
      <c r="BK1092" s="80">
        <f>IF(BE1092=1,ROUND((AR1092+AS1092)/60,6),0)</f>
        <v>0</v>
      </c>
      <c r="BL1092" s="80">
        <f>ROUND(BH1092-BK1092,6)</f>
        <v>0</v>
      </c>
      <c r="BM1092" s="80">
        <f>IF(BE1092=1,ROUND(AR1092/60,6),0)</f>
        <v>0</v>
      </c>
      <c r="BN1092" s="80">
        <f>ROUND(BI1092-BM1092,6)</f>
        <v>0</v>
      </c>
      <c r="BO1092" s="80">
        <f>IF(BE1092=1,ROUND(AS1092/60,6),0)</f>
        <v>0</v>
      </c>
      <c r="BP1092" s="80">
        <f>ROUND(BJ1092-BO1092,6)</f>
        <v>0</v>
      </c>
      <c r="BQ1092" s="80">
        <f>IF(BE1092=1,AW1092,0)</f>
        <v>0</v>
      </c>
      <c r="BR1092" s="80">
        <f>IF(BE1092=1,AX1092,0)</f>
        <v>0</v>
      </c>
      <c r="BS1092" s="80">
        <f>IF(AND(BE1092=1,D1092="Malcolm",BA1092&gt;0),MIN(BH1092,SUMPRODUCT((R_Emp="proMX")*(R_EN&gt;0)*((R_EN-(R_EN&gt;BR1092)*(R_EN-BR1092))&gt;(R_SN+(R_SN&lt;BQ1092)*(BQ1092-R_SN)))*((R_EN-(R_EN&gt;BR1092)*(R_EN-BR1092))-(R_SN+(R_SN&lt;BQ1092)*(BQ1092-R_SN))))/60),0)</f>
        <v>0</v>
      </c>
      <c r="BT1092" s="80">
        <f>IF(AND(BE1092=1,D1092="proMX"),ROUND(BI1092*CFG_RATE+BJ1092*CFG_OTRATE,6),0)</f>
        <v>0</v>
      </c>
      <c r="BU1092" s="80">
        <f>IF(AND(BD1092=1,D1092="proMX"),ROUND(AG1092/CFG_BLK,6),0)</f>
        <v>0</v>
      </c>
      <c r="BV1092" s="80" t="str">
        <f>IF(BF1092="Approved",IF(ISNUMBER(T1092),INT(T1092),INT(B1092)),"")</f>
        <v/>
      </c>
      <c r="BW1092" s="80">
        <f>IF(ISNUMBER(B1092),IF(DB_MON="Todos",1,IF(AND(INT(B1092)&gt;=DB_MS,INT(B1092)&lt;=DB_ME),1,0)),0)</f>
        <v>0</v>
      </c>
      <c r="BX1092" s="80">
        <f>IF(DB_PROJ="Todos",1,IF(E1092&amp;""=DB_PROJ&amp;"",1,0))</f>
        <v>1</v>
      </c>
      <c r="BY1092" s="80">
        <f>BW1092*BX1092</f>
        <v>0</v>
      </c>
      <c r="BZ1092" s="80" t="str">
        <f>IF(Y1092=1,F1092&amp;IF(AND(F1092&amp;""&lt;&gt;"",E1092&amp;""&lt;&gt;"")," · ","")&amp;E1092,"")</f>
        <v/>
      </c>
      <c r="CA1092" s="80" t="str">
        <f>IF(AND(BD1092=1,E1092&amp;""&lt;&gt;""),IF(COUNTIFS($E$5:E1091,E1092,$BD$5:BD1091,1)=0,MAX($CA$5:CA1091)+1,""),"")</f>
        <v/>
      </c>
      <c r="CB1092" s="80" t="str">
        <f>IF(AND(BE1092=1,D1092="Malcolm",E1092&amp;""&lt;&gt;""),IF(COUNTIFS($D$5:D1091,"Malcolm",$E$5:E1091,E1092,$BE$5:BE1091,1)=0,MAX($CB$5:CB1091)+1,""),"")</f>
        <v/>
      </c>
      <c r="CC1092" s="80" t="str">
        <f>IF(AND(BD1092=1,D1092="proMX",E1092&amp;""&lt;&gt;""),IF(COUNTIFS($D$5:D1091,"proMX",$E$5:E1091,E1092,$BD$5:BD1091,1)=0,MAX($CC$5:CC1091)+1,""),"")</f>
        <v/>
      </c>
      <c r="CD1092" s="80" t="str">
        <f>IF(AND(BE1092=1,D1092="Malcolm",F1092&amp;""&lt;&gt;""),IF(COUNTIFS($D$5:D1091,"Malcolm",$F$5:F1091,F1092,$BE$5:BE1091,1)=0,MAX($CD$5:CD1091)+1,""),"")</f>
        <v/>
      </c>
      <c r="CE1092" s="80" t="str">
        <f>IF(AND(BD1092=1,D1092="proMX",F1092&amp;""&lt;&gt;""),IF(COUNTIFS($D$5:D1091,"proMX",$F$5:F1091,F1092,$BD$5:BD1091,1)=0,MAX($CE$5:CE1091)+1,""),"")</f>
        <v/>
      </c>
      <c r="CF1092" s="80" t="str">
        <f>IF(AND(D1092="proMX",BD1092=1),IF(OR(BF1092="Draft",BF1092="Submitted",BF1092="Returned",BF1092="Recall Requested"),MAX($CF$5:CF1091)+1,""),"")</f>
        <v/>
      </c>
      <c r="CG1092" s="80">
        <f>IF(BD1092=0,0,IF(D1092="Malcolm",1,MATCH(BF1092,{"Draft","Submitted","Approved","Returned","Recall Requested","Cancelled"},0)+1))</f>
        <v>0</v>
      </c>
      <c r="CH1092" s="80">
        <f>IF(AND(BF1092="Submitted",ISNUMBER(V1092)),IF(V1092&gt;CFG_MAXD,1,0),0)</f>
        <v>0</v>
      </c>
    </row>
    <row r="1093">
      <c r="A1093" s="71" t="str">
        <f>IF(Y1093=1,ROW()-5,"")</f>
        <v/>
      </c>
      <c r="B1093" s="72" t="n"/>
      <c r="C1093" s="71" t="str">
        <f>IF(ISNUMBER(B1093),CHOOSE(WEEKDAY(B1093,2),"Lun","Mar","Mié","Jue","Vie","Sáb","Dom"),"")</f>
        <v/>
      </c>
      <c r="D1093" s="73" t="n"/>
      <c r="E1093" s="74" t="n"/>
      <c r="F1093" s="74" t="n"/>
      <c r="G1093" s="74" t="n"/>
      <c r="H1093" s="75" t="n"/>
      <c r="I1093" s="75" t="n"/>
      <c r="J1093" s="76" t="n"/>
      <c r="K1093" s="77" t="str">
        <f>IF(AB1093=1,ROUND(AG1093/60,4),"")</f>
        <v/>
      </c>
      <c r="L1093" s="77" t="str">
        <f>IF(BD1093=1,ROUND(AP1093/60,4),"")</f>
        <v/>
      </c>
      <c r="M1093" s="77" t="str">
        <f>IF(BD1093=1,ROUND(AQ1093/60,4),"")</f>
        <v/>
      </c>
      <c r="N1093" s="71" t="str">
        <f>IF(AND(D1093="proMX",AB1093=1),ROUND(AG1093/CFG_BLK,2),"")</f>
        <v/>
      </c>
      <c r="O1093" s="77" t="str">
        <f>IF(D1093="proMX",IF(BD1093=1,ROUND(AG1093/60,4),0),"")</f>
        <v/>
      </c>
      <c r="P1093" s="78" t="str">
        <f>IF(Y1093=0,"",IF(BD1093=1,"OK",IF(D1093="proMX","Revisar bloques: ","Revisar: ")&amp;BC1093))</f>
        <v/>
      </c>
      <c r="Q1093" s="78" t="str">
        <f>IF(NOT(ISNUMBER(B1093)),"",IF(COUNTIFS(FER_F,INT(B1093))&gt;0,"Feriado"&amp;IF(AH1093=1," (laborable)"," (no laborable)"),IF(AH1093=1,"Laborable",IF(WEEKDAY(B1093,2)&gt;5,"Fin de semana","No laborable"))))</f>
        <v/>
      </c>
      <c r="R1093" s="73" t="n"/>
      <c r="S1093" s="72" t="n"/>
      <c r="T1093" s="72" t="n"/>
      <c r="U1093" s="74" t="n"/>
      <c r="V1093" s="79" t="str">
        <f>IF(AND(D1093="proMX",OR(R1093="Submitted",R1093="Recall Requested"),ISNUMBER(S1093)),CFG_TODAY-INT(S1093),"")</f>
        <v/>
      </c>
      <c r="W1093" s="78" t="str">
        <f>IF(BD1093=0,"",IF(BA1093&gt;0,"⚠ Se superpone con un registro de la otra empresa",IF(D1093="Malcolm",IF(COUNTA(R1093,S1093,T1093)&gt;0,"Estado/fechas proMX se ignoran en Malcolm",""),IF(BF1093="Cancelled","Cancelado: excluido de totales",IF(R1093="","Sin estado: se trata como Draft",IF(BF1093="Submitted",IF(ISNUMBER(V1093),IF(V1093&gt;CFG_MAXD,"⚠ "&amp;V1093&amp;" días en Submitted (máx. "&amp;CFG_MAXD&amp;")",""),"Falta fecha de envío"),IF(BF1093="Returned","⚠ Devuelto: corregir y reenviar",IF(BF1093="Recall Requested","Retirada solicitada: pendiente",IF(AND(BF1093="Approved",NOT(ISNUMBER(T1093))),"Falta fecha de aprobación",IF(AND(ISNUMBER(S1093),ISNUMBER(T1093),T1093&lt;S1093),"Aprobación anterior al envío","")))))))))</f>
        <v/>
      </c>
      <c r="Y1093" s="80">
        <f>IF(COUNTA(B1093,D1093,E1093,F1093,G1093,H1093,I1093,J1093,R1093,S1093,T1093)&gt;0,1,0)</f>
        <v>0</v>
      </c>
      <c r="Z1093" s="80" t="str">
        <f>IF(AND(ISNUMBER(H1093),H1093&gt;=0,H1093&lt;1),ROUND(H1093*1440,0),"")</f>
        <v/>
      </c>
      <c r="AA1093" s="80" t="str">
        <f>IF(AND(ISNUMBER(I1093),I1093&gt;=0,I1093&lt;1),ROUND(I1093*1440,0),"")</f>
        <v/>
      </c>
      <c r="AB1093" s="80">
        <f>IF(AND(ISNUMBER(B1093),D1093&lt;&gt;"",ISNUMBER(Z1093),ISNUMBER(AA1093)),IF(Z1093=AA1093,0,1),0)</f>
        <v>0</v>
      </c>
      <c r="AC1093" s="80">
        <f>IF(AB1093=1,IF(AA1093&lt;Z1093,1,0),0)</f>
        <v>0</v>
      </c>
      <c r="AD1093" s="80">
        <f>IF(AB1093=1,IF(AC1093=1,1440-Z1093+AA1093,AA1093-Z1093),0)</f>
        <v>0</v>
      </c>
      <c r="AE1093" s="80">
        <f>IF(J1093="",0,IF(ISNUMBER(J1093),J1093,-1))</f>
        <v>0</v>
      </c>
      <c r="AF1093" s="80">
        <f>MIN(MAX(0,AE1093),AD1093)</f>
        <v>0</v>
      </c>
      <c r="AG1093" s="80">
        <f>MAX(0,AD1093-MAX(0,AE1093))</f>
        <v>0</v>
      </c>
      <c r="AH1093" s="80">
        <f>IF(ISNUMBER(B1093),IF(AND(INDEX(CFG_WDAYS,WEEKDAY(INT(B1093),2))="Sí",IF(D1093="proMX",COUNTIFS(FER_F,INT(B1093),FER_NLP,"Sí"),COUNTIFS(FER_F,INT(B1093),FER_NLM,"Sí"))=0),1,0),0)</f>
        <v>0</v>
      </c>
      <c r="AI1093" s="80">
        <f>IF(AC1093=1,IF(AND(INDEX(CFG_WDAYS,WEEKDAY(INT(B1093)+1,2))="Sí",IF(D1093="proMX",COUNTIFS(FER_F,INT(B1093)+1,FER_NLP,"Sí"),COUNTIFS(FER_F,INT(B1093)+1,FER_NLM,"Sí"))=0),1,0),0)</f>
        <v>0</v>
      </c>
      <c r="AJ1093" s="80">
        <f>IF(AC1093=1,1440-Z1093,AD1093)</f>
        <v>0</v>
      </c>
      <c r="AK1093" s="80">
        <f>IF(AND(AB1093=1,AH1093=1),MAX(0,MIN(IF(AC1093=1,1440,AA1093),CFG_WEM)-MAX(Z1093,CFG_WSM)),0)</f>
        <v>0</v>
      </c>
      <c r="AL1093" s="80">
        <f>IF(AND(AC1093=1,AI1093=1),MAX(0,MIN(AA1093,CFG_WEM)-CFG_WSM),0)</f>
        <v>0</v>
      </c>
      <c r="AM1093" s="80">
        <f>AK1093+AL1093</f>
        <v>0</v>
      </c>
      <c r="AN1093" s="80">
        <f>IF(CFG_BRK="Proporcional",IF(AD1093=0,0,AF1093*AM1093/AD1093),IF(CFG_BRK="Extras primero",MIN(AM1093,MAX(0,AF1093-(AD1093-AM1093))),MIN(AF1093,AM1093)))</f>
        <v>0</v>
      </c>
      <c r="AO1093" s="80">
        <f>AF1093-AN1093</f>
        <v>0</v>
      </c>
      <c r="AP1093" s="80">
        <f>AM1093-AN1093</f>
        <v>0</v>
      </c>
      <c r="AQ1093" s="80">
        <f>AD1093-AM1093-AO1093</f>
        <v>0</v>
      </c>
      <c r="AR1093" s="80">
        <f>IF(AM1093=0,0,AK1093-AN1093*AK1093/AM1093)</f>
        <v>0</v>
      </c>
      <c r="AS1093" s="80">
        <f>IF(AD1093-AM1093=0,0,(AJ1093-AK1093)-AO1093*(AJ1093-AK1093)/(AD1093-AM1093))</f>
        <v>0</v>
      </c>
      <c r="AT1093" s="80" t="str">
        <f>IF(AC1093=1,INT(B1093)+1,"")</f>
        <v/>
      </c>
      <c r="AU1093" s="80">
        <f>IF(AND(D1093="proMX",R1093="Cancelled"),0,1)</f>
        <v>1</v>
      </c>
      <c r="AV1093" s="80">
        <f>IF(AND(AB1093=1,AU1093=1),IF(COUNTIFS($D$5:D1092,D1093,$B$5:B1092,B1093,$Z$5:Z1092,Z1093,$AA$5:AA1092,AA1093,$F$5:F1092,F1093&amp;"",$AU$5:AU1092,1)&gt;0,1,0),0)</f>
        <v>0</v>
      </c>
      <c r="AW1093" s="80" t="str">
        <f>IF(AB1093=1,INT(B1093)*1440+Z1093,"")</f>
        <v/>
      </c>
      <c r="AX1093" s="80" t="str">
        <f>IF(AB1093=1,AW1093+AD1093,"")</f>
        <v/>
      </c>
      <c r="AY1093" s="80">
        <f>IF(AND(AB1093=1,AV1093=0,AU1093=1),1,0)</f>
        <v>0</v>
      </c>
      <c r="AZ1093" s="80">
        <f>IF(AY1093=1,COUNTIFS(R_Emp,D1093,R_SAbs,"&lt;"&amp;AX1093,R_EAbs,"&gt;"&amp;AW1093,R_OKey,1)-1,0)</f>
        <v>0</v>
      </c>
      <c r="BA1093" s="80">
        <f>IF(AY1093=1,COUNTIFS(R_Emp,"&lt;&gt;"&amp;D1093,R_SAbs,"&lt;"&amp;AX1093,R_EAbs,"&gt;"&amp;AW1093,R_OKey,1),0)</f>
        <v>0</v>
      </c>
      <c r="BB1093" s="80">
        <f>IF(AND(AB1093=1,D1093="proMX"),IF(AND(MOD(Z1093,CFG_BLK)=0,MOD(AA1093,CFG_BLK)=0,MOD(AG1093,CFG_BLK)=0,AG1093&gt;0),1,0),1)</f>
        <v>1</v>
      </c>
      <c r="BC1093" s="80" t="str">
        <f>IF(Y1093=0,"",IF(NOT(ISNUMBER(B1093)),"Falta fecha o fecha inválida",IF(D1093="","Falta empresa",IF(AND(D1093&lt;&gt;"Malcolm",D1093&lt;&gt;"proMX"),"Empresa inválida",IF(OR(INT(B1093)&lt;CFG_PSTART,INT(B1093)&gt;CFG_PEND),"Fecha fuera del período",IF(OR(NOT(ISNUMBER(Z1093)),NOT(ISNUMBER(AA1093))),"Falta hora inicio/fin o formato inválido",IF(AB1093=0,"Hora inicio = hora fin",IF(AE1093&lt;0,"Descanso inválido",IF(AE1093&gt;=AD1093,"Descanso ≥ duración",IF(AV1093=1,"Registro duplicado",IF(AZ1093&gt;0,"Se superpone con otro registro "&amp;D1093,IF(BB1093=0,"inicio, fin y duración neta deben ser múltiplos de "&amp;CFG_BLK&amp;" min",""))))))))))))</f>
        <v/>
      </c>
      <c r="BD1093" s="80">
        <f>IF(AND(Y1093=1,BC1093=""),1,0)</f>
        <v>0</v>
      </c>
      <c r="BE1093" s="80">
        <f>IF(AND(BD1093=1,AU1093=1),1,0)</f>
        <v>0</v>
      </c>
      <c r="BF1093" s="80" t="str">
        <f>IF(AND(D1093="proMX",BD1093=1),IF(R1093="","Draft",R1093),"")</f>
        <v/>
      </c>
      <c r="BG1093" s="80">
        <f>IF(BD1093=1,ROUND(AG1093/60,6),0)</f>
        <v>0</v>
      </c>
      <c r="BH1093" s="80">
        <f>IF(BE1093=1,ROUND(AG1093/60,6),0)</f>
        <v>0</v>
      </c>
      <c r="BI1093" s="80">
        <f>IF(BE1093=1,ROUND(AP1093/60,6),0)</f>
        <v>0</v>
      </c>
      <c r="BJ1093" s="80">
        <f>IF(BE1093=1,ROUND(AQ1093/60,6),0)</f>
        <v>0</v>
      </c>
      <c r="BK1093" s="80">
        <f>IF(BE1093=1,ROUND((AR1093+AS1093)/60,6),0)</f>
        <v>0</v>
      </c>
      <c r="BL1093" s="80">
        <f>ROUND(BH1093-BK1093,6)</f>
        <v>0</v>
      </c>
      <c r="BM1093" s="80">
        <f>IF(BE1093=1,ROUND(AR1093/60,6),0)</f>
        <v>0</v>
      </c>
      <c r="BN1093" s="80">
        <f>ROUND(BI1093-BM1093,6)</f>
        <v>0</v>
      </c>
      <c r="BO1093" s="80">
        <f>IF(BE1093=1,ROUND(AS1093/60,6),0)</f>
        <v>0</v>
      </c>
      <c r="BP1093" s="80">
        <f>ROUND(BJ1093-BO1093,6)</f>
        <v>0</v>
      </c>
      <c r="BQ1093" s="80">
        <f>IF(BE1093=1,AW1093,0)</f>
        <v>0</v>
      </c>
      <c r="BR1093" s="80">
        <f>IF(BE1093=1,AX1093,0)</f>
        <v>0</v>
      </c>
      <c r="BS1093" s="80">
        <f>IF(AND(BE1093=1,D1093="Malcolm",BA1093&gt;0),MIN(BH1093,SUMPRODUCT((R_Emp="proMX")*(R_EN&gt;0)*((R_EN-(R_EN&gt;BR1093)*(R_EN-BR1093))&gt;(R_SN+(R_SN&lt;BQ1093)*(BQ1093-R_SN)))*((R_EN-(R_EN&gt;BR1093)*(R_EN-BR1093))-(R_SN+(R_SN&lt;BQ1093)*(BQ1093-R_SN))))/60),0)</f>
        <v>0</v>
      </c>
      <c r="BT1093" s="80">
        <f>IF(AND(BE1093=1,D1093="proMX"),ROUND(BI1093*CFG_RATE+BJ1093*CFG_OTRATE,6),0)</f>
        <v>0</v>
      </c>
      <c r="BU1093" s="80">
        <f>IF(AND(BD1093=1,D1093="proMX"),ROUND(AG1093/CFG_BLK,6),0)</f>
        <v>0</v>
      </c>
      <c r="BV1093" s="80" t="str">
        <f>IF(BF1093="Approved",IF(ISNUMBER(T1093),INT(T1093),INT(B1093)),"")</f>
        <v/>
      </c>
      <c r="BW1093" s="80">
        <f>IF(ISNUMBER(B1093),IF(DB_MON="Todos",1,IF(AND(INT(B1093)&gt;=DB_MS,INT(B1093)&lt;=DB_ME),1,0)),0)</f>
        <v>0</v>
      </c>
      <c r="BX1093" s="80">
        <f>IF(DB_PROJ="Todos",1,IF(E1093&amp;""=DB_PROJ&amp;"",1,0))</f>
        <v>1</v>
      </c>
      <c r="BY1093" s="80">
        <f>BW1093*BX1093</f>
        <v>0</v>
      </c>
      <c r="BZ1093" s="80" t="str">
        <f>IF(Y1093=1,F1093&amp;IF(AND(F1093&amp;""&lt;&gt;"",E1093&amp;""&lt;&gt;"")," · ","")&amp;E1093,"")</f>
        <v/>
      </c>
      <c r="CA1093" s="80" t="str">
        <f>IF(AND(BD1093=1,E1093&amp;""&lt;&gt;""),IF(COUNTIFS($E$5:E1092,E1093,$BD$5:BD1092,1)=0,MAX($CA$5:CA1092)+1,""),"")</f>
        <v/>
      </c>
      <c r="CB1093" s="80" t="str">
        <f>IF(AND(BE1093=1,D1093="Malcolm",E1093&amp;""&lt;&gt;""),IF(COUNTIFS($D$5:D1092,"Malcolm",$E$5:E1092,E1093,$BE$5:BE1092,1)=0,MAX($CB$5:CB1092)+1,""),"")</f>
        <v/>
      </c>
      <c r="CC1093" s="80" t="str">
        <f>IF(AND(BD1093=1,D1093="proMX",E1093&amp;""&lt;&gt;""),IF(COUNTIFS($D$5:D1092,"proMX",$E$5:E1092,E1093,$BD$5:BD1092,1)=0,MAX($CC$5:CC1092)+1,""),"")</f>
        <v/>
      </c>
      <c r="CD1093" s="80" t="str">
        <f>IF(AND(BE1093=1,D1093="Malcolm",F1093&amp;""&lt;&gt;""),IF(COUNTIFS($D$5:D1092,"Malcolm",$F$5:F1092,F1093,$BE$5:BE1092,1)=0,MAX($CD$5:CD1092)+1,""),"")</f>
        <v/>
      </c>
      <c r="CE1093" s="80" t="str">
        <f>IF(AND(BD1093=1,D1093="proMX",F1093&amp;""&lt;&gt;""),IF(COUNTIFS($D$5:D1092,"proMX",$F$5:F1092,F1093,$BD$5:BD1092,1)=0,MAX($CE$5:CE1092)+1,""),"")</f>
        <v/>
      </c>
      <c r="CF1093" s="80" t="str">
        <f>IF(AND(D1093="proMX",BD1093=1),IF(OR(BF1093="Draft",BF1093="Submitted",BF1093="Returned",BF1093="Recall Requested"),MAX($CF$5:CF1092)+1,""),"")</f>
        <v/>
      </c>
      <c r="CG1093" s="80">
        <f>IF(BD1093=0,0,IF(D1093="Malcolm",1,MATCH(BF1093,{"Draft","Submitted","Approved","Returned","Recall Requested","Cancelled"},0)+1))</f>
        <v>0</v>
      </c>
      <c r="CH1093" s="80">
        <f>IF(AND(BF1093="Submitted",ISNUMBER(V1093)),IF(V1093&gt;CFG_MAXD,1,0),0)</f>
        <v>0</v>
      </c>
    </row>
    <row r="1094">
      <c r="A1094" s="71" t="str">
        <f>IF(Y1094=1,ROW()-5,"")</f>
        <v/>
      </c>
      <c r="B1094" s="72" t="n"/>
      <c r="C1094" s="71" t="str">
        <f>IF(ISNUMBER(B1094),CHOOSE(WEEKDAY(B1094,2),"Lun","Mar","Mié","Jue","Vie","Sáb","Dom"),"")</f>
        <v/>
      </c>
      <c r="D1094" s="73" t="n"/>
      <c r="E1094" s="74" t="n"/>
      <c r="F1094" s="74" t="n"/>
      <c r="G1094" s="74" t="n"/>
      <c r="H1094" s="75" t="n"/>
      <c r="I1094" s="75" t="n"/>
      <c r="J1094" s="76" t="n"/>
      <c r="K1094" s="77" t="str">
        <f>IF(AB1094=1,ROUND(AG1094/60,4),"")</f>
        <v/>
      </c>
      <c r="L1094" s="77" t="str">
        <f>IF(BD1094=1,ROUND(AP1094/60,4),"")</f>
        <v/>
      </c>
      <c r="M1094" s="77" t="str">
        <f>IF(BD1094=1,ROUND(AQ1094/60,4),"")</f>
        <v/>
      </c>
      <c r="N1094" s="71" t="str">
        <f>IF(AND(D1094="proMX",AB1094=1),ROUND(AG1094/CFG_BLK,2),"")</f>
        <v/>
      </c>
      <c r="O1094" s="77" t="str">
        <f>IF(D1094="proMX",IF(BD1094=1,ROUND(AG1094/60,4),0),"")</f>
        <v/>
      </c>
      <c r="P1094" s="78" t="str">
        <f>IF(Y1094=0,"",IF(BD1094=1,"OK",IF(D1094="proMX","Revisar bloques: ","Revisar: ")&amp;BC1094))</f>
        <v/>
      </c>
      <c r="Q1094" s="78" t="str">
        <f>IF(NOT(ISNUMBER(B1094)),"",IF(COUNTIFS(FER_F,INT(B1094))&gt;0,"Feriado"&amp;IF(AH1094=1," (laborable)"," (no laborable)"),IF(AH1094=1,"Laborable",IF(WEEKDAY(B1094,2)&gt;5,"Fin de semana","No laborable"))))</f>
        <v/>
      </c>
      <c r="R1094" s="73" t="n"/>
      <c r="S1094" s="72" t="n"/>
      <c r="T1094" s="72" t="n"/>
      <c r="U1094" s="74" t="n"/>
      <c r="V1094" s="79" t="str">
        <f>IF(AND(D1094="proMX",OR(R1094="Submitted",R1094="Recall Requested"),ISNUMBER(S1094)),CFG_TODAY-INT(S1094),"")</f>
        <v/>
      </c>
      <c r="W1094" s="78" t="str">
        <f>IF(BD1094=0,"",IF(BA1094&gt;0,"⚠ Se superpone con un registro de la otra empresa",IF(D1094="Malcolm",IF(COUNTA(R1094,S1094,T1094)&gt;0,"Estado/fechas proMX se ignoran en Malcolm",""),IF(BF1094="Cancelled","Cancelado: excluido de totales",IF(R1094="","Sin estado: se trata como Draft",IF(BF1094="Submitted",IF(ISNUMBER(V1094),IF(V1094&gt;CFG_MAXD,"⚠ "&amp;V1094&amp;" días en Submitted (máx. "&amp;CFG_MAXD&amp;")",""),"Falta fecha de envío"),IF(BF1094="Returned","⚠ Devuelto: corregir y reenviar",IF(BF1094="Recall Requested","Retirada solicitada: pendiente",IF(AND(BF1094="Approved",NOT(ISNUMBER(T1094))),"Falta fecha de aprobación",IF(AND(ISNUMBER(S1094),ISNUMBER(T1094),T1094&lt;S1094),"Aprobación anterior al envío","")))))))))</f>
        <v/>
      </c>
      <c r="Y1094" s="80">
        <f>IF(COUNTA(B1094,D1094,E1094,F1094,G1094,H1094,I1094,J1094,R1094,S1094,T1094)&gt;0,1,0)</f>
        <v>0</v>
      </c>
      <c r="Z1094" s="80" t="str">
        <f>IF(AND(ISNUMBER(H1094),H1094&gt;=0,H1094&lt;1),ROUND(H1094*1440,0),"")</f>
        <v/>
      </c>
      <c r="AA1094" s="80" t="str">
        <f>IF(AND(ISNUMBER(I1094),I1094&gt;=0,I1094&lt;1),ROUND(I1094*1440,0),"")</f>
        <v/>
      </c>
      <c r="AB1094" s="80">
        <f>IF(AND(ISNUMBER(B1094),D1094&lt;&gt;"",ISNUMBER(Z1094),ISNUMBER(AA1094)),IF(Z1094=AA1094,0,1),0)</f>
        <v>0</v>
      </c>
      <c r="AC1094" s="80">
        <f>IF(AB1094=1,IF(AA1094&lt;Z1094,1,0),0)</f>
        <v>0</v>
      </c>
      <c r="AD1094" s="80">
        <f>IF(AB1094=1,IF(AC1094=1,1440-Z1094+AA1094,AA1094-Z1094),0)</f>
        <v>0</v>
      </c>
      <c r="AE1094" s="80">
        <f>IF(J1094="",0,IF(ISNUMBER(J1094),J1094,-1))</f>
        <v>0</v>
      </c>
      <c r="AF1094" s="80">
        <f>MIN(MAX(0,AE1094),AD1094)</f>
        <v>0</v>
      </c>
      <c r="AG1094" s="80">
        <f>MAX(0,AD1094-MAX(0,AE1094))</f>
        <v>0</v>
      </c>
      <c r="AH1094" s="80">
        <f>IF(ISNUMBER(B1094),IF(AND(INDEX(CFG_WDAYS,WEEKDAY(INT(B1094),2))="Sí",IF(D1094="proMX",COUNTIFS(FER_F,INT(B1094),FER_NLP,"Sí"),COUNTIFS(FER_F,INT(B1094),FER_NLM,"Sí"))=0),1,0),0)</f>
        <v>0</v>
      </c>
      <c r="AI1094" s="80">
        <f>IF(AC1094=1,IF(AND(INDEX(CFG_WDAYS,WEEKDAY(INT(B1094)+1,2))="Sí",IF(D1094="proMX",COUNTIFS(FER_F,INT(B1094)+1,FER_NLP,"Sí"),COUNTIFS(FER_F,INT(B1094)+1,FER_NLM,"Sí"))=0),1,0),0)</f>
        <v>0</v>
      </c>
      <c r="AJ1094" s="80">
        <f>IF(AC1094=1,1440-Z1094,AD1094)</f>
        <v>0</v>
      </c>
      <c r="AK1094" s="80">
        <f>IF(AND(AB1094=1,AH1094=1),MAX(0,MIN(IF(AC1094=1,1440,AA1094),CFG_WEM)-MAX(Z1094,CFG_WSM)),0)</f>
        <v>0</v>
      </c>
      <c r="AL1094" s="80">
        <f>IF(AND(AC1094=1,AI1094=1),MAX(0,MIN(AA1094,CFG_WEM)-CFG_WSM),0)</f>
        <v>0</v>
      </c>
      <c r="AM1094" s="80">
        <f>AK1094+AL1094</f>
        <v>0</v>
      </c>
      <c r="AN1094" s="80">
        <f>IF(CFG_BRK="Proporcional",IF(AD1094=0,0,AF1094*AM1094/AD1094),IF(CFG_BRK="Extras primero",MIN(AM1094,MAX(0,AF1094-(AD1094-AM1094))),MIN(AF1094,AM1094)))</f>
        <v>0</v>
      </c>
      <c r="AO1094" s="80">
        <f>AF1094-AN1094</f>
        <v>0</v>
      </c>
      <c r="AP1094" s="80">
        <f>AM1094-AN1094</f>
        <v>0</v>
      </c>
      <c r="AQ1094" s="80">
        <f>AD1094-AM1094-AO1094</f>
        <v>0</v>
      </c>
      <c r="AR1094" s="80">
        <f>IF(AM1094=0,0,AK1094-AN1094*AK1094/AM1094)</f>
        <v>0</v>
      </c>
      <c r="AS1094" s="80">
        <f>IF(AD1094-AM1094=0,0,(AJ1094-AK1094)-AO1094*(AJ1094-AK1094)/(AD1094-AM1094))</f>
        <v>0</v>
      </c>
      <c r="AT1094" s="80" t="str">
        <f>IF(AC1094=1,INT(B1094)+1,"")</f>
        <v/>
      </c>
      <c r="AU1094" s="80">
        <f>IF(AND(D1094="proMX",R1094="Cancelled"),0,1)</f>
        <v>1</v>
      </c>
      <c r="AV1094" s="80">
        <f>IF(AND(AB1094=1,AU1094=1),IF(COUNTIFS($D$5:D1093,D1094,$B$5:B1093,B1094,$Z$5:Z1093,Z1094,$AA$5:AA1093,AA1094,$F$5:F1093,F1094&amp;"",$AU$5:AU1093,1)&gt;0,1,0),0)</f>
        <v>0</v>
      </c>
      <c r="AW1094" s="80" t="str">
        <f>IF(AB1094=1,INT(B1094)*1440+Z1094,"")</f>
        <v/>
      </c>
      <c r="AX1094" s="80" t="str">
        <f>IF(AB1094=1,AW1094+AD1094,"")</f>
        <v/>
      </c>
      <c r="AY1094" s="80">
        <f>IF(AND(AB1094=1,AV1094=0,AU1094=1),1,0)</f>
        <v>0</v>
      </c>
      <c r="AZ1094" s="80">
        <f>IF(AY1094=1,COUNTIFS(R_Emp,D1094,R_SAbs,"&lt;"&amp;AX1094,R_EAbs,"&gt;"&amp;AW1094,R_OKey,1)-1,0)</f>
        <v>0</v>
      </c>
      <c r="BA1094" s="80">
        <f>IF(AY1094=1,COUNTIFS(R_Emp,"&lt;&gt;"&amp;D1094,R_SAbs,"&lt;"&amp;AX1094,R_EAbs,"&gt;"&amp;AW1094,R_OKey,1),0)</f>
        <v>0</v>
      </c>
      <c r="BB1094" s="80">
        <f>IF(AND(AB1094=1,D1094="proMX"),IF(AND(MOD(Z1094,CFG_BLK)=0,MOD(AA1094,CFG_BLK)=0,MOD(AG1094,CFG_BLK)=0,AG1094&gt;0),1,0),1)</f>
        <v>1</v>
      </c>
      <c r="BC1094" s="80" t="str">
        <f>IF(Y1094=0,"",IF(NOT(ISNUMBER(B1094)),"Falta fecha o fecha inválida",IF(D1094="","Falta empresa",IF(AND(D1094&lt;&gt;"Malcolm",D1094&lt;&gt;"proMX"),"Empresa inválida",IF(OR(INT(B1094)&lt;CFG_PSTART,INT(B1094)&gt;CFG_PEND),"Fecha fuera del período",IF(OR(NOT(ISNUMBER(Z1094)),NOT(ISNUMBER(AA1094))),"Falta hora inicio/fin o formato inválido",IF(AB1094=0,"Hora inicio = hora fin",IF(AE1094&lt;0,"Descanso inválido",IF(AE1094&gt;=AD1094,"Descanso ≥ duración",IF(AV1094=1,"Registro duplicado",IF(AZ1094&gt;0,"Se superpone con otro registro "&amp;D1094,IF(BB1094=0,"inicio, fin y duración neta deben ser múltiplos de "&amp;CFG_BLK&amp;" min",""))))))))))))</f>
        <v/>
      </c>
      <c r="BD1094" s="80">
        <f>IF(AND(Y1094=1,BC1094=""),1,0)</f>
        <v>0</v>
      </c>
      <c r="BE1094" s="80">
        <f>IF(AND(BD1094=1,AU1094=1),1,0)</f>
        <v>0</v>
      </c>
      <c r="BF1094" s="80" t="str">
        <f>IF(AND(D1094="proMX",BD1094=1),IF(R1094="","Draft",R1094),"")</f>
        <v/>
      </c>
      <c r="BG1094" s="80">
        <f>IF(BD1094=1,ROUND(AG1094/60,6),0)</f>
        <v>0</v>
      </c>
      <c r="BH1094" s="80">
        <f>IF(BE1094=1,ROUND(AG1094/60,6),0)</f>
        <v>0</v>
      </c>
      <c r="BI1094" s="80">
        <f>IF(BE1094=1,ROUND(AP1094/60,6),0)</f>
        <v>0</v>
      </c>
      <c r="BJ1094" s="80">
        <f>IF(BE1094=1,ROUND(AQ1094/60,6),0)</f>
        <v>0</v>
      </c>
      <c r="BK1094" s="80">
        <f>IF(BE1094=1,ROUND((AR1094+AS1094)/60,6),0)</f>
        <v>0</v>
      </c>
      <c r="BL1094" s="80">
        <f>ROUND(BH1094-BK1094,6)</f>
        <v>0</v>
      </c>
      <c r="BM1094" s="80">
        <f>IF(BE1094=1,ROUND(AR1094/60,6),0)</f>
        <v>0</v>
      </c>
      <c r="BN1094" s="80">
        <f>ROUND(BI1094-BM1094,6)</f>
        <v>0</v>
      </c>
      <c r="BO1094" s="80">
        <f>IF(BE1094=1,ROUND(AS1094/60,6),0)</f>
        <v>0</v>
      </c>
      <c r="BP1094" s="80">
        <f>ROUND(BJ1094-BO1094,6)</f>
        <v>0</v>
      </c>
      <c r="BQ1094" s="80">
        <f>IF(BE1094=1,AW1094,0)</f>
        <v>0</v>
      </c>
      <c r="BR1094" s="80">
        <f>IF(BE1094=1,AX1094,0)</f>
        <v>0</v>
      </c>
      <c r="BS1094" s="80">
        <f>IF(AND(BE1094=1,D1094="Malcolm",BA1094&gt;0),MIN(BH1094,SUMPRODUCT((R_Emp="proMX")*(R_EN&gt;0)*((R_EN-(R_EN&gt;BR1094)*(R_EN-BR1094))&gt;(R_SN+(R_SN&lt;BQ1094)*(BQ1094-R_SN)))*((R_EN-(R_EN&gt;BR1094)*(R_EN-BR1094))-(R_SN+(R_SN&lt;BQ1094)*(BQ1094-R_SN))))/60),0)</f>
        <v>0</v>
      </c>
      <c r="BT1094" s="80">
        <f>IF(AND(BE1094=1,D1094="proMX"),ROUND(BI1094*CFG_RATE+BJ1094*CFG_OTRATE,6),0)</f>
        <v>0</v>
      </c>
      <c r="BU1094" s="80">
        <f>IF(AND(BD1094=1,D1094="proMX"),ROUND(AG1094/CFG_BLK,6),0)</f>
        <v>0</v>
      </c>
      <c r="BV1094" s="80" t="str">
        <f>IF(BF1094="Approved",IF(ISNUMBER(T1094),INT(T1094),INT(B1094)),"")</f>
        <v/>
      </c>
      <c r="BW1094" s="80">
        <f>IF(ISNUMBER(B1094),IF(DB_MON="Todos",1,IF(AND(INT(B1094)&gt;=DB_MS,INT(B1094)&lt;=DB_ME),1,0)),0)</f>
        <v>0</v>
      </c>
      <c r="BX1094" s="80">
        <f>IF(DB_PROJ="Todos",1,IF(E1094&amp;""=DB_PROJ&amp;"",1,0))</f>
        <v>1</v>
      </c>
      <c r="BY1094" s="80">
        <f>BW1094*BX1094</f>
        <v>0</v>
      </c>
      <c r="BZ1094" s="80" t="str">
        <f>IF(Y1094=1,F1094&amp;IF(AND(F1094&amp;""&lt;&gt;"",E1094&amp;""&lt;&gt;"")," · ","")&amp;E1094,"")</f>
        <v/>
      </c>
      <c r="CA1094" s="80" t="str">
        <f>IF(AND(BD1094=1,E1094&amp;""&lt;&gt;""),IF(COUNTIFS($E$5:E1093,E1094,$BD$5:BD1093,1)=0,MAX($CA$5:CA1093)+1,""),"")</f>
        <v/>
      </c>
      <c r="CB1094" s="80" t="str">
        <f>IF(AND(BE1094=1,D1094="Malcolm",E1094&amp;""&lt;&gt;""),IF(COUNTIFS($D$5:D1093,"Malcolm",$E$5:E1093,E1094,$BE$5:BE1093,1)=0,MAX($CB$5:CB1093)+1,""),"")</f>
        <v/>
      </c>
      <c r="CC1094" s="80" t="str">
        <f>IF(AND(BD1094=1,D1094="proMX",E1094&amp;""&lt;&gt;""),IF(COUNTIFS($D$5:D1093,"proMX",$E$5:E1093,E1094,$BD$5:BD1093,1)=0,MAX($CC$5:CC1093)+1,""),"")</f>
        <v/>
      </c>
      <c r="CD1094" s="80" t="str">
        <f>IF(AND(BE1094=1,D1094="Malcolm",F1094&amp;""&lt;&gt;""),IF(COUNTIFS($D$5:D1093,"Malcolm",$F$5:F1093,F1094,$BE$5:BE1093,1)=0,MAX($CD$5:CD1093)+1,""),"")</f>
        <v/>
      </c>
      <c r="CE1094" s="80" t="str">
        <f>IF(AND(BD1094=1,D1094="proMX",F1094&amp;""&lt;&gt;""),IF(COUNTIFS($D$5:D1093,"proMX",$F$5:F1093,F1094,$BD$5:BD1093,1)=0,MAX($CE$5:CE1093)+1,""),"")</f>
        <v/>
      </c>
      <c r="CF1094" s="80" t="str">
        <f>IF(AND(D1094="proMX",BD1094=1),IF(OR(BF1094="Draft",BF1094="Submitted",BF1094="Returned",BF1094="Recall Requested"),MAX($CF$5:CF1093)+1,""),"")</f>
        <v/>
      </c>
      <c r="CG1094" s="80">
        <f>IF(BD1094=0,0,IF(D1094="Malcolm",1,MATCH(BF1094,{"Draft","Submitted","Approved","Returned","Recall Requested","Cancelled"},0)+1))</f>
        <v>0</v>
      </c>
      <c r="CH1094" s="80">
        <f>IF(AND(BF1094="Submitted",ISNUMBER(V1094)),IF(V1094&gt;CFG_MAXD,1,0),0)</f>
        <v>0</v>
      </c>
    </row>
    <row r="1095">
      <c r="A1095" s="71" t="str">
        <f>IF(Y1095=1,ROW()-5,"")</f>
        <v/>
      </c>
      <c r="B1095" s="72" t="n"/>
      <c r="C1095" s="71" t="str">
        <f>IF(ISNUMBER(B1095),CHOOSE(WEEKDAY(B1095,2),"Lun","Mar","Mié","Jue","Vie","Sáb","Dom"),"")</f>
        <v/>
      </c>
      <c r="D1095" s="73" t="n"/>
      <c r="E1095" s="74" t="n"/>
      <c r="F1095" s="74" t="n"/>
      <c r="G1095" s="74" t="n"/>
      <c r="H1095" s="75" t="n"/>
      <c r="I1095" s="75" t="n"/>
      <c r="J1095" s="76" t="n"/>
      <c r="K1095" s="77" t="str">
        <f>IF(AB1095=1,ROUND(AG1095/60,4),"")</f>
        <v/>
      </c>
      <c r="L1095" s="77" t="str">
        <f>IF(BD1095=1,ROUND(AP1095/60,4),"")</f>
        <v/>
      </c>
      <c r="M1095" s="77" t="str">
        <f>IF(BD1095=1,ROUND(AQ1095/60,4),"")</f>
        <v/>
      </c>
      <c r="N1095" s="71" t="str">
        <f>IF(AND(D1095="proMX",AB1095=1),ROUND(AG1095/CFG_BLK,2),"")</f>
        <v/>
      </c>
      <c r="O1095" s="77" t="str">
        <f>IF(D1095="proMX",IF(BD1095=1,ROUND(AG1095/60,4),0),"")</f>
        <v/>
      </c>
      <c r="P1095" s="78" t="str">
        <f>IF(Y1095=0,"",IF(BD1095=1,"OK",IF(D1095="proMX","Revisar bloques: ","Revisar: ")&amp;BC1095))</f>
        <v/>
      </c>
      <c r="Q1095" s="78" t="str">
        <f>IF(NOT(ISNUMBER(B1095)),"",IF(COUNTIFS(FER_F,INT(B1095))&gt;0,"Feriado"&amp;IF(AH1095=1," (laborable)"," (no laborable)"),IF(AH1095=1,"Laborable",IF(WEEKDAY(B1095,2)&gt;5,"Fin de semana","No laborable"))))</f>
        <v/>
      </c>
      <c r="R1095" s="73" t="n"/>
      <c r="S1095" s="72" t="n"/>
      <c r="T1095" s="72" t="n"/>
      <c r="U1095" s="74" t="n"/>
      <c r="V1095" s="79" t="str">
        <f>IF(AND(D1095="proMX",OR(R1095="Submitted",R1095="Recall Requested"),ISNUMBER(S1095)),CFG_TODAY-INT(S1095),"")</f>
        <v/>
      </c>
      <c r="W1095" s="78" t="str">
        <f>IF(BD1095=0,"",IF(BA1095&gt;0,"⚠ Se superpone con un registro de la otra empresa",IF(D1095="Malcolm",IF(COUNTA(R1095,S1095,T1095)&gt;0,"Estado/fechas proMX se ignoran en Malcolm",""),IF(BF1095="Cancelled","Cancelado: excluido de totales",IF(R1095="","Sin estado: se trata como Draft",IF(BF1095="Submitted",IF(ISNUMBER(V1095),IF(V1095&gt;CFG_MAXD,"⚠ "&amp;V1095&amp;" días en Submitted (máx. "&amp;CFG_MAXD&amp;")",""),"Falta fecha de envío"),IF(BF1095="Returned","⚠ Devuelto: corregir y reenviar",IF(BF1095="Recall Requested","Retirada solicitada: pendiente",IF(AND(BF1095="Approved",NOT(ISNUMBER(T1095))),"Falta fecha de aprobación",IF(AND(ISNUMBER(S1095),ISNUMBER(T1095),T1095&lt;S1095),"Aprobación anterior al envío","")))))))))</f>
        <v/>
      </c>
      <c r="Y1095" s="80">
        <f>IF(COUNTA(B1095,D1095,E1095,F1095,G1095,H1095,I1095,J1095,R1095,S1095,T1095)&gt;0,1,0)</f>
        <v>0</v>
      </c>
      <c r="Z1095" s="80" t="str">
        <f>IF(AND(ISNUMBER(H1095),H1095&gt;=0,H1095&lt;1),ROUND(H1095*1440,0),"")</f>
        <v/>
      </c>
      <c r="AA1095" s="80" t="str">
        <f>IF(AND(ISNUMBER(I1095),I1095&gt;=0,I1095&lt;1),ROUND(I1095*1440,0),"")</f>
        <v/>
      </c>
      <c r="AB1095" s="80">
        <f>IF(AND(ISNUMBER(B1095),D1095&lt;&gt;"",ISNUMBER(Z1095),ISNUMBER(AA1095)),IF(Z1095=AA1095,0,1),0)</f>
        <v>0</v>
      </c>
      <c r="AC1095" s="80">
        <f>IF(AB1095=1,IF(AA1095&lt;Z1095,1,0),0)</f>
        <v>0</v>
      </c>
      <c r="AD1095" s="80">
        <f>IF(AB1095=1,IF(AC1095=1,1440-Z1095+AA1095,AA1095-Z1095),0)</f>
        <v>0</v>
      </c>
      <c r="AE1095" s="80">
        <f>IF(J1095="",0,IF(ISNUMBER(J1095),J1095,-1))</f>
        <v>0</v>
      </c>
      <c r="AF1095" s="80">
        <f>MIN(MAX(0,AE1095),AD1095)</f>
        <v>0</v>
      </c>
      <c r="AG1095" s="80">
        <f>MAX(0,AD1095-MAX(0,AE1095))</f>
        <v>0</v>
      </c>
      <c r="AH1095" s="80">
        <f>IF(ISNUMBER(B1095),IF(AND(INDEX(CFG_WDAYS,WEEKDAY(INT(B1095),2))="Sí",IF(D1095="proMX",COUNTIFS(FER_F,INT(B1095),FER_NLP,"Sí"),COUNTIFS(FER_F,INT(B1095),FER_NLM,"Sí"))=0),1,0),0)</f>
        <v>0</v>
      </c>
      <c r="AI1095" s="80">
        <f>IF(AC1095=1,IF(AND(INDEX(CFG_WDAYS,WEEKDAY(INT(B1095)+1,2))="Sí",IF(D1095="proMX",COUNTIFS(FER_F,INT(B1095)+1,FER_NLP,"Sí"),COUNTIFS(FER_F,INT(B1095)+1,FER_NLM,"Sí"))=0),1,0),0)</f>
        <v>0</v>
      </c>
      <c r="AJ1095" s="80">
        <f>IF(AC1095=1,1440-Z1095,AD1095)</f>
        <v>0</v>
      </c>
      <c r="AK1095" s="80">
        <f>IF(AND(AB1095=1,AH1095=1),MAX(0,MIN(IF(AC1095=1,1440,AA1095),CFG_WEM)-MAX(Z1095,CFG_WSM)),0)</f>
        <v>0</v>
      </c>
      <c r="AL1095" s="80">
        <f>IF(AND(AC1095=1,AI1095=1),MAX(0,MIN(AA1095,CFG_WEM)-CFG_WSM),0)</f>
        <v>0</v>
      </c>
      <c r="AM1095" s="80">
        <f>AK1095+AL1095</f>
        <v>0</v>
      </c>
      <c r="AN1095" s="80">
        <f>IF(CFG_BRK="Proporcional",IF(AD1095=0,0,AF1095*AM1095/AD1095),IF(CFG_BRK="Extras primero",MIN(AM1095,MAX(0,AF1095-(AD1095-AM1095))),MIN(AF1095,AM1095)))</f>
        <v>0</v>
      </c>
      <c r="AO1095" s="80">
        <f>AF1095-AN1095</f>
        <v>0</v>
      </c>
      <c r="AP1095" s="80">
        <f>AM1095-AN1095</f>
        <v>0</v>
      </c>
      <c r="AQ1095" s="80">
        <f>AD1095-AM1095-AO1095</f>
        <v>0</v>
      </c>
      <c r="AR1095" s="80">
        <f>IF(AM1095=0,0,AK1095-AN1095*AK1095/AM1095)</f>
        <v>0</v>
      </c>
      <c r="AS1095" s="80">
        <f>IF(AD1095-AM1095=0,0,(AJ1095-AK1095)-AO1095*(AJ1095-AK1095)/(AD1095-AM1095))</f>
        <v>0</v>
      </c>
      <c r="AT1095" s="80" t="str">
        <f>IF(AC1095=1,INT(B1095)+1,"")</f>
        <v/>
      </c>
      <c r="AU1095" s="80">
        <f>IF(AND(D1095="proMX",R1095="Cancelled"),0,1)</f>
        <v>1</v>
      </c>
      <c r="AV1095" s="80">
        <f>IF(AND(AB1095=1,AU1095=1),IF(COUNTIFS($D$5:D1094,D1095,$B$5:B1094,B1095,$Z$5:Z1094,Z1095,$AA$5:AA1094,AA1095,$F$5:F1094,F1095&amp;"",$AU$5:AU1094,1)&gt;0,1,0),0)</f>
        <v>0</v>
      </c>
      <c r="AW1095" s="80" t="str">
        <f>IF(AB1095=1,INT(B1095)*1440+Z1095,"")</f>
        <v/>
      </c>
      <c r="AX1095" s="80" t="str">
        <f>IF(AB1095=1,AW1095+AD1095,"")</f>
        <v/>
      </c>
      <c r="AY1095" s="80">
        <f>IF(AND(AB1095=1,AV1095=0,AU1095=1),1,0)</f>
        <v>0</v>
      </c>
      <c r="AZ1095" s="80">
        <f>IF(AY1095=1,COUNTIFS(R_Emp,D1095,R_SAbs,"&lt;"&amp;AX1095,R_EAbs,"&gt;"&amp;AW1095,R_OKey,1)-1,0)</f>
        <v>0</v>
      </c>
      <c r="BA1095" s="80">
        <f>IF(AY1095=1,COUNTIFS(R_Emp,"&lt;&gt;"&amp;D1095,R_SAbs,"&lt;"&amp;AX1095,R_EAbs,"&gt;"&amp;AW1095,R_OKey,1),0)</f>
        <v>0</v>
      </c>
      <c r="BB1095" s="80">
        <f>IF(AND(AB1095=1,D1095="proMX"),IF(AND(MOD(Z1095,CFG_BLK)=0,MOD(AA1095,CFG_BLK)=0,MOD(AG1095,CFG_BLK)=0,AG1095&gt;0),1,0),1)</f>
        <v>1</v>
      </c>
      <c r="BC1095" s="80" t="str">
        <f>IF(Y1095=0,"",IF(NOT(ISNUMBER(B1095)),"Falta fecha o fecha inválida",IF(D1095="","Falta empresa",IF(AND(D1095&lt;&gt;"Malcolm",D1095&lt;&gt;"proMX"),"Empresa inválida",IF(OR(INT(B1095)&lt;CFG_PSTART,INT(B1095)&gt;CFG_PEND),"Fecha fuera del período",IF(OR(NOT(ISNUMBER(Z1095)),NOT(ISNUMBER(AA1095))),"Falta hora inicio/fin o formato inválido",IF(AB1095=0,"Hora inicio = hora fin",IF(AE1095&lt;0,"Descanso inválido",IF(AE1095&gt;=AD1095,"Descanso ≥ duración",IF(AV1095=1,"Registro duplicado",IF(AZ1095&gt;0,"Se superpone con otro registro "&amp;D1095,IF(BB1095=0,"inicio, fin y duración neta deben ser múltiplos de "&amp;CFG_BLK&amp;" min",""))))))))))))</f>
        <v/>
      </c>
      <c r="BD1095" s="80">
        <f>IF(AND(Y1095=1,BC1095=""),1,0)</f>
        <v>0</v>
      </c>
      <c r="BE1095" s="80">
        <f>IF(AND(BD1095=1,AU1095=1),1,0)</f>
        <v>0</v>
      </c>
      <c r="BF1095" s="80" t="str">
        <f>IF(AND(D1095="proMX",BD1095=1),IF(R1095="","Draft",R1095),"")</f>
        <v/>
      </c>
      <c r="BG1095" s="80">
        <f>IF(BD1095=1,ROUND(AG1095/60,6),0)</f>
        <v>0</v>
      </c>
      <c r="BH1095" s="80">
        <f>IF(BE1095=1,ROUND(AG1095/60,6),0)</f>
        <v>0</v>
      </c>
      <c r="BI1095" s="80">
        <f>IF(BE1095=1,ROUND(AP1095/60,6),0)</f>
        <v>0</v>
      </c>
      <c r="BJ1095" s="80">
        <f>IF(BE1095=1,ROUND(AQ1095/60,6),0)</f>
        <v>0</v>
      </c>
      <c r="BK1095" s="80">
        <f>IF(BE1095=1,ROUND((AR1095+AS1095)/60,6),0)</f>
        <v>0</v>
      </c>
      <c r="BL1095" s="80">
        <f>ROUND(BH1095-BK1095,6)</f>
        <v>0</v>
      </c>
      <c r="BM1095" s="80">
        <f>IF(BE1095=1,ROUND(AR1095/60,6),0)</f>
        <v>0</v>
      </c>
      <c r="BN1095" s="80">
        <f>ROUND(BI1095-BM1095,6)</f>
        <v>0</v>
      </c>
      <c r="BO1095" s="80">
        <f>IF(BE1095=1,ROUND(AS1095/60,6),0)</f>
        <v>0</v>
      </c>
      <c r="BP1095" s="80">
        <f>ROUND(BJ1095-BO1095,6)</f>
        <v>0</v>
      </c>
      <c r="BQ1095" s="80">
        <f>IF(BE1095=1,AW1095,0)</f>
        <v>0</v>
      </c>
      <c r="BR1095" s="80">
        <f>IF(BE1095=1,AX1095,0)</f>
        <v>0</v>
      </c>
      <c r="BS1095" s="80">
        <f>IF(AND(BE1095=1,D1095="Malcolm",BA1095&gt;0),MIN(BH1095,SUMPRODUCT((R_Emp="proMX")*(R_EN&gt;0)*((R_EN-(R_EN&gt;BR1095)*(R_EN-BR1095))&gt;(R_SN+(R_SN&lt;BQ1095)*(BQ1095-R_SN)))*((R_EN-(R_EN&gt;BR1095)*(R_EN-BR1095))-(R_SN+(R_SN&lt;BQ1095)*(BQ1095-R_SN))))/60),0)</f>
        <v>0</v>
      </c>
      <c r="BT1095" s="80">
        <f>IF(AND(BE1095=1,D1095="proMX"),ROUND(BI1095*CFG_RATE+BJ1095*CFG_OTRATE,6),0)</f>
        <v>0</v>
      </c>
      <c r="BU1095" s="80">
        <f>IF(AND(BD1095=1,D1095="proMX"),ROUND(AG1095/CFG_BLK,6),0)</f>
        <v>0</v>
      </c>
      <c r="BV1095" s="80" t="str">
        <f>IF(BF1095="Approved",IF(ISNUMBER(T1095),INT(T1095),INT(B1095)),"")</f>
        <v/>
      </c>
      <c r="BW1095" s="80">
        <f>IF(ISNUMBER(B1095),IF(DB_MON="Todos",1,IF(AND(INT(B1095)&gt;=DB_MS,INT(B1095)&lt;=DB_ME),1,0)),0)</f>
        <v>0</v>
      </c>
      <c r="BX1095" s="80">
        <f>IF(DB_PROJ="Todos",1,IF(E1095&amp;""=DB_PROJ&amp;"",1,0))</f>
        <v>1</v>
      </c>
      <c r="BY1095" s="80">
        <f>BW1095*BX1095</f>
        <v>0</v>
      </c>
      <c r="BZ1095" s="80" t="str">
        <f>IF(Y1095=1,F1095&amp;IF(AND(F1095&amp;""&lt;&gt;"",E1095&amp;""&lt;&gt;"")," · ","")&amp;E1095,"")</f>
        <v/>
      </c>
      <c r="CA1095" s="80" t="str">
        <f>IF(AND(BD1095=1,E1095&amp;""&lt;&gt;""),IF(COUNTIFS($E$5:E1094,E1095,$BD$5:BD1094,1)=0,MAX($CA$5:CA1094)+1,""),"")</f>
        <v/>
      </c>
      <c r="CB1095" s="80" t="str">
        <f>IF(AND(BE1095=1,D1095="Malcolm",E1095&amp;""&lt;&gt;""),IF(COUNTIFS($D$5:D1094,"Malcolm",$E$5:E1094,E1095,$BE$5:BE1094,1)=0,MAX($CB$5:CB1094)+1,""),"")</f>
        <v/>
      </c>
      <c r="CC1095" s="80" t="str">
        <f>IF(AND(BD1095=1,D1095="proMX",E1095&amp;""&lt;&gt;""),IF(COUNTIFS($D$5:D1094,"proMX",$E$5:E1094,E1095,$BD$5:BD1094,1)=0,MAX($CC$5:CC1094)+1,""),"")</f>
        <v/>
      </c>
      <c r="CD1095" s="80" t="str">
        <f>IF(AND(BE1095=1,D1095="Malcolm",F1095&amp;""&lt;&gt;""),IF(COUNTIFS($D$5:D1094,"Malcolm",$F$5:F1094,F1095,$BE$5:BE1094,1)=0,MAX($CD$5:CD1094)+1,""),"")</f>
        <v/>
      </c>
      <c r="CE1095" s="80" t="str">
        <f>IF(AND(BD1095=1,D1095="proMX",F1095&amp;""&lt;&gt;""),IF(COUNTIFS($D$5:D1094,"proMX",$F$5:F1094,F1095,$BD$5:BD1094,1)=0,MAX($CE$5:CE1094)+1,""),"")</f>
        <v/>
      </c>
      <c r="CF1095" s="80" t="str">
        <f>IF(AND(D1095="proMX",BD1095=1),IF(OR(BF1095="Draft",BF1095="Submitted",BF1095="Returned",BF1095="Recall Requested"),MAX($CF$5:CF1094)+1,""),"")</f>
        <v/>
      </c>
      <c r="CG1095" s="80">
        <f>IF(BD1095=0,0,IF(D1095="Malcolm",1,MATCH(BF1095,{"Draft","Submitted","Approved","Returned","Recall Requested","Cancelled"},0)+1))</f>
        <v>0</v>
      </c>
      <c r="CH1095" s="80">
        <f>IF(AND(BF1095="Submitted",ISNUMBER(V1095)),IF(V1095&gt;CFG_MAXD,1,0),0)</f>
        <v>0</v>
      </c>
    </row>
    <row r="1096">
      <c r="A1096" s="71" t="str">
        <f>IF(Y1096=1,ROW()-5,"")</f>
        <v/>
      </c>
      <c r="B1096" s="72" t="n"/>
      <c r="C1096" s="71" t="str">
        <f>IF(ISNUMBER(B1096),CHOOSE(WEEKDAY(B1096,2),"Lun","Mar","Mié","Jue","Vie","Sáb","Dom"),"")</f>
        <v/>
      </c>
      <c r="D1096" s="73" t="n"/>
      <c r="E1096" s="74" t="n"/>
      <c r="F1096" s="74" t="n"/>
      <c r="G1096" s="74" t="n"/>
      <c r="H1096" s="75" t="n"/>
      <c r="I1096" s="75" t="n"/>
      <c r="J1096" s="76" t="n"/>
      <c r="K1096" s="77" t="str">
        <f>IF(AB1096=1,ROUND(AG1096/60,4),"")</f>
        <v/>
      </c>
      <c r="L1096" s="77" t="str">
        <f>IF(BD1096=1,ROUND(AP1096/60,4),"")</f>
        <v/>
      </c>
      <c r="M1096" s="77" t="str">
        <f>IF(BD1096=1,ROUND(AQ1096/60,4),"")</f>
        <v/>
      </c>
      <c r="N1096" s="71" t="str">
        <f>IF(AND(D1096="proMX",AB1096=1),ROUND(AG1096/CFG_BLK,2),"")</f>
        <v/>
      </c>
      <c r="O1096" s="77" t="str">
        <f>IF(D1096="proMX",IF(BD1096=1,ROUND(AG1096/60,4),0),"")</f>
        <v/>
      </c>
      <c r="P1096" s="78" t="str">
        <f>IF(Y1096=0,"",IF(BD1096=1,"OK",IF(D1096="proMX","Revisar bloques: ","Revisar: ")&amp;BC1096))</f>
        <v/>
      </c>
      <c r="Q1096" s="78" t="str">
        <f>IF(NOT(ISNUMBER(B1096)),"",IF(COUNTIFS(FER_F,INT(B1096))&gt;0,"Feriado"&amp;IF(AH1096=1," (laborable)"," (no laborable)"),IF(AH1096=1,"Laborable",IF(WEEKDAY(B1096,2)&gt;5,"Fin de semana","No laborable"))))</f>
        <v/>
      </c>
      <c r="R1096" s="73" t="n"/>
      <c r="S1096" s="72" t="n"/>
      <c r="T1096" s="72" t="n"/>
      <c r="U1096" s="74" t="n"/>
      <c r="V1096" s="79" t="str">
        <f>IF(AND(D1096="proMX",OR(R1096="Submitted",R1096="Recall Requested"),ISNUMBER(S1096)),CFG_TODAY-INT(S1096),"")</f>
        <v/>
      </c>
      <c r="W1096" s="78" t="str">
        <f>IF(BD1096=0,"",IF(BA1096&gt;0,"⚠ Se superpone con un registro de la otra empresa",IF(D1096="Malcolm",IF(COUNTA(R1096,S1096,T1096)&gt;0,"Estado/fechas proMX se ignoran en Malcolm",""),IF(BF1096="Cancelled","Cancelado: excluido de totales",IF(R1096="","Sin estado: se trata como Draft",IF(BF1096="Submitted",IF(ISNUMBER(V1096),IF(V1096&gt;CFG_MAXD,"⚠ "&amp;V1096&amp;" días en Submitted (máx. "&amp;CFG_MAXD&amp;")",""),"Falta fecha de envío"),IF(BF1096="Returned","⚠ Devuelto: corregir y reenviar",IF(BF1096="Recall Requested","Retirada solicitada: pendiente",IF(AND(BF1096="Approved",NOT(ISNUMBER(T1096))),"Falta fecha de aprobación",IF(AND(ISNUMBER(S1096),ISNUMBER(T1096),T1096&lt;S1096),"Aprobación anterior al envío","")))))))))</f>
        <v/>
      </c>
      <c r="Y1096" s="80">
        <f>IF(COUNTA(B1096,D1096,E1096,F1096,G1096,H1096,I1096,J1096,R1096,S1096,T1096)&gt;0,1,0)</f>
        <v>0</v>
      </c>
      <c r="Z1096" s="80" t="str">
        <f>IF(AND(ISNUMBER(H1096),H1096&gt;=0,H1096&lt;1),ROUND(H1096*1440,0),"")</f>
        <v/>
      </c>
      <c r="AA1096" s="80" t="str">
        <f>IF(AND(ISNUMBER(I1096),I1096&gt;=0,I1096&lt;1),ROUND(I1096*1440,0),"")</f>
        <v/>
      </c>
      <c r="AB1096" s="80">
        <f>IF(AND(ISNUMBER(B1096),D1096&lt;&gt;"",ISNUMBER(Z1096),ISNUMBER(AA1096)),IF(Z1096=AA1096,0,1),0)</f>
        <v>0</v>
      </c>
      <c r="AC1096" s="80">
        <f>IF(AB1096=1,IF(AA1096&lt;Z1096,1,0),0)</f>
        <v>0</v>
      </c>
      <c r="AD1096" s="80">
        <f>IF(AB1096=1,IF(AC1096=1,1440-Z1096+AA1096,AA1096-Z1096),0)</f>
        <v>0</v>
      </c>
      <c r="AE1096" s="80">
        <f>IF(J1096="",0,IF(ISNUMBER(J1096),J1096,-1))</f>
        <v>0</v>
      </c>
      <c r="AF1096" s="80">
        <f>MIN(MAX(0,AE1096),AD1096)</f>
        <v>0</v>
      </c>
      <c r="AG1096" s="80">
        <f>MAX(0,AD1096-MAX(0,AE1096))</f>
        <v>0</v>
      </c>
      <c r="AH1096" s="80">
        <f>IF(ISNUMBER(B1096),IF(AND(INDEX(CFG_WDAYS,WEEKDAY(INT(B1096),2))="Sí",IF(D1096="proMX",COUNTIFS(FER_F,INT(B1096),FER_NLP,"Sí"),COUNTIFS(FER_F,INT(B1096),FER_NLM,"Sí"))=0),1,0),0)</f>
        <v>0</v>
      </c>
      <c r="AI1096" s="80">
        <f>IF(AC1096=1,IF(AND(INDEX(CFG_WDAYS,WEEKDAY(INT(B1096)+1,2))="Sí",IF(D1096="proMX",COUNTIFS(FER_F,INT(B1096)+1,FER_NLP,"Sí"),COUNTIFS(FER_F,INT(B1096)+1,FER_NLM,"Sí"))=0),1,0),0)</f>
        <v>0</v>
      </c>
      <c r="AJ1096" s="80">
        <f>IF(AC1096=1,1440-Z1096,AD1096)</f>
        <v>0</v>
      </c>
      <c r="AK1096" s="80">
        <f>IF(AND(AB1096=1,AH1096=1),MAX(0,MIN(IF(AC1096=1,1440,AA1096),CFG_WEM)-MAX(Z1096,CFG_WSM)),0)</f>
        <v>0</v>
      </c>
      <c r="AL1096" s="80">
        <f>IF(AND(AC1096=1,AI1096=1),MAX(0,MIN(AA1096,CFG_WEM)-CFG_WSM),0)</f>
        <v>0</v>
      </c>
      <c r="AM1096" s="80">
        <f>AK1096+AL1096</f>
        <v>0</v>
      </c>
      <c r="AN1096" s="80">
        <f>IF(CFG_BRK="Proporcional",IF(AD1096=0,0,AF1096*AM1096/AD1096),IF(CFG_BRK="Extras primero",MIN(AM1096,MAX(0,AF1096-(AD1096-AM1096))),MIN(AF1096,AM1096)))</f>
        <v>0</v>
      </c>
      <c r="AO1096" s="80">
        <f>AF1096-AN1096</f>
        <v>0</v>
      </c>
      <c r="AP1096" s="80">
        <f>AM1096-AN1096</f>
        <v>0</v>
      </c>
      <c r="AQ1096" s="80">
        <f>AD1096-AM1096-AO1096</f>
        <v>0</v>
      </c>
      <c r="AR1096" s="80">
        <f>IF(AM1096=0,0,AK1096-AN1096*AK1096/AM1096)</f>
        <v>0</v>
      </c>
      <c r="AS1096" s="80">
        <f>IF(AD1096-AM1096=0,0,(AJ1096-AK1096)-AO1096*(AJ1096-AK1096)/(AD1096-AM1096))</f>
        <v>0</v>
      </c>
      <c r="AT1096" s="80" t="str">
        <f>IF(AC1096=1,INT(B1096)+1,"")</f>
        <v/>
      </c>
      <c r="AU1096" s="80">
        <f>IF(AND(D1096="proMX",R1096="Cancelled"),0,1)</f>
        <v>1</v>
      </c>
      <c r="AV1096" s="80">
        <f>IF(AND(AB1096=1,AU1096=1),IF(COUNTIFS($D$5:D1095,D1096,$B$5:B1095,B1096,$Z$5:Z1095,Z1096,$AA$5:AA1095,AA1096,$F$5:F1095,F1096&amp;"",$AU$5:AU1095,1)&gt;0,1,0),0)</f>
        <v>0</v>
      </c>
      <c r="AW1096" s="80" t="str">
        <f>IF(AB1096=1,INT(B1096)*1440+Z1096,"")</f>
        <v/>
      </c>
      <c r="AX1096" s="80" t="str">
        <f>IF(AB1096=1,AW1096+AD1096,"")</f>
        <v/>
      </c>
      <c r="AY1096" s="80">
        <f>IF(AND(AB1096=1,AV1096=0,AU1096=1),1,0)</f>
        <v>0</v>
      </c>
      <c r="AZ1096" s="80">
        <f>IF(AY1096=1,COUNTIFS(R_Emp,D1096,R_SAbs,"&lt;"&amp;AX1096,R_EAbs,"&gt;"&amp;AW1096,R_OKey,1)-1,0)</f>
        <v>0</v>
      </c>
      <c r="BA1096" s="80">
        <f>IF(AY1096=1,COUNTIFS(R_Emp,"&lt;&gt;"&amp;D1096,R_SAbs,"&lt;"&amp;AX1096,R_EAbs,"&gt;"&amp;AW1096,R_OKey,1),0)</f>
        <v>0</v>
      </c>
      <c r="BB1096" s="80">
        <f>IF(AND(AB1096=1,D1096="proMX"),IF(AND(MOD(Z1096,CFG_BLK)=0,MOD(AA1096,CFG_BLK)=0,MOD(AG1096,CFG_BLK)=0,AG1096&gt;0),1,0),1)</f>
        <v>1</v>
      </c>
      <c r="BC1096" s="80" t="str">
        <f>IF(Y1096=0,"",IF(NOT(ISNUMBER(B1096)),"Falta fecha o fecha inválida",IF(D1096="","Falta empresa",IF(AND(D1096&lt;&gt;"Malcolm",D1096&lt;&gt;"proMX"),"Empresa inválida",IF(OR(INT(B1096)&lt;CFG_PSTART,INT(B1096)&gt;CFG_PEND),"Fecha fuera del período",IF(OR(NOT(ISNUMBER(Z1096)),NOT(ISNUMBER(AA1096))),"Falta hora inicio/fin o formato inválido",IF(AB1096=0,"Hora inicio = hora fin",IF(AE1096&lt;0,"Descanso inválido",IF(AE1096&gt;=AD1096,"Descanso ≥ duración",IF(AV1096=1,"Registro duplicado",IF(AZ1096&gt;0,"Se superpone con otro registro "&amp;D1096,IF(BB1096=0,"inicio, fin y duración neta deben ser múltiplos de "&amp;CFG_BLK&amp;" min",""))))))))))))</f>
        <v/>
      </c>
      <c r="BD1096" s="80">
        <f>IF(AND(Y1096=1,BC1096=""),1,0)</f>
        <v>0</v>
      </c>
      <c r="BE1096" s="80">
        <f>IF(AND(BD1096=1,AU1096=1),1,0)</f>
        <v>0</v>
      </c>
      <c r="BF1096" s="80" t="str">
        <f>IF(AND(D1096="proMX",BD1096=1),IF(R1096="","Draft",R1096),"")</f>
        <v/>
      </c>
      <c r="BG1096" s="80">
        <f>IF(BD1096=1,ROUND(AG1096/60,6),0)</f>
        <v>0</v>
      </c>
      <c r="BH1096" s="80">
        <f>IF(BE1096=1,ROUND(AG1096/60,6),0)</f>
        <v>0</v>
      </c>
      <c r="BI1096" s="80">
        <f>IF(BE1096=1,ROUND(AP1096/60,6),0)</f>
        <v>0</v>
      </c>
      <c r="BJ1096" s="80">
        <f>IF(BE1096=1,ROUND(AQ1096/60,6),0)</f>
        <v>0</v>
      </c>
      <c r="BK1096" s="80">
        <f>IF(BE1096=1,ROUND((AR1096+AS1096)/60,6),0)</f>
        <v>0</v>
      </c>
      <c r="BL1096" s="80">
        <f>ROUND(BH1096-BK1096,6)</f>
        <v>0</v>
      </c>
      <c r="BM1096" s="80">
        <f>IF(BE1096=1,ROUND(AR1096/60,6),0)</f>
        <v>0</v>
      </c>
      <c r="BN1096" s="80">
        <f>ROUND(BI1096-BM1096,6)</f>
        <v>0</v>
      </c>
      <c r="BO1096" s="80">
        <f>IF(BE1096=1,ROUND(AS1096/60,6),0)</f>
        <v>0</v>
      </c>
      <c r="BP1096" s="80">
        <f>ROUND(BJ1096-BO1096,6)</f>
        <v>0</v>
      </c>
      <c r="BQ1096" s="80">
        <f>IF(BE1096=1,AW1096,0)</f>
        <v>0</v>
      </c>
      <c r="BR1096" s="80">
        <f>IF(BE1096=1,AX1096,0)</f>
        <v>0</v>
      </c>
      <c r="BS1096" s="80">
        <f>IF(AND(BE1096=1,D1096="Malcolm",BA1096&gt;0),MIN(BH1096,SUMPRODUCT((R_Emp="proMX")*(R_EN&gt;0)*((R_EN-(R_EN&gt;BR1096)*(R_EN-BR1096))&gt;(R_SN+(R_SN&lt;BQ1096)*(BQ1096-R_SN)))*((R_EN-(R_EN&gt;BR1096)*(R_EN-BR1096))-(R_SN+(R_SN&lt;BQ1096)*(BQ1096-R_SN))))/60),0)</f>
        <v>0</v>
      </c>
      <c r="BT1096" s="80">
        <f>IF(AND(BE1096=1,D1096="proMX"),ROUND(BI1096*CFG_RATE+BJ1096*CFG_OTRATE,6),0)</f>
        <v>0</v>
      </c>
      <c r="BU1096" s="80">
        <f>IF(AND(BD1096=1,D1096="proMX"),ROUND(AG1096/CFG_BLK,6),0)</f>
        <v>0</v>
      </c>
      <c r="BV1096" s="80" t="str">
        <f>IF(BF1096="Approved",IF(ISNUMBER(T1096),INT(T1096),INT(B1096)),"")</f>
        <v/>
      </c>
      <c r="BW1096" s="80">
        <f>IF(ISNUMBER(B1096),IF(DB_MON="Todos",1,IF(AND(INT(B1096)&gt;=DB_MS,INT(B1096)&lt;=DB_ME),1,0)),0)</f>
        <v>0</v>
      </c>
      <c r="BX1096" s="80">
        <f>IF(DB_PROJ="Todos",1,IF(E1096&amp;""=DB_PROJ&amp;"",1,0))</f>
        <v>1</v>
      </c>
      <c r="BY1096" s="80">
        <f>BW1096*BX1096</f>
        <v>0</v>
      </c>
      <c r="BZ1096" s="80" t="str">
        <f>IF(Y1096=1,F1096&amp;IF(AND(F1096&amp;""&lt;&gt;"",E1096&amp;""&lt;&gt;"")," · ","")&amp;E1096,"")</f>
        <v/>
      </c>
      <c r="CA1096" s="80" t="str">
        <f>IF(AND(BD1096=1,E1096&amp;""&lt;&gt;""),IF(COUNTIFS($E$5:E1095,E1096,$BD$5:BD1095,1)=0,MAX($CA$5:CA1095)+1,""),"")</f>
        <v/>
      </c>
      <c r="CB1096" s="80" t="str">
        <f>IF(AND(BE1096=1,D1096="Malcolm",E1096&amp;""&lt;&gt;""),IF(COUNTIFS($D$5:D1095,"Malcolm",$E$5:E1095,E1096,$BE$5:BE1095,1)=0,MAX($CB$5:CB1095)+1,""),"")</f>
        <v/>
      </c>
      <c r="CC1096" s="80" t="str">
        <f>IF(AND(BD1096=1,D1096="proMX",E1096&amp;""&lt;&gt;""),IF(COUNTIFS($D$5:D1095,"proMX",$E$5:E1095,E1096,$BD$5:BD1095,1)=0,MAX($CC$5:CC1095)+1,""),"")</f>
        <v/>
      </c>
      <c r="CD1096" s="80" t="str">
        <f>IF(AND(BE1096=1,D1096="Malcolm",F1096&amp;""&lt;&gt;""),IF(COUNTIFS($D$5:D1095,"Malcolm",$F$5:F1095,F1096,$BE$5:BE1095,1)=0,MAX($CD$5:CD1095)+1,""),"")</f>
        <v/>
      </c>
      <c r="CE1096" s="80" t="str">
        <f>IF(AND(BD1096=1,D1096="proMX",F1096&amp;""&lt;&gt;""),IF(COUNTIFS($D$5:D1095,"proMX",$F$5:F1095,F1096,$BD$5:BD1095,1)=0,MAX($CE$5:CE1095)+1,""),"")</f>
        <v/>
      </c>
      <c r="CF1096" s="80" t="str">
        <f>IF(AND(D1096="proMX",BD1096=1),IF(OR(BF1096="Draft",BF1096="Submitted",BF1096="Returned",BF1096="Recall Requested"),MAX($CF$5:CF1095)+1,""),"")</f>
        <v/>
      </c>
      <c r="CG1096" s="80">
        <f>IF(BD1096=0,0,IF(D1096="Malcolm",1,MATCH(BF1096,{"Draft","Submitted","Approved","Returned","Recall Requested","Cancelled"},0)+1))</f>
        <v>0</v>
      </c>
      <c r="CH1096" s="80">
        <f>IF(AND(BF1096="Submitted",ISNUMBER(V1096)),IF(V1096&gt;CFG_MAXD,1,0),0)</f>
        <v>0</v>
      </c>
    </row>
    <row r="1097">
      <c r="A1097" s="71" t="str">
        <f>IF(Y1097=1,ROW()-5,"")</f>
        <v/>
      </c>
      <c r="B1097" s="72" t="n"/>
      <c r="C1097" s="71" t="str">
        <f>IF(ISNUMBER(B1097),CHOOSE(WEEKDAY(B1097,2),"Lun","Mar","Mié","Jue","Vie","Sáb","Dom"),"")</f>
        <v/>
      </c>
      <c r="D1097" s="73" t="n"/>
      <c r="E1097" s="74" t="n"/>
      <c r="F1097" s="74" t="n"/>
      <c r="G1097" s="74" t="n"/>
      <c r="H1097" s="75" t="n"/>
      <c r="I1097" s="75" t="n"/>
      <c r="J1097" s="76" t="n"/>
      <c r="K1097" s="77" t="str">
        <f>IF(AB1097=1,ROUND(AG1097/60,4),"")</f>
        <v/>
      </c>
      <c r="L1097" s="77" t="str">
        <f>IF(BD1097=1,ROUND(AP1097/60,4),"")</f>
        <v/>
      </c>
      <c r="M1097" s="77" t="str">
        <f>IF(BD1097=1,ROUND(AQ1097/60,4),"")</f>
        <v/>
      </c>
      <c r="N1097" s="71" t="str">
        <f>IF(AND(D1097="proMX",AB1097=1),ROUND(AG1097/CFG_BLK,2),"")</f>
        <v/>
      </c>
      <c r="O1097" s="77" t="str">
        <f>IF(D1097="proMX",IF(BD1097=1,ROUND(AG1097/60,4),0),"")</f>
        <v/>
      </c>
      <c r="P1097" s="78" t="str">
        <f>IF(Y1097=0,"",IF(BD1097=1,"OK",IF(D1097="proMX","Revisar bloques: ","Revisar: ")&amp;BC1097))</f>
        <v/>
      </c>
      <c r="Q1097" s="78" t="str">
        <f>IF(NOT(ISNUMBER(B1097)),"",IF(COUNTIFS(FER_F,INT(B1097))&gt;0,"Feriado"&amp;IF(AH1097=1," (laborable)"," (no laborable)"),IF(AH1097=1,"Laborable",IF(WEEKDAY(B1097,2)&gt;5,"Fin de semana","No laborable"))))</f>
        <v/>
      </c>
      <c r="R1097" s="73" t="n"/>
      <c r="S1097" s="72" t="n"/>
      <c r="T1097" s="72" t="n"/>
      <c r="U1097" s="74" t="n"/>
      <c r="V1097" s="79" t="str">
        <f>IF(AND(D1097="proMX",OR(R1097="Submitted",R1097="Recall Requested"),ISNUMBER(S1097)),CFG_TODAY-INT(S1097),"")</f>
        <v/>
      </c>
      <c r="W1097" s="78" t="str">
        <f>IF(BD1097=0,"",IF(BA1097&gt;0,"⚠ Se superpone con un registro de la otra empresa",IF(D1097="Malcolm",IF(COUNTA(R1097,S1097,T1097)&gt;0,"Estado/fechas proMX se ignoran en Malcolm",""),IF(BF1097="Cancelled","Cancelado: excluido de totales",IF(R1097="","Sin estado: se trata como Draft",IF(BF1097="Submitted",IF(ISNUMBER(V1097),IF(V1097&gt;CFG_MAXD,"⚠ "&amp;V1097&amp;" días en Submitted (máx. "&amp;CFG_MAXD&amp;")",""),"Falta fecha de envío"),IF(BF1097="Returned","⚠ Devuelto: corregir y reenviar",IF(BF1097="Recall Requested","Retirada solicitada: pendiente",IF(AND(BF1097="Approved",NOT(ISNUMBER(T1097))),"Falta fecha de aprobación",IF(AND(ISNUMBER(S1097),ISNUMBER(T1097),T1097&lt;S1097),"Aprobación anterior al envío","")))))))))</f>
        <v/>
      </c>
      <c r="Y1097" s="80">
        <f>IF(COUNTA(B1097,D1097,E1097,F1097,G1097,H1097,I1097,J1097,R1097,S1097,T1097)&gt;0,1,0)</f>
        <v>0</v>
      </c>
      <c r="Z1097" s="80" t="str">
        <f>IF(AND(ISNUMBER(H1097),H1097&gt;=0,H1097&lt;1),ROUND(H1097*1440,0),"")</f>
        <v/>
      </c>
      <c r="AA1097" s="80" t="str">
        <f>IF(AND(ISNUMBER(I1097),I1097&gt;=0,I1097&lt;1),ROUND(I1097*1440,0),"")</f>
        <v/>
      </c>
      <c r="AB1097" s="80">
        <f>IF(AND(ISNUMBER(B1097),D1097&lt;&gt;"",ISNUMBER(Z1097),ISNUMBER(AA1097)),IF(Z1097=AA1097,0,1),0)</f>
        <v>0</v>
      </c>
      <c r="AC1097" s="80">
        <f>IF(AB1097=1,IF(AA1097&lt;Z1097,1,0),0)</f>
        <v>0</v>
      </c>
      <c r="AD1097" s="80">
        <f>IF(AB1097=1,IF(AC1097=1,1440-Z1097+AA1097,AA1097-Z1097),0)</f>
        <v>0</v>
      </c>
      <c r="AE1097" s="80">
        <f>IF(J1097="",0,IF(ISNUMBER(J1097),J1097,-1))</f>
        <v>0</v>
      </c>
      <c r="AF1097" s="80">
        <f>MIN(MAX(0,AE1097),AD1097)</f>
        <v>0</v>
      </c>
      <c r="AG1097" s="80">
        <f>MAX(0,AD1097-MAX(0,AE1097))</f>
        <v>0</v>
      </c>
      <c r="AH1097" s="80">
        <f>IF(ISNUMBER(B1097),IF(AND(INDEX(CFG_WDAYS,WEEKDAY(INT(B1097),2))="Sí",IF(D1097="proMX",COUNTIFS(FER_F,INT(B1097),FER_NLP,"Sí"),COUNTIFS(FER_F,INT(B1097),FER_NLM,"Sí"))=0),1,0),0)</f>
        <v>0</v>
      </c>
      <c r="AI1097" s="80">
        <f>IF(AC1097=1,IF(AND(INDEX(CFG_WDAYS,WEEKDAY(INT(B1097)+1,2))="Sí",IF(D1097="proMX",COUNTIFS(FER_F,INT(B1097)+1,FER_NLP,"Sí"),COUNTIFS(FER_F,INT(B1097)+1,FER_NLM,"Sí"))=0),1,0),0)</f>
        <v>0</v>
      </c>
      <c r="AJ1097" s="80">
        <f>IF(AC1097=1,1440-Z1097,AD1097)</f>
        <v>0</v>
      </c>
      <c r="AK1097" s="80">
        <f>IF(AND(AB1097=1,AH1097=1),MAX(0,MIN(IF(AC1097=1,1440,AA1097),CFG_WEM)-MAX(Z1097,CFG_WSM)),0)</f>
        <v>0</v>
      </c>
      <c r="AL1097" s="80">
        <f>IF(AND(AC1097=1,AI1097=1),MAX(0,MIN(AA1097,CFG_WEM)-CFG_WSM),0)</f>
        <v>0</v>
      </c>
      <c r="AM1097" s="80">
        <f>AK1097+AL1097</f>
        <v>0</v>
      </c>
      <c r="AN1097" s="80">
        <f>IF(CFG_BRK="Proporcional",IF(AD1097=0,0,AF1097*AM1097/AD1097),IF(CFG_BRK="Extras primero",MIN(AM1097,MAX(0,AF1097-(AD1097-AM1097))),MIN(AF1097,AM1097)))</f>
        <v>0</v>
      </c>
      <c r="AO1097" s="80">
        <f>AF1097-AN1097</f>
        <v>0</v>
      </c>
      <c r="AP1097" s="80">
        <f>AM1097-AN1097</f>
        <v>0</v>
      </c>
      <c r="AQ1097" s="80">
        <f>AD1097-AM1097-AO1097</f>
        <v>0</v>
      </c>
      <c r="AR1097" s="80">
        <f>IF(AM1097=0,0,AK1097-AN1097*AK1097/AM1097)</f>
        <v>0</v>
      </c>
      <c r="AS1097" s="80">
        <f>IF(AD1097-AM1097=0,0,(AJ1097-AK1097)-AO1097*(AJ1097-AK1097)/(AD1097-AM1097))</f>
        <v>0</v>
      </c>
      <c r="AT1097" s="80" t="str">
        <f>IF(AC1097=1,INT(B1097)+1,"")</f>
        <v/>
      </c>
      <c r="AU1097" s="80">
        <f>IF(AND(D1097="proMX",R1097="Cancelled"),0,1)</f>
        <v>1</v>
      </c>
      <c r="AV1097" s="80">
        <f>IF(AND(AB1097=1,AU1097=1),IF(COUNTIFS($D$5:D1096,D1097,$B$5:B1096,B1097,$Z$5:Z1096,Z1097,$AA$5:AA1096,AA1097,$F$5:F1096,F1097&amp;"",$AU$5:AU1096,1)&gt;0,1,0),0)</f>
        <v>0</v>
      </c>
      <c r="AW1097" s="80" t="str">
        <f>IF(AB1097=1,INT(B1097)*1440+Z1097,"")</f>
        <v/>
      </c>
      <c r="AX1097" s="80" t="str">
        <f>IF(AB1097=1,AW1097+AD1097,"")</f>
        <v/>
      </c>
      <c r="AY1097" s="80">
        <f>IF(AND(AB1097=1,AV1097=0,AU1097=1),1,0)</f>
        <v>0</v>
      </c>
      <c r="AZ1097" s="80">
        <f>IF(AY1097=1,COUNTIFS(R_Emp,D1097,R_SAbs,"&lt;"&amp;AX1097,R_EAbs,"&gt;"&amp;AW1097,R_OKey,1)-1,0)</f>
        <v>0</v>
      </c>
      <c r="BA1097" s="80">
        <f>IF(AY1097=1,COUNTIFS(R_Emp,"&lt;&gt;"&amp;D1097,R_SAbs,"&lt;"&amp;AX1097,R_EAbs,"&gt;"&amp;AW1097,R_OKey,1),0)</f>
        <v>0</v>
      </c>
      <c r="BB1097" s="80">
        <f>IF(AND(AB1097=1,D1097="proMX"),IF(AND(MOD(Z1097,CFG_BLK)=0,MOD(AA1097,CFG_BLK)=0,MOD(AG1097,CFG_BLK)=0,AG1097&gt;0),1,0),1)</f>
        <v>1</v>
      </c>
      <c r="BC1097" s="80" t="str">
        <f>IF(Y1097=0,"",IF(NOT(ISNUMBER(B1097)),"Falta fecha o fecha inválida",IF(D1097="","Falta empresa",IF(AND(D1097&lt;&gt;"Malcolm",D1097&lt;&gt;"proMX"),"Empresa inválida",IF(OR(INT(B1097)&lt;CFG_PSTART,INT(B1097)&gt;CFG_PEND),"Fecha fuera del período",IF(OR(NOT(ISNUMBER(Z1097)),NOT(ISNUMBER(AA1097))),"Falta hora inicio/fin o formato inválido",IF(AB1097=0,"Hora inicio = hora fin",IF(AE1097&lt;0,"Descanso inválido",IF(AE1097&gt;=AD1097,"Descanso ≥ duración",IF(AV1097=1,"Registro duplicado",IF(AZ1097&gt;0,"Se superpone con otro registro "&amp;D1097,IF(BB1097=0,"inicio, fin y duración neta deben ser múltiplos de "&amp;CFG_BLK&amp;" min",""))))))))))))</f>
        <v/>
      </c>
      <c r="BD1097" s="80">
        <f>IF(AND(Y1097=1,BC1097=""),1,0)</f>
        <v>0</v>
      </c>
      <c r="BE1097" s="80">
        <f>IF(AND(BD1097=1,AU1097=1),1,0)</f>
        <v>0</v>
      </c>
      <c r="BF1097" s="80" t="str">
        <f>IF(AND(D1097="proMX",BD1097=1),IF(R1097="","Draft",R1097),"")</f>
        <v/>
      </c>
      <c r="BG1097" s="80">
        <f>IF(BD1097=1,ROUND(AG1097/60,6),0)</f>
        <v>0</v>
      </c>
      <c r="BH1097" s="80">
        <f>IF(BE1097=1,ROUND(AG1097/60,6),0)</f>
        <v>0</v>
      </c>
      <c r="BI1097" s="80">
        <f>IF(BE1097=1,ROUND(AP1097/60,6),0)</f>
        <v>0</v>
      </c>
      <c r="BJ1097" s="80">
        <f>IF(BE1097=1,ROUND(AQ1097/60,6),0)</f>
        <v>0</v>
      </c>
      <c r="BK1097" s="80">
        <f>IF(BE1097=1,ROUND((AR1097+AS1097)/60,6),0)</f>
        <v>0</v>
      </c>
      <c r="BL1097" s="80">
        <f>ROUND(BH1097-BK1097,6)</f>
        <v>0</v>
      </c>
      <c r="BM1097" s="80">
        <f>IF(BE1097=1,ROUND(AR1097/60,6),0)</f>
        <v>0</v>
      </c>
      <c r="BN1097" s="80">
        <f>ROUND(BI1097-BM1097,6)</f>
        <v>0</v>
      </c>
      <c r="BO1097" s="80">
        <f>IF(BE1097=1,ROUND(AS1097/60,6),0)</f>
        <v>0</v>
      </c>
      <c r="BP1097" s="80">
        <f>ROUND(BJ1097-BO1097,6)</f>
        <v>0</v>
      </c>
      <c r="BQ1097" s="80">
        <f>IF(BE1097=1,AW1097,0)</f>
        <v>0</v>
      </c>
      <c r="BR1097" s="80">
        <f>IF(BE1097=1,AX1097,0)</f>
        <v>0</v>
      </c>
      <c r="BS1097" s="80">
        <f>IF(AND(BE1097=1,D1097="Malcolm",BA1097&gt;0),MIN(BH1097,SUMPRODUCT((R_Emp="proMX")*(R_EN&gt;0)*((R_EN-(R_EN&gt;BR1097)*(R_EN-BR1097))&gt;(R_SN+(R_SN&lt;BQ1097)*(BQ1097-R_SN)))*((R_EN-(R_EN&gt;BR1097)*(R_EN-BR1097))-(R_SN+(R_SN&lt;BQ1097)*(BQ1097-R_SN))))/60),0)</f>
        <v>0</v>
      </c>
      <c r="BT1097" s="80">
        <f>IF(AND(BE1097=1,D1097="proMX"),ROUND(BI1097*CFG_RATE+BJ1097*CFG_OTRATE,6),0)</f>
        <v>0</v>
      </c>
      <c r="BU1097" s="80">
        <f>IF(AND(BD1097=1,D1097="proMX"),ROUND(AG1097/CFG_BLK,6),0)</f>
        <v>0</v>
      </c>
      <c r="BV1097" s="80" t="str">
        <f>IF(BF1097="Approved",IF(ISNUMBER(T1097),INT(T1097),INT(B1097)),"")</f>
        <v/>
      </c>
      <c r="BW1097" s="80">
        <f>IF(ISNUMBER(B1097),IF(DB_MON="Todos",1,IF(AND(INT(B1097)&gt;=DB_MS,INT(B1097)&lt;=DB_ME),1,0)),0)</f>
        <v>0</v>
      </c>
      <c r="BX1097" s="80">
        <f>IF(DB_PROJ="Todos",1,IF(E1097&amp;""=DB_PROJ&amp;"",1,0))</f>
        <v>1</v>
      </c>
      <c r="BY1097" s="80">
        <f>BW1097*BX1097</f>
        <v>0</v>
      </c>
      <c r="BZ1097" s="80" t="str">
        <f>IF(Y1097=1,F1097&amp;IF(AND(F1097&amp;""&lt;&gt;"",E1097&amp;""&lt;&gt;"")," · ","")&amp;E1097,"")</f>
        <v/>
      </c>
      <c r="CA1097" s="80" t="str">
        <f>IF(AND(BD1097=1,E1097&amp;""&lt;&gt;""),IF(COUNTIFS($E$5:E1096,E1097,$BD$5:BD1096,1)=0,MAX($CA$5:CA1096)+1,""),"")</f>
        <v/>
      </c>
      <c r="CB1097" s="80" t="str">
        <f>IF(AND(BE1097=1,D1097="Malcolm",E1097&amp;""&lt;&gt;""),IF(COUNTIFS($D$5:D1096,"Malcolm",$E$5:E1096,E1097,$BE$5:BE1096,1)=0,MAX($CB$5:CB1096)+1,""),"")</f>
        <v/>
      </c>
      <c r="CC1097" s="80" t="str">
        <f>IF(AND(BD1097=1,D1097="proMX",E1097&amp;""&lt;&gt;""),IF(COUNTIFS($D$5:D1096,"proMX",$E$5:E1096,E1097,$BD$5:BD1096,1)=0,MAX($CC$5:CC1096)+1,""),"")</f>
        <v/>
      </c>
      <c r="CD1097" s="80" t="str">
        <f>IF(AND(BE1097=1,D1097="Malcolm",F1097&amp;""&lt;&gt;""),IF(COUNTIFS($D$5:D1096,"Malcolm",$F$5:F1096,F1097,$BE$5:BE1096,1)=0,MAX($CD$5:CD1096)+1,""),"")</f>
        <v/>
      </c>
      <c r="CE1097" s="80" t="str">
        <f>IF(AND(BD1097=1,D1097="proMX",F1097&amp;""&lt;&gt;""),IF(COUNTIFS($D$5:D1096,"proMX",$F$5:F1096,F1097,$BD$5:BD1096,1)=0,MAX($CE$5:CE1096)+1,""),"")</f>
        <v/>
      </c>
      <c r="CF1097" s="80" t="str">
        <f>IF(AND(D1097="proMX",BD1097=1),IF(OR(BF1097="Draft",BF1097="Submitted",BF1097="Returned",BF1097="Recall Requested"),MAX($CF$5:CF1096)+1,""),"")</f>
        <v/>
      </c>
      <c r="CG1097" s="80">
        <f>IF(BD1097=0,0,IF(D1097="Malcolm",1,MATCH(BF1097,{"Draft","Submitted","Approved","Returned","Recall Requested","Cancelled"},0)+1))</f>
        <v>0</v>
      </c>
      <c r="CH1097" s="80">
        <f>IF(AND(BF1097="Submitted",ISNUMBER(V1097)),IF(V1097&gt;CFG_MAXD,1,0),0)</f>
        <v>0</v>
      </c>
    </row>
    <row r="1098">
      <c r="A1098" s="71" t="str">
        <f>IF(Y1098=1,ROW()-5,"")</f>
        <v/>
      </c>
      <c r="B1098" s="72" t="n"/>
      <c r="C1098" s="71" t="str">
        <f>IF(ISNUMBER(B1098),CHOOSE(WEEKDAY(B1098,2),"Lun","Mar","Mié","Jue","Vie","Sáb","Dom"),"")</f>
        <v/>
      </c>
      <c r="D1098" s="73" t="n"/>
      <c r="E1098" s="74" t="n"/>
      <c r="F1098" s="74" t="n"/>
      <c r="G1098" s="74" t="n"/>
      <c r="H1098" s="75" t="n"/>
      <c r="I1098" s="75" t="n"/>
      <c r="J1098" s="76" t="n"/>
      <c r="K1098" s="77" t="str">
        <f>IF(AB1098=1,ROUND(AG1098/60,4),"")</f>
        <v/>
      </c>
      <c r="L1098" s="77" t="str">
        <f>IF(BD1098=1,ROUND(AP1098/60,4),"")</f>
        <v/>
      </c>
      <c r="M1098" s="77" t="str">
        <f>IF(BD1098=1,ROUND(AQ1098/60,4),"")</f>
        <v/>
      </c>
      <c r="N1098" s="71" t="str">
        <f>IF(AND(D1098="proMX",AB1098=1),ROUND(AG1098/CFG_BLK,2),"")</f>
        <v/>
      </c>
      <c r="O1098" s="77" t="str">
        <f>IF(D1098="proMX",IF(BD1098=1,ROUND(AG1098/60,4),0),"")</f>
        <v/>
      </c>
      <c r="P1098" s="78" t="str">
        <f>IF(Y1098=0,"",IF(BD1098=1,"OK",IF(D1098="proMX","Revisar bloques: ","Revisar: ")&amp;BC1098))</f>
        <v/>
      </c>
      <c r="Q1098" s="78" t="str">
        <f>IF(NOT(ISNUMBER(B1098)),"",IF(COUNTIFS(FER_F,INT(B1098))&gt;0,"Feriado"&amp;IF(AH1098=1," (laborable)"," (no laborable)"),IF(AH1098=1,"Laborable",IF(WEEKDAY(B1098,2)&gt;5,"Fin de semana","No laborable"))))</f>
        <v/>
      </c>
      <c r="R1098" s="73" t="n"/>
      <c r="S1098" s="72" t="n"/>
      <c r="T1098" s="72" t="n"/>
      <c r="U1098" s="74" t="n"/>
      <c r="V1098" s="79" t="str">
        <f>IF(AND(D1098="proMX",OR(R1098="Submitted",R1098="Recall Requested"),ISNUMBER(S1098)),CFG_TODAY-INT(S1098),"")</f>
        <v/>
      </c>
      <c r="W1098" s="78" t="str">
        <f>IF(BD1098=0,"",IF(BA1098&gt;0,"⚠ Se superpone con un registro de la otra empresa",IF(D1098="Malcolm",IF(COUNTA(R1098,S1098,T1098)&gt;0,"Estado/fechas proMX se ignoran en Malcolm",""),IF(BF1098="Cancelled","Cancelado: excluido de totales",IF(R1098="","Sin estado: se trata como Draft",IF(BF1098="Submitted",IF(ISNUMBER(V1098),IF(V1098&gt;CFG_MAXD,"⚠ "&amp;V1098&amp;" días en Submitted (máx. "&amp;CFG_MAXD&amp;")",""),"Falta fecha de envío"),IF(BF1098="Returned","⚠ Devuelto: corregir y reenviar",IF(BF1098="Recall Requested","Retirada solicitada: pendiente",IF(AND(BF1098="Approved",NOT(ISNUMBER(T1098))),"Falta fecha de aprobación",IF(AND(ISNUMBER(S1098),ISNUMBER(T1098),T1098&lt;S1098),"Aprobación anterior al envío","")))))))))</f>
        <v/>
      </c>
      <c r="Y1098" s="80">
        <f>IF(COUNTA(B1098,D1098,E1098,F1098,G1098,H1098,I1098,J1098,R1098,S1098,T1098)&gt;0,1,0)</f>
        <v>0</v>
      </c>
      <c r="Z1098" s="80" t="str">
        <f>IF(AND(ISNUMBER(H1098),H1098&gt;=0,H1098&lt;1),ROUND(H1098*1440,0),"")</f>
        <v/>
      </c>
      <c r="AA1098" s="80" t="str">
        <f>IF(AND(ISNUMBER(I1098),I1098&gt;=0,I1098&lt;1),ROUND(I1098*1440,0),"")</f>
        <v/>
      </c>
      <c r="AB1098" s="80">
        <f>IF(AND(ISNUMBER(B1098),D1098&lt;&gt;"",ISNUMBER(Z1098),ISNUMBER(AA1098)),IF(Z1098=AA1098,0,1),0)</f>
        <v>0</v>
      </c>
      <c r="AC1098" s="80">
        <f>IF(AB1098=1,IF(AA1098&lt;Z1098,1,0),0)</f>
        <v>0</v>
      </c>
      <c r="AD1098" s="80">
        <f>IF(AB1098=1,IF(AC1098=1,1440-Z1098+AA1098,AA1098-Z1098),0)</f>
        <v>0</v>
      </c>
      <c r="AE1098" s="80">
        <f>IF(J1098="",0,IF(ISNUMBER(J1098),J1098,-1))</f>
        <v>0</v>
      </c>
      <c r="AF1098" s="80">
        <f>MIN(MAX(0,AE1098),AD1098)</f>
        <v>0</v>
      </c>
      <c r="AG1098" s="80">
        <f>MAX(0,AD1098-MAX(0,AE1098))</f>
        <v>0</v>
      </c>
      <c r="AH1098" s="80">
        <f>IF(ISNUMBER(B1098),IF(AND(INDEX(CFG_WDAYS,WEEKDAY(INT(B1098),2))="Sí",IF(D1098="proMX",COUNTIFS(FER_F,INT(B1098),FER_NLP,"Sí"),COUNTIFS(FER_F,INT(B1098),FER_NLM,"Sí"))=0),1,0),0)</f>
        <v>0</v>
      </c>
      <c r="AI1098" s="80">
        <f>IF(AC1098=1,IF(AND(INDEX(CFG_WDAYS,WEEKDAY(INT(B1098)+1,2))="Sí",IF(D1098="proMX",COUNTIFS(FER_F,INT(B1098)+1,FER_NLP,"Sí"),COUNTIFS(FER_F,INT(B1098)+1,FER_NLM,"Sí"))=0),1,0),0)</f>
        <v>0</v>
      </c>
      <c r="AJ1098" s="80">
        <f>IF(AC1098=1,1440-Z1098,AD1098)</f>
        <v>0</v>
      </c>
      <c r="AK1098" s="80">
        <f>IF(AND(AB1098=1,AH1098=1),MAX(0,MIN(IF(AC1098=1,1440,AA1098),CFG_WEM)-MAX(Z1098,CFG_WSM)),0)</f>
        <v>0</v>
      </c>
      <c r="AL1098" s="80">
        <f>IF(AND(AC1098=1,AI1098=1),MAX(0,MIN(AA1098,CFG_WEM)-CFG_WSM),0)</f>
        <v>0</v>
      </c>
      <c r="AM1098" s="80">
        <f>AK1098+AL1098</f>
        <v>0</v>
      </c>
      <c r="AN1098" s="80">
        <f>IF(CFG_BRK="Proporcional",IF(AD1098=0,0,AF1098*AM1098/AD1098),IF(CFG_BRK="Extras primero",MIN(AM1098,MAX(0,AF1098-(AD1098-AM1098))),MIN(AF1098,AM1098)))</f>
        <v>0</v>
      </c>
      <c r="AO1098" s="80">
        <f>AF1098-AN1098</f>
        <v>0</v>
      </c>
      <c r="AP1098" s="80">
        <f>AM1098-AN1098</f>
        <v>0</v>
      </c>
      <c r="AQ1098" s="80">
        <f>AD1098-AM1098-AO1098</f>
        <v>0</v>
      </c>
      <c r="AR1098" s="80">
        <f>IF(AM1098=0,0,AK1098-AN1098*AK1098/AM1098)</f>
        <v>0</v>
      </c>
      <c r="AS1098" s="80">
        <f>IF(AD1098-AM1098=0,0,(AJ1098-AK1098)-AO1098*(AJ1098-AK1098)/(AD1098-AM1098))</f>
        <v>0</v>
      </c>
      <c r="AT1098" s="80" t="str">
        <f>IF(AC1098=1,INT(B1098)+1,"")</f>
        <v/>
      </c>
      <c r="AU1098" s="80">
        <f>IF(AND(D1098="proMX",R1098="Cancelled"),0,1)</f>
        <v>1</v>
      </c>
      <c r="AV1098" s="80">
        <f>IF(AND(AB1098=1,AU1098=1),IF(COUNTIFS($D$5:D1097,D1098,$B$5:B1097,B1098,$Z$5:Z1097,Z1098,$AA$5:AA1097,AA1098,$F$5:F1097,F1098&amp;"",$AU$5:AU1097,1)&gt;0,1,0),0)</f>
        <v>0</v>
      </c>
      <c r="AW1098" s="80" t="str">
        <f>IF(AB1098=1,INT(B1098)*1440+Z1098,"")</f>
        <v/>
      </c>
      <c r="AX1098" s="80" t="str">
        <f>IF(AB1098=1,AW1098+AD1098,"")</f>
        <v/>
      </c>
      <c r="AY1098" s="80">
        <f>IF(AND(AB1098=1,AV1098=0,AU1098=1),1,0)</f>
        <v>0</v>
      </c>
      <c r="AZ1098" s="80">
        <f>IF(AY1098=1,COUNTIFS(R_Emp,D1098,R_SAbs,"&lt;"&amp;AX1098,R_EAbs,"&gt;"&amp;AW1098,R_OKey,1)-1,0)</f>
        <v>0</v>
      </c>
      <c r="BA1098" s="80">
        <f>IF(AY1098=1,COUNTIFS(R_Emp,"&lt;&gt;"&amp;D1098,R_SAbs,"&lt;"&amp;AX1098,R_EAbs,"&gt;"&amp;AW1098,R_OKey,1),0)</f>
        <v>0</v>
      </c>
      <c r="BB1098" s="80">
        <f>IF(AND(AB1098=1,D1098="proMX"),IF(AND(MOD(Z1098,CFG_BLK)=0,MOD(AA1098,CFG_BLK)=0,MOD(AG1098,CFG_BLK)=0,AG1098&gt;0),1,0),1)</f>
        <v>1</v>
      </c>
      <c r="BC1098" s="80" t="str">
        <f>IF(Y1098=0,"",IF(NOT(ISNUMBER(B1098)),"Falta fecha o fecha inválida",IF(D1098="","Falta empresa",IF(AND(D1098&lt;&gt;"Malcolm",D1098&lt;&gt;"proMX"),"Empresa inválida",IF(OR(INT(B1098)&lt;CFG_PSTART,INT(B1098)&gt;CFG_PEND),"Fecha fuera del período",IF(OR(NOT(ISNUMBER(Z1098)),NOT(ISNUMBER(AA1098))),"Falta hora inicio/fin o formato inválido",IF(AB1098=0,"Hora inicio = hora fin",IF(AE1098&lt;0,"Descanso inválido",IF(AE1098&gt;=AD1098,"Descanso ≥ duración",IF(AV1098=1,"Registro duplicado",IF(AZ1098&gt;0,"Se superpone con otro registro "&amp;D1098,IF(BB1098=0,"inicio, fin y duración neta deben ser múltiplos de "&amp;CFG_BLK&amp;" min",""))))))))))))</f>
        <v/>
      </c>
      <c r="BD1098" s="80">
        <f>IF(AND(Y1098=1,BC1098=""),1,0)</f>
        <v>0</v>
      </c>
      <c r="BE1098" s="80">
        <f>IF(AND(BD1098=1,AU1098=1),1,0)</f>
        <v>0</v>
      </c>
      <c r="BF1098" s="80" t="str">
        <f>IF(AND(D1098="proMX",BD1098=1),IF(R1098="","Draft",R1098),"")</f>
        <v/>
      </c>
      <c r="BG1098" s="80">
        <f>IF(BD1098=1,ROUND(AG1098/60,6),0)</f>
        <v>0</v>
      </c>
      <c r="BH1098" s="80">
        <f>IF(BE1098=1,ROUND(AG1098/60,6),0)</f>
        <v>0</v>
      </c>
      <c r="BI1098" s="80">
        <f>IF(BE1098=1,ROUND(AP1098/60,6),0)</f>
        <v>0</v>
      </c>
      <c r="BJ1098" s="80">
        <f>IF(BE1098=1,ROUND(AQ1098/60,6),0)</f>
        <v>0</v>
      </c>
      <c r="BK1098" s="80">
        <f>IF(BE1098=1,ROUND((AR1098+AS1098)/60,6),0)</f>
        <v>0</v>
      </c>
      <c r="BL1098" s="80">
        <f>ROUND(BH1098-BK1098,6)</f>
        <v>0</v>
      </c>
      <c r="BM1098" s="80">
        <f>IF(BE1098=1,ROUND(AR1098/60,6),0)</f>
        <v>0</v>
      </c>
      <c r="BN1098" s="80">
        <f>ROUND(BI1098-BM1098,6)</f>
        <v>0</v>
      </c>
      <c r="BO1098" s="80">
        <f>IF(BE1098=1,ROUND(AS1098/60,6),0)</f>
        <v>0</v>
      </c>
      <c r="BP1098" s="80">
        <f>ROUND(BJ1098-BO1098,6)</f>
        <v>0</v>
      </c>
      <c r="BQ1098" s="80">
        <f>IF(BE1098=1,AW1098,0)</f>
        <v>0</v>
      </c>
      <c r="BR1098" s="80">
        <f>IF(BE1098=1,AX1098,0)</f>
        <v>0</v>
      </c>
      <c r="BS1098" s="80">
        <f>IF(AND(BE1098=1,D1098="Malcolm",BA1098&gt;0),MIN(BH1098,SUMPRODUCT((R_Emp="proMX")*(R_EN&gt;0)*((R_EN-(R_EN&gt;BR1098)*(R_EN-BR1098))&gt;(R_SN+(R_SN&lt;BQ1098)*(BQ1098-R_SN)))*((R_EN-(R_EN&gt;BR1098)*(R_EN-BR1098))-(R_SN+(R_SN&lt;BQ1098)*(BQ1098-R_SN))))/60),0)</f>
        <v>0</v>
      </c>
      <c r="BT1098" s="80">
        <f>IF(AND(BE1098=1,D1098="proMX"),ROUND(BI1098*CFG_RATE+BJ1098*CFG_OTRATE,6),0)</f>
        <v>0</v>
      </c>
      <c r="BU1098" s="80">
        <f>IF(AND(BD1098=1,D1098="proMX"),ROUND(AG1098/CFG_BLK,6),0)</f>
        <v>0</v>
      </c>
      <c r="BV1098" s="80" t="str">
        <f>IF(BF1098="Approved",IF(ISNUMBER(T1098),INT(T1098),INT(B1098)),"")</f>
        <v/>
      </c>
      <c r="BW1098" s="80">
        <f>IF(ISNUMBER(B1098),IF(DB_MON="Todos",1,IF(AND(INT(B1098)&gt;=DB_MS,INT(B1098)&lt;=DB_ME),1,0)),0)</f>
        <v>0</v>
      </c>
      <c r="BX1098" s="80">
        <f>IF(DB_PROJ="Todos",1,IF(E1098&amp;""=DB_PROJ&amp;"",1,0))</f>
        <v>1</v>
      </c>
      <c r="BY1098" s="80">
        <f>BW1098*BX1098</f>
        <v>0</v>
      </c>
      <c r="BZ1098" s="80" t="str">
        <f>IF(Y1098=1,F1098&amp;IF(AND(F1098&amp;""&lt;&gt;"",E1098&amp;""&lt;&gt;"")," · ","")&amp;E1098,"")</f>
        <v/>
      </c>
      <c r="CA1098" s="80" t="str">
        <f>IF(AND(BD1098=1,E1098&amp;""&lt;&gt;""),IF(COUNTIFS($E$5:E1097,E1098,$BD$5:BD1097,1)=0,MAX($CA$5:CA1097)+1,""),"")</f>
        <v/>
      </c>
      <c r="CB1098" s="80" t="str">
        <f>IF(AND(BE1098=1,D1098="Malcolm",E1098&amp;""&lt;&gt;""),IF(COUNTIFS($D$5:D1097,"Malcolm",$E$5:E1097,E1098,$BE$5:BE1097,1)=0,MAX($CB$5:CB1097)+1,""),"")</f>
        <v/>
      </c>
      <c r="CC1098" s="80" t="str">
        <f>IF(AND(BD1098=1,D1098="proMX",E1098&amp;""&lt;&gt;""),IF(COUNTIFS($D$5:D1097,"proMX",$E$5:E1097,E1098,$BD$5:BD1097,1)=0,MAX($CC$5:CC1097)+1,""),"")</f>
        <v/>
      </c>
      <c r="CD1098" s="80" t="str">
        <f>IF(AND(BE1098=1,D1098="Malcolm",F1098&amp;""&lt;&gt;""),IF(COUNTIFS($D$5:D1097,"Malcolm",$F$5:F1097,F1098,$BE$5:BE1097,1)=0,MAX($CD$5:CD1097)+1,""),"")</f>
        <v/>
      </c>
      <c r="CE1098" s="80" t="str">
        <f>IF(AND(BD1098=1,D1098="proMX",F1098&amp;""&lt;&gt;""),IF(COUNTIFS($D$5:D1097,"proMX",$F$5:F1097,F1098,$BD$5:BD1097,1)=0,MAX($CE$5:CE1097)+1,""),"")</f>
        <v/>
      </c>
      <c r="CF1098" s="80" t="str">
        <f>IF(AND(D1098="proMX",BD1098=1),IF(OR(BF1098="Draft",BF1098="Submitted",BF1098="Returned",BF1098="Recall Requested"),MAX($CF$5:CF1097)+1,""),"")</f>
        <v/>
      </c>
      <c r="CG1098" s="80">
        <f>IF(BD1098=0,0,IF(D1098="Malcolm",1,MATCH(BF1098,{"Draft","Submitted","Approved","Returned","Recall Requested","Cancelled"},0)+1))</f>
        <v>0</v>
      </c>
      <c r="CH1098" s="80">
        <f>IF(AND(BF1098="Submitted",ISNUMBER(V1098)),IF(V1098&gt;CFG_MAXD,1,0),0)</f>
        <v>0</v>
      </c>
    </row>
    <row r="1099">
      <c r="A1099" s="71" t="str">
        <f>IF(Y1099=1,ROW()-5,"")</f>
        <v/>
      </c>
      <c r="B1099" s="72" t="n"/>
      <c r="C1099" s="71" t="str">
        <f>IF(ISNUMBER(B1099),CHOOSE(WEEKDAY(B1099,2),"Lun","Mar","Mié","Jue","Vie","Sáb","Dom"),"")</f>
        <v/>
      </c>
      <c r="D1099" s="73" t="n"/>
      <c r="E1099" s="74" t="n"/>
      <c r="F1099" s="74" t="n"/>
      <c r="G1099" s="74" t="n"/>
      <c r="H1099" s="75" t="n"/>
      <c r="I1099" s="75" t="n"/>
      <c r="J1099" s="76" t="n"/>
      <c r="K1099" s="77" t="str">
        <f>IF(AB1099=1,ROUND(AG1099/60,4),"")</f>
        <v/>
      </c>
      <c r="L1099" s="77" t="str">
        <f>IF(BD1099=1,ROUND(AP1099/60,4),"")</f>
        <v/>
      </c>
      <c r="M1099" s="77" t="str">
        <f>IF(BD1099=1,ROUND(AQ1099/60,4),"")</f>
        <v/>
      </c>
      <c r="N1099" s="71" t="str">
        <f>IF(AND(D1099="proMX",AB1099=1),ROUND(AG1099/CFG_BLK,2),"")</f>
        <v/>
      </c>
      <c r="O1099" s="77" t="str">
        <f>IF(D1099="proMX",IF(BD1099=1,ROUND(AG1099/60,4),0),"")</f>
        <v/>
      </c>
      <c r="P1099" s="78" t="str">
        <f>IF(Y1099=0,"",IF(BD1099=1,"OK",IF(D1099="proMX","Revisar bloques: ","Revisar: ")&amp;BC1099))</f>
        <v/>
      </c>
      <c r="Q1099" s="78" t="str">
        <f>IF(NOT(ISNUMBER(B1099)),"",IF(COUNTIFS(FER_F,INT(B1099))&gt;0,"Feriado"&amp;IF(AH1099=1," (laborable)"," (no laborable)"),IF(AH1099=1,"Laborable",IF(WEEKDAY(B1099,2)&gt;5,"Fin de semana","No laborable"))))</f>
        <v/>
      </c>
      <c r="R1099" s="73" t="n"/>
      <c r="S1099" s="72" t="n"/>
      <c r="T1099" s="72" t="n"/>
      <c r="U1099" s="74" t="n"/>
      <c r="V1099" s="79" t="str">
        <f>IF(AND(D1099="proMX",OR(R1099="Submitted",R1099="Recall Requested"),ISNUMBER(S1099)),CFG_TODAY-INT(S1099),"")</f>
        <v/>
      </c>
      <c r="W1099" s="78" t="str">
        <f>IF(BD1099=0,"",IF(BA1099&gt;0,"⚠ Se superpone con un registro de la otra empresa",IF(D1099="Malcolm",IF(COUNTA(R1099,S1099,T1099)&gt;0,"Estado/fechas proMX se ignoran en Malcolm",""),IF(BF1099="Cancelled","Cancelado: excluido de totales",IF(R1099="","Sin estado: se trata como Draft",IF(BF1099="Submitted",IF(ISNUMBER(V1099),IF(V1099&gt;CFG_MAXD,"⚠ "&amp;V1099&amp;" días en Submitted (máx. "&amp;CFG_MAXD&amp;")",""),"Falta fecha de envío"),IF(BF1099="Returned","⚠ Devuelto: corregir y reenviar",IF(BF1099="Recall Requested","Retirada solicitada: pendiente",IF(AND(BF1099="Approved",NOT(ISNUMBER(T1099))),"Falta fecha de aprobación",IF(AND(ISNUMBER(S1099),ISNUMBER(T1099),T1099&lt;S1099),"Aprobación anterior al envío","")))))))))</f>
        <v/>
      </c>
      <c r="Y1099" s="80">
        <f>IF(COUNTA(B1099,D1099,E1099,F1099,G1099,H1099,I1099,J1099,R1099,S1099,T1099)&gt;0,1,0)</f>
        <v>0</v>
      </c>
      <c r="Z1099" s="80" t="str">
        <f>IF(AND(ISNUMBER(H1099),H1099&gt;=0,H1099&lt;1),ROUND(H1099*1440,0),"")</f>
        <v/>
      </c>
      <c r="AA1099" s="80" t="str">
        <f>IF(AND(ISNUMBER(I1099),I1099&gt;=0,I1099&lt;1),ROUND(I1099*1440,0),"")</f>
        <v/>
      </c>
      <c r="AB1099" s="80">
        <f>IF(AND(ISNUMBER(B1099),D1099&lt;&gt;"",ISNUMBER(Z1099),ISNUMBER(AA1099)),IF(Z1099=AA1099,0,1),0)</f>
        <v>0</v>
      </c>
      <c r="AC1099" s="80">
        <f>IF(AB1099=1,IF(AA1099&lt;Z1099,1,0),0)</f>
        <v>0</v>
      </c>
      <c r="AD1099" s="80">
        <f>IF(AB1099=1,IF(AC1099=1,1440-Z1099+AA1099,AA1099-Z1099),0)</f>
        <v>0</v>
      </c>
      <c r="AE1099" s="80">
        <f>IF(J1099="",0,IF(ISNUMBER(J1099),J1099,-1))</f>
        <v>0</v>
      </c>
      <c r="AF1099" s="80">
        <f>MIN(MAX(0,AE1099),AD1099)</f>
        <v>0</v>
      </c>
      <c r="AG1099" s="80">
        <f>MAX(0,AD1099-MAX(0,AE1099))</f>
        <v>0</v>
      </c>
      <c r="AH1099" s="80">
        <f>IF(ISNUMBER(B1099),IF(AND(INDEX(CFG_WDAYS,WEEKDAY(INT(B1099),2))="Sí",IF(D1099="proMX",COUNTIFS(FER_F,INT(B1099),FER_NLP,"Sí"),COUNTIFS(FER_F,INT(B1099),FER_NLM,"Sí"))=0),1,0),0)</f>
        <v>0</v>
      </c>
      <c r="AI1099" s="80">
        <f>IF(AC1099=1,IF(AND(INDEX(CFG_WDAYS,WEEKDAY(INT(B1099)+1,2))="Sí",IF(D1099="proMX",COUNTIFS(FER_F,INT(B1099)+1,FER_NLP,"Sí"),COUNTIFS(FER_F,INT(B1099)+1,FER_NLM,"Sí"))=0),1,0),0)</f>
        <v>0</v>
      </c>
      <c r="AJ1099" s="80">
        <f>IF(AC1099=1,1440-Z1099,AD1099)</f>
        <v>0</v>
      </c>
      <c r="AK1099" s="80">
        <f>IF(AND(AB1099=1,AH1099=1),MAX(0,MIN(IF(AC1099=1,1440,AA1099),CFG_WEM)-MAX(Z1099,CFG_WSM)),0)</f>
        <v>0</v>
      </c>
      <c r="AL1099" s="80">
        <f>IF(AND(AC1099=1,AI1099=1),MAX(0,MIN(AA1099,CFG_WEM)-CFG_WSM),0)</f>
        <v>0</v>
      </c>
      <c r="AM1099" s="80">
        <f>AK1099+AL1099</f>
        <v>0</v>
      </c>
      <c r="AN1099" s="80">
        <f>IF(CFG_BRK="Proporcional",IF(AD1099=0,0,AF1099*AM1099/AD1099),IF(CFG_BRK="Extras primero",MIN(AM1099,MAX(0,AF1099-(AD1099-AM1099))),MIN(AF1099,AM1099)))</f>
        <v>0</v>
      </c>
      <c r="AO1099" s="80">
        <f>AF1099-AN1099</f>
        <v>0</v>
      </c>
      <c r="AP1099" s="80">
        <f>AM1099-AN1099</f>
        <v>0</v>
      </c>
      <c r="AQ1099" s="80">
        <f>AD1099-AM1099-AO1099</f>
        <v>0</v>
      </c>
      <c r="AR1099" s="80">
        <f>IF(AM1099=0,0,AK1099-AN1099*AK1099/AM1099)</f>
        <v>0</v>
      </c>
      <c r="AS1099" s="80">
        <f>IF(AD1099-AM1099=0,0,(AJ1099-AK1099)-AO1099*(AJ1099-AK1099)/(AD1099-AM1099))</f>
        <v>0</v>
      </c>
      <c r="AT1099" s="80" t="str">
        <f>IF(AC1099=1,INT(B1099)+1,"")</f>
        <v/>
      </c>
      <c r="AU1099" s="80">
        <f>IF(AND(D1099="proMX",R1099="Cancelled"),0,1)</f>
        <v>1</v>
      </c>
      <c r="AV1099" s="80">
        <f>IF(AND(AB1099=1,AU1099=1),IF(COUNTIFS($D$5:D1098,D1099,$B$5:B1098,B1099,$Z$5:Z1098,Z1099,$AA$5:AA1098,AA1099,$F$5:F1098,F1099&amp;"",$AU$5:AU1098,1)&gt;0,1,0),0)</f>
        <v>0</v>
      </c>
      <c r="AW1099" s="80" t="str">
        <f>IF(AB1099=1,INT(B1099)*1440+Z1099,"")</f>
        <v/>
      </c>
      <c r="AX1099" s="80" t="str">
        <f>IF(AB1099=1,AW1099+AD1099,"")</f>
        <v/>
      </c>
      <c r="AY1099" s="80">
        <f>IF(AND(AB1099=1,AV1099=0,AU1099=1),1,0)</f>
        <v>0</v>
      </c>
      <c r="AZ1099" s="80">
        <f>IF(AY1099=1,COUNTIFS(R_Emp,D1099,R_SAbs,"&lt;"&amp;AX1099,R_EAbs,"&gt;"&amp;AW1099,R_OKey,1)-1,0)</f>
        <v>0</v>
      </c>
      <c r="BA1099" s="80">
        <f>IF(AY1099=1,COUNTIFS(R_Emp,"&lt;&gt;"&amp;D1099,R_SAbs,"&lt;"&amp;AX1099,R_EAbs,"&gt;"&amp;AW1099,R_OKey,1),0)</f>
        <v>0</v>
      </c>
      <c r="BB1099" s="80">
        <f>IF(AND(AB1099=1,D1099="proMX"),IF(AND(MOD(Z1099,CFG_BLK)=0,MOD(AA1099,CFG_BLK)=0,MOD(AG1099,CFG_BLK)=0,AG1099&gt;0),1,0),1)</f>
        <v>1</v>
      </c>
      <c r="BC1099" s="80" t="str">
        <f>IF(Y1099=0,"",IF(NOT(ISNUMBER(B1099)),"Falta fecha o fecha inválida",IF(D1099="","Falta empresa",IF(AND(D1099&lt;&gt;"Malcolm",D1099&lt;&gt;"proMX"),"Empresa inválida",IF(OR(INT(B1099)&lt;CFG_PSTART,INT(B1099)&gt;CFG_PEND),"Fecha fuera del período",IF(OR(NOT(ISNUMBER(Z1099)),NOT(ISNUMBER(AA1099))),"Falta hora inicio/fin o formato inválido",IF(AB1099=0,"Hora inicio = hora fin",IF(AE1099&lt;0,"Descanso inválido",IF(AE1099&gt;=AD1099,"Descanso ≥ duración",IF(AV1099=1,"Registro duplicado",IF(AZ1099&gt;0,"Se superpone con otro registro "&amp;D1099,IF(BB1099=0,"inicio, fin y duración neta deben ser múltiplos de "&amp;CFG_BLK&amp;" min",""))))))))))))</f>
        <v/>
      </c>
      <c r="BD1099" s="80">
        <f>IF(AND(Y1099=1,BC1099=""),1,0)</f>
        <v>0</v>
      </c>
      <c r="BE1099" s="80">
        <f>IF(AND(BD1099=1,AU1099=1),1,0)</f>
        <v>0</v>
      </c>
      <c r="BF1099" s="80" t="str">
        <f>IF(AND(D1099="proMX",BD1099=1),IF(R1099="","Draft",R1099),"")</f>
        <v/>
      </c>
      <c r="BG1099" s="80">
        <f>IF(BD1099=1,ROUND(AG1099/60,6),0)</f>
        <v>0</v>
      </c>
      <c r="BH1099" s="80">
        <f>IF(BE1099=1,ROUND(AG1099/60,6),0)</f>
        <v>0</v>
      </c>
      <c r="BI1099" s="80">
        <f>IF(BE1099=1,ROUND(AP1099/60,6),0)</f>
        <v>0</v>
      </c>
      <c r="BJ1099" s="80">
        <f>IF(BE1099=1,ROUND(AQ1099/60,6),0)</f>
        <v>0</v>
      </c>
      <c r="BK1099" s="80">
        <f>IF(BE1099=1,ROUND((AR1099+AS1099)/60,6),0)</f>
        <v>0</v>
      </c>
      <c r="BL1099" s="80">
        <f>ROUND(BH1099-BK1099,6)</f>
        <v>0</v>
      </c>
      <c r="BM1099" s="80">
        <f>IF(BE1099=1,ROUND(AR1099/60,6),0)</f>
        <v>0</v>
      </c>
      <c r="BN1099" s="80">
        <f>ROUND(BI1099-BM1099,6)</f>
        <v>0</v>
      </c>
      <c r="BO1099" s="80">
        <f>IF(BE1099=1,ROUND(AS1099/60,6),0)</f>
        <v>0</v>
      </c>
      <c r="BP1099" s="80">
        <f>ROUND(BJ1099-BO1099,6)</f>
        <v>0</v>
      </c>
      <c r="BQ1099" s="80">
        <f>IF(BE1099=1,AW1099,0)</f>
        <v>0</v>
      </c>
      <c r="BR1099" s="80">
        <f>IF(BE1099=1,AX1099,0)</f>
        <v>0</v>
      </c>
      <c r="BS1099" s="80">
        <f>IF(AND(BE1099=1,D1099="Malcolm",BA1099&gt;0),MIN(BH1099,SUMPRODUCT((R_Emp="proMX")*(R_EN&gt;0)*((R_EN-(R_EN&gt;BR1099)*(R_EN-BR1099))&gt;(R_SN+(R_SN&lt;BQ1099)*(BQ1099-R_SN)))*((R_EN-(R_EN&gt;BR1099)*(R_EN-BR1099))-(R_SN+(R_SN&lt;BQ1099)*(BQ1099-R_SN))))/60),0)</f>
        <v>0</v>
      </c>
      <c r="BT1099" s="80">
        <f>IF(AND(BE1099=1,D1099="proMX"),ROUND(BI1099*CFG_RATE+BJ1099*CFG_OTRATE,6),0)</f>
        <v>0</v>
      </c>
      <c r="BU1099" s="80">
        <f>IF(AND(BD1099=1,D1099="proMX"),ROUND(AG1099/CFG_BLK,6),0)</f>
        <v>0</v>
      </c>
      <c r="BV1099" s="80" t="str">
        <f>IF(BF1099="Approved",IF(ISNUMBER(T1099),INT(T1099),INT(B1099)),"")</f>
        <v/>
      </c>
      <c r="BW1099" s="80">
        <f>IF(ISNUMBER(B1099),IF(DB_MON="Todos",1,IF(AND(INT(B1099)&gt;=DB_MS,INT(B1099)&lt;=DB_ME),1,0)),0)</f>
        <v>0</v>
      </c>
      <c r="BX1099" s="80">
        <f>IF(DB_PROJ="Todos",1,IF(E1099&amp;""=DB_PROJ&amp;"",1,0))</f>
        <v>1</v>
      </c>
      <c r="BY1099" s="80">
        <f>BW1099*BX1099</f>
        <v>0</v>
      </c>
      <c r="BZ1099" s="80" t="str">
        <f>IF(Y1099=1,F1099&amp;IF(AND(F1099&amp;""&lt;&gt;"",E1099&amp;""&lt;&gt;"")," · ","")&amp;E1099,"")</f>
        <v/>
      </c>
      <c r="CA1099" s="80" t="str">
        <f>IF(AND(BD1099=1,E1099&amp;""&lt;&gt;""),IF(COUNTIFS($E$5:E1098,E1099,$BD$5:BD1098,1)=0,MAX($CA$5:CA1098)+1,""),"")</f>
        <v/>
      </c>
      <c r="CB1099" s="80" t="str">
        <f>IF(AND(BE1099=1,D1099="Malcolm",E1099&amp;""&lt;&gt;""),IF(COUNTIFS($D$5:D1098,"Malcolm",$E$5:E1098,E1099,$BE$5:BE1098,1)=0,MAX($CB$5:CB1098)+1,""),"")</f>
        <v/>
      </c>
      <c r="CC1099" s="80" t="str">
        <f>IF(AND(BD1099=1,D1099="proMX",E1099&amp;""&lt;&gt;""),IF(COUNTIFS($D$5:D1098,"proMX",$E$5:E1098,E1099,$BD$5:BD1098,1)=0,MAX($CC$5:CC1098)+1,""),"")</f>
        <v/>
      </c>
      <c r="CD1099" s="80" t="str">
        <f>IF(AND(BE1099=1,D1099="Malcolm",F1099&amp;""&lt;&gt;""),IF(COUNTIFS($D$5:D1098,"Malcolm",$F$5:F1098,F1099,$BE$5:BE1098,1)=0,MAX($CD$5:CD1098)+1,""),"")</f>
        <v/>
      </c>
      <c r="CE1099" s="80" t="str">
        <f>IF(AND(BD1099=1,D1099="proMX",F1099&amp;""&lt;&gt;""),IF(COUNTIFS($D$5:D1098,"proMX",$F$5:F1098,F1099,$BD$5:BD1098,1)=0,MAX($CE$5:CE1098)+1,""),"")</f>
        <v/>
      </c>
      <c r="CF1099" s="80" t="str">
        <f>IF(AND(D1099="proMX",BD1099=1),IF(OR(BF1099="Draft",BF1099="Submitted",BF1099="Returned",BF1099="Recall Requested"),MAX($CF$5:CF1098)+1,""),"")</f>
        <v/>
      </c>
      <c r="CG1099" s="80">
        <f>IF(BD1099=0,0,IF(D1099="Malcolm",1,MATCH(BF1099,{"Draft","Submitted","Approved","Returned","Recall Requested","Cancelled"},0)+1))</f>
        <v>0</v>
      </c>
      <c r="CH1099" s="80">
        <f>IF(AND(BF1099="Submitted",ISNUMBER(V1099)),IF(V1099&gt;CFG_MAXD,1,0),0)</f>
        <v>0</v>
      </c>
    </row>
    <row r="1100">
      <c r="A1100" s="71" t="str">
        <f>IF(Y1100=1,ROW()-5,"")</f>
        <v/>
      </c>
      <c r="B1100" s="72" t="n"/>
      <c r="C1100" s="71" t="str">
        <f>IF(ISNUMBER(B1100),CHOOSE(WEEKDAY(B1100,2),"Lun","Mar","Mié","Jue","Vie","Sáb","Dom"),"")</f>
        <v/>
      </c>
      <c r="D1100" s="73" t="n"/>
      <c r="E1100" s="74" t="n"/>
      <c r="F1100" s="74" t="n"/>
      <c r="G1100" s="74" t="n"/>
      <c r="H1100" s="75" t="n"/>
      <c r="I1100" s="75" t="n"/>
      <c r="J1100" s="76" t="n"/>
      <c r="K1100" s="77" t="str">
        <f>IF(AB1100=1,ROUND(AG1100/60,4),"")</f>
        <v/>
      </c>
      <c r="L1100" s="77" t="str">
        <f>IF(BD1100=1,ROUND(AP1100/60,4),"")</f>
        <v/>
      </c>
      <c r="M1100" s="77" t="str">
        <f>IF(BD1100=1,ROUND(AQ1100/60,4),"")</f>
        <v/>
      </c>
      <c r="N1100" s="71" t="str">
        <f>IF(AND(D1100="proMX",AB1100=1),ROUND(AG1100/CFG_BLK,2),"")</f>
        <v/>
      </c>
      <c r="O1100" s="77" t="str">
        <f>IF(D1100="proMX",IF(BD1100=1,ROUND(AG1100/60,4),0),"")</f>
        <v/>
      </c>
      <c r="P1100" s="78" t="str">
        <f>IF(Y1100=0,"",IF(BD1100=1,"OK",IF(D1100="proMX","Revisar bloques: ","Revisar: ")&amp;BC1100))</f>
        <v/>
      </c>
      <c r="Q1100" s="78" t="str">
        <f>IF(NOT(ISNUMBER(B1100)),"",IF(COUNTIFS(FER_F,INT(B1100))&gt;0,"Feriado"&amp;IF(AH1100=1," (laborable)"," (no laborable)"),IF(AH1100=1,"Laborable",IF(WEEKDAY(B1100,2)&gt;5,"Fin de semana","No laborable"))))</f>
        <v/>
      </c>
      <c r="R1100" s="73" t="n"/>
      <c r="S1100" s="72" t="n"/>
      <c r="T1100" s="72" t="n"/>
      <c r="U1100" s="74" t="n"/>
      <c r="V1100" s="79" t="str">
        <f>IF(AND(D1100="proMX",OR(R1100="Submitted",R1100="Recall Requested"),ISNUMBER(S1100)),CFG_TODAY-INT(S1100),"")</f>
        <v/>
      </c>
      <c r="W1100" s="78" t="str">
        <f>IF(BD1100=0,"",IF(BA1100&gt;0,"⚠ Se superpone con un registro de la otra empresa",IF(D1100="Malcolm",IF(COUNTA(R1100,S1100,T1100)&gt;0,"Estado/fechas proMX se ignoran en Malcolm",""),IF(BF1100="Cancelled","Cancelado: excluido de totales",IF(R1100="","Sin estado: se trata como Draft",IF(BF1100="Submitted",IF(ISNUMBER(V1100),IF(V1100&gt;CFG_MAXD,"⚠ "&amp;V1100&amp;" días en Submitted (máx. "&amp;CFG_MAXD&amp;")",""),"Falta fecha de envío"),IF(BF1100="Returned","⚠ Devuelto: corregir y reenviar",IF(BF1100="Recall Requested","Retirada solicitada: pendiente",IF(AND(BF1100="Approved",NOT(ISNUMBER(T1100))),"Falta fecha de aprobación",IF(AND(ISNUMBER(S1100),ISNUMBER(T1100),T1100&lt;S1100),"Aprobación anterior al envío","")))))))))</f>
        <v/>
      </c>
      <c r="Y1100" s="80">
        <f>IF(COUNTA(B1100,D1100,E1100,F1100,G1100,H1100,I1100,J1100,R1100,S1100,T1100)&gt;0,1,0)</f>
        <v>0</v>
      </c>
      <c r="Z1100" s="80" t="str">
        <f>IF(AND(ISNUMBER(H1100),H1100&gt;=0,H1100&lt;1),ROUND(H1100*1440,0),"")</f>
        <v/>
      </c>
      <c r="AA1100" s="80" t="str">
        <f>IF(AND(ISNUMBER(I1100),I1100&gt;=0,I1100&lt;1),ROUND(I1100*1440,0),"")</f>
        <v/>
      </c>
      <c r="AB1100" s="80">
        <f>IF(AND(ISNUMBER(B1100),D1100&lt;&gt;"",ISNUMBER(Z1100),ISNUMBER(AA1100)),IF(Z1100=AA1100,0,1),0)</f>
        <v>0</v>
      </c>
      <c r="AC1100" s="80">
        <f>IF(AB1100=1,IF(AA1100&lt;Z1100,1,0),0)</f>
        <v>0</v>
      </c>
      <c r="AD1100" s="80">
        <f>IF(AB1100=1,IF(AC1100=1,1440-Z1100+AA1100,AA1100-Z1100),0)</f>
        <v>0</v>
      </c>
      <c r="AE1100" s="80">
        <f>IF(J1100="",0,IF(ISNUMBER(J1100),J1100,-1))</f>
        <v>0</v>
      </c>
      <c r="AF1100" s="80">
        <f>MIN(MAX(0,AE1100),AD1100)</f>
        <v>0</v>
      </c>
      <c r="AG1100" s="80">
        <f>MAX(0,AD1100-MAX(0,AE1100))</f>
        <v>0</v>
      </c>
      <c r="AH1100" s="80">
        <f>IF(ISNUMBER(B1100),IF(AND(INDEX(CFG_WDAYS,WEEKDAY(INT(B1100),2))="Sí",IF(D1100="proMX",COUNTIFS(FER_F,INT(B1100),FER_NLP,"Sí"),COUNTIFS(FER_F,INT(B1100),FER_NLM,"Sí"))=0),1,0),0)</f>
        <v>0</v>
      </c>
      <c r="AI1100" s="80">
        <f>IF(AC1100=1,IF(AND(INDEX(CFG_WDAYS,WEEKDAY(INT(B1100)+1,2))="Sí",IF(D1100="proMX",COUNTIFS(FER_F,INT(B1100)+1,FER_NLP,"Sí"),COUNTIFS(FER_F,INT(B1100)+1,FER_NLM,"Sí"))=0),1,0),0)</f>
        <v>0</v>
      </c>
      <c r="AJ1100" s="80">
        <f>IF(AC1100=1,1440-Z1100,AD1100)</f>
        <v>0</v>
      </c>
      <c r="AK1100" s="80">
        <f>IF(AND(AB1100=1,AH1100=1),MAX(0,MIN(IF(AC1100=1,1440,AA1100),CFG_WEM)-MAX(Z1100,CFG_WSM)),0)</f>
        <v>0</v>
      </c>
      <c r="AL1100" s="80">
        <f>IF(AND(AC1100=1,AI1100=1),MAX(0,MIN(AA1100,CFG_WEM)-CFG_WSM),0)</f>
        <v>0</v>
      </c>
      <c r="AM1100" s="80">
        <f>AK1100+AL1100</f>
        <v>0</v>
      </c>
      <c r="AN1100" s="80">
        <f>IF(CFG_BRK="Proporcional",IF(AD1100=0,0,AF1100*AM1100/AD1100),IF(CFG_BRK="Extras primero",MIN(AM1100,MAX(0,AF1100-(AD1100-AM1100))),MIN(AF1100,AM1100)))</f>
        <v>0</v>
      </c>
      <c r="AO1100" s="80">
        <f>AF1100-AN1100</f>
        <v>0</v>
      </c>
      <c r="AP1100" s="80">
        <f>AM1100-AN1100</f>
        <v>0</v>
      </c>
      <c r="AQ1100" s="80">
        <f>AD1100-AM1100-AO1100</f>
        <v>0</v>
      </c>
      <c r="AR1100" s="80">
        <f>IF(AM1100=0,0,AK1100-AN1100*AK1100/AM1100)</f>
        <v>0</v>
      </c>
      <c r="AS1100" s="80">
        <f>IF(AD1100-AM1100=0,0,(AJ1100-AK1100)-AO1100*(AJ1100-AK1100)/(AD1100-AM1100))</f>
        <v>0</v>
      </c>
      <c r="AT1100" s="80" t="str">
        <f>IF(AC1100=1,INT(B1100)+1,"")</f>
        <v/>
      </c>
      <c r="AU1100" s="80">
        <f>IF(AND(D1100="proMX",R1100="Cancelled"),0,1)</f>
        <v>1</v>
      </c>
      <c r="AV1100" s="80">
        <f>IF(AND(AB1100=1,AU1100=1),IF(COUNTIFS($D$5:D1099,D1100,$B$5:B1099,B1100,$Z$5:Z1099,Z1100,$AA$5:AA1099,AA1100,$F$5:F1099,F1100&amp;"",$AU$5:AU1099,1)&gt;0,1,0),0)</f>
        <v>0</v>
      </c>
      <c r="AW1100" s="80" t="str">
        <f>IF(AB1100=1,INT(B1100)*1440+Z1100,"")</f>
        <v/>
      </c>
      <c r="AX1100" s="80" t="str">
        <f>IF(AB1100=1,AW1100+AD1100,"")</f>
        <v/>
      </c>
      <c r="AY1100" s="80">
        <f>IF(AND(AB1100=1,AV1100=0,AU1100=1),1,0)</f>
        <v>0</v>
      </c>
      <c r="AZ1100" s="80">
        <f>IF(AY1100=1,COUNTIFS(R_Emp,D1100,R_SAbs,"&lt;"&amp;AX1100,R_EAbs,"&gt;"&amp;AW1100,R_OKey,1)-1,0)</f>
        <v>0</v>
      </c>
      <c r="BA1100" s="80">
        <f>IF(AY1100=1,COUNTIFS(R_Emp,"&lt;&gt;"&amp;D1100,R_SAbs,"&lt;"&amp;AX1100,R_EAbs,"&gt;"&amp;AW1100,R_OKey,1),0)</f>
        <v>0</v>
      </c>
      <c r="BB1100" s="80">
        <f>IF(AND(AB1100=1,D1100="proMX"),IF(AND(MOD(Z1100,CFG_BLK)=0,MOD(AA1100,CFG_BLK)=0,MOD(AG1100,CFG_BLK)=0,AG1100&gt;0),1,0),1)</f>
        <v>1</v>
      </c>
      <c r="BC1100" s="80" t="str">
        <f>IF(Y1100=0,"",IF(NOT(ISNUMBER(B1100)),"Falta fecha o fecha inválida",IF(D1100="","Falta empresa",IF(AND(D1100&lt;&gt;"Malcolm",D1100&lt;&gt;"proMX"),"Empresa inválida",IF(OR(INT(B1100)&lt;CFG_PSTART,INT(B1100)&gt;CFG_PEND),"Fecha fuera del período",IF(OR(NOT(ISNUMBER(Z1100)),NOT(ISNUMBER(AA1100))),"Falta hora inicio/fin o formato inválido",IF(AB1100=0,"Hora inicio = hora fin",IF(AE1100&lt;0,"Descanso inválido",IF(AE1100&gt;=AD1100,"Descanso ≥ duración",IF(AV1100=1,"Registro duplicado",IF(AZ1100&gt;0,"Se superpone con otro registro "&amp;D1100,IF(BB1100=0,"inicio, fin y duración neta deben ser múltiplos de "&amp;CFG_BLK&amp;" min",""))))))))))))</f>
        <v/>
      </c>
      <c r="BD1100" s="80">
        <f>IF(AND(Y1100=1,BC1100=""),1,0)</f>
        <v>0</v>
      </c>
      <c r="BE1100" s="80">
        <f>IF(AND(BD1100=1,AU1100=1),1,0)</f>
        <v>0</v>
      </c>
      <c r="BF1100" s="80" t="str">
        <f>IF(AND(D1100="proMX",BD1100=1),IF(R1100="","Draft",R1100),"")</f>
        <v/>
      </c>
      <c r="BG1100" s="80">
        <f>IF(BD1100=1,ROUND(AG1100/60,6),0)</f>
        <v>0</v>
      </c>
      <c r="BH1100" s="80">
        <f>IF(BE1100=1,ROUND(AG1100/60,6),0)</f>
        <v>0</v>
      </c>
      <c r="BI1100" s="80">
        <f>IF(BE1100=1,ROUND(AP1100/60,6),0)</f>
        <v>0</v>
      </c>
      <c r="BJ1100" s="80">
        <f>IF(BE1100=1,ROUND(AQ1100/60,6),0)</f>
        <v>0</v>
      </c>
      <c r="BK1100" s="80">
        <f>IF(BE1100=1,ROUND((AR1100+AS1100)/60,6),0)</f>
        <v>0</v>
      </c>
      <c r="BL1100" s="80">
        <f>ROUND(BH1100-BK1100,6)</f>
        <v>0</v>
      </c>
      <c r="BM1100" s="80">
        <f>IF(BE1100=1,ROUND(AR1100/60,6),0)</f>
        <v>0</v>
      </c>
      <c r="BN1100" s="80">
        <f>ROUND(BI1100-BM1100,6)</f>
        <v>0</v>
      </c>
      <c r="BO1100" s="80">
        <f>IF(BE1100=1,ROUND(AS1100/60,6),0)</f>
        <v>0</v>
      </c>
      <c r="BP1100" s="80">
        <f>ROUND(BJ1100-BO1100,6)</f>
        <v>0</v>
      </c>
      <c r="BQ1100" s="80">
        <f>IF(BE1100=1,AW1100,0)</f>
        <v>0</v>
      </c>
      <c r="BR1100" s="80">
        <f>IF(BE1100=1,AX1100,0)</f>
        <v>0</v>
      </c>
      <c r="BS1100" s="80">
        <f>IF(AND(BE1100=1,D1100="Malcolm",BA1100&gt;0),MIN(BH1100,SUMPRODUCT((R_Emp="proMX")*(R_EN&gt;0)*((R_EN-(R_EN&gt;BR1100)*(R_EN-BR1100))&gt;(R_SN+(R_SN&lt;BQ1100)*(BQ1100-R_SN)))*((R_EN-(R_EN&gt;BR1100)*(R_EN-BR1100))-(R_SN+(R_SN&lt;BQ1100)*(BQ1100-R_SN))))/60),0)</f>
        <v>0</v>
      </c>
      <c r="BT1100" s="80">
        <f>IF(AND(BE1100=1,D1100="proMX"),ROUND(BI1100*CFG_RATE+BJ1100*CFG_OTRATE,6),0)</f>
        <v>0</v>
      </c>
      <c r="BU1100" s="80">
        <f>IF(AND(BD1100=1,D1100="proMX"),ROUND(AG1100/CFG_BLK,6),0)</f>
        <v>0</v>
      </c>
      <c r="BV1100" s="80" t="str">
        <f>IF(BF1100="Approved",IF(ISNUMBER(T1100),INT(T1100),INT(B1100)),"")</f>
        <v/>
      </c>
      <c r="BW1100" s="80">
        <f>IF(ISNUMBER(B1100),IF(DB_MON="Todos",1,IF(AND(INT(B1100)&gt;=DB_MS,INT(B1100)&lt;=DB_ME),1,0)),0)</f>
        <v>0</v>
      </c>
      <c r="BX1100" s="80">
        <f>IF(DB_PROJ="Todos",1,IF(E1100&amp;""=DB_PROJ&amp;"",1,0))</f>
        <v>1</v>
      </c>
      <c r="BY1100" s="80">
        <f>BW1100*BX1100</f>
        <v>0</v>
      </c>
      <c r="BZ1100" s="80" t="str">
        <f>IF(Y1100=1,F1100&amp;IF(AND(F1100&amp;""&lt;&gt;"",E1100&amp;""&lt;&gt;"")," · ","")&amp;E1100,"")</f>
        <v/>
      </c>
      <c r="CA1100" s="80" t="str">
        <f>IF(AND(BD1100=1,E1100&amp;""&lt;&gt;""),IF(COUNTIFS($E$5:E1099,E1100,$BD$5:BD1099,1)=0,MAX($CA$5:CA1099)+1,""),"")</f>
        <v/>
      </c>
      <c r="CB1100" s="80" t="str">
        <f>IF(AND(BE1100=1,D1100="Malcolm",E1100&amp;""&lt;&gt;""),IF(COUNTIFS($D$5:D1099,"Malcolm",$E$5:E1099,E1100,$BE$5:BE1099,1)=0,MAX($CB$5:CB1099)+1,""),"")</f>
        <v/>
      </c>
      <c r="CC1100" s="80" t="str">
        <f>IF(AND(BD1100=1,D1100="proMX",E1100&amp;""&lt;&gt;""),IF(COUNTIFS($D$5:D1099,"proMX",$E$5:E1099,E1100,$BD$5:BD1099,1)=0,MAX($CC$5:CC1099)+1,""),"")</f>
        <v/>
      </c>
      <c r="CD1100" s="80" t="str">
        <f>IF(AND(BE1100=1,D1100="Malcolm",F1100&amp;""&lt;&gt;""),IF(COUNTIFS($D$5:D1099,"Malcolm",$F$5:F1099,F1100,$BE$5:BE1099,1)=0,MAX($CD$5:CD1099)+1,""),"")</f>
        <v/>
      </c>
      <c r="CE1100" s="80" t="str">
        <f>IF(AND(BD1100=1,D1100="proMX",F1100&amp;""&lt;&gt;""),IF(COUNTIFS($D$5:D1099,"proMX",$F$5:F1099,F1100,$BD$5:BD1099,1)=0,MAX($CE$5:CE1099)+1,""),"")</f>
        <v/>
      </c>
      <c r="CF1100" s="80" t="str">
        <f>IF(AND(D1100="proMX",BD1100=1),IF(OR(BF1100="Draft",BF1100="Submitted",BF1100="Returned",BF1100="Recall Requested"),MAX($CF$5:CF1099)+1,""),"")</f>
        <v/>
      </c>
      <c r="CG1100" s="80">
        <f>IF(BD1100=0,0,IF(D1100="Malcolm",1,MATCH(BF1100,{"Draft","Submitted","Approved","Returned","Recall Requested","Cancelled"},0)+1))</f>
        <v>0</v>
      </c>
      <c r="CH1100" s="80">
        <f>IF(AND(BF1100="Submitted",ISNUMBER(V1100)),IF(V1100&gt;CFG_MAXD,1,0),0)</f>
        <v>0</v>
      </c>
    </row>
    <row r="1101">
      <c r="A1101" s="71" t="str">
        <f>IF(Y1101=1,ROW()-5,"")</f>
        <v/>
      </c>
      <c r="B1101" s="72" t="n"/>
      <c r="C1101" s="71" t="str">
        <f>IF(ISNUMBER(B1101),CHOOSE(WEEKDAY(B1101,2),"Lun","Mar","Mié","Jue","Vie","Sáb","Dom"),"")</f>
        <v/>
      </c>
      <c r="D1101" s="73" t="n"/>
      <c r="E1101" s="74" t="n"/>
      <c r="F1101" s="74" t="n"/>
      <c r="G1101" s="74" t="n"/>
      <c r="H1101" s="75" t="n"/>
      <c r="I1101" s="75" t="n"/>
      <c r="J1101" s="76" t="n"/>
      <c r="K1101" s="77" t="str">
        <f>IF(AB1101=1,ROUND(AG1101/60,4),"")</f>
        <v/>
      </c>
      <c r="L1101" s="77" t="str">
        <f>IF(BD1101=1,ROUND(AP1101/60,4),"")</f>
        <v/>
      </c>
      <c r="M1101" s="77" t="str">
        <f>IF(BD1101=1,ROUND(AQ1101/60,4),"")</f>
        <v/>
      </c>
      <c r="N1101" s="71" t="str">
        <f>IF(AND(D1101="proMX",AB1101=1),ROUND(AG1101/CFG_BLK,2),"")</f>
        <v/>
      </c>
      <c r="O1101" s="77" t="str">
        <f>IF(D1101="proMX",IF(BD1101=1,ROUND(AG1101/60,4),0),"")</f>
        <v/>
      </c>
      <c r="P1101" s="78" t="str">
        <f>IF(Y1101=0,"",IF(BD1101=1,"OK",IF(D1101="proMX","Revisar bloques: ","Revisar: ")&amp;BC1101))</f>
        <v/>
      </c>
      <c r="Q1101" s="78" t="str">
        <f>IF(NOT(ISNUMBER(B1101)),"",IF(COUNTIFS(FER_F,INT(B1101))&gt;0,"Feriado"&amp;IF(AH1101=1," (laborable)"," (no laborable)"),IF(AH1101=1,"Laborable",IF(WEEKDAY(B1101,2)&gt;5,"Fin de semana","No laborable"))))</f>
        <v/>
      </c>
      <c r="R1101" s="73" t="n"/>
      <c r="S1101" s="72" t="n"/>
      <c r="T1101" s="72" t="n"/>
      <c r="U1101" s="74" t="n"/>
      <c r="V1101" s="79" t="str">
        <f>IF(AND(D1101="proMX",OR(R1101="Submitted",R1101="Recall Requested"),ISNUMBER(S1101)),CFG_TODAY-INT(S1101),"")</f>
        <v/>
      </c>
      <c r="W1101" s="78" t="str">
        <f>IF(BD1101=0,"",IF(BA1101&gt;0,"⚠ Se superpone con un registro de la otra empresa",IF(D1101="Malcolm",IF(COUNTA(R1101,S1101,T1101)&gt;0,"Estado/fechas proMX se ignoran en Malcolm",""),IF(BF1101="Cancelled","Cancelado: excluido de totales",IF(R1101="","Sin estado: se trata como Draft",IF(BF1101="Submitted",IF(ISNUMBER(V1101),IF(V1101&gt;CFG_MAXD,"⚠ "&amp;V1101&amp;" días en Submitted (máx. "&amp;CFG_MAXD&amp;")",""),"Falta fecha de envío"),IF(BF1101="Returned","⚠ Devuelto: corregir y reenviar",IF(BF1101="Recall Requested","Retirada solicitada: pendiente",IF(AND(BF1101="Approved",NOT(ISNUMBER(T1101))),"Falta fecha de aprobación",IF(AND(ISNUMBER(S1101),ISNUMBER(T1101),T1101&lt;S1101),"Aprobación anterior al envío","")))))))))</f>
        <v/>
      </c>
      <c r="Y1101" s="80">
        <f>IF(COUNTA(B1101,D1101,E1101,F1101,G1101,H1101,I1101,J1101,R1101,S1101,T1101)&gt;0,1,0)</f>
        <v>0</v>
      </c>
      <c r="Z1101" s="80" t="str">
        <f>IF(AND(ISNUMBER(H1101),H1101&gt;=0,H1101&lt;1),ROUND(H1101*1440,0),"")</f>
        <v/>
      </c>
      <c r="AA1101" s="80" t="str">
        <f>IF(AND(ISNUMBER(I1101),I1101&gt;=0,I1101&lt;1),ROUND(I1101*1440,0),"")</f>
        <v/>
      </c>
      <c r="AB1101" s="80">
        <f>IF(AND(ISNUMBER(B1101),D1101&lt;&gt;"",ISNUMBER(Z1101),ISNUMBER(AA1101)),IF(Z1101=AA1101,0,1),0)</f>
        <v>0</v>
      </c>
      <c r="AC1101" s="80">
        <f>IF(AB1101=1,IF(AA1101&lt;Z1101,1,0),0)</f>
        <v>0</v>
      </c>
      <c r="AD1101" s="80">
        <f>IF(AB1101=1,IF(AC1101=1,1440-Z1101+AA1101,AA1101-Z1101),0)</f>
        <v>0</v>
      </c>
      <c r="AE1101" s="80">
        <f>IF(J1101="",0,IF(ISNUMBER(J1101),J1101,-1))</f>
        <v>0</v>
      </c>
      <c r="AF1101" s="80">
        <f>MIN(MAX(0,AE1101),AD1101)</f>
        <v>0</v>
      </c>
      <c r="AG1101" s="80">
        <f>MAX(0,AD1101-MAX(0,AE1101))</f>
        <v>0</v>
      </c>
      <c r="AH1101" s="80">
        <f>IF(ISNUMBER(B1101),IF(AND(INDEX(CFG_WDAYS,WEEKDAY(INT(B1101),2))="Sí",IF(D1101="proMX",COUNTIFS(FER_F,INT(B1101),FER_NLP,"Sí"),COUNTIFS(FER_F,INT(B1101),FER_NLM,"Sí"))=0),1,0),0)</f>
        <v>0</v>
      </c>
      <c r="AI1101" s="80">
        <f>IF(AC1101=1,IF(AND(INDEX(CFG_WDAYS,WEEKDAY(INT(B1101)+1,2))="Sí",IF(D1101="proMX",COUNTIFS(FER_F,INT(B1101)+1,FER_NLP,"Sí"),COUNTIFS(FER_F,INT(B1101)+1,FER_NLM,"Sí"))=0),1,0),0)</f>
        <v>0</v>
      </c>
      <c r="AJ1101" s="80">
        <f>IF(AC1101=1,1440-Z1101,AD1101)</f>
        <v>0</v>
      </c>
      <c r="AK1101" s="80">
        <f>IF(AND(AB1101=1,AH1101=1),MAX(0,MIN(IF(AC1101=1,1440,AA1101),CFG_WEM)-MAX(Z1101,CFG_WSM)),0)</f>
        <v>0</v>
      </c>
      <c r="AL1101" s="80">
        <f>IF(AND(AC1101=1,AI1101=1),MAX(0,MIN(AA1101,CFG_WEM)-CFG_WSM),0)</f>
        <v>0</v>
      </c>
      <c r="AM1101" s="80">
        <f>AK1101+AL1101</f>
        <v>0</v>
      </c>
      <c r="AN1101" s="80">
        <f>IF(CFG_BRK="Proporcional",IF(AD1101=0,0,AF1101*AM1101/AD1101),IF(CFG_BRK="Extras primero",MIN(AM1101,MAX(0,AF1101-(AD1101-AM1101))),MIN(AF1101,AM1101)))</f>
        <v>0</v>
      </c>
      <c r="AO1101" s="80">
        <f>AF1101-AN1101</f>
        <v>0</v>
      </c>
      <c r="AP1101" s="80">
        <f>AM1101-AN1101</f>
        <v>0</v>
      </c>
      <c r="AQ1101" s="80">
        <f>AD1101-AM1101-AO1101</f>
        <v>0</v>
      </c>
      <c r="AR1101" s="80">
        <f>IF(AM1101=0,0,AK1101-AN1101*AK1101/AM1101)</f>
        <v>0</v>
      </c>
      <c r="AS1101" s="80">
        <f>IF(AD1101-AM1101=0,0,(AJ1101-AK1101)-AO1101*(AJ1101-AK1101)/(AD1101-AM1101))</f>
        <v>0</v>
      </c>
      <c r="AT1101" s="80" t="str">
        <f>IF(AC1101=1,INT(B1101)+1,"")</f>
        <v/>
      </c>
      <c r="AU1101" s="80">
        <f>IF(AND(D1101="proMX",R1101="Cancelled"),0,1)</f>
        <v>1</v>
      </c>
      <c r="AV1101" s="80">
        <f>IF(AND(AB1101=1,AU1101=1),IF(COUNTIFS($D$5:D1100,D1101,$B$5:B1100,B1101,$Z$5:Z1100,Z1101,$AA$5:AA1100,AA1101,$F$5:F1100,F1101&amp;"",$AU$5:AU1100,1)&gt;0,1,0),0)</f>
        <v>0</v>
      </c>
      <c r="AW1101" s="80" t="str">
        <f>IF(AB1101=1,INT(B1101)*1440+Z1101,"")</f>
        <v/>
      </c>
      <c r="AX1101" s="80" t="str">
        <f>IF(AB1101=1,AW1101+AD1101,"")</f>
        <v/>
      </c>
      <c r="AY1101" s="80">
        <f>IF(AND(AB1101=1,AV1101=0,AU1101=1),1,0)</f>
        <v>0</v>
      </c>
      <c r="AZ1101" s="80">
        <f>IF(AY1101=1,COUNTIFS(R_Emp,D1101,R_SAbs,"&lt;"&amp;AX1101,R_EAbs,"&gt;"&amp;AW1101,R_OKey,1)-1,0)</f>
        <v>0</v>
      </c>
      <c r="BA1101" s="80">
        <f>IF(AY1101=1,COUNTIFS(R_Emp,"&lt;&gt;"&amp;D1101,R_SAbs,"&lt;"&amp;AX1101,R_EAbs,"&gt;"&amp;AW1101,R_OKey,1),0)</f>
        <v>0</v>
      </c>
      <c r="BB1101" s="80">
        <f>IF(AND(AB1101=1,D1101="proMX"),IF(AND(MOD(Z1101,CFG_BLK)=0,MOD(AA1101,CFG_BLK)=0,MOD(AG1101,CFG_BLK)=0,AG1101&gt;0),1,0),1)</f>
        <v>1</v>
      </c>
      <c r="BC1101" s="80" t="str">
        <f>IF(Y1101=0,"",IF(NOT(ISNUMBER(B1101)),"Falta fecha o fecha inválida",IF(D1101="","Falta empresa",IF(AND(D1101&lt;&gt;"Malcolm",D1101&lt;&gt;"proMX"),"Empresa inválida",IF(OR(INT(B1101)&lt;CFG_PSTART,INT(B1101)&gt;CFG_PEND),"Fecha fuera del período",IF(OR(NOT(ISNUMBER(Z1101)),NOT(ISNUMBER(AA1101))),"Falta hora inicio/fin o formato inválido",IF(AB1101=0,"Hora inicio = hora fin",IF(AE1101&lt;0,"Descanso inválido",IF(AE1101&gt;=AD1101,"Descanso ≥ duración",IF(AV1101=1,"Registro duplicado",IF(AZ1101&gt;0,"Se superpone con otro registro "&amp;D1101,IF(BB1101=0,"inicio, fin y duración neta deben ser múltiplos de "&amp;CFG_BLK&amp;" min",""))))))))))))</f>
        <v/>
      </c>
      <c r="BD1101" s="80">
        <f>IF(AND(Y1101=1,BC1101=""),1,0)</f>
        <v>0</v>
      </c>
      <c r="BE1101" s="80">
        <f>IF(AND(BD1101=1,AU1101=1),1,0)</f>
        <v>0</v>
      </c>
      <c r="BF1101" s="80" t="str">
        <f>IF(AND(D1101="proMX",BD1101=1),IF(R1101="","Draft",R1101),"")</f>
        <v/>
      </c>
      <c r="BG1101" s="80">
        <f>IF(BD1101=1,ROUND(AG1101/60,6),0)</f>
        <v>0</v>
      </c>
      <c r="BH1101" s="80">
        <f>IF(BE1101=1,ROUND(AG1101/60,6),0)</f>
        <v>0</v>
      </c>
      <c r="BI1101" s="80">
        <f>IF(BE1101=1,ROUND(AP1101/60,6),0)</f>
        <v>0</v>
      </c>
      <c r="BJ1101" s="80">
        <f>IF(BE1101=1,ROUND(AQ1101/60,6),0)</f>
        <v>0</v>
      </c>
      <c r="BK1101" s="80">
        <f>IF(BE1101=1,ROUND((AR1101+AS1101)/60,6),0)</f>
        <v>0</v>
      </c>
      <c r="BL1101" s="80">
        <f>ROUND(BH1101-BK1101,6)</f>
        <v>0</v>
      </c>
      <c r="BM1101" s="80">
        <f>IF(BE1101=1,ROUND(AR1101/60,6),0)</f>
        <v>0</v>
      </c>
      <c r="BN1101" s="80">
        <f>ROUND(BI1101-BM1101,6)</f>
        <v>0</v>
      </c>
      <c r="BO1101" s="80">
        <f>IF(BE1101=1,ROUND(AS1101/60,6),0)</f>
        <v>0</v>
      </c>
      <c r="BP1101" s="80">
        <f>ROUND(BJ1101-BO1101,6)</f>
        <v>0</v>
      </c>
      <c r="BQ1101" s="80">
        <f>IF(BE1101=1,AW1101,0)</f>
        <v>0</v>
      </c>
      <c r="BR1101" s="80">
        <f>IF(BE1101=1,AX1101,0)</f>
        <v>0</v>
      </c>
      <c r="BS1101" s="80">
        <f>IF(AND(BE1101=1,D1101="Malcolm",BA1101&gt;0),MIN(BH1101,SUMPRODUCT((R_Emp="proMX")*(R_EN&gt;0)*((R_EN-(R_EN&gt;BR1101)*(R_EN-BR1101))&gt;(R_SN+(R_SN&lt;BQ1101)*(BQ1101-R_SN)))*((R_EN-(R_EN&gt;BR1101)*(R_EN-BR1101))-(R_SN+(R_SN&lt;BQ1101)*(BQ1101-R_SN))))/60),0)</f>
        <v>0</v>
      </c>
      <c r="BT1101" s="80">
        <f>IF(AND(BE1101=1,D1101="proMX"),ROUND(BI1101*CFG_RATE+BJ1101*CFG_OTRATE,6),0)</f>
        <v>0</v>
      </c>
      <c r="BU1101" s="80">
        <f>IF(AND(BD1101=1,D1101="proMX"),ROUND(AG1101/CFG_BLK,6),0)</f>
        <v>0</v>
      </c>
      <c r="BV1101" s="80" t="str">
        <f>IF(BF1101="Approved",IF(ISNUMBER(T1101),INT(T1101),INT(B1101)),"")</f>
        <v/>
      </c>
      <c r="BW1101" s="80">
        <f>IF(ISNUMBER(B1101),IF(DB_MON="Todos",1,IF(AND(INT(B1101)&gt;=DB_MS,INT(B1101)&lt;=DB_ME),1,0)),0)</f>
        <v>0</v>
      </c>
      <c r="BX1101" s="80">
        <f>IF(DB_PROJ="Todos",1,IF(E1101&amp;""=DB_PROJ&amp;"",1,0))</f>
        <v>1</v>
      </c>
      <c r="BY1101" s="80">
        <f>BW1101*BX1101</f>
        <v>0</v>
      </c>
      <c r="BZ1101" s="80" t="str">
        <f>IF(Y1101=1,F1101&amp;IF(AND(F1101&amp;""&lt;&gt;"",E1101&amp;""&lt;&gt;"")," · ","")&amp;E1101,"")</f>
        <v/>
      </c>
      <c r="CA1101" s="80" t="str">
        <f>IF(AND(BD1101=1,E1101&amp;""&lt;&gt;""),IF(COUNTIFS($E$5:E1100,E1101,$BD$5:BD1100,1)=0,MAX($CA$5:CA1100)+1,""),"")</f>
        <v/>
      </c>
      <c r="CB1101" s="80" t="str">
        <f>IF(AND(BE1101=1,D1101="Malcolm",E1101&amp;""&lt;&gt;""),IF(COUNTIFS($D$5:D1100,"Malcolm",$E$5:E1100,E1101,$BE$5:BE1100,1)=0,MAX($CB$5:CB1100)+1,""),"")</f>
        <v/>
      </c>
      <c r="CC1101" s="80" t="str">
        <f>IF(AND(BD1101=1,D1101="proMX",E1101&amp;""&lt;&gt;""),IF(COUNTIFS($D$5:D1100,"proMX",$E$5:E1100,E1101,$BD$5:BD1100,1)=0,MAX($CC$5:CC1100)+1,""),"")</f>
        <v/>
      </c>
      <c r="CD1101" s="80" t="str">
        <f>IF(AND(BE1101=1,D1101="Malcolm",F1101&amp;""&lt;&gt;""),IF(COUNTIFS($D$5:D1100,"Malcolm",$F$5:F1100,F1101,$BE$5:BE1100,1)=0,MAX($CD$5:CD1100)+1,""),"")</f>
        <v/>
      </c>
      <c r="CE1101" s="80" t="str">
        <f>IF(AND(BD1101=1,D1101="proMX",F1101&amp;""&lt;&gt;""),IF(COUNTIFS($D$5:D1100,"proMX",$F$5:F1100,F1101,$BD$5:BD1100,1)=0,MAX($CE$5:CE1100)+1,""),"")</f>
        <v/>
      </c>
      <c r="CF1101" s="80" t="str">
        <f>IF(AND(D1101="proMX",BD1101=1),IF(OR(BF1101="Draft",BF1101="Submitted",BF1101="Returned",BF1101="Recall Requested"),MAX($CF$5:CF1100)+1,""),"")</f>
        <v/>
      </c>
      <c r="CG1101" s="80">
        <f>IF(BD1101=0,0,IF(D1101="Malcolm",1,MATCH(BF1101,{"Draft","Submitted","Approved","Returned","Recall Requested","Cancelled"},0)+1))</f>
        <v>0</v>
      </c>
      <c r="CH1101" s="80">
        <f>IF(AND(BF1101="Submitted",ISNUMBER(V1101)),IF(V1101&gt;CFG_MAXD,1,0),0)</f>
        <v>0</v>
      </c>
    </row>
    <row r="1102">
      <c r="A1102" s="71" t="str">
        <f>IF(Y1102=1,ROW()-5,"")</f>
        <v/>
      </c>
      <c r="B1102" s="72" t="n"/>
      <c r="C1102" s="71" t="str">
        <f>IF(ISNUMBER(B1102),CHOOSE(WEEKDAY(B1102,2),"Lun","Mar","Mié","Jue","Vie","Sáb","Dom"),"")</f>
        <v/>
      </c>
      <c r="D1102" s="73" t="n"/>
      <c r="E1102" s="74" t="n"/>
      <c r="F1102" s="74" t="n"/>
      <c r="G1102" s="74" t="n"/>
      <c r="H1102" s="75" t="n"/>
      <c r="I1102" s="75" t="n"/>
      <c r="J1102" s="76" t="n"/>
      <c r="K1102" s="77" t="str">
        <f>IF(AB1102=1,ROUND(AG1102/60,4),"")</f>
        <v/>
      </c>
      <c r="L1102" s="77" t="str">
        <f>IF(BD1102=1,ROUND(AP1102/60,4),"")</f>
        <v/>
      </c>
      <c r="M1102" s="77" t="str">
        <f>IF(BD1102=1,ROUND(AQ1102/60,4),"")</f>
        <v/>
      </c>
      <c r="N1102" s="71" t="str">
        <f>IF(AND(D1102="proMX",AB1102=1),ROUND(AG1102/CFG_BLK,2),"")</f>
        <v/>
      </c>
      <c r="O1102" s="77" t="str">
        <f>IF(D1102="proMX",IF(BD1102=1,ROUND(AG1102/60,4),0),"")</f>
        <v/>
      </c>
      <c r="P1102" s="78" t="str">
        <f>IF(Y1102=0,"",IF(BD1102=1,"OK",IF(D1102="proMX","Revisar bloques: ","Revisar: ")&amp;BC1102))</f>
        <v/>
      </c>
      <c r="Q1102" s="78" t="str">
        <f>IF(NOT(ISNUMBER(B1102)),"",IF(COUNTIFS(FER_F,INT(B1102))&gt;0,"Feriado"&amp;IF(AH1102=1," (laborable)"," (no laborable)"),IF(AH1102=1,"Laborable",IF(WEEKDAY(B1102,2)&gt;5,"Fin de semana","No laborable"))))</f>
        <v/>
      </c>
      <c r="R1102" s="73" t="n"/>
      <c r="S1102" s="72" t="n"/>
      <c r="T1102" s="72" t="n"/>
      <c r="U1102" s="74" t="n"/>
      <c r="V1102" s="79" t="str">
        <f>IF(AND(D1102="proMX",OR(R1102="Submitted",R1102="Recall Requested"),ISNUMBER(S1102)),CFG_TODAY-INT(S1102),"")</f>
        <v/>
      </c>
      <c r="W1102" s="78" t="str">
        <f>IF(BD1102=0,"",IF(BA1102&gt;0,"⚠ Se superpone con un registro de la otra empresa",IF(D1102="Malcolm",IF(COUNTA(R1102,S1102,T1102)&gt;0,"Estado/fechas proMX se ignoran en Malcolm",""),IF(BF1102="Cancelled","Cancelado: excluido de totales",IF(R1102="","Sin estado: se trata como Draft",IF(BF1102="Submitted",IF(ISNUMBER(V1102),IF(V1102&gt;CFG_MAXD,"⚠ "&amp;V1102&amp;" días en Submitted (máx. "&amp;CFG_MAXD&amp;")",""),"Falta fecha de envío"),IF(BF1102="Returned","⚠ Devuelto: corregir y reenviar",IF(BF1102="Recall Requested","Retirada solicitada: pendiente",IF(AND(BF1102="Approved",NOT(ISNUMBER(T1102))),"Falta fecha de aprobación",IF(AND(ISNUMBER(S1102),ISNUMBER(T1102),T1102&lt;S1102),"Aprobación anterior al envío","")))))))))</f>
        <v/>
      </c>
      <c r="Y1102" s="80">
        <f>IF(COUNTA(B1102,D1102,E1102,F1102,G1102,H1102,I1102,J1102,R1102,S1102,T1102)&gt;0,1,0)</f>
        <v>0</v>
      </c>
      <c r="Z1102" s="80" t="str">
        <f>IF(AND(ISNUMBER(H1102),H1102&gt;=0,H1102&lt;1),ROUND(H1102*1440,0),"")</f>
        <v/>
      </c>
      <c r="AA1102" s="80" t="str">
        <f>IF(AND(ISNUMBER(I1102),I1102&gt;=0,I1102&lt;1),ROUND(I1102*1440,0),"")</f>
        <v/>
      </c>
      <c r="AB1102" s="80">
        <f>IF(AND(ISNUMBER(B1102),D1102&lt;&gt;"",ISNUMBER(Z1102),ISNUMBER(AA1102)),IF(Z1102=AA1102,0,1),0)</f>
        <v>0</v>
      </c>
      <c r="AC1102" s="80">
        <f>IF(AB1102=1,IF(AA1102&lt;Z1102,1,0),0)</f>
        <v>0</v>
      </c>
      <c r="AD1102" s="80">
        <f>IF(AB1102=1,IF(AC1102=1,1440-Z1102+AA1102,AA1102-Z1102),0)</f>
        <v>0</v>
      </c>
      <c r="AE1102" s="80">
        <f>IF(J1102="",0,IF(ISNUMBER(J1102),J1102,-1))</f>
        <v>0</v>
      </c>
      <c r="AF1102" s="80">
        <f>MIN(MAX(0,AE1102),AD1102)</f>
        <v>0</v>
      </c>
      <c r="AG1102" s="80">
        <f>MAX(0,AD1102-MAX(0,AE1102))</f>
        <v>0</v>
      </c>
      <c r="AH1102" s="80">
        <f>IF(ISNUMBER(B1102),IF(AND(INDEX(CFG_WDAYS,WEEKDAY(INT(B1102),2))="Sí",IF(D1102="proMX",COUNTIFS(FER_F,INT(B1102),FER_NLP,"Sí"),COUNTIFS(FER_F,INT(B1102),FER_NLM,"Sí"))=0),1,0),0)</f>
        <v>0</v>
      </c>
      <c r="AI1102" s="80">
        <f>IF(AC1102=1,IF(AND(INDEX(CFG_WDAYS,WEEKDAY(INT(B1102)+1,2))="Sí",IF(D1102="proMX",COUNTIFS(FER_F,INT(B1102)+1,FER_NLP,"Sí"),COUNTIFS(FER_F,INT(B1102)+1,FER_NLM,"Sí"))=0),1,0),0)</f>
        <v>0</v>
      </c>
      <c r="AJ1102" s="80">
        <f>IF(AC1102=1,1440-Z1102,AD1102)</f>
        <v>0</v>
      </c>
      <c r="AK1102" s="80">
        <f>IF(AND(AB1102=1,AH1102=1),MAX(0,MIN(IF(AC1102=1,1440,AA1102),CFG_WEM)-MAX(Z1102,CFG_WSM)),0)</f>
        <v>0</v>
      </c>
      <c r="AL1102" s="80">
        <f>IF(AND(AC1102=1,AI1102=1),MAX(0,MIN(AA1102,CFG_WEM)-CFG_WSM),0)</f>
        <v>0</v>
      </c>
      <c r="AM1102" s="80">
        <f>AK1102+AL1102</f>
        <v>0</v>
      </c>
      <c r="AN1102" s="80">
        <f>IF(CFG_BRK="Proporcional",IF(AD1102=0,0,AF1102*AM1102/AD1102),IF(CFG_BRK="Extras primero",MIN(AM1102,MAX(0,AF1102-(AD1102-AM1102))),MIN(AF1102,AM1102)))</f>
        <v>0</v>
      </c>
      <c r="AO1102" s="80">
        <f>AF1102-AN1102</f>
        <v>0</v>
      </c>
      <c r="AP1102" s="80">
        <f>AM1102-AN1102</f>
        <v>0</v>
      </c>
      <c r="AQ1102" s="80">
        <f>AD1102-AM1102-AO1102</f>
        <v>0</v>
      </c>
      <c r="AR1102" s="80">
        <f>IF(AM1102=0,0,AK1102-AN1102*AK1102/AM1102)</f>
        <v>0</v>
      </c>
      <c r="AS1102" s="80">
        <f>IF(AD1102-AM1102=0,0,(AJ1102-AK1102)-AO1102*(AJ1102-AK1102)/(AD1102-AM1102))</f>
        <v>0</v>
      </c>
      <c r="AT1102" s="80" t="str">
        <f>IF(AC1102=1,INT(B1102)+1,"")</f>
        <v/>
      </c>
      <c r="AU1102" s="80">
        <f>IF(AND(D1102="proMX",R1102="Cancelled"),0,1)</f>
        <v>1</v>
      </c>
      <c r="AV1102" s="80">
        <f>IF(AND(AB1102=1,AU1102=1),IF(COUNTIFS($D$5:D1101,D1102,$B$5:B1101,B1102,$Z$5:Z1101,Z1102,$AA$5:AA1101,AA1102,$F$5:F1101,F1102&amp;"",$AU$5:AU1101,1)&gt;0,1,0),0)</f>
        <v>0</v>
      </c>
      <c r="AW1102" s="80" t="str">
        <f>IF(AB1102=1,INT(B1102)*1440+Z1102,"")</f>
        <v/>
      </c>
      <c r="AX1102" s="80" t="str">
        <f>IF(AB1102=1,AW1102+AD1102,"")</f>
        <v/>
      </c>
      <c r="AY1102" s="80">
        <f>IF(AND(AB1102=1,AV1102=0,AU1102=1),1,0)</f>
        <v>0</v>
      </c>
      <c r="AZ1102" s="80">
        <f>IF(AY1102=1,COUNTIFS(R_Emp,D1102,R_SAbs,"&lt;"&amp;AX1102,R_EAbs,"&gt;"&amp;AW1102,R_OKey,1)-1,0)</f>
        <v>0</v>
      </c>
      <c r="BA1102" s="80">
        <f>IF(AY1102=1,COUNTIFS(R_Emp,"&lt;&gt;"&amp;D1102,R_SAbs,"&lt;"&amp;AX1102,R_EAbs,"&gt;"&amp;AW1102,R_OKey,1),0)</f>
        <v>0</v>
      </c>
      <c r="BB1102" s="80">
        <f>IF(AND(AB1102=1,D1102="proMX"),IF(AND(MOD(Z1102,CFG_BLK)=0,MOD(AA1102,CFG_BLK)=0,MOD(AG1102,CFG_BLK)=0,AG1102&gt;0),1,0),1)</f>
        <v>1</v>
      </c>
      <c r="BC1102" s="80" t="str">
        <f>IF(Y1102=0,"",IF(NOT(ISNUMBER(B1102)),"Falta fecha o fecha inválida",IF(D1102="","Falta empresa",IF(AND(D1102&lt;&gt;"Malcolm",D1102&lt;&gt;"proMX"),"Empresa inválida",IF(OR(INT(B1102)&lt;CFG_PSTART,INT(B1102)&gt;CFG_PEND),"Fecha fuera del período",IF(OR(NOT(ISNUMBER(Z1102)),NOT(ISNUMBER(AA1102))),"Falta hora inicio/fin o formato inválido",IF(AB1102=0,"Hora inicio = hora fin",IF(AE1102&lt;0,"Descanso inválido",IF(AE1102&gt;=AD1102,"Descanso ≥ duración",IF(AV1102=1,"Registro duplicado",IF(AZ1102&gt;0,"Se superpone con otro registro "&amp;D1102,IF(BB1102=0,"inicio, fin y duración neta deben ser múltiplos de "&amp;CFG_BLK&amp;" min",""))))))))))))</f>
        <v/>
      </c>
      <c r="BD1102" s="80">
        <f>IF(AND(Y1102=1,BC1102=""),1,0)</f>
        <v>0</v>
      </c>
      <c r="BE1102" s="80">
        <f>IF(AND(BD1102=1,AU1102=1),1,0)</f>
        <v>0</v>
      </c>
      <c r="BF1102" s="80" t="str">
        <f>IF(AND(D1102="proMX",BD1102=1),IF(R1102="","Draft",R1102),"")</f>
        <v/>
      </c>
      <c r="BG1102" s="80">
        <f>IF(BD1102=1,ROUND(AG1102/60,6),0)</f>
        <v>0</v>
      </c>
      <c r="BH1102" s="80">
        <f>IF(BE1102=1,ROUND(AG1102/60,6),0)</f>
        <v>0</v>
      </c>
      <c r="BI1102" s="80">
        <f>IF(BE1102=1,ROUND(AP1102/60,6),0)</f>
        <v>0</v>
      </c>
      <c r="BJ1102" s="80">
        <f>IF(BE1102=1,ROUND(AQ1102/60,6),0)</f>
        <v>0</v>
      </c>
      <c r="BK1102" s="80">
        <f>IF(BE1102=1,ROUND((AR1102+AS1102)/60,6),0)</f>
        <v>0</v>
      </c>
      <c r="BL1102" s="80">
        <f>ROUND(BH1102-BK1102,6)</f>
        <v>0</v>
      </c>
      <c r="BM1102" s="80">
        <f>IF(BE1102=1,ROUND(AR1102/60,6),0)</f>
        <v>0</v>
      </c>
      <c r="BN1102" s="80">
        <f>ROUND(BI1102-BM1102,6)</f>
        <v>0</v>
      </c>
      <c r="BO1102" s="80">
        <f>IF(BE1102=1,ROUND(AS1102/60,6),0)</f>
        <v>0</v>
      </c>
      <c r="BP1102" s="80">
        <f>ROUND(BJ1102-BO1102,6)</f>
        <v>0</v>
      </c>
      <c r="BQ1102" s="80">
        <f>IF(BE1102=1,AW1102,0)</f>
        <v>0</v>
      </c>
      <c r="BR1102" s="80">
        <f>IF(BE1102=1,AX1102,0)</f>
        <v>0</v>
      </c>
      <c r="BS1102" s="80">
        <f>IF(AND(BE1102=1,D1102="Malcolm",BA1102&gt;0),MIN(BH1102,SUMPRODUCT((R_Emp="proMX")*(R_EN&gt;0)*((R_EN-(R_EN&gt;BR1102)*(R_EN-BR1102))&gt;(R_SN+(R_SN&lt;BQ1102)*(BQ1102-R_SN)))*((R_EN-(R_EN&gt;BR1102)*(R_EN-BR1102))-(R_SN+(R_SN&lt;BQ1102)*(BQ1102-R_SN))))/60),0)</f>
        <v>0</v>
      </c>
      <c r="BT1102" s="80">
        <f>IF(AND(BE1102=1,D1102="proMX"),ROUND(BI1102*CFG_RATE+BJ1102*CFG_OTRATE,6),0)</f>
        <v>0</v>
      </c>
      <c r="BU1102" s="80">
        <f>IF(AND(BD1102=1,D1102="proMX"),ROUND(AG1102/CFG_BLK,6),0)</f>
        <v>0</v>
      </c>
      <c r="BV1102" s="80" t="str">
        <f>IF(BF1102="Approved",IF(ISNUMBER(T1102),INT(T1102),INT(B1102)),"")</f>
        <v/>
      </c>
      <c r="BW1102" s="80">
        <f>IF(ISNUMBER(B1102),IF(DB_MON="Todos",1,IF(AND(INT(B1102)&gt;=DB_MS,INT(B1102)&lt;=DB_ME),1,0)),0)</f>
        <v>0</v>
      </c>
      <c r="BX1102" s="80">
        <f>IF(DB_PROJ="Todos",1,IF(E1102&amp;""=DB_PROJ&amp;"",1,0))</f>
        <v>1</v>
      </c>
      <c r="BY1102" s="80">
        <f>BW1102*BX1102</f>
        <v>0</v>
      </c>
      <c r="BZ1102" s="80" t="str">
        <f>IF(Y1102=1,F1102&amp;IF(AND(F1102&amp;""&lt;&gt;"",E1102&amp;""&lt;&gt;"")," · ","")&amp;E1102,"")</f>
        <v/>
      </c>
      <c r="CA1102" s="80" t="str">
        <f>IF(AND(BD1102=1,E1102&amp;""&lt;&gt;""),IF(COUNTIFS($E$5:E1101,E1102,$BD$5:BD1101,1)=0,MAX($CA$5:CA1101)+1,""),"")</f>
        <v/>
      </c>
      <c r="CB1102" s="80" t="str">
        <f>IF(AND(BE1102=1,D1102="Malcolm",E1102&amp;""&lt;&gt;""),IF(COUNTIFS($D$5:D1101,"Malcolm",$E$5:E1101,E1102,$BE$5:BE1101,1)=0,MAX($CB$5:CB1101)+1,""),"")</f>
        <v/>
      </c>
      <c r="CC1102" s="80" t="str">
        <f>IF(AND(BD1102=1,D1102="proMX",E1102&amp;""&lt;&gt;""),IF(COUNTIFS($D$5:D1101,"proMX",$E$5:E1101,E1102,$BD$5:BD1101,1)=0,MAX($CC$5:CC1101)+1,""),"")</f>
        <v/>
      </c>
      <c r="CD1102" s="80" t="str">
        <f>IF(AND(BE1102=1,D1102="Malcolm",F1102&amp;""&lt;&gt;""),IF(COUNTIFS($D$5:D1101,"Malcolm",$F$5:F1101,F1102,$BE$5:BE1101,1)=0,MAX($CD$5:CD1101)+1,""),"")</f>
        <v/>
      </c>
      <c r="CE1102" s="80" t="str">
        <f>IF(AND(BD1102=1,D1102="proMX",F1102&amp;""&lt;&gt;""),IF(COUNTIFS($D$5:D1101,"proMX",$F$5:F1101,F1102,$BD$5:BD1101,1)=0,MAX($CE$5:CE1101)+1,""),"")</f>
        <v/>
      </c>
      <c r="CF1102" s="80" t="str">
        <f>IF(AND(D1102="proMX",BD1102=1),IF(OR(BF1102="Draft",BF1102="Submitted",BF1102="Returned",BF1102="Recall Requested"),MAX($CF$5:CF1101)+1,""),"")</f>
        <v/>
      </c>
      <c r="CG1102" s="80">
        <f>IF(BD1102=0,0,IF(D1102="Malcolm",1,MATCH(BF1102,{"Draft","Submitted","Approved","Returned","Recall Requested","Cancelled"},0)+1))</f>
        <v>0</v>
      </c>
      <c r="CH1102" s="80">
        <f>IF(AND(BF1102="Submitted",ISNUMBER(V1102)),IF(V1102&gt;CFG_MAXD,1,0),0)</f>
        <v>0</v>
      </c>
    </row>
    <row r="1103">
      <c r="A1103" s="71" t="str">
        <f>IF(Y1103=1,ROW()-5,"")</f>
        <v/>
      </c>
      <c r="B1103" s="72" t="n"/>
      <c r="C1103" s="71" t="str">
        <f>IF(ISNUMBER(B1103),CHOOSE(WEEKDAY(B1103,2),"Lun","Mar","Mié","Jue","Vie","Sáb","Dom"),"")</f>
        <v/>
      </c>
      <c r="D1103" s="73" t="n"/>
      <c r="E1103" s="74" t="n"/>
      <c r="F1103" s="74" t="n"/>
      <c r="G1103" s="74" t="n"/>
      <c r="H1103" s="75" t="n"/>
      <c r="I1103" s="75" t="n"/>
      <c r="J1103" s="76" t="n"/>
      <c r="K1103" s="77" t="str">
        <f>IF(AB1103=1,ROUND(AG1103/60,4),"")</f>
        <v/>
      </c>
      <c r="L1103" s="77" t="str">
        <f>IF(BD1103=1,ROUND(AP1103/60,4),"")</f>
        <v/>
      </c>
      <c r="M1103" s="77" t="str">
        <f>IF(BD1103=1,ROUND(AQ1103/60,4),"")</f>
        <v/>
      </c>
      <c r="N1103" s="71" t="str">
        <f>IF(AND(D1103="proMX",AB1103=1),ROUND(AG1103/CFG_BLK,2),"")</f>
        <v/>
      </c>
      <c r="O1103" s="77" t="str">
        <f>IF(D1103="proMX",IF(BD1103=1,ROUND(AG1103/60,4),0),"")</f>
        <v/>
      </c>
      <c r="P1103" s="78" t="str">
        <f>IF(Y1103=0,"",IF(BD1103=1,"OK",IF(D1103="proMX","Revisar bloques: ","Revisar: ")&amp;BC1103))</f>
        <v/>
      </c>
      <c r="Q1103" s="78" t="str">
        <f>IF(NOT(ISNUMBER(B1103)),"",IF(COUNTIFS(FER_F,INT(B1103))&gt;0,"Feriado"&amp;IF(AH1103=1," (laborable)"," (no laborable)"),IF(AH1103=1,"Laborable",IF(WEEKDAY(B1103,2)&gt;5,"Fin de semana","No laborable"))))</f>
        <v/>
      </c>
      <c r="R1103" s="73" t="n"/>
      <c r="S1103" s="72" t="n"/>
      <c r="T1103" s="72" t="n"/>
      <c r="U1103" s="74" t="n"/>
      <c r="V1103" s="79" t="str">
        <f>IF(AND(D1103="proMX",OR(R1103="Submitted",R1103="Recall Requested"),ISNUMBER(S1103)),CFG_TODAY-INT(S1103),"")</f>
        <v/>
      </c>
      <c r="W1103" s="78" t="str">
        <f>IF(BD1103=0,"",IF(BA1103&gt;0,"⚠ Se superpone con un registro de la otra empresa",IF(D1103="Malcolm",IF(COUNTA(R1103,S1103,T1103)&gt;0,"Estado/fechas proMX se ignoran en Malcolm",""),IF(BF1103="Cancelled","Cancelado: excluido de totales",IF(R1103="","Sin estado: se trata como Draft",IF(BF1103="Submitted",IF(ISNUMBER(V1103),IF(V1103&gt;CFG_MAXD,"⚠ "&amp;V1103&amp;" días en Submitted (máx. "&amp;CFG_MAXD&amp;")",""),"Falta fecha de envío"),IF(BF1103="Returned","⚠ Devuelto: corregir y reenviar",IF(BF1103="Recall Requested","Retirada solicitada: pendiente",IF(AND(BF1103="Approved",NOT(ISNUMBER(T1103))),"Falta fecha de aprobación",IF(AND(ISNUMBER(S1103),ISNUMBER(T1103),T1103&lt;S1103),"Aprobación anterior al envío","")))))))))</f>
        <v/>
      </c>
      <c r="Y1103" s="80">
        <f>IF(COUNTA(B1103,D1103,E1103,F1103,G1103,H1103,I1103,J1103,R1103,S1103,T1103)&gt;0,1,0)</f>
        <v>0</v>
      </c>
      <c r="Z1103" s="80" t="str">
        <f>IF(AND(ISNUMBER(H1103),H1103&gt;=0,H1103&lt;1),ROUND(H1103*1440,0),"")</f>
        <v/>
      </c>
      <c r="AA1103" s="80" t="str">
        <f>IF(AND(ISNUMBER(I1103),I1103&gt;=0,I1103&lt;1),ROUND(I1103*1440,0),"")</f>
        <v/>
      </c>
      <c r="AB1103" s="80">
        <f>IF(AND(ISNUMBER(B1103),D1103&lt;&gt;"",ISNUMBER(Z1103),ISNUMBER(AA1103)),IF(Z1103=AA1103,0,1),0)</f>
        <v>0</v>
      </c>
      <c r="AC1103" s="80">
        <f>IF(AB1103=1,IF(AA1103&lt;Z1103,1,0),0)</f>
        <v>0</v>
      </c>
      <c r="AD1103" s="80">
        <f>IF(AB1103=1,IF(AC1103=1,1440-Z1103+AA1103,AA1103-Z1103),0)</f>
        <v>0</v>
      </c>
      <c r="AE1103" s="80">
        <f>IF(J1103="",0,IF(ISNUMBER(J1103),J1103,-1))</f>
        <v>0</v>
      </c>
      <c r="AF1103" s="80">
        <f>MIN(MAX(0,AE1103),AD1103)</f>
        <v>0</v>
      </c>
      <c r="AG1103" s="80">
        <f>MAX(0,AD1103-MAX(0,AE1103))</f>
        <v>0</v>
      </c>
      <c r="AH1103" s="80">
        <f>IF(ISNUMBER(B1103),IF(AND(INDEX(CFG_WDAYS,WEEKDAY(INT(B1103),2))="Sí",IF(D1103="proMX",COUNTIFS(FER_F,INT(B1103),FER_NLP,"Sí"),COUNTIFS(FER_F,INT(B1103),FER_NLM,"Sí"))=0),1,0),0)</f>
        <v>0</v>
      </c>
      <c r="AI1103" s="80">
        <f>IF(AC1103=1,IF(AND(INDEX(CFG_WDAYS,WEEKDAY(INT(B1103)+1,2))="Sí",IF(D1103="proMX",COUNTIFS(FER_F,INT(B1103)+1,FER_NLP,"Sí"),COUNTIFS(FER_F,INT(B1103)+1,FER_NLM,"Sí"))=0),1,0),0)</f>
        <v>0</v>
      </c>
      <c r="AJ1103" s="80">
        <f>IF(AC1103=1,1440-Z1103,AD1103)</f>
        <v>0</v>
      </c>
      <c r="AK1103" s="80">
        <f>IF(AND(AB1103=1,AH1103=1),MAX(0,MIN(IF(AC1103=1,1440,AA1103),CFG_WEM)-MAX(Z1103,CFG_WSM)),0)</f>
        <v>0</v>
      </c>
      <c r="AL1103" s="80">
        <f>IF(AND(AC1103=1,AI1103=1),MAX(0,MIN(AA1103,CFG_WEM)-CFG_WSM),0)</f>
        <v>0</v>
      </c>
      <c r="AM1103" s="80">
        <f>AK1103+AL1103</f>
        <v>0</v>
      </c>
      <c r="AN1103" s="80">
        <f>IF(CFG_BRK="Proporcional",IF(AD1103=0,0,AF1103*AM1103/AD1103),IF(CFG_BRK="Extras primero",MIN(AM1103,MAX(0,AF1103-(AD1103-AM1103))),MIN(AF1103,AM1103)))</f>
        <v>0</v>
      </c>
      <c r="AO1103" s="80">
        <f>AF1103-AN1103</f>
        <v>0</v>
      </c>
      <c r="AP1103" s="80">
        <f>AM1103-AN1103</f>
        <v>0</v>
      </c>
      <c r="AQ1103" s="80">
        <f>AD1103-AM1103-AO1103</f>
        <v>0</v>
      </c>
      <c r="AR1103" s="80">
        <f>IF(AM1103=0,0,AK1103-AN1103*AK1103/AM1103)</f>
        <v>0</v>
      </c>
      <c r="AS1103" s="80">
        <f>IF(AD1103-AM1103=0,0,(AJ1103-AK1103)-AO1103*(AJ1103-AK1103)/(AD1103-AM1103))</f>
        <v>0</v>
      </c>
      <c r="AT1103" s="80" t="str">
        <f>IF(AC1103=1,INT(B1103)+1,"")</f>
        <v/>
      </c>
      <c r="AU1103" s="80">
        <f>IF(AND(D1103="proMX",R1103="Cancelled"),0,1)</f>
        <v>1</v>
      </c>
      <c r="AV1103" s="80">
        <f>IF(AND(AB1103=1,AU1103=1),IF(COUNTIFS($D$5:D1102,D1103,$B$5:B1102,B1103,$Z$5:Z1102,Z1103,$AA$5:AA1102,AA1103,$F$5:F1102,F1103&amp;"",$AU$5:AU1102,1)&gt;0,1,0),0)</f>
        <v>0</v>
      </c>
      <c r="AW1103" s="80" t="str">
        <f>IF(AB1103=1,INT(B1103)*1440+Z1103,"")</f>
        <v/>
      </c>
      <c r="AX1103" s="80" t="str">
        <f>IF(AB1103=1,AW1103+AD1103,"")</f>
        <v/>
      </c>
      <c r="AY1103" s="80">
        <f>IF(AND(AB1103=1,AV1103=0,AU1103=1),1,0)</f>
        <v>0</v>
      </c>
      <c r="AZ1103" s="80">
        <f>IF(AY1103=1,COUNTIFS(R_Emp,D1103,R_SAbs,"&lt;"&amp;AX1103,R_EAbs,"&gt;"&amp;AW1103,R_OKey,1)-1,0)</f>
        <v>0</v>
      </c>
      <c r="BA1103" s="80">
        <f>IF(AY1103=1,COUNTIFS(R_Emp,"&lt;&gt;"&amp;D1103,R_SAbs,"&lt;"&amp;AX1103,R_EAbs,"&gt;"&amp;AW1103,R_OKey,1),0)</f>
        <v>0</v>
      </c>
      <c r="BB1103" s="80">
        <f>IF(AND(AB1103=1,D1103="proMX"),IF(AND(MOD(Z1103,CFG_BLK)=0,MOD(AA1103,CFG_BLK)=0,MOD(AG1103,CFG_BLK)=0,AG1103&gt;0),1,0),1)</f>
        <v>1</v>
      </c>
      <c r="BC1103" s="80" t="str">
        <f>IF(Y1103=0,"",IF(NOT(ISNUMBER(B1103)),"Falta fecha o fecha inválida",IF(D1103="","Falta empresa",IF(AND(D1103&lt;&gt;"Malcolm",D1103&lt;&gt;"proMX"),"Empresa inválida",IF(OR(INT(B1103)&lt;CFG_PSTART,INT(B1103)&gt;CFG_PEND),"Fecha fuera del período",IF(OR(NOT(ISNUMBER(Z1103)),NOT(ISNUMBER(AA1103))),"Falta hora inicio/fin o formato inválido",IF(AB1103=0,"Hora inicio = hora fin",IF(AE1103&lt;0,"Descanso inválido",IF(AE1103&gt;=AD1103,"Descanso ≥ duración",IF(AV1103=1,"Registro duplicado",IF(AZ1103&gt;0,"Se superpone con otro registro "&amp;D1103,IF(BB1103=0,"inicio, fin y duración neta deben ser múltiplos de "&amp;CFG_BLK&amp;" min",""))))))))))))</f>
        <v/>
      </c>
      <c r="BD1103" s="80">
        <f>IF(AND(Y1103=1,BC1103=""),1,0)</f>
        <v>0</v>
      </c>
      <c r="BE1103" s="80">
        <f>IF(AND(BD1103=1,AU1103=1),1,0)</f>
        <v>0</v>
      </c>
      <c r="BF1103" s="80" t="str">
        <f>IF(AND(D1103="proMX",BD1103=1),IF(R1103="","Draft",R1103),"")</f>
        <v/>
      </c>
      <c r="BG1103" s="80">
        <f>IF(BD1103=1,ROUND(AG1103/60,6),0)</f>
        <v>0</v>
      </c>
      <c r="BH1103" s="80">
        <f>IF(BE1103=1,ROUND(AG1103/60,6),0)</f>
        <v>0</v>
      </c>
      <c r="BI1103" s="80">
        <f>IF(BE1103=1,ROUND(AP1103/60,6),0)</f>
        <v>0</v>
      </c>
      <c r="BJ1103" s="80">
        <f>IF(BE1103=1,ROUND(AQ1103/60,6),0)</f>
        <v>0</v>
      </c>
      <c r="BK1103" s="80">
        <f>IF(BE1103=1,ROUND((AR1103+AS1103)/60,6),0)</f>
        <v>0</v>
      </c>
      <c r="BL1103" s="80">
        <f>ROUND(BH1103-BK1103,6)</f>
        <v>0</v>
      </c>
      <c r="BM1103" s="80">
        <f>IF(BE1103=1,ROUND(AR1103/60,6),0)</f>
        <v>0</v>
      </c>
      <c r="BN1103" s="80">
        <f>ROUND(BI1103-BM1103,6)</f>
        <v>0</v>
      </c>
      <c r="BO1103" s="80">
        <f>IF(BE1103=1,ROUND(AS1103/60,6),0)</f>
        <v>0</v>
      </c>
      <c r="BP1103" s="80">
        <f>ROUND(BJ1103-BO1103,6)</f>
        <v>0</v>
      </c>
      <c r="BQ1103" s="80">
        <f>IF(BE1103=1,AW1103,0)</f>
        <v>0</v>
      </c>
      <c r="BR1103" s="80">
        <f>IF(BE1103=1,AX1103,0)</f>
        <v>0</v>
      </c>
      <c r="BS1103" s="80">
        <f>IF(AND(BE1103=1,D1103="Malcolm",BA1103&gt;0),MIN(BH1103,SUMPRODUCT((R_Emp="proMX")*(R_EN&gt;0)*((R_EN-(R_EN&gt;BR1103)*(R_EN-BR1103))&gt;(R_SN+(R_SN&lt;BQ1103)*(BQ1103-R_SN)))*((R_EN-(R_EN&gt;BR1103)*(R_EN-BR1103))-(R_SN+(R_SN&lt;BQ1103)*(BQ1103-R_SN))))/60),0)</f>
        <v>0</v>
      </c>
      <c r="BT1103" s="80">
        <f>IF(AND(BE1103=1,D1103="proMX"),ROUND(BI1103*CFG_RATE+BJ1103*CFG_OTRATE,6),0)</f>
        <v>0</v>
      </c>
      <c r="BU1103" s="80">
        <f>IF(AND(BD1103=1,D1103="proMX"),ROUND(AG1103/CFG_BLK,6),0)</f>
        <v>0</v>
      </c>
      <c r="BV1103" s="80" t="str">
        <f>IF(BF1103="Approved",IF(ISNUMBER(T1103),INT(T1103),INT(B1103)),"")</f>
        <v/>
      </c>
      <c r="BW1103" s="80">
        <f>IF(ISNUMBER(B1103),IF(DB_MON="Todos",1,IF(AND(INT(B1103)&gt;=DB_MS,INT(B1103)&lt;=DB_ME),1,0)),0)</f>
        <v>0</v>
      </c>
      <c r="BX1103" s="80">
        <f>IF(DB_PROJ="Todos",1,IF(E1103&amp;""=DB_PROJ&amp;"",1,0))</f>
        <v>1</v>
      </c>
      <c r="BY1103" s="80">
        <f>BW1103*BX1103</f>
        <v>0</v>
      </c>
      <c r="BZ1103" s="80" t="str">
        <f>IF(Y1103=1,F1103&amp;IF(AND(F1103&amp;""&lt;&gt;"",E1103&amp;""&lt;&gt;"")," · ","")&amp;E1103,"")</f>
        <v/>
      </c>
      <c r="CA1103" s="80" t="str">
        <f>IF(AND(BD1103=1,E1103&amp;""&lt;&gt;""),IF(COUNTIFS($E$5:E1102,E1103,$BD$5:BD1102,1)=0,MAX($CA$5:CA1102)+1,""),"")</f>
        <v/>
      </c>
      <c r="CB1103" s="80" t="str">
        <f>IF(AND(BE1103=1,D1103="Malcolm",E1103&amp;""&lt;&gt;""),IF(COUNTIFS($D$5:D1102,"Malcolm",$E$5:E1102,E1103,$BE$5:BE1102,1)=0,MAX($CB$5:CB1102)+1,""),"")</f>
        <v/>
      </c>
      <c r="CC1103" s="80" t="str">
        <f>IF(AND(BD1103=1,D1103="proMX",E1103&amp;""&lt;&gt;""),IF(COUNTIFS($D$5:D1102,"proMX",$E$5:E1102,E1103,$BD$5:BD1102,1)=0,MAX($CC$5:CC1102)+1,""),"")</f>
        <v/>
      </c>
      <c r="CD1103" s="80" t="str">
        <f>IF(AND(BE1103=1,D1103="Malcolm",F1103&amp;""&lt;&gt;""),IF(COUNTIFS($D$5:D1102,"Malcolm",$F$5:F1102,F1103,$BE$5:BE1102,1)=0,MAX($CD$5:CD1102)+1,""),"")</f>
        <v/>
      </c>
      <c r="CE1103" s="80" t="str">
        <f>IF(AND(BD1103=1,D1103="proMX",F1103&amp;""&lt;&gt;""),IF(COUNTIFS($D$5:D1102,"proMX",$F$5:F1102,F1103,$BD$5:BD1102,1)=0,MAX($CE$5:CE1102)+1,""),"")</f>
        <v/>
      </c>
      <c r="CF1103" s="80" t="str">
        <f>IF(AND(D1103="proMX",BD1103=1),IF(OR(BF1103="Draft",BF1103="Submitted",BF1103="Returned",BF1103="Recall Requested"),MAX($CF$5:CF1102)+1,""),"")</f>
        <v/>
      </c>
      <c r="CG1103" s="80">
        <f>IF(BD1103=0,0,IF(D1103="Malcolm",1,MATCH(BF1103,{"Draft","Submitted","Approved","Returned","Recall Requested","Cancelled"},0)+1))</f>
        <v>0</v>
      </c>
      <c r="CH1103" s="80">
        <f>IF(AND(BF1103="Submitted",ISNUMBER(V1103)),IF(V1103&gt;CFG_MAXD,1,0),0)</f>
        <v>0</v>
      </c>
    </row>
    <row r="1104">
      <c r="A1104" s="71" t="str">
        <f>IF(Y1104=1,ROW()-5,"")</f>
        <v/>
      </c>
      <c r="B1104" s="72" t="n"/>
      <c r="C1104" s="71" t="str">
        <f>IF(ISNUMBER(B1104),CHOOSE(WEEKDAY(B1104,2),"Lun","Mar","Mié","Jue","Vie","Sáb","Dom"),"")</f>
        <v/>
      </c>
      <c r="D1104" s="73" t="n"/>
      <c r="E1104" s="74" t="n"/>
      <c r="F1104" s="74" t="n"/>
      <c r="G1104" s="74" t="n"/>
      <c r="H1104" s="75" t="n"/>
      <c r="I1104" s="75" t="n"/>
      <c r="J1104" s="76" t="n"/>
      <c r="K1104" s="77" t="str">
        <f>IF(AB1104=1,ROUND(AG1104/60,4),"")</f>
        <v/>
      </c>
      <c r="L1104" s="77" t="str">
        <f>IF(BD1104=1,ROUND(AP1104/60,4),"")</f>
        <v/>
      </c>
      <c r="M1104" s="77" t="str">
        <f>IF(BD1104=1,ROUND(AQ1104/60,4),"")</f>
        <v/>
      </c>
      <c r="N1104" s="71" t="str">
        <f>IF(AND(D1104="proMX",AB1104=1),ROUND(AG1104/CFG_BLK,2),"")</f>
        <v/>
      </c>
      <c r="O1104" s="77" t="str">
        <f>IF(D1104="proMX",IF(BD1104=1,ROUND(AG1104/60,4),0),"")</f>
        <v/>
      </c>
      <c r="P1104" s="78" t="str">
        <f>IF(Y1104=0,"",IF(BD1104=1,"OK",IF(D1104="proMX","Revisar bloques: ","Revisar: ")&amp;BC1104))</f>
        <v/>
      </c>
      <c r="Q1104" s="78" t="str">
        <f>IF(NOT(ISNUMBER(B1104)),"",IF(COUNTIFS(FER_F,INT(B1104))&gt;0,"Feriado"&amp;IF(AH1104=1," (laborable)"," (no laborable)"),IF(AH1104=1,"Laborable",IF(WEEKDAY(B1104,2)&gt;5,"Fin de semana","No laborable"))))</f>
        <v/>
      </c>
      <c r="R1104" s="73" t="n"/>
      <c r="S1104" s="72" t="n"/>
      <c r="T1104" s="72" t="n"/>
      <c r="U1104" s="74" t="n"/>
      <c r="V1104" s="79" t="str">
        <f>IF(AND(D1104="proMX",OR(R1104="Submitted",R1104="Recall Requested"),ISNUMBER(S1104)),CFG_TODAY-INT(S1104),"")</f>
        <v/>
      </c>
      <c r="W1104" s="78" t="str">
        <f>IF(BD1104=0,"",IF(BA1104&gt;0,"⚠ Se superpone con un registro de la otra empresa",IF(D1104="Malcolm",IF(COUNTA(R1104,S1104,T1104)&gt;0,"Estado/fechas proMX se ignoran en Malcolm",""),IF(BF1104="Cancelled","Cancelado: excluido de totales",IF(R1104="","Sin estado: se trata como Draft",IF(BF1104="Submitted",IF(ISNUMBER(V1104),IF(V1104&gt;CFG_MAXD,"⚠ "&amp;V1104&amp;" días en Submitted (máx. "&amp;CFG_MAXD&amp;")",""),"Falta fecha de envío"),IF(BF1104="Returned","⚠ Devuelto: corregir y reenviar",IF(BF1104="Recall Requested","Retirada solicitada: pendiente",IF(AND(BF1104="Approved",NOT(ISNUMBER(T1104))),"Falta fecha de aprobación",IF(AND(ISNUMBER(S1104),ISNUMBER(T1104),T1104&lt;S1104),"Aprobación anterior al envío","")))))))))</f>
        <v/>
      </c>
      <c r="Y1104" s="80">
        <f>IF(COUNTA(B1104,D1104,E1104,F1104,G1104,H1104,I1104,J1104,R1104,S1104,T1104)&gt;0,1,0)</f>
        <v>0</v>
      </c>
      <c r="Z1104" s="80" t="str">
        <f>IF(AND(ISNUMBER(H1104),H1104&gt;=0,H1104&lt;1),ROUND(H1104*1440,0),"")</f>
        <v/>
      </c>
      <c r="AA1104" s="80" t="str">
        <f>IF(AND(ISNUMBER(I1104),I1104&gt;=0,I1104&lt;1),ROUND(I1104*1440,0),"")</f>
        <v/>
      </c>
      <c r="AB1104" s="80">
        <f>IF(AND(ISNUMBER(B1104),D1104&lt;&gt;"",ISNUMBER(Z1104),ISNUMBER(AA1104)),IF(Z1104=AA1104,0,1),0)</f>
        <v>0</v>
      </c>
      <c r="AC1104" s="80">
        <f>IF(AB1104=1,IF(AA1104&lt;Z1104,1,0),0)</f>
        <v>0</v>
      </c>
      <c r="AD1104" s="80">
        <f>IF(AB1104=1,IF(AC1104=1,1440-Z1104+AA1104,AA1104-Z1104),0)</f>
        <v>0</v>
      </c>
      <c r="AE1104" s="80">
        <f>IF(J1104="",0,IF(ISNUMBER(J1104),J1104,-1))</f>
        <v>0</v>
      </c>
      <c r="AF1104" s="80">
        <f>MIN(MAX(0,AE1104),AD1104)</f>
        <v>0</v>
      </c>
      <c r="AG1104" s="80">
        <f>MAX(0,AD1104-MAX(0,AE1104))</f>
        <v>0</v>
      </c>
      <c r="AH1104" s="80">
        <f>IF(ISNUMBER(B1104),IF(AND(INDEX(CFG_WDAYS,WEEKDAY(INT(B1104),2))="Sí",IF(D1104="proMX",COUNTIFS(FER_F,INT(B1104),FER_NLP,"Sí"),COUNTIFS(FER_F,INT(B1104),FER_NLM,"Sí"))=0),1,0),0)</f>
        <v>0</v>
      </c>
      <c r="AI1104" s="80">
        <f>IF(AC1104=1,IF(AND(INDEX(CFG_WDAYS,WEEKDAY(INT(B1104)+1,2))="Sí",IF(D1104="proMX",COUNTIFS(FER_F,INT(B1104)+1,FER_NLP,"Sí"),COUNTIFS(FER_F,INT(B1104)+1,FER_NLM,"Sí"))=0),1,0),0)</f>
        <v>0</v>
      </c>
      <c r="AJ1104" s="80">
        <f>IF(AC1104=1,1440-Z1104,AD1104)</f>
        <v>0</v>
      </c>
      <c r="AK1104" s="80">
        <f>IF(AND(AB1104=1,AH1104=1),MAX(0,MIN(IF(AC1104=1,1440,AA1104),CFG_WEM)-MAX(Z1104,CFG_WSM)),0)</f>
        <v>0</v>
      </c>
      <c r="AL1104" s="80">
        <f>IF(AND(AC1104=1,AI1104=1),MAX(0,MIN(AA1104,CFG_WEM)-CFG_WSM),0)</f>
        <v>0</v>
      </c>
      <c r="AM1104" s="80">
        <f>AK1104+AL1104</f>
        <v>0</v>
      </c>
      <c r="AN1104" s="80">
        <f>IF(CFG_BRK="Proporcional",IF(AD1104=0,0,AF1104*AM1104/AD1104),IF(CFG_BRK="Extras primero",MIN(AM1104,MAX(0,AF1104-(AD1104-AM1104))),MIN(AF1104,AM1104)))</f>
        <v>0</v>
      </c>
      <c r="AO1104" s="80">
        <f>AF1104-AN1104</f>
        <v>0</v>
      </c>
      <c r="AP1104" s="80">
        <f>AM1104-AN1104</f>
        <v>0</v>
      </c>
      <c r="AQ1104" s="80">
        <f>AD1104-AM1104-AO1104</f>
        <v>0</v>
      </c>
      <c r="AR1104" s="80">
        <f>IF(AM1104=0,0,AK1104-AN1104*AK1104/AM1104)</f>
        <v>0</v>
      </c>
      <c r="AS1104" s="80">
        <f>IF(AD1104-AM1104=0,0,(AJ1104-AK1104)-AO1104*(AJ1104-AK1104)/(AD1104-AM1104))</f>
        <v>0</v>
      </c>
      <c r="AT1104" s="80" t="str">
        <f>IF(AC1104=1,INT(B1104)+1,"")</f>
        <v/>
      </c>
      <c r="AU1104" s="80">
        <f>IF(AND(D1104="proMX",R1104="Cancelled"),0,1)</f>
        <v>1</v>
      </c>
      <c r="AV1104" s="80">
        <f>IF(AND(AB1104=1,AU1104=1),IF(COUNTIFS($D$5:D1103,D1104,$B$5:B1103,B1104,$Z$5:Z1103,Z1104,$AA$5:AA1103,AA1104,$F$5:F1103,F1104&amp;"",$AU$5:AU1103,1)&gt;0,1,0),0)</f>
        <v>0</v>
      </c>
      <c r="AW1104" s="80" t="str">
        <f>IF(AB1104=1,INT(B1104)*1440+Z1104,"")</f>
        <v/>
      </c>
      <c r="AX1104" s="80" t="str">
        <f>IF(AB1104=1,AW1104+AD1104,"")</f>
        <v/>
      </c>
      <c r="AY1104" s="80">
        <f>IF(AND(AB1104=1,AV1104=0,AU1104=1),1,0)</f>
        <v>0</v>
      </c>
      <c r="AZ1104" s="80">
        <f>IF(AY1104=1,COUNTIFS(R_Emp,D1104,R_SAbs,"&lt;"&amp;AX1104,R_EAbs,"&gt;"&amp;AW1104,R_OKey,1)-1,0)</f>
        <v>0</v>
      </c>
      <c r="BA1104" s="80">
        <f>IF(AY1104=1,COUNTIFS(R_Emp,"&lt;&gt;"&amp;D1104,R_SAbs,"&lt;"&amp;AX1104,R_EAbs,"&gt;"&amp;AW1104,R_OKey,1),0)</f>
        <v>0</v>
      </c>
      <c r="BB1104" s="80">
        <f>IF(AND(AB1104=1,D1104="proMX"),IF(AND(MOD(Z1104,CFG_BLK)=0,MOD(AA1104,CFG_BLK)=0,MOD(AG1104,CFG_BLK)=0,AG1104&gt;0),1,0),1)</f>
        <v>1</v>
      </c>
      <c r="BC1104" s="80" t="str">
        <f>IF(Y1104=0,"",IF(NOT(ISNUMBER(B1104)),"Falta fecha o fecha inválida",IF(D1104="","Falta empresa",IF(AND(D1104&lt;&gt;"Malcolm",D1104&lt;&gt;"proMX"),"Empresa inválida",IF(OR(INT(B1104)&lt;CFG_PSTART,INT(B1104)&gt;CFG_PEND),"Fecha fuera del período",IF(OR(NOT(ISNUMBER(Z1104)),NOT(ISNUMBER(AA1104))),"Falta hora inicio/fin o formato inválido",IF(AB1104=0,"Hora inicio = hora fin",IF(AE1104&lt;0,"Descanso inválido",IF(AE1104&gt;=AD1104,"Descanso ≥ duración",IF(AV1104=1,"Registro duplicado",IF(AZ1104&gt;0,"Se superpone con otro registro "&amp;D1104,IF(BB1104=0,"inicio, fin y duración neta deben ser múltiplos de "&amp;CFG_BLK&amp;" min",""))))))))))))</f>
        <v/>
      </c>
      <c r="BD1104" s="80">
        <f>IF(AND(Y1104=1,BC1104=""),1,0)</f>
        <v>0</v>
      </c>
      <c r="BE1104" s="80">
        <f>IF(AND(BD1104=1,AU1104=1),1,0)</f>
        <v>0</v>
      </c>
      <c r="BF1104" s="80" t="str">
        <f>IF(AND(D1104="proMX",BD1104=1),IF(R1104="","Draft",R1104),"")</f>
        <v/>
      </c>
      <c r="BG1104" s="80">
        <f>IF(BD1104=1,ROUND(AG1104/60,6),0)</f>
        <v>0</v>
      </c>
      <c r="BH1104" s="80">
        <f>IF(BE1104=1,ROUND(AG1104/60,6),0)</f>
        <v>0</v>
      </c>
      <c r="BI1104" s="80">
        <f>IF(BE1104=1,ROUND(AP1104/60,6),0)</f>
        <v>0</v>
      </c>
      <c r="BJ1104" s="80">
        <f>IF(BE1104=1,ROUND(AQ1104/60,6),0)</f>
        <v>0</v>
      </c>
      <c r="BK1104" s="80">
        <f>IF(BE1104=1,ROUND((AR1104+AS1104)/60,6),0)</f>
        <v>0</v>
      </c>
      <c r="BL1104" s="80">
        <f>ROUND(BH1104-BK1104,6)</f>
        <v>0</v>
      </c>
      <c r="BM1104" s="80">
        <f>IF(BE1104=1,ROUND(AR1104/60,6),0)</f>
        <v>0</v>
      </c>
      <c r="BN1104" s="80">
        <f>ROUND(BI1104-BM1104,6)</f>
        <v>0</v>
      </c>
      <c r="BO1104" s="80">
        <f>IF(BE1104=1,ROUND(AS1104/60,6),0)</f>
        <v>0</v>
      </c>
      <c r="BP1104" s="80">
        <f>ROUND(BJ1104-BO1104,6)</f>
        <v>0</v>
      </c>
      <c r="BQ1104" s="80">
        <f>IF(BE1104=1,AW1104,0)</f>
        <v>0</v>
      </c>
      <c r="BR1104" s="80">
        <f>IF(BE1104=1,AX1104,0)</f>
        <v>0</v>
      </c>
      <c r="BS1104" s="80">
        <f>IF(AND(BE1104=1,D1104="Malcolm",BA1104&gt;0),MIN(BH1104,SUMPRODUCT((R_Emp="proMX")*(R_EN&gt;0)*((R_EN-(R_EN&gt;BR1104)*(R_EN-BR1104))&gt;(R_SN+(R_SN&lt;BQ1104)*(BQ1104-R_SN)))*((R_EN-(R_EN&gt;BR1104)*(R_EN-BR1104))-(R_SN+(R_SN&lt;BQ1104)*(BQ1104-R_SN))))/60),0)</f>
        <v>0</v>
      </c>
      <c r="BT1104" s="80">
        <f>IF(AND(BE1104=1,D1104="proMX"),ROUND(BI1104*CFG_RATE+BJ1104*CFG_OTRATE,6),0)</f>
        <v>0</v>
      </c>
      <c r="BU1104" s="80">
        <f>IF(AND(BD1104=1,D1104="proMX"),ROUND(AG1104/CFG_BLK,6),0)</f>
        <v>0</v>
      </c>
      <c r="BV1104" s="80" t="str">
        <f>IF(BF1104="Approved",IF(ISNUMBER(T1104),INT(T1104),INT(B1104)),"")</f>
        <v/>
      </c>
      <c r="BW1104" s="80">
        <f>IF(ISNUMBER(B1104),IF(DB_MON="Todos",1,IF(AND(INT(B1104)&gt;=DB_MS,INT(B1104)&lt;=DB_ME),1,0)),0)</f>
        <v>0</v>
      </c>
      <c r="BX1104" s="80">
        <f>IF(DB_PROJ="Todos",1,IF(E1104&amp;""=DB_PROJ&amp;"",1,0))</f>
        <v>1</v>
      </c>
      <c r="BY1104" s="80">
        <f>BW1104*BX1104</f>
        <v>0</v>
      </c>
      <c r="BZ1104" s="80" t="str">
        <f>IF(Y1104=1,F1104&amp;IF(AND(F1104&amp;""&lt;&gt;"",E1104&amp;""&lt;&gt;"")," · ","")&amp;E1104,"")</f>
        <v/>
      </c>
      <c r="CA1104" s="80" t="str">
        <f>IF(AND(BD1104=1,E1104&amp;""&lt;&gt;""),IF(COUNTIFS($E$5:E1103,E1104,$BD$5:BD1103,1)=0,MAX($CA$5:CA1103)+1,""),"")</f>
        <v/>
      </c>
      <c r="CB1104" s="80" t="str">
        <f>IF(AND(BE1104=1,D1104="Malcolm",E1104&amp;""&lt;&gt;""),IF(COUNTIFS($D$5:D1103,"Malcolm",$E$5:E1103,E1104,$BE$5:BE1103,1)=0,MAX($CB$5:CB1103)+1,""),"")</f>
        <v/>
      </c>
      <c r="CC1104" s="80" t="str">
        <f>IF(AND(BD1104=1,D1104="proMX",E1104&amp;""&lt;&gt;""),IF(COUNTIFS($D$5:D1103,"proMX",$E$5:E1103,E1104,$BD$5:BD1103,1)=0,MAX($CC$5:CC1103)+1,""),"")</f>
        <v/>
      </c>
      <c r="CD1104" s="80" t="str">
        <f>IF(AND(BE1104=1,D1104="Malcolm",F1104&amp;""&lt;&gt;""),IF(COUNTIFS($D$5:D1103,"Malcolm",$F$5:F1103,F1104,$BE$5:BE1103,1)=0,MAX($CD$5:CD1103)+1,""),"")</f>
        <v/>
      </c>
      <c r="CE1104" s="80" t="str">
        <f>IF(AND(BD1104=1,D1104="proMX",F1104&amp;""&lt;&gt;""),IF(COUNTIFS($D$5:D1103,"proMX",$F$5:F1103,F1104,$BD$5:BD1103,1)=0,MAX($CE$5:CE1103)+1,""),"")</f>
        <v/>
      </c>
      <c r="CF1104" s="80" t="str">
        <f>IF(AND(D1104="proMX",BD1104=1),IF(OR(BF1104="Draft",BF1104="Submitted",BF1104="Returned",BF1104="Recall Requested"),MAX($CF$5:CF1103)+1,""),"")</f>
        <v/>
      </c>
      <c r="CG1104" s="80">
        <f>IF(BD1104=0,0,IF(D1104="Malcolm",1,MATCH(BF1104,{"Draft","Submitted","Approved","Returned","Recall Requested","Cancelled"},0)+1))</f>
        <v>0</v>
      </c>
      <c r="CH1104" s="80">
        <f>IF(AND(BF1104="Submitted",ISNUMBER(V1104)),IF(V1104&gt;CFG_MAXD,1,0),0)</f>
        <v>0</v>
      </c>
    </row>
    <row r="1105">
      <c r="A1105" s="71" t="str">
        <f>IF(Y1105=1,ROW()-5,"")</f>
        <v/>
      </c>
      <c r="B1105" s="72" t="n"/>
      <c r="C1105" s="71" t="str">
        <f>IF(ISNUMBER(B1105),CHOOSE(WEEKDAY(B1105,2),"Lun","Mar","Mié","Jue","Vie","Sáb","Dom"),"")</f>
        <v/>
      </c>
      <c r="D1105" s="73" t="n"/>
      <c r="E1105" s="74" t="n"/>
      <c r="F1105" s="74" t="n"/>
      <c r="G1105" s="74" t="n"/>
      <c r="H1105" s="75" t="n"/>
      <c r="I1105" s="75" t="n"/>
      <c r="J1105" s="76" t="n"/>
      <c r="K1105" s="77" t="str">
        <f>IF(AB1105=1,ROUND(AG1105/60,4),"")</f>
        <v/>
      </c>
      <c r="L1105" s="77" t="str">
        <f>IF(BD1105=1,ROUND(AP1105/60,4),"")</f>
        <v/>
      </c>
      <c r="M1105" s="77" t="str">
        <f>IF(BD1105=1,ROUND(AQ1105/60,4),"")</f>
        <v/>
      </c>
      <c r="N1105" s="71" t="str">
        <f>IF(AND(D1105="proMX",AB1105=1),ROUND(AG1105/CFG_BLK,2),"")</f>
        <v/>
      </c>
      <c r="O1105" s="77" t="str">
        <f>IF(D1105="proMX",IF(BD1105=1,ROUND(AG1105/60,4),0),"")</f>
        <v/>
      </c>
      <c r="P1105" s="78" t="str">
        <f>IF(Y1105=0,"",IF(BD1105=1,"OK",IF(D1105="proMX","Revisar bloques: ","Revisar: ")&amp;BC1105))</f>
        <v/>
      </c>
      <c r="Q1105" s="78" t="str">
        <f>IF(NOT(ISNUMBER(B1105)),"",IF(COUNTIFS(FER_F,INT(B1105))&gt;0,"Feriado"&amp;IF(AH1105=1," (laborable)"," (no laborable)"),IF(AH1105=1,"Laborable",IF(WEEKDAY(B1105,2)&gt;5,"Fin de semana","No laborable"))))</f>
        <v/>
      </c>
      <c r="R1105" s="73" t="n"/>
      <c r="S1105" s="72" t="n"/>
      <c r="T1105" s="72" t="n"/>
      <c r="U1105" s="74" t="n"/>
      <c r="V1105" s="79" t="str">
        <f>IF(AND(D1105="proMX",OR(R1105="Submitted",R1105="Recall Requested"),ISNUMBER(S1105)),CFG_TODAY-INT(S1105),"")</f>
        <v/>
      </c>
      <c r="W1105" s="78" t="str">
        <f>IF(BD1105=0,"",IF(BA1105&gt;0,"⚠ Se superpone con un registro de la otra empresa",IF(D1105="Malcolm",IF(COUNTA(R1105,S1105,T1105)&gt;0,"Estado/fechas proMX se ignoran en Malcolm",""),IF(BF1105="Cancelled","Cancelado: excluido de totales",IF(R1105="","Sin estado: se trata como Draft",IF(BF1105="Submitted",IF(ISNUMBER(V1105),IF(V1105&gt;CFG_MAXD,"⚠ "&amp;V1105&amp;" días en Submitted (máx. "&amp;CFG_MAXD&amp;")",""),"Falta fecha de envío"),IF(BF1105="Returned","⚠ Devuelto: corregir y reenviar",IF(BF1105="Recall Requested","Retirada solicitada: pendiente",IF(AND(BF1105="Approved",NOT(ISNUMBER(T1105))),"Falta fecha de aprobación",IF(AND(ISNUMBER(S1105),ISNUMBER(T1105),T1105&lt;S1105),"Aprobación anterior al envío","")))))))))</f>
        <v/>
      </c>
      <c r="Y1105" s="80">
        <f>IF(COUNTA(B1105,D1105,E1105,F1105,G1105,H1105,I1105,J1105,R1105,S1105,T1105)&gt;0,1,0)</f>
        <v>0</v>
      </c>
      <c r="Z1105" s="80" t="str">
        <f>IF(AND(ISNUMBER(H1105),H1105&gt;=0,H1105&lt;1),ROUND(H1105*1440,0),"")</f>
        <v/>
      </c>
      <c r="AA1105" s="80" t="str">
        <f>IF(AND(ISNUMBER(I1105),I1105&gt;=0,I1105&lt;1),ROUND(I1105*1440,0),"")</f>
        <v/>
      </c>
      <c r="AB1105" s="80">
        <f>IF(AND(ISNUMBER(B1105),D1105&lt;&gt;"",ISNUMBER(Z1105),ISNUMBER(AA1105)),IF(Z1105=AA1105,0,1),0)</f>
        <v>0</v>
      </c>
      <c r="AC1105" s="80">
        <f>IF(AB1105=1,IF(AA1105&lt;Z1105,1,0),0)</f>
        <v>0</v>
      </c>
      <c r="AD1105" s="80">
        <f>IF(AB1105=1,IF(AC1105=1,1440-Z1105+AA1105,AA1105-Z1105),0)</f>
        <v>0</v>
      </c>
      <c r="AE1105" s="80">
        <f>IF(J1105="",0,IF(ISNUMBER(J1105),J1105,-1))</f>
        <v>0</v>
      </c>
      <c r="AF1105" s="80">
        <f>MIN(MAX(0,AE1105),AD1105)</f>
        <v>0</v>
      </c>
      <c r="AG1105" s="80">
        <f>MAX(0,AD1105-MAX(0,AE1105))</f>
        <v>0</v>
      </c>
      <c r="AH1105" s="80">
        <f>IF(ISNUMBER(B1105),IF(AND(INDEX(CFG_WDAYS,WEEKDAY(INT(B1105),2))="Sí",IF(D1105="proMX",COUNTIFS(FER_F,INT(B1105),FER_NLP,"Sí"),COUNTIFS(FER_F,INT(B1105),FER_NLM,"Sí"))=0),1,0),0)</f>
        <v>0</v>
      </c>
      <c r="AI1105" s="80">
        <f>IF(AC1105=1,IF(AND(INDEX(CFG_WDAYS,WEEKDAY(INT(B1105)+1,2))="Sí",IF(D1105="proMX",COUNTIFS(FER_F,INT(B1105)+1,FER_NLP,"Sí"),COUNTIFS(FER_F,INT(B1105)+1,FER_NLM,"Sí"))=0),1,0),0)</f>
        <v>0</v>
      </c>
      <c r="AJ1105" s="80">
        <f>IF(AC1105=1,1440-Z1105,AD1105)</f>
        <v>0</v>
      </c>
      <c r="AK1105" s="80">
        <f>IF(AND(AB1105=1,AH1105=1),MAX(0,MIN(IF(AC1105=1,1440,AA1105),CFG_WEM)-MAX(Z1105,CFG_WSM)),0)</f>
        <v>0</v>
      </c>
      <c r="AL1105" s="80">
        <f>IF(AND(AC1105=1,AI1105=1),MAX(0,MIN(AA1105,CFG_WEM)-CFG_WSM),0)</f>
        <v>0</v>
      </c>
      <c r="AM1105" s="80">
        <f>AK1105+AL1105</f>
        <v>0</v>
      </c>
      <c r="AN1105" s="80">
        <f>IF(CFG_BRK="Proporcional",IF(AD1105=0,0,AF1105*AM1105/AD1105),IF(CFG_BRK="Extras primero",MIN(AM1105,MAX(0,AF1105-(AD1105-AM1105))),MIN(AF1105,AM1105)))</f>
        <v>0</v>
      </c>
      <c r="AO1105" s="80">
        <f>AF1105-AN1105</f>
        <v>0</v>
      </c>
      <c r="AP1105" s="80">
        <f>AM1105-AN1105</f>
        <v>0</v>
      </c>
      <c r="AQ1105" s="80">
        <f>AD1105-AM1105-AO1105</f>
        <v>0</v>
      </c>
      <c r="AR1105" s="80">
        <f>IF(AM1105=0,0,AK1105-AN1105*AK1105/AM1105)</f>
        <v>0</v>
      </c>
      <c r="AS1105" s="80">
        <f>IF(AD1105-AM1105=0,0,(AJ1105-AK1105)-AO1105*(AJ1105-AK1105)/(AD1105-AM1105))</f>
        <v>0</v>
      </c>
      <c r="AT1105" s="80" t="str">
        <f>IF(AC1105=1,INT(B1105)+1,"")</f>
        <v/>
      </c>
      <c r="AU1105" s="80">
        <f>IF(AND(D1105="proMX",R1105="Cancelled"),0,1)</f>
        <v>1</v>
      </c>
      <c r="AV1105" s="80">
        <f>IF(AND(AB1105=1,AU1105=1),IF(COUNTIFS($D$5:D1104,D1105,$B$5:B1104,B1105,$Z$5:Z1104,Z1105,$AA$5:AA1104,AA1105,$F$5:F1104,F1105&amp;"",$AU$5:AU1104,1)&gt;0,1,0),0)</f>
        <v>0</v>
      </c>
      <c r="AW1105" s="80" t="str">
        <f>IF(AB1105=1,INT(B1105)*1440+Z1105,"")</f>
        <v/>
      </c>
      <c r="AX1105" s="80" t="str">
        <f>IF(AB1105=1,AW1105+AD1105,"")</f>
        <v/>
      </c>
      <c r="AY1105" s="80">
        <f>IF(AND(AB1105=1,AV1105=0,AU1105=1),1,0)</f>
        <v>0</v>
      </c>
      <c r="AZ1105" s="80">
        <f>IF(AY1105=1,COUNTIFS(R_Emp,D1105,R_SAbs,"&lt;"&amp;AX1105,R_EAbs,"&gt;"&amp;AW1105,R_OKey,1)-1,0)</f>
        <v>0</v>
      </c>
      <c r="BA1105" s="80">
        <f>IF(AY1105=1,COUNTIFS(R_Emp,"&lt;&gt;"&amp;D1105,R_SAbs,"&lt;"&amp;AX1105,R_EAbs,"&gt;"&amp;AW1105,R_OKey,1),0)</f>
        <v>0</v>
      </c>
      <c r="BB1105" s="80">
        <f>IF(AND(AB1105=1,D1105="proMX"),IF(AND(MOD(Z1105,CFG_BLK)=0,MOD(AA1105,CFG_BLK)=0,MOD(AG1105,CFG_BLK)=0,AG1105&gt;0),1,0),1)</f>
        <v>1</v>
      </c>
      <c r="BC1105" s="80" t="str">
        <f>IF(Y1105=0,"",IF(NOT(ISNUMBER(B1105)),"Falta fecha o fecha inválida",IF(D1105="","Falta empresa",IF(AND(D1105&lt;&gt;"Malcolm",D1105&lt;&gt;"proMX"),"Empresa inválida",IF(OR(INT(B1105)&lt;CFG_PSTART,INT(B1105)&gt;CFG_PEND),"Fecha fuera del período",IF(OR(NOT(ISNUMBER(Z1105)),NOT(ISNUMBER(AA1105))),"Falta hora inicio/fin o formato inválido",IF(AB1105=0,"Hora inicio = hora fin",IF(AE1105&lt;0,"Descanso inválido",IF(AE1105&gt;=AD1105,"Descanso ≥ duración",IF(AV1105=1,"Registro duplicado",IF(AZ1105&gt;0,"Se superpone con otro registro "&amp;D1105,IF(BB1105=0,"inicio, fin y duración neta deben ser múltiplos de "&amp;CFG_BLK&amp;" min",""))))))))))))</f>
        <v/>
      </c>
      <c r="BD1105" s="80">
        <f>IF(AND(Y1105=1,BC1105=""),1,0)</f>
        <v>0</v>
      </c>
      <c r="BE1105" s="80">
        <f>IF(AND(BD1105=1,AU1105=1),1,0)</f>
        <v>0</v>
      </c>
      <c r="BF1105" s="80" t="str">
        <f>IF(AND(D1105="proMX",BD1105=1),IF(R1105="","Draft",R1105),"")</f>
        <v/>
      </c>
      <c r="BG1105" s="80">
        <f>IF(BD1105=1,ROUND(AG1105/60,6),0)</f>
        <v>0</v>
      </c>
      <c r="BH1105" s="80">
        <f>IF(BE1105=1,ROUND(AG1105/60,6),0)</f>
        <v>0</v>
      </c>
      <c r="BI1105" s="80">
        <f>IF(BE1105=1,ROUND(AP1105/60,6),0)</f>
        <v>0</v>
      </c>
      <c r="BJ1105" s="80">
        <f>IF(BE1105=1,ROUND(AQ1105/60,6),0)</f>
        <v>0</v>
      </c>
      <c r="BK1105" s="80">
        <f>IF(BE1105=1,ROUND((AR1105+AS1105)/60,6),0)</f>
        <v>0</v>
      </c>
      <c r="BL1105" s="80">
        <f>ROUND(BH1105-BK1105,6)</f>
        <v>0</v>
      </c>
      <c r="BM1105" s="80">
        <f>IF(BE1105=1,ROUND(AR1105/60,6),0)</f>
        <v>0</v>
      </c>
      <c r="BN1105" s="80">
        <f>ROUND(BI1105-BM1105,6)</f>
        <v>0</v>
      </c>
      <c r="BO1105" s="80">
        <f>IF(BE1105=1,ROUND(AS1105/60,6),0)</f>
        <v>0</v>
      </c>
      <c r="BP1105" s="80">
        <f>ROUND(BJ1105-BO1105,6)</f>
        <v>0</v>
      </c>
      <c r="BQ1105" s="80">
        <f>IF(BE1105=1,AW1105,0)</f>
        <v>0</v>
      </c>
      <c r="BR1105" s="80">
        <f>IF(BE1105=1,AX1105,0)</f>
        <v>0</v>
      </c>
      <c r="BS1105" s="80">
        <f>IF(AND(BE1105=1,D1105="Malcolm",BA1105&gt;0),MIN(BH1105,SUMPRODUCT((R_Emp="proMX")*(R_EN&gt;0)*((R_EN-(R_EN&gt;BR1105)*(R_EN-BR1105))&gt;(R_SN+(R_SN&lt;BQ1105)*(BQ1105-R_SN)))*((R_EN-(R_EN&gt;BR1105)*(R_EN-BR1105))-(R_SN+(R_SN&lt;BQ1105)*(BQ1105-R_SN))))/60),0)</f>
        <v>0</v>
      </c>
      <c r="BT1105" s="80">
        <f>IF(AND(BE1105=1,D1105="proMX"),ROUND(BI1105*CFG_RATE+BJ1105*CFG_OTRATE,6),0)</f>
        <v>0</v>
      </c>
      <c r="BU1105" s="80">
        <f>IF(AND(BD1105=1,D1105="proMX"),ROUND(AG1105/CFG_BLK,6),0)</f>
        <v>0</v>
      </c>
      <c r="BV1105" s="80" t="str">
        <f>IF(BF1105="Approved",IF(ISNUMBER(T1105),INT(T1105),INT(B1105)),"")</f>
        <v/>
      </c>
      <c r="BW1105" s="80">
        <f>IF(ISNUMBER(B1105),IF(DB_MON="Todos",1,IF(AND(INT(B1105)&gt;=DB_MS,INT(B1105)&lt;=DB_ME),1,0)),0)</f>
        <v>0</v>
      </c>
      <c r="BX1105" s="80">
        <f>IF(DB_PROJ="Todos",1,IF(E1105&amp;""=DB_PROJ&amp;"",1,0))</f>
        <v>1</v>
      </c>
      <c r="BY1105" s="80">
        <f>BW1105*BX1105</f>
        <v>0</v>
      </c>
      <c r="BZ1105" s="80" t="str">
        <f>IF(Y1105=1,F1105&amp;IF(AND(F1105&amp;""&lt;&gt;"",E1105&amp;""&lt;&gt;"")," · ","")&amp;E1105,"")</f>
        <v/>
      </c>
      <c r="CA1105" s="80" t="str">
        <f>IF(AND(BD1105=1,E1105&amp;""&lt;&gt;""),IF(COUNTIFS($E$5:E1104,E1105,$BD$5:BD1104,1)=0,MAX($CA$5:CA1104)+1,""),"")</f>
        <v/>
      </c>
      <c r="CB1105" s="80" t="str">
        <f>IF(AND(BE1105=1,D1105="Malcolm",E1105&amp;""&lt;&gt;""),IF(COUNTIFS($D$5:D1104,"Malcolm",$E$5:E1104,E1105,$BE$5:BE1104,1)=0,MAX($CB$5:CB1104)+1,""),"")</f>
        <v/>
      </c>
      <c r="CC1105" s="80" t="str">
        <f>IF(AND(BD1105=1,D1105="proMX",E1105&amp;""&lt;&gt;""),IF(COUNTIFS($D$5:D1104,"proMX",$E$5:E1104,E1105,$BD$5:BD1104,1)=0,MAX($CC$5:CC1104)+1,""),"")</f>
        <v/>
      </c>
      <c r="CD1105" s="80" t="str">
        <f>IF(AND(BE1105=1,D1105="Malcolm",F1105&amp;""&lt;&gt;""),IF(COUNTIFS($D$5:D1104,"Malcolm",$F$5:F1104,F1105,$BE$5:BE1104,1)=0,MAX($CD$5:CD1104)+1,""),"")</f>
        <v/>
      </c>
      <c r="CE1105" s="80" t="str">
        <f>IF(AND(BD1105=1,D1105="proMX",F1105&amp;""&lt;&gt;""),IF(COUNTIFS($D$5:D1104,"proMX",$F$5:F1104,F1105,$BD$5:BD1104,1)=0,MAX($CE$5:CE1104)+1,""),"")</f>
        <v/>
      </c>
      <c r="CF1105" s="80" t="str">
        <f>IF(AND(D1105="proMX",BD1105=1),IF(OR(BF1105="Draft",BF1105="Submitted",BF1105="Returned",BF1105="Recall Requested"),MAX($CF$5:CF1104)+1,""),"")</f>
        <v/>
      </c>
      <c r="CG1105" s="80">
        <f>IF(BD1105=0,0,IF(D1105="Malcolm",1,MATCH(BF1105,{"Draft","Submitted","Approved","Returned","Recall Requested","Cancelled"},0)+1))</f>
        <v>0</v>
      </c>
      <c r="CH1105" s="80">
        <f>IF(AND(BF1105="Submitted",ISNUMBER(V1105)),IF(V1105&gt;CFG_MAXD,1,0),0)</f>
        <v>0</v>
      </c>
    </row>
    <row r="1106">
      <c r="A1106" s="71" t="str">
        <f>IF(Y1106=1,ROW()-5,"")</f>
        <v/>
      </c>
      <c r="B1106" s="72" t="n"/>
      <c r="C1106" s="71" t="str">
        <f>IF(ISNUMBER(B1106),CHOOSE(WEEKDAY(B1106,2),"Lun","Mar","Mié","Jue","Vie","Sáb","Dom"),"")</f>
        <v/>
      </c>
      <c r="D1106" s="73" t="n"/>
      <c r="E1106" s="74" t="n"/>
      <c r="F1106" s="74" t="n"/>
      <c r="G1106" s="74" t="n"/>
      <c r="H1106" s="75" t="n"/>
      <c r="I1106" s="75" t="n"/>
      <c r="J1106" s="76" t="n"/>
      <c r="K1106" s="77" t="str">
        <f>IF(AB1106=1,ROUND(AG1106/60,4),"")</f>
        <v/>
      </c>
      <c r="L1106" s="77" t="str">
        <f>IF(BD1106=1,ROUND(AP1106/60,4),"")</f>
        <v/>
      </c>
      <c r="M1106" s="77" t="str">
        <f>IF(BD1106=1,ROUND(AQ1106/60,4),"")</f>
        <v/>
      </c>
      <c r="N1106" s="71" t="str">
        <f>IF(AND(D1106="proMX",AB1106=1),ROUND(AG1106/CFG_BLK,2),"")</f>
        <v/>
      </c>
      <c r="O1106" s="77" t="str">
        <f>IF(D1106="proMX",IF(BD1106=1,ROUND(AG1106/60,4),0),"")</f>
        <v/>
      </c>
      <c r="P1106" s="78" t="str">
        <f>IF(Y1106=0,"",IF(BD1106=1,"OK",IF(D1106="proMX","Revisar bloques: ","Revisar: ")&amp;BC1106))</f>
        <v/>
      </c>
      <c r="Q1106" s="78" t="str">
        <f>IF(NOT(ISNUMBER(B1106)),"",IF(COUNTIFS(FER_F,INT(B1106))&gt;0,"Feriado"&amp;IF(AH1106=1," (laborable)"," (no laborable)"),IF(AH1106=1,"Laborable",IF(WEEKDAY(B1106,2)&gt;5,"Fin de semana","No laborable"))))</f>
        <v/>
      </c>
      <c r="R1106" s="73" t="n"/>
      <c r="S1106" s="72" t="n"/>
      <c r="T1106" s="72" t="n"/>
      <c r="U1106" s="74" t="n"/>
      <c r="V1106" s="79" t="str">
        <f>IF(AND(D1106="proMX",OR(R1106="Submitted",R1106="Recall Requested"),ISNUMBER(S1106)),CFG_TODAY-INT(S1106),"")</f>
        <v/>
      </c>
      <c r="W1106" s="78" t="str">
        <f>IF(BD1106=0,"",IF(BA1106&gt;0,"⚠ Se superpone con un registro de la otra empresa",IF(D1106="Malcolm",IF(COUNTA(R1106,S1106,T1106)&gt;0,"Estado/fechas proMX se ignoran en Malcolm",""),IF(BF1106="Cancelled","Cancelado: excluido de totales",IF(R1106="","Sin estado: se trata como Draft",IF(BF1106="Submitted",IF(ISNUMBER(V1106),IF(V1106&gt;CFG_MAXD,"⚠ "&amp;V1106&amp;" días en Submitted (máx. "&amp;CFG_MAXD&amp;")",""),"Falta fecha de envío"),IF(BF1106="Returned","⚠ Devuelto: corregir y reenviar",IF(BF1106="Recall Requested","Retirada solicitada: pendiente",IF(AND(BF1106="Approved",NOT(ISNUMBER(T1106))),"Falta fecha de aprobación",IF(AND(ISNUMBER(S1106),ISNUMBER(T1106),T1106&lt;S1106),"Aprobación anterior al envío","")))))))))</f>
        <v/>
      </c>
      <c r="Y1106" s="80">
        <f>IF(COUNTA(B1106,D1106,E1106,F1106,G1106,H1106,I1106,J1106,R1106,S1106,T1106)&gt;0,1,0)</f>
        <v>0</v>
      </c>
      <c r="Z1106" s="80" t="str">
        <f>IF(AND(ISNUMBER(H1106),H1106&gt;=0,H1106&lt;1),ROUND(H1106*1440,0),"")</f>
        <v/>
      </c>
      <c r="AA1106" s="80" t="str">
        <f>IF(AND(ISNUMBER(I1106),I1106&gt;=0,I1106&lt;1),ROUND(I1106*1440,0),"")</f>
        <v/>
      </c>
      <c r="AB1106" s="80">
        <f>IF(AND(ISNUMBER(B1106),D1106&lt;&gt;"",ISNUMBER(Z1106),ISNUMBER(AA1106)),IF(Z1106=AA1106,0,1),0)</f>
        <v>0</v>
      </c>
      <c r="AC1106" s="80">
        <f>IF(AB1106=1,IF(AA1106&lt;Z1106,1,0),0)</f>
        <v>0</v>
      </c>
      <c r="AD1106" s="80">
        <f>IF(AB1106=1,IF(AC1106=1,1440-Z1106+AA1106,AA1106-Z1106),0)</f>
        <v>0</v>
      </c>
      <c r="AE1106" s="80">
        <f>IF(J1106="",0,IF(ISNUMBER(J1106),J1106,-1))</f>
        <v>0</v>
      </c>
      <c r="AF1106" s="80">
        <f>MIN(MAX(0,AE1106),AD1106)</f>
        <v>0</v>
      </c>
      <c r="AG1106" s="80">
        <f>MAX(0,AD1106-MAX(0,AE1106))</f>
        <v>0</v>
      </c>
      <c r="AH1106" s="80">
        <f>IF(ISNUMBER(B1106),IF(AND(INDEX(CFG_WDAYS,WEEKDAY(INT(B1106),2))="Sí",IF(D1106="proMX",COUNTIFS(FER_F,INT(B1106),FER_NLP,"Sí"),COUNTIFS(FER_F,INT(B1106),FER_NLM,"Sí"))=0),1,0),0)</f>
        <v>0</v>
      </c>
      <c r="AI1106" s="80">
        <f>IF(AC1106=1,IF(AND(INDEX(CFG_WDAYS,WEEKDAY(INT(B1106)+1,2))="Sí",IF(D1106="proMX",COUNTIFS(FER_F,INT(B1106)+1,FER_NLP,"Sí"),COUNTIFS(FER_F,INT(B1106)+1,FER_NLM,"Sí"))=0),1,0),0)</f>
        <v>0</v>
      </c>
      <c r="AJ1106" s="80">
        <f>IF(AC1106=1,1440-Z1106,AD1106)</f>
        <v>0</v>
      </c>
      <c r="AK1106" s="80">
        <f>IF(AND(AB1106=1,AH1106=1),MAX(0,MIN(IF(AC1106=1,1440,AA1106),CFG_WEM)-MAX(Z1106,CFG_WSM)),0)</f>
        <v>0</v>
      </c>
      <c r="AL1106" s="80">
        <f>IF(AND(AC1106=1,AI1106=1),MAX(0,MIN(AA1106,CFG_WEM)-CFG_WSM),0)</f>
        <v>0</v>
      </c>
      <c r="AM1106" s="80">
        <f>AK1106+AL1106</f>
        <v>0</v>
      </c>
      <c r="AN1106" s="80">
        <f>IF(CFG_BRK="Proporcional",IF(AD1106=0,0,AF1106*AM1106/AD1106),IF(CFG_BRK="Extras primero",MIN(AM1106,MAX(0,AF1106-(AD1106-AM1106))),MIN(AF1106,AM1106)))</f>
        <v>0</v>
      </c>
      <c r="AO1106" s="80">
        <f>AF1106-AN1106</f>
        <v>0</v>
      </c>
      <c r="AP1106" s="80">
        <f>AM1106-AN1106</f>
        <v>0</v>
      </c>
      <c r="AQ1106" s="80">
        <f>AD1106-AM1106-AO1106</f>
        <v>0</v>
      </c>
      <c r="AR1106" s="80">
        <f>IF(AM1106=0,0,AK1106-AN1106*AK1106/AM1106)</f>
        <v>0</v>
      </c>
      <c r="AS1106" s="80">
        <f>IF(AD1106-AM1106=0,0,(AJ1106-AK1106)-AO1106*(AJ1106-AK1106)/(AD1106-AM1106))</f>
        <v>0</v>
      </c>
      <c r="AT1106" s="80" t="str">
        <f>IF(AC1106=1,INT(B1106)+1,"")</f>
        <v/>
      </c>
      <c r="AU1106" s="80">
        <f>IF(AND(D1106="proMX",R1106="Cancelled"),0,1)</f>
        <v>1</v>
      </c>
      <c r="AV1106" s="80">
        <f>IF(AND(AB1106=1,AU1106=1),IF(COUNTIFS($D$5:D1105,D1106,$B$5:B1105,B1106,$Z$5:Z1105,Z1106,$AA$5:AA1105,AA1106,$F$5:F1105,F1106&amp;"",$AU$5:AU1105,1)&gt;0,1,0),0)</f>
        <v>0</v>
      </c>
      <c r="AW1106" s="80" t="str">
        <f>IF(AB1106=1,INT(B1106)*1440+Z1106,"")</f>
        <v/>
      </c>
      <c r="AX1106" s="80" t="str">
        <f>IF(AB1106=1,AW1106+AD1106,"")</f>
        <v/>
      </c>
      <c r="AY1106" s="80">
        <f>IF(AND(AB1106=1,AV1106=0,AU1106=1),1,0)</f>
        <v>0</v>
      </c>
      <c r="AZ1106" s="80">
        <f>IF(AY1106=1,COUNTIFS(R_Emp,D1106,R_SAbs,"&lt;"&amp;AX1106,R_EAbs,"&gt;"&amp;AW1106,R_OKey,1)-1,0)</f>
        <v>0</v>
      </c>
      <c r="BA1106" s="80">
        <f>IF(AY1106=1,COUNTIFS(R_Emp,"&lt;&gt;"&amp;D1106,R_SAbs,"&lt;"&amp;AX1106,R_EAbs,"&gt;"&amp;AW1106,R_OKey,1),0)</f>
        <v>0</v>
      </c>
      <c r="BB1106" s="80">
        <f>IF(AND(AB1106=1,D1106="proMX"),IF(AND(MOD(Z1106,CFG_BLK)=0,MOD(AA1106,CFG_BLK)=0,MOD(AG1106,CFG_BLK)=0,AG1106&gt;0),1,0),1)</f>
        <v>1</v>
      </c>
      <c r="BC1106" s="80" t="str">
        <f>IF(Y1106=0,"",IF(NOT(ISNUMBER(B1106)),"Falta fecha o fecha inválida",IF(D1106="","Falta empresa",IF(AND(D1106&lt;&gt;"Malcolm",D1106&lt;&gt;"proMX"),"Empresa inválida",IF(OR(INT(B1106)&lt;CFG_PSTART,INT(B1106)&gt;CFG_PEND),"Fecha fuera del período",IF(OR(NOT(ISNUMBER(Z1106)),NOT(ISNUMBER(AA1106))),"Falta hora inicio/fin o formato inválido",IF(AB1106=0,"Hora inicio = hora fin",IF(AE1106&lt;0,"Descanso inválido",IF(AE1106&gt;=AD1106,"Descanso ≥ duración",IF(AV1106=1,"Registro duplicado",IF(AZ1106&gt;0,"Se superpone con otro registro "&amp;D1106,IF(BB1106=0,"inicio, fin y duración neta deben ser múltiplos de "&amp;CFG_BLK&amp;" min",""))))))))))))</f>
        <v/>
      </c>
      <c r="BD1106" s="80">
        <f>IF(AND(Y1106=1,BC1106=""),1,0)</f>
        <v>0</v>
      </c>
      <c r="BE1106" s="80">
        <f>IF(AND(BD1106=1,AU1106=1),1,0)</f>
        <v>0</v>
      </c>
      <c r="BF1106" s="80" t="str">
        <f>IF(AND(D1106="proMX",BD1106=1),IF(R1106="","Draft",R1106),"")</f>
        <v/>
      </c>
      <c r="BG1106" s="80">
        <f>IF(BD1106=1,ROUND(AG1106/60,6),0)</f>
        <v>0</v>
      </c>
      <c r="BH1106" s="80">
        <f>IF(BE1106=1,ROUND(AG1106/60,6),0)</f>
        <v>0</v>
      </c>
      <c r="BI1106" s="80">
        <f>IF(BE1106=1,ROUND(AP1106/60,6),0)</f>
        <v>0</v>
      </c>
      <c r="BJ1106" s="80">
        <f>IF(BE1106=1,ROUND(AQ1106/60,6),0)</f>
        <v>0</v>
      </c>
      <c r="BK1106" s="80">
        <f>IF(BE1106=1,ROUND((AR1106+AS1106)/60,6),0)</f>
        <v>0</v>
      </c>
      <c r="BL1106" s="80">
        <f>ROUND(BH1106-BK1106,6)</f>
        <v>0</v>
      </c>
      <c r="BM1106" s="80">
        <f>IF(BE1106=1,ROUND(AR1106/60,6),0)</f>
        <v>0</v>
      </c>
      <c r="BN1106" s="80">
        <f>ROUND(BI1106-BM1106,6)</f>
        <v>0</v>
      </c>
      <c r="BO1106" s="80">
        <f>IF(BE1106=1,ROUND(AS1106/60,6),0)</f>
        <v>0</v>
      </c>
      <c r="BP1106" s="80">
        <f>ROUND(BJ1106-BO1106,6)</f>
        <v>0</v>
      </c>
      <c r="BQ1106" s="80">
        <f>IF(BE1106=1,AW1106,0)</f>
        <v>0</v>
      </c>
      <c r="BR1106" s="80">
        <f>IF(BE1106=1,AX1106,0)</f>
        <v>0</v>
      </c>
      <c r="BS1106" s="80">
        <f>IF(AND(BE1106=1,D1106="Malcolm",BA1106&gt;0),MIN(BH1106,SUMPRODUCT((R_Emp="proMX")*(R_EN&gt;0)*((R_EN-(R_EN&gt;BR1106)*(R_EN-BR1106))&gt;(R_SN+(R_SN&lt;BQ1106)*(BQ1106-R_SN)))*((R_EN-(R_EN&gt;BR1106)*(R_EN-BR1106))-(R_SN+(R_SN&lt;BQ1106)*(BQ1106-R_SN))))/60),0)</f>
        <v>0</v>
      </c>
      <c r="BT1106" s="80">
        <f>IF(AND(BE1106=1,D1106="proMX"),ROUND(BI1106*CFG_RATE+BJ1106*CFG_OTRATE,6),0)</f>
        <v>0</v>
      </c>
      <c r="BU1106" s="80">
        <f>IF(AND(BD1106=1,D1106="proMX"),ROUND(AG1106/CFG_BLK,6),0)</f>
        <v>0</v>
      </c>
      <c r="BV1106" s="80" t="str">
        <f>IF(BF1106="Approved",IF(ISNUMBER(T1106),INT(T1106),INT(B1106)),"")</f>
        <v/>
      </c>
      <c r="BW1106" s="80">
        <f>IF(ISNUMBER(B1106),IF(DB_MON="Todos",1,IF(AND(INT(B1106)&gt;=DB_MS,INT(B1106)&lt;=DB_ME),1,0)),0)</f>
        <v>0</v>
      </c>
      <c r="BX1106" s="80">
        <f>IF(DB_PROJ="Todos",1,IF(E1106&amp;""=DB_PROJ&amp;"",1,0))</f>
        <v>1</v>
      </c>
      <c r="BY1106" s="80">
        <f>BW1106*BX1106</f>
        <v>0</v>
      </c>
      <c r="BZ1106" s="80" t="str">
        <f>IF(Y1106=1,F1106&amp;IF(AND(F1106&amp;""&lt;&gt;"",E1106&amp;""&lt;&gt;"")," · ","")&amp;E1106,"")</f>
        <v/>
      </c>
      <c r="CA1106" s="80" t="str">
        <f>IF(AND(BD1106=1,E1106&amp;""&lt;&gt;""),IF(COUNTIFS($E$5:E1105,E1106,$BD$5:BD1105,1)=0,MAX($CA$5:CA1105)+1,""),"")</f>
        <v/>
      </c>
      <c r="CB1106" s="80" t="str">
        <f>IF(AND(BE1106=1,D1106="Malcolm",E1106&amp;""&lt;&gt;""),IF(COUNTIFS($D$5:D1105,"Malcolm",$E$5:E1105,E1106,$BE$5:BE1105,1)=0,MAX($CB$5:CB1105)+1,""),"")</f>
        <v/>
      </c>
      <c r="CC1106" s="80" t="str">
        <f>IF(AND(BD1106=1,D1106="proMX",E1106&amp;""&lt;&gt;""),IF(COUNTIFS($D$5:D1105,"proMX",$E$5:E1105,E1106,$BD$5:BD1105,1)=0,MAX($CC$5:CC1105)+1,""),"")</f>
        <v/>
      </c>
      <c r="CD1106" s="80" t="str">
        <f>IF(AND(BE1106=1,D1106="Malcolm",F1106&amp;""&lt;&gt;""),IF(COUNTIFS($D$5:D1105,"Malcolm",$F$5:F1105,F1106,$BE$5:BE1105,1)=0,MAX($CD$5:CD1105)+1,""),"")</f>
        <v/>
      </c>
      <c r="CE1106" s="80" t="str">
        <f>IF(AND(BD1106=1,D1106="proMX",F1106&amp;""&lt;&gt;""),IF(COUNTIFS($D$5:D1105,"proMX",$F$5:F1105,F1106,$BD$5:BD1105,1)=0,MAX($CE$5:CE1105)+1,""),"")</f>
        <v/>
      </c>
      <c r="CF1106" s="80" t="str">
        <f>IF(AND(D1106="proMX",BD1106=1),IF(OR(BF1106="Draft",BF1106="Submitted",BF1106="Returned",BF1106="Recall Requested"),MAX($CF$5:CF1105)+1,""),"")</f>
        <v/>
      </c>
      <c r="CG1106" s="80">
        <f>IF(BD1106=0,0,IF(D1106="Malcolm",1,MATCH(BF1106,{"Draft","Submitted","Approved","Returned","Recall Requested","Cancelled"},0)+1))</f>
        <v>0</v>
      </c>
      <c r="CH1106" s="80">
        <f>IF(AND(BF1106="Submitted",ISNUMBER(V1106)),IF(V1106&gt;CFG_MAXD,1,0),0)</f>
        <v>0</v>
      </c>
    </row>
    <row r="1107">
      <c r="A1107" s="71" t="str">
        <f>IF(Y1107=1,ROW()-5,"")</f>
        <v/>
      </c>
      <c r="B1107" s="72" t="n"/>
      <c r="C1107" s="71" t="str">
        <f>IF(ISNUMBER(B1107),CHOOSE(WEEKDAY(B1107,2),"Lun","Mar","Mié","Jue","Vie","Sáb","Dom"),"")</f>
        <v/>
      </c>
      <c r="D1107" s="73" t="n"/>
      <c r="E1107" s="74" t="n"/>
      <c r="F1107" s="74" t="n"/>
      <c r="G1107" s="74" t="n"/>
      <c r="H1107" s="75" t="n"/>
      <c r="I1107" s="75" t="n"/>
      <c r="J1107" s="76" t="n"/>
      <c r="K1107" s="77" t="str">
        <f>IF(AB1107=1,ROUND(AG1107/60,4),"")</f>
        <v/>
      </c>
      <c r="L1107" s="77" t="str">
        <f>IF(BD1107=1,ROUND(AP1107/60,4),"")</f>
        <v/>
      </c>
      <c r="M1107" s="77" t="str">
        <f>IF(BD1107=1,ROUND(AQ1107/60,4),"")</f>
        <v/>
      </c>
      <c r="N1107" s="71" t="str">
        <f>IF(AND(D1107="proMX",AB1107=1),ROUND(AG1107/CFG_BLK,2),"")</f>
        <v/>
      </c>
      <c r="O1107" s="77" t="str">
        <f>IF(D1107="proMX",IF(BD1107=1,ROUND(AG1107/60,4),0),"")</f>
        <v/>
      </c>
      <c r="P1107" s="78" t="str">
        <f>IF(Y1107=0,"",IF(BD1107=1,"OK",IF(D1107="proMX","Revisar bloques: ","Revisar: ")&amp;BC1107))</f>
        <v/>
      </c>
      <c r="Q1107" s="78" t="str">
        <f>IF(NOT(ISNUMBER(B1107)),"",IF(COUNTIFS(FER_F,INT(B1107))&gt;0,"Feriado"&amp;IF(AH1107=1," (laborable)"," (no laborable)"),IF(AH1107=1,"Laborable",IF(WEEKDAY(B1107,2)&gt;5,"Fin de semana","No laborable"))))</f>
        <v/>
      </c>
      <c r="R1107" s="73" t="n"/>
      <c r="S1107" s="72" t="n"/>
      <c r="T1107" s="72" t="n"/>
      <c r="U1107" s="74" t="n"/>
      <c r="V1107" s="79" t="str">
        <f>IF(AND(D1107="proMX",OR(R1107="Submitted",R1107="Recall Requested"),ISNUMBER(S1107)),CFG_TODAY-INT(S1107),"")</f>
        <v/>
      </c>
      <c r="W1107" s="78" t="str">
        <f>IF(BD1107=0,"",IF(BA1107&gt;0,"⚠ Se superpone con un registro de la otra empresa",IF(D1107="Malcolm",IF(COUNTA(R1107,S1107,T1107)&gt;0,"Estado/fechas proMX se ignoran en Malcolm",""),IF(BF1107="Cancelled","Cancelado: excluido de totales",IF(R1107="","Sin estado: se trata como Draft",IF(BF1107="Submitted",IF(ISNUMBER(V1107),IF(V1107&gt;CFG_MAXD,"⚠ "&amp;V1107&amp;" días en Submitted (máx. "&amp;CFG_MAXD&amp;")",""),"Falta fecha de envío"),IF(BF1107="Returned","⚠ Devuelto: corregir y reenviar",IF(BF1107="Recall Requested","Retirada solicitada: pendiente",IF(AND(BF1107="Approved",NOT(ISNUMBER(T1107))),"Falta fecha de aprobación",IF(AND(ISNUMBER(S1107),ISNUMBER(T1107),T1107&lt;S1107),"Aprobación anterior al envío","")))))))))</f>
        <v/>
      </c>
      <c r="Y1107" s="80">
        <f>IF(COUNTA(B1107,D1107,E1107,F1107,G1107,H1107,I1107,J1107,R1107,S1107,T1107)&gt;0,1,0)</f>
        <v>0</v>
      </c>
      <c r="Z1107" s="80" t="str">
        <f>IF(AND(ISNUMBER(H1107),H1107&gt;=0,H1107&lt;1),ROUND(H1107*1440,0),"")</f>
        <v/>
      </c>
      <c r="AA1107" s="80" t="str">
        <f>IF(AND(ISNUMBER(I1107),I1107&gt;=0,I1107&lt;1),ROUND(I1107*1440,0),"")</f>
        <v/>
      </c>
      <c r="AB1107" s="80">
        <f>IF(AND(ISNUMBER(B1107),D1107&lt;&gt;"",ISNUMBER(Z1107),ISNUMBER(AA1107)),IF(Z1107=AA1107,0,1),0)</f>
        <v>0</v>
      </c>
      <c r="AC1107" s="80">
        <f>IF(AB1107=1,IF(AA1107&lt;Z1107,1,0),0)</f>
        <v>0</v>
      </c>
      <c r="AD1107" s="80">
        <f>IF(AB1107=1,IF(AC1107=1,1440-Z1107+AA1107,AA1107-Z1107),0)</f>
        <v>0</v>
      </c>
      <c r="AE1107" s="80">
        <f>IF(J1107="",0,IF(ISNUMBER(J1107),J1107,-1))</f>
        <v>0</v>
      </c>
      <c r="AF1107" s="80">
        <f>MIN(MAX(0,AE1107),AD1107)</f>
        <v>0</v>
      </c>
      <c r="AG1107" s="80">
        <f>MAX(0,AD1107-MAX(0,AE1107))</f>
        <v>0</v>
      </c>
      <c r="AH1107" s="80">
        <f>IF(ISNUMBER(B1107),IF(AND(INDEX(CFG_WDAYS,WEEKDAY(INT(B1107),2))="Sí",IF(D1107="proMX",COUNTIFS(FER_F,INT(B1107),FER_NLP,"Sí"),COUNTIFS(FER_F,INT(B1107),FER_NLM,"Sí"))=0),1,0),0)</f>
        <v>0</v>
      </c>
      <c r="AI1107" s="80">
        <f>IF(AC1107=1,IF(AND(INDEX(CFG_WDAYS,WEEKDAY(INT(B1107)+1,2))="Sí",IF(D1107="proMX",COUNTIFS(FER_F,INT(B1107)+1,FER_NLP,"Sí"),COUNTIFS(FER_F,INT(B1107)+1,FER_NLM,"Sí"))=0),1,0),0)</f>
        <v>0</v>
      </c>
      <c r="AJ1107" s="80">
        <f>IF(AC1107=1,1440-Z1107,AD1107)</f>
        <v>0</v>
      </c>
      <c r="AK1107" s="80">
        <f>IF(AND(AB1107=1,AH1107=1),MAX(0,MIN(IF(AC1107=1,1440,AA1107),CFG_WEM)-MAX(Z1107,CFG_WSM)),0)</f>
        <v>0</v>
      </c>
      <c r="AL1107" s="80">
        <f>IF(AND(AC1107=1,AI1107=1),MAX(0,MIN(AA1107,CFG_WEM)-CFG_WSM),0)</f>
        <v>0</v>
      </c>
      <c r="AM1107" s="80">
        <f>AK1107+AL1107</f>
        <v>0</v>
      </c>
      <c r="AN1107" s="80">
        <f>IF(CFG_BRK="Proporcional",IF(AD1107=0,0,AF1107*AM1107/AD1107),IF(CFG_BRK="Extras primero",MIN(AM1107,MAX(0,AF1107-(AD1107-AM1107))),MIN(AF1107,AM1107)))</f>
        <v>0</v>
      </c>
      <c r="AO1107" s="80">
        <f>AF1107-AN1107</f>
        <v>0</v>
      </c>
      <c r="AP1107" s="80">
        <f>AM1107-AN1107</f>
        <v>0</v>
      </c>
      <c r="AQ1107" s="80">
        <f>AD1107-AM1107-AO1107</f>
        <v>0</v>
      </c>
      <c r="AR1107" s="80">
        <f>IF(AM1107=0,0,AK1107-AN1107*AK1107/AM1107)</f>
        <v>0</v>
      </c>
      <c r="AS1107" s="80">
        <f>IF(AD1107-AM1107=0,0,(AJ1107-AK1107)-AO1107*(AJ1107-AK1107)/(AD1107-AM1107))</f>
        <v>0</v>
      </c>
      <c r="AT1107" s="80" t="str">
        <f>IF(AC1107=1,INT(B1107)+1,"")</f>
        <v/>
      </c>
      <c r="AU1107" s="80">
        <f>IF(AND(D1107="proMX",R1107="Cancelled"),0,1)</f>
        <v>1</v>
      </c>
      <c r="AV1107" s="80">
        <f>IF(AND(AB1107=1,AU1107=1),IF(COUNTIFS($D$5:D1106,D1107,$B$5:B1106,B1107,$Z$5:Z1106,Z1107,$AA$5:AA1106,AA1107,$F$5:F1106,F1107&amp;"",$AU$5:AU1106,1)&gt;0,1,0),0)</f>
        <v>0</v>
      </c>
      <c r="AW1107" s="80" t="str">
        <f>IF(AB1107=1,INT(B1107)*1440+Z1107,"")</f>
        <v/>
      </c>
      <c r="AX1107" s="80" t="str">
        <f>IF(AB1107=1,AW1107+AD1107,"")</f>
        <v/>
      </c>
      <c r="AY1107" s="80">
        <f>IF(AND(AB1107=1,AV1107=0,AU1107=1),1,0)</f>
        <v>0</v>
      </c>
      <c r="AZ1107" s="80">
        <f>IF(AY1107=1,COUNTIFS(R_Emp,D1107,R_SAbs,"&lt;"&amp;AX1107,R_EAbs,"&gt;"&amp;AW1107,R_OKey,1)-1,0)</f>
        <v>0</v>
      </c>
      <c r="BA1107" s="80">
        <f>IF(AY1107=1,COUNTIFS(R_Emp,"&lt;&gt;"&amp;D1107,R_SAbs,"&lt;"&amp;AX1107,R_EAbs,"&gt;"&amp;AW1107,R_OKey,1),0)</f>
        <v>0</v>
      </c>
      <c r="BB1107" s="80">
        <f>IF(AND(AB1107=1,D1107="proMX"),IF(AND(MOD(Z1107,CFG_BLK)=0,MOD(AA1107,CFG_BLK)=0,MOD(AG1107,CFG_BLK)=0,AG1107&gt;0),1,0),1)</f>
        <v>1</v>
      </c>
      <c r="BC1107" s="80" t="str">
        <f>IF(Y1107=0,"",IF(NOT(ISNUMBER(B1107)),"Falta fecha o fecha inválida",IF(D1107="","Falta empresa",IF(AND(D1107&lt;&gt;"Malcolm",D1107&lt;&gt;"proMX"),"Empresa inválida",IF(OR(INT(B1107)&lt;CFG_PSTART,INT(B1107)&gt;CFG_PEND),"Fecha fuera del período",IF(OR(NOT(ISNUMBER(Z1107)),NOT(ISNUMBER(AA1107))),"Falta hora inicio/fin o formato inválido",IF(AB1107=0,"Hora inicio = hora fin",IF(AE1107&lt;0,"Descanso inválido",IF(AE1107&gt;=AD1107,"Descanso ≥ duración",IF(AV1107=1,"Registro duplicado",IF(AZ1107&gt;0,"Se superpone con otro registro "&amp;D1107,IF(BB1107=0,"inicio, fin y duración neta deben ser múltiplos de "&amp;CFG_BLK&amp;" min",""))))))))))))</f>
        <v/>
      </c>
      <c r="BD1107" s="80">
        <f>IF(AND(Y1107=1,BC1107=""),1,0)</f>
        <v>0</v>
      </c>
      <c r="BE1107" s="80">
        <f>IF(AND(BD1107=1,AU1107=1),1,0)</f>
        <v>0</v>
      </c>
      <c r="BF1107" s="80" t="str">
        <f>IF(AND(D1107="proMX",BD1107=1),IF(R1107="","Draft",R1107),"")</f>
        <v/>
      </c>
      <c r="BG1107" s="80">
        <f>IF(BD1107=1,ROUND(AG1107/60,6),0)</f>
        <v>0</v>
      </c>
      <c r="BH1107" s="80">
        <f>IF(BE1107=1,ROUND(AG1107/60,6),0)</f>
        <v>0</v>
      </c>
      <c r="BI1107" s="80">
        <f>IF(BE1107=1,ROUND(AP1107/60,6),0)</f>
        <v>0</v>
      </c>
      <c r="BJ1107" s="80">
        <f>IF(BE1107=1,ROUND(AQ1107/60,6),0)</f>
        <v>0</v>
      </c>
      <c r="BK1107" s="80">
        <f>IF(BE1107=1,ROUND((AR1107+AS1107)/60,6),0)</f>
        <v>0</v>
      </c>
      <c r="BL1107" s="80">
        <f>ROUND(BH1107-BK1107,6)</f>
        <v>0</v>
      </c>
      <c r="BM1107" s="80">
        <f>IF(BE1107=1,ROUND(AR1107/60,6),0)</f>
        <v>0</v>
      </c>
      <c r="BN1107" s="80">
        <f>ROUND(BI1107-BM1107,6)</f>
        <v>0</v>
      </c>
      <c r="BO1107" s="80">
        <f>IF(BE1107=1,ROUND(AS1107/60,6),0)</f>
        <v>0</v>
      </c>
      <c r="BP1107" s="80">
        <f>ROUND(BJ1107-BO1107,6)</f>
        <v>0</v>
      </c>
      <c r="BQ1107" s="80">
        <f>IF(BE1107=1,AW1107,0)</f>
        <v>0</v>
      </c>
      <c r="BR1107" s="80">
        <f>IF(BE1107=1,AX1107,0)</f>
        <v>0</v>
      </c>
      <c r="BS1107" s="80">
        <f>IF(AND(BE1107=1,D1107="Malcolm",BA1107&gt;0),MIN(BH1107,SUMPRODUCT((R_Emp="proMX")*(R_EN&gt;0)*((R_EN-(R_EN&gt;BR1107)*(R_EN-BR1107))&gt;(R_SN+(R_SN&lt;BQ1107)*(BQ1107-R_SN)))*((R_EN-(R_EN&gt;BR1107)*(R_EN-BR1107))-(R_SN+(R_SN&lt;BQ1107)*(BQ1107-R_SN))))/60),0)</f>
        <v>0</v>
      </c>
      <c r="BT1107" s="80">
        <f>IF(AND(BE1107=1,D1107="proMX"),ROUND(BI1107*CFG_RATE+BJ1107*CFG_OTRATE,6),0)</f>
        <v>0</v>
      </c>
      <c r="BU1107" s="80">
        <f>IF(AND(BD1107=1,D1107="proMX"),ROUND(AG1107/CFG_BLK,6),0)</f>
        <v>0</v>
      </c>
      <c r="BV1107" s="80" t="str">
        <f>IF(BF1107="Approved",IF(ISNUMBER(T1107),INT(T1107),INT(B1107)),"")</f>
        <v/>
      </c>
      <c r="BW1107" s="80">
        <f>IF(ISNUMBER(B1107),IF(DB_MON="Todos",1,IF(AND(INT(B1107)&gt;=DB_MS,INT(B1107)&lt;=DB_ME),1,0)),0)</f>
        <v>0</v>
      </c>
      <c r="BX1107" s="80">
        <f>IF(DB_PROJ="Todos",1,IF(E1107&amp;""=DB_PROJ&amp;"",1,0))</f>
        <v>1</v>
      </c>
      <c r="BY1107" s="80">
        <f>BW1107*BX1107</f>
        <v>0</v>
      </c>
      <c r="BZ1107" s="80" t="str">
        <f>IF(Y1107=1,F1107&amp;IF(AND(F1107&amp;""&lt;&gt;"",E1107&amp;""&lt;&gt;"")," · ","")&amp;E1107,"")</f>
        <v/>
      </c>
      <c r="CA1107" s="80" t="str">
        <f>IF(AND(BD1107=1,E1107&amp;""&lt;&gt;""),IF(COUNTIFS($E$5:E1106,E1107,$BD$5:BD1106,1)=0,MAX($CA$5:CA1106)+1,""),"")</f>
        <v/>
      </c>
      <c r="CB1107" s="80" t="str">
        <f>IF(AND(BE1107=1,D1107="Malcolm",E1107&amp;""&lt;&gt;""),IF(COUNTIFS($D$5:D1106,"Malcolm",$E$5:E1106,E1107,$BE$5:BE1106,1)=0,MAX($CB$5:CB1106)+1,""),"")</f>
        <v/>
      </c>
      <c r="CC1107" s="80" t="str">
        <f>IF(AND(BD1107=1,D1107="proMX",E1107&amp;""&lt;&gt;""),IF(COUNTIFS($D$5:D1106,"proMX",$E$5:E1106,E1107,$BD$5:BD1106,1)=0,MAX($CC$5:CC1106)+1,""),"")</f>
        <v/>
      </c>
      <c r="CD1107" s="80" t="str">
        <f>IF(AND(BE1107=1,D1107="Malcolm",F1107&amp;""&lt;&gt;""),IF(COUNTIFS($D$5:D1106,"Malcolm",$F$5:F1106,F1107,$BE$5:BE1106,1)=0,MAX($CD$5:CD1106)+1,""),"")</f>
        <v/>
      </c>
      <c r="CE1107" s="80" t="str">
        <f>IF(AND(BD1107=1,D1107="proMX",F1107&amp;""&lt;&gt;""),IF(COUNTIFS($D$5:D1106,"proMX",$F$5:F1106,F1107,$BD$5:BD1106,1)=0,MAX($CE$5:CE1106)+1,""),"")</f>
        <v/>
      </c>
      <c r="CF1107" s="80" t="str">
        <f>IF(AND(D1107="proMX",BD1107=1),IF(OR(BF1107="Draft",BF1107="Submitted",BF1107="Returned",BF1107="Recall Requested"),MAX($CF$5:CF1106)+1,""),"")</f>
        <v/>
      </c>
      <c r="CG1107" s="80">
        <f>IF(BD1107=0,0,IF(D1107="Malcolm",1,MATCH(BF1107,{"Draft","Submitted","Approved","Returned","Recall Requested","Cancelled"},0)+1))</f>
        <v>0</v>
      </c>
      <c r="CH1107" s="80">
        <f>IF(AND(BF1107="Submitted",ISNUMBER(V1107)),IF(V1107&gt;CFG_MAXD,1,0),0)</f>
        <v>0</v>
      </c>
    </row>
    <row r="1108">
      <c r="A1108" s="71" t="str">
        <f>IF(Y1108=1,ROW()-5,"")</f>
        <v/>
      </c>
      <c r="B1108" s="72" t="n"/>
      <c r="C1108" s="71" t="str">
        <f>IF(ISNUMBER(B1108),CHOOSE(WEEKDAY(B1108,2),"Lun","Mar","Mié","Jue","Vie","Sáb","Dom"),"")</f>
        <v/>
      </c>
      <c r="D1108" s="73" t="n"/>
      <c r="E1108" s="74" t="n"/>
      <c r="F1108" s="74" t="n"/>
      <c r="G1108" s="74" t="n"/>
      <c r="H1108" s="75" t="n"/>
      <c r="I1108" s="75" t="n"/>
      <c r="J1108" s="76" t="n"/>
      <c r="K1108" s="77" t="str">
        <f>IF(AB1108=1,ROUND(AG1108/60,4),"")</f>
        <v/>
      </c>
      <c r="L1108" s="77" t="str">
        <f>IF(BD1108=1,ROUND(AP1108/60,4),"")</f>
        <v/>
      </c>
      <c r="M1108" s="77" t="str">
        <f>IF(BD1108=1,ROUND(AQ1108/60,4),"")</f>
        <v/>
      </c>
      <c r="N1108" s="71" t="str">
        <f>IF(AND(D1108="proMX",AB1108=1),ROUND(AG1108/CFG_BLK,2),"")</f>
        <v/>
      </c>
      <c r="O1108" s="77" t="str">
        <f>IF(D1108="proMX",IF(BD1108=1,ROUND(AG1108/60,4),0),"")</f>
        <v/>
      </c>
      <c r="P1108" s="78" t="str">
        <f>IF(Y1108=0,"",IF(BD1108=1,"OK",IF(D1108="proMX","Revisar bloques: ","Revisar: ")&amp;BC1108))</f>
        <v/>
      </c>
      <c r="Q1108" s="78" t="str">
        <f>IF(NOT(ISNUMBER(B1108)),"",IF(COUNTIFS(FER_F,INT(B1108))&gt;0,"Feriado"&amp;IF(AH1108=1," (laborable)"," (no laborable)"),IF(AH1108=1,"Laborable",IF(WEEKDAY(B1108,2)&gt;5,"Fin de semana","No laborable"))))</f>
        <v/>
      </c>
      <c r="R1108" s="73" t="n"/>
      <c r="S1108" s="72" t="n"/>
      <c r="T1108" s="72" t="n"/>
      <c r="U1108" s="74" t="n"/>
      <c r="V1108" s="79" t="str">
        <f>IF(AND(D1108="proMX",OR(R1108="Submitted",R1108="Recall Requested"),ISNUMBER(S1108)),CFG_TODAY-INT(S1108),"")</f>
        <v/>
      </c>
      <c r="W1108" s="78" t="str">
        <f>IF(BD1108=0,"",IF(BA1108&gt;0,"⚠ Se superpone con un registro de la otra empresa",IF(D1108="Malcolm",IF(COUNTA(R1108,S1108,T1108)&gt;0,"Estado/fechas proMX se ignoran en Malcolm",""),IF(BF1108="Cancelled","Cancelado: excluido de totales",IF(R1108="","Sin estado: se trata como Draft",IF(BF1108="Submitted",IF(ISNUMBER(V1108),IF(V1108&gt;CFG_MAXD,"⚠ "&amp;V1108&amp;" días en Submitted (máx. "&amp;CFG_MAXD&amp;")",""),"Falta fecha de envío"),IF(BF1108="Returned","⚠ Devuelto: corregir y reenviar",IF(BF1108="Recall Requested","Retirada solicitada: pendiente",IF(AND(BF1108="Approved",NOT(ISNUMBER(T1108))),"Falta fecha de aprobación",IF(AND(ISNUMBER(S1108),ISNUMBER(T1108),T1108&lt;S1108),"Aprobación anterior al envío","")))))))))</f>
        <v/>
      </c>
      <c r="Y1108" s="80">
        <f>IF(COUNTA(B1108,D1108,E1108,F1108,G1108,H1108,I1108,J1108,R1108,S1108,T1108)&gt;0,1,0)</f>
        <v>0</v>
      </c>
      <c r="Z1108" s="80" t="str">
        <f>IF(AND(ISNUMBER(H1108),H1108&gt;=0,H1108&lt;1),ROUND(H1108*1440,0),"")</f>
        <v/>
      </c>
      <c r="AA1108" s="80" t="str">
        <f>IF(AND(ISNUMBER(I1108),I1108&gt;=0,I1108&lt;1),ROUND(I1108*1440,0),"")</f>
        <v/>
      </c>
      <c r="AB1108" s="80">
        <f>IF(AND(ISNUMBER(B1108),D1108&lt;&gt;"",ISNUMBER(Z1108),ISNUMBER(AA1108)),IF(Z1108=AA1108,0,1),0)</f>
        <v>0</v>
      </c>
      <c r="AC1108" s="80">
        <f>IF(AB1108=1,IF(AA1108&lt;Z1108,1,0),0)</f>
        <v>0</v>
      </c>
      <c r="AD1108" s="80">
        <f>IF(AB1108=1,IF(AC1108=1,1440-Z1108+AA1108,AA1108-Z1108),0)</f>
        <v>0</v>
      </c>
      <c r="AE1108" s="80">
        <f>IF(J1108="",0,IF(ISNUMBER(J1108),J1108,-1))</f>
        <v>0</v>
      </c>
      <c r="AF1108" s="80">
        <f>MIN(MAX(0,AE1108),AD1108)</f>
        <v>0</v>
      </c>
      <c r="AG1108" s="80">
        <f>MAX(0,AD1108-MAX(0,AE1108))</f>
        <v>0</v>
      </c>
      <c r="AH1108" s="80">
        <f>IF(ISNUMBER(B1108),IF(AND(INDEX(CFG_WDAYS,WEEKDAY(INT(B1108),2))="Sí",IF(D1108="proMX",COUNTIFS(FER_F,INT(B1108),FER_NLP,"Sí"),COUNTIFS(FER_F,INT(B1108),FER_NLM,"Sí"))=0),1,0),0)</f>
        <v>0</v>
      </c>
      <c r="AI1108" s="80">
        <f>IF(AC1108=1,IF(AND(INDEX(CFG_WDAYS,WEEKDAY(INT(B1108)+1,2))="Sí",IF(D1108="proMX",COUNTIFS(FER_F,INT(B1108)+1,FER_NLP,"Sí"),COUNTIFS(FER_F,INT(B1108)+1,FER_NLM,"Sí"))=0),1,0),0)</f>
        <v>0</v>
      </c>
      <c r="AJ1108" s="80">
        <f>IF(AC1108=1,1440-Z1108,AD1108)</f>
        <v>0</v>
      </c>
      <c r="AK1108" s="80">
        <f>IF(AND(AB1108=1,AH1108=1),MAX(0,MIN(IF(AC1108=1,1440,AA1108),CFG_WEM)-MAX(Z1108,CFG_WSM)),0)</f>
        <v>0</v>
      </c>
      <c r="AL1108" s="80">
        <f>IF(AND(AC1108=1,AI1108=1),MAX(0,MIN(AA1108,CFG_WEM)-CFG_WSM),0)</f>
        <v>0</v>
      </c>
      <c r="AM1108" s="80">
        <f>AK1108+AL1108</f>
        <v>0</v>
      </c>
      <c r="AN1108" s="80">
        <f>IF(CFG_BRK="Proporcional",IF(AD1108=0,0,AF1108*AM1108/AD1108),IF(CFG_BRK="Extras primero",MIN(AM1108,MAX(0,AF1108-(AD1108-AM1108))),MIN(AF1108,AM1108)))</f>
        <v>0</v>
      </c>
      <c r="AO1108" s="80">
        <f>AF1108-AN1108</f>
        <v>0</v>
      </c>
      <c r="AP1108" s="80">
        <f>AM1108-AN1108</f>
        <v>0</v>
      </c>
      <c r="AQ1108" s="80">
        <f>AD1108-AM1108-AO1108</f>
        <v>0</v>
      </c>
      <c r="AR1108" s="80">
        <f>IF(AM1108=0,0,AK1108-AN1108*AK1108/AM1108)</f>
        <v>0</v>
      </c>
      <c r="AS1108" s="80">
        <f>IF(AD1108-AM1108=0,0,(AJ1108-AK1108)-AO1108*(AJ1108-AK1108)/(AD1108-AM1108))</f>
        <v>0</v>
      </c>
      <c r="AT1108" s="80" t="str">
        <f>IF(AC1108=1,INT(B1108)+1,"")</f>
        <v/>
      </c>
      <c r="AU1108" s="80">
        <f>IF(AND(D1108="proMX",R1108="Cancelled"),0,1)</f>
        <v>1</v>
      </c>
      <c r="AV1108" s="80">
        <f>IF(AND(AB1108=1,AU1108=1),IF(COUNTIFS($D$5:D1107,D1108,$B$5:B1107,B1108,$Z$5:Z1107,Z1108,$AA$5:AA1107,AA1108,$F$5:F1107,F1108&amp;"",$AU$5:AU1107,1)&gt;0,1,0),0)</f>
        <v>0</v>
      </c>
      <c r="AW1108" s="80" t="str">
        <f>IF(AB1108=1,INT(B1108)*1440+Z1108,"")</f>
        <v/>
      </c>
      <c r="AX1108" s="80" t="str">
        <f>IF(AB1108=1,AW1108+AD1108,"")</f>
        <v/>
      </c>
      <c r="AY1108" s="80">
        <f>IF(AND(AB1108=1,AV1108=0,AU1108=1),1,0)</f>
        <v>0</v>
      </c>
      <c r="AZ1108" s="80">
        <f>IF(AY1108=1,COUNTIFS(R_Emp,D1108,R_SAbs,"&lt;"&amp;AX1108,R_EAbs,"&gt;"&amp;AW1108,R_OKey,1)-1,0)</f>
        <v>0</v>
      </c>
      <c r="BA1108" s="80">
        <f>IF(AY1108=1,COUNTIFS(R_Emp,"&lt;&gt;"&amp;D1108,R_SAbs,"&lt;"&amp;AX1108,R_EAbs,"&gt;"&amp;AW1108,R_OKey,1),0)</f>
        <v>0</v>
      </c>
      <c r="BB1108" s="80">
        <f>IF(AND(AB1108=1,D1108="proMX"),IF(AND(MOD(Z1108,CFG_BLK)=0,MOD(AA1108,CFG_BLK)=0,MOD(AG1108,CFG_BLK)=0,AG1108&gt;0),1,0),1)</f>
        <v>1</v>
      </c>
      <c r="BC1108" s="80" t="str">
        <f>IF(Y1108=0,"",IF(NOT(ISNUMBER(B1108)),"Falta fecha o fecha inválida",IF(D1108="","Falta empresa",IF(AND(D1108&lt;&gt;"Malcolm",D1108&lt;&gt;"proMX"),"Empresa inválida",IF(OR(INT(B1108)&lt;CFG_PSTART,INT(B1108)&gt;CFG_PEND),"Fecha fuera del período",IF(OR(NOT(ISNUMBER(Z1108)),NOT(ISNUMBER(AA1108))),"Falta hora inicio/fin o formato inválido",IF(AB1108=0,"Hora inicio = hora fin",IF(AE1108&lt;0,"Descanso inválido",IF(AE1108&gt;=AD1108,"Descanso ≥ duración",IF(AV1108=1,"Registro duplicado",IF(AZ1108&gt;0,"Se superpone con otro registro "&amp;D1108,IF(BB1108=0,"inicio, fin y duración neta deben ser múltiplos de "&amp;CFG_BLK&amp;" min",""))))))))))))</f>
        <v/>
      </c>
      <c r="BD1108" s="80">
        <f>IF(AND(Y1108=1,BC1108=""),1,0)</f>
        <v>0</v>
      </c>
      <c r="BE1108" s="80">
        <f>IF(AND(BD1108=1,AU1108=1),1,0)</f>
        <v>0</v>
      </c>
      <c r="BF1108" s="80" t="str">
        <f>IF(AND(D1108="proMX",BD1108=1),IF(R1108="","Draft",R1108),"")</f>
        <v/>
      </c>
      <c r="BG1108" s="80">
        <f>IF(BD1108=1,ROUND(AG1108/60,6),0)</f>
        <v>0</v>
      </c>
      <c r="BH1108" s="80">
        <f>IF(BE1108=1,ROUND(AG1108/60,6),0)</f>
        <v>0</v>
      </c>
      <c r="BI1108" s="80">
        <f>IF(BE1108=1,ROUND(AP1108/60,6),0)</f>
        <v>0</v>
      </c>
      <c r="BJ1108" s="80">
        <f>IF(BE1108=1,ROUND(AQ1108/60,6),0)</f>
        <v>0</v>
      </c>
      <c r="BK1108" s="80">
        <f>IF(BE1108=1,ROUND((AR1108+AS1108)/60,6),0)</f>
        <v>0</v>
      </c>
      <c r="BL1108" s="80">
        <f>ROUND(BH1108-BK1108,6)</f>
        <v>0</v>
      </c>
      <c r="BM1108" s="80">
        <f>IF(BE1108=1,ROUND(AR1108/60,6),0)</f>
        <v>0</v>
      </c>
      <c r="BN1108" s="80">
        <f>ROUND(BI1108-BM1108,6)</f>
        <v>0</v>
      </c>
      <c r="BO1108" s="80">
        <f>IF(BE1108=1,ROUND(AS1108/60,6),0)</f>
        <v>0</v>
      </c>
      <c r="BP1108" s="80">
        <f>ROUND(BJ1108-BO1108,6)</f>
        <v>0</v>
      </c>
      <c r="BQ1108" s="80">
        <f>IF(BE1108=1,AW1108,0)</f>
        <v>0</v>
      </c>
      <c r="BR1108" s="80">
        <f>IF(BE1108=1,AX1108,0)</f>
        <v>0</v>
      </c>
      <c r="BS1108" s="80">
        <f>IF(AND(BE1108=1,D1108="Malcolm",BA1108&gt;0),MIN(BH1108,SUMPRODUCT((R_Emp="proMX")*(R_EN&gt;0)*((R_EN-(R_EN&gt;BR1108)*(R_EN-BR1108))&gt;(R_SN+(R_SN&lt;BQ1108)*(BQ1108-R_SN)))*((R_EN-(R_EN&gt;BR1108)*(R_EN-BR1108))-(R_SN+(R_SN&lt;BQ1108)*(BQ1108-R_SN))))/60),0)</f>
        <v>0</v>
      </c>
      <c r="BT1108" s="80">
        <f>IF(AND(BE1108=1,D1108="proMX"),ROUND(BI1108*CFG_RATE+BJ1108*CFG_OTRATE,6),0)</f>
        <v>0</v>
      </c>
      <c r="BU1108" s="80">
        <f>IF(AND(BD1108=1,D1108="proMX"),ROUND(AG1108/CFG_BLK,6),0)</f>
        <v>0</v>
      </c>
      <c r="BV1108" s="80" t="str">
        <f>IF(BF1108="Approved",IF(ISNUMBER(T1108),INT(T1108),INT(B1108)),"")</f>
        <v/>
      </c>
      <c r="BW1108" s="80">
        <f>IF(ISNUMBER(B1108),IF(DB_MON="Todos",1,IF(AND(INT(B1108)&gt;=DB_MS,INT(B1108)&lt;=DB_ME),1,0)),0)</f>
        <v>0</v>
      </c>
      <c r="BX1108" s="80">
        <f>IF(DB_PROJ="Todos",1,IF(E1108&amp;""=DB_PROJ&amp;"",1,0))</f>
        <v>1</v>
      </c>
      <c r="BY1108" s="80">
        <f>BW1108*BX1108</f>
        <v>0</v>
      </c>
      <c r="BZ1108" s="80" t="str">
        <f>IF(Y1108=1,F1108&amp;IF(AND(F1108&amp;""&lt;&gt;"",E1108&amp;""&lt;&gt;"")," · ","")&amp;E1108,"")</f>
        <v/>
      </c>
      <c r="CA1108" s="80" t="str">
        <f>IF(AND(BD1108=1,E1108&amp;""&lt;&gt;""),IF(COUNTIFS($E$5:E1107,E1108,$BD$5:BD1107,1)=0,MAX($CA$5:CA1107)+1,""),"")</f>
        <v/>
      </c>
      <c r="CB1108" s="80" t="str">
        <f>IF(AND(BE1108=1,D1108="Malcolm",E1108&amp;""&lt;&gt;""),IF(COUNTIFS($D$5:D1107,"Malcolm",$E$5:E1107,E1108,$BE$5:BE1107,1)=0,MAX($CB$5:CB1107)+1,""),"")</f>
        <v/>
      </c>
      <c r="CC1108" s="80" t="str">
        <f>IF(AND(BD1108=1,D1108="proMX",E1108&amp;""&lt;&gt;""),IF(COUNTIFS($D$5:D1107,"proMX",$E$5:E1107,E1108,$BD$5:BD1107,1)=0,MAX($CC$5:CC1107)+1,""),"")</f>
        <v/>
      </c>
      <c r="CD1108" s="80" t="str">
        <f>IF(AND(BE1108=1,D1108="Malcolm",F1108&amp;""&lt;&gt;""),IF(COUNTIFS($D$5:D1107,"Malcolm",$F$5:F1107,F1108,$BE$5:BE1107,1)=0,MAX($CD$5:CD1107)+1,""),"")</f>
        <v/>
      </c>
      <c r="CE1108" s="80" t="str">
        <f>IF(AND(BD1108=1,D1108="proMX",F1108&amp;""&lt;&gt;""),IF(COUNTIFS($D$5:D1107,"proMX",$F$5:F1107,F1108,$BD$5:BD1107,1)=0,MAX($CE$5:CE1107)+1,""),"")</f>
        <v/>
      </c>
      <c r="CF1108" s="80" t="str">
        <f>IF(AND(D1108="proMX",BD1108=1),IF(OR(BF1108="Draft",BF1108="Submitted",BF1108="Returned",BF1108="Recall Requested"),MAX($CF$5:CF1107)+1,""),"")</f>
        <v/>
      </c>
      <c r="CG1108" s="80">
        <f>IF(BD1108=0,0,IF(D1108="Malcolm",1,MATCH(BF1108,{"Draft","Submitted","Approved","Returned","Recall Requested","Cancelled"},0)+1))</f>
        <v>0</v>
      </c>
      <c r="CH1108" s="80">
        <f>IF(AND(BF1108="Submitted",ISNUMBER(V1108)),IF(V1108&gt;CFG_MAXD,1,0),0)</f>
        <v>0</v>
      </c>
    </row>
    <row r="1109">
      <c r="A1109" s="71" t="str">
        <f>IF(Y1109=1,ROW()-5,"")</f>
        <v/>
      </c>
      <c r="B1109" s="72" t="n"/>
      <c r="C1109" s="71" t="str">
        <f>IF(ISNUMBER(B1109),CHOOSE(WEEKDAY(B1109,2),"Lun","Mar","Mié","Jue","Vie","Sáb","Dom"),"")</f>
        <v/>
      </c>
      <c r="D1109" s="73" t="n"/>
      <c r="E1109" s="74" t="n"/>
      <c r="F1109" s="74" t="n"/>
      <c r="G1109" s="74" t="n"/>
      <c r="H1109" s="75" t="n"/>
      <c r="I1109" s="75" t="n"/>
      <c r="J1109" s="76" t="n"/>
      <c r="K1109" s="77" t="str">
        <f>IF(AB1109=1,ROUND(AG1109/60,4),"")</f>
        <v/>
      </c>
      <c r="L1109" s="77" t="str">
        <f>IF(BD1109=1,ROUND(AP1109/60,4),"")</f>
        <v/>
      </c>
      <c r="M1109" s="77" t="str">
        <f>IF(BD1109=1,ROUND(AQ1109/60,4),"")</f>
        <v/>
      </c>
      <c r="N1109" s="71" t="str">
        <f>IF(AND(D1109="proMX",AB1109=1),ROUND(AG1109/CFG_BLK,2),"")</f>
        <v/>
      </c>
      <c r="O1109" s="77" t="str">
        <f>IF(D1109="proMX",IF(BD1109=1,ROUND(AG1109/60,4),0),"")</f>
        <v/>
      </c>
      <c r="P1109" s="78" t="str">
        <f>IF(Y1109=0,"",IF(BD1109=1,"OK",IF(D1109="proMX","Revisar bloques: ","Revisar: ")&amp;BC1109))</f>
        <v/>
      </c>
      <c r="Q1109" s="78" t="str">
        <f>IF(NOT(ISNUMBER(B1109)),"",IF(COUNTIFS(FER_F,INT(B1109))&gt;0,"Feriado"&amp;IF(AH1109=1," (laborable)"," (no laborable)"),IF(AH1109=1,"Laborable",IF(WEEKDAY(B1109,2)&gt;5,"Fin de semana","No laborable"))))</f>
        <v/>
      </c>
      <c r="R1109" s="73" t="n"/>
      <c r="S1109" s="72" t="n"/>
      <c r="T1109" s="72" t="n"/>
      <c r="U1109" s="74" t="n"/>
      <c r="V1109" s="79" t="str">
        <f>IF(AND(D1109="proMX",OR(R1109="Submitted",R1109="Recall Requested"),ISNUMBER(S1109)),CFG_TODAY-INT(S1109),"")</f>
        <v/>
      </c>
      <c r="W1109" s="78" t="str">
        <f>IF(BD1109=0,"",IF(BA1109&gt;0,"⚠ Se superpone con un registro de la otra empresa",IF(D1109="Malcolm",IF(COUNTA(R1109,S1109,T1109)&gt;0,"Estado/fechas proMX se ignoran en Malcolm",""),IF(BF1109="Cancelled","Cancelado: excluido de totales",IF(R1109="","Sin estado: se trata como Draft",IF(BF1109="Submitted",IF(ISNUMBER(V1109),IF(V1109&gt;CFG_MAXD,"⚠ "&amp;V1109&amp;" días en Submitted (máx. "&amp;CFG_MAXD&amp;")",""),"Falta fecha de envío"),IF(BF1109="Returned","⚠ Devuelto: corregir y reenviar",IF(BF1109="Recall Requested","Retirada solicitada: pendiente",IF(AND(BF1109="Approved",NOT(ISNUMBER(T1109))),"Falta fecha de aprobación",IF(AND(ISNUMBER(S1109),ISNUMBER(T1109),T1109&lt;S1109),"Aprobación anterior al envío","")))))))))</f>
        <v/>
      </c>
      <c r="Y1109" s="80">
        <f>IF(COUNTA(B1109,D1109,E1109,F1109,G1109,H1109,I1109,J1109,R1109,S1109,T1109)&gt;0,1,0)</f>
        <v>0</v>
      </c>
      <c r="Z1109" s="80" t="str">
        <f>IF(AND(ISNUMBER(H1109),H1109&gt;=0,H1109&lt;1),ROUND(H1109*1440,0),"")</f>
        <v/>
      </c>
      <c r="AA1109" s="80" t="str">
        <f>IF(AND(ISNUMBER(I1109),I1109&gt;=0,I1109&lt;1),ROUND(I1109*1440,0),"")</f>
        <v/>
      </c>
      <c r="AB1109" s="80">
        <f>IF(AND(ISNUMBER(B1109),D1109&lt;&gt;"",ISNUMBER(Z1109),ISNUMBER(AA1109)),IF(Z1109=AA1109,0,1),0)</f>
        <v>0</v>
      </c>
      <c r="AC1109" s="80">
        <f>IF(AB1109=1,IF(AA1109&lt;Z1109,1,0),0)</f>
        <v>0</v>
      </c>
      <c r="AD1109" s="80">
        <f>IF(AB1109=1,IF(AC1109=1,1440-Z1109+AA1109,AA1109-Z1109),0)</f>
        <v>0</v>
      </c>
      <c r="AE1109" s="80">
        <f>IF(J1109="",0,IF(ISNUMBER(J1109),J1109,-1))</f>
        <v>0</v>
      </c>
      <c r="AF1109" s="80">
        <f>MIN(MAX(0,AE1109),AD1109)</f>
        <v>0</v>
      </c>
      <c r="AG1109" s="80">
        <f>MAX(0,AD1109-MAX(0,AE1109))</f>
        <v>0</v>
      </c>
      <c r="AH1109" s="80">
        <f>IF(ISNUMBER(B1109),IF(AND(INDEX(CFG_WDAYS,WEEKDAY(INT(B1109),2))="Sí",IF(D1109="proMX",COUNTIFS(FER_F,INT(B1109),FER_NLP,"Sí"),COUNTIFS(FER_F,INT(B1109),FER_NLM,"Sí"))=0),1,0),0)</f>
        <v>0</v>
      </c>
      <c r="AI1109" s="80">
        <f>IF(AC1109=1,IF(AND(INDEX(CFG_WDAYS,WEEKDAY(INT(B1109)+1,2))="Sí",IF(D1109="proMX",COUNTIFS(FER_F,INT(B1109)+1,FER_NLP,"Sí"),COUNTIFS(FER_F,INT(B1109)+1,FER_NLM,"Sí"))=0),1,0),0)</f>
        <v>0</v>
      </c>
      <c r="AJ1109" s="80">
        <f>IF(AC1109=1,1440-Z1109,AD1109)</f>
        <v>0</v>
      </c>
      <c r="AK1109" s="80">
        <f>IF(AND(AB1109=1,AH1109=1),MAX(0,MIN(IF(AC1109=1,1440,AA1109),CFG_WEM)-MAX(Z1109,CFG_WSM)),0)</f>
        <v>0</v>
      </c>
      <c r="AL1109" s="80">
        <f>IF(AND(AC1109=1,AI1109=1),MAX(0,MIN(AA1109,CFG_WEM)-CFG_WSM),0)</f>
        <v>0</v>
      </c>
      <c r="AM1109" s="80">
        <f>AK1109+AL1109</f>
        <v>0</v>
      </c>
      <c r="AN1109" s="80">
        <f>IF(CFG_BRK="Proporcional",IF(AD1109=0,0,AF1109*AM1109/AD1109),IF(CFG_BRK="Extras primero",MIN(AM1109,MAX(0,AF1109-(AD1109-AM1109))),MIN(AF1109,AM1109)))</f>
        <v>0</v>
      </c>
      <c r="AO1109" s="80">
        <f>AF1109-AN1109</f>
        <v>0</v>
      </c>
      <c r="AP1109" s="80">
        <f>AM1109-AN1109</f>
        <v>0</v>
      </c>
      <c r="AQ1109" s="80">
        <f>AD1109-AM1109-AO1109</f>
        <v>0</v>
      </c>
      <c r="AR1109" s="80">
        <f>IF(AM1109=0,0,AK1109-AN1109*AK1109/AM1109)</f>
        <v>0</v>
      </c>
      <c r="AS1109" s="80">
        <f>IF(AD1109-AM1109=0,0,(AJ1109-AK1109)-AO1109*(AJ1109-AK1109)/(AD1109-AM1109))</f>
        <v>0</v>
      </c>
      <c r="AT1109" s="80" t="str">
        <f>IF(AC1109=1,INT(B1109)+1,"")</f>
        <v/>
      </c>
      <c r="AU1109" s="80">
        <f>IF(AND(D1109="proMX",R1109="Cancelled"),0,1)</f>
        <v>1</v>
      </c>
      <c r="AV1109" s="80">
        <f>IF(AND(AB1109=1,AU1109=1),IF(COUNTIFS($D$5:D1108,D1109,$B$5:B1108,B1109,$Z$5:Z1108,Z1109,$AA$5:AA1108,AA1109,$F$5:F1108,F1109&amp;"",$AU$5:AU1108,1)&gt;0,1,0),0)</f>
        <v>0</v>
      </c>
      <c r="AW1109" s="80" t="str">
        <f>IF(AB1109=1,INT(B1109)*1440+Z1109,"")</f>
        <v/>
      </c>
      <c r="AX1109" s="80" t="str">
        <f>IF(AB1109=1,AW1109+AD1109,"")</f>
        <v/>
      </c>
      <c r="AY1109" s="80">
        <f>IF(AND(AB1109=1,AV1109=0,AU1109=1),1,0)</f>
        <v>0</v>
      </c>
      <c r="AZ1109" s="80">
        <f>IF(AY1109=1,COUNTIFS(R_Emp,D1109,R_SAbs,"&lt;"&amp;AX1109,R_EAbs,"&gt;"&amp;AW1109,R_OKey,1)-1,0)</f>
        <v>0</v>
      </c>
      <c r="BA1109" s="80">
        <f>IF(AY1109=1,COUNTIFS(R_Emp,"&lt;&gt;"&amp;D1109,R_SAbs,"&lt;"&amp;AX1109,R_EAbs,"&gt;"&amp;AW1109,R_OKey,1),0)</f>
        <v>0</v>
      </c>
      <c r="BB1109" s="80">
        <f>IF(AND(AB1109=1,D1109="proMX"),IF(AND(MOD(Z1109,CFG_BLK)=0,MOD(AA1109,CFG_BLK)=0,MOD(AG1109,CFG_BLK)=0,AG1109&gt;0),1,0),1)</f>
        <v>1</v>
      </c>
      <c r="BC1109" s="80" t="str">
        <f>IF(Y1109=0,"",IF(NOT(ISNUMBER(B1109)),"Falta fecha o fecha inválida",IF(D1109="","Falta empresa",IF(AND(D1109&lt;&gt;"Malcolm",D1109&lt;&gt;"proMX"),"Empresa inválida",IF(OR(INT(B1109)&lt;CFG_PSTART,INT(B1109)&gt;CFG_PEND),"Fecha fuera del período",IF(OR(NOT(ISNUMBER(Z1109)),NOT(ISNUMBER(AA1109))),"Falta hora inicio/fin o formato inválido",IF(AB1109=0,"Hora inicio = hora fin",IF(AE1109&lt;0,"Descanso inválido",IF(AE1109&gt;=AD1109,"Descanso ≥ duración",IF(AV1109=1,"Registro duplicado",IF(AZ1109&gt;0,"Se superpone con otro registro "&amp;D1109,IF(BB1109=0,"inicio, fin y duración neta deben ser múltiplos de "&amp;CFG_BLK&amp;" min",""))))))))))))</f>
        <v/>
      </c>
      <c r="BD1109" s="80">
        <f>IF(AND(Y1109=1,BC1109=""),1,0)</f>
        <v>0</v>
      </c>
      <c r="BE1109" s="80">
        <f>IF(AND(BD1109=1,AU1109=1),1,0)</f>
        <v>0</v>
      </c>
      <c r="BF1109" s="80" t="str">
        <f>IF(AND(D1109="proMX",BD1109=1),IF(R1109="","Draft",R1109),"")</f>
        <v/>
      </c>
      <c r="BG1109" s="80">
        <f>IF(BD1109=1,ROUND(AG1109/60,6),0)</f>
        <v>0</v>
      </c>
      <c r="BH1109" s="80">
        <f>IF(BE1109=1,ROUND(AG1109/60,6),0)</f>
        <v>0</v>
      </c>
      <c r="BI1109" s="80">
        <f>IF(BE1109=1,ROUND(AP1109/60,6),0)</f>
        <v>0</v>
      </c>
      <c r="BJ1109" s="80">
        <f>IF(BE1109=1,ROUND(AQ1109/60,6),0)</f>
        <v>0</v>
      </c>
      <c r="BK1109" s="80">
        <f>IF(BE1109=1,ROUND((AR1109+AS1109)/60,6),0)</f>
        <v>0</v>
      </c>
      <c r="BL1109" s="80">
        <f>ROUND(BH1109-BK1109,6)</f>
        <v>0</v>
      </c>
      <c r="BM1109" s="80">
        <f>IF(BE1109=1,ROUND(AR1109/60,6),0)</f>
        <v>0</v>
      </c>
      <c r="BN1109" s="80">
        <f>ROUND(BI1109-BM1109,6)</f>
        <v>0</v>
      </c>
      <c r="BO1109" s="80">
        <f>IF(BE1109=1,ROUND(AS1109/60,6),0)</f>
        <v>0</v>
      </c>
      <c r="BP1109" s="80">
        <f>ROUND(BJ1109-BO1109,6)</f>
        <v>0</v>
      </c>
      <c r="BQ1109" s="80">
        <f>IF(BE1109=1,AW1109,0)</f>
        <v>0</v>
      </c>
      <c r="BR1109" s="80">
        <f>IF(BE1109=1,AX1109,0)</f>
        <v>0</v>
      </c>
      <c r="BS1109" s="80">
        <f>IF(AND(BE1109=1,D1109="Malcolm",BA1109&gt;0),MIN(BH1109,SUMPRODUCT((R_Emp="proMX")*(R_EN&gt;0)*((R_EN-(R_EN&gt;BR1109)*(R_EN-BR1109))&gt;(R_SN+(R_SN&lt;BQ1109)*(BQ1109-R_SN)))*((R_EN-(R_EN&gt;BR1109)*(R_EN-BR1109))-(R_SN+(R_SN&lt;BQ1109)*(BQ1109-R_SN))))/60),0)</f>
        <v>0</v>
      </c>
      <c r="BT1109" s="80">
        <f>IF(AND(BE1109=1,D1109="proMX"),ROUND(BI1109*CFG_RATE+BJ1109*CFG_OTRATE,6),0)</f>
        <v>0</v>
      </c>
      <c r="BU1109" s="80">
        <f>IF(AND(BD1109=1,D1109="proMX"),ROUND(AG1109/CFG_BLK,6),0)</f>
        <v>0</v>
      </c>
      <c r="BV1109" s="80" t="str">
        <f>IF(BF1109="Approved",IF(ISNUMBER(T1109),INT(T1109),INT(B1109)),"")</f>
        <v/>
      </c>
      <c r="BW1109" s="80">
        <f>IF(ISNUMBER(B1109),IF(DB_MON="Todos",1,IF(AND(INT(B1109)&gt;=DB_MS,INT(B1109)&lt;=DB_ME),1,0)),0)</f>
        <v>0</v>
      </c>
      <c r="BX1109" s="80">
        <f>IF(DB_PROJ="Todos",1,IF(E1109&amp;""=DB_PROJ&amp;"",1,0))</f>
        <v>1</v>
      </c>
      <c r="BY1109" s="80">
        <f>BW1109*BX1109</f>
        <v>0</v>
      </c>
      <c r="BZ1109" s="80" t="str">
        <f>IF(Y1109=1,F1109&amp;IF(AND(F1109&amp;""&lt;&gt;"",E1109&amp;""&lt;&gt;"")," · ","")&amp;E1109,"")</f>
        <v/>
      </c>
      <c r="CA1109" s="80" t="str">
        <f>IF(AND(BD1109=1,E1109&amp;""&lt;&gt;""),IF(COUNTIFS($E$5:E1108,E1109,$BD$5:BD1108,1)=0,MAX($CA$5:CA1108)+1,""),"")</f>
        <v/>
      </c>
      <c r="CB1109" s="80" t="str">
        <f>IF(AND(BE1109=1,D1109="Malcolm",E1109&amp;""&lt;&gt;""),IF(COUNTIFS($D$5:D1108,"Malcolm",$E$5:E1108,E1109,$BE$5:BE1108,1)=0,MAX($CB$5:CB1108)+1,""),"")</f>
        <v/>
      </c>
      <c r="CC1109" s="80" t="str">
        <f>IF(AND(BD1109=1,D1109="proMX",E1109&amp;""&lt;&gt;""),IF(COUNTIFS($D$5:D1108,"proMX",$E$5:E1108,E1109,$BD$5:BD1108,1)=0,MAX($CC$5:CC1108)+1,""),"")</f>
        <v/>
      </c>
      <c r="CD1109" s="80" t="str">
        <f>IF(AND(BE1109=1,D1109="Malcolm",F1109&amp;""&lt;&gt;""),IF(COUNTIFS($D$5:D1108,"Malcolm",$F$5:F1108,F1109,$BE$5:BE1108,1)=0,MAX($CD$5:CD1108)+1,""),"")</f>
        <v/>
      </c>
      <c r="CE1109" s="80" t="str">
        <f>IF(AND(BD1109=1,D1109="proMX",F1109&amp;""&lt;&gt;""),IF(COUNTIFS($D$5:D1108,"proMX",$F$5:F1108,F1109,$BD$5:BD1108,1)=0,MAX($CE$5:CE1108)+1,""),"")</f>
        <v/>
      </c>
      <c r="CF1109" s="80" t="str">
        <f>IF(AND(D1109="proMX",BD1109=1),IF(OR(BF1109="Draft",BF1109="Submitted",BF1109="Returned",BF1109="Recall Requested"),MAX($CF$5:CF1108)+1,""),"")</f>
        <v/>
      </c>
      <c r="CG1109" s="80">
        <f>IF(BD1109=0,0,IF(D1109="Malcolm",1,MATCH(BF1109,{"Draft","Submitted","Approved","Returned","Recall Requested","Cancelled"},0)+1))</f>
        <v>0</v>
      </c>
      <c r="CH1109" s="80">
        <f>IF(AND(BF1109="Submitted",ISNUMBER(V1109)),IF(V1109&gt;CFG_MAXD,1,0),0)</f>
        <v>0</v>
      </c>
    </row>
    <row r="1110">
      <c r="A1110" s="71" t="str">
        <f>IF(Y1110=1,ROW()-5,"")</f>
        <v/>
      </c>
      <c r="B1110" s="72" t="n"/>
      <c r="C1110" s="71" t="str">
        <f>IF(ISNUMBER(B1110),CHOOSE(WEEKDAY(B1110,2),"Lun","Mar","Mié","Jue","Vie","Sáb","Dom"),"")</f>
        <v/>
      </c>
      <c r="D1110" s="73" t="n"/>
      <c r="E1110" s="74" t="n"/>
      <c r="F1110" s="74" t="n"/>
      <c r="G1110" s="74" t="n"/>
      <c r="H1110" s="75" t="n"/>
      <c r="I1110" s="75" t="n"/>
      <c r="J1110" s="76" t="n"/>
      <c r="K1110" s="77" t="str">
        <f>IF(AB1110=1,ROUND(AG1110/60,4),"")</f>
        <v/>
      </c>
      <c r="L1110" s="77" t="str">
        <f>IF(BD1110=1,ROUND(AP1110/60,4),"")</f>
        <v/>
      </c>
      <c r="M1110" s="77" t="str">
        <f>IF(BD1110=1,ROUND(AQ1110/60,4),"")</f>
        <v/>
      </c>
      <c r="N1110" s="71" t="str">
        <f>IF(AND(D1110="proMX",AB1110=1),ROUND(AG1110/CFG_BLK,2),"")</f>
        <v/>
      </c>
      <c r="O1110" s="77" t="str">
        <f>IF(D1110="proMX",IF(BD1110=1,ROUND(AG1110/60,4),0),"")</f>
        <v/>
      </c>
      <c r="P1110" s="78" t="str">
        <f>IF(Y1110=0,"",IF(BD1110=1,"OK",IF(D1110="proMX","Revisar bloques: ","Revisar: ")&amp;BC1110))</f>
        <v/>
      </c>
      <c r="Q1110" s="78" t="str">
        <f>IF(NOT(ISNUMBER(B1110)),"",IF(COUNTIFS(FER_F,INT(B1110))&gt;0,"Feriado"&amp;IF(AH1110=1," (laborable)"," (no laborable)"),IF(AH1110=1,"Laborable",IF(WEEKDAY(B1110,2)&gt;5,"Fin de semana","No laborable"))))</f>
        <v/>
      </c>
      <c r="R1110" s="73" t="n"/>
      <c r="S1110" s="72" t="n"/>
      <c r="T1110" s="72" t="n"/>
      <c r="U1110" s="74" t="n"/>
      <c r="V1110" s="79" t="str">
        <f>IF(AND(D1110="proMX",OR(R1110="Submitted",R1110="Recall Requested"),ISNUMBER(S1110)),CFG_TODAY-INT(S1110),"")</f>
        <v/>
      </c>
      <c r="W1110" s="78" t="str">
        <f>IF(BD1110=0,"",IF(BA1110&gt;0,"⚠ Se superpone con un registro de la otra empresa",IF(D1110="Malcolm",IF(COUNTA(R1110,S1110,T1110)&gt;0,"Estado/fechas proMX se ignoran en Malcolm",""),IF(BF1110="Cancelled","Cancelado: excluido de totales",IF(R1110="","Sin estado: se trata como Draft",IF(BF1110="Submitted",IF(ISNUMBER(V1110),IF(V1110&gt;CFG_MAXD,"⚠ "&amp;V1110&amp;" días en Submitted (máx. "&amp;CFG_MAXD&amp;")",""),"Falta fecha de envío"),IF(BF1110="Returned","⚠ Devuelto: corregir y reenviar",IF(BF1110="Recall Requested","Retirada solicitada: pendiente",IF(AND(BF1110="Approved",NOT(ISNUMBER(T1110))),"Falta fecha de aprobación",IF(AND(ISNUMBER(S1110),ISNUMBER(T1110),T1110&lt;S1110),"Aprobación anterior al envío","")))))))))</f>
        <v/>
      </c>
      <c r="Y1110" s="80">
        <f>IF(COUNTA(B1110,D1110,E1110,F1110,G1110,H1110,I1110,J1110,R1110,S1110,T1110)&gt;0,1,0)</f>
        <v>0</v>
      </c>
      <c r="Z1110" s="80" t="str">
        <f>IF(AND(ISNUMBER(H1110),H1110&gt;=0,H1110&lt;1),ROUND(H1110*1440,0),"")</f>
        <v/>
      </c>
      <c r="AA1110" s="80" t="str">
        <f>IF(AND(ISNUMBER(I1110),I1110&gt;=0,I1110&lt;1),ROUND(I1110*1440,0),"")</f>
        <v/>
      </c>
      <c r="AB1110" s="80">
        <f>IF(AND(ISNUMBER(B1110),D1110&lt;&gt;"",ISNUMBER(Z1110),ISNUMBER(AA1110)),IF(Z1110=AA1110,0,1),0)</f>
        <v>0</v>
      </c>
      <c r="AC1110" s="80">
        <f>IF(AB1110=1,IF(AA1110&lt;Z1110,1,0),0)</f>
        <v>0</v>
      </c>
      <c r="AD1110" s="80">
        <f>IF(AB1110=1,IF(AC1110=1,1440-Z1110+AA1110,AA1110-Z1110),0)</f>
        <v>0</v>
      </c>
      <c r="AE1110" s="80">
        <f>IF(J1110="",0,IF(ISNUMBER(J1110),J1110,-1))</f>
        <v>0</v>
      </c>
      <c r="AF1110" s="80">
        <f>MIN(MAX(0,AE1110),AD1110)</f>
        <v>0</v>
      </c>
      <c r="AG1110" s="80">
        <f>MAX(0,AD1110-MAX(0,AE1110))</f>
        <v>0</v>
      </c>
      <c r="AH1110" s="80">
        <f>IF(ISNUMBER(B1110),IF(AND(INDEX(CFG_WDAYS,WEEKDAY(INT(B1110),2))="Sí",IF(D1110="proMX",COUNTIFS(FER_F,INT(B1110),FER_NLP,"Sí"),COUNTIFS(FER_F,INT(B1110),FER_NLM,"Sí"))=0),1,0),0)</f>
        <v>0</v>
      </c>
      <c r="AI1110" s="80">
        <f>IF(AC1110=1,IF(AND(INDEX(CFG_WDAYS,WEEKDAY(INT(B1110)+1,2))="Sí",IF(D1110="proMX",COUNTIFS(FER_F,INT(B1110)+1,FER_NLP,"Sí"),COUNTIFS(FER_F,INT(B1110)+1,FER_NLM,"Sí"))=0),1,0),0)</f>
        <v>0</v>
      </c>
      <c r="AJ1110" s="80">
        <f>IF(AC1110=1,1440-Z1110,AD1110)</f>
        <v>0</v>
      </c>
      <c r="AK1110" s="80">
        <f>IF(AND(AB1110=1,AH1110=1),MAX(0,MIN(IF(AC1110=1,1440,AA1110),CFG_WEM)-MAX(Z1110,CFG_WSM)),0)</f>
        <v>0</v>
      </c>
      <c r="AL1110" s="80">
        <f>IF(AND(AC1110=1,AI1110=1),MAX(0,MIN(AA1110,CFG_WEM)-CFG_WSM),0)</f>
        <v>0</v>
      </c>
      <c r="AM1110" s="80">
        <f>AK1110+AL1110</f>
        <v>0</v>
      </c>
      <c r="AN1110" s="80">
        <f>IF(CFG_BRK="Proporcional",IF(AD1110=0,0,AF1110*AM1110/AD1110),IF(CFG_BRK="Extras primero",MIN(AM1110,MAX(0,AF1110-(AD1110-AM1110))),MIN(AF1110,AM1110)))</f>
        <v>0</v>
      </c>
      <c r="AO1110" s="80">
        <f>AF1110-AN1110</f>
        <v>0</v>
      </c>
      <c r="AP1110" s="80">
        <f>AM1110-AN1110</f>
        <v>0</v>
      </c>
      <c r="AQ1110" s="80">
        <f>AD1110-AM1110-AO1110</f>
        <v>0</v>
      </c>
      <c r="AR1110" s="80">
        <f>IF(AM1110=0,0,AK1110-AN1110*AK1110/AM1110)</f>
        <v>0</v>
      </c>
      <c r="AS1110" s="80">
        <f>IF(AD1110-AM1110=0,0,(AJ1110-AK1110)-AO1110*(AJ1110-AK1110)/(AD1110-AM1110))</f>
        <v>0</v>
      </c>
      <c r="AT1110" s="80" t="str">
        <f>IF(AC1110=1,INT(B1110)+1,"")</f>
        <v/>
      </c>
      <c r="AU1110" s="80">
        <f>IF(AND(D1110="proMX",R1110="Cancelled"),0,1)</f>
        <v>1</v>
      </c>
      <c r="AV1110" s="80">
        <f>IF(AND(AB1110=1,AU1110=1),IF(COUNTIFS($D$5:D1109,D1110,$B$5:B1109,B1110,$Z$5:Z1109,Z1110,$AA$5:AA1109,AA1110,$F$5:F1109,F1110&amp;"",$AU$5:AU1109,1)&gt;0,1,0),0)</f>
        <v>0</v>
      </c>
      <c r="AW1110" s="80" t="str">
        <f>IF(AB1110=1,INT(B1110)*1440+Z1110,"")</f>
        <v/>
      </c>
      <c r="AX1110" s="80" t="str">
        <f>IF(AB1110=1,AW1110+AD1110,"")</f>
        <v/>
      </c>
      <c r="AY1110" s="80">
        <f>IF(AND(AB1110=1,AV1110=0,AU1110=1),1,0)</f>
        <v>0</v>
      </c>
      <c r="AZ1110" s="80">
        <f>IF(AY1110=1,COUNTIFS(R_Emp,D1110,R_SAbs,"&lt;"&amp;AX1110,R_EAbs,"&gt;"&amp;AW1110,R_OKey,1)-1,0)</f>
        <v>0</v>
      </c>
      <c r="BA1110" s="80">
        <f>IF(AY1110=1,COUNTIFS(R_Emp,"&lt;&gt;"&amp;D1110,R_SAbs,"&lt;"&amp;AX1110,R_EAbs,"&gt;"&amp;AW1110,R_OKey,1),0)</f>
        <v>0</v>
      </c>
      <c r="BB1110" s="80">
        <f>IF(AND(AB1110=1,D1110="proMX"),IF(AND(MOD(Z1110,CFG_BLK)=0,MOD(AA1110,CFG_BLK)=0,MOD(AG1110,CFG_BLK)=0,AG1110&gt;0),1,0),1)</f>
        <v>1</v>
      </c>
      <c r="BC1110" s="80" t="str">
        <f>IF(Y1110=0,"",IF(NOT(ISNUMBER(B1110)),"Falta fecha o fecha inválida",IF(D1110="","Falta empresa",IF(AND(D1110&lt;&gt;"Malcolm",D1110&lt;&gt;"proMX"),"Empresa inválida",IF(OR(INT(B1110)&lt;CFG_PSTART,INT(B1110)&gt;CFG_PEND),"Fecha fuera del período",IF(OR(NOT(ISNUMBER(Z1110)),NOT(ISNUMBER(AA1110))),"Falta hora inicio/fin o formato inválido",IF(AB1110=0,"Hora inicio = hora fin",IF(AE1110&lt;0,"Descanso inválido",IF(AE1110&gt;=AD1110,"Descanso ≥ duración",IF(AV1110=1,"Registro duplicado",IF(AZ1110&gt;0,"Se superpone con otro registro "&amp;D1110,IF(BB1110=0,"inicio, fin y duración neta deben ser múltiplos de "&amp;CFG_BLK&amp;" min",""))))))))))))</f>
        <v/>
      </c>
      <c r="BD1110" s="80">
        <f>IF(AND(Y1110=1,BC1110=""),1,0)</f>
        <v>0</v>
      </c>
      <c r="BE1110" s="80">
        <f>IF(AND(BD1110=1,AU1110=1),1,0)</f>
        <v>0</v>
      </c>
      <c r="BF1110" s="80" t="str">
        <f>IF(AND(D1110="proMX",BD1110=1),IF(R1110="","Draft",R1110),"")</f>
        <v/>
      </c>
      <c r="BG1110" s="80">
        <f>IF(BD1110=1,ROUND(AG1110/60,6),0)</f>
        <v>0</v>
      </c>
      <c r="BH1110" s="80">
        <f>IF(BE1110=1,ROUND(AG1110/60,6),0)</f>
        <v>0</v>
      </c>
      <c r="BI1110" s="80">
        <f>IF(BE1110=1,ROUND(AP1110/60,6),0)</f>
        <v>0</v>
      </c>
      <c r="BJ1110" s="80">
        <f>IF(BE1110=1,ROUND(AQ1110/60,6),0)</f>
        <v>0</v>
      </c>
      <c r="BK1110" s="80">
        <f>IF(BE1110=1,ROUND((AR1110+AS1110)/60,6),0)</f>
        <v>0</v>
      </c>
      <c r="BL1110" s="80">
        <f>ROUND(BH1110-BK1110,6)</f>
        <v>0</v>
      </c>
      <c r="BM1110" s="80">
        <f>IF(BE1110=1,ROUND(AR1110/60,6),0)</f>
        <v>0</v>
      </c>
      <c r="BN1110" s="80">
        <f>ROUND(BI1110-BM1110,6)</f>
        <v>0</v>
      </c>
      <c r="BO1110" s="80">
        <f>IF(BE1110=1,ROUND(AS1110/60,6),0)</f>
        <v>0</v>
      </c>
      <c r="BP1110" s="80">
        <f>ROUND(BJ1110-BO1110,6)</f>
        <v>0</v>
      </c>
      <c r="BQ1110" s="80">
        <f>IF(BE1110=1,AW1110,0)</f>
        <v>0</v>
      </c>
      <c r="BR1110" s="80">
        <f>IF(BE1110=1,AX1110,0)</f>
        <v>0</v>
      </c>
      <c r="BS1110" s="80">
        <f>IF(AND(BE1110=1,D1110="Malcolm",BA1110&gt;0),MIN(BH1110,SUMPRODUCT((R_Emp="proMX")*(R_EN&gt;0)*((R_EN-(R_EN&gt;BR1110)*(R_EN-BR1110))&gt;(R_SN+(R_SN&lt;BQ1110)*(BQ1110-R_SN)))*((R_EN-(R_EN&gt;BR1110)*(R_EN-BR1110))-(R_SN+(R_SN&lt;BQ1110)*(BQ1110-R_SN))))/60),0)</f>
        <v>0</v>
      </c>
      <c r="BT1110" s="80">
        <f>IF(AND(BE1110=1,D1110="proMX"),ROUND(BI1110*CFG_RATE+BJ1110*CFG_OTRATE,6),0)</f>
        <v>0</v>
      </c>
      <c r="BU1110" s="80">
        <f>IF(AND(BD1110=1,D1110="proMX"),ROUND(AG1110/CFG_BLK,6),0)</f>
        <v>0</v>
      </c>
      <c r="BV1110" s="80" t="str">
        <f>IF(BF1110="Approved",IF(ISNUMBER(T1110),INT(T1110),INT(B1110)),"")</f>
        <v/>
      </c>
      <c r="BW1110" s="80">
        <f>IF(ISNUMBER(B1110),IF(DB_MON="Todos",1,IF(AND(INT(B1110)&gt;=DB_MS,INT(B1110)&lt;=DB_ME),1,0)),0)</f>
        <v>0</v>
      </c>
      <c r="BX1110" s="80">
        <f>IF(DB_PROJ="Todos",1,IF(E1110&amp;""=DB_PROJ&amp;"",1,0))</f>
        <v>1</v>
      </c>
      <c r="BY1110" s="80">
        <f>BW1110*BX1110</f>
        <v>0</v>
      </c>
      <c r="BZ1110" s="80" t="str">
        <f>IF(Y1110=1,F1110&amp;IF(AND(F1110&amp;""&lt;&gt;"",E1110&amp;""&lt;&gt;"")," · ","")&amp;E1110,"")</f>
        <v/>
      </c>
      <c r="CA1110" s="80" t="str">
        <f>IF(AND(BD1110=1,E1110&amp;""&lt;&gt;""),IF(COUNTIFS($E$5:E1109,E1110,$BD$5:BD1109,1)=0,MAX($CA$5:CA1109)+1,""),"")</f>
        <v/>
      </c>
      <c r="CB1110" s="80" t="str">
        <f>IF(AND(BE1110=1,D1110="Malcolm",E1110&amp;""&lt;&gt;""),IF(COUNTIFS($D$5:D1109,"Malcolm",$E$5:E1109,E1110,$BE$5:BE1109,1)=0,MAX($CB$5:CB1109)+1,""),"")</f>
        <v/>
      </c>
      <c r="CC1110" s="80" t="str">
        <f>IF(AND(BD1110=1,D1110="proMX",E1110&amp;""&lt;&gt;""),IF(COUNTIFS($D$5:D1109,"proMX",$E$5:E1109,E1110,$BD$5:BD1109,1)=0,MAX($CC$5:CC1109)+1,""),"")</f>
        <v/>
      </c>
      <c r="CD1110" s="80" t="str">
        <f>IF(AND(BE1110=1,D1110="Malcolm",F1110&amp;""&lt;&gt;""),IF(COUNTIFS($D$5:D1109,"Malcolm",$F$5:F1109,F1110,$BE$5:BE1109,1)=0,MAX($CD$5:CD1109)+1,""),"")</f>
        <v/>
      </c>
      <c r="CE1110" s="80" t="str">
        <f>IF(AND(BD1110=1,D1110="proMX",F1110&amp;""&lt;&gt;""),IF(COUNTIFS($D$5:D1109,"proMX",$F$5:F1109,F1110,$BD$5:BD1109,1)=0,MAX($CE$5:CE1109)+1,""),"")</f>
        <v/>
      </c>
      <c r="CF1110" s="80" t="str">
        <f>IF(AND(D1110="proMX",BD1110=1),IF(OR(BF1110="Draft",BF1110="Submitted",BF1110="Returned",BF1110="Recall Requested"),MAX($CF$5:CF1109)+1,""),"")</f>
        <v/>
      </c>
      <c r="CG1110" s="80">
        <f>IF(BD1110=0,0,IF(D1110="Malcolm",1,MATCH(BF1110,{"Draft","Submitted","Approved","Returned","Recall Requested","Cancelled"},0)+1))</f>
        <v>0</v>
      </c>
      <c r="CH1110" s="80">
        <f>IF(AND(BF1110="Submitted",ISNUMBER(V1110)),IF(V1110&gt;CFG_MAXD,1,0),0)</f>
        <v>0</v>
      </c>
    </row>
    <row r="1111">
      <c r="A1111" s="71" t="str">
        <f>IF(Y1111=1,ROW()-5,"")</f>
        <v/>
      </c>
      <c r="B1111" s="72" t="n"/>
      <c r="C1111" s="71" t="str">
        <f>IF(ISNUMBER(B1111),CHOOSE(WEEKDAY(B1111,2),"Lun","Mar","Mié","Jue","Vie","Sáb","Dom"),"")</f>
        <v/>
      </c>
      <c r="D1111" s="73" t="n"/>
      <c r="E1111" s="74" t="n"/>
      <c r="F1111" s="74" t="n"/>
      <c r="G1111" s="74" t="n"/>
      <c r="H1111" s="75" t="n"/>
      <c r="I1111" s="75" t="n"/>
      <c r="J1111" s="76" t="n"/>
      <c r="K1111" s="77" t="str">
        <f>IF(AB1111=1,ROUND(AG1111/60,4),"")</f>
        <v/>
      </c>
      <c r="L1111" s="77" t="str">
        <f>IF(BD1111=1,ROUND(AP1111/60,4),"")</f>
        <v/>
      </c>
      <c r="M1111" s="77" t="str">
        <f>IF(BD1111=1,ROUND(AQ1111/60,4),"")</f>
        <v/>
      </c>
      <c r="N1111" s="71" t="str">
        <f>IF(AND(D1111="proMX",AB1111=1),ROUND(AG1111/CFG_BLK,2),"")</f>
        <v/>
      </c>
      <c r="O1111" s="77" t="str">
        <f>IF(D1111="proMX",IF(BD1111=1,ROUND(AG1111/60,4),0),"")</f>
        <v/>
      </c>
      <c r="P1111" s="78" t="str">
        <f>IF(Y1111=0,"",IF(BD1111=1,"OK",IF(D1111="proMX","Revisar bloques: ","Revisar: ")&amp;BC1111))</f>
        <v/>
      </c>
      <c r="Q1111" s="78" t="str">
        <f>IF(NOT(ISNUMBER(B1111)),"",IF(COUNTIFS(FER_F,INT(B1111))&gt;0,"Feriado"&amp;IF(AH1111=1," (laborable)"," (no laborable)"),IF(AH1111=1,"Laborable",IF(WEEKDAY(B1111,2)&gt;5,"Fin de semana","No laborable"))))</f>
        <v/>
      </c>
      <c r="R1111" s="73" t="n"/>
      <c r="S1111" s="72" t="n"/>
      <c r="T1111" s="72" t="n"/>
      <c r="U1111" s="74" t="n"/>
      <c r="V1111" s="79" t="str">
        <f>IF(AND(D1111="proMX",OR(R1111="Submitted",R1111="Recall Requested"),ISNUMBER(S1111)),CFG_TODAY-INT(S1111),"")</f>
        <v/>
      </c>
      <c r="W1111" s="78" t="str">
        <f>IF(BD1111=0,"",IF(BA1111&gt;0,"⚠ Se superpone con un registro de la otra empresa",IF(D1111="Malcolm",IF(COUNTA(R1111,S1111,T1111)&gt;0,"Estado/fechas proMX se ignoran en Malcolm",""),IF(BF1111="Cancelled","Cancelado: excluido de totales",IF(R1111="","Sin estado: se trata como Draft",IF(BF1111="Submitted",IF(ISNUMBER(V1111),IF(V1111&gt;CFG_MAXD,"⚠ "&amp;V1111&amp;" días en Submitted (máx. "&amp;CFG_MAXD&amp;")",""),"Falta fecha de envío"),IF(BF1111="Returned","⚠ Devuelto: corregir y reenviar",IF(BF1111="Recall Requested","Retirada solicitada: pendiente",IF(AND(BF1111="Approved",NOT(ISNUMBER(T1111))),"Falta fecha de aprobación",IF(AND(ISNUMBER(S1111),ISNUMBER(T1111),T1111&lt;S1111),"Aprobación anterior al envío","")))))))))</f>
        <v/>
      </c>
      <c r="Y1111" s="80">
        <f>IF(COUNTA(B1111,D1111,E1111,F1111,G1111,H1111,I1111,J1111,R1111,S1111,T1111)&gt;0,1,0)</f>
        <v>0</v>
      </c>
      <c r="Z1111" s="80" t="str">
        <f>IF(AND(ISNUMBER(H1111),H1111&gt;=0,H1111&lt;1),ROUND(H1111*1440,0),"")</f>
        <v/>
      </c>
      <c r="AA1111" s="80" t="str">
        <f>IF(AND(ISNUMBER(I1111),I1111&gt;=0,I1111&lt;1),ROUND(I1111*1440,0),"")</f>
        <v/>
      </c>
      <c r="AB1111" s="80">
        <f>IF(AND(ISNUMBER(B1111),D1111&lt;&gt;"",ISNUMBER(Z1111),ISNUMBER(AA1111)),IF(Z1111=AA1111,0,1),0)</f>
        <v>0</v>
      </c>
      <c r="AC1111" s="80">
        <f>IF(AB1111=1,IF(AA1111&lt;Z1111,1,0),0)</f>
        <v>0</v>
      </c>
      <c r="AD1111" s="80">
        <f>IF(AB1111=1,IF(AC1111=1,1440-Z1111+AA1111,AA1111-Z1111),0)</f>
        <v>0</v>
      </c>
      <c r="AE1111" s="80">
        <f>IF(J1111="",0,IF(ISNUMBER(J1111),J1111,-1))</f>
        <v>0</v>
      </c>
      <c r="AF1111" s="80">
        <f>MIN(MAX(0,AE1111),AD1111)</f>
        <v>0</v>
      </c>
      <c r="AG1111" s="80">
        <f>MAX(0,AD1111-MAX(0,AE1111))</f>
        <v>0</v>
      </c>
      <c r="AH1111" s="80">
        <f>IF(ISNUMBER(B1111),IF(AND(INDEX(CFG_WDAYS,WEEKDAY(INT(B1111),2))="Sí",IF(D1111="proMX",COUNTIFS(FER_F,INT(B1111),FER_NLP,"Sí"),COUNTIFS(FER_F,INT(B1111),FER_NLM,"Sí"))=0),1,0),0)</f>
        <v>0</v>
      </c>
      <c r="AI1111" s="80">
        <f>IF(AC1111=1,IF(AND(INDEX(CFG_WDAYS,WEEKDAY(INT(B1111)+1,2))="Sí",IF(D1111="proMX",COUNTIFS(FER_F,INT(B1111)+1,FER_NLP,"Sí"),COUNTIFS(FER_F,INT(B1111)+1,FER_NLM,"Sí"))=0),1,0),0)</f>
        <v>0</v>
      </c>
      <c r="AJ1111" s="80">
        <f>IF(AC1111=1,1440-Z1111,AD1111)</f>
        <v>0</v>
      </c>
      <c r="AK1111" s="80">
        <f>IF(AND(AB1111=1,AH1111=1),MAX(0,MIN(IF(AC1111=1,1440,AA1111),CFG_WEM)-MAX(Z1111,CFG_WSM)),0)</f>
        <v>0</v>
      </c>
      <c r="AL1111" s="80">
        <f>IF(AND(AC1111=1,AI1111=1),MAX(0,MIN(AA1111,CFG_WEM)-CFG_WSM),0)</f>
        <v>0</v>
      </c>
      <c r="AM1111" s="80">
        <f>AK1111+AL1111</f>
        <v>0</v>
      </c>
      <c r="AN1111" s="80">
        <f>IF(CFG_BRK="Proporcional",IF(AD1111=0,0,AF1111*AM1111/AD1111),IF(CFG_BRK="Extras primero",MIN(AM1111,MAX(0,AF1111-(AD1111-AM1111))),MIN(AF1111,AM1111)))</f>
        <v>0</v>
      </c>
      <c r="AO1111" s="80">
        <f>AF1111-AN1111</f>
        <v>0</v>
      </c>
      <c r="AP1111" s="80">
        <f>AM1111-AN1111</f>
        <v>0</v>
      </c>
      <c r="AQ1111" s="80">
        <f>AD1111-AM1111-AO1111</f>
        <v>0</v>
      </c>
      <c r="AR1111" s="80">
        <f>IF(AM1111=0,0,AK1111-AN1111*AK1111/AM1111)</f>
        <v>0</v>
      </c>
      <c r="AS1111" s="80">
        <f>IF(AD1111-AM1111=0,0,(AJ1111-AK1111)-AO1111*(AJ1111-AK1111)/(AD1111-AM1111))</f>
        <v>0</v>
      </c>
      <c r="AT1111" s="80" t="str">
        <f>IF(AC1111=1,INT(B1111)+1,"")</f>
        <v/>
      </c>
      <c r="AU1111" s="80">
        <f>IF(AND(D1111="proMX",R1111="Cancelled"),0,1)</f>
        <v>1</v>
      </c>
      <c r="AV1111" s="80">
        <f>IF(AND(AB1111=1,AU1111=1),IF(COUNTIFS($D$5:D1110,D1111,$B$5:B1110,B1111,$Z$5:Z1110,Z1111,$AA$5:AA1110,AA1111,$F$5:F1110,F1111&amp;"",$AU$5:AU1110,1)&gt;0,1,0),0)</f>
        <v>0</v>
      </c>
      <c r="AW1111" s="80" t="str">
        <f>IF(AB1111=1,INT(B1111)*1440+Z1111,"")</f>
        <v/>
      </c>
      <c r="AX1111" s="80" t="str">
        <f>IF(AB1111=1,AW1111+AD1111,"")</f>
        <v/>
      </c>
      <c r="AY1111" s="80">
        <f>IF(AND(AB1111=1,AV1111=0,AU1111=1),1,0)</f>
        <v>0</v>
      </c>
      <c r="AZ1111" s="80">
        <f>IF(AY1111=1,COUNTIFS(R_Emp,D1111,R_SAbs,"&lt;"&amp;AX1111,R_EAbs,"&gt;"&amp;AW1111,R_OKey,1)-1,0)</f>
        <v>0</v>
      </c>
      <c r="BA1111" s="80">
        <f>IF(AY1111=1,COUNTIFS(R_Emp,"&lt;&gt;"&amp;D1111,R_SAbs,"&lt;"&amp;AX1111,R_EAbs,"&gt;"&amp;AW1111,R_OKey,1),0)</f>
        <v>0</v>
      </c>
      <c r="BB1111" s="80">
        <f>IF(AND(AB1111=1,D1111="proMX"),IF(AND(MOD(Z1111,CFG_BLK)=0,MOD(AA1111,CFG_BLK)=0,MOD(AG1111,CFG_BLK)=0,AG1111&gt;0),1,0),1)</f>
        <v>1</v>
      </c>
      <c r="BC1111" s="80" t="str">
        <f>IF(Y1111=0,"",IF(NOT(ISNUMBER(B1111)),"Falta fecha o fecha inválida",IF(D1111="","Falta empresa",IF(AND(D1111&lt;&gt;"Malcolm",D1111&lt;&gt;"proMX"),"Empresa inválida",IF(OR(INT(B1111)&lt;CFG_PSTART,INT(B1111)&gt;CFG_PEND),"Fecha fuera del período",IF(OR(NOT(ISNUMBER(Z1111)),NOT(ISNUMBER(AA1111))),"Falta hora inicio/fin o formato inválido",IF(AB1111=0,"Hora inicio = hora fin",IF(AE1111&lt;0,"Descanso inválido",IF(AE1111&gt;=AD1111,"Descanso ≥ duración",IF(AV1111=1,"Registro duplicado",IF(AZ1111&gt;0,"Se superpone con otro registro "&amp;D1111,IF(BB1111=0,"inicio, fin y duración neta deben ser múltiplos de "&amp;CFG_BLK&amp;" min",""))))))))))))</f>
        <v/>
      </c>
      <c r="BD1111" s="80">
        <f>IF(AND(Y1111=1,BC1111=""),1,0)</f>
        <v>0</v>
      </c>
      <c r="BE1111" s="80">
        <f>IF(AND(BD1111=1,AU1111=1),1,0)</f>
        <v>0</v>
      </c>
      <c r="BF1111" s="80" t="str">
        <f>IF(AND(D1111="proMX",BD1111=1),IF(R1111="","Draft",R1111),"")</f>
        <v/>
      </c>
      <c r="BG1111" s="80">
        <f>IF(BD1111=1,ROUND(AG1111/60,6),0)</f>
        <v>0</v>
      </c>
      <c r="BH1111" s="80">
        <f>IF(BE1111=1,ROUND(AG1111/60,6),0)</f>
        <v>0</v>
      </c>
      <c r="BI1111" s="80">
        <f>IF(BE1111=1,ROUND(AP1111/60,6),0)</f>
        <v>0</v>
      </c>
      <c r="BJ1111" s="80">
        <f>IF(BE1111=1,ROUND(AQ1111/60,6),0)</f>
        <v>0</v>
      </c>
      <c r="BK1111" s="80">
        <f>IF(BE1111=1,ROUND((AR1111+AS1111)/60,6),0)</f>
        <v>0</v>
      </c>
      <c r="BL1111" s="80">
        <f>ROUND(BH1111-BK1111,6)</f>
        <v>0</v>
      </c>
      <c r="BM1111" s="80">
        <f>IF(BE1111=1,ROUND(AR1111/60,6),0)</f>
        <v>0</v>
      </c>
      <c r="BN1111" s="80">
        <f>ROUND(BI1111-BM1111,6)</f>
        <v>0</v>
      </c>
      <c r="BO1111" s="80">
        <f>IF(BE1111=1,ROUND(AS1111/60,6),0)</f>
        <v>0</v>
      </c>
      <c r="BP1111" s="80">
        <f>ROUND(BJ1111-BO1111,6)</f>
        <v>0</v>
      </c>
      <c r="BQ1111" s="80">
        <f>IF(BE1111=1,AW1111,0)</f>
        <v>0</v>
      </c>
      <c r="BR1111" s="80">
        <f>IF(BE1111=1,AX1111,0)</f>
        <v>0</v>
      </c>
      <c r="BS1111" s="80">
        <f>IF(AND(BE1111=1,D1111="Malcolm",BA1111&gt;0),MIN(BH1111,SUMPRODUCT((R_Emp="proMX")*(R_EN&gt;0)*((R_EN-(R_EN&gt;BR1111)*(R_EN-BR1111))&gt;(R_SN+(R_SN&lt;BQ1111)*(BQ1111-R_SN)))*((R_EN-(R_EN&gt;BR1111)*(R_EN-BR1111))-(R_SN+(R_SN&lt;BQ1111)*(BQ1111-R_SN))))/60),0)</f>
        <v>0</v>
      </c>
      <c r="BT1111" s="80">
        <f>IF(AND(BE1111=1,D1111="proMX"),ROUND(BI1111*CFG_RATE+BJ1111*CFG_OTRATE,6),0)</f>
        <v>0</v>
      </c>
      <c r="BU1111" s="80">
        <f>IF(AND(BD1111=1,D1111="proMX"),ROUND(AG1111/CFG_BLK,6),0)</f>
        <v>0</v>
      </c>
      <c r="BV1111" s="80" t="str">
        <f>IF(BF1111="Approved",IF(ISNUMBER(T1111),INT(T1111),INT(B1111)),"")</f>
        <v/>
      </c>
      <c r="BW1111" s="80">
        <f>IF(ISNUMBER(B1111),IF(DB_MON="Todos",1,IF(AND(INT(B1111)&gt;=DB_MS,INT(B1111)&lt;=DB_ME),1,0)),0)</f>
        <v>0</v>
      </c>
      <c r="BX1111" s="80">
        <f>IF(DB_PROJ="Todos",1,IF(E1111&amp;""=DB_PROJ&amp;"",1,0))</f>
        <v>1</v>
      </c>
      <c r="BY1111" s="80">
        <f>BW1111*BX1111</f>
        <v>0</v>
      </c>
      <c r="BZ1111" s="80" t="str">
        <f>IF(Y1111=1,F1111&amp;IF(AND(F1111&amp;""&lt;&gt;"",E1111&amp;""&lt;&gt;"")," · ","")&amp;E1111,"")</f>
        <v/>
      </c>
      <c r="CA1111" s="80" t="str">
        <f>IF(AND(BD1111=1,E1111&amp;""&lt;&gt;""),IF(COUNTIFS($E$5:E1110,E1111,$BD$5:BD1110,1)=0,MAX($CA$5:CA1110)+1,""),"")</f>
        <v/>
      </c>
      <c r="CB1111" s="80" t="str">
        <f>IF(AND(BE1111=1,D1111="Malcolm",E1111&amp;""&lt;&gt;""),IF(COUNTIFS($D$5:D1110,"Malcolm",$E$5:E1110,E1111,$BE$5:BE1110,1)=0,MAX($CB$5:CB1110)+1,""),"")</f>
        <v/>
      </c>
      <c r="CC1111" s="80" t="str">
        <f>IF(AND(BD1111=1,D1111="proMX",E1111&amp;""&lt;&gt;""),IF(COUNTIFS($D$5:D1110,"proMX",$E$5:E1110,E1111,$BD$5:BD1110,1)=0,MAX($CC$5:CC1110)+1,""),"")</f>
        <v/>
      </c>
      <c r="CD1111" s="80" t="str">
        <f>IF(AND(BE1111=1,D1111="Malcolm",F1111&amp;""&lt;&gt;""),IF(COUNTIFS($D$5:D1110,"Malcolm",$F$5:F1110,F1111,$BE$5:BE1110,1)=0,MAX($CD$5:CD1110)+1,""),"")</f>
        <v/>
      </c>
      <c r="CE1111" s="80" t="str">
        <f>IF(AND(BD1111=1,D1111="proMX",F1111&amp;""&lt;&gt;""),IF(COUNTIFS($D$5:D1110,"proMX",$F$5:F1110,F1111,$BD$5:BD1110,1)=0,MAX($CE$5:CE1110)+1,""),"")</f>
        <v/>
      </c>
      <c r="CF1111" s="80" t="str">
        <f>IF(AND(D1111="proMX",BD1111=1),IF(OR(BF1111="Draft",BF1111="Submitted",BF1111="Returned",BF1111="Recall Requested"),MAX($CF$5:CF1110)+1,""),"")</f>
        <v/>
      </c>
      <c r="CG1111" s="80">
        <f>IF(BD1111=0,0,IF(D1111="Malcolm",1,MATCH(BF1111,{"Draft","Submitted","Approved","Returned","Recall Requested","Cancelled"},0)+1))</f>
        <v>0</v>
      </c>
      <c r="CH1111" s="80">
        <f>IF(AND(BF1111="Submitted",ISNUMBER(V1111)),IF(V1111&gt;CFG_MAXD,1,0),0)</f>
        <v>0</v>
      </c>
    </row>
    <row r="1112">
      <c r="A1112" s="71" t="str">
        <f>IF(Y1112=1,ROW()-5,"")</f>
        <v/>
      </c>
      <c r="B1112" s="72" t="n"/>
      <c r="C1112" s="71" t="str">
        <f>IF(ISNUMBER(B1112),CHOOSE(WEEKDAY(B1112,2),"Lun","Mar","Mié","Jue","Vie","Sáb","Dom"),"")</f>
        <v/>
      </c>
      <c r="D1112" s="73" t="n"/>
      <c r="E1112" s="74" t="n"/>
      <c r="F1112" s="74" t="n"/>
      <c r="G1112" s="74" t="n"/>
      <c r="H1112" s="75" t="n"/>
      <c r="I1112" s="75" t="n"/>
      <c r="J1112" s="76" t="n"/>
      <c r="K1112" s="77" t="str">
        <f>IF(AB1112=1,ROUND(AG1112/60,4),"")</f>
        <v/>
      </c>
      <c r="L1112" s="77" t="str">
        <f>IF(BD1112=1,ROUND(AP1112/60,4),"")</f>
        <v/>
      </c>
      <c r="M1112" s="77" t="str">
        <f>IF(BD1112=1,ROUND(AQ1112/60,4),"")</f>
        <v/>
      </c>
      <c r="N1112" s="71" t="str">
        <f>IF(AND(D1112="proMX",AB1112=1),ROUND(AG1112/CFG_BLK,2),"")</f>
        <v/>
      </c>
      <c r="O1112" s="77" t="str">
        <f>IF(D1112="proMX",IF(BD1112=1,ROUND(AG1112/60,4),0),"")</f>
        <v/>
      </c>
      <c r="P1112" s="78" t="str">
        <f>IF(Y1112=0,"",IF(BD1112=1,"OK",IF(D1112="proMX","Revisar bloques: ","Revisar: ")&amp;BC1112))</f>
        <v/>
      </c>
      <c r="Q1112" s="78" t="str">
        <f>IF(NOT(ISNUMBER(B1112)),"",IF(COUNTIFS(FER_F,INT(B1112))&gt;0,"Feriado"&amp;IF(AH1112=1," (laborable)"," (no laborable)"),IF(AH1112=1,"Laborable",IF(WEEKDAY(B1112,2)&gt;5,"Fin de semana","No laborable"))))</f>
        <v/>
      </c>
      <c r="R1112" s="73" t="n"/>
      <c r="S1112" s="72" t="n"/>
      <c r="T1112" s="72" t="n"/>
      <c r="U1112" s="74" t="n"/>
      <c r="V1112" s="79" t="str">
        <f>IF(AND(D1112="proMX",OR(R1112="Submitted",R1112="Recall Requested"),ISNUMBER(S1112)),CFG_TODAY-INT(S1112),"")</f>
        <v/>
      </c>
      <c r="W1112" s="78" t="str">
        <f>IF(BD1112=0,"",IF(BA1112&gt;0,"⚠ Se superpone con un registro de la otra empresa",IF(D1112="Malcolm",IF(COUNTA(R1112,S1112,T1112)&gt;0,"Estado/fechas proMX se ignoran en Malcolm",""),IF(BF1112="Cancelled","Cancelado: excluido de totales",IF(R1112="","Sin estado: se trata como Draft",IF(BF1112="Submitted",IF(ISNUMBER(V1112),IF(V1112&gt;CFG_MAXD,"⚠ "&amp;V1112&amp;" días en Submitted (máx. "&amp;CFG_MAXD&amp;")",""),"Falta fecha de envío"),IF(BF1112="Returned","⚠ Devuelto: corregir y reenviar",IF(BF1112="Recall Requested","Retirada solicitada: pendiente",IF(AND(BF1112="Approved",NOT(ISNUMBER(T1112))),"Falta fecha de aprobación",IF(AND(ISNUMBER(S1112),ISNUMBER(T1112),T1112&lt;S1112),"Aprobación anterior al envío","")))))))))</f>
        <v/>
      </c>
      <c r="Y1112" s="80">
        <f>IF(COUNTA(B1112,D1112,E1112,F1112,G1112,H1112,I1112,J1112,R1112,S1112,T1112)&gt;0,1,0)</f>
        <v>0</v>
      </c>
      <c r="Z1112" s="80" t="str">
        <f>IF(AND(ISNUMBER(H1112),H1112&gt;=0,H1112&lt;1),ROUND(H1112*1440,0),"")</f>
        <v/>
      </c>
      <c r="AA1112" s="80" t="str">
        <f>IF(AND(ISNUMBER(I1112),I1112&gt;=0,I1112&lt;1),ROUND(I1112*1440,0),"")</f>
        <v/>
      </c>
      <c r="AB1112" s="80">
        <f>IF(AND(ISNUMBER(B1112),D1112&lt;&gt;"",ISNUMBER(Z1112),ISNUMBER(AA1112)),IF(Z1112=AA1112,0,1),0)</f>
        <v>0</v>
      </c>
      <c r="AC1112" s="80">
        <f>IF(AB1112=1,IF(AA1112&lt;Z1112,1,0),0)</f>
        <v>0</v>
      </c>
      <c r="AD1112" s="80">
        <f>IF(AB1112=1,IF(AC1112=1,1440-Z1112+AA1112,AA1112-Z1112),0)</f>
        <v>0</v>
      </c>
      <c r="AE1112" s="80">
        <f>IF(J1112="",0,IF(ISNUMBER(J1112),J1112,-1))</f>
        <v>0</v>
      </c>
      <c r="AF1112" s="80">
        <f>MIN(MAX(0,AE1112),AD1112)</f>
        <v>0</v>
      </c>
      <c r="AG1112" s="80">
        <f>MAX(0,AD1112-MAX(0,AE1112))</f>
        <v>0</v>
      </c>
      <c r="AH1112" s="80">
        <f>IF(ISNUMBER(B1112),IF(AND(INDEX(CFG_WDAYS,WEEKDAY(INT(B1112),2))="Sí",IF(D1112="proMX",COUNTIFS(FER_F,INT(B1112),FER_NLP,"Sí"),COUNTIFS(FER_F,INT(B1112),FER_NLM,"Sí"))=0),1,0),0)</f>
        <v>0</v>
      </c>
      <c r="AI1112" s="80">
        <f>IF(AC1112=1,IF(AND(INDEX(CFG_WDAYS,WEEKDAY(INT(B1112)+1,2))="Sí",IF(D1112="proMX",COUNTIFS(FER_F,INT(B1112)+1,FER_NLP,"Sí"),COUNTIFS(FER_F,INT(B1112)+1,FER_NLM,"Sí"))=0),1,0),0)</f>
        <v>0</v>
      </c>
      <c r="AJ1112" s="80">
        <f>IF(AC1112=1,1440-Z1112,AD1112)</f>
        <v>0</v>
      </c>
      <c r="AK1112" s="80">
        <f>IF(AND(AB1112=1,AH1112=1),MAX(0,MIN(IF(AC1112=1,1440,AA1112),CFG_WEM)-MAX(Z1112,CFG_WSM)),0)</f>
        <v>0</v>
      </c>
      <c r="AL1112" s="80">
        <f>IF(AND(AC1112=1,AI1112=1),MAX(0,MIN(AA1112,CFG_WEM)-CFG_WSM),0)</f>
        <v>0</v>
      </c>
      <c r="AM1112" s="80">
        <f>AK1112+AL1112</f>
        <v>0</v>
      </c>
      <c r="AN1112" s="80">
        <f>IF(CFG_BRK="Proporcional",IF(AD1112=0,0,AF1112*AM1112/AD1112),IF(CFG_BRK="Extras primero",MIN(AM1112,MAX(0,AF1112-(AD1112-AM1112))),MIN(AF1112,AM1112)))</f>
        <v>0</v>
      </c>
      <c r="AO1112" s="80">
        <f>AF1112-AN1112</f>
        <v>0</v>
      </c>
      <c r="AP1112" s="80">
        <f>AM1112-AN1112</f>
        <v>0</v>
      </c>
      <c r="AQ1112" s="80">
        <f>AD1112-AM1112-AO1112</f>
        <v>0</v>
      </c>
      <c r="AR1112" s="80">
        <f>IF(AM1112=0,0,AK1112-AN1112*AK1112/AM1112)</f>
        <v>0</v>
      </c>
      <c r="AS1112" s="80">
        <f>IF(AD1112-AM1112=0,0,(AJ1112-AK1112)-AO1112*(AJ1112-AK1112)/(AD1112-AM1112))</f>
        <v>0</v>
      </c>
      <c r="AT1112" s="80" t="str">
        <f>IF(AC1112=1,INT(B1112)+1,"")</f>
        <v/>
      </c>
      <c r="AU1112" s="80">
        <f>IF(AND(D1112="proMX",R1112="Cancelled"),0,1)</f>
        <v>1</v>
      </c>
      <c r="AV1112" s="80">
        <f>IF(AND(AB1112=1,AU1112=1),IF(COUNTIFS($D$5:D1111,D1112,$B$5:B1111,B1112,$Z$5:Z1111,Z1112,$AA$5:AA1111,AA1112,$F$5:F1111,F1112&amp;"",$AU$5:AU1111,1)&gt;0,1,0),0)</f>
        <v>0</v>
      </c>
      <c r="AW1112" s="80" t="str">
        <f>IF(AB1112=1,INT(B1112)*1440+Z1112,"")</f>
        <v/>
      </c>
      <c r="AX1112" s="80" t="str">
        <f>IF(AB1112=1,AW1112+AD1112,"")</f>
        <v/>
      </c>
      <c r="AY1112" s="80">
        <f>IF(AND(AB1112=1,AV1112=0,AU1112=1),1,0)</f>
        <v>0</v>
      </c>
      <c r="AZ1112" s="80">
        <f>IF(AY1112=1,COUNTIFS(R_Emp,D1112,R_SAbs,"&lt;"&amp;AX1112,R_EAbs,"&gt;"&amp;AW1112,R_OKey,1)-1,0)</f>
        <v>0</v>
      </c>
      <c r="BA1112" s="80">
        <f>IF(AY1112=1,COUNTIFS(R_Emp,"&lt;&gt;"&amp;D1112,R_SAbs,"&lt;"&amp;AX1112,R_EAbs,"&gt;"&amp;AW1112,R_OKey,1),0)</f>
        <v>0</v>
      </c>
      <c r="BB1112" s="80">
        <f>IF(AND(AB1112=1,D1112="proMX"),IF(AND(MOD(Z1112,CFG_BLK)=0,MOD(AA1112,CFG_BLK)=0,MOD(AG1112,CFG_BLK)=0,AG1112&gt;0),1,0),1)</f>
        <v>1</v>
      </c>
      <c r="BC1112" s="80" t="str">
        <f>IF(Y1112=0,"",IF(NOT(ISNUMBER(B1112)),"Falta fecha o fecha inválida",IF(D1112="","Falta empresa",IF(AND(D1112&lt;&gt;"Malcolm",D1112&lt;&gt;"proMX"),"Empresa inválida",IF(OR(INT(B1112)&lt;CFG_PSTART,INT(B1112)&gt;CFG_PEND),"Fecha fuera del período",IF(OR(NOT(ISNUMBER(Z1112)),NOT(ISNUMBER(AA1112))),"Falta hora inicio/fin o formato inválido",IF(AB1112=0,"Hora inicio = hora fin",IF(AE1112&lt;0,"Descanso inválido",IF(AE1112&gt;=AD1112,"Descanso ≥ duración",IF(AV1112=1,"Registro duplicado",IF(AZ1112&gt;0,"Se superpone con otro registro "&amp;D1112,IF(BB1112=0,"inicio, fin y duración neta deben ser múltiplos de "&amp;CFG_BLK&amp;" min",""))))))))))))</f>
        <v/>
      </c>
      <c r="BD1112" s="80">
        <f>IF(AND(Y1112=1,BC1112=""),1,0)</f>
        <v>0</v>
      </c>
      <c r="BE1112" s="80">
        <f>IF(AND(BD1112=1,AU1112=1),1,0)</f>
        <v>0</v>
      </c>
      <c r="BF1112" s="80" t="str">
        <f>IF(AND(D1112="proMX",BD1112=1),IF(R1112="","Draft",R1112),"")</f>
        <v/>
      </c>
      <c r="BG1112" s="80">
        <f>IF(BD1112=1,ROUND(AG1112/60,6),0)</f>
        <v>0</v>
      </c>
      <c r="BH1112" s="80">
        <f>IF(BE1112=1,ROUND(AG1112/60,6),0)</f>
        <v>0</v>
      </c>
      <c r="BI1112" s="80">
        <f>IF(BE1112=1,ROUND(AP1112/60,6),0)</f>
        <v>0</v>
      </c>
      <c r="BJ1112" s="80">
        <f>IF(BE1112=1,ROUND(AQ1112/60,6),0)</f>
        <v>0</v>
      </c>
      <c r="BK1112" s="80">
        <f>IF(BE1112=1,ROUND((AR1112+AS1112)/60,6),0)</f>
        <v>0</v>
      </c>
      <c r="BL1112" s="80">
        <f>ROUND(BH1112-BK1112,6)</f>
        <v>0</v>
      </c>
      <c r="BM1112" s="80">
        <f>IF(BE1112=1,ROUND(AR1112/60,6),0)</f>
        <v>0</v>
      </c>
      <c r="BN1112" s="80">
        <f>ROUND(BI1112-BM1112,6)</f>
        <v>0</v>
      </c>
      <c r="BO1112" s="80">
        <f>IF(BE1112=1,ROUND(AS1112/60,6),0)</f>
        <v>0</v>
      </c>
      <c r="BP1112" s="80">
        <f>ROUND(BJ1112-BO1112,6)</f>
        <v>0</v>
      </c>
      <c r="BQ1112" s="80">
        <f>IF(BE1112=1,AW1112,0)</f>
        <v>0</v>
      </c>
      <c r="BR1112" s="80">
        <f>IF(BE1112=1,AX1112,0)</f>
        <v>0</v>
      </c>
      <c r="BS1112" s="80">
        <f>IF(AND(BE1112=1,D1112="Malcolm",BA1112&gt;0),MIN(BH1112,SUMPRODUCT((R_Emp="proMX")*(R_EN&gt;0)*((R_EN-(R_EN&gt;BR1112)*(R_EN-BR1112))&gt;(R_SN+(R_SN&lt;BQ1112)*(BQ1112-R_SN)))*((R_EN-(R_EN&gt;BR1112)*(R_EN-BR1112))-(R_SN+(R_SN&lt;BQ1112)*(BQ1112-R_SN))))/60),0)</f>
        <v>0</v>
      </c>
      <c r="BT1112" s="80">
        <f>IF(AND(BE1112=1,D1112="proMX"),ROUND(BI1112*CFG_RATE+BJ1112*CFG_OTRATE,6),0)</f>
        <v>0</v>
      </c>
      <c r="BU1112" s="80">
        <f>IF(AND(BD1112=1,D1112="proMX"),ROUND(AG1112/CFG_BLK,6),0)</f>
        <v>0</v>
      </c>
      <c r="BV1112" s="80" t="str">
        <f>IF(BF1112="Approved",IF(ISNUMBER(T1112),INT(T1112),INT(B1112)),"")</f>
        <v/>
      </c>
      <c r="BW1112" s="80">
        <f>IF(ISNUMBER(B1112),IF(DB_MON="Todos",1,IF(AND(INT(B1112)&gt;=DB_MS,INT(B1112)&lt;=DB_ME),1,0)),0)</f>
        <v>0</v>
      </c>
      <c r="BX1112" s="80">
        <f>IF(DB_PROJ="Todos",1,IF(E1112&amp;""=DB_PROJ&amp;"",1,0))</f>
        <v>1</v>
      </c>
      <c r="BY1112" s="80">
        <f>BW1112*BX1112</f>
        <v>0</v>
      </c>
      <c r="BZ1112" s="80" t="str">
        <f>IF(Y1112=1,F1112&amp;IF(AND(F1112&amp;""&lt;&gt;"",E1112&amp;""&lt;&gt;"")," · ","")&amp;E1112,"")</f>
        <v/>
      </c>
      <c r="CA1112" s="80" t="str">
        <f>IF(AND(BD1112=1,E1112&amp;""&lt;&gt;""),IF(COUNTIFS($E$5:E1111,E1112,$BD$5:BD1111,1)=0,MAX($CA$5:CA1111)+1,""),"")</f>
        <v/>
      </c>
      <c r="CB1112" s="80" t="str">
        <f>IF(AND(BE1112=1,D1112="Malcolm",E1112&amp;""&lt;&gt;""),IF(COUNTIFS($D$5:D1111,"Malcolm",$E$5:E1111,E1112,$BE$5:BE1111,1)=0,MAX($CB$5:CB1111)+1,""),"")</f>
        <v/>
      </c>
      <c r="CC1112" s="80" t="str">
        <f>IF(AND(BD1112=1,D1112="proMX",E1112&amp;""&lt;&gt;""),IF(COUNTIFS($D$5:D1111,"proMX",$E$5:E1111,E1112,$BD$5:BD1111,1)=0,MAX($CC$5:CC1111)+1,""),"")</f>
        <v/>
      </c>
      <c r="CD1112" s="80" t="str">
        <f>IF(AND(BE1112=1,D1112="Malcolm",F1112&amp;""&lt;&gt;""),IF(COUNTIFS($D$5:D1111,"Malcolm",$F$5:F1111,F1112,$BE$5:BE1111,1)=0,MAX($CD$5:CD1111)+1,""),"")</f>
        <v/>
      </c>
      <c r="CE1112" s="80" t="str">
        <f>IF(AND(BD1112=1,D1112="proMX",F1112&amp;""&lt;&gt;""),IF(COUNTIFS($D$5:D1111,"proMX",$F$5:F1111,F1112,$BD$5:BD1111,1)=0,MAX($CE$5:CE1111)+1,""),"")</f>
        <v/>
      </c>
      <c r="CF1112" s="80" t="str">
        <f>IF(AND(D1112="proMX",BD1112=1),IF(OR(BF1112="Draft",BF1112="Submitted",BF1112="Returned",BF1112="Recall Requested"),MAX($CF$5:CF1111)+1,""),"")</f>
        <v/>
      </c>
      <c r="CG1112" s="80">
        <f>IF(BD1112=0,0,IF(D1112="Malcolm",1,MATCH(BF1112,{"Draft","Submitted","Approved","Returned","Recall Requested","Cancelled"},0)+1))</f>
        <v>0</v>
      </c>
      <c r="CH1112" s="80">
        <f>IF(AND(BF1112="Submitted",ISNUMBER(V1112)),IF(V1112&gt;CFG_MAXD,1,0),0)</f>
        <v>0</v>
      </c>
    </row>
    <row r="1113">
      <c r="A1113" s="71" t="str">
        <f>IF(Y1113=1,ROW()-5,"")</f>
        <v/>
      </c>
      <c r="B1113" s="72" t="n"/>
      <c r="C1113" s="71" t="str">
        <f>IF(ISNUMBER(B1113),CHOOSE(WEEKDAY(B1113,2),"Lun","Mar","Mié","Jue","Vie","Sáb","Dom"),"")</f>
        <v/>
      </c>
      <c r="D1113" s="73" t="n"/>
      <c r="E1113" s="74" t="n"/>
      <c r="F1113" s="74" t="n"/>
      <c r="G1113" s="74" t="n"/>
      <c r="H1113" s="75" t="n"/>
      <c r="I1113" s="75" t="n"/>
      <c r="J1113" s="76" t="n"/>
      <c r="K1113" s="77" t="str">
        <f>IF(AB1113=1,ROUND(AG1113/60,4),"")</f>
        <v/>
      </c>
      <c r="L1113" s="77" t="str">
        <f>IF(BD1113=1,ROUND(AP1113/60,4),"")</f>
        <v/>
      </c>
      <c r="M1113" s="77" t="str">
        <f>IF(BD1113=1,ROUND(AQ1113/60,4),"")</f>
        <v/>
      </c>
      <c r="N1113" s="71" t="str">
        <f>IF(AND(D1113="proMX",AB1113=1),ROUND(AG1113/CFG_BLK,2),"")</f>
        <v/>
      </c>
      <c r="O1113" s="77" t="str">
        <f>IF(D1113="proMX",IF(BD1113=1,ROUND(AG1113/60,4),0),"")</f>
        <v/>
      </c>
      <c r="P1113" s="78" t="str">
        <f>IF(Y1113=0,"",IF(BD1113=1,"OK",IF(D1113="proMX","Revisar bloques: ","Revisar: ")&amp;BC1113))</f>
        <v/>
      </c>
      <c r="Q1113" s="78" t="str">
        <f>IF(NOT(ISNUMBER(B1113)),"",IF(COUNTIFS(FER_F,INT(B1113))&gt;0,"Feriado"&amp;IF(AH1113=1," (laborable)"," (no laborable)"),IF(AH1113=1,"Laborable",IF(WEEKDAY(B1113,2)&gt;5,"Fin de semana","No laborable"))))</f>
        <v/>
      </c>
      <c r="R1113" s="73" t="n"/>
      <c r="S1113" s="72" t="n"/>
      <c r="T1113" s="72" t="n"/>
      <c r="U1113" s="74" t="n"/>
      <c r="V1113" s="79" t="str">
        <f>IF(AND(D1113="proMX",OR(R1113="Submitted",R1113="Recall Requested"),ISNUMBER(S1113)),CFG_TODAY-INT(S1113),"")</f>
        <v/>
      </c>
      <c r="W1113" s="78" t="str">
        <f>IF(BD1113=0,"",IF(BA1113&gt;0,"⚠ Se superpone con un registro de la otra empresa",IF(D1113="Malcolm",IF(COUNTA(R1113,S1113,T1113)&gt;0,"Estado/fechas proMX se ignoran en Malcolm",""),IF(BF1113="Cancelled","Cancelado: excluido de totales",IF(R1113="","Sin estado: se trata como Draft",IF(BF1113="Submitted",IF(ISNUMBER(V1113),IF(V1113&gt;CFG_MAXD,"⚠ "&amp;V1113&amp;" días en Submitted (máx. "&amp;CFG_MAXD&amp;")",""),"Falta fecha de envío"),IF(BF1113="Returned","⚠ Devuelto: corregir y reenviar",IF(BF1113="Recall Requested","Retirada solicitada: pendiente",IF(AND(BF1113="Approved",NOT(ISNUMBER(T1113))),"Falta fecha de aprobación",IF(AND(ISNUMBER(S1113),ISNUMBER(T1113),T1113&lt;S1113),"Aprobación anterior al envío","")))))))))</f>
        <v/>
      </c>
      <c r="Y1113" s="80">
        <f>IF(COUNTA(B1113,D1113,E1113,F1113,G1113,H1113,I1113,J1113,R1113,S1113,T1113)&gt;0,1,0)</f>
        <v>0</v>
      </c>
      <c r="Z1113" s="80" t="str">
        <f>IF(AND(ISNUMBER(H1113),H1113&gt;=0,H1113&lt;1),ROUND(H1113*1440,0),"")</f>
        <v/>
      </c>
      <c r="AA1113" s="80" t="str">
        <f>IF(AND(ISNUMBER(I1113),I1113&gt;=0,I1113&lt;1),ROUND(I1113*1440,0),"")</f>
        <v/>
      </c>
      <c r="AB1113" s="80">
        <f>IF(AND(ISNUMBER(B1113),D1113&lt;&gt;"",ISNUMBER(Z1113),ISNUMBER(AA1113)),IF(Z1113=AA1113,0,1),0)</f>
        <v>0</v>
      </c>
      <c r="AC1113" s="80">
        <f>IF(AB1113=1,IF(AA1113&lt;Z1113,1,0),0)</f>
        <v>0</v>
      </c>
      <c r="AD1113" s="80">
        <f>IF(AB1113=1,IF(AC1113=1,1440-Z1113+AA1113,AA1113-Z1113),0)</f>
        <v>0</v>
      </c>
      <c r="AE1113" s="80">
        <f>IF(J1113="",0,IF(ISNUMBER(J1113),J1113,-1))</f>
        <v>0</v>
      </c>
      <c r="AF1113" s="80">
        <f>MIN(MAX(0,AE1113),AD1113)</f>
        <v>0</v>
      </c>
      <c r="AG1113" s="80">
        <f>MAX(0,AD1113-MAX(0,AE1113))</f>
        <v>0</v>
      </c>
      <c r="AH1113" s="80">
        <f>IF(ISNUMBER(B1113),IF(AND(INDEX(CFG_WDAYS,WEEKDAY(INT(B1113),2))="Sí",IF(D1113="proMX",COUNTIFS(FER_F,INT(B1113),FER_NLP,"Sí"),COUNTIFS(FER_F,INT(B1113),FER_NLM,"Sí"))=0),1,0),0)</f>
        <v>0</v>
      </c>
      <c r="AI1113" s="80">
        <f>IF(AC1113=1,IF(AND(INDEX(CFG_WDAYS,WEEKDAY(INT(B1113)+1,2))="Sí",IF(D1113="proMX",COUNTIFS(FER_F,INT(B1113)+1,FER_NLP,"Sí"),COUNTIFS(FER_F,INT(B1113)+1,FER_NLM,"Sí"))=0),1,0),0)</f>
        <v>0</v>
      </c>
      <c r="AJ1113" s="80">
        <f>IF(AC1113=1,1440-Z1113,AD1113)</f>
        <v>0</v>
      </c>
      <c r="AK1113" s="80">
        <f>IF(AND(AB1113=1,AH1113=1),MAX(0,MIN(IF(AC1113=1,1440,AA1113),CFG_WEM)-MAX(Z1113,CFG_WSM)),0)</f>
        <v>0</v>
      </c>
      <c r="AL1113" s="80">
        <f>IF(AND(AC1113=1,AI1113=1),MAX(0,MIN(AA1113,CFG_WEM)-CFG_WSM),0)</f>
        <v>0</v>
      </c>
      <c r="AM1113" s="80">
        <f>AK1113+AL1113</f>
        <v>0</v>
      </c>
      <c r="AN1113" s="80">
        <f>IF(CFG_BRK="Proporcional",IF(AD1113=0,0,AF1113*AM1113/AD1113),IF(CFG_BRK="Extras primero",MIN(AM1113,MAX(0,AF1113-(AD1113-AM1113))),MIN(AF1113,AM1113)))</f>
        <v>0</v>
      </c>
      <c r="AO1113" s="80">
        <f>AF1113-AN1113</f>
        <v>0</v>
      </c>
      <c r="AP1113" s="80">
        <f>AM1113-AN1113</f>
        <v>0</v>
      </c>
      <c r="AQ1113" s="80">
        <f>AD1113-AM1113-AO1113</f>
        <v>0</v>
      </c>
      <c r="AR1113" s="80">
        <f>IF(AM1113=0,0,AK1113-AN1113*AK1113/AM1113)</f>
        <v>0</v>
      </c>
      <c r="AS1113" s="80">
        <f>IF(AD1113-AM1113=0,0,(AJ1113-AK1113)-AO1113*(AJ1113-AK1113)/(AD1113-AM1113))</f>
        <v>0</v>
      </c>
      <c r="AT1113" s="80" t="str">
        <f>IF(AC1113=1,INT(B1113)+1,"")</f>
        <v/>
      </c>
      <c r="AU1113" s="80">
        <f>IF(AND(D1113="proMX",R1113="Cancelled"),0,1)</f>
        <v>1</v>
      </c>
      <c r="AV1113" s="80">
        <f>IF(AND(AB1113=1,AU1113=1),IF(COUNTIFS($D$5:D1112,D1113,$B$5:B1112,B1113,$Z$5:Z1112,Z1113,$AA$5:AA1112,AA1113,$F$5:F1112,F1113&amp;"",$AU$5:AU1112,1)&gt;0,1,0),0)</f>
        <v>0</v>
      </c>
      <c r="AW1113" s="80" t="str">
        <f>IF(AB1113=1,INT(B1113)*1440+Z1113,"")</f>
        <v/>
      </c>
      <c r="AX1113" s="80" t="str">
        <f>IF(AB1113=1,AW1113+AD1113,"")</f>
        <v/>
      </c>
      <c r="AY1113" s="80">
        <f>IF(AND(AB1113=1,AV1113=0,AU1113=1),1,0)</f>
        <v>0</v>
      </c>
      <c r="AZ1113" s="80">
        <f>IF(AY1113=1,COUNTIFS(R_Emp,D1113,R_SAbs,"&lt;"&amp;AX1113,R_EAbs,"&gt;"&amp;AW1113,R_OKey,1)-1,0)</f>
        <v>0</v>
      </c>
      <c r="BA1113" s="80">
        <f>IF(AY1113=1,COUNTIFS(R_Emp,"&lt;&gt;"&amp;D1113,R_SAbs,"&lt;"&amp;AX1113,R_EAbs,"&gt;"&amp;AW1113,R_OKey,1),0)</f>
        <v>0</v>
      </c>
      <c r="BB1113" s="80">
        <f>IF(AND(AB1113=1,D1113="proMX"),IF(AND(MOD(Z1113,CFG_BLK)=0,MOD(AA1113,CFG_BLK)=0,MOD(AG1113,CFG_BLK)=0,AG1113&gt;0),1,0),1)</f>
        <v>1</v>
      </c>
      <c r="BC1113" s="80" t="str">
        <f>IF(Y1113=0,"",IF(NOT(ISNUMBER(B1113)),"Falta fecha o fecha inválida",IF(D1113="","Falta empresa",IF(AND(D1113&lt;&gt;"Malcolm",D1113&lt;&gt;"proMX"),"Empresa inválida",IF(OR(INT(B1113)&lt;CFG_PSTART,INT(B1113)&gt;CFG_PEND),"Fecha fuera del período",IF(OR(NOT(ISNUMBER(Z1113)),NOT(ISNUMBER(AA1113))),"Falta hora inicio/fin o formato inválido",IF(AB1113=0,"Hora inicio = hora fin",IF(AE1113&lt;0,"Descanso inválido",IF(AE1113&gt;=AD1113,"Descanso ≥ duración",IF(AV1113=1,"Registro duplicado",IF(AZ1113&gt;0,"Se superpone con otro registro "&amp;D1113,IF(BB1113=0,"inicio, fin y duración neta deben ser múltiplos de "&amp;CFG_BLK&amp;" min",""))))))))))))</f>
        <v/>
      </c>
      <c r="BD1113" s="80">
        <f>IF(AND(Y1113=1,BC1113=""),1,0)</f>
        <v>0</v>
      </c>
      <c r="BE1113" s="80">
        <f>IF(AND(BD1113=1,AU1113=1),1,0)</f>
        <v>0</v>
      </c>
      <c r="BF1113" s="80" t="str">
        <f>IF(AND(D1113="proMX",BD1113=1),IF(R1113="","Draft",R1113),"")</f>
        <v/>
      </c>
      <c r="BG1113" s="80">
        <f>IF(BD1113=1,ROUND(AG1113/60,6),0)</f>
        <v>0</v>
      </c>
      <c r="BH1113" s="80">
        <f>IF(BE1113=1,ROUND(AG1113/60,6),0)</f>
        <v>0</v>
      </c>
      <c r="BI1113" s="80">
        <f>IF(BE1113=1,ROUND(AP1113/60,6),0)</f>
        <v>0</v>
      </c>
      <c r="BJ1113" s="80">
        <f>IF(BE1113=1,ROUND(AQ1113/60,6),0)</f>
        <v>0</v>
      </c>
      <c r="BK1113" s="80">
        <f>IF(BE1113=1,ROUND((AR1113+AS1113)/60,6),0)</f>
        <v>0</v>
      </c>
      <c r="BL1113" s="80">
        <f>ROUND(BH1113-BK1113,6)</f>
        <v>0</v>
      </c>
      <c r="BM1113" s="80">
        <f>IF(BE1113=1,ROUND(AR1113/60,6),0)</f>
        <v>0</v>
      </c>
      <c r="BN1113" s="80">
        <f>ROUND(BI1113-BM1113,6)</f>
        <v>0</v>
      </c>
      <c r="BO1113" s="80">
        <f>IF(BE1113=1,ROUND(AS1113/60,6),0)</f>
        <v>0</v>
      </c>
      <c r="BP1113" s="80">
        <f>ROUND(BJ1113-BO1113,6)</f>
        <v>0</v>
      </c>
      <c r="BQ1113" s="80">
        <f>IF(BE1113=1,AW1113,0)</f>
        <v>0</v>
      </c>
      <c r="BR1113" s="80">
        <f>IF(BE1113=1,AX1113,0)</f>
        <v>0</v>
      </c>
      <c r="BS1113" s="80">
        <f>IF(AND(BE1113=1,D1113="Malcolm",BA1113&gt;0),MIN(BH1113,SUMPRODUCT((R_Emp="proMX")*(R_EN&gt;0)*((R_EN-(R_EN&gt;BR1113)*(R_EN-BR1113))&gt;(R_SN+(R_SN&lt;BQ1113)*(BQ1113-R_SN)))*((R_EN-(R_EN&gt;BR1113)*(R_EN-BR1113))-(R_SN+(R_SN&lt;BQ1113)*(BQ1113-R_SN))))/60),0)</f>
        <v>0</v>
      </c>
      <c r="BT1113" s="80">
        <f>IF(AND(BE1113=1,D1113="proMX"),ROUND(BI1113*CFG_RATE+BJ1113*CFG_OTRATE,6),0)</f>
        <v>0</v>
      </c>
      <c r="BU1113" s="80">
        <f>IF(AND(BD1113=1,D1113="proMX"),ROUND(AG1113/CFG_BLK,6),0)</f>
        <v>0</v>
      </c>
      <c r="BV1113" s="80" t="str">
        <f>IF(BF1113="Approved",IF(ISNUMBER(T1113),INT(T1113),INT(B1113)),"")</f>
        <v/>
      </c>
      <c r="BW1113" s="80">
        <f>IF(ISNUMBER(B1113),IF(DB_MON="Todos",1,IF(AND(INT(B1113)&gt;=DB_MS,INT(B1113)&lt;=DB_ME),1,0)),0)</f>
        <v>0</v>
      </c>
      <c r="BX1113" s="80">
        <f>IF(DB_PROJ="Todos",1,IF(E1113&amp;""=DB_PROJ&amp;"",1,0))</f>
        <v>1</v>
      </c>
      <c r="BY1113" s="80">
        <f>BW1113*BX1113</f>
        <v>0</v>
      </c>
      <c r="BZ1113" s="80" t="str">
        <f>IF(Y1113=1,F1113&amp;IF(AND(F1113&amp;""&lt;&gt;"",E1113&amp;""&lt;&gt;"")," · ","")&amp;E1113,"")</f>
        <v/>
      </c>
      <c r="CA1113" s="80" t="str">
        <f>IF(AND(BD1113=1,E1113&amp;""&lt;&gt;""),IF(COUNTIFS($E$5:E1112,E1113,$BD$5:BD1112,1)=0,MAX($CA$5:CA1112)+1,""),"")</f>
        <v/>
      </c>
      <c r="CB1113" s="80" t="str">
        <f>IF(AND(BE1113=1,D1113="Malcolm",E1113&amp;""&lt;&gt;""),IF(COUNTIFS($D$5:D1112,"Malcolm",$E$5:E1112,E1113,$BE$5:BE1112,1)=0,MAX($CB$5:CB1112)+1,""),"")</f>
        <v/>
      </c>
      <c r="CC1113" s="80" t="str">
        <f>IF(AND(BD1113=1,D1113="proMX",E1113&amp;""&lt;&gt;""),IF(COUNTIFS($D$5:D1112,"proMX",$E$5:E1112,E1113,$BD$5:BD1112,1)=0,MAX($CC$5:CC1112)+1,""),"")</f>
        <v/>
      </c>
      <c r="CD1113" s="80" t="str">
        <f>IF(AND(BE1113=1,D1113="Malcolm",F1113&amp;""&lt;&gt;""),IF(COUNTIFS($D$5:D1112,"Malcolm",$F$5:F1112,F1113,$BE$5:BE1112,1)=0,MAX($CD$5:CD1112)+1,""),"")</f>
        <v/>
      </c>
      <c r="CE1113" s="80" t="str">
        <f>IF(AND(BD1113=1,D1113="proMX",F1113&amp;""&lt;&gt;""),IF(COUNTIFS($D$5:D1112,"proMX",$F$5:F1112,F1113,$BD$5:BD1112,1)=0,MAX($CE$5:CE1112)+1,""),"")</f>
        <v/>
      </c>
      <c r="CF1113" s="80" t="str">
        <f>IF(AND(D1113="proMX",BD1113=1),IF(OR(BF1113="Draft",BF1113="Submitted",BF1113="Returned",BF1113="Recall Requested"),MAX($CF$5:CF1112)+1,""),"")</f>
        <v/>
      </c>
      <c r="CG1113" s="80">
        <f>IF(BD1113=0,0,IF(D1113="Malcolm",1,MATCH(BF1113,{"Draft","Submitted","Approved","Returned","Recall Requested","Cancelled"},0)+1))</f>
        <v>0</v>
      </c>
      <c r="CH1113" s="80">
        <f>IF(AND(BF1113="Submitted",ISNUMBER(V1113)),IF(V1113&gt;CFG_MAXD,1,0),0)</f>
        <v>0</v>
      </c>
    </row>
    <row r="1114">
      <c r="A1114" s="71" t="str">
        <f>IF(Y1114=1,ROW()-5,"")</f>
        <v/>
      </c>
      <c r="B1114" s="72" t="n"/>
      <c r="C1114" s="71" t="str">
        <f>IF(ISNUMBER(B1114),CHOOSE(WEEKDAY(B1114,2),"Lun","Mar","Mié","Jue","Vie","Sáb","Dom"),"")</f>
        <v/>
      </c>
      <c r="D1114" s="73" t="n"/>
      <c r="E1114" s="74" t="n"/>
      <c r="F1114" s="74" t="n"/>
      <c r="G1114" s="74" t="n"/>
      <c r="H1114" s="75" t="n"/>
      <c r="I1114" s="75" t="n"/>
      <c r="J1114" s="76" t="n"/>
      <c r="K1114" s="77" t="str">
        <f>IF(AB1114=1,ROUND(AG1114/60,4),"")</f>
        <v/>
      </c>
      <c r="L1114" s="77" t="str">
        <f>IF(BD1114=1,ROUND(AP1114/60,4),"")</f>
        <v/>
      </c>
      <c r="M1114" s="77" t="str">
        <f>IF(BD1114=1,ROUND(AQ1114/60,4),"")</f>
        <v/>
      </c>
      <c r="N1114" s="71" t="str">
        <f>IF(AND(D1114="proMX",AB1114=1),ROUND(AG1114/CFG_BLK,2),"")</f>
        <v/>
      </c>
      <c r="O1114" s="77" t="str">
        <f>IF(D1114="proMX",IF(BD1114=1,ROUND(AG1114/60,4),0),"")</f>
        <v/>
      </c>
      <c r="P1114" s="78" t="str">
        <f>IF(Y1114=0,"",IF(BD1114=1,"OK",IF(D1114="proMX","Revisar bloques: ","Revisar: ")&amp;BC1114))</f>
        <v/>
      </c>
      <c r="Q1114" s="78" t="str">
        <f>IF(NOT(ISNUMBER(B1114)),"",IF(COUNTIFS(FER_F,INT(B1114))&gt;0,"Feriado"&amp;IF(AH1114=1," (laborable)"," (no laborable)"),IF(AH1114=1,"Laborable",IF(WEEKDAY(B1114,2)&gt;5,"Fin de semana","No laborable"))))</f>
        <v/>
      </c>
      <c r="R1114" s="73" t="n"/>
      <c r="S1114" s="72" t="n"/>
      <c r="T1114" s="72" t="n"/>
      <c r="U1114" s="74" t="n"/>
      <c r="V1114" s="79" t="str">
        <f>IF(AND(D1114="proMX",OR(R1114="Submitted",R1114="Recall Requested"),ISNUMBER(S1114)),CFG_TODAY-INT(S1114),"")</f>
        <v/>
      </c>
      <c r="W1114" s="78" t="str">
        <f>IF(BD1114=0,"",IF(BA1114&gt;0,"⚠ Se superpone con un registro de la otra empresa",IF(D1114="Malcolm",IF(COUNTA(R1114,S1114,T1114)&gt;0,"Estado/fechas proMX se ignoran en Malcolm",""),IF(BF1114="Cancelled","Cancelado: excluido de totales",IF(R1114="","Sin estado: se trata como Draft",IF(BF1114="Submitted",IF(ISNUMBER(V1114),IF(V1114&gt;CFG_MAXD,"⚠ "&amp;V1114&amp;" días en Submitted (máx. "&amp;CFG_MAXD&amp;")",""),"Falta fecha de envío"),IF(BF1114="Returned","⚠ Devuelto: corregir y reenviar",IF(BF1114="Recall Requested","Retirada solicitada: pendiente",IF(AND(BF1114="Approved",NOT(ISNUMBER(T1114))),"Falta fecha de aprobación",IF(AND(ISNUMBER(S1114),ISNUMBER(T1114),T1114&lt;S1114),"Aprobación anterior al envío","")))))))))</f>
        <v/>
      </c>
      <c r="Y1114" s="80">
        <f>IF(COUNTA(B1114,D1114,E1114,F1114,G1114,H1114,I1114,J1114,R1114,S1114,T1114)&gt;0,1,0)</f>
        <v>0</v>
      </c>
      <c r="Z1114" s="80" t="str">
        <f>IF(AND(ISNUMBER(H1114),H1114&gt;=0,H1114&lt;1),ROUND(H1114*1440,0),"")</f>
        <v/>
      </c>
      <c r="AA1114" s="80" t="str">
        <f>IF(AND(ISNUMBER(I1114),I1114&gt;=0,I1114&lt;1),ROUND(I1114*1440,0),"")</f>
        <v/>
      </c>
      <c r="AB1114" s="80">
        <f>IF(AND(ISNUMBER(B1114),D1114&lt;&gt;"",ISNUMBER(Z1114),ISNUMBER(AA1114)),IF(Z1114=AA1114,0,1),0)</f>
        <v>0</v>
      </c>
      <c r="AC1114" s="80">
        <f>IF(AB1114=1,IF(AA1114&lt;Z1114,1,0),0)</f>
        <v>0</v>
      </c>
      <c r="AD1114" s="80">
        <f>IF(AB1114=1,IF(AC1114=1,1440-Z1114+AA1114,AA1114-Z1114),0)</f>
        <v>0</v>
      </c>
      <c r="AE1114" s="80">
        <f>IF(J1114="",0,IF(ISNUMBER(J1114),J1114,-1))</f>
        <v>0</v>
      </c>
      <c r="AF1114" s="80">
        <f>MIN(MAX(0,AE1114),AD1114)</f>
        <v>0</v>
      </c>
      <c r="AG1114" s="80">
        <f>MAX(0,AD1114-MAX(0,AE1114))</f>
        <v>0</v>
      </c>
      <c r="AH1114" s="80">
        <f>IF(ISNUMBER(B1114),IF(AND(INDEX(CFG_WDAYS,WEEKDAY(INT(B1114),2))="Sí",IF(D1114="proMX",COUNTIFS(FER_F,INT(B1114),FER_NLP,"Sí"),COUNTIFS(FER_F,INT(B1114),FER_NLM,"Sí"))=0),1,0),0)</f>
        <v>0</v>
      </c>
      <c r="AI1114" s="80">
        <f>IF(AC1114=1,IF(AND(INDEX(CFG_WDAYS,WEEKDAY(INT(B1114)+1,2))="Sí",IF(D1114="proMX",COUNTIFS(FER_F,INT(B1114)+1,FER_NLP,"Sí"),COUNTIFS(FER_F,INT(B1114)+1,FER_NLM,"Sí"))=0),1,0),0)</f>
        <v>0</v>
      </c>
      <c r="AJ1114" s="80">
        <f>IF(AC1114=1,1440-Z1114,AD1114)</f>
        <v>0</v>
      </c>
      <c r="AK1114" s="80">
        <f>IF(AND(AB1114=1,AH1114=1),MAX(0,MIN(IF(AC1114=1,1440,AA1114),CFG_WEM)-MAX(Z1114,CFG_WSM)),0)</f>
        <v>0</v>
      </c>
      <c r="AL1114" s="80">
        <f>IF(AND(AC1114=1,AI1114=1),MAX(0,MIN(AA1114,CFG_WEM)-CFG_WSM),0)</f>
        <v>0</v>
      </c>
      <c r="AM1114" s="80">
        <f>AK1114+AL1114</f>
        <v>0</v>
      </c>
      <c r="AN1114" s="80">
        <f>IF(CFG_BRK="Proporcional",IF(AD1114=0,0,AF1114*AM1114/AD1114),IF(CFG_BRK="Extras primero",MIN(AM1114,MAX(0,AF1114-(AD1114-AM1114))),MIN(AF1114,AM1114)))</f>
        <v>0</v>
      </c>
      <c r="AO1114" s="80">
        <f>AF1114-AN1114</f>
        <v>0</v>
      </c>
      <c r="AP1114" s="80">
        <f>AM1114-AN1114</f>
        <v>0</v>
      </c>
      <c r="AQ1114" s="80">
        <f>AD1114-AM1114-AO1114</f>
        <v>0</v>
      </c>
      <c r="AR1114" s="80">
        <f>IF(AM1114=0,0,AK1114-AN1114*AK1114/AM1114)</f>
        <v>0</v>
      </c>
      <c r="AS1114" s="80">
        <f>IF(AD1114-AM1114=0,0,(AJ1114-AK1114)-AO1114*(AJ1114-AK1114)/(AD1114-AM1114))</f>
        <v>0</v>
      </c>
      <c r="AT1114" s="80" t="str">
        <f>IF(AC1114=1,INT(B1114)+1,"")</f>
        <v/>
      </c>
      <c r="AU1114" s="80">
        <f>IF(AND(D1114="proMX",R1114="Cancelled"),0,1)</f>
        <v>1</v>
      </c>
      <c r="AV1114" s="80">
        <f>IF(AND(AB1114=1,AU1114=1),IF(COUNTIFS($D$5:D1113,D1114,$B$5:B1113,B1114,$Z$5:Z1113,Z1114,$AA$5:AA1113,AA1114,$F$5:F1113,F1114&amp;"",$AU$5:AU1113,1)&gt;0,1,0),0)</f>
        <v>0</v>
      </c>
      <c r="AW1114" s="80" t="str">
        <f>IF(AB1114=1,INT(B1114)*1440+Z1114,"")</f>
        <v/>
      </c>
      <c r="AX1114" s="80" t="str">
        <f>IF(AB1114=1,AW1114+AD1114,"")</f>
        <v/>
      </c>
      <c r="AY1114" s="80">
        <f>IF(AND(AB1114=1,AV1114=0,AU1114=1),1,0)</f>
        <v>0</v>
      </c>
      <c r="AZ1114" s="80">
        <f>IF(AY1114=1,COUNTIFS(R_Emp,D1114,R_SAbs,"&lt;"&amp;AX1114,R_EAbs,"&gt;"&amp;AW1114,R_OKey,1)-1,0)</f>
        <v>0</v>
      </c>
      <c r="BA1114" s="80">
        <f>IF(AY1114=1,COUNTIFS(R_Emp,"&lt;&gt;"&amp;D1114,R_SAbs,"&lt;"&amp;AX1114,R_EAbs,"&gt;"&amp;AW1114,R_OKey,1),0)</f>
        <v>0</v>
      </c>
      <c r="BB1114" s="80">
        <f>IF(AND(AB1114=1,D1114="proMX"),IF(AND(MOD(Z1114,CFG_BLK)=0,MOD(AA1114,CFG_BLK)=0,MOD(AG1114,CFG_BLK)=0,AG1114&gt;0),1,0),1)</f>
        <v>1</v>
      </c>
      <c r="BC1114" s="80" t="str">
        <f>IF(Y1114=0,"",IF(NOT(ISNUMBER(B1114)),"Falta fecha o fecha inválida",IF(D1114="","Falta empresa",IF(AND(D1114&lt;&gt;"Malcolm",D1114&lt;&gt;"proMX"),"Empresa inválida",IF(OR(INT(B1114)&lt;CFG_PSTART,INT(B1114)&gt;CFG_PEND),"Fecha fuera del período",IF(OR(NOT(ISNUMBER(Z1114)),NOT(ISNUMBER(AA1114))),"Falta hora inicio/fin o formato inválido",IF(AB1114=0,"Hora inicio = hora fin",IF(AE1114&lt;0,"Descanso inválido",IF(AE1114&gt;=AD1114,"Descanso ≥ duración",IF(AV1114=1,"Registro duplicado",IF(AZ1114&gt;0,"Se superpone con otro registro "&amp;D1114,IF(BB1114=0,"inicio, fin y duración neta deben ser múltiplos de "&amp;CFG_BLK&amp;" min",""))))))))))))</f>
        <v/>
      </c>
      <c r="BD1114" s="80">
        <f>IF(AND(Y1114=1,BC1114=""),1,0)</f>
        <v>0</v>
      </c>
      <c r="BE1114" s="80">
        <f>IF(AND(BD1114=1,AU1114=1),1,0)</f>
        <v>0</v>
      </c>
      <c r="BF1114" s="80" t="str">
        <f>IF(AND(D1114="proMX",BD1114=1),IF(R1114="","Draft",R1114),"")</f>
        <v/>
      </c>
      <c r="BG1114" s="80">
        <f>IF(BD1114=1,ROUND(AG1114/60,6),0)</f>
        <v>0</v>
      </c>
      <c r="BH1114" s="80">
        <f>IF(BE1114=1,ROUND(AG1114/60,6),0)</f>
        <v>0</v>
      </c>
      <c r="BI1114" s="80">
        <f>IF(BE1114=1,ROUND(AP1114/60,6),0)</f>
        <v>0</v>
      </c>
      <c r="BJ1114" s="80">
        <f>IF(BE1114=1,ROUND(AQ1114/60,6),0)</f>
        <v>0</v>
      </c>
      <c r="BK1114" s="80">
        <f>IF(BE1114=1,ROUND((AR1114+AS1114)/60,6),0)</f>
        <v>0</v>
      </c>
      <c r="BL1114" s="80">
        <f>ROUND(BH1114-BK1114,6)</f>
        <v>0</v>
      </c>
      <c r="BM1114" s="80">
        <f>IF(BE1114=1,ROUND(AR1114/60,6),0)</f>
        <v>0</v>
      </c>
      <c r="BN1114" s="80">
        <f>ROUND(BI1114-BM1114,6)</f>
        <v>0</v>
      </c>
      <c r="BO1114" s="80">
        <f>IF(BE1114=1,ROUND(AS1114/60,6),0)</f>
        <v>0</v>
      </c>
      <c r="BP1114" s="80">
        <f>ROUND(BJ1114-BO1114,6)</f>
        <v>0</v>
      </c>
      <c r="BQ1114" s="80">
        <f>IF(BE1114=1,AW1114,0)</f>
        <v>0</v>
      </c>
      <c r="BR1114" s="80">
        <f>IF(BE1114=1,AX1114,0)</f>
        <v>0</v>
      </c>
      <c r="BS1114" s="80">
        <f>IF(AND(BE1114=1,D1114="Malcolm",BA1114&gt;0),MIN(BH1114,SUMPRODUCT((R_Emp="proMX")*(R_EN&gt;0)*((R_EN-(R_EN&gt;BR1114)*(R_EN-BR1114))&gt;(R_SN+(R_SN&lt;BQ1114)*(BQ1114-R_SN)))*((R_EN-(R_EN&gt;BR1114)*(R_EN-BR1114))-(R_SN+(R_SN&lt;BQ1114)*(BQ1114-R_SN))))/60),0)</f>
        <v>0</v>
      </c>
      <c r="BT1114" s="80">
        <f>IF(AND(BE1114=1,D1114="proMX"),ROUND(BI1114*CFG_RATE+BJ1114*CFG_OTRATE,6),0)</f>
        <v>0</v>
      </c>
      <c r="BU1114" s="80">
        <f>IF(AND(BD1114=1,D1114="proMX"),ROUND(AG1114/CFG_BLK,6),0)</f>
        <v>0</v>
      </c>
      <c r="BV1114" s="80" t="str">
        <f>IF(BF1114="Approved",IF(ISNUMBER(T1114),INT(T1114),INT(B1114)),"")</f>
        <v/>
      </c>
      <c r="BW1114" s="80">
        <f>IF(ISNUMBER(B1114),IF(DB_MON="Todos",1,IF(AND(INT(B1114)&gt;=DB_MS,INT(B1114)&lt;=DB_ME),1,0)),0)</f>
        <v>0</v>
      </c>
      <c r="BX1114" s="80">
        <f>IF(DB_PROJ="Todos",1,IF(E1114&amp;""=DB_PROJ&amp;"",1,0))</f>
        <v>1</v>
      </c>
      <c r="BY1114" s="80">
        <f>BW1114*BX1114</f>
        <v>0</v>
      </c>
      <c r="BZ1114" s="80" t="str">
        <f>IF(Y1114=1,F1114&amp;IF(AND(F1114&amp;""&lt;&gt;"",E1114&amp;""&lt;&gt;"")," · ","")&amp;E1114,"")</f>
        <v/>
      </c>
      <c r="CA1114" s="80" t="str">
        <f>IF(AND(BD1114=1,E1114&amp;""&lt;&gt;""),IF(COUNTIFS($E$5:E1113,E1114,$BD$5:BD1113,1)=0,MAX($CA$5:CA1113)+1,""),"")</f>
        <v/>
      </c>
      <c r="CB1114" s="80" t="str">
        <f>IF(AND(BE1114=1,D1114="Malcolm",E1114&amp;""&lt;&gt;""),IF(COUNTIFS($D$5:D1113,"Malcolm",$E$5:E1113,E1114,$BE$5:BE1113,1)=0,MAX($CB$5:CB1113)+1,""),"")</f>
        <v/>
      </c>
      <c r="CC1114" s="80" t="str">
        <f>IF(AND(BD1114=1,D1114="proMX",E1114&amp;""&lt;&gt;""),IF(COUNTIFS($D$5:D1113,"proMX",$E$5:E1113,E1114,$BD$5:BD1113,1)=0,MAX($CC$5:CC1113)+1,""),"")</f>
        <v/>
      </c>
      <c r="CD1114" s="80" t="str">
        <f>IF(AND(BE1114=1,D1114="Malcolm",F1114&amp;""&lt;&gt;""),IF(COUNTIFS($D$5:D1113,"Malcolm",$F$5:F1113,F1114,$BE$5:BE1113,1)=0,MAX($CD$5:CD1113)+1,""),"")</f>
        <v/>
      </c>
      <c r="CE1114" s="80" t="str">
        <f>IF(AND(BD1114=1,D1114="proMX",F1114&amp;""&lt;&gt;""),IF(COUNTIFS($D$5:D1113,"proMX",$F$5:F1113,F1114,$BD$5:BD1113,1)=0,MAX($CE$5:CE1113)+1,""),"")</f>
        <v/>
      </c>
      <c r="CF1114" s="80" t="str">
        <f>IF(AND(D1114="proMX",BD1114=1),IF(OR(BF1114="Draft",BF1114="Submitted",BF1114="Returned",BF1114="Recall Requested"),MAX($CF$5:CF1113)+1,""),"")</f>
        <v/>
      </c>
      <c r="CG1114" s="80">
        <f>IF(BD1114=0,0,IF(D1114="Malcolm",1,MATCH(BF1114,{"Draft","Submitted","Approved","Returned","Recall Requested","Cancelled"},0)+1))</f>
        <v>0</v>
      </c>
      <c r="CH1114" s="80">
        <f>IF(AND(BF1114="Submitted",ISNUMBER(V1114)),IF(V1114&gt;CFG_MAXD,1,0),0)</f>
        <v>0</v>
      </c>
    </row>
    <row r="1115">
      <c r="A1115" s="71" t="str">
        <f>IF(Y1115=1,ROW()-5,"")</f>
        <v/>
      </c>
      <c r="B1115" s="72" t="n"/>
      <c r="C1115" s="71" t="str">
        <f>IF(ISNUMBER(B1115),CHOOSE(WEEKDAY(B1115,2),"Lun","Mar","Mié","Jue","Vie","Sáb","Dom"),"")</f>
        <v/>
      </c>
      <c r="D1115" s="73" t="n"/>
      <c r="E1115" s="74" t="n"/>
      <c r="F1115" s="74" t="n"/>
      <c r="G1115" s="74" t="n"/>
      <c r="H1115" s="75" t="n"/>
      <c r="I1115" s="75" t="n"/>
      <c r="J1115" s="76" t="n"/>
      <c r="K1115" s="77" t="str">
        <f>IF(AB1115=1,ROUND(AG1115/60,4),"")</f>
        <v/>
      </c>
      <c r="L1115" s="77" t="str">
        <f>IF(BD1115=1,ROUND(AP1115/60,4),"")</f>
        <v/>
      </c>
      <c r="M1115" s="77" t="str">
        <f>IF(BD1115=1,ROUND(AQ1115/60,4),"")</f>
        <v/>
      </c>
      <c r="N1115" s="71" t="str">
        <f>IF(AND(D1115="proMX",AB1115=1),ROUND(AG1115/CFG_BLK,2),"")</f>
        <v/>
      </c>
      <c r="O1115" s="77" t="str">
        <f>IF(D1115="proMX",IF(BD1115=1,ROUND(AG1115/60,4),0),"")</f>
        <v/>
      </c>
      <c r="P1115" s="78" t="str">
        <f>IF(Y1115=0,"",IF(BD1115=1,"OK",IF(D1115="proMX","Revisar bloques: ","Revisar: ")&amp;BC1115))</f>
        <v/>
      </c>
      <c r="Q1115" s="78" t="str">
        <f>IF(NOT(ISNUMBER(B1115)),"",IF(COUNTIFS(FER_F,INT(B1115))&gt;0,"Feriado"&amp;IF(AH1115=1," (laborable)"," (no laborable)"),IF(AH1115=1,"Laborable",IF(WEEKDAY(B1115,2)&gt;5,"Fin de semana","No laborable"))))</f>
        <v/>
      </c>
      <c r="R1115" s="73" t="n"/>
      <c r="S1115" s="72" t="n"/>
      <c r="T1115" s="72" t="n"/>
      <c r="U1115" s="74" t="n"/>
      <c r="V1115" s="79" t="str">
        <f>IF(AND(D1115="proMX",OR(R1115="Submitted",R1115="Recall Requested"),ISNUMBER(S1115)),CFG_TODAY-INT(S1115),"")</f>
        <v/>
      </c>
      <c r="W1115" s="78" t="str">
        <f>IF(BD1115=0,"",IF(BA1115&gt;0,"⚠ Se superpone con un registro de la otra empresa",IF(D1115="Malcolm",IF(COUNTA(R1115,S1115,T1115)&gt;0,"Estado/fechas proMX se ignoran en Malcolm",""),IF(BF1115="Cancelled","Cancelado: excluido de totales",IF(R1115="","Sin estado: se trata como Draft",IF(BF1115="Submitted",IF(ISNUMBER(V1115),IF(V1115&gt;CFG_MAXD,"⚠ "&amp;V1115&amp;" días en Submitted (máx. "&amp;CFG_MAXD&amp;")",""),"Falta fecha de envío"),IF(BF1115="Returned","⚠ Devuelto: corregir y reenviar",IF(BF1115="Recall Requested","Retirada solicitada: pendiente",IF(AND(BF1115="Approved",NOT(ISNUMBER(T1115))),"Falta fecha de aprobación",IF(AND(ISNUMBER(S1115),ISNUMBER(T1115),T1115&lt;S1115),"Aprobación anterior al envío","")))))))))</f>
        <v/>
      </c>
      <c r="Y1115" s="80">
        <f>IF(COUNTA(B1115,D1115,E1115,F1115,G1115,H1115,I1115,J1115,R1115,S1115,T1115)&gt;0,1,0)</f>
        <v>0</v>
      </c>
      <c r="Z1115" s="80" t="str">
        <f>IF(AND(ISNUMBER(H1115),H1115&gt;=0,H1115&lt;1),ROUND(H1115*1440,0),"")</f>
        <v/>
      </c>
      <c r="AA1115" s="80" t="str">
        <f>IF(AND(ISNUMBER(I1115),I1115&gt;=0,I1115&lt;1),ROUND(I1115*1440,0),"")</f>
        <v/>
      </c>
      <c r="AB1115" s="80">
        <f>IF(AND(ISNUMBER(B1115),D1115&lt;&gt;"",ISNUMBER(Z1115),ISNUMBER(AA1115)),IF(Z1115=AA1115,0,1),0)</f>
        <v>0</v>
      </c>
      <c r="AC1115" s="80">
        <f>IF(AB1115=1,IF(AA1115&lt;Z1115,1,0),0)</f>
        <v>0</v>
      </c>
      <c r="AD1115" s="80">
        <f>IF(AB1115=1,IF(AC1115=1,1440-Z1115+AA1115,AA1115-Z1115),0)</f>
        <v>0</v>
      </c>
      <c r="AE1115" s="80">
        <f>IF(J1115="",0,IF(ISNUMBER(J1115),J1115,-1))</f>
        <v>0</v>
      </c>
      <c r="AF1115" s="80">
        <f>MIN(MAX(0,AE1115),AD1115)</f>
        <v>0</v>
      </c>
      <c r="AG1115" s="80">
        <f>MAX(0,AD1115-MAX(0,AE1115))</f>
        <v>0</v>
      </c>
      <c r="AH1115" s="80">
        <f>IF(ISNUMBER(B1115),IF(AND(INDEX(CFG_WDAYS,WEEKDAY(INT(B1115),2))="Sí",IF(D1115="proMX",COUNTIFS(FER_F,INT(B1115),FER_NLP,"Sí"),COUNTIFS(FER_F,INT(B1115),FER_NLM,"Sí"))=0),1,0),0)</f>
        <v>0</v>
      </c>
      <c r="AI1115" s="80">
        <f>IF(AC1115=1,IF(AND(INDEX(CFG_WDAYS,WEEKDAY(INT(B1115)+1,2))="Sí",IF(D1115="proMX",COUNTIFS(FER_F,INT(B1115)+1,FER_NLP,"Sí"),COUNTIFS(FER_F,INT(B1115)+1,FER_NLM,"Sí"))=0),1,0),0)</f>
        <v>0</v>
      </c>
      <c r="AJ1115" s="80">
        <f>IF(AC1115=1,1440-Z1115,AD1115)</f>
        <v>0</v>
      </c>
      <c r="AK1115" s="80">
        <f>IF(AND(AB1115=1,AH1115=1),MAX(0,MIN(IF(AC1115=1,1440,AA1115),CFG_WEM)-MAX(Z1115,CFG_WSM)),0)</f>
        <v>0</v>
      </c>
      <c r="AL1115" s="80">
        <f>IF(AND(AC1115=1,AI1115=1),MAX(0,MIN(AA1115,CFG_WEM)-CFG_WSM),0)</f>
        <v>0</v>
      </c>
      <c r="AM1115" s="80">
        <f>AK1115+AL1115</f>
        <v>0</v>
      </c>
      <c r="AN1115" s="80">
        <f>IF(CFG_BRK="Proporcional",IF(AD1115=0,0,AF1115*AM1115/AD1115),IF(CFG_BRK="Extras primero",MIN(AM1115,MAX(0,AF1115-(AD1115-AM1115))),MIN(AF1115,AM1115)))</f>
        <v>0</v>
      </c>
      <c r="AO1115" s="80">
        <f>AF1115-AN1115</f>
        <v>0</v>
      </c>
      <c r="AP1115" s="80">
        <f>AM1115-AN1115</f>
        <v>0</v>
      </c>
      <c r="AQ1115" s="80">
        <f>AD1115-AM1115-AO1115</f>
        <v>0</v>
      </c>
      <c r="AR1115" s="80">
        <f>IF(AM1115=0,0,AK1115-AN1115*AK1115/AM1115)</f>
        <v>0</v>
      </c>
      <c r="AS1115" s="80">
        <f>IF(AD1115-AM1115=0,0,(AJ1115-AK1115)-AO1115*(AJ1115-AK1115)/(AD1115-AM1115))</f>
        <v>0</v>
      </c>
      <c r="AT1115" s="80" t="str">
        <f>IF(AC1115=1,INT(B1115)+1,"")</f>
        <v/>
      </c>
      <c r="AU1115" s="80">
        <f>IF(AND(D1115="proMX",R1115="Cancelled"),0,1)</f>
        <v>1</v>
      </c>
      <c r="AV1115" s="80">
        <f>IF(AND(AB1115=1,AU1115=1),IF(COUNTIFS($D$5:D1114,D1115,$B$5:B1114,B1115,$Z$5:Z1114,Z1115,$AA$5:AA1114,AA1115,$F$5:F1114,F1115&amp;"",$AU$5:AU1114,1)&gt;0,1,0),0)</f>
        <v>0</v>
      </c>
      <c r="AW1115" s="80" t="str">
        <f>IF(AB1115=1,INT(B1115)*1440+Z1115,"")</f>
        <v/>
      </c>
      <c r="AX1115" s="80" t="str">
        <f>IF(AB1115=1,AW1115+AD1115,"")</f>
        <v/>
      </c>
      <c r="AY1115" s="80">
        <f>IF(AND(AB1115=1,AV1115=0,AU1115=1),1,0)</f>
        <v>0</v>
      </c>
      <c r="AZ1115" s="80">
        <f>IF(AY1115=1,COUNTIFS(R_Emp,D1115,R_SAbs,"&lt;"&amp;AX1115,R_EAbs,"&gt;"&amp;AW1115,R_OKey,1)-1,0)</f>
        <v>0</v>
      </c>
      <c r="BA1115" s="80">
        <f>IF(AY1115=1,COUNTIFS(R_Emp,"&lt;&gt;"&amp;D1115,R_SAbs,"&lt;"&amp;AX1115,R_EAbs,"&gt;"&amp;AW1115,R_OKey,1),0)</f>
        <v>0</v>
      </c>
      <c r="BB1115" s="80">
        <f>IF(AND(AB1115=1,D1115="proMX"),IF(AND(MOD(Z1115,CFG_BLK)=0,MOD(AA1115,CFG_BLK)=0,MOD(AG1115,CFG_BLK)=0,AG1115&gt;0),1,0),1)</f>
        <v>1</v>
      </c>
      <c r="BC1115" s="80" t="str">
        <f>IF(Y1115=0,"",IF(NOT(ISNUMBER(B1115)),"Falta fecha o fecha inválida",IF(D1115="","Falta empresa",IF(AND(D1115&lt;&gt;"Malcolm",D1115&lt;&gt;"proMX"),"Empresa inválida",IF(OR(INT(B1115)&lt;CFG_PSTART,INT(B1115)&gt;CFG_PEND),"Fecha fuera del período",IF(OR(NOT(ISNUMBER(Z1115)),NOT(ISNUMBER(AA1115))),"Falta hora inicio/fin o formato inválido",IF(AB1115=0,"Hora inicio = hora fin",IF(AE1115&lt;0,"Descanso inválido",IF(AE1115&gt;=AD1115,"Descanso ≥ duración",IF(AV1115=1,"Registro duplicado",IF(AZ1115&gt;0,"Se superpone con otro registro "&amp;D1115,IF(BB1115=0,"inicio, fin y duración neta deben ser múltiplos de "&amp;CFG_BLK&amp;" min",""))))))))))))</f>
        <v/>
      </c>
      <c r="BD1115" s="80">
        <f>IF(AND(Y1115=1,BC1115=""),1,0)</f>
        <v>0</v>
      </c>
      <c r="BE1115" s="80">
        <f>IF(AND(BD1115=1,AU1115=1),1,0)</f>
        <v>0</v>
      </c>
      <c r="BF1115" s="80" t="str">
        <f>IF(AND(D1115="proMX",BD1115=1),IF(R1115="","Draft",R1115),"")</f>
        <v/>
      </c>
      <c r="BG1115" s="80">
        <f>IF(BD1115=1,ROUND(AG1115/60,6),0)</f>
        <v>0</v>
      </c>
      <c r="BH1115" s="80">
        <f>IF(BE1115=1,ROUND(AG1115/60,6),0)</f>
        <v>0</v>
      </c>
      <c r="BI1115" s="80">
        <f>IF(BE1115=1,ROUND(AP1115/60,6),0)</f>
        <v>0</v>
      </c>
      <c r="BJ1115" s="80">
        <f>IF(BE1115=1,ROUND(AQ1115/60,6),0)</f>
        <v>0</v>
      </c>
      <c r="BK1115" s="80">
        <f>IF(BE1115=1,ROUND((AR1115+AS1115)/60,6),0)</f>
        <v>0</v>
      </c>
      <c r="BL1115" s="80">
        <f>ROUND(BH1115-BK1115,6)</f>
        <v>0</v>
      </c>
      <c r="BM1115" s="80">
        <f>IF(BE1115=1,ROUND(AR1115/60,6),0)</f>
        <v>0</v>
      </c>
      <c r="BN1115" s="80">
        <f>ROUND(BI1115-BM1115,6)</f>
        <v>0</v>
      </c>
      <c r="BO1115" s="80">
        <f>IF(BE1115=1,ROUND(AS1115/60,6),0)</f>
        <v>0</v>
      </c>
      <c r="BP1115" s="80">
        <f>ROUND(BJ1115-BO1115,6)</f>
        <v>0</v>
      </c>
      <c r="BQ1115" s="80">
        <f>IF(BE1115=1,AW1115,0)</f>
        <v>0</v>
      </c>
      <c r="BR1115" s="80">
        <f>IF(BE1115=1,AX1115,0)</f>
        <v>0</v>
      </c>
      <c r="BS1115" s="80">
        <f>IF(AND(BE1115=1,D1115="Malcolm",BA1115&gt;0),MIN(BH1115,SUMPRODUCT((R_Emp="proMX")*(R_EN&gt;0)*((R_EN-(R_EN&gt;BR1115)*(R_EN-BR1115))&gt;(R_SN+(R_SN&lt;BQ1115)*(BQ1115-R_SN)))*((R_EN-(R_EN&gt;BR1115)*(R_EN-BR1115))-(R_SN+(R_SN&lt;BQ1115)*(BQ1115-R_SN))))/60),0)</f>
        <v>0</v>
      </c>
      <c r="BT1115" s="80">
        <f>IF(AND(BE1115=1,D1115="proMX"),ROUND(BI1115*CFG_RATE+BJ1115*CFG_OTRATE,6),0)</f>
        <v>0</v>
      </c>
      <c r="BU1115" s="80">
        <f>IF(AND(BD1115=1,D1115="proMX"),ROUND(AG1115/CFG_BLK,6),0)</f>
        <v>0</v>
      </c>
      <c r="BV1115" s="80" t="str">
        <f>IF(BF1115="Approved",IF(ISNUMBER(T1115),INT(T1115),INT(B1115)),"")</f>
        <v/>
      </c>
      <c r="BW1115" s="80">
        <f>IF(ISNUMBER(B1115),IF(DB_MON="Todos",1,IF(AND(INT(B1115)&gt;=DB_MS,INT(B1115)&lt;=DB_ME),1,0)),0)</f>
        <v>0</v>
      </c>
      <c r="BX1115" s="80">
        <f>IF(DB_PROJ="Todos",1,IF(E1115&amp;""=DB_PROJ&amp;"",1,0))</f>
        <v>1</v>
      </c>
      <c r="BY1115" s="80">
        <f>BW1115*BX1115</f>
        <v>0</v>
      </c>
      <c r="BZ1115" s="80" t="str">
        <f>IF(Y1115=1,F1115&amp;IF(AND(F1115&amp;""&lt;&gt;"",E1115&amp;""&lt;&gt;"")," · ","")&amp;E1115,"")</f>
        <v/>
      </c>
      <c r="CA1115" s="80" t="str">
        <f>IF(AND(BD1115=1,E1115&amp;""&lt;&gt;""),IF(COUNTIFS($E$5:E1114,E1115,$BD$5:BD1114,1)=0,MAX($CA$5:CA1114)+1,""),"")</f>
        <v/>
      </c>
      <c r="CB1115" s="80" t="str">
        <f>IF(AND(BE1115=1,D1115="Malcolm",E1115&amp;""&lt;&gt;""),IF(COUNTIFS($D$5:D1114,"Malcolm",$E$5:E1114,E1115,$BE$5:BE1114,1)=0,MAX($CB$5:CB1114)+1,""),"")</f>
        <v/>
      </c>
      <c r="CC1115" s="80" t="str">
        <f>IF(AND(BD1115=1,D1115="proMX",E1115&amp;""&lt;&gt;""),IF(COUNTIFS($D$5:D1114,"proMX",$E$5:E1114,E1115,$BD$5:BD1114,1)=0,MAX($CC$5:CC1114)+1,""),"")</f>
        <v/>
      </c>
      <c r="CD1115" s="80" t="str">
        <f>IF(AND(BE1115=1,D1115="Malcolm",F1115&amp;""&lt;&gt;""),IF(COUNTIFS($D$5:D1114,"Malcolm",$F$5:F1114,F1115,$BE$5:BE1114,1)=0,MAX($CD$5:CD1114)+1,""),"")</f>
        <v/>
      </c>
      <c r="CE1115" s="80" t="str">
        <f>IF(AND(BD1115=1,D1115="proMX",F1115&amp;""&lt;&gt;""),IF(COUNTIFS($D$5:D1114,"proMX",$F$5:F1114,F1115,$BD$5:BD1114,1)=0,MAX($CE$5:CE1114)+1,""),"")</f>
        <v/>
      </c>
      <c r="CF1115" s="80" t="str">
        <f>IF(AND(D1115="proMX",BD1115=1),IF(OR(BF1115="Draft",BF1115="Submitted",BF1115="Returned",BF1115="Recall Requested"),MAX($CF$5:CF1114)+1,""),"")</f>
        <v/>
      </c>
      <c r="CG1115" s="80">
        <f>IF(BD1115=0,0,IF(D1115="Malcolm",1,MATCH(BF1115,{"Draft","Submitted","Approved","Returned","Recall Requested","Cancelled"},0)+1))</f>
        <v>0</v>
      </c>
      <c r="CH1115" s="80">
        <f>IF(AND(BF1115="Submitted",ISNUMBER(V1115)),IF(V1115&gt;CFG_MAXD,1,0),0)</f>
        <v>0</v>
      </c>
    </row>
    <row r="1116">
      <c r="A1116" s="71" t="str">
        <f>IF(Y1116=1,ROW()-5,"")</f>
        <v/>
      </c>
      <c r="B1116" s="72" t="n"/>
      <c r="C1116" s="71" t="str">
        <f>IF(ISNUMBER(B1116),CHOOSE(WEEKDAY(B1116,2),"Lun","Mar","Mié","Jue","Vie","Sáb","Dom"),"")</f>
        <v/>
      </c>
      <c r="D1116" s="73" t="n"/>
      <c r="E1116" s="74" t="n"/>
      <c r="F1116" s="74" t="n"/>
      <c r="G1116" s="74" t="n"/>
      <c r="H1116" s="75" t="n"/>
      <c r="I1116" s="75" t="n"/>
      <c r="J1116" s="76" t="n"/>
      <c r="K1116" s="77" t="str">
        <f>IF(AB1116=1,ROUND(AG1116/60,4),"")</f>
        <v/>
      </c>
      <c r="L1116" s="77" t="str">
        <f>IF(BD1116=1,ROUND(AP1116/60,4),"")</f>
        <v/>
      </c>
      <c r="M1116" s="77" t="str">
        <f>IF(BD1116=1,ROUND(AQ1116/60,4),"")</f>
        <v/>
      </c>
      <c r="N1116" s="71" t="str">
        <f>IF(AND(D1116="proMX",AB1116=1),ROUND(AG1116/CFG_BLK,2),"")</f>
        <v/>
      </c>
      <c r="O1116" s="77" t="str">
        <f>IF(D1116="proMX",IF(BD1116=1,ROUND(AG1116/60,4),0),"")</f>
        <v/>
      </c>
      <c r="P1116" s="78" t="str">
        <f>IF(Y1116=0,"",IF(BD1116=1,"OK",IF(D1116="proMX","Revisar bloques: ","Revisar: ")&amp;BC1116))</f>
        <v/>
      </c>
      <c r="Q1116" s="78" t="str">
        <f>IF(NOT(ISNUMBER(B1116)),"",IF(COUNTIFS(FER_F,INT(B1116))&gt;0,"Feriado"&amp;IF(AH1116=1," (laborable)"," (no laborable)"),IF(AH1116=1,"Laborable",IF(WEEKDAY(B1116,2)&gt;5,"Fin de semana","No laborable"))))</f>
        <v/>
      </c>
      <c r="R1116" s="73" t="n"/>
      <c r="S1116" s="72" t="n"/>
      <c r="T1116" s="72" t="n"/>
      <c r="U1116" s="74" t="n"/>
      <c r="V1116" s="79" t="str">
        <f>IF(AND(D1116="proMX",OR(R1116="Submitted",R1116="Recall Requested"),ISNUMBER(S1116)),CFG_TODAY-INT(S1116),"")</f>
        <v/>
      </c>
      <c r="W1116" s="78" t="str">
        <f>IF(BD1116=0,"",IF(BA1116&gt;0,"⚠ Se superpone con un registro de la otra empresa",IF(D1116="Malcolm",IF(COUNTA(R1116,S1116,T1116)&gt;0,"Estado/fechas proMX se ignoran en Malcolm",""),IF(BF1116="Cancelled","Cancelado: excluido de totales",IF(R1116="","Sin estado: se trata como Draft",IF(BF1116="Submitted",IF(ISNUMBER(V1116),IF(V1116&gt;CFG_MAXD,"⚠ "&amp;V1116&amp;" días en Submitted (máx. "&amp;CFG_MAXD&amp;")",""),"Falta fecha de envío"),IF(BF1116="Returned","⚠ Devuelto: corregir y reenviar",IF(BF1116="Recall Requested","Retirada solicitada: pendiente",IF(AND(BF1116="Approved",NOT(ISNUMBER(T1116))),"Falta fecha de aprobación",IF(AND(ISNUMBER(S1116),ISNUMBER(T1116),T1116&lt;S1116),"Aprobación anterior al envío","")))))))))</f>
        <v/>
      </c>
      <c r="Y1116" s="80">
        <f>IF(COUNTA(B1116,D1116,E1116,F1116,G1116,H1116,I1116,J1116,R1116,S1116,T1116)&gt;0,1,0)</f>
        <v>0</v>
      </c>
      <c r="Z1116" s="80" t="str">
        <f>IF(AND(ISNUMBER(H1116),H1116&gt;=0,H1116&lt;1),ROUND(H1116*1440,0),"")</f>
        <v/>
      </c>
      <c r="AA1116" s="80" t="str">
        <f>IF(AND(ISNUMBER(I1116),I1116&gt;=0,I1116&lt;1),ROUND(I1116*1440,0),"")</f>
        <v/>
      </c>
      <c r="AB1116" s="80">
        <f>IF(AND(ISNUMBER(B1116),D1116&lt;&gt;"",ISNUMBER(Z1116),ISNUMBER(AA1116)),IF(Z1116=AA1116,0,1),0)</f>
        <v>0</v>
      </c>
      <c r="AC1116" s="80">
        <f>IF(AB1116=1,IF(AA1116&lt;Z1116,1,0),0)</f>
        <v>0</v>
      </c>
      <c r="AD1116" s="80">
        <f>IF(AB1116=1,IF(AC1116=1,1440-Z1116+AA1116,AA1116-Z1116),0)</f>
        <v>0</v>
      </c>
      <c r="AE1116" s="80">
        <f>IF(J1116="",0,IF(ISNUMBER(J1116),J1116,-1))</f>
        <v>0</v>
      </c>
      <c r="AF1116" s="80">
        <f>MIN(MAX(0,AE1116),AD1116)</f>
        <v>0</v>
      </c>
      <c r="AG1116" s="80">
        <f>MAX(0,AD1116-MAX(0,AE1116))</f>
        <v>0</v>
      </c>
      <c r="AH1116" s="80">
        <f>IF(ISNUMBER(B1116),IF(AND(INDEX(CFG_WDAYS,WEEKDAY(INT(B1116),2))="Sí",IF(D1116="proMX",COUNTIFS(FER_F,INT(B1116),FER_NLP,"Sí"),COUNTIFS(FER_F,INT(B1116),FER_NLM,"Sí"))=0),1,0),0)</f>
        <v>0</v>
      </c>
      <c r="AI1116" s="80">
        <f>IF(AC1116=1,IF(AND(INDEX(CFG_WDAYS,WEEKDAY(INT(B1116)+1,2))="Sí",IF(D1116="proMX",COUNTIFS(FER_F,INT(B1116)+1,FER_NLP,"Sí"),COUNTIFS(FER_F,INT(B1116)+1,FER_NLM,"Sí"))=0),1,0),0)</f>
        <v>0</v>
      </c>
      <c r="AJ1116" s="80">
        <f>IF(AC1116=1,1440-Z1116,AD1116)</f>
        <v>0</v>
      </c>
      <c r="AK1116" s="80">
        <f>IF(AND(AB1116=1,AH1116=1),MAX(0,MIN(IF(AC1116=1,1440,AA1116),CFG_WEM)-MAX(Z1116,CFG_WSM)),0)</f>
        <v>0</v>
      </c>
      <c r="AL1116" s="80">
        <f>IF(AND(AC1116=1,AI1116=1),MAX(0,MIN(AA1116,CFG_WEM)-CFG_WSM),0)</f>
        <v>0</v>
      </c>
      <c r="AM1116" s="80">
        <f>AK1116+AL1116</f>
        <v>0</v>
      </c>
      <c r="AN1116" s="80">
        <f>IF(CFG_BRK="Proporcional",IF(AD1116=0,0,AF1116*AM1116/AD1116),IF(CFG_BRK="Extras primero",MIN(AM1116,MAX(0,AF1116-(AD1116-AM1116))),MIN(AF1116,AM1116)))</f>
        <v>0</v>
      </c>
      <c r="AO1116" s="80">
        <f>AF1116-AN1116</f>
        <v>0</v>
      </c>
      <c r="AP1116" s="80">
        <f>AM1116-AN1116</f>
        <v>0</v>
      </c>
      <c r="AQ1116" s="80">
        <f>AD1116-AM1116-AO1116</f>
        <v>0</v>
      </c>
      <c r="AR1116" s="80">
        <f>IF(AM1116=0,0,AK1116-AN1116*AK1116/AM1116)</f>
        <v>0</v>
      </c>
      <c r="AS1116" s="80">
        <f>IF(AD1116-AM1116=0,0,(AJ1116-AK1116)-AO1116*(AJ1116-AK1116)/(AD1116-AM1116))</f>
        <v>0</v>
      </c>
      <c r="AT1116" s="80" t="str">
        <f>IF(AC1116=1,INT(B1116)+1,"")</f>
        <v/>
      </c>
      <c r="AU1116" s="80">
        <f>IF(AND(D1116="proMX",R1116="Cancelled"),0,1)</f>
        <v>1</v>
      </c>
      <c r="AV1116" s="80">
        <f>IF(AND(AB1116=1,AU1116=1),IF(COUNTIFS($D$5:D1115,D1116,$B$5:B1115,B1116,$Z$5:Z1115,Z1116,$AA$5:AA1115,AA1116,$F$5:F1115,F1116&amp;"",$AU$5:AU1115,1)&gt;0,1,0),0)</f>
        <v>0</v>
      </c>
      <c r="AW1116" s="80" t="str">
        <f>IF(AB1116=1,INT(B1116)*1440+Z1116,"")</f>
        <v/>
      </c>
      <c r="AX1116" s="80" t="str">
        <f>IF(AB1116=1,AW1116+AD1116,"")</f>
        <v/>
      </c>
      <c r="AY1116" s="80">
        <f>IF(AND(AB1116=1,AV1116=0,AU1116=1),1,0)</f>
        <v>0</v>
      </c>
      <c r="AZ1116" s="80">
        <f>IF(AY1116=1,COUNTIFS(R_Emp,D1116,R_SAbs,"&lt;"&amp;AX1116,R_EAbs,"&gt;"&amp;AW1116,R_OKey,1)-1,0)</f>
        <v>0</v>
      </c>
      <c r="BA1116" s="80">
        <f>IF(AY1116=1,COUNTIFS(R_Emp,"&lt;&gt;"&amp;D1116,R_SAbs,"&lt;"&amp;AX1116,R_EAbs,"&gt;"&amp;AW1116,R_OKey,1),0)</f>
        <v>0</v>
      </c>
      <c r="BB1116" s="80">
        <f>IF(AND(AB1116=1,D1116="proMX"),IF(AND(MOD(Z1116,CFG_BLK)=0,MOD(AA1116,CFG_BLK)=0,MOD(AG1116,CFG_BLK)=0,AG1116&gt;0),1,0),1)</f>
        <v>1</v>
      </c>
      <c r="BC1116" s="80" t="str">
        <f>IF(Y1116=0,"",IF(NOT(ISNUMBER(B1116)),"Falta fecha o fecha inválida",IF(D1116="","Falta empresa",IF(AND(D1116&lt;&gt;"Malcolm",D1116&lt;&gt;"proMX"),"Empresa inválida",IF(OR(INT(B1116)&lt;CFG_PSTART,INT(B1116)&gt;CFG_PEND),"Fecha fuera del período",IF(OR(NOT(ISNUMBER(Z1116)),NOT(ISNUMBER(AA1116))),"Falta hora inicio/fin o formato inválido",IF(AB1116=0,"Hora inicio = hora fin",IF(AE1116&lt;0,"Descanso inválido",IF(AE1116&gt;=AD1116,"Descanso ≥ duración",IF(AV1116=1,"Registro duplicado",IF(AZ1116&gt;0,"Se superpone con otro registro "&amp;D1116,IF(BB1116=0,"inicio, fin y duración neta deben ser múltiplos de "&amp;CFG_BLK&amp;" min",""))))))))))))</f>
        <v/>
      </c>
      <c r="BD1116" s="80">
        <f>IF(AND(Y1116=1,BC1116=""),1,0)</f>
        <v>0</v>
      </c>
      <c r="BE1116" s="80">
        <f>IF(AND(BD1116=1,AU1116=1),1,0)</f>
        <v>0</v>
      </c>
      <c r="BF1116" s="80" t="str">
        <f>IF(AND(D1116="proMX",BD1116=1),IF(R1116="","Draft",R1116),"")</f>
        <v/>
      </c>
      <c r="BG1116" s="80">
        <f>IF(BD1116=1,ROUND(AG1116/60,6),0)</f>
        <v>0</v>
      </c>
      <c r="BH1116" s="80">
        <f>IF(BE1116=1,ROUND(AG1116/60,6),0)</f>
        <v>0</v>
      </c>
      <c r="BI1116" s="80">
        <f>IF(BE1116=1,ROUND(AP1116/60,6),0)</f>
        <v>0</v>
      </c>
      <c r="BJ1116" s="80">
        <f>IF(BE1116=1,ROUND(AQ1116/60,6),0)</f>
        <v>0</v>
      </c>
      <c r="BK1116" s="80">
        <f>IF(BE1116=1,ROUND((AR1116+AS1116)/60,6),0)</f>
        <v>0</v>
      </c>
      <c r="BL1116" s="80">
        <f>ROUND(BH1116-BK1116,6)</f>
        <v>0</v>
      </c>
      <c r="BM1116" s="80">
        <f>IF(BE1116=1,ROUND(AR1116/60,6),0)</f>
        <v>0</v>
      </c>
      <c r="BN1116" s="80">
        <f>ROUND(BI1116-BM1116,6)</f>
        <v>0</v>
      </c>
      <c r="BO1116" s="80">
        <f>IF(BE1116=1,ROUND(AS1116/60,6),0)</f>
        <v>0</v>
      </c>
      <c r="BP1116" s="80">
        <f>ROUND(BJ1116-BO1116,6)</f>
        <v>0</v>
      </c>
      <c r="BQ1116" s="80">
        <f>IF(BE1116=1,AW1116,0)</f>
        <v>0</v>
      </c>
      <c r="BR1116" s="80">
        <f>IF(BE1116=1,AX1116,0)</f>
        <v>0</v>
      </c>
      <c r="BS1116" s="80">
        <f>IF(AND(BE1116=1,D1116="Malcolm",BA1116&gt;0),MIN(BH1116,SUMPRODUCT((R_Emp="proMX")*(R_EN&gt;0)*((R_EN-(R_EN&gt;BR1116)*(R_EN-BR1116))&gt;(R_SN+(R_SN&lt;BQ1116)*(BQ1116-R_SN)))*((R_EN-(R_EN&gt;BR1116)*(R_EN-BR1116))-(R_SN+(R_SN&lt;BQ1116)*(BQ1116-R_SN))))/60),0)</f>
        <v>0</v>
      </c>
      <c r="BT1116" s="80">
        <f>IF(AND(BE1116=1,D1116="proMX"),ROUND(BI1116*CFG_RATE+BJ1116*CFG_OTRATE,6),0)</f>
        <v>0</v>
      </c>
      <c r="BU1116" s="80">
        <f>IF(AND(BD1116=1,D1116="proMX"),ROUND(AG1116/CFG_BLK,6),0)</f>
        <v>0</v>
      </c>
      <c r="BV1116" s="80" t="str">
        <f>IF(BF1116="Approved",IF(ISNUMBER(T1116),INT(T1116),INT(B1116)),"")</f>
        <v/>
      </c>
      <c r="BW1116" s="80">
        <f>IF(ISNUMBER(B1116),IF(DB_MON="Todos",1,IF(AND(INT(B1116)&gt;=DB_MS,INT(B1116)&lt;=DB_ME),1,0)),0)</f>
        <v>0</v>
      </c>
      <c r="BX1116" s="80">
        <f>IF(DB_PROJ="Todos",1,IF(E1116&amp;""=DB_PROJ&amp;"",1,0))</f>
        <v>1</v>
      </c>
      <c r="BY1116" s="80">
        <f>BW1116*BX1116</f>
        <v>0</v>
      </c>
      <c r="BZ1116" s="80" t="str">
        <f>IF(Y1116=1,F1116&amp;IF(AND(F1116&amp;""&lt;&gt;"",E1116&amp;""&lt;&gt;"")," · ","")&amp;E1116,"")</f>
        <v/>
      </c>
      <c r="CA1116" s="80" t="str">
        <f>IF(AND(BD1116=1,E1116&amp;""&lt;&gt;""),IF(COUNTIFS($E$5:E1115,E1116,$BD$5:BD1115,1)=0,MAX($CA$5:CA1115)+1,""),"")</f>
        <v/>
      </c>
      <c r="CB1116" s="80" t="str">
        <f>IF(AND(BE1116=1,D1116="Malcolm",E1116&amp;""&lt;&gt;""),IF(COUNTIFS($D$5:D1115,"Malcolm",$E$5:E1115,E1116,$BE$5:BE1115,1)=0,MAX($CB$5:CB1115)+1,""),"")</f>
        <v/>
      </c>
      <c r="CC1116" s="80" t="str">
        <f>IF(AND(BD1116=1,D1116="proMX",E1116&amp;""&lt;&gt;""),IF(COUNTIFS($D$5:D1115,"proMX",$E$5:E1115,E1116,$BD$5:BD1115,1)=0,MAX($CC$5:CC1115)+1,""),"")</f>
        <v/>
      </c>
      <c r="CD1116" s="80" t="str">
        <f>IF(AND(BE1116=1,D1116="Malcolm",F1116&amp;""&lt;&gt;""),IF(COUNTIFS($D$5:D1115,"Malcolm",$F$5:F1115,F1116,$BE$5:BE1115,1)=0,MAX($CD$5:CD1115)+1,""),"")</f>
        <v/>
      </c>
      <c r="CE1116" s="80" t="str">
        <f>IF(AND(BD1116=1,D1116="proMX",F1116&amp;""&lt;&gt;""),IF(COUNTIFS($D$5:D1115,"proMX",$F$5:F1115,F1116,$BD$5:BD1115,1)=0,MAX($CE$5:CE1115)+1,""),"")</f>
        <v/>
      </c>
      <c r="CF1116" s="80" t="str">
        <f>IF(AND(D1116="proMX",BD1116=1),IF(OR(BF1116="Draft",BF1116="Submitted",BF1116="Returned",BF1116="Recall Requested"),MAX($CF$5:CF1115)+1,""),"")</f>
        <v/>
      </c>
      <c r="CG1116" s="80">
        <f>IF(BD1116=0,0,IF(D1116="Malcolm",1,MATCH(BF1116,{"Draft","Submitted","Approved","Returned","Recall Requested","Cancelled"},0)+1))</f>
        <v>0</v>
      </c>
      <c r="CH1116" s="80">
        <f>IF(AND(BF1116="Submitted",ISNUMBER(V1116)),IF(V1116&gt;CFG_MAXD,1,0),0)</f>
        <v>0</v>
      </c>
    </row>
    <row r="1117">
      <c r="A1117" s="71" t="str">
        <f>IF(Y1117=1,ROW()-5,"")</f>
        <v/>
      </c>
      <c r="B1117" s="72" t="n"/>
      <c r="C1117" s="71" t="str">
        <f>IF(ISNUMBER(B1117),CHOOSE(WEEKDAY(B1117,2),"Lun","Mar","Mié","Jue","Vie","Sáb","Dom"),"")</f>
        <v/>
      </c>
      <c r="D1117" s="73" t="n"/>
      <c r="E1117" s="74" t="n"/>
      <c r="F1117" s="74" t="n"/>
      <c r="G1117" s="74" t="n"/>
      <c r="H1117" s="75" t="n"/>
      <c r="I1117" s="75" t="n"/>
      <c r="J1117" s="76" t="n"/>
      <c r="K1117" s="77" t="str">
        <f>IF(AB1117=1,ROUND(AG1117/60,4),"")</f>
        <v/>
      </c>
      <c r="L1117" s="77" t="str">
        <f>IF(BD1117=1,ROUND(AP1117/60,4),"")</f>
        <v/>
      </c>
      <c r="M1117" s="77" t="str">
        <f>IF(BD1117=1,ROUND(AQ1117/60,4),"")</f>
        <v/>
      </c>
      <c r="N1117" s="71" t="str">
        <f>IF(AND(D1117="proMX",AB1117=1),ROUND(AG1117/CFG_BLK,2),"")</f>
        <v/>
      </c>
      <c r="O1117" s="77" t="str">
        <f>IF(D1117="proMX",IF(BD1117=1,ROUND(AG1117/60,4),0),"")</f>
        <v/>
      </c>
      <c r="P1117" s="78" t="str">
        <f>IF(Y1117=0,"",IF(BD1117=1,"OK",IF(D1117="proMX","Revisar bloques: ","Revisar: ")&amp;BC1117))</f>
        <v/>
      </c>
      <c r="Q1117" s="78" t="str">
        <f>IF(NOT(ISNUMBER(B1117)),"",IF(COUNTIFS(FER_F,INT(B1117))&gt;0,"Feriado"&amp;IF(AH1117=1," (laborable)"," (no laborable)"),IF(AH1117=1,"Laborable",IF(WEEKDAY(B1117,2)&gt;5,"Fin de semana","No laborable"))))</f>
        <v/>
      </c>
      <c r="R1117" s="73" t="n"/>
      <c r="S1117" s="72" t="n"/>
      <c r="T1117" s="72" t="n"/>
      <c r="U1117" s="74" t="n"/>
      <c r="V1117" s="79" t="str">
        <f>IF(AND(D1117="proMX",OR(R1117="Submitted",R1117="Recall Requested"),ISNUMBER(S1117)),CFG_TODAY-INT(S1117),"")</f>
        <v/>
      </c>
      <c r="W1117" s="78" t="str">
        <f>IF(BD1117=0,"",IF(BA1117&gt;0,"⚠ Se superpone con un registro de la otra empresa",IF(D1117="Malcolm",IF(COUNTA(R1117,S1117,T1117)&gt;0,"Estado/fechas proMX se ignoran en Malcolm",""),IF(BF1117="Cancelled","Cancelado: excluido de totales",IF(R1117="","Sin estado: se trata como Draft",IF(BF1117="Submitted",IF(ISNUMBER(V1117),IF(V1117&gt;CFG_MAXD,"⚠ "&amp;V1117&amp;" días en Submitted (máx. "&amp;CFG_MAXD&amp;")",""),"Falta fecha de envío"),IF(BF1117="Returned","⚠ Devuelto: corregir y reenviar",IF(BF1117="Recall Requested","Retirada solicitada: pendiente",IF(AND(BF1117="Approved",NOT(ISNUMBER(T1117))),"Falta fecha de aprobación",IF(AND(ISNUMBER(S1117),ISNUMBER(T1117),T1117&lt;S1117),"Aprobación anterior al envío","")))))))))</f>
        <v/>
      </c>
      <c r="Y1117" s="80">
        <f>IF(COUNTA(B1117,D1117,E1117,F1117,G1117,H1117,I1117,J1117,R1117,S1117,T1117)&gt;0,1,0)</f>
        <v>0</v>
      </c>
      <c r="Z1117" s="80" t="str">
        <f>IF(AND(ISNUMBER(H1117),H1117&gt;=0,H1117&lt;1),ROUND(H1117*1440,0),"")</f>
        <v/>
      </c>
      <c r="AA1117" s="80" t="str">
        <f>IF(AND(ISNUMBER(I1117),I1117&gt;=0,I1117&lt;1),ROUND(I1117*1440,0),"")</f>
        <v/>
      </c>
      <c r="AB1117" s="80">
        <f>IF(AND(ISNUMBER(B1117),D1117&lt;&gt;"",ISNUMBER(Z1117),ISNUMBER(AA1117)),IF(Z1117=AA1117,0,1),0)</f>
        <v>0</v>
      </c>
      <c r="AC1117" s="80">
        <f>IF(AB1117=1,IF(AA1117&lt;Z1117,1,0),0)</f>
        <v>0</v>
      </c>
      <c r="AD1117" s="80">
        <f>IF(AB1117=1,IF(AC1117=1,1440-Z1117+AA1117,AA1117-Z1117),0)</f>
        <v>0</v>
      </c>
      <c r="AE1117" s="80">
        <f>IF(J1117="",0,IF(ISNUMBER(J1117),J1117,-1))</f>
        <v>0</v>
      </c>
      <c r="AF1117" s="80">
        <f>MIN(MAX(0,AE1117),AD1117)</f>
        <v>0</v>
      </c>
      <c r="AG1117" s="80">
        <f>MAX(0,AD1117-MAX(0,AE1117))</f>
        <v>0</v>
      </c>
      <c r="AH1117" s="80">
        <f>IF(ISNUMBER(B1117),IF(AND(INDEX(CFG_WDAYS,WEEKDAY(INT(B1117),2))="Sí",IF(D1117="proMX",COUNTIFS(FER_F,INT(B1117),FER_NLP,"Sí"),COUNTIFS(FER_F,INT(B1117),FER_NLM,"Sí"))=0),1,0),0)</f>
        <v>0</v>
      </c>
      <c r="AI1117" s="80">
        <f>IF(AC1117=1,IF(AND(INDEX(CFG_WDAYS,WEEKDAY(INT(B1117)+1,2))="Sí",IF(D1117="proMX",COUNTIFS(FER_F,INT(B1117)+1,FER_NLP,"Sí"),COUNTIFS(FER_F,INT(B1117)+1,FER_NLM,"Sí"))=0),1,0),0)</f>
        <v>0</v>
      </c>
      <c r="AJ1117" s="80">
        <f>IF(AC1117=1,1440-Z1117,AD1117)</f>
        <v>0</v>
      </c>
      <c r="AK1117" s="80">
        <f>IF(AND(AB1117=1,AH1117=1),MAX(0,MIN(IF(AC1117=1,1440,AA1117),CFG_WEM)-MAX(Z1117,CFG_WSM)),0)</f>
        <v>0</v>
      </c>
      <c r="AL1117" s="80">
        <f>IF(AND(AC1117=1,AI1117=1),MAX(0,MIN(AA1117,CFG_WEM)-CFG_WSM),0)</f>
        <v>0</v>
      </c>
      <c r="AM1117" s="80">
        <f>AK1117+AL1117</f>
        <v>0</v>
      </c>
      <c r="AN1117" s="80">
        <f>IF(CFG_BRK="Proporcional",IF(AD1117=0,0,AF1117*AM1117/AD1117),IF(CFG_BRK="Extras primero",MIN(AM1117,MAX(0,AF1117-(AD1117-AM1117))),MIN(AF1117,AM1117)))</f>
        <v>0</v>
      </c>
      <c r="AO1117" s="80">
        <f>AF1117-AN1117</f>
        <v>0</v>
      </c>
      <c r="AP1117" s="80">
        <f>AM1117-AN1117</f>
        <v>0</v>
      </c>
      <c r="AQ1117" s="80">
        <f>AD1117-AM1117-AO1117</f>
        <v>0</v>
      </c>
      <c r="AR1117" s="80">
        <f>IF(AM1117=0,0,AK1117-AN1117*AK1117/AM1117)</f>
        <v>0</v>
      </c>
      <c r="AS1117" s="80">
        <f>IF(AD1117-AM1117=0,0,(AJ1117-AK1117)-AO1117*(AJ1117-AK1117)/(AD1117-AM1117))</f>
        <v>0</v>
      </c>
      <c r="AT1117" s="80" t="str">
        <f>IF(AC1117=1,INT(B1117)+1,"")</f>
        <v/>
      </c>
      <c r="AU1117" s="80">
        <f>IF(AND(D1117="proMX",R1117="Cancelled"),0,1)</f>
        <v>1</v>
      </c>
      <c r="AV1117" s="80">
        <f>IF(AND(AB1117=1,AU1117=1),IF(COUNTIFS($D$5:D1116,D1117,$B$5:B1116,B1117,$Z$5:Z1116,Z1117,$AA$5:AA1116,AA1117,$F$5:F1116,F1117&amp;"",$AU$5:AU1116,1)&gt;0,1,0),0)</f>
        <v>0</v>
      </c>
      <c r="AW1117" s="80" t="str">
        <f>IF(AB1117=1,INT(B1117)*1440+Z1117,"")</f>
        <v/>
      </c>
      <c r="AX1117" s="80" t="str">
        <f>IF(AB1117=1,AW1117+AD1117,"")</f>
        <v/>
      </c>
      <c r="AY1117" s="80">
        <f>IF(AND(AB1117=1,AV1117=0,AU1117=1),1,0)</f>
        <v>0</v>
      </c>
      <c r="AZ1117" s="80">
        <f>IF(AY1117=1,COUNTIFS(R_Emp,D1117,R_SAbs,"&lt;"&amp;AX1117,R_EAbs,"&gt;"&amp;AW1117,R_OKey,1)-1,0)</f>
        <v>0</v>
      </c>
      <c r="BA1117" s="80">
        <f>IF(AY1117=1,COUNTIFS(R_Emp,"&lt;&gt;"&amp;D1117,R_SAbs,"&lt;"&amp;AX1117,R_EAbs,"&gt;"&amp;AW1117,R_OKey,1),0)</f>
        <v>0</v>
      </c>
      <c r="BB1117" s="80">
        <f>IF(AND(AB1117=1,D1117="proMX"),IF(AND(MOD(Z1117,CFG_BLK)=0,MOD(AA1117,CFG_BLK)=0,MOD(AG1117,CFG_BLK)=0,AG1117&gt;0),1,0),1)</f>
        <v>1</v>
      </c>
      <c r="BC1117" s="80" t="str">
        <f>IF(Y1117=0,"",IF(NOT(ISNUMBER(B1117)),"Falta fecha o fecha inválida",IF(D1117="","Falta empresa",IF(AND(D1117&lt;&gt;"Malcolm",D1117&lt;&gt;"proMX"),"Empresa inválida",IF(OR(INT(B1117)&lt;CFG_PSTART,INT(B1117)&gt;CFG_PEND),"Fecha fuera del período",IF(OR(NOT(ISNUMBER(Z1117)),NOT(ISNUMBER(AA1117))),"Falta hora inicio/fin o formato inválido",IF(AB1117=0,"Hora inicio = hora fin",IF(AE1117&lt;0,"Descanso inválido",IF(AE1117&gt;=AD1117,"Descanso ≥ duración",IF(AV1117=1,"Registro duplicado",IF(AZ1117&gt;0,"Se superpone con otro registro "&amp;D1117,IF(BB1117=0,"inicio, fin y duración neta deben ser múltiplos de "&amp;CFG_BLK&amp;" min",""))))))))))))</f>
        <v/>
      </c>
      <c r="BD1117" s="80">
        <f>IF(AND(Y1117=1,BC1117=""),1,0)</f>
        <v>0</v>
      </c>
      <c r="BE1117" s="80">
        <f>IF(AND(BD1117=1,AU1117=1),1,0)</f>
        <v>0</v>
      </c>
      <c r="BF1117" s="80" t="str">
        <f>IF(AND(D1117="proMX",BD1117=1),IF(R1117="","Draft",R1117),"")</f>
        <v/>
      </c>
      <c r="BG1117" s="80">
        <f>IF(BD1117=1,ROUND(AG1117/60,6),0)</f>
        <v>0</v>
      </c>
      <c r="BH1117" s="80">
        <f>IF(BE1117=1,ROUND(AG1117/60,6),0)</f>
        <v>0</v>
      </c>
      <c r="BI1117" s="80">
        <f>IF(BE1117=1,ROUND(AP1117/60,6),0)</f>
        <v>0</v>
      </c>
      <c r="BJ1117" s="80">
        <f>IF(BE1117=1,ROUND(AQ1117/60,6),0)</f>
        <v>0</v>
      </c>
      <c r="BK1117" s="80">
        <f>IF(BE1117=1,ROUND((AR1117+AS1117)/60,6),0)</f>
        <v>0</v>
      </c>
      <c r="BL1117" s="80">
        <f>ROUND(BH1117-BK1117,6)</f>
        <v>0</v>
      </c>
      <c r="BM1117" s="80">
        <f>IF(BE1117=1,ROUND(AR1117/60,6),0)</f>
        <v>0</v>
      </c>
      <c r="BN1117" s="80">
        <f>ROUND(BI1117-BM1117,6)</f>
        <v>0</v>
      </c>
      <c r="BO1117" s="80">
        <f>IF(BE1117=1,ROUND(AS1117/60,6),0)</f>
        <v>0</v>
      </c>
      <c r="BP1117" s="80">
        <f>ROUND(BJ1117-BO1117,6)</f>
        <v>0</v>
      </c>
      <c r="BQ1117" s="80">
        <f>IF(BE1117=1,AW1117,0)</f>
        <v>0</v>
      </c>
      <c r="BR1117" s="80">
        <f>IF(BE1117=1,AX1117,0)</f>
        <v>0</v>
      </c>
      <c r="BS1117" s="80">
        <f>IF(AND(BE1117=1,D1117="Malcolm",BA1117&gt;0),MIN(BH1117,SUMPRODUCT((R_Emp="proMX")*(R_EN&gt;0)*((R_EN-(R_EN&gt;BR1117)*(R_EN-BR1117))&gt;(R_SN+(R_SN&lt;BQ1117)*(BQ1117-R_SN)))*((R_EN-(R_EN&gt;BR1117)*(R_EN-BR1117))-(R_SN+(R_SN&lt;BQ1117)*(BQ1117-R_SN))))/60),0)</f>
        <v>0</v>
      </c>
      <c r="BT1117" s="80">
        <f>IF(AND(BE1117=1,D1117="proMX"),ROUND(BI1117*CFG_RATE+BJ1117*CFG_OTRATE,6),0)</f>
        <v>0</v>
      </c>
      <c r="BU1117" s="80">
        <f>IF(AND(BD1117=1,D1117="proMX"),ROUND(AG1117/CFG_BLK,6),0)</f>
        <v>0</v>
      </c>
      <c r="BV1117" s="80" t="str">
        <f>IF(BF1117="Approved",IF(ISNUMBER(T1117),INT(T1117),INT(B1117)),"")</f>
        <v/>
      </c>
      <c r="BW1117" s="80">
        <f>IF(ISNUMBER(B1117),IF(DB_MON="Todos",1,IF(AND(INT(B1117)&gt;=DB_MS,INT(B1117)&lt;=DB_ME),1,0)),0)</f>
        <v>0</v>
      </c>
      <c r="BX1117" s="80">
        <f>IF(DB_PROJ="Todos",1,IF(E1117&amp;""=DB_PROJ&amp;"",1,0))</f>
        <v>1</v>
      </c>
      <c r="BY1117" s="80">
        <f>BW1117*BX1117</f>
        <v>0</v>
      </c>
      <c r="BZ1117" s="80" t="str">
        <f>IF(Y1117=1,F1117&amp;IF(AND(F1117&amp;""&lt;&gt;"",E1117&amp;""&lt;&gt;"")," · ","")&amp;E1117,"")</f>
        <v/>
      </c>
      <c r="CA1117" s="80" t="str">
        <f>IF(AND(BD1117=1,E1117&amp;""&lt;&gt;""),IF(COUNTIFS($E$5:E1116,E1117,$BD$5:BD1116,1)=0,MAX($CA$5:CA1116)+1,""),"")</f>
        <v/>
      </c>
      <c r="CB1117" s="80" t="str">
        <f>IF(AND(BE1117=1,D1117="Malcolm",E1117&amp;""&lt;&gt;""),IF(COUNTIFS($D$5:D1116,"Malcolm",$E$5:E1116,E1117,$BE$5:BE1116,1)=0,MAX($CB$5:CB1116)+1,""),"")</f>
        <v/>
      </c>
      <c r="CC1117" s="80" t="str">
        <f>IF(AND(BD1117=1,D1117="proMX",E1117&amp;""&lt;&gt;""),IF(COUNTIFS($D$5:D1116,"proMX",$E$5:E1116,E1117,$BD$5:BD1116,1)=0,MAX($CC$5:CC1116)+1,""),"")</f>
        <v/>
      </c>
      <c r="CD1117" s="80" t="str">
        <f>IF(AND(BE1117=1,D1117="Malcolm",F1117&amp;""&lt;&gt;""),IF(COUNTIFS($D$5:D1116,"Malcolm",$F$5:F1116,F1117,$BE$5:BE1116,1)=0,MAX($CD$5:CD1116)+1,""),"")</f>
        <v/>
      </c>
      <c r="CE1117" s="80" t="str">
        <f>IF(AND(BD1117=1,D1117="proMX",F1117&amp;""&lt;&gt;""),IF(COUNTIFS($D$5:D1116,"proMX",$F$5:F1116,F1117,$BD$5:BD1116,1)=0,MAX($CE$5:CE1116)+1,""),"")</f>
        <v/>
      </c>
      <c r="CF1117" s="80" t="str">
        <f>IF(AND(D1117="proMX",BD1117=1),IF(OR(BF1117="Draft",BF1117="Submitted",BF1117="Returned",BF1117="Recall Requested"),MAX($CF$5:CF1116)+1,""),"")</f>
        <v/>
      </c>
      <c r="CG1117" s="80">
        <f>IF(BD1117=0,0,IF(D1117="Malcolm",1,MATCH(BF1117,{"Draft","Submitted","Approved","Returned","Recall Requested","Cancelled"},0)+1))</f>
        <v>0</v>
      </c>
      <c r="CH1117" s="80">
        <f>IF(AND(BF1117="Submitted",ISNUMBER(V1117)),IF(V1117&gt;CFG_MAXD,1,0),0)</f>
        <v>0</v>
      </c>
    </row>
    <row r="1118">
      <c r="A1118" s="71" t="str">
        <f>IF(Y1118=1,ROW()-5,"")</f>
        <v/>
      </c>
      <c r="B1118" s="72" t="n"/>
      <c r="C1118" s="71" t="str">
        <f>IF(ISNUMBER(B1118),CHOOSE(WEEKDAY(B1118,2),"Lun","Mar","Mié","Jue","Vie","Sáb","Dom"),"")</f>
        <v/>
      </c>
      <c r="D1118" s="73" t="n"/>
      <c r="E1118" s="74" t="n"/>
      <c r="F1118" s="74" t="n"/>
      <c r="G1118" s="74" t="n"/>
      <c r="H1118" s="75" t="n"/>
      <c r="I1118" s="75" t="n"/>
      <c r="J1118" s="76" t="n"/>
      <c r="K1118" s="77" t="str">
        <f>IF(AB1118=1,ROUND(AG1118/60,4),"")</f>
        <v/>
      </c>
      <c r="L1118" s="77" t="str">
        <f>IF(BD1118=1,ROUND(AP1118/60,4),"")</f>
        <v/>
      </c>
      <c r="M1118" s="77" t="str">
        <f>IF(BD1118=1,ROUND(AQ1118/60,4),"")</f>
        <v/>
      </c>
      <c r="N1118" s="71" t="str">
        <f>IF(AND(D1118="proMX",AB1118=1),ROUND(AG1118/CFG_BLK,2),"")</f>
        <v/>
      </c>
      <c r="O1118" s="77" t="str">
        <f>IF(D1118="proMX",IF(BD1118=1,ROUND(AG1118/60,4),0),"")</f>
        <v/>
      </c>
      <c r="P1118" s="78" t="str">
        <f>IF(Y1118=0,"",IF(BD1118=1,"OK",IF(D1118="proMX","Revisar bloques: ","Revisar: ")&amp;BC1118))</f>
        <v/>
      </c>
      <c r="Q1118" s="78" t="str">
        <f>IF(NOT(ISNUMBER(B1118)),"",IF(COUNTIFS(FER_F,INT(B1118))&gt;0,"Feriado"&amp;IF(AH1118=1," (laborable)"," (no laborable)"),IF(AH1118=1,"Laborable",IF(WEEKDAY(B1118,2)&gt;5,"Fin de semana","No laborable"))))</f>
        <v/>
      </c>
      <c r="R1118" s="73" t="n"/>
      <c r="S1118" s="72" t="n"/>
      <c r="T1118" s="72" t="n"/>
      <c r="U1118" s="74" t="n"/>
      <c r="V1118" s="79" t="str">
        <f>IF(AND(D1118="proMX",OR(R1118="Submitted",R1118="Recall Requested"),ISNUMBER(S1118)),CFG_TODAY-INT(S1118),"")</f>
        <v/>
      </c>
      <c r="W1118" s="78" t="str">
        <f>IF(BD1118=0,"",IF(BA1118&gt;0,"⚠ Se superpone con un registro de la otra empresa",IF(D1118="Malcolm",IF(COUNTA(R1118,S1118,T1118)&gt;0,"Estado/fechas proMX se ignoran en Malcolm",""),IF(BF1118="Cancelled","Cancelado: excluido de totales",IF(R1118="","Sin estado: se trata como Draft",IF(BF1118="Submitted",IF(ISNUMBER(V1118),IF(V1118&gt;CFG_MAXD,"⚠ "&amp;V1118&amp;" días en Submitted (máx. "&amp;CFG_MAXD&amp;")",""),"Falta fecha de envío"),IF(BF1118="Returned","⚠ Devuelto: corregir y reenviar",IF(BF1118="Recall Requested","Retirada solicitada: pendiente",IF(AND(BF1118="Approved",NOT(ISNUMBER(T1118))),"Falta fecha de aprobación",IF(AND(ISNUMBER(S1118),ISNUMBER(T1118),T1118&lt;S1118),"Aprobación anterior al envío","")))))))))</f>
        <v/>
      </c>
      <c r="Y1118" s="80">
        <f>IF(COUNTA(B1118,D1118,E1118,F1118,G1118,H1118,I1118,J1118,R1118,S1118,T1118)&gt;0,1,0)</f>
        <v>0</v>
      </c>
      <c r="Z1118" s="80" t="str">
        <f>IF(AND(ISNUMBER(H1118),H1118&gt;=0,H1118&lt;1),ROUND(H1118*1440,0),"")</f>
        <v/>
      </c>
      <c r="AA1118" s="80" t="str">
        <f>IF(AND(ISNUMBER(I1118),I1118&gt;=0,I1118&lt;1),ROUND(I1118*1440,0),"")</f>
        <v/>
      </c>
      <c r="AB1118" s="80">
        <f>IF(AND(ISNUMBER(B1118),D1118&lt;&gt;"",ISNUMBER(Z1118),ISNUMBER(AA1118)),IF(Z1118=AA1118,0,1),0)</f>
        <v>0</v>
      </c>
      <c r="AC1118" s="80">
        <f>IF(AB1118=1,IF(AA1118&lt;Z1118,1,0),0)</f>
        <v>0</v>
      </c>
      <c r="AD1118" s="80">
        <f>IF(AB1118=1,IF(AC1118=1,1440-Z1118+AA1118,AA1118-Z1118),0)</f>
        <v>0</v>
      </c>
      <c r="AE1118" s="80">
        <f>IF(J1118="",0,IF(ISNUMBER(J1118),J1118,-1))</f>
        <v>0</v>
      </c>
      <c r="AF1118" s="80">
        <f>MIN(MAX(0,AE1118),AD1118)</f>
        <v>0</v>
      </c>
      <c r="AG1118" s="80">
        <f>MAX(0,AD1118-MAX(0,AE1118))</f>
        <v>0</v>
      </c>
      <c r="AH1118" s="80">
        <f>IF(ISNUMBER(B1118),IF(AND(INDEX(CFG_WDAYS,WEEKDAY(INT(B1118),2))="Sí",IF(D1118="proMX",COUNTIFS(FER_F,INT(B1118),FER_NLP,"Sí"),COUNTIFS(FER_F,INT(B1118),FER_NLM,"Sí"))=0),1,0),0)</f>
        <v>0</v>
      </c>
      <c r="AI1118" s="80">
        <f>IF(AC1118=1,IF(AND(INDEX(CFG_WDAYS,WEEKDAY(INT(B1118)+1,2))="Sí",IF(D1118="proMX",COUNTIFS(FER_F,INT(B1118)+1,FER_NLP,"Sí"),COUNTIFS(FER_F,INT(B1118)+1,FER_NLM,"Sí"))=0),1,0),0)</f>
        <v>0</v>
      </c>
      <c r="AJ1118" s="80">
        <f>IF(AC1118=1,1440-Z1118,AD1118)</f>
        <v>0</v>
      </c>
      <c r="AK1118" s="80">
        <f>IF(AND(AB1118=1,AH1118=1),MAX(0,MIN(IF(AC1118=1,1440,AA1118),CFG_WEM)-MAX(Z1118,CFG_WSM)),0)</f>
        <v>0</v>
      </c>
      <c r="AL1118" s="80">
        <f>IF(AND(AC1118=1,AI1118=1),MAX(0,MIN(AA1118,CFG_WEM)-CFG_WSM),0)</f>
        <v>0</v>
      </c>
      <c r="AM1118" s="80">
        <f>AK1118+AL1118</f>
        <v>0</v>
      </c>
      <c r="AN1118" s="80">
        <f>IF(CFG_BRK="Proporcional",IF(AD1118=0,0,AF1118*AM1118/AD1118),IF(CFG_BRK="Extras primero",MIN(AM1118,MAX(0,AF1118-(AD1118-AM1118))),MIN(AF1118,AM1118)))</f>
        <v>0</v>
      </c>
      <c r="AO1118" s="80">
        <f>AF1118-AN1118</f>
        <v>0</v>
      </c>
      <c r="AP1118" s="80">
        <f>AM1118-AN1118</f>
        <v>0</v>
      </c>
      <c r="AQ1118" s="80">
        <f>AD1118-AM1118-AO1118</f>
        <v>0</v>
      </c>
      <c r="AR1118" s="80">
        <f>IF(AM1118=0,0,AK1118-AN1118*AK1118/AM1118)</f>
        <v>0</v>
      </c>
      <c r="AS1118" s="80">
        <f>IF(AD1118-AM1118=0,0,(AJ1118-AK1118)-AO1118*(AJ1118-AK1118)/(AD1118-AM1118))</f>
        <v>0</v>
      </c>
      <c r="AT1118" s="80" t="str">
        <f>IF(AC1118=1,INT(B1118)+1,"")</f>
        <v/>
      </c>
      <c r="AU1118" s="80">
        <f>IF(AND(D1118="proMX",R1118="Cancelled"),0,1)</f>
        <v>1</v>
      </c>
      <c r="AV1118" s="80">
        <f>IF(AND(AB1118=1,AU1118=1),IF(COUNTIFS($D$5:D1117,D1118,$B$5:B1117,B1118,$Z$5:Z1117,Z1118,$AA$5:AA1117,AA1118,$F$5:F1117,F1118&amp;"",$AU$5:AU1117,1)&gt;0,1,0),0)</f>
        <v>0</v>
      </c>
      <c r="AW1118" s="80" t="str">
        <f>IF(AB1118=1,INT(B1118)*1440+Z1118,"")</f>
        <v/>
      </c>
      <c r="AX1118" s="80" t="str">
        <f>IF(AB1118=1,AW1118+AD1118,"")</f>
        <v/>
      </c>
      <c r="AY1118" s="80">
        <f>IF(AND(AB1118=1,AV1118=0,AU1118=1),1,0)</f>
        <v>0</v>
      </c>
      <c r="AZ1118" s="80">
        <f>IF(AY1118=1,COUNTIFS(R_Emp,D1118,R_SAbs,"&lt;"&amp;AX1118,R_EAbs,"&gt;"&amp;AW1118,R_OKey,1)-1,0)</f>
        <v>0</v>
      </c>
      <c r="BA1118" s="80">
        <f>IF(AY1118=1,COUNTIFS(R_Emp,"&lt;&gt;"&amp;D1118,R_SAbs,"&lt;"&amp;AX1118,R_EAbs,"&gt;"&amp;AW1118,R_OKey,1),0)</f>
        <v>0</v>
      </c>
      <c r="BB1118" s="80">
        <f>IF(AND(AB1118=1,D1118="proMX"),IF(AND(MOD(Z1118,CFG_BLK)=0,MOD(AA1118,CFG_BLK)=0,MOD(AG1118,CFG_BLK)=0,AG1118&gt;0),1,0),1)</f>
        <v>1</v>
      </c>
      <c r="BC1118" s="80" t="str">
        <f>IF(Y1118=0,"",IF(NOT(ISNUMBER(B1118)),"Falta fecha o fecha inválida",IF(D1118="","Falta empresa",IF(AND(D1118&lt;&gt;"Malcolm",D1118&lt;&gt;"proMX"),"Empresa inválida",IF(OR(INT(B1118)&lt;CFG_PSTART,INT(B1118)&gt;CFG_PEND),"Fecha fuera del período",IF(OR(NOT(ISNUMBER(Z1118)),NOT(ISNUMBER(AA1118))),"Falta hora inicio/fin o formato inválido",IF(AB1118=0,"Hora inicio = hora fin",IF(AE1118&lt;0,"Descanso inválido",IF(AE1118&gt;=AD1118,"Descanso ≥ duración",IF(AV1118=1,"Registro duplicado",IF(AZ1118&gt;0,"Se superpone con otro registro "&amp;D1118,IF(BB1118=0,"inicio, fin y duración neta deben ser múltiplos de "&amp;CFG_BLK&amp;" min",""))))))))))))</f>
        <v/>
      </c>
      <c r="BD1118" s="80">
        <f>IF(AND(Y1118=1,BC1118=""),1,0)</f>
        <v>0</v>
      </c>
      <c r="BE1118" s="80">
        <f>IF(AND(BD1118=1,AU1118=1),1,0)</f>
        <v>0</v>
      </c>
      <c r="BF1118" s="80" t="str">
        <f>IF(AND(D1118="proMX",BD1118=1),IF(R1118="","Draft",R1118),"")</f>
        <v/>
      </c>
      <c r="BG1118" s="80">
        <f>IF(BD1118=1,ROUND(AG1118/60,6),0)</f>
        <v>0</v>
      </c>
      <c r="BH1118" s="80">
        <f>IF(BE1118=1,ROUND(AG1118/60,6),0)</f>
        <v>0</v>
      </c>
      <c r="BI1118" s="80">
        <f>IF(BE1118=1,ROUND(AP1118/60,6),0)</f>
        <v>0</v>
      </c>
      <c r="BJ1118" s="80">
        <f>IF(BE1118=1,ROUND(AQ1118/60,6),0)</f>
        <v>0</v>
      </c>
      <c r="BK1118" s="80">
        <f>IF(BE1118=1,ROUND((AR1118+AS1118)/60,6),0)</f>
        <v>0</v>
      </c>
      <c r="BL1118" s="80">
        <f>ROUND(BH1118-BK1118,6)</f>
        <v>0</v>
      </c>
      <c r="BM1118" s="80">
        <f>IF(BE1118=1,ROUND(AR1118/60,6),0)</f>
        <v>0</v>
      </c>
      <c r="BN1118" s="80">
        <f>ROUND(BI1118-BM1118,6)</f>
        <v>0</v>
      </c>
      <c r="BO1118" s="80">
        <f>IF(BE1118=1,ROUND(AS1118/60,6),0)</f>
        <v>0</v>
      </c>
      <c r="BP1118" s="80">
        <f>ROUND(BJ1118-BO1118,6)</f>
        <v>0</v>
      </c>
      <c r="BQ1118" s="80">
        <f>IF(BE1118=1,AW1118,0)</f>
        <v>0</v>
      </c>
      <c r="BR1118" s="80">
        <f>IF(BE1118=1,AX1118,0)</f>
        <v>0</v>
      </c>
      <c r="BS1118" s="80">
        <f>IF(AND(BE1118=1,D1118="Malcolm",BA1118&gt;0),MIN(BH1118,SUMPRODUCT((R_Emp="proMX")*(R_EN&gt;0)*((R_EN-(R_EN&gt;BR1118)*(R_EN-BR1118))&gt;(R_SN+(R_SN&lt;BQ1118)*(BQ1118-R_SN)))*((R_EN-(R_EN&gt;BR1118)*(R_EN-BR1118))-(R_SN+(R_SN&lt;BQ1118)*(BQ1118-R_SN))))/60),0)</f>
        <v>0</v>
      </c>
      <c r="BT1118" s="80">
        <f>IF(AND(BE1118=1,D1118="proMX"),ROUND(BI1118*CFG_RATE+BJ1118*CFG_OTRATE,6),0)</f>
        <v>0</v>
      </c>
      <c r="BU1118" s="80">
        <f>IF(AND(BD1118=1,D1118="proMX"),ROUND(AG1118/CFG_BLK,6),0)</f>
        <v>0</v>
      </c>
      <c r="BV1118" s="80" t="str">
        <f>IF(BF1118="Approved",IF(ISNUMBER(T1118),INT(T1118),INT(B1118)),"")</f>
        <v/>
      </c>
      <c r="BW1118" s="80">
        <f>IF(ISNUMBER(B1118),IF(DB_MON="Todos",1,IF(AND(INT(B1118)&gt;=DB_MS,INT(B1118)&lt;=DB_ME),1,0)),0)</f>
        <v>0</v>
      </c>
      <c r="BX1118" s="80">
        <f>IF(DB_PROJ="Todos",1,IF(E1118&amp;""=DB_PROJ&amp;"",1,0))</f>
        <v>1</v>
      </c>
      <c r="BY1118" s="80">
        <f>BW1118*BX1118</f>
        <v>0</v>
      </c>
      <c r="BZ1118" s="80" t="str">
        <f>IF(Y1118=1,F1118&amp;IF(AND(F1118&amp;""&lt;&gt;"",E1118&amp;""&lt;&gt;"")," · ","")&amp;E1118,"")</f>
        <v/>
      </c>
      <c r="CA1118" s="80" t="str">
        <f>IF(AND(BD1118=1,E1118&amp;""&lt;&gt;""),IF(COUNTIFS($E$5:E1117,E1118,$BD$5:BD1117,1)=0,MAX($CA$5:CA1117)+1,""),"")</f>
        <v/>
      </c>
      <c r="CB1118" s="80" t="str">
        <f>IF(AND(BE1118=1,D1118="Malcolm",E1118&amp;""&lt;&gt;""),IF(COUNTIFS($D$5:D1117,"Malcolm",$E$5:E1117,E1118,$BE$5:BE1117,1)=0,MAX($CB$5:CB1117)+1,""),"")</f>
        <v/>
      </c>
      <c r="CC1118" s="80" t="str">
        <f>IF(AND(BD1118=1,D1118="proMX",E1118&amp;""&lt;&gt;""),IF(COUNTIFS($D$5:D1117,"proMX",$E$5:E1117,E1118,$BD$5:BD1117,1)=0,MAX($CC$5:CC1117)+1,""),"")</f>
        <v/>
      </c>
      <c r="CD1118" s="80" t="str">
        <f>IF(AND(BE1118=1,D1118="Malcolm",F1118&amp;""&lt;&gt;""),IF(COUNTIFS($D$5:D1117,"Malcolm",$F$5:F1117,F1118,$BE$5:BE1117,1)=0,MAX($CD$5:CD1117)+1,""),"")</f>
        <v/>
      </c>
      <c r="CE1118" s="80" t="str">
        <f>IF(AND(BD1118=1,D1118="proMX",F1118&amp;""&lt;&gt;""),IF(COUNTIFS($D$5:D1117,"proMX",$F$5:F1117,F1118,$BD$5:BD1117,1)=0,MAX($CE$5:CE1117)+1,""),"")</f>
        <v/>
      </c>
      <c r="CF1118" s="80" t="str">
        <f>IF(AND(D1118="proMX",BD1118=1),IF(OR(BF1118="Draft",BF1118="Submitted",BF1118="Returned",BF1118="Recall Requested"),MAX($CF$5:CF1117)+1,""),"")</f>
        <v/>
      </c>
      <c r="CG1118" s="80">
        <f>IF(BD1118=0,0,IF(D1118="Malcolm",1,MATCH(BF1118,{"Draft","Submitted","Approved","Returned","Recall Requested","Cancelled"},0)+1))</f>
        <v>0</v>
      </c>
      <c r="CH1118" s="80">
        <f>IF(AND(BF1118="Submitted",ISNUMBER(V1118)),IF(V1118&gt;CFG_MAXD,1,0),0)</f>
        <v>0</v>
      </c>
    </row>
    <row r="1119">
      <c r="A1119" s="71" t="str">
        <f>IF(Y1119=1,ROW()-5,"")</f>
        <v/>
      </c>
      <c r="B1119" s="72" t="n"/>
      <c r="C1119" s="71" t="str">
        <f>IF(ISNUMBER(B1119),CHOOSE(WEEKDAY(B1119,2),"Lun","Mar","Mié","Jue","Vie","Sáb","Dom"),"")</f>
        <v/>
      </c>
      <c r="D1119" s="73" t="n"/>
      <c r="E1119" s="74" t="n"/>
      <c r="F1119" s="74" t="n"/>
      <c r="G1119" s="74" t="n"/>
      <c r="H1119" s="75" t="n"/>
      <c r="I1119" s="75" t="n"/>
      <c r="J1119" s="76" t="n"/>
      <c r="K1119" s="77" t="str">
        <f>IF(AB1119=1,ROUND(AG1119/60,4),"")</f>
        <v/>
      </c>
      <c r="L1119" s="77" t="str">
        <f>IF(BD1119=1,ROUND(AP1119/60,4),"")</f>
        <v/>
      </c>
      <c r="M1119" s="77" t="str">
        <f>IF(BD1119=1,ROUND(AQ1119/60,4),"")</f>
        <v/>
      </c>
      <c r="N1119" s="71" t="str">
        <f>IF(AND(D1119="proMX",AB1119=1),ROUND(AG1119/CFG_BLK,2),"")</f>
        <v/>
      </c>
      <c r="O1119" s="77" t="str">
        <f>IF(D1119="proMX",IF(BD1119=1,ROUND(AG1119/60,4),0),"")</f>
        <v/>
      </c>
      <c r="P1119" s="78" t="str">
        <f>IF(Y1119=0,"",IF(BD1119=1,"OK",IF(D1119="proMX","Revisar bloques: ","Revisar: ")&amp;BC1119))</f>
        <v/>
      </c>
      <c r="Q1119" s="78" t="str">
        <f>IF(NOT(ISNUMBER(B1119)),"",IF(COUNTIFS(FER_F,INT(B1119))&gt;0,"Feriado"&amp;IF(AH1119=1," (laborable)"," (no laborable)"),IF(AH1119=1,"Laborable",IF(WEEKDAY(B1119,2)&gt;5,"Fin de semana","No laborable"))))</f>
        <v/>
      </c>
      <c r="R1119" s="73" t="n"/>
      <c r="S1119" s="72" t="n"/>
      <c r="T1119" s="72" t="n"/>
      <c r="U1119" s="74" t="n"/>
      <c r="V1119" s="79" t="str">
        <f>IF(AND(D1119="proMX",OR(R1119="Submitted",R1119="Recall Requested"),ISNUMBER(S1119)),CFG_TODAY-INT(S1119),"")</f>
        <v/>
      </c>
      <c r="W1119" s="78" t="str">
        <f>IF(BD1119=0,"",IF(BA1119&gt;0,"⚠ Se superpone con un registro de la otra empresa",IF(D1119="Malcolm",IF(COUNTA(R1119,S1119,T1119)&gt;0,"Estado/fechas proMX se ignoran en Malcolm",""),IF(BF1119="Cancelled","Cancelado: excluido de totales",IF(R1119="","Sin estado: se trata como Draft",IF(BF1119="Submitted",IF(ISNUMBER(V1119),IF(V1119&gt;CFG_MAXD,"⚠ "&amp;V1119&amp;" días en Submitted (máx. "&amp;CFG_MAXD&amp;")",""),"Falta fecha de envío"),IF(BF1119="Returned","⚠ Devuelto: corregir y reenviar",IF(BF1119="Recall Requested","Retirada solicitada: pendiente",IF(AND(BF1119="Approved",NOT(ISNUMBER(T1119))),"Falta fecha de aprobación",IF(AND(ISNUMBER(S1119),ISNUMBER(T1119),T1119&lt;S1119),"Aprobación anterior al envío","")))))))))</f>
        <v/>
      </c>
      <c r="Y1119" s="80">
        <f>IF(COUNTA(B1119,D1119,E1119,F1119,G1119,H1119,I1119,J1119,R1119,S1119,T1119)&gt;0,1,0)</f>
        <v>0</v>
      </c>
      <c r="Z1119" s="80" t="str">
        <f>IF(AND(ISNUMBER(H1119),H1119&gt;=0,H1119&lt;1),ROUND(H1119*1440,0),"")</f>
        <v/>
      </c>
      <c r="AA1119" s="80" t="str">
        <f>IF(AND(ISNUMBER(I1119),I1119&gt;=0,I1119&lt;1),ROUND(I1119*1440,0),"")</f>
        <v/>
      </c>
      <c r="AB1119" s="80">
        <f>IF(AND(ISNUMBER(B1119),D1119&lt;&gt;"",ISNUMBER(Z1119),ISNUMBER(AA1119)),IF(Z1119=AA1119,0,1),0)</f>
        <v>0</v>
      </c>
      <c r="AC1119" s="80">
        <f>IF(AB1119=1,IF(AA1119&lt;Z1119,1,0),0)</f>
        <v>0</v>
      </c>
      <c r="AD1119" s="80">
        <f>IF(AB1119=1,IF(AC1119=1,1440-Z1119+AA1119,AA1119-Z1119),0)</f>
        <v>0</v>
      </c>
      <c r="AE1119" s="80">
        <f>IF(J1119="",0,IF(ISNUMBER(J1119),J1119,-1))</f>
        <v>0</v>
      </c>
      <c r="AF1119" s="80">
        <f>MIN(MAX(0,AE1119),AD1119)</f>
        <v>0</v>
      </c>
      <c r="AG1119" s="80">
        <f>MAX(0,AD1119-MAX(0,AE1119))</f>
        <v>0</v>
      </c>
      <c r="AH1119" s="80">
        <f>IF(ISNUMBER(B1119),IF(AND(INDEX(CFG_WDAYS,WEEKDAY(INT(B1119),2))="Sí",IF(D1119="proMX",COUNTIFS(FER_F,INT(B1119),FER_NLP,"Sí"),COUNTIFS(FER_F,INT(B1119),FER_NLM,"Sí"))=0),1,0),0)</f>
        <v>0</v>
      </c>
      <c r="AI1119" s="80">
        <f>IF(AC1119=1,IF(AND(INDEX(CFG_WDAYS,WEEKDAY(INT(B1119)+1,2))="Sí",IF(D1119="proMX",COUNTIFS(FER_F,INT(B1119)+1,FER_NLP,"Sí"),COUNTIFS(FER_F,INT(B1119)+1,FER_NLM,"Sí"))=0),1,0),0)</f>
        <v>0</v>
      </c>
      <c r="AJ1119" s="80">
        <f>IF(AC1119=1,1440-Z1119,AD1119)</f>
        <v>0</v>
      </c>
      <c r="AK1119" s="80">
        <f>IF(AND(AB1119=1,AH1119=1),MAX(0,MIN(IF(AC1119=1,1440,AA1119),CFG_WEM)-MAX(Z1119,CFG_WSM)),0)</f>
        <v>0</v>
      </c>
      <c r="AL1119" s="80">
        <f>IF(AND(AC1119=1,AI1119=1),MAX(0,MIN(AA1119,CFG_WEM)-CFG_WSM),0)</f>
        <v>0</v>
      </c>
      <c r="AM1119" s="80">
        <f>AK1119+AL1119</f>
        <v>0</v>
      </c>
      <c r="AN1119" s="80">
        <f>IF(CFG_BRK="Proporcional",IF(AD1119=0,0,AF1119*AM1119/AD1119),IF(CFG_BRK="Extras primero",MIN(AM1119,MAX(0,AF1119-(AD1119-AM1119))),MIN(AF1119,AM1119)))</f>
        <v>0</v>
      </c>
      <c r="AO1119" s="80">
        <f>AF1119-AN1119</f>
        <v>0</v>
      </c>
      <c r="AP1119" s="80">
        <f>AM1119-AN1119</f>
        <v>0</v>
      </c>
      <c r="AQ1119" s="80">
        <f>AD1119-AM1119-AO1119</f>
        <v>0</v>
      </c>
      <c r="AR1119" s="80">
        <f>IF(AM1119=0,0,AK1119-AN1119*AK1119/AM1119)</f>
        <v>0</v>
      </c>
      <c r="AS1119" s="80">
        <f>IF(AD1119-AM1119=0,0,(AJ1119-AK1119)-AO1119*(AJ1119-AK1119)/(AD1119-AM1119))</f>
        <v>0</v>
      </c>
      <c r="AT1119" s="80" t="str">
        <f>IF(AC1119=1,INT(B1119)+1,"")</f>
        <v/>
      </c>
      <c r="AU1119" s="80">
        <f>IF(AND(D1119="proMX",R1119="Cancelled"),0,1)</f>
        <v>1</v>
      </c>
      <c r="AV1119" s="80">
        <f>IF(AND(AB1119=1,AU1119=1),IF(COUNTIFS($D$5:D1118,D1119,$B$5:B1118,B1119,$Z$5:Z1118,Z1119,$AA$5:AA1118,AA1119,$F$5:F1118,F1119&amp;"",$AU$5:AU1118,1)&gt;0,1,0),0)</f>
        <v>0</v>
      </c>
      <c r="AW1119" s="80" t="str">
        <f>IF(AB1119=1,INT(B1119)*1440+Z1119,"")</f>
        <v/>
      </c>
      <c r="AX1119" s="80" t="str">
        <f>IF(AB1119=1,AW1119+AD1119,"")</f>
        <v/>
      </c>
      <c r="AY1119" s="80">
        <f>IF(AND(AB1119=1,AV1119=0,AU1119=1),1,0)</f>
        <v>0</v>
      </c>
      <c r="AZ1119" s="80">
        <f>IF(AY1119=1,COUNTIFS(R_Emp,D1119,R_SAbs,"&lt;"&amp;AX1119,R_EAbs,"&gt;"&amp;AW1119,R_OKey,1)-1,0)</f>
        <v>0</v>
      </c>
      <c r="BA1119" s="80">
        <f>IF(AY1119=1,COUNTIFS(R_Emp,"&lt;&gt;"&amp;D1119,R_SAbs,"&lt;"&amp;AX1119,R_EAbs,"&gt;"&amp;AW1119,R_OKey,1),0)</f>
        <v>0</v>
      </c>
      <c r="BB1119" s="80">
        <f>IF(AND(AB1119=1,D1119="proMX"),IF(AND(MOD(Z1119,CFG_BLK)=0,MOD(AA1119,CFG_BLK)=0,MOD(AG1119,CFG_BLK)=0,AG1119&gt;0),1,0),1)</f>
        <v>1</v>
      </c>
      <c r="BC1119" s="80" t="str">
        <f>IF(Y1119=0,"",IF(NOT(ISNUMBER(B1119)),"Falta fecha o fecha inválida",IF(D1119="","Falta empresa",IF(AND(D1119&lt;&gt;"Malcolm",D1119&lt;&gt;"proMX"),"Empresa inválida",IF(OR(INT(B1119)&lt;CFG_PSTART,INT(B1119)&gt;CFG_PEND),"Fecha fuera del período",IF(OR(NOT(ISNUMBER(Z1119)),NOT(ISNUMBER(AA1119))),"Falta hora inicio/fin o formato inválido",IF(AB1119=0,"Hora inicio = hora fin",IF(AE1119&lt;0,"Descanso inválido",IF(AE1119&gt;=AD1119,"Descanso ≥ duración",IF(AV1119=1,"Registro duplicado",IF(AZ1119&gt;0,"Se superpone con otro registro "&amp;D1119,IF(BB1119=0,"inicio, fin y duración neta deben ser múltiplos de "&amp;CFG_BLK&amp;" min",""))))))))))))</f>
        <v/>
      </c>
      <c r="BD1119" s="80">
        <f>IF(AND(Y1119=1,BC1119=""),1,0)</f>
        <v>0</v>
      </c>
      <c r="BE1119" s="80">
        <f>IF(AND(BD1119=1,AU1119=1),1,0)</f>
        <v>0</v>
      </c>
      <c r="BF1119" s="80" t="str">
        <f>IF(AND(D1119="proMX",BD1119=1),IF(R1119="","Draft",R1119),"")</f>
        <v/>
      </c>
      <c r="BG1119" s="80">
        <f>IF(BD1119=1,ROUND(AG1119/60,6),0)</f>
        <v>0</v>
      </c>
      <c r="BH1119" s="80">
        <f>IF(BE1119=1,ROUND(AG1119/60,6),0)</f>
        <v>0</v>
      </c>
      <c r="BI1119" s="80">
        <f>IF(BE1119=1,ROUND(AP1119/60,6),0)</f>
        <v>0</v>
      </c>
      <c r="BJ1119" s="80">
        <f>IF(BE1119=1,ROUND(AQ1119/60,6),0)</f>
        <v>0</v>
      </c>
      <c r="BK1119" s="80">
        <f>IF(BE1119=1,ROUND((AR1119+AS1119)/60,6),0)</f>
        <v>0</v>
      </c>
      <c r="BL1119" s="80">
        <f>ROUND(BH1119-BK1119,6)</f>
        <v>0</v>
      </c>
      <c r="BM1119" s="80">
        <f>IF(BE1119=1,ROUND(AR1119/60,6),0)</f>
        <v>0</v>
      </c>
      <c r="BN1119" s="80">
        <f>ROUND(BI1119-BM1119,6)</f>
        <v>0</v>
      </c>
      <c r="BO1119" s="80">
        <f>IF(BE1119=1,ROUND(AS1119/60,6),0)</f>
        <v>0</v>
      </c>
      <c r="BP1119" s="80">
        <f>ROUND(BJ1119-BO1119,6)</f>
        <v>0</v>
      </c>
      <c r="BQ1119" s="80">
        <f>IF(BE1119=1,AW1119,0)</f>
        <v>0</v>
      </c>
      <c r="BR1119" s="80">
        <f>IF(BE1119=1,AX1119,0)</f>
        <v>0</v>
      </c>
      <c r="BS1119" s="80">
        <f>IF(AND(BE1119=1,D1119="Malcolm",BA1119&gt;0),MIN(BH1119,SUMPRODUCT((R_Emp="proMX")*(R_EN&gt;0)*((R_EN-(R_EN&gt;BR1119)*(R_EN-BR1119))&gt;(R_SN+(R_SN&lt;BQ1119)*(BQ1119-R_SN)))*((R_EN-(R_EN&gt;BR1119)*(R_EN-BR1119))-(R_SN+(R_SN&lt;BQ1119)*(BQ1119-R_SN))))/60),0)</f>
        <v>0</v>
      </c>
      <c r="BT1119" s="80">
        <f>IF(AND(BE1119=1,D1119="proMX"),ROUND(BI1119*CFG_RATE+BJ1119*CFG_OTRATE,6),0)</f>
        <v>0</v>
      </c>
      <c r="BU1119" s="80">
        <f>IF(AND(BD1119=1,D1119="proMX"),ROUND(AG1119/CFG_BLK,6),0)</f>
        <v>0</v>
      </c>
      <c r="BV1119" s="80" t="str">
        <f>IF(BF1119="Approved",IF(ISNUMBER(T1119),INT(T1119),INT(B1119)),"")</f>
        <v/>
      </c>
      <c r="BW1119" s="80">
        <f>IF(ISNUMBER(B1119),IF(DB_MON="Todos",1,IF(AND(INT(B1119)&gt;=DB_MS,INT(B1119)&lt;=DB_ME),1,0)),0)</f>
        <v>0</v>
      </c>
      <c r="BX1119" s="80">
        <f>IF(DB_PROJ="Todos",1,IF(E1119&amp;""=DB_PROJ&amp;"",1,0))</f>
        <v>1</v>
      </c>
      <c r="BY1119" s="80">
        <f>BW1119*BX1119</f>
        <v>0</v>
      </c>
      <c r="BZ1119" s="80" t="str">
        <f>IF(Y1119=1,F1119&amp;IF(AND(F1119&amp;""&lt;&gt;"",E1119&amp;""&lt;&gt;"")," · ","")&amp;E1119,"")</f>
        <v/>
      </c>
      <c r="CA1119" s="80" t="str">
        <f>IF(AND(BD1119=1,E1119&amp;""&lt;&gt;""),IF(COUNTIFS($E$5:E1118,E1119,$BD$5:BD1118,1)=0,MAX($CA$5:CA1118)+1,""),"")</f>
        <v/>
      </c>
      <c r="CB1119" s="80" t="str">
        <f>IF(AND(BE1119=1,D1119="Malcolm",E1119&amp;""&lt;&gt;""),IF(COUNTIFS($D$5:D1118,"Malcolm",$E$5:E1118,E1119,$BE$5:BE1118,1)=0,MAX($CB$5:CB1118)+1,""),"")</f>
        <v/>
      </c>
      <c r="CC1119" s="80" t="str">
        <f>IF(AND(BD1119=1,D1119="proMX",E1119&amp;""&lt;&gt;""),IF(COUNTIFS($D$5:D1118,"proMX",$E$5:E1118,E1119,$BD$5:BD1118,1)=0,MAX($CC$5:CC1118)+1,""),"")</f>
        <v/>
      </c>
      <c r="CD1119" s="80" t="str">
        <f>IF(AND(BE1119=1,D1119="Malcolm",F1119&amp;""&lt;&gt;""),IF(COUNTIFS($D$5:D1118,"Malcolm",$F$5:F1118,F1119,$BE$5:BE1118,1)=0,MAX($CD$5:CD1118)+1,""),"")</f>
        <v/>
      </c>
      <c r="CE1119" s="80" t="str">
        <f>IF(AND(BD1119=1,D1119="proMX",F1119&amp;""&lt;&gt;""),IF(COUNTIFS($D$5:D1118,"proMX",$F$5:F1118,F1119,$BD$5:BD1118,1)=0,MAX($CE$5:CE1118)+1,""),"")</f>
        <v/>
      </c>
      <c r="CF1119" s="80" t="str">
        <f>IF(AND(D1119="proMX",BD1119=1),IF(OR(BF1119="Draft",BF1119="Submitted",BF1119="Returned",BF1119="Recall Requested"),MAX($CF$5:CF1118)+1,""),"")</f>
        <v/>
      </c>
      <c r="CG1119" s="80">
        <f>IF(BD1119=0,0,IF(D1119="Malcolm",1,MATCH(BF1119,{"Draft","Submitted","Approved","Returned","Recall Requested","Cancelled"},0)+1))</f>
        <v>0</v>
      </c>
      <c r="CH1119" s="80">
        <f>IF(AND(BF1119="Submitted",ISNUMBER(V1119)),IF(V1119&gt;CFG_MAXD,1,0),0)</f>
        <v>0</v>
      </c>
    </row>
    <row r="1120">
      <c r="A1120" s="71" t="str">
        <f>IF(Y1120=1,ROW()-5,"")</f>
        <v/>
      </c>
      <c r="B1120" s="72" t="n"/>
      <c r="C1120" s="71" t="str">
        <f>IF(ISNUMBER(B1120),CHOOSE(WEEKDAY(B1120,2),"Lun","Mar","Mié","Jue","Vie","Sáb","Dom"),"")</f>
        <v/>
      </c>
      <c r="D1120" s="73" t="n"/>
      <c r="E1120" s="74" t="n"/>
      <c r="F1120" s="74" t="n"/>
      <c r="G1120" s="74" t="n"/>
      <c r="H1120" s="75" t="n"/>
      <c r="I1120" s="75" t="n"/>
      <c r="J1120" s="76" t="n"/>
      <c r="K1120" s="77" t="str">
        <f>IF(AB1120=1,ROUND(AG1120/60,4),"")</f>
        <v/>
      </c>
      <c r="L1120" s="77" t="str">
        <f>IF(BD1120=1,ROUND(AP1120/60,4),"")</f>
        <v/>
      </c>
      <c r="M1120" s="77" t="str">
        <f>IF(BD1120=1,ROUND(AQ1120/60,4),"")</f>
        <v/>
      </c>
      <c r="N1120" s="71" t="str">
        <f>IF(AND(D1120="proMX",AB1120=1),ROUND(AG1120/CFG_BLK,2),"")</f>
        <v/>
      </c>
      <c r="O1120" s="77" t="str">
        <f>IF(D1120="proMX",IF(BD1120=1,ROUND(AG1120/60,4),0),"")</f>
        <v/>
      </c>
      <c r="P1120" s="78" t="str">
        <f>IF(Y1120=0,"",IF(BD1120=1,"OK",IF(D1120="proMX","Revisar bloques: ","Revisar: ")&amp;BC1120))</f>
        <v/>
      </c>
      <c r="Q1120" s="78" t="str">
        <f>IF(NOT(ISNUMBER(B1120)),"",IF(COUNTIFS(FER_F,INT(B1120))&gt;0,"Feriado"&amp;IF(AH1120=1," (laborable)"," (no laborable)"),IF(AH1120=1,"Laborable",IF(WEEKDAY(B1120,2)&gt;5,"Fin de semana","No laborable"))))</f>
        <v/>
      </c>
      <c r="R1120" s="73" t="n"/>
      <c r="S1120" s="72" t="n"/>
      <c r="T1120" s="72" t="n"/>
      <c r="U1120" s="74" t="n"/>
      <c r="V1120" s="79" t="str">
        <f>IF(AND(D1120="proMX",OR(R1120="Submitted",R1120="Recall Requested"),ISNUMBER(S1120)),CFG_TODAY-INT(S1120),"")</f>
        <v/>
      </c>
      <c r="W1120" s="78" t="str">
        <f>IF(BD1120=0,"",IF(BA1120&gt;0,"⚠ Se superpone con un registro de la otra empresa",IF(D1120="Malcolm",IF(COUNTA(R1120,S1120,T1120)&gt;0,"Estado/fechas proMX se ignoran en Malcolm",""),IF(BF1120="Cancelled","Cancelado: excluido de totales",IF(R1120="","Sin estado: se trata como Draft",IF(BF1120="Submitted",IF(ISNUMBER(V1120),IF(V1120&gt;CFG_MAXD,"⚠ "&amp;V1120&amp;" días en Submitted (máx. "&amp;CFG_MAXD&amp;")",""),"Falta fecha de envío"),IF(BF1120="Returned","⚠ Devuelto: corregir y reenviar",IF(BF1120="Recall Requested","Retirada solicitada: pendiente",IF(AND(BF1120="Approved",NOT(ISNUMBER(T1120))),"Falta fecha de aprobación",IF(AND(ISNUMBER(S1120),ISNUMBER(T1120),T1120&lt;S1120),"Aprobación anterior al envío","")))))))))</f>
        <v/>
      </c>
      <c r="Y1120" s="80">
        <f>IF(COUNTA(B1120,D1120,E1120,F1120,G1120,H1120,I1120,J1120,R1120,S1120,T1120)&gt;0,1,0)</f>
        <v>0</v>
      </c>
      <c r="Z1120" s="80" t="str">
        <f>IF(AND(ISNUMBER(H1120),H1120&gt;=0,H1120&lt;1),ROUND(H1120*1440,0),"")</f>
        <v/>
      </c>
      <c r="AA1120" s="80" t="str">
        <f>IF(AND(ISNUMBER(I1120),I1120&gt;=0,I1120&lt;1),ROUND(I1120*1440,0),"")</f>
        <v/>
      </c>
      <c r="AB1120" s="80">
        <f>IF(AND(ISNUMBER(B1120),D1120&lt;&gt;"",ISNUMBER(Z1120),ISNUMBER(AA1120)),IF(Z1120=AA1120,0,1),0)</f>
        <v>0</v>
      </c>
      <c r="AC1120" s="80">
        <f>IF(AB1120=1,IF(AA1120&lt;Z1120,1,0),0)</f>
        <v>0</v>
      </c>
      <c r="AD1120" s="80">
        <f>IF(AB1120=1,IF(AC1120=1,1440-Z1120+AA1120,AA1120-Z1120),0)</f>
        <v>0</v>
      </c>
      <c r="AE1120" s="80">
        <f>IF(J1120="",0,IF(ISNUMBER(J1120),J1120,-1))</f>
        <v>0</v>
      </c>
      <c r="AF1120" s="80">
        <f>MIN(MAX(0,AE1120),AD1120)</f>
        <v>0</v>
      </c>
      <c r="AG1120" s="80">
        <f>MAX(0,AD1120-MAX(0,AE1120))</f>
        <v>0</v>
      </c>
      <c r="AH1120" s="80">
        <f>IF(ISNUMBER(B1120),IF(AND(INDEX(CFG_WDAYS,WEEKDAY(INT(B1120),2))="Sí",IF(D1120="proMX",COUNTIFS(FER_F,INT(B1120),FER_NLP,"Sí"),COUNTIFS(FER_F,INT(B1120),FER_NLM,"Sí"))=0),1,0),0)</f>
        <v>0</v>
      </c>
      <c r="AI1120" s="80">
        <f>IF(AC1120=1,IF(AND(INDEX(CFG_WDAYS,WEEKDAY(INT(B1120)+1,2))="Sí",IF(D1120="proMX",COUNTIFS(FER_F,INT(B1120)+1,FER_NLP,"Sí"),COUNTIFS(FER_F,INT(B1120)+1,FER_NLM,"Sí"))=0),1,0),0)</f>
        <v>0</v>
      </c>
      <c r="AJ1120" s="80">
        <f>IF(AC1120=1,1440-Z1120,AD1120)</f>
        <v>0</v>
      </c>
      <c r="AK1120" s="80">
        <f>IF(AND(AB1120=1,AH1120=1),MAX(0,MIN(IF(AC1120=1,1440,AA1120),CFG_WEM)-MAX(Z1120,CFG_WSM)),0)</f>
        <v>0</v>
      </c>
      <c r="AL1120" s="80">
        <f>IF(AND(AC1120=1,AI1120=1),MAX(0,MIN(AA1120,CFG_WEM)-CFG_WSM),0)</f>
        <v>0</v>
      </c>
      <c r="AM1120" s="80">
        <f>AK1120+AL1120</f>
        <v>0</v>
      </c>
      <c r="AN1120" s="80">
        <f>IF(CFG_BRK="Proporcional",IF(AD1120=0,0,AF1120*AM1120/AD1120),IF(CFG_BRK="Extras primero",MIN(AM1120,MAX(0,AF1120-(AD1120-AM1120))),MIN(AF1120,AM1120)))</f>
        <v>0</v>
      </c>
      <c r="AO1120" s="80">
        <f>AF1120-AN1120</f>
        <v>0</v>
      </c>
      <c r="AP1120" s="80">
        <f>AM1120-AN1120</f>
        <v>0</v>
      </c>
      <c r="AQ1120" s="80">
        <f>AD1120-AM1120-AO1120</f>
        <v>0</v>
      </c>
      <c r="AR1120" s="80">
        <f>IF(AM1120=0,0,AK1120-AN1120*AK1120/AM1120)</f>
        <v>0</v>
      </c>
      <c r="AS1120" s="80">
        <f>IF(AD1120-AM1120=0,0,(AJ1120-AK1120)-AO1120*(AJ1120-AK1120)/(AD1120-AM1120))</f>
        <v>0</v>
      </c>
      <c r="AT1120" s="80" t="str">
        <f>IF(AC1120=1,INT(B1120)+1,"")</f>
        <v/>
      </c>
      <c r="AU1120" s="80">
        <f>IF(AND(D1120="proMX",R1120="Cancelled"),0,1)</f>
        <v>1</v>
      </c>
      <c r="AV1120" s="80">
        <f>IF(AND(AB1120=1,AU1120=1),IF(COUNTIFS($D$5:D1119,D1120,$B$5:B1119,B1120,$Z$5:Z1119,Z1120,$AA$5:AA1119,AA1120,$F$5:F1119,F1120&amp;"",$AU$5:AU1119,1)&gt;0,1,0),0)</f>
        <v>0</v>
      </c>
      <c r="AW1120" s="80" t="str">
        <f>IF(AB1120=1,INT(B1120)*1440+Z1120,"")</f>
        <v/>
      </c>
      <c r="AX1120" s="80" t="str">
        <f>IF(AB1120=1,AW1120+AD1120,"")</f>
        <v/>
      </c>
      <c r="AY1120" s="80">
        <f>IF(AND(AB1120=1,AV1120=0,AU1120=1),1,0)</f>
        <v>0</v>
      </c>
      <c r="AZ1120" s="80">
        <f>IF(AY1120=1,COUNTIFS(R_Emp,D1120,R_SAbs,"&lt;"&amp;AX1120,R_EAbs,"&gt;"&amp;AW1120,R_OKey,1)-1,0)</f>
        <v>0</v>
      </c>
      <c r="BA1120" s="80">
        <f>IF(AY1120=1,COUNTIFS(R_Emp,"&lt;&gt;"&amp;D1120,R_SAbs,"&lt;"&amp;AX1120,R_EAbs,"&gt;"&amp;AW1120,R_OKey,1),0)</f>
        <v>0</v>
      </c>
      <c r="BB1120" s="80">
        <f>IF(AND(AB1120=1,D1120="proMX"),IF(AND(MOD(Z1120,CFG_BLK)=0,MOD(AA1120,CFG_BLK)=0,MOD(AG1120,CFG_BLK)=0,AG1120&gt;0),1,0),1)</f>
        <v>1</v>
      </c>
      <c r="BC1120" s="80" t="str">
        <f>IF(Y1120=0,"",IF(NOT(ISNUMBER(B1120)),"Falta fecha o fecha inválida",IF(D1120="","Falta empresa",IF(AND(D1120&lt;&gt;"Malcolm",D1120&lt;&gt;"proMX"),"Empresa inválida",IF(OR(INT(B1120)&lt;CFG_PSTART,INT(B1120)&gt;CFG_PEND),"Fecha fuera del período",IF(OR(NOT(ISNUMBER(Z1120)),NOT(ISNUMBER(AA1120))),"Falta hora inicio/fin o formato inválido",IF(AB1120=0,"Hora inicio = hora fin",IF(AE1120&lt;0,"Descanso inválido",IF(AE1120&gt;=AD1120,"Descanso ≥ duración",IF(AV1120=1,"Registro duplicado",IF(AZ1120&gt;0,"Se superpone con otro registro "&amp;D1120,IF(BB1120=0,"inicio, fin y duración neta deben ser múltiplos de "&amp;CFG_BLK&amp;" min",""))))))))))))</f>
        <v/>
      </c>
      <c r="BD1120" s="80">
        <f>IF(AND(Y1120=1,BC1120=""),1,0)</f>
        <v>0</v>
      </c>
      <c r="BE1120" s="80">
        <f>IF(AND(BD1120=1,AU1120=1),1,0)</f>
        <v>0</v>
      </c>
      <c r="BF1120" s="80" t="str">
        <f>IF(AND(D1120="proMX",BD1120=1),IF(R1120="","Draft",R1120),"")</f>
        <v/>
      </c>
      <c r="BG1120" s="80">
        <f>IF(BD1120=1,ROUND(AG1120/60,6),0)</f>
        <v>0</v>
      </c>
      <c r="BH1120" s="80">
        <f>IF(BE1120=1,ROUND(AG1120/60,6),0)</f>
        <v>0</v>
      </c>
      <c r="BI1120" s="80">
        <f>IF(BE1120=1,ROUND(AP1120/60,6),0)</f>
        <v>0</v>
      </c>
      <c r="BJ1120" s="80">
        <f>IF(BE1120=1,ROUND(AQ1120/60,6),0)</f>
        <v>0</v>
      </c>
      <c r="BK1120" s="80">
        <f>IF(BE1120=1,ROUND((AR1120+AS1120)/60,6),0)</f>
        <v>0</v>
      </c>
      <c r="BL1120" s="80">
        <f>ROUND(BH1120-BK1120,6)</f>
        <v>0</v>
      </c>
      <c r="BM1120" s="80">
        <f>IF(BE1120=1,ROUND(AR1120/60,6),0)</f>
        <v>0</v>
      </c>
      <c r="BN1120" s="80">
        <f>ROUND(BI1120-BM1120,6)</f>
        <v>0</v>
      </c>
      <c r="BO1120" s="80">
        <f>IF(BE1120=1,ROUND(AS1120/60,6),0)</f>
        <v>0</v>
      </c>
      <c r="BP1120" s="80">
        <f>ROUND(BJ1120-BO1120,6)</f>
        <v>0</v>
      </c>
      <c r="BQ1120" s="80">
        <f>IF(BE1120=1,AW1120,0)</f>
        <v>0</v>
      </c>
      <c r="BR1120" s="80">
        <f>IF(BE1120=1,AX1120,0)</f>
        <v>0</v>
      </c>
      <c r="BS1120" s="80">
        <f>IF(AND(BE1120=1,D1120="Malcolm",BA1120&gt;0),MIN(BH1120,SUMPRODUCT((R_Emp="proMX")*(R_EN&gt;0)*((R_EN-(R_EN&gt;BR1120)*(R_EN-BR1120))&gt;(R_SN+(R_SN&lt;BQ1120)*(BQ1120-R_SN)))*((R_EN-(R_EN&gt;BR1120)*(R_EN-BR1120))-(R_SN+(R_SN&lt;BQ1120)*(BQ1120-R_SN))))/60),0)</f>
        <v>0</v>
      </c>
      <c r="BT1120" s="80">
        <f>IF(AND(BE1120=1,D1120="proMX"),ROUND(BI1120*CFG_RATE+BJ1120*CFG_OTRATE,6),0)</f>
        <v>0</v>
      </c>
      <c r="BU1120" s="80">
        <f>IF(AND(BD1120=1,D1120="proMX"),ROUND(AG1120/CFG_BLK,6),0)</f>
        <v>0</v>
      </c>
      <c r="BV1120" s="80" t="str">
        <f>IF(BF1120="Approved",IF(ISNUMBER(T1120),INT(T1120),INT(B1120)),"")</f>
        <v/>
      </c>
      <c r="BW1120" s="80">
        <f>IF(ISNUMBER(B1120),IF(DB_MON="Todos",1,IF(AND(INT(B1120)&gt;=DB_MS,INT(B1120)&lt;=DB_ME),1,0)),0)</f>
        <v>0</v>
      </c>
      <c r="BX1120" s="80">
        <f>IF(DB_PROJ="Todos",1,IF(E1120&amp;""=DB_PROJ&amp;"",1,0))</f>
        <v>1</v>
      </c>
      <c r="BY1120" s="80">
        <f>BW1120*BX1120</f>
        <v>0</v>
      </c>
      <c r="BZ1120" s="80" t="str">
        <f>IF(Y1120=1,F1120&amp;IF(AND(F1120&amp;""&lt;&gt;"",E1120&amp;""&lt;&gt;"")," · ","")&amp;E1120,"")</f>
        <v/>
      </c>
      <c r="CA1120" s="80" t="str">
        <f>IF(AND(BD1120=1,E1120&amp;""&lt;&gt;""),IF(COUNTIFS($E$5:E1119,E1120,$BD$5:BD1119,1)=0,MAX($CA$5:CA1119)+1,""),"")</f>
        <v/>
      </c>
      <c r="CB1120" s="80" t="str">
        <f>IF(AND(BE1120=1,D1120="Malcolm",E1120&amp;""&lt;&gt;""),IF(COUNTIFS($D$5:D1119,"Malcolm",$E$5:E1119,E1120,$BE$5:BE1119,1)=0,MAX($CB$5:CB1119)+1,""),"")</f>
        <v/>
      </c>
      <c r="CC1120" s="80" t="str">
        <f>IF(AND(BD1120=1,D1120="proMX",E1120&amp;""&lt;&gt;""),IF(COUNTIFS($D$5:D1119,"proMX",$E$5:E1119,E1120,$BD$5:BD1119,1)=0,MAX($CC$5:CC1119)+1,""),"")</f>
        <v/>
      </c>
      <c r="CD1120" s="80" t="str">
        <f>IF(AND(BE1120=1,D1120="Malcolm",F1120&amp;""&lt;&gt;""),IF(COUNTIFS($D$5:D1119,"Malcolm",$F$5:F1119,F1120,$BE$5:BE1119,1)=0,MAX($CD$5:CD1119)+1,""),"")</f>
        <v/>
      </c>
      <c r="CE1120" s="80" t="str">
        <f>IF(AND(BD1120=1,D1120="proMX",F1120&amp;""&lt;&gt;""),IF(COUNTIFS($D$5:D1119,"proMX",$F$5:F1119,F1120,$BD$5:BD1119,1)=0,MAX($CE$5:CE1119)+1,""),"")</f>
        <v/>
      </c>
      <c r="CF1120" s="80" t="str">
        <f>IF(AND(D1120="proMX",BD1120=1),IF(OR(BF1120="Draft",BF1120="Submitted",BF1120="Returned",BF1120="Recall Requested"),MAX($CF$5:CF1119)+1,""),"")</f>
        <v/>
      </c>
      <c r="CG1120" s="80">
        <f>IF(BD1120=0,0,IF(D1120="Malcolm",1,MATCH(BF1120,{"Draft","Submitted","Approved","Returned","Recall Requested","Cancelled"},0)+1))</f>
        <v>0</v>
      </c>
      <c r="CH1120" s="80">
        <f>IF(AND(BF1120="Submitted",ISNUMBER(V1120)),IF(V1120&gt;CFG_MAXD,1,0),0)</f>
        <v>0</v>
      </c>
    </row>
    <row r="1121">
      <c r="A1121" s="71" t="str">
        <f>IF(Y1121=1,ROW()-5,"")</f>
        <v/>
      </c>
      <c r="B1121" s="72" t="n"/>
      <c r="C1121" s="71" t="str">
        <f>IF(ISNUMBER(B1121),CHOOSE(WEEKDAY(B1121,2),"Lun","Mar","Mié","Jue","Vie","Sáb","Dom"),"")</f>
        <v/>
      </c>
      <c r="D1121" s="73" t="n"/>
      <c r="E1121" s="74" t="n"/>
      <c r="F1121" s="74" t="n"/>
      <c r="G1121" s="74" t="n"/>
      <c r="H1121" s="75" t="n"/>
      <c r="I1121" s="75" t="n"/>
      <c r="J1121" s="76" t="n"/>
      <c r="K1121" s="77" t="str">
        <f>IF(AB1121=1,ROUND(AG1121/60,4),"")</f>
        <v/>
      </c>
      <c r="L1121" s="77" t="str">
        <f>IF(BD1121=1,ROUND(AP1121/60,4),"")</f>
        <v/>
      </c>
      <c r="M1121" s="77" t="str">
        <f>IF(BD1121=1,ROUND(AQ1121/60,4),"")</f>
        <v/>
      </c>
      <c r="N1121" s="71" t="str">
        <f>IF(AND(D1121="proMX",AB1121=1),ROUND(AG1121/CFG_BLK,2),"")</f>
        <v/>
      </c>
      <c r="O1121" s="77" t="str">
        <f>IF(D1121="proMX",IF(BD1121=1,ROUND(AG1121/60,4),0),"")</f>
        <v/>
      </c>
      <c r="P1121" s="78" t="str">
        <f>IF(Y1121=0,"",IF(BD1121=1,"OK",IF(D1121="proMX","Revisar bloques: ","Revisar: ")&amp;BC1121))</f>
        <v/>
      </c>
      <c r="Q1121" s="78" t="str">
        <f>IF(NOT(ISNUMBER(B1121)),"",IF(COUNTIFS(FER_F,INT(B1121))&gt;0,"Feriado"&amp;IF(AH1121=1," (laborable)"," (no laborable)"),IF(AH1121=1,"Laborable",IF(WEEKDAY(B1121,2)&gt;5,"Fin de semana","No laborable"))))</f>
        <v/>
      </c>
      <c r="R1121" s="73" t="n"/>
      <c r="S1121" s="72" t="n"/>
      <c r="T1121" s="72" t="n"/>
      <c r="U1121" s="74" t="n"/>
      <c r="V1121" s="79" t="str">
        <f>IF(AND(D1121="proMX",OR(R1121="Submitted",R1121="Recall Requested"),ISNUMBER(S1121)),CFG_TODAY-INT(S1121),"")</f>
        <v/>
      </c>
      <c r="W1121" s="78" t="str">
        <f>IF(BD1121=0,"",IF(BA1121&gt;0,"⚠ Se superpone con un registro de la otra empresa",IF(D1121="Malcolm",IF(COUNTA(R1121,S1121,T1121)&gt;0,"Estado/fechas proMX se ignoran en Malcolm",""),IF(BF1121="Cancelled","Cancelado: excluido de totales",IF(R1121="","Sin estado: se trata como Draft",IF(BF1121="Submitted",IF(ISNUMBER(V1121),IF(V1121&gt;CFG_MAXD,"⚠ "&amp;V1121&amp;" días en Submitted (máx. "&amp;CFG_MAXD&amp;")",""),"Falta fecha de envío"),IF(BF1121="Returned","⚠ Devuelto: corregir y reenviar",IF(BF1121="Recall Requested","Retirada solicitada: pendiente",IF(AND(BF1121="Approved",NOT(ISNUMBER(T1121))),"Falta fecha de aprobación",IF(AND(ISNUMBER(S1121),ISNUMBER(T1121),T1121&lt;S1121),"Aprobación anterior al envío","")))))))))</f>
        <v/>
      </c>
      <c r="Y1121" s="80">
        <f>IF(COUNTA(B1121,D1121,E1121,F1121,G1121,H1121,I1121,J1121,R1121,S1121,T1121)&gt;0,1,0)</f>
        <v>0</v>
      </c>
      <c r="Z1121" s="80" t="str">
        <f>IF(AND(ISNUMBER(H1121),H1121&gt;=0,H1121&lt;1),ROUND(H1121*1440,0),"")</f>
        <v/>
      </c>
      <c r="AA1121" s="80" t="str">
        <f>IF(AND(ISNUMBER(I1121),I1121&gt;=0,I1121&lt;1),ROUND(I1121*1440,0),"")</f>
        <v/>
      </c>
      <c r="AB1121" s="80">
        <f>IF(AND(ISNUMBER(B1121),D1121&lt;&gt;"",ISNUMBER(Z1121),ISNUMBER(AA1121)),IF(Z1121=AA1121,0,1),0)</f>
        <v>0</v>
      </c>
      <c r="AC1121" s="80">
        <f>IF(AB1121=1,IF(AA1121&lt;Z1121,1,0),0)</f>
        <v>0</v>
      </c>
      <c r="AD1121" s="80">
        <f>IF(AB1121=1,IF(AC1121=1,1440-Z1121+AA1121,AA1121-Z1121),0)</f>
        <v>0</v>
      </c>
      <c r="AE1121" s="80">
        <f>IF(J1121="",0,IF(ISNUMBER(J1121),J1121,-1))</f>
        <v>0</v>
      </c>
      <c r="AF1121" s="80">
        <f>MIN(MAX(0,AE1121),AD1121)</f>
        <v>0</v>
      </c>
      <c r="AG1121" s="80">
        <f>MAX(0,AD1121-MAX(0,AE1121))</f>
        <v>0</v>
      </c>
      <c r="AH1121" s="80">
        <f>IF(ISNUMBER(B1121),IF(AND(INDEX(CFG_WDAYS,WEEKDAY(INT(B1121),2))="Sí",IF(D1121="proMX",COUNTIFS(FER_F,INT(B1121),FER_NLP,"Sí"),COUNTIFS(FER_F,INT(B1121),FER_NLM,"Sí"))=0),1,0),0)</f>
        <v>0</v>
      </c>
      <c r="AI1121" s="80">
        <f>IF(AC1121=1,IF(AND(INDEX(CFG_WDAYS,WEEKDAY(INT(B1121)+1,2))="Sí",IF(D1121="proMX",COUNTIFS(FER_F,INT(B1121)+1,FER_NLP,"Sí"),COUNTIFS(FER_F,INT(B1121)+1,FER_NLM,"Sí"))=0),1,0),0)</f>
        <v>0</v>
      </c>
      <c r="AJ1121" s="80">
        <f>IF(AC1121=1,1440-Z1121,AD1121)</f>
        <v>0</v>
      </c>
      <c r="AK1121" s="80">
        <f>IF(AND(AB1121=1,AH1121=1),MAX(0,MIN(IF(AC1121=1,1440,AA1121),CFG_WEM)-MAX(Z1121,CFG_WSM)),0)</f>
        <v>0</v>
      </c>
      <c r="AL1121" s="80">
        <f>IF(AND(AC1121=1,AI1121=1),MAX(0,MIN(AA1121,CFG_WEM)-CFG_WSM),0)</f>
        <v>0</v>
      </c>
      <c r="AM1121" s="80">
        <f>AK1121+AL1121</f>
        <v>0</v>
      </c>
      <c r="AN1121" s="80">
        <f>IF(CFG_BRK="Proporcional",IF(AD1121=0,0,AF1121*AM1121/AD1121),IF(CFG_BRK="Extras primero",MIN(AM1121,MAX(0,AF1121-(AD1121-AM1121))),MIN(AF1121,AM1121)))</f>
        <v>0</v>
      </c>
      <c r="AO1121" s="80">
        <f>AF1121-AN1121</f>
        <v>0</v>
      </c>
      <c r="AP1121" s="80">
        <f>AM1121-AN1121</f>
        <v>0</v>
      </c>
      <c r="AQ1121" s="80">
        <f>AD1121-AM1121-AO1121</f>
        <v>0</v>
      </c>
      <c r="AR1121" s="80">
        <f>IF(AM1121=0,0,AK1121-AN1121*AK1121/AM1121)</f>
        <v>0</v>
      </c>
      <c r="AS1121" s="80">
        <f>IF(AD1121-AM1121=0,0,(AJ1121-AK1121)-AO1121*(AJ1121-AK1121)/(AD1121-AM1121))</f>
        <v>0</v>
      </c>
      <c r="AT1121" s="80" t="str">
        <f>IF(AC1121=1,INT(B1121)+1,"")</f>
        <v/>
      </c>
      <c r="AU1121" s="80">
        <f>IF(AND(D1121="proMX",R1121="Cancelled"),0,1)</f>
        <v>1</v>
      </c>
      <c r="AV1121" s="80">
        <f>IF(AND(AB1121=1,AU1121=1),IF(COUNTIFS($D$5:D1120,D1121,$B$5:B1120,B1121,$Z$5:Z1120,Z1121,$AA$5:AA1120,AA1121,$F$5:F1120,F1121&amp;"",$AU$5:AU1120,1)&gt;0,1,0),0)</f>
        <v>0</v>
      </c>
      <c r="AW1121" s="80" t="str">
        <f>IF(AB1121=1,INT(B1121)*1440+Z1121,"")</f>
        <v/>
      </c>
      <c r="AX1121" s="80" t="str">
        <f>IF(AB1121=1,AW1121+AD1121,"")</f>
        <v/>
      </c>
      <c r="AY1121" s="80">
        <f>IF(AND(AB1121=1,AV1121=0,AU1121=1),1,0)</f>
        <v>0</v>
      </c>
      <c r="AZ1121" s="80">
        <f>IF(AY1121=1,COUNTIFS(R_Emp,D1121,R_SAbs,"&lt;"&amp;AX1121,R_EAbs,"&gt;"&amp;AW1121,R_OKey,1)-1,0)</f>
        <v>0</v>
      </c>
      <c r="BA1121" s="80">
        <f>IF(AY1121=1,COUNTIFS(R_Emp,"&lt;&gt;"&amp;D1121,R_SAbs,"&lt;"&amp;AX1121,R_EAbs,"&gt;"&amp;AW1121,R_OKey,1),0)</f>
        <v>0</v>
      </c>
      <c r="BB1121" s="80">
        <f>IF(AND(AB1121=1,D1121="proMX"),IF(AND(MOD(Z1121,CFG_BLK)=0,MOD(AA1121,CFG_BLK)=0,MOD(AG1121,CFG_BLK)=0,AG1121&gt;0),1,0),1)</f>
        <v>1</v>
      </c>
      <c r="BC1121" s="80" t="str">
        <f>IF(Y1121=0,"",IF(NOT(ISNUMBER(B1121)),"Falta fecha o fecha inválida",IF(D1121="","Falta empresa",IF(AND(D1121&lt;&gt;"Malcolm",D1121&lt;&gt;"proMX"),"Empresa inválida",IF(OR(INT(B1121)&lt;CFG_PSTART,INT(B1121)&gt;CFG_PEND),"Fecha fuera del período",IF(OR(NOT(ISNUMBER(Z1121)),NOT(ISNUMBER(AA1121))),"Falta hora inicio/fin o formato inválido",IF(AB1121=0,"Hora inicio = hora fin",IF(AE1121&lt;0,"Descanso inválido",IF(AE1121&gt;=AD1121,"Descanso ≥ duración",IF(AV1121=1,"Registro duplicado",IF(AZ1121&gt;0,"Se superpone con otro registro "&amp;D1121,IF(BB1121=0,"inicio, fin y duración neta deben ser múltiplos de "&amp;CFG_BLK&amp;" min",""))))))))))))</f>
        <v/>
      </c>
      <c r="BD1121" s="80">
        <f>IF(AND(Y1121=1,BC1121=""),1,0)</f>
        <v>0</v>
      </c>
      <c r="BE1121" s="80">
        <f>IF(AND(BD1121=1,AU1121=1),1,0)</f>
        <v>0</v>
      </c>
      <c r="BF1121" s="80" t="str">
        <f>IF(AND(D1121="proMX",BD1121=1),IF(R1121="","Draft",R1121),"")</f>
        <v/>
      </c>
      <c r="BG1121" s="80">
        <f>IF(BD1121=1,ROUND(AG1121/60,6),0)</f>
        <v>0</v>
      </c>
      <c r="BH1121" s="80">
        <f>IF(BE1121=1,ROUND(AG1121/60,6),0)</f>
        <v>0</v>
      </c>
      <c r="BI1121" s="80">
        <f>IF(BE1121=1,ROUND(AP1121/60,6),0)</f>
        <v>0</v>
      </c>
      <c r="BJ1121" s="80">
        <f>IF(BE1121=1,ROUND(AQ1121/60,6),0)</f>
        <v>0</v>
      </c>
      <c r="BK1121" s="80">
        <f>IF(BE1121=1,ROUND((AR1121+AS1121)/60,6),0)</f>
        <v>0</v>
      </c>
      <c r="BL1121" s="80">
        <f>ROUND(BH1121-BK1121,6)</f>
        <v>0</v>
      </c>
      <c r="BM1121" s="80">
        <f>IF(BE1121=1,ROUND(AR1121/60,6),0)</f>
        <v>0</v>
      </c>
      <c r="BN1121" s="80">
        <f>ROUND(BI1121-BM1121,6)</f>
        <v>0</v>
      </c>
      <c r="BO1121" s="80">
        <f>IF(BE1121=1,ROUND(AS1121/60,6),0)</f>
        <v>0</v>
      </c>
      <c r="BP1121" s="80">
        <f>ROUND(BJ1121-BO1121,6)</f>
        <v>0</v>
      </c>
      <c r="BQ1121" s="80">
        <f>IF(BE1121=1,AW1121,0)</f>
        <v>0</v>
      </c>
      <c r="BR1121" s="80">
        <f>IF(BE1121=1,AX1121,0)</f>
        <v>0</v>
      </c>
      <c r="BS1121" s="80">
        <f>IF(AND(BE1121=1,D1121="Malcolm",BA1121&gt;0),MIN(BH1121,SUMPRODUCT((R_Emp="proMX")*(R_EN&gt;0)*((R_EN-(R_EN&gt;BR1121)*(R_EN-BR1121))&gt;(R_SN+(R_SN&lt;BQ1121)*(BQ1121-R_SN)))*((R_EN-(R_EN&gt;BR1121)*(R_EN-BR1121))-(R_SN+(R_SN&lt;BQ1121)*(BQ1121-R_SN))))/60),0)</f>
        <v>0</v>
      </c>
      <c r="BT1121" s="80">
        <f>IF(AND(BE1121=1,D1121="proMX"),ROUND(BI1121*CFG_RATE+BJ1121*CFG_OTRATE,6),0)</f>
        <v>0</v>
      </c>
      <c r="BU1121" s="80">
        <f>IF(AND(BD1121=1,D1121="proMX"),ROUND(AG1121/CFG_BLK,6),0)</f>
        <v>0</v>
      </c>
      <c r="BV1121" s="80" t="str">
        <f>IF(BF1121="Approved",IF(ISNUMBER(T1121),INT(T1121),INT(B1121)),"")</f>
        <v/>
      </c>
      <c r="BW1121" s="80">
        <f>IF(ISNUMBER(B1121),IF(DB_MON="Todos",1,IF(AND(INT(B1121)&gt;=DB_MS,INT(B1121)&lt;=DB_ME),1,0)),0)</f>
        <v>0</v>
      </c>
      <c r="BX1121" s="80">
        <f>IF(DB_PROJ="Todos",1,IF(E1121&amp;""=DB_PROJ&amp;"",1,0))</f>
        <v>1</v>
      </c>
      <c r="BY1121" s="80">
        <f>BW1121*BX1121</f>
        <v>0</v>
      </c>
      <c r="BZ1121" s="80" t="str">
        <f>IF(Y1121=1,F1121&amp;IF(AND(F1121&amp;""&lt;&gt;"",E1121&amp;""&lt;&gt;"")," · ","")&amp;E1121,"")</f>
        <v/>
      </c>
      <c r="CA1121" s="80" t="str">
        <f>IF(AND(BD1121=1,E1121&amp;""&lt;&gt;""),IF(COUNTIFS($E$5:E1120,E1121,$BD$5:BD1120,1)=0,MAX($CA$5:CA1120)+1,""),"")</f>
        <v/>
      </c>
      <c r="CB1121" s="80" t="str">
        <f>IF(AND(BE1121=1,D1121="Malcolm",E1121&amp;""&lt;&gt;""),IF(COUNTIFS($D$5:D1120,"Malcolm",$E$5:E1120,E1121,$BE$5:BE1120,1)=0,MAX($CB$5:CB1120)+1,""),"")</f>
        <v/>
      </c>
      <c r="CC1121" s="80" t="str">
        <f>IF(AND(BD1121=1,D1121="proMX",E1121&amp;""&lt;&gt;""),IF(COUNTIFS($D$5:D1120,"proMX",$E$5:E1120,E1121,$BD$5:BD1120,1)=0,MAX($CC$5:CC1120)+1,""),"")</f>
        <v/>
      </c>
      <c r="CD1121" s="80" t="str">
        <f>IF(AND(BE1121=1,D1121="Malcolm",F1121&amp;""&lt;&gt;""),IF(COUNTIFS($D$5:D1120,"Malcolm",$F$5:F1120,F1121,$BE$5:BE1120,1)=0,MAX($CD$5:CD1120)+1,""),"")</f>
        <v/>
      </c>
      <c r="CE1121" s="80" t="str">
        <f>IF(AND(BD1121=1,D1121="proMX",F1121&amp;""&lt;&gt;""),IF(COUNTIFS($D$5:D1120,"proMX",$F$5:F1120,F1121,$BD$5:BD1120,1)=0,MAX($CE$5:CE1120)+1,""),"")</f>
        <v/>
      </c>
      <c r="CF1121" s="80" t="str">
        <f>IF(AND(D1121="proMX",BD1121=1),IF(OR(BF1121="Draft",BF1121="Submitted",BF1121="Returned",BF1121="Recall Requested"),MAX($CF$5:CF1120)+1,""),"")</f>
        <v/>
      </c>
      <c r="CG1121" s="80">
        <f>IF(BD1121=0,0,IF(D1121="Malcolm",1,MATCH(BF1121,{"Draft","Submitted","Approved","Returned","Recall Requested","Cancelled"},0)+1))</f>
        <v>0</v>
      </c>
      <c r="CH1121" s="80">
        <f>IF(AND(BF1121="Submitted",ISNUMBER(V1121)),IF(V1121&gt;CFG_MAXD,1,0),0)</f>
        <v>0</v>
      </c>
    </row>
    <row r="1122">
      <c r="A1122" s="71" t="str">
        <f>IF(Y1122=1,ROW()-5,"")</f>
        <v/>
      </c>
      <c r="B1122" s="72" t="n"/>
      <c r="C1122" s="71" t="str">
        <f>IF(ISNUMBER(B1122),CHOOSE(WEEKDAY(B1122,2),"Lun","Mar","Mié","Jue","Vie","Sáb","Dom"),"")</f>
        <v/>
      </c>
      <c r="D1122" s="73" t="n"/>
      <c r="E1122" s="74" t="n"/>
      <c r="F1122" s="74" t="n"/>
      <c r="G1122" s="74" t="n"/>
      <c r="H1122" s="75" t="n"/>
      <c r="I1122" s="75" t="n"/>
      <c r="J1122" s="76" t="n"/>
      <c r="K1122" s="77" t="str">
        <f>IF(AB1122=1,ROUND(AG1122/60,4),"")</f>
        <v/>
      </c>
      <c r="L1122" s="77" t="str">
        <f>IF(BD1122=1,ROUND(AP1122/60,4),"")</f>
        <v/>
      </c>
      <c r="M1122" s="77" t="str">
        <f>IF(BD1122=1,ROUND(AQ1122/60,4),"")</f>
        <v/>
      </c>
      <c r="N1122" s="71" t="str">
        <f>IF(AND(D1122="proMX",AB1122=1),ROUND(AG1122/CFG_BLK,2),"")</f>
        <v/>
      </c>
      <c r="O1122" s="77" t="str">
        <f>IF(D1122="proMX",IF(BD1122=1,ROUND(AG1122/60,4),0),"")</f>
        <v/>
      </c>
      <c r="P1122" s="78" t="str">
        <f>IF(Y1122=0,"",IF(BD1122=1,"OK",IF(D1122="proMX","Revisar bloques: ","Revisar: ")&amp;BC1122))</f>
        <v/>
      </c>
      <c r="Q1122" s="78" t="str">
        <f>IF(NOT(ISNUMBER(B1122)),"",IF(COUNTIFS(FER_F,INT(B1122))&gt;0,"Feriado"&amp;IF(AH1122=1," (laborable)"," (no laborable)"),IF(AH1122=1,"Laborable",IF(WEEKDAY(B1122,2)&gt;5,"Fin de semana","No laborable"))))</f>
        <v/>
      </c>
      <c r="R1122" s="73" t="n"/>
      <c r="S1122" s="72" t="n"/>
      <c r="T1122" s="72" t="n"/>
      <c r="U1122" s="74" t="n"/>
      <c r="V1122" s="79" t="str">
        <f>IF(AND(D1122="proMX",OR(R1122="Submitted",R1122="Recall Requested"),ISNUMBER(S1122)),CFG_TODAY-INT(S1122),"")</f>
        <v/>
      </c>
      <c r="W1122" s="78" t="str">
        <f>IF(BD1122=0,"",IF(BA1122&gt;0,"⚠ Se superpone con un registro de la otra empresa",IF(D1122="Malcolm",IF(COUNTA(R1122,S1122,T1122)&gt;0,"Estado/fechas proMX se ignoran en Malcolm",""),IF(BF1122="Cancelled","Cancelado: excluido de totales",IF(R1122="","Sin estado: se trata como Draft",IF(BF1122="Submitted",IF(ISNUMBER(V1122),IF(V1122&gt;CFG_MAXD,"⚠ "&amp;V1122&amp;" días en Submitted (máx. "&amp;CFG_MAXD&amp;")",""),"Falta fecha de envío"),IF(BF1122="Returned","⚠ Devuelto: corregir y reenviar",IF(BF1122="Recall Requested","Retirada solicitada: pendiente",IF(AND(BF1122="Approved",NOT(ISNUMBER(T1122))),"Falta fecha de aprobación",IF(AND(ISNUMBER(S1122),ISNUMBER(T1122),T1122&lt;S1122),"Aprobación anterior al envío","")))))))))</f>
        <v/>
      </c>
      <c r="Y1122" s="80">
        <f>IF(COUNTA(B1122,D1122,E1122,F1122,G1122,H1122,I1122,J1122,R1122,S1122,T1122)&gt;0,1,0)</f>
        <v>0</v>
      </c>
      <c r="Z1122" s="80" t="str">
        <f>IF(AND(ISNUMBER(H1122),H1122&gt;=0,H1122&lt;1),ROUND(H1122*1440,0),"")</f>
        <v/>
      </c>
      <c r="AA1122" s="80" t="str">
        <f>IF(AND(ISNUMBER(I1122),I1122&gt;=0,I1122&lt;1),ROUND(I1122*1440,0),"")</f>
        <v/>
      </c>
      <c r="AB1122" s="80">
        <f>IF(AND(ISNUMBER(B1122),D1122&lt;&gt;"",ISNUMBER(Z1122),ISNUMBER(AA1122)),IF(Z1122=AA1122,0,1),0)</f>
        <v>0</v>
      </c>
      <c r="AC1122" s="80">
        <f>IF(AB1122=1,IF(AA1122&lt;Z1122,1,0),0)</f>
        <v>0</v>
      </c>
      <c r="AD1122" s="80">
        <f>IF(AB1122=1,IF(AC1122=1,1440-Z1122+AA1122,AA1122-Z1122),0)</f>
        <v>0</v>
      </c>
      <c r="AE1122" s="80">
        <f>IF(J1122="",0,IF(ISNUMBER(J1122),J1122,-1))</f>
        <v>0</v>
      </c>
      <c r="AF1122" s="80">
        <f>MIN(MAX(0,AE1122),AD1122)</f>
        <v>0</v>
      </c>
      <c r="AG1122" s="80">
        <f>MAX(0,AD1122-MAX(0,AE1122))</f>
        <v>0</v>
      </c>
      <c r="AH1122" s="80">
        <f>IF(ISNUMBER(B1122),IF(AND(INDEX(CFG_WDAYS,WEEKDAY(INT(B1122),2))="Sí",IF(D1122="proMX",COUNTIFS(FER_F,INT(B1122),FER_NLP,"Sí"),COUNTIFS(FER_F,INT(B1122),FER_NLM,"Sí"))=0),1,0),0)</f>
        <v>0</v>
      </c>
      <c r="AI1122" s="80">
        <f>IF(AC1122=1,IF(AND(INDEX(CFG_WDAYS,WEEKDAY(INT(B1122)+1,2))="Sí",IF(D1122="proMX",COUNTIFS(FER_F,INT(B1122)+1,FER_NLP,"Sí"),COUNTIFS(FER_F,INT(B1122)+1,FER_NLM,"Sí"))=0),1,0),0)</f>
        <v>0</v>
      </c>
      <c r="AJ1122" s="80">
        <f>IF(AC1122=1,1440-Z1122,AD1122)</f>
        <v>0</v>
      </c>
      <c r="AK1122" s="80">
        <f>IF(AND(AB1122=1,AH1122=1),MAX(0,MIN(IF(AC1122=1,1440,AA1122),CFG_WEM)-MAX(Z1122,CFG_WSM)),0)</f>
        <v>0</v>
      </c>
      <c r="AL1122" s="80">
        <f>IF(AND(AC1122=1,AI1122=1),MAX(0,MIN(AA1122,CFG_WEM)-CFG_WSM),0)</f>
        <v>0</v>
      </c>
      <c r="AM1122" s="80">
        <f>AK1122+AL1122</f>
        <v>0</v>
      </c>
      <c r="AN1122" s="80">
        <f>IF(CFG_BRK="Proporcional",IF(AD1122=0,0,AF1122*AM1122/AD1122),IF(CFG_BRK="Extras primero",MIN(AM1122,MAX(0,AF1122-(AD1122-AM1122))),MIN(AF1122,AM1122)))</f>
        <v>0</v>
      </c>
      <c r="AO1122" s="80">
        <f>AF1122-AN1122</f>
        <v>0</v>
      </c>
      <c r="AP1122" s="80">
        <f>AM1122-AN1122</f>
        <v>0</v>
      </c>
      <c r="AQ1122" s="80">
        <f>AD1122-AM1122-AO1122</f>
        <v>0</v>
      </c>
      <c r="AR1122" s="80">
        <f>IF(AM1122=0,0,AK1122-AN1122*AK1122/AM1122)</f>
        <v>0</v>
      </c>
      <c r="AS1122" s="80">
        <f>IF(AD1122-AM1122=0,0,(AJ1122-AK1122)-AO1122*(AJ1122-AK1122)/(AD1122-AM1122))</f>
        <v>0</v>
      </c>
      <c r="AT1122" s="80" t="str">
        <f>IF(AC1122=1,INT(B1122)+1,"")</f>
        <v/>
      </c>
      <c r="AU1122" s="80">
        <f>IF(AND(D1122="proMX",R1122="Cancelled"),0,1)</f>
        <v>1</v>
      </c>
      <c r="AV1122" s="80">
        <f>IF(AND(AB1122=1,AU1122=1),IF(COUNTIFS($D$5:D1121,D1122,$B$5:B1121,B1122,$Z$5:Z1121,Z1122,$AA$5:AA1121,AA1122,$F$5:F1121,F1122&amp;"",$AU$5:AU1121,1)&gt;0,1,0),0)</f>
        <v>0</v>
      </c>
      <c r="AW1122" s="80" t="str">
        <f>IF(AB1122=1,INT(B1122)*1440+Z1122,"")</f>
        <v/>
      </c>
      <c r="AX1122" s="80" t="str">
        <f>IF(AB1122=1,AW1122+AD1122,"")</f>
        <v/>
      </c>
      <c r="AY1122" s="80">
        <f>IF(AND(AB1122=1,AV1122=0,AU1122=1),1,0)</f>
        <v>0</v>
      </c>
      <c r="AZ1122" s="80">
        <f>IF(AY1122=1,COUNTIFS(R_Emp,D1122,R_SAbs,"&lt;"&amp;AX1122,R_EAbs,"&gt;"&amp;AW1122,R_OKey,1)-1,0)</f>
        <v>0</v>
      </c>
      <c r="BA1122" s="80">
        <f>IF(AY1122=1,COUNTIFS(R_Emp,"&lt;&gt;"&amp;D1122,R_SAbs,"&lt;"&amp;AX1122,R_EAbs,"&gt;"&amp;AW1122,R_OKey,1),0)</f>
        <v>0</v>
      </c>
      <c r="BB1122" s="80">
        <f>IF(AND(AB1122=1,D1122="proMX"),IF(AND(MOD(Z1122,CFG_BLK)=0,MOD(AA1122,CFG_BLK)=0,MOD(AG1122,CFG_BLK)=0,AG1122&gt;0),1,0),1)</f>
        <v>1</v>
      </c>
      <c r="BC1122" s="80" t="str">
        <f>IF(Y1122=0,"",IF(NOT(ISNUMBER(B1122)),"Falta fecha o fecha inválida",IF(D1122="","Falta empresa",IF(AND(D1122&lt;&gt;"Malcolm",D1122&lt;&gt;"proMX"),"Empresa inválida",IF(OR(INT(B1122)&lt;CFG_PSTART,INT(B1122)&gt;CFG_PEND),"Fecha fuera del período",IF(OR(NOT(ISNUMBER(Z1122)),NOT(ISNUMBER(AA1122))),"Falta hora inicio/fin o formato inválido",IF(AB1122=0,"Hora inicio = hora fin",IF(AE1122&lt;0,"Descanso inválido",IF(AE1122&gt;=AD1122,"Descanso ≥ duración",IF(AV1122=1,"Registro duplicado",IF(AZ1122&gt;0,"Se superpone con otro registro "&amp;D1122,IF(BB1122=0,"inicio, fin y duración neta deben ser múltiplos de "&amp;CFG_BLK&amp;" min",""))))))))))))</f>
        <v/>
      </c>
      <c r="BD1122" s="80">
        <f>IF(AND(Y1122=1,BC1122=""),1,0)</f>
        <v>0</v>
      </c>
      <c r="BE1122" s="80">
        <f>IF(AND(BD1122=1,AU1122=1),1,0)</f>
        <v>0</v>
      </c>
      <c r="BF1122" s="80" t="str">
        <f>IF(AND(D1122="proMX",BD1122=1),IF(R1122="","Draft",R1122),"")</f>
        <v/>
      </c>
      <c r="BG1122" s="80">
        <f>IF(BD1122=1,ROUND(AG1122/60,6),0)</f>
        <v>0</v>
      </c>
      <c r="BH1122" s="80">
        <f>IF(BE1122=1,ROUND(AG1122/60,6),0)</f>
        <v>0</v>
      </c>
      <c r="BI1122" s="80">
        <f>IF(BE1122=1,ROUND(AP1122/60,6),0)</f>
        <v>0</v>
      </c>
      <c r="BJ1122" s="80">
        <f>IF(BE1122=1,ROUND(AQ1122/60,6),0)</f>
        <v>0</v>
      </c>
      <c r="BK1122" s="80">
        <f>IF(BE1122=1,ROUND((AR1122+AS1122)/60,6),0)</f>
        <v>0</v>
      </c>
      <c r="BL1122" s="80">
        <f>ROUND(BH1122-BK1122,6)</f>
        <v>0</v>
      </c>
      <c r="BM1122" s="80">
        <f>IF(BE1122=1,ROUND(AR1122/60,6),0)</f>
        <v>0</v>
      </c>
      <c r="BN1122" s="80">
        <f>ROUND(BI1122-BM1122,6)</f>
        <v>0</v>
      </c>
      <c r="BO1122" s="80">
        <f>IF(BE1122=1,ROUND(AS1122/60,6),0)</f>
        <v>0</v>
      </c>
      <c r="BP1122" s="80">
        <f>ROUND(BJ1122-BO1122,6)</f>
        <v>0</v>
      </c>
      <c r="BQ1122" s="80">
        <f>IF(BE1122=1,AW1122,0)</f>
        <v>0</v>
      </c>
      <c r="BR1122" s="80">
        <f>IF(BE1122=1,AX1122,0)</f>
        <v>0</v>
      </c>
      <c r="BS1122" s="80">
        <f>IF(AND(BE1122=1,D1122="Malcolm",BA1122&gt;0),MIN(BH1122,SUMPRODUCT((R_Emp="proMX")*(R_EN&gt;0)*((R_EN-(R_EN&gt;BR1122)*(R_EN-BR1122))&gt;(R_SN+(R_SN&lt;BQ1122)*(BQ1122-R_SN)))*((R_EN-(R_EN&gt;BR1122)*(R_EN-BR1122))-(R_SN+(R_SN&lt;BQ1122)*(BQ1122-R_SN))))/60),0)</f>
        <v>0</v>
      </c>
      <c r="BT1122" s="80">
        <f>IF(AND(BE1122=1,D1122="proMX"),ROUND(BI1122*CFG_RATE+BJ1122*CFG_OTRATE,6),0)</f>
        <v>0</v>
      </c>
      <c r="BU1122" s="80">
        <f>IF(AND(BD1122=1,D1122="proMX"),ROUND(AG1122/CFG_BLK,6),0)</f>
        <v>0</v>
      </c>
      <c r="BV1122" s="80" t="str">
        <f>IF(BF1122="Approved",IF(ISNUMBER(T1122),INT(T1122),INT(B1122)),"")</f>
        <v/>
      </c>
      <c r="BW1122" s="80">
        <f>IF(ISNUMBER(B1122),IF(DB_MON="Todos",1,IF(AND(INT(B1122)&gt;=DB_MS,INT(B1122)&lt;=DB_ME),1,0)),0)</f>
        <v>0</v>
      </c>
      <c r="BX1122" s="80">
        <f>IF(DB_PROJ="Todos",1,IF(E1122&amp;""=DB_PROJ&amp;"",1,0))</f>
        <v>1</v>
      </c>
      <c r="BY1122" s="80">
        <f>BW1122*BX1122</f>
        <v>0</v>
      </c>
      <c r="BZ1122" s="80" t="str">
        <f>IF(Y1122=1,F1122&amp;IF(AND(F1122&amp;""&lt;&gt;"",E1122&amp;""&lt;&gt;"")," · ","")&amp;E1122,"")</f>
        <v/>
      </c>
      <c r="CA1122" s="80" t="str">
        <f>IF(AND(BD1122=1,E1122&amp;""&lt;&gt;""),IF(COUNTIFS($E$5:E1121,E1122,$BD$5:BD1121,1)=0,MAX($CA$5:CA1121)+1,""),"")</f>
        <v/>
      </c>
      <c r="CB1122" s="80" t="str">
        <f>IF(AND(BE1122=1,D1122="Malcolm",E1122&amp;""&lt;&gt;""),IF(COUNTIFS($D$5:D1121,"Malcolm",$E$5:E1121,E1122,$BE$5:BE1121,1)=0,MAX($CB$5:CB1121)+1,""),"")</f>
        <v/>
      </c>
      <c r="CC1122" s="80" t="str">
        <f>IF(AND(BD1122=1,D1122="proMX",E1122&amp;""&lt;&gt;""),IF(COUNTIFS($D$5:D1121,"proMX",$E$5:E1121,E1122,$BD$5:BD1121,1)=0,MAX($CC$5:CC1121)+1,""),"")</f>
        <v/>
      </c>
      <c r="CD1122" s="80" t="str">
        <f>IF(AND(BE1122=1,D1122="Malcolm",F1122&amp;""&lt;&gt;""),IF(COUNTIFS($D$5:D1121,"Malcolm",$F$5:F1121,F1122,$BE$5:BE1121,1)=0,MAX($CD$5:CD1121)+1,""),"")</f>
        <v/>
      </c>
      <c r="CE1122" s="80" t="str">
        <f>IF(AND(BD1122=1,D1122="proMX",F1122&amp;""&lt;&gt;""),IF(COUNTIFS($D$5:D1121,"proMX",$F$5:F1121,F1122,$BD$5:BD1121,1)=0,MAX($CE$5:CE1121)+1,""),"")</f>
        <v/>
      </c>
      <c r="CF1122" s="80" t="str">
        <f>IF(AND(D1122="proMX",BD1122=1),IF(OR(BF1122="Draft",BF1122="Submitted",BF1122="Returned",BF1122="Recall Requested"),MAX($CF$5:CF1121)+1,""),"")</f>
        <v/>
      </c>
      <c r="CG1122" s="80">
        <f>IF(BD1122=0,0,IF(D1122="Malcolm",1,MATCH(BF1122,{"Draft","Submitted","Approved","Returned","Recall Requested","Cancelled"},0)+1))</f>
        <v>0</v>
      </c>
      <c r="CH1122" s="80">
        <f>IF(AND(BF1122="Submitted",ISNUMBER(V1122)),IF(V1122&gt;CFG_MAXD,1,0),0)</f>
        <v>0</v>
      </c>
    </row>
    <row r="1123">
      <c r="A1123" s="71" t="str">
        <f>IF(Y1123=1,ROW()-5,"")</f>
        <v/>
      </c>
      <c r="B1123" s="72" t="n"/>
      <c r="C1123" s="71" t="str">
        <f>IF(ISNUMBER(B1123),CHOOSE(WEEKDAY(B1123,2),"Lun","Mar","Mié","Jue","Vie","Sáb","Dom"),"")</f>
        <v/>
      </c>
      <c r="D1123" s="73" t="n"/>
      <c r="E1123" s="74" t="n"/>
      <c r="F1123" s="74" t="n"/>
      <c r="G1123" s="74" t="n"/>
      <c r="H1123" s="75" t="n"/>
      <c r="I1123" s="75" t="n"/>
      <c r="J1123" s="76" t="n"/>
      <c r="K1123" s="77" t="str">
        <f>IF(AB1123=1,ROUND(AG1123/60,4),"")</f>
        <v/>
      </c>
      <c r="L1123" s="77" t="str">
        <f>IF(BD1123=1,ROUND(AP1123/60,4),"")</f>
        <v/>
      </c>
      <c r="M1123" s="77" t="str">
        <f>IF(BD1123=1,ROUND(AQ1123/60,4),"")</f>
        <v/>
      </c>
      <c r="N1123" s="71" t="str">
        <f>IF(AND(D1123="proMX",AB1123=1),ROUND(AG1123/CFG_BLK,2),"")</f>
        <v/>
      </c>
      <c r="O1123" s="77" t="str">
        <f>IF(D1123="proMX",IF(BD1123=1,ROUND(AG1123/60,4),0),"")</f>
        <v/>
      </c>
      <c r="P1123" s="78" t="str">
        <f>IF(Y1123=0,"",IF(BD1123=1,"OK",IF(D1123="proMX","Revisar bloques: ","Revisar: ")&amp;BC1123))</f>
        <v/>
      </c>
      <c r="Q1123" s="78" t="str">
        <f>IF(NOT(ISNUMBER(B1123)),"",IF(COUNTIFS(FER_F,INT(B1123))&gt;0,"Feriado"&amp;IF(AH1123=1," (laborable)"," (no laborable)"),IF(AH1123=1,"Laborable",IF(WEEKDAY(B1123,2)&gt;5,"Fin de semana","No laborable"))))</f>
        <v/>
      </c>
      <c r="R1123" s="73" t="n"/>
      <c r="S1123" s="72" t="n"/>
      <c r="T1123" s="72" t="n"/>
      <c r="U1123" s="74" t="n"/>
      <c r="V1123" s="79" t="str">
        <f>IF(AND(D1123="proMX",OR(R1123="Submitted",R1123="Recall Requested"),ISNUMBER(S1123)),CFG_TODAY-INT(S1123),"")</f>
        <v/>
      </c>
      <c r="W1123" s="78" t="str">
        <f>IF(BD1123=0,"",IF(BA1123&gt;0,"⚠ Se superpone con un registro de la otra empresa",IF(D1123="Malcolm",IF(COUNTA(R1123,S1123,T1123)&gt;0,"Estado/fechas proMX se ignoran en Malcolm",""),IF(BF1123="Cancelled","Cancelado: excluido de totales",IF(R1123="","Sin estado: se trata como Draft",IF(BF1123="Submitted",IF(ISNUMBER(V1123),IF(V1123&gt;CFG_MAXD,"⚠ "&amp;V1123&amp;" días en Submitted (máx. "&amp;CFG_MAXD&amp;")",""),"Falta fecha de envío"),IF(BF1123="Returned","⚠ Devuelto: corregir y reenviar",IF(BF1123="Recall Requested","Retirada solicitada: pendiente",IF(AND(BF1123="Approved",NOT(ISNUMBER(T1123))),"Falta fecha de aprobación",IF(AND(ISNUMBER(S1123),ISNUMBER(T1123),T1123&lt;S1123),"Aprobación anterior al envío","")))))))))</f>
        <v/>
      </c>
      <c r="Y1123" s="80">
        <f>IF(COUNTA(B1123,D1123,E1123,F1123,G1123,H1123,I1123,J1123,R1123,S1123,T1123)&gt;0,1,0)</f>
        <v>0</v>
      </c>
      <c r="Z1123" s="80" t="str">
        <f>IF(AND(ISNUMBER(H1123),H1123&gt;=0,H1123&lt;1),ROUND(H1123*1440,0),"")</f>
        <v/>
      </c>
      <c r="AA1123" s="80" t="str">
        <f>IF(AND(ISNUMBER(I1123),I1123&gt;=0,I1123&lt;1),ROUND(I1123*1440,0),"")</f>
        <v/>
      </c>
      <c r="AB1123" s="80">
        <f>IF(AND(ISNUMBER(B1123),D1123&lt;&gt;"",ISNUMBER(Z1123),ISNUMBER(AA1123)),IF(Z1123=AA1123,0,1),0)</f>
        <v>0</v>
      </c>
      <c r="AC1123" s="80">
        <f>IF(AB1123=1,IF(AA1123&lt;Z1123,1,0),0)</f>
        <v>0</v>
      </c>
      <c r="AD1123" s="80">
        <f>IF(AB1123=1,IF(AC1123=1,1440-Z1123+AA1123,AA1123-Z1123),0)</f>
        <v>0</v>
      </c>
      <c r="AE1123" s="80">
        <f>IF(J1123="",0,IF(ISNUMBER(J1123),J1123,-1))</f>
        <v>0</v>
      </c>
      <c r="AF1123" s="80">
        <f>MIN(MAX(0,AE1123),AD1123)</f>
        <v>0</v>
      </c>
      <c r="AG1123" s="80">
        <f>MAX(0,AD1123-MAX(0,AE1123))</f>
        <v>0</v>
      </c>
      <c r="AH1123" s="80">
        <f>IF(ISNUMBER(B1123),IF(AND(INDEX(CFG_WDAYS,WEEKDAY(INT(B1123),2))="Sí",IF(D1123="proMX",COUNTIFS(FER_F,INT(B1123),FER_NLP,"Sí"),COUNTIFS(FER_F,INT(B1123),FER_NLM,"Sí"))=0),1,0),0)</f>
        <v>0</v>
      </c>
      <c r="AI1123" s="80">
        <f>IF(AC1123=1,IF(AND(INDEX(CFG_WDAYS,WEEKDAY(INT(B1123)+1,2))="Sí",IF(D1123="proMX",COUNTIFS(FER_F,INT(B1123)+1,FER_NLP,"Sí"),COUNTIFS(FER_F,INT(B1123)+1,FER_NLM,"Sí"))=0),1,0),0)</f>
        <v>0</v>
      </c>
      <c r="AJ1123" s="80">
        <f>IF(AC1123=1,1440-Z1123,AD1123)</f>
        <v>0</v>
      </c>
      <c r="AK1123" s="80">
        <f>IF(AND(AB1123=1,AH1123=1),MAX(0,MIN(IF(AC1123=1,1440,AA1123),CFG_WEM)-MAX(Z1123,CFG_WSM)),0)</f>
        <v>0</v>
      </c>
      <c r="AL1123" s="80">
        <f>IF(AND(AC1123=1,AI1123=1),MAX(0,MIN(AA1123,CFG_WEM)-CFG_WSM),0)</f>
        <v>0</v>
      </c>
      <c r="AM1123" s="80">
        <f>AK1123+AL1123</f>
        <v>0</v>
      </c>
      <c r="AN1123" s="80">
        <f>IF(CFG_BRK="Proporcional",IF(AD1123=0,0,AF1123*AM1123/AD1123),IF(CFG_BRK="Extras primero",MIN(AM1123,MAX(0,AF1123-(AD1123-AM1123))),MIN(AF1123,AM1123)))</f>
        <v>0</v>
      </c>
      <c r="AO1123" s="80">
        <f>AF1123-AN1123</f>
        <v>0</v>
      </c>
      <c r="AP1123" s="80">
        <f>AM1123-AN1123</f>
        <v>0</v>
      </c>
      <c r="AQ1123" s="80">
        <f>AD1123-AM1123-AO1123</f>
        <v>0</v>
      </c>
      <c r="AR1123" s="80">
        <f>IF(AM1123=0,0,AK1123-AN1123*AK1123/AM1123)</f>
        <v>0</v>
      </c>
      <c r="AS1123" s="80">
        <f>IF(AD1123-AM1123=0,0,(AJ1123-AK1123)-AO1123*(AJ1123-AK1123)/(AD1123-AM1123))</f>
        <v>0</v>
      </c>
      <c r="AT1123" s="80" t="str">
        <f>IF(AC1123=1,INT(B1123)+1,"")</f>
        <v/>
      </c>
      <c r="AU1123" s="80">
        <f>IF(AND(D1123="proMX",R1123="Cancelled"),0,1)</f>
        <v>1</v>
      </c>
      <c r="AV1123" s="80">
        <f>IF(AND(AB1123=1,AU1123=1),IF(COUNTIFS($D$5:D1122,D1123,$B$5:B1122,B1123,$Z$5:Z1122,Z1123,$AA$5:AA1122,AA1123,$F$5:F1122,F1123&amp;"",$AU$5:AU1122,1)&gt;0,1,0),0)</f>
        <v>0</v>
      </c>
      <c r="AW1123" s="80" t="str">
        <f>IF(AB1123=1,INT(B1123)*1440+Z1123,"")</f>
        <v/>
      </c>
      <c r="AX1123" s="80" t="str">
        <f>IF(AB1123=1,AW1123+AD1123,"")</f>
        <v/>
      </c>
      <c r="AY1123" s="80">
        <f>IF(AND(AB1123=1,AV1123=0,AU1123=1),1,0)</f>
        <v>0</v>
      </c>
      <c r="AZ1123" s="80">
        <f>IF(AY1123=1,COUNTIFS(R_Emp,D1123,R_SAbs,"&lt;"&amp;AX1123,R_EAbs,"&gt;"&amp;AW1123,R_OKey,1)-1,0)</f>
        <v>0</v>
      </c>
      <c r="BA1123" s="80">
        <f>IF(AY1123=1,COUNTIFS(R_Emp,"&lt;&gt;"&amp;D1123,R_SAbs,"&lt;"&amp;AX1123,R_EAbs,"&gt;"&amp;AW1123,R_OKey,1),0)</f>
        <v>0</v>
      </c>
      <c r="BB1123" s="80">
        <f>IF(AND(AB1123=1,D1123="proMX"),IF(AND(MOD(Z1123,CFG_BLK)=0,MOD(AA1123,CFG_BLK)=0,MOD(AG1123,CFG_BLK)=0,AG1123&gt;0),1,0),1)</f>
        <v>1</v>
      </c>
      <c r="BC1123" s="80" t="str">
        <f>IF(Y1123=0,"",IF(NOT(ISNUMBER(B1123)),"Falta fecha o fecha inválida",IF(D1123="","Falta empresa",IF(AND(D1123&lt;&gt;"Malcolm",D1123&lt;&gt;"proMX"),"Empresa inválida",IF(OR(INT(B1123)&lt;CFG_PSTART,INT(B1123)&gt;CFG_PEND),"Fecha fuera del período",IF(OR(NOT(ISNUMBER(Z1123)),NOT(ISNUMBER(AA1123))),"Falta hora inicio/fin o formato inválido",IF(AB1123=0,"Hora inicio = hora fin",IF(AE1123&lt;0,"Descanso inválido",IF(AE1123&gt;=AD1123,"Descanso ≥ duración",IF(AV1123=1,"Registro duplicado",IF(AZ1123&gt;0,"Se superpone con otro registro "&amp;D1123,IF(BB1123=0,"inicio, fin y duración neta deben ser múltiplos de "&amp;CFG_BLK&amp;" min",""))))))))))))</f>
        <v/>
      </c>
      <c r="BD1123" s="80">
        <f>IF(AND(Y1123=1,BC1123=""),1,0)</f>
        <v>0</v>
      </c>
      <c r="BE1123" s="80">
        <f>IF(AND(BD1123=1,AU1123=1),1,0)</f>
        <v>0</v>
      </c>
      <c r="BF1123" s="80" t="str">
        <f>IF(AND(D1123="proMX",BD1123=1),IF(R1123="","Draft",R1123),"")</f>
        <v/>
      </c>
      <c r="BG1123" s="80">
        <f>IF(BD1123=1,ROUND(AG1123/60,6),0)</f>
        <v>0</v>
      </c>
      <c r="BH1123" s="80">
        <f>IF(BE1123=1,ROUND(AG1123/60,6),0)</f>
        <v>0</v>
      </c>
      <c r="BI1123" s="80">
        <f>IF(BE1123=1,ROUND(AP1123/60,6),0)</f>
        <v>0</v>
      </c>
      <c r="BJ1123" s="80">
        <f>IF(BE1123=1,ROUND(AQ1123/60,6),0)</f>
        <v>0</v>
      </c>
      <c r="BK1123" s="80">
        <f>IF(BE1123=1,ROUND((AR1123+AS1123)/60,6),0)</f>
        <v>0</v>
      </c>
      <c r="BL1123" s="80">
        <f>ROUND(BH1123-BK1123,6)</f>
        <v>0</v>
      </c>
      <c r="BM1123" s="80">
        <f>IF(BE1123=1,ROUND(AR1123/60,6),0)</f>
        <v>0</v>
      </c>
      <c r="BN1123" s="80">
        <f>ROUND(BI1123-BM1123,6)</f>
        <v>0</v>
      </c>
      <c r="BO1123" s="80">
        <f>IF(BE1123=1,ROUND(AS1123/60,6),0)</f>
        <v>0</v>
      </c>
      <c r="BP1123" s="80">
        <f>ROUND(BJ1123-BO1123,6)</f>
        <v>0</v>
      </c>
      <c r="BQ1123" s="80">
        <f>IF(BE1123=1,AW1123,0)</f>
        <v>0</v>
      </c>
      <c r="BR1123" s="80">
        <f>IF(BE1123=1,AX1123,0)</f>
        <v>0</v>
      </c>
      <c r="BS1123" s="80">
        <f>IF(AND(BE1123=1,D1123="Malcolm",BA1123&gt;0),MIN(BH1123,SUMPRODUCT((R_Emp="proMX")*(R_EN&gt;0)*((R_EN-(R_EN&gt;BR1123)*(R_EN-BR1123))&gt;(R_SN+(R_SN&lt;BQ1123)*(BQ1123-R_SN)))*((R_EN-(R_EN&gt;BR1123)*(R_EN-BR1123))-(R_SN+(R_SN&lt;BQ1123)*(BQ1123-R_SN))))/60),0)</f>
        <v>0</v>
      </c>
      <c r="BT1123" s="80">
        <f>IF(AND(BE1123=1,D1123="proMX"),ROUND(BI1123*CFG_RATE+BJ1123*CFG_OTRATE,6),0)</f>
        <v>0</v>
      </c>
      <c r="BU1123" s="80">
        <f>IF(AND(BD1123=1,D1123="proMX"),ROUND(AG1123/CFG_BLK,6),0)</f>
        <v>0</v>
      </c>
      <c r="BV1123" s="80" t="str">
        <f>IF(BF1123="Approved",IF(ISNUMBER(T1123),INT(T1123),INT(B1123)),"")</f>
        <v/>
      </c>
      <c r="BW1123" s="80">
        <f>IF(ISNUMBER(B1123),IF(DB_MON="Todos",1,IF(AND(INT(B1123)&gt;=DB_MS,INT(B1123)&lt;=DB_ME),1,0)),0)</f>
        <v>0</v>
      </c>
      <c r="BX1123" s="80">
        <f>IF(DB_PROJ="Todos",1,IF(E1123&amp;""=DB_PROJ&amp;"",1,0))</f>
        <v>1</v>
      </c>
      <c r="BY1123" s="80">
        <f>BW1123*BX1123</f>
        <v>0</v>
      </c>
      <c r="BZ1123" s="80" t="str">
        <f>IF(Y1123=1,F1123&amp;IF(AND(F1123&amp;""&lt;&gt;"",E1123&amp;""&lt;&gt;"")," · ","")&amp;E1123,"")</f>
        <v/>
      </c>
      <c r="CA1123" s="80" t="str">
        <f>IF(AND(BD1123=1,E1123&amp;""&lt;&gt;""),IF(COUNTIFS($E$5:E1122,E1123,$BD$5:BD1122,1)=0,MAX($CA$5:CA1122)+1,""),"")</f>
        <v/>
      </c>
      <c r="CB1123" s="80" t="str">
        <f>IF(AND(BE1123=1,D1123="Malcolm",E1123&amp;""&lt;&gt;""),IF(COUNTIFS($D$5:D1122,"Malcolm",$E$5:E1122,E1123,$BE$5:BE1122,1)=0,MAX($CB$5:CB1122)+1,""),"")</f>
        <v/>
      </c>
      <c r="CC1123" s="80" t="str">
        <f>IF(AND(BD1123=1,D1123="proMX",E1123&amp;""&lt;&gt;""),IF(COUNTIFS($D$5:D1122,"proMX",$E$5:E1122,E1123,$BD$5:BD1122,1)=0,MAX($CC$5:CC1122)+1,""),"")</f>
        <v/>
      </c>
      <c r="CD1123" s="80" t="str">
        <f>IF(AND(BE1123=1,D1123="Malcolm",F1123&amp;""&lt;&gt;""),IF(COUNTIFS($D$5:D1122,"Malcolm",$F$5:F1122,F1123,$BE$5:BE1122,1)=0,MAX($CD$5:CD1122)+1,""),"")</f>
        <v/>
      </c>
      <c r="CE1123" s="80" t="str">
        <f>IF(AND(BD1123=1,D1123="proMX",F1123&amp;""&lt;&gt;""),IF(COUNTIFS($D$5:D1122,"proMX",$F$5:F1122,F1123,$BD$5:BD1122,1)=0,MAX($CE$5:CE1122)+1,""),"")</f>
        <v/>
      </c>
      <c r="CF1123" s="80" t="str">
        <f>IF(AND(D1123="proMX",BD1123=1),IF(OR(BF1123="Draft",BF1123="Submitted",BF1123="Returned",BF1123="Recall Requested"),MAX($CF$5:CF1122)+1,""),"")</f>
        <v/>
      </c>
      <c r="CG1123" s="80">
        <f>IF(BD1123=0,0,IF(D1123="Malcolm",1,MATCH(BF1123,{"Draft","Submitted","Approved","Returned","Recall Requested","Cancelled"},0)+1))</f>
        <v>0</v>
      </c>
      <c r="CH1123" s="80">
        <f>IF(AND(BF1123="Submitted",ISNUMBER(V1123)),IF(V1123&gt;CFG_MAXD,1,0),0)</f>
        <v>0</v>
      </c>
    </row>
    <row r="1124">
      <c r="A1124" s="71" t="str">
        <f>IF(Y1124=1,ROW()-5,"")</f>
        <v/>
      </c>
      <c r="B1124" s="72" t="n"/>
      <c r="C1124" s="71" t="str">
        <f>IF(ISNUMBER(B1124),CHOOSE(WEEKDAY(B1124,2),"Lun","Mar","Mié","Jue","Vie","Sáb","Dom"),"")</f>
        <v/>
      </c>
      <c r="D1124" s="73" t="n"/>
      <c r="E1124" s="74" t="n"/>
      <c r="F1124" s="74" t="n"/>
      <c r="G1124" s="74" t="n"/>
      <c r="H1124" s="75" t="n"/>
      <c r="I1124" s="75" t="n"/>
      <c r="J1124" s="76" t="n"/>
      <c r="K1124" s="77" t="str">
        <f>IF(AB1124=1,ROUND(AG1124/60,4),"")</f>
        <v/>
      </c>
      <c r="L1124" s="77" t="str">
        <f>IF(BD1124=1,ROUND(AP1124/60,4),"")</f>
        <v/>
      </c>
      <c r="M1124" s="77" t="str">
        <f>IF(BD1124=1,ROUND(AQ1124/60,4),"")</f>
        <v/>
      </c>
      <c r="N1124" s="71" t="str">
        <f>IF(AND(D1124="proMX",AB1124=1),ROUND(AG1124/CFG_BLK,2),"")</f>
        <v/>
      </c>
      <c r="O1124" s="77" t="str">
        <f>IF(D1124="proMX",IF(BD1124=1,ROUND(AG1124/60,4),0),"")</f>
        <v/>
      </c>
      <c r="P1124" s="78" t="str">
        <f>IF(Y1124=0,"",IF(BD1124=1,"OK",IF(D1124="proMX","Revisar bloques: ","Revisar: ")&amp;BC1124))</f>
        <v/>
      </c>
      <c r="Q1124" s="78" t="str">
        <f>IF(NOT(ISNUMBER(B1124)),"",IF(COUNTIFS(FER_F,INT(B1124))&gt;0,"Feriado"&amp;IF(AH1124=1," (laborable)"," (no laborable)"),IF(AH1124=1,"Laborable",IF(WEEKDAY(B1124,2)&gt;5,"Fin de semana","No laborable"))))</f>
        <v/>
      </c>
      <c r="R1124" s="73" t="n"/>
      <c r="S1124" s="72" t="n"/>
      <c r="T1124" s="72" t="n"/>
      <c r="U1124" s="74" t="n"/>
      <c r="V1124" s="79" t="str">
        <f>IF(AND(D1124="proMX",OR(R1124="Submitted",R1124="Recall Requested"),ISNUMBER(S1124)),CFG_TODAY-INT(S1124),"")</f>
        <v/>
      </c>
      <c r="W1124" s="78" t="str">
        <f>IF(BD1124=0,"",IF(BA1124&gt;0,"⚠ Se superpone con un registro de la otra empresa",IF(D1124="Malcolm",IF(COUNTA(R1124,S1124,T1124)&gt;0,"Estado/fechas proMX se ignoran en Malcolm",""),IF(BF1124="Cancelled","Cancelado: excluido de totales",IF(R1124="","Sin estado: se trata como Draft",IF(BF1124="Submitted",IF(ISNUMBER(V1124),IF(V1124&gt;CFG_MAXD,"⚠ "&amp;V1124&amp;" días en Submitted (máx. "&amp;CFG_MAXD&amp;")",""),"Falta fecha de envío"),IF(BF1124="Returned","⚠ Devuelto: corregir y reenviar",IF(BF1124="Recall Requested","Retirada solicitada: pendiente",IF(AND(BF1124="Approved",NOT(ISNUMBER(T1124))),"Falta fecha de aprobación",IF(AND(ISNUMBER(S1124),ISNUMBER(T1124),T1124&lt;S1124),"Aprobación anterior al envío","")))))))))</f>
        <v/>
      </c>
      <c r="Y1124" s="80">
        <f>IF(COUNTA(B1124,D1124,E1124,F1124,G1124,H1124,I1124,J1124,R1124,S1124,T1124)&gt;0,1,0)</f>
        <v>0</v>
      </c>
      <c r="Z1124" s="80" t="str">
        <f>IF(AND(ISNUMBER(H1124),H1124&gt;=0,H1124&lt;1),ROUND(H1124*1440,0),"")</f>
        <v/>
      </c>
      <c r="AA1124" s="80" t="str">
        <f>IF(AND(ISNUMBER(I1124),I1124&gt;=0,I1124&lt;1),ROUND(I1124*1440,0),"")</f>
        <v/>
      </c>
      <c r="AB1124" s="80">
        <f>IF(AND(ISNUMBER(B1124),D1124&lt;&gt;"",ISNUMBER(Z1124),ISNUMBER(AA1124)),IF(Z1124=AA1124,0,1),0)</f>
        <v>0</v>
      </c>
      <c r="AC1124" s="80">
        <f>IF(AB1124=1,IF(AA1124&lt;Z1124,1,0),0)</f>
        <v>0</v>
      </c>
      <c r="AD1124" s="80">
        <f>IF(AB1124=1,IF(AC1124=1,1440-Z1124+AA1124,AA1124-Z1124),0)</f>
        <v>0</v>
      </c>
      <c r="AE1124" s="80">
        <f>IF(J1124="",0,IF(ISNUMBER(J1124),J1124,-1))</f>
        <v>0</v>
      </c>
      <c r="AF1124" s="80">
        <f>MIN(MAX(0,AE1124),AD1124)</f>
        <v>0</v>
      </c>
      <c r="AG1124" s="80">
        <f>MAX(0,AD1124-MAX(0,AE1124))</f>
        <v>0</v>
      </c>
      <c r="AH1124" s="80">
        <f>IF(ISNUMBER(B1124),IF(AND(INDEX(CFG_WDAYS,WEEKDAY(INT(B1124),2))="Sí",IF(D1124="proMX",COUNTIFS(FER_F,INT(B1124),FER_NLP,"Sí"),COUNTIFS(FER_F,INT(B1124),FER_NLM,"Sí"))=0),1,0),0)</f>
        <v>0</v>
      </c>
      <c r="AI1124" s="80">
        <f>IF(AC1124=1,IF(AND(INDEX(CFG_WDAYS,WEEKDAY(INT(B1124)+1,2))="Sí",IF(D1124="proMX",COUNTIFS(FER_F,INT(B1124)+1,FER_NLP,"Sí"),COUNTIFS(FER_F,INT(B1124)+1,FER_NLM,"Sí"))=0),1,0),0)</f>
        <v>0</v>
      </c>
      <c r="AJ1124" s="80">
        <f>IF(AC1124=1,1440-Z1124,AD1124)</f>
        <v>0</v>
      </c>
      <c r="AK1124" s="80">
        <f>IF(AND(AB1124=1,AH1124=1),MAX(0,MIN(IF(AC1124=1,1440,AA1124),CFG_WEM)-MAX(Z1124,CFG_WSM)),0)</f>
        <v>0</v>
      </c>
      <c r="AL1124" s="80">
        <f>IF(AND(AC1124=1,AI1124=1),MAX(0,MIN(AA1124,CFG_WEM)-CFG_WSM),0)</f>
        <v>0</v>
      </c>
      <c r="AM1124" s="80">
        <f>AK1124+AL1124</f>
        <v>0</v>
      </c>
      <c r="AN1124" s="80">
        <f>IF(CFG_BRK="Proporcional",IF(AD1124=0,0,AF1124*AM1124/AD1124),IF(CFG_BRK="Extras primero",MIN(AM1124,MAX(0,AF1124-(AD1124-AM1124))),MIN(AF1124,AM1124)))</f>
        <v>0</v>
      </c>
      <c r="AO1124" s="80">
        <f>AF1124-AN1124</f>
        <v>0</v>
      </c>
      <c r="AP1124" s="80">
        <f>AM1124-AN1124</f>
        <v>0</v>
      </c>
      <c r="AQ1124" s="80">
        <f>AD1124-AM1124-AO1124</f>
        <v>0</v>
      </c>
      <c r="AR1124" s="80">
        <f>IF(AM1124=0,0,AK1124-AN1124*AK1124/AM1124)</f>
        <v>0</v>
      </c>
      <c r="AS1124" s="80">
        <f>IF(AD1124-AM1124=0,0,(AJ1124-AK1124)-AO1124*(AJ1124-AK1124)/(AD1124-AM1124))</f>
        <v>0</v>
      </c>
      <c r="AT1124" s="80" t="str">
        <f>IF(AC1124=1,INT(B1124)+1,"")</f>
        <v/>
      </c>
      <c r="AU1124" s="80">
        <f>IF(AND(D1124="proMX",R1124="Cancelled"),0,1)</f>
        <v>1</v>
      </c>
      <c r="AV1124" s="80">
        <f>IF(AND(AB1124=1,AU1124=1),IF(COUNTIFS($D$5:D1123,D1124,$B$5:B1123,B1124,$Z$5:Z1123,Z1124,$AA$5:AA1123,AA1124,$F$5:F1123,F1124&amp;"",$AU$5:AU1123,1)&gt;0,1,0),0)</f>
        <v>0</v>
      </c>
      <c r="AW1124" s="80" t="str">
        <f>IF(AB1124=1,INT(B1124)*1440+Z1124,"")</f>
        <v/>
      </c>
      <c r="AX1124" s="80" t="str">
        <f>IF(AB1124=1,AW1124+AD1124,"")</f>
        <v/>
      </c>
      <c r="AY1124" s="80">
        <f>IF(AND(AB1124=1,AV1124=0,AU1124=1),1,0)</f>
        <v>0</v>
      </c>
      <c r="AZ1124" s="80">
        <f>IF(AY1124=1,COUNTIFS(R_Emp,D1124,R_SAbs,"&lt;"&amp;AX1124,R_EAbs,"&gt;"&amp;AW1124,R_OKey,1)-1,0)</f>
        <v>0</v>
      </c>
      <c r="BA1124" s="80">
        <f>IF(AY1124=1,COUNTIFS(R_Emp,"&lt;&gt;"&amp;D1124,R_SAbs,"&lt;"&amp;AX1124,R_EAbs,"&gt;"&amp;AW1124,R_OKey,1),0)</f>
        <v>0</v>
      </c>
      <c r="BB1124" s="80">
        <f>IF(AND(AB1124=1,D1124="proMX"),IF(AND(MOD(Z1124,CFG_BLK)=0,MOD(AA1124,CFG_BLK)=0,MOD(AG1124,CFG_BLK)=0,AG1124&gt;0),1,0),1)</f>
        <v>1</v>
      </c>
      <c r="BC1124" s="80" t="str">
        <f>IF(Y1124=0,"",IF(NOT(ISNUMBER(B1124)),"Falta fecha o fecha inválida",IF(D1124="","Falta empresa",IF(AND(D1124&lt;&gt;"Malcolm",D1124&lt;&gt;"proMX"),"Empresa inválida",IF(OR(INT(B1124)&lt;CFG_PSTART,INT(B1124)&gt;CFG_PEND),"Fecha fuera del período",IF(OR(NOT(ISNUMBER(Z1124)),NOT(ISNUMBER(AA1124))),"Falta hora inicio/fin o formato inválido",IF(AB1124=0,"Hora inicio = hora fin",IF(AE1124&lt;0,"Descanso inválido",IF(AE1124&gt;=AD1124,"Descanso ≥ duración",IF(AV1124=1,"Registro duplicado",IF(AZ1124&gt;0,"Se superpone con otro registro "&amp;D1124,IF(BB1124=0,"inicio, fin y duración neta deben ser múltiplos de "&amp;CFG_BLK&amp;" min",""))))))))))))</f>
        <v/>
      </c>
      <c r="BD1124" s="80">
        <f>IF(AND(Y1124=1,BC1124=""),1,0)</f>
        <v>0</v>
      </c>
      <c r="BE1124" s="80">
        <f>IF(AND(BD1124=1,AU1124=1),1,0)</f>
        <v>0</v>
      </c>
      <c r="BF1124" s="80" t="str">
        <f>IF(AND(D1124="proMX",BD1124=1),IF(R1124="","Draft",R1124),"")</f>
        <v/>
      </c>
      <c r="BG1124" s="80">
        <f>IF(BD1124=1,ROUND(AG1124/60,6),0)</f>
        <v>0</v>
      </c>
      <c r="BH1124" s="80">
        <f>IF(BE1124=1,ROUND(AG1124/60,6),0)</f>
        <v>0</v>
      </c>
      <c r="BI1124" s="80">
        <f>IF(BE1124=1,ROUND(AP1124/60,6),0)</f>
        <v>0</v>
      </c>
      <c r="BJ1124" s="80">
        <f>IF(BE1124=1,ROUND(AQ1124/60,6),0)</f>
        <v>0</v>
      </c>
      <c r="BK1124" s="80">
        <f>IF(BE1124=1,ROUND((AR1124+AS1124)/60,6),0)</f>
        <v>0</v>
      </c>
      <c r="BL1124" s="80">
        <f>ROUND(BH1124-BK1124,6)</f>
        <v>0</v>
      </c>
      <c r="BM1124" s="80">
        <f>IF(BE1124=1,ROUND(AR1124/60,6),0)</f>
        <v>0</v>
      </c>
      <c r="BN1124" s="80">
        <f>ROUND(BI1124-BM1124,6)</f>
        <v>0</v>
      </c>
      <c r="BO1124" s="80">
        <f>IF(BE1124=1,ROUND(AS1124/60,6),0)</f>
        <v>0</v>
      </c>
      <c r="BP1124" s="80">
        <f>ROUND(BJ1124-BO1124,6)</f>
        <v>0</v>
      </c>
      <c r="BQ1124" s="80">
        <f>IF(BE1124=1,AW1124,0)</f>
        <v>0</v>
      </c>
      <c r="BR1124" s="80">
        <f>IF(BE1124=1,AX1124,0)</f>
        <v>0</v>
      </c>
      <c r="BS1124" s="80">
        <f>IF(AND(BE1124=1,D1124="Malcolm",BA1124&gt;0),MIN(BH1124,SUMPRODUCT((R_Emp="proMX")*(R_EN&gt;0)*((R_EN-(R_EN&gt;BR1124)*(R_EN-BR1124))&gt;(R_SN+(R_SN&lt;BQ1124)*(BQ1124-R_SN)))*((R_EN-(R_EN&gt;BR1124)*(R_EN-BR1124))-(R_SN+(R_SN&lt;BQ1124)*(BQ1124-R_SN))))/60),0)</f>
        <v>0</v>
      </c>
      <c r="BT1124" s="80">
        <f>IF(AND(BE1124=1,D1124="proMX"),ROUND(BI1124*CFG_RATE+BJ1124*CFG_OTRATE,6),0)</f>
        <v>0</v>
      </c>
      <c r="BU1124" s="80">
        <f>IF(AND(BD1124=1,D1124="proMX"),ROUND(AG1124/CFG_BLK,6),0)</f>
        <v>0</v>
      </c>
      <c r="BV1124" s="80" t="str">
        <f>IF(BF1124="Approved",IF(ISNUMBER(T1124),INT(T1124),INT(B1124)),"")</f>
        <v/>
      </c>
      <c r="BW1124" s="80">
        <f>IF(ISNUMBER(B1124),IF(DB_MON="Todos",1,IF(AND(INT(B1124)&gt;=DB_MS,INT(B1124)&lt;=DB_ME),1,0)),0)</f>
        <v>0</v>
      </c>
      <c r="BX1124" s="80">
        <f>IF(DB_PROJ="Todos",1,IF(E1124&amp;""=DB_PROJ&amp;"",1,0))</f>
        <v>1</v>
      </c>
      <c r="BY1124" s="80">
        <f>BW1124*BX1124</f>
        <v>0</v>
      </c>
      <c r="BZ1124" s="80" t="str">
        <f>IF(Y1124=1,F1124&amp;IF(AND(F1124&amp;""&lt;&gt;"",E1124&amp;""&lt;&gt;"")," · ","")&amp;E1124,"")</f>
        <v/>
      </c>
      <c r="CA1124" s="80" t="str">
        <f>IF(AND(BD1124=1,E1124&amp;""&lt;&gt;""),IF(COUNTIFS($E$5:E1123,E1124,$BD$5:BD1123,1)=0,MAX($CA$5:CA1123)+1,""),"")</f>
        <v/>
      </c>
      <c r="CB1124" s="80" t="str">
        <f>IF(AND(BE1124=1,D1124="Malcolm",E1124&amp;""&lt;&gt;""),IF(COUNTIFS($D$5:D1123,"Malcolm",$E$5:E1123,E1124,$BE$5:BE1123,1)=0,MAX($CB$5:CB1123)+1,""),"")</f>
        <v/>
      </c>
      <c r="CC1124" s="80" t="str">
        <f>IF(AND(BD1124=1,D1124="proMX",E1124&amp;""&lt;&gt;""),IF(COUNTIFS($D$5:D1123,"proMX",$E$5:E1123,E1124,$BD$5:BD1123,1)=0,MAX($CC$5:CC1123)+1,""),"")</f>
        <v/>
      </c>
      <c r="CD1124" s="80" t="str">
        <f>IF(AND(BE1124=1,D1124="Malcolm",F1124&amp;""&lt;&gt;""),IF(COUNTIFS($D$5:D1123,"Malcolm",$F$5:F1123,F1124,$BE$5:BE1123,1)=0,MAX($CD$5:CD1123)+1,""),"")</f>
        <v/>
      </c>
      <c r="CE1124" s="80" t="str">
        <f>IF(AND(BD1124=1,D1124="proMX",F1124&amp;""&lt;&gt;""),IF(COUNTIFS($D$5:D1123,"proMX",$F$5:F1123,F1124,$BD$5:BD1123,1)=0,MAX($CE$5:CE1123)+1,""),"")</f>
        <v/>
      </c>
      <c r="CF1124" s="80" t="str">
        <f>IF(AND(D1124="proMX",BD1124=1),IF(OR(BF1124="Draft",BF1124="Submitted",BF1124="Returned",BF1124="Recall Requested"),MAX($CF$5:CF1123)+1,""),"")</f>
        <v/>
      </c>
      <c r="CG1124" s="80">
        <f>IF(BD1124=0,0,IF(D1124="Malcolm",1,MATCH(BF1124,{"Draft","Submitted","Approved","Returned","Recall Requested","Cancelled"},0)+1))</f>
        <v>0</v>
      </c>
      <c r="CH1124" s="80">
        <f>IF(AND(BF1124="Submitted",ISNUMBER(V1124)),IF(V1124&gt;CFG_MAXD,1,0),0)</f>
        <v>0</v>
      </c>
    </row>
    <row r="1125">
      <c r="A1125" s="71" t="str">
        <f>IF(Y1125=1,ROW()-5,"")</f>
        <v/>
      </c>
      <c r="B1125" s="72" t="n"/>
      <c r="C1125" s="71" t="str">
        <f>IF(ISNUMBER(B1125),CHOOSE(WEEKDAY(B1125,2),"Lun","Mar","Mié","Jue","Vie","Sáb","Dom"),"")</f>
        <v/>
      </c>
      <c r="D1125" s="73" t="n"/>
      <c r="E1125" s="74" t="n"/>
      <c r="F1125" s="74" t="n"/>
      <c r="G1125" s="74" t="n"/>
      <c r="H1125" s="75" t="n"/>
      <c r="I1125" s="75" t="n"/>
      <c r="J1125" s="76" t="n"/>
      <c r="K1125" s="77" t="str">
        <f>IF(AB1125=1,ROUND(AG1125/60,4),"")</f>
        <v/>
      </c>
      <c r="L1125" s="77" t="str">
        <f>IF(BD1125=1,ROUND(AP1125/60,4),"")</f>
        <v/>
      </c>
      <c r="M1125" s="77" t="str">
        <f>IF(BD1125=1,ROUND(AQ1125/60,4),"")</f>
        <v/>
      </c>
      <c r="N1125" s="71" t="str">
        <f>IF(AND(D1125="proMX",AB1125=1),ROUND(AG1125/CFG_BLK,2),"")</f>
        <v/>
      </c>
      <c r="O1125" s="77" t="str">
        <f>IF(D1125="proMX",IF(BD1125=1,ROUND(AG1125/60,4),0),"")</f>
        <v/>
      </c>
      <c r="P1125" s="78" t="str">
        <f>IF(Y1125=0,"",IF(BD1125=1,"OK",IF(D1125="proMX","Revisar bloques: ","Revisar: ")&amp;BC1125))</f>
        <v/>
      </c>
      <c r="Q1125" s="78" t="str">
        <f>IF(NOT(ISNUMBER(B1125)),"",IF(COUNTIFS(FER_F,INT(B1125))&gt;0,"Feriado"&amp;IF(AH1125=1," (laborable)"," (no laborable)"),IF(AH1125=1,"Laborable",IF(WEEKDAY(B1125,2)&gt;5,"Fin de semana","No laborable"))))</f>
        <v/>
      </c>
      <c r="R1125" s="73" t="n"/>
      <c r="S1125" s="72" t="n"/>
      <c r="T1125" s="72" t="n"/>
      <c r="U1125" s="74" t="n"/>
      <c r="V1125" s="79" t="str">
        <f>IF(AND(D1125="proMX",OR(R1125="Submitted",R1125="Recall Requested"),ISNUMBER(S1125)),CFG_TODAY-INT(S1125),"")</f>
        <v/>
      </c>
      <c r="W1125" s="78" t="str">
        <f>IF(BD1125=0,"",IF(BA1125&gt;0,"⚠ Se superpone con un registro de la otra empresa",IF(D1125="Malcolm",IF(COUNTA(R1125,S1125,T1125)&gt;0,"Estado/fechas proMX se ignoran en Malcolm",""),IF(BF1125="Cancelled","Cancelado: excluido de totales",IF(R1125="","Sin estado: se trata como Draft",IF(BF1125="Submitted",IF(ISNUMBER(V1125),IF(V1125&gt;CFG_MAXD,"⚠ "&amp;V1125&amp;" días en Submitted (máx. "&amp;CFG_MAXD&amp;")",""),"Falta fecha de envío"),IF(BF1125="Returned","⚠ Devuelto: corregir y reenviar",IF(BF1125="Recall Requested","Retirada solicitada: pendiente",IF(AND(BF1125="Approved",NOT(ISNUMBER(T1125))),"Falta fecha de aprobación",IF(AND(ISNUMBER(S1125),ISNUMBER(T1125),T1125&lt;S1125),"Aprobación anterior al envío","")))))))))</f>
        <v/>
      </c>
      <c r="Y1125" s="80">
        <f>IF(COUNTA(B1125,D1125,E1125,F1125,G1125,H1125,I1125,J1125,R1125,S1125,T1125)&gt;0,1,0)</f>
        <v>0</v>
      </c>
      <c r="Z1125" s="80" t="str">
        <f>IF(AND(ISNUMBER(H1125),H1125&gt;=0,H1125&lt;1),ROUND(H1125*1440,0),"")</f>
        <v/>
      </c>
      <c r="AA1125" s="80" t="str">
        <f>IF(AND(ISNUMBER(I1125),I1125&gt;=0,I1125&lt;1),ROUND(I1125*1440,0),"")</f>
        <v/>
      </c>
      <c r="AB1125" s="80">
        <f>IF(AND(ISNUMBER(B1125),D1125&lt;&gt;"",ISNUMBER(Z1125),ISNUMBER(AA1125)),IF(Z1125=AA1125,0,1),0)</f>
        <v>0</v>
      </c>
      <c r="AC1125" s="80">
        <f>IF(AB1125=1,IF(AA1125&lt;Z1125,1,0),0)</f>
        <v>0</v>
      </c>
      <c r="AD1125" s="80">
        <f>IF(AB1125=1,IF(AC1125=1,1440-Z1125+AA1125,AA1125-Z1125),0)</f>
        <v>0</v>
      </c>
      <c r="AE1125" s="80">
        <f>IF(J1125="",0,IF(ISNUMBER(J1125),J1125,-1))</f>
        <v>0</v>
      </c>
      <c r="AF1125" s="80">
        <f>MIN(MAX(0,AE1125),AD1125)</f>
        <v>0</v>
      </c>
      <c r="AG1125" s="80">
        <f>MAX(0,AD1125-MAX(0,AE1125))</f>
        <v>0</v>
      </c>
      <c r="AH1125" s="80">
        <f>IF(ISNUMBER(B1125),IF(AND(INDEX(CFG_WDAYS,WEEKDAY(INT(B1125),2))="Sí",IF(D1125="proMX",COUNTIFS(FER_F,INT(B1125),FER_NLP,"Sí"),COUNTIFS(FER_F,INT(B1125),FER_NLM,"Sí"))=0),1,0),0)</f>
        <v>0</v>
      </c>
      <c r="AI1125" s="80">
        <f>IF(AC1125=1,IF(AND(INDEX(CFG_WDAYS,WEEKDAY(INT(B1125)+1,2))="Sí",IF(D1125="proMX",COUNTIFS(FER_F,INT(B1125)+1,FER_NLP,"Sí"),COUNTIFS(FER_F,INT(B1125)+1,FER_NLM,"Sí"))=0),1,0),0)</f>
        <v>0</v>
      </c>
      <c r="AJ1125" s="80">
        <f>IF(AC1125=1,1440-Z1125,AD1125)</f>
        <v>0</v>
      </c>
      <c r="AK1125" s="80">
        <f>IF(AND(AB1125=1,AH1125=1),MAX(0,MIN(IF(AC1125=1,1440,AA1125),CFG_WEM)-MAX(Z1125,CFG_WSM)),0)</f>
        <v>0</v>
      </c>
      <c r="AL1125" s="80">
        <f>IF(AND(AC1125=1,AI1125=1),MAX(0,MIN(AA1125,CFG_WEM)-CFG_WSM),0)</f>
        <v>0</v>
      </c>
      <c r="AM1125" s="80">
        <f>AK1125+AL1125</f>
        <v>0</v>
      </c>
      <c r="AN1125" s="80">
        <f>IF(CFG_BRK="Proporcional",IF(AD1125=0,0,AF1125*AM1125/AD1125),IF(CFG_BRK="Extras primero",MIN(AM1125,MAX(0,AF1125-(AD1125-AM1125))),MIN(AF1125,AM1125)))</f>
        <v>0</v>
      </c>
      <c r="AO1125" s="80">
        <f>AF1125-AN1125</f>
        <v>0</v>
      </c>
      <c r="AP1125" s="80">
        <f>AM1125-AN1125</f>
        <v>0</v>
      </c>
      <c r="AQ1125" s="80">
        <f>AD1125-AM1125-AO1125</f>
        <v>0</v>
      </c>
      <c r="AR1125" s="80">
        <f>IF(AM1125=0,0,AK1125-AN1125*AK1125/AM1125)</f>
        <v>0</v>
      </c>
      <c r="AS1125" s="80">
        <f>IF(AD1125-AM1125=0,0,(AJ1125-AK1125)-AO1125*(AJ1125-AK1125)/(AD1125-AM1125))</f>
        <v>0</v>
      </c>
      <c r="AT1125" s="80" t="str">
        <f>IF(AC1125=1,INT(B1125)+1,"")</f>
        <v/>
      </c>
      <c r="AU1125" s="80">
        <f>IF(AND(D1125="proMX",R1125="Cancelled"),0,1)</f>
        <v>1</v>
      </c>
      <c r="AV1125" s="80">
        <f>IF(AND(AB1125=1,AU1125=1),IF(COUNTIFS($D$5:D1124,D1125,$B$5:B1124,B1125,$Z$5:Z1124,Z1125,$AA$5:AA1124,AA1125,$F$5:F1124,F1125&amp;"",$AU$5:AU1124,1)&gt;0,1,0),0)</f>
        <v>0</v>
      </c>
      <c r="AW1125" s="80" t="str">
        <f>IF(AB1125=1,INT(B1125)*1440+Z1125,"")</f>
        <v/>
      </c>
      <c r="AX1125" s="80" t="str">
        <f>IF(AB1125=1,AW1125+AD1125,"")</f>
        <v/>
      </c>
      <c r="AY1125" s="80">
        <f>IF(AND(AB1125=1,AV1125=0,AU1125=1),1,0)</f>
        <v>0</v>
      </c>
      <c r="AZ1125" s="80">
        <f>IF(AY1125=1,COUNTIFS(R_Emp,D1125,R_SAbs,"&lt;"&amp;AX1125,R_EAbs,"&gt;"&amp;AW1125,R_OKey,1)-1,0)</f>
        <v>0</v>
      </c>
      <c r="BA1125" s="80">
        <f>IF(AY1125=1,COUNTIFS(R_Emp,"&lt;&gt;"&amp;D1125,R_SAbs,"&lt;"&amp;AX1125,R_EAbs,"&gt;"&amp;AW1125,R_OKey,1),0)</f>
        <v>0</v>
      </c>
      <c r="BB1125" s="80">
        <f>IF(AND(AB1125=1,D1125="proMX"),IF(AND(MOD(Z1125,CFG_BLK)=0,MOD(AA1125,CFG_BLK)=0,MOD(AG1125,CFG_BLK)=0,AG1125&gt;0),1,0),1)</f>
        <v>1</v>
      </c>
      <c r="BC1125" s="80" t="str">
        <f>IF(Y1125=0,"",IF(NOT(ISNUMBER(B1125)),"Falta fecha o fecha inválida",IF(D1125="","Falta empresa",IF(AND(D1125&lt;&gt;"Malcolm",D1125&lt;&gt;"proMX"),"Empresa inválida",IF(OR(INT(B1125)&lt;CFG_PSTART,INT(B1125)&gt;CFG_PEND),"Fecha fuera del período",IF(OR(NOT(ISNUMBER(Z1125)),NOT(ISNUMBER(AA1125))),"Falta hora inicio/fin o formato inválido",IF(AB1125=0,"Hora inicio = hora fin",IF(AE1125&lt;0,"Descanso inválido",IF(AE1125&gt;=AD1125,"Descanso ≥ duración",IF(AV1125=1,"Registro duplicado",IF(AZ1125&gt;0,"Se superpone con otro registro "&amp;D1125,IF(BB1125=0,"inicio, fin y duración neta deben ser múltiplos de "&amp;CFG_BLK&amp;" min",""))))))))))))</f>
        <v/>
      </c>
      <c r="BD1125" s="80">
        <f>IF(AND(Y1125=1,BC1125=""),1,0)</f>
        <v>0</v>
      </c>
      <c r="BE1125" s="80">
        <f>IF(AND(BD1125=1,AU1125=1),1,0)</f>
        <v>0</v>
      </c>
      <c r="BF1125" s="80" t="str">
        <f>IF(AND(D1125="proMX",BD1125=1),IF(R1125="","Draft",R1125),"")</f>
        <v/>
      </c>
      <c r="BG1125" s="80">
        <f>IF(BD1125=1,ROUND(AG1125/60,6),0)</f>
        <v>0</v>
      </c>
      <c r="BH1125" s="80">
        <f>IF(BE1125=1,ROUND(AG1125/60,6),0)</f>
        <v>0</v>
      </c>
      <c r="BI1125" s="80">
        <f>IF(BE1125=1,ROUND(AP1125/60,6),0)</f>
        <v>0</v>
      </c>
      <c r="BJ1125" s="80">
        <f>IF(BE1125=1,ROUND(AQ1125/60,6),0)</f>
        <v>0</v>
      </c>
      <c r="BK1125" s="80">
        <f>IF(BE1125=1,ROUND((AR1125+AS1125)/60,6),0)</f>
        <v>0</v>
      </c>
      <c r="BL1125" s="80">
        <f>ROUND(BH1125-BK1125,6)</f>
        <v>0</v>
      </c>
      <c r="BM1125" s="80">
        <f>IF(BE1125=1,ROUND(AR1125/60,6),0)</f>
        <v>0</v>
      </c>
      <c r="BN1125" s="80">
        <f>ROUND(BI1125-BM1125,6)</f>
        <v>0</v>
      </c>
      <c r="BO1125" s="80">
        <f>IF(BE1125=1,ROUND(AS1125/60,6),0)</f>
        <v>0</v>
      </c>
      <c r="BP1125" s="80">
        <f>ROUND(BJ1125-BO1125,6)</f>
        <v>0</v>
      </c>
      <c r="BQ1125" s="80">
        <f>IF(BE1125=1,AW1125,0)</f>
        <v>0</v>
      </c>
      <c r="BR1125" s="80">
        <f>IF(BE1125=1,AX1125,0)</f>
        <v>0</v>
      </c>
      <c r="BS1125" s="80">
        <f>IF(AND(BE1125=1,D1125="Malcolm",BA1125&gt;0),MIN(BH1125,SUMPRODUCT((R_Emp="proMX")*(R_EN&gt;0)*((R_EN-(R_EN&gt;BR1125)*(R_EN-BR1125))&gt;(R_SN+(R_SN&lt;BQ1125)*(BQ1125-R_SN)))*((R_EN-(R_EN&gt;BR1125)*(R_EN-BR1125))-(R_SN+(R_SN&lt;BQ1125)*(BQ1125-R_SN))))/60),0)</f>
        <v>0</v>
      </c>
      <c r="BT1125" s="80">
        <f>IF(AND(BE1125=1,D1125="proMX"),ROUND(BI1125*CFG_RATE+BJ1125*CFG_OTRATE,6),0)</f>
        <v>0</v>
      </c>
      <c r="BU1125" s="80">
        <f>IF(AND(BD1125=1,D1125="proMX"),ROUND(AG1125/CFG_BLK,6),0)</f>
        <v>0</v>
      </c>
      <c r="BV1125" s="80" t="str">
        <f>IF(BF1125="Approved",IF(ISNUMBER(T1125),INT(T1125),INT(B1125)),"")</f>
        <v/>
      </c>
      <c r="BW1125" s="80">
        <f>IF(ISNUMBER(B1125),IF(DB_MON="Todos",1,IF(AND(INT(B1125)&gt;=DB_MS,INT(B1125)&lt;=DB_ME),1,0)),0)</f>
        <v>0</v>
      </c>
      <c r="BX1125" s="80">
        <f>IF(DB_PROJ="Todos",1,IF(E1125&amp;""=DB_PROJ&amp;"",1,0))</f>
        <v>1</v>
      </c>
      <c r="BY1125" s="80">
        <f>BW1125*BX1125</f>
        <v>0</v>
      </c>
      <c r="BZ1125" s="80" t="str">
        <f>IF(Y1125=1,F1125&amp;IF(AND(F1125&amp;""&lt;&gt;"",E1125&amp;""&lt;&gt;"")," · ","")&amp;E1125,"")</f>
        <v/>
      </c>
      <c r="CA1125" s="80" t="str">
        <f>IF(AND(BD1125=1,E1125&amp;""&lt;&gt;""),IF(COUNTIFS($E$5:E1124,E1125,$BD$5:BD1124,1)=0,MAX($CA$5:CA1124)+1,""),"")</f>
        <v/>
      </c>
      <c r="CB1125" s="80" t="str">
        <f>IF(AND(BE1125=1,D1125="Malcolm",E1125&amp;""&lt;&gt;""),IF(COUNTIFS($D$5:D1124,"Malcolm",$E$5:E1124,E1125,$BE$5:BE1124,1)=0,MAX($CB$5:CB1124)+1,""),"")</f>
        <v/>
      </c>
      <c r="CC1125" s="80" t="str">
        <f>IF(AND(BD1125=1,D1125="proMX",E1125&amp;""&lt;&gt;""),IF(COUNTIFS($D$5:D1124,"proMX",$E$5:E1124,E1125,$BD$5:BD1124,1)=0,MAX($CC$5:CC1124)+1,""),"")</f>
        <v/>
      </c>
      <c r="CD1125" s="80" t="str">
        <f>IF(AND(BE1125=1,D1125="Malcolm",F1125&amp;""&lt;&gt;""),IF(COUNTIFS($D$5:D1124,"Malcolm",$F$5:F1124,F1125,$BE$5:BE1124,1)=0,MAX($CD$5:CD1124)+1,""),"")</f>
        <v/>
      </c>
      <c r="CE1125" s="80" t="str">
        <f>IF(AND(BD1125=1,D1125="proMX",F1125&amp;""&lt;&gt;""),IF(COUNTIFS($D$5:D1124,"proMX",$F$5:F1124,F1125,$BD$5:BD1124,1)=0,MAX($CE$5:CE1124)+1,""),"")</f>
        <v/>
      </c>
      <c r="CF1125" s="80" t="str">
        <f>IF(AND(D1125="proMX",BD1125=1),IF(OR(BF1125="Draft",BF1125="Submitted",BF1125="Returned",BF1125="Recall Requested"),MAX($CF$5:CF1124)+1,""),"")</f>
        <v/>
      </c>
      <c r="CG1125" s="80">
        <f>IF(BD1125=0,0,IF(D1125="Malcolm",1,MATCH(BF1125,{"Draft","Submitted","Approved","Returned","Recall Requested","Cancelled"},0)+1))</f>
        <v>0</v>
      </c>
      <c r="CH1125" s="80">
        <f>IF(AND(BF1125="Submitted",ISNUMBER(V1125)),IF(V1125&gt;CFG_MAXD,1,0),0)</f>
        <v>0</v>
      </c>
    </row>
    <row r="1126">
      <c r="A1126" s="71" t="str">
        <f>IF(Y1126=1,ROW()-5,"")</f>
        <v/>
      </c>
      <c r="B1126" s="72" t="n"/>
      <c r="C1126" s="71" t="str">
        <f>IF(ISNUMBER(B1126),CHOOSE(WEEKDAY(B1126,2),"Lun","Mar","Mié","Jue","Vie","Sáb","Dom"),"")</f>
        <v/>
      </c>
      <c r="D1126" s="73" t="n"/>
      <c r="E1126" s="74" t="n"/>
      <c r="F1126" s="74" t="n"/>
      <c r="G1126" s="74" t="n"/>
      <c r="H1126" s="75" t="n"/>
      <c r="I1126" s="75" t="n"/>
      <c r="J1126" s="76" t="n"/>
      <c r="K1126" s="77" t="str">
        <f>IF(AB1126=1,ROUND(AG1126/60,4),"")</f>
        <v/>
      </c>
      <c r="L1126" s="77" t="str">
        <f>IF(BD1126=1,ROUND(AP1126/60,4),"")</f>
        <v/>
      </c>
      <c r="M1126" s="77" t="str">
        <f>IF(BD1126=1,ROUND(AQ1126/60,4),"")</f>
        <v/>
      </c>
      <c r="N1126" s="71" t="str">
        <f>IF(AND(D1126="proMX",AB1126=1),ROUND(AG1126/CFG_BLK,2),"")</f>
        <v/>
      </c>
      <c r="O1126" s="77" t="str">
        <f>IF(D1126="proMX",IF(BD1126=1,ROUND(AG1126/60,4),0),"")</f>
        <v/>
      </c>
      <c r="P1126" s="78" t="str">
        <f>IF(Y1126=0,"",IF(BD1126=1,"OK",IF(D1126="proMX","Revisar bloques: ","Revisar: ")&amp;BC1126))</f>
        <v/>
      </c>
      <c r="Q1126" s="78" t="str">
        <f>IF(NOT(ISNUMBER(B1126)),"",IF(COUNTIFS(FER_F,INT(B1126))&gt;0,"Feriado"&amp;IF(AH1126=1," (laborable)"," (no laborable)"),IF(AH1126=1,"Laborable",IF(WEEKDAY(B1126,2)&gt;5,"Fin de semana","No laborable"))))</f>
        <v/>
      </c>
      <c r="R1126" s="73" t="n"/>
      <c r="S1126" s="72" t="n"/>
      <c r="T1126" s="72" t="n"/>
      <c r="U1126" s="74" t="n"/>
      <c r="V1126" s="79" t="str">
        <f>IF(AND(D1126="proMX",OR(R1126="Submitted",R1126="Recall Requested"),ISNUMBER(S1126)),CFG_TODAY-INT(S1126),"")</f>
        <v/>
      </c>
      <c r="W1126" s="78" t="str">
        <f>IF(BD1126=0,"",IF(BA1126&gt;0,"⚠ Se superpone con un registro de la otra empresa",IF(D1126="Malcolm",IF(COUNTA(R1126,S1126,T1126)&gt;0,"Estado/fechas proMX se ignoran en Malcolm",""),IF(BF1126="Cancelled","Cancelado: excluido de totales",IF(R1126="","Sin estado: se trata como Draft",IF(BF1126="Submitted",IF(ISNUMBER(V1126),IF(V1126&gt;CFG_MAXD,"⚠ "&amp;V1126&amp;" días en Submitted (máx. "&amp;CFG_MAXD&amp;")",""),"Falta fecha de envío"),IF(BF1126="Returned","⚠ Devuelto: corregir y reenviar",IF(BF1126="Recall Requested","Retirada solicitada: pendiente",IF(AND(BF1126="Approved",NOT(ISNUMBER(T1126))),"Falta fecha de aprobación",IF(AND(ISNUMBER(S1126),ISNUMBER(T1126),T1126&lt;S1126),"Aprobación anterior al envío","")))))))))</f>
        <v/>
      </c>
      <c r="Y1126" s="80">
        <f>IF(COUNTA(B1126,D1126,E1126,F1126,G1126,H1126,I1126,J1126,R1126,S1126,T1126)&gt;0,1,0)</f>
        <v>0</v>
      </c>
      <c r="Z1126" s="80" t="str">
        <f>IF(AND(ISNUMBER(H1126),H1126&gt;=0,H1126&lt;1),ROUND(H1126*1440,0),"")</f>
        <v/>
      </c>
      <c r="AA1126" s="80" t="str">
        <f>IF(AND(ISNUMBER(I1126),I1126&gt;=0,I1126&lt;1),ROUND(I1126*1440,0),"")</f>
        <v/>
      </c>
      <c r="AB1126" s="80">
        <f>IF(AND(ISNUMBER(B1126),D1126&lt;&gt;"",ISNUMBER(Z1126),ISNUMBER(AA1126)),IF(Z1126=AA1126,0,1),0)</f>
        <v>0</v>
      </c>
      <c r="AC1126" s="80">
        <f>IF(AB1126=1,IF(AA1126&lt;Z1126,1,0),0)</f>
        <v>0</v>
      </c>
      <c r="AD1126" s="80">
        <f>IF(AB1126=1,IF(AC1126=1,1440-Z1126+AA1126,AA1126-Z1126),0)</f>
        <v>0</v>
      </c>
      <c r="AE1126" s="80">
        <f>IF(J1126="",0,IF(ISNUMBER(J1126),J1126,-1))</f>
        <v>0</v>
      </c>
      <c r="AF1126" s="80">
        <f>MIN(MAX(0,AE1126),AD1126)</f>
        <v>0</v>
      </c>
      <c r="AG1126" s="80">
        <f>MAX(0,AD1126-MAX(0,AE1126))</f>
        <v>0</v>
      </c>
      <c r="AH1126" s="80">
        <f>IF(ISNUMBER(B1126),IF(AND(INDEX(CFG_WDAYS,WEEKDAY(INT(B1126),2))="Sí",IF(D1126="proMX",COUNTIFS(FER_F,INT(B1126),FER_NLP,"Sí"),COUNTIFS(FER_F,INT(B1126),FER_NLM,"Sí"))=0),1,0),0)</f>
        <v>0</v>
      </c>
      <c r="AI1126" s="80">
        <f>IF(AC1126=1,IF(AND(INDEX(CFG_WDAYS,WEEKDAY(INT(B1126)+1,2))="Sí",IF(D1126="proMX",COUNTIFS(FER_F,INT(B1126)+1,FER_NLP,"Sí"),COUNTIFS(FER_F,INT(B1126)+1,FER_NLM,"Sí"))=0),1,0),0)</f>
        <v>0</v>
      </c>
      <c r="AJ1126" s="80">
        <f>IF(AC1126=1,1440-Z1126,AD1126)</f>
        <v>0</v>
      </c>
      <c r="AK1126" s="80">
        <f>IF(AND(AB1126=1,AH1126=1),MAX(0,MIN(IF(AC1126=1,1440,AA1126),CFG_WEM)-MAX(Z1126,CFG_WSM)),0)</f>
        <v>0</v>
      </c>
      <c r="AL1126" s="80">
        <f>IF(AND(AC1126=1,AI1126=1),MAX(0,MIN(AA1126,CFG_WEM)-CFG_WSM),0)</f>
        <v>0</v>
      </c>
      <c r="AM1126" s="80">
        <f>AK1126+AL1126</f>
        <v>0</v>
      </c>
      <c r="AN1126" s="80">
        <f>IF(CFG_BRK="Proporcional",IF(AD1126=0,0,AF1126*AM1126/AD1126),IF(CFG_BRK="Extras primero",MIN(AM1126,MAX(0,AF1126-(AD1126-AM1126))),MIN(AF1126,AM1126)))</f>
        <v>0</v>
      </c>
      <c r="AO1126" s="80">
        <f>AF1126-AN1126</f>
        <v>0</v>
      </c>
      <c r="AP1126" s="80">
        <f>AM1126-AN1126</f>
        <v>0</v>
      </c>
      <c r="AQ1126" s="80">
        <f>AD1126-AM1126-AO1126</f>
        <v>0</v>
      </c>
      <c r="AR1126" s="80">
        <f>IF(AM1126=0,0,AK1126-AN1126*AK1126/AM1126)</f>
        <v>0</v>
      </c>
      <c r="AS1126" s="80">
        <f>IF(AD1126-AM1126=0,0,(AJ1126-AK1126)-AO1126*(AJ1126-AK1126)/(AD1126-AM1126))</f>
        <v>0</v>
      </c>
      <c r="AT1126" s="80" t="str">
        <f>IF(AC1126=1,INT(B1126)+1,"")</f>
        <v/>
      </c>
      <c r="AU1126" s="80">
        <f>IF(AND(D1126="proMX",R1126="Cancelled"),0,1)</f>
        <v>1</v>
      </c>
      <c r="AV1126" s="80">
        <f>IF(AND(AB1126=1,AU1126=1),IF(COUNTIFS($D$5:D1125,D1126,$B$5:B1125,B1126,$Z$5:Z1125,Z1126,$AA$5:AA1125,AA1126,$F$5:F1125,F1126&amp;"",$AU$5:AU1125,1)&gt;0,1,0),0)</f>
        <v>0</v>
      </c>
      <c r="AW1126" s="80" t="str">
        <f>IF(AB1126=1,INT(B1126)*1440+Z1126,"")</f>
        <v/>
      </c>
      <c r="AX1126" s="80" t="str">
        <f>IF(AB1126=1,AW1126+AD1126,"")</f>
        <v/>
      </c>
      <c r="AY1126" s="80">
        <f>IF(AND(AB1126=1,AV1126=0,AU1126=1),1,0)</f>
        <v>0</v>
      </c>
      <c r="AZ1126" s="80">
        <f>IF(AY1126=1,COUNTIFS(R_Emp,D1126,R_SAbs,"&lt;"&amp;AX1126,R_EAbs,"&gt;"&amp;AW1126,R_OKey,1)-1,0)</f>
        <v>0</v>
      </c>
      <c r="BA1126" s="80">
        <f>IF(AY1126=1,COUNTIFS(R_Emp,"&lt;&gt;"&amp;D1126,R_SAbs,"&lt;"&amp;AX1126,R_EAbs,"&gt;"&amp;AW1126,R_OKey,1),0)</f>
        <v>0</v>
      </c>
      <c r="BB1126" s="80">
        <f>IF(AND(AB1126=1,D1126="proMX"),IF(AND(MOD(Z1126,CFG_BLK)=0,MOD(AA1126,CFG_BLK)=0,MOD(AG1126,CFG_BLK)=0,AG1126&gt;0),1,0),1)</f>
        <v>1</v>
      </c>
      <c r="BC1126" s="80" t="str">
        <f>IF(Y1126=0,"",IF(NOT(ISNUMBER(B1126)),"Falta fecha o fecha inválida",IF(D1126="","Falta empresa",IF(AND(D1126&lt;&gt;"Malcolm",D1126&lt;&gt;"proMX"),"Empresa inválida",IF(OR(INT(B1126)&lt;CFG_PSTART,INT(B1126)&gt;CFG_PEND),"Fecha fuera del período",IF(OR(NOT(ISNUMBER(Z1126)),NOT(ISNUMBER(AA1126))),"Falta hora inicio/fin o formato inválido",IF(AB1126=0,"Hora inicio = hora fin",IF(AE1126&lt;0,"Descanso inválido",IF(AE1126&gt;=AD1126,"Descanso ≥ duración",IF(AV1126=1,"Registro duplicado",IF(AZ1126&gt;0,"Se superpone con otro registro "&amp;D1126,IF(BB1126=0,"inicio, fin y duración neta deben ser múltiplos de "&amp;CFG_BLK&amp;" min",""))))))))))))</f>
        <v/>
      </c>
      <c r="BD1126" s="80">
        <f>IF(AND(Y1126=1,BC1126=""),1,0)</f>
        <v>0</v>
      </c>
      <c r="BE1126" s="80">
        <f>IF(AND(BD1126=1,AU1126=1),1,0)</f>
        <v>0</v>
      </c>
      <c r="BF1126" s="80" t="str">
        <f>IF(AND(D1126="proMX",BD1126=1),IF(R1126="","Draft",R1126),"")</f>
        <v/>
      </c>
      <c r="BG1126" s="80">
        <f>IF(BD1126=1,ROUND(AG1126/60,6),0)</f>
        <v>0</v>
      </c>
      <c r="BH1126" s="80">
        <f>IF(BE1126=1,ROUND(AG1126/60,6),0)</f>
        <v>0</v>
      </c>
      <c r="BI1126" s="80">
        <f>IF(BE1126=1,ROUND(AP1126/60,6),0)</f>
        <v>0</v>
      </c>
      <c r="BJ1126" s="80">
        <f>IF(BE1126=1,ROUND(AQ1126/60,6),0)</f>
        <v>0</v>
      </c>
      <c r="BK1126" s="80">
        <f>IF(BE1126=1,ROUND((AR1126+AS1126)/60,6),0)</f>
        <v>0</v>
      </c>
      <c r="BL1126" s="80">
        <f>ROUND(BH1126-BK1126,6)</f>
        <v>0</v>
      </c>
      <c r="BM1126" s="80">
        <f>IF(BE1126=1,ROUND(AR1126/60,6),0)</f>
        <v>0</v>
      </c>
      <c r="BN1126" s="80">
        <f>ROUND(BI1126-BM1126,6)</f>
        <v>0</v>
      </c>
      <c r="BO1126" s="80">
        <f>IF(BE1126=1,ROUND(AS1126/60,6),0)</f>
        <v>0</v>
      </c>
      <c r="BP1126" s="80">
        <f>ROUND(BJ1126-BO1126,6)</f>
        <v>0</v>
      </c>
      <c r="BQ1126" s="80">
        <f>IF(BE1126=1,AW1126,0)</f>
        <v>0</v>
      </c>
      <c r="BR1126" s="80">
        <f>IF(BE1126=1,AX1126,0)</f>
        <v>0</v>
      </c>
      <c r="BS1126" s="80">
        <f>IF(AND(BE1126=1,D1126="Malcolm",BA1126&gt;0),MIN(BH1126,SUMPRODUCT((R_Emp="proMX")*(R_EN&gt;0)*((R_EN-(R_EN&gt;BR1126)*(R_EN-BR1126))&gt;(R_SN+(R_SN&lt;BQ1126)*(BQ1126-R_SN)))*((R_EN-(R_EN&gt;BR1126)*(R_EN-BR1126))-(R_SN+(R_SN&lt;BQ1126)*(BQ1126-R_SN))))/60),0)</f>
        <v>0</v>
      </c>
      <c r="BT1126" s="80">
        <f>IF(AND(BE1126=1,D1126="proMX"),ROUND(BI1126*CFG_RATE+BJ1126*CFG_OTRATE,6),0)</f>
        <v>0</v>
      </c>
      <c r="BU1126" s="80">
        <f>IF(AND(BD1126=1,D1126="proMX"),ROUND(AG1126/CFG_BLK,6),0)</f>
        <v>0</v>
      </c>
      <c r="BV1126" s="80" t="str">
        <f>IF(BF1126="Approved",IF(ISNUMBER(T1126),INT(T1126),INT(B1126)),"")</f>
        <v/>
      </c>
      <c r="BW1126" s="80">
        <f>IF(ISNUMBER(B1126),IF(DB_MON="Todos",1,IF(AND(INT(B1126)&gt;=DB_MS,INT(B1126)&lt;=DB_ME),1,0)),0)</f>
        <v>0</v>
      </c>
      <c r="BX1126" s="80">
        <f>IF(DB_PROJ="Todos",1,IF(E1126&amp;""=DB_PROJ&amp;"",1,0))</f>
        <v>1</v>
      </c>
      <c r="BY1126" s="80">
        <f>BW1126*BX1126</f>
        <v>0</v>
      </c>
      <c r="BZ1126" s="80" t="str">
        <f>IF(Y1126=1,F1126&amp;IF(AND(F1126&amp;""&lt;&gt;"",E1126&amp;""&lt;&gt;"")," · ","")&amp;E1126,"")</f>
        <v/>
      </c>
      <c r="CA1126" s="80" t="str">
        <f>IF(AND(BD1126=1,E1126&amp;""&lt;&gt;""),IF(COUNTIFS($E$5:E1125,E1126,$BD$5:BD1125,1)=0,MAX($CA$5:CA1125)+1,""),"")</f>
        <v/>
      </c>
      <c r="CB1126" s="80" t="str">
        <f>IF(AND(BE1126=1,D1126="Malcolm",E1126&amp;""&lt;&gt;""),IF(COUNTIFS($D$5:D1125,"Malcolm",$E$5:E1125,E1126,$BE$5:BE1125,1)=0,MAX($CB$5:CB1125)+1,""),"")</f>
        <v/>
      </c>
      <c r="CC1126" s="80" t="str">
        <f>IF(AND(BD1126=1,D1126="proMX",E1126&amp;""&lt;&gt;""),IF(COUNTIFS($D$5:D1125,"proMX",$E$5:E1125,E1126,$BD$5:BD1125,1)=0,MAX($CC$5:CC1125)+1,""),"")</f>
        <v/>
      </c>
      <c r="CD1126" s="80" t="str">
        <f>IF(AND(BE1126=1,D1126="Malcolm",F1126&amp;""&lt;&gt;""),IF(COUNTIFS($D$5:D1125,"Malcolm",$F$5:F1125,F1126,$BE$5:BE1125,1)=0,MAX($CD$5:CD1125)+1,""),"")</f>
        <v/>
      </c>
      <c r="CE1126" s="80" t="str">
        <f>IF(AND(BD1126=1,D1126="proMX",F1126&amp;""&lt;&gt;""),IF(COUNTIFS($D$5:D1125,"proMX",$F$5:F1125,F1126,$BD$5:BD1125,1)=0,MAX($CE$5:CE1125)+1,""),"")</f>
        <v/>
      </c>
      <c r="CF1126" s="80" t="str">
        <f>IF(AND(D1126="proMX",BD1126=1),IF(OR(BF1126="Draft",BF1126="Submitted",BF1126="Returned",BF1126="Recall Requested"),MAX($CF$5:CF1125)+1,""),"")</f>
        <v/>
      </c>
      <c r="CG1126" s="80">
        <f>IF(BD1126=0,0,IF(D1126="Malcolm",1,MATCH(BF1126,{"Draft","Submitted","Approved","Returned","Recall Requested","Cancelled"},0)+1))</f>
        <v>0</v>
      </c>
      <c r="CH1126" s="80">
        <f>IF(AND(BF1126="Submitted",ISNUMBER(V1126)),IF(V1126&gt;CFG_MAXD,1,0),0)</f>
        <v>0</v>
      </c>
    </row>
    <row r="1127">
      <c r="A1127" s="71" t="str">
        <f>IF(Y1127=1,ROW()-5,"")</f>
        <v/>
      </c>
      <c r="B1127" s="72" t="n"/>
      <c r="C1127" s="71" t="str">
        <f>IF(ISNUMBER(B1127),CHOOSE(WEEKDAY(B1127,2),"Lun","Mar","Mié","Jue","Vie","Sáb","Dom"),"")</f>
        <v/>
      </c>
      <c r="D1127" s="73" t="n"/>
      <c r="E1127" s="74" t="n"/>
      <c r="F1127" s="74" t="n"/>
      <c r="G1127" s="74" t="n"/>
      <c r="H1127" s="75" t="n"/>
      <c r="I1127" s="75" t="n"/>
      <c r="J1127" s="76" t="n"/>
      <c r="K1127" s="77" t="str">
        <f>IF(AB1127=1,ROUND(AG1127/60,4),"")</f>
        <v/>
      </c>
      <c r="L1127" s="77" t="str">
        <f>IF(BD1127=1,ROUND(AP1127/60,4),"")</f>
        <v/>
      </c>
      <c r="M1127" s="77" t="str">
        <f>IF(BD1127=1,ROUND(AQ1127/60,4),"")</f>
        <v/>
      </c>
      <c r="N1127" s="71" t="str">
        <f>IF(AND(D1127="proMX",AB1127=1),ROUND(AG1127/CFG_BLK,2),"")</f>
        <v/>
      </c>
      <c r="O1127" s="77" t="str">
        <f>IF(D1127="proMX",IF(BD1127=1,ROUND(AG1127/60,4),0),"")</f>
        <v/>
      </c>
      <c r="P1127" s="78" t="str">
        <f>IF(Y1127=0,"",IF(BD1127=1,"OK",IF(D1127="proMX","Revisar bloques: ","Revisar: ")&amp;BC1127))</f>
        <v/>
      </c>
      <c r="Q1127" s="78" t="str">
        <f>IF(NOT(ISNUMBER(B1127)),"",IF(COUNTIFS(FER_F,INT(B1127))&gt;0,"Feriado"&amp;IF(AH1127=1," (laborable)"," (no laborable)"),IF(AH1127=1,"Laborable",IF(WEEKDAY(B1127,2)&gt;5,"Fin de semana","No laborable"))))</f>
        <v/>
      </c>
      <c r="R1127" s="73" t="n"/>
      <c r="S1127" s="72" t="n"/>
      <c r="T1127" s="72" t="n"/>
      <c r="U1127" s="74" t="n"/>
      <c r="V1127" s="79" t="str">
        <f>IF(AND(D1127="proMX",OR(R1127="Submitted",R1127="Recall Requested"),ISNUMBER(S1127)),CFG_TODAY-INT(S1127),"")</f>
        <v/>
      </c>
      <c r="W1127" s="78" t="str">
        <f>IF(BD1127=0,"",IF(BA1127&gt;0,"⚠ Se superpone con un registro de la otra empresa",IF(D1127="Malcolm",IF(COUNTA(R1127,S1127,T1127)&gt;0,"Estado/fechas proMX se ignoran en Malcolm",""),IF(BF1127="Cancelled","Cancelado: excluido de totales",IF(R1127="","Sin estado: se trata como Draft",IF(BF1127="Submitted",IF(ISNUMBER(V1127),IF(V1127&gt;CFG_MAXD,"⚠ "&amp;V1127&amp;" días en Submitted (máx. "&amp;CFG_MAXD&amp;")",""),"Falta fecha de envío"),IF(BF1127="Returned","⚠ Devuelto: corregir y reenviar",IF(BF1127="Recall Requested","Retirada solicitada: pendiente",IF(AND(BF1127="Approved",NOT(ISNUMBER(T1127))),"Falta fecha de aprobación",IF(AND(ISNUMBER(S1127),ISNUMBER(T1127),T1127&lt;S1127),"Aprobación anterior al envío","")))))))))</f>
        <v/>
      </c>
      <c r="Y1127" s="80">
        <f>IF(COUNTA(B1127,D1127,E1127,F1127,G1127,H1127,I1127,J1127,R1127,S1127,T1127)&gt;0,1,0)</f>
        <v>0</v>
      </c>
      <c r="Z1127" s="80" t="str">
        <f>IF(AND(ISNUMBER(H1127),H1127&gt;=0,H1127&lt;1),ROUND(H1127*1440,0),"")</f>
        <v/>
      </c>
      <c r="AA1127" s="80" t="str">
        <f>IF(AND(ISNUMBER(I1127),I1127&gt;=0,I1127&lt;1),ROUND(I1127*1440,0),"")</f>
        <v/>
      </c>
      <c r="AB1127" s="80">
        <f>IF(AND(ISNUMBER(B1127),D1127&lt;&gt;"",ISNUMBER(Z1127),ISNUMBER(AA1127)),IF(Z1127=AA1127,0,1),0)</f>
        <v>0</v>
      </c>
      <c r="AC1127" s="80">
        <f>IF(AB1127=1,IF(AA1127&lt;Z1127,1,0),0)</f>
        <v>0</v>
      </c>
      <c r="AD1127" s="80">
        <f>IF(AB1127=1,IF(AC1127=1,1440-Z1127+AA1127,AA1127-Z1127),0)</f>
        <v>0</v>
      </c>
      <c r="AE1127" s="80">
        <f>IF(J1127="",0,IF(ISNUMBER(J1127),J1127,-1))</f>
        <v>0</v>
      </c>
      <c r="AF1127" s="80">
        <f>MIN(MAX(0,AE1127),AD1127)</f>
        <v>0</v>
      </c>
      <c r="AG1127" s="80">
        <f>MAX(0,AD1127-MAX(0,AE1127))</f>
        <v>0</v>
      </c>
      <c r="AH1127" s="80">
        <f>IF(ISNUMBER(B1127),IF(AND(INDEX(CFG_WDAYS,WEEKDAY(INT(B1127),2))="Sí",IF(D1127="proMX",COUNTIFS(FER_F,INT(B1127),FER_NLP,"Sí"),COUNTIFS(FER_F,INT(B1127),FER_NLM,"Sí"))=0),1,0),0)</f>
        <v>0</v>
      </c>
      <c r="AI1127" s="80">
        <f>IF(AC1127=1,IF(AND(INDEX(CFG_WDAYS,WEEKDAY(INT(B1127)+1,2))="Sí",IF(D1127="proMX",COUNTIFS(FER_F,INT(B1127)+1,FER_NLP,"Sí"),COUNTIFS(FER_F,INT(B1127)+1,FER_NLM,"Sí"))=0),1,0),0)</f>
        <v>0</v>
      </c>
      <c r="AJ1127" s="80">
        <f>IF(AC1127=1,1440-Z1127,AD1127)</f>
        <v>0</v>
      </c>
      <c r="AK1127" s="80">
        <f>IF(AND(AB1127=1,AH1127=1),MAX(0,MIN(IF(AC1127=1,1440,AA1127),CFG_WEM)-MAX(Z1127,CFG_WSM)),0)</f>
        <v>0</v>
      </c>
      <c r="AL1127" s="80">
        <f>IF(AND(AC1127=1,AI1127=1),MAX(0,MIN(AA1127,CFG_WEM)-CFG_WSM),0)</f>
        <v>0</v>
      </c>
      <c r="AM1127" s="80">
        <f>AK1127+AL1127</f>
        <v>0</v>
      </c>
      <c r="AN1127" s="80">
        <f>IF(CFG_BRK="Proporcional",IF(AD1127=0,0,AF1127*AM1127/AD1127),IF(CFG_BRK="Extras primero",MIN(AM1127,MAX(0,AF1127-(AD1127-AM1127))),MIN(AF1127,AM1127)))</f>
        <v>0</v>
      </c>
      <c r="AO1127" s="80">
        <f>AF1127-AN1127</f>
        <v>0</v>
      </c>
      <c r="AP1127" s="80">
        <f>AM1127-AN1127</f>
        <v>0</v>
      </c>
      <c r="AQ1127" s="80">
        <f>AD1127-AM1127-AO1127</f>
        <v>0</v>
      </c>
      <c r="AR1127" s="80">
        <f>IF(AM1127=0,0,AK1127-AN1127*AK1127/AM1127)</f>
        <v>0</v>
      </c>
      <c r="AS1127" s="80">
        <f>IF(AD1127-AM1127=0,0,(AJ1127-AK1127)-AO1127*(AJ1127-AK1127)/(AD1127-AM1127))</f>
        <v>0</v>
      </c>
      <c r="AT1127" s="80" t="str">
        <f>IF(AC1127=1,INT(B1127)+1,"")</f>
        <v/>
      </c>
      <c r="AU1127" s="80">
        <f>IF(AND(D1127="proMX",R1127="Cancelled"),0,1)</f>
        <v>1</v>
      </c>
      <c r="AV1127" s="80">
        <f>IF(AND(AB1127=1,AU1127=1),IF(COUNTIFS($D$5:D1126,D1127,$B$5:B1126,B1127,$Z$5:Z1126,Z1127,$AA$5:AA1126,AA1127,$F$5:F1126,F1127&amp;"",$AU$5:AU1126,1)&gt;0,1,0),0)</f>
        <v>0</v>
      </c>
      <c r="AW1127" s="80" t="str">
        <f>IF(AB1127=1,INT(B1127)*1440+Z1127,"")</f>
        <v/>
      </c>
      <c r="AX1127" s="80" t="str">
        <f>IF(AB1127=1,AW1127+AD1127,"")</f>
        <v/>
      </c>
      <c r="AY1127" s="80">
        <f>IF(AND(AB1127=1,AV1127=0,AU1127=1),1,0)</f>
        <v>0</v>
      </c>
      <c r="AZ1127" s="80">
        <f>IF(AY1127=1,COUNTIFS(R_Emp,D1127,R_SAbs,"&lt;"&amp;AX1127,R_EAbs,"&gt;"&amp;AW1127,R_OKey,1)-1,0)</f>
        <v>0</v>
      </c>
      <c r="BA1127" s="80">
        <f>IF(AY1127=1,COUNTIFS(R_Emp,"&lt;&gt;"&amp;D1127,R_SAbs,"&lt;"&amp;AX1127,R_EAbs,"&gt;"&amp;AW1127,R_OKey,1),0)</f>
        <v>0</v>
      </c>
      <c r="BB1127" s="80">
        <f>IF(AND(AB1127=1,D1127="proMX"),IF(AND(MOD(Z1127,CFG_BLK)=0,MOD(AA1127,CFG_BLK)=0,MOD(AG1127,CFG_BLK)=0,AG1127&gt;0),1,0),1)</f>
        <v>1</v>
      </c>
      <c r="BC1127" s="80" t="str">
        <f>IF(Y1127=0,"",IF(NOT(ISNUMBER(B1127)),"Falta fecha o fecha inválida",IF(D1127="","Falta empresa",IF(AND(D1127&lt;&gt;"Malcolm",D1127&lt;&gt;"proMX"),"Empresa inválida",IF(OR(INT(B1127)&lt;CFG_PSTART,INT(B1127)&gt;CFG_PEND),"Fecha fuera del período",IF(OR(NOT(ISNUMBER(Z1127)),NOT(ISNUMBER(AA1127))),"Falta hora inicio/fin o formato inválido",IF(AB1127=0,"Hora inicio = hora fin",IF(AE1127&lt;0,"Descanso inválido",IF(AE1127&gt;=AD1127,"Descanso ≥ duración",IF(AV1127=1,"Registro duplicado",IF(AZ1127&gt;0,"Se superpone con otro registro "&amp;D1127,IF(BB1127=0,"inicio, fin y duración neta deben ser múltiplos de "&amp;CFG_BLK&amp;" min",""))))))))))))</f>
        <v/>
      </c>
      <c r="BD1127" s="80">
        <f>IF(AND(Y1127=1,BC1127=""),1,0)</f>
        <v>0</v>
      </c>
      <c r="BE1127" s="80">
        <f>IF(AND(BD1127=1,AU1127=1),1,0)</f>
        <v>0</v>
      </c>
      <c r="BF1127" s="80" t="str">
        <f>IF(AND(D1127="proMX",BD1127=1),IF(R1127="","Draft",R1127),"")</f>
        <v/>
      </c>
      <c r="BG1127" s="80">
        <f>IF(BD1127=1,ROUND(AG1127/60,6),0)</f>
        <v>0</v>
      </c>
      <c r="BH1127" s="80">
        <f>IF(BE1127=1,ROUND(AG1127/60,6),0)</f>
        <v>0</v>
      </c>
      <c r="BI1127" s="80">
        <f>IF(BE1127=1,ROUND(AP1127/60,6),0)</f>
        <v>0</v>
      </c>
      <c r="BJ1127" s="80">
        <f>IF(BE1127=1,ROUND(AQ1127/60,6),0)</f>
        <v>0</v>
      </c>
      <c r="BK1127" s="80">
        <f>IF(BE1127=1,ROUND((AR1127+AS1127)/60,6),0)</f>
        <v>0</v>
      </c>
      <c r="BL1127" s="80">
        <f>ROUND(BH1127-BK1127,6)</f>
        <v>0</v>
      </c>
      <c r="BM1127" s="80">
        <f>IF(BE1127=1,ROUND(AR1127/60,6),0)</f>
        <v>0</v>
      </c>
      <c r="BN1127" s="80">
        <f>ROUND(BI1127-BM1127,6)</f>
        <v>0</v>
      </c>
      <c r="BO1127" s="80">
        <f>IF(BE1127=1,ROUND(AS1127/60,6),0)</f>
        <v>0</v>
      </c>
      <c r="BP1127" s="80">
        <f>ROUND(BJ1127-BO1127,6)</f>
        <v>0</v>
      </c>
      <c r="BQ1127" s="80">
        <f>IF(BE1127=1,AW1127,0)</f>
        <v>0</v>
      </c>
      <c r="BR1127" s="80">
        <f>IF(BE1127=1,AX1127,0)</f>
        <v>0</v>
      </c>
      <c r="BS1127" s="80">
        <f>IF(AND(BE1127=1,D1127="Malcolm",BA1127&gt;0),MIN(BH1127,SUMPRODUCT((R_Emp="proMX")*(R_EN&gt;0)*((R_EN-(R_EN&gt;BR1127)*(R_EN-BR1127))&gt;(R_SN+(R_SN&lt;BQ1127)*(BQ1127-R_SN)))*((R_EN-(R_EN&gt;BR1127)*(R_EN-BR1127))-(R_SN+(R_SN&lt;BQ1127)*(BQ1127-R_SN))))/60),0)</f>
        <v>0</v>
      </c>
      <c r="BT1127" s="80">
        <f>IF(AND(BE1127=1,D1127="proMX"),ROUND(BI1127*CFG_RATE+BJ1127*CFG_OTRATE,6),0)</f>
        <v>0</v>
      </c>
      <c r="BU1127" s="80">
        <f>IF(AND(BD1127=1,D1127="proMX"),ROUND(AG1127/CFG_BLK,6),0)</f>
        <v>0</v>
      </c>
      <c r="BV1127" s="80" t="str">
        <f>IF(BF1127="Approved",IF(ISNUMBER(T1127),INT(T1127),INT(B1127)),"")</f>
        <v/>
      </c>
      <c r="BW1127" s="80">
        <f>IF(ISNUMBER(B1127),IF(DB_MON="Todos",1,IF(AND(INT(B1127)&gt;=DB_MS,INT(B1127)&lt;=DB_ME),1,0)),0)</f>
        <v>0</v>
      </c>
      <c r="BX1127" s="80">
        <f>IF(DB_PROJ="Todos",1,IF(E1127&amp;""=DB_PROJ&amp;"",1,0))</f>
        <v>1</v>
      </c>
      <c r="BY1127" s="80">
        <f>BW1127*BX1127</f>
        <v>0</v>
      </c>
      <c r="BZ1127" s="80" t="str">
        <f>IF(Y1127=1,F1127&amp;IF(AND(F1127&amp;""&lt;&gt;"",E1127&amp;""&lt;&gt;"")," · ","")&amp;E1127,"")</f>
        <v/>
      </c>
      <c r="CA1127" s="80" t="str">
        <f>IF(AND(BD1127=1,E1127&amp;""&lt;&gt;""),IF(COUNTIFS($E$5:E1126,E1127,$BD$5:BD1126,1)=0,MAX($CA$5:CA1126)+1,""),"")</f>
        <v/>
      </c>
      <c r="CB1127" s="80" t="str">
        <f>IF(AND(BE1127=1,D1127="Malcolm",E1127&amp;""&lt;&gt;""),IF(COUNTIFS($D$5:D1126,"Malcolm",$E$5:E1126,E1127,$BE$5:BE1126,1)=0,MAX($CB$5:CB1126)+1,""),"")</f>
        <v/>
      </c>
      <c r="CC1127" s="80" t="str">
        <f>IF(AND(BD1127=1,D1127="proMX",E1127&amp;""&lt;&gt;""),IF(COUNTIFS($D$5:D1126,"proMX",$E$5:E1126,E1127,$BD$5:BD1126,1)=0,MAX($CC$5:CC1126)+1,""),"")</f>
        <v/>
      </c>
      <c r="CD1127" s="80" t="str">
        <f>IF(AND(BE1127=1,D1127="Malcolm",F1127&amp;""&lt;&gt;""),IF(COUNTIFS($D$5:D1126,"Malcolm",$F$5:F1126,F1127,$BE$5:BE1126,1)=0,MAX($CD$5:CD1126)+1,""),"")</f>
        <v/>
      </c>
      <c r="CE1127" s="80" t="str">
        <f>IF(AND(BD1127=1,D1127="proMX",F1127&amp;""&lt;&gt;""),IF(COUNTIFS($D$5:D1126,"proMX",$F$5:F1126,F1127,$BD$5:BD1126,1)=0,MAX($CE$5:CE1126)+1,""),"")</f>
        <v/>
      </c>
      <c r="CF1127" s="80" t="str">
        <f>IF(AND(D1127="proMX",BD1127=1),IF(OR(BF1127="Draft",BF1127="Submitted",BF1127="Returned",BF1127="Recall Requested"),MAX($CF$5:CF1126)+1,""),"")</f>
        <v/>
      </c>
      <c r="CG1127" s="80">
        <f>IF(BD1127=0,0,IF(D1127="Malcolm",1,MATCH(BF1127,{"Draft","Submitted","Approved","Returned","Recall Requested","Cancelled"},0)+1))</f>
        <v>0</v>
      </c>
      <c r="CH1127" s="80">
        <f>IF(AND(BF1127="Submitted",ISNUMBER(V1127)),IF(V1127&gt;CFG_MAXD,1,0),0)</f>
        <v>0</v>
      </c>
    </row>
    <row r="1128">
      <c r="A1128" s="71" t="str">
        <f>IF(Y1128=1,ROW()-5,"")</f>
        <v/>
      </c>
      <c r="B1128" s="72" t="n"/>
      <c r="C1128" s="71" t="str">
        <f>IF(ISNUMBER(B1128),CHOOSE(WEEKDAY(B1128,2),"Lun","Mar","Mié","Jue","Vie","Sáb","Dom"),"")</f>
        <v/>
      </c>
      <c r="D1128" s="73" t="n"/>
      <c r="E1128" s="74" t="n"/>
      <c r="F1128" s="74" t="n"/>
      <c r="G1128" s="74" t="n"/>
      <c r="H1128" s="75" t="n"/>
      <c r="I1128" s="75" t="n"/>
      <c r="J1128" s="76" t="n"/>
      <c r="K1128" s="77" t="str">
        <f>IF(AB1128=1,ROUND(AG1128/60,4),"")</f>
        <v/>
      </c>
      <c r="L1128" s="77" t="str">
        <f>IF(BD1128=1,ROUND(AP1128/60,4),"")</f>
        <v/>
      </c>
      <c r="M1128" s="77" t="str">
        <f>IF(BD1128=1,ROUND(AQ1128/60,4),"")</f>
        <v/>
      </c>
      <c r="N1128" s="71" t="str">
        <f>IF(AND(D1128="proMX",AB1128=1),ROUND(AG1128/CFG_BLK,2),"")</f>
        <v/>
      </c>
      <c r="O1128" s="77" t="str">
        <f>IF(D1128="proMX",IF(BD1128=1,ROUND(AG1128/60,4),0),"")</f>
        <v/>
      </c>
      <c r="P1128" s="78" t="str">
        <f>IF(Y1128=0,"",IF(BD1128=1,"OK",IF(D1128="proMX","Revisar bloques: ","Revisar: ")&amp;BC1128))</f>
        <v/>
      </c>
      <c r="Q1128" s="78" t="str">
        <f>IF(NOT(ISNUMBER(B1128)),"",IF(COUNTIFS(FER_F,INT(B1128))&gt;0,"Feriado"&amp;IF(AH1128=1," (laborable)"," (no laborable)"),IF(AH1128=1,"Laborable",IF(WEEKDAY(B1128,2)&gt;5,"Fin de semana","No laborable"))))</f>
        <v/>
      </c>
      <c r="R1128" s="73" t="n"/>
      <c r="S1128" s="72" t="n"/>
      <c r="T1128" s="72" t="n"/>
      <c r="U1128" s="74" t="n"/>
      <c r="V1128" s="79" t="str">
        <f>IF(AND(D1128="proMX",OR(R1128="Submitted",R1128="Recall Requested"),ISNUMBER(S1128)),CFG_TODAY-INT(S1128),"")</f>
        <v/>
      </c>
      <c r="W1128" s="78" t="str">
        <f>IF(BD1128=0,"",IF(BA1128&gt;0,"⚠ Se superpone con un registro de la otra empresa",IF(D1128="Malcolm",IF(COUNTA(R1128,S1128,T1128)&gt;0,"Estado/fechas proMX se ignoran en Malcolm",""),IF(BF1128="Cancelled","Cancelado: excluido de totales",IF(R1128="","Sin estado: se trata como Draft",IF(BF1128="Submitted",IF(ISNUMBER(V1128),IF(V1128&gt;CFG_MAXD,"⚠ "&amp;V1128&amp;" días en Submitted (máx. "&amp;CFG_MAXD&amp;")",""),"Falta fecha de envío"),IF(BF1128="Returned","⚠ Devuelto: corregir y reenviar",IF(BF1128="Recall Requested","Retirada solicitada: pendiente",IF(AND(BF1128="Approved",NOT(ISNUMBER(T1128))),"Falta fecha de aprobación",IF(AND(ISNUMBER(S1128),ISNUMBER(T1128),T1128&lt;S1128),"Aprobación anterior al envío","")))))))))</f>
        <v/>
      </c>
      <c r="Y1128" s="80">
        <f>IF(COUNTA(B1128,D1128,E1128,F1128,G1128,H1128,I1128,J1128,R1128,S1128,T1128)&gt;0,1,0)</f>
        <v>0</v>
      </c>
      <c r="Z1128" s="80" t="str">
        <f>IF(AND(ISNUMBER(H1128),H1128&gt;=0,H1128&lt;1),ROUND(H1128*1440,0),"")</f>
        <v/>
      </c>
      <c r="AA1128" s="80" t="str">
        <f>IF(AND(ISNUMBER(I1128),I1128&gt;=0,I1128&lt;1),ROUND(I1128*1440,0),"")</f>
        <v/>
      </c>
      <c r="AB1128" s="80">
        <f>IF(AND(ISNUMBER(B1128),D1128&lt;&gt;"",ISNUMBER(Z1128),ISNUMBER(AA1128)),IF(Z1128=AA1128,0,1),0)</f>
        <v>0</v>
      </c>
      <c r="AC1128" s="80">
        <f>IF(AB1128=1,IF(AA1128&lt;Z1128,1,0),0)</f>
        <v>0</v>
      </c>
      <c r="AD1128" s="80">
        <f>IF(AB1128=1,IF(AC1128=1,1440-Z1128+AA1128,AA1128-Z1128),0)</f>
        <v>0</v>
      </c>
      <c r="AE1128" s="80">
        <f>IF(J1128="",0,IF(ISNUMBER(J1128),J1128,-1))</f>
        <v>0</v>
      </c>
      <c r="AF1128" s="80">
        <f>MIN(MAX(0,AE1128),AD1128)</f>
        <v>0</v>
      </c>
      <c r="AG1128" s="80">
        <f>MAX(0,AD1128-MAX(0,AE1128))</f>
        <v>0</v>
      </c>
      <c r="AH1128" s="80">
        <f>IF(ISNUMBER(B1128),IF(AND(INDEX(CFG_WDAYS,WEEKDAY(INT(B1128),2))="Sí",IF(D1128="proMX",COUNTIFS(FER_F,INT(B1128),FER_NLP,"Sí"),COUNTIFS(FER_F,INT(B1128),FER_NLM,"Sí"))=0),1,0),0)</f>
        <v>0</v>
      </c>
      <c r="AI1128" s="80">
        <f>IF(AC1128=1,IF(AND(INDEX(CFG_WDAYS,WEEKDAY(INT(B1128)+1,2))="Sí",IF(D1128="proMX",COUNTIFS(FER_F,INT(B1128)+1,FER_NLP,"Sí"),COUNTIFS(FER_F,INT(B1128)+1,FER_NLM,"Sí"))=0),1,0),0)</f>
        <v>0</v>
      </c>
      <c r="AJ1128" s="80">
        <f>IF(AC1128=1,1440-Z1128,AD1128)</f>
        <v>0</v>
      </c>
      <c r="AK1128" s="80">
        <f>IF(AND(AB1128=1,AH1128=1),MAX(0,MIN(IF(AC1128=1,1440,AA1128),CFG_WEM)-MAX(Z1128,CFG_WSM)),0)</f>
        <v>0</v>
      </c>
      <c r="AL1128" s="80">
        <f>IF(AND(AC1128=1,AI1128=1),MAX(0,MIN(AA1128,CFG_WEM)-CFG_WSM),0)</f>
        <v>0</v>
      </c>
      <c r="AM1128" s="80">
        <f>AK1128+AL1128</f>
        <v>0</v>
      </c>
      <c r="AN1128" s="80">
        <f>IF(CFG_BRK="Proporcional",IF(AD1128=0,0,AF1128*AM1128/AD1128),IF(CFG_BRK="Extras primero",MIN(AM1128,MAX(0,AF1128-(AD1128-AM1128))),MIN(AF1128,AM1128)))</f>
        <v>0</v>
      </c>
      <c r="AO1128" s="80">
        <f>AF1128-AN1128</f>
        <v>0</v>
      </c>
      <c r="AP1128" s="80">
        <f>AM1128-AN1128</f>
        <v>0</v>
      </c>
      <c r="AQ1128" s="80">
        <f>AD1128-AM1128-AO1128</f>
        <v>0</v>
      </c>
      <c r="AR1128" s="80">
        <f>IF(AM1128=0,0,AK1128-AN1128*AK1128/AM1128)</f>
        <v>0</v>
      </c>
      <c r="AS1128" s="80">
        <f>IF(AD1128-AM1128=0,0,(AJ1128-AK1128)-AO1128*(AJ1128-AK1128)/(AD1128-AM1128))</f>
        <v>0</v>
      </c>
      <c r="AT1128" s="80" t="str">
        <f>IF(AC1128=1,INT(B1128)+1,"")</f>
        <v/>
      </c>
      <c r="AU1128" s="80">
        <f>IF(AND(D1128="proMX",R1128="Cancelled"),0,1)</f>
        <v>1</v>
      </c>
      <c r="AV1128" s="80">
        <f>IF(AND(AB1128=1,AU1128=1),IF(COUNTIFS($D$5:D1127,D1128,$B$5:B1127,B1128,$Z$5:Z1127,Z1128,$AA$5:AA1127,AA1128,$F$5:F1127,F1128&amp;"",$AU$5:AU1127,1)&gt;0,1,0),0)</f>
        <v>0</v>
      </c>
      <c r="AW1128" s="80" t="str">
        <f>IF(AB1128=1,INT(B1128)*1440+Z1128,"")</f>
        <v/>
      </c>
      <c r="AX1128" s="80" t="str">
        <f>IF(AB1128=1,AW1128+AD1128,"")</f>
        <v/>
      </c>
      <c r="AY1128" s="80">
        <f>IF(AND(AB1128=1,AV1128=0,AU1128=1),1,0)</f>
        <v>0</v>
      </c>
      <c r="AZ1128" s="80">
        <f>IF(AY1128=1,COUNTIFS(R_Emp,D1128,R_SAbs,"&lt;"&amp;AX1128,R_EAbs,"&gt;"&amp;AW1128,R_OKey,1)-1,0)</f>
        <v>0</v>
      </c>
      <c r="BA1128" s="80">
        <f>IF(AY1128=1,COUNTIFS(R_Emp,"&lt;&gt;"&amp;D1128,R_SAbs,"&lt;"&amp;AX1128,R_EAbs,"&gt;"&amp;AW1128,R_OKey,1),0)</f>
        <v>0</v>
      </c>
      <c r="BB1128" s="80">
        <f>IF(AND(AB1128=1,D1128="proMX"),IF(AND(MOD(Z1128,CFG_BLK)=0,MOD(AA1128,CFG_BLK)=0,MOD(AG1128,CFG_BLK)=0,AG1128&gt;0),1,0),1)</f>
        <v>1</v>
      </c>
      <c r="BC1128" s="80" t="str">
        <f>IF(Y1128=0,"",IF(NOT(ISNUMBER(B1128)),"Falta fecha o fecha inválida",IF(D1128="","Falta empresa",IF(AND(D1128&lt;&gt;"Malcolm",D1128&lt;&gt;"proMX"),"Empresa inválida",IF(OR(INT(B1128)&lt;CFG_PSTART,INT(B1128)&gt;CFG_PEND),"Fecha fuera del período",IF(OR(NOT(ISNUMBER(Z1128)),NOT(ISNUMBER(AA1128))),"Falta hora inicio/fin o formato inválido",IF(AB1128=0,"Hora inicio = hora fin",IF(AE1128&lt;0,"Descanso inválido",IF(AE1128&gt;=AD1128,"Descanso ≥ duración",IF(AV1128=1,"Registro duplicado",IF(AZ1128&gt;0,"Se superpone con otro registro "&amp;D1128,IF(BB1128=0,"inicio, fin y duración neta deben ser múltiplos de "&amp;CFG_BLK&amp;" min",""))))))))))))</f>
        <v/>
      </c>
      <c r="BD1128" s="80">
        <f>IF(AND(Y1128=1,BC1128=""),1,0)</f>
        <v>0</v>
      </c>
      <c r="BE1128" s="80">
        <f>IF(AND(BD1128=1,AU1128=1),1,0)</f>
        <v>0</v>
      </c>
      <c r="BF1128" s="80" t="str">
        <f>IF(AND(D1128="proMX",BD1128=1),IF(R1128="","Draft",R1128),"")</f>
        <v/>
      </c>
      <c r="BG1128" s="80">
        <f>IF(BD1128=1,ROUND(AG1128/60,6),0)</f>
        <v>0</v>
      </c>
      <c r="BH1128" s="80">
        <f>IF(BE1128=1,ROUND(AG1128/60,6),0)</f>
        <v>0</v>
      </c>
      <c r="BI1128" s="80">
        <f>IF(BE1128=1,ROUND(AP1128/60,6),0)</f>
        <v>0</v>
      </c>
      <c r="BJ1128" s="80">
        <f>IF(BE1128=1,ROUND(AQ1128/60,6),0)</f>
        <v>0</v>
      </c>
      <c r="BK1128" s="80">
        <f>IF(BE1128=1,ROUND((AR1128+AS1128)/60,6),0)</f>
        <v>0</v>
      </c>
      <c r="BL1128" s="80">
        <f>ROUND(BH1128-BK1128,6)</f>
        <v>0</v>
      </c>
      <c r="BM1128" s="80">
        <f>IF(BE1128=1,ROUND(AR1128/60,6),0)</f>
        <v>0</v>
      </c>
      <c r="BN1128" s="80">
        <f>ROUND(BI1128-BM1128,6)</f>
        <v>0</v>
      </c>
      <c r="BO1128" s="80">
        <f>IF(BE1128=1,ROUND(AS1128/60,6),0)</f>
        <v>0</v>
      </c>
      <c r="BP1128" s="80">
        <f>ROUND(BJ1128-BO1128,6)</f>
        <v>0</v>
      </c>
      <c r="BQ1128" s="80">
        <f>IF(BE1128=1,AW1128,0)</f>
        <v>0</v>
      </c>
      <c r="BR1128" s="80">
        <f>IF(BE1128=1,AX1128,0)</f>
        <v>0</v>
      </c>
      <c r="BS1128" s="80">
        <f>IF(AND(BE1128=1,D1128="Malcolm",BA1128&gt;0),MIN(BH1128,SUMPRODUCT((R_Emp="proMX")*(R_EN&gt;0)*((R_EN-(R_EN&gt;BR1128)*(R_EN-BR1128))&gt;(R_SN+(R_SN&lt;BQ1128)*(BQ1128-R_SN)))*((R_EN-(R_EN&gt;BR1128)*(R_EN-BR1128))-(R_SN+(R_SN&lt;BQ1128)*(BQ1128-R_SN))))/60),0)</f>
        <v>0</v>
      </c>
      <c r="BT1128" s="80">
        <f>IF(AND(BE1128=1,D1128="proMX"),ROUND(BI1128*CFG_RATE+BJ1128*CFG_OTRATE,6),0)</f>
        <v>0</v>
      </c>
      <c r="BU1128" s="80">
        <f>IF(AND(BD1128=1,D1128="proMX"),ROUND(AG1128/CFG_BLK,6),0)</f>
        <v>0</v>
      </c>
      <c r="BV1128" s="80" t="str">
        <f>IF(BF1128="Approved",IF(ISNUMBER(T1128),INT(T1128),INT(B1128)),"")</f>
        <v/>
      </c>
      <c r="BW1128" s="80">
        <f>IF(ISNUMBER(B1128),IF(DB_MON="Todos",1,IF(AND(INT(B1128)&gt;=DB_MS,INT(B1128)&lt;=DB_ME),1,0)),0)</f>
        <v>0</v>
      </c>
      <c r="BX1128" s="80">
        <f>IF(DB_PROJ="Todos",1,IF(E1128&amp;""=DB_PROJ&amp;"",1,0))</f>
        <v>1</v>
      </c>
      <c r="BY1128" s="80">
        <f>BW1128*BX1128</f>
        <v>0</v>
      </c>
      <c r="BZ1128" s="80" t="str">
        <f>IF(Y1128=1,F1128&amp;IF(AND(F1128&amp;""&lt;&gt;"",E1128&amp;""&lt;&gt;"")," · ","")&amp;E1128,"")</f>
        <v/>
      </c>
      <c r="CA1128" s="80" t="str">
        <f>IF(AND(BD1128=1,E1128&amp;""&lt;&gt;""),IF(COUNTIFS($E$5:E1127,E1128,$BD$5:BD1127,1)=0,MAX($CA$5:CA1127)+1,""),"")</f>
        <v/>
      </c>
      <c r="CB1128" s="80" t="str">
        <f>IF(AND(BE1128=1,D1128="Malcolm",E1128&amp;""&lt;&gt;""),IF(COUNTIFS($D$5:D1127,"Malcolm",$E$5:E1127,E1128,$BE$5:BE1127,1)=0,MAX($CB$5:CB1127)+1,""),"")</f>
        <v/>
      </c>
      <c r="CC1128" s="80" t="str">
        <f>IF(AND(BD1128=1,D1128="proMX",E1128&amp;""&lt;&gt;""),IF(COUNTIFS($D$5:D1127,"proMX",$E$5:E1127,E1128,$BD$5:BD1127,1)=0,MAX($CC$5:CC1127)+1,""),"")</f>
        <v/>
      </c>
      <c r="CD1128" s="80" t="str">
        <f>IF(AND(BE1128=1,D1128="Malcolm",F1128&amp;""&lt;&gt;""),IF(COUNTIFS($D$5:D1127,"Malcolm",$F$5:F1127,F1128,$BE$5:BE1127,1)=0,MAX($CD$5:CD1127)+1,""),"")</f>
        <v/>
      </c>
      <c r="CE1128" s="80" t="str">
        <f>IF(AND(BD1128=1,D1128="proMX",F1128&amp;""&lt;&gt;""),IF(COUNTIFS($D$5:D1127,"proMX",$F$5:F1127,F1128,$BD$5:BD1127,1)=0,MAX($CE$5:CE1127)+1,""),"")</f>
        <v/>
      </c>
      <c r="CF1128" s="80" t="str">
        <f>IF(AND(D1128="proMX",BD1128=1),IF(OR(BF1128="Draft",BF1128="Submitted",BF1128="Returned",BF1128="Recall Requested"),MAX($CF$5:CF1127)+1,""),"")</f>
        <v/>
      </c>
      <c r="CG1128" s="80">
        <f>IF(BD1128=0,0,IF(D1128="Malcolm",1,MATCH(BF1128,{"Draft","Submitted","Approved","Returned","Recall Requested","Cancelled"},0)+1))</f>
        <v>0</v>
      </c>
      <c r="CH1128" s="80">
        <f>IF(AND(BF1128="Submitted",ISNUMBER(V1128)),IF(V1128&gt;CFG_MAXD,1,0),0)</f>
        <v>0</v>
      </c>
    </row>
    <row r="1129">
      <c r="A1129" s="71" t="str">
        <f>IF(Y1129=1,ROW()-5,"")</f>
        <v/>
      </c>
      <c r="B1129" s="72" t="n"/>
      <c r="C1129" s="71" t="str">
        <f>IF(ISNUMBER(B1129),CHOOSE(WEEKDAY(B1129,2),"Lun","Mar","Mié","Jue","Vie","Sáb","Dom"),"")</f>
        <v/>
      </c>
      <c r="D1129" s="73" t="n"/>
      <c r="E1129" s="74" t="n"/>
      <c r="F1129" s="74" t="n"/>
      <c r="G1129" s="74" t="n"/>
      <c r="H1129" s="75" t="n"/>
      <c r="I1129" s="75" t="n"/>
      <c r="J1129" s="76" t="n"/>
      <c r="K1129" s="77" t="str">
        <f>IF(AB1129=1,ROUND(AG1129/60,4),"")</f>
        <v/>
      </c>
      <c r="L1129" s="77" t="str">
        <f>IF(BD1129=1,ROUND(AP1129/60,4),"")</f>
        <v/>
      </c>
      <c r="M1129" s="77" t="str">
        <f>IF(BD1129=1,ROUND(AQ1129/60,4),"")</f>
        <v/>
      </c>
      <c r="N1129" s="71" t="str">
        <f>IF(AND(D1129="proMX",AB1129=1),ROUND(AG1129/CFG_BLK,2),"")</f>
        <v/>
      </c>
      <c r="O1129" s="77" t="str">
        <f>IF(D1129="proMX",IF(BD1129=1,ROUND(AG1129/60,4),0),"")</f>
        <v/>
      </c>
      <c r="P1129" s="78" t="str">
        <f>IF(Y1129=0,"",IF(BD1129=1,"OK",IF(D1129="proMX","Revisar bloques: ","Revisar: ")&amp;BC1129))</f>
        <v/>
      </c>
      <c r="Q1129" s="78" t="str">
        <f>IF(NOT(ISNUMBER(B1129)),"",IF(COUNTIFS(FER_F,INT(B1129))&gt;0,"Feriado"&amp;IF(AH1129=1," (laborable)"," (no laborable)"),IF(AH1129=1,"Laborable",IF(WEEKDAY(B1129,2)&gt;5,"Fin de semana","No laborable"))))</f>
        <v/>
      </c>
      <c r="R1129" s="73" t="n"/>
      <c r="S1129" s="72" t="n"/>
      <c r="T1129" s="72" t="n"/>
      <c r="U1129" s="74" t="n"/>
      <c r="V1129" s="79" t="str">
        <f>IF(AND(D1129="proMX",OR(R1129="Submitted",R1129="Recall Requested"),ISNUMBER(S1129)),CFG_TODAY-INT(S1129),"")</f>
        <v/>
      </c>
      <c r="W1129" s="78" t="str">
        <f>IF(BD1129=0,"",IF(BA1129&gt;0,"⚠ Se superpone con un registro de la otra empresa",IF(D1129="Malcolm",IF(COUNTA(R1129,S1129,T1129)&gt;0,"Estado/fechas proMX se ignoran en Malcolm",""),IF(BF1129="Cancelled","Cancelado: excluido de totales",IF(R1129="","Sin estado: se trata como Draft",IF(BF1129="Submitted",IF(ISNUMBER(V1129),IF(V1129&gt;CFG_MAXD,"⚠ "&amp;V1129&amp;" días en Submitted (máx. "&amp;CFG_MAXD&amp;")",""),"Falta fecha de envío"),IF(BF1129="Returned","⚠ Devuelto: corregir y reenviar",IF(BF1129="Recall Requested","Retirada solicitada: pendiente",IF(AND(BF1129="Approved",NOT(ISNUMBER(T1129))),"Falta fecha de aprobación",IF(AND(ISNUMBER(S1129),ISNUMBER(T1129),T1129&lt;S1129),"Aprobación anterior al envío","")))))))))</f>
        <v/>
      </c>
      <c r="Y1129" s="80">
        <f>IF(COUNTA(B1129,D1129,E1129,F1129,G1129,H1129,I1129,J1129,R1129,S1129,T1129)&gt;0,1,0)</f>
        <v>0</v>
      </c>
      <c r="Z1129" s="80" t="str">
        <f>IF(AND(ISNUMBER(H1129),H1129&gt;=0,H1129&lt;1),ROUND(H1129*1440,0),"")</f>
        <v/>
      </c>
      <c r="AA1129" s="80" t="str">
        <f>IF(AND(ISNUMBER(I1129),I1129&gt;=0,I1129&lt;1),ROUND(I1129*1440,0),"")</f>
        <v/>
      </c>
      <c r="AB1129" s="80">
        <f>IF(AND(ISNUMBER(B1129),D1129&lt;&gt;"",ISNUMBER(Z1129),ISNUMBER(AA1129)),IF(Z1129=AA1129,0,1),0)</f>
        <v>0</v>
      </c>
      <c r="AC1129" s="80">
        <f>IF(AB1129=1,IF(AA1129&lt;Z1129,1,0),0)</f>
        <v>0</v>
      </c>
      <c r="AD1129" s="80">
        <f>IF(AB1129=1,IF(AC1129=1,1440-Z1129+AA1129,AA1129-Z1129),0)</f>
        <v>0</v>
      </c>
      <c r="AE1129" s="80">
        <f>IF(J1129="",0,IF(ISNUMBER(J1129),J1129,-1))</f>
        <v>0</v>
      </c>
      <c r="AF1129" s="80">
        <f>MIN(MAX(0,AE1129),AD1129)</f>
        <v>0</v>
      </c>
      <c r="AG1129" s="80">
        <f>MAX(0,AD1129-MAX(0,AE1129))</f>
        <v>0</v>
      </c>
      <c r="AH1129" s="80">
        <f>IF(ISNUMBER(B1129),IF(AND(INDEX(CFG_WDAYS,WEEKDAY(INT(B1129),2))="Sí",IF(D1129="proMX",COUNTIFS(FER_F,INT(B1129),FER_NLP,"Sí"),COUNTIFS(FER_F,INT(B1129),FER_NLM,"Sí"))=0),1,0),0)</f>
        <v>0</v>
      </c>
      <c r="AI1129" s="80">
        <f>IF(AC1129=1,IF(AND(INDEX(CFG_WDAYS,WEEKDAY(INT(B1129)+1,2))="Sí",IF(D1129="proMX",COUNTIFS(FER_F,INT(B1129)+1,FER_NLP,"Sí"),COUNTIFS(FER_F,INT(B1129)+1,FER_NLM,"Sí"))=0),1,0),0)</f>
        <v>0</v>
      </c>
      <c r="AJ1129" s="80">
        <f>IF(AC1129=1,1440-Z1129,AD1129)</f>
        <v>0</v>
      </c>
      <c r="AK1129" s="80">
        <f>IF(AND(AB1129=1,AH1129=1),MAX(0,MIN(IF(AC1129=1,1440,AA1129),CFG_WEM)-MAX(Z1129,CFG_WSM)),0)</f>
        <v>0</v>
      </c>
      <c r="AL1129" s="80">
        <f>IF(AND(AC1129=1,AI1129=1),MAX(0,MIN(AA1129,CFG_WEM)-CFG_WSM),0)</f>
        <v>0</v>
      </c>
      <c r="AM1129" s="80">
        <f>AK1129+AL1129</f>
        <v>0</v>
      </c>
      <c r="AN1129" s="80">
        <f>IF(CFG_BRK="Proporcional",IF(AD1129=0,0,AF1129*AM1129/AD1129),IF(CFG_BRK="Extras primero",MIN(AM1129,MAX(0,AF1129-(AD1129-AM1129))),MIN(AF1129,AM1129)))</f>
        <v>0</v>
      </c>
      <c r="AO1129" s="80">
        <f>AF1129-AN1129</f>
        <v>0</v>
      </c>
      <c r="AP1129" s="80">
        <f>AM1129-AN1129</f>
        <v>0</v>
      </c>
      <c r="AQ1129" s="80">
        <f>AD1129-AM1129-AO1129</f>
        <v>0</v>
      </c>
      <c r="AR1129" s="80">
        <f>IF(AM1129=0,0,AK1129-AN1129*AK1129/AM1129)</f>
        <v>0</v>
      </c>
      <c r="AS1129" s="80">
        <f>IF(AD1129-AM1129=0,0,(AJ1129-AK1129)-AO1129*(AJ1129-AK1129)/(AD1129-AM1129))</f>
        <v>0</v>
      </c>
      <c r="AT1129" s="80" t="str">
        <f>IF(AC1129=1,INT(B1129)+1,"")</f>
        <v/>
      </c>
      <c r="AU1129" s="80">
        <f>IF(AND(D1129="proMX",R1129="Cancelled"),0,1)</f>
        <v>1</v>
      </c>
      <c r="AV1129" s="80">
        <f>IF(AND(AB1129=1,AU1129=1),IF(COUNTIFS($D$5:D1128,D1129,$B$5:B1128,B1129,$Z$5:Z1128,Z1129,$AA$5:AA1128,AA1129,$F$5:F1128,F1129&amp;"",$AU$5:AU1128,1)&gt;0,1,0),0)</f>
        <v>0</v>
      </c>
      <c r="AW1129" s="80" t="str">
        <f>IF(AB1129=1,INT(B1129)*1440+Z1129,"")</f>
        <v/>
      </c>
      <c r="AX1129" s="80" t="str">
        <f>IF(AB1129=1,AW1129+AD1129,"")</f>
        <v/>
      </c>
      <c r="AY1129" s="80">
        <f>IF(AND(AB1129=1,AV1129=0,AU1129=1),1,0)</f>
        <v>0</v>
      </c>
      <c r="AZ1129" s="80">
        <f>IF(AY1129=1,COUNTIFS(R_Emp,D1129,R_SAbs,"&lt;"&amp;AX1129,R_EAbs,"&gt;"&amp;AW1129,R_OKey,1)-1,0)</f>
        <v>0</v>
      </c>
      <c r="BA1129" s="80">
        <f>IF(AY1129=1,COUNTIFS(R_Emp,"&lt;&gt;"&amp;D1129,R_SAbs,"&lt;"&amp;AX1129,R_EAbs,"&gt;"&amp;AW1129,R_OKey,1),0)</f>
        <v>0</v>
      </c>
      <c r="BB1129" s="80">
        <f>IF(AND(AB1129=1,D1129="proMX"),IF(AND(MOD(Z1129,CFG_BLK)=0,MOD(AA1129,CFG_BLK)=0,MOD(AG1129,CFG_BLK)=0,AG1129&gt;0),1,0),1)</f>
        <v>1</v>
      </c>
      <c r="BC1129" s="80" t="str">
        <f>IF(Y1129=0,"",IF(NOT(ISNUMBER(B1129)),"Falta fecha o fecha inválida",IF(D1129="","Falta empresa",IF(AND(D1129&lt;&gt;"Malcolm",D1129&lt;&gt;"proMX"),"Empresa inválida",IF(OR(INT(B1129)&lt;CFG_PSTART,INT(B1129)&gt;CFG_PEND),"Fecha fuera del período",IF(OR(NOT(ISNUMBER(Z1129)),NOT(ISNUMBER(AA1129))),"Falta hora inicio/fin o formato inválido",IF(AB1129=0,"Hora inicio = hora fin",IF(AE1129&lt;0,"Descanso inválido",IF(AE1129&gt;=AD1129,"Descanso ≥ duración",IF(AV1129=1,"Registro duplicado",IF(AZ1129&gt;0,"Se superpone con otro registro "&amp;D1129,IF(BB1129=0,"inicio, fin y duración neta deben ser múltiplos de "&amp;CFG_BLK&amp;" min",""))))))))))))</f>
        <v/>
      </c>
      <c r="BD1129" s="80">
        <f>IF(AND(Y1129=1,BC1129=""),1,0)</f>
        <v>0</v>
      </c>
      <c r="BE1129" s="80">
        <f>IF(AND(BD1129=1,AU1129=1),1,0)</f>
        <v>0</v>
      </c>
      <c r="BF1129" s="80" t="str">
        <f>IF(AND(D1129="proMX",BD1129=1),IF(R1129="","Draft",R1129),"")</f>
        <v/>
      </c>
      <c r="BG1129" s="80">
        <f>IF(BD1129=1,ROUND(AG1129/60,6),0)</f>
        <v>0</v>
      </c>
      <c r="BH1129" s="80">
        <f>IF(BE1129=1,ROUND(AG1129/60,6),0)</f>
        <v>0</v>
      </c>
      <c r="BI1129" s="80">
        <f>IF(BE1129=1,ROUND(AP1129/60,6),0)</f>
        <v>0</v>
      </c>
      <c r="BJ1129" s="80">
        <f>IF(BE1129=1,ROUND(AQ1129/60,6),0)</f>
        <v>0</v>
      </c>
      <c r="BK1129" s="80">
        <f>IF(BE1129=1,ROUND((AR1129+AS1129)/60,6),0)</f>
        <v>0</v>
      </c>
      <c r="BL1129" s="80">
        <f>ROUND(BH1129-BK1129,6)</f>
        <v>0</v>
      </c>
      <c r="BM1129" s="80">
        <f>IF(BE1129=1,ROUND(AR1129/60,6),0)</f>
        <v>0</v>
      </c>
      <c r="BN1129" s="80">
        <f>ROUND(BI1129-BM1129,6)</f>
        <v>0</v>
      </c>
      <c r="BO1129" s="80">
        <f>IF(BE1129=1,ROUND(AS1129/60,6),0)</f>
        <v>0</v>
      </c>
      <c r="BP1129" s="80">
        <f>ROUND(BJ1129-BO1129,6)</f>
        <v>0</v>
      </c>
      <c r="BQ1129" s="80">
        <f>IF(BE1129=1,AW1129,0)</f>
        <v>0</v>
      </c>
      <c r="BR1129" s="80">
        <f>IF(BE1129=1,AX1129,0)</f>
        <v>0</v>
      </c>
      <c r="BS1129" s="80">
        <f>IF(AND(BE1129=1,D1129="Malcolm",BA1129&gt;0),MIN(BH1129,SUMPRODUCT((R_Emp="proMX")*(R_EN&gt;0)*((R_EN-(R_EN&gt;BR1129)*(R_EN-BR1129))&gt;(R_SN+(R_SN&lt;BQ1129)*(BQ1129-R_SN)))*((R_EN-(R_EN&gt;BR1129)*(R_EN-BR1129))-(R_SN+(R_SN&lt;BQ1129)*(BQ1129-R_SN))))/60),0)</f>
        <v>0</v>
      </c>
      <c r="BT1129" s="80">
        <f>IF(AND(BE1129=1,D1129="proMX"),ROUND(BI1129*CFG_RATE+BJ1129*CFG_OTRATE,6),0)</f>
        <v>0</v>
      </c>
      <c r="BU1129" s="80">
        <f>IF(AND(BD1129=1,D1129="proMX"),ROUND(AG1129/CFG_BLK,6),0)</f>
        <v>0</v>
      </c>
      <c r="BV1129" s="80" t="str">
        <f>IF(BF1129="Approved",IF(ISNUMBER(T1129),INT(T1129),INT(B1129)),"")</f>
        <v/>
      </c>
      <c r="BW1129" s="80">
        <f>IF(ISNUMBER(B1129),IF(DB_MON="Todos",1,IF(AND(INT(B1129)&gt;=DB_MS,INT(B1129)&lt;=DB_ME),1,0)),0)</f>
        <v>0</v>
      </c>
      <c r="BX1129" s="80">
        <f>IF(DB_PROJ="Todos",1,IF(E1129&amp;""=DB_PROJ&amp;"",1,0))</f>
        <v>1</v>
      </c>
      <c r="BY1129" s="80">
        <f>BW1129*BX1129</f>
        <v>0</v>
      </c>
      <c r="BZ1129" s="80" t="str">
        <f>IF(Y1129=1,F1129&amp;IF(AND(F1129&amp;""&lt;&gt;"",E1129&amp;""&lt;&gt;"")," · ","")&amp;E1129,"")</f>
        <v/>
      </c>
      <c r="CA1129" s="80" t="str">
        <f>IF(AND(BD1129=1,E1129&amp;""&lt;&gt;""),IF(COUNTIFS($E$5:E1128,E1129,$BD$5:BD1128,1)=0,MAX($CA$5:CA1128)+1,""),"")</f>
        <v/>
      </c>
      <c r="CB1129" s="80" t="str">
        <f>IF(AND(BE1129=1,D1129="Malcolm",E1129&amp;""&lt;&gt;""),IF(COUNTIFS($D$5:D1128,"Malcolm",$E$5:E1128,E1129,$BE$5:BE1128,1)=0,MAX($CB$5:CB1128)+1,""),"")</f>
        <v/>
      </c>
      <c r="CC1129" s="80" t="str">
        <f>IF(AND(BD1129=1,D1129="proMX",E1129&amp;""&lt;&gt;""),IF(COUNTIFS($D$5:D1128,"proMX",$E$5:E1128,E1129,$BD$5:BD1128,1)=0,MAX($CC$5:CC1128)+1,""),"")</f>
        <v/>
      </c>
      <c r="CD1129" s="80" t="str">
        <f>IF(AND(BE1129=1,D1129="Malcolm",F1129&amp;""&lt;&gt;""),IF(COUNTIFS($D$5:D1128,"Malcolm",$F$5:F1128,F1129,$BE$5:BE1128,1)=0,MAX($CD$5:CD1128)+1,""),"")</f>
        <v/>
      </c>
      <c r="CE1129" s="80" t="str">
        <f>IF(AND(BD1129=1,D1129="proMX",F1129&amp;""&lt;&gt;""),IF(COUNTIFS($D$5:D1128,"proMX",$F$5:F1128,F1129,$BD$5:BD1128,1)=0,MAX($CE$5:CE1128)+1,""),"")</f>
        <v/>
      </c>
      <c r="CF1129" s="80" t="str">
        <f>IF(AND(D1129="proMX",BD1129=1),IF(OR(BF1129="Draft",BF1129="Submitted",BF1129="Returned",BF1129="Recall Requested"),MAX($CF$5:CF1128)+1,""),"")</f>
        <v/>
      </c>
      <c r="CG1129" s="80">
        <f>IF(BD1129=0,0,IF(D1129="Malcolm",1,MATCH(BF1129,{"Draft","Submitted","Approved","Returned","Recall Requested","Cancelled"},0)+1))</f>
        <v>0</v>
      </c>
      <c r="CH1129" s="80">
        <f>IF(AND(BF1129="Submitted",ISNUMBER(V1129)),IF(V1129&gt;CFG_MAXD,1,0),0)</f>
        <v>0</v>
      </c>
    </row>
    <row r="1130">
      <c r="A1130" s="71" t="str">
        <f>IF(Y1130=1,ROW()-5,"")</f>
        <v/>
      </c>
      <c r="B1130" s="72" t="n"/>
      <c r="C1130" s="71" t="str">
        <f>IF(ISNUMBER(B1130),CHOOSE(WEEKDAY(B1130,2),"Lun","Mar","Mié","Jue","Vie","Sáb","Dom"),"")</f>
        <v/>
      </c>
      <c r="D1130" s="73" t="n"/>
      <c r="E1130" s="74" t="n"/>
      <c r="F1130" s="74" t="n"/>
      <c r="G1130" s="74" t="n"/>
      <c r="H1130" s="75" t="n"/>
      <c r="I1130" s="75" t="n"/>
      <c r="J1130" s="76" t="n"/>
      <c r="K1130" s="77" t="str">
        <f>IF(AB1130=1,ROUND(AG1130/60,4),"")</f>
        <v/>
      </c>
      <c r="L1130" s="77" t="str">
        <f>IF(BD1130=1,ROUND(AP1130/60,4),"")</f>
        <v/>
      </c>
      <c r="M1130" s="77" t="str">
        <f>IF(BD1130=1,ROUND(AQ1130/60,4),"")</f>
        <v/>
      </c>
      <c r="N1130" s="71" t="str">
        <f>IF(AND(D1130="proMX",AB1130=1),ROUND(AG1130/CFG_BLK,2),"")</f>
        <v/>
      </c>
      <c r="O1130" s="77" t="str">
        <f>IF(D1130="proMX",IF(BD1130=1,ROUND(AG1130/60,4),0),"")</f>
        <v/>
      </c>
      <c r="P1130" s="78" t="str">
        <f>IF(Y1130=0,"",IF(BD1130=1,"OK",IF(D1130="proMX","Revisar bloques: ","Revisar: ")&amp;BC1130))</f>
        <v/>
      </c>
      <c r="Q1130" s="78" t="str">
        <f>IF(NOT(ISNUMBER(B1130)),"",IF(COUNTIFS(FER_F,INT(B1130))&gt;0,"Feriado"&amp;IF(AH1130=1," (laborable)"," (no laborable)"),IF(AH1130=1,"Laborable",IF(WEEKDAY(B1130,2)&gt;5,"Fin de semana","No laborable"))))</f>
        <v/>
      </c>
      <c r="R1130" s="73" t="n"/>
      <c r="S1130" s="72" t="n"/>
      <c r="T1130" s="72" t="n"/>
      <c r="U1130" s="74" t="n"/>
      <c r="V1130" s="79" t="str">
        <f>IF(AND(D1130="proMX",OR(R1130="Submitted",R1130="Recall Requested"),ISNUMBER(S1130)),CFG_TODAY-INT(S1130),"")</f>
        <v/>
      </c>
      <c r="W1130" s="78" t="str">
        <f>IF(BD1130=0,"",IF(BA1130&gt;0,"⚠ Se superpone con un registro de la otra empresa",IF(D1130="Malcolm",IF(COUNTA(R1130,S1130,T1130)&gt;0,"Estado/fechas proMX se ignoran en Malcolm",""),IF(BF1130="Cancelled","Cancelado: excluido de totales",IF(R1130="","Sin estado: se trata como Draft",IF(BF1130="Submitted",IF(ISNUMBER(V1130),IF(V1130&gt;CFG_MAXD,"⚠ "&amp;V1130&amp;" días en Submitted (máx. "&amp;CFG_MAXD&amp;")",""),"Falta fecha de envío"),IF(BF1130="Returned","⚠ Devuelto: corregir y reenviar",IF(BF1130="Recall Requested","Retirada solicitada: pendiente",IF(AND(BF1130="Approved",NOT(ISNUMBER(T1130))),"Falta fecha de aprobación",IF(AND(ISNUMBER(S1130),ISNUMBER(T1130),T1130&lt;S1130),"Aprobación anterior al envío","")))))))))</f>
        <v/>
      </c>
      <c r="Y1130" s="80">
        <f>IF(COUNTA(B1130,D1130,E1130,F1130,G1130,H1130,I1130,J1130,R1130,S1130,T1130)&gt;0,1,0)</f>
        <v>0</v>
      </c>
      <c r="Z1130" s="80" t="str">
        <f>IF(AND(ISNUMBER(H1130),H1130&gt;=0,H1130&lt;1),ROUND(H1130*1440,0),"")</f>
        <v/>
      </c>
      <c r="AA1130" s="80" t="str">
        <f>IF(AND(ISNUMBER(I1130),I1130&gt;=0,I1130&lt;1),ROUND(I1130*1440,0),"")</f>
        <v/>
      </c>
      <c r="AB1130" s="80">
        <f>IF(AND(ISNUMBER(B1130),D1130&lt;&gt;"",ISNUMBER(Z1130),ISNUMBER(AA1130)),IF(Z1130=AA1130,0,1),0)</f>
        <v>0</v>
      </c>
      <c r="AC1130" s="80">
        <f>IF(AB1130=1,IF(AA1130&lt;Z1130,1,0),0)</f>
        <v>0</v>
      </c>
      <c r="AD1130" s="80">
        <f>IF(AB1130=1,IF(AC1130=1,1440-Z1130+AA1130,AA1130-Z1130),0)</f>
        <v>0</v>
      </c>
      <c r="AE1130" s="80">
        <f>IF(J1130="",0,IF(ISNUMBER(J1130),J1130,-1))</f>
        <v>0</v>
      </c>
      <c r="AF1130" s="80">
        <f>MIN(MAX(0,AE1130),AD1130)</f>
        <v>0</v>
      </c>
      <c r="AG1130" s="80">
        <f>MAX(0,AD1130-MAX(0,AE1130))</f>
        <v>0</v>
      </c>
      <c r="AH1130" s="80">
        <f>IF(ISNUMBER(B1130),IF(AND(INDEX(CFG_WDAYS,WEEKDAY(INT(B1130),2))="Sí",IF(D1130="proMX",COUNTIFS(FER_F,INT(B1130),FER_NLP,"Sí"),COUNTIFS(FER_F,INT(B1130),FER_NLM,"Sí"))=0),1,0),0)</f>
        <v>0</v>
      </c>
      <c r="AI1130" s="80">
        <f>IF(AC1130=1,IF(AND(INDEX(CFG_WDAYS,WEEKDAY(INT(B1130)+1,2))="Sí",IF(D1130="proMX",COUNTIFS(FER_F,INT(B1130)+1,FER_NLP,"Sí"),COUNTIFS(FER_F,INT(B1130)+1,FER_NLM,"Sí"))=0),1,0),0)</f>
        <v>0</v>
      </c>
      <c r="AJ1130" s="80">
        <f>IF(AC1130=1,1440-Z1130,AD1130)</f>
        <v>0</v>
      </c>
      <c r="AK1130" s="80">
        <f>IF(AND(AB1130=1,AH1130=1),MAX(0,MIN(IF(AC1130=1,1440,AA1130),CFG_WEM)-MAX(Z1130,CFG_WSM)),0)</f>
        <v>0</v>
      </c>
      <c r="AL1130" s="80">
        <f>IF(AND(AC1130=1,AI1130=1),MAX(0,MIN(AA1130,CFG_WEM)-CFG_WSM),0)</f>
        <v>0</v>
      </c>
      <c r="AM1130" s="80">
        <f>AK1130+AL1130</f>
        <v>0</v>
      </c>
      <c r="AN1130" s="80">
        <f>IF(CFG_BRK="Proporcional",IF(AD1130=0,0,AF1130*AM1130/AD1130),IF(CFG_BRK="Extras primero",MIN(AM1130,MAX(0,AF1130-(AD1130-AM1130))),MIN(AF1130,AM1130)))</f>
        <v>0</v>
      </c>
      <c r="AO1130" s="80">
        <f>AF1130-AN1130</f>
        <v>0</v>
      </c>
      <c r="AP1130" s="80">
        <f>AM1130-AN1130</f>
        <v>0</v>
      </c>
      <c r="AQ1130" s="80">
        <f>AD1130-AM1130-AO1130</f>
        <v>0</v>
      </c>
      <c r="AR1130" s="80">
        <f>IF(AM1130=0,0,AK1130-AN1130*AK1130/AM1130)</f>
        <v>0</v>
      </c>
      <c r="AS1130" s="80">
        <f>IF(AD1130-AM1130=0,0,(AJ1130-AK1130)-AO1130*(AJ1130-AK1130)/(AD1130-AM1130))</f>
        <v>0</v>
      </c>
      <c r="AT1130" s="80" t="str">
        <f>IF(AC1130=1,INT(B1130)+1,"")</f>
        <v/>
      </c>
      <c r="AU1130" s="80">
        <f>IF(AND(D1130="proMX",R1130="Cancelled"),0,1)</f>
        <v>1</v>
      </c>
      <c r="AV1130" s="80">
        <f>IF(AND(AB1130=1,AU1130=1),IF(COUNTIFS($D$5:D1129,D1130,$B$5:B1129,B1130,$Z$5:Z1129,Z1130,$AA$5:AA1129,AA1130,$F$5:F1129,F1130&amp;"",$AU$5:AU1129,1)&gt;0,1,0),0)</f>
        <v>0</v>
      </c>
      <c r="AW1130" s="80" t="str">
        <f>IF(AB1130=1,INT(B1130)*1440+Z1130,"")</f>
        <v/>
      </c>
      <c r="AX1130" s="80" t="str">
        <f>IF(AB1130=1,AW1130+AD1130,"")</f>
        <v/>
      </c>
      <c r="AY1130" s="80">
        <f>IF(AND(AB1130=1,AV1130=0,AU1130=1),1,0)</f>
        <v>0</v>
      </c>
      <c r="AZ1130" s="80">
        <f>IF(AY1130=1,COUNTIFS(R_Emp,D1130,R_SAbs,"&lt;"&amp;AX1130,R_EAbs,"&gt;"&amp;AW1130,R_OKey,1)-1,0)</f>
        <v>0</v>
      </c>
      <c r="BA1130" s="80">
        <f>IF(AY1130=1,COUNTIFS(R_Emp,"&lt;&gt;"&amp;D1130,R_SAbs,"&lt;"&amp;AX1130,R_EAbs,"&gt;"&amp;AW1130,R_OKey,1),0)</f>
        <v>0</v>
      </c>
      <c r="BB1130" s="80">
        <f>IF(AND(AB1130=1,D1130="proMX"),IF(AND(MOD(Z1130,CFG_BLK)=0,MOD(AA1130,CFG_BLK)=0,MOD(AG1130,CFG_BLK)=0,AG1130&gt;0),1,0),1)</f>
        <v>1</v>
      </c>
      <c r="BC1130" s="80" t="str">
        <f>IF(Y1130=0,"",IF(NOT(ISNUMBER(B1130)),"Falta fecha o fecha inválida",IF(D1130="","Falta empresa",IF(AND(D1130&lt;&gt;"Malcolm",D1130&lt;&gt;"proMX"),"Empresa inválida",IF(OR(INT(B1130)&lt;CFG_PSTART,INT(B1130)&gt;CFG_PEND),"Fecha fuera del período",IF(OR(NOT(ISNUMBER(Z1130)),NOT(ISNUMBER(AA1130))),"Falta hora inicio/fin o formato inválido",IF(AB1130=0,"Hora inicio = hora fin",IF(AE1130&lt;0,"Descanso inválido",IF(AE1130&gt;=AD1130,"Descanso ≥ duración",IF(AV1130=1,"Registro duplicado",IF(AZ1130&gt;0,"Se superpone con otro registro "&amp;D1130,IF(BB1130=0,"inicio, fin y duración neta deben ser múltiplos de "&amp;CFG_BLK&amp;" min",""))))))))))))</f>
        <v/>
      </c>
      <c r="BD1130" s="80">
        <f>IF(AND(Y1130=1,BC1130=""),1,0)</f>
        <v>0</v>
      </c>
      <c r="BE1130" s="80">
        <f>IF(AND(BD1130=1,AU1130=1),1,0)</f>
        <v>0</v>
      </c>
      <c r="BF1130" s="80" t="str">
        <f>IF(AND(D1130="proMX",BD1130=1),IF(R1130="","Draft",R1130),"")</f>
        <v/>
      </c>
      <c r="BG1130" s="80">
        <f>IF(BD1130=1,ROUND(AG1130/60,6),0)</f>
        <v>0</v>
      </c>
      <c r="BH1130" s="80">
        <f>IF(BE1130=1,ROUND(AG1130/60,6),0)</f>
        <v>0</v>
      </c>
      <c r="BI1130" s="80">
        <f>IF(BE1130=1,ROUND(AP1130/60,6),0)</f>
        <v>0</v>
      </c>
      <c r="BJ1130" s="80">
        <f>IF(BE1130=1,ROUND(AQ1130/60,6),0)</f>
        <v>0</v>
      </c>
      <c r="BK1130" s="80">
        <f>IF(BE1130=1,ROUND((AR1130+AS1130)/60,6),0)</f>
        <v>0</v>
      </c>
      <c r="BL1130" s="80">
        <f>ROUND(BH1130-BK1130,6)</f>
        <v>0</v>
      </c>
      <c r="BM1130" s="80">
        <f>IF(BE1130=1,ROUND(AR1130/60,6),0)</f>
        <v>0</v>
      </c>
      <c r="BN1130" s="80">
        <f>ROUND(BI1130-BM1130,6)</f>
        <v>0</v>
      </c>
      <c r="BO1130" s="80">
        <f>IF(BE1130=1,ROUND(AS1130/60,6),0)</f>
        <v>0</v>
      </c>
      <c r="BP1130" s="80">
        <f>ROUND(BJ1130-BO1130,6)</f>
        <v>0</v>
      </c>
      <c r="BQ1130" s="80">
        <f>IF(BE1130=1,AW1130,0)</f>
        <v>0</v>
      </c>
      <c r="BR1130" s="80">
        <f>IF(BE1130=1,AX1130,0)</f>
        <v>0</v>
      </c>
      <c r="BS1130" s="80">
        <f>IF(AND(BE1130=1,D1130="Malcolm",BA1130&gt;0),MIN(BH1130,SUMPRODUCT((R_Emp="proMX")*(R_EN&gt;0)*((R_EN-(R_EN&gt;BR1130)*(R_EN-BR1130))&gt;(R_SN+(R_SN&lt;BQ1130)*(BQ1130-R_SN)))*((R_EN-(R_EN&gt;BR1130)*(R_EN-BR1130))-(R_SN+(R_SN&lt;BQ1130)*(BQ1130-R_SN))))/60),0)</f>
        <v>0</v>
      </c>
      <c r="BT1130" s="80">
        <f>IF(AND(BE1130=1,D1130="proMX"),ROUND(BI1130*CFG_RATE+BJ1130*CFG_OTRATE,6),0)</f>
        <v>0</v>
      </c>
      <c r="BU1130" s="80">
        <f>IF(AND(BD1130=1,D1130="proMX"),ROUND(AG1130/CFG_BLK,6),0)</f>
        <v>0</v>
      </c>
      <c r="BV1130" s="80" t="str">
        <f>IF(BF1130="Approved",IF(ISNUMBER(T1130),INT(T1130),INT(B1130)),"")</f>
        <v/>
      </c>
      <c r="BW1130" s="80">
        <f>IF(ISNUMBER(B1130),IF(DB_MON="Todos",1,IF(AND(INT(B1130)&gt;=DB_MS,INT(B1130)&lt;=DB_ME),1,0)),0)</f>
        <v>0</v>
      </c>
      <c r="BX1130" s="80">
        <f>IF(DB_PROJ="Todos",1,IF(E1130&amp;""=DB_PROJ&amp;"",1,0))</f>
        <v>1</v>
      </c>
      <c r="BY1130" s="80">
        <f>BW1130*BX1130</f>
        <v>0</v>
      </c>
      <c r="BZ1130" s="80" t="str">
        <f>IF(Y1130=1,F1130&amp;IF(AND(F1130&amp;""&lt;&gt;"",E1130&amp;""&lt;&gt;"")," · ","")&amp;E1130,"")</f>
        <v/>
      </c>
      <c r="CA1130" s="80" t="str">
        <f>IF(AND(BD1130=1,E1130&amp;""&lt;&gt;""),IF(COUNTIFS($E$5:E1129,E1130,$BD$5:BD1129,1)=0,MAX($CA$5:CA1129)+1,""),"")</f>
        <v/>
      </c>
      <c r="CB1130" s="80" t="str">
        <f>IF(AND(BE1130=1,D1130="Malcolm",E1130&amp;""&lt;&gt;""),IF(COUNTIFS($D$5:D1129,"Malcolm",$E$5:E1129,E1130,$BE$5:BE1129,1)=0,MAX($CB$5:CB1129)+1,""),"")</f>
        <v/>
      </c>
      <c r="CC1130" s="80" t="str">
        <f>IF(AND(BD1130=1,D1130="proMX",E1130&amp;""&lt;&gt;""),IF(COUNTIFS($D$5:D1129,"proMX",$E$5:E1129,E1130,$BD$5:BD1129,1)=0,MAX($CC$5:CC1129)+1,""),"")</f>
        <v/>
      </c>
      <c r="CD1130" s="80" t="str">
        <f>IF(AND(BE1130=1,D1130="Malcolm",F1130&amp;""&lt;&gt;""),IF(COUNTIFS($D$5:D1129,"Malcolm",$F$5:F1129,F1130,$BE$5:BE1129,1)=0,MAX($CD$5:CD1129)+1,""),"")</f>
        <v/>
      </c>
      <c r="CE1130" s="80" t="str">
        <f>IF(AND(BD1130=1,D1130="proMX",F1130&amp;""&lt;&gt;""),IF(COUNTIFS($D$5:D1129,"proMX",$F$5:F1129,F1130,$BD$5:BD1129,1)=0,MAX($CE$5:CE1129)+1,""),"")</f>
        <v/>
      </c>
      <c r="CF1130" s="80" t="str">
        <f>IF(AND(D1130="proMX",BD1130=1),IF(OR(BF1130="Draft",BF1130="Submitted",BF1130="Returned",BF1130="Recall Requested"),MAX($CF$5:CF1129)+1,""),"")</f>
        <v/>
      </c>
      <c r="CG1130" s="80">
        <f>IF(BD1130=0,0,IF(D1130="Malcolm",1,MATCH(BF1130,{"Draft","Submitted","Approved","Returned","Recall Requested","Cancelled"},0)+1))</f>
        <v>0</v>
      </c>
      <c r="CH1130" s="80">
        <f>IF(AND(BF1130="Submitted",ISNUMBER(V1130)),IF(V1130&gt;CFG_MAXD,1,0),0)</f>
        <v>0</v>
      </c>
    </row>
    <row r="1131">
      <c r="A1131" s="71" t="str">
        <f>IF(Y1131=1,ROW()-5,"")</f>
        <v/>
      </c>
      <c r="B1131" s="72" t="n"/>
      <c r="C1131" s="71" t="str">
        <f>IF(ISNUMBER(B1131),CHOOSE(WEEKDAY(B1131,2),"Lun","Mar","Mié","Jue","Vie","Sáb","Dom"),"")</f>
        <v/>
      </c>
      <c r="D1131" s="73" t="n"/>
      <c r="E1131" s="74" t="n"/>
      <c r="F1131" s="74" t="n"/>
      <c r="G1131" s="74" t="n"/>
      <c r="H1131" s="75" t="n"/>
      <c r="I1131" s="75" t="n"/>
      <c r="J1131" s="76" t="n"/>
      <c r="K1131" s="77" t="str">
        <f>IF(AB1131=1,ROUND(AG1131/60,4),"")</f>
        <v/>
      </c>
      <c r="L1131" s="77" t="str">
        <f>IF(BD1131=1,ROUND(AP1131/60,4),"")</f>
        <v/>
      </c>
      <c r="M1131" s="77" t="str">
        <f>IF(BD1131=1,ROUND(AQ1131/60,4),"")</f>
        <v/>
      </c>
      <c r="N1131" s="71" t="str">
        <f>IF(AND(D1131="proMX",AB1131=1),ROUND(AG1131/CFG_BLK,2),"")</f>
        <v/>
      </c>
      <c r="O1131" s="77" t="str">
        <f>IF(D1131="proMX",IF(BD1131=1,ROUND(AG1131/60,4),0),"")</f>
        <v/>
      </c>
      <c r="P1131" s="78" t="str">
        <f>IF(Y1131=0,"",IF(BD1131=1,"OK",IF(D1131="proMX","Revisar bloques: ","Revisar: ")&amp;BC1131))</f>
        <v/>
      </c>
      <c r="Q1131" s="78" t="str">
        <f>IF(NOT(ISNUMBER(B1131)),"",IF(COUNTIFS(FER_F,INT(B1131))&gt;0,"Feriado"&amp;IF(AH1131=1," (laborable)"," (no laborable)"),IF(AH1131=1,"Laborable",IF(WEEKDAY(B1131,2)&gt;5,"Fin de semana","No laborable"))))</f>
        <v/>
      </c>
      <c r="R1131" s="73" t="n"/>
      <c r="S1131" s="72" t="n"/>
      <c r="T1131" s="72" t="n"/>
      <c r="U1131" s="74" t="n"/>
      <c r="V1131" s="79" t="str">
        <f>IF(AND(D1131="proMX",OR(R1131="Submitted",R1131="Recall Requested"),ISNUMBER(S1131)),CFG_TODAY-INT(S1131),"")</f>
        <v/>
      </c>
      <c r="W1131" s="78" t="str">
        <f>IF(BD1131=0,"",IF(BA1131&gt;0,"⚠ Se superpone con un registro de la otra empresa",IF(D1131="Malcolm",IF(COUNTA(R1131,S1131,T1131)&gt;0,"Estado/fechas proMX se ignoran en Malcolm",""),IF(BF1131="Cancelled","Cancelado: excluido de totales",IF(R1131="","Sin estado: se trata como Draft",IF(BF1131="Submitted",IF(ISNUMBER(V1131),IF(V1131&gt;CFG_MAXD,"⚠ "&amp;V1131&amp;" días en Submitted (máx. "&amp;CFG_MAXD&amp;")",""),"Falta fecha de envío"),IF(BF1131="Returned","⚠ Devuelto: corregir y reenviar",IF(BF1131="Recall Requested","Retirada solicitada: pendiente",IF(AND(BF1131="Approved",NOT(ISNUMBER(T1131))),"Falta fecha de aprobación",IF(AND(ISNUMBER(S1131),ISNUMBER(T1131),T1131&lt;S1131),"Aprobación anterior al envío","")))))))))</f>
        <v/>
      </c>
      <c r="Y1131" s="80">
        <f>IF(COUNTA(B1131,D1131,E1131,F1131,G1131,H1131,I1131,J1131,R1131,S1131,T1131)&gt;0,1,0)</f>
        <v>0</v>
      </c>
      <c r="Z1131" s="80" t="str">
        <f>IF(AND(ISNUMBER(H1131),H1131&gt;=0,H1131&lt;1),ROUND(H1131*1440,0),"")</f>
        <v/>
      </c>
      <c r="AA1131" s="80" t="str">
        <f>IF(AND(ISNUMBER(I1131),I1131&gt;=0,I1131&lt;1),ROUND(I1131*1440,0),"")</f>
        <v/>
      </c>
      <c r="AB1131" s="80">
        <f>IF(AND(ISNUMBER(B1131),D1131&lt;&gt;"",ISNUMBER(Z1131),ISNUMBER(AA1131)),IF(Z1131=AA1131,0,1),0)</f>
        <v>0</v>
      </c>
      <c r="AC1131" s="80">
        <f>IF(AB1131=1,IF(AA1131&lt;Z1131,1,0),0)</f>
        <v>0</v>
      </c>
      <c r="AD1131" s="80">
        <f>IF(AB1131=1,IF(AC1131=1,1440-Z1131+AA1131,AA1131-Z1131),0)</f>
        <v>0</v>
      </c>
      <c r="AE1131" s="80">
        <f>IF(J1131="",0,IF(ISNUMBER(J1131),J1131,-1))</f>
        <v>0</v>
      </c>
      <c r="AF1131" s="80">
        <f>MIN(MAX(0,AE1131),AD1131)</f>
        <v>0</v>
      </c>
      <c r="AG1131" s="80">
        <f>MAX(0,AD1131-MAX(0,AE1131))</f>
        <v>0</v>
      </c>
      <c r="AH1131" s="80">
        <f>IF(ISNUMBER(B1131),IF(AND(INDEX(CFG_WDAYS,WEEKDAY(INT(B1131),2))="Sí",IF(D1131="proMX",COUNTIFS(FER_F,INT(B1131),FER_NLP,"Sí"),COUNTIFS(FER_F,INT(B1131),FER_NLM,"Sí"))=0),1,0),0)</f>
        <v>0</v>
      </c>
      <c r="AI1131" s="80">
        <f>IF(AC1131=1,IF(AND(INDEX(CFG_WDAYS,WEEKDAY(INT(B1131)+1,2))="Sí",IF(D1131="proMX",COUNTIFS(FER_F,INT(B1131)+1,FER_NLP,"Sí"),COUNTIFS(FER_F,INT(B1131)+1,FER_NLM,"Sí"))=0),1,0),0)</f>
        <v>0</v>
      </c>
      <c r="AJ1131" s="80">
        <f>IF(AC1131=1,1440-Z1131,AD1131)</f>
        <v>0</v>
      </c>
      <c r="AK1131" s="80">
        <f>IF(AND(AB1131=1,AH1131=1),MAX(0,MIN(IF(AC1131=1,1440,AA1131),CFG_WEM)-MAX(Z1131,CFG_WSM)),0)</f>
        <v>0</v>
      </c>
      <c r="AL1131" s="80">
        <f>IF(AND(AC1131=1,AI1131=1),MAX(0,MIN(AA1131,CFG_WEM)-CFG_WSM),0)</f>
        <v>0</v>
      </c>
      <c r="AM1131" s="80">
        <f>AK1131+AL1131</f>
        <v>0</v>
      </c>
      <c r="AN1131" s="80">
        <f>IF(CFG_BRK="Proporcional",IF(AD1131=0,0,AF1131*AM1131/AD1131),IF(CFG_BRK="Extras primero",MIN(AM1131,MAX(0,AF1131-(AD1131-AM1131))),MIN(AF1131,AM1131)))</f>
        <v>0</v>
      </c>
      <c r="AO1131" s="80">
        <f>AF1131-AN1131</f>
        <v>0</v>
      </c>
      <c r="AP1131" s="80">
        <f>AM1131-AN1131</f>
        <v>0</v>
      </c>
      <c r="AQ1131" s="80">
        <f>AD1131-AM1131-AO1131</f>
        <v>0</v>
      </c>
      <c r="AR1131" s="80">
        <f>IF(AM1131=0,0,AK1131-AN1131*AK1131/AM1131)</f>
        <v>0</v>
      </c>
      <c r="AS1131" s="80">
        <f>IF(AD1131-AM1131=0,0,(AJ1131-AK1131)-AO1131*(AJ1131-AK1131)/(AD1131-AM1131))</f>
        <v>0</v>
      </c>
      <c r="AT1131" s="80" t="str">
        <f>IF(AC1131=1,INT(B1131)+1,"")</f>
        <v/>
      </c>
      <c r="AU1131" s="80">
        <f>IF(AND(D1131="proMX",R1131="Cancelled"),0,1)</f>
        <v>1</v>
      </c>
      <c r="AV1131" s="80">
        <f>IF(AND(AB1131=1,AU1131=1),IF(COUNTIFS($D$5:D1130,D1131,$B$5:B1130,B1131,$Z$5:Z1130,Z1131,$AA$5:AA1130,AA1131,$F$5:F1130,F1131&amp;"",$AU$5:AU1130,1)&gt;0,1,0),0)</f>
        <v>0</v>
      </c>
      <c r="AW1131" s="80" t="str">
        <f>IF(AB1131=1,INT(B1131)*1440+Z1131,"")</f>
        <v/>
      </c>
      <c r="AX1131" s="80" t="str">
        <f>IF(AB1131=1,AW1131+AD1131,"")</f>
        <v/>
      </c>
      <c r="AY1131" s="80">
        <f>IF(AND(AB1131=1,AV1131=0,AU1131=1),1,0)</f>
        <v>0</v>
      </c>
      <c r="AZ1131" s="80">
        <f>IF(AY1131=1,COUNTIFS(R_Emp,D1131,R_SAbs,"&lt;"&amp;AX1131,R_EAbs,"&gt;"&amp;AW1131,R_OKey,1)-1,0)</f>
        <v>0</v>
      </c>
      <c r="BA1131" s="80">
        <f>IF(AY1131=1,COUNTIFS(R_Emp,"&lt;&gt;"&amp;D1131,R_SAbs,"&lt;"&amp;AX1131,R_EAbs,"&gt;"&amp;AW1131,R_OKey,1),0)</f>
        <v>0</v>
      </c>
      <c r="BB1131" s="80">
        <f>IF(AND(AB1131=1,D1131="proMX"),IF(AND(MOD(Z1131,CFG_BLK)=0,MOD(AA1131,CFG_BLK)=0,MOD(AG1131,CFG_BLK)=0,AG1131&gt;0),1,0),1)</f>
        <v>1</v>
      </c>
      <c r="BC1131" s="80" t="str">
        <f>IF(Y1131=0,"",IF(NOT(ISNUMBER(B1131)),"Falta fecha o fecha inválida",IF(D1131="","Falta empresa",IF(AND(D1131&lt;&gt;"Malcolm",D1131&lt;&gt;"proMX"),"Empresa inválida",IF(OR(INT(B1131)&lt;CFG_PSTART,INT(B1131)&gt;CFG_PEND),"Fecha fuera del período",IF(OR(NOT(ISNUMBER(Z1131)),NOT(ISNUMBER(AA1131))),"Falta hora inicio/fin o formato inválido",IF(AB1131=0,"Hora inicio = hora fin",IF(AE1131&lt;0,"Descanso inválido",IF(AE1131&gt;=AD1131,"Descanso ≥ duración",IF(AV1131=1,"Registro duplicado",IF(AZ1131&gt;0,"Se superpone con otro registro "&amp;D1131,IF(BB1131=0,"inicio, fin y duración neta deben ser múltiplos de "&amp;CFG_BLK&amp;" min",""))))))))))))</f>
        <v/>
      </c>
      <c r="BD1131" s="80">
        <f>IF(AND(Y1131=1,BC1131=""),1,0)</f>
        <v>0</v>
      </c>
      <c r="BE1131" s="80">
        <f>IF(AND(BD1131=1,AU1131=1),1,0)</f>
        <v>0</v>
      </c>
      <c r="BF1131" s="80" t="str">
        <f>IF(AND(D1131="proMX",BD1131=1),IF(R1131="","Draft",R1131),"")</f>
        <v/>
      </c>
      <c r="BG1131" s="80">
        <f>IF(BD1131=1,ROUND(AG1131/60,6),0)</f>
        <v>0</v>
      </c>
      <c r="BH1131" s="80">
        <f>IF(BE1131=1,ROUND(AG1131/60,6),0)</f>
        <v>0</v>
      </c>
      <c r="BI1131" s="80">
        <f>IF(BE1131=1,ROUND(AP1131/60,6),0)</f>
        <v>0</v>
      </c>
      <c r="BJ1131" s="80">
        <f>IF(BE1131=1,ROUND(AQ1131/60,6),0)</f>
        <v>0</v>
      </c>
      <c r="BK1131" s="80">
        <f>IF(BE1131=1,ROUND((AR1131+AS1131)/60,6),0)</f>
        <v>0</v>
      </c>
      <c r="BL1131" s="80">
        <f>ROUND(BH1131-BK1131,6)</f>
        <v>0</v>
      </c>
      <c r="BM1131" s="80">
        <f>IF(BE1131=1,ROUND(AR1131/60,6),0)</f>
        <v>0</v>
      </c>
      <c r="BN1131" s="80">
        <f>ROUND(BI1131-BM1131,6)</f>
        <v>0</v>
      </c>
      <c r="BO1131" s="80">
        <f>IF(BE1131=1,ROUND(AS1131/60,6),0)</f>
        <v>0</v>
      </c>
      <c r="BP1131" s="80">
        <f>ROUND(BJ1131-BO1131,6)</f>
        <v>0</v>
      </c>
      <c r="BQ1131" s="80">
        <f>IF(BE1131=1,AW1131,0)</f>
        <v>0</v>
      </c>
      <c r="BR1131" s="80">
        <f>IF(BE1131=1,AX1131,0)</f>
        <v>0</v>
      </c>
      <c r="BS1131" s="80">
        <f>IF(AND(BE1131=1,D1131="Malcolm",BA1131&gt;0),MIN(BH1131,SUMPRODUCT((R_Emp="proMX")*(R_EN&gt;0)*((R_EN-(R_EN&gt;BR1131)*(R_EN-BR1131))&gt;(R_SN+(R_SN&lt;BQ1131)*(BQ1131-R_SN)))*((R_EN-(R_EN&gt;BR1131)*(R_EN-BR1131))-(R_SN+(R_SN&lt;BQ1131)*(BQ1131-R_SN))))/60),0)</f>
        <v>0</v>
      </c>
      <c r="BT1131" s="80">
        <f>IF(AND(BE1131=1,D1131="proMX"),ROUND(BI1131*CFG_RATE+BJ1131*CFG_OTRATE,6),0)</f>
        <v>0</v>
      </c>
      <c r="BU1131" s="80">
        <f>IF(AND(BD1131=1,D1131="proMX"),ROUND(AG1131/CFG_BLK,6),0)</f>
        <v>0</v>
      </c>
      <c r="BV1131" s="80" t="str">
        <f>IF(BF1131="Approved",IF(ISNUMBER(T1131),INT(T1131),INT(B1131)),"")</f>
        <v/>
      </c>
      <c r="BW1131" s="80">
        <f>IF(ISNUMBER(B1131),IF(DB_MON="Todos",1,IF(AND(INT(B1131)&gt;=DB_MS,INT(B1131)&lt;=DB_ME),1,0)),0)</f>
        <v>0</v>
      </c>
      <c r="BX1131" s="80">
        <f>IF(DB_PROJ="Todos",1,IF(E1131&amp;""=DB_PROJ&amp;"",1,0))</f>
        <v>1</v>
      </c>
      <c r="BY1131" s="80">
        <f>BW1131*BX1131</f>
        <v>0</v>
      </c>
      <c r="BZ1131" s="80" t="str">
        <f>IF(Y1131=1,F1131&amp;IF(AND(F1131&amp;""&lt;&gt;"",E1131&amp;""&lt;&gt;"")," · ","")&amp;E1131,"")</f>
        <v/>
      </c>
      <c r="CA1131" s="80" t="str">
        <f>IF(AND(BD1131=1,E1131&amp;""&lt;&gt;""),IF(COUNTIFS($E$5:E1130,E1131,$BD$5:BD1130,1)=0,MAX($CA$5:CA1130)+1,""),"")</f>
        <v/>
      </c>
      <c r="CB1131" s="80" t="str">
        <f>IF(AND(BE1131=1,D1131="Malcolm",E1131&amp;""&lt;&gt;""),IF(COUNTIFS($D$5:D1130,"Malcolm",$E$5:E1130,E1131,$BE$5:BE1130,1)=0,MAX($CB$5:CB1130)+1,""),"")</f>
        <v/>
      </c>
      <c r="CC1131" s="80" t="str">
        <f>IF(AND(BD1131=1,D1131="proMX",E1131&amp;""&lt;&gt;""),IF(COUNTIFS($D$5:D1130,"proMX",$E$5:E1130,E1131,$BD$5:BD1130,1)=0,MAX($CC$5:CC1130)+1,""),"")</f>
        <v/>
      </c>
      <c r="CD1131" s="80" t="str">
        <f>IF(AND(BE1131=1,D1131="Malcolm",F1131&amp;""&lt;&gt;""),IF(COUNTIFS($D$5:D1130,"Malcolm",$F$5:F1130,F1131,$BE$5:BE1130,1)=0,MAX($CD$5:CD1130)+1,""),"")</f>
        <v/>
      </c>
      <c r="CE1131" s="80" t="str">
        <f>IF(AND(BD1131=1,D1131="proMX",F1131&amp;""&lt;&gt;""),IF(COUNTIFS($D$5:D1130,"proMX",$F$5:F1130,F1131,$BD$5:BD1130,1)=0,MAX($CE$5:CE1130)+1,""),"")</f>
        <v/>
      </c>
      <c r="CF1131" s="80" t="str">
        <f>IF(AND(D1131="proMX",BD1131=1),IF(OR(BF1131="Draft",BF1131="Submitted",BF1131="Returned",BF1131="Recall Requested"),MAX($CF$5:CF1130)+1,""),"")</f>
        <v/>
      </c>
      <c r="CG1131" s="80">
        <f>IF(BD1131=0,0,IF(D1131="Malcolm",1,MATCH(BF1131,{"Draft","Submitted","Approved","Returned","Recall Requested","Cancelled"},0)+1))</f>
        <v>0</v>
      </c>
      <c r="CH1131" s="80">
        <f>IF(AND(BF1131="Submitted",ISNUMBER(V1131)),IF(V1131&gt;CFG_MAXD,1,0),0)</f>
        <v>0</v>
      </c>
    </row>
    <row r="1132">
      <c r="A1132" s="71" t="str">
        <f>IF(Y1132=1,ROW()-5,"")</f>
        <v/>
      </c>
      <c r="B1132" s="72" t="n"/>
      <c r="C1132" s="71" t="str">
        <f>IF(ISNUMBER(B1132),CHOOSE(WEEKDAY(B1132,2),"Lun","Mar","Mié","Jue","Vie","Sáb","Dom"),"")</f>
        <v/>
      </c>
      <c r="D1132" s="73" t="n"/>
      <c r="E1132" s="74" t="n"/>
      <c r="F1132" s="74" t="n"/>
      <c r="G1132" s="74" t="n"/>
      <c r="H1132" s="75" t="n"/>
      <c r="I1132" s="75" t="n"/>
      <c r="J1132" s="76" t="n"/>
      <c r="K1132" s="77" t="str">
        <f>IF(AB1132=1,ROUND(AG1132/60,4),"")</f>
        <v/>
      </c>
      <c r="L1132" s="77" t="str">
        <f>IF(BD1132=1,ROUND(AP1132/60,4),"")</f>
        <v/>
      </c>
      <c r="M1132" s="77" t="str">
        <f>IF(BD1132=1,ROUND(AQ1132/60,4),"")</f>
        <v/>
      </c>
      <c r="N1132" s="71" t="str">
        <f>IF(AND(D1132="proMX",AB1132=1),ROUND(AG1132/CFG_BLK,2),"")</f>
        <v/>
      </c>
      <c r="O1132" s="77" t="str">
        <f>IF(D1132="proMX",IF(BD1132=1,ROUND(AG1132/60,4),0),"")</f>
        <v/>
      </c>
      <c r="P1132" s="78" t="str">
        <f>IF(Y1132=0,"",IF(BD1132=1,"OK",IF(D1132="proMX","Revisar bloques: ","Revisar: ")&amp;BC1132))</f>
        <v/>
      </c>
      <c r="Q1132" s="78" t="str">
        <f>IF(NOT(ISNUMBER(B1132)),"",IF(COUNTIFS(FER_F,INT(B1132))&gt;0,"Feriado"&amp;IF(AH1132=1," (laborable)"," (no laborable)"),IF(AH1132=1,"Laborable",IF(WEEKDAY(B1132,2)&gt;5,"Fin de semana","No laborable"))))</f>
        <v/>
      </c>
      <c r="R1132" s="73" t="n"/>
      <c r="S1132" s="72" t="n"/>
      <c r="T1132" s="72" t="n"/>
      <c r="U1132" s="74" t="n"/>
      <c r="V1132" s="79" t="str">
        <f>IF(AND(D1132="proMX",OR(R1132="Submitted",R1132="Recall Requested"),ISNUMBER(S1132)),CFG_TODAY-INT(S1132),"")</f>
        <v/>
      </c>
      <c r="W1132" s="78" t="str">
        <f>IF(BD1132=0,"",IF(BA1132&gt;0,"⚠ Se superpone con un registro de la otra empresa",IF(D1132="Malcolm",IF(COUNTA(R1132,S1132,T1132)&gt;0,"Estado/fechas proMX se ignoran en Malcolm",""),IF(BF1132="Cancelled","Cancelado: excluido de totales",IF(R1132="","Sin estado: se trata como Draft",IF(BF1132="Submitted",IF(ISNUMBER(V1132),IF(V1132&gt;CFG_MAXD,"⚠ "&amp;V1132&amp;" días en Submitted (máx. "&amp;CFG_MAXD&amp;")",""),"Falta fecha de envío"),IF(BF1132="Returned","⚠ Devuelto: corregir y reenviar",IF(BF1132="Recall Requested","Retirada solicitada: pendiente",IF(AND(BF1132="Approved",NOT(ISNUMBER(T1132))),"Falta fecha de aprobación",IF(AND(ISNUMBER(S1132),ISNUMBER(T1132),T1132&lt;S1132),"Aprobación anterior al envío","")))))))))</f>
        <v/>
      </c>
      <c r="Y1132" s="80">
        <f>IF(COUNTA(B1132,D1132,E1132,F1132,G1132,H1132,I1132,J1132,R1132,S1132,T1132)&gt;0,1,0)</f>
        <v>0</v>
      </c>
      <c r="Z1132" s="80" t="str">
        <f>IF(AND(ISNUMBER(H1132),H1132&gt;=0,H1132&lt;1),ROUND(H1132*1440,0),"")</f>
        <v/>
      </c>
      <c r="AA1132" s="80" t="str">
        <f>IF(AND(ISNUMBER(I1132),I1132&gt;=0,I1132&lt;1),ROUND(I1132*1440,0),"")</f>
        <v/>
      </c>
      <c r="AB1132" s="80">
        <f>IF(AND(ISNUMBER(B1132),D1132&lt;&gt;"",ISNUMBER(Z1132),ISNUMBER(AA1132)),IF(Z1132=AA1132,0,1),0)</f>
        <v>0</v>
      </c>
      <c r="AC1132" s="80">
        <f>IF(AB1132=1,IF(AA1132&lt;Z1132,1,0),0)</f>
        <v>0</v>
      </c>
      <c r="AD1132" s="80">
        <f>IF(AB1132=1,IF(AC1132=1,1440-Z1132+AA1132,AA1132-Z1132),0)</f>
        <v>0</v>
      </c>
      <c r="AE1132" s="80">
        <f>IF(J1132="",0,IF(ISNUMBER(J1132),J1132,-1))</f>
        <v>0</v>
      </c>
      <c r="AF1132" s="80">
        <f>MIN(MAX(0,AE1132),AD1132)</f>
        <v>0</v>
      </c>
      <c r="AG1132" s="80">
        <f>MAX(0,AD1132-MAX(0,AE1132))</f>
        <v>0</v>
      </c>
      <c r="AH1132" s="80">
        <f>IF(ISNUMBER(B1132),IF(AND(INDEX(CFG_WDAYS,WEEKDAY(INT(B1132),2))="Sí",IF(D1132="proMX",COUNTIFS(FER_F,INT(B1132),FER_NLP,"Sí"),COUNTIFS(FER_F,INT(B1132),FER_NLM,"Sí"))=0),1,0),0)</f>
        <v>0</v>
      </c>
      <c r="AI1132" s="80">
        <f>IF(AC1132=1,IF(AND(INDEX(CFG_WDAYS,WEEKDAY(INT(B1132)+1,2))="Sí",IF(D1132="proMX",COUNTIFS(FER_F,INT(B1132)+1,FER_NLP,"Sí"),COUNTIFS(FER_F,INT(B1132)+1,FER_NLM,"Sí"))=0),1,0),0)</f>
        <v>0</v>
      </c>
      <c r="AJ1132" s="80">
        <f>IF(AC1132=1,1440-Z1132,AD1132)</f>
        <v>0</v>
      </c>
      <c r="AK1132" s="80">
        <f>IF(AND(AB1132=1,AH1132=1),MAX(0,MIN(IF(AC1132=1,1440,AA1132),CFG_WEM)-MAX(Z1132,CFG_WSM)),0)</f>
        <v>0</v>
      </c>
      <c r="AL1132" s="80">
        <f>IF(AND(AC1132=1,AI1132=1),MAX(0,MIN(AA1132,CFG_WEM)-CFG_WSM),0)</f>
        <v>0</v>
      </c>
      <c r="AM1132" s="80">
        <f>AK1132+AL1132</f>
        <v>0</v>
      </c>
      <c r="AN1132" s="80">
        <f>IF(CFG_BRK="Proporcional",IF(AD1132=0,0,AF1132*AM1132/AD1132),IF(CFG_BRK="Extras primero",MIN(AM1132,MAX(0,AF1132-(AD1132-AM1132))),MIN(AF1132,AM1132)))</f>
        <v>0</v>
      </c>
      <c r="AO1132" s="80">
        <f>AF1132-AN1132</f>
        <v>0</v>
      </c>
      <c r="AP1132" s="80">
        <f>AM1132-AN1132</f>
        <v>0</v>
      </c>
      <c r="AQ1132" s="80">
        <f>AD1132-AM1132-AO1132</f>
        <v>0</v>
      </c>
      <c r="AR1132" s="80">
        <f>IF(AM1132=0,0,AK1132-AN1132*AK1132/AM1132)</f>
        <v>0</v>
      </c>
      <c r="AS1132" s="80">
        <f>IF(AD1132-AM1132=0,0,(AJ1132-AK1132)-AO1132*(AJ1132-AK1132)/(AD1132-AM1132))</f>
        <v>0</v>
      </c>
      <c r="AT1132" s="80" t="str">
        <f>IF(AC1132=1,INT(B1132)+1,"")</f>
        <v/>
      </c>
      <c r="AU1132" s="80">
        <f>IF(AND(D1132="proMX",R1132="Cancelled"),0,1)</f>
        <v>1</v>
      </c>
      <c r="AV1132" s="80">
        <f>IF(AND(AB1132=1,AU1132=1),IF(COUNTIFS($D$5:D1131,D1132,$B$5:B1131,B1132,$Z$5:Z1131,Z1132,$AA$5:AA1131,AA1132,$F$5:F1131,F1132&amp;"",$AU$5:AU1131,1)&gt;0,1,0),0)</f>
        <v>0</v>
      </c>
      <c r="AW1132" s="80" t="str">
        <f>IF(AB1132=1,INT(B1132)*1440+Z1132,"")</f>
        <v/>
      </c>
      <c r="AX1132" s="80" t="str">
        <f>IF(AB1132=1,AW1132+AD1132,"")</f>
        <v/>
      </c>
      <c r="AY1132" s="80">
        <f>IF(AND(AB1132=1,AV1132=0,AU1132=1),1,0)</f>
        <v>0</v>
      </c>
      <c r="AZ1132" s="80">
        <f>IF(AY1132=1,COUNTIFS(R_Emp,D1132,R_SAbs,"&lt;"&amp;AX1132,R_EAbs,"&gt;"&amp;AW1132,R_OKey,1)-1,0)</f>
        <v>0</v>
      </c>
      <c r="BA1132" s="80">
        <f>IF(AY1132=1,COUNTIFS(R_Emp,"&lt;&gt;"&amp;D1132,R_SAbs,"&lt;"&amp;AX1132,R_EAbs,"&gt;"&amp;AW1132,R_OKey,1),0)</f>
        <v>0</v>
      </c>
      <c r="BB1132" s="80">
        <f>IF(AND(AB1132=1,D1132="proMX"),IF(AND(MOD(Z1132,CFG_BLK)=0,MOD(AA1132,CFG_BLK)=0,MOD(AG1132,CFG_BLK)=0,AG1132&gt;0),1,0),1)</f>
        <v>1</v>
      </c>
      <c r="BC1132" s="80" t="str">
        <f>IF(Y1132=0,"",IF(NOT(ISNUMBER(B1132)),"Falta fecha o fecha inválida",IF(D1132="","Falta empresa",IF(AND(D1132&lt;&gt;"Malcolm",D1132&lt;&gt;"proMX"),"Empresa inválida",IF(OR(INT(B1132)&lt;CFG_PSTART,INT(B1132)&gt;CFG_PEND),"Fecha fuera del período",IF(OR(NOT(ISNUMBER(Z1132)),NOT(ISNUMBER(AA1132))),"Falta hora inicio/fin o formato inválido",IF(AB1132=0,"Hora inicio = hora fin",IF(AE1132&lt;0,"Descanso inválido",IF(AE1132&gt;=AD1132,"Descanso ≥ duración",IF(AV1132=1,"Registro duplicado",IF(AZ1132&gt;0,"Se superpone con otro registro "&amp;D1132,IF(BB1132=0,"inicio, fin y duración neta deben ser múltiplos de "&amp;CFG_BLK&amp;" min",""))))))))))))</f>
        <v/>
      </c>
      <c r="BD1132" s="80">
        <f>IF(AND(Y1132=1,BC1132=""),1,0)</f>
        <v>0</v>
      </c>
      <c r="BE1132" s="80">
        <f>IF(AND(BD1132=1,AU1132=1),1,0)</f>
        <v>0</v>
      </c>
      <c r="BF1132" s="80" t="str">
        <f>IF(AND(D1132="proMX",BD1132=1),IF(R1132="","Draft",R1132),"")</f>
        <v/>
      </c>
      <c r="BG1132" s="80">
        <f>IF(BD1132=1,ROUND(AG1132/60,6),0)</f>
        <v>0</v>
      </c>
      <c r="BH1132" s="80">
        <f>IF(BE1132=1,ROUND(AG1132/60,6),0)</f>
        <v>0</v>
      </c>
      <c r="BI1132" s="80">
        <f>IF(BE1132=1,ROUND(AP1132/60,6),0)</f>
        <v>0</v>
      </c>
      <c r="BJ1132" s="80">
        <f>IF(BE1132=1,ROUND(AQ1132/60,6),0)</f>
        <v>0</v>
      </c>
      <c r="BK1132" s="80">
        <f>IF(BE1132=1,ROUND((AR1132+AS1132)/60,6),0)</f>
        <v>0</v>
      </c>
      <c r="BL1132" s="80">
        <f>ROUND(BH1132-BK1132,6)</f>
        <v>0</v>
      </c>
      <c r="BM1132" s="80">
        <f>IF(BE1132=1,ROUND(AR1132/60,6),0)</f>
        <v>0</v>
      </c>
      <c r="BN1132" s="80">
        <f>ROUND(BI1132-BM1132,6)</f>
        <v>0</v>
      </c>
      <c r="BO1132" s="80">
        <f>IF(BE1132=1,ROUND(AS1132/60,6),0)</f>
        <v>0</v>
      </c>
      <c r="BP1132" s="80">
        <f>ROUND(BJ1132-BO1132,6)</f>
        <v>0</v>
      </c>
      <c r="BQ1132" s="80">
        <f>IF(BE1132=1,AW1132,0)</f>
        <v>0</v>
      </c>
      <c r="BR1132" s="80">
        <f>IF(BE1132=1,AX1132,0)</f>
        <v>0</v>
      </c>
      <c r="BS1132" s="80">
        <f>IF(AND(BE1132=1,D1132="Malcolm",BA1132&gt;0),MIN(BH1132,SUMPRODUCT((R_Emp="proMX")*(R_EN&gt;0)*((R_EN-(R_EN&gt;BR1132)*(R_EN-BR1132))&gt;(R_SN+(R_SN&lt;BQ1132)*(BQ1132-R_SN)))*((R_EN-(R_EN&gt;BR1132)*(R_EN-BR1132))-(R_SN+(R_SN&lt;BQ1132)*(BQ1132-R_SN))))/60),0)</f>
        <v>0</v>
      </c>
      <c r="BT1132" s="80">
        <f>IF(AND(BE1132=1,D1132="proMX"),ROUND(BI1132*CFG_RATE+BJ1132*CFG_OTRATE,6),0)</f>
        <v>0</v>
      </c>
      <c r="BU1132" s="80">
        <f>IF(AND(BD1132=1,D1132="proMX"),ROUND(AG1132/CFG_BLK,6),0)</f>
        <v>0</v>
      </c>
      <c r="BV1132" s="80" t="str">
        <f>IF(BF1132="Approved",IF(ISNUMBER(T1132),INT(T1132),INT(B1132)),"")</f>
        <v/>
      </c>
      <c r="BW1132" s="80">
        <f>IF(ISNUMBER(B1132),IF(DB_MON="Todos",1,IF(AND(INT(B1132)&gt;=DB_MS,INT(B1132)&lt;=DB_ME),1,0)),0)</f>
        <v>0</v>
      </c>
      <c r="BX1132" s="80">
        <f>IF(DB_PROJ="Todos",1,IF(E1132&amp;""=DB_PROJ&amp;"",1,0))</f>
        <v>1</v>
      </c>
      <c r="BY1132" s="80">
        <f>BW1132*BX1132</f>
        <v>0</v>
      </c>
      <c r="BZ1132" s="80" t="str">
        <f>IF(Y1132=1,F1132&amp;IF(AND(F1132&amp;""&lt;&gt;"",E1132&amp;""&lt;&gt;"")," · ","")&amp;E1132,"")</f>
        <v/>
      </c>
      <c r="CA1132" s="80" t="str">
        <f>IF(AND(BD1132=1,E1132&amp;""&lt;&gt;""),IF(COUNTIFS($E$5:E1131,E1132,$BD$5:BD1131,1)=0,MAX($CA$5:CA1131)+1,""),"")</f>
        <v/>
      </c>
      <c r="CB1132" s="80" t="str">
        <f>IF(AND(BE1132=1,D1132="Malcolm",E1132&amp;""&lt;&gt;""),IF(COUNTIFS($D$5:D1131,"Malcolm",$E$5:E1131,E1132,$BE$5:BE1131,1)=0,MAX($CB$5:CB1131)+1,""),"")</f>
        <v/>
      </c>
      <c r="CC1132" s="80" t="str">
        <f>IF(AND(BD1132=1,D1132="proMX",E1132&amp;""&lt;&gt;""),IF(COUNTIFS($D$5:D1131,"proMX",$E$5:E1131,E1132,$BD$5:BD1131,1)=0,MAX($CC$5:CC1131)+1,""),"")</f>
        <v/>
      </c>
      <c r="CD1132" s="80" t="str">
        <f>IF(AND(BE1132=1,D1132="Malcolm",F1132&amp;""&lt;&gt;""),IF(COUNTIFS($D$5:D1131,"Malcolm",$F$5:F1131,F1132,$BE$5:BE1131,1)=0,MAX($CD$5:CD1131)+1,""),"")</f>
        <v/>
      </c>
      <c r="CE1132" s="80" t="str">
        <f>IF(AND(BD1132=1,D1132="proMX",F1132&amp;""&lt;&gt;""),IF(COUNTIFS($D$5:D1131,"proMX",$F$5:F1131,F1132,$BD$5:BD1131,1)=0,MAX($CE$5:CE1131)+1,""),"")</f>
        <v/>
      </c>
      <c r="CF1132" s="80" t="str">
        <f>IF(AND(D1132="proMX",BD1132=1),IF(OR(BF1132="Draft",BF1132="Submitted",BF1132="Returned",BF1132="Recall Requested"),MAX($CF$5:CF1131)+1,""),"")</f>
        <v/>
      </c>
      <c r="CG1132" s="80">
        <f>IF(BD1132=0,0,IF(D1132="Malcolm",1,MATCH(BF1132,{"Draft","Submitted","Approved","Returned","Recall Requested","Cancelled"},0)+1))</f>
        <v>0</v>
      </c>
      <c r="CH1132" s="80">
        <f>IF(AND(BF1132="Submitted",ISNUMBER(V1132)),IF(V1132&gt;CFG_MAXD,1,0),0)</f>
        <v>0</v>
      </c>
    </row>
    <row r="1133">
      <c r="A1133" s="71" t="str">
        <f>IF(Y1133=1,ROW()-5,"")</f>
        <v/>
      </c>
      <c r="B1133" s="72" t="n"/>
      <c r="C1133" s="71" t="str">
        <f>IF(ISNUMBER(B1133),CHOOSE(WEEKDAY(B1133,2),"Lun","Mar","Mié","Jue","Vie","Sáb","Dom"),"")</f>
        <v/>
      </c>
      <c r="D1133" s="73" t="n"/>
      <c r="E1133" s="74" t="n"/>
      <c r="F1133" s="74" t="n"/>
      <c r="G1133" s="74" t="n"/>
      <c r="H1133" s="75" t="n"/>
      <c r="I1133" s="75" t="n"/>
      <c r="J1133" s="76" t="n"/>
      <c r="K1133" s="77" t="str">
        <f>IF(AB1133=1,ROUND(AG1133/60,4),"")</f>
        <v/>
      </c>
      <c r="L1133" s="77" t="str">
        <f>IF(BD1133=1,ROUND(AP1133/60,4),"")</f>
        <v/>
      </c>
      <c r="M1133" s="77" t="str">
        <f>IF(BD1133=1,ROUND(AQ1133/60,4),"")</f>
        <v/>
      </c>
      <c r="N1133" s="71" t="str">
        <f>IF(AND(D1133="proMX",AB1133=1),ROUND(AG1133/CFG_BLK,2),"")</f>
        <v/>
      </c>
      <c r="O1133" s="77" t="str">
        <f>IF(D1133="proMX",IF(BD1133=1,ROUND(AG1133/60,4),0),"")</f>
        <v/>
      </c>
      <c r="P1133" s="78" t="str">
        <f>IF(Y1133=0,"",IF(BD1133=1,"OK",IF(D1133="proMX","Revisar bloques: ","Revisar: ")&amp;BC1133))</f>
        <v/>
      </c>
      <c r="Q1133" s="78" t="str">
        <f>IF(NOT(ISNUMBER(B1133)),"",IF(COUNTIFS(FER_F,INT(B1133))&gt;0,"Feriado"&amp;IF(AH1133=1," (laborable)"," (no laborable)"),IF(AH1133=1,"Laborable",IF(WEEKDAY(B1133,2)&gt;5,"Fin de semana","No laborable"))))</f>
        <v/>
      </c>
      <c r="R1133" s="73" t="n"/>
      <c r="S1133" s="72" t="n"/>
      <c r="T1133" s="72" t="n"/>
      <c r="U1133" s="74" t="n"/>
      <c r="V1133" s="79" t="str">
        <f>IF(AND(D1133="proMX",OR(R1133="Submitted",R1133="Recall Requested"),ISNUMBER(S1133)),CFG_TODAY-INT(S1133),"")</f>
        <v/>
      </c>
      <c r="W1133" s="78" t="str">
        <f>IF(BD1133=0,"",IF(BA1133&gt;0,"⚠ Se superpone con un registro de la otra empresa",IF(D1133="Malcolm",IF(COUNTA(R1133,S1133,T1133)&gt;0,"Estado/fechas proMX se ignoran en Malcolm",""),IF(BF1133="Cancelled","Cancelado: excluido de totales",IF(R1133="","Sin estado: se trata como Draft",IF(BF1133="Submitted",IF(ISNUMBER(V1133),IF(V1133&gt;CFG_MAXD,"⚠ "&amp;V1133&amp;" días en Submitted (máx. "&amp;CFG_MAXD&amp;")",""),"Falta fecha de envío"),IF(BF1133="Returned","⚠ Devuelto: corregir y reenviar",IF(BF1133="Recall Requested","Retirada solicitada: pendiente",IF(AND(BF1133="Approved",NOT(ISNUMBER(T1133))),"Falta fecha de aprobación",IF(AND(ISNUMBER(S1133),ISNUMBER(T1133),T1133&lt;S1133),"Aprobación anterior al envío","")))))))))</f>
        <v/>
      </c>
      <c r="Y1133" s="80">
        <f>IF(COUNTA(B1133,D1133,E1133,F1133,G1133,H1133,I1133,J1133,R1133,S1133,T1133)&gt;0,1,0)</f>
        <v>0</v>
      </c>
      <c r="Z1133" s="80" t="str">
        <f>IF(AND(ISNUMBER(H1133),H1133&gt;=0,H1133&lt;1),ROUND(H1133*1440,0),"")</f>
        <v/>
      </c>
      <c r="AA1133" s="80" t="str">
        <f>IF(AND(ISNUMBER(I1133),I1133&gt;=0,I1133&lt;1),ROUND(I1133*1440,0),"")</f>
        <v/>
      </c>
      <c r="AB1133" s="80">
        <f>IF(AND(ISNUMBER(B1133),D1133&lt;&gt;"",ISNUMBER(Z1133),ISNUMBER(AA1133)),IF(Z1133=AA1133,0,1),0)</f>
        <v>0</v>
      </c>
      <c r="AC1133" s="80">
        <f>IF(AB1133=1,IF(AA1133&lt;Z1133,1,0),0)</f>
        <v>0</v>
      </c>
      <c r="AD1133" s="80">
        <f>IF(AB1133=1,IF(AC1133=1,1440-Z1133+AA1133,AA1133-Z1133),0)</f>
        <v>0</v>
      </c>
      <c r="AE1133" s="80">
        <f>IF(J1133="",0,IF(ISNUMBER(J1133),J1133,-1))</f>
        <v>0</v>
      </c>
      <c r="AF1133" s="80">
        <f>MIN(MAX(0,AE1133),AD1133)</f>
        <v>0</v>
      </c>
      <c r="AG1133" s="80">
        <f>MAX(0,AD1133-MAX(0,AE1133))</f>
        <v>0</v>
      </c>
      <c r="AH1133" s="80">
        <f>IF(ISNUMBER(B1133),IF(AND(INDEX(CFG_WDAYS,WEEKDAY(INT(B1133),2))="Sí",IF(D1133="proMX",COUNTIFS(FER_F,INT(B1133),FER_NLP,"Sí"),COUNTIFS(FER_F,INT(B1133),FER_NLM,"Sí"))=0),1,0),0)</f>
        <v>0</v>
      </c>
      <c r="AI1133" s="80">
        <f>IF(AC1133=1,IF(AND(INDEX(CFG_WDAYS,WEEKDAY(INT(B1133)+1,2))="Sí",IF(D1133="proMX",COUNTIFS(FER_F,INT(B1133)+1,FER_NLP,"Sí"),COUNTIFS(FER_F,INT(B1133)+1,FER_NLM,"Sí"))=0),1,0),0)</f>
        <v>0</v>
      </c>
      <c r="AJ1133" s="80">
        <f>IF(AC1133=1,1440-Z1133,AD1133)</f>
        <v>0</v>
      </c>
      <c r="AK1133" s="80">
        <f>IF(AND(AB1133=1,AH1133=1),MAX(0,MIN(IF(AC1133=1,1440,AA1133),CFG_WEM)-MAX(Z1133,CFG_WSM)),0)</f>
        <v>0</v>
      </c>
      <c r="AL1133" s="80">
        <f>IF(AND(AC1133=1,AI1133=1),MAX(0,MIN(AA1133,CFG_WEM)-CFG_WSM),0)</f>
        <v>0</v>
      </c>
      <c r="AM1133" s="80">
        <f>AK1133+AL1133</f>
        <v>0</v>
      </c>
      <c r="AN1133" s="80">
        <f>IF(CFG_BRK="Proporcional",IF(AD1133=0,0,AF1133*AM1133/AD1133),IF(CFG_BRK="Extras primero",MIN(AM1133,MAX(0,AF1133-(AD1133-AM1133))),MIN(AF1133,AM1133)))</f>
        <v>0</v>
      </c>
      <c r="AO1133" s="80">
        <f>AF1133-AN1133</f>
        <v>0</v>
      </c>
      <c r="AP1133" s="80">
        <f>AM1133-AN1133</f>
        <v>0</v>
      </c>
      <c r="AQ1133" s="80">
        <f>AD1133-AM1133-AO1133</f>
        <v>0</v>
      </c>
      <c r="AR1133" s="80">
        <f>IF(AM1133=0,0,AK1133-AN1133*AK1133/AM1133)</f>
        <v>0</v>
      </c>
      <c r="AS1133" s="80">
        <f>IF(AD1133-AM1133=0,0,(AJ1133-AK1133)-AO1133*(AJ1133-AK1133)/(AD1133-AM1133))</f>
        <v>0</v>
      </c>
      <c r="AT1133" s="80" t="str">
        <f>IF(AC1133=1,INT(B1133)+1,"")</f>
        <v/>
      </c>
      <c r="AU1133" s="80">
        <f>IF(AND(D1133="proMX",R1133="Cancelled"),0,1)</f>
        <v>1</v>
      </c>
      <c r="AV1133" s="80">
        <f>IF(AND(AB1133=1,AU1133=1),IF(COUNTIFS($D$5:D1132,D1133,$B$5:B1132,B1133,$Z$5:Z1132,Z1133,$AA$5:AA1132,AA1133,$F$5:F1132,F1133&amp;"",$AU$5:AU1132,1)&gt;0,1,0),0)</f>
        <v>0</v>
      </c>
      <c r="AW1133" s="80" t="str">
        <f>IF(AB1133=1,INT(B1133)*1440+Z1133,"")</f>
        <v/>
      </c>
      <c r="AX1133" s="80" t="str">
        <f>IF(AB1133=1,AW1133+AD1133,"")</f>
        <v/>
      </c>
      <c r="AY1133" s="80">
        <f>IF(AND(AB1133=1,AV1133=0,AU1133=1),1,0)</f>
        <v>0</v>
      </c>
      <c r="AZ1133" s="80">
        <f>IF(AY1133=1,COUNTIFS(R_Emp,D1133,R_SAbs,"&lt;"&amp;AX1133,R_EAbs,"&gt;"&amp;AW1133,R_OKey,1)-1,0)</f>
        <v>0</v>
      </c>
      <c r="BA1133" s="80">
        <f>IF(AY1133=1,COUNTIFS(R_Emp,"&lt;&gt;"&amp;D1133,R_SAbs,"&lt;"&amp;AX1133,R_EAbs,"&gt;"&amp;AW1133,R_OKey,1),0)</f>
        <v>0</v>
      </c>
      <c r="BB1133" s="80">
        <f>IF(AND(AB1133=1,D1133="proMX"),IF(AND(MOD(Z1133,CFG_BLK)=0,MOD(AA1133,CFG_BLK)=0,MOD(AG1133,CFG_BLK)=0,AG1133&gt;0),1,0),1)</f>
        <v>1</v>
      </c>
      <c r="BC1133" s="80" t="str">
        <f>IF(Y1133=0,"",IF(NOT(ISNUMBER(B1133)),"Falta fecha o fecha inválida",IF(D1133="","Falta empresa",IF(AND(D1133&lt;&gt;"Malcolm",D1133&lt;&gt;"proMX"),"Empresa inválida",IF(OR(INT(B1133)&lt;CFG_PSTART,INT(B1133)&gt;CFG_PEND),"Fecha fuera del período",IF(OR(NOT(ISNUMBER(Z1133)),NOT(ISNUMBER(AA1133))),"Falta hora inicio/fin o formato inválido",IF(AB1133=0,"Hora inicio = hora fin",IF(AE1133&lt;0,"Descanso inválido",IF(AE1133&gt;=AD1133,"Descanso ≥ duración",IF(AV1133=1,"Registro duplicado",IF(AZ1133&gt;0,"Se superpone con otro registro "&amp;D1133,IF(BB1133=0,"inicio, fin y duración neta deben ser múltiplos de "&amp;CFG_BLK&amp;" min",""))))))))))))</f>
        <v/>
      </c>
      <c r="BD1133" s="80">
        <f>IF(AND(Y1133=1,BC1133=""),1,0)</f>
        <v>0</v>
      </c>
      <c r="BE1133" s="80">
        <f>IF(AND(BD1133=1,AU1133=1),1,0)</f>
        <v>0</v>
      </c>
      <c r="BF1133" s="80" t="str">
        <f>IF(AND(D1133="proMX",BD1133=1),IF(R1133="","Draft",R1133),"")</f>
        <v/>
      </c>
      <c r="BG1133" s="80">
        <f>IF(BD1133=1,ROUND(AG1133/60,6),0)</f>
        <v>0</v>
      </c>
      <c r="BH1133" s="80">
        <f>IF(BE1133=1,ROUND(AG1133/60,6),0)</f>
        <v>0</v>
      </c>
      <c r="BI1133" s="80">
        <f>IF(BE1133=1,ROUND(AP1133/60,6),0)</f>
        <v>0</v>
      </c>
      <c r="BJ1133" s="80">
        <f>IF(BE1133=1,ROUND(AQ1133/60,6),0)</f>
        <v>0</v>
      </c>
      <c r="BK1133" s="80">
        <f>IF(BE1133=1,ROUND((AR1133+AS1133)/60,6),0)</f>
        <v>0</v>
      </c>
      <c r="BL1133" s="80">
        <f>ROUND(BH1133-BK1133,6)</f>
        <v>0</v>
      </c>
      <c r="BM1133" s="80">
        <f>IF(BE1133=1,ROUND(AR1133/60,6),0)</f>
        <v>0</v>
      </c>
      <c r="BN1133" s="80">
        <f>ROUND(BI1133-BM1133,6)</f>
        <v>0</v>
      </c>
      <c r="BO1133" s="80">
        <f>IF(BE1133=1,ROUND(AS1133/60,6),0)</f>
        <v>0</v>
      </c>
      <c r="BP1133" s="80">
        <f>ROUND(BJ1133-BO1133,6)</f>
        <v>0</v>
      </c>
      <c r="BQ1133" s="80">
        <f>IF(BE1133=1,AW1133,0)</f>
        <v>0</v>
      </c>
      <c r="BR1133" s="80">
        <f>IF(BE1133=1,AX1133,0)</f>
        <v>0</v>
      </c>
      <c r="BS1133" s="80">
        <f>IF(AND(BE1133=1,D1133="Malcolm",BA1133&gt;0),MIN(BH1133,SUMPRODUCT((R_Emp="proMX")*(R_EN&gt;0)*((R_EN-(R_EN&gt;BR1133)*(R_EN-BR1133))&gt;(R_SN+(R_SN&lt;BQ1133)*(BQ1133-R_SN)))*((R_EN-(R_EN&gt;BR1133)*(R_EN-BR1133))-(R_SN+(R_SN&lt;BQ1133)*(BQ1133-R_SN))))/60),0)</f>
        <v>0</v>
      </c>
      <c r="BT1133" s="80">
        <f>IF(AND(BE1133=1,D1133="proMX"),ROUND(BI1133*CFG_RATE+BJ1133*CFG_OTRATE,6),0)</f>
        <v>0</v>
      </c>
      <c r="BU1133" s="80">
        <f>IF(AND(BD1133=1,D1133="proMX"),ROUND(AG1133/CFG_BLK,6),0)</f>
        <v>0</v>
      </c>
      <c r="BV1133" s="80" t="str">
        <f>IF(BF1133="Approved",IF(ISNUMBER(T1133),INT(T1133),INT(B1133)),"")</f>
        <v/>
      </c>
      <c r="BW1133" s="80">
        <f>IF(ISNUMBER(B1133),IF(DB_MON="Todos",1,IF(AND(INT(B1133)&gt;=DB_MS,INT(B1133)&lt;=DB_ME),1,0)),0)</f>
        <v>0</v>
      </c>
      <c r="BX1133" s="80">
        <f>IF(DB_PROJ="Todos",1,IF(E1133&amp;""=DB_PROJ&amp;"",1,0))</f>
        <v>1</v>
      </c>
      <c r="BY1133" s="80">
        <f>BW1133*BX1133</f>
        <v>0</v>
      </c>
      <c r="BZ1133" s="80" t="str">
        <f>IF(Y1133=1,F1133&amp;IF(AND(F1133&amp;""&lt;&gt;"",E1133&amp;""&lt;&gt;"")," · ","")&amp;E1133,"")</f>
        <v/>
      </c>
      <c r="CA1133" s="80" t="str">
        <f>IF(AND(BD1133=1,E1133&amp;""&lt;&gt;""),IF(COUNTIFS($E$5:E1132,E1133,$BD$5:BD1132,1)=0,MAX($CA$5:CA1132)+1,""),"")</f>
        <v/>
      </c>
      <c r="CB1133" s="80" t="str">
        <f>IF(AND(BE1133=1,D1133="Malcolm",E1133&amp;""&lt;&gt;""),IF(COUNTIFS($D$5:D1132,"Malcolm",$E$5:E1132,E1133,$BE$5:BE1132,1)=0,MAX($CB$5:CB1132)+1,""),"")</f>
        <v/>
      </c>
      <c r="CC1133" s="80" t="str">
        <f>IF(AND(BD1133=1,D1133="proMX",E1133&amp;""&lt;&gt;""),IF(COUNTIFS($D$5:D1132,"proMX",$E$5:E1132,E1133,$BD$5:BD1132,1)=0,MAX($CC$5:CC1132)+1,""),"")</f>
        <v/>
      </c>
      <c r="CD1133" s="80" t="str">
        <f>IF(AND(BE1133=1,D1133="Malcolm",F1133&amp;""&lt;&gt;""),IF(COUNTIFS($D$5:D1132,"Malcolm",$F$5:F1132,F1133,$BE$5:BE1132,1)=0,MAX($CD$5:CD1132)+1,""),"")</f>
        <v/>
      </c>
      <c r="CE1133" s="80" t="str">
        <f>IF(AND(BD1133=1,D1133="proMX",F1133&amp;""&lt;&gt;""),IF(COUNTIFS($D$5:D1132,"proMX",$F$5:F1132,F1133,$BD$5:BD1132,1)=0,MAX($CE$5:CE1132)+1,""),"")</f>
        <v/>
      </c>
      <c r="CF1133" s="80" t="str">
        <f>IF(AND(D1133="proMX",BD1133=1),IF(OR(BF1133="Draft",BF1133="Submitted",BF1133="Returned",BF1133="Recall Requested"),MAX($CF$5:CF1132)+1,""),"")</f>
        <v/>
      </c>
      <c r="CG1133" s="80">
        <f>IF(BD1133=0,0,IF(D1133="Malcolm",1,MATCH(BF1133,{"Draft","Submitted","Approved","Returned","Recall Requested","Cancelled"},0)+1))</f>
        <v>0</v>
      </c>
      <c r="CH1133" s="80">
        <f>IF(AND(BF1133="Submitted",ISNUMBER(V1133)),IF(V1133&gt;CFG_MAXD,1,0),0)</f>
        <v>0</v>
      </c>
    </row>
    <row r="1134">
      <c r="A1134" s="71" t="str">
        <f>IF(Y1134=1,ROW()-5,"")</f>
        <v/>
      </c>
      <c r="B1134" s="72" t="n"/>
      <c r="C1134" s="71" t="str">
        <f>IF(ISNUMBER(B1134),CHOOSE(WEEKDAY(B1134,2),"Lun","Mar","Mié","Jue","Vie","Sáb","Dom"),"")</f>
        <v/>
      </c>
      <c r="D1134" s="73" t="n"/>
      <c r="E1134" s="74" t="n"/>
      <c r="F1134" s="74" t="n"/>
      <c r="G1134" s="74" t="n"/>
      <c r="H1134" s="75" t="n"/>
      <c r="I1134" s="75" t="n"/>
      <c r="J1134" s="76" t="n"/>
      <c r="K1134" s="77" t="str">
        <f>IF(AB1134=1,ROUND(AG1134/60,4),"")</f>
        <v/>
      </c>
      <c r="L1134" s="77" t="str">
        <f>IF(BD1134=1,ROUND(AP1134/60,4),"")</f>
        <v/>
      </c>
      <c r="M1134" s="77" t="str">
        <f>IF(BD1134=1,ROUND(AQ1134/60,4),"")</f>
        <v/>
      </c>
      <c r="N1134" s="71" t="str">
        <f>IF(AND(D1134="proMX",AB1134=1),ROUND(AG1134/CFG_BLK,2),"")</f>
        <v/>
      </c>
      <c r="O1134" s="77" t="str">
        <f>IF(D1134="proMX",IF(BD1134=1,ROUND(AG1134/60,4),0),"")</f>
        <v/>
      </c>
      <c r="P1134" s="78" t="str">
        <f>IF(Y1134=0,"",IF(BD1134=1,"OK",IF(D1134="proMX","Revisar bloques: ","Revisar: ")&amp;BC1134))</f>
        <v/>
      </c>
      <c r="Q1134" s="78" t="str">
        <f>IF(NOT(ISNUMBER(B1134)),"",IF(COUNTIFS(FER_F,INT(B1134))&gt;0,"Feriado"&amp;IF(AH1134=1," (laborable)"," (no laborable)"),IF(AH1134=1,"Laborable",IF(WEEKDAY(B1134,2)&gt;5,"Fin de semana","No laborable"))))</f>
        <v/>
      </c>
      <c r="R1134" s="73" t="n"/>
      <c r="S1134" s="72" t="n"/>
      <c r="T1134" s="72" t="n"/>
      <c r="U1134" s="74" t="n"/>
      <c r="V1134" s="79" t="str">
        <f>IF(AND(D1134="proMX",OR(R1134="Submitted",R1134="Recall Requested"),ISNUMBER(S1134)),CFG_TODAY-INT(S1134),"")</f>
        <v/>
      </c>
      <c r="W1134" s="78" t="str">
        <f>IF(BD1134=0,"",IF(BA1134&gt;0,"⚠ Se superpone con un registro de la otra empresa",IF(D1134="Malcolm",IF(COUNTA(R1134,S1134,T1134)&gt;0,"Estado/fechas proMX se ignoran en Malcolm",""),IF(BF1134="Cancelled","Cancelado: excluido de totales",IF(R1134="","Sin estado: se trata como Draft",IF(BF1134="Submitted",IF(ISNUMBER(V1134),IF(V1134&gt;CFG_MAXD,"⚠ "&amp;V1134&amp;" días en Submitted (máx. "&amp;CFG_MAXD&amp;")",""),"Falta fecha de envío"),IF(BF1134="Returned","⚠ Devuelto: corregir y reenviar",IF(BF1134="Recall Requested","Retirada solicitada: pendiente",IF(AND(BF1134="Approved",NOT(ISNUMBER(T1134))),"Falta fecha de aprobación",IF(AND(ISNUMBER(S1134),ISNUMBER(T1134),T1134&lt;S1134),"Aprobación anterior al envío","")))))))))</f>
        <v/>
      </c>
      <c r="Y1134" s="80">
        <f>IF(COUNTA(B1134,D1134,E1134,F1134,G1134,H1134,I1134,J1134,R1134,S1134,T1134)&gt;0,1,0)</f>
        <v>0</v>
      </c>
      <c r="Z1134" s="80" t="str">
        <f>IF(AND(ISNUMBER(H1134),H1134&gt;=0,H1134&lt;1),ROUND(H1134*1440,0),"")</f>
        <v/>
      </c>
      <c r="AA1134" s="80" t="str">
        <f>IF(AND(ISNUMBER(I1134),I1134&gt;=0,I1134&lt;1),ROUND(I1134*1440,0),"")</f>
        <v/>
      </c>
      <c r="AB1134" s="80">
        <f>IF(AND(ISNUMBER(B1134),D1134&lt;&gt;"",ISNUMBER(Z1134),ISNUMBER(AA1134)),IF(Z1134=AA1134,0,1),0)</f>
        <v>0</v>
      </c>
      <c r="AC1134" s="80">
        <f>IF(AB1134=1,IF(AA1134&lt;Z1134,1,0),0)</f>
        <v>0</v>
      </c>
      <c r="AD1134" s="80">
        <f>IF(AB1134=1,IF(AC1134=1,1440-Z1134+AA1134,AA1134-Z1134),0)</f>
        <v>0</v>
      </c>
      <c r="AE1134" s="80">
        <f>IF(J1134="",0,IF(ISNUMBER(J1134),J1134,-1))</f>
        <v>0</v>
      </c>
      <c r="AF1134" s="80">
        <f>MIN(MAX(0,AE1134),AD1134)</f>
        <v>0</v>
      </c>
      <c r="AG1134" s="80">
        <f>MAX(0,AD1134-MAX(0,AE1134))</f>
        <v>0</v>
      </c>
      <c r="AH1134" s="80">
        <f>IF(ISNUMBER(B1134),IF(AND(INDEX(CFG_WDAYS,WEEKDAY(INT(B1134),2))="Sí",IF(D1134="proMX",COUNTIFS(FER_F,INT(B1134),FER_NLP,"Sí"),COUNTIFS(FER_F,INT(B1134),FER_NLM,"Sí"))=0),1,0),0)</f>
        <v>0</v>
      </c>
      <c r="AI1134" s="80">
        <f>IF(AC1134=1,IF(AND(INDEX(CFG_WDAYS,WEEKDAY(INT(B1134)+1,2))="Sí",IF(D1134="proMX",COUNTIFS(FER_F,INT(B1134)+1,FER_NLP,"Sí"),COUNTIFS(FER_F,INT(B1134)+1,FER_NLM,"Sí"))=0),1,0),0)</f>
        <v>0</v>
      </c>
      <c r="AJ1134" s="80">
        <f>IF(AC1134=1,1440-Z1134,AD1134)</f>
        <v>0</v>
      </c>
      <c r="AK1134" s="80">
        <f>IF(AND(AB1134=1,AH1134=1),MAX(0,MIN(IF(AC1134=1,1440,AA1134),CFG_WEM)-MAX(Z1134,CFG_WSM)),0)</f>
        <v>0</v>
      </c>
      <c r="AL1134" s="80">
        <f>IF(AND(AC1134=1,AI1134=1),MAX(0,MIN(AA1134,CFG_WEM)-CFG_WSM),0)</f>
        <v>0</v>
      </c>
      <c r="AM1134" s="80">
        <f>AK1134+AL1134</f>
        <v>0</v>
      </c>
      <c r="AN1134" s="80">
        <f>IF(CFG_BRK="Proporcional",IF(AD1134=0,0,AF1134*AM1134/AD1134),IF(CFG_BRK="Extras primero",MIN(AM1134,MAX(0,AF1134-(AD1134-AM1134))),MIN(AF1134,AM1134)))</f>
        <v>0</v>
      </c>
      <c r="AO1134" s="80">
        <f>AF1134-AN1134</f>
        <v>0</v>
      </c>
      <c r="AP1134" s="80">
        <f>AM1134-AN1134</f>
        <v>0</v>
      </c>
      <c r="AQ1134" s="80">
        <f>AD1134-AM1134-AO1134</f>
        <v>0</v>
      </c>
      <c r="AR1134" s="80">
        <f>IF(AM1134=0,0,AK1134-AN1134*AK1134/AM1134)</f>
        <v>0</v>
      </c>
      <c r="AS1134" s="80">
        <f>IF(AD1134-AM1134=0,0,(AJ1134-AK1134)-AO1134*(AJ1134-AK1134)/(AD1134-AM1134))</f>
        <v>0</v>
      </c>
      <c r="AT1134" s="80" t="str">
        <f>IF(AC1134=1,INT(B1134)+1,"")</f>
        <v/>
      </c>
      <c r="AU1134" s="80">
        <f>IF(AND(D1134="proMX",R1134="Cancelled"),0,1)</f>
        <v>1</v>
      </c>
      <c r="AV1134" s="80">
        <f>IF(AND(AB1134=1,AU1134=1),IF(COUNTIFS($D$5:D1133,D1134,$B$5:B1133,B1134,$Z$5:Z1133,Z1134,$AA$5:AA1133,AA1134,$F$5:F1133,F1134&amp;"",$AU$5:AU1133,1)&gt;0,1,0),0)</f>
        <v>0</v>
      </c>
      <c r="AW1134" s="80" t="str">
        <f>IF(AB1134=1,INT(B1134)*1440+Z1134,"")</f>
        <v/>
      </c>
      <c r="AX1134" s="80" t="str">
        <f>IF(AB1134=1,AW1134+AD1134,"")</f>
        <v/>
      </c>
      <c r="AY1134" s="80">
        <f>IF(AND(AB1134=1,AV1134=0,AU1134=1),1,0)</f>
        <v>0</v>
      </c>
      <c r="AZ1134" s="80">
        <f>IF(AY1134=1,COUNTIFS(R_Emp,D1134,R_SAbs,"&lt;"&amp;AX1134,R_EAbs,"&gt;"&amp;AW1134,R_OKey,1)-1,0)</f>
        <v>0</v>
      </c>
      <c r="BA1134" s="80">
        <f>IF(AY1134=1,COUNTIFS(R_Emp,"&lt;&gt;"&amp;D1134,R_SAbs,"&lt;"&amp;AX1134,R_EAbs,"&gt;"&amp;AW1134,R_OKey,1),0)</f>
        <v>0</v>
      </c>
      <c r="BB1134" s="80">
        <f>IF(AND(AB1134=1,D1134="proMX"),IF(AND(MOD(Z1134,CFG_BLK)=0,MOD(AA1134,CFG_BLK)=0,MOD(AG1134,CFG_BLK)=0,AG1134&gt;0),1,0),1)</f>
        <v>1</v>
      </c>
      <c r="BC1134" s="80" t="str">
        <f>IF(Y1134=0,"",IF(NOT(ISNUMBER(B1134)),"Falta fecha o fecha inválida",IF(D1134="","Falta empresa",IF(AND(D1134&lt;&gt;"Malcolm",D1134&lt;&gt;"proMX"),"Empresa inválida",IF(OR(INT(B1134)&lt;CFG_PSTART,INT(B1134)&gt;CFG_PEND),"Fecha fuera del período",IF(OR(NOT(ISNUMBER(Z1134)),NOT(ISNUMBER(AA1134))),"Falta hora inicio/fin o formato inválido",IF(AB1134=0,"Hora inicio = hora fin",IF(AE1134&lt;0,"Descanso inválido",IF(AE1134&gt;=AD1134,"Descanso ≥ duración",IF(AV1134=1,"Registro duplicado",IF(AZ1134&gt;0,"Se superpone con otro registro "&amp;D1134,IF(BB1134=0,"inicio, fin y duración neta deben ser múltiplos de "&amp;CFG_BLK&amp;" min",""))))))))))))</f>
        <v/>
      </c>
      <c r="BD1134" s="80">
        <f>IF(AND(Y1134=1,BC1134=""),1,0)</f>
        <v>0</v>
      </c>
      <c r="BE1134" s="80">
        <f>IF(AND(BD1134=1,AU1134=1),1,0)</f>
        <v>0</v>
      </c>
      <c r="BF1134" s="80" t="str">
        <f>IF(AND(D1134="proMX",BD1134=1),IF(R1134="","Draft",R1134),"")</f>
        <v/>
      </c>
      <c r="BG1134" s="80">
        <f>IF(BD1134=1,ROUND(AG1134/60,6),0)</f>
        <v>0</v>
      </c>
      <c r="BH1134" s="80">
        <f>IF(BE1134=1,ROUND(AG1134/60,6),0)</f>
        <v>0</v>
      </c>
      <c r="BI1134" s="80">
        <f>IF(BE1134=1,ROUND(AP1134/60,6),0)</f>
        <v>0</v>
      </c>
      <c r="BJ1134" s="80">
        <f>IF(BE1134=1,ROUND(AQ1134/60,6),0)</f>
        <v>0</v>
      </c>
      <c r="BK1134" s="80">
        <f>IF(BE1134=1,ROUND((AR1134+AS1134)/60,6),0)</f>
        <v>0</v>
      </c>
      <c r="BL1134" s="80">
        <f>ROUND(BH1134-BK1134,6)</f>
        <v>0</v>
      </c>
      <c r="BM1134" s="80">
        <f>IF(BE1134=1,ROUND(AR1134/60,6),0)</f>
        <v>0</v>
      </c>
      <c r="BN1134" s="80">
        <f>ROUND(BI1134-BM1134,6)</f>
        <v>0</v>
      </c>
      <c r="BO1134" s="80">
        <f>IF(BE1134=1,ROUND(AS1134/60,6),0)</f>
        <v>0</v>
      </c>
      <c r="BP1134" s="80">
        <f>ROUND(BJ1134-BO1134,6)</f>
        <v>0</v>
      </c>
      <c r="BQ1134" s="80">
        <f>IF(BE1134=1,AW1134,0)</f>
        <v>0</v>
      </c>
      <c r="BR1134" s="80">
        <f>IF(BE1134=1,AX1134,0)</f>
        <v>0</v>
      </c>
      <c r="BS1134" s="80">
        <f>IF(AND(BE1134=1,D1134="Malcolm",BA1134&gt;0),MIN(BH1134,SUMPRODUCT((R_Emp="proMX")*(R_EN&gt;0)*((R_EN-(R_EN&gt;BR1134)*(R_EN-BR1134))&gt;(R_SN+(R_SN&lt;BQ1134)*(BQ1134-R_SN)))*((R_EN-(R_EN&gt;BR1134)*(R_EN-BR1134))-(R_SN+(R_SN&lt;BQ1134)*(BQ1134-R_SN))))/60),0)</f>
        <v>0</v>
      </c>
      <c r="BT1134" s="80">
        <f>IF(AND(BE1134=1,D1134="proMX"),ROUND(BI1134*CFG_RATE+BJ1134*CFG_OTRATE,6),0)</f>
        <v>0</v>
      </c>
      <c r="BU1134" s="80">
        <f>IF(AND(BD1134=1,D1134="proMX"),ROUND(AG1134/CFG_BLK,6),0)</f>
        <v>0</v>
      </c>
      <c r="BV1134" s="80" t="str">
        <f>IF(BF1134="Approved",IF(ISNUMBER(T1134),INT(T1134),INT(B1134)),"")</f>
        <v/>
      </c>
      <c r="BW1134" s="80">
        <f>IF(ISNUMBER(B1134),IF(DB_MON="Todos",1,IF(AND(INT(B1134)&gt;=DB_MS,INT(B1134)&lt;=DB_ME),1,0)),0)</f>
        <v>0</v>
      </c>
      <c r="BX1134" s="80">
        <f>IF(DB_PROJ="Todos",1,IF(E1134&amp;""=DB_PROJ&amp;"",1,0))</f>
        <v>1</v>
      </c>
      <c r="BY1134" s="80">
        <f>BW1134*BX1134</f>
        <v>0</v>
      </c>
      <c r="BZ1134" s="80" t="str">
        <f>IF(Y1134=1,F1134&amp;IF(AND(F1134&amp;""&lt;&gt;"",E1134&amp;""&lt;&gt;"")," · ","")&amp;E1134,"")</f>
        <v/>
      </c>
      <c r="CA1134" s="80" t="str">
        <f>IF(AND(BD1134=1,E1134&amp;""&lt;&gt;""),IF(COUNTIFS($E$5:E1133,E1134,$BD$5:BD1133,1)=0,MAX($CA$5:CA1133)+1,""),"")</f>
        <v/>
      </c>
      <c r="CB1134" s="80" t="str">
        <f>IF(AND(BE1134=1,D1134="Malcolm",E1134&amp;""&lt;&gt;""),IF(COUNTIFS($D$5:D1133,"Malcolm",$E$5:E1133,E1134,$BE$5:BE1133,1)=0,MAX($CB$5:CB1133)+1,""),"")</f>
        <v/>
      </c>
      <c r="CC1134" s="80" t="str">
        <f>IF(AND(BD1134=1,D1134="proMX",E1134&amp;""&lt;&gt;""),IF(COUNTIFS($D$5:D1133,"proMX",$E$5:E1133,E1134,$BD$5:BD1133,1)=0,MAX($CC$5:CC1133)+1,""),"")</f>
        <v/>
      </c>
      <c r="CD1134" s="80" t="str">
        <f>IF(AND(BE1134=1,D1134="Malcolm",F1134&amp;""&lt;&gt;""),IF(COUNTIFS($D$5:D1133,"Malcolm",$F$5:F1133,F1134,$BE$5:BE1133,1)=0,MAX($CD$5:CD1133)+1,""),"")</f>
        <v/>
      </c>
      <c r="CE1134" s="80" t="str">
        <f>IF(AND(BD1134=1,D1134="proMX",F1134&amp;""&lt;&gt;""),IF(COUNTIFS($D$5:D1133,"proMX",$F$5:F1133,F1134,$BD$5:BD1133,1)=0,MAX($CE$5:CE1133)+1,""),"")</f>
        <v/>
      </c>
      <c r="CF1134" s="80" t="str">
        <f>IF(AND(D1134="proMX",BD1134=1),IF(OR(BF1134="Draft",BF1134="Submitted",BF1134="Returned",BF1134="Recall Requested"),MAX($CF$5:CF1133)+1,""),"")</f>
        <v/>
      </c>
      <c r="CG1134" s="80">
        <f>IF(BD1134=0,0,IF(D1134="Malcolm",1,MATCH(BF1134,{"Draft","Submitted","Approved","Returned","Recall Requested","Cancelled"},0)+1))</f>
        <v>0</v>
      </c>
      <c r="CH1134" s="80">
        <f>IF(AND(BF1134="Submitted",ISNUMBER(V1134)),IF(V1134&gt;CFG_MAXD,1,0),0)</f>
        <v>0</v>
      </c>
    </row>
    <row r="1135">
      <c r="A1135" s="71" t="str">
        <f>IF(Y1135=1,ROW()-5,"")</f>
        <v/>
      </c>
      <c r="B1135" s="72" t="n"/>
      <c r="C1135" s="71" t="str">
        <f>IF(ISNUMBER(B1135),CHOOSE(WEEKDAY(B1135,2),"Lun","Mar","Mié","Jue","Vie","Sáb","Dom"),"")</f>
        <v/>
      </c>
      <c r="D1135" s="73" t="n"/>
      <c r="E1135" s="74" t="n"/>
      <c r="F1135" s="74" t="n"/>
      <c r="G1135" s="74" t="n"/>
      <c r="H1135" s="75" t="n"/>
      <c r="I1135" s="75" t="n"/>
      <c r="J1135" s="76" t="n"/>
      <c r="K1135" s="77" t="str">
        <f>IF(AB1135=1,ROUND(AG1135/60,4),"")</f>
        <v/>
      </c>
      <c r="L1135" s="77" t="str">
        <f>IF(BD1135=1,ROUND(AP1135/60,4),"")</f>
        <v/>
      </c>
      <c r="M1135" s="77" t="str">
        <f>IF(BD1135=1,ROUND(AQ1135/60,4),"")</f>
        <v/>
      </c>
      <c r="N1135" s="71" t="str">
        <f>IF(AND(D1135="proMX",AB1135=1),ROUND(AG1135/CFG_BLK,2),"")</f>
        <v/>
      </c>
      <c r="O1135" s="77" t="str">
        <f>IF(D1135="proMX",IF(BD1135=1,ROUND(AG1135/60,4),0),"")</f>
        <v/>
      </c>
      <c r="P1135" s="78" t="str">
        <f>IF(Y1135=0,"",IF(BD1135=1,"OK",IF(D1135="proMX","Revisar bloques: ","Revisar: ")&amp;BC1135))</f>
        <v/>
      </c>
      <c r="Q1135" s="78" t="str">
        <f>IF(NOT(ISNUMBER(B1135)),"",IF(COUNTIFS(FER_F,INT(B1135))&gt;0,"Feriado"&amp;IF(AH1135=1," (laborable)"," (no laborable)"),IF(AH1135=1,"Laborable",IF(WEEKDAY(B1135,2)&gt;5,"Fin de semana","No laborable"))))</f>
        <v/>
      </c>
      <c r="R1135" s="73" t="n"/>
      <c r="S1135" s="72" t="n"/>
      <c r="T1135" s="72" t="n"/>
      <c r="U1135" s="74" t="n"/>
      <c r="V1135" s="79" t="str">
        <f>IF(AND(D1135="proMX",OR(R1135="Submitted",R1135="Recall Requested"),ISNUMBER(S1135)),CFG_TODAY-INT(S1135),"")</f>
        <v/>
      </c>
      <c r="W1135" s="78" t="str">
        <f>IF(BD1135=0,"",IF(BA1135&gt;0,"⚠ Se superpone con un registro de la otra empresa",IF(D1135="Malcolm",IF(COUNTA(R1135,S1135,T1135)&gt;0,"Estado/fechas proMX se ignoran en Malcolm",""),IF(BF1135="Cancelled","Cancelado: excluido de totales",IF(R1135="","Sin estado: se trata como Draft",IF(BF1135="Submitted",IF(ISNUMBER(V1135),IF(V1135&gt;CFG_MAXD,"⚠ "&amp;V1135&amp;" días en Submitted (máx. "&amp;CFG_MAXD&amp;")",""),"Falta fecha de envío"),IF(BF1135="Returned","⚠ Devuelto: corregir y reenviar",IF(BF1135="Recall Requested","Retirada solicitada: pendiente",IF(AND(BF1135="Approved",NOT(ISNUMBER(T1135))),"Falta fecha de aprobación",IF(AND(ISNUMBER(S1135),ISNUMBER(T1135),T1135&lt;S1135),"Aprobación anterior al envío","")))))))))</f>
        <v/>
      </c>
      <c r="Y1135" s="80">
        <f>IF(COUNTA(B1135,D1135,E1135,F1135,G1135,H1135,I1135,J1135,R1135,S1135,T1135)&gt;0,1,0)</f>
        <v>0</v>
      </c>
      <c r="Z1135" s="80" t="str">
        <f>IF(AND(ISNUMBER(H1135),H1135&gt;=0,H1135&lt;1),ROUND(H1135*1440,0),"")</f>
        <v/>
      </c>
      <c r="AA1135" s="80" t="str">
        <f>IF(AND(ISNUMBER(I1135),I1135&gt;=0,I1135&lt;1),ROUND(I1135*1440,0),"")</f>
        <v/>
      </c>
      <c r="AB1135" s="80">
        <f>IF(AND(ISNUMBER(B1135),D1135&lt;&gt;"",ISNUMBER(Z1135),ISNUMBER(AA1135)),IF(Z1135=AA1135,0,1),0)</f>
        <v>0</v>
      </c>
      <c r="AC1135" s="80">
        <f>IF(AB1135=1,IF(AA1135&lt;Z1135,1,0),0)</f>
        <v>0</v>
      </c>
      <c r="AD1135" s="80">
        <f>IF(AB1135=1,IF(AC1135=1,1440-Z1135+AA1135,AA1135-Z1135),0)</f>
        <v>0</v>
      </c>
      <c r="AE1135" s="80">
        <f>IF(J1135="",0,IF(ISNUMBER(J1135),J1135,-1))</f>
        <v>0</v>
      </c>
      <c r="AF1135" s="80">
        <f>MIN(MAX(0,AE1135),AD1135)</f>
        <v>0</v>
      </c>
      <c r="AG1135" s="80">
        <f>MAX(0,AD1135-MAX(0,AE1135))</f>
        <v>0</v>
      </c>
      <c r="AH1135" s="80">
        <f>IF(ISNUMBER(B1135),IF(AND(INDEX(CFG_WDAYS,WEEKDAY(INT(B1135),2))="Sí",IF(D1135="proMX",COUNTIFS(FER_F,INT(B1135),FER_NLP,"Sí"),COUNTIFS(FER_F,INT(B1135),FER_NLM,"Sí"))=0),1,0),0)</f>
        <v>0</v>
      </c>
      <c r="AI1135" s="80">
        <f>IF(AC1135=1,IF(AND(INDEX(CFG_WDAYS,WEEKDAY(INT(B1135)+1,2))="Sí",IF(D1135="proMX",COUNTIFS(FER_F,INT(B1135)+1,FER_NLP,"Sí"),COUNTIFS(FER_F,INT(B1135)+1,FER_NLM,"Sí"))=0),1,0),0)</f>
        <v>0</v>
      </c>
      <c r="AJ1135" s="80">
        <f>IF(AC1135=1,1440-Z1135,AD1135)</f>
        <v>0</v>
      </c>
      <c r="AK1135" s="80">
        <f>IF(AND(AB1135=1,AH1135=1),MAX(0,MIN(IF(AC1135=1,1440,AA1135),CFG_WEM)-MAX(Z1135,CFG_WSM)),0)</f>
        <v>0</v>
      </c>
      <c r="AL1135" s="80">
        <f>IF(AND(AC1135=1,AI1135=1),MAX(0,MIN(AA1135,CFG_WEM)-CFG_WSM),0)</f>
        <v>0</v>
      </c>
      <c r="AM1135" s="80">
        <f>AK1135+AL1135</f>
        <v>0</v>
      </c>
      <c r="AN1135" s="80">
        <f>IF(CFG_BRK="Proporcional",IF(AD1135=0,0,AF1135*AM1135/AD1135),IF(CFG_BRK="Extras primero",MIN(AM1135,MAX(0,AF1135-(AD1135-AM1135))),MIN(AF1135,AM1135)))</f>
        <v>0</v>
      </c>
      <c r="AO1135" s="80">
        <f>AF1135-AN1135</f>
        <v>0</v>
      </c>
      <c r="AP1135" s="80">
        <f>AM1135-AN1135</f>
        <v>0</v>
      </c>
      <c r="AQ1135" s="80">
        <f>AD1135-AM1135-AO1135</f>
        <v>0</v>
      </c>
      <c r="AR1135" s="80">
        <f>IF(AM1135=0,0,AK1135-AN1135*AK1135/AM1135)</f>
        <v>0</v>
      </c>
      <c r="AS1135" s="80">
        <f>IF(AD1135-AM1135=0,0,(AJ1135-AK1135)-AO1135*(AJ1135-AK1135)/(AD1135-AM1135))</f>
        <v>0</v>
      </c>
      <c r="AT1135" s="80" t="str">
        <f>IF(AC1135=1,INT(B1135)+1,"")</f>
        <v/>
      </c>
      <c r="AU1135" s="80">
        <f>IF(AND(D1135="proMX",R1135="Cancelled"),0,1)</f>
        <v>1</v>
      </c>
      <c r="AV1135" s="80">
        <f>IF(AND(AB1135=1,AU1135=1),IF(COUNTIFS($D$5:D1134,D1135,$B$5:B1134,B1135,$Z$5:Z1134,Z1135,$AA$5:AA1134,AA1135,$F$5:F1134,F1135&amp;"",$AU$5:AU1134,1)&gt;0,1,0),0)</f>
        <v>0</v>
      </c>
      <c r="AW1135" s="80" t="str">
        <f>IF(AB1135=1,INT(B1135)*1440+Z1135,"")</f>
        <v/>
      </c>
      <c r="AX1135" s="80" t="str">
        <f>IF(AB1135=1,AW1135+AD1135,"")</f>
        <v/>
      </c>
      <c r="AY1135" s="80">
        <f>IF(AND(AB1135=1,AV1135=0,AU1135=1),1,0)</f>
        <v>0</v>
      </c>
      <c r="AZ1135" s="80">
        <f>IF(AY1135=1,COUNTIFS(R_Emp,D1135,R_SAbs,"&lt;"&amp;AX1135,R_EAbs,"&gt;"&amp;AW1135,R_OKey,1)-1,0)</f>
        <v>0</v>
      </c>
      <c r="BA1135" s="80">
        <f>IF(AY1135=1,COUNTIFS(R_Emp,"&lt;&gt;"&amp;D1135,R_SAbs,"&lt;"&amp;AX1135,R_EAbs,"&gt;"&amp;AW1135,R_OKey,1),0)</f>
        <v>0</v>
      </c>
      <c r="BB1135" s="80">
        <f>IF(AND(AB1135=1,D1135="proMX"),IF(AND(MOD(Z1135,CFG_BLK)=0,MOD(AA1135,CFG_BLK)=0,MOD(AG1135,CFG_BLK)=0,AG1135&gt;0),1,0),1)</f>
        <v>1</v>
      </c>
      <c r="BC1135" s="80" t="str">
        <f>IF(Y1135=0,"",IF(NOT(ISNUMBER(B1135)),"Falta fecha o fecha inválida",IF(D1135="","Falta empresa",IF(AND(D1135&lt;&gt;"Malcolm",D1135&lt;&gt;"proMX"),"Empresa inválida",IF(OR(INT(B1135)&lt;CFG_PSTART,INT(B1135)&gt;CFG_PEND),"Fecha fuera del período",IF(OR(NOT(ISNUMBER(Z1135)),NOT(ISNUMBER(AA1135))),"Falta hora inicio/fin o formato inválido",IF(AB1135=0,"Hora inicio = hora fin",IF(AE1135&lt;0,"Descanso inválido",IF(AE1135&gt;=AD1135,"Descanso ≥ duración",IF(AV1135=1,"Registro duplicado",IF(AZ1135&gt;0,"Se superpone con otro registro "&amp;D1135,IF(BB1135=0,"inicio, fin y duración neta deben ser múltiplos de "&amp;CFG_BLK&amp;" min",""))))))))))))</f>
        <v/>
      </c>
      <c r="BD1135" s="80">
        <f>IF(AND(Y1135=1,BC1135=""),1,0)</f>
        <v>0</v>
      </c>
      <c r="BE1135" s="80">
        <f>IF(AND(BD1135=1,AU1135=1),1,0)</f>
        <v>0</v>
      </c>
      <c r="BF1135" s="80" t="str">
        <f>IF(AND(D1135="proMX",BD1135=1),IF(R1135="","Draft",R1135),"")</f>
        <v/>
      </c>
      <c r="BG1135" s="80">
        <f>IF(BD1135=1,ROUND(AG1135/60,6),0)</f>
        <v>0</v>
      </c>
      <c r="BH1135" s="80">
        <f>IF(BE1135=1,ROUND(AG1135/60,6),0)</f>
        <v>0</v>
      </c>
      <c r="BI1135" s="80">
        <f>IF(BE1135=1,ROUND(AP1135/60,6),0)</f>
        <v>0</v>
      </c>
      <c r="BJ1135" s="80">
        <f>IF(BE1135=1,ROUND(AQ1135/60,6),0)</f>
        <v>0</v>
      </c>
      <c r="BK1135" s="80">
        <f>IF(BE1135=1,ROUND((AR1135+AS1135)/60,6),0)</f>
        <v>0</v>
      </c>
      <c r="BL1135" s="80">
        <f>ROUND(BH1135-BK1135,6)</f>
        <v>0</v>
      </c>
      <c r="BM1135" s="80">
        <f>IF(BE1135=1,ROUND(AR1135/60,6),0)</f>
        <v>0</v>
      </c>
      <c r="BN1135" s="80">
        <f>ROUND(BI1135-BM1135,6)</f>
        <v>0</v>
      </c>
      <c r="BO1135" s="80">
        <f>IF(BE1135=1,ROUND(AS1135/60,6),0)</f>
        <v>0</v>
      </c>
      <c r="BP1135" s="80">
        <f>ROUND(BJ1135-BO1135,6)</f>
        <v>0</v>
      </c>
      <c r="BQ1135" s="80">
        <f>IF(BE1135=1,AW1135,0)</f>
        <v>0</v>
      </c>
      <c r="BR1135" s="80">
        <f>IF(BE1135=1,AX1135,0)</f>
        <v>0</v>
      </c>
      <c r="BS1135" s="80">
        <f>IF(AND(BE1135=1,D1135="Malcolm",BA1135&gt;0),MIN(BH1135,SUMPRODUCT((R_Emp="proMX")*(R_EN&gt;0)*((R_EN-(R_EN&gt;BR1135)*(R_EN-BR1135))&gt;(R_SN+(R_SN&lt;BQ1135)*(BQ1135-R_SN)))*((R_EN-(R_EN&gt;BR1135)*(R_EN-BR1135))-(R_SN+(R_SN&lt;BQ1135)*(BQ1135-R_SN))))/60),0)</f>
        <v>0</v>
      </c>
      <c r="BT1135" s="80">
        <f>IF(AND(BE1135=1,D1135="proMX"),ROUND(BI1135*CFG_RATE+BJ1135*CFG_OTRATE,6),0)</f>
        <v>0</v>
      </c>
      <c r="BU1135" s="80">
        <f>IF(AND(BD1135=1,D1135="proMX"),ROUND(AG1135/CFG_BLK,6),0)</f>
        <v>0</v>
      </c>
      <c r="BV1135" s="80" t="str">
        <f>IF(BF1135="Approved",IF(ISNUMBER(T1135),INT(T1135),INT(B1135)),"")</f>
        <v/>
      </c>
      <c r="BW1135" s="80">
        <f>IF(ISNUMBER(B1135),IF(DB_MON="Todos",1,IF(AND(INT(B1135)&gt;=DB_MS,INT(B1135)&lt;=DB_ME),1,0)),0)</f>
        <v>0</v>
      </c>
      <c r="BX1135" s="80">
        <f>IF(DB_PROJ="Todos",1,IF(E1135&amp;""=DB_PROJ&amp;"",1,0))</f>
        <v>1</v>
      </c>
      <c r="BY1135" s="80">
        <f>BW1135*BX1135</f>
        <v>0</v>
      </c>
      <c r="BZ1135" s="80" t="str">
        <f>IF(Y1135=1,F1135&amp;IF(AND(F1135&amp;""&lt;&gt;"",E1135&amp;""&lt;&gt;"")," · ","")&amp;E1135,"")</f>
        <v/>
      </c>
      <c r="CA1135" s="80" t="str">
        <f>IF(AND(BD1135=1,E1135&amp;""&lt;&gt;""),IF(COUNTIFS($E$5:E1134,E1135,$BD$5:BD1134,1)=0,MAX($CA$5:CA1134)+1,""),"")</f>
        <v/>
      </c>
      <c r="CB1135" s="80" t="str">
        <f>IF(AND(BE1135=1,D1135="Malcolm",E1135&amp;""&lt;&gt;""),IF(COUNTIFS($D$5:D1134,"Malcolm",$E$5:E1134,E1135,$BE$5:BE1134,1)=0,MAX($CB$5:CB1134)+1,""),"")</f>
        <v/>
      </c>
      <c r="CC1135" s="80" t="str">
        <f>IF(AND(BD1135=1,D1135="proMX",E1135&amp;""&lt;&gt;""),IF(COUNTIFS($D$5:D1134,"proMX",$E$5:E1134,E1135,$BD$5:BD1134,1)=0,MAX($CC$5:CC1134)+1,""),"")</f>
        <v/>
      </c>
      <c r="CD1135" s="80" t="str">
        <f>IF(AND(BE1135=1,D1135="Malcolm",F1135&amp;""&lt;&gt;""),IF(COUNTIFS($D$5:D1134,"Malcolm",$F$5:F1134,F1135,$BE$5:BE1134,1)=0,MAX($CD$5:CD1134)+1,""),"")</f>
        <v/>
      </c>
      <c r="CE1135" s="80" t="str">
        <f>IF(AND(BD1135=1,D1135="proMX",F1135&amp;""&lt;&gt;""),IF(COUNTIFS($D$5:D1134,"proMX",$F$5:F1134,F1135,$BD$5:BD1134,1)=0,MAX($CE$5:CE1134)+1,""),"")</f>
        <v/>
      </c>
      <c r="CF1135" s="80" t="str">
        <f>IF(AND(D1135="proMX",BD1135=1),IF(OR(BF1135="Draft",BF1135="Submitted",BF1135="Returned",BF1135="Recall Requested"),MAX($CF$5:CF1134)+1,""),"")</f>
        <v/>
      </c>
      <c r="CG1135" s="80">
        <f>IF(BD1135=0,0,IF(D1135="Malcolm",1,MATCH(BF1135,{"Draft","Submitted","Approved","Returned","Recall Requested","Cancelled"},0)+1))</f>
        <v>0</v>
      </c>
      <c r="CH1135" s="80">
        <f>IF(AND(BF1135="Submitted",ISNUMBER(V1135)),IF(V1135&gt;CFG_MAXD,1,0),0)</f>
        <v>0</v>
      </c>
    </row>
    <row r="1136">
      <c r="A1136" s="71" t="str">
        <f>IF(Y1136=1,ROW()-5,"")</f>
        <v/>
      </c>
      <c r="B1136" s="72" t="n"/>
      <c r="C1136" s="71" t="str">
        <f>IF(ISNUMBER(B1136),CHOOSE(WEEKDAY(B1136,2),"Lun","Mar","Mié","Jue","Vie","Sáb","Dom"),"")</f>
        <v/>
      </c>
      <c r="D1136" s="73" t="n"/>
      <c r="E1136" s="74" t="n"/>
      <c r="F1136" s="74" t="n"/>
      <c r="G1136" s="74" t="n"/>
      <c r="H1136" s="75" t="n"/>
      <c r="I1136" s="75" t="n"/>
      <c r="J1136" s="76" t="n"/>
      <c r="K1136" s="77" t="str">
        <f>IF(AB1136=1,ROUND(AG1136/60,4),"")</f>
        <v/>
      </c>
      <c r="L1136" s="77" t="str">
        <f>IF(BD1136=1,ROUND(AP1136/60,4),"")</f>
        <v/>
      </c>
      <c r="M1136" s="77" t="str">
        <f>IF(BD1136=1,ROUND(AQ1136/60,4),"")</f>
        <v/>
      </c>
      <c r="N1136" s="71" t="str">
        <f>IF(AND(D1136="proMX",AB1136=1),ROUND(AG1136/CFG_BLK,2),"")</f>
        <v/>
      </c>
      <c r="O1136" s="77" t="str">
        <f>IF(D1136="proMX",IF(BD1136=1,ROUND(AG1136/60,4),0),"")</f>
        <v/>
      </c>
      <c r="P1136" s="78" t="str">
        <f>IF(Y1136=0,"",IF(BD1136=1,"OK",IF(D1136="proMX","Revisar bloques: ","Revisar: ")&amp;BC1136))</f>
        <v/>
      </c>
      <c r="Q1136" s="78" t="str">
        <f>IF(NOT(ISNUMBER(B1136)),"",IF(COUNTIFS(FER_F,INT(B1136))&gt;0,"Feriado"&amp;IF(AH1136=1," (laborable)"," (no laborable)"),IF(AH1136=1,"Laborable",IF(WEEKDAY(B1136,2)&gt;5,"Fin de semana","No laborable"))))</f>
        <v/>
      </c>
      <c r="R1136" s="73" t="n"/>
      <c r="S1136" s="72" t="n"/>
      <c r="T1136" s="72" t="n"/>
      <c r="U1136" s="74" t="n"/>
      <c r="V1136" s="79" t="str">
        <f>IF(AND(D1136="proMX",OR(R1136="Submitted",R1136="Recall Requested"),ISNUMBER(S1136)),CFG_TODAY-INT(S1136),"")</f>
        <v/>
      </c>
      <c r="W1136" s="78" t="str">
        <f>IF(BD1136=0,"",IF(BA1136&gt;0,"⚠ Se superpone con un registro de la otra empresa",IF(D1136="Malcolm",IF(COUNTA(R1136,S1136,T1136)&gt;0,"Estado/fechas proMX se ignoran en Malcolm",""),IF(BF1136="Cancelled","Cancelado: excluido de totales",IF(R1136="","Sin estado: se trata como Draft",IF(BF1136="Submitted",IF(ISNUMBER(V1136),IF(V1136&gt;CFG_MAXD,"⚠ "&amp;V1136&amp;" días en Submitted (máx. "&amp;CFG_MAXD&amp;")",""),"Falta fecha de envío"),IF(BF1136="Returned","⚠ Devuelto: corregir y reenviar",IF(BF1136="Recall Requested","Retirada solicitada: pendiente",IF(AND(BF1136="Approved",NOT(ISNUMBER(T1136))),"Falta fecha de aprobación",IF(AND(ISNUMBER(S1136),ISNUMBER(T1136),T1136&lt;S1136),"Aprobación anterior al envío","")))))))))</f>
        <v/>
      </c>
      <c r="Y1136" s="80">
        <f>IF(COUNTA(B1136,D1136,E1136,F1136,G1136,H1136,I1136,J1136,R1136,S1136,T1136)&gt;0,1,0)</f>
        <v>0</v>
      </c>
      <c r="Z1136" s="80" t="str">
        <f>IF(AND(ISNUMBER(H1136),H1136&gt;=0,H1136&lt;1),ROUND(H1136*1440,0),"")</f>
        <v/>
      </c>
      <c r="AA1136" s="80" t="str">
        <f>IF(AND(ISNUMBER(I1136),I1136&gt;=0,I1136&lt;1),ROUND(I1136*1440,0),"")</f>
        <v/>
      </c>
      <c r="AB1136" s="80">
        <f>IF(AND(ISNUMBER(B1136),D1136&lt;&gt;"",ISNUMBER(Z1136),ISNUMBER(AA1136)),IF(Z1136=AA1136,0,1),0)</f>
        <v>0</v>
      </c>
      <c r="AC1136" s="80">
        <f>IF(AB1136=1,IF(AA1136&lt;Z1136,1,0),0)</f>
        <v>0</v>
      </c>
      <c r="AD1136" s="80">
        <f>IF(AB1136=1,IF(AC1136=1,1440-Z1136+AA1136,AA1136-Z1136),0)</f>
        <v>0</v>
      </c>
      <c r="AE1136" s="80">
        <f>IF(J1136="",0,IF(ISNUMBER(J1136),J1136,-1))</f>
        <v>0</v>
      </c>
      <c r="AF1136" s="80">
        <f>MIN(MAX(0,AE1136),AD1136)</f>
        <v>0</v>
      </c>
      <c r="AG1136" s="80">
        <f>MAX(0,AD1136-MAX(0,AE1136))</f>
        <v>0</v>
      </c>
      <c r="AH1136" s="80">
        <f>IF(ISNUMBER(B1136),IF(AND(INDEX(CFG_WDAYS,WEEKDAY(INT(B1136),2))="Sí",IF(D1136="proMX",COUNTIFS(FER_F,INT(B1136),FER_NLP,"Sí"),COUNTIFS(FER_F,INT(B1136),FER_NLM,"Sí"))=0),1,0),0)</f>
        <v>0</v>
      </c>
      <c r="AI1136" s="80">
        <f>IF(AC1136=1,IF(AND(INDEX(CFG_WDAYS,WEEKDAY(INT(B1136)+1,2))="Sí",IF(D1136="proMX",COUNTIFS(FER_F,INT(B1136)+1,FER_NLP,"Sí"),COUNTIFS(FER_F,INT(B1136)+1,FER_NLM,"Sí"))=0),1,0),0)</f>
        <v>0</v>
      </c>
      <c r="AJ1136" s="80">
        <f>IF(AC1136=1,1440-Z1136,AD1136)</f>
        <v>0</v>
      </c>
      <c r="AK1136" s="80">
        <f>IF(AND(AB1136=1,AH1136=1),MAX(0,MIN(IF(AC1136=1,1440,AA1136),CFG_WEM)-MAX(Z1136,CFG_WSM)),0)</f>
        <v>0</v>
      </c>
      <c r="AL1136" s="80">
        <f>IF(AND(AC1136=1,AI1136=1),MAX(0,MIN(AA1136,CFG_WEM)-CFG_WSM),0)</f>
        <v>0</v>
      </c>
      <c r="AM1136" s="80">
        <f>AK1136+AL1136</f>
        <v>0</v>
      </c>
      <c r="AN1136" s="80">
        <f>IF(CFG_BRK="Proporcional",IF(AD1136=0,0,AF1136*AM1136/AD1136),IF(CFG_BRK="Extras primero",MIN(AM1136,MAX(0,AF1136-(AD1136-AM1136))),MIN(AF1136,AM1136)))</f>
        <v>0</v>
      </c>
      <c r="AO1136" s="80">
        <f>AF1136-AN1136</f>
        <v>0</v>
      </c>
      <c r="AP1136" s="80">
        <f>AM1136-AN1136</f>
        <v>0</v>
      </c>
      <c r="AQ1136" s="80">
        <f>AD1136-AM1136-AO1136</f>
        <v>0</v>
      </c>
      <c r="AR1136" s="80">
        <f>IF(AM1136=0,0,AK1136-AN1136*AK1136/AM1136)</f>
        <v>0</v>
      </c>
      <c r="AS1136" s="80">
        <f>IF(AD1136-AM1136=0,0,(AJ1136-AK1136)-AO1136*(AJ1136-AK1136)/(AD1136-AM1136))</f>
        <v>0</v>
      </c>
      <c r="AT1136" s="80" t="str">
        <f>IF(AC1136=1,INT(B1136)+1,"")</f>
        <v/>
      </c>
      <c r="AU1136" s="80">
        <f>IF(AND(D1136="proMX",R1136="Cancelled"),0,1)</f>
        <v>1</v>
      </c>
      <c r="AV1136" s="80">
        <f>IF(AND(AB1136=1,AU1136=1),IF(COUNTIFS($D$5:D1135,D1136,$B$5:B1135,B1136,$Z$5:Z1135,Z1136,$AA$5:AA1135,AA1136,$F$5:F1135,F1136&amp;"",$AU$5:AU1135,1)&gt;0,1,0),0)</f>
        <v>0</v>
      </c>
      <c r="AW1136" s="80" t="str">
        <f>IF(AB1136=1,INT(B1136)*1440+Z1136,"")</f>
        <v/>
      </c>
      <c r="AX1136" s="80" t="str">
        <f>IF(AB1136=1,AW1136+AD1136,"")</f>
        <v/>
      </c>
      <c r="AY1136" s="80">
        <f>IF(AND(AB1136=1,AV1136=0,AU1136=1),1,0)</f>
        <v>0</v>
      </c>
      <c r="AZ1136" s="80">
        <f>IF(AY1136=1,COUNTIFS(R_Emp,D1136,R_SAbs,"&lt;"&amp;AX1136,R_EAbs,"&gt;"&amp;AW1136,R_OKey,1)-1,0)</f>
        <v>0</v>
      </c>
      <c r="BA1136" s="80">
        <f>IF(AY1136=1,COUNTIFS(R_Emp,"&lt;&gt;"&amp;D1136,R_SAbs,"&lt;"&amp;AX1136,R_EAbs,"&gt;"&amp;AW1136,R_OKey,1),0)</f>
        <v>0</v>
      </c>
      <c r="BB1136" s="80">
        <f>IF(AND(AB1136=1,D1136="proMX"),IF(AND(MOD(Z1136,CFG_BLK)=0,MOD(AA1136,CFG_BLK)=0,MOD(AG1136,CFG_BLK)=0,AG1136&gt;0),1,0),1)</f>
        <v>1</v>
      </c>
      <c r="BC1136" s="80" t="str">
        <f>IF(Y1136=0,"",IF(NOT(ISNUMBER(B1136)),"Falta fecha o fecha inválida",IF(D1136="","Falta empresa",IF(AND(D1136&lt;&gt;"Malcolm",D1136&lt;&gt;"proMX"),"Empresa inválida",IF(OR(INT(B1136)&lt;CFG_PSTART,INT(B1136)&gt;CFG_PEND),"Fecha fuera del período",IF(OR(NOT(ISNUMBER(Z1136)),NOT(ISNUMBER(AA1136))),"Falta hora inicio/fin o formato inválido",IF(AB1136=0,"Hora inicio = hora fin",IF(AE1136&lt;0,"Descanso inválido",IF(AE1136&gt;=AD1136,"Descanso ≥ duración",IF(AV1136=1,"Registro duplicado",IF(AZ1136&gt;0,"Se superpone con otro registro "&amp;D1136,IF(BB1136=0,"inicio, fin y duración neta deben ser múltiplos de "&amp;CFG_BLK&amp;" min",""))))))))))))</f>
        <v/>
      </c>
      <c r="BD1136" s="80">
        <f>IF(AND(Y1136=1,BC1136=""),1,0)</f>
        <v>0</v>
      </c>
      <c r="BE1136" s="80">
        <f>IF(AND(BD1136=1,AU1136=1),1,0)</f>
        <v>0</v>
      </c>
      <c r="BF1136" s="80" t="str">
        <f>IF(AND(D1136="proMX",BD1136=1),IF(R1136="","Draft",R1136),"")</f>
        <v/>
      </c>
      <c r="BG1136" s="80">
        <f>IF(BD1136=1,ROUND(AG1136/60,6),0)</f>
        <v>0</v>
      </c>
      <c r="BH1136" s="80">
        <f>IF(BE1136=1,ROUND(AG1136/60,6),0)</f>
        <v>0</v>
      </c>
      <c r="BI1136" s="80">
        <f>IF(BE1136=1,ROUND(AP1136/60,6),0)</f>
        <v>0</v>
      </c>
      <c r="BJ1136" s="80">
        <f>IF(BE1136=1,ROUND(AQ1136/60,6),0)</f>
        <v>0</v>
      </c>
      <c r="BK1136" s="80">
        <f>IF(BE1136=1,ROUND((AR1136+AS1136)/60,6),0)</f>
        <v>0</v>
      </c>
      <c r="BL1136" s="80">
        <f>ROUND(BH1136-BK1136,6)</f>
        <v>0</v>
      </c>
      <c r="BM1136" s="80">
        <f>IF(BE1136=1,ROUND(AR1136/60,6),0)</f>
        <v>0</v>
      </c>
      <c r="BN1136" s="80">
        <f>ROUND(BI1136-BM1136,6)</f>
        <v>0</v>
      </c>
      <c r="BO1136" s="80">
        <f>IF(BE1136=1,ROUND(AS1136/60,6),0)</f>
        <v>0</v>
      </c>
      <c r="BP1136" s="80">
        <f>ROUND(BJ1136-BO1136,6)</f>
        <v>0</v>
      </c>
      <c r="BQ1136" s="80">
        <f>IF(BE1136=1,AW1136,0)</f>
        <v>0</v>
      </c>
      <c r="BR1136" s="80">
        <f>IF(BE1136=1,AX1136,0)</f>
        <v>0</v>
      </c>
      <c r="BS1136" s="80">
        <f>IF(AND(BE1136=1,D1136="Malcolm",BA1136&gt;0),MIN(BH1136,SUMPRODUCT((R_Emp="proMX")*(R_EN&gt;0)*((R_EN-(R_EN&gt;BR1136)*(R_EN-BR1136))&gt;(R_SN+(R_SN&lt;BQ1136)*(BQ1136-R_SN)))*((R_EN-(R_EN&gt;BR1136)*(R_EN-BR1136))-(R_SN+(R_SN&lt;BQ1136)*(BQ1136-R_SN))))/60),0)</f>
        <v>0</v>
      </c>
      <c r="BT1136" s="80">
        <f>IF(AND(BE1136=1,D1136="proMX"),ROUND(BI1136*CFG_RATE+BJ1136*CFG_OTRATE,6),0)</f>
        <v>0</v>
      </c>
      <c r="BU1136" s="80">
        <f>IF(AND(BD1136=1,D1136="proMX"),ROUND(AG1136/CFG_BLK,6),0)</f>
        <v>0</v>
      </c>
      <c r="BV1136" s="80" t="str">
        <f>IF(BF1136="Approved",IF(ISNUMBER(T1136),INT(T1136),INT(B1136)),"")</f>
        <v/>
      </c>
      <c r="BW1136" s="80">
        <f>IF(ISNUMBER(B1136),IF(DB_MON="Todos",1,IF(AND(INT(B1136)&gt;=DB_MS,INT(B1136)&lt;=DB_ME),1,0)),0)</f>
        <v>0</v>
      </c>
      <c r="BX1136" s="80">
        <f>IF(DB_PROJ="Todos",1,IF(E1136&amp;""=DB_PROJ&amp;"",1,0))</f>
        <v>1</v>
      </c>
      <c r="BY1136" s="80">
        <f>BW1136*BX1136</f>
        <v>0</v>
      </c>
      <c r="BZ1136" s="80" t="str">
        <f>IF(Y1136=1,F1136&amp;IF(AND(F1136&amp;""&lt;&gt;"",E1136&amp;""&lt;&gt;"")," · ","")&amp;E1136,"")</f>
        <v/>
      </c>
      <c r="CA1136" s="80" t="str">
        <f>IF(AND(BD1136=1,E1136&amp;""&lt;&gt;""),IF(COUNTIFS($E$5:E1135,E1136,$BD$5:BD1135,1)=0,MAX($CA$5:CA1135)+1,""),"")</f>
        <v/>
      </c>
      <c r="CB1136" s="80" t="str">
        <f>IF(AND(BE1136=1,D1136="Malcolm",E1136&amp;""&lt;&gt;""),IF(COUNTIFS($D$5:D1135,"Malcolm",$E$5:E1135,E1136,$BE$5:BE1135,1)=0,MAX($CB$5:CB1135)+1,""),"")</f>
        <v/>
      </c>
      <c r="CC1136" s="80" t="str">
        <f>IF(AND(BD1136=1,D1136="proMX",E1136&amp;""&lt;&gt;""),IF(COUNTIFS($D$5:D1135,"proMX",$E$5:E1135,E1136,$BD$5:BD1135,1)=0,MAX($CC$5:CC1135)+1,""),"")</f>
        <v/>
      </c>
      <c r="CD1136" s="80" t="str">
        <f>IF(AND(BE1136=1,D1136="Malcolm",F1136&amp;""&lt;&gt;""),IF(COUNTIFS($D$5:D1135,"Malcolm",$F$5:F1135,F1136,$BE$5:BE1135,1)=0,MAX($CD$5:CD1135)+1,""),"")</f>
        <v/>
      </c>
      <c r="CE1136" s="80" t="str">
        <f>IF(AND(BD1136=1,D1136="proMX",F1136&amp;""&lt;&gt;""),IF(COUNTIFS($D$5:D1135,"proMX",$F$5:F1135,F1136,$BD$5:BD1135,1)=0,MAX($CE$5:CE1135)+1,""),"")</f>
        <v/>
      </c>
      <c r="CF1136" s="80" t="str">
        <f>IF(AND(D1136="proMX",BD1136=1),IF(OR(BF1136="Draft",BF1136="Submitted",BF1136="Returned",BF1136="Recall Requested"),MAX($CF$5:CF1135)+1,""),"")</f>
        <v/>
      </c>
      <c r="CG1136" s="80">
        <f>IF(BD1136=0,0,IF(D1136="Malcolm",1,MATCH(BF1136,{"Draft","Submitted","Approved","Returned","Recall Requested","Cancelled"},0)+1))</f>
        <v>0</v>
      </c>
      <c r="CH1136" s="80">
        <f>IF(AND(BF1136="Submitted",ISNUMBER(V1136)),IF(V1136&gt;CFG_MAXD,1,0),0)</f>
        <v>0</v>
      </c>
    </row>
    <row r="1137">
      <c r="A1137" s="71" t="str">
        <f>IF(Y1137=1,ROW()-5,"")</f>
        <v/>
      </c>
      <c r="B1137" s="72" t="n"/>
      <c r="C1137" s="71" t="str">
        <f>IF(ISNUMBER(B1137),CHOOSE(WEEKDAY(B1137,2),"Lun","Mar","Mié","Jue","Vie","Sáb","Dom"),"")</f>
        <v/>
      </c>
      <c r="D1137" s="73" t="n"/>
      <c r="E1137" s="74" t="n"/>
      <c r="F1137" s="74" t="n"/>
      <c r="G1137" s="74" t="n"/>
      <c r="H1137" s="75" t="n"/>
      <c r="I1137" s="75" t="n"/>
      <c r="J1137" s="76" t="n"/>
      <c r="K1137" s="77" t="str">
        <f>IF(AB1137=1,ROUND(AG1137/60,4),"")</f>
        <v/>
      </c>
      <c r="L1137" s="77" t="str">
        <f>IF(BD1137=1,ROUND(AP1137/60,4),"")</f>
        <v/>
      </c>
      <c r="M1137" s="77" t="str">
        <f>IF(BD1137=1,ROUND(AQ1137/60,4),"")</f>
        <v/>
      </c>
      <c r="N1137" s="71" t="str">
        <f>IF(AND(D1137="proMX",AB1137=1),ROUND(AG1137/CFG_BLK,2),"")</f>
        <v/>
      </c>
      <c r="O1137" s="77" t="str">
        <f>IF(D1137="proMX",IF(BD1137=1,ROUND(AG1137/60,4),0),"")</f>
        <v/>
      </c>
      <c r="P1137" s="78" t="str">
        <f>IF(Y1137=0,"",IF(BD1137=1,"OK",IF(D1137="proMX","Revisar bloques: ","Revisar: ")&amp;BC1137))</f>
        <v/>
      </c>
      <c r="Q1137" s="78" t="str">
        <f>IF(NOT(ISNUMBER(B1137)),"",IF(COUNTIFS(FER_F,INT(B1137))&gt;0,"Feriado"&amp;IF(AH1137=1," (laborable)"," (no laborable)"),IF(AH1137=1,"Laborable",IF(WEEKDAY(B1137,2)&gt;5,"Fin de semana","No laborable"))))</f>
        <v/>
      </c>
      <c r="R1137" s="73" t="n"/>
      <c r="S1137" s="72" t="n"/>
      <c r="T1137" s="72" t="n"/>
      <c r="U1137" s="74" t="n"/>
      <c r="V1137" s="79" t="str">
        <f>IF(AND(D1137="proMX",OR(R1137="Submitted",R1137="Recall Requested"),ISNUMBER(S1137)),CFG_TODAY-INT(S1137),"")</f>
        <v/>
      </c>
      <c r="W1137" s="78" t="str">
        <f>IF(BD1137=0,"",IF(BA1137&gt;0,"⚠ Se superpone con un registro de la otra empresa",IF(D1137="Malcolm",IF(COUNTA(R1137,S1137,T1137)&gt;0,"Estado/fechas proMX se ignoran en Malcolm",""),IF(BF1137="Cancelled","Cancelado: excluido de totales",IF(R1137="","Sin estado: se trata como Draft",IF(BF1137="Submitted",IF(ISNUMBER(V1137),IF(V1137&gt;CFG_MAXD,"⚠ "&amp;V1137&amp;" días en Submitted (máx. "&amp;CFG_MAXD&amp;")",""),"Falta fecha de envío"),IF(BF1137="Returned","⚠ Devuelto: corregir y reenviar",IF(BF1137="Recall Requested","Retirada solicitada: pendiente",IF(AND(BF1137="Approved",NOT(ISNUMBER(T1137))),"Falta fecha de aprobación",IF(AND(ISNUMBER(S1137),ISNUMBER(T1137),T1137&lt;S1137),"Aprobación anterior al envío","")))))))))</f>
        <v/>
      </c>
      <c r="Y1137" s="80">
        <f>IF(COUNTA(B1137,D1137,E1137,F1137,G1137,H1137,I1137,J1137,R1137,S1137,T1137)&gt;0,1,0)</f>
        <v>0</v>
      </c>
      <c r="Z1137" s="80" t="str">
        <f>IF(AND(ISNUMBER(H1137),H1137&gt;=0,H1137&lt;1),ROUND(H1137*1440,0),"")</f>
        <v/>
      </c>
      <c r="AA1137" s="80" t="str">
        <f>IF(AND(ISNUMBER(I1137),I1137&gt;=0,I1137&lt;1),ROUND(I1137*1440,0),"")</f>
        <v/>
      </c>
      <c r="AB1137" s="80">
        <f>IF(AND(ISNUMBER(B1137),D1137&lt;&gt;"",ISNUMBER(Z1137),ISNUMBER(AA1137)),IF(Z1137=AA1137,0,1),0)</f>
        <v>0</v>
      </c>
      <c r="AC1137" s="80">
        <f>IF(AB1137=1,IF(AA1137&lt;Z1137,1,0),0)</f>
        <v>0</v>
      </c>
      <c r="AD1137" s="80">
        <f>IF(AB1137=1,IF(AC1137=1,1440-Z1137+AA1137,AA1137-Z1137),0)</f>
        <v>0</v>
      </c>
      <c r="AE1137" s="80">
        <f>IF(J1137="",0,IF(ISNUMBER(J1137),J1137,-1))</f>
        <v>0</v>
      </c>
      <c r="AF1137" s="80">
        <f>MIN(MAX(0,AE1137),AD1137)</f>
        <v>0</v>
      </c>
      <c r="AG1137" s="80">
        <f>MAX(0,AD1137-MAX(0,AE1137))</f>
        <v>0</v>
      </c>
      <c r="AH1137" s="80">
        <f>IF(ISNUMBER(B1137),IF(AND(INDEX(CFG_WDAYS,WEEKDAY(INT(B1137),2))="Sí",IF(D1137="proMX",COUNTIFS(FER_F,INT(B1137),FER_NLP,"Sí"),COUNTIFS(FER_F,INT(B1137),FER_NLM,"Sí"))=0),1,0),0)</f>
        <v>0</v>
      </c>
      <c r="AI1137" s="80">
        <f>IF(AC1137=1,IF(AND(INDEX(CFG_WDAYS,WEEKDAY(INT(B1137)+1,2))="Sí",IF(D1137="proMX",COUNTIFS(FER_F,INT(B1137)+1,FER_NLP,"Sí"),COUNTIFS(FER_F,INT(B1137)+1,FER_NLM,"Sí"))=0),1,0),0)</f>
        <v>0</v>
      </c>
      <c r="AJ1137" s="80">
        <f>IF(AC1137=1,1440-Z1137,AD1137)</f>
        <v>0</v>
      </c>
      <c r="AK1137" s="80">
        <f>IF(AND(AB1137=1,AH1137=1),MAX(0,MIN(IF(AC1137=1,1440,AA1137),CFG_WEM)-MAX(Z1137,CFG_WSM)),0)</f>
        <v>0</v>
      </c>
      <c r="AL1137" s="80">
        <f>IF(AND(AC1137=1,AI1137=1),MAX(0,MIN(AA1137,CFG_WEM)-CFG_WSM),0)</f>
        <v>0</v>
      </c>
      <c r="AM1137" s="80">
        <f>AK1137+AL1137</f>
        <v>0</v>
      </c>
      <c r="AN1137" s="80">
        <f>IF(CFG_BRK="Proporcional",IF(AD1137=0,0,AF1137*AM1137/AD1137),IF(CFG_BRK="Extras primero",MIN(AM1137,MAX(0,AF1137-(AD1137-AM1137))),MIN(AF1137,AM1137)))</f>
        <v>0</v>
      </c>
      <c r="AO1137" s="80">
        <f>AF1137-AN1137</f>
        <v>0</v>
      </c>
      <c r="AP1137" s="80">
        <f>AM1137-AN1137</f>
        <v>0</v>
      </c>
      <c r="AQ1137" s="80">
        <f>AD1137-AM1137-AO1137</f>
        <v>0</v>
      </c>
      <c r="AR1137" s="80">
        <f>IF(AM1137=0,0,AK1137-AN1137*AK1137/AM1137)</f>
        <v>0</v>
      </c>
      <c r="AS1137" s="80">
        <f>IF(AD1137-AM1137=0,0,(AJ1137-AK1137)-AO1137*(AJ1137-AK1137)/(AD1137-AM1137))</f>
        <v>0</v>
      </c>
      <c r="AT1137" s="80" t="str">
        <f>IF(AC1137=1,INT(B1137)+1,"")</f>
        <v/>
      </c>
      <c r="AU1137" s="80">
        <f>IF(AND(D1137="proMX",R1137="Cancelled"),0,1)</f>
        <v>1</v>
      </c>
      <c r="AV1137" s="80">
        <f>IF(AND(AB1137=1,AU1137=1),IF(COUNTIFS($D$5:D1136,D1137,$B$5:B1136,B1137,$Z$5:Z1136,Z1137,$AA$5:AA1136,AA1137,$F$5:F1136,F1137&amp;"",$AU$5:AU1136,1)&gt;0,1,0),0)</f>
        <v>0</v>
      </c>
      <c r="AW1137" s="80" t="str">
        <f>IF(AB1137=1,INT(B1137)*1440+Z1137,"")</f>
        <v/>
      </c>
      <c r="AX1137" s="80" t="str">
        <f>IF(AB1137=1,AW1137+AD1137,"")</f>
        <v/>
      </c>
      <c r="AY1137" s="80">
        <f>IF(AND(AB1137=1,AV1137=0,AU1137=1),1,0)</f>
        <v>0</v>
      </c>
      <c r="AZ1137" s="80">
        <f>IF(AY1137=1,COUNTIFS(R_Emp,D1137,R_SAbs,"&lt;"&amp;AX1137,R_EAbs,"&gt;"&amp;AW1137,R_OKey,1)-1,0)</f>
        <v>0</v>
      </c>
      <c r="BA1137" s="80">
        <f>IF(AY1137=1,COUNTIFS(R_Emp,"&lt;&gt;"&amp;D1137,R_SAbs,"&lt;"&amp;AX1137,R_EAbs,"&gt;"&amp;AW1137,R_OKey,1),0)</f>
        <v>0</v>
      </c>
      <c r="BB1137" s="80">
        <f>IF(AND(AB1137=1,D1137="proMX"),IF(AND(MOD(Z1137,CFG_BLK)=0,MOD(AA1137,CFG_BLK)=0,MOD(AG1137,CFG_BLK)=0,AG1137&gt;0),1,0),1)</f>
        <v>1</v>
      </c>
      <c r="BC1137" s="80" t="str">
        <f>IF(Y1137=0,"",IF(NOT(ISNUMBER(B1137)),"Falta fecha o fecha inválida",IF(D1137="","Falta empresa",IF(AND(D1137&lt;&gt;"Malcolm",D1137&lt;&gt;"proMX"),"Empresa inválida",IF(OR(INT(B1137)&lt;CFG_PSTART,INT(B1137)&gt;CFG_PEND),"Fecha fuera del período",IF(OR(NOT(ISNUMBER(Z1137)),NOT(ISNUMBER(AA1137))),"Falta hora inicio/fin o formato inválido",IF(AB1137=0,"Hora inicio = hora fin",IF(AE1137&lt;0,"Descanso inválido",IF(AE1137&gt;=AD1137,"Descanso ≥ duración",IF(AV1137=1,"Registro duplicado",IF(AZ1137&gt;0,"Se superpone con otro registro "&amp;D1137,IF(BB1137=0,"inicio, fin y duración neta deben ser múltiplos de "&amp;CFG_BLK&amp;" min",""))))))))))))</f>
        <v/>
      </c>
      <c r="BD1137" s="80">
        <f>IF(AND(Y1137=1,BC1137=""),1,0)</f>
        <v>0</v>
      </c>
      <c r="BE1137" s="80">
        <f>IF(AND(BD1137=1,AU1137=1),1,0)</f>
        <v>0</v>
      </c>
      <c r="BF1137" s="80" t="str">
        <f>IF(AND(D1137="proMX",BD1137=1),IF(R1137="","Draft",R1137),"")</f>
        <v/>
      </c>
      <c r="BG1137" s="80">
        <f>IF(BD1137=1,ROUND(AG1137/60,6),0)</f>
        <v>0</v>
      </c>
      <c r="BH1137" s="80">
        <f>IF(BE1137=1,ROUND(AG1137/60,6),0)</f>
        <v>0</v>
      </c>
      <c r="BI1137" s="80">
        <f>IF(BE1137=1,ROUND(AP1137/60,6),0)</f>
        <v>0</v>
      </c>
      <c r="BJ1137" s="80">
        <f>IF(BE1137=1,ROUND(AQ1137/60,6),0)</f>
        <v>0</v>
      </c>
      <c r="BK1137" s="80">
        <f>IF(BE1137=1,ROUND((AR1137+AS1137)/60,6),0)</f>
        <v>0</v>
      </c>
      <c r="BL1137" s="80">
        <f>ROUND(BH1137-BK1137,6)</f>
        <v>0</v>
      </c>
      <c r="BM1137" s="80">
        <f>IF(BE1137=1,ROUND(AR1137/60,6),0)</f>
        <v>0</v>
      </c>
      <c r="BN1137" s="80">
        <f>ROUND(BI1137-BM1137,6)</f>
        <v>0</v>
      </c>
      <c r="BO1137" s="80">
        <f>IF(BE1137=1,ROUND(AS1137/60,6),0)</f>
        <v>0</v>
      </c>
      <c r="BP1137" s="80">
        <f>ROUND(BJ1137-BO1137,6)</f>
        <v>0</v>
      </c>
      <c r="BQ1137" s="80">
        <f>IF(BE1137=1,AW1137,0)</f>
        <v>0</v>
      </c>
      <c r="BR1137" s="80">
        <f>IF(BE1137=1,AX1137,0)</f>
        <v>0</v>
      </c>
      <c r="BS1137" s="80">
        <f>IF(AND(BE1137=1,D1137="Malcolm",BA1137&gt;0),MIN(BH1137,SUMPRODUCT((R_Emp="proMX")*(R_EN&gt;0)*((R_EN-(R_EN&gt;BR1137)*(R_EN-BR1137))&gt;(R_SN+(R_SN&lt;BQ1137)*(BQ1137-R_SN)))*((R_EN-(R_EN&gt;BR1137)*(R_EN-BR1137))-(R_SN+(R_SN&lt;BQ1137)*(BQ1137-R_SN))))/60),0)</f>
        <v>0</v>
      </c>
      <c r="BT1137" s="80">
        <f>IF(AND(BE1137=1,D1137="proMX"),ROUND(BI1137*CFG_RATE+BJ1137*CFG_OTRATE,6),0)</f>
        <v>0</v>
      </c>
      <c r="BU1137" s="80">
        <f>IF(AND(BD1137=1,D1137="proMX"),ROUND(AG1137/CFG_BLK,6),0)</f>
        <v>0</v>
      </c>
      <c r="BV1137" s="80" t="str">
        <f>IF(BF1137="Approved",IF(ISNUMBER(T1137),INT(T1137),INT(B1137)),"")</f>
        <v/>
      </c>
      <c r="BW1137" s="80">
        <f>IF(ISNUMBER(B1137),IF(DB_MON="Todos",1,IF(AND(INT(B1137)&gt;=DB_MS,INT(B1137)&lt;=DB_ME),1,0)),0)</f>
        <v>0</v>
      </c>
      <c r="BX1137" s="80">
        <f>IF(DB_PROJ="Todos",1,IF(E1137&amp;""=DB_PROJ&amp;"",1,0))</f>
        <v>1</v>
      </c>
      <c r="BY1137" s="80">
        <f>BW1137*BX1137</f>
        <v>0</v>
      </c>
      <c r="BZ1137" s="80" t="str">
        <f>IF(Y1137=1,F1137&amp;IF(AND(F1137&amp;""&lt;&gt;"",E1137&amp;""&lt;&gt;"")," · ","")&amp;E1137,"")</f>
        <v/>
      </c>
      <c r="CA1137" s="80" t="str">
        <f>IF(AND(BD1137=1,E1137&amp;""&lt;&gt;""),IF(COUNTIFS($E$5:E1136,E1137,$BD$5:BD1136,1)=0,MAX($CA$5:CA1136)+1,""),"")</f>
        <v/>
      </c>
      <c r="CB1137" s="80" t="str">
        <f>IF(AND(BE1137=1,D1137="Malcolm",E1137&amp;""&lt;&gt;""),IF(COUNTIFS($D$5:D1136,"Malcolm",$E$5:E1136,E1137,$BE$5:BE1136,1)=0,MAX($CB$5:CB1136)+1,""),"")</f>
        <v/>
      </c>
      <c r="CC1137" s="80" t="str">
        <f>IF(AND(BD1137=1,D1137="proMX",E1137&amp;""&lt;&gt;""),IF(COUNTIFS($D$5:D1136,"proMX",$E$5:E1136,E1137,$BD$5:BD1136,1)=0,MAX($CC$5:CC1136)+1,""),"")</f>
        <v/>
      </c>
      <c r="CD1137" s="80" t="str">
        <f>IF(AND(BE1137=1,D1137="Malcolm",F1137&amp;""&lt;&gt;""),IF(COUNTIFS($D$5:D1136,"Malcolm",$F$5:F1136,F1137,$BE$5:BE1136,1)=0,MAX($CD$5:CD1136)+1,""),"")</f>
        <v/>
      </c>
      <c r="CE1137" s="80" t="str">
        <f>IF(AND(BD1137=1,D1137="proMX",F1137&amp;""&lt;&gt;""),IF(COUNTIFS($D$5:D1136,"proMX",$F$5:F1136,F1137,$BD$5:BD1136,1)=0,MAX($CE$5:CE1136)+1,""),"")</f>
        <v/>
      </c>
      <c r="CF1137" s="80" t="str">
        <f>IF(AND(D1137="proMX",BD1137=1),IF(OR(BF1137="Draft",BF1137="Submitted",BF1137="Returned",BF1137="Recall Requested"),MAX($CF$5:CF1136)+1,""),"")</f>
        <v/>
      </c>
      <c r="CG1137" s="80">
        <f>IF(BD1137=0,0,IF(D1137="Malcolm",1,MATCH(BF1137,{"Draft","Submitted","Approved","Returned","Recall Requested","Cancelled"},0)+1))</f>
        <v>0</v>
      </c>
      <c r="CH1137" s="80">
        <f>IF(AND(BF1137="Submitted",ISNUMBER(V1137)),IF(V1137&gt;CFG_MAXD,1,0),0)</f>
        <v>0</v>
      </c>
    </row>
    <row r="1138">
      <c r="A1138" s="71" t="str">
        <f>IF(Y1138=1,ROW()-5,"")</f>
        <v/>
      </c>
      <c r="B1138" s="72" t="n"/>
      <c r="C1138" s="71" t="str">
        <f>IF(ISNUMBER(B1138),CHOOSE(WEEKDAY(B1138,2),"Lun","Mar","Mié","Jue","Vie","Sáb","Dom"),"")</f>
        <v/>
      </c>
      <c r="D1138" s="73" t="n"/>
      <c r="E1138" s="74" t="n"/>
      <c r="F1138" s="74" t="n"/>
      <c r="G1138" s="74" t="n"/>
      <c r="H1138" s="75" t="n"/>
      <c r="I1138" s="75" t="n"/>
      <c r="J1138" s="76" t="n"/>
      <c r="K1138" s="77" t="str">
        <f>IF(AB1138=1,ROUND(AG1138/60,4),"")</f>
        <v/>
      </c>
      <c r="L1138" s="77" t="str">
        <f>IF(BD1138=1,ROUND(AP1138/60,4),"")</f>
        <v/>
      </c>
      <c r="M1138" s="77" t="str">
        <f>IF(BD1138=1,ROUND(AQ1138/60,4),"")</f>
        <v/>
      </c>
      <c r="N1138" s="71" t="str">
        <f>IF(AND(D1138="proMX",AB1138=1),ROUND(AG1138/CFG_BLK,2),"")</f>
        <v/>
      </c>
      <c r="O1138" s="77" t="str">
        <f>IF(D1138="proMX",IF(BD1138=1,ROUND(AG1138/60,4),0),"")</f>
        <v/>
      </c>
      <c r="P1138" s="78" t="str">
        <f>IF(Y1138=0,"",IF(BD1138=1,"OK",IF(D1138="proMX","Revisar bloques: ","Revisar: ")&amp;BC1138))</f>
        <v/>
      </c>
      <c r="Q1138" s="78" t="str">
        <f>IF(NOT(ISNUMBER(B1138)),"",IF(COUNTIFS(FER_F,INT(B1138))&gt;0,"Feriado"&amp;IF(AH1138=1," (laborable)"," (no laborable)"),IF(AH1138=1,"Laborable",IF(WEEKDAY(B1138,2)&gt;5,"Fin de semana","No laborable"))))</f>
        <v/>
      </c>
      <c r="R1138" s="73" t="n"/>
      <c r="S1138" s="72" t="n"/>
      <c r="T1138" s="72" t="n"/>
      <c r="U1138" s="74" t="n"/>
      <c r="V1138" s="79" t="str">
        <f>IF(AND(D1138="proMX",OR(R1138="Submitted",R1138="Recall Requested"),ISNUMBER(S1138)),CFG_TODAY-INT(S1138),"")</f>
        <v/>
      </c>
      <c r="W1138" s="78" t="str">
        <f>IF(BD1138=0,"",IF(BA1138&gt;0,"⚠ Se superpone con un registro de la otra empresa",IF(D1138="Malcolm",IF(COUNTA(R1138,S1138,T1138)&gt;0,"Estado/fechas proMX se ignoran en Malcolm",""),IF(BF1138="Cancelled","Cancelado: excluido de totales",IF(R1138="","Sin estado: se trata como Draft",IF(BF1138="Submitted",IF(ISNUMBER(V1138),IF(V1138&gt;CFG_MAXD,"⚠ "&amp;V1138&amp;" días en Submitted (máx. "&amp;CFG_MAXD&amp;")",""),"Falta fecha de envío"),IF(BF1138="Returned","⚠ Devuelto: corregir y reenviar",IF(BF1138="Recall Requested","Retirada solicitada: pendiente",IF(AND(BF1138="Approved",NOT(ISNUMBER(T1138))),"Falta fecha de aprobación",IF(AND(ISNUMBER(S1138),ISNUMBER(T1138),T1138&lt;S1138),"Aprobación anterior al envío","")))))))))</f>
        <v/>
      </c>
      <c r="Y1138" s="80">
        <f>IF(COUNTA(B1138,D1138,E1138,F1138,G1138,H1138,I1138,J1138,R1138,S1138,T1138)&gt;0,1,0)</f>
        <v>0</v>
      </c>
      <c r="Z1138" s="80" t="str">
        <f>IF(AND(ISNUMBER(H1138),H1138&gt;=0,H1138&lt;1),ROUND(H1138*1440,0),"")</f>
        <v/>
      </c>
      <c r="AA1138" s="80" t="str">
        <f>IF(AND(ISNUMBER(I1138),I1138&gt;=0,I1138&lt;1),ROUND(I1138*1440,0),"")</f>
        <v/>
      </c>
      <c r="AB1138" s="80">
        <f>IF(AND(ISNUMBER(B1138),D1138&lt;&gt;"",ISNUMBER(Z1138),ISNUMBER(AA1138)),IF(Z1138=AA1138,0,1),0)</f>
        <v>0</v>
      </c>
      <c r="AC1138" s="80">
        <f>IF(AB1138=1,IF(AA1138&lt;Z1138,1,0),0)</f>
        <v>0</v>
      </c>
      <c r="AD1138" s="80">
        <f>IF(AB1138=1,IF(AC1138=1,1440-Z1138+AA1138,AA1138-Z1138),0)</f>
        <v>0</v>
      </c>
      <c r="AE1138" s="80">
        <f>IF(J1138="",0,IF(ISNUMBER(J1138),J1138,-1))</f>
        <v>0</v>
      </c>
      <c r="AF1138" s="80">
        <f>MIN(MAX(0,AE1138),AD1138)</f>
        <v>0</v>
      </c>
      <c r="AG1138" s="80">
        <f>MAX(0,AD1138-MAX(0,AE1138))</f>
        <v>0</v>
      </c>
      <c r="AH1138" s="80">
        <f>IF(ISNUMBER(B1138),IF(AND(INDEX(CFG_WDAYS,WEEKDAY(INT(B1138),2))="Sí",IF(D1138="proMX",COUNTIFS(FER_F,INT(B1138),FER_NLP,"Sí"),COUNTIFS(FER_F,INT(B1138),FER_NLM,"Sí"))=0),1,0),0)</f>
        <v>0</v>
      </c>
      <c r="AI1138" s="80">
        <f>IF(AC1138=1,IF(AND(INDEX(CFG_WDAYS,WEEKDAY(INT(B1138)+1,2))="Sí",IF(D1138="proMX",COUNTIFS(FER_F,INT(B1138)+1,FER_NLP,"Sí"),COUNTIFS(FER_F,INT(B1138)+1,FER_NLM,"Sí"))=0),1,0),0)</f>
        <v>0</v>
      </c>
      <c r="AJ1138" s="80">
        <f>IF(AC1138=1,1440-Z1138,AD1138)</f>
        <v>0</v>
      </c>
      <c r="AK1138" s="80">
        <f>IF(AND(AB1138=1,AH1138=1),MAX(0,MIN(IF(AC1138=1,1440,AA1138),CFG_WEM)-MAX(Z1138,CFG_WSM)),0)</f>
        <v>0</v>
      </c>
      <c r="AL1138" s="80">
        <f>IF(AND(AC1138=1,AI1138=1),MAX(0,MIN(AA1138,CFG_WEM)-CFG_WSM),0)</f>
        <v>0</v>
      </c>
      <c r="AM1138" s="80">
        <f>AK1138+AL1138</f>
        <v>0</v>
      </c>
      <c r="AN1138" s="80">
        <f>IF(CFG_BRK="Proporcional",IF(AD1138=0,0,AF1138*AM1138/AD1138),IF(CFG_BRK="Extras primero",MIN(AM1138,MAX(0,AF1138-(AD1138-AM1138))),MIN(AF1138,AM1138)))</f>
        <v>0</v>
      </c>
      <c r="AO1138" s="80">
        <f>AF1138-AN1138</f>
        <v>0</v>
      </c>
      <c r="AP1138" s="80">
        <f>AM1138-AN1138</f>
        <v>0</v>
      </c>
      <c r="AQ1138" s="80">
        <f>AD1138-AM1138-AO1138</f>
        <v>0</v>
      </c>
      <c r="AR1138" s="80">
        <f>IF(AM1138=0,0,AK1138-AN1138*AK1138/AM1138)</f>
        <v>0</v>
      </c>
      <c r="AS1138" s="80">
        <f>IF(AD1138-AM1138=0,0,(AJ1138-AK1138)-AO1138*(AJ1138-AK1138)/(AD1138-AM1138))</f>
        <v>0</v>
      </c>
      <c r="AT1138" s="80" t="str">
        <f>IF(AC1138=1,INT(B1138)+1,"")</f>
        <v/>
      </c>
      <c r="AU1138" s="80">
        <f>IF(AND(D1138="proMX",R1138="Cancelled"),0,1)</f>
        <v>1</v>
      </c>
      <c r="AV1138" s="80">
        <f>IF(AND(AB1138=1,AU1138=1),IF(COUNTIFS($D$5:D1137,D1138,$B$5:B1137,B1138,$Z$5:Z1137,Z1138,$AA$5:AA1137,AA1138,$F$5:F1137,F1138&amp;"",$AU$5:AU1137,1)&gt;0,1,0),0)</f>
        <v>0</v>
      </c>
      <c r="AW1138" s="80" t="str">
        <f>IF(AB1138=1,INT(B1138)*1440+Z1138,"")</f>
        <v/>
      </c>
      <c r="AX1138" s="80" t="str">
        <f>IF(AB1138=1,AW1138+AD1138,"")</f>
        <v/>
      </c>
      <c r="AY1138" s="80">
        <f>IF(AND(AB1138=1,AV1138=0,AU1138=1),1,0)</f>
        <v>0</v>
      </c>
      <c r="AZ1138" s="80">
        <f>IF(AY1138=1,COUNTIFS(R_Emp,D1138,R_SAbs,"&lt;"&amp;AX1138,R_EAbs,"&gt;"&amp;AW1138,R_OKey,1)-1,0)</f>
        <v>0</v>
      </c>
      <c r="BA1138" s="80">
        <f>IF(AY1138=1,COUNTIFS(R_Emp,"&lt;&gt;"&amp;D1138,R_SAbs,"&lt;"&amp;AX1138,R_EAbs,"&gt;"&amp;AW1138,R_OKey,1),0)</f>
        <v>0</v>
      </c>
      <c r="BB1138" s="80">
        <f>IF(AND(AB1138=1,D1138="proMX"),IF(AND(MOD(Z1138,CFG_BLK)=0,MOD(AA1138,CFG_BLK)=0,MOD(AG1138,CFG_BLK)=0,AG1138&gt;0),1,0),1)</f>
        <v>1</v>
      </c>
      <c r="BC1138" s="80" t="str">
        <f>IF(Y1138=0,"",IF(NOT(ISNUMBER(B1138)),"Falta fecha o fecha inválida",IF(D1138="","Falta empresa",IF(AND(D1138&lt;&gt;"Malcolm",D1138&lt;&gt;"proMX"),"Empresa inválida",IF(OR(INT(B1138)&lt;CFG_PSTART,INT(B1138)&gt;CFG_PEND),"Fecha fuera del período",IF(OR(NOT(ISNUMBER(Z1138)),NOT(ISNUMBER(AA1138))),"Falta hora inicio/fin o formato inválido",IF(AB1138=0,"Hora inicio = hora fin",IF(AE1138&lt;0,"Descanso inválido",IF(AE1138&gt;=AD1138,"Descanso ≥ duración",IF(AV1138=1,"Registro duplicado",IF(AZ1138&gt;0,"Se superpone con otro registro "&amp;D1138,IF(BB1138=0,"inicio, fin y duración neta deben ser múltiplos de "&amp;CFG_BLK&amp;" min",""))))))))))))</f>
        <v/>
      </c>
      <c r="BD1138" s="80">
        <f>IF(AND(Y1138=1,BC1138=""),1,0)</f>
        <v>0</v>
      </c>
      <c r="BE1138" s="80">
        <f>IF(AND(BD1138=1,AU1138=1),1,0)</f>
        <v>0</v>
      </c>
      <c r="BF1138" s="80" t="str">
        <f>IF(AND(D1138="proMX",BD1138=1),IF(R1138="","Draft",R1138),"")</f>
        <v/>
      </c>
      <c r="BG1138" s="80">
        <f>IF(BD1138=1,ROUND(AG1138/60,6),0)</f>
        <v>0</v>
      </c>
      <c r="BH1138" s="80">
        <f>IF(BE1138=1,ROUND(AG1138/60,6),0)</f>
        <v>0</v>
      </c>
      <c r="BI1138" s="80">
        <f>IF(BE1138=1,ROUND(AP1138/60,6),0)</f>
        <v>0</v>
      </c>
      <c r="BJ1138" s="80">
        <f>IF(BE1138=1,ROUND(AQ1138/60,6),0)</f>
        <v>0</v>
      </c>
      <c r="BK1138" s="80">
        <f>IF(BE1138=1,ROUND((AR1138+AS1138)/60,6),0)</f>
        <v>0</v>
      </c>
      <c r="BL1138" s="80">
        <f>ROUND(BH1138-BK1138,6)</f>
        <v>0</v>
      </c>
      <c r="BM1138" s="80">
        <f>IF(BE1138=1,ROUND(AR1138/60,6),0)</f>
        <v>0</v>
      </c>
      <c r="BN1138" s="80">
        <f>ROUND(BI1138-BM1138,6)</f>
        <v>0</v>
      </c>
      <c r="BO1138" s="80">
        <f>IF(BE1138=1,ROUND(AS1138/60,6),0)</f>
        <v>0</v>
      </c>
      <c r="BP1138" s="80">
        <f>ROUND(BJ1138-BO1138,6)</f>
        <v>0</v>
      </c>
      <c r="BQ1138" s="80">
        <f>IF(BE1138=1,AW1138,0)</f>
        <v>0</v>
      </c>
      <c r="BR1138" s="80">
        <f>IF(BE1138=1,AX1138,0)</f>
        <v>0</v>
      </c>
      <c r="BS1138" s="80">
        <f>IF(AND(BE1138=1,D1138="Malcolm",BA1138&gt;0),MIN(BH1138,SUMPRODUCT((R_Emp="proMX")*(R_EN&gt;0)*((R_EN-(R_EN&gt;BR1138)*(R_EN-BR1138))&gt;(R_SN+(R_SN&lt;BQ1138)*(BQ1138-R_SN)))*((R_EN-(R_EN&gt;BR1138)*(R_EN-BR1138))-(R_SN+(R_SN&lt;BQ1138)*(BQ1138-R_SN))))/60),0)</f>
        <v>0</v>
      </c>
      <c r="BT1138" s="80">
        <f>IF(AND(BE1138=1,D1138="proMX"),ROUND(BI1138*CFG_RATE+BJ1138*CFG_OTRATE,6),0)</f>
        <v>0</v>
      </c>
      <c r="BU1138" s="80">
        <f>IF(AND(BD1138=1,D1138="proMX"),ROUND(AG1138/CFG_BLK,6),0)</f>
        <v>0</v>
      </c>
      <c r="BV1138" s="80" t="str">
        <f>IF(BF1138="Approved",IF(ISNUMBER(T1138),INT(T1138),INT(B1138)),"")</f>
        <v/>
      </c>
      <c r="BW1138" s="80">
        <f>IF(ISNUMBER(B1138),IF(DB_MON="Todos",1,IF(AND(INT(B1138)&gt;=DB_MS,INT(B1138)&lt;=DB_ME),1,0)),0)</f>
        <v>0</v>
      </c>
      <c r="BX1138" s="80">
        <f>IF(DB_PROJ="Todos",1,IF(E1138&amp;""=DB_PROJ&amp;"",1,0))</f>
        <v>1</v>
      </c>
      <c r="BY1138" s="80">
        <f>BW1138*BX1138</f>
        <v>0</v>
      </c>
      <c r="BZ1138" s="80" t="str">
        <f>IF(Y1138=1,F1138&amp;IF(AND(F1138&amp;""&lt;&gt;"",E1138&amp;""&lt;&gt;"")," · ","")&amp;E1138,"")</f>
        <v/>
      </c>
      <c r="CA1138" s="80" t="str">
        <f>IF(AND(BD1138=1,E1138&amp;""&lt;&gt;""),IF(COUNTIFS($E$5:E1137,E1138,$BD$5:BD1137,1)=0,MAX($CA$5:CA1137)+1,""),"")</f>
        <v/>
      </c>
      <c r="CB1138" s="80" t="str">
        <f>IF(AND(BE1138=1,D1138="Malcolm",E1138&amp;""&lt;&gt;""),IF(COUNTIFS($D$5:D1137,"Malcolm",$E$5:E1137,E1138,$BE$5:BE1137,1)=0,MAX($CB$5:CB1137)+1,""),"")</f>
        <v/>
      </c>
      <c r="CC1138" s="80" t="str">
        <f>IF(AND(BD1138=1,D1138="proMX",E1138&amp;""&lt;&gt;""),IF(COUNTIFS($D$5:D1137,"proMX",$E$5:E1137,E1138,$BD$5:BD1137,1)=0,MAX($CC$5:CC1137)+1,""),"")</f>
        <v/>
      </c>
      <c r="CD1138" s="80" t="str">
        <f>IF(AND(BE1138=1,D1138="Malcolm",F1138&amp;""&lt;&gt;""),IF(COUNTIFS($D$5:D1137,"Malcolm",$F$5:F1137,F1138,$BE$5:BE1137,1)=0,MAX($CD$5:CD1137)+1,""),"")</f>
        <v/>
      </c>
      <c r="CE1138" s="80" t="str">
        <f>IF(AND(BD1138=1,D1138="proMX",F1138&amp;""&lt;&gt;""),IF(COUNTIFS($D$5:D1137,"proMX",$F$5:F1137,F1138,$BD$5:BD1137,1)=0,MAX($CE$5:CE1137)+1,""),"")</f>
        <v/>
      </c>
      <c r="CF1138" s="80" t="str">
        <f>IF(AND(D1138="proMX",BD1138=1),IF(OR(BF1138="Draft",BF1138="Submitted",BF1138="Returned",BF1138="Recall Requested"),MAX($CF$5:CF1137)+1,""),"")</f>
        <v/>
      </c>
      <c r="CG1138" s="80">
        <f>IF(BD1138=0,0,IF(D1138="Malcolm",1,MATCH(BF1138,{"Draft","Submitted","Approved","Returned","Recall Requested","Cancelled"},0)+1))</f>
        <v>0</v>
      </c>
      <c r="CH1138" s="80">
        <f>IF(AND(BF1138="Submitted",ISNUMBER(V1138)),IF(V1138&gt;CFG_MAXD,1,0),0)</f>
        <v>0</v>
      </c>
    </row>
    <row r="1139">
      <c r="A1139" s="71" t="str">
        <f>IF(Y1139=1,ROW()-5,"")</f>
        <v/>
      </c>
      <c r="B1139" s="72" t="n"/>
      <c r="C1139" s="71" t="str">
        <f>IF(ISNUMBER(B1139),CHOOSE(WEEKDAY(B1139,2),"Lun","Mar","Mié","Jue","Vie","Sáb","Dom"),"")</f>
        <v/>
      </c>
      <c r="D1139" s="73" t="n"/>
      <c r="E1139" s="74" t="n"/>
      <c r="F1139" s="74" t="n"/>
      <c r="G1139" s="74" t="n"/>
      <c r="H1139" s="75" t="n"/>
      <c r="I1139" s="75" t="n"/>
      <c r="J1139" s="76" t="n"/>
      <c r="K1139" s="77" t="str">
        <f>IF(AB1139=1,ROUND(AG1139/60,4),"")</f>
        <v/>
      </c>
      <c r="L1139" s="77" t="str">
        <f>IF(BD1139=1,ROUND(AP1139/60,4),"")</f>
        <v/>
      </c>
      <c r="M1139" s="77" t="str">
        <f>IF(BD1139=1,ROUND(AQ1139/60,4),"")</f>
        <v/>
      </c>
      <c r="N1139" s="71" t="str">
        <f>IF(AND(D1139="proMX",AB1139=1),ROUND(AG1139/CFG_BLK,2),"")</f>
        <v/>
      </c>
      <c r="O1139" s="77" t="str">
        <f>IF(D1139="proMX",IF(BD1139=1,ROUND(AG1139/60,4),0),"")</f>
        <v/>
      </c>
      <c r="P1139" s="78" t="str">
        <f>IF(Y1139=0,"",IF(BD1139=1,"OK",IF(D1139="proMX","Revisar bloques: ","Revisar: ")&amp;BC1139))</f>
        <v/>
      </c>
      <c r="Q1139" s="78" t="str">
        <f>IF(NOT(ISNUMBER(B1139)),"",IF(COUNTIFS(FER_F,INT(B1139))&gt;0,"Feriado"&amp;IF(AH1139=1," (laborable)"," (no laborable)"),IF(AH1139=1,"Laborable",IF(WEEKDAY(B1139,2)&gt;5,"Fin de semana","No laborable"))))</f>
        <v/>
      </c>
      <c r="R1139" s="73" t="n"/>
      <c r="S1139" s="72" t="n"/>
      <c r="T1139" s="72" t="n"/>
      <c r="U1139" s="74" t="n"/>
      <c r="V1139" s="79" t="str">
        <f>IF(AND(D1139="proMX",OR(R1139="Submitted",R1139="Recall Requested"),ISNUMBER(S1139)),CFG_TODAY-INT(S1139),"")</f>
        <v/>
      </c>
      <c r="W1139" s="78" t="str">
        <f>IF(BD1139=0,"",IF(BA1139&gt;0,"⚠ Se superpone con un registro de la otra empresa",IF(D1139="Malcolm",IF(COUNTA(R1139,S1139,T1139)&gt;0,"Estado/fechas proMX se ignoran en Malcolm",""),IF(BF1139="Cancelled","Cancelado: excluido de totales",IF(R1139="","Sin estado: se trata como Draft",IF(BF1139="Submitted",IF(ISNUMBER(V1139),IF(V1139&gt;CFG_MAXD,"⚠ "&amp;V1139&amp;" días en Submitted (máx. "&amp;CFG_MAXD&amp;")",""),"Falta fecha de envío"),IF(BF1139="Returned","⚠ Devuelto: corregir y reenviar",IF(BF1139="Recall Requested","Retirada solicitada: pendiente",IF(AND(BF1139="Approved",NOT(ISNUMBER(T1139))),"Falta fecha de aprobación",IF(AND(ISNUMBER(S1139),ISNUMBER(T1139),T1139&lt;S1139),"Aprobación anterior al envío","")))))))))</f>
        <v/>
      </c>
      <c r="Y1139" s="80">
        <f>IF(COUNTA(B1139,D1139,E1139,F1139,G1139,H1139,I1139,J1139,R1139,S1139,T1139)&gt;0,1,0)</f>
        <v>0</v>
      </c>
      <c r="Z1139" s="80" t="str">
        <f>IF(AND(ISNUMBER(H1139),H1139&gt;=0,H1139&lt;1),ROUND(H1139*1440,0),"")</f>
        <v/>
      </c>
      <c r="AA1139" s="80" t="str">
        <f>IF(AND(ISNUMBER(I1139),I1139&gt;=0,I1139&lt;1),ROUND(I1139*1440,0),"")</f>
        <v/>
      </c>
      <c r="AB1139" s="80">
        <f>IF(AND(ISNUMBER(B1139),D1139&lt;&gt;"",ISNUMBER(Z1139),ISNUMBER(AA1139)),IF(Z1139=AA1139,0,1),0)</f>
        <v>0</v>
      </c>
      <c r="AC1139" s="80">
        <f>IF(AB1139=1,IF(AA1139&lt;Z1139,1,0),0)</f>
        <v>0</v>
      </c>
      <c r="AD1139" s="80">
        <f>IF(AB1139=1,IF(AC1139=1,1440-Z1139+AA1139,AA1139-Z1139),0)</f>
        <v>0</v>
      </c>
      <c r="AE1139" s="80">
        <f>IF(J1139="",0,IF(ISNUMBER(J1139),J1139,-1))</f>
        <v>0</v>
      </c>
      <c r="AF1139" s="80">
        <f>MIN(MAX(0,AE1139),AD1139)</f>
        <v>0</v>
      </c>
      <c r="AG1139" s="80">
        <f>MAX(0,AD1139-MAX(0,AE1139))</f>
        <v>0</v>
      </c>
      <c r="AH1139" s="80">
        <f>IF(ISNUMBER(B1139),IF(AND(INDEX(CFG_WDAYS,WEEKDAY(INT(B1139),2))="Sí",IF(D1139="proMX",COUNTIFS(FER_F,INT(B1139),FER_NLP,"Sí"),COUNTIFS(FER_F,INT(B1139),FER_NLM,"Sí"))=0),1,0),0)</f>
        <v>0</v>
      </c>
      <c r="AI1139" s="80">
        <f>IF(AC1139=1,IF(AND(INDEX(CFG_WDAYS,WEEKDAY(INT(B1139)+1,2))="Sí",IF(D1139="proMX",COUNTIFS(FER_F,INT(B1139)+1,FER_NLP,"Sí"),COUNTIFS(FER_F,INT(B1139)+1,FER_NLM,"Sí"))=0),1,0),0)</f>
        <v>0</v>
      </c>
      <c r="AJ1139" s="80">
        <f>IF(AC1139=1,1440-Z1139,AD1139)</f>
        <v>0</v>
      </c>
      <c r="AK1139" s="80">
        <f>IF(AND(AB1139=1,AH1139=1),MAX(0,MIN(IF(AC1139=1,1440,AA1139),CFG_WEM)-MAX(Z1139,CFG_WSM)),0)</f>
        <v>0</v>
      </c>
      <c r="AL1139" s="80">
        <f>IF(AND(AC1139=1,AI1139=1),MAX(0,MIN(AA1139,CFG_WEM)-CFG_WSM),0)</f>
        <v>0</v>
      </c>
      <c r="AM1139" s="80">
        <f>AK1139+AL1139</f>
        <v>0</v>
      </c>
      <c r="AN1139" s="80">
        <f>IF(CFG_BRK="Proporcional",IF(AD1139=0,0,AF1139*AM1139/AD1139),IF(CFG_BRK="Extras primero",MIN(AM1139,MAX(0,AF1139-(AD1139-AM1139))),MIN(AF1139,AM1139)))</f>
        <v>0</v>
      </c>
      <c r="AO1139" s="80">
        <f>AF1139-AN1139</f>
        <v>0</v>
      </c>
      <c r="AP1139" s="80">
        <f>AM1139-AN1139</f>
        <v>0</v>
      </c>
      <c r="AQ1139" s="80">
        <f>AD1139-AM1139-AO1139</f>
        <v>0</v>
      </c>
      <c r="AR1139" s="80">
        <f>IF(AM1139=0,0,AK1139-AN1139*AK1139/AM1139)</f>
        <v>0</v>
      </c>
      <c r="AS1139" s="80">
        <f>IF(AD1139-AM1139=0,0,(AJ1139-AK1139)-AO1139*(AJ1139-AK1139)/(AD1139-AM1139))</f>
        <v>0</v>
      </c>
      <c r="AT1139" s="80" t="str">
        <f>IF(AC1139=1,INT(B1139)+1,"")</f>
        <v/>
      </c>
      <c r="AU1139" s="80">
        <f>IF(AND(D1139="proMX",R1139="Cancelled"),0,1)</f>
        <v>1</v>
      </c>
      <c r="AV1139" s="80">
        <f>IF(AND(AB1139=1,AU1139=1),IF(COUNTIFS($D$5:D1138,D1139,$B$5:B1138,B1139,$Z$5:Z1138,Z1139,$AA$5:AA1138,AA1139,$F$5:F1138,F1139&amp;"",$AU$5:AU1138,1)&gt;0,1,0),0)</f>
        <v>0</v>
      </c>
      <c r="AW1139" s="80" t="str">
        <f>IF(AB1139=1,INT(B1139)*1440+Z1139,"")</f>
        <v/>
      </c>
      <c r="AX1139" s="80" t="str">
        <f>IF(AB1139=1,AW1139+AD1139,"")</f>
        <v/>
      </c>
      <c r="AY1139" s="80">
        <f>IF(AND(AB1139=1,AV1139=0,AU1139=1),1,0)</f>
        <v>0</v>
      </c>
      <c r="AZ1139" s="80">
        <f>IF(AY1139=1,COUNTIFS(R_Emp,D1139,R_SAbs,"&lt;"&amp;AX1139,R_EAbs,"&gt;"&amp;AW1139,R_OKey,1)-1,0)</f>
        <v>0</v>
      </c>
      <c r="BA1139" s="80">
        <f>IF(AY1139=1,COUNTIFS(R_Emp,"&lt;&gt;"&amp;D1139,R_SAbs,"&lt;"&amp;AX1139,R_EAbs,"&gt;"&amp;AW1139,R_OKey,1),0)</f>
        <v>0</v>
      </c>
      <c r="BB1139" s="80">
        <f>IF(AND(AB1139=1,D1139="proMX"),IF(AND(MOD(Z1139,CFG_BLK)=0,MOD(AA1139,CFG_BLK)=0,MOD(AG1139,CFG_BLK)=0,AG1139&gt;0),1,0),1)</f>
        <v>1</v>
      </c>
      <c r="BC1139" s="80" t="str">
        <f>IF(Y1139=0,"",IF(NOT(ISNUMBER(B1139)),"Falta fecha o fecha inválida",IF(D1139="","Falta empresa",IF(AND(D1139&lt;&gt;"Malcolm",D1139&lt;&gt;"proMX"),"Empresa inválida",IF(OR(INT(B1139)&lt;CFG_PSTART,INT(B1139)&gt;CFG_PEND),"Fecha fuera del período",IF(OR(NOT(ISNUMBER(Z1139)),NOT(ISNUMBER(AA1139))),"Falta hora inicio/fin o formato inválido",IF(AB1139=0,"Hora inicio = hora fin",IF(AE1139&lt;0,"Descanso inválido",IF(AE1139&gt;=AD1139,"Descanso ≥ duración",IF(AV1139=1,"Registro duplicado",IF(AZ1139&gt;0,"Se superpone con otro registro "&amp;D1139,IF(BB1139=0,"inicio, fin y duración neta deben ser múltiplos de "&amp;CFG_BLK&amp;" min",""))))))))))))</f>
        <v/>
      </c>
      <c r="BD1139" s="80">
        <f>IF(AND(Y1139=1,BC1139=""),1,0)</f>
        <v>0</v>
      </c>
      <c r="BE1139" s="80">
        <f>IF(AND(BD1139=1,AU1139=1),1,0)</f>
        <v>0</v>
      </c>
      <c r="BF1139" s="80" t="str">
        <f>IF(AND(D1139="proMX",BD1139=1),IF(R1139="","Draft",R1139),"")</f>
        <v/>
      </c>
      <c r="BG1139" s="80">
        <f>IF(BD1139=1,ROUND(AG1139/60,6),0)</f>
        <v>0</v>
      </c>
      <c r="BH1139" s="80">
        <f>IF(BE1139=1,ROUND(AG1139/60,6),0)</f>
        <v>0</v>
      </c>
      <c r="BI1139" s="80">
        <f>IF(BE1139=1,ROUND(AP1139/60,6),0)</f>
        <v>0</v>
      </c>
      <c r="BJ1139" s="80">
        <f>IF(BE1139=1,ROUND(AQ1139/60,6),0)</f>
        <v>0</v>
      </c>
      <c r="BK1139" s="80">
        <f>IF(BE1139=1,ROUND((AR1139+AS1139)/60,6),0)</f>
        <v>0</v>
      </c>
      <c r="BL1139" s="80">
        <f>ROUND(BH1139-BK1139,6)</f>
        <v>0</v>
      </c>
      <c r="BM1139" s="80">
        <f>IF(BE1139=1,ROUND(AR1139/60,6),0)</f>
        <v>0</v>
      </c>
      <c r="BN1139" s="80">
        <f>ROUND(BI1139-BM1139,6)</f>
        <v>0</v>
      </c>
      <c r="BO1139" s="80">
        <f>IF(BE1139=1,ROUND(AS1139/60,6),0)</f>
        <v>0</v>
      </c>
      <c r="BP1139" s="80">
        <f>ROUND(BJ1139-BO1139,6)</f>
        <v>0</v>
      </c>
      <c r="BQ1139" s="80">
        <f>IF(BE1139=1,AW1139,0)</f>
        <v>0</v>
      </c>
      <c r="BR1139" s="80">
        <f>IF(BE1139=1,AX1139,0)</f>
        <v>0</v>
      </c>
      <c r="BS1139" s="80">
        <f>IF(AND(BE1139=1,D1139="Malcolm",BA1139&gt;0),MIN(BH1139,SUMPRODUCT((R_Emp="proMX")*(R_EN&gt;0)*((R_EN-(R_EN&gt;BR1139)*(R_EN-BR1139))&gt;(R_SN+(R_SN&lt;BQ1139)*(BQ1139-R_SN)))*((R_EN-(R_EN&gt;BR1139)*(R_EN-BR1139))-(R_SN+(R_SN&lt;BQ1139)*(BQ1139-R_SN))))/60),0)</f>
        <v>0</v>
      </c>
      <c r="BT1139" s="80">
        <f>IF(AND(BE1139=1,D1139="proMX"),ROUND(BI1139*CFG_RATE+BJ1139*CFG_OTRATE,6),0)</f>
        <v>0</v>
      </c>
      <c r="BU1139" s="80">
        <f>IF(AND(BD1139=1,D1139="proMX"),ROUND(AG1139/CFG_BLK,6),0)</f>
        <v>0</v>
      </c>
      <c r="BV1139" s="80" t="str">
        <f>IF(BF1139="Approved",IF(ISNUMBER(T1139),INT(T1139),INT(B1139)),"")</f>
        <v/>
      </c>
      <c r="BW1139" s="80">
        <f>IF(ISNUMBER(B1139),IF(DB_MON="Todos",1,IF(AND(INT(B1139)&gt;=DB_MS,INT(B1139)&lt;=DB_ME),1,0)),0)</f>
        <v>0</v>
      </c>
      <c r="BX1139" s="80">
        <f>IF(DB_PROJ="Todos",1,IF(E1139&amp;""=DB_PROJ&amp;"",1,0))</f>
        <v>1</v>
      </c>
      <c r="BY1139" s="80">
        <f>BW1139*BX1139</f>
        <v>0</v>
      </c>
      <c r="BZ1139" s="80" t="str">
        <f>IF(Y1139=1,F1139&amp;IF(AND(F1139&amp;""&lt;&gt;"",E1139&amp;""&lt;&gt;"")," · ","")&amp;E1139,"")</f>
        <v/>
      </c>
      <c r="CA1139" s="80" t="str">
        <f>IF(AND(BD1139=1,E1139&amp;""&lt;&gt;""),IF(COUNTIFS($E$5:E1138,E1139,$BD$5:BD1138,1)=0,MAX($CA$5:CA1138)+1,""),"")</f>
        <v/>
      </c>
      <c r="CB1139" s="80" t="str">
        <f>IF(AND(BE1139=1,D1139="Malcolm",E1139&amp;""&lt;&gt;""),IF(COUNTIFS($D$5:D1138,"Malcolm",$E$5:E1138,E1139,$BE$5:BE1138,1)=0,MAX($CB$5:CB1138)+1,""),"")</f>
        <v/>
      </c>
      <c r="CC1139" s="80" t="str">
        <f>IF(AND(BD1139=1,D1139="proMX",E1139&amp;""&lt;&gt;""),IF(COUNTIFS($D$5:D1138,"proMX",$E$5:E1138,E1139,$BD$5:BD1138,1)=0,MAX($CC$5:CC1138)+1,""),"")</f>
        <v/>
      </c>
      <c r="CD1139" s="80" t="str">
        <f>IF(AND(BE1139=1,D1139="Malcolm",F1139&amp;""&lt;&gt;""),IF(COUNTIFS($D$5:D1138,"Malcolm",$F$5:F1138,F1139,$BE$5:BE1138,1)=0,MAX($CD$5:CD1138)+1,""),"")</f>
        <v/>
      </c>
      <c r="CE1139" s="80" t="str">
        <f>IF(AND(BD1139=1,D1139="proMX",F1139&amp;""&lt;&gt;""),IF(COUNTIFS($D$5:D1138,"proMX",$F$5:F1138,F1139,$BD$5:BD1138,1)=0,MAX($CE$5:CE1138)+1,""),"")</f>
        <v/>
      </c>
      <c r="CF1139" s="80" t="str">
        <f>IF(AND(D1139="proMX",BD1139=1),IF(OR(BF1139="Draft",BF1139="Submitted",BF1139="Returned",BF1139="Recall Requested"),MAX($CF$5:CF1138)+1,""),"")</f>
        <v/>
      </c>
      <c r="CG1139" s="80">
        <f>IF(BD1139=0,0,IF(D1139="Malcolm",1,MATCH(BF1139,{"Draft","Submitted","Approved","Returned","Recall Requested","Cancelled"},0)+1))</f>
        <v>0</v>
      </c>
      <c r="CH1139" s="80">
        <f>IF(AND(BF1139="Submitted",ISNUMBER(V1139)),IF(V1139&gt;CFG_MAXD,1,0),0)</f>
        <v>0</v>
      </c>
    </row>
    <row r="1140">
      <c r="A1140" s="71" t="str">
        <f>IF(Y1140=1,ROW()-5,"")</f>
        <v/>
      </c>
      <c r="B1140" s="72" t="n"/>
      <c r="C1140" s="71" t="str">
        <f>IF(ISNUMBER(B1140),CHOOSE(WEEKDAY(B1140,2),"Lun","Mar","Mié","Jue","Vie","Sáb","Dom"),"")</f>
        <v/>
      </c>
      <c r="D1140" s="73" t="n"/>
      <c r="E1140" s="74" t="n"/>
      <c r="F1140" s="74" t="n"/>
      <c r="G1140" s="74" t="n"/>
      <c r="H1140" s="75" t="n"/>
      <c r="I1140" s="75" t="n"/>
      <c r="J1140" s="76" t="n"/>
      <c r="K1140" s="77" t="str">
        <f>IF(AB1140=1,ROUND(AG1140/60,4),"")</f>
        <v/>
      </c>
      <c r="L1140" s="77" t="str">
        <f>IF(BD1140=1,ROUND(AP1140/60,4),"")</f>
        <v/>
      </c>
      <c r="M1140" s="77" t="str">
        <f>IF(BD1140=1,ROUND(AQ1140/60,4),"")</f>
        <v/>
      </c>
      <c r="N1140" s="71" t="str">
        <f>IF(AND(D1140="proMX",AB1140=1),ROUND(AG1140/CFG_BLK,2),"")</f>
        <v/>
      </c>
      <c r="O1140" s="77" t="str">
        <f>IF(D1140="proMX",IF(BD1140=1,ROUND(AG1140/60,4),0),"")</f>
        <v/>
      </c>
      <c r="P1140" s="78" t="str">
        <f>IF(Y1140=0,"",IF(BD1140=1,"OK",IF(D1140="proMX","Revisar bloques: ","Revisar: ")&amp;BC1140))</f>
        <v/>
      </c>
      <c r="Q1140" s="78" t="str">
        <f>IF(NOT(ISNUMBER(B1140)),"",IF(COUNTIFS(FER_F,INT(B1140))&gt;0,"Feriado"&amp;IF(AH1140=1," (laborable)"," (no laborable)"),IF(AH1140=1,"Laborable",IF(WEEKDAY(B1140,2)&gt;5,"Fin de semana","No laborable"))))</f>
        <v/>
      </c>
      <c r="R1140" s="73" t="n"/>
      <c r="S1140" s="72" t="n"/>
      <c r="T1140" s="72" t="n"/>
      <c r="U1140" s="74" t="n"/>
      <c r="V1140" s="79" t="str">
        <f>IF(AND(D1140="proMX",OR(R1140="Submitted",R1140="Recall Requested"),ISNUMBER(S1140)),CFG_TODAY-INT(S1140),"")</f>
        <v/>
      </c>
      <c r="W1140" s="78" t="str">
        <f>IF(BD1140=0,"",IF(BA1140&gt;0,"⚠ Se superpone con un registro de la otra empresa",IF(D1140="Malcolm",IF(COUNTA(R1140,S1140,T1140)&gt;0,"Estado/fechas proMX se ignoran en Malcolm",""),IF(BF1140="Cancelled","Cancelado: excluido de totales",IF(R1140="","Sin estado: se trata como Draft",IF(BF1140="Submitted",IF(ISNUMBER(V1140),IF(V1140&gt;CFG_MAXD,"⚠ "&amp;V1140&amp;" días en Submitted (máx. "&amp;CFG_MAXD&amp;")",""),"Falta fecha de envío"),IF(BF1140="Returned","⚠ Devuelto: corregir y reenviar",IF(BF1140="Recall Requested","Retirada solicitada: pendiente",IF(AND(BF1140="Approved",NOT(ISNUMBER(T1140))),"Falta fecha de aprobación",IF(AND(ISNUMBER(S1140),ISNUMBER(T1140),T1140&lt;S1140),"Aprobación anterior al envío","")))))))))</f>
        <v/>
      </c>
      <c r="Y1140" s="80">
        <f>IF(COUNTA(B1140,D1140,E1140,F1140,G1140,H1140,I1140,J1140,R1140,S1140,T1140)&gt;0,1,0)</f>
        <v>0</v>
      </c>
      <c r="Z1140" s="80" t="str">
        <f>IF(AND(ISNUMBER(H1140),H1140&gt;=0,H1140&lt;1),ROUND(H1140*1440,0),"")</f>
        <v/>
      </c>
      <c r="AA1140" s="80" t="str">
        <f>IF(AND(ISNUMBER(I1140),I1140&gt;=0,I1140&lt;1),ROUND(I1140*1440,0),"")</f>
        <v/>
      </c>
      <c r="AB1140" s="80">
        <f>IF(AND(ISNUMBER(B1140),D1140&lt;&gt;"",ISNUMBER(Z1140),ISNUMBER(AA1140)),IF(Z1140=AA1140,0,1),0)</f>
        <v>0</v>
      </c>
      <c r="AC1140" s="80">
        <f>IF(AB1140=1,IF(AA1140&lt;Z1140,1,0),0)</f>
        <v>0</v>
      </c>
      <c r="AD1140" s="80">
        <f>IF(AB1140=1,IF(AC1140=1,1440-Z1140+AA1140,AA1140-Z1140),0)</f>
        <v>0</v>
      </c>
      <c r="AE1140" s="80">
        <f>IF(J1140="",0,IF(ISNUMBER(J1140),J1140,-1))</f>
        <v>0</v>
      </c>
      <c r="AF1140" s="80">
        <f>MIN(MAX(0,AE1140),AD1140)</f>
        <v>0</v>
      </c>
      <c r="AG1140" s="80">
        <f>MAX(0,AD1140-MAX(0,AE1140))</f>
        <v>0</v>
      </c>
      <c r="AH1140" s="80">
        <f>IF(ISNUMBER(B1140),IF(AND(INDEX(CFG_WDAYS,WEEKDAY(INT(B1140),2))="Sí",IF(D1140="proMX",COUNTIFS(FER_F,INT(B1140),FER_NLP,"Sí"),COUNTIFS(FER_F,INT(B1140),FER_NLM,"Sí"))=0),1,0),0)</f>
        <v>0</v>
      </c>
      <c r="AI1140" s="80">
        <f>IF(AC1140=1,IF(AND(INDEX(CFG_WDAYS,WEEKDAY(INT(B1140)+1,2))="Sí",IF(D1140="proMX",COUNTIFS(FER_F,INT(B1140)+1,FER_NLP,"Sí"),COUNTIFS(FER_F,INT(B1140)+1,FER_NLM,"Sí"))=0),1,0),0)</f>
        <v>0</v>
      </c>
      <c r="AJ1140" s="80">
        <f>IF(AC1140=1,1440-Z1140,AD1140)</f>
        <v>0</v>
      </c>
      <c r="AK1140" s="80">
        <f>IF(AND(AB1140=1,AH1140=1),MAX(0,MIN(IF(AC1140=1,1440,AA1140),CFG_WEM)-MAX(Z1140,CFG_WSM)),0)</f>
        <v>0</v>
      </c>
      <c r="AL1140" s="80">
        <f>IF(AND(AC1140=1,AI1140=1),MAX(0,MIN(AA1140,CFG_WEM)-CFG_WSM),0)</f>
        <v>0</v>
      </c>
      <c r="AM1140" s="80">
        <f>AK1140+AL1140</f>
        <v>0</v>
      </c>
      <c r="AN1140" s="80">
        <f>IF(CFG_BRK="Proporcional",IF(AD1140=0,0,AF1140*AM1140/AD1140),IF(CFG_BRK="Extras primero",MIN(AM1140,MAX(0,AF1140-(AD1140-AM1140))),MIN(AF1140,AM1140)))</f>
        <v>0</v>
      </c>
      <c r="AO1140" s="80">
        <f>AF1140-AN1140</f>
        <v>0</v>
      </c>
      <c r="AP1140" s="80">
        <f>AM1140-AN1140</f>
        <v>0</v>
      </c>
      <c r="AQ1140" s="80">
        <f>AD1140-AM1140-AO1140</f>
        <v>0</v>
      </c>
      <c r="AR1140" s="80">
        <f>IF(AM1140=0,0,AK1140-AN1140*AK1140/AM1140)</f>
        <v>0</v>
      </c>
      <c r="AS1140" s="80">
        <f>IF(AD1140-AM1140=0,0,(AJ1140-AK1140)-AO1140*(AJ1140-AK1140)/(AD1140-AM1140))</f>
        <v>0</v>
      </c>
      <c r="AT1140" s="80" t="str">
        <f>IF(AC1140=1,INT(B1140)+1,"")</f>
        <v/>
      </c>
      <c r="AU1140" s="80">
        <f>IF(AND(D1140="proMX",R1140="Cancelled"),0,1)</f>
        <v>1</v>
      </c>
      <c r="AV1140" s="80">
        <f>IF(AND(AB1140=1,AU1140=1),IF(COUNTIFS($D$5:D1139,D1140,$B$5:B1139,B1140,$Z$5:Z1139,Z1140,$AA$5:AA1139,AA1140,$F$5:F1139,F1140&amp;"",$AU$5:AU1139,1)&gt;0,1,0),0)</f>
        <v>0</v>
      </c>
      <c r="AW1140" s="80" t="str">
        <f>IF(AB1140=1,INT(B1140)*1440+Z1140,"")</f>
        <v/>
      </c>
      <c r="AX1140" s="80" t="str">
        <f>IF(AB1140=1,AW1140+AD1140,"")</f>
        <v/>
      </c>
      <c r="AY1140" s="80">
        <f>IF(AND(AB1140=1,AV1140=0,AU1140=1),1,0)</f>
        <v>0</v>
      </c>
      <c r="AZ1140" s="80">
        <f>IF(AY1140=1,COUNTIFS(R_Emp,D1140,R_SAbs,"&lt;"&amp;AX1140,R_EAbs,"&gt;"&amp;AW1140,R_OKey,1)-1,0)</f>
        <v>0</v>
      </c>
      <c r="BA1140" s="80">
        <f>IF(AY1140=1,COUNTIFS(R_Emp,"&lt;&gt;"&amp;D1140,R_SAbs,"&lt;"&amp;AX1140,R_EAbs,"&gt;"&amp;AW1140,R_OKey,1),0)</f>
        <v>0</v>
      </c>
      <c r="BB1140" s="80">
        <f>IF(AND(AB1140=1,D1140="proMX"),IF(AND(MOD(Z1140,CFG_BLK)=0,MOD(AA1140,CFG_BLK)=0,MOD(AG1140,CFG_BLK)=0,AG1140&gt;0),1,0),1)</f>
        <v>1</v>
      </c>
      <c r="BC1140" s="80" t="str">
        <f>IF(Y1140=0,"",IF(NOT(ISNUMBER(B1140)),"Falta fecha o fecha inválida",IF(D1140="","Falta empresa",IF(AND(D1140&lt;&gt;"Malcolm",D1140&lt;&gt;"proMX"),"Empresa inválida",IF(OR(INT(B1140)&lt;CFG_PSTART,INT(B1140)&gt;CFG_PEND),"Fecha fuera del período",IF(OR(NOT(ISNUMBER(Z1140)),NOT(ISNUMBER(AA1140))),"Falta hora inicio/fin o formato inválido",IF(AB1140=0,"Hora inicio = hora fin",IF(AE1140&lt;0,"Descanso inválido",IF(AE1140&gt;=AD1140,"Descanso ≥ duración",IF(AV1140=1,"Registro duplicado",IF(AZ1140&gt;0,"Se superpone con otro registro "&amp;D1140,IF(BB1140=0,"inicio, fin y duración neta deben ser múltiplos de "&amp;CFG_BLK&amp;" min",""))))))))))))</f>
        <v/>
      </c>
      <c r="BD1140" s="80">
        <f>IF(AND(Y1140=1,BC1140=""),1,0)</f>
        <v>0</v>
      </c>
      <c r="BE1140" s="80">
        <f>IF(AND(BD1140=1,AU1140=1),1,0)</f>
        <v>0</v>
      </c>
      <c r="BF1140" s="80" t="str">
        <f>IF(AND(D1140="proMX",BD1140=1),IF(R1140="","Draft",R1140),"")</f>
        <v/>
      </c>
      <c r="BG1140" s="80">
        <f>IF(BD1140=1,ROUND(AG1140/60,6),0)</f>
        <v>0</v>
      </c>
      <c r="BH1140" s="80">
        <f>IF(BE1140=1,ROUND(AG1140/60,6),0)</f>
        <v>0</v>
      </c>
      <c r="BI1140" s="80">
        <f>IF(BE1140=1,ROUND(AP1140/60,6),0)</f>
        <v>0</v>
      </c>
      <c r="BJ1140" s="80">
        <f>IF(BE1140=1,ROUND(AQ1140/60,6),0)</f>
        <v>0</v>
      </c>
      <c r="BK1140" s="80">
        <f>IF(BE1140=1,ROUND((AR1140+AS1140)/60,6),0)</f>
        <v>0</v>
      </c>
      <c r="BL1140" s="80">
        <f>ROUND(BH1140-BK1140,6)</f>
        <v>0</v>
      </c>
      <c r="BM1140" s="80">
        <f>IF(BE1140=1,ROUND(AR1140/60,6),0)</f>
        <v>0</v>
      </c>
      <c r="BN1140" s="80">
        <f>ROUND(BI1140-BM1140,6)</f>
        <v>0</v>
      </c>
      <c r="BO1140" s="80">
        <f>IF(BE1140=1,ROUND(AS1140/60,6),0)</f>
        <v>0</v>
      </c>
      <c r="BP1140" s="80">
        <f>ROUND(BJ1140-BO1140,6)</f>
        <v>0</v>
      </c>
      <c r="BQ1140" s="80">
        <f>IF(BE1140=1,AW1140,0)</f>
        <v>0</v>
      </c>
      <c r="BR1140" s="80">
        <f>IF(BE1140=1,AX1140,0)</f>
        <v>0</v>
      </c>
      <c r="BS1140" s="80">
        <f>IF(AND(BE1140=1,D1140="Malcolm",BA1140&gt;0),MIN(BH1140,SUMPRODUCT((R_Emp="proMX")*(R_EN&gt;0)*((R_EN-(R_EN&gt;BR1140)*(R_EN-BR1140))&gt;(R_SN+(R_SN&lt;BQ1140)*(BQ1140-R_SN)))*((R_EN-(R_EN&gt;BR1140)*(R_EN-BR1140))-(R_SN+(R_SN&lt;BQ1140)*(BQ1140-R_SN))))/60),0)</f>
        <v>0</v>
      </c>
      <c r="BT1140" s="80">
        <f>IF(AND(BE1140=1,D1140="proMX"),ROUND(BI1140*CFG_RATE+BJ1140*CFG_OTRATE,6),0)</f>
        <v>0</v>
      </c>
      <c r="BU1140" s="80">
        <f>IF(AND(BD1140=1,D1140="proMX"),ROUND(AG1140/CFG_BLK,6),0)</f>
        <v>0</v>
      </c>
      <c r="BV1140" s="80" t="str">
        <f>IF(BF1140="Approved",IF(ISNUMBER(T1140),INT(T1140),INT(B1140)),"")</f>
        <v/>
      </c>
      <c r="BW1140" s="80">
        <f>IF(ISNUMBER(B1140),IF(DB_MON="Todos",1,IF(AND(INT(B1140)&gt;=DB_MS,INT(B1140)&lt;=DB_ME),1,0)),0)</f>
        <v>0</v>
      </c>
      <c r="BX1140" s="80">
        <f>IF(DB_PROJ="Todos",1,IF(E1140&amp;""=DB_PROJ&amp;"",1,0))</f>
        <v>1</v>
      </c>
      <c r="BY1140" s="80">
        <f>BW1140*BX1140</f>
        <v>0</v>
      </c>
      <c r="BZ1140" s="80" t="str">
        <f>IF(Y1140=1,F1140&amp;IF(AND(F1140&amp;""&lt;&gt;"",E1140&amp;""&lt;&gt;"")," · ","")&amp;E1140,"")</f>
        <v/>
      </c>
      <c r="CA1140" s="80" t="str">
        <f>IF(AND(BD1140=1,E1140&amp;""&lt;&gt;""),IF(COUNTIFS($E$5:E1139,E1140,$BD$5:BD1139,1)=0,MAX($CA$5:CA1139)+1,""),"")</f>
        <v/>
      </c>
      <c r="CB1140" s="80" t="str">
        <f>IF(AND(BE1140=1,D1140="Malcolm",E1140&amp;""&lt;&gt;""),IF(COUNTIFS($D$5:D1139,"Malcolm",$E$5:E1139,E1140,$BE$5:BE1139,1)=0,MAX($CB$5:CB1139)+1,""),"")</f>
        <v/>
      </c>
      <c r="CC1140" s="80" t="str">
        <f>IF(AND(BD1140=1,D1140="proMX",E1140&amp;""&lt;&gt;""),IF(COUNTIFS($D$5:D1139,"proMX",$E$5:E1139,E1140,$BD$5:BD1139,1)=0,MAX($CC$5:CC1139)+1,""),"")</f>
        <v/>
      </c>
      <c r="CD1140" s="80" t="str">
        <f>IF(AND(BE1140=1,D1140="Malcolm",F1140&amp;""&lt;&gt;""),IF(COUNTIFS($D$5:D1139,"Malcolm",$F$5:F1139,F1140,$BE$5:BE1139,1)=0,MAX($CD$5:CD1139)+1,""),"")</f>
        <v/>
      </c>
      <c r="CE1140" s="80" t="str">
        <f>IF(AND(BD1140=1,D1140="proMX",F1140&amp;""&lt;&gt;""),IF(COUNTIFS($D$5:D1139,"proMX",$F$5:F1139,F1140,$BD$5:BD1139,1)=0,MAX($CE$5:CE1139)+1,""),"")</f>
        <v/>
      </c>
      <c r="CF1140" s="80" t="str">
        <f>IF(AND(D1140="proMX",BD1140=1),IF(OR(BF1140="Draft",BF1140="Submitted",BF1140="Returned",BF1140="Recall Requested"),MAX($CF$5:CF1139)+1,""),"")</f>
        <v/>
      </c>
      <c r="CG1140" s="80">
        <f>IF(BD1140=0,0,IF(D1140="Malcolm",1,MATCH(BF1140,{"Draft","Submitted","Approved","Returned","Recall Requested","Cancelled"},0)+1))</f>
        <v>0</v>
      </c>
      <c r="CH1140" s="80">
        <f>IF(AND(BF1140="Submitted",ISNUMBER(V1140)),IF(V1140&gt;CFG_MAXD,1,0),0)</f>
        <v>0</v>
      </c>
    </row>
    <row r="1141">
      <c r="A1141" s="71" t="str">
        <f>IF(Y1141=1,ROW()-5,"")</f>
        <v/>
      </c>
      <c r="B1141" s="72" t="n"/>
      <c r="C1141" s="71" t="str">
        <f>IF(ISNUMBER(B1141),CHOOSE(WEEKDAY(B1141,2),"Lun","Mar","Mié","Jue","Vie","Sáb","Dom"),"")</f>
        <v/>
      </c>
      <c r="D1141" s="73" t="n"/>
      <c r="E1141" s="74" t="n"/>
      <c r="F1141" s="74" t="n"/>
      <c r="G1141" s="74" t="n"/>
      <c r="H1141" s="75" t="n"/>
      <c r="I1141" s="75" t="n"/>
      <c r="J1141" s="76" t="n"/>
      <c r="K1141" s="77" t="str">
        <f>IF(AB1141=1,ROUND(AG1141/60,4),"")</f>
        <v/>
      </c>
      <c r="L1141" s="77" t="str">
        <f>IF(BD1141=1,ROUND(AP1141/60,4),"")</f>
        <v/>
      </c>
      <c r="M1141" s="77" t="str">
        <f>IF(BD1141=1,ROUND(AQ1141/60,4),"")</f>
        <v/>
      </c>
      <c r="N1141" s="71" t="str">
        <f>IF(AND(D1141="proMX",AB1141=1),ROUND(AG1141/CFG_BLK,2),"")</f>
        <v/>
      </c>
      <c r="O1141" s="77" t="str">
        <f>IF(D1141="proMX",IF(BD1141=1,ROUND(AG1141/60,4),0),"")</f>
        <v/>
      </c>
      <c r="P1141" s="78" t="str">
        <f>IF(Y1141=0,"",IF(BD1141=1,"OK",IF(D1141="proMX","Revisar bloques: ","Revisar: ")&amp;BC1141))</f>
        <v/>
      </c>
      <c r="Q1141" s="78" t="str">
        <f>IF(NOT(ISNUMBER(B1141)),"",IF(COUNTIFS(FER_F,INT(B1141))&gt;0,"Feriado"&amp;IF(AH1141=1," (laborable)"," (no laborable)"),IF(AH1141=1,"Laborable",IF(WEEKDAY(B1141,2)&gt;5,"Fin de semana","No laborable"))))</f>
        <v/>
      </c>
      <c r="R1141" s="73" t="n"/>
      <c r="S1141" s="72" t="n"/>
      <c r="T1141" s="72" t="n"/>
      <c r="U1141" s="74" t="n"/>
      <c r="V1141" s="79" t="str">
        <f>IF(AND(D1141="proMX",OR(R1141="Submitted",R1141="Recall Requested"),ISNUMBER(S1141)),CFG_TODAY-INT(S1141),"")</f>
        <v/>
      </c>
      <c r="W1141" s="78" t="str">
        <f>IF(BD1141=0,"",IF(BA1141&gt;0,"⚠ Se superpone con un registro de la otra empresa",IF(D1141="Malcolm",IF(COUNTA(R1141,S1141,T1141)&gt;0,"Estado/fechas proMX se ignoran en Malcolm",""),IF(BF1141="Cancelled","Cancelado: excluido de totales",IF(R1141="","Sin estado: se trata como Draft",IF(BF1141="Submitted",IF(ISNUMBER(V1141),IF(V1141&gt;CFG_MAXD,"⚠ "&amp;V1141&amp;" días en Submitted (máx. "&amp;CFG_MAXD&amp;")",""),"Falta fecha de envío"),IF(BF1141="Returned","⚠ Devuelto: corregir y reenviar",IF(BF1141="Recall Requested","Retirada solicitada: pendiente",IF(AND(BF1141="Approved",NOT(ISNUMBER(T1141))),"Falta fecha de aprobación",IF(AND(ISNUMBER(S1141),ISNUMBER(T1141),T1141&lt;S1141),"Aprobación anterior al envío","")))))))))</f>
        <v/>
      </c>
      <c r="Y1141" s="80">
        <f>IF(COUNTA(B1141,D1141,E1141,F1141,G1141,H1141,I1141,J1141,R1141,S1141,T1141)&gt;0,1,0)</f>
        <v>0</v>
      </c>
      <c r="Z1141" s="80" t="str">
        <f>IF(AND(ISNUMBER(H1141),H1141&gt;=0,H1141&lt;1),ROUND(H1141*1440,0),"")</f>
        <v/>
      </c>
      <c r="AA1141" s="80" t="str">
        <f>IF(AND(ISNUMBER(I1141),I1141&gt;=0,I1141&lt;1),ROUND(I1141*1440,0),"")</f>
        <v/>
      </c>
      <c r="AB1141" s="80">
        <f>IF(AND(ISNUMBER(B1141),D1141&lt;&gt;"",ISNUMBER(Z1141),ISNUMBER(AA1141)),IF(Z1141=AA1141,0,1),0)</f>
        <v>0</v>
      </c>
      <c r="AC1141" s="80">
        <f>IF(AB1141=1,IF(AA1141&lt;Z1141,1,0),0)</f>
        <v>0</v>
      </c>
      <c r="AD1141" s="80">
        <f>IF(AB1141=1,IF(AC1141=1,1440-Z1141+AA1141,AA1141-Z1141),0)</f>
        <v>0</v>
      </c>
      <c r="AE1141" s="80">
        <f>IF(J1141="",0,IF(ISNUMBER(J1141),J1141,-1))</f>
        <v>0</v>
      </c>
      <c r="AF1141" s="80">
        <f>MIN(MAX(0,AE1141),AD1141)</f>
        <v>0</v>
      </c>
      <c r="AG1141" s="80">
        <f>MAX(0,AD1141-MAX(0,AE1141))</f>
        <v>0</v>
      </c>
      <c r="AH1141" s="80">
        <f>IF(ISNUMBER(B1141),IF(AND(INDEX(CFG_WDAYS,WEEKDAY(INT(B1141),2))="Sí",IF(D1141="proMX",COUNTIFS(FER_F,INT(B1141),FER_NLP,"Sí"),COUNTIFS(FER_F,INT(B1141),FER_NLM,"Sí"))=0),1,0),0)</f>
        <v>0</v>
      </c>
      <c r="AI1141" s="80">
        <f>IF(AC1141=1,IF(AND(INDEX(CFG_WDAYS,WEEKDAY(INT(B1141)+1,2))="Sí",IF(D1141="proMX",COUNTIFS(FER_F,INT(B1141)+1,FER_NLP,"Sí"),COUNTIFS(FER_F,INT(B1141)+1,FER_NLM,"Sí"))=0),1,0),0)</f>
        <v>0</v>
      </c>
      <c r="AJ1141" s="80">
        <f>IF(AC1141=1,1440-Z1141,AD1141)</f>
        <v>0</v>
      </c>
      <c r="AK1141" s="80">
        <f>IF(AND(AB1141=1,AH1141=1),MAX(0,MIN(IF(AC1141=1,1440,AA1141),CFG_WEM)-MAX(Z1141,CFG_WSM)),0)</f>
        <v>0</v>
      </c>
      <c r="AL1141" s="80">
        <f>IF(AND(AC1141=1,AI1141=1),MAX(0,MIN(AA1141,CFG_WEM)-CFG_WSM),0)</f>
        <v>0</v>
      </c>
      <c r="AM1141" s="80">
        <f>AK1141+AL1141</f>
        <v>0</v>
      </c>
      <c r="AN1141" s="80">
        <f>IF(CFG_BRK="Proporcional",IF(AD1141=0,0,AF1141*AM1141/AD1141),IF(CFG_BRK="Extras primero",MIN(AM1141,MAX(0,AF1141-(AD1141-AM1141))),MIN(AF1141,AM1141)))</f>
        <v>0</v>
      </c>
      <c r="AO1141" s="80">
        <f>AF1141-AN1141</f>
        <v>0</v>
      </c>
      <c r="AP1141" s="80">
        <f>AM1141-AN1141</f>
        <v>0</v>
      </c>
      <c r="AQ1141" s="80">
        <f>AD1141-AM1141-AO1141</f>
        <v>0</v>
      </c>
      <c r="AR1141" s="80">
        <f>IF(AM1141=0,0,AK1141-AN1141*AK1141/AM1141)</f>
        <v>0</v>
      </c>
      <c r="AS1141" s="80">
        <f>IF(AD1141-AM1141=0,0,(AJ1141-AK1141)-AO1141*(AJ1141-AK1141)/(AD1141-AM1141))</f>
        <v>0</v>
      </c>
      <c r="AT1141" s="80" t="str">
        <f>IF(AC1141=1,INT(B1141)+1,"")</f>
        <v/>
      </c>
      <c r="AU1141" s="80">
        <f>IF(AND(D1141="proMX",R1141="Cancelled"),0,1)</f>
        <v>1</v>
      </c>
      <c r="AV1141" s="80">
        <f>IF(AND(AB1141=1,AU1141=1),IF(COUNTIFS($D$5:D1140,D1141,$B$5:B1140,B1141,$Z$5:Z1140,Z1141,$AA$5:AA1140,AA1141,$F$5:F1140,F1141&amp;"",$AU$5:AU1140,1)&gt;0,1,0),0)</f>
        <v>0</v>
      </c>
      <c r="AW1141" s="80" t="str">
        <f>IF(AB1141=1,INT(B1141)*1440+Z1141,"")</f>
        <v/>
      </c>
      <c r="AX1141" s="80" t="str">
        <f>IF(AB1141=1,AW1141+AD1141,"")</f>
        <v/>
      </c>
      <c r="AY1141" s="80">
        <f>IF(AND(AB1141=1,AV1141=0,AU1141=1),1,0)</f>
        <v>0</v>
      </c>
      <c r="AZ1141" s="80">
        <f>IF(AY1141=1,COUNTIFS(R_Emp,D1141,R_SAbs,"&lt;"&amp;AX1141,R_EAbs,"&gt;"&amp;AW1141,R_OKey,1)-1,0)</f>
        <v>0</v>
      </c>
      <c r="BA1141" s="80">
        <f>IF(AY1141=1,COUNTIFS(R_Emp,"&lt;&gt;"&amp;D1141,R_SAbs,"&lt;"&amp;AX1141,R_EAbs,"&gt;"&amp;AW1141,R_OKey,1),0)</f>
        <v>0</v>
      </c>
      <c r="BB1141" s="80">
        <f>IF(AND(AB1141=1,D1141="proMX"),IF(AND(MOD(Z1141,CFG_BLK)=0,MOD(AA1141,CFG_BLK)=0,MOD(AG1141,CFG_BLK)=0,AG1141&gt;0),1,0),1)</f>
        <v>1</v>
      </c>
      <c r="BC1141" s="80" t="str">
        <f>IF(Y1141=0,"",IF(NOT(ISNUMBER(B1141)),"Falta fecha o fecha inválida",IF(D1141="","Falta empresa",IF(AND(D1141&lt;&gt;"Malcolm",D1141&lt;&gt;"proMX"),"Empresa inválida",IF(OR(INT(B1141)&lt;CFG_PSTART,INT(B1141)&gt;CFG_PEND),"Fecha fuera del período",IF(OR(NOT(ISNUMBER(Z1141)),NOT(ISNUMBER(AA1141))),"Falta hora inicio/fin o formato inválido",IF(AB1141=0,"Hora inicio = hora fin",IF(AE1141&lt;0,"Descanso inválido",IF(AE1141&gt;=AD1141,"Descanso ≥ duración",IF(AV1141=1,"Registro duplicado",IF(AZ1141&gt;0,"Se superpone con otro registro "&amp;D1141,IF(BB1141=0,"inicio, fin y duración neta deben ser múltiplos de "&amp;CFG_BLK&amp;" min",""))))))))))))</f>
        <v/>
      </c>
      <c r="BD1141" s="80">
        <f>IF(AND(Y1141=1,BC1141=""),1,0)</f>
        <v>0</v>
      </c>
      <c r="BE1141" s="80">
        <f>IF(AND(BD1141=1,AU1141=1),1,0)</f>
        <v>0</v>
      </c>
      <c r="BF1141" s="80" t="str">
        <f>IF(AND(D1141="proMX",BD1141=1),IF(R1141="","Draft",R1141),"")</f>
        <v/>
      </c>
      <c r="BG1141" s="80">
        <f>IF(BD1141=1,ROUND(AG1141/60,6),0)</f>
        <v>0</v>
      </c>
      <c r="BH1141" s="80">
        <f>IF(BE1141=1,ROUND(AG1141/60,6),0)</f>
        <v>0</v>
      </c>
      <c r="BI1141" s="80">
        <f>IF(BE1141=1,ROUND(AP1141/60,6),0)</f>
        <v>0</v>
      </c>
      <c r="BJ1141" s="80">
        <f>IF(BE1141=1,ROUND(AQ1141/60,6),0)</f>
        <v>0</v>
      </c>
      <c r="BK1141" s="80">
        <f>IF(BE1141=1,ROUND((AR1141+AS1141)/60,6),0)</f>
        <v>0</v>
      </c>
      <c r="BL1141" s="80">
        <f>ROUND(BH1141-BK1141,6)</f>
        <v>0</v>
      </c>
      <c r="BM1141" s="80">
        <f>IF(BE1141=1,ROUND(AR1141/60,6),0)</f>
        <v>0</v>
      </c>
      <c r="BN1141" s="80">
        <f>ROUND(BI1141-BM1141,6)</f>
        <v>0</v>
      </c>
      <c r="BO1141" s="80">
        <f>IF(BE1141=1,ROUND(AS1141/60,6),0)</f>
        <v>0</v>
      </c>
      <c r="BP1141" s="80">
        <f>ROUND(BJ1141-BO1141,6)</f>
        <v>0</v>
      </c>
      <c r="BQ1141" s="80">
        <f>IF(BE1141=1,AW1141,0)</f>
        <v>0</v>
      </c>
      <c r="BR1141" s="80">
        <f>IF(BE1141=1,AX1141,0)</f>
        <v>0</v>
      </c>
      <c r="BS1141" s="80">
        <f>IF(AND(BE1141=1,D1141="Malcolm",BA1141&gt;0),MIN(BH1141,SUMPRODUCT((R_Emp="proMX")*(R_EN&gt;0)*((R_EN-(R_EN&gt;BR1141)*(R_EN-BR1141))&gt;(R_SN+(R_SN&lt;BQ1141)*(BQ1141-R_SN)))*((R_EN-(R_EN&gt;BR1141)*(R_EN-BR1141))-(R_SN+(R_SN&lt;BQ1141)*(BQ1141-R_SN))))/60),0)</f>
        <v>0</v>
      </c>
      <c r="BT1141" s="80">
        <f>IF(AND(BE1141=1,D1141="proMX"),ROUND(BI1141*CFG_RATE+BJ1141*CFG_OTRATE,6),0)</f>
        <v>0</v>
      </c>
      <c r="BU1141" s="80">
        <f>IF(AND(BD1141=1,D1141="proMX"),ROUND(AG1141/CFG_BLK,6),0)</f>
        <v>0</v>
      </c>
      <c r="BV1141" s="80" t="str">
        <f>IF(BF1141="Approved",IF(ISNUMBER(T1141),INT(T1141),INT(B1141)),"")</f>
        <v/>
      </c>
      <c r="BW1141" s="80">
        <f>IF(ISNUMBER(B1141),IF(DB_MON="Todos",1,IF(AND(INT(B1141)&gt;=DB_MS,INT(B1141)&lt;=DB_ME),1,0)),0)</f>
        <v>0</v>
      </c>
      <c r="BX1141" s="80">
        <f>IF(DB_PROJ="Todos",1,IF(E1141&amp;""=DB_PROJ&amp;"",1,0))</f>
        <v>1</v>
      </c>
      <c r="BY1141" s="80">
        <f>BW1141*BX1141</f>
        <v>0</v>
      </c>
      <c r="BZ1141" s="80" t="str">
        <f>IF(Y1141=1,F1141&amp;IF(AND(F1141&amp;""&lt;&gt;"",E1141&amp;""&lt;&gt;"")," · ","")&amp;E1141,"")</f>
        <v/>
      </c>
      <c r="CA1141" s="80" t="str">
        <f>IF(AND(BD1141=1,E1141&amp;""&lt;&gt;""),IF(COUNTIFS($E$5:E1140,E1141,$BD$5:BD1140,1)=0,MAX($CA$5:CA1140)+1,""),"")</f>
        <v/>
      </c>
      <c r="CB1141" s="80" t="str">
        <f>IF(AND(BE1141=1,D1141="Malcolm",E1141&amp;""&lt;&gt;""),IF(COUNTIFS($D$5:D1140,"Malcolm",$E$5:E1140,E1141,$BE$5:BE1140,1)=0,MAX($CB$5:CB1140)+1,""),"")</f>
        <v/>
      </c>
      <c r="CC1141" s="80" t="str">
        <f>IF(AND(BD1141=1,D1141="proMX",E1141&amp;""&lt;&gt;""),IF(COUNTIFS($D$5:D1140,"proMX",$E$5:E1140,E1141,$BD$5:BD1140,1)=0,MAX($CC$5:CC1140)+1,""),"")</f>
        <v/>
      </c>
      <c r="CD1141" s="80" t="str">
        <f>IF(AND(BE1141=1,D1141="Malcolm",F1141&amp;""&lt;&gt;""),IF(COUNTIFS($D$5:D1140,"Malcolm",$F$5:F1140,F1141,$BE$5:BE1140,1)=0,MAX($CD$5:CD1140)+1,""),"")</f>
        <v/>
      </c>
      <c r="CE1141" s="80" t="str">
        <f>IF(AND(BD1141=1,D1141="proMX",F1141&amp;""&lt;&gt;""),IF(COUNTIFS($D$5:D1140,"proMX",$F$5:F1140,F1141,$BD$5:BD1140,1)=0,MAX($CE$5:CE1140)+1,""),"")</f>
        <v/>
      </c>
      <c r="CF1141" s="80" t="str">
        <f>IF(AND(D1141="proMX",BD1141=1),IF(OR(BF1141="Draft",BF1141="Submitted",BF1141="Returned",BF1141="Recall Requested"),MAX($CF$5:CF1140)+1,""),"")</f>
        <v/>
      </c>
      <c r="CG1141" s="80">
        <f>IF(BD1141=0,0,IF(D1141="Malcolm",1,MATCH(BF1141,{"Draft","Submitted","Approved","Returned","Recall Requested","Cancelled"},0)+1))</f>
        <v>0</v>
      </c>
      <c r="CH1141" s="80">
        <f>IF(AND(BF1141="Submitted",ISNUMBER(V1141)),IF(V1141&gt;CFG_MAXD,1,0),0)</f>
        <v>0</v>
      </c>
    </row>
    <row r="1142">
      <c r="A1142" s="71" t="str">
        <f>IF(Y1142=1,ROW()-5,"")</f>
        <v/>
      </c>
      <c r="B1142" s="72" t="n"/>
      <c r="C1142" s="71" t="str">
        <f>IF(ISNUMBER(B1142),CHOOSE(WEEKDAY(B1142,2),"Lun","Mar","Mié","Jue","Vie","Sáb","Dom"),"")</f>
        <v/>
      </c>
      <c r="D1142" s="73" t="n"/>
      <c r="E1142" s="74" t="n"/>
      <c r="F1142" s="74" t="n"/>
      <c r="G1142" s="74" t="n"/>
      <c r="H1142" s="75" t="n"/>
      <c r="I1142" s="75" t="n"/>
      <c r="J1142" s="76" t="n"/>
      <c r="K1142" s="77" t="str">
        <f>IF(AB1142=1,ROUND(AG1142/60,4),"")</f>
        <v/>
      </c>
      <c r="L1142" s="77" t="str">
        <f>IF(BD1142=1,ROUND(AP1142/60,4),"")</f>
        <v/>
      </c>
      <c r="M1142" s="77" t="str">
        <f>IF(BD1142=1,ROUND(AQ1142/60,4),"")</f>
        <v/>
      </c>
      <c r="N1142" s="71" t="str">
        <f>IF(AND(D1142="proMX",AB1142=1),ROUND(AG1142/CFG_BLK,2),"")</f>
        <v/>
      </c>
      <c r="O1142" s="77" t="str">
        <f>IF(D1142="proMX",IF(BD1142=1,ROUND(AG1142/60,4),0),"")</f>
        <v/>
      </c>
      <c r="P1142" s="78" t="str">
        <f>IF(Y1142=0,"",IF(BD1142=1,"OK",IF(D1142="proMX","Revisar bloques: ","Revisar: ")&amp;BC1142))</f>
        <v/>
      </c>
      <c r="Q1142" s="78" t="str">
        <f>IF(NOT(ISNUMBER(B1142)),"",IF(COUNTIFS(FER_F,INT(B1142))&gt;0,"Feriado"&amp;IF(AH1142=1," (laborable)"," (no laborable)"),IF(AH1142=1,"Laborable",IF(WEEKDAY(B1142,2)&gt;5,"Fin de semana","No laborable"))))</f>
        <v/>
      </c>
      <c r="R1142" s="73" t="n"/>
      <c r="S1142" s="72" t="n"/>
      <c r="T1142" s="72" t="n"/>
      <c r="U1142" s="74" t="n"/>
      <c r="V1142" s="79" t="str">
        <f>IF(AND(D1142="proMX",OR(R1142="Submitted",R1142="Recall Requested"),ISNUMBER(S1142)),CFG_TODAY-INT(S1142),"")</f>
        <v/>
      </c>
      <c r="W1142" s="78" t="str">
        <f>IF(BD1142=0,"",IF(BA1142&gt;0,"⚠ Se superpone con un registro de la otra empresa",IF(D1142="Malcolm",IF(COUNTA(R1142,S1142,T1142)&gt;0,"Estado/fechas proMX se ignoran en Malcolm",""),IF(BF1142="Cancelled","Cancelado: excluido de totales",IF(R1142="","Sin estado: se trata como Draft",IF(BF1142="Submitted",IF(ISNUMBER(V1142),IF(V1142&gt;CFG_MAXD,"⚠ "&amp;V1142&amp;" días en Submitted (máx. "&amp;CFG_MAXD&amp;")",""),"Falta fecha de envío"),IF(BF1142="Returned","⚠ Devuelto: corregir y reenviar",IF(BF1142="Recall Requested","Retirada solicitada: pendiente",IF(AND(BF1142="Approved",NOT(ISNUMBER(T1142))),"Falta fecha de aprobación",IF(AND(ISNUMBER(S1142),ISNUMBER(T1142),T1142&lt;S1142),"Aprobación anterior al envío","")))))))))</f>
        <v/>
      </c>
      <c r="Y1142" s="80">
        <f>IF(COUNTA(B1142,D1142,E1142,F1142,G1142,H1142,I1142,J1142,R1142,S1142,T1142)&gt;0,1,0)</f>
        <v>0</v>
      </c>
      <c r="Z1142" s="80" t="str">
        <f>IF(AND(ISNUMBER(H1142),H1142&gt;=0,H1142&lt;1),ROUND(H1142*1440,0),"")</f>
        <v/>
      </c>
      <c r="AA1142" s="80" t="str">
        <f>IF(AND(ISNUMBER(I1142),I1142&gt;=0,I1142&lt;1),ROUND(I1142*1440,0),"")</f>
        <v/>
      </c>
      <c r="AB1142" s="80">
        <f>IF(AND(ISNUMBER(B1142),D1142&lt;&gt;"",ISNUMBER(Z1142),ISNUMBER(AA1142)),IF(Z1142=AA1142,0,1),0)</f>
        <v>0</v>
      </c>
      <c r="AC1142" s="80">
        <f>IF(AB1142=1,IF(AA1142&lt;Z1142,1,0),0)</f>
        <v>0</v>
      </c>
      <c r="AD1142" s="80">
        <f>IF(AB1142=1,IF(AC1142=1,1440-Z1142+AA1142,AA1142-Z1142),0)</f>
        <v>0</v>
      </c>
      <c r="AE1142" s="80">
        <f>IF(J1142="",0,IF(ISNUMBER(J1142),J1142,-1))</f>
        <v>0</v>
      </c>
      <c r="AF1142" s="80">
        <f>MIN(MAX(0,AE1142),AD1142)</f>
        <v>0</v>
      </c>
      <c r="AG1142" s="80">
        <f>MAX(0,AD1142-MAX(0,AE1142))</f>
        <v>0</v>
      </c>
      <c r="AH1142" s="80">
        <f>IF(ISNUMBER(B1142),IF(AND(INDEX(CFG_WDAYS,WEEKDAY(INT(B1142),2))="Sí",IF(D1142="proMX",COUNTIFS(FER_F,INT(B1142),FER_NLP,"Sí"),COUNTIFS(FER_F,INT(B1142),FER_NLM,"Sí"))=0),1,0),0)</f>
        <v>0</v>
      </c>
      <c r="AI1142" s="80">
        <f>IF(AC1142=1,IF(AND(INDEX(CFG_WDAYS,WEEKDAY(INT(B1142)+1,2))="Sí",IF(D1142="proMX",COUNTIFS(FER_F,INT(B1142)+1,FER_NLP,"Sí"),COUNTIFS(FER_F,INT(B1142)+1,FER_NLM,"Sí"))=0),1,0),0)</f>
        <v>0</v>
      </c>
      <c r="AJ1142" s="80">
        <f>IF(AC1142=1,1440-Z1142,AD1142)</f>
        <v>0</v>
      </c>
      <c r="AK1142" s="80">
        <f>IF(AND(AB1142=1,AH1142=1),MAX(0,MIN(IF(AC1142=1,1440,AA1142),CFG_WEM)-MAX(Z1142,CFG_WSM)),0)</f>
        <v>0</v>
      </c>
      <c r="AL1142" s="80">
        <f>IF(AND(AC1142=1,AI1142=1),MAX(0,MIN(AA1142,CFG_WEM)-CFG_WSM),0)</f>
        <v>0</v>
      </c>
      <c r="AM1142" s="80">
        <f>AK1142+AL1142</f>
        <v>0</v>
      </c>
      <c r="AN1142" s="80">
        <f>IF(CFG_BRK="Proporcional",IF(AD1142=0,0,AF1142*AM1142/AD1142),IF(CFG_BRK="Extras primero",MIN(AM1142,MAX(0,AF1142-(AD1142-AM1142))),MIN(AF1142,AM1142)))</f>
        <v>0</v>
      </c>
      <c r="AO1142" s="80">
        <f>AF1142-AN1142</f>
        <v>0</v>
      </c>
      <c r="AP1142" s="80">
        <f>AM1142-AN1142</f>
        <v>0</v>
      </c>
      <c r="AQ1142" s="80">
        <f>AD1142-AM1142-AO1142</f>
        <v>0</v>
      </c>
      <c r="AR1142" s="80">
        <f>IF(AM1142=0,0,AK1142-AN1142*AK1142/AM1142)</f>
        <v>0</v>
      </c>
      <c r="AS1142" s="80">
        <f>IF(AD1142-AM1142=0,0,(AJ1142-AK1142)-AO1142*(AJ1142-AK1142)/(AD1142-AM1142))</f>
        <v>0</v>
      </c>
      <c r="AT1142" s="80" t="str">
        <f>IF(AC1142=1,INT(B1142)+1,"")</f>
        <v/>
      </c>
      <c r="AU1142" s="80">
        <f>IF(AND(D1142="proMX",R1142="Cancelled"),0,1)</f>
        <v>1</v>
      </c>
      <c r="AV1142" s="80">
        <f>IF(AND(AB1142=1,AU1142=1),IF(COUNTIFS($D$5:D1141,D1142,$B$5:B1141,B1142,$Z$5:Z1141,Z1142,$AA$5:AA1141,AA1142,$F$5:F1141,F1142&amp;"",$AU$5:AU1141,1)&gt;0,1,0),0)</f>
        <v>0</v>
      </c>
      <c r="AW1142" s="80" t="str">
        <f>IF(AB1142=1,INT(B1142)*1440+Z1142,"")</f>
        <v/>
      </c>
      <c r="AX1142" s="80" t="str">
        <f>IF(AB1142=1,AW1142+AD1142,"")</f>
        <v/>
      </c>
      <c r="AY1142" s="80">
        <f>IF(AND(AB1142=1,AV1142=0,AU1142=1),1,0)</f>
        <v>0</v>
      </c>
      <c r="AZ1142" s="80">
        <f>IF(AY1142=1,COUNTIFS(R_Emp,D1142,R_SAbs,"&lt;"&amp;AX1142,R_EAbs,"&gt;"&amp;AW1142,R_OKey,1)-1,0)</f>
        <v>0</v>
      </c>
      <c r="BA1142" s="80">
        <f>IF(AY1142=1,COUNTIFS(R_Emp,"&lt;&gt;"&amp;D1142,R_SAbs,"&lt;"&amp;AX1142,R_EAbs,"&gt;"&amp;AW1142,R_OKey,1),0)</f>
        <v>0</v>
      </c>
      <c r="BB1142" s="80">
        <f>IF(AND(AB1142=1,D1142="proMX"),IF(AND(MOD(Z1142,CFG_BLK)=0,MOD(AA1142,CFG_BLK)=0,MOD(AG1142,CFG_BLK)=0,AG1142&gt;0),1,0),1)</f>
        <v>1</v>
      </c>
      <c r="BC1142" s="80" t="str">
        <f>IF(Y1142=0,"",IF(NOT(ISNUMBER(B1142)),"Falta fecha o fecha inválida",IF(D1142="","Falta empresa",IF(AND(D1142&lt;&gt;"Malcolm",D1142&lt;&gt;"proMX"),"Empresa inválida",IF(OR(INT(B1142)&lt;CFG_PSTART,INT(B1142)&gt;CFG_PEND),"Fecha fuera del período",IF(OR(NOT(ISNUMBER(Z1142)),NOT(ISNUMBER(AA1142))),"Falta hora inicio/fin o formato inválido",IF(AB1142=0,"Hora inicio = hora fin",IF(AE1142&lt;0,"Descanso inválido",IF(AE1142&gt;=AD1142,"Descanso ≥ duración",IF(AV1142=1,"Registro duplicado",IF(AZ1142&gt;0,"Se superpone con otro registro "&amp;D1142,IF(BB1142=0,"inicio, fin y duración neta deben ser múltiplos de "&amp;CFG_BLK&amp;" min",""))))))))))))</f>
        <v/>
      </c>
      <c r="BD1142" s="80">
        <f>IF(AND(Y1142=1,BC1142=""),1,0)</f>
        <v>0</v>
      </c>
      <c r="BE1142" s="80">
        <f>IF(AND(BD1142=1,AU1142=1),1,0)</f>
        <v>0</v>
      </c>
      <c r="BF1142" s="80" t="str">
        <f>IF(AND(D1142="proMX",BD1142=1),IF(R1142="","Draft",R1142),"")</f>
        <v/>
      </c>
      <c r="BG1142" s="80">
        <f>IF(BD1142=1,ROUND(AG1142/60,6),0)</f>
        <v>0</v>
      </c>
      <c r="BH1142" s="80">
        <f>IF(BE1142=1,ROUND(AG1142/60,6),0)</f>
        <v>0</v>
      </c>
      <c r="BI1142" s="80">
        <f>IF(BE1142=1,ROUND(AP1142/60,6),0)</f>
        <v>0</v>
      </c>
      <c r="BJ1142" s="80">
        <f>IF(BE1142=1,ROUND(AQ1142/60,6),0)</f>
        <v>0</v>
      </c>
      <c r="BK1142" s="80">
        <f>IF(BE1142=1,ROUND((AR1142+AS1142)/60,6),0)</f>
        <v>0</v>
      </c>
      <c r="BL1142" s="80">
        <f>ROUND(BH1142-BK1142,6)</f>
        <v>0</v>
      </c>
      <c r="BM1142" s="80">
        <f>IF(BE1142=1,ROUND(AR1142/60,6),0)</f>
        <v>0</v>
      </c>
      <c r="BN1142" s="80">
        <f>ROUND(BI1142-BM1142,6)</f>
        <v>0</v>
      </c>
      <c r="BO1142" s="80">
        <f>IF(BE1142=1,ROUND(AS1142/60,6),0)</f>
        <v>0</v>
      </c>
      <c r="BP1142" s="80">
        <f>ROUND(BJ1142-BO1142,6)</f>
        <v>0</v>
      </c>
      <c r="BQ1142" s="80">
        <f>IF(BE1142=1,AW1142,0)</f>
        <v>0</v>
      </c>
      <c r="BR1142" s="80">
        <f>IF(BE1142=1,AX1142,0)</f>
        <v>0</v>
      </c>
      <c r="BS1142" s="80">
        <f>IF(AND(BE1142=1,D1142="Malcolm",BA1142&gt;0),MIN(BH1142,SUMPRODUCT((R_Emp="proMX")*(R_EN&gt;0)*((R_EN-(R_EN&gt;BR1142)*(R_EN-BR1142))&gt;(R_SN+(R_SN&lt;BQ1142)*(BQ1142-R_SN)))*((R_EN-(R_EN&gt;BR1142)*(R_EN-BR1142))-(R_SN+(R_SN&lt;BQ1142)*(BQ1142-R_SN))))/60),0)</f>
        <v>0</v>
      </c>
      <c r="BT1142" s="80">
        <f>IF(AND(BE1142=1,D1142="proMX"),ROUND(BI1142*CFG_RATE+BJ1142*CFG_OTRATE,6),0)</f>
        <v>0</v>
      </c>
      <c r="BU1142" s="80">
        <f>IF(AND(BD1142=1,D1142="proMX"),ROUND(AG1142/CFG_BLK,6),0)</f>
        <v>0</v>
      </c>
      <c r="BV1142" s="80" t="str">
        <f>IF(BF1142="Approved",IF(ISNUMBER(T1142),INT(T1142),INT(B1142)),"")</f>
        <v/>
      </c>
      <c r="BW1142" s="80">
        <f>IF(ISNUMBER(B1142),IF(DB_MON="Todos",1,IF(AND(INT(B1142)&gt;=DB_MS,INT(B1142)&lt;=DB_ME),1,0)),0)</f>
        <v>0</v>
      </c>
      <c r="BX1142" s="80">
        <f>IF(DB_PROJ="Todos",1,IF(E1142&amp;""=DB_PROJ&amp;"",1,0))</f>
        <v>1</v>
      </c>
      <c r="BY1142" s="80">
        <f>BW1142*BX1142</f>
        <v>0</v>
      </c>
      <c r="BZ1142" s="80" t="str">
        <f>IF(Y1142=1,F1142&amp;IF(AND(F1142&amp;""&lt;&gt;"",E1142&amp;""&lt;&gt;"")," · ","")&amp;E1142,"")</f>
        <v/>
      </c>
      <c r="CA1142" s="80" t="str">
        <f>IF(AND(BD1142=1,E1142&amp;""&lt;&gt;""),IF(COUNTIFS($E$5:E1141,E1142,$BD$5:BD1141,1)=0,MAX($CA$5:CA1141)+1,""),"")</f>
        <v/>
      </c>
      <c r="CB1142" s="80" t="str">
        <f>IF(AND(BE1142=1,D1142="Malcolm",E1142&amp;""&lt;&gt;""),IF(COUNTIFS($D$5:D1141,"Malcolm",$E$5:E1141,E1142,$BE$5:BE1141,1)=0,MAX($CB$5:CB1141)+1,""),"")</f>
        <v/>
      </c>
      <c r="CC1142" s="80" t="str">
        <f>IF(AND(BD1142=1,D1142="proMX",E1142&amp;""&lt;&gt;""),IF(COUNTIFS($D$5:D1141,"proMX",$E$5:E1141,E1142,$BD$5:BD1141,1)=0,MAX($CC$5:CC1141)+1,""),"")</f>
        <v/>
      </c>
      <c r="CD1142" s="80" t="str">
        <f>IF(AND(BE1142=1,D1142="Malcolm",F1142&amp;""&lt;&gt;""),IF(COUNTIFS($D$5:D1141,"Malcolm",$F$5:F1141,F1142,$BE$5:BE1141,1)=0,MAX($CD$5:CD1141)+1,""),"")</f>
        <v/>
      </c>
      <c r="CE1142" s="80" t="str">
        <f>IF(AND(BD1142=1,D1142="proMX",F1142&amp;""&lt;&gt;""),IF(COUNTIFS($D$5:D1141,"proMX",$F$5:F1141,F1142,$BD$5:BD1141,1)=0,MAX($CE$5:CE1141)+1,""),"")</f>
        <v/>
      </c>
      <c r="CF1142" s="80" t="str">
        <f>IF(AND(D1142="proMX",BD1142=1),IF(OR(BF1142="Draft",BF1142="Submitted",BF1142="Returned",BF1142="Recall Requested"),MAX($CF$5:CF1141)+1,""),"")</f>
        <v/>
      </c>
      <c r="CG1142" s="80">
        <f>IF(BD1142=0,0,IF(D1142="Malcolm",1,MATCH(BF1142,{"Draft","Submitted","Approved","Returned","Recall Requested","Cancelled"},0)+1))</f>
        <v>0</v>
      </c>
      <c r="CH1142" s="80">
        <f>IF(AND(BF1142="Submitted",ISNUMBER(V1142)),IF(V1142&gt;CFG_MAXD,1,0),0)</f>
        <v>0</v>
      </c>
    </row>
    <row r="1143">
      <c r="A1143" s="71" t="str">
        <f>IF(Y1143=1,ROW()-5,"")</f>
        <v/>
      </c>
      <c r="B1143" s="72" t="n"/>
      <c r="C1143" s="71" t="str">
        <f>IF(ISNUMBER(B1143),CHOOSE(WEEKDAY(B1143,2),"Lun","Mar","Mié","Jue","Vie","Sáb","Dom"),"")</f>
        <v/>
      </c>
      <c r="D1143" s="73" t="n"/>
      <c r="E1143" s="74" t="n"/>
      <c r="F1143" s="74" t="n"/>
      <c r="G1143" s="74" t="n"/>
      <c r="H1143" s="75" t="n"/>
      <c r="I1143" s="75" t="n"/>
      <c r="J1143" s="76" t="n"/>
      <c r="K1143" s="77" t="str">
        <f>IF(AB1143=1,ROUND(AG1143/60,4),"")</f>
        <v/>
      </c>
      <c r="L1143" s="77" t="str">
        <f>IF(BD1143=1,ROUND(AP1143/60,4),"")</f>
        <v/>
      </c>
      <c r="M1143" s="77" t="str">
        <f>IF(BD1143=1,ROUND(AQ1143/60,4),"")</f>
        <v/>
      </c>
      <c r="N1143" s="71" t="str">
        <f>IF(AND(D1143="proMX",AB1143=1),ROUND(AG1143/CFG_BLK,2),"")</f>
        <v/>
      </c>
      <c r="O1143" s="77" t="str">
        <f>IF(D1143="proMX",IF(BD1143=1,ROUND(AG1143/60,4),0),"")</f>
        <v/>
      </c>
      <c r="P1143" s="78" t="str">
        <f>IF(Y1143=0,"",IF(BD1143=1,"OK",IF(D1143="proMX","Revisar bloques: ","Revisar: ")&amp;BC1143))</f>
        <v/>
      </c>
      <c r="Q1143" s="78" t="str">
        <f>IF(NOT(ISNUMBER(B1143)),"",IF(COUNTIFS(FER_F,INT(B1143))&gt;0,"Feriado"&amp;IF(AH1143=1," (laborable)"," (no laborable)"),IF(AH1143=1,"Laborable",IF(WEEKDAY(B1143,2)&gt;5,"Fin de semana","No laborable"))))</f>
        <v/>
      </c>
      <c r="R1143" s="73" t="n"/>
      <c r="S1143" s="72" t="n"/>
      <c r="T1143" s="72" t="n"/>
      <c r="U1143" s="74" t="n"/>
      <c r="V1143" s="79" t="str">
        <f>IF(AND(D1143="proMX",OR(R1143="Submitted",R1143="Recall Requested"),ISNUMBER(S1143)),CFG_TODAY-INT(S1143),"")</f>
        <v/>
      </c>
      <c r="W1143" s="78" t="str">
        <f>IF(BD1143=0,"",IF(BA1143&gt;0,"⚠ Se superpone con un registro de la otra empresa",IF(D1143="Malcolm",IF(COUNTA(R1143,S1143,T1143)&gt;0,"Estado/fechas proMX se ignoran en Malcolm",""),IF(BF1143="Cancelled","Cancelado: excluido de totales",IF(R1143="","Sin estado: se trata como Draft",IF(BF1143="Submitted",IF(ISNUMBER(V1143),IF(V1143&gt;CFG_MAXD,"⚠ "&amp;V1143&amp;" días en Submitted (máx. "&amp;CFG_MAXD&amp;")",""),"Falta fecha de envío"),IF(BF1143="Returned","⚠ Devuelto: corregir y reenviar",IF(BF1143="Recall Requested","Retirada solicitada: pendiente",IF(AND(BF1143="Approved",NOT(ISNUMBER(T1143))),"Falta fecha de aprobación",IF(AND(ISNUMBER(S1143),ISNUMBER(T1143),T1143&lt;S1143),"Aprobación anterior al envío","")))))))))</f>
        <v/>
      </c>
      <c r="Y1143" s="80">
        <f>IF(COUNTA(B1143,D1143,E1143,F1143,G1143,H1143,I1143,J1143,R1143,S1143,T1143)&gt;0,1,0)</f>
        <v>0</v>
      </c>
      <c r="Z1143" s="80" t="str">
        <f>IF(AND(ISNUMBER(H1143),H1143&gt;=0,H1143&lt;1),ROUND(H1143*1440,0),"")</f>
        <v/>
      </c>
      <c r="AA1143" s="80" t="str">
        <f>IF(AND(ISNUMBER(I1143),I1143&gt;=0,I1143&lt;1),ROUND(I1143*1440,0),"")</f>
        <v/>
      </c>
      <c r="AB1143" s="80">
        <f>IF(AND(ISNUMBER(B1143),D1143&lt;&gt;"",ISNUMBER(Z1143),ISNUMBER(AA1143)),IF(Z1143=AA1143,0,1),0)</f>
        <v>0</v>
      </c>
      <c r="AC1143" s="80">
        <f>IF(AB1143=1,IF(AA1143&lt;Z1143,1,0),0)</f>
        <v>0</v>
      </c>
      <c r="AD1143" s="80">
        <f>IF(AB1143=1,IF(AC1143=1,1440-Z1143+AA1143,AA1143-Z1143),0)</f>
        <v>0</v>
      </c>
      <c r="AE1143" s="80">
        <f>IF(J1143="",0,IF(ISNUMBER(J1143),J1143,-1))</f>
        <v>0</v>
      </c>
      <c r="AF1143" s="80">
        <f>MIN(MAX(0,AE1143),AD1143)</f>
        <v>0</v>
      </c>
      <c r="AG1143" s="80">
        <f>MAX(0,AD1143-MAX(0,AE1143))</f>
        <v>0</v>
      </c>
      <c r="AH1143" s="80">
        <f>IF(ISNUMBER(B1143),IF(AND(INDEX(CFG_WDAYS,WEEKDAY(INT(B1143),2))="Sí",IF(D1143="proMX",COUNTIFS(FER_F,INT(B1143),FER_NLP,"Sí"),COUNTIFS(FER_F,INT(B1143),FER_NLM,"Sí"))=0),1,0),0)</f>
        <v>0</v>
      </c>
      <c r="AI1143" s="80">
        <f>IF(AC1143=1,IF(AND(INDEX(CFG_WDAYS,WEEKDAY(INT(B1143)+1,2))="Sí",IF(D1143="proMX",COUNTIFS(FER_F,INT(B1143)+1,FER_NLP,"Sí"),COUNTIFS(FER_F,INT(B1143)+1,FER_NLM,"Sí"))=0),1,0),0)</f>
        <v>0</v>
      </c>
      <c r="AJ1143" s="80">
        <f>IF(AC1143=1,1440-Z1143,AD1143)</f>
        <v>0</v>
      </c>
      <c r="AK1143" s="80">
        <f>IF(AND(AB1143=1,AH1143=1),MAX(0,MIN(IF(AC1143=1,1440,AA1143),CFG_WEM)-MAX(Z1143,CFG_WSM)),0)</f>
        <v>0</v>
      </c>
      <c r="AL1143" s="80">
        <f>IF(AND(AC1143=1,AI1143=1),MAX(0,MIN(AA1143,CFG_WEM)-CFG_WSM),0)</f>
        <v>0</v>
      </c>
      <c r="AM1143" s="80">
        <f>AK1143+AL1143</f>
        <v>0</v>
      </c>
      <c r="AN1143" s="80">
        <f>IF(CFG_BRK="Proporcional",IF(AD1143=0,0,AF1143*AM1143/AD1143),IF(CFG_BRK="Extras primero",MIN(AM1143,MAX(0,AF1143-(AD1143-AM1143))),MIN(AF1143,AM1143)))</f>
        <v>0</v>
      </c>
      <c r="AO1143" s="80">
        <f>AF1143-AN1143</f>
        <v>0</v>
      </c>
      <c r="AP1143" s="80">
        <f>AM1143-AN1143</f>
        <v>0</v>
      </c>
      <c r="AQ1143" s="80">
        <f>AD1143-AM1143-AO1143</f>
        <v>0</v>
      </c>
      <c r="AR1143" s="80">
        <f>IF(AM1143=0,0,AK1143-AN1143*AK1143/AM1143)</f>
        <v>0</v>
      </c>
      <c r="AS1143" s="80">
        <f>IF(AD1143-AM1143=0,0,(AJ1143-AK1143)-AO1143*(AJ1143-AK1143)/(AD1143-AM1143))</f>
        <v>0</v>
      </c>
      <c r="AT1143" s="80" t="str">
        <f>IF(AC1143=1,INT(B1143)+1,"")</f>
        <v/>
      </c>
      <c r="AU1143" s="80">
        <f>IF(AND(D1143="proMX",R1143="Cancelled"),0,1)</f>
        <v>1</v>
      </c>
      <c r="AV1143" s="80">
        <f>IF(AND(AB1143=1,AU1143=1),IF(COUNTIFS($D$5:D1142,D1143,$B$5:B1142,B1143,$Z$5:Z1142,Z1143,$AA$5:AA1142,AA1143,$F$5:F1142,F1143&amp;"",$AU$5:AU1142,1)&gt;0,1,0),0)</f>
        <v>0</v>
      </c>
      <c r="AW1143" s="80" t="str">
        <f>IF(AB1143=1,INT(B1143)*1440+Z1143,"")</f>
        <v/>
      </c>
      <c r="AX1143" s="80" t="str">
        <f>IF(AB1143=1,AW1143+AD1143,"")</f>
        <v/>
      </c>
      <c r="AY1143" s="80">
        <f>IF(AND(AB1143=1,AV1143=0,AU1143=1),1,0)</f>
        <v>0</v>
      </c>
      <c r="AZ1143" s="80">
        <f>IF(AY1143=1,COUNTIFS(R_Emp,D1143,R_SAbs,"&lt;"&amp;AX1143,R_EAbs,"&gt;"&amp;AW1143,R_OKey,1)-1,0)</f>
        <v>0</v>
      </c>
      <c r="BA1143" s="80">
        <f>IF(AY1143=1,COUNTIFS(R_Emp,"&lt;&gt;"&amp;D1143,R_SAbs,"&lt;"&amp;AX1143,R_EAbs,"&gt;"&amp;AW1143,R_OKey,1),0)</f>
        <v>0</v>
      </c>
      <c r="BB1143" s="80">
        <f>IF(AND(AB1143=1,D1143="proMX"),IF(AND(MOD(Z1143,CFG_BLK)=0,MOD(AA1143,CFG_BLK)=0,MOD(AG1143,CFG_BLK)=0,AG1143&gt;0),1,0),1)</f>
        <v>1</v>
      </c>
      <c r="BC1143" s="80" t="str">
        <f>IF(Y1143=0,"",IF(NOT(ISNUMBER(B1143)),"Falta fecha o fecha inválida",IF(D1143="","Falta empresa",IF(AND(D1143&lt;&gt;"Malcolm",D1143&lt;&gt;"proMX"),"Empresa inválida",IF(OR(INT(B1143)&lt;CFG_PSTART,INT(B1143)&gt;CFG_PEND),"Fecha fuera del período",IF(OR(NOT(ISNUMBER(Z1143)),NOT(ISNUMBER(AA1143))),"Falta hora inicio/fin o formato inválido",IF(AB1143=0,"Hora inicio = hora fin",IF(AE1143&lt;0,"Descanso inválido",IF(AE1143&gt;=AD1143,"Descanso ≥ duración",IF(AV1143=1,"Registro duplicado",IF(AZ1143&gt;0,"Se superpone con otro registro "&amp;D1143,IF(BB1143=0,"inicio, fin y duración neta deben ser múltiplos de "&amp;CFG_BLK&amp;" min",""))))))))))))</f>
        <v/>
      </c>
      <c r="BD1143" s="80">
        <f>IF(AND(Y1143=1,BC1143=""),1,0)</f>
        <v>0</v>
      </c>
      <c r="BE1143" s="80">
        <f>IF(AND(BD1143=1,AU1143=1),1,0)</f>
        <v>0</v>
      </c>
      <c r="BF1143" s="80" t="str">
        <f>IF(AND(D1143="proMX",BD1143=1),IF(R1143="","Draft",R1143),"")</f>
        <v/>
      </c>
      <c r="BG1143" s="80">
        <f>IF(BD1143=1,ROUND(AG1143/60,6),0)</f>
        <v>0</v>
      </c>
      <c r="BH1143" s="80">
        <f>IF(BE1143=1,ROUND(AG1143/60,6),0)</f>
        <v>0</v>
      </c>
      <c r="BI1143" s="80">
        <f>IF(BE1143=1,ROUND(AP1143/60,6),0)</f>
        <v>0</v>
      </c>
      <c r="BJ1143" s="80">
        <f>IF(BE1143=1,ROUND(AQ1143/60,6),0)</f>
        <v>0</v>
      </c>
      <c r="BK1143" s="80">
        <f>IF(BE1143=1,ROUND((AR1143+AS1143)/60,6),0)</f>
        <v>0</v>
      </c>
      <c r="BL1143" s="80">
        <f>ROUND(BH1143-BK1143,6)</f>
        <v>0</v>
      </c>
      <c r="BM1143" s="80">
        <f>IF(BE1143=1,ROUND(AR1143/60,6),0)</f>
        <v>0</v>
      </c>
      <c r="BN1143" s="80">
        <f>ROUND(BI1143-BM1143,6)</f>
        <v>0</v>
      </c>
      <c r="BO1143" s="80">
        <f>IF(BE1143=1,ROUND(AS1143/60,6),0)</f>
        <v>0</v>
      </c>
      <c r="BP1143" s="80">
        <f>ROUND(BJ1143-BO1143,6)</f>
        <v>0</v>
      </c>
      <c r="BQ1143" s="80">
        <f>IF(BE1143=1,AW1143,0)</f>
        <v>0</v>
      </c>
      <c r="BR1143" s="80">
        <f>IF(BE1143=1,AX1143,0)</f>
        <v>0</v>
      </c>
      <c r="BS1143" s="80">
        <f>IF(AND(BE1143=1,D1143="Malcolm",BA1143&gt;0),MIN(BH1143,SUMPRODUCT((R_Emp="proMX")*(R_EN&gt;0)*((R_EN-(R_EN&gt;BR1143)*(R_EN-BR1143))&gt;(R_SN+(R_SN&lt;BQ1143)*(BQ1143-R_SN)))*((R_EN-(R_EN&gt;BR1143)*(R_EN-BR1143))-(R_SN+(R_SN&lt;BQ1143)*(BQ1143-R_SN))))/60),0)</f>
        <v>0</v>
      </c>
      <c r="BT1143" s="80">
        <f>IF(AND(BE1143=1,D1143="proMX"),ROUND(BI1143*CFG_RATE+BJ1143*CFG_OTRATE,6),0)</f>
        <v>0</v>
      </c>
      <c r="BU1143" s="80">
        <f>IF(AND(BD1143=1,D1143="proMX"),ROUND(AG1143/CFG_BLK,6),0)</f>
        <v>0</v>
      </c>
      <c r="BV1143" s="80" t="str">
        <f>IF(BF1143="Approved",IF(ISNUMBER(T1143),INT(T1143),INT(B1143)),"")</f>
        <v/>
      </c>
      <c r="BW1143" s="80">
        <f>IF(ISNUMBER(B1143),IF(DB_MON="Todos",1,IF(AND(INT(B1143)&gt;=DB_MS,INT(B1143)&lt;=DB_ME),1,0)),0)</f>
        <v>0</v>
      </c>
      <c r="BX1143" s="80">
        <f>IF(DB_PROJ="Todos",1,IF(E1143&amp;""=DB_PROJ&amp;"",1,0))</f>
        <v>1</v>
      </c>
      <c r="BY1143" s="80">
        <f>BW1143*BX1143</f>
        <v>0</v>
      </c>
      <c r="BZ1143" s="80" t="str">
        <f>IF(Y1143=1,F1143&amp;IF(AND(F1143&amp;""&lt;&gt;"",E1143&amp;""&lt;&gt;"")," · ","")&amp;E1143,"")</f>
        <v/>
      </c>
      <c r="CA1143" s="80" t="str">
        <f>IF(AND(BD1143=1,E1143&amp;""&lt;&gt;""),IF(COUNTIFS($E$5:E1142,E1143,$BD$5:BD1142,1)=0,MAX($CA$5:CA1142)+1,""),"")</f>
        <v/>
      </c>
      <c r="CB1143" s="80" t="str">
        <f>IF(AND(BE1143=1,D1143="Malcolm",E1143&amp;""&lt;&gt;""),IF(COUNTIFS($D$5:D1142,"Malcolm",$E$5:E1142,E1143,$BE$5:BE1142,1)=0,MAX($CB$5:CB1142)+1,""),"")</f>
        <v/>
      </c>
      <c r="CC1143" s="80" t="str">
        <f>IF(AND(BD1143=1,D1143="proMX",E1143&amp;""&lt;&gt;""),IF(COUNTIFS($D$5:D1142,"proMX",$E$5:E1142,E1143,$BD$5:BD1142,1)=0,MAX($CC$5:CC1142)+1,""),"")</f>
        <v/>
      </c>
      <c r="CD1143" s="80" t="str">
        <f>IF(AND(BE1143=1,D1143="Malcolm",F1143&amp;""&lt;&gt;""),IF(COUNTIFS($D$5:D1142,"Malcolm",$F$5:F1142,F1143,$BE$5:BE1142,1)=0,MAX($CD$5:CD1142)+1,""),"")</f>
        <v/>
      </c>
      <c r="CE1143" s="80" t="str">
        <f>IF(AND(BD1143=1,D1143="proMX",F1143&amp;""&lt;&gt;""),IF(COUNTIFS($D$5:D1142,"proMX",$F$5:F1142,F1143,$BD$5:BD1142,1)=0,MAX($CE$5:CE1142)+1,""),"")</f>
        <v/>
      </c>
      <c r="CF1143" s="80" t="str">
        <f>IF(AND(D1143="proMX",BD1143=1),IF(OR(BF1143="Draft",BF1143="Submitted",BF1143="Returned",BF1143="Recall Requested"),MAX($CF$5:CF1142)+1,""),"")</f>
        <v/>
      </c>
      <c r="CG1143" s="80">
        <f>IF(BD1143=0,0,IF(D1143="Malcolm",1,MATCH(BF1143,{"Draft","Submitted","Approved","Returned","Recall Requested","Cancelled"},0)+1))</f>
        <v>0</v>
      </c>
      <c r="CH1143" s="80">
        <f>IF(AND(BF1143="Submitted",ISNUMBER(V1143)),IF(V1143&gt;CFG_MAXD,1,0),0)</f>
        <v>0</v>
      </c>
    </row>
    <row r="1144">
      <c r="A1144" s="71" t="str">
        <f>IF(Y1144=1,ROW()-5,"")</f>
        <v/>
      </c>
      <c r="B1144" s="72" t="n"/>
      <c r="C1144" s="71" t="str">
        <f>IF(ISNUMBER(B1144),CHOOSE(WEEKDAY(B1144,2),"Lun","Mar","Mié","Jue","Vie","Sáb","Dom"),"")</f>
        <v/>
      </c>
      <c r="D1144" s="73" t="n"/>
      <c r="E1144" s="74" t="n"/>
      <c r="F1144" s="74" t="n"/>
      <c r="G1144" s="74" t="n"/>
      <c r="H1144" s="75" t="n"/>
      <c r="I1144" s="75" t="n"/>
      <c r="J1144" s="76" t="n"/>
      <c r="K1144" s="77" t="str">
        <f>IF(AB1144=1,ROUND(AG1144/60,4),"")</f>
        <v/>
      </c>
      <c r="L1144" s="77" t="str">
        <f>IF(BD1144=1,ROUND(AP1144/60,4),"")</f>
        <v/>
      </c>
      <c r="M1144" s="77" t="str">
        <f>IF(BD1144=1,ROUND(AQ1144/60,4),"")</f>
        <v/>
      </c>
      <c r="N1144" s="71" t="str">
        <f>IF(AND(D1144="proMX",AB1144=1),ROUND(AG1144/CFG_BLK,2),"")</f>
        <v/>
      </c>
      <c r="O1144" s="77" t="str">
        <f>IF(D1144="proMX",IF(BD1144=1,ROUND(AG1144/60,4),0),"")</f>
        <v/>
      </c>
      <c r="P1144" s="78" t="str">
        <f>IF(Y1144=0,"",IF(BD1144=1,"OK",IF(D1144="proMX","Revisar bloques: ","Revisar: ")&amp;BC1144))</f>
        <v/>
      </c>
      <c r="Q1144" s="78" t="str">
        <f>IF(NOT(ISNUMBER(B1144)),"",IF(COUNTIFS(FER_F,INT(B1144))&gt;0,"Feriado"&amp;IF(AH1144=1," (laborable)"," (no laborable)"),IF(AH1144=1,"Laborable",IF(WEEKDAY(B1144,2)&gt;5,"Fin de semana","No laborable"))))</f>
        <v/>
      </c>
      <c r="R1144" s="73" t="n"/>
      <c r="S1144" s="72" t="n"/>
      <c r="T1144" s="72" t="n"/>
      <c r="U1144" s="74" t="n"/>
      <c r="V1144" s="79" t="str">
        <f>IF(AND(D1144="proMX",OR(R1144="Submitted",R1144="Recall Requested"),ISNUMBER(S1144)),CFG_TODAY-INT(S1144),"")</f>
        <v/>
      </c>
      <c r="W1144" s="78" t="str">
        <f>IF(BD1144=0,"",IF(BA1144&gt;0,"⚠ Se superpone con un registro de la otra empresa",IF(D1144="Malcolm",IF(COUNTA(R1144,S1144,T1144)&gt;0,"Estado/fechas proMX se ignoran en Malcolm",""),IF(BF1144="Cancelled","Cancelado: excluido de totales",IF(R1144="","Sin estado: se trata como Draft",IF(BF1144="Submitted",IF(ISNUMBER(V1144),IF(V1144&gt;CFG_MAXD,"⚠ "&amp;V1144&amp;" días en Submitted (máx. "&amp;CFG_MAXD&amp;")",""),"Falta fecha de envío"),IF(BF1144="Returned","⚠ Devuelto: corregir y reenviar",IF(BF1144="Recall Requested","Retirada solicitada: pendiente",IF(AND(BF1144="Approved",NOT(ISNUMBER(T1144))),"Falta fecha de aprobación",IF(AND(ISNUMBER(S1144),ISNUMBER(T1144),T1144&lt;S1144),"Aprobación anterior al envío","")))))))))</f>
        <v/>
      </c>
      <c r="Y1144" s="80">
        <f>IF(COUNTA(B1144,D1144,E1144,F1144,G1144,H1144,I1144,J1144,R1144,S1144,T1144)&gt;0,1,0)</f>
        <v>0</v>
      </c>
      <c r="Z1144" s="80" t="str">
        <f>IF(AND(ISNUMBER(H1144),H1144&gt;=0,H1144&lt;1),ROUND(H1144*1440,0),"")</f>
        <v/>
      </c>
      <c r="AA1144" s="80" t="str">
        <f>IF(AND(ISNUMBER(I1144),I1144&gt;=0,I1144&lt;1),ROUND(I1144*1440,0),"")</f>
        <v/>
      </c>
      <c r="AB1144" s="80">
        <f>IF(AND(ISNUMBER(B1144),D1144&lt;&gt;"",ISNUMBER(Z1144),ISNUMBER(AA1144)),IF(Z1144=AA1144,0,1),0)</f>
        <v>0</v>
      </c>
      <c r="AC1144" s="80">
        <f>IF(AB1144=1,IF(AA1144&lt;Z1144,1,0),0)</f>
        <v>0</v>
      </c>
      <c r="AD1144" s="80">
        <f>IF(AB1144=1,IF(AC1144=1,1440-Z1144+AA1144,AA1144-Z1144),0)</f>
        <v>0</v>
      </c>
      <c r="AE1144" s="80">
        <f>IF(J1144="",0,IF(ISNUMBER(J1144),J1144,-1))</f>
        <v>0</v>
      </c>
      <c r="AF1144" s="80">
        <f>MIN(MAX(0,AE1144),AD1144)</f>
        <v>0</v>
      </c>
      <c r="AG1144" s="80">
        <f>MAX(0,AD1144-MAX(0,AE1144))</f>
        <v>0</v>
      </c>
      <c r="AH1144" s="80">
        <f>IF(ISNUMBER(B1144),IF(AND(INDEX(CFG_WDAYS,WEEKDAY(INT(B1144),2))="Sí",IF(D1144="proMX",COUNTIFS(FER_F,INT(B1144),FER_NLP,"Sí"),COUNTIFS(FER_F,INT(B1144),FER_NLM,"Sí"))=0),1,0),0)</f>
        <v>0</v>
      </c>
      <c r="AI1144" s="80">
        <f>IF(AC1144=1,IF(AND(INDEX(CFG_WDAYS,WEEKDAY(INT(B1144)+1,2))="Sí",IF(D1144="proMX",COUNTIFS(FER_F,INT(B1144)+1,FER_NLP,"Sí"),COUNTIFS(FER_F,INT(B1144)+1,FER_NLM,"Sí"))=0),1,0),0)</f>
        <v>0</v>
      </c>
      <c r="AJ1144" s="80">
        <f>IF(AC1144=1,1440-Z1144,AD1144)</f>
        <v>0</v>
      </c>
      <c r="AK1144" s="80">
        <f>IF(AND(AB1144=1,AH1144=1),MAX(0,MIN(IF(AC1144=1,1440,AA1144),CFG_WEM)-MAX(Z1144,CFG_WSM)),0)</f>
        <v>0</v>
      </c>
      <c r="AL1144" s="80">
        <f>IF(AND(AC1144=1,AI1144=1),MAX(0,MIN(AA1144,CFG_WEM)-CFG_WSM),0)</f>
        <v>0</v>
      </c>
      <c r="AM1144" s="80">
        <f>AK1144+AL1144</f>
        <v>0</v>
      </c>
      <c r="AN1144" s="80">
        <f>IF(CFG_BRK="Proporcional",IF(AD1144=0,0,AF1144*AM1144/AD1144),IF(CFG_BRK="Extras primero",MIN(AM1144,MAX(0,AF1144-(AD1144-AM1144))),MIN(AF1144,AM1144)))</f>
        <v>0</v>
      </c>
      <c r="AO1144" s="80">
        <f>AF1144-AN1144</f>
        <v>0</v>
      </c>
      <c r="AP1144" s="80">
        <f>AM1144-AN1144</f>
        <v>0</v>
      </c>
      <c r="AQ1144" s="80">
        <f>AD1144-AM1144-AO1144</f>
        <v>0</v>
      </c>
      <c r="AR1144" s="80">
        <f>IF(AM1144=0,0,AK1144-AN1144*AK1144/AM1144)</f>
        <v>0</v>
      </c>
      <c r="AS1144" s="80">
        <f>IF(AD1144-AM1144=0,0,(AJ1144-AK1144)-AO1144*(AJ1144-AK1144)/(AD1144-AM1144))</f>
        <v>0</v>
      </c>
      <c r="AT1144" s="80" t="str">
        <f>IF(AC1144=1,INT(B1144)+1,"")</f>
        <v/>
      </c>
      <c r="AU1144" s="80">
        <f>IF(AND(D1144="proMX",R1144="Cancelled"),0,1)</f>
        <v>1</v>
      </c>
      <c r="AV1144" s="80">
        <f>IF(AND(AB1144=1,AU1144=1),IF(COUNTIFS($D$5:D1143,D1144,$B$5:B1143,B1144,$Z$5:Z1143,Z1144,$AA$5:AA1143,AA1144,$F$5:F1143,F1144&amp;"",$AU$5:AU1143,1)&gt;0,1,0),0)</f>
        <v>0</v>
      </c>
      <c r="AW1144" s="80" t="str">
        <f>IF(AB1144=1,INT(B1144)*1440+Z1144,"")</f>
        <v/>
      </c>
      <c r="AX1144" s="80" t="str">
        <f>IF(AB1144=1,AW1144+AD1144,"")</f>
        <v/>
      </c>
      <c r="AY1144" s="80">
        <f>IF(AND(AB1144=1,AV1144=0,AU1144=1),1,0)</f>
        <v>0</v>
      </c>
      <c r="AZ1144" s="80">
        <f>IF(AY1144=1,COUNTIFS(R_Emp,D1144,R_SAbs,"&lt;"&amp;AX1144,R_EAbs,"&gt;"&amp;AW1144,R_OKey,1)-1,0)</f>
        <v>0</v>
      </c>
      <c r="BA1144" s="80">
        <f>IF(AY1144=1,COUNTIFS(R_Emp,"&lt;&gt;"&amp;D1144,R_SAbs,"&lt;"&amp;AX1144,R_EAbs,"&gt;"&amp;AW1144,R_OKey,1),0)</f>
        <v>0</v>
      </c>
      <c r="BB1144" s="80">
        <f>IF(AND(AB1144=1,D1144="proMX"),IF(AND(MOD(Z1144,CFG_BLK)=0,MOD(AA1144,CFG_BLK)=0,MOD(AG1144,CFG_BLK)=0,AG1144&gt;0),1,0),1)</f>
        <v>1</v>
      </c>
      <c r="BC1144" s="80" t="str">
        <f>IF(Y1144=0,"",IF(NOT(ISNUMBER(B1144)),"Falta fecha o fecha inválida",IF(D1144="","Falta empresa",IF(AND(D1144&lt;&gt;"Malcolm",D1144&lt;&gt;"proMX"),"Empresa inválida",IF(OR(INT(B1144)&lt;CFG_PSTART,INT(B1144)&gt;CFG_PEND),"Fecha fuera del período",IF(OR(NOT(ISNUMBER(Z1144)),NOT(ISNUMBER(AA1144))),"Falta hora inicio/fin o formato inválido",IF(AB1144=0,"Hora inicio = hora fin",IF(AE1144&lt;0,"Descanso inválido",IF(AE1144&gt;=AD1144,"Descanso ≥ duración",IF(AV1144=1,"Registro duplicado",IF(AZ1144&gt;0,"Se superpone con otro registro "&amp;D1144,IF(BB1144=0,"inicio, fin y duración neta deben ser múltiplos de "&amp;CFG_BLK&amp;" min",""))))))))))))</f>
        <v/>
      </c>
      <c r="BD1144" s="80">
        <f>IF(AND(Y1144=1,BC1144=""),1,0)</f>
        <v>0</v>
      </c>
      <c r="BE1144" s="80">
        <f>IF(AND(BD1144=1,AU1144=1),1,0)</f>
        <v>0</v>
      </c>
      <c r="BF1144" s="80" t="str">
        <f>IF(AND(D1144="proMX",BD1144=1),IF(R1144="","Draft",R1144),"")</f>
        <v/>
      </c>
      <c r="BG1144" s="80">
        <f>IF(BD1144=1,ROUND(AG1144/60,6),0)</f>
        <v>0</v>
      </c>
      <c r="BH1144" s="80">
        <f>IF(BE1144=1,ROUND(AG1144/60,6),0)</f>
        <v>0</v>
      </c>
      <c r="BI1144" s="80">
        <f>IF(BE1144=1,ROUND(AP1144/60,6),0)</f>
        <v>0</v>
      </c>
      <c r="BJ1144" s="80">
        <f>IF(BE1144=1,ROUND(AQ1144/60,6),0)</f>
        <v>0</v>
      </c>
      <c r="BK1144" s="80">
        <f>IF(BE1144=1,ROUND((AR1144+AS1144)/60,6),0)</f>
        <v>0</v>
      </c>
      <c r="BL1144" s="80">
        <f>ROUND(BH1144-BK1144,6)</f>
        <v>0</v>
      </c>
      <c r="BM1144" s="80">
        <f>IF(BE1144=1,ROUND(AR1144/60,6),0)</f>
        <v>0</v>
      </c>
      <c r="BN1144" s="80">
        <f>ROUND(BI1144-BM1144,6)</f>
        <v>0</v>
      </c>
      <c r="BO1144" s="80">
        <f>IF(BE1144=1,ROUND(AS1144/60,6),0)</f>
        <v>0</v>
      </c>
      <c r="BP1144" s="80">
        <f>ROUND(BJ1144-BO1144,6)</f>
        <v>0</v>
      </c>
      <c r="BQ1144" s="80">
        <f>IF(BE1144=1,AW1144,0)</f>
        <v>0</v>
      </c>
      <c r="BR1144" s="80">
        <f>IF(BE1144=1,AX1144,0)</f>
        <v>0</v>
      </c>
      <c r="BS1144" s="80">
        <f>IF(AND(BE1144=1,D1144="Malcolm",BA1144&gt;0),MIN(BH1144,SUMPRODUCT((R_Emp="proMX")*(R_EN&gt;0)*((R_EN-(R_EN&gt;BR1144)*(R_EN-BR1144))&gt;(R_SN+(R_SN&lt;BQ1144)*(BQ1144-R_SN)))*((R_EN-(R_EN&gt;BR1144)*(R_EN-BR1144))-(R_SN+(R_SN&lt;BQ1144)*(BQ1144-R_SN))))/60),0)</f>
        <v>0</v>
      </c>
      <c r="BT1144" s="80">
        <f>IF(AND(BE1144=1,D1144="proMX"),ROUND(BI1144*CFG_RATE+BJ1144*CFG_OTRATE,6),0)</f>
        <v>0</v>
      </c>
      <c r="BU1144" s="80">
        <f>IF(AND(BD1144=1,D1144="proMX"),ROUND(AG1144/CFG_BLK,6),0)</f>
        <v>0</v>
      </c>
      <c r="BV1144" s="80" t="str">
        <f>IF(BF1144="Approved",IF(ISNUMBER(T1144),INT(T1144),INT(B1144)),"")</f>
        <v/>
      </c>
      <c r="BW1144" s="80">
        <f>IF(ISNUMBER(B1144),IF(DB_MON="Todos",1,IF(AND(INT(B1144)&gt;=DB_MS,INT(B1144)&lt;=DB_ME),1,0)),0)</f>
        <v>0</v>
      </c>
      <c r="BX1144" s="80">
        <f>IF(DB_PROJ="Todos",1,IF(E1144&amp;""=DB_PROJ&amp;"",1,0))</f>
        <v>1</v>
      </c>
      <c r="BY1144" s="80">
        <f>BW1144*BX1144</f>
        <v>0</v>
      </c>
      <c r="BZ1144" s="80" t="str">
        <f>IF(Y1144=1,F1144&amp;IF(AND(F1144&amp;""&lt;&gt;"",E1144&amp;""&lt;&gt;"")," · ","")&amp;E1144,"")</f>
        <v/>
      </c>
      <c r="CA1144" s="80" t="str">
        <f>IF(AND(BD1144=1,E1144&amp;""&lt;&gt;""),IF(COUNTIFS($E$5:E1143,E1144,$BD$5:BD1143,1)=0,MAX($CA$5:CA1143)+1,""),"")</f>
        <v/>
      </c>
      <c r="CB1144" s="80" t="str">
        <f>IF(AND(BE1144=1,D1144="Malcolm",E1144&amp;""&lt;&gt;""),IF(COUNTIFS($D$5:D1143,"Malcolm",$E$5:E1143,E1144,$BE$5:BE1143,1)=0,MAX($CB$5:CB1143)+1,""),"")</f>
        <v/>
      </c>
      <c r="CC1144" s="80" t="str">
        <f>IF(AND(BD1144=1,D1144="proMX",E1144&amp;""&lt;&gt;""),IF(COUNTIFS($D$5:D1143,"proMX",$E$5:E1143,E1144,$BD$5:BD1143,1)=0,MAX($CC$5:CC1143)+1,""),"")</f>
        <v/>
      </c>
      <c r="CD1144" s="80" t="str">
        <f>IF(AND(BE1144=1,D1144="Malcolm",F1144&amp;""&lt;&gt;""),IF(COUNTIFS($D$5:D1143,"Malcolm",$F$5:F1143,F1144,$BE$5:BE1143,1)=0,MAX($CD$5:CD1143)+1,""),"")</f>
        <v/>
      </c>
      <c r="CE1144" s="80" t="str">
        <f>IF(AND(BD1144=1,D1144="proMX",F1144&amp;""&lt;&gt;""),IF(COUNTIFS($D$5:D1143,"proMX",$F$5:F1143,F1144,$BD$5:BD1143,1)=0,MAX($CE$5:CE1143)+1,""),"")</f>
        <v/>
      </c>
      <c r="CF1144" s="80" t="str">
        <f>IF(AND(D1144="proMX",BD1144=1),IF(OR(BF1144="Draft",BF1144="Submitted",BF1144="Returned",BF1144="Recall Requested"),MAX($CF$5:CF1143)+1,""),"")</f>
        <v/>
      </c>
      <c r="CG1144" s="80">
        <f>IF(BD1144=0,0,IF(D1144="Malcolm",1,MATCH(BF1144,{"Draft","Submitted","Approved","Returned","Recall Requested","Cancelled"},0)+1))</f>
        <v>0</v>
      </c>
      <c r="CH1144" s="80">
        <f>IF(AND(BF1144="Submitted",ISNUMBER(V1144)),IF(V1144&gt;CFG_MAXD,1,0),0)</f>
        <v>0</v>
      </c>
    </row>
    <row r="1145">
      <c r="A1145" s="71" t="str">
        <f>IF(Y1145=1,ROW()-5,"")</f>
        <v/>
      </c>
      <c r="B1145" s="72" t="n"/>
      <c r="C1145" s="71" t="str">
        <f>IF(ISNUMBER(B1145),CHOOSE(WEEKDAY(B1145,2),"Lun","Mar","Mié","Jue","Vie","Sáb","Dom"),"")</f>
        <v/>
      </c>
      <c r="D1145" s="73" t="n"/>
      <c r="E1145" s="74" t="n"/>
      <c r="F1145" s="74" t="n"/>
      <c r="G1145" s="74" t="n"/>
      <c r="H1145" s="75" t="n"/>
      <c r="I1145" s="75" t="n"/>
      <c r="J1145" s="76" t="n"/>
      <c r="K1145" s="77" t="str">
        <f>IF(AB1145=1,ROUND(AG1145/60,4),"")</f>
        <v/>
      </c>
      <c r="L1145" s="77" t="str">
        <f>IF(BD1145=1,ROUND(AP1145/60,4),"")</f>
        <v/>
      </c>
      <c r="M1145" s="77" t="str">
        <f>IF(BD1145=1,ROUND(AQ1145/60,4),"")</f>
        <v/>
      </c>
      <c r="N1145" s="71" t="str">
        <f>IF(AND(D1145="proMX",AB1145=1),ROUND(AG1145/CFG_BLK,2),"")</f>
        <v/>
      </c>
      <c r="O1145" s="77" t="str">
        <f>IF(D1145="proMX",IF(BD1145=1,ROUND(AG1145/60,4),0),"")</f>
        <v/>
      </c>
      <c r="P1145" s="78" t="str">
        <f>IF(Y1145=0,"",IF(BD1145=1,"OK",IF(D1145="proMX","Revisar bloques: ","Revisar: ")&amp;BC1145))</f>
        <v/>
      </c>
      <c r="Q1145" s="78" t="str">
        <f>IF(NOT(ISNUMBER(B1145)),"",IF(COUNTIFS(FER_F,INT(B1145))&gt;0,"Feriado"&amp;IF(AH1145=1," (laborable)"," (no laborable)"),IF(AH1145=1,"Laborable",IF(WEEKDAY(B1145,2)&gt;5,"Fin de semana","No laborable"))))</f>
        <v/>
      </c>
      <c r="R1145" s="73" t="n"/>
      <c r="S1145" s="72" t="n"/>
      <c r="T1145" s="72" t="n"/>
      <c r="U1145" s="74" t="n"/>
      <c r="V1145" s="79" t="str">
        <f>IF(AND(D1145="proMX",OR(R1145="Submitted",R1145="Recall Requested"),ISNUMBER(S1145)),CFG_TODAY-INT(S1145),"")</f>
        <v/>
      </c>
      <c r="W1145" s="78" t="str">
        <f>IF(BD1145=0,"",IF(BA1145&gt;0,"⚠ Se superpone con un registro de la otra empresa",IF(D1145="Malcolm",IF(COUNTA(R1145,S1145,T1145)&gt;0,"Estado/fechas proMX se ignoran en Malcolm",""),IF(BF1145="Cancelled","Cancelado: excluido de totales",IF(R1145="","Sin estado: se trata como Draft",IF(BF1145="Submitted",IF(ISNUMBER(V1145),IF(V1145&gt;CFG_MAXD,"⚠ "&amp;V1145&amp;" días en Submitted (máx. "&amp;CFG_MAXD&amp;")",""),"Falta fecha de envío"),IF(BF1145="Returned","⚠ Devuelto: corregir y reenviar",IF(BF1145="Recall Requested","Retirada solicitada: pendiente",IF(AND(BF1145="Approved",NOT(ISNUMBER(T1145))),"Falta fecha de aprobación",IF(AND(ISNUMBER(S1145),ISNUMBER(T1145),T1145&lt;S1145),"Aprobación anterior al envío","")))))))))</f>
        <v/>
      </c>
      <c r="Y1145" s="80">
        <f>IF(COUNTA(B1145,D1145,E1145,F1145,G1145,H1145,I1145,J1145,R1145,S1145,T1145)&gt;0,1,0)</f>
        <v>0</v>
      </c>
      <c r="Z1145" s="80" t="str">
        <f>IF(AND(ISNUMBER(H1145),H1145&gt;=0,H1145&lt;1),ROUND(H1145*1440,0),"")</f>
        <v/>
      </c>
      <c r="AA1145" s="80" t="str">
        <f>IF(AND(ISNUMBER(I1145),I1145&gt;=0,I1145&lt;1),ROUND(I1145*1440,0),"")</f>
        <v/>
      </c>
      <c r="AB1145" s="80">
        <f>IF(AND(ISNUMBER(B1145),D1145&lt;&gt;"",ISNUMBER(Z1145),ISNUMBER(AA1145)),IF(Z1145=AA1145,0,1),0)</f>
        <v>0</v>
      </c>
      <c r="AC1145" s="80">
        <f>IF(AB1145=1,IF(AA1145&lt;Z1145,1,0),0)</f>
        <v>0</v>
      </c>
      <c r="AD1145" s="80">
        <f>IF(AB1145=1,IF(AC1145=1,1440-Z1145+AA1145,AA1145-Z1145),0)</f>
        <v>0</v>
      </c>
      <c r="AE1145" s="80">
        <f>IF(J1145="",0,IF(ISNUMBER(J1145),J1145,-1))</f>
        <v>0</v>
      </c>
      <c r="AF1145" s="80">
        <f>MIN(MAX(0,AE1145),AD1145)</f>
        <v>0</v>
      </c>
      <c r="AG1145" s="80">
        <f>MAX(0,AD1145-MAX(0,AE1145))</f>
        <v>0</v>
      </c>
      <c r="AH1145" s="80">
        <f>IF(ISNUMBER(B1145),IF(AND(INDEX(CFG_WDAYS,WEEKDAY(INT(B1145),2))="Sí",IF(D1145="proMX",COUNTIFS(FER_F,INT(B1145),FER_NLP,"Sí"),COUNTIFS(FER_F,INT(B1145),FER_NLM,"Sí"))=0),1,0),0)</f>
        <v>0</v>
      </c>
      <c r="AI1145" s="80">
        <f>IF(AC1145=1,IF(AND(INDEX(CFG_WDAYS,WEEKDAY(INT(B1145)+1,2))="Sí",IF(D1145="proMX",COUNTIFS(FER_F,INT(B1145)+1,FER_NLP,"Sí"),COUNTIFS(FER_F,INT(B1145)+1,FER_NLM,"Sí"))=0),1,0),0)</f>
        <v>0</v>
      </c>
      <c r="AJ1145" s="80">
        <f>IF(AC1145=1,1440-Z1145,AD1145)</f>
        <v>0</v>
      </c>
      <c r="AK1145" s="80">
        <f>IF(AND(AB1145=1,AH1145=1),MAX(0,MIN(IF(AC1145=1,1440,AA1145),CFG_WEM)-MAX(Z1145,CFG_WSM)),0)</f>
        <v>0</v>
      </c>
      <c r="AL1145" s="80">
        <f>IF(AND(AC1145=1,AI1145=1),MAX(0,MIN(AA1145,CFG_WEM)-CFG_WSM),0)</f>
        <v>0</v>
      </c>
      <c r="AM1145" s="80">
        <f>AK1145+AL1145</f>
        <v>0</v>
      </c>
      <c r="AN1145" s="80">
        <f>IF(CFG_BRK="Proporcional",IF(AD1145=0,0,AF1145*AM1145/AD1145),IF(CFG_BRK="Extras primero",MIN(AM1145,MAX(0,AF1145-(AD1145-AM1145))),MIN(AF1145,AM1145)))</f>
        <v>0</v>
      </c>
      <c r="AO1145" s="80">
        <f>AF1145-AN1145</f>
        <v>0</v>
      </c>
      <c r="AP1145" s="80">
        <f>AM1145-AN1145</f>
        <v>0</v>
      </c>
      <c r="AQ1145" s="80">
        <f>AD1145-AM1145-AO1145</f>
        <v>0</v>
      </c>
      <c r="AR1145" s="80">
        <f>IF(AM1145=0,0,AK1145-AN1145*AK1145/AM1145)</f>
        <v>0</v>
      </c>
      <c r="AS1145" s="80">
        <f>IF(AD1145-AM1145=0,0,(AJ1145-AK1145)-AO1145*(AJ1145-AK1145)/(AD1145-AM1145))</f>
        <v>0</v>
      </c>
      <c r="AT1145" s="80" t="str">
        <f>IF(AC1145=1,INT(B1145)+1,"")</f>
        <v/>
      </c>
      <c r="AU1145" s="80">
        <f>IF(AND(D1145="proMX",R1145="Cancelled"),0,1)</f>
        <v>1</v>
      </c>
      <c r="AV1145" s="80">
        <f>IF(AND(AB1145=1,AU1145=1),IF(COUNTIFS($D$5:D1144,D1145,$B$5:B1144,B1145,$Z$5:Z1144,Z1145,$AA$5:AA1144,AA1145,$F$5:F1144,F1145&amp;"",$AU$5:AU1144,1)&gt;0,1,0),0)</f>
        <v>0</v>
      </c>
      <c r="AW1145" s="80" t="str">
        <f>IF(AB1145=1,INT(B1145)*1440+Z1145,"")</f>
        <v/>
      </c>
      <c r="AX1145" s="80" t="str">
        <f>IF(AB1145=1,AW1145+AD1145,"")</f>
        <v/>
      </c>
      <c r="AY1145" s="80">
        <f>IF(AND(AB1145=1,AV1145=0,AU1145=1),1,0)</f>
        <v>0</v>
      </c>
      <c r="AZ1145" s="80">
        <f>IF(AY1145=1,COUNTIFS(R_Emp,D1145,R_SAbs,"&lt;"&amp;AX1145,R_EAbs,"&gt;"&amp;AW1145,R_OKey,1)-1,0)</f>
        <v>0</v>
      </c>
      <c r="BA1145" s="80">
        <f>IF(AY1145=1,COUNTIFS(R_Emp,"&lt;&gt;"&amp;D1145,R_SAbs,"&lt;"&amp;AX1145,R_EAbs,"&gt;"&amp;AW1145,R_OKey,1),0)</f>
        <v>0</v>
      </c>
      <c r="BB1145" s="80">
        <f>IF(AND(AB1145=1,D1145="proMX"),IF(AND(MOD(Z1145,CFG_BLK)=0,MOD(AA1145,CFG_BLK)=0,MOD(AG1145,CFG_BLK)=0,AG1145&gt;0),1,0),1)</f>
        <v>1</v>
      </c>
      <c r="BC1145" s="80" t="str">
        <f>IF(Y1145=0,"",IF(NOT(ISNUMBER(B1145)),"Falta fecha o fecha inválida",IF(D1145="","Falta empresa",IF(AND(D1145&lt;&gt;"Malcolm",D1145&lt;&gt;"proMX"),"Empresa inválida",IF(OR(INT(B1145)&lt;CFG_PSTART,INT(B1145)&gt;CFG_PEND),"Fecha fuera del período",IF(OR(NOT(ISNUMBER(Z1145)),NOT(ISNUMBER(AA1145))),"Falta hora inicio/fin o formato inválido",IF(AB1145=0,"Hora inicio = hora fin",IF(AE1145&lt;0,"Descanso inválido",IF(AE1145&gt;=AD1145,"Descanso ≥ duración",IF(AV1145=1,"Registro duplicado",IF(AZ1145&gt;0,"Se superpone con otro registro "&amp;D1145,IF(BB1145=0,"inicio, fin y duración neta deben ser múltiplos de "&amp;CFG_BLK&amp;" min",""))))))))))))</f>
        <v/>
      </c>
      <c r="BD1145" s="80">
        <f>IF(AND(Y1145=1,BC1145=""),1,0)</f>
        <v>0</v>
      </c>
      <c r="BE1145" s="80">
        <f>IF(AND(BD1145=1,AU1145=1),1,0)</f>
        <v>0</v>
      </c>
      <c r="BF1145" s="80" t="str">
        <f>IF(AND(D1145="proMX",BD1145=1),IF(R1145="","Draft",R1145),"")</f>
        <v/>
      </c>
      <c r="BG1145" s="80">
        <f>IF(BD1145=1,ROUND(AG1145/60,6),0)</f>
        <v>0</v>
      </c>
      <c r="BH1145" s="80">
        <f>IF(BE1145=1,ROUND(AG1145/60,6),0)</f>
        <v>0</v>
      </c>
      <c r="BI1145" s="80">
        <f>IF(BE1145=1,ROUND(AP1145/60,6),0)</f>
        <v>0</v>
      </c>
      <c r="BJ1145" s="80">
        <f>IF(BE1145=1,ROUND(AQ1145/60,6),0)</f>
        <v>0</v>
      </c>
      <c r="BK1145" s="80">
        <f>IF(BE1145=1,ROUND((AR1145+AS1145)/60,6),0)</f>
        <v>0</v>
      </c>
      <c r="BL1145" s="80">
        <f>ROUND(BH1145-BK1145,6)</f>
        <v>0</v>
      </c>
      <c r="BM1145" s="80">
        <f>IF(BE1145=1,ROUND(AR1145/60,6),0)</f>
        <v>0</v>
      </c>
      <c r="BN1145" s="80">
        <f>ROUND(BI1145-BM1145,6)</f>
        <v>0</v>
      </c>
      <c r="BO1145" s="80">
        <f>IF(BE1145=1,ROUND(AS1145/60,6),0)</f>
        <v>0</v>
      </c>
      <c r="BP1145" s="80">
        <f>ROUND(BJ1145-BO1145,6)</f>
        <v>0</v>
      </c>
      <c r="BQ1145" s="80">
        <f>IF(BE1145=1,AW1145,0)</f>
        <v>0</v>
      </c>
      <c r="BR1145" s="80">
        <f>IF(BE1145=1,AX1145,0)</f>
        <v>0</v>
      </c>
      <c r="BS1145" s="80">
        <f>IF(AND(BE1145=1,D1145="Malcolm",BA1145&gt;0),MIN(BH1145,SUMPRODUCT((R_Emp="proMX")*(R_EN&gt;0)*((R_EN-(R_EN&gt;BR1145)*(R_EN-BR1145))&gt;(R_SN+(R_SN&lt;BQ1145)*(BQ1145-R_SN)))*((R_EN-(R_EN&gt;BR1145)*(R_EN-BR1145))-(R_SN+(R_SN&lt;BQ1145)*(BQ1145-R_SN))))/60),0)</f>
        <v>0</v>
      </c>
      <c r="BT1145" s="80">
        <f>IF(AND(BE1145=1,D1145="proMX"),ROUND(BI1145*CFG_RATE+BJ1145*CFG_OTRATE,6),0)</f>
        <v>0</v>
      </c>
      <c r="BU1145" s="80">
        <f>IF(AND(BD1145=1,D1145="proMX"),ROUND(AG1145/CFG_BLK,6),0)</f>
        <v>0</v>
      </c>
      <c r="BV1145" s="80" t="str">
        <f>IF(BF1145="Approved",IF(ISNUMBER(T1145),INT(T1145),INT(B1145)),"")</f>
        <v/>
      </c>
      <c r="BW1145" s="80">
        <f>IF(ISNUMBER(B1145),IF(DB_MON="Todos",1,IF(AND(INT(B1145)&gt;=DB_MS,INT(B1145)&lt;=DB_ME),1,0)),0)</f>
        <v>0</v>
      </c>
      <c r="BX1145" s="80">
        <f>IF(DB_PROJ="Todos",1,IF(E1145&amp;""=DB_PROJ&amp;"",1,0))</f>
        <v>1</v>
      </c>
      <c r="BY1145" s="80">
        <f>BW1145*BX1145</f>
        <v>0</v>
      </c>
      <c r="BZ1145" s="80" t="str">
        <f>IF(Y1145=1,F1145&amp;IF(AND(F1145&amp;""&lt;&gt;"",E1145&amp;""&lt;&gt;"")," · ","")&amp;E1145,"")</f>
        <v/>
      </c>
      <c r="CA1145" s="80" t="str">
        <f>IF(AND(BD1145=1,E1145&amp;""&lt;&gt;""),IF(COUNTIFS($E$5:E1144,E1145,$BD$5:BD1144,1)=0,MAX($CA$5:CA1144)+1,""),"")</f>
        <v/>
      </c>
      <c r="CB1145" s="80" t="str">
        <f>IF(AND(BE1145=1,D1145="Malcolm",E1145&amp;""&lt;&gt;""),IF(COUNTIFS($D$5:D1144,"Malcolm",$E$5:E1144,E1145,$BE$5:BE1144,1)=0,MAX($CB$5:CB1144)+1,""),"")</f>
        <v/>
      </c>
      <c r="CC1145" s="80" t="str">
        <f>IF(AND(BD1145=1,D1145="proMX",E1145&amp;""&lt;&gt;""),IF(COUNTIFS($D$5:D1144,"proMX",$E$5:E1144,E1145,$BD$5:BD1144,1)=0,MAX($CC$5:CC1144)+1,""),"")</f>
        <v/>
      </c>
      <c r="CD1145" s="80" t="str">
        <f>IF(AND(BE1145=1,D1145="Malcolm",F1145&amp;""&lt;&gt;""),IF(COUNTIFS($D$5:D1144,"Malcolm",$F$5:F1144,F1145,$BE$5:BE1144,1)=0,MAX($CD$5:CD1144)+1,""),"")</f>
        <v/>
      </c>
      <c r="CE1145" s="80" t="str">
        <f>IF(AND(BD1145=1,D1145="proMX",F1145&amp;""&lt;&gt;""),IF(COUNTIFS($D$5:D1144,"proMX",$F$5:F1144,F1145,$BD$5:BD1144,1)=0,MAX($CE$5:CE1144)+1,""),"")</f>
        <v/>
      </c>
      <c r="CF1145" s="80" t="str">
        <f>IF(AND(D1145="proMX",BD1145=1),IF(OR(BF1145="Draft",BF1145="Submitted",BF1145="Returned",BF1145="Recall Requested"),MAX($CF$5:CF1144)+1,""),"")</f>
        <v/>
      </c>
      <c r="CG1145" s="80">
        <f>IF(BD1145=0,0,IF(D1145="Malcolm",1,MATCH(BF1145,{"Draft","Submitted","Approved","Returned","Recall Requested","Cancelled"},0)+1))</f>
        <v>0</v>
      </c>
      <c r="CH1145" s="80">
        <f>IF(AND(BF1145="Submitted",ISNUMBER(V1145)),IF(V1145&gt;CFG_MAXD,1,0),0)</f>
        <v>0</v>
      </c>
    </row>
    <row r="1146">
      <c r="A1146" s="71" t="str">
        <f>IF(Y1146=1,ROW()-5,"")</f>
        <v/>
      </c>
      <c r="B1146" s="72" t="n"/>
      <c r="C1146" s="71" t="str">
        <f>IF(ISNUMBER(B1146),CHOOSE(WEEKDAY(B1146,2),"Lun","Mar","Mié","Jue","Vie","Sáb","Dom"),"")</f>
        <v/>
      </c>
      <c r="D1146" s="73" t="n"/>
      <c r="E1146" s="74" t="n"/>
      <c r="F1146" s="74" t="n"/>
      <c r="G1146" s="74" t="n"/>
      <c r="H1146" s="75" t="n"/>
      <c r="I1146" s="75" t="n"/>
      <c r="J1146" s="76" t="n"/>
      <c r="K1146" s="77" t="str">
        <f>IF(AB1146=1,ROUND(AG1146/60,4),"")</f>
        <v/>
      </c>
      <c r="L1146" s="77" t="str">
        <f>IF(BD1146=1,ROUND(AP1146/60,4),"")</f>
        <v/>
      </c>
      <c r="M1146" s="77" t="str">
        <f>IF(BD1146=1,ROUND(AQ1146/60,4),"")</f>
        <v/>
      </c>
      <c r="N1146" s="71" t="str">
        <f>IF(AND(D1146="proMX",AB1146=1),ROUND(AG1146/CFG_BLK,2),"")</f>
        <v/>
      </c>
      <c r="O1146" s="77" t="str">
        <f>IF(D1146="proMX",IF(BD1146=1,ROUND(AG1146/60,4),0),"")</f>
        <v/>
      </c>
      <c r="P1146" s="78" t="str">
        <f>IF(Y1146=0,"",IF(BD1146=1,"OK",IF(D1146="proMX","Revisar bloques: ","Revisar: ")&amp;BC1146))</f>
        <v/>
      </c>
      <c r="Q1146" s="78" t="str">
        <f>IF(NOT(ISNUMBER(B1146)),"",IF(COUNTIFS(FER_F,INT(B1146))&gt;0,"Feriado"&amp;IF(AH1146=1," (laborable)"," (no laborable)"),IF(AH1146=1,"Laborable",IF(WEEKDAY(B1146,2)&gt;5,"Fin de semana","No laborable"))))</f>
        <v/>
      </c>
      <c r="R1146" s="73" t="n"/>
      <c r="S1146" s="72" t="n"/>
      <c r="T1146" s="72" t="n"/>
      <c r="U1146" s="74" t="n"/>
      <c r="V1146" s="79" t="str">
        <f>IF(AND(D1146="proMX",OR(R1146="Submitted",R1146="Recall Requested"),ISNUMBER(S1146)),CFG_TODAY-INT(S1146),"")</f>
        <v/>
      </c>
      <c r="W1146" s="78" t="str">
        <f>IF(BD1146=0,"",IF(BA1146&gt;0,"⚠ Se superpone con un registro de la otra empresa",IF(D1146="Malcolm",IF(COUNTA(R1146,S1146,T1146)&gt;0,"Estado/fechas proMX se ignoran en Malcolm",""),IF(BF1146="Cancelled","Cancelado: excluido de totales",IF(R1146="","Sin estado: se trata como Draft",IF(BF1146="Submitted",IF(ISNUMBER(V1146),IF(V1146&gt;CFG_MAXD,"⚠ "&amp;V1146&amp;" días en Submitted (máx. "&amp;CFG_MAXD&amp;")",""),"Falta fecha de envío"),IF(BF1146="Returned","⚠ Devuelto: corregir y reenviar",IF(BF1146="Recall Requested","Retirada solicitada: pendiente",IF(AND(BF1146="Approved",NOT(ISNUMBER(T1146))),"Falta fecha de aprobación",IF(AND(ISNUMBER(S1146),ISNUMBER(T1146),T1146&lt;S1146),"Aprobación anterior al envío","")))))))))</f>
        <v/>
      </c>
      <c r="Y1146" s="80">
        <f>IF(COUNTA(B1146,D1146,E1146,F1146,G1146,H1146,I1146,J1146,R1146,S1146,T1146)&gt;0,1,0)</f>
        <v>0</v>
      </c>
      <c r="Z1146" s="80" t="str">
        <f>IF(AND(ISNUMBER(H1146),H1146&gt;=0,H1146&lt;1),ROUND(H1146*1440,0),"")</f>
        <v/>
      </c>
      <c r="AA1146" s="80" t="str">
        <f>IF(AND(ISNUMBER(I1146),I1146&gt;=0,I1146&lt;1),ROUND(I1146*1440,0),"")</f>
        <v/>
      </c>
      <c r="AB1146" s="80">
        <f>IF(AND(ISNUMBER(B1146),D1146&lt;&gt;"",ISNUMBER(Z1146),ISNUMBER(AA1146)),IF(Z1146=AA1146,0,1),0)</f>
        <v>0</v>
      </c>
      <c r="AC1146" s="80">
        <f>IF(AB1146=1,IF(AA1146&lt;Z1146,1,0),0)</f>
        <v>0</v>
      </c>
      <c r="AD1146" s="80">
        <f>IF(AB1146=1,IF(AC1146=1,1440-Z1146+AA1146,AA1146-Z1146),0)</f>
        <v>0</v>
      </c>
      <c r="AE1146" s="80">
        <f>IF(J1146="",0,IF(ISNUMBER(J1146),J1146,-1))</f>
        <v>0</v>
      </c>
      <c r="AF1146" s="80">
        <f>MIN(MAX(0,AE1146),AD1146)</f>
        <v>0</v>
      </c>
      <c r="AG1146" s="80">
        <f>MAX(0,AD1146-MAX(0,AE1146))</f>
        <v>0</v>
      </c>
      <c r="AH1146" s="80">
        <f>IF(ISNUMBER(B1146),IF(AND(INDEX(CFG_WDAYS,WEEKDAY(INT(B1146),2))="Sí",IF(D1146="proMX",COUNTIFS(FER_F,INT(B1146),FER_NLP,"Sí"),COUNTIFS(FER_F,INT(B1146),FER_NLM,"Sí"))=0),1,0),0)</f>
        <v>0</v>
      </c>
      <c r="AI1146" s="80">
        <f>IF(AC1146=1,IF(AND(INDEX(CFG_WDAYS,WEEKDAY(INT(B1146)+1,2))="Sí",IF(D1146="proMX",COUNTIFS(FER_F,INT(B1146)+1,FER_NLP,"Sí"),COUNTIFS(FER_F,INT(B1146)+1,FER_NLM,"Sí"))=0),1,0),0)</f>
        <v>0</v>
      </c>
      <c r="AJ1146" s="80">
        <f>IF(AC1146=1,1440-Z1146,AD1146)</f>
        <v>0</v>
      </c>
      <c r="AK1146" s="80">
        <f>IF(AND(AB1146=1,AH1146=1),MAX(0,MIN(IF(AC1146=1,1440,AA1146),CFG_WEM)-MAX(Z1146,CFG_WSM)),0)</f>
        <v>0</v>
      </c>
      <c r="AL1146" s="80">
        <f>IF(AND(AC1146=1,AI1146=1),MAX(0,MIN(AA1146,CFG_WEM)-CFG_WSM),0)</f>
        <v>0</v>
      </c>
      <c r="AM1146" s="80">
        <f>AK1146+AL1146</f>
        <v>0</v>
      </c>
      <c r="AN1146" s="80">
        <f>IF(CFG_BRK="Proporcional",IF(AD1146=0,0,AF1146*AM1146/AD1146),IF(CFG_BRK="Extras primero",MIN(AM1146,MAX(0,AF1146-(AD1146-AM1146))),MIN(AF1146,AM1146)))</f>
        <v>0</v>
      </c>
      <c r="AO1146" s="80">
        <f>AF1146-AN1146</f>
        <v>0</v>
      </c>
      <c r="AP1146" s="80">
        <f>AM1146-AN1146</f>
        <v>0</v>
      </c>
      <c r="AQ1146" s="80">
        <f>AD1146-AM1146-AO1146</f>
        <v>0</v>
      </c>
      <c r="AR1146" s="80">
        <f>IF(AM1146=0,0,AK1146-AN1146*AK1146/AM1146)</f>
        <v>0</v>
      </c>
      <c r="AS1146" s="80">
        <f>IF(AD1146-AM1146=0,0,(AJ1146-AK1146)-AO1146*(AJ1146-AK1146)/(AD1146-AM1146))</f>
        <v>0</v>
      </c>
      <c r="AT1146" s="80" t="str">
        <f>IF(AC1146=1,INT(B1146)+1,"")</f>
        <v/>
      </c>
      <c r="AU1146" s="80">
        <f>IF(AND(D1146="proMX",R1146="Cancelled"),0,1)</f>
        <v>1</v>
      </c>
      <c r="AV1146" s="80">
        <f>IF(AND(AB1146=1,AU1146=1),IF(COUNTIFS($D$5:D1145,D1146,$B$5:B1145,B1146,$Z$5:Z1145,Z1146,$AA$5:AA1145,AA1146,$F$5:F1145,F1146&amp;"",$AU$5:AU1145,1)&gt;0,1,0),0)</f>
        <v>0</v>
      </c>
      <c r="AW1146" s="80" t="str">
        <f>IF(AB1146=1,INT(B1146)*1440+Z1146,"")</f>
        <v/>
      </c>
      <c r="AX1146" s="80" t="str">
        <f>IF(AB1146=1,AW1146+AD1146,"")</f>
        <v/>
      </c>
      <c r="AY1146" s="80">
        <f>IF(AND(AB1146=1,AV1146=0,AU1146=1),1,0)</f>
        <v>0</v>
      </c>
      <c r="AZ1146" s="80">
        <f>IF(AY1146=1,COUNTIFS(R_Emp,D1146,R_SAbs,"&lt;"&amp;AX1146,R_EAbs,"&gt;"&amp;AW1146,R_OKey,1)-1,0)</f>
        <v>0</v>
      </c>
      <c r="BA1146" s="80">
        <f>IF(AY1146=1,COUNTIFS(R_Emp,"&lt;&gt;"&amp;D1146,R_SAbs,"&lt;"&amp;AX1146,R_EAbs,"&gt;"&amp;AW1146,R_OKey,1),0)</f>
        <v>0</v>
      </c>
      <c r="BB1146" s="80">
        <f>IF(AND(AB1146=1,D1146="proMX"),IF(AND(MOD(Z1146,CFG_BLK)=0,MOD(AA1146,CFG_BLK)=0,MOD(AG1146,CFG_BLK)=0,AG1146&gt;0),1,0),1)</f>
        <v>1</v>
      </c>
      <c r="BC1146" s="80" t="str">
        <f>IF(Y1146=0,"",IF(NOT(ISNUMBER(B1146)),"Falta fecha o fecha inválida",IF(D1146="","Falta empresa",IF(AND(D1146&lt;&gt;"Malcolm",D1146&lt;&gt;"proMX"),"Empresa inválida",IF(OR(INT(B1146)&lt;CFG_PSTART,INT(B1146)&gt;CFG_PEND),"Fecha fuera del período",IF(OR(NOT(ISNUMBER(Z1146)),NOT(ISNUMBER(AA1146))),"Falta hora inicio/fin o formato inválido",IF(AB1146=0,"Hora inicio = hora fin",IF(AE1146&lt;0,"Descanso inválido",IF(AE1146&gt;=AD1146,"Descanso ≥ duración",IF(AV1146=1,"Registro duplicado",IF(AZ1146&gt;0,"Se superpone con otro registro "&amp;D1146,IF(BB1146=0,"inicio, fin y duración neta deben ser múltiplos de "&amp;CFG_BLK&amp;" min",""))))))))))))</f>
        <v/>
      </c>
      <c r="BD1146" s="80">
        <f>IF(AND(Y1146=1,BC1146=""),1,0)</f>
        <v>0</v>
      </c>
      <c r="BE1146" s="80">
        <f>IF(AND(BD1146=1,AU1146=1),1,0)</f>
        <v>0</v>
      </c>
      <c r="BF1146" s="80" t="str">
        <f>IF(AND(D1146="proMX",BD1146=1),IF(R1146="","Draft",R1146),"")</f>
        <v/>
      </c>
      <c r="BG1146" s="80">
        <f>IF(BD1146=1,ROUND(AG1146/60,6),0)</f>
        <v>0</v>
      </c>
      <c r="BH1146" s="80">
        <f>IF(BE1146=1,ROUND(AG1146/60,6),0)</f>
        <v>0</v>
      </c>
      <c r="BI1146" s="80">
        <f>IF(BE1146=1,ROUND(AP1146/60,6),0)</f>
        <v>0</v>
      </c>
      <c r="BJ1146" s="80">
        <f>IF(BE1146=1,ROUND(AQ1146/60,6),0)</f>
        <v>0</v>
      </c>
      <c r="BK1146" s="80">
        <f>IF(BE1146=1,ROUND((AR1146+AS1146)/60,6),0)</f>
        <v>0</v>
      </c>
      <c r="BL1146" s="80">
        <f>ROUND(BH1146-BK1146,6)</f>
        <v>0</v>
      </c>
      <c r="BM1146" s="80">
        <f>IF(BE1146=1,ROUND(AR1146/60,6),0)</f>
        <v>0</v>
      </c>
      <c r="BN1146" s="80">
        <f>ROUND(BI1146-BM1146,6)</f>
        <v>0</v>
      </c>
      <c r="BO1146" s="80">
        <f>IF(BE1146=1,ROUND(AS1146/60,6),0)</f>
        <v>0</v>
      </c>
      <c r="BP1146" s="80">
        <f>ROUND(BJ1146-BO1146,6)</f>
        <v>0</v>
      </c>
      <c r="BQ1146" s="80">
        <f>IF(BE1146=1,AW1146,0)</f>
        <v>0</v>
      </c>
      <c r="BR1146" s="80">
        <f>IF(BE1146=1,AX1146,0)</f>
        <v>0</v>
      </c>
      <c r="BS1146" s="80">
        <f>IF(AND(BE1146=1,D1146="Malcolm",BA1146&gt;0),MIN(BH1146,SUMPRODUCT((R_Emp="proMX")*(R_EN&gt;0)*((R_EN-(R_EN&gt;BR1146)*(R_EN-BR1146))&gt;(R_SN+(R_SN&lt;BQ1146)*(BQ1146-R_SN)))*((R_EN-(R_EN&gt;BR1146)*(R_EN-BR1146))-(R_SN+(R_SN&lt;BQ1146)*(BQ1146-R_SN))))/60),0)</f>
        <v>0</v>
      </c>
      <c r="BT1146" s="80">
        <f>IF(AND(BE1146=1,D1146="proMX"),ROUND(BI1146*CFG_RATE+BJ1146*CFG_OTRATE,6),0)</f>
        <v>0</v>
      </c>
      <c r="BU1146" s="80">
        <f>IF(AND(BD1146=1,D1146="proMX"),ROUND(AG1146/CFG_BLK,6),0)</f>
        <v>0</v>
      </c>
      <c r="BV1146" s="80" t="str">
        <f>IF(BF1146="Approved",IF(ISNUMBER(T1146),INT(T1146),INT(B1146)),"")</f>
        <v/>
      </c>
      <c r="BW1146" s="80">
        <f>IF(ISNUMBER(B1146),IF(DB_MON="Todos",1,IF(AND(INT(B1146)&gt;=DB_MS,INT(B1146)&lt;=DB_ME),1,0)),0)</f>
        <v>0</v>
      </c>
      <c r="BX1146" s="80">
        <f>IF(DB_PROJ="Todos",1,IF(E1146&amp;""=DB_PROJ&amp;"",1,0))</f>
        <v>1</v>
      </c>
      <c r="BY1146" s="80">
        <f>BW1146*BX1146</f>
        <v>0</v>
      </c>
      <c r="BZ1146" s="80" t="str">
        <f>IF(Y1146=1,F1146&amp;IF(AND(F1146&amp;""&lt;&gt;"",E1146&amp;""&lt;&gt;"")," · ","")&amp;E1146,"")</f>
        <v/>
      </c>
      <c r="CA1146" s="80" t="str">
        <f>IF(AND(BD1146=1,E1146&amp;""&lt;&gt;""),IF(COUNTIFS($E$5:E1145,E1146,$BD$5:BD1145,1)=0,MAX($CA$5:CA1145)+1,""),"")</f>
        <v/>
      </c>
      <c r="CB1146" s="80" t="str">
        <f>IF(AND(BE1146=1,D1146="Malcolm",E1146&amp;""&lt;&gt;""),IF(COUNTIFS($D$5:D1145,"Malcolm",$E$5:E1145,E1146,$BE$5:BE1145,1)=0,MAX($CB$5:CB1145)+1,""),"")</f>
        <v/>
      </c>
      <c r="CC1146" s="80" t="str">
        <f>IF(AND(BD1146=1,D1146="proMX",E1146&amp;""&lt;&gt;""),IF(COUNTIFS($D$5:D1145,"proMX",$E$5:E1145,E1146,$BD$5:BD1145,1)=0,MAX($CC$5:CC1145)+1,""),"")</f>
        <v/>
      </c>
      <c r="CD1146" s="80" t="str">
        <f>IF(AND(BE1146=1,D1146="Malcolm",F1146&amp;""&lt;&gt;""),IF(COUNTIFS($D$5:D1145,"Malcolm",$F$5:F1145,F1146,$BE$5:BE1145,1)=0,MAX($CD$5:CD1145)+1,""),"")</f>
        <v/>
      </c>
      <c r="CE1146" s="80" t="str">
        <f>IF(AND(BD1146=1,D1146="proMX",F1146&amp;""&lt;&gt;""),IF(COUNTIFS($D$5:D1145,"proMX",$F$5:F1145,F1146,$BD$5:BD1145,1)=0,MAX($CE$5:CE1145)+1,""),"")</f>
        <v/>
      </c>
      <c r="CF1146" s="80" t="str">
        <f>IF(AND(D1146="proMX",BD1146=1),IF(OR(BF1146="Draft",BF1146="Submitted",BF1146="Returned",BF1146="Recall Requested"),MAX($CF$5:CF1145)+1,""),"")</f>
        <v/>
      </c>
      <c r="CG1146" s="80">
        <f>IF(BD1146=0,0,IF(D1146="Malcolm",1,MATCH(BF1146,{"Draft","Submitted","Approved","Returned","Recall Requested","Cancelled"},0)+1))</f>
        <v>0</v>
      </c>
      <c r="CH1146" s="80">
        <f>IF(AND(BF1146="Submitted",ISNUMBER(V1146)),IF(V1146&gt;CFG_MAXD,1,0),0)</f>
        <v>0</v>
      </c>
    </row>
    <row r="1147">
      <c r="A1147" s="71" t="str">
        <f>IF(Y1147=1,ROW()-5,"")</f>
        <v/>
      </c>
      <c r="B1147" s="72" t="n"/>
      <c r="C1147" s="71" t="str">
        <f>IF(ISNUMBER(B1147),CHOOSE(WEEKDAY(B1147,2),"Lun","Mar","Mié","Jue","Vie","Sáb","Dom"),"")</f>
        <v/>
      </c>
      <c r="D1147" s="73" t="n"/>
      <c r="E1147" s="74" t="n"/>
      <c r="F1147" s="74" t="n"/>
      <c r="G1147" s="74" t="n"/>
      <c r="H1147" s="75" t="n"/>
      <c r="I1147" s="75" t="n"/>
      <c r="J1147" s="76" t="n"/>
      <c r="K1147" s="77" t="str">
        <f>IF(AB1147=1,ROUND(AG1147/60,4),"")</f>
        <v/>
      </c>
      <c r="L1147" s="77" t="str">
        <f>IF(BD1147=1,ROUND(AP1147/60,4),"")</f>
        <v/>
      </c>
      <c r="M1147" s="77" t="str">
        <f>IF(BD1147=1,ROUND(AQ1147/60,4),"")</f>
        <v/>
      </c>
      <c r="N1147" s="71" t="str">
        <f>IF(AND(D1147="proMX",AB1147=1),ROUND(AG1147/CFG_BLK,2),"")</f>
        <v/>
      </c>
      <c r="O1147" s="77" t="str">
        <f>IF(D1147="proMX",IF(BD1147=1,ROUND(AG1147/60,4),0),"")</f>
        <v/>
      </c>
      <c r="P1147" s="78" t="str">
        <f>IF(Y1147=0,"",IF(BD1147=1,"OK",IF(D1147="proMX","Revisar bloques: ","Revisar: ")&amp;BC1147))</f>
        <v/>
      </c>
      <c r="Q1147" s="78" t="str">
        <f>IF(NOT(ISNUMBER(B1147)),"",IF(COUNTIFS(FER_F,INT(B1147))&gt;0,"Feriado"&amp;IF(AH1147=1," (laborable)"," (no laborable)"),IF(AH1147=1,"Laborable",IF(WEEKDAY(B1147,2)&gt;5,"Fin de semana","No laborable"))))</f>
        <v/>
      </c>
      <c r="R1147" s="73" t="n"/>
      <c r="S1147" s="72" t="n"/>
      <c r="T1147" s="72" t="n"/>
      <c r="U1147" s="74" t="n"/>
      <c r="V1147" s="79" t="str">
        <f>IF(AND(D1147="proMX",OR(R1147="Submitted",R1147="Recall Requested"),ISNUMBER(S1147)),CFG_TODAY-INT(S1147),"")</f>
        <v/>
      </c>
      <c r="W1147" s="78" t="str">
        <f>IF(BD1147=0,"",IF(BA1147&gt;0,"⚠ Se superpone con un registro de la otra empresa",IF(D1147="Malcolm",IF(COUNTA(R1147,S1147,T1147)&gt;0,"Estado/fechas proMX se ignoran en Malcolm",""),IF(BF1147="Cancelled","Cancelado: excluido de totales",IF(R1147="","Sin estado: se trata como Draft",IF(BF1147="Submitted",IF(ISNUMBER(V1147),IF(V1147&gt;CFG_MAXD,"⚠ "&amp;V1147&amp;" días en Submitted (máx. "&amp;CFG_MAXD&amp;")",""),"Falta fecha de envío"),IF(BF1147="Returned","⚠ Devuelto: corregir y reenviar",IF(BF1147="Recall Requested","Retirada solicitada: pendiente",IF(AND(BF1147="Approved",NOT(ISNUMBER(T1147))),"Falta fecha de aprobación",IF(AND(ISNUMBER(S1147),ISNUMBER(T1147),T1147&lt;S1147),"Aprobación anterior al envío","")))))))))</f>
        <v/>
      </c>
      <c r="Y1147" s="80">
        <f>IF(COUNTA(B1147,D1147,E1147,F1147,G1147,H1147,I1147,J1147,R1147,S1147,T1147)&gt;0,1,0)</f>
        <v>0</v>
      </c>
      <c r="Z1147" s="80" t="str">
        <f>IF(AND(ISNUMBER(H1147),H1147&gt;=0,H1147&lt;1),ROUND(H1147*1440,0),"")</f>
        <v/>
      </c>
      <c r="AA1147" s="80" t="str">
        <f>IF(AND(ISNUMBER(I1147),I1147&gt;=0,I1147&lt;1),ROUND(I1147*1440,0),"")</f>
        <v/>
      </c>
      <c r="AB1147" s="80">
        <f>IF(AND(ISNUMBER(B1147),D1147&lt;&gt;"",ISNUMBER(Z1147),ISNUMBER(AA1147)),IF(Z1147=AA1147,0,1),0)</f>
        <v>0</v>
      </c>
      <c r="AC1147" s="80">
        <f>IF(AB1147=1,IF(AA1147&lt;Z1147,1,0),0)</f>
        <v>0</v>
      </c>
      <c r="AD1147" s="80">
        <f>IF(AB1147=1,IF(AC1147=1,1440-Z1147+AA1147,AA1147-Z1147),0)</f>
        <v>0</v>
      </c>
      <c r="AE1147" s="80">
        <f>IF(J1147="",0,IF(ISNUMBER(J1147),J1147,-1))</f>
        <v>0</v>
      </c>
      <c r="AF1147" s="80">
        <f>MIN(MAX(0,AE1147),AD1147)</f>
        <v>0</v>
      </c>
      <c r="AG1147" s="80">
        <f>MAX(0,AD1147-MAX(0,AE1147))</f>
        <v>0</v>
      </c>
      <c r="AH1147" s="80">
        <f>IF(ISNUMBER(B1147),IF(AND(INDEX(CFG_WDAYS,WEEKDAY(INT(B1147),2))="Sí",IF(D1147="proMX",COUNTIFS(FER_F,INT(B1147),FER_NLP,"Sí"),COUNTIFS(FER_F,INT(B1147),FER_NLM,"Sí"))=0),1,0),0)</f>
        <v>0</v>
      </c>
      <c r="AI1147" s="80">
        <f>IF(AC1147=1,IF(AND(INDEX(CFG_WDAYS,WEEKDAY(INT(B1147)+1,2))="Sí",IF(D1147="proMX",COUNTIFS(FER_F,INT(B1147)+1,FER_NLP,"Sí"),COUNTIFS(FER_F,INT(B1147)+1,FER_NLM,"Sí"))=0),1,0),0)</f>
        <v>0</v>
      </c>
      <c r="AJ1147" s="80">
        <f>IF(AC1147=1,1440-Z1147,AD1147)</f>
        <v>0</v>
      </c>
      <c r="AK1147" s="80">
        <f>IF(AND(AB1147=1,AH1147=1),MAX(0,MIN(IF(AC1147=1,1440,AA1147),CFG_WEM)-MAX(Z1147,CFG_WSM)),0)</f>
        <v>0</v>
      </c>
      <c r="AL1147" s="80">
        <f>IF(AND(AC1147=1,AI1147=1),MAX(0,MIN(AA1147,CFG_WEM)-CFG_WSM),0)</f>
        <v>0</v>
      </c>
      <c r="AM1147" s="80">
        <f>AK1147+AL1147</f>
        <v>0</v>
      </c>
      <c r="AN1147" s="80">
        <f>IF(CFG_BRK="Proporcional",IF(AD1147=0,0,AF1147*AM1147/AD1147),IF(CFG_BRK="Extras primero",MIN(AM1147,MAX(0,AF1147-(AD1147-AM1147))),MIN(AF1147,AM1147)))</f>
        <v>0</v>
      </c>
      <c r="AO1147" s="80">
        <f>AF1147-AN1147</f>
        <v>0</v>
      </c>
      <c r="AP1147" s="80">
        <f>AM1147-AN1147</f>
        <v>0</v>
      </c>
      <c r="AQ1147" s="80">
        <f>AD1147-AM1147-AO1147</f>
        <v>0</v>
      </c>
      <c r="AR1147" s="80">
        <f>IF(AM1147=0,0,AK1147-AN1147*AK1147/AM1147)</f>
        <v>0</v>
      </c>
      <c r="AS1147" s="80">
        <f>IF(AD1147-AM1147=0,0,(AJ1147-AK1147)-AO1147*(AJ1147-AK1147)/(AD1147-AM1147))</f>
        <v>0</v>
      </c>
      <c r="AT1147" s="80" t="str">
        <f>IF(AC1147=1,INT(B1147)+1,"")</f>
        <v/>
      </c>
      <c r="AU1147" s="80">
        <f>IF(AND(D1147="proMX",R1147="Cancelled"),0,1)</f>
        <v>1</v>
      </c>
      <c r="AV1147" s="80">
        <f>IF(AND(AB1147=1,AU1147=1),IF(COUNTIFS($D$5:D1146,D1147,$B$5:B1146,B1147,$Z$5:Z1146,Z1147,$AA$5:AA1146,AA1147,$F$5:F1146,F1147&amp;"",$AU$5:AU1146,1)&gt;0,1,0),0)</f>
        <v>0</v>
      </c>
      <c r="AW1147" s="80" t="str">
        <f>IF(AB1147=1,INT(B1147)*1440+Z1147,"")</f>
        <v/>
      </c>
      <c r="AX1147" s="80" t="str">
        <f>IF(AB1147=1,AW1147+AD1147,"")</f>
        <v/>
      </c>
      <c r="AY1147" s="80">
        <f>IF(AND(AB1147=1,AV1147=0,AU1147=1),1,0)</f>
        <v>0</v>
      </c>
      <c r="AZ1147" s="80">
        <f>IF(AY1147=1,COUNTIFS(R_Emp,D1147,R_SAbs,"&lt;"&amp;AX1147,R_EAbs,"&gt;"&amp;AW1147,R_OKey,1)-1,0)</f>
        <v>0</v>
      </c>
      <c r="BA1147" s="80">
        <f>IF(AY1147=1,COUNTIFS(R_Emp,"&lt;&gt;"&amp;D1147,R_SAbs,"&lt;"&amp;AX1147,R_EAbs,"&gt;"&amp;AW1147,R_OKey,1),0)</f>
        <v>0</v>
      </c>
      <c r="BB1147" s="80">
        <f>IF(AND(AB1147=1,D1147="proMX"),IF(AND(MOD(Z1147,CFG_BLK)=0,MOD(AA1147,CFG_BLK)=0,MOD(AG1147,CFG_BLK)=0,AG1147&gt;0),1,0),1)</f>
        <v>1</v>
      </c>
      <c r="BC1147" s="80" t="str">
        <f>IF(Y1147=0,"",IF(NOT(ISNUMBER(B1147)),"Falta fecha o fecha inválida",IF(D1147="","Falta empresa",IF(AND(D1147&lt;&gt;"Malcolm",D1147&lt;&gt;"proMX"),"Empresa inválida",IF(OR(INT(B1147)&lt;CFG_PSTART,INT(B1147)&gt;CFG_PEND),"Fecha fuera del período",IF(OR(NOT(ISNUMBER(Z1147)),NOT(ISNUMBER(AA1147))),"Falta hora inicio/fin o formato inválido",IF(AB1147=0,"Hora inicio = hora fin",IF(AE1147&lt;0,"Descanso inválido",IF(AE1147&gt;=AD1147,"Descanso ≥ duración",IF(AV1147=1,"Registro duplicado",IF(AZ1147&gt;0,"Se superpone con otro registro "&amp;D1147,IF(BB1147=0,"inicio, fin y duración neta deben ser múltiplos de "&amp;CFG_BLK&amp;" min",""))))))))))))</f>
        <v/>
      </c>
      <c r="BD1147" s="80">
        <f>IF(AND(Y1147=1,BC1147=""),1,0)</f>
        <v>0</v>
      </c>
      <c r="BE1147" s="80">
        <f>IF(AND(BD1147=1,AU1147=1),1,0)</f>
        <v>0</v>
      </c>
      <c r="BF1147" s="80" t="str">
        <f>IF(AND(D1147="proMX",BD1147=1),IF(R1147="","Draft",R1147),"")</f>
        <v/>
      </c>
      <c r="BG1147" s="80">
        <f>IF(BD1147=1,ROUND(AG1147/60,6),0)</f>
        <v>0</v>
      </c>
      <c r="BH1147" s="80">
        <f>IF(BE1147=1,ROUND(AG1147/60,6),0)</f>
        <v>0</v>
      </c>
      <c r="BI1147" s="80">
        <f>IF(BE1147=1,ROUND(AP1147/60,6),0)</f>
        <v>0</v>
      </c>
      <c r="BJ1147" s="80">
        <f>IF(BE1147=1,ROUND(AQ1147/60,6),0)</f>
        <v>0</v>
      </c>
      <c r="BK1147" s="80">
        <f>IF(BE1147=1,ROUND((AR1147+AS1147)/60,6),0)</f>
        <v>0</v>
      </c>
      <c r="BL1147" s="80">
        <f>ROUND(BH1147-BK1147,6)</f>
        <v>0</v>
      </c>
      <c r="BM1147" s="80">
        <f>IF(BE1147=1,ROUND(AR1147/60,6),0)</f>
        <v>0</v>
      </c>
      <c r="BN1147" s="80">
        <f>ROUND(BI1147-BM1147,6)</f>
        <v>0</v>
      </c>
      <c r="BO1147" s="80">
        <f>IF(BE1147=1,ROUND(AS1147/60,6),0)</f>
        <v>0</v>
      </c>
      <c r="BP1147" s="80">
        <f>ROUND(BJ1147-BO1147,6)</f>
        <v>0</v>
      </c>
      <c r="BQ1147" s="80">
        <f>IF(BE1147=1,AW1147,0)</f>
        <v>0</v>
      </c>
      <c r="BR1147" s="80">
        <f>IF(BE1147=1,AX1147,0)</f>
        <v>0</v>
      </c>
      <c r="BS1147" s="80">
        <f>IF(AND(BE1147=1,D1147="Malcolm",BA1147&gt;0),MIN(BH1147,SUMPRODUCT((R_Emp="proMX")*(R_EN&gt;0)*((R_EN-(R_EN&gt;BR1147)*(R_EN-BR1147))&gt;(R_SN+(R_SN&lt;BQ1147)*(BQ1147-R_SN)))*((R_EN-(R_EN&gt;BR1147)*(R_EN-BR1147))-(R_SN+(R_SN&lt;BQ1147)*(BQ1147-R_SN))))/60),0)</f>
        <v>0</v>
      </c>
      <c r="BT1147" s="80">
        <f>IF(AND(BE1147=1,D1147="proMX"),ROUND(BI1147*CFG_RATE+BJ1147*CFG_OTRATE,6),0)</f>
        <v>0</v>
      </c>
      <c r="BU1147" s="80">
        <f>IF(AND(BD1147=1,D1147="proMX"),ROUND(AG1147/CFG_BLK,6),0)</f>
        <v>0</v>
      </c>
      <c r="BV1147" s="80" t="str">
        <f>IF(BF1147="Approved",IF(ISNUMBER(T1147),INT(T1147),INT(B1147)),"")</f>
        <v/>
      </c>
      <c r="BW1147" s="80">
        <f>IF(ISNUMBER(B1147),IF(DB_MON="Todos",1,IF(AND(INT(B1147)&gt;=DB_MS,INT(B1147)&lt;=DB_ME),1,0)),0)</f>
        <v>0</v>
      </c>
      <c r="BX1147" s="80">
        <f>IF(DB_PROJ="Todos",1,IF(E1147&amp;""=DB_PROJ&amp;"",1,0))</f>
        <v>1</v>
      </c>
      <c r="BY1147" s="80">
        <f>BW1147*BX1147</f>
        <v>0</v>
      </c>
      <c r="BZ1147" s="80" t="str">
        <f>IF(Y1147=1,F1147&amp;IF(AND(F1147&amp;""&lt;&gt;"",E1147&amp;""&lt;&gt;"")," · ","")&amp;E1147,"")</f>
        <v/>
      </c>
      <c r="CA1147" s="80" t="str">
        <f>IF(AND(BD1147=1,E1147&amp;""&lt;&gt;""),IF(COUNTIFS($E$5:E1146,E1147,$BD$5:BD1146,1)=0,MAX($CA$5:CA1146)+1,""),"")</f>
        <v/>
      </c>
      <c r="CB1147" s="80" t="str">
        <f>IF(AND(BE1147=1,D1147="Malcolm",E1147&amp;""&lt;&gt;""),IF(COUNTIFS($D$5:D1146,"Malcolm",$E$5:E1146,E1147,$BE$5:BE1146,1)=0,MAX($CB$5:CB1146)+1,""),"")</f>
        <v/>
      </c>
      <c r="CC1147" s="80" t="str">
        <f>IF(AND(BD1147=1,D1147="proMX",E1147&amp;""&lt;&gt;""),IF(COUNTIFS($D$5:D1146,"proMX",$E$5:E1146,E1147,$BD$5:BD1146,1)=0,MAX($CC$5:CC1146)+1,""),"")</f>
        <v/>
      </c>
      <c r="CD1147" s="80" t="str">
        <f>IF(AND(BE1147=1,D1147="Malcolm",F1147&amp;""&lt;&gt;""),IF(COUNTIFS($D$5:D1146,"Malcolm",$F$5:F1146,F1147,$BE$5:BE1146,1)=0,MAX($CD$5:CD1146)+1,""),"")</f>
        <v/>
      </c>
      <c r="CE1147" s="80" t="str">
        <f>IF(AND(BD1147=1,D1147="proMX",F1147&amp;""&lt;&gt;""),IF(COUNTIFS($D$5:D1146,"proMX",$F$5:F1146,F1147,$BD$5:BD1146,1)=0,MAX($CE$5:CE1146)+1,""),"")</f>
        <v/>
      </c>
      <c r="CF1147" s="80" t="str">
        <f>IF(AND(D1147="proMX",BD1147=1),IF(OR(BF1147="Draft",BF1147="Submitted",BF1147="Returned",BF1147="Recall Requested"),MAX($CF$5:CF1146)+1,""),"")</f>
        <v/>
      </c>
      <c r="CG1147" s="80">
        <f>IF(BD1147=0,0,IF(D1147="Malcolm",1,MATCH(BF1147,{"Draft","Submitted","Approved","Returned","Recall Requested","Cancelled"},0)+1))</f>
        <v>0</v>
      </c>
      <c r="CH1147" s="80">
        <f>IF(AND(BF1147="Submitted",ISNUMBER(V1147)),IF(V1147&gt;CFG_MAXD,1,0),0)</f>
        <v>0</v>
      </c>
    </row>
    <row r="1148">
      <c r="A1148" s="71" t="str">
        <f>IF(Y1148=1,ROW()-5,"")</f>
        <v/>
      </c>
      <c r="B1148" s="72" t="n"/>
      <c r="C1148" s="71" t="str">
        <f>IF(ISNUMBER(B1148),CHOOSE(WEEKDAY(B1148,2),"Lun","Mar","Mié","Jue","Vie","Sáb","Dom"),"")</f>
        <v/>
      </c>
      <c r="D1148" s="73" t="n"/>
      <c r="E1148" s="74" t="n"/>
      <c r="F1148" s="74" t="n"/>
      <c r="G1148" s="74" t="n"/>
      <c r="H1148" s="75" t="n"/>
      <c r="I1148" s="75" t="n"/>
      <c r="J1148" s="76" t="n"/>
      <c r="K1148" s="77" t="str">
        <f>IF(AB1148=1,ROUND(AG1148/60,4),"")</f>
        <v/>
      </c>
      <c r="L1148" s="77" t="str">
        <f>IF(BD1148=1,ROUND(AP1148/60,4),"")</f>
        <v/>
      </c>
      <c r="M1148" s="77" t="str">
        <f>IF(BD1148=1,ROUND(AQ1148/60,4),"")</f>
        <v/>
      </c>
      <c r="N1148" s="71" t="str">
        <f>IF(AND(D1148="proMX",AB1148=1),ROUND(AG1148/CFG_BLK,2),"")</f>
        <v/>
      </c>
      <c r="O1148" s="77" t="str">
        <f>IF(D1148="proMX",IF(BD1148=1,ROUND(AG1148/60,4),0),"")</f>
        <v/>
      </c>
      <c r="P1148" s="78" t="str">
        <f>IF(Y1148=0,"",IF(BD1148=1,"OK",IF(D1148="proMX","Revisar bloques: ","Revisar: ")&amp;BC1148))</f>
        <v/>
      </c>
      <c r="Q1148" s="78" t="str">
        <f>IF(NOT(ISNUMBER(B1148)),"",IF(COUNTIFS(FER_F,INT(B1148))&gt;0,"Feriado"&amp;IF(AH1148=1," (laborable)"," (no laborable)"),IF(AH1148=1,"Laborable",IF(WEEKDAY(B1148,2)&gt;5,"Fin de semana","No laborable"))))</f>
        <v/>
      </c>
      <c r="R1148" s="73" t="n"/>
      <c r="S1148" s="72" t="n"/>
      <c r="T1148" s="72" t="n"/>
      <c r="U1148" s="74" t="n"/>
      <c r="V1148" s="79" t="str">
        <f>IF(AND(D1148="proMX",OR(R1148="Submitted",R1148="Recall Requested"),ISNUMBER(S1148)),CFG_TODAY-INT(S1148),"")</f>
        <v/>
      </c>
      <c r="W1148" s="78" t="str">
        <f>IF(BD1148=0,"",IF(BA1148&gt;0,"⚠ Se superpone con un registro de la otra empresa",IF(D1148="Malcolm",IF(COUNTA(R1148,S1148,T1148)&gt;0,"Estado/fechas proMX se ignoran en Malcolm",""),IF(BF1148="Cancelled","Cancelado: excluido de totales",IF(R1148="","Sin estado: se trata como Draft",IF(BF1148="Submitted",IF(ISNUMBER(V1148),IF(V1148&gt;CFG_MAXD,"⚠ "&amp;V1148&amp;" días en Submitted (máx. "&amp;CFG_MAXD&amp;")",""),"Falta fecha de envío"),IF(BF1148="Returned","⚠ Devuelto: corregir y reenviar",IF(BF1148="Recall Requested","Retirada solicitada: pendiente",IF(AND(BF1148="Approved",NOT(ISNUMBER(T1148))),"Falta fecha de aprobación",IF(AND(ISNUMBER(S1148),ISNUMBER(T1148),T1148&lt;S1148),"Aprobación anterior al envío","")))))))))</f>
        <v/>
      </c>
      <c r="Y1148" s="80">
        <f>IF(COUNTA(B1148,D1148,E1148,F1148,G1148,H1148,I1148,J1148,R1148,S1148,T1148)&gt;0,1,0)</f>
        <v>0</v>
      </c>
      <c r="Z1148" s="80" t="str">
        <f>IF(AND(ISNUMBER(H1148),H1148&gt;=0,H1148&lt;1),ROUND(H1148*1440,0),"")</f>
        <v/>
      </c>
      <c r="AA1148" s="80" t="str">
        <f>IF(AND(ISNUMBER(I1148),I1148&gt;=0,I1148&lt;1),ROUND(I1148*1440,0),"")</f>
        <v/>
      </c>
      <c r="AB1148" s="80">
        <f>IF(AND(ISNUMBER(B1148),D1148&lt;&gt;"",ISNUMBER(Z1148),ISNUMBER(AA1148)),IF(Z1148=AA1148,0,1),0)</f>
        <v>0</v>
      </c>
      <c r="AC1148" s="80">
        <f>IF(AB1148=1,IF(AA1148&lt;Z1148,1,0),0)</f>
        <v>0</v>
      </c>
      <c r="AD1148" s="80">
        <f>IF(AB1148=1,IF(AC1148=1,1440-Z1148+AA1148,AA1148-Z1148),0)</f>
        <v>0</v>
      </c>
      <c r="AE1148" s="80">
        <f>IF(J1148="",0,IF(ISNUMBER(J1148),J1148,-1))</f>
        <v>0</v>
      </c>
      <c r="AF1148" s="80">
        <f>MIN(MAX(0,AE1148),AD1148)</f>
        <v>0</v>
      </c>
      <c r="AG1148" s="80">
        <f>MAX(0,AD1148-MAX(0,AE1148))</f>
        <v>0</v>
      </c>
      <c r="AH1148" s="80">
        <f>IF(ISNUMBER(B1148),IF(AND(INDEX(CFG_WDAYS,WEEKDAY(INT(B1148),2))="Sí",IF(D1148="proMX",COUNTIFS(FER_F,INT(B1148),FER_NLP,"Sí"),COUNTIFS(FER_F,INT(B1148),FER_NLM,"Sí"))=0),1,0),0)</f>
        <v>0</v>
      </c>
      <c r="AI1148" s="80">
        <f>IF(AC1148=1,IF(AND(INDEX(CFG_WDAYS,WEEKDAY(INT(B1148)+1,2))="Sí",IF(D1148="proMX",COUNTIFS(FER_F,INT(B1148)+1,FER_NLP,"Sí"),COUNTIFS(FER_F,INT(B1148)+1,FER_NLM,"Sí"))=0),1,0),0)</f>
        <v>0</v>
      </c>
      <c r="AJ1148" s="80">
        <f>IF(AC1148=1,1440-Z1148,AD1148)</f>
        <v>0</v>
      </c>
      <c r="AK1148" s="80">
        <f>IF(AND(AB1148=1,AH1148=1),MAX(0,MIN(IF(AC1148=1,1440,AA1148),CFG_WEM)-MAX(Z1148,CFG_WSM)),0)</f>
        <v>0</v>
      </c>
      <c r="AL1148" s="80">
        <f>IF(AND(AC1148=1,AI1148=1),MAX(0,MIN(AA1148,CFG_WEM)-CFG_WSM),0)</f>
        <v>0</v>
      </c>
      <c r="AM1148" s="80">
        <f>AK1148+AL1148</f>
        <v>0</v>
      </c>
      <c r="AN1148" s="80">
        <f>IF(CFG_BRK="Proporcional",IF(AD1148=0,0,AF1148*AM1148/AD1148),IF(CFG_BRK="Extras primero",MIN(AM1148,MAX(0,AF1148-(AD1148-AM1148))),MIN(AF1148,AM1148)))</f>
        <v>0</v>
      </c>
      <c r="AO1148" s="80">
        <f>AF1148-AN1148</f>
        <v>0</v>
      </c>
      <c r="AP1148" s="80">
        <f>AM1148-AN1148</f>
        <v>0</v>
      </c>
      <c r="AQ1148" s="80">
        <f>AD1148-AM1148-AO1148</f>
        <v>0</v>
      </c>
      <c r="AR1148" s="80">
        <f>IF(AM1148=0,0,AK1148-AN1148*AK1148/AM1148)</f>
        <v>0</v>
      </c>
      <c r="AS1148" s="80">
        <f>IF(AD1148-AM1148=0,0,(AJ1148-AK1148)-AO1148*(AJ1148-AK1148)/(AD1148-AM1148))</f>
        <v>0</v>
      </c>
      <c r="AT1148" s="80" t="str">
        <f>IF(AC1148=1,INT(B1148)+1,"")</f>
        <v/>
      </c>
      <c r="AU1148" s="80">
        <f>IF(AND(D1148="proMX",R1148="Cancelled"),0,1)</f>
        <v>1</v>
      </c>
      <c r="AV1148" s="80">
        <f>IF(AND(AB1148=1,AU1148=1),IF(COUNTIFS($D$5:D1147,D1148,$B$5:B1147,B1148,$Z$5:Z1147,Z1148,$AA$5:AA1147,AA1148,$F$5:F1147,F1148&amp;"",$AU$5:AU1147,1)&gt;0,1,0),0)</f>
        <v>0</v>
      </c>
      <c r="AW1148" s="80" t="str">
        <f>IF(AB1148=1,INT(B1148)*1440+Z1148,"")</f>
        <v/>
      </c>
      <c r="AX1148" s="80" t="str">
        <f>IF(AB1148=1,AW1148+AD1148,"")</f>
        <v/>
      </c>
      <c r="AY1148" s="80">
        <f>IF(AND(AB1148=1,AV1148=0,AU1148=1),1,0)</f>
        <v>0</v>
      </c>
      <c r="AZ1148" s="80">
        <f>IF(AY1148=1,COUNTIFS(R_Emp,D1148,R_SAbs,"&lt;"&amp;AX1148,R_EAbs,"&gt;"&amp;AW1148,R_OKey,1)-1,0)</f>
        <v>0</v>
      </c>
      <c r="BA1148" s="80">
        <f>IF(AY1148=1,COUNTIFS(R_Emp,"&lt;&gt;"&amp;D1148,R_SAbs,"&lt;"&amp;AX1148,R_EAbs,"&gt;"&amp;AW1148,R_OKey,1),0)</f>
        <v>0</v>
      </c>
      <c r="BB1148" s="80">
        <f>IF(AND(AB1148=1,D1148="proMX"),IF(AND(MOD(Z1148,CFG_BLK)=0,MOD(AA1148,CFG_BLK)=0,MOD(AG1148,CFG_BLK)=0,AG1148&gt;0),1,0),1)</f>
        <v>1</v>
      </c>
      <c r="BC1148" s="80" t="str">
        <f>IF(Y1148=0,"",IF(NOT(ISNUMBER(B1148)),"Falta fecha o fecha inválida",IF(D1148="","Falta empresa",IF(AND(D1148&lt;&gt;"Malcolm",D1148&lt;&gt;"proMX"),"Empresa inválida",IF(OR(INT(B1148)&lt;CFG_PSTART,INT(B1148)&gt;CFG_PEND),"Fecha fuera del período",IF(OR(NOT(ISNUMBER(Z1148)),NOT(ISNUMBER(AA1148))),"Falta hora inicio/fin o formato inválido",IF(AB1148=0,"Hora inicio = hora fin",IF(AE1148&lt;0,"Descanso inválido",IF(AE1148&gt;=AD1148,"Descanso ≥ duración",IF(AV1148=1,"Registro duplicado",IF(AZ1148&gt;0,"Se superpone con otro registro "&amp;D1148,IF(BB1148=0,"inicio, fin y duración neta deben ser múltiplos de "&amp;CFG_BLK&amp;" min",""))))))))))))</f>
        <v/>
      </c>
      <c r="BD1148" s="80">
        <f>IF(AND(Y1148=1,BC1148=""),1,0)</f>
        <v>0</v>
      </c>
      <c r="BE1148" s="80">
        <f>IF(AND(BD1148=1,AU1148=1),1,0)</f>
        <v>0</v>
      </c>
      <c r="BF1148" s="80" t="str">
        <f>IF(AND(D1148="proMX",BD1148=1),IF(R1148="","Draft",R1148),"")</f>
        <v/>
      </c>
      <c r="BG1148" s="80">
        <f>IF(BD1148=1,ROUND(AG1148/60,6),0)</f>
        <v>0</v>
      </c>
      <c r="BH1148" s="80">
        <f>IF(BE1148=1,ROUND(AG1148/60,6),0)</f>
        <v>0</v>
      </c>
      <c r="BI1148" s="80">
        <f>IF(BE1148=1,ROUND(AP1148/60,6),0)</f>
        <v>0</v>
      </c>
      <c r="BJ1148" s="80">
        <f>IF(BE1148=1,ROUND(AQ1148/60,6),0)</f>
        <v>0</v>
      </c>
      <c r="BK1148" s="80">
        <f>IF(BE1148=1,ROUND((AR1148+AS1148)/60,6),0)</f>
        <v>0</v>
      </c>
      <c r="BL1148" s="80">
        <f>ROUND(BH1148-BK1148,6)</f>
        <v>0</v>
      </c>
      <c r="BM1148" s="80">
        <f>IF(BE1148=1,ROUND(AR1148/60,6),0)</f>
        <v>0</v>
      </c>
      <c r="BN1148" s="80">
        <f>ROUND(BI1148-BM1148,6)</f>
        <v>0</v>
      </c>
      <c r="BO1148" s="80">
        <f>IF(BE1148=1,ROUND(AS1148/60,6),0)</f>
        <v>0</v>
      </c>
      <c r="BP1148" s="80">
        <f>ROUND(BJ1148-BO1148,6)</f>
        <v>0</v>
      </c>
      <c r="BQ1148" s="80">
        <f>IF(BE1148=1,AW1148,0)</f>
        <v>0</v>
      </c>
      <c r="BR1148" s="80">
        <f>IF(BE1148=1,AX1148,0)</f>
        <v>0</v>
      </c>
      <c r="BS1148" s="80">
        <f>IF(AND(BE1148=1,D1148="Malcolm",BA1148&gt;0),MIN(BH1148,SUMPRODUCT((R_Emp="proMX")*(R_EN&gt;0)*((R_EN-(R_EN&gt;BR1148)*(R_EN-BR1148))&gt;(R_SN+(R_SN&lt;BQ1148)*(BQ1148-R_SN)))*((R_EN-(R_EN&gt;BR1148)*(R_EN-BR1148))-(R_SN+(R_SN&lt;BQ1148)*(BQ1148-R_SN))))/60),0)</f>
        <v>0</v>
      </c>
      <c r="BT1148" s="80">
        <f>IF(AND(BE1148=1,D1148="proMX"),ROUND(BI1148*CFG_RATE+BJ1148*CFG_OTRATE,6),0)</f>
        <v>0</v>
      </c>
      <c r="BU1148" s="80">
        <f>IF(AND(BD1148=1,D1148="proMX"),ROUND(AG1148/CFG_BLK,6),0)</f>
        <v>0</v>
      </c>
      <c r="BV1148" s="80" t="str">
        <f>IF(BF1148="Approved",IF(ISNUMBER(T1148),INT(T1148),INT(B1148)),"")</f>
        <v/>
      </c>
      <c r="BW1148" s="80">
        <f>IF(ISNUMBER(B1148),IF(DB_MON="Todos",1,IF(AND(INT(B1148)&gt;=DB_MS,INT(B1148)&lt;=DB_ME),1,0)),0)</f>
        <v>0</v>
      </c>
      <c r="BX1148" s="80">
        <f>IF(DB_PROJ="Todos",1,IF(E1148&amp;""=DB_PROJ&amp;"",1,0))</f>
        <v>1</v>
      </c>
      <c r="BY1148" s="80">
        <f>BW1148*BX1148</f>
        <v>0</v>
      </c>
      <c r="BZ1148" s="80" t="str">
        <f>IF(Y1148=1,F1148&amp;IF(AND(F1148&amp;""&lt;&gt;"",E1148&amp;""&lt;&gt;"")," · ","")&amp;E1148,"")</f>
        <v/>
      </c>
      <c r="CA1148" s="80" t="str">
        <f>IF(AND(BD1148=1,E1148&amp;""&lt;&gt;""),IF(COUNTIFS($E$5:E1147,E1148,$BD$5:BD1147,1)=0,MAX($CA$5:CA1147)+1,""),"")</f>
        <v/>
      </c>
      <c r="CB1148" s="80" t="str">
        <f>IF(AND(BE1148=1,D1148="Malcolm",E1148&amp;""&lt;&gt;""),IF(COUNTIFS($D$5:D1147,"Malcolm",$E$5:E1147,E1148,$BE$5:BE1147,1)=0,MAX($CB$5:CB1147)+1,""),"")</f>
        <v/>
      </c>
      <c r="CC1148" s="80" t="str">
        <f>IF(AND(BD1148=1,D1148="proMX",E1148&amp;""&lt;&gt;""),IF(COUNTIFS($D$5:D1147,"proMX",$E$5:E1147,E1148,$BD$5:BD1147,1)=0,MAX($CC$5:CC1147)+1,""),"")</f>
        <v/>
      </c>
      <c r="CD1148" s="80" t="str">
        <f>IF(AND(BE1148=1,D1148="Malcolm",F1148&amp;""&lt;&gt;""),IF(COUNTIFS($D$5:D1147,"Malcolm",$F$5:F1147,F1148,$BE$5:BE1147,1)=0,MAX($CD$5:CD1147)+1,""),"")</f>
        <v/>
      </c>
      <c r="CE1148" s="80" t="str">
        <f>IF(AND(BD1148=1,D1148="proMX",F1148&amp;""&lt;&gt;""),IF(COUNTIFS($D$5:D1147,"proMX",$F$5:F1147,F1148,$BD$5:BD1147,1)=0,MAX($CE$5:CE1147)+1,""),"")</f>
        <v/>
      </c>
      <c r="CF1148" s="80" t="str">
        <f>IF(AND(D1148="proMX",BD1148=1),IF(OR(BF1148="Draft",BF1148="Submitted",BF1148="Returned",BF1148="Recall Requested"),MAX($CF$5:CF1147)+1,""),"")</f>
        <v/>
      </c>
      <c r="CG1148" s="80">
        <f>IF(BD1148=0,0,IF(D1148="Malcolm",1,MATCH(BF1148,{"Draft","Submitted","Approved","Returned","Recall Requested","Cancelled"},0)+1))</f>
        <v>0</v>
      </c>
      <c r="CH1148" s="80">
        <f>IF(AND(BF1148="Submitted",ISNUMBER(V1148)),IF(V1148&gt;CFG_MAXD,1,0),0)</f>
        <v>0</v>
      </c>
    </row>
    <row r="1149">
      <c r="A1149" s="71" t="str">
        <f>IF(Y1149=1,ROW()-5,"")</f>
        <v/>
      </c>
      <c r="B1149" s="72" t="n"/>
      <c r="C1149" s="71" t="str">
        <f>IF(ISNUMBER(B1149),CHOOSE(WEEKDAY(B1149,2),"Lun","Mar","Mié","Jue","Vie","Sáb","Dom"),"")</f>
        <v/>
      </c>
      <c r="D1149" s="73" t="n"/>
      <c r="E1149" s="74" t="n"/>
      <c r="F1149" s="74" t="n"/>
      <c r="G1149" s="74" t="n"/>
      <c r="H1149" s="75" t="n"/>
      <c r="I1149" s="75" t="n"/>
      <c r="J1149" s="76" t="n"/>
      <c r="K1149" s="77" t="str">
        <f>IF(AB1149=1,ROUND(AG1149/60,4),"")</f>
        <v/>
      </c>
      <c r="L1149" s="77" t="str">
        <f>IF(BD1149=1,ROUND(AP1149/60,4),"")</f>
        <v/>
      </c>
      <c r="M1149" s="77" t="str">
        <f>IF(BD1149=1,ROUND(AQ1149/60,4),"")</f>
        <v/>
      </c>
      <c r="N1149" s="71" t="str">
        <f>IF(AND(D1149="proMX",AB1149=1),ROUND(AG1149/CFG_BLK,2),"")</f>
        <v/>
      </c>
      <c r="O1149" s="77" t="str">
        <f>IF(D1149="proMX",IF(BD1149=1,ROUND(AG1149/60,4),0),"")</f>
        <v/>
      </c>
      <c r="P1149" s="78" t="str">
        <f>IF(Y1149=0,"",IF(BD1149=1,"OK",IF(D1149="proMX","Revisar bloques: ","Revisar: ")&amp;BC1149))</f>
        <v/>
      </c>
      <c r="Q1149" s="78" t="str">
        <f>IF(NOT(ISNUMBER(B1149)),"",IF(COUNTIFS(FER_F,INT(B1149))&gt;0,"Feriado"&amp;IF(AH1149=1," (laborable)"," (no laborable)"),IF(AH1149=1,"Laborable",IF(WEEKDAY(B1149,2)&gt;5,"Fin de semana","No laborable"))))</f>
        <v/>
      </c>
      <c r="R1149" s="73" t="n"/>
      <c r="S1149" s="72" t="n"/>
      <c r="T1149" s="72" t="n"/>
      <c r="U1149" s="74" t="n"/>
      <c r="V1149" s="79" t="str">
        <f>IF(AND(D1149="proMX",OR(R1149="Submitted",R1149="Recall Requested"),ISNUMBER(S1149)),CFG_TODAY-INT(S1149),"")</f>
        <v/>
      </c>
      <c r="W1149" s="78" t="str">
        <f>IF(BD1149=0,"",IF(BA1149&gt;0,"⚠ Se superpone con un registro de la otra empresa",IF(D1149="Malcolm",IF(COUNTA(R1149,S1149,T1149)&gt;0,"Estado/fechas proMX se ignoran en Malcolm",""),IF(BF1149="Cancelled","Cancelado: excluido de totales",IF(R1149="","Sin estado: se trata como Draft",IF(BF1149="Submitted",IF(ISNUMBER(V1149),IF(V1149&gt;CFG_MAXD,"⚠ "&amp;V1149&amp;" días en Submitted (máx. "&amp;CFG_MAXD&amp;")",""),"Falta fecha de envío"),IF(BF1149="Returned","⚠ Devuelto: corregir y reenviar",IF(BF1149="Recall Requested","Retirada solicitada: pendiente",IF(AND(BF1149="Approved",NOT(ISNUMBER(T1149))),"Falta fecha de aprobación",IF(AND(ISNUMBER(S1149),ISNUMBER(T1149),T1149&lt;S1149),"Aprobación anterior al envío","")))))))))</f>
        <v/>
      </c>
      <c r="Y1149" s="80">
        <f>IF(COUNTA(B1149,D1149,E1149,F1149,G1149,H1149,I1149,J1149,R1149,S1149,T1149)&gt;0,1,0)</f>
        <v>0</v>
      </c>
      <c r="Z1149" s="80" t="str">
        <f>IF(AND(ISNUMBER(H1149),H1149&gt;=0,H1149&lt;1),ROUND(H1149*1440,0),"")</f>
        <v/>
      </c>
      <c r="AA1149" s="80" t="str">
        <f>IF(AND(ISNUMBER(I1149),I1149&gt;=0,I1149&lt;1),ROUND(I1149*1440,0),"")</f>
        <v/>
      </c>
      <c r="AB1149" s="80">
        <f>IF(AND(ISNUMBER(B1149),D1149&lt;&gt;"",ISNUMBER(Z1149),ISNUMBER(AA1149)),IF(Z1149=AA1149,0,1),0)</f>
        <v>0</v>
      </c>
      <c r="AC1149" s="80">
        <f>IF(AB1149=1,IF(AA1149&lt;Z1149,1,0),0)</f>
        <v>0</v>
      </c>
      <c r="AD1149" s="80">
        <f>IF(AB1149=1,IF(AC1149=1,1440-Z1149+AA1149,AA1149-Z1149),0)</f>
        <v>0</v>
      </c>
      <c r="AE1149" s="80">
        <f>IF(J1149="",0,IF(ISNUMBER(J1149),J1149,-1))</f>
        <v>0</v>
      </c>
      <c r="AF1149" s="80">
        <f>MIN(MAX(0,AE1149),AD1149)</f>
        <v>0</v>
      </c>
      <c r="AG1149" s="80">
        <f>MAX(0,AD1149-MAX(0,AE1149))</f>
        <v>0</v>
      </c>
      <c r="AH1149" s="80">
        <f>IF(ISNUMBER(B1149),IF(AND(INDEX(CFG_WDAYS,WEEKDAY(INT(B1149),2))="Sí",IF(D1149="proMX",COUNTIFS(FER_F,INT(B1149),FER_NLP,"Sí"),COUNTIFS(FER_F,INT(B1149),FER_NLM,"Sí"))=0),1,0),0)</f>
        <v>0</v>
      </c>
      <c r="AI1149" s="80">
        <f>IF(AC1149=1,IF(AND(INDEX(CFG_WDAYS,WEEKDAY(INT(B1149)+1,2))="Sí",IF(D1149="proMX",COUNTIFS(FER_F,INT(B1149)+1,FER_NLP,"Sí"),COUNTIFS(FER_F,INT(B1149)+1,FER_NLM,"Sí"))=0),1,0),0)</f>
        <v>0</v>
      </c>
      <c r="AJ1149" s="80">
        <f>IF(AC1149=1,1440-Z1149,AD1149)</f>
        <v>0</v>
      </c>
      <c r="AK1149" s="80">
        <f>IF(AND(AB1149=1,AH1149=1),MAX(0,MIN(IF(AC1149=1,1440,AA1149),CFG_WEM)-MAX(Z1149,CFG_WSM)),0)</f>
        <v>0</v>
      </c>
      <c r="AL1149" s="80">
        <f>IF(AND(AC1149=1,AI1149=1),MAX(0,MIN(AA1149,CFG_WEM)-CFG_WSM),0)</f>
        <v>0</v>
      </c>
      <c r="AM1149" s="80">
        <f>AK1149+AL1149</f>
        <v>0</v>
      </c>
      <c r="AN1149" s="80">
        <f>IF(CFG_BRK="Proporcional",IF(AD1149=0,0,AF1149*AM1149/AD1149),IF(CFG_BRK="Extras primero",MIN(AM1149,MAX(0,AF1149-(AD1149-AM1149))),MIN(AF1149,AM1149)))</f>
        <v>0</v>
      </c>
      <c r="AO1149" s="80">
        <f>AF1149-AN1149</f>
        <v>0</v>
      </c>
      <c r="AP1149" s="80">
        <f>AM1149-AN1149</f>
        <v>0</v>
      </c>
      <c r="AQ1149" s="80">
        <f>AD1149-AM1149-AO1149</f>
        <v>0</v>
      </c>
      <c r="AR1149" s="80">
        <f>IF(AM1149=0,0,AK1149-AN1149*AK1149/AM1149)</f>
        <v>0</v>
      </c>
      <c r="AS1149" s="80">
        <f>IF(AD1149-AM1149=0,0,(AJ1149-AK1149)-AO1149*(AJ1149-AK1149)/(AD1149-AM1149))</f>
        <v>0</v>
      </c>
      <c r="AT1149" s="80" t="str">
        <f>IF(AC1149=1,INT(B1149)+1,"")</f>
        <v/>
      </c>
      <c r="AU1149" s="80">
        <f>IF(AND(D1149="proMX",R1149="Cancelled"),0,1)</f>
        <v>1</v>
      </c>
      <c r="AV1149" s="80">
        <f>IF(AND(AB1149=1,AU1149=1),IF(COUNTIFS($D$5:D1148,D1149,$B$5:B1148,B1149,$Z$5:Z1148,Z1149,$AA$5:AA1148,AA1149,$F$5:F1148,F1149&amp;"",$AU$5:AU1148,1)&gt;0,1,0),0)</f>
        <v>0</v>
      </c>
      <c r="AW1149" s="80" t="str">
        <f>IF(AB1149=1,INT(B1149)*1440+Z1149,"")</f>
        <v/>
      </c>
      <c r="AX1149" s="80" t="str">
        <f>IF(AB1149=1,AW1149+AD1149,"")</f>
        <v/>
      </c>
      <c r="AY1149" s="80">
        <f>IF(AND(AB1149=1,AV1149=0,AU1149=1),1,0)</f>
        <v>0</v>
      </c>
      <c r="AZ1149" s="80">
        <f>IF(AY1149=1,COUNTIFS(R_Emp,D1149,R_SAbs,"&lt;"&amp;AX1149,R_EAbs,"&gt;"&amp;AW1149,R_OKey,1)-1,0)</f>
        <v>0</v>
      </c>
      <c r="BA1149" s="80">
        <f>IF(AY1149=1,COUNTIFS(R_Emp,"&lt;&gt;"&amp;D1149,R_SAbs,"&lt;"&amp;AX1149,R_EAbs,"&gt;"&amp;AW1149,R_OKey,1),0)</f>
        <v>0</v>
      </c>
      <c r="BB1149" s="80">
        <f>IF(AND(AB1149=1,D1149="proMX"),IF(AND(MOD(Z1149,CFG_BLK)=0,MOD(AA1149,CFG_BLK)=0,MOD(AG1149,CFG_BLK)=0,AG1149&gt;0),1,0),1)</f>
        <v>1</v>
      </c>
      <c r="BC1149" s="80" t="str">
        <f>IF(Y1149=0,"",IF(NOT(ISNUMBER(B1149)),"Falta fecha o fecha inválida",IF(D1149="","Falta empresa",IF(AND(D1149&lt;&gt;"Malcolm",D1149&lt;&gt;"proMX"),"Empresa inválida",IF(OR(INT(B1149)&lt;CFG_PSTART,INT(B1149)&gt;CFG_PEND),"Fecha fuera del período",IF(OR(NOT(ISNUMBER(Z1149)),NOT(ISNUMBER(AA1149))),"Falta hora inicio/fin o formato inválido",IF(AB1149=0,"Hora inicio = hora fin",IF(AE1149&lt;0,"Descanso inválido",IF(AE1149&gt;=AD1149,"Descanso ≥ duración",IF(AV1149=1,"Registro duplicado",IF(AZ1149&gt;0,"Se superpone con otro registro "&amp;D1149,IF(BB1149=0,"inicio, fin y duración neta deben ser múltiplos de "&amp;CFG_BLK&amp;" min",""))))))))))))</f>
        <v/>
      </c>
      <c r="BD1149" s="80">
        <f>IF(AND(Y1149=1,BC1149=""),1,0)</f>
        <v>0</v>
      </c>
      <c r="BE1149" s="80">
        <f>IF(AND(BD1149=1,AU1149=1),1,0)</f>
        <v>0</v>
      </c>
      <c r="BF1149" s="80" t="str">
        <f>IF(AND(D1149="proMX",BD1149=1),IF(R1149="","Draft",R1149),"")</f>
        <v/>
      </c>
      <c r="BG1149" s="80">
        <f>IF(BD1149=1,ROUND(AG1149/60,6),0)</f>
        <v>0</v>
      </c>
      <c r="BH1149" s="80">
        <f>IF(BE1149=1,ROUND(AG1149/60,6),0)</f>
        <v>0</v>
      </c>
      <c r="BI1149" s="80">
        <f>IF(BE1149=1,ROUND(AP1149/60,6),0)</f>
        <v>0</v>
      </c>
      <c r="BJ1149" s="80">
        <f>IF(BE1149=1,ROUND(AQ1149/60,6),0)</f>
        <v>0</v>
      </c>
      <c r="BK1149" s="80">
        <f>IF(BE1149=1,ROUND((AR1149+AS1149)/60,6),0)</f>
        <v>0</v>
      </c>
      <c r="BL1149" s="80">
        <f>ROUND(BH1149-BK1149,6)</f>
        <v>0</v>
      </c>
      <c r="BM1149" s="80">
        <f>IF(BE1149=1,ROUND(AR1149/60,6),0)</f>
        <v>0</v>
      </c>
      <c r="BN1149" s="80">
        <f>ROUND(BI1149-BM1149,6)</f>
        <v>0</v>
      </c>
      <c r="BO1149" s="80">
        <f>IF(BE1149=1,ROUND(AS1149/60,6),0)</f>
        <v>0</v>
      </c>
      <c r="BP1149" s="80">
        <f>ROUND(BJ1149-BO1149,6)</f>
        <v>0</v>
      </c>
      <c r="BQ1149" s="80">
        <f>IF(BE1149=1,AW1149,0)</f>
        <v>0</v>
      </c>
      <c r="BR1149" s="80">
        <f>IF(BE1149=1,AX1149,0)</f>
        <v>0</v>
      </c>
      <c r="BS1149" s="80">
        <f>IF(AND(BE1149=1,D1149="Malcolm",BA1149&gt;0),MIN(BH1149,SUMPRODUCT((R_Emp="proMX")*(R_EN&gt;0)*((R_EN-(R_EN&gt;BR1149)*(R_EN-BR1149))&gt;(R_SN+(R_SN&lt;BQ1149)*(BQ1149-R_SN)))*((R_EN-(R_EN&gt;BR1149)*(R_EN-BR1149))-(R_SN+(R_SN&lt;BQ1149)*(BQ1149-R_SN))))/60),0)</f>
        <v>0</v>
      </c>
      <c r="BT1149" s="80">
        <f>IF(AND(BE1149=1,D1149="proMX"),ROUND(BI1149*CFG_RATE+BJ1149*CFG_OTRATE,6),0)</f>
        <v>0</v>
      </c>
      <c r="BU1149" s="80">
        <f>IF(AND(BD1149=1,D1149="proMX"),ROUND(AG1149/CFG_BLK,6),0)</f>
        <v>0</v>
      </c>
      <c r="BV1149" s="80" t="str">
        <f>IF(BF1149="Approved",IF(ISNUMBER(T1149),INT(T1149),INT(B1149)),"")</f>
        <v/>
      </c>
      <c r="BW1149" s="80">
        <f>IF(ISNUMBER(B1149),IF(DB_MON="Todos",1,IF(AND(INT(B1149)&gt;=DB_MS,INT(B1149)&lt;=DB_ME),1,0)),0)</f>
        <v>0</v>
      </c>
      <c r="BX1149" s="80">
        <f>IF(DB_PROJ="Todos",1,IF(E1149&amp;""=DB_PROJ&amp;"",1,0))</f>
        <v>1</v>
      </c>
      <c r="BY1149" s="80">
        <f>BW1149*BX1149</f>
        <v>0</v>
      </c>
      <c r="BZ1149" s="80" t="str">
        <f>IF(Y1149=1,F1149&amp;IF(AND(F1149&amp;""&lt;&gt;"",E1149&amp;""&lt;&gt;"")," · ","")&amp;E1149,"")</f>
        <v/>
      </c>
      <c r="CA1149" s="80" t="str">
        <f>IF(AND(BD1149=1,E1149&amp;""&lt;&gt;""),IF(COUNTIFS($E$5:E1148,E1149,$BD$5:BD1148,1)=0,MAX($CA$5:CA1148)+1,""),"")</f>
        <v/>
      </c>
      <c r="CB1149" s="80" t="str">
        <f>IF(AND(BE1149=1,D1149="Malcolm",E1149&amp;""&lt;&gt;""),IF(COUNTIFS($D$5:D1148,"Malcolm",$E$5:E1148,E1149,$BE$5:BE1148,1)=0,MAX($CB$5:CB1148)+1,""),"")</f>
        <v/>
      </c>
      <c r="CC1149" s="80" t="str">
        <f>IF(AND(BD1149=1,D1149="proMX",E1149&amp;""&lt;&gt;""),IF(COUNTIFS($D$5:D1148,"proMX",$E$5:E1148,E1149,$BD$5:BD1148,1)=0,MAX($CC$5:CC1148)+1,""),"")</f>
        <v/>
      </c>
      <c r="CD1149" s="80" t="str">
        <f>IF(AND(BE1149=1,D1149="Malcolm",F1149&amp;""&lt;&gt;""),IF(COUNTIFS($D$5:D1148,"Malcolm",$F$5:F1148,F1149,$BE$5:BE1148,1)=0,MAX($CD$5:CD1148)+1,""),"")</f>
        <v/>
      </c>
      <c r="CE1149" s="80" t="str">
        <f>IF(AND(BD1149=1,D1149="proMX",F1149&amp;""&lt;&gt;""),IF(COUNTIFS($D$5:D1148,"proMX",$F$5:F1148,F1149,$BD$5:BD1148,1)=0,MAX($CE$5:CE1148)+1,""),"")</f>
        <v/>
      </c>
      <c r="CF1149" s="80" t="str">
        <f>IF(AND(D1149="proMX",BD1149=1),IF(OR(BF1149="Draft",BF1149="Submitted",BF1149="Returned",BF1149="Recall Requested"),MAX($CF$5:CF1148)+1,""),"")</f>
        <v/>
      </c>
      <c r="CG1149" s="80">
        <f>IF(BD1149=0,0,IF(D1149="Malcolm",1,MATCH(BF1149,{"Draft","Submitted","Approved","Returned","Recall Requested","Cancelled"},0)+1))</f>
        <v>0</v>
      </c>
      <c r="CH1149" s="80">
        <f>IF(AND(BF1149="Submitted",ISNUMBER(V1149)),IF(V1149&gt;CFG_MAXD,1,0),0)</f>
        <v>0</v>
      </c>
    </row>
    <row r="1150">
      <c r="A1150" s="71" t="str">
        <f>IF(Y1150=1,ROW()-5,"")</f>
        <v/>
      </c>
      <c r="B1150" s="72" t="n"/>
      <c r="C1150" s="71" t="str">
        <f>IF(ISNUMBER(B1150),CHOOSE(WEEKDAY(B1150,2),"Lun","Mar","Mié","Jue","Vie","Sáb","Dom"),"")</f>
        <v/>
      </c>
      <c r="D1150" s="73" t="n"/>
      <c r="E1150" s="74" t="n"/>
      <c r="F1150" s="74" t="n"/>
      <c r="G1150" s="74" t="n"/>
      <c r="H1150" s="75" t="n"/>
      <c r="I1150" s="75" t="n"/>
      <c r="J1150" s="76" t="n"/>
      <c r="K1150" s="77" t="str">
        <f>IF(AB1150=1,ROUND(AG1150/60,4),"")</f>
        <v/>
      </c>
      <c r="L1150" s="77" t="str">
        <f>IF(BD1150=1,ROUND(AP1150/60,4),"")</f>
        <v/>
      </c>
      <c r="M1150" s="77" t="str">
        <f>IF(BD1150=1,ROUND(AQ1150/60,4),"")</f>
        <v/>
      </c>
      <c r="N1150" s="71" t="str">
        <f>IF(AND(D1150="proMX",AB1150=1),ROUND(AG1150/CFG_BLK,2),"")</f>
        <v/>
      </c>
      <c r="O1150" s="77" t="str">
        <f>IF(D1150="proMX",IF(BD1150=1,ROUND(AG1150/60,4),0),"")</f>
        <v/>
      </c>
      <c r="P1150" s="78" t="str">
        <f>IF(Y1150=0,"",IF(BD1150=1,"OK",IF(D1150="proMX","Revisar bloques: ","Revisar: ")&amp;BC1150))</f>
        <v/>
      </c>
      <c r="Q1150" s="78" t="str">
        <f>IF(NOT(ISNUMBER(B1150)),"",IF(COUNTIFS(FER_F,INT(B1150))&gt;0,"Feriado"&amp;IF(AH1150=1," (laborable)"," (no laborable)"),IF(AH1150=1,"Laborable",IF(WEEKDAY(B1150,2)&gt;5,"Fin de semana","No laborable"))))</f>
        <v/>
      </c>
      <c r="R1150" s="73" t="n"/>
      <c r="S1150" s="72" t="n"/>
      <c r="T1150" s="72" t="n"/>
      <c r="U1150" s="74" t="n"/>
      <c r="V1150" s="79" t="str">
        <f>IF(AND(D1150="proMX",OR(R1150="Submitted",R1150="Recall Requested"),ISNUMBER(S1150)),CFG_TODAY-INT(S1150),"")</f>
        <v/>
      </c>
      <c r="W1150" s="78" t="str">
        <f>IF(BD1150=0,"",IF(BA1150&gt;0,"⚠ Se superpone con un registro de la otra empresa",IF(D1150="Malcolm",IF(COUNTA(R1150,S1150,T1150)&gt;0,"Estado/fechas proMX se ignoran en Malcolm",""),IF(BF1150="Cancelled","Cancelado: excluido de totales",IF(R1150="","Sin estado: se trata como Draft",IF(BF1150="Submitted",IF(ISNUMBER(V1150),IF(V1150&gt;CFG_MAXD,"⚠ "&amp;V1150&amp;" días en Submitted (máx. "&amp;CFG_MAXD&amp;")",""),"Falta fecha de envío"),IF(BF1150="Returned","⚠ Devuelto: corregir y reenviar",IF(BF1150="Recall Requested","Retirada solicitada: pendiente",IF(AND(BF1150="Approved",NOT(ISNUMBER(T1150))),"Falta fecha de aprobación",IF(AND(ISNUMBER(S1150),ISNUMBER(T1150),T1150&lt;S1150),"Aprobación anterior al envío","")))))))))</f>
        <v/>
      </c>
      <c r="Y1150" s="80">
        <f>IF(COUNTA(B1150,D1150,E1150,F1150,G1150,H1150,I1150,J1150,R1150,S1150,T1150)&gt;0,1,0)</f>
        <v>0</v>
      </c>
      <c r="Z1150" s="80" t="str">
        <f>IF(AND(ISNUMBER(H1150),H1150&gt;=0,H1150&lt;1),ROUND(H1150*1440,0),"")</f>
        <v/>
      </c>
      <c r="AA1150" s="80" t="str">
        <f>IF(AND(ISNUMBER(I1150),I1150&gt;=0,I1150&lt;1),ROUND(I1150*1440,0),"")</f>
        <v/>
      </c>
      <c r="AB1150" s="80">
        <f>IF(AND(ISNUMBER(B1150),D1150&lt;&gt;"",ISNUMBER(Z1150),ISNUMBER(AA1150)),IF(Z1150=AA1150,0,1),0)</f>
        <v>0</v>
      </c>
      <c r="AC1150" s="80">
        <f>IF(AB1150=1,IF(AA1150&lt;Z1150,1,0),0)</f>
        <v>0</v>
      </c>
      <c r="AD1150" s="80">
        <f>IF(AB1150=1,IF(AC1150=1,1440-Z1150+AA1150,AA1150-Z1150),0)</f>
        <v>0</v>
      </c>
      <c r="AE1150" s="80">
        <f>IF(J1150="",0,IF(ISNUMBER(J1150),J1150,-1))</f>
        <v>0</v>
      </c>
      <c r="AF1150" s="80">
        <f>MIN(MAX(0,AE1150),AD1150)</f>
        <v>0</v>
      </c>
      <c r="AG1150" s="80">
        <f>MAX(0,AD1150-MAX(0,AE1150))</f>
        <v>0</v>
      </c>
      <c r="AH1150" s="80">
        <f>IF(ISNUMBER(B1150),IF(AND(INDEX(CFG_WDAYS,WEEKDAY(INT(B1150),2))="Sí",IF(D1150="proMX",COUNTIFS(FER_F,INT(B1150),FER_NLP,"Sí"),COUNTIFS(FER_F,INT(B1150),FER_NLM,"Sí"))=0),1,0),0)</f>
        <v>0</v>
      </c>
      <c r="AI1150" s="80">
        <f>IF(AC1150=1,IF(AND(INDEX(CFG_WDAYS,WEEKDAY(INT(B1150)+1,2))="Sí",IF(D1150="proMX",COUNTIFS(FER_F,INT(B1150)+1,FER_NLP,"Sí"),COUNTIFS(FER_F,INT(B1150)+1,FER_NLM,"Sí"))=0),1,0),0)</f>
        <v>0</v>
      </c>
      <c r="AJ1150" s="80">
        <f>IF(AC1150=1,1440-Z1150,AD1150)</f>
        <v>0</v>
      </c>
      <c r="AK1150" s="80">
        <f>IF(AND(AB1150=1,AH1150=1),MAX(0,MIN(IF(AC1150=1,1440,AA1150),CFG_WEM)-MAX(Z1150,CFG_WSM)),0)</f>
        <v>0</v>
      </c>
      <c r="AL1150" s="80">
        <f>IF(AND(AC1150=1,AI1150=1),MAX(0,MIN(AA1150,CFG_WEM)-CFG_WSM),0)</f>
        <v>0</v>
      </c>
      <c r="AM1150" s="80">
        <f>AK1150+AL1150</f>
        <v>0</v>
      </c>
      <c r="AN1150" s="80">
        <f>IF(CFG_BRK="Proporcional",IF(AD1150=0,0,AF1150*AM1150/AD1150),IF(CFG_BRK="Extras primero",MIN(AM1150,MAX(0,AF1150-(AD1150-AM1150))),MIN(AF1150,AM1150)))</f>
        <v>0</v>
      </c>
      <c r="AO1150" s="80">
        <f>AF1150-AN1150</f>
        <v>0</v>
      </c>
      <c r="AP1150" s="80">
        <f>AM1150-AN1150</f>
        <v>0</v>
      </c>
      <c r="AQ1150" s="80">
        <f>AD1150-AM1150-AO1150</f>
        <v>0</v>
      </c>
      <c r="AR1150" s="80">
        <f>IF(AM1150=0,0,AK1150-AN1150*AK1150/AM1150)</f>
        <v>0</v>
      </c>
      <c r="AS1150" s="80">
        <f>IF(AD1150-AM1150=0,0,(AJ1150-AK1150)-AO1150*(AJ1150-AK1150)/(AD1150-AM1150))</f>
        <v>0</v>
      </c>
      <c r="AT1150" s="80" t="str">
        <f>IF(AC1150=1,INT(B1150)+1,"")</f>
        <v/>
      </c>
      <c r="AU1150" s="80">
        <f>IF(AND(D1150="proMX",R1150="Cancelled"),0,1)</f>
        <v>1</v>
      </c>
      <c r="AV1150" s="80">
        <f>IF(AND(AB1150=1,AU1150=1),IF(COUNTIFS($D$5:D1149,D1150,$B$5:B1149,B1150,$Z$5:Z1149,Z1150,$AA$5:AA1149,AA1150,$F$5:F1149,F1150&amp;"",$AU$5:AU1149,1)&gt;0,1,0),0)</f>
        <v>0</v>
      </c>
      <c r="AW1150" s="80" t="str">
        <f>IF(AB1150=1,INT(B1150)*1440+Z1150,"")</f>
        <v/>
      </c>
      <c r="AX1150" s="80" t="str">
        <f>IF(AB1150=1,AW1150+AD1150,"")</f>
        <v/>
      </c>
      <c r="AY1150" s="80">
        <f>IF(AND(AB1150=1,AV1150=0,AU1150=1),1,0)</f>
        <v>0</v>
      </c>
      <c r="AZ1150" s="80">
        <f>IF(AY1150=1,COUNTIFS(R_Emp,D1150,R_SAbs,"&lt;"&amp;AX1150,R_EAbs,"&gt;"&amp;AW1150,R_OKey,1)-1,0)</f>
        <v>0</v>
      </c>
      <c r="BA1150" s="80">
        <f>IF(AY1150=1,COUNTIFS(R_Emp,"&lt;&gt;"&amp;D1150,R_SAbs,"&lt;"&amp;AX1150,R_EAbs,"&gt;"&amp;AW1150,R_OKey,1),0)</f>
        <v>0</v>
      </c>
      <c r="BB1150" s="80">
        <f>IF(AND(AB1150=1,D1150="proMX"),IF(AND(MOD(Z1150,CFG_BLK)=0,MOD(AA1150,CFG_BLK)=0,MOD(AG1150,CFG_BLK)=0,AG1150&gt;0),1,0),1)</f>
        <v>1</v>
      </c>
      <c r="BC1150" s="80" t="str">
        <f>IF(Y1150=0,"",IF(NOT(ISNUMBER(B1150)),"Falta fecha o fecha inválida",IF(D1150="","Falta empresa",IF(AND(D1150&lt;&gt;"Malcolm",D1150&lt;&gt;"proMX"),"Empresa inválida",IF(OR(INT(B1150)&lt;CFG_PSTART,INT(B1150)&gt;CFG_PEND),"Fecha fuera del período",IF(OR(NOT(ISNUMBER(Z1150)),NOT(ISNUMBER(AA1150))),"Falta hora inicio/fin o formato inválido",IF(AB1150=0,"Hora inicio = hora fin",IF(AE1150&lt;0,"Descanso inválido",IF(AE1150&gt;=AD1150,"Descanso ≥ duración",IF(AV1150=1,"Registro duplicado",IF(AZ1150&gt;0,"Se superpone con otro registro "&amp;D1150,IF(BB1150=0,"inicio, fin y duración neta deben ser múltiplos de "&amp;CFG_BLK&amp;" min",""))))))))))))</f>
        <v/>
      </c>
      <c r="BD1150" s="80">
        <f>IF(AND(Y1150=1,BC1150=""),1,0)</f>
        <v>0</v>
      </c>
      <c r="BE1150" s="80">
        <f>IF(AND(BD1150=1,AU1150=1),1,0)</f>
        <v>0</v>
      </c>
      <c r="BF1150" s="80" t="str">
        <f>IF(AND(D1150="proMX",BD1150=1),IF(R1150="","Draft",R1150),"")</f>
        <v/>
      </c>
      <c r="BG1150" s="80">
        <f>IF(BD1150=1,ROUND(AG1150/60,6),0)</f>
        <v>0</v>
      </c>
      <c r="BH1150" s="80">
        <f>IF(BE1150=1,ROUND(AG1150/60,6),0)</f>
        <v>0</v>
      </c>
      <c r="BI1150" s="80">
        <f>IF(BE1150=1,ROUND(AP1150/60,6),0)</f>
        <v>0</v>
      </c>
      <c r="BJ1150" s="80">
        <f>IF(BE1150=1,ROUND(AQ1150/60,6),0)</f>
        <v>0</v>
      </c>
      <c r="BK1150" s="80">
        <f>IF(BE1150=1,ROUND((AR1150+AS1150)/60,6),0)</f>
        <v>0</v>
      </c>
      <c r="BL1150" s="80">
        <f>ROUND(BH1150-BK1150,6)</f>
        <v>0</v>
      </c>
      <c r="BM1150" s="80">
        <f>IF(BE1150=1,ROUND(AR1150/60,6),0)</f>
        <v>0</v>
      </c>
      <c r="BN1150" s="80">
        <f>ROUND(BI1150-BM1150,6)</f>
        <v>0</v>
      </c>
      <c r="BO1150" s="80">
        <f>IF(BE1150=1,ROUND(AS1150/60,6),0)</f>
        <v>0</v>
      </c>
      <c r="BP1150" s="80">
        <f>ROUND(BJ1150-BO1150,6)</f>
        <v>0</v>
      </c>
      <c r="BQ1150" s="80">
        <f>IF(BE1150=1,AW1150,0)</f>
        <v>0</v>
      </c>
      <c r="BR1150" s="80">
        <f>IF(BE1150=1,AX1150,0)</f>
        <v>0</v>
      </c>
      <c r="BS1150" s="80">
        <f>IF(AND(BE1150=1,D1150="Malcolm",BA1150&gt;0),MIN(BH1150,SUMPRODUCT((R_Emp="proMX")*(R_EN&gt;0)*((R_EN-(R_EN&gt;BR1150)*(R_EN-BR1150))&gt;(R_SN+(R_SN&lt;BQ1150)*(BQ1150-R_SN)))*((R_EN-(R_EN&gt;BR1150)*(R_EN-BR1150))-(R_SN+(R_SN&lt;BQ1150)*(BQ1150-R_SN))))/60),0)</f>
        <v>0</v>
      </c>
      <c r="BT1150" s="80">
        <f>IF(AND(BE1150=1,D1150="proMX"),ROUND(BI1150*CFG_RATE+BJ1150*CFG_OTRATE,6),0)</f>
        <v>0</v>
      </c>
      <c r="BU1150" s="80">
        <f>IF(AND(BD1150=1,D1150="proMX"),ROUND(AG1150/CFG_BLK,6),0)</f>
        <v>0</v>
      </c>
      <c r="BV1150" s="80" t="str">
        <f>IF(BF1150="Approved",IF(ISNUMBER(T1150),INT(T1150),INT(B1150)),"")</f>
        <v/>
      </c>
      <c r="BW1150" s="80">
        <f>IF(ISNUMBER(B1150),IF(DB_MON="Todos",1,IF(AND(INT(B1150)&gt;=DB_MS,INT(B1150)&lt;=DB_ME),1,0)),0)</f>
        <v>0</v>
      </c>
      <c r="BX1150" s="80">
        <f>IF(DB_PROJ="Todos",1,IF(E1150&amp;""=DB_PROJ&amp;"",1,0))</f>
        <v>1</v>
      </c>
      <c r="BY1150" s="80">
        <f>BW1150*BX1150</f>
        <v>0</v>
      </c>
      <c r="BZ1150" s="80" t="str">
        <f>IF(Y1150=1,F1150&amp;IF(AND(F1150&amp;""&lt;&gt;"",E1150&amp;""&lt;&gt;"")," · ","")&amp;E1150,"")</f>
        <v/>
      </c>
      <c r="CA1150" s="80" t="str">
        <f>IF(AND(BD1150=1,E1150&amp;""&lt;&gt;""),IF(COUNTIFS($E$5:E1149,E1150,$BD$5:BD1149,1)=0,MAX($CA$5:CA1149)+1,""),"")</f>
        <v/>
      </c>
      <c r="CB1150" s="80" t="str">
        <f>IF(AND(BE1150=1,D1150="Malcolm",E1150&amp;""&lt;&gt;""),IF(COUNTIFS($D$5:D1149,"Malcolm",$E$5:E1149,E1150,$BE$5:BE1149,1)=0,MAX($CB$5:CB1149)+1,""),"")</f>
        <v/>
      </c>
      <c r="CC1150" s="80" t="str">
        <f>IF(AND(BD1150=1,D1150="proMX",E1150&amp;""&lt;&gt;""),IF(COUNTIFS($D$5:D1149,"proMX",$E$5:E1149,E1150,$BD$5:BD1149,1)=0,MAX($CC$5:CC1149)+1,""),"")</f>
        <v/>
      </c>
      <c r="CD1150" s="80" t="str">
        <f>IF(AND(BE1150=1,D1150="Malcolm",F1150&amp;""&lt;&gt;""),IF(COUNTIFS($D$5:D1149,"Malcolm",$F$5:F1149,F1150,$BE$5:BE1149,1)=0,MAX($CD$5:CD1149)+1,""),"")</f>
        <v/>
      </c>
      <c r="CE1150" s="80" t="str">
        <f>IF(AND(BD1150=1,D1150="proMX",F1150&amp;""&lt;&gt;""),IF(COUNTIFS($D$5:D1149,"proMX",$F$5:F1149,F1150,$BD$5:BD1149,1)=0,MAX($CE$5:CE1149)+1,""),"")</f>
        <v/>
      </c>
      <c r="CF1150" s="80" t="str">
        <f>IF(AND(D1150="proMX",BD1150=1),IF(OR(BF1150="Draft",BF1150="Submitted",BF1150="Returned",BF1150="Recall Requested"),MAX($CF$5:CF1149)+1,""),"")</f>
        <v/>
      </c>
      <c r="CG1150" s="80">
        <f>IF(BD1150=0,0,IF(D1150="Malcolm",1,MATCH(BF1150,{"Draft","Submitted","Approved","Returned","Recall Requested","Cancelled"},0)+1))</f>
        <v>0</v>
      </c>
      <c r="CH1150" s="80">
        <f>IF(AND(BF1150="Submitted",ISNUMBER(V1150)),IF(V1150&gt;CFG_MAXD,1,0),0)</f>
        <v>0</v>
      </c>
    </row>
    <row r="1151">
      <c r="A1151" s="71" t="str">
        <f>IF(Y1151=1,ROW()-5,"")</f>
        <v/>
      </c>
      <c r="B1151" s="72" t="n"/>
      <c r="C1151" s="71" t="str">
        <f>IF(ISNUMBER(B1151),CHOOSE(WEEKDAY(B1151,2),"Lun","Mar","Mié","Jue","Vie","Sáb","Dom"),"")</f>
        <v/>
      </c>
      <c r="D1151" s="73" t="n"/>
      <c r="E1151" s="74" t="n"/>
      <c r="F1151" s="74" t="n"/>
      <c r="G1151" s="74" t="n"/>
      <c r="H1151" s="75" t="n"/>
      <c r="I1151" s="75" t="n"/>
      <c r="J1151" s="76" t="n"/>
      <c r="K1151" s="77" t="str">
        <f>IF(AB1151=1,ROUND(AG1151/60,4),"")</f>
        <v/>
      </c>
      <c r="L1151" s="77" t="str">
        <f>IF(BD1151=1,ROUND(AP1151/60,4),"")</f>
        <v/>
      </c>
      <c r="M1151" s="77" t="str">
        <f>IF(BD1151=1,ROUND(AQ1151/60,4),"")</f>
        <v/>
      </c>
      <c r="N1151" s="71" t="str">
        <f>IF(AND(D1151="proMX",AB1151=1),ROUND(AG1151/CFG_BLK,2),"")</f>
        <v/>
      </c>
      <c r="O1151" s="77" t="str">
        <f>IF(D1151="proMX",IF(BD1151=1,ROUND(AG1151/60,4),0),"")</f>
        <v/>
      </c>
      <c r="P1151" s="78" t="str">
        <f>IF(Y1151=0,"",IF(BD1151=1,"OK",IF(D1151="proMX","Revisar bloques: ","Revisar: ")&amp;BC1151))</f>
        <v/>
      </c>
      <c r="Q1151" s="78" t="str">
        <f>IF(NOT(ISNUMBER(B1151)),"",IF(COUNTIFS(FER_F,INT(B1151))&gt;0,"Feriado"&amp;IF(AH1151=1," (laborable)"," (no laborable)"),IF(AH1151=1,"Laborable",IF(WEEKDAY(B1151,2)&gt;5,"Fin de semana","No laborable"))))</f>
        <v/>
      </c>
      <c r="R1151" s="73" t="n"/>
      <c r="S1151" s="72" t="n"/>
      <c r="T1151" s="72" t="n"/>
      <c r="U1151" s="74" t="n"/>
      <c r="V1151" s="79" t="str">
        <f>IF(AND(D1151="proMX",OR(R1151="Submitted",R1151="Recall Requested"),ISNUMBER(S1151)),CFG_TODAY-INT(S1151),"")</f>
        <v/>
      </c>
      <c r="W1151" s="78" t="str">
        <f>IF(BD1151=0,"",IF(BA1151&gt;0,"⚠ Se superpone con un registro de la otra empresa",IF(D1151="Malcolm",IF(COUNTA(R1151,S1151,T1151)&gt;0,"Estado/fechas proMX se ignoran en Malcolm",""),IF(BF1151="Cancelled","Cancelado: excluido de totales",IF(R1151="","Sin estado: se trata como Draft",IF(BF1151="Submitted",IF(ISNUMBER(V1151),IF(V1151&gt;CFG_MAXD,"⚠ "&amp;V1151&amp;" días en Submitted (máx. "&amp;CFG_MAXD&amp;")",""),"Falta fecha de envío"),IF(BF1151="Returned","⚠ Devuelto: corregir y reenviar",IF(BF1151="Recall Requested","Retirada solicitada: pendiente",IF(AND(BF1151="Approved",NOT(ISNUMBER(T1151))),"Falta fecha de aprobación",IF(AND(ISNUMBER(S1151),ISNUMBER(T1151),T1151&lt;S1151),"Aprobación anterior al envío","")))))))))</f>
        <v/>
      </c>
      <c r="Y1151" s="80">
        <f>IF(COUNTA(B1151,D1151,E1151,F1151,G1151,H1151,I1151,J1151,R1151,S1151,T1151)&gt;0,1,0)</f>
        <v>0</v>
      </c>
      <c r="Z1151" s="80" t="str">
        <f>IF(AND(ISNUMBER(H1151),H1151&gt;=0,H1151&lt;1),ROUND(H1151*1440,0),"")</f>
        <v/>
      </c>
      <c r="AA1151" s="80" t="str">
        <f>IF(AND(ISNUMBER(I1151),I1151&gt;=0,I1151&lt;1),ROUND(I1151*1440,0),"")</f>
        <v/>
      </c>
      <c r="AB1151" s="80">
        <f>IF(AND(ISNUMBER(B1151),D1151&lt;&gt;"",ISNUMBER(Z1151),ISNUMBER(AA1151)),IF(Z1151=AA1151,0,1),0)</f>
        <v>0</v>
      </c>
      <c r="AC1151" s="80">
        <f>IF(AB1151=1,IF(AA1151&lt;Z1151,1,0),0)</f>
        <v>0</v>
      </c>
      <c r="AD1151" s="80">
        <f>IF(AB1151=1,IF(AC1151=1,1440-Z1151+AA1151,AA1151-Z1151),0)</f>
        <v>0</v>
      </c>
      <c r="AE1151" s="80">
        <f>IF(J1151="",0,IF(ISNUMBER(J1151),J1151,-1))</f>
        <v>0</v>
      </c>
      <c r="AF1151" s="80">
        <f>MIN(MAX(0,AE1151),AD1151)</f>
        <v>0</v>
      </c>
      <c r="AG1151" s="80">
        <f>MAX(0,AD1151-MAX(0,AE1151))</f>
        <v>0</v>
      </c>
      <c r="AH1151" s="80">
        <f>IF(ISNUMBER(B1151),IF(AND(INDEX(CFG_WDAYS,WEEKDAY(INT(B1151),2))="Sí",IF(D1151="proMX",COUNTIFS(FER_F,INT(B1151),FER_NLP,"Sí"),COUNTIFS(FER_F,INT(B1151),FER_NLM,"Sí"))=0),1,0),0)</f>
        <v>0</v>
      </c>
      <c r="AI1151" s="80">
        <f>IF(AC1151=1,IF(AND(INDEX(CFG_WDAYS,WEEKDAY(INT(B1151)+1,2))="Sí",IF(D1151="proMX",COUNTIFS(FER_F,INT(B1151)+1,FER_NLP,"Sí"),COUNTIFS(FER_F,INT(B1151)+1,FER_NLM,"Sí"))=0),1,0),0)</f>
        <v>0</v>
      </c>
      <c r="AJ1151" s="80">
        <f>IF(AC1151=1,1440-Z1151,AD1151)</f>
        <v>0</v>
      </c>
      <c r="AK1151" s="80">
        <f>IF(AND(AB1151=1,AH1151=1),MAX(0,MIN(IF(AC1151=1,1440,AA1151),CFG_WEM)-MAX(Z1151,CFG_WSM)),0)</f>
        <v>0</v>
      </c>
      <c r="AL1151" s="80">
        <f>IF(AND(AC1151=1,AI1151=1),MAX(0,MIN(AA1151,CFG_WEM)-CFG_WSM),0)</f>
        <v>0</v>
      </c>
      <c r="AM1151" s="80">
        <f>AK1151+AL1151</f>
        <v>0</v>
      </c>
      <c r="AN1151" s="80">
        <f>IF(CFG_BRK="Proporcional",IF(AD1151=0,0,AF1151*AM1151/AD1151),IF(CFG_BRK="Extras primero",MIN(AM1151,MAX(0,AF1151-(AD1151-AM1151))),MIN(AF1151,AM1151)))</f>
        <v>0</v>
      </c>
      <c r="AO1151" s="80">
        <f>AF1151-AN1151</f>
        <v>0</v>
      </c>
      <c r="AP1151" s="80">
        <f>AM1151-AN1151</f>
        <v>0</v>
      </c>
      <c r="AQ1151" s="80">
        <f>AD1151-AM1151-AO1151</f>
        <v>0</v>
      </c>
      <c r="AR1151" s="80">
        <f>IF(AM1151=0,0,AK1151-AN1151*AK1151/AM1151)</f>
        <v>0</v>
      </c>
      <c r="AS1151" s="80">
        <f>IF(AD1151-AM1151=0,0,(AJ1151-AK1151)-AO1151*(AJ1151-AK1151)/(AD1151-AM1151))</f>
        <v>0</v>
      </c>
      <c r="AT1151" s="80" t="str">
        <f>IF(AC1151=1,INT(B1151)+1,"")</f>
        <v/>
      </c>
      <c r="AU1151" s="80">
        <f>IF(AND(D1151="proMX",R1151="Cancelled"),0,1)</f>
        <v>1</v>
      </c>
      <c r="AV1151" s="80">
        <f>IF(AND(AB1151=1,AU1151=1),IF(COUNTIFS($D$5:D1150,D1151,$B$5:B1150,B1151,$Z$5:Z1150,Z1151,$AA$5:AA1150,AA1151,$F$5:F1150,F1151&amp;"",$AU$5:AU1150,1)&gt;0,1,0),0)</f>
        <v>0</v>
      </c>
      <c r="AW1151" s="80" t="str">
        <f>IF(AB1151=1,INT(B1151)*1440+Z1151,"")</f>
        <v/>
      </c>
      <c r="AX1151" s="80" t="str">
        <f>IF(AB1151=1,AW1151+AD1151,"")</f>
        <v/>
      </c>
      <c r="AY1151" s="80">
        <f>IF(AND(AB1151=1,AV1151=0,AU1151=1),1,0)</f>
        <v>0</v>
      </c>
      <c r="AZ1151" s="80">
        <f>IF(AY1151=1,COUNTIFS(R_Emp,D1151,R_SAbs,"&lt;"&amp;AX1151,R_EAbs,"&gt;"&amp;AW1151,R_OKey,1)-1,0)</f>
        <v>0</v>
      </c>
      <c r="BA1151" s="80">
        <f>IF(AY1151=1,COUNTIFS(R_Emp,"&lt;&gt;"&amp;D1151,R_SAbs,"&lt;"&amp;AX1151,R_EAbs,"&gt;"&amp;AW1151,R_OKey,1),0)</f>
        <v>0</v>
      </c>
      <c r="BB1151" s="80">
        <f>IF(AND(AB1151=1,D1151="proMX"),IF(AND(MOD(Z1151,CFG_BLK)=0,MOD(AA1151,CFG_BLK)=0,MOD(AG1151,CFG_BLK)=0,AG1151&gt;0),1,0),1)</f>
        <v>1</v>
      </c>
      <c r="BC1151" s="80" t="str">
        <f>IF(Y1151=0,"",IF(NOT(ISNUMBER(B1151)),"Falta fecha o fecha inválida",IF(D1151="","Falta empresa",IF(AND(D1151&lt;&gt;"Malcolm",D1151&lt;&gt;"proMX"),"Empresa inválida",IF(OR(INT(B1151)&lt;CFG_PSTART,INT(B1151)&gt;CFG_PEND),"Fecha fuera del período",IF(OR(NOT(ISNUMBER(Z1151)),NOT(ISNUMBER(AA1151))),"Falta hora inicio/fin o formato inválido",IF(AB1151=0,"Hora inicio = hora fin",IF(AE1151&lt;0,"Descanso inválido",IF(AE1151&gt;=AD1151,"Descanso ≥ duración",IF(AV1151=1,"Registro duplicado",IF(AZ1151&gt;0,"Se superpone con otro registro "&amp;D1151,IF(BB1151=0,"inicio, fin y duración neta deben ser múltiplos de "&amp;CFG_BLK&amp;" min",""))))))))))))</f>
        <v/>
      </c>
      <c r="BD1151" s="80">
        <f>IF(AND(Y1151=1,BC1151=""),1,0)</f>
        <v>0</v>
      </c>
      <c r="BE1151" s="80">
        <f>IF(AND(BD1151=1,AU1151=1),1,0)</f>
        <v>0</v>
      </c>
      <c r="BF1151" s="80" t="str">
        <f>IF(AND(D1151="proMX",BD1151=1),IF(R1151="","Draft",R1151),"")</f>
        <v/>
      </c>
      <c r="BG1151" s="80">
        <f>IF(BD1151=1,ROUND(AG1151/60,6),0)</f>
        <v>0</v>
      </c>
      <c r="BH1151" s="80">
        <f>IF(BE1151=1,ROUND(AG1151/60,6),0)</f>
        <v>0</v>
      </c>
      <c r="BI1151" s="80">
        <f>IF(BE1151=1,ROUND(AP1151/60,6),0)</f>
        <v>0</v>
      </c>
      <c r="BJ1151" s="80">
        <f>IF(BE1151=1,ROUND(AQ1151/60,6),0)</f>
        <v>0</v>
      </c>
      <c r="BK1151" s="80">
        <f>IF(BE1151=1,ROUND((AR1151+AS1151)/60,6),0)</f>
        <v>0</v>
      </c>
      <c r="BL1151" s="80">
        <f>ROUND(BH1151-BK1151,6)</f>
        <v>0</v>
      </c>
      <c r="BM1151" s="80">
        <f>IF(BE1151=1,ROUND(AR1151/60,6),0)</f>
        <v>0</v>
      </c>
      <c r="BN1151" s="80">
        <f>ROUND(BI1151-BM1151,6)</f>
        <v>0</v>
      </c>
      <c r="BO1151" s="80">
        <f>IF(BE1151=1,ROUND(AS1151/60,6),0)</f>
        <v>0</v>
      </c>
      <c r="BP1151" s="80">
        <f>ROUND(BJ1151-BO1151,6)</f>
        <v>0</v>
      </c>
      <c r="BQ1151" s="80">
        <f>IF(BE1151=1,AW1151,0)</f>
        <v>0</v>
      </c>
      <c r="BR1151" s="80">
        <f>IF(BE1151=1,AX1151,0)</f>
        <v>0</v>
      </c>
      <c r="BS1151" s="80">
        <f>IF(AND(BE1151=1,D1151="Malcolm",BA1151&gt;0),MIN(BH1151,SUMPRODUCT((R_Emp="proMX")*(R_EN&gt;0)*((R_EN-(R_EN&gt;BR1151)*(R_EN-BR1151))&gt;(R_SN+(R_SN&lt;BQ1151)*(BQ1151-R_SN)))*((R_EN-(R_EN&gt;BR1151)*(R_EN-BR1151))-(R_SN+(R_SN&lt;BQ1151)*(BQ1151-R_SN))))/60),0)</f>
        <v>0</v>
      </c>
      <c r="BT1151" s="80">
        <f>IF(AND(BE1151=1,D1151="proMX"),ROUND(BI1151*CFG_RATE+BJ1151*CFG_OTRATE,6),0)</f>
        <v>0</v>
      </c>
      <c r="BU1151" s="80">
        <f>IF(AND(BD1151=1,D1151="proMX"),ROUND(AG1151/CFG_BLK,6),0)</f>
        <v>0</v>
      </c>
      <c r="BV1151" s="80" t="str">
        <f>IF(BF1151="Approved",IF(ISNUMBER(T1151),INT(T1151),INT(B1151)),"")</f>
        <v/>
      </c>
      <c r="BW1151" s="80">
        <f>IF(ISNUMBER(B1151),IF(DB_MON="Todos",1,IF(AND(INT(B1151)&gt;=DB_MS,INT(B1151)&lt;=DB_ME),1,0)),0)</f>
        <v>0</v>
      </c>
      <c r="BX1151" s="80">
        <f>IF(DB_PROJ="Todos",1,IF(E1151&amp;""=DB_PROJ&amp;"",1,0))</f>
        <v>1</v>
      </c>
      <c r="BY1151" s="80">
        <f>BW1151*BX1151</f>
        <v>0</v>
      </c>
      <c r="BZ1151" s="80" t="str">
        <f>IF(Y1151=1,F1151&amp;IF(AND(F1151&amp;""&lt;&gt;"",E1151&amp;""&lt;&gt;"")," · ","")&amp;E1151,"")</f>
        <v/>
      </c>
      <c r="CA1151" s="80" t="str">
        <f>IF(AND(BD1151=1,E1151&amp;""&lt;&gt;""),IF(COUNTIFS($E$5:E1150,E1151,$BD$5:BD1150,1)=0,MAX($CA$5:CA1150)+1,""),"")</f>
        <v/>
      </c>
      <c r="CB1151" s="80" t="str">
        <f>IF(AND(BE1151=1,D1151="Malcolm",E1151&amp;""&lt;&gt;""),IF(COUNTIFS($D$5:D1150,"Malcolm",$E$5:E1150,E1151,$BE$5:BE1150,1)=0,MAX($CB$5:CB1150)+1,""),"")</f>
        <v/>
      </c>
      <c r="CC1151" s="80" t="str">
        <f>IF(AND(BD1151=1,D1151="proMX",E1151&amp;""&lt;&gt;""),IF(COUNTIFS($D$5:D1150,"proMX",$E$5:E1150,E1151,$BD$5:BD1150,1)=0,MAX($CC$5:CC1150)+1,""),"")</f>
        <v/>
      </c>
      <c r="CD1151" s="80" t="str">
        <f>IF(AND(BE1151=1,D1151="Malcolm",F1151&amp;""&lt;&gt;""),IF(COUNTIFS($D$5:D1150,"Malcolm",$F$5:F1150,F1151,$BE$5:BE1150,1)=0,MAX($CD$5:CD1150)+1,""),"")</f>
        <v/>
      </c>
      <c r="CE1151" s="80" t="str">
        <f>IF(AND(BD1151=1,D1151="proMX",F1151&amp;""&lt;&gt;""),IF(COUNTIFS($D$5:D1150,"proMX",$F$5:F1150,F1151,$BD$5:BD1150,1)=0,MAX($CE$5:CE1150)+1,""),"")</f>
        <v/>
      </c>
      <c r="CF1151" s="80" t="str">
        <f>IF(AND(D1151="proMX",BD1151=1),IF(OR(BF1151="Draft",BF1151="Submitted",BF1151="Returned",BF1151="Recall Requested"),MAX($CF$5:CF1150)+1,""),"")</f>
        <v/>
      </c>
      <c r="CG1151" s="80">
        <f>IF(BD1151=0,0,IF(D1151="Malcolm",1,MATCH(BF1151,{"Draft","Submitted","Approved","Returned","Recall Requested","Cancelled"},0)+1))</f>
        <v>0</v>
      </c>
      <c r="CH1151" s="80">
        <f>IF(AND(BF1151="Submitted",ISNUMBER(V1151)),IF(V1151&gt;CFG_MAXD,1,0),0)</f>
        <v>0</v>
      </c>
    </row>
    <row r="1152">
      <c r="A1152" s="71" t="str">
        <f>IF(Y1152=1,ROW()-5,"")</f>
        <v/>
      </c>
      <c r="B1152" s="72" t="n"/>
      <c r="C1152" s="71" t="str">
        <f>IF(ISNUMBER(B1152),CHOOSE(WEEKDAY(B1152,2),"Lun","Mar","Mié","Jue","Vie","Sáb","Dom"),"")</f>
        <v/>
      </c>
      <c r="D1152" s="73" t="n"/>
      <c r="E1152" s="74" t="n"/>
      <c r="F1152" s="74" t="n"/>
      <c r="G1152" s="74" t="n"/>
      <c r="H1152" s="75" t="n"/>
      <c r="I1152" s="75" t="n"/>
      <c r="J1152" s="76" t="n"/>
      <c r="K1152" s="77" t="str">
        <f>IF(AB1152=1,ROUND(AG1152/60,4),"")</f>
        <v/>
      </c>
      <c r="L1152" s="77" t="str">
        <f>IF(BD1152=1,ROUND(AP1152/60,4),"")</f>
        <v/>
      </c>
      <c r="M1152" s="77" t="str">
        <f>IF(BD1152=1,ROUND(AQ1152/60,4),"")</f>
        <v/>
      </c>
      <c r="N1152" s="71" t="str">
        <f>IF(AND(D1152="proMX",AB1152=1),ROUND(AG1152/CFG_BLK,2),"")</f>
        <v/>
      </c>
      <c r="O1152" s="77" t="str">
        <f>IF(D1152="proMX",IF(BD1152=1,ROUND(AG1152/60,4),0),"")</f>
        <v/>
      </c>
      <c r="P1152" s="78" t="str">
        <f>IF(Y1152=0,"",IF(BD1152=1,"OK",IF(D1152="proMX","Revisar bloques: ","Revisar: ")&amp;BC1152))</f>
        <v/>
      </c>
      <c r="Q1152" s="78" t="str">
        <f>IF(NOT(ISNUMBER(B1152)),"",IF(COUNTIFS(FER_F,INT(B1152))&gt;0,"Feriado"&amp;IF(AH1152=1," (laborable)"," (no laborable)"),IF(AH1152=1,"Laborable",IF(WEEKDAY(B1152,2)&gt;5,"Fin de semana","No laborable"))))</f>
        <v/>
      </c>
      <c r="R1152" s="73" t="n"/>
      <c r="S1152" s="72" t="n"/>
      <c r="T1152" s="72" t="n"/>
      <c r="U1152" s="74" t="n"/>
      <c r="V1152" s="79" t="str">
        <f>IF(AND(D1152="proMX",OR(R1152="Submitted",R1152="Recall Requested"),ISNUMBER(S1152)),CFG_TODAY-INT(S1152),"")</f>
        <v/>
      </c>
      <c r="W1152" s="78" t="str">
        <f>IF(BD1152=0,"",IF(BA1152&gt;0,"⚠ Se superpone con un registro de la otra empresa",IF(D1152="Malcolm",IF(COUNTA(R1152,S1152,T1152)&gt;0,"Estado/fechas proMX se ignoran en Malcolm",""),IF(BF1152="Cancelled","Cancelado: excluido de totales",IF(R1152="","Sin estado: se trata como Draft",IF(BF1152="Submitted",IF(ISNUMBER(V1152),IF(V1152&gt;CFG_MAXD,"⚠ "&amp;V1152&amp;" días en Submitted (máx. "&amp;CFG_MAXD&amp;")",""),"Falta fecha de envío"),IF(BF1152="Returned","⚠ Devuelto: corregir y reenviar",IF(BF1152="Recall Requested","Retirada solicitada: pendiente",IF(AND(BF1152="Approved",NOT(ISNUMBER(T1152))),"Falta fecha de aprobación",IF(AND(ISNUMBER(S1152),ISNUMBER(T1152),T1152&lt;S1152),"Aprobación anterior al envío","")))))))))</f>
        <v/>
      </c>
      <c r="Y1152" s="80">
        <f>IF(COUNTA(B1152,D1152,E1152,F1152,G1152,H1152,I1152,J1152,R1152,S1152,T1152)&gt;0,1,0)</f>
        <v>0</v>
      </c>
      <c r="Z1152" s="80" t="str">
        <f>IF(AND(ISNUMBER(H1152),H1152&gt;=0,H1152&lt;1),ROUND(H1152*1440,0),"")</f>
        <v/>
      </c>
      <c r="AA1152" s="80" t="str">
        <f>IF(AND(ISNUMBER(I1152),I1152&gt;=0,I1152&lt;1),ROUND(I1152*1440,0),"")</f>
        <v/>
      </c>
      <c r="AB1152" s="80">
        <f>IF(AND(ISNUMBER(B1152),D1152&lt;&gt;"",ISNUMBER(Z1152),ISNUMBER(AA1152)),IF(Z1152=AA1152,0,1),0)</f>
        <v>0</v>
      </c>
      <c r="AC1152" s="80">
        <f>IF(AB1152=1,IF(AA1152&lt;Z1152,1,0),0)</f>
        <v>0</v>
      </c>
      <c r="AD1152" s="80">
        <f>IF(AB1152=1,IF(AC1152=1,1440-Z1152+AA1152,AA1152-Z1152),0)</f>
        <v>0</v>
      </c>
      <c r="AE1152" s="80">
        <f>IF(J1152="",0,IF(ISNUMBER(J1152),J1152,-1))</f>
        <v>0</v>
      </c>
      <c r="AF1152" s="80">
        <f>MIN(MAX(0,AE1152),AD1152)</f>
        <v>0</v>
      </c>
      <c r="AG1152" s="80">
        <f>MAX(0,AD1152-MAX(0,AE1152))</f>
        <v>0</v>
      </c>
      <c r="AH1152" s="80">
        <f>IF(ISNUMBER(B1152),IF(AND(INDEX(CFG_WDAYS,WEEKDAY(INT(B1152),2))="Sí",IF(D1152="proMX",COUNTIFS(FER_F,INT(B1152),FER_NLP,"Sí"),COUNTIFS(FER_F,INT(B1152),FER_NLM,"Sí"))=0),1,0),0)</f>
        <v>0</v>
      </c>
      <c r="AI1152" s="80">
        <f>IF(AC1152=1,IF(AND(INDEX(CFG_WDAYS,WEEKDAY(INT(B1152)+1,2))="Sí",IF(D1152="proMX",COUNTIFS(FER_F,INT(B1152)+1,FER_NLP,"Sí"),COUNTIFS(FER_F,INT(B1152)+1,FER_NLM,"Sí"))=0),1,0),0)</f>
        <v>0</v>
      </c>
      <c r="AJ1152" s="80">
        <f>IF(AC1152=1,1440-Z1152,AD1152)</f>
        <v>0</v>
      </c>
      <c r="AK1152" s="80">
        <f>IF(AND(AB1152=1,AH1152=1),MAX(0,MIN(IF(AC1152=1,1440,AA1152),CFG_WEM)-MAX(Z1152,CFG_WSM)),0)</f>
        <v>0</v>
      </c>
      <c r="AL1152" s="80">
        <f>IF(AND(AC1152=1,AI1152=1),MAX(0,MIN(AA1152,CFG_WEM)-CFG_WSM),0)</f>
        <v>0</v>
      </c>
      <c r="AM1152" s="80">
        <f>AK1152+AL1152</f>
        <v>0</v>
      </c>
      <c r="AN1152" s="80">
        <f>IF(CFG_BRK="Proporcional",IF(AD1152=0,0,AF1152*AM1152/AD1152),IF(CFG_BRK="Extras primero",MIN(AM1152,MAX(0,AF1152-(AD1152-AM1152))),MIN(AF1152,AM1152)))</f>
        <v>0</v>
      </c>
      <c r="AO1152" s="80">
        <f>AF1152-AN1152</f>
        <v>0</v>
      </c>
      <c r="AP1152" s="80">
        <f>AM1152-AN1152</f>
        <v>0</v>
      </c>
      <c r="AQ1152" s="80">
        <f>AD1152-AM1152-AO1152</f>
        <v>0</v>
      </c>
      <c r="AR1152" s="80">
        <f>IF(AM1152=0,0,AK1152-AN1152*AK1152/AM1152)</f>
        <v>0</v>
      </c>
      <c r="AS1152" s="80">
        <f>IF(AD1152-AM1152=0,0,(AJ1152-AK1152)-AO1152*(AJ1152-AK1152)/(AD1152-AM1152))</f>
        <v>0</v>
      </c>
      <c r="AT1152" s="80" t="str">
        <f>IF(AC1152=1,INT(B1152)+1,"")</f>
        <v/>
      </c>
      <c r="AU1152" s="80">
        <f>IF(AND(D1152="proMX",R1152="Cancelled"),0,1)</f>
        <v>1</v>
      </c>
      <c r="AV1152" s="80">
        <f>IF(AND(AB1152=1,AU1152=1),IF(COUNTIFS($D$5:D1151,D1152,$B$5:B1151,B1152,$Z$5:Z1151,Z1152,$AA$5:AA1151,AA1152,$F$5:F1151,F1152&amp;"",$AU$5:AU1151,1)&gt;0,1,0),0)</f>
        <v>0</v>
      </c>
      <c r="AW1152" s="80" t="str">
        <f>IF(AB1152=1,INT(B1152)*1440+Z1152,"")</f>
        <v/>
      </c>
      <c r="AX1152" s="80" t="str">
        <f>IF(AB1152=1,AW1152+AD1152,"")</f>
        <v/>
      </c>
      <c r="AY1152" s="80">
        <f>IF(AND(AB1152=1,AV1152=0,AU1152=1),1,0)</f>
        <v>0</v>
      </c>
      <c r="AZ1152" s="80">
        <f>IF(AY1152=1,COUNTIFS(R_Emp,D1152,R_SAbs,"&lt;"&amp;AX1152,R_EAbs,"&gt;"&amp;AW1152,R_OKey,1)-1,0)</f>
        <v>0</v>
      </c>
      <c r="BA1152" s="80">
        <f>IF(AY1152=1,COUNTIFS(R_Emp,"&lt;&gt;"&amp;D1152,R_SAbs,"&lt;"&amp;AX1152,R_EAbs,"&gt;"&amp;AW1152,R_OKey,1),0)</f>
        <v>0</v>
      </c>
      <c r="BB1152" s="80">
        <f>IF(AND(AB1152=1,D1152="proMX"),IF(AND(MOD(Z1152,CFG_BLK)=0,MOD(AA1152,CFG_BLK)=0,MOD(AG1152,CFG_BLK)=0,AG1152&gt;0),1,0),1)</f>
        <v>1</v>
      </c>
      <c r="BC1152" s="80" t="str">
        <f>IF(Y1152=0,"",IF(NOT(ISNUMBER(B1152)),"Falta fecha o fecha inválida",IF(D1152="","Falta empresa",IF(AND(D1152&lt;&gt;"Malcolm",D1152&lt;&gt;"proMX"),"Empresa inválida",IF(OR(INT(B1152)&lt;CFG_PSTART,INT(B1152)&gt;CFG_PEND),"Fecha fuera del período",IF(OR(NOT(ISNUMBER(Z1152)),NOT(ISNUMBER(AA1152))),"Falta hora inicio/fin o formato inválido",IF(AB1152=0,"Hora inicio = hora fin",IF(AE1152&lt;0,"Descanso inválido",IF(AE1152&gt;=AD1152,"Descanso ≥ duración",IF(AV1152=1,"Registro duplicado",IF(AZ1152&gt;0,"Se superpone con otro registro "&amp;D1152,IF(BB1152=0,"inicio, fin y duración neta deben ser múltiplos de "&amp;CFG_BLK&amp;" min",""))))))))))))</f>
        <v/>
      </c>
      <c r="BD1152" s="80">
        <f>IF(AND(Y1152=1,BC1152=""),1,0)</f>
        <v>0</v>
      </c>
      <c r="BE1152" s="80">
        <f>IF(AND(BD1152=1,AU1152=1),1,0)</f>
        <v>0</v>
      </c>
      <c r="BF1152" s="80" t="str">
        <f>IF(AND(D1152="proMX",BD1152=1),IF(R1152="","Draft",R1152),"")</f>
        <v/>
      </c>
      <c r="BG1152" s="80">
        <f>IF(BD1152=1,ROUND(AG1152/60,6),0)</f>
        <v>0</v>
      </c>
      <c r="BH1152" s="80">
        <f>IF(BE1152=1,ROUND(AG1152/60,6),0)</f>
        <v>0</v>
      </c>
      <c r="BI1152" s="80">
        <f>IF(BE1152=1,ROUND(AP1152/60,6),0)</f>
        <v>0</v>
      </c>
      <c r="BJ1152" s="80">
        <f>IF(BE1152=1,ROUND(AQ1152/60,6),0)</f>
        <v>0</v>
      </c>
      <c r="BK1152" s="80">
        <f>IF(BE1152=1,ROUND((AR1152+AS1152)/60,6),0)</f>
        <v>0</v>
      </c>
      <c r="BL1152" s="80">
        <f>ROUND(BH1152-BK1152,6)</f>
        <v>0</v>
      </c>
      <c r="BM1152" s="80">
        <f>IF(BE1152=1,ROUND(AR1152/60,6),0)</f>
        <v>0</v>
      </c>
      <c r="BN1152" s="80">
        <f>ROUND(BI1152-BM1152,6)</f>
        <v>0</v>
      </c>
      <c r="BO1152" s="80">
        <f>IF(BE1152=1,ROUND(AS1152/60,6),0)</f>
        <v>0</v>
      </c>
      <c r="BP1152" s="80">
        <f>ROUND(BJ1152-BO1152,6)</f>
        <v>0</v>
      </c>
      <c r="BQ1152" s="80">
        <f>IF(BE1152=1,AW1152,0)</f>
        <v>0</v>
      </c>
      <c r="BR1152" s="80">
        <f>IF(BE1152=1,AX1152,0)</f>
        <v>0</v>
      </c>
      <c r="BS1152" s="80">
        <f>IF(AND(BE1152=1,D1152="Malcolm",BA1152&gt;0),MIN(BH1152,SUMPRODUCT((R_Emp="proMX")*(R_EN&gt;0)*((R_EN-(R_EN&gt;BR1152)*(R_EN-BR1152))&gt;(R_SN+(R_SN&lt;BQ1152)*(BQ1152-R_SN)))*((R_EN-(R_EN&gt;BR1152)*(R_EN-BR1152))-(R_SN+(R_SN&lt;BQ1152)*(BQ1152-R_SN))))/60),0)</f>
        <v>0</v>
      </c>
      <c r="BT1152" s="80">
        <f>IF(AND(BE1152=1,D1152="proMX"),ROUND(BI1152*CFG_RATE+BJ1152*CFG_OTRATE,6),0)</f>
        <v>0</v>
      </c>
      <c r="BU1152" s="80">
        <f>IF(AND(BD1152=1,D1152="proMX"),ROUND(AG1152/CFG_BLK,6),0)</f>
        <v>0</v>
      </c>
      <c r="BV1152" s="80" t="str">
        <f>IF(BF1152="Approved",IF(ISNUMBER(T1152),INT(T1152),INT(B1152)),"")</f>
        <v/>
      </c>
      <c r="BW1152" s="80">
        <f>IF(ISNUMBER(B1152),IF(DB_MON="Todos",1,IF(AND(INT(B1152)&gt;=DB_MS,INT(B1152)&lt;=DB_ME),1,0)),0)</f>
        <v>0</v>
      </c>
      <c r="BX1152" s="80">
        <f>IF(DB_PROJ="Todos",1,IF(E1152&amp;""=DB_PROJ&amp;"",1,0))</f>
        <v>1</v>
      </c>
      <c r="BY1152" s="80">
        <f>BW1152*BX1152</f>
        <v>0</v>
      </c>
      <c r="BZ1152" s="80" t="str">
        <f>IF(Y1152=1,F1152&amp;IF(AND(F1152&amp;""&lt;&gt;"",E1152&amp;""&lt;&gt;"")," · ","")&amp;E1152,"")</f>
        <v/>
      </c>
      <c r="CA1152" s="80" t="str">
        <f>IF(AND(BD1152=1,E1152&amp;""&lt;&gt;""),IF(COUNTIFS($E$5:E1151,E1152,$BD$5:BD1151,1)=0,MAX($CA$5:CA1151)+1,""),"")</f>
        <v/>
      </c>
      <c r="CB1152" s="80" t="str">
        <f>IF(AND(BE1152=1,D1152="Malcolm",E1152&amp;""&lt;&gt;""),IF(COUNTIFS($D$5:D1151,"Malcolm",$E$5:E1151,E1152,$BE$5:BE1151,1)=0,MAX($CB$5:CB1151)+1,""),"")</f>
        <v/>
      </c>
      <c r="CC1152" s="80" t="str">
        <f>IF(AND(BD1152=1,D1152="proMX",E1152&amp;""&lt;&gt;""),IF(COUNTIFS($D$5:D1151,"proMX",$E$5:E1151,E1152,$BD$5:BD1151,1)=0,MAX($CC$5:CC1151)+1,""),"")</f>
        <v/>
      </c>
      <c r="CD1152" s="80" t="str">
        <f>IF(AND(BE1152=1,D1152="Malcolm",F1152&amp;""&lt;&gt;""),IF(COUNTIFS($D$5:D1151,"Malcolm",$F$5:F1151,F1152,$BE$5:BE1151,1)=0,MAX($CD$5:CD1151)+1,""),"")</f>
        <v/>
      </c>
      <c r="CE1152" s="80" t="str">
        <f>IF(AND(BD1152=1,D1152="proMX",F1152&amp;""&lt;&gt;""),IF(COUNTIFS($D$5:D1151,"proMX",$F$5:F1151,F1152,$BD$5:BD1151,1)=0,MAX($CE$5:CE1151)+1,""),"")</f>
        <v/>
      </c>
      <c r="CF1152" s="80" t="str">
        <f>IF(AND(D1152="proMX",BD1152=1),IF(OR(BF1152="Draft",BF1152="Submitted",BF1152="Returned",BF1152="Recall Requested"),MAX($CF$5:CF1151)+1,""),"")</f>
        <v/>
      </c>
      <c r="CG1152" s="80">
        <f>IF(BD1152=0,0,IF(D1152="Malcolm",1,MATCH(BF1152,{"Draft","Submitted","Approved","Returned","Recall Requested","Cancelled"},0)+1))</f>
        <v>0</v>
      </c>
      <c r="CH1152" s="80">
        <f>IF(AND(BF1152="Submitted",ISNUMBER(V1152)),IF(V1152&gt;CFG_MAXD,1,0),0)</f>
        <v>0</v>
      </c>
    </row>
    <row r="1153">
      <c r="A1153" s="71" t="str">
        <f>IF(Y1153=1,ROW()-5,"")</f>
        <v/>
      </c>
      <c r="B1153" s="72" t="n"/>
      <c r="C1153" s="71" t="str">
        <f>IF(ISNUMBER(B1153),CHOOSE(WEEKDAY(B1153,2),"Lun","Mar","Mié","Jue","Vie","Sáb","Dom"),"")</f>
        <v/>
      </c>
      <c r="D1153" s="73" t="n"/>
      <c r="E1153" s="74" t="n"/>
      <c r="F1153" s="74" t="n"/>
      <c r="G1153" s="74" t="n"/>
      <c r="H1153" s="75" t="n"/>
      <c r="I1153" s="75" t="n"/>
      <c r="J1153" s="76" t="n"/>
      <c r="K1153" s="77" t="str">
        <f>IF(AB1153=1,ROUND(AG1153/60,4),"")</f>
        <v/>
      </c>
      <c r="L1153" s="77" t="str">
        <f>IF(BD1153=1,ROUND(AP1153/60,4),"")</f>
        <v/>
      </c>
      <c r="M1153" s="77" t="str">
        <f>IF(BD1153=1,ROUND(AQ1153/60,4),"")</f>
        <v/>
      </c>
      <c r="N1153" s="71" t="str">
        <f>IF(AND(D1153="proMX",AB1153=1),ROUND(AG1153/CFG_BLK,2),"")</f>
        <v/>
      </c>
      <c r="O1153" s="77" t="str">
        <f>IF(D1153="proMX",IF(BD1153=1,ROUND(AG1153/60,4),0),"")</f>
        <v/>
      </c>
      <c r="P1153" s="78" t="str">
        <f>IF(Y1153=0,"",IF(BD1153=1,"OK",IF(D1153="proMX","Revisar bloques: ","Revisar: ")&amp;BC1153))</f>
        <v/>
      </c>
      <c r="Q1153" s="78" t="str">
        <f>IF(NOT(ISNUMBER(B1153)),"",IF(COUNTIFS(FER_F,INT(B1153))&gt;0,"Feriado"&amp;IF(AH1153=1," (laborable)"," (no laborable)"),IF(AH1153=1,"Laborable",IF(WEEKDAY(B1153,2)&gt;5,"Fin de semana","No laborable"))))</f>
        <v/>
      </c>
      <c r="R1153" s="73" t="n"/>
      <c r="S1153" s="72" t="n"/>
      <c r="T1153" s="72" t="n"/>
      <c r="U1153" s="74" t="n"/>
      <c r="V1153" s="79" t="str">
        <f>IF(AND(D1153="proMX",OR(R1153="Submitted",R1153="Recall Requested"),ISNUMBER(S1153)),CFG_TODAY-INT(S1153),"")</f>
        <v/>
      </c>
      <c r="W1153" s="78" t="str">
        <f>IF(BD1153=0,"",IF(BA1153&gt;0,"⚠ Se superpone con un registro de la otra empresa",IF(D1153="Malcolm",IF(COUNTA(R1153,S1153,T1153)&gt;0,"Estado/fechas proMX se ignoran en Malcolm",""),IF(BF1153="Cancelled","Cancelado: excluido de totales",IF(R1153="","Sin estado: se trata como Draft",IF(BF1153="Submitted",IF(ISNUMBER(V1153),IF(V1153&gt;CFG_MAXD,"⚠ "&amp;V1153&amp;" días en Submitted (máx. "&amp;CFG_MAXD&amp;")",""),"Falta fecha de envío"),IF(BF1153="Returned","⚠ Devuelto: corregir y reenviar",IF(BF1153="Recall Requested","Retirada solicitada: pendiente",IF(AND(BF1153="Approved",NOT(ISNUMBER(T1153))),"Falta fecha de aprobación",IF(AND(ISNUMBER(S1153),ISNUMBER(T1153),T1153&lt;S1153),"Aprobación anterior al envío","")))))))))</f>
        <v/>
      </c>
      <c r="Y1153" s="80">
        <f>IF(COUNTA(B1153,D1153,E1153,F1153,G1153,H1153,I1153,J1153,R1153,S1153,T1153)&gt;0,1,0)</f>
        <v>0</v>
      </c>
      <c r="Z1153" s="80" t="str">
        <f>IF(AND(ISNUMBER(H1153),H1153&gt;=0,H1153&lt;1),ROUND(H1153*1440,0),"")</f>
        <v/>
      </c>
      <c r="AA1153" s="80" t="str">
        <f>IF(AND(ISNUMBER(I1153),I1153&gt;=0,I1153&lt;1),ROUND(I1153*1440,0),"")</f>
        <v/>
      </c>
      <c r="AB1153" s="80">
        <f>IF(AND(ISNUMBER(B1153),D1153&lt;&gt;"",ISNUMBER(Z1153),ISNUMBER(AA1153)),IF(Z1153=AA1153,0,1),0)</f>
        <v>0</v>
      </c>
      <c r="AC1153" s="80">
        <f>IF(AB1153=1,IF(AA1153&lt;Z1153,1,0),0)</f>
        <v>0</v>
      </c>
      <c r="AD1153" s="80">
        <f>IF(AB1153=1,IF(AC1153=1,1440-Z1153+AA1153,AA1153-Z1153),0)</f>
        <v>0</v>
      </c>
      <c r="AE1153" s="80">
        <f>IF(J1153="",0,IF(ISNUMBER(J1153),J1153,-1))</f>
        <v>0</v>
      </c>
      <c r="AF1153" s="80">
        <f>MIN(MAX(0,AE1153),AD1153)</f>
        <v>0</v>
      </c>
      <c r="AG1153" s="80">
        <f>MAX(0,AD1153-MAX(0,AE1153))</f>
        <v>0</v>
      </c>
      <c r="AH1153" s="80">
        <f>IF(ISNUMBER(B1153),IF(AND(INDEX(CFG_WDAYS,WEEKDAY(INT(B1153),2))="Sí",IF(D1153="proMX",COUNTIFS(FER_F,INT(B1153),FER_NLP,"Sí"),COUNTIFS(FER_F,INT(B1153),FER_NLM,"Sí"))=0),1,0),0)</f>
        <v>0</v>
      </c>
      <c r="AI1153" s="80">
        <f>IF(AC1153=1,IF(AND(INDEX(CFG_WDAYS,WEEKDAY(INT(B1153)+1,2))="Sí",IF(D1153="proMX",COUNTIFS(FER_F,INT(B1153)+1,FER_NLP,"Sí"),COUNTIFS(FER_F,INT(B1153)+1,FER_NLM,"Sí"))=0),1,0),0)</f>
        <v>0</v>
      </c>
      <c r="AJ1153" s="80">
        <f>IF(AC1153=1,1440-Z1153,AD1153)</f>
        <v>0</v>
      </c>
      <c r="AK1153" s="80">
        <f>IF(AND(AB1153=1,AH1153=1),MAX(0,MIN(IF(AC1153=1,1440,AA1153),CFG_WEM)-MAX(Z1153,CFG_WSM)),0)</f>
        <v>0</v>
      </c>
      <c r="AL1153" s="80">
        <f>IF(AND(AC1153=1,AI1153=1),MAX(0,MIN(AA1153,CFG_WEM)-CFG_WSM),0)</f>
        <v>0</v>
      </c>
      <c r="AM1153" s="80">
        <f>AK1153+AL1153</f>
        <v>0</v>
      </c>
      <c r="AN1153" s="80">
        <f>IF(CFG_BRK="Proporcional",IF(AD1153=0,0,AF1153*AM1153/AD1153),IF(CFG_BRK="Extras primero",MIN(AM1153,MAX(0,AF1153-(AD1153-AM1153))),MIN(AF1153,AM1153)))</f>
        <v>0</v>
      </c>
      <c r="AO1153" s="80">
        <f>AF1153-AN1153</f>
        <v>0</v>
      </c>
      <c r="AP1153" s="80">
        <f>AM1153-AN1153</f>
        <v>0</v>
      </c>
      <c r="AQ1153" s="80">
        <f>AD1153-AM1153-AO1153</f>
        <v>0</v>
      </c>
      <c r="AR1153" s="80">
        <f>IF(AM1153=0,0,AK1153-AN1153*AK1153/AM1153)</f>
        <v>0</v>
      </c>
      <c r="AS1153" s="80">
        <f>IF(AD1153-AM1153=0,0,(AJ1153-AK1153)-AO1153*(AJ1153-AK1153)/(AD1153-AM1153))</f>
        <v>0</v>
      </c>
      <c r="AT1153" s="80" t="str">
        <f>IF(AC1153=1,INT(B1153)+1,"")</f>
        <v/>
      </c>
      <c r="AU1153" s="80">
        <f>IF(AND(D1153="proMX",R1153="Cancelled"),0,1)</f>
        <v>1</v>
      </c>
      <c r="AV1153" s="80">
        <f>IF(AND(AB1153=1,AU1153=1),IF(COUNTIFS($D$5:D1152,D1153,$B$5:B1152,B1153,$Z$5:Z1152,Z1153,$AA$5:AA1152,AA1153,$F$5:F1152,F1153&amp;"",$AU$5:AU1152,1)&gt;0,1,0),0)</f>
        <v>0</v>
      </c>
      <c r="AW1153" s="80" t="str">
        <f>IF(AB1153=1,INT(B1153)*1440+Z1153,"")</f>
        <v/>
      </c>
      <c r="AX1153" s="80" t="str">
        <f>IF(AB1153=1,AW1153+AD1153,"")</f>
        <v/>
      </c>
      <c r="AY1153" s="80">
        <f>IF(AND(AB1153=1,AV1153=0,AU1153=1),1,0)</f>
        <v>0</v>
      </c>
      <c r="AZ1153" s="80">
        <f>IF(AY1153=1,COUNTIFS(R_Emp,D1153,R_SAbs,"&lt;"&amp;AX1153,R_EAbs,"&gt;"&amp;AW1153,R_OKey,1)-1,0)</f>
        <v>0</v>
      </c>
      <c r="BA1153" s="80">
        <f>IF(AY1153=1,COUNTIFS(R_Emp,"&lt;&gt;"&amp;D1153,R_SAbs,"&lt;"&amp;AX1153,R_EAbs,"&gt;"&amp;AW1153,R_OKey,1),0)</f>
        <v>0</v>
      </c>
      <c r="BB1153" s="80">
        <f>IF(AND(AB1153=1,D1153="proMX"),IF(AND(MOD(Z1153,CFG_BLK)=0,MOD(AA1153,CFG_BLK)=0,MOD(AG1153,CFG_BLK)=0,AG1153&gt;0),1,0),1)</f>
        <v>1</v>
      </c>
      <c r="BC1153" s="80" t="str">
        <f>IF(Y1153=0,"",IF(NOT(ISNUMBER(B1153)),"Falta fecha o fecha inválida",IF(D1153="","Falta empresa",IF(AND(D1153&lt;&gt;"Malcolm",D1153&lt;&gt;"proMX"),"Empresa inválida",IF(OR(INT(B1153)&lt;CFG_PSTART,INT(B1153)&gt;CFG_PEND),"Fecha fuera del período",IF(OR(NOT(ISNUMBER(Z1153)),NOT(ISNUMBER(AA1153))),"Falta hora inicio/fin o formato inválido",IF(AB1153=0,"Hora inicio = hora fin",IF(AE1153&lt;0,"Descanso inválido",IF(AE1153&gt;=AD1153,"Descanso ≥ duración",IF(AV1153=1,"Registro duplicado",IF(AZ1153&gt;0,"Se superpone con otro registro "&amp;D1153,IF(BB1153=0,"inicio, fin y duración neta deben ser múltiplos de "&amp;CFG_BLK&amp;" min",""))))))))))))</f>
        <v/>
      </c>
      <c r="BD1153" s="80">
        <f>IF(AND(Y1153=1,BC1153=""),1,0)</f>
        <v>0</v>
      </c>
      <c r="BE1153" s="80">
        <f>IF(AND(BD1153=1,AU1153=1),1,0)</f>
        <v>0</v>
      </c>
      <c r="BF1153" s="80" t="str">
        <f>IF(AND(D1153="proMX",BD1153=1),IF(R1153="","Draft",R1153),"")</f>
        <v/>
      </c>
      <c r="BG1153" s="80">
        <f>IF(BD1153=1,ROUND(AG1153/60,6),0)</f>
        <v>0</v>
      </c>
      <c r="BH1153" s="80">
        <f>IF(BE1153=1,ROUND(AG1153/60,6),0)</f>
        <v>0</v>
      </c>
      <c r="BI1153" s="80">
        <f>IF(BE1153=1,ROUND(AP1153/60,6),0)</f>
        <v>0</v>
      </c>
      <c r="BJ1153" s="80">
        <f>IF(BE1153=1,ROUND(AQ1153/60,6),0)</f>
        <v>0</v>
      </c>
      <c r="BK1153" s="80">
        <f>IF(BE1153=1,ROUND((AR1153+AS1153)/60,6),0)</f>
        <v>0</v>
      </c>
      <c r="BL1153" s="80">
        <f>ROUND(BH1153-BK1153,6)</f>
        <v>0</v>
      </c>
      <c r="BM1153" s="80">
        <f>IF(BE1153=1,ROUND(AR1153/60,6),0)</f>
        <v>0</v>
      </c>
      <c r="BN1153" s="80">
        <f>ROUND(BI1153-BM1153,6)</f>
        <v>0</v>
      </c>
      <c r="BO1153" s="80">
        <f>IF(BE1153=1,ROUND(AS1153/60,6),0)</f>
        <v>0</v>
      </c>
      <c r="BP1153" s="80">
        <f>ROUND(BJ1153-BO1153,6)</f>
        <v>0</v>
      </c>
      <c r="BQ1153" s="80">
        <f>IF(BE1153=1,AW1153,0)</f>
        <v>0</v>
      </c>
      <c r="BR1153" s="80">
        <f>IF(BE1153=1,AX1153,0)</f>
        <v>0</v>
      </c>
      <c r="BS1153" s="80">
        <f>IF(AND(BE1153=1,D1153="Malcolm",BA1153&gt;0),MIN(BH1153,SUMPRODUCT((R_Emp="proMX")*(R_EN&gt;0)*((R_EN-(R_EN&gt;BR1153)*(R_EN-BR1153))&gt;(R_SN+(R_SN&lt;BQ1153)*(BQ1153-R_SN)))*((R_EN-(R_EN&gt;BR1153)*(R_EN-BR1153))-(R_SN+(R_SN&lt;BQ1153)*(BQ1153-R_SN))))/60),0)</f>
        <v>0</v>
      </c>
      <c r="BT1153" s="80">
        <f>IF(AND(BE1153=1,D1153="proMX"),ROUND(BI1153*CFG_RATE+BJ1153*CFG_OTRATE,6),0)</f>
        <v>0</v>
      </c>
      <c r="BU1153" s="80">
        <f>IF(AND(BD1153=1,D1153="proMX"),ROUND(AG1153/CFG_BLK,6),0)</f>
        <v>0</v>
      </c>
      <c r="BV1153" s="80" t="str">
        <f>IF(BF1153="Approved",IF(ISNUMBER(T1153),INT(T1153),INT(B1153)),"")</f>
        <v/>
      </c>
      <c r="BW1153" s="80">
        <f>IF(ISNUMBER(B1153),IF(DB_MON="Todos",1,IF(AND(INT(B1153)&gt;=DB_MS,INT(B1153)&lt;=DB_ME),1,0)),0)</f>
        <v>0</v>
      </c>
      <c r="BX1153" s="80">
        <f>IF(DB_PROJ="Todos",1,IF(E1153&amp;""=DB_PROJ&amp;"",1,0))</f>
        <v>1</v>
      </c>
      <c r="BY1153" s="80">
        <f>BW1153*BX1153</f>
        <v>0</v>
      </c>
      <c r="BZ1153" s="80" t="str">
        <f>IF(Y1153=1,F1153&amp;IF(AND(F1153&amp;""&lt;&gt;"",E1153&amp;""&lt;&gt;"")," · ","")&amp;E1153,"")</f>
        <v/>
      </c>
      <c r="CA1153" s="80" t="str">
        <f>IF(AND(BD1153=1,E1153&amp;""&lt;&gt;""),IF(COUNTIFS($E$5:E1152,E1153,$BD$5:BD1152,1)=0,MAX($CA$5:CA1152)+1,""),"")</f>
        <v/>
      </c>
      <c r="CB1153" s="80" t="str">
        <f>IF(AND(BE1153=1,D1153="Malcolm",E1153&amp;""&lt;&gt;""),IF(COUNTIFS($D$5:D1152,"Malcolm",$E$5:E1152,E1153,$BE$5:BE1152,1)=0,MAX($CB$5:CB1152)+1,""),"")</f>
        <v/>
      </c>
      <c r="CC1153" s="80" t="str">
        <f>IF(AND(BD1153=1,D1153="proMX",E1153&amp;""&lt;&gt;""),IF(COUNTIFS($D$5:D1152,"proMX",$E$5:E1152,E1153,$BD$5:BD1152,1)=0,MAX($CC$5:CC1152)+1,""),"")</f>
        <v/>
      </c>
      <c r="CD1153" s="80" t="str">
        <f>IF(AND(BE1153=1,D1153="Malcolm",F1153&amp;""&lt;&gt;""),IF(COUNTIFS($D$5:D1152,"Malcolm",$F$5:F1152,F1153,$BE$5:BE1152,1)=0,MAX($CD$5:CD1152)+1,""),"")</f>
        <v/>
      </c>
      <c r="CE1153" s="80" t="str">
        <f>IF(AND(BD1153=1,D1153="proMX",F1153&amp;""&lt;&gt;""),IF(COUNTIFS($D$5:D1152,"proMX",$F$5:F1152,F1153,$BD$5:BD1152,1)=0,MAX($CE$5:CE1152)+1,""),"")</f>
        <v/>
      </c>
      <c r="CF1153" s="80" t="str">
        <f>IF(AND(D1153="proMX",BD1153=1),IF(OR(BF1153="Draft",BF1153="Submitted",BF1153="Returned",BF1153="Recall Requested"),MAX($CF$5:CF1152)+1,""),"")</f>
        <v/>
      </c>
      <c r="CG1153" s="80">
        <f>IF(BD1153=0,0,IF(D1153="Malcolm",1,MATCH(BF1153,{"Draft","Submitted","Approved","Returned","Recall Requested","Cancelled"},0)+1))</f>
        <v>0</v>
      </c>
      <c r="CH1153" s="80">
        <f>IF(AND(BF1153="Submitted",ISNUMBER(V1153)),IF(V1153&gt;CFG_MAXD,1,0),0)</f>
        <v>0</v>
      </c>
    </row>
    <row r="1154">
      <c r="A1154" s="71" t="str">
        <f>IF(Y1154=1,ROW()-5,"")</f>
        <v/>
      </c>
      <c r="B1154" s="72" t="n"/>
      <c r="C1154" s="71" t="str">
        <f>IF(ISNUMBER(B1154),CHOOSE(WEEKDAY(B1154,2),"Lun","Mar","Mié","Jue","Vie","Sáb","Dom"),"")</f>
        <v/>
      </c>
      <c r="D1154" s="73" t="n"/>
      <c r="E1154" s="74" t="n"/>
      <c r="F1154" s="74" t="n"/>
      <c r="G1154" s="74" t="n"/>
      <c r="H1154" s="75" t="n"/>
      <c r="I1154" s="75" t="n"/>
      <c r="J1154" s="76" t="n"/>
      <c r="K1154" s="77" t="str">
        <f>IF(AB1154=1,ROUND(AG1154/60,4),"")</f>
        <v/>
      </c>
      <c r="L1154" s="77" t="str">
        <f>IF(BD1154=1,ROUND(AP1154/60,4),"")</f>
        <v/>
      </c>
      <c r="M1154" s="77" t="str">
        <f>IF(BD1154=1,ROUND(AQ1154/60,4),"")</f>
        <v/>
      </c>
      <c r="N1154" s="71" t="str">
        <f>IF(AND(D1154="proMX",AB1154=1),ROUND(AG1154/CFG_BLK,2),"")</f>
        <v/>
      </c>
      <c r="O1154" s="77" t="str">
        <f>IF(D1154="proMX",IF(BD1154=1,ROUND(AG1154/60,4),0),"")</f>
        <v/>
      </c>
      <c r="P1154" s="78" t="str">
        <f>IF(Y1154=0,"",IF(BD1154=1,"OK",IF(D1154="proMX","Revisar bloques: ","Revisar: ")&amp;BC1154))</f>
        <v/>
      </c>
      <c r="Q1154" s="78" t="str">
        <f>IF(NOT(ISNUMBER(B1154)),"",IF(COUNTIFS(FER_F,INT(B1154))&gt;0,"Feriado"&amp;IF(AH1154=1," (laborable)"," (no laborable)"),IF(AH1154=1,"Laborable",IF(WEEKDAY(B1154,2)&gt;5,"Fin de semana","No laborable"))))</f>
        <v/>
      </c>
      <c r="R1154" s="73" t="n"/>
      <c r="S1154" s="72" t="n"/>
      <c r="T1154" s="72" t="n"/>
      <c r="U1154" s="74" t="n"/>
      <c r="V1154" s="79" t="str">
        <f>IF(AND(D1154="proMX",OR(R1154="Submitted",R1154="Recall Requested"),ISNUMBER(S1154)),CFG_TODAY-INT(S1154),"")</f>
        <v/>
      </c>
      <c r="W1154" s="78" t="str">
        <f>IF(BD1154=0,"",IF(BA1154&gt;0,"⚠ Se superpone con un registro de la otra empresa",IF(D1154="Malcolm",IF(COUNTA(R1154,S1154,T1154)&gt;0,"Estado/fechas proMX se ignoran en Malcolm",""),IF(BF1154="Cancelled","Cancelado: excluido de totales",IF(R1154="","Sin estado: se trata como Draft",IF(BF1154="Submitted",IF(ISNUMBER(V1154),IF(V1154&gt;CFG_MAXD,"⚠ "&amp;V1154&amp;" días en Submitted (máx. "&amp;CFG_MAXD&amp;")",""),"Falta fecha de envío"),IF(BF1154="Returned","⚠ Devuelto: corregir y reenviar",IF(BF1154="Recall Requested","Retirada solicitada: pendiente",IF(AND(BF1154="Approved",NOT(ISNUMBER(T1154))),"Falta fecha de aprobación",IF(AND(ISNUMBER(S1154),ISNUMBER(T1154),T1154&lt;S1154),"Aprobación anterior al envío","")))))))))</f>
        <v/>
      </c>
      <c r="Y1154" s="80">
        <f>IF(COUNTA(B1154,D1154,E1154,F1154,G1154,H1154,I1154,J1154,R1154,S1154,T1154)&gt;0,1,0)</f>
        <v>0</v>
      </c>
      <c r="Z1154" s="80" t="str">
        <f>IF(AND(ISNUMBER(H1154),H1154&gt;=0,H1154&lt;1),ROUND(H1154*1440,0),"")</f>
        <v/>
      </c>
      <c r="AA1154" s="80" t="str">
        <f>IF(AND(ISNUMBER(I1154),I1154&gt;=0,I1154&lt;1),ROUND(I1154*1440,0),"")</f>
        <v/>
      </c>
      <c r="AB1154" s="80">
        <f>IF(AND(ISNUMBER(B1154),D1154&lt;&gt;"",ISNUMBER(Z1154),ISNUMBER(AA1154)),IF(Z1154=AA1154,0,1),0)</f>
        <v>0</v>
      </c>
      <c r="AC1154" s="80">
        <f>IF(AB1154=1,IF(AA1154&lt;Z1154,1,0),0)</f>
        <v>0</v>
      </c>
      <c r="AD1154" s="80">
        <f>IF(AB1154=1,IF(AC1154=1,1440-Z1154+AA1154,AA1154-Z1154),0)</f>
        <v>0</v>
      </c>
      <c r="AE1154" s="80">
        <f>IF(J1154="",0,IF(ISNUMBER(J1154),J1154,-1))</f>
        <v>0</v>
      </c>
      <c r="AF1154" s="80">
        <f>MIN(MAX(0,AE1154),AD1154)</f>
        <v>0</v>
      </c>
      <c r="AG1154" s="80">
        <f>MAX(0,AD1154-MAX(0,AE1154))</f>
        <v>0</v>
      </c>
      <c r="AH1154" s="80">
        <f>IF(ISNUMBER(B1154),IF(AND(INDEX(CFG_WDAYS,WEEKDAY(INT(B1154),2))="Sí",IF(D1154="proMX",COUNTIFS(FER_F,INT(B1154),FER_NLP,"Sí"),COUNTIFS(FER_F,INT(B1154),FER_NLM,"Sí"))=0),1,0),0)</f>
        <v>0</v>
      </c>
      <c r="AI1154" s="80">
        <f>IF(AC1154=1,IF(AND(INDEX(CFG_WDAYS,WEEKDAY(INT(B1154)+1,2))="Sí",IF(D1154="proMX",COUNTIFS(FER_F,INT(B1154)+1,FER_NLP,"Sí"),COUNTIFS(FER_F,INT(B1154)+1,FER_NLM,"Sí"))=0),1,0),0)</f>
        <v>0</v>
      </c>
      <c r="AJ1154" s="80">
        <f>IF(AC1154=1,1440-Z1154,AD1154)</f>
        <v>0</v>
      </c>
      <c r="AK1154" s="80">
        <f>IF(AND(AB1154=1,AH1154=1),MAX(0,MIN(IF(AC1154=1,1440,AA1154),CFG_WEM)-MAX(Z1154,CFG_WSM)),0)</f>
        <v>0</v>
      </c>
      <c r="AL1154" s="80">
        <f>IF(AND(AC1154=1,AI1154=1),MAX(0,MIN(AA1154,CFG_WEM)-CFG_WSM),0)</f>
        <v>0</v>
      </c>
      <c r="AM1154" s="80">
        <f>AK1154+AL1154</f>
        <v>0</v>
      </c>
      <c r="AN1154" s="80">
        <f>IF(CFG_BRK="Proporcional",IF(AD1154=0,0,AF1154*AM1154/AD1154),IF(CFG_BRK="Extras primero",MIN(AM1154,MAX(0,AF1154-(AD1154-AM1154))),MIN(AF1154,AM1154)))</f>
        <v>0</v>
      </c>
      <c r="AO1154" s="80">
        <f>AF1154-AN1154</f>
        <v>0</v>
      </c>
      <c r="AP1154" s="80">
        <f>AM1154-AN1154</f>
        <v>0</v>
      </c>
      <c r="AQ1154" s="80">
        <f>AD1154-AM1154-AO1154</f>
        <v>0</v>
      </c>
      <c r="AR1154" s="80">
        <f>IF(AM1154=0,0,AK1154-AN1154*AK1154/AM1154)</f>
        <v>0</v>
      </c>
      <c r="AS1154" s="80">
        <f>IF(AD1154-AM1154=0,0,(AJ1154-AK1154)-AO1154*(AJ1154-AK1154)/(AD1154-AM1154))</f>
        <v>0</v>
      </c>
      <c r="AT1154" s="80" t="str">
        <f>IF(AC1154=1,INT(B1154)+1,"")</f>
        <v/>
      </c>
      <c r="AU1154" s="80">
        <f>IF(AND(D1154="proMX",R1154="Cancelled"),0,1)</f>
        <v>1</v>
      </c>
      <c r="AV1154" s="80">
        <f>IF(AND(AB1154=1,AU1154=1),IF(COUNTIFS($D$5:D1153,D1154,$B$5:B1153,B1154,$Z$5:Z1153,Z1154,$AA$5:AA1153,AA1154,$F$5:F1153,F1154&amp;"",$AU$5:AU1153,1)&gt;0,1,0),0)</f>
        <v>0</v>
      </c>
      <c r="AW1154" s="80" t="str">
        <f>IF(AB1154=1,INT(B1154)*1440+Z1154,"")</f>
        <v/>
      </c>
      <c r="AX1154" s="80" t="str">
        <f>IF(AB1154=1,AW1154+AD1154,"")</f>
        <v/>
      </c>
      <c r="AY1154" s="80">
        <f>IF(AND(AB1154=1,AV1154=0,AU1154=1),1,0)</f>
        <v>0</v>
      </c>
      <c r="AZ1154" s="80">
        <f>IF(AY1154=1,COUNTIFS(R_Emp,D1154,R_SAbs,"&lt;"&amp;AX1154,R_EAbs,"&gt;"&amp;AW1154,R_OKey,1)-1,0)</f>
        <v>0</v>
      </c>
      <c r="BA1154" s="80">
        <f>IF(AY1154=1,COUNTIFS(R_Emp,"&lt;&gt;"&amp;D1154,R_SAbs,"&lt;"&amp;AX1154,R_EAbs,"&gt;"&amp;AW1154,R_OKey,1),0)</f>
        <v>0</v>
      </c>
      <c r="BB1154" s="80">
        <f>IF(AND(AB1154=1,D1154="proMX"),IF(AND(MOD(Z1154,CFG_BLK)=0,MOD(AA1154,CFG_BLK)=0,MOD(AG1154,CFG_BLK)=0,AG1154&gt;0),1,0),1)</f>
        <v>1</v>
      </c>
      <c r="BC1154" s="80" t="str">
        <f>IF(Y1154=0,"",IF(NOT(ISNUMBER(B1154)),"Falta fecha o fecha inválida",IF(D1154="","Falta empresa",IF(AND(D1154&lt;&gt;"Malcolm",D1154&lt;&gt;"proMX"),"Empresa inválida",IF(OR(INT(B1154)&lt;CFG_PSTART,INT(B1154)&gt;CFG_PEND),"Fecha fuera del período",IF(OR(NOT(ISNUMBER(Z1154)),NOT(ISNUMBER(AA1154))),"Falta hora inicio/fin o formato inválido",IF(AB1154=0,"Hora inicio = hora fin",IF(AE1154&lt;0,"Descanso inválido",IF(AE1154&gt;=AD1154,"Descanso ≥ duración",IF(AV1154=1,"Registro duplicado",IF(AZ1154&gt;0,"Se superpone con otro registro "&amp;D1154,IF(BB1154=0,"inicio, fin y duración neta deben ser múltiplos de "&amp;CFG_BLK&amp;" min",""))))))))))))</f>
        <v/>
      </c>
      <c r="BD1154" s="80">
        <f>IF(AND(Y1154=1,BC1154=""),1,0)</f>
        <v>0</v>
      </c>
      <c r="BE1154" s="80">
        <f>IF(AND(BD1154=1,AU1154=1),1,0)</f>
        <v>0</v>
      </c>
      <c r="BF1154" s="80" t="str">
        <f>IF(AND(D1154="proMX",BD1154=1),IF(R1154="","Draft",R1154),"")</f>
        <v/>
      </c>
      <c r="BG1154" s="80">
        <f>IF(BD1154=1,ROUND(AG1154/60,6),0)</f>
        <v>0</v>
      </c>
      <c r="BH1154" s="80">
        <f>IF(BE1154=1,ROUND(AG1154/60,6),0)</f>
        <v>0</v>
      </c>
      <c r="BI1154" s="80">
        <f>IF(BE1154=1,ROUND(AP1154/60,6),0)</f>
        <v>0</v>
      </c>
      <c r="BJ1154" s="80">
        <f>IF(BE1154=1,ROUND(AQ1154/60,6),0)</f>
        <v>0</v>
      </c>
      <c r="BK1154" s="80">
        <f>IF(BE1154=1,ROUND((AR1154+AS1154)/60,6),0)</f>
        <v>0</v>
      </c>
      <c r="BL1154" s="80">
        <f>ROUND(BH1154-BK1154,6)</f>
        <v>0</v>
      </c>
      <c r="BM1154" s="80">
        <f>IF(BE1154=1,ROUND(AR1154/60,6),0)</f>
        <v>0</v>
      </c>
      <c r="BN1154" s="80">
        <f>ROUND(BI1154-BM1154,6)</f>
        <v>0</v>
      </c>
      <c r="BO1154" s="80">
        <f>IF(BE1154=1,ROUND(AS1154/60,6),0)</f>
        <v>0</v>
      </c>
      <c r="BP1154" s="80">
        <f>ROUND(BJ1154-BO1154,6)</f>
        <v>0</v>
      </c>
      <c r="BQ1154" s="80">
        <f>IF(BE1154=1,AW1154,0)</f>
        <v>0</v>
      </c>
      <c r="BR1154" s="80">
        <f>IF(BE1154=1,AX1154,0)</f>
        <v>0</v>
      </c>
      <c r="BS1154" s="80">
        <f>IF(AND(BE1154=1,D1154="Malcolm",BA1154&gt;0),MIN(BH1154,SUMPRODUCT((R_Emp="proMX")*(R_EN&gt;0)*((R_EN-(R_EN&gt;BR1154)*(R_EN-BR1154))&gt;(R_SN+(R_SN&lt;BQ1154)*(BQ1154-R_SN)))*((R_EN-(R_EN&gt;BR1154)*(R_EN-BR1154))-(R_SN+(R_SN&lt;BQ1154)*(BQ1154-R_SN))))/60),0)</f>
        <v>0</v>
      </c>
      <c r="BT1154" s="80">
        <f>IF(AND(BE1154=1,D1154="proMX"),ROUND(BI1154*CFG_RATE+BJ1154*CFG_OTRATE,6),0)</f>
        <v>0</v>
      </c>
      <c r="BU1154" s="80">
        <f>IF(AND(BD1154=1,D1154="proMX"),ROUND(AG1154/CFG_BLK,6),0)</f>
        <v>0</v>
      </c>
      <c r="BV1154" s="80" t="str">
        <f>IF(BF1154="Approved",IF(ISNUMBER(T1154),INT(T1154),INT(B1154)),"")</f>
        <v/>
      </c>
      <c r="BW1154" s="80">
        <f>IF(ISNUMBER(B1154),IF(DB_MON="Todos",1,IF(AND(INT(B1154)&gt;=DB_MS,INT(B1154)&lt;=DB_ME),1,0)),0)</f>
        <v>0</v>
      </c>
      <c r="BX1154" s="80">
        <f>IF(DB_PROJ="Todos",1,IF(E1154&amp;""=DB_PROJ&amp;"",1,0))</f>
        <v>1</v>
      </c>
      <c r="BY1154" s="80">
        <f>BW1154*BX1154</f>
        <v>0</v>
      </c>
      <c r="BZ1154" s="80" t="str">
        <f>IF(Y1154=1,F1154&amp;IF(AND(F1154&amp;""&lt;&gt;"",E1154&amp;""&lt;&gt;"")," · ","")&amp;E1154,"")</f>
        <v/>
      </c>
      <c r="CA1154" s="80" t="str">
        <f>IF(AND(BD1154=1,E1154&amp;""&lt;&gt;""),IF(COUNTIFS($E$5:E1153,E1154,$BD$5:BD1153,1)=0,MAX($CA$5:CA1153)+1,""),"")</f>
        <v/>
      </c>
      <c r="CB1154" s="80" t="str">
        <f>IF(AND(BE1154=1,D1154="Malcolm",E1154&amp;""&lt;&gt;""),IF(COUNTIFS($D$5:D1153,"Malcolm",$E$5:E1153,E1154,$BE$5:BE1153,1)=0,MAX($CB$5:CB1153)+1,""),"")</f>
        <v/>
      </c>
      <c r="CC1154" s="80" t="str">
        <f>IF(AND(BD1154=1,D1154="proMX",E1154&amp;""&lt;&gt;""),IF(COUNTIFS($D$5:D1153,"proMX",$E$5:E1153,E1154,$BD$5:BD1153,1)=0,MAX($CC$5:CC1153)+1,""),"")</f>
        <v/>
      </c>
      <c r="CD1154" s="80" t="str">
        <f>IF(AND(BE1154=1,D1154="Malcolm",F1154&amp;""&lt;&gt;""),IF(COUNTIFS($D$5:D1153,"Malcolm",$F$5:F1153,F1154,$BE$5:BE1153,1)=0,MAX($CD$5:CD1153)+1,""),"")</f>
        <v/>
      </c>
      <c r="CE1154" s="80" t="str">
        <f>IF(AND(BD1154=1,D1154="proMX",F1154&amp;""&lt;&gt;""),IF(COUNTIFS($D$5:D1153,"proMX",$F$5:F1153,F1154,$BD$5:BD1153,1)=0,MAX($CE$5:CE1153)+1,""),"")</f>
        <v/>
      </c>
      <c r="CF1154" s="80" t="str">
        <f>IF(AND(D1154="proMX",BD1154=1),IF(OR(BF1154="Draft",BF1154="Submitted",BF1154="Returned",BF1154="Recall Requested"),MAX($CF$5:CF1153)+1,""),"")</f>
        <v/>
      </c>
      <c r="CG1154" s="80">
        <f>IF(BD1154=0,0,IF(D1154="Malcolm",1,MATCH(BF1154,{"Draft","Submitted","Approved","Returned","Recall Requested","Cancelled"},0)+1))</f>
        <v>0</v>
      </c>
      <c r="CH1154" s="80">
        <f>IF(AND(BF1154="Submitted",ISNUMBER(V1154)),IF(V1154&gt;CFG_MAXD,1,0),0)</f>
        <v>0</v>
      </c>
    </row>
    <row r="1155">
      <c r="A1155" s="71" t="str">
        <f>IF(Y1155=1,ROW()-5,"")</f>
        <v/>
      </c>
      <c r="B1155" s="72" t="n"/>
      <c r="C1155" s="71" t="str">
        <f>IF(ISNUMBER(B1155),CHOOSE(WEEKDAY(B1155,2),"Lun","Mar","Mié","Jue","Vie","Sáb","Dom"),"")</f>
        <v/>
      </c>
      <c r="D1155" s="73" t="n"/>
      <c r="E1155" s="74" t="n"/>
      <c r="F1155" s="74" t="n"/>
      <c r="G1155" s="74" t="n"/>
      <c r="H1155" s="75" t="n"/>
      <c r="I1155" s="75" t="n"/>
      <c r="J1155" s="76" t="n"/>
      <c r="K1155" s="77" t="str">
        <f>IF(AB1155=1,ROUND(AG1155/60,4),"")</f>
        <v/>
      </c>
      <c r="L1155" s="77" t="str">
        <f>IF(BD1155=1,ROUND(AP1155/60,4),"")</f>
        <v/>
      </c>
      <c r="M1155" s="77" t="str">
        <f>IF(BD1155=1,ROUND(AQ1155/60,4),"")</f>
        <v/>
      </c>
      <c r="N1155" s="71" t="str">
        <f>IF(AND(D1155="proMX",AB1155=1),ROUND(AG1155/CFG_BLK,2),"")</f>
        <v/>
      </c>
      <c r="O1155" s="77" t="str">
        <f>IF(D1155="proMX",IF(BD1155=1,ROUND(AG1155/60,4),0),"")</f>
        <v/>
      </c>
      <c r="P1155" s="78" t="str">
        <f>IF(Y1155=0,"",IF(BD1155=1,"OK",IF(D1155="proMX","Revisar bloques: ","Revisar: ")&amp;BC1155))</f>
        <v/>
      </c>
      <c r="Q1155" s="78" t="str">
        <f>IF(NOT(ISNUMBER(B1155)),"",IF(COUNTIFS(FER_F,INT(B1155))&gt;0,"Feriado"&amp;IF(AH1155=1," (laborable)"," (no laborable)"),IF(AH1155=1,"Laborable",IF(WEEKDAY(B1155,2)&gt;5,"Fin de semana","No laborable"))))</f>
        <v/>
      </c>
      <c r="R1155" s="73" t="n"/>
      <c r="S1155" s="72" t="n"/>
      <c r="T1155" s="72" t="n"/>
      <c r="U1155" s="74" t="n"/>
      <c r="V1155" s="79" t="str">
        <f>IF(AND(D1155="proMX",OR(R1155="Submitted",R1155="Recall Requested"),ISNUMBER(S1155)),CFG_TODAY-INT(S1155),"")</f>
        <v/>
      </c>
      <c r="W1155" s="78" t="str">
        <f>IF(BD1155=0,"",IF(BA1155&gt;0,"⚠ Se superpone con un registro de la otra empresa",IF(D1155="Malcolm",IF(COUNTA(R1155,S1155,T1155)&gt;0,"Estado/fechas proMX se ignoran en Malcolm",""),IF(BF1155="Cancelled","Cancelado: excluido de totales",IF(R1155="","Sin estado: se trata como Draft",IF(BF1155="Submitted",IF(ISNUMBER(V1155),IF(V1155&gt;CFG_MAXD,"⚠ "&amp;V1155&amp;" días en Submitted (máx. "&amp;CFG_MAXD&amp;")",""),"Falta fecha de envío"),IF(BF1155="Returned","⚠ Devuelto: corregir y reenviar",IF(BF1155="Recall Requested","Retirada solicitada: pendiente",IF(AND(BF1155="Approved",NOT(ISNUMBER(T1155))),"Falta fecha de aprobación",IF(AND(ISNUMBER(S1155),ISNUMBER(T1155),T1155&lt;S1155),"Aprobación anterior al envío","")))))))))</f>
        <v/>
      </c>
      <c r="Y1155" s="80">
        <f>IF(COUNTA(B1155,D1155,E1155,F1155,G1155,H1155,I1155,J1155,R1155,S1155,T1155)&gt;0,1,0)</f>
        <v>0</v>
      </c>
      <c r="Z1155" s="80" t="str">
        <f>IF(AND(ISNUMBER(H1155),H1155&gt;=0,H1155&lt;1),ROUND(H1155*1440,0),"")</f>
        <v/>
      </c>
      <c r="AA1155" s="80" t="str">
        <f>IF(AND(ISNUMBER(I1155),I1155&gt;=0,I1155&lt;1),ROUND(I1155*1440,0),"")</f>
        <v/>
      </c>
      <c r="AB1155" s="80">
        <f>IF(AND(ISNUMBER(B1155),D1155&lt;&gt;"",ISNUMBER(Z1155),ISNUMBER(AA1155)),IF(Z1155=AA1155,0,1),0)</f>
        <v>0</v>
      </c>
      <c r="AC1155" s="80">
        <f>IF(AB1155=1,IF(AA1155&lt;Z1155,1,0),0)</f>
        <v>0</v>
      </c>
      <c r="AD1155" s="80">
        <f>IF(AB1155=1,IF(AC1155=1,1440-Z1155+AA1155,AA1155-Z1155),0)</f>
        <v>0</v>
      </c>
      <c r="AE1155" s="80">
        <f>IF(J1155="",0,IF(ISNUMBER(J1155),J1155,-1))</f>
        <v>0</v>
      </c>
      <c r="AF1155" s="80">
        <f>MIN(MAX(0,AE1155),AD1155)</f>
        <v>0</v>
      </c>
      <c r="AG1155" s="80">
        <f>MAX(0,AD1155-MAX(0,AE1155))</f>
        <v>0</v>
      </c>
      <c r="AH1155" s="80">
        <f>IF(ISNUMBER(B1155),IF(AND(INDEX(CFG_WDAYS,WEEKDAY(INT(B1155),2))="Sí",IF(D1155="proMX",COUNTIFS(FER_F,INT(B1155),FER_NLP,"Sí"),COUNTIFS(FER_F,INT(B1155),FER_NLM,"Sí"))=0),1,0),0)</f>
        <v>0</v>
      </c>
      <c r="AI1155" s="80">
        <f>IF(AC1155=1,IF(AND(INDEX(CFG_WDAYS,WEEKDAY(INT(B1155)+1,2))="Sí",IF(D1155="proMX",COUNTIFS(FER_F,INT(B1155)+1,FER_NLP,"Sí"),COUNTIFS(FER_F,INT(B1155)+1,FER_NLM,"Sí"))=0),1,0),0)</f>
        <v>0</v>
      </c>
      <c r="AJ1155" s="80">
        <f>IF(AC1155=1,1440-Z1155,AD1155)</f>
        <v>0</v>
      </c>
      <c r="AK1155" s="80">
        <f>IF(AND(AB1155=1,AH1155=1),MAX(0,MIN(IF(AC1155=1,1440,AA1155),CFG_WEM)-MAX(Z1155,CFG_WSM)),0)</f>
        <v>0</v>
      </c>
      <c r="AL1155" s="80">
        <f>IF(AND(AC1155=1,AI1155=1),MAX(0,MIN(AA1155,CFG_WEM)-CFG_WSM),0)</f>
        <v>0</v>
      </c>
      <c r="AM1155" s="80">
        <f>AK1155+AL1155</f>
        <v>0</v>
      </c>
      <c r="AN1155" s="80">
        <f>IF(CFG_BRK="Proporcional",IF(AD1155=0,0,AF1155*AM1155/AD1155),IF(CFG_BRK="Extras primero",MIN(AM1155,MAX(0,AF1155-(AD1155-AM1155))),MIN(AF1155,AM1155)))</f>
        <v>0</v>
      </c>
      <c r="AO1155" s="80">
        <f>AF1155-AN1155</f>
        <v>0</v>
      </c>
      <c r="AP1155" s="80">
        <f>AM1155-AN1155</f>
        <v>0</v>
      </c>
      <c r="AQ1155" s="80">
        <f>AD1155-AM1155-AO1155</f>
        <v>0</v>
      </c>
      <c r="AR1155" s="80">
        <f>IF(AM1155=0,0,AK1155-AN1155*AK1155/AM1155)</f>
        <v>0</v>
      </c>
      <c r="AS1155" s="80">
        <f>IF(AD1155-AM1155=0,0,(AJ1155-AK1155)-AO1155*(AJ1155-AK1155)/(AD1155-AM1155))</f>
        <v>0</v>
      </c>
      <c r="AT1155" s="80" t="str">
        <f>IF(AC1155=1,INT(B1155)+1,"")</f>
        <v/>
      </c>
      <c r="AU1155" s="80">
        <f>IF(AND(D1155="proMX",R1155="Cancelled"),0,1)</f>
        <v>1</v>
      </c>
      <c r="AV1155" s="80">
        <f>IF(AND(AB1155=1,AU1155=1),IF(COUNTIFS($D$5:D1154,D1155,$B$5:B1154,B1155,$Z$5:Z1154,Z1155,$AA$5:AA1154,AA1155,$F$5:F1154,F1155&amp;"",$AU$5:AU1154,1)&gt;0,1,0),0)</f>
        <v>0</v>
      </c>
      <c r="AW1155" s="80" t="str">
        <f>IF(AB1155=1,INT(B1155)*1440+Z1155,"")</f>
        <v/>
      </c>
      <c r="AX1155" s="80" t="str">
        <f>IF(AB1155=1,AW1155+AD1155,"")</f>
        <v/>
      </c>
      <c r="AY1155" s="80">
        <f>IF(AND(AB1155=1,AV1155=0,AU1155=1),1,0)</f>
        <v>0</v>
      </c>
      <c r="AZ1155" s="80">
        <f>IF(AY1155=1,COUNTIFS(R_Emp,D1155,R_SAbs,"&lt;"&amp;AX1155,R_EAbs,"&gt;"&amp;AW1155,R_OKey,1)-1,0)</f>
        <v>0</v>
      </c>
      <c r="BA1155" s="80">
        <f>IF(AY1155=1,COUNTIFS(R_Emp,"&lt;&gt;"&amp;D1155,R_SAbs,"&lt;"&amp;AX1155,R_EAbs,"&gt;"&amp;AW1155,R_OKey,1),0)</f>
        <v>0</v>
      </c>
      <c r="BB1155" s="80">
        <f>IF(AND(AB1155=1,D1155="proMX"),IF(AND(MOD(Z1155,CFG_BLK)=0,MOD(AA1155,CFG_BLK)=0,MOD(AG1155,CFG_BLK)=0,AG1155&gt;0),1,0),1)</f>
        <v>1</v>
      </c>
      <c r="BC1155" s="80" t="str">
        <f>IF(Y1155=0,"",IF(NOT(ISNUMBER(B1155)),"Falta fecha o fecha inválida",IF(D1155="","Falta empresa",IF(AND(D1155&lt;&gt;"Malcolm",D1155&lt;&gt;"proMX"),"Empresa inválida",IF(OR(INT(B1155)&lt;CFG_PSTART,INT(B1155)&gt;CFG_PEND),"Fecha fuera del período",IF(OR(NOT(ISNUMBER(Z1155)),NOT(ISNUMBER(AA1155))),"Falta hora inicio/fin o formato inválido",IF(AB1155=0,"Hora inicio = hora fin",IF(AE1155&lt;0,"Descanso inválido",IF(AE1155&gt;=AD1155,"Descanso ≥ duración",IF(AV1155=1,"Registro duplicado",IF(AZ1155&gt;0,"Se superpone con otro registro "&amp;D1155,IF(BB1155=0,"inicio, fin y duración neta deben ser múltiplos de "&amp;CFG_BLK&amp;" min",""))))))))))))</f>
        <v/>
      </c>
      <c r="BD1155" s="80">
        <f>IF(AND(Y1155=1,BC1155=""),1,0)</f>
        <v>0</v>
      </c>
      <c r="BE1155" s="80">
        <f>IF(AND(BD1155=1,AU1155=1),1,0)</f>
        <v>0</v>
      </c>
      <c r="BF1155" s="80" t="str">
        <f>IF(AND(D1155="proMX",BD1155=1),IF(R1155="","Draft",R1155),"")</f>
        <v/>
      </c>
      <c r="BG1155" s="80">
        <f>IF(BD1155=1,ROUND(AG1155/60,6),0)</f>
        <v>0</v>
      </c>
      <c r="BH1155" s="80">
        <f>IF(BE1155=1,ROUND(AG1155/60,6),0)</f>
        <v>0</v>
      </c>
      <c r="BI1155" s="80">
        <f>IF(BE1155=1,ROUND(AP1155/60,6),0)</f>
        <v>0</v>
      </c>
      <c r="BJ1155" s="80">
        <f>IF(BE1155=1,ROUND(AQ1155/60,6),0)</f>
        <v>0</v>
      </c>
      <c r="BK1155" s="80">
        <f>IF(BE1155=1,ROUND((AR1155+AS1155)/60,6),0)</f>
        <v>0</v>
      </c>
      <c r="BL1155" s="80">
        <f>ROUND(BH1155-BK1155,6)</f>
        <v>0</v>
      </c>
      <c r="BM1155" s="80">
        <f>IF(BE1155=1,ROUND(AR1155/60,6),0)</f>
        <v>0</v>
      </c>
      <c r="BN1155" s="80">
        <f>ROUND(BI1155-BM1155,6)</f>
        <v>0</v>
      </c>
      <c r="BO1155" s="80">
        <f>IF(BE1155=1,ROUND(AS1155/60,6),0)</f>
        <v>0</v>
      </c>
      <c r="BP1155" s="80">
        <f>ROUND(BJ1155-BO1155,6)</f>
        <v>0</v>
      </c>
      <c r="BQ1155" s="80">
        <f>IF(BE1155=1,AW1155,0)</f>
        <v>0</v>
      </c>
      <c r="BR1155" s="80">
        <f>IF(BE1155=1,AX1155,0)</f>
        <v>0</v>
      </c>
      <c r="BS1155" s="80">
        <f>IF(AND(BE1155=1,D1155="Malcolm",BA1155&gt;0),MIN(BH1155,SUMPRODUCT((R_Emp="proMX")*(R_EN&gt;0)*((R_EN-(R_EN&gt;BR1155)*(R_EN-BR1155))&gt;(R_SN+(R_SN&lt;BQ1155)*(BQ1155-R_SN)))*((R_EN-(R_EN&gt;BR1155)*(R_EN-BR1155))-(R_SN+(R_SN&lt;BQ1155)*(BQ1155-R_SN))))/60),0)</f>
        <v>0</v>
      </c>
      <c r="BT1155" s="80">
        <f>IF(AND(BE1155=1,D1155="proMX"),ROUND(BI1155*CFG_RATE+BJ1155*CFG_OTRATE,6),0)</f>
        <v>0</v>
      </c>
      <c r="BU1155" s="80">
        <f>IF(AND(BD1155=1,D1155="proMX"),ROUND(AG1155/CFG_BLK,6),0)</f>
        <v>0</v>
      </c>
      <c r="BV1155" s="80" t="str">
        <f>IF(BF1155="Approved",IF(ISNUMBER(T1155),INT(T1155),INT(B1155)),"")</f>
        <v/>
      </c>
      <c r="BW1155" s="80">
        <f>IF(ISNUMBER(B1155),IF(DB_MON="Todos",1,IF(AND(INT(B1155)&gt;=DB_MS,INT(B1155)&lt;=DB_ME),1,0)),0)</f>
        <v>0</v>
      </c>
      <c r="BX1155" s="80">
        <f>IF(DB_PROJ="Todos",1,IF(E1155&amp;""=DB_PROJ&amp;"",1,0))</f>
        <v>1</v>
      </c>
      <c r="BY1155" s="80">
        <f>BW1155*BX1155</f>
        <v>0</v>
      </c>
      <c r="BZ1155" s="80" t="str">
        <f>IF(Y1155=1,F1155&amp;IF(AND(F1155&amp;""&lt;&gt;"",E1155&amp;""&lt;&gt;"")," · ","")&amp;E1155,"")</f>
        <v/>
      </c>
      <c r="CA1155" s="80" t="str">
        <f>IF(AND(BD1155=1,E1155&amp;""&lt;&gt;""),IF(COUNTIFS($E$5:E1154,E1155,$BD$5:BD1154,1)=0,MAX($CA$5:CA1154)+1,""),"")</f>
        <v/>
      </c>
      <c r="CB1155" s="80" t="str">
        <f>IF(AND(BE1155=1,D1155="Malcolm",E1155&amp;""&lt;&gt;""),IF(COUNTIFS($D$5:D1154,"Malcolm",$E$5:E1154,E1155,$BE$5:BE1154,1)=0,MAX($CB$5:CB1154)+1,""),"")</f>
        <v/>
      </c>
      <c r="CC1155" s="80" t="str">
        <f>IF(AND(BD1155=1,D1155="proMX",E1155&amp;""&lt;&gt;""),IF(COUNTIFS($D$5:D1154,"proMX",$E$5:E1154,E1155,$BD$5:BD1154,1)=0,MAX($CC$5:CC1154)+1,""),"")</f>
        <v/>
      </c>
      <c r="CD1155" s="80" t="str">
        <f>IF(AND(BE1155=1,D1155="Malcolm",F1155&amp;""&lt;&gt;""),IF(COUNTIFS($D$5:D1154,"Malcolm",$F$5:F1154,F1155,$BE$5:BE1154,1)=0,MAX($CD$5:CD1154)+1,""),"")</f>
        <v/>
      </c>
      <c r="CE1155" s="80" t="str">
        <f>IF(AND(BD1155=1,D1155="proMX",F1155&amp;""&lt;&gt;""),IF(COUNTIFS($D$5:D1154,"proMX",$F$5:F1154,F1155,$BD$5:BD1154,1)=0,MAX($CE$5:CE1154)+1,""),"")</f>
        <v/>
      </c>
      <c r="CF1155" s="80" t="str">
        <f>IF(AND(D1155="proMX",BD1155=1),IF(OR(BF1155="Draft",BF1155="Submitted",BF1155="Returned",BF1155="Recall Requested"),MAX($CF$5:CF1154)+1,""),"")</f>
        <v/>
      </c>
      <c r="CG1155" s="80">
        <f>IF(BD1155=0,0,IF(D1155="Malcolm",1,MATCH(BF1155,{"Draft","Submitted","Approved","Returned","Recall Requested","Cancelled"},0)+1))</f>
        <v>0</v>
      </c>
      <c r="CH1155" s="80">
        <f>IF(AND(BF1155="Submitted",ISNUMBER(V1155)),IF(V1155&gt;CFG_MAXD,1,0),0)</f>
        <v>0</v>
      </c>
    </row>
    <row r="1156">
      <c r="A1156" s="71" t="str">
        <f>IF(Y1156=1,ROW()-5,"")</f>
        <v/>
      </c>
      <c r="B1156" s="72" t="n"/>
      <c r="C1156" s="71" t="str">
        <f>IF(ISNUMBER(B1156),CHOOSE(WEEKDAY(B1156,2),"Lun","Mar","Mié","Jue","Vie","Sáb","Dom"),"")</f>
        <v/>
      </c>
      <c r="D1156" s="73" t="n"/>
      <c r="E1156" s="74" t="n"/>
      <c r="F1156" s="74" t="n"/>
      <c r="G1156" s="74" t="n"/>
      <c r="H1156" s="75" t="n"/>
      <c r="I1156" s="75" t="n"/>
      <c r="J1156" s="76" t="n"/>
      <c r="K1156" s="77" t="str">
        <f>IF(AB1156=1,ROUND(AG1156/60,4),"")</f>
        <v/>
      </c>
      <c r="L1156" s="77" t="str">
        <f>IF(BD1156=1,ROUND(AP1156/60,4),"")</f>
        <v/>
      </c>
      <c r="M1156" s="77" t="str">
        <f>IF(BD1156=1,ROUND(AQ1156/60,4),"")</f>
        <v/>
      </c>
      <c r="N1156" s="71" t="str">
        <f>IF(AND(D1156="proMX",AB1156=1),ROUND(AG1156/CFG_BLK,2),"")</f>
        <v/>
      </c>
      <c r="O1156" s="77" t="str">
        <f>IF(D1156="proMX",IF(BD1156=1,ROUND(AG1156/60,4),0),"")</f>
        <v/>
      </c>
      <c r="P1156" s="78" t="str">
        <f>IF(Y1156=0,"",IF(BD1156=1,"OK",IF(D1156="proMX","Revisar bloques: ","Revisar: ")&amp;BC1156))</f>
        <v/>
      </c>
      <c r="Q1156" s="78" t="str">
        <f>IF(NOT(ISNUMBER(B1156)),"",IF(COUNTIFS(FER_F,INT(B1156))&gt;0,"Feriado"&amp;IF(AH1156=1," (laborable)"," (no laborable)"),IF(AH1156=1,"Laborable",IF(WEEKDAY(B1156,2)&gt;5,"Fin de semana","No laborable"))))</f>
        <v/>
      </c>
      <c r="R1156" s="73" t="n"/>
      <c r="S1156" s="72" t="n"/>
      <c r="T1156" s="72" t="n"/>
      <c r="U1156" s="74" t="n"/>
      <c r="V1156" s="79" t="str">
        <f>IF(AND(D1156="proMX",OR(R1156="Submitted",R1156="Recall Requested"),ISNUMBER(S1156)),CFG_TODAY-INT(S1156),"")</f>
        <v/>
      </c>
      <c r="W1156" s="78" t="str">
        <f>IF(BD1156=0,"",IF(BA1156&gt;0,"⚠ Se superpone con un registro de la otra empresa",IF(D1156="Malcolm",IF(COUNTA(R1156,S1156,T1156)&gt;0,"Estado/fechas proMX se ignoran en Malcolm",""),IF(BF1156="Cancelled","Cancelado: excluido de totales",IF(R1156="","Sin estado: se trata como Draft",IF(BF1156="Submitted",IF(ISNUMBER(V1156),IF(V1156&gt;CFG_MAXD,"⚠ "&amp;V1156&amp;" días en Submitted (máx. "&amp;CFG_MAXD&amp;")",""),"Falta fecha de envío"),IF(BF1156="Returned","⚠ Devuelto: corregir y reenviar",IF(BF1156="Recall Requested","Retirada solicitada: pendiente",IF(AND(BF1156="Approved",NOT(ISNUMBER(T1156))),"Falta fecha de aprobación",IF(AND(ISNUMBER(S1156),ISNUMBER(T1156),T1156&lt;S1156),"Aprobación anterior al envío","")))))))))</f>
        <v/>
      </c>
      <c r="Y1156" s="80">
        <f>IF(COUNTA(B1156,D1156,E1156,F1156,G1156,H1156,I1156,J1156,R1156,S1156,T1156)&gt;0,1,0)</f>
        <v>0</v>
      </c>
      <c r="Z1156" s="80" t="str">
        <f>IF(AND(ISNUMBER(H1156),H1156&gt;=0,H1156&lt;1),ROUND(H1156*1440,0),"")</f>
        <v/>
      </c>
      <c r="AA1156" s="80" t="str">
        <f>IF(AND(ISNUMBER(I1156),I1156&gt;=0,I1156&lt;1),ROUND(I1156*1440,0),"")</f>
        <v/>
      </c>
      <c r="AB1156" s="80">
        <f>IF(AND(ISNUMBER(B1156),D1156&lt;&gt;"",ISNUMBER(Z1156),ISNUMBER(AA1156)),IF(Z1156=AA1156,0,1),0)</f>
        <v>0</v>
      </c>
      <c r="AC1156" s="80">
        <f>IF(AB1156=1,IF(AA1156&lt;Z1156,1,0),0)</f>
        <v>0</v>
      </c>
      <c r="AD1156" s="80">
        <f>IF(AB1156=1,IF(AC1156=1,1440-Z1156+AA1156,AA1156-Z1156),0)</f>
        <v>0</v>
      </c>
      <c r="AE1156" s="80">
        <f>IF(J1156="",0,IF(ISNUMBER(J1156),J1156,-1))</f>
        <v>0</v>
      </c>
      <c r="AF1156" s="80">
        <f>MIN(MAX(0,AE1156),AD1156)</f>
        <v>0</v>
      </c>
      <c r="AG1156" s="80">
        <f>MAX(0,AD1156-MAX(0,AE1156))</f>
        <v>0</v>
      </c>
      <c r="AH1156" s="80">
        <f>IF(ISNUMBER(B1156),IF(AND(INDEX(CFG_WDAYS,WEEKDAY(INT(B1156),2))="Sí",IF(D1156="proMX",COUNTIFS(FER_F,INT(B1156),FER_NLP,"Sí"),COUNTIFS(FER_F,INT(B1156),FER_NLM,"Sí"))=0),1,0),0)</f>
        <v>0</v>
      </c>
      <c r="AI1156" s="80">
        <f>IF(AC1156=1,IF(AND(INDEX(CFG_WDAYS,WEEKDAY(INT(B1156)+1,2))="Sí",IF(D1156="proMX",COUNTIFS(FER_F,INT(B1156)+1,FER_NLP,"Sí"),COUNTIFS(FER_F,INT(B1156)+1,FER_NLM,"Sí"))=0),1,0),0)</f>
        <v>0</v>
      </c>
      <c r="AJ1156" s="80">
        <f>IF(AC1156=1,1440-Z1156,AD1156)</f>
        <v>0</v>
      </c>
      <c r="AK1156" s="80">
        <f>IF(AND(AB1156=1,AH1156=1),MAX(0,MIN(IF(AC1156=1,1440,AA1156),CFG_WEM)-MAX(Z1156,CFG_WSM)),0)</f>
        <v>0</v>
      </c>
      <c r="AL1156" s="80">
        <f>IF(AND(AC1156=1,AI1156=1),MAX(0,MIN(AA1156,CFG_WEM)-CFG_WSM),0)</f>
        <v>0</v>
      </c>
      <c r="AM1156" s="80">
        <f>AK1156+AL1156</f>
        <v>0</v>
      </c>
      <c r="AN1156" s="80">
        <f>IF(CFG_BRK="Proporcional",IF(AD1156=0,0,AF1156*AM1156/AD1156),IF(CFG_BRK="Extras primero",MIN(AM1156,MAX(0,AF1156-(AD1156-AM1156))),MIN(AF1156,AM1156)))</f>
        <v>0</v>
      </c>
      <c r="AO1156" s="80">
        <f>AF1156-AN1156</f>
        <v>0</v>
      </c>
      <c r="AP1156" s="80">
        <f>AM1156-AN1156</f>
        <v>0</v>
      </c>
      <c r="AQ1156" s="80">
        <f>AD1156-AM1156-AO1156</f>
        <v>0</v>
      </c>
      <c r="AR1156" s="80">
        <f>IF(AM1156=0,0,AK1156-AN1156*AK1156/AM1156)</f>
        <v>0</v>
      </c>
      <c r="AS1156" s="80">
        <f>IF(AD1156-AM1156=0,0,(AJ1156-AK1156)-AO1156*(AJ1156-AK1156)/(AD1156-AM1156))</f>
        <v>0</v>
      </c>
      <c r="AT1156" s="80" t="str">
        <f>IF(AC1156=1,INT(B1156)+1,"")</f>
        <v/>
      </c>
      <c r="AU1156" s="80">
        <f>IF(AND(D1156="proMX",R1156="Cancelled"),0,1)</f>
        <v>1</v>
      </c>
      <c r="AV1156" s="80">
        <f>IF(AND(AB1156=1,AU1156=1),IF(COUNTIFS($D$5:D1155,D1156,$B$5:B1155,B1156,$Z$5:Z1155,Z1156,$AA$5:AA1155,AA1156,$F$5:F1155,F1156&amp;"",$AU$5:AU1155,1)&gt;0,1,0),0)</f>
        <v>0</v>
      </c>
      <c r="AW1156" s="80" t="str">
        <f>IF(AB1156=1,INT(B1156)*1440+Z1156,"")</f>
        <v/>
      </c>
      <c r="AX1156" s="80" t="str">
        <f>IF(AB1156=1,AW1156+AD1156,"")</f>
        <v/>
      </c>
      <c r="AY1156" s="80">
        <f>IF(AND(AB1156=1,AV1156=0,AU1156=1),1,0)</f>
        <v>0</v>
      </c>
      <c r="AZ1156" s="80">
        <f>IF(AY1156=1,COUNTIFS(R_Emp,D1156,R_SAbs,"&lt;"&amp;AX1156,R_EAbs,"&gt;"&amp;AW1156,R_OKey,1)-1,0)</f>
        <v>0</v>
      </c>
      <c r="BA1156" s="80">
        <f>IF(AY1156=1,COUNTIFS(R_Emp,"&lt;&gt;"&amp;D1156,R_SAbs,"&lt;"&amp;AX1156,R_EAbs,"&gt;"&amp;AW1156,R_OKey,1),0)</f>
        <v>0</v>
      </c>
      <c r="BB1156" s="80">
        <f>IF(AND(AB1156=1,D1156="proMX"),IF(AND(MOD(Z1156,CFG_BLK)=0,MOD(AA1156,CFG_BLK)=0,MOD(AG1156,CFG_BLK)=0,AG1156&gt;0),1,0),1)</f>
        <v>1</v>
      </c>
      <c r="BC1156" s="80" t="str">
        <f>IF(Y1156=0,"",IF(NOT(ISNUMBER(B1156)),"Falta fecha o fecha inválida",IF(D1156="","Falta empresa",IF(AND(D1156&lt;&gt;"Malcolm",D1156&lt;&gt;"proMX"),"Empresa inválida",IF(OR(INT(B1156)&lt;CFG_PSTART,INT(B1156)&gt;CFG_PEND),"Fecha fuera del período",IF(OR(NOT(ISNUMBER(Z1156)),NOT(ISNUMBER(AA1156))),"Falta hora inicio/fin o formato inválido",IF(AB1156=0,"Hora inicio = hora fin",IF(AE1156&lt;0,"Descanso inválido",IF(AE1156&gt;=AD1156,"Descanso ≥ duración",IF(AV1156=1,"Registro duplicado",IF(AZ1156&gt;0,"Se superpone con otro registro "&amp;D1156,IF(BB1156=0,"inicio, fin y duración neta deben ser múltiplos de "&amp;CFG_BLK&amp;" min",""))))))))))))</f>
        <v/>
      </c>
      <c r="BD1156" s="80">
        <f>IF(AND(Y1156=1,BC1156=""),1,0)</f>
        <v>0</v>
      </c>
      <c r="BE1156" s="80">
        <f>IF(AND(BD1156=1,AU1156=1),1,0)</f>
        <v>0</v>
      </c>
      <c r="BF1156" s="80" t="str">
        <f>IF(AND(D1156="proMX",BD1156=1),IF(R1156="","Draft",R1156),"")</f>
        <v/>
      </c>
      <c r="BG1156" s="80">
        <f>IF(BD1156=1,ROUND(AG1156/60,6),0)</f>
        <v>0</v>
      </c>
      <c r="BH1156" s="80">
        <f>IF(BE1156=1,ROUND(AG1156/60,6),0)</f>
        <v>0</v>
      </c>
      <c r="BI1156" s="80">
        <f>IF(BE1156=1,ROUND(AP1156/60,6),0)</f>
        <v>0</v>
      </c>
      <c r="BJ1156" s="80">
        <f>IF(BE1156=1,ROUND(AQ1156/60,6),0)</f>
        <v>0</v>
      </c>
      <c r="BK1156" s="80">
        <f>IF(BE1156=1,ROUND((AR1156+AS1156)/60,6),0)</f>
        <v>0</v>
      </c>
      <c r="BL1156" s="80">
        <f>ROUND(BH1156-BK1156,6)</f>
        <v>0</v>
      </c>
      <c r="BM1156" s="80">
        <f>IF(BE1156=1,ROUND(AR1156/60,6),0)</f>
        <v>0</v>
      </c>
      <c r="BN1156" s="80">
        <f>ROUND(BI1156-BM1156,6)</f>
        <v>0</v>
      </c>
      <c r="BO1156" s="80">
        <f>IF(BE1156=1,ROUND(AS1156/60,6),0)</f>
        <v>0</v>
      </c>
      <c r="BP1156" s="80">
        <f>ROUND(BJ1156-BO1156,6)</f>
        <v>0</v>
      </c>
      <c r="BQ1156" s="80">
        <f>IF(BE1156=1,AW1156,0)</f>
        <v>0</v>
      </c>
      <c r="BR1156" s="80">
        <f>IF(BE1156=1,AX1156,0)</f>
        <v>0</v>
      </c>
      <c r="BS1156" s="80">
        <f>IF(AND(BE1156=1,D1156="Malcolm",BA1156&gt;0),MIN(BH1156,SUMPRODUCT((R_Emp="proMX")*(R_EN&gt;0)*((R_EN-(R_EN&gt;BR1156)*(R_EN-BR1156))&gt;(R_SN+(R_SN&lt;BQ1156)*(BQ1156-R_SN)))*((R_EN-(R_EN&gt;BR1156)*(R_EN-BR1156))-(R_SN+(R_SN&lt;BQ1156)*(BQ1156-R_SN))))/60),0)</f>
        <v>0</v>
      </c>
      <c r="BT1156" s="80">
        <f>IF(AND(BE1156=1,D1156="proMX"),ROUND(BI1156*CFG_RATE+BJ1156*CFG_OTRATE,6),0)</f>
        <v>0</v>
      </c>
      <c r="BU1156" s="80">
        <f>IF(AND(BD1156=1,D1156="proMX"),ROUND(AG1156/CFG_BLK,6),0)</f>
        <v>0</v>
      </c>
      <c r="BV1156" s="80" t="str">
        <f>IF(BF1156="Approved",IF(ISNUMBER(T1156),INT(T1156),INT(B1156)),"")</f>
        <v/>
      </c>
      <c r="BW1156" s="80">
        <f>IF(ISNUMBER(B1156),IF(DB_MON="Todos",1,IF(AND(INT(B1156)&gt;=DB_MS,INT(B1156)&lt;=DB_ME),1,0)),0)</f>
        <v>0</v>
      </c>
      <c r="BX1156" s="80">
        <f>IF(DB_PROJ="Todos",1,IF(E1156&amp;""=DB_PROJ&amp;"",1,0))</f>
        <v>1</v>
      </c>
      <c r="BY1156" s="80">
        <f>BW1156*BX1156</f>
        <v>0</v>
      </c>
      <c r="BZ1156" s="80" t="str">
        <f>IF(Y1156=1,F1156&amp;IF(AND(F1156&amp;""&lt;&gt;"",E1156&amp;""&lt;&gt;"")," · ","")&amp;E1156,"")</f>
        <v/>
      </c>
      <c r="CA1156" s="80" t="str">
        <f>IF(AND(BD1156=1,E1156&amp;""&lt;&gt;""),IF(COUNTIFS($E$5:E1155,E1156,$BD$5:BD1155,1)=0,MAX($CA$5:CA1155)+1,""),"")</f>
        <v/>
      </c>
      <c r="CB1156" s="80" t="str">
        <f>IF(AND(BE1156=1,D1156="Malcolm",E1156&amp;""&lt;&gt;""),IF(COUNTIFS($D$5:D1155,"Malcolm",$E$5:E1155,E1156,$BE$5:BE1155,1)=0,MAX($CB$5:CB1155)+1,""),"")</f>
        <v/>
      </c>
      <c r="CC1156" s="80" t="str">
        <f>IF(AND(BD1156=1,D1156="proMX",E1156&amp;""&lt;&gt;""),IF(COUNTIFS($D$5:D1155,"proMX",$E$5:E1155,E1156,$BD$5:BD1155,1)=0,MAX($CC$5:CC1155)+1,""),"")</f>
        <v/>
      </c>
      <c r="CD1156" s="80" t="str">
        <f>IF(AND(BE1156=1,D1156="Malcolm",F1156&amp;""&lt;&gt;""),IF(COUNTIFS($D$5:D1155,"Malcolm",$F$5:F1155,F1156,$BE$5:BE1155,1)=0,MAX($CD$5:CD1155)+1,""),"")</f>
        <v/>
      </c>
      <c r="CE1156" s="80" t="str">
        <f>IF(AND(BD1156=1,D1156="proMX",F1156&amp;""&lt;&gt;""),IF(COUNTIFS($D$5:D1155,"proMX",$F$5:F1155,F1156,$BD$5:BD1155,1)=0,MAX($CE$5:CE1155)+1,""),"")</f>
        <v/>
      </c>
      <c r="CF1156" s="80" t="str">
        <f>IF(AND(D1156="proMX",BD1156=1),IF(OR(BF1156="Draft",BF1156="Submitted",BF1156="Returned",BF1156="Recall Requested"),MAX($CF$5:CF1155)+1,""),"")</f>
        <v/>
      </c>
      <c r="CG1156" s="80">
        <f>IF(BD1156=0,0,IF(D1156="Malcolm",1,MATCH(BF1156,{"Draft","Submitted","Approved","Returned","Recall Requested","Cancelled"},0)+1))</f>
        <v>0</v>
      </c>
      <c r="CH1156" s="80">
        <f>IF(AND(BF1156="Submitted",ISNUMBER(V1156)),IF(V1156&gt;CFG_MAXD,1,0),0)</f>
        <v>0</v>
      </c>
    </row>
    <row r="1157">
      <c r="A1157" s="71" t="str">
        <f>IF(Y1157=1,ROW()-5,"")</f>
        <v/>
      </c>
      <c r="B1157" s="72" t="n"/>
      <c r="C1157" s="71" t="str">
        <f>IF(ISNUMBER(B1157),CHOOSE(WEEKDAY(B1157,2),"Lun","Mar","Mié","Jue","Vie","Sáb","Dom"),"")</f>
        <v/>
      </c>
      <c r="D1157" s="73" t="n"/>
      <c r="E1157" s="74" t="n"/>
      <c r="F1157" s="74" t="n"/>
      <c r="G1157" s="74" t="n"/>
      <c r="H1157" s="75" t="n"/>
      <c r="I1157" s="75" t="n"/>
      <c r="J1157" s="76" t="n"/>
      <c r="K1157" s="77" t="str">
        <f>IF(AB1157=1,ROUND(AG1157/60,4),"")</f>
        <v/>
      </c>
      <c r="L1157" s="77" t="str">
        <f>IF(BD1157=1,ROUND(AP1157/60,4),"")</f>
        <v/>
      </c>
      <c r="M1157" s="77" t="str">
        <f>IF(BD1157=1,ROUND(AQ1157/60,4),"")</f>
        <v/>
      </c>
      <c r="N1157" s="71" t="str">
        <f>IF(AND(D1157="proMX",AB1157=1),ROUND(AG1157/CFG_BLK,2),"")</f>
        <v/>
      </c>
      <c r="O1157" s="77" t="str">
        <f>IF(D1157="proMX",IF(BD1157=1,ROUND(AG1157/60,4),0),"")</f>
        <v/>
      </c>
      <c r="P1157" s="78" t="str">
        <f>IF(Y1157=0,"",IF(BD1157=1,"OK",IF(D1157="proMX","Revisar bloques: ","Revisar: ")&amp;BC1157))</f>
        <v/>
      </c>
      <c r="Q1157" s="78" t="str">
        <f>IF(NOT(ISNUMBER(B1157)),"",IF(COUNTIFS(FER_F,INT(B1157))&gt;0,"Feriado"&amp;IF(AH1157=1," (laborable)"," (no laborable)"),IF(AH1157=1,"Laborable",IF(WEEKDAY(B1157,2)&gt;5,"Fin de semana","No laborable"))))</f>
        <v/>
      </c>
      <c r="R1157" s="73" t="n"/>
      <c r="S1157" s="72" t="n"/>
      <c r="T1157" s="72" t="n"/>
      <c r="U1157" s="74" t="n"/>
      <c r="V1157" s="79" t="str">
        <f>IF(AND(D1157="proMX",OR(R1157="Submitted",R1157="Recall Requested"),ISNUMBER(S1157)),CFG_TODAY-INT(S1157),"")</f>
        <v/>
      </c>
      <c r="W1157" s="78" t="str">
        <f>IF(BD1157=0,"",IF(BA1157&gt;0,"⚠ Se superpone con un registro de la otra empresa",IF(D1157="Malcolm",IF(COUNTA(R1157,S1157,T1157)&gt;0,"Estado/fechas proMX se ignoran en Malcolm",""),IF(BF1157="Cancelled","Cancelado: excluido de totales",IF(R1157="","Sin estado: se trata como Draft",IF(BF1157="Submitted",IF(ISNUMBER(V1157),IF(V1157&gt;CFG_MAXD,"⚠ "&amp;V1157&amp;" días en Submitted (máx. "&amp;CFG_MAXD&amp;")",""),"Falta fecha de envío"),IF(BF1157="Returned","⚠ Devuelto: corregir y reenviar",IF(BF1157="Recall Requested","Retirada solicitada: pendiente",IF(AND(BF1157="Approved",NOT(ISNUMBER(T1157))),"Falta fecha de aprobación",IF(AND(ISNUMBER(S1157),ISNUMBER(T1157),T1157&lt;S1157),"Aprobación anterior al envío","")))))))))</f>
        <v/>
      </c>
      <c r="Y1157" s="80">
        <f>IF(COUNTA(B1157,D1157,E1157,F1157,G1157,H1157,I1157,J1157,R1157,S1157,T1157)&gt;0,1,0)</f>
        <v>0</v>
      </c>
      <c r="Z1157" s="80" t="str">
        <f>IF(AND(ISNUMBER(H1157),H1157&gt;=0,H1157&lt;1),ROUND(H1157*1440,0),"")</f>
        <v/>
      </c>
      <c r="AA1157" s="80" t="str">
        <f>IF(AND(ISNUMBER(I1157),I1157&gt;=0,I1157&lt;1),ROUND(I1157*1440,0),"")</f>
        <v/>
      </c>
      <c r="AB1157" s="80">
        <f>IF(AND(ISNUMBER(B1157),D1157&lt;&gt;"",ISNUMBER(Z1157),ISNUMBER(AA1157)),IF(Z1157=AA1157,0,1),0)</f>
        <v>0</v>
      </c>
      <c r="AC1157" s="80">
        <f>IF(AB1157=1,IF(AA1157&lt;Z1157,1,0),0)</f>
        <v>0</v>
      </c>
      <c r="AD1157" s="80">
        <f>IF(AB1157=1,IF(AC1157=1,1440-Z1157+AA1157,AA1157-Z1157),0)</f>
        <v>0</v>
      </c>
      <c r="AE1157" s="80">
        <f>IF(J1157="",0,IF(ISNUMBER(J1157),J1157,-1))</f>
        <v>0</v>
      </c>
      <c r="AF1157" s="80">
        <f>MIN(MAX(0,AE1157),AD1157)</f>
        <v>0</v>
      </c>
      <c r="AG1157" s="80">
        <f>MAX(0,AD1157-MAX(0,AE1157))</f>
        <v>0</v>
      </c>
      <c r="AH1157" s="80">
        <f>IF(ISNUMBER(B1157),IF(AND(INDEX(CFG_WDAYS,WEEKDAY(INT(B1157),2))="Sí",IF(D1157="proMX",COUNTIFS(FER_F,INT(B1157),FER_NLP,"Sí"),COUNTIFS(FER_F,INT(B1157),FER_NLM,"Sí"))=0),1,0),0)</f>
        <v>0</v>
      </c>
      <c r="AI1157" s="80">
        <f>IF(AC1157=1,IF(AND(INDEX(CFG_WDAYS,WEEKDAY(INT(B1157)+1,2))="Sí",IF(D1157="proMX",COUNTIFS(FER_F,INT(B1157)+1,FER_NLP,"Sí"),COUNTIFS(FER_F,INT(B1157)+1,FER_NLM,"Sí"))=0),1,0),0)</f>
        <v>0</v>
      </c>
      <c r="AJ1157" s="80">
        <f>IF(AC1157=1,1440-Z1157,AD1157)</f>
        <v>0</v>
      </c>
      <c r="AK1157" s="80">
        <f>IF(AND(AB1157=1,AH1157=1),MAX(0,MIN(IF(AC1157=1,1440,AA1157),CFG_WEM)-MAX(Z1157,CFG_WSM)),0)</f>
        <v>0</v>
      </c>
      <c r="AL1157" s="80">
        <f>IF(AND(AC1157=1,AI1157=1),MAX(0,MIN(AA1157,CFG_WEM)-CFG_WSM),0)</f>
        <v>0</v>
      </c>
      <c r="AM1157" s="80">
        <f>AK1157+AL1157</f>
        <v>0</v>
      </c>
      <c r="AN1157" s="80">
        <f>IF(CFG_BRK="Proporcional",IF(AD1157=0,0,AF1157*AM1157/AD1157),IF(CFG_BRK="Extras primero",MIN(AM1157,MAX(0,AF1157-(AD1157-AM1157))),MIN(AF1157,AM1157)))</f>
        <v>0</v>
      </c>
      <c r="AO1157" s="80">
        <f>AF1157-AN1157</f>
        <v>0</v>
      </c>
      <c r="AP1157" s="80">
        <f>AM1157-AN1157</f>
        <v>0</v>
      </c>
      <c r="AQ1157" s="80">
        <f>AD1157-AM1157-AO1157</f>
        <v>0</v>
      </c>
      <c r="AR1157" s="80">
        <f>IF(AM1157=0,0,AK1157-AN1157*AK1157/AM1157)</f>
        <v>0</v>
      </c>
      <c r="AS1157" s="80">
        <f>IF(AD1157-AM1157=0,0,(AJ1157-AK1157)-AO1157*(AJ1157-AK1157)/(AD1157-AM1157))</f>
        <v>0</v>
      </c>
      <c r="AT1157" s="80" t="str">
        <f>IF(AC1157=1,INT(B1157)+1,"")</f>
        <v/>
      </c>
      <c r="AU1157" s="80">
        <f>IF(AND(D1157="proMX",R1157="Cancelled"),0,1)</f>
        <v>1</v>
      </c>
      <c r="AV1157" s="80">
        <f>IF(AND(AB1157=1,AU1157=1),IF(COUNTIFS($D$5:D1156,D1157,$B$5:B1156,B1157,$Z$5:Z1156,Z1157,$AA$5:AA1156,AA1157,$F$5:F1156,F1157&amp;"",$AU$5:AU1156,1)&gt;0,1,0),0)</f>
        <v>0</v>
      </c>
      <c r="AW1157" s="80" t="str">
        <f>IF(AB1157=1,INT(B1157)*1440+Z1157,"")</f>
        <v/>
      </c>
      <c r="AX1157" s="80" t="str">
        <f>IF(AB1157=1,AW1157+AD1157,"")</f>
        <v/>
      </c>
      <c r="AY1157" s="80">
        <f>IF(AND(AB1157=1,AV1157=0,AU1157=1),1,0)</f>
        <v>0</v>
      </c>
      <c r="AZ1157" s="80">
        <f>IF(AY1157=1,COUNTIFS(R_Emp,D1157,R_SAbs,"&lt;"&amp;AX1157,R_EAbs,"&gt;"&amp;AW1157,R_OKey,1)-1,0)</f>
        <v>0</v>
      </c>
      <c r="BA1157" s="80">
        <f>IF(AY1157=1,COUNTIFS(R_Emp,"&lt;&gt;"&amp;D1157,R_SAbs,"&lt;"&amp;AX1157,R_EAbs,"&gt;"&amp;AW1157,R_OKey,1),0)</f>
        <v>0</v>
      </c>
      <c r="BB1157" s="80">
        <f>IF(AND(AB1157=1,D1157="proMX"),IF(AND(MOD(Z1157,CFG_BLK)=0,MOD(AA1157,CFG_BLK)=0,MOD(AG1157,CFG_BLK)=0,AG1157&gt;0),1,0),1)</f>
        <v>1</v>
      </c>
      <c r="BC1157" s="80" t="str">
        <f>IF(Y1157=0,"",IF(NOT(ISNUMBER(B1157)),"Falta fecha o fecha inválida",IF(D1157="","Falta empresa",IF(AND(D1157&lt;&gt;"Malcolm",D1157&lt;&gt;"proMX"),"Empresa inválida",IF(OR(INT(B1157)&lt;CFG_PSTART,INT(B1157)&gt;CFG_PEND),"Fecha fuera del período",IF(OR(NOT(ISNUMBER(Z1157)),NOT(ISNUMBER(AA1157))),"Falta hora inicio/fin o formato inválido",IF(AB1157=0,"Hora inicio = hora fin",IF(AE1157&lt;0,"Descanso inválido",IF(AE1157&gt;=AD1157,"Descanso ≥ duración",IF(AV1157=1,"Registro duplicado",IF(AZ1157&gt;0,"Se superpone con otro registro "&amp;D1157,IF(BB1157=0,"inicio, fin y duración neta deben ser múltiplos de "&amp;CFG_BLK&amp;" min",""))))))))))))</f>
        <v/>
      </c>
      <c r="BD1157" s="80">
        <f>IF(AND(Y1157=1,BC1157=""),1,0)</f>
        <v>0</v>
      </c>
      <c r="BE1157" s="80">
        <f>IF(AND(BD1157=1,AU1157=1),1,0)</f>
        <v>0</v>
      </c>
      <c r="BF1157" s="80" t="str">
        <f>IF(AND(D1157="proMX",BD1157=1),IF(R1157="","Draft",R1157),"")</f>
        <v/>
      </c>
      <c r="BG1157" s="80">
        <f>IF(BD1157=1,ROUND(AG1157/60,6),0)</f>
        <v>0</v>
      </c>
      <c r="BH1157" s="80">
        <f>IF(BE1157=1,ROUND(AG1157/60,6),0)</f>
        <v>0</v>
      </c>
      <c r="BI1157" s="80">
        <f>IF(BE1157=1,ROUND(AP1157/60,6),0)</f>
        <v>0</v>
      </c>
      <c r="BJ1157" s="80">
        <f>IF(BE1157=1,ROUND(AQ1157/60,6),0)</f>
        <v>0</v>
      </c>
      <c r="BK1157" s="80">
        <f>IF(BE1157=1,ROUND((AR1157+AS1157)/60,6),0)</f>
        <v>0</v>
      </c>
      <c r="BL1157" s="80">
        <f>ROUND(BH1157-BK1157,6)</f>
        <v>0</v>
      </c>
      <c r="BM1157" s="80">
        <f>IF(BE1157=1,ROUND(AR1157/60,6),0)</f>
        <v>0</v>
      </c>
      <c r="BN1157" s="80">
        <f>ROUND(BI1157-BM1157,6)</f>
        <v>0</v>
      </c>
      <c r="BO1157" s="80">
        <f>IF(BE1157=1,ROUND(AS1157/60,6),0)</f>
        <v>0</v>
      </c>
      <c r="BP1157" s="80">
        <f>ROUND(BJ1157-BO1157,6)</f>
        <v>0</v>
      </c>
      <c r="BQ1157" s="80">
        <f>IF(BE1157=1,AW1157,0)</f>
        <v>0</v>
      </c>
      <c r="BR1157" s="80">
        <f>IF(BE1157=1,AX1157,0)</f>
        <v>0</v>
      </c>
      <c r="BS1157" s="80">
        <f>IF(AND(BE1157=1,D1157="Malcolm",BA1157&gt;0),MIN(BH1157,SUMPRODUCT((R_Emp="proMX")*(R_EN&gt;0)*((R_EN-(R_EN&gt;BR1157)*(R_EN-BR1157))&gt;(R_SN+(R_SN&lt;BQ1157)*(BQ1157-R_SN)))*((R_EN-(R_EN&gt;BR1157)*(R_EN-BR1157))-(R_SN+(R_SN&lt;BQ1157)*(BQ1157-R_SN))))/60),0)</f>
        <v>0</v>
      </c>
      <c r="BT1157" s="80">
        <f>IF(AND(BE1157=1,D1157="proMX"),ROUND(BI1157*CFG_RATE+BJ1157*CFG_OTRATE,6),0)</f>
        <v>0</v>
      </c>
      <c r="BU1157" s="80">
        <f>IF(AND(BD1157=1,D1157="proMX"),ROUND(AG1157/CFG_BLK,6),0)</f>
        <v>0</v>
      </c>
      <c r="BV1157" s="80" t="str">
        <f>IF(BF1157="Approved",IF(ISNUMBER(T1157),INT(T1157),INT(B1157)),"")</f>
        <v/>
      </c>
      <c r="BW1157" s="80">
        <f>IF(ISNUMBER(B1157),IF(DB_MON="Todos",1,IF(AND(INT(B1157)&gt;=DB_MS,INT(B1157)&lt;=DB_ME),1,0)),0)</f>
        <v>0</v>
      </c>
      <c r="BX1157" s="80">
        <f>IF(DB_PROJ="Todos",1,IF(E1157&amp;""=DB_PROJ&amp;"",1,0))</f>
        <v>1</v>
      </c>
      <c r="BY1157" s="80">
        <f>BW1157*BX1157</f>
        <v>0</v>
      </c>
      <c r="BZ1157" s="80" t="str">
        <f>IF(Y1157=1,F1157&amp;IF(AND(F1157&amp;""&lt;&gt;"",E1157&amp;""&lt;&gt;"")," · ","")&amp;E1157,"")</f>
        <v/>
      </c>
      <c r="CA1157" s="80" t="str">
        <f>IF(AND(BD1157=1,E1157&amp;""&lt;&gt;""),IF(COUNTIFS($E$5:E1156,E1157,$BD$5:BD1156,1)=0,MAX($CA$5:CA1156)+1,""),"")</f>
        <v/>
      </c>
      <c r="CB1157" s="80" t="str">
        <f>IF(AND(BE1157=1,D1157="Malcolm",E1157&amp;""&lt;&gt;""),IF(COUNTIFS($D$5:D1156,"Malcolm",$E$5:E1156,E1157,$BE$5:BE1156,1)=0,MAX($CB$5:CB1156)+1,""),"")</f>
        <v/>
      </c>
      <c r="CC1157" s="80" t="str">
        <f>IF(AND(BD1157=1,D1157="proMX",E1157&amp;""&lt;&gt;""),IF(COUNTIFS($D$5:D1156,"proMX",$E$5:E1156,E1157,$BD$5:BD1156,1)=0,MAX($CC$5:CC1156)+1,""),"")</f>
        <v/>
      </c>
      <c r="CD1157" s="80" t="str">
        <f>IF(AND(BE1157=1,D1157="Malcolm",F1157&amp;""&lt;&gt;""),IF(COUNTIFS($D$5:D1156,"Malcolm",$F$5:F1156,F1157,$BE$5:BE1156,1)=0,MAX($CD$5:CD1156)+1,""),"")</f>
        <v/>
      </c>
      <c r="CE1157" s="80" t="str">
        <f>IF(AND(BD1157=1,D1157="proMX",F1157&amp;""&lt;&gt;""),IF(COUNTIFS($D$5:D1156,"proMX",$F$5:F1156,F1157,$BD$5:BD1156,1)=0,MAX($CE$5:CE1156)+1,""),"")</f>
        <v/>
      </c>
      <c r="CF1157" s="80" t="str">
        <f>IF(AND(D1157="proMX",BD1157=1),IF(OR(BF1157="Draft",BF1157="Submitted",BF1157="Returned",BF1157="Recall Requested"),MAX($CF$5:CF1156)+1,""),"")</f>
        <v/>
      </c>
      <c r="CG1157" s="80">
        <f>IF(BD1157=0,0,IF(D1157="Malcolm",1,MATCH(BF1157,{"Draft","Submitted","Approved","Returned","Recall Requested","Cancelled"},0)+1))</f>
        <v>0</v>
      </c>
      <c r="CH1157" s="80">
        <f>IF(AND(BF1157="Submitted",ISNUMBER(V1157)),IF(V1157&gt;CFG_MAXD,1,0),0)</f>
        <v>0</v>
      </c>
    </row>
    <row r="1158">
      <c r="A1158" s="71" t="str">
        <f>IF(Y1158=1,ROW()-5,"")</f>
        <v/>
      </c>
      <c r="B1158" s="72" t="n"/>
      <c r="C1158" s="71" t="str">
        <f>IF(ISNUMBER(B1158),CHOOSE(WEEKDAY(B1158,2),"Lun","Mar","Mié","Jue","Vie","Sáb","Dom"),"")</f>
        <v/>
      </c>
      <c r="D1158" s="73" t="n"/>
      <c r="E1158" s="74" t="n"/>
      <c r="F1158" s="74" t="n"/>
      <c r="G1158" s="74" t="n"/>
      <c r="H1158" s="75" t="n"/>
      <c r="I1158" s="75" t="n"/>
      <c r="J1158" s="76" t="n"/>
      <c r="K1158" s="77" t="str">
        <f>IF(AB1158=1,ROUND(AG1158/60,4),"")</f>
        <v/>
      </c>
      <c r="L1158" s="77" t="str">
        <f>IF(BD1158=1,ROUND(AP1158/60,4),"")</f>
        <v/>
      </c>
      <c r="M1158" s="77" t="str">
        <f>IF(BD1158=1,ROUND(AQ1158/60,4),"")</f>
        <v/>
      </c>
      <c r="N1158" s="71" t="str">
        <f>IF(AND(D1158="proMX",AB1158=1),ROUND(AG1158/CFG_BLK,2),"")</f>
        <v/>
      </c>
      <c r="O1158" s="77" t="str">
        <f>IF(D1158="proMX",IF(BD1158=1,ROUND(AG1158/60,4),0),"")</f>
        <v/>
      </c>
      <c r="P1158" s="78" t="str">
        <f>IF(Y1158=0,"",IF(BD1158=1,"OK",IF(D1158="proMX","Revisar bloques: ","Revisar: ")&amp;BC1158))</f>
        <v/>
      </c>
      <c r="Q1158" s="78" t="str">
        <f>IF(NOT(ISNUMBER(B1158)),"",IF(COUNTIFS(FER_F,INT(B1158))&gt;0,"Feriado"&amp;IF(AH1158=1," (laborable)"," (no laborable)"),IF(AH1158=1,"Laborable",IF(WEEKDAY(B1158,2)&gt;5,"Fin de semana","No laborable"))))</f>
        <v/>
      </c>
      <c r="R1158" s="73" t="n"/>
      <c r="S1158" s="72" t="n"/>
      <c r="T1158" s="72" t="n"/>
      <c r="U1158" s="74" t="n"/>
      <c r="V1158" s="79" t="str">
        <f>IF(AND(D1158="proMX",OR(R1158="Submitted",R1158="Recall Requested"),ISNUMBER(S1158)),CFG_TODAY-INT(S1158),"")</f>
        <v/>
      </c>
      <c r="W1158" s="78" t="str">
        <f>IF(BD1158=0,"",IF(BA1158&gt;0,"⚠ Se superpone con un registro de la otra empresa",IF(D1158="Malcolm",IF(COUNTA(R1158,S1158,T1158)&gt;0,"Estado/fechas proMX se ignoran en Malcolm",""),IF(BF1158="Cancelled","Cancelado: excluido de totales",IF(R1158="","Sin estado: se trata como Draft",IF(BF1158="Submitted",IF(ISNUMBER(V1158),IF(V1158&gt;CFG_MAXD,"⚠ "&amp;V1158&amp;" días en Submitted (máx. "&amp;CFG_MAXD&amp;")",""),"Falta fecha de envío"),IF(BF1158="Returned","⚠ Devuelto: corregir y reenviar",IF(BF1158="Recall Requested","Retirada solicitada: pendiente",IF(AND(BF1158="Approved",NOT(ISNUMBER(T1158))),"Falta fecha de aprobación",IF(AND(ISNUMBER(S1158),ISNUMBER(T1158),T1158&lt;S1158),"Aprobación anterior al envío","")))))))))</f>
        <v/>
      </c>
      <c r="Y1158" s="80">
        <f>IF(COUNTA(B1158,D1158,E1158,F1158,G1158,H1158,I1158,J1158,R1158,S1158,T1158)&gt;0,1,0)</f>
        <v>0</v>
      </c>
      <c r="Z1158" s="80" t="str">
        <f>IF(AND(ISNUMBER(H1158),H1158&gt;=0,H1158&lt;1),ROUND(H1158*1440,0),"")</f>
        <v/>
      </c>
      <c r="AA1158" s="80" t="str">
        <f>IF(AND(ISNUMBER(I1158),I1158&gt;=0,I1158&lt;1),ROUND(I1158*1440,0),"")</f>
        <v/>
      </c>
      <c r="AB1158" s="80">
        <f>IF(AND(ISNUMBER(B1158),D1158&lt;&gt;"",ISNUMBER(Z1158),ISNUMBER(AA1158)),IF(Z1158=AA1158,0,1),0)</f>
        <v>0</v>
      </c>
      <c r="AC1158" s="80">
        <f>IF(AB1158=1,IF(AA1158&lt;Z1158,1,0),0)</f>
        <v>0</v>
      </c>
      <c r="AD1158" s="80">
        <f>IF(AB1158=1,IF(AC1158=1,1440-Z1158+AA1158,AA1158-Z1158),0)</f>
        <v>0</v>
      </c>
      <c r="AE1158" s="80">
        <f>IF(J1158="",0,IF(ISNUMBER(J1158),J1158,-1))</f>
        <v>0</v>
      </c>
      <c r="AF1158" s="80">
        <f>MIN(MAX(0,AE1158),AD1158)</f>
        <v>0</v>
      </c>
      <c r="AG1158" s="80">
        <f>MAX(0,AD1158-MAX(0,AE1158))</f>
        <v>0</v>
      </c>
      <c r="AH1158" s="80">
        <f>IF(ISNUMBER(B1158),IF(AND(INDEX(CFG_WDAYS,WEEKDAY(INT(B1158),2))="Sí",IF(D1158="proMX",COUNTIFS(FER_F,INT(B1158),FER_NLP,"Sí"),COUNTIFS(FER_F,INT(B1158),FER_NLM,"Sí"))=0),1,0),0)</f>
        <v>0</v>
      </c>
      <c r="AI1158" s="80">
        <f>IF(AC1158=1,IF(AND(INDEX(CFG_WDAYS,WEEKDAY(INT(B1158)+1,2))="Sí",IF(D1158="proMX",COUNTIFS(FER_F,INT(B1158)+1,FER_NLP,"Sí"),COUNTIFS(FER_F,INT(B1158)+1,FER_NLM,"Sí"))=0),1,0),0)</f>
        <v>0</v>
      </c>
      <c r="AJ1158" s="80">
        <f>IF(AC1158=1,1440-Z1158,AD1158)</f>
        <v>0</v>
      </c>
      <c r="AK1158" s="80">
        <f>IF(AND(AB1158=1,AH1158=1),MAX(0,MIN(IF(AC1158=1,1440,AA1158),CFG_WEM)-MAX(Z1158,CFG_WSM)),0)</f>
        <v>0</v>
      </c>
      <c r="AL1158" s="80">
        <f>IF(AND(AC1158=1,AI1158=1),MAX(0,MIN(AA1158,CFG_WEM)-CFG_WSM),0)</f>
        <v>0</v>
      </c>
      <c r="AM1158" s="80">
        <f>AK1158+AL1158</f>
        <v>0</v>
      </c>
      <c r="AN1158" s="80">
        <f>IF(CFG_BRK="Proporcional",IF(AD1158=0,0,AF1158*AM1158/AD1158),IF(CFG_BRK="Extras primero",MIN(AM1158,MAX(0,AF1158-(AD1158-AM1158))),MIN(AF1158,AM1158)))</f>
        <v>0</v>
      </c>
      <c r="AO1158" s="80">
        <f>AF1158-AN1158</f>
        <v>0</v>
      </c>
      <c r="AP1158" s="80">
        <f>AM1158-AN1158</f>
        <v>0</v>
      </c>
      <c r="AQ1158" s="80">
        <f>AD1158-AM1158-AO1158</f>
        <v>0</v>
      </c>
      <c r="AR1158" s="80">
        <f>IF(AM1158=0,0,AK1158-AN1158*AK1158/AM1158)</f>
        <v>0</v>
      </c>
      <c r="AS1158" s="80">
        <f>IF(AD1158-AM1158=0,0,(AJ1158-AK1158)-AO1158*(AJ1158-AK1158)/(AD1158-AM1158))</f>
        <v>0</v>
      </c>
      <c r="AT1158" s="80" t="str">
        <f>IF(AC1158=1,INT(B1158)+1,"")</f>
        <v/>
      </c>
      <c r="AU1158" s="80">
        <f>IF(AND(D1158="proMX",R1158="Cancelled"),0,1)</f>
        <v>1</v>
      </c>
      <c r="AV1158" s="80">
        <f>IF(AND(AB1158=1,AU1158=1),IF(COUNTIFS($D$5:D1157,D1158,$B$5:B1157,B1158,$Z$5:Z1157,Z1158,$AA$5:AA1157,AA1158,$F$5:F1157,F1158&amp;"",$AU$5:AU1157,1)&gt;0,1,0),0)</f>
        <v>0</v>
      </c>
      <c r="AW1158" s="80" t="str">
        <f>IF(AB1158=1,INT(B1158)*1440+Z1158,"")</f>
        <v/>
      </c>
      <c r="AX1158" s="80" t="str">
        <f>IF(AB1158=1,AW1158+AD1158,"")</f>
        <v/>
      </c>
      <c r="AY1158" s="80">
        <f>IF(AND(AB1158=1,AV1158=0,AU1158=1),1,0)</f>
        <v>0</v>
      </c>
      <c r="AZ1158" s="80">
        <f>IF(AY1158=1,COUNTIFS(R_Emp,D1158,R_SAbs,"&lt;"&amp;AX1158,R_EAbs,"&gt;"&amp;AW1158,R_OKey,1)-1,0)</f>
        <v>0</v>
      </c>
      <c r="BA1158" s="80">
        <f>IF(AY1158=1,COUNTIFS(R_Emp,"&lt;&gt;"&amp;D1158,R_SAbs,"&lt;"&amp;AX1158,R_EAbs,"&gt;"&amp;AW1158,R_OKey,1),0)</f>
        <v>0</v>
      </c>
      <c r="BB1158" s="80">
        <f>IF(AND(AB1158=1,D1158="proMX"),IF(AND(MOD(Z1158,CFG_BLK)=0,MOD(AA1158,CFG_BLK)=0,MOD(AG1158,CFG_BLK)=0,AG1158&gt;0),1,0),1)</f>
        <v>1</v>
      </c>
      <c r="BC1158" s="80" t="str">
        <f>IF(Y1158=0,"",IF(NOT(ISNUMBER(B1158)),"Falta fecha o fecha inválida",IF(D1158="","Falta empresa",IF(AND(D1158&lt;&gt;"Malcolm",D1158&lt;&gt;"proMX"),"Empresa inválida",IF(OR(INT(B1158)&lt;CFG_PSTART,INT(B1158)&gt;CFG_PEND),"Fecha fuera del período",IF(OR(NOT(ISNUMBER(Z1158)),NOT(ISNUMBER(AA1158))),"Falta hora inicio/fin o formato inválido",IF(AB1158=0,"Hora inicio = hora fin",IF(AE1158&lt;0,"Descanso inválido",IF(AE1158&gt;=AD1158,"Descanso ≥ duración",IF(AV1158=1,"Registro duplicado",IF(AZ1158&gt;0,"Se superpone con otro registro "&amp;D1158,IF(BB1158=0,"inicio, fin y duración neta deben ser múltiplos de "&amp;CFG_BLK&amp;" min",""))))))))))))</f>
        <v/>
      </c>
      <c r="BD1158" s="80">
        <f>IF(AND(Y1158=1,BC1158=""),1,0)</f>
        <v>0</v>
      </c>
      <c r="BE1158" s="80">
        <f>IF(AND(BD1158=1,AU1158=1),1,0)</f>
        <v>0</v>
      </c>
      <c r="BF1158" s="80" t="str">
        <f>IF(AND(D1158="proMX",BD1158=1),IF(R1158="","Draft",R1158),"")</f>
        <v/>
      </c>
      <c r="BG1158" s="80">
        <f>IF(BD1158=1,ROUND(AG1158/60,6),0)</f>
        <v>0</v>
      </c>
      <c r="BH1158" s="80">
        <f>IF(BE1158=1,ROUND(AG1158/60,6),0)</f>
        <v>0</v>
      </c>
      <c r="BI1158" s="80">
        <f>IF(BE1158=1,ROUND(AP1158/60,6),0)</f>
        <v>0</v>
      </c>
      <c r="BJ1158" s="80">
        <f>IF(BE1158=1,ROUND(AQ1158/60,6),0)</f>
        <v>0</v>
      </c>
      <c r="BK1158" s="80">
        <f>IF(BE1158=1,ROUND((AR1158+AS1158)/60,6),0)</f>
        <v>0</v>
      </c>
      <c r="BL1158" s="80">
        <f>ROUND(BH1158-BK1158,6)</f>
        <v>0</v>
      </c>
      <c r="BM1158" s="80">
        <f>IF(BE1158=1,ROUND(AR1158/60,6),0)</f>
        <v>0</v>
      </c>
      <c r="BN1158" s="80">
        <f>ROUND(BI1158-BM1158,6)</f>
        <v>0</v>
      </c>
      <c r="BO1158" s="80">
        <f>IF(BE1158=1,ROUND(AS1158/60,6),0)</f>
        <v>0</v>
      </c>
      <c r="BP1158" s="80">
        <f>ROUND(BJ1158-BO1158,6)</f>
        <v>0</v>
      </c>
      <c r="BQ1158" s="80">
        <f>IF(BE1158=1,AW1158,0)</f>
        <v>0</v>
      </c>
      <c r="BR1158" s="80">
        <f>IF(BE1158=1,AX1158,0)</f>
        <v>0</v>
      </c>
      <c r="BS1158" s="80">
        <f>IF(AND(BE1158=1,D1158="Malcolm",BA1158&gt;0),MIN(BH1158,SUMPRODUCT((R_Emp="proMX")*(R_EN&gt;0)*((R_EN-(R_EN&gt;BR1158)*(R_EN-BR1158))&gt;(R_SN+(R_SN&lt;BQ1158)*(BQ1158-R_SN)))*((R_EN-(R_EN&gt;BR1158)*(R_EN-BR1158))-(R_SN+(R_SN&lt;BQ1158)*(BQ1158-R_SN))))/60),0)</f>
        <v>0</v>
      </c>
      <c r="BT1158" s="80">
        <f>IF(AND(BE1158=1,D1158="proMX"),ROUND(BI1158*CFG_RATE+BJ1158*CFG_OTRATE,6),0)</f>
        <v>0</v>
      </c>
      <c r="BU1158" s="80">
        <f>IF(AND(BD1158=1,D1158="proMX"),ROUND(AG1158/CFG_BLK,6),0)</f>
        <v>0</v>
      </c>
      <c r="BV1158" s="80" t="str">
        <f>IF(BF1158="Approved",IF(ISNUMBER(T1158),INT(T1158),INT(B1158)),"")</f>
        <v/>
      </c>
      <c r="BW1158" s="80">
        <f>IF(ISNUMBER(B1158),IF(DB_MON="Todos",1,IF(AND(INT(B1158)&gt;=DB_MS,INT(B1158)&lt;=DB_ME),1,0)),0)</f>
        <v>0</v>
      </c>
      <c r="BX1158" s="80">
        <f>IF(DB_PROJ="Todos",1,IF(E1158&amp;""=DB_PROJ&amp;"",1,0))</f>
        <v>1</v>
      </c>
      <c r="BY1158" s="80">
        <f>BW1158*BX1158</f>
        <v>0</v>
      </c>
      <c r="BZ1158" s="80" t="str">
        <f>IF(Y1158=1,F1158&amp;IF(AND(F1158&amp;""&lt;&gt;"",E1158&amp;""&lt;&gt;"")," · ","")&amp;E1158,"")</f>
        <v/>
      </c>
      <c r="CA1158" s="80" t="str">
        <f>IF(AND(BD1158=1,E1158&amp;""&lt;&gt;""),IF(COUNTIFS($E$5:E1157,E1158,$BD$5:BD1157,1)=0,MAX($CA$5:CA1157)+1,""),"")</f>
        <v/>
      </c>
      <c r="CB1158" s="80" t="str">
        <f>IF(AND(BE1158=1,D1158="Malcolm",E1158&amp;""&lt;&gt;""),IF(COUNTIFS($D$5:D1157,"Malcolm",$E$5:E1157,E1158,$BE$5:BE1157,1)=0,MAX($CB$5:CB1157)+1,""),"")</f>
        <v/>
      </c>
      <c r="CC1158" s="80" t="str">
        <f>IF(AND(BD1158=1,D1158="proMX",E1158&amp;""&lt;&gt;""),IF(COUNTIFS($D$5:D1157,"proMX",$E$5:E1157,E1158,$BD$5:BD1157,1)=0,MAX($CC$5:CC1157)+1,""),"")</f>
        <v/>
      </c>
      <c r="CD1158" s="80" t="str">
        <f>IF(AND(BE1158=1,D1158="Malcolm",F1158&amp;""&lt;&gt;""),IF(COUNTIFS($D$5:D1157,"Malcolm",$F$5:F1157,F1158,$BE$5:BE1157,1)=0,MAX($CD$5:CD1157)+1,""),"")</f>
        <v/>
      </c>
      <c r="CE1158" s="80" t="str">
        <f>IF(AND(BD1158=1,D1158="proMX",F1158&amp;""&lt;&gt;""),IF(COUNTIFS($D$5:D1157,"proMX",$F$5:F1157,F1158,$BD$5:BD1157,1)=0,MAX($CE$5:CE1157)+1,""),"")</f>
        <v/>
      </c>
      <c r="CF1158" s="80" t="str">
        <f>IF(AND(D1158="proMX",BD1158=1),IF(OR(BF1158="Draft",BF1158="Submitted",BF1158="Returned",BF1158="Recall Requested"),MAX($CF$5:CF1157)+1,""),"")</f>
        <v/>
      </c>
      <c r="CG1158" s="80">
        <f>IF(BD1158=0,0,IF(D1158="Malcolm",1,MATCH(BF1158,{"Draft","Submitted","Approved","Returned","Recall Requested","Cancelled"},0)+1))</f>
        <v>0</v>
      </c>
      <c r="CH1158" s="80">
        <f>IF(AND(BF1158="Submitted",ISNUMBER(V1158)),IF(V1158&gt;CFG_MAXD,1,0),0)</f>
        <v>0</v>
      </c>
    </row>
    <row r="1159">
      <c r="A1159" s="71" t="str">
        <f>IF(Y1159=1,ROW()-5,"")</f>
        <v/>
      </c>
      <c r="B1159" s="72" t="n"/>
      <c r="C1159" s="71" t="str">
        <f>IF(ISNUMBER(B1159),CHOOSE(WEEKDAY(B1159,2),"Lun","Mar","Mié","Jue","Vie","Sáb","Dom"),"")</f>
        <v/>
      </c>
      <c r="D1159" s="73" t="n"/>
      <c r="E1159" s="74" t="n"/>
      <c r="F1159" s="74" t="n"/>
      <c r="G1159" s="74" t="n"/>
      <c r="H1159" s="75" t="n"/>
      <c r="I1159" s="75" t="n"/>
      <c r="J1159" s="76" t="n"/>
      <c r="K1159" s="77" t="str">
        <f>IF(AB1159=1,ROUND(AG1159/60,4),"")</f>
        <v/>
      </c>
      <c r="L1159" s="77" t="str">
        <f>IF(BD1159=1,ROUND(AP1159/60,4),"")</f>
        <v/>
      </c>
      <c r="M1159" s="77" t="str">
        <f>IF(BD1159=1,ROUND(AQ1159/60,4),"")</f>
        <v/>
      </c>
      <c r="N1159" s="71" t="str">
        <f>IF(AND(D1159="proMX",AB1159=1),ROUND(AG1159/CFG_BLK,2),"")</f>
        <v/>
      </c>
      <c r="O1159" s="77" t="str">
        <f>IF(D1159="proMX",IF(BD1159=1,ROUND(AG1159/60,4),0),"")</f>
        <v/>
      </c>
      <c r="P1159" s="78" t="str">
        <f>IF(Y1159=0,"",IF(BD1159=1,"OK",IF(D1159="proMX","Revisar bloques: ","Revisar: ")&amp;BC1159))</f>
        <v/>
      </c>
      <c r="Q1159" s="78" t="str">
        <f>IF(NOT(ISNUMBER(B1159)),"",IF(COUNTIFS(FER_F,INT(B1159))&gt;0,"Feriado"&amp;IF(AH1159=1," (laborable)"," (no laborable)"),IF(AH1159=1,"Laborable",IF(WEEKDAY(B1159,2)&gt;5,"Fin de semana","No laborable"))))</f>
        <v/>
      </c>
      <c r="R1159" s="73" t="n"/>
      <c r="S1159" s="72" t="n"/>
      <c r="T1159" s="72" t="n"/>
      <c r="U1159" s="74" t="n"/>
      <c r="V1159" s="79" t="str">
        <f>IF(AND(D1159="proMX",OR(R1159="Submitted",R1159="Recall Requested"),ISNUMBER(S1159)),CFG_TODAY-INT(S1159),"")</f>
        <v/>
      </c>
      <c r="W1159" s="78" t="str">
        <f>IF(BD1159=0,"",IF(BA1159&gt;0,"⚠ Se superpone con un registro de la otra empresa",IF(D1159="Malcolm",IF(COUNTA(R1159,S1159,T1159)&gt;0,"Estado/fechas proMX se ignoran en Malcolm",""),IF(BF1159="Cancelled","Cancelado: excluido de totales",IF(R1159="","Sin estado: se trata como Draft",IF(BF1159="Submitted",IF(ISNUMBER(V1159),IF(V1159&gt;CFG_MAXD,"⚠ "&amp;V1159&amp;" días en Submitted (máx. "&amp;CFG_MAXD&amp;")",""),"Falta fecha de envío"),IF(BF1159="Returned","⚠ Devuelto: corregir y reenviar",IF(BF1159="Recall Requested","Retirada solicitada: pendiente",IF(AND(BF1159="Approved",NOT(ISNUMBER(T1159))),"Falta fecha de aprobación",IF(AND(ISNUMBER(S1159),ISNUMBER(T1159),T1159&lt;S1159),"Aprobación anterior al envío","")))))))))</f>
        <v/>
      </c>
      <c r="Y1159" s="80">
        <f>IF(COUNTA(B1159,D1159,E1159,F1159,G1159,H1159,I1159,J1159,R1159,S1159,T1159)&gt;0,1,0)</f>
        <v>0</v>
      </c>
      <c r="Z1159" s="80" t="str">
        <f>IF(AND(ISNUMBER(H1159),H1159&gt;=0,H1159&lt;1),ROUND(H1159*1440,0),"")</f>
        <v/>
      </c>
      <c r="AA1159" s="80" t="str">
        <f>IF(AND(ISNUMBER(I1159),I1159&gt;=0,I1159&lt;1),ROUND(I1159*1440,0),"")</f>
        <v/>
      </c>
      <c r="AB1159" s="80">
        <f>IF(AND(ISNUMBER(B1159),D1159&lt;&gt;"",ISNUMBER(Z1159),ISNUMBER(AA1159)),IF(Z1159=AA1159,0,1),0)</f>
        <v>0</v>
      </c>
      <c r="AC1159" s="80">
        <f>IF(AB1159=1,IF(AA1159&lt;Z1159,1,0),0)</f>
        <v>0</v>
      </c>
      <c r="AD1159" s="80">
        <f>IF(AB1159=1,IF(AC1159=1,1440-Z1159+AA1159,AA1159-Z1159),0)</f>
        <v>0</v>
      </c>
      <c r="AE1159" s="80">
        <f>IF(J1159="",0,IF(ISNUMBER(J1159),J1159,-1))</f>
        <v>0</v>
      </c>
      <c r="AF1159" s="80">
        <f>MIN(MAX(0,AE1159),AD1159)</f>
        <v>0</v>
      </c>
      <c r="AG1159" s="80">
        <f>MAX(0,AD1159-MAX(0,AE1159))</f>
        <v>0</v>
      </c>
      <c r="AH1159" s="80">
        <f>IF(ISNUMBER(B1159),IF(AND(INDEX(CFG_WDAYS,WEEKDAY(INT(B1159),2))="Sí",IF(D1159="proMX",COUNTIFS(FER_F,INT(B1159),FER_NLP,"Sí"),COUNTIFS(FER_F,INT(B1159),FER_NLM,"Sí"))=0),1,0),0)</f>
        <v>0</v>
      </c>
      <c r="AI1159" s="80">
        <f>IF(AC1159=1,IF(AND(INDEX(CFG_WDAYS,WEEKDAY(INT(B1159)+1,2))="Sí",IF(D1159="proMX",COUNTIFS(FER_F,INT(B1159)+1,FER_NLP,"Sí"),COUNTIFS(FER_F,INT(B1159)+1,FER_NLM,"Sí"))=0),1,0),0)</f>
        <v>0</v>
      </c>
      <c r="AJ1159" s="80">
        <f>IF(AC1159=1,1440-Z1159,AD1159)</f>
        <v>0</v>
      </c>
      <c r="AK1159" s="80">
        <f>IF(AND(AB1159=1,AH1159=1),MAX(0,MIN(IF(AC1159=1,1440,AA1159),CFG_WEM)-MAX(Z1159,CFG_WSM)),0)</f>
        <v>0</v>
      </c>
      <c r="AL1159" s="80">
        <f>IF(AND(AC1159=1,AI1159=1),MAX(0,MIN(AA1159,CFG_WEM)-CFG_WSM),0)</f>
        <v>0</v>
      </c>
      <c r="AM1159" s="80">
        <f>AK1159+AL1159</f>
        <v>0</v>
      </c>
      <c r="AN1159" s="80">
        <f>IF(CFG_BRK="Proporcional",IF(AD1159=0,0,AF1159*AM1159/AD1159),IF(CFG_BRK="Extras primero",MIN(AM1159,MAX(0,AF1159-(AD1159-AM1159))),MIN(AF1159,AM1159)))</f>
        <v>0</v>
      </c>
      <c r="AO1159" s="80">
        <f>AF1159-AN1159</f>
        <v>0</v>
      </c>
      <c r="AP1159" s="80">
        <f>AM1159-AN1159</f>
        <v>0</v>
      </c>
      <c r="AQ1159" s="80">
        <f>AD1159-AM1159-AO1159</f>
        <v>0</v>
      </c>
      <c r="AR1159" s="80">
        <f>IF(AM1159=0,0,AK1159-AN1159*AK1159/AM1159)</f>
        <v>0</v>
      </c>
      <c r="AS1159" s="80">
        <f>IF(AD1159-AM1159=0,0,(AJ1159-AK1159)-AO1159*(AJ1159-AK1159)/(AD1159-AM1159))</f>
        <v>0</v>
      </c>
      <c r="AT1159" s="80" t="str">
        <f>IF(AC1159=1,INT(B1159)+1,"")</f>
        <v/>
      </c>
      <c r="AU1159" s="80">
        <f>IF(AND(D1159="proMX",R1159="Cancelled"),0,1)</f>
        <v>1</v>
      </c>
      <c r="AV1159" s="80">
        <f>IF(AND(AB1159=1,AU1159=1),IF(COUNTIFS($D$5:D1158,D1159,$B$5:B1158,B1159,$Z$5:Z1158,Z1159,$AA$5:AA1158,AA1159,$F$5:F1158,F1159&amp;"",$AU$5:AU1158,1)&gt;0,1,0),0)</f>
        <v>0</v>
      </c>
      <c r="AW1159" s="80" t="str">
        <f>IF(AB1159=1,INT(B1159)*1440+Z1159,"")</f>
        <v/>
      </c>
      <c r="AX1159" s="80" t="str">
        <f>IF(AB1159=1,AW1159+AD1159,"")</f>
        <v/>
      </c>
      <c r="AY1159" s="80">
        <f>IF(AND(AB1159=1,AV1159=0,AU1159=1),1,0)</f>
        <v>0</v>
      </c>
      <c r="AZ1159" s="80">
        <f>IF(AY1159=1,COUNTIFS(R_Emp,D1159,R_SAbs,"&lt;"&amp;AX1159,R_EAbs,"&gt;"&amp;AW1159,R_OKey,1)-1,0)</f>
        <v>0</v>
      </c>
      <c r="BA1159" s="80">
        <f>IF(AY1159=1,COUNTIFS(R_Emp,"&lt;&gt;"&amp;D1159,R_SAbs,"&lt;"&amp;AX1159,R_EAbs,"&gt;"&amp;AW1159,R_OKey,1),0)</f>
        <v>0</v>
      </c>
      <c r="BB1159" s="80">
        <f>IF(AND(AB1159=1,D1159="proMX"),IF(AND(MOD(Z1159,CFG_BLK)=0,MOD(AA1159,CFG_BLK)=0,MOD(AG1159,CFG_BLK)=0,AG1159&gt;0),1,0),1)</f>
        <v>1</v>
      </c>
      <c r="BC1159" s="80" t="str">
        <f>IF(Y1159=0,"",IF(NOT(ISNUMBER(B1159)),"Falta fecha o fecha inválida",IF(D1159="","Falta empresa",IF(AND(D1159&lt;&gt;"Malcolm",D1159&lt;&gt;"proMX"),"Empresa inválida",IF(OR(INT(B1159)&lt;CFG_PSTART,INT(B1159)&gt;CFG_PEND),"Fecha fuera del período",IF(OR(NOT(ISNUMBER(Z1159)),NOT(ISNUMBER(AA1159))),"Falta hora inicio/fin o formato inválido",IF(AB1159=0,"Hora inicio = hora fin",IF(AE1159&lt;0,"Descanso inválido",IF(AE1159&gt;=AD1159,"Descanso ≥ duración",IF(AV1159=1,"Registro duplicado",IF(AZ1159&gt;0,"Se superpone con otro registro "&amp;D1159,IF(BB1159=0,"inicio, fin y duración neta deben ser múltiplos de "&amp;CFG_BLK&amp;" min",""))))))))))))</f>
        <v/>
      </c>
      <c r="BD1159" s="80">
        <f>IF(AND(Y1159=1,BC1159=""),1,0)</f>
        <v>0</v>
      </c>
      <c r="BE1159" s="80">
        <f>IF(AND(BD1159=1,AU1159=1),1,0)</f>
        <v>0</v>
      </c>
      <c r="BF1159" s="80" t="str">
        <f>IF(AND(D1159="proMX",BD1159=1),IF(R1159="","Draft",R1159),"")</f>
        <v/>
      </c>
      <c r="BG1159" s="80">
        <f>IF(BD1159=1,ROUND(AG1159/60,6),0)</f>
        <v>0</v>
      </c>
      <c r="BH1159" s="80">
        <f>IF(BE1159=1,ROUND(AG1159/60,6),0)</f>
        <v>0</v>
      </c>
      <c r="BI1159" s="80">
        <f>IF(BE1159=1,ROUND(AP1159/60,6),0)</f>
        <v>0</v>
      </c>
      <c r="BJ1159" s="80">
        <f>IF(BE1159=1,ROUND(AQ1159/60,6),0)</f>
        <v>0</v>
      </c>
      <c r="BK1159" s="80">
        <f>IF(BE1159=1,ROUND((AR1159+AS1159)/60,6),0)</f>
        <v>0</v>
      </c>
      <c r="BL1159" s="80">
        <f>ROUND(BH1159-BK1159,6)</f>
        <v>0</v>
      </c>
      <c r="BM1159" s="80">
        <f>IF(BE1159=1,ROUND(AR1159/60,6),0)</f>
        <v>0</v>
      </c>
      <c r="BN1159" s="80">
        <f>ROUND(BI1159-BM1159,6)</f>
        <v>0</v>
      </c>
      <c r="BO1159" s="80">
        <f>IF(BE1159=1,ROUND(AS1159/60,6),0)</f>
        <v>0</v>
      </c>
      <c r="BP1159" s="80">
        <f>ROUND(BJ1159-BO1159,6)</f>
        <v>0</v>
      </c>
      <c r="BQ1159" s="80">
        <f>IF(BE1159=1,AW1159,0)</f>
        <v>0</v>
      </c>
      <c r="BR1159" s="80">
        <f>IF(BE1159=1,AX1159,0)</f>
        <v>0</v>
      </c>
      <c r="BS1159" s="80">
        <f>IF(AND(BE1159=1,D1159="Malcolm",BA1159&gt;0),MIN(BH1159,SUMPRODUCT((R_Emp="proMX")*(R_EN&gt;0)*((R_EN-(R_EN&gt;BR1159)*(R_EN-BR1159))&gt;(R_SN+(R_SN&lt;BQ1159)*(BQ1159-R_SN)))*((R_EN-(R_EN&gt;BR1159)*(R_EN-BR1159))-(R_SN+(R_SN&lt;BQ1159)*(BQ1159-R_SN))))/60),0)</f>
        <v>0</v>
      </c>
      <c r="BT1159" s="80">
        <f>IF(AND(BE1159=1,D1159="proMX"),ROUND(BI1159*CFG_RATE+BJ1159*CFG_OTRATE,6),0)</f>
        <v>0</v>
      </c>
      <c r="BU1159" s="80">
        <f>IF(AND(BD1159=1,D1159="proMX"),ROUND(AG1159/CFG_BLK,6),0)</f>
        <v>0</v>
      </c>
      <c r="BV1159" s="80" t="str">
        <f>IF(BF1159="Approved",IF(ISNUMBER(T1159),INT(T1159),INT(B1159)),"")</f>
        <v/>
      </c>
      <c r="BW1159" s="80">
        <f>IF(ISNUMBER(B1159),IF(DB_MON="Todos",1,IF(AND(INT(B1159)&gt;=DB_MS,INT(B1159)&lt;=DB_ME),1,0)),0)</f>
        <v>0</v>
      </c>
      <c r="BX1159" s="80">
        <f>IF(DB_PROJ="Todos",1,IF(E1159&amp;""=DB_PROJ&amp;"",1,0))</f>
        <v>1</v>
      </c>
      <c r="BY1159" s="80">
        <f>BW1159*BX1159</f>
        <v>0</v>
      </c>
      <c r="BZ1159" s="80" t="str">
        <f>IF(Y1159=1,F1159&amp;IF(AND(F1159&amp;""&lt;&gt;"",E1159&amp;""&lt;&gt;"")," · ","")&amp;E1159,"")</f>
        <v/>
      </c>
      <c r="CA1159" s="80" t="str">
        <f>IF(AND(BD1159=1,E1159&amp;""&lt;&gt;""),IF(COUNTIFS($E$5:E1158,E1159,$BD$5:BD1158,1)=0,MAX($CA$5:CA1158)+1,""),"")</f>
        <v/>
      </c>
      <c r="CB1159" s="80" t="str">
        <f>IF(AND(BE1159=1,D1159="Malcolm",E1159&amp;""&lt;&gt;""),IF(COUNTIFS($D$5:D1158,"Malcolm",$E$5:E1158,E1159,$BE$5:BE1158,1)=0,MAX($CB$5:CB1158)+1,""),"")</f>
        <v/>
      </c>
      <c r="CC1159" s="80" t="str">
        <f>IF(AND(BD1159=1,D1159="proMX",E1159&amp;""&lt;&gt;""),IF(COUNTIFS($D$5:D1158,"proMX",$E$5:E1158,E1159,$BD$5:BD1158,1)=0,MAX($CC$5:CC1158)+1,""),"")</f>
        <v/>
      </c>
      <c r="CD1159" s="80" t="str">
        <f>IF(AND(BE1159=1,D1159="Malcolm",F1159&amp;""&lt;&gt;""),IF(COUNTIFS($D$5:D1158,"Malcolm",$F$5:F1158,F1159,$BE$5:BE1158,1)=0,MAX($CD$5:CD1158)+1,""),"")</f>
        <v/>
      </c>
      <c r="CE1159" s="80" t="str">
        <f>IF(AND(BD1159=1,D1159="proMX",F1159&amp;""&lt;&gt;""),IF(COUNTIFS($D$5:D1158,"proMX",$F$5:F1158,F1159,$BD$5:BD1158,1)=0,MAX($CE$5:CE1158)+1,""),"")</f>
        <v/>
      </c>
      <c r="CF1159" s="80" t="str">
        <f>IF(AND(D1159="proMX",BD1159=1),IF(OR(BF1159="Draft",BF1159="Submitted",BF1159="Returned",BF1159="Recall Requested"),MAX($CF$5:CF1158)+1,""),"")</f>
        <v/>
      </c>
      <c r="CG1159" s="80">
        <f>IF(BD1159=0,0,IF(D1159="Malcolm",1,MATCH(BF1159,{"Draft","Submitted","Approved","Returned","Recall Requested","Cancelled"},0)+1))</f>
        <v>0</v>
      </c>
      <c r="CH1159" s="80">
        <f>IF(AND(BF1159="Submitted",ISNUMBER(V1159)),IF(V1159&gt;CFG_MAXD,1,0),0)</f>
        <v>0</v>
      </c>
    </row>
    <row r="1160">
      <c r="A1160" s="71" t="str">
        <f>IF(Y1160=1,ROW()-5,"")</f>
        <v/>
      </c>
      <c r="B1160" s="72" t="n"/>
      <c r="C1160" s="71" t="str">
        <f>IF(ISNUMBER(B1160),CHOOSE(WEEKDAY(B1160,2),"Lun","Mar","Mié","Jue","Vie","Sáb","Dom"),"")</f>
        <v/>
      </c>
      <c r="D1160" s="73" t="n"/>
      <c r="E1160" s="74" t="n"/>
      <c r="F1160" s="74" t="n"/>
      <c r="G1160" s="74" t="n"/>
      <c r="H1160" s="75" t="n"/>
      <c r="I1160" s="75" t="n"/>
      <c r="J1160" s="76" t="n"/>
      <c r="K1160" s="77" t="str">
        <f>IF(AB1160=1,ROUND(AG1160/60,4),"")</f>
        <v/>
      </c>
      <c r="L1160" s="77" t="str">
        <f>IF(BD1160=1,ROUND(AP1160/60,4),"")</f>
        <v/>
      </c>
      <c r="M1160" s="77" t="str">
        <f>IF(BD1160=1,ROUND(AQ1160/60,4),"")</f>
        <v/>
      </c>
      <c r="N1160" s="71" t="str">
        <f>IF(AND(D1160="proMX",AB1160=1),ROUND(AG1160/CFG_BLK,2),"")</f>
        <v/>
      </c>
      <c r="O1160" s="77" t="str">
        <f>IF(D1160="proMX",IF(BD1160=1,ROUND(AG1160/60,4),0),"")</f>
        <v/>
      </c>
      <c r="P1160" s="78" t="str">
        <f>IF(Y1160=0,"",IF(BD1160=1,"OK",IF(D1160="proMX","Revisar bloques: ","Revisar: ")&amp;BC1160))</f>
        <v/>
      </c>
      <c r="Q1160" s="78" t="str">
        <f>IF(NOT(ISNUMBER(B1160)),"",IF(COUNTIFS(FER_F,INT(B1160))&gt;0,"Feriado"&amp;IF(AH1160=1," (laborable)"," (no laborable)"),IF(AH1160=1,"Laborable",IF(WEEKDAY(B1160,2)&gt;5,"Fin de semana","No laborable"))))</f>
        <v/>
      </c>
      <c r="R1160" s="73" t="n"/>
      <c r="S1160" s="72" t="n"/>
      <c r="T1160" s="72" t="n"/>
      <c r="U1160" s="74" t="n"/>
      <c r="V1160" s="79" t="str">
        <f>IF(AND(D1160="proMX",OR(R1160="Submitted",R1160="Recall Requested"),ISNUMBER(S1160)),CFG_TODAY-INT(S1160),"")</f>
        <v/>
      </c>
      <c r="W1160" s="78" t="str">
        <f>IF(BD1160=0,"",IF(BA1160&gt;0,"⚠ Se superpone con un registro de la otra empresa",IF(D1160="Malcolm",IF(COUNTA(R1160,S1160,T1160)&gt;0,"Estado/fechas proMX se ignoran en Malcolm",""),IF(BF1160="Cancelled","Cancelado: excluido de totales",IF(R1160="","Sin estado: se trata como Draft",IF(BF1160="Submitted",IF(ISNUMBER(V1160),IF(V1160&gt;CFG_MAXD,"⚠ "&amp;V1160&amp;" días en Submitted (máx. "&amp;CFG_MAXD&amp;")",""),"Falta fecha de envío"),IF(BF1160="Returned","⚠ Devuelto: corregir y reenviar",IF(BF1160="Recall Requested","Retirada solicitada: pendiente",IF(AND(BF1160="Approved",NOT(ISNUMBER(T1160))),"Falta fecha de aprobación",IF(AND(ISNUMBER(S1160),ISNUMBER(T1160),T1160&lt;S1160),"Aprobación anterior al envío","")))))))))</f>
        <v/>
      </c>
      <c r="Y1160" s="80">
        <f>IF(COUNTA(B1160,D1160,E1160,F1160,G1160,H1160,I1160,J1160,R1160,S1160,T1160)&gt;0,1,0)</f>
        <v>0</v>
      </c>
      <c r="Z1160" s="80" t="str">
        <f>IF(AND(ISNUMBER(H1160),H1160&gt;=0,H1160&lt;1),ROUND(H1160*1440,0),"")</f>
        <v/>
      </c>
      <c r="AA1160" s="80" t="str">
        <f>IF(AND(ISNUMBER(I1160),I1160&gt;=0,I1160&lt;1),ROUND(I1160*1440,0),"")</f>
        <v/>
      </c>
      <c r="AB1160" s="80">
        <f>IF(AND(ISNUMBER(B1160),D1160&lt;&gt;"",ISNUMBER(Z1160),ISNUMBER(AA1160)),IF(Z1160=AA1160,0,1),0)</f>
        <v>0</v>
      </c>
      <c r="AC1160" s="80">
        <f>IF(AB1160=1,IF(AA1160&lt;Z1160,1,0),0)</f>
        <v>0</v>
      </c>
      <c r="AD1160" s="80">
        <f>IF(AB1160=1,IF(AC1160=1,1440-Z1160+AA1160,AA1160-Z1160),0)</f>
        <v>0</v>
      </c>
      <c r="AE1160" s="80">
        <f>IF(J1160="",0,IF(ISNUMBER(J1160),J1160,-1))</f>
        <v>0</v>
      </c>
      <c r="AF1160" s="80">
        <f>MIN(MAX(0,AE1160),AD1160)</f>
        <v>0</v>
      </c>
      <c r="AG1160" s="80">
        <f>MAX(0,AD1160-MAX(0,AE1160))</f>
        <v>0</v>
      </c>
      <c r="AH1160" s="80">
        <f>IF(ISNUMBER(B1160),IF(AND(INDEX(CFG_WDAYS,WEEKDAY(INT(B1160),2))="Sí",IF(D1160="proMX",COUNTIFS(FER_F,INT(B1160),FER_NLP,"Sí"),COUNTIFS(FER_F,INT(B1160),FER_NLM,"Sí"))=0),1,0),0)</f>
        <v>0</v>
      </c>
      <c r="AI1160" s="80">
        <f>IF(AC1160=1,IF(AND(INDEX(CFG_WDAYS,WEEKDAY(INT(B1160)+1,2))="Sí",IF(D1160="proMX",COUNTIFS(FER_F,INT(B1160)+1,FER_NLP,"Sí"),COUNTIFS(FER_F,INT(B1160)+1,FER_NLM,"Sí"))=0),1,0),0)</f>
        <v>0</v>
      </c>
      <c r="AJ1160" s="80">
        <f>IF(AC1160=1,1440-Z1160,AD1160)</f>
        <v>0</v>
      </c>
      <c r="AK1160" s="80">
        <f>IF(AND(AB1160=1,AH1160=1),MAX(0,MIN(IF(AC1160=1,1440,AA1160),CFG_WEM)-MAX(Z1160,CFG_WSM)),0)</f>
        <v>0</v>
      </c>
      <c r="AL1160" s="80">
        <f>IF(AND(AC1160=1,AI1160=1),MAX(0,MIN(AA1160,CFG_WEM)-CFG_WSM),0)</f>
        <v>0</v>
      </c>
      <c r="AM1160" s="80">
        <f>AK1160+AL1160</f>
        <v>0</v>
      </c>
      <c r="AN1160" s="80">
        <f>IF(CFG_BRK="Proporcional",IF(AD1160=0,0,AF1160*AM1160/AD1160),IF(CFG_BRK="Extras primero",MIN(AM1160,MAX(0,AF1160-(AD1160-AM1160))),MIN(AF1160,AM1160)))</f>
        <v>0</v>
      </c>
      <c r="AO1160" s="80">
        <f>AF1160-AN1160</f>
        <v>0</v>
      </c>
      <c r="AP1160" s="80">
        <f>AM1160-AN1160</f>
        <v>0</v>
      </c>
      <c r="AQ1160" s="80">
        <f>AD1160-AM1160-AO1160</f>
        <v>0</v>
      </c>
      <c r="AR1160" s="80">
        <f>IF(AM1160=0,0,AK1160-AN1160*AK1160/AM1160)</f>
        <v>0</v>
      </c>
      <c r="AS1160" s="80">
        <f>IF(AD1160-AM1160=0,0,(AJ1160-AK1160)-AO1160*(AJ1160-AK1160)/(AD1160-AM1160))</f>
        <v>0</v>
      </c>
      <c r="AT1160" s="80" t="str">
        <f>IF(AC1160=1,INT(B1160)+1,"")</f>
        <v/>
      </c>
      <c r="AU1160" s="80">
        <f>IF(AND(D1160="proMX",R1160="Cancelled"),0,1)</f>
        <v>1</v>
      </c>
      <c r="AV1160" s="80">
        <f>IF(AND(AB1160=1,AU1160=1),IF(COUNTIFS($D$5:D1159,D1160,$B$5:B1159,B1160,$Z$5:Z1159,Z1160,$AA$5:AA1159,AA1160,$F$5:F1159,F1160&amp;"",$AU$5:AU1159,1)&gt;0,1,0),0)</f>
        <v>0</v>
      </c>
      <c r="AW1160" s="80" t="str">
        <f>IF(AB1160=1,INT(B1160)*1440+Z1160,"")</f>
        <v/>
      </c>
      <c r="AX1160" s="80" t="str">
        <f>IF(AB1160=1,AW1160+AD1160,"")</f>
        <v/>
      </c>
      <c r="AY1160" s="80">
        <f>IF(AND(AB1160=1,AV1160=0,AU1160=1),1,0)</f>
        <v>0</v>
      </c>
      <c r="AZ1160" s="80">
        <f>IF(AY1160=1,COUNTIFS(R_Emp,D1160,R_SAbs,"&lt;"&amp;AX1160,R_EAbs,"&gt;"&amp;AW1160,R_OKey,1)-1,0)</f>
        <v>0</v>
      </c>
      <c r="BA1160" s="80">
        <f>IF(AY1160=1,COUNTIFS(R_Emp,"&lt;&gt;"&amp;D1160,R_SAbs,"&lt;"&amp;AX1160,R_EAbs,"&gt;"&amp;AW1160,R_OKey,1),0)</f>
        <v>0</v>
      </c>
      <c r="BB1160" s="80">
        <f>IF(AND(AB1160=1,D1160="proMX"),IF(AND(MOD(Z1160,CFG_BLK)=0,MOD(AA1160,CFG_BLK)=0,MOD(AG1160,CFG_BLK)=0,AG1160&gt;0),1,0),1)</f>
        <v>1</v>
      </c>
      <c r="BC1160" s="80" t="str">
        <f>IF(Y1160=0,"",IF(NOT(ISNUMBER(B1160)),"Falta fecha o fecha inválida",IF(D1160="","Falta empresa",IF(AND(D1160&lt;&gt;"Malcolm",D1160&lt;&gt;"proMX"),"Empresa inválida",IF(OR(INT(B1160)&lt;CFG_PSTART,INT(B1160)&gt;CFG_PEND),"Fecha fuera del período",IF(OR(NOT(ISNUMBER(Z1160)),NOT(ISNUMBER(AA1160))),"Falta hora inicio/fin o formato inválido",IF(AB1160=0,"Hora inicio = hora fin",IF(AE1160&lt;0,"Descanso inválido",IF(AE1160&gt;=AD1160,"Descanso ≥ duración",IF(AV1160=1,"Registro duplicado",IF(AZ1160&gt;0,"Se superpone con otro registro "&amp;D1160,IF(BB1160=0,"inicio, fin y duración neta deben ser múltiplos de "&amp;CFG_BLK&amp;" min",""))))))))))))</f>
        <v/>
      </c>
      <c r="BD1160" s="80">
        <f>IF(AND(Y1160=1,BC1160=""),1,0)</f>
        <v>0</v>
      </c>
      <c r="BE1160" s="80">
        <f>IF(AND(BD1160=1,AU1160=1),1,0)</f>
        <v>0</v>
      </c>
      <c r="BF1160" s="80" t="str">
        <f>IF(AND(D1160="proMX",BD1160=1),IF(R1160="","Draft",R1160),"")</f>
        <v/>
      </c>
      <c r="BG1160" s="80">
        <f>IF(BD1160=1,ROUND(AG1160/60,6),0)</f>
        <v>0</v>
      </c>
      <c r="BH1160" s="80">
        <f>IF(BE1160=1,ROUND(AG1160/60,6),0)</f>
        <v>0</v>
      </c>
      <c r="BI1160" s="80">
        <f>IF(BE1160=1,ROUND(AP1160/60,6),0)</f>
        <v>0</v>
      </c>
      <c r="BJ1160" s="80">
        <f>IF(BE1160=1,ROUND(AQ1160/60,6),0)</f>
        <v>0</v>
      </c>
      <c r="BK1160" s="80">
        <f>IF(BE1160=1,ROUND((AR1160+AS1160)/60,6),0)</f>
        <v>0</v>
      </c>
      <c r="BL1160" s="80">
        <f>ROUND(BH1160-BK1160,6)</f>
        <v>0</v>
      </c>
      <c r="BM1160" s="80">
        <f>IF(BE1160=1,ROUND(AR1160/60,6),0)</f>
        <v>0</v>
      </c>
      <c r="BN1160" s="80">
        <f>ROUND(BI1160-BM1160,6)</f>
        <v>0</v>
      </c>
      <c r="BO1160" s="80">
        <f>IF(BE1160=1,ROUND(AS1160/60,6),0)</f>
        <v>0</v>
      </c>
      <c r="BP1160" s="80">
        <f>ROUND(BJ1160-BO1160,6)</f>
        <v>0</v>
      </c>
      <c r="BQ1160" s="80">
        <f>IF(BE1160=1,AW1160,0)</f>
        <v>0</v>
      </c>
      <c r="BR1160" s="80">
        <f>IF(BE1160=1,AX1160,0)</f>
        <v>0</v>
      </c>
      <c r="BS1160" s="80">
        <f>IF(AND(BE1160=1,D1160="Malcolm",BA1160&gt;0),MIN(BH1160,SUMPRODUCT((R_Emp="proMX")*(R_EN&gt;0)*((R_EN-(R_EN&gt;BR1160)*(R_EN-BR1160))&gt;(R_SN+(R_SN&lt;BQ1160)*(BQ1160-R_SN)))*((R_EN-(R_EN&gt;BR1160)*(R_EN-BR1160))-(R_SN+(R_SN&lt;BQ1160)*(BQ1160-R_SN))))/60),0)</f>
        <v>0</v>
      </c>
      <c r="BT1160" s="80">
        <f>IF(AND(BE1160=1,D1160="proMX"),ROUND(BI1160*CFG_RATE+BJ1160*CFG_OTRATE,6),0)</f>
        <v>0</v>
      </c>
      <c r="BU1160" s="80">
        <f>IF(AND(BD1160=1,D1160="proMX"),ROUND(AG1160/CFG_BLK,6),0)</f>
        <v>0</v>
      </c>
      <c r="BV1160" s="80" t="str">
        <f>IF(BF1160="Approved",IF(ISNUMBER(T1160),INT(T1160),INT(B1160)),"")</f>
        <v/>
      </c>
      <c r="BW1160" s="80">
        <f>IF(ISNUMBER(B1160),IF(DB_MON="Todos",1,IF(AND(INT(B1160)&gt;=DB_MS,INT(B1160)&lt;=DB_ME),1,0)),0)</f>
        <v>0</v>
      </c>
      <c r="BX1160" s="80">
        <f>IF(DB_PROJ="Todos",1,IF(E1160&amp;""=DB_PROJ&amp;"",1,0))</f>
        <v>1</v>
      </c>
      <c r="BY1160" s="80">
        <f>BW1160*BX1160</f>
        <v>0</v>
      </c>
      <c r="BZ1160" s="80" t="str">
        <f>IF(Y1160=1,F1160&amp;IF(AND(F1160&amp;""&lt;&gt;"",E1160&amp;""&lt;&gt;"")," · ","")&amp;E1160,"")</f>
        <v/>
      </c>
      <c r="CA1160" s="80" t="str">
        <f>IF(AND(BD1160=1,E1160&amp;""&lt;&gt;""),IF(COUNTIFS($E$5:E1159,E1160,$BD$5:BD1159,1)=0,MAX($CA$5:CA1159)+1,""),"")</f>
        <v/>
      </c>
      <c r="CB1160" s="80" t="str">
        <f>IF(AND(BE1160=1,D1160="Malcolm",E1160&amp;""&lt;&gt;""),IF(COUNTIFS($D$5:D1159,"Malcolm",$E$5:E1159,E1160,$BE$5:BE1159,1)=0,MAX($CB$5:CB1159)+1,""),"")</f>
        <v/>
      </c>
      <c r="CC1160" s="80" t="str">
        <f>IF(AND(BD1160=1,D1160="proMX",E1160&amp;""&lt;&gt;""),IF(COUNTIFS($D$5:D1159,"proMX",$E$5:E1159,E1160,$BD$5:BD1159,1)=0,MAX($CC$5:CC1159)+1,""),"")</f>
        <v/>
      </c>
      <c r="CD1160" s="80" t="str">
        <f>IF(AND(BE1160=1,D1160="Malcolm",F1160&amp;""&lt;&gt;""),IF(COUNTIFS($D$5:D1159,"Malcolm",$F$5:F1159,F1160,$BE$5:BE1159,1)=0,MAX($CD$5:CD1159)+1,""),"")</f>
        <v/>
      </c>
      <c r="CE1160" s="80" t="str">
        <f>IF(AND(BD1160=1,D1160="proMX",F1160&amp;""&lt;&gt;""),IF(COUNTIFS($D$5:D1159,"proMX",$F$5:F1159,F1160,$BD$5:BD1159,1)=0,MAX($CE$5:CE1159)+1,""),"")</f>
        <v/>
      </c>
      <c r="CF1160" s="80" t="str">
        <f>IF(AND(D1160="proMX",BD1160=1),IF(OR(BF1160="Draft",BF1160="Submitted",BF1160="Returned",BF1160="Recall Requested"),MAX($CF$5:CF1159)+1,""),"")</f>
        <v/>
      </c>
      <c r="CG1160" s="80">
        <f>IF(BD1160=0,0,IF(D1160="Malcolm",1,MATCH(BF1160,{"Draft","Submitted","Approved","Returned","Recall Requested","Cancelled"},0)+1))</f>
        <v>0</v>
      </c>
      <c r="CH1160" s="80">
        <f>IF(AND(BF1160="Submitted",ISNUMBER(V1160)),IF(V1160&gt;CFG_MAXD,1,0),0)</f>
        <v>0</v>
      </c>
    </row>
    <row r="1161">
      <c r="A1161" s="71" t="str">
        <f>IF(Y1161=1,ROW()-5,"")</f>
        <v/>
      </c>
      <c r="B1161" s="72" t="n"/>
      <c r="C1161" s="71" t="str">
        <f>IF(ISNUMBER(B1161),CHOOSE(WEEKDAY(B1161,2),"Lun","Mar","Mié","Jue","Vie","Sáb","Dom"),"")</f>
        <v/>
      </c>
      <c r="D1161" s="73" t="n"/>
      <c r="E1161" s="74" t="n"/>
      <c r="F1161" s="74" t="n"/>
      <c r="G1161" s="74" t="n"/>
      <c r="H1161" s="75" t="n"/>
      <c r="I1161" s="75" t="n"/>
      <c r="J1161" s="76" t="n"/>
      <c r="K1161" s="77" t="str">
        <f>IF(AB1161=1,ROUND(AG1161/60,4),"")</f>
        <v/>
      </c>
      <c r="L1161" s="77" t="str">
        <f>IF(BD1161=1,ROUND(AP1161/60,4),"")</f>
        <v/>
      </c>
      <c r="M1161" s="77" t="str">
        <f>IF(BD1161=1,ROUND(AQ1161/60,4),"")</f>
        <v/>
      </c>
      <c r="N1161" s="71" t="str">
        <f>IF(AND(D1161="proMX",AB1161=1),ROUND(AG1161/CFG_BLK,2),"")</f>
        <v/>
      </c>
      <c r="O1161" s="77" t="str">
        <f>IF(D1161="proMX",IF(BD1161=1,ROUND(AG1161/60,4),0),"")</f>
        <v/>
      </c>
      <c r="P1161" s="78" t="str">
        <f>IF(Y1161=0,"",IF(BD1161=1,"OK",IF(D1161="proMX","Revisar bloques: ","Revisar: ")&amp;BC1161))</f>
        <v/>
      </c>
      <c r="Q1161" s="78" t="str">
        <f>IF(NOT(ISNUMBER(B1161)),"",IF(COUNTIFS(FER_F,INT(B1161))&gt;0,"Feriado"&amp;IF(AH1161=1," (laborable)"," (no laborable)"),IF(AH1161=1,"Laborable",IF(WEEKDAY(B1161,2)&gt;5,"Fin de semana","No laborable"))))</f>
        <v/>
      </c>
      <c r="R1161" s="73" t="n"/>
      <c r="S1161" s="72" t="n"/>
      <c r="T1161" s="72" t="n"/>
      <c r="U1161" s="74" t="n"/>
      <c r="V1161" s="79" t="str">
        <f>IF(AND(D1161="proMX",OR(R1161="Submitted",R1161="Recall Requested"),ISNUMBER(S1161)),CFG_TODAY-INT(S1161),"")</f>
        <v/>
      </c>
      <c r="W1161" s="78" t="str">
        <f>IF(BD1161=0,"",IF(BA1161&gt;0,"⚠ Se superpone con un registro de la otra empresa",IF(D1161="Malcolm",IF(COUNTA(R1161,S1161,T1161)&gt;0,"Estado/fechas proMX se ignoran en Malcolm",""),IF(BF1161="Cancelled","Cancelado: excluido de totales",IF(R1161="","Sin estado: se trata como Draft",IF(BF1161="Submitted",IF(ISNUMBER(V1161),IF(V1161&gt;CFG_MAXD,"⚠ "&amp;V1161&amp;" días en Submitted (máx. "&amp;CFG_MAXD&amp;")",""),"Falta fecha de envío"),IF(BF1161="Returned","⚠ Devuelto: corregir y reenviar",IF(BF1161="Recall Requested","Retirada solicitada: pendiente",IF(AND(BF1161="Approved",NOT(ISNUMBER(T1161))),"Falta fecha de aprobación",IF(AND(ISNUMBER(S1161),ISNUMBER(T1161),T1161&lt;S1161),"Aprobación anterior al envío","")))))))))</f>
        <v/>
      </c>
      <c r="Y1161" s="80">
        <f>IF(COUNTA(B1161,D1161,E1161,F1161,G1161,H1161,I1161,J1161,R1161,S1161,T1161)&gt;0,1,0)</f>
        <v>0</v>
      </c>
      <c r="Z1161" s="80" t="str">
        <f>IF(AND(ISNUMBER(H1161),H1161&gt;=0,H1161&lt;1),ROUND(H1161*1440,0),"")</f>
        <v/>
      </c>
      <c r="AA1161" s="80" t="str">
        <f>IF(AND(ISNUMBER(I1161),I1161&gt;=0,I1161&lt;1),ROUND(I1161*1440,0),"")</f>
        <v/>
      </c>
      <c r="AB1161" s="80">
        <f>IF(AND(ISNUMBER(B1161),D1161&lt;&gt;"",ISNUMBER(Z1161),ISNUMBER(AA1161)),IF(Z1161=AA1161,0,1),0)</f>
        <v>0</v>
      </c>
      <c r="AC1161" s="80">
        <f>IF(AB1161=1,IF(AA1161&lt;Z1161,1,0),0)</f>
        <v>0</v>
      </c>
      <c r="AD1161" s="80">
        <f>IF(AB1161=1,IF(AC1161=1,1440-Z1161+AA1161,AA1161-Z1161),0)</f>
        <v>0</v>
      </c>
      <c r="AE1161" s="80">
        <f>IF(J1161="",0,IF(ISNUMBER(J1161),J1161,-1))</f>
        <v>0</v>
      </c>
      <c r="AF1161" s="80">
        <f>MIN(MAX(0,AE1161),AD1161)</f>
        <v>0</v>
      </c>
      <c r="AG1161" s="80">
        <f>MAX(0,AD1161-MAX(0,AE1161))</f>
        <v>0</v>
      </c>
      <c r="AH1161" s="80">
        <f>IF(ISNUMBER(B1161),IF(AND(INDEX(CFG_WDAYS,WEEKDAY(INT(B1161),2))="Sí",IF(D1161="proMX",COUNTIFS(FER_F,INT(B1161),FER_NLP,"Sí"),COUNTIFS(FER_F,INT(B1161),FER_NLM,"Sí"))=0),1,0),0)</f>
        <v>0</v>
      </c>
      <c r="AI1161" s="80">
        <f>IF(AC1161=1,IF(AND(INDEX(CFG_WDAYS,WEEKDAY(INT(B1161)+1,2))="Sí",IF(D1161="proMX",COUNTIFS(FER_F,INT(B1161)+1,FER_NLP,"Sí"),COUNTIFS(FER_F,INT(B1161)+1,FER_NLM,"Sí"))=0),1,0),0)</f>
        <v>0</v>
      </c>
      <c r="AJ1161" s="80">
        <f>IF(AC1161=1,1440-Z1161,AD1161)</f>
        <v>0</v>
      </c>
      <c r="AK1161" s="80">
        <f>IF(AND(AB1161=1,AH1161=1),MAX(0,MIN(IF(AC1161=1,1440,AA1161),CFG_WEM)-MAX(Z1161,CFG_WSM)),0)</f>
        <v>0</v>
      </c>
      <c r="AL1161" s="80">
        <f>IF(AND(AC1161=1,AI1161=1),MAX(0,MIN(AA1161,CFG_WEM)-CFG_WSM),0)</f>
        <v>0</v>
      </c>
      <c r="AM1161" s="80">
        <f>AK1161+AL1161</f>
        <v>0</v>
      </c>
      <c r="AN1161" s="80">
        <f>IF(CFG_BRK="Proporcional",IF(AD1161=0,0,AF1161*AM1161/AD1161),IF(CFG_BRK="Extras primero",MIN(AM1161,MAX(0,AF1161-(AD1161-AM1161))),MIN(AF1161,AM1161)))</f>
        <v>0</v>
      </c>
      <c r="AO1161" s="80">
        <f>AF1161-AN1161</f>
        <v>0</v>
      </c>
      <c r="AP1161" s="80">
        <f>AM1161-AN1161</f>
        <v>0</v>
      </c>
      <c r="AQ1161" s="80">
        <f>AD1161-AM1161-AO1161</f>
        <v>0</v>
      </c>
      <c r="AR1161" s="80">
        <f>IF(AM1161=0,0,AK1161-AN1161*AK1161/AM1161)</f>
        <v>0</v>
      </c>
      <c r="AS1161" s="80">
        <f>IF(AD1161-AM1161=0,0,(AJ1161-AK1161)-AO1161*(AJ1161-AK1161)/(AD1161-AM1161))</f>
        <v>0</v>
      </c>
      <c r="AT1161" s="80" t="str">
        <f>IF(AC1161=1,INT(B1161)+1,"")</f>
        <v/>
      </c>
      <c r="AU1161" s="80">
        <f>IF(AND(D1161="proMX",R1161="Cancelled"),0,1)</f>
        <v>1</v>
      </c>
      <c r="AV1161" s="80">
        <f>IF(AND(AB1161=1,AU1161=1),IF(COUNTIFS($D$5:D1160,D1161,$B$5:B1160,B1161,$Z$5:Z1160,Z1161,$AA$5:AA1160,AA1161,$F$5:F1160,F1161&amp;"",$AU$5:AU1160,1)&gt;0,1,0),0)</f>
        <v>0</v>
      </c>
      <c r="AW1161" s="80" t="str">
        <f>IF(AB1161=1,INT(B1161)*1440+Z1161,"")</f>
        <v/>
      </c>
      <c r="AX1161" s="80" t="str">
        <f>IF(AB1161=1,AW1161+AD1161,"")</f>
        <v/>
      </c>
      <c r="AY1161" s="80">
        <f>IF(AND(AB1161=1,AV1161=0,AU1161=1),1,0)</f>
        <v>0</v>
      </c>
      <c r="AZ1161" s="80">
        <f>IF(AY1161=1,COUNTIFS(R_Emp,D1161,R_SAbs,"&lt;"&amp;AX1161,R_EAbs,"&gt;"&amp;AW1161,R_OKey,1)-1,0)</f>
        <v>0</v>
      </c>
      <c r="BA1161" s="80">
        <f>IF(AY1161=1,COUNTIFS(R_Emp,"&lt;&gt;"&amp;D1161,R_SAbs,"&lt;"&amp;AX1161,R_EAbs,"&gt;"&amp;AW1161,R_OKey,1),0)</f>
        <v>0</v>
      </c>
      <c r="BB1161" s="80">
        <f>IF(AND(AB1161=1,D1161="proMX"),IF(AND(MOD(Z1161,CFG_BLK)=0,MOD(AA1161,CFG_BLK)=0,MOD(AG1161,CFG_BLK)=0,AG1161&gt;0),1,0),1)</f>
        <v>1</v>
      </c>
      <c r="BC1161" s="80" t="str">
        <f>IF(Y1161=0,"",IF(NOT(ISNUMBER(B1161)),"Falta fecha o fecha inválida",IF(D1161="","Falta empresa",IF(AND(D1161&lt;&gt;"Malcolm",D1161&lt;&gt;"proMX"),"Empresa inválida",IF(OR(INT(B1161)&lt;CFG_PSTART,INT(B1161)&gt;CFG_PEND),"Fecha fuera del período",IF(OR(NOT(ISNUMBER(Z1161)),NOT(ISNUMBER(AA1161))),"Falta hora inicio/fin o formato inválido",IF(AB1161=0,"Hora inicio = hora fin",IF(AE1161&lt;0,"Descanso inválido",IF(AE1161&gt;=AD1161,"Descanso ≥ duración",IF(AV1161=1,"Registro duplicado",IF(AZ1161&gt;0,"Se superpone con otro registro "&amp;D1161,IF(BB1161=0,"inicio, fin y duración neta deben ser múltiplos de "&amp;CFG_BLK&amp;" min",""))))))))))))</f>
        <v/>
      </c>
      <c r="BD1161" s="80">
        <f>IF(AND(Y1161=1,BC1161=""),1,0)</f>
        <v>0</v>
      </c>
      <c r="BE1161" s="80">
        <f>IF(AND(BD1161=1,AU1161=1),1,0)</f>
        <v>0</v>
      </c>
      <c r="BF1161" s="80" t="str">
        <f>IF(AND(D1161="proMX",BD1161=1),IF(R1161="","Draft",R1161),"")</f>
        <v/>
      </c>
      <c r="BG1161" s="80">
        <f>IF(BD1161=1,ROUND(AG1161/60,6),0)</f>
        <v>0</v>
      </c>
      <c r="BH1161" s="80">
        <f>IF(BE1161=1,ROUND(AG1161/60,6),0)</f>
        <v>0</v>
      </c>
      <c r="BI1161" s="80">
        <f>IF(BE1161=1,ROUND(AP1161/60,6),0)</f>
        <v>0</v>
      </c>
      <c r="BJ1161" s="80">
        <f>IF(BE1161=1,ROUND(AQ1161/60,6),0)</f>
        <v>0</v>
      </c>
      <c r="BK1161" s="80">
        <f>IF(BE1161=1,ROUND((AR1161+AS1161)/60,6),0)</f>
        <v>0</v>
      </c>
      <c r="BL1161" s="80">
        <f>ROUND(BH1161-BK1161,6)</f>
        <v>0</v>
      </c>
      <c r="BM1161" s="80">
        <f>IF(BE1161=1,ROUND(AR1161/60,6),0)</f>
        <v>0</v>
      </c>
      <c r="BN1161" s="80">
        <f>ROUND(BI1161-BM1161,6)</f>
        <v>0</v>
      </c>
      <c r="BO1161" s="80">
        <f>IF(BE1161=1,ROUND(AS1161/60,6),0)</f>
        <v>0</v>
      </c>
      <c r="BP1161" s="80">
        <f>ROUND(BJ1161-BO1161,6)</f>
        <v>0</v>
      </c>
      <c r="BQ1161" s="80">
        <f>IF(BE1161=1,AW1161,0)</f>
        <v>0</v>
      </c>
      <c r="BR1161" s="80">
        <f>IF(BE1161=1,AX1161,0)</f>
        <v>0</v>
      </c>
      <c r="BS1161" s="80">
        <f>IF(AND(BE1161=1,D1161="Malcolm",BA1161&gt;0),MIN(BH1161,SUMPRODUCT((R_Emp="proMX")*(R_EN&gt;0)*((R_EN-(R_EN&gt;BR1161)*(R_EN-BR1161))&gt;(R_SN+(R_SN&lt;BQ1161)*(BQ1161-R_SN)))*((R_EN-(R_EN&gt;BR1161)*(R_EN-BR1161))-(R_SN+(R_SN&lt;BQ1161)*(BQ1161-R_SN))))/60),0)</f>
        <v>0</v>
      </c>
      <c r="BT1161" s="80">
        <f>IF(AND(BE1161=1,D1161="proMX"),ROUND(BI1161*CFG_RATE+BJ1161*CFG_OTRATE,6),0)</f>
        <v>0</v>
      </c>
      <c r="BU1161" s="80">
        <f>IF(AND(BD1161=1,D1161="proMX"),ROUND(AG1161/CFG_BLK,6),0)</f>
        <v>0</v>
      </c>
      <c r="BV1161" s="80" t="str">
        <f>IF(BF1161="Approved",IF(ISNUMBER(T1161),INT(T1161),INT(B1161)),"")</f>
        <v/>
      </c>
      <c r="BW1161" s="80">
        <f>IF(ISNUMBER(B1161),IF(DB_MON="Todos",1,IF(AND(INT(B1161)&gt;=DB_MS,INT(B1161)&lt;=DB_ME),1,0)),0)</f>
        <v>0</v>
      </c>
      <c r="BX1161" s="80">
        <f>IF(DB_PROJ="Todos",1,IF(E1161&amp;""=DB_PROJ&amp;"",1,0))</f>
        <v>1</v>
      </c>
      <c r="BY1161" s="80">
        <f>BW1161*BX1161</f>
        <v>0</v>
      </c>
      <c r="BZ1161" s="80" t="str">
        <f>IF(Y1161=1,F1161&amp;IF(AND(F1161&amp;""&lt;&gt;"",E1161&amp;""&lt;&gt;"")," · ","")&amp;E1161,"")</f>
        <v/>
      </c>
      <c r="CA1161" s="80" t="str">
        <f>IF(AND(BD1161=1,E1161&amp;""&lt;&gt;""),IF(COUNTIFS($E$5:E1160,E1161,$BD$5:BD1160,1)=0,MAX($CA$5:CA1160)+1,""),"")</f>
        <v/>
      </c>
      <c r="CB1161" s="80" t="str">
        <f>IF(AND(BE1161=1,D1161="Malcolm",E1161&amp;""&lt;&gt;""),IF(COUNTIFS($D$5:D1160,"Malcolm",$E$5:E1160,E1161,$BE$5:BE1160,1)=0,MAX($CB$5:CB1160)+1,""),"")</f>
        <v/>
      </c>
      <c r="CC1161" s="80" t="str">
        <f>IF(AND(BD1161=1,D1161="proMX",E1161&amp;""&lt;&gt;""),IF(COUNTIFS($D$5:D1160,"proMX",$E$5:E1160,E1161,$BD$5:BD1160,1)=0,MAX($CC$5:CC1160)+1,""),"")</f>
        <v/>
      </c>
      <c r="CD1161" s="80" t="str">
        <f>IF(AND(BE1161=1,D1161="Malcolm",F1161&amp;""&lt;&gt;""),IF(COUNTIFS($D$5:D1160,"Malcolm",$F$5:F1160,F1161,$BE$5:BE1160,1)=0,MAX($CD$5:CD1160)+1,""),"")</f>
        <v/>
      </c>
      <c r="CE1161" s="80" t="str">
        <f>IF(AND(BD1161=1,D1161="proMX",F1161&amp;""&lt;&gt;""),IF(COUNTIFS($D$5:D1160,"proMX",$F$5:F1160,F1161,$BD$5:BD1160,1)=0,MAX($CE$5:CE1160)+1,""),"")</f>
        <v/>
      </c>
      <c r="CF1161" s="80" t="str">
        <f>IF(AND(D1161="proMX",BD1161=1),IF(OR(BF1161="Draft",BF1161="Submitted",BF1161="Returned",BF1161="Recall Requested"),MAX($CF$5:CF1160)+1,""),"")</f>
        <v/>
      </c>
      <c r="CG1161" s="80">
        <f>IF(BD1161=0,0,IF(D1161="Malcolm",1,MATCH(BF1161,{"Draft","Submitted","Approved","Returned","Recall Requested","Cancelled"},0)+1))</f>
        <v>0</v>
      </c>
      <c r="CH1161" s="80">
        <f>IF(AND(BF1161="Submitted",ISNUMBER(V1161)),IF(V1161&gt;CFG_MAXD,1,0),0)</f>
        <v>0</v>
      </c>
    </row>
    <row r="1162">
      <c r="A1162" s="71" t="str">
        <f>IF(Y1162=1,ROW()-5,"")</f>
        <v/>
      </c>
      <c r="B1162" s="72" t="n"/>
      <c r="C1162" s="71" t="str">
        <f>IF(ISNUMBER(B1162),CHOOSE(WEEKDAY(B1162,2),"Lun","Mar","Mié","Jue","Vie","Sáb","Dom"),"")</f>
        <v/>
      </c>
      <c r="D1162" s="73" t="n"/>
      <c r="E1162" s="74" t="n"/>
      <c r="F1162" s="74" t="n"/>
      <c r="G1162" s="74" t="n"/>
      <c r="H1162" s="75" t="n"/>
      <c r="I1162" s="75" t="n"/>
      <c r="J1162" s="76" t="n"/>
      <c r="K1162" s="77" t="str">
        <f>IF(AB1162=1,ROUND(AG1162/60,4),"")</f>
        <v/>
      </c>
      <c r="L1162" s="77" t="str">
        <f>IF(BD1162=1,ROUND(AP1162/60,4),"")</f>
        <v/>
      </c>
      <c r="M1162" s="77" t="str">
        <f>IF(BD1162=1,ROUND(AQ1162/60,4),"")</f>
        <v/>
      </c>
      <c r="N1162" s="71" t="str">
        <f>IF(AND(D1162="proMX",AB1162=1),ROUND(AG1162/CFG_BLK,2),"")</f>
        <v/>
      </c>
      <c r="O1162" s="77" t="str">
        <f>IF(D1162="proMX",IF(BD1162=1,ROUND(AG1162/60,4),0),"")</f>
        <v/>
      </c>
      <c r="P1162" s="78" t="str">
        <f>IF(Y1162=0,"",IF(BD1162=1,"OK",IF(D1162="proMX","Revisar bloques: ","Revisar: ")&amp;BC1162))</f>
        <v/>
      </c>
      <c r="Q1162" s="78" t="str">
        <f>IF(NOT(ISNUMBER(B1162)),"",IF(COUNTIFS(FER_F,INT(B1162))&gt;0,"Feriado"&amp;IF(AH1162=1," (laborable)"," (no laborable)"),IF(AH1162=1,"Laborable",IF(WEEKDAY(B1162,2)&gt;5,"Fin de semana","No laborable"))))</f>
        <v/>
      </c>
      <c r="R1162" s="73" t="n"/>
      <c r="S1162" s="72" t="n"/>
      <c r="T1162" s="72" t="n"/>
      <c r="U1162" s="74" t="n"/>
      <c r="V1162" s="79" t="str">
        <f>IF(AND(D1162="proMX",OR(R1162="Submitted",R1162="Recall Requested"),ISNUMBER(S1162)),CFG_TODAY-INT(S1162),"")</f>
        <v/>
      </c>
      <c r="W1162" s="78" t="str">
        <f>IF(BD1162=0,"",IF(BA1162&gt;0,"⚠ Se superpone con un registro de la otra empresa",IF(D1162="Malcolm",IF(COUNTA(R1162,S1162,T1162)&gt;0,"Estado/fechas proMX se ignoran en Malcolm",""),IF(BF1162="Cancelled","Cancelado: excluido de totales",IF(R1162="","Sin estado: se trata como Draft",IF(BF1162="Submitted",IF(ISNUMBER(V1162),IF(V1162&gt;CFG_MAXD,"⚠ "&amp;V1162&amp;" días en Submitted (máx. "&amp;CFG_MAXD&amp;")",""),"Falta fecha de envío"),IF(BF1162="Returned","⚠ Devuelto: corregir y reenviar",IF(BF1162="Recall Requested","Retirada solicitada: pendiente",IF(AND(BF1162="Approved",NOT(ISNUMBER(T1162))),"Falta fecha de aprobación",IF(AND(ISNUMBER(S1162),ISNUMBER(T1162),T1162&lt;S1162),"Aprobación anterior al envío","")))))))))</f>
        <v/>
      </c>
      <c r="Y1162" s="80">
        <f>IF(COUNTA(B1162,D1162,E1162,F1162,G1162,H1162,I1162,J1162,R1162,S1162,T1162)&gt;0,1,0)</f>
        <v>0</v>
      </c>
      <c r="Z1162" s="80" t="str">
        <f>IF(AND(ISNUMBER(H1162),H1162&gt;=0,H1162&lt;1),ROUND(H1162*1440,0),"")</f>
        <v/>
      </c>
      <c r="AA1162" s="80" t="str">
        <f>IF(AND(ISNUMBER(I1162),I1162&gt;=0,I1162&lt;1),ROUND(I1162*1440,0),"")</f>
        <v/>
      </c>
      <c r="AB1162" s="80">
        <f>IF(AND(ISNUMBER(B1162),D1162&lt;&gt;"",ISNUMBER(Z1162),ISNUMBER(AA1162)),IF(Z1162=AA1162,0,1),0)</f>
        <v>0</v>
      </c>
      <c r="AC1162" s="80">
        <f>IF(AB1162=1,IF(AA1162&lt;Z1162,1,0),0)</f>
        <v>0</v>
      </c>
      <c r="AD1162" s="80">
        <f>IF(AB1162=1,IF(AC1162=1,1440-Z1162+AA1162,AA1162-Z1162),0)</f>
        <v>0</v>
      </c>
      <c r="AE1162" s="80">
        <f>IF(J1162="",0,IF(ISNUMBER(J1162),J1162,-1))</f>
        <v>0</v>
      </c>
      <c r="AF1162" s="80">
        <f>MIN(MAX(0,AE1162),AD1162)</f>
        <v>0</v>
      </c>
      <c r="AG1162" s="80">
        <f>MAX(0,AD1162-MAX(0,AE1162))</f>
        <v>0</v>
      </c>
      <c r="AH1162" s="80">
        <f>IF(ISNUMBER(B1162),IF(AND(INDEX(CFG_WDAYS,WEEKDAY(INT(B1162),2))="Sí",IF(D1162="proMX",COUNTIFS(FER_F,INT(B1162),FER_NLP,"Sí"),COUNTIFS(FER_F,INT(B1162),FER_NLM,"Sí"))=0),1,0),0)</f>
        <v>0</v>
      </c>
      <c r="AI1162" s="80">
        <f>IF(AC1162=1,IF(AND(INDEX(CFG_WDAYS,WEEKDAY(INT(B1162)+1,2))="Sí",IF(D1162="proMX",COUNTIFS(FER_F,INT(B1162)+1,FER_NLP,"Sí"),COUNTIFS(FER_F,INT(B1162)+1,FER_NLM,"Sí"))=0),1,0),0)</f>
        <v>0</v>
      </c>
      <c r="AJ1162" s="80">
        <f>IF(AC1162=1,1440-Z1162,AD1162)</f>
        <v>0</v>
      </c>
      <c r="AK1162" s="80">
        <f>IF(AND(AB1162=1,AH1162=1),MAX(0,MIN(IF(AC1162=1,1440,AA1162),CFG_WEM)-MAX(Z1162,CFG_WSM)),0)</f>
        <v>0</v>
      </c>
      <c r="AL1162" s="80">
        <f>IF(AND(AC1162=1,AI1162=1),MAX(0,MIN(AA1162,CFG_WEM)-CFG_WSM),0)</f>
        <v>0</v>
      </c>
      <c r="AM1162" s="80">
        <f>AK1162+AL1162</f>
        <v>0</v>
      </c>
      <c r="AN1162" s="80">
        <f>IF(CFG_BRK="Proporcional",IF(AD1162=0,0,AF1162*AM1162/AD1162),IF(CFG_BRK="Extras primero",MIN(AM1162,MAX(0,AF1162-(AD1162-AM1162))),MIN(AF1162,AM1162)))</f>
        <v>0</v>
      </c>
      <c r="AO1162" s="80">
        <f>AF1162-AN1162</f>
        <v>0</v>
      </c>
      <c r="AP1162" s="80">
        <f>AM1162-AN1162</f>
        <v>0</v>
      </c>
      <c r="AQ1162" s="80">
        <f>AD1162-AM1162-AO1162</f>
        <v>0</v>
      </c>
      <c r="AR1162" s="80">
        <f>IF(AM1162=0,0,AK1162-AN1162*AK1162/AM1162)</f>
        <v>0</v>
      </c>
      <c r="AS1162" s="80">
        <f>IF(AD1162-AM1162=0,0,(AJ1162-AK1162)-AO1162*(AJ1162-AK1162)/(AD1162-AM1162))</f>
        <v>0</v>
      </c>
      <c r="AT1162" s="80" t="str">
        <f>IF(AC1162=1,INT(B1162)+1,"")</f>
        <v/>
      </c>
      <c r="AU1162" s="80">
        <f>IF(AND(D1162="proMX",R1162="Cancelled"),0,1)</f>
        <v>1</v>
      </c>
      <c r="AV1162" s="80">
        <f>IF(AND(AB1162=1,AU1162=1),IF(COUNTIFS($D$5:D1161,D1162,$B$5:B1161,B1162,$Z$5:Z1161,Z1162,$AA$5:AA1161,AA1162,$F$5:F1161,F1162&amp;"",$AU$5:AU1161,1)&gt;0,1,0),0)</f>
        <v>0</v>
      </c>
      <c r="AW1162" s="80" t="str">
        <f>IF(AB1162=1,INT(B1162)*1440+Z1162,"")</f>
        <v/>
      </c>
      <c r="AX1162" s="80" t="str">
        <f>IF(AB1162=1,AW1162+AD1162,"")</f>
        <v/>
      </c>
      <c r="AY1162" s="80">
        <f>IF(AND(AB1162=1,AV1162=0,AU1162=1),1,0)</f>
        <v>0</v>
      </c>
      <c r="AZ1162" s="80">
        <f>IF(AY1162=1,COUNTIFS(R_Emp,D1162,R_SAbs,"&lt;"&amp;AX1162,R_EAbs,"&gt;"&amp;AW1162,R_OKey,1)-1,0)</f>
        <v>0</v>
      </c>
      <c r="BA1162" s="80">
        <f>IF(AY1162=1,COUNTIFS(R_Emp,"&lt;&gt;"&amp;D1162,R_SAbs,"&lt;"&amp;AX1162,R_EAbs,"&gt;"&amp;AW1162,R_OKey,1),0)</f>
        <v>0</v>
      </c>
      <c r="BB1162" s="80">
        <f>IF(AND(AB1162=1,D1162="proMX"),IF(AND(MOD(Z1162,CFG_BLK)=0,MOD(AA1162,CFG_BLK)=0,MOD(AG1162,CFG_BLK)=0,AG1162&gt;0),1,0),1)</f>
        <v>1</v>
      </c>
      <c r="BC1162" s="80" t="str">
        <f>IF(Y1162=0,"",IF(NOT(ISNUMBER(B1162)),"Falta fecha o fecha inválida",IF(D1162="","Falta empresa",IF(AND(D1162&lt;&gt;"Malcolm",D1162&lt;&gt;"proMX"),"Empresa inválida",IF(OR(INT(B1162)&lt;CFG_PSTART,INT(B1162)&gt;CFG_PEND),"Fecha fuera del período",IF(OR(NOT(ISNUMBER(Z1162)),NOT(ISNUMBER(AA1162))),"Falta hora inicio/fin o formato inválido",IF(AB1162=0,"Hora inicio = hora fin",IF(AE1162&lt;0,"Descanso inválido",IF(AE1162&gt;=AD1162,"Descanso ≥ duración",IF(AV1162=1,"Registro duplicado",IF(AZ1162&gt;0,"Se superpone con otro registro "&amp;D1162,IF(BB1162=0,"inicio, fin y duración neta deben ser múltiplos de "&amp;CFG_BLK&amp;" min",""))))))))))))</f>
        <v/>
      </c>
      <c r="BD1162" s="80">
        <f>IF(AND(Y1162=1,BC1162=""),1,0)</f>
        <v>0</v>
      </c>
      <c r="BE1162" s="80">
        <f>IF(AND(BD1162=1,AU1162=1),1,0)</f>
        <v>0</v>
      </c>
      <c r="BF1162" s="80" t="str">
        <f>IF(AND(D1162="proMX",BD1162=1),IF(R1162="","Draft",R1162),"")</f>
        <v/>
      </c>
      <c r="BG1162" s="80">
        <f>IF(BD1162=1,ROUND(AG1162/60,6),0)</f>
        <v>0</v>
      </c>
      <c r="BH1162" s="80">
        <f>IF(BE1162=1,ROUND(AG1162/60,6),0)</f>
        <v>0</v>
      </c>
      <c r="BI1162" s="80">
        <f>IF(BE1162=1,ROUND(AP1162/60,6),0)</f>
        <v>0</v>
      </c>
      <c r="BJ1162" s="80">
        <f>IF(BE1162=1,ROUND(AQ1162/60,6),0)</f>
        <v>0</v>
      </c>
      <c r="BK1162" s="80">
        <f>IF(BE1162=1,ROUND((AR1162+AS1162)/60,6),0)</f>
        <v>0</v>
      </c>
      <c r="BL1162" s="80">
        <f>ROUND(BH1162-BK1162,6)</f>
        <v>0</v>
      </c>
      <c r="BM1162" s="80">
        <f>IF(BE1162=1,ROUND(AR1162/60,6),0)</f>
        <v>0</v>
      </c>
      <c r="BN1162" s="80">
        <f>ROUND(BI1162-BM1162,6)</f>
        <v>0</v>
      </c>
      <c r="BO1162" s="80">
        <f>IF(BE1162=1,ROUND(AS1162/60,6),0)</f>
        <v>0</v>
      </c>
      <c r="BP1162" s="80">
        <f>ROUND(BJ1162-BO1162,6)</f>
        <v>0</v>
      </c>
      <c r="BQ1162" s="80">
        <f>IF(BE1162=1,AW1162,0)</f>
        <v>0</v>
      </c>
      <c r="BR1162" s="80">
        <f>IF(BE1162=1,AX1162,0)</f>
        <v>0</v>
      </c>
      <c r="BS1162" s="80">
        <f>IF(AND(BE1162=1,D1162="Malcolm",BA1162&gt;0),MIN(BH1162,SUMPRODUCT((R_Emp="proMX")*(R_EN&gt;0)*((R_EN-(R_EN&gt;BR1162)*(R_EN-BR1162))&gt;(R_SN+(R_SN&lt;BQ1162)*(BQ1162-R_SN)))*((R_EN-(R_EN&gt;BR1162)*(R_EN-BR1162))-(R_SN+(R_SN&lt;BQ1162)*(BQ1162-R_SN))))/60),0)</f>
        <v>0</v>
      </c>
      <c r="BT1162" s="80">
        <f>IF(AND(BE1162=1,D1162="proMX"),ROUND(BI1162*CFG_RATE+BJ1162*CFG_OTRATE,6),0)</f>
        <v>0</v>
      </c>
      <c r="BU1162" s="80">
        <f>IF(AND(BD1162=1,D1162="proMX"),ROUND(AG1162/CFG_BLK,6),0)</f>
        <v>0</v>
      </c>
      <c r="BV1162" s="80" t="str">
        <f>IF(BF1162="Approved",IF(ISNUMBER(T1162),INT(T1162),INT(B1162)),"")</f>
        <v/>
      </c>
      <c r="BW1162" s="80">
        <f>IF(ISNUMBER(B1162),IF(DB_MON="Todos",1,IF(AND(INT(B1162)&gt;=DB_MS,INT(B1162)&lt;=DB_ME),1,0)),0)</f>
        <v>0</v>
      </c>
      <c r="BX1162" s="80">
        <f>IF(DB_PROJ="Todos",1,IF(E1162&amp;""=DB_PROJ&amp;"",1,0))</f>
        <v>1</v>
      </c>
      <c r="BY1162" s="80">
        <f>BW1162*BX1162</f>
        <v>0</v>
      </c>
      <c r="BZ1162" s="80" t="str">
        <f>IF(Y1162=1,F1162&amp;IF(AND(F1162&amp;""&lt;&gt;"",E1162&amp;""&lt;&gt;"")," · ","")&amp;E1162,"")</f>
        <v/>
      </c>
      <c r="CA1162" s="80" t="str">
        <f>IF(AND(BD1162=1,E1162&amp;""&lt;&gt;""),IF(COUNTIFS($E$5:E1161,E1162,$BD$5:BD1161,1)=0,MAX($CA$5:CA1161)+1,""),"")</f>
        <v/>
      </c>
      <c r="CB1162" s="80" t="str">
        <f>IF(AND(BE1162=1,D1162="Malcolm",E1162&amp;""&lt;&gt;""),IF(COUNTIFS($D$5:D1161,"Malcolm",$E$5:E1161,E1162,$BE$5:BE1161,1)=0,MAX($CB$5:CB1161)+1,""),"")</f>
        <v/>
      </c>
      <c r="CC1162" s="80" t="str">
        <f>IF(AND(BD1162=1,D1162="proMX",E1162&amp;""&lt;&gt;""),IF(COUNTIFS($D$5:D1161,"proMX",$E$5:E1161,E1162,$BD$5:BD1161,1)=0,MAX($CC$5:CC1161)+1,""),"")</f>
        <v/>
      </c>
      <c r="CD1162" s="80" t="str">
        <f>IF(AND(BE1162=1,D1162="Malcolm",F1162&amp;""&lt;&gt;""),IF(COUNTIFS($D$5:D1161,"Malcolm",$F$5:F1161,F1162,$BE$5:BE1161,1)=0,MAX($CD$5:CD1161)+1,""),"")</f>
        <v/>
      </c>
      <c r="CE1162" s="80" t="str">
        <f>IF(AND(BD1162=1,D1162="proMX",F1162&amp;""&lt;&gt;""),IF(COUNTIFS($D$5:D1161,"proMX",$F$5:F1161,F1162,$BD$5:BD1161,1)=0,MAX($CE$5:CE1161)+1,""),"")</f>
        <v/>
      </c>
      <c r="CF1162" s="80" t="str">
        <f>IF(AND(D1162="proMX",BD1162=1),IF(OR(BF1162="Draft",BF1162="Submitted",BF1162="Returned",BF1162="Recall Requested"),MAX($CF$5:CF1161)+1,""),"")</f>
        <v/>
      </c>
      <c r="CG1162" s="80">
        <f>IF(BD1162=0,0,IF(D1162="Malcolm",1,MATCH(BF1162,{"Draft","Submitted","Approved","Returned","Recall Requested","Cancelled"},0)+1))</f>
        <v>0</v>
      </c>
      <c r="CH1162" s="80">
        <f>IF(AND(BF1162="Submitted",ISNUMBER(V1162)),IF(V1162&gt;CFG_MAXD,1,0),0)</f>
        <v>0</v>
      </c>
    </row>
    <row r="1163">
      <c r="A1163" s="71" t="str">
        <f>IF(Y1163=1,ROW()-5,"")</f>
        <v/>
      </c>
      <c r="B1163" s="72" t="n"/>
      <c r="C1163" s="71" t="str">
        <f>IF(ISNUMBER(B1163),CHOOSE(WEEKDAY(B1163,2),"Lun","Mar","Mié","Jue","Vie","Sáb","Dom"),"")</f>
        <v/>
      </c>
      <c r="D1163" s="73" t="n"/>
      <c r="E1163" s="74" t="n"/>
      <c r="F1163" s="74" t="n"/>
      <c r="G1163" s="74" t="n"/>
      <c r="H1163" s="75" t="n"/>
      <c r="I1163" s="75" t="n"/>
      <c r="J1163" s="76" t="n"/>
      <c r="K1163" s="77" t="str">
        <f>IF(AB1163=1,ROUND(AG1163/60,4),"")</f>
        <v/>
      </c>
      <c r="L1163" s="77" t="str">
        <f>IF(BD1163=1,ROUND(AP1163/60,4),"")</f>
        <v/>
      </c>
      <c r="M1163" s="77" t="str">
        <f>IF(BD1163=1,ROUND(AQ1163/60,4),"")</f>
        <v/>
      </c>
      <c r="N1163" s="71" t="str">
        <f>IF(AND(D1163="proMX",AB1163=1),ROUND(AG1163/CFG_BLK,2),"")</f>
        <v/>
      </c>
      <c r="O1163" s="77" t="str">
        <f>IF(D1163="proMX",IF(BD1163=1,ROUND(AG1163/60,4),0),"")</f>
        <v/>
      </c>
      <c r="P1163" s="78" t="str">
        <f>IF(Y1163=0,"",IF(BD1163=1,"OK",IF(D1163="proMX","Revisar bloques: ","Revisar: ")&amp;BC1163))</f>
        <v/>
      </c>
      <c r="Q1163" s="78" t="str">
        <f>IF(NOT(ISNUMBER(B1163)),"",IF(COUNTIFS(FER_F,INT(B1163))&gt;0,"Feriado"&amp;IF(AH1163=1," (laborable)"," (no laborable)"),IF(AH1163=1,"Laborable",IF(WEEKDAY(B1163,2)&gt;5,"Fin de semana","No laborable"))))</f>
        <v/>
      </c>
      <c r="R1163" s="73" t="n"/>
      <c r="S1163" s="72" t="n"/>
      <c r="T1163" s="72" t="n"/>
      <c r="U1163" s="74" t="n"/>
      <c r="V1163" s="79" t="str">
        <f>IF(AND(D1163="proMX",OR(R1163="Submitted",R1163="Recall Requested"),ISNUMBER(S1163)),CFG_TODAY-INT(S1163),"")</f>
        <v/>
      </c>
      <c r="W1163" s="78" t="str">
        <f>IF(BD1163=0,"",IF(BA1163&gt;0,"⚠ Se superpone con un registro de la otra empresa",IF(D1163="Malcolm",IF(COUNTA(R1163,S1163,T1163)&gt;0,"Estado/fechas proMX se ignoran en Malcolm",""),IF(BF1163="Cancelled","Cancelado: excluido de totales",IF(R1163="","Sin estado: se trata como Draft",IF(BF1163="Submitted",IF(ISNUMBER(V1163),IF(V1163&gt;CFG_MAXD,"⚠ "&amp;V1163&amp;" días en Submitted (máx. "&amp;CFG_MAXD&amp;")",""),"Falta fecha de envío"),IF(BF1163="Returned","⚠ Devuelto: corregir y reenviar",IF(BF1163="Recall Requested","Retirada solicitada: pendiente",IF(AND(BF1163="Approved",NOT(ISNUMBER(T1163))),"Falta fecha de aprobación",IF(AND(ISNUMBER(S1163),ISNUMBER(T1163),T1163&lt;S1163),"Aprobación anterior al envío","")))))))))</f>
        <v/>
      </c>
      <c r="Y1163" s="80">
        <f>IF(COUNTA(B1163,D1163,E1163,F1163,G1163,H1163,I1163,J1163,R1163,S1163,T1163)&gt;0,1,0)</f>
        <v>0</v>
      </c>
      <c r="Z1163" s="80" t="str">
        <f>IF(AND(ISNUMBER(H1163),H1163&gt;=0,H1163&lt;1),ROUND(H1163*1440,0),"")</f>
        <v/>
      </c>
      <c r="AA1163" s="80" t="str">
        <f>IF(AND(ISNUMBER(I1163),I1163&gt;=0,I1163&lt;1),ROUND(I1163*1440,0),"")</f>
        <v/>
      </c>
      <c r="AB1163" s="80">
        <f>IF(AND(ISNUMBER(B1163),D1163&lt;&gt;"",ISNUMBER(Z1163),ISNUMBER(AA1163)),IF(Z1163=AA1163,0,1),0)</f>
        <v>0</v>
      </c>
      <c r="AC1163" s="80">
        <f>IF(AB1163=1,IF(AA1163&lt;Z1163,1,0),0)</f>
        <v>0</v>
      </c>
      <c r="AD1163" s="80">
        <f>IF(AB1163=1,IF(AC1163=1,1440-Z1163+AA1163,AA1163-Z1163),0)</f>
        <v>0</v>
      </c>
      <c r="AE1163" s="80">
        <f>IF(J1163="",0,IF(ISNUMBER(J1163),J1163,-1))</f>
        <v>0</v>
      </c>
      <c r="AF1163" s="80">
        <f>MIN(MAX(0,AE1163),AD1163)</f>
        <v>0</v>
      </c>
      <c r="AG1163" s="80">
        <f>MAX(0,AD1163-MAX(0,AE1163))</f>
        <v>0</v>
      </c>
      <c r="AH1163" s="80">
        <f>IF(ISNUMBER(B1163),IF(AND(INDEX(CFG_WDAYS,WEEKDAY(INT(B1163),2))="Sí",IF(D1163="proMX",COUNTIFS(FER_F,INT(B1163),FER_NLP,"Sí"),COUNTIFS(FER_F,INT(B1163),FER_NLM,"Sí"))=0),1,0),0)</f>
        <v>0</v>
      </c>
      <c r="AI1163" s="80">
        <f>IF(AC1163=1,IF(AND(INDEX(CFG_WDAYS,WEEKDAY(INT(B1163)+1,2))="Sí",IF(D1163="proMX",COUNTIFS(FER_F,INT(B1163)+1,FER_NLP,"Sí"),COUNTIFS(FER_F,INT(B1163)+1,FER_NLM,"Sí"))=0),1,0),0)</f>
        <v>0</v>
      </c>
      <c r="AJ1163" s="80">
        <f>IF(AC1163=1,1440-Z1163,AD1163)</f>
        <v>0</v>
      </c>
      <c r="AK1163" s="80">
        <f>IF(AND(AB1163=1,AH1163=1),MAX(0,MIN(IF(AC1163=1,1440,AA1163),CFG_WEM)-MAX(Z1163,CFG_WSM)),0)</f>
        <v>0</v>
      </c>
      <c r="AL1163" s="80">
        <f>IF(AND(AC1163=1,AI1163=1),MAX(0,MIN(AA1163,CFG_WEM)-CFG_WSM),0)</f>
        <v>0</v>
      </c>
      <c r="AM1163" s="80">
        <f>AK1163+AL1163</f>
        <v>0</v>
      </c>
      <c r="AN1163" s="80">
        <f>IF(CFG_BRK="Proporcional",IF(AD1163=0,0,AF1163*AM1163/AD1163),IF(CFG_BRK="Extras primero",MIN(AM1163,MAX(0,AF1163-(AD1163-AM1163))),MIN(AF1163,AM1163)))</f>
        <v>0</v>
      </c>
      <c r="AO1163" s="80">
        <f>AF1163-AN1163</f>
        <v>0</v>
      </c>
      <c r="AP1163" s="80">
        <f>AM1163-AN1163</f>
        <v>0</v>
      </c>
      <c r="AQ1163" s="80">
        <f>AD1163-AM1163-AO1163</f>
        <v>0</v>
      </c>
      <c r="AR1163" s="80">
        <f>IF(AM1163=0,0,AK1163-AN1163*AK1163/AM1163)</f>
        <v>0</v>
      </c>
      <c r="AS1163" s="80">
        <f>IF(AD1163-AM1163=0,0,(AJ1163-AK1163)-AO1163*(AJ1163-AK1163)/(AD1163-AM1163))</f>
        <v>0</v>
      </c>
      <c r="AT1163" s="80" t="str">
        <f>IF(AC1163=1,INT(B1163)+1,"")</f>
        <v/>
      </c>
      <c r="AU1163" s="80">
        <f>IF(AND(D1163="proMX",R1163="Cancelled"),0,1)</f>
        <v>1</v>
      </c>
      <c r="AV1163" s="80">
        <f>IF(AND(AB1163=1,AU1163=1),IF(COUNTIFS($D$5:D1162,D1163,$B$5:B1162,B1163,$Z$5:Z1162,Z1163,$AA$5:AA1162,AA1163,$F$5:F1162,F1163&amp;"",$AU$5:AU1162,1)&gt;0,1,0),0)</f>
        <v>0</v>
      </c>
      <c r="AW1163" s="80" t="str">
        <f>IF(AB1163=1,INT(B1163)*1440+Z1163,"")</f>
        <v/>
      </c>
      <c r="AX1163" s="80" t="str">
        <f>IF(AB1163=1,AW1163+AD1163,"")</f>
        <v/>
      </c>
      <c r="AY1163" s="80">
        <f>IF(AND(AB1163=1,AV1163=0,AU1163=1),1,0)</f>
        <v>0</v>
      </c>
      <c r="AZ1163" s="80">
        <f>IF(AY1163=1,COUNTIFS(R_Emp,D1163,R_SAbs,"&lt;"&amp;AX1163,R_EAbs,"&gt;"&amp;AW1163,R_OKey,1)-1,0)</f>
        <v>0</v>
      </c>
      <c r="BA1163" s="80">
        <f>IF(AY1163=1,COUNTIFS(R_Emp,"&lt;&gt;"&amp;D1163,R_SAbs,"&lt;"&amp;AX1163,R_EAbs,"&gt;"&amp;AW1163,R_OKey,1),0)</f>
        <v>0</v>
      </c>
      <c r="BB1163" s="80">
        <f>IF(AND(AB1163=1,D1163="proMX"),IF(AND(MOD(Z1163,CFG_BLK)=0,MOD(AA1163,CFG_BLK)=0,MOD(AG1163,CFG_BLK)=0,AG1163&gt;0),1,0),1)</f>
        <v>1</v>
      </c>
      <c r="BC1163" s="80" t="str">
        <f>IF(Y1163=0,"",IF(NOT(ISNUMBER(B1163)),"Falta fecha o fecha inválida",IF(D1163="","Falta empresa",IF(AND(D1163&lt;&gt;"Malcolm",D1163&lt;&gt;"proMX"),"Empresa inválida",IF(OR(INT(B1163)&lt;CFG_PSTART,INT(B1163)&gt;CFG_PEND),"Fecha fuera del período",IF(OR(NOT(ISNUMBER(Z1163)),NOT(ISNUMBER(AA1163))),"Falta hora inicio/fin o formato inválido",IF(AB1163=0,"Hora inicio = hora fin",IF(AE1163&lt;0,"Descanso inválido",IF(AE1163&gt;=AD1163,"Descanso ≥ duración",IF(AV1163=1,"Registro duplicado",IF(AZ1163&gt;0,"Se superpone con otro registro "&amp;D1163,IF(BB1163=0,"inicio, fin y duración neta deben ser múltiplos de "&amp;CFG_BLK&amp;" min",""))))))))))))</f>
        <v/>
      </c>
      <c r="BD1163" s="80">
        <f>IF(AND(Y1163=1,BC1163=""),1,0)</f>
        <v>0</v>
      </c>
      <c r="BE1163" s="80">
        <f>IF(AND(BD1163=1,AU1163=1),1,0)</f>
        <v>0</v>
      </c>
      <c r="BF1163" s="80" t="str">
        <f>IF(AND(D1163="proMX",BD1163=1),IF(R1163="","Draft",R1163),"")</f>
        <v/>
      </c>
      <c r="BG1163" s="80">
        <f>IF(BD1163=1,ROUND(AG1163/60,6),0)</f>
        <v>0</v>
      </c>
      <c r="BH1163" s="80">
        <f>IF(BE1163=1,ROUND(AG1163/60,6),0)</f>
        <v>0</v>
      </c>
      <c r="BI1163" s="80">
        <f>IF(BE1163=1,ROUND(AP1163/60,6),0)</f>
        <v>0</v>
      </c>
      <c r="BJ1163" s="80">
        <f>IF(BE1163=1,ROUND(AQ1163/60,6),0)</f>
        <v>0</v>
      </c>
      <c r="BK1163" s="80">
        <f>IF(BE1163=1,ROUND((AR1163+AS1163)/60,6),0)</f>
        <v>0</v>
      </c>
      <c r="BL1163" s="80">
        <f>ROUND(BH1163-BK1163,6)</f>
        <v>0</v>
      </c>
      <c r="BM1163" s="80">
        <f>IF(BE1163=1,ROUND(AR1163/60,6),0)</f>
        <v>0</v>
      </c>
      <c r="BN1163" s="80">
        <f>ROUND(BI1163-BM1163,6)</f>
        <v>0</v>
      </c>
      <c r="BO1163" s="80">
        <f>IF(BE1163=1,ROUND(AS1163/60,6),0)</f>
        <v>0</v>
      </c>
      <c r="BP1163" s="80">
        <f>ROUND(BJ1163-BO1163,6)</f>
        <v>0</v>
      </c>
      <c r="BQ1163" s="80">
        <f>IF(BE1163=1,AW1163,0)</f>
        <v>0</v>
      </c>
      <c r="BR1163" s="80">
        <f>IF(BE1163=1,AX1163,0)</f>
        <v>0</v>
      </c>
      <c r="BS1163" s="80">
        <f>IF(AND(BE1163=1,D1163="Malcolm",BA1163&gt;0),MIN(BH1163,SUMPRODUCT((R_Emp="proMX")*(R_EN&gt;0)*((R_EN-(R_EN&gt;BR1163)*(R_EN-BR1163))&gt;(R_SN+(R_SN&lt;BQ1163)*(BQ1163-R_SN)))*((R_EN-(R_EN&gt;BR1163)*(R_EN-BR1163))-(R_SN+(R_SN&lt;BQ1163)*(BQ1163-R_SN))))/60),0)</f>
        <v>0</v>
      </c>
      <c r="BT1163" s="80">
        <f>IF(AND(BE1163=1,D1163="proMX"),ROUND(BI1163*CFG_RATE+BJ1163*CFG_OTRATE,6),0)</f>
        <v>0</v>
      </c>
      <c r="BU1163" s="80">
        <f>IF(AND(BD1163=1,D1163="proMX"),ROUND(AG1163/CFG_BLK,6),0)</f>
        <v>0</v>
      </c>
      <c r="BV1163" s="80" t="str">
        <f>IF(BF1163="Approved",IF(ISNUMBER(T1163),INT(T1163),INT(B1163)),"")</f>
        <v/>
      </c>
      <c r="BW1163" s="80">
        <f>IF(ISNUMBER(B1163),IF(DB_MON="Todos",1,IF(AND(INT(B1163)&gt;=DB_MS,INT(B1163)&lt;=DB_ME),1,0)),0)</f>
        <v>0</v>
      </c>
      <c r="BX1163" s="80">
        <f>IF(DB_PROJ="Todos",1,IF(E1163&amp;""=DB_PROJ&amp;"",1,0))</f>
        <v>1</v>
      </c>
      <c r="BY1163" s="80">
        <f>BW1163*BX1163</f>
        <v>0</v>
      </c>
      <c r="BZ1163" s="80" t="str">
        <f>IF(Y1163=1,F1163&amp;IF(AND(F1163&amp;""&lt;&gt;"",E1163&amp;""&lt;&gt;"")," · ","")&amp;E1163,"")</f>
        <v/>
      </c>
      <c r="CA1163" s="80" t="str">
        <f>IF(AND(BD1163=1,E1163&amp;""&lt;&gt;""),IF(COUNTIFS($E$5:E1162,E1163,$BD$5:BD1162,1)=0,MAX($CA$5:CA1162)+1,""),"")</f>
        <v/>
      </c>
      <c r="CB1163" s="80" t="str">
        <f>IF(AND(BE1163=1,D1163="Malcolm",E1163&amp;""&lt;&gt;""),IF(COUNTIFS($D$5:D1162,"Malcolm",$E$5:E1162,E1163,$BE$5:BE1162,1)=0,MAX($CB$5:CB1162)+1,""),"")</f>
        <v/>
      </c>
      <c r="CC1163" s="80" t="str">
        <f>IF(AND(BD1163=1,D1163="proMX",E1163&amp;""&lt;&gt;""),IF(COUNTIFS($D$5:D1162,"proMX",$E$5:E1162,E1163,$BD$5:BD1162,1)=0,MAX($CC$5:CC1162)+1,""),"")</f>
        <v/>
      </c>
      <c r="CD1163" s="80" t="str">
        <f>IF(AND(BE1163=1,D1163="Malcolm",F1163&amp;""&lt;&gt;""),IF(COUNTIFS($D$5:D1162,"Malcolm",$F$5:F1162,F1163,$BE$5:BE1162,1)=0,MAX($CD$5:CD1162)+1,""),"")</f>
        <v/>
      </c>
      <c r="CE1163" s="80" t="str">
        <f>IF(AND(BD1163=1,D1163="proMX",F1163&amp;""&lt;&gt;""),IF(COUNTIFS($D$5:D1162,"proMX",$F$5:F1162,F1163,$BD$5:BD1162,1)=0,MAX($CE$5:CE1162)+1,""),"")</f>
        <v/>
      </c>
      <c r="CF1163" s="80" t="str">
        <f>IF(AND(D1163="proMX",BD1163=1),IF(OR(BF1163="Draft",BF1163="Submitted",BF1163="Returned",BF1163="Recall Requested"),MAX($CF$5:CF1162)+1,""),"")</f>
        <v/>
      </c>
      <c r="CG1163" s="80">
        <f>IF(BD1163=0,0,IF(D1163="Malcolm",1,MATCH(BF1163,{"Draft","Submitted","Approved","Returned","Recall Requested","Cancelled"},0)+1))</f>
        <v>0</v>
      </c>
      <c r="CH1163" s="80">
        <f>IF(AND(BF1163="Submitted",ISNUMBER(V1163)),IF(V1163&gt;CFG_MAXD,1,0),0)</f>
        <v>0</v>
      </c>
    </row>
    <row r="1164">
      <c r="A1164" s="71" t="str">
        <f>IF(Y1164=1,ROW()-5,"")</f>
        <v/>
      </c>
      <c r="B1164" s="72" t="n"/>
      <c r="C1164" s="71" t="str">
        <f>IF(ISNUMBER(B1164),CHOOSE(WEEKDAY(B1164,2),"Lun","Mar","Mié","Jue","Vie","Sáb","Dom"),"")</f>
        <v/>
      </c>
      <c r="D1164" s="73" t="n"/>
      <c r="E1164" s="74" t="n"/>
      <c r="F1164" s="74" t="n"/>
      <c r="G1164" s="74" t="n"/>
      <c r="H1164" s="75" t="n"/>
      <c r="I1164" s="75" t="n"/>
      <c r="J1164" s="76" t="n"/>
      <c r="K1164" s="77" t="str">
        <f>IF(AB1164=1,ROUND(AG1164/60,4),"")</f>
        <v/>
      </c>
      <c r="L1164" s="77" t="str">
        <f>IF(BD1164=1,ROUND(AP1164/60,4),"")</f>
        <v/>
      </c>
      <c r="M1164" s="77" t="str">
        <f>IF(BD1164=1,ROUND(AQ1164/60,4),"")</f>
        <v/>
      </c>
      <c r="N1164" s="71" t="str">
        <f>IF(AND(D1164="proMX",AB1164=1),ROUND(AG1164/CFG_BLK,2),"")</f>
        <v/>
      </c>
      <c r="O1164" s="77" t="str">
        <f>IF(D1164="proMX",IF(BD1164=1,ROUND(AG1164/60,4),0),"")</f>
        <v/>
      </c>
      <c r="P1164" s="78" t="str">
        <f>IF(Y1164=0,"",IF(BD1164=1,"OK",IF(D1164="proMX","Revisar bloques: ","Revisar: ")&amp;BC1164))</f>
        <v/>
      </c>
      <c r="Q1164" s="78" t="str">
        <f>IF(NOT(ISNUMBER(B1164)),"",IF(COUNTIFS(FER_F,INT(B1164))&gt;0,"Feriado"&amp;IF(AH1164=1," (laborable)"," (no laborable)"),IF(AH1164=1,"Laborable",IF(WEEKDAY(B1164,2)&gt;5,"Fin de semana","No laborable"))))</f>
        <v/>
      </c>
      <c r="R1164" s="73" t="n"/>
      <c r="S1164" s="72" t="n"/>
      <c r="T1164" s="72" t="n"/>
      <c r="U1164" s="74" t="n"/>
      <c r="V1164" s="79" t="str">
        <f>IF(AND(D1164="proMX",OR(R1164="Submitted",R1164="Recall Requested"),ISNUMBER(S1164)),CFG_TODAY-INT(S1164),"")</f>
        <v/>
      </c>
      <c r="W1164" s="78" t="str">
        <f>IF(BD1164=0,"",IF(BA1164&gt;0,"⚠ Se superpone con un registro de la otra empresa",IF(D1164="Malcolm",IF(COUNTA(R1164,S1164,T1164)&gt;0,"Estado/fechas proMX se ignoran en Malcolm",""),IF(BF1164="Cancelled","Cancelado: excluido de totales",IF(R1164="","Sin estado: se trata como Draft",IF(BF1164="Submitted",IF(ISNUMBER(V1164),IF(V1164&gt;CFG_MAXD,"⚠ "&amp;V1164&amp;" días en Submitted (máx. "&amp;CFG_MAXD&amp;")",""),"Falta fecha de envío"),IF(BF1164="Returned","⚠ Devuelto: corregir y reenviar",IF(BF1164="Recall Requested","Retirada solicitada: pendiente",IF(AND(BF1164="Approved",NOT(ISNUMBER(T1164))),"Falta fecha de aprobación",IF(AND(ISNUMBER(S1164),ISNUMBER(T1164),T1164&lt;S1164),"Aprobación anterior al envío","")))))))))</f>
        <v/>
      </c>
      <c r="Y1164" s="80">
        <f>IF(COUNTA(B1164,D1164,E1164,F1164,G1164,H1164,I1164,J1164,R1164,S1164,T1164)&gt;0,1,0)</f>
        <v>0</v>
      </c>
      <c r="Z1164" s="80" t="str">
        <f>IF(AND(ISNUMBER(H1164),H1164&gt;=0,H1164&lt;1),ROUND(H1164*1440,0),"")</f>
        <v/>
      </c>
      <c r="AA1164" s="80" t="str">
        <f>IF(AND(ISNUMBER(I1164),I1164&gt;=0,I1164&lt;1),ROUND(I1164*1440,0),"")</f>
        <v/>
      </c>
      <c r="AB1164" s="80">
        <f>IF(AND(ISNUMBER(B1164),D1164&lt;&gt;"",ISNUMBER(Z1164),ISNUMBER(AA1164)),IF(Z1164=AA1164,0,1),0)</f>
        <v>0</v>
      </c>
      <c r="AC1164" s="80">
        <f>IF(AB1164=1,IF(AA1164&lt;Z1164,1,0),0)</f>
        <v>0</v>
      </c>
      <c r="AD1164" s="80">
        <f>IF(AB1164=1,IF(AC1164=1,1440-Z1164+AA1164,AA1164-Z1164),0)</f>
        <v>0</v>
      </c>
      <c r="AE1164" s="80">
        <f>IF(J1164="",0,IF(ISNUMBER(J1164),J1164,-1))</f>
        <v>0</v>
      </c>
      <c r="AF1164" s="80">
        <f>MIN(MAX(0,AE1164),AD1164)</f>
        <v>0</v>
      </c>
      <c r="AG1164" s="80">
        <f>MAX(0,AD1164-MAX(0,AE1164))</f>
        <v>0</v>
      </c>
      <c r="AH1164" s="80">
        <f>IF(ISNUMBER(B1164),IF(AND(INDEX(CFG_WDAYS,WEEKDAY(INT(B1164),2))="Sí",IF(D1164="proMX",COUNTIFS(FER_F,INT(B1164),FER_NLP,"Sí"),COUNTIFS(FER_F,INT(B1164),FER_NLM,"Sí"))=0),1,0),0)</f>
        <v>0</v>
      </c>
      <c r="AI1164" s="80">
        <f>IF(AC1164=1,IF(AND(INDEX(CFG_WDAYS,WEEKDAY(INT(B1164)+1,2))="Sí",IF(D1164="proMX",COUNTIFS(FER_F,INT(B1164)+1,FER_NLP,"Sí"),COUNTIFS(FER_F,INT(B1164)+1,FER_NLM,"Sí"))=0),1,0),0)</f>
        <v>0</v>
      </c>
      <c r="AJ1164" s="80">
        <f>IF(AC1164=1,1440-Z1164,AD1164)</f>
        <v>0</v>
      </c>
      <c r="AK1164" s="80">
        <f>IF(AND(AB1164=1,AH1164=1),MAX(0,MIN(IF(AC1164=1,1440,AA1164),CFG_WEM)-MAX(Z1164,CFG_WSM)),0)</f>
        <v>0</v>
      </c>
      <c r="AL1164" s="80">
        <f>IF(AND(AC1164=1,AI1164=1),MAX(0,MIN(AA1164,CFG_WEM)-CFG_WSM),0)</f>
        <v>0</v>
      </c>
      <c r="AM1164" s="80">
        <f>AK1164+AL1164</f>
        <v>0</v>
      </c>
      <c r="AN1164" s="80">
        <f>IF(CFG_BRK="Proporcional",IF(AD1164=0,0,AF1164*AM1164/AD1164),IF(CFG_BRK="Extras primero",MIN(AM1164,MAX(0,AF1164-(AD1164-AM1164))),MIN(AF1164,AM1164)))</f>
        <v>0</v>
      </c>
      <c r="AO1164" s="80">
        <f>AF1164-AN1164</f>
        <v>0</v>
      </c>
      <c r="AP1164" s="80">
        <f>AM1164-AN1164</f>
        <v>0</v>
      </c>
      <c r="AQ1164" s="80">
        <f>AD1164-AM1164-AO1164</f>
        <v>0</v>
      </c>
      <c r="AR1164" s="80">
        <f>IF(AM1164=0,0,AK1164-AN1164*AK1164/AM1164)</f>
        <v>0</v>
      </c>
      <c r="AS1164" s="80">
        <f>IF(AD1164-AM1164=0,0,(AJ1164-AK1164)-AO1164*(AJ1164-AK1164)/(AD1164-AM1164))</f>
        <v>0</v>
      </c>
      <c r="AT1164" s="80" t="str">
        <f>IF(AC1164=1,INT(B1164)+1,"")</f>
        <v/>
      </c>
      <c r="AU1164" s="80">
        <f>IF(AND(D1164="proMX",R1164="Cancelled"),0,1)</f>
        <v>1</v>
      </c>
      <c r="AV1164" s="80">
        <f>IF(AND(AB1164=1,AU1164=1),IF(COUNTIFS($D$5:D1163,D1164,$B$5:B1163,B1164,$Z$5:Z1163,Z1164,$AA$5:AA1163,AA1164,$F$5:F1163,F1164&amp;"",$AU$5:AU1163,1)&gt;0,1,0),0)</f>
        <v>0</v>
      </c>
      <c r="AW1164" s="80" t="str">
        <f>IF(AB1164=1,INT(B1164)*1440+Z1164,"")</f>
        <v/>
      </c>
      <c r="AX1164" s="80" t="str">
        <f>IF(AB1164=1,AW1164+AD1164,"")</f>
        <v/>
      </c>
      <c r="AY1164" s="80">
        <f>IF(AND(AB1164=1,AV1164=0,AU1164=1),1,0)</f>
        <v>0</v>
      </c>
      <c r="AZ1164" s="80">
        <f>IF(AY1164=1,COUNTIFS(R_Emp,D1164,R_SAbs,"&lt;"&amp;AX1164,R_EAbs,"&gt;"&amp;AW1164,R_OKey,1)-1,0)</f>
        <v>0</v>
      </c>
      <c r="BA1164" s="80">
        <f>IF(AY1164=1,COUNTIFS(R_Emp,"&lt;&gt;"&amp;D1164,R_SAbs,"&lt;"&amp;AX1164,R_EAbs,"&gt;"&amp;AW1164,R_OKey,1),0)</f>
        <v>0</v>
      </c>
      <c r="BB1164" s="80">
        <f>IF(AND(AB1164=1,D1164="proMX"),IF(AND(MOD(Z1164,CFG_BLK)=0,MOD(AA1164,CFG_BLK)=0,MOD(AG1164,CFG_BLK)=0,AG1164&gt;0),1,0),1)</f>
        <v>1</v>
      </c>
      <c r="BC1164" s="80" t="str">
        <f>IF(Y1164=0,"",IF(NOT(ISNUMBER(B1164)),"Falta fecha o fecha inválida",IF(D1164="","Falta empresa",IF(AND(D1164&lt;&gt;"Malcolm",D1164&lt;&gt;"proMX"),"Empresa inválida",IF(OR(INT(B1164)&lt;CFG_PSTART,INT(B1164)&gt;CFG_PEND),"Fecha fuera del período",IF(OR(NOT(ISNUMBER(Z1164)),NOT(ISNUMBER(AA1164))),"Falta hora inicio/fin o formato inválido",IF(AB1164=0,"Hora inicio = hora fin",IF(AE1164&lt;0,"Descanso inválido",IF(AE1164&gt;=AD1164,"Descanso ≥ duración",IF(AV1164=1,"Registro duplicado",IF(AZ1164&gt;0,"Se superpone con otro registro "&amp;D1164,IF(BB1164=0,"inicio, fin y duración neta deben ser múltiplos de "&amp;CFG_BLK&amp;" min",""))))))))))))</f>
        <v/>
      </c>
      <c r="BD1164" s="80">
        <f>IF(AND(Y1164=1,BC1164=""),1,0)</f>
        <v>0</v>
      </c>
      <c r="BE1164" s="80">
        <f>IF(AND(BD1164=1,AU1164=1),1,0)</f>
        <v>0</v>
      </c>
      <c r="BF1164" s="80" t="str">
        <f>IF(AND(D1164="proMX",BD1164=1),IF(R1164="","Draft",R1164),"")</f>
        <v/>
      </c>
      <c r="BG1164" s="80">
        <f>IF(BD1164=1,ROUND(AG1164/60,6),0)</f>
        <v>0</v>
      </c>
      <c r="BH1164" s="80">
        <f>IF(BE1164=1,ROUND(AG1164/60,6),0)</f>
        <v>0</v>
      </c>
      <c r="BI1164" s="80">
        <f>IF(BE1164=1,ROUND(AP1164/60,6),0)</f>
        <v>0</v>
      </c>
      <c r="BJ1164" s="80">
        <f>IF(BE1164=1,ROUND(AQ1164/60,6),0)</f>
        <v>0</v>
      </c>
      <c r="BK1164" s="80">
        <f>IF(BE1164=1,ROUND((AR1164+AS1164)/60,6),0)</f>
        <v>0</v>
      </c>
      <c r="BL1164" s="80">
        <f>ROUND(BH1164-BK1164,6)</f>
        <v>0</v>
      </c>
      <c r="BM1164" s="80">
        <f>IF(BE1164=1,ROUND(AR1164/60,6),0)</f>
        <v>0</v>
      </c>
      <c r="BN1164" s="80">
        <f>ROUND(BI1164-BM1164,6)</f>
        <v>0</v>
      </c>
      <c r="BO1164" s="80">
        <f>IF(BE1164=1,ROUND(AS1164/60,6),0)</f>
        <v>0</v>
      </c>
      <c r="BP1164" s="80">
        <f>ROUND(BJ1164-BO1164,6)</f>
        <v>0</v>
      </c>
      <c r="BQ1164" s="80">
        <f>IF(BE1164=1,AW1164,0)</f>
        <v>0</v>
      </c>
      <c r="BR1164" s="80">
        <f>IF(BE1164=1,AX1164,0)</f>
        <v>0</v>
      </c>
      <c r="BS1164" s="80">
        <f>IF(AND(BE1164=1,D1164="Malcolm",BA1164&gt;0),MIN(BH1164,SUMPRODUCT((R_Emp="proMX")*(R_EN&gt;0)*((R_EN-(R_EN&gt;BR1164)*(R_EN-BR1164))&gt;(R_SN+(R_SN&lt;BQ1164)*(BQ1164-R_SN)))*((R_EN-(R_EN&gt;BR1164)*(R_EN-BR1164))-(R_SN+(R_SN&lt;BQ1164)*(BQ1164-R_SN))))/60),0)</f>
        <v>0</v>
      </c>
      <c r="BT1164" s="80">
        <f>IF(AND(BE1164=1,D1164="proMX"),ROUND(BI1164*CFG_RATE+BJ1164*CFG_OTRATE,6),0)</f>
        <v>0</v>
      </c>
      <c r="BU1164" s="80">
        <f>IF(AND(BD1164=1,D1164="proMX"),ROUND(AG1164/CFG_BLK,6),0)</f>
        <v>0</v>
      </c>
      <c r="BV1164" s="80" t="str">
        <f>IF(BF1164="Approved",IF(ISNUMBER(T1164),INT(T1164),INT(B1164)),"")</f>
        <v/>
      </c>
      <c r="BW1164" s="80">
        <f>IF(ISNUMBER(B1164),IF(DB_MON="Todos",1,IF(AND(INT(B1164)&gt;=DB_MS,INT(B1164)&lt;=DB_ME),1,0)),0)</f>
        <v>0</v>
      </c>
      <c r="BX1164" s="80">
        <f>IF(DB_PROJ="Todos",1,IF(E1164&amp;""=DB_PROJ&amp;"",1,0))</f>
        <v>1</v>
      </c>
      <c r="BY1164" s="80">
        <f>BW1164*BX1164</f>
        <v>0</v>
      </c>
      <c r="BZ1164" s="80" t="str">
        <f>IF(Y1164=1,F1164&amp;IF(AND(F1164&amp;""&lt;&gt;"",E1164&amp;""&lt;&gt;"")," · ","")&amp;E1164,"")</f>
        <v/>
      </c>
      <c r="CA1164" s="80" t="str">
        <f>IF(AND(BD1164=1,E1164&amp;""&lt;&gt;""),IF(COUNTIFS($E$5:E1163,E1164,$BD$5:BD1163,1)=0,MAX($CA$5:CA1163)+1,""),"")</f>
        <v/>
      </c>
      <c r="CB1164" s="80" t="str">
        <f>IF(AND(BE1164=1,D1164="Malcolm",E1164&amp;""&lt;&gt;""),IF(COUNTIFS($D$5:D1163,"Malcolm",$E$5:E1163,E1164,$BE$5:BE1163,1)=0,MAX($CB$5:CB1163)+1,""),"")</f>
        <v/>
      </c>
      <c r="CC1164" s="80" t="str">
        <f>IF(AND(BD1164=1,D1164="proMX",E1164&amp;""&lt;&gt;""),IF(COUNTIFS($D$5:D1163,"proMX",$E$5:E1163,E1164,$BD$5:BD1163,1)=0,MAX($CC$5:CC1163)+1,""),"")</f>
        <v/>
      </c>
      <c r="CD1164" s="80" t="str">
        <f>IF(AND(BE1164=1,D1164="Malcolm",F1164&amp;""&lt;&gt;""),IF(COUNTIFS($D$5:D1163,"Malcolm",$F$5:F1163,F1164,$BE$5:BE1163,1)=0,MAX($CD$5:CD1163)+1,""),"")</f>
        <v/>
      </c>
      <c r="CE1164" s="80" t="str">
        <f>IF(AND(BD1164=1,D1164="proMX",F1164&amp;""&lt;&gt;""),IF(COUNTIFS($D$5:D1163,"proMX",$F$5:F1163,F1164,$BD$5:BD1163,1)=0,MAX($CE$5:CE1163)+1,""),"")</f>
        <v/>
      </c>
      <c r="CF1164" s="80" t="str">
        <f>IF(AND(D1164="proMX",BD1164=1),IF(OR(BF1164="Draft",BF1164="Submitted",BF1164="Returned",BF1164="Recall Requested"),MAX($CF$5:CF1163)+1,""),"")</f>
        <v/>
      </c>
      <c r="CG1164" s="80">
        <f>IF(BD1164=0,0,IF(D1164="Malcolm",1,MATCH(BF1164,{"Draft","Submitted","Approved","Returned","Recall Requested","Cancelled"},0)+1))</f>
        <v>0</v>
      </c>
      <c r="CH1164" s="80">
        <f>IF(AND(BF1164="Submitted",ISNUMBER(V1164)),IF(V1164&gt;CFG_MAXD,1,0),0)</f>
        <v>0</v>
      </c>
    </row>
    <row r="1165">
      <c r="A1165" s="71" t="str">
        <f>IF(Y1165=1,ROW()-5,"")</f>
        <v/>
      </c>
      <c r="B1165" s="72" t="n"/>
      <c r="C1165" s="71" t="str">
        <f>IF(ISNUMBER(B1165),CHOOSE(WEEKDAY(B1165,2),"Lun","Mar","Mié","Jue","Vie","Sáb","Dom"),"")</f>
        <v/>
      </c>
      <c r="D1165" s="73" t="n"/>
      <c r="E1165" s="74" t="n"/>
      <c r="F1165" s="74" t="n"/>
      <c r="G1165" s="74" t="n"/>
      <c r="H1165" s="75" t="n"/>
      <c r="I1165" s="75" t="n"/>
      <c r="J1165" s="76" t="n"/>
      <c r="K1165" s="77" t="str">
        <f>IF(AB1165=1,ROUND(AG1165/60,4),"")</f>
        <v/>
      </c>
      <c r="L1165" s="77" t="str">
        <f>IF(BD1165=1,ROUND(AP1165/60,4),"")</f>
        <v/>
      </c>
      <c r="M1165" s="77" t="str">
        <f>IF(BD1165=1,ROUND(AQ1165/60,4),"")</f>
        <v/>
      </c>
      <c r="N1165" s="71" t="str">
        <f>IF(AND(D1165="proMX",AB1165=1),ROUND(AG1165/CFG_BLK,2),"")</f>
        <v/>
      </c>
      <c r="O1165" s="77" t="str">
        <f>IF(D1165="proMX",IF(BD1165=1,ROUND(AG1165/60,4),0),"")</f>
        <v/>
      </c>
      <c r="P1165" s="78" t="str">
        <f>IF(Y1165=0,"",IF(BD1165=1,"OK",IF(D1165="proMX","Revisar bloques: ","Revisar: ")&amp;BC1165))</f>
        <v/>
      </c>
      <c r="Q1165" s="78" t="str">
        <f>IF(NOT(ISNUMBER(B1165)),"",IF(COUNTIFS(FER_F,INT(B1165))&gt;0,"Feriado"&amp;IF(AH1165=1," (laborable)"," (no laborable)"),IF(AH1165=1,"Laborable",IF(WEEKDAY(B1165,2)&gt;5,"Fin de semana","No laborable"))))</f>
        <v/>
      </c>
      <c r="R1165" s="73" t="n"/>
      <c r="S1165" s="72" t="n"/>
      <c r="T1165" s="72" t="n"/>
      <c r="U1165" s="74" t="n"/>
      <c r="V1165" s="79" t="str">
        <f>IF(AND(D1165="proMX",OR(R1165="Submitted",R1165="Recall Requested"),ISNUMBER(S1165)),CFG_TODAY-INT(S1165),"")</f>
        <v/>
      </c>
      <c r="W1165" s="78" t="str">
        <f>IF(BD1165=0,"",IF(BA1165&gt;0,"⚠ Se superpone con un registro de la otra empresa",IF(D1165="Malcolm",IF(COUNTA(R1165,S1165,T1165)&gt;0,"Estado/fechas proMX se ignoran en Malcolm",""),IF(BF1165="Cancelled","Cancelado: excluido de totales",IF(R1165="","Sin estado: se trata como Draft",IF(BF1165="Submitted",IF(ISNUMBER(V1165),IF(V1165&gt;CFG_MAXD,"⚠ "&amp;V1165&amp;" días en Submitted (máx. "&amp;CFG_MAXD&amp;")",""),"Falta fecha de envío"),IF(BF1165="Returned","⚠ Devuelto: corregir y reenviar",IF(BF1165="Recall Requested","Retirada solicitada: pendiente",IF(AND(BF1165="Approved",NOT(ISNUMBER(T1165))),"Falta fecha de aprobación",IF(AND(ISNUMBER(S1165),ISNUMBER(T1165),T1165&lt;S1165),"Aprobación anterior al envío","")))))))))</f>
        <v/>
      </c>
      <c r="Y1165" s="80">
        <f>IF(COUNTA(B1165,D1165,E1165,F1165,G1165,H1165,I1165,J1165,R1165,S1165,T1165)&gt;0,1,0)</f>
        <v>0</v>
      </c>
      <c r="Z1165" s="80" t="str">
        <f>IF(AND(ISNUMBER(H1165),H1165&gt;=0,H1165&lt;1),ROUND(H1165*1440,0),"")</f>
        <v/>
      </c>
      <c r="AA1165" s="80" t="str">
        <f>IF(AND(ISNUMBER(I1165),I1165&gt;=0,I1165&lt;1),ROUND(I1165*1440,0),"")</f>
        <v/>
      </c>
      <c r="AB1165" s="80">
        <f>IF(AND(ISNUMBER(B1165),D1165&lt;&gt;"",ISNUMBER(Z1165),ISNUMBER(AA1165)),IF(Z1165=AA1165,0,1),0)</f>
        <v>0</v>
      </c>
      <c r="AC1165" s="80">
        <f>IF(AB1165=1,IF(AA1165&lt;Z1165,1,0),0)</f>
        <v>0</v>
      </c>
      <c r="AD1165" s="80">
        <f>IF(AB1165=1,IF(AC1165=1,1440-Z1165+AA1165,AA1165-Z1165),0)</f>
        <v>0</v>
      </c>
      <c r="AE1165" s="80">
        <f>IF(J1165="",0,IF(ISNUMBER(J1165),J1165,-1))</f>
        <v>0</v>
      </c>
      <c r="AF1165" s="80">
        <f>MIN(MAX(0,AE1165),AD1165)</f>
        <v>0</v>
      </c>
      <c r="AG1165" s="80">
        <f>MAX(0,AD1165-MAX(0,AE1165))</f>
        <v>0</v>
      </c>
      <c r="AH1165" s="80">
        <f>IF(ISNUMBER(B1165),IF(AND(INDEX(CFG_WDAYS,WEEKDAY(INT(B1165),2))="Sí",IF(D1165="proMX",COUNTIFS(FER_F,INT(B1165),FER_NLP,"Sí"),COUNTIFS(FER_F,INT(B1165),FER_NLM,"Sí"))=0),1,0),0)</f>
        <v>0</v>
      </c>
      <c r="AI1165" s="80">
        <f>IF(AC1165=1,IF(AND(INDEX(CFG_WDAYS,WEEKDAY(INT(B1165)+1,2))="Sí",IF(D1165="proMX",COUNTIFS(FER_F,INT(B1165)+1,FER_NLP,"Sí"),COUNTIFS(FER_F,INT(B1165)+1,FER_NLM,"Sí"))=0),1,0),0)</f>
        <v>0</v>
      </c>
      <c r="AJ1165" s="80">
        <f>IF(AC1165=1,1440-Z1165,AD1165)</f>
        <v>0</v>
      </c>
      <c r="AK1165" s="80">
        <f>IF(AND(AB1165=1,AH1165=1),MAX(0,MIN(IF(AC1165=1,1440,AA1165),CFG_WEM)-MAX(Z1165,CFG_WSM)),0)</f>
        <v>0</v>
      </c>
      <c r="AL1165" s="80">
        <f>IF(AND(AC1165=1,AI1165=1),MAX(0,MIN(AA1165,CFG_WEM)-CFG_WSM),0)</f>
        <v>0</v>
      </c>
      <c r="AM1165" s="80">
        <f>AK1165+AL1165</f>
        <v>0</v>
      </c>
      <c r="AN1165" s="80">
        <f>IF(CFG_BRK="Proporcional",IF(AD1165=0,0,AF1165*AM1165/AD1165),IF(CFG_BRK="Extras primero",MIN(AM1165,MAX(0,AF1165-(AD1165-AM1165))),MIN(AF1165,AM1165)))</f>
        <v>0</v>
      </c>
      <c r="AO1165" s="80">
        <f>AF1165-AN1165</f>
        <v>0</v>
      </c>
      <c r="AP1165" s="80">
        <f>AM1165-AN1165</f>
        <v>0</v>
      </c>
      <c r="AQ1165" s="80">
        <f>AD1165-AM1165-AO1165</f>
        <v>0</v>
      </c>
      <c r="AR1165" s="80">
        <f>IF(AM1165=0,0,AK1165-AN1165*AK1165/AM1165)</f>
        <v>0</v>
      </c>
      <c r="AS1165" s="80">
        <f>IF(AD1165-AM1165=0,0,(AJ1165-AK1165)-AO1165*(AJ1165-AK1165)/(AD1165-AM1165))</f>
        <v>0</v>
      </c>
      <c r="AT1165" s="80" t="str">
        <f>IF(AC1165=1,INT(B1165)+1,"")</f>
        <v/>
      </c>
      <c r="AU1165" s="80">
        <f>IF(AND(D1165="proMX",R1165="Cancelled"),0,1)</f>
        <v>1</v>
      </c>
      <c r="AV1165" s="80">
        <f>IF(AND(AB1165=1,AU1165=1),IF(COUNTIFS($D$5:D1164,D1165,$B$5:B1164,B1165,$Z$5:Z1164,Z1165,$AA$5:AA1164,AA1165,$F$5:F1164,F1165&amp;"",$AU$5:AU1164,1)&gt;0,1,0),0)</f>
        <v>0</v>
      </c>
      <c r="AW1165" s="80" t="str">
        <f>IF(AB1165=1,INT(B1165)*1440+Z1165,"")</f>
        <v/>
      </c>
      <c r="AX1165" s="80" t="str">
        <f>IF(AB1165=1,AW1165+AD1165,"")</f>
        <v/>
      </c>
      <c r="AY1165" s="80">
        <f>IF(AND(AB1165=1,AV1165=0,AU1165=1),1,0)</f>
        <v>0</v>
      </c>
      <c r="AZ1165" s="80">
        <f>IF(AY1165=1,COUNTIFS(R_Emp,D1165,R_SAbs,"&lt;"&amp;AX1165,R_EAbs,"&gt;"&amp;AW1165,R_OKey,1)-1,0)</f>
        <v>0</v>
      </c>
      <c r="BA1165" s="80">
        <f>IF(AY1165=1,COUNTIFS(R_Emp,"&lt;&gt;"&amp;D1165,R_SAbs,"&lt;"&amp;AX1165,R_EAbs,"&gt;"&amp;AW1165,R_OKey,1),0)</f>
        <v>0</v>
      </c>
      <c r="BB1165" s="80">
        <f>IF(AND(AB1165=1,D1165="proMX"),IF(AND(MOD(Z1165,CFG_BLK)=0,MOD(AA1165,CFG_BLK)=0,MOD(AG1165,CFG_BLK)=0,AG1165&gt;0),1,0),1)</f>
        <v>1</v>
      </c>
      <c r="BC1165" s="80" t="str">
        <f>IF(Y1165=0,"",IF(NOT(ISNUMBER(B1165)),"Falta fecha o fecha inválida",IF(D1165="","Falta empresa",IF(AND(D1165&lt;&gt;"Malcolm",D1165&lt;&gt;"proMX"),"Empresa inválida",IF(OR(INT(B1165)&lt;CFG_PSTART,INT(B1165)&gt;CFG_PEND),"Fecha fuera del período",IF(OR(NOT(ISNUMBER(Z1165)),NOT(ISNUMBER(AA1165))),"Falta hora inicio/fin o formato inválido",IF(AB1165=0,"Hora inicio = hora fin",IF(AE1165&lt;0,"Descanso inválido",IF(AE1165&gt;=AD1165,"Descanso ≥ duración",IF(AV1165=1,"Registro duplicado",IF(AZ1165&gt;0,"Se superpone con otro registro "&amp;D1165,IF(BB1165=0,"inicio, fin y duración neta deben ser múltiplos de "&amp;CFG_BLK&amp;" min",""))))))))))))</f>
        <v/>
      </c>
      <c r="BD1165" s="80">
        <f>IF(AND(Y1165=1,BC1165=""),1,0)</f>
        <v>0</v>
      </c>
      <c r="BE1165" s="80">
        <f>IF(AND(BD1165=1,AU1165=1),1,0)</f>
        <v>0</v>
      </c>
      <c r="BF1165" s="80" t="str">
        <f>IF(AND(D1165="proMX",BD1165=1),IF(R1165="","Draft",R1165),"")</f>
        <v/>
      </c>
      <c r="BG1165" s="80">
        <f>IF(BD1165=1,ROUND(AG1165/60,6),0)</f>
        <v>0</v>
      </c>
      <c r="BH1165" s="80">
        <f>IF(BE1165=1,ROUND(AG1165/60,6),0)</f>
        <v>0</v>
      </c>
      <c r="BI1165" s="80">
        <f>IF(BE1165=1,ROUND(AP1165/60,6),0)</f>
        <v>0</v>
      </c>
      <c r="BJ1165" s="80">
        <f>IF(BE1165=1,ROUND(AQ1165/60,6),0)</f>
        <v>0</v>
      </c>
      <c r="BK1165" s="80">
        <f>IF(BE1165=1,ROUND((AR1165+AS1165)/60,6),0)</f>
        <v>0</v>
      </c>
      <c r="BL1165" s="80">
        <f>ROUND(BH1165-BK1165,6)</f>
        <v>0</v>
      </c>
      <c r="BM1165" s="80">
        <f>IF(BE1165=1,ROUND(AR1165/60,6),0)</f>
        <v>0</v>
      </c>
      <c r="BN1165" s="80">
        <f>ROUND(BI1165-BM1165,6)</f>
        <v>0</v>
      </c>
      <c r="BO1165" s="80">
        <f>IF(BE1165=1,ROUND(AS1165/60,6),0)</f>
        <v>0</v>
      </c>
      <c r="BP1165" s="80">
        <f>ROUND(BJ1165-BO1165,6)</f>
        <v>0</v>
      </c>
      <c r="BQ1165" s="80">
        <f>IF(BE1165=1,AW1165,0)</f>
        <v>0</v>
      </c>
      <c r="BR1165" s="80">
        <f>IF(BE1165=1,AX1165,0)</f>
        <v>0</v>
      </c>
      <c r="BS1165" s="80">
        <f>IF(AND(BE1165=1,D1165="Malcolm",BA1165&gt;0),MIN(BH1165,SUMPRODUCT((R_Emp="proMX")*(R_EN&gt;0)*((R_EN-(R_EN&gt;BR1165)*(R_EN-BR1165))&gt;(R_SN+(R_SN&lt;BQ1165)*(BQ1165-R_SN)))*((R_EN-(R_EN&gt;BR1165)*(R_EN-BR1165))-(R_SN+(R_SN&lt;BQ1165)*(BQ1165-R_SN))))/60),0)</f>
        <v>0</v>
      </c>
      <c r="BT1165" s="80">
        <f>IF(AND(BE1165=1,D1165="proMX"),ROUND(BI1165*CFG_RATE+BJ1165*CFG_OTRATE,6),0)</f>
        <v>0</v>
      </c>
      <c r="BU1165" s="80">
        <f>IF(AND(BD1165=1,D1165="proMX"),ROUND(AG1165/CFG_BLK,6),0)</f>
        <v>0</v>
      </c>
      <c r="BV1165" s="80" t="str">
        <f>IF(BF1165="Approved",IF(ISNUMBER(T1165),INT(T1165),INT(B1165)),"")</f>
        <v/>
      </c>
      <c r="BW1165" s="80">
        <f>IF(ISNUMBER(B1165),IF(DB_MON="Todos",1,IF(AND(INT(B1165)&gt;=DB_MS,INT(B1165)&lt;=DB_ME),1,0)),0)</f>
        <v>0</v>
      </c>
      <c r="BX1165" s="80">
        <f>IF(DB_PROJ="Todos",1,IF(E1165&amp;""=DB_PROJ&amp;"",1,0))</f>
        <v>1</v>
      </c>
      <c r="BY1165" s="80">
        <f>BW1165*BX1165</f>
        <v>0</v>
      </c>
      <c r="BZ1165" s="80" t="str">
        <f>IF(Y1165=1,F1165&amp;IF(AND(F1165&amp;""&lt;&gt;"",E1165&amp;""&lt;&gt;"")," · ","")&amp;E1165,"")</f>
        <v/>
      </c>
      <c r="CA1165" s="80" t="str">
        <f>IF(AND(BD1165=1,E1165&amp;""&lt;&gt;""),IF(COUNTIFS($E$5:E1164,E1165,$BD$5:BD1164,1)=0,MAX($CA$5:CA1164)+1,""),"")</f>
        <v/>
      </c>
      <c r="CB1165" s="80" t="str">
        <f>IF(AND(BE1165=1,D1165="Malcolm",E1165&amp;""&lt;&gt;""),IF(COUNTIFS($D$5:D1164,"Malcolm",$E$5:E1164,E1165,$BE$5:BE1164,1)=0,MAX($CB$5:CB1164)+1,""),"")</f>
        <v/>
      </c>
      <c r="CC1165" s="80" t="str">
        <f>IF(AND(BD1165=1,D1165="proMX",E1165&amp;""&lt;&gt;""),IF(COUNTIFS($D$5:D1164,"proMX",$E$5:E1164,E1165,$BD$5:BD1164,1)=0,MAX($CC$5:CC1164)+1,""),"")</f>
        <v/>
      </c>
      <c r="CD1165" s="80" t="str">
        <f>IF(AND(BE1165=1,D1165="Malcolm",F1165&amp;""&lt;&gt;""),IF(COUNTIFS($D$5:D1164,"Malcolm",$F$5:F1164,F1165,$BE$5:BE1164,1)=0,MAX($CD$5:CD1164)+1,""),"")</f>
        <v/>
      </c>
      <c r="CE1165" s="80" t="str">
        <f>IF(AND(BD1165=1,D1165="proMX",F1165&amp;""&lt;&gt;""),IF(COUNTIFS($D$5:D1164,"proMX",$F$5:F1164,F1165,$BD$5:BD1164,1)=0,MAX($CE$5:CE1164)+1,""),"")</f>
        <v/>
      </c>
      <c r="CF1165" s="80" t="str">
        <f>IF(AND(D1165="proMX",BD1165=1),IF(OR(BF1165="Draft",BF1165="Submitted",BF1165="Returned",BF1165="Recall Requested"),MAX($CF$5:CF1164)+1,""),"")</f>
        <v/>
      </c>
      <c r="CG1165" s="80">
        <f>IF(BD1165=0,0,IF(D1165="Malcolm",1,MATCH(BF1165,{"Draft","Submitted","Approved","Returned","Recall Requested","Cancelled"},0)+1))</f>
        <v>0</v>
      </c>
      <c r="CH1165" s="80">
        <f>IF(AND(BF1165="Submitted",ISNUMBER(V1165)),IF(V1165&gt;CFG_MAXD,1,0),0)</f>
        <v>0</v>
      </c>
    </row>
    <row r="1166">
      <c r="A1166" s="71" t="str">
        <f>IF(Y1166=1,ROW()-5,"")</f>
        <v/>
      </c>
      <c r="B1166" s="72" t="n"/>
      <c r="C1166" s="71" t="str">
        <f>IF(ISNUMBER(B1166),CHOOSE(WEEKDAY(B1166,2),"Lun","Mar","Mié","Jue","Vie","Sáb","Dom"),"")</f>
        <v/>
      </c>
      <c r="D1166" s="73" t="n"/>
      <c r="E1166" s="74" t="n"/>
      <c r="F1166" s="74" t="n"/>
      <c r="G1166" s="74" t="n"/>
      <c r="H1166" s="75" t="n"/>
      <c r="I1166" s="75" t="n"/>
      <c r="J1166" s="76" t="n"/>
      <c r="K1166" s="77" t="str">
        <f>IF(AB1166=1,ROUND(AG1166/60,4),"")</f>
        <v/>
      </c>
      <c r="L1166" s="77" t="str">
        <f>IF(BD1166=1,ROUND(AP1166/60,4),"")</f>
        <v/>
      </c>
      <c r="M1166" s="77" t="str">
        <f>IF(BD1166=1,ROUND(AQ1166/60,4),"")</f>
        <v/>
      </c>
      <c r="N1166" s="71" t="str">
        <f>IF(AND(D1166="proMX",AB1166=1),ROUND(AG1166/CFG_BLK,2),"")</f>
        <v/>
      </c>
      <c r="O1166" s="77" t="str">
        <f>IF(D1166="proMX",IF(BD1166=1,ROUND(AG1166/60,4),0),"")</f>
        <v/>
      </c>
      <c r="P1166" s="78" t="str">
        <f>IF(Y1166=0,"",IF(BD1166=1,"OK",IF(D1166="proMX","Revisar bloques: ","Revisar: ")&amp;BC1166))</f>
        <v/>
      </c>
      <c r="Q1166" s="78" t="str">
        <f>IF(NOT(ISNUMBER(B1166)),"",IF(COUNTIFS(FER_F,INT(B1166))&gt;0,"Feriado"&amp;IF(AH1166=1," (laborable)"," (no laborable)"),IF(AH1166=1,"Laborable",IF(WEEKDAY(B1166,2)&gt;5,"Fin de semana","No laborable"))))</f>
        <v/>
      </c>
      <c r="R1166" s="73" t="n"/>
      <c r="S1166" s="72" t="n"/>
      <c r="T1166" s="72" t="n"/>
      <c r="U1166" s="74" t="n"/>
      <c r="V1166" s="79" t="str">
        <f>IF(AND(D1166="proMX",OR(R1166="Submitted",R1166="Recall Requested"),ISNUMBER(S1166)),CFG_TODAY-INT(S1166),"")</f>
        <v/>
      </c>
      <c r="W1166" s="78" t="str">
        <f>IF(BD1166=0,"",IF(BA1166&gt;0,"⚠ Se superpone con un registro de la otra empresa",IF(D1166="Malcolm",IF(COUNTA(R1166,S1166,T1166)&gt;0,"Estado/fechas proMX se ignoran en Malcolm",""),IF(BF1166="Cancelled","Cancelado: excluido de totales",IF(R1166="","Sin estado: se trata como Draft",IF(BF1166="Submitted",IF(ISNUMBER(V1166),IF(V1166&gt;CFG_MAXD,"⚠ "&amp;V1166&amp;" días en Submitted (máx. "&amp;CFG_MAXD&amp;")",""),"Falta fecha de envío"),IF(BF1166="Returned","⚠ Devuelto: corregir y reenviar",IF(BF1166="Recall Requested","Retirada solicitada: pendiente",IF(AND(BF1166="Approved",NOT(ISNUMBER(T1166))),"Falta fecha de aprobación",IF(AND(ISNUMBER(S1166),ISNUMBER(T1166),T1166&lt;S1166),"Aprobación anterior al envío","")))))))))</f>
        <v/>
      </c>
      <c r="Y1166" s="80">
        <f>IF(COUNTA(B1166,D1166,E1166,F1166,G1166,H1166,I1166,J1166,R1166,S1166,T1166)&gt;0,1,0)</f>
        <v>0</v>
      </c>
      <c r="Z1166" s="80" t="str">
        <f>IF(AND(ISNUMBER(H1166),H1166&gt;=0,H1166&lt;1),ROUND(H1166*1440,0),"")</f>
        <v/>
      </c>
      <c r="AA1166" s="80" t="str">
        <f>IF(AND(ISNUMBER(I1166),I1166&gt;=0,I1166&lt;1),ROUND(I1166*1440,0),"")</f>
        <v/>
      </c>
      <c r="AB1166" s="80">
        <f>IF(AND(ISNUMBER(B1166),D1166&lt;&gt;"",ISNUMBER(Z1166),ISNUMBER(AA1166)),IF(Z1166=AA1166,0,1),0)</f>
        <v>0</v>
      </c>
      <c r="AC1166" s="80">
        <f>IF(AB1166=1,IF(AA1166&lt;Z1166,1,0),0)</f>
        <v>0</v>
      </c>
      <c r="AD1166" s="80">
        <f>IF(AB1166=1,IF(AC1166=1,1440-Z1166+AA1166,AA1166-Z1166),0)</f>
        <v>0</v>
      </c>
      <c r="AE1166" s="80">
        <f>IF(J1166="",0,IF(ISNUMBER(J1166),J1166,-1))</f>
        <v>0</v>
      </c>
      <c r="AF1166" s="80">
        <f>MIN(MAX(0,AE1166),AD1166)</f>
        <v>0</v>
      </c>
      <c r="AG1166" s="80">
        <f>MAX(0,AD1166-MAX(0,AE1166))</f>
        <v>0</v>
      </c>
      <c r="AH1166" s="80">
        <f>IF(ISNUMBER(B1166),IF(AND(INDEX(CFG_WDAYS,WEEKDAY(INT(B1166),2))="Sí",IF(D1166="proMX",COUNTIFS(FER_F,INT(B1166),FER_NLP,"Sí"),COUNTIFS(FER_F,INT(B1166),FER_NLM,"Sí"))=0),1,0),0)</f>
        <v>0</v>
      </c>
      <c r="AI1166" s="80">
        <f>IF(AC1166=1,IF(AND(INDEX(CFG_WDAYS,WEEKDAY(INT(B1166)+1,2))="Sí",IF(D1166="proMX",COUNTIFS(FER_F,INT(B1166)+1,FER_NLP,"Sí"),COUNTIFS(FER_F,INT(B1166)+1,FER_NLM,"Sí"))=0),1,0),0)</f>
        <v>0</v>
      </c>
      <c r="AJ1166" s="80">
        <f>IF(AC1166=1,1440-Z1166,AD1166)</f>
        <v>0</v>
      </c>
      <c r="AK1166" s="80">
        <f>IF(AND(AB1166=1,AH1166=1),MAX(0,MIN(IF(AC1166=1,1440,AA1166),CFG_WEM)-MAX(Z1166,CFG_WSM)),0)</f>
        <v>0</v>
      </c>
      <c r="AL1166" s="80">
        <f>IF(AND(AC1166=1,AI1166=1),MAX(0,MIN(AA1166,CFG_WEM)-CFG_WSM),0)</f>
        <v>0</v>
      </c>
      <c r="AM1166" s="80">
        <f>AK1166+AL1166</f>
        <v>0</v>
      </c>
      <c r="AN1166" s="80">
        <f>IF(CFG_BRK="Proporcional",IF(AD1166=0,0,AF1166*AM1166/AD1166),IF(CFG_BRK="Extras primero",MIN(AM1166,MAX(0,AF1166-(AD1166-AM1166))),MIN(AF1166,AM1166)))</f>
        <v>0</v>
      </c>
      <c r="AO1166" s="80">
        <f>AF1166-AN1166</f>
        <v>0</v>
      </c>
      <c r="AP1166" s="80">
        <f>AM1166-AN1166</f>
        <v>0</v>
      </c>
      <c r="AQ1166" s="80">
        <f>AD1166-AM1166-AO1166</f>
        <v>0</v>
      </c>
      <c r="AR1166" s="80">
        <f>IF(AM1166=0,0,AK1166-AN1166*AK1166/AM1166)</f>
        <v>0</v>
      </c>
      <c r="AS1166" s="80">
        <f>IF(AD1166-AM1166=0,0,(AJ1166-AK1166)-AO1166*(AJ1166-AK1166)/(AD1166-AM1166))</f>
        <v>0</v>
      </c>
      <c r="AT1166" s="80" t="str">
        <f>IF(AC1166=1,INT(B1166)+1,"")</f>
        <v/>
      </c>
      <c r="AU1166" s="80">
        <f>IF(AND(D1166="proMX",R1166="Cancelled"),0,1)</f>
        <v>1</v>
      </c>
      <c r="AV1166" s="80">
        <f>IF(AND(AB1166=1,AU1166=1),IF(COUNTIFS($D$5:D1165,D1166,$B$5:B1165,B1166,$Z$5:Z1165,Z1166,$AA$5:AA1165,AA1166,$F$5:F1165,F1166&amp;"",$AU$5:AU1165,1)&gt;0,1,0),0)</f>
        <v>0</v>
      </c>
      <c r="AW1166" s="80" t="str">
        <f>IF(AB1166=1,INT(B1166)*1440+Z1166,"")</f>
        <v/>
      </c>
      <c r="AX1166" s="80" t="str">
        <f>IF(AB1166=1,AW1166+AD1166,"")</f>
        <v/>
      </c>
      <c r="AY1166" s="80">
        <f>IF(AND(AB1166=1,AV1166=0,AU1166=1),1,0)</f>
        <v>0</v>
      </c>
      <c r="AZ1166" s="80">
        <f>IF(AY1166=1,COUNTIFS(R_Emp,D1166,R_SAbs,"&lt;"&amp;AX1166,R_EAbs,"&gt;"&amp;AW1166,R_OKey,1)-1,0)</f>
        <v>0</v>
      </c>
      <c r="BA1166" s="80">
        <f>IF(AY1166=1,COUNTIFS(R_Emp,"&lt;&gt;"&amp;D1166,R_SAbs,"&lt;"&amp;AX1166,R_EAbs,"&gt;"&amp;AW1166,R_OKey,1),0)</f>
        <v>0</v>
      </c>
      <c r="BB1166" s="80">
        <f>IF(AND(AB1166=1,D1166="proMX"),IF(AND(MOD(Z1166,CFG_BLK)=0,MOD(AA1166,CFG_BLK)=0,MOD(AG1166,CFG_BLK)=0,AG1166&gt;0),1,0),1)</f>
        <v>1</v>
      </c>
      <c r="BC1166" s="80" t="str">
        <f>IF(Y1166=0,"",IF(NOT(ISNUMBER(B1166)),"Falta fecha o fecha inválida",IF(D1166="","Falta empresa",IF(AND(D1166&lt;&gt;"Malcolm",D1166&lt;&gt;"proMX"),"Empresa inválida",IF(OR(INT(B1166)&lt;CFG_PSTART,INT(B1166)&gt;CFG_PEND),"Fecha fuera del período",IF(OR(NOT(ISNUMBER(Z1166)),NOT(ISNUMBER(AA1166))),"Falta hora inicio/fin o formato inválido",IF(AB1166=0,"Hora inicio = hora fin",IF(AE1166&lt;0,"Descanso inválido",IF(AE1166&gt;=AD1166,"Descanso ≥ duración",IF(AV1166=1,"Registro duplicado",IF(AZ1166&gt;0,"Se superpone con otro registro "&amp;D1166,IF(BB1166=0,"inicio, fin y duración neta deben ser múltiplos de "&amp;CFG_BLK&amp;" min",""))))))))))))</f>
        <v/>
      </c>
      <c r="BD1166" s="80">
        <f>IF(AND(Y1166=1,BC1166=""),1,0)</f>
        <v>0</v>
      </c>
      <c r="BE1166" s="80">
        <f>IF(AND(BD1166=1,AU1166=1),1,0)</f>
        <v>0</v>
      </c>
      <c r="BF1166" s="80" t="str">
        <f>IF(AND(D1166="proMX",BD1166=1),IF(R1166="","Draft",R1166),"")</f>
        <v/>
      </c>
      <c r="BG1166" s="80">
        <f>IF(BD1166=1,ROUND(AG1166/60,6),0)</f>
        <v>0</v>
      </c>
      <c r="BH1166" s="80">
        <f>IF(BE1166=1,ROUND(AG1166/60,6),0)</f>
        <v>0</v>
      </c>
      <c r="BI1166" s="80">
        <f>IF(BE1166=1,ROUND(AP1166/60,6),0)</f>
        <v>0</v>
      </c>
      <c r="BJ1166" s="80">
        <f>IF(BE1166=1,ROUND(AQ1166/60,6),0)</f>
        <v>0</v>
      </c>
      <c r="BK1166" s="80">
        <f>IF(BE1166=1,ROUND((AR1166+AS1166)/60,6),0)</f>
        <v>0</v>
      </c>
      <c r="BL1166" s="80">
        <f>ROUND(BH1166-BK1166,6)</f>
        <v>0</v>
      </c>
      <c r="BM1166" s="80">
        <f>IF(BE1166=1,ROUND(AR1166/60,6),0)</f>
        <v>0</v>
      </c>
      <c r="BN1166" s="80">
        <f>ROUND(BI1166-BM1166,6)</f>
        <v>0</v>
      </c>
      <c r="BO1166" s="80">
        <f>IF(BE1166=1,ROUND(AS1166/60,6),0)</f>
        <v>0</v>
      </c>
      <c r="BP1166" s="80">
        <f>ROUND(BJ1166-BO1166,6)</f>
        <v>0</v>
      </c>
      <c r="BQ1166" s="80">
        <f>IF(BE1166=1,AW1166,0)</f>
        <v>0</v>
      </c>
      <c r="BR1166" s="80">
        <f>IF(BE1166=1,AX1166,0)</f>
        <v>0</v>
      </c>
      <c r="BS1166" s="80">
        <f>IF(AND(BE1166=1,D1166="Malcolm",BA1166&gt;0),MIN(BH1166,SUMPRODUCT((R_Emp="proMX")*(R_EN&gt;0)*((R_EN-(R_EN&gt;BR1166)*(R_EN-BR1166))&gt;(R_SN+(R_SN&lt;BQ1166)*(BQ1166-R_SN)))*((R_EN-(R_EN&gt;BR1166)*(R_EN-BR1166))-(R_SN+(R_SN&lt;BQ1166)*(BQ1166-R_SN))))/60),0)</f>
        <v>0</v>
      </c>
      <c r="BT1166" s="80">
        <f>IF(AND(BE1166=1,D1166="proMX"),ROUND(BI1166*CFG_RATE+BJ1166*CFG_OTRATE,6),0)</f>
        <v>0</v>
      </c>
      <c r="BU1166" s="80">
        <f>IF(AND(BD1166=1,D1166="proMX"),ROUND(AG1166/CFG_BLK,6),0)</f>
        <v>0</v>
      </c>
      <c r="BV1166" s="80" t="str">
        <f>IF(BF1166="Approved",IF(ISNUMBER(T1166),INT(T1166),INT(B1166)),"")</f>
        <v/>
      </c>
      <c r="BW1166" s="80">
        <f>IF(ISNUMBER(B1166),IF(DB_MON="Todos",1,IF(AND(INT(B1166)&gt;=DB_MS,INT(B1166)&lt;=DB_ME),1,0)),0)</f>
        <v>0</v>
      </c>
      <c r="BX1166" s="80">
        <f>IF(DB_PROJ="Todos",1,IF(E1166&amp;""=DB_PROJ&amp;"",1,0))</f>
        <v>1</v>
      </c>
      <c r="BY1166" s="80">
        <f>BW1166*BX1166</f>
        <v>0</v>
      </c>
      <c r="BZ1166" s="80" t="str">
        <f>IF(Y1166=1,F1166&amp;IF(AND(F1166&amp;""&lt;&gt;"",E1166&amp;""&lt;&gt;"")," · ","")&amp;E1166,"")</f>
        <v/>
      </c>
      <c r="CA1166" s="80" t="str">
        <f>IF(AND(BD1166=1,E1166&amp;""&lt;&gt;""),IF(COUNTIFS($E$5:E1165,E1166,$BD$5:BD1165,1)=0,MAX($CA$5:CA1165)+1,""),"")</f>
        <v/>
      </c>
      <c r="CB1166" s="80" t="str">
        <f>IF(AND(BE1166=1,D1166="Malcolm",E1166&amp;""&lt;&gt;""),IF(COUNTIFS($D$5:D1165,"Malcolm",$E$5:E1165,E1166,$BE$5:BE1165,1)=0,MAX($CB$5:CB1165)+1,""),"")</f>
        <v/>
      </c>
      <c r="CC1166" s="80" t="str">
        <f>IF(AND(BD1166=1,D1166="proMX",E1166&amp;""&lt;&gt;""),IF(COUNTIFS($D$5:D1165,"proMX",$E$5:E1165,E1166,$BD$5:BD1165,1)=0,MAX($CC$5:CC1165)+1,""),"")</f>
        <v/>
      </c>
      <c r="CD1166" s="80" t="str">
        <f>IF(AND(BE1166=1,D1166="Malcolm",F1166&amp;""&lt;&gt;""),IF(COUNTIFS($D$5:D1165,"Malcolm",$F$5:F1165,F1166,$BE$5:BE1165,1)=0,MAX($CD$5:CD1165)+1,""),"")</f>
        <v/>
      </c>
      <c r="CE1166" s="80" t="str">
        <f>IF(AND(BD1166=1,D1166="proMX",F1166&amp;""&lt;&gt;""),IF(COUNTIFS($D$5:D1165,"proMX",$F$5:F1165,F1166,$BD$5:BD1165,1)=0,MAX($CE$5:CE1165)+1,""),"")</f>
        <v/>
      </c>
      <c r="CF1166" s="80" t="str">
        <f>IF(AND(D1166="proMX",BD1166=1),IF(OR(BF1166="Draft",BF1166="Submitted",BF1166="Returned",BF1166="Recall Requested"),MAX($CF$5:CF1165)+1,""),"")</f>
        <v/>
      </c>
      <c r="CG1166" s="80">
        <f>IF(BD1166=0,0,IF(D1166="Malcolm",1,MATCH(BF1166,{"Draft","Submitted","Approved","Returned","Recall Requested","Cancelled"},0)+1))</f>
        <v>0</v>
      </c>
      <c r="CH1166" s="80">
        <f>IF(AND(BF1166="Submitted",ISNUMBER(V1166)),IF(V1166&gt;CFG_MAXD,1,0),0)</f>
        <v>0</v>
      </c>
    </row>
    <row r="1167">
      <c r="A1167" s="71" t="str">
        <f>IF(Y1167=1,ROW()-5,"")</f>
        <v/>
      </c>
      <c r="B1167" s="72" t="n"/>
      <c r="C1167" s="71" t="str">
        <f>IF(ISNUMBER(B1167),CHOOSE(WEEKDAY(B1167,2),"Lun","Mar","Mié","Jue","Vie","Sáb","Dom"),"")</f>
        <v/>
      </c>
      <c r="D1167" s="73" t="n"/>
      <c r="E1167" s="74" t="n"/>
      <c r="F1167" s="74" t="n"/>
      <c r="G1167" s="74" t="n"/>
      <c r="H1167" s="75" t="n"/>
      <c r="I1167" s="75" t="n"/>
      <c r="J1167" s="76" t="n"/>
      <c r="K1167" s="77" t="str">
        <f>IF(AB1167=1,ROUND(AG1167/60,4),"")</f>
        <v/>
      </c>
      <c r="L1167" s="77" t="str">
        <f>IF(BD1167=1,ROUND(AP1167/60,4),"")</f>
        <v/>
      </c>
      <c r="M1167" s="77" t="str">
        <f>IF(BD1167=1,ROUND(AQ1167/60,4),"")</f>
        <v/>
      </c>
      <c r="N1167" s="71" t="str">
        <f>IF(AND(D1167="proMX",AB1167=1),ROUND(AG1167/CFG_BLK,2),"")</f>
        <v/>
      </c>
      <c r="O1167" s="77" t="str">
        <f>IF(D1167="proMX",IF(BD1167=1,ROUND(AG1167/60,4),0),"")</f>
        <v/>
      </c>
      <c r="P1167" s="78" t="str">
        <f>IF(Y1167=0,"",IF(BD1167=1,"OK",IF(D1167="proMX","Revisar bloques: ","Revisar: ")&amp;BC1167))</f>
        <v/>
      </c>
      <c r="Q1167" s="78" t="str">
        <f>IF(NOT(ISNUMBER(B1167)),"",IF(COUNTIFS(FER_F,INT(B1167))&gt;0,"Feriado"&amp;IF(AH1167=1," (laborable)"," (no laborable)"),IF(AH1167=1,"Laborable",IF(WEEKDAY(B1167,2)&gt;5,"Fin de semana","No laborable"))))</f>
        <v/>
      </c>
      <c r="R1167" s="73" t="n"/>
      <c r="S1167" s="72" t="n"/>
      <c r="T1167" s="72" t="n"/>
      <c r="U1167" s="74" t="n"/>
      <c r="V1167" s="79" t="str">
        <f>IF(AND(D1167="proMX",OR(R1167="Submitted",R1167="Recall Requested"),ISNUMBER(S1167)),CFG_TODAY-INT(S1167),"")</f>
        <v/>
      </c>
      <c r="W1167" s="78" t="str">
        <f>IF(BD1167=0,"",IF(BA1167&gt;0,"⚠ Se superpone con un registro de la otra empresa",IF(D1167="Malcolm",IF(COUNTA(R1167,S1167,T1167)&gt;0,"Estado/fechas proMX se ignoran en Malcolm",""),IF(BF1167="Cancelled","Cancelado: excluido de totales",IF(R1167="","Sin estado: se trata como Draft",IF(BF1167="Submitted",IF(ISNUMBER(V1167),IF(V1167&gt;CFG_MAXD,"⚠ "&amp;V1167&amp;" días en Submitted (máx. "&amp;CFG_MAXD&amp;")",""),"Falta fecha de envío"),IF(BF1167="Returned","⚠ Devuelto: corregir y reenviar",IF(BF1167="Recall Requested","Retirada solicitada: pendiente",IF(AND(BF1167="Approved",NOT(ISNUMBER(T1167))),"Falta fecha de aprobación",IF(AND(ISNUMBER(S1167),ISNUMBER(T1167),T1167&lt;S1167),"Aprobación anterior al envío","")))))))))</f>
        <v/>
      </c>
      <c r="Y1167" s="80">
        <f>IF(COUNTA(B1167,D1167,E1167,F1167,G1167,H1167,I1167,J1167,R1167,S1167,T1167)&gt;0,1,0)</f>
        <v>0</v>
      </c>
      <c r="Z1167" s="80" t="str">
        <f>IF(AND(ISNUMBER(H1167),H1167&gt;=0,H1167&lt;1),ROUND(H1167*1440,0),"")</f>
        <v/>
      </c>
      <c r="AA1167" s="80" t="str">
        <f>IF(AND(ISNUMBER(I1167),I1167&gt;=0,I1167&lt;1),ROUND(I1167*1440,0),"")</f>
        <v/>
      </c>
      <c r="AB1167" s="80">
        <f>IF(AND(ISNUMBER(B1167),D1167&lt;&gt;"",ISNUMBER(Z1167),ISNUMBER(AA1167)),IF(Z1167=AA1167,0,1),0)</f>
        <v>0</v>
      </c>
      <c r="AC1167" s="80">
        <f>IF(AB1167=1,IF(AA1167&lt;Z1167,1,0),0)</f>
        <v>0</v>
      </c>
      <c r="AD1167" s="80">
        <f>IF(AB1167=1,IF(AC1167=1,1440-Z1167+AA1167,AA1167-Z1167),0)</f>
        <v>0</v>
      </c>
      <c r="AE1167" s="80">
        <f>IF(J1167="",0,IF(ISNUMBER(J1167),J1167,-1))</f>
        <v>0</v>
      </c>
      <c r="AF1167" s="80">
        <f>MIN(MAX(0,AE1167),AD1167)</f>
        <v>0</v>
      </c>
      <c r="AG1167" s="80">
        <f>MAX(0,AD1167-MAX(0,AE1167))</f>
        <v>0</v>
      </c>
      <c r="AH1167" s="80">
        <f>IF(ISNUMBER(B1167),IF(AND(INDEX(CFG_WDAYS,WEEKDAY(INT(B1167),2))="Sí",IF(D1167="proMX",COUNTIFS(FER_F,INT(B1167),FER_NLP,"Sí"),COUNTIFS(FER_F,INT(B1167),FER_NLM,"Sí"))=0),1,0),0)</f>
        <v>0</v>
      </c>
      <c r="AI1167" s="80">
        <f>IF(AC1167=1,IF(AND(INDEX(CFG_WDAYS,WEEKDAY(INT(B1167)+1,2))="Sí",IF(D1167="proMX",COUNTIFS(FER_F,INT(B1167)+1,FER_NLP,"Sí"),COUNTIFS(FER_F,INT(B1167)+1,FER_NLM,"Sí"))=0),1,0),0)</f>
        <v>0</v>
      </c>
      <c r="AJ1167" s="80">
        <f>IF(AC1167=1,1440-Z1167,AD1167)</f>
        <v>0</v>
      </c>
      <c r="AK1167" s="80">
        <f>IF(AND(AB1167=1,AH1167=1),MAX(0,MIN(IF(AC1167=1,1440,AA1167),CFG_WEM)-MAX(Z1167,CFG_WSM)),0)</f>
        <v>0</v>
      </c>
      <c r="AL1167" s="80">
        <f>IF(AND(AC1167=1,AI1167=1),MAX(0,MIN(AA1167,CFG_WEM)-CFG_WSM),0)</f>
        <v>0</v>
      </c>
      <c r="AM1167" s="80">
        <f>AK1167+AL1167</f>
        <v>0</v>
      </c>
      <c r="AN1167" s="80">
        <f>IF(CFG_BRK="Proporcional",IF(AD1167=0,0,AF1167*AM1167/AD1167),IF(CFG_BRK="Extras primero",MIN(AM1167,MAX(0,AF1167-(AD1167-AM1167))),MIN(AF1167,AM1167)))</f>
        <v>0</v>
      </c>
      <c r="AO1167" s="80">
        <f>AF1167-AN1167</f>
        <v>0</v>
      </c>
      <c r="AP1167" s="80">
        <f>AM1167-AN1167</f>
        <v>0</v>
      </c>
      <c r="AQ1167" s="80">
        <f>AD1167-AM1167-AO1167</f>
        <v>0</v>
      </c>
      <c r="AR1167" s="80">
        <f>IF(AM1167=0,0,AK1167-AN1167*AK1167/AM1167)</f>
        <v>0</v>
      </c>
      <c r="AS1167" s="80">
        <f>IF(AD1167-AM1167=0,0,(AJ1167-AK1167)-AO1167*(AJ1167-AK1167)/(AD1167-AM1167))</f>
        <v>0</v>
      </c>
      <c r="AT1167" s="80" t="str">
        <f>IF(AC1167=1,INT(B1167)+1,"")</f>
        <v/>
      </c>
      <c r="AU1167" s="80">
        <f>IF(AND(D1167="proMX",R1167="Cancelled"),0,1)</f>
        <v>1</v>
      </c>
      <c r="AV1167" s="80">
        <f>IF(AND(AB1167=1,AU1167=1),IF(COUNTIFS($D$5:D1166,D1167,$B$5:B1166,B1167,$Z$5:Z1166,Z1167,$AA$5:AA1166,AA1167,$F$5:F1166,F1167&amp;"",$AU$5:AU1166,1)&gt;0,1,0),0)</f>
        <v>0</v>
      </c>
      <c r="AW1167" s="80" t="str">
        <f>IF(AB1167=1,INT(B1167)*1440+Z1167,"")</f>
        <v/>
      </c>
      <c r="AX1167" s="80" t="str">
        <f>IF(AB1167=1,AW1167+AD1167,"")</f>
        <v/>
      </c>
      <c r="AY1167" s="80">
        <f>IF(AND(AB1167=1,AV1167=0,AU1167=1),1,0)</f>
        <v>0</v>
      </c>
      <c r="AZ1167" s="80">
        <f>IF(AY1167=1,COUNTIFS(R_Emp,D1167,R_SAbs,"&lt;"&amp;AX1167,R_EAbs,"&gt;"&amp;AW1167,R_OKey,1)-1,0)</f>
        <v>0</v>
      </c>
      <c r="BA1167" s="80">
        <f>IF(AY1167=1,COUNTIFS(R_Emp,"&lt;&gt;"&amp;D1167,R_SAbs,"&lt;"&amp;AX1167,R_EAbs,"&gt;"&amp;AW1167,R_OKey,1),0)</f>
        <v>0</v>
      </c>
      <c r="BB1167" s="80">
        <f>IF(AND(AB1167=1,D1167="proMX"),IF(AND(MOD(Z1167,CFG_BLK)=0,MOD(AA1167,CFG_BLK)=0,MOD(AG1167,CFG_BLK)=0,AG1167&gt;0),1,0),1)</f>
        <v>1</v>
      </c>
      <c r="BC1167" s="80" t="str">
        <f>IF(Y1167=0,"",IF(NOT(ISNUMBER(B1167)),"Falta fecha o fecha inválida",IF(D1167="","Falta empresa",IF(AND(D1167&lt;&gt;"Malcolm",D1167&lt;&gt;"proMX"),"Empresa inválida",IF(OR(INT(B1167)&lt;CFG_PSTART,INT(B1167)&gt;CFG_PEND),"Fecha fuera del período",IF(OR(NOT(ISNUMBER(Z1167)),NOT(ISNUMBER(AA1167))),"Falta hora inicio/fin o formato inválido",IF(AB1167=0,"Hora inicio = hora fin",IF(AE1167&lt;0,"Descanso inválido",IF(AE1167&gt;=AD1167,"Descanso ≥ duración",IF(AV1167=1,"Registro duplicado",IF(AZ1167&gt;0,"Se superpone con otro registro "&amp;D1167,IF(BB1167=0,"inicio, fin y duración neta deben ser múltiplos de "&amp;CFG_BLK&amp;" min",""))))))))))))</f>
        <v/>
      </c>
      <c r="BD1167" s="80">
        <f>IF(AND(Y1167=1,BC1167=""),1,0)</f>
        <v>0</v>
      </c>
      <c r="BE1167" s="80">
        <f>IF(AND(BD1167=1,AU1167=1),1,0)</f>
        <v>0</v>
      </c>
      <c r="BF1167" s="80" t="str">
        <f>IF(AND(D1167="proMX",BD1167=1),IF(R1167="","Draft",R1167),"")</f>
        <v/>
      </c>
      <c r="BG1167" s="80">
        <f>IF(BD1167=1,ROUND(AG1167/60,6),0)</f>
        <v>0</v>
      </c>
      <c r="BH1167" s="80">
        <f>IF(BE1167=1,ROUND(AG1167/60,6),0)</f>
        <v>0</v>
      </c>
      <c r="BI1167" s="80">
        <f>IF(BE1167=1,ROUND(AP1167/60,6),0)</f>
        <v>0</v>
      </c>
      <c r="BJ1167" s="80">
        <f>IF(BE1167=1,ROUND(AQ1167/60,6),0)</f>
        <v>0</v>
      </c>
      <c r="BK1167" s="80">
        <f>IF(BE1167=1,ROUND((AR1167+AS1167)/60,6),0)</f>
        <v>0</v>
      </c>
      <c r="BL1167" s="80">
        <f>ROUND(BH1167-BK1167,6)</f>
        <v>0</v>
      </c>
      <c r="BM1167" s="80">
        <f>IF(BE1167=1,ROUND(AR1167/60,6),0)</f>
        <v>0</v>
      </c>
      <c r="BN1167" s="80">
        <f>ROUND(BI1167-BM1167,6)</f>
        <v>0</v>
      </c>
      <c r="BO1167" s="80">
        <f>IF(BE1167=1,ROUND(AS1167/60,6),0)</f>
        <v>0</v>
      </c>
      <c r="BP1167" s="80">
        <f>ROUND(BJ1167-BO1167,6)</f>
        <v>0</v>
      </c>
      <c r="BQ1167" s="80">
        <f>IF(BE1167=1,AW1167,0)</f>
        <v>0</v>
      </c>
      <c r="BR1167" s="80">
        <f>IF(BE1167=1,AX1167,0)</f>
        <v>0</v>
      </c>
      <c r="BS1167" s="80">
        <f>IF(AND(BE1167=1,D1167="Malcolm",BA1167&gt;0),MIN(BH1167,SUMPRODUCT((R_Emp="proMX")*(R_EN&gt;0)*((R_EN-(R_EN&gt;BR1167)*(R_EN-BR1167))&gt;(R_SN+(R_SN&lt;BQ1167)*(BQ1167-R_SN)))*((R_EN-(R_EN&gt;BR1167)*(R_EN-BR1167))-(R_SN+(R_SN&lt;BQ1167)*(BQ1167-R_SN))))/60),0)</f>
        <v>0</v>
      </c>
      <c r="BT1167" s="80">
        <f>IF(AND(BE1167=1,D1167="proMX"),ROUND(BI1167*CFG_RATE+BJ1167*CFG_OTRATE,6),0)</f>
        <v>0</v>
      </c>
      <c r="BU1167" s="80">
        <f>IF(AND(BD1167=1,D1167="proMX"),ROUND(AG1167/CFG_BLK,6),0)</f>
        <v>0</v>
      </c>
      <c r="BV1167" s="80" t="str">
        <f>IF(BF1167="Approved",IF(ISNUMBER(T1167),INT(T1167),INT(B1167)),"")</f>
        <v/>
      </c>
      <c r="BW1167" s="80">
        <f>IF(ISNUMBER(B1167),IF(DB_MON="Todos",1,IF(AND(INT(B1167)&gt;=DB_MS,INT(B1167)&lt;=DB_ME),1,0)),0)</f>
        <v>0</v>
      </c>
      <c r="BX1167" s="80">
        <f>IF(DB_PROJ="Todos",1,IF(E1167&amp;""=DB_PROJ&amp;"",1,0))</f>
        <v>1</v>
      </c>
      <c r="BY1167" s="80">
        <f>BW1167*BX1167</f>
        <v>0</v>
      </c>
      <c r="BZ1167" s="80" t="str">
        <f>IF(Y1167=1,F1167&amp;IF(AND(F1167&amp;""&lt;&gt;"",E1167&amp;""&lt;&gt;"")," · ","")&amp;E1167,"")</f>
        <v/>
      </c>
      <c r="CA1167" s="80" t="str">
        <f>IF(AND(BD1167=1,E1167&amp;""&lt;&gt;""),IF(COUNTIFS($E$5:E1166,E1167,$BD$5:BD1166,1)=0,MAX($CA$5:CA1166)+1,""),"")</f>
        <v/>
      </c>
      <c r="CB1167" s="80" t="str">
        <f>IF(AND(BE1167=1,D1167="Malcolm",E1167&amp;""&lt;&gt;""),IF(COUNTIFS($D$5:D1166,"Malcolm",$E$5:E1166,E1167,$BE$5:BE1166,1)=0,MAX($CB$5:CB1166)+1,""),"")</f>
        <v/>
      </c>
      <c r="CC1167" s="80" t="str">
        <f>IF(AND(BD1167=1,D1167="proMX",E1167&amp;""&lt;&gt;""),IF(COUNTIFS($D$5:D1166,"proMX",$E$5:E1166,E1167,$BD$5:BD1166,1)=0,MAX($CC$5:CC1166)+1,""),"")</f>
        <v/>
      </c>
      <c r="CD1167" s="80" t="str">
        <f>IF(AND(BE1167=1,D1167="Malcolm",F1167&amp;""&lt;&gt;""),IF(COUNTIFS($D$5:D1166,"Malcolm",$F$5:F1166,F1167,$BE$5:BE1166,1)=0,MAX($CD$5:CD1166)+1,""),"")</f>
        <v/>
      </c>
      <c r="CE1167" s="80" t="str">
        <f>IF(AND(BD1167=1,D1167="proMX",F1167&amp;""&lt;&gt;""),IF(COUNTIFS($D$5:D1166,"proMX",$F$5:F1166,F1167,$BD$5:BD1166,1)=0,MAX($CE$5:CE1166)+1,""),"")</f>
        <v/>
      </c>
      <c r="CF1167" s="80" t="str">
        <f>IF(AND(D1167="proMX",BD1167=1),IF(OR(BF1167="Draft",BF1167="Submitted",BF1167="Returned",BF1167="Recall Requested"),MAX($CF$5:CF1166)+1,""),"")</f>
        <v/>
      </c>
      <c r="CG1167" s="80">
        <f>IF(BD1167=0,0,IF(D1167="Malcolm",1,MATCH(BF1167,{"Draft","Submitted","Approved","Returned","Recall Requested","Cancelled"},0)+1))</f>
        <v>0</v>
      </c>
      <c r="CH1167" s="80">
        <f>IF(AND(BF1167="Submitted",ISNUMBER(V1167)),IF(V1167&gt;CFG_MAXD,1,0),0)</f>
        <v>0</v>
      </c>
    </row>
    <row r="1168">
      <c r="A1168" s="71" t="str">
        <f>IF(Y1168=1,ROW()-5,"")</f>
        <v/>
      </c>
      <c r="B1168" s="72" t="n"/>
      <c r="C1168" s="71" t="str">
        <f>IF(ISNUMBER(B1168),CHOOSE(WEEKDAY(B1168,2),"Lun","Mar","Mié","Jue","Vie","Sáb","Dom"),"")</f>
        <v/>
      </c>
      <c r="D1168" s="73" t="n"/>
      <c r="E1168" s="74" t="n"/>
      <c r="F1168" s="74" t="n"/>
      <c r="G1168" s="74" t="n"/>
      <c r="H1168" s="75" t="n"/>
      <c r="I1168" s="75" t="n"/>
      <c r="J1168" s="76" t="n"/>
      <c r="K1168" s="77" t="str">
        <f>IF(AB1168=1,ROUND(AG1168/60,4),"")</f>
        <v/>
      </c>
      <c r="L1168" s="77" t="str">
        <f>IF(BD1168=1,ROUND(AP1168/60,4),"")</f>
        <v/>
      </c>
      <c r="M1168" s="77" t="str">
        <f>IF(BD1168=1,ROUND(AQ1168/60,4),"")</f>
        <v/>
      </c>
      <c r="N1168" s="71" t="str">
        <f>IF(AND(D1168="proMX",AB1168=1),ROUND(AG1168/CFG_BLK,2),"")</f>
        <v/>
      </c>
      <c r="O1168" s="77" t="str">
        <f>IF(D1168="proMX",IF(BD1168=1,ROUND(AG1168/60,4),0),"")</f>
        <v/>
      </c>
      <c r="P1168" s="78" t="str">
        <f>IF(Y1168=0,"",IF(BD1168=1,"OK",IF(D1168="proMX","Revisar bloques: ","Revisar: ")&amp;BC1168))</f>
        <v/>
      </c>
      <c r="Q1168" s="78" t="str">
        <f>IF(NOT(ISNUMBER(B1168)),"",IF(COUNTIFS(FER_F,INT(B1168))&gt;0,"Feriado"&amp;IF(AH1168=1," (laborable)"," (no laborable)"),IF(AH1168=1,"Laborable",IF(WEEKDAY(B1168,2)&gt;5,"Fin de semana","No laborable"))))</f>
        <v/>
      </c>
      <c r="R1168" s="73" t="n"/>
      <c r="S1168" s="72" t="n"/>
      <c r="T1168" s="72" t="n"/>
      <c r="U1168" s="74" t="n"/>
      <c r="V1168" s="79" t="str">
        <f>IF(AND(D1168="proMX",OR(R1168="Submitted",R1168="Recall Requested"),ISNUMBER(S1168)),CFG_TODAY-INT(S1168),"")</f>
        <v/>
      </c>
      <c r="W1168" s="78" t="str">
        <f>IF(BD1168=0,"",IF(BA1168&gt;0,"⚠ Se superpone con un registro de la otra empresa",IF(D1168="Malcolm",IF(COUNTA(R1168,S1168,T1168)&gt;0,"Estado/fechas proMX se ignoran en Malcolm",""),IF(BF1168="Cancelled","Cancelado: excluido de totales",IF(R1168="","Sin estado: se trata como Draft",IF(BF1168="Submitted",IF(ISNUMBER(V1168),IF(V1168&gt;CFG_MAXD,"⚠ "&amp;V1168&amp;" días en Submitted (máx. "&amp;CFG_MAXD&amp;")",""),"Falta fecha de envío"),IF(BF1168="Returned","⚠ Devuelto: corregir y reenviar",IF(BF1168="Recall Requested","Retirada solicitada: pendiente",IF(AND(BF1168="Approved",NOT(ISNUMBER(T1168))),"Falta fecha de aprobación",IF(AND(ISNUMBER(S1168),ISNUMBER(T1168),T1168&lt;S1168),"Aprobación anterior al envío","")))))))))</f>
        <v/>
      </c>
      <c r="Y1168" s="80">
        <f>IF(COUNTA(B1168,D1168,E1168,F1168,G1168,H1168,I1168,J1168,R1168,S1168,T1168)&gt;0,1,0)</f>
        <v>0</v>
      </c>
      <c r="Z1168" s="80" t="str">
        <f>IF(AND(ISNUMBER(H1168),H1168&gt;=0,H1168&lt;1),ROUND(H1168*1440,0),"")</f>
        <v/>
      </c>
      <c r="AA1168" s="80" t="str">
        <f>IF(AND(ISNUMBER(I1168),I1168&gt;=0,I1168&lt;1),ROUND(I1168*1440,0),"")</f>
        <v/>
      </c>
      <c r="AB1168" s="80">
        <f>IF(AND(ISNUMBER(B1168),D1168&lt;&gt;"",ISNUMBER(Z1168),ISNUMBER(AA1168)),IF(Z1168=AA1168,0,1),0)</f>
        <v>0</v>
      </c>
      <c r="AC1168" s="80">
        <f>IF(AB1168=1,IF(AA1168&lt;Z1168,1,0),0)</f>
        <v>0</v>
      </c>
      <c r="AD1168" s="80">
        <f>IF(AB1168=1,IF(AC1168=1,1440-Z1168+AA1168,AA1168-Z1168),0)</f>
        <v>0</v>
      </c>
      <c r="AE1168" s="80">
        <f>IF(J1168="",0,IF(ISNUMBER(J1168),J1168,-1))</f>
        <v>0</v>
      </c>
      <c r="AF1168" s="80">
        <f>MIN(MAX(0,AE1168),AD1168)</f>
        <v>0</v>
      </c>
      <c r="AG1168" s="80">
        <f>MAX(0,AD1168-MAX(0,AE1168))</f>
        <v>0</v>
      </c>
      <c r="AH1168" s="80">
        <f>IF(ISNUMBER(B1168),IF(AND(INDEX(CFG_WDAYS,WEEKDAY(INT(B1168),2))="Sí",IF(D1168="proMX",COUNTIFS(FER_F,INT(B1168),FER_NLP,"Sí"),COUNTIFS(FER_F,INT(B1168),FER_NLM,"Sí"))=0),1,0),0)</f>
        <v>0</v>
      </c>
      <c r="AI1168" s="80">
        <f>IF(AC1168=1,IF(AND(INDEX(CFG_WDAYS,WEEKDAY(INT(B1168)+1,2))="Sí",IF(D1168="proMX",COUNTIFS(FER_F,INT(B1168)+1,FER_NLP,"Sí"),COUNTIFS(FER_F,INT(B1168)+1,FER_NLM,"Sí"))=0),1,0),0)</f>
        <v>0</v>
      </c>
      <c r="AJ1168" s="80">
        <f>IF(AC1168=1,1440-Z1168,AD1168)</f>
        <v>0</v>
      </c>
      <c r="AK1168" s="80">
        <f>IF(AND(AB1168=1,AH1168=1),MAX(0,MIN(IF(AC1168=1,1440,AA1168),CFG_WEM)-MAX(Z1168,CFG_WSM)),0)</f>
        <v>0</v>
      </c>
      <c r="AL1168" s="80">
        <f>IF(AND(AC1168=1,AI1168=1),MAX(0,MIN(AA1168,CFG_WEM)-CFG_WSM),0)</f>
        <v>0</v>
      </c>
      <c r="AM1168" s="80">
        <f>AK1168+AL1168</f>
        <v>0</v>
      </c>
      <c r="AN1168" s="80">
        <f>IF(CFG_BRK="Proporcional",IF(AD1168=0,0,AF1168*AM1168/AD1168),IF(CFG_BRK="Extras primero",MIN(AM1168,MAX(0,AF1168-(AD1168-AM1168))),MIN(AF1168,AM1168)))</f>
        <v>0</v>
      </c>
      <c r="AO1168" s="80">
        <f>AF1168-AN1168</f>
        <v>0</v>
      </c>
      <c r="AP1168" s="80">
        <f>AM1168-AN1168</f>
        <v>0</v>
      </c>
      <c r="AQ1168" s="80">
        <f>AD1168-AM1168-AO1168</f>
        <v>0</v>
      </c>
      <c r="AR1168" s="80">
        <f>IF(AM1168=0,0,AK1168-AN1168*AK1168/AM1168)</f>
        <v>0</v>
      </c>
      <c r="AS1168" s="80">
        <f>IF(AD1168-AM1168=0,0,(AJ1168-AK1168)-AO1168*(AJ1168-AK1168)/(AD1168-AM1168))</f>
        <v>0</v>
      </c>
      <c r="AT1168" s="80" t="str">
        <f>IF(AC1168=1,INT(B1168)+1,"")</f>
        <v/>
      </c>
      <c r="AU1168" s="80">
        <f>IF(AND(D1168="proMX",R1168="Cancelled"),0,1)</f>
        <v>1</v>
      </c>
      <c r="AV1168" s="80">
        <f>IF(AND(AB1168=1,AU1168=1),IF(COUNTIFS($D$5:D1167,D1168,$B$5:B1167,B1168,$Z$5:Z1167,Z1168,$AA$5:AA1167,AA1168,$F$5:F1167,F1168&amp;"",$AU$5:AU1167,1)&gt;0,1,0),0)</f>
        <v>0</v>
      </c>
      <c r="AW1168" s="80" t="str">
        <f>IF(AB1168=1,INT(B1168)*1440+Z1168,"")</f>
        <v/>
      </c>
      <c r="AX1168" s="80" t="str">
        <f>IF(AB1168=1,AW1168+AD1168,"")</f>
        <v/>
      </c>
      <c r="AY1168" s="80">
        <f>IF(AND(AB1168=1,AV1168=0,AU1168=1),1,0)</f>
        <v>0</v>
      </c>
      <c r="AZ1168" s="80">
        <f>IF(AY1168=1,COUNTIFS(R_Emp,D1168,R_SAbs,"&lt;"&amp;AX1168,R_EAbs,"&gt;"&amp;AW1168,R_OKey,1)-1,0)</f>
        <v>0</v>
      </c>
      <c r="BA1168" s="80">
        <f>IF(AY1168=1,COUNTIFS(R_Emp,"&lt;&gt;"&amp;D1168,R_SAbs,"&lt;"&amp;AX1168,R_EAbs,"&gt;"&amp;AW1168,R_OKey,1),0)</f>
        <v>0</v>
      </c>
      <c r="BB1168" s="80">
        <f>IF(AND(AB1168=1,D1168="proMX"),IF(AND(MOD(Z1168,CFG_BLK)=0,MOD(AA1168,CFG_BLK)=0,MOD(AG1168,CFG_BLK)=0,AG1168&gt;0),1,0),1)</f>
        <v>1</v>
      </c>
      <c r="BC1168" s="80" t="str">
        <f>IF(Y1168=0,"",IF(NOT(ISNUMBER(B1168)),"Falta fecha o fecha inválida",IF(D1168="","Falta empresa",IF(AND(D1168&lt;&gt;"Malcolm",D1168&lt;&gt;"proMX"),"Empresa inválida",IF(OR(INT(B1168)&lt;CFG_PSTART,INT(B1168)&gt;CFG_PEND),"Fecha fuera del período",IF(OR(NOT(ISNUMBER(Z1168)),NOT(ISNUMBER(AA1168))),"Falta hora inicio/fin o formato inválido",IF(AB1168=0,"Hora inicio = hora fin",IF(AE1168&lt;0,"Descanso inválido",IF(AE1168&gt;=AD1168,"Descanso ≥ duración",IF(AV1168=1,"Registro duplicado",IF(AZ1168&gt;0,"Se superpone con otro registro "&amp;D1168,IF(BB1168=0,"inicio, fin y duración neta deben ser múltiplos de "&amp;CFG_BLK&amp;" min",""))))))))))))</f>
        <v/>
      </c>
      <c r="BD1168" s="80">
        <f>IF(AND(Y1168=1,BC1168=""),1,0)</f>
        <v>0</v>
      </c>
      <c r="BE1168" s="80">
        <f>IF(AND(BD1168=1,AU1168=1),1,0)</f>
        <v>0</v>
      </c>
      <c r="BF1168" s="80" t="str">
        <f>IF(AND(D1168="proMX",BD1168=1),IF(R1168="","Draft",R1168),"")</f>
        <v/>
      </c>
      <c r="BG1168" s="80">
        <f>IF(BD1168=1,ROUND(AG1168/60,6),0)</f>
        <v>0</v>
      </c>
      <c r="BH1168" s="80">
        <f>IF(BE1168=1,ROUND(AG1168/60,6),0)</f>
        <v>0</v>
      </c>
      <c r="BI1168" s="80">
        <f>IF(BE1168=1,ROUND(AP1168/60,6),0)</f>
        <v>0</v>
      </c>
      <c r="BJ1168" s="80">
        <f>IF(BE1168=1,ROUND(AQ1168/60,6),0)</f>
        <v>0</v>
      </c>
      <c r="BK1168" s="80">
        <f>IF(BE1168=1,ROUND((AR1168+AS1168)/60,6),0)</f>
        <v>0</v>
      </c>
      <c r="BL1168" s="80">
        <f>ROUND(BH1168-BK1168,6)</f>
        <v>0</v>
      </c>
      <c r="BM1168" s="80">
        <f>IF(BE1168=1,ROUND(AR1168/60,6),0)</f>
        <v>0</v>
      </c>
      <c r="BN1168" s="80">
        <f>ROUND(BI1168-BM1168,6)</f>
        <v>0</v>
      </c>
      <c r="BO1168" s="80">
        <f>IF(BE1168=1,ROUND(AS1168/60,6),0)</f>
        <v>0</v>
      </c>
      <c r="BP1168" s="80">
        <f>ROUND(BJ1168-BO1168,6)</f>
        <v>0</v>
      </c>
      <c r="BQ1168" s="80">
        <f>IF(BE1168=1,AW1168,0)</f>
        <v>0</v>
      </c>
      <c r="BR1168" s="80">
        <f>IF(BE1168=1,AX1168,0)</f>
        <v>0</v>
      </c>
      <c r="BS1168" s="80">
        <f>IF(AND(BE1168=1,D1168="Malcolm",BA1168&gt;0),MIN(BH1168,SUMPRODUCT((R_Emp="proMX")*(R_EN&gt;0)*((R_EN-(R_EN&gt;BR1168)*(R_EN-BR1168))&gt;(R_SN+(R_SN&lt;BQ1168)*(BQ1168-R_SN)))*((R_EN-(R_EN&gt;BR1168)*(R_EN-BR1168))-(R_SN+(R_SN&lt;BQ1168)*(BQ1168-R_SN))))/60),0)</f>
        <v>0</v>
      </c>
      <c r="BT1168" s="80">
        <f>IF(AND(BE1168=1,D1168="proMX"),ROUND(BI1168*CFG_RATE+BJ1168*CFG_OTRATE,6),0)</f>
        <v>0</v>
      </c>
      <c r="BU1168" s="80">
        <f>IF(AND(BD1168=1,D1168="proMX"),ROUND(AG1168/CFG_BLK,6),0)</f>
        <v>0</v>
      </c>
      <c r="BV1168" s="80" t="str">
        <f>IF(BF1168="Approved",IF(ISNUMBER(T1168),INT(T1168),INT(B1168)),"")</f>
        <v/>
      </c>
      <c r="BW1168" s="80">
        <f>IF(ISNUMBER(B1168),IF(DB_MON="Todos",1,IF(AND(INT(B1168)&gt;=DB_MS,INT(B1168)&lt;=DB_ME),1,0)),0)</f>
        <v>0</v>
      </c>
      <c r="BX1168" s="80">
        <f>IF(DB_PROJ="Todos",1,IF(E1168&amp;""=DB_PROJ&amp;"",1,0))</f>
        <v>1</v>
      </c>
      <c r="BY1168" s="80">
        <f>BW1168*BX1168</f>
        <v>0</v>
      </c>
      <c r="BZ1168" s="80" t="str">
        <f>IF(Y1168=1,F1168&amp;IF(AND(F1168&amp;""&lt;&gt;"",E1168&amp;""&lt;&gt;"")," · ","")&amp;E1168,"")</f>
        <v/>
      </c>
      <c r="CA1168" s="80" t="str">
        <f>IF(AND(BD1168=1,E1168&amp;""&lt;&gt;""),IF(COUNTIFS($E$5:E1167,E1168,$BD$5:BD1167,1)=0,MAX($CA$5:CA1167)+1,""),"")</f>
        <v/>
      </c>
      <c r="CB1168" s="80" t="str">
        <f>IF(AND(BE1168=1,D1168="Malcolm",E1168&amp;""&lt;&gt;""),IF(COUNTIFS($D$5:D1167,"Malcolm",$E$5:E1167,E1168,$BE$5:BE1167,1)=0,MAX($CB$5:CB1167)+1,""),"")</f>
        <v/>
      </c>
      <c r="CC1168" s="80" t="str">
        <f>IF(AND(BD1168=1,D1168="proMX",E1168&amp;""&lt;&gt;""),IF(COUNTIFS($D$5:D1167,"proMX",$E$5:E1167,E1168,$BD$5:BD1167,1)=0,MAX($CC$5:CC1167)+1,""),"")</f>
        <v/>
      </c>
      <c r="CD1168" s="80" t="str">
        <f>IF(AND(BE1168=1,D1168="Malcolm",F1168&amp;""&lt;&gt;""),IF(COUNTIFS($D$5:D1167,"Malcolm",$F$5:F1167,F1168,$BE$5:BE1167,1)=0,MAX($CD$5:CD1167)+1,""),"")</f>
        <v/>
      </c>
      <c r="CE1168" s="80" t="str">
        <f>IF(AND(BD1168=1,D1168="proMX",F1168&amp;""&lt;&gt;""),IF(COUNTIFS($D$5:D1167,"proMX",$F$5:F1167,F1168,$BD$5:BD1167,1)=0,MAX($CE$5:CE1167)+1,""),"")</f>
        <v/>
      </c>
      <c r="CF1168" s="80" t="str">
        <f>IF(AND(D1168="proMX",BD1168=1),IF(OR(BF1168="Draft",BF1168="Submitted",BF1168="Returned",BF1168="Recall Requested"),MAX($CF$5:CF1167)+1,""),"")</f>
        <v/>
      </c>
      <c r="CG1168" s="80">
        <f>IF(BD1168=0,0,IF(D1168="Malcolm",1,MATCH(BF1168,{"Draft","Submitted","Approved","Returned","Recall Requested","Cancelled"},0)+1))</f>
        <v>0</v>
      </c>
      <c r="CH1168" s="80">
        <f>IF(AND(BF1168="Submitted",ISNUMBER(V1168)),IF(V1168&gt;CFG_MAXD,1,0),0)</f>
        <v>0</v>
      </c>
    </row>
    <row r="1169">
      <c r="A1169" s="71" t="str">
        <f>IF(Y1169=1,ROW()-5,"")</f>
        <v/>
      </c>
      <c r="B1169" s="72" t="n"/>
      <c r="C1169" s="71" t="str">
        <f>IF(ISNUMBER(B1169),CHOOSE(WEEKDAY(B1169,2),"Lun","Mar","Mié","Jue","Vie","Sáb","Dom"),"")</f>
        <v/>
      </c>
      <c r="D1169" s="73" t="n"/>
      <c r="E1169" s="74" t="n"/>
      <c r="F1169" s="74" t="n"/>
      <c r="G1169" s="74" t="n"/>
      <c r="H1169" s="75" t="n"/>
      <c r="I1169" s="75" t="n"/>
      <c r="J1169" s="76" t="n"/>
      <c r="K1169" s="77" t="str">
        <f>IF(AB1169=1,ROUND(AG1169/60,4),"")</f>
        <v/>
      </c>
      <c r="L1169" s="77" t="str">
        <f>IF(BD1169=1,ROUND(AP1169/60,4),"")</f>
        <v/>
      </c>
      <c r="M1169" s="77" t="str">
        <f>IF(BD1169=1,ROUND(AQ1169/60,4),"")</f>
        <v/>
      </c>
      <c r="N1169" s="71" t="str">
        <f>IF(AND(D1169="proMX",AB1169=1),ROUND(AG1169/CFG_BLK,2),"")</f>
        <v/>
      </c>
      <c r="O1169" s="77" t="str">
        <f>IF(D1169="proMX",IF(BD1169=1,ROUND(AG1169/60,4),0),"")</f>
        <v/>
      </c>
      <c r="P1169" s="78" t="str">
        <f>IF(Y1169=0,"",IF(BD1169=1,"OK",IF(D1169="proMX","Revisar bloques: ","Revisar: ")&amp;BC1169))</f>
        <v/>
      </c>
      <c r="Q1169" s="78" t="str">
        <f>IF(NOT(ISNUMBER(B1169)),"",IF(COUNTIFS(FER_F,INT(B1169))&gt;0,"Feriado"&amp;IF(AH1169=1," (laborable)"," (no laborable)"),IF(AH1169=1,"Laborable",IF(WEEKDAY(B1169,2)&gt;5,"Fin de semana","No laborable"))))</f>
        <v/>
      </c>
      <c r="R1169" s="73" t="n"/>
      <c r="S1169" s="72" t="n"/>
      <c r="T1169" s="72" t="n"/>
      <c r="U1169" s="74" t="n"/>
      <c r="V1169" s="79" t="str">
        <f>IF(AND(D1169="proMX",OR(R1169="Submitted",R1169="Recall Requested"),ISNUMBER(S1169)),CFG_TODAY-INT(S1169),"")</f>
        <v/>
      </c>
      <c r="W1169" s="78" t="str">
        <f>IF(BD1169=0,"",IF(BA1169&gt;0,"⚠ Se superpone con un registro de la otra empresa",IF(D1169="Malcolm",IF(COUNTA(R1169,S1169,T1169)&gt;0,"Estado/fechas proMX se ignoran en Malcolm",""),IF(BF1169="Cancelled","Cancelado: excluido de totales",IF(R1169="","Sin estado: se trata como Draft",IF(BF1169="Submitted",IF(ISNUMBER(V1169),IF(V1169&gt;CFG_MAXD,"⚠ "&amp;V1169&amp;" días en Submitted (máx. "&amp;CFG_MAXD&amp;")",""),"Falta fecha de envío"),IF(BF1169="Returned","⚠ Devuelto: corregir y reenviar",IF(BF1169="Recall Requested","Retirada solicitada: pendiente",IF(AND(BF1169="Approved",NOT(ISNUMBER(T1169))),"Falta fecha de aprobación",IF(AND(ISNUMBER(S1169),ISNUMBER(T1169),T1169&lt;S1169),"Aprobación anterior al envío","")))))))))</f>
        <v/>
      </c>
      <c r="Y1169" s="80">
        <f>IF(COUNTA(B1169,D1169,E1169,F1169,G1169,H1169,I1169,J1169,R1169,S1169,T1169)&gt;0,1,0)</f>
        <v>0</v>
      </c>
      <c r="Z1169" s="80" t="str">
        <f>IF(AND(ISNUMBER(H1169),H1169&gt;=0,H1169&lt;1),ROUND(H1169*1440,0),"")</f>
        <v/>
      </c>
      <c r="AA1169" s="80" t="str">
        <f>IF(AND(ISNUMBER(I1169),I1169&gt;=0,I1169&lt;1),ROUND(I1169*1440,0),"")</f>
        <v/>
      </c>
      <c r="AB1169" s="80">
        <f>IF(AND(ISNUMBER(B1169),D1169&lt;&gt;"",ISNUMBER(Z1169),ISNUMBER(AA1169)),IF(Z1169=AA1169,0,1),0)</f>
        <v>0</v>
      </c>
      <c r="AC1169" s="80">
        <f>IF(AB1169=1,IF(AA1169&lt;Z1169,1,0),0)</f>
        <v>0</v>
      </c>
      <c r="AD1169" s="80">
        <f>IF(AB1169=1,IF(AC1169=1,1440-Z1169+AA1169,AA1169-Z1169),0)</f>
        <v>0</v>
      </c>
      <c r="AE1169" s="80">
        <f>IF(J1169="",0,IF(ISNUMBER(J1169),J1169,-1))</f>
        <v>0</v>
      </c>
      <c r="AF1169" s="80">
        <f>MIN(MAX(0,AE1169),AD1169)</f>
        <v>0</v>
      </c>
      <c r="AG1169" s="80">
        <f>MAX(0,AD1169-MAX(0,AE1169))</f>
        <v>0</v>
      </c>
      <c r="AH1169" s="80">
        <f>IF(ISNUMBER(B1169),IF(AND(INDEX(CFG_WDAYS,WEEKDAY(INT(B1169),2))="Sí",IF(D1169="proMX",COUNTIFS(FER_F,INT(B1169),FER_NLP,"Sí"),COUNTIFS(FER_F,INT(B1169),FER_NLM,"Sí"))=0),1,0),0)</f>
        <v>0</v>
      </c>
      <c r="AI1169" s="80">
        <f>IF(AC1169=1,IF(AND(INDEX(CFG_WDAYS,WEEKDAY(INT(B1169)+1,2))="Sí",IF(D1169="proMX",COUNTIFS(FER_F,INT(B1169)+1,FER_NLP,"Sí"),COUNTIFS(FER_F,INT(B1169)+1,FER_NLM,"Sí"))=0),1,0),0)</f>
        <v>0</v>
      </c>
      <c r="AJ1169" s="80">
        <f>IF(AC1169=1,1440-Z1169,AD1169)</f>
        <v>0</v>
      </c>
      <c r="AK1169" s="80">
        <f>IF(AND(AB1169=1,AH1169=1),MAX(0,MIN(IF(AC1169=1,1440,AA1169),CFG_WEM)-MAX(Z1169,CFG_WSM)),0)</f>
        <v>0</v>
      </c>
      <c r="AL1169" s="80">
        <f>IF(AND(AC1169=1,AI1169=1),MAX(0,MIN(AA1169,CFG_WEM)-CFG_WSM),0)</f>
        <v>0</v>
      </c>
      <c r="AM1169" s="80">
        <f>AK1169+AL1169</f>
        <v>0</v>
      </c>
      <c r="AN1169" s="80">
        <f>IF(CFG_BRK="Proporcional",IF(AD1169=0,0,AF1169*AM1169/AD1169),IF(CFG_BRK="Extras primero",MIN(AM1169,MAX(0,AF1169-(AD1169-AM1169))),MIN(AF1169,AM1169)))</f>
        <v>0</v>
      </c>
      <c r="AO1169" s="80">
        <f>AF1169-AN1169</f>
        <v>0</v>
      </c>
      <c r="AP1169" s="80">
        <f>AM1169-AN1169</f>
        <v>0</v>
      </c>
      <c r="AQ1169" s="80">
        <f>AD1169-AM1169-AO1169</f>
        <v>0</v>
      </c>
      <c r="AR1169" s="80">
        <f>IF(AM1169=0,0,AK1169-AN1169*AK1169/AM1169)</f>
        <v>0</v>
      </c>
      <c r="AS1169" s="80">
        <f>IF(AD1169-AM1169=0,0,(AJ1169-AK1169)-AO1169*(AJ1169-AK1169)/(AD1169-AM1169))</f>
        <v>0</v>
      </c>
      <c r="AT1169" s="80" t="str">
        <f>IF(AC1169=1,INT(B1169)+1,"")</f>
        <v/>
      </c>
      <c r="AU1169" s="80">
        <f>IF(AND(D1169="proMX",R1169="Cancelled"),0,1)</f>
        <v>1</v>
      </c>
      <c r="AV1169" s="80">
        <f>IF(AND(AB1169=1,AU1169=1),IF(COUNTIFS($D$5:D1168,D1169,$B$5:B1168,B1169,$Z$5:Z1168,Z1169,$AA$5:AA1168,AA1169,$F$5:F1168,F1169&amp;"",$AU$5:AU1168,1)&gt;0,1,0),0)</f>
        <v>0</v>
      </c>
      <c r="AW1169" s="80" t="str">
        <f>IF(AB1169=1,INT(B1169)*1440+Z1169,"")</f>
        <v/>
      </c>
      <c r="AX1169" s="80" t="str">
        <f>IF(AB1169=1,AW1169+AD1169,"")</f>
        <v/>
      </c>
      <c r="AY1169" s="80">
        <f>IF(AND(AB1169=1,AV1169=0,AU1169=1),1,0)</f>
        <v>0</v>
      </c>
      <c r="AZ1169" s="80">
        <f>IF(AY1169=1,COUNTIFS(R_Emp,D1169,R_SAbs,"&lt;"&amp;AX1169,R_EAbs,"&gt;"&amp;AW1169,R_OKey,1)-1,0)</f>
        <v>0</v>
      </c>
      <c r="BA1169" s="80">
        <f>IF(AY1169=1,COUNTIFS(R_Emp,"&lt;&gt;"&amp;D1169,R_SAbs,"&lt;"&amp;AX1169,R_EAbs,"&gt;"&amp;AW1169,R_OKey,1),0)</f>
        <v>0</v>
      </c>
      <c r="BB1169" s="80">
        <f>IF(AND(AB1169=1,D1169="proMX"),IF(AND(MOD(Z1169,CFG_BLK)=0,MOD(AA1169,CFG_BLK)=0,MOD(AG1169,CFG_BLK)=0,AG1169&gt;0),1,0),1)</f>
        <v>1</v>
      </c>
      <c r="BC1169" s="80" t="str">
        <f>IF(Y1169=0,"",IF(NOT(ISNUMBER(B1169)),"Falta fecha o fecha inválida",IF(D1169="","Falta empresa",IF(AND(D1169&lt;&gt;"Malcolm",D1169&lt;&gt;"proMX"),"Empresa inválida",IF(OR(INT(B1169)&lt;CFG_PSTART,INT(B1169)&gt;CFG_PEND),"Fecha fuera del período",IF(OR(NOT(ISNUMBER(Z1169)),NOT(ISNUMBER(AA1169))),"Falta hora inicio/fin o formato inválido",IF(AB1169=0,"Hora inicio = hora fin",IF(AE1169&lt;0,"Descanso inválido",IF(AE1169&gt;=AD1169,"Descanso ≥ duración",IF(AV1169=1,"Registro duplicado",IF(AZ1169&gt;0,"Se superpone con otro registro "&amp;D1169,IF(BB1169=0,"inicio, fin y duración neta deben ser múltiplos de "&amp;CFG_BLK&amp;" min",""))))))))))))</f>
        <v/>
      </c>
      <c r="BD1169" s="80">
        <f>IF(AND(Y1169=1,BC1169=""),1,0)</f>
        <v>0</v>
      </c>
      <c r="BE1169" s="80">
        <f>IF(AND(BD1169=1,AU1169=1),1,0)</f>
        <v>0</v>
      </c>
      <c r="BF1169" s="80" t="str">
        <f>IF(AND(D1169="proMX",BD1169=1),IF(R1169="","Draft",R1169),"")</f>
        <v/>
      </c>
      <c r="BG1169" s="80">
        <f>IF(BD1169=1,ROUND(AG1169/60,6),0)</f>
        <v>0</v>
      </c>
      <c r="BH1169" s="80">
        <f>IF(BE1169=1,ROUND(AG1169/60,6),0)</f>
        <v>0</v>
      </c>
      <c r="BI1169" s="80">
        <f>IF(BE1169=1,ROUND(AP1169/60,6),0)</f>
        <v>0</v>
      </c>
      <c r="BJ1169" s="80">
        <f>IF(BE1169=1,ROUND(AQ1169/60,6),0)</f>
        <v>0</v>
      </c>
      <c r="BK1169" s="80">
        <f>IF(BE1169=1,ROUND((AR1169+AS1169)/60,6),0)</f>
        <v>0</v>
      </c>
      <c r="BL1169" s="80">
        <f>ROUND(BH1169-BK1169,6)</f>
        <v>0</v>
      </c>
      <c r="BM1169" s="80">
        <f>IF(BE1169=1,ROUND(AR1169/60,6),0)</f>
        <v>0</v>
      </c>
      <c r="BN1169" s="80">
        <f>ROUND(BI1169-BM1169,6)</f>
        <v>0</v>
      </c>
      <c r="BO1169" s="80">
        <f>IF(BE1169=1,ROUND(AS1169/60,6),0)</f>
        <v>0</v>
      </c>
      <c r="BP1169" s="80">
        <f>ROUND(BJ1169-BO1169,6)</f>
        <v>0</v>
      </c>
      <c r="BQ1169" s="80">
        <f>IF(BE1169=1,AW1169,0)</f>
        <v>0</v>
      </c>
      <c r="BR1169" s="80">
        <f>IF(BE1169=1,AX1169,0)</f>
        <v>0</v>
      </c>
      <c r="BS1169" s="80">
        <f>IF(AND(BE1169=1,D1169="Malcolm",BA1169&gt;0),MIN(BH1169,SUMPRODUCT((R_Emp="proMX")*(R_EN&gt;0)*((R_EN-(R_EN&gt;BR1169)*(R_EN-BR1169))&gt;(R_SN+(R_SN&lt;BQ1169)*(BQ1169-R_SN)))*((R_EN-(R_EN&gt;BR1169)*(R_EN-BR1169))-(R_SN+(R_SN&lt;BQ1169)*(BQ1169-R_SN))))/60),0)</f>
        <v>0</v>
      </c>
      <c r="BT1169" s="80">
        <f>IF(AND(BE1169=1,D1169="proMX"),ROUND(BI1169*CFG_RATE+BJ1169*CFG_OTRATE,6),0)</f>
        <v>0</v>
      </c>
      <c r="BU1169" s="80">
        <f>IF(AND(BD1169=1,D1169="proMX"),ROUND(AG1169/CFG_BLK,6),0)</f>
        <v>0</v>
      </c>
      <c r="BV1169" s="80" t="str">
        <f>IF(BF1169="Approved",IF(ISNUMBER(T1169),INT(T1169),INT(B1169)),"")</f>
        <v/>
      </c>
      <c r="BW1169" s="80">
        <f>IF(ISNUMBER(B1169),IF(DB_MON="Todos",1,IF(AND(INT(B1169)&gt;=DB_MS,INT(B1169)&lt;=DB_ME),1,0)),0)</f>
        <v>0</v>
      </c>
      <c r="BX1169" s="80">
        <f>IF(DB_PROJ="Todos",1,IF(E1169&amp;""=DB_PROJ&amp;"",1,0))</f>
        <v>1</v>
      </c>
      <c r="BY1169" s="80">
        <f>BW1169*BX1169</f>
        <v>0</v>
      </c>
      <c r="BZ1169" s="80" t="str">
        <f>IF(Y1169=1,F1169&amp;IF(AND(F1169&amp;""&lt;&gt;"",E1169&amp;""&lt;&gt;"")," · ","")&amp;E1169,"")</f>
        <v/>
      </c>
      <c r="CA1169" s="80" t="str">
        <f>IF(AND(BD1169=1,E1169&amp;""&lt;&gt;""),IF(COUNTIFS($E$5:E1168,E1169,$BD$5:BD1168,1)=0,MAX($CA$5:CA1168)+1,""),"")</f>
        <v/>
      </c>
      <c r="CB1169" s="80" t="str">
        <f>IF(AND(BE1169=1,D1169="Malcolm",E1169&amp;""&lt;&gt;""),IF(COUNTIFS($D$5:D1168,"Malcolm",$E$5:E1168,E1169,$BE$5:BE1168,1)=0,MAX($CB$5:CB1168)+1,""),"")</f>
        <v/>
      </c>
      <c r="CC1169" s="80" t="str">
        <f>IF(AND(BD1169=1,D1169="proMX",E1169&amp;""&lt;&gt;""),IF(COUNTIFS($D$5:D1168,"proMX",$E$5:E1168,E1169,$BD$5:BD1168,1)=0,MAX($CC$5:CC1168)+1,""),"")</f>
        <v/>
      </c>
      <c r="CD1169" s="80" t="str">
        <f>IF(AND(BE1169=1,D1169="Malcolm",F1169&amp;""&lt;&gt;""),IF(COUNTIFS($D$5:D1168,"Malcolm",$F$5:F1168,F1169,$BE$5:BE1168,1)=0,MAX($CD$5:CD1168)+1,""),"")</f>
        <v/>
      </c>
      <c r="CE1169" s="80" t="str">
        <f>IF(AND(BD1169=1,D1169="proMX",F1169&amp;""&lt;&gt;""),IF(COUNTIFS($D$5:D1168,"proMX",$F$5:F1168,F1169,$BD$5:BD1168,1)=0,MAX($CE$5:CE1168)+1,""),"")</f>
        <v/>
      </c>
      <c r="CF1169" s="80" t="str">
        <f>IF(AND(D1169="proMX",BD1169=1),IF(OR(BF1169="Draft",BF1169="Submitted",BF1169="Returned",BF1169="Recall Requested"),MAX($CF$5:CF1168)+1,""),"")</f>
        <v/>
      </c>
      <c r="CG1169" s="80">
        <f>IF(BD1169=0,0,IF(D1169="Malcolm",1,MATCH(BF1169,{"Draft","Submitted","Approved","Returned","Recall Requested","Cancelled"},0)+1))</f>
        <v>0</v>
      </c>
      <c r="CH1169" s="80">
        <f>IF(AND(BF1169="Submitted",ISNUMBER(V1169)),IF(V1169&gt;CFG_MAXD,1,0),0)</f>
        <v>0</v>
      </c>
    </row>
    <row r="1170">
      <c r="A1170" s="71" t="str">
        <f>IF(Y1170=1,ROW()-5,"")</f>
        <v/>
      </c>
      <c r="B1170" s="72" t="n"/>
      <c r="C1170" s="71" t="str">
        <f>IF(ISNUMBER(B1170),CHOOSE(WEEKDAY(B1170,2),"Lun","Mar","Mié","Jue","Vie","Sáb","Dom"),"")</f>
        <v/>
      </c>
      <c r="D1170" s="73" t="n"/>
      <c r="E1170" s="74" t="n"/>
      <c r="F1170" s="74" t="n"/>
      <c r="G1170" s="74" t="n"/>
      <c r="H1170" s="75" t="n"/>
      <c r="I1170" s="75" t="n"/>
      <c r="J1170" s="76" t="n"/>
      <c r="K1170" s="77" t="str">
        <f>IF(AB1170=1,ROUND(AG1170/60,4),"")</f>
        <v/>
      </c>
      <c r="L1170" s="77" t="str">
        <f>IF(BD1170=1,ROUND(AP1170/60,4),"")</f>
        <v/>
      </c>
      <c r="M1170" s="77" t="str">
        <f>IF(BD1170=1,ROUND(AQ1170/60,4),"")</f>
        <v/>
      </c>
      <c r="N1170" s="71" t="str">
        <f>IF(AND(D1170="proMX",AB1170=1),ROUND(AG1170/CFG_BLK,2),"")</f>
        <v/>
      </c>
      <c r="O1170" s="77" t="str">
        <f>IF(D1170="proMX",IF(BD1170=1,ROUND(AG1170/60,4),0),"")</f>
        <v/>
      </c>
      <c r="P1170" s="78" t="str">
        <f>IF(Y1170=0,"",IF(BD1170=1,"OK",IF(D1170="proMX","Revisar bloques: ","Revisar: ")&amp;BC1170))</f>
        <v/>
      </c>
      <c r="Q1170" s="78" t="str">
        <f>IF(NOT(ISNUMBER(B1170)),"",IF(COUNTIFS(FER_F,INT(B1170))&gt;0,"Feriado"&amp;IF(AH1170=1," (laborable)"," (no laborable)"),IF(AH1170=1,"Laborable",IF(WEEKDAY(B1170,2)&gt;5,"Fin de semana","No laborable"))))</f>
        <v/>
      </c>
      <c r="R1170" s="73" t="n"/>
      <c r="S1170" s="72" t="n"/>
      <c r="T1170" s="72" t="n"/>
      <c r="U1170" s="74" t="n"/>
      <c r="V1170" s="79" t="str">
        <f>IF(AND(D1170="proMX",OR(R1170="Submitted",R1170="Recall Requested"),ISNUMBER(S1170)),CFG_TODAY-INT(S1170),"")</f>
        <v/>
      </c>
      <c r="W1170" s="78" t="str">
        <f>IF(BD1170=0,"",IF(BA1170&gt;0,"⚠ Se superpone con un registro de la otra empresa",IF(D1170="Malcolm",IF(COUNTA(R1170,S1170,T1170)&gt;0,"Estado/fechas proMX se ignoran en Malcolm",""),IF(BF1170="Cancelled","Cancelado: excluido de totales",IF(R1170="","Sin estado: se trata como Draft",IF(BF1170="Submitted",IF(ISNUMBER(V1170),IF(V1170&gt;CFG_MAXD,"⚠ "&amp;V1170&amp;" días en Submitted (máx. "&amp;CFG_MAXD&amp;")",""),"Falta fecha de envío"),IF(BF1170="Returned","⚠ Devuelto: corregir y reenviar",IF(BF1170="Recall Requested","Retirada solicitada: pendiente",IF(AND(BF1170="Approved",NOT(ISNUMBER(T1170))),"Falta fecha de aprobación",IF(AND(ISNUMBER(S1170),ISNUMBER(T1170),T1170&lt;S1170),"Aprobación anterior al envío","")))))))))</f>
        <v/>
      </c>
      <c r="Y1170" s="80">
        <f>IF(COUNTA(B1170,D1170,E1170,F1170,G1170,H1170,I1170,J1170,R1170,S1170,T1170)&gt;0,1,0)</f>
        <v>0</v>
      </c>
      <c r="Z1170" s="80" t="str">
        <f>IF(AND(ISNUMBER(H1170),H1170&gt;=0,H1170&lt;1),ROUND(H1170*1440,0),"")</f>
        <v/>
      </c>
      <c r="AA1170" s="80" t="str">
        <f>IF(AND(ISNUMBER(I1170),I1170&gt;=0,I1170&lt;1),ROUND(I1170*1440,0),"")</f>
        <v/>
      </c>
      <c r="AB1170" s="80">
        <f>IF(AND(ISNUMBER(B1170),D1170&lt;&gt;"",ISNUMBER(Z1170),ISNUMBER(AA1170)),IF(Z1170=AA1170,0,1),0)</f>
        <v>0</v>
      </c>
      <c r="AC1170" s="80">
        <f>IF(AB1170=1,IF(AA1170&lt;Z1170,1,0),0)</f>
        <v>0</v>
      </c>
      <c r="AD1170" s="80">
        <f>IF(AB1170=1,IF(AC1170=1,1440-Z1170+AA1170,AA1170-Z1170),0)</f>
        <v>0</v>
      </c>
      <c r="AE1170" s="80">
        <f>IF(J1170="",0,IF(ISNUMBER(J1170),J1170,-1))</f>
        <v>0</v>
      </c>
      <c r="AF1170" s="80">
        <f>MIN(MAX(0,AE1170),AD1170)</f>
        <v>0</v>
      </c>
      <c r="AG1170" s="80">
        <f>MAX(0,AD1170-MAX(0,AE1170))</f>
        <v>0</v>
      </c>
      <c r="AH1170" s="80">
        <f>IF(ISNUMBER(B1170),IF(AND(INDEX(CFG_WDAYS,WEEKDAY(INT(B1170),2))="Sí",IF(D1170="proMX",COUNTIFS(FER_F,INT(B1170),FER_NLP,"Sí"),COUNTIFS(FER_F,INT(B1170),FER_NLM,"Sí"))=0),1,0),0)</f>
        <v>0</v>
      </c>
      <c r="AI1170" s="80">
        <f>IF(AC1170=1,IF(AND(INDEX(CFG_WDAYS,WEEKDAY(INT(B1170)+1,2))="Sí",IF(D1170="proMX",COUNTIFS(FER_F,INT(B1170)+1,FER_NLP,"Sí"),COUNTIFS(FER_F,INT(B1170)+1,FER_NLM,"Sí"))=0),1,0),0)</f>
        <v>0</v>
      </c>
      <c r="AJ1170" s="80">
        <f>IF(AC1170=1,1440-Z1170,AD1170)</f>
        <v>0</v>
      </c>
      <c r="AK1170" s="80">
        <f>IF(AND(AB1170=1,AH1170=1),MAX(0,MIN(IF(AC1170=1,1440,AA1170),CFG_WEM)-MAX(Z1170,CFG_WSM)),0)</f>
        <v>0</v>
      </c>
      <c r="AL1170" s="80">
        <f>IF(AND(AC1170=1,AI1170=1),MAX(0,MIN(AA1170,CFG_WEM)-CFG_WSM),0)</f>
        <v>0</v>
      </c>
      <c r="AM1170" s="80">
        <f>AK1170+AL1170</f>
        <v>0</v>
      </c>
      <c r="AN1170" s="80">
        <f>IF(CFG_BRK="Proporcional",IF(AD1170=0,0,AF1170*AM1170/AD1170),IF(CFG_BRK="Extras primero",MIN(AM1170,MAX(0,AF1170-(AD1170-AM1170))),MIN(AF1170,AM1170)))</f>
        <v>0</v>
      </c>
      <c r="AO1170" s="80">
        <f>AF1170-AN1170</f>
        <v>0</v>
      </c>
      <c r="AP1170" s="80">
        <f>AM1170-AN1170</f>
        <v>0</v>
      </c>
      <c r="AQ1170" s="80">
        <f>AD1170-AM1170-AO1170</f>
        <v>0</v>
      </c>
      <c r="AR1170" s="80">
        <f>IF(AM1170=0,0,AK1170-AN1170*AK1170/AM1170)</f>
        <v>0</v>
      </c>
      <c r="AS1170" s="80">
        <f>IF(AD1170-AM1170=0,0,(AJ1170-AK1170)-AO1170*(AJ1170-AK1170)/(AD1170-AM1170))</f>
        <v>0</v>
      </c>
      <c r="AT1170" s="80" t="str">
        <f>IF(AC1170=1,INT(B1170)+1,"")</f>
        <v/>
      </c>
      <c r="AU1170" s="80">
        <f>IF(AND(D1170="proMX",R1170="Cancelled"),0,1)</f>
        <v>1</v>
      </c>
      <c r="AV1170" s="80">
        <f>IF(AND(AB1170=1,AU1170=1),IF(COUNTIFS($D$5:D1169,D1170,$B$5:B1169,B1170,$Z$5:Z1169,Z1170,$AA$5:AA1169,AA1170,$F$5:F1169,F1170&amp;"",$AU$5:AU1169,1)&gt;0,1,0),0)</f>
        <v>0</v>
      </c>
      <c r="AW1170" s="80" t="str">
        <f>IF(AB1170=1,INT(B1170)*1440+Z1170,"")</f>
        <v/>
      </c>
      <c r="AX1170" s="80" t="str">
        <f>IF(AB1170=1,AW1170+AD1170,"")</f>
        <v/>
      </c>
      <c r="AY1170" s="80">
        <f>IF(AND(AB1170=1,AV1170=0,AU1170=1),1,0)</f>
        <v>0</v>
      </c>
      <c r="AZ1170" s="80">
        <f>IF(AY1170=1,COUNTIFS(R_Emp,D1170,R_SAbs,"&lt;"&amp;AX1170,R_EAbs,"&gt;"&amp;AW1170,R_OKey,1)-1,0)</f>
        <v>0</v>
      </c>
      <c r="BA1170" s="80">
        <f>IF(AY1170=1,COUNTIFS(R_Emp,"&lt;&gt;"&amp;D1170,R_SAbs,"&lt;"&amp;AX1170,R_EAbs,"&gt;"&amp;AW1170,R_OKey,1),0)</f>
        <v>0</v>
      </c>
      <c r="BB1170" s="80">
        <f>IF(AND(AB1170=1,D1170="proMX"),IF(AND(MOD(Z1170,CFG_BLK)=0,MOD(AA1170,CFG_BLK)=0,MOD(AG1170,CFG_BLK)=0,AG1170&gt;0),1,0),1)</f>
        <v>1</v>
      </c>
      <c r="BC1170" s="80" t="str">
        <f>IF(Y1170=0,"",IF(NOT(ISNUMBER(B1170)),"Falta fecha o fecha inválida",IF(D1170="","Falta empresa",IF(AND(D1170&lt;&gt;"Malcolm",D1170&lt;&gt;"proMX"),"Empresa inválida",IF(OR(INT(B1170)&lt;CFG_PSTART,INT(B1170)&gt;CFG_PEND),"Fecha fuera del período",IF(OR(NOT(ISNUMBER(Z1170)),NOT(ISNUMBER(AA1170))),"Falta hora inicio/fin o formato inválido",IF(AB1170=0,"Hora inicio = hora fin",IF(AE1170&lt;0,"Descanso inválido",IF(AE1170&gt;=AD1170,"Descanso ≥ duración",IF(AV1170=1,"Registro duplicado",IF(AZ1170&gt;0,"Se superpone con otro registro "&amp;D1170,IF(BB1170=0,"inicio, fin y duración neta deben ser múltiplos de "&amp;CFG_BLK&amp;" min",""))))))))))))</f>
        <v/>
      </c>
      <c r="BD1170" s="80">
        <f>IF(AND(Y1170=1,BC1170=""),1,0)</f>
        <v>0</v>
      </c>
      <c r="BE1170" s="80">
        <f>IF(AND(BD1170=1,AU1170=1),1,0)</f>
        <v>0</v>
      </c>
      <c r="BF1170" s="80" t="str">
        <f>IF(AND(D1170="proMX",BD1170=1),IF(R1170="","Draft",R1170),"")</f>
        <v/>
      </c>
      <c r="BG1170" s="80">
        <f>IF(BD1170=1,ROUND(AG1170/60,6),0)</f>
        <v>0</v>
      </c>
      <c r="BH1170" s="80">
        <f>IF(BE1170=1,ROUND(AG1170/60,6),0)</f>
        <v>0</v>
      </c>
      <c r="BI1170" s="80">
        <f>IF(BE1170=1,ROUND(AP1170/60,6),0)</f>
        <v>0</v>
      </c>
      <c r="BJ1170" s="80">
        <f>IF(BE1170=1,ROUND(AQ1170/60,6),0)</f>
        <v>0</v>
      </c>
      <c r="BK1170" s="80">
        <f>IF(BE1170=1,ROUND((AR1170+AS1170)/60,6),0)</f>
        <v>0</v>
      </c>
      <c r="BL1170" s="80">
        <f>ROUND(BH1170-BK1170,6)</f>
        <v>0</v>
      </c>
      <c r="BM1170" s="80">
        <f>IF(BE1170=1,ROUND(AR1170/60,6),0)</f>
        <v>0</v>
      </c>
      <c r="BN1170" s="80">
        <f>ROUND(BI1170-BM1170,6)</f>
        <v>0</v>
      </c>
      <c r="BO1170" s="80">
        <f>IF(BE1170=1,ROUND(AS1170/60,6),0)</f>
        <v>0</v>
      </c>
      <c r="BP1170" s="80">
        <f>ROUND(BJ1170-BO1170,6)</f>
        <v>0</v>
      </c>
      <c r="BQ1170" s="80">
        <f>IF(BE1170=1,AW1170,0)</f>
        <v>0</v>
      </c>
      <c r="BR1170" s="80">
        <f>IF(BE1170=1,AX1170,0)</f>
        <v>0</v>
      </c>
      <c r="BS1170" s="80">
        <f>IF(AND(BE1170=1,D1170="Malcolm",BA1170&gt;0),MIN(BH1170,SUMPRODUCT((R_Emp="proMX")*(R_EN&gt;0)*((R_EN-(R_EN&gt;BR1170)*(R_EN-BR1170))&gt;(R_SN+(R_SN&lt;BQ1170)*(BQ1170-R_SN)))*((R_EN-(R_EN&gt;BR1170)*(R_EN-BR1170))-(R_SN+(R_SN&lt;BQ1170)*(BQ1170-R_SN))))/60),0)</f>
        <v>0</v>
      </c>
      <c r="BT1170" s="80">
        <f>IF(AND(BE1170=1,D1170="proMX"),ROUND(BI1170*CFG_RATE+BJ1170*CFG_OTRATE,6),0)</f>
        <v>0</v>
      </c>
      <c r="BU1170" s="80">
        <f>IF(AND(BD1170=1,D1170="proMX"),ROUND(AG1170/CFG_BLK,6),0)</f>
        <v>0</v>
      </c>
      <c r="BV1170" s="80" t="str">
        <f>IF(BF1170="Approved",IF(ISNUMBER(T1170),INT(T1170),INT(B1170)),"")</f>
        <v/>
      </c>
      <c r="BW1170" s="80">
        <f>IF(ISNUMBER(B1170),IF(DB_MON="Todos",1,IF(AND(INT(B1170)&gt;=DB_MS,INT(B1170)&lt;=DB_ME),1,0)),0)</f>
        <v>0</v>
      </c>
      <c r="BX1170" s="80">
        <f>IF(DB_PROJ="Todos",1,IF(E1170&amp;""=DB_PROJ&amp;"",1,0))</f>
        <v>1</v>
      </c>
      <c r="BY1170" s="80">
        <f>BW1170*BX1170</f>
        <v>0</v>
      </c>
      <c r="BZ1170" s="80" t="str">
        <f>IF(Y1170=1,F1170&amp;IF(AND(F1170&amp;""&lt;&gt;"",E1170&amp;""&lt;&gt;"")," · ","")&amp;E1170,"")</f>
        <v/>
      </c>
      <c r="CA1170" s="80" t="str">
        <f>IF(AND(BD1170=1,E1170&amp;""&lt;&gt;""),IF(COUNTIFS($E$5:E1169,E1170,$BD$5:BD1169,1)=0,MAX($CA$5:CA1169)+1,""),"")</f>
        <v/>
      </c>
      <c r="CB1170" s="80" t="str">
        <f>IF(AND(BE1170=1,D1170="Malcolm",E1170&amp;""&lt;&gt;""),IF(COUNTIFS($D$5:D1169,"Malcolm",$E$5:E1169,E1170,$BE$5:BE1169,1)=0,MAX($CB$5:CB1169)+1,""),"")</f>
        <v/>
      </c>
      <c r="CC1170" s="80" t="str">
        <f>IF(AND(BD1170=1,D1170="proMX",E1170&amp;""&lt;&gt;""),IF(COUNTIFS($D$5:D1169,"proMX",$E$5:E1169,E1170,$BD$5:BD1169,1)=0,MAX($CC$5:CC1169)+1,""),"")</f>
        <v/>
      </c>
      <c r="CD1170" s="80" t="str">
        <f>IF(AND(BE1170=1,D1170="Malcolm",F1170&amp;""&lt;&gt;""),IF(COUNTIFS($D$5:D1169,"Malcolm",$F$5:F1169,F1170,$BE$5:BE1169,1)=0,MAX($CD$5:CD1169)+1,""),"")</f>
        <v/>
      </c>
      <c r="CE1170" s="80" t="str">
        <f>IF(AND(BD1170=1,D1170="proMX",F1170&amp;""&lt;&gt;""),IF(COUNTIFS($D$5:D1169,"proMX",$F$5:F1169,F1170,$BD$5:BD1169,1)=0,MAX($CE$5:CE1169)+1,""),"")</f>
        <v/>
      </c>
      <c r="CF1170" s="80" t="str">
        <f>IF(AND(D1170="proMX",BD1170=1),IF(OR(BF1170="Draft",BF1170="Submitted",BF1170="Returned",BF1170="Recall Requested"),MAX($CF$5:CF1169)+1,""),"")</f>
        <v/>
      </c>
      <c r="CG1170" s="80">
        <f>IF(BD1170=0,0,IF(D1170="Malcolm",1,MATCH(BF1170,{"Draft","Submitted","Approved","Returned","Recall Requested","Cancelled"},0)+1))</f>
        <v>0</v>
      </c>
      <c r="CH1170" s="80">
        <f>IF(AND(BF1170="Submitted",ISNUMBER(V1170)),IF(V1170&gt;CFG_MAXD,1,0),0)</f>
        <v>0</v>
      </c>
    </row>
    <row r="1171">
      <c r="A1171" s="71" t="str">
        <f>IF(Y1171=1,ROW()-5,"")</f>
        <v/>
      </c>
      <c r="B1171" s="72" t="n"/>
      <c r="C1171" s="71" t="str">
        <f>IF(ISNUMBER(B1171),CHOOSE(WEEKDAY(B1171,2),"Lun","Mar","Mié","Jue","Vie","Sáb","Dom"),"")</f>
        <v/>
      </c>
      <c r="D1171" s="73" t="n"/>
      <c r="E1171" s="74" t="n"/>
      <c r="F1171" s="74" t="n"/>
      <c r="G1171" s="74" t="n"/>
      <c r="H1171" s="75" t="n"/>
      <c r="I1171" s="75" t="n"/>
      <c r="J1171" s="76" t="n"/>
      <c r="K1171" s="77" t="str">
        <f>IF(AB1171=1,ROUND(AG1171/60,4),"")</f>
        <v/>
      </c>
      <c r="L1171" s="77" t="str">
        <f>IF(BD1171=1,ROUND(AP1171/60,4),"")</f>
        <v/>
      </c>
      <c r="M1171" s="77" t="str">
        <f>IF(BD1171=1,ROUND(AQ1171/60,4),"")</f>
        <v/>
      </c>
      <c r="N1171" s="71" t="str">
        <f>IF(AND(D1171="proMX",AB1171=1),ROUND(AG1171/CFG_BLK,2),"")</f>
        <v/>
      </c>
      <c r="O1171" s="77" t="str">
        <f>IF(D1171="proMX",IF(BD1171=1,ROUND(AG1171/60,4),0),"")</f>
        <v/>
      </c>
      <c r="P1171" s="78" t="str">
        <f>IF(Y1171=0,"",IF(BD1171=1,"OK",IF(D1171="proMX","Revisar bloques: ","Revisar: ")&amp;BC1171))</f>
        <v/>
      </c>
      <c r="Q1171" s="78" t="str">
        <f>IF(NOT(ISNUMBER(B1171)),"",IF(COUNTIFS(FER_F,INT(B1171))&gt;0,"Feriado"&amp;IF(AH1171=1," (laborable)"," (no laborable)"),IF(AH1171=1,"Laborable",IF(WEEKDAY(B1171,2)&gt;5,"Fin de semana","No laborable"))))</f>
        <v/>
      </c>
      <c r="R1171" s="73" t="n"/>
      <c r="S1171" s="72" t="n"/>
      <c r="T1171" s="72" t="n"/>
      <c r="U1171" s="74" t="n"/>
      <c r="V1171" s="79" t="str">
        <f>IF(AND(D1171="proMX",OR(R1171="Submitted",R1171="Recall Requested"),ISNUMBER(S1171)),CFG_TODAY-INT(S1171),"")</f>
        <v/>
      </c>
      <c r="W1171" s="78" t="str">
        <f>IF(BD1171=0,"",IF(BA1171&gt;0,"⚠ Se superpone con un registro de la otra empresa",IF(D1171="Malcolm",IF(COUNTA(R1171,S1171,T1171)&gt;0,"Estado/fechas proMX se ignoran en Malcolm",""),IF(BF1171="Cancelled","Cancelado: excluido de totales",IF(R1171="","Sin estado: se trata como Draft",IF(BF1171="Submitted",IF(ISNUMBER(V1171),IF(V1171&gt;CFG_MAXD,"⚠ "&amp;V1171&amp;" días en Submitted (máx. "&amp;CFG_MAXD&amp;")",""),"Falta fecha de envío"),IF(BF1171="Returned","⚠ Devuelto: corregir y reenviar",IF(BF1171="Recall Requested","Retirada solicitada: pendiente",IF(AND(BF1171="Approved",NOT(ISNUMBER(T1171))),"Falta fecha de aprobación",IF(AND(ISNUMBER(S1171),ISNUMBER(T1171),T1171&lt;S1171),"Aprobación anterior al envío","")))))))))</f>
        <v/>
      </c>
      <c r="Y1171" s="80">
        <f>IF(COUNTA(B1171,D1171,E1171,F1171,G1171,H1171,I1171,J1171,R1171,S1171,T1171)&gt;0,1,0)</f>
        <v>0</v>
      </c>
      <c r="Z1171" s="80" t="str">
        <f>IF(AND(ISNUMBER(H1171),H1171&gt;=0,H1171&lt;1),ROUND(H1171*1440,0),"")</f>
        <v/>
      </c>
      <c r="AA1171" s="80" t="str">
        <f>IF(AND(ISNUMBER(I1171),I1171&gt;=0,I1171&lt;1),ROUND(I1171*1440,0),"")</f>
        <v/>
      </c>
      <c r="AB1171" s="80">
        <f>IF(AND(ISNUMBER(B1171),D1171&lt;&gt;"",ISNUMBER(Z1171),ISNUMBER(AA1171)),IF(Z1171=AA1171,0,1),0)</f>
        <v>0</v>
      </c>
      <c r="AC1171" s="80">
        <f>IF(AB1171=1,IF(AA1171&lt;Z1171,1,0),0)</f>
        <v>0</v>
      </c>
      <c r="AD1171" s="80">
        <f>IF(AB1171=1,IF(AC1171=1,1440-Z1171+AA1171,AA1171-Z1171),0)</f>
        <v>0</v>
      </c>
      <c r="AE1171" s="80">
        <f>IF(J1171="",0,IF(ISNUMBER(J1171),J1171,-1))</f>
        <v>0</v>
      </c>
      <c r="AF1171" s="80">
        <f>MIN(MAX(0,AE1171),AD1171)</f>
        <v>0</v>
      </c>
      <c r="AG1171" s="80">
        <f>MAX(0,AD1171-MAX(0,AE1171))</f>
        <v>0</v>
      </c>
      <c r="AH1171" s="80">
        <f>IF(ISNUMBER(B1171),IF(AND(INDEX(CFG_WDAYS,WEEKDAY(INT(B1171),2))="Sí",IF(D1171="proMX",COUNTIFS(FER_F,INT(B1171),FER_NLP,"Sí"),COUNTIFS(FER_F,INT(B1171),FER_NLM,"Sí"))=0),1,0),0)</f>
        <v>0</v>
      </c>
      <c r="AI1171" s="80">
        <f>IF(AC1171=1,IF(AND(INDEX(CFG_WDAYS,WEEKDAY(INT(B1171)+1,2))="Sí",IF(D1171="proMX",COUNTIFS(FER_F,INT(B1171)+1,FER_NLP,"Sí"),COUNTIFS(FER_F,INT(B1171)+1,FER_NLM,"Sí"))=0),1,0),0)</f>
        <v>0</v>
      </c>
      <c r="AJ1171" s="80">
        <f>IF(AC1171=1,1440-Z1171,AD1171)</f>
        <v>0</v>
      </c>
      <c r="AK1171" s="80">
        <f>IF(AND(AB1171=1,AH1171=1),MAX(0,MIN(IF(AC1171=1,1440,AA1171),CFG_WEM)-MAX(Z1171,CFG_WSM)),0)</f>
        <v>0</v>
      </c>
      <c r="AL1171" s="80">
        <f>IF(AND(AC1171=1,AI1171=1),MAX(0,MIN(AA1171,CFG_WEM)-CFG_WSM),0)</f>
        <v>0</v>
      </c>
      <c r="AM1171" s="80">
        <f>AK1171+AL1171</f>
        <v>0</v>
      </c>
      <c r="AN1171" s="80">
        <f>IF(CFG_BRK="Proporcional",IF(AD1171=0,0,AF1171*AM1171/AD1171),IF(CFG_BRK="Extras primero",MIN(AM1171,MAX(0,AF1171-(AD1171-AM1171))),MIN(AF1171,AM1171)))</f>
        <v>0</v>
      </c>
      <c r="AO1171" s="80">
        <f>AF1171-AN1171</f>
        <v>0</v>
      </c>
      <c r="AP1171" s="80">
        <f>AM1171-AN1171</f>
        <v>0</v>
      </c>
      <c r="AQ1171" s="80">
        <f>AD1171-AM1171-AO1171</f>
        <v>0</v>
      </c>
      <c r="AR1171" s="80">
        <f>IF(AM1171=0,0,AK1171-AN1171*AK1171/AM1171)</f>
        <v>0</v>
      </c>
      <c r="AS1171" s="80">
        <f>IF(AD1171-AM1171=0,0,(AJ1171-AK1171)-AO1171*(AJ1171-AK1171)/(AD1171-AM1171))</f>
        <v>0</v>
      </c>
      <c r="AT1171" s="80" t="str">
        <f>IF(AC1171=1,INT(B1171)+1,"")</f>
        <v/>
      </c>
      <c r="AU1171" s="80">
        <f>IF(AND(D1171="proMX",R1171="Cancelled"),0,1)</f>
        <v>1</v>
      </c>
      <c r="AV1171" s="80">
        <f>IF(AND(AB1171=1,AU1171=1),IF(COUNTIFS($D$5:D1170,D1171,$B$5:B1170,B1171,$Z$5:Z1170,Z1171,$AA$5:AA1170,AA1171,$F$5:F1170,F1171&amp;"",$AU$5:AU1170,1)&gt;0,1,0),0)</f>
        <v>0</v>
      </c>
      <c r="AW1171" s="80" t="str">
        <f>IF(AB1171=1,INT(B1171)*1440+Z1171,"")</f>
        <v/>
      </c>
      <c r="AX1171" s="80" t="str">
        <f>IF(AB1171=1,AW1171+AD1171,"")</f>
        <v/>
      </c>
      <c r="AY1171" s="80">
        <f>IF(AND(AB1171=1,AV1171=0,AU1171=1),1,0)</f>
        <v>0</v>
      </c>
      <c r="AZ1171" s="80">
        <f>IF(AY1171=1,COUNTIFS(R_Emp,D1171,R_SAbs,"&lt;"&amp;AX1171,R_EAbs,"&gt;"&amp;AW1171,R_OKey,1)-1,0)</f>
        <v>0</v>
      </c>
      <c r="BA1171" s="80">
        <f>IF(AY1171=1,COUNTIFS(R_Emp,"&lt;&gt;"&amp;D1171,R_SAbs,"&lt;"&amp;AX1171,R_EAbs,"&gt;"&amp;AW1171,R_OKey,1),0)</f>
        <v>0</v>
      </c>
      <c r="BB1171" s="80">
        <f>IF(AND(AB1171=1,D1171="proMX"),IF(AND(MOD(Z1171,CFG_BLK)=0,MOD(AA1171,CFG_BLK)=0,MOD(AG1171,CFG_BLK)=0,AG1171&gt;0),1,0),1)</f>
        <v>1</v>
      </c>
      <c r="BC1171" s="80" t="str">
        <f>IF(Y1171=0,"",IF(NOT(ISNUMBER(B1171)),"Falta fecha o fecha inválida",IF(D1171="","Falta empresa",IF(AND(D1171&lt;&gt;"Malcolm",D1171&lt;&gt;"proMX"),"Empresa inválida",IF(OR(INT(B1171)&lt;CFG_PSTART,INT(B1171)&gt;CFG_PEND),"Fecha fuera del período",IF(OR(NOT(ISNUMBER(Z1171)),NOT(ISNUMBER(AA1171))),"Falta hora inicio/fin o formato inválido",IF(AB1171=0,"Hora inicio = hora fin",IF(AE1171&lt;0,"Descanso inválido",IF(AE1171&gt;=AD1171,"Descanso ≥ duración",IF(AV1171=1,"Registro duplicado",IF(AZ1171&gt;0,"Se superpone con otro registro "&amp;D1171,IF(BB1171=0,"inicio, fin y duración neta deben ser múltiplos de "&amp;CFG_BLK&amp;" min",""))))))))))))</f>
        <v/>
      </c>
      <c r="BD1171" s="80">
        <f>IF(AND(Y1171=1,BC1171=""),1,0)</f>
        <v>0</v>
      </c>
      <c r="BE1171" s="80">
        <f>IF(AND(BD1171=1,AU1171=1),1,0)</f>
        <v>0</v>
      </c>
      <c r="BF1171" s="80" t="str">
        <f>IF(AND(D1171="proMX",BD1171=1),IF(R1171="","Draft",R1171),"")</f>
        <v/>
      </c>
      <c r="BG1171" s="80">
        <f>IF(BD1171=1,ROUND(AG1171/60,6),0)</f>
        <v>0</v>
      </c>
      <c r="BH1171" s="80">
        <f>IF(BE1171=1,ROUND(AG1171/60,6),0)</f>
        <v>0</v>
      </c>
      <c r="BI1171" s="80">
        <f>IF(BE1171=1,ROUND(AP1171/60,6),0)</f>
        <v>0</v>
      </c>
      <c r="BJ1171" s="80">
        <f>IF(BE1171=1,ROUND(AQ1171/60,6),0)</f>
        <v>0</v>
      </c>
      <c r="BK1171" s="80">
        <f>IF(BE1171=1,ROUND((AR1171+AS1171)/60,6),0)</f>
        <v>0</v>
      </c>
      <c r="BL1171" s="80">
        <f>ROUND(BH1171-BK1171,6)</f>
        <v>0</v>
      </c>
      <c r="BM1171" s="80">
        <f>IF(BE1171=1,ROUND(AR1171/60,6),0)</f>
        <v>0</v>
      </c>
      <c r="BN1171" s="80">
        <f>ROUND(BI1171-BM1171,6)</f>
        <v>0</v>
      </c>
      <c r="BO1171" s="80">
        <f>IF(BE1171=1,ROUND(AS1171/60,6),0)</f>
        <v>0</v>
      </c>
      <c r="BP1171" s="80">
        <f>ROUND(BJ1171-BO1171,6)</f>
        <v>0</v>
      </c>
      <c r="BQ1171" s="80">
        <f>IF(BE1171=1,AW1171,0)</f>
        <v>0</v>
      </c>
      <c r="BR1171" s="80">
        <f>IF(BE1171=1,AX1171,0)</f>
        <v>0</v>
      </c>
      <c r="BS1171" s="80">
        <f>IF(AND(BE1171=1,D1171="Malcolm",BA1171&gt;0),MIN(BH1171,SUMPRODUCT((R_Emp="proMX")*(R_EN&gt;0)*((R_EN-(R_EN&gt;BR1171)*(R_EN-BR1171))&gt;(R_SN+(R_SN&lt;BQ1171)*(BQ1171-R_SN)))*((R_EN-(R_EN&gt;BR1171)*(R_EN-BR1171))-(R_SN+(R_SN&lt;BQ1171)*(BQ1171-R_SN))))/60),0)</f>
        <v>0</v>
      </c>
      <c r="BT1171" s="80">
        <f>IF(AND(BE1171=1,D1171="proMX"),ROUND(BI1171*CFG_RATE+BJ1171*CFG_OTRATE,6),0)</f>
        <v>0</v>
      </c>
      <c r="BU1171" s="80">
        <f>IF(AND(BD1171=1,D1171="proMX"),ROUND(AG1171/CFG_BLK,6),0)</f>
        <v>0</v>
      </c>
      <c r="BV1171" s="80" t="str">
        <f>IF(BF1171="Approved",IF(ISNUMBER(T1171),INT(T1171),INT(B1171)),"")</f>
        <v/>
      </c>
      <c r="BW1171" s="80">
        <f>IF(ISNUMBER(B1171),IF(DB_MON="Todos",1,IF(AND(INT(B1171)&gt;=DB_MS,INT(B1171)&lt;=DB_ME),1,0)),0)</f>
        <v>0</v>
      </c>
      <c r="BX1171" s="80">
        <f>IF(DB_PROJ="Todos",1,IF(E1171&amp;""=DB_PROJ&amp;"",1,0))</f>
        <v>1</v>
      </c>
      <c r="BY1171" s="80">
        <f>BW1171*BX1171</f>
        <v>0</v>
      </c>
      <c r="BZ1171" s="80" t="str">
        <f>IF(Y1171=1,F1171&amp;IF(AND(F1171&amp;""&lt;&gt;"",E1171&amp;""&lt;&gt;"")," · ","")&amp;E1171,"")</f>
        <v/>
      </c>
      <c r="CA1171" s="80" t="str">
        <f>IF(AND(BD1171=1,E1171&amp;""&lt;&gt;""),IF(COUNTIFS($E$5:E1170,E1171,$BD$5:BD1170,1)=0,MAX($CA$5:CA1170)+1,""),"")</f>
        <v/>
      </c>
      <c r="CB1171" s="80" t="str">
        <f>IF(AND(BE1171=1,D1171="Malcolm",E1171&amp;""&lt;&gt;""),IF(COUNTIFS($D$5:D1170,"Malcolm",$E$5:E1170,E1171,$BE$5:BE1170,1)=0,MAX($CB$5:CB1170)+1,""),"")</f>
        <v/>
      </c>
      <c r="CC1171" s="80" t="str">
        <f>IF(AND(BD1171=1,D1171="proMX",E1171&amp;""&lt;&gt;""),IF(COUNTIFS($D$5:D1170,"proMX",$E$5:E1170,E1171,$BD$5:BD1170,1)=0,MAX($CC$5:CC1170)+1,""),"")</f>
        <v/>
      </c>
      <c r="CD1171" s="80" t="str">
        <f>IF(AND(BE1171=1,D1171="Malcolm",F1171&amp;""&lt;&gt;""),IF(COUNTIFS($D$5:D1170,"Malcolm",$F$5:F1170,F1171,$BE$5:BE1170,1)=0,MAX($CD$5:CD1170)+1,""),"")</f>
        <v/>
      </c>
      <c r="CE1171" s="80" t="str">
        <f>IF(AND(BD1171=1,D1171="proMX",F1171&amp;""&lt;&gt;""),IF(COUNTIFS($D$5:D1170,"proMX",$F$5:F1170,F1171,$BD$5:BD1170,1)=0,MAX($CE$5:CE1170)+1,""),"")</f>
        <v/>
      </c>
      <c r="CF1171" s="80" t="str">
        <f>IF(AND(D1171="proMX",BD1171=1),IF(OR(BF1171="Draft",BF1171="Submitted",BF1171="Returned",BF1171="Recall Requested"),MAX($CF$5:CF1170)+1,""),"")</f>
        <v/>
      </c>
      <c r="CG1171" s="80">
        <f>IF(BD1171=0,0,IF(D1171="Malcolm",1,MATCH(BF1171,{"Draft","Submitted","Approved","Returned","Recall Requested","Cancelled"},0)+1))</f>
        <v>0</v>
      </c>
      <c r="CH1171" s="80">
        <f>IF(AND(BF1171="Submitted",ISNUMBER(V1171)),IF(V1171&gt;CFG_MAXD,1,0),0)</f>
        <v>0</v>
      </c>
    </row>
    <row r="1172">
      <c r="A1172" s="71" t="str">
        <f>IF(Y1172=1,ROW()-5,"")</f>
        <v/>
      </c>
      <c r="B1172" s="72" t="n"/>
      <c r="C1172" s="71" t="str">
        <f>IF(ISNUMBER(B1172),CHOOSE(WEEKDAY(B1172,2),"Lun","Mar","Mié","Jue","Vie","Sáb","Dom"),"")</f>
        <v/>
      </c>
      <c r="D1172" s="73" t="n"/>
      <c r="E1172" s="74" t="n"/>
      <c r="F1172" s="74" t="n"/>
      <c r="G1172" s="74" t="n"/>
      <c r="H1172" s="75" t="n"/>
      <c r="I1172" s="75" t="n"/>
      <c r="J1172" s="76" t="n"/>
      <c r="K1172" s="77" t="str">
        <f>IF(AB1172=1,ROUND(AG1172/60,4),"")</f>
        <v/>
      </c>
      <c r="L1172" s="77" t="str">
        <f>IF(BD1172=1,ROUND(AP1172/60,4),"")</f>
        <v/>
      </c>
      <c r="M1172" s="77" t="str">
        <f>IF(BD1172=1,ROUND(AQ1172/60,4),"")</f>
        <v/>
      </c>
      <c r="N1172" s="71" t="str">
        <f>IF(AND(D1172="proMX",AB1172=1),ROUND(AG1172/CFG_BLK,2),"")</f>
        <v/>
      </c>
      <c r="O1172" s="77" t="str">
        <f>IF(D1172="proMX",IF(BD1172=1,ROUND(AG1172/60,4),0),"")</f>
        <v/>
      </c>
      <c r="P1172" s="78" t="str">
        <f>IF(Y1172=0,"",IF(BD1172=1,"OK",IF(D1172="proMX","Revisar bloques: ","Revisar: ")&amp;BC1172))</f>
        <v/>
      </c>
      <c r="Q1172" s="78" t="str">
        <f>IF(NOT(ISNUMBER(B1172)),"",IF(COUNTIFS(FER_F,INT(B1172))&gt;0,"Feriado"&amp;IF(AH1172=1," (laborable)"," (no laborable)"),IF(AH1172=1,"Laborable",IF(WEEKDAY(B1172,2)&gt;5,"Fin de semana","No laborable"))))</f>
        <v/>
      </c>
      <c r="R1172" s="73" t="n"/>
      <c r="S1172" s="72" t="n"/>
      <c r="T1172" s="72" t="n"/>
      <c r="U1172" s="74" t="n"/>
      <c r="V1172" s="79" t="str">
        <f>IF(AND(D1172="proMX",OR(R1172="Submitted",R1172="Recall Requested"),ISNUMBER(S1172)),CFG_TODAY-INT(S1172),"")</f>
        <v/>
      </c>
      <c r="W1172" s="78" t="str">
        <f>IF(BD1172=0,"",IF(BA1172&gt;0,"⚠ Se superpone con un registro de la otra empresa",IF(D1172="Malcolm",IF(COUNTA(R1172,S1172,T1172)&gt;0,"Estado/fechas proMX se ignoran en Malcolm",""),IF(BF1172="Cancelled","Cancelado: excluido de totales",IF(R1172="","Sin estado: se trata como Draft",IF(BF1172="Submitted",IF(ISNUMBER(V1172),IF(V1172&gt;CFG_MAXD,"⚠ "&amp;V1172&amp;" días en Submitted (máx. "&amp;CFG_MAXD&amp;")",""),"Falta fecha de envío"),IF(BF1172="Returned","⚠ Devuelto: corregir y reenviar",IF(BF1172="Recall Requested","Retirada solicitada: pendiente",IF(AND(BF1172="Approved",NOT(ISNUMBER(T1172))),"Falta fecha de aprobación",IF(AND(ISNUMBER(S1172),ISNUMBER(T1172),T1172&lt;S1172),"Aprobación anterior al envío","")))))))))</f>
        <v/>
      </c>
      <c r="Y1172" s="80">
        <f>IF(COUNTA(B1172,D1172,E1172,F1172,G1172,H1172,I1172,J1172,R1172,S1172,T1172)&gt;0,1,0)</f>
        <v>0</v>
      </c>
      <c r="Z1172" s="80" t="str">
        <f>IF(AND(ISNUMBER(H1172),H1172&gt;=0,H1172&lt;1),ROUND(H1172*1440,0),"")</f>
        <v/>
      </c>
      <c r="AA1172" s="80" t="str">
        <f>IF(AND(ISNUMBER(I1172),I1172&gt;=0,I1172&lt;1),ROUND(I1172*1440,0),"")</f>
        <v/>
      </c>
      <c r="AB1172" s="80">
        <f>IF(AND(ISNUMBER(B1172),D1172&lt;&gt;"",ISNUMBER(Z1172),ISNUMBER(AA1172)),IF(Z1172=AA1172,0,1),0)</f>
        <v>0</v>
      </c>
      <c r="AC1172" s="80">
        <f>IF(AB1172=1,IF(AA1172&lt;Z1172,1,0),0)</f>
        <v>0</v>
      </c>
      <c r="AD1172" s="80">
        <f>IF(AB1172=1,IF(AC1172=1,1440-Z1172+AA1172,AA1172-Z1172),0)</f>
        <v>0</v>
      </c>
      <c r="AE1172" s="80">
        <f>IF(J1172="",0,IF(ISNUMBER(J1172),J1172,-1))</f>
        <v>0</v>
      </c>
      <c r="AF1172" s="80">
        <f>MIN(MAX(0,AE1172),AD1172)</f>
        <v>0</v>
      </c>
      <c r="AG1172" s="80">
        <f>MAX(0,AD1172-MAX(0,AE1172))</f>
        <v>0</v>
      </c>
      <c r="AH1172" s="80">
        <f>IF(ISNUMBER(B1172),IF(AND(INDEX(CFG_WDAYS,WEEKDAY(INT(B1172),2))="Sí",IF(D1172="proMX",COUNTIFS(FER_F,INT(B1172),FER_NLP,"Sí"),COUNTIFS(FER_F,INT(B1172),FER_NLM,"Sí"))=0),1,0),0)</f>
        <v>0</v>
      </c>
      <c r="AI1172" s="80">
        <f>IF(AC1172=1,IF(AND(INDEX(CFG_WDAYS,WEEKDAY(INT(B1172)+1,2))="Sí",IF(D1172="proMX",COUNTIFS(FER_F,INT(B1172)+1,FER_NLP,"Sí"),COUNTIFS(FER_F,INT(B1172)+1,FER_NLM,"Sí"))=0),1,0),0)</f>
        <v>0</v>
      </c>
      <c r="AJ1172" s="80">
        <f>IF(AC1172=1,1440-Z1172,AD1172)</f>
        <v>0</v>
      </c>
      <c r="AK1172" s="80">
        <f>IF(AND(AB1172=1,AH1172=1),MAX(0,MIN(IF(AC1172=1,1440,AA1172),CFG_WEM)-MAX(Z1172,CFG_WSM)),0)</f>
        <v>0</v>
      </c>
      <c r="AL1172" s="80">
        <f>IF(AND(AC1172=1,AI1172=1),MAX(0,MIN(AA1172,CFG_WEM)-CFG_WSM),0)</f>
        <v>0</v>
      </c>
      <c r="AM1172" s="80">
        <f>AK1172+AL1172</f>
        <v>0</v>
      </c>
      <c r="AN1172" s="80">
        <f>IF(CFG_BRK="Proporcional",IF(AD1172=0,0,AF1172*AM1172/AD1172),IF(CFG_BRK="Extras primero",MIN(AM1172,MAX(0,AF1172-(AD1172-AM1172))),MIN(AF1172,AM1172)))</f>
        <v>0</v>
      </c>
      <c r="AO1172" s="80">
        <f>AF1172-AN1172</f>
        <v>0</v>
      </c>
      <c r="AP1172" s="80">
        <f>AM1172-AN1172</f>
        <v>0</v>
      </c>
      <c r="AQ1172" s="80">
        <f>AD1172-AM1172-AO1172</f>
        <v>0</v>
      </c>
      <c r="AR1172" s="80">
        <f>IF(AM1172=0,0,AK1172-AN1172*AK1172/AM1172)</f>
        <v>0</v>
      </c>
      <c r="AS1172" s="80">
        <f>IF(AD1172-AM1172=0,0,(AJ1172-AK1172)-AO1172*(AJ1172-AK1172)/(AD1172-AM1172))</f>
        <v>0</v>
      </c>
      <c r="AT1172" s="80" t="str">
        <f>IF(AC1172=1,INT(B1172)+1,"")</f>
        <v/>
      </c>
      <c r="AU1172" s="80">
        <f>IF(AND(D1172="proMX",R1172="Cancelled"),0,1)</f>
        <v>1</v>
      </c>
      <c r="AV1172" s="80">
        <f>IF(AND(AB1172=1,AU1172=1),IF(COUNTIFS($D$5:D1171,D1172,$B$5:B1171,B1172,$Z$5:Z1171,Z1172,$AA$5:AA1171,AA1172,$F$5:F1171,F1172&amp;"",$AU$5:AU1171,1)&gt;0,1,0),0)</f>
        <v>0</v>
      </c>
      <c r="AW1172" s="80" t="str">
        <f>IF(AB1172=1,INT(B1172)*1440+Z1172,"")</f>
        <v/>
      </c>
      <c r="AX1172" s="80" t="str">
        <f>IF(AB1172=1,AW1172+AD1172,"")</f>
        <v/>
      </c>
      <c r="AY1172" s="80">
        <f>IF(AND(AB1172=1,AV1172=0,AU1172=1),1,0)</f>
        <v>0</v>
      </c>
      <c r="AZ1172" s="80">
        <f>IF(AY1172=1,COUNTIFS(R_Emp,D1172,R_SAbs,"&lt;"&amp;AX1172,R_EAbs,"&gt;"&amp;AW1172,R_OKey,1)-1,0)</f>
        <v>0</v>
      </c>
      <c r="BA1172" s="80">
        <f>IF(AY1172=1,COUNTIFS(R_Emp,"&lt;&gt;"&amp;D1172,R_SAbs,"&lt;"&amp;AX1172,R_EAbs,"&gt;"&amp;AW1172,R_OKey,1),0)</f>
        <v>0</v>
      </c>
      <c r="BB1172" s="80">
        <f>IF(AND(AB1172=1,D1172="proMX"),IF(AND(MOD(Z1172,CFG_BLK)=0,MOD(AA1172,CFG_BLK)=0,MOD(AG1172,CFG_BLK)=0,AG1172&gt;0),1,0),1)</f>
        <v>1</v>
      </c>
      <c r="BC1172" s="80" t="str">
        <f>IF(Y1172=0,"",IF(NOT(ISNUMBER(B1172)),"Falta fecha o fecha inválida",IF(D1172="","Falta empresa",IF(AND(D1172&lt;&gt;"Malcolm",D1172&lt;&gt;"proMX"),"Empresa inválida",IF(OR(INT(B1172)&lt;CFG_PSTART,INT(B1172)&gt;CFG_PEND),"Fecha fuera del período",IF(OR(NOT(ISNUMBER(Z1172)),NOT(ISNUMBER(AA1172))),"Falta hora inicio/fin o formato inválido",IF(AB1172=0,"Hora inicio = hora fin",IF(AE1172&lt;0,"Descanso inválido",IF(AE1172&gt;=AD1172,"Descanso ≥ duración",IF(AV1172=1,"Registro duplicado",IF(AZ1172&gt;0,"Se superpone con otro registro "&amp;D1172,IF(BB1172=0,"inicio, fin y duración neta deben ser múltiplos de "&amp;CFG_BLK&amp;" min",""))))))))))))</f>
        <v/>
      </c>
      <c r="BD1172" s="80">
        <f>IF(AND(Y1172=1,BC1172=""),1,0)</f>
        <v>0</v>
      </c>
      <c r="BE1172" s="80">
        <f>IF(AND(BD1172=1,AU1172=1),1,0)</f>
        <v>0</v>
      </c>
      <c r="BF1172" s="80" t="str">
        <f>IF(AND(D1172="proMX",BD1172=1),IF(R1172="","Draft",R1172),"")</f>
        <v/>
      </c>
      <c r="BG1172" s="80">
        <f>IF(BD1172=1,ROUND(AG1172/60,6),0)</f>
        <v>0</v>
      </c>
      <c r="BH1172" s="80">
        <f>IF(BE1172=1,ROUND(AG1172/60,6),0)</f>
        <v>0</v>
      </c>
      <c r="BI1172" s="80">
        <f>IF(BE1172=1,ROUND(AP1172/60,6),0)</f>
        <v>0</v>
      </c>
      <c r="BJ1172" s="80">
        <f>IF(BE1172=1,ROUND(AQ1172/60,6),0)</f>
        <v>0</v>
      </c>
      <c r="BK1172" s="80">
        <f>IF(BE1172=1,ROUND((AR1172+AS1172)/60,6),0)</f>
        <v>0</v>
      </c>
      <c r="BL1172" s="80">
        <f>ROUND(BH1172-BK1172,6)</f>
        <v>0</v>
      </c>
      <c r="BM1172" s="80">
        <f>IF(BE1172=1,ROUND(AR1172/60,6),0)</f>
        <v>0</v>
      </c>
      <c r="BN1172" s="80">
        <f>ROUND(BI1172-BM1172,6)</f>
        <v>0</v>
      </c>
      <c r="BO1172" s="80">
        <f>IF(BE1172=1,ROUND(AS1172/60,6),0)</f>
        <v>0</v>
      </c>
      <c r="BP1172" s="80">
        <f>ROUND(BJ1172-BO1172,6)</f>
        <v>0</v>
      </c>
      <c r="BQ1172" s="80">
        <f>IF(BE1172=1,AW1172,0)</f>
        <v>0</v>
      </c>
      <c r="BR1172" s="80">
        <f>IF(BE1172=1,AX1172,0)</f>
        <v>0</v>
      </c>
      <c r="BS1172" s="80">
        <f>IF(AND(BE1172=1,D1172="Malcolm",BA1172&gt;0),MIN(BH1172,SUMPRODUCT((R_Emp="proMX")*(R_EN&gt;0)*((R_EN-(R_EN&gt;BR1172)*(R_EN-BR1172))&gt;(R_SN+(R_SN&lt;BQ1172)*(BQ1172-R_SN)))*((R_EN-(R_EN&gt;BR1172)*(R_EN-BR1172))-(R_SN+(R_SN&lt;BQ1172)*(BQ1172-R_SN))))/60),0)</f>
        <v>0</v>
      </c>
      <c r="BT1172" s="80">
        <f>IF(AND(BE1172=1,D1172="proMX"),ROUND(BI1172*CFG_RATE+BJ1172*CFG_OTRATE,6),0)</f>
        <v>0</v>
      </c>
      <c r="BU1172" s="80">
        <f>IF(AND(BD1172=1,D1172="proMX"),ROUND(AG1172/CFG_BLK,6),0)</f>
        <v>0</v>
      </c>
      <c r="BV1172" s="80" t="str">
        <f>IF(BF1172="Approved",IF(ISNUMBER(T1172),INT(T1172),INT(B1172)),"")</f>
        <v/>
      </c>
      <c r="BW1172" s="80">
        <f>IF(ISNUMBER(B1172),IF(DB_MON="Todos",1,IF(AND(INT(B1172)&gt;=DB_MS,INT(B1172)&lt;=DB_ME),1,0)),0)</f>
        <v>0</v>
      </c>
      <c r="BX1172" s="80">
        <f>IF(DB_PROJ="Todos",1,IF(E1172&amp;""=DB_PROJ&amp;"",1,0))</f>
        <v>1</v>
      </c>
      <c r="BY1172" s="80">
        <f>BW1172*BX1172</f>
        <v>0</v>
      </c>
      <c r="BZ1172" s="80" t="str">
        <f>IF(Y1172=1,F1172&amp;IF(AND(F1172&amp;""&lt;&gt;"",E1172&amp;""&lt;&gt;"")," · ","")&amp;E1172,"")</f>
        <v/>
      </c>
      <c r="CA1172" s="80" t="str">
        <f>IF(AND(BD1172=1,E1172&amp;""&lt;&gt;""),IF(COUNTIFS($E$5:E1171,E1172,$BD$5:BD1171,1)=0,MAX($CA$5:CA1171)+1,""),"")</f>
        <v/>
      </c>
      <c r="CB1172" s="80" t="str">
        <f>IF(AND(BE1172=1,D1172="Malcolm",E1172&amp;""&lt;&gt;""),IF(COUNTIFS($D$5:D1171,"Malcolm",$E$5:E1171,E1172,$BE$5:BE1171,1)=0,MAX($CB$5:CB1171)+1,""),"")</f>
        <v/>
      </c>
      <c r="CC1172" s="80" t="str">
        <f>IF(AND(BD1172=1,D1172="proMX",E1172&amp;""&lt;&gt;""),IF(COUNTIFS($D$5:D1171,"proMX",$E$5:E1171,E1172,$BD$5:BD1171,1)=0,MAX($CC$5:CC1171)+1,""),"")</f>
        <v/>
      </c>
      <c r="CD1172" s="80" t="str">
        <f>IF(AND(BE1172=1,D1172="Malcolm",F1172&amp;""&lt;&gt;""),IF(COUNTIFS($D$5:D1171,"Malcolm",$F$5:F1171,F1172,$BE$5:BE1171,1)=0,MAX($CD$5:CD1171)+1,""),"")</f>
        <v/>
      </c>
      <c r="CE1172" s="80" t="str">
        <f>IF(AND(BD1172=1,D1172="proMX",F1172&amp;""&lt;&gt;""),IF(COUNTIFS($D$5:D1171,"proMX",$F$5:F1171,F1172,$BD$5:BD1171,1)=0,MAX($CE$5:CE1171)+1,""),"")</f>
        <v/>
      </c>
      <c r="CF1172" s="80" t="str">
        <f>IF(AND(D1172="proMX",BD1172=1),IF(OR(BF1172="Draft",BF1172="Submitted",BF1172="Returned",BF1172="Recall Requested"),MAX($CF$5:CF1171)+1,""),"")</f>
        <v/>
      </c>
      <c r="CG1172" s="80">
        <f>IF(BD1172=0,0,IF(D1172="Malcolm",1,MATCH(BF1172,{"Draft","Submitted","Approved","Returned","Recall Requested","Cancelled"},0)+1))</f>
        <v>0</v>
      </c>
      <c r="CH1172" s="80">
        <f>IF(AND(BF1172="Submitted",ISNUMBER(V1172)),IF(V1172&gt;CFG_MAXD,1,0),0)</f>
        <v>0</v>
      </c>
    </row>
    <row r="1173">
      <c r="A1173" s="71" t="str">
        <f>IF(Y1173=1,ROW()-5,"")</f>
        <v/>
      </c>
      <c r="B1173" s="72" t="n"/>
      <c r="C1173" s="71" t="str">
        <f>IF(ISNUMBER(B1173),CHOOSE(WEEKDAY(B1173,2),"Lun","Mar","Mié","Jue","Vie","Sáb","Dom"),"")</f>
        <v/>
      </c>
      <c r="D1173" s="73" t="n"/>
      <c r="E1173" s="74" t="n"/>
      <c r="F1173" s="74" t="n"/>
      <c r="G1173" s="74" t="n"/>
      <c r="H1173" s="75" t="n"/>
      <c r="I1173" s="75" t="n"/>
      <c r="J1173" s="76" t="n"/>
      <c r="K1173" s="77" t="str">
        <f>IF(AB1173=1,ROUND(AG1173/60,4),"")</f>
        <v/>
      </c>
      <c r="L1173" s="77" t="str">
        <f>IF(BD1173=1,ROUND(AP1173/60,4),"")</f>
        <v/>
      </c>
      <c r="M1173" s="77" t="str">
        <f>IF(BD1173=1,ROUND(AQ1173/60,4),"")</f>
        <v/>
      </c>
      <c r="N1173" s="71" t="str">
        <f>IF(AND(D1173="proMX",AB1173=1),ROUND(AG1173/CFG_BLK,2),"")</f>
        <v/>
      </c>
      <c r="O1173" s="77" t="str">
        <f>IF(D1173="proMX",IF(BD1173=1,ROUND(AG1173/60,4),0),"")</f>
        <v/>
      </c>
      <c r="P1173" s="78" t="str">
        <f>IF(Y1173=0,"",IF(BD1173=1,"OK",IF(D1173="proMX","Revisar bloques: ","Revisar: ")&amp;BC1173))</f>
        <v/>
      </c>
      <c r="Q1173" s="78" t="str">
        <f>IF(NOT(ISNUMBER(B1173)),"",IF(COUNTIFS(FER_F,INT(B1173))&gt;0,"Feriado"&amp;IF(AH1173=1," (laborable)"," (no laborable)"),IF(AH1173=1,"Laborable",IF(WEEKDAY(B1173,2)&gt;5,"Fin de semana","No laborable"))))</f>
        <v/>
      </c>
      <c r="R1173" s="73" t="n"/>
      <c r="S1173" s="72" t="n"/>
      <c r="T1173" s="72" t="n"/>
      <c r="U1173" s="74" t="n"/>
      <c r="V1173" s="79" t="str">
        <f>IF(AND(D1173="proMX",OR(R1173="Submitted",R1173="Recall Requested"),ISNUMBER(S1173)),CFG_TODAY-INT(S1173),"")</f>
        <v/>
      </c>
      <c r="W1173" s="78" t="str">
        <f>IF(BD1173=0,"",IF(BA1173&gt;0,"⚠ Se superpone con un registro de la otra empresa",IF(D1173="Malcolm",IF(COUNTA(R1173,S1173,T1173)&gt;0,"Estado/fechas proMX se ignoran en Malcolm",""),IF(BF1173="Cancelled","Cancelado: excluido de totales",IF(R1173="","Sin estado: se trata como Draft",IF(BF1173="Submitted",IF(ISNUMBER(V1173),IF(V1173&gt;CFG_MAXD,"⚠ "&amp;V1173&amp;" días en Submitted (máx. "&amp;CFG_MAXD&amp;")",""),"Falta fecha de envío"),IF(BF1173="Returned","⚠ Devuelto: corregir y reenviar",IF(BF1173="Recall Requested","Retirada solicitada: pendiente",IF(AND(BF1173="Approved",NOT(ISNUMBER(T1173))),"Falta fecha de aprobación",IF(AND(ISNUMBER(S1173),ISNUMBER(T1173),T1173&lt;S1173),"Aprobación anterior al envío","")))))))))</f>
        <v/>
      </c>
      <c r="Y1173" s="80">
        <f>IF(COUNTA(B1173,D1173,E1173,F1173,G1173,H1173,I1173,J1173,R1173,S1173,T1173)&gt;0,1,0)</f>
        <v>0</v>
      </c>
      <c r="Z1173" s="80" t="str">
        <f>IF(AND(ISNUMBER(H1173),H1173&gt;=0,H1173&lt;1),ROUND(H1173*1440,0),"")</f>
        <v/>
      </c>
      <c r="AA1173" s="80" t="str">
        <f>IF(AND(ISNUMBER(I1173),I1173&gt;=0,I1173&lt;1),ROUND(I1173*1440,0),"")</f>
        <v/>
      </c>
      <c r="AB1173" s="80">
        <f>IF(AND(ISNUMBER(B1173),D1173&lt;&gt;"",ISNUMBER(Z1173),ISNUMBER(AA1173)),IF(Z1173=AA1173,0,1),0)</f>
        <v>0</v>
      </c>
      <c r="AC1173" s="80">
        <f>IF(AB1173=1,IF(AA1173&lt;Z1173,1,0),0)</f>
        <v>0</v>
      </c>
      <c r="AD1173" s="80">
        <f>IF(AB1173=1,IF(AC1173=1,1440-Z1173+AA1173,AA1173-Z1173),0)</f>
        <v>0</v>
      </c>
      <c r="AE1173" s="80">
        <f>IF(J1173="",0,IF(ISNUMBER(J1173),J1173,-1))</f>
        <v>0</v>
      </c>
      <c r="AF1173" s="80">
        <f>MIN(MAX(0,AE1173),AD1173)</f>
        <v>0</v>
      </c>
      <c r="AG1173" s="80">
        <f>MAX(0,AD1173-MAX(0,AE1173))</f>
        <v>0</v>
      </c>
      <c r="AH1173" s="80">
        <f>IF(ISNUMBER(B1173),IF(AND(INDEX(CFG_WDAYS,WEEKDAY(INT(B1173),2))="Sí",IF(D1173="proMX",COUNTIFS(FER_F,INT(B1173),FER_NLP,"Sí"),COUNTIFS(FER_F,INT(B1173),FER_NLM,"Sí"))=0),1,0),0)</f>
        <v>0</v>
      </c>
      <c r="AI1173" s="80">
        <f>IF(AC1173=1,IF(AND(INDEX(CFG_WDAYS,WEEKDAY(INT(B1173)+1,2))="Sí",IF(D1173="proMX",COUNTIFS(FER_F,INT(B1173)+1,FER_NLP,"Sí"),COUNTIFS(FER_F,INT(B1173)+1,FER_NLM,"Sí"))=0),1,0),0)</f>
        <v>0</v>
      </c>
      <c r="AJ1173" s="80">
        <f>IF(AC1173=1,1440-Z1173,AD1173)</f>
        <v>0</v>
      </c>
      <c r="AK1173" s="80">
        <f>IF(AND(AB1173=1,AH1173=1),MAX(0,MIN(IF(AC1173=1,1440,AA1173),CFG_WEM)-MAX(Z1173,CFG_WSM)),0)</f>
        <v>0</v>
      </c>
      <c r="AL1173" s="80">
        <f>IF(AND(AC1173=1,AI1173=1),MAX(0,MIN(AA1173,CFG_WEM)-CFG_WSM),0)</f>
        <v>0</v>
      </c>
      <c r="AM1173" s="80">
        <f>AK1173+AL1173</f>
        <v>0</v>
      </c>
      <c r="AN1173" s="80">
        <f>IF(CFG_BRK="Proporcional",IF(AD1173=0,0,AF1173*AM1173/AD1173),IF(CFG_BRK="Extras primero",MIN(AM1173,MAX(0,AF1173-(AD1173-AM1173))),MIN(AF1173,AM1173)))</f>
        <v>0</v>
      </c>
      <c r="AO1173" s="80">
        <f>AF1173-AN1173</f>
        <v>0</v>
      </c>
      <c r="AP1173" s="80">
        <f>AM1173-AN1173</f>
        <v>0</v>
      </c>
      <c r="AQ1173" s="80">
        <f>AD1173-AM1173-AO1173</f>
        <v>0</v>
      </c>
      <c r="AR1173" s="80">
        <f>IF(AM1173=0,0,AK1173-AN1173*AK1173/AM1173)</f>
        <v>0</v>
      </c>
      <c r="AS1173" s="80">
        <f>IF(AD1173-AM1173=0,0,(AJ1173-AK1173)-AO1173*(AJ1173-AK1173)/(AD1173-AM1173))</f>
        <v>0</v>
      </c>
      <c r="AT1173" s="80" t="str">
        <f>IF(AC1173=1,INT(B1173)+1,"")</f>
        <v/>
      </c>
      <c r="AU1173" s="80">
        <f>IF(AND(D1173="proMX",R1173="Cancelled"),0,1)</f>
        <v>1</v>
      </c>
      <c r="AV1173" s="80">
        <f>IF(AND(AB1173=1,AU1173=1),IF(COUNTIFS($D$5:D1172,D1173,$B$5:B1172,B1173,$Z$5:Z1172,Z1173,$AA$5:AA1172,AA1173,$F$5:F1172,F1173&amp;"",$AU$5:AU1172,1)&gt;0,1,0),0)</f>
        <v>0</v>
      </c>
      <c r="AW1173" s="80" t="str">
        <f>IF(AB1173=1,INT(B1173)*1440+Z1173,"")</f>
        <v/>
      </c>
      <c r="AX1173" s="80" t="str">
        <f>IF(AB1173=1,AW1173+AD1173,"")</f>
        <v/>
      </c>
      <c r="AY1173" s="80">
        <f>IF(AND(AB1173=1,AV1173=0,AU1173=1),1,0)</f>
        <v>0</v>
      </c>
      <c r="AZ1173" s="80">
        <f>IF(AY1173=1,COUNTIFS(R_Emp,D1173,R_SAbs,"&lt;"&amp;AX1173,R_EAbs,"&gt;"&amp;AW1173,R_OKey,1)-1,0)</f>
        <v>0</v>
      </c>
      <c r="BA1173" s="80">
        <f>IF(AY1173=1,COUNTIFS(R_Emp,"&lt;&gt;"&amp;D1173,R_SAbs,"&lt;"&amp;AX1173,R_EAbs,"&gt;"&amp;AW1173,R_OKey,1),0)</f>
        <v>0</v>
      </c>
      <c r="BB1173" s="80">
        <f>IF(AND(AB1173=1,D1173="proMX"),IF(AND(MOD(Z1173,CFG_BLK)=0,MOD(AA1173,CFG_BLK)=0,MOD(AG1173,CFG_BLK)=0,AG1173&gt;0),1,0),1)</f>
        <v>1</v>
      </c>
      <c r="BC1173" s="80" t="str">
        <f>IF(Y1173=0,"",IF(NOT(ISNUMBER(B1173)),"Falta fecha o fecha inválida",IF(D1173="","Falta empresa",IF(AND(D1173&lt;&gt;"Malcolm",D1173&lt;&gt;"proMX"),"Empresa inválida",IF(OR(INT(B1173)&lt;CFG_PSTART,INT(B1173)&gt;CFG_PEND),"Fecha fuera del período",IF(OR(NOT(ISNUMBER(Z1173)),NOT(ISNUMBER(AA1173))),"Falta hora inicio/fin o formato inválido",IF(AB1173=0,"Hora inicio = hora fin",IF(AE1173&lt;0,"Descanso inválido",IF(AE1173&gt;=AD1173,"Descanso ≥ duración",IF(AV1173=1,"Registro duplicado",IF(AZ1173&gt;0,"Se superpone con otro registro "&amp;D1173,IF(BB1173=0,"inicio, fin y duración neta deben ser múltiplos de "&amp;CFG_BLK&amp;" min",""))))))))))))</f>
        <v/>
      </c>
      <c r="BD1173" s="80">
        <f>IF(AND(Y1173=1,BC1173=""),1,0)</f>
        <v>0</v>
      </c>
      <c r="BE1173" s="80">
        <f>IF(AND(BD1173=1,AU1173=1),1,0)</f>
        <v>0</v>
      </c>
      <c r="BF1173" s="80" t="str">
        <f>IF(AND(D1173="proMX",BD1173=1),IF(R1173="","Draft",R1173),"")</f>
        <v/>
      </c>
      <c r="BG1173" s="80">
        <f>IF(BD1173=1,ROUND(AG1173/60,6),0)</f>
        <v>0</v>
      </c>
      <c r="BH1173" s="80">
        <f>IF(BE1173=1,ROUND(AG1173/60,6),0)</f>
        <v>0</v>
      </c>
      <c r="BI1173" s="80">
        <f>IF(BE1173=1,ROUND(AP1173/60,6),0)</f>
        <v>0</v>
      </c>
      <c r="BJ1173" s="80">
        <f>IF(BE1173=1,ROUND(AQ1173/60,6),0)</f>
        <v>0</v>
      </c>
      <c r="BK1173" s="80">
        <f>IF(BE1173=1,ROUND((AR1173+AS1173)/60,6),0)</f>
        <v>0</v>
      </c>
      <c r="BL1173" s="80">
        <f>ROUND(BH1173-BK1173,6)</f>
        <v>0</v>
      </c>
      <c r="BM1173" s="80">
        <f>IF(BE1173=1,ROUND(AR1173/60,6),0)</f>
        <v>0</v>
      </c>
      <c r="BN1173" s="80">
        <f>ROUND(BI1173-BM1173,6)</f>
        <v>0</v>
      </c>
      <c r="BO1173" s="80">
        <f>IF(BE1173=1,ROUND(AS1173/60,6),0)</f>
        <v>0</v>
      </c>
      <c r="BP1173" s="80">
        <f>ROUND(BJ1173-BO1173,6)</f>
        <v>0</v>
      </c>
      <c r="BQ1173" s="80">
        <f>IF(BE1173=1,AW1173,0)</f>
        <v>0</v>
      </c>
      <c r="BR1173" s="80">
        <f>IF(BE1173=1,AX1173,0)</f>
        <v>0</v>
      </c>
      <c r="BS1173" s="80">
        <f>IF(AND(BE1173=1,D1173="Malcolm",BA1173&gt;0),MIN(BH1173,SUMPRODUCT((R_Emp="proMX")*(R_EN&gt;0)*((R_EN-(R_EN&gt;BR1173)*(R_EN-BR1173))&gt;(R_SN+(R_SN&lt;BQ1173)*(BQ1173-R_SN)))*((R_EN-(R_EN&gt;BR1173)*(R_EN-BR1173))-(R_SN+(R_SN&lt;BQ1173)*(BQ1173-R_SN))))/60),0)</f>
        <v>0</v>
      </c>
      <c r="BT1173" s="80">
        <f>IF(AND(BE1173=1,D1173="proMX"),ROUND(BI1173*CFG_RATE+BJ1173*CFG_OTRATE,6),0)</f>
        <v>0</v>
      </c>
      <c r="BU1173" s="80">
        <f>IF(AND(BD1173=1,D1173="proMX"),ROUND(AG1173/CFG_BLK,6),0)</f>
        <v>0</v>
      </c>
      <c r="BV1173" s="80" t="str">
        <f>IF(BF1173="Approved",IF(ISNUMBER(T1173),INT(T1173),INT(B1173)),"")</f>
        <v/>
      </c>
      <c r="BW1173" s="80">
        <f>IF(ISNUMBER(B1173),IF(DB_MON="Todos",1,IF(AND(INT(B1173)&gt;=DB_MS,INT(B1173)&lt;=DB_ME),1,0)),0)</f>
        <v>0</v>
      </c>
      <c r="BX1173" s="80">
        <f>IF(DB_PROJ="Todos",1,IF(E1173&amp;""=DB_PROJ&amp;"",1,0))</f>
        <v>1</v>
      </c>
      <c r="BY1173" s="80">
        <f>BW1173*BX1173</f>
        <v>0</v>
      </c>
      <c r="BZ1173" s="80" t="str">
        <f>IF(Y1173=1,F1173&amp;IF(AND(F1173&amp;""&lt;&gt;"",E1173&amp;""&lt;&gt;"")," · ","")&amp;E1173,"")</f>
        <v/>
      </c>
      <c r="CA1173" s="80" t="str">
        <f>IF(AND(BD1173=1,E1173&amp;""&lt;&gt;""),IF(COUNTIFS($E$5:E1172,E1173,$BD$5:BD1172,1)=0,MAX($CA$5:CA1172)+1,""),"")</f>
        <v/>
      </c>
      <c r="CB1173" s="80" t="str">
        <f>IF(AND(BE1173=1,D1173="Malcolm",E1173&amp;""&lt;&gt;""),IF(COUNTIFS($D$5:D1172,"Malcolm",$E$5:E1172,E1173,$BE$5:BE1172,1)=0,MAX($CB$5:CB1172)+1,""),"")</f>
        <v/>
      </c>
      <c r="CC1173" s="80" t="str">
        <f>IF(AND(BD1173=1,D1173="proMX",E1173&amp;""&lt;&gt;""),IF(COUNTIFS($D$5:D1172,"proMX",$E$5:E1172,E1173,$BD$5:BD1172,1)=0,MAX($CC$5:CC1172)+1,""),"")</f>
        <v/>
      </c>
      <c r="CD1173" s="80" t="str">
        <f>IF(AND(BE1173=1,D1173="Malcolm",F1173&amp;""&lt;&gt;""),IF(COUNTIFS($D$5:D1172,"Malcolm",$F$5:F1172,F1173,$BE$5:BE1172,1)=0,MAX($CD$5:CD1172)+1,""),"")</f>
        <v/>
      </c>
      <c r="CE1173" s="80" t="str">
        <f>IF(AND(BD1173=1,D1173="proMX",F1173&amp;""&lt;&gt;""),IF(COUNTIFS($D$5:D1172,"proMX",$F$5:F1172,F1173,$BD$5:BD1172,1)=0,MAX($CE$5:CE1172)+1,""),"")</f>
        <v/>
      </c>
      <c r="CF1173" s="80" t="str">
        <f>IF(AND(D1173="proMX",BD1173=1),IF(OR(BF1173="Draft",BF1173="Submitted",BF1173="Returned",BF1173="Recall Requested"),MAX($CF$5:CF1172)+1,""),"")</f>
        <v/>
      </c>
      <c r="CG1173" s="80">
        <f>IF(BD1173=0,0,IF(D1173="Malcolm",1,MATCH(BF1173,{"Draft","Submitted","Approved","Returned","Recall Requested","Cancelled"},0)+1))</f>
        <v>0</v>
      </c>
      <c r="CH1173" s="80">
        <f>IF(AND(BF1173="Submitted",ISNUMBER(V1173)),IF(V1173&gt;CFG_MAXD,1,0),0)</f>
        <v>0</v>
      </c>
    </row>
    <row r="1174">
      <c r="A1174" s="71" t="str">
        <f>IF(Y1174=1,ROW()-5,"")</f>
        <v/>
      </c>
      <c r="B1174" s="72" t="n"/>
      <c r="C1174" s="71" t="str">
        <f>IF(ISNUMBER(B1174),CHOOSE(WEEKDAY(B1174,2),"Lun","Mar","Mié","Jue","Vie","Sáb","Dom"),"")</f>
        <v/>
      </c>
      <c r="D1174" s="73" t="n"/>
      <c r="E1174" s="74" t="n"/>
      <c r="F1174" s="74" t="n"/>
      <c r="G1174" s="74" t="n"/>
      <c r="H1174" s="75" t="n"/>
      <c r="I1174" s="75" t="n"/>
      <c r="J1174" s="76" t="n"/>
      <c r="K1174" s="77" t="str">
        <f>IF(AB1174=1,ROUND(AG1174/60,4),"")</f>
        <v/>
      </c>
      <c r="L1174" s="77" t="str">
        <f>IF(BD1174=1,ROUND(AP1174/60,4),"")</f>
        <v/>
      </c>
      <c r="M1174" s="77" t="str">
        <f>IF(BD1174=1,ROUND(AQ1174/60,4),"")</f>
        <v/>
      </c>
      <c r="N1174" s="71" t="str">
        <f>IF(AND(D1174="proMX",AB1174=1),ROUND(AG1174/CFG_BLK,2),"")</f>
        <v/>
      </c>
      <c r="O1174" s="77" t="str">
        <f>IF(D1174="proMX",IF(BD1174=1,ROUND(AG1174/60,4),0),"")</f>
        <v/>
      </c>
      <c r="P1174" s="78" t="str">
        <f>IF(Y1174=0,"",IF(BD1174=1,"OK",IF(D1174="proMX","Revisar bloques: ","Revisar: ")&amp;BC1174))</f>
        <v/>
      </c>
      <c r="Q1174" s="78" t="str">
        <f>IF(NOT(ISNUMBER(B1174)),"",IF(COUNTIFS(FER_F,INT(B1174))&gt;0,"Feriado"&amp;IF(AH1174=1," (laborable)"," (no laborable)"),IF(AH1174=1,"Laborable",IF(WEEKDAY(B1174,2)&gt;5,"Fin de semana","No laborable"))))</f>
        <v/>
      </c>
      <c r="R1174" s="73" t="n"/>
      <c r="S1174" s="72" t="n"/>
      <c r="T1174" s="72" t="n"/>
      <c r="U1174" s="74" t="n"/>
      <c r="V1174" s="79" t="str">
        <f>IF(AND(D1174="proMX",OR(R1174="Submitted",R1174="Recall Requested"),ISNUMBER(S1174)),CFG_TODAY-INT(S1174),"")</f>
        <v/>
      </c>
      <c r="W1174" s="78" t="str">
        <f>IF(BD1174=0,"",IF(BA1174&gt;0,"⚠ Se superpone con un registro de la otra empresa",IF(D1174="Malcolm",IF(COUNTA(R1174,S1174,T1174)&gt;0,"Estado/fechas proMX se ignoran en Malcolm",""),IF(BF1174="Cancelled","Cancelado: excluido de totales",IF(R1174="","Sin estado: se trata como Draft",IF(BF1174="Submitted",IF(ISNUMBER(V1174),IF(V1174&gt;CFG_MAXD,"⚠ "&amp;V1174&amp;" días en Submitted (máx. "&amp;CFG_MAXD&amp;")",""),"Falta fecha de envío"),IF(BF1174="Returned","⚠ Devuelto: corregir y reenviar",IF(BF1174="Recall Requested","Retirada solicitada: pendiente",IF(AND(BF1174="Approved",NOT(ISNUMBER(T1174))),"Falta fecha de aprobación",IF(AND(ISNUMBER(S1174),ISNUMBER(T1174),T1174&lt;S1174),"Aprobación anterior al envío","")))))))))</f>
        <v/>
      </c>
      <c r="Y1174" s="80">
        <f>IF(COUNTA(B1174,D1174,E1174,F1174,G1174,H1174,I1174,J1174,R1174,S1174,T1174)&gt;0,1,0)</f>
        <v>0</v>
      </c>
      <c r="Z1174" s="80" t="str">
        <f>IF(AND(ISNUMBER(H1174),H1174&gt;=0,H1174&lt;1),ROUND(H1174*1440,0),"")</f>
        <v/>
      </c>
      <c r="AA1174" s="80" t="str">
        <f>IF(AND(ISNUMBER(I1174),I1174&gt;=0,I1174&lt;1),ROUND(I1174*1440,0),"")</f>
        <v/>
      </c>
      <c r="AB1174" s="80">
        <f>IF(AND(ISNUMBER(B1174),D1174&lt;&gt;"",ISNUMBER(Z1174),ISNUMBER(AA1174)),IF(Z1174=AA1174,0,1),0)</f>
        <v>0</v>
      </c>
      <c r="AC1174" s="80">
        <f>IF(AB1174=1,IF(AA1174&lt;Z1174,1,0),0)</f>
        <v>0</v>
      </c>
      <c r="AD1174" s="80">
        <f>IF(AB1174=1,IF(AC1174=1,1440-Z1174+AA1174,AA1174-Z1174),0)</f>
        <v>0</v>
      </c>
      <c r="AE1174" s="80">
        <f>IF(J1174="",0,IF(ISNUMBER(J1174),J1174,-1))</f>
        <v>0</v>
      </c>
      <c r="AF1174" s="80">
        <f>MIN(MAX(0,AE1174),AD1174)</f>
        <v>0</v>
      </c>
      <c r="AG1174" s="80">
        <f>MAX(0,AD1174-MAX(0,AE1174))</f>
        <v>0</v>
      </c>
      <c r="AH1174" s="80">
        <f>IF(ISNUMBER(B1174),IF(AND(INDEX(CFG_WDAYS,WEEKDAY(INT(B1174),2))="Sí",IF(D1174="proMX",COUNTIFS(FER_F,INT(B1174),FER_NLP,"Sí"),COUNTIFS(FER_F,INT(B1174),FER_NLM,"Sí"))=0),1,0),0)</f>
        <v>0</v>
      </c>
      <c r="AI1174" s="80">
        <f>IF(AC1174=1,IF(AND(INDEX(CFG_WDAYS,WEEKDAY(INT(B1174)+1,2))="Sí",IF(D1174="proMX",COUNTIFS(FER_F,INT(B1174)+1,FER_NLP,"Sí"),COUNTIFS(FER_F,INT(B1174)+1,FER_NLM,"Sí"))=0),1,0),0)</f>
        <v>0</v>
      </c>
      <c r="AJ1174" s="80">
        <f>IF(AC1174=1,1440-Z1174,AD1174)</f>
        <v>0</v>
      </c>
      <c r="AK1174" s="80">
        <f>IF(AND(AB1174=1,AH1174=1),MAX(0,MIN(IF(AC1174=1,1440,AA1174),CFG_WEM)-MAX(Z1174,CFG_WSM)),0)</f>
        <v>0</v>
      </c>
      <c r="AL1174" s="80">
        <f>IF(AND(AC1174=1,AI1174=1),MAX(0,MIN(AA1174,CFG_WEM)-CFG_WSM),0)</f>
        <v>0</v>
      </c>
      <c r="AM1174" s="80">
        <f>AK1174+AL1174</f>
        <v>0</v>
      </c>
      <c r="AN1174" s="80">
        <f>IF(CFG_BRK="Proporcional",IF(AD1174=0,0,AF1174*AM1174/AD1174),IF(CFG_BRK="Extras primero",MIN(AM1174,MAX(0,AF1174-(AD1174-AM1174))),MIN(AF1174,AM1174)))</f>
        <v>0</v>
      </c>
      <c r="AO1174" s="80">
        <f>AF1174-AN1174</f>
        <v>0</v>
      </c>
      <c r="AP1174" s="80">
        <f>AM1174-AN1174</f>
        <v>0</v>
      </c>
      <c r="AQ1174" s="80">
        <f>AD1174-AM1174-AO1174</f>
        <v>0</v>
      </c>
      <c r="AR1174" s="80">
        <f>IF(AM1174=0,0,AK1174-AN1174*AK1174/AM1174)</f>
        <v>0</v>
      </c>
      <c r="AS1174" s="80">
        <f>IF(AD1174-AM1174=0,0,(AJ1174-AK1174)-AO1174*(AJ1174-AK1174)/(AD1174-AM1174))</f>
        <v>0</v>
      </c>
      <c r="AT1174" s="80" t="str">
        <f>IF(AC1174=1,INT(B1174)+1,"")</f>
        <v/>
      </c>
      <c r="AU1174" s="80">
        <f>IF(AND(D1174="proMX",R1174="Cancelled"),0,1)</f>
        <v>1</v>
      </c>
      <c r="AV1174" s="80">
        <f>IF(AND(AB1174=1,AU1174=1),IF(COUNTIFS($D$5:D1173,D1174,$B$5:B1173,B1174,$Z$5:Z1173,Z1174,$AA$5:AA1173,AA1174,$F$5:F1173,F1174&amp;"",$AU$5:AU1173,1)&gt;0,1,0),0)</f>
        <v>0</v>
      </c>
      <c r="AW1174" s="80" t="str">
        <f>IF(AB1174=1,INT(B1174)*1440+Z1174,"")</f>
        <v/>
      </c>
      <c r="AX1174" s="80" t="str">
        <f>IF(AB1174=1,AW1174+AD1174,"")</f>
        <v/>
      </c>
      <c r="AY1174" s="80">
        <f>IF(AND(AB1174=1,AV1174=0,AU1174=1),1,0)</f>
        <v>0</v>
      </c>
      <c r="AZ1174" s="80">
        <f>IF(AY1174=1,COUNTIFS(R_Emp,D1174,R_SAbs,"&lt;"&amp;AX1174,R_EAbs,"&gt;"&amp;AW1174,R_OKey,1)-1,0)</f>
        <v>0</v>
      </c>
      <c r="BA1174" s="80">
        <f>IF(AY1174=1,COUNTIFS(R_Emp,"&lt;&gt;"&amp;D1174,R_SAbs,"&lt;"&amp;AX1174,R_EAbs,"&gt;"&amp;AW1174,R_OKey,1),0)</f>
        <v>0</v>
      </c>
      <c r="BB1174" s="80">
        <f>IF(AND(AB1174=1,D1174="proMX"),IF(AND(MOD(Z1174,CFG_BLK)=0,MOD(AA1174,CFG_BLK)=0,MOD(AG1174,CFG_BLK)=0,AG1174&gt;0),1,0),1)</f>
        <v>1</v>
      </c>
      <c r="BC1174" s="80" t="str">
        <f>IF(Y1174=0,"",IF(NOT(ISNUMBER(B1174)),"Falta fecha o fecha inválida",IF(D1174="","Falta empresa",IF(AND(D1174&lt;&gt;"Malcolm",D1174&lt;&gt;"proMX"),"Empresa inválida",IF(OR(INT(B1174)&lt;CFG_PSTART,INT(B1174)&gt;CFG_PEND),"Fecha fuera del período",IF(OR(NOT(ISNUMBER(Z1174)),NOT(ISNUMBER(AA1174))),"Falta hora inicio/fin o formato inválido",IF(AB1174=0,"Hora inicio = hora fin",IF(AE1174&lt;0,"Descanso inválido",IF(AE1174&gt;=AD1174,"Descanso ≥ duración",IF(AV1174=1,"Registro duplicado",IF(AZ1174&gt;0,"Se superpone con otro registro "&amp;D1174,IF(BB1174=0,"inicio, fin y duración neta deben ser múltiplos de "&amp;CFG_BLK&amp;" min",""))))))))))))</f>
        <v/>
      </c>
      <c r="BD1174" s="80">
        <f>IF(AND(Y1174=1,BC1174=""),1,0)</f>
        <v>0</v>
      </c>
      <c r="BE1174" s="80">
        <f>IF(AND(BD1174=1,AU1174=1),1,0)</f>
        <v>0</v>
      </c>
      <c r="BF1174" s="80" t="str">
        <f>IF(AND(D1174="proMX",BD1174=1),IF(R1174="","Draft",R1174),"")</f>
        <v/>
      </c>
      <c r="BG1174" s="80">
        <f>IF(BD1174=1,ROUND(AG1174/60,6),0)</f>
        <v>0</v>
      </c>
      <c r="BH1174" s="80">
        <f>IF(BE1174=1,ROUND(AG1174/60,6),0)</f>
        <v>0</v>
      </c>
      <c r="BI1174" s="80">
        <f>IF(BE1174=1,ROUND(AP1174/60,6),0)</f>
        <v>0</v>
      </c>
      <c r="BJ1174" s="80">
        <f>IF(BE1174=1,ROUND(AQ1174/60,6),0)</f>
        <v>0</v>
      </c>
      <c r="BK1174" s="80">
        <f>IF(BE1174=1,ROUND((AR1174+AS1174)/60,6),0)</f>
        <v>0</v>
      </c>
      <c r="BL1174" s="80">
        <f>ROUND(BH1174-BK1174,6)</f>
        <v>0</v>
      </c>
      <c r="BM1174" s="80">
        <f>IF(BE1174=1,ROUND(AR1174/60,6),0)</f>
        <v>0</v>
      </c>
      <c r="BN1174" s="80">
        <f>ROUND(BI1174-BM1174,6)</f>
        <v>0</v>
      </c>
      <c r="BO1174" s="80">
        <f>IF(BE1174=1,ROUND(AS1174/60,6),0)</f>
        <v>0</v>
      </c>
      <c r="BP1174" s="80">
        <f>ROUND(BJ1174-BO1174,6)</f>
        <v>0</v>
      </c>
      <c r="BQ1174" s="80">
        <f>IF(BE1174=1,AW1174,0)</f>
        <v>0</v>
      </c>
      <c r="BR1174" s="80">
        <f>IF(BE1174=1,AX1174,0)</f>
        <v>0</v>
      </c>
      <c r="BS1174" s="80">
        <f>IF(AND(BE1174=1,D1174="Malcolm",BA1174&gt;0),MIN(BH1174,SUMPRODUCT((R_Emp="proMX")*(R_EN&gt;0)*((R_EN-(R_EN&gt;BR1174)*(R_EN-BR1174))&gt;(R_SN+(R_SN&lt;BQ1174)*(BQ1174-R_SN)))*((R_EN-(R_EN&gt;BR1174)*(R_EN-BR1174))-(R_SN+(R_SN&lt;BQ1174)*(BQ1174-R_SN))))/60),0)</f>
        <v>0</v>
      </c>
      <c r="BT1174" s="80">
        <f>IF(AND(BE1174=1,D1174="proMX"),ROUND(BI1174*CFG_RATE+BJ1174*CFG_OTRATE,6),0)</f>
        <v>0</v>
      </c>
      <c r="BU1174" s="80">
        <f>IF(AND(BD1174=1,D1174="proMX"),ROUND(AG1174/CFG_BLK,6),0)</f>
        <v>0</v>
      </c>
      <c r="BV1174" s="80" t="str">
        <f>IF(BF1174="Approved",IF(ISNUMBER(T1174),INT(T1174),INT(B1174)),"")</f>
        <v/>
      </c>
      <c r="BW1174" s="80">
        <f>IF(ISNUMBER(B1174),IF(DB_MON="Todos",1,IF(AND(INT(B1174)&gt;=DB_MS,INT(B1174)&lt;=DB_ME),1,0)),0)</f>
        <v>0</v>
      </c>
      <c r="BX1174" s="80">
        <f>IF(DB_PROJ="Todos",1,IF(E1174&amp;""=DB_PROJ&amp;"",1,0))</f>
        <v>1</v>
      </c>
      <c r="BY1174" s="80">
        <f>BW1174*BX1174</f>
        <v>0</v>
      </c>
      <c r="BZ1174" s="80" t="str">
        <f>IF(Y1174=1,F1174&amp;IF(AND(F1174&amp;""&lt;&gt;"",E1174&amp;""&lt;&gt;"")," · ","")&amp;E1174,"")</f>
        <v/>
      </c>
      <c r="CA1174" s="80" t="str">
        <f>IF(AND(BD1174=1,E1174&amp;""&lt;&gt;""),IF(COUNTIFS($E$5:E1173,E1174,$BD$5:BD1173,1)=0,MAX($CA$5:CA1173)+1,""),"")</f>
        <v/>
      </c>
      <c r="CB1174" s="80" t="str">
        <f>IF(AND(BE1174=1,D1174="Malcolm",E1174&amp;""&lt;&gt;""),IF(COUNTIFS($D$5:D1173,"Malcolm",$E$5:E1173,E1174,$BE$5:BE1173,1)=0,MAX($CB$5:CB1173)+1,""),"")</f>
        <v/>
      </c>
      <c r="CC1174" s="80" t="str">
        <f>IF(AND(BD1174=1,D1174="proMX",E1174&amp;""&lt;&gt;""),IF(COUNTIFS($D$5:D1173,"proMX",$E$5:E1173,E1174,$BD$5:BD1173,1)=0,MAX($CC$5:CC1173)+1,""),"")</f>
        <v/>
      </c>
      <c r="CD1174" s="80" t="str">
        <f>IF(AND(BE1174=1,D1174="Malcolm",F1174&amp;""&lt;&gt;""),IF(COUNTIFS($D$5:D1173,"Malcolm",$F$5:F1173,F1174,$BE$5:BE1173,1)=0,MAX($CD$5:CD1173)+1,""),"")</f>
        <v/>
      </c>
      <c r="CE1174" s="80" t="str">
        <f>IF(AND(BD1174=1,D1174="proMX",F1174&amp;""&lt;&gt;""),IF(COUNTIFS($D$5:D1173,"proMX",$F$5:F1173,F1174,$BD$5:BD1173,1)=0,MAX($CE$5:CE1173)+1,""),"")</f>
        <v/>
      </c>
      <c r="CF1174" s="80" t="str">
        <f>IF(AND(D1174="proMX",BD1174=1),IF(OR(BF1174="Draft",BF1174="Submitted",BF1174="Returned",BF1174="Recall Requested"),MAX($CF$5:CF1173)+1,""),"")</f>
        <v/>
      </c>
      <c r="CG1174" s="80">
        <f>IF(BD1174=0,0,IF(D1174="Malcolm",1,MATCH(BF1174,{"Draft","Submitted","Approved","Returned","Recall Requested","Cancelled"},0)+1))</f>
        <v>0</v>
      </c>
      <c r="CH1174" s="80">
        <f>IF(AND(BF1174="Submitted",ISNUMBER(V1174)),IF(V1174&gt;CFG_MAXD,1,0),0)</f>
        <v>0</v>
      </c>
    </row>
    <row r="1175">
      <c r="A1175" s="71" t="str">
        <f>IF(Y1175=1,ROW()-5,"")</f>
        <v/>
      </c>
      <c r="B1175" s="72" t="n"/>
      <c r="C1175" s="71" t="str">
        <f>IF(ISNUMBER(B1175),CHOOSE(WEEKDAY(B1175,2),"Lun","Mar","Mié","Jue","Vie","Sáb","Dom"),"")</f>
        <v/>
      </c>
      <c r="D1175" s="73" t="n"/>
      <c r="E1175" s="74" t="n"/>
      <c r="F1175" s="74" t="n"/>
      <c r="G1175" s="74" t="n"/>
      <c r="H1175" s="75" t="n"/>
      <c r="I1175" s="75" t="n"/>
      <c r="J1175" s="76" t="n"/>
      <c r="K1175" s="77" t="str">
        <f>IF(AB1175=1,ROUND(AG1175/60,4),"")</f>
        <v/>
      </c>
      <c r="L1175" s="77" t="str">
        <f>IF(BD1175=1,ROUND(AP1175/60,4),"")</f>
        <v/>
      </c>
      <c r="M1175" s="77" t="str">
        <f>IF(BD1175=1,ROUND(AQ1175/60,4),"")</f>
        <v/>
      </c>
      <c r="N1175" s="71" t="str">
        <f>IF(AND(D1175="proMX",AB1175=1),ROUND(AG1175/CFG_BLK,2),"")</f>
        <v/>
      </c>
      <c r="O1175" s="77" t="str">
        <f>IF(D1175="proMX",IF(BD1175=1,ROUND(AG1175/60,4),0),"")</f>
        <v/>
      </c>
      <c r="P1175" s="78" t="str">
        <f>IF(Y1175=0,"",IF(BD1175=1,"OK",IF(D1175="proMX","Revisar bloques: ","Revisar: ")&amp;BC1175))</f>
        <v/>
      </c>
      <c r="Q1175" s="78" t="str">
        <f>IF(NOT(ISNUMBER(B1175)),"",IF(COUNTIFS(FER_F,INT(B1175))&gt;0,"Feriado"&amp;IF(AH1175=1," (laborable)"," (no laborable)"),IF(AH1175=1,"Laborable",IF(WEEKDAY(B1175,2)&gt;5,"Fin de semana","No laborable"))))</f>
        <v/>
      </c>
      <c r="R1175" s="73" t="n"/>
      <c r="S1175" s="72" t="n"/>
      <c r="T1175" s="72" t="n"/>
      <c r="U1175" s="74" t="n"/>
      <c r="V1175" s="79" t="str">
        <f>IF(AND(D1175="proMX",OR(R1175="Submitted",R1175="Recall Requested"),ISNUMBER(S1175)),CFG_TODAY-INT(S1175),"")</f>
        <v/>
      </c>
      <c r="W1175" s="78" t="str">
        <f>IF(BD1175=0,"",IF(BA1175&gt;0,"⚠ Se superpone con un registro de la otra empresa",IF(D1175="Malcolm",IF(COUNTA(R1175,S1175,T1175)&gt;0,"Estado/fechas proMX se ignoran en Malcolm",""),IF(BF1175="Cancelled","Cancelado: excluido de totales",IF(R1175="","Sin estado: se trata como Draft",IF(BF1175="Submitted",IF(ISNUMBER(V1175),IF(V1175&gt;CFG_MAXD,"⚠ "&amp;V1175&amp;" días en Submitted (máx. "&amp;CFG_MAXD&amp;")",""),"Falta fecha de envío"),IF(BF1175="Returned","⚠ Devuelto: corregir y reenviar",IF(BF1175="Recall Requested","Retirada solicitada: pendiente",IF(AND(BF1175="Approved",NOT(ISNUMBER(T1175))),"Falta fecha de aprobación",IF(AND(ISNUMBER(S1175),ISNUMBER(T1175),T1175&lt;S1175),"Aprobación anterior al envío","")))))))))</f>
        <v/>
      </c>
      <c r="Y1175" s="80">
        <f>IF(COUNTA(B1175,D1175,E1175,F1175,G1175,H1175,I1175,J1175,R1175,S1175,T1175)&gt;0,1,0)</f>
        <v>0</v>
      </c>
      <c r="Z1175" s="80" t="str">
        <f>IF(AND(ISNUMBER(H1175),H1175&gt;=0,H1175&lt;1),ROUND(H1175*1440,0),"")</f>
        <v/>
      </c>
      <c r="AA1175" s="80" t="str">
        <f>IF(AND(ISNUMBER(I1175),I1175&gt;=0,I1175&lt;1),ROUND(I1175*1440,0),"")</f>
        <v/>
      </c>
      <c r="AB1175" s="80">
        <f>IF(AND(ISNUMBER(B1175),D1175&lt;&gt;"",ISNUMBER(Z1175),ISNUMBER(AA1175)),IF(Z1175=AA1175,0,1),0)</f>
        <v>0</v>
      </c>
      <c r="AC1175" s="80">
        <f>IF(AB1175=1,IF(AA1175&lt;Z1175,1,0),0)</f>
        <v>0</v>
      </c>
      <c r="AD1175" s="80">
        <f>IF(AB1175=1,IF(AC1175=1,1440-Z1175+AA1175,AA1175-Z1175),0)</f>
        <v>0</v>
      </c>
      <c r="AE1175" s="80">
        <f>IF(J1175="",0,IF(ISNUMBER(J1175),J1175,-1))</f>
        <v>0</v>
      </c>
      <c r="AF1175" s="80">
        <f>MIN(MAX(0,AE1175),AD1175)</f>
        <v>0</v>
      </c>
      <c r="AG1175" s="80">
        <f>MAX(0,AD1175-MAX(0,AE1175))</f>
        <v>0</v>
      </c>
      <c r="AH1175" s="80">
        <f>IF(ISNUMBER(B1175),IF(AND(INDEX(CFG_WDAYS,WEEKDAY(INT(B1175),2))="Sí",IF(D1175="proMX",COUNTIFS(FER_F,INT(B1175),FER_NLP,"Sí"),COUNTIFS(FER_F,INT(B1175),FER_NLM,"Sí"))=0),1,0),0)</f>
        <v>0</v>
      </c>
      <c r="AI1175" s="80">
        <f>IF(AC1175=1,IF(AND(INDEX(CFG_WDAYS,WEEKDAY(INT(B1175)+1,2))="Sí",IF(D1175="proMX",COUNTIFS(FER_F,INT(B1175)+1,FER_NLP,"Sí"),COUNTIFS(FER_F,INT(B1175)+1,FER_NLM,"Sí"))=0),1,0),0)</f>
        <v>0</v>
      </c>
      <c r="AJ1175" s="80">
        <f>IF(AC1175=1,1440-Z1175,AD1175)</f>
        <v>0</v>
      </c>
      <c r="AK1175" s="80">
        <f>IF(AND(AB1175=1,AH1175=1),MAX(0,MIN(IF(AC1175=1,1440,AA1175),CFG_WEM)-MAX(Z1175,CFG_WSM)),0)</f>
        <v>0</v>
      </c>
      <c r="AL1175" s="80">
        <f>IF(AND(AC1175=1,AI1175=1),MAX(0,MIN(AA1175,CFG_WEM)-CFG_WSM),0)</f>
        <v>0</v>
      </c>
      <c r="AM1175" s="80">
        <f>AK1175+AL1175</f>
        <v>0</v>
      </c>
      <c r="AN1175" s="80">
        <f>IF(CFG_BRK="Proporcional",IF(AD1175=0,0,AF1175*AM1175/AD1175),IF(CFG_BRK="Extras primero",MIN(AM1175,MAX(0,AF1175-(AD1175-AM1175))),MIN(AF1175,AM1175)))</f>
        <v>0</v>
      </c>
      <c r="AO1175" s="80">
        <f>AF1175-AN1175</f>
        <v>0</v>
      </c>
      <c r="AP1175" s="80">
        <f>AM1175-AN1175</f>
        <v>0</v>
      </c>
      <c r="AQ1175" s="80">
        <f>AD1175-AM1175-AO1175</f>
        <v>0</v>
      </c>
      <c r="AR1175" s="80">
        <f>IF(AM1175=0,0,AK1175-AN1175*AK1175/AM1175)</f>
        <v>0</v>
      </c>
      <c r="AS1175" s="80">
        <f>IF(AD1175-AM1175=0,0,(AJ1175-AK1175)-AO1175*(AJ1175-AK1175)/(AD1175-AM1175))</f>
        <v>0</v>
      </c>
      <c r="AT1175" s="80" t="str">
        <f>IF(AC1175=1,INT(B1175)+1,"")</f>
        <v/>
      </c>
      <c r="AU1175" s="80">
        <f>IF(AND(D1175="proMX",R1175="Cancelled"),0,1)</f>
        <v>1</v>
      </c>
      <c r="AV1175" s="80">
        <f>IF(AND(AB1175=1,AU1175=1),IF(COUNTIFS($D$5:D1174,D1175,$B$5:B1174,B1175,$Z$5:Z1174,Z1175,$AA$5:AA1174,AA1175,$F$5:F1174,F1175&amp;"",$AU$5:AU1174,1)&gt;0,1,0),0)</f>
        <v>0</v>
      </c>
      <c r="AW1175" s="80" t="str">
        <f>IF(AB1175=1,INT(B1175)*1440+Z1175,"")</f>
        <v/>
      </c>
      <c r="AX1175" s="80" t="str">
        <f>IF(AB1175=1,AW1175+AD1175,"")</f>
        <v/>
      </c>
      <c r="AY1175" s="80">
        <f>IF(AND(AB1175=1,AV1175=0,AU1175=1),1,0)</f>
        <v>0</v>
      </c>
      <c r="AZ1175" s="80">
        <f>IF(AY1175=1,COUNTIFS(R_Emp,D1175,R_SAbs,"&lt;"&amp;AX1175,R_EAbs,"&gt;"&amp;AW1175,R_OKey,1)-1,0)</f>
        <v>0</v>
      </c>
      <c r="BA1175" s="80">
        <f>IF(AY1175=1,COUNTIFS(R_Emp,"&lt;&gt;"&amp;D1175,R_SAbs,"&lt;"&amp;AX1175,R_EAbs,"&gt;"&amp;AW1175,R_OKey,1),0)</f>
        <v>0</v>
      </c>
      <c r="BB1175" s="80">
        <f>IF(AND(AB1175=1,D1175="proMX"),IF(AND(MOD(Z1175,CFG_BLK)=0,MOD(AA1175,CFG_BLK)=0,MOD(AG1175,CFG_BLK)=0,AG1175&gt;0),1,0),1)</f>
        <v>1</v>
      </c>
      <c r="BC1175" s="80" t="str">
        <f>IF(Y1175=0,"",IF(NOT(ISNUMBER(B1175)),"Falta fecha o fecha inválida",IF(D1175="","Falta empresa",IF(AND(D1175&lt;&gt;"Malcolm",D1175&lt;&gt;"proMX"),"Empresa inválida",IF(OR(INT(B1175)&lt;CFG_PSTART,INT(B1175)&gt;CFG_PEND),"Fecha fuera del período",IF(OR(NOT(ISNUMBER(Z1175)),NOT(ISNUMBER(AA1175))),"Falta hora inicio/fin o formato inválido",IF(AB1175=0,"Hora inicio = hora fin",IF(AE1175&lt;0,"Descanso inválido",IF(AE1175&gt;=AD1175,"Descanso ≥ duración",IF(AV1175=1,"Registro duplicado",IF(AZ1175&gt;0,"Se superpone con otro registro "&amp;D1175,IF(BB1175=0,"inicio, fin y duración neta deben ser múltiplos de "&amp;CFG_BLK&amp;" min",""))))))))))))</f>
        <v/>
      </c>
      <c r="BD1175" s="80">
        <f>IF(AND(Y1175=1,BC1175=""),1,0)</f>
        <v>0</v>
      </c>
      <c r="BE1175" s="80">
        <f>IF(AND(BD1175=1,AU1175=1),1,0)</f>
        <v>0</v>
      </c>
      <c r="BF1175" s="80" t="str">
        <f>IF(AND(D1175="proMX",BD1175=1),IF(R1175="","Draft",R1175),"")</f>
        <v/>
      </c>
      <c r="BG1175" s="80">
        <f>IF(BD1175=1,ROUND(AG1175/60,6),0)</f>
        <v>0</v>
      </c>
      <c r="BH1175" s="80">
        <f>IF(BE1175=1,ROUND(AG1175/60,6),0)</f>
        <v>0</v>
      </c>
      <c r="BI1175" s="80">
        <f>IF(BE1175=1,ROUND(AP1175/60,6),0)</f>
        <v>0</v>
      </c>
      <c r="BJ1175" s="80">
        <f>IF(BE1175=1,ROUND(AQ1175/60,6),0)</f>
        <v>0</v>
      </c>
      <c r="BK1175" s="80">
        <f>IF(BE1175=1,ROUND((AR1175+AS1175)/60,6),0)</f>
        <v>0</v>
      </c>
      <c r="BL1175" s="80">
        <f>ROUND(BH1175-BK1175,6)</f>
        <v>0</v>
      </c>
      <c r="BM1175" s="80">
        <f>IF(BE1175=1,ROUND(AR1175/60,6),0)</f>
        <v>0</v>
      </c>
      <c r="BN1175" s="80">
        <f>ROUND(BI1175-BM1175,6)</f>
        <v>0</v>
      </c>
      <c r="BO1175" s="80">
        <f>IF(BE1175=1,ROUND(AS1175/60,6),0)</f>
        <v>0</v>
      </c>
      <c r="BP1175" s="80">
        <f>ROUND(BJ1175-BO1175,6)</f>
        <v>0</v>
      </c>
      <c r="BQ1175" s="80">
        <f>IF(BE1175=1,AW1175,0)</f>
        <v>0</v>
      </c>
      <c r="BR1175" s="80">
        <f>IF(BE1175=1,AX1175,0)</f>
        <v>0</v>
      </c>
      <c r="BS1175" s="80">
        <f>IF(AND(BE1175=1,D1175="Malcolm",BA1175&gt;0),MIN(BH1175,SUMPRODUCT((R_Emp="proMX")*(R_EN&gt;0)*((R_EN-(R_EN&gt;BR1175)*(R_EN-BR1175))&gt;(R_SN+(R_SN&lt;BQ1175)*(BQ1175-R_SN)))*((R_EN-(R_EN&gt;BR1175)*(R_EN-BR1175))-(R_SN+(R_SN&lt;BQ1175)*(BQ1175-R_SN))))/60),0)</f>
        <v>0</v>
      </c>
      <c r="BT1175" s="80">
        <f>IF(AND(BE1175=1,D1175="proMX"),ROUND(BI1175*CFG_RATE+BJ1175*CFG_OTRATE,6),0)</f>
        <v>0</v>
      </c>
      <c r="BU1175" s="80">
        <f>IF(AND(BD1175=1,D1175="proMX"),ROUND(AG1175/CFG_BLK,6),0)</f>
        <v>0</v>
      </c>
      <c r="BV1175" s="80" t="str">
        <f>IF(BF1175="Approved",IF(ISNUMBER(T1175),INT(T1175),INT(B1175)),"")</f>
        <v/>
      </c>
      <c r="BW1175" s="80">
        <f>IF(ISNUMBER(B1175),IF(DB_MON="Todos",1,IF(AND(INT(B1175)&gt;=DB_MS,INT(B1175)&lt;=DB_ME),1,0)),0)</f>
        <v>0</v>
      </c>
      <c r="BX1175" s="80">
        <f>IF(DB_PROJ="Todos",1,IF(E1175&amp;""=DB_PROJ&amp;"",1,0))</f>
        <v>1</v>
      </c>
      <c r="BY1175" s="80">
        <f>BW1175*BX1175</f>
        <v>0</v>
      </c>
      <c r="BZ1175" s="80" t="str">
        <f>IF(Y1175=1,F1175&amp;IF(AND(F1175&amp;""&lt;&gt;"",E1175&amp;""&lt;&gt;"")," · ","")&amp;E1175,"")</f>
        <v/>
      </c>
      <c r="CA1175" s="80" t="str">
        <f>IF(AND(BD1175=1,E1175&amp;""&lt;&gt;""),IF(COUNTIFS($E$5:E1174,E1175,$BD$5:BD1174,1)=0,MAX($CA$5:CA1174)+1,""),"")</f>
        <v/>
      </c>
      <c r="CB1175" s="80" t="str">
        <f>IF(AND(BE1175=1,D1175="Malcolm",E1175&amp;""&lt;&gt;""),IF(COUNTIFS($D$5:D1174,"Malcolm",$E$5:E1174,E1175,$BE$5:BE1174,1)=0,MAX($CB$5:CB1174)+1,""),"")</f>
        <v/>
      </c>
      <c r="CC1175" s="80" t="str">
        <f>IF(AND(BD1175=1,D1175="proMX",E1175&amp;""&lt;&gt;""),IF(COUNTIFS($D$5:D1174,"proMX",$E$5:E1174,E1175,$BD$5:BD1174,1)=0,MAX($CC$5:CC1174)+1,""),"")</f>
        <v/>
      </c>
      <c r="CD1175" s="80" t="str">
        <f>IF(AND(BE1175=1,D1175="Malcolm",F1175&amp;""&lt;&gt;""),IF(COUNTIFS($D$5:D1174,"Malcolm",$F$5:F1174,F1175,$BE$5:BE1174,1)=0,MAX($CD$5:CD1174)+1,""),"")</f>
        <v/>
      </c>
      <c r="CE1175" s="80" t="str">
        <f>IF(AND(BD1175=1,D1175="proMX",F1175&amp;""&lt;&gt;""),IF(COUNTIFS($D$5:D1174,"proMX",$F$5:F1174,F1175,$BD$5:BD1174,1)=0,MAX($CE$5:CE1174)+1,""),"")</f>
        <v/>
      </c>
      <c r="CF1175" s="80" t="str">
        <f>IF(AND(D1175="proMX",BD1175=1),IF(OR(BF1175="Draft",BF1175="Submitted",BF1175="Returned",BF1175="Recall Requested"),MAX($CF$5:CF1174)+1,""),"")</f>
        <v/>
      </c>
      <c r="CG1175" s="80">
        <f>IF(BD1175=0,0,IF(D1175="Malcolm",1,MATCH(BF1175,{"Draft","Submitted","Approved","Returned","Recall Requested","Cancelled"},0)+1))</f>
        <v>0</v>
      </c>
      <c r="CH1175" s="80">
        <f>IF(AND(BF1175="Submitted",ISNUMBER(V1175)),IF(V1175&gt;CFG_MAXD,1,0),0)</f>
        <v>0</v>
      </c>
    </row>
    <row r="1176">
      <c r="A1176" s="71" t="str">
        <f>IF(Y1176=1,ROW()-5,"")</f>
        <v/>
      </c>
      <c r="B1176" s="72" t="n"/>
      <c r="C1176" s="71" t="str">
        <f>IF(ISNUMBER(B1176),CHOOSE(WEEKDAY(B1176,2),"Lun","Mar","Mié","Jue","Vie","Sáb","Dom"),"")</f>
        <v/>
      </c>
      <c r="D1176" s="73" t="n"/>
      <c r="E1176" s="74" t="n"/>
      <c r="F1176" s="74" t="n"/>
      <c r="G1176" s="74" t="n"/>
      <c r="H1176" s="75" t="n"/>
      <c r="I1176" s="75" t="n"/>
      <c r="J1176" s="76" t="n"/>
      <c r="K1176" s="77" t="str">
        <f>IF(AB1176=1,ROUND(AG1176/60,4),"")</f>
        <v/>
      </c>
      <c r="L1176" s="77" t="str">
        <f>IF(BD1176=1,ROUND(AP1176/60,4),"")</f>
        <v/>
      </c>
      <c r="M1176" s="77" t="str">
        <f>IF(BD1176=1,ROUND(AQ1176/60,4),"")</f>
        <v/>
      </c>
      <c r="N1176" s="71" t="str">
        <f>IF(AND(D1176="proMX",AB1176=1),ROUND(AG1176/CFG_BLK,2),"")</f>
        <v/>
      </c>
      <c r="O1176" s="77" t="str">
        <f>IF(D1176="proMX",IF(BD1176=1,ROUND(AG1176/60,4),0),"")</f>
        <v/>
      </c>
      <c r="P1176" s="78" t="str">
        <f>IF(Y1176=0,"",IF(BD1176=1,"OK",IF(D1176="proMX","Revisar bloques: ","Revisar: ")&amp;BC1176))</f>
        <v/>
      </c>
      <c r="Q1176" s="78" t="str">
        <f>IF(NOT(ISNUMBER(B1176)),"",IF(COUNTIFS(FER_F,INT(B1176))&gt;0,"Feriado"&amp;IF(AH1176=1," (laborable)"," (no laborable)"),IF(AH1176=1,"Laborable",IF(WEEKDAY(B1176,2)&gt;5,"Fin de semana","No laborable"))))</f>
        <v/>
      </c>
      <c r="R1176" s="73" t="n"/>
      <c r="S1176" s="72" t="n"/>
      <c r="T1176" s="72" t="n"/>
      <c r="U1176" s="74" t="n"/>
      <c r="V1176" s="79" t="str">
        <f>IF(AND(D1176="proMX",OR(R1176="Submitted",R1176="Recall Requested"),ISNUMBER(S1176)),CFG_TODAY-INT(S1176),"")</f>
        <v/>
      </c>
      <c r="W1176" s="78" t="str">
        <f>IF(BD1176=0,"",IF(BA1176&gt;0,"⚠ Se superpone con un registro de la otra empresa",IF(D1176="Malcolm",IF(COUNTA(R1176,S1176,T1176)&gt;0,"Estado/fechas proMX se ignoran en Malcolm",""),IF(BF1176="Cancelled","Cancelado: excluido de totales",IF(R1176="","Sin estado: se trata como Draft",IF(BF1176="Submitted",IF(ISNUMBER(V1176),IF(V1176&gt;CFG_MAXD,"⚠ "&amp;V1176&amp;" días en Submitted (máx. "&amp;CFG_MAXD&amp;")",""),"Falta fecha de envío"),IF(BF1176="Returned","⚠ Devuelto: corregir y reenviar",IF(BF1176="Recall Requested","Retirada solicitada: pendiente",IF(AND(BF1176="Approved",NOT(ISNUMBER(T1176))),"Falta fecha de aprobación",IF(AND(ISNUMBER(S1176),ISNUMBER(T1176),T1176&lt;S1176),"Aprobación anterior al envío","")))))))))</f>
        <v/>
      </c>
      <c r="Y1176" s="80">
        <f>IF(COUNTA(B1176,D1176,E1176,F1176,G1176,H1176,I1176,J1176,R1176,S1176,T1176)&gt;0,1,0)</f>
        <v>0</v>
      </c>
      <c r="Z1176" s="80" t="str">
        <f>IF(AND(ISNUMBER(H1176),H1176&gt;=0,H1176&lt;1),ROUND(H1176*1440,0),"")</f>
        <v/>
      </c>
      <c r="AA1176" s="80" t="str">
        <f>IF(AND(ISNUMBER(I1176),I1176&gt;=0,I1176&lt;1),ROUND(I1176*1440,0),"")</f>
        <v/>
      </c>
      <c r="AB1176" s="80">
        <f>IF(AND(ISNUMBER(B1176),D1176&lt;&gt;"",ISNUMBER(Z1176),ISNUMBER(AA1176)),IF(Z1176=AA1176,0,1),0)</f>
        <v>0</v>
      </c>
      <c r="AC1176" s="80">
        <f>IF(AB1176=1,IF(AA1176&lt;Z1176,1,0),0)</f>
        <v>0</v>
      </c>
      <c r="AD1176" s="80">
        <f>IF(AB1176=1,IF(AC1176=1,1440-Z1176+AA1176,AA1176-Z1176),0)</f>
        <v>0</v>
      </c>
      <c r="AE1176" s="80">
        <f>IF(J1176="",0,IF(ISNUMBER(J1176),J1176,-1))</f>
        <v>0</v>
      </c>
      <c r="AF1176" s="80">
        <f>MIN(MAX(0,AE1176),AD1176)</f>
        <v>0</v>
      </c>
      <c r="AG1176" s="80">
        <f>MAX(0,AD1176-MAX(0,AE1176))</f>
        <v>0</v>
      </c>
      <c r="AH1176" s="80">
        <f>IF(ISNUMBER(B1176),IF(AND(INDEX(CFG_WDAYS,WEEKDAY(INT(B1176),2))="Sí",IF(D1176="proMX",COUNTIFS(FER_F,INT(B1176),FER_NLP,"Sí"),COUNTIFS(FER_F,INT(B1176),FER_NLM,"Sí"))=0),1,0),0)</f>
        <v>0</v>
      </c>
      <c r="AI1176" s="80">
        <f>IF(AC1176=1,IF(AND(INDEX(CFG_WDAYS,WEEKDAY(INT(B1176)+1,2))="Sí",IF(D1176="proMX",COUNTIFS(FER_F,INT(B1176)+1,FER_NLP,"Sí"),COUNTIFS(FER_F,INT(B1176)+1,FER_NLM,"Sí"))=0),1,0),0)</f>
        <v>0</v>
      </c>
      <c r="AJ1176" s="80">
        <f>IF(AC1176=1,1440-Z1176,AD1176)</f>
        <v>0</v>
      </c>
      <c r="AK1176" s="80">
        <f>IF(AND(AB1176=1,AH1176=1),MAX(0,MIN(IF(AC1176=1,1440,AA1176),CFG_WEM)-MAX(Z1176,CFG_WSM)),0)</f>
        <v>0</v>
      </c>
      <c r="AL1176" s="80">
        <f>IF(AND(AC1176=1,AI1176=1),MAX(0,MIN(AA1176,CFG_WEM)-CFG_WSM),0)</f>
        <v>0</v>
      </c>
      <c r="AM1176" s="80">
        <f>AK1176+AL1176</f>
        <v>0</v>
      </c>
      <c r="AN1176" s="80">
        <f>IF(CFG_BRK="Proporcional",IF(AD1176=0,0,AF1176*AM1176/AD1176),IF(CFG_BRK="Extras primero",MIN(AM1176,MAX(0,AF1176-(AD1176-AM1176))),MIN(AF1176,AM1176)))</f>
        <v>0</v>
      </c>
      <c r="AO1176" s="80">
        <f>AF1176-AN1176</f>
        <v>0</v>
      </c>
      <c r="AP1176" s="80">
        <f>AM1176-AN1176</f>
        <v>0</v>
      </c>
      <c r="AQ1176" s="80">
        <f>AD1176-AM1176-AO1176</f>
        <v>0</v>
      </c>
      <c r="AR1176" s="80">
        <f>IF(AM1176=0,0,AK1176-AN1176*AK1176/AM1176)</f>
        <v>0</v>
      </c>
      <c r="AS1176" s="80">
        <f>IF(AD1176-AM1176=0,0,(AJ1176-AK1176)-AO1176*(AJ1176-AK1176)/(AD1176-AM1176))</f>
        <v>0</v>
      </c>
      <c r="AT1176" s="80" t="str">
        <f>IF(AC1176=1,INT(B1176)+1,"")</f>
        <v/>
      </c>
      <c r="AU1176" s="80">
        <f>IF(AND(D1176="proMX",R1176="Cancelled"),0,1)</f>
        <v>1</v>
      </c>
      <c r="AV1176" s="80">
        <f>IF(AND(AB1176=1,AU1176=1),IF(COUNTIFS($D$5:D1175,D1176,$B$5:B1175,B1176,$Z$5:Z1175,Z1176,$AA$5:AA1175,AA1176,$F$5:F1175,F1176&amp;"",$AU$5:AU1175,1)&gt;0,1,0),0)</f>
        <v>0</v>
      </c>
      <c r="AW1176" s="80" t="str">
        <f>IF(AB1176=1,INT(B1176)*1440+Z1176,"")</f>
        <v/>
      </c>
      <c r="AX1176" s="80" t="str">
        <f>IF(AB1176=1,AW1176+AD1176,"")</f>
        <v/>
      </c>
      <c r="AY1176" s="80">
        <f>IF(AND(AB1176=1,AV1176=0,AU1176=1),1,0)</f>
        <v>0</v>
      </c>
      <c r="AZ1176" s="80">
        <f>IF(AY1176=1,COUNTIFS(R_Emp,D1176,R_SAbs,"&lt;"&amp;AX1176,R_EAbs,"&gt;"&amp;AW1176,R_OKey,1)-1,0)</f>
        <v>0</v>
      </c>
      <c r="BA1176" s="80">
        <f>IF(AY1176=1,COUNTIFS(R_Emp,"&lt;&gt;"&amp;D1176,R_SAbs,"&lt;"&amp;AX1176,R_EAbs,"&gt;"&amp;AW1176,R_OKey,1),0)</f>
        <v>0</v>
      </c>
      <c r="BB1176" s="80">
        <f>IF(AND(AB1176=1,D1176="proMX"),IF(AND(MOD(Z1176,CFG_BLK)=0,MOD(AA1176,CFG_BLK)=0,MOD(AG1176,CFG_BLK)=0,AG1176&gt;0),1,0),1)</f>
        <v>1</v>
      </c>
      <c r="BC1176" s="80" t="str">
        <f>IF(Y1176=0,"",IF(NOT(ISNUMBER(B1176)),"Falta fecha o fecha inválida",IF(D1176="","Falta empresa",IF(AND(D1176&lt;&gt;"Malcolm",D1176&lt;&gt;"proMX"),"Empresa inválida",IF(OR(INT(B1176)&lt;CFG_PSTART,INT(B1176)&gt;CFG_PEND),"Fecha fuera del período",IF(OR(NOT(ISNUMBER(Z1176)),NOT(ISNUMBER(AA1176))),"Falta hora inicio/fin o formato inválido",IF(AB1176=0,"Hora inicio = hora fin",IF(AE1176&lt;0,"Descanso inválido",IF(AE1176&gt;=AD1176,"Descanso ≥ duración",IF(AV1176=1,"Registro duplicado",IF(AZ1176&gt;0,"Se superpone con otro registro "&amp;D1176,IF(BB1176=0,"inicio, fin y duración neta deben ser múltiplos de "&amp;CFG_BLK&amp;" min",""))))))))))))</f>
        <v/>
      </c>
      <c r="BD1176" s="80">
        <f>IF(AND(Y1176=1,BC1176=""),1,0)</f>
        <v>0</v>
      </c>
      <c r="BE1176" s="80">
        <f>IF(AND(BD1176=1,AU1176=1),1,0)</f>
        <v>0</v>
      </c>
      <c r="BF1176" s="80" t="str">
        <f>IF(AND(D1176="proMX",BD1176=1),IF(R1176="","Draft",R1176),"")</f>
        <v/>
      </c>
      <c r="BG1176" s="80">
        <f>IF(BD1176=1,ROUND(AG1176/60,6),0)</f>
        <v>0</v>
      </c>
      <c r="BH1176" s="80">
        <f>IF(BE1176=1,ROUND(AG1176/60,6),0)</f>
        <v>0</v>
      </c>
      <c r="BI1176" s="80">
        <f>IF(BE1176=1,ROUND(AP1176/60,6),0)</f>
        <v>0</v>
      </c>
      <c r="BJ1176" s="80">
        <f>IF(BE1176=1,ROUND(AQ1176/60,6),0)</f>
        <v>0</v>
      </c>
      <c r="BK1176" s="80">
        <f>IF(BE1176=1,ROUND((AR1176+AS1176)/60,6),0)</f>
        <v>0</v>
      </c>
      <c r="BL1176" s="80">
        <f>ROUND(BH1176-BK1176,6)</f>
        <v>0</v>
      </c>
      <c r="BM1176" s="80">
        <f>IF(BE1176=1,ROUND(AR1176/60,6),0)</f>
        <v>0</v>
      </c>
      <c r="BN1176" s="80">
        <f>ROUND(BI1176-BM1176,6)</f>
        <v>0</v>
      </c>
      <c r="BO1176" s="80">
        <f>IF(BE1176=1,ROUND(AS1176/60,6),0)</f>
        <v>0</v>
      </c>
      <c r="BP1176" s="80">
        <f>ROUND(BJ1176-BO1176,6)</f>
        <v>0</v>
      </c>
      <c r="BQ1176" s="80">
        <f>IF(BE1176=1,AW1176,0)</f>
        <v>0</v>
      </c>
      <c r="BR1176" s="80">
        <f>IF(BE1176=1,AX1176,0)</f>
        <v>0</v>
      </c>
      <c r="BS1176" s="80">
        <f>IF(AND(BE1176=1,D1176="Malcolm",BA1176&gt;0),MIN(BH1176,SUMPRODUCT((R_Emp="proMX")*(R_EN&gt;0)*((R_EN-(R_EN&gt;BR1176)*(R_EN-BR1176))&gt;(R_SN+(R_SN&lt;BQ1176)*(BQ1176-R_SN)))*((R_EN-(R_EN&gt;BR1176)*(R_EN-BR1176))-(R_SN+(R_SN&lt;BQ1176)*(BQ1176-R_SN))))/60),0)</f>
        <v>0</v>
      </c>
      <c r="BT1176" s="80">
        <f>IF(AND(BE1176=1,D1176="proMX"),ROUND(BI1176*CFG_RATE+BJ1176*CFG_OTRATE,6),0)</f>
        <v>0</v>
      </c>
      <c r="BU1176" s="80">
        <f>IF(AND(BD1176=1,D1176="proMX"),ROUND(AG1176/CFG_BLK,6),0)</f>
        <v>0</v>
      </c>
      <c r="BV1176" s="80" t="str">
        <f>IF(BF1176="Approved",IF(ISNUMBER(T1176),INT(T1176),INT(B1176)),"")</f>
        <v/>
      </c>
      <c r="BW1176" s="80">
        <f>IF(ISNUMBER(B1176),IF(DB_MON="Todos",1,IF(AND(INT(B1176)&gt;=DB_MS,INT(B1176)&lt;=DB_ME),1,0)),0)</f>
        <v>0</v>
      </c>
      <c r="BX1176" s="80">
        <f>IF(DB_PROJ="Todos",1,IF(E1176&amp;""=DB_PROJ&amp;"",1,0))</f>
        <v>1</v>
      </c>
      <c r="BY1176" s="80">
        <f>BW1176*BX1176</f>
        <v>0</v>
      </c>
      <c r="BZ1176" s="80" t="str">
        <f>IF(Y1176=1,F1176&amp;IF(AND(F1176&amp;""&lt;&gt;"",E1176&amp;""&lt;&gt;"")," · ","")&amp;E1176,"")</f>
        <v/>
      </c>
      <c r="CA1176" s="80" t="str">
        <f>IF(AND(BD1176=1,E1176&amp;""&lt;&gt;""),IF(COUNTIFS($E$5:E1175,E1176,$BD$5:BD1175,1)=0,MAX($CA$5:CA1175)+1,""),"")</f>
        <v/>
      </c>
      <c r="CB1176" s="80" t="str">
        <f>IF(AND(BE1176=1,D1176="Malcolm",E1176&amp;""&lt;&gt;""),IF(COUNTIFS($D$5:D1175,"Malcolm",$E$5:E1175,E1176,$BE$5:BE1175,1)=0,MAX($CB$5:CB1175)+1,""),"")</f>
        <v/>
      </c>
      <c r="CC1176" s="80" t="str">
        <f>IF(AND(BD1176=1,D1176="proMX",E1176&amp;""&lt;&gt;""),IF(COUNTIFS($D$5:D1175,"proMX",$E$5:E1175,E1176,$BD$5:BD1175,1)=0,MAX($CC$5:CC1175)+1,""),"")</f>
        <v/>
      </c>
      <c r="CD1176" s="80" t="str">
        <f>IF(AND(BE1176=1,D1176="Malcolm",F1176&amp;""&lt;&gt;""),IF(COUNTIFS($D$5:D1175,"Malcolm",$F$5:F1175,F1176,$BE$5:BE1175,1)=0,MAX($CD$5:CD1175)+1,""),"")</f>
        <v/>
      </c>
      <c r="CE1176" s="80" t="str">
        <f>IF(AND(BD1176=1,D1176="proMX",F1176&amp;""&lt;&gt;""),IF(COUNTIFS($D$5:D1175,"proMX",$F$5:F1175,F1176,$BD$5:BD1175,1)=0,MAX($CE$5:CE1175)+1,""),"")</f>
        <v/>
      </c>
      <c r="CF1176" s="80" t="str">
        <f>IF(AND(D1176="proMX",BD1176=1),IF(OR(BF1176="Draft",BF1176="Submitted",BF1176="Returned",BF1176="Recall Requested"),MAX($CF$5:CF1175)+1,""),"")</f>
        <v/>
      </c>
      <c r="CG1176" s="80">
        <f>IF(BD1176=0,0,IF(D1176="Malcolm",1,MATCH(BF1176,{"Draft","Submitted","Approved","Returned","Recall Requested","Cancelled"},0)+1))</f>
        <v>0</v>
      </c>
      <c r="CH1176" s="80">
        <f>IF(AND(BF1176="Submitted",ISNUMBER(V1176)),IF(V1176&gt;CFG_MAXD,1,0),0)</f>
        <v>0</v>
      </c>
    </row>
    <row r="1177">
      <c r="A1177" s="71" t="str">
        <f>IF(Y1177=1,ROW()-5,"")</f>
        <v/>
      </c>
      <c r="B1177" s="72" t="n"/>
      <c r="C1177" s="71" t="str">
        <f>IF(ISNUMBER(B1177),CHOOSE(WEEKDAY(B1177,2),"Lun","Mar","Mié","Jue","Vie","Sáb","Dom"),"")</f>
        <v/>
      </c>
      <c r="D1177" s="73" t="n"/>
      <c r="E1177" s="74" t="n"/>
      <c r="F1177" s="74" t="n"/>
      <c r="G1177" s="74" t="n"/>
      <c r="H1177" s="75" t="n"/>
      <c r="I1177" s="75" t="n"/>
      <c r="J1177" s="76" t="n"/>
      <c r="K1177" s="77" t="str">
        <f>IF(AB1177=1,ROUND(AG1177/60,4),"")</f>
        <v/>
      </c>
      <c r="L1177" s="77" t="str">
        <f>IF(BD1177=1,ROUND(AP1177/60,4),"")</f>
        <v/>
      </c>
      <c r="M1177" s="77" t="str">
        <f>IF(BD1177=1,ROUND(AQ1177/60,4),"")</f>
        <v/>
      </c>
      <c r="N1177" s="71" t="str">
        <f>IF(AND(D1177="proMX",AB1177=1),ROUND(AG1177/CFG_BLK,2),"")</f>
        <v/>
      </c>
      <c r="O1177" s="77" t="str">
        <f>IF(D1177="proMX",IF(BD1177=1,ROUND(AG1177/60,4),0),"")</f>
        <v/>
      </c>
      <c r="P1177" s="78" t="str">
        <f>IF(Y1177=0,"",IF(BD1177=1,"OK",IF(D1177="proMX","Revisar bloques: ","Revisar: ")&amp;BC1177))</f>
        <v/>
      </c>
      <c r="Q1177" s="78" t="str">
        <f>IF(NOT(ISNUMBER(B1177)),"",IF(COUNTIFS(FER_F,INT(B1177))&gt;0,"Feriado"&amp;IF(AH1177=1," (laborable)"," (no laborable)"),IF(AH1177=1,"Laborable",IF(WEEKDAY(B1177,2)&gt;5,"Fin de semana","No laborable"))))</f>
        <v/>
      </c>
      <c r="R1177" s="73" t="n"/>
      <c r="S1177" s="72" t="n"/>
      <c r="T1177" s="72" t="n"/>
      <c r="U1177" s="74" t="n"/>
      <c r="V1177" s="79" t="str">
        <f>IF(AND(D1177="proMX",OR(R1177="Submitted",R1177="Recall Requested"),ISNUMBER(S1177)),CFG_TODAY-INT(S1177),"")</f>
        <v/>
      </c>
      <c r="W1177" s="78" t="str">
        <f>IF(BD1177=0,"",IF(BA1177&gt;0,"⚠ Se superpone con un registro de la otra empresa",IF(D1177="Malcolm",IF(COUNTA(R1177,S1177,T1177)&gt;0,"Estado/fechas proMX se ignoran en Malcolm",""),IF(BF1177="Cancelled","Cancelado: excluido de totales",IF(R1177="","Sin estado: se trata como Draft",IF(BF1177="Submitted",IF(ISNUMBER(V1177),IF(V1177&gt;CFG_MAXD,"⚠ "&amp;V1177&amp;" días en Submitted (máx. "&amp;CFG_MAXD&amp;")",""),"Falta fecha de envío"),IF(BF1177="Returned","⚠ Devuelto: corregir y reenviar",IF(BF1177="Recall Requested","Retirada solicitada: pendiente",IF(AND(BF1177="Approved",NOT(ISNUMBER(T1177))),"Falta fecha de aprobación",IF(AND(ISNUMBER(S1177),ISNUMBER(T1177),T1177&lt;S1177),"Aprobación anterior al envío","")))))))))</f>
        <v/>
      </c>
      <c r="Y1177" s="80">
        <f>IF(COUNTA(B1177,D1177,E1177,F1177,G1177,H1177,I1177,J1177,R1177,S1177,T1177)&gt;0,1,0)</f>
        <v>0</v>
      </c>
      <c r="Z1177" s="80" t="str">
        <f>IF(AND(ISNUMBER(H1177),H1177&gt;=0,H1177&lt;1),ROUND(H1177*1440,0),"")</f>
        <v/>
      </c>
      <c r="AA1177" s="80" t="str">
        <f>IF(AND(ISNUMBER(I1177),I1177&gt;=0,I1177&lt;1),ROUND(I1177*1440,0),"")</f>
        <v/>
      </c>
      <c r="AB1177" s="80">
        <f>IF(AND(ISNUMBER(B1177),D1177&lt;&gt;"",ISNUMBER(Z1177),ISNUMBER(AA1177)),IF(Z1177=AA1177,0,1),0)</f>
        <v>0</v>
      </c>
      <c r="AC1177" s="80">
        <f>IF(AB1177=1,IF(AA1177&lt;Z1177,1,0),0)</f>
        <v>0</v>
      </c>
      <c r="AD1177" s="80">
        <f>IF(AB1177=1,IF(AC1177=1,1440-Z1177+AA1177,AA1177-Z1177),0)</f>
        <v>0</v>
      </c>
      <c r="AE1177" s="80">
        <f>IF(J1177="",0,IF(ISNUMBER(J1177),J1177,-1))</f>
        <v>0</v>
      </c>
      <c r="AF1177" s="80">
        <f>MIN(MAX(0,AE1177),AD1177)</f>
        <v>0</v>
      </c>
      <c r="AG1177" s="80">
        <f>MAX(0,AD1177-MAX(0,AE1177))</f>
        <v>0</v>
      </c>
      <c r="AH1177" s="80">
        <f>IF(ISNUMBER(B1177),IF(AND(INDEX(CFG_WDAYS,WEEKDAY(INT(B1177),2))="Sí",IF(D1177="proMX",COUNTIFS(FER_F,INT(B1177),FER_NLP,"Sí"),COUNTIFS(FER_F,INT(B1177),FER_NLM,"Sí"))=0),1,0),0)</f>
        <v>0</v>
      </c>
      <c r="AI1177" s="80">
        <f>IF(AC1177=1,IF(AND(INDEX(CFG_WDAYS,WEEKDAY(INT(B1177)+1,2))="Sí",IF(D1177="proMX",COUNTIFS(FER_F,INT(B1177)+1,FER_NLP,"Sí"),COUNTIFS(FER_F,INT(B1177)+1,FER_NLM,"Sí"))=0),1,0),0)</f>
        <v>0</v>
      </c>
      <c r="AJ1177" s="80">
        <f>IF(AC1177=1,1440-Z1177,AD1177)</f>
        <v>0</v>
      </c>
      <c r="AK1177" s="80">
        <f>IF(AND(AB1177=1,AH1177=1),MAX(0,MIN(IF(AC1177=1,1440,AA1177),CFG_WEM)-MAX(Z1177,CFG_WSM)),0)</f>
        <v>0</v>
      </c>
      <c r="AL1177" s="80">
        <f>IF(AND(AC1177=1,AI1177=1),MAX(0,MIN(AA1177,CFG_WEM)-CFG_WSM),0)</f>
        <v>0</v>
      </c>
      <c r="AM1177" s="80">
        <f>AK1177+AL1177</f>
        <v>0</v>
      </c>
      <c r="AN1177" s="80">
        <f>IF(CFG_BRK="Proporcional",IF(AD1177=0,0,AF1177*AM1177/AD1177),IF(CFG_BRK="Extras primero",MIN(AM1177,MAX(0,AF1177-(AD1177-AM1177))),MIN(AF1177,AM1177)))</f>
        <v>0</v>
      </c>
      <c r="AO1177" s="80">
        <f>AF1177-AN1177</f>
        <v>0</v>
      </c>
      <c r="AP1177" s="80">
        <f>AM1177-AN1177</f>
        <v>0</v>
      </c>
      <c r="AQ1177" s="80">
        <f>AD1177-AM1177-AO1177</f>
        <v>0</v>
      </c>
      <c r="AR1177" s="80">
        <f>IF(AM1177=0,0,AK1177-AN1177*AK1177/AM1177)</f>
        <v>0</v>
      </c>
      <c r="AS1177" s="80">
        <f>IF(AD1177-AM1177=0,0,(AJ1177-AK1177)-AO1177*(AJ1177-AK1177)/(AD1177-AM1177))</f>
        <v>0</v>
      </c>
      <c r="AT1177" s="80" t="str">
        <f>IF(AC1177=1,INT(B1177)+1,"")</f>
        <v/>
      </c>
      <c r="AU1177" s="80">
        <f>IF(AND(D1177="proMX",R1177="Cancelled"),0,1)</f>
        <v>1</v>
      </c>
      <c r="AV1177" s="80">
        <f>IF(AND(AB1177=1,AU1177=1),IF(COUNTIFS($D$5:D1176,D1177,$B$5:B1176,B1177,$Z$5:Z1176,Z1177,$AA$5:AA1176,AA1177,$F$5:F1176,F1177&amp;"",$AU$5:AU1176,1)&gt;0,1,0),0)</f>
        <v>0</v>
      </c>
      <c r="AW1177" s="80" t="str">
        <f>IF(AB1177=1,INT(B1177)*1440+Z1177,"")</f>
        <v/>
      </c>
      <c r="AX1177" s="80" t="str">
        <f>IF(AB1177=1,AW1177+AD1177,"")</f>
        <v/>
      </c>
      <c r="AY1177" s="80">
        <f>IF(AND(AB1177=1,AV1177=0,AU1177=1),1,0)</f>
        <v>0</v>
      </c>
      <c r="AZ1177" s="80">
        <f>IF(AY1177=1,COUNTIFS(R_Emp,D1177,R_SAbs,"&lt;"&amp;AX1177,R_EAbs,"&gt;"&amp;AW1177,R_OKey,1)-1,0)</f>
        <v>0</v>
      </c>
      <c r="BA1177" s="80">
        <f>IF(AY1177=1,COUNTIFS(R_Emp,"&lt;&gt;"&amp;D1177,R_SAbs,"&lt;"&amp;AX1177,R_EAbs,"&gt;"&amp;AW1177,R_OKey,1),0)</f>
        <v>0</v>
      </c>
      <c r="BB1177" s="80">
        <f>IF(AND(AB1177=1,D1177="proMX"),IF(AND(MOD(Z1177,CFG_BLK)=0,MOD(AA1177,CFG_BLK)=0,MOD(AG1177,CFG_BLK)=0,AG1177&gt;0),1,0),1)</f>
        <v>1</v>
      </c>
      <c r="BC1177" s="80" t="str">
        <f>IF(Y1177=0,"",IF(NOT(ISNUMBER(B1177)),"Falta fecha o fecha inválida",IF(D1177="","Falta empresa",IF(AND(D1177&lt;&gt;"Malcolm",D1177&lt;&gt;"proMX"),"Empresa inválida",IF(OR(INT(B1177)&lt;CFG_PSTART,INT(B1177)&gt;CFG_PEND),"Fecha fuera del período",IF(OR(NOT(ISNUMBER(Z1177)),NOT(ISNUMBER(AA1177))),"Falta hora inicio/fin o formato inválido",IF(AB1177=0,"Hora inicio = hora fin",IF(AE1177&lt;0,"Descanso inválido",IF(AE1177&gt;=AD1177,"Descanso ≥ duración",IF(AV1177=1,"Registro duplicado",IF(AZ1177&gt;0,"Se superpone con otro registro "&amp;D1177,IF(BB1177=0,"inicio, fin y duración neta deben ser múltiplos de "&amp;CFG_BLK&amp;" min",""))))))))))))</f>
        <v/>
      </c>
      <c r="BD1177" s="80">
        <f>IF(AND(Y1177=1,BC1177=""),1,0)</f>
        <v>0</v>
      </c>
      <c r="BE1177" s="80">
        <f>IF(AND(BD1177=1,AU1177=1),1,0)</f>
        <v>0</v>
      </c>
      <c r="BF1177" s="80" t="str">
        <f>IF(AND(D1177="proMX",BD1177=1),IF(R1177="","Draft",R1177),"")</f>
        <v/>
      </c>
      <c r="BG1177" s="80">
        <f>IF(BD1177=1,ROUND(AG1177/60,6),0)</f>
        <v>0</v>
      </c>
      <c r="BH1177" s="80">
        <f>IF(BE1177=1,ROUND(AG1177/60,6),0)</f>
        <v>0</v>
      </c>
      <c r="BI1177" s="80">
        <f>IF(BE1177=1,ROUND(AP1177/60,6),0)</f>
        <v>0</v>
      </c>
      <c r="BJ1177" s="80">
        <f>IF(BE1177=1,ROUND(AQ1177/60,6),0)</f>
        <v>0</v>
      </c>
      <c r="BK1177" s="80">
        <f>IF(BE1177=1,ROUND((AR1177+AS1177)/60,6),0)</f>
        <v>0</v>
      </c>
      <c r="BL1177" s="80">
        <f>ROUND(BH1177-BK1177,6)</f>
        <v>0</v>
      </c>
      <c r="BM1177" s="80">
        <f>IF(BE1177=1,ROUND(AR1177/60,6),0)</f>
        <v>0</v>
      </c>
      <c r="BN1177" s="80">
        <f>ROUND(BI1177-BM1177,6)</f>
        <v>0</v>
      </c>
      <c r="BO1177" s="80">
        <f>IF(BE1177=1,ROUND(AS1177/60,6),0)</f>
        <v>0</v>
      </c>
      <c r="BP1177" s="80">
        <f>ROUND(BJ1177-BO1177,6)</f>
        <v>0</v>
      </c>
      <c r="BQ1177" s="80">
        <f>IF(BE1177=1,AW1177,0)</f>
        <v>0</v>
      </c>
      <c r="BR1177" s="80">
        <f>IF(BE1177=1,AX1177,0)</f>
        <v>0</v>
      </c>
      <c r="BS1177" s="80">
        <f>IF(AND(BE1177=1,D1177="Malcolm",BA1177&gt;0),MIN(BH1177,SUMPRODUCT((R_Emp="proMX")*(R_EN&gt;0)*((R_EN-(R_EN&gt;BR1177)*(R_EN-BR1177))&gt;(R_SN+(R_SN&lt;BQ1177)*(BQ1177-R_SN)))*((R_EN-(R_EN&gt;BR1177)*(R_EN-BR1177))-(R_SN+(R_SN&lt;BQ1177)*(BQ1177-R_SN))))/60),0)</f>
        <v>0</v>
      </c>
      <c r="BT1177" s="80">
        <f>IF(AND(BE1177=1,D1177="proMX"),ROUND(BI1177*CFG_RATE+BJ1177*CFG_OTRATE,6),0)</f>
        <v>0</v>
      </c>
      <c r="BU1177" s="80">
        <f>IF(AND(BD1177=1,D1177="proMX"),ROUND(AG1177/CFG_BLK,6),0)</f>
        <v>0</v>
      </c>
      <c r="BV1177" s="80" t="str">
        <f>IF(BF1177="Approved",IF(ISNUMBER(T1177),INT(T1177),INT(B1177)),"")</f>
        <v/>
      </c>
      <c r="BW1177" s="80">
        <f>IF(ISNUMBER(B1177),IF(DB_MON="Todos",1,IF(AND(INT(B1177)&gt;=DB_MS,INT(B1177)&lt;=DB_ME),1,0)),0)</f>
        <v>0</v>
      </c>
      <c r="BX1177" s="80">
        <f>IF(DB_PROJ="Todos",1,IF(E1177&amp;""=DB_PROJ&amp;"",1,0))</f>
        <v>1</v>
      </c>
      <c r="BY1177" s="80">
        <f>BW1177*BX1177</f>
        <v>0</v>
      </c>
      <c r="BZ1177" s="80" t="str">
        <f>IF(Y1177=1,F1177&amp;IF(AND(F1177&amp;""&lt;&gt;"",E1177&amp;""&lt;&gt;"")," · ","")&amp;E1177,"")</f>
        <v/>
      </c>
      <c r="CA1177" s="80" t="str">
        <f>IF(AND(BD1177=1,E1177&amp;""&lt;&gt;""),IF(COUNTIFS($E$5:E1176,E1177,$BD$5:BD1176,1)=0,MAX($CA$5:CA1176)+1,""),"")</f>
        <v/>
      </c>
      <c r="CB1177" s="80" t="str">
        <f>IF(AND(BE1177=1,D1177="Malcolm",E1177&amp;""&lt;&gt;""),IF(COUNTIFS($D$5:D1176,"Malcolm",$E$5:E1176,E1177,$BE$5:BE1176,1)=0,MAX($CB$5:CB1176)+1,""),"")</f>
        <v/>
      </c>
      <c r="CC1177" s="80" t="str">
        <f>IF(AND(BD1177=1,D1177="proMX",E1177&amp;""&lt;&gt;""),IF(COUNTIFS($D$5:D1176,"proMX",$E$5:E1176,E1177,$BD$5:BD1176,1)=0,MAX($CC$5:CC1176)+1,""),"")</f>
        <v/>
      </c>
      <c r="CD1177" s="80" t="str">
        <f>IF(AND(BE1177=1,D1177="Malcolm",F1177&amp;""&lt;&gt;""),IF(COUNTIFS($D$5:D1176,"Malcolm",$F$5:F1176,F1177,$BE$5:BE1176,1)=0,MAX($CD$5:CD1176)+1,""),"")</f>
        <v/>
      </c>
      <c r="CE1177" s="80" t="str">
        <f>IF(AND(BD1177=1,D1177="proMX",F1177&amp;""&lt;&gt;""),IF(COUNTIFS($D$5:D1176,"proMX",$F$5:F1176,F1177,$BD$5:BD1176,1)=0,MAX($CE$5:CE1176)+1,""),"")</f>
        <v/>
      </c>
      <c r="CF1177" s="80" t="str">
        <f>IF(AND(D1177="proMX",BD1177=1),IF(OR(BF1177="Draft",BF1177="Submitted",BF1177="Returned",BF1177="Recall Requested"),MAX($CF$5:CF1176)+1,""),"")</f>
        <v/>
      </c>
      <c r="CG1177" s="80">
        <f>IF(BD1177=0,0,IF(D1177="Malcolm",1,MATCH(BF1177,{"Draft","Submitted","Approved","Returned","Recall Requested","Cancelled"},0)+1))</f>
        <v>0</v>
      </c>
      <c r="CH1177" s="80">
        <f>IF(AND(BF1177="Submitted",ISNUMBER(V1177)),IF(V1177&gt;CFG_MAXD,1,0),0)</f>
        <v>0</v>
      </c>
    </row>
    <row r="1178">
      <c r="A1178" s="71" t="str">
        <f>IF(Y1178=1,ROW()-5,"")</f>
        <v/>
      </c>
      <c r="B1178" s="72" t="n"/>
      <c r="C1178" s="71" t="str">
        <f>IF(ISNUMBER(B1178),CHOOSE(WEEKDAY(B1178,2),"Lun","Mar","Mié","Jue","Vie","Sáb","Dom"),"")</f>
        <v/>
      </c>
      <c r="D1178" s="73" t="n"/>
      <c r="E1178" s="74" t="n"/>
      <c r="F1178" s="74" t="n"/>
      <c r="G1178" s="74" t="n"/>
      <c r="H1178" s="75" t="n"/>
      <c r="I1178" s="75" t="n"/>
      <c r="J1178" s="76" t="n"/>
      <c r="K1178" s="77" t="str">
        <f>IF(AB1178=1,ROUND(AG1178/60,4),"")</f>
        <v/>
      </c>
      <c r="L1178" s="77" t="str">
        <f>IF(BD1178=1,ROUND(AP1178/60,4),"")</f>
        <v/>
      </c>
      <c r="M1178" s="77" t="str">
        <f>IF(BD1178=1,ROUND(AQ1178/60,4),"")</f>
        <v/>
      </c>
      <c r="N1178" s="71" t="str">
        <f>IF(AND(D1178="proMX",AB1178=1),ROUND(AG1178/CFG_BLK,2),"")</f>
        <v/>
      </c>
      <c r="O1178" s="77" t="str">
        <f>IF(D1178="proMX",IF(BD1178=1,ROUND(AG1178/60,4),0),"")</f>
        <v/>
      </c>
      <c r="P1178" s="78" t="str">
        <f>IF(Y1178=0,"",IF(BD1178=1,"OK",IF(D1178="proMX","Revisar bloques: ","Revisar: ")&amp;BC1178))</f>
        <v/>
      </c>
      <c r="Q1178" s="78" t="str">
        <f>IF(NOT(ISNUMBER(B1178)),"",IF(COUNTIFS(FER_F,INT(B1178))&gt;0,"Feriado"&amp;IF(AH1178=1," (laborable)"," (no laborable)"),IF(AH1178=1,"Laborable",IF(WEEKDAY(B1178,2)&gt;5,"Fin de semana","No laborable"))))</f>
        <v/>
      </c>
      <c r="R1178" s="73" t="n"/>
      <c r="S1178" s="72" t="n"/>
      <c r="T1178" s="72" t="n"/>
      <c r="U1178" s="74" t="n"/>
      <c r="V1178" s="79" t="str">
        <f>IF(AND(D1178="proMX",OR(R1178="Submitted",R1178="Recall Requested"),ISNUMBER(S1178)),CFG_TODAY-INT(S1178),"")</f>
        <v/>
      </c>
      <c r="W1178" s="78" t="str">
        <f>IF(BD1178=0,"",IF(BA1178&gt;0,"⚠ Se superpone con un registro de la otra empresa",IF(D1178="Malcolm",IF(COUNTA(R1178,S1178,T1178)&gt;0,"Estado/fechas proMX se ignoran en Malcolm",""),IF(BF1178="Cancelled","Cancelado: excluido de totales",IF(R1178="","Sin estado: se trata como Draft",IF(BF1178="Submitted",IF(ISNUMBER(V1178),IF(V1178&gt;CFG_MAXD,"⚠ "&amp;V1178&amp;" días en Submitted (máx. "&amp;CFG_MAXD&amp;")",""),"Falta fecha de envío"),IF(BF1178="Returned","⚠ Devuelto: corregir y reenviar",IF(BF1178="Recall Requested","Retirada solicitada: pendiente",IF(AND(BF1178="Approved",NOT(ISNUMBER(T1178))),"Falta fecha de aprobación",IF(AND(ISNUMBER(S1178),ISNUMBER(T1178),T1178&lt;S1178),"Aprobación anterior al envío","")))))))))</f>
        <v/>
      </c>
      <c r="Y1178" s="80">
        <f>IF(COUNTA(B1178,D1178,E1178,F1178,G1178,H1178,I1178,J1178,R1178,S1178,T1178)&gt;0,1,0)</f>
        <v>0</v>
      </c>
      <c r="Z1178" s="80" t="str">
        <f>IF(AND(ISNUMBER(H1178),H1178&gt;=0,H1178&lt;1),ROUND(H1178*1440,0),"")</f>
        <v/>
      </c>
      <c r="AA1178" s="80" t="str">
        <f>IF(AND(ISNUMBER(I1178),I1178&gt;=0,I1178&lt;1),ROUND(I1178*1440,0),"")</f>
        <v/>
      </c>
      <c r="AB1178" s="80">
        <f>IF(AND(ISNUMBER(B1178),D1178&lt;&gt;"",ISNUMBER(Z1178),ISNUMBER(AA1178)),IF(Z1178=AA1178,0,1),0)</f>
        <v>0</v>
      </c>
      <c r="AC1178" s="80">
        <f>IF(AB1178=1,IF(AA1178&lt;Z1178,1,0),0)</f>
        <v>0</v>
      </c>
      <c r="AD1178" s="80">
        <f>IF(AB1178=1,IF(AC1178=1,1440-Z1178+AA1178,AA1178-Z1178),0)</f>
        <v>0</v>
      </c>
      <c r="AE1178" s="80">
        <f>IF(J1178="",0,IF(ISNUMBER(J1178),J1178,-1))</f>
        <v>0</v>
      </c>
      <c r="AF1178" s="80">
        <f>MIN(MAX(0,AE1178),AD1178)</f>
        <v>0</v>
      </c>
      <c r="AG1178" s="80">
        <f>MAX(0,AD1178-MAX(0,AE1178))</f>
        <v>0</v>
      </c>
      <c r="AH1178" s="80">
        <f>IF(ISNUMBER(B1178),IF(AND(INDEX(CFG_WDAYS,WEEKDAY(INT(B1178),2))="Sí",IF(D1178="proMX",COUNTIFS(FER_F,INT(B1178),FER_NLP,"Sí"),COUNTIFS(FER_F,INT(B1178),FER_NLM,"Sí"))=0),1,0),0)</f>
        <v>0</v>
      </c>
      <c r="AI1178" s="80">
        <f>IF(AC1178=1,IF(AND(INDEX(CFG_WDAYS,WEEKDAY(INT(B1178)+1,2))="Sí",IF(D1178="proMX",COUNTIFS(FER_F,INT(B1178)+1,FER_NLP,"Sí"),COUNTIFS(FER_F,INT(B1178)+1,FER_NLM,"Sí"))=0),1,0),0)</f>
        <v>0</v>
      </c>
      <c r="AJ1178" s="80">
        <f>IF(AC1178=1,1440-Z1178,AD1178)</f>
        <v>0</v>
      </c>
      <c r="AK1178" s="80">
        <f>IF(AND(AB1178=1,AH1178=1),MAX(0,MIN(IF(AC1178=1,1440,AA1178),CFG_WEM)-MAX(Z1178,CFG_WSM)),0)</f>
        <v>0</v>
      </c>
      <c r="AL1178" s="80">
        <f>IF(AND(AC1178=1,AI1178=1),MAX(0,MIN(AA1178,CFG_WEM)-CFG_WSM),0)</f>
        <v>0</v>
      </c>
      <c r="AM1178" s="80">
        <f>AK1178+AL1178</f>
        <v>0</v>
      </c>
      <c r="AN1178" s="80">
        <f>IF(CFG_BRK="Proporcional",IF(AD1178=0,0,AF1178*AM1178/AD1178),IF(CFG_BRK="Extras primero",MIN(AM1178,MAX(0,AF1178-(AD1178-AM1178))),MIN(AF1178,AM1178)))</f>
        <v>0</v>
      </c>
      <c r="AO1178" s="80">
        <f>AF1178-AN1178</f>
        <v>0</v>
      </c>
      <c r="AP1178" s="80">
        <f>AM1178-AN1178</f>
        <v>0</v>
      </c>
      <c r="AQ1178" s="80">
        <f>AD1178-AM1178-AO1178</f>
        <v>0</v>
      </c>
      <c r="AR1178" s="80">
        <f>IF(AM1178=0,0,AK1178-AN1178*AK1178/AM1178)</f>
        <v>0</v>
      </c>
      <c r="AS1178" s="80">
        <f>IF(AD1178-AM1178=0,0,(AJ1178-AK1178)-AO1178*(AJ1178-AK1178)/(AD1178-AM1178))</f>
        <v>0</v>
      </c>
      <c r="AT1178" s="80" t="str">
        <f>IF(AC1178=1,INT(B1178)+1,"")</f>
        <v/>
      </c>
      <c r="AU1178" s="80">
        <f>IF(AND(D1178="proMX",R1178="Cancelled"),0,1)</f>
        <v>1</v>
      </c>
      <c r="AV1178" s="80">
        <f>IF(AND(AB1178=1,AU1178=1),IF(COUNTIFS($D$5:D1177,D1178,$B$5:B1177,B1178,$Z$5:Z1177,Z1178,$AA$5:AA1177,AA1178,$F$5:F1177,F1178&amp;"",$AU$5:AU1177,1)&gt;0,1,0),0)</f>
        <v>0</v>
      </c>
      <c r="AW1178" s="80" t="str">
        <f>IF(AB1178=1,INT(B1178)*1440+Z1178,"")</f>
        <v/>
      </c>
      <c r="AX1178" s="80" t="str">
        <f>IF(AB1178=1,AW1178+AD1178,"")</f>
        <v/>
      </c>
      <c r="AY1178" s="80">
        <f>IF(AND(AB1178=1,AV1178=0,AU1178=1),1,0)</f>
        <v>0</v>
      </c>
      <c r="AZ1178" s="80">
        <f>IF(AY1178=1,COUNTIFS(R_Emp,D1178,R_SAbs,"&lt;"&amp;AX1178,R_EAbs,"&gt;"&amp;AW1178,R_OKey,1)-1,0)</f>
        <v>0</v>
      </c>
      <c r="BA1178" s="80">
        <f>IF(AY1178=1,COUNTIFS(R_Emp,"&lt;&gt;"&amp;D1178,R_SAbs,"&lt;"&amp;AX1178,R_EAbs,"&gt;"&amp;AW1178,R_OKey,1),0)</f>
        <v>0</v>
      </c>
      <c r="BB1178" s="80">
        <f>IF(AND(AB1178=1,D1178="proMX"),IF(AND(MOD(Z1178,CFG_BLK)=0,MOD(AA1178,CFG_BLK)=0,MOD(AG1178,CFG_BLK)=0,AG1178&gt;0),1,0),1)</f>
        <v>1</v>
      </c>
      <c r="BC1178" s="80" t="str">
        <f>IF(Y1178=0,"",IF(NOT(ISNUMBER(B1178)),"Falta fecha o fecha inválida",IF(D1178="","Falta empresa",IF(AND(D1178&lt;&gt;"Malcolm",D1178&lt;&gt;"proMX"),"Empresa inválida",IF(OR(INT(B1178)&lt;CFG_PSTART,INT(B1178)&gt;CFG_PEND),"Fecha fuera del período",IF(OR(NOT(ISNUMBER(Z1178)),NOT(ISNUMBER(AA1178))),"Falta hora inicio/fin o formato inválido",IF(AB1178=0,"Hora inicio = hora fin",IF(AE1178&lt;0,"Descanso inválido",IF(AE1178&gt;=AD1178,"Descanso ≥ duración",IF(AV1178=1,"Registro duplicado",IF(AZ1178&gt;0,"Se superpone con otro registro "&amp;D1178,IF(BB1178=0,"inicio, fin y duración neta deben ser múltiplos de "&amp;CFG_BLK&amp;" min",""))))))))))))</f>
        <v/>
      </c>
      <c r="BD1178" s="80">
        <f>IF(AND(Y1178=1,BC1178=""),1,0)</f>
        <v>0</v>
      </c>
      <c r="BE1178" s="80">
        <f>IF(AND(BD1178=1,AU1178=1),1,0)</f>
        <v>0</v>
      </c>
      <c r="BF1178" s="80" t="str">
        <f>IF(AND(D1178="proMX",BD1178=1),IF(R1178="","Draft",R1178),"")</f>
        <v/>
      </c>
      <c r="BG1178" s="80">
        <f>IF(BD1178=1,ROUND(AG1178/60,6),0)</f>
        <v>0</v>
      </c>
      <c r="BH1178" s="80">
        <f>IF(BE1178=1,ROUND(AG1178/60,6),0)</f>
        <v>0</v>
      </c>
      <c r="BI1178" s="80">
        <f>IF(BE1178=1,ROUND(AP1178/60,6),0)</f>
        <v>0</v>
      </c>
      <c r="BJ1178" s="80">
        <f>IF(BE1178=1,ROUND(AQ1178/60,6),0)</f>
        <v>0</v>
      </c>
      <c r="BK1178" s="80">
        <f>IF(BE1178=1,ROUND((AR1178+AS1178)/60,6),0)</f>
        <v>0</v>
      </c>
      <c r="BL1178" s="80">
        <f>ROUND(BH1178-BK1178,6)</f>
        <v>0</v>
      </c>
      <c r="BM1178" s="80">
        <f>IF(BE1178=1,ROUND(AR1178/60,6),0)</f>
        <v>0</v>
      </c>
      <c r="BN1178" s="80">
        <f>ROUND(BI1178-BM1178,6)</f>
        <v>0</v>
      </c>
      <c r="BO1178" s="80">
        <f>IF(BE1178=1,ROUND(AS1178/60,6),0)</f>
        <v>0</v>
      </c>
      <c r="BP1178" s="80">
        <f>ROUND(BJ1178-BO1178,6)</f>
        <v>0</v>
      </c>
      <c r="BQ1178" s="80">
        <f>IF(BE1178=1,AW1178,0)</f>
        <v>0</v>
      </c>
      <c r="BR1178" s="80">
        <f>IF(BE1178=1,AX1178,0)</f>
        <v>0</v>
      </c>
      <c r="BS1178" s="80">
        <f>IF(AND(BE1178=1,D1178="Malcolm",BA1178&gt;0),MIN(BH1178,SUMPRODUCT((R_Emp="proMX")*(R_EN&gt;0)*((R_EN-(R_EN&gt;BR1178)*(R_EN-BR1178))&gt;(R_SN+(R_SN&lt;BQ1178)*(BQ1178-R_SN)))*((R_EN-(R_EN&gt;BR1178)*(R_EN-BR1178))-(R_SN+(R_SN&lt;BQ1178)*(BQ1178-R_SN))))/60),0)</f>
        <v>0</v>
      </c>
      <c r="BT1178" s="80">
        <f>IF(AND(BE1178=1,D1178="proMX"),ROUND(BI1178*CFG_RATE+BJ1178*CFG_OTRATE,6),0)</f>
        <v>0</v>
      </c>
      <c r="BU1178" s="80">
        <f>IF(AND(BD1178=1,D1178="proMX"),ROUND(AG1178/CFG_BLK,6),0)</f>
        <v>0</v>
      </c>
      <c r="BV1178" s="80" t="str">
        <f>IF(BF1178="Approved",IF(ISNUMBER(T1178),INT(T1178),INT(B1178)),"")</f>
        <v/>
      </c>
      <c r="BW1178" s="80">
        <f>IF(ISNUMBER(B1178),IF(DB_MON="Todos",1,IF(AND(INT(B1178)&gt;=DB_MS,INT(B1178)&lt;=DB_ME),1,0)),0)</f>
        <v>0</v>
      </c>
      <c r="BX1178" s="80">
        <f>IF(DB_PROJ="Todos",1,IF(E1178&amp;""=DB_PROJ&amp;"",1,0))</f>
        <v>1</v>
      </c>
      <c r="BY1178" s="80">
        <f>BW1178*BX1178</f>
        <v>0</v>
      </c>
      <c r="BZ1178" s="80" t="str">
        <f>IF(Y1178=1,F1178&amp;IF(AND(F1178&amp;""&lt;&gt;"",E1178&amp;""&lt;&gt;"")," · ","")&amp;E1178,"")</f>
        <v/>
      </c>
      <c r="CA1178" s="80" t="str">
        <f>IF(AND(BD1178=1,E1178&amp;""&lt;&gt;""),IF(COUNTIFS($E$5:E1177,E1178,$BD$5:BD1177,1)=0,MAX($CA$5:CA1177)+1,""),"")</f>
        <v/>
      </c>
      <c r="CB1178" s="80" t="str">
        <f>IF(AND(BE1178=1,D1178="Malcolm",E1178&amp;""&lt;&gt;""),IF(COUNTIFS($D$5:D1177,"Malcolm",$E$5:E1177,E1178,$BE$5:BE1177,1)=0,MAX($CB$5:CB1177)+1,""),"")</f>
        <v/>
      </c>
      <c r="CC1178" s="80" t="str">
        <f>IF(AND(BD1178=1,D1178="proMX",E1178&amp;""&lt;&gt;""),IF(COUNTIFS($D$5:D1177,"proMX",$E$5:E1177,E1178,$BD$5:BD1177,1)=0,MAX($CC$5:CC1177)+1,""),"")</f>
        <v/>
      </c>
      <c r="CD1178" s="80" t="str">
        <f>IF(AND(BE1178=1,D1178="Malcolm",F1178&amp;""&lt;&gt;""),IF(COUNTIFS($D$5:D1177,"Malcolm",$F$5:F1177,F1178,$BE$5:BE1177,1)=0,MAX($CD$5:CD1177)+1,""),"")</f>
        <v/>
      </c>
      <c r="CE1178" s="80" t="str">
        <f>IF(AND(BD1178=1,D1178="proMX",F1178&amp;""&lt;&gt;""),IF(COUNTIFS($D$5:D1177,"proMX",$F$5:F1177,F1178,$BD$5:BD1177,1)=0,MAX($CE$5:CE1177)+1,""),"")</f>
        <v/>
      </c>
      <c r="CF1178" s="80" t="str">
        <f>IF(AND(D1178="proMX",BD1178=1),IF(OR(BF1178="Draft",BF1178="Submitted",BF1178="Returned",BF1178="Recall Requested"),MAX($CF$5:CF1177)+1,""),"")</f>
        <v/>
      </c>
      <c r="CG1178" s="80">
        <f>IF(BD1178=0,0,IF(D1178="Malcolm",1,MATCH(BF1178,{"Draft","Submitted","Approved","Returned","Recall Requested","Cancelled"},0)+1))</f>
        <v>0</v>
      </c>
      <c r="CH1178" s="80">
        <f>IF(AND(BF1178="Submitted",ISNUMBER(V1178)),IF(V1178&gt;CFG_MAXD,1,0),0)</f>
        <v>0</v>
      </c>
    </row>
    <row r="1179">
      <c r="A1179" s="71" t="str">
        <f>IF(Y1179=1,ROW()-5,"")</f>
        <v/>
      </c>
      <c r="B1179" s="72" t="n"/>
      <c r="C1179" s="71" t="str">
        <f>IF(ISNUMBER(B1179),CHOOSE(WEEKDAY(B1179,2),"Lun","Mar","Mié","Jue","Vie","Sáb","Dom"),"")</f>
        <v/>
      </c>
      <c r="D1179" s="73" t="n"/>
      <c r="E1179" s="74" t="n"/>
      <c r="F1179" s="74" t="n"/>
      <c r="G1179" s="74" t="n"/>
      <c r="H1179" s="75" t="n"/>
      <c r="I1179" s="75" t="n"/>
      <c r="J1179" s="76" t="n"/>
      <c r="K1179" s="77" t="str">
        <f>IF(AB1179=1,ROUND(AG1179/60,4),"")</f>
        <v/>
      </c>
      <c r="L1179" s="77" t="str">
        <f>IF(BD1179=1,ROUND(AP1179/60,4),"")</f>
        <v/>
      </c>
      <c r="M1179" s="77" t="str">
        <f>IF(BD1179=1,ROUND(AQ1179/60,4),"")</f>
        <v/>
      </c>
      <c r="N1179" s="71" t="str">
        <f>IF(AND(D1179="proMX",AB1179=1),ROUND(AG1179/CFG_BLK,2),"")</f>
        <v/>
      </c>
      <c r="O1179" s="77" t="str">
        <f>IF(D1179="proMX",IF(BD1179=1,ROUND(AG1179/60,4),0),"")</f>
        <v/>
      </c>
      <c r="P1179" s="78" t="str">
        <f>IF(Y1179=0,"",IF(BD1179=1,"OK",IF(D1179="proMX","Revisar bloques: ","Revisar: ")&amp;BC1179))</f>
        <v/>
      </c>
      <c r="Q1179" s="78" t="str">
        <f>IF(NOT(ISNUMBER(B1179)),"",IF(COUNTIFS(FER_F,INT(B1179))&gt;0,"Feriado"&amp;IF(AH1179=1," (laborable)"," (no laborable)"),IF(AH1179=1,"Laborable",IF(WEEKDAY(B1179,2)&gt;5,"Fin de semana","No laborable"))))</f>
        <v/>
      </c>
      <c r="R1179" s="73" t="n"/>
      <c r="S1179" s="72" t="n"/>
      <c r="T1179" s="72" t="n"/>
      <c r="U1179" s="74" t="n"/>
      <c r="V1179" s="79" t="str">
        <f>IF(AND(D1179="proMX",OR(R1179="Submitted",R1179="Recall Requested"),ISNUMBER(S1179)),CFG_TODAY-INT(S1179),"")</f>
        <v/>
      </c>
      <c r="W1179" s="78" t="str">
        <f>IF(BD1179=0,"",IF(BA1179&gt;0,"⚠ Se superpone con un registro de la otra empresa",IF(D1179="Malcolm",IF(COUNTA(R1179,S1179,T1179)&gt;0,"Estado/fechas proMX se ignoran en Malcolm",""),IF(BF1179="Cancelled","Cancelado: excluido de totales",IF(R1179="","Sin estado: se trata como Draft",IF(BF1179="Submitted",IF(ISNUMBER(V1179),IF(V1179&gt;CFG_MAXD,"⚠ "&amp;V1179&amp;" días en Submitted (máx. "&amp;CFG_MAXD&amp;")",""),"Falta fecha de envío"),IF(BF1179="Returned","⚠ Devuelto: corregir y reenviar",IF(BF1179="Recall Requested","Retirada solicitada: pendiente",IF(AND(BF1179="Approved",NOT(ISNUMBER(T1179))),"Falta fecha de aprobación",IF(AND(ISNUMBER(S1179),ISNUMBER(T1179),T1179&lt;S1179),"Aprobación anterior al envío","")))))))))</f>
        <v/>
      </c>
      <c r="Y1179" s="80">
        <f>IF(COUNTA(B1179,D1179,E1179,F1179,G1179,H1179,I1179,J1179,R1179,S1179,T1179)&gt;0,1,0)</f>
        <v>0</v>
      </c>
      <c r="Z1179" s="80" t="str">
        <f>IF(AND(ISNUMBER(H1179),H1179&gt;=0,H1179&lt;1),ROUND(H1179*1440,0),"")</f>
        <v/>
      </c>
      <c r="AA1179" s="80" t="str">
        <f>IF(AND(ISNUMBER(I1179),I1179&gt;=0,I1179&lt;1),ROUND(I1179*1440,0),"")</f>
        <v/>
      </c>
      <c r="AB1179" s="80">
        <f>IF(AND(ISNUMBER(B1179),D1179&lt;&gt;"",ISNUMBER(Z1179),ISNUMBER(AA1179)),IF(Z1179=AA1179,0,1),0)</f>
        <v>0</v>
      </c>
      <c r="AC1179" s="80">
        <f>IF(AB1179=1,IF(AA1179&lt;Z1179,1,0),0)</f>
        <v>0</v>
      </c>
      <c r="AD1179" s="80">
        <f>IF(AB1179=1,IF(AC1179=1,1440-Z1179+AA1179,AA1179-Z1179),0)</f>
        <v>0</v>
      </c>
      <c r="AE1179" s="80">
        <f>IF(J1179="",0,IF(ISNUMBER(J1179),J1179,-1))</f>
        <v>0</v>
      </c>
      <c r="AF1179" s="80">
        <f>MIN(MAX(0,AE1179),AD1179)</f>
        <v>0</v>
      </c>
      <c r="AG1179" s="80">
        <f>MAX(0,AD1179-MAX(0,AE1179))</f>
        <v>0</v>
      </c>
      <c r="AH1179" s="80">
        <f>IF(ISNUMBER(B1179),IF(AND(INDEX(CFG_WDAYS,WEEKDAY(INT(B1179),2))="Sí",IF(D1179="proMX",COUNTIFS(FER_F,INT(B1179),FER_NLP,"Sí"),COUNTIFS(FER_F,INT(B1179),FER_NLM,"Sí"))=0),1,0),0)</f>
        <v>0</v>
      </c>
      <c r="AI1179" s="80">
        <f>IF(AC1179=1,IF(AND(INDEX(CFG_WDAYS,WEEKDAY(INT(B1179)+1,2))="Sí",IF(D1179="proMX",COUNTIFS(FER_F,INT(B1179)+1,FER_NLP,"Sí"),COUNTIFS(FER_F,INT(B1179)+1,FER_NLM,"Sí"))=0),1,0),0)</f>
        <v>0</v>
      </c>
      <c r="AJ1179" s="80">
        <f>IF(AC1179=1,1440-Z1179,AD1179)</f>
        <v>0</v>
      </c>
      <c r="AK1179" s="80">
        <f>IF(AND(AB1179=1,AH1179=1),MAX(0,MIN(IF(AC1179=1,1440,AA1179),CFG_WEM)-MAX(Z1179,CFG_WSM)),0)</f>
        <v>0</v>
      </c>
      <c r="AL1179" s="80">
        <f>IF(AND(AC1179=1,AI1179=1),MAX(0,MIN(AA1179,CFG_WEM)-CFG_WSM),0)</f>
        <v>0</v>
      </c>
      <c r="AM1179" s="80">
        <f>AK1179+AL1179</f>
        <v>0</v>
      </c>
      <c r="AN1179" s="80">
        <f>IF(CFG_BRK="Proporcional",IF(AD1179=0,0,AF1179*AM1179/AD1179),IF(CFG_BRK="Extras primero",MIN(AM1179,MAX(0,AF1179-(AD1179-AM1179))),MIN(AF1179,AM1179)))</f>
        <v>0</v>
      </c>
      <c r="AO1179" s="80">
        <f>AF1179-AN1179</f>
        <v>0</v>
      </c>
      <c r="AP1179" s="80">
        <f>AM1179-AN1179</f>
        <v>0</v>
      </c>
      <c r="AQ1179" s="80">
        <f>AD1179-AM1179-AO1179</f>
        <v>0</v>
      </c>
      <c r="AR1179" s="80">
        <f>IF(AM1179=0,0,AK1179-AN1179*AK1179/AM1179)</f>
        <v>0</v>
      </c>
      <c r="AS1179" s="80">
        <f>IF(AD1179-AM1179=0,0,(AJ1179-AK1179)-AO1179*(AJ1179-AK1179)/(AD1179-AM1179))</f>
        <v>0</v>
      </c>
      <c r="AT1179" s="80" t="str">
        <f>IF(AC1179=1,INT(B1179)+1,"")</f>
        <v/>
      </c>
      <c r="AU1179" s="80">
        <f>IF(AND(D1179="proMX",R1179="Cancelled"),0,1)</f>
        <v>1</v>
      </c>
      <c r="AV1179" s="80">
        <f>IF(AND(AB1179=1,AU1179=1),IF(COUNTIFS($D$5:D1178,D1179,$B$5:B1178,B1179,$Z$5:Z1178,Z1179,$AA$5:AA1178,AA1179,$F$5:F1178,F1179&amp;"",$AU$5:AU1178,1)&gt;0,1,0),0)</f>
        <v>0</v>
      </c>
      <c r="AW1179" s="80" t="str">
        <f>IF(AB1179=1,INT(B1179)*1440+Z1179,"")</f>
        <v/>
      </c>
      <c r="AX1179" s="80" t="str">
        <f>IF(AB1179=1,AW1179+AD1179,"")</f>
        <v/>
      </c>
      <c r="AY1179" s="80">
        <f>IF(AND(AB1179=1,AV1179=0,AU1179=1),1,0)</f>
        <v>0</v>
      </c>
      <c r="AZ1179" s="80">
        <f>IF(AY1179=1,COUNTIFS(R_Emp,D1179,R_SAbs,"&lt;"&amp;AX1179,R_EAbs,"&gt;"&amp;AW1179,R_OKey,1)-1,0)</f>
        <v>0</v>
      </c>
      <c r="BA1179" s="80">
        <f>IF(AY1179=1,COUNTIFS(R_Emp,"&lt;&gt;"&amp;D1179,R_SAbs,"&lt;"&amp;AX1179,R_EAbs,"&gt;"&amp;AW1179,R_OKey,1),0)</f>
        <v>0</v>
      </c>
      <c r="BB1179" s="80">
        <f>IF(AND(AB1179=1,D1179="proMX"),IF(AND(MOD(Z1179,CFG_BLK)=0,MOD(AA1179,CFG_BLK)=0,MOD(AG1179,CFG_BLK)=0,AG1179&gt;0),1,0),1)</f>
        <v>1</v>
      </c>
      <c r="BC1179" s="80" t="str">
        <f>IF(Y1179=0,"",IF(NOT(ISNUMBER(B1179)),"Falta fecha o fecha inválida",IF(D1179="","Falta empresa",IF(AND(D1179&lt;&gt;"Malcolm",D1179&lt;&gt;"proMX"),"Empresa inválida",IF(OR(INT(B1179)&lt;CFG_PSTART,INT(B1179)&gt;CFG_PEND),"Fecha fuera del período",IF(OR(NOT(ISNUMBER(Z1179)),NOT(ISNUMBER(AA1179))),"Falta hora inicio/fin o formato inválido",IF(AB1179=0,"Hora inicio = hora fin",IF(AE1179&lt;0,"Descanso inválido",IF(AE1179&gt;=AD1179,"Descanso ≥ duración",IF(AV1179=1,"Registro duplicado",IF(AZ1179&gt;0,"Se superpone con otro registro "&amp;D1179,IF(BB1179=0,"inicio, fin y duración neta deben ser múltiplos de "&amp;CFG_BLK&amp;" min",""))))))))))))</f>
        <v/>
      </c>
      <c r="BD1179" s="80">
        <f>IF(AND(Y1179=1,BC1179=""),1,0)</f>
        <v>0</v>
      </c>
      <c r="BE1179" s="80">
        <f>IF(AND(BD1179=1,AU1179=1),1,0)</f>
        <v>0</v>
      </c>
      <c r="BF1179" s="80" t="str">
        <f>IF(AND(D1179="proMX",BD1179=1),IF(R1179="","Draft",R1179),"")</f>
        <v/>
      </c>
      <c r="BG1179" s="80">
        <f>IF(BD1179=1,ROUND(AG1179/60,6),0)</f>
        <v>0</v>
      </c>
      <c r="BH1179" s="80">
        <f>IF(BE1179=1,ROUND(AG1179/60,6),0)</f>
        <v>0</v>
      </c>
      <c r="BI1179" s="80">
        <f>IF(BE1179=1,ROUND(AP1179/60,6),0)</f>
        <v>0</v>
      </c>
      <c r="BJ1179" s="80">
        <f>IF(BE1179=1,ROUND(AQ1179/60,6),0)</f>
        <v>0</v>
      </c>
      <c r="BK1179" s="80">
        <f>IF(BE1179=1,ROUND((AR1179+AS1179)/60,6),0)</f>
        <v>0</v>
      </c>
      <c r="BL1179" s="80">
        <f>ROUND(BH1179-BK1179,6)</f>
        <v>0</v>
      </c>
      <c r="BM1179" s="80">
        <f>IF(BE1179=1,ROUND(AR1179/60,6),0)</f>
        <v>0</v>
      </c>
      <c r="BN1179" s="80">
        <f>ROUND(BI1179-BM1179,6)</f>
        <v>0</v>
      </c>
      <c r="BO1179" s="80">
        <f>IF(BE1179=1,ROUND(AS1179/60,6),0)</f>
        <v>0</v>
      </c>
      <c r="BP1179" s="80">
        <f>ROUND(BJ1179-BO1179,6)</f>
        <v>0</v>
      </c>
      <c r="BQ1179" s="80">
        <f>IF(BE1179=1,AW1179,0)</f>
        <v>0</v>
      </c>
      <c r="BR1179" s="80">
        <f>IF(BE1179=1,AX1179,0)</f>
        <v>0</v>
      </c>
      <c r="BS1179" s="80">
        <f>IF(AND(BE1179=1,D1179="Malcolm",BA1179&gt;0),MIN(BH1179,SUMPRODUCT((R_Emp="proMX")*(R_EN&gt;0)*((R_EN-(R_EN&gt;BR1179)*(R_EN-BR1179))&gt;(R_SN+(R_SN&lt;BQ1179)*(BQ1179-R_SN)))*((R_EN-(R_EN&gt;BR1179)*(R_EN-BR1179))-(R_SN+(R_SN&lt;BQ1179)*(BQ1179-R_SN))))/60),0)</f>
        <v>0</v>
      </c>
      <c r="BT1179" s="80">
        <f>IF(AND(BE1179=1,D1179="proMX"),ROUND(BI1179*CFG_RATE+BJ1179*CFG_OTRATE,6),0)</f>
        <v>0</v>
      </c>
      <c r="BU1179" s="80">
        <f>IF(AND(BD1179=1,D1179="proMX"),ROUND(AG1179/CFG_BLK,6),0)</f>
        <v>0</v>
      </c>
      <c r="BV1179" s="80" t="str">
        <f>IF(BF1179="Approved",IF(ISNUMBER(T1179),INT(T1179),INT(B1179)),"")</f>
        <v/>
      </c>
      <c r="BW1179" s="80">
        <f>IF(ISNUMBER(B1179),IF(DB_MON="Todos",1,IF(AND(INT(B1179)&gt;=DB_MS,INT(B1179)&lt;=DB_ME),1,0)),0)</f>
        <v>0</v>
      </c>
      <c r="BX1179" s="80">
        <f>IF(DB_PROJ="Todos",1,IF(E1179&amp;""=DB_PROJ&amp;"",1,0))</f>
        <v>1</v>
      </c>
      <c r="BY1179" s="80">
        <f>BW1179*BX1179</f>
        <v>0</v>
      </c>
      <c r="BZ1179" s="80" t="str">
        <f>IF(Y1179=1,F1179&amp;IF(AND(F1179&amp;""&lt;&gt;"",E1179&amp;""&lt;&gt;"")," · ","")&amp;E1179,"")</f>
        <v/>
      </c>
      <c r="CA1179" s="80" t="str">
        <f>IF(AND(BD1179=1,E1179&amp;""&lt;&gt;""),IF(COUNTIFS($E$5:E1178,E1179,$BD$5:BD1178,1)=0,MAX($CA$5:CA1178)+1,""),"")</f>
        <v/>
      </c>
      <c r="CB1179" s="80" t="str">
        <f>IF(AND(BE1179=1,D1179="Malcolm",E1179&amp;""&lt;&gt;""),IF(COUNTIFS($D$5:D1178,"Malcolm",$E$5:E1178,E1179,$BE$5:BE1178,1)=0,MAX($CB$5:CB1178)+1,""),"")</f>
        <v/>
      </c>
      <c r="CC1179" s="80" t="str">
        <f>IF(AND(BD1179=1,D1179="proMX",E1179&amp;""&lt;&gt;""),IF(COUNTIFS($D$5:D1178,"proMX",$E$5:E1178,E1179,$BD$5:BD1178,1)=0,MAX($CC$5:CC1178)+1,""),"")</f>
        <v/>
      </c>
      <c r="CD1179" s="80" t="str">
        <f>IF(AND(BE1179=1,D1179="Malcolm",F1179&amp;""&lt;&gt;""),IF(COUNTIFS($D$5:D1178,"Malcolm",$F$5:F1178,F1179,$BE$5:BE1178,1)=0,MAX($CD$5:CD1178)+1,""),"")</f>
        <v/>
      </c>
      <c r="CE1179" s="80" t="str">
        <f>IF(AND(BD1179=1,D1179="proMX",F1179&amp;""&lt;&gt;""),IF(COUNTIFS($D$5:D1178,"proMX",$F$5:F1178,F1179,$BD$5:BD1178,1)=0,MAX($CE$5:CE1178)+1,""),"")</f>
        <v/>
      </c>
      <c r="CF1179" s="80" t="str">
        <f>IF(AND(D1179="proMX",BD1179=1),IF(OR(BF1179="Draft",BF1179="Submitted",BF1179="Returned",BF1179="Recall Requested"),MAX($CF$5:CF1178)+1,""),"")</f>
        <v/>
      </c>
      <c r="CG1179" s="80">
        <f>IF(BD1179=0,0,IF(D1179="Malcolm",1,MATCH(BF1179,{"Draft","Submitted","Approved","Returned","Recall Requested","Cancelled"},0)+1))</f>
        <v>0</v>
      </c>
      <c r="CH1179" s="80">
        <f>IF(AND(BF1179="Submitted",ISNUMBER(V1179)),IF(V1179&gt;CFG_MAXD,1,0),0)</f>
        <v>0</v>
      </c>
    </row>
    <row r="1180">
      <c r="A1180" s="71" t="str">
        <f>IF(Y1180=1,ROW()-5,"")</f>
        <v/>
      </c>
      <c r="B1180" s="72" t="n"/>
      <c r="C1180" s="71" t="str">
        <f>IF(ISNUMBER(B1180),CHOOSE(WEEKDAY(B1180,2),"Lun","Mar","Mié","Jue","Vie","Sáb","Dom"),"")</f>
        <v/>
      </c>
      <c r="D1180" s="73" t="n"/>
      <c r="E1180" s="74" t="n"/>
      <c r="F1180" s="74" t="n"/>
      <c r="G1180" s="74" t="n"/>
      <c r="H1180" s="75" t="n"/>
      <c r="I1180" s="75" t="n"/>
      <c r="J1180" s="76" t="n"/>
      <c r="K1180" s="77" t="str">
        <f>IF(AB1180=1,ROUND(AG1180/60,4),"")</f>
        <v/>
      </c>
      <c r="L1180" s="77" t="str">
        <f>IF(BD1180=1,ROUND(AP1180/60,4),"")</f>
        <v/>
      </c>
      <c r="M1180" s="77" t="str">
        <f>IF(BD1180=1,ROUND(AQ1180/60,4),"")</f>
        <v/>
      </c>
      <c r="N1180" s="71" t="str">
        <f>IF(AND(D1180="proMX",AB1180=1),ROUND(AG1180/CFG_BLK,2),"")</f>
        <v/>
      </c>
      <c r="O1180" s="77" t="str">
        <f>IF(D1180="proMX",IF(BD1180=1,ROUND(AG1180/60,4),0),"")</f>
        <v/>
      </c>
      <c r="P1180" s="78" t="str">
        <f>IF(Y1180=0,"",IF(BD1180=1,"OK",IF(D1180="proMX","Revisar bloques: ","Revisar: ")&amp;BC1180))</f>
        <v/>
      </c>
      <c r="Q1180" s="78" t="str">
        <f>IF(NOT(ISNUMBER(B1180)),"",IF(COUNTIFS(FER_F,INT(B1180))&gt;0,"Feriado"&amp;IF(AH1180=1," (laborable)"," (no laborable)"),IF(AH1180=1,"Laborable",IF(WEEKDAY(B1180,2)&gt;5,"Fin de semana","No laborable"))))</f>
        <v/>
      </c>
      <c r="R1180" s="73" t="n"/>
      <c r="S1180" s="72" t="n"/>
      <c r="T1180" s="72" t="n"/>
      <c r="U1180" s="74" t="n"/>
      <c r="V1180" s="79" t="str">
        <f>IF(AND(D1180="proMX",OR(R1180="Submitted",R1180="Recall Requested"),ISNUMBER(S1180)),CFG_TODAY-INT(S1180),"")</f>
        <v/>
      </c>
      <c r="W1180" s="78" t="str">
        <f>IF(BD1180=0,"",IF(BA1180&gt;0,"⚠ Se superpone con un registro de la otra empresa",IF(D1180="Malcolm",IF(COUNTA(R1180,S1180,T1180)&gt;0,"Estado/fechas proMX se ignoran en Malcolm",""),IF(BF1180="Cancelled","Cancelado: excluido de totales",IF(R1180="","Sin estado: se trata como Draft",IF(BF1180="Submitted",IF(ISNUMBER(V1180),IF(V1180&gt;CFG_MAXD,"⚠ "&amp;V1180&amp;" días en Submitted (máx. "&amp;CFG_MAXD&amp;")",""),"Falta fecha de envío"),IF(BF1180="Returned","⚠ Devuelto: corregir y reenviar",IF(BF1180="Recall Requested","Retirada solicitada: pendiente",IF(AND(BF1180="Approved",NOT(ISNUMBER(T1180))),"Falta fecha de aprobación",IF(AND(ISNUMBER(S1180),ISNUMBER(T1180),T1180&lt;S1180),"Aprobación anterior al envío","")))))))))</f>
        <v/>
      </c>
      <c r="Y1180" s="80">
        <f>IF(COUNTA(B1180,D1180,E1180,F1180,G1180,H1180,I1180,J1180,R1180,S1180,T1180)&gt;0,1,0)</f>
        <v>0</v>
      </c>
      <c r="Z1180" s="80" t="str">
        <f>IF(AND(ISNUMBER(H1180),H1180&gt;=0,H1180&lt;1),ROUND(H1180*1440,0),"")</f>
        <v/>
      </c>
      <c r="AA1180" s="80" t="str">
        <f>IF(AND(ISNUMBER(I1180),I1180&gt;=0,I1180&lt;1),ROUND(I1180*1440,0),"")</f>
        <v/>
      </c>
      <c r="AB1180" s="80">
        <f>IF(AND(ISNUMBER(B1180),D1180&lt;&gt;"",ISNUMBER(Z1180),ISNUMBER(AA1180)),IF(Z1180=AA1180,0,1),0)</f>
        <v>0</v>
      </c>
      <c r="AC1180" s="80">
        <f>IF(AB1180=1,IF(AA1180&lt;Z1180,1,0),0)</f>
        <v>0</v>
      </c>
      <c r="AD1180" s="80">
        <f>IF(AB1180=1,IF(AC1180=1,1440-Z1180+AA1180,AA1180-Z1180),0)</f>
        <v>0</v>
      </c>
      <c r="AE1180" s="80">
        <f>IF(J1180="",0,IF(ISNUMBER(J1180),J1180,-1))</f>
        <v>0</v>
      </c>
      <c r="AF1180" s="80">
        <f>MIN(MAX(0,AE1180),AD1180)</f>
        <v>0</v>
      </c>
      <c r="AG1180" s="80">
        <f>MAX(0,AD1180-MAX(0,AE1180))</f>
        <v>0</v>
      </c>
      <c r="AH1180" s="80">
        <f>IF(ISNUMBER(B1180),IF(AND(INDEX(CFG_WDAYS,WEEKDAY(INT(B1180),2))="Sí",IF(D1180="proMX",COUNTIFS(FER_F,INT(B1180),FER_NLP,"Sí"),COUNTIFS(FER_F,INT(B1180),FER_NLM,"Sí"))=0),1,0),0)</f>
        <v>0</v>
      </c>
      <c r="AI1180" s="80">
        <f>IF(AC1180=1,IF(AND(INDEX(CFG_WDAYS,WEEKDAY(INT(B1180)+1,2))="Sí",IF(D1180="proMX",COUNTIFS(FER_F,INT(B1180)+1,FER_NLP,"Sí"),COUNTIFS(FER_F,INT(B1180)+1,FER_NLM,"Sí"))=0),1,0),0)</f>
        <v>0</v>
      </c>
      <c r="AJ1180" s="80">
        <f>IF(AC1180=1,1440-Z1180,AD1180)</f>
        <v>0</v>
      </c>
      <c r="AK1180" s="80">
        <f>IF(AND(AB1180=1,AH1180=1),MAX(0,MIN(IF(AC1180=1,1440,AA1180),CFG_WEM)-MAX(Z1180,CFG_WSM)),0)</f>
        <v>0</v>
      </c>
      <c r="AL1180" s="80">
        <f>IF(AND(AC1180=1,AI1180=1),MAX(0,MIN(AA1180,CFG_WEM)-CFG_WSM),0)</f>
        <v>0</v>
      </c>
      <c r="AM1180" s="80">
        <f>AK1180+AL1180</f>
        <v>0</v>
      </c>
      <c r="AN1180" s="80">
        <f>IF(CFG_BRK="Proporcional",IF(AD1180=0,0,AF1180*AM1180/AD1180),IF(CFG_BRK="Extras primero",MIN(AM1180,MAX(0,AF1180-(AD1180-AM1180))),MIN(AF1180,AM1180)))</f>
        <v>0</v>
      </c>
      <c r="AO1180" s="80">
        <f>AF1180-AN1180</f>
        <v>0</v>
      </c>
      <c r="AP1180" s="80">
        <f>AM1180-AN1180</f>
        <v>0</v>
      </c>
      <c r="AQ1180" s="80">
        <f>AD1180-AM1180-AO1180</f>
        <v>0</v>
      </c>
      <c r="AR1180" s="80">
        <f>IF(AM1180=0,0,AK1180-AN1180*AK1180/AM1180)</f>
        <v>0</v>
      </c>
      <c r="AS1180" s="80">
        <f>IF(AD1180-AM1180=0,0,(AJ1180-AK1180)-AO1180*(AJ1180-AK1180)/(AD1180-AM1180))</f>
        <v>0</v>
      </c>
      <c r="AT1180" s="80" t="str">
        <f>IF(AC1180=1,INT(B1180)+1,"")</f>
        <v/>
      </c>
      <c r="AU1180" s="80">
        <f>IF(AND(D1180="proMX",R1180="Cancelled"),0,1)</f>
        <v>1</v>
      </c>
      <c r="AV1180" s="80">
        <f>IF(AND(AB1180=1,AU1180=1),IF(COUNTIFS($D$5:D1179,D1180,$B$5:B1179,B1180,$Z$5:Z1179,Z1180,$AA$5:AA1179,AA1180,$F$5:F1179,F1180&amp;"",$AU$5:AU1179,1)&gt;0,1,0),0)</f>
        <v>0</v>
      </c>
      <c r="AW1180" s="80" t="str">
        <f>IF(AB1180=1,INT(B1180)*1440+Z1180,"")</f>
        <v/>
      </c>
      <c r="AX1180" s="80" t="str">
        <f>IF(AB1180=1,AW1180+AD1180,"")</f>
        <v/>
      </c>
      <c r="AY1180" s="80">
        <f>IF(AND(AB1180=1,AV1180=0,AU1180=1),1,0)</f>
        <v>0</v>
      </c>
      <c r="AZ1180" s="80">
        <f>IF(AY1180=1,COUNTIFS(R_Emp,D1180,R_SAbs,"&lt;"&amp;AX1180,R_EAbs,"&gt;"&amp;AW1180,R_OKey,1)-1,0)</f>
        <v>0</v>
      </c>
      <c r="BA1180" s="80">
        <f>IF(AY1180=1,COUNTIFS(R_Emp,"&lt;&gt;"&amp;D1180,R_SAbs,"&lt;"&amp;AX1180,R_EAbs,"&gt;"&amp;AW1180,R_OKey,1),0)</f>
        <v>0</v>
      </c>
      <c r="BB1180" s="80">
        <f>IF(AND(AB1180=1,D1180="proMX"),IF(AND(MOD(Z1180,CFG_BLK)=0,MOD(AA1180,CFG_BLK)=0,MOD(AG1180,CFG_BLK)=0,AG1180&gt;0),1,0),1)</f>
        <v>1</v>
      </c>
      <c r="BC1180" s="80" t="str">
        <f>IF(Y1180=0,"",IF(NOT(ISNUMBER(B1180)),"Falta fecha o fecha inválida",IF(D1180="","Falta empresa",IF(AND(D1180&lt;&gt;"Malcolm",D1180&lt;&gt;"proMX"),"Empresa inválida",IF(OR(INT(B1180)&lt;CFG_PSTART,INT(B1180)&gt;CFG_PEND),"Fecha fuera del período",IF(OR(NOT(ISNUMBER(Z1180)),NOT(ISNUMBER(AA1180))),"Falta hora inicio/fin o formato inválido",IF(AB1180=0,"Hora inicio = hora fin",IF(AE1180&lt;0,"Descanso inválido",IF(AE1180&gt;=AD1180,"Descanso ≥ duración",IF(AV1180=1,"Registro duplicado",IF(AZ1180&gt;0,"Se superpone con otro registro "&amp;D1180,IF(BB1180=0,"inicio, fin y duración neta deben ser múltiplos de "&amp;CFG_BLK&amp;" min",""))))))))))))</f>
        <v/>
      </c>
      <c r="BD1180" s="80">
        <f>IF(AND(Y1180=1,BC1180=""),1,0)</f>
        <v>0</v>
      </c>
      <c r="BE1180" s="80">
        <f>IF(AND(BD1180=1,AU1180=1),1,0)</f>
        <v>0</v>
      </c>
      <c r="BF1180" s="80" t="str">
        <f>IF(AND(D1180="proMX",BD1180=1),IF(R1180="","Draft",R1180),"")</f>
        <v/>
      </c>
      <c r="BG1180" s="80">
        <f>IF(BD1180=1,ROUND(AG1180/60,6),0)</f>
        <v>0</v>
      </c>
      <c r="BH1180" s="80">
        <f>IF(BE1180=1,ROUND(AG1180/60,6),0)</f>
        <v>0</v>
      </c>
      <c r="BI1180" s="80">
        <f>IF(BE1180=1,ROUND(AP1180/60,6),0)</f>
        <v>0</v>
      </c>
      <c r="BJ1180" s="80">
        <f>IF(BE1180=1,ROUND(AQ1180/60,6),0)</f>
        <v>0</v>
      </c>
      <c r="BK1180" s="80">
        <f>IF(BE1180=1,ROUND((AR1180+AS1180)/60,6),0)</f>
        <v>0</v>
      </c>
      <c r="BL1180" s="80">
        <f>ROUND(BH1180-BK1180,6)</f>
        <v>0</v>
      </c>
      <c r="BM1180" s="80">
        <f>IF(BE1180=1,ROUND(AR1180/60,6),0)</f>
        <v>0</v>
      </c>
      <c r="BN1180" s="80">
        <f>ROUND(BI1180-BM1180,6)</f>
        <v>0</v>
      </c>
      <c r="BO1180" s="80">
        <f>IF(BE1180=1,ROUND(AS1180/60,6),0)</f>
        <v>0</v>
      </c>
      <c r="BP1180" s="80">
        <f>ROUND(BJ1180-BO1180,6)</f>
        <v>0</v>
      </c>
      <c r="BQ1180" s="80">
        <f>IF(BE1180=1,AW1180,0)</f>
        <v>0</v>
      </c>
      <c r="BR1180" s="80">
        <f>IF(BE1180=1,AX1180,0)</f>
        <v>0</v>
      </c>
      <c r="BS1180" s="80">
        <f>IF(AND(BE1180=1,D1180="Malcolm",BA1180&gt;0),MIN(BH1180,SUMPRODUCT((R_Emp="proMX")*(R_EN&gt;0)*((R_EN-(R_EN&gt;BR1180)*(R_EN-BR1180))&gt;(R_SN+(R_SN&lt;BQ1180)*(BQ1180-R_SN)))*((R_EN-(R_EN&gt;BR1180)*(R_EN-BR1180))-(R_SN+(R_SN&lt;BQ1180)*(BQ1180-R_SN))))/60),0)</f>
        <v>0</v>
      </c>
      <c r="BT1180" s="80">
        <f>IF(AND(BE1180=1,D1180="proMX"),ROUND(BI1180*CFG_RATE+BJ1180*CFG_OTRATE,6),0)</f>
        <v>0</v>
      </c>
      <c r="BU1180" s="80">
        <f>IF(AND(BD1180=1,D1180="proMX"),ROUND(AG1180/CFG_BLK,6),0)</f>
        <v>0</v>
      </c>
      <c r="BV1180" s="80" t="str">
        <f>IF(BF1180="Approved",IF(ISNUMBER(T1180),INT(T1180),INT(B1180)),"")</f>
        <v/>
      </c>
      <c r="BW1180" s="80">
        <f>IF(ISNUMBER(B1180),IF(DB_MON="Todos",1,IF(AND(INT(B1180)&gt;=DB_MS,INT(B1180)&lt;=DB_ME),1,0)),0)</f>
        <v>0</v>
      </c>
      <c r="BX1180" s="80">
        <f>IF(DB_PROJ="Todos",1,IF(E1180&amp;""=DB_PROJ&amp;"",1,0))</f>
        <v>1</v>
      </c>
      <c r="BY1180" s="80">
        <f>BW1180*BX1180</f>
        <v>0</v>
      </c>
      <c r="BZ1180" s="80" t="str">
        <f>IF(Y1180=1,F1180&amp;IF(AND(F1180&amp;""&lt;&gt;"",E1180&amp;""&lt;&gt;"")," · ","")&amp;E1180,"")</f>
        <v/>
      </c>
      <c r="CA1180" s="80" t="str">
        <f>IF(AND(BD1180=1,E1180&amp;""&lt;&gt;""),IF(COUNTIFS($E$5:E1179,E1180,$BD$5:BD1179,1)=0,MAX($CA$5:CA1179)+1,""),"")</f>
        <v/>
      </c>
      <c r="CB1180" s="80" t="str">
        <f>IF(AND(BE1180=1,D1180="Malcolm",E1180&amp;""&lt;&gt;""),IF(COUNTIFS($D$5:D1179,"Malcolm",$E$5:E1179,E1180,$BE$5:BE1179,1)=0,MAX($CB$5:CB1179)+1,""),"")</f>
        <v/>
      </c>
      <c r="CC1180" s="80" t="str">
        <f>IF(AND(BD1180=1,D1180="proMX",E1180&amp;""&lt;&gt;""),IF(COUNTIFS($D$5:D1179,"proMX",$E$5:E1179,E1180,$BD$5:BD1179,1)=0,MAX($CC$5:CC1179)+1,""),"")</f>
        <v/>
      </c>
      <c r="CD1180" s="80" t="str">
        <f>IF(AND(BE1180=1,D1180="Malcolm",F1180&amp;""&lt;&gt;""),IF(COUNTIFS($D$5:D1179,"Malcolm",$F$5:F1179,F1180,$BE$5:BE1179,1)=0,MAX($CD$5:CD1179)+1,""),"")</f>
        <v/>
      </c>
      <c r="CE1180" s="80" t="str">
        <f>IF(AND(BD1180=1,D1180="proMX",F1180&amp;""&lt;&gt;""),IF(COUNTIFS($D$5:D1179,"proMX",$F$5:F1179,F1180,$BD$5:BD1179,1)=0,MAX($CE$5:CE1179)+1,""),"")</f>
        <v/>
      </c>
      <c r="CF1180" s="80" t="str">
        <f>IF(AND(D1180="proMX",BD1180=1),IF(OR(BF1180="Draft",BF1180="Submitted",BF1180="Returned",BF1180="Recall Requested"),MAX($CF$5:CF1179)+1,""),"")</f>
        <v/>
      </c>
      <c r="CG1180" s="80">
        <f>IF(BD1180=0,0,IF(D1180="Malcolm",1,MATCH(BF1180,{"Draft","Submitted","Approved","Returned","Recall Requested","Cancelled"},0)+1))</f>
        <v>0</v>
      </c>
      <c r="CH1180" s="80">
        <f>IF(AND(BF1180="Submitted",ISNUMBER(V1180)),IF(V1180&gt;CFG_MAXD,1,0),0)</f>
        <v>0</v>
      </c>
    </row>
    <row r="1181">
      <c r="A1181" s="71" t="str">
        <f>IF(Y1181=1,ROW()-5,"")</f>
        <v/>
      </c>
      <c r="B1181" s="72" t="n"/>
      <c r="C1181" s="71" t="str">
        <f>IF(ISNUMBER(B1181),CHOOSE(WEEKDAY(B1181,2),"Lun","Mar","Mié","Jue","Vie","Sáb","Dom"),"")</f>
        <v/>
      </c>
      <c r="D1181" s="73" t="n"/>
      <c r="E1181" s="74" t="n"/>
      <c r="F1181" s="74" t="n"/>
      <c r="G1181" s="74" t="n"/>
      <c r="H1181" s="75" t="n"/>
      <c r="I1181" s="75" t="n"/>
      <c r="J1181" s="76" t="n"/>
      <c r="K1181" s="77" t="str">
        <f>IF(AB1181=1,ROUND(AG1181/60,4),"")</f>
        <v/>
      </c>
      <c r="L1181" s="77" t="str">
        <f>IF(BD1181=1,ROUND(AP1181/60,4),"")</f>
        <v/>
      </c>
      <c r="M1181" s="77" t="str">
        <f>IF(BD1181=1,ROUND(AQ1181/60,4),"")</f>
        <v/>
      </c>
      <c r="N1181" s="71" t="str">
        <f>IF(AND(D1181="proMX",AB1181=1),ROUND(AG1181/CFG_BLK,2),"")</f>
        <v/>
      </c>
      <c r="O1181" s="77" t="str">
        <f>IF(D1181="proMX",IF(BD1181=1,ROUND(AG1181/60,4),0),"")</f>
        <v/>
      </c>
      <c r="P1181" s="78" t="str">
        <f>IF(Y1181=0,"",IF(BD1181=1,"OK",IF(D1181="proMX","Revisar bloques: ","Revisar: ")&amp;BC1181))</f>
        <v/>
      </c>
      <c r="Q1181" s="78" t="str">
        <f>IF(NOT(ISNUMBER(B1181)),"",IF(COUNTIFS(FER_F,INT(B1181))&gt;0,"Feriado"&amp;IF(AH1181=1," (laborable)"," (no laborable)"),IF(AH1181=1,"Laborable",IF(WEEKDAY(B1181,2)&gt;5,"Fin de semana","No laborable"))))</f>
        <v/>
      </c>
      <c r="R1181" s="73" t="n"/>
      <c r="S1181" s="72" t="n"/>
      <c r="T1181" s="72" t="n"/>
      <c r="U1181" s="74" t="n"/>
      <c r="V1181" s="79" t="str">
        <f>IF(AND(D1181="proMX",OR(R1181="Submitted",R1181="Recall Requested"),ISNUMBER(S1181)),CFG_TODAY-INT(S1181),"")</f>
        <v/>
      </c>
      <c r="W1181" s="78" t="str">
        <f>IF(BD1181=0,"",IF(BA1181&gt;0,"⚠ Se superpone con un registro de la otra empresa",IF(D1181="Malcolm",IF(COUNTA(R1181,S1181,T1181)&gt;0,"Estado/fechas proMX se ignoran en Malcolm",""),IF(BF1181="Cancelled","Cancelado: excluido de totales",IF(R1181="","Sin estado: se trata como Draft",IF(BF1181="Submitted",IF(ISNUMBER(V1181),IF(V1181&gt;CFG_MAXD,"⚠ "&amp;V1181&amp;" días en Submitted (máx. "&amp;CFG_MAXD&amp;")",""),"Falta fecha de envío"),IF(BF1181="Returned","⚠ Devuelto: corregir y reenviar",IF(BF1181="Recall Requested","Retirada solicitada: pendiente",IF(AND(BF1181="Approved",NOT(ISNUMBER(T1181))),"Falta fecha de aprobación",IF(AND(ISNUMBER(S1181),ISNUMBER(T1181),T1181&lt;S1181),"Aprobación anterior al envío","")))))))))</f>
        <v/>
      </c>
      <c r="Y1181" s="80">
        <f>IF(COUNTA(B1181,D1181,E1181,F1181,G1181,H1181,I1181,J1181,R1181,S1181,T1181)&gt;0,1,0)</f>
        <v>0</v>
      </c>
      <c r="Z1181" s="80" t="str">
        <f>IF(AND(ISNUMBER(H1181),H1181&gt;=0,H1181&lt;1),ROUND(H1181*1440,0),"")</f>
        <v/>
      </c>
      <c r="AA1181" s="80" t="str">
        <f>IF(AND(ISNUMBER(I1181),I1181&gt;=0,I1181&lt;1),ROUND(I1181*1440,0),"")</f>
        <v/>
      </c>
      <c r="AB1181" s="80">
        <f>IF(AND(ISNUMBER(B1181),D1181&lt;&gt;"",ISNUMBER(Z1181),ISNUMBER(AA1181)),IF(Z1181=AA1181,0,1),0)</f>
        <v>0</v>
      </c>
      <c r="AC1181" s="80">
        <f>IF(AB1181=1,IF(AA1181&lt;Z1181,1,0),0)</f>
        <v>0</v>
      </c>
      <c r="AD1181" s="80">
        <f>IF(AB1181=1,IF(AC1181=1,1440-Z1181+AA1181,AA1181-Z1181),0)</f>
        <v>0</v>
      </c>
      <c r="AE1181" s="80">
        <f>IF(J1181="",0,IF(ISNUMBER(J1181),J1181,-1))</f>
        <v>0</v>
      </c>
      <c r="AF1181" s="80">
        <f>MIN(MAX(0,AE1181),AD1181)</f>
        <v>0</v>
      </c>
      <c r="AG1181" s="80">
        <f>MAX(0,AD1181-MAX(0,AE1181))</f>
        <v>0</v>
      </c>
      <c r="AH1181" s="80">
        <f>IF(ISNUMBER(B1181),IF(AND(INDEX(CFG_WDAYS,WEEKDAY(INT(B1181),2))="Sí",IF(D1181="proMX",COUNTIFS(FER_F,INT(B1181),FER_NLP,"Sí"),COUNTIFS(FER_F,INT(B1181),FER_NLM,"Sí"))=0),1,0),0)</f>
        <v>0</v>
      </c>
      <c r="AI1181" s="80">
        <f>IF(AC1181=1,IF(AND(INDEX(CFG_WDAYS,WEEKDAY(INT(B1181)+1,2))="Sí",IF(D1181="proMX",COUNTIFS(FER_F,INT(B1181)+1,FER_NLP,"Sí"),COUNTIFS(FER_F,INT(B1181)+1,FER_NLM,"Sí"))=0),1,0),0)</f>
        <v>0</v>
      </c>
      <c r="AJ1181" s="80">
        <f>IF(AC1181=1,1440-Z1181,AD1181)</f>
        <v>0</v>
      </c>
      <c r="AK1181" s="80">
        <f>IF(AND(AB1181=1,AH1181=1),MAX(0,MIN(IF(AC1181=1,1440,AA1181),CFG_WEM)-MAX(Z1181,CFG_WSM)),0)</f>
        <v>0</v>
      </c>
      <c r="AL1181" s="80">
        <f>IF(AND(AC1181=1,AI1181=1),MAX(0,MIN(AA1181,CFG_WEM)-CFG_WSM),0)</f>
        <v>0</v>
      </c>
      <c r="AM1181" s="80">
        <f>AK1181+AL1181</f>
        <v>0</v>
      </c>
      <c r="AN1181" s="80">
        <f>IF(CFG_BRK="Proporcional",IF(AD1181=0,0,AF1181*AM1181/AD1181),IF(CFG_BRK="Extras primero",MIN(AM1181,MAX(0,AF1181-(AD1181-AM1181))),MIN(AF1181,AM1181)))</f>
        <v>0</v>
      </c>
      <c r="AO1181" s="80">
        <f>AF1181-AN1181</f>
        <v>0</v>
      </c>
      <c r="AP1181" s="80">
        <f>AM1181-AN1181</f>
        <v>0</v>
      </c>
      <c r="AQ1181" s="80">
        <f>AD1181-AM1181-AO1181</f>
        <v>0</v>
      </c>
      <c r="AR1181" s="80">
        <f>IF(AM1181=0,0,AK1181-AN1181*AK1181/AM1181)</f>
        <v>0</v>
      </c>
      <c r="AS1181" s="80">
        <f>IF(AD1181-AM1181=0,0,(AJ1181-AK1181)-AO1181*(AJ1181-AK1181)/(AD1181-AM1181))</f>
        <v>0</v>
      </c>
      <c r="AT1181" s="80" t="str">
        <f>IF(AC1181=1,INT(B1181)+1,"")</f>
        <v/>
      </c>
      <c r="AU1181" s="80">
        <f>IF(AND(D1181="proMX",R1181="Cancelled"),0,1)</f>
        <v>1</v>
      </c>
      <c r="AV1181" s="80">
        <f>IF(AND(AB1181=1,AU1181=1),IF(COUNTIFS($D$5:D1180,D1181,$B$5:B1180,B1181,$Z$5:Z1180,Z1181,$AA$5:AA1180,AA1181,$F$5:F1180,F1181&amp;"",$AU$5:AU1180,1)&gt;0,1,0),0)</f>
        <v>0</v>
      </c>
      <c r="AW1181" s="80" t="str">
        <f>IF(AB1181=1,INT(B1181)*1440+Z1181,"")</f>
        <v/>
      </c>
      <c r="AX1181" s="80" t="str">
        <f>IF(AB1181=1,AW1181+AD1181,"")</f>
        <v/>
      </c>
      <c r="AY1181" s="80">
        <f>IF(AND(AB1181=1,AV1181=0,AU1181=1),1,0)</f>
        <v>0</v>
      </c>
      <c r="AZ1181" s="80">
        <f>IF(AY1181=1,COUNTIFS(R_Emp,D1181,R_SAbs,"&lt;"&amp;AX1181,R_EAbs,"&gt;"&amp;AW1181,R_OKey,1)-1,0)</f>
        <v>0</v>
      </c>
      <c r="BA1181" s="80">
        <f>IF(AY1181=1,COUNTIFS(R_Emp,"&lt;&gt;"&amp;D1181,R_SAbs,"&lt;"&amp;AX1181,R_EAbs,"&gt;"&amp;AW1181,R_OKey,1),0)</f>
        <v>0</v>
      </c>
      <c r="BB1181" s="80">
        <f>IF(AND(AB1181=1,D1181="proMX"),IF(AND(MOD(Z1181,CFG_BLK)=0,MOD(AA1181,CFG_BLK)=0,MOD(AG1181,CFG_BLK)=0,AG1181&gt;0),1,0),1)</f>
        <v>1</v>
      </c>
      <c r="BC1181" s="80" t="str">
        <f>IF(Y1181=0,"",IF(NOT(ISNUMBER(B1181)),"Falta fecha o fecha inválida",IF(D1181="","Falta empresa",IF(AND(D1181&lt;&gt;"Malcolm",D1181&lt;&gt;"proMX"),"Empresa inválida",IF(OR(INT(B1181)&lt;CFG_PSTART,INT(B1181)&gt;CFG_PEND),"Fecha fuera del período",IF(OR(NOT(ISNUMBER(Z1181)),NOT(ISNUMBER(AA1181))),"Falta hora inicio/fin o formato inválido",IF(AB1181=0,"Hora inicio = hora fin",IF(AE1181&lt;0,"Descanso inválido",IF(AE1181&gt;=AD1181,"Descanso ≥ duración",IF(AV1181=1,"Registro duplicado",IF(AZ1181&gt;0,"Se superpone con otro registro "&amp;D1181,IF(BB1181=0,"inicio, fin y duración neta deben ser múltiplos de "&amp;CFG_BLK&amp;" min",""))))))))))))</f>
        <v/>
      </c>
      <c r="BD1181" s="80">
        <f>IF(AND(Y1181=1,BC1181=""),1,0)</f>
        <v>0</v>
      </c>
      <c r="BE1181" s="80">
        <f>IF(AND(BD1181=1,AU1181=1),1,0)</f>
        <v>0</v>
      </c>
      <c r="BF1181" s="80" t="str">
        <f>IF(AND(D1181="proMX",BD1181=1),IF(R1181="","Draft",R1181),"")</f>
        <v/>
      </c>
      <c r="BG1181" s="80">
        <f>IF(BD1181=1,ROUND(AG1181/60,6),0)</f>
        <v>0</v>
      </c>
      <c r="BH1181" s="80">
        <f>IF(BE1181=1,ROUND(AG1181/60,6),0)</f>
        <v>0</v>
      </c>
      <c r="BI1181" s="80">
        <f>IF(BE1181=1,ROUND(AP1181/60,6),0)</f>
        <v>0</v>
      </c>
      <c r="BJ1181" s="80">
        <f>IF(BE1181=1,ROUND(AQ1181/60,6),0)</f>
        <v>0</v>
      </c>
      <c r="BK1181" s="80">
        <f>IF(BE1181=1,ROUND((AR1181+AS1181)/60,6),0)</f>
        <v>0</v>
      </c>
      <c r="BL1181" s="80">
        <f>ROUND(BH1181-BK1181,6)</f>
        <v>0</v>
      </c>
      <c r="BM1181" s="80">
        <f>IF(BE1181=1,ROUND(AR1181/60,6),0)</f>
        <v>0</v>
      </c>
      <c r="BN1181" s="80">
        <f>ROUND(BI1181-BM1181,6)</f>
        <v>0</v>
      </c>
      <c r="BO1181" s="80">
        <f>IF(BE1181=1,ROUND(AS1181/60,6),0)</f>
        <v>0</v>
      </c>
      <c r="BP1181" s="80">
        <f>ROUND(BJ1181-BO1181,6)</f>
        <v>0</v>
      </c>
      <c r="BQ1181" s="80">
        <f>IF(BE1181=1,AW1181,0)</f>
        <v>0</v>
      </c>
      <c r="BR1181" s="80">
        <f>IF(BE1181=1,AX1181,0)</f>
        <v>0</v>
      </c>
      <c r="BS1181" s="80">
        <f>IF(AND(BE1181=1,D1181="Malcolm",BA1181&gt;0),MIN(BH1181,SUMPRODUCT((R_Emp="proMX")*(R_EN&gt;0)*((R_EN-(R_EN&gt;BR1181)*(R_EN-BR1181))&gt;(R_SN+(R_SN&lt;BQ1181)*(BQ1181-R_SN)))*((R_EN-(R_EN&gt;BR1181)*(R_EN-BR1181))-(R_SN+(R_SN&lt;BQ1181)*(BQ1181-R_SN))))/60),0)</f>
        <v>0</v>
      </c>
      <c r="BT1181" s="80">
        <f>IF(AND(BE1181=1,D1181="proMX"),ROUND(BI1181*CFG_RATE+BJ1181*CFG_OTRATE,6),0)</f>
        <v>0</v>
      </c>
      <c r="BU1181" s="80">
        <f>IF(AND(BD1181=1,D1181="proMX"),ROUND(AG1181/CFG_BLK,6),0)</f>
        <v>0</v>
      </c>
      <c r="BV1181" s="80" t="str">
        <f>IF(BF1181="Approved",IF(ISNUMBER(T1181),INT(T1181),INT(B1181)),"")</f>
        <v/>
      </c>
      <c r="BW1181" s="80">
        <f>IF(ISNUMBER(B1181),IF(DB_MON="Todos",1,IF(AND(INT(B1181)&gt;=DB_MS,INT(B1181)&lt;=DB_ME),1,0)),0)</f>
        <v>0</v>
      </c>
      <c r="BX1181" s="80">
        <f>IF(DB_PROJ="Todos",1,IF(E1181&amp;""=DB_PROJ&amp;"",1,0))</f>
        <v>1</v>
      </c>
      <c r="BY1181" s="80">
        <f>BW1181*BX1181</f>
        <v>0</v>
      </c>
      <c r="BZ1181" s="80" t="str">
        <f>IF(Y1181=1,F1181&amp;IF(AND(F1181&amp;""&lt;&gt;"",E1181&amp;""&lt;&gt;"")," · ","")&amp;E1181,"")</f>
        <v/>
      </c>
      <c r="CA1181" s="80" t="str">
        <f>IF(AND(BD1181=1,E1181&amp;""&lt;&gt;""),IF(COUNTIFS($E$5:E1180,E1181,$BD$5:BD1180,1)=0,MAX($CA$5:CA1180)+1,""),"")</f>
        <v/>
      </c>
      <c r="CB1181" s="80" t="str">
        <f>IF(AND(BE1181=1,D1181="Malcolm",E1181&amp;""&lt;&gt;""),IF(COUNTIFS($D$5:D1180,"Malcolm",$E$5:E1180,E1181,$BE$5:BE1180,1)=0,MAX($CB$5:CB1180)+1,""),"")</f>
        <v/>
      </c>
      <c r="CC1181" s="80" t="str">
        <f>IF(AND(BD1181=1,D1181="proMX",E1181&amp;""&lt;&gt;""),IF(COUNTIFS($D$5:D1180,"proMX",$E$5:E1180,E1181,$BD$5:BD1180,1)=0,MAX($CC$5:CC1180)+1,""),"")</f>
        <v/>
      </c>
      <c r="CD1181" s="80" t="str">
        <f>IF(AND(BE1181=1,D1181="Malcolm",F1181&amp;""&lt;&gt;""),IF(COUNTIFS($D$5:D1180,"Malcolm",$F$5:F1180,F1181,$BE$5:BE1180,1)=0,MAX($CD$5:CD1180)+1,""),"")</f>
        <v/>
      </c>
      <c r="CE1181" s="80" t="str">
        <f>IF(AND(BD1181=1,D1181="proMX",F1181&amp;""&lt;&gt;""),IF(COUNTIFS($D$5:D1180,"proMX",$F$5:F1180,F1181,$BD$5:BD1180,1)=0,MAX($CE$5:CE1180)+1,""),"")</f>
        <v/>
      </c>
      <c r="CF1181" s="80" t="str">
        <f>IF(AND(D1181="proMX",BD1181=1),IF(OR(BF1181="Draft",BF1181="Submitted",BF1181="Returned",BF1181="Recall Requested"),MAX($CF$5:CF1180)+1,""),"")</f>
        <v/>
      </c>
      <c r="CG1181" s="80">
        <f>IF(BD1181=0,0,IF(D1181="Malcolm",1,MATCH(BF1181,{"Draft","Submitted","Approved","Returned","Recall Requested","Cancelled"},0)+1))</f>
        <v>0</v>
      </c>
      <c r="CH1181" s="80">
        <f>IF(AND(BF1181="Submitted",ISNUMBER(V1181)),IF(V1181&gt;CFG_MAXD,1,0),0)</f>
        <v>0</v>
      </c>
    </row>
    <row r="1182">
      <c r="A1182" s="71" t="str">
        <f>IF(Y1182=1,ROW()-5,"")</f>
        <v/>
      </c>
      <c r="B1182" s="72" t="n"/>
      <c r="C1182" s="71" t="str">
        <f>IF(ISNUMBER(B1182),CHOOSE(WEEKDAY(B1182,2),"Lun","Mar","Mié","Jue","Vie","Sáb","Dom"),"")</f>
        <v/>
      </c>
      <c r="D1182" s="73" t="n"/>
      <c r="E1182" s="74" t="n"/>
      <c r="F1182" s="74" t="n"/>
      <c r="G1182" s="74" t="n"/>
      <c r="H1182" s="75" t="n"/>
      <c r="I1182" s="75" t="n"/>
      <c r="J1182" s="76" t="n"/>
      <c r="K1182" s="77" t="str">
        <f>IF(AB1182=1,ROUND(AG1182/60,4),"")</f>
        <v/>
      </c>
      <c r="L1182" s="77" t="str">
        <f>IF(BD1182=1,ROUND(AP1182/60,4),"")</f>
        <v/>
      </c>
      <c r="M1182" s="77" t="str">
        <f>IF(BD1182=1,ROUND(AQ1182/60,4),"")</f>
        <v/>
      </c>
      <c r="N1182" s="71" t="str">
        <f>IF(AND(D1182="proMX",AB1182=1),ROUND(AG1182/CFG_BLK,2),"")</f>
        <v/>
      </c>
      <c r="O1182" s="77" t="str">
        <f>IF(D1182="proMX",IF(BD1182=1,ROUND(AG1182/60,4),0),"")</f>
        <v/>
      </c>
      <c r="P1182" s="78" t="str">
        <f>IF(Y1182=0,"",IF(BD1182=1,"OK",IF(D1182="proMX","Revisar bloques: ","Revisar: ")&amp;BC1182))</f>
        <v/>
      </c>
      <c r="Q1182" s="78" t="str">
        <f>IF(NOT(ISNUMBER(B1182)),"",IF(COUNTIFS(FER_F,INT(B1182))&gt;0,"Feriado"&amp;IF(AH1182=1," (laborable)"," (no laborable)"),IF(AH1182=1,"Laborable",IF(WEEKDAY(B1182,2)&gt;5,"Fin de semana","No laborable"))))</f>
        <v/>
      </c>
      <c r="R1182" s="73" t="n"/>
      <c r="S1182" s="72" t="n"/>
      <c r="T1182" s="72" t="n"/>
      <c r="U1182" s="74" t="n"/>
      <c r="V1182" s="79" t="str">
        <f>IF(AND(D1182="proMX",OR(R1182="Submitted",R1182="Recall Requested"),ISNUMBER(S1182)),CFG_TODAY-INT(S1182),"")</f>
        <v/>
      </c>
      <c r="W1182" s="78" t="str">
        <f>IF(BD1182=0,"",IF(BA1182&gt;0,"⚠ Se superpone con un registro de la otra empresa",IF(D1182="Malcolm",IF(COUNTA(R1182,S1182,T1182)&gt;0,"Estado/fechas proMX se ignoran en Malcolm",""),IF(BF1182="Cancelled","Cancelado: excluido de totales",IF(R1182="","Sin estado: se trata como Draft",IF(BF1182="Submitted",IF(ISNUMBER(V1182),IF(V1182&gt;CFG_MAXD,"⚠ "&amp;V1182&amp;" días en Submitted (máx. "&amp;CFG_MAXD&amp;")",""),"Falta fecha de envío"),IF(BF1182="Returned","⚠ Devuelto: corregir y reenviar",IF(BF1182="Recall Requested","Retirada solicitada: pendiente",IF(AND(BF1182="Approved",NOT(ISNUMBER(T1182))),"Falta fecha de aprobación",IF(AND(ISNUMBER(S1182),ISNUMBER(T1182),T1182&lt;S1182),"Aprobación anterior al envío","")))))))))</f>
        <v/>
      </c>
      <c r="Y1182" s="80">
        <f>IF(COUNTA(B1182,D1182,E1182,F1182,G1182,H1182,I1182,J1182,R1182,S1182,T1182)&gt;0,1,0)</f>
        <v>0</v>
      </c>
      <c r="Z1182" s="80" t="str">
        <f>IF(AND(ISNUMBER(H1182),H1182&gt;=0,H1182&lt;1),ROUND(H1182*1440,0),"")</f>
        <v/>
      </c>
      <c r="AA1182" s="80" t="str">
        <f>IF(AND(ISNUMBER(I1182),I1182&gt;=0,I1182&lt;1),ROUND(I1182*1440,0),"")</f>
        <v/>
      </c>
      <c r="AB1182" s="80">
        <f>IF(AND(ISNUMBER(B1182),D1182&lt;&gt;"",ISNUMBER(Z1182),ISNUMBER(AA1182)),IF(Z1182=AA1182,0,1),0)</f>
        <v>0</v>
      </c>
      <c r="AC1182" s="80">
        <f>IF(AB1182=1,IF(AA1182&lt;Z1182,1,0),0)</f>
        <v>0</v>
      </c>
      <c r="AD1182" s="80">
        <f>IF(AB1182=1,IF(AC1182=1,1440-Z1182+AA1182,AA1182-Z1182),0)</f>
        <v>0</v>
      </c>
      <c r="AE1182" s="80">
        <f>IF(J1182="",0,IF(ISNUMBER(J1182),J1182,-1))</f>
        <v>0</v>
      </c>
      <c r="AF1182" s="80">
        <f>MIN(MAX(0,AE1182),AD1182)</f>
        <v>0</v>
      </c>
      <c r="AG1182" s="80">
        <f>MAX(0,AD1182-MAX(0,AE1182))</f>
        <v>0</v>
      </c>
      <c r="AH1182" s="80">
        <f>IF(ISNUMBER(B1182),IF(AND(INDEX(CFG_WDAYS,WEEKDAY(INT(B1182),2))="Sí",IF(D1182="proMX",COUNTIFS(FER_F,INT(B1182),FER_NLP,"Sí"),COUNTIFS(FER_F,INT(B1182),FER_NLM,"Sí"))=0),1,0),0)</f>
        <v>0</v>
      </c>
      <c r="AI1182" s="80">
        <f>IF(AC1182=1,IF(AND(INDEX(CFG_WDAYS,WEEKDAY(INT(B1182)+1,2))="Sí",IF(D1182="proMX",COUNTIFS(FER_F,INT(B1182)+1,FER_NLP,"Sí"),COUNTIFS(FER_F,INT(B1182)+1,FER_NLM,"Sí"))=0),1,0),0)</f>
        <v>0</v>
      </c>
      <c r="AJ1182" s="80">
        <f>IF(AC1182=1,1440-Z1182,AD1182)</f>
        <v>0</v>
      </c>
      <c r="AK1182" s="80">
        <f>IF(AND(AB1182=1,AH1182=1),MAX(0,MIN(IF(AC1182=1,1440,AA1182),CFG_WEM)-MAX(Z1182,CFG_WSM)),0)</f>
        <v>0</v>
      </c>
      <c r="AL1182" s="80">
        <f>IF(AND(AC1182=1,AI1182=1),MAX(0,MIN(AA1182,CFG_WEM)-CFG_WSM),0)</f>
        <v>0</v>
      </c>
      <c r="AM1182" s="80">
        <f>AK1182+AL1182</f>
        <v>0</v>
      </c>
      <c r="AN1182" s="80">
        <f>IF(CFG_BRK="Proporcional",IF(AD1182=0,0,AF1182*AM1182/AD1182),IF(CFG_BRK="Extras primero",MIN(AM1182,MAX(0,AF1182-(AD1182-AM1182))),MIN(AF1182,AM1182)))</f>
        <v>0</v>
      </c>
      <c r="AO1182" s="80">
        <f>AF1182-AN1182</f>
        <v>0</v>
      </c>
      <c r="AP1182" s="80">
        <f>AM1182-AN1182</f>
        <v>0</v>
      </c>
      <c r="AQ1182" s="80">
        <f>AD1182-AM1182-AO1182</f>
        <v>0</v>
      </c>
      <c r="AR1182" s="80">
        <f>IF(AM1182=0,0,AK1182-AN1182*AK1182/AM1182)</f>
        <v>0</v>
      </c>
      <c r="AS1182" s="80">
        <f>IF(AD1182-AM1182=0,0,(AJ1182-AK1182)-AO1182*(AJ1182-AK1182)/(AD1182-AM1182))</f>
        <v>0</v>
      </c>
      <c r="AT1182" s="80" t="str">
        <f>IF(AC1182=1,INT(B1182)+1,"")</f>
        <v/>
      </c>
      <c r="AU1182" s="80">
        <f>IF(AND(D1182="proMX",R1182="Cancelled"),0,1)</f>
        <v>1</v>
      </c>
      <c r="AV1182" s="80">
        <f>IF(AND(AB1182=1,AU1182=1),IF(COUNTIFS($D$5:D1181,D1182,$B$5:B1181,B1182,$Z$5:Z1181,Z1182,$AA$5:AA1181,AA1182,$F$5:F1181,F1182&amp;"",$AU$5:AU1181,1)&gt;0,1,0),0)</f>
        <v>0</v>
      </c>
      <c r="AW1182" s="80" t="str">
        <f>IF(AB1182=1,INT(B1182)*1440+Z1182,"")</f>
        <v/>
      </c>
      <c r="AX1182" s="80" t="str">
        <f>IF(AB1182=1,AW1182+AD1182,"")</f>
        <v/>
      </c>
      <c r="AY1182" s="80">
        <f>IF(AND(AB1182=1,AV1182=0,AU1182=1),1,0)</f>
        <v>0</v>
      </c>
      <c r="AZ1182" s="80">
        <f>IF(AY1182=1,COUNTIFS(R_Emp,D1182,R_SAbs,"&lt;"&amp;AX1182,R_EAbs,"&gt;"&amp;AW1182,R_OKey,1)-1,0)</f>
        <v>0</v>
      </c>
      <c r="BA1182" s="80">
        <f>IF(AY1182=1,COUNTIFS(R_Emp,"&lt;&gt;"&amp;D1182,R_SAbs,"&lt;"&amp;AX1182,R_EAbs,"&gt;"&amp;AW1182,R_OKey,1),0)</f>
        <v>0</v>
      </c>
      <c r="BB1182" s="80">
        <f>IF(AND(AB1182=1,D1182="proMX"),IF(AND(MOD(Z1182,CFG_BLK)=0,MOD(AA1182,CFG_BLK)=0,MOD(AG1182,CFG_BLK)=0,AG1182&gt;0),1,0),1)</f>
        <v>1</v>
      </c>
      <c r="BC1182" s="80" t="str">
        <f>IF(Y1182=0,"",IF(NOT(ISNUMBER(B1182)),"Falta fecha o fecha inválida",IF(D1182="","Falta empresa",IF(AND(D1182&lt;&gt;"Malcolm",D1182&lt;&gt;"proMX"),"Empresa inválida",IF(OR(INT(B1182)&lt;CFG_PSTART,INT(B1182)&gt;CFG_PEND),"Fecha fuera del período",IF(OR(NOT(ISNUMBER(Z1182)),NOT(ISNUMBER(AA1182))),"Falta hora inicio/fin o formato inválido",IF(AB1182=0,"Hora inicio = hora fin",IF(AE1182&lt;0,"Descanso inválido",IF(AE1182&gt;=AD1182,"Descanso ≥ duración",IF(AV1182=1,"Registro duplicado",IF(AZ1182&gt;0,"Se superpone con otro registro "&amp;D1182,IF(BB1182=0,"inicio, fin y duración neta deben ser múltiplos de "&amp;CFG_BLK&amp;" min",""))))))))))))</f>
        <v/>
      </c>
      <c r="BD1182" s="80">
        <f>IF(AND(Y1182=1,BC1182=""),1,0)</f>
        <v>0</v>
      </c>
      <c r="BE1182" s="80">
        <f>IF(AND(BD1182=1,AU1182=1),1,0)</f>
        <v>0</v>
      </c>
      <c r="BF1182" s="80" t="str">
        <f>IF(AND(D1182="proMX",BD1182=1),IF(R1182="","Draft",R1182),"")</f>
        <v/>
      </c>
      <c r="BG1182" s="80">
        <f>IF(BD1182=1,ROUND(AG1182/60,6),0)</f>
        <v>0</v>
      </c>
      <c r="BH1182" s="80">
        <f>IF(BE1182=1,ROUND(AG1182/60,6),0)</f>
        <v>0</v>
      </c>
      <c r="BI1182" s="80">
        <f>IF(BE1182=1,ROUND(AP1182/60,6),0)</f>
        <v>0</v>
      </c>
      <c r="BJ1182" s="80">
        <f>IF(BE1182=1,ROUND(AQ1182/60,6),0)</f>
        <v>0</v>
      </c>
      <c r="BK1182" s="80">
        <f>IF(BE1182=1,ROUND((AR1182+AS1182)/60,6),0)</f>
        <v>0</v>
      </c>
      <c r="BL1182" s="80">
        <f>ROUND(BH1182-BK1182,6)</f>
        <v>0</v>
      </c>
      <c r="BM1182" s="80">
        <f>IF(BE1182=1,ROUND(AR1182/60,6),0)</f>
        <v>0</v>
      </c>
      <c r="BN1182" s="80">
        <f>ROUND(BI1182-BM1182,6)</f>
        <v>0</v>
      </c>
      <c r="BO1182" s="80">
        <f>IF(BE1182=1,ROUND(AS1182/60,6),0)</f>
        <v>0</v>
      </c>
      <c r="BP1182" s="80">
        <f>ROUND(BJ1182-BO1182,6)</f>
        <v>0</v>
      </c>
      <c r="BQ1182" s="80">
        <f>IF(BE1182=1,AW1182,0)</f>
        <v>0</v>
      </c>
      <c r="BR1182" s="80">
        <f>IF(BE1182=1,AX1182,0)</f>
        <v>0</v>
      </c>
      <c r="BS1182" s="80">
        <f>IF(AND(BE1182=1,D1182="Malcolm",BA1182&gt;0),MIN(BH1182,SUMPRODUCT((R_Emp="proMX")*(R_EN&gt;0)*((R_EN-(R_EN&gt;BR1182)*(R_EN-BR1182))&gt;(R_SN+(R_SN&lt;BQ1182)*(BQ1182-R_SN)))*((R_EN-(R_EN&gt;BR1182)*(R_EN-BR1182))-(R_SN+(R_SN&lt;BQ1182)*(BQ1182-R_SN))))/60),0)</f>
        <v>0</v>
      </c>
      <c r="BT1182" s="80">
        <f>IF(AND(BE1182=1,D1182="proMX"),ROUND(BI1182*CFG_RATE+BJ1182*CFG_OTRATE,6),0)</f>
        <v>0</v>
      </c>
      <c r="BU1182" s="80">
        <f>IF(AND(BD1182=1,D1182="proMX"),ROUND(AG1182/CFG_BLK,6),0)</f>
        <v>0</v>
      </c>
      <c r="BV1182" s="80" t="str">
        <f>IF(BF1182="Approved",IF(ISNUMBER(T1182),INT(T1182),INT(B1182)),"")</f>
        <v/>
      </c>
      <c r="BW1182" s="80">
        <f>IF(ISNUMBER(B1182),IF(DB_MON="Todos",1,IF(AND(INT(B1182)&gt;=DB_MS,INT(B1182)&lt;=DB_ME),1,0)),0)</f>
        <v>0</v>
      </c>
      <c r="BX1182" s="80">
        <f>IF(DB_PROJ="Todos",1,IF(E1182&amp;""=DB_PROJ&amp;"",1,0))</f>
        <v>1</v>
      </c>
      <c r="BY1182" s="80">
        <f>BW1182*BX1182</f>
        <v>0</v>
      </c>
      <c r="BZ1182" s="80" t="str">
        <f>IF(Y1182=1,F1182&amp;IF(AND(F1182&amp;""&lt;&gt;"",E1182&amp;""&lt;&gt;"")," · ","")&amp;E1182,"")</f>
        <v/>
      </c>
      <c r="CA1182" s="80" t="str">
        <f>IF(AND(BD1182=1,E1182&amp;""&lt;&gt;""),IF(COUNTIFS($E$5:E1181,E1182,$BD$5:BD1181,1)=0,MAX($CA$5:CA1181)+1,""),"")</f>
        <v/>
      </c>
      <c r="CB1182" s="80" t="str">
        <f>IF(AND(BE1182=1,D1182="Malcolm",E1182&amp;""&lt;&gt;""),IF(COUNTIFS($D$5:D1181,"Malcolm",$E$5:E1181,E1182,$BE$5:BE1181,1)=0,MAX($CB$5:CB1181)+1,""),"")</f>
        <v/>
      </c>
      <c r="CC1182" s="80" t="str">
        <f>IF(AND(BD1182=1,D1182="proMX",E1182&amp;""&lt;&gt;""),IF(COUNTIFS($D$5:D1181,"proMX",$E$5:E1181,E1182,$BD$5:BD1181,1)=0,MAX($CC$5:CC1181)+1,""),"")</f>
        <v/>
      </c>
      <c r="CD1182" s="80" t="str">
        <f>IF(AND(BE1182=1,D1182="Malcolm",F1182&amp;""&lt;&gt;""),IF(COUNTIFS($D$5:D1181,"Malcolm",$F$5:F1181,F1182,$BE$5:BE1181,1)=0,MAX($CD$5:CD1181)+1,""),"")</f>
        <v/>
      </c>
      <c r="CE1182" s="80" t="str">
        <f>IF(AND(BD1182=1,D1182="proMX",F1182&amp;""&lt;&gt;""),IF(COUNTIFS($D$5:D1181,"proMX",$F$5:F1181,F1182,$BD$5:BD1181,1)=0,MAX($CE$5:CE1181)+1,""),"")</f>
        <v/>
      </c>
      <c r="CF1182" s="80" t="str">
        <f>IF(AND(D1182="proMX",BD1182=1),IF(OR(BF1182="Draft",BF1182="Submitted",BF1182="Returned",BF1182="Recall Requested"),MAX($CF$5:CF1181)+1,""),"")</f>
        <v/>
      </c>
      <c r="CG1182" s="80">
        <f>IF(BD1182=0,0,IF(D1182="Malcolm",1,MATCH(BF1182,{"Draft","Submitted","Approved","Returned","Recall Requested","Cancelled"},0)+1))</f>
        <v>0</v>
      </c>
      <c r="CH1182" s="80">
        <f>IF(AND(BF1182="Submitted",ISNUMBER(V1182)),IF(V1182&gt;CFG_MAXD,1,0),0)</f>
        <v>0</v>
      </c>
    </row>
    <row r="1183">
      <c r="A1183" s="71" t="str">
        <f>IF(Y1183=1,ROW()-5,"")</f>
        <v/>
      </c>
      <c r="B1183" s="72" t="n"/>
      <c r="C1183" s="71" t="str">
        <f>IF(ISNUMBER(B1183),CHOOSE(WEEKDAY(B1183,2),"Lun","Mar","Mié","Jue","Vie","Sáb","Dom"),"")</f>
        <v/>
      </c>
      <c r="D1183" s="73" t="n"/>
      <c r="E1183" s="74" t="n"/>
      <c r="F1183" s="74" t="n"/>
      <c r="G1183" s="74" t="n"/>
      <c r="H1183" s="75" t="n"/>
      <c r="I1183" s="75" t="n"/>
      <c r="J1183" s="76" t="n"/>
      <c r="K1183" s="77" t="str">
        <f>IF(AB1183=1,ROUND(AG1183/60,4),"")</f>
        <v/>
      </c>
      <c r="L1183" s="77" t="str">
        <f>IF(BD1183=1,ROUND(AP1183/60,4),"")</f>
        <v/>
      </c>
      <c r="M1183" s="77" t="str">
        <f>IF(BD1183=1,ROUND(AQ1183/60,4),"")</f>
        <v/>
      </c>
      <c r="N1183" s="71" t="str">
        <f>IF(AND(D1183="proMX",AB1183=1),ROUND(AG1183/CFG_BLK,2),"")</f>
        <v/>
      </c>
      <c r="O1183" s="77" t="str">
        <f>IF(D1183="proMX",IF(BD1183=1,ROUND(AG1183/60,4),0),"")</f>
        <v/>
      </c>
      <c r="P1183" s="78" t="str">
        <f>IF(Y1183=0,"",IF(BD1183=1,"OK",IF(D1183="proMX","Revisar bloques: ","Revisar: ")&amp;BC1183))</f>
        <v/>
      </c>
      <c r="Q1183" s="78" t="str">
        <f>IF(NOT(ISNUMBER(B1183)),"",IF(COUNTIFS(FER_F,INT(B1183))&gt;0,"Feriado"&amp;IF(AH1183=1," (laborable)"," (no laborable)"),IF(AH1183=1,"Laborable",IF(WEEKDAY(B1183,2)&gt;5,"Fin de semana","No laborable"))))</f>
        <v/>
      </c>
      <c r="R1183" s="73" t="n"/>
      <c r="S1183" s="72" t="n"/>
      <c r="T1183" s="72" t="n"/>
      <c r="U1183" s="74" t="n"/>
      <c r="V1183" s="79" t="str">
        <f>IF(AND(D1183="proMX",OR(R1183="Submitted",R1183="Recall Requested"),ISNUMBER(S1183)),CFG_TODAY-INT(S1183),"")</f>
        <v/>
      </c>
      <c r="W1183" s="78" t="str">
        <f>IF(BD1183=0,"",IF(BA1183&gt;0,"⚠ Se superpone con un registro de la otra empresa",IF(D1183="Malcolm",IF(COUNTA(R1183,S1183,T1183)&gt;0,"Estado/fechas proMX se ignoran en Malcolm",""),IF(BF1183="Cancelled","Cancelado: excluido de totales",IF(R1183="","Sin estado: se trata como Draft",IF(BF1183="Submitted",IF(ISNUMBER(V1183),IF(V1183&gt;CFG_MAXD,"⚠ "&amp;V1183&amp;" días en Submitted (máx. "&amp;CFG_MAXD&amp;")",""),"Falta fecha de envío"),IF(BF1183="Returned","⚠ Devuelto: corregir y reenviar",IF(BF1183="Recall Requested","Retirada solicitada: pendiente",IF(AND(BF1183="Approved",NOT(ISNUMBER(T1183))),"Falta fecha de aprobación",IF(AND(ISNUMBER(S1183),ISNUMBER(T1183),T1183&lt;S1183),"Aprobación anterior al envío","")))))))))</f>
        <v/>
      </c>
      <c r="Y1183" s="80">
        <f>IF(COUNTA(B1183,D1183,E1183,F1183,G1183,H1183,I1183,J1183,R1183,S1183,T1183)&gt;0,1,0)</f>
        <v>0</v>
      </c>
      <c r="Z1183" s="80" t="str">
        <f>IF(AND(ISNUMBER(H1183),H1183&gt;=0,H1183&lt;1),ROUND(H1183*1440,0),"")</f>
        <v/>
      </c>
      <c r="AA1183" s="80" t="str">
        <f>IF(AND(ISNUMBER(I1183),I1183&gt;=0,I1183&lt;1),ROUND(I1183*1440,0),"")</f>
        <v/>
      </c>
      <c r="AB1183" s="80">
        <f>IF(AND(ISNUMBER(B1183),D1183&lt;&gt;"",ISNUMBER(Z1183),ISNUMBER(AA1183)),IF(Z1183=AA1183,0,1),0)</f>
        <v>0</v>
      </c>
      <c r="AC1183" s="80">
        <f>IF(AB1183=1,IF(AA1183&lt;Z1183,1,0),0)</f>
        <v>0</v>
      </c>
      <c r="AD1183" s="80">
        <f>IF(AB1183=1,IF(AC1183=1,1440-Z1183+AA1183,AA1183-Z1183),0)</f>
        <v>0</v>
      </c>
      <c r="AE1183" s="80">
        <f>IF(J1183="",0,IF(ISNUMBER(J1183),J1183,-1))</f>
        <v>0</v>
      </c>
      <c r="AF1183" s="80">
        <f>MIN(MAX(0,AE1183),AD1183)</f>
        <v>0</v>
      </c>
      <c r="AG1183" s="80">
        <f>MAX(0,AD1183-MAX(0,AE1183))</f>
        <v>0</v>
      </c>
      <c r="AH1183" s="80">
        <f>IF(ISNUMBER(B1183),IF(AND(INDEX(CFG_WDAYS,WEEKDAY(INT(B1183),2))="Sí",IF(D1183="proMX",COUNTIFS(FER_F,INT(B1183),FER_NLP,"Sí"),COUNTIFS(FER_F,INT(B1183),FER_NLM,"Sí"))=0),1,0),0)</f>
        <v>0</v>
      </c>
      <c r="AI1183" s="80">
        <f>IF(AC1183=1,IF(AND(INDEX(CFG_WDAYS,WEEKDAY(INT(B1183)+1,2))="Sí",IF(D1183="proMX",COUNTIFS(FER_F,INT(B1183)+1,FER_NLP,"Sí"),COUNTIFS(FER_F,INT(B1183)+1,FER_NLM,"Sí"))=0),1,0),0)</f>
        <v>0</v>
      </c>
      <c r="AJ1183" s="80">
        <f>IF(AC1183=1,1440-Z1183,AD1183)</f>
        <v>0</v>
      </c>
      <c r="AK1183" s="80">
        <f>IF(AND(AB1183=1,AH1183=1),MAX(0,MIN(IF(AC1183=1,1440,AA1183),CFG_WEM)-MAX(Z1183,CFG_WSM)),0)</f>
        <v>0</v>
      </c>
      <c r="AL1183" s="80">
        <f>IF(AND(AC1183=1,AI1183=1),MAX(0,MIN(AA1183,CFG_WEM)-CFG_WSM),0)</f>
        <v>0</v>
      </c>
      <c r="AM1183" s="80">
        <f>AK1183+AL1183</f>
        <v>0</v>
      </c>
      <c r="AN1183" s="80">
        <f>IF(CFG_BRK="Proporcional",IF(AD1183=0,0,AF1183*AM1183/AD1183),IF(CFG_BRK="Extras primero",MIN(AM1183,MAX(0,AF1183-(AD1183-AM1183))),MIN(AF1183,AM1183)))</f>
        <v>0</v>
      </c>
      <c r="AO1183" s="80">
        <f>AF1183-AN1183</f>
        <v>0</v>
      </c>
      <c r="AP1183" s="80">
        <f>AM1183-AN1183</f>
        <v>0</v>
      </c>
      <c r="AQ1183" s="80">
        <f>AD1183-AM1183-AO1183</f>
        <v>0</v>
      </c>
      <c r="AR1183" s="80">
        <f>IF(AM1183=0,0,AK1183-AN1183*AK1183/AM1183)</f>
        <v>0</v>
      </c>
      <c r="AS1183" s="80">
        <f>IF(AD1183-AM1183=0,0,(AJ1183-AK1183)-AO1183*(AJ1183-AK1183)/(AD1183-AM1183))</f>
        <v>0</v>
      </c>
      <c r="AT1183" s="80" t="str">
        <f>IF(AC1183=1,INT(B1183)+1,"")</f>
        <v/>
      </c>
      <c r="AU1183" s="80">
        <f>IF(AND(D1183="proMX",R1183="Cancelled"),0,1)</f>
        <v>1</v>
      </c>
      <c r="AV1183" s="80">
        <f>IF(AND(AB1183=1,AU1183=1),IF(COUNTIFS($D$5:D1182,D1183,$B$5:B1182,B1183,$Z$5:Z1182,Z1183,$AA$5:AA1182,AA1183,$F$5:F1182,F1183&amp;"",$AU$5:AU1182,1)&gt;0,1,0),0)</f>
        <v>0</v>
      </c>
      <c r="AW1183" s="80" t="str">
        <f>IF(AB1183=1,INT(B1183)*1440+Z1183,"")</f>
        <v/>
      </c>
      <c r="AX1183" s="80" t="str">
        <f>IF(AB1183=1,AW1183+AD1183,"")</f>
        <v/>
      </c>
      <c r="AY1183" s="80">
        <f>IF(AND(AB1183=1,AV1183=0,AU1183=1),1,0)</f>
        <v>0</v>
      </c>
      <c r="AZ1183" s="80">
        <f>IF(AY1183=1,COUNTIFS(R_Emp,D1183,R_SAbs,"&lt;"&amp;AX1183,R_EAbs,"&gt;"&amp;AW1183,R_OKey,1)-1,0)</f>
        <v>0</v>
      </c>
      <c r="BA1183" s="80">
        <f>IF(AY1183=1,COUNTIFS(R_Emp,"&lt;&gt;"&amp;D1183,R_SAbs,"&lt;"&amp;AX1183,R_EAbs,"&gt;"&amp;AW1183,R_OKey,1),0)</f>
        <v>0</v>
      </c>
      <c r="BB1183" s="80">
        <f>IF(AND(AB1183=1,D1183="proMX"),IF(AND(MOD(Z1183,CFG_BLK)=0,MOD(AA1183,CFG_BLK)=0,MOD(AG1183,CFG_BLK)=0,AG1183&gt;0),1,0),1)</f>
        <v>1</v>
      </c>
      <c r="BC1183" s="80" t="str">
        <f>IF(Y1183=0,"",IF(NOT(ISNUMBER(B1183)),"Falta fecha o fecha inválida",IF(D1183="","Falta empresa",IF(AND(D1183&lt;&gt;"Malcolm",D1183&lt;&gt;"proMX"),"Empresa inválida",IF(OR(INT(B1183)&lt;CFG_PSTART,INT(B1183)&gt;CFG_PEND),"Fecha fuera del período",IF(OR(NOT(ISNUMBER(Z1183)),NOT(ISNUMBER(AA1183))),"Falta hora inicio/fin o formato inválido",IF(AB1183=0,"Hora inicio = hora fin",IF(AE1183&lt;0,"Descanso inválido",IF(AE1183&gt;=AD1183,"Descanso ≥ duración",IF(AV1183=1,"Registro duplicado",IF(AZ1183&gt;0,"Se superpone con otro registro "&amp;D1183,IF(BB1183=0,"inicio, fin y duración neta deben ser múltiplos de "&amp;CFG_BLK&amp;" min",""))))))))))))</f>
        <v/>
      </c>
      <c r="BD1183" s="80">
        <f>IF(AND(Y1183=1,BC1183=""),1,0)</f>
        <v>0</v>
      </c>
      <c r="BE1183" s="80">
        <f>IF(AND(BD1183=1,AU1183=1),1,0)</f>
        <v>0</v>
      </c>
      <c r="BF1183" s="80" t="str">
        <f>IF(AND(D1183="proMX",BD1183=1),IF(R1183="","Draft",R1183),"")</f>
        <v/>
      </c>
      <c r="BG1183" s="80">
        <f>IF(BD1183=1,ROUND(AG1183/60,6),0)</f>
        <v>0</v>
      </c>
      <c r="BH1183" s="80">
        <f>IF(BE1183=1,ROUND(AG1183/60,6),0)</f>
        <v>0</v>
      </c>
      <c r="BI1183" s="80">
        <f>IF(BE1183=1,ROUND(AP1183/60,6),0)</f>
        <v>0</v>
      </c>
      <c r="BJ1183" s="80">
        <f>IF(BE1183=1,ROUND(AQ1183/60,6),0)</f>
        <v>0</v>
      </c>
      <c r="BK1183" s="80">
        <f>IF(BE1183=1,ROUND((AR1183+AS1183)/60,6),0)</f>
        <v>0</v>
      </c>
      <c r="BL1183" s="80">
        <f>ROUND(BH1183-BK1183,6)</f>
        <v>0</v>
      </c>
      <c r="BM1183" s="80">
        <f>IF(BE1183=1,ROUND(AR1183/60,6),0)</f>
        <v>0</v>
      </c>
      <c r="BN1183" s="80">
        <f>ROUND(BI1183-BM1183,6)</f>
        <v>0</v>
      </c>
      <c r="BO1183" s="80">
        <f>IF(BE1183=1,ROUND(AS1183/60,6),0)</f>
        <v>0</v>
      </c>
      <c r="BP1183" s="80">
        <f>ROUND(BJ1183-BO1183,6)</f>
        <v>0</v>
      </c>
      <c r="BQ1183" s="80">
        <f>IF(BE1183=1,AW1183,0)</f>
        <v>0</v>
      </c>
      <c r="BR1183" s="80">
        <f>IF(BE1183=1,AX1183,0)</f>
        <v>0</v>
      </c>
      <c r="BS1183" s="80">
        <f>IF(AND(BE1183=1,D1183="Malcolm",BA1183&gt;0),MIN(BH1183,SUMPRODUCT((R_Emp="proMX")*(R_EN&gt;0)*((R_EN-(R_EN&gt;BR1183)*(R_EN-BR1183))&gt;(R_SN+(R_SN&lt;BQ1183)*(BQ1183-R_SN)))*((R_EN-(R_EN&gt;BR1183)*(R_EN-BR1183))-(R_SN+(R_SN&lt;BQ1183)*(BQ1183-R_SN))))/60),0)</f>
        <v>0</v>
      </c>
      <c r="BT1183" s="80">
        <f>IF(AND(BE1183=1,D1183="proMX"),ROUND(BI1183*CFG_RATE+BJ1183*CFG_OTRATE,6),0)</f>
        <v>0</v>
      </c>
      <c r="BU1183" s="80">
        <f>IF(AND(BD1183=1,D1183="proMX"),ROUND(AG1183/CFG_BLK,6),0)</f>
        <v>0</v>
      </c>
      <c r="BV1183" s="80" t="str">
        <f>IF(BF1183="Approved",IF(ISNUMBER(T1183),INT(T1183),INT(B1183)),"")</f>
        <v/>
      </c>
      <c r="BW1183" s="80">
        <f>IF(ISNUMBER(B1183),IF(DB_MON="Todos",1,IF(AND(INT(B1183)&gt;=DB_MS,INT(B1183)&lt;=DB_ME),1,0)),0)</f>
        <v>0</v>
      </c>
      <c r="BX1183" s="80">
        <f>IF(DB_PROJ="Todos",1,IF(E1183&amp;""=DB_PROJ&amp;"",1,0))</f>
        <v>1</v>
      </c>
      <c r="BY1183" s="80">
        <f>BW1183*BX1183</f>
        <v>0</v>
      </c>
      <c r="BZ1183" s="80" t="str">
        <f>IF(Y1183=1,F1183&amp;IF(AND(F1183&amp;""&lt;&gt;"",E1183&amp;""&lt;&gt;"")," · ","")&amp;E1183,"")</f>
        <v/>
      </c>
      <c r="CA1183" s="80" t="str">
        <f>IF(AND(BD1183=1,E1183&amp;""&lt;&gt;""),IF(COUNTIFS($E$5:E1182,E1183,$BD$5:BD1182,1)=0,MAX($CA$5:CA1182)+1,""),"")</f>
        <v/>
      </c>
      <c r="CB1183" s="80" t="str">
        <f>IF(AND(BE1183=1,D1183="Malcolm",E1183&amp;""&lt;&gt;""),IF(COUNTIFS($D$5:D1182,"Malcolm",$E$5:E1182,E1183,$BE$5:BE1182,1)=0,MAX($CB$5:CB1182)+1,""),"")</f>
        <v/>
      </c>
      <c r="CC1183" s="80" t="str">
        <f>IF(AND(BD1183=1,D1183="proMX",E1183&amp;""&lt;&gt;""),IF(COUNTIFS($D$5:D1182,"proMX",$E$5:E1182,E1183,$BD$5:BD1182,1)=0,MAX($CC$5:CC1182)+1,""),"")</f>
        <v/>
      </c>
      <c r="CD1183" s="80" t="str">
        <f>IF(AND(BE1183=1,D1183="Malcolm",F1183&amp;""&lt;&gt;""),IF(COUNTIFS($D$5:D1182,"Malcolm",$F$5:F1182,F1183,$BE$5:BE1182,1)=0,MAX($CD$5:CD1182)+1,""),"")</f>
        <v/>
      </c>
      <c r="CE1183" s="80" t="str">
        <f>IF(AND(BD1183=1,D1183="proMX",F1183&amp;""&lt;&gt;""),IF(COUNTIFS($D$5:D1182,"proMX",$F$5:F1182,F1183,$BD$5:BD1182,1)=0,MAX($CE$5:CE1182)+1,""),"")</f>
        <v/>
      </c>
      <c r="CF1183" s="80" t="str">
        <f>IF(AND(D1183="proMX",BD1183=1),IF(OR(BF1183="Draft",BF1183="Submitted",BF1183="Returned",BF1183="Recall Requested"),MAX($CF$5:CF1182)+1,""),"")</f>
        <v/>
      </c>
      <c r="CG1183" s="80">
        <f>IF(BD1183=0,0,IF(D1183="Malcolm",1,MATCH(BF1183,{"Draft","Submitted","Approved","Returned","Recall Requested","Cancelled"},0)+1))</f>
        <v>0</v>
      </c>
      <c r="CH1183" s="80">
        <f>IF(AND(BF1183="Submitted",ISNUMBER(V1183)),IF(V1183&gt;CFG_MAXD,1,0),0)</f>
        <v>0</v>
      </c>
    </row>
    <row r="1184">
      <c r="A1184" s="71" t="str">
        <f>IF(Y1184=1,ROW()-5,"")</f>
        <v/>
      </c>
      <c r="B1184" s="72" t="n"/>
      <c r="C1184" s="71" t="str">
        <f>IF(ISNUMBER(B1184),CHOOSE(WEEKDAY(B1184,2),"Lun","Mar","Mié","Jue","Vie","Sáb","Dom"),"")</f>
        <v/>
      </c>
      <c r="D1184" s="73" t="n"/>
      <c r="E1184" s="74" t="n"/>
      <c r="F1184" s="74" t="n"/>
      <c r="G1184" s="74" t="n"/>
      <c r="H1184" s="75" t="n"/>
      <c r="I1184" s="75" t="n"/>
      <c r="J1184" s="76" t="n"/>
      <c r="K1184" s="77" t="str">
        <f>IF(AB1184=1,ROUND(AG1184/60,4),"")</f>
        <v/>
      </c>
      <c r="L1184" s="77" t="str">
        <f>IF(BD1184=1,ROUND(AP1184/60,4),"")</f>
        <v/>
      </c>
      <c r="M1184" s="77" t="str">
        <f>IF(BD1184=1,ROUND(AQ1184/60,4),"")</f>
        <v/>
      </c>
      <c r="N1184" s="71" t="str">
        <f>IF(AND(D1184="proMX",AB1184=1),ROUND(AG1184/CFG_BLK,2),"")</f>
        <v/>
      </c>
      <c r="O1184" s="77" t="str">
        <f>IF(D1184="proMX",IF(BD1184=1,ROUND(AG1184/60,4),0),"")</f>
        <v/>
      </c>
      <c r="P1184" s="78" t="str">
        <f>IF(Y1184=0,"",IF(BD1184=1,"OK",IF(D1184="proMX","Revisar bloques: ","Revisar: ")&amp;BC1184))</f>
        <v/>
      </c>
      <c r="Q1184" s="78" t="str">
        <f>IF(NOT(ISNUMBER(B1184)),"",IF(COUNTIFS(FER_F,INT(B1184))&gt;0,"Feriado"&amp;IF(AH1184=1," (laborable)"," (no laborable)"),IF(AH1184=1,"Laborable",IF(WEEKDAY(B1184,2)&gt;5,"Fin de semana","No laborable"))))</f>
        <v/>
      </c>
      <c r="R1184" s="73" t="n"/>
      <c r="S1184" s="72" t="n"/>
      <c r="T1184" s="72" t="n"/>
      <c r="U1184" s="74" t="n"/>
      <c r="V1184" s="79" t="str">
        <f>IF(AND(D1184="proMX",OR(R1184="Submitted",R1184="Recall Requested"),ISNUMBER(S1184)),CFG_TODAY-INT(S1184),"")</f>
        <v/>
      </c>
      <c r="W1184" s="78" t="str">
        <f>IF(BD1184=0,"",IF(BA1184&gt;0,"⚠ Se superpone con un registro de la otra empresa",IF(D1184="Malcolm",IF(COUNTA(R1184,S1184,T1184)&gt;0,"Estado/fechas proMX se ignoran en Malcolm",""),IF(BF1184="Cancelled","Cancelado: excluido de totales",IF(R1184="","Sin estado: se trata como Draft",IF(BF1184="Submitted",IF(ISNUMBER(V1184),IF(V1184&gt;CFG_MAXD,"⚠ "&amp;V1184&amp;" días en Submitted (máx. "&amp;CFG_MAXD&amp;")",""),"Falta fecha de envío"),IF(BF1184="Returned","⚠ Devuelto: corregir y reenviar",IF(BF1184="Recall Requested","Retirada solicitada: pendiente",IF(AND(BF1184="Approved",NOT(ISNUMBER(T1184))),"Falta fecha de aprobación",IF(AND(ISNUMBER(S1184),ISNUMBER(T1184),T1184&lt;S1184),"Aprobación anterior al envío","")))))))))</f>
        <v/>
      </c>
      <c r="Y1184" s="80">
        <f>IF(COUNTA(B1184,D1184,E1184,F1184,G1184,H1184,I1184,J1184,R1184,S1184,T1184)&gt;0,1,0)</f>
        <v>0</v>
      </c>
      <c r="Z1184" s="80" t="str">
        <f>IF(AND(ISNUMBER(H1184),H1184&gt;=0,H1184&lt;1),ROUND(H1184*1440,0),"")</f>
        <v/>
      </c>
      <c r="AA1184" s="80" t="str">
        <f>IF(AND(ISNUMBER(I1184),I1184&gt;=0,I1184&lt;1),ROUND(I1184*1440,0),"")</f>
        <v/>
      </c>
      <c r="AB1184" s="80">
        <f>IF(AND(ISNUMBER(B1184),D1184&lt;&gt;"",ISNUMBER(Z1184),ISNUMBER(AA1184)),IF(Z1184=AA1184,0,1),0)</f>
        <v>0</v>
      </c>
      <c r="AC1184" s="80">
        <f>IF(AB1184=1,IF(AA1184&lt;Z1184,1,0),0)</f>
        <v>0</v>
      </c>
      <c r="AD1184" s="80">
        <f>IF(AB1184=1,IF(AC1184=1,1440-Z1184+AA1184,AA1184-Z1184),0)</f>
        <v>0</v>
      </c>
      <c r="AE1184" s="80">
        <f>IF(J1184="",0,IF(ISNUMBER(J1184),J1184,-1))</f>
        <v>0</v>
      </c>
      <c r="AF1184" s="80">
        <f>MIN(MAX(0,AE1184),AD1184)</f>
        <v>0</v>
      </c>
      <c r="AG1184" s="80">
        <f>MAX(0,AD1184-MAX(0,AE1184))</f>
        <v>0</v>
      </c>
      <c r="AH1184" s="80">
        <f>IF(ISNUMBER(B1184),IF(AND(INDEX(CFG_WDAYS,WEEKDAY(INT(B1184),2))="Sí",IF(D1184="proMX",COUNTIFS(FER_F,INT(B1184),FER_NLP,"Sí"),COUNTIFS(FER_F,INT(B1184),FER_NLM,"Sí"))=0),1,0),0)</f>
        <v>0</v>
      </c>
      <c r="AI1184" s="80">
        <f>IF(AC1184=1,IF(AND(INDEX(CFG_WDAYS,WEEKDAY(INT(B1184)+1,2))="Sí",IF(D1184="proMX",COUNTIFS(FER_F,INT(B1184)+1,FER_NLP,"Sí"),COUNTIFS(FER_F,INT(B1184)+1,FER_NLM,"Sí"))=0),1,0),0)</f>
        <v>0</v>
      </c>
      <c r="AJ1184" s="80">
        <f>IF(AC1184=1,1440-Z1184,AD1184)</f>
        <v>0</v>
      </c>
      <c r="AK1184" s="80">
        <f>IF(AND(AB1184=1,AH1184=1),MAX(0,MIN(IF(AC1184=1,1440,AA1184),CFG_WEM)-MAX(Z1184,CFG_WSM)),0)</f>
        <v>0</v>
      </c>
      <c r="AL1184" s="80">
        <f>IF(AND(AC1184=1,AI1184=1),MAX(0,MIN(AA1184,CFG_WEM)-CFG_WSM),0)</f>
        <v>0</v>
      </c>
      <c r="AM1184" s="80">
        <f>AK1184+AL1184</f>
        <v>0</v>
      </c>
      <c r="AN1184" s="80">
        <f>IF(CFG_BRK="Proporcional",IF(AD1184=0,0,AF1184*AM1184/AD1184),IF(CFG_BRK="Extras primero",MIN(AM1184,MAX(0,AF1184-(AD1184-AM1184))),MIN(AF1184,AM1184)))</f>
        <v>0</v>
      </c>
      <c r="AO1184" s="80">
        <f>AF1184-AN1184</f>
        <v>0</v>
      </c>
      <c r="AP1184" s="80">
        <f>AM1184-AN1184</f>
        <v>0</v>
      </c>
      <c r="AQ1184" s="80">
        <f>AD1184-AM1184-AO1184</f>
        <v>0</v>
      </c>
      <c r="AR1184" s="80">
        <f>IF(AM1184=0,0,AK1184-AN1184*AK1184/AM1184)</f>
        <v>0</v>
      </c>
      <c r="AS1184" s="80">
        <f>IF(AD1184-AM1184=0,0,(AJ1184-AK1184)-AO1184*(AJ1184-AK1184)/(AD1184-AM1184))</f>
        <v>0</v>
      </c>
      <c r="AT1184" s="80" t="str">
        <f>IF(AC1184=1,INT(B1184)+1,"")</f>
        <v/>
      </c>
      <c r="AU1184" s="80">
        <f>IF(AND(D1184="proMX",R1184="Cancelled"),0,1)</f>
        <v>1</v>
      </c>
      <c r="AV1184" s="80">
        <f>IF(AND(AB1184=1,AU1184=1),IF(COUNTIFS($D$5:D1183,D1184,$B$5:B1183,B1184,$Z$5:Z1183,Z1184,$AA$5:AA1183,AA1184,$F$5:F1183,F1184&amp;"",$AU$5:AU1183,1)&gt;0,1,0),0)</f>
        <v>0</v>
      </c>
      <c r="AW1184" s="80" t="str">
        <f>IF(AB1184=1,INT(B1184)*1440+Z1184,"")</f>
        <v/>
      </c>
      <c r="AX1184" s="80" t="str">
        <f>IF(AB1184=1,AW1184+AD1184,"")</f>
        <v/>
      </c>
      <c r="AY1184" s="80">
        <f>IF(AND(AB1184=1,AV1184=0,AU1184=1),1,0)</f>
        <v>0</v>
      </c>
      <c r="AZ1184" s="80">
        <f>IF(AY1184=1,COUNTIFS(R_Emp,D1184,R_SAbs,"&lt;"&amp;AX1184,R_EAbs,"&gt;"&amp;AW1184,R_OKey,1)-1,0)</f>
        <v>0</v>
      </c>
      <c r="BA1184" s="80">
        <f>IF(AY1184=1,COUNTIFS(R_Emp,"&lt;&gt;"&amp;D1184,R_SAbs,"&lt;"&amp;AX1184,R_EAbs,"&gt;"&amp;AW1184,R_OKey,1),0)</f>
        <v>0</v>
      </c>
      <c r="BB1184" s="80">
        <f>IF(AND(AB1184=1,D1184="proMX"),IF(AND(MOD(Z1184,CFG_BLK)=0,MOD(AA1184,CFG_BLK)=0,MOD(AG1184,CFG_BLK)=0,AG1184&gt;0),1,0),1)</f>
        <v>1</v>
      </c>
      <c r="BC1184" s="80" t="str">
        <f>IF(Y1184=0,"",IF(NOT(ISNUMBER(B1184)),"Falta fecha o fecha inválida",IF(D1184="","Falta empresa",IF(AND(D1184&lt;&gt;"Malcolm",D1184&lt;&gt;"proMX"),"Empresa inválida",IF(OR(INT(B1184)&lt;CFG_PSTART,INT(B1184)&gt;CFG_PEND),"Fecha fuera del período",IF(OR(NOT(ISNUMBER(Z1184)),NOT(ISNUMBER(AA1184))),"Falta hora inicio/fin o formato inválido",IF(AB1184=0,"Hora inicio = hora fin",IF(AE1184&lt;0,"Descanso inválido",IF(AE1184&gt;=AD1184,"Descanso ≥ duración",IF(AV1184=1,"Registro duplicado",IF(AZ1184&gt;0,"Se superpone con otro registro "&amp;D1184,IF(BB1184=0,"inicio, fin y duración neta deben ser múltiplos de "&amp;CFG_BLK&amp;" min",""))))))))))))</f>
        <v/>
      </c>
      <c r="BD1184" s="80">
        <f>IF(AND(Y1184=1,BC1184=""),1,0)</f>
        <v>0</v>
      </c>
      <c r="BE1184" s="80">
        <f>IF(AND(BD1184=1,AU1184=1),1,0)</f>
        <v>0</v>
      </c>
      <c r="BF1184" s="80" t="str">
        <f>IF(AND(D1184="proMX",BD1184=1),IF(R1184="","Draft",R1184),"")</f>
        <v/>
      </c>
      <c r="BG1184" s="80">
        <f>IF(BD1184=1,ROUND(AG1184/60,6),0)</f>
        <v>0</v>
      </c>
      <c r="BH1184" s="80">
        <f>IF(BE1184=1,ROUND(AG1184/60,6),0)</f>
        <v>0</v>
      </c>
      <c r="BI1184" s="80">
        <f>IF(BE1184=1,ROUND(AP1184/60,6),0)</f>
        <v>0</v>
      </c>
      <c r="BJ1184" s="80">
        <f>IF(BE1184=1,ROUND(AQ1184/60,6),0)</f>
        <v>0</v>
      </c>
      <c r="BK1184" s="80">
        <f>IF(BE1184=1,ROUND((AR1184+AS1184)/60,6),0)</f>
        <v>0</v>
      </c>
      <c r="BL1184" s="80">
        <f>ROUND(BH1184-BK1184,6)</f>
        <v>0</v>
      </c>
      <c r="BM1184" s="80">
        <f>IF(BE1184=1,ROUND(AR1184/60,6),0)</f>
        <v>0</v>
      </c>
      <c r="BN1184" s="80">
        <f>ROUND(BI1184-BM1184,6)</f>
        <v>0</v>
      </c>
      <c r="BO1184" s="80">
        <f>IF(BE1184=1,ROUND(AS1184/60,6),0)</f>
        <v>0</v>
      </c>
      <c r="BP1184" s="80">
        <f>ROUND(BJ1184-BO1184,6)</f>
        <v>0</v>
      </c>
      <c r="BQ1184" s="80">
        <f>IF(BE1184=1,AW1184,0)</f>
        <v>0</v>
      </c>
      <c r="BR1184" s="80">
        <f>IF(BE1184=1,AX1184,0)</f>
        <v>0</v>
      </c>
      <c r="BS1184" s="80">
        <f>IF(AND(BE1184=1,D1184="Malcolm",BA1184&gt;0),MIN(BH1184,SUMPRODUCT((R_Emp="proMX")*(R_EN&gt;0)*((R_EN-(R_EN&gt;BR1184)*(R_EN-BR1184))&gt;(R_SN+(R_SN&lt;BQ1184)*(BQ1184-R_SN)))*((R_EN-(R_EN&gt;BR1184)*(R_EN-BR1184))-(R_SN+(R_SN&lt;BQ1184)*(BQ1184-R_SN))))/60),0)</f>
        <v>0</v>
      </c>
      <c r="BT1184" s="80">
        <f>IF(AND(BE1184=1,D1184="proMX"),ROUND(BI1184*CFG_RATE+BJ1184*CFG_OTRATE,6),0)</f>
        <v>0</v>
      </c>
      <c r="BU1184" s="80">
        <f>IF(AND(BD1184=1,D1184="proMX"),ROUND(AG1184/CFG_BLK,6),0)</f>
        <v>0</v>
      </c>
      <c r="BV1184" s="80" t="str">
        <f>IF(BF1184="Approved",IF(ISNUMBER(T1184),INT(T1184),INT(B1184)),"")</f>
        <v/>
      </c>
      <c r="BW1184" s="80">
        <f>IF(ISNUMBER(B1184),IF(DB_MON="Todos",1,IF(AND(INT(B1184)&gt;=DB_MS,INT(B1184)&lt;=DB_ME),1,0)),0)</f>
        <v>0</v>
      </c>
      <c r="BX1184" s="80">
        <f>IF(DB_PROJ="Todos",1,IF(E1184&amp;""=DB_PROJ&amp;"",1,0))</f>
        <v>1</v>
      </c>
      <c r="BY1184" s="80">
        <f>BW1184*BX1184</f>
        <v>0</v>
      </c>
      <c r="BZ1184" s="80" t="str">
        <f>IF(Y1184=1,F1184&amp;IF(AND(F1184&amp;""&lt;&gt;"",E1184&amp;""&lt;&gt;"")," · ","")&amp;E1184,"")</f>
        <v/>
      </c>
      <c r="CA1184" s="80" t="str">
        <f>IF(AND(BD1184=1,E1184&amp;""&lt;&gt;""),IF(COUNTIFS($E$5:E1183,E1184,$BD$5:BD1183,1)=0,MAX($CA$5:CA1183)+1,""),"")</f>
        <v/>
      </c>
      <c r="CB1184" s="80" t="str">
        <f>IF(AND(BE1184=1,D1184="Malcolm",E1184&amp;""&lt;&gt;""),IF(COUNTIFS($D$5:D1183,"Malcolm",$E$5:E1183,E1184,$BE$5:BE1183,1)=0,MAX($CB$5:CB1183)+1,""),"")</f>
        <v/>
      </c>
      <c r="CC1184" s="80" t="str">
        <f>IF(AND(BD1184=1,D1184="proMX",E1184&amp;""&lt;&gt;""),IF(COUNTIFS($D$5:D1183,"proMX",$E$5:E1183,E1184,$BD$5:BD1183,1)=0,MAX($CC$5:CC1183)+1,""),"")</f>
        <v/>
      </c>
      <c r="CD1184" s="80" t="str">
        <f>IF(AND(BE1184=1,D1184="Malcolm",F1184&amp;""&lt;&gt;""),IF(COUNTIFS($D$5:D1183,"Malcolm",$F$5:F1183,F1184,$BE$5:BE1183,1)=0,MAX($CD$5:CD1183)+1,""),"")</f>
        <v/>
      </c>
      <c r="CE1184" s="80" t="str">
        <f>IF(AND(BD1184=1,D1184="proMX",F1184&amp;""&lt;&gt;""),IF(COUNTIFS($D$5:D1183,"proMX",$F$5:F1183,F1184,$BD$5:BD1183,1)=0,MAX($CE$5:CE1183)+1,""),"")</f>
        <v/>
      </c>
      <c r="CF1184" s="80" t="str">
        <f>IF(AND(D1184="proMX",BD1184=1),IF(OR(BF1184="Draft",BF1184="Submitted",BF1184="Returned",BF1184="Recall Requested"),MAX($CF$5:CF1183)+1,""),"")</f>
        <v/>
      </c>
      <c r="CG1184" s="80">
        <f>IF(BD1184=0,0,IF(D1184="Malcolm",1,MATCH(BF1184,{"Draft","Submitted","Approved","Returned","Recall Requested","Cancelled"},0)+1))</f>
        <v>0</v>
      </c>
      <c r="CH1184" s="80">
        <f>IF(AND(BF1184="Submitted",ISNUMBER(V1184)),IF(V1184&gt;CFG_MAXD,1,0),0)</f>
        <v>0</v>
      </c>
    </row>
    <row r="1185">
      <c r="A1185" s="71" t="str">
        <f>IF(Y1185=1,ROW()-5,"")</f>
        <v/>
      </c>
      <c r="B1185" s="72" t="n"/>
      <c r="C1185" s="71" t="str">
        <f>IF(ISNUMBER(B1185),CHOOSE(WEEKDAY(B1185,2),"Lun","Mar","Mié","Jue","Vie","Sáb","Dom"),"")</f>
        <v/>
      </c>
      <c r="D1185" s="73" t="n"/>
      <c r="E1185" s="74" t="n"/>
      <c r="F1185" s="74" t="n"/>
      <c r="G1185" s="74" t="n"/>
      <c r="H1185" s="75" t="n"/>
      <c r="I1185" s="75" t="n"/>
      <c r="J1185" s="76" t="n"/>
      <c r="K1185" s="77" t="str">
        <f>IF(AB1185=1,ROUND(AG1185/60,4),"")</f>
        <v/>
      </c>
      <c r="L1185" s="77" t="str">
        <f>IF(BD1185=1,ROUND(AP1185/60,4),"")</f>
        <v/>
      </c>
      <c r="M1185" s="77" t="str">
        <f>IF(BD1185=1,ROUND(AQ1185/60,4),"")</f>
        <v/>
      </c>
      <c r="N1185" s="71" t="str">
        <f>IF(AND(D1185="proMX",AB1185=1),ROUND(AG1185/CFG_BLK,2),"")</f>
        <v/>
      </c>
      <c r="O1185" s="77" t="str">
        <f>IF(D1185="proMX",IF(BD1185=1,ROUND(AG1185/60,4),0),"")</f>
        <v/>
      </c>
      <c r="P1185" s="78" t="str">
        <f>IF(Y1185=0,"",IF(BD1185=1,"OK",IF(D1185="proMX","Revisar bloques: ","Revisar: ")&amp;BC1185))</f>
        <v/>
      </c>
      <c r="Q1185" s="78" t="str">
        <f>IF(NOT(ISNUMBER(B1185)),"",IF(COUNTIFS(FER_F,INT(B1185))&gt;0,"Feriado"&amp;IF(AH1185=1," (laborable)"," (no laborable)"),IF(AH1185=1,"Laborable",IF(WEEKDAY(B1185,2)&gt;5,"Fin de semana","No laborable"))))</f>
        <v/>
      </c>
      <c r="R1185" s="73" t="n"/>
      <c r="S1185" s="72" t="n"/>
      <c r="T1185" s="72" t="n"/>
      <c r="U1185" s="74" t="n"/>
      <c r="V1185" s="79" t="str">
        <f>IF(AND(D1185="proMX",OR(R1185="Submitted",R1185="Recall Requested"),ISNUMBER(S1185)),CFG_TODAY-INT(S1185),"")</f>
        <v/>
      </c>
      <c r="W1185" s="78" t="str">
        <f>IF(BD1185=0,"",IF(BA1185&gt;0,"⚠ Se superpone con un registro de la otra empresa",IF(D1185="Malcolm",IF(COUNTA(R1185,S1185,T1185)&gt;0,"Estado/fechas proMX se ignoran en Malcolm",""),IF(BF1185="Cancelled","Cancelado: excluido de totales",IF(R1185="","Sin estado: se trata como Draft",IF(BF1185="Submitted",IF(ISNUMBER(V1185),IF(V1185&gt;CFG_MAXD,"⚠ "&amp;V1185&amp;" días en Submitted (máx. "&amp;CFG_MAXD&amp;")",""),"Falta fecha de envío"),IF(BF1185="Returned","⚠ Devuelto: corregir y reenviar",IF(BF1185="Recall Requested","Retirada solicitada: pendiente",IF(AND(BF1185="Approved",NOT(ISNUMBER(T1185))),"Falta fecha de aprobación",IF(AND(ISNUMBER(S1185),ISNUMBER(T1185),T1185&lt;S1185),"Aprobación anterior al envío","")))))))))</f>
        <v/>
      </c>
      <c r="Y1185" s="80">
        <f>IF(COUNTA(B1185,D1185,E1185,F1185,G1185,H1185,I1185,J1185,R1185,S1185,T1185)&gt;0,1,0)</f>
        <v>0</v>
      </c>
      <c r="Z1185" s="80" t="str">
        <f>IF(AND(ISNUMBER(H1185),H1185&gt;=0,H1185&lt;1),ROUND(H1185*1440,0),"")</f>
        <v/>
      </c>
      <c r="AA1185" s="80" t="str">
        <f>IF(AND(ISNUMBER(I1185),I1185&gt;=0,I1185&lt;1),ROUND(I1185*1440,0),"")</f>
        <v/>
      </c>
      <c r="AB1185" s="80">
        <f>IF(AND(ISNUMBER(B1185),D1185&lt;&gt;"",ISNUMBER(Z1185),ISNUMBER(AA1185)),IF(Z1185=AA1185,0,1),0)</f>
        <v>0</v>
      </c>
      <c r="AC1185" s="80">
        <f>IF(AB1185=1,IF(AA1185&lt;Z1185,1,0),0)</f>
        <v>0</v>
      </c>
      <c r="AD1185" s="80">
        <f>IF(AB1185=1,IF(AC1185=1,1440-Z1185+AA1185,AA1185-Z1185),0)</f>
        <v>0</v>
      </c>
      <c r="AE1185" s="80">
        <f>IF(J1185="",0,IF(ISNUMBER(J1185),J1185,-1))</f>
        <v>0</v>
      </c>
      <c r="AF1185" s="80">
        <f>MIN(MAX(0,AE1185),AD1185)</f>
        <v>0</v>
      </c>
      <c r="AG1185" s="80">
        <f>MAX(0,AD1185-MAX(0,AE1185))</f>
        <v>0</v>
      </c>
      <c r="AH1185" s="80">
        <f>IF(ISNUMBER(B1185),IF(AND(INDEX(CFG_WDAYS,WEEKDAY(INT(B1185),2))="Sí",IF(D1185="proMX",COUNTIFS(FER_F,INT(B1185),FER_NLP,"Sí"),COUNTIFS(FER_F,INT(B1185),FER_NLM,"Sí"))=0),1,0),0)</f>
        <v>0</v>
      </c>
      <c r="AI1185" s="80">
        <f>IF(AC1185=1,IF(AND(INDEX(CFG_WDAYS,WEEKDAY(INT(B1185)+1,2))="Sí",IF(D1185="proMX",COUNTIFS(FER_F,INT(B1185)+1,FER_NLP,"Sí"),COUNTIFS(FER_F,INT(B1185)+1,FER_NLM,"Sí"))=0),1,0),0)</f>
        <v>0</v>
      </c>
      <c r="AJ1185" s="80">
        <f>IF(AC1185=1,1440-Z1185,AD1185)</f>
        <v>0</v>
      </c>
      <c r="AK1185" s="80">
        <f>IF(AND(AB1185=1,AH1185=1),MAX(0,MIN(IF(AC1185=1,1440,AA1185),CFG_WEM)-MAX(Z1185,CFG_WSM)),0)</f>
        <v>0</v>
      </c>
      <c r="AL1185" s="80">
        <f>IF(AND(AC1185=1,AI1185=1),MAX(0,MIN(AA1185,CFG_WEM)-CFG_WSM),0)</f>
        <v>0</v>
      </c>
      <c r="AM1185" s="80">
        <f>AK1185+AL1185</f>
        <v>0</v>
      </c>
      <c r="AN1185" s="80">
        <f>IF(CFG_BRK="Proporcional",IF(AD1185=0,0,AF1185*AM1185/AD1185),IF(CFG_BRK="Extras primero",MIN(AM1185,MAX(0,AF1185-(AD1185-AM1185))),MIN(AF1185,AM1185)))</f>
        <v>0</v>
      </c>
      <c r="AO1185" s="80">
        <f>AF1185-AN1185</f>
        <v>0</v>
      </c>
      <c r="AP1185" s="80">
        <f>AM1185-AN1185</f>
        <v>0</v>
      </c>
      <c r="AQ1185" s="80">
        <f>AD1185-AM1185-AO1185</f>
        <v>0</v>
      </c>
      <c r="AR1185" s="80">
        <f>IF(AM1185=0,0,AK1185-AN1185*AK1185/AM1185)</f>
        <v>0</v>
      </c>
      <c r="AS1185" s="80">
        <f>IF(AD1185-AM1185=0,0,(AJ1185-AK1185)-AO1185*(AJ1185-AK1185)/(AD1185-AM1185))</f>
        <v>0</v>
      </c>
      <c r="AT1185" s="80" t="str">
        <f>IF(AC1185=1,INT(B1185)+1,"")</f>
        <v/>
      </c>
      <c r="AU1185" s="80">
        <f>IF(AND(D1185="proMX",R1185="Cancelled"),0,1)</f>
        <v>1</v>
      </c>
      <c r="AV1185" s="80">
        <f>IF(AND(AB1185=1,AU1185=1),IF(COUNTIFS($D$5:D1184,D1185,$B$5:B1184,B1185,$Z$5:Z1184,Z1185,$AA$5:AA1184,AA1185,$F$5:F1184,F1185&amp;"",$AU$5:AU1184,1)&gt;0,1,0),0)</f>
        <v>0</v>
      </c>
      <c r="AW1185" s="80" t="str">
        <f>IF(AB1185=1,INT(B1185)*1440+Z1185,"")</f>
        <v/>
      </c>
      <c r="AX1185" s="80" t="str">
        <f>IF(AB1185=1,AW1185+AD1185,"")</f>
        <v/>
      </c>
      <c r="AY1185" s="80">
        <f>IF(AND(AB1185=1,AV1185=0,AU1185=1),1,0)</f>
        <v>0</v>
      </c>
      <c r="AZ1185" s="80">
        <f>IF(AY1185=1,COUNTIFS(R_Emp,D1185,R_SAbs,"&lt;"&amp;AX1185,R_EAbs,"&gt;"&amp;AW1185,R_OKey,1)-1,0)</f>
        <v>0</v>
      </c>
      <c r="BA1185" s="80">
        <f>IF(AY1185=1,COUNTIFS(R_Emp,"&lt;&gt;"&amp;D1185,R_SAbs,"&lt;"&amp;AX1185,R_EAbs,"&gt;"&amp;AW1185,R_OKey,1),0)</f>
        <v>0</v>
      </c>
      <c r="BB1185" s="80">
        <f>IF(AND(AB1185=1,D1185="proMX"),IF(AND(MOD(Z1185,CFG_BLK)=0,MOD(AA1185,CFG_BLK)=0,MOD(AG1185,CFG_BLK)=0,AG1185&gt;0),1,0),1)</f>
        <v>1</v>
      </c>
      <c r="BC1185" s="80" t="str">
        <f>IF(Y1185=0,"",IF(NOT(ISNUMBER(B1185)),"Falta fecha o fecha inválida",IF(D1185="","Falta empresa",IF(AND(D1185&lt;&gt;"Malcolm",D1185&lt;&gt;"proMX"),"Empresa inválida",IF(OR(INT(B1185)&lt;CFG_PSTART,INT(B1185)&gt;CFG_PEND),"Fecha fuera del período",IF(OR(NOT(ISNUMBER(Z1185)),NOT(ISNUMBER(AA1185))),"Falta hora inicio/fin o formato inválido",IF(AB1185=0,"Hora inicio = hora fin",IF(AE1185&lt;0,"Descanso inválido",IF(AE1185&gt;=AD1185,"Descanso ≥ duración",IF(AV1185=1,"Registro duplicado",IF(AZ1185&gt;0,"Se superpone con otro registro "&amp;D1185,IF(BB1185=0,"inicio, fin y duración neta deben ser múltiplos de "&amp;CFG_BLK&amp;" min",""))))))))))))</f>
        <v/>
      </c>
      <c r="BD1185" s="80">
        <f>IF(AND(Y1185=1,BC1185=""),1,0)</f>
        <v>0</v>
      </c>
      <c r="BE1185" s="80">
        <f>IF(AND(BD1185=1,AU1185=1),1,0)</f>
        <v>0</v>
      </c>
      <c r="BF1185" s="80" t="str">
        <f>IF(AND(D1185="proMX",BD1185=1),IF(R1185="","Draft",R1185),"")</f>
        <v/>
      </c>
      <c r="BG1185" s="80">
        <f>IF(BD1185=1,ROUND(AG1185/60,6),0)</f>
        <v>0</v>
      </c>
      <c r="BH1185" s="80">
        <f>IF(BE1185=1,ROUND(AG1185/60,6),0)</f>
        <v>0</v>
      </c>
      <c r="BI1185" s="80">
        <f>IF(BE1185=1,ROUND(AP1185/60,6),0)</f>
        <v>0</v>
      </c>
      <c r="BJ1185" s="80">
        <f>IF(BE1185=1,ROUND(AQ1185/60,6),0)</f>
        <v>0</v>
      </c>
      <c r="BK1185" s="80">
        <f>IF(BE1185=1,ROUND((AR1185+AS1185)/60,6),0)</f>
        <v>0</v>
      </c>
      <c r="BL1185" s="80">
        <f>ROUND(BH1185-BK1185,6)</f>
        <v>0</v>
      </c>
      <c r="BM1185" s="80">
        <f>IF(BE1185=1,ROUND(AR1185/60,6),0)</f>
        <v>0</v>
      </c>
      <c r="BN1185" s="80">
        <f>ROUND(BI1185-BM1185,6)</f>
        <v>0</v>
      </c>
      <c r="BO1185" s="80">
        <f>IF(BE1185=1,ROUND(AS1185/60,6),0)</f>
        <v>0</v>
      </c>
      <c r="BP1185" s="80">
        <f>ROUND(BJ1185-BO1185,6)</f>
        <v>0</v>
      </c>
      <c r="BQ1185" s="80">
        <f>IF(BE1185=1,AW1185,0)</f>
        <v>0</v>
      </c>
      <c r="BR1185" s="80">
        <f>IF(BE1185=1,AX1185,0)</f>
        <v>0</v>
      </c>
      <c r="BS1185" s="80">
        <f>IF(AND(BE1185=1,D1185="Malcolm",BA1185&gt;0),MIN(BH1185,SUMPRODUCT((R_Emp="proMX")*(R_EN&gt;0)*((R_EN-(R_EN&gt;BR1185)*(R_EN-BR1185))&gt;(R_SN+(R_SN&lt;BQ1185)*(BQ1185-R_SN)))*((R_EN-(R_EN&gt;BR1185)*(R_EN-BR1185))-(R_SN+(R_SN&lt;BQ1185)*(BQ1185-R_SN))))/60),0)</f>
        <v>0</v>
      </c>
      <c r="BT1185" s="80">
        <f>IF(AND(BE1185=1,D1185="proMX"),ROUND(BI1185*CFG_RATE+BJ1185*CFG_OTRATE,6),0)</f>
        <v>0</v>
      </c>
      <c r="BU1185" s="80">
        <f>IF(AND(BD1185=1,D1185="proMX"),ROUND(AG1185/CFG_BLK,6),0)</f>
        <v>0</v>
      </c>
      <c r="BV1185" s="80" t="str">
        <f>IF(BF1185="Approved",IF(ISNUMBER(T1185),INT(T1185),INT(B1185)),"")</f>
        <v/>
      </c>
      <c r="BW1185" s="80">
        <f>IF(ISNUMBER(B1185),IF(DB_MON="Todos",1,IF(AND(INT(B1185)&gt;=DB_MS,INT(B1185)&lt;=DB_ME),1,0)),0)</f>
        <v>0</v>
      </c>
      <c r="BX1185" s="80">
        <f>IF(DB_PROJ="Todos",1,IF(E1185&amp;""=DB_PROJ&amp;"",1,0))</f>
        <v>1</v>
      </c>
      <c r="BY1185" s="80">
        <f>BW1185*BX1185</f>
        <v>0</v>
      </c>
      <c r="BZ1185" s="80" t="str">
        <f>IF(Y1185=1,F1185&amp;IF(AND(F1185&amp;""&lt;&gt;"",E1185&amp;""&lt;&gt;"")," · ","")&amp;E1185,"")</f>
        <v/>
      </c>
      <c r="CA1185" s="80" t="str">
        <f>IF(AND(BD1185=1,E1185&amp;""&lt;&gt;""),IF(COUNTIFS($E$5:E1184,E1185,$BD$5:BD1184,1)=0,MAX($CA$5:CA1184)+1,""),"")</f>
        <v/>
      </c>
      <c r="CB1185" s="80" t="str">
        <f>IF(AND(BE1185=1,D1185="Malcolm",E1185&amp;""&lt;&gt;""),IF(COUNTIFS($D$5:D1184,"Malcolm",$E$5:E1184,E1185,$BE$5:BE1184,1)=0,MAX($CB$5:CB1184)+1,""),"")</f>
        <v/>
      </c>
      <c r="CC1185" s="80" t="str">
        <f>IF(AND(BD1185=1,D1185="proMX",E1185&amp;""&lt;&gt;""),IF(COUNTIFS($D$5:D1184,"proMX",$E$5:E1184,E1185,$BD$5:BD1184,1)=0,MAX($CC$5:CC1184)+1,""),"")</f>
        <v/>
      </c>
      <c r="CD1185" s="80" t="str">
        <f>IF(AND(BE1185=1,D1185="Malcolm",F1185&amp;""&lt;&gt;""),IF(COUNTIFS($D$5:D1184,"Malcolm",$F$5:F1184,F1185,$BE$5:BE1184,1)=0,MAX($CD$5:CD1184)+1,""),"")</f>
        <v/>
      </c>
      <c r="CE1185" s="80" t="str">
        <f>IF(AND(BD1185=1,D1185="proMX",F1185&amp;""&lt;&gt;""),IF(COUNTIFS($D$5:D1184,"proMX",$F$5:F1184,F1185,$BD$5:BD1184,1)=0,MAX($CE$5:CE1184)+1,""),"")</f>
        <v/>
      </c>
      <c r="CF1185" s="80" t="str">
        <f>IF(AND(D1185="proMX",BD1185=1),IF(OR(BF1185="Draft",BF1185="Submitted",BF1185="Returned",BF1185="Recall Requested"),MAX($CF$5:CF1184)+1,""),"")</f>
        <v/>
      </c>
      <c r="CG1185" s="80">
        <f>IF(BD1185=0,0,IF(D1185="Malcolm",1,MATCH(BF1185,{"Draft","Submitted","Approved","Returned","Recall Requested","Cancelled"},0)+1))</f>
        <v>0</v>
      </c>
      <c r="CH1185" s="80">
        <f>IF(AND(BF1185="Submitted",ISNUMBER(V1185)),IF(V1185&gt;CFG_MAXD,1,0),0)</f>
        <v>0</v>
      </c>
    </row>
    <row r="1186">
      <c r="A1186" s="71" t="str">
        <f>IF(Y1186=1,ROW()-5,"")</f>
        <v/>
      </c>
      <c r="B1186" s="72" t="n"/>
      <c r="C1186" s="71" t="str">
        <f>IF(ISNUMBER(B1186),CHOOSE(WEEKDAY(B1186,2),"Lun","Mar","Mié","Jue","Vie","Sáb","Dom"),"")</f>
        <v/>
      </c>
      <c r="D1186" s="73" t="n"/>
      <c r="E1186" s="74" t="n"/>
      <c r="F1186" s="74" t="n"/>
      <c r="G1186" s="74" t="n"/>
      <c r="H1186" s="75" t="n"/>
      <c r="I1186" s="75" t="n"/>
      <c r="J1186" s="76" t="n"/>
      <c r="K1186" s="77" t="str">
        <f>IF(AB1186=1,ROUND(AG1186/60,4),"")</f>
        <v/>
      </c>
      <c r="L1186" s="77" t="str">
        <f>IF(BD1186=1,ROUND(AP1186/60,4),"")</f>
        <v/>
      </c>
      <c r="M1186" s="77" t="str">
        <f>IF(BD1186=1,ROUND(AQ1186/60,4),"")</f>
        <v/>
      </c>
      <c r="N1186" s="71" t="str">
        <f>IF(AND(D1186="proMX",AB1186=1),ROUND(AG1186/CFG_BLK,2),"")</f>
        <v/>
      </c>
      <c r="O1186" s="77" t="str">
        <f>IF(D1186="proMX",IF(BD1186=1,ROUND(AG1186/60,4),0),"")</f>
        <v/>
      </c>
      <c r="P1186" s="78" t="str">
        <f>IF(Y1186=0,"",IF(BD1186=1,"OK",IF(D1186="proMX","Revisar bloques: ","Revisar: ")&amp;BC1186))</f>
        <v/>
      </c>
      <c r="Q1186" s="78" t="str">
        <f>IF(NOT(ISNUMBER(B1186)),"",IF(COUNTIFS(FER_F,INT(B1186))&gt;0,"Feriado"&amp;IF(AH1186=1," (laborable)"," (no laborable)"),IF(AH1186=1,"Laborable",IF(WEEKDAY(B1186,2)&gt;5,"Fin de semana","No laborable"))))</f>
        <v/>
      </c>
      <c r="R1186" s="73" t="n"/>
      <c r="S1186" s="72" t="n"/>
      <c r="T1186" s="72" t="n"/>
      <c r="U1186" s="74" t="n"/>
      <c r="V1186" s="79" t="str">
        <f>IF(AND(D1186="proMX",OR(R1186="Submitted",R1186="Recall Requested"),ISNUMBER(S1186)),CFG_TODAY-INT(S1186),"")</f>
        <v/>
      </c>
      <c r="W1186" s="78" t="str">
        <f>IF(BD1186=0,"",IF(BA1186&gt;0,"⚠ Se superpone con un registro de la otra empresa",IF(D1186="Malcolm",IF(COUNTA(R1186,S1186,T1186)&gt;0,"Estado/fechas proMX se ignoran en Malcolm",""),IF(BF1186="Cancelled","Cancelado: excluido de totales",IF(R1186="","Sin estado: se trata como Draft",IF(BF1186="Submitted",IF(ISNUMBER(V1186),IF(V1186&gt;CFG_MAXD,"⚠ "&amp;V1186&amp;" días en Submitted (máx. "&amp;CFG_MAXD&amp;")",""),"Falta fecha de envío"),IF(BF1186="Returned","⚠ Devuelto: corregir y reenviar",IF(BF1186="Recall Requested","Retirada solicitada: pendiente",IF(AND(BF1186="Approved",NOT(ISNUMBER(T1186))),"Falta fecha de aprobación",IF(AND(ISNUMBER(S1186),ISNUMBER(T1186),T1186&lt;S1186),"Aprobación anterior al envío","")))))))))</f>
        <v/>
      </c>
      <c r="Y1186" s="80">
        <f>IF(COUNTA(B1186,D1186,E1186,F1186,G1186,H1186,I1186,J1186,R1186,S1186,T1186)&gt;0,1,0)</f>
        <v>0</v>
      </c>
      <c r="Z1186" s="80" t="str">
        <f>IF(AND(ISNUMBER(H1186),H1186&gt;=0,H1186&lt;1),ROUND(H1186*1440,0),"")</f>
        <v/>
      </c>
      <c r="AA1186" s="80" t="str">
        <f>IF(AND(ISNUMBER(I1186),I1186&gt;=0,I1186&lt;1),ROUND(I1186*1440,0),"")</f>
        <v/>
      </c>
      <c r="AB1186" s="80">
        <f>IF(AND(ISNUMBER(B1186),D1186&lt;&gt;"",ISNUMBER(Z1186),ISNUMBER(AA1186)),IF(Z1186=AA1186,0,1),0)</f>
        <v>0</v>
      </c>
      <c r="AC1186" s="80">
        <f>IF(AB1186=1,IF(AA1186&lt;Z1186,1,0),0)</f>
        <v>0</v>
      </c>
      <c r="AD1186" s="80">
        <f>IF(AB1186=1,IF(AC1186=1,1440-Z1186+AA1186,AA1186-Z1186),0)</f>
        <v>0</v>
      </c>
      <c r="AE1186" s="80">
        <f>IF(J1186="",0,IF(ISNUMBER(J1186),J1186,-1))</f>
        <v>0</v>
      </c>
      <c r="AF1186" s="80">
        <f>MIN(MAX(0,AE1186),AD1186)</f>
        <v>0</v>
      </c>
      <c r="AG1186" s="80">
        <f>MAX(0,AD1186-MAX(0,AE1186))</f>
        <v>0</v>
      </c>
      <c r="AH1186" s="80">
        <f>IF(ISNUMBER(B1186),IF(AND(INDEX(CFG_WDAYS,WEEKDAY(INT(B1186),2))="Sí",IF(D1186="proMX",COUNTIFS(FER_F,INT(B1186),FER_NLP,"Sí"),COUNTIFS(FER_F,INT(B1186),FER_NLM,"Sí"))=0),1,0),0)</f>
        <v>0</v>
      </c>
      <c r="AI1186" s="80">
        <f>IF(AC1186=1,IF(AND(INDEX(CFG_WDAYS,WEEKDAY(INT(B1186)+1,2))="Sí",IF(D1186="proMX",COUNTIFS(FER_F,INT(B1186)+1,FER_NLP,"Sí"),COUNTIFS(FER_F,INT(B1186)+1,FER_NLM,"Sí"))=0),1,0),0)</f>
        <v>0</v>
      </c>
      <c r="AJ1186" s="80">
        <f>IF(AC1186=1,1440-Z1186,AD1186)</f>
        <v>0</v>
      </c>
      <c r="AK1186" s="80">
        <f>IF(AND(AB1186=1,AH1186=1),MAX(0,MIN(IF(AC1186=1,1440,AA1186),CFG_WEM)-MAX(Z1186,CFG_WSM)),0)</f>
        <v>0</v>
      </c>
      <c r="AL1186" s="80">
        <f>IF(AND(AC1186=1,AI1186=1),MAX(0,MIN(AA1186,CFG_WEM)-CFG_WSM),0)</f>
        <v>0</v>
      </c>
      <c r="AM1186" s="80">
        <f>AK1186+AL1186</f>
        <v>0</v>
      </c>
      <c r="AN1186" s="80">
        <f>IF(CFG_BRK="Proporcional",IF(AD1186=0,0,AF1186*AM1186/AD1186),IF(CFG_BRK="Extras primero",MIN(AM1186,MAX(0,AF1186-(AD1186-AM1186))),MIN(AF1186,AM1186)))</f>
        <v>0</v>
      </c>
      <c r="AO1186" s="80">
        <f>AF1186-AN1186</f>
        <v>0</v>
      </c>
      <c r="AP1186" s="80">
        <f>AM1186-AN1186</f>
        <v>0</v>
      </c>
      <c r="AQ1186" s="80">
        <f>AD1186-AM1186-AO1186</f>
        <v>0</v>
      </c>
      <c r="AR1186" s="80">
        <f>IF(AM1186=0,0,AK1186-AN1186*AK1186/AM1186)</f>
        <v>0</v>
      </c>
      <c r="AS1186" s="80">
        <f>IF(AD1186-AM1186=0,0,(AJ1186-AK1186)-AO1186*(AJ1186-AK1186)/(AD1186-AM1186))</f>
        <v>0</v>
      </c>
      <c r="AT1186" s="80" t="str">
        <f>IF(AC1186=1,INT(B1186)+1,"")</f>
        <v/>
      </c>
      <c r="AU1186" s="80">
        <f>IF(AND(D1186="proMX",R1186="Cancelled"),0,1)</f>
        <v>1</v>
      </c>
      <c r="AV1186" s="80">
        <f>IF(AND(AB1186=1,AU1186=1),IF(COUNTIFS($D$5:D1185,D1186,$B$5:B1185,B1186,$Z$5:Z1185,Z1186,$AA$5:AA1185,AA1186,$F$5:F1185,F1186&amp;"",$AU$5:AU1185,1)&gt;0,1,0),0)</f>
        <v>0</v>
      </c>
      <c r="AW1186" s="80" t="str">
        <f>IF(AB1186=1,INT(B1186)*1440+Z1186,"")</f>
        <v/>
      </c>
      <c r="AX1186" s="80" t="str">
        <f>IF(AB1186=1,AW1186+AD1186,"")</f>
        <v/>
      </c>
      <c r="AY1186" s="80">
        <f>IF(AND(AB1186=1,AV1186=0,AU1186=1),1,0)</f>
        <v>0</v>
      </c>
      <c r="AZ1186" s="80">
        <f>IF(AY1186=1,COUNTIFS(R_Emp,D1186,R_SAbs,"&lt;"&amp;AX1186,R_EAbs,"&gt;"&amp;AW1186,R_OKey,1)-1,0)</f>
        <v>0</v>
      </c>
      <c r="BA1186" s="80">
        <f>IF(AY1186=1,COUNTIFS(R_Emp,"&lt;&gt;"&amp;D1186,R_SAbs,"&lt;"&amp;AX1186,R_EAbs,"&gt;"&amp;AW1186,R_OKey,1),0)</f>
        <v>0</v>
      </c>
      <c r="BB1186" s="80">
        <f>IF(AND(AB1186=1,D1186="proMX"),IF(AND(MOD(Z1186,CFG_BLK)=0,MOD(AA1186,CFG_BLK)=0,MOD(AG1186,CFG_BLK)=0,AG1186&gt;0),1,0),1)</f>
        <v>1</v>
      </c>
      <c r="BC1186" s="80" t="str">
        <f>IF(Y1186=0,"",IF(NOT(ISNUMBER(B1186)),"Falta fecha o fecha inválida",IF(D1186="","Falta empresa",IF(AND(D1186&lt;&gt;"Malcolm",D1186&lt;&gt;"proMX"),"Empresa inválida",IF(OR(INT(B1186)&lt;CFG_PSTART,INT(B1186)&gt;CFG_PEND),"Fecha fuera del período",IF(OR(NOT(ISNUMBER(Z1186)),NOT(ISNUMBER(AA1186))),"Falta hora inicio/fin o formato inválido",IF(AB1186=0,"Hora inicio = hora fin",IF(AE1186&lt;0,"Descanso inválido",IF(AE1186&gt;=AD1186,"Descanso ≥ duración",IF(AV1186=1,"Registro duplicado",IF(AZ1186&gt;0,"Se superpone con otro registro "&amp;D1186,IF(BB1186=0,"inicio, fin y duración neta deben ser múltiplos de "&amp;CFG_BLK&amp;" min",""))))))))))))</f>
        <v/>
      </c>
      <c r="BD1186" s="80">
        <f>IF(AND(Y1186=1,BC1186=""),1,0)</f>
        <v>0</v>
      </c>
      <c r="BE1186" s="80">
        <f>IF(AND(BD1186=1,AU1186=1),1,0)</f>
        <v>0</v>
      </c>
      <c r="BF1186" s="80" t="str">
        <f>IF(AND(D1186="proMX",BD1186=1),IF(R1186="","Draft",R1186),"")</f>
        <v/>
      </c>
      <c r="BG1186" s="80">
        <f>IF(BD1186=1,ROUND(AG1186/60,6),0)</f>
        <v>0</v>
      </c>
      <c r="BH1186" s="80">
        <f>IF(BE1186=1,ROUND(AG1186/60,6),0)</f>
        <v>0</v>
      </c>
      <c r="BI1186" s="80">
        <f>IF(BE1186=1,ROUND(AP1186/60,6),0)</f>
        <v>0</v>
      </c>
      <c r="BJ1186" s="80">
        <f>IF(BE1186=1,ROUND(AQ1186/60,6),0)</f>
        <v>0</v>
      </c>
      <c r="BK1186" s="80">
        <f>IF(BE1186=1,ROUND((AR1186+AS1186)/60,6),0)</f>
        <v>0</v>
      </c>
      <c r="BL1186" s="80">
        <f>ROUND(BH1186-BK1186,6)</f>
        <v>0</v>
      </c>
      <c r="BM1186" s="80">
        <f>IF(BE1186=1,ROUND(AR1186/60,6),0)</f>
        <v>0</v>
      </c>
      <c r="BN1186" s="80">
        <f>ROUND(BI1186-BM1186,6)</f>
        <v>0</v>
      </c>
      <c r="BO1186" s="80">
        <f>IF(BE1186=1,ROUND(AS1186/60,6),0)</f>
        <v>0</v>
      </c>
      <c r="BP1186" s="80">
        <f>ROUND(BJ1186-BO1186,6)</f>
        <v>0</v>
      </c>
      <c r="BQ1186" s="80">
        <f>IF(BE1186=1,AW1186,0)</f>
        <v>0</v>
      </c>
      <c r="BR1186" s="80">
        <f>IF(BE1186=1,AX1186,0)</f>
        <v>0</v>
      </c>
      <c r="BS1186" s="80">
        <f>IF(AND(BE1186=1,D1186="Malcolm",BA1186&gt;0),MIN(BH1186,SUMPRODUCT((R_Emp="proMX")*(R_EN&gt;0)*((R_EN-(R_EN&gt;BR1186)*(R_EN-BR1186))&gt;(R_SN+(R_SN&lt;BQ1186)*(BQ1186-R_SN)))*((R_EN-(R_EN&gt;BR1186)*(R_EN-BR1186))-(R_SN+(R_SN&lt;BQ1186)*(BQ1186-R_SN))))/60),0)</f>
        <v>0</v>
      </c>
      <c r="BT1186" s="80">
        <f>IF(AND(BE1186=1,D1186="proMX"),ROUND(BI1186*CFG_RATE+BJ1186*CFG_OTRATE,6),0)</f>
        <v>0</v>
      </c>
      <c r="BU1186" s="80">
        <f>IF(AND(BD1186=1,D1186="proMX"),ROUND(AG1186/CFG_BLK,6),0)</f>
        <v>0</v>
      </c>
      <c r="BV1186" s="80" t="str">
        <f>IF(BF1186="Approved",IF(ISNUMBER(T1186),INT(T1186),INT(B1186)),"")</f>
        <v/>
      </c>
      <c r="BW1186" s="80">
        <f>IF(ISNUMBER(B1186),IF(DB_MON="Todos",1,IF(AND(INT(B1186)&gt;=DB_MS,INT(B1186)&lt;=DB_ME),1,0)),0)</f>
        <v>0</v>
      </c>
      <c r="BX1186" s="80">
        <f>IF(DB_PROJ="Todos",1,IF(E1186&amp;""=DB_PROJ&amp;"",1,0))</f>
        <v>1</v>
      </c>
      <c r="BY1186" s="80">
        <f>BW1186*BX1186</f>
        <v>0</v>
      </c>
      <c r="BZ1186" s="80" t="str">
        <f>IF(Y1186=1,F1186&amp;IF(AND(F1186&amp;""&lt;&gt;"",E1186&amp;""&lt;&gt;"")," · ","")&amp;E1186,"")</f>
        <v/>
      </c>
      <c r="CA1186" s="80" t="str">
        <f>IF(AND(BD1186=1,E1186&amp;""&lt;&gt;""),IF(COUNTIFS($E$5:E1185,E1186,$BD$5:BD1185,1)=0,MAX($CA$5:CA1185)+1,""),"")</f>
        <v/>
      </c>
      <c r="CB1186" s="80" t="str">
        <f>IF(AND(BE1186=1,D1186="Malcolm",E1186&amp;""&lt;&gt;""),IF(COUNTIFS($D$5:D1185,"Malcolm",$E$5:E1185,E1186,$BE$5:BE1185,1)=0,MAX($CB$5:CB1185)+1,""),"")</f>
        <v/>
      </c>
      <c r="CC1186" s="80" t="str">
        <f>IF(AND(BD1186=1,D1186="proMX",E1186&amp;""&lt;&gt;""),IF(COUNTIFS($D$5:D1185,"proMX",$E$5:E1185,E1186,$BD$5:BD1185,1)=0,MAX($CC$5:CC1185)+1,""),"")</f>
        <v/>
      </c>
      <c r="CD1186" s="80" t="str">
        <f>IF(AND(BE1186=1,D1186="Malcolm",F1186&amp;""&lt;&gt;""),IF(COUNTIFS($D$5:D1185,"Malcolm",$F$5:F1185,F1186,$BE$5:BE1185,1)=0,MAX($CD$5:CD1185)+1,""),"")</f>
        <v/>
      </c>
      <c r="CE1186" s="80" t="str">
        <f>IF(AND(BD1186=1,D1186="proMX",F1186&amp;""&lt;&gt;""),IF(COUNTIFS($D$5:D1185,"proMX",$F$5:F1185,F1186,$BD$5:BD1185,1)=0,MAX($CE$5:CE1185)+1,""),"")</f>
        <v/>
      </c>
      <c r="CF1186" s="80" t="str">
        <f>IF(AND(D1186="proMX",BD1186=1),IF(OR(BF1186="Draft",BF1186="Submitted",BF1186="Returned",BF1186="Recall Requested"),MAX($CF$5:CF1185)+1,""),"")</f>
        <v/>
      </c>
      <c r="CG1186" s="80">
        <f>IF(BD1186=0,0,IF(D1186="Malcolm",1,MATCH(BF1186,{"Draft","Submitted","Approved","Returned","Recall Requested","Cancelled"},0)+1))</f>
        <v>0</v>
      </c>
      <c r="CH1186" s="80">
        <f>IF(AND(BF1186="Submitted",ISNUMBER(V1186)),IF(V1186&gt;CFG_MAXD,1,0),0)</f>
        <v>0</v>
      </c>
    </row>
    <row r="1187">
      <c r="A1187" s="71" t="str">
        <f>IF(Y1187=1,ROW()-5,"")</f>
        <v/>
      </c>
      <c r="B1187" s="72" t="n"/>
      <c r="C1187" s="71" t="str">
        <f>IF(ISNUMBER(B1187),CHOOSE(WEEKDAY(B1187,2),"Lun","Mar","Mié","Jue","Vie","Sáb","Dom"),"")</f>
        <v/>
      </c>
      <c r="D1187" s="73" t="n"/>
      <c r="E1187" s="74" t="n"/>
      <c r="F1187" s="74" t="n"/>
      <c r="G1187" s="74" t="n"/>
      <c r="H1187" s="75" t="n"/>
      <c r="I1187" s="75" t="n"/>
      <c r="J1187" s="76" t="n"/>
      <c r="K1187" s="77" t="str">
        <f>IF(AB1187=1,ROUND(AG1187/60,4),"")</f>
        <v/>
      </c>
      <c r="L1187" s="77" t="str">
        <f>IF(BD1187=1,ROUND(AP1187/60,4),"")</f>
        <v/>
      </c>
      <c r="M1187" s="77" t="str">
        <f>IF(BD1187=1,ROUND(AQ1187/60,4),"")</f>
        <v/>
      </c>
      <c r="N1187" s="71" t="str">
        <f>IF(AND(D1187="proMX",AB1187=1),ROUND(AG1187/CFG_BLK,2),"")</f>
        <v/>
      </c>
      <c r="O1187" s="77" t="str">
        <f>IF(D1187="proMX",IF(BD1187=1,ROUND(AG1187/60,4),0),"")</f>
        <v/>
      </c>
      <c r="P1187" s="78" t="str">
        <f>IF(Y1187=0,"",IF(BD1187=1,"OK",IF(D1187="proMX","Revisar bloques: ","Revisar: ")&amp;BC1187))</f>
        <v/>
      </c>
      <c r="Q1187" s="78" t="str">
        <f>IF(NOT(ISNUMBER(B1187)),"",IF(COUNTIFS(FER_F,INT(B1187))&gt;0,"Feriado"&amp;IF(AH1187=1," (laborable)"," (no laborable)"),IF(AH1187=1,"Laborable",IF(WEEKDAY(B1187,2)&gt;5,"Fin de semana","No laborable"))))</f>
        <v/>
      </c>
      <c r="R1187" s="73" t="n"/>
      <c r="S1187" s="72" t="n"/>
      <c r="T1187" s="72" t="n"/>
      <c r="U1187" s="74" t="n"/>
      <c r="V1187" s="79" t="str">
        <f>IF(AND(D1187="proMX",OR(R1187="Submitted",R1187="Recall Requested"),ISNUMBER(S1187)),CFG_TODAY-INT(S1187),"")</f>
        <v/>
      </c>
      <c r="W1187" s="78" t="str">
        <f>IF(BD1187=0,"",IF(BA1187&gt;0,"⚠ Se superpone con un registro de la otra empresa",IF(D1187="Malcolm",IF(COUNTA(R1187,S1187,T1187)&gt;0,"Estado/fechas proMX se ignoran en Malcolm",""),IF(BF1187="Cancelled","Cancelado: excluido de totales",IF(R1187="","Sin estado: se trata como Draft",IF(BF1187="Submitted",IF(ISNUMBER(V1187),IF(V1187&gt;CFG_MAXD,"⚠ "&amp;V1187&amp;" días en Submitted (máx. "&amp;CFG_MAXD&amp;")",""),"Falta fecha de envío"),IF(BF1187="Returned","⚠ Devuelto: corregir y reenviar",IF(BF1187="Recall Requested","Retirada solicitada: pendiente",IF(AND(BF1187="Approved",NOT(ISNUMBER(T1187))),"Falta fecha de aprobación",IF(AND(ISNUMBER(S1187),ISNUMBER(T1187),T1187&lt;S1187),"Aprobación anterior al envío","")))))))))</f>
        <v/>
      </c>
      <c r="Y1187" s="80">
        <f>IF(COUNTA(B1187,D1187,E1187,F1187,G1187,H1187,I1187,J1187,R1187,S1187,T1187)&gt;0,1,0)</f>
        <v>0</v>
      </c>
      <c r="Z1187" s="80" t="str">
        <f>IF(AND(ISNUMBER(H1187),H1187&gt;=0,H1187&lt;1),ROUND(H1187*1440,0),"")</f>
        <v/>
      </c>
      <c r="AA1187" s="80" t="str">
        <f>IF(AND(ISNUMBER(I1187),I1187&gt;=0,I1187&lt;1),ROUND(I1187*1440,0),"")</f>
        <v/>
      </c>
      <c r="AB1187" s="80">
        <f>IF(AND(ISNUMBER(B1187),D1187&lt;&gt;"",ISNUMBER(Z1187),ISNUMBER(AA1187)),IF(Z1187=AA1187,0,1),0)</f>
        <v>0</v>
      </c>
      <c r="AC1187" s="80">
        <f>IF(AB1187=1,IF(AA1187&lt;Z1187,1,0),0)</f>
        <v>0</v>
      </c>
      <c r="AD1187" s="80">
        <f>IF(AB1187=1,IF(AC1187=1,1440-Z1187+AA1187,AA1187-Z1187),0)</f>
        <v>0</v>
      </c>
      <c r="AE1187" s="80">
        <f>IF(J1187="",0,IF(ISNUMBER(J1187),J1187,-1))</f>
        <v>0</v>
      </c>
      <c r="AF1187" s="80">
        <f>MIN(MAX(0,AE1187),AD1187)</f>
        <v>0</v>
      </c>
      <c r="AG1187" s="80">
        <f>MAX(0,AD1187-MAX(0,AE1187))</f>
        <v>0</v>
      </c>
      <c r="AH1187" s="80">
        <f>IF(ISNUMBER(B1187),IF(AND(INDEX(CFG_WDAYS,WEEKDAY(INT(B1187),2))="Sí",IF(D1187="proMX",COUNTIFS(FER_F,INT(B1187),FER_NLP,"Sí"),COUNTIFS(FER_F,INT(B1187),FER_NLM,"Sí"))=0),1,0),0)</f>
        <v>0</v>
      </c>
      <c r="AI1187" s="80">
        <f>IF(AC1187=1,IF(AND(INDEX(CFG_WDAYS,WEEKDAY(INT(B1187)+1,2))="Sí",IF(D1187="proMX",COUNTIFS(FER_F,INT(B1187)+1,FER_NLP,"Sí"),COUNTIFS(FER_F,INT(B1187)+1,FER_NLM,"Sí"))=0),1,0),0)</f>
        <v>0</v>
      </c>
      <c r="AJ1187" s="80">
        <f>IF(AC1187=1,1440-Z1187,AD1187)</f>
        <v>0</v>
      </c>
      <c r="AK1187" s="80">
        <f>IF(AND(AB1187=1,AH1187=1),MAX(0,MIN(IF(AC1187=1,1440,AA1187),CFG_WEM)-MAX(Z1187,CFG_WSM)),0)</f>
        <v>0</v>
      </c>
      <c r="AL1187" s="80">
        <f>IF(AND(AC1187=1,AI1187=1),MAX(0,MIN(AA1187,CFG_WEM)-CFG_WSM),0)</f>
        <v>0</v>
      </c>
      <c r="AM1187" s="80">
        <f>AK1187+AL1187</f>
        <v>0</v>
      </c>
      <c r="AN1187" s="80">
        <f>IF(CFG_BRK="Proporcional",IF(AD1187=0,0,AF1187*AM1187/AD1187),IF(CFG_BRK="Extras primero",MIN(AM1187,MAX(0,AF1187-(AD1187-AM1187))),MIN(AF1187,AM1187)))</f>
        <v>0</v>
      </c>
      <c r="AO1187" s="80">
        <f>AF1187-AN1187</f>
        <v>0</v>
      </c>
      <c r="AP1187" s="80">
        <f>AM1187-AN1187</f>
        <v>0</v>
      </c>
      <c r="AQ1187" s="80">
        <f>AD1187-AM1187-AO1187</f>
        <v>0</v>
      </c>
      <c r="AR1187" s="80">
        <f>IF(AM1187=0,0,AK1187-AN1187*AK1187/AM1187)</f>
        <v>0</v>
      </c>
      <c r="AS1187" s="80">
        <f>IF(AD1187-AM1187=0,0,(AJ1187-AK1187)-AO1187*(AJ1187-AK1187)/(AD1187-AM1187))</f>
        <v>0</v>
      </c>
      <c r="AT1187" s="80" t="str">
        <f>IF(AC1187=1,INT(B1187)+1,"")</f>
        <v/>
      </c>
      <c r="AU1187" s="80">
        <f>IF(AND(D1187="proMX",R1187="Cancelled"),0,1)</f>
        <v>1</v>
      </c>
      <c r="AV1187" s="80">
        <f>IF(AND(AB1187=1,AU1187=1),IF(COUNTIFS($D$5:D1186,D1187,$B$5:B1186,B1187,$Z$5:Z1186,Z1187,$AA$5:AA1186,AA1187,$F$5:F1186,F1187&amp;"",$AU$5:AU1186,1)&gt;0,1,0),0)</f>
        <v>0</v>
      </c>
      <c r="AW1187" s="80" t="str">
        <f>IF(AB1187=1,INT(B1187)*1440+Z1187,"")</f>
        <v/>
      </c>
      <c r="AX1187" s="80" t="str">
        <f>IF(AB1187=1,AW1187+AD1187,"")</f>
        <v/>
      </c>
      <c r="AY1187" s="80">
        <f>IF(AND(AB1187=1,AV1187=0,AU1187=1),1,0)</f>
        <v>0</v>
      </c>
      <c r="AZ1187" s="80">
        <f>IF(AY1187=1,COUNTIFS(R_Emp,D1187,R_SAbs,"&lt;"&amp;AX1187,R_EAbs,"&gt;"&amp;AW1187,R_OKey,1)-1,0)</f>
        <v>0</v>
      </c>
      <c r="BA1187" s="80">
        <f>IF(AY1187=1,COUNTIFS(R_Emp,"&lt;&gt;"&amp;D1187,R_SAbs,"&lt;"&amp;AX1187,R_EAbs,"&gt;"&amp;AW1187,R_OKey,1),0)</f>
        <v>0</v>
      </c>
      <c r="BB1187" s="80">
        <f>IF(AND(AB1187=1,D1187="proMX"),IF(AND(MOD(Z1187,CFG_BLK)=0,MOD(AA1187,CFG_BLK)=0,MOD(AG1187,CFG_BLK)=0,AG1187&gt;0),1,0),1)</f>
        <v>1</v>
      </c>
      <c r="BC1187" s="80" t="str">
        <f>IF(Y1187=0,"",IF(NOT(ISNUMBER(B1187)),"Falta fecha o fecha inválida",IF(D1187="","Falta empresa",IF(AND(D1187&lt;&gt;"Malcolm",D1187&lt;&gt;"proMX"),"Empresa inválida",IF(OR(INT(B1187)&lt;CFG_PSTART,INT(B1187)&gt;CFG_PEND),"Fecha fuera del período",IF(OR(NOT(ISNUMBER(Z1187)),NOT(ISNUMBER(AA1187))),"Falta hora inicio/fin o formato inválido",IF(AB1187=0,"Hora inicio = hora fin",IF(AE1187&lt;0,"Descanso inválido",IF(AE1187&gt;=AD1187,"Descanso ≥ duración",IF(AV1187=1,"Registro duplicado",IF(AZ1187&gt;0,"Se superpone con otro registro "&amp;D1187,IF(BB1187=0,"inicio, fin y duración neta deben ser múltiplos de "&amp;CFG_BLK&amp;" min",""))))))))))))</f>
        <v/>
      </c>
      <c r="BD1187" s="80">
        <f>IF(AND(Y1187=1,BC1187=""),1,0)</f>
        <v>0</v>
      </c>
      <c r="BE1187" s="80">
        <f>IF(AND(BD1187=1,AU1187=1),1,0)</f>
        <v>0</v>
      </c>
      <c r="BF1187" s="80" t="str">
        <f>IF(AND(D1187="proMX",BD1187=1),IF(R1187="","Draft",R1187),"")</f>
        <v/>
      </c>
      <c r="BG1187" s="80">
        <f>IF(BD1187=1,ROUND(AG1187/60,6),0)</f>
        <v>0</v>
      </c>
      <c r="BH1187" s="80">
        <f>IF(BE1187=1,ROUND(AG1187/60,6),0)</f>
        <v>0</v>
      </c>
      <c r="BI1187" s="80">
        <f>IF(BE1187=1,ROUND(AP1187/60,6),0)</f>
        <v>0</v>
      </c>
      <c r="BJ1187" s="80">
        <f>IF(BE1187=1,ROUND(AQ1187/60,6),0)</f>
        <v>0</v>
      </c>
      <c r="BK1187" s="80">
        <f>IF(BE1187=1,ROUND((AR1187+AS1187)/60,6),0)</f>
        <v>0</v>
      </c>
      <c r="BL1187" s="80">
        <f>ROUND(BH1187-BK1187,6)</f>
        <v>0</v>
      </c>
      <c r="BM1187" s="80">
        <f>IF(BE1187=1,ROUND(AR1187/60,6),0)</f>
        <v>0</v>
      </c>
      <c r="BN1187" s="80">
        <f>ROUND(BI1187-BM1187,6)</f>
        <v>0</v>
      </c>
      <c r="BO1187" s="80">
        <f>IF(BE1187=1,ROUND(AS1187/60,6),0)</f>
        <v>0</v>
      </c>
      <c r="BP1187" s="80">
        <f>ROUND(BJ1187-BO1187,6)</f>
        <v>0</v>
      </c>
      <c r="BQ1187" s="80">
        <f>IF(BE1187=1,AW1187,0)</f>
        <v>0</v>
      </c>
      <c r="BR1187" s="80">
        <f>IF(BE1187=1,AX1187,0)</f>
        <v>0</v>
      </c>
      <c r="BS1187" s="80">
        <f>IF(AND(BE1187=1,D1187="Malcolm",BA1187&gt;0),MIN(BH1187,SUMPRODUCT((R_Emp="proMX")*(R_EN&gt;0)*((R_EN-(R_EN&gt;BR1187)*(R_EN-BR1187))&gt;(R_SN+(R_SN&lt;BQ1187)*(BQ1187-R_SN)))*((R_EN-(R_EN&gt;BR1187)*(R_EN-BR1187))-(R_SN+(R_SN&lt;BQ1187)*(BQ1187-R_SN))))/60),0)</f>
        <v>0</v>
      </c>
      <c r="BT1187" s="80">
        <f>IF(AND(BE1187=1,D1187="proMX"),ROUND(BI1187*CFG_RATE+BJ1187*CFG_OTRATE,6),0)</f>
        <v>0</v>
      </c>
      <c r="BU1187" s="80">
        <f>IF(AND(BD1187=1,D1187="proMX"),ROUND(AG1187/CFG_BLK,6),0)</f>
        <v>0</v>
      </c>
      <c r="BV1187" s="80" t="str">
        <f>IF(BF1187="Approved",IF(ISNUMBER(T1187),INT(T1187),INT(B1187)),"")</f>
        <v/>
      </c>
      <c r="BW1187" s="80">
        <f>IF(ISNUMBER(B1187),IF(DB_MON="Todos",1,IF(AND(INT(B1187)&gt;=DB_MS,INT(B1187)&lt;=DB_ME),1,0)),0)</f>
        <v>0</v>
      </c>
      <c r="BX1187" s="80">
        <f>IF(DB_PROJ="Todos",1,IF(E1187&amp;""=DB_PROJ&amp;"",1,0))</f>
        <v>1</v>
      </c>
      <c r="BY1187" s="80">
        <f>BW1187*BX1187</f>
        <v>0</v>
      </c>
      <c r="BZ1187" s="80" t="str">
        <f>IF(Y1187=1,F1187&amp;IF(AND(F1187&amp;""&lt;&gt;"",E1187&amp;""&lt;&gt;"")," · ","")&amp;E1187,"")</f>
        <v/>
      </c>
      <c r="CA1187" s="80" t="str">
        <f>IF(AND(BD1187=1,E1187&amp;""&lt;&gt;""),IF(COUNTIFS($E$5:E1186,E1187,$BD$5:BD1186,1)=0,MAX($CA$5:CA1186)+1,""),"")</f>
        <v/>
      </c>
      <c r="CB1187" s="80" t="str">
        <f>IF(AND(BE1187=1,D1187="Malcolm",E1187&amp;""&lt;&gt;""),IF(COUNTIFS($D$5:D1186,"Malcolm",$E$5:E1186,E1187,$BE$5:BE1186,1)=0,MAX($CB$5:CB1186)+1,""),"")</f>
        <v/>
      </c>
      <c r="CC1187" s="80" t="str">
        <f>IF(AND(BD1187=1,D1187="proMX",E1187&amp;""&lt;&gt;""),IF(COUNTIFS($D$5:D1186,"proMX",$E$5:E1186,E1187,$BD$5:BD1186,1)=0,MAX($CC$5:CC1186)+1,""),"")</f>
        <v/>
      </c>
      <c r="CD1187" s="80" t="str">
        <f>IF(AND(BE1187=1,D1187="Malcolm",F1187&amp;""&lt;&gt;""),IF(COUNTIFS($D$5:D1186,"Malcolm",$F$5:F1186,F1187,$BE$5:BE1186,1)=0,MAX($CD$5:CD1186)+1,""),"")</f>
        <v/>
      </c>
      <c r="CE1187" s="80" t="str">
        <f>IF(AND(BD1187=1,D1187="proMX",F1187&amp;""&lt;&gt;""),IF(COUNTIFS($D$5:D1186,"proMX",$F$5:F1186,F1187,$BD$5:BD1186,1)=0,MAX($CE$5:CE1186)+1,""),"")</f>
        <v/>
      </c>
      <c r="CF1187" s="80" t="str">
        <f>IF(AND(D1187="proMX",BD1187=1),IF(OR(BF1187="Draft",BF1187="Submitted",BF1187="Returned",BF1187="Recall Requested"),MAX($CF$5:CF1186)+1,""),"")</f>
        <v/>
      </c>
      <c r="CG1187" s="80">
        <f>IF(BD1187=0,0,IF(D1187="Malcolm",1,MATCH(BF1187,{"Draft","Submitted","Approved","Returned","Recall Requested","Cancelled"},0)+1))</f>
        <v>0</v>
      </c>
      <c r="CH1187" s="80">
        <f>IF(AND(BF1187="Submitted",ISNUMBER(V1187)),IF(V1187&gt;CFG_MAXD,1,0),0)</f>
        <v>0</v>
      </c>
    </row>
    <row r="1188">
      <c r="A1188" s="71" t="str">
        <f>IF(Y1188=1,ROW()-5,"")</f>
        <v/>
      </c>
      <c r="B1188" s="72" t="n"/>
      <c r="C1188" s="71" t="str">
        <f>IF(ISNUMBER(B1188),CHOOSE(WEEKDAY(B1188,2),"Lun","Mar","Mié","Jue","Vie","Sáb","Dom"),"")</f>
        <v/>
      </c>
      <c r="D1188" s="73" t="n"/>
      <c r="E1188" s="74" t="n"/>
      <c r="F1188" s="74" t="n"/>
      <c r="G1188" s="74" t="n"/>
      <c r="H1188" s="75" t="n"/>
      <c r="I1188" s="75" t="n"/>
      <c r="J1188" s="76" t="n"/>
      <c r="K1188" s="77" t="str">
        <f>IF(AB1188=1,ROUND(AG1188/60,4),"")</f>
        <v/>
      </c>
      <c r="L1188" s="77" t="str">
        <f>IF(BD1188=1,ROUND(AP1188/60,4),"")</f>
        <v/>
      </c>
      <c r="M1188" s="77" t="str">
        <f>IF(BD1188=1,ROUND(AQ1188/60,4),"")</f>
        <v/>
      </c>
      <c r="N1188" s="71" t="str">
        <f>IF(AND(D1188="proMX",AB1188=1),ROUND(AG1188/CFG_BLK,2),"")</f>
        <v/>
      </c>
      <c r="O1188" s="77" t="str">
        <f>IF(D1188="proMX",IF(BD1188=1,ROUND(AG1188/60,4),0),"")</f>
        <v/>
      </c>
      <c r="P1188" s="78" t="str">
        <f>IF(Y1188=0,"",IF(BD1188=1,"OK",IF(D1188="proMX","Revisar bloques: ","Revisar: ")&amp;BC1188))</f>
        <v/>
      </c>
      <c r="Q1188" s="78" t="str">
        <f>IF(NOT(ISNUMBER(B1188)),"",IF(COUNTIFS(FER_F,INT(B1188))&gt;0,"Feriado"&amp;IF(AH1188=1," (laborable)"," (no laborable)"),IF(AH1188=1,"Laborable",IF(WEEKDAY(B1188,2)&gt;5,"Fin de semana","No laborable"))))</f>
        <v/>
      </c>
      <c r="R1188" s="73" t="n"/>
      <c r="S1188" s="72" t="n"/>
      <c r="T1188" s="72" t="n"/>
      <c r="U1188" s="74" t="n"/>
      <c r="V1188" s="79" t="str">
        <f>IF(AND(D1188="proMX",OR(R1188="Submitted",R1188="Recall Requested"),ISNUMBER(S1188)),CFG_TODAY-INT(S1188),"")</f>
        <v/>
      </c>
      <c r="W1188" s="78" t="str">
        <f>IF(BD1188=0,"",IF(BA1188&gt;0,"⚠ Se superpone con un registro de la otra empresa",IF(D1188="Malcolm",IF(COUNTA(R1188,S1188,T1188)&gt;0,"Estado/fechas proMX se ignoran en Malcolm",""),IF(BF1188="Cancelled","Cancelado: excluido de totales",IF(R1188="","Sin estado: se trata como Draft",IF(BF1188="Submitted",IF(ISNUMBER(V1188),IF(V1188&gt;CFG_MAXD,"⚠ "&amp;V1188&amp;" días en Submitted (máx. "&amp;CFG_MAXD&amp;")",""),"Falta fecha de envío"),IF(BF1188="Returned","⚠ Devuelto: corregir y reenviar",IF(BF1188="Recall Requested","Retirada solicitada: pendiente",IF(AND(BF1188="Approved",NOT(ISNUMBER(T1188))),"Falta fecha de aprobación",IF(AND(ISNUMBER(S1188),ISNUMBER(T1188),T1188&lt;S1188),"Aprobación anterior al envío","")))))))))</f>
        <v/>
      </c>
      <c r="Y1188" s="80">
        <f>IF(COUNTA(B1188,D1188,E1188,F1188,G1188,H1188,I1188,J1188,R1188,S1188,T1188)&gt;0,1,0)</f>
        <v>0</v>
      </c>
      <c r="Z1188" s="80" t="str">
        <f>IF(AND(ISNUMBER(H1188),H1188&gt;=0,H1188&lt;1),ROUND(H1188*1440,0),"")</f>
        <v/>
      </c>
      <c r="AA1188" s="80" t="str">
        <f>IF(AND(ISNUMBER(I1188),I1188&gt;=0,I1188&lt;1),ROUND(I1188*1440,0),"")</f>
        <v/>
      </c>
      <c r="AB1188" s="80">
        <f>IF(AND(ISNUMBER(B1188),D1188&lt;&gt;"",ISNUMBER(Z1188),ISNUMBER(AA1188)),IF(Z1188=AA1188,0,1),0)</f>
        <v>0</v>
      </c>
      <c r="AC1188" s="80">
        <f>IF(AB1188=1,IF(AA1188&lt;Z1188,1,0),0)</f>
        <v>0</v>
      </c>
      <c r="AD1188" s="80">
        <f>IF(AB1188=1,IF(AC1188=1,1440-Z1188+AA1188,AA1188-Z1188),0)</f>
        <v>0</v>
      </c>
      <c r="AE1188" s="80">
        <f>IF(J1188="",0,IF(ISNUMBER(J1188),J1188,-1))</f>
        <v>0</v>
      </c>
      <c r="AF1188" s="80">
        <f>MIN(MAX(0,AE1188),AD1188)</f>
        <v>0</v>
      </c>
      <c r="AG1188" s="80">
        <f>MAX(0,AD1188-MAX(0,AE1188))</f>
        <v>0</v>
      </c>
      <c r="AH1188" s="80">
        <f>IF(ISNUMBER(B1188),IF(AND(INDEX(CFG_WDAYS,WEEKDAY(INT(B1188),2))="Sí",IF(D1188="proMX",COUNTIFS(FER_F,INT(B1188),FER_NLP,"Sí"),COUNTIFS(FER_F,INT(B1188),FER_NLM,"Sí"))=0),1,0),0)</f>
        <v>0</v>
      </c>
      <c r="AI1188" s="80">
        <f>IF(AC1188=1,IF(AND(INDEX(CFG_WDAYS,WEEKDAY(INT(B1188)+1,2))="Sí",IF(D1188="proMX",COUNTIFS(FER_F,INT(B1188)+1,FER_NLP,"Sí"),COUNTIFS(FER_F,INT(B1188)+1,FER_NLM,"Sí"))=0),1,0),0)</f>
        <v>0</v>
      </c>
      <c r="AJ1188" s="80">
        <f>IF(AC1188=1,1440-Z1188,AD1188)</f>
        <v>0</v>
      </c>
      <c r="AK1188" s="80">
        <f>IF(AND(AB1188=1,AH1188=1),MAX(0,MIN(IF(AC1188=1,1440,AA1188),CFG_WEM)-MAX(Z1188,CFG_WSM)),0)</f>
        <v>0</v>
      </c>
      <c r="AL1188" s="80">
        <f>IF(AND(AC1188=1,AI1188=1),MAX(0,MIN(AA1188,CFG_WEM)-CFG_WSM),0)</f>
        <v>0</v>
      </c>
      <c r="AM1188" s="80">
        <f>AK1188+AL1188</f>
        <v>0</v>
      </c>
      <c r="AN1188" s="80">
        <f>IF(CFG_BRK="Proporcional",IF(AD1188=0,0,AF1188*AM1188/AD1188),IF(CFG_BRK="Extras primero",MIN(AM1188,MAX(0,AF1188-(AD1188-AM1188))),MIN(AF1188,AM1188)))</f>
        <v>0</v>
      </c>
      <c r="AO1188" s="80">
        <f>AF1188-AN1188</f>
        <v>0</v>
      </c>
      <c r="AP1188" s="80">
        <f>AM1188-AN1188</f>
        <v>0</v>
      </c>
      <c r="AQ1188" s="80">
        <f>AD1188-AM1188-AO1188</f>
        <v>0</v>
      </c>
      <c r="AR1188" s="80">
        <f>IF(AM1188=0,0,AK1188-AN1188*AK1188/AM1188)</f>
        <v>0</v>
      </c>
      <c r="AS1188" s="80">
        <f>IF(AD1188-AM1188=0,0,(AJ1188-AK1188)-AO1188*(AJ1188-AK1188)/(AD1188-AM1188))</f>
        <v>0</v>
      </c>
      <c r="AT1188" s="80" t="str">
        <f>IF(AC1188=1,INT(B1188)+1,"")</f>
        <v/>
      </c>
      <c r="AU1188" s="80">
        <f>IF(AND(D1188="proMX",R1188="Cancelled"),0,1)</f>
        <v>1</v>
      </c>
      <c r="AV1188" s="80">
        <f>IF(AND(AB1188=1,AU1188=1),IF(COUNTIFS($D$5:D1187,D1188,$B$5:B1187,B1188,$Z$5:Z1187,Z1188,$AA$5:AA1187,AA1188,$F$5:F1187,F1188&amp;"",$AU$5:AU1187,1)&gt;0,1,0),0)</f>
        <v>0</v>
      </c>
      <c r="AW1188" s="80" t="str">
        <f>IF(AB1188=1,INT(B1188)*1440+Z1188,"")</f>
        <v/>
      </c>
      <c r="AX1188" s="80" t="str">
        <f>IF(AB1188=1,AW1188+AD1188,"")</f>
        <v/>
      </c>
      <c r="AY1188" s="80">
        <f>IF(AND(AB1188=1,AV1188=0,AU1188=1),1,0)</f>
        <v>0</v>
      </c>
      <c r="AZ1188" s="80">
        <f>IF(AY1188=1,COUNTIFS(R_Emp,D1188,R_SAbs,"&lt;"&amp;AX1188,R_EAbs,"&gt;"&amp;AW1188,R_OKey,1)-1,0)</f>
        <v>0</v>
      </c>
      <c r="BA1188" s="80">
        <f>IF(AY1188=1,COUNTIFS(R_Emp,"&lt;&gt;"&amp;D1188,R_SAbs,"&lt;"&amp;AX1188,R_EAbs,"&gt;"&amp;AW1188,R_OKey,1),0)</f>
        <v>0</v>
      </c>
      <c r="BB1188" s="80">
        <f>IF(AND(AB1188=1,D1188="proMX"),IF(AND(MOD(Z1188,CFG_BLK)=0,MOD(AA1188,CFG_BLK)=0,MOD(AG1188,CFG_BLK)=0,AG1188&gt;0),1,0),1)</f>
        <v>1</v>
      </c>
      <c r="BC1188" s="80" t="str">
        <f>IF(Y1188=0,"",IF(NOT(ISNUMBER(B1188)),"Falta fecha o fecha inválida",IF(D1188="","Falta empresa",IF(AND(D1188&lt;&gt;"Malcolm",D1188&lt;&gt;"proMX"),"Empresa inválida",IF(OR(INT(B1188)&lt;CFG_PSTART,INT(B1188)&gt;CFG_PEND),"Fecha fuera del período",IF(OR(NOT(ISNUMBER(Z1188)),NOT(ISNUMBER(AA1188))),"Falta hora inicio/fin o formato inválido",IF(AB1188=0,"Hora inicio = hora fin",IF(AE1188&lt;0,"Descanso inválido",IF(AE1188&gt;=AD1188,"Descanso ≥ duración",IF(AV1188=1,"Registro duplicado",IF(AZ1188&gt;0,"Se superpone con otro registro "&amp;D1188,IF(BB1188=0,"inicio, fin y duración neta deben ser múltiplos de "&amp;CFG_BLK&amp;" min",""))))))))))))</f>
        <v/>
      </c>
      <c r="BD1188" s="80">
        <f>IF(AND(Y1188=1,BC1188=""),1,0)</f>
        <v>0</v>
      </c>
      <c r="BE1188" s="80">
        <f>IF(AND(BD1188=1,AU1188=1),1,0)</f>
        <v>0</v>
      </c>
      <c r="BF1188" s="80" t="str">
        <f>IF(AND(D1188="proMX",BD1188=1),IF(R1188="","Draft",R1188),"")</f>
        <v/>
      </c>
      <c r="BG1188" s="80">
        <f>IF(BD1188=1,ROUND(AG1188/60,6),0)</f>
        <v>0</v>
      </c>
      <c r="BH1188" s="80">
        <f>IF(BE1188=1,ROUND(AG1188/60,6),0)</f>
        <v>0</v>
      </c>
      <c r="BI1188" s="80">
        <f>IF(BE1188=1,ROUND(AP1188/60,6),0)</f>
        <v>0</v>
      </c>
      <c r="BJ1188" s="80">
        <f>IF(BE1188=1,ROUND(AQ1188/60,6),0)</f>
        <v>0</v>
      </c>
      <c r="BK1188" s="80">
        <f>IF(BE1188=1,ROUND((AR1188+AS1188)/60,6),0)</f>
        <v>0</v>
      </c>
      <c r="BL1188" s="80">
        <f>ROUND(BH1188-BK1188,6)</f>
        <v>0</v>
      </c>
      <c r="BM1188" s="80">
        <f>IF(BE1188=1,ROUND(AR1188/60,6),0)</f>
        <v>0</v>
      </c>
      <c r="BN1188" s="80">
        <f>ROUND(BI1188-BM1188,6)</f>
        <v>0</v>
      </c>
      <c r="BO1188" s="80">
        <f>IF(BE1188=1,ROUND(AS1188/60,6),0)</f>
        <v>0</v>
      </c>
      <c r="BP1188" s="80">
        <f>ROUND(BJ1188-BO1188,6)</f>
        <v>0</v>
      </c>
      <c r="BQ1188" s="80">
        <f>IF(BE1188=1,AW1188,0)</f>
        <v>0</v>
      </c>
      <c r="BR1188" s="80">
        <f>IF(BE1188=1,AX1188,0)</f>
        <v>0</v>
      </c>
      <c r="BS1188" s="80">
        <f>IF(AND(BE1188=1,D1188="Malcolm",BA1188&gt;0),MIN(BH1188,SUMPRODUCT((R_Emp="proMX")*(R_EN&gt;0)*((R_EN-(R_EN&gt;BR1188)*(R_EN-BR1188))&gt;(R_SN+(R_SN&lt;BQ1188)*(BQ1188-R_SN)))*((R_EN-(R_EN&gt;BR1188)*(R_EN-BR1188))-(R_SN+(R_SN&lt;BQ1188)*(BQ1188-R_SN))))/60),0)</f>
        <v>0</v>
      </c>
      <c r="BT1188" s="80">
        <f>IF(AND(BE1188=1,D1188="proMX"),ROUND(BI1188*CFG_RATE+BJ1188*CFG_OTRATE,6),0)</f>
        <v>0</v>
      </c>
      <c r="BU1188" s="80">
        <f>IF(AND(BD1188=1,D1188="proMX"),ROUND(AG1188/CFG_BLK,6),0)</f>
        <v>0</v>
      </c>
      <c r="BV1188" s="80" t="str">
        <f>IF(BF1188="Approved",IF(ISNUMBER(T1188),INT(T1188),INT(B1188)),"")</f>
        <v/>
      </c>
      <c r="BW1188" s="80">
        <f>IF(ISNUMBER(B1188),IF(DB_MON="Todos",1,IF(AND(INT(B1188)&gt;=DB_MS,INT(B1188)&lt;=DB_ME),1,0)),0)</f>
        <v>0</v>
      </c>
      <c r="BX1188" s="80">
        <f>IF(DB_PROJ="Todos",1,IF(E1188&amp;""=DB_PROJ&amp;"",1,0))</f>
        <v>1</v>
      </c>
      <c r="BY1188" s="80">
        <f>BW1188*BX1188</f>
        <v>0</v>
      </c>
      <c r="BZ1188" s="80" t="str">
        <f>IF(Y1188=1,F1188&amp;IF(AND(F1188&amp;""&lt;&gt;"",E1188&amp;""&lt;&gt;"")," · ","")&amp;E1188,"")</f>
        <v/>
      </c>
      <c r="CA1188" s="80" t="str">
        <f>IF(AND(BD1188=1,E1188&amp;""&lt;&gt;""),IF(COUNTIFS($E$5:E1187,E1188,$BD$5:BD1187,1)=0,MAX($CA$5:CA1187)+1,""),"")</f>
        <v/>
      </c>
      <c r="CB1188" s="80" t="str">
        <f>IF(AND(BE1188=1,D1188="Malcolm",E1188&amp;""&lt;&gt;""),IF(COUNTIFS($D$5:D1187,"Malcolm",$E$5:E1187,E1188,$BE$5:BE1187,1)=0,MAX($CB$5:CB1187)+1,""),"")</f>
        <v/>
      </c>
      <c r="CC1188" s="80" t="str">
        <f>IF(AND(BD1188=1,D1188="proMX",E1188&amp;""&lt;&gt;""),IF(COUNTIFS($D$5:D1187,"proMX",$E$5:E1187,E1188,$BD$5:BD1187,1)=0,MAX($CC$5:CC1187)+1,""),"")</f>
        <v/>
      </c>
      <c r="CD1188" s="80" t="str">
        <f>IF(AND(BE1188=1,D1188="Malcolm",F1188&amp;""&lt;&gt;""),IF(COUNTIFS($D$5:D1187,"Malcolm",$F$5:F1187,F1188,$BE$5:BE1187,1)=0,MAX($CD$5:CD1187)+1,""),"")</f>
        <v/>
      </c>
      <c r="CE1188" s="80" t="str">
        <f>IF(AND(BD1188=1,D1188="proMX",F1188&amp;""&lt;&gt;""),IF(COUNTIFS($D$5:D1187,"proMX",$F$5:F1187,F1188,$BD$5:BD1187,1)=0,MAX($CE$5:CE1187)+1,""),"")</f>
        <v/>
      </c>
      <c r="CF1188" s="80" t="str">
        <f>IF(AND(D1188="proMX",BD1188=1),IF(OR(BF1188="Draft",BF1188="Submitted",BF1188="Returned",BF1188="Recall Requested"),MAX($CF$5:CF1187)+1,""),"")</f>
        <v/>
      </c>
      <c r="CG1188" s="80">
        <f>IF(BD1188=0,0,IF(D1188="Malcolm",1,MATCH(BF1188,{"Draft","Submitted","Approved","Returned","Recall Requested","Cancelled"},0)+1))</f>
        <v>0</v>
      </c>
      <c r="CH1188" s="80">
        <f>IF(AND(BF1188="Submitted",ISNUMBER(V1188)),IF(V1188&gt;CFG_MAXD,1,0),0)</f>
        <v>0</v>
      </c>
    </row>
    <row r="1189">
      <c r="A1189" s="71" t="str">
        <f>IF(Y1189=1,ROW()-5,"")</f>
        <v/>
      </c>
      <c r="B1189" s="72" t="n"/>
      <c r="C1189" s="71" t="str">
        <f>IF(ISNUMBER(B1189),CHOOSE(WEEKDAY(B1189,2),"Lun","Mar","Mié","Jue","Vie","Sáb","Dom"),"")</f>
        <v/>
      </c>
      <c r="D1189" s="73" t="n"/>
      <c r="E1189" s="74" t="n"/>
      <c r="F1189" s="74" t="n"/>
      <c r="G1189" s="74" t="n"/>
      <c r="H1189" s="75" t="n"/>
      <c r="I1189" s="75" t="n"/>
      <c r="J1189" s="76" t="n"/>
      <c r="K1189" s="77" t="str">
        <f>IF(AB1189=1,ROUND(AG1189/60,4),"")</f>
        <v/>
      </c>
      <c r="L1189" s="77" t="str">
        <f>IF(BD1189=1,ROUND(AP1189/60,4),"")</f>
        <v/>
      </c>
      <c r="M1189" s="77" t="str">
        <f>IF(BD1189=1,ROUND(AQ1189/60,4),"")</f>
        <v/>
      </c>
      <c r="N1189" s="71" t="str">
        <f>IF(AND(D1189="proMX",AB1189=1),ROUND(AG1189/CFG_BLK,2),"")</f>
        <v/>
      </c>
      <c r="O1189" s="77" t="str">
        <f>IF(D1189="proMX",IF(BD1189=1,ROUND(AG1189/60,4),0),"")</f>
        <v/>
      </c>
      <c r="P1189" s="78" t="str">
        <f>IF(Y1189=0,"",IF(BD1189=1,"OK",IF(D1189="proMX","Revisar bloques: ","Revisar: ")&amp;BC1189))</f>
        <v/>
      </c>
      <c r="Q1189" s="78" t="str">
        <f>IF(NOT(ISNUMBER(B1189)),"",IF(COUNTIFS(FER_F,INT(B1189))&gt;0,"Feriado"&amp;IF(AH1189=1," (laborable)"," (no laborable)"),IF(AH1189=1,"Laborable",IF(WEEKDAY(B1189,2)&gt;5,"Fin de semana","No laborable"))))</f>
        <v/>
      </c>
      <c r="R1189" s="73" t="n"/>
      <c r="S1189" s="72" t="n"/>
      <c r="T1189" s="72" t="n"/>
      <c r="U1189" s="74" t="n"/>
      <c r="V1189" s="79" t="str">
        <f>IF(AND(D1189="proMX",OR(R1189="Submitted",R1189="Recall Requested"),ISNUMBER(S1189)),CFG_TODAY-INT(S1189),"")</f>
        <v/>
      </c>
      <c r="W1189" s="78" t="str">
        <f>IF(BD1189=0,"",IF(BA1189&gt;0,"⚠ Se superpone con un registro de la otra empresa",IF(D1189="Malcolm",IF(COUNTA(R1189,S1189,T1189)&gt;0,"Estado/fechas proMX se ignoran en Malcolm",""),IF(BF1189="Cancelled","Cancelado: excluido de totales",IF(R1189="","Sin estado: se trata como Draft",IF(BF1189="Submitted",IF(ISNUMBER(V1189),IF(V1189&gt;CFG_MAXD,"⚠ "&amp;V1189&amp;" días en Submitted (máx. "&amp;CFG_MAXD&amp;")",""),"Falta fecha de envío"),IF(BF1189="Returned","⚠ Devuelto: corregir y reenviar",IF(BF1189="Recall Requested","Retirada solicitada: pendiente",IF(AND(BF1189="Approved",NOT(ISNUMBER(T1189))),"Falta fecha de aprobación",IF(AND(ISNUMBER(S1189),ISNUMBER(T1189),T1189&lt;S1189),"Aprobación anterior al envío","")))))))))</f>
        <v/>
      </c>
      <c r="Y1189" s="80">
        <f>IF(COUNTA(B1189,D1189,E1189,F1189,G1189,H1189,I1189,J1189,R1189,S1189,T1189)&gt;0,1,0)</f>
        <v>0</v>
      </c>
      <c r="Z1189" s="80" t="str">
        <f>IF(AND(ISNUMBER(H1189),H1189&gt;=0,H1189&lt;1),ROUND(H1189*1440,0),"")</f>
        <v/>
      </c>
      <c r="AA1189" s="80" t="str">
        <f>IF(AND(ISNUMBER(I1189),I1189&gt;=0,I1189&lt;1),ROUND(I1189*1440,0),"")</f>
        <v/>
      </c>
      <c r="AB1189" s="80">
        <f>IF(AND(ISNUMBER(B1189),D1189&lt;&gt;"",ISNUMBER(Z1189),ISNUMBER(AA1189)),IF(Z1189=AA1189,0,1),0)</f>
        <v>0</v>
      </c>
      <c r="AC1189" s="80">
        <f>IF(AB1189=1,IF(AA1189&lt;Z1189,1,0),0)</f>
        <v>0</v>
      </c>
      <c r="AD1189" s="80">
        <f>IF(AB1189=1,IF(AC1189=1,1440-Z1189+AA1189,AA1189-Z1189),0)</f>
        <v>0</v>
      </c>
      <c r="AE1189" s="80">
        <f>IF(J1189="",0,IF(ISNUMBER(J1189),J1189,-1))</f>
        <v>0</v>
      </c>
      <c r="AF1189" s="80">
        <f>MIN(MAX(0,AE1189),AD1189)</f>
        <v>0</v>
      </c>
      <c r="AG1189" s="80">
        <f>MAX(0,AD1189-MAX(0,AE1189))</f>
        <v>0</v>
      </c>
      <c r="AH1189" s="80">
        <f>IF(ISNUMBER(B1189),IF(AND(INDEX(CFG_WDAYS,WEEKDAY(INT(B1189),2))="Sí",IF(D1189="proMX",COUNTIFS(FER_F,INT(B1189),FER_NLP,"Sí"),COUNTIFS(FER_F,INT(B1189),FER_NLM,"Sí"))=0),1,0),0)</f>
        <v>0</v>
      </c>
      <c r="AI1189" s="80">
        <f>IF(AC1189=1,IF(AND(INDEX(CFG_WDAYS,WEEKDAY(INT(B1189)+1,2))="Sí",IF(D1189="proMX",COUNTIFS(FER_F,INT(B1189)+1,FER_NLP,"Sí"),COUNTIFS(FER_F,INT(B1189)+1,FER_NLM,"Sí"))=0),1,0),0)</f>
        <v>0</v>
      </c>
      <c r="AJ1189" s="80">
        <f>IF(AC1189=1,1440-Z1189,AD1189)</f>
        <v>0</v>
      </c>
      <c r="AK1189" s="80">
        <f>IF(AND(AB1189=1,AH1189=1),MAX(0,MIN(IF(AC1189=1,1440,AA1189),CFG_WEM)-MAX(Z1189,CFG_WSM)),0)</f>
        <v>0</v>
      </c>
      <c r="AL1189" s="80">
        <f>IF(AND(AC1189=1,AI1189=1),MAX(0,MIN(AA1189,CFG_WEM)-CFG_WSM),0)</f>
        <v>0</v>
      </c>
      <c r="AM1189" s="80">
        <f>AK1189+AL1189</f>
        <v>0</v>
      </c>
      <c r="AN1189" s="80">
        <f>IF(CFG_BRK="Proporcional",IF(AD1189=0,0,AF1189*AM1189/AD1189),IF(CFG_BRK="Extras primero",MIN(AM1189,MAX(0,AF1189-(AD1189-AM1189))),MIN(AF1189,AM1189)))</f>
        <v>0</v>
      </c>
      <c r="AO1189" s="80">
        <f>AF1189-AN1189</f>
        <v>0</v>
      </c>
      <c r="AP1189" s="80">
        <f>AM1189-AN1189</f>
        <v>0</v>
      </c>
      <c r="AQ1189" s="80">
        <f>AD1189-AM1189-AO1189</f>
        <v>0</v>
      </c>
      <c r="AR1189" s="80">
        <f>IF(AM1189=0,0,AK1189-AN1189*AK1189/AM1189)</f>
        <v>0</v>
      </c>
      <c r="AS1189" s="80">
        <f>IF(AD1189-AM1189=0,0,(AJ1189-AK1189)-AO1189*(AJ1189-AK1189)/(AD1189-AM1189))</f>
        <v>0</v>
      </c>
      <c r="AT1189" s="80" t="str">
        <f>IF(AC1189=1,INT(B1189)+1,"")</f>
        <v/>
      </c>
      <c r="AU1189" s="80">
        <f>IF(AND(D1189="proMX",R1189="Cancelled"),0,1)</f>
        <v>1</v>
      </c>
      <c r="AV1189" s="80">
        <f>IF(AND(AB1189=1,AU1189=1),IF(COUNTIFS($D$5:D1188,D1189,$B$5:B1188,B1189,$Z$5:Z1188,Z1189,$AA$5:AA1188,AA1189,$F$5:F1188,F1189&amp;"",$AU$5:AU1188,1)&gt;0,1,0),0)</f>
        <v>0</v>
      </c>
      <c r="AW1189" s="80" t="str">
        <f>IF(AB1189=1,INT(B1189)*1440+Z1189,"")</f>
        <v/>
      </c>
      <c r="AX1189" s="80" t="str">
        <f>IF(AB1189=1,AW1189+AD1189,"")</f>
        <v/>
      </c>
      <c r="AY1189" s="80">
        <f>IF(AND(AB1189=1,AV1189=0,AU1189=1),1,0)</f>
        <v>0</v>
      </c>
      <c r="AZ1189" s="80">
        <f>IF(AY1189=1,COUNTIFS(R_Emp,D1189,R_SAbs,"&lt;"&amp;AX1189,R_EAbs,"&gt;"&amp;AW1189,R_OKey,1)-1,0)</f>
        <v>0</v>
      </c>
      <c r="BA1189" s="80">
        <f>IF(AY1189=1,COUNTIFS(R_Emp,"&lt;&gt;"&amp;D1189,R_SAbs,"&lt;"&amp;AX1189,R_EAbs,"&gt;"&amp;AW1189,R_OKey,1),0)</f>
        <v>0</v>
      </c>
      <c r="BB1189" s="80">
        <f>IF(AND(AB1189=1,D1189="proMX"),IF(AND(MOD(Z1189,CFG_BLK)=0,MOD(AA1189,CFG_BLK)=0,MOD(AG1189,CFG_BLK)=0,AG1189&gt;0),1,0),1)</f>
        <v>1</v>
      </c>
      <c r="BC1189" s="80" t="str">
        <f>IF(Y1189=0,"",IF(NOT(ISNUMBER(B1189)),"Falta fecha o fecha inválida",IF(D1189="","Falta empresa",IF(AND(D1189&lt;&gt;"Malcolm",D1189&lt;&gt;"proMX"),"Empresa inválida",IF(OR(INT(B1189)&lt;CFG_PSTART,INT(B1189)&gt;CFG_PEND),"Fecha fuera del período",IF(OR(NOT(ISNUMBER(Z1189)),NOT(ISNUMBER(AA1189))),"Falta hora inicio/fin o formato inválido",IF(AB1189=0,"Hora inicio = hora fin",IF(AE1189&lt;0,"Descanso inválido",IF(AE1189&gt;=AD1189,"Descanso ≥ duración",IF(AV1189=1,"Registro duplicado",IF(AZ1189&gt;0,"Se superpone con otro registro "&amp;D1189,IF(BB1189=0,"inicio, fin y duración neta deben ser múltiplos de "&amp;CFG_BLK&amp;" min",""))))))))))))</f>
        <v/>
      </c>
      <c r="BD1189" s="80">
        <f>IF(AND(Y1189=1,BC1189=""),1,0)</f>
        <v>0</v>
      </c>
      <c r="BE1189" s="80">
        <f>IF(AND(BD1189=1,AU1189=1),1,0)</f>
        <v>0</v>
      </c>
      <c r="BF1189" s="80" t="str">
        <f>IF(AND(D1189="proMX",BD1189=1),IF(R1189="","Draft",R1189),"")</f>
        <v/>
      </c>
      <c r="BG1189" s="80">
        <f>IF(BD1189=1,ROUND(AG1189/60,6),0)</f>
        <v>0</v>
      </c>
      <c r="BH1189" s="80">
        <f>IF(BE1189=1,ROUND(AG1189/60,6),0)</f>
        <v>0</v>
      </c>
      <c r="BI1189" s="80">
        <f>IF(BE1189=1,ROUND(AP1189/60,6),0)</f>
        <v>0</v>
      </c>
      <c r="BJ1189" s="80">
        <f>IF(BE1189=1,ROUND(AQ1189/60,6),0)</f>
        <v>0</v>
      </c>
      <c r="BK1189" s="80">
        <f>IF(BE1189=1,ROUND((AR1189+AS1189)/60,6),0)</f>
        <v>0</v>
      </c>
      <c r="BL1189" s="80">
        <f>ROUND(BH1189-BK1189,6)</f>
        <v>0</v>
      </c>
      <c r="BM1189" s="80">
        <f>IF(BE1189=1,ROUND(AR1189/60,6),0)</f>
        <v>0</v>
      </c>
      <c r="BN1189" s="80">
        <f>ROUND(BI1189-BM1189,6)</f>
        <v>0</v>
      </c>
      <c r="BO1189" s="80">
        <f>IF(BE1189=1,ROUND(AS1189/60,6),0)</f>
        <v>0</v>
      </c>
      <c r="BP1189" s="80">
        <f>ROUND(BJ1189-BO1189,6)</f>
        <v>0</v>
      </c>
      <c r="BQ1189" s="80">
        <f>IF(BE1189=1,AW1189,0)</f>
        <v>0</v>
      </c>
      <c r="BR1189" s="80">
        <f>IF(BE1189=1,AX1189,0)</f>
        <v>0</v>
      </c>
      <c r="BS1189" s="80">
        <f>IF(AND(BE1189=1,D1189="Malcolm",BA1189&gt;0),MIN(BH1189,SUMPRODUCT((R_Emp="proMX")*(R_EN&gt;0)*((R_EN-(R_EN&gt;BR1189)*(R_EN-BR1189))&gt;(R_SN+(R_SN&lt;BQ1189)*(BQ1189-R_SN)))*((R_EN-(R_EN&gt;BR1189)*(R_EN-BR1189))-(R_SN+(R_SN&lt;BQ1189)*(BQ1189-R_SN))))/60),0)</f>
        <v>0</v>
      </c>
      <c r="BT1189" s="80">
        <f>IF(AND(BE1189=1,D1189="proMX"),ROUND(BI1189*CFG_RATE+BJ1189*CFG_OTRATE,6),0)</f>
        <v>0</v>
      </c>
      <c r="BU1189" s="80">
        <f>IF(AND(BD1189=1,D1189="proMX"),ROUND(AG1189/CFG_BLK,6),0)</f>
        <v>0</v>
      </c>
      <c r="BV1189" s="80" t="str">
        <f>IF(BF1189="Approved",IF(ISNUMBER(T1189),INT(T1189),INT(B1189)),"")</f>
        <v/>
      </c>
      <c r="BW1189" s="80">
        <f>IF(ISNUMBER(B1189),IF(DB_MON="Todos",1,IF(AND(INT(B1189)&gt;=DB_MS,INT(B1189)&lt;=DB_ME),1,0)),0)</f>
        <v>0</v>
      </c>
      <c r="BX1189" s="80">
        <f>IF(DB_PROJ="Todos",1,IF(E1189&amp;""=DB_PROJ&amp;"",1,0))</f>
        <v>1</v>
      </c>
      <c r="BY1189" s="80">
        <f>BW1189*BX1189</f>
        <v>0</v>
      </c>
      <c r="BZ1189" s="80" t="str">
        <f>IF(Y1189=1,F1189&amp;IF(AND(F1189&amp;""&lt;&gt;"",E1189&amp;""&lt;&gt;"")," · ","")&amp;E1189,"")</f>
        <v/>
      </c>
      <c r="CA1189" s="80" t="str">
        <f>IF(AND(BD1189=1,E1189&amp;""&lt;&gt;""),IF(COUNTIFS($E$5:E1188,E1189,$BD$5:BD1188,1)=0,MAX($CA$5:CA1188)+1,""),"")</f>
        <v/>
      </c>
      <c r="CB1189" s="80" t="str">
        <f>IF(AND(BE1189=1,D1189="Malcolm",E1189&amp;""&lt;&gt;""),IF(COUNTIFS($D$5:D1188,"Malcolm",$E$5:E1188,E1189,$BE$5:BE1188,1)=0,MAX($CB$5:CB1188)+1,""),"")</f>
        <v/>
      </c>
      <c r="CC1189" s="80" t="str">
        <f>IF(AND(BD1189=1,D1189="proMX",E1189&amp;""&lt;&gt;""),IF(COUNTIFS($D$5:D1188,"proMX",$E$5:E1188,E1189,$BD$5:BD1188,1)=0,MAX($CC$5:CC1188)+1,""),"")</f>
        <v/>
      </c>
      <c r="CD1189" s="80" t="str">
        <f>IF(AND(BE1189=1,D1189="Malcolm",F1189&amp;""&lt;&gt;""),IF(COUNTIFS($D$5:D1188,"Malcolm",$F$5:F1188,F1189,$BE$5:BE1188,1)=0,MAX($CD$5:CD1188)+1,""),"")</f>
        <v/>
      </c>
      <c r="CE1189" s="80" t="str">
        <f>IF(AND(BD1189=1,D1189="proMX",F1189&amp;""&lt;&gt;""),IF(COUNTIFS($D$5:D1188,"proMX",$F$5:F1188,F1189,$BD$5:BD1188,1)=0,MAX($CE$5:CE1188)+1,""),"")</f>
        <v/>
      </c>
      <c r="CF1189" s="80" t="str">
        <f>IF(AND(D1189="proMX",BD1189=1),IF(OR(BF1189="Draft",BF1189="Submitted",BF1189="Returned",BF1189="Recall Requested"),MAX($CF$5:CF1188)+1,""),"")</f>
        <v/>
      </c>
      <c r="CG1189" s="80">
        <f>IF(BD1189=0,0,IF(D1189="Malcolm",1,MATCH(BF1189,{"Draft","Submitted","Approved","Returned","Recall Requested","Cancelled"},0)+1))</f>
        <v>0</v>
      </c>
      <c r="CH1189" s="80">
        <f>IF(AND(BF1189="Submitted",ISNUMBER(V1189)),IF(V1189&gt;CFG_MAXD,1,0),0)</f>
        <v>0</v>
      </c>
    </row>
    <row r="1190">
      <c r="A1190" s="71" t="str">
        <f>IF(Y1190=1,ROW()-5,"")</f>
        <v/>
      </c>
      <c r="B1190" s="72" t="n"/>
      <c r="C1190" s="71" t="str">
        <f>IF(ISNUMBER(B1190),CHOOSE(WEEKDAY(B1190,2),"Lun","Mar","Mié","Jue","Vie","Sáb","Dom"),"")</f>
        <v/>
      </c>
      <c r="D1190" s="73" t="n"/>
      <c r="E1190" s="74" t="n"/>
      <c r="F1190" s="74" t="n"/>
      <c r="G1190" s="74" t="n"/>
      <c r="H1190" s="75" t="n"/>
      <c r="I1190" s="75" t="n"/>
      <c r="J1190" s="76" t="n"/>
      <c r="K1190" s="77" t="str">
        <f>IF(AB1190=1,ROUND(AG1190/60,4),"")</f>
        <v/>
      </c>
      <c r="L1190" s="77" t="str">
        <f>IF(BD1190=1,ROUND(AP1190/60,4),"")</f>
        <v/>
      </c>
      <c r="M1190" s="77" t="str">
        <f>IF(BD1190=1,ROUND(AQ1190/60,4),"")</f>
        <v/>
      </c>
      <c r="N1190" s="71" t="str">
        <f>IF(AND(D1190="proMX",AB1190=1),ROUND(AG1190/CFG_BLK,2),"")</f>
        <v/>
      </c>
      <c r="O1190" s="77" t="str">
        <f>IF(D1190="proMX",IF(BD1190=1,ROUND(AG1190/60,4),0),"")</f>
        <v/>
      </c>
      <c r="P1190" s="78" t="str">
        <f>IF(Y1190=0,"",IF(BD1190=1,"OK",IF(D1190="proMX","Revisar bloques: ","Revisar: ")&amp;BC1190))</f>
        <v/>
      </c>
      <c r="Q1190" s="78" t="str">
        <f>IF(NOT(ISNUMBER(B1190)),"",IF(COUNTIFS(FER_F,INT(B1190))&gt;0,"Feriado"&amp;IF(AH1190=1," (laborable)"," (no laborable)"),IF(AH1190=1,"Laborable",IF(WEEKDAY(B1190,2)&gt;5,"Fin de semana","No laborable"))))</f>
        <v/>
      </c>
      <c r="R1190" s="73" t="n"/>
      <c r="S1190" s="72" t="n"/>
      <c r="T1190" s="72" t="n"/>
      <c r="U1190" s="74" t="n"/>
      <c r="V1190" s="79" t="str">
        <f>IF(AND(D1190="proMX",OR(R1190="Submitted",R1190="Recall Requested"),ISNUMBER(S1190)),CFG_TODAY-INT(S1190),"")</f>
        <v/>
      </c>
      <c r="W1190" s="78" t="str">
        <f>IF(BD1190=0,"",IF(BA1190&gt;0,"⚠ Se superpone con un registro de la otra empresa",IF(D1190="Malcolm",IF(COUNTA(R1190,S1190,T1190)&gt;0,"Estado/fechas proMX se ignoran en Malcolm",""),IF(BF1190="Cancelled","Cancelado: excluido de totales",IF(R1190="","Sin estado: se trata como Draft",IF(BF1190="Submitted",IF(ISNUMBER(V1190),IF(V1190&gt;CFG_MAXD,"⚠ "&amp;V1190&amp;" días en Submitted (máx. "&amp;CFG_MAXD&amp;")",""),"Falta fecha de envío"),IF(BF1190="Returned","⚠ Devuelto: corregir y reenviar",IF(BF1190="Recall Requested","Retirada solicitada: pendiente",IF(AND(BF1190="Approved",NOT(ISNUMBER(T1190))),"Falta fecha de aprobación",IF(AND(ISNUMBER(S1190),ISNUMBER(T1190),T1190&lt;S1190),"Aprobación anterior al envío","")))))))))</f>
        <v/>
      </c>
      <c r="Y1190" s="80">
        <f>IF(COUNTA(B1190,D1190,E1190,F1190,G1190,H1190,I1190,J1190,R1190,S1190,T1190)&gt;0,1,0)</f>
        <v>0</v>
      </c>
      <c r="Z1190" s="80" t="str">
        <f>IF(AND(ISNUMBER(H1190),H1190&gt;=0,H1190&lt;1),ROUND(H1190*1440,0),"")</f>
        <v/>
      </c>
      <c r="AA1190" s="80" t="str">
        <f>IF(AND(ISNUMBER(I1190),I1190&gt;=0,I1190&lt;1),ROUND(I1190*1440,0),"")</f>
        <v/>
      </c>
      <c r="AB1190" s="80">
        <f>IF(AND(ISNUMBER(B1190),D1190&lt;&gt;"",ISNUMBER(Z1190),ISNUMBER(AA1190)),IF(Z1190=AA1190,0,1),0)</f>
        <v>0</v>
      </c>
      <c r="AC1190" s="80">
        <f>IF(AB1190=1,IF(AA1190&lt;Z1190,1,0),0)</f>
        <v>0</v>
      </c>
      <c r="AD1190" s="80">
        <f>IF(AB1190=1,IF(AC1190=1,1440-Z1190+AA1190,AA1190-Z1190),0)</f>
        <v>0</v>
      </c>
      <c r="AE1190" s="80">
        <f>IF(J1190="",0,IF(ISNUMBER(J1190),J1190,-1))</f>
        <v>0</v>
      </c>
      <c r="AF1190" s="80">
        <f>MIN(MAX(0,AE1190),AD1190)</f>
        <v>0</v>
      </c>
      <c r="AG1190" s="80">
        <f>MAX(0,AD1190-MAX(0,AE1190))</f>
        <v>0</v>
      </c>
      <c r="AH1190" s="80">
        <f>IF(ISNUMBER(B1190),IF(AND(INDEX(CFG_WDAYS,WEEKDAY(INT(B1190),2))="Sí",IF(D1190="proMX",COUNTIFS(FER_F,INT(B1190),FER_NLP,"Sí"),COUNTIFS(FER_F,INT(B1190),FER_NLM,"Sí"))=0),1,0),0)</f>
        <v>0</v>
      </c>
      <c r="AI1190" s="80">
        <f>IF(AC1190=1,IF(AND(INDEX(CFG_WDAYS,WEEKDAY(INT(B1190)+1,2))="Sí",IF(D1190="proMX",COUNTIFS(FER_F,INT(B1190)+1,FER_NLP,"Sí"),COUNTIFS(FER_F,INT(B1190)+1,FER_NLM,"Sí"))=0),1,0),0)</f>
        <v>0</v>
      </c>
      <c r="AJ1190" s="80">
        <f>IF(AC1190=1,1440-Z1190,AD1190)</f>
        <v>0</v>
      </c>
      <c r="AK1190" s="80">
        <f>IF(AND(AB1190=1,AH1190=1),MAX(0,MIN(IF(AC1190=1,1440,AA1190),CFG_WEM)-MAX(Z1190,CFG_WSM)),0)</f>
        <v>0</v>
      </c>
      <c r="AL1190" s="80">
        <f>IF(AND(AC1190=1,AI1190=1),MAX(0,MIN(AA1190,CFG_WEM)-CFG_WSM),0)</f>
        <v>0</v>
      </c>
      <c r="AM1190" s="80">
        <f>AK1190+AL1190</f>
        <v>0</v>
      </c>
      <c r="AN1190" s="80">
        <f>IF(CFG_BRK="Proporcional",IF(AD1190=0,0,AF1190*AM1190/AD1190),IF(CFG_BRK="Extras primero",MIN(AM1190,MAX(0,AF1190-(AD1190-AM1190))),MIN(AF1190,AM1190)))</f>
        <v>0</v>
      </c>
      <c r="AO1190" s="80">
        <f>AF1190-AN1190</f>
        <v>0</v>
      </c>
      <c r="AP1190" s="80">
        <f>AM1190-AN1190</f>
        <v>0</v>
      </c>
      <c r="AQ1190" s="80">
        <f>AD1190-AM1190-AO1190</f>
        <v>0</v>
      </c>
      <c r="AR1190" s="80">
        <f>IF(AM1190=0,0,AK1190-AN1190*AK1190/AM1190)</f>
        <v>0</v>
      </c>
      <c r="AS1190" s="80">
        <f>IF(AD1190-AM1190=0,0,(AJ1190-AK1190)-AO1190*(AJ1190-AK1190)/(AD1190-AM1190))</f>
        <v>0</v>
      </c>
      <c r="AT1190" s="80" t="str">
        <f>IF(AC1190=1,INT(B1190)+1,"")</f>
        <v/>
      </c>
      <c r="AU1190" s="80">
        <f>IF(AND(D1190="proMX",R1190="Cancelled"),0,1)</f>
        <v>1</v>
      </c>
      <c r="AV1190" s="80">
        <f>IF(AND(AB1190=1,AU1190=1),IF(COUNTIFS($D$5:D1189,D1190,$B$5:B1189,B1190,$Z$5:Z1189,Z1190,$AA$5:AA1189,AA1190,$F$5:F1189,F1190&amp;"",$AU$5:AU1189,1)&gt;0,1,0),0)</f>
        <v>0</v>
      </c>
      <c r="AW1190" s="80" t="str">
        <f>IF(AB1190=1,INT(B1190)*1440+Z1190,"")</f>
        <v/>
      </c>
      <c r="AX1190" s="80" t="str">
        <f>IF(AB1190=1,AW1190+AD1190,"")</f>
        <v/>
      </c>
      <c r="AY1190" s="80">
        <f>IF(AND(AB1190=1,AV1190=0,AU1190=1),1,0)</f>
        <v>0</v>
      </c>
      <c r="AZ1190" s="80">
        <f>IF(AY1190=1,COUNTIFS(R_Emp,D1190,R_SAbs,"&lt;"&amp;AX1190,R_EAbs,"&gt;"&amp;AW1190,R_OKey,1)-1,0)</f>
        <v>0</v>
      </c>
      <c r="BA1190" s="80">
        <f>IF(AY1190=1,COUNTIFS(R_Emp,"&lt;&gt;"&amp;D1190,R_SAbs,"&lt;"&amp;AX1190,R_EAbs,"&gt;"&amp;AW1190,R_OKey,1),0)</f>
        <v>0</v>
      </c>
      <c r="BB1190" s="80">
        <f>IF(AND(AB1190=1,D1190="proMX"),IF(AND(MOD(Z1190,CFG_BLK)=0,MOD(AA1190,CFG_BLK)=0,MOD(AG1190,CFG_BLK)=0,AG1190&gt;0),1,0),1)</f>
        <v>1</v>
      </c>
      <c r="BC1190" s="80" t="str">
        <f>IF(Y1190=0,"",IF(NOT(ISNUMBER(B1190)),"Falta fecha o fecha inválida",IF(D1190="","Falta empresa",IF(AND(D1190&lt;&gt;"Malcolm",D1190&lt;&gt;"proMX"),"Empresa inválida",IF(OR(INT(B1190)&lt;CFG_PSTART,INT(B1190)&gt;CFG_PEND),"Fecha fuera del período",IF(OR(NOT(ISNUMBER(Z1190)),NOT(ISNUMBER(AA1190))),"Falta hora inicio/fin o formato inválido",IF(AB1190=0,"Hora inicio = hora fin",IF(AE1190&lt;0,"Descanso inválido",IF(AE1190&gt;=AD1190,"Descanso ≥ duración",IF(AV1190=1,"Registro duplicado",IF(AZ1190&gt;0,"Se superpone con otro registro "&amp;D1190,IF(BB1190=0,"inicio, fin y duración neta deben ser múltiplos de "&amp;CFG_BLK&amp;" min",""))))))))))))</f>
        <v/>
      </c>
      <c r="BD1190" s="80">
        <f>IF(AND(Y1190=1,BC1190=""),1,0)</f>
        <v>0</v>
      </c>
      <c r="BE1190" s="80">
        <f>IF(AND(BD1190=1,AU1190=1),1,0)</f>
        <v>0</v>
      </c>
      <c r="BF1190" s="80" t="str">
        <f>IF(AND(D1190="proMX",BD1190=1),IF(R1190="","Draft",R1190),"")</f>
        <v/>
      </c>
      <c r="BG1190" s="80">
        <f>IF(BD1190=1,ROUND(AG1190/60,6),0)</f>
        <v>0</v>
      </c>
      <c r="BH1190" s="80">
        <f>IF(BE1190=1,ROUND(AG1190/60,6),0)</f>
        <v>0</v>
      </c>
      <c r="BI1190" s="80">
        <f>IF(BE1190=1,ROUND(AP1190/60,6),0)</f>
        <v>0</v>
      </c>
      <c r="BJ1190" s="80">
        <f>IF(BE1190=1,ROUND(AQ1190/60,6),0)</f>
        <v>0</v>
      </c>
      <c r="BK1190" s="80">
        <f>IF(BE1190=1,ROUND((AR1190+AS1190)/60,6),0)</f>
        <v>0</v>
      </c>
      <c r="BL1190" s="80">
        <f>ROUND(BH1190-BK1190,6)</f>
        <v>0</v>
      </c>
      <c r="BM1190" s="80">
        <f>IF(BE1190=1,ROUND(AR1190/60,6),0)</f>
        <v>0</v>
      </c>
      <c r="BN1190" s="80">
        <f>ROUND(BI1190-BM1190,6)</f>
        <v>0</v>
      </c>
      <c r="BO1190" s="80">
        <f>IF(BE1190=1,ROUND(AS1190/60,6),0)</f>
        <v>0</v>
      </c>
      <c r="BP1190" s="80">
        <f>ROUND(BJ1190-BO1190,6)</f>
        <v>0</v>
      </c>
      <c r="BQ1190" s="80">
        <f>IF(BE1190=1,AW1190,0)</f>
        <v>0</v>
      </c>
      <c r="BR1190" s="80">
        <f>IF(BE1190=1,AX1190,0)</f>
        <v>0</v>
      </c>
      <c r="BS1190" s="80">
        <f>IF(AND(BE1190=1,D1190="Malcolm",BA1190&gt;0),MIN(BH1190,SUMPRODUCT((R_Emp="proMX")*(R_EN&gt;0)*((R_EN-(R_EN&gt;BR1190)*(R_EN-BR1190))&gt;(R_SN+(R_SN&lt;BQ1190)*(BQ1190-R_SN)))*((R_EN-(R_EN&gt;BR1190)*(R_EN-BR1190))-(R_SN+(R_SN&lt;BQ1190)*(BQ1190-R_SN))))/60),0)</f>
        <v>0</v>
      </c>
      <c r="BT1190" s="80">
        <f>IF(AND(BE1190=1,D1190="proMX"),ROUND(BI1190*CFG_RATE+BJ1190*CFG_OTRATE,6),0)</f>
        <v>0</v>
      </c>
      <c r="BU1190" s="80">
        <f>IF(AND(BD1190=1,D1190="proMX"),ROUND(AG1190/CFG_BLK,6),0)</f>
        <v>0</v>
      </c>
      <c r="BV1190" s="80" t="str">
        <f>IF(BF1190="Approved",IF(ISNUMBER(T1190),INT(T1190),INT(B1190)),"")</f>
        <v/>
      </c>
      <c r="BW1190" s="80">
        <f>IF(ISNUMBER(B1190),IF(DB_MON="Todos",1,IF(AND(INT(B1190)&gt;=DB_MS,INT(B1190)&lt;=DB_ME),1,0)),0)</f>
        <v>0</v>
      </c>
      <c r="BX1190" s="80">
        <f>IF(DB_PROJ="Todos",1,IF(E1190&amp;""=DB_PROJ&amp;"",1,0))</f>
        <v>1</v>
      </c>
      <c r="BY1190" s="80">
        <f>BW1190*BX1190</f>
        <v>0</v>
      </c>
      <c r="BZ1190" s="80" t="str">
        <f>IF(Y1190=1,F1190&amp;IF(AND(F1190&amp;""&lt;&gt;"",E1190&amp;""&lt;&gt;"")," · ","")&amp;E1190,"")</f>
        <v/>
      </c>
      <c r="CA1190" s="80" t="str">
        <f>IF(AND(BD1190=1,E1190&amp;""&lt;&gt;""),IF(COUNTIFS($E$5:E1189,E1190,$BD$5:BD1189,1)=0,MAX($CA$5:CA1189)+1,""),"")</f>
        <v/>
      </c>
      <c r="CB1190" s="80" t="str">
        <f>IF(AND(BE1190=1,D1190="Malcolm",E1190&amp;""&lt;&gt;""),IF(COUNTIFS($D$5:D1189,"Malcolm",$E$5:E1189,E1190,$BE$5:BE1189,1)=0,MAX($CB$5:CB1189)+1,""),"")</f>
        <v/>
      </c>
      <c r="CC1190" s="80" t="str">
        <f>IF(AND(BD1190=1,D1190="proMX",E1190&amp;""&lt;&gt;""),IF(COUNTIFS($D$5:D1189,"proMX",$E$5:E1189,E1190,$BD$5:BD1189,1)=0,MAX($CC$5:CC1189)+1,""),"")</f>
        <v/>
      </c>
      <c r="CD1190" s="80" t="str">
        <f>IF(AND(BE1190=1,D1190="Malcolm",F1190&amp;""&lt;&gt;""),IF(COUNTIFS($D$5:D1189,"Malcolm",$F$5:F1189,F1190,$BE$5:BE1189,1)=0,MAX($CD$5:CD1189)+1,""),"")</f>
        <v/>
      </c>
      <c r="CE1190" s="80" t="str">
        <f>IF(AND(BD1190=1,D1190="proMX",F1190&amp;""&lt;&gt;""),IF(COUNTIFS($D$5:D1189,"proMX",$F$5:F1189,F1190,$BD$5:BD1189,1)=0,MAX($CE$5:CE1189)+1,""),"")</f>
        <v/>
      </c>
      <c r="CF1190" s="80" t="str">
        <f>IF(AND(D1190="proMX",BD1190=1),IF(OR(BF1190="Draft",BF1190="Submitted",BF1190="Returned",BF1190="Recall Requested"),MAX($CF$5:CF1189)+1,""),"")</f>
        <v/>
      </c>
      <c r="CG1190" s="80">
        <f>IF(BD1190=0,0,IF(D1190="Malcolm",1,MATCH(BF1190,{"Draft","Submitted","Approved","Returned","Recall Requested","Cancelled"},0)+1))</f>
        <v>0</v>
      </c>
      <c r="CH1190" s="80">
        <f>IF(AND(BF1190="Submitted",ISNUMBER(V1190)),IF(V1190&gt;CFG_MAXD,1,0),0)</f>
        <v>0</v>
      </c>
    </row>
    <row r="1191">
      <c r="A1191" s="71" t="str">
        <f>IF(Y1191=1,ROW()-5,"")</f>
        <v/>
      </c>
      <c r="B1191" s="72" t="n"/>
      <c r="C1191" s="71" t="str">
        <f>IF(ISNUMBER(B1191),CHOOSE(WEEKDAY(B1191,2),"Lun","Mar","Mié","Jue","Vie","Sáb","Dom"),"")</f>
        <v/>
      </c>
      <c r="D1191" s="73" t="n"/>
      <c r="E1191" s="74" t="n"/>
      <c r="F1191" s="74" t="n"/>
      <c r="G1191" s="74" t="n"/>
      <c r="H1191" s="75" t="n"/>
      <c r="I1191" s="75" t="n"/>
      <c r="J1191" s="76" t="n"/>
      <c r="K1191" s="77" t="str">
        <f>IF(AB1191=1,ROUND(AG1191/60,4),"")</f>
        <v/>
      </c>
      <c r="L1191" s="77" t="str">
        <f>IF(BD1191=1,ROUND(AP1191/60,4),"")</f>
        <v/>
      </c>
      <c r="M1191" s="77" t="str">
        <f>IF(BD1191=1,ROUND(AQ1191/60,4),"")</f>
        <v/>
      </c>
      <c r="N1191" s="71" t="str">
        <f>IF(AND(D1191="proMX",AB1191=1),ROUND(AG1191/CFG_BLK,2),"")</f>
        <v/>
      </c>
      <c r="O1191" s="77" t="str">
        <f>IF(D1191="proMX",IF(BD1191=1,ROUND(AG1191/60,4),0),"")</f>
        <v/>
      </c>
      <c r="P1191" s="78" t="str">
        <f>IF(Y1191=0,"",IF(BD1191=1,"OK",IF(D1191="proMX","Revisar bloques: ","Revisar: ")&amp;BC1191))</f>
        <v/>
      </c>
      <c r="Q1191" s="78" t="str">
        <f>IF(NOT(ISNUMBER(B1191)),"",IF(COUNTIFS(FER_F,INT(B1191))&gt;0,"Feriado"&amp;IF(AH1191=1," (laborable)"," (no laborable)"),IF(AH1191=1,"Laborable",IF(WEEKDAY(B1191,2)&gt;5,"Fin de semana","No laborable"))))</f>
        <v/>
      </c>
      <c r="R1191" s="73" t="n"/>
      <c r="S1191" s="72" t="n"/>
      <c r="T1191" s="72" t="n"/>
      <c r="U1191" s="74" t="n"/>
      <c r="V1191" s="79" t="str">
        <f>IF(AND(D1191="proMX",OR(R1191="Submitted",R1191="Recall Requested"),ISNUMBER(S1191)),CFG_TODAY-INT(S1191),"")</f>
        <v/>
      </c>
      <c r="W1191" s="78" t="str">
        <f>IF(BD1191=0,"",IF(BA1191&gt;0,"⚠ Se superpone con un registro de la otra empresa",IF(D1191="Malcolm",IF(COUNTA(R1191,S1191,T1191)&gt;0,"Estado/fechas proMX se ignoran en Malcolm",""),IF(BF1191="Cancelled","Cancelado: excluido de totales",IF(R1191="","Sin estado: se trata como Draft",IF(BF1191="Submitted",IF(ISNUMBER(V1191),IF(V1191&gt;CFG_MAXD,"⚠ "&amp;V1191&amp;" días en Submitted (máx. "&amp;CFG_MAXD&amp;")",""),"Falta fecha de envío"),IF(BF1191="Returned","⚠ Devuelto: corregir y reenviar",IF(BF1191="Recall Requested","Retirada solicitada: pendiente",IF(AND(BF1191="Approved",NOT(ISNUMBER(T1191))),"Falta fecha de aprobación",IF(AND(ISNUMBER(S1191),ISNUMBER(T1191),T1191&lt;S1191),"Aprobación anterior al envío","")))))))))</f>
        <v/>
      </c>
      <c r="Y1191" s="80">
        <f>IF(COUNTA(B1191,D1191,E1191,F1191,G1191,H1191,I1191,J1191,R1191,S1191,T1191)&gt;0,1,0)</f>
        <v>0</v>
      </c>
      <c r="Z1191" s="80" t="str">
        <f>IF(AND(ISNUMBER(H1191),H1191&gt;=0,H1191&lt;1),ROUND(H1191*1440,0),"")</f>
        <v/>
      </c>
      <c r="AA1191" s="80" t="str">
        <f>IF(AND(ISNUMBER(I1191),I1191&gt;=0,I1191&lt;1),ROUND(I1191*1440,0),"")</f>
        <v/>
      </c>
      <c r="AB1191" s="80">
        <f>IF(AND(ISNUMBER(B1191),D1191&lt;&gt;"",ISNUMBER(Z1191),ISNUMBER(AA1191)),IF(Z1191=AA1191,0,1),0)</f>
        <v>0</v>
      </c>
      <c r="AC1191" s="80">
        <f>IF(AB1191=1,IF(AA1191&lt;Z1191,1,0),0)</f>
        <v>0</v>
      </c>
      <c r="AD1191" s="80">
        <f>IF(AB1191=1,IF(AC1191=1,1440-Z1191+AA1191,AA1191-Z1191),0)</f>
        <v>0</v>
      </c>
      <c r="AE1191" s="80">
        <f>IF(J1191="",0,IF(ISNUMBER(J1191),J1191,-1))</f>
        <v>0</v>
      </c>
      <c r="AF1191" s="80">
        <f>MIN(MAX(0,AE1191),AD1191)</f>
        <v>0</v>
      </c>
      <c r="AG1191" s="80">
        <f>MAX(0,AD1191-MAX(0,AE1191))</f>
        <v>0</v>
      </c>
      <c r="AH1191" s="80">
        <f>IF(ISNUMBER(B1191),IF(AND(INDEX(CFG_WDAYS,WEEKDAY(INT(B1191),2))="Sí",IF(D1191="proMX",COUNTIFS(FER_F,INT(B1191),FER_NLP,"Sí"),COUNTIFS(FER_F,INT(B1191),FER_NLM,"Sí"))=0),1,0),0)</f>
        <v>0</v>
      </c>
      <c r="AI1191" s="80">
        <f>IF(AC1191=1,IF(AND(INDEX(CFG_WDAYS,WEEKDAY(INT(B1191)+1,2))="Sí",IF(D1191="proMX",COUNTIFS(FER_F,INT(B1191)+1,FER_NLP,"Sí"),COUNTIFS(FER_F,INT(B1191)+1,FER_NLM,"Sí"))=0),1,0),0)</f>
        <v>0</v>
      </c>
      <c r="AJ1191" s="80">
        <f>IF(AC1191=1,1440-Z1191,AD1191)</f>
        <v>0</v>
      </c>
      <c r="AK1191" s="80">
        <f>IF(AND(AB1191=1,AH1191=1),MAX(0,MIN(IF(AC1191=1,1440,AA1191),CFG_WEM)-MAX(Z1191,CFG_WSM)),0)</f>
        <v>0</v>
      </c>
      <c r="AL1191" s="80">
        <f>IF(AND(AC1191=1,AI1191=1),MAX(0,MIN(AA1191,CFG_WEM)-CFG_WSM),0)</f>
        <v>0</v>
      </c>
      <c r="AM1191" s="80">
        <f>AK1191+AL1191</f>
        <v>0</v>
      </c>
      <c r="AN1191" s="80">
        <f>IF(CFG_BRK="Proporcional",IF(AD1191=0,0,AF1191*AM1191/AD1191),IF(CFG_BRK="Extras primero",MIN(AM1191,MAX(0,AF1191-(AD1191-AM1191))),MIN(AF1191,AM1191)))</f>
        <v>0</v>
      </c>
      <c r="AO1191" s="80">
        <f>AF1191-AN1191</f>
        <v>0</v>
      </c>
      <c r="AP1191" s="80">
        <f>AM1191-AN1191</f>
        <v>0</v>
      </c>
      <c r="AQ1191" s="80">
        <f>AD1191-AM1191-AO1191</f>
        <v>0</v>
      </c>
      <c r="AR1191" s="80">
        <f>IF(AM1191=0,0,AK1191-AN1191*AK1191/AM1191)</f>
        <v>0</v>
      </c>
      <c r="AS1191" s="80">
        <f>IF(AD1191-AM1191=0,0,(AJ1191-AK1191)-AO1191*(AJ1191-AK1191)/(AD1191-AM1191))</f>
        <v>0</v>
      </c>
      <c r="AT1191" s="80" t="str">
        <f>IF(AC1191=1,INT(B1191)+1,"")</f>
        <v/>
      </c>
      <c r="AU1191" s="80">
        <f>IF(AND(D1191="proMX",R1191="Cancelled"),0,1)</f>
        <v>1</v>
      </c>
      <c r="AV1191" s="80">
        <f>IF(AND(AB1191=1,AU1191=1),IF(COUNTIFS($D$5:D1190,D1191,$B$5:B1190,B1191,$Z$5:Z1190,Z1191,$AA$5:AA1190,AA1191,$F$5:F1190,F1191&amp;"",$AU$5:AU1190,1)&gt;0,1,0),0)</f>
        <v>0</v>
      </c>
      <c r="AW1191" s="80" t="str">
        <f>IF(AB1191=1,INT(B1191)*1440+Z1191,"")</f>
        <v/>
      </c>
      <c r="AX1191" s="80" t="str">
        <f>IF(AB1191=1,AW1191+AD1191,"")</f>
        <v/>
      </c>
      <c r="AY1191" s="80">
        <f>IF(AND(AB1191=1,AV1191=0,AU1191=1),1,0)</f>
        <v>0</v>
      </c>
      <c r="AZ1191" s="80">
        <f>IF(AY1191=1,COUNTIFS(R_Emp,D1191,R_SAbs,"&lt;"&amp;AX1191,R_EAbs,"&gt;"&amp;AW1191,R_OKey,1)-1,0)</f>
        <v>0</v>
      </c>
      <c r="BA1191" s="80">
        <f>IF(AY1191=1,COUNTIFS(R_Emp,"&lt;&gt;"&amp;D1191,R_SAbs,"&lt;"&amp;AX1191,R_EAbs,"&gt;"&amp;AW1191,R_OKey,1),0)</f>
        <v>0</v>
      </c>
      <c r="BB1191" s="80">
        <f>IF(AND(AB1191=1,D1191="proMX"),IF(AND(MOD(Z1191,CFG_BLK)=0,MOD(AA1191,CFG_BLK)=0,MOD(AG1191,CFG_BLK)=0,AG1191&gt;0),1,0),1)</f>
        <v>1</v>
      </c>
      <c r="BC1191" s="80" t="str">
        <f>IF(Y1191=0,"",IF(NOT(ISNUMBER(B1191)),"Falta fecha o fecha inválida",IF(D1191="","Falta empresa",IF(AND(D1191&lt;&gt;"Malcolm",D1191&lt;&gt;"proMX"),"Empresa inválida",IF(OR(INT(B1191)&lt;CFG_PSTART,INT(B1191)&gt;CFG_PEND),"Fecha fuera del período",IF(OR(NOT(ISNUMBER(Z1191)),NOT(ISNUMBER(AA1191))),"Falta hora inicio/fin o formato inválido",IF(AB1191=0,"Hora inicio = hora fin",IF(AE1191&lt;0,"Descanso inválido",IF(AE1191&gt;=AD1191,"Descanso ≥ duración",IF(AV1191=1,"Registro duplicado",IF(AZ1191&gt;0,"Se superpone con otro registro "&amp;D1191,IF(BB1191=0,"inicio, fin y duración neta deben ser múltiplos de "&amp;CFG_BLK&amp;" min",""))))))))))))</f>
        <v/>
      </c>
      <c r="BD1191" s="80">
        <f>IF(AND(Y1191=1,BC1191=""),1,0)</f>
        <v>0</v>
      </c>
      <c r="BE1191" s="80">
        <f>IF(AND(BD1191=1,AU1191=1),1,0)</f>
        <v>0</v>
      </c>
      <c r="BF1191" s="80" t="str">
        <f>IF(AND(D1191="proMX",BD1191=1),IF(R1191="","Draft",R1191),"")</f>
        <v/>
      </c>
      <c r="BG1191" s="80">
        <f>IF(BD1191=1,ROUND(AG1191/60,6),0)</f>
        <v>0</v>
      </c>
      <c r="BH1191" s="80">
        <f>IF(BE1191=1,ROUND(AG1191/60,6),0)</f>
        <v>0</v>
      </c>
      <c r="BI1191" s="80">
        <f>IF(BE1191=1,ROUND(AP1191/60,6),0)</f>
        <v>0</v>
      </c>
      <c r="BJ1191" s="80">
        <f>IF(BE1191=1,ROUND(AQ1191/60,6),0)</f>
        <v>0</v>
      </c>
      <c r="BK1191" s="80">
        <f>IF(BE1191=1,ROUND((AR1191+AS1191)/60,6),0)</f>
        <v>0</v>
      </c>
      <c r="BL1191" s="80">
        <f>ROUND(BH1191-BK1191,6)</f>
        <v>0</v>
      </c>
      <c r="BM1191" s="80">
        <f>IF(BE1191=1,ROUND(AR1191/60,6),0)</f>
        <v>0</v>
      </c>
      <c r="BN1191" s="80">
        <f>ROUND(BI1191-BM1191,6)</f>
        <v>0</v>
      </c>
      <c r="BO1191" s="80">
        <f>IF(BE1191=1,ROUND(AS1191/60,6),0)</f>
        <v>0</v>
      </c>
      <c r="BP1191" s="80">
        <f>ROUND(BJ1191-BO1191,6)</f>
        <v>0</v>
      </c>
      <c r="BQ1191" s="80">
        <f>IF(BE1191=1,AW1191,0)</f>
        <v>0</v>
      </c>
      <c r="BR1191" s="80">
        <f>IF(BE1191=1,AX1191,0)</f>
        <v>0</v>
      </c>
      <c r="BS1191" s="80">
        <f>IF(AND(BE1191=1,D1191="Malcolm",BA1191&gt;0),MIN(BH1191,SUMPRODUCT((R_Emp="proMX")*(R_EN&gt;0)*((R_EN-(R_EN&gt;BR1191)*(R_EN-BR1191))&gt;(R_SN+(R_SN&lt;BQ1191)*(BQ1191-R_SN)))*((R_EN-(R_EN&gt;BR1191)*(R_EN-BR1191))-(R_SN+(R_SN&lt;BQ1191)*(BQ1191-R_SN))))/60),0)</f>
        <v>0</v>
      </c>
      <c r="BT1191" s="80">
        <f>IF(AND(BE1191=1,D1191="proMX"),ROUND(BI1191*CFG_RATE+BJ1191*CFG_OTRATE,6),0)</f>
        <v>0</v>
      </c>
      <c r="BU1191" s="80">
        <f>IF(AND(BD1191=1,D1191="proMX"),ROUND(AG1191/CFG_BLK,6),0)</f>
        <v>0</v>
      </c>
      <c r="BV1191" s="80" t="str">
        <f>IF(BF1191="Approved",IF(ISNUMBER(T1191),INT(T1191),INT(B1191)),"")</f>
        <v/>
      </c>
      <c r="BW1191" s="80">
        <f>IF(ISNUMBER(B1191),IF(DB_MON="Todos",1,IF(AND(INT(B1191)&gt;=DB_MS,INT(B1191)&lt;=DB_ME),1,0)),0)</f>
        <v>0</v>
      </c>
      <c r="BX1191" s="80">
        <f>IF(DB_PROJ="Todos",1,IF(E1191&amp;""=DB_PROJ&amp;"",1,0))</f>
        <v>1</v>
      </c>
      <c r="BY1191" s="80">
        <f>BW1191*BX1191</f>
        <v>0</v>
      </c>
      <c r="BZ1191" s="80" t="str">
        <f>IF(Y1191=1,F1191&amp;IF(AND(F1191&amp;""&lt;&gt;"",E1191&amp;""&lt;&gt;"")," · ","")&amp;E1191,"")</f>
        <v/>
      </c>
      <c r="CA1191" s="80" t="str">
        <f>IF(AND(BD1191=1,E1191&amp;""&lt;&gt;""),IF(COUNTIFS($E$5:E1190,E1191,$BD$5:BD1190,1)=0,MAX($CA$5:CA1190)+1,""),"")</f>
        <v/>
      </c>
      <c r="CB1191" s="80" t="str">
        <f>IF(AND(BE1191=1,D1191="Malcolm",E1191&amp;""&lt;&gt;""),IF(COUNTIFS($D$5:D1190,"Malcolm",$E$5:E1190,E1191,$BE$5:BE1190,1)=0,MAX($CB$5:CB1190)+1,""),"")</f>
        <v/>
      </c>
      <c r="CC1191" s="80" t="str">
        <f>IF(AND(BD1191=1,D1191="proMX",E1191&amp;""&lt;&gt;""),IF(COUNTIFS($D$5:D1190,"proMX",$E$5:E1190,E1191,$BD$5:BD1190,1)=0,MAX($CC$5:CC1190)+1,""),"")</f>
        <v/>
      </c>
      <c r="CD1191" s="80" t="str">
        <f>IF(AND(BE1191=1,D1191="Malcolm",F1191&amp;""&lt;&gt;""),IF(COUNTIFS($D$5:D1190,"Malcolm",$F$5:F1190,F1191,$BE$5:BE1190,1)=0,MAX($CD$5:CD1190)+1,""),"")</f>
        <v/>
      </c>
      <c r="CE1191" s="80" t="str">
        <f>IF(AND(BD1191=1,D1191="proMX",F1191&amp;""&lt;&gt;""),IF(COUNTIFS($D$5:D1190,"proMX",$F$5:F1190,F1191,$BD$5:BD1190,1)=0,MAX($CE$5:CE1190)+1,""),"")</f>
        <v/>
      </c>
      <c r="CF1191" s="80" t="str">
        <f>IF(AND(D1191="proMX",BD1191=1),IF(OR(BF1191="Draft",BF1191="Submitted",BF1191="Returned",BF1191="Recall Requested"),MAX($CF$5:CF1190)+1,""),"")</f>
        <v/>
      </c>
      <c r="CG1191" s="80">
        <f>IF(BD1191=0,0,IF(D1191="Malcolm",1,MATCH(BF1191,{"Draft","Submitted","Approved","Returned","Recall Requested","Cancelled"},0)+1))</f>
        <v>0</v>
      </c>
      <c r="CH1191" s="80">
        <f>IF(AND(BF1191="Submitted",ISNUMBER(V1191)),IF(V1191&gt;CFG_MAXD,1,0),0)</f>
        <v>0</v>
      </c>
    </row>
    <row r="1192">
      <c r="A1192" s="71" t="str">
        <f>IF(Y1192=1,ROW()-5,"")</f>
        <v/>
      </c>
      <c r="B1192" s="72" t="n"/>
      <c r="C1192" s="71" t="str">
        <f>IF(ISNUMBER(B1192),CHOOSE(WEEKDAY(B1192,2),"Lun","Mar","Mié","Jue","Vie","Sáb","Dom"),"")</f>
        <v/>
      </c>
      <c r="D1192" s="73" t="n"/>
      <c r="E1192" s="74" t="n"/>
      <c r="F1192" s="74" t="n"/>
      <c r="G1192" s="74" t="n"/>
      <c r="H1192" s="75" t="n"/>
      <c r="I1192" s="75" t="n"/>
      <c r="J1192" s="76" t="n"/>
      <c r="K1192" s="77" t="str">
        <f>IF(AB1192=1,ROUND(AG1192/60,4),"")</f>
        <v/>
      </c>
      <c r="L1192" s="77" t="str">
        <f>IF(BD1192=1,ROUND(AP1192/60,4),"")</f>
        <v/>
      </c>
      <c r="M1192" s="77" t="str">
        <f>IF(BD1192=1,ROUND(AQ1192/60,4),"")</f>
        <v/>
      </c>
      <c r="N1192" s="71" t="str">
        <f>IF(AND(D1192="proMX",AB1192=1),ROUND(AG1192/CFG_BLK,2),"")</f>
        <v/>
      </c>
      <c r="O1192" s="77" t="str">
        <f>IF(D1192="proMX",IF(BD1192=1,ROUND(AG1192/60,4),0),"")</f>
        <v/>
      </c>
      <c r="P1192" s="78" t="str">
        <f>IF(Y1192=0,"",IF(BD1192=1,"OK",IF(D1192="proMX","Revisar bloques: ","Revisar: ")&amp;BC1192))</f>
        <v/>
      </c>
      <c r="Q1192" s="78" t="str">
        <f>IF(NOT(ISNUMBER(B1192)),"",IF(COUNTIFS(FER_F,INT(B1192))&gt;0,"Feriado"&amp;IF(AH1192=1," (laborable)"," (no laborable)"),IF(AH1192=1,"Laborable",IF(WEEKDAY(B1192,2)&gt;5,"Fin de semana","No laborable"))))</f>
        <v/>
      </c>
      <c r="R1192" s="73" t="n"/>
      <c r="S1192" s="72" t="n"/>
      <c r="T1192" s="72" t="n"/>
      <c r="U1192" s="74" t="n"/>
      <c r="V1192" s="79" t="str">
        <f>IF(AND(D1192="proMX",OR(R1192="Submitted",R1192="Recall Requested"),ISNUMBER(S1192)),CFG_TODAY-INT(S1192),"")</f>
        <v/>
      </c>
      <c r="W1192" s="78" t="str">
        <f>IF(BD1192=0,"",IF(BA1192&gt;0,"⚠ Se superpone con un registro de la otra empresa",IF(D1192="Malcolm",IF(COUNTA(R1192,S1192,T1192)&gt;0,"Estado/fechas proMX se ignoran en Malcolm",""),IF(BF1192="Cancelled","Cancelado: excluido de totales",IF(R1192="","Sin estado: se trata como Draft",IF(BF1192="Submitted",IF(ISNUMBER(V1192),IF(V1192&gt;CFG_MAXD,"⚠ "&amp;V1192&amp;" días en Submitted (máx. "&amp;CFG_MAXD&amp;")",""),"Falta fecha de envío"),IF(BF1192="Returned","⚠ Devuelto: corregir y reenviar",IF(BF1192="Recall Requested","Retirada solicitada: pendiente",IF(AND(BF1192="Approved",NOT(ISNUMBER(T1192))),"Falta fecha de aprobación",IF(AND(ISNUMBER(S1192),ISNUMBER(T1192),T1192&lt;S1192),"Aprobación anterior al envío","")))))))))</f>
        <v/>
      </c>
      <c r="Y1192" s="80">
        <f>IF(COUNTA(B1192,D1192,E1192,F1192,G1192,H1192,I1192,J1192,R1192,S1192,T1192)&gt;0,1,0)</f>
        <v>0</v>
      </c>
      <c r="Z1192" s="80" t="str">
        <f>IF(AND(ISNUMBER(H1192),H1192&gt;=0,H1192&lt;1),ROUND(H1192*1440,0),"")</f>
        <v/>
      </c>
      <c r="AA1192" s="80" t="str">
        <f>IF(AND(ISNUMBER(I1192),I1192&gt;=0,I1192&lt;1),ROUND(I1192*1440,0),"")</f>
        <v/>
      </c>
      <c r="AB1192" s="80">
        <f>IF(AND(ISNUMBER(B1192),D1192&lt;&gt;"",ISNUMBER(Z1192),ISNUMBER(AA1192)),IF(Z1192=AA1192,0,1),0)</f>
        <v>0</v>
      </c>
      <c r="AC1192" s="80">
        <f>IF(AB1192=1,IF(AA1192&lt;Z1192,1,0),0)</f>
        <v>0</v>
      </c>
      <c r="AD1192" s="80">
        <f>IF(AB1192=1,IF(AC1192=1,1440-Z1192+AA1192,AA1192-Z1192),0)</f>
        <v>0</v>
      </c>
      <c r="AE1192" s="80">
        <f>IF(J1192="",0,IF(ISNUMBER(J1192),J1192,-1))</f>
        <v>0</v>
      </c>
      <c r="AF1192" s="80">
        <f>MIN(MAX(0,AE1192),AD1192)</f>
        <v>0</v>
      </c>
      <c r="AG1192" s="80">
        <f>MAX(0,AD1192-MAX(0,AE1192))</f>
        <v>0</v>
      </c>
      <c r="AH1192" s="80">
        <f>IF(ISNUMBER(B1192),IF(AND(INDEX(CFG_WDAYS,WEEKDAY(INT(B1192),2))="Sí",IF(D1192="proMX",COUNTIFS(FER_F,INT(B1192),FER_NLP,"Sí"),COUNTIFS(FER_F,INT(B1192),FER_NLM,"Sí"))=0),1,0),0)</f>
        <v>0</v>
      </c>
      <c r="AI1192" s="80">
        <f>IF(AC1192=1,IF(AND(INDEX(CFG_WDAYS,WEEKDAY(INT(B1192)+1,2))="Sí",IF(D1192="proMX",COUNTIFS(FER_F,INT(B1192)+1,FER_NLP,"Sí"),COUNTIFS(FER_F,INT(B1192)+1,FER_NLM,"Sí"))=0),1,0),0)</f>
        <v>0</v>
      </c>
      <c r="AJ1192" s="80">
        <f>IF(AC1192=1,1440-Z1192,AD1192)</f>
        <v>0</v>
      </c>
      <c r="AK1192" s="80">
        <f>IF(AND(AB1192=1,AH1192=1),MAX(0,MIN(IF(AC1192=1,1440,AA1192),CFG_WEM)-MAX(Z1192,CFG_WSM)),0)</f>
        <v>0</v>
      </c>
      <c r="AL1192" s="80">
        <f>IF(AND(AC1192=1,AI1192=1),MAX(0,MIN(AA1192,CFG_WEM)-CFG_WSM),0)</f>
        <v>0</v>
      </c>
      <c r="AM1192" s="80">
        <f>AK1192+AL1192</f>
        <v>0</v>
      </c>
      <c r="AN1192" s="80">
        <f>IF(CFG_BRK="Proporcional",IF(AD1192=0,0,AF1192*AM1192/AD1192),IF(CFG_BRK="Extras primero",MIN(AM1192,MAX(0,AF1192-(AD1192-AM1192))),MIN(AF1192,AM1192)))</f>
        <v>0</v>
      </c>
      <c r="AO1192" s="80">
        <f>AF1192-AN1192</f>
        <v>0</v>
      </c>
      <c r="AP1192" s="80">
        <f>AM1192-AN1192</f>
        <v>0</v>
      </c>
      <c r="AQ1192" s="80">
        <f>AD1192-AM1192-AO1192</f>
        <v>0</v>
      </c>
      <c r="AR1192" s="80">
        <f>IF(AM1192=0,0,AK1192-AN1192*AK1192/AM1192)</f>
        <v>0</v>
      </c>
      <c r="AS1192" s="80">
        <f>IF(AD1192-AM1192=0,0,(AJ1192-AK1192)-AO1192*(AJ1192-AK1192)/(AD1192-AM1192))</f>
        <v>0</v>
      </c>
      <c r="AT1192" s="80" t="str">
        <f>IF(AC1192=1,INT(B1192)+1,"")</f>
        <v/>
      </c>
      <c r="AU1192" s="80">
        <f>IF(AND(D1192="proMX",R1192="Cancelled"),0,1)</f>
        <v>1</v>
      </c>
      <c r="AV1192" s="80">
        <f>IF(AND(AB1192=1,AU1192=1),IF(COUNTIFS($D$5:D1191,D1192,$B$5:B1191,B1192,$Z$5:Z1191,Z1192,$AA$5:AA1191,AA1192,$F$5:F1191,F1192&amp;"",$AU$5:AU1191,1)&gt;0,1,0),0)</f>
        <v>0</v>
      </c>
      <c r="AW1192" s="80" t="str">
        <f>IF(AB1192=1,INT(B1192)*1440+Z1192,"")</f>
        <v/>
      </c>
      <c r="AX1192" s="80" t="str">
        <f>IF(AB1192=1,AW1192+AD1192,"")</f>
        <v/>
      </c>
      <c r="AY1192" s="80">
        <f>IF(AND(AB1192=1,AV1192=0,AU1192=1),1,0)</f>
        <v>0</v>
      </c>
      <c r="AZ1192" s="80">
        <f>IF(AY1192=1,COUNTIFS(R_Emp,D1192,R_SAbs,"&lt;"&amp;AX1192,R_EAbs,"&gt;"&amp;AW1192,R_OKey,1)-1,0)</f>
        <v>0</v>
      </c>
      <c r="BA1192" s="80">
        <f>IF(AY1192=1,COUNTIFS(R_Emp,"&lt;&gt;"&amp;D1192,R_SAbs,"&lt;"&amp;AX1192,R_EAbs,"&gt;"&amp;AW1192,R_OKey,1),0)</f>
        <v>0</v>
      </c>
      <c r="BB1192" s="80">
        <f>IF(AND(AB1192=1,D1192="proMX"),IF(AND(MOD(Z1192,CFG_BLK)=0,MOD(AA1192,CFG_BLK)=0,MOD(AG1192,CFG_BLK)=0,AG1192&gt;0),1,0),1)</f>
        <v>1</v>
      </c>
      <c r="BC1192" s="80" t="str">
        <f>IF(Y1192=0,"",IF(NOT(ISNUMBER(B1192)),"Falta fecha o fecha inválida",IF(D1192="","Falta empresa",IF(AND(D1192&lt;&gt;"Malcolm",D1192&lt;&gt;"proMX"),"Empresa inválida",IF(OR(INT(B1192)&lt;CFG_PSTART,INT(B1192)&gt;CFG_PEND),"Fecha fuera del período",IF(OR(NOT(ISNUMBER(Z1192)),NOT(ISNUMBER(AA1192))),"Falta hora inicio/fin o formato inválido",IF(AB1192=0,"Hora inicio = hora fin",IF(AE1192&lt;0,"Descanso inválido",IF(AE1192&gt;=AD1192,"Descanso ≥ duración",IF(AV1192=1,"Registro duplicado",IF(AZ1192&gt;0,"Se superpone con otro registro "&amp;D1192,IF(BB1192=0,"inicio, fin y duración neta deben ser múltiplos de "&amp;CFG_BLK&amp;" min",""))))))))))))</f>
        <v/>
      </c>
      <c r="BD1192" s="80">
        <f>IF(AND(Y1192=1,BC1192=""),1,0)</f>
        <v>0</v>
      </c>
      <c r="BE1192" s="80">
        <f>IF(AND(BD1192=1,AU1192=1),1,0)</f>
        <v>0</v>
      </c>
      <c r="BF1192" s="80" t="str">
        <f>IF(AND(D1192="proMX",BD1192=1),IF(R1192="","Draft",R1192),"")</f>
        <v/>
      </c>
      <c r="BG1192" s="80">
        <f>IF(BD1192=1,ROUND(AG1192/60,6),0)</f>
        <v>0</v>
      </c>
      <c r="BH1192" s="80">
        <f>IF(BE1192=1,ROUND(AG1192/60,6),0)</f>
        <v>0</v>
      </c>
      <c r="BI1192" s="80">
        <f>IF(BE1192=1,ROUND(AP1192/60,6),0)</f>
        <v>0</v>
      </c>
      <c r="BJ1192" s="80">
        <f>IF(BE1192=1,ROUND(AQ1192/60,6),0)</f>
        <v>0</v>
      </c>
      <c r="BK1192" s="80">
        <f>IF(BE1192=1,ROUND((AR1192+AS1192)/60,6),0)</f>
        <v>0</v>
      </c>
      <c r="BL1192" s="80">
        <f>ROUND(BH1192-BK1192,6)</f>
        <v>0</v>
      </c>
      <c r="BM1192" s="80">
        <f>IF(BE1192=1,ROUND(AR1192/60,6),0)</f>
        <v>0</v>
      </c>
      <c r="BN1192" s="80">
        <f>ROUND(BI1192-BM1192,6)</f>
        <v>0</v>
      </c>
      <c r="BO1192" s="80">
        <f>IF(BE1192=1,ROUND(AS1192/60,6),0)</f>
        <v>0</v>
      </c>
      <c r="BP1192" s="80">
        <f>ROUND(BJ1192-BO1192,6)</f>
        <v>0</v>
      </c>
      <c r="BQ1192" s="80">
        <f>IF(BE1192=1,AW1192,0)</f>
        <v>0</v>
      </c>
      <c r="BR1192" s="80">
        <f>IF(BE1192=1,AX1192,0)</f>
        <v>0</v>
      </c>
      <c r="BS1192" s="80">
        <f>IF(AND(BE1192=1,D1192="Malcolm",BA1192&gt;0),MIN(BH1192,SUMPRODUCT((R_Emp="proMX")*(R_EN&gt;0)*((R_EN-(R_EN&gt;BR1192)*(R_EN-BR1192))&gt;(R_SN+(R_SN&lt;BQ1192)*(BQ1192-R_SN)))*((R_EN-(R_EN&gt;BR1192)*(R_EN-BR1192))-(R_SN+(R_SN&lt;BQ1192)*(BQ1192-R_SN))))/60),0)</f>
        <v>0</v>
      </c>
      <c r="BT1192" s="80">
        <f>IF(AND(BE1192=1,D1192="proMX"),ROUND(BI1192*CFG_RATE+BJ1192*CFG_OTRATE,6),0)</f>
        <v>0</v>
      </c>
      <c r="BU1192" s="80">
        <f>IF(AND(BD1192=1,D1192="proMX"),ROUND(AG1192/CFG_BLK,6),0)</f>
        <v>0</v>
      </c>
      <c r="BV1192" s="80" t="str">
        <f>IF(BF1192="Approved",IF(ISNUMBER(T1192),INT(T1192),INT(B1192)),"")</f>
        <v/>
      </c>
      <c r="BW1192" s="80">
        <f>IF(ISNUMBER(B1192),IF(DB_MON="Todos",1,IF(AND(INT(B1192)&gt;=DB_MS,INT(B1192)&lt;=DB_ME),1,0)),0)</f>
        <v>0</v>
      </c>
      <c r="BX1192" s="80">
        <f>IF(DB_PROJ="Todos",1,IF(E1192&amp;""=DB_PROJ&amp;"",1,0))</f>
        <v>1</v>
      </c>
      <c r="BY1192" s="80">
        <f>BW1192*BX1192</f>
        <v>0</v>
      </c>
      <c r="BZ1192" s="80" t="str">
        <f>IF(Y1192=1,F1192&amp;IF(AND(F1192&amp;""&lt;&gt;"",E1192&amp;""&lt;&gt;"")," · ","")&amp;E1192,"")</f>
        <v/>
      </c>
      <c r="CA1192" s="80" t="str">
        <f>IF(AND(BD1192=1,E1192&amp;""&lt;&gt;""),IF(COUNTIFS($E$5:E1191,E1192,$BD$5:BD1191,1)=0,MAX($CA$5:CA1191)+1,""),"")</f>
        <v/>
      </c>
      <c r="CB1192" s="80" t="str">
        <f>IF(AND(BE1192=1,D1192="Malcolm",E1192&amp;""&lt;&gt;""),IF(COUNTIFS($D$5:D1191,"Malcolm",$E$5:E1191,E1192,$BE$5:BE1191,1)=0,MAX($CB$5:CB1191)+1,""),"")</f>
        <v/>
      </c>
      <c r="CC1192" s="80" t="str">
        <f>IF(AND(BD1192=1,D1192="proMX",E1192&amp;""&lt;&gt;""),IF(COUNTIFS($D$5:D1191,"proMX",$E$5:E1191,E1192,$BD$5:BD1191,1)=0,MAX($CC$5:CC1191)+1,""),"")</f>
        <v/>
      </c>
      <c r="CD1192" s="80" t="str">
        <f>IF(AND(BE1192=1,D1192="Malcolm",F1192&amp;""&lt;&gt;""),IF(COUNTIFS($D$5:D1191,"Malcolm",$F$5:F1191,F1192,$BE$5:BE1191,1)=0,MAX($CD$5:CD1191)+1,""),"")</f>
        <v/>
      </c>
      <c r="CE1192" s="80" t="str">
        <f>IF(AND(BD1192=1,D1192="proMX",F1192&amp;""&lt;&gt;""),IF(COUNTIFS($D$5:D1191,"proMX",$F$5:F1191,F1192,$BD$5:BD1191,1)=0,MAX($CE$5:CE1191)+1,""),"")</f>
        <v/>
      </c>
      <c r="CF1192" s="80" t="str">
        <f>IF(AND(D1192="proMX",BD1192=1),IF(OR(BF1192="Draft",BF1192="Submitted",BF1192="Returned",BF1192="Recall Requested"),MAX($CF$5:CF1191)+1,""),"")</f>
        <v/>
      </c>
      <c r="CG1192" s="80">
        <f>IF(BD1192=0,0,IF(D1192="Malcolm",1,MATCH(BF1192,{"Draft","Submitted","Approved","Returned","Recall Requested","Cancelled"},0)+1))</f>
        <v>0</v>
      </c>
      <c r="CH1192" s="80">
        <f>IF(AND(BF1192="Submitted",ISNUMBER(V1192)),IF(V1192&gt;CFG_MAXD,1,0),0)</f>
        <v>0</v>
      </c>
    </row>
    <row r="1193">
      <c r="A1193" s="71" t="str">
        <f>IF(Y1193=1,ROW()-5,"")</f>
        <v/>
      </c>
      <c r="B1193" s="72" t="n"/>
      <c r="C1193" s="71" t="str">
        <f>IF(ISNUMBER(B1193),CHOOSE(WEEKDAY(B1193,2),"Lun","Mar","Mié","Jue","Vie","Sáb","Dom"),"")</f>
        <v/>
      </c>
      <c r="D1193" s="73" t="n"/>
      <c r="E1193" s="74" t="n"/>
      <c r="F1193" s="74" t="n"/>
      <c r="G1193" s="74" t="n"/>
      <c r="H1193" s="75" t="n"/>
      <c r="I1193" s="75" t="n"/>
      <c r="J1193" s="76" t="n"/>
      <c r="K1193" s="77" t="str">
        <f>IF(AB1193=1,ROUND(AG1193/60,4),"")</f>
        <v/>
      </c>
      <c r="L1193" s="77" t="str">
        <f>IF(BD1193=1,ROUND(AP1193/60,4),"")</f>
        <v/>
      </c>
      <c r="M1193" s="77" t="str">
        <f>IF(BD1193=1,ROUND(AQ1193/60,4),"")</f>
        <v/>
      </c>
      <c r="N1193" s="71" t="str">
        <f>IF(AND(D1193="proMX",AB1193=1),ROUND(AG1193/CFG_BLK,2),"")</f>
        <v/>
      </c>
      <c r="O1193" s="77" t="str">
        <f>IF(D1193="proMX",IF(BD1193=1,ROUND(AG1193/60,4),0),"")</f>
        <v/>
      </c>
      <c r="P1193" s="78" t="str">
        <f>IF(Y1193=0,"",IF(BD1193=1,"OK",IF(D1193="proMX","Revisar bloques: ","Revisar: ")&amp;BC1193))</f>
        <v/>
      </c>
      <c r="Q1193" s="78" t="str">
        <f>IF(NOT(ISNUMBER(B1193)),"",IF(COUNTIFS(FER_F,INT(B1193))&gt;0,"Feriado"&amp;IF(AH1193=1," (laborable)"," (no laborable)"),IF(AH1193=1,"Laborable",IF(WEEKDAY(B1193,2)&gt;5,"Fin de semana","No laborable"))))</f>
        <v/>
      </c>
      <c r="R1193" s="73" t="n"/>
      <c r="S1193" s="72" t="n"/>
      <c r="T1193" s="72" t="n"/>
      <c r="U1193" s="74" t="n"/>
      <c r="V1193" s="79" t="str">
        <f>IF(AND(D1193="proMX",OR(R1193="Submitted",R1193="Recall Requested"),ISNUMBER(S1193)),CFG_TODAY-INT(S1193),"")</f>
        <v/>
      </c>
      <c r="W1193" s="78" t="str">
        <f>IF(BD1193=0,"",IF(BA1193&gt;0,"⚠ Se superpone con un registro de la otra empresa",IF(D1193="Malcolm",IF(COUNTA(R1193,S1193,T1193)&gt;0,"Estado/fechas proMX se ignoran en Malcolm",""),IF(BF1193="Cancelled","Cancelado: excluido de totales",IF(R1193="","Sin estado: se trata como Draft",IF(BF1193="Submitted",IF(ISNUMBER(V1193),IF(V1193&gt;CFG_MAXD,"⚠ "&amp;V1193&amp;" días en Submitted (máx. "&amp;CFG_MAXD&amp;")",""),"Falta fecha de envío"),IF(BF1193="Returned","⚠ Devuelto: corregir y reenviar",IF(BF1193="Recall Requested","Retirada solicitada: pendiente",IF(AND(BF1193="Approved",NOT(ISNUMBER(T1193))),"Falta fecha de aprobación",IF(AND(ISNUMBER(S1193),ISNUMBER(T1193),T1193&lt;S1193),"Aprobación anterior al envío","")))))))))</f>
        <v/>
      </c>
      <c r="Y1193" s="80">
        <f>IF(COUNTA(B1193,D1193,E1193,F1193,G1193,H1193,I1193,J1193,R1193,S1193,T1193)&gt;0,1,0)</f>
        <v>0</v>
      </c>
      <c r="Z1193" s="80" t="str">
        <f>IF(AND(ISNUMBER(H1193),H1193&gt;=0,H1193&lt;1),ROUND(H1193*1440,0),"")</f>
        <v/>
      </c>
      <c r="AA1193" s="80" t="str">
        <f>IF(AND(ISNUMBER(I1193),I1193&gt;=0,I1193&lt;1),ROUND(I1193*1440,0),"")</f>
        <v/>
      </c>
      <c r="AB1193" s="80">
        <f>IF(AND(ISNUMBER(B1193),D1193&lt;&gt;"",ISNUMBER(Z1193),ISNUMBER(AA1193)),IF(Z1193=AA1193,0,1),0)</f>
        <v>0</v>
      </c>
      <c r="AC1193" s="80">
        <f>IF(AB1193=1,IF(AA1193&lt;Z1193,1,0),0)</f>
        <v>0</v>
      </c>
      <c r="AD1193" s="80">
        <f>IF(AB1193=1,IF(AC1193=1,1440-Z1193+AA1193,AA1193-Z1193),0)</f>
        <v>0</v>
      </c>
      <c r="AE1193" s="80">
        <f>IF(J1193="",0,IF(ISNUMBER(J1193),J1193,-1))</f>
        <v>0</v>
      </c>
      <c r="AF1193" s="80">
        <f>MIN(MAX(0,AE1193),AD1193)</f>
        <v>0</v>
      </c>
      <c r="AG1193" s="80">
        <f>MAX(0,AD1193-MAX(0,AE1193))</f>
        <v>0</v>
      </c>
      <c r="AH1193" s="80">
        <f>IF(ISNUMBER(B1193),IF(AND(INDEX(CFG_WDAYS,WEEKDAY(INT(B1193),2))="Sí",IF(D1193="proMX",COUNTIFS(FER_F,INT(B1193),FER_NLP,"Sí"),COUNTIFS(FER_F,INT(B1193),FER_NLM,"Sí"))=0),1,0),0)</f>
        <v>0</v>
      </c>
      <c r="AI1193" s="80">
        <f>IF(AC1193=1,IF(AND(INDEX(CFG_WDAYS,WEEKDAY(INT(B1193)+1,2))="Sí",IF(D1193="proMX",COUNTIFS(FER_F,INT(B1193)+1,FER_NLP,"Sí"),COUNTIFS(FER_F,INT(B1193)+1,FER_NLM,"Sí"))=0),1,0),0)</f>
        <v>0</v>
      </c>
      <c r="AJ1193" s="80">
        <f>IF(AC1193=1,1440-Z1193,AD1193)</f>
        <v>0</v>
      </c>
      <c r="AK1193" s="80">
        <f>IF(AND(AB1193=1,AH1193=1),MAX(0,MIN(IF(AC1193=1,1440,AA1193),CFG_WEM)-MAX(Z1193,CFG_WSM)),0)</f>
        <v>0</v>
      </c>
      <c r="AL1193" s="80">
        <f>IF(AND(AC1193=1,AI1193=1),MAX(0,MIN(AA1193,CFG_WEM)-CFG_WSM),0)</f>
        <v>0</v>
      </c>
      <c r="AM1193" s="80">
        <f>AK1193+AL1193</f>
        <v>0</v>
      </c>
      <c r="AN1193" s="80">
        <f>IF(CFG_BRK="Proporcional",IF(AD1193=0,0,AF1193*AM1193/AD1193),IF(CFG_BRK="Extras primero",MIN(AM1193,MAX(0,AF1193-(AD1193-AM1193))),MIN(AF1193,AM1193)))</f>
        <v>0</v>
      </c>
      <c r="AO1193" s="80">
        <f>AF1193-AN1193</f>
        <v>0</v>
      </c>
      <c r="AP1193" s="80">
        <f>AM1193-AN1193</f>
        <v>0</v>
      </c>
      <c r="AQ1193" s="80">
        <f>AD1193-AM1193-AO1193</f>
        <v>0</v>
      </c>
      <c r="AR1193" s="80">
        <f>IF(AM1193=0,0,AK1193-AN1193*AK1193/AM1193)</f>
        <v>0</v>
      </c>
      <c r="AS1193" s="80">
        <f>IF(AD1193-AM1193=0,0,(AJ1193-AK1193)-AO1193*(AJ1193-AK1193)/(AD1193-AM1193))</f>
        <v>0</v>
      </c>
      <c r="AT1193" s="80" t="str">
        <f>IF(AC1193=1,INT(B1193)+1,"")</f>
        <v/>
      </c>
      <c r="AU1193" s="80">
        <f>IF(AND(D1193="proMX",R1193="Cancelled"),0,1)</f>
        <v>1</v>
      </c>
      <c r="AV1193" s="80">
        <f>IF(AND(AB1193=1,AU1193=1),IF(COUNTIFS($D$5:D1192,D1193,$B$5:B1192,B1193,$Z$5:Z1192,Z1193,$AA$5:AA1192,AA1193,$F$5:F1192,F1193&amp;"",$AU$5:AU1192,1)&gt;0,1,0),0)</f>
        <v>0</v>
      </c>
      <c r="AW1193" s="80" t="str">
        <f>IF(AB1193=1,INT(B1193)*1440+Z1193,"")</f>
        <v/>
      </c>
      <c r="AX1193" s="80" t="str">
        <f>IF(AB1193=1,AW1193+AD1193,"")</f>
        <v/>
      </c>
      <c r="AY1193" s="80">
        <f>IF(AND(AB1193=1,AV1193=0,AU1193=1),1,0)</f>
        <v>0</v>
      </c>
      <c r="AZ1193" s="80">
        <f>IF(AY1193=1,COUNTIFS(R_Emp,D1193,R_SAbs,"&lt;"&amp;AX1193,R_EAbs,"&gt;"&amp;AW1193,R_OKey,1)-1,0)</f>
        <v>0</v>
      </c>
      <c r="BA1193" s="80">
        <f>IF(AY1193=1,COUNTIFS(R_Emp,"&lt;&gt;"&amp;D1193,R_SAbs,"&lt;"&amp;AX1193,R_EAbs,"&gt;"&amp;AW1193,R_OKey,1),0)</f>
        <v>0</v>
      </c>
      <c r="BB1193" s="80">
        <f>IF(AND(AB1193=1,D1193="proMX"),IF(AND(MOD(Z1193,CFG_BLK)=0,MOD(AA1193,CFG_BLK)=0,MOD(AG1193,CFG_BLK)=0,AG1193&gt;0),1,0),1)</f>
        <v>1</v>
      </c>
      <c r="BC1193" s="80" t="str">
        <f>IF(Y1193=0,"",IF(NOT(ISNUMBER(B1193)),"Falta fecha o fecha inválida",IF(D1193="","Falta empresa",IF(AND(D1193&lt;&gt;"Malcolm",D1193&lt;&gt;"proMX"),"Empresa inválida",IF(OR(INT(B1193)&lt;CFG_PSTART,INT(B1193)&gt;CFG_PEND),"Fecha fuera del período",IF(OR(NOT(ISNUMBER(Z1193)),NOT(ISNUMBER(AA1193))),"Falta hora inicio/fin o formato inválido",IF(AB1193=0,"Hora inicio = hora fin",IF(AE1193&lt;0,"Descanso inválido",IF(AE1193&gt;=AD1193,"Descanso ≥ duración",IF(AV1193=1,"Registro duplicado",IF(AZ1193&gt;0,"Se superpone con otro registro "&amp;D1193,IF(BB1193=0,"inicio, fin y duración neta deben ser múltiplos de "&amp;CFG_BLK&amp;" min",""))))))))))))</f>
        <v/>
      </c>
      <c r="BD1193" s="80">
        <f>IF(AND(Y1193=1,BC1193=""),1,0)</f>
        <v>0</v>
      </c>
      <c r="BE1193" s="80">
        <f>IF(AND(BD1193=1,AU1193=1),1,0)</f>
        <v>0</v>
      </c>
      <c r="BF1193" s="80" t="str">
        <f>IF(AND(D1193="proMX",BD1193=1),IF(R1193="","Draft",R1193),"")</f>
        <v/>
      </c>
      <c r="BG1193" s="80">
        <f>IF(BD1193=1,ROUND(AG1193/60,6),0)</f>
        <v>0</v>
      </c>
      <c r="BH1193" s="80">
        <f>IF(BE1193=1,ROUND(AG1193/60,6),0)</f>
        <v>0</v>
      </c>
      <c r="BI1193" s="80">
        <f>IF(BE1193=1,ROUND(AP1193/60,6),0)</f>
        <v>0</v>
      </c>
      <c r="BJ1193" s="80">
        <f>IF(BE1193=1,ROUND(AQ1193/60,6),0)</f>
        <v>0</v>
      </c>
      <c r="BK1193" s="80">
        <f>IF(BE1193=1,ROUND((AR1193+AS1193)/60,6),0)</f>
        <v>0</v>
      </c>
      <c r="BL1193" s="80">
        <f>ROUND(BH1193-BK1193,6)</f>
        <v>0</v>
      </c>
      <c r="BM1193" s="80">
        <f>IF(BE1193=1,ROUND(AR1193/60,6),0)</f>
        <v>0</v>
      </c>
      <c r="BN1193" s="80">
        <f>ROUND(BI1193-BM1193,6)</f>
        <v>0</v>
      </c>
      <c r="BO1193" s="80">
        <f>IF(BE1193=1,ROUND(AS1193/60,6),0)</f>
        <v>0</v>
      </c>
      <c r="BP1193" s="80">
        <f>ROUND(BJ1193-BO1193,6)</f>
        <v>0</v>
      </c>
      <c r="BQ1193" s="80">
        <f>IF(BE1193=1,AW1193,0)</f>
        <v>0</v>
      </c>
      <c r="BR1193" s="80">
        <f>IF(BE1193=1,AX1193,0)</f>
        <v>0</v>
      </c>
      <c r="BS1193" s="80">
        <f>IF(AND(BE1193=1,D1193="Malcolm",BA1193&gt;0),MIN(BH1193,SUMPRODUCT((R_Emp="proMX")*(R_EN&gt;0)*((R_EN-(R_EN&gt;BR1193)*(R_EN-BR1193))&gt;(R_SN+(R_SN&lt;BQ1193)*(BQ1193-R_SN)))*((R_EN-(R_EN&gt;BR1193)*(R_EN-BR1193))-(R_SN+(R_SN&lt;BQ1193)*(BQ1193-R_SN))))/60),0)</f>
        <v>0</v>
      </c>
      <c r="BT1193" s="80">
        <f>IF(AND(BE1193=1,D1193="proMX"),ROUND(BI1193*CFG_RATE+BJ1193*CFG_OTRATE,6),0)</f>
        <v>0</v>
      </c>
      <c r="BU1193" s="80">
        <f>IF(AND(BD1193=1,D1193="proMX"),ROUND(AG1193/CFG_BLK,6),0)</f>
        <v>0</v>
      </c>
      <c r="BV1193" s="80" t="str">
        <f>IF(BF1193="Approved",IF(ISNUMBER(T1193),INT(T1193),INT(B1193)),"")</f>
        <v/>
      </c>
      <c r="BW1193" s="80">
        <f>IF(ISNUMBER(B1193),IF(DB_MON="Todos",1,IF(AND(INT(B1193)&gt;=DB_MS,INT(B1193)&lt;=DB_ME),1,0)),0)</f>
        <v>0</v>
      </c>
      <c r="BX1193" s="80">
        <f>IF(DB_PROJ="Todos",1,IF(E1193&amp;""=DB_PROJ&amp;"",1,0))</f>
        <v>1</v>
      </c>
      <c r="BY1193" s="80">
        <f>BW1193*BX1193</f>
        <v>0</v>
      </c>
      <c r="BZ1193" s="80" t="str">
        <f>IF(Y1193=1,F1193&amp;IF(AND(F1193&amp;""&lt;&gt;"",E1193&amp;""&lt;&gt;"")," · ","")&amp;E1193,"")</f>
        <v/>
      </c>
      <c r="CA1193" s="80" t="str">
        <f>IF(AND(BD1193=1,E1193&amp;""&lt;&gt;""),IF(COUNTIFS($E$5:E1192,E1193,$BD$5:BD1192,1)=0,MAX($CA$5:CA1192)+1,""),"")</f>
        <v/>
      </c>
      <c r="CB1193" s="80" t="str">
        <f>IF(AND(BE1193=1,D1193="Malcolm",E1193&amp;""&lt;&gt;""),IF(COUNTIFS($D$5:D1192,"Malcolm",$E$5:E1192,E1193,$BE$5:BE1192,1)=0,MAX($CB$5:CB1192)+1,""),"")</f>
        <v/>
      </c>
      <c r="CC1193" s="80" t="str">
        <f>IF(AND(BD1193=1,D1193="proMX",E1193&amp;""&lt;&gt;""),IF(COUNTIFS($D$5:D1192,"proMX",$E$5:E1192,E1193,$BD$5:BD1192,1)=0,MAX($CC$5:CC1192)+1,""),"")</f>
        <v/>
      </c>
      <c r="CD1193" s="80" t="str">
        <f>IF(AND(BE1193=1,D1193="Malcolm",F1193&amp;""&lt;&gt;""),IF(COUNTIFS($D$5:D1192,"Malcolm",$F$5:F1192,F1193,$BE$5:BE1192,1)=0,MAX($CD$5:CD1192)+1,""),"")</f>
        <v/>
      </c>
      <c r="CE1193" s="80" t="str">
        <f>IF(AND(BD1193=1,D1193="proMX",F1193&amp;""&lt;&gt;""),IF(COUNTIFS($D$5:D1192,"proMX",$F$5:F1192,F1193,$BD$5:BD1192,1)=0,MAX($CE$5:CE1192)+1,""),"")</f>
        <v/>
      </c>
      <c r="CF1193" s="80" t="str">
        <f>IF(AND(D1193="proMX",BD1193=1),IF(OR(BF1193="Draft",BF1193="Submitted",BF1193="Returned",BF1193="Recall Requested"),MAX($CF$5:CF1192)+1,""),"")</f>
        <v/>
      </c>
      <c r="CG1193" s="80">
        <f>IF(BD1193=0,0,IF(D1193="Malcolm",1,MATCH(BF1193,{"Draft","Submitted","Approved","Returned","Recall Requested","Cancelled"},0)+1))</f>
        <v>0</v>
      </c>
      <c r="CH1193" s="80">
        <f>IF(AND(BF1193="Submitted",ISNUMBER(V1193)),IF(V1193&gt;CFG_MAXD,1,0),0)</f>
        <v>0</v>
      </c>
    </row>
    <row r="1194">
      <c r="A1194" s="71" t="str">
        <f>IF(Y1194=1,ROW()-5,"")</f>
        <v/>
      </c>
      <c r="B1194" s="72" t="n"/>
      <c r="C1194" s="71" t="str">
        <f>IF(ISNUMBER(B1194),CHOOSE(WEEKDAY(B1194,2),"Lun","Mar","Mié","Jue","Vie","Sáb","Dom"),"")</f>
        <v/>
      </c>
      <c r="D1194" s="73" t="n"/>
      <c r="E1194" s="74" t="n"/>
      <c r="F1194" s="74" t="n"/>
      <c r="G1194" s="74" t="n"/>
      <c r="H1194" s="75" t="n"/>
      <c r="I1194" s="75" t="n"/>
      <c r="J1194" s="76" t="n"/>
      <c r="K1194" s="77" t="str">
        <f>IF(AB1194=1,ROUND(AG1194/60,4),"")</f>
        <v/>
      </c>
      <c r="L1194" s="77" t="str">
        <f>IF(BD1194=1,ROUND(AP1194/60,4),"")</f>
        <v/>
      </c>
      <c r="M1194" s="77" t="str">
        <f>IF(BD1194=1,ROUND(AQ1194/60,4),"")</f>
        <v/>
      </c>
      <c r="N1194" s="71" t="str">
        <f>IF(AND(D1194="proMX",AB1194=1),ROUND(AG1194/CFG_BLK,2),"")</f>
        <v/>
      </c>
      <c r="O1194" s="77" t="str">
        <f>IF(D1194="proMX",IF(BD1194=1,ROUND(AG1194/60,4),0),"")</f>
        <v/>
      </c>
      <c r="P1194" s="78" t="str">
        <f>IF(Y1194=0,"",IF(BD1194=1,"OK",IF(D1194="proMX","Revisar bloques: ","Revisar: ")&amp;BC1194))</f>
        <v/>
      </c>
      <c r="Q1194" s="78" t="str">
        <f>IF(NOT(ISNUMBER(B1194)),"",IF(COUNTIFS(FER_F,INT(B1194))&gt;0,"Feriado"&amp;IF(AH1194=1," (laborable)"," (no laborable)"),IF(AH1194=1,"Laborable",IF(WEEKDAY(B1194,2)&gt;5,"Fin de semana","No laborable"))))</f>
        <v/>
      </c>
      <c r="R1194" s="73" t="n"/>
      <c r="S1194" s="72" t="n"/>
      <c r="T1194" s="72" t="n"/>
      <c r="U1194" s="74" t="n"/>
      <c r="V1194" s="79" t="str">
        <f>IF(AND(D1194="proMX",OR(R1194="Submitted",R1194="Recall Requested"),ISNUMBER(S1194)),CFG_TODAY-INT(S1194),"")</f>
        <v/>
      </c>
      <c r="W1194" s="78" t="str">
        <f>IF(BD1194=0,"",IF(BA1194&gt;0,"⚠ Se superpone con un registro de la otra empresa",IF(D1194="Malcolm",IF(COUNTA(R1194,S1194,T1194)&gt;0,"Estado/fechas proMX se ignoran en Malcolm",""),IF(BF1194="Cancelled","Cancelado: excluido de totales",IF(R1194="","Sin estado: se trata como Draft",IF(BF1194="Submitted",IF(ISNUMBER(V1194),IF(V1194&gt;CFG_MAXD,"⚠ "&amp;V1194&amp;" días en Submitted (máx. "&amp;CFG_MAXD&amp;")",""),"Falta fecha de envío"),IF(BF1194="Returned","⚠ Devuelto: corregir y reenviar",IF(BF1194="Recall Requested","Retirada solicitada: pendiente",IF(AND(BF1194="Approved",NOT(ISNUMBER(T1194))),"Falta fecha de aprobación",IF(AND(ISNUMBER(S1194),ISNUMBER(T1194),T1194&lt;S1194),"Aprobación anterior al envío","")))))))))</f>
        <v/>
      </c>
      <c r="Y1194" s="80">
        <f>IF(COUNTA(B1194,D1194,E1194,F1194,G1194,H1194,I1194,J1194,R1194,S1194,T1194)&gt;0,1,0)</f>
        <v>0</v>
      </c>
      <c r="Z1194" s="80" t="str">
        <f>IF(AND(ISNUMBER(H1194),H1194&gt;=0,H1194&lt;1),ROUND(H1194*1440,0),"")</f>
        <v/>
      </c>
      <c r="AA1194" s="80" t="str">
        <f>IF(AND(ISNUMBER(I1194),I1194&gt;=0,I1194&lt;1),ROUND(I1194*1440,0),"")</f>
        <v/>
      </c>
      <c r="AB1194" s="80">
        <f>IF(AND(ISNUMBER(B1194),D1194&lt;&gt;"",ISNUMBER(Z1194),ISNUMBER(AA1194)),IF(Z1194=AA1194,0,1),0)</f>
        <v>0</v>
      </c>
      <c r="AC1194" s="80">
        <f>IF(AB1194=1,IF(AA1194&lt;Z1194,1,0),0)</f>
        <v>0</v>
      </c>
      <c r="AD1194" s="80">
        <f>IF(AB1194=1,IF(AC1194=1,1440-Z1194+AA1194,AA1194-Z1194),0)</f>
        <v>0</v>
      </c>
      <c r="AE1194" s="80">
        <f>IF(J1194="",0,IF(ISNUMBER(J1194),J1194,-1))</f>
        <v>0</v>
      </c>
      <c r="AF1194" s="80">
        <f>MIN(MAX(0,AE1194),AD1194)</f>
        <v>0</v>
      </c>
      <c r="AG1194" s="80">
        <f>MAX(0,AD1194-MAX(0,AE1194))</f>
        <v>0</v>
      </c>
      <c r="AH1194" s="80">
        <f>IF(ISNUMBER(B1194),IF(AND(INDEX(CFG_WDAYS,WEEKDAY(INT(B1194),2))="Sí",IF(D1194="proMX",COUNTIFS(FER_F,INT(B1194),FER_NLP,"Sí"),COUNTIFS(FER_F,INT(B1194),FER_NLM,"Sí"))=0),1,0),0)</f>
        <v>0</v>
      </c>
      <c r="AI1194" s="80">
        <f>IF(AC1194=1,IF(AND(INDEX(CFG_WDAYS,WEEKDAY(INT(B1194)+1,2))="Sí",IF(D1194="proMX",COUNTIFS(FER_F,INT(B1194)+1,FER_NLP,"Sí"),COUNTIFS(FER_F,INT(B1194)+1,FER_NLM,"Sí"))=0),1,0),0)</f>
        <v>0</v>
      </c>
      <c r="AJ1194" s="80">
        <f>IF(AC1194=1,1440-Z1194,AD1194)</f>
        <v>0</v>
      </c>
      <c r="AK1194" s="80">
        <f>IF(AND(AB1194=1,AH1194=1),MAX(0,MIN(IF(AC1194=1,1440,AA1194),CFG_WEM)-MAX(Z1194,CFG_WSM)),0)</f>
        <v>0</v>
      </c>
      <c r="AL1194" s="80">
        <f>IF(AND(AC1194=1,AI1194=1),MAX(0,MIN(AA1194,CFG_WEM)-CFG_WSM),0)</f>
        <v>0</v>
      </c>
      <c r="AM1194" s="80">
        <f>AK1194+AL1194</f>
        <v>0</v>
      </c>
      <c r="AN1194" s="80">
        <f>IF(CFG_BRK="Proporcional",IF(AD1194=0,0,AF1194*AM1194/AD1194),IF(CFG_BRK="Extras primero",MIN(AM1194,MAX(0,AF1194-(AD1194-AM1194))),MIN(AF1194,AM1194)))</f>
        <v>0</v>
      </c>
      <c r="AO1194" s="80">
        <f>AF1194-AN1194</f>
        <v>0</v>
      </c>
      <c r="AP1194" s="80">
        <f>AM1194-AN1194</f>
        <v>0</v>
      </c>
      <c r="AQ1194" s="80">
        <f>AD1194-AM1194-AO1194</f>
        <v>0</v>
      </c>
      <c r="AR1194" s="80">
        <f>IF(AM1194=0,0,AK1194-AN1194*AK1194/AM1194)</f>
        <v>0</v>
      </c>
      <c r="AS1194" s="80">
        <f>IF(AD1194-AM1194=0,0,(AJ1194-AK1194)-AO1194*(AJ1194-AK1194)/(AD1194-AM1194))</f>
        <v>0</v>
      </c>
      <c r="AT1194" s="80" t="str">
        <f>IF(AC1194=1,INT(B1194)+1,"")</f>
        <v/>
      </c>
      <c r="AU1194" s="80">
        <f>IF(AND(D1194="proMX",R1194="Cancelled"),0,1)</f>
        <v>1</v>
      </c>
      <c r="AV1194" s="80">
        <f>IF(AND(AB1194=1,AU1194=1),IF(COUNTIFS($D$5:D1193,D1194,$B$5:B1193,B1194,$Z$5:Z1193,Z1194,$AA$5:AA1193,AA1194,$F$5:F1193,F1194&amp;"",$AU$5:AU1193,1)&gt;0,1,0),0)</f>
        <v>0</v>
      </c>
      <c r="AW1194" s="80" t="str">
        <f>IF(AB1194=1,INT(B1194)*1440+Z1194,"")</f>
        <v/>
      </c>
      <c r="AX1194" s="80" t="str">
        <f>IF(AB1194=1,AW1194+AD1194,"")</f>
        <v/>
      </c>
      <c r="AY1194" s="80">
        <f>IF(AND(AB1194=1,AV1194=0,AU1194=1),1,0)</f>
        <v>0</v>
      </c>
      <c r="AZ1194" s="80">
        <f>IF(AY1194=1,COUNTIFS(R_Emp,D1194,R_SAbs,"&lt;"&amp;AX1194,R_EAbs,"&gt;"&amp;AW1194,R_OKey,1)-1,0)</f>
        <v>0</v>
      </c>
      <c r="BA1194" s="80">
        <f>IF(AY1194=1,COUNTIFS(R_Emp,"&lt;&gt;"&amp;D1194,R_SAbs,"&lt;"&amp;AX1194,R_EAbs,"&gt;"&amp;AW1194,R_OKey,1),0)</f>
        <v>0</v>
      </c>
      <c r="BB1194" s="80">
        <f>IF(AND(AB1194=1,D1194="proMX"),IF(AND(MOD(Z1194,CFG_BLK)=0,MOD(AA1194,CFG_BLK)=0,MOD(AG1194,CFG_BLK)=0,AG1194&gt;0),1,0),1)</f>
        <v>1</v>
      </c>
      <c r="BC1194" s="80" t="str">
        <f>IF(Y1194=0,"",IF(NOT(ISNUMBER(B1194)),"Falta fecha o fecha inválida",IF(D1194="","Falta empresa",IF(AND(D1194&lt;&gt;"Malcolm",D1194&lt;&gt;"proMX"),"Empresa inválida",IF(OR(INT(B1194)&lt;CFG_PSTART,INT(B1194)&gt;CFG_PEND),"Fecha fuera del período",IF(OR(NOT(ISNUMBER(Z1194)),NOT(ISNUMBER(AA1194))),"Falta hora inicio/fin o formato inválido",IF(AB1194=0,"Hora inicio = hora fin",IF(AE1194&lt;0,"Descanso inválido",IF(AE1194&gt;=AD1194,"Descanso ≥ duración",IF(AV1194=1,"Registro duplicado",IF(AZ1194&gt;0,"Se superpone con otro registro "&amp;D1194,IF(BB1194=0,"inicio, fin y duración neta deben ser múltiplos de "&amp;CFG_BLK&amp;" min",""))))))))))))</f>
        <v/>
      </c>
      <c r="BD1194" s="80">
        <f>IF(AND(Y1194=1,BC1194=""),1,0)</f>
        <v>0</v>
      </c>
      <c r="BE1194" s="80">
        <f>IF(AND(BD1194=1,AU1194=1),1,0)</f>
        <v>0</v>
      </c>
      <c r="BF1194" s="80" t="str">
        <f>IF(AND(D1194="proMX",BD1194=1),IF(R1194="","Draft",R1194),"")</f>
        <v/>
      </c>
      <c r="BG1194" s="80">
        <f>IF(BD1194=1,ROUND(AG1194/60,6),0)</f>
        <v>0</v>
      </c>
      <c r="BH1194" s="80">
        <f>IF(BE1194=1,ROUND(AG1194/60,6),0)</f>
        <v>0</v>
      </c>
      <c r="BI1194" s="80">
        <f>IF(BE1194=1,ROUND(AP1194/60,6),0)</f>
        <v>0</v>
      </c>
      <c r="BJ1194" s="80">
        <f>IF(BE1194=1,ROUND(AQ1194/60,6),0)</f>
        <v>0</v>
      </c>
      <c r="BK1194" s="80">
        <f>IF(BE1194=1,ROUND((AR1194+AS1194)/60,6),0)</f>
        <v>0</v>
      </c>
      <c r="BL1194" s="80">
        <f>ROUND(BH1194-BK1194,6)</f>
        <v>0</v>
      </c>
      <c r="BM1194" s="80">
        <f>IF(BE1194=1,ROUND(AR1194/60,6),0)</f>
        <v>0</v>
      </c>
      <c r="BN1194" s="80">
        <f>ROUND(BI1194-BM1194,6)</f>
        <v>0</v>
      </c>
      <c r="BO1194" s="80">
        <f>IF(BE1194=1,ROUND(AS1194/60,6),0)</f>
        <v>0</v>
      </c>
      <c r="BP1194" s="80">
        <f>ROUND(BJ1194-BO1194,6)</f>
        <v>0</v>
      </c>
      <c r="BQ1194" s="80">
        <f>IF(BE1194=1,AW1194,0)</f>
        <v>0</v>
      </c>
      <c r="BR1194" s="80">
        <f>IF(BE1194=1,AX1194,0)</f>
        <v>0</v>
      </c>
      <c r="BS1194" s="80">
        <f>IF(AND(BE1194=1,D1194="Malcolm",BA1194&gt;0),MIN(BH1194,SUMPRODUCT((R_Emp="proMX")*(R_EN&gt;0)*((R_EN-(R_EN&gt;BR1194)*(R_EN-BR1194))&gt;(R_SN+(R_SN&lt;BQ1194)*(BQ1194-R_SN)))*((R_EN-(R_EN&gt;BR1194)*(R_EN-BR1194))-(R_SN+(R_SN&lt;BQ1194)*(BQ1194-R_SN))))/60),0)</f>
        <v>0</v>
      </c>
      <c r="BT1194" s="80">
        <f>IF(AND(BE1194=1,D1194="proMX"),ROUND(BI1194*CFG_RATE+BJ1194*CFG_OTRATE,6),0)</f>
        <v>0</v>
      </c>
      <c r="BU1194" s="80">
        <f>IF(AND(BD1194=1,D1194="proMX"),ROUND(AG1194/CFG_BLK,6),0)</f>
        <v>0</v>
      </c>
      <c r="BV1194" s="80" t="str">
        <f>IF(BF1194="Approved",IF(ISNUMBER(T1194),INT(T1194),INT(B1194)),"")</f>
        <v/>
      </c>
      <c r="BW1194" s="80">
        <f>IF(ISNUMBER(B1194),IF(DB_MON="Todos",1,IF(AND(INT(B1194)&gt;=DB_MS,INT(B1194)&lt;=DB_ME),1,0)),0)</f>
        <v>0</v>
      </c>
      <c r="BX1194" s="80">
        <f>IF(DB_PROJ="Todos",1,IF(E1194&amp;""=DB_PROJ&amp;"",1,0))</f>
        <v>1</v>
      </c>
      <c r="BY1194" s="80">
        <f>BW1194*BX1194</f>
        <v>0</v>
      </c>
      <c r="BZ1194" s="80" t="str">
        <f>IF(Y1194=1,F1194&amp;IF(AND(F1194&amp;""&lt;&gt;"",E1194&amp;""&lt;&gt;"")," · ","")&amp;E1194,"")</f>
        <v/>
      </c>
      <c r="CA1194" s="80" t="str">
        <f>IF(AND(BD1194=1,E1194&amp;""&lt;&gt;""),IF(COUNTIFS($E$5:E1193,E1194,$BD$5:BD1193,1)=0,MAX($CA$5:CA1193)+1,""),"")</f>
        <v/>
      </c>
      <c r="CB1194" s="80" t="str">
        <f>IF(AND(BE1194=1,D1194="Malcolm",E1194&amp;""&lt;&gt;""),IF(COUNTIFS($D$5:D1193,"Malcolm",$E$5:E1193,E1194,$BE$5:BE1193,1)=0,MAX($CB$5:CB1193)+1,""),"")</f>
        <v/>
      </c>
      <c r="CC1194" s="80" t="str">
        <f>IF(AND(BD1194=1,D1194="proMX",E1194&amp;""&lt;&gt;""),IF(COUNTIFS($D$5:D1193,"proMX",$E$5:E1193,E1194,$BD$5:BD1193,1)=0,MAX($CC$5:CC1193)+1,""),"")</f>
        <v/>
      </c>
      <c r="CD1194" s="80" t="str">
        <f>IF(AND(BE1194=1,D1194="Malcolm",F1194&amp;""&lt;&gt;""),IF(COUNTIFS($D$5:D1193,"Malcolm",$F$5:F1193,F1194,$BE$5:BE1193,1)=0,MAX($CD$5:CD1193)+1,""),"")</f>
        <v/>
      </c>
      <c r="CE1194" s="80" t="str">
        <f>IF(AND(BD1194=1,D1194="proMX",F1194&amp;""&lt;&gt;""),IF(COUNTIFS($D$5:D1193,"proMX",$F$5:F1193,F1194,$BD$5:BD1193,1)=0,MAX($CE$5:CE1193)+1,""),"")</f>
        <v/>
      </c>
      <c r="CF1194" s="80" t="str">
        <f>IF(AND(D1194="proMX",BD1194=1),IF(OR(BF1194="Draft",BF1194="Submitted",BF1194="Returned",BF1194="Recall Requested"),MAX($CF$5:CF1193)+1,""),"")</f>
        <v/>
      </c>
      <c r="CG1194" s="80">
        <f>IF(BD1194=0,0,IF(D1194="Malcolm",1,MATCH(BF1194,{"Draft","Submitted","Approved","Returned","Recall Requested","Cancelled"},0)+1))</f>
        <v>0</v>
      </c>
      <c r="CH1194" s="80">
        <f>IF(AND(BF1194="Submitted",ISNUMBER(V1194)),IF(V1194&gt;CFG_MAXD,1,0),0)</f>
        <v>0</v>
      </c>
    </row>
    <row r="1195">
      <c r="A1195" s="71" t="str">
        <f>IF(Y1195=1,ROW()-5,"")</f>
        <v/>
      </c>
      <c r="B1195" s="72" t="n"/>
      <c r="C1195" s="71" t="str">
        <f>IF(ISNUMBER(B1195),CHOOSE(WEEKDAY(B1195,2),"Lun","Mar","Mié","Jue","Vie","Sáb","Dom"),"")</f>
        <v/>
      </c>
      <c r="D1195" s="73" t="n"/>
      <c r="E1195" s="74" t="n"/>
      <c r="F1195" s="74" t="n"/>
      <c r="G1195" s="74" t="n"/>
      <c r="H1195" s="75" t="n"/>
      <c r="I1195" s="75" t="n"/>
      <c r="J1195" s="76" t="n"/>
      <c r="K1195" s="77" t="str">
        <f>IF(AB1195=1,ROUND(AG1195/60,4),"")</f>
        <v/>
      </c>
      <c r="L1195" s="77" t="str">
        <f>IF(BD1195=1,ROUND(AP1195/60,4),"")</f>
        <v/>
      </c>
      <c r="M1195" s="77" t="str">
        <f>IF(BD1195=1,ROUND(AQ1195/60,4),"")</f>
        <v/>
      </c>
      <c r="N1195" s="71" t="str">
        <f>IF(AND(D1195="proMX",AB1195=1),ROUND(AG1195/CFG_BLK,2),"")</f>
        <v/>
      </c>
      <c r="O1195" s="77" t="str">
        <f>IF(D1195="proMX",IF(BD1195=1,ROUND(AG1195/60,4),0),"")</f>
        <v/>
      </c>
      <c r="P1195" s="78" t="str">
        <f>IF(Y1195=0,"",IF(BD1195=1,"OK",IF(D1195="proMX","Revisar bloques: ","Revisar: ")&amp;BC1195))</f>
        <v/>
      </c>
      <c r="Q1195" s="78" t="str">
        <f>IF(NOT(ISNUMBER(B1195)),"",IF(COUNTIFS(FER_F,INT(B1195))&gt;0,"Feriado"&amp;IF(AH1195=1," (laborable)"," (no laborable)"),IF(AH1195=1,"Laborable",IF(WEEKDAY(B1195,2)&gt;5,"Fin de semana","No laborable"))))</f>
        <v/>
      </c>
      <c r="R1195" s="73" t="n"/>
      <c r="S1195" s="72" t="n"/>
      <c r="T1195" s="72" t="n"/>
      <c r="U1195" s="74" t="n"/>
      <c r="V1195" s="79" t="str">
        <f>IF(AND(D1195="proMX",OR(R1195="Submitted",R1195="Recall Requested"),ISNUMBER(S1195)),CFG_TODAY-INT(S1195),"")</f>
        <v/>
      </c>
      <c r="W1195" s="78" t="str">
        <f>IF(BD1195=0,"",IF(BA1195&gt;0,"⚠ Se superpone con un registro de la otra empresa",IF(D1195="Malcolm",IF(COUNTA(R1195,S1195,T1195)&gt;0,"Estado/fechas proMX se ignoran en Malcolm",""),IF(BF1195="Cancelled","Cancelado: excluido de totales",IF(R1195="","Sin estado: se trata como Draft",IF(BF1195="Submitted",IF(ISNUMBER(V1195),IF(V1195&gt;CFG_MAXD,"⚠ "&amp;V1195&amp;" días en Submitted (máx. "&amp;CFG_MAXD&amp;")",""),"Falta fecha de envío"),IF(BF1195="Returned","⚠ Devuelto: corregir y reenviar",IF(BF1195="Recall Requested","Retirada solicitada: pendiente",IF(AND(BF1195="Approved",NOT(ISNUMBER(T1195))),"Falta fecha de aprobación",IF(AND(ISNUMBER(S1195),ISNUMBER(T1195),T1195&lt;S1195),"Aprobación anterior al envío","")))))))))</f>
        <v/>
      </c>
      <c r="Y1195" s="80">
        <f>IF(COUNTA(B1195,D1195,E1195,F1195,G1195,H1195,I1195,J1195,R1195,S1195,T1195)&gt;0,1,0)</f>
        <v>0</v>
      </c>
      <c r="Z1195" s="80" t="str">
        <f>IF(AND(ISNUMBER(H1195),H1195&gt;=0,H1195&lt;1),ROUND(H1195*1440,0),"")</f>
        <v/>
      </c>
      <c r="AA1195" s="80" t="str">
        <f>IF(AND(ISNUMBER(I1195),I1195&gt;=0,I1195&lt;1),ROUND(I1195*1440,0),"")</f>
        <v/>
      </c>
      <c r="AB1195" s="80">
        <f>IF(AND(ISNUMBER(B1195),D1195&lt;&gt;"",ISNUMBER(Z1195),ISNUMBER(AA1195)),IF(Z1195=AA1195,0,1),0)</f>
        <v>0</v>
      </c>
      <c r="AC1195" s="80">
        <f>IF(AB1195=1,IF(AA1195&lt;Z1195,1,0),0)</f>
        <v>0</v>
      </c>
      <c r="AD1195" s="80">
        <f>IF(AB1195=1,IF(AC1195=1,1440-Z1195+AA1195,AA1195-Z1195),0)</f>
        <v>0</v>
      </c>
      <c r="AE1195" s="80">
        <f>IF(J1195="",0,IF(ISNUMBER(J1195),J1195,-1))</f>
        <v>0</v>
      </c>
      <c r="AF1195" s="80">
        <f>MIN(MAX(0,AE1195),AD1195)</f>
        <v>0</v>
      </c>
      <c r="AG1195" s="80">
        <f>MAX(0,AD1195-MAX(0,AE1195))</f>
        <v>0</v>
      </c>
      <c r="AH1195" s="80">
        <f>IF(ISNUMBER(B1195),IF(AND(INDEX(CFG_WDAYS,WEEKDAY(INT(B1195),2))="Sí",IF(D1195="proMX",COUNTIFS(FER_F,INT(B1195),FER_NLP,"Sí"),COUNTIFS(FER_F,INT(B1195),FER_NLM,"Sí"))=0),1,0),0)</f>
        <v>0</v>
      </c>
      <c r="AI1195" s="80">
        <f>IF(AC1195=1,IF(AND(INDEX(CFG_WDAYS,WEEKDAY(INT(B1195)+1,2))="Sí",IF(D1195="proMX",COUNTIFS(FER_F,INT(B1195)+1,FER_NLP,"Sí"),COUNTIFS(FER_F,INT(B1195)+1,FER_NLM,"Sí"))=0),1,0),0)</f>
        <v>0</v>
      </c>
      <c r="AJ1195" s="80">
        <f>IF(AC1195=1,1440-Z1195,AD1195)</f>
        <v>0</v>
      </c>
      <c r="AK1195" s="80">
        <f>IF(AND(AB1195=1,AH1195=1),MAX(0,MIN(IF(AC1195=1,1440,AA1195),CFG_WEM)-MAX(Z1195,CFG_WSM)),0)</f>
        <v>0</v>
      </c>
      <c r="AL1195" s="80">
        <f>IF(AND(AC1195=1,AI1195=1),MAX(0,MIN(AA1195,CFG_WEM)-CFG_WSM),0)</f>
        <v>0</v>
      </c>
      <c r="AM1195" s="80">
        <f>AK1195+AL1195</f>
        <v>0</v>
      </c>
      <c r="AN1195" s="80">
        <f>IF(CFG_BRK="Proporcional",IF(AD1195=0,0,AF1195*AM1195/AD1195),IF(CFG_BRK="Extras primero",MIN(AM1195,MAX(0,AF1195-(AD1195-AM1195))),MIN(AF1195,AM1195)))</f>
        <v>0</v>
      </c>
      <c r="AO1195" s="80">
        <f>AF1195-AN1195</f>
        <v>0</v>
      </c>
      <c r="AP1195" s="80">
        <f>AM1195-AN1195</f>
        <v>0</v>
      </c>
      <c r="AQ1195" s="80">
        <f>AD1195-AM1195-AO1195</f>
        <v>0</v>
      </c>
      <c r="AR1195" s="80">
        <f>IF(AM1195=0,0,AK1195-AN1195*AK1195/AM1195)</f>
        <v>0</v>
      </c>
      <c r="AS1195" s="80">
        <f>IF(AD1195-AM1195=0,0,(AJ1195-AK1195)-AO1195*(AJ1195-AK1195)/(AD1195-AM1195))</f>
        <v>0</v>
      </c>
      <c r="AT1195" s="80" t="str">
        <f>IF(AC1195=1,INT(B1195)+1,"")</f>
        <v/>
      </c>
      <c r="AU1195" s="80">
        <f>IF(AND(D1195="proMX",R1195="Cancelled"),0,1)</f>
        <v>1</v>
      </c>
      <c r="AV1195" s="80">
        <f>IF(AND(AB1195=1,AU1195=1),IF(COUNTIFS($D$5:D1194,D1195,$B$5:B1194,B1195,$Z$5:Z1194,Z1195,$AA$5:AA1194,AA1195,$F$5:F1194,F1195&amp;"",$AU$5:AU1194,1)&gt;0,1,0),0)</f>
        <v>0</v>
      </c>
      <c r="AW1195" s="80" t="str">
        <f>IF(AB1195=1,INT(B1195)*1440+Z1195,"")</f>
        <v/>
      </c>
      <c r="AX1195" s="80" t="str">
        <f>IF(AB1195=1,AW1195+AD1195,"")</f>
        <v/>
      </c>
      <c r="AY1195" s="80">
        <f>IF(AND(AB1195=1,AV1195=0,AU1195=1),1,0)</f>
        <v>0</v>
      </c>
      <c r="AZ1195" s="80">
        <f>IF(AY1195=1,COUNTIFS(R_Emp,D1195,R_SAbs,"&lt;"&amp;AX1195,R_EAbs,"&gt;"&amp;AW1195,R_OKey,1)-1,0)</f>
        <v>0</v>
      </c>
      <c r="BA1195" s="80">
        <f>IF(AY1195=1,COUNTIFS(R_Emp,"&lt;&gt;"&amp;D1195,R_SAbs,"&lt;"&amp;AX1195,R_EAbs,"&gt;"&amp;AW1195,R_OKey,1),0)</f>
        <v>0</v>
      </c>
      <c r="BB1195" s="80">
        <f>IF(AND(AB1195=1,D1195="proMX"),IF(AND(MOD(Z1195,CFG_BLK)=0,MOD(AA1195,CFG_BLK)=0,MOD(AG1195,CFG_BLK)=0,AG1195&gt;0),1,0),1)</f>
        <v>1</v>
      </c>
      <c r="BC1195" s="80" t="str">
        <f>IF(Y1195=0,"",IF(NOT(ISNUMBER(B1195)),"Falta fecha o fecha inválida",IF(D1195="","Falta empresa",IF(AND(D1195&lt;&gt;"Malcolm",D1195&lt;&gt;"proMX"),"Empresa inválida",IF(OR(INT(B1195)&lt;CFG_PSTART,INT(B1195)&gt;CFG_PEND),"Fecha fuera del período",IF(OR(NOT(ISNUMBER(Z1195)),NOT(ISNUMBER(AA1195))),"Falta hora inicio/fin o formato inválido",IF(AB1195=0,"Hora inicio = hora fin",IF(AE1195&lt;0,"Descanso inválido",IF(AE1195&gt;=AD1195,"Descanso ≥ duración",IF(AV1195=1,"Registro duplicado",IF(AZ1195&gt;0,"Se superpone con otro registro "&amp;D1195,IF(BB1195=0,"inicio, fin y duración neta deben ser múltiplos de "&amp;CFG_BLK&amp;" min",""))))))))))))</f>
        <v/>
      </c>
      <c r="BD1195" s="80">
        <f>IF(AND(Y1195=1,BC1195=""),1,0)</f>
        <v>0</v>
      </c>
      <c r="BE1195" s="80">
        <f>IF(AND(BD1195=1,AU1195=1),1,0)</f>
        <v>0</v>
      </c>
      <c r="BF1195" s="80" t="str">
        <f>IF(AND(D1195="proMX",BD1195=1),IF(R1195="","Draft",R1195),"")</f>
        <v/>
      </c>
      <c r="BG1195" s="80">
        <f>IF(BD1195=1,ROUND(AG1195/60,6),0)</f>
        <v>0</v>
      </c>
      <c r="BH1195" s="80">
        <f>IF(BE1195=1,ROUND(AG1195/60,6),0)</f>
        <v>0</v>
      </c>
      <c r="BI1195" s="80">
        <f>IF(BE1195=1,ROUND(AP1195/60,6),0)</f>
        <v>0</v>
      </c>
      <c r="BJ1195" s="80">
        <f>IF(BE1195=1,ROUND(AQ1195/60,6),0)</f>
        <v>0</v>
      </c>
      <c r="BK1195" s="80">
        <f>IF(BE1195=1,ROUND((AR1195+AS1195)/60,6),0)</f>
        <v>0</v>
      </c>
      <c r="BL1195" s="80">
        <f>ROUND(BH1195-BK1195,6)</f>
        <v>0</v>
      </c>
      <c r="BM1195" s="80">
        <f>IF(BE1195=1,ROUND(AR1195/60,6),0)</f>
        <v>0</v>
      </c>
      <c r="BN1195" s="80">
        <f>ROUND(BI1195-BM1195,6)</f>
        <v>0</v>
      </c>
      <c r="BO1195" s="80">
        <f>IF(BE1195=1,ROUND(AS1195/60,6),0)</f>
        <v>0</v>
      </c>
      <c r="BP1195" s="80">
        <f>ROUND(BJ1195-BO1195,6)</f>
        <v>0</v>
      </c>
      <c r="BQ1195" s="80">
        <f>IF(BE1195=1,AW1195,0)</f>
        <v>0</v>
      </c>
      <c r="BR1195" s="80">
        <f>IF(BE1195=1,AX1195,0)</f>
        <v>0</v>
      </c>
      <c r="BS1195" s="80">
        <f>IF(AND(BE1195=1,D1195="Malcolm",BA1195&gt;0),MIN(BH1195,SUMPRODUCT((R_Emp="proMX")*(R_EN&gt;0)*((R_EN-(R_EN&gt;BR1195)*(R_EN-BR1195))&gt;(R_SN+(R_SN&lt;BQ1195)*(BQ1195-R_SN)))*((R_EN-(R_EN&gt;BR1195)*(R_EN-BR1195))-(R_SN+(R_SN&lt;BQ1195)*(BQ1195-R_SN))))/60),0)</f>
        <v>0</v>
      </c>
      <c r="BT1195" s="80">
        <f>IF(AND(BE1195=1,D1195="proMX"),ROUND(BI1195*CFG_RATE+BJ1195*CFG_OTRATE,6),0)</f>
        <v>0</v>
      </c>
      <c r="BU1195" s="80">
        <f>IF(AND(BD1195=1,D1195="proMX"),ROUND(AG1195/CFG_BLK,6),0)</f>
        <v>0</v>
      </c>
      <c r="BV1195" s="80" t="str">
        <f>IF(BF1195="Approved",IF(ISNUMBER(T1195),INT(T1195),INT(B1195)),"")</f>
        <v/>
      </c>
      <c r="BW1195" s="80">
        <f>IF(ISNUMBER(B1195),IF(DB_MON="Todos",1,IF(AND(INT(B1195)&gt;=DB_MS,INT(B1195)&lt;=DB_ME),1,0)),0)</f>
        <v>0</v>
      </c>
      <c r="BX1195" s="80">
        <f>IF(DB_PROJ="Todos",1,IF(E1195&amp;""=DB_PROJ&amp;"",1,0))</f>
        <v>1</v>
      </c>
      <c r="BY1195" s="80">
        <f>BW1195*BX1195</f>
        <v>0</v>
      </c>
      <c r="BZ1195" s="80" t="str">
        <f>IF(Y1195=1,F1195&amp;IF(AND(F1195&amp;""&lt;&gt;"",E1195&amp;""&lt;&gt;"")," · ","")&amp;E1195,"")</f>
        <v/>
      </c>
      <c r="CA1195" s="80" t="str">
        <f>IF(AND(BD1195=1,E1195&amp;""&lt;&gt;""),IF(COUNTIFS($E$5:E1194,E1195,$BD$5:BD1194,1)=0,MAX($CA$5:CA1194)+1,""),"")</f>
        <v/>
      </c>
      <c r="CB1195" s="80" t="str">
        <f>IF(AND(BE1195=1,D1195="Malcolm",E1195&amp;""&lt;&gt;""),IF(COUNTIFS($D$5:D1194,"Malcolm",$E$5:E1194,E1195,$BE$5:BE1194,1)=0,MAX($CB$5:CB1194)+1,""),"")</f>
        <v/>
      </c>
      <c r="CC1195" s="80" t="str">
        <f>IF(AND(BD1195=1,D1195="proMX",E1195&amp;""&lt;&gt;""),IF(COUNTIFS($D$5:D1194,"proMX",$E$5:E1194,E1195,$BD$5:BD1194,1)=0,MAX($CC$5:CC1194)+1,""),"")</f>
        <v/>
      </c>
      <c r="CD1195" s="80" t="str">
        <f>IF(AND(BE1195=1,D1195="Malcolm",F1195&amp;""&lt;&gt;""),IF(COUNTIFS($D$5:D1194,"Malcolm",$F$5:F1194,F1195,$BE$5:BE1194,1)=0,MAX($CD$5:CD1194)+1,""),"")</f>
        <v/>
      </c>
      <c r="CE1195" s="80" t="str">
        <f>IF(AND(BD1195=1,D1195="proMX",F1195&amp;""&lt;&gt;""),IF(COUNTIFS($D$5:D1194,"proMX",$F$5:F1194,F1195,$BD$5:BD1194,1)=0,MAX($CE$5:CE1194)+1,""),"")</f>
        <v/>
      </c>
      <c r="CF1195" s="80" t="str">
        <f>IF(AND(D1195="proMX",BD1195=1),IF(OR(BF1195="Draft",BF1195="Submitted",BF1195="Returned",BF1195="Recall Requested"),MAX($CF$5:CF1194)+1,""),"")</f>
        <v/>
      </c>
      <c r="CG1195" s="80">
        <f>IF(BD1195=0,0,IF(D1195="Malcolm",1,MATCH(BF1195,{"Draft","Submitted","Approved","Returned","Recall Requested","Cancelled"},0)+1))</f>
        <v>0</v>
      </c>
      <c r="CH1195" s="80">
        <f>IF(AND(BF1195="Submitted",ISNUMBER(V1195)),IF(V1195&gt;CFG_MAXD,1,0),0)</f>
        <v>0</v>
      </c>
    </row>
    <row r="1196">
      <c r="A1196" s="71" t="str">
        <f>IF(Y1196=1,ROW()-5,"")</f>
        <v/>
      </c>
      <c r="B1196" s="72" t="n"/>
      <c r="C1196" s="71" t="str">
        <f>IF(ISNUMBER(B1196),CHOOSE(WEEKDAY(B1196,2),"Lun","Mar","Mié","Jue","Vie","Sáb","Dom"),"")</f>
        <v/>
      </c>
      <c r="D1196" s="73" t="n"/>
      <c r="E1196" s="74" t="n"/>
      <c r="F1196" s="74" t="n"/>
      <c r="G1196" s="74" t="n"/>
      <c r="H1196" s="75" t="n"/>
      <c r="I1196" s="75" t="n"/>
      <c r="J1196" s="76" t="n"/>
      <c r="K1196" s="77" t="str">
        <f>IF(AB1196=1,ROUND(AG1196/60,4),"")</f>
        <v/>
      </c>
      <c r="L1196" s="77" t="str">
        <f>IF(BD1196=1,ROUND(AP1196/60,4),"")</f>
        <v/>
      </c>
      <c r="M1196" s="77" t="str">
        <f>IF(BD1196=1,ROUND(AQ1196/60,4),"")</f>
        <v/>
      </c>
      <c r="N1196" s="71" t="str">
        <f>IF(AND(D1196="proMX",AB1196=1),ROUND(AG1196/CFG_BLK,2),"")</f>
        <v/>
      </c>
      <c r="O1196" s="77" t="str">
        <f>IF(D1196="proMX",IF(BD1196=1,ROUND(AG1196/60,4),0),"")</f>
        <v/>
      </c>
      <c r="P1196" s="78" t="str">
        <f>IF(Y1196=0,"",IF(BD1196=1,"OK",IF(D1196="proMX","Revisar bloques: ","Revisar: ")&amp;BC1196))</f>
        <v/>
      </c>
      <c r="Q1196" s="78" t="str">
        <f>IF(NOT(ISNUMBER(B1196)),"",IF(COUNTIFS(FER_F,INT(B1196))&gt;0,"Feriado"&amp;IF(AH1196=1," (laborable)"," (no laborable)"),IF(AH1196=1,"Laborable",IF(WEEKDAY(B1196,2)&gt;5,"Fin de semana","No laborable"))))</f>
        <v/>
      </c>
      <c r="R1196" s="73" t="n"/>
      <c r="S1196" s="72" t="n"/>
      <c r="T1196" s="72" t="n"/>
      <c r="U1196" s="74" t="n"/>
      <c r="V1196" s="79" t="str">
        <f>IF(AND(D1196="proMX",OR(R1196="Submitted",R1196="Recall Requested"),ISNUMBER(S1196)),CFG_TODAY-INT(S1196),"")</f>
        <v/>
      </c>
      <c r="W1196" s="78" t="str">
        <f>IF(BD1196=0,"",IF(BA1196&gt;0,"⚠ Se superpone con un registro de la otra empresa",IF(D1196="Malcolm",IF(COUNTA(R1196,S1196,T1196)&gt;0,"Estado/fechas proMX se ignoran en Malcolm",""),IF(BF1196="Cancelled","Cancelado: excluido de totales",IF(R1196="","Sin estado: se trata como Draft",IF(BF1196="Submitted",IF(ISNUMBER(V1196),IF(V1196&gt;CFG_MAXD,"⚠ "&amp;V1196&amp;" días en Submitted (máx. "&amp;CFG_MAXD&amp;")",""),"Falta fecha de envío"),IF(BF1196="Returned","⚠ Devuelto: corregir y reenviar",IF(BF1196="Recall Requested","Retirada solicitada: pendiente",IF(AND(BF1196="Approved",NOT(ISNUMBER(T1196))),"Falta fecha de aprobación",IF(AND(ISNUMBER(S1196),ISNUMBER(T1196),T1196&lt;S1196),"Aprobación anterior al envío","")))))))))</f>
        <v/>
      </c>
      <c r="Y1196" s="80">
        <f>IF(COUNTA(B1196,D1196,E1196,F1196,G1196,H1196,I1196,J1196,R1196,S1196,T1196)&gt;0,1,0)</f>
        <v>0</v>
      </c>
      <c r="Z1196" s="80" t="str">
        <f>IF(AND(ISNUMBER(H1196),H1196&gt;=0,H1196&lt;1),ROUND(H1196*1440,0),"")</f>
        <v/>
      </c>
      <c r="AA1196" s="80" t="str">
        <f>IF(AND(ISNUMBER(I1196),I1196&gt;=0,I1196&lt;1),ROUND(I1196*1440,0),"")</f>
        <v/>
      </c>
      <c r="AB1196" s="80">
        <f>IF(AND(ISNUMBER(B1196),D1196&lt;&gt;"",ISNUMBER(Z1196),ISNUMBER(AA1196)),IF(Z1196=AA1196,0,1),0)</f>
        <v>0</v>
      </c>
      <c r="AC1196" s="80">
        <f>IF(AB1196=1,IF(AA1196&lt;Z1196,1,0),0)</f>
        <v>0</v>
      </c>
      <c r="AD1196" s="80">
        <f>IF(AB1196=1,IF(AC1196=1,1440-Z1196+AA1196,AA1196-Z1196),0)</f>
        <v>0</v>
      </c>
      <c r="AE1196" s="80">
        <f>IF(J1196="",0,IF(ISNUMBER(J1196),J1196,-1))</f>
        <v>0</v>
      </c>
      <c r="AF1196" s="80">
        <f>MIN(MAX(0,AE1196),AD1196)</f>
        <v>0</v>
      </c>
      <c r="AG1196" s="80">
        <f>MAX(0,AD1196-MAX(0,AE1196))</f>
        <v>0</v>
      </c>
      <c r="AH1196" s="80">
        <f>IF(ISNUMBER(B1196),IF(AND(INDEX(CFG_WDAYS,WEEKDAY(INT(B1196),2))="Sí",IF(D1196="proMX",COUNTIFS(FER_F,INT(B1196),FER_NLP,"Sí"),COUNTIFS(FER_F,INT(B1196),FER_NLM,"Sí"))=0),1,0),0)</f>
        <v>0</v>
      </c>
      <c r="AI1196" s="80">
        <f>IF(AC1196=1,IF(AND(INDEX(CFG_WDAYS,WEEKDAY(INT(B1196)+1,2))="Sí",IF(D1196="proMX",COUNTIFS(FER_F,INT(B1196)+1,FER_NLP,"Sí"),COUNTIFS(FER_F,INT(B1196)+1,FER_NLM,"Sí"))=0),1,0),0)</f>
        <v>0</v>
      </c>
      <c r="AJ1196" s="80">
        <f>IF(AC1196=1,1440-Z1196,AD1196)</f>
        <v>0</v>
      </c>
      <c r="AK1196" s="80">
        <f>IF(AND(AB1196=1,AH1196=1),MAX(0,MIN(IF(AC1196=1,1440,AA1196),CFG_WEM)-MAX(Z1196,CFG_WSM)),0)</f>
        <v>0</v>
      </c>
      <c r="AL1196" s="80">
        <f>IF(AND(AC1196=1,AI1196=1),MAX(0,MIN(AA1196,CFG_WEM)-CFG_WSM),0)</f>
        <v>0</v>
      </c>
      <c r="AM1196" s="80">
        <f>AK1196+AL1196</f>
        <v>0</v>
      </c>
      <c r="AN1196" s="80">
        <f>IF(CFG_BRK="Proporcional",IF(AD1196=0,0,AF1196*AM1196/AD1196),IF(CFG_BRK="Extras primero",MIN(AM1196,MAX(0,AF1196-(AD1196-AM1196))),MIN(AF1196,AM1196)))</f>
        <v>0</v>
      </c>
      <c r="AO1196" s="80">
        <f>AF1196-AN1196</f>
        <v>0</v>
      </c>
      <c r="AP1196" s="80">
        <f>AM1196-AN1196</f>
        <v>0</v>
      </c>
      <c r="AQ1196" s="80">
        <f>AD1196-AM1196-AO1196</f>
        <v>0</v>
      </c>
      <c r="AR1196" s="80">
        <f>IF(AM1196=0,0,AK1196-AN1196*AK1196/AM1196)</f>
        <v>0</v>
      </c>
      <c r="AS1196" s="80">
        <f>IF(AD1196-AM1196=0,0,(AJ1196-AK1196)-AO1196*(AJ1196-AK1196)/(AD1196-AM1196))</f>
        <v>0</v>
      </c>
      <c r="AT1196" s="80" t="str">
        <f>IF(AC1196=1,INT(B1196)+1,"")</f>
        <v/>
      </c>
      <c r="AU1196" s="80">
        <f>IF(AND(D1196="proMX",R1196="Cancelled"),0,1)</f>
        <v>1</v>
      </c>
      <c r="AV1196" s="80">
        <f>IF(AND(AB1196=1,AU1196=1),IF(COUNTIFS($D$5:D1195,D1196,$B$5:B1195,B1196,$Z$5:Z1195,Z1196,$AA$5:AA1195,AA1196,$F$5:F1195,F1196&amp;"",$AU$5:AU1195,1)&gt;0,1,0),0)</f>
        <v>0</v>
      </c>
      <c r="AW1196" s="80" t="str">
        <f>IF(AB1196=1,INT(B1196)*1440+Z1196,"")</f>
        <v/>
      </c>
      <c r="AX1196" s="80" t="str">
        <f>IF(AB1196=1,AW1196+AD1196,"")</f>
        <v/>
      </c>
      <c r="AY1196" s="80">
        <f>IF(AND(AB1196=1,AV1196=0,AU1196=1),1,0)</f>
        <v>0</v>
      </c>
      <c r="AZ1196" s="80">
        <f>IF(AY1196=1,COUNTIFS(R_Emp,D1196,R_SAbs,"&lt;"&amp;AX1196,R_EAbs,"&gt;"&amp;AW1196,R_OKey,1)-1,0)</f>
        <v>0</v>
      </c>
      <c r="BA1196" s="80">
        <f>IF(AY1196=1,COUNTIFS(R_Emp,"&lt;&gt;"&amp;D1196,R_SAbs,"&lt;"&amp;AX1196,R_EAbs,"&gt;"&amp;AW1196,R_OKey,1),0)</f>
        <v>0</v>
      </c>
      <c r="BB1196" s="80">
        <f>IF(AND(AB1196=1,D1196="proMX"),IF(AND(MOD(Z1196,CFG_BLK)=0,MOD(AA1196,CFG_BLK)=0,MOD(AG1196,CFG_BLK)=0,AG1196&gt;0),1,0),1)</f>
        <v>1</v>
      </c>
      <c r="BC1196" s="80" t="str">
        <f>IF(Y1196=0,"",IF(NOT(ISNUMBER(B1196)),"Falta fecha o fecha inválida",IF(D1196="","Falta empresa",IF(AND(D1196&lt;&gt;"Malcolm",D1196&lt;&gt;"proMX"),"Empresa inválida",IF(OR(INT(B1196)&lt;CFG_PSTART,INT(B1196)&gt;CFG_PEND),"Fecha fuera del período",IF(OR(NOT(ISNUMBER(Z1196)),NOT(ISNUMBER(AA1196))),"Falta hora inicio/fin o formato inválido",IF(AB1196=0,"Hora inicio = hora fin",IF(AE1196&lt;0,"Descanso inválido",IF(AE1196&gt;=AD1196,"Descanso ≥ duración",IF(AV1196=1,"Registro duplicado",IF(AZ1196&gt;0,"Se superpone con otro registro "&amp;D1196,IF(BB1196=0,"inicio, fin y duración neta deben ser múltiplos de "&amp;CFG_BLK&amp;" min",""))))))))))))</f>
        <v/>
      </c>
      <c r="BD1196" s="80">
        <f>IF(AND(Y1196=1,BC1196=""),1,0)</f>
        <v>0</v>
      </c>
      <c r="BE1196" s="80">
        <f>IF(AND(BD1196=1,AU1196=1),1,0)</f>
        <v>0</v>
      </c>
      <c r="BF1196" s="80" t="str">
        <f>IF(AND(D1196="proMX",BD1196=1),IF(R1196="","Draft",R1196),"")</f>
        <v/>
      </c>
      <c r="BG1196" s="80">
        <f>IF(BD1196=1,ROUND(AG1196/60,6),0)</f>
        <v>0</v>
      </c>
      <c r="BH1196" s="80">
        <f>IF(BE1196=1,ROUND(AG1196/60,6),0)</f>
        <v>0</v>
      </c>
      <c r="BI1196" s="80">
        <f>IF(BE1196=1,ROUND(AP1196/60,6),0)</f>
        <v>0</v>
      </c>
      <c r="BJ1196" s="80">
        <f>IF(BE1196=1,ROUND(AQ1196/60,6),0)</f>
        <v>0</v>
      </c>
      <c r="BK1196" s="80">
        <f>IF(BE1196=1,ROUND((AR1196+AS1196)/60,6),0)</f>
        <v>0</v>
      </c>
      <c r="BL1196" s="80">
        <f>ROUND(BH1196-BK1196,6)</f>
        <v>0</v>
      </c>
      <c r="BM1196" s="80">
        <f>IF(BE1196=1,ROUND(AR1196/60,6),0)</f>
        <v>0</v>
      </c>
      <c r="BN1196" s="80">
        <f>ROUND(BI1196-BM1196,6)</f>
        <v>0</v>
      </c>
      <c r="BO1196" s="80">
        <f>IF(BE1196=1,ROUND(AS1196/60,6),0)</f>
        <v>0</v>
      </c>
      <c r="BP1196" s="80">
        <f>ROUND(BJ1196-BO1196,6)</f>
        <v>0</v>
      </c>
      <c r="BQ1196" s="80">
        <f>IF(BE1196=1,AW1196,0)</f>
        <v>0</v>
      </c>
      <c r="BR1196" s="80">
        <f>IF(BE1196=1,AX1196,0)</f>
        <v>0</v>
      </c>
      <c r="BS1196" s="80">
        <f>IF(AND(BE1196=1,D1196="Malcolm",BA1196&gt;0),MIN(BH1196,SUMPRODUCT((R_Emp="proMX")*(R_EN&gt;0)*((R_EN-(R_EN&gt;BR1196)*(R_EN-BR1196))&gt;(R_SN+(R_SN&lt;BQ1196)*(BQ1196-R_SN)))*((R_EN-(R_EN&gt;BR1196)*(R_EN-BR1196))-(R_SN+(R_SN&lt;BQ1196)*(BQ1196-R_SN))))/60),0)</f>
        <v>0</v>
      </c>
      <c r="BT1196" s="80">
        <f>IF(AND(BE1196=1,D1196="proMX"),ROUND(BI1196*CFG_RATE+BJ1196*CFG_OTRATE,6),0)</f>
        <v>0</v>
      </c>
      <c r="BU1196" s="80">
        <f>IF(AND(BD1196=1,D1196="proMX"),ROUND(AG1196/CFG_BLK,6),0)</f>
        <v>0</v>
      </c>
      <c r="BV1196" s="80" t="str">
        <f>IF(BF1196="Approved",IF(ISNUMBER(T1196),INT(T1196),INT(B1196)),"")</f>
        <v/>
      </c>
      <c r="BW1196" s="80">
        <f>IF(ISNUMBER(B1196),IF(DB_MON="Todos",1,IF(AND(INT(B1196)&gt;=DB_MS,INT(B1196)&lt;=DB_ME),1,0)),0)</f>
        <v>0</v>
      </c>
      <c r="BX1196" s="80">
        <f>IF(DB_PROJ="Todos",1,IF(E1196&amp;""=DB_PROJ&amp;"",1,0))</f>
        <v>1</v>
      </c>
      <c r="BY1196" s="80">
        <f>BW1196*BX1196</f>
        <v>0</v>
      </c>
      <c r="BZ1196" s="80" t="str">
        <f>IF(Y1196=1,F1196&amp;IF(AND(F1196&amp;""&lt;&gt;"",E1196&amp;""&lt;&gt;"")," · ","")&amp;E1196,"")</f>
        <v/>
      </c>
      <c r="CA1196" s="80" t="str">
        <f>IF(AND(BD1196=1,E1196&amp;""&lt;&gt;""),IF(COUNTIFS($E$5:E1195,E1196,$BD$5:BD1195,1)=0,MAX($CA$5:CA1195)+1,""),"")</f>
        <v/>
      </c>
      <c r="CB1196" s="80" t="str">
        <f>IF(AND(BE1196=1,D1196="Malcolm",E1196&amp;""&lt;&gt;""),IF(COUNTIFS($D$5:D1195,"Malcolm",$E$5:E1195,E1196,$BE$5:BE1195,1)=0,MAX($CB$5:CB1195)+1,""),"")</f>
        <v/>
      </c>
      <c r="CC1196" s="80" t="str">
        <f>IF(AND(BD1196=1,D1196="proMX",E1196&amp;""&lt;&gt;""),IF(COUNTIFS($D$5:D1195,"proMX",$E$5:E1195,E1196,$BD$5:BD1195,1)=0,MAX($CC$5:CC1195)+1,""),"")</f>
        <v/>
      </c>
      <c r="CD1196" s="80" t="str">
        <f>IF(AND(BE1196=1,D1196="Malcolm",F1196&amp;""&lt;&gt;""),IF(COUNTIFS($D$5:D1195,"Malcolm",$F$5:F1195,F1196,$BE$5:BE1195,1)=0,MAX($CD$5:CD1195)+1,""),"")</f>
        <v/>
      </c>
      <c r="CE1196" s="80" t="str">
        <f>IF(AND(BD1196=1,D1196="proMX",F1196&amp;""&lt;&gt;""),IF(COUNTIFS($D$5:D1195,"proMX",$F$5:F1195,F1196,$BD$5:BD1195,1)=0,MAX($CE$5:CE1195)+1,""),"")</f>
        <v/>
      </c>
      <c r="CF1196" s="80" t="str">
        <f>IF(AND(D1196="proMX",BD1196=1),IF(OR(BF1196="Draft",BF1196="Submitted",BF1196="Returned",BF1196="Recall Requested"),MAX($CF$5:CF1195)+1,""),"")</f>
        <v/>
      </c>
      <c r="CG1196" s="80">
        <f>IF(BD1196=0,0,IF(D1196="Malcolm",1,MATCH(BF1196,{"Draft","Submitted","Approved","Returned","Recall Requested","Cancelled"},0)+1))</f>
        <v>0</v>
      </c>
      <c r="CH1196" s="80">
        <f>IF(AND(BF1196="Submitted",ISNUMBER(V1196)),IF(V1196&gt;CFG_MAXD,1,0),0)</f>
        <v>0</v>
      </c>
    </row>
    <row r="1197">
      <c r="A1197" s="71" t="str">
        <f>IF(Y1197=1,ROW()-5,"")</f>
        <v/>
      </c>
      <c r="B1197" s="72" t="n"/>
      <c r="C1197" s="71" t="str">
        <f>IF(ISNUMBER(B1197),CHOOSE(WEEKDAY(B1197,2),"Lun","Mar","Mié","Jue","Vie","Sáb","Dom"),"")</f>
        <v/>
      </c>
      <c r="D1197" s="73" t="n"/>
      <c r="E1197" s="74" t="n"/>
      <c r="F1197" s="74" t="n"/>
      <c r="G1197" s="74" t="n"/>
      <c r="H1197" s="75" t="n"/>
      <c r="I1197" s="75" t="n"/>
      <c r="J1197" s="76" t="n"/>
      <c r="K1197" s="77" t="str">
        <f>IF(AB1197=1,ROUND(AG1197/60,4),"")</f>
        <v/>
      </c>
      <c r="L1197" s="77" t="str">
        <f>IF(BD1197=1,ROUND(AP1197/60,4),"")</f>
        <v/>
      </c>
      <c r="M1197" s="77" t="str">
        <f>IF(BD1197=1,ROUND(AQ1197/60,4),"")</f>
        <v/>
      </c>
      <c r="N1197" s="71" t="str">
        <f>IF(AND(D1197="proMX",AB1197=1),ROUND(AG1197/CFG_BLK,2),"")</f>
        <v/>
      </c>
      <c r="O1197" s="77" t="str">
        <f>IF(D1197="proMX",IF(BD1197=1,ROUND(AG1197/60,4),0),"")</f>
        <v/>
      </c>
      <c r="P1197" s="78" t="str">
        <f>IF(Y1197=0,"",IF(BD1197=1,"OK",IF(D1197="proMX","Revisar bloques: ","Revisar: ")&amp;BC1197))</f>
        <v/>
      </c>
      <c r="Q1197" s="78" t="str">
        <f>IF(NOT(ISNUMBER(B1197)),"",IF(COUNTIFS(FER_F,INT(B1197))&gt;0,"Feriado"&amp;IF(AH1197=1," (laborable)"," (no laborable)"),IF(AH1197=1,"Laborable",IF(WEEKDAY(B1197,2)&gt;5,"Fin de semana","No laborable"))))</f>
        <v/>
      </c>
      <c r="R1197" s="73" t="n"/>
      <c r="S1197" s="72" t="n"/>
      <c r="T1197" s="72" t="n"/>
      <c r="U1197" s="74" t="n"/>
      <c r="V1197" s="79" t="str">
        <f>IF(AND(D1197="proMX",OR(R1197="Submitted",R1197="Recall Requested"),ISNUMBER(S1197)),CFG_TODAY-INT(S1197),"")</f>
        <v/>
      </c>
      <c r="W1197" s="78" t="str">
        <f>IF(BD1197=0,"",IF(BA1197&gt;0,"⚠ Se superpone con un registro de la otra empresa",IF(D1197="Malcolm",IF(COUNTA(R1197,S1197,T1197)&gt;0,"Estado/fechas proMX se ignoran en Malcolm",""),IF(BF1197="Cancelled","Cancelado: excluido de totales",IF(R1197="","Sin estado: se trata como Draft",IF(BF1197="Submitted",IF(ISNUMBER(V1197),IF(V1197&gt;CFG_MAXD,"⚠ "&amp;V1197&amp;" días en Submitted (máx. "&amp;CFG_MAXD&amp;")",""),"Falta fecha de envío"),IF(BF1197="Returned","⚠ Devuelto: corregir y reenviar",IF(BF1197="Recall Requested","Retirada solicitada: pendiente",IF(AND(BF1197="Approved",NOT(ISNUMBER(T1197))),"Falta fecha de aprobación",IF(AND(ISNUMBER(S1197),ISNUMBER(T1197),T1197&lt;S1197),"Aprobación anterior al envío","")))))))))</f>
        <v/>
      </c>
      <c r="Y1197" s="80">
        <f>IF(COUNTA(B1197,D1197,E1197,F1197,G1197,H1197,I1197,J1197,R1197,S1197,T1197)&gt;0,1,0)</f>
        <v>0</v>
      </c>
      <c r="Z1197" s="80" t="str">
        <f>IF(AND(ISNUMBER(H1197),H1197&gt;=0,H1197&lt;1),ROUND(H1197*1440,0),"")</f>
        <v/>
      </c>
      <c r="AA1197" s="80" t="str">
        <f>IF(AND(ISNUMBER(I1197),I1197&gt;=0,I1197&lt;1),ROUND(I1197*1440,0),"")</f>
        <v/>
      </c>
      <c r="AB1197" s="80">
        <f>IF(AND(ISNUMBER(B1197),D1197&lt;&gt;"",ISNUMBER(Z1197),ISNUMBER(AA1197)),IF(Z1197=AA1197,0,1),0)</f>
        <v>0</v>
      </c>
      <c r="AC1197" s="80">
        <f>IF(AB1197=1,IF(AA1197&lt;Z1197,1,0),0)</f>
        <v>0</v>
      </c>
      <c r="AD1197" s="80">
        <f>IF(AB1197=1,IF(AC1197=1,1440-Z1197+AA1197,AA1197-Z1197),0)</f>
        <v>0</v>
      </c>
      <c r="AE1197" s="80">
        <f>IF(J1197="",0,IF(ISNUMBER(J1197),J1197,-1))</f>
        <v>0</v>
      </c>
      <c r="AF1197" s="80">
        <f>MIN(MAX(0,AE1197),AD1197)</f>
        <v>0</v>
      </c>
      <c r="AG1197" s="80">
        <f>MAX(0,AD1197-MAX(0,AE1197))</f>
        <v>0</v>
      </c>
      <c r="AH1197" s="80">
        <f>IF(ISNUMBER(B1197),IF(AND(INDEX(CFG_WDAYS,WEEKDAY(INT(B1197),2))="Sí",IF(D1197="proMX",COUNTIFS(FER_F,INT(B1197),FER_NLP,"Sí"),COUNTIFS(FER_F,INT(B1197),FER_NLM,"Sí"))=0),1,0),0)</f>
        <v>0</v>
      </c>
      <c r="AI1197" s="80">
        <f>IF(AC1197=1,IF(AND(INDEX(CFG_WDAYS,WEEKDAY(INT(B1197)+1,2))="Sí",IF(D1197="proMX",COUNTIFS(FER_F,INT(B1197)+1,FER_NLP,"Sí"),COUNTIFS(FER_F,INT(B1197)+1,FER_NLM,"Sí"))=0),1,0),0)</f>
        <v>0</v>
      </c>
      <c r="AJ1197" s="80">
        <f>IF(AC1197=1,1440-Z1197,AD1197)</f>
        <v>0</v>
      </c>
      <c r="AK1197" s="80">
        <f>IF(AND(AB1197=1,AH1197=1),MAX(0,MIN(IF(AC1197=1,1440,AA1197),CFG_WEM)-MAX(Z1197,CFG_WSM)),0)</f>
        <v>0</v>
      </c>
      <c r="AL1197" s="80">
        <f>IF(AND(AC1197=1,AI1197=1),MAX(0,MIN(AA1197,CFG_WEM)-CFG_WSM),0)</f>
        <v>0</v>
      </c>
      <c r="AM1197" s="80">
        <f>AK1197+AL1197</f>
        <v>0</v>
      </c>
      <c r="AN1197" s="80">
        <f>IF(CFG_BRK="Proporcional",IF(AD1197=0,0,AF1197*AM1197/AD1197),IF(CFG_BRK="Extras primero",MIN(AM1197,MAX(0,AF1197-(AD1197-AM1197))),MIN(AF1197,AM1197)))</f>
        <v>0</v>
      </c>
      <c r="AO1197" s="80">
        <f>AF1197-AN1197</f>
        <v>0</v>
      </c>
      <c r="AP1197" s="80">
        <f>AM1197-AN1197</f>
        <v>0</v>
      </c>
      <c r="AQ1197" s="80">
        <f>AD1197-AM1197-AO1197</f>
        <v>0</v>
      </c>
      <c r="AR1197" s="80">
        <f>IF(AM1197=0,0,AK1197-AN1197*AK1197/AM1197)</f>
        <v>0</v>
      </c>
      <c r="AS1197" s="80">
        <f>IF(AD1197-AM1197=0,0,(AJ1197-AK1197)-AO1197*(AJ1197-AK1197)/(AD1197-AM1197))</f>
        <v>0</v>
      </c>
      <c r="AT1197" s="80" t="str">
        <f>IF(AC1197=1,INT(B1197)+1,"")</f>
        <v/>
      </c>
      <c r="AU1197" s="80">
        <f>IF(AND(D1197="proMX",R1197="Cancelled"),0,1)</f>
        <v>1</v>
      </c>
      <c r="AV1197" s="80">
        <f>IF(AND(AB1197=1,AU1197=1),IF(COUNTIFS($D$5:D1196,D1197,$B$5:B1196,B1197,$Z$5:Z1196,Z1197,$AA$5:AA1196,AA1197,$F$5:F1196,F1197&amp;"",$AU$5:AU1196,1)&gt;0,1,0),0)</f>
        <v>0</v>
      </c>
      <c r="AW1197" s="80" t="str">
        <f>IF(AB1197=1,INT(B1197)*1440+Z1197,"")</f>
        <v/>
      </c>
      <c r="AX1197" s="80" t="str">
        <f>IF(AB1197=1,AW1197+AD1197,"")</f>
        <v/>
      </c>
      <c r="AY1197" s="80">
        <f>IF(AND(AB1197=1,AV1197=0,AU1197=1),1,0)</f>
        <v>0</v>
      </c>
      <c r="AZ1197" s="80">
        <f>IF(AY1197=1,COUNTIFS(R_Emp,D1197,R_SAbs,"&lt;"&amp;AX1197,R_EAbs,"&gt;"&amp;AW1197,R_OKey,1)-1,0)</f>
        <v>0</v>
      </c>
      <c r="BA1197" s="80">
        <f>IF(AY1197=1,COUNTIFS(R_Emp,"&lt;&gt;"&amp;D1197,R_SAbs,"&lt;"&amp;AX1197,R_EAbs,"&gt;"&amp;AW1197,R_OKey,1),0)</f>
        <v>0</v>
      </c>
      <c r="BB1197" s="80">
        <f>IF(AND(AB1197=1,D1197="proMX"),IF(AND(MOD(Z1197,CFG_BLK)=0,MOD(AA1197,CFG_BLK)=0,MOD(AG1197,CFG_BLK)=0,AG1197&gt;0),1,0),1)</f>
        <v>1</v>
      </c>
      <c r="BC1197" s="80" t="str">
        <f>IF(Y1197=0,"",IF(NOT(ISNUMBER(B1197)),"Falta fecha o fecha inválida",IF(D1197="","Falta empresa",IF(AND(D1197&lt;&gt;"Malcolm",D1197&lt;&gt;"proMX"),"Empresa inválida",IF(OR(INT(B1197)&lt;CFG_PSTART,INT(B1197)&gt;CFG_PEND),"Fecha fuera del período",IF(OR(NOT(ISNUMBER(Z1197)),NOT(ISNUMBER(AA1197))),"Falta hora inicio/fin o formato inválido",IF(AB1197=0,"Hora inicio = hora fin",IF(AE1197&lt;0,"Descanso inválido",IF(AE1197&gt;=AD1197,"Descanso ≥ duración",IF(AV1197=1,"Registro duplicado",IF(AZ1197&gt;0,"Se superpone con otro registro "&amp;D1197,IF(BB1197=0,"inicio, fin y duración neta deben ser múltiplos de "&amp;CFG_BLK&amp;" min",""))))))))))))</f>
        <v/>
      </c>
      <c r="BD1197" s="80">
        <f>IF(AND(Y1197=1,BC1197=""),1,0)</f>
        <v>0</v>
      </c>
      <c r="BE1197" s="80">
        <f>IF(AND(BD1197=1,AU1197=1),1,0)</f>
        <v>0</v>
      </c>
      <c r="BF1197" s="80" t="str">
        <f>IF(AND(D1197="proMX",BD1197=1),IF(R1197="","Draft",R1197),"")</f>
        <v/>
      </c>
      <c r="BG1197" s="80">
        <f>IF(BD1197=1,ROUND(AG1197/60,6),0)</f>
        <v>0</v>
      </c>
      <c r="BH1197" s="80">
        <f>IF(BE1197=1,ROUND(AG1197/60,6),0)</f>
        <v>0</v>
      </c>
      <c r="BI1197" s="80">
        <f>IF(BE1197=1,ROUND(AP1197/60,6),0)</f>
        <v>0</v>
      </c>
      <c r="BJ1197" s="80">
        <f>IF(BE1197=1,ROUND(AQ1197/60,6),0)</f>
        <v>0</v>
      </c>
      <c r="BK1197" s="80">
        <f>IF(BE1197=1,ROUND((AR1197+AS1197)/60,6),0)</f>
        <v>0</v>
      </c>
      <c r="BL1197" s="80">
        <f>ROUND(BH1197-BK1197,6)</f>
        <v>0</v>
      </c>
      <c r="BM1197" s="80">
        <f>IF(BE1197=1,ROUND(AR1197/60,6),0)</f>
        <v>0</v>
      </c>
      <c r="BN1197" s="80">
        <f>ROUND(BI1197-BM1197,6)</f>
        <v>0</v>
      </c>
      <c r="BO1197" s="80">
        <f>IF(BE1197=1,ROUND(AS1197/60,6),0)</f>
        <v>0</v>
      </c>
      <c r="BP1197" s="80">
        <f>ROUND(BJ1197-BO1197,6)</f>
        <v>0</v>
      </c>
      <c r="BQ1197" s="80">
        <f>IF(BE1197=1,AW1197,0)</f>
        <v>0</v>
      </c>
      <c r="BR1197" s="80">
        <f>IF(BE1197=1,AX1197,0)</f>
        <v>0</v>
      </c>
      <c r="BS1197" s="80">
        <f>IF(AND(BE1197=1,D1197="Malcolm",BA1197&gt;0),MIN(BH1197,SUMPRODUCT((R_Emp="proMX")*(R_EN&gt;0)*((R_EN-(R_EN&gt;BR1197)*(R_EN-BR1197))&gt;(R_SN+(R_SN&lt;BQ1197)*(BQ1197-R_SN)))*((R_EN-(R_EN&gt;BR1197)*(R_EN-BR1197))-(R_SN+(R_SN&lt;BQ1197)*(BQ1197-R_SN))))/60),0)</f>
        <v>0</v>
      </c>
      <c r="BT1197" s="80">
        <f>IF(AND(BE1197=1,D1197="proMX"),ROUND(BI1197*CFG_RATE+BJ1197*CFG_OTRATE,6),0)</f>
        <v>0</v>
      </c>
      <c r="BU1197" s="80">
        <f>IF(AND(BD1197=1,D1197="proMX"),ROUND(AG1197/CFG_BLK,6),0)</f>
        <v>0</v>
      </c>
      <c r="BV1197" s="80" t="str">
        <f>IF(BF1197="Approved",IF(ISNUMBER(T1197),INT(T1197),INT(B1197)),"")</f>
        <v/>
      </c>
      <c r="BW1197" s="80">
        <f>IF(ISNUMBER(B1197),IF(DB_MON="Todos",1,IF(AND(INT(B1197)&gt;=DB_MS,INT(B1197)&lt;=DB_ME),1,0)),0)</f>
        <v>0</v>
      </c>
      <c r="BX1197" s="80">
        <f>IF(DB_PROJ="Todos",1,IF(E1197&amp;""=DB_PROJ&amp;"",1,0))</f>
        <v>1</v>
      </c>
      <c r="BY1197" s="80">
        <f>BW1197*BX1197</f>
        <v>0</v>
      </c>
      <c r="BZ1197" s="80" t="str">
        <f>IF(Y1197=1,F1197&amp;IF(AND(F1197&amp;""&lt;&gt;"",E1197&amp;""&lt;&gt;"")," · ","")&amp;E1197,"")</f>
        <v/>
      </c>
      <c r="CA1197" s="80" t="str">
        <f>IF(AND(BD1197=1,E1197&amp;""&lt;&gt;""),IF(COUNTIFS($E$5:E1196,E1197,$BD$5:BD1196,1)=0,MAX($CA$5:CA1196)+1,""),"")</f>
        <v/>
      </c>
      <c r="CB1197" s="80" t="str">
        <f>IF(AND(BE1197=1,D1197="Malcolm",E1197&amp;""&lt;&gt;""),IF(COUNTIFS($D$5:D1196,"Malcolm",$E$5:E1196,E1197,$BE$5:BE1196,1)=0,MAX($CB$5:CB1196)+1,""),"")</f>
        <v/>
      </c>
      <c r="CC1197" s="80" t="str">
        <f>IF(AND(BD1197=1,D1197="proMX",E1197&amp;""&lt;&gt;""),IF(COUNTIFS($D$5:D1196,"proMX",$E$5:E1196,E1197,$BD$5:BD1196,1)=0,MAX($CC$5:CC1196)+1,""),"")</f>
        <v/>
      </c>
      <c r="CD1197" s="80" t="str">
        <f>IF(AND(BE1197=1,D1197="Malcolm",F1197&amp;""&lt;&gt;""),IF(COUNTIFS($D$5:D1196,"Malcolm",$F$5:F1196,F1197,$BE$5:BE1196,1)=0,MAX($CD$5:CD1196)+1,""),"")</f>
        <v/>
      </c>
      <c r="CE1197" s="80" t="str">
        <f>IF(AND(BD1197=1,D1197="proMX",F1197&amp;""&lt;&gt;""),IF(COUNTIFS($D$5:D1196,"proMX",$F$5:F1196,F1197,$BD$5:BD1196,1)=0,MAX($CE$5:CE1196)+1,""),"")</f>
        <v/>
      </c>
      <c r="CF1197" s="80" t="str">
        <f>IF(AND(D1197="proMX",BD1197=1),IF(OR(BF1197="Draft",BF1197="Submitted",BF1197="Returned",BF1197="Recall Requested"),MAX($CF$5:CF1196)+1,""),"")</f>
        <v/>
      </c>
      <c r="CG1197" s="80">
        <f>IF(BD1197=0,0,IF(D1197="Malcolm",1,MATCH(BF1197,{"Draft","Submitted","Approved","Returned","Recall Requested","Cancelled"},0)+1))</f>
        <v>0</v>
      </c>
      <c r="CH1197" s="80">
        <f>IF(AND(BF1197="Submitted",ISNUMBER(V1197)),IF(V1197&gt;CFG_MAXD,1,0),0)</f>
        <v>0</v>
      </c>
    </row>
    <row r="1198">
      <c r="A1198" s="71" t="str">
        <f>IF(Y1198=1,ROW()-5,"")</f>
        <v/>
      </c>
      <c r="B1198" s="72" t="n"/>
      <c r="C1198" s="71" t="str">
        <f>IF(ISNUMBER(B1198),CHOOSE(WEEKDAY(B1198,2),"Lun","Mar","Mié","Jue","Vie","Sáb","Dom"),"")</f>
        <v/>
      </c>
      <c r="D1198" s="73" t="n"/>
      <c r="E1198" s="74" t="n"/>
      <c r="F1198" s="74" t="n"/>
      <c r="G1198" s="74" t="n"/>
      <c r="H1198" s="75" t="n"/>
      <c r="I1198" s="75" t="n"/>
      <c r="J1198" s="76" t="n"/>
      <c r="K1198" s="77" t="str">
        <f>IF(AB1198=1,ROUND(AG1198/60,4),"")</f>
        <v/>
      </c>
      <c r="L1198" s="77" t="str">
        <f>IF(BD1198=1,ROUND(AP1198/60,4),"")</f>
        <v/>
      </c>
      <c r="M1198" s="77" t="str">
        <f>IF(BD1198=1,ROUND(AQ1198/60,4),"")</f>
        <v/>
      </c>
      <c r="N1198" s="71" t="str">
        <f>IF(AND(D1198="proMX",AB1198=1),ROUND(AG1198/CFG_BLK,2),"")</f>
        <v/>
      </c>
      <c r="O1198" s="77" t="str">
        <f>IF(D1198="proMX",IF(BD1198=1,ROUND(AG1198/60,4),0),"")</f>
        <v/>
      </c>
      <c r="P1198" s="78" t="str">
        <f>IF(Y1198=0,"",IF(BD1198=1,"OK",IF(D1198="proMX","Revisar bloques: ","Revisar: ")&amp;BC1198))</f>
        <v/>
      </c>
      <c r="Q1198" s="78" t="str">
        <f>IF(NOT(ISNUMBER(B1198)),"",IF(COUNTIFS(FER_F,INT(B1198))&gt;0,"Feriado"&amp;IF(AH1198=1," (laborable)"," (no laborable)"),IF(AH1198=1,"Laborable",IF(WEEKDAY(B1198,2)&gt;5,"Fin de semana","No laborable"))))</f>
        <v/>
      </c>
      <c r="R1198" s="73" t="n"/>
      <c r="S1198" s="72" t="n"/>
      <c r="T1198" s="72" t="n"/>
      <c r="U1198" s="74" t="n"/>
      <c r="V1198" s="79" t="str">
        <f>IF(AND(D1198="proMX",OR(R1198="Submitted",R1198="Recall Requested"),ISNUMBER(S1198)),CFG_TODAY-INT(S1198),"")</f>
        <v/>
      </c>
      <c r="W1198" s="78" t="str">
        <f>IF(BD1198=0,"",IF(BA1198&gt;0,"⚠ Se superpone con un registro de la otra empresa",IF(D1198="Malcolm",IF(COUNTA(R1198,S1198,T1198)&gt;0,"Estado/fechas proMX se ignoran en Malcolm",""),IF(BF1198="Cancelled","Cancelado: excluido de totales",IF(R1198="","Sin estado: se trata como Draft",IF(BF1198="Submitted",IF(ISNUMBER(V1198),IF(V1198&gt;CFG_MAXD,"⚠ "&amp;V1198&amp;" días en Submitted (máx. "&amp;CFG_MAXD&amp;")",""),"Falta fecha de envío"),IF(BF1198="Returned","⚠ Devuelto: corregir y reenviar",IF(BF1198="Recall Requested","Retirada solicitada: pendiente",IF(AND(BF1198="Approved",NOT(ISNUMBER(T1198))),"Falta fecha de aprobación",IF(AND(ISNUMBER(S1198),ISNUMBER(T1198),T1198&lt;S1198),"Aprobación anterior al envío","")))))))))</f>
        <v/>
      </c>
      <c r="Y1198" s="80">
        <f>IF(COUNTA(B1198,D1198,E1198,F1198,G1198,H1198,I1198,J1198,R1198,S1198,T1198)&gt;0,1,0)</f>
        <v>0</v>
      </c>
      <c r="Z1198" s="80" t="str">
        <f>IF(AND(ISNUMBER(H1198),H1198&gt;=0,H1198&lt;1),ROUND(H1198*1440,0),"")</f>
        <v/>
      </c>
      <c r="AA1198" s="80" t="str">
        <f>IF(AND(ISNUMBER(I1198),I1198&gt;=0,I1198&lt;1),ROUND(I1198*1440,0),"")</f>
        <v/>
      </c>
      <c r="AB1198" s="80">
        <f>IF(AND(ISNUMBER(B1198),D1198&lt;&gt;"",ISNUMBER(Z1198),ISNUMBER(AA1198)),IF(Z1198=AA1198,0,1),0)</f>
        <v>0</v>
      </c>
      <c r="AC1198" s="80">
        <f>IF(AB1198=1,IF(AA1198&lt;Z1198,1,0),0)</f>
        <v>0</v>
      </c>
      <c r="AD1198" s="80">
        <f>IF(AB1198=1,IF(AC1198=1,1440-Z1198+AA1198,AA1198-Z1198),0)</f>
        <v>0</v>
      </c>
      <c r="AE1198" s="80">
        <f>IF(J1198="",0,IF(ISNUMBER(J1198),J1198,-1))</f>
        <v>0</v>
      </c>
      <c r="AF1198" s="80">
        <f>MIN(MAX(0,AE1198),AD1198)</f>
        <v>0</v>
      </c>
      <c r="AG1198" s="80">
        <f>MAX(0,AD1198-MAX(0,AE1198))</f>
        <v>0</v>
      </c>
      <c r="AH1198" s="80">
        <f>IF(ISNUMBER(B1198),IF(AND(INDEX(CFG_WDAYS,WEEKDAY(INT(B1198),2))="Sí",IF(D1198="proMX",COUNTIFS(FER_F,INT(B1198),FER_NLP,"Sí"),COUNTIFS(FER_F,INT(B1198),FER_NLM,"Sí"))=0),1,0),0)</f>
        <v>0</v>
      </c>
      <c r="AI1198" s="80">
        <f>IF(AC1198=1,IF(AND(INDEX(CFG_WDAYS,WEEKDAY(INT(B1198)+1,2))="Sí",IF(D1198="proMX",COUNTIFS(FER_F,INT(B1198)+1,FER_NLP,"Sí"),COUNTIFS(FER_F,INT(B1198)+1,FER_NLM,"Sí"))=0),1,0),0)</f>
        <v>0</v>
      </c>
      <c r="AJ1198" s="80">
        <f>IF(AC1198=1,1440-Z1198,AD1198)</f>
        <v>0</v>
      </c>
      <c r="AK1198" s="80">
        <f>IF(AND(AB1198=1,AH1198=1),MAX(0,MIN(IF(AC1198=1,1440,AA1198),CFG_WEM)-MAX(Z1198,CFG_WSM)),0)</f>
        <v>0</v>
      </c>
      <c r="AL1198" s="80">
        <f>IF(AND(AC1198=1,AI1198=1),MAX(0,MIN(AA1198,CFG_WEM)-CFG_WSM),0)</f>
        <v>0</v>
      </c>
      <c r="AM1198" s="80">
        <f>AK1198+AL1198</f>
        <v>0</v>
      </c>
      <c r="AN1198" s="80">
        <f>IF(CFG_BRK="Proporcional",IF(AD1198=0,0,AF1198*AM1198/AD1198),IF(CFG_BRK="Extras primero",MIN(AM1198,MAX(0,AF1198-(AD1198-AM1198))),MIN(AF1198,AM1198)))</f>
        <v>0</v>
      </c>
      <c r="AO1198" s="80">
        <f>AF1198-AN1198</f>
        <v>0</v>
      </c>
      <c r="AP1198" s="80">
        <f>AM1198-AN1198</f>
        <v>0</v>
      </c>
      <c r="AQ1198" s="80">
        <f>AD1198-AM1198-AO1198</f>
        <v>0</v>
      </c>
      <c r="AR1198" s="80">
        <f>IF(AM1198=0,0,AK1198-AN1198*AK1198/AM1198)</f>
        <v>0</v>
      </c>
      <c r="AS1198" s="80">
        <f>IF(AD1198-AM1198=0,0,(AJ1198-AK1198)-AO1198*(AJ1198-AK1198)/(AD1198-AM1198))</f>
        <v>0</v>
      </c>
      <c r="AT1198" s="80" t="str">
        <f>IF(AC1198=1,INT(B1198)+1,"")</f>
        <v/>
      </c>
      <c r="AU1198" s="80">
        <f>IF(AND(D1198="proMX",R1198="Cancelled"),0,1)</f>
        <v>1</v>
      </c>
      <c r="AV1198" s="80">
        <f>IF(AND(AB1198=1,AU1198=1),IF(COUNTIFS($D$5:D1197,D1198,$B$5:B1197,B1198,$Z$5:Z1197,Z1198,$AA$5:AA1197,AA1198,$F$5:F1197,F1198&amp;"",$AU$5:AU1197,1)&gt;0,1,0),0)</f>
        <v>0</v>
      </c>
      <c r="AW1198" s="80" t="str">
        <f>IF(AB1198=1,INT(B1198)*1440+Z1198,"")</f>
        <v/>
      </c>
      <c r="AX1198" s="80" t="str">
        <f>IF(AB1198=1,AW1198+AD1198,"")</f>
        <v/>
      </c>
      <c r="AY1198" s="80">
        <f>IF(AND(AB1198=1,AV1198=0,AU1198=1),1,0)</f>
        <v>0</v>
      </c>
      <c r="AZ1198" s="80">
        <f>IF(AY1198=1,COUNTIFS(R_Emp,D1198,R_SAbs,"&lt;"&amp;AX1198,R_EAbs,"&gt;"&amp;AW1198,R_OKey,1)-1,0)</f>
        <v>0</v>
      </c>
      <c r="BA1198" s="80">
        <f>IF(AY1198=1,COUNTIFS(R_Emp,"&lt;&gt;"&amp;D1198,R_SAbs,"&lt;"&amp;AX1198,R_EAbs,"&gt;"&amp;AW1198,R_OKey,1),0)</f>
        <v>0</v>
      </c>
      <c r="BB1198" s="80">
        <f>IF(AND(AB1198=1,D1198="proMX"),IF(AND(MOD(Z1198,CFG_BLK)=0,MOD(AA1198,CFG_BLK)=0,MOD(AG1198,CFG_BLK)=0,AG1198&gt;0),1,0),1)</f>
        <v>1</v>
      </c>
      <c r="BC1198" s="80" t="str">
        <f>IF(Y1198=0,"",IF(NOT(ISNUMBER(B1198)),"Falta fecha o fecha inválida",IF(D1198="","Falta empresa",IF(AND(D1198&lt;&gt;"Malcolm",D1198&lt;&gt;"proMX"),"Empresa inválida",IF(OR(INT(B1198)&lt;CFG_PSTART,INT(B1198)&gt;CFG_PEND),"Fecha fuera del período",IF(OR(NOT(ISNUMBER(Z1198)),NOT(ISNUMBER(AA1198))),"Falta hora inicio/fin o formato inválido",IF(AB1198=0,"Hora inicio = hora fin",IF(AE1198&lt;0,"Descanso inválido",IF(AE1198&gt;=AD1198,"Descanso ≥ duración",IF(AV1198=1,"Registro duplicado",IF(AZ1198&gt;0,"Se superpone con otro registro "&amp;D1198,IF(BB1198=0,"inicio, fin y duración neta deben ser múltiplos de "&amp;CFG_BLK&amp;" min",""))))))))))))</f>
        <v/>
      </c>
      <c r="BD1198" s="80">
        <f>IF(AND(Y1198=1,BC1198=""),1,0)</f>
        <v>0</v>
      </c>
      <c r="BE1198" s="80">
        <f>IF(AND(BD1198=1,AU1198=1),1,0)</f>
        <v>0</v>
      </c>
      <c r="BF1198" s="80" t="str">
        <f>IF(AND(D1198="proMX",BD1198=1),IF(R1198="","Draft",R1198),"")</f>
        <v/>
      </c>
      <c r="BG1198" s="80">
        <f>IF(BD1198=1,ROUND(AG1198/60,6),0)</f>
        <v>0</v>
      </c>
      <c r="BH1198" s="80">
        <f>IF(BE1198=1,ROUND(AG1198/60,6),0)</f>
        <v>0</v>
      </c>
      <c r="BI1198" s="80">
        <f>IF(BE1198=1,ROUND(AP1198/60,6),0)</f>
        <v>0</v>
      </c>
      <c r="BJ1198" s="80">
        <f>IF(BE1198=1,ROUND(AQ1198/60,6),0)</f>
        <v>0</v>
      </c>
      <c r="BK1198" s="80">
        <f>IF(BE1198=1,ROUND((AR1198+AS1198)/60,6),0)</f>
        <v>0</v>
      </c>
      <c r="BL1198" s="80">
        <f>ROUND(BH1198-BK1198,6)</f>
        <v>0</v>
      </c>
      <c r="BM1198" s="80">
        <f>IF(BE1198=1,ROUND(AR1198/60,6),0)</f>
        <v>0</v>
      </c>
      <c r="BN1198" s="80">
        <f>ROUND(BI1198-BM1198,6)</f>
        <v>0</v>
      </c>
      <c r="BO1198" s="80">
        <f>IF(BE1198=1,ROUND(AS1198/60,6),0)</f>
        <v>0</v>
      </c>
      <c r="BP1198" s="80">
        <f>ROUND(BJ1198-BO1198,6)</f>
        <v>0</v>
      </c>
      <c r="BQ1198" s="80">
        <f>IF(BE1198=1,AW1198,0)</f>
        <v>0</v>
      </c>
      <c r="BR1198" s="80">
        <f>IF(BE1198=1,AX1198,0)</f>
        <v>0</v>
      </c>
      <c r="BS1198" s="80">
        <f>IF(AND(BE1198=1,D1198="Malcolm",BA1198&gt;0),MIN(BH1198,SUMPRODUCT((R_Emp="proMX")*(R_EN&gt;0)*((R_EN-(R_EN&gt;BR1198)*(R_EN-BR1198))&gt;(R_SN+(R_SN&lt;BQ1198)*(BQ1198-R_SN)))*((R_EN-(R_EN&gt;BR1198)*(R_EN-BR1198))-(R_SN+(R_SN&lt;BQ1198)*(BQ1198-R_SN))))/60),0)</f>
        <v>0</v>
      </c>
      <c r="BT1198" s="80">
        <f>IF(AND(BE1198=1,D1198="proMX"),ROUND(BI1198*CFG_RATE+BJ1198*CFG_OTRATE,6),0)</f>
        <v>0</v>
      </c>
      <c r="BU1198" s="80">
        <f>IF(AND(BD1198=1,D1198="proMX"),ROUND(AG1198/CFG_BLK,6),0)</f>
        <v>0</v>
      </c>
      <c r="BV1198" s="80" t="str">
        <f>IF(BF1198="Approved",IF(ISNUMBER(T1198),INT(T1198),INT(B1198)),"")</f>
        <v/>
      </c>
      <c r="BW1198" s="80">
        <f>IF(ISNUMBER(B1198),IF(DB_MON="Todos",1,IF(AND(INT(B1198)&gt;=DB_MS,INT(B1198)&lt;=DB_ME),1,0)),0)</f>
        <v>0</v>
      </c>
      <c r="BX1198" s="80">
        <f>IF(DB_PROJ="Todos",1,IF(E1198&amp;""=DB_PROJ&amp;"",1,0))</f>
        <v>1</v>
      </c>
      <c r="BY1198" s="80">
        <f>BW1198*BX1198</f>
        <v>0</v>
      </c>
      <c r="BZ1198" s="80" t="str">
        <f>IF(Y1198=1,F1198&amp;IF(AND(F1198&amp;""&lt;&gt;"",E1198&amp;""&lt;&gt;"")," · ","")&amp;E1198,"")</f>
        <v/>
      </c>
      <c r="CA1198" s="80" t="str">
        <f>IF(AND(BD1198=1,E1198&amp;""&lt;&gt;""),IF(COUNTIFS($E$5:E1197,E1198,$BD$5:BD1197,1)=0,MAX($CA$5:CA1197)+1,""),"")</f>
        <v/>
      </c>
      <c r="CB1198" s="80" t="str">
        <f>IF(AND(BE1198=1,D1198="Malcolm",E1198&amp;""&lt;&gt;""),IF(COUNTIFS($D$5:D1197,"Malcolm",$E$5:E1197,E1198,$BE$5:BE1197,1)=0,MAX($CB$5:CB1197)+1,""),"")</f>
        <v/>
      </c>
      <c r="CC1198" s="80" t="str">
        <f>IF(AND(BD1198=1,D1198="proMX",E1198&amp;""&lt;&gt;""),IF(COUNTIFS($D$5:D1197,"proMX",$E$5:E1197,E1198,$BD$5:BD1197,1)=0,MAX($CC$5:CC1197)+1,""),"")</f>
        <v/>
      </c>
      <c r="CD1198" s="80" t="str">
        <f>IF(AND(BE1198=1,D1198="Malcolm",F1198&amp;""&lt;&gt;""),IF(COUNTIFS($D$5:D1197,"Malcolm",$F$5:F1197,F1198,$BE$5:BE1197,1)=0,MAX($CD$5:CD1197)+1,""),"")</f>
        <v/>
      </c>
      <c r="CE1198" s="80" t="str">
        <f>IF(AND(BD1198=1,D1198="proMX",F1198&amp;""&lt;&gt;""),IF(COUNTIFS($D$5:D1197,"proMX",$F$5:F1197,F1198,$BD$5:BD1197,1)=0,MAX($CE$5:CE1197)+1,""),"")</f>
        <v/>
      </c>
      <c r="CF1198" s="80" t="str">
        <f>IF(AND(D1198="proMX",BD1198=1),IF(OR(BF1198="Draft",BF1198="Submitted",BF1198="Returned",BF1198="Recall Requested"),MAX($CF$5:CF1197)+1,""),"")</f>
        <v/>
      </c>
      <c r="CG1198" s="80">
        <f>IF(BD1198=0,0,IF(D1198="Malcolm",1,MATCH(BF1198,{"Draft","Submitted","Approved","Returned","Recall Requested","Cancelled"},0)+1))</f>
        <v>0</v>
      </c>
      <c r="CH1198" s="80">
        <f>IF(AND(BF1198="Submitted",ISNUMBER(V1198)),IF(V1198&gt;CFG_MAXD,1,0),0)</f>
        <v>0</v>
      </c>
    </row>
    <row r="1199">
      <c r="A1199" s="71" t="str">
        <f>IF(Y1199=1,ROW()-5,"")</f>
        <v/>
      </c>
      <c r="B1199" s="72" t="n"/>
      <c r="C1199" s="71" t="str">
        <f>IF(ISNUMBER(B1199),CHOOSE(WEEKDAY(B1199,2),"Lun","Mar","Mié","Jue","Vie","Sáb","Dom"),"")</f>
        <v/>
      </c>
      <c r="D1199" s="73" t="n"/>
      <c r="E1199" s="74" t="n"/>
      <c r="F1199" s="74" t="n"/>
      <c r="G1199" s="74" t="n"/>
      <c r="H1199" s="75" t="n"/>
      <c r="I1199" s="75" t="n"/>
      <c r="J1199" s="76" t="n"/>
      <c r="K1199" s="77" t="str">
        <f>IF(AB1199=1,ROUND(AG1199/60,4),"")</f>
        <v/>
      </c>
      <c r="L1199" s="77" t="str">
        <f>IF(BD1199=1,ROUND(AP1199/60,4),"")</f>
        <v/>
      </c>
      <c r="M1199" s="77" t="str">
        <f>IF(BD1199=1,ROUND(AQ1199/60,4),"")</f>
        <v/>
      </c>
      <c r="N1199" s="71" t="str">
        <f>IF(AND(D1199="proMX",AB1199=1),ROUND(AG1199/CFG_BLK,2),"")</f>
        <v/>
      </c>
      <c r="O1199" s="77" t="str">
        <f>IF(D1199="proMX",IF(BD1199=1,ROUND(AG1199/60,4),0),"")</f>
        <v/>
      </c>
      <c r="P1199" s="78" t="str">
        <f>IF(Y1199=0,"",IF(BD1199=1,"OK",IF(D1199="proMX","Revisar bloques: ","Revisar: ")&amp;BC1199))</f>
        <v/>
      </c>
      <c r="Q1199" s="78" t="str">
        <f>IF(NOT(ISNUMBER(B1199)),"",IF(COUNTIFS(FER_F,INT(B1199))&gt;0,"Feriado"&amp;IF(AH1199=1," (laborable)"," (no laborable)"),IF(AH1199=1,"Laborable",IF(WEEKDAY(B1199,2)&gt;5,"Fin de semana","No laborable"))))</f>
        <v/>
      </c>
      <c r="R1199" s="73" t="n"/>
      <c r="S1199" s="72" t="n"/>
      <c r="T1199" s="72" t="n"/>
      <c r="U1199" s="74" t="n"/>
      <c r="V1199" s="79" t="str">
        <f>IF(AND(D1199="proMX",OR(R1199="Submitted",R1199="Recall Requested"),ISNUMBER(S1199)),CFG_TODAY-INT(S1199),"")</f>
        <v/>
      </c>
      <c r="W1199" s="78" t="str">
        <f>IF(BD1199=0,"",IF(BA1199&gt;0,"⚠ Se superpone con un registro de la otra empresa",IF(D1199="Malcolm",IF(COUNTA(R1199,S1199,T1199)&gt;0,"Estado/fechas proMX se ignoran en Malcolm",""),IF(BF1199="Cancelled","Cancelado: excluido de totales",IF(R1199="","Sin estado: se trata como Draft",IF(BF1199="Submitted",IF(ISNUMBER(V1199),IF(V1199&gt;CFG_MAXD,"⚠ "&amp;V1199&amp;" días en Submitted (máx. "&amp;CFG_MAXD&amp;")",""),"Falta fecha de envío"),IF(BF1199="Returned","⚠ Devuelto: corregir y reenviar",IF(BF1199="Recall Requested","Retirada solicitada: pendiente",IF(AND(BF1199="Approved",NOT(ISNUMBER(T1199))),"Falta fecha de aprobación",IF(AND(ISNUMBER(S1199),ISNUMBER(T1199),T1199&lt;S1199),"Aprobación anterior al envío","")))))))))</f>
        <v/>
      </c>
      <c r="Y1199" s="80">
        <f>IF(COUNTA(B1199,D1199,E1199,F1199,G1199,H1199,I1199,J1199,R1199,S1199,T1199)&gt;0,1,0)</f>
        <v>0</v>
      </c>
      <c r="Z1199" s="80" t="str">
        <f>IF(AND(ISNUMBER(H1199),H1199&gt;=0,H1199&lt;1),ROUND(H1199*1440,0),"")</f>
        <v/>
      </c>
      <c r="AA1199" s="80" t="str">
        <f>IF(AND(ISNUMBER(I1199),I1199&gt;=0,I1199&lt;1),ROUND(I1199*1440,0),"")</f>
        <v/>
      </c>
      <c r="AB1199" s="80">
        <f>IF(AND(ISNUMBER(B1199),D1199&lt;&gt;"",ISNUMBER(Z1199),ISNUMBER(AA1199)),IF(Z1199=AA1199,0,1),0)</f>
        <v>0</v>
      </c>
      <c r="AC1199" s="80">
        <f>IF(AB1199=1,IF(AA1199&lt;Z1199,1,0),0)</f>
        <v>0</v>
      </c>
      <c r="AD1199" s="80">
        <f>IF(AB1199=1,IF(AC1199=1,1440-Z1199+AA1199,AA1199-Z1199),0)</f>
        <v>0</v>
      </c>
      <c r="AE1199" s="80">
        <f>IF(J1199="",0,IF(ISNUMBER(J1199),J1199,-1))</f>
        <v>0</v>
      </c>
      <c r="AF1199" s="80">
        <f>MIN(MAX(0,AE1199),AD1199)</f>
        <v>0</v>
      </c>
      <c r="AG1199" s="80">
        <f>MAX(0,AD1199-MAX(0,AE1199))</f>
        <v>0</v>
      </c>
      <c r="AH1199" s="80">
        <f>IF(ISNUMBER(B1199),IF(AND(INDEX(CFG_WDAYS,WEEKDAY(INT(B1199),2))="Sí",IF(D1199="proMX",COUNTIFS(FER_F,INT(B1199),FER_NLP,"Sí"),COUNTIFS(FER_F,INT(B1199),FER_NLM,"Sí"))=0),1,0),0)</f>
        <v>0</v>
      </c>
      <c r="AI1199" s="80">
        <f>IF(AC1199=1,IF(AND(INDEX(CFG_WDAYS,WEEKDAY(INT(B1199)+1,2))="Sí",IF(D1199="proMX",COUNTIFS(FER_F,INT(B1199)+1,FER_NLP,"Sí"),COUNTIFS(FER_F,INT(B1199)+1,FER_NLM,"Sí"))=0),1,0),0)</f>
        <v>0</v>
      </c>
      <c r="AJ1199" s="80">
        <f>IF(AC1199=1,1440-Z1199,AD1199)</f>
        <v>0</v>
      </c>
      <c r="AK1199" s="80">
        <f>IF(AND(AB1199=1,AH1199=1),MAX(0,MIN(IF(AC1199=1,1440,AA1199),CFG_WEM)-MAX(Z1199,CFG_WSM)),0)</f>
        <v>0</v>
      </c>
      <c r="AL1199" s="80">
        <f>IF(AND(AC1199=1,AI1199=1),MAX(0,MIN(AA1199,CFG_WEM)-CFG_WSM),0)</f>
        <v>0</v>
      </c>
      <c r="AM1199" s="80">
        <f>AK1199+AL1199</f>
        <v>0</v>
      </c>
      <c r="AN1199" s="80">
        <f>IF(CFG_BRK="Proporcional",IF(AD1199=0,0,AF1199*AM1199/AD1199),IF(CFG_BRK="Extras primero",MIN(AM1199,MAX(0,AF1199-(AD1199-AM1199))),MIN(AF1199,AM1199)))</f>
        <v>0</v>
      </c>
      <c r="AO1199" s="80">
        <f>AF1199-AN1199</f>
        <v>0</v>
      </c>
      <c r="AP1199" s="80">
        <f>AM1199-AN1199</f>
        <v>0</v>
      </c>
      <c r="AQ1199" s="80">
        <f>AD1199-AM1199-AO1199</f>
        <v>0</v>
      </c>
      <c r="AR1199" s="80">
        <f>IF(AM1199=0,0,AK1199-AN1199*AK1199/AM1199)</f>
        <v>0</v>
      </c>
      <c r="AS1199" s="80">
        <f>IF(AD1199-AM1199=0,0,(AJ1199-AK1199)-AO1199*(AJ1199-AK1199)/(AD1199-AM1199))</f>
        <v>0</v>
      </c>
      <c r="AT1199" s="80" t="str">
        <f>IF(AC1199=1,INT(B1199)+1,"")</f>
        <v/>
      </c>
      <c r="AU1199" s="80">
        <f>IF(AND(D1199="proMX",R1199="Cancelled"),0,1)</f>
        <v>1</v>
      </c>
      <c r="AV1199" s="80">
        <f>IF(AND(AB1199=1,AU1199=1),IF(COUNTIFS($D$5:D1198,D1199,$B$5:B1198,B1199,$Z$5:Z1198,Z1199,$AA$5:AA1198,AA1199,$F$5:F1198,F1199&amp;"",$AU$5:AU1198,1)&gt;0,1,0),0)</f>
        <v>0</v>
      </c>
      <c r="AW1199" s="80" t="str">
        <f>IF(AB1199=1,INT(B1199)*1440+Z1199,"")</f>
        <v/>
      </c>
      <c r="AX1199" s="80" t="str">
        <f>IF(AB1199=1,AW1199+AD1199,"")</f>
        <v/>
      </c>
      <c r="AY1199" s="80">
        <f>IF(AND(AB1199=1,AV1199=0,AU1199=1),1,0)</f>
        <v>0</v>
      </c>
      <c r="AZ1199" s="80">
        <f>IF(AY1199=1,COUNTIFS(R_Emp,D1199,R_SAbs,"&lt;"&amp;AX1199,R_EAbs,"&gt;"&amp;AW1199,R_OKey,1)-1,0)</f>
        <v>0</v>
      </c>
      <c r="BA1199" s="80">
        <f>IF(AY1199=1,COUNTIFS(R_Emp,"&lt;&gt;"&amp;D1199,R_SAbs,"&lt;"&amp;AX1199,R_EAbs,"&gt;"&amp;AW1199,R_OKey,1),0)</f>
        <v>0</v>
      </c>
      <c r="BB1199" s="80">
        <f>IF(AND(AB1199=1,D1199="proMX"),IF(AND(MOD(Z1199,CFG_BLK)=0,MOD(AA1199,CFG_BLK)=0,MOD(AG1199,CFG_BLK)=0,AG1199&gt;0),1,0),1)</f>
        <v>1</v>
      </c>
      <c r="BC1199" s="80" t="str">
        <f>IF(Y1199=0,"",IF(NOT(ISNUMBER(B1199)),"Falta fecha o fecha inválida",IF(D1199="","Falta empresa",IF(AND(D1199&lt;&gt;"Malcolm",D1199&lt;&gt;"proMX"),"Empresa inválida",IF(OR(INT(B1199)&lt;CFG_PSTART,INT(B1199)&gt;CFG_PEND),"Fecha fuera del período",IF(OR(NOT(ISNUMBER(Z1199)),NOT(ISNUMBER(AA1199))),"Falta hora inicio/fin o formato inválido",IF(AB1199=0,"Hora inicio = hora fin",IF(AE1199&lt;0,"Descanso inválido",IF(AE1199&gt;=AD1199,"Descanso ≥ duración",IF(AV1199=1,"Registro duplicado",IF(AZ1199&gt;0,"Se superpone con otro registro "&amp;D1199,IF(BB1199=0,"inicio, fin y duración neta deben ser múltiplos de "&amp;CFG_BLK&amp;" min",""))))))))))))</f>
        <v/>
      </c>
      <c r="BD1199" s="80">
        <f>IF(AND(Y1199=1,BC1199=""),1,0)</f>
        <v>0</v>
      </c>
      <c r="BE1199" s="80">
        <f>IF(AND(BD1199=1,AU1199=1),1,0)</f>
        <v>0</v>
      </c>
      <c r="BF1199" s="80" t="str">
        <f>IF(AND(D1199="proMX",BD1199=1),IF(R1199="","Draft",R1199),"")</f>
        <v/>
      </c>
      <c r="BG1199" s="80">
        <f>IF(BD1199=1,ROUND(AG1199/60,6),0)</f>
        <v>0</v>
      </c>
      <c r="BH1199" s="80">
        <f>IF(BE1199=1,ROUND(AG1199/60,6),0)</f>
        <v>0</v>
      </c>
      <c r="BI1199" s="80">
        <f>IF(BE1199=1,ROUND(AP1199/60,6),0)</f>
        <v>0</v>
      </c>
      <c r="BJ1199" s="80">
        <f>IF(BE1199=1,ROUND(AQ1199/60,6),0)</f>
        <v>0</v>
      </c>
      <c r="BK1199" s="80">
        <f>IF(BE1199=1,ROUND((AR1199+AS1199)/60,6),0)</f>
        <v>0</v>
      </c>
      <c r="BL1199" s="80">
        <f>ROUND(BH1199-BK1199,6)</f>
        <v>0</v>
      </c>
      <c r="BM1199" s="80">
        <f>IF(BE1199=1,ROUND(AR1199/60,6),0)</f>
        <v>0</v>
      </c>
      <c r="BN1199" s="80">
        <f>ROUND(BI1199-BM1199,6)</f>
        <v>0</v>
      </c>
      <c r="BO1199" s="80">
        <f>IF(BE1199=1,ROUND(AS1199/60,6),0)</f>
        <v>0</v>
      </c>
      <c r="BP1199" s="80">
        <f>ROUND(BJ1199-BO1199,6)</f>
        <v>0</v>
      </c>
      <c r="BQ1199" s="80">
        <f>IF(BE1199=1,AW1199,0)</f>
        <v>0</v>
      </c>
      <c r="BR1199" s="80">
        <f>IF(BE1199=1,AX1199,0)</f>
        <v>0</v>
      </c>
      <c r="BS1199" s="80">
        <f>IF(AND(BE1199=1,D1199="Malcolm",BA1199&gt;0),MIN(BH1199,SUMPRODUCT((R_Emp="proMX")*(R_EN&gt;0)*((R_EN-(R_EN&gt;BR1199)*(R_EN-BR1199))&gt;(R_SN+(R_SN&lt;BQ1199)*(BQ1199-R_SN)))*((R_EN-(R_EN&gt;BR1199)*(R_EN-BR1199))-(R_SN+(R_SN&lt;BQ1199)*(BQ1199-R_SN))))/60),0)</f>
        <v>0</v>
      </c>
      <c r="BT1199" s="80">
        <f>IF(AND(BE1199=1,D1199="proMX"),ROUND(BI1199*CFG_RATE+BJ1199*CFG_OTRATE,6),0)</f>
        <v>0</v>
      </c>
      <c r="BU1199" s="80">
        <f>IF(AND(BD1199=1,D1199="proMX"),ROUND(AG1199/CFG_BLK,6),0)</f>
        <v>0</v>
      </c>
      <c r="BV1199" s="80" t="str">
        <f>IF(BF1199="Approved",IF(ISNUMBER(T1199),INT(T1199),INT(B1199)),"")</f>
        <v/>
      </c>
      <c r="BW1199" s="80">
        <f>IF(ISNUMBER(B1199),IF(DB_MON="Todos",1,IF(AND(INT(B1199)&gt;=DB_MS,INT(B1199)&lt;=DB_ME),1,0)),0)</f>
        <v>0</v>
      </c>
      <c r="BX1199" s="80">
        <f>IF(DB_PROJ="Todos",1,IF(E1199&amp;""=DB_PROJ&amp;"",1,0))</f>
        <v>1</v>
      </c>
      <c r="BY1199" s="80">
        <f>BW1199*BX1199</f>
        <v>0</v>
      </c>
      <c r="BZ1199" s="80" t="str">
        <f>IF(Y1199=1,F1199&amp;IF(AND(F1199&amp;""&lt;&gt;"",E1199&amp;""&lt;&gt;"")," · ","")&amp;E1199,"")</f>
        <v/>
      </c>
      <c r="CA1199" s="80" t="str">
        <f>IF(AND(BD1199=1,E1199&amp;""&lt;&gt;""),IF(COUNTIFS($E$5:E1198,E1199,$BD$5:BD1198,1)=0,MAX($CA$5:CA1198)+1,""),"")</f>
        <v/>
      </c>
      <c r="CB1199" s="80" t="str">
        <f>IF(AND(BE1199=1,D1199="Malcolm",E1199&amp;""&lt;&gt;""),IF(COUNTIFS($D$5:D1198,"Malcolm",$E$5:E1198,E1199,$BE$5:BE1198,1)=0,MAX($CB$5:CB1198)+1,""),"")</f>
        <v/>
      </c>
      <c r="CC1199" s="80" t="str">
        <f>IF(AND(BD1199=1,D1199="proMX",E1199&amp;""&lt;&gt;""),IF(COUNTIFS($D$5:D1198,"proMX",$E$5:E1198,E1199,$BD$5:BD1198,1)=0,MAX($CC$5:CC1198)+1,""),"")</f>
        <v/>
      </c>
      <c r="CD1199" s="80" t="str">
        <f>IF(AND(BE1199=1,D1199="Malcolm",F1199&amp;""&lt;&gt;""),IF(COUNTIFS($D$5:D1198,"Malcolm",$F$5:F1198,F1199,$BE$5:BE1198,1)=0,MAX($CD$5:CD1198)+1,""),"")</f>
        <v/>
      </c>
      <c r="CE1199" s="80" t="str">
        <f>IF(AND(BD1199=1,D1199="proMX",F1199&amp;""&lt;&gt;""),IF(COUNTIFS($D$5:D1198,"proMX",$F$5:F1198,F1199,$BD$5:BD1198,1)=0,MAX($CE$5:CE1198)+1,""),"")</f>
        <v/>
      </c>
      <c r="CF1199" s="80" t="str">
        <f>IF(AND(D1199="proMX",BD1199=1),IF(OR(BF1199="Draft",BF1199="Submitted",BF1199="Returned",BF1199="Recall Requested"),MAX($CF$5:CF1198)+1,""),"")</f>
        <v/>
      </c>
      <c r="CG1199" s="80">
        <f>IF(BD1199=0,0,IF(D1199="Malcolm",1,MATCH(BF1199,{"Draft","Submitted","Approved","Returned","Recall Requested","Cancelled"},0)+1))</f>
        <v>0</v>
      </c>
      <c r="CH1199" s="80">
        <f>IF(AND(BF1199="Submitted",ISNUMBER(V1199)),IF(V1199&gt;CFG_MAXD,1,0),0)</f>
        <v>0</v>
      </c>
    </row>
    <row r="1200">
      <c r="A1200" s="71" t="str">
        <f>IF(Y1200=1,ROW()-5,"")</f>
        <v/>
      </c>
      <c r="B1200" s="72" t="n"/>
      <c r="C1200" s="71" t="str">
        <f>IF(ISNUMBER(B1200),CHOOSE(WEEKDAY(B1200,2),"Lun","Mar","Mié","Jue","Vie","Sáb","Dom"),"")</f>
        <v/>
      </c>
      <c r="D1200" s="73" t="n"/>
      <c r="E1200" s="74" t="n"/>
      <c r="F1200" s="74" t="n"/>
      <c r="G1200" s="74" t="n"/>
      <c r="H1200" s="75" t="n"/>
      <c r="I1200" s="75" t="n"/>
      <c r="J1200" s="76" t="n"/>
      <c r="K1200" s="77" t="str">
        <f>IF(AB1200=1,ROUND(AG1200/60,4),"")</f>
        <v/>
      </c>
      <c r="L1200" s="77" t="str">
        <f>IF(BD1200=1,ROUND(AP1200/60,4),"")</f>
        <v/>
      </c>
      <c r="M1200" s="77" t="str">
        <f>IF(BD1200=1,ROUND(AQ1200/60,4),"")</f>
        <v/>
      </c>
      <c r="N1200" s="71" t="str">
        <f>IF(AND(D1200="proMX",AB1200=1),ROUND(AG1200/CFG_BLK,2),"")</f>
        <v/>
      </c>
      <c r="O1200" s="77" t="str">
        <f>IF(D1200="proMX",IF(BD1200=1,ROUND(AG1200/60,4),0),"")</f>
        <v/>
      </c>
      <c r="P1200" s="78" t="str">
        <f>IF(Y1200=0,"",IF(BD1200=1,"OK",IF(D1200="proMX","Revisar bloques: ","Revisar: ")&amp;BC1200))</f>
        <v/>
      </c>
      <c r="Q1200" s="78" t="str">
        <f>IF(NOT(ISNUMBER(B1200)),"",IF(COUNTIFS(FER_F,INT(B1200))&gt;0,"Feriado"&amp;IF(AH1200=1," (laborable)"," (no laborable)"),IF(AH1200=1,"Laborable",IF(WEEKDAY(B1200,2)&gt;5,"Fin de semana","No laborable"))))</f>
        <v/>
      </c>
      <c r="R1200" s="73" t="n"/>
      <c r="S1200" s="72" t="n"/>
      <c r="T1200" s="72" t="n"/>
      <c r="U1200" s="74" t="n"/>
      <c r="V1200" s="79" t="str">
        <f>IF(AND(D1200="proMX",OR(R1200="Submitted",R1200="Recall Requested"),ISNUMBER(S1200)),CFG_TODAY-INT(S1200),"")</f>
        <v/>
      </c>
      <c r="W1200" s="78" t="str">
        <f>IF(BD1200=0,"",IF(BA1200&gt;0,"⚠ Se superpone con un registro de la otra empresa",IF(D1200="Malcolm",IF(COUNTA(R1200,S1200,T1200)&gt;0,"Estado/fechas proMX se ignoran en Malcolm",""),IF(BF1200="Cancelled","Cancelado: excluido de totales",IF(R1200="","Sin estado: se trata como Draft",IF(BF1200="Submitted",IF(ISNUMBER(V1200),IF(V1200&gt;CFG_MAXD,"⚠ "&amp;V1200&amp;" días en Submitted (máx. "&amp;CFG_MAXD&amp;")",""),"Falta fecha de envío"),IF(BF1200="Returned","⚠ Devuelto: corregir y reenviar",IF(BF1200="Recall Requested","Retirada solicitada: pendiente",IF(AND(BF1200="Approved",NOT(ISNUMBER(T1200))),"Falta fecha de aprobación",IF(AND(ISNUMBER(S1200),ISNUMBER(T1200),T1200&lt;S1200),"Aprobación anterior al envío","")))))))))</f>
        <v/>
      </c>
      <c r="Y1200" s="80">
        <f>IF(COUNTA(B1200,D1200,E1200,F1200,G1200,H1200,I1200,J1200,R1200,S1200,T1200)&gt;0,1,0)</f>
        <v>0</v>
      </c>
      <c r="Z1200" s="80" t="str">
        <f>IF(AND(ISNUMBER(H1200),H1200&gt;=0,H1200&lt;1),ROUND(H1200*1440,0),"")</f>
        <v/>
      </c>
      <c r="AA1200" s="80" t="str">
        <f>IF(AND(ISNUMBER(I1200),I1200&gt;=0,I1200&lt;1),ROUND(I1200*1440,0),"")</f>
        <v/>
      </c>
      <c r="AB1200" s="80">
        <f>IF(AND(ISNUMBER(B1200),D1200&lt;&gt;"",ISNUMBER(Z1200),ISNUMBER(AA1200)),IF(Z1200=AA1200,0,1),0)</f>
        <v>0</v>
      </c>
      <c r="AC1200" s="80">
        <f>IF(AB1200=1,IF(AA1200&lt;Z1200,1,0),0)</f>
        <v>0</v>
      </c>
      <c r="AD1200" s="80">
        <f>IF(AB1200=1,IF(AC1200=1,1440-Z1200+AA1200,AA1200-Z1200),0)</f>
        <v>0</v>
      </c>
      <c r="AE1200" s="80">
        <f>IF(J1200="",0,IF(ISNUMBER(J1200),J1200,-1))</f>
        <v>0</v>
      </c>
      <c r="AF1200" s="80">
        <f>MIN(MAX(0,AE1200),AD1200)</f>
        <v>0</v>
      </c>
      <c r="AG1200" s="80">
        <f>MAX(0,AD1200-MAX(0,AE1200))</f>
        <v>0</v>
      </c>
      <c r="AH1200" s="80">
        <f>IF(ISNUMBER(B1200),IF(AND(INDEX(CFG_WDAYS,WEEKDAY(INT(B1200),2))="Sí",IF(D1200="proMX",COUNTIFS(FER_F,INT(B1200),FER_NLP,"Sí"),COUNTIFS(FER_F,INT(B1200),FER_NLM,"Sí"))=0),1,0),0)</f>
        <v>0</v>
      </c>
      <c r="AI1200" s="80">
        <f>IF(AC1200=1,IF(AND(INDEX(CFG_WDAYS,WEEKDAY(INT(B1200)+1,2))="Sí",IF(D1200="proMX",COUNTIFS(FER_F,INT(B1200)+1,FER_NLP,"Sí"),COUNTIFS(FER_F,INT(B1200)+1,FER_NLM,"Sí"))=0),1,0),0)</f>
        <v>0</v>
      </c>
      <c r="AJ1200" s="80">
        <f>IF(AC1200=1,1440-Z1200,AD1200)</f>
        <v>0</v>
      </c>
      <c r="AK1200" s="80">
        <f>IF(AND(AB1200=1,AH1200=1),MAX(0,MIN(IF(AC1200=1,1440,AA1200),CFG_WEM)-MAX(Z1200,CFG_WSM)),0)</f>
        <v>0</v>
      </c>
      <c r="AL1200" s="80">
        <f>IF(AND(AC1200=1,AI1200=1),MAX(0,MIN(AA1200,CFG_WEM)-CFG_WSM),0)</f>
        <v>0</v>
      </c>
      <c r="AM1200" s="80">
        <f>AK1200+AL1200</f>
        <v>0</v>
      </c>
      <c r="AN1200" s="80">
        <f>IF(CFG_BRK="Proporcional",IF(AD1200=0,0,AF1200*AM1200/AD1200),IF(CFG_BRK="Extras primero",MIN(AM1200,MAX(0,AF1200-(AD1200-AM1200))),MIN(AF1200,AM1200)))</f>
        <v>0</v>
      </c>
      <c r="AO1200" s="80">
        <f>AF1200-AN1200</f>
        <v>0</v>
      </c>
      <c r="AP1200" s="80">
        <f>AM1200-AN1200</f>
        <v>0</v>
      </c>
      <c r="AQ1200" s="80">
        <f>AD1200-AM1200-AO1200</f>
        <v>0</v>
      </c>
      <c r="AR1200" s="80">
        <f>IF(AM1200=0,0,AK1200-AN1200*AK1200/AM1200)</f>
        <v>0</v>
      </c>
      <c r="AS1200" s="80">
        <f>IF(AD1200-AM1200=0,0,(AJ1200-AK1200)-AO1200*(AJ1200-AK1200)/(AD1200-AM1200))</f>
        <v>0</v>
      </c>
      <c r="AT1200" s="80" t="str">
        <f>IF(AC1200=1,INT(B1200)+1,"")</f>
        <v/>
      </c>
      <c r="AU1200" s="80">
        <f>IF(AND(D1200="proMX",R1200="Cancelled"),0,1)</f>
        <v>1</v>
      </c>
      <c r="AV1200" s="80">
        <f>IF(AND(AB1200=1,AU1200=1),IF(COUNTIFS($D$5:D1199,D1200,$B$5:B1199,B1200,$Z$5:Z1199,Z1200,$AA$5:AA1199,AA1200,$F$5:F1199,F1200&amp;"",$AU$5:AU1199,1)&gt;0,1,0),0)</f>
        <v>0</v>
      </c>
      <c r="AW1200" s="80" t="str">
        <f>IF(AB1200=1,INT(B1200)*1440+Z1200,"")</f>
        <v/>
      </c>
      <c r="AX1200" s="80" t="str">
        <f>IF(AB1200=1,AW1200+AD1200,"")</f>
        <v/>
      </c>
      <c r="AY1200" s="80">
        <f>IF(AND(AB1200=1,AV1200=0,AU1200=1),1,0)</f>
        <v>0</v>
      </c>
      <c r="AZ1200" s="80">
        <f>IF(AY1200=1,COUNTIFS(R_Emp,D1200,R_SAbs,"&lt;"&amp;AX1200,R_EAbs,"&gt;"&amp;AW1200,R_OKey,1)-1,0)</f>
        <v>0</v>
      </c>
      <c r="BA1200" s="80">
        <f>IF(AY1200=1,COUNTIFS(R_Emp,"&lt;&gt;"&amp;D1200,R_SAbs,"&lt;"&amp;AX1200,R_EAbs,"&gt;"&amp;AW1200,R_OKey,1),0)</f>
        <v>0</v>
      </c>
      <c r="BB1200" s="80">
        <f>IF(AND(AB1200=1,D1200="proMX"),IF(AND(MOD(Z1200,CFG_BLK)=0,MOD(AA1200,CFG_BLK)=0,MOD(AG1200,CFG_BLK)=0,AG1200&gt;0),1,0),1)</f>
        <v>1</v>
      </c>
      <c r="BC1200" s="80" t="str">
        <f>IF(Y1200=0,"",IF(NOT(ISNUMBER(B1200)),"Falta fecha o fecha inválida",IF(D1200="","Falta empresa",IF(AND(D1200&lt;&gt;"Malcolm",D1200&lt;&gt;"proMX"),"Empresa inválida",IF(OR(INT(B1200)&lt;CFG_PSTART,INT(B1200)&gt;CFG_PEND),"Fecha fuera del período",IF(OR(NOT(ISNUMBER(Z1200)),NOT(ISNUMBER(AA1200))),"Falta hora inicio/fin o formato inválido",IF(AB1200=0,"Hora inicio = hora fin",IF(AE1200&lt;0,"Descanso inválido",IF(AE1200&gt;=AD1200,"Descanso ≥ duración",IF(AV1200=1,"Registro duplicado",IF(AZ1200&gt;0,"Se superpone con otro registro "&amp;D1200,IF(BB1200=0,"inicio, fin y duración neta deben ser múltiplos de "&amp;CFG_BLK&amp;" min",""))))))))))))</f>
        <v/>
      </c>
      <c r="BD1200" s="80">
        <f>IF(AND(Y1200=1,BC1200=""),1,0)</f>
        <v>0</v>
      </c>
      <c r="BE1200" s="80">
        <f>IF(AND(BD1200=1,AU1200=1),1,0)</f>
        <v>0</v>
      </c>
      <c r="BF1200" s="80" t="str">
        <f>IF(AND(D1200="proMX",BD1200=1),IF(R1200="","Draft",R1200),"")</f>
        <v/>
      </c>
      <c r="BG1200" s="80">
        <f>IF(BD1200=1,ROUND(AG1200/60,6),0)</f>
        <v>0</v>
      </c>
      <c r="BH1200" s="80">
        <f>IF(BE1200=1,ROUND(AG1200/60,6),0)</f>
        <v>0</v>
      </c>
      <c r="BI1200" s="80">
        <f>IF(BE1200=1,ROUND(AP1200/60,6),0)</f>
        <v>0</v>
      </c>
      <c r="BJ1200" s="80">
        <f>IF(BE1200=1,ROUND(AQ1200/60,6),0)</f>
        <v>0</v>
      </c>
      <c r="BK1200" s="80">
        <f>IF(BE1200=1,ROUND((AR1200+AS1200)/60,6),0)</f>
        <v>0</v>
      </c>
      <c r="BL1200" s="80">
        <f>ROUND(BH1200-BK1200,6)</f>
        <v>0</v>
      </c>
      <c r="BM1200" s="80">
        <f>IF(BE1200=1,ROUND(AR1200/60,6),0)</f>
        <v>0</v>
      </c>
      <c r="BN1200" s="80">
        <f>ROUND(BI1200-BM1200,6)</f>
        <v>0</v>
      </c>
      <c r="BO1200" s="80">
        <f>IF(BE1200=1,ROUND(AS1200/60,6),0)</f>
        <v>0</v>
      </c>
      <c r="BP1200" s="80">
        <f>ROUND(BJ1200-BO1200,6)</f>
        <v>0</v>
      </c>
      <c r="BQ1200" s="80">
        <f>IF(BE1200=1,AW1200,0)</f>
        <v>0</v>
      </c>
      <c r="BR1200" s="80">
        <f>IF(BE1200=1,AX1200,0)</f>
        <v>0</v>
      </c>
      <c r="BS1200" s="80">
        <f>IF(AND(BE1200=1,D1200="Malcolm",BA1200&gt;0),MIN(BH1200,SUMPRODUCT((R_Emp="proMX")*(R_EN&gt;0)*((R_EN-(R_EN&gt;BR1200)*(R_EN-BR1200))&gt;(R_SN+(R_SN&lt;BQ1200)*(BQ1200-R_SN)))*((R_EN-(R_EN&gt;BR1200)*(R_EN-BR1200))-(R_SN+(R_SN&lt;BQ1200)*(BQ1200-R_SN))))/60),0)</f>
        <v>0</v>
      </c>
      <c r="BT1200" s="80">
        <f>IF(AND(BE1200=1,D1200="proMX"),ROUND(BI1200*CFG_RATE+BJ1200*CFG_OTRATE,6),0)</f>
        <v>0</v>
      </c>
      <c r="BU1200" s="80">
        <f>IF(AND(BD1200=1,D1200="proMX"),ROUND(AG1200/CFG_BLK,6),0)</f>
        <v>0</v>
      </c>
      <c r="BV1200" s="80" t="str">
        <f>IF(BF1200="Approved",IF(ISNUMBER(T1200),INT(T1200),INT(B1200)),"")</f>
        <v/>
      </c>
      <c r="BW1200" s="80">
        <f>IF(ISNUMBER(B1200),IF(DB_MON="Todos",1,IF(AND(INT(B1200)&gt;=DB_MS,INT(B1200)&lt;=DB_ME),1,0)),0)</f>
        <v>0</v>
      </c>
      <c r="BX1200" s="80">
        <f>IF(DB_PROJ="Todos",1,IF(E1200&amp;""=DB_PROJ&amp;"",1,0))</f>
        <v>1</v>
      </c>
      <c r="BY1200" s="80">
        <f>BW1200*BX1200</f>
        <v>0</v>
      </c>
      <c r="BZ1200" s="80" t="str">
        <f>IF(Y1200=1,F1200&amp;IF(AND(F1200&amp;""&lt;&gt;"",E1200&amp;""&lt;&gt;"")," · ","")&amp;E1200,"")</f>
        <v/>
      </c>
      <c r="CA1200" s="80" t="str">
        <f>IF(AND(BD1200=1,E1200&amp;""&lt;&gt;""),IF(COUNTIFS($E$5:E1199,E1200,$BD$5:BD1199,1)=0,MAX($CA$5:CA1199)+1,""),"")</f>
        <v/>
      </c>
      <c r="CB1200" s="80" t="str">
        <f>IF(AND(BE1200=1,D1200="Malcolm",E1200&amp;""&lt;&gt;""),IF(COUNTIFS($D$5:D1199,"Malcolm",$E$5:E1199,E1200,$BE$5:BE1199,1)=0,MAX($CB$5:CB1199)+1,""),"")</f>
        <v/>
      </c>
      <c r="CC1200" s="80" t="str">
        <f>IF(AND(BD1200=1,D1200="proMX",E1200&amp;""&lt;&gt;""),IF(COUNTIFS($D$5:D1199,"proMX",$E$5:E1199,E1200,$BD$5:BD1199,1)=0,MAX($CC$5:CC1199)+1,""),"")</f>
        <v/>
      </c>
      <c r="CD1200" s="80" t="str">
        <f>IF(AND(BE1200=1,D1200="Malcolm",F1200&amp;""&lt;&gt;""),IF(COUNTIFS($D$5:D1199,"Malcolm",$F$5:F1199,F1200,$BE$5:BE1199,1)=0,MAX($CD$5:CD1199)+1,""),"")</f>
        <v/>
      </c>
      <c r="CE1200" s="80" t="str">
        <f>IF(AND(BD1200=1,D1200="proMX",F1200&amp;""&lt;&gt;""),IF(COUNTIFS($D$5:D1199,"proMX",$F$5:F1199,F1200,$BD$5:BD1199,1)=0,MAX($CE$5:CE1199)+1,""),"")</f>
        <v/>
      </c>
      <c r="CF1200" s="80" t="str">
        <f>IF(AND(D1200="proMX",BD1200=1),IF(OR(BF1200="Draft",BF1200="Submitted",BF1200="Returned",BF1200="Recall Requested"),MAX($CF$5:CF1199)+1,""),"")</f>
        <v/>
      </c>
      <c r="CG1200" s="80">
        <f>IF(BD1200=0,0,IF(D1200="Malcolm",1,MATCH(BF1200,{"Draft","Submitted","Approved","Returned","Recall Requested","Cancelled"},0)+1))</f>
        <v>0</v>
      </c>
      <c r="CH1200" s="80">
        <f>IF(AND(BF1200="Submitted",ISNUMBER(V1200)),IF(V1200&gt;CFG_MAXD,1,0),0)</f>
        <v>0</v>
      </c>
    </row>
    <row r="1201">
      <c r="A1201" s="71" t="str">
        <f>IF(Y1201=1,ROW()-5,"")</f>
        <v/>
      </c>
      <c r="B1201" s="72" t="n"/>
      <c r="C1201" s="71" t="str">
        <f>IF(ISNUMBER(B1201),CHOOSE(WEEKDAY(B1201,2),"Lun","Mar","Mié","Jue","Vie","Sáb","Dom"),"")</f>
        <v/>
      </c>
      <c r="D1201" s="73" t="n"/>
      <c r="E1201" s="74" t="n"/>
      <c r="F1201" s="74" t="n"/>
      <c r="G1201" s="74" t="n"/>
      <c r="H1201" s="75" t="n"/>
      <c r="I1201" s="75" t="n"/>
      <c r="J1201" s="76" t="n"/>
      <c r="K1201" s="77" t="str">
        <f>IF(AB1201=1,ROUND(AG1201/60,4),"")</f>
        <v/>
      </c>
      <c r="L1201" s="77" t="str">
        <f>IF(BD1201=1,ROUND(AP1201/60,4),"")</f>
        <v/>
      </c>
      <c r="M1201" s="77" t="str">
        <f>IF(BD1201=1,ROUND(AQ1201/60,4),"")</f>
        <v/>
      </c>
      <c r="N1201" s="71" t="str">
        <f>IF(AND(D1201="proMX",AB1201=1),ROUND(AG1201/CFG_BLK,2),"")</f>
        <v/>
      </c>
      <c r="O1201" s="77" t="str">
        <f>IF(D1201="proMX",IF(BD1201=1,ROUND(AG1201/60,4),0),"")</f>
        <v/>
      </c>
      <c r="P1201" s="78" t="str">
        <f>IF(Y1201=0,"",IF(BD1201=1,"OK",IF(D1201="proMX","Revisar bloques: ","Revisar: ")&amp;BC1201))</f>
        <v/>
      </c>
      <c r="Q1201" s="78" t="str">
        <f>IF(NOT(ISNUMBER(B1201)),"",IF(COUNTIFS(FER_F,INT(B1201))&gt;0,"Feriado"&amp;IF(AH1201=1," (laborable)"," (no laborable)"),IF(AH1201=1,"Laborable",IF(WEEKDAY(B1201,2)&gt;5,"Fin de semana","No laborable"))))</f>
        <v/>
      </c>
      <c r="R1201" s="73" t="n"/>
      <c r="S1201" s="72" t="n"/>
      <c r="T1201" s="72" t="n"/>
      <c r="U1201" s="74" t="n"/>
      <c r="V1201" s="79" t="str">
        <f>IF(AND(D1201="proMX",OR(R1201="Submitted",R1201="Recall Requested"),ISNUMBER(S1201)),CFG_TODAY-INT(S1201),"")</f>
        <v/>
      </c>
      <c r="W1201" s="78" t="str">
        <f>IF(BD1201=0,"",IF(BA1201&gt;0,"⚠ Se superpone con un registro de la otra empresa",IF(D1201="Malcolm",IF(COUNTA(R1201,S1201,T1201)&gt;0,"Estado/fechas proMX se ignoran en Malcolm",""),IF(BF1201="Cancelled","Cancelado: excluido de totales",IF(R1201="","Sin estado: se trata como Draft",IF(BF1201="Submitted",IF(ISNUMBER(V1201),IF(V1201&gt;CFG_MAXD,"⚠ "&amp;V1201&amp;" días en Submitted (máx. "&amp;CFG_MAXD&amp;")",""),"Falta fecha de envío"),IF(BF1201="Returned","⚠ Devuelto: corregir y reenviar",IF(BF1201="Recall Requested","Retirada solicitada: pendiente",IF(AND(BF1201="Approved",NOT(ISNUMBER(T1201))),"Falta fecha de aprobación",IF(AND(ISNUMBER(S1201),ISNUMBER(T1201),T1201&lt;S1201),"Aprobación anterior al envío","")))))))))</f>
        <v/>
      </c>
      <c r="Y1201" s="80">
        <f>IF(COUNTA(B1201,D1201,E1201,F1201,G1201,H1201,I1201,J1201,R1201,S1201,T1201)&gt;0,1,0)</f>
        <v>0</v>
      </c>
      <c r="Z1201" s="80" t="str">
        <f>IF(AND(ISNUMBER(H1201),H1201&gt;=0,H1201&lt;1),ROUND(H1201*1440,0),"")</f>
        <v/>
      </c>
      <c r="AA1201" s="80" t="str">
        <f>IF(AND(ISNUMBER(I1201),I1201&gt;=0,I1201&lt;1),ROUND(I1201*1440,0),"")</f>
        <v/>
      </c>
      <c r="AB1201" s="80">
        <f>IF(AND(ISNUMBER(B1201),D1201&lt;&gt;"",ISNUMBER(Z1201),ISNUMBER(AA1201)),IF(Z1201=AA1201,0,1),0)</f>
        <v>0</v>
      </c>
      <c r="AC1201" s="80">
        <f>IF(AB1201=1,IF(AA1201&lt;Z1201,1,0),0)</f>
        <v>0</v>
      </c>
      <c r="AD1201" s="80">
        <f>IF(AB1201=1,IF(AC1201=1,1440-Z1201+AA1201,AA1201-Z1201),0)</f>
        <v>0</v>
      </c>
      <c r="AE1201" s="80">
        <f>IF(J1201="",0,IF(ISNUMBER(J1201),J1201,-1))</f>
        <v>0</v>
      </c>
      <c r="AF1201" s="80">
        <f>MIN(MAX(0,AE1201),AD1201)</f>
        <v>0</v>
      </c>
      <c r="AG1201" s="80">
        <f>MAX(0,AD1201-MAX(0,AE1201))</f>
        <v>0</v>
      </c>
      <c r="AH1201" s="80">
        <f>IF(ISNUMBER(B1201),IF(AND(INDEX(CFG_WDAYS,WEEKDAY(INT(B1201),2))="Sí",IF(D1201="proMX",COUNTIFS(FER_F,INT(B1201),FER_NLP,"Sí"),COUNTIFS(FER_F,INT(B1201),FER_NLM,"Sí"))=0),1,0),0)</f>
        <v>0</v>
      </c>
      <c r="AI1201" s="80">
        <f>IF(AC1201=1,IF(AND(INDEX(CFG_WDAYS,WEEKDAY(INT(B1201)+1,2))="Sí",IF(D1201="proMX",COUNTIFS(FER_F,INT(B1201)+1,FER_NLP,"Sí"),COUNTIFS(FER_F,INT(B1201)+1,FER_NLM,"Sí"))=0),1,0),0)</f>
        <v>0</v>
      </c>
      <c r="AJ1201" s="80">
        <f>IF(AC1201=1,1440-Z1201,AD1201)</f>
        <v>0</v>
      </c>
      <c r="AK1201" s="80">
        <f>IF(AND(AB1201=1,AH1201=1),MAX(0,MIN(IF(AC1201=1,1440,AA1201),CFG_WEM)-MAX(Z1201,CFG_WSM)),0)</f>
        <v>0</v>
      </c>
      <c r="AL1201" s="80">
        <f>IF(AND(AC1201=1,AI1201=1),MAX(0,MIN(AA1201,CFG_WEM)-CFG_WSM),0)</f>
        <v>0</v>
      </c>
      <c r="AM1201" s="80">
        <f>AK1201+AL1201</f>
        <v>0</v>
      </c>
      <c r="AN1201" s="80">
        <f>IF(CFG_BRK="Proporcional",IF(AD1201=0,0,AF1201*AM1201/AD1201),IF(CFG_BRK="Extras primero",MIN(AM1201,MAX(0,AF1201-(AD1201-AM1201))),MIN(AF1201,AM1201)))</f>
        <v>0</v>
      </c>
      <c r="AO1201" s="80">
        <f>AF1201-AN1201</f>
        <v>0</v>
      </c>
      <c r="AP1201" s="80">
        <f>AM1201-AN1201</f>
        <v>0</v>
      </c>
      <c r="AQ1201" s="80">
        <f>AD1201-AM1201-AO1201</f>
        <v>0</v>
      </c>
      <c r="AR1201" s="80">
        <f>IF(AM1201=0,0,AK1201-AN1201*AK1201/AM1201)</f>
        <v>0</v>
      </c>
      <c r="AS1201" s="80">
        <f>IF(AD1201-AM1201=0,0,(AJ1201-AK1201)-AO1201*(AJ1201-AK1201)/(AD1201-AM1201))</f>
        <v>0</v>
      </c>
      <c r="AT1201" s="80" t="str">
        <f>IF(AC1201=1,INT(B1201)+1,"")</f>
        <v/>
      </c>
      <c r="AU1201" s="80">
        <f>IF(AND(D1201="proMX",R1201="Cancelled"),0,1)</f>
        <v>1</v>
      </c>
      <c r="AV1201" s="80">
        <f>IF(AND(AB1201=1,AU1201=1),IF(COUNTIFS($D$5:D1200,D1201,$B$5:B1200,B1201,$Z$5:Z1200,Z1201,$AA$5:AA1200,AA1201,$F$5:F1200,F1201&amp;"",$AU$5:AU1200,1)&gt;0,1,0),0)</f>
        <v>0</v>
      </c>
      <c r="AW1201" s="80" t="str">
        <f>IF(AB1201=1,INT(B1201)*1440+Z1201,"")</f>
        <v/>
      </c>
      <c r="AX1201" s="80" t="str">
        <f>IF(AB1201=1,AW1201+AD1201,"")</f>
        <v/>
      </c>
      <c r="AY1201" s="80">
        <f>IF(AND(AB1201=1,AV1201=0,AU1201=1),1,0)</f>
        <v>0</v>
      </c>
      <c r="AZ1201" s="80">
        <f>IF(AY1201=1,COUNTIFS(R_Emp,D1201,R_SAbs,"&lt;"&amp;AX1201,R_EAbs,"&gt;"&amp;AW1201,R_OKey,1)-1,0)</f>
        <v>0</v>
      </c>
      <c r="BA1201" s="80">
        <f>IF(AY1201=1,COUNTIFS(R_Emp,"&lt;&gt;"&amp;D1201,R_SAbs,"&lt;"&amp;AX1201,R_EAbs,"&gt;"&amp;AW1201,R_OKey,1),0)</f>
        <v>0</v>
      </c>
      <c r="BB1201" s="80">
        <f>IF(AND(AB1201=1,D1201="proMX"),IF(AND(MOD(Z1201,CFG_BLK)=0,MOD(AA1201,CFG_BLK)=0,MOD(AG1201,CFG_BLK)=0,AG1201&gt;0),1,0),1)</f>
        <v>1</v>
      </c>
      <c r="BC1201" s="80" t="str">
        <f>IF(Y1201=0,"",IF(NOT(ISNUMBER(B1201)),"Falta fecha o fecha inválida",IF(D1201="","Falta empresa",IF(AND(D1201&lt;&gt;"Malcolm",D1201&lt;&gt;"proMX"),"Empresa inválida",IF(OR(INT(B1201)&lt;CFG_PSTART,INT(B1201)&gt;CFG_PEND),"Fecha fuera del período",IF(OR(NOT(ISNUMBER(Z1201)),NOT(ISNUMBER(AA1201))),"Falta hora inicio/fin o formato inválido",IF(AB1201=0,"Hora inicio = hora fin",IF(AE1201&lt;0,"Descanso inválido",IF(AE1201&gt;=AD1201,"Descanso ≥ duración",IF(AV1201=1,"Registro duplicado",IF(AZ1201&gt;0,"Se superpone con otro registro "&amp;D1201,IF(BB1201=0,"inicio, fin y duración neta deben ser múltiplos de "&amp;CFG_BLK&amp;" min",""))))))))))))</f>
        <v/>
      </c>
      <c r="BD1201" s="80">
        <f>IF(AND(Y1201=1,BC1201=""),1,0)</f>
        <v>0</v>
      </c>
      <c r="BE1201" s="80">
        <f>IF(AND(BD1201=1,AU1201=1),1,0)</f>
        <v>0</v>
      </c>
      <c r="BF1201" s="80" t="str">
        <f>IF(AND(D1201="proMX",BD1201=1),IF(R1201="","Draft",R1201),"")</f>
        <v/>
      </c>
      <c r="BG1201" s="80">
        <f>IF(BD1201=1,ROUND(AG1201/60,6),0)</f>
        <v>0</v>
      </c>
      <c r="BH1201" s="80">
        <f>IF(BE1201=1,ROUND(AG1201/60,6),0)</f>
        <v>0</v>
      </c>
      <c r="BI1201" s="80">
        <f>IF(BE1201=1,ROUND(AP1201/60,6),0)</f>
        <v>0</v>
      </c>
      <c r="BJ1201" s="80">
        <f>IF(BE1201=1,ROUND(AQ1201/60,6),0)</f>
        <v>0</v>
      </c>
      <c r="BK1201" s="80">
        <f>IF(BE1201=1,ROUND((AR1201+AS1201)/60,6),0)</f>
        <v>0</v>
      </c>
      <c r="BL1201" s="80">
        <f>ROUND(BH1201-BK1201,6)</f>
        <v>0</v>
      </c>
      <c r="BM1201" s="80">
        <f>IF(BE1201=1,ROUND(AR1201/60,6),0)</f>
        <v>0</v>
      </c>
      <c r="BN1201" s="80">
        <f>ROUND(BI1201-BM1201,6)</f>
        <v>0</v>
      </c>
      <c r="BO1201" s="80">
        <f>IF(BE1201=1,ROUND(AS1201/60,6),0)</f>
        <v>0</v>
      </c>
      <c r="BP1201" s="80">
        <f>ROUND(BJ1201-BO1201,6)</f>
        <v>0</v>
      </c>
      <c r="BQ1201" s="80">
        <f>IF(BE1201=1,AW1201,0)</f>
        <v>0</v>
      </c>
      <c r="BR1201" s="80">
        <f>IF(BE1201=1,AX1201,0)</f>
        <v>0</v>
      </c>
      <c r="BS1201" s="80">
        <f>IF(AND(BE1201=1,D1201="Malcolm",BA1201&gt;0),MIN(BH1201,SUMPRODUCT((R_Emp="proMX")*(R_EN&gt;0)*((R_EN-(R_EN&gt;BR1201)*(R_EN-BR1201))&gt;(R_SN+(R_SN&lt;BQ1201)*(BQ1201-R_SN)))*((R_EN-(R_EN&gt;BR1201)*(R_EN-BR1201))-(R_SN+(R_SN&lt;BQ1201)*(BQ1201-R_SN))))/60),0)</f>
        <v>0</v>
      </c>
      <c r="BT1201" s="80">
        <f>IF(AND(BE1201=1,D1201="proMX"),ROUND(BI1201*CFG_RATE+BJ1201*CFG_OTRATE,6),0)</f>
        <v>0</v>
      </c>
      <c r="BU1201" s="80">
        <f>IF(AND(BD1201=1,D1201="proMX"),ROUND(AG1201/CFG_BLK,6),0)</f>
        <v>0</v>
      </c>
      <c r="BV1201" s="80" t="str">
        <f>IF(BF1201="Approved",IF(ISNUMBER(T1201),INT(T1201),INT(B1201)),"")</f>
        <v/>
      </c>
      <c r="BW1201" s="80">
        <f>IF(ISNUMBER(B1201),IF(DB_MON="Todos",1,IF(AND(INT(B1201)&gt;=DB_MS,INT(B1201)&lt;=DB_ME),1,0)),0)</f>
        <v>0</v>
      </c>
      <c r="BX1201" s="80">
        <f>IF(DB_PROJ="Todos",1,IF(E1201&amp;""=DB_PROJ&amp;"",1,0))</f>
        <v>1</v>
      </c>
      <c r="BY1201" s="80">
        <f>BW1201*BX1201</f>
        <v>0</v>
      </c>
      <c r="BZ1201" s="80" t="str">
        <f>IF(Y1201=1,F1201&amp;IF(AND(F1201&amp;""&lt;&gt;"",E1201&amp;""&lt;&gt;"")," · ","")&amp;E1201,"")</f>
        <v/>
      </c>
      <c r="CA1201" s="80" t="str">
        <f>IF(AND(BD1201=1,E1201&amp;""&lt;&gt;""),IF(COUNTIFS($E$5:E1200,E1201,$BD$5:BD1200,1)=0,MAX($CA$5:CA1200)+1,""),"")</f>
        <v/>
      </c>
      <c r="CB1201" s="80" t="str">
        <f>IF(AND(BE1201=1,D1201="Malcolm",E1201&amp;""&lt;&gt;""),IF(COUNTIFS($D$5:D1200,"Malcolm",$E$5:E1200,E1201,$BE$5:BE1200,1)=0,MAX($CB$5:CB1200)+1,""),"")</f>
        <v/>
      </c>
      <c r="CC1201" s="80" t="str">
        <f>IF(AND(BD1201=1,D1201="proMX",E1201&amp;""&lt;&gt;""),IF(COUNTIFS($D$5:D1200,"proMX",$E$5:E1200,E1201,$BD$5:BD1200,1)=0,MAX($CC$5:CC1200)+1,""),"")</f>
        <v/>
      </c>
      <c r="CD1201" s="80" t="str">
        <f>IF(AND(BE1201=1,D1201="Malcolm",F1201&amp;""&lt;&gt;""),IF(COUNTIFS($D$5:D1200,"Malcolm",$F$5:F1200,F1201,$BE$5:BE1200,1)=0,MAX($CD$5:CD1200)+1,""),"")</f>
        <v/>
      </c>
      <c r="CE1201" s="80" t="str">
        <f>IF(AND(BD1201=1,D1201="proMX",F1201&amp;""&lt;&gt;""),IF(COUNTIFS($D$5:D1200,"proMX",$F$5:F1200,F1201,$BD$5:BD1200,1)=0,MAX($CE$5:CE1200)+1,""),"")</f>
        <v/>
      </c>
      <c r="CF1201" s="80" t="str">
        <f>IF(AND(D1201="proMX",BD1201=1),IF(OR(BF1201="Draft",BF1201="Submitted",BF1201="Returned",BF1201="Recall Requested"),MAX($CF$5:CF1200)+1,""),"")</f>
        <v/>
      </c>
      <c r="CG1201" s="80">
        <f>IF(BD1201=0,0,IF(D1201="Malcolm",1,MATCH(BF1201,{"Draft","Submitted","Approved","Returned","Recall Requested","Cancelled"},0)+1))</f>
        <v>0</v>
      </c>
      <c r="CH1201" s="80">
        <f>IF(AND(BF1201="Submitted",ISNUMBER(V1201)),IF(V1201&gt;CFG_MAXD,1,0),0)</f>
        <v>0</v>
      </c>
    </row>
    <row r="1202">
      <c r="A1202" s="71" t="str">
        <f>IF(Y1202=1,ROW()-5,"")</f>
        <v/>
      </c>
      <c r="B1202" s="72" t="n"/>
      <c r="C1202" s="71" t="str">
        <f>IF(ISNUMBER(B1202),CHOOSE(WEEKDAY(B1202,2),"Lun","Mar","Mié","Jue","Vie","Sáb","Dom"),"")</f>
        <v/>
      </c>
      <c r="D1202" s="73" t="n"/>
      <c r="E1202" s="74" t="n"/>
      <c r="F1202" s="74" t="n"/>
      <c r="G1202" s="74" t="n"/>
      <c r="H1202" s="75" t="n"/>
      <c r="I1202" s="75" t="n"/>
      <c r="J1202" s="76" t="n"/>
      <c r="K1202" s="77" t="str">
        <f>IF(AB1202=1,ROUND(AG1202/60,4),"")</f>
        <v/>
      </c>
      <c r="L1202" s="77" t="str">
        <f>IF(BD1202=1,ROUND(AP1202/60,4),"")</f>
        <v/>
      </c>
      <c r="M1202" s="77" t="str">
        <f>IF(BD1202=1,ROUND(AQ1202/60,4),"")</f>
        <v/>
      </c>
      <c r="N1202" s="71" t="str">
        <f>IF(AND(D1202="proMX",AB1202=1),ROUND(AG1202/CFG_BLK,2),"")</f>
        <v/>
      </c>
      <c r="O1202" s="77" t="str">
        <f>IF(D1202="proMX",IF(BD1202=1,ROUND(AG1202/60,4),0),"")</f>
        <v/>
      </c>
      <c r="P1202" s="78" t="str">
        <f>IF(Y1202=0,"",IF(BD1202=1,"OK",IF(D1202="proMX","Revisar bloques: ","Revisar: ")&amp;BC1202))</f>
        <v/>
      </c>
      <c r="Q1202" s="78" t="str">
        <f>IF(NOT(ISNUMBER(B1202)),"",IF(COUNTIFS(FER_F,INT(B1202))&gt;0,"Feriado"&amp;IF(AH1202=1," (laborable)"," (no laborable)"),IF(AH1202=1,"Laborable",IF(WEEKDAY(B1202,2)&gt;5,"Fin de semana","No laborable"))))</f>
        <v/>
      </c>
      <c r="R1202" s="73" t="n"/>
      <c r="S1202" s="72" t="n"/>
      <c r="T1202" s="72" t="n"/>
      <c r="U1202" s="74" t="n"/>
      <c r="V1202" s="79" t="str">
        <f>IF(AND(D1202="proMX",OR(R1202="Submitted",R1202="Recall Requested"),ISNUMBER(S1202)),CFG_TODAY-INT(S1202),"")</f>
        <v/>
      </c>
      <c r="W1202" s="78" t="str">
        <f>IF(BD1202=0,"",IF(BA1202&gt;0,"⚠ Se superpone con un registro de la otra empresa",IF(D1202="Malcolm",IF(COUNTA(R1202,S1202,T1202)&gt;0,"Estado/fechas proMX se ignoran en Malcolm",""),IF(BF1202="Cancelled","Cancelado: excluido de totales",IF(R1202="","Sin estado: se trata como Draft",IF(BF1202="Submitted",IF(ISNUMBER(V1202),IF(V1202&gt;CFG_MAXD,"⚠ "&amp;V1202&amp;" días en Submitted (máx. "&amp;CFG_MAXD&amp;")",""),"Falta fecha de envío"),IF(BF1202="Returned","⚠ Devuelto: corregir y reenviar",IF(BF1202="Recall Requested","Retirada solicitada: pendiente",IF(AND(BF1202="Approved",NOT(ISNUMBER(T1202))),"Falta fecha de aprobación",IF(AND(ISNUMBER(S1202),ISNUMBER(T1202),T1202&lt;S1202),"Aprobación anterior al envío","")))))))))</f>
        <v/>
      </c>
      <c r="Y1202" s="80">
        <f>IF(COUNTA(B1202,D1202,E1202,F1202,G1202,H1202,I1202,J1202,R1202,S1202,T1202)&gt;0,1,0)</f>
        <v>0</v>
      </c>
      <c r="Z1202" s="80" t="str">
        <f>IF(AND(ISNUMBER(H1202),H1202&gt;=0,H1202&lt;1),ROUND(H1202*1440,0),"")</f>
        <v/>
      </c>
      <c r="AA1202" s="80" t="str">
        <f>IF(AND(ISNUMBER(I1202),I1202&gt;=0,I1202&lt;1),ROUND(I1202*1440,0),"")</f>
        <v/>
      </c>
      <c r="AB1202" s="80">
        <f>IF(AND(ISNUMBER(B1202),D1202&lt;&gt;"",ISNUMBER(Z1202),ISNUMBER(AA1202)),IF(Z1202=AA1202,0,1),0)</f>
        <v>0</v>
      </c>
      <c r="AC1202" s="80">
        <f>IF(AB1202=1,IF(AA1202&lt;Z1202,1,0),0)</f>
        <v>0</v>
      </c>
      <c r="AD1202" s="80">
        <f>IF(AB1202=1,IF(AC1202=1,1440-Z1202+AA1202,AA1202-Z1202),0)</f>
        <v>0</v>
      </c>
      <c r="AE1202" s="80">
        <f>IF(J1202="",0,IF(ISNUMBER(J1202),J1202,-1))</f>
        <v>0</v>
      </c>
      <c r="AF1202" s="80">
        <f>MIN(MAX(0,AE1202),AD1202)</f>
        <v>0</v>
      </c>
      <c r="AG1202" s="80">
        <f>MAX(0,AD1202-MAX(0,AE1202))</f>
        <v>0</v>
      </c>
      <c r="AH1202" s="80">
        <f>IF(ISNUMBER(B1202),IF(AND(INDEX(CFG_WDAYS,WEEKDAY(INT(B1202),2))="Sí",IF(D1202="proMX",COUNTIFS(FER_F,INT(B1202),FER_NLP,"Sí"),COUNTIFS(FER_F,INT(B1202),FER_NLM,"Sí"))=0),1,0),0)</f>
        <v>0</v>
      </c>
      <c r="AI1202" s="80">
        <f>IF(AC1202=1,IF(AND(INDEX(CFG_WDAYS,WEEKDAY(INT(B1202)+1,2))="Sí",IF(D1202="proMX",COUNTIFS(FER_F,INT(B1202)+1,FER_NLP,"Sí"),COUNTIFS(FER_F,INT(B1202)+1,FER_NLM,"Sí"))=0),1,0),0)</f>
        <v>0</v>
      </c>
      <c r="AJ1202" s="80">
        <f>IF(AC1202=1,1440-Z1202,AD1202)</f>
        <v>0</v>
      </c>
      <c r="AK1202" s="80">
        <f>IF(AND(AB1202=1,AH1202=1),MAX(0,MIN(IF(AC1202=1,1440,AA1202),CFG_WEM)-MAX(Z1202,CFG_WSM)),0)</f>
        <v>0</v>
      </c>
      <c r="AL1202" s="80">
        <f>IF(AND(AC1202=1,AI1202=1),MAX(0,MIN(AA1202,CFG_WEM)-CFG_WSM),0)</f>
        <v>0</v>
      </c>
      <c r="AM1202" s="80">
        <f>AK1202+AL1202</f>
        <v>0</v>
      </c>
      <c r="AN1202" s="80">
        <f>IF(CFG_BRK="Proporcional",IF(AD1202=0,0,AF1202*AM1202/AD1202),IF(CFG_BRK="Extras primero",MIN(AM1202,MAX(0,AF1202-(AD1202-AM1202))),MIN(AF1202,AM1202)))</f>
        <v>0</v>
      </c>
      <c r="AO1202" s="80">
        <f>AF1202-AN1202</f>
        <v>0</v>
      </c>
      <c r="AP1202" s="80">
        <f>AM1202-AN1202</f>
        <v>0</v>
      </c>
      <c r="AQ1202" s="80">
        <f>AD1202-AM1202-AO1202</f>
        <v>0</v>
      </c>
      <c r="AR1202" s="80">
        <f>IF(AM1202=0,0,AK1202-AN1202*AK1202/AM1202)</f>
        <v>0</v>
      </c>
      <c r="AS1202" s="80">
        <f>IF(AD1202-AM1202=0,0,(AJ1202-AK1202)-AO1202*(AJ1202-AK1202)/(AD1202-AM1202))</f>
        <v>0</v>
      </c>
      <c r="AT1202" s="80" t="str">
        <f>IF(AC1202=1,INT(B1202)+1,"")</f>
        <v/>
      </c>
      <c r="AU1202" s="80">
        <f>IF(AND(D1202="proMX",R1202="Cancelled"),0,1)</f>
        <v>1</v>
      </c>
      <c r="AV1202" s="80">
        <f>IF(AND(AB1202=1,AU1202=1),IF(COUNTIFS($D$5:D1201,D1202,$B$5:B1201,B1202,$Z$5:Z1201,Z1202,$AA$5:AA1201,AA1202,$F$5:F1201,F1202&amp;"",$AU$5:AU1201,1)&gt;0,1,0),0)</f>
        <v>0</v>
      </c>
      <c r="AW1202" s="80" t="str">
        <f>IF(AB1202=1,INT(B1202)*1440+Z1202,"")</f>
        <v/>
      </c>
      <c r="AX1202" s="80" t="str">
        <f>IF(AB1202=1,AW1202+AD1202,"")</f>
        <v/>
      </c>
      <c r="AY1202" s="80">
        <f>IF(AND(AB1202=1,AV1202=0,AU1202=1),1,0)</f>
        <v>0</v>
      </c>
      <c r="AZ1202" s="80">
        <f>IF(AY1202=1,COUNTIFS(R_Emp,D1202,R_SAbs,"&lt;"&amp;AX1202,R_EAbs,"&gt;"&amp;AW1202,R_OKey,1)-1,0)</f>
        <v>0</v>
      </c>
      <c r="BA1202" s="80">
        <f>IF(AY1202=1,COUNTIFS(R_Emp,"&lt;&gt;"&amp;D1202,R_SAbs,"&lt;"&amp;AX1202,R_EAbs,"&gt;"&amp;AW1202,R_OKey,1),0)</f>
        <v>0</v>
      </c>
      <c r="BB1202" s="80">
        <f>IF(AND(AB1202=1,D1202="proMX"),IF(AND(MOD(Z1202,CFG_BLK)=0,MOD(AA1202,CFG_BLK)=0,MOD(AG1202,CFG_BLK)=0,AG1202&gt;0),1,0),1)</f>
        <v>1</v>
      </c>
      <c r="BC1202" s="80" t="str">
        <f>IF(Y1202=0,"",IF(NOT(ISNUMBER(B1202)),"Falta fecha o fecha inválida",IF(D1202="","Falta empresa",IF(AND(D1202&lt;&gt;"Malcolm",D1202&lt;&gt;"proMX"),"Empresa inválida",IF(OR(INT(B1202)&lt;CFG_PSTART,INT(B1202)&gt;CFG_PEND),"Fecha fuera del período",IF(OR(NOT(ISNUMBER(Z1202)),NOT(ISNUMBER(AA1202))),"Falta hora inicio/fin o formato inválido",IF(AB1202=0,"Hora inicio = hora fin",IF(AE1202&lt;0,"Descanso inválido",IF(AE1202&gt;=AD1202,"Descanso ≥ duración",IF(AV1202=1,"Registro duplicado",IF(AZ1202&gt;0,"Se superpone con otro registro "&amp;D1202,IF(BB1202=0,"inicio, fin y duración neta deben ser múltiplos de "&amp;CFG_BLK&amp;" min",""))))))))))))</f>
        <v/>
      </c>
      <c r="BD1202" s="80">
        <f>IF(AND(Y1202=1,BC1202=""),1,0)</f>
        <v>0</v>
      </c>
      <c r="BE1202" s="80">
        <f>IF(AND(BD1202=1,AU1202=1),1,0)</f>
        <v>0</v>
      </c>
      <c r="BF1202" s="80" t="str">
        <f>IF(AND(D1202="proMX",BD1202=1),IF(R1202="","Draft",R1202),"")</f>
        <v/>
      </c>
      <c r="BG1202" s="80">
        <f>IF(BD1202=1,ROUND(AG1202/60,6),0)</f>
        <v>0</v>
      </c>
      <c r="BH1202" s="80">
        <f>IF(BE1202=1,ROUND(AG1202/60,6),0)</f>
        <v>0</v>
      </c>
      <c r="BI1202" s="80">
        <f>IF(BE1202=1,ROUND(AP1202/60,6),0)</f>
        <v>0</v>
      </c>
      <c r="BJ1202" s="80">
        <f>IF(BE1202=1,ROUND(AQ1202/60,6),0)</f>
        <v>0</v>
      </c>
      <c r="BK1202" s="80">
        <f>IF(BE1202=1,ROUND((AR1202+AS1202)/60,6),0)</f>
        <v>0</v>
      </c>
      <c r="BL1202" s="80">
        <f>ROUND(BH1202-BK1202,6)</f>
        <v>0</v>
      </c>
      <c r="BM1202" s="80">
        <f>IF(BE1202=1,ROUND(AR1202/60,6),0)</f>
        <v>0</v>
      </c>
      <c r="BN1202" s="80">
        <f>ROUND(BI1202-BM1202,6)</f>
        <v>0</v>
      </c>
      <c r="BO1202" s="80">
        <f>IF(BE1202=1,ROUND(AS1202/60,6),0)</f>
        <v>0</v>
      </c>
      <c r="BP1202" s="80">
        <f>ROUND(BJ1202-BO1202,6)</f>
        <v>0</v>
      </c>
      <c r="BQ1202" s="80">
        <f>IF(BE1202=1,AW1202,0)</f>
        <v>0</v>
      </c>
      <c r="BR1202" s="80">
        <f>IF(BE1202=1,AX1202,0)</f>
        <v>0</v>
      </c>
      <c r="BS1202" s="80">
        <f>IF(AND(BE1202=1,D1202="Malcolm",BA1202&gt;0),MIN(BH1202,SUMPRODUCT((R_Emp="proMX")*(R_EN&gt;0)*((R_EN-(R_EN&gt;BR1202)*(R_EN-BR1202))&gt;(R_SN+(R_SN&lt;BQ1202)*(BQ1202-R_SN)))*((R_EN-(R_EN&gt;BR1202)*(R_EN-BR1202))-(R_SN+(R_SN&lt;BQ1202)*(BQ1202-R_SN))))/60),0)</f>
        <v>0</v>
      </c>
      <c r="BT1202" s="80">
        <f>IF(AND(BE1202=1,D1202="proMX"),ROUND(BI1202*CFG_RATE+BJ1202*CFG_OTRATE,6),0)</f>
        <v>0</v>
      </c>
      <c r="BU1202" s="80">
        <f>IF(AND(BD1202=1,D1202="proMX"),ROUND(AG1202/CFG_BLK,6),0)</f>
        <v>0</v>
      </c>
      <c r="BV1202" s="80" t="str">
        <f>IF(BF1202="Approved",IF(ISNUMBER(T1202),INT(T1202),INT(B1202)),"")</f>
        <v/>
      </c>
      <c r="BW1202" s="80">
        <f>IF(ISNUMBER(B1202),IF(DB_MON="Todos",1,IF(AND(INT(B1202)&gt;=DB_MS,INT(B1202)&lt;=DB_ME),1,0)),0)</f>
        <v>0</v>
      </c>
      <c r="BX1202" s="80">
        <f>IF(DB_PROJ="Todos",1,IF(E1202&amp;""=DB_PROJ&amp;"",1,0))</f>
        <v>1</v>
      </c>
      <c r="BY1202" s="80">
        <f>BW1202*BX1202</f>
        <v>0</v>
      </c>
      <c r="BZ1202" s="80" t="str">
        <f>IF(Y1202=1,F1202&amp;IF(AND(F1202&amp;""&lt;&gt;"",E1202&amp;""&lt;&gt;"")," · ","")&amp;E1202,"")</f>
        <v/>
      </c>
      <c r="CA1202" s="80" t="str">
        <f>IF(AND(BD1202=1,E1202&amp;""&lt;&gt;""),IF(COUNTIFS($E$5:E1201,E1202,$BD$5:BD1201,1)=0,MAX($CA$5:CA1201)+1,""),"")</f>
        <v/>
      </c>
      <c r="CB1202" s="80" t="str">
        <f>IF(AND(BE1202=1,D1202="Malcolm",E1202&amp;""&lt;&gt;""),IF(COUNTIFS($D$5:D1201,"Malcolm",$E$5:E1201,E1202,$BE$5:BE1201,1)=0,MAX($CB$5:CB1201)+1,""),"")</f>
        <v/>
      </c>
      <c r="CC1202" s="80" t="str">
        <f>IF(AND(BD1202=1,D1202="proMX",E1202&amp;""&lt;&gt;""),IF(COUNTIFS($D$5:D1201,"proMX",$E$5:E1201,E1202,$BD$5:BD1201,1)=0,MAX($CC$5:CC1201)+1,""),"")</f>
        <v/>
      </c>
      <c r="CD1202" s="80" t="str">
        <f>IF(AND(BE1202=1,D1202="Malcolm",F1202&amp;""&lt;&gt;""),IF(COUNTIFS($D$5:D1201,"Malcolm",$F$5:F1201,F1202,$BE$5:BE1201,1)=0,MAX($CD$5:CD1201)+1,""),"")</f>
        <v/>
      </c>
      <c r="CE1202" s="80" t="str">
        <f>IF(AND(BD1202=1,D1202="proMX",F1202&amp;""&lt;&gt;""),IF(COUNTIFS($D$5:D1201,"proMX",$F$5:F1201,F1202,$BD$5:BD1201,1)=0,MAX($CE$5:CE1201)+1,""),"")</f>
        <v/>
      </c>
      <c r="CF1202" s="80" t="str">
        <f>IF(AND(D1202="proMX",BD1202=1),IF(OR(BF1202="Draft",BF1202="Submitted",BF1202="Returned",BF1202="Recall Requested"),MAX($CF$5:CF1201)+1,""),"")</f>
        <v/>
      </c>
      <c r="CG1202" s="80">
        <f>IF(BD1202=0,0,IF(D1202="Malcolm",1,MATCH(BF1202,{"Draft","Submitted","Approved","Returned","Recall Requested","Cancelled"},0)+1))</f>
        <v>0</v>
      </c>
      <c r="CH1202" s="80">
        <f>IF(AND(BF1202="Submitted",ISNUMBER(V1202)),IF(V1202&gt;CFG_MAXD,1,0),0)</f>
        <v>0</v>
      </c>
    </row>
    <row r="1203">
      <c r="A1203" s="71" t="str">
        <f>IF(Y1203=1,ROW()-5,"")</f>
        <v/>
      </c>
      <c r="B1203" s="72" t="n"/>
      <c r="C1203" s="71" t="str">
        <f>IF(ISNUMBER(B1203),CHOOSE(WEEKDAY(B1203,2),"Lun","Mar","Mié","Jue","Vie","Sáb","Dom"),"")</f>
        <v/>
      </c>
      <c r="D1203" s="73" t="n"/>
      <c r="E1203" s="74" t="n"/>
      <c r="F1203" s="74" t="n"/>
      <c r="G1203" s="74" t="n"/>
      <c r="H1203" s="75" t="n"/>
      <c r="I1203" s="75" t="n"/>
      <c r="J1203" s="76" t="n"/>
      <c r="K1203" s="77" t="str">
        <f>IF(AB1203=1,ROUND(AG1203/60,4),"")</f>
        <v/>
      </c>
      <c r="L1203" s="77" t="str">
        <f>IF(BD1203=1,ROUND(AP1203/60,4),"")</f>
        <v/>
      </c>
      <c r="M1203" s="77" t="str">
        <f>IF(BD1203=1,ROUND(AQ1203/60,4),"")</f>
        <v/>
      </c>
      <c r="N1203" s="71" t="str">
        <f>IF(AND(D1203="proMX",AB1203=1),ROUND(AG1203/CFG_BLK,2),"")</f>
        <v/>
      </c>
      <c r="O1203" s="77" t="str">
        <f>IF(D1203="proMX",IF(BD1203=1,ROUND(AG1203/60,4),0),"")</f>
        <v/>
      </c>
      <c r="P1203" s="78" t="str">
        <f>IF(Y1203=0,"",IF(BD1203=1,"OK",IF(D1203="proMX","Revisar bloques: ","Revisar: ")&amp;BC1203))</f>
        <v/>
      </c>
      <c r="Q1203" s="78" t="str">
        <f>IF(NOT(ISNUMBER(B1203)),"",IF(COUNTIFS(FER_F,INT(B1203))&gt;0,"Feriado"&amp;IF(AH1203=1," (laborable)"," (no laborable)"),IF(AH1203=1,"Laborable",IF(WEEKDAY(B1203,2)&gt;5,"Fin de semana","No laborable"))))</f>
        <v/>
      </c>
      <c r="R1203" s="73" t="n"/>
      <c r="S1203" s="72" t="n"/>
      <c r="T1203" s="72" t="n"/>
      <c r="U1203" s="74" t="n"/>
      <c r="V1203" s="79" t="str">
        <f>IF(AND(D1203="proMX",OR(R1203="Submitted",R1203="Recall Requested"),ISNUMBER(S1203)),CFG_TODAY-INT(S1203),"")</f>
        <v/>
      </c>
      <c r="W1203" s="78" t="str">
        <f>IF(BD1203=0,"",IF(BA1203&gt;0,"⚠ Se superpone con un registro de la otra empresa",IF(D1203="Malcolm",IF(COUNTA(R1203,S1203,T1203)&gt;0,"Estado/fechas proMX se ignoran en Malcolm",""),IF(BF1203="Cancelled","Cancelado: excluido de totales",IF(R1203="","Sin estado: se trata como Draft",IF(BF1203="Submitted",IF(ISNUMBER(V1203),IF(V1203&gt;CFG_MAXD,"⚠ "&amp;V1203&amp;" días en Submitted (máx. "&amp;CFG_MAXD&amp;")",""),"Falta fecha de envío"),IF(BF1203="Returned","⚠ Devuelto: corregir y reenviar",IF(BF1203="Recall Requested","Retirada solicitada: pendiente",IF(AND(BF1203="Approved",NOT(ISNUMBER(T1203))),"Falta fecha de aprobación",IF(AND(ISNUMBER(S1203),ISNUMBER(T1203),T1203&lt;S1203),"Aprobación anterior al envío","")))))))))</f>
        <v/>
      </c>
      <c r="Y1203" s="80">
        <f>IF(COUNTA(B1203,D1203,E1203,F1203,G1203,H1203,I1203,J1203,R1203,S1203,T1203)&gt;0,1,0)</f>
        <v>0</v>
      </c>
      <c r="Z1203" s="80" t="str">
        <f>IF(AND(ISNUMBER(H1203),H1203&gt;=0,H1203&lt;1),ROUND(H1203*1440,0),"")</f>
        <v/>
      </c>
      <c r="AA1203" s="80" t="str">
        <f>IF(AND(ISNUMBER(I1203),I1203&gt;=0,I1203&lt;1),ROUND(I1203*1440,0),"")</f>
        <v/>
      </c>
      <c r="AB1203" s="80">
        <f>IF(AND(ISNUMBER(B1203),D1203&lt;&gt;"",ISNUMBER(Z1203),ISNUMBER(AA1203)),IF(Z1203=AA1203,0,1),0)</f>
        <v>0</v>
      </c>
      <c r="AC1203" s="80">
        <f>IF(AB1203=1,IF(AA1203&lt;Z1203,1,0),0)</f>
        <v>0</v>
      </c>
      <c r="AD1203" s="80">
        <f>IF(AB1203=1,IF(AC1203=1,1440-Z1203+AA1203,AA1203-Z1203),0)</f>
        <v>0</v>
      </c>
      <c r="AE1203" s="80">
        <f>IF(J1203="",0,IF(ISNUMBER(J1203),J1203,-1))</f>
        <v>0</v>
      </c>
      <c r="AF1203" s="80">
        <f>MIN(MAX(0,AE1203),AD1203)</f>
        <v>0</v>
      </c>
      <c r="AG1203" s="80">
        <f>MAX(0,AD1203-MAX(0,AE1203))</f>
        <v>0</v>
      </c>
      <c r="AH1203" s="80">
        <f>IF(ISNUMBER(B1203),IF(AND(INDEX(CFG_WDAYS,WEEKDAY(INT(B1203),2))="Sí",IF(D1203="proMX",COUNTIFS(FER_F,INT(B1203),FER_NLP,"Sí"),COUNTIFS(FER_F,INT(B1203),FER_NLM,"Sí"))=0),1,0),0)</f>
        <v>0</v>
      </c>
      <c r="AI1203" s="80">
        <f>IF(AC1203=1,IF(AND(INDEX(CFG_WDAYS,WEEKDAY(INT(B1203)+1,2))="Sí",IF(D1203="proMX",COUNTIFS(FER_F,INT(B1203)+1,FER_NLP,"Sí"),COUNTIFS(FER_F,INT(B1203)+1,FER_NLM,"Sí"))=0),1,0),0)</f>
        <v>0</v>
      </c>
      <c r="AJ1203" s="80">
        <f>IF(AC1203=1,1440-Z1203,AD1203)</f>
        <v>0</v>
      </c>
      <c r="AK1203" s="80">
        <f>IF(AND(AB1203=1,AH1203=1),MAX(0,MIN(IF(AC1203=1,1440,AA1203),CFG_WEM)-MAX(Z1203,CFG_WSM)),0)</f>
        <v>0</v>
      </c>
      <c r="AL1203" s="80">
        <f>IF(AND(AC1203=1,AI1203=1),MAX(0,MIN(AA1203,CFG_WEM)-CFG_WSM),0)</f>
        <v>0</v>
      </c>
      <c r="AM1203" s="80">
        <f>AK1203+AL1203</f>
        <v>0</v>
      </c>
      <c r="AN1203" s="80">
        <f>IF(CFG_BRK="Proporcional",IF(AD1203=0,0,AF1203*AM1203/AD1203),IF(CFG_BRK="Extras primero",MIN(AM1203,MAX(0,AF1203-(AD1203-AM1203))),MIN(AF1203,AM1203)))</f>
        <v>0</v>
      </c>
      <c r="AO1203" s="80">
        <f>AF1203-AN1203</f>
        <v>0</v>
      </c>
      <c r="AP1203" s="80">
        <f>AM1203-AN1203</f>
        <v>0</v>
      </c>
      <c r="AQ1203" s="80">
        <f>AD1203-AM1203-AO1203</f>
        <v>0</v>
      </c>
      <c r="AR1203" s="80">
        <f>IF(AM1203=0,0,AK1203-AN1203*AK1203/AM1203)</f>
        <v>0</v>
      </c>
      <c r="AS1203" s="80">
        <f>IF(AD1203-AM1203=0,0,(AJ1203-AK1203)-AO1203*(AJ1203-AK1203)/(AD1203-AM1203))</f>
        <v>0</v>
      </c>
      <c r="AT1203" s="80" t="str">
        <f>IF(AC1203=1,INT(B1203)+1,"")</f>
        <v/>
      </c>
      <c r="AU1203" s="80">
        <f>IF(AND(D1203="proMX",R1203="Cancelled"),0,1)</f>
        <v>1</v>
      </c>
      <c r="AV1203" s="80">
        <f>IF(AND(AB1203=1,AU1203=1),IF(COUNTIFS($D$5:D1202,D1203,$B$5:B1202,B1203,$Z$5:Z1202,Z1203,$AA$5:AA1202,AA1203,$F$5:F1202,F1203&amp;"",$AU$5:AU1202,1)&gt;0,1,0),0)</f>
        <v>0</v>
      </c>
      <c r="AW1203" s="80" t="str">
        <f>IF(AB1203=1,INT(B1203)*1440+Z1203,"")</f>
        <v/>
      </c>
      <c r="AX1203" s="80" t="str">
        <f>IF(AB1203=1,AW1203+AD1203,"")</f>
        <v/>
      </c>
      <c r="AY1203" s="80">
        <f>IF(AND(AB1203=1,AV1203=0,AU1203=1),1,0)</f>
        <v>0</v>
      </c>
      <c r="AZ1203" s="80">
        <f>IF(AY1203=1,COUNTIFS(R_Emp,D1203,R_SAbs,"&lt;"&amp;AX1203,R_EAbs,"&gt;"&amp;AW1203,R_OKey,1)-1,0)</f>
        <v>0</v>
      </c>
      <c r="BA1203" s="80">
        <f>IF(AY1203=1,COUNTIFS(R_Emp,"&lt;&gt;"&amp;D1203,R_SAbs,"&lt;"&amp;AX1203,R_EAbs,"&gt;"&amp;AW1203,R_OKey,1),0)</f>
        <v>0</v>
      </c>
      <c r="BB1203" s="80">
        <f>IF(AND(AB1203=1,D1203="proMX"),IF(AND(MOD(Z1203,CFG_BLK)=0,MOD(AA1203,CFG_BLK)=0,MOD(AG1203,CFG_BLK)=0,AG1203&gt;0),1,0),1)</f>
        <v>1</v>
      </c>
      <c r="BC1203" s="80" t="str">
        <f>IF(Y1203=0,"",IF(NOT(ISNUMBER(B1203)),"Falta fecha o fecha inválida",IF(D1203="","Falta empresa",IF(AND(D1203&lt;&gt;"Malcolm",D1203&lt;&gt;"proMX"),"Empresa inválida",IF(OR(INT(B1203)&lt;CFG_PSTART,INT(B1203)&gt;CFG_PEND),"Fecha fuera del período",IF(OR(NOT(ISNUMBER(Z1203)),NOT(ISNUMBER(AA1203))),"Falta hora inicio/fin o formato inválido",IF(AB1203=0,"Hora inicio = hora fin",IF(AE1203&lt;0,"Descanso inválido",IF(AE1203&gt;=AD1203,"Descanso ≥ duración",IF(AV1203=1,"Registro duplicado",IF(AZ1203&gt;0,"Se superpone con otro registro "&amp;D1203,IF(BB1203=0,"inicio, fin y duración neta deben ser múltiplos de "&amp;CFG_BLK&amp;" min",""))))))))))))</f>
        <v/>
      </c>
      <c r="BD1203" s="80">
        <f>IF(AND(Y1203=1,BC1203=""),1,0)</f>
        <v>0</v>
      </c>
      <c r="BE1203" s="80">
        <f>IF(AND(BD1203=1,AU1203=1),1,0)</f>
        <v>0</v>
      </c>
      <c r="BF1203" s="80" t="str">
        <f>IF(AND(D1203="proMX",BD1203=1),IF(R1203="","Draft",R1203),"")</f>
        <v/>
      </c>
      <c r="BG1203" s="80">
        <f>IF(BD1203=1,ROUND(AG1203/60,6),0)</f>
        <v>0</v>
      </c>
      <c r="BH1203" s="80">
        <f>IF(BE1203=1,ROUND(AG1203/60,6),0)</f>
        <v>0</v>
      </c>
      <c r="BI1203" s="80">
        <f>IF(BE1203=1,ROUND(AP1203/60,6),0)</f>
        <v>0</v>
      </c>
      <c r="BJ1203" s="80">
        <f>IF(BE1203=1,ROUND(AQ1203/60,6),0)</f>
        <v>0</v>
      </c>
      <c r="BK1203" s="80">
        <f>IF(BE1203=1,ROUND((AR1203+AS1203)/60,6),0)</f>
        <v>0</v>
      </c>
      <c r="BL1203" s="80">
        <f>ROUND(BH1203-BK1203,6)</f>
        <v>0</v>
      </c>
      <c r="BM1203" s="80">
        <f>IF(BE1203=1,ROUND(AR1203/60,6),0)</f>
        <v>0</v>
      </c>
      <c r="BN1203" s="80">
        <f>ROUND(BI1203-BM1203,6)</f>
        <v>0</v>
      </c>
      <c r="BO1203" s="80">
        <f>IF(BE1203=1,ROUND(AS1203/60,6),0)</f>
        <v>0</v>
      </c>
      <c r="BP1203" s="80">
        <f>ROUND(BJ1203-BO1203,6)</f>
        <v>0</v>
      </c>
      <c r="BQ1203" s="80">
        <f>IF(BE1203=1,AW1203,0)</f>
        <v>0</v>
      </c>
      <c r="BR1203" s="80">
        <f>IF(BE1203=1,AX1203,0)</f>
        <v>0</v>
      </c>
      <c r="BS1203" s="80">
        <f>IF(AND(BE1203=1,D1203="Malcolm",BA1203&gt;0),MIN(BH1203,SUMPRODUCT((R_Emp="proMX")*(R_EN&gt;0)*((R_EN-(R_EN&gt;BR1203)*(R_EN-BR1203))&gt;(R_SN+(R_SN&lt;BQ1203)*(BQ1203-R_SN)))*((R_EN-(R_EN&gt;BR1203)*(R_EN-BR1203))-(R_SN+(R_SN&lt;BQ1203)*(BQ1203-R_SN))))/60),0)</f>
        <v>0</v>
      </c>
      <c r="BT1203" s="80">
        <f>IF(AND(BE1203=1,D1203="proMX"),ROUND(BI1203*CFG_RATE+BJ1203*CFG_OTRATE,6),0)</f>
        <v>0</v>
      </c>
      <c r="BU1203" s="80">
        <f>IF(AND(BD1203=1,D1203="proMX"),ROUND(AG1203/CFG_BLK,6),0)</f>
        <v>0</v>
      </c>
      <c r="BV1203" s="80" t="str">
        <f>IF(BF1203="Approved",IF(ISNUMBER(T1203),INT(T1203),INT(B1203)),"")</f>
        <v/>
      </c>
      <c r="BW1203" s="80">
        <f>IF(ISNUMBER(B1203),IF(DB_MON="Todos",1,IF(AND(INT(B1203)&gt;=DB_MS,INT(B1203)&lt;=DB_ME),1,0)),0)</f>
        <v>0</v>
      </c>
      <c r="BX1203" s="80">
        <f>IF(DB_PROJ="Todos",1,IF(E1203&amp;""=DB_PROJ&amp;"",1,0))</f>
        <v>1</v>
      </c>
      <c r="BY1203" s="80">
        <f>BW1203*BX1203</f>
        <v>0</v>
      </c>
      <c r="BZ1203" s="80" t="str">
        <f>IF(Y1203=1,F1203&amp;IF(AND(F1203&amp;""&lt;&gt;"",E1203&amp;""&lt;&gt;"")," · ","")&amp;E1203,"")</f>
        <v/>
      </c>
      <c r="CA1203" s="80" t="str">
        <f>IF(AND(BD1203=1,E1203&amp;""&lt;&gt;""),IF(COUNTIFS($E$5:E1202,E1203,$BD$5:BD1202,1)=0,MAX($CA$5:CA1202)+1,""),"")</f>
        <v/>
      </c>
      <c r="CB1203" s="80" t="str">
        <f>IF(AND(BE1203=1,D1203="Malcolm",E1203&amp;""&lt;&gt;""),IF(COUNTIFS($D$5:D1202,"Malcolm",$E$5:E1202,E1203,$BE$5:BE1202,1)=0,MAX($CB$5:CB1202)+1,""),"")</f>
        <v/>
      </c>
      <c r="CC1203" s="80" t="str">
        <f>IF(AND(BD1203=1,D1203="proMX",E1203&amp;""&lt;&gt;""),IF(COUNTIFS($D$5:D1202,"proMX",$E$5:E1202,E1203,$BD$5:BD1202,1)=0,MAX($CC$5:CC1202)+1,""),"")</f>
        <v/>
      </c>
      <c r="CD1203" s="80" t="str">
        <f>IF(AND(BE1203=1,D1203="Malcolm",F1203&amp;""&lt;&gt;""),IF(COUNTIFS($D$5:D1202,"Malcolm",$F$5:F1202,F1203,$BE$5:BE1202,1)=0,MAX($CD$5:CD1202)+1,""),"")</f>
        <v/>
      </c>
      <c r="CE1203" s="80" t="str">
        <f>IF(AND(BD1203=1,D1203="proMX",F1203&amp;""&lt;&gt;""),IF(COUNTIFS($D$5:D1202,"proMX",$F$5:F1202,F1203,$BD$5:BD1202,1)=0,MAX($CE$5:CE1202)+1,""),"")</f>
        <v/>
      </c>
      <c r="CF1203" s="80" t="str">
        <f>IF(AND(D1203="proMX",BD1203=1),IF(OR(BF1203="Draft",BF1203="Submitted",BF1203="Returned",BF1203="Recall Requested"),MAX($CF$5:CF1202)+1,""),"")</f>
        <v/>
      </c>
      <c r="CG1203" s="80">
        <f>IF(BD1203=0,0,IF(D1203="Malcolm",1,MATCH(BF1203,{"Draft","Submitted","Approved","Returned","Recall Requested","Cancelled"},0)+1))</f>
        <v>0</v>
      </c>
      <c r="CH1203" s="80">
        <f>IF(AND(BF1203="Submitted",ISNUMBER(V1203)),IF(V1203&gt;CFG_MAXD,1,0),0)</f>
        <v>0</v>
      </c>
    </row>
    <row r="1204">
      <c r="A1204" s="71" t="str">
        <f>IF(Y1204=1,ROW()-5,"")</f>
        <v/>
      </c>
      <c r="B1204" s="72" t="n"/>
      <c r="C1204" s="71" t="str">
        <f>IF(ISNUMBER(B1204),CHOOSE(WEEKDAY(B1204,2),"Lun","Mar","Mié","Jue","Vie","Sáb","Dom"),"")</f>
        <v/>
      </c>
      <c r="D1204" s="73" t="n"/>
      <c r="E1204" s="74" t="n"/>
      <c r="F1204" s="74" t="n"/>
      <c r="G1204" s="74" t="n"/>
      <c r="H1204" s="75" t="n"/>
      <c r="I1204" s="75" t="n"/>
      <c r="J1204" s="76" t="n"/>
      <c r="K1204" s="77" t="str">
        <f>IF(AB1204=1,ROUND(AG1204/60,4),"")</f>
        <v/>
      </c>
      <c r="L1204" s="77" t="str">
        <f>IF(BD1204=1,ROUND(AP1204/60,4),"")</f>
        <v/>
      </c>
      <c r="M1204" s="77" t="str">
        <f>IF(BD1204=1,ROUND(AQ1204/60,4),"")</f>
        <v/>
      </c>
      <c r="N1204" s="71" t="str">
        <f>IF(AND(D1204="proMX",AB1204=1),ROUND(AG1204/CFG_BLK,2),"")</f>
        <v/>
      </c>
      <c r="O1204" s="77" t="str">
        <f>IF(D1204="proMX",IF(BD1204=1,ROUND(AG1204/60,4),0),"")</f>
        <v/>
      </c>
      <c r="P1204" s="78" t="str">
        <f>IF(Y1204=0,"",IF(BD1204=1,"OK",IF(D1204="proMX","Revisar bloques: ","Revisar: ")&amp;BC1204))</f>
        <v/>
      </c>
      <c r="Q1204" s="78" t="str">
        <f>IF(NOT(ISNUMBER(B1204)),"",IF(COUNTIFS(FER_F,INT(B1204))&gt;0,"Feriado"&amp;IF(AH1204=1," (laborable)"," (no laborable)"),IF(AH1204=1,"Laborable",IF(WEEKDAY(B1204,2)&gt;5,"Fin de semana","No laborable"))))</f>
        <v/>
      </c>
      <c r="R1204" s="73" t="n"/>
      <c r="S1204" s="72" t="n"/>
      <c r="T1204" s="72" t="n"/>
      <c r="U1204" s="74" t="n"/>
      <c r="V1204" s="79" t="str">
        <f>IF(AND(D1204="proMX",OR(R1204="Submitted",R1204="Recall Requested"),ISNUMBER(S1204)),CFG_TODAY-INT(S1204),"")</f>
        <v/>
      </c>
      <c r="W1204" s="78" t="str">
        <f>IF(BD1204=0,"",IF(BA1204&gt;0,"⚠ Se superpone con un registro de la otra empresa",IF(D1204="Malcolm",IF(COUNTA(R1204,S1204,T1204)&gt;0,"Estado/fechas proMX se ignoran en Malcolm",""),IF(BF1204="Cancelled","Cancelado: excluido de totales",IF(R1204="","Sin estado: se trata como Draft",IF(BF1204="Submitted",IF(ISNUMBER(V1204),IF(V1204&gt;CFG_MAXD,"⚠ "&amp;V1204&amp;" días en Submitted (máx. "&amp;CFG_MAXD&amp;")",""),"Falta fecha de envío"),IF(BF1204="Returned","⚠ Devuelto: corregir y reenviar",IF(BF1204="Recall Requested","Retirada solicitada: pendiente",IF(AND(BF1204="Approved",NOT(ISNUMBER(T1204))),"Falta fecha de aprobación",IF(AND(ISNUMBER(S1204),ISNUMBER(T1204),T1204&lt;S1204),"Aprobación anterior al envío","")))))))))</f>
        <v/>
      </c>
      <c r="Y1204" s="80">
        <f>IF(COUNTA(B1204,D1204,E1204,F1204,G1204,H1204,I1204,J1204,R1204,S1204,T1204)&gt;0,1,0)</f>
        <v>0</v>
      </c>
      <c r="Z1204" s="80" t="str">
        <f>IF(AND(ISNUMBER(H1204),H1204&gt;=0,H1204&lt;1),ROUND(H1204*1440,0),"")</f>
        <v/>
      </c>
      <c r="AA1204" s="80" t="str">
        <f>IF(AND(ISNUMBER(I1204),I1204&gt;=0,I1204&lt;1),ROUND(I1204*1440,0),"")</f>
        <v/>
      </c>
      <c r="AB1204" s="80">
        <f>IF(AND(ISNUMBER(B1204),D1204&lt;&gt;"",ISNUMBER(Z1204),ISNUMBER(AA1204)),IF(Z1204=AA1204,0,1),0)</f>
        <v>0</v>
      </c>
      <c r="AC1204" s="80">
        <f>IF(AB1204=1,IF(AA1204&lt;Z1204,1,0),0)</f>
        <v>0</v>
      </c>
      <c r="AD1204" s="80">
        <f>IF(AB1204=1,IF(AC1204=1,1440-Z1204+AA1204,AA1204-Z1204),0)</f>
        <v>0</v>
      </c>
      <c r="AE1204" s="80">
        <f>IF(J1204="",0,IF(ISNUMBER(J1204),J1204,-1))</f>
        <v>0</v>
      </c>
      <c r="AF1204" s="80">
        <f>MIN(MAX(0,AE1204),AD1204)</f>
        <v>0</v>
      </c>
      <c r="AG1204" s="80">
        <f>MAX(0,AD1204-MAX(0,AE1204))</f>
        <v>0</v>
      </c>
      <c r="AH1204" s="80">
        <f>IF(ISNUMBER(B1204),IF(AND(INDEX(CFG_WDAYS,WEEKDAY(INT(B1204),2))="Sí",IF(D1204="proMX",COUNTIFS(FER_F,INT(B1204),FER_NLP,"Sí"),COUNTIFS(FER_F,INT(B1204),FER_NLM,"Sí"))=0),1,0),0)</f>
        <v>0</v>
      </c>
      <c r="AI1204" s="80">
        <f>IF(AC1204=1,IF(AND(INDEX(CFG_WDAYS,WEEKDAY(INT(B1204)+1,2))="Sí",IF(D1204="proMX",COUNTIFS(FER_F,INT(B1204)+1,FER_NLP,"Sí"),COUNTIFS(FER_F,INT(B1204)+1,FER_NLM,"Sí"))=0),1,0),0)</f>
        <v>0</v>
      </c>
      <c r="AJ1204" s="80">
        <f>IF(AC1204=1,1440-Z1204,AD1204)</f>
        <v>0</v>
      </c>
      <c r="AK1204" s="80">
        <f>IF(AND(AB1204=1,AH1204=1),MAX(0,MIN(IF(AC1204=1,1440,AA1204),CFG_WEM)-MAX(Z1204,CFG_WSM)),0)</f>
        <v>0</v>
      </c>
      <c r="AL1204" s="80">
        <f>IF(AND(AC1204=1,AI1204=1),MAX(0,MIN(AA1204,CFG_WEM)-CFG_WSM),0)</f>
        <v>0</v>
      </c>
      <c r="AM1204" s="80">
        <f>AK1204+AL1204</f>
        <v>0</v>
      </c>
      <c r="AN1204" s="80">
        <f>IF(CFG_BRK="Proporcional",IF(AD1204=0,0,AF1204*AM1204/AD1204),IF(CFG_BRK="Extras primero",MIN(AM1204,MAX(0,AF1204-(AD1204-AM1204))),MIN(AF1204,AM1204)))</f>
        <v>0</v>
      </c>
      <c r="AO1204" s="80">
        <f>AF1204-AN1204</f>
        <v>0</v>
      </c>
      <c r="AP1204" s="80">
        <f>AM1204-AN1204</f>
        <v>0</v>
      </c>
      <c r="AQ1204" s="80">
        <f>AD1204-AM1204-AO1204</f>
        <v>0</v>
      </c>
      <c r="AR1204" s="80">
        <f>IF(AM1204=0,0,AK1204-AN1204*AK1204/AM1204)</f>
        <v>0</v>
      </c>
      <c r="AS1204" s="80">
        <f>IF(AD1204-AM1204=0,0,(AJ1204-AK1204)-AO1204*(AJ1204-AK1204)/(AD1204-AM1204))</f>
        <v>0</v>
      </c>
      <c r="AT1204" s="80" t="str">
        <f>IF(AC1204=1,INT(B1204)+1,"")</f>
        <v/>
      </c>
      <c r="AU1204" s="80">
        <f>IF(AND(D1204="proMX",R1204="Cancelled"),0,1)</f>
        <v>1</v>
      </c>
      <c r="AV1204" s="80">
        <f>IF(AND(AB1204=1,AU1204=1),IF(COUNTIFS($D$5:D1203,D1204,$B$5:B1203,B1204,$Z$5:Z1203,Z1204,$AA$5:AA1203,AA1204,$F$5:F1203,F1204&amp;"",$AU$5:AU1203,1)&gt;0,1,0),0)</f>
        <v>0</v>
      </c>
      <c r="AW1204" s="80" t="str">
        <f>IF(AB1204=1,INT(B1204)*1440+Z1204,"")</f>
        <v/>
      </c>
      <c r="AX1204" s="80" t="str">
        <f>IF(AB1204=1,AW1204+AD1204,"")</f>
        <v/>
      </c>
      <c r="AY1204" s="80">
        <f>IF(AND(AB1204=1,AV1204=0,AU1204=1),1,0)</f>
        <v>0</v>
      </c>
      <c r="AZ1204" s="80">
        <f>IF(AY1204=1,COUNTIFS(R_Emp,D1204,R_SAbs,"&lt;"&amp;AX1204,R_EAbs,"&gt;"&amp;AW1204,R_OKey,1)-1,0)</f>
        <v>0</v>
      </c>
      <c r="BA1204" s="80">
        <f>IF(AY1204=1,COUNTIFS(R_Emp,"&lt;&gt;"&amp;D1204,R_SAbs,"&lt;"&amp;AX1204,R_EAbs,"&gt;"&amp;AW1204,R_OKey,1),0)</f>
        <v>0</v>
      </c>
      <c r="BB1204" s="80">
        <f>IF(AND(AB1204=1,D1204="proMX"),IF(AND(MOD(Z1204,CFG_BLK)=0,MOD(AA1204,CFG_BLK)=0,MOD(AG1204,CFG_BLK)=0,AG1204&gt;0),1,0),1)</f>
        <v>1</v>
      </c>
      <c r="BC1204" s="80" t="str">
        <f>IF(Y1204=0,"",IF(NOT(ISNUMBER(B1204)),"Falta fecha o fecha inválida",IF(D1204="","Falta empresa",IF(AND(D1204&lt;&gt;"Malcolm",D1204&lt;&gt;"proMX"),"Empresa inválida",IF(OR(INT(B1204)&lt;CFG_PSTART,INT(B1204)&gt;CFG_PEND),"Fecha fuera del período",IF(OR(NOT(ISNUMBER(Z1204)),NOT(ISNUMBER(AA1204))),"Falta hora inicio/fin o formato inválido",IF(AB1204=0,"Hora inicio = hora fin",IF(AE1204&lt;0,"Descanso inválido",IF(AE1204&gt;=AD1204,"Descanso ≥ duración",IF(AV1204=1,"Registro duplicado",IF(AZ1204&gt;0,"Se superpone con otro registro "&amp;D1204,IF(BB1204=0,"inicio, fin y duración neta deben ser múltiplos de "&amp;CFG_BLK&amp;" min",""))))))))))))</f>
        <v/>
      </c>
      <c r="BD1204" s="80">
        <f>IF(AND(Y1204=1,BC1204=""),1,0)</f>
        <v>0</v>
      </c>
      <c r="BE1204" s="80">
        <f>IF(AND(BD1204=1,AU1204=1),1,0)</f>
        <v>0</v>
      </c>
      <c r="BF1204" s="80" t="str">
        <f>IF(AND(D1204="proMX",BD1204=1),IF(R1204="","Draft",R1204),"")</f>
        <v/>
      </c>
      <c r="BG1204" s="80">
        <f>IF(BD1204=1,ROUND(AG1204/60,6),0)</f>
        <v>0</v>
      </c>
      <c r="BH1204" s="80">
        <f>IF(BE1204=1,ROUND(AG1204/60,6),0)</f>
        <v>0</v>
      </c>
      <c r="BI1204" s="80">
        <f>IF(BE1204=1,ROUND(AP1204/60,6),0)</f>
        <v>0</v>
      </c>
      <c r="BJ1204" s="80">
        <f>IF(BE1204=1,ROUND(AQ1204/60,6),0)</f>
        <v>0</v>
      </c>
      <c r="BK1204" s="80">
        <f>IF(BE1204=1,ROUND((AR1204+AS1204)/60,6),0)</f>
        <v>0</v>
      </c>
      <c r="BL1204" s="80">
        <f>ROUND(BH1204-BK1204,6)</f>
        <v>0</v>
      </c>
      <c r="BM1204" s="80">
        <f>IF(BE1204=1,ROUND(AR1204/60,6),0)</f>
        <v>0</v>
      </c>
      <c r="BN1204" s="80">
        <f>ROUND(BI1204-BM1204,6)</f>
        <v>0</v>
      </c>
      <c r="BO1204" s="80">
        <f>IF(BE1204=1,ROUND(AS1204/60,6),0)</f>
        <v>0</v>
      </c>
      <c r="BP1204" s="80">
        <f>ROUND(BJ1204-BO1204,6)</f>
        <v>0</v>
      </c>
      <c r="BQ1204" s="80">
        <f>IF(BE1204=1,AW1204,0)</f>
        <v>0</v>
      </c>
      <c r="BR1204" s="80">
        <f>IF(BE1204=1,AX1204,0)</f>
        <v>0</v>
      </c>
      <c r="BS1204" s="80">
        <f>IF(AND(BE1204=1,D1204="Malcolm",BA1204&gt;0),MIN(BH1204,SUMPRODUCT((R_Emp="proMX")*(R_EN&gt;0)*((R_EN-(R_EN&gt;BR1204)*(R_EN-BR1204))&gt;(R_SN+(R_SN&lt;BQ1204)*(BQ1204-R_SN)))*((R_EN-(R_EN&gt;BR1204)*(R_EN-BR1204))-(R_SN+(R_SN&lt;BQ1204)*(BQ1204-R_SN))))/60),0)</f>
        <v>0</v>
      </c>
      <c r="BT1204" s="80">
        <f>IF(AND(BE1204=1,D1204="proMX"),ROUND(BI1204*CFG_RATE+BJ1204*CFG_OTRATE,6),0)</f>
        <v>0</v>
      </c>
      <c r="BU1204" s="80">
        <f>IF(AND(BD1204=1,D1204="proMX"),ROUND(AG1204/CFG_BLK,6),0)</f>
        <v>0</v>
      </c>
      <c r="BV1204" s="80" t="str">
        <f>IF(BF1204="Approved",IF(ISNUMBER(T1204),INT(T1204),INT(B1204)),"")</f>
        <v/>
      </c>
      <c r="BW1204" s="80">
        <f>IF(ISNUMBER(B1204),IF(DB_MON="Todos",1,IF(AND(INT(B1204)&gt;=DB_MS,INT(B1204)&lt;=DB_ME),1,0)),0)</f>
        <v>0</v>
      </c>
      <c r="BX1204" s="80">
        <f>IF(DB_PROJ="Todos",1,IF(E1204&amp;""=DB_PROJ&amp;"",1,0))</f>
        <v>1</v>
      </c>
      <c r="BY1204" s="80">
        <f>BW1204*BX1204</f>
        <v>0</v>
      </c>
      <c r="BZ1204" s="80" t="str">
        <f>IF(Y1204=1,F1204&amp;IF(AND(F1204&amp;""&lt;&gt;"",E1204&amp;""&lt;&gt;"")," · ","")&amp;E1204,"")</f>
        <v/>
      </c>
      <c r="CA1204" s="80" t="str">
        <f>IF(AND(BD1204=1,E1204&amp;""&lt;&gt;""),IF(COUNTIFS($E$5:E1203,E1204,$BD$5:BD1203,1)=0,MAX($CA$5:CA1203)+1,""),"")</f>
        <v/>
      </c>
      <c r="CB1204" s="80" t="str">
        <f>IF(AND(BE1204=1,D1204="Malcolm",E1204&amp;""&lt;&gt;""),IF(COUNTIFS($D$5:D1203,"Malcolm",$E$5:E1203,E1204,$BE$5:BE1203,1)=0,MAX($CB$5:CB1203)+1,""),"")</f>
        <v/>
      </c>
      <c r="CC1204" s="80" t="str">
        <f>IF(AND(BD1204=1,D1204="proMX",E1204&amp;""&lt;&gt;""),IF(COUNTIFS($D$5:D1203,"proMX",$E$5:E1203,E1204,$BD$5:BD1203,1)=0,MAX($CC$5:CC1203)+1,""),"")</f>
        <v/>
      </c>
      <c r="CD1204" s="80" t="str">
        <f>IF(AND(BE1204=1,D1204="Malcolm",F1204&amp;""&lt;&gt;""),IF(COUNTIFS($D$5:D1203,"Malcolm",$F$5:F1203,F1204,$BE$5:BE1203,1)=0,MAX($CD$5:CD1203)+1,""),"")</f>
        <v/>
      </c>
      <c r="CE1204" s="80" t="str">
        <f>IF(AND(BD1204=1,D1204="proMX",F1204&amp;""&lt;&gt;""),IF(COUNTIFS($D$5:D1203,"proMX",$F$5:F1203,F1204,$BD$5:BD1203,1)=0,MAX($CE$5:CE1203)+1,""),"")</f>
        <v/>
      </c>
      <c r="CF1204" s="80" t="str">
        <f>IF(AND(D1204="proMX",BD1204=1),IF(OR(BF1204="Draft",BF1204="Submitted",BF1204="Returned",BF1204="Recall Requested"),MAX($CF$5:CF1203)+1,""),"")</f>
        <v/>
      </c>
      <c r="CG1204" s="80">
        <f>IF(BD1204=0,0,IF(D1204="Malcolm",1,MATCH(BF1204,{"Draft","Submitted","Approved","Returned","Recall Requested","Cancelled"},0)+1))</f>
        <v>0</v>
      </c>
      <c r="CH1204" s="80">
        <f>IF(AND(BF1204="Submitted",ISNUMBER(V1204)),IF(V1204&gt;CFG_MAXD,1,0),0)</f>
        <v>0</v>
      </c>
    </row>
    <row r="1205">
      <c r="A1205" s="71" t="str">
        <f>IF(Y1205=1,ROW()-5,"")</f>
        <v/>
      </c>
      <c r="B1205" s="72" t="n"/>
      <c r="C1205" s="71" t="str">
        <f>IF(ISNUMBER(B1205),CHOOSE(WEEKDAY(B1205,2),"Lun","Mar","Mié","Jue","Vie","Sáb","Dom"),"")</f>
        <v/>
      </c>
      <c r="D1205" s="73" t="n"/>
      <c r="E1205" s="74" t="n"/>
      <c r="F1205" s="74" t="n"/>
      <c r="G1205" s="74" t="n"/>
      <c r="H1205" s="75" t="n"/>
      <c r="I1205" s="75" t="n"/>
      <c r="J1205" s="76" t="n"/>
      <c r="K1205" s="77" t="str">
        <f>IF(AB1205=1,ROUND(AG1205/60,4),"")</f>
        <v/>
      </c>
      <c r="L1205" s="77" t="str">
        <f>IF(BD1205=1,ROUND(AP1205/60,4),"")</f>
        <v/>
      </c>
      <c r="M1205" s="77" t="str">
        <f>IF(BD1205=1,ROUND(AQ1205/60,4),"")</f>
        <v/>
      </c>
      <c r="N1205" s="71" t="str">
        <f>IF(AND(D1205="proMX",AB1205=1),ROUND(AG1205/CFG_BLK,2),"")</f>
        <v/>
      </c>
      <c r="O1205" s="77" t="str">
        <f>IF(D1205="proMX",IF(BD1205=1,ROUND(AG1205/60,4),0),"")</f>
        <v/>
      </c>
      <c r="P1205" s="78" t="str">
        <f>IF(Y1205=0,"",IF(BD1205=1,"OK",IF(D1205="proMX","Revisar bloques: ","Revisar: ")&amp;BC1205))</f>
        <v/>
      </c>
      <c r="Q1205" s="78" t="str">
        <f>IF(NOT(ISNUMBER(B1205)),"",IF(COUNTIFS(FER_F,INT(B1205))&gt;0,"Feriado"&amp;IF(AH1205=1," (laborable)"," (no laborable)"),IF(AH1205=1,"Laborable",IF(WEEKDAY(B1205,2)&gt;5,"Fin de semana","No laborable"))))</f>
        <v/>
      </c>
      <c r="R1205" s="73" t="n"/>
      <c r="S1205" s="72" t="n"/>
      <c r="T1205" s="72" t="n"/>
      <c r="U1205" s="74" t="n"/>
      <c r="V1205" s="79" t="str">
        <f>IF(AND(D1205="proMX",OR(R1205="Submitted",R1205="Recall Requested"),ISNUMBER(S1205)),CFG_TODAY-INT(S1205),"")</f>
        <v/>
      </c>
      <c r="W1205" s="78" t="str">
        <f>IF(BD1205=0,"",IF(BA1205&gt;0,"⚠ Se superpone con un registro de la otra empresa",IF(D1205="Malcolm",IF(COUNTA(R1205,S1205,T1205)&gt;0,"Estado/fechas proMX se ignoran en Malcolm",""),IF(BF1205="Cancelled","Cancelado: excluido de totales",IF(R1205="","Sin estado: se trata como Draft",IF(BF1205="Submitted",IF(ISNUMBER(V1205),IF(V1205&gt;CFG_MAXD,"⚠ "&amp;V1205&amp;" días en Submitted (máx. "&amp;CFG_MAXD&amp;")",""),"Falta fecha de envío"),IF(BF1205="Returned","⚠ Devuelto: corregir y reenviar",IF(BF1205="Recall Requested","Retirada solicitada: pendiente",IF(AND(BF1205="Approved",NOT(ISNUMBER(T1205))),"Falta fecha de aprobación",IF(AND(ISNUMBER(S1205),ISNUMBER(T1205),T1205&lt;S1205),"Aprobación anterior al envío","")))))))))</f>
        <v/>
      </c>
      <c r="Y1205" s="80">
        <f>IF(COUNTA(B1205,D1205,E1205,F1205,G1205,H1205,I1205,J1205,R1205,S1205,T1205)&gt;0,1,0)</f>
        <v>0</v>
      </c>
      <c r="Z1205" s="80" t="str">
        <f>IF(AND(ISNUMBER(H1205),H1205&gt;=0,H1205&lt;1),ROUND(H1205*1440,0),"")</f>
        <v/>
      </c>
      <c r="AA1205" s="80" t="str">
        <f>IF(AND(ISNUMBER(I1205),I1205&gt;=0,I1205&lt;1),ROUND(I1205*1440,0),"")</f>
        <v/>
      </c>
      <c r="AB1205" s="80">
        <f>IF(AND(ISNUMBER(B1205),D1205&lt;&gt;"",ISNUMBER(Z1205),ISNUMBER(AA1205)),IF(Z1205=AA1205,0,1),0)</f>
        <v>0</v>
      </c>
      <c r="AC1205" s="80">
        <f>IF(AB1205=1,IF(AA1205&lt;Z1205,1,0),0)</f>
        <v>0</v>
      </c>
      <c r="AD1205" s="80">
        <f>IF(AB1205=1,IF(AC1205=1,1440-Z1205+AA1205,AA1205-Z1205),0)</f>
        <v>0</v>
      </c>
      <c r="AE1205" s="80">
        <f>IF(J1205="",0,IF(ISNUMBER(J1205),J1205,-1))</f>
        <v>0</v>
      </c>
      <c r="AF1205" s="80">
        <f>MIN(MAX(0,AE1205),AD1205)</f>
        <v>0</v>
      </c>
      <c r="AG1205" s="80">
        <f>MAX(0,AD1205-MAX(0,AE1205))</f>
        <v>0</v>
      </c>
      <c r="AH1205" s="80">
        <f>IF(ISNUMBER(B1205),IF(AND(INDEX(CFG_WDAYS,WEEKDAY(INT(B1205),2))="Sí",IF(D1205="proMX",COUNTIFS(FER_F,INT(B1205),FER_NLP,"Sí"),COUNTIFS(FER_F,INT(B1205),FER_NLM,"Sí"))=0),1,0),0)</f>
        <v>0</v>
      </c>
      <c r="AI1205" s="80">
        <f>IF(AC1205=1,IF(AND(INDEX(CFG_WDAYS,WEEKDAY(INT(B1205)+1,2))="Sí",IF(D1205="proMX",COUNTIFS(FER_F,INT(B1205)+1,FER_NLP,"Sí"),COUNTIFS(FER_F,INT(B1205)+1,FER_NLM,"Sí"))=0),1,0),0)</f>
        <v>0</v>
      </c>
      <c r="AJ1205" s="80">
        <f>IF(AC1205=1,1440-Z1205,AD1205)</f>
        <v>0</v>
      </c>
      <c r="AK1205" s="80">
        <f>IF(AND(AB1205=1,AH1205=1),MAX(0,MIN(IF(AC1205=1,1440,AA1205),CFG_WEM)-MAX(Z1205,CFG_WSM)),0)</f>
        <v>0</v>
      </c>
      <c r="AL1205" s="80">
        <f>IF(AND(AC1205=1,AI1205=1),MAX(0,MIN(AA1205,CFG_WEM)-CFG_WSM),0)</f>
        <v>0</v>
      </c>
      <c r="AM1205" s="80">
        <f>AK1205+AL1205</f>
        <v>0</v>
      </c>
      <c r="AN1205" s="80">
        <f>IF(CFG_BRK="Proporcional",IF(AD1205=0,0,AF1205*AM1205/AD1205),IF(CFG_BRK="Extras primero",MIN(AM1205,MAX(0,AF1205-(AD1205-AM1205))),MIN(AF1205,AM1205)))</f>
        <v>0</v>
      </c>
      <c r="AO1205" s="80">
        <f>AF1205-AN1205</f>
        <v>0</v>
      </c>
      <c r="AP1205" s="80">
        <f>AM1205-AN1205</f>
        <v>0</v>
      </c>
      <c r="AQ1205" s="80">
        <f>AD1205-AM1205-AO1205</f>
        <v>0</v>
      </c>
      <c r="AR1205" s="80">
        <f>IF(AM1205=0,0,AK1205-AN1205*AK1205/AM1205)</f>
        <v>0</v>
      </c>
      <c r="AS1205" s="80">
        <f>IF(AD1205-AM1205=0,0,(AJ1205-AK1205)-AO1205*(AJ1205-AK1205)/(AD1205-AM1205))</f>
        <v>0</v>
      </c>
      <c r="AT1205" s="80" t="str">
        <f>IF(AC1205=1,INT(B1205)+1,"")</f>
        <v/>
      </c>
      <c r="AU1205" s="80">
        <f>IF(AND(D1205="proMX",R1205="Cancelled"),0,1)</f>
        <v>1</v>
      </c>
      <c r="AV1205" s="80">
        <f>IF(AND(AB1205=1,AU1205=1),IF(COUNTIFS($D$5:D1204,D1205,$B$5:B1204,B1205,$Z$5:Z1204,Z1205,$AA$5:AA1204,AA1205,$F$5:F1204,F1205&amp;"",$AU$5:AU1204,1)&gt;0,1,0),0)</f>
        <v>0</v>
      </c>
      <c r="AW1205" s="80" t="str">
        <f>IF(AB1205=1,INT(B1205)*1440+Z1205,"")</f>
        <v/>
      </c>
      <c r="AX1205" s="80" t="str">
        <f>IF(AB1205=1,AW1205+AD1205,"")</f>
        <v/>
      </c>
      <c r="AY1205" s="80">
        <f>IF(AND(AB1205=1,AV1205=0,AU1205=1),1,0)</f>
        <v>0</v>
      </c>
      <c r="AZ1205" s="80">
        <f>IF(AY1205=1,COUNTIFS(R_Emp,D1205,R_SAbs,"&lt;"&amp;AX1205,R_EAbs,"&gt;"&amp;AW1205,R_OKey,1)-1,0)</f>
        <v>0</v>
      </c>
      <c r="BA1205" s="80">
        <f>IF(AY1205=1,COUNTIFS(R_Emp,"&lt;&gt;"&amp;D1205,R_SAbs,"&lt;"&amp;AX1205,R_EAbs,"&gt;"&amp;AW1205,R_OKey,1),0)</f>
        <v>0</v>
      </c>
      <c r="BB1205" s="80">
        <f>IF(AND(AB1205=1,D1205="proMX"),IF(AND(MOD(Z1205,CFG_BLK)=0,MOD(AA1205,CFG_BLK)=0,MOD(AG1205,CFG_BLK)=0,AG1205&gt;0),1,0),1)</f>
        <v>1</v>
      </c>
      <c r="BC1205" s="80" t="str">
        <f>IF(Y1205=0,"",IF(NOT(ISNUMBER(B1205)),"Falta fecha o fecha inválida",IF(D1205="","Falta empresa",IF(AND(D1205&lt;&gt;"Malcolm",D1205&lt;&gt;"proMX"),"Empresa inválida",IF(OR(INT(B1205)&lt;CFG_PSTART,INT(B1205)&gt;CFG_PEND),"Fecha fuera del período",IF(OR(NOT(ISNUMBER(Z1205)),NOT(ISNUMBER(AA1205))),"Falta hora inicio/fin o formato inválido",IF(AB1205=0,"Hora inicio = hora fin",IF(AE1205&lt;0,"Descanso inválido",IF(AE1205&gt;=AD1205,"Descanso ≥ duración",IF(AV1205=1,"Registro duplicado",IF(AZ1205&gt;0,"Se superpone con otro registro "&amp;D1205,IF(BB1205=0,"inicio, fin y duración neta deben ser múltiplos de "&amp;CFG_BLK&amp;" min",""))))))))))))</f>
        <v/>
      </c>
      <c r="BD1205" s="80">
        <f>IF(AND(Y1205=1,BC1205=""),1,0)</f>
        <v>0</v>
      </c>
      <c r="BE1205" s="80">
        <f>IF(AND(BD1205=1,AU1205=1),1,0)</f>
        <v>0</v>
      </c>
      <c r="BF1205" s="80" t="str">
        <f>IF(AND(D1205="proMX",BD1205=1),IF(R1205="","Draft",R1205),"")</f>
        <v/>
      </c>
      <c r="BG1205" s="80">
        <f>IF(BD1205=1,ROUND(AG1205/60,6),0)</f>
        <v>0</v>
      </c>
      <c r="BH1205" s="80">
        <f>IF(BE1205=1,ROUND(AG1205/60,6),0)</f>
        <v>0</v>
      </c>
      <c r="BI1205" s="80">
        <f>IF(BE1205=1,ROUND(AP1205/60,6),0)</f>
        <v>0</v>
      </c>
      <c r="BJ1205" s="80">
        <f>IF(BE1205=1,ROUND(AQ1205/60,6),0)</f>
        <v>0</v>
      </c>
      <c r="BK1205" s="80">
        <f>IF(BE1205=1,ROUND((AR1205+AS1205)/60,6),0)</f>
        <v>0</v>
      </c>
      <c r="BL1205" s="80">
        <f>ROUND(BH1205-BK1205,6)</f>
        <v>0</v>
      </c>
      <c r="BM1205" s="80">
        <f>IF(BE1205=1,ROUND(AR1205/60,6),0)</f>
        <v>0</v>
      </c>
      <c r="BN1205" s="80">
        <f>ROUND(BI1205-BM1205,6)</f>
        <v>0</v>
      </c>
      <c r="BO1205" s="80">
        <f>IF(BE1205=1,ROUND(AS1205/60,6),0)</f>
        <v>0</v>
      </c>
      <c r="BP1205" s="80">
        <f>ROUND(BJ1205-BO1205,6)</f>
        <v>0</v>
      </c>
      <c r="BQ1205" s="80">
        <f>IF(BE1205=1,AW1205,0)</f>
        <v>0</v>
      </c>
      <c r="BR1205" s="80">
        <f>IF(BE1205=1,AX1205,0)</f>
        <v>0</v>
      </c>
      <c r="BS1205" s="80">
        <f>IF(AND(BE1205=1,D1205="Malcolm",BA1205&gt;0),MIN(BH1205,SUMPRODUCT((R_Emp="proMX")*(R_EN&gt;0)*((R_EN-(R_EN&gt;BR1205)*(R_EN-BR1205))&gt;(R_SN+(R_SN&lt;BQ1205)*(BQ1205-R_SN)))*((R_EN-(R_EN&gt;BR1205)*(R_EN-BR1205))-(R_SN+(R_SN&lt;BQ1205)*(BQ1205-R_SN))))/60),0)</f>
        <v>0</v>
      </c>
      <c r="BT1205" s="80">
        <f>IF(AND(BE1205=1,D1205="proMX"),ROUND(BI1205*CFG_RATE+BJ1205*CFG_OTRATE,6),0)</f>
        <v>0</v>
      </c>
      <c r="BU1205" s="80">
        <f>IF(AND(BD1205=1,D1205="proMX"),ROUND(AG1205/CFG_BLK,6),0)</f>
        <v>0</v>
      </c>
      <c r="BV1205" s="80" t="str">
        <f>IF(BF1205="Approved",IF(ISNUMBER(T1205),INT(T1205),INT(B1205)),"")</f>
        <v/>
      </c>
      <c r="BW1205" s="80">
        <f>IF(ISNUMBER(B1205),IF(DB_MON="Todos",1,IF(AND(INT(B1205)&gt;=DB_MS,INT(B1205)&lt;=DB_ME),1,0)),0)</f>
        <v>0</v>
      </c>
      <c r="BX1205" s="80">
        <f>IF(DB_PROJ="Todos",1,IF(E1205&amp;""=DB_PROJ&amp;"",1,0))</f>
        <v>1</v>
      </c>
      <c r="BY1205" s="80">
        <f>BW1205*BX1205</f>
        <v>0</v>
      </c>
      <c r="BZ1205" s="80" t="str">
        <f>IF(Y1205=1,F1205&amp;IF(AND(F1205&amp;""&lt;&gt;"",E1205&amp;""&lt;&gt;"")," · ","")&amp;E1205,"")</f>
        <v/>
      </c>
      <c r="CA1205" s="80" t="str">
        <f>IF(AND(BD1205=1,E1205&amp;""&lt;&gt;""),IF(COUNTIFS($E$5:E1204,E1205,$BD$5:BD1204,1)=0,MAX($CA$5:CA1204)+1,""),"")</f>
        <v/>
      </c>
      <c r="CB1205" s="80" t="str">
        <f>IF(AND(BE1205=1,D1205="Malcolm",E1205&amp;""&lt;&gt;""),IF(COUNTIFS($D$5:D1204,"Malcolm",$E$5:E1204,E1205,$BE$5:BE1204,1)=0,MAX($CB$5:CB1204)+1,""),"")</f>
        <v/>
      </c>
      <c r="CC1205" s="80" t="str">
        <f>IF(AND(BD1205=1,D1205="proMX",E1205&amp;""&lt;&gt;""),IF(COUNTIFS($D$5:D1204,"proMX",$E$5:E1204,E1205,$BD$5:BD1204,1)=0,MAX($CC$5:CC1204)+1,""),"")</f>
        <v/>
      </c>
      <c r="CD1205" s="80" t="str">
        <f>IF(AND(BE1205=1,D1205="Malcolm",F1205&amp;""&lt;&gt;""),IF(COUNTIFS($D$5:D1204,"Malcolm",$F$5:F1204,F1205,$BE$5:BE1204,1)=0,MAX($CD$5:CD1204)+1,""),"")</f>
        <v/>
      </c>
      <c r="CE1205" s="80" t="str">
        <f>IF(AND(BD1205=1,D1205="proMX",F1205&amp;""&lt;&gt;""),IF(COUNTIFS($D$5:D1204,"proMX",$F$5:F1204,F1205,$BD$5:BD1204,1)=0,MAX($CE$5:CE1204)+1,""),"")</f>
        <v/>
      </c>
      <c r="CF1205" s="80" t="str">
        <f>IF(AND(D1205="proMX",BD1205=1),IF(OR(BF1205="Draft",BF1205="Submitted",BF1205="Returned",BF1205="Recall Requested"),MAX($CF$5:CF1204)+1,""),"")</f>
        <v/>
      </c>
      <c r="CG1205" s="80">
        <f>IF(BD1205=0,0,IF(D1205="Malcolm",1,MATCH(BF1205,{"Draft","Submitted","Approved","Returned","Recall Requested","Cancelled"},0)+1))</f>
        <v>0</v>
      </c>
      <c r="CH1205" s="80">
        <f>IF(AND(BF1205="Submitted",ISNUMBER(V1205)),IF(V1205&gt;CFG_MAXD,1,0),0)</f>
        <v>0</v>
      </c>
    </row>
    <row r="1206">
      <c r="A1206" s="71" t="str">
        <f>IF(Y1206=1,ROW()-5,"")</f>
        <v/>
      </c>
      <c r="B1206" s="72" t="n"/>
      <c r="C1206" s="71" t="str">
        <f>IF(ISNUMBER(B1206),CHOOSE(WEEKDAY(B1206,2),"Lun","Mar","Mié","Jue","Vie","Sáb","Dom"),"")</f>
        <v/>
      </c>
      <c r="D1206" s="73" t="n"/>
      <c r="E1206" s="74" t="n"/>
      <c r="F1206" s="74" t="n"/>
      <c r="G1206" s="74" t="n"/>
      <c r="H1206" s="75" t="n"/>
      <c r="I1206" s="75" t="n"/>
      <c r="J1206" s="76" t="n"/>
      <c r="K1206" s="77" t="str">
        <f>IF(AB1206=1,ROUND(AG1206/60,4),"")</f>
        <v/>
      </c>
      <c r="L1206" s="77" t="str">
        <f>IF(BD1206=1,ROUND(AP1206/60,4),"")</f>
        <v/>
      </c>
      <c r="M1206" s="77" t="str">
        <f>IF(BD1206=1,ROUND(AQ1206/60,4),"")</f>
        <v/>
      </c>
      <c r="N1206" s="71" t="str">
        <f>IF(AND(D1206="proMX",AB1206=1),ROUND(AG1206/CFG_BLK,2),"")</f>
        <v/>
      </c>
      <c r="O1206" s="77" t="str">
        <f>IF(D1206="proMX",IF(BD1206=1,ROUND(AG1206/60,4),0),"")</f>
        <v/>
      </c>
      <c r="P1206" s="78" t="str">
        <f>IF(Y1206=0,"",IF(BD1206=1,"OK",IF(D1206="proMX","Revisar bloques: ","Revisar: ")&amp;BC1206))</f>
        <v/>
      </c>
      <c r="Q1206" s="78" t="str">
        <f>IF(NOT(ISNUMBER(B1206)),"",IF(COUNTIFS(FER_F,INT(B1206))&gt;0,"Feriado"&amp;IF(AH1206=1," (laborable)"," (no laborable)"),IF(AH1206=1,"Laborable",IF(WEEKDAY(B1206,2)&gt;5,"Fin de semana","No laborable"))))</f>
        <v/>
      </c>
      <c r="R1206" s="73" t="n"/>
      <c r="S1206" s="72" t="n"/>
      <c r="T1206" s="72" t="n"/>
      <c r="U1206" s="74" t="n"/>
      <c r="V1206" s="79" t="str">
        <f>IF(AND(D1206="proMX",OR(R1206="Submitted",R1206="Recall Requested"),ISNUMBER(S1206)),CFG_TODAY-INT(S1206),"")</f>
        <v/>
      </c>
      <c r="W1206" s="78" t="str">
        <f>IF(BD1206=0,"",IF(BA1206&gt;0,"⚠ Se superpone con un registro de la otra empresa",IF(D1206="Malcolm",IF(COUNTA(R1206,S1206,T1206)&gt;0,"Estado/fechas proMX se ignoran en Malcolm",""),IF(BF1206="Cancelled","Cancelado: excluido de totales",IF(R1206="","Sin estado: se trata como Draft",IF(BF1206="Submitted",IF(ISNUMBER(V1206),IF(V1206&gt;CFG_MAXD,"⚠ "&amp;V1206&amp;" días en Submitted (máx. "&amp;CFG_MAXD&amp;")",""),"Falta fecha de envío"),IF(BF1206="Returned","⚠ Devuelto: corregir y reenviar",IF(BF1206="Recall Requested","Retirada solicitada: pendiente",IF(AND(BF1206="Approved",NOT(ISNUMBER(T1206))),"Falta fecha de aprobación",IF(AND(ISNUMBER(S1206),ISNUMBER(T1206),T1206&lt;S1206),"Aprobación anterior al envío","")))))))))</f>
        <v/>
      </c>
      <c r="Y1206" s="80">
        <f>IF(COUNTA(B1206,D1206,E1206,F1206,G1206,H1206,I1206,J1206,R1206,S1206,T1206)&gt;0,1,0)</f>
        <v>0</v>
      </c>
      <c r="Z1206" s="80" t="str">
        <f>IF(AND(ISNUMBER(H1206),H1206&gt;=0,H1206&lt;1),ROUND(H1206*1440,0),"")</f>
        <v/>
      </c>
      <c r="AA1206" s="80" t="str">
        <f>IF(AND(ISNUMBER(I1206),I1206&gt;=0,I1206&lt;1),ROUND(I1206*1440,0),"")</f>
        <v/>
      </c>
      <c r="AB1206" s="80">
        <f>IF(AND(ISNUMBER(B1206),D1206&lt;&gt;"",ISNUMBER(Z1206),ISNUMBER(AA1206)),IF(Z1206=AA1206,0,1),0)</f>
        <v>0</v>
      </c>
      <c r="AC1206" s="80">
        <f>IF(AB1206=1,IF(AA1206&lt;Z1206,1,0),0)</f>
        <v>0</v>
      </c>
      <c r="AD1206" s="80">
        <f>IF(AB1206=1,IF(AC1206=1,1440-Z1206+AA1206,AA1206-Z1206),0)</f>
        <v>0</v>
      </c>
      <c r="AE1206" s="80">
        <f>IF(J1206="",0,IF(ISNUMBER(J1206),J1206,-1))</f>
        <v>0</v>
      </c>
      <c r="AF1206" s="80">
        <f>MIN(MAX(0,AE1206),AD1206)</f>
        <v>0</v>
      </c>
      <c r="AG1206" s="80">
        <f>MAX(0,AD1206-MAX(0,AE1206))</f>
        <v>0</v>
      </c>
      <c r="AH1206" s="80">
        <f>IF(ISNUMBER(B1206),IF(AND(INDEX(CFG_WDAYS,WEEKDAY(INT(B1206),2))="Sí",IF(D1206="proMX",COUNTIFS(FER_F,INT(B1206),FER_NLP,"Sí"),COUNTIFS(FER_F,INT(B1206),FER_NLM,"Sí"))=0),1,0),0)</f>
        <v>0</v>
      </c>
      <c r="AI1206" s="80">
        <f>IF(AC1206=1,IF(AND(INDEX(CFG_WDAYS,WEEKDAY(INT(B1206)+1,2))="Sí",IF(D1206="proMX",COUNTIFS(FER_F,INT(B1206)+1,FER_NLP,"Sí"),COUNTIFS(FER_F,INT(B1206)+1,FER_NLM,"Sí"))=0),1,0),0)</f>
        <v>0</v>
      </c>
      <c r="AJ1206" s="80">
        <f>IF(AC1206=1,1440-Z1206,AD1206)</f>
        <v>0</v>
      </c>
      <c r="AK1206" s="80">
        <f>IF(AND(AB1206=1,AH1206=1),MAX(0,MIN(IF(AC1206=1,1440,AA1206),CFG_WEM)-MAX(Z1206,CFG_WSM)),0)</f>
        <v>0</v>
      </c>
      <c r="AL1206" s="80">
        <f>IF(AND(AC1206=1,AI1206=1),MAX(0,MIN(AA1206,CFG_WEM)-CFG_WSM),0)</f>
        <v>0</v>
      </c>
      <c r="AM1206" s="80">
        <f>AK1206+AL1206</f>
        <v>0</v>
      </c>
      <c r="AN1206" s="80">
        <f>IF(CFG_BRK="Proporcional",IF(AD1206=0,0,AF1206*AM1206/AD1206),IF(CFG_BRK="Extras primero",MIN(AM1206,MAX(0,AF1206-(AD1206-AM1206))),MIN(AF1206,AM1206)))</f>
        <v>0</v>
      </c>
      <c r="AO1206" s="80">
        <f>AF1206-AN1206</f>
        <v>0</v>
      </c>
      <c r="AP1206" s="80">
        <f>AM1206-AN1206</f>
        <v>0</v>
      </c>
      <c r="AQ1206" s="80">
        <f>AD1206-AM1206-AO1206</f>
        <v>0</v>
      </c>
      <c r="AR1206" s="80">
        <f>IF(AM1206=0,0,AK1206-AN1206*AK1206/AM1206)</f>
        <v>0</v>
      </c>
      <c r="AS1206" s="80">
        <f>IF(AD1206-AM1206=0,0,(AJ1206-AK1206)-AO1206*(AJ1206-AK1206)/(AD1206-AM1206))</f>
        <v>0</v>
      </c>
      <c r="AT1206" s="80" t="str">
        <f>IF(AC1206=1,INT(B1206)+1,"")</f>
        <v/>
      </c>
      <c r="AU1206" s="80">
        <f>IF(AND(D1206="proMX",R1206="Cancelled"),0,1)</f>
        <v>1</v>
      </c>
      <c r="AV1206" s="80">
        <f>IF(AND(AB1206=1,AU1206=1),IF(COUNTIFS($D$5:D1205,D1206,$B$5:B1205,B1206,$Z$5:Z1205,Z1206,$AA$5:AA1205,AA1206,$F$5:F1205,F1206&amp;"",$AU$5:AU1205,1)&gt;0,1,0),0)</f>
        <v>0</v>
      </c>
      <c r="AW1206" s="80" t="str">
        <f>IF(AB1206=1,INT(B1206)*1440+Z1206,"")</f>
        <v/>
      </c>
      <c r="AX1206" s="80" t="str">
        <f>IF(AB1206=1,AW1206+AD1206,"")</f>
        <v/>
      </c>
      <c r="AY1206" s="80">
        <f>IF(AND(AB1206=1,AV1206=0,AU1206=1),1,0)</f>
        <v>0</v>
      </c>
      <c r="AZ1206" s="80">
        <f>IF(AY1206=1,COUNTIFS(R_Emp,D1206,R_SAbs,"&lt;"&amp;AX1206,R_EAbs,"&gt;"&amp;AW1206,R_OKey,1)-1,0)</f>
        <v>0</v>
      </c>
      <c r="BA1206" s="80">
        <f>IF(AY1206=1,COUNTIFS(R_Emp,"&lt;&gt;"&amp;D1206,R_SAbs,"&lt;"&amp;AX1206,R_EAbs,"&gt;"&amp;AW1206,R_OKey,1),0)</f>
        <v>0</v>
      </c>
      <c r="BB1206" s="80">
        <f>IF(AND(AB1206=1,D1206="proMX"),IF(AND(MOD(Z1206,CFG_BLK)=0,MOD(AA1206,CFG_BLK)=0,MOD(AG1206,CFG_BLK)=0,AG1206&gt;0),1,0),1)</f>
        <v>1</v>
      </c>
      <c r="BC1206" s="80" t="str">
        <f>IF(Y1206=0,"",IF(NOT(ISNUMBER(B1206)),"Falta fecha o fecha inválida",IF(D1206="","Falta empresa",IF(AND(D1206&lt;&gt;"Malcolm",D1206&lt;&gt;"proMX"),"Empresa inválida",IF(OR(INT(B1206)&lt;CFG_PSTART,INT(B1206)&gt;CFG_PEND),"Fecha fuera del período",IF(OR(NOT(ISNUMBER(Z1206)),NOT(ISNUMBER(AA1206))),"Falta hora inicio/fin o formato inválido",IF(AB1206=0,"Hora inicio = hora fin",IF(AE1206&lt;0,"Descanso inválido",IF(AE1206&gt;=AD1206,"Descanso ≥ duración",IF(AV1206=1,"Registro duplicado",IF(AZ1206&gt;0,"Se superpone con otro registro "&amp;D1206,IF(BB1206=0,"inicio, fin y duración neta deben ser múltiplos de "&amp;CFG_BLK&amp;" min",""))))))))))))</f>
        <v/>
      </c>
      <c r="BD1206" s="80">
        <f>IF(AND(Y1206=1,BC1206=""),1,0)</f>
        <v>0</v>
      </c>
      <c r="BE1206" s="80">
        <f>IF(AND(BD1206=1,AU1206=1),1,0)</f>
        <v>0</v>
      </c>
      <c r="BF1206" s="80" t="str">
        <f>IF(AND(D1206="proMX",BD1206=1),IF(R1206="","Draft",R1206),"")</f>
        <v/>
      </c>
      <c r="BG1206" s="80">
        <f>IF(BD1206=1,ROUND(AG1206/60,6),0)</f>
        <v>0</v>
      </c>
      <c r="BH1206" s="80">
        <f>IF(BE1206=1,ROUND(AG1206/60,6),0)</f>
        <v>0</v>
      </c>
      <c r="BI1206" s="80">
        <f>IF(BE1206=1,ROUND(AP1206/60,6),0)</f>
        <v>0</v>
      </c>
      <c r="BJ1206" s="80">
        <f>IF(BE1206=1,ROUND(AQ1206/60,6),0)</f>
        <v>0</v>
      </c>
      <c r="BK1206" s="80">
        <f>IF(BE1206=1,ROUND((AR1206+AS1206)/60,6),0)</f>
        <v>0</v>
      </c>
      <c r="BL1206" s="80">
        <f>ROUND(BH1206-BK1206,6)</f>
        <v>0</v>
      </c>
      <c r="BM1206" s="80">
        <f>IF(BE1206=1,ROUND(AR1206/60,6),0)</f>
        <v>0</v>
      </c>
      <c r="BN1206" s="80">
        <f>ROUND(BI1206-BM1206,6)</f>
        <v>0</v>
      </c>
      <c r="BO1206" s="80">
        <f>IF(BE1206=1,ROUND(AS1206/60,6),0)</f>
        <v>0</v>
      </c>
      <c r="BP1206" s="80">
        <f>ROUND(BJ1206-BO1206,6)</f>
        <v>0</v>
      </c>
      <c r="BQ1206" s="80">
        <f>IF(BE1206=1,AW1206,0)</f>
        <v>0</v>
      </c>
      <c r="BR1206" s="80">
        <f>IF(BE1206=1,AX1206,0)</f>
        <v>0</v>
      </c>
      <c r="BS1206" s="80">
        <f>IF(AND(BE1206=1,D1206="Malcolm",BA1206&gt;0),MIN(BH1206,SUMPRODUCT((R_Emp="proMX")*(R_EN&gt;0)*((R_EN-(R_EN&gt;BR1206)*(R_EN-BR1206))&gt;(R_SN+(R_SN&lt;BQ1206)*(BQ1206-R_SN)))*((R_EN-(R_EN&gt;BR1206)*(R_EN-BR1206))-(R_SN+(R_SN&lt;BQ1206)*(BQ1206-R_SN))))/60),0)</f>
        <v>0</v>
      </c>
      <c r="BT1206" s="80">
        <f>IF(AND(BE1206=1,D1206="proMX"),ROUND(BI1206*CFG_RATE+BJ1206*CFG_OTRATE,6),0)</f>
        <v>0</v>
      </c>
      <c r="BU1206" s="80">
        <f>IF(AND(BD1206=1,D1206="proMX"),ROUND(AG1206/CFG_BLK,6),0)</f>
        <v>0</v>
      </c>
      <c r="BV1206" s="80" t="str">
        <f>IF(BF1206="Approved",IF(ISNUMBER(T1206),INT(T1206),INT(B1206)),"")</f>
        <v/>
      </c>
      <c r="BW1206" s="80">
        <f>IF(ISNUMBER(B1206),IF(DB_MON="Todos",1,IF(AND(INT(B1206)&gt;=DB_MS,INT(B1206)&lt;=DB_ME),1,0)),0)</f>
        <v>0</v>
      </c>
      <c r="BX1206" s="80">
        <f>IF(DB_PROJ="Todos",1,IF(E1206&amp;""=DB_PROJ&amp;"",1,0))</f>
        <v>1</v>
      </c>
      <c r="BY1206" s="80">
        <f>BW1206*BX1206</f>
        <v>0</v>
      </c>
      <c r="BZ1206" s="80" t="str">
        <f>IF(Y1206=1,F1206&amp;IF(AND(F1206&amp;""&lt;&gt;"",E1206&amp;""&lt;&gt;"")," · ","")&amp;E1206,"")</f>
        <v/>
      </c>
      <c r="CA1206" s="80" t="str">
        <f>IF(AND(BD1206=1,E1206&amp;""&lt;&gt;""),IF(COUNTIFS($E$5:E1205,E1206,$BD$5:BD1205,1)=0,MAX($CA$5:CA1205)+1,""),"")</f>
        <v/>
      </c>
      <c r="CB1206" s="80" t="str">
        <f>IF(AND(BE1206=1,D1206="Malcolm",E1206&amp;""&lt;&gt;""),IF(COUNTIFS($D$5:D1205,"Malcolm",$E$5:E1205,E1206,$BE$5:BE1205,1)=0,MAX($CB$5:CB1205)+1,""),"")</f>
        <v/>
      </c>
      <c r="CC1206" s="80" t="str">
        <f>IF(AND(BD1206=1,D1206="proMX",E1206&amp;""&lt;&gt;""),IF(COUNTIFS($D$5:D1205,"proMX",$E$5:E1205,E1206,$BD$5:BD1205,1)=0,MAX($CC$5:CC1205)+1,""),"")</f>
        <v/>
      </c>
      <c r="CD1206" s="80" t="str">
        <f>IF(AND(BE1206=1,D1206="Malcolm",F1206&amp;""&lt;&gt;""),IF(COUNTIFS($D$5:D1205,"Malcolm",$F$5:F1205,F1206,$BE$5:BE1205,1)=0,MAX($CD$5:CD1205)+1,""),"")</f>
        <v/>
      </c>
      <c r="CE1206" s="80" t="str">
        <f>IF(AND(BD1206=1,D1206="proMX",F1206&amp;""&lt;&gt;""),IF(COUNTIFS($D$5:D1205,"proMX",$F$5:F1205,F1206,$BD$5:BD1205,1)=0,MAX($CE$5:CE1205)+1,""),"")</f>
        <v/>
      </c>
      <c r="CF1206" s="80" t="str">
        <f>IF(AND(D1206="proMX",BD1206=1),IF(OR(BF1206="Draft",BF1206="Submitted",BF1206="Returned",BF1206="Recall Requested"),MAX($CF$5:CF1205)+1,""),"")</f>
        <v/>
      </c>
      <c r="CG1206" s="80">
        <f>IF(BD1206=0,0,IF(D1206="Malcolm",1,MATCH(BF1206,{"Draft","Submitted","Approved","Returned","Recall Requested","Cancelled"},0)+1))</f>
        <v>0</v>
      </c>
      <c r="CH1206" s="80">
        <f>IF(AND(BF1206="Submitted",ISNUMBER(V1206)),IF(V1206&gt;CFG_MAXD,1,0),0)</f>
        <v>0</v>
      </c>
    </row>
    <row r="1207">
      <c r="A1207" s="71" t="str">
        <f>IF(Y1207=1,ROW()-5,"")</f>
        <v/>
      </c>
      <c r="B1207" s="72" t="n"/>
      <c r="C1207" s="71" t="str">
        <f>IF(ISNUMBER(B1207),CHOOSE(WEEKDAY(B1207,2),"Lun","Mar","Mié","Jue","Vie","Sáb","Dom"),"")</f>
        <v/>
      </c>
      <c r="D1207" s="73" t="n"/>
      <c r="E1207" s="74" t="n"/>
      <c r="F1207" s="74" t="n"/>
      <c r="G1207" s="74" t="n"/>
      <c r="H1207" s="75" t="n"/>
      <c r="I1207" s="75" t="n"/>
      <c r="J1207" s="76" t="n"/>
      <c r="K1207" s="77" t="str">
        <f>IF(AB1207=1,ROUND(AG1207/60,4),"")</f>
        <v/>
      </c>
      <c r="L1207" s="77" t="str">
        <f>IF(BD1207=1,ROUND(AP1207/60,4),"")</f>
        <v/>
      </c>
      <c r="M1207" s="77" t="str">
        <f>IF(BD1207=1,ROUND(AQ1207/60,4),"")</f>
        <v/>
      </c>
      <c r="N1207" s="71" t="str">
        <f>IF(AND(D1207="proMX",AB1207=1),ROUND(AG1207/CFG_BLK,2),"")</f>
        <v/>
      </c>
      <c r="O1207" s="77" t="str">
        <f>IF(D1207="proMX",IF(BD1207=1,ROUND(AG1207/60,4),0),"")</f>
        <v/>
      </c>
      <c r="P1207" s="78" t="str">
        <f>IF(Y1207=0,"",IF(BD1207=1,"OK",IF(D1207="proMX","Revisar bloques: ","Revisar: ")&amp;BC1207))</f>
        <v/>
      </c>
      <c r="Q1207" s="78" t="str">
        <f>IF(NOT(ISNUMBER(B1207)),"",IF(COUNTIFS(FER_F,INT(B1207))&gt;0,"Feriado"&amp;IF(AH1207=1," (laborable)"," (no laborable)"),IF(AH1207=1,"Laborable",IF(WEEKDAY(B1207,2)&gt;5,"Fin de semana","No laborable"))))</f>
        <v/>
      </c>
      <c r="R1207" s="73" t="n"/>
      <c r="S1207" s="72" t="n"/>
      <c r="T1207" s="72" t="n"/>
      <c r="U1207" s="74" t="n"/>
      <c r="V1207" s="79" t="str">
        <f>IF(AND(D1207="proMX",OR(R1207="Submitted",R1207="Recall Requested"),ISNUMBER(S1207)),CFG_TODAY-INT(S1207),"")</f>
        <v/>
      </c>
      <c r="W1207" s="78" t="str">
        <f>IF(BD1207=0,"",IF(BA1207&gt;0,"⚠ Se superpone con un registro de la otra empresa",IF(D1207="Malcolm",IF(COUNTA(R1207,S1207,T1207)&gt;0,"Estado/fechas proMX se ignoran en Malcolm",""),IF(BF1207="Cancelled","Cancelado: excluido de totales",IF(R1207="","Sin estado: se trata como Draft",IF(BF1207="Submitted",IF(ISNUMBER(V1207),IF(V1207&gt;CFG_MAXD,"⚠ "&amp;V1207&amp;" días en Submitted (máx. "&amp;CFG_MAXD&amp;")",""),"Falta fecha de envío"),IF(BF1207="Returned","⚠ Devuelto: corregir y reenviar",IF(BF1207="Recall Requested","Retirada solicitada: pendiente",IF(AND(BF1207="Approved",NOT(ISNUMBER(T1207))),"Falta fecha de aprobación",IF(AND(ISNUMBER(S1207),ISNUMBER(T1207),T1207&lt;S1207),"Aprobación anterior al envío","")))))))))</f>
        <v/>
      </c>
      <c r="Y1207" s="80">
        <f>IF(COUNTA(B1207,D1207,E1207,F1207,G1207,H1207,I1207,J1207,R1207,S1207,T1207)&gt;0,1,0)</f>
        <v>0</v>
      </c>
      <c r="Z1207" s="80" t="str">
        <f>IF(AND(ISNUMBER(H1207),H1207&gt;=0,H1207&lt;1),ROUND(H1207*1440,0),"")</f>
        <v/>
      </c>
      <c r="AA1207" s="80" t="str">
        <f>IF(AND(ISNUMBER(I1207),I1207&gt;=0,I1207&lt;1),ROUND(I1207*1440,0),"")</f>
        <v/>
      </c>
      <c r="AB1207" s="80">
        <f>IF(AND(ISNUMBER(B1207),D1207&lt;&gt;"",ISNUMBER(Z1207),ISNUMBER(AA1207)),IF(Z1207=AA1207,0,1),0)</f>
        <v>0</v>
      </c>
      <c r="AC1207" s="80">
        <f>IF(AB1207=1,IF(AA1207&lt;Z1207,1,0),0)</f>
        <v>0</v>
      </c>
      <c r="AD1207" s="80">
        <f>IF(AB1207=1,IF(AC1207=1,1440-Z1207+AA1207,AA1207-Z1207),0)</f>
        <v>0</v>
      </c>
      <c r="AE1207" s="80">
        <f>IF(J1207="",0,IF(ISNUMBER(J1207),J1207,-1))</f>
        <v>0</v>
      </c>
      <c r="AF1207" s="80">
        <f>MIN(MAX(0,AE1207),AD1207)</f>
        <v>0</v>
      </c>
      <c r="AG1207" s="80">
        <f>MAX(0,AD1207-MAX(0,AE1207))</f>
        <v>0</v>
      </c>
      <c r="AH1207" s="80">
        <f>IF(ISNUMBER(B1207),IF(AND(INDEX(CFG_WDAYS,WEEKDAY(INT(B1207),2))="Sí",IF(D1207="proMX",COUNTIFS(FER_F,INT(B1207),FER_NLP,"Sí"),COUNTIFS(FER_F,INT(B1207),FER_NLM,"Sí"))=0),1,0),0)</f>
        <v>0</v>
      </c>
      <c r="AI1207" s="80">
        <f>IF(AC1207=1,IF(AND(INDEX(CFG_WDAYS,WEEKDAY(INT(B1207)+1,2))="Sí",IF(D1207="proMX",COUNTIFS(FER_F,INT(B1207)+1,FER_NLP,"Sí"),COUNTIFS(FER_F,INT(B1207)+1,FER_NLM,"Sí"))=0),1,0),0)</f>
        <v>0</v>
      </c>
      <c r="AJ1207" s="80">
        <f>IF(AC1207=1,1440-Z1207,AD1207)</f>
        <v>0</v>
      </c>
      <c r="AK1207" s="80">
        <f>IF(AND(AB1207=1,AH1207=1),MAX(0,MIN(IF(AC1207=1,1440,AA1207),CFG_WEM)-MAX(Z1207,CFG_WSM)),0)</f>
        <v>0</v>
      </c>
      <c r="AL1207" s="80">
        <f>IF(AND(AC1207=1,AI1207=1),MAX(0,MIN(AA1207,CFG_WEM)-CFG_WSM),0)</f>
        <v>0</v>
      </c>
      <c r="AM1207" s="80">
        <f>AK1207+AL1207</f>
        <v>0</v>
      </c>
      <c r="AN1207" s="80">
        <f>IF(CFG_BRK="Proporcional",IF(AD1207=0,0,AF1207*AM1207/AD1207),IF(CFG_BRK="Extras primero",MIN(AM1207,MAX(0,AF1207-(AD1207-AM1207))),MIN(AF1207,AM1207)))</f>
        <v>0</v>
      </c>
      <c r="AO1207" s="80">
        <f>AF1207-AN1207</f>
        <v>0</v>
      </c>
      <c r="AP1207" s="80">
        <f>AM1207-AN1207</f>
        <v>0</v>
      </c>
      <c r="AQ1207" s="80">
        <f>AD1207-AM1207-AO1207</f>
        <v>0</v>
      </c>
      <c r="AR1207" s="80">
        <f>IF(AM1207=0,0,AK1207-AN1207*AK1207/AM1207)</f>
        <v>0</v>
      </c>
      <c r="AS1207" s="80">
        <f>IF(AD1207-AM1207=0,0,(AJ1207-AK1207)-AO1207*(AJ1207-AK1207)/(AD1207-AM1207))</f>
        <v>0</v>
      </c>
      <c r="AT1207" s="80" t="str">
        <f>IF(AC1207=1,INT(B1207)+1,"")</f>
        <v/>
      </c>
      <c r="AU1207" s="80">
        <f>IF(AND(D1207="proMX",R1207="Cancelled"),0,1)</f>
        <v>1</v>
      </c>
      <c r="AV1207" s="80">
        <f>IF(AND(AB1207=1,AU1207=1),IF(COUNTIFS($D$5:D1206,D1207,$B$5:B1206,B1207,$Z$5:Z1206,Z1207,$AA$5:AA1206,AA1207,$F$5:F1206,F1207&amp;"",$AU$5:AU1206,1)&gt;0,1,0),0)</f>
        <v>0</v>
      </c>
      <c r="AW1207" s="80" t="str">
        <f>IF(AB1207=1,INT(B1207)*1440+Z1207,"")</f>
        <v/>
      </c>
      <c r="AX1207" s="80" t="str">
        <f>IF(AB1207=1,AW1207+AD1207,"")</f>
        <v/>
      </c>
      <c r="AY1207" s="80">
        <f>IF(AND(AB1207=1,AV1207=0,AU1207=1),1,0)</f>
        <v>0</v>
      </c>
      <c r="AZ1207" s="80">
        <f>IF(AY1207=1,COUNTIFS(R_Emp,D1207,R_SAbs,"&lt;"&amp;AX1207,R_EAbs,"&gt;"&amp;AW1207,R_OKey,1)-1,0)</f>
        <v>0</v>
      </c>
      <c r="BA1207" s="80">
        <f>IF(AY1207=1,COUNTIFS(R_Emp,"&lt;&gt;"&amp;D1207,R_SAbs,"&lt;"&amp;AX1207,R_EAbs,"&gt;"&amp;AW1207,R_OKey,1),0)</f>
        <v>0</v>
      </c>
      <c r="BB1207" s="80">
        <f>IF(AND(AB1207=1,D1207="proMX"),IF(AND(MOD(Z1207,CFG_BLK)=0,MOD(AA1207,CFG_BLK)=0,MOD(AG1207,CFG_BLK)=0,AG1207&gt;0),1,0),1)</f>
        <v>1</v>
      </c>
      <c r="BC1207" s="80" t="str">
        <f>IF(Y1207=0,"",IF(NOT(ISNUMBER(B1207)),"Falta fecha o fecha inválida",IF(D1207="","Falta empresa",IF(AND(D1207&lt;&gt;"Malcolm",D1207&lt;&gt;"proMX"),"Empresa inválida",IF(OR(INT(B1207)&lt;CFG_PSTART,INT(B1207)&gt;CFG_PEND),"Fecha fuera del período",IF(OR(NOT(ISNUMBER(Z1207)),NOT(ISNUMBER(AA1207))),"Falta hora inicio/fin o formato inválido",IF(AB1207=0,"Hora inicio = hora fin",IF(AE1207&lt;0,"Descanso inválido",IF(AE1207&gt;=AD1207,"Descanso ≥ duración",IF(AV1207=1,"Registro duplicado",IF(AZ1207&gt;0,"Se superpone con otro registro "&amp;D1207,IF(BB1207=0,"inicio, fin y duración neta deben ser múltiplos de "&amp;CFG_BLK&amp;" min",""))))))))))))</f>
        <v/>
      </c>
      <c r="BD1207" s="80">
        <f>IF(AND(Y1207=1,BC1207=""),1,0)</f>
        <v>0</v>
      </c>
      <c r="BE1207" s="80">
        <f>IF(AND(BD1207=1,AU1207=1),1,0)</f>
        <v>0</v>
      </c>
      <c r="BF1207" s="80" t="str">
        <f>IF(AND(D1207="proMX",BD1207=1),IF(R1207="","Draft",R1207),"")</f>
        <v/>
      </c>
      <c r="BG1207" s="80">
        <f>IF(BD1207=1,ROUND(AG1207/60,6),0)</f>
        <v>0</v>
      </c>
      <c r="BH1207" s="80">
        <f>IF(BE1207=1,ROUND(AG1207/60,6),0)</f>
        <v>0</v>
      </c>
      <c r="BI1207" s="80">
        <f>IF(BE1207=1,ROUND(AP1207/60,6),0)</f>
        <v>0</v>
      </c>
      <c r="BJ1207" s="80">
        <f>IF(BE1207=1,ROUND(AQ1207/60,6),0)</f>
        <v>0</v>
      </c>
      <c r="BK1207" s="80">
        <f>IF(BE1207=1,ROUND((AR1207+AS1207)/60,6),0)</f>
        <v>0</v>
      </c>
      <c r="BL1207" s="80">
        <f>ROUND(BH1207-BK1207,6)</f>
        <v>0</v>
      </c>
      <c r="BM1207" s="80">
        <f>IF(BE1207=1,ROUND(AR1207/60,6),0)</f>
        <v>0</v>
      </c>
      <c r="BN1207" s="80">
        <f>ROUND(BI1207-BM1207,6)</f>
        <v>0</v>
      </c>
      <c r="BO1207" s="80">
        <f>IF(BE1207=1,ROUND(AS1207/60,6),0)</f>
        <v>0</v>
      </c>
      <c r="BP1207" s="80">
        <f>ROUND(BJ1207-BO1207,6)</f>
        <v>0</v>
      </c>
      <c r="BQ1207" s="80">
        <f>IF(BE1207=1,AW1207,0)</f>
        <v>0</v>
      </c>
      <c r="BR1207" s="80">
        <f>IF(BE1207=1,AX1207,0)</f>
        <v>0</v>
      </c>
      <c r="BS1207" s="80">
        <f>IF(AND(BE1207=1,D1207="Malcolm",BA1207&gt;0),MIN(BH1207,SUMPRODUCT((R_Emp="proMX")*(R_EN&gt;0)*((R_EN-(R_EN&gt;BR1207)*(R_EN-BR1207))&gt;(R_SN+(R_SN&lt;BQ1207)*(BQ1207-R_SN)))*((R_EN-(R_EN&gt;BR1207)*(R_EN-BR1207))-(R_SN+(R_SN&lt;BQ1207)*(BQ1207-R_SN))))/60),0)</f>
        <v>0</v>
      </c>
      <c r="BT1207" s="80">
        <f>IF(AND(BE1207=1,D1207="proMX"),ROUND(BI1207*CFG_RATE+BJ1207*CFG_OTRATE,6),0)</f>
        <v>0</v>
      </c>
      <c r="BU1207" s="80">
        <f>IF(AND(BD1207=1,D1207="proMX"),ROUND(AG1207/CFG_BLK,6),0)</f>
        <v>0</v>
      </c>
      <c r="BV1207" s="80" t="str">
        <f>IF(BF1207="Approved",IF(ISNUMBER(T1207),INT(T1207),INT(B1207)),"")</f>
        <v/>
      </c>
      <c r="BW1207" s="80">
        <f>IF(ISNUMBER(B1207),IF(DB_MON="Todos",1,IF(AND(INT(B1207)&gt;=DB_MS,INT(B1207)&lt;=DB_ME),1,0)),0)</f>
        <v>0</v>
      </c>
      <c r="BX1207" s="80">
        <f>IF(DB_PROJ="Todos",1,IF(E1207&amp;""=DB_PROJ&amp;"",1,0))</f>
        <v>1</v>
      </c>
      <c r="BY1207" s="80">
        <f>BW1207*BX1207</f>
        <v>0</v>
      </c>
      <c r="BZ1207" s="80" t="str">
        <f>IF(Y1207=1,F1207&amp;IF(AND(F1207&amp;""&lt;&gt;"",E1207&amp;""&lt;&gt;"")," · ","")&amp;E1207,"")</f>
        <v/>
      </c>
      <c r="CA1207" s="80" t="str">
        <f>IF(AND(BD1207=1,E1207&amp;""&lt;&gt;""),IF(COUNTIFS($E$5:E1206,E1207,$BD$5:BD1206,1)=0,MAX($CA$5:CA1206)+1,""),"")</f>
        <v/>
      </c>
      <c r="CB1207" s="80" t="str">
        <f>IF(AND(BE1207=1,D1207="Malcolm",E1207&amp;""&lt;&gt;""),IF(COUNTIFS($D$5:D1206,"Malcolm",$E$5:E1206,E1207,$BE$5:BE1206,1)=0,MAX($CB$5:CB1206)+1,""),"")</f>
        <v/>
      </c>
      <c r="CC1207" s="80" t="str">
        <f>IF(AND(BD1207=1,D1207="proMX",E1207&amp;""&lt;&gt;""),IF(COUNTIFS($D$5:D1206,"proMX",$E$5:E1206,E1207,$BD$5:BD1206,1)=0,MAX($CC$5:CC1206)+1,""),"")</f>
        <v/>
      </c>
      <c r="CD1207" s="80" t="str">
        <f>IF(AND(BE1207=1,D1207="Malcolm",F1207&amp;""&lt;&gt;""),IF(COUNTIFS($D$5:D1206,"Malcolm",$F$5:F1206,F1207,$BE$5:BE1206,1)=0,MAX($CD$5:CD1206)+1,""),"")</f>
        <v/>
      </c>
      <c r="CE1207" s="80" t="str">
        <f>IF(AND(BD1207=1,D1207="proMX",F1207&amp;""&lt;&gt;""),IF(COUNTIFS($D$5:D1206,"proMX",$F$5:F1206,F1207,$BD$5:BD1206,1)=0,MAX($CE$5:CE1206)+1,""),"")</f>
        <v/>
      </c>
      <c r="CF1207" s="80" t="str">
        <f>IF(AND(D1207="proMX",BD1207=1),IF(OR(BF1207="Draft",BF1207="Submitted",BF1207="Returned",BF1207="Recall Requested"),MAX($CF$5:CF1206)+1,""),"")</f>
        <v/>
      </c>
      <c r="CG1207" s="80">
        <f>IF(BD1207=0,0,IF(D1207="Malcolm",1,MATCH(BF1207,{"Draft","Submitted","Approved","Returned","Recall Requested","Cancelled"},0)+1))</f>
        <v>0</v>
      </c>
      <c r="CH1207" s="80">
        <f>IF(AND(BF1207="Submitted",ISNUMBER(V1207)),IF(V1207&gt;CFG_MAXD,1,0),0)</f>
        <v>0</v>
      </c>
    </row>
    <row r="1208">
      <c r="A1208" s="71" t="str">
        <f>IF(Y1208=1,ROW()-5,"")</f>
        <v/>
      </c>
      <c r="B1208" s="72" t="n"/>
      <c r="C1208" s="71" t="str">
        <f>IF(ISNUMBER(B1208),CHOOSE(WEEKDAY(B1208,2),"Lun","Mar","Mié","Jue","Vie","Sáb","Dom"),"")</f>
        <v/>
      </c>
      <c r="D1208" s="73" t="n"/>
      <c r="E1208" s="74" t="n"/>
      <c r="F1208" s="74" t="n"/>
      <c r="G1208" s="74" t="n"/>
      <c r="H1208" s="75" t="n"/>
      <c r="I1208" s="75" t="n"/>
      <c r="J1208" s="76" t="n"/>
      <c r="K1208" s="77" t="str">
        <f>IF(AB1208=1,ROUND(AG1208/60,4),"")</f>
        <v/>
      </c>
      <c r="L1208" s="77" t="str">
        <f>IF(BD1208=1,ROUND(AP1208/60,4),"")</f>
        <v/>
      </c>
      <c r="M1208" s="77" t="str">
        <f>IF(BD1208=1,ROUND(AQ1208/60,4),"")</f>
        <v/>
      </c>
      <c r="N1208" s="71" t="str">
        <f>IF(AND(D1208="proMX",AB1208=1),ROUND(AG1208/CFG_BLK,2),"")</f>
        <v/>
      </c>
      <c r="O1208" s="77" t="str">
        <f>IF(D1208="proMX",IF(BD1208=1,ROUND(AG1208/60,4),0),"")</f>
        <v/>
      </c>
      <c r="P1208" s="78" t="str">
        <f>IF(Y1208=0,"",IF(BD1208=1,"OK",IF(D1208="proMX","Revisar bloques: ","Revisar: ")&amp;BC1208))</f>
        <v/>
      </c>
      <c r="Q1208" s="78" t="str">
        <f>IF(NOT(ISNUMBER(B1208)),"",IF(COUNTIFS(FER_F,INT(B1208))&gt;0,"Feriado"&amp;IF(AH1208=1," (laborable)"," (no laborable)"),IF(AH1208=1,"Laborable",IF(WEEKDAY(B1208,2)&gt;5,"Fin de semana","No laborable"))))</f>
        <v/>
      </c>
      <c r="R1208" s="73" t="n"/>
      <c r="S1208" s="72" t="n"/>
      <c r="T1208" s="72" t="n"/>
      <c r="U1208" s="74" t="n"/>
      <c r="V1208" s="79" t="str">
        <f>IF(AND(D1208="proMX",OR(R1208="Submitted",R1208="Recall Requested"),ISNUMBER(S1208)),CFG_TODAY-INT(S1208),"")</f>
        <v/>
      </c>
      <c r="W1208" s="78" t="str">
        <f>IF(BD1208=0,"",IF(BA1208&gt;0,"⚠ Se superpone con un registro de la otra empresa",IF(D1208="Malcolm",IF(COUNTA(R1208,S1208,T1208)&gt;0,"Estado/fechas proMX se ignoran en Malcolm",""),IF(BF1208="Cancelled","Cancelado: excluido de totales",IF(R1208="","Sin estado: se trata como Draft",IF(BF1208="Submitted",IF(ISNUMBER(V1208),IF(V1208&gt;CFG_MAXD,"⚠ "&amp;V1208&amp;" días en Submitted (máx. "&amp;CFG_MAXD&amp;")",""),"Falta fecha de envío"),IF(BF1208="Returned","⚠ Devuelto: corregir y reenviar",IF(BF1208="Recall Requested","Retirada solicitada: pendiente",IF(AND(BF1208="Approved",NOT(ISNUMBER(T1208))),"Falta fecha de aprobación",IF(AND(ISNUMBER(S1208),ISNUMBER(T1208),T1208&lt;S1208),"Aprobación anterior al envío","")))))))))</f>
        <v/>
      </c>
      <c r="Y1208" s="80">
        <f>IF(COUNTA(B1208,D1208,E1208,F1208,G1208,H1208,I1208,J1208,R1208,S1208,T1208)&gt;0,1,0)</f>
        <v>0</v>
      </c>
      <c r="Z1208" s="80" t="str">
        <f>IF(AND(ISNUMBER(H1208),H1208&gt;=0,H1208&lt;1),ROUND(H1208*1440,0),"")</f>
        <v/>
      </c>
      <c r="AA1208" s="80" t="str">
        <f>IF(AND(ISNUMBER(I1208),I1208&gt;=0,I1208&lt;1),ROUND(I1208*1440,0),"")</f>
        <v/>
      </c>
      <c r="AB1208" s="80">
        <f>IF(AND(ISNUMBER(B1208),D1208&lt;&gt;"",ISNUMBER(Z1208),ISNUMBER(AA1208)),IF(Z1208=AA1208,0,1),0)</f>
        <v>0</v>
      </c>
      <c r="AC1208" s="80">
        <f>IF(AB1208=1,IF(AA1208&lt;Z1208,1,0),0)</f>
        <v>0</v>
      </c>
      <c r="AD1208" s="80">
        <f>IF(AB1208=1,IF(AC1208=1,1440-Z1208+AA1208,AA1208-Z1208),0)</f>
        <v>0</v>
      </c>
      <c r="AE1208" s="80">
        <f>IF(J1208="",0,IF(ISNUMBER(J1208),J1208,-1))</f>
        <v>0</v>
      </c>
      <c r="AF1208" s="80">
        <f>MIN(MAX(0,AE1208),AD1208)</f>
        <v>0</v>
      </c>
      <c r="AG1208" s="80">
        <f>MAX(0,AD1208-MAX(0,AE1208))</f>
        <v>0</v>
      </c>
      <c r="AH1208" s="80">
        <f>IF(ISNUMBER(B1208),IF(AND(INDEX(CFG_WDAYS,WEEKDAY(INT(B1208),2))="Sí",IF(D1208="proMX",COUNTIFS(FER_F,INT(B1208),FER_NLP,"Sí"),COUNTIFS(FER_F,INT(B1208),FER_NLM,"Sí"))=0),1,0),0)</f>
        <v>0</v>
      </c>
      <c r="AI1208" s="80">
        <f>IF(AC1208=1,IF(AND(INDEX(CFG_WDAYS,WEEKDAY(INT(B1208)+1,2))="Sí",IF(D1208="proMX",COUNTIFS(FER_F,INT(B1208)+1,FER_NLP,"Sí"),COUNTIFS(FER_F,INT(B1208)+1,FER_NLM,"Sí"))=0),1,0),0)</f>
        <v>0</v>
      </c>
      <c r="AJ1208" s="80">
        <f>IF(AC1208=1,1440-Z1208,AD1208)</f>
        <v>0</v>
      </c>
      <c r="AK1208" s="80">
        <f>IF(AND(AB1208=1,AH1208=1),MAX(0,MIN(IF(AC1208=1,1440,AA1208),CFG_WEM)-MAX(Z1208,CFG_WSM)),0)</f>
        <v>0</v>
      </c>
      <c r="AL1208" s="80">
        <f>IF(AND(AC1208=1,AI1208=1),MAX(0,MIN(AA1208,CFG_WEM)-CFG_WSM),0)</f>
        <v>0</v>
      </c>
      <c r="AM1208" s="80">
        <f>AK1208+AL1208</f>
        <v>0</v>
      </c>
      <c r="AN1208" s="80">
        <f>IF(CFG_BRK="Proporcional",IF(AD1208=0,0,AF1208*AM1208/AD1208),IF(CFG_BRK="Extras primero",MIN(AM1208,MAX(0,AF1208-(AD1208-AM1208))),MIN(AF1208,AM1208)))</f>
        <v>0</v>
      </c>
      <c r="AO1208" s="80">
        <f>AF1208-AN1208</f>
        <v>0</v>
      </c>
      <c r="AP1208" s="80">
        <f>AM1208-AN1208</f>
        <v>0</v>
      </c>
      <c r="AQ1208" s="80">
        <f>AD1208-AM1208-AO1208</f>
        <v>0</v>
      </c>
      <c r="AR1208" s="80">
        <f>IF(AM1208=0,0,AK1208-AN1208*AK1208/AM1208)</f>
        <v>0</v>
      </c>
      <c r="AS1208" s="80">
        <f>IF(AD1208-AM1208=0,0,(AJ1208-AK1208)-AO1208*(AJ1208-AK1208)/(AD1208-AM1208))</f>
        <v>0</v>
      </c>
      <c r="AT1208" s="80" t="str">
        <f>IF(AC1208=1,INT(B1208)+1,"")</f>
        <v/>
      </c>
      <c r="AU1208" s="80">
        <f>IF(AND(D1208="proMX",R1208="Cancelled"),0,1)</f>
        <v>1</v>
      </c>
      <c r="AV1208" s="80">
        <f>IF(AND(AB1208=1,AU1208=1),IF(COUNTIFS($D$5:D1207,D1208,$B$5:B1207,B1208,$Z$5:Z1207,Z1208,$AA$5:AA1207,AA1208,$F$5:F1207,F1208&amp;"",$AU$5:AU1207,1)&gt;0,1,0),0)</f>
        <v>0</v>
      </c>
      <c r="AW1208" s="80" t="str">
        <f>IF(AB1208=1,INT(B1208)*1440+Z1208,"")</f>
        <v/>
      </c>
      <c r="AX1208" s="80" t="str">
        <f>IF(AB1208=1,AW1208+AD1208,"")</f>
        <v/>
      </c>
      <c r="AY1208" s="80">
        <f>IF(AND(AB1208=1,AV1208=0,AU1208=1),1,0)</f>
        <v>0</v>
      </c>
      <c r="AZ1208" s="80">
        <f>IF(AY1208=1,COUNTIFS(R_Emp,D1208,R_SAbs,"&lt;"&amp;AX1208,R_EAbs,"&gt;"&amp;AW1208,R_OKey,1)-1,0)</f>
        <v>0</v>
      </c>
      <c r="BA1208" s="80">
        <f>IF(AY1208=1,COUNTIFS(R_Emp,"&lt;&gt;"&amp;D1208,R_SAbs,"&lt;"&amp;AX1208,R_EAbs,"&gt;"&amp;AW1208,R_OKey,1),0)</f>
        <v>0</v>
      </c>
      <c r="BB1208" s="80">
        <f>IF(AND(AB1208=1,D1208="proMX"),IF(AND(MOD(Z1208,CFG_BLK)=0,MOD(AA1208,CFG_BLK)=0,MOD(AG1208,CFG_BLK)=0,AG1208&gt;0),1,0),1)</f>
        <v>1</v>
      </c>
      <c r="BC1208" s="80" t="str">
        <f>IF(Y1208=0,"",IF(NOT(ISNUMBER(B1208)),"Falta fecha o fecha inválida",IF(D1208="","Falta empresa",IF(AND(D1208&lt;&gt;"Malcolm",D1208&lt;&gt;"proMX"),"Empresa inválida",IF(OR(INT(B1208)&lt;CFG_PSTART,INT(B1208)&gt;CFG_PEND),"Fecha fuera del período",IF(OR(NOT(ISNUMBER(Z1208)),NOT(ISNUMBER(AA1208))),"Falta hora inicio/fin o formato inválido",IF(AB1208=0,"Hora inicio = hora fin",IF(AE1208&lt;0,"Descanso inválido",IF(AE1208&gt;=AD1208,"Descanso ≥ duración",IF(AV1208=1,"Registro duplicado",IF(AZ1208&gt;0,"Se superpone con otro registro "&amp;D1208,IF(BB1208=0,"inicio, fin y duración neta deben ser múltiplos de "&amp;CFG_BLK&amp;" min",""))))))))))))</f>
        <v/>
      </c>
      <c r="BD1208" s="80">
        <f>IF(AND(Y1208=1,BC1208=""),1,0)</f>
        <v>0</v>
      </c>
      <c r="BE1208" s="80">
        <f>IF(AND(BD1208=1,AU1208=1),1,0)</f>
        <v>0</v>
      </c>
      <c r="BF1208" s="80" t="str">
        <f>IF(AND(D1208="proMX",BD1208=1),IF(R1208="","Draft",R1208),"")</f>
        <v/>
      </c>
      <c r="BG1208" s="80">
        <f>IF(BD1208=1,ROUND(AG1208/60,6),0)</f>
        <v>0</v>
      </c>
      <c r="BH1208" s="80">
        <f>IF(BE1208=1,ROUND(AG1208/60,6),0)</f>
        <v>0</v>
      </c>
      <c r="BI1208" s="80">
        <f>IF(BE1208=1,ROUND(AP1208/60,6),0)</f>
        <v>0</v>
      </c>
      <c r="BJ1208" s="80">
        <f>IF(BE1208=1,ROUND(AQ1208/60,6),0)</f>
        <v>0</v>
      </c>
      <c r="BK1208" s="80">
        <f>IF(BE1208=1,ROUND((AR1208+AS1208)/60,6),0)</f>
        <v>0</v>
      </c>
      <c r="BL1208" s="80">
        <f>ROUND(BH1208-BK1208,6)</f>
        <v>0</v>
      </c>
      <c r="BM1208" s="80">
        <f>IF(BE1208=1,ROUND(AR1208/60,6),0)</f>
        <v>0</v>
      </c>
      <c r="BN1208" s="80">
        <f>ROUND(BI1208-BM1208,6)</f>
        <v>0</v>
      </c>
      <c r="BO1208" s="80">
        <f>IF(BE1208=1,ROUND(AS1208/60,6),0)</f>
        <v>0</v>
      </c>
      <c r="BP1208" s="80">
        <f>ROUND(BJ1208-BO1208,6)</f>
        <v>0</v>
      </c>
      <c r="BQ1208" s="80">
        <f>IF(BE1208=1,AW1208,0)</f>
        <v>0</v>
      </c>
      <c r="BR1208" s="80">
        <f>IF(BE1208=1,AX1208,0)</f>
        <v>0</v>
      </c>
      <c r="BS1208" s="80">
        <f>IF(AND(BE1208=1,D1208="Malcolm",BA1208&gt;0),MIN(BH1208,SUMPRODUCT((R_Emp="proMX")*(R_EN&gt;0)*((R_EN-(R_EN&gt;BR1208)*(R_EN-BR1208))&gt;(R_SN+(R_SN&lt;BQ1208)*(BQ1208-R_SN)))*((R_EN-(R_EN&gt;BR1208)*(R_EN-BR1208))-(R_SN+(R_SN&lt;BQ1208)*(BQ1208-R_SN))))/60),0)</f>
        <v>0</v>
      </c>
      <c r="BT1208" s="80">
        <f>IF(AND(BE1208=1,D1208="proMX"),ROUND(BI1208*CFG_RATE+BJ1208*CFG_OTRATE,6),0)</f>
        <v>0</v>
      </c>
      <c r="BU1208" s="80">
        <f>IF(AND(BD1208=1,D1208="proMX"),ROUND(AG1208/CFG_BLK,6),0)</f>
        <v>0</v>
      </c>
      <c r="BV1208" s="80" t="str">
        <f>IF(BF1208="Approved",IF(ISNUMBER(T1208),INT(T1208),INT(B1208)),"")</f>
        <v/>
      </c>
      <c r="BW1208" s="80">
        <f>IF(ISNUMBER(B1208),IF(DB_MON="Todos",1,IF(AND(INT(B1208)&gt;=DB_MS,INT(B1208)&lt;=DB_ME),1,0)),0)</f>
        <v>0</v>
      </c>
      <c r="BX1208" s="80">
        <f>IF(DB_PROJ="Todos",1,IF(E1208&amp;""=DB_PROJ&amp;"",1,0))</f>
        <v>1</v>
      </c>
      <c r="BY1208" s="80">
        <f>BW1208*BX1208</f>
        <v>0</v>
      </c>
      <c r="BZ1208" s="80" t="str">
        <f>IF(Y1208=1,F1208&amp;IF(AND(F1208&amp;""&lt;&gt;"",E1208&amp;""&lt;&gt;"")," · ","")&amp;E1208,"")</f>
        <v/>
      </c>
      <c r="CA1208" s="80" t="str">
        <f>IF(AND(BD1208=1,E1208&amp;""&lt;&gt;""),IF(COUNTIFS($E$5:E1207,E1208,$BD$5:BD1207,1)=0,MAX($CA$5:CA1207)+1,""),"")</f>
        <v/>
      </c>
      <c r="CB1208" s="80" t="str">
        <f>IF(AND(BE1208=1,D1208="Malcolm",E1208&amp;""&lt;&gt;""),IF(COUNTIFS($D$5:D1207,"Malcolm",$E$5:E1207,E1208,$BE$5:BE1207,1)=0,MAX($CB$5:CB1207)+1,""),"")</f>
        <v/>
      </c>
      <c r="CC1208" s="80" t="str">
        <f>IF(AND(BD1208=1,D1208="proMX",E1208&amp;""&lt;&gt;""),IF(COUNTIFS($D$5:D1207,"proMX",$E$5:E1207,E1208,$BD$5:BD1207,1)=0,MAX($CC$5:CC1207)+1,""),"")</f>
        <v/>
      </c>
      <c r="CD1208" s="80" t="str">
        <f>IF(AND(BE1208=1,D1208="Malcolm",F1208&amp;""&lt;&gt;""),IF(COUNTIFS($D$5:D1207,"Malcolm",$F$5:F1207,F1208,$BE$5:BE1207,1)=0,MAX($CD$5:CD1207)+1,""),"")</f>
        <v/>
      </c>
      <c r="CE1208" s="80" t="str">
        <f>IF(AND(BD1208=1,D1208="proMX",F1208&amp;""&lt;&gt;""),IF(COUNTIFS($D$5:D1207,"proMX",$F$5:F1207,F1208,$BD$5:BD1207,1)=0,MAX($CE$5:CE1207)+1,""),"")</f>
        <v/>
      </c>
      <c r="CF1208" s="80" t="str">
        <f>IF(AND(D1208="proMX",BD1208=1),IF(OR(BF1208="Draft",BF1208="Submitted",BF1208="Returned",BF1208="Recall Requested"),MAX($CF$5:CF1207)+1,""),"")</f>
        <v/>
      </c>
      <c r="CG1208" s="80">
        <f>IF(BD1208=0,0,IF(D1208="Malcolm",1,MATCH(BF1208,{"Draft","Submitted","Approved","Returned","Recall Requested","Cancelled"},0)+1))</f>
        <v>0</v>
      </c>
      <c r="CH1208" s="80">
        <f>IF(AND(BF1208="Submitted",ISNUMBER(V1208)),IF(V1208&gt;CFG_MAXD,1,0),0)</f>
        <v>0</v>
      </c>
    </row>
    <row r="1209">
      <c r="A1209" s="71" t="str">
        <f>IF(Y1209=1,ROW()-5,"")</f>
        <v/>
      </c>
      <c r="B1209" s="72" t="n"/>
      <c r="C1209" s="71" t="str">
        <f>IF(ISNUMBER(B1209),CHOOSE(WEEKDAY(B1209,2),"Lun","Mar","Mié","Jue","Vie","Sáb","Dom"),"")</f>
        <v/>
      </c>
      <c r="D1209" s="73" t="n"/>
      <c r="E1209" s="74" t="n"/>
      <c r="F1209" s="74" t="n"/>
      <c r="G1209" s="74" t="n"/>
      <c r="H1209" s="75" t="n"/>
      <c r="I1209" s="75" t="n"/>
      <c r="J1209" s="76" t="n"/>
      <c r="K1209" s="77" t="str">
        <f>IF(AB1209=1,ROUND(AG1209/60,4),"")</f>
        <v/>
      </c>
      <c r="L1209" s="77" t="str">
        <f>IF(BD1209=1,ROUND(AP1209/60,4),"")</f>
        <v/>
      </c>
      <c r="M1209" s="77" t="str">
        <f>IF(BD1209=1,ROUND(AQ1209/60,4),"")</f>
        <v/>
      </c>
      <c r="N1209" s="71" t="str">
        <f>IF(AND(D1209="proMX",AB1209=1),ROUND(AG1209/CFG_BLK,2),"")</f>
        <v/>
      </c>
      <c r="O1209" s="77" t="str">
        <f>IF(D1209="proMX",IF(BD1209=1,ROUND(AG1209/60,4),0),"")</f>
        <v/>
      </c>
      <c r="P1209" s="78" t="str">
        <f>IF(Y1209=0,"",IF(BD1209=1,"OK",IF(D1209="proMX","Revisar bloques: ","Revisar: ")&amp;BC1209))</f>
        <v/>
      </c>
      <c r="Q1209" s="78" t="str">
        <f>IF(NOT(ISNUMBER(B1209)),"",IF(COUNTIFS(FER_F,INT(B1209))&gt;0,"Feriado"&amp;IF(AH1209=1," (laborable)"," (no laborable)"),IF(AH1209=1,"Laborable",IF(WEEKDAY(B1209,2)&gt;5,"Fin de semana","No laborable"))))</f>
        <v/>
      </c>
      <c r="R1209" s="73" t="n"/>
      <c r="S1209" s="72" t="n"/>
      <c r="T1209" s="72" t="n"/>
      <c r="U1209" s="74" t="n"/>
      <c r="V1209" s="79" t="str">
        <f>IF(AND(D1209="proMX",OR(R1209="Submitted",R1209="Recall Requested"),ISNUMBER(S1209)),CFG_TODAY-INT(S1209),"")</f>
        <v/>
      </c>
      <c r="W1209" s="78" t="str">
        <f>IF(BD1209=0,"",IF(BA1209&gt;0,"⚠ Se superpone con un registro de la otra empresa",IF(D1209="Malcolm",IF(COUNTA(R1209,S1209,T1209)&gt;0,"Estado/fechas proMX se ignoran en Malcolm",""),IF(BF1209="Cancelled","Cancelado: excluido de totales",IF(R1209="","Sin estado: se trata como Draft",IF(BF1209="Submitted",IF(ISNUMBER(V1209),IF(V1209&gt;CFG_MAXD,"⚠ "&amp;V1209&amp;" días en Submitted (máx. "&amp;CFG_MAXD&amp;")",""),"Falta fecha de envío"),IF(BF1209="Returned","⚠ Devuelto: corregir y reenviar",IF(BF1209="Recall Requested","Retirada solicitada: pendiente",IF(AND(BF1209="Approved",NOT(ISNUMBER(T1209))),"Falta fecha de aprobación",IF(AND(ISNUMBER(S1209),ISNUMBER(T1209),T1209&lt;S1209),"Aprobación anterior al envío","")))))))))</f>
        <v/>
      </c>
      <c r="Y1209" s="80">
        <f>IF(COUNTA(B1209,D1209,E1209,F1209,G1209,H1209,I1209,J1209,R1209,S1209,T1209)&gt;0,1,0)</f>
        <v>0</v>
      </c>
      <c r="Z1209" s="80" t="str">
        <f>IF(AND(ISNUMBER(H1209),H1209&gt;=0,H1209&lt;1),ROUND(H1209*1440,0),"")</f>
        <v/>
      </c>
      <c r="AA1209" s="80" t="str">
        <f>IF(AND(ISNUMBER(I1209),I1209&gt;=0,I1209&lt;1),ROUND(I1209*1440,0),"")</f>
        <v/>
      </c>
      <c r="AB1209" s="80">
        <f>IF(AND(ISNUMBER(B1209),D1209&lt;&gt;"",ISNUMBER(Z1209),ISNUMBER(AA1209)),IF(Z1209=AA1209,0,1),0)</f>
        <v>0</v>
      </c>
      <c r="AC1209" s="80">
        <f>IF(AB1209=1,IF(AA1209&lt;Z1209,1,0),0)</f>
        <v>0</v>
      </c>
      <c r="AD1209" s="80">
        <f>IF(AB1209=1,IF(AC1209=1,1440-Z1209+AA1209,AA1209-Z1209),0)</f>
        <v>0</v>
      </c>
      <c r="AE1209" s="80">
        <f>IF(J1209="",0,IF(ISNUMBER(J1209),J1209,-1))</f>
        <v>0</v>
      </c>
      <c r="AF1209" s="80">
        <f>MIN(MAX(0,AE1209),AD1209)</f>
        <v>0</v>
      </c>
      <c r="AG1209" s="80">
        <f>MAX(0,AD1209-MAX(0,AE1209))</f>
        <v>0</v>
      </c>
      <c r="AH1209" s="80">
        <f>IF(ISNUMBER(B1209),IF(AND(INDEX(CFG_WDAYS,WEEKDAY(INT(B1209),2))="Sí",IF(D1209="proMX",COUNTIFS(FER_F,INT(B1209),FER_NLP,"Sí"),COUNTIFS(FER_F,INT(B1209),FER_NLM,"Sí"))=0),1,0),0)</f>
        <v>0</v>
      </c>
      <c r="AI1209" s="80">
        <f>IF(AC1209=1,IF(AND(INDEX(CFG_WDAYS,WEEKDAY(INT(B1209)+1,2))="Sí",IF(D1209="proMX",COUNTIFS(FER_F,INT(B1209)+1,FER_NLP,"Sí"),COUNTIFS(FER_F,INT(B1209)+1,FER_NLM,"Sí"))=0),1,0),0)</f>
        <v>0</v>
      </c>
      <c r="AJ1209" s="80">
        <f>IF(AC1209=1,1440-Z1209,AD1209)</f>
        <v>0</v>
      </c>
      <c r="AK1209" s="80">
        <f>IF(AND(AB1209=1,AH1209=1),MAX(0,MIN(IF(AC1209=1,1440,AA1209),CFG_WEM)-MAX(Z1209,CFG_WSM)),0)</f>
        <v>0</v>
      </c>
      <c r="AL1209" s="80">
        <f>IF(AND(AC1209=1,AI1209=1),MAX(0,MIN(AA1209,CFG_WEM)-CFG_WSM),0)</f>
        <v>0</v>
      </c>
      <c r="AM1209" s="80">
        <f>AK1209+AL1209</f>
        <v>0</v>
      </c>
      <c r="AN1209" s="80">
        <f>IF(CFG_BRK="Proporcional",IF(AD1209=0,0,AF1209*AM1209/AD1209),IF(CFG_BRK="Extras primero",MIN(AM1209,MAX(0,AF1209-(AD1209-AM1209))),MIN(AF1209,AM1209)))</f>
        <v>0</v>
      </c>
      <c r="AO1209" s="80">
        <f>AF1209-AN1209</f>
        <v>0</v>
      </c>
      <c r="AP1209" s="80">
        <f>AM1209-AN1209</f>
        <v>0</v>
      </c>
      <c r="AQ1209" s="80">
        <f>AD1209-AM1209-AO1209</f>
        <v>0</v>
      </c>
      <c r="AR1209" s="80">
        <f>IF(AM1209=0,0,AK1209-AN1209*AK1209/AM1209)</f>
        <v>0</v>
      </c>
      <c r="AS1209" s="80">
        <f>IF(AD1209-AM1209=0,0,(AJ1209-AK1209)-AO1209*(AJ1209-AK1209)/(AD1209-AM1209))</f>
        <v>0</v>
      </c>
      <c r="AT1209" s="80" t="str">
        <f>IF(AC1209=1,INT(B1209)+1,"")</f>
        <v/>
      </c>
      <c r="AU1209" s="80">
        <f>IF(AND(D1209="proMX",R1209="Cancelled"),0,1)</f>
        <v>1</v>
      </c>
      <c r="AV1209" s="80">
        <f>IF(AND(AB1209=1,AU1209=1),IF(COUNTIFS($D$5:D1208,D1209,$B$5:B1208,B1209,$Z$5:Z1208,Z1209,$AA$5:AA1208,AA1209,$F$5:F1208,F1209&amp;"",$AU$5:AU1208,1)&gt;0,1,0),0)</f>
        <v>0</v>
      </c>
      <c r="AW1209" s="80" t="str">
        <f>IF(AB1209=1,INT(B1209)*1440+Z1209,"")</f>
        <v/>
      </c>
      <c r="AX1209" s="80" t="str">
        <f>IF(AB1209=1,AW1209+AD1209,"")</f>
        <v/>
      </c>
      <c r="AY1209" s="80">
        <f>IF(AND(AB1209=1,AV1209=0,AU1209=1),1,0)</f>
        <v>0</v>
      </c>
      <c r="AZ1209" s="80">
        <f>IF(AY1209=1,COUNTIFS(R_Emp,D1209,R_SAbs,"&lt;"&amp;AX1209,R_EAbs,"&gt;"&amp;AW1209,R_OKey,1)-1,0)</f>
        <v>0</v>
      </c>
      <c r="BA1209" s="80">
        <f>IF(AY1209=1,COUNTIFS(R_Emp,"&lt;&gt;"&amp;D1209,R_SAbs,"&lt;"&amp;AX1209,R_EAbs,"&gt;"&amp;AW1209,R_OKey,1),0)</f>
        <v>0</v>
      </c>
      <c r="BB1209" s="80">
        <f>IF(AND(AB1209=1,D1209="proMX"),IF(AND(MOD(Z1209,CFG_BLK)=0,MOD(AA1209,CFG_BLK)=0,MOD(AG1209,CFG_BLK)=0,AG1209&gt;0),1,0),1)</f>
        <v>1</v>
      </c>
      <c r="BC1209" s="80" t="str">
        <f>IF(Y1209=0,"",IF(NOT(ISNUMBER(B1209)),"Falta fecha o fecha inválida",IF(D1209="","Falta empresa",IF(AND(D1209&lt;&gt;"Malcolm",D1209&lt;&gt;"proMX"),"Empresa inválida",IF(OR(INT(B1209)&lt;CFG_PSTART,INT(B1209)&gt;CFG_PEND),"Fecha fuera del período",IF(OR(NOT(ISNUMBER(Z1209)),NOT(ISNUMBER(AA1209))),"Falta hora inicio/fin o formato inválido",IF(AB1209=0,"Hora inicio = hora fin",IF(AE1209&lt;0,"Descanso inválido",IF(AE1209&gt;=AD1209,"Descanso ≥ duración",IF(AV1209=1,"Registro duplicado",IF(AZ1209&gt;0,"Se superpone con otro registro "&amp;D1209,IF(BB1209=0,"inicio, fin y duración neta deben ser múltiplos de "&amp;CFG_BLK&amp;" min",""))))))))))))</f>
        <v/>
      </c>
      <c r="BD1209" s="80">
        <f>IF(AND(Y1209=1,BC1209=""),1,0)</f>
        <v>0</v>
      </c>
      <c r="BE1209" s="80">
        <f>IF(AND(BD1209=1,AU1209=1),1,0)</f>
        <v>0</v>
      </c>
      <c r="BF1209" s="80" t="str">
        <f>IF(AND(D1209="proMX",BD1209=1),IF(R1209="","Draft",R1209),"")</f>
        <v/>
      </c>
      <c r="BG1209" s="80">
        <f>IF(BD1209=1,ROUND(AG1209/60,6),0)</f>
        <v>0</v>
      </c>
      <c r="BH1209" s="80">
        <f>IF(BE1209=1,ROUND(AG1209/60,6),0)</f>
        <v>0</v>
      </c>
      <c r="BI1209" s="80">
        <f>IF(BE1209=1,ROUND(AP1209/60,6),0)</f>
        <v>0</v>
      </c>
      <c r="BJ1209" s="80">
        <f>IF(BE1209=1,ROUND(AQ1209/60,6),0)</f>
        <v>0</v>
      </c>
      <c r="BK1209" s="80">
        <f>IF(BE1209=1,ROUND((AR1209+AS1209)/60,6),0)</f>
        <v>0</v>
      </c>
      <c r="BL1209" s="80">
        <f>ROUND(BH1209-BK1209,6)</f>
        <v>0</v>
      </c>
      <c r="BM1209" s="80">
        <f>IF(BE1209=1,ROUND(AR1209/60,6),0)</f>
        <v>0</v>
      </c>
      <c r="BN1209" s="80">
        <f>ROUND(BI1209-BM1209,6)</f>
        <v>0</v>
      </c>
      <c r="BO1209" s="80">
        <f>IF(BE1209=1,ROUND(AS1209/60,6),0)</f>
        <v>0</v>
      </c>
      <c r="BP1209" s="80">
        <f>ROUND(BJ1209-BO1209,6)</f>
        <v>0</v>
      </c>
      <c r="BQ1209" s="80">
        <f>IF(BE1209=1,AW1209,0)</f>
        <v>0</v>
      </c>
      <c r="BR1209" s="80">
        <f>IF(BE1209=1,AX1209,0)</f>
        <v>0</v>
      </c>
      <c r="BS1209" s="80">
        <f>IF(AND(BE1209=1,D1209="Malcolm",BA1209&gt;0),MIN(BH1209,SUMPRODUCT((R_Emp="proMX")*(R_EN&gt;0)*((R_EN-(R_EN&gt;BR1209)*(R_EN-BR1209))&gt;(R_SN+(R_SN&lt;BQ1209)*(BQ1209-R_SN)))*((R_EN-(R_EN&gt;BR1209)*(R_EN-BR1209))-(R_SN+(R_SN&lt;BQ1209)*(BQ1209-R_SN))))/60),0)</f>
        <v>0</v>
      </c>
      <c r="BT1209" s="80">
        <f>IF(AND(BE1209=1,D1209="proMX"),ROUND(BI1209*CFG_RATE+BJ1209*CFG_OTRATE,6),0)</f>
        <v>0</v>
      </c>
      <c r="BU1209" s="80">
        <f>IF(AND(BD1209=1,D1209="proMX"),ROUND(AG1209/CFG_BLK,6),0)</f>
        <v>0</v>
      </c>
      <c r="BV1209" s="80" t="str">
        <f>IF(BF1209="Approved",IF(ISNUMBER(T1209),INT(T1209),INT(B1209)),"")</f>
        <v/>
      </c>
      <c r="BW1209" s="80">
        <f>IF(ISNUMBER(B1209),IF(DB_MON="Todos",1,IF(AND(INT(B1209)&gt;=DB_MS,INT(B1209)&lt;=DB_ME),1,0)),0)</f>
        <v>0</v>
      </c>
      <c r="BX1209" s="80">
        <f>IF(DB_PROJ="Todos",1,IF(E1209&amp;""=DB_PROJ&amp;"",1,0))</f>
        <v>1</v>
      </c>
      <c r="BY1209" s="80">
        <f>BW1209*BX1209</f>
        <v>0</v>
      </c>
      <c r="BZ1209" s="80" t="str">
        <f>IF(Y1209=1,F1209&amp;IF(AND(F1209&amp;""&lt;&gt;"",E1209&amp;""&lt;&gt;"")," · ","")&amp;E1209,"")</f>
        <v/>
      </c>
      <c r="CA1209" s="80" t="str">
        <f>IF(AND(BD1209=1,E1209&amp;""&lt;&gt;""),IF(COUNTIFS($E$5:E1208,E1209,$BD$5:BD1208,1)=0,MAX($CA$5:CA1208)+1,""),"")</f>
        <v/>
      </c>
      <c r="CB1209" s="80" t="str">
        <f>IF(AND(BE1209=1,D1209="Malcolm",E1209&amp;""&lt;&gt;""),IF(COUNTIFS($D$5:D1208,"Malcolm",$E$5:E1208,E1209,$BE$5:BE1208,1)=0,MAX($CB$5:CB1208)+1,""),"")</f>
        <v/>
      </c>
      <c r="CC1209" s="80" t="str">
        <f>IF(AND(BD1209=1,D1209="proMX",E1209&amp;""&lt;&gt;""),IF(COUNTIFS($D$5:D1208,"proMX",$E$5:E1208,E1209,$BD$5:BD1208,1)=0,MAX($CC$5:CC1208)+1,""),"")</f>
        <v/>
      </c>
      <c r="CD1209" s="80" t="str">
        <f>IF(AND(BE1209=1,D1209="Malcolm",F1209&amp;""&lt;&gt;""),IF(COUNTIFS($D$5:D1208,"Malcolm",$F$5:F1208,F1209,$BE$5:BE1208,1)=0,MAX($CD$5:CD1208)+1,""),"")</f>
        <v/>
      </c>
      <c r="CE1209" s="80" t="str">
        <f>IF(AND(BD1209=1,D1209="proMX",F1209&amp;""&lt;&gt;""),IF(COUNTIFS($D$5:D1208,"proMX",$F$5:F1208,F1209,$BD$5:BD1208,1)=0,MAX($CE$5:CE1208)+1,""),"")</f>
        <v/>
      </c>
      <c r="CF1209" s="80" t="str">
        <f>IF(AND(D1209="proMX",BD1209=1),IF(OR(BF1209="Draft",BF1209="Submitted",BF1209="Returned",BF1209="Recall Requested"),MAX($CF$5:CF1208)+1,""),"")</f>
        <v/>
      </c>
      <c r="CG1209" s="80">
        <f>IF(BD1209=0,0,IF(D1209="Malcolm",1,MATCH(BF1209,{"Draft","Submitted","Approved","Returned","Recall Requested","Cancelled"},0)+1))</f>
        <v>0</v>
      </c>
      <c r="CH1209" s="80">
        <f>IF(AND(BF1209="Submitted",ISNUMBER(V1209)),IF(V1209&gt;CFG_MAXD,1,0),0)</f>
        <v>0</v>
      </c>
    </row>
    <row r="1210">
      <c r="A1210" s="71" t="str">
        <f>IF(Y1210=1,ROW()-5,"")</f>
        <v/>
      </c>
      <c r="B1210" s="72" t="n"/>
      <c r="C1210" s="71" t="str">
        <f>IF(ISNUMBER(B1210),CHOOSE(WEEKDAY(B1210,2),"Lun","Mar","Mié","Jue","Vie","Sáb","Dom"),"")</f>
        <v/>
      </c>
      <c r="D1210" s="73" t="n"/>
      <c r="E1210" s="74" t="n"/>
      <c r="F1210" s="74" t="n"/>
      <c r="G1210" s="74" t="n"/>
      <c r="H1210" s="75" t="n"/>
      <c r="I1210" s="75" t="n"/>
      <c r="J1210" s="76" t="n"/>
      <c r="K1210" s="77" t="str">
        <f>IF(AB1210=1,ROUND(AG1210/60,4),"")</f>
        <v/>
      </c>
      <c r="L1210" s="77" t="str">
        <f>IF(BD1210=1,ROUND(AP1210/60,4),"")</f>
        <v/>
      </c>
      <c r="M1210" s="77" t="str">
        <f>IF(BD1210=1,ROUND(AQ1210/60,4),"")</f>
        <v/>
      </c>
      <c r="N1210" s="71" t="str">
        <f>IF(AND(D1210="proMX",AB1210=1),ROUND(AG1210/CFG_BLK,2),"")</f>
        <v/>
      </c>
      <c r="O1210" s="77" t="str">
        <f>IF(D1210="proMX",IF(BD1210=1,ROUND(AG1210/60,4),0),"")</f>
        <v/>
      </c>
      <c r="P1210" s="78" t="str">
        <f>IF(Y1210=0,"",IF(BD1210=1,"OK",IF(D1210="proMX","Revisar bloques: ","Revisar: ")&amp;BC1210))</f>
        <v/>
      </c>
      <c r="Q1210" s="78" t="str">
        <f>IF(NOT(ISNUMBER(B1210)),"",IF(COUNTIFS(FER_F,INT(B1210))&gt;0,"Feriado"&amp;IF(AH1210=1," (laborable)"," (no laborable)"),IF(AH1210=1,"Laborable",IF(WEEKDAY(B1210,2)&gt;5,"Fin de semana","No laborable"))))</f>
        <v/>
      </c>
      <c r="R1210" s="73" t="n"/>
      <c r="S1210" s="72" t="n"/>
      <c r="T1210" s="72" t="n"/>
      <c r="U1210" s="74" t="n"/>
      <c r="V1210" s="79" t="str">
        <f>IF(AND(D1210="proMX",OR(R1210="Submitted",R1210="Recall Requested"),ISNUMBER(S1210)),CFG_TODAY-INT(S1210),"")</f>
        <v/>
      </c>
      <c r="W1210" s="78" t="str">
        <f>IF(BD1210=0,"",IF(BA1210&gt;0,"⚠ Se superpone con un registro de la otra empresa",IF(D1210="Malcolm",IF(COUNTA(R1210,S1210,T1210)&gt;0,"Estado/fechas proMX se ignoran en Malcolm",""),IF(BF1210="Cancelled","Cancelado: excluido de totales",IF(R1210="","Sin estado: se trata como Draft",IF(BF1210="Submitted",IF(ISNUMBER(V1210),IF(V1210&gt;CFG_MAXD,"⚠ "&amp;V1210&amp;" días en Submitted (máx. "&amp;CFG_MAXD&amp;")",""),"Falta fecha de envío"),IF(BF1210="Returned","⚠ Devuelto: corregir y reenviar",IF(BF1210="Recall Requested","Retirada solicitada: pendiente",IF(AND(BF1210="Approved",NOT(ISNUMBER(T1210))),"Falta fecha de aprobación",IF(AND(ISNUMBER(S1210),ISNUMBER(T1210),T1210&lt;S1210),"Aprobación anterior al envío","")))))))))</f>
        <v/>
      </c>
      <c r="Y1210" s="80">
        <f>IF(COUNTA(B1210,D1210,E1210,F1210,G1210,H1210,I1210,J1210,R1210,S1210,T1210)&gt;0,1,0)</f>
        <v>0</v>
      </c>
      <c r="Z1210" s="80" t="str">
        <f>IF(AND(ISNUMBER(H1210),H1210&gt;=0,H1210&lt;1),ROUND(H1210*1440,0),"")</f>
        <v/>
      </c>
      <c r="AA1210" s="80" t="str">
        <f>IF(AND(ISNUMBER(I1210),I1210&gt;=0,I1210&lt;1),ROUND(I1210*1440,0),"")</f>
        <v/>
      </c>
      <c r="AB1210" s="80">
        <f>IF(AND(ISNUMBER(B1210),D1210&lt;&gt;"",ISNUMBER(Z1210),ISNUMBER(AA1210)),IF(Z1210=AA1210,0,1),0)</f>
        <v>0</v>
      </c>
      <c r="AC1210" s="80">
        <f>IF(AB1210=1,IF(AA1210&lt;Z1210,1,0),0)</f>
        <v>0</v>
      </c>
      <c r="AD1210" s="80">
        <f>IF(AB1210=1,IF(AC1210=1,1440-Z1210+AA1210,AA1210-Z1210),0)</f>
        <v>0</v>
      </c>
      <c r="AE1210" s="80">
        <f>IF(J1210="",0,IF(ISNUMBER(J1210),J1210,-1))</f>
        <v>0</v>
      </c>
      <c r="AF1210" s="80">
        <f>MIN(MAX(0,AE1210),AD1210)</f>
        <v>0</v>
      </c>
      <c r="AG1210" s="80">
        <f>MAX(0,AD1210-MAX(0,AE1210))</f>
        <v>0</v>
      </c>
      <c r="AH1210" s="80">
        <f>IF(ISNUMBER(B1210),IF(AND(INDEX(CFG_WDAYS,WEEKDAY(INT(B1210),2))="Sí",IF(D1210="proMX",COUNTIFS(FER_F,INT(B1210),FER_NLP,"Sí"),COUNTIFS(FER_F,INT(B1210),FER_NLM,"Sí"))=0),1,0),0)</f>
        <v>0</v>
      </c>
      <c r="AI1210" s="80">
        <f>IF(AC1210=1,IF(AND(INDEX(CFG_WDAYS,WEEKDAY(INT(B1210)+1,2))="Sí",IF(D1210="proMX",COUNTIFS(FER_F,INT(B1210)+1,FER_NLP,"Sí"),COUNTIFS(FER_F,INT(B1210)+1,FER_NLM,"Sí"))=0),1,0),0)</f>
        <v>0</v>
      </c>
      <c r="AJ1210" s="80">
        <f>IF(AC1210=1,1440-Z1210,AD1210)</f>
        <v>0</v>
      </c>
      <c r="AK1210" s="80">
        <f>IF(AND(AB1210=1,AH1210=1),MAX(0,MIN(IF(AC1210=1,1440,AA1210),CFG_WEM)-MAX(Z1210,CFG_WSM)),0)</f>
        <v>0</v>
      </c>
      <c r="AL1210" s="80">
        <f>IF(AND(AC1210=1,AI1210=1),MAX(0,MIN(AA1210,CFG_WEM)-CFG_WSM),0)</f>
        <v>0</v>
      </c>
      <c r="AM1210" s="80">
        <f>AK1210+AL1210</f>
        <v>0</v>
      </c>
      <c r="AN1210" s="80">
        <f>IF(CFG_BRK="Proporcional",IF(AD1210=0,0,AF1210*AM1210/AD1210),IF(CFG_BRK="Extras primero",MIN(AM1210,MAX(0,AF1210-(AD1210-AM1210))),MIN(AF1210,AM1210)))</f>
        <v>0</v>
      </c>
      <c r="AO1210" s="80">
        <f>AF1210-AN1210</f>
        <v>0</v>
      </c>
      <c r="AP1210" s="80">
        <f>AM1210-AN1210</f>
        <v>0</v>
      </c>
      <c r="AQ1210" s="80">
        <f>AD1210-AM1210-AO1210</f>
        <v>0</v>
      </c>
      <c r="AR1210" s="80">
        <f>IF(AM1210=0,0,AK1210-AN1210*AK1210/AM1210)</f>
        <v>0</v>
      </c>
      <c r="AS1210" s="80">
        <f>IF(AD1210-AM1210=0,0,(AJ1210-AK1210)-AO1210*(AJ1210-AK1210)/(AD1210-AM1210))</f>
        <v>0</v>
      </c>
      <c r="AT1210" s="80" t="str">
        <f>IF(AC1210=1,INT(B1210)+1,"")</f>
        <v/>
      </c>
      <c r="AU1210" s="80">
        <f>IF(AND(D1210="proMX",R1210="Cancelled"),0,1)</f>
        <v>1</v>
      </c>
      <c r="AV1210" s="80">
        <f>IF(AND(AB1210=1,AU1210=1),IF(COUNTIFS($D$5:D1209,D1210,$B$5:B1209,B1210,$Z$5:Z1209,Z1210,$AA$5:AA1209,AA1210,$F$5:F1209,F1210&amp;"",$AU$5:AU1209,1)&gt;0,1,0),0)</f>
        <v>0</v>
      </c>
      <c r="AW1210" s="80" t="str">
        <f>IF(AB1210=1,INT(B1210)*1440+Z1210,"")</f>
        <v/>
      </c>
      <c r="AX1210" s="80" t="str">
        <f>IF(AB1210=1,AW1210+AD1210,"")</f>
        <v/>
      </c>
      <c r="AY1210" s="80">
        <f>IF(AND(AB1210=1,AV1210=0,AU1210=1),1,0)</f>
        <v>0</v>
      </c>
      <c r="AZ1210" s="80">
        <f>IF(AY1210=1,COUNTIFS(R_Emp,D1210,R_SAbs,"&lt;"&amp;AX1210,R_EAbs,"&gt;"&amp;AW1210,R_OKey,1)-1,0)</f>
        <v>0</v>
      </c>
      <c r="BA1210" s="80">
        <f>IF(AY1210=1,COUNTIFS(R_Emp,"&lt;&gt;"&amp;D1210,R_SAbs,"&lt;"&amp;AX1210,R_EAbs,"&gt;"&amp;AW1210,R_OKey,1),0)</f>
        <v>0</v>
      </c>
      <c r="BB1210" s="80">
        <f>IF(AND(AB1210=1,D1210="proMX"),IF(AND(MOD(Z1210,CFG_BLK)=0,MOD(AA1210,CFG_BLK)=0,MOD(AG1210,CFG_BLK)=0,AG1210&gt;0),1,0),1)</f>
        <v>1</v>
      </c>
      <c r="BC1210" s="80" t="str">
        <f>IF(Y1210=0,"",IF(NOT(ISNUMBER(B1210)),"Falta fecha o fecha inválida",IF(D1210="","Falta empresa",IF(AND(D1210&lt;&gt;"Malcolm",D1210&lt;&gt;"proMX"),"Empresa inválida",IF(OR(INT(B1210)&lt;CFG_PSTART,INT(B1210)&gt;CFG_PEND),"Fecha fuera del período",IF(OR(NOT(ISNUMBER(Z1210)),NOT(ISNUMBER(AA1210))),"Falta hora inicio/fin o formato inválido",IF(AB1210=0,"Hora inicio = hora fin",IF(AE1210&lt;0,"Descanso inválido",IF(AE1210&gt;=AD1210,"Descanso ≥ duración",IF(AV1210=1,"Registro duplicado",IF(AZ1210&gt;0,"Se superpone con otro registro "&amp;D1210,IF(BB1210=0,"inicio, fin y duración neta deben ser múltiplos de "&amp;CFG_BLK&amp;" min",""))))))))))))</f>
        <v/>
      </c>
      <c r="BD1210" s="80">
        <f>IF(AND(Y1210=1,BC1210=""),1,0)</f>
        <v>0</v>
      </c>
      <c r="BE1210" s="80">
        <f>IF(AND(BD1210=1,AU1210=1),1,0)</f>
        <v>0</v>
      </c>
      <c r="BF1210" s="80" t="str">
        <f>IF(AND(D1210="proMX",BD1210=1),IF(R1210="","Draft",R1210),"")</f>
        <v/>
      </c>
      <c r="BG1210" s="80">
        <f>IF(BD1210=1,ROUND(AG1210/60,6),0)</f>
        <v>0</v>
      </c>
      <c r="BH1210" s="80">
        <f>IF(BE1210=1,ROUND(AG1210/60,6),0)</f>
        <v>0</v>
      </c>
      <c r="BI1210" s="80">
        <f>IF(BE1210=1,ROUND(AP1210/60,6),0)</f>
        <v>0</v>
      </c>
      <c r="BJ1210" s="80">
        <f>IF(BE1210=1,ROUND(AQ1210/60,6),0)</f>
        <v>0</v>
      </c>
      <c r="BK1210" s="80">
        <f>IF(BE1210=1,ROUND((AR1210+AS1210)/60,6),0)</f>
        <v>0</v>
      </c>
      <c r="BL1210" s="80">
        <f>ROUND(BH1210-BK1210,6)</f>
        <v>0</v>
      </c>
      <c r="BM1210" s="80">
        <f>IF(BE1210=1,ROUND(AR1210/60,6),0)</f>
        <v>0</v>
      </c>
      <c r="BN1210" s="80">
        <f>ROUND(BI1210-BM1210,6)</f>
        <v>0</v>
      </c>
      <c r="BO1210" s="80">
        <f>IF(BE1210=1,ROUND(AS1210/60,6),0)</f>
        <v>0</v>
      </c>
      <c r="BP1210" s="80">
        <f>ROUND(BJ1210-BO1210,6)</f>
        <v>0</v>
      </c>
      <c r="BQ1210" s="80">
        <f>IF(BE1210=1,AW1210,0)</f>
        <v>0</v>
      </c>
      <c r="BR1210" s="80">
        <f>IF(BE1210=1,AX1210,0)</f>
        <v>0</v>
      </c>
      <c r="BS1210" s="80">
        <f>IF(AND(BE1210=1,D1210="Malcolm",BA1210&gt;0),MIN(BH1210,SUMPRODUCT((R_Emp="proMX")*(R_EN&gt;0)*((R_EN-(R_EN&gt;BR1210)*(R_EN-BR1210))&gt;(R_SN+(R_SN&lt;BQ1210)*(BQ1210-R_SN)))*((R_EN-(R_EN&gt;BR1210)*(R_EN-BR1210))-(R_SN+(R_SN&lt;BQ1210)*(BQ1210-R_SN))))/60),0)</f>
        <v>0</v>
      </c>
      <c r="BT1210" s="80">
        <f>IF(AND(BE1210=1,D1210="proMX"),ROUND(BI1210*CFG_RATE+BJ1210*CFG_OTRATE,6),0)</f>
        <v>0</v>
      </c>
      <c r="BU1210" s="80">
        <f>IF(AND(BD1210=1,D1210="proMX"),ROUND(AG1210/CFG_BLK,6),0)</f>
        <v>0</v>
      </c>
      <c r="BV1210" s="80" t="str">
        <f>IF(BF1210="Approved",IF(ISNUMBER(T1210),INT(T1210),INT(B1210)),"")</f>
        <v/>
      </c>
      <c r="BW1210" s="80">
        <f>IF(ISNUMBER(B1210),IF(DB_MON="Todos",1,IF(AND(INT(B1210)&gt;=DB_MS,INT(B1210)&lt;=DB_ME),1,0)),0)</f>
        <v>0</v>
      </c>
      <c r="BX1210" s="80">
        <f>IF(DB_PROJ="Todos",1,IF(E1210&amp;""=DB_PROJ&amp;"",1,0))</f>
        <v>1</v>
      </c>
      <c r="BY1210" s="80">
        <f>BW1210*BX1210</f>
        <v>0</v>
      </c>
      <c r="BZ1210" s="80" t="str">
        <f>IF(Y1210=1,F1210&amp;IF(AND(F1210&amp;""&lt;&gt;"",E1210&amp;""&lt;&gt;"")," · ","")&amp;E1210,"")</f>
        <v/>
      </c>
      <c r="CA1210" s="80" t="str">
        <f>IF(AND(BD1210=1,E1210&amp;""&lt;&gt;""),IF(COUNTIFS($E$5:E1209,E1210,$BD$5:BD1209,1)=0,MAX($CA$5:CA1209)+1,""),"")</f>
        <v/>
      </c>
      <c r="CB1210" s="80" t="str">
        <f>IF(AND(BE1210=1,D1210="Malcolm",E1210&amp;""&lt;&gt;""),IF(COUNTIFS($D$5:D1209,"Malcolm",$E$5:E1209,E1210,$BE$5:BE1209,1)=0,MAX($CB$5:CB1209)+1,""),"")</f>
        <v/>
      </c>
      <c r="CC1210" s="80" t="str">
        <f>IF(AND(BD1210=1,D1210="proMX",E1210&amp;""&lt;&gt;""),IF(COUNTIFS($D$5:D1209,"proMX",$E$5:E1209,E1210,$BD$5:BD1209,1)=0,MAX($CC$5:CC1209)+1,""),"")</f>
        <v/>
      </c>
      <c r="CD1210" s="80" t="str">
        <f>IF(AND(BE1210=1,D1210="Malcolm",F1210&amp;""&lt;&gt;""),IF(COUNTIFS($D$5:D1209,"Malcolm",$F$5:F1209,F1210,$BE$5:BE1209,1)=0,MAX($CD$5:CD1209)+1,""),"")</f>
        <v/>
      </c>
      <c r="CE1210" s="80" t="str">
        <f>IF(AND(BD1210=1,D1210="proMX",F1210&amp;""&lt;&gt;""),IF(COUNTIFS($D$5:D1209,"proMX",$F$5:F1209,F1210,$BD$5:BD1209,1)=0,MAX($CE$5:CE1209)+1,""),"")</f>
        <v/>
      </c>
      <c r="CF1210" s="80" t="str">
        <f>IF(AND(D1210="proMX",BD1210=1),IF(OR(BF1210="Draft",BF1210="Submitted",BF1210="Returned",BF1210="Recall Requested"),MAX($CF$5:CF1209)+1,""),"")</f>
        <v/>
      </c>
      <c r="CG1210" s="80">
        <f>IF(BD1210=0,0,IF(D1210="Malcolm",1,MATCH(BF1210,{"Draft","Submitted","Approved","Returned","Recall Requested","Cancelled"},0)+1))</f>
        <v>0</v>
      </c>
      <c r="CH1210" s="80">
        <f>IF(AND(BF1210="Submitted",ISNUMBER(V1210)),IF(V1210&gt;CFG_MAXD,1,0),0)</f>
        <v>0</v>
      </c>
    </row>
    <row r="1211">
      <c r="A1211" s="71" t="str">
        <f>IF(Y1211=1,ROW()-5,"")</f>
        <v/>
      </c>
      <c r="B1211" s="72" t="n"/>
      <c r="C1211" s="71" t="str">
        <f>IF(ISNUMBER(B1211),CHOOSE(WEEKDAY(B1211,2),"Lun","Mar","Mié","Jue","Vie","Sáb","Dom"),"")</f>
        <v/>
      </c>
      <c r="D1211" s="73" t="n"/>
      <c r="E1211" s="74" t="n"/>
      <c r="F1211" s="74" t="n"/>
      <c r="G1211" s="74" t="n"/>
      <c r="H1211" s="75" t="n"/>
      <c r="I1211" s="75" t="n"/>
      <c r="J1211" s="76" t="n"/>
      <c r="K1211" s="77" t="str">
        <f>IF(AB1211=1,ROUND(AG1211/60,4),"")</f>
        <v/>
      </c>
      <c r="L1211" s="77" t="str">
        <f>IF(BD1211=1,ROUND(AP1211/60,4),"")</f>
        <v/>
      </c>
      <c r="M1211" s="77" t="str">
        <f>IF(BD1211=1,ROUND(AQ1211/60,4),"")</f>
        <v/>
      </c>
      <c r="N1211" s="71" t="str">
        <f>IF(AND(D1211="proMX",AB1211=1),ROUND(AG1211/CFG_BLK,2),"")</f>
        <v/>
      </c>
      <c r="O1211" s="77" t="str">
        <f>IF(D1211="proMX",IF(BD1211=1,ROUND(AG1211/60,4),0),"")</f>
        <v/>
      </c>
      <c r="P1211" s="78" t="str">
        <f>IF(Y1211=0,"",IF(BD1211=1,"OK",IF(D1211="proMX","Revisar bloques: ","Revisar: ")&amp;BC1211))</f>
        <v/>
      </c>
      <c r="Q1211" s="78" t="str">
        <f>IF(NOT(ISNUMBER(B1211)),"",IF(COUNTIFS(FER_F,INT(B1211))&gt;0,"Feriado"&amp;IF(AH1211=1," (laborable)"," (no laborable)"),IF(AH1211=1,"Laborable",IF(WEEKDAY(B1211,2)&gt;5,"Fin de semana","No laborable"))))</f>
        <v/>
      </c>
      <c r="R1211" s="73" t="n"/>
      <c r="S1211" s="72" t="n"/>
      <c r="T1211" s="72" t="n"/>
      <c r="U1211" s="74" t="n"/>
      <c r="V1211" s="79" t="str">
        <f>IF(AND(D1211="proMX",OR(R1211="Submitted",R1211="Recall Requested"),ISNUMBER(S1211)),CFG_TODAY-INT(S1211),"")</f>
        <v/>
      </c>
      <c r="W1211" s="78" t="str">
        <f>IF(BD1211=0,"",IF(BA1211&gt;0,"⚠ Se superpone con un registro de la otra empresa",IF(D1211="Malcolm",IF(COUNTA(R1211,S1211,T1211)&gt;0,"Estado/fechas proMX se ignoran en Malcolm",""),IF(BF1211="Cancelled","Cancelado: excluido de totales",IF(R1211="","Sin estado: se trata como Draft",IF(BF1211="Submitted",IF(ISNUMBER(V1211),IF(V1211&gt;CFG_MAXD,"⚠ "&amp;V1211&amp;" días en Submitted (máx. "&amp;CFG_MAXD&amp;")",""),"Falta fecha de envío"),IF(BF1211="Returned","⚠ Devuelto: corregir y reenviar",IF(BF1211="Recall Requested","Retirada solicitada: pendiente",IF(AND(BF1211="Approved",NOT(ISNUMBER(T1211))),"Falta fecha de aprobación",IF(AND(ISNUMBER(S1211),ISNUMBER(T1211),T1211&lt;S1211),"Aprobación anterior al envío","")))))))))</f>
        <v/>
      </c>
      <c r="Y1211" s="80">
        <f>IF(COUNTA(B1211,D1211,E1211,F1211,G1211,H1211,I1211,J1211,R1211,S1211,T1211)&gt;0,1,0)</f>
        <v>0</v>
      </c>
      <c r="Z1211" s="80" t="str">
        <f>IF(AND(ISNUMBER(H1211),H1211&gt;=0,H1211&lt;1),ROUND(H1211*1440,0),"")</f>
        <v/>
      </c>
      <c r="AA1211" s="80" t="str">
        <f>IF(AND(ISNUMBER(I1211),I1211&gt;=0,I1211&lt;1),ROUND(I1211*1440,0),"")</f>
        <v/>
      </c>
      <c r="AB1211" s="80">
        <f>IF(AND(ISNUMBER(B1211),D1211&lt;&gt;"",ISNUMBER(Z1211),ISNUMBER(AA1211)),IF(Z1211=AA1211,0,1),0)</f>
        <v>0</v>
      </c>
      <c r="AC1211" s="80">
        <f>IF(AB1211=1,IF(AA1211&lt;Z1211,1,0),0)</f>
        <v>0</v>
      </c>
      <c r="AD1211" s="80">
        <f>IF(AB1211=1,IF(AC1211=1,1440-Z1211+AA1211,AA1211-Z1211),0)</f>
        <v>0</v>
      </c>
      <c r="AE1211" s="80">
        <f>IF(J1211="",0,IF(ISNUMBER(J1211),J1211,-1))</f>
        <v>0</v>
      </c>
      <c r="AF1211" s="80">
        <f>MIN(MAX(0,AE1211),AD1211)</f>
        <v>0</v>
      </c>
      <c r="AG1211" s="80">
        <f>MAX(0,AD1211-MAX(0,AE1211))</f>
        <v>0</v>
      </c>
      <c r="AH1211" s="80">
        <f>IF(ISNUMBER(B1211),IF(AND(INDEX(CFG_WDAYS,WEEKDAY(INT(B1211),2))="Sí",IF(D1211="proMX",COUNTIFS(FER_F,INT(B1211),FER_NLP,"Sí"),COUNTIFS(FER_F,INT(B1211),FER_NLM,"Sí"))=0),1,0),0)</f>
        <v>0</v>
      </c>
      <c r="AI1211" s="80">
        <f>IF(AC1211=1,IF(AND(INDEX(CFG_WDAYS,WEEKDAY(INT(B1211)+1,2))="Sí",IF(D1211="proMX",COUNTIFS(FER_F,INT(B1211)+1,FER_NLP,"Sí"),COUNTIFS(FER_F,INT(B1211)+1,FER_NLM,"Sí"))=0),1,0),0)</f>
        <v>0</v>
      </c>
      <c r="AJ1211" s="80">
        <f>IF(AC1211=1,1440-Z1211,AD1211)</f>
        <v>0</v>
      </c>
      <c r="AK1211" s="80">
        <f>IF(AND(AB1211=1,AH1211=1),MAX(0,MIN(IF(AC1211=1,1440,AA1211),CFG_WEM)-MAX(Z1211,CFG_WSM)),0)</f>
        <v>0</v>
      </c>
      <c r="AL1211" s="80">
        <f>IF(AND(AC1211=1,AI1211=1),MAX(0,MIN(AA1211,CFG_WEM)-CFG_WSM),0)</f>
        <v>0</v>
      </c>
      <c r="AM1211" s="80">
        <f>AK1211+AL1211</f>
        <v>0</v>
      </c>
      <c r="AN1211" s="80">
        <f>IF(CFG_BRK="Proporcional",IF(AD1211=0,0,AF1211*AM1211/AD1211),IF(CFG_BRK="Extras primero",MIN(AM1211,MAX(0,AF1211-(AD1211-AM1211))),MIN(AF1211,AM1211)))</f>
        <v>0</v>
      </c>
      <c r="AO1211" s="80">
        <f>AF1211-AN1211</f>
        <v>0</v>
      </c>
      <c r="AP1211" s="80">
        <f>AM1211-AN1211</f>
        <v>0</v>
      </c>
      <c r="AQ1211" s="80">
        <f>AD1211-AM1211-AO1211</f>
        <v>0</v>
      </c>
      <c r="AR1211" s="80">
        <f>IF(AM1211=0,0,AK1211-AN1211*AK1211/AM1211)</f>
        <v>0</v>
      </c>
      <c r="AS1211" s="80">
        <f>IF(AD1211-AM1211=0,0,(AJ1211-AK1211)-AO1211*(AJ1211-AK1211)/(AD1211-AM1211))</f>
        <v>0</v>
      </c>
      <c r="AT1211" s="80" t="str">
        <f>IF(AC1211=1,INT(B1211)+1,"")</f>
        <v/>
      </c>
      <c r="AU1211" s="80">
        <f>IF(AND(D1211="proMX",R1211="Cancelled"),0,1)</f>
        <v>1</v>
      </c>
      <c r="AV1211" s="80">
        <f>IF(AND(AB1211=1,AU1211=1),IF(COUNTIFS($D$5:D1210,D1211,$B$5:B1210,B1211,$Z$5:Z1210,Z1211,$AA$5:AA1210,AA1211,$F$5:F1210,F1211&amp;"",$AU$5:AU1210,1)&gt;0,1,0),0)</f>
        <v>0</v>
      </c>
      <c r="AW1211" s="80" t="str">
        <f>IF(AB1211=1,INT(B1211)*1440+Z1211,"")</f>
        <v/>
      </c>
      <c r="AX1211" s="80" t="str">
        <f>IF(AB1211=1,AW1211+AD1211,"")</f>
        <v/>
      </c>
      <c r="AY1211" s="80">
        <f>IF(AND(AB1211=1,AV1211=0,AU1211=1),1,0)</f>
        <v>0</v>
      </c>
      <c r="AZ1211" s="80">
        <f>IF(AY1211=1,COUNTIFS(R_Emp,D1211,R_SAbs,"&lt;"&amp;AX1211,R_EAbs,"&gt;"&amp;AW1211,R_OKey,1)-1,0)</f>
        <v>0</v>
      </c>
      <c r="BA1211" s="80">
        <f>IF(AY1211=1,COUNTIFS(R_Emp,"&lt;&gt;"&amp;D1211,R_SAbs,"&lt;"&amp;AX1211,R_EAbs,"&gt;"&amp;AW1211,R_OKey,1),0)</f>
        <v>0</v>
      </c>
      <c r="BB1211" s="80">
        <f>IF(AND(AB1211=1,D1211="proMX"),IF(AND(MOD(Z1211,CFG_BLK)=0,MOD(AA1211,CFG_BLK)=0,MOD(AG1211,CFG_BLK)=0,AG1211&gt;0),1,0),1)</f>
        <v>1</v>
      </c>
      <c r="BC1211" s="80" t="str">
        <f>IF(Y1211=0,"",IF(NOT(ISNUMBER(B1211)),"Falta fecha o fecha inválida",IF(D1211="","Falta empresa",IF(AND(D1211&lt;&gt;"Malcolm",D1211&lt;&gt;"proMX"),"Empresa inválida",IF(OR(INT(B1211)&lt;CFG_PSTART,INT(B1211)&gt;CFG_PEND),"Fecha fuera del período",IF(OR(NOT(ISNUMBER(Z1211)),NOT(ISNUMBER(AA1211))),"Falta hora inicio/fin o formato inválido",IF(AB1211=0,"Hora inicio = hora fin",IF(AE1211&lt;0,"Descanso inválido",IF(AE1211&gt;=AD1211,"Descanso ≥ duración",IF(AV1211=1,"Registro duplicado",IF(AZ1211&gt;0,"Se superpone con otro registro "&amp;D1211,IF(BB1211=0,"inicio, fin y duración neta deben ser múltiplos de "&amp;CFG_BLK&amp;" min",""))))))))))))</f>
        <v/>
      </c>
      <c r="BD1211" s="80">
        <f>IF(AND(Y1211=1,BC1211=""),1,0)</f>
        <v>0</v>
      </c>
      <c r="BE1211" s="80">
        <f>IF(AND(BD1211=1,AU1211=1),1,0)</f>
        <v>0</v>
      </c>
      <c r="BF1211" s="80" t="str">
        <f>IF(AND(D1211="proMX",BD1211=1),IF(R1211="","Draft",R1211),"")</f>
        <v/>
      </c>
      <c r="BG1211" s="80">
        <f>IF(BD1211=1,ROUND(AG1211/60,6),0)</f>
        <v>0</v>
      </c>
      <c r="BH1211" s="80">
        <f>IF(BE1211=1,ROUND(AG1211/60,6),0)</f>
        <v>0</v>
      </c>
      <c r="BI1211" s="80">
        <f>IF(BE1211=1,ROUND(AP1211/60,6),0)</f>
        <v>0</v>
      </c>
      <c r="BJ1211" s="80">
        <f>IF(BE1211=1,ROUND(AQ1211/60,6),0)</f>
        <v>0</v>
      </c>
      <c r="BK1211" s="80">
        <f>IF(BE1211=1,ROUND((AR1211+AS1211)/60,6),0)</f>
        <v>0</v>
      </c>
      <c r="BL1211" s="80">
        <f>ROUND(BH1211-BK1211,6)</f>
        <v>0</v>
      </c>
      <c r="BM1211" s="80">
        <f>IF(BE1211=1,ROUND(AR1211/60,6),0)</f>
        <v>0</v>
      </c>
      <c r="BN1211" s="80">
        <f>ROUND(BI1211-BM1211,6)</f>
        <v>0</v>
      </c>
      <c r="BO1211" s="80">
        <f>IF(BE1211=1,ROUND(AS1211/60,6),0)</f>
        <v>0</v>
      </c>
      <c r="BP1211" s="80">
        <f>ROUND(BJ1211-BO1211,6)</f>
        <v>0</v>
      </c>
      <c r="BQ1211" s="80">
        <f>IF(BE1211=1,AW1211,0)</f>
        <v>0</v>
      </c>
      <c r="BR1211" s="80">
        <f>IF(BE1211=1,AX1211,0)</f>
        <v>0</v>
      </c>
      <c r="BS1211" s="80">
        <f>IF(AND(BE1211=1,D1211="Malcolm",BA1211&gt;0),MIN(BH1211,SUMPRODUCT((R_Emp="proMX")*(R_EN&gt;0)*((R_EN-(R_EN&gt;BR1211)*(R_EN-BR1211))&gt;(R_SN+(R_SN&lt;BQ1211)*(BQ1211-R_SN)))*((R_EN-(R_EN&gt;BR1211)*(R_EN-BR1211))-(R_SN+(R_SN&lt;BQ1211)*(BQ1211-R_SN))))/60),0)</f>
        <v>0</v>
      </c>
      <c r="BT1211" s="80">
        <f>IF(AND(BE1211=1,D1211="proMX"),ROUND(BI1211*CFG_RATE+BJ1211*CFG_OTRATE,6),0)</f>
        <v>0</v>
      </c>
      <c r="BU1211" s="80">
        <f>IF(AND(BD1211=1,D1211="proMX"),ROUND(AG1211/CFG_BLK,6),0)</f>
        <v>0</v>
      </c>
      <c r="BV1211" s="80" t="str">
        <f>IF(BF1211="Approved",IF(ISNUMBER(T1211),INT(T1211),INT(B1211)),"")</f>
        <v/>
      </c>
      <c r="BW1211" s="80">
        <f>IF(ISNUMBER(B1211),IF(DB_MON="Todos",1,IF(AND(INT(B1211)&gt;=DB_MS,INT(B1211)&lt;=DB_ME),1,0)),0)</f>
        <v>0</v>
      </c>
      <c r="BX1211" s="80">
        <f>IF(DB_PROJ="Todos",1,IF(E1211&amp;""=DB_PROJ&amp;"",1,0))</f>
        <v>1</v>
      </c>
      <c r="BY1211" s="80">
        <f>BW1211*BX1211</f>
        <v>0</v>
      </c>
      <c r="BZ1211" s="80" t="str">
        <f>IF(Y1211=1,F1211&amp;IF(AND(F1211&amp;""&lt;&gt;"",E1211&amp;""&lt;&gt;"")," · ","")&amp;E1211,"")</f>
        <v/>
      </c>
      <c r="CA1211" s="80" t="str">
        <f>IF(AND(BD1211=1,E1211&amp;""&lt;&gt;""),IF(COUNTIFS($E$5:E1210,E1211,$BD$5:BD1210,1)=0,MAX($CA$5:CA1210)+1,""),"")</f>
        <v/>
      </c>
      <c r="CB1211" s="80" t="str">
        <f>IF(AND(BE1211=1,D1211="Malcolm",E1211&amp;""&lt;&gt;""),IF(COUNTIFS($D$5:D1210,"Malcolm",$E$5:E1210,E1211,$BE$5:BE1210,1)=0,MAX($CB$5:CB1210)+1,""),"")</f>
        <v/>
      </c>
      <c r="CC1211" s="80" t="str">
        <f>IF(AND(BD1211=1,D1211="proMX",E1211&amp;""&lt;&gt;""),IF(COUNTIFS($D$5:D1210,"proMX",$E$5:E1210,E1211,$BD$5:BD1210,1)=0,MAX($CC$5:CC1210)+1,""),"")</f>
        <v/>
      </c>
      <c r="CD1211" s="80" t="str">
        <f>IF(AND(BE1211=1,D1211="Malcolm",F1211&amp;""&lt;&gt;""),IF(COUNTIFS($D$5:D1210,"Malcolm",$F$5:F1210,F1211,$BE$5:BE1210,1)=0,MAX($CD$5:CD1210)+1,""),"")</f>
        <v/>
      </c>
      <c r="CE1211" s="80" t="str">
        <f>IF(AND(BD1211=1,D1211="proMX",F1211&amp;""&lt;&gt;""),IF(COUNTIFS($D$5:D1210,"proMX",$F$5:F1210,F1211,$BD$5:BD1210,1)=0,MAX($CE$5:CE1210)+1,""),"")</f>
        <v/>
      </c>
      <c r="CF1211" s="80" t="str">
        <f>IF(AND(D1211="proMX",BD1211=1),IF(OR(BF1211="Draft",BF1211="Submitted",BF1211="Returned",BF1211="Recall Requested"),MAX($CF$5:CF1210)+1,""),"")</f>
        <v/>
      </c>
      <c r="CG1211" s="80">
        <f>IF(BD1211=0,0,IF(D1211="Malcolm",1,MATCH(BF1211,{"Draft","Submitted","Approved","Returned","Recall Requested","Cancelled"},0)+1))</f>
        <v>0</v>
      </c>
      <c r="CH1211" s="80">
        <f>IF(AND(BF1211="Submitted",ISNUMBER(V1211)),IF(V1211&gt;CFG_MAXD,1,0),0)</f>
        <v>0</v>
      </c>
    </row>
    <row r="1212">
      <c r="A1212" s="71" t="str">
        <f>IF(Y1212=1,ROW()-5,"")</f>
        <v/>
      </c>
      <c r="B1212" s="72" t="n"/>
      <c r="C1212" s="71" t="str">
        <f>IF(ISNUMBER(B1212),CHOOSE(WEEKDAY(B1212,2),"Lun","Mar","Mié","Jue","Vie","Sáb","Dom"),"")</f>
        <v/>
      </c>
      <c r="D1212" s="73" t="n"/>
      <c r="E1212" s="74" t="n"/>
      <c r="F1212" s="74" t="n"/>
      <c r="G1212" s="74" t="n"/>
      <c r="H1212" s="75" t="n"/>
      <c r="I1212" s="75" t="n"/>
      <c r="J1212" s="76" t="n"/>
      <c r="K1212" s="77" t="str">
        <f>IF(AB1212=1,ROUND(AG1212/60,4),"")</f>
        <v/>
      </c>
      <c r="L1212" s="77" t="str">
        <f>IF(BD1212=1,ROUND(AP1212/60,4),"")</f>
        <v/>
      </c>
      <c r="M1212" s="77" t="str">
        <f>IF(BD1212=1,ROUND(AQ1212/60,4),"")</f>
        <v/>
      </c>
      <c r="N1212" s="71" t="str">
        <f>IF(AND(D1212="proMX",AB1212=1),ROUND(AG1212/CFG_BLK,2),"")</f>
        <v/>
      </c>
      <c r="O1212" s="77" t="str">
        <f>IF(D1212="proMX",IF(BD1212=1,ROUND(AG1212/60,4),0),"")</f>
        <v/>
      </c>
      <c r="P1212" s="78" t="str">
        <f>IF(Y1212=0,"",IF(BD1212=1,"OK",IF(D1212="proMX","Revisar bloques: ","Revisar: ")&amp;BC1212))</f>
        <v/>
      </c>
      <c r="Q1212" s="78" t="str">
        <f>IF(NOT(ISNUMBER(B1212)),"",IF(COUNTIFS(FER_F,INT(B1212))&gt;0,"Feriado"&amp;IF(AH1212=1," (laborable)"," (no laborable)"),IF(AH1212=1,"Laborable",IF(WEEKDAY(B1212,2)&gt;5,"Fin de semana","No laborable"))))</f>
        <v/>
      </c>
      <c r="R1212" s="73" t="n"/>
      <c r="S1212" s="72" t="n"/>
      <c r="T1212" s="72" t="n"/>
      <c r="U1212" s="74" t="n"/>
      <c r="V1212" s="79" t="str">
        <f>IF(AND(D1212="proMX",OR(R1212="Submitted",R1212="Recall Requested"),ISNUMBER(S1212)),CFG_TODAY-INT(S1212),"")</f>
        <v/>
      </c>
      <c r="W1212" s="78" t="str">
        <f>IF(BD1212=0,"",IF(BA1212&gt;0,"⚠ Se superpone con un registro de la otra empresa",IF(D1212="Malcolm",IF(COUNTA(R1212,S1212,T1212)&gt;0,"Estado/fechas proMX se ignoran en Malcolm",""),IF(BF1212="Cancelled","Cancelado: excluido de totales",IF(R1212="","Sin estado: se trata como Draft",IF(BF1212="Submitted",IF(ISNUMBER(V1212),IF(V1212&gt;CFG_MAXD,"⚠ "&amp;V1212&amp;" días en Submitted (máx. "&amp;CFG_MAXD&amp;")",""),"Falta fecha de envío"),IF(BF1212="Returned","⚠ Devuelto: corregir y reenviar",IF(BF1212="Recall Requested","Retirada solicitada: pendiente",IF(AND(BF1212="Approved",NOT(ISNUMBER(T1212))),"Falta fecha de aprobación",IF(AND(ISNUMBER(S1212),ISNUMBER(T1212),T1212&lt;S1212),"Aprobación anterior al envío","")))))))))</f>
        <v/>
      </c>
      <c r="Y1212" s="80">
        <f>IF(COUNTA(B1212,D1212,E1212,F1212,G1212,H1212,I1212,J1212,R1212,S1212,T1212)&gt;0,1,0)</f>
        <v>0</v>
      </c>
      <c r="Z1212" s="80" t="str">
        <f>IF(AND(ISNUMBER(H1212),H1212&gt;=0,H1212&lt;1),ROUND(H1212*1440,0),"")</f>
        <v/>
      </c>
      <c r="AA1212" s="80" t="str">
        <f>IF(AND(ISNUMBER(I1212),I1212&gt;=0,I1212&lt;1),ROUND(I1212*1440,0),"")</f>
        <v/>
      </c>
      <c r="AB1212" s="80">
        <f>IF(AND(ISNUMBER(B1212),D1212&lt;&gt;"",ISNUMBER(Z1212),ISNUMBER(AA1212)),IF(Z1212=AA1212,0,1),0)</f>
        <v>0</v>
      </c>
      <c r="AC1212" s="80">
        <f>IF(AB1212=1,IF(AA1212&lt;Z1212,1,0),0)</f>
        <v>0</v>
      </c>
      <c r="AD1212" s="80">
        <f>IF(AB1212=1,IF(AC1212=1,1440-Z1212+AA1212,AA1212-Z1212),0)</f>
        <v>0</v>
      </c>
      <c r="AE1212" s="80">
        <f>IF(J1212="",0,IF(ISNUMBER(J1212),J1212,-1))</f>
        <v>0</v>
      </c>
      <c r="AF1212" s="80">
        <f>MIN(MAX(0,AE1212),AD1212)</f>
        <v>0</v>
      </c>
      <c r="AG1212" s="80">
        <f>MAX(0,AD1212-MAX(0,AE1212))</f>
        <v>0</v>
      </c>
      <c r="AH1212" s="80">
        <f>IF(ISNUMBER(B1212),IF(AND(INDEX(CFG_WDAYS,WEEKDAY(INT(B1212),2))="Sí",IF(D1212="proMX",COUNTIFS(FER_F,INT(B1212),FER_NLP,"Sí"),COUNTIFS(FER_F,INT(B1212),FER_NLM,"Sí"))=0),1,0),0)</f>
        <v>0</v>
      </c>
      <c r="AI1212" s="80">
        <f>IF(AC1212=1,IF(AND(INDEX(CFG_WDAYS,WEEKDAY(INT(B1212)+1,2))="Sí",IF(D1212="proMX",COUNTIFS(FER_F,INT(B1212)+1,FER_NLP,"Sí"),COUNTIFS(FER_F,INT(B1212)+1,FER_NLM,"Sí"))=0),1,0),0)</f>
        <v>0</v>
      </c>
      <c r="AJ1212" s="80">
        <f>IF(AC1212=1,1440-Z1212,AD1212)</f>
        <v>0</v>
      </c>
      <c r="AK1212" s="80">
        <f>IF(AND(AB1212=1,AH1212=1),MAX(0,MIN(IF(AC1212=1,1440,AA1212),CFG_WEM)-MAX(Z1212,CFG_WSM)),0)</f>
        <v>0</v>
      </c>
      <c r="AL1212" s="80">
        <f>IF(AND(AC1212=1,AI1212=1),MAX(0,MIN(AA1212,CFG_WEM)-CFG_WSM),0)</f>
        <v>0</v>
      </c>
      <c r="AM1212" s="80">
        <f>AK1212+AL1212</f>
        <v>0</v>
      </c>
      <c r="AN1212" s="80">
        <f>IF(CFG_BRK="Proporcional",IF(AD1212=0,0,AF1212*AM1212/AD1212),IF(CFG_BRK="Extras primero",MIN(AM1212,MAX(0,AF1212-(AD1212-AM1212))),MIN(AF1212,AM1212)))</f>
        <v>0</v>
      </c>
      <c r="AO1212" s="80">
        <f>AF1212-AN1212</f>
        <v>0</v>
      </c>
      <c r="AP1212" s="80">
        <f>AM1212-AN1212</f>
        <v>0</v>
      </c>
      <c r="AQ1212" s="80">
        <f>AD1212-AM1212-AO1212</f>
        <v>0</v>
      </c>
      <c r="AR1212" s="80">
        <f>IF(AM1212=0,0,AK1212-AN1212*AK1212/AM1212)</f>
        <v>0</v>
      </c>
      <c r="AS1212" s="80">
        <f>IF(AD1212-AM1212=0,0,(AJ1212-AK1212)-AO1212*(AJ1212-AK1212)/(AD1212-AM1212))</f>
        <v>0</v>
      </c>
      <c r="AT1212" s="80" t="str">
        <f>IF(AC1212=1,INT(B1212)+1,"")</f>
        <v/>
      </c>
      <c r="AU1212" s="80">
        <f>IF(AND(D1212="proMX",R1212="Cancelled"),0,1)</f>
        <v>1</v>
      </c>
      <c r="AV1212" s="80">
        <f>IF(AND(AB1212=1,AU1212=1),IF(COUNTIFS($D$5:D1211,D1212,$B$5:B1211,B1212,$Z$5:Z1211,Z1212,$AA$5:AA1211,AA1212,$F$5:F1211,F1212&amp;"",$AU$5:AU1211,1)&gt;0,1,0),0)</f>
        <v>0</v>
      </c>
      <c r="AW1212" s="80" t="str">
        <f>IF(AB1212=1,INT(B1212)*1440+Z1212,"")</f>
        <v/>
      </c>
      <c r="AX1212" s="80" t="str">
        <f>IF(AB1212=1,AW1212+AD1212,"")</f>
        <v/>
      </c>
      <c r="AY1212" s="80">
        <f>IF(AND(AB1212=1,AV1212=0,AU1212=1),1,0)</f>
        <v>0</v>
      </c>
      <c r="AZ1212" s="80">
        <f>IF(AY1212=1,COUNTIFS(R_Emp,D1212,R_SAbs,"&lt;"&amp;AX1212,R_EAbs,"&gt;"&amp;AW1212,R_OKey,1)-1,0)</f>
        <v>0</v>
      </c>
      <c r="BA1212" s="80">
        <f>IF(AY1212=1,COUNTIFS(R_Emp,"&lt;&gt;"&amp;D1212,R_SAbs,"&lt;"&amp;AX1212,R_EAbs,"&gt;"&amp;AW1212,R_OKey,1),0)</f>
        <v>0</v>
      </c>
      <c r="BB1212" s="80">
        <f>IF(AND(AB1212=1,D1212="proMX"),IF(AND(MOD(Z1212,CFG_BLK)=0,MOD(AA1212,CFG_BLK)=0,MOD(AG1212,CFG_BLK)=0,AG1212&gt;0),1,0),1)</f>
        <v>1</v>
      </c>
      <c r="BC1212" s="80" t="str">
        <f>IF(Y1212=0,"",IF(NOT(ISNUMBER(B1212)),"Falta fecha o fecha inválida",IF(D1212="","Falta empresa",IF(AND(D1212&lt;&gt;"Malcolm",D1212&lt;&gt;"proMX"),"Empresa inválida",IF(OR(INT(B1212)&lt;CFG_PSTART,INT(B1212)&gt;CFG_PEND),"Fecha fuera del período",IF(OR(NOT(ISNUMBER(Z1212)),NOT(ISNUMBER(AA1212))),"Falta hora inicio/fin o formato inválido",IF(AB1212=0,"Hora inicio = hora fin",IF(AE1212&lt;0,"Descanso inválido",IF(AE1212&gt;=AD1212,"Descanso ≥ duración",IF(AV1212=1,"Registro duplicado",IF(AZ1212&gt;0,"Se superpone con otro registro "&amp;D1212,IF(BB1212=0,"inicio, fin y duración neta deben ser múltiplos de "&amp;CFG_BLK&amp;" min",""))))))))))))</f>
        <v/>
      </c>
      <c r="BD1212" s="80">
        <f>IF(AND(Y1212=1,BC1212=""),1,0)</f>
        <v>0</v>
      </c>
      <c r="BE1212" s="80">
        <f>IF(AND(BD1212=1,AU1212=1),1,0)</f>
        <v>0</v>
      </c>
      <c r="BF1212" s="80" t="str">
        <f>IF(AND(D1212="proMX",BD1212=1),IF(R1212="","Draft",R1212),"")</f>
        <v/>
      </c>
      <c r="BG1212" s="80">
        <f>IF(BD1212=1,ROUND(AG1212/60,6),0)</f>
        <v>0</v>
      </c>
      <c r="BH1212" s="80">
        <f>IF(BE1212=1,ROUND(AG1212/60,6),0)</f>
        <v>0</v>
      </c>
      <c r="BI1212" s="80">
        <f>IF(BE1212=1,ROUND(AP1212/60,6),0)</f>
        <v>0</v>
      </c>
      <c r="BJ1212" s="80">
        <f>IF(BE1212=1,ROUND(AQ1212/60,6),0)</f>
        <v>0</v>
      </c>
      <c r="BK1212" s="80">
        <f>IF(BE1212=1,ROUND((AR1212+AS1212)/60,6),0)</f>
        <v>0</v>
      </c>
      <c r="BL1212" s="80">
        <f>ROUND(BH1212-BK1212,6)</f>
        <v>0</v>
      </c>
      <c r="BM1212" s="80">
        <f>IF(BE1212=1,ROUND(AR1212/60,6),0)</f>
        <v>0</v>
      </c>
      <c r="BN1212" s="80">
        <f>ROUND(BI1212-BM1212,6)</f>
        <v>0</v>
      </c>
      <c r="BO1212" s="80">
        <f>IF(BE1212=1,ROUND(AS1212/60,6),0)</f>
        <v>0</v>
      </c>
      <c r="BP1212" s="80">
        <f>ROUND(BJ1212-BO1212,6)</f>
        <v>0</v>
      </c>
      <c r="BQ1212" s="80">
        <f>IF(BE1212=1,AW1212,0)</f>
        <v>0</v>
      </c>
      <c r="BR1212" s="80">
        <f>IF(BE1212=1,AX1212,0)</f>
        <v>0</v>
      </c>
      <c r="BS1212" s="80">
        <f>IF(AND(BE1212=1,D1212="Malcolm",BA1212&gt;0),MIN(BH1212,SUMPRODUCT((R_Emp="proMX")*(R_EN&gt;0)*((R_EN-(R_EN&gt;BR1212)*(R_EN-BR1212))&gt;(R_SN+(R_SN&lt;BQ1212)*(BQ1212-R_SN)))*((R_EN-(R_EN&gt;BR1212)*(R_EN-BR1212))-(R_SN+(R_SN&lt;BQ1212)*(BQ1212-R_SN))))/60),0)</f>
        <v>0</v>
      </c>
      <c r="BT1212" s="80">
        <f>IF(AND(BE1212=1,D1212="proMX"),ROUND(BI1212*CFG_RATE+BJ1212*CFG_OTRATE,6),0)</f>
        <v>0</v>
      </c>
      <c r="BU1212" s="80">
        <f>IF(AND(BD1212=1,D1212="proMX"),ROUND(AG1212/CFG_BLK,6),0)</f>
        <v>0</v>
      </c>
      <c r="BV1212" s="80" t="str">
        <f>IF(BF1212="Approved",IF(ISNUMBER(T1212),INT(T1212),INT(B1212)),"")</f>
        <v/>
      </c>
      <c r="BW1212" s="80">
        <f>IF(ISNUMBER(B1212),IF(DB_MON="Todos",1,IF(AND(INT(B1212)&gt;=DB_MS,INT(B1212)&lt;=DB_ME),1,0)),0)</f>
        <v>0</v>
      </c>
      <c r="BX1212" s="80">
        <f>IF(DB_PROJ="Todos",1,IF(E1212&amp;""=DB_PROJ&amp;"",1,0))</f>
        <v>1</v>
      </c>
      <c r="BY1212" s="80">
        <f>BW1212*BX1212</f>
        <v>0</v>
      </c>
      <c r="BZ1212" s="80" t="str">
        <f>IF(Y1212=1,F1212&amp;IF(AND(F1212&amp;""&lt;&gt;"",E1212&amp;""&lt;&gt;"")," · ","")&amp;E1212,"")</f>
        <v/>
      </c>
      <c r="CA1212" s="80" t="str">
        <f>IF(AND(BD1212=1,E1212&amp;""&lt;&gt;""),IF(COUNTIFS($E$5:E1211,E1212,$BD$5:BD1211,1)=0,MAX($CA$5:CA1211)+1,""),"")</f>
        <v/>
      </c>
      <c r="CB1212" s="80" t="str">
        <f>IF(AND(BE1212=1,D1212="Malcolm",E1212&amp;""&lt;&gt;""),IF(COUNTIFS($D$5:D1211,"Malcolm",$E$5:E1211,E1212,$BE$5:BE1211,1)=0,MAX($CB$5:CB1211)+1,""),"")</f>
        <v/>
      </c>
      <c r="CC1212" s="80" t="str">
        <f>IF(AND(BD1212=1,D1212="proMX",E1212&amp;""&lt;&gt;""),IF(COUNTIFS($D$5:D1211,"proMX",$E$5:E1211,E1212,$BD$5:BD1211,1)=0,MAX($CC$5:CC1211)+1,""),"")</f>
        <v/>
      </c>
      <c r="CD1212" s="80" t="str">
        <f>IF(AND(BE1212=1,D1212="Malcolm",F1212&amp;""&lt;&gt;""),IF(COUNTIFS($D$5:D1211,"Malcolm",$F$5:F1211,F1212,$BE$5:BE1211,1)=0,MAX($CD$5:CD1211)+1,""),"")</f>
        <v/>
      </c>
      <c r="CE1212" s="80" t="str">
        <f>IF(AND(BD1212=1,D1212="proMX",F1212&amp;""&lt;&gt;""),IF(COUNTIFS($D$5:D1211,"proMX",$F$5:F1211,F1212,$BD$5:BD1211,1)=0,MAX($CE$5:CE1211)+1,""),"")</f>
        <v/>
      </c>
      <c r="CF1212" s="80" t="str">
        <f>IF(AND(D1212="proMX",BD1212=1),IF(OR(BF1212="Draft",BF1212="Submitted",BF1212="Returned",BF1212="Recall Requested"),MAX($CF$5:CF1211)+1,""),"")</f>
        <v/>
      </c>
      <c r="CG1212" s="80">
        <f>IF(BD1212=0,0,IF(D1212="Malcolm",1,MATCH(BF1212,{"Draft","Submitted","Approved","Returned","Recall Requested","Cancelled"},0)+1))</f>
        <v>0</v>
      </c>
      <c r="CH1212" s="80">
        <f>IF(AND(BF1212="Submitted",ISNUMBER(V1212)),IF(V1212&gt;CFG_MAXD,1,0),0)</f>
        <v>0</v>
      </c>
    </row>
    <row r="1213">
      <c r="A1213" s="71" t="str">
        <f>IF(Y1213=1,ROW()-5,"")</f>
        <v/>
      </c>
      <c r="B1213" s="72" t="n"/>
      <c r="C1213" s="71" t="str">
        <f>IF(ISNUMBER(B1213),CHOOSE(WEEKDAY(B1213,2),"Lun","Mar","Mié","Jue","Vie","Sáb","Dom"),"")</f>
        <v/>
      </c>
      <c r="D1213" s="73" t="n"/>
      <c r="E1213" s="74" t="n"/>
      <c r="F1213" s="74" t="n"/>
      <c r="G1213" s="74" t="n"/>
      <c r="H1213" s="75" t="n"/>
      <c r="I1213" s="75" t="n"/>
      <c r="J1213" s="76" t="n"/>
      <c r="K1213" s="77" t="str">
        <f>IF(AB1213=1,ROUND(AG1213/60,4),"")</f>
        <v/>
      </c>
      <c r="L1213" s="77" t="str">
        <f>IF(BD1213=1,ROUND(AP1213/60,4),"")</f>
        <v/>
      </c>
      <c r="M1213" s="77" t="str">
        <f>IF(BD1213=1,ROUND(AQ1213/60,4),"")</f>
        <v/>
      </c>
      <c r="N1213" s="71" t="str">
        <f>IF(AND(D1213="proMX",AB1213=1),ROUND(AG1213/CFG_BLK,2),"")</f>
        <v/>
      </c>
      <c r="O1213" s="77" t="str">
        <f>IF(D1213="proMX",IF(BD1213=1,ROUND(AG1213/60,4),0),"")</f>
        <v/>
      </c>
      <c r="P1213" s="78" t="str">
        <f>IF(Y1213=0,"",IF(BD1213=1,"OK",IF(D1213="proMX","Revisar bloques: ","Revisar: ")&amp;BC1213))</f>
        <v/>
      </c>
      <c r="Q1213" s="78" t="str">
        <f>IF(NOT(ISNUMBER(B1213)),"",IF(COUNTIFS(FER_F,INT(B1213))&gt;0,"Feriado"&amp;IF(AH1213=1," (laborable)"," (no laborable)"),IF(AH1213=1,"Laborable",IF(WEEKDAY(B1213,2)&gt;5,"Fin de semana","No laborable"))))</f>
        <v/>
      </c>
      <c r="R1213" s="73" t="n"/>
      <c r="S1213" s="72" t="n"/>
      <c r="T1213" s="72" t="n"/>
      <c r="U1213" s="74" t="n"/>
      <c r="V1213" s="79" t="str">
        <f>IF(AND(D1213="proMX",OR(R1213="Submitted",R1213="Recall Requested"),ISNUMBER(S1213)),CFG_TODAY-INT(S1213),"")</f>
        <v/>
      </c>
      <c r="W1213" s="78" t="str">
        <f>IF(BD1213=0,"",IF(BA1213&gt;0,"⚠ Se superpone con un registro de la otra empresa",IF(D1213="Malcolm",IF(COUNTA(R1213,S1213,T1213)&gt;0,"Estado/fechas proMX se ignoran en Malcolm",""),IF(BF1213="Cancelled","Cancelado: excluido de totales",IF(R1213="","Sin estado: se trata como Draft",IF(BF1213="Submitted",IF(ISNUMBER(V1213),IF(V1213&gt;CFG_MAXD,"⚠ "&amp;V1213&amp;" días en Submitted (máx. "&amp;CFG_MAXD&amp;")",""),"Falta fecha de envío"),IF(BF1213="Returned","⚠ Devuelto: corregir y reenviar",IF(BF1213="Recall Requested","Retirada solicitada: pendiente",IF(AND(BF1213="Approved",NOT(ISNUMBER(T1213))),"Falta fecha de aprobación",IF(AND(ISNUMBER(S1213),ISNUMBER(T1213),T1213&lt;S1213),"Aprobación anterior al envío","")))))))))</f>
        <v/>
      </c>
      <c r="Y1213" s="80">
        <f>IF(COUNTA(B1213,D1213,E1213,F1213,G1213,H1213,I1213,J1213,R1213,S1213,T1213)&gt;0,1,0)</f>
        <v>0</v>
      </c>
      <c r="Z1213" s="80" t="str">
        <f>IF(AND(ISNUMBER(H1213),H1213&gt;=0,H1213&lt;1),ROUND(H1213*1440,0),"")</f>
        <v/>
      </c>
      <c r="AA1213" s="80" t="str">
        <f>IF(AND(ISNUMBER(I1213),I1213&gt;=0,I1213&lt;1),ROUND(I1213*1440,0),"")</f>
        <v/>
      </c>
      <c r="AB1213" s="80">
        <f>IF(AND(ISNUMBER(B1213),D1213&lt;&gt;"",ISNUMBER(Z1213),ISNUMBER(AA1213)),IF(Z1213=AA1213,0,1),0)</f>
        <v>0</v>
      </c>
      <c r="AC1213" s="80">
        <f>IF(AB1213=1,IF(AA1213&lt;Z1213,1,0),0)</f>
        <v>0</v>
      </c>
      <c r="AD1213" s="80">
        <f>IF(AB1213=1,IF(AC1213=1,1440-Z1213+AA1213,AA1213-Z1213),0)</f>
        <v>0</v>
      </c>
      <c r="AE1213" s="80">
        <f>IF(J1213="",0,IF(ISNUMBER(J1213),J1213,-1))</f>
        <v>0</v>
      </c>
      <c r="AF1213" s="80">
        <f>MIN(MAX(0,AE1213),AD1213)</f>
        <v>0</v>
      </c>
      <c r="AG1213" s="80">
        <f>MAX(0,AD1213-MAX(0,AE1213))</f>
        <v>0</v>
      </c>
      <c r="AH1213" s="80">
        <f>IF(ISNUMBER(B1213),IF(AND(INDEX(CFG_WDAYS,WEEKDAY(INT(B1213),2))="Sí",IF(D1213="proMX",COUNTIFS(FER_F,INT(B1213),FER_NLP,"Sí"),COUNTIFS(FER_F,INT(B1213),FER_NLM,"Sí"))=0),1,0),0)</f>
        <v>0</v>
      </c>
      <c r="AI1213" s="80">
        <f>IF(AC1213=1,IF(AND(INDEX(CFG_WDAYS,WEEKDAY(INT(B1213)+1,2))="Sí",IF(D1213="proMX",COUNTIFS(FER_F,INT(B1213)+1,FER_NLP,"Sí"),COUNTIFS(FER_F,INT(B1213)+1,FER_NLM,"Sí"))=0),1,0),0)</f>
        <v>0</v>
      </c>
      <c r="AJ1213" s="80">
        <f>IF(AC1213=1,1440-Z1213,AD1213)</f>
        <v>0</v>
      </c>
      <c r="AK1213" s="80">
        <f>IF(AND(AB1213=1,AH1213=1),MAX(0,MIN(IF(AC1213=1,1440,AA1213),CFG_WEM)-MAX(Z1213,CFG_WSM)),0)</f>
        <v>0</v>
      </c>
      <c r="AL1213" s="80">
        <f>IF(AND(AC1213=1,AI1213=1),MAX(0,MIN(AA1213,CFG_WEM)-CFG_WSM),0)</f>
        <v>0</v>
      </c>
      <c r="AM1213" s="80">
        <f>AK1213+AL1213</f>
        <v>0</v>
      </c>
      <c r="AN1213" s="80">
        <f>IF(CFG_BRK="Proporcional",IF(AD1213=0,0,AF1213*AM1213/AD1213),IF(CFG_BRK="Extras primero",MIN(AM1213,MAX(0,AF1213-(AD1213-AM1213))),MIN(AF1213,AM1213)))</f>
        <v>0</v>
      </c>
      <c r="AO1213" s="80">
        <f>AF1213-AN1213</f>
        <v>0</v>
      </c>
      <c r="AP1213" s="80">
        <f>AM1213-AN1213</f>
        <v>0</v>
      </c>
      <c r="AQ1213" s="80">
        <f>AD1213-AM1213-AO1213</f>
        <v>0</v>
      </c>
      <c r="AR1213" s="80">
        <f>IF(AM1213=0,0,AK1213-AN1213*AK1213/AM1213)</f>
        <v>0</v>
      </c>
      <c r="AS1213" s="80">
        <f>IF(AD1213-AM1213=0,0,(AJ1213-AK1213)-AO1213*(AJ1213-AK1213)/(AD1213-AM1213))</f>
        <v>0</v>
      </c>
      <c r="AT1213" s="80" t="str">
        <f>IF(AC1213=1,INT(B1213)+1,"")</f>
        <v/>
      </c>
      <c r="AU1213" s="80">
        <f>IF(AND(D1213="proMX",R1213="Cancelled"),0,1)</f>
        <v>1</v>
      </c>
      <c r="AV1213" s="80">
        <f>IF(AND(AB1213=1,AU1213=1),IF(COUNTIFS($D$5:D1212,D1213,$B$5:B1212,B1213,$Z$5:Z1212,Z1213,$AA$5:AA1212,AA1213,$F$5:F1212,F1213&amp;"",$AU$5:AU1212,1)&gt;0,1,0),0)</f>
        <v>0</v>
      </c>
      <c r="AW1213" s="80" t="str">
        <f>IF(AB1213=1,INT(B1213)*1440+Z1213,"")</f>
        <v/>
      </c>
      <c r="AX1213" s="80" t="str">
        <f>IF(AB1213=1,AW1213+AD1213,"")</f>
        <v/>
      </c>
      <c r="AY1213" s="80">
        <f>IF(AND(AB1213=1,AV1213=0,AU1213=1),1,0)</f>
        <v>0</v>
      </c>
      <c r="AZ1213" s="80">
        <f>IF(AY1213=1,COUNTIFS(R_Emp,D1213,R_SAbs,"&lt;"&amp;AX1213,R_EAbs,"&gt;"&amp;AW1213,R_OKey,1)-1,0)</f>
        <v>0</v>
      </c>
      <c r="BA1213" s="80">
        <f>IF(AY1213=1,COUNTIFS(R_Emp,"&lt;&gt;"&amp;D1213,R_SAbs,"&lt;"&amp;AX1213,R_EAbs,"&gt;"&amp;AW1213,R_OKey,1),0)</f>
        <v>0</v>
      </c>
      <c r="BB1213" s="80">
        <f>IF(AND(AB1213=1,D1213="proMX"),IF(AND(MOD(Z1213,CFG_BLK)=0,MOD(AA1213,CFG_BLK)=0,MOD(AG1213,CFG_BLK)=0,AG1213&gt;0),1,0),1)</f>
        <v>1</v>
      </c>
      <c r="BC1213" s="80" t="str">
        <f>IF(Y1213=0,"",IF(NOT(ISNUMBER(B1213)),"Falta fecha o fecha inválida",IF(D1213="","Falta empresa",IF(AND(D1213&lt;&gt;"Malcolm",D1213&lt;&gt;"proMX"),"Empresa inválida",IF(OR(INT(B1213)&lt;CFG_PSTART,INT(B1213)&gt;CFG_PEND),"Fecha fuera del período",IF(OR(NOT(ISNUMBER(Z1213)),NOT(ISNUMBER(AA1213))),"Falta hora inicio/fin o formato inválido",IF(AB1213=0,"Hora inicio = hora fin",IF(AE1213&lt;0,"Descanso inválido",IF(AE1213&gt;=AD1213,"Descanso ≥ duración",IF(AV1213=1,"Registro duplicado",IF(AZ1213&gt;0,"Se superpone con otro registro "&amp;D1213,IF(BB1213=0,"inicio, fin y duración neta deben ser múltiplos de "&amp;CFG_BLK&amp;" min",""))))))))))))</f>
        <v/>
      </c>
      <c r="BD1213" s="80">
        <f>IF(AND(Y1213=1,BC1213=""),1,0)</f>
        <v>0</v>
      </c>
      <c r="BE1213" s="80">
        <f>IF(AND(BD1213=1,AU1213=1),1,0)</f>
        <v>0</v>
      </c>
      <c r="BF1213" s="80" t="str">
        <f>IF(AND(D1213="proMX",BD1213=1),IF(R1213="","Draft",R1213),"")</f>
        <v/>
      </c>
      <c r="BG1213" s="80">
        <f>IF(BD1213=1,ROUND(AG1213/60,6),0)</f>
        <v>0</v>
      </c>
      <c r="BH1213" s="80">
        <f>IF(BE1213=1,ROUND(AG1213/60,6),0)</f>
        <v>0</v>
      </c>
      <c r="BI1213" s="80">
        <f>IF(BE1213=1,ROUND(AP1213/60,6),0)</f>
        <v>0</v>
      </c>
      <c r="BJ1213" s="80">
        <f>IF(BE1213=1,ROUND(AQ1213/60,6),0)</f>
        <v>0</v>
      </c>
      <c r="BK1213" s="80">
        <f>IF(BE1213=1,ROUND((AR1213+AS1213)/60,6),0)</f>
        <v>0</v>
      </c>
      <c r="BL1213" s="80">
        <f>ROUND(BH1213-BK1213,6)</f>
        <v>0</v>
      </c>
      <c r="BM1213" s="80">
        <f>IF(BE1213=1,ROUND(AR1213/60,6),0)</f>
        <v>0</v>
      </c>
      <c r="BN1213" s="80">
        <f>ROUND(BI1213-BM1213,6)</f>
        <v>0</v>
      </c>
      <c r="BO1213" s="80">
        <f>IF(BE1213=1,ROUND(AS1213/60,6),0)</f>
        <v>0</v>
      </c>
      <c r="BP1213" s="80">
        <f>ROUND(BJ1213-BO1213,6)</f>
        <v>0</v>
      </c>
      <c r="BQ1213" s="80">
        <f>IF(BE1213=1,AW1213,0)</f>
        <v>0</v>
      </c>
      <c r="BR1213" s="80">
        <f>IF(BE1213=1,AX1213,0)</f>
        <v>0</v>
      </c>
      <c r="BS1213" s="80">
        <f>IF(AND(BE1213=1,D1213="Malcolm",BA1213&gt;0),MIN(BH1213,SUMPRODUCT((R_Emp="proMX")*(R_EN&gt;0)*((R_EN-(R_EN&gt;BR1213)*(R_EN-BR1213))&gt;(R_SN+(R_SN&lt;BQ1213)*(BQ1213-R_SN)))*((R_EN-(R_EN&gt;BR1213)*(R_EN-BR1213))-(R_SN+(R_SN&lt;BQ1213)*(BQ1213-R_SN))))/60),0)</f>
        <v>0</v>
      </c>
      <c r="BT1213" s="80">
        <f>IF(AND(BE1213=1,D1213="proMX"),ROUND(BI1213*CFG_RATE+BJ1213*CFG_OTRATE,6),0)</f>
        <v>0</v>
      </c>
      <c r="BU1213" s="80">
        <f>IF(AND(BD1213=1,D1213="proMX"),ROUND(AG1213/CFG_BLK,6),0)</f>
        <v>0</v>
      </c>
      <c r="BV1213" s="80" t="str">
        <f>IF(BF1213="Approved",IF(ISNUMBER(T1213),INT(T1213),INT(B1213)),"")</f>
        <v/>
      </c>
      <c r="BW1213" s="80">
        <f>IF(ISNUMBER(B1213),IF(DB_MON="Todos",1,IF(AND(INT(B1213)&gt;=DB_MS,INT(B1213)&lt;=DB_ME),1,0)),0)</f>
        <v>0</v>
      </c>
      <c r="BX1213" s="80">
        <f>IF(DB_PROJ="Todos",1,IF(E1213&amp;""=DB_PROJ&amp;"",1,0))</f>
        <v>1</v>
      </c>
      <c r="BY1213" s="80">
        <f>BW1213*BX1213</f>
        <v>0</v>
      </c>
      <c r="BZ1213" s="80" t="str">
        <f>IF(Y1213=1,F1213&amp;IF(AND(F1213&amp;""&lt;&gt;"",E1213&amp;""&lt;&gt;"")," · ","")&amp;E1213,"")</f>
        <v/>
      </c>
      <c r="CA1213" s="80" t="str">
        <f>IF(AND(BD1213=1,E1213&amp;""&lt;&gt;""),IF(COUNTIFS($E$5:E1212,E1213,$BD$5:BD1212,1)=0,MAX($CA$5:CA1212)+1,""),"")</f>
        <v/>
      </c>
      <c r="CB1213" s="80" t="str">
        <f>IF(AND(BE1213=1,D1213="Malcolm",E1213&amp;""&lt;&gt;""),IF(COUNTIFS($D$5:D1212,"Malcolm",$E$5:E1212,E1213,$BE$5:BE1212,1)=0,MAX($CB$5:CB1212)+1,""),"")</f>
        <v/>
      </c>
      <c r="CC1213" s="80" t="str">
        <f>IF(AND(BD1213=1,D1213="proMX",E1213&amp;""&lt;&gt;""),IF(COUNTIFS($D$5:D1212,"proMX",$E$5:E1212,E1213,$BD$5:BD1212,1)=0,MAX($CC$5:CC1212)+1,""),"")</f>
        <v/>
      </c>
      <c r="CD1213" s="80" t="str">
        <f>IF(AND(BE1213=1,D1213="Malcolm",F1213&amp;""&lt;&gt;""),IF(COUNTIFS($D$5:D1212,"Malcolm",$F$5:F1212,F1213,$BE$5:BE1212,1)=0,MAX($CD$5:CD1212)+1,""),"")</f>
        <v/>
      </c>
      <c r="CE1213" s="80" t="str">
        <f>IF(AND(BD1213=1,D1213="proMX",F1213&amp;""&lt;&gt;""),IF(COUNTIFS($D$5:D1212,"proMX",$F$5:F1212,F1213,$BD$5:BD1212,1)=0,MAX($CE$5:CE1212)+1,""),"")</f>
        <v/>
      </c>
      <c r="CF1213" s="80" t="str">
        <f>IF(AND(D1213="proMX",BD1213=1),IF(OR(BF1213="Draft",BF1213="Submitted",BF1213="Returned",BF1213="Recall Requested"),MAX($CF$5:CF1212)+1,""),"")</f>
        <v/>
      </c>
      <c r="CG1213" s="80">
        <f>IF(BD1213=0,0,IF(D1213="Malcolm",1,MATCH(BF1213,{"Draft","Submitted","Approved","Returned","Recall Requested","Cancelled"},0)+1))</f>
        <v>0</v>
      </c>
      <c r="CH1213" s="80">
        <f>IF(AND(BF1213="Submitted",ISNUMBER(V1213)),IF(V1213&gt;CFG_MAXD,1,0),0)</f>
        <v>0</v>
      </c>
    </row>
    <row r="1214">
      <c r="A1214" s="71" t="str">
        <f>IF(Y1214=1,ROW()-5,"")</f>
        <v/>
      </c>
      <c r="B1214" s="72" t="n"/>
      <c r="C1214" s="71" t="str">
        <f>IF(ISNUMBER(B1214),CHOOSE(WEEKDAY(B1214,2),"Lun","Mar","Mié","Jue","Vie","Sáb","Dom"),"")</f>
        <v/>
      </c>
      <c r="D1214" s="73" t="n"/>
      <c r="E1214" s="74" t="n"/>
      <c r="F1214" s="74" t="n"/>
      <c r="G1214" s="74" t="n"/>
      <c r="H1214" s="75" t="n"/>
      <c r="I1214" s="75" t="n"/>
      <c r="J1214" s="76" t="n"/>
      <c r="K1214" s="77" t="str">
        <f>IF(AB1214=1,ROUND(AG1214/60,4),"")</f>
        <v/>
      </c>
      <c r="L1214" s="77" t="str">
        <f>IF(BD1214=1,ROUND(AP1214/60,4),"")</f>
        <v/>
      </c>
      <c r="M1214" s="77" t="str">
        <f>IF(BD1214=1,ROUND(AQ1214/60,4),"")</f>
        <v/>
      </c>
      <c r="N1214" s="71" t="str">
        <f>IF(AND(D1214="proMX",AB1214=1),ROUND(AG1214/CFG_BLK,2),"")</f>
        <v/>
      </c>
      <c r="O1214" s="77" t="str">
        <f>IF(D1214="proMX",IF(BD1214=1,ROUND(AG1214/60,4),0),"")</f>
        <v/>
      </c>
      <c r="P1214" s="78" t="str">
        <f>IF(Y1214=0,"",IF(BD1214=1,"OK",IF(D1214="proMX","Revisar bloques: ","Revisar: ")&amp;BC1214))</f>
        <v/>
      </c>
      <c r="Q1214" s="78" t="str">
        <f>IF(NOT(ISNUMBER(B1214)),"",IF(COUNTIFS(FER_F,INT(B1214))&gt;0,"Feriado"&amp;IF(AH1214=1," (laborable)"," (no laborable)"),IF(AH1214=1,"Laborable",IF(WEEKDAY(B1214,2)&gt;5,"Fin de semana","No laborable"))))</f>
        <v/>
      </c>
      <c r="R1214" s="73" t="n"/>
      <c r="S1214" s="72" t="n"/>
      <c r="T1214" s="72" t="n"/>
      <c r="U1214" s="74" t="n"/>
      <c r="V1214" s="79" t="str">
        <f>IF(AND(D1214="proMX",OR(R1214="Submitted",R1214="Recall Requested"),ISNUMBER(S1214)),CFG_TODAY-INT(S1214),"")</f>
        <v/>
      </c>
      <c r="W1214" s="78" t="str">
        <f>IF(BD1214=0,"",IF(BA1214&gt;0,"⚠ Se superpone con un registro de la otra empresa",IF(D1214="Malcolm",IF(COUNTA(R1214,S1214,T1214)&gt;0,"Estado/fechas proMX se ignoran en Malcolm",""),IF(BF1214="Cancelled","Cancelado: excluido de totales",IF(R1214="","Sin estado: se trata como Draft",IF(BF1214="Submitted",IF(ISNUMBER(V1214),IF(V1214&gt;CFG_MAXD,"⚠ "&amp;V1214&amp;" días en Submitted (máx. "&amp;CFG_MAXD&amp;")",""),"Falta fecha de envío"),IF(BF1214="Returned","⚠ Devuelto: corregir y reenviar",IF(BF1214="Recall Requested","Retirada solicitada: pendiente",IF(AND(BF1214="Approved",NOT(ISNUMBER(T1214))),"Falta fecha de aprobación",IF(AND(ISNUMBER(S1214),ISNUMBER(T1214),T1214&lt;S1214),"Aprobación anterior al envío","")))))))))</f>
        <v/>
      </c>
      <c r="Y1214" s="80">
        <f>IF(COUNTA(B1214,D1214,E1214,F1214,G1214,H1214,I1214,J1214,R1214,S1214,T1214)&gt;0,1,0)</f>
        <v>0</v>
      </c>
      <c r="Z1214" s="80" t="str">
        <f>IF(AND(ISNUMBER(H1214),H1214&gt;=0,H1214&lt;1),ROUND(H1214*1440,0),"")</f>
        <v/>
      </c>
      <c r="AA1214" s="80" t="str">
        <f>IF(AND(ISNUMBER(I1214),I1214&gt;=0,I1214&lt;1),ROUND(I1214*1440,0),"")</f>
        <v/>
      </c>
      <c r="AB1214" s="80">
        <f>IF(AND(ISNUMBER(B1214),D1214&lt;&gt;"",ISNUMBER(Z1214),ISNUMBER(AA1214)),IF(Z1214=AA1214,0,1),0)</f>
        <v>0</v>
      </c>
      <c r="AC1214" s="80">
        <f>IF(AB1214=1,IF(AA1214&lt;Z1214,1,0),0)</f>
        <v>0</v>
      </c>
      <c r="AD1214" s="80">
        <f>IF(AB1214=1,IF(AC1214=1,1440-Z1214+AA1214,AA1214-Z1214),0)</f>
        <v>0</v>
      </c>
      <c r="AE1214" s="80">
        <f>IF(J1214="",0,IF(ISNUMBER(J1214),J1214,-1))</f>
        <v>0</v>
      </c>
      <c r="AF1214" s="80">
        <f>MIN(MAX(0,AE1214),AD1214)</f>
        <v>0</v>
      </c>
      <c r="AG1214" s="80">
        <f>MAX(0,AD1214-MAX(0,AE1214))</f>
        <v>0</v>
      </c>
      <c r="AH1214" s="80">
        <f>IF(ISNUMBER(B1214),IF(AND(INDEX(CFG_WDAYS,WEEKDAY(INT(B1214),2))="Sí",IF(D1214="proMX",COUNTIFS(FER_F,INT(B1214),FER_NLP,"Sí"),COUNTIFS(FER_F,INT(B1214),FER_NLM,"Sí"))=0),1,0),0)</f>
        <v>0</v>
      </c>
      <c r="AI1214" s="80">
        <f>IF(AC1214=1,IF(AND(INDEX(CFG_WDAYS,WEEKDAY(INT(B1214)+1,2))="Sí",IF(D1214="proMX",COUNTIFS(FER_F,INT(B1214)+1,FER_NLP,"Sí"),COUNTIFS(FER_F,INT(B1214)+1,FER_NLM,"Sí"))=0),1,0),0)</f>
        <v>0</v>
      </c>
      <c r="AJ1214" s="80">
        <f>IF(AC1214=1,1440-Z1214,AD1214)</f>
        <v>0</v>
      </c>
      <c r="AK1214" s="80">
        <f>IF(AND(AB1214=1,AH1214=1),MAX(0,MIN(IF(AC1214=1,1440,AA1214),CFG_WEM)-MAX(Z1214,CFG_WSM)),0)</f>
        <v>0</v>
      </c>
      <c r="AL1214" s="80">
        <f>IF(AND(AC1214=1,AI1214=1),MAX(0,MIN(AA1214,CFG_WEM)-CFG_WSM),0)</f>
        <v>0</v>
      </c>
      <c r="AM1214" s="80">
        <f>AK1214+AL1214</f>
        <v>0</v>
      </c>
      <c r="AN1214" s="80">
        <f>IF(CFG_BRK="Proporcional",IF(AD1214=0,0,AF1214*AM1214/AD1214),IF(CFG_BRK="Extras primero",MIN(AM1214,MAX(0,AF1214-(AD1214-AM1214))),MIN(AF1214,AM1214)))</f>
        <v>0</v>
      </c>
      <c r="AO1214" s="80">
        <f>AF1214-AN1214</f>
        <v>0</v>
      </c>
      <c r="AP1214" s="80">
        <f>AM1214-AN1214</f>
        <v>0</v>
      </c>
      <c r="AQ1214" s="80">
        <f>AD1214-AM1214-AO1214</f>
        <v>0</v>
      </c>
      <c r="AR1214" s="80">
        <f>IF(AM1214=0,0,AK1214-AN1214*AK1214/AM1214)</f>
        <v>0</v>
      </c>
      <c r="AS1214" s="80">
        <f>IF(AD1214-AM1214=0,0,(AJ1214-AK1214)-AO1214*(AJ1214-AK1214)/(AD1214-AM1214))</f>
        <v>0</v>
      </c>
      <c r="AT1214" s="80" t="str">
        <f>IF(AC1214=1,INT(B1214)+1,"")</f>
        <v/>
      </c>
      <c r="AU1214" s="80">
        <f>IF(AND(D1214="proMX",R1214="Cancelled"),0,1)</f>
        <v>1</v>
      </c>
      <c r="AV1214" s="80">
        <f>IF(AND(AB1214=1,AU1214=1),IF(COUNTIFS($D$5:D1213,D1214,$B$5:B1213,B1214,$Z$5:Z1213,Z1214,$AA$5:AA1213,AA1214,$F$5:F1213,F1214&amp;"",$AU$5:AU1213,1)&gt;0,1,0),0)</f>
        <v>0</v>
      </c>
      <c r="AW1214" s="80" t="str">
        <f>IF(AB1214=1,INT(B1214)*1440+Z1214,"")</f>
        <v/>
      </c>
      <c r="AX1214" s="80" t="str">
        <f>IF(AB1214=1,AW1214+AD1214,"")</f>
        <v/>
      </c>
      <c r="AY1214" s="80">
        <f>IF(AND(AB1214=1,AV1214=0,AU1214=1),1,0)</f>
        <v>0</v>
      </c>
      <c r="AZ1214" s="80">
        <f>IF(AY1214=1,COUNTIFS(R_Emp,D1214,R_SAbs,"&lt;"&amp;AX1214,R_EAbs,"&gt;"&amp;AW1214,R_OKey,1)-1,0)</f>
        <v>0</v>
      </c>
      <c r="BA1214" s="80">
        <f>IF(AY1214=1,COUNTIFS(R_Emp,"&lt;&gt;"&amp;D1214,R_SAbs,"&lt;"&amp;AX1214,R_EAbs,"&gt;"&amp;AW1214,R_OKey,1),0)</f>
        <v>0</v>
      </c>
      <c r="BB1214" s="80">
        <f>IF(AND(AB1214=1,D1214="proMX"),IF(AND(MOD(Z1214,CFG_BLK)=0,MOD(AA1214,CFG_BLK)=0,MOD(AG1214,CFG_BLK)=0,AG1214&gt;0),1,0),1)</f>
        <v>1</v>
      </c>
      <c r="BC1214" s="80" t="str">
        <f>IF(Y1214=0,"",IF(NOT(ISNUMBER(B1214)),"Falta fecha o fecha inválida",IF(D1214="","Falta empresa",IF(AND(D1214&lt;&gt;"Malcolm",D1214&lt;&gt;"proMX"),"Empresa inválida",IF(OR(INT(B1214)&lt;CFG_PSTART,INT(B1214)&gt;CFG_PEND),"Fecha fuera del período",IF(OR(NOT(ISNUMBER(Z1214)),NOT(ISNUMBER(AA1214))),"Falta hora inicio/fin o formato inválido",IF(AB1214=0,"Hora inicio = hora fin",IF(AE1214&lt;0,"Descanso inválido",IF(AE1214&gt;=AD1214,"Descanso ≥ duración",IF(AV1214=1,"Registro duplicado",IF(AZ1214&gt;0,"Se superpone con otro registro "&amp;D1214,IF(BB1214=0,"inicio, fin y duración neta deben ser múltiplos de "&amp;CFG_BLK&amp;" min",""))))))))))))</f>
        <v/>
      </c>
      <c r="BD1214" s="80">
        <f>IF(AND(Y1214=1,BC1214=""),1,0)</f>
        <v>0</v>
      </c>
      <c r="BE1214" s="80">
        <f>IF(AND(BD1214=1,AU1214=1),1,0)</f>
        <v>0</v>
      </c>
      <c r="BF1214" s="80" t="str">
        <f>IF(AND(D1214="proMX",BD1214=1),IF(R1214="","Draft",R1214),"")</f>
        <v/>
      </c>
      <c r="BG1214" s="80">
        <f>IF(BD1214=1,ROUND(AG1214/60,6),0)</f>
        <v>0</v>
      </c>
      <c r="BH1214" s="80">
        <f>IF(BE1214=1,ROUND(AG1214/60,6),0)</f>
        <v>0</v>
      </c>
      <c r="BI1214" s="80">
        <f>IF(BE1214=1,ROUND(AP1214/60,6),0)</f>
        <v>0</v>
      </c>
      <c r="BJ1214" s="80">
        <f>IF(BE1214=1,ROUND(AQ1214/60,6),0)</f>
        <v>0</v>
      </c>
      <c r="BK1214" s="80">
        <f>IF(BE1214=1,ROUND((AR1214+AS1214)/60,6),0)</f>
        <v>0</v>
      </c>
      <c r="BL1214" s="80">
        <f>ROUND(BH1214-BK1214,6)</f>
        <v>0</v>
      </c>
      <c r="BM1214" s="80">
        <f>IF(BE1214=1,ROUND(AR1214/60,6),0)</f>
        <v>0</v>
      </c>
      <c r="BN1214" s="80">
        <f>ROUND(BI1214-BM1214,6)</f>
        <v>0</v>
      </c>
      <c r="BO1214" s="80">
        <f>IF(BE1214=1,ROUND(AS1214/60,6),0)</f>
        <v>0</v>
      </c>
      <c r="BP1214" s="80">
        <f>ROUND(BJ1214-BO1214,6)</f>
        <v>0</v>
      </c>
      <c r="BQ1214" s="80">
        <f>IF(BE1214=1,AW1214,0)</f>
        <v>0</v>
      </c>
      <c r="BR1214" s="80">
        <f>IF(BE1214=1,AX1214,0)</f>
        <v>0</v>
      </c>
      <c r="BS1214" s="80">
        <f>IF(AND(BE1214=1,D1214="Malcolm",BA1214&gt;0),MIN(BH1214,SUMPRODUCT((R_Emp="proMX")*(R_EN&gt;0)*((R_EN-(R_EN&gt;BR1214)*(R_EN-BR1214))&gt;(R_SN+(R_SN&lt;BQ1214)*(BQ1214-R_SN)))*((R_EN-(R_EN&gt;BR1214)*(R_EN-BR1214))-(R_SN+(R_SN&lt;BQ1214)*(BQ1214-R_SN))))/60),0)</f>
        <v>0</v>
      </c>
      <c r="BT1214" s="80">
        <f>IF(AND(BE1214=1,D1214="proMX"),ROUND(BI1214*CFG_RATE+BJ1214*CFG_OTRATE,6),0)</f>
        <v>0</v>
      </c>
      <c r="BU1214" s="80">
        <f>IF(AND(BD1214=1,D1214="proMX"),ROUND(AG1214/CFG_BLK,6),0)</f>
        <v>0</v>
      </c>
      <c r="BV1214" s="80" t="str">
        <f>IF(BF1214="Approved",IF(ISNUMBER(T1214),INT(T1214),INT(B1214)),"")</f>
        <v/>
      </c>
      <c r="BW1214" s="80">
        <f>IF(ISNUMBER(B1214),IF(DB_MON="Todos",1,IF(AND(INT(B1214)&gt;=DB_MS,INT(B1214)&lt;=DB_ME),1,0)),0)</f>
        <v>0</v>
      </c>
      <c r="BX1214" s="80">
        <f>IF(DB_PROJ="Todos",1,IF(E1214&amp;""=DB_PROJ&amp;"",1,0))</f>
        <v>1</v>
      </c>
      <c r="BY1214" s="80">
        <f>BW1214*BX1214</f>
        <v>0</v>
      </c>
      <c r="BZ1214" s="80" t="str">
        <f>IF(Y1214=1,F1214&amp;IF(AND(F1214&amp;""&lt;&gt;"",E1214&amp;""&lt;&gt;"")," · ","")&amp;E1214,"")</f>
        <v/>
      </c>
      <c r="CA1214" s="80" t="str">
        <f>IF(AND(BD1214=1,E1214&amp;""&lt;&gt;""),IF(COUNTIFS($E$5:E1213,E1214,$BD$5:BD1213,1)=0,MAX($CA$5:CA1213)+1,""),"")</f>
        <v/>
      </c>
      <c r="CB1214" s="80" t="str">
        <f>IF(AND(BE1214=1,D1214="Malcolm",E1214&amp;""&lt;&gt;""),IF(COUNTIFS($D$5:D1213,"Malcolm",$E$5:E1213,E1214,$BE$5:BE1213,1)=0,MAX($CB$5:CB1213)+1,""),"")</f>
        <v/>
      </c>
      <c r="CC1214" s="80" t="str">
        <f>IF(AND(BD1214=1,D1214="proMX",E1214&amp;""&lt;&gt;""),IF(COUNTIFS($D$5:D1213,"proMX",$E$5:E1213,E1214,$BD$5:BD1213,1)=0,MAX($CC$5:CC1213)+1,""),"")</f>
        <v/>
      </c>
      <c r="CD1214" s="80" t="str">
        <f>IF(AND(BE1214=1,D1214="Malcolm",F1214&amp;""&lt;&gt;""),IF(COUNTIFS($D$5:D1213,"Malcolm",$F$5:F1213,F1214,$BE$5:BE1213,1)=0,MAX($CD$5:CD1213)+1,""),"")</f>
        <v/>
      </c>
      <c r="CE1214" s="80" t="str">
        <f>IF(AND(BD1214=1,D1214="proMX",F1214&amp;""&lt;&gt;""),IF(COUNTIFS($D$5:D1213,"proMX",$F$5:F1213,F1214,$BD$5:BD1213,1)=0,MAX($CE$5:CE1213)+1,""),"")</f>
        <v/>
      </c>
      <c r="CF1214" s="80" t="str">
        <f>IF(AND(D1214="proMX",BD1214=1),IF(OR(BF1214="Draft",BF1214="Submitted",BF1214="Returned",BF1214="Recall Requested"),MAX($CF$5:CF1213)+1,""),"")</f>
        <v/>
      </c>
      <c r="CG1214" s="80">
        <f>IF(BD1214=0,0,IF(D1214="Malcolm",1,MATCH(BF1214,{"Draft","Submitted","Approved","Returned","Recall Requested","Cancelled"},0)+1))</f>
        <v>0</v>
      </c>
      <c r="CH1214" s="80">
        <f>IF(AND(BF1214="Submitted",ISNUMBER(V1214)),IF(V1214&gt;CFG_MAXD,1,0),0)</f>
        <v>0</v>
      </c>
    </row>
    <row r="1215">
      <c r="A1215" s="71" t="str">
        <f>IF(Y1215=1,ROW()-5,"")</f>
        <v/>
      </c>
      <c r="B1215" s="72" t="n"/>
      <c r="C1215" s="71" t="str">
        <f>IF(ISNUMBER(B1215),CHOOSE(WEEKDAY(B1215,2),"Lun","Mar","Mié","Jue","Vie","Sáb","Dom"),"")</f>
        <v/>
      </c>
      <c r="D1215" s="73" t="n"/>
      <c r="E1215" s="74" t="n"/>
      <c r="F1215" s="74" t="n"/>
      <c r="G1215" s="74" t="n"/>
      <c r="H1215" s="75" t="n"/>
      <c r="I1215" s="75" t="n"/>
      <c r="J1215" s="76" t="n"/>
      <c r="K1215" s="77" t="str">
        <f>IF(AB1215=1,ROUND(AG1215/60,4),"")</f>
        <v/>
      </c>
      <c r="L1215" s="77" t="str">
        <f>IF(BD1215=1,ROUND(AP1215/60,4),"")</f>
        <v/>
      </c>
      <c r="M1215" s="77" t="str">
        <f>IF(BD1215=1,ROUND(AQ1215/60,4),"")</f>
        <v/>
      </c>
      <c r="N1215" s="71" t="str">
        <f>IF(AND(D1215="proMX",AB1215=1),ROUND(AG1215/CFG_BLK,2),"")</f>
        <v/>
      </c>
      <c r="O1215" s="77" t="str">
        <f>IF(D1215="proMX",IF(BD1215=1,ROUND(AG1215/60,4),0),"")</f>
        <v/>
      </c>
      <c r="P1215" s="78" t="str">
        <f>IF(Y1215=0,"",IF(BD1215=1,"OK",IF(D1215="proMX","Revisar bloques: ","Revisar: ")&amp;BC1215))</f>
        <v/>
      </c>
      <c r="Q1215" s="78" t="str">
        <f>IF(NOT(ISNUMBER(B1215)),"",IF(COUNTIFS(FER_F,INT(B1215))&gt;0,"Feriado"&amp;IF(AH1215=1," (laborable)"," (no laborable)"),IF(AH1215=1,"Laborable",IF(WEEKDAY(B1215,2)&gt;5,"Fin de semana","No laborable"))))</f>
        <v/>
      </c>
      <c r="R1215" s="73" t="n"/>
      <c r="S1215" s="72" t="n"/>
      <c r="T1215" s="72" t="n"/>
      <c r="U1215" s="74" t="n"/>
      <c r="V1215" s="79" t="str">
        <f>IF(AND(D1215="proMX",OR(R1215="Submitted",R1215="Recall Requested"),ISNUMBER(S1215)),CFG_TODAY-INT(S1215),"")</f>
        <v/>
      </c>
      <c r="W1215" s="78" t="str">
        <f>IF(BD1215=0,"",IF(BA1215&gt;0,"⚠ Se superpone con un registro de la otra empresa",IF(D1215="Malcolm",IF(COUNTA(R1215,S1215,T1215)&gt;0,"Estado/fechas proMX se ignoran en Malcolm",""),IF(BF1215="Cancelled","Cancelado: excluido de totales",IF(R1215="","Sin estado: se trata como Draft",IF(BF1215="Submitted",IF(ISNUMBER(V1215),IF(V1215&gt;CFG_MAXD,"⚠ "&amp;V1215&amp;" días en Submitted (máx. "&amp;CFG_MAXD&amp;")",""),"Falta fecha de envío"),IF(BF1215="Returned","⚠ Devuelto: corregir y reenviar",IF(BF1215="Recall Requested","Retirada solicitada: pendiente",IF(AND(BF1215="Approved",NOT(ISNUMBER(T1215))),"Falta fecha de aprobación",IF(AND(ISNUMBER(S1215),ISNUMBER(T1215),T1215&lt;S1215),"Aprobación anterior al envío","")))))))))</f>
        <v/>
      </c>
      <c r="Y1215" s="80">
        <f>IF(COUNTA(B1215,D1215,E1215,F1215,G1215,H1215,I1215,J1215,R1215,S1215,T1215)&gt;0,1,0)</f>
        <v>0</v>
      </c>
      <c r="Z1215" s="80" t="str">
        <f>IF(AND(ISNUMBER(H1215),H1215&gt;=0,H1215&lt;1),ROUND(H1215*1440,0),"")</f>
        <v/>
      </c>
      <c r="AA1215" s="80" t="str">
        <f>IF(AND(ISNUMBER(I1215),I1215&gt;=0,I1215&lt;1),ROUND(I1215*1440,0),"")</f>
        <v/>
      </c>
      <c r="AB1215" s="80">
        <f>IF(AND(ISNUMBER(B1215),D1215&lt;&gt;"",ISNUMBER(Z1215),ISNUMBER(AA1215)),IF(Z1215=AA1215,0,1),0)</f>
        <v>0</v>
      </c>
      <c r="AC1215" s="80">
        <f>IF(AB1215=1,IF(AA1215&lt;Z1215,1,0),0)</f>
        <v>0</v>
      </c>
      <c r="AD1215" s="80">
        <f>IF(AB1215=1,IF(AC1215=1,1440-Z1215+AA1215,AA1215-Z1215),0)</f>
        <v>0</v>
      </c>
      <c r="AE1215" s="80">
        <f>IF(J1215="",0,IF(ISNUMBER(J1215),J1215,-1))</f>
        <v>0</v>
      </c>
      <c r="AF1215" s="80">
        <f>MIN(MAX(0,AE1215),AD1215)</f>
        <v>0</v>
      </c>
      <c r="AG1215" s="80">
        <f>MAX(0,AD1215-MAX(0,AE1215))</f>
        <v>0</v>
      </c>
      <c r="AH1215" s="80">
        <f>IF(ISNUMBER(B1215),IF(AND(INDEX(CFG_WDAYS,WEEKDAY(INT(B1215),2))="Sí",IF(D1215="proMX",COUNTIFS(FER_F,INT(B1215),FER_NLP,"Sí"),COUNTIFS(FER_F,INT(B1215),FER_NLM,"Sí"))=0),1,0),0)</f>
        <v>0</v>
      </c>
      <c r="AI1215" s="80">
        <f>IF(AC1215=1,IF(AND(INDEX(CFG_WDAYS,WEEKDAY(INT(B1215)+1,2))="Sí",IF(D1215="proMX",COUNTIFS(FER_F,INT(B1215)+1,FER_NLP,"Sí"),COUNTIFS(FER_F,INT(B1215)+1,FER_NLM,"Sí"))=0),1,0),0)</f>
        <v>0</v>
      </c>
      <c r="AJ1215" s="80">
        <f>IF(AC1215=1,1440-Z1215,AD1215)</f>
        <v>0</v>
      </c>
      <c r="AK1215" s="80">
        <f>IF(AND(AB1215=1,AH1215=1),MAX(0,MIN(IF(AC1215=1,1440,AA1215),CFG_WEM)-MAX(Z1215,CFG_WSM)),0)</f>
        <v>0</v>
      </c>
      <c r="AL1215" s="80">
        <f>IF(AND(AC1215=1,AI1215=1),MAX(0,MIN(AA1215,CFG_WEM)-CFG_WSM),0)</f>
        <v>0</v>
      </c>
      <c r="AM1215" s="80">
        <f>AK1215+AL1215</f>
        <v>0</v>
      </c>
      <c r="AN1215" s="80">
        <f>IF(CFG_BRK="Proporcional",IF(AD1215=0,0,AF1215*AM1215/AD1215),IF(CFG_BRK="Extras primero",MIN(AM1215,MAX(0,AF1215-(AD1215-AM1215))),MIN(AF1215,AM1215)))</f>
        <v>0</v>
      </c>
      <c r="AO1215" s="80">
        <f>AF1215-AN1215</f>
        <v>0</v>
      </c>
      <c r="AP1215" s="80">
        <f>AM1215-AN1215</f>
        <v>0</v>
      </c>
      <c r="AQ1215" s="80">
        <f>AD1215-AM1215-AO1215</f>
        <v>0</v>
      </c>
      <c r="AR1215" s="80">
        <f>IF(AM1215=0,0,AK1215-AN1215*AK1215/AM1215)</f>
        <v>0</v>
      </c>
      <c r="AS1215" s="80">
        <f>IF(AD1215-AM1215=0,0,(AJ1215-AK1215)-AO1215*(AJ1215-AK1215)/(AD1215-AM1215))</f>
        <v>0</v>
      </c>
      <c r="AT1215" s="80" t="str">
        <f>IF(AC1215=1,INT(B1215)+1,"")</f>
        <v/>
      </c>
      <c r="AU1215" s="80">
        <f>IF(AND(D1215="proMX",R1215="Cancelled"),0,1)</f>
        <v>1</v>
      </c>
      <c r="AV1215" s="80">
        <f>IF(AND(AB1215=1,AU1215=1),IF(COUNTIFS($D$5:D1214,D1215,$B$5:B1214,B1215,$Z$5:Z1214,Z1215,$AA$5:AA1214,AA1215,$F$5:F1214,F1215&amp;"",$AU$5:AU1214,1)&gt;0,1,0),0)</f>
        <v>0</v>
      </c>
      <c r="AW1215" s="80" t="str">
        <f>IF(AB1215=1,INT(B1215)*1440+Z1215,"")</f>
        <v/>
      </c>
      <c r="AX1215" s="80" t="str">
        <f>IF(AB1215=1,AW1215+AD1215,"")</f>
        <v/>
      </c>
      <c r="AY1215" s="80">
        <f>IF(AND(AB1215=1,AV1215=0,AU1215=1),1,0)</f>
        <v>0</v>
      </c>
      <c r="AZ1215" s="80">
        <f>IF(AY1215=1,COUNTIFS(R_Emp,D1215,R_SAbs,"&lt;"&amp;AX1215,R_EAbs,"&gt;"&amp;AW1215,R_OKey,1)-1,0)</f>
        <v>0</v>
      </c>
      <c r="BA1215" s="80">
        <f>IF(AY1215=1,COUNTIFS(R_Emp,"&lt;&gt;"&amp;D1215,R_SAbs,"&lt;"&amp;AX1215,R_EAbs,"&gt;"&amp;AW1215,R_OKey,1),0)</f>
        <v>0</v>
      </c>
      <c r="BB1215" s="80">
        <f>IF(AND(AB1215=1,D1215="proMX"),IF(AND(MOD(Z1215,CFG_BLK)=0,MOD(AA1215,CFG_BLK)=0,MOD(AG1215,CFG_BLK)=0,AG1215&gt;0),1,0),1)</f>
        <v>1</v>
      </c>
      <c r="BC1215" s="80" t="str">
        <f>IF(Y1215=0,"",IF(NOT(ISNUMBER(B1215)),"Falta fecha o fecha inválida",IF(D1215="","Falta empresa",IF(AND(D1215&lt;&gt;"Malcolm",D1215&lt;&gt;"proMX"),"Empresa inválida",IF(OR(INT(B1215)&lt;CFG_PSTART,INT(B1215)&gt;CFG_PEND),"Fecha fuera del período",IF(OR(NOT(ISNUMBER(Z1215)),NOT(ISNUMBER(AA1215))),"Falta hora inicio/fin o formato inválido",IF(AB1215=0,"Hora inicio = hora fin",IF(AE1215&lt;0,"Descanso inválido",IF(AE1215&gt;=AD1215,"Descanso ≥ duración",IF(AV1215=1,"Registro duplicado",IF(AZ1215&gt;0,"Se superpone con otro registro "&amp;D1215,IF(BB1215=0,"inicio, fin y duración neta deben ser múltiplos de "&amp;CFG_BLK&amp;" min",""))))))))))))</f>
        <v/>
      </c>
      <c r="BD1215" s="80">
        <f>IF(AND(Y1215=1,BC1215=""),1,0)</f>
        <v>0</v>
      </c>
      <c r="BE1215" s="80">
        <f>IF(AND(BD1215=1,AU1215=1),1,0)</f>
        <v>0</v>
      </c>
      <c r="BF1215" s="80" t="str">
        <f>IF(AND(D1215="proMX",BD1215=1),IF(R1215="","Draft",R1215),"")</f>
        <v/>
      </c>
      <c r="BG1215" s="80">
        <f>IF(BD1215=1,ROUND(AG1215/60,6),0)</f>
        <v>0</v>
      </c>
      <c r="BH1215" s="80">
        <f>IF(BE1215=1,ROUND(AG1215/60,6),0)</f>
        <v>0</v>
      </c>
      <c r="BI1215" s="80">
        <f>IF(BE1215=1,ROUND(AP1215/60,6),0)</f>
        <v>0</v>
      </c>
      <c r="BJ1215" s="80">
        <f>IF(BE1215=1,ROUND(AQ1215/60,6),0)</f>
        <v>0</v>
      </c>
      <c r="BK1215" s="80">
        <f>IF(BE1215=1,ROUND((AR1215+AS1215)/60,6),0)</f>
        <v>0</v>
      </c>
      <c r="BL1215" s="80">
        <f>ROUND(BH1215-BK1215,6)</f>
        <v>0</v>
      </c>
      <c r="BM1215" s="80">
        <f>IF(BE1215=1,ROUND(AR1215/60,6),0)</f>
        <v>0</v>
      </c>
      <c r="BN1215" s="80">
        <f>ROUND(BI1215-BM1215,6)</f>
        <v>0</v>
      </c>
      <c r="BO1215" s="80">
        <f>IF(BE1215=1,ROUND(AS1215/60,6),0)</f>
        <v>0</v>
      </c>
      <c r="BP1215" s="80">
        <f>ROUND(BJ1215-BO1215,6)</f>
        <v>0</v>
      </c>
      <c r="BQ1215" s="80">
        <f>IF(BE1215=1,AW1215,0)</f>
        <v>0</v>
      </c>
      <c r="BR1215" s="80">
        <f>IF(BE1215=1,AX1215,0)</f>
        <v>0</v>
      </c>
      <c r="BS1215" s="80">
        <f>IF(AND(BE1215=1,D1215="Malcolm",BA1215&gt;0),MIN(BH1215,SUMPRODUCT((R_Emp="proMX")*(R_EN&gt;0)*((R_EN-(R_EN&gt;BR1215)*(R_EN-BR1215))&gt;(R_SN+(R_SN&lt;BQ1215)*(BQ1215-R_SN)))*((R_EN-(R_EN&gt;BR1215)*(R_EN-BR1215))-(R_SN+(R_SN&lt;BQ1215)*(BQ1215-R_SN))))/60),0)</f>
        <v>0</v>
      </c>
      <c r="BT1215" s="80">
        <f>IF(AND(BE1215=1,D1215="proMX"),ROUND(BI1215*CFG_RATE+BJ1215*CFG_OTRATE,6),0)</f>
        <v>0</v>
      </c>
      <c r="BU1215" s="80">
        <f>IF(AND(BD1215=1,D1215="proMX"),ROUND(AG1215/CFG_BLK,6),0)</f>
        <v>0</v>
      </c>
      <c r="BV1215" s="80" t="str">
        <f>IF(BF1215="Approved",IF(ISNUMBER(T1215),INT(T1215),INT(B1215)),"")</f>
        <v/>
      </c>
      <c r="BW1215" s="80">
        <f>IF(ISNUMBER(B1215),IF(DB_MON="Todos",1,IF(AND(INT(B1215)&gt;=DB_MS,INT(B1215)&lt;=DB_ME),1,0)),0)</f>
        <v>0</v>
      </c>
      <c r="BX1215" s="80">
        <f>IF(DB_PROJ="Todos",1,IF(E1215&amp;""=DB_PROJ&amp;"",1,0))</f>
        <v>1</v>
      </c>
      <c r="BY1215" s="80">
        <f>BW1215*BX1215</f>
        <v>0</v>
      </c>
      <c r="BZ1215" s="80" t="str">
        <f>IF(Y1215=1,F1215&amp;IF(AND(F1215&amp;""&lt;&gt;"",E1215&amp;""&lt;&gt;"")," · ","")&amp;E1215,"")</f>
        <v/>
      </c>
      <c r="CA1215" s="80" t="str">
        <f>IF(AND(BD1215=1,E1215&amp;""&lt;&gt;""),IF(COUNTIFS($E$5:E1214,E1215,$BD$5:BD1214,1)=0,MAX($CA$5:CA1214)+1,""),"")</f>
        <v/>
      </c>
      <c r="CB1215" s="80" t="str">
        <f>IF(AND(BE1215=1,D1215="Malcolm",E1215&amp;""&lt;&gt;""),IF(COUNTIFS($D$5:D1214,"Malcolm",$E$5:E1214,E1215,$BE$5:BE1214,1)=0,MAX($CB$5:CB1214)+1,""),"")</f>
        <v/>
      </c>
      <c r="CC1215" s="80" t="str">
        <f>IF(AND(BD1215=1,D1215="proMX",E1215&amp;""&lt;&gt;""),IF(COUNTIFS($D$5:D1214,"proMX",$E$5:E1214,E1215,$BD$5:BD1214,1)=0,MAX($CC$5:CC1214)+1,""),"")</f>
        <v/>
      </c>
      <c r="CD1215" s="80" t="str">
        <f>IF(AND(BE1215=1,D1215="Malcolm",F1215&amp;""&lt;&gt;""),IF(COUNTIFS($D$5:D1214,"Malcolm",$F$5:F1214,F1215,$BE$5:BE1214,1)=0,MAX($CD$5:CD1214)+1,""),"")</f>
        <v/>
      </c>
      <c r="CE1215" s="80" t="str">
        <f>IF(AND(BD1215=1,D1215="proMX",F1215&amp;""&lt;&gt;""),IF(COUNTIFS($D$5:D1214,"proMX",$F$5:F1214,F1215,$BD$5:BD1214,1)=0,MAX($CE$5:CE1214)+1,""),"")</f>
        <v/>
      </c>
      <c r="CF1215" s="80" t="str">
        <f>IF(AND(D1215="proMX",BD1215=1),IF(OR(BF1215="Draft",BF1215="Submitted",BF1215="Returned",BF1215="Recall Requested"),MAX($CF$5:CF1214)+1,""),"")</f>
        <v/>
      </c>
      <c r="CG1215" s="80">
        <f>IF(BD1215=0,0,IF(D1215="Malcolm",1,MATCH(BF1215,{"Draft","Submitted","Approved","Returned","Recall Requested","Cancelled"},0)+1))</f>
        <v>0</v>
      </c>
      <c r="CH1215" s="80">
        <f>IF(AND(BF1215="Submitted",ISNUMBER(V1215)),IF(V1215&gt;CFG_MAXD,1,0),0)</f>
        <v>0</v>
      </c>
    </row>
    <row r="1216">
      <c r="A1216" s="71" t="str">
        <f>IF(Y1216=1,ROW()-5,"")</f>
        <v/>
      </c>
      <c r="B1216" s="72" t="n"/>
      <c r="C1216" s="71" t="str">
        <f>IF(ISNUMBER(B1216),CHOOSE(WEEKDAY(B1216,2),"Lun","Mar","Mié","Jue","Vie","Sáb","Dom"),"")</f>
        <v/>
      </c>
      <c r="D1216" s="73" t="n"/>
      <c r="E1216" s="74" t="n"/>
      <c r="F1216" s="74" t="n"/>
      <c r="G1216" s="74" t="n"/>
      <c r="H1216" s="75" t="n"/>
      <c r="I1216" s="75" t="n"/>
      <c r="J1216" s="76" t="n"/>
      <c r="K1216" s="77" t="str">
        <f>IF(AB1216=1,ROUND(AG1216/60,4),"")</f>
        <v/>
      </c>
      <c r="L1216" s="77" t="str">
        <f>IF(BD1216=1,ROUND(AP1216/60,4),"")</f>
        <v/>
      </c>
      <c r="M1216" s="77" t="str">
        <f>IF(BD1216=1,ROUND(AQ1216/60,4),"")</f>
        <v/>
      </c>
      <c r="N1216" s="71" t="str">
        <f>IF(AND(D1216="proMX",AB1216=1),ROUND(AG1216/CFG_BLK,2),"")</f>
        <v/>
      </c>
      <c r="O1216" s="77" t="str">
        <f>IF(D1216="proMX",IF(BD1216=1,ROUND(AG1216/60,4),0),"")</f>
        <v/>
      </c>
      <c r="P1216" s="78" t="str">
        <f>IF(Y1216=0,"",IF(BD1216=1,"OK",IF(D1216="proMX","Revisar bloques: ","Revisar: ")&amp;BC1216))</f>
        <v/>
      </c>
      <c r="Q1216" s="78" t="str">
        <f>IF(NOT(ISNUMBER(B1216)),"",IF(COUNTIFS(FER_F,INT(B1216))&gt;0,"Feriado"&amp;IF(AH1216=1," (laborable)"," (no laborable)"),IF(AH1216=1,"Laborable",IF(WEEKDAY(B1216,2)&gt;5,"Fin de semana","No laborable"))))</f>
        <v/>
      </c>
      <c r="R1216" s="73" t="n"/>
      <c r="S1216" s="72" t="n"/>
      <c r="T1216" s="72" t="n"/>
      <c r="U1216" s="74" t="n"/>
      <c r="V1216" s="79" t="str">
        <f>IF(AND(D1216="proMX",OR(R1216="Submitted",R1216="Recall Requested"),ISNUMBER(S1216)),CFG_TODAY-INT(S1216),"")</f>
        <v/>
      </c>
      <c r="W1216" s="78" t="str">
        <f>IF(BD1216=0,"",IF(BA1216&gt;0,"⚠ Se superpone con un registro de la otra empresa",IF(D1216="Malcolm",IF(COUNTA(R1216,S1216,T1216)&gt;0,"Estado/fechas proMX se ignoran en Malcolm",""),IF(BF1216="Cancelled","Cancelado: excluido de totales",IF(R1216="","Sin estado: se trata como Draft",IF(BF1216="Submitted",IF(ISNUMBER(V1216),IF(V1216&gt;CFG_MAXD,"⚠ "&amp;V1216&amp;" días en Submitted (máx. "&amp;CFG_MAXD&amp;")",""),"Falta fecha de envío"),IF(BF1216="Returned","⚠ Devuelto: corregir y reenviar",IF(BF1216="Recall Requested","Retirada solicitada: pendiente",IF(AND(BF1216="Approved",NOT(ISNUMBER(T1216))),"Falta fecha de aprobación",IF(AND(ISNUMBER(S1216),ISNUMBER(T1216),T1216&lt;S1216),"Aprobación anterior al envío","")))))))))</f>
        <v/>
      </c>
      <c r="Y1216" s="80">
        <f>IF(COUNTA(B1216,D1216,E1216,F1216,G1216,H1216,I1216,J1216,R1216,S1216,T1216)&gt;0,1,0)</f>
        <v>0</v>
      </c>
      <c r="Z1216" s="80" t="str">
        <f>IF(AND(ISNUMBER(H1216),H1216&gt;=0,H1216&lt;1),ROUND(H1216*1440,0),"")</f>
        <v/>
      </c>
      <c r="AA1216" s="80" t="str">
        <f>IF(AND(ISNUMBER(I1216),I1216&gt;=0,I1216&lt;1),ROUND(I1216*1440,0),"")</f>
        <v/>
      </c>
      <c r="AB1216" s="80">
        <f>IF(AND(ISNUMBER(B1216),D1216&lt;&gt;"",ISNUMBER(Z1216),ISNUMBER(AA1216)),IF(Z1216=AA1216,0,1),0)</f>
        <v>0</v>
      </c>
      <c r="AC1216" s="80">
        <f>IF(AB1216=1,IF(AA1216&lt;Z1216,1,0),0)</f>
        <v>0</v>
      </c>
      <c r="AD1216" s="80">
        <f>IF(AB1216=1,IF(AC1216=1,1440-Z1216+AA1216,AA1216-Z1216),0)</f>
        <v>0</v>
      </c>
      <c r="AE1216" s="80">
        <f>IF(J1216="",0,IF(ISNUMBER(J1216),J1216,-1))</f>
        <v>0</v>
      </c>
      <c r="AF1216" s="80">
        <f>MIN(MAX(0,AE1216),AD1216)</f>
        <v>0</v>
      </c>
      <c r="AG1216" s="80">
        <f>MAX(0,AD1216-MAX(0,AE1216))</f>
        <v>0</v>
      </c>
      <c r="AH1216" s="80">
        <f>IF(ISNUMBER(B1216),IF(AND(INDEX(CFG_WDAYS,WEEKDAY(INT(B1216),2))="Sí",IF(D1216="proMX",COUNTIFS(FER_F,INT(B1216),FER_NLP,"Sí"),COUNTIFS(FER_F,INT(B1216),FER_NLM,"Sí"))=0),1,0),0)</f>
        <v>0</v>
      </c>
      <c r="AI1216" s="80">
        <f>IF(AC1216=1,IF(AND(INDEX(CFG_WDAYS,WEEKDAY(INT(B1216)+1,2))="Sí",IF(D1216="proMX",COUNTIFS(FER_F,INT(B1216)+1,FER_NLP,"Sí"),COUNTIFS(FER_F,INT(B1216)+1,FER_NLM,"Sí"))=0),1,0),0)</f>
        <v>0</v>
      </c>
      <c r="AJ1216" s="80">
        <f>IF(AC1216=1,1440-Z1216,AD1216)</f>
        <v>0</v>
      </c>
      <c r="AK1216" s="80">
        <f>IF(AND(AB1216=1,AH1216=1),MAX(0,MIN(IF(AC1216=1,1440,AA1216),CFG_WEM)-MAX(Z1216,CFG_WSM)),0)</f>
        <v>0</v>
      </c>
      <c r="AL1216" s="80">
        <f>IF(AND(AC1216=1,AI1216=1),MAX(0,MIN(AA1216,CFG_WEM)-CFG_WSM),0)</f>
        <v>0</v>
      </c>
      <c r="AM1216" s="80">
        <f>AK1216+AL1216</f>
        <v>0</v>
      </c>
      <c r="AN1216" s="80">
        <f>IF(CFG_BRK="Proporcional",IF(AD1216=0,0,AF1216*AM1216/AD1216),IF(CFG_BRK="Extras primero",MIN(AM1216,MAX(0,AF1216-(AD1216-AM1216))),MIN(AF1216,AM1216)))</f>
        <v>0</v>
      </c>
      <c r="AO1216" s="80">
        <f>AF1216-AN1216</f>
        <v>0</v>
      </c>
      <c r="AP1216" s="80">
        <f>AM1216-AN1216</f>
        <v>0</v>
      </c>
      <c r="AQ1216" s="80">
        <f>AD1216-AM1216-AO1216</f>
        <v>0</v>
      </c>
      <c r="AR1216" s="80">
        <f>IF(AM1216=0,0,AK1216-AN1216*AK1216/AM1216)</f>
        <v>0</v>
      </c>
      <c r="AS1216" s="80">
        <f>IF(AD1216-AM1216=0,0,(AJ1216-AK1216)-AO1216*(AJ1216-AK1216)/(AD1216-AM1216))</f>
        <v>0</v>
      </c>
      <c r="AT1216" s="80" t="str">
        <f>IF(AC1216=1,INT(B1216)+1,"")</f>
        <v/>
      </c>
      <c r="AU1216" s="80">
        <f>IF(AND(D1216="proMX",R1216="Cancelled"),0,1)</f>
        <v>1</v>
      </c>
      <c r="AV1216" s="80">
        <f>IF(AND(AB1216=1,AU1216=1),IF(COUNTIFS($D$5:D1215,D1216,$B$5:B1215,B1216,$Z$5:Z1215,Z1216,$AA$5:AA1215,AA1216,$F$5:F1215,F1216&amp;"",$AU$5:AU1215,1)&gt;0,1,0),0)</f>
        <v>0</v>
      </c>
      <c r="AW1216" s="80" t="str">
        <f>IF(AB1216=1,INT(B1216)*1440+Z1216,"")</f>
        <v/>
      </c>
      <c r="AX1216" s="80" t="str">
        <f>IF(AB1216=1,AW1216+AD1216,"")</f>
        <v/>
      </c>
      <c r="AY1216" s="80">
        <f>IF(AND(AB1216=1,AV1216=0,AU1216=1),1,0)</f>
        <v>0</v>
      </c>
      <c r="AZ1216" s="80">
        <f>IF(AY1216=1,COUNTIFS(R_Emp,D1216,R_SAbs,"&lt;"&amp;AX1216,R_EAbs,"&gt;"&amp;AW1216,R_OKey,1)-1,0)</f>
        <v>0</v>
      </c>
      <c r="BA1216" s="80">
        <f>IF(AY1216=1,COUNTIFS(R_Emp,"&lt;&gt;"&amp;D1216,R_SAbs,"&lt;"&amp;AX1216,R_EAbs,"&gt;"&amp;AW1216,R_OKey,1),0)</f>
        <v>0</v>
      </c>
      <c r="BB1216" s="80">
        <f>IF(AND(AB1216=1,D1216="proMX"),IF(AND(MOD(Z1216,CFG_BLK)=0,MOD(AA1216,CFG_BLK)=0,MOD(AG1216,CFG_BLK)=0,AG1216&gt;0),1,0),1)</f>
        <v>1</v>
      </c>
      <c r="BC1216" s="80" t="str">
        <f>IF(Y1216=0,"",IF(NOT(ISNUMBER(B1216)),"Falta fecha o fecha inválida",IF(D1216="","Falta empresa",IF(AND(D1216&lt;&gt;"Malcolm",D1216&lt;&gt;"proMX"),"Empresa inválida",IF(OR(INT(B1216)&lt;CFG_PSTART,INT(B1216)&gt;CFG_PEND),"Fecha fuera del período",IF(OR(NOT(ISNUMBER(Z1216)),NOT(ISNUMBER(AA1216))),"Falta hora inicio/fin o formato inválido",IF(AB1216=0,"Hora inicio = hora fin",IF(AE1216&lt;0,"Descanso inválido",IF(AE1216&gt;=AD1216,"Descanso ≥ duración",IF(AV1216=1,"Registro duplicado",IF(AZ1216&gt;0,"Se superpone con otro registro "&amp;D1216,IF(BB1216=0,"inicio, fin y duración neta deben ser múltiplos de "&amp;CFG_BLK&amp;" min",""))))))))))))</f>
        <v/>
      </c>
      <c r="BD1216" s="80">
        <f>IF(AND(Y1216=1,BC1216=""),1,0)</f>
        <v>0</v>
      </c>
      <c r="BE1216" s="80">
        <f>IF(AND(BD1216=1,AU1216=1),1,0)</f>
        <v>0</v>
      </c>
      <c r="BF1216" s="80" t="str">
        <f>IF(AND(D1216="proMX",BD1216=1),IF(R1216="","Draft",R1216),"")</f>
        <v/>
      </c>
      <c r="BG1216" s="80">
        <f>IF(BD1216=1,ROUND(AG1216/60,6),0)</f>
        <v>0</v>
      </c>
      <c r="BH1216" s="80">
        <f>IF(BE1216=1,ROUND(AG1216/60,6),0)</f>
        <v>0</v>
      </c>
      <c r="BI1216" s="80">
        <f>IF(BE1216=1,ROUND(AP1216/60,6),0)</f>
        <v>0</v>
      </c>
      <c r="BJ1216" s="80">
        <f>IF(BE1216=1,ROUND(AQ1216/60,6),0)</f>
        <v>0</v>
      </c>
      <c r="BK1216" s="80">
        <f>IF(BE1216=1,ROUND((AR1216+AS1216)/60,6),0)</f>
        <v>0</v>
      </c>
      <c r="BL1216" s="80">
        <f>ROUND(BH1216-BK1216,6)</f>
        <v>0</v>
      </c>
      <c r="BM1216" s="80">
        <f>IF(BE1216=1,ROUND(AR1216/60,6),0)</f>
        <v>0</v>
      </c>
      <c r="BN1216" s="80">
        <f>ROUND(BI1216-BM1216,6)</f>
        <v>0</v>
      </c>
      <c r="BO1216" s="80">
        <f>IF(BE1216=1,ROUND(AS1216/60,6),0)</f>
        <v>0</v>
      </c>
      <c r="BP1216" s="80">
        <f>ROUND(BJ1216-BO1216,6)</f>
        <v>0</v>
      </c>
      <c r="BQ1216" s="80">
        <f>IF(BE1216=1,AW1216,0)</f>
        <v>0</v>
      </c>
      <c r="BR1216" s="80">
        <f>IF(BE1216=1,AX1216,0)</f>
        <v>0</v>
      </c>
      <c r="BS1216" s="80">
        <f>IF(AND(BE1216=1,D1216="Malcolm",BA1216&gt;0),MIN(BH1216,SUMPRODUCT((R_Emp="proMX")*(R_EN&gt;0)*((R_EN-(R_EN&gt;BR1216)*(R_EN-BR1216))&gt;(R_SN+(R_SN&lt;BQ1216)*(BQ1216-R_SN)))*((R_EN-(R_EN&gt;BR1216)*(R_EN-BR1216))-(R_SN+(R_SN&lt;BQ1216)*(BQ1216-R_SN))))/60),0)</f>
        <v>0</v>
      </c>
      <c r="BT1216" s="80">
        <f>IF(AND(BE1216=1,D1216="proMX"),ROUND(BI1216*CFG_RATE+BJ1216*CFG_OTRATE,6),0)</f>
        <v>0</v>
      </c>
      <c r="BU1216" s="80">
        <f>IF(AND(BD1216=1,D1216="proMX"),ROUND(AG1216/CFG_BLK,6),0)</f>
        <v>0</v>
      </c>
      <c r="BV1216" s="80" t="str">
        <f>IF(BF1216="Approved",IF(ISNUMBER(T1216),INT(T1216),INT(B1216)),"")</f>
        <v/>
      </c>
      <c r="BW1216" s="80">
        <f>IF(ISNUMBER(B1216),IF(DB_MON="Todos",1,IF(AND(INT(B1216)&gt;=DB_MS,INT(B1216)&lt;=DB_ME),1,0)),0)</f>
        <v>0</v>
      </c>
      <c r="BX1216" s="80">
        <f>IF(DB_PROJ="Todos",1,IF(E1216&amp;""=DB_PROJ&amp;"",1,0))</f>
        <v>1</v>
      </c>
      <c r="BY1216" s="80">
        <f>BW1216*BX1216</f>
        <v>0</v>
      </c>
      <c r="BZ1216" s="80" t="str">
        <f>IF(Y1216=1,F1216&amp;IF(AND(F1216&amp;""&lt;&gt;"",E1216&amp;""&lt;&gt;"")," · ","")&amp;E1216,"")</f>
        <v/>
      </c>
      <c r="CA1216" s="80" t="str">
        <f>IF(AND(BD1216=1,E1216&amp;""&lt;&gt;""),IF(COUNTIFS($E$5:E1215,E1216,$BD$5:BD1215,1)=0,MAX($CA$5:CA1215)+1,""),"")</f>
        <v/>
      </c>
      <c r="CB1216" s="80" t="str">
        <f>IF(AND(BE1216=1,D1216="Malcolm",E1216&amp;""&lt;&gt;""),IF(COUNTIFS($D$5:D1215,"Malcolm",$E$5:E1215,E1216,$BE$5:BE1215,1)=0,MAX($CB$5:CB1215)+1,""),"")</f>
        <v/>
      </c>
      <c r="CC1216" s="80" t="str">
        <f>IF(AND(BD1216=1,D1216="proMX",E1216&amp;""&lt;&gt;""),IF(COUNTIFS($D$5:D1215,"proMX",$E$5:E1215,E1216,$BD$5:BD1215,1)=0,MAX($CC$5:CC1215)+1,""),"")</f>
        <v/>
      </c>
      <c r="CD1216" s="80" t="str">
        <f>IF(AND(BE1216=1,D1216="Malcolm",F1216&amp;""&lt;&gt;""),IF(COUNTIFS($D$5:D1215,"Malcolm",$F$5:F1215,F1216,$BE$5:BE1215,1)=0,MAX($CD$5:CD1215)+1,""),"")</f>
        <v/>
      </c>
      <c r="CE1216" s="80" t="str">
        <f>IF(AND(BD1216=1,D1216="proMX",F1216&amp;""&lt;&gt;""),IF(COUNTIFS($D$5:D1215,"proMX",$F$5:F1215,F1216,$BD$5:BD1215,1)=0,MAX($CE$5:CE1215)+1,""),"")</f>
        <v/>
      </c>
      <c r="CF1216" s="80" t="str">
        <f>IF(AND(D1216="proMX",BD1216=1),IF(OR(BF1216="Draft",BF1216="Submitted",BF1216="Returned",BF1216="Recall Requested"),MAX($CF$5:CF1215)+1,""),"")</f>
        <v/>
      </c>
      <c r="CG1216" s="80">
        <f>IF(BD1216=0,0,IF(D1216="Malcolm",1,MATCH(BF1216,{"Draft","Submitted","Approved","Returned","Recall Requested","Cancelled"},0)+1))</f>
        <v>0</v>
      </c>
      <c r="CH1216" s="80">
        <f>IF(AND(BF1216="Submitted",ISNUMBER(V1216)),IF(V1216&gt;CFG_MAXD,1,0),0)</f>
        <v>0</v>
      </c>
    </row>
    <row r="1217">
      <c r="A1217" s="71" t="str">
        <f>IF(Y1217=1,ROW()-5,"")</f>
        <v/>
      </c>
      <c r="B1217" s="72" t="n"/>
      <c r="C1217" s="71" t="str">
        <f>IF(ISNUMBER(B1217),CHOOSE(WEEKDAY(B1217,2),"Lun","Mar","Mié","Jue","Vie","Sáb","Dom"),"")</f>
        <v/>
      </c>
      <c r="D1217" s="73" t="n"/>
      <c r="E1217" s="74" t="n"/>
      <c r="F1217" s="74" t="n"/>
      <c r="G1217" s="74" t="n"/>
      <c r="H1217" s="75" t="n"/>
      <c r="I1217" s="75" t="n"/>
      <c r="J1217" s="76" t="n"/>
      <c r="K1217" s="77" t="str">
        <f>IF(AB1217=1,ROUND(AG1217/60,4),"")</f>
        <v/>
      </c>
      <c r="L1217" s="77" t="str">
        <f>IF(BD1217=1,ROUND(AP1217/60,4),"")</f>
        <v/>
      </c>
      <c r="M1217" s="77" t="str">
        <f>IF(BD1217=1,ROUND(AQ1217/60,4),"")</f>
        <v/>
      </c>
      <c r="N1217" s="71" t="str">
        <f>IF(AND(D1217="proMX",AB1217=1),ROUND(AG1217/CFG_BLK,2),"")</f>
        <v/>
      </c>
      <c r="O1217" s="77" t="str">
        <f>IF(D1217="proMX",IF(BD1217=1,ROUND(AG1217/60,4),0),"")</f>
        <v/>
      </c>
      <c r="P1217" s="78" t="str">
        <f>IF(Y1217=0,"",IF(BD1217=1,"OK",IF(D1217="proMX","Revisar bloques: ","Revisar: ")&amp;BC1217))</f>
        <v/>
      </c>
      <c r="Q1217" s="78" t="str">
        <f>IF(NOT(ISNUMBER(B1217)),"",IF(COUNTIFS(FER_F,INT(B1217))&gt;0,"Feriado"&amp;IF(AH1217=1," (laborable)"," (no laborable)"),IF(AH1217=1,"Laborable",IF(WEEKDAY(B1217,2)&gt;5,"Fin de semana","No laborable"))))</f>
        <v/>
      </c>
      <c r="R1217" s="73" t="n"/>
      <c r="S1217" s="72" t="n"/>
      <c r="T1217" s="72" t="n"/>
      <c r="U1217" s="74" t="n"/>
      <c r="V1217" s="79" t="str">
        <f>IF(AND(D1217="proMX",OR(R1217="Submitted",R1217="Recall Requested"),ISNUMBER(S1217)),CFG_TODAY-INT(S1217),"")</f>
        <v/>
      </c>
      <c r="W1217" s="78" t="str">
        <f>IF(BD1217=0,"",IF(BA1217&gt;0,"⚠ Se superpone con un registro de la otra empresa",IF(D1217="Malcolm",IF(COUNTA(R1217,S1217,T1217)&gt;0,"Estado/fechas proMX se ignoran en Malcolm",""),IF(BF1217="Cancelled","Cancelado: excluido de totales",IF(R1217="","Sin estado: se trata como Draft",IF(BF1217="Submitted",IF(ISNUMBER(V1217),IF(V1217&gt;CFG_MAXD,"⚠ "&amp;V1217&amp;" días en Submitted (máx. "&amp;CFG_MAXD&amp;")",""),"Falta fecha de envío"),IF(BF1217="Returned","⚠ Devuelto: corregir y reenviar",IF(BF1217="Recall Requested","Retirada solicitada: pendiente",IF(AND(BF1217="Approved",NOT(ISNUMBER(T1217))),"Falta fecha de aprobación",IF(AND(ISNUMBER(S1217),ISNUMBER(T1217),T1217&lt;S1217),"Aprobación anterior al envío","")))))))))</f>
        <v/>
      </c>
      <c r="Y1217" s="80">
        <f>IF(COUNTA(B1217,D1217,E1217,F1217,G1217,H1217,I1217,J1217,R1217,S1217,T1217)&gt;0,1,0)</f>
        <v>0</v>
      </c>
      <c r="Z1217" s="80" t="str">
        <f>IF(AND(ISNUMBER(H1217),H1217&gt;=0,H1217&lt;1),ROUND(H1217*1440,0),"")</f>
        <v/>
      </c>
      <c r="AA1217" s="80" t="str">
        <f>IF(AND(ISNUMBER(I1217),I1217&gt;=0,I1217&lt;1),ROUND(I1217*1440,0),"")</f>
        <v/>
      </c>
      <c r="AB1217" s="80">
        <f>IF(AND(ISNUMBER(B1217),D1217&lt;&gt;"",ISNUMBER(Z1217),ISNUMBER(AA1217)),IF(Z1217=AA1217,0,1),0)</f>
        <v>0</v>
      </c>
      <c r="AC1217" s="80">
        <f>IF(AB1217=1,IF(AA1217&lt;Z1217,1,0),0)</f>
        <v>0</v>
      </c>
      <c r="AD1217" s="80">
        <f>IF(AB1217=1,IF(AC1217=1,1440-Z1217+AA1217,AA1217-Z1217),0)</f>
        <v>0</v>
      </c>
      <c r="AE1217" s="80">
        <f>IF(J1217="",0,IF(ISNUMBER(J1217),J1217,-1))</f>
        <v>0</v>
      </c>
      <c r="AF1217" s="80">
        <f>MIN(MAX(0,AE1217),AD1217)</f>
        <v>0</v>
      </c>
      <c r="AG1217" s="80">
        <f>MAX(0,AD1217-MAX(0,AE1217))</f>
        <v>0</v>
      </c>
      <c r="AH1217" s="80">
        <f>IF(ISNUMBER(B1217),IF(AND(INDEX(CFG_WDAYS,WEEKDAY(INT(B1217),2))="Sí",IF(D1217="proMX",COUNTIFS(FER_F,INT(B1217),FER_NLP,"Sí"),COUNTIFS(FER_F,INT(B1217),FER_NLM,"Sí"))=0),1,0),0)</f>
        <v>0</v>
      </c>
      <c r="AI1217" s="80">
        <f>IF(AC1217=1,IF(AND(INDEX(CFG_WDAYS,WEEKDAY(INT(B1217)+1,2))="Sí",IF(D1217="proMX",COUNTIFS(FER_F,INT(B1217)+1,FER_NLP,"Sí"),COUNTIFS(FER_F,INT(B1217)+1,FER_NLM,"Sí"))=0),1,0),0)</f>
        <v>0</v>
      </c>
      <c r="AJ1217" s="80">
        <f>IF(AC1217=1,1440-Z1217,AD1217)</f>
        <v>0</v>
      </c>
      <c r="AK1217" s="80">
        <f>IF(AND(AB1217=1,AH1217=1),MAX(0,MIN(IF(AC1217=1,1440,AA1217),CFG_WEM)-MAX(Z1217,CFG_WSM)),0)</f>
        <v>0</v>
      </c>
      <c r="AL1217" s="80">
        <f>IF(AND(AC1217=1,AI1217=1),MAX(0,MIN(AA1217,CFG_WEM)-CFG_WSM),0)</f>
        <v>0</v>
      </c>
      <c r="AM1217" s="80">
        <f>AK1217+AL1217</f>
        <v>0</v>
      </c>
      <c r="AN1217" s="80">
        <f>IF(CFG_BRK="Proporcional",IF(AD1217=0,0,AF1217*AM1217/AD1217),IF(CFG_BRK="Extras primero",MIN(AM1217,MAX(0,AF1217-(AD1217-AM1217))),MIN(AF1217,AM1217)))</f>
        <v>0</v>
      </c>
      <c r="AO1217" s="80">
        <f>AF1217-AN1217</f>
        <v>0</v>
      </c>
      <c r="AP1217" s="80">
        <f>AM1217-AN1217</f>
        <v>0</v>
      </c>
      <c r="AQ1217" s="80">
        <f>AD1217-AM1217-AO1217</f>
        <v>0</v>
      </c>
      <c r="AR1217" s="80">
        <f>IF(AM1217=0,0,AK1217-AN1217*AK1217/AM1217)</f>
        <v>0</v>
      </c>
      <c r="AS1217" s="80">
        <f>IF(AD1217-AM1217=0,0,(AJ1217-AK1217)-AO1217*(AJ1217-AK1217)/(AD1217-AM1217))</f>
        <v>0</v>
      </c>
      <c r="AT1217" s="80" t="str">
        <f>IF(AC1217=1,INT(B1217)+1,"")</f>
        <v/>
      </c>
      <c r="AU1217" s="80">
        <f>IF(AND(D1217="proMX",R1217="Cancelled"),0,1)</f>
        <v>1</v>
      </c>
      <c r="AV1217" s="80">
        <f>IF(AND(AB1217=1,AU1217=1),IF(COUNTIFS($D$5:D1216,D1217,$B$5:B1216,B1217,$Z$5:Z1216,Z1217,$AA$5:AA1216,AA1217,$F$5:F1216,F1217&amp;"",$AU$5:AU1216,1)&gt;0,1,0),0)</f>
        <v>0</v>
      </c>
      <c r="AW1217" s="80" t="str">
        <f>IF(AB1217=1,INT(B1217)*1440+Z1217,"")</f>
        <v/>
      </c>
      <c r="AX1217" s="80" t="str">
        <f>IF(AB1217=1,AW1217+AD1217,"")</f>
        <v/>
      </c>
      <c r="AY1217" s="80">
        <f>IF(AND(AB1217=1,AV1217=0,AU1217=1),1,0)</f>
        <v>0</v>
      </c>
      <c r="AZ1217" s="80">
        <f>IF(AY1217=1,COUNTIFS(R_Emp,D1217,R_SAbs,"&lt;"&amp;AX1217,R_EAbs,"&gt;"&amp;AW1217,R_OKey,1)-1,0)</f>
        <v>0</v>
      </c>
      <c r="BA1217" s="80">
        <f>IF(AY1217=1,COUNTIFS(R_Emp,"&lt;&gt;"&amp;D1217,R_SAbs,"&lt;"&amp;AX1217,R_EAbs,"&gt;"&amp;AW1217,R_OKey,1),0)</f>
        <v>0</v>
      </c>
      <c r="BB1217" s="80">
        <f>IF(AND(AB1217=1,D1217="proMX"),IF(AND(MOD(Z1217,CFG_BLK)=0,MOD(AA1217,CFG_BLK)=0,MOD(AG1217,CFG_BLK)=0,AG1217&gt;0),1,0),1)</f>
        <v>1</v>
      </c>
      <c r="BC1217" s="80" t="str">
        <f>IF(Y1217=0,"",IF(NOT(ISNUMBER(B1217)),"Falta fecha o fecha inválida",IF(D1217="","Falta empresa",IF(AND(D1217&lt;&gt;"Malcolm",D1217&lt;&gt;"proMX"),"Empresa inválida",IF(OR(INT(B1217)&lt;CFG_PSTART,INT(B1217)&gt;CFG_PEND),"Fecha fuera del período",IF(OR(NOT(ISNUMBER(Z1217)),NOT(ISNUMBER(AA1217))),"Falta hora inicio/fin o formato inválido",IF(AB1217=0,"Hora inicio = hora fin",IF(AE1217&lt;0,"Descanso inválido",IF(AE1217&gt;=AD1217,"Descanso ≥ duración",IF(AV1217=1,"Registro duplicado",IF(AZ1217&gt;0,"Se superpone con otro registro "&amp;D1217,IF(BB1217=0,"inicio, fin y duración neta deben ser múltiplos de "&amp;CFG_BLK&amp;" min",""))))))))))))</f>
        <v/>
      </c>
      <c r="BD1217" s="80">
        <f>IF(AND(Y1217=1,BC1217=""),1,0)</f>
        <v>0</v>
      </c>
      <c r="BE1217" s="80">
        <f>IF(AND(BD1217=1,AU1217=1),1,0)</f>
        <v>0</v>
      </c>
      <c r="BF1217" s="80" t="str">
        <f>IF(AND(D1217="proMX",BD1217=1),IF(R1217="","Draft",R1217),"")</f>
        <v/>
      </c>
      <c r="BG1217" s="80">
        <f>IF(BD1217=1,ROUND(AG1217/60,6),0)</f>
        <v>0</v>
      </c>
      <c r="BH1217" s="80">
        <f>IF(BE1217=1,ROUND(AG1217/60,6),0)</f>
        <v>0</v>
      </c>
      <c r="BI1217" s="80">
        <f>IF(BE1217=1,ROUND(AP1217/60,6),0)</f>
        <v>0</v>
      </c>
      <c r="BJ1217" s="80">
        <f>IF(BE1217=1,ROUND(AQ1217/60,6),0)</f>
        <v>0</v>
      </c>
      <c r="BK1217" s="80">
        <f>IF(BE1217=1,ROUND((AR1217+AS1217)/60,6),0)</f>
        <v>0</v>
      </c>
      <c r="BL1217" s="80">
        <f>ROUND(BH1217-BK1217,6)</f>
        <v>0</v>
      </c>
      <c r="BM1217" s="80">
        <f>IF(BE1217=1,ROUND(AR1217/60,6),0)</f>
        <v>0</v>
      </c>
      <c r="BN1217" s="80">
        <f>ROUND(BI1217-BM1217,6)</f>
        <v>0</v>
      </c>
      <c r="BO1217" s="80">
        <f>IF(BE1217=1,ROUND(AS1217/60,6),0)</f>
        <v>0</v>
      </c>
      <c r="BP1217" s="80">
        <f>ROUND(BJ1217-BO1217,6)</f>
        <v>0</v>
      </c>
      <c r="BQ1217" s="80">
        <f>IF(BE1217=1,AW1217,0)</f>
        <v>0</v>
      </c>
      <c r="BR1217" s="80">
        <f>IF(BE1217=1,AX1217,0)</f>
        <v>0</v>
      </c>
      <c r="BS1217" s="80">
        <f>IF(AND(BE1217=1,D1217="Malcolm",BA1217&gt;0),MIN(BH1217,SUMPRODUCT((R_Emp="proMX")*(R_EN&gt;0)*((R_EN-(R_EN&gt;BR1217)*(R_EN-BR1217))&gt;(R_SN+(R_SN&lt;BQ1217)*(BQ1217-R_SN)))*((R_EN-(R_EN&gt;BR1217)*(R_EN-BR1217))-(R_SN+(R_SN&lt;BQ1217)*(BQ1217-R_SN))))/60),0)</f>
        <v>0</v>
      </c>
      <c r="BT1217" s="80">
        <f>IF(AND(BE1217=1,D1217="proMX"),ROUND(BI1217*CFG_RATE+BJ1217*CFG_OTRATE,6),0)</f>
        <v>0</v>
      </c>
      <c r="BU1217" s="80">
        <f>IF(AND(BD1217=1,D1217="proMX"),ROUND(AG1217/CFG_BLK,6),0)</f>
        <v>0</v>
      </c>
      <c r="BV1217" s="80" t="str">
        <f>IF(BF1217="Approved",IF(ISNUMBER(T1217),INT(T1217),INT(B1217)),"")</f>
        <v/>
      </c>
      <c r="BW1217" s="80">
        <f>IF(ISNUMBER(B1217),IF(DB_MON="Todos",1,IF(AND(INT(B1217)&gt;=DB_MS,INT(B1217)&lt;=DB_ME),1,0)),0)</f>
        <v>0</v>
      </c>
      <c r="BX1217" s="80">
        <f>IF(DB_PROJ="Todos",1,IF(E1217&amp;""=DB_PROJ&amp;"",1,0))</f>
        <v>1</v>
      </c>
      <c r="BY1217" s="80">
        <f>BW1217*BX1217</f>
        <v>0</v>
      </c>
      <c r="BZ1217" s="80" t="str">
        <f>IF(Y1217=1,F1217&amp;IF(AND(F1217&amp;""&lt;&gt;"",E1217&amp;""&lt;&gt;"")," · ","")&amp;E1217,"")</f>
        <v/>
      </c>
      <c r="CA1217" s="80" t="str">
        <f>IF(AND(BD1217=1,E1217&amp;""&lt;&gt;""),IF(COUNTIFS($E$5:E1216,E1217,$BD$5:BD1216,1)=0,MAX($CA$5:CA1216)+1,""),"")</f>
        <v/>
      </c>
      <c r="CB1217" s="80" t="str">
        <f>IF(AND(BE1217=1,D1217="Malcolm",E1217&amp;""&lt;&gt;""),IF(COUNTIFS($D$5:D1216,"Malcolm",$E$5:E1216,E1217,$BE$5:BE1216,1)=0,MAX($CB$5:CB1216)+1,""),"")</f>
        <v/>
      </c>
      <c r="CC1217" s="80" t="str">
        <f>IF(AND(BD1217=1,D1217="proMX",E1217&amp;""&lt;&gt;""),IF(COUNTIFS($D$5:D1216,"proMX",$E$5:E1216,E1217,$BD$5:BD1216,1)=0,MAX($CC$5:CC1216)+1,""),"")</f>
        <v/>
      </c>
      <c r="CD1217" s="80" t="str">
        <f>IF(AND(BE1217=1,D1217="Malcolm",F1217&amp;""&lt;&gt;""),IF(COUNTIFS($D$5:D1216,"Malcolm",$F$5:F1216,F1217,$BE$5:BE1216,1)=0,MAX($CD$5:CD1216)+1,""),"")</f>
        <v/>
      </c>
      <c r="CE1217" s="80" t="str">
        <f>IF(AND(BD1217=1,D1217="proMX",F1217&amp;""&lt;&gt;""),IF(COUNTIFS($D$5:D1216,"proMX",$F$5:F1216,F1217,$BD$5:BD1216,1)=0,MAX($CE$5:CE1216)+1,""),"")</f>
        <v/>
      </c>
      <c r="CF1217" s="80" t="str">
        <f>IF(AND(D1217="proMX",BD1217=1),IF(OR(BF1217="Draft",BF1217="Submitted",BF1217="Returned",BF1217="Recall Requested"),MAX($CF$5:CF1216)+1,""),"")</f>
        <v/>
      </c>
      <c r="CG1217" s="80">
        <f>IF(BD1217=0,0,IF(D1217="Malcolm",1,MATCH(BF1217,{"Draft","Submitted","Approved","Returned","Recall Requested","Cancelled"},0)+1))</f>
        <v>0</v>
      </c>
      <c r="CH1217" s="80">
        <f>IF(AND(BF1217="Submitted",ISNUMBER(V1217)),IF(V1217&gt;CFG_MAXD,1,0),0)</f>
        <v>0</v>
      </c>
    </row>
    <row r="1218">
      <c r="A1218" s="71" t="str">
        <f>IF(Y1218=1,ROW()-5,"")</f>
        <v/>
      </c>
      <c r="B1218" s="72" t="n"/>
      <c r="C1218" s="71" t="str">
        <f>IF(ISNUMBER(B1218),CHOOSE(WEEKDAY(B1218,2),"Lun","Mar","Mié","Jue","Vie","Sáb","Dom"),"")</f>
        <v/>
      </c>
      <c r="D1218" s="73" t="n"/>
      <c r="E1218" s="74" t="n"/>
      <c r="F1218" s="74" t="n"/>
      <c r="G1218" s="74" t="n"/>
      <c r="H1218" s="75" t="n"/>
      <c r="I1218" s="75" t="n"/>
      <c r="J1218" s="76" t="n"/>
      <c r="K1218" s="77" t="str">
        <f>IF(AB1218=1,ROUND(AG1218/60,4),"")</f>
        <v/>
      </c>
      <c r="L1218" s="77" t="str">
        <f>IF(BD1218=1,ROUND(AP1218/60,4),"")</f>
        <v/>
      </c>
      <c r="M1218" s="77" t="str">
        <f>IF(BD1218=1,ROUND(AQ1218/60,4),"")</f>
        <v/>
      </c>
      <c r="N1218" s="71" t="str">
        <f>IF(AND(D1218="proMX",AB1218=1),ROUND(AG1218/CFG_BLK,2),"")</f>
        <v/>
      </c>
      <c r="O1218" s="77" t="str">
        <f>IF(D1218="proMX",IF(BD1218=1,ROUND(AG1218/60,4),0),"")</f>
        <v/>
      </c>
      <c r="P1218" s="78" t="str">
        <f>IF(Y1218=0,"",IF(BD1218=1,"OK",IF(D1218="proMX","Revisar bloques: ","Revisar: ")&amp;BC1218))</f>
        <v/>
      </c>
      <c r="Q1218" s="78" t="str">
        <f>IF(NOT(ISNUMBER(B1218)),"",IF(COUNTIFS(FER_F,INT(B1218))&gt;0,"Feriado"&amp;IF(AH1218=1," (laborable)"," (no laborable)"),IF(AH1218=1,"Laborable",IF(WEEKDAY(B1218,2)&gt;5,"Fin de semana","No laborable"))))</f>
        <v/>
      </c>
      <c r="R1218" s="73" t="n"/>
      <c r="S1218" s="72" t="n"/>
      <c r="T1218" s="72" t="n"/>
      <c r="U1218" s="74" t="n"/>
      <c r="V1218" s="79" t="str">
        <f>IF(AND(D1218="proMX",OR(R1218="Submitted",R1218="Recall Requested"),ISNUMBER(S1218)),CFG_TODAY-INT(S1218),"")</f>
        <v/>
      </c>
      <c r="W1218" s="78" t="str">
        <f>IF(BD1218=0,"",IF(BA1218&gt;0,"⚠ Se superpone con un registro de la otra empresa",IF(D1218="Malcolm",IF(COUNTA(R1218,S1218,T1218)&gt;0,"Estado/fechas proMX se ignoran en Malcolm",""),IF(BF1218="Cancelled","Cancelado: excluido de totales",IF(R1218="","Sin estado: se trata como Draft",IF(BF1218="Submitted",IF(ISNUMBER(V1218),IF(V1218&gt;CFG_MAXD,"⚠ "&amp;V1218&amp;" días en Submitted (máx. "&amp;CFG_MAXD&amp;")",""),"Falta fecha de envío"),IF(BF1218="Returned","⚠ Devuelto: corregir y reenviar",IF(BF1218="Recall Requested","Retirada solicitada: pendiente",IF(AND(BF1218="Approved",NOT(ISNUMBER(T1218))),"Falta fecha de aprobación",IF(AND(ISNUMBER(S1218),ISNUMBER(T1218),T1218&lt;S1218),"Aprobación anterior al envío","")))))))))</f>
        <v/>
      </c>
      <c r="Y1218" s="80">
        <f>IF(COUNTA(B1218,D1218,E1218,F1218,G1218,H1218,I1218,J1218,R1218,S1218,T1218)&gt;0,1,0)</f>
        <v>0</v>
      </c>
      <c r="Z1218" s="80" t="str">
        <f>IF(AND(ISNUMBER(H1218),H1218&gt;=0,H1218&lt;1),ROUND(H1218*1440,0),"")</f>
        <v/>
      </c>
      <c r="AA1218" s="80" t="str">
        <f>IF(AND(ISNUMBER(I1218),I1218&gt;=0,I1218&lt;1),ROUND(I1218*1440,0),"")</f>
        <v/>
      </c>
      <c r="AB1218" s="80">
        <f>IF(AND(ISNUMBER(B1218),D1218&lt;&gt;"",ISNUMBER(Z1218),ISNUMBER(AA1218)),IF(Z1218=AA1218,0,1),0)</f>
        <v>0</v>
      </c>
      <c r="AC1218" s="80">
        <f>IF(AB1218=1,IF(AA1218&lt;Z1218,1,0),0)</f>
        <v>0</v>
      </c>
      <c r="AD1218" s="80">
        <f>IF(AB1218=1,IF(AC1218=1,1440-Z1218+AA1218,AA1218-Z1218),0)</f>
        <v>0</v>
      </c>
      <c r="AE1218" s="80">
        <f>IF(J1218="",0,IF(ISNUMBER(J1218),J1218,-1))</f>
        <v>0</v>
      </c>
      <c r="AF1218" s="80">
        <f>MIN(MAX(0,AE1218),AD1218)</f>
        <v>0</v>
      </c>
      <c r="AG1218" s="80">
        <f>MAX(0,AD1218-MAX(0,AE1218))</f>
        <v>0</v>
      </c>
      <c r="AH1218" s="80">
        <f>IF(ISNUMBER(B1218),IF(AND(INDEX(CFG_WDAYS,WEEKDAY(INT(B1218),2))="Sí",IF(D1218="proMX",COUNTIFS(FER_F,INT(B1218),FER_NLP,"Sí"),COUNTIFS(FER_F,INT(B1218),FER_NLM,"Sí"))=0),1,0),0)</f>
        <v>0</v>
      </c>
      <c r="AI1218" s="80">
        <f>IF(AC1218=1,IF(AND(INDEX(CFG_WDAYS,WEEKDAY(INT(B1218)+1,2))="Sí",IF(D1218="proMX",COUNTIFS(FER_F,INT(B1218)+1,FER_NLP,"Sí"),COUNTIFS(FER_F,INT(B1218)+1,FER_NLM,"Sí"))=0),1,0),0)</f>
        <v>0</v>
      </c>
      <c r="AJ1218" s="80">
        <f>IF(AC1218=1,1440-Z1218,AD1218)</f>
        <v>0</v>
      </c>
      <c r="AK1218" s="80">
        <f>IF(AND(AB1218=1,AH1218=1),MAX(0,MIN(IF(AC1218=1,1440,AA1218),CFG_WEM)-MAX(Z1218,CFG_WSM)),0)</f>
        <v>0</v>
      </c>
      <c r="AL1218" s="80">
        <f>IF(AND(AC1218=1,AI1218=1),MAX(0,MIN(AA1218,CFG_WEM)-CFG_WSM),0)</f>
        <v>0</v>
      </c>
      <c r="AM1218" s="80">
        <f>AK1218+AL1218</f>
        <v>0</v>
      </c>
      <c r="AN1218" s="80">
        <f>IF(CFG_BRK="Proporcional",IF(AD1218=0,0,AF1218*AM1218/AD1218),IF(CFG_BRK="Extras primero",MIN(AM1218,MAX(0,AF1218-(AD1218-AM1218))),MIN(AF1218,AM1218)))</f>
        <v>0</v>
      </c>
      <c r="AO1218" s="80">
        <f>AF1218-AN1218</f>
        <v>0</v>
      </c>
      <c r="AP1218" s="80">
        <f>AM1218-AN1218</f>
        <v>0</v>
      </c>
      <c r="AQ1218" s="80">
        <f>AD1218-AM1218-AO1218</f>
        <v>0</v>
      </c>
      <c r="AR1218" s="80">
        <f>IF(AM1218=0,0,AK1218-AN1218*AK1218/AM1218)</f>
        <v>0</v>
      </c>
      <c r="AS1218" s="80">
        <f>IF(AD1218-AM1218=0,0,(AJ1218-AK1218)-AO1218*(AJ1218-AK1218)/(AD1218-AM1218))</f>
        <v>0</v>
      </c>
      <c r="AT1218" s="80" t="str">
        <f>IF(AC1218=1,INT(B1218)+1,"")</f>
        <v/>
      </c>
      <c r="AU1218" s="80">
        <f>IF(AND(D1218="proMX",R1218="Cancelled"),0,1)</f>
        <v>1</v>
      </c>
      <c r="AV1218" s="80">
        <f>IF(AND(AB1218=1,AU1218=1),IF(COUNTIFS($D$5:D1217,D1218,$B$5:B1217,B1218,$Z$5:Z1217,Z1218,$AA$5:AA1217,AA1218,$F$5:F1217,F1218&amp;"",$AU$5:AU1217,1)&gt;0,1,0),0)</f>
        <v>0</v>
      </c>
      <c r="AW1218" s="80" t="str">
        <f>IF(AB1218=1,INT(B1218)*1440+Z1218,"")</f>
        <v/>
      </c>
      <c r="AX1218" s="80" t="str">
        <f>IF(AB1218=1,AW1218+AD1218,"")</f>
        <v/>
      </c>
      <c r="AY1218" s="80">
        <f>IF(AND(AB1218=1,AV1218=0,AU1218=1),1,0)</f>
        <v>0</v>
      </c>
      <c r="AZ1218" s="80">
        <f>IF(AY1218=1,COUNTIFS(R_Emp,D1218,R_SAbs,"&lt;"&amp;AX1218,R_EAbs,"&gt;"&amp;AW1218,R_OKey,1)-1,0)</f>
        <v>0</v>
      </c>
      <c r="BA1218" s="80">
        <f>IF(AY1218=1,COUNTIFS(R_Emp,"&lt;&gt;"&amp;D1218,R_SAbs,"&lt;"&amp;AX1218,R_EAbs,"&gt;"&amp;AW1218,R_OKey,1),0)</f>
        <v>0</v>
      </c>
      <c r="BB1218" s="80">
        <f>IF(AND(AB1218=1,D1218="proMX"),IF(AND(MOD(Z1218,CFG_BLK)=0,MOD(AA1218,CFG_BLK)=0,MOD(AG1218,CFG_BLK)=0,AG1218&gt;0),1,0),1)</f>
        <v>1</v>
      </c>
      <c r="BC1218" s="80" t="str">
        <f>IF(Y1218=0,"",IF(NOT(ISNUMBER(B1218)),"Falta fecha o fecha inválida",IF(D1218="","Falta empresa",IF(AND(D1218&lt;&gt;"Malcolm",D1218&lt;&gt;"proMX"),"Empresa inválida",IF(OR(INT(B1218)&lt;CFG_PSTART,INT(B1218)&gt;CFG_PEND),"Fecha fuera del período",IF(OR(NOT(ISNUMBER(Z1218)),NOT(ISNUMBER(AA1218))),"Falta hora inicio/fin o formato inválido",IF(AB1218=0,"Hora inicio = hora fin",IF(AE1218&lt;0,"Descanso inválido",IF(AE1218&gt;=AD1218,"Descanso ≥ duración",IF(AV1218=1,"Registro duplicado",IF(AZ1218&gt;0,"Se superpone con otro registro "&amp;D1218,IF(BB1218=0,"inicio, fin y duración neta deben ser múltiplos de "&amp;CFG_BLK&amp;" min",""))))))))))))</f>
        <v/>
      </c>
      <c r="BD1218" s="80">
        <f>IF(AND(Y1218=1,BC1218=""),1,0)</f>
        <v>0</v>
      </c>
      <c r="BE1218" s="80">
        <f>IF(AND(BD1218=1,AU1218=1),1,0)</f>
        <v>0</v>
      </c>
      <c r="BF1218" s="80" t="str">
        <f>IF(AND(D1218="proMX",BD1218=1),IF(R1218="","Draft",R1218),"")</f>
        <v/>
      </c>
      <c r="BG1218" s="80">
        <f>IF(BD1218=1,ROUND(AG1218/60,6),0)</f>
        <v>0</v>
      </c>
      <c r="BH1218" s="80">
        <f>IF(BE1218=1,ROUND(AG1218/60,6),0)</f>
        <v>0</v>
      </c>
      <c r="BI1218" s="80">
        <f>IF(BE1218=1,ROUND(AP1218/60,6),0)</f>
        <v>0</v>
      </c>
      <c r="BJ1218" s="80">
        <f>IF(BE1218=1,ROUND(AQ1218/60,6),0)</f>
        <v>0</v>
      </c>
      <c r="BK1218" s="80">
        <f>IF(BE1218=1,ROUND((AR1218+AS1218)/60,6),0)</f>
        <v>0</v>
      </c>
      <c r="BL1218" s="80">
        <f>ROUND(BH1218-BK1218,6)</f>
        <v>0</v>
      </c>
      <c r="BM1218" s="80">
        <f>IF(BE1218=1,ROUND(AR1218/60,6),0)</f>
        <v>0</v>
      </c>
      <c r="BN1218" s="80">
        <f>ROUND(BI1218-BM1218,6)</f>
        <v>0</v>
      </c>
      <c r="BO1218" s="80">
        <f>IF(BE1218=1,ROUND(AS1218/60,6),0)</f>
        <v>0</v>
      </c>
      <c r="BP1218" s="80">
        <f>ROUND(BJ1218-BO1218,6)</f>
        <v>0</v>
      </c>
      <c r="BQ1218" s="80">
        <f>IF(BE1218=1,AW1218,0)</f>
        <v>0</v>
      </c>
      <c r="BR1218" s="80">
        <f>IF(BE1218=1,AX1218,0)</f>
        <v>0</v>
      </c>
      <c r="BS1218" s="80">
        <f>IF(AND(BE1218=1,D1218="Malcolm",BA1218&gt;0),MIN(BH1218,SUMPRODUCT((R_Emp="proMX")*(R_EN&gt;0)*((R_EN-(R_EN&gt;BR1218)*(R_EN-BR1218))&gt;(R_SN+(R_SN&lt;BQ1218)*(BQ1218-R_SN)))*((R_EN-(R_EN&gt;BR1218)*(R_EN-BR1218))-(R_SN+(R_SN&lt;BQ1218)*(BQ1218-R_SN))))/60),0)</f>
        <v>0</v>
      </c>
      <c r="BT1218" s="80">
        <f>IF(AND(BE1218=1,D1218="proMX"),ROUND(BI1218*CFG_RATE+BJ1218*CFG_OTRATE,6),0)</f>
        <v>0</v>
      </c>
      <c r="BU1218" s="80">
        <f>IF(AND(BD1218=1,D1218="proMX"),ROUND(AG1218/CFG_BLK,6),0)</f>
        <v>0</v>
      </c>
      <c r="BV1218" s="80" t="str">
        <f>IF(BF1218="Approved",IF(ISNUMBER(T1218),INT(T1218),INT(B1218)),"")</f>
        <v/>
      </c>
      <c r="BW1218" s="80">
        <f>IF(ISNUMBER(B1218),IF(DB_MON="Todos",1,IF(AND(INT(B1218)&gt;=DB_MS,INT(B1218)&lt;=DB_ME),1,0)),0)</f>
        <v>0</v>
      </c>
      <c r="BX1218" s="80">
        <f>IF(DB_PROJ="Todos",1,IF(E1218&amp;""=DB_PROJ&amp;"",1,0))</f>
        <v>1</v>
      </c>
      <c r="BY1218" s="80">
        <f>BW1218*BX1218</f>
        <v>0</v>
      </c>
      <c r="BZ1218" s="80" t="str">
        <f>IF(Y1218=1,F1218&amp;IF(AND(F1218&amp;""&lt;&gt;"",E1218&amp;""&lt;&gt;"")," · ","")&amp;E1218,"")</f>
        <v/>
      </c>
      <c r="CA1218" s="80" t="str">
        <f>IF(AND(BD1218=1,E1218&amp;""&lt;&gt;""),IF(COUNTIFS($E$5:E1217,E1218,$BD$5:BD1217,1)=0,MAX($CA$5:CA1217)+1,""),"")</f>
        <v/>
      </c>
      <c r="CB1218" s="80" t="str">
        <f>IF(AND(BE1218=1,D1218="Malcolm",E1218&amp;""&lt;&gt;""),IF(COUNTIFS($D$5:D1217,"Malcolm",$E$5:E1217,E1218,$BE$5:BE1217,1)=0,MAX($CB$5:CB1217)+1,""),"")</f>
        <v/>
      </c>
      <c r="CC1218" s="80" t="str">
        <f>IF(AND(BD1218=1,D1218="proMX",E1218&amp;""&lt;&gt;""),IF(COUNTIFS($D$5:D1217,"proMX",$E$5:E1217,E1218,$BD$5:BD1217,1)=0,MAX($CC$5:CC1217)+1,""),"")</f>
        <v/>
      </c>
      <c r="CD1218" s="80" t="str">
        <f>IF(AND(BE1218=1,D1218="Malcolm",F1218&amp;""&lt;&gt;""),IF(COUNTIFS($D$5:D1217,"Malcolm",$F$5:F1217,F1218,$BE$5:BE1217,1)=0,MAX($CD$5:CD1217)+1,""),"")</f>
        <v/>
      </c>
      <c r="CE1218" s="80" t="str">
        <f>IF(AND(BD1218=1,D1218="proMX",F1218&amp;""&lt;&gt;""),IF(COUNTIFS($D$5:D1217,"proMX",$F$5:F1217,F1218,$BD$5:BD1217,1)=0,MAX($CE$5:CE1217)+1,""),"")</f>
        <v/>
      </c>
      <c r="CF1218" s="80" t="str">
        <f>IF(AND(D1218="proMX",BD1218=1),IF(OR(BF1218="Draft",BF1218="Submitted",BF1218="Returned",BF1218="Recall Requested"),MAX($CF$5:CF1217)+1,""),"")</f>
        <v/>
      </c>
      <c r="CG1218" s="80">
        <f>IF(BD1218=0,0,IF(D1218="Malcolm",1,MATCH(BF1218,{"Draft","Submitted","Approved","Returned","Recall Requested","Cancelled"},0)+1))</f>
        <v>0</v>
      </c>
      <c r="CH1218" s="80">
        <f>IF(AND(BF1218="Submitted",ISNUMBER(V1218)),IF(V1218&gt;CFG_MAXD,1,0),0)</f>
        <v>0</v>
      </c>
    </row>
    <row r="1219">
      <c r="A1219" s="71" t="str">
        <f>IF(Y1219=1,ROW()-5,"")</f>
        <v/>
      </c>
      <c r="B1219" s="72" t="n"/>
      <c r="C1219" s="71" t="str">
        <f>IF(ISNUMBER(B1219),CHOOSE(WEEKDAY(B1219,2),"Lun","Mar","Mié","Jue","Vie","Sáb","Dom"),"")</f>
        <v/>
      </c>
      <c r="D1219" s="73" t="n"/>
      <c r="E1219" s="74" t="n"/>
      <c r="F1219" s="74" t="n"/>
      <c r="G1219" s="74" t="n"/>
      <c r="H1219" s="75" t="n"/>
      <c r="I1219" s="75" t="n"/>
      <c r="J1219" s="76" t="n"/>
      <c r="K1219" s="77" t="str">
        <f>IF(AB1219=1,ROUND(AG1219/60,4),"")</f>
        <v/>
      </c>
      <c r="L1219" s="77" t="str">
        <f>IF(BD1219=1,ROUND(AP1219/60,4),"")</f>
        <v/>
      </c>
      <c r="M1219" s="77" t="str">
        <f>IF(BD1219=1,ROUND(AQ1219/60,4),"")</f>
        <v/>
      </c>
      <c r="N1219" s="71" t="str">
        <f>IF(AND(D1219="proMX",AB1219=1),ROUND(AG1219/CFG_BLK,2),"")</f>
        <v/>
      </c>
      <c r="O1219" s="77" t="str">
        <f>IF(D1219="proMX",IF(BD1219=1,ROUND(AG1219/60,4),0),"")</f>
        <v/>
      </c>
      <c r="P1219" s="78" t="str">
        <f>IF(Y1219=0,"",IF(BD1219=1,"OK",IF(D1219="proMX","Revisar bloques: ","Revisar: ")&amp;BC1219))</f>
        <v/>
      </c>
      <c r="Q1219" s="78" t="str">
        <f>IF(NOT(ISNUMBER(B1219)),"",IF(COUNTIFS(FER_F,INT(B1219))&gt;0,"Feriado"&amp;IF(AH1219=1," (laborable)"," (no laborable)"),IF(AH1219=1,"Laborable",IF(WEEKDAY(B1219,2)&gt;5,"Fin de semana","No laborable"))))</f>
        <v/>
      </c>
      <c r="R1219" s="73" t="n"/>
      <c r="S1219" s="72" t="n"/>
      <c r="T1219" s="72" t="n"/>
      <c r="U1219" s="74" t="n"/>
      <c r="V1219" s="79" t="str">
        <f>IF(AND(D1219="proMX",OR(R1219="Submitted",R1219="Recall Requested"),ISNUMBER(S1219)),CFG_TODAY-INT(S1219),"")</f>
        <v/>
      </c>
      <c r="W1219" s="78" t="str">
        <f>IF(BD1219=0,"",IF(BA1219&gt;0,"⚠ Se superpone con un registro de la otra empresa",IF(D1219="Malcolm",IF(COUNTA(R1219,S1219,T1219)&gt;0,"Estado/fechas proMX se ignoran en Malcolm",""),IF(BF1219="Cancelled","Cancelado: excluido de totales",IF(R1219="","Sin estado: se trata como Draft",IF(BF1219="Submitted",IF(ISNUMBER(V1219),IF(V1219&gt;CFG_MAXD,"⚠ "&amp;V1219&amp;" días en Submitted (máx. "&amp;CFG_MAXD&amp;")",""),"Falta fecha de envío"),IF(BF1219="Returned","⚠ Devuelto: corregir y reenviar",IF(BF1219="Recall Requested","Retirada solicitada: pendiente",IF(AND(BF1219="Approved",NOT(ISNUMBER(T1219))),"Falta fecha de aprobación",IF(AND(ISNUMBER(S1219),ISNUMBER(T1219),T1219&lt;S1219),"Aprobación anterior al envío","")))))))))</f>
        <v/>
      </c>
      <c r="Y1219" s="80">
        <f>IF(COUNTA(B1219,D1219,E1219,F1219,G1219,H1219,I1219,J1219,R1219,S1219,T1219)&gt;0,1,0)</f>
        <v>0</v>
      </c>
      <c r="Z1219" s="80" t="str">
        <f>IF(AND(ISNUMBER(H1219),H1219&gt;=0,H1219&lt;1),ROUND(H1219*1440,0),"")</f>
        <v/>
      </c>
      <c r="AA1219" s="80" t="str">
        <f>IF(AND(ISNUMBER(I1219),I1219&gt;=0,I1219&lt;1),ROUND(I1219*1440,0),"")</f>
        <v/>
      </c>
      <c r="AB1219" s="80">
        <f>IF(AND(ISNUMBER(B1219),D1219&lt;&gt;"",ISNUMBER(Z1219),ISNUMBER(AA1219)),IF(Z1219=AA1219,0,1),0)</f>
        <v>0</v>
      </c>
      <c r="AC1219" s="80">
        <f>IF(AB1219=1,IF(AA1219&lt;Z1219,1,0),0)</f>
        <v>0</v>
      </c>
      <c r="AD1219" s="80">
        <f>IF(AB1219=1,IF(AC1219=1,1440-Z1219+AA1219,AA1219-Z1219),0)</f>
        <v>0</v>
      </c>
      <c r="AE1219" s="80">
        <f>IF(J1219="",0,IF(ISNUMBER(J1219),J1219,-1))</f>
        <v>0</v>
      </c>
      <c r="AF1219" s="80">
        <f>MIN(MAX(0,AE1219),AD1219)</f>
        <v>0</v>
      </c>
      <c r="AG1219" s="80">
        <f>MAX(0,AD1219-MAX(0,AE1219))</f>
        <v>0</v>
      </c>
      <c r="AH1219" s="80">
        <f>IF(ISNUMBER(B1219),IF(AND(INDEX(CFG_WDAYS,WEEKDAY(INT(B1219),2))="Sí",IF(D1219="proMX",COUNTIFS(FER_F,INT(B1219),FER_NLP,"Sí"),COUNTIFS(FER_F,INT(B1219),FER_NLM,"Sí"))=0),1,0),0)</f>
        <v>0</v>
      </c>
      <c r="AI1219" s="80">
        <f>IF(AC1219=1,IF(AND(INDEX(CFG_WDAYS,WEEKDAY(INT(B1219)+1,2))="Sí",IF(D1219="proMX",COUNTIFS(FER_F,INT(B1219)+1,FER_NLP,"Sí"),COUNTIFS(FER_F,INT(B1219)+1,FER_NLM,"Sí"))=0),1,0),0)</f>
        <v>0</v>
      </c>
      <c r="AJ1219" s="80">
        <f>IF(AC1219=1,1440-Z1219,AD1219)</f>
        <v>0</v>
      </c>
      <c r="AK1219" s="80">
        <f>IF(AND(AB1219=1,AH1219=1),MAX(0,MIN(IF(AC1219=1,1440,AA1219),CFG_WEM)-MAX(Z1219,CFG_WSM)),0)</f>
        <v>0</v>
      </c>
      <c r="AL1219" s="80">
        <f>IF(AND(AC1219=1,AI1219=1),MAX(0,MIN(AA1219,CFG_WEM)-CFG_WSM),0)</f>
        <v>0</v>
      </c>
      <c r="AM1219" s="80">
        <f>AK1219+AL1219</f>
        <v>0</v>
      </c>
      <c r="AN1219" s="80">
        <f>IF(CFG_BRK="Proporcional",IF(AD1219=0,0,AF1219*AM1219/AD1219),IF(CFG_BRK="Extras primero",MIN(AM1219,MAX(0,AF1219-(AD1219-AM1219))),MIN(AF1219,AM1219)))</f>
        <v>0</v>
      </c>
      <c r="AO1219" s="80">
        <f>AF1219-AN1219</f>
        <v>0</v>
      </c>
      <c r="AP1219" s="80">
        <f>AM1219-AN1219</f>
        <v>0</v>
      </c>
      <c r="AQ1219" s="80">
        <f>AD1219-AM1219-AO1219</f>
        <v>0</v>
      </c>
      <c r="AR1219" s="80">
        <f>IF(AM1219=0,0,AK1219-AN1219*AK1219/AM1219)</f>
        <v>0</v>
      </c>
      <c r="AS1219" s="80">
        <f>IF(AD1219-AM1219=0,0,(AJ1219-AK1219)-AO1219*(AJ1219-AK1219)/(AD1219-AM1219))</f>
        <v>0</v>
      </c>
      <c r="AT1219" s="80" t="str">
        <f>IF(AC1219=1,INT(B1219)+1,"")</f>
        <v/>
      </c>
      <c r="AU1219" s="80">
        <f>IF(AND(D1219="proMX",R1219="Cancelled"),0,1)</f>
        <v>1</v>
      </c>
      <c r="AV1219" s="80">
        <f>IF(AND(AB1219=1,AU1219=1),IF(COUNTIFS($D$5:D1218,D1219,$B$5:B1218,B1219,$Z$5:Z1218,Z1219,$AA$5:AA1218,AA1219,$F$5:F1218,F1219&amp;"",$AU$5:AU1218,1)&gt;0,1,0),0)</f>
        <v>0</v>
      </c>
      <c r="AW1219" s="80" t="str">
        <f>IF(AB1219=1,INT(B1219)*1440+Z1219,"")</f>
        <v/>
      </c>
      <c r="AX1219" s="80" t="str">
        <f>IF(AB1219=1,AW1219+AD1219,"")</f>
        <v/>
      </c>
      <c r="AY1219" s="80">
        <f>IF(AND(AB1219=1,AV1219=0,AU1219=1),1,0)</f>
        <v>0</v>
      </c>
      <c r="AZ1219" s="80">
        <f>IF(AY1219=1,COUNTIFS(R_Emp,D1219,R_SAbs,"&lt;"&amp;AX1219,R_EAbs,"&gt;"&amp;AW1219,R_OKey,1)-1,0)</f>
        <v>0</v>
      </c>
      <c r="BA1219" s="80">
        <f>IF(AY1219=1,COUNTIFS(R_Emp,"&lt;&gt;"&amp;D1219,R_SAbs,"&lt;"&amp;AX1219,R_EAbs,"&gt;"&amp;AW1219,R_OKey,1),0)</f>
        <v>0</v>
      </c>
      <c r="BB1219" s="80">
        <f>IF(AND(AB1219=1,D1219="proMX"),IF(AND(MOD(Z1219,CFG_BLK)=0,MOD(AA1219,CFG_BLK)=0,MOD(AG1219,CFG_BLK)=0,AG1219&gt;0),1,0),1)</f>
        <v>1</v>
      </c>
      <c r="BC1219" s="80" t="str">
        <f>IF(Y1219=0,"",IF(NOT(ISNUMBER(B1219)),"Falta fecha o fecha inválida",IF(D1219="","Falta empresa",IF(AND(D1219&lt;&gt;"Malcolm",D1219&lt;&gt;"proMX"),"Empresa inválida",IF(OR(INT(B1219)&lt;CFG_PSTART,INT(B1219)&gt;CFG_PEND),"Fecha fuera del período",IF(OR(NOT(ISNUMBER(Z1219)),NOT(ISNUMBER(AA1219))),"Falta hora inicio/fin o formato inválido",IF(AB1219=0,"Hora inicio = hora fin",IF(AE1219&lt;0,"Descanso inválido",IF(AE1219&gt;=AD1219,"Descanso ≥ duración",IF(AV1219=1,"Registro duplicado",IF(AZ1219&gt;0,"Se superpone con otro registro "&amp;D1219,IF(BB1219=0,"inicio, fin y duración neta deben ser múltiplos de "&amp;CFG_BLK&amp;" min",""))))))))))))</f>
        <v/>
      </c>
      <c r="BD1219" s="80">
        <f>IF(AND(Y1219=1,BC1219=""),1,0)</f>
        <v>0</v>
      </c>
      <c r="BE1219" s="80">
        <f>IF(AND(BD1219=1,AU1219=1),1,0)</f>
        <v>0</v>
      </c>
      <c r="BF1219" s="80" t="str">
        <f>IF(AND(D1219="proMX",BD1219=1),IF(R1219="","Draft",R1219),"")</f>
        <v/>
      </c>
      <c r="BG1219" s="80">
        <f>IF(BD1219=1,ROUND(AG1219/60,6),0)</f>
        <v>0</v>
      </c>
      <c r="BH1219" s="80">
        <f>IF(BE1219=1,ROUND(AG1219/60,6),0)</f>
        <v>0</v>
      </c>
      <c r="BI1219" s="80">
        <f>IF(BE1219=1,ROUND(AP1219/60,6),0)</f>
        <v>0</v>
      </c>
      <c r="BJ1219" s="80">
        <f>IF(BE1219=1,ROUND(AQ1219/60,6),0)</f>
        <v>0</v>
      </c>
      <c r="BK1219" s="80">
        <f>IF(BE1219=1,ROUND((AR1219+AS1219)/60,6),0)</f>
        <v>0</v>
      </c>
      <c r="BL1219" s="80">
        <f>ROUND(BH1219-BK1219,6)</f>
        <v>0</v>
      </c>
      <c r="BM1219" s="80">
        <f>IF(BE1219=1,ROUND(AR1219/60,6),0)</f>
        <v>0</v>
      </c>
      <c r="BN1219" s="80">
        <f>ROUND(BI1219-BM1219,6)</f>
        <v>0</v>
      </c>
      <c r="BO1219" s="80">
        <f>IF(BE1219=1,ROUND(AS1219/60,6),0)</f>
        <v>0</v>
      </c>
      <c r="BP1219" s="80">
        <f>ROUND(BJ1219-BO1219,6)</f>
        <v>0</v>
      </c>
      <c r="BQ1219" s="80">
        <f>IF(BE1219=1,AW1219,0)</f>
        <v>0</v>
      </c>
      <c r="BR1219" s="80">
        <f>IF(BE1219=1,AX1219,0)</f>
        <v>0</v>
      </c>
      <c r="BS1219" s="80">
        <f>IF(AND(BE1219=1,D1219="Malcolm",BA1219&gt;0),MIN(BH1219,SUMPRODUCT((R_Emp="proMX")*(R_EN&gt;0)*((R_EN-(R_EN&gt;BR1219)*(R_EN-BR1219))&gt;(R_SN+(R_SN&lt;BQ1219)*(BQ1219-R_SN)))*((R_EN-(R_EN&gt;BR1219)*(R_EN-BR1219))-(R_SN+(R_SN&lt;BQ1219)*(BQ1219-R_SN))))/60),0)</f>
        <v>0</v>
      </c>
      <c r="BT1219" s="80">
        <f>IF(AND(BE1219=1,D1219="proMX"),ROUND(BI1219*CFG_RATE+BJ1219*CFG_OTRATE,6),0)</f>
        <v>0</v>
      </c>
      <c r="BU1219" s="80">
        <f>IF(AND(BD1219=1,D1219="proMX"),ROUND(AG1219/CFG_BLK,6),0)</f>
        <v>0</v>
      </c>
      <c r="BV1219" s="80" t="str">
        <f>IF(BF1219="Approved",IF(ISNUMBER(T1219),INT(T1219),INT(B1219)),"")</f>
        <v/>
      </c>
      <c r="BW1219" s="80">
        <f>IF(ISNUMBER(B1219),IF(DB_MON="Todos",1,IF(AND(INT(B1219)&gt;=DB_MS,INT(B1219)&lt;=DB_ME),1,0)),0)</f>
        <v>0</v>
      </c>
      <c r="BX1219" s="80">
        <f>IF(DB_PROJ="Todos",1,IF(E1219&amp;""=DB_PROJ&amp;"",1,0))</f>
        <v>1</v>
      </c>
      <c r="BY1219" s="80">
        <f>BW1219*BX1219</f>
        <v>0</v>
      </c>
      <c r="BZ1219" s="80" t="str">
        <f>IF(Y1219=1,F1219&amp;IF(AND(F1219&amp;""&lt;&gt;"",E1219&amp;""&lt;&gt;"")," · ","")&amp;E1219,"")</f>
        <v/>
      </c>
      <c r="CA1219" s="80" t="str">
        <f>IF(AND(BD1219=1,E1219&amp;""&lt;&gt;""),IF(COUNTIFS($E$5:E1218,E1219,$BD$5:BD1218,1)=0,MAX($CA$5:CA1218)+1,""),"")</f>
        <v/>
      </c>
      <c r="CB1219" s="80" t="str">
        <f>IF(AND(BE1219=1,D1219="Malcolm",E1219&amp;""&lt;&gt;""),IF(COUNTIFS($D$5:D1218,"Malcolm",$E$5:E1218,E1219,$BE$5:BE1218,1)=0,MAX($CB$5:CB1218)+1,""),"")</f>
        <v/>
      </c>
      <c r="CC1219" s="80" t="str">
        <f>IF(AND(BD1219=1,D1219="proMX",E1219&amp;""&lt;&gt;""),IF(COUNTIFS($D$5:D1218,"proMX",$E$5:E1218,E1219,$BD$5:BD1218,1)=0,MAX($CC$5:CC1218)+1,""),"")</f>
        <v/>
      </c>
      <c r="CD1219" s="80" t="str">
        <f>IF(AND(BE1219=1,D1219="Malcolm",F1219&amp;""&lt;&gt;""),IF(COUNTIFS($D$5:D1218,"Malcolm",$F$5:F1218,F1219,$BE$5:BE1218,1)=0,MAX($CD$5:CD1218)+1,""),"")</f>
        <v/>
      </c>
      <c r="CE1219" s="80" t="str">
        <f>IF(AND(BD1219=1,D1219="proMX",F1219&amp;""&lt;&gt;""),IF(COUNTIFS($D$5:D1218,"proMX",$F$5:F1218,F1219,$BD$5:BD1218,1)=0,MAX($CE$5:CE1218)+1,""),"")</f>
        <v/>
      </c>
      <c r="CF1219" s="80" t="str">
        <f>IF(AND(D1219="proMX",BD1219=1),IF(OR(BF1219="Draft",BF1219="Submitted",BF1219="Returned",BF1219="Recall Requested"),MAX($CF$5:CF1218)+1,""),"")</f>
        <v/>
      </c>
      <c r="CG1219" s="80">
        <f>IF(BD1219=0,0,IF(D1219="Malcolm",1,MATCH(BF1219,{"Draft","Submitted","Approved","Returned","Recall Requested","Cancelled"},0)+1))</f>
        <v>0</v>
      </c>
      <c r="CH1219" s="80">
        <f>IF(AND(BF1219="Submitted",ISNUMBER(V1219)),IF(V1219&gt;CFG_MAXD,1,0),0)</f>
        <v>0</v>
      </c>
    </row>
    <row r="1220">
      <c r="A1220" s="71" t="str">
        <f>IF(Y1220=1,ROW()-5,"")</f>
        <v/>
      </c>
      <c r="B1220" s="72" t="n"/>
      <c r="C1220" s="71" t="str">
        <f>IF(ISNUMBER(B1220),CHOOSE(WEEKDAY(B1220,2),"Lun","Mar","Mié","Jue","Vie","Sáb","Dom"),"")</f>
        <v/>
      </c>
      <c r="D1220" s="73" t="n"/>
      <c r="E1220" s="74" t="n"/>
      <c r="F1220" s="74" t="n"/>
      <c r="G1220" s="74" t="n"/>
      <c r="H1220" s="75" t="n"/>
      <c r="I1220" s="75" t="n"/>
      <c r="J1220" s="76" t="n"/>
      <c r="K1220" s="77" t="str">
        <f>IF(AB1220=1,ROUND(AG1220/60,4),"")</f>
        <v/>
      </c>
      <c r="L1220" s="77" t="str">
        <f>IF(BD1220=1,ROUND(AP1220/60,4),"")</f>
        <v/>
      </c>
      <c r="M1220" s="77" t="str">
        <f>IF(BD1220=1,ROUND(AQ1220/60,4),"")</f>
        <v/>
      </c>
      <c r="N1220" s="71" t="str">
        <f>IF(AND(D1220="proMX",AB1220=1),ROUND(AG1220/CFG_BLK,2),"")</f>
        <v/>
      </c>
      <c r="O1220" s="77" t="str">
        <f>IF(D1220="proMX",IF(BD1220=1,ROUND(AG1220/60,4),0),"")</f>
        <v/>
      </c>
      <c r="P1220" s="78" t="str">
        <f>IF(Y1220=0,"",IF(BD1220=1,"OK",IF(D1220="proMX","Revisar bloques: ","Revisar: ")&amp;BC1220))</f>
        <v/>
      </c>
      <c r="Q1220" s="78" t="str">
        <f>IF(NOT(ISNUMBER(B1220)),"",IF(COUNTIFS(FER_F,INT(B1220))&gt;0,"Feriado"&amp;IF(AH1220=1," (laborable)"," (no laborable)"),IF(AH1220=1,"Laborable",IF(WEEKDAY(B1220,2)&gt;5,"Fin de semana","No laborable"))))</f>
        <v/>
      </c>
      <c r="R1220" s="73" t="n"/>
      <c r="S1220" s="72" t="n"/>
      <c r="T1220" s="72" t="n"/>
      <c r="U1220" s="74" t="n"/>
      <c r="V1220" s="79" t="str">
        <f>IF(AND(D1220="proMX",OR(R1220="Submitted",R1220="Recall Requested"),ISNUMBER(S1220)),CFG_TODAY-INT(S1220),"")</f>
        <v/>
      </c>
      <c r="W1220" s="78" t="str">
        <f>IF(BD1220=0,"",IF(BA1220&gt;0,"⚠ Se superpone con un registro de la otra empresa",IF(D1220="Malcolm",IF(COUNTA(R1220,S1220,T1220)&gt;0,"Estado/fechas proMX se ignoran en Malcolm",""),IF(BF1220="Cancelled","Cancelado: excluido de totales",IF(R1220="","Sin estado: se trata como Draft",IF(BF1220="Submitted",IF(ISNUMBER(V1220),IF(V1220&gt;CFG_MAXD,"⚠ "&amp;V1220&amp;" días en Submitted (máx. "&amp;CFG_MAXD&amp;")",""),"Falta fecha de envío"),IF(BF1220="Returned","⚠ Devuelto: corregir y reenviar",IF(BF1220="Recall Requested","Retirada solicitada: pendiente",IF(AND(BF1220="Approved",NOT(ISNUMBER(T1220))),"Falta fecha de aprobación",IF(AND(ISNUMBER(S1220),ISNUMBER(T1220),T1220&lt;S1220),"Aprobación anterior al envío","")))))))))</f>
        <v/>
      </c>
      <c r="Y1220" s="80">
        <f>IF(COUNTA(B1220,D1220,E1220,F1220,G1220,H1220,I1220,J1220,R1220,S1220,T1220)&gt;0,1,0)</f>
        <v>0</v>
      </c>
      <c r="Z1220" s="80" t="str">
        <f>IF(AND(ISNUMBER(H1220),H1220&gt;=0,H1220&lt;1),ROUND(H1220*1440,0),"")</f>
        <v/>
      </c>
      <c r="AA1220" s="80" t="str">
        <f>IF(AND(ISNUMBER(I1220),I1220&gt;=0,I1220&lt;1),ROUND(I1220*1440,0),"")</f>
        <v/>
      </c>
      <c r="AB1220" s="80">
        <f>IF(AND(ISNUMBER(B1220),D1220&lt;&gt;"",ISNUMBER(Z1220),ISNUMBER(AA1220)),IF(Z1220=AA1220,0,1),0)</f>
        <v>0</v>
      </c>
      <c r="AC1220" s="80">
        <f>IF(AB1220=1,IF(AA1220&lt;Z1220,1,0),0)</f>
        <v>0</v>
      </c>
      <c r="AD1220" s="80">
        <f>IF(AB1220=1,IF(AC1220=1,1440-Z1220+AA1220,AA1220-Z1220),0)</f>
        <v>0</v>
      </c>
      <c r="AE1220" s="80">
        <f>IF(J1220="",0,IF(ISNUMBER(J1220),J1220,-1))</f>
        <v>0</v>
      </c>
      <c r="AF1220" s="80">
        <f>MIN(MAX(0,AE1220),AD1220)</f>
        <v>0</v>
      </c>
      <c r="AG1220" s="80">
        <f>MAX(0,AD1220-MAX(0,AE1220))</f>
        <v>0</v>
      </c>
      <c r="AH1220" s="80">
        <f>IF(ISNUMBER(B1220),IF(AND(INDEX(CFG_WDAYS,WEEKDAY(INT(B1220),2))="Sí",IF(D1220="proMX",COUNTIFS(FER_F,INT(B1220),FER_NLP,"Sí"),COUNTIFS(FER_F,INT(B1220),FER_NLM,"Sí"))=0),1,0),0)</f>
        <v>0</v>
      </c>
      <c r="AI1220" s="80">
        <f>IF(AC1220=1,IF(AND(INDEX(CFG_WDAYS,WEEKDAY(INT(B1220)+1,2))="Sí",IF(D1220="proMX",COUNTIFS(FER_F,INT(B1220)+1,FER_NLP,"Sí"),COUNTIFS(FER_F,INT(B1220)+1,FER_NLM,"Sí"))=0),1,0),0)</f>
        <v>0</v>
      </c>
      <c r="AJ1220" s="80">
        <f>IF(AC1220=1,1440-Z1220,AD1220)</f>
        <v>0</v>
      </c>
      <c r="AK1220" s="80">
        <f>IF(AND(AB1220=1,AH1220=1),MAX(0,MIN(IF(AC1220=1,1440,AA1220),CFG_WEM)-MAX(Z1220,CFG_WSM)),0)</f>
        <v>0</v>
      </c>
      <c r="AL1220" s="80">
        <f>IF(AND(AC1220=1,AI1220=1),MAX(0,MIN(AA1220,CFG_WEM)-CFG_WSM),0)</f>
        <v>0</v>
      </c>
      <c r="AM1220" s="80">
        <f>AK1220+AL1220</f>
        <v>0</v>
      </c>
      <c r="AN1220" s="80">
        <f>IF(CFG_BRK="Proporcional",IF(AD1220=0,0,AF1220*AM1220/AD1220),IF(CFG_BRK="Extras primero",MIN(AM1220,MAX(0,AF1220-(AD1220-AM1220))),MIN(AF1220,AM1220)))</f>
        <v>0</v>
      </c>
      <c r="AO1220" s="80">
        <f>AF1220-AN1220</f>
        <v>0</v>
      </c>
      <c r="AP1220" s="80">
        <f>AM1220-AN1220</f>
        <v>0</v>
      </c>
      <c r="AQ1220" s="80">
        <f>AD1220-AM1220-AO1220</f>
        <v>0</v>
      </c>
      <c r="AR1220" s="80">
        <f>IF(AM1220=0,0,AK1220-AN1220*AK1220/AM1220)</f>
        <v>0</v>
      </c>
      <c r="AS1220" s="80">
        <f>IF(AD1220-AM1220=0,0,(AJ1220-AK1220)-AO1220*(AJ1220-AK1220)/(AD1220-AM1220))</f>
        <v>0</v>
      </c>
      <c r="AT1220" s="80" t="str">
        <f>IF(AC1220=1,INT(B1220)+1,"")</f>
        <v/>
      </c>
      <c r="AU1220" s="80">
        <f>IF(AND(D1220="proMX",R1220="Cancelled"),0,1)</f>
        <v>1</v>
      </c>
      <c r="AV1220" s="80">
        <f>IF(AND(AB1220=1,AU1220=1),IF(COUNTIFS($D$5:D1219,D1220,$B$5:B1219,B1220,$Z$5:Z1219,Z1220,$AA$5:AA1219,AA1220,$F$5:F1219,F1220&amp;"",$AU$5:AU1219,1)&gt;0,1,0),0)</f>
        <v>0</v>
      </c>
      <c r="AW1220" s="80" t="str">
        <f>IF(AB1220=1,INT(B1220)*1440+Z1220,"")</f>
        <v/>
      </c>
      <c r="AX1220" s="80" t="str">
        <f>IF(AB1220=1,AW1220+AD1220,"")</f>
        <v/>
      </c>
      <c r="AY1220" s="80">
        <f>IF(AND(AB1220=1,AV1220=0,AU1220=1),1,0)</f>
        <v>0</v>
      </c>
      <c r="AZ1220" s="80">
        <f>IF(AY1220=1,COUNTIFS(R_Emp,D1220,R_SAbs,"&lt;"&amp;AX1220,R_EAbs,"&gt;"&amp;AW1220,R_OKey,1)-1,0)</f>
        <v>0</v>
      </c>
      <c r="BA1220" s="80">
        <f>IF(AY1220=1,COUNTIFS(R_Emp,"&lt;&gt;"&amp;D1220,R_SAbs,"&lt;"&amp;AX1220,R_EAbs,"&gt;"&amp;AW1220,R_OKey,1),0)</f>
        <v>0</v>
      </c>
      <c r="BB1220" s="80">
        <f>IF(AND(AB1220=1,D1220="proMX"),IF(AND(MOD(Z1220,CFG_BLK)=0,MOD(AA1220,CFG_BLK)=0,MOD(AG1220,CFG_BLK)=0,AG1220&gt;0),1,0),1)</f>
        <v>1</v>
      </c>
      <c r="BC1220" s="80" t="str">
        <f>IF(Y1220=0,"",IF(NOT(ISNUMBER(B1220)),"Falta fecha o fecha inválida",IF(D1220="","Falta empresa",IF(AND(D1220&lt;&gt;"Malcolm",D1220&lt;&gt;"proMX"),"Empresa inválida",IF(OR(INT(B1220)&lt;CFG_PSTART,INT(B1220)&gt;CFG_PEND),"Fecha fuera del período",IF(OR(NOT(ISNUMBER(Z1220)),NOT(ISNUMBER(AA1220))),"Falta hora inicio/fin o formato inválido",IF(AB1220=0,"Hora inicio = hora fin",IF(AE1220&lt;0,"Descanso inválido",IF(AE1220&gt;=AD1220,"Descanso ≥ duración",IF(AV1220=1,"Registro duplicado",IF(AZ1220&gt;0,"Se superpone con otro registro "&amp;D1220,IF(BB1220=0,"inicio, fin y duración neta deben ser múltiplos de "&amp;CFG_BLK&amp;" min",""))))))))))))</f>
        <v/>
      </c>
      <c r="BD1220" s="80">
        <f>IF(AND(Y1220=1,BC1220=""),1,0)</f>
        <v>0</v>
      </c>
      <c r="BE1220" s="80">
        <f>IF(AND(BD1220=1,AU1220=1),1,0)</f>
        <v>0</v>
      </c>
      <c r="BF1220" s="80" t="str">
        <f>IF(AND(D1220="proMX",BD1220=1),IF(R1220="","Draft",R1220),"")</f>
        <v/>
      </c>
      <c r="BG1220" s="80">
        <f>IF(BD1220=1,ROUND(AG1220/60,6),0)</f>
        <v>0</v>
      </c>
      <c r="BH1220" s="80">
        <f>IF(BE1220=1,ROUND(AG1220/60,6),0)</f>
        <v>0</v>
      </c>
      <c r="BI1220" s="80">
        <f>IF(BE1220=1,ROUND(AP1220/60,6),0)</f>
        <v>0</v>
      </c>
      <c r="BJ1220" s="80">
        <f>IF(BE1220=1,ROUND(AQ1220/60,6),0)</f>
        <v>0</v>
      </c>
      <c r="BK1220" s="80">
        <f>IF(BE1220=1,ROUND((AR1220+AS1220)/60,6),0)</f>
        <v>0</v>
      </c>
      <c r="BL1220" s="80">
        <f>ROUND(BH1220-BK1220,6)</f>
        <v>0</v>
      </c>
      <c r="BM1220" s="80">
        <f>IF(BE1220=1,ROUND(AR1220/60,6),0)</f>
        <v>0</v>
      </c>
      <c r="BN1220" s="80">
        <f>ROUND(BI1220-BM1220,6)</f>
        <v>0</v>
      </c>
      <c r="BO1220" s="80">
        <f>IF(BE1220=1,ROUND(AS1220/60,6),0)</f>
        <v>0</v>
      </c>
      <c r="BP1220" s="80">
        <f>ROUND(BJ1220-BO1220,6)</f>
        <v>0</v>
      </c>
      <c r="BQ1220" s="80">
        <f>IF(BE1220=1,AW1220,0)</f>
        <v>0</v>
      </c>
      <c r="BR1220" s="80">
        <f>IF(BE1220=1,AX1220,0)</f>
        <v>0</v>
      </c>
      <c r="BS1220" s="80">
        <f>IF(AND(BE1220=1,D1220="Malcolm",BA1220&gt;0),MIN(BH1220,SUMPRODUCT((R_Emp="proMX")*(R_EN&gt;0)*((R_EN-(R_EN&gt;BR1220)*(R_EN-BR1220))&gt;(R_SN+(R_SN&lt;BQ1220)*(BQ1220-R_SN)))*((R_EN-(R_EN&gt;BR1220)*(R_EN-BR1220))-(R_SN+(R_SN&lt;BQ1220)*(BQ1220-R_SN))))/60),0)</f>
        <v>0</v>
      </c>
      <c r="BT1220" s="80">
        <f>IF(AND(BE1220=1,D1220="proMX"),ROUND(BI1220*CFG_RATE+BJ1220*CFG_OTRATE,6),0)</f>
        <v>0</v>
      </c>
      <c r="BU1220" s="80">
        <f>IF(AND(BD1220=1,D1220="proMX"),ROUND(AG1220/CFG_BLK,6),0)</f>
        <v>0</v>
      </c>
      <c r="BV1220" s="80" t="str">
        <f>IF(BF1220="Approved",IF(ISNUMBER(T1220),INT(T1220),INT(B1220)),"")</f>
        <v/>
      </c>
      <c r="BW1220" s="80">
        <f>IF(ISNUMBER(B1220),IF(DB_MON="Todos",1,IF(AND(INT(B1220)&gt;=DB_MS,INT(B1220)&lt;=DB_ME),1,0)),0)</f>
        <v>0</v>
      </c>
      <c r="BX1220" s="80">
        <f>IF(DB_PROJ="Todos",1,IF(E1220&amp;""=DB_PROJ&amp;"",1,0))</f>
        <v>1</v>
      </c>
      <c r="BY1220" s="80">
        <f>BW1220*BX1220</f>
        <v>0</v>
      </c>
      <c r="BZ1220" s="80" t="str">
        <f>IF(Y1220=1,F1220&amp;IF(AND(F1220&amp;""&lt;&gt;"",E1220&amp;""&lt;&gt;"")," · ","")&amp;E1220,"")</f>
        <v/>
      </c>
      <c r="CA1220" s="80" t="str">
        <f>IF(AND(BD1220=1,E1220&amp;""&lt;&gt;""),IF(COUNTIFS($E$5:E1219,E1220,$BD$5:BD1219,1)=0,MAX($CA$5:CA1219)+1,""),"")</f>
        <v/>
      </c>
      <c r="CB1220" s="80" t="str">
        <f>IF(AND(BE1220=1,D1220="Malcolm",E1220&amp;""&lt;&gt;""),IF(COUNTIFS($D$5:D1219,"Malcolm",$E$5:E1219,E1220,$BE$5:BE1219,1)=0,MAX($CB$5:CB1219)+1,""),"")</f>
        <v/>
      </c>
      <c r="CC1220" s="80" t="str">
        <f>IF(AND(BD1220=1,D1220="proMX",E1220&amp;""&lt;&gt;""),IF(COUNTIFS($D$5:D1219,"proMX",$E$5:E1219,E1220,$BD$5:BD1219,1)=0,MAX($CC$5:CC1219)+1,""),"")</f>
        <v/>
      </c>
      <c r="CD1220" s="80" t="str">
        <f>IF(AND(BE1220=1,D1220="Malcolm",F1220&amp;""&lt;&gt;""),IF(COUNTIFS($D$5:D1219,"Malcolm",$F$5:F1219,F1220,$BE$5:BE1219,1)=0,MAX($CD$5:CD1219)+1,""),"")</f>
        <v/>
      </c>
      <c r="CE1220" s="80" t="str">
        <f>IF(AND(BD1220=1,D1220="proMX",F1220&amp;""&lt;&gt;""),IF(COUNTIFS($D$5:D1219,"proMX",$F$5:F1219,F1220,$BD$5:BD1219,1)=0,MAX($CE$5:CE1219)+1,""),"")</f>
        <v/>
      </c>
      <c r="CF1220" s="80" t="str">
        <f>IF(AND(D1220="proMX",BD1220=1),IF(OR(BF1220="Draft",BF1220="Submitted",BF1220="Returned",BF1220="Recall Requested"),MAX($CF$5:CF1219)+1,""),"")</f>
        <v/>
      </c>
      <c r="CG1220" s="80">
        <f>IF(BD1220=0,0,IF(D1220="Malcolm",1,MATCH(BF1220,{"Draft","Submitted","Approved","Returned","Recall Requested","Cancelled"},0)+1))</f>
        <v>0</v>
      </c>
      <c r="CH1220" s="80">
        <f>IF(AND(BF1220="Submitted",ISNUMBER(V1220)),IF(V1220&gt;CFG_MAXD,1,0),0)</f>
        <v>0</v>
      </c>
    </row>
    <row r="1221">
      <c r="A1221" s="71" t="str">
        <f>IF(Y1221=1,ROW()-5,"")</f>
        <v/>
      </c>
      <c r="B1221" s="72" t="n"/>
      <c r="C1221" s="71" t="str">
        <f>IF(ISNUMBER(B1221),CHOOSE(WEEKDAY(B1221,2),"Lun","Mar","Mié","Jue","Vie","Sáb","Dom"),"")</f>
        <v/>
      </c>
      <c r="D1221" s="73" t="n"/>
      <c r="E1221" s="74" t="n"/>
      <c r="F1221" s="74" t="n"/>
      <c r="G1221" s="74" t="n"/>
      <c r="H1221" s="75" t="n"/>
      <c r="I1221" s="75" t="n"/>
      <c r="J1221" s="76" t="n"/>
      <c r="K1221" s="77" t="str">
        <f>IF(AB1221=1,ROUND(AG1221/60,4),"")</f>
        <v/>
      </c>
      <c r="L1221" s="77" t="str">
        <f>IF(BD1221=1,ROUND(AP1221/60,4),"")</f>
        <v/>
      </c>
      <c r="M1221" s="77" t="str">
        <f>IF(BD1221=1,ROUND(AQ1221/60,4),"")</f>
        <v/>
      </c>
      <c r="N1221" s="71" t="str">
        <f>IF(AND(D1221="proMX",AB1221=1),ROUND(AG1221/CFG_BLK,2),"")</f>
        <v/>
      </c>
      <c r="O1221" s="77" t="str">
        <f>IF(D1221="proMX",IF(BD1221=1,ROUND(AG1221/60,4),0),"")</f>
        <v/>
      </c>
      <c r="P1221" s="78" t="str">
        <f>IF(Y1221=0,"",IF(BD1221=1,"OK",IF(D1221="proMX","Revisar bloques: ","Revisar: ")&amp;BC1221))</f>
        <v/>
      </c>
      <c r="Q1221" s="78" t="str">
        <f>IF(NOT(ISNUMBER(B1221)),"",IF(COUNTIFS(FER_F,INT(B1221))&gt;0,"Feriado"&amp;IF(AH1221=1," (laborable)"," (no laborable)"),IF(AH1221=1,"Laborable",IF(WEEKDAY(B1221,2)&gt;5,"Fin de semana","No laborable"))))</f>
        <v/>
      </c>
      <c r="R1221" s="73" t="n"/>
      <c r="S1221" s="72" t="n"/>
      <c r="T1221" s="72" t="n"/>
      <c r="U1221" s="74" t="n"/>
      <c r="V1221" s="79" t="str">
        <f>IF(AND(D1221="proMX",OR(R1221="Submitted",R1221="Recall Requested"),ISNUMBER(S1221)),CFG_TODAY-INT(S1221),"")</f>
        <v/>
      </c>
      <c r="W1221" s="78" t="str">
        <f>IF(BD1221=0,"",IF(BA1221&gt;0,"⚠ Se superpone con un registro de la otra empresa",IF(D1221="Malcolm",IF(COUNTA(R1221,S1221,T1221)&gt;0,"Estado/fechas proMX se ignoran en Malcolm",""),IF(BF1221="Cancelled","Cancelado: excluido de totales",IF(R1221="","Sin estado: se trata como Draft",IF(BF1221="Submitted",IF(ISNUMBER(V1221),IF(V1221&gt;CFG_MAXD,"⚠ "&amp;V1221&amp;" días en Submitted (máx. "&amp;CFG_MAXD&amp;")",""),"Falta fecha de envío"),IF(BF1221="Returned","⚠ Devuelto: corregir y reenviar",IF(BF1221="Recall Requested","Retirada solicitada: pendiente",IF(AND(BF1221="Approved",NOT(ISNUMBER(T1221))),"Falta fecha de aprobación",IF(AND(ISNUMBER(S1221),ISNUMBER(T1221),T1221&lt;S1221),"Aprobación anterior al envío","")))))))))</f>
        <v/>
      </c>
      <c r="Y1221" s="80">
        <f>IF(COUNTA(B1221,D1221,E1221,F1221,G1221,H1221,I1221,J1221,R1221,S1221,T1221)&gt;0,1,0)</f>
        <v>0</v>
      </c>
      <c r="Z1221" s="80" t="str">
        <f>IF(AND(ISNUMBER(H1221),H1221&gt;=0,H1221&lt;1),ROUND(H1221*1440,0),"")</f>
        <v/>
      </c>
      <c r="AA1221" s="80" t="str">
        <f>IF(AND(ISNUMBER(I1221),I1221&gt;=0,I1221&lt;1),ROUND(I1221*1440,0),"")</f>
        <v/>
      </c>
      <c r="AB1221" s="80">
        <f>IF(AND(ISNUMBER(B1221),D1221&lt;&gt;"",ISNUMBER(Z1221),ISNUMBER(AA1221)),IF(Z1221=AA1221,0,1),0)</f>
        <v>0</v>
      </c>
      <c r="AC1221" s="80">
        <f>IF(AB1221=1,IF(AA1221&lt;Z1221,1,0),0)</f>
        <v>0</v>
      </c>
      <c r="AD1221" s="80">
        <f>IF(AB1221=1,IF(AC1221=1,1440-Z1221+AA1221,AA1221-Z1221),0)</f>
        <v>0</v>
      </c>
      <c r="AE1221" s="80">
        <f>IF(J1221="",0,IF(ISNUMBER(J1221),J1221,-1))</f>
        <v>0</v>
      </c>
      <c r="AF1221" s="80">
        <f>MIN(MAX(0,AE1221),AD1221)</f>
        <v>0</v>
      </c>
      <c r="AG1221" s="80">
        <f>MAX(0,AD1221-MAX(0,AE1221))</f>
        <v>0</v>
      </c>
      <c r="AH1221" s="80">
        <f>IF(ISNUMBER(B1221),IF(AND(INDEX(CFG_WDAYS,WEEKDAY(INT(B1221),2))="Sí",IF(D1221="proMX",COUNTIFS(FER_F,INT(B1221),FER_NLP,"Sí"),COUNTIFS(FER_F,INT(B1221),FER_NLM,"Sí"))=0),1,0),0)</f>
        <v>0</v>
      </c>
      <c r="AI1221" s="80">
        <f>IF(AC1221=1,IF(AND(INDEX(CFG_WDAYS,WEEKDAY(INT(B1221)+1,2))="Sí",IF(D1221="proMX",COUNTIFS(FER_F,INT(B1221)+1,FER_NLP,"Sí"),COUNTIFS(FER_F,INT(B1221)+1,FER_NLM,"Sí"))=0),1,0),0)</f>
        <v>0</v>
      </c>
      <c r="AJ1221" s="80">
        <f>IF(AC1221=1,1440-Z1221,AD1221)</f>
        <v>0</v>
      </c>
      <c r="AK1221" s="80">
        <f>IF(AND(AB1221=1,AH1221=1),MAX(0,MIN(IF(AC1221=1,1440,AA1221),CFG_WEM)-MAX(Z1221,CFG_WSM)),0)</f>
        <v>0</v>
      </c>
      <c r="AL1221" s="80">
        <f>IF(AND(AC1221=1,AI1221=1),MAX(0,MIN(AA1221,CFG_WEM)-CFG_WSM),0)</f>
        <v>0</v>
      </c>
      <c r="AM1221" s="80">
        <f>AK1221+AL1221</f>
        <v>0</v>
      </c>
      <c r="AN1221" s="80">
        <f>IF(CFG_BRK="Proporcional",IF(AD1221=0,0,AF1221*AM1221/AD1221),IF(CFG_BRK="Extras primero",MIN(AM1221,MAX(0,AF1221-(AD1221-AM1221))),MIN(AF1221,AM1221)))</f>
        <v>0</v>
      </c>
      <c r="AO1221" s="80">
        <f>AF1221-AN1221</f>
        <v>0</v>
      </c>
      <c r="AP1221" s="80">
        <f>AM1221-AN1221</f>
        <v>0</v>
      </c>
      <c r="AQ1221" s="80">
        <f>AD1221-AM1221-AO1221</f>
        <v>0</v>
      </c>
      <c r="AR1221" s="80">
        <f>IF(AM1221=0,0,AK1221-AN1221*AK1221/AM1221)</f>
        <v>0</v>
      </c>
      <c r="AS1221" s="80">
        <f>IF(AD1221-AM1221=0,0,(AJ1221-AK1221)-AO1221*(AJ1221-AK1221)/(AD1221-AM1221))</f>
        <v>0</v>
      </c>
      <c r="AT1221" s="80" t="str">
        <f>IF(AC1221=1,INT(B1221)+1,"")</f>
        <v/>
      </c>
      <c r="AU1221" s="80">
        <f>IF(AND(D1221="proMX",R1221="Cancelled"),0,1)</f>
        <v>1</v>
      </c>
      <c r="AV1221" s="80">
        <f>IF(AND(AB1221=1,AU1221=1),IF(COUNTIFS($D$5:D1220,D1221,$B$5:B1220,B1221,$Z$5:Z1220,Z1221,$AA$5:AA1220,AA1221,$F$5:F1220,F1221&amp;"",$AU$5:AU1220,1)&gt;0,1,0),0)</f>
        <v>0</v>
      </c>
      <c r="AW1221" s="80" t="str">
        <f>IF(AB1221=1,INT(B1221)*1440+Z1221,"")</f>
        <v/>
      </c>
      <c r="AX1221" s="80" t="str">
        <f>IF(AB1221=1,AW1221+AD1221,"")</f>
        <v/>
      </c>
      <c r="AY1221" s="80">
        <f>IF(AND(AB1221=1,AV1221=0,AU1221=1),1,0)</f>
        <v>0</v>
      </c>
      <c r="AZ1221" s="80">
        <f>IF(AY1221=1,COUNTIFS(R_Emp,D1221,R_SAbs,"&lt;"&amp;AX1221,R_EAbs,"&gt;"&amp;AW1221,R_OKey,1)-1,0)</f>
        <v>0</v>
      </c>
      <c r="BA1221" s="80">
        <f>IF(AY1221=1,COUNTIFS(R_Emp,"&lt;&gt;"&amp;D1221,R_SAbs,"&lt;"&amp;AX1221,R_EAbs,"&gt;"&amp;AW1221,R_OKey,1),0)</f>
        <v>0</v>
      </c>
      <c r="BB1221" s="80">
        <f>IF(AND(AB1221=1,D1221="proMX"),IF(AND(MOD(Z1221,CFG_BLK)=0,MOD(AA1221,CFG_BLK)=0,MOD(AG1221,CFG_BLK)=0,AG1221&gt;0),1,0),1)</f>
        <v>1</v>
      </c>
      <c r="BC1221" s="80" t="str">
        <f>IF(Y1221=0,"",IF(NOT(ISNUMBER(B1221)),"Falta fecha o fecha inválida",IF(D1221="","Falta empresa",IF(AND(D1221&lt;&gt;"Malcolm",D1221&lt;&gt;"proMX"),"Empresa inválida",IF(OR(INT(B1221)&lt;CFG_PSTART,INT(B1221)&gt;CFG_PEND),"Fecha fuera del período",IF(OR(NOT(ISNUMBER(Z1221)),NOT(ISNUMBER(AA1221))),"Falta hora inicio/fin o formato inválido",IF(AB1221=0,"Hora inicio = hora fin",IF(AE1221&lt;0,"Descanso inválido",IF(AE1221&gt;=AD1221,"Descanso ≥ duración",IF(AV1221=1,"Registro duplicado",IF(AZ1221&gt;0,"Se superpone con otro registro "&amp;D1221,IF(BB1221=0,"inicio, fin y duración neta deben ser múltiplos de "&amp;CFG_BLK&amp;" min",""))))))))))))</f>
        <v/>
      </c>
      <c r="BD1221" s="80">
        <f>IF(AND(Y1221=1,BC1221=""),1,0)</f>
        <v>0</v>
      </c>
      <c r="BE1221" s="80">
        <f>IF(AND(BD1221=1,AU1221=1),1,0)</f>
        <v>0</v>
      </c>
      <c r="BF1221" s="80" t="str">
        <f>IF(AND(D1221="proMX",BD1221=1),IF(R1221="","Draft",R1221),"")</f>
        <v/>
      </c>
      <c r="BG1221" s="80">
        <f>IF(BD1221=1,ROUND(AG1221/60,6),0)</f>
        <v>0</v>
      </c>
      <c r="BH1221" s="80">
        <f>IF(BE1221=1,ROUND(AG1221/60,6),0)</f>
        <v>0</v>
      </c>
      <c r="BI1221" s="80">
        <f>IF(BE1221=1,ROUND(AP1221/60,6),0)</f>
        <v>0</v>
      </c>
      <c r="BJ1221" s="80">
        <f>IF(BE1221=1,ROUND(AQ1221/60,6),0)</f>
        <v>0</v>
      </c>
      <c r="BK1221" s="80">
        <f>IF(BE1221=1,ROUND((AR1221+AS1221)/60,6),0)</f>
        <v>0</v>
      </c>
      <c r="BL1221" s="80">
        <f>ROUND(BH1221-BK1221,6)</f>
        <v>0</v>
      </c>
      <c r="BM1221" s="80">
        <f>IF(BE1221=1,ROUND(AR1221/60,6),0)</f>
        <v>0</v>
      </c>
      <c r="BN1221" s="80">
        <f>ROUND(BI1221-BM1221,6)</f>
        <v>0</v>
      </c>
      <c r="BO1221" s="80">
        <f>IF(BE1221=1,ROUND(AS1221/60,6),0)</f>
        <v>0</v>
      </c>
      <c r="BP1221" s="80">
        <f>ROUND(BJ1221-BO1221,6)</f>
        <v>0</v>
      </c>
      <c r="BQ1221" s="80">
        <f>IF(BE1221=1,AW1221,0)</f>
        <v>0</v>
      </c>
      <c r="BR1221" s="80">
        <f>IF(BE1221=1,AX1221,0)</f>
        <v>0</v>
      </c>
      <c r="BS1221" s="80">
        <f>IF(AND(BE1221=1,D1221="Malcolm",BA1221&gt;0),MIN(BH1221,SUMPRODUCT((R_Emp="proMX")*(R_EN&gt;0)*((R_EN-(R_EN&gt;BR1221)*(R_EN-BR1221))&gt;(R_SN+(R_SN&lt;BQ1221)*(BQ1221-R_SN)))*((R_EN-(R_EN&gt;BR1221)*(R_EN-BR1221))-(R_SN+(R_SN&lt;BQ1221)*(BQ1221-R_SN))))/60),0)</f>
        <v>0</v>
      </c>
      <c r="BT1221" s="80">
        <f>IF(AND(BE1221=1,D1221="proMX"),ROUND(BI1221*CFG_RATE+BJ1221*CFG_OTRATE,6),0)</f>
        <v>0</v>
      </c>
      <c r="BU1221" s="80">
        <f>IF(AND(BD1221=1,D1221="proMX"),ROUND(AG1221/CFG_BLK,6),0)</f>
        <v>0</v>
      </c>
      <c r="BV1221" s="80" t="str">
        <f>IF(BF1221="Approved",IF(ISNUMBER(T1221),INT(T1221),INT(B1221)),"")</f>
        <v/>
      </c>
      <c r="BW1221" s="80">
        <f>IF(ISNUMBER(B1221),IF(DB_MON="Todos",1,IF(AND(INT(B1221)&gt;=DB_MS,INT(B1221)&lt;=DB_ME),1,0)),0)</f>
        <v>0</v>
      </c>
      <c r="BX1221" s="80">
        <f>IF(DB_PROJ="Todos",1,IF(E1221&amp;""=DB_PROJ&amp;"",1,0))</f>
        <v>1</v>
      </c>
      <c r="BY1221" s="80">
        <f>BW1221*BX1221</f>
        <v>0</v>
      </c>
      <c r="BZ1221" s="80" t="str">
        <f>IF(Y1221=1,F1221&amp;IF(AND(F1221&amp;""&lt;&gt;"",E1221&amp;""&lt;&gt;"")," · ","")&amp;E1221,"")</f>
        <v/>
      </c>
      <c r="CA1221" s="80" t="str">
        <f>IF(AND(BD1221=1,E1221&amp;""&lt;&gt;""),IF(COUNTIFS($E$5:E1220,E1221,$BD$5:BD1220,1)=0,MAX($CA$5:CA1220)+1,""),"")</f>
        <v/>
      </c>
      <c r="CB1221" s="80" t="str">
        <f>IF(AND(BE1221=1,D1221="Malcolm",E1221&amp;""&lt;&gt;""),IF(COUNTIFS($D$5:D1220,"Malcolm",$E$5:E1220,E1221,$BE$5:BE1220,1)=0,MAX($CB$5:CB1220)+1,""),"")</f>
        <v/>
      </c>
      <c r="CC1221" s="80" t="str">
        <f>IF(AND(BD1221=1,D1221="proMX",E1221&amp;""&lt;&gt;""),IF(COUNTIFS($D$5:D1220,"proMX",$E$5:E1220,E1221,$BD$5:BD1220,1)=0,MAX($CC$5:CC1220)+1,""),"")</f>
        <v/>
      </c>
      <c r="CD1221" s="80" t="str">
        <f>IF(AND(BE1221=1,D1221="Malcolm",F1221&amp;""&lt;&gt;""),IF(COUNTIFS($D$5:D1220,"Malcolm",$F$5:F1220,F1221,$BE$5:BE1220,1)=0,MAX($CD$5:CD1220)+1,""),"")</f>
        <v/>
      </c>
      <c r="CE1221" s="80" t="str">
        <f>IF(AND(BD1221=1,D1221="proMX",F1221&amp;""&lt;&gt;""),IF(COUNTIFS($D$5:D1220,"proMX",$F$5:F1220,F1221,$BD$5:BD1220,1)=0,MAX($CE$5:CE1220)+1,""),"")</f>
        <v/>
      </c>
      <c r="CF1221" s="80" t="str">
        <f>IF(AND(D1221="proMX",BD1221=1),IF(OR(BF1221="Draft",BF1221="Submitted",BF1221="Returned",BF1221="Recall Requested"),MAX($CF$5:CF1220)+1,""),"")</f>
        <v/>
      </c>
      <c r="CG1221" s="80">
        <f>IF(BD1221=0,0,IF(D1221="Malcolm",1,MATCH(BF1221,{"Draft","Submitted","Approved","Returned","Recall Requested","Cancelled"},0)+1))</f>
        <v>0</v>
      </c>
      <c r="CH1221" s="80">
        <f>IF(AND(BF1221="Submitted",ISNUMBER(V1221)),IF(V1221&gt;CFG_MAXD,1,0),0)</f>
        <v>0</v>
      </c>
    </row>
    <row r="1222">
      <c r="A1222" s="71" t="str">
        <f>IF(Y1222=1,ROW()-5,"")</f>
        <v/>
      </c>
      <c r="B1222" s="72" t="n"/>
      <c r="C1222" s="71" t="str">
        <f>IF(ISNUMBER(B1222),CHOOSE(WEEKDAY(B1222,2),"Lun","Mar","Mié","Jue","Vie","Sáb","Dom"),"")</f>
        <v/>
      </c>
      <c r="D1222" s="73" t="n"/>
      <c r="E1222" s="74" t="n"/>
      <c r="F1222" s="74" t="n"/>
      <c r="G1222" s="74" t="n"/>
      <c r="H1222" s="75" t="n"/>
      <c r="I1222" s="75" t="n"/>
      <c r="J1222" s="76" t="n"/>
      <c r="K1222" s="77" t="str">
        <f>IF(AB1222=1,ROUND(AG1222/60,4),"")</f>
        <v/>
      </c>
      <c r="L1222" s="77" t="str">
        <f>IF(BD1222=1,ROUND(AP1222/60,4),"")</f>
        <v/>
      </c>
      <c r="M1222" s="77" t="str">
        <f>IF(BD1222=1,ROUND(AQ1222/60,4),"")</f>
        <v/>
      </c>
      <c r="N1222" s="71" t="str">
        <f>IF(AND(D1222="proMX",AB1222=1),ROUND(AG1222/CFG_BLK,2),"")</f>
        <v/>
      </c>
      <c r="O1222" s="77" t="str">
        <f>IF(D1222="proMX",IF(BD1222=1,ROUND(AG1222/60,4),0),"")</f>
        <v/>
      </c>
      <c r="P1222" s="78" t="str">
        <f>IF(Y1222=0,"",IF(BD1222=1,"OK",IF(D1222="proMX","Revisar bloques: ","Revisar: ")&amp;BC1222))</f>
        <v/>
      </c>
      <c r="Q1222" s="78" t="str">
        <f>IF(NOT(ISNUMBER(B1222)),"",IF(COUNTIFS(FER_F,INT(B1222))&gt;0,"Feriado"&amp;IF(AH1222=1," (laborable)"," (no laborable)"),IF(AH1222=1,"Laborable",IF(WEEKDAY(B1222,2)&gt;5,"Fin de semana","No laborable"))))</f>
        <v/>
      </c>
      <c r="R1222" s="73" t="n"/>
      <c r="S1222" s="72" t="n"/>
      <c r="T1222" s="72" t="n"/>
      <c r="U1222" s="74" t="n"/>
      <c r="V1222" s="79" t="str">
        <f>IF(AND(D1222="proMX",OR(R1222="Submitted",R1222="Recall Requested"),ISNUMBER(S1222)),CFG_TODAY-INT(S1222),"")</f>
        <v/>
      </c>
      <c r="W1222" s="78" t="str">
        <f>IF(BD1222=0,"",IF(BA1222&gt;0,"⚠ Se superpone con un registro de la otra empresa",IF(D1222="Malcolm",IF(COUNTA(R1222,S1222,T1222)&gt;0,"Estado/fechas proMX se ignoran en Malcolm",""),IF(BF1222="Cancelled","Cancelado: excluido de totales",IF(R1222="","Sin estado: se trata como Draft",IF(BF1222="Submitted",IF(ISNUMBER(V1222),IF(V1222&gt;CFG_MAXD,"⚠ "&amp;V1222&amp;" días en Submitted (máx. "&amp;CFG_MAXD&amp;")",""),"Falta fecha de envío"),IF(BF1222="Returned","⚠ Devuelto: corregir y reenviar",IF(BF1222="Recall Requested","Retirada solicitada: pendiente",IF(AND(BF1222="Approved",NOT(ISNUMBER(T1222))),"Falta fecha de aprobación",IF(AND(ISNUMBER(S1222),ISNUMBER(T1222),T1222&lt;S1222),"Aprobación anterior al envío","")))))))))</f>
        <v/>
      </c>
      <c r="Y1222" s="80">
        <f>IF(COUNTA(B1222,D1222,E1222,F1222,G1222,H1222,I1222,J1222,R1222,S1222,T1222)&gt;0,1,0)</f>
        <v>0</v>
      </c>
      <c r="Z1222" s="80" t="str">
        <f>IF(AND(ISNUMBER(H1222),H1222&gt;=0,H1222&lt;1),ROUND(H1222*1440,0),"")</f>
        <v/>
      </c>
      <c r="AA1222" s="80" t="str">
        <f>IF(AND(ISNUMBER(I1222),I1222&gt;=0,I1222&lt;1),ROUND(I1222*1440,0),"")</f>
        <v/>
      </c>
      <c r="AB1222" s="80">
        <f>IF(AND(ISNUMBER(B1222),D1222&lt;&gt;"",ISNUMBER(Z1222),ISNUMBER(AA1222)),IF(Z1222=AA1222,0,1),0)</f>
        <v>0</v>
      </c>
      <c r="AC1222" s="80">
        <f>IF(AB1222=1,IF(AA1222&lt;Z1222,1,0),0)</f>
        <v>0</v>
      </c>
      <c r="AD1222" s="80">
        <f>IF(AB1222=1,IF(AC1222=1,1440-Z1222+AA1222,AA1222-Z1222),0)</f>
        <v>0</v>
      </c>
      <c r="AE1222" s="80">
        <f>IF(J1222="",0,IF(ISNUMBER(J1222),J1222,-1))</f>
        <v>0</v>
      </c>
      <c r="AF1222" s="80">
        <f>MIN(MAX(0,AE1222),AD1222)</f>
        <v>0</v>
      </c>
      <c r="AG1222" s="80">
        <f>MAX(0,AD1222-MAX(0,AE1222))</f>
        <v>0</v>
      </c>
      <c r="AH1222" s="80">
        <f>IF(ISNUMBER(B1222),IF(AND(INDEX(CFG_WDAYS,WEEKDAY(INT(B1222),2))="Sí",IF(D1222="proMX",COUNTIFS(FER_F,INT(B1222),FER_NLP,"Sí"),COUNTIFS(FER_F,INT(B1222),FER_NLM,"Sí"))=0),1,0),0)</f>
        <v>0</v>
      </c>
      <c r="AI1222" s="80">
        <f>IF(AC1222=1,IF(AND(INDEX(CFG_WDAYS,WEEKDAY(INT(B1222)+1,2))="Sí",IF(D1222="proMX",COUNTIFS(FER_F,INT(B1222)+1,FER_NLP,"Sí"),COUNTIFS(FER_F,INT(B1222)+1,FER_NLM,"Sí"))=0),1,0),0)</f>
        <v>0</v>
      </c>
      <c r="AJ1222" s="80">
        <f>IF(AC1222=1,1440-Z1222,AD1222)</f>
        <v>0</v>
      </c>
      <c r="AK1222" s="80">
        <f>IF(AND(AB1222=1,AH1222=1),MAX(0,MIN(IF(AC1222=1,1440,AA1222),CFG_WEM)-MAX(Z1222,CFG_WSM)),0)</f>
        <v>0</v>
      </c>
      <c r="AL1222" s="80">
        <f>IF(AND(AC1222=1,AI1222=1),MAX(0,MIN(AA1222,CFG_WEM)-CFG_WSM),0)</f>
        <v>0</v>
      </c>
      <c r="AM1222" s="80">
        <f>AK1222+AL1222</f>
        <v>0</v>
      </c>
      <c r="AN1222" s="80">
        <f>IF(CFG_BRK="Proporcional",IF(AD1222=0,0,AF1222*AM1222/AD1222),IF(CFG_BRK="Extras primero",MIN(AM1222,MAX(0,AF1222-(AD1222-AM1222))),MIN(AF1222,AM1222)))</f>
        <v>0</v>
      </c>
      <c r="AO1222" s="80">
        <f>AF1222-AN1222</f>
        <v>0</v>
      </c>
      <c r="AP1222" s="80">
        <f>AM1222-AN1222</f>
        <v>0</v>
      </c>
      <c r="AQ1222" s="80">
        <f>AD1222-AM1222-AO1222</f>
        <v>0</v>
      </c>
      <c r="AR1222" s="80">
        <f>IF(AM1222=0,0,AK1222-AN1222*AK1222/AM1222)</f>
        <v>0</v>
      </c>
      <c r="AS1222" s="80">
        <f>IF(AD1222-AM1222=0,0,(AJ1222-AK1222)-AO1222*(AJ1222-AK1222)/(AD1222-AM1222))</f>
        <v>0</v>
      </c>
      <c r="AT1222" s="80" t="str">
        <f>IF(AC1222=1,INT(B1222)+1,"")</f>
        <v/>
      </c>
      <c r="AU1222" s="80">
        <f>IF(AND(D1222="proMX",R1222="Cancelled"),0,1)</f>
        <v>1</v>
      </c>
      <c r="AV1222" s="80">
        <f>IF(AND(AB1222=1,AU1222=1),IF(COUNTIFS($D$5:D1221,D1222,$B$5:B1221,B1222,$Z$5:Z1221,Z1222,$AA$5:AA1221,AA1222,$F$5:F1221,F1222&amp;"",$AU$5:AU1221,1)&gt;0,1,0),0)</f>
        <v>0</v>
      </c>
      <c r="AW1222" s="80" t="str">
        <f>IF(AB1222=1,INT(B1222)*1440+Z1222,"")</f>
        <v/>
      </c>
      <c r="AX1222" s="80" t="str">
        <f>IF(AB1222=1,AW1222+AD1222,"")</f>
        <v/>
      </c>
      <c r="AY1222" s="80">
        <f>IF(AND(AB1222=1,AV1222=0,AU1222=1),1,0)</f>
        <v>0</v>
      </c>
      <c r="AZ1222" s="80">
        <f>IF(AY1222=1,COUNTIFS(R_Emp,D1222,R_SAbs,"&lt;"&amp;AX1222,R_EAbs,"&gt;"&amp;AW1222,R_OKey,1)-1,0)</f>
        <v>0</v>
      </c>
      <c r="BA1222" s="80">
        <f>IF(AY1222=1,COUNTIFS(R_Emp,"&lt;&gt;"&amp;D1222,R_SAbs,"&lt;"&amp;AX1222,R_EAbs,"&gt;"&amp;AW1222,R_OKey,1),0)</f>
        <v>0</v>
      </c>
      <c r="BB1222" s="80">
        <f>IF(AND(AB1222=1,D1222="proMX"),IF(AND(MOD(Z1222,CFG_BLK)=0,MOD(AA1222,CFG_BLK)=0,MOD(AG1222,CFG_BLK)=0,AG1222&gt;0),1,0),1)</f>
        <v>1</v>
      </c>
      <c r="BC1222" s="80" t="str">
        <f>IF(Y1222=0,"",IF(NOT(ISNUMBER(B1222)),"Falta fecha o fecha inválida",IF(D1222="","Falta empresa",IF(AND(D1222&lt;&gt;"Malcolm",D1222&lt;&gt;"proMX"),"Empresa inválida",IF(OR(INT(B1222)&lt;CFG_PSTART,INT(B1222)&gt;CFG_PEND),"Fecha fuera del período",IF(OR(NOT(ISNUMBER(Z1222)),NOT(ISNUMBER(AA1222))),"Falta hora inicio/fin o formato inválido",IF(AB1222=0,"Hora inicio = hora fin",IF(AE1222&lt;0,"Descanso inválido",IF(AE1222&gt;=AD1222,"Descanso ≥ duración",IF(AV1222=1,"Registro duplicado",IF(AZ1222&gt;0,"Se superpone con otro registro "&amp;D1222,IF(BB1222=0,"inicio, fin y duración neta deben ser múltiplos de "&amp;CFG_BLK&amp;" min",""))))))))))))</f>
        <v/>
      </c>
      <c r="BD1222" s="80">
        <f>IF(AND(Y1222=1,BC1222=""),1,0)</f>
        <v>0</v>
      </c>
      <c r="BE1222" s="80">
        <f>IF(AND(BD1222=1,AU1222=1),1,0)</f>
        <v>0</v>
      </c>
      <c r="BF1222" s="80" t="str">
        <f>IF(AND(D1222="proMX",BD1222=1),IF(R1222="","Draft",R1222),"")</f>
        <v/>
      </c>
      <c r="BG1222" s="80">
        <f>IF(BD1222=1,ROUND(AG1222/60,6),0)</f>
        <v>0</v>
      </c>
      <c r="BH1222" s="80">
        <f>IF(BE1222=1,ROUND(AG1222/60,6),0)</f>
        <v>0</v>
      </c>
      <c r="BI1222" s="80">
        <f>IF(BE1222=1,ROUND(AP1222/60,6),0)</f>
        <v>0</v>
      </c>
      <c r="BJ1222" s="80">
        <f>IF(BE1222=1,ROUND(AQ1222/60,6),0)</f>
        <v>0</v>
      </c>
      <c r="BK1222" s="80">
        <f>IF(BE1222=1,ROUND((AR1222+AS1222)/60,6),0)</f>
        <v>0</v>
      </c>
      <c r="BL1222" s="80">
        <f>ROUND(BH1222-BK1222,6)</f>
        <v>0</v>
      </c>
      <c r="BM1222" s="80">
        <f>IF(BE1222=1,ROUND(AR1222/60,6),0)</f>
        <v>0</v>
      </c>
      <c r="BN1222" s="80">
        <f>ROUND(BI1222-BM1222,6)</f>
        <v>0</v>
      </c>
      <c r="BO1222" s="80">
        <f>IF(BE1222=1,ROUND(AS1222/60,6),0)</f>
        <v>0</v>
      </c>
      <c r="BP1222" s="80">
        <f>ROUND(BJ1222-BO1222,6)</f>
        <v>0</v>
      </c>
      <c r="BQ1222" s="80">
        <f>IF(BE1222=1,AW1222,0)</f>
        <v>0</v>
      </c>
      <c r="BR1222" s="80">
        <f>IF(BE1222=1,AX1222,0)</f>
        <v>0</v>
      </c>
      <c r="BS1222" s="80">
        <f>IF(AND(BE1222=1,D1222="Malcolm",BA1222&gt;0),MIN(BH1222,SUMPRODUCT((R_Emp="proMX")*(R_EN&gt;0)*((R_EN-(R_EN&gt;BR1222)*(R_EN-BR1222))&gt;(R_SN+(R_SN&lt;BQ1222)*(BQ1222-R_SN)))*((R_EN-(R_EN&gt;BR1222)*(R_EN-BR1222))-(R_SN+(R_SN&lt;BQ1222)*(BQ1222-R_SN))))/60),0)</f>
        <v>0</v>
      </c>
      <c r="BT1222" s="80">
        <f>IF(AND(BE1222=1,D1222="proMX"),ROUND(BI1222*CFG_RATE+BJ1222*CFG_OTRATE,6),0)</f>
        <v>0</v>
      </c>
      <c r="BU1222" s="80">
        <f>IF(AND(BD1222=1,D1222="proMX"),ROUND(AG1222/CFG_BLK,6),0)</f>
        <v>0</v>
      </c>
      <c r="BV1222" s="80" t="str">
        <f>IF(BF1222="Approved",IF(ISNUMBER(T1222),INT(T1222),INT(B1222)),"")</f>
        <v/>
      </c>
      <c r="BW1222" s="80">
        <f>IF(ISNUMBER(B1222),IF(DB_MON="Todos",1,IF(AND(INT(B1222)&gt;=DB_MS,INT(B1222)&lt;=DB_ME),1,0)),0)</f>
        <v>0</v>
      </c>
      <c r="BX1222" s="80">
        <f>IF(DB_PROJ="Todos",1,IF(E1222&amp;""=DB_PROJ&amp;"",1,0))</f>
        <v>1</v>
      </c>
      <c r="BY1222" s="80">
        <f>BW1222*BX1222</f>
        <v>0</v>
      </c>
      <c r="BZ1222" s="80" t="str">
        <f>IF(Y1222=1,F1222&amp;IF(AND(F1222&amp;""&lt;&gt;"",E1222&amp;""&lt;&gt;"")," · ","")&amp;E1222,"")</f>
        <v/>
      </c>
      <c r="CA1222" s="80" t="str">
        <f>IF(AND(BD1222=1,E1222&amp;""&lt;&gt;""),IF(COUNTIFS($E$5:E1221,E1222,$BD$5:BD1221,1)=0,MAX($CA$5:CA1221)+1,""),"")</f>
        <v/>
      </c>
      <c r="CB1222" s="80" t="str">
        <f>IF(AND(BE1222=1,D1222="Malcolm",E1222&amp;""&lt;&gt;""),IF(COUNTIFS($D$5:D1221,"Malcolm",$E$5:E1221,E1222,$BE$5:BE1221,1)=0,MAX($CB$5:CB1221)+1,""),"")</f>
        <v/>
      </c>
      <c r="CC1222" s="80" t="str">
        <f>IF(AND(BD1222=1,D1222="proMX",E1222&amp;""&lt;&gt;""),IF(COUNTIFS($D$5:D1221,"proMX",$E$5:E1221,E1222,$BD$5:BD1221,1)=0,MAX($CC$5:CC1221)+1,""),"")</f>
        <v/>
      </c>
      <c r="CD1222" s="80" t="str">
        <f>IF(AND(BE1222=1,D1222="Malcolm",F1222&amp;""&lt;&gt;""),IF(COUNTIFS($D$5:D1221,"Malcolm",$F$5:F1221,F1222,$BE$5:BE1221,1)=0,MAX($CD$5:CD1221)+1,""),"")</f>
        <v/>
      </c>
      <c r="CE1222" s="80" t="str">
        <f>IF(AND(BD1222=1,D1222="proMX",F1222&amp;""&lt;&gt;""),IF(COUNTIFS($D$5:D1221,"proMX",$F$5:F1221,F1222,$BD$5:BD1221,1)=0,MAX($CE$5:CE1221)+1,""),"")</f>
        <v/>
      </c>
      <c r="CF1222" s="80" t="str">
        <f>IF(AND(D1222="proMX",BD1222=1),IF(OR(BF1222="Draft",BF1222="Submitted",BF1222="Returned",BF1222="Recall Requested"),MAX($CF$5:CF1221)+1,""),"")</f>
        <v/>
      </c>
      <c r="CG1222" s="80">
        <f>IF(BD1222=0,0,IF(D1222="Malcolm",1,MATCH(BF1222,{"Draft","Submitted","Approved","Returned","Recall Requested","Cancelled"},0)+1))</f>
        <v>0</v>
      </c>
      <c r="CH1222" s="80">
        <f>IF(AND(BF1222="Submitted",ISNUMBER(V1222)),IF(V1222&gt;CFG_MAXD,1,0),0)</f>
        <v>0</v>
      </c>
    </row>
    <row r="1223">
      <c r="A1223" s="71" t="str">
        <f>IF(Y1223=1,ROW()-5,"")</f>
        <v/>
      </c>
      <c r="B1223" s="72" t="n"/>
      <c r="C1223" s="71" t="str">
        <f>IF(ISNUMBER(B1223),CHOOSE(WEEKDAY(B1223,2),"Lun","Mar","Mié","Jue","Vie","Sáb","Dom"),"")</f>
        <v/>
      </c>
      <c r="D1223" s="73" t="n"/>
      <c r="E1223" s="74" t="n"/>
      <c r="F1223" s="74" t="n"/>
      <c r="G1223" s="74" t="n"/>
      <c r="H1223" s="75" t="n"/>
      <c r="I1223" s="75" t="n"/>
      <c r="J1223" s="76" t="n"/>
      <c r="K1223" s="77" t="str">
        <f>IF(AB1223=1,ROUND(AG1223/60,4),"")</f>
        <v/>
      </c>
      <c r="L1223" s="77" t="str">
        <f>IF(BD1223=1,ROUND(AP1223/60,4),"")</f>
        <v/>
      </c>
      <c r="M1223" s="77" t="str">
        <f>IF(BD1223=1,ROUND(AQ1223/60,4),"")</f>
        <v/>
      </c>
      <c r="N1223" s="71" t="str">
        <f>IF(AND(D1223="proMX",AB1223=1),ROUND(AG1223/CFG_BLK,2),"")</f>
        <v/>
      </c>
      <c r="O1223" s="77" t="str">
        <f>IF(D1223="proMX",IF(BD1223=1,ROUND(AG1223/60,4),0),"")</f>
        <v/>
      </c>
      <c r="P1223" s="78" t="str">
        <f>IF(Y1223=0,"",IF(BD1223=1,"OK",IF(D1223="proMX","Revisar bloques: ","Revisar: ")&amp;BC1223))</f>
        <v/>
      </c>
      <c r="Q1223" s="78" t="str">
        <f>IF(NOT(ISNUMBER(B1223)),"",IF(COUNTIFS(FER_F,INT(B1223))&gt;0,"Feriado"&amp;IF(AH1223=1," (laborable)"," (no laborable)"),IF(AH1223=1,"Laborable",IF(WEEKDAY(B1223,2)&gt;5,"Fin de semana","No laborable"))))</f>
        <v/>
      </c>
      <c r="R1223" s="73" t="n"/>
      <c r="S1223" s="72" t="n"/>
      <c r="T1223" s="72" t="n"/>
      <c r="U1223" s="74" t="n"/>
      <c r="V1223" s="79" t="str">
        <f>IF(AND(D1223="proMX",OR(R1223="Submitted",R1223="Recall Requested"),ISNUMBER(S1223)),CFG_TODAY-INT(S1223),"")</f>
        <v/>
      </c>
      <c r="W1223" s="78" t="str">
        <f>IF(BD1223=0,"",IF(BA1223&gt;0,"⚠ Se superpone con un registro de la otra empresa",IF(D1223="Malcolm",IF(COUNTA(R1223,S1223,T1223)&gt;0,"Estado/fechas proMX se ignoran en Malcolm",""),IF(BF1223="Cancelled","Cancelado: excluido de totales",IF(R1223="","Sin estado: se trata como Draft",IF(BF1223="Submitted",IF(ISNUMBER(V1223),IF(V1223&gt;CFG_MAXD,"⚠ "&amp;V1223&amp;" días en Submitted (máx. "&amp;CFG_MAXD&amp;")",""),"Falta fecha de envío"),IF(BF1223="Returned","⚠ Devuelto: corregir y reenviar",IF(BF1223="Recall Requested","Retirada solicitada: pendiente",IF(AND(BF1223="Approved",NOT(ISNUMBER(T1223))),"Falta fecha de aprobación",IF(AND(ISNUMBER(S1223),ISNUMBER(T1223),T1223&lt;S1223),"Aprobación anterior al envío","")))))))))</f>
        <v/>
      </c>
      <c r="Y1223" s="80">
        <f>IF(COUNTA(B1223,D1223,E1223,F1223,G1223,H1223,I1223,J1223,R1223,S1223,T1223)&gt;0,1,0)</f>
        <v>0</v>
      </c>
      <c r="Z1223" s="80" t="str">
        <f>IF(AND(ISNUMBER(H1223),H1223&gt;=0,H1223&lt;1),ROUND(H1223*1440,0),"")</f>
        <v/>
      </c>
      <c r="AA1223" s="80" t="str">
        <f>IF(AND(ISNUMBER(I1223),I1223&gt;=0,I1223&lt;1),ROUND(I1223*1440,0),"")</f>
        <v/>
      </c>
      <c r="AB1223" s="80">
        <f>IF(AND(ISNUMBER(B1223),D1223&lt;&gt;"",ISNUMBER(Z1223),ISNUMBER(AA1223)),IF(Z1223=AA1223,0,1),0)</f>
        <v>0</v>
      </c>
      <c r="AC1223" s="80">
        <f>IF(AB1223=1,IF(AA1223&lt;Z1223,1,0),0)</f>
        <v>0</v>
      </c>
      <c r="AD1223" s="80">
        <f>IF(AB1223=1,IF(AC1223=1,1440-Z1223+AA1223,AA1223-Z1223),0)</f>
        <v>0</v>
      </c>
      <c r="AE1223" s="80">
        <f>IF(J1223="",0,IF(ISNUMBER(J1223),J1223,-1))</f>
        <v>0</v>
      </c>
      <c r="AF1223" s="80">
        <f>MIN(MAX(0,AE1223),AD1223)</f>
        <v>0</v>
      </c>
      <c r="AG1223" s="80">
        <f>MAX(0,AD1223-MAX(0,AE1223))</f>
        <v>0</v>
      </c>
      <c r="AH1223" s="80">
        <f>IF(ISNUMBER(B1223),IF(AND(INDEX(CFG_WDAYS,WEEKDAY(INT(B1223),2))="Sí",IF(D1223="proMX",COUNTIFS(FER_F,INT(B1223),FER_NLP,"Sí"),COUNTIFS(FER_F,INT(B1223),FER_NLM,"Sí"))=0),1,0),0)</f>
        <v>0</v>
      </c>
      <c r="AI1223" s="80">
        <f>IF(AC1223=1,IF(AND(INDEX(CFG_WDAYS,WEEKDAY(INT(B1223)+1,2))="Sí",IF(D1223="proMX",COUNTIFS(FER_F,INT(B1223)+1,FER_NLP,"Sí"),COUNTIFS(FER_F,INT(B1223)+1,FER_NLM,"Sí"))=0),1,0),0)</f>
        <v>0</v>
      </c>
      <c r="AJ1223" s="80">
        <f>IF(AC1223=1,1440-Z1223,AD1223)</f>
        <v>0</v>
      </c>
      <c r="AK1223" s="80">
        <f>IF(AND(AB1223=1,AH1223=1),MAX(0,MIN(IF(AC1223=1,1440,AA1223),CFG_WEM)-MAX(Z1223,CFG_WSM)),0)</f>
        <v>0</v>
      </c>
      <c r="AL1223" s="80">
        <f>IF(AND(AC1223=1,AI1223=1),MAX(0,MIN(AA1223,CFG_WEM)-CFG_WSM),0)</f>
        <v>0</v>
      </c>
      <c r="AM1223" s="80">
        <f>AK1223+AL1223</f>
        <v>0</v>
      </c>
      <c r="AN1223" s="80">
        <f>IF(CFG_BRK="Proporcional",IF(AD1223=0,0,AF1223*AM1223/AD1223),IF(CFG_BRK="Extras primero",MIN(AM1223,MAX(0,AF1223-(AD1223-AM1223))),MIN(AF1223,AM1223)))</f>
        <v>0</v>
      </c>
      <c r="AO1223" s="80">
        <f>AF1223-AN1223</f>
        <v>0</v>
      </c>
      <c r="AP1223" s="80">
        <f>AM1223-AN1223</f>
        <v>0</v>
      </c>
      <c r="AQ1223" s="80">
        <f>AD1223-AM1223-AO1223</f>
        <v>0</v>
      </c>
      <c r="AR1223" s="80">
        <f>IF(AM1223=0,0,AK1223-AN1223*AK1223/AM1223)</f>
        <v>0</v>
      </c>
      <c r="AS1223" s="80">
        <f>IF(AD1223-AM1223=0,0,(AJ1223-AK1223)-AO1223*(AJ1223-AK1223)/(AD1223-AM1223))</f>
        <v>0</v>
      </c>
      <c r="AT1223" s="80" t="str">
        <f>IF(AC1223=1,INT(B1223)+1,"")</f>
        <v/>
      </c>
      <c r="AU1223" s="80">
        <f>IF(AND(D1223="proMX",R1223="Cancelled"),0,1)</f>
        <v>1</v>
      </c>
      <c r="AV1223" s="80">
        <f>IF(AND(AB1223=1,AU1223=1),IF(COUNTIFS($D$5:D1222,D1223,$B$5:B1222,B1223,$Z$5:Z1222,Z1223,$AA$5:AA1222,AA1223,$F$5:F1222,F1223&amp;"",$AU$5:AU1222,1)&gt;0,1,0),0)</f>
        <v>0</v>
      </c>
      <c r="AW1223" s="80" t="str">
        <f>IF(AB1223=1,INT(B1223)*1440+Z1223,"")</f>
        <v/>
      </c>
      <c r="AX1223" s="80" t="str">
        <f>IF(AB1223=1,AW1223+AD1223,"")</f>
        <v/>
      </c>
      <c r="AY1223" s="80">
        <f>IF(AND(AB1223=1,AV1223=0,AU1223=1),1,0)</f>
        <v>0</v>
      </c>
      <c r="AZ1223" s="80">
        <f>IF(AY1223=1,COUNTIFS(R_Emp,D1223,R_SAbs,"&lt;"&amp;AX1223,R_EAbs,"&gt;"&amp;AW1223,R_OKey,1)-1,0)</f>
        <v>0</v>
      </c>
      <c r="BA1223" s="80">
        <f>IF(AY1223=1,COUNTIFS(R_Emp,"&lt;&gt;"&amp;D1223,R_SAbs,"&lt;"&amp;AX1223,R_EAbs,"&gt;"&amp;AW1223,R_OKey,1),0)</f>
        <v>0</v>
      </c>
      <c r="BB1223" s="80">
        <f>IF(AND(AB1223=1,D1223="proMX"),IF(AND(MOD(Z1223,CFG_BLK)=0,MOD(AA1223,CFG_BLK)=0,MOD(AG1223,CFG_BLK)=0,AG1223&gt;0),1,0),1)</f>
        <v>1</v>
      </c>
      <c r="BC1223" s="80" t="str">
        <f>IF(Y1223=0,"",IF(NOT(ISNUMBER(B1223)),"Falta fecha o fecha inválida",IF(D1223="","Falta empresa",IF(AND(D1223&lt;&gt;"Malcolm",D1223&lt;&gt;"proMX"),"Empresa inválida",IF(OR(INT(B1223)&lt;CFG_PSTART,INT(B1223)&gt;CFG_PEND),"Fecha fuera del período",IF(OR(NOT(ISNUMBER(Z1223)),NOT(ISNUMBER(AA1223))),"Falta hora inicio/fin o formato inválido",IF(AB1223=0,"Hora inicio = hora fin",IF(AE1223&lt;0,"Descanso inválido",IF(AE1223&gt;=AD1223,"Descanso ≥ duración",IF(AV1223=1,"Registro duplicado",IF(AZ1223&gt;0,"Se superpone con otro registro "&amp;D1223,IF(BB1223=0,"inicio, fin y duración neta deben ser múltiplos de "&amp;CFG_BLK&amp;" min",""))))))))))))</f>
        <v/>
      </c>
      <c r="BD1223" s="80">
        <f>IF(AND(Y1223=1,BC1223=""),1,0)</f>
        <v>0</v>
      </c>
      <c r="BE1223" s="80">
        <f>IF(AND(BD1223=1,AU1223=1),1,0)</f>
        <v>0</v>
      </c>
      <c r="BF1223" s="80" t="str">
        <f>IF(AND(D1223="proMX",BD1223=1),IF(R1223="","Draft",R1223),"")</f>
        <v/>
      </c>
      <c r="BG1223" s="80">
        <f>IF(BD1223=1,ROUND(AG1223/60,6),0)</f>
        <v>0</v>
      </c>
      <c r="BH1223" s="80">
        <f>IF(BE1223=1,ROUND(AG1223/60,6),0)</f>
        <v>0</v>
      </c>
      <c r="BI1223" s="80">
        <f>IF(BE1223=1,ROUND(AP1223/60,6),0)</f>
        <v>0</v>
      </c>
      <c r="BJ1223" s="80">
        <f>IF(BE1223=1,ROUND(AQ1223/60,6),0)</f>
        <v>0</v>
      </c>
      <c r="BK1223" s="80">
        <f>IF(BE1223=1,ROUND((AR1223+AS1223)/60,6),0)</f>
        <v>0</v>
      </c>
      <c r="BL1223" s="80">
        <f>ROUND(BH1223-BK1223,6)</f>
        <v>0</v>
      </c>
      <c r="BM1223" s="80">
        <f>IF(BE1223=1,ROUND(AR1223/60,6),0)</f>
        <v>0</v>
      </c>
      <c r="BN1223" s="80">
        <f>ROUND(BI1223-BM1223,6)</f>
        <v>0</v>
      </c>
      <c r="BO1223" s="80">
        <f>IF(BE1223=1,ROUND(AS1223/60,6),0)</f>
        <v>0</v>
      </c>
      <c r="BP1223" s="80">
        <f>ROUND(BJ1223-BO1223,6)</f>
        <v>0</v>
      </c>
      <c r="BQ1223" s="80">
        <f>IF(BE1223=1,AW1223,0)</f>
        <v>0</v>
      </c>
      <c r="BR1223" s="80">
        <f>IF(BE1223=1,AX1223,0)</f>
        <v>0</v>
      </c>
      <c r="BS1223" s="80">
        <f>IF(AND(BE1223=1,D1223="Malcolm",BA1223&gt;0),MIN(BH1223,SUMPRODUCT((R_Emp="proMX")*(R_EN&gt;0)*((R_EN-(R_EN&gt;BR1223)*(R_EN-BR1223))&gt;(R_SN+(R_SN&lt;BQ1223)*(BQ1223-R_SN)))*((R_EN-(R_EN&gt;BR1223)*(R_EN-BR1223))-(R_SN+(R_SN&lt;BQ1223)*(BQ1223-R_SN))))/60),0)</f>
        <v>0</v>
      </c>
      <c r="BT1223" s="80">
        <f>IF(AND(BE1223=1,D1223="proMX"),ROUND(BI1223*CFG_RATE+BJ1223*CFG_OTRATE,6),0)</f>
        <v>0</v>
      </c>
      <c r="BU1223" s="80">
        <f>IF(AND(BD1223=1,D1223="proMX"),ROUND(AG1223/CFG_BLK,6),0)</f>
        <v>0</v>
      </c>
      <c r="BV1223" s="80" t="str">
        <f>IF(BF1223="Approved",IF(ISNUMBER(T1223),INT(T1223),INT(B1223)),"")</f>
        <v/>
      </c>
      <c r="BW1223" s="80">
        <f>IF(ISNUMBER(B1223),IF(DB_MON="Todos",1,IF(AND(INT(B1223)&gt;=DB_MS,INT(B1223)&lt;=DB_ME),1,0)),0)</f>
        <v>0</v>
      </c>
      <c r="BX1223" s="80">
        <f>IF(DB_PROJ="Todos",1,IF(E1223&amp;""=DB_PROJ&amp;"",1,0))</f>
        <v>1</v>
      </c>
      <c r="BY1223" s="80">
        <f>BW1223*BX1223</f>
        <v>0</v>
      </c>
      <c r="BZ1223" s="80" t="str">
        <f>IF(Y1223=1,F1223&amp;IF(AND(F1223&amp;""&lt;&gt;"",E1223&amp;""&lt;&gt;"")," · ","")&amp;E1223,"")</f>
        <v/>
      </c>
      <c r="CA1223" s="80" t="str">
        <f>IF(AND(BD1223=1,E1223&amp;""&lt;&gt;""),IF(COUNTIFS($E$5:E1222,E1223,$BD$5:BD1222,1)=0,MAX($CA$5:CA1222)+1,""),"")</f>
        <v/>
      </c>
      <c r="CB1223" s="80" t="str">
        <f>IF(AND(BE1223=1,D1223="Malcolm",E1223&amp;""&lt;&gt;""),IF(COUNTIFS($D$5:D1222,"Malcolm",$E$5:E1222,E1223,$BE$5:BE1222,1)=0,MAX($CB$5:CB1222)+1,""),"")</f>
        <v/>
      </c>
      <c r="CC1223" s="80" t="str">
        <f>IF(AND(BD1223=1,D1223="proMX",E1223&amp;""&lt;&gt;""),IF(COUNTIFS($D$5:D1222,"proMX",$E$5:E1222,E1223,$BD$5:BD1222,1)=0,MAX($CC$5:CC1222)+1,""),"")</f>
        <v/>
      </c>
      <c r="CD1223" s="80" t="str">
        <f>IF(AND(BE1223=1,D1223="Malcolm",F1223&amp;""&lt;&gt;""),IF(COUNTIFS($D$5:D1222,"Malcolm",$F$5:F1222,F1223,$BE$5:BE1222,1)=0,MAX($CD$5:CD1222)+1,""),"")</f>
        <v/>
      </c>
      <c r="CE1223" s="80" t="str">
        <f>IF(AND(BD1223=1,D1223="proMX",F1223&amp;""&lt;&gt;""),IF(COUNTIFS($D$5:D1222,"proMX",$F$5:F1222,F1223,$BD$5:BD1222,1)=0,MAX($CE$5:CE1222)+1,""),"")</f>
        <v/>
      </c>
      <c r="CF1223" s="80" t="str">
        <f>IF(AND(D1223="proMX",BD1223=1),IF(OR(BF1223="Draft",BF1223="Submitted",BF1223="Returned",BF1223="Recall Requested"),MAX($CF$5:CF1222)+1,""),"")</f>
        <v/>
      </c>
      <c r="CG1223" s="80">
        <f>IF(BD1223=0,0,IF(D1223="Malcolm",1,MATCH(BF1223,{"Draft","Submitted","Approved","Returned","Recall Requested","Cancelled"},0)+1))</f>
        <v>0</v>
      </c>
      <c r="CH1223" s="80">
        <f>IF(AND(BF1223="Submitted",ISNUMBER(V1223)),IF(V1223&gt;CFG_MAXD,1,0),0)</f>
        <v>0</v>
      </c>
    </row>
    <row r="1224">
      <c r="A1224" s="71" t="str">
        <f>IF(Y1224=1,ROW()-5,"")</f>
        <v/>
      </c>
      <c r="B1224" s="72" t="n"/>
      <c r="C1224" s="71" t="str">
        <f>IF(ISNUMBER(B1224),CHOOSE(WEEKDAY(B1224,2),"Lun","Mar","Mié","Jue","Vie","Sáb","Dom"),"")</f>
        <v/>
      </c>
      <c r="D1224" s="73" t="n"/>
      <c r="E1224" s="74" t="n"/>
      <c r="F1224" s="74" t="n"/>
      <c r="G1224" s="74" t="n"/>
      <c r="H1224" s="75" t="n"/>
      <c r="I1224" s="75" t="n"/>
      <c r="J1224" s="76" t="n"/>
      <c r="K1224" s="77" t="str">
        <f>IF(AB1224=1,ROUND(AG1224/60,4),"")</f>
        <v/>
      </c>
      <c r="L1224" s="77" t="str">
        <f>IF(BD1224=1,ROUND(AP1224/60,4),"")</f>
        <v/>
      </c>
      <c r="M1224" s="77" t="str">
        <f>IF(BD1224=1,ROUND(AQ1224/60,4),"")</f>
        <v/>
      </c>
      <c r="N1224" s="71" t="str">
        <f>IF(AND(D1224="proMX",AB1224=1),ROUND(AG1224/CFG_BLK,2),"")</f>
        <v/>
      </c>
      <c r="O1224" s="77" t="str">
        <f>IF(D1224="proMX",IF(BD1224=1,ROUND(AG1224/60,4),0),"")</f>
        <v/>
      </c>
      <c r="P1224" s="78" t="str">
        <f>IF(Y1224=0,"",IF(BD1224=1,"OK",IF(D1224="proMX","Revisar bloques: ","Revisar: ")&amp;BC1224))</f>
        <v/>
      </c>
      <c r="Q1224" s="78" t="str">
        <f>IF(NOT(ISNUMBER(B1224)),"",IF(COUNTIFS(FER_F,INT(B1224))&gt;0,"Feriado"&amp;IF(AH1224=1," (laborable)"," (no laborable)"),IF(AH1224=1,"Laborable",IF(WEEKDAY(B1224,2)&gt;5,"Fin de semana","No laborable"))))</f>
        <v/>
      </c>
      <c r="R1224" s="73" t="n"/>
      <c r="S1224" s="72" t="n"/>
      <c r="T1224" s="72" t="n"/>
      <c r="U1224" s="74" t="n"/>
      <c r="V1224" s="79" t="str">
        <f>IF(AND(D1224="proMX",OR(R1224="Submitted",R1224="Recall Requested"),ISNUMBER(S1224)),CFG_TODAY-INT(S1224),"")</f>
        <v/>
      </c>
      <c r="W1224" s="78" t="str">
        <f>IF(BD1224=0,"",IF(BA1224&gt;0,"⚠ Se superpone con un registro de la otra empresa",IF(D1224="Malcolm",IF(COUNTA(R1224,S1224,T1224)&gt;0,"Estado/fechas proMX se ignoran en Malcolm",""),IF(BF1224="Cancelled","Cancelado: excluido de totales",IF(R1224="","Sin estado: se trata como Draft",IF(BF1224="Submitted",IF(ISNUMBER(V1224),IF(V1224&gt;CFG_MAXD,"⚠ "&amp;V1224&amp;" días en Submitted (máx. "&amp;CFG_MAXD&amp;")",""),"Falta fecha de envío"),IF(BF1224="Returned","⚠ Devuelto: corregir y reenviar",IF(BF1224="Recall Requested","Retirada solicitada: pendiente",IF(AND(BF1224="Approved",NOT(ISNUMBER(T1224))),"Falta fecha de aprobación",IF(AND(ISNUMBER(S1224),ISNUMBER(T1224),T1224&lt;S1224),"Aprobación anterior al envío","")))))))))</f>
        <v/>
      </c>
      <c r="Y1224" s="80">
        <f>IF(COUNTA(B1224,D1224,E1224,F1224,G1224,H1224,I1224,J1224,R1224,S1224,T1224)&gt;0,1,0)</f>
        <v>0</v>
      </c>
      <c r="Z1224" s="80" t="str">
        <f>IF(AND(ISNUMBER(H1224),H1224&gt;=0,H1224&lt;1),ROUND(H1224*1440,0),"")</f>
        <v/>
      </c>
      <c r="AA1224" s="80" t="str">
        <f>IF(AND(ISNUMBER(I1224),I1224&gt;=0,I1224&lt;1),ROUND(I1224*1440,0),"")</f>
        <v/>
      </c>
      <c r="AB1224" s="80">
        <f>IF(AND(ISNUMBER(B1224),D1224&lt;&gt;"",ISNUMBER(Z1224),ISNUMBER(AA1224)),IF(Z1224=AA1224,0,1),0)</f>
        <v>0</v>
      </c>
      <c r="AC1224" s="80">
        <f>IF(AB1224=1,IF(AA1224&lt;Z1224,1,0),0)</f>
        <v>0</v>
      </c>
      <c r="AD1224" s="80">
        <f>IF(AB1224=1,IF(AC1224=1,1440-Z1224+AA1224,AA1224-Z1224),0)</f>
        <v>0</v>
      </c>
      <c r="AE1224" s="80">
        <f>IF(J1224="",0,IF(ISNUMBER(J1224),J1224,-1))</f>
        <v>0</v>
      </c>
      <c r="AF1224" s="80">
        <f>MIN(MAX(0,AE1224),AD1224)</f>
        <v>0</v>
      </c>
      <c r="AG1224" s="80">
        <f>MAX(0,AD1224-MAX(0,AE1224))</f>
        <v>0</v>
      </c>
      <c r="AH1224" s="80">
        <f>IF(ISNUMBER(B1224),IF(AND(INDEX(CFG_WDAYS,WEEKDAY(INT(B1224),2))="Sí",IF(D1224="proMX",COUNTIFS(FER_F,INT(B1224),FER_NLP,"Sí"),COUNTIFS(FER_F,INT(B1224),FER_NLM,"Sí"))=0),1,0),0)</f>
        <v>0</v>
      </c>
      <c r="AI1224" s="80">
        <f>IF(AC1224=1,IF(AND(INDEX(CFG_WDAYS,WEEKDAY(INT(B1224)+1,2))="Sí",IF(D1224="proMX",COUNTIFS(FER_F,INT(B1224)+1,FER_NLP,"Sí"),COUNTIFS(FER_F,INT(B1224)+1,FER_NLM,"Sí"))=0),1,0),0)</f>
        <v>0</v>
      </c>
      <c r="AJ1224" s="80">
        <f>IF(AC1224=1,1440-Z1224,AD1224)</f>
        <v>0</v>
      </c>
      <c r="AK1224" s="80">
        <f>IF(AND(AB1224=1,AH1224=1),MAX(0,MIN(IF(AC1224=1,1440,AA1224),CFG_WEM)-MAX(Z1224,CFG_WSM)),0)</f>
        <v>0</v>
      </c>
      <c r="AL1224" s="80">
        <f>IF(AND(AC1224=1,AI1224=1),MAX(0,MIN(AA1224,CFG_WEM)-CFG_WSM),0)</f>
        <v>0</v>
      </c>
      <c r="AM1224" s="80">
        <f>AK1224+AL1224</f>
        <v>0</v>
      </c>
      <c r="AN1224" s="80">
        <f>IF(CFG_BRK="Proporcional",IF(AD1224=0,0,AF1224*AM1224/AD1224),IF(CFG_BRK="Extras primero",MIN(AM1224,MAX(0,AF1224-(AD1224-AM1224))),MIN(AF1224,AM1224)))</f>
        <v>0</v>
      </c>
      <c r="AO1224" s="80">
        <f>AF1224-AN1224</f>
        <v>0</v>
      </c>
      <c r="AP1224" s="80">
        <f>AM1224-AN1224</f>
        <v>0</v>
      </c>
      <c r="AQ1224" s="80">
        <f>AD1224-AM1224-AO1224</f>
        <v>0</v>
      </c>
      <c r="AR1224" s="80">
        <f>IF(AM1224=0,0,AK1224-AN1224*AK1224/AM1224)</f>
        <v>0</v>
      </c>
      <c r="AS1224" s="80">
        <f>IF(AD1224-AM1224=0,0,(AJ1224-AK1224)-AO1224*(AJ1224-AK1224)/(AD1224-AM1224))</f>
        <v>0</v>
      </c>
      <c r="AT1224" s="80" t="str">
        <f>IF(AC1224=1,INT(B1224)+1,"")</f>
        <v/>
      </c>
      <c r="AU1224" s="80">
        <f>IF(AND(D1224="proMX",R1224="Cancelled"),0,1)</f>
        <v>1</v>
      </c>
      <c r="AV1224" s="80">
        <f>IF(AND(AB1224=1,AU1224=1),IF(COUNTIFS($D$5:D1223,D1224,$B$5:B1223,B1224,$Z$5:Z1223,Z1224,$AA$5:AA1223,AA1224,$F$5:F1223,F1224&amp;"",$AU$5:AU1223,1)&gt;0,1,0),0)</f>
        <v>0</v>
      </c>
      <c r="AW1224" s="80" t="str">
        <f>IF(AB1224=1,INT(B1224)*1440+Z1224,"")</f>
        <v/>
      </c>
      <c r="AX1224" s="80" t="str">
        <f>IF(AB1224=1,AW1224+AD1224,"")</f>
        <v/>
      </c>
      <c r="AY1224" s="80">
        <f>IF(AND(AB1224=1,AV1224=0,AU1224=1),1,0)</f>
        <v>0</v>
      </c>
      <c r="AZ1224" s="80">
        <f>IF(AY1224=1,COUNTIFS(R_Emp,D1224,R_SAbs,"&lt;"&amp;AX1224,R_EAbs,"&gt;"&amp;AW1224,R_OKey,1)-1,0)</f>
        <v>0</v>
      </c>
      <c r="BA1224" s="80">
        <f>IF(AY1224=1,COUNTIFS(R_Emp,"&lt;&gt;"&amp;D1224,R_SAbs,"&lt;"&amp;AX1224,R_EAbs,"&gt;"&amp;AW1224,R_OKey,1),0)</f>
        <v>0</v>
      </c>
      <c r="BB1224" s="80">
        <f>IF(AND(AB1224=1,D1224="proMX"),IF(AND(MOD(Z1224,CFG_BLK)=0,MOD(AA1224,CFG_BLK)=0,MOD(AG1224,CFG_BLK)=0,AG1224&gt;0),1,0),1)</f>
        <v>1</v>
      </c>
      <c r="BC1224" s="80" t="str">
        <f>IF(Y1224=0,"",IF(NOT(ISNUMBER(B1224)),"Falta fecha o fecha inválida",IF(D1224="","Falta empresa",IF(AND(D1224&lt;&gt;"Malcolm",D1224&lt;&gt;"proMX"),"Empresa inválida",IF(OR(INT(B1224)&lt;CFG_PSTART,INT(B1224)&gt;CFG_PEND),"Fecha fuera del período",IF(OR(NOT(ISNUMBER(Z1224)),NOT(ISNUMBER(AA1224))),"Falta hora inicio/fin o formato inválido",IF(AB1224=0,"Hora inicio = hora fin",IF(AE1224&lt;0,"Descanso inválido",IF(AE1224&gt;=AD1224,"Descanso ≥ duración",IF(AV1224=1,"Registro duplicado",IF(AZ1224&gt;0,"Se superpone con otro registro "&amp;D1224,IF(BB1224=0,"inicio, fin y duración neta deben ser múltiplos de "&amp;CFG_BLK&amp;" min",""))))))))))))</f>
        <v/>
      </c>
      <c r="BD1224" s="80">
        <f>IF(AND(Y1224=1,BC1224=""),1,0)</f>
        <v>0</v>
      </c>
      <c r="BE1224" s="80">
        <f>IF(AND(BD1224=1,AU1224=1),1,0)</f>
        <v>0</v>
      </c>
      <c r="BF1224" s="80" t="str">
        <f>IF(AND(D1224="proMX",BD1224=1),IF(R1224="","Draft",R1224),"")</f>
        <v/>
      </c>
      <c r="BG1224" s="80">
        <f>IF(BD1224=1,ROUND(AG1224/60,6),0)</f>
        <v>0</v>
      </c>
      <c r="BH1224" s="80">
        <f>IF(BE1224=1,ROUND(AG1224/60,6),0)</f>
        <v>0</v>
      </c>
      <c r="BI1224" s="80">
        <f>IF(BE1224=1,ROUND(AP1224/60,6),0)</f>
        <v>0</v>
      </c>
      <c r="BJ1224" s="80">
        <f>IF(BE1224=1,ROUND(AQ1224/60,6),0)</f>
        <v>0</v>
      </c>
      <c r="BK1224" s="80">
        <f>IF(BE1224=1,ROUND((AR1224+AS1224)/60,6),0)</f>
        <v>0</v>
      </c>
      <c r="BL1224" s="80">
        <f>ROUND(BH1224-BK1224,6)</f>
        <v>0</v>
      </c>
      <c r="BM1224" s="80">
        <f>IF(BE1224=1,ROUND(AR1224/60,6),0)</f>
        <v>0</v>
      </c>
      <c r="BN1224" s="80">
        <f>ROUND(BI1224-BM1224,6)</f>
        <v>0</v>
      </c>
      <c r="BO1224" s="80">
        <f>IF(BE1224=1,ROUND(AS1224/60,6),0)</f>
        <v>0</v>
      </c>
      <c r="BP1224" s="80">
        <f>ROUND(BJ1224-BO1224,6)</f>
        <v>0</v>
      </c>
      <c r="BQ1224" s="80">
        <f>IF(BE1224=1,AW1224,0)</f>
        <v>0</v>
      </c>
      <c r="BR1224" s="80">
        <f>IF(BE1224=1,AX1224,0)</f>
        <v>0</v>
      </c>
      <c r="BS1224" s="80">
        <f>IF(AND(BE1224=1,D1224="Malcolm",BA1224&gt;0),MIN(BH1224,SUMPRODUCT((R_Emp="proMX")*(R_EN&gt;0)*((R_EN-(R_EN&gt;BR1224)*(R_EN-BR1224))&gt;(R_SN+(R_SN&lt;BQ1224)*(BQ1224-R_SN)))*((R_EN-(R_EN&gt;BR1224)*(R_EN-BR1224))-(R_SN+(R_SN&lt;BQ1224)*(BQ1224-R_SN))))/60),0)</f>
        <v>0</v>
      </c>
      <c r="BT1224" s="80">
        <f>IF(AND(BE1224=1,D1224="proMX"),ROUND(BI1224*CFG_RATE+BJ1224*CFG_OTRATE,6),0)</f>
        <v>0</v>
      </c>
      <c r="BU1224" s="80">
        <f>IF(AND(BD1224=1,D1224="proMX"),ROUND(AG1224/CFG_BLK,6),0)</f>
        <v>0</v>
      </c>
      <c r="BV1224" s="80" t="str">
        <f>IF(BF1224="Approved",IF(ISNUMBER(T1224),INT(T1224),INT(B1224)),"")</f>
        <v/>
      </c>
      <c r="BW1224" s="80">
        <f>IF(ISNUMBER(B1224),IF(DB_MON="Todos",1,IF(AND(INT(B1224)&gt;=DB_MS,INT(B1224)&lt;=DB_ME),1,0)),0)</f>
        <v>0</v>
      </c>
      <c r="BX1224" s="80">
        <f>IF(DB_PROJ="Todos",1,IF(E1224&amp;""=DB_PROJ&amp;"",1,0))</f>
        <v>1</v>
      </c>
      <c r="BY1224" s="80">
        <f>BW1224*BX1224</f>
        <v>0</v>
      </c>
      <c r="BZ1224" s="80" t="str">
        <f>IF(Y1224=1,F1224&amp;IF(AND(F1224&amp;""&lt;&gt;"",E1224&amp;""&lt;&gt;"")," · ","")&amp;E1224,"")</f>
        <v/>
      </c>
      <c r="CA1224" s="80" t="str">
        <f>IF(AND(BD1224=1,E1224&amp;""&lt;&gt;""),IF(COUNTIFS($E$5:E1223,E1224,$BD$5:BD1223,1)=0,MAX($CA$5:CA1223)+1,""),"")</f>
        <v/>
      </c>
      <c r="CB1224" s="80" t="str">
        <f>IF(AND(BE1224=1,D1224="Malcolm",E1224&amp;""&lt;&gt;""),IF(COUNTIFS($D$5:D1223,"Malcolm",$E$5:E1223,E1224,$BE$5:BE1223,1)=0,MAX($CB$5:CB1223)+1,""),"")</f>
        <v/>
      </c>
      <c r="CC1224" s="80" t="str">
        <f>IF(AND(BD1224=1,D1224="proMX",E1224&amp;""&lt;&gt;""),IF(COUNTIFS($D$5:D1223,"proMX",$E$5:E1223,E1224,$BD$5:BD1223,1)=0,MAX($CC$5:CC1223)+1,""),"")</f>
        <v/>
      </c>
      <c r="CD1224" s="80" t="str">
        <f>IF(AND(BE1224=1,D1224="Malcolm",F1224&amp;""&lt;&gt;""),IF(COUNTIFS($D$5:D1223,"Malcolm",$F$5:F1223,F1224,$BE$5:BE1223,1)=0,MAX($CD$5:CD1223)+1,""),"")</f>
        <v/>
      </c>
      <c r="CE1224" s="80" t="str">
        <f>IF(AND(BD1224=1,D1224="proMX",F1224&amp;""&lt;&gt;""),IF(COUNTIFS($D$5:D1223,"proMX",$F$5:F1223,F1224,$BD$5:BD1223,1)=0,MAX($CE$5:CE1223)+1,""),"")</f>
        <v/>
      </c>
      <c r="CF1224" s="80" t="str">
        <f>IF(AND(D1224="proMX",BD1224=1),IF(OR(BF1224="Draft",BF1224="Submitted",BF1224="Returned",BF1224="Recall Requested"),MAX($CF$5:CF1223)+1,""),"")</f>
        <v/>
      </c>
      <c r="CG1224" s="80">
        <f>IF(BD1224=0,0,IF(D1224="Malcolm",1,MATCH(BF1224,{"Draft","Submitted","Approved","Returned","Recall Requested","Cancelled"},0)+1))</f>
        <v>0</v>
      </c>
      <c r="CH1224" s="80">
        <f>IF(AND(BF1224="Submitted",ISNUMBER(V1224)),IF(V1224&gt;CFG_MAXD,1,0),0)</f>
        <v>0</v>
      </c>
    </row>
    <row r="1225">
      <c r="A1225" s="71" t="str">
        <f>IF(Y1225=1,ROW()-5,"")</f>
        <v/>
      </c>
      <c r="B1225" s="72" t="n"/>
      <c r="C1225" s="71" t="str">
        <f>IF(ISNUMBER(B1225),CHOOSE(WEEKDAY(B1225,2),"Lun","Mar","Mié","Jue","Vie","Sáb","Dom"),"")</f>
        <v/>
      </c>
      <c r="D1225" s="73" t="n"/>
      <c r="E1225" s="74" t="n"/>
      <c r="F1225" s="74" t="n"/>
      <c r="G1225" s="74" t="n"/>
      <c r="H1225" s="75" t="n"/>
      <c r="I1225" s="75" t="n"/>
      <c r="J1225" s="76" t="n"/>
      <c r="K1225" s="77" t="str">
        <f>IF(AB1225=1,ROUND(AG1225/60,4),"")</f>
        <v/>
      </c>
      <c r="L1225" s="77" t="str">
        <f>IF(BD1225=1,ROUND(AP1225/60,4),"")</f>
        <v/>
      </c>
      <c r="M1225" s="77" t="str">
        <f>IF(BD1225=1,ROUND(AQ1225/60,4),"")</f>
        <v/>
      </c>
      <c r="N1225" s="71" t="str">
        <f>IF(AND(D1225="proMX",AB1225=1),ROUND(AG1225/CFG_BLK,2),"")</f>
        <v/>
      </c>
      <c r="O1225" s="77" t="str">
        <f>IF(D1225="proMX",IF(BD1225=1,ROUND(AG1225/60,4),0),"")</f>
        <v/>
      </c>
      <c r="P1225" s="78" t="str">
        <f>IF(Y1225=0,"",IF(BD1225=1,"OK",IF(D1225="proMX","Revisar bloques: ","Revisar: ")&amp;BC1225))</f>
        <v/>
      </c>
      <c r="Q1225" s="78" t="str">
        <f>IF(NOT(ISNUMBER(B1225)),"",IF(COUNTIFS(FER_F,INT(B1225))&gt;0,"Feriado"&amp;IF(AH1225=1," (laborable)"," (no laborable)"),IF(AH1225=1,"Laborable",IF(WEEKDAY(B1225,2)&gt;5,"Fin de semana","No laborable"))))</f>
        <v/>
      </c>
      <c r="R1225" s="73" t="n"/>
      <c r="S1225" s="72" t="n"/>
      <c r="T1225" s="72" t="n"/>
      <c r="U1225" s="74" t="n"/>
      <c r="V1225" s="79" t="str">
        <f>IF(AND(D1225="proMX",OR(R1225="Submitted",R1225="Recall Requested"),ISNUMBER(S1225)),CFG_TODAY-INT(S1225),"")</f>
        <v/>
      </c>
      <c r="W1225" s="78" t="str">
        <f>IF(BD1225=0,"",IF(BA1225&gt;0,"⚠ Se superpone con un registro de la otra empresa",IF(D1225="Malcolm",IF(COUNTA(R1225,S1225,T1225)&gt;0,"Estado/fechas proMX se ignoran en Malcolm",""),IF(BF1225="Cancelled","Cancelado: excluido de totales",IF(R1225="","Sin estado: se trata como Draft",IF(BF1225="Submitted",IF(ISNUMBER(V1225),IF(V1225&gt;CFG_MAXD,"⚠ "&amp;V1225&amp;" días en Submitted (máx. "&amp;CFG_MAXD&amp;")",""),"Falta fecha de envío"),IF(BF1225="Returned","⚠ Devuelto: corregir y reenviar",IF(BF1225="Recall Requested","Retirada solicitada: pendiente",IF(AND(BF1225="Approved",NOT(ISNUMBER(T1225))),"Falta fecha de aprobación",IF(AND(ISNUMBER(S1225),ISNUMBER(T1225),T1225&lt;S1225),"Aprobación anterior al envío","")))))))))</f>
        <v/>
      </c>
      <c r="Y1225" s="80">
        <f>IF(COUNTA(B1225,D1225,E1225,F1225,G1225,H1225,I1225,J1225,R1225,S1225,T1225)&gt;0,1,0)</f>
        <v>0</v>
      </c>
      <c r="Z1225" s="80" t="str">
        <f>IF(AND(ISNUMBER(H1225),H1225&gt;=0,H1225&lt;1),ROUND(H1225*1440,0),"")</f>
        <v/>
      </c>
      <c r="AA1225" s="80" t="str">
        <f>IF(AND(ISNUMBER(I1225),I1225&gt;=0,I1225&lt;1),ROUND(I1225*1440,0),"")</f>
        <v/>
      </c>
      <c r="AB1225" s="80">
        <f>IF(AND(ISNUMBER(B1225),D1225&lt;&gt;"",ISNUMBER(Z1225),ISNUMBER(AA1225)),IF(Z1225=AA1225,0,1),0)</f>
        <v>0</v>
      </c>
      <c r="AC1225" s="80">
        <f>IF(AB1225=1,IF(AA1225&lt;Z1225,1,0),0)</f>
        <v>0</v>
      </c>
      <c r="AD1225" s="80">
        <f>IF(AB1225=1,IF(AC1225=1,1440-Z1225+AA1225,AA1225-Z1225),0)</f>
        <v>0</v>
      </c>
      <c r="AE1225" s="80">
        <f>IF(J1225="",0,IF(ISNUMBER(J1225),J1225,-1))</f>
        <v>0</v>
      </c>
      <c r="AF1225" s="80">
        <f>MIN(MAX(0,AE1225),AD1225)</f>
        <v>0</v>
      </c>
      <c r="AG1225" s="80">
        <f>MAX(0,AD1225-MAX(0,AE1225))</f>
        <v>0</v>
      </c>
      <c r="AH1225" s="80">
        <f>IF(ISNUMBER(B1225),IF(AND(INDEX(CFG_WDAYS,WEEKDAY(INT(B1225),2))="Sí",IF(D1225="proMX",COUNTIFS(FER_F,INT(B1225),FER_NLP,"Sí"),COUNTIFS(FER_F,INT(B1225),FER_NLM,"Sí"))=0),1,0),0)</f>
        <v>0</v>
      </c>
      <c r="AI1225" s="80">
        <f>IF(AC1225=1,IF(AND(INDEX(CFG_WDAYS,WEEKDAY(INT(B1225)+1,2))="Sí",IF(D1225="proMX",COUNTIFS(FER_F,INT(B1225)+1,FER_NLP,"Sí"),COUNTIFS(FER_F,INT(B1225)+1,FER_NLM,"Sí"))=0),1,0),0)</f>
        <v>0</v>
      </c>
      <c r="AJ1225" s="80">
        <f>IF(AC1225=1,1440-Z1225,AD1225)</f>
        <v>0</v>
      </c>
      <c r="AK1225" s="80">
        <f>IF(AND(AB1225=1,AH1225=1),MAX(0,MIN(IF(AC1225=1,1440,AA1225),CFG_WEM)-MAX(Z1225,CFG_WSM)),0)</f>
        <v>0</v>
      </c>
      <c r="AL1225" s="80">
        <f>IF(AND(AC1225=1,AI1225=1),MAX(0,MIN(AA1225,CFG_WEM)-CFG_WSM),0)</f>
        <v>0</v>
      </c>
      <c r="AM1225" s="80">
        <f>AK1225+AL1225</f>
        <v>0</v>
      </c>
      <c r="AN1225" s="80">
        <f>IF(CFG_BRK="Proporcional",IF(AD1225=0,0,AF1225*AM1225/AD1225),IF(CFG_BRK="Extras primero",MIN(AM1225,MAX(0,AF1225-(AD1225-AM1225))),MIN(AF1225,AM1225)))</f>
        <v>0</v>
      </c>
      <c r="AO1225" s="80">
        <f>AF1225-AN1225</f>
        <v>0</v>
      </c>
      <c r="AP1225" s="80">
        <f>AM1225-AN1225</f>
        <v>0</v>
      </c>
      <c r="AQ1225" s="80">
        <f>AD1225-AM1225-AO1225</f>
        <v>0</v>
      </c>
      <c r="AR1225" s="80">
        <f>IF(AM1225=0,0,AK1225-AN1225*AK1225/AM1225)</f>
        <v>0</v>
      </c>
      <c r="AS1225" s="80">
        <f>IF(AD1225-AM1225=0,0,(AJ1225-AK1225)-AO1225*(AJ1225-AK1225)/(AD1225-AM1225))</f>
        <v>0</v>
      </c>
      <c r="AT1225" s="80" t="str">
        <f>IF(AC1225=1,INT(B1225)+1,"")</f>
        <v/>
      </c>
      <c r="AU1225" s="80">
        <f>IF(AND(D1225="proMX",R1225="Cancelled"),0,1)</f>
        <v>1</v>
      </c>
      <c r="AV1225" s="80">
        <f>IF(AND(AB1225=1,AU1225=1),IF(COUNTIFS($D$5:D1224,D1225,$B$5:B1224,B1225,$Z$5:Z1224,Z1225,$AA$5:AA1224,AA1225,$F$5:F1224,F1225&amp;"",$AU$5:AU1224,1)&gt;0,1,0),0)</f>
        <v>0</v>
      </c>
      <c r="AW1225" s="80" t="str">
        <f>IF(AB1225=1,INT(B1225)*1440+Z1225,"")</f>
        <v/>
      </c>
      <c r="AX1225" s="80" t="str">
        <f>IF(AB1225=1,AW1225+AD1225,"")</f>
        <v/>
      </c>
      <c r="AY1225" s="80">
        <f>IF(AND(AB1225=1,AV1225=0,AU1225=1),1,0)</f>
        <v>0</v>
      </c>
      <c r="AZ1225" s="80">
        <f>IF(AY1225=1,COUNTIFS(R_Emp,D1225,R_SAbs,"&lt;"&amp;AX1225,R_EAbs,"&gt;"&amp;AW1225,R_OKey,1)-1,0)</f>
        <v>0</v>
      </c>
      <c r="BA1225" s="80">
        <f>IF(AY1225=1,COUNTIFS(R_Emp,"&lt;&gt;"&amp;D1225,R_SAbs,"&lt;"&amp;AX1225,R_EAbs,"&gt;"&amp;AW1225,R_OKey,1),0)</f>
        <v>0</v>
      </c>
      <c r="BB1225" s="80">
        <f>IF(AND(AB1225=1,D1225="proMX"),IF(AND(MOD(Z1225,CFG_BLK)=0,MOD(AA1225,CFG_BLK)=0,MOD(AG1225,CFG_BLK)=0,AG1225&gt;0),1,0),1)</f>
        <v>1</v>
      </c>
      <c r="BC1225" s="80" t="str">
        <f>IF(Y1225=0,"",IF(NOT(ISNUMBER(B1225)),"Falta fecha o fecha inválida",IF(D1225="","Falta empresa",IF(AND(D1225&lt;&gt;"Malcolm",D1225&lt;&gt;"proMX"),"Empresa inválida",IF(OR(INT(B1225)&lt;CFG_PSTART,INT(B1225)&gt;CFG_PEND),"Fecha fuera del período",IF(OR(NOT(ISNUMBER(Z1225)),NOT(ISNUMBER(AA1225))),"Falta hora inicio/fin o formato inválido",IF(AB1225=0,"Hora inicio = hora fin",IF(AE1225&lt;0,"Descanso inválido",IF(AE1225&gt;=AD1225,"Descanso ≥ duración",IF(AV1225=1,"Registro duplicado",IF(AZ1225&gt;0,"Se superpone con otro registro "&amp;D1225,IF(BB1225=0,"inicio, fin y duración neta deben ser múltiplos de "&amp;CFG_BLK&amp;" min",""))))))))))))</f>
        <v/>
      </c>
      <c r="BD1225" s="80">
        <f>IF(AND(Y1225=1,BC1225=""),1,0)</f>
        <v>0</v>
      </c>
      <c r="BE1225" s="80">
        <f>IF(AND(BD1225=1,AU1225=1),1,0)</f>
        <v>0</v>
      </c>
      <c r="BF1225" s="80" t="str">
        <f>IF(AND(D1225="proMX",BD1225=1),IF(R1225="","Draft",R1225),"")</f>
        <v/>
      </c>
      <c r="BG1225" s="80">
        <f>IF(BD1225=1,ROUND(AG1225/60,6),0)</f>
        <v>0</v>
      </c>
      <c r="BH1225" s="80">
        <f>IF(BE1225=1,ROUND(AG1225/60,6),0)</f>
        <v>0</v>
      </c>
      <c r="BI1225" s="80">
        <f>IF(BE1225=1,ROUND(AP1225/60,6),0)</f>
        <v>0</v>
      </c>
      <c r="BJ1225" s="80">
        <f>IF(BE1225=1,ROUND(AQ1225/60,6),0)</f>
        <v>0</v>
      </c>
      <c r="BK1225" s="80">
        <f>IF(BE1225=1,ROUND((AR1225+AS1225)/60,6),0)</f>
        <v>0</v>
      </c>
      <c r="BL1225" s="80">
        <f>ROUND(BH1225-BK1225,6)</f>
        <v>0</v>
      </c>
      <c r="BM1225" s="80">
        <f>IF(BE1225=1,ROUND(AR1225/60,6),0)</f>
        <v>0</v>
      </c>
      <c r="BN1225" s="80">
        <f>ROUND(BI1225-BM1225,6)</f>
        <v>0</v>
      </c>
      <c r="BO1225" s="80">
        <f>IF(BE1225=1,ROUND(AS1225/60,6),0)</f>
        <v>0</v>
      </c>
      <c r="BP1225" s="80">
        <f>ROUND(BJ1225-BO1225,6)</f>
        <v>0</v>
      </c>
      <c r="BQ1225" s="80">
        <f>IF(BE1225=1,AW1225,0)</f>
        <v>0</v>
      </c>
      <c r="BR1225" s="80">
        <f>IF(BE1225=1,AX1225,0)</f>
        <v>0</v>
      </c>
      <c r="BS1225" s="80">
        <f>IF(AND(BE1225=1,D1225="Malcolm",BA1225&gt;0),MIN(BH1225,SUMPRODUCT((R_Emp="proMX")*(R_EN&gt;0)*((R_EN-(R_EN&gt;BR1225)*(R_EN-BR1225))&gt;(R_SN+(R_SN&lt;BQ1225)*(BQ1225-R_SN)))*((R_EN-(R_EN&gt;BR1225)*(R_EN-BR1225))-(R_SN+(R_SN&lt;BQ1225)*(BQ1225-R_SN))))/60),0)</f>
        <v>0</v>
      </c>
      <c r="BT1225" s="80">
        <f>IF(AND(BE1225=1,D1225="proMX"),ROUND(BI1225*CFG_RATE+BJ1225*CFG_OTRATE,6),0)</f>
        <v>0</v>
      </c>
      <c r="BU1225" s="80">
        <f>IF(AND(BD1225=1,D1225="proMX"),ROUND(AG1225/CFG_BLK,6),0)</f>
        <v>0</v>
      </c>
      <c r="BV1225" s="80" t="str">
        <f>IF(BF1225="Approved",IF(ISNUMBER(T1225),INT(T1225),INT(B1225)),"")</f>
        <v/>
      </c>
      <c r="BW1225" s="80">
        <f>IF(ISNUMBER(B1225),IF(DB_MON="Todos",1,IF(AND(INT(B1225)&gt;=DB_MS,INT(B1225)&lt;=DB_ME),1,0)),0)</f>
        <v>0</v>
      </c>
      <c r="BX1225" s="80">
        <f>IF(DB_PROJ="Todos",1,IF(E1225&amp;""=DB_PROJ&amp;"",1,0))</f>
        <v>1</v>
      </c>
      <c r="BY1225" s="80">
        <f>BW1225*BX1225</f>
        <v>0</v>
      </c>
      <c r="BZ1225" s="80" t="str">
        <f>IF(Y1225=1,F1225&amp;IF(AND(F1225&amp;""&lt;&gt;"",E1225&amp;""&lt;&gt;"")," · ","")&amp;E1225,"")</f>
        <v/>
      </c>
      <c r="CA1225" s="80" t="str">
        <f>IF(AND(BD1225=1,E1225&amp;""&lt;&gt;""),IF(COUNTIFS($E$5:E1224,E1225,$BD$5:BD1224,1)=0,MAX($CA$5:CA1224)+1,""),"")</f>
        <v/>
      </c>
      <c r="CB1225" s="80" t="str">
        <f>IF(AND(BE1225=1,D1225="Malcolm",E1225&amp;""&lt;&gt;""),IF(COUNTIFS($D$5:D1224,"Malcolm",$E$5:E1224,E1225,$BE$5:BE1224,1)=0,MAX($CB$5:CB1224)+1,""),"")</f>
        <v/>
      </c>
      <c r="CC1225" s="80" t="str">
        <f>IF(AND(BD1225=1,D1225="proMX",E1225&amp;""&lt;&gt;""),IF(COUNTIFS($D$5:D1224,"proMX",$E$5:E1224,E1225,$BD$5:BD1224,1)=0,MAX($CC$5:CC1224)+1,""),"")</f>
        <v/>
      </c>
      <c r="CD1225" s="80" t="str">
        <f>IF(AND(BE1225=1,D1225="Malcolm",F1225&amp;""&lt;&gt;""),IF(COUNTIFS($D$5:D1224,"Malcolm",$F$5:F1224,F1225,$BE$5:BE1224,1)=0,MAX($CD$5:CD1224)+1,""),"")</f>
        <v/>
      </c>
      <c r="CE1225" s="80" t="str">
        <f>IF(AND(BD1225=1,D1225="proMX",F1225&amp;""&lt;&gt;""),IF(COUNTIFS($D$5:D1224,"proMX",$F$5:F1224,F1225,$BD$5:BD1224,1)=0,MAX($CE$5:CE1224)+1,""),"")</f>
        <v/>
      </c>
      <c r="CF1225" s="80" t="str">
        <f>IF(AND(D1225="proMX",BD1225=1),IF(OR(BF1225="Draft",BF1225="Submitted",BF1225="Returned",BF1225="Recall Requested"),MAX($CF$5:CF1224)+1,""),"")</f>
        <v/>
      </c>
      <c r="CG1225" s="80">
        <f>IF(BD1225=0,0,IF(D1225="Malcolm",1,MATCH(BF1225,{"Draft","Submitted","Approved","Returned","Recall Requested","Cancelled"},0)+1))</f>
        <v>0</v>
      </c>
      <c r="CH1225" s="80">
        <f>IF(AND(BF1225="Submitted",ISNUMBER(V1225)),IF(V1225&gt;CFG_MAXD,1,0),0)</f>
        <v>0</v>
      </c>
    </row>
    <row r="1226">
      <c r="A1226" s="71" t="str">
        <f>IF(Y1226=1,ROW()-5,"")</f>
        <v/>
      </c>
      <c r="B1226" s="72" t="n"/>
      <c r="C1226" s="71" t="str">
        <f>IF(ISNUMBER(B1226),CHOOSE(WEEKDAY(B1226,2),"Lun","Mar","Mié","Jue","Vie","Sáb","Dom"),"")</f>
        <v/>
      </c>
      <c r="D1226" s="73" t="n"/>
      <c r="E1226" s="74" t="n"/>
      <c r="F1226" s="74" t="n"/>
      <c r="G1226" s="74" t="n"/>
      <c r="H1226" s="75" t="n"/>
      <c r="I1226" s="75" t="n"/>
      <c r="J1226" s="76" t="n"/>
      <c r="K1226" s="77" t="str">
        <f>IF(AB1226=1,ROUND(AG1226/60,4),"")</f>
        <v/>
      </c>
      <c r="L1226" s="77" t="str">
        <f>IF(BD1226=1,ROUND(AP1226/60,4),"")</f>
        <v/>
      </c>
      <c r="M1226" s="77" t="str">
        <f>IF(BD1226=1,ROUND(AQ1226/60,4),"")</f>
        <v/>
      </c>
      <c r="N1226" s="71" t="str">
        <f>IF(AND(D1226="proMX",AB1226=1),ROUND(AG1226/CFG_BLK,2),"")</f>
        <v/>
      </c>
      <c r="O1226" s="77" t="str">
        <f>IF(D1226="proMX",IF(BD1226=1,ROUND(AG1226/60,4),0),"")</f>
        <v/>
      </c>
      <c r="P1226" s="78" t="str">
        <f>IF(Y1226=0,"",IF(BD1226=1,"OK",IF(D1226="proMX","Revisar bloques: ","Revisar: ")&amp;BC1226))</f>
        <v/>
      </c>
      <c r="Q1226" s="78" t="str">
        <f>IF(NOT(ISNUMBER(B1226)),"",IF(COUNTIFS(FER_F,INT(B1226))&gt;0,"Feriado"&amp;IF(AH1226=1," (laborable)"," (no laborable)"),IF(AH1226=1,"Laborable",IF(WEEKDAY(B1226,2)&gt;5,"Fin de semana","No laborable"))))</f>
        <v/>
      </c>
      <c r="R1226" s="73" t="n"/>
      <c r="S1226" s="72" t="n"/>
      <c r="T1226" s="72" t="n"/>
      <c r="U1226" s="74" t="n"/>
      <c r="V1226" s="79" t="str">
        <f>IF(AND(D1226="proMX",OR(R1226="Submitted",R1226="Recall Requested"),ISNUMBER(S1226)),CFG_TODAY-INT(S1226),"")</f>
        <v/>
      </c>
      <c r="W1226" s="78" t="str">
        <f>IF(BD1226=0,"",IF(BA1226&gt;0,"⚠ Se superpone con un registro de la otra empresa",IF(D1226="Malcolm",IF(COUNTA(R1226,S1226,T1226)&gt;0,"Estado/fechas proMX se ignoran en Malcolm",""),IF(BF1226="Cancelled","Cancelado: excluido de totales",IF(R1226="","Sin estado: se trata como Draft",IF(BF1226="Submitted",IF(ISNUMBER(V1226),IF(V1226&gt;CFG_MAXD,"⚠ "&amp;V1226&amp;" días en Submitted (máx. "&amp;CFG_MAXD&amp;")",""),"Falta fecha de envío"),IF(BF1226="Returned","⚠ Devuelto: corregir y reenviar",IF(BF1226="Recall Requested","Retirada solicitada: pendiente",IF(AND(BF1226="Approved",NOT(ISNUMBER(T1226))),"Falta fecha de aprobación",IF(AND(ISNUMBER(S1226),ISNUMBER(T1226),T1226&lt;S1226),"Aprobación anterior al envío","")))))))))</f>
        <v/>
      </c>
      <c r="Y1226" s="80">
        <f>IF(COUNTA(B1226,D1226,E1226,F1226,G1226,H1226,I1226,J1226,R1226,S1226,T1226)&gt;0,1,0)</f>
        <v>0</v>
      </c>
      <c r="Z1226" s="80" t="str">
        <f>IF(AND(ISNUMBER(H1226),H1226&gt;=0,H1226&lt;1),ROUND(H1226*1440,0),"")</f>
        <v/>
      </c>
      <c r="AA1226" s="80" t="str">
        <f>IF(AND(ISNUMBER(I1226),I1226&gt;=0,I1226&lt;1),ROUND(I1226*1440,0),"")</f>
        <v/>
      </c>
      <c r="AB1226" s="80">
        <f>IF(AND(ISNUMBER(B1226),D1226&lt;&gt;"",ISNUMBER(Z1226),ISNUMBER(AA1226)),IF(Z1226=AA1226,0,1),0)</f>
        <v>0</v>
      </c>
      <c r="AC1226" s="80">
        <f>IF(AB1226=1,IF(AA1226&lt;Z1226,1,0),0)</f>
        <v>0</v>
      </c>
      <c r="AD1226" s="80">
        <f>IF(AB1226=1,IF(AC1226=1,1440-Z1226+AA1226,AA1226-Z1226),0)</f>
        <v>0</v>
      </c>
      <c r="AE1226" s="80">
        <f>IF(J1226="",0,IF(ISNUMBER(J1226),J1226,-1))</f>
        <v>0</v>
      </c>
      <c r="AF1226" s="80">
        <f>MIN(MAX(0,AE1226),AD1226)</f>
        <v>0</v>
      </c>
      <c r="AG1226" s="80">
        <f>MAX(0,AD1226-MAX(0,AE1226))</f>
        <v>0</v>
      </c>
      <c r="AH1226" s="80">
        <f>IF(ISNUMBER(B1226),IF(AND(INDEX(CFG_WDAYS,WEEKDAY(INT(B1226),2))="Sí",IF(D1226="proMX",COUNTIFS(FER_F,INT(B1226),FER_NLP,"Sí"),COUNTIFS(FER_F,INT(B1226),FER_NLM,"Sí"))=0),1,0),0)</f>
        <v>0</v>
      </c>
      <c r="AI1226" s="80">
        <f>IF(AC1226=1,IF(AND(INDEX(CFG_WDAYS,WEEKDAY(INT(B1226)+1,2))="Sí",IF(D1226="proMX",COUNTIFS(FER_F,INT(B1226)+1,FER_NLP,"Sí"),COUNTIFS(FER_F,INT(B1226)+1,FER_NLM,"Sí"))=0),1,0),0)</f>
        <v>0</v>
      </c>
      <c r="AJ1226" s="80">
        <f>IF(AC1226=1,1440-Z1226,AD1226)</f>
        <v>0</v>
      </c>
      <c r="AK1226" s="80">
        <f>IF(AND(AB1226=1,AH1226=1),MAX(0,MIN(IF(AC1226=1,1440,AA1226),CFG_WEM)-MAX(Z1226,CFG_WSM)),0)</f>
        <v>0</v>
      </c>
      <c r="AL1226" s="80">
        <f>IF(AND(AC1226=1,AI1226=1),MAX(0,MIN(AA1226,CFG_WEM)-CFG_WSM),0)</f>
        <v>0</v>
      </c>
      <c r="AM1226" s="80">
        <f>AK1226+AL1226</f>
        <v>0</v>
      </c>
      <c r="AN1226" s="80">
        <f>IF(CFG_BRK="Proporcional",IF(AD1226=0,0,AF1226*AM1226/AD1226),IF(CFG_BRK="Extras primero",MIN(AM1226,MAX(0,AF1226-(AD1226-AM1226))),MIN(AF1226,AM1226)))</f>
        <v>0</v>
      </c>
      <c r="AO1226" s="80">
        <f>AF1226-AN1226</f>
        <v>0</v>
      </c>
      <c r="AP1226" s="80">
        <f>AM1226-AN1226</f>
        <v>0</v>
      </c>
      <c r="AQ1226" s="80">
        <f>AD1226-AM1226-AO1226</f>
        <v>0</v>
      </c>
      <c r="AR1226" s="80">
        <f>IF(AM1226=0,0,AK1226-AN1226*AK1226/AM1226)</f>
        <v>0</v>
      </c>
      <c r="AS1226" s="80">
        <f>IF(AD1226-AM1226=0,0,(AJ1226-AK1226)-AO1226*(AJ1226-AK1226)/(AD1226-AM1226))</f>
        <v>0</v>
      </c>
      <c r="AT1226" s="80" t="str">
        <f>IF(AC1226=1,INT(B1226)+1,"")</f>
        <v/>
      </c>
      <c r="AU1226" s="80">
        <f>IF(AND(D1226="proMX",R1226="Cancelled"),0,1)</f>
        <v>1</v>
      </c>
      <c r="AV1226" s="80">
        <f>IF(AND(AB1226=1,AU1226=1),IF(COUNTIFS($D$5:D1225,D1226,$B$5:B1225,B1226,$Z$5:Z1225,Z1226,$AA$5:AA1225,AA1226,$F$5:F1225,F1226&amp;"",$AU$5:AU1225,1)&gt;0,1,0),0)</f>
        <v>0</v>
      </c>
      <c r="AW1226" s="80" t="str">
        <f>IF(AB1226=1,INT(B1226)*1440+Z1226,"")</f>
        <v/>
      </c>
      <c r="AX1226" s="80" t="str">
        <f>IF(AB1226=1,AW1226+AD1226,"")</f>
        <v/>
      </c>
      <c r="AY1226" s="80">
        <f>IF(AND(AB1226=1,AV1226=0,AU1226=1),1,0)</f>
        <v>0</v>
      </c>
      <c r="AZ1226" s="80">
        <f>IF(AY1226=1,COUNTIFS(R_Emp,D1226,R_SAbs,"&lt;"&amp;AX1226,R_EAbs,"&gt;"&amp;AW1226,R_OKey,1)-1,0)</f>
        <v>0</v>
      </c>
      <c r="BA1226" s="80">
        <f>IF(AY1226=1,COUNTIFS(R_Emp,"&lt;&gt;"&amp;D1226,R_SAbs,"&lt;"&amp;AX1226,R_EAbs,"&gt;"&amp;AW1226,R_OKey,1),0)</f>
        <v>0</v>
      </c>
      <c r="BB1226" s="80">
        <f>IF(AND(AB1226=1,D1226="proMX"),IF(AND(MOD(Z1226,CFG_BLK)=0,MOD(AA1226,CFG_BLK)=0,MOD(AG1226,CFG_BLK)=0,AG1226&gt;0),1,0),1)</f>
        <v>1</v>
      </c>
      <c r="BC1226" s="80" t="str">
        <f>IF(Y1226=0,"",IF(NOT(ISNUMBER(B1226)),"Falta fecha o fecha inválida",IF(D1226="","Falta empresa",IF(AND(D1226&lt;&gt;"Malcolm",D1226&lt;&gt;"proMX"),"Empresa inválida",IF(OR(INT(B1226)&lt;CFG_PSTART,INT(B1226)&gt;CFG_PEND),"Fecha fuera del período",IF(OR(NOT(ISNUMBER(Z1226)),NOT(ISNUMBER(AA1226))),"Falta hora inicio/fin o formato inválido",IF(AB1226=0,"Hora inicio = hora fin",IF(AE1226&lt;0,"Descanso inválido",IF(AE1226&gt;=AD1226,"Descanso ≥ duración",IF(AV1226=1,"Registro duplicado",IF(AZ1226&gt;0,"Se superpone con otro registro "&amp;D1226,IF(BB1226=0,"inicio, fin y duración neta deben ser múltiplos de "&amp;CFG_BLK&amp;" min",""))))))))))))</f>
        <v/>
      </c>
      <c r="BD1226" s="80">
        <f>IF(AND(Y1226=1,BC1226=""),1,0)</f>
        <v>0</v>
      </c>
      <c r="BE1226" s="80">
        <f>IF(AND(BD1226=1,AU1226=1),1,0)</f>
        <v>0</v>
      </c>
      <c r="BF1226" s="80" t="str">
        <f>IF(AND(D1226="proMX",BD1226=1),IF(R1226="","Draft",R1226),"")</f>
        <v/>
      </c>
      <c r="BG1226" s="80">
        <f>IF(BD1226=1,ROUND(AG1226/60,6),0)</f>
        <v>0</v>
      </c>
      <c r="BH1226" s="80">
        <f>IF(BE1226=1,ROUND(AG1226/60,6),0)</f>
        <v>0</v>
      </c>
      <c r="BI1226" s="80">
        <f>IF(BE1226=1,ROUND(AP1226/60,6),0)</f>
        <v>0</v>
      </c>
      <c r="BJ1226" s="80">
        <f>IF(BE1226=1,ROUND(AQ1226/60,6),0)</f>
        <v>0</v>
      </c>
      <c r="BK1226" s="80">
        <f>IF(BE1226=1,ROUND((AR1226+AS1226)/60,6),0)</f>
        <v>0</v>
      </c>
      <c r="BL1226" s="80">
        <f>ROUND(BH1226-BK1226,6)</f>
        <v>0</v>
      </c>
      <c r="BM1226" s="80">
        <f>IF(BE1226=1,ROUND(AR1226/60,6),0)</f>
        <v>0</v>
      </c>
      <c r="BN1226" s="80">
        <f>ROUND(BI1226-BM1226,6)</f>
        <v>0</v>
      </c>
      <c r="BO1226" s="80">
        <f>IF(BE1226=1,ROUND(AS1226/60,6),0)</f>
        <v>0</v>
      </c>
      <c r="BP1226" s="80">
        <f>ROUND(BJ1226-BO1226,6)</f>
        <v>0</v>
      </c>
      <c r="BQ1226" s="80">
        <f>IF(BE1226=1,AW1226,0)</f>
        <v>0</v>
      </c>
      <c r="BR1226" s="80">
        <f>IF(BE1226=1,AX1226,0)</f>
        <v>0</v>
      </c>
      <c r="BS1226" s="80">
        <f>IF(AND(BE1226=1,D1226="Malcolm",BA1226&gt;0),MIN(BH1226,SUMPRODUCT((R_Emp="proMX")*(R_EN&gt;0)*((R_EN-(R_EN&gt;BR1226)*(R_EN-BR1226))&gt;(R_SN+(R_SN&lt;BQ1226)*(BQ1226-R_SN)))*((R_EN-(R_EN&gt;BR1226)*(R_EN-BR1226))-(R_SN+(R_SN&lt;BQ1226)*(BQ1226-R_SN))))/60),0)</f>
        <v>0</v>
      </c>
      <c r="BT1226" s="80">
        <f>IF(AND(BE1226=1,D1226="proMX"),ROUND(BI1226*CFG_RATE+BJ1226*CFG_OTRATE,6),0)</f>
        <v>0</v>
      </c>
      <c r="BU1226" s="80">
        <f>IF(AND(BD1226=1,D1226="proMX"),ROUND(AG1226/CFG_BLK,6),0)</f>
        <v>0</v>
      </c>
      <c r="BV1226" s="80" t="str">
        <f>IF(BF1226="Approved",IF(ISNUMBER(T1226),INT(T1226),INT(B1226)),"")</f>
        <v/>
      </c>
      <c r="BW1226" s="80">
        <f>IF(ISNUMBER(B1226),IF(DB_MON="Todos",1,IF(AND(INT(B1226)&gt;=DB_MS,INT(B1226)&lt;=DB_ME),1,0)),0)</f>
        <v>0</v>
      </c>
      <c r="BX1226" s="80">
        <f>IF(DB_PROJ="Todos",1,IF(E1226&amp;""=DB_PROJ&amp;"",1,0))</f>
        <v>1</v>
      </c>
      <c r="BY1226" s="80">
        <f>BW1226*BX1226</f>
        <v>0</v>
      </c>
      <c r="BZ1226" s="80" t="str">
        <f>IF(Y1226=1,F1226&amp;IF(AND(F1226&amp;""&lt;&gt;"",E1226&amp;""&lt;&gt;"")," · ","")&amp;E1226,"")</f>
        <v/>
      </c>
      <c r="CA1226" s="80" t="str">
        <f>IF(AND(BD1226=1,E1226&amp;""&lt;&gt;""),IF(COUNTIFS($E$5:E1225,E1226,$BD$5:BD1225,1)=0,MAX($CA$5:CA1225)+1,""),"")</f>
        <v/>
      </c>
      <c r="CB1226" s="80" t="str">
        <f>IF(AND(BE1226=1,D1226="Malcolm",E1226&amp;""&lt;&gt;""),IF(COUNTIFS($D$5:D1225,"Malcolm",$E$5:E1225,E1226,$BE$5:BE1225,1)=0,MAX($CB$5:CB1225)+1,""),"")</f>
        <v/>
      </c>
      <c r="CC1226" s="80" t="str">
        <f>IF(AND(BD1226=1,D1226="proMX",E1226&amp;""&lt;&gt;""),IF(COUNTIFS($D$5:D1225,"proMX",$E$5:E1225,E1226,$BD$5:BD1225,1)=0,MAX($CC$5:CC1225)+1,""),"")</f>
        <v/>
      </c>
      <c r="CD1226" s="80" t="str">
        <f>IF(AND(BE1226=1,D1226="Malcolm",F1226&amp;""&lt;&gt;""),IF(COUNTIFS($D$5:D1225,"Malcolm",$F$5:F1225,F1226,$BE$5:BE1225,1)=0,MAX($CD$5:CD1225)+1,""),"")</f>
        <v/>
      </c>
      <c r="CE1226" s="80" t="str">
        <f>IF(AND(BD1226=1,D1226="proMX",F1226&amp;""&lt;&gt;""),IF(COUNTIFS($D$5:D1225,"proMX",$F$5:F1225,F1226,$BD$5:BD1225,1)=0,MAX($CE$5:CE1225)+1,""),"")</f>
        <v/>
      </c>
      <c r="CF1226" s="80" t="str">
        <f>IF(AND(D1226="proMX",BD1226=1),IF(OR(BF1226="Draft",BF1226="Submitted",BF1226="Returned",BF1226="Recall Requested"),MAX($CF$5:CF1225)+1,""),"")</f>
        <v/>
      </c>
      <c r="CG1226" s="80">
        <f>IF(BD1226=0,0,IF(D1226="Malcolm",1,MATCH(BF1226,{"Draft","Submitted","Approved","Returned","Recall Requested","Cancelled"},0)+1))</f>
        <v>0</v>
      </c>
      <c r="CH1226" s="80">
        <f>IF(AND(BF1226="Submitted",ISNUMBER(V1226)),IF(V1226&gt;CFG_MAXD,1,0),0)</f>
        <v>0</v>
      </c>
    </row>
    <row r="1227">
      <c r="A1227" s="71" t="str">
        <f>IF(Y1227=1,ROW()-5,"")</f>
        <v/>
      </c>
      <c r="B1227" s="72" t="n"/>
      <c r="C1227" s="71" t="str">
        <f>IF(ISNUMBER(B1227),CHOOSE(WEEKDAY(B1227,2),"Lun","Mar","Mié","Jue","Vie","Sáb","Dom"),"")</f>
        <v/>
      </c>
      <c r="D1227" s="73" t="n"/>
      <c r="E1227" s="74" t="n"/>
      <c r="F1227" s="74" t="n"/>
      <c r="G1227" s="74" t="n"/>
      <c r="H1227" s="75" t="n"/>
      <c r="I1227" s="75" t="n"/>
      <c r="J1227" s="76" t="n"/>
      <c r="K1227" s="77" t="str">
        <f>IF(AB1227=1,ROUND(AG1227/60,4),"")</f>
        <v/>
      </c>
      <c r="L1227" s="77" t="str">
        <f>IF(BD1227=1,ROUND(AP1227/60,4),"")</f>
        <v/>
      </c>
      <c r="M1227" s="77" t="str">
        <f>IF(BD1227=1,ROUND(AQ1227/60,4),"")</f>
        <v/>
      </c>
      <c r="N1227" s="71" t="str">
        <f>IF(AND(D1227="proMX",AB1227=1),ROUND(AG1227/CFG_BLK,2),"")</f>
        <v/>
      </c>
      <c r="O1227" s="77" t="str">
        <f>IF(D1227="proMX",IF(BD1227=1,ROUND(AG1227/60,4),0),"")</f>
        <v/>
      </c>
      <c r="P1227" s="78" t="str">
        <f>IF(Y1227=0,"",IF(BD1227=1,"OK",IF(D1227="proMX","Revisar bloques: ","Revisar: ")&amp;BC1227))</f>
        <v/>
      </c>
      <c r="Q1227" s="78" t="str">
        <f>IF(NOT(ISNUMBER(B1227)),"",IF(COUNTIFS(FER_F,INT(B1227))&gt;0,"Feriado"&amp;IF(AH1227=1," (laborable)"," (no laborable)"),IF(AH1227=1,"Laborable",IF(WEEKDAY(B1227,2)&gt;5,"Fin de semana","No laborable"))))</f>
        <v/>
      </c>
      <c r="R1227" s="73" t="n"/>
      <c r="S1227" s="72" t="n"/>
      <c r="T1227" s="72" t="n"/>
      <c r="U1227" s="74" t="n"/>
      <c r="V1227" s="79" t="str">
        <f>IF(AND(D1227="proMX",OR(R1227="Submitted",R1227="Recall Requested"),ISNUMBER(S1227)),CFG_TODAY-INT(S1227),"")</f>
        <v/>
      </c>
      <c r="W1227" s="78" t="str">
        <f>IF(BD1227=0,"",IF(BA1227&gt;0,"⚠ Se superpone con un registro de la otra empresa",IF(D1227="Malcolm",IF(COUNTA(R1227,S1227,T1227)&gt;0,"Estado/fechas proMX se ignoran en Malcolm",""),IF(BF1227="Cancelled","Cancelado: excluido de totales",IF(R1227="","Sin estado: se trata como Draft",IF(BF1227="Submitted",IF(ISNUMBER(V1227),IF(V1227&gt;CFG_MAXD,"⚠ "&amp;V1227&amp;" días en Submitted (máx. "&amp;CFG_MAXD&amp;")",""),"Falta fecha de envío"),IF(BF1227="Returned","⚠ Devuelto: corregir y reenviar",IF(BF1227="Recall Requested","Retirada solicitada: pendiente",IF(AND(BF1227="Approved",NOT(ISNUMBER(T1227))),"Falta fecha de aprobación",IF(AND(ISNUMBER(S1227),ISNUMBER(T1227),T1227&lt;S1227),"Aprobación anterior al envío","")))))))))</f>
        <v/>
      </c>
      <c r="Y1227" s="80">
        <f>IF(COUNTA(B1227,D1227,E1227,F1227,G1227,H1227,I1227,J1227,R1227,S1227,T1227)&gt;0,1,0)</f>
        <v>0</v>
      </c>
      <c r="Z1227" s="80" t="str">
        <f>IF(AND(ISNUMBER(H1227),H1227&gt;=0,H1227&lt;1),ROUND(H1227*1440,0),"")</f>
        <v/>
      </c>
      <c r="AA1227" s="80" t="str">
        <f>IF(AND(ISNUMBER(I1227),I1227&gt;=0,I1227&lt;1),ROUND(I1227*1440,0),"")</f>
        <v/>
      </c>
      <c r="AB1227" s="80">
        <f>IF(AND(ISNUMBER(B1227),D1227&lt;&gt;"",ISNUMBER(Z1227),ISNUMBER(AA1227)),IF(Z1227=AA1227,0,1),0)</f>
        <v>0</v>
      </c>
      <c r="AC1227" s="80">
        <f>IF(AB1227=1,IF(AA1227&lt;Z1227,1,0),0)</f>
        <v>0</v>
      </c>
      <c r="AD1227" s="80">
        <f>IF(AB1227=1,IF(AC1227=1,1440-Z1227+AA1227,AA1227-Z1227),0)</f>
        <v>0</v>
      </c>
      <c r="AE1227" s="80">
        <f>IF(J1227="",0,IF(ISNUMBER(J1227),J1227,-1))</f>
        <v>0</v>
      </c>
      <c r="AF1227" s="80">
        <f>MIN(MAX(0,AE1227),AD1227)</f>
        <v>0</v>
      </c>
      <c r="AG1227" s="80">
        <f>MAX(0,AD1227-MAX(0,AE1227))</f>
        <v>0</v>
      </c>
      <c r="AH1227" s="80">
        <f>IF(ISNUMBER(B1227),IF(AND(INDEX(CFG_WDAYS,WEEKDAY(INT(B1227),2))="Sí",IF(D1227="proMX",COUNTIFS(FER_F,INT(B1227),FER_NLP,"Sí"),COUNTIFS(FER_F,INT(B1227),FER_NLM,"Sí"))=0),1,0),0)</f>
        <v>0</v>
      </c>
      <c r="AI1227" s="80">
        <f>IF(AC1227=1,IF(AND(INDEX(CFG_WDAYS,WEEKDAY(INT(B1227)+1,2))="Sí",IF(D1227="proMX",COUNTIFS(FER_F,INT(B1227)+1,FER_NLP,"Sí"),COUNTIFS(FER_F,INT(B1227)+1,FER_NLM,"Sí"))=0),1,0),0)</f>
        <v>0</v>
      </c>
      <c r="AJ1227" s="80">
        <f>IF(AC1227=1,1440-Z1227,AD1227)</f>
        <v>0</v>
      </c>
      <c r="AK1227" s="80">
        <f>IF(AND(AB1227=1,AH1227=1),MAX(0,MIN(IF(AC1227=1,1440,AA1227),CFG_WEM)-MAX(Z1227,CFG_WSM)),0)</f>
        <v>0</v>
      </c>
      <c r="AL1227" s="80">
        <f>IF(AND(AC1227=1,AI1227=1),MAX(0,MIN(AA1227,CFG_WEM)-CFG_WSM),0)</f>
        <v>0</v>
      </c>
      <c r="AM1227" s="80">
        <f>AK1227+AL1227</f>
        <v>0</v>
      </c>
      <c r="AN1227" s="80">
        <f>IF(CFG_BRK="Proporcional",IF(AD1227=0,0,AF1227*AM1227/AD1227),IF(CFG_BRK="Extras primero",MIN(AM1227,MAX(0,AF1227-(AD1227-AM1227))),MIN(AF1227,AM1227)))</f>
        <v>0</v>
      </c>
      <c r="AO1227" s="80">
        <f>AF1227-AN1227</f>
        <v>0</v>
      </c>
      <c r="AP1227" s="80">
        <f>AM1227-AN1227</f>
        <v>0</v>
      </c>
      <c r="AQ1227" s="80">
        <f>AD1227-AM1227-AO1227</f>
        <v>0</v>
      </c>
      <c r="AR1227" s="80">
        <f>IF(AM1227=0,0,AK1227-AN1227*AK1227/AM1227)</f>
        <v>0</v>
      </c>
      <c r="AS1227" s="80">
        <f>IF(AD1227-AM1227=0,0,(AJ1227-AK1227)-AO1227*(AJ1227-AK1227)/(AD1227-AM1227))</f>
        <v>0</v>
      </c>
      <c r="AT1227" s="80" t="str">
        <f>IF(AC1227=1,INT(B1227)+1,"")</f>
        <v/>
      </c>
      <c r="AU1227" s="80">
        <f>IF(AND(D1227="proMX",R1227="Cancelled"),0,1)</f>
        <v>1</v>
      </c>
      <c r="AV1227" s="80">
        <f>IF(AND(AB1227=1,AU1227=1),IF(COUNTIFS($D$5:D1226,D1227,$B$5:B1226,B1227,$Z$5:Z1226,Z1227,$AA$5:AA1226,AA1227,$F$5:F1226,F1227&amp;"",$AU$5:AU1226,1)&gt;0,1,0),0)</f>
        <v>0</v>
      </c>
      <c r="AW1227" s="80" t="str">
        <f>IF(AB1227=1,INT(B1227)*1440+Z1227,"")</f>
        <v/>
      </c>
      <c r="AX1227" s="80" t="str">
        <f>IF(AB1227=1,AW1227+AD1227,"")</f>
        <v/>
      </c>
      <c r="AY1227" s="80">
        <f>IF(AND(AB1227=1,AV1227=0,AU1227=1),1,0)</f>
        <v>0</v>
      </c>
      <c r="AZ1227" s="80">
        <f>IF(AY1227=1,COUNTIFS(R_Emp,D1227,R_SAbs,"&lt;"&amp;AX1227,R_EAbs,"&gt;"&amp;AW1227,R_OKey,1)-1,0)</f>
        <v>0</v>
      </c>
      <c r="BA1227" s="80">
        <f>IF(AY1227=1,COUNTIFS(R_Emp,"&lt;&gt;"&amp;D1227,R_SAbs,"&lt;"&amp;AX1227,R_EAbs,"&gt;"&amp;AW1227,R_OKey,1),0)</f>
        <v>0</v>
      </c>
      <c r="BB1227" s="80">
        <f>IF(AND(AB1227=1,D1227="proMX"),IF(AND(MOD(Z1227,CFG_BLK)=0,MOD(AA1227,CFG_BLK)=0,MOD(AG1227,CFG_BLK)=0,AG1227&gt;0),1,0),1)</f>
        <v>1</v>
      </c>
      <c r="BC1227" s="80" t="str">
        <f>IF(Y1227=0,"",IF(NOT(ISNUMBER(B1227)),"Falta fecha o fecha inválida",IF(D1227="","Falta empresa",IF(AND(D1227&lt;&gt;"Malcolm",D1227&lt;&gt;"proMX"),"Empresa inválida",IF(OR(INT(B1227)&lt;CFG_PSTART,INT(B1227)&gt;CFG_PEND),"Fecha fuera del período",IF(OR(NOT(ISNUMBER(Z1227)),NOT(ISNUMBER(AA1227))),"Falta hora inicio/fin o formato inválido",IF(AB1227=0,"Hora inicio = hora fin",IF(AE1227&lt;0,"Descanso inválido",IF(AE1227&gt;=AD1227,"Descanso ≥ duración",IF(AV1227=1,"Registro duplicado",IF(AZ1227&gt;0,"Se superpone con otro registro "&amp;D1227,IF(BB1227=0,"inicio, fin y duración neta deben ser múltiplos de "&amp;CFG_BLK&amp;" min",""))))))))))))</f>
        <v/>
      </c>
      <c r="BD1227" s="80">
        <f>IF(AND(Y1227=1,BC1227=""),1,0)</f>
        <v>0</v>
      </c>
      <c r="BE1227" s="80">
        <f>IF(AND(BD1227=1,AU1227=1),1,0)</f>
        <v>0</v>
      </c>
      <c r="BF1227" s="80" t="str">
        <f>IF(AND(D1227="proMX",BD1227=1),IF(R1227="","Draft",R1227),"")</f>
        <v/>
      </c>
      <c r="BG1227" s="80">
        <f>IF(BD1227=1,ROUND(AG1227/60,6),0)</f>
        <v>0</v>
      </c>
      <c r="BH1227" s="80">
        <f>IF(BE1227=1,ROUND(AG1227/60,6),0)</f>
        <v>0</v>
      </c>
      <c r="BI1227" s="80">
        <f>IF(BE1227=1,ROUND(AP1227/60,6),0)</f>
        <v>0</v>
      </c>
      <c r="BJ1227" s="80">
        <f>IF(BE1227=1,ROUND(AQ1227/60,6),0)</f>
        <v>0</v>
      </c>
      <c r="BK1227" s="80">
        <f>IF(BE1227=1,ROUND((AR1227+AS1227)/60,6),0)</f>
        <v>0</v>
      </c>
      <c r="BL1227" s="80">
        <f>ROUND(BH1227-BK1227,6)</f>
        <v>0</v>
      </c>
      <c r="BM1227" s="80">
        <f>IF(BE1227=1,ROUND(AR1227/60,6),0)</f>
        <v>0</v>
      </c>
      <c r="BN1227" s="80">
        <f>ROUND(BI1227-BM1227,6)</f>
        <v>0</v>
      </c>
      <c r="BO1227" s="80">
        <f>IF(BE1227=1,ROUND(AS1227/60,6),0)</f>
        <v>0</v>
      </c>
      <c r="BP1227" s="80">
        <f>ROUND(BJ1227-BO1227,6)</f>
        <v>0</v>
      </c>
      <c r="BQ1227" s="80">
        <f>IF(BE1227=1,AW1227,0)</f>
        <v>0</v>
      </c>
      <c r="BR1227" s="80">
        <f>IF(BE1227=1,AX1227,0)</f>
        <v>0</v>
      </c>
      <c r="BS1227" s="80">
        <f>IF(AND(BE1227=1,D1227="Malcolm",BA1227&gt;0),MIN(BH1227,SUMPRODUCT((R_Emp="proMX")*(R_EN&gt;0)*((R_EN-(R_EN&gt;BR1227)*(R_EN-BR1227))&gt;(R_SN+(R_SN&lt;BQ1227)*(BQ1227-R_SN)))*((R_EN-(R_EN&gt;BR1227)*(R_EN-BR1227))-(R_SN+(R_SN&lt;BQ1227)*(BQ1227-R_SN))))/60),0)</f>
        <v>0</v>
      </c>
      <c r="BT1227" s="80">
        <f>IF(AND(BE1227=1,D1227="proMX"),ROUND(BI1227*CFG_RATE+BJ1227*CFG_OTRATE,6),0)</f>
        <v>0</v>
      </c>
      <c r="BU1227" s="80">
        <f>IF(AND(BD1227=1,D1227="proMX"),ROUND(AG1227/CFG_BLK,6),0)</f>
        <v>0</v>
      </c>
      <c r="BV1227" s="80" t="str">
        <f>IF(BF1227="Approved",IF(ISNUMBER(T1227),INT(T1227),INT(B1227)),"")</f>
        <v/>
      </c>
      <c r="BW1227" s="80">
        <f>IF(ISNUMBER(B1227),IF(DB_MON="Todos",1,IF(AND(INT(B1227)&gt;=DB_MS,INT(B1227)&lt;=DB_ME),1,0)),0)</f>
        <v>0</v>
      </c>
      <c r="BX1227" s="80">
        <f>IF(DB_PROJ="Todos",1,IF(E1227&amp;""=DB_PROJ&amp;"",1,0))</f>
        <v>1</v>
      </c>
      <c r="BY1227" s="80">
        <f>BW1227*BX1227</f>
        <v>0</v>
      </c>
      <c r="BZ1227" s="80" t="str">
        <f>IF(Y1227=1,F1227&amp;IF(AND(F1227&amp;""&lt;&gt;"",E1227&amp;""&lt;&gt;"")," · ","")&amp;E1227,"")</f>
        <v/>
      </c>
      <c r="CA1227" s="80" t="str">
        <f>IF(AND(BD1227=1,E1227&amp;""&lt;&gt;""),IF(COUNTIFS($E$5:E1226,E1227,$BD$5:BD1226,1)=0,MAX($CA$5:CA1226)+1,""),"")</f>
        <v/>
      </c>
      <c r="CB1227" s="80" t="str">
        <f>IF(AND(BE1227=1,D1227="Malcolm",E1227&amp;""&lt;&gt;""),IF(COUNTIFS($D$5:D1226,"Malcolm",$E$5:E1226,E1227,$BE$5:BE1226,1)=0,MAX($CB$5:CB1226)+1,""),"")</f>
        <v/>
      </c>
      <c r="CC1227" s="80" t="str">
        <f>IF(AND(BD1227=1,D1227="proMX",E1227&amp;""&lt;&gt;""),IF(COUNTIFS($D$5:D1226,"proMX",$E$5:E1226,E1227,$BD$5:BD1226,1)=0,MAX($CC$5:CC1226)+1,""),"")</f>
        <v/>
      </c>
      <c r="CD1227" s="80" t="str">
        <f>IF(AND(BE1227=1,D1227="Malcolm",F1227&amp;""&lt;&gt;""),IF(COUNTIFS($D$5:D1226,"Malcolm",$F$5:F1226,F1227,$BE$5:BE1226,1)=0,MAX($CD$5:CD1226)+1,""),"")</f>
        <v/>
      </c>
      <c r="CE1227" s="80" t="str">
        <f>IF(AND(BD1227=1,D1227="proMX",F1227&amp;""&lt;&gt;""),IF(COUNTIFS($D$5:D1226,"proMX",$F$5:F1226,F1227,$BD$5:BD1226,1)=0,MAX($CE$5:CE1226)+1,""),"")</f>
        <v/>
      </c>
      <c r="CF1227" s="80" t="str">
        <f>IF(AND(D1227="proMX",BD1227=1),IF(OR(BF1227="Draft",BF1227="Submitted",BF1227="Returned",BF1227="Recall Requested"),MAX($CF$5:CF1226)+1,""),"")</f>
        <v/>
      </c>
      <c r="CG1227" s="80">
        <f>IF(BD1227=0,0,IF(D1227="Malcolm",1,MATCH(BF1227,{"Draft","Submitted","Approved","Returned","Recall Requested","Cancelled"},0)+1))</f>
        <v>0</v>
      </c>
      <c r="CH1227" s="80">
        <f>IF(AND(BF1227="Submitted",ISNUMBER(V1227)),IF(V1227&gt;CFG_MAXD,1,0),0)</f>
        <v>0</v>
      </c>
    </row>
    <row r="1228">
      <c r="A1228" s="71" t="str">
        <f>IF(Y1228=1,ROW()-5,"")</f>
        <v/>
      </c>
      <c r="B1228" s="72" t="n"/>
      <c r="C1228" s="71" t="str">
        <f>IF(ISNUMBER(B1228),CHOOSE(WEEKDAY(B1228,2),"Lun","Mar","Mié","Jue","Vie","Sáb","Dom"),"")</f>
        <v/>
      </c>
      <c r="D1228" s="73" t="n"/>
      <c r="E1228" s="74" t="n"/>
      <c r="F1228" s="74" t="n"/>
      <c r="G1228" s="74" t="n"/>
      <c r="H1228" s="75" t="n"/>
      <c r="I1228" s="75" t="n"/>
      <c r="J1228" s="76" t="n"/>
      <c r="K1228" s="77" t="str">
        <f>IF(AB1228=1,ROUND(AG1228/60,4),"")</f>
        <v/>
      </c>
      <c r="L1228" s="77" t="str">
        <f>IF(BD1228=1,ROUND(AP1228/60,4),"")</f>
        <v/>
      </c>
      <c r="M1228" s="77" t="str">
        <f>IF(BD1228=1,ROUND(AQ1228/60,4),"")</f>
        <v/>
      </c>
      <c r="N1228" s="71" t="str">
        <f>IF(AND(D1228="proMX",AB1228=1),ROUND(AG1228/CFG_BLK,2),"")</f>
        <v/>
      </c>
      <c r="O1228" s="77" t="str">
        <f>IF(D1228="proMX",IF(BD1228=1,ROUND(AG1228/60,4),0),"")</f>
        <v/>
      </c>
      <c r="P1228" s="78" t="str">
        <f>IF(Y1228=0,"",IF(BD1228=1,"OK",IF(D1228="proMX","Revisar bloques: ","Revisar: ")&amp;BC1228))</f>
        <v/>
      </c>
      <c r="Q1228" s="78" t="str">
        <f>IF(NOT(ISNUMBER(B1228)),"",IF(COUNTIFS(FER_F,INT(B1228))&gt;0,"Feriado"&amp;IF(AH1228=1," (laborable)"," (no laborable)"),IF(AH1228=1,"Laborable",IF(WEEKDAY(B1228,2)&gt;5,"Fin de semana","No laborable"))))</f>
        <v/>
      </c>
      <c r="R1228" s="73" t="n"/>
      <c r="S1228" s="72" t="n"/>
      <c r="T1228" s="72" t="n"/>
      <c r="U1228" s="74" t="n"/>
      <c r="V1228" s="79" t="str">
        <f>IF(AND(D1228="proMX",OR(R1228="Submitted",R1228="Recall Requested"),ISNUMBER(S1228)),CFG_TODAY-INT(S1228),"")</f>
        <v/>
      </c>
      <c r="W1228" s="78" t="str">
        <f>IF(BD1228=0,"",IF(BA1228&gt;0,"⚠ Se superpone con un registro de la otra empresa",IF(D1228="Malcolm",IF(COUNTA(R1228,S1228,T1228)&gt;0,"Estado/fechas proMX se ignoran en Malcolm",""),IF(BF1228="Cancelled","Cancelado: excluido de totales",IF(R1228="","Sin estado: se trata como Draft",IF(BF1228="Submitted",IF(ISNUMBER(V1228),IF(V1228&gt;CFG_MAXD,"⚠ "&amp;V1228&amp;" días en Submitted (máx. "&amp;CFG_MAXD&amp;")",""),"Falta fecha de envío"),IF(BF1228="Returned","⚠ Devuelto: corregir y reenviar",IF(BF1228="Recall Requested","Retirada solicitada: pendiente",IF(AND(BF1228="Approved",NOT(ISNUMBER(T1228))),"Falta fecha de aprobación",IF(AND(ISNUMBER(S1228),ISNUMBER(T1228),T1228&lt;S1228),"Aprobación anterior al envío","")))))))))</f>
        <v/>
      </c>
      <c r="Y1228" s="80">
        <f>IF(COUNTA(B1228,D1228,E1228,F1228,G1228,H1228,I1228,J1228,R1228,S1228,T1228)&gt;0,1,0)</f>
        <v>0</v>
      </c>
      <c r="Z1228" s="80" t="str">
        <f>IF(AND(ISNUMBER(H1228),H1228&gt;=0,H1228&lt;1),ROUND(H1228*1440,0),"")</f>
        <v/>
      </c>
      <c r="AA1228" s="80" t="str">
        <f>IF(AND(ISNUMBER(I1228),I1228&gt;=0,I1228&lt;1),ROUND(I1228*1440,0),"")</f>
        <v/>
      </c>
      <c r="AB1228" s="80">
        <f>IF(AND(ISNUMBER(B1228),D1228&lt;&gt;"",ISNUMBER(Z1228),ISNUMBER(AA1228)),IF(Z1228=AA1228,0,1),0)</f>
        <v>0</v>
      </c>
      <c r="AC1228" s="80">
        <f>IF(AB1228=1,IF(AA1228&lt;Z1228,1,0),0)</f>
        <v>0</v>
      </c>
      <c r="AD1228" s="80">
        <f>IF(AB1228=1,IF(AC1228=1,1440-Z1228+AA1228,AA1228-Z1228),0)</f>
        <v>0</v>
      </c>
      <c r="AE1228" s="80">
        <f>IF(J1228="",0,IF(ISNUMBER(J1228),J1228,-1))</f>
        <v>0</v>
      </c>
      <c r="AF1228" s="80">
        <f>MIN(MAX(0,AE1228),AD1228)</f>
        <v>0</v>
      </c>
      <c r="AG1228" s="80">
        <f>MAX(0,AD1228-MAX(0,AE1228))</f>
        <v>0</v>
      </c>
      <c r="AH1228" s="80">
        <f>IF(ISNUMBER(B1228),IF(AND(INDEX(CFG_WDAYS,WEEKDAY(INT(B1228),2))="Sí",IF(D1228="proMX",COUNTIFS(FER_F,INT(B1228),FER_NLP,"Sí"),COUNTIFS(FER_F,INT(B1228),FER_NLM,"Sí"))=0),1,0),0)</f>
        <v>0</v>
      </c>
      <c r="AI1228" s="80">
        <f>IF(AC1228=1,IF(AND(INDEX(CFG_WDAYS,WEEKDAY(INT(B1228)+1,2))="Sí",IF(D1228="proMX",COUNTIFS(FER_F,INT(B1228)+1,FER_NLP,"Sí"),COUNTIFS(FER_F,INT(B1228)+1,FER_NLM,"Sí"))=0),1,0),0)</f>
        <v>0</v>
      </c>
      <c r="AJ1228" s="80">
        <f>IF(AC1228=1,1440-Z1228,AD1228)</f>
        <v>0</v>
      </c>
      <c r="AK1228" s="80">
        <f>IF(AND(AB1228=1,AH1228=1),MAX(0,MIN(IF(AC1228=1,1440,AA1228),CFG_WEM)-MAX(Z1228,CFG_WSM)),0)</f>
        <v>0</v>
      </c>
      <c r="AL1228" s="80">
        <f>IF(AND(AC1228=1,AI1228=1),MAX(0,MIN(AA1228,CFG_WEM)-CFG_WSM),0)</f>
        <v>0</v>
      </c>
      <c r="AM1228" s="80">
        <f>AK1228+AL1228</f>
        <v>0</v>
      </c>
      <c r="AN1228" s="80">
        <f>IF(CFG_BRK="Proporcional",IF(AD1228=0,0,AF1228*AM1228/AD1228),IF(CFG_BRK="Extras primero",MIN(AM1228,MAX(0,AF1228-(AD1228-AM1228))),MIN(AF1228,AM1228)))</f>
        <v>0</v>
      </c>
      <c r="AO1228" s="80">
        <f>AF1228-AN1228</f>
        <v>0</v>
      </c>
      <c r="AP1228" s="80">
        <f>AM1228-AN1228</f>
        <v>0</v>
      </c>
      <c r="AQ1228" s="80">
        <f>AD1228-AM1228-AO1228</f>
        <v>0</v>
      </c>
      <c r="AR1228" s="80">
        <f>IF(AM1228=0,0,AK1228-AN1228*AK1228/AM1228)</f>
        <v>0</v>
      </c>
      <c r="AS1228" s="80">
        <f>IF(AD1228-AM1228=0,0,(AJ1228-AK1228)-AO1228*(AJ1228-AK1228)/(AD1228-AM1228))</f>
        <v>0</v>
      </c>
      <c r="AT1228" s="80" t="str">
        <f>IF(AC1228=1,INT(B1228)+1,"")</f>
        <v/>
      </c>
      <c r="AU1228" s="80">
        <f>IF(AND(D1228="proMX",R1228="Cancelled"),0,1)</f>
        <v>1</v>
      </c>
      <c r="AV1228" s="80">
        <f>IF(AND(AB1228=1,AU1228=1),IF(COUNTIFS($D$5:D1227,D1228,$B$5:B1227,B1228,$Z$5:Z1227,Z1228,$AA$5:AA1227,AA1228,$F$5:F1227,F1228&amp;"",$AU$5:AU1227,1)&gt;0,1,0),0)</f>
        <v>0</v>
      </c>
      <c r="AW1228" s="80" t="str">
        <f>IF(AB1228=1,INT(B1228)*1440+Z1228,"")</f>
        <v/>
      </c>
      <c r="AX1228" s="80" t="str">
        <f>IF(AB1228=1,AW1228+AD1228,"")</f>
        <v/>
      </c>
      <c r="AY1228" s="80">
        <f>IF(AND(AB1228=1,AV1228=0,AU1228=1),1,0)</f>
        <v>0</v>
      </c>
      <c r="AZ1228" s="80">
        <f>IF(AY1228=1,COUNTIFS(R_Emp,D1228,R_SAbs,"&lt;"&amp;AX1228,R_EAbs,"&gt;"&amp;AW1228,R_OKey,1)-1,0)</f>
        <v>0</v>
      </c>
      <c r="BA1228" s="80">
        <f>IF(AY1228=1,COUNTIFS(R_Emp,"&lt;&gt;"&amp;D1228,R_SAbs,"&lt;"&amp;AX1228,R_EAbs,"&gt;"&amp;AW1228,R_OKey,1),0)</f>
        <v>0</v>
      </c>
      <c r="BB1228" s="80">
        <f>IF(AND(AB1228=1,D1228="proMX"),IF(AND(MOD(Z1228,CFG_BLK)=0,MOD(AA1228,CFG_BLK)=0,MOD(AG1228,CFG_BLK)=0,AG1228&gt;0),1,0),1)</f>
        <v>1</v>
      </c>
      <c r="BC1228" s="80" t="str">
        <f>IF(Y1228=0,"",IF(NOT(ISNUMBER(B1228)),"Falta fecha o fecha inválida",IF(D1228="","Falta empresa",IF(AND(D1228&lt;&gt;"Malcolm",D1228&lt;&gt;"proMX"),"Empresa inválida",IF(OR(INT(B1228)&lt;CFG_PSTART,INT(B1228)&gt;CFG_PEND),"Fecha fuera del período",IF(OR(NOT(ISNUMBER(Z1228)),NOT(ISNUMBER(AA1228))),"Falta hora inicio/fin o formato inválido",IF(AB1228=0,"Hora inicio = hora fin",IF(AE1228&lt;0,"Descanso inválido",IF(AE1228&gt;=AD1228,"Descanso ≥ duración",IF(AV1228=1,"Registro duplicado",IF(AZ1228&gt;0,"Se superpone con otro registro "&amp;D1228,IF(BB1228=0,"inicio, fin y duración neta deben ser múltiplos de "&amp;CFG_BLK&amp;" min",""))))))))))))</f>
        <v/>
      </c>
      <c r="BD1228" s="80">
        <f>IF(AND(Y1228=1,BC1228=""),1,0)</f>
        <v>0</v>
      </c>
      <c r="BE1228" s="80">
        <f>IF(AND(BD1228=1,AU1228=1),1,0)</f>
        <v>0</v>
      </c>
      <c r="BF1228" s="80" t="str">
        <f>IF(AND(D1228="proMX",BD1228=1),IF(R1228="","Draft",R1228),"")</f>
        <v/>
      </c>
      <c r="BG1228" s="80">
        <f>IF(BD1228=1,ROUND(AG1228/60,6),0)</f>
        <v>0</v>
      </c>
      <c r="BH1228" s="80">
        <f>IF(BE1228=1,ROUND(AG1228/60,6),0)</f>
        <v>0</v>
      </c>
      <c r="BI1228" s="80">
        <f>IF(BE1228=1,ROUND(AP1228/60,6),0)</f>
        <v>0</v>
      </c>
      <c r="BJ1228" s="80">
        <f>IF(BE1228=1,ROUND(AQ1228/60,6),0)</f>
        <v>0</v>
      </c>
      <c r="BK1228" s="80">
        <f>IF(BE1228=1,ROUND((AR1228+AS1228)/60,6),0)</f>
        <v>0</v>
      </c>
      <c r="BL1228" s="80">
        <f>ROUND(BH1228-BK1228,6)</f>
        <v>0</v>
      </c>
      <c r="BM1228" s="80">
        <f>IF(BE1228=1,ROUND(AR1228/60,6),0)</f>
        <v>0</v>
      </c>
      <c r="BN1228" s="80">
        <f>ROUND(BI1228-BM1228,6)</f>
        <v>0</v>
      </c>
      <c r="BO1228" s="80">
        <f>IF(BE1228=1,ROUND(AS1228/60,6),0)</f>
        <v>0</v>
      </c>
      <c r="BP1228" s="80">
        <f>ROUND(BJ1228-BO1228,6)</f>
        <v>0</v>
      </c>
      <c r="BQ1228" s="80">
        <f>IF(BE1228=1,AW1228,0)</f>
        <v>0</v>
      </c>
      <c r="BR1228" s="80">
        <f>IF(BE1228=1,AX1228,0)</f>
        <v>0</v>
      </c>
      <c r="BS1228" s="80">
        <f>IF(AND(BE1228=1,D1228="Malcolm",BA1228&gt;0),MIN(BH1228,SUMPRODUCT((R_Emp="proMX")*(R_EN&gt;0)*((R_EN-(R_EN&gt;BR1228)*(R_EN-BR1228))&gt;(R_SN+(R_SN&lt;BQ1228)*(BQ1228-R_SN)))*((R_EN-(R_EN&gt;BR1228)*(R_EN-BR1228))-(R_SN+(R_SN&lt;BQ1228)*(BQ1228-R_SN))))/60),0)</f>
        <v>0</v>
      </c>
      <c r="BT1228" s="80">
        <f>IF(AND(BE1228=1,D1228="proMX"),ROUND(BI1228*CFG_RATE+BJ1228*CFG_OTRATE,6),0)</f>
        <v>0</v>
      </c>
      <c r="BU1228" s="80">
        <f>IF(AND(BD1228=1,D1228="proMX"),ROUND(AG1228/CFG_BLK,6),0)</f>
        <v>0</v>
      </c>
      <c r="BV1228" s="80" t="str">
        <f>IF(BF1228="Approved",IF(ISNUMBER(T1228),INT(T1228),INT(B1228)),"")</f>
        <v/>
      </c>
      <c r="BW1228" s="80">
        <f>IF(ISNUMBER(B1228),IF(DB_MON="Todos",1,IF(AND(INT(B1228)&gt;=DB_MS,INT(B1228)&lt;=DB_ME),1,0)),0)</f>
        <v>0</v>
      </c>
      <c r="BX1228" s="80">
        <f>IF(DB_PROJ="Todos",1,IF(E1228&amp;""=DB_PROJ&amp;"",1,0))</f>
        <v>1</v>
      </c>
      <c r="BY1228" s="80">
        <f>BW1228*BX1228</f>
        <v>0</v>
      </c>
      <c r="BZ1228" s="80" t="str">
        <f>IF(Y1228=1,F1228&amp;IF(AND(F1228&amp;""&lt;&gt;"",E1228&amp;""&lt;&gt;"")," · ","")&amp;E1228,"")</f>
        <v/>
      </c>
      <c r="CA1228" s="80" t="str">
        <f>IF(AND(BD1228=1,E1228&amp;""&lt;&gt;""),IF(COUNTIFS($E$5:E1227,E1228,$BD$5:BD1227,1)=0,MAX($CA$5:CA1227)+1,""),"")</f>
        <v/>
      </c>
      <c r="CB1228" s="80" t="str">
        <f>IF(AND(BE1228=1,D1228="Malcolm",E1228&amp;""&lt;&gt;""),IF(COUNTIFS($D$5:D1227,"Malcolm",$E$5:E1227,E1228,$BE$5:BE1227,1)=0,MAX($CB$5:CB1227)+1,""),"")</f>
        <v/>
      </c>
      <c r="CC1228" s="80" t="str">
        <f>IF(AND(BD1228=1,D1228="proMX",E1228&amp;""&lt;&gt;""),IF(COUNTIFS($D$5:D1227,"proMX",$E$5:E1227,E1228,$BD$5:BD1227,1)=0,MAX($CC$5:CC1227)+1,""),"")</f>
        <v/>
      </c>
      <c r="CD1228" s="80" t="str">
        <f>IF(AND(BE1228=1,D1228="Malcolm",F1228&amp;""&lt;&gt;""),IF(COUNTIFS($D$5:D1227,"Malcolm",$F$5:F1227,F1228,$BE$5:BE1227,1)=0,MAX($CD$5:CD1227)+1,""),"")</f>
        <v/>
      </c>
      <c r="CE1228" s="80" t="str">
        <f>IF(AND(BD1228=1,D1228="proMX",F1228&amp;""&lt;&gt;""),IF(COUNTIFS($D$5:D1227,"proMX",$F$5:F1227,F1228,$BD$5:BD1227,1)=0,MAX($CE$5:CE1227)+1,""),"")</f>
        <v/>
      </c>
      <c r="CF1228" s="80" t="str">
        <f>IF(AND(D1228="proMX",BD1228=1),IF(OR(BF1228="Draft",BF1228="Submitted",BF1228="Returned",BF1228="Recall Requested"),MAX($CF$5:CF1227)+1,""),"")</f>
        <v/>
      </c>
      <c r="CG1228" s="80">
        <f>IF(BD1228=0,0,IF(D1228="Malcolm",1,MATCH(BF1228,{"Draft","Submitted","Approved","Returned","Recall Requested","Cancelled"},0)+1))</f>
        <v>0</v>
      </c>
      <c r="CH1228" s="80">
        <f>IF(AND(BF1228="Submitted",ISNUMBER(V1228)),IF(V1228&gt;CFG_MAXD,1,0),0)</f>
        <v>0</v>
      </c>
    </row>
    <row r="1229">
      <c r="A1229" s="71" t="str">
        <f>IF(Y1229=1,ROW()-5,"")</f>
        <v/>
      </c>
      <c r="B1229" s="72" t="n"/>
      <c r="C1229" s="71" t="str">
        <f>IF(ISNUMBER(B1229),CHOOSE(WEEKDAY(B1229,2),"Lun","Mar","Mié","Jue","Vie","Sáb","Dom"),"")</f>
        <v/>
      </c>
      <c r="D1229" s="73" t="n"/>
      <c r="E1229" s="74" t="n"/>
      <c r="F1229" s="74" t="n"/>
      <c r="G1229" s="74" t="n"/>
      <c r="H1229" s="75" t="n"/>
      <c r="I1229" s="75" t="n"/>
      <c r="J1229" s="76" t="n"/>
      <c r="K1229" s="77" t="str">
        <f>IF(AB1229=1,ROUND(AG1229/60,4),"")</f>
        <v/>
      </c>
      <c r="L1229" s="77" t="str">
        <f>IF(BD1229=1,ROUND(AP1229/60,4),"")</f>
        <v/>
      </c>
      <c r="M1229" s="77" t="str">
        <f>IF(BD1229=1,ROUND(AQ1229/60,4),"")</f>
        <v/>
      </c>
      <c r="N1229" s="71" t="str">
        <f>IF(AND(D1229="proMX",AB1229=1),ROUND(AG1229/CFG_BLK,2),"")</f>
        <v/>
      </c>
      <c r="O1229" s="77" t="str">
        <f>IF(D1229="proMX",IF(BD1229=1,ROUND(AG1229/60,4),0),"")</f>
        <v/>
      </c>
      <c r="P1229" s="78" t="str">
        <f>IF(Y1229=0,"",IF(BD1229=1,"OK",IF(D1229="proMX","Revisar bloques: ","Revisar: ")&amp;BC1229))</f>
        <v/>
      </c>
      <c r="Q1229" s="78" t="str">
        <f>IF(NOT(ISNUMBER(B1229)),"",IF(COUNTIFS(FER_F,INT(B1229))&gt;0,"Feriado"&amp;IF(AH1229=1," (laborable)"," (no laborable)"),IF(AH1229=1,"Laborable",IF(WEEKDAY(B1229,2)&gt;5,"Fin de semana","No laborable"))))</f>
        <v/>
      </c>
      <c r="R1229" s="73" t="n"/>
      <c r="S1229" s="72" t="n"/>
      <c r="T1229" s="72" t="n"/>
      <c r="U1229" s="74" t="n"/>
      <c r="V1229" s="79" t="str">
        <f>IF(AND(D1229="proMX",OR(R1229="Submitted",R1229="Recall Requested"),ISNUMBER(S1229)),CFG_TODAY-INT(S1229),"")</f>
        <v/>
      </c>
      <c r="W1229" s="78" t="str">
        <f>IF(BD1229=0,"",IF(BA1229&gt;0,"⚠ Se superpone con un registro de la otra empresa",IF(D1229="Malcolm",IF(COUNTA(R1229,S1229,T1229)&gt;0,"Estado/fechas proMX se ignoran en Malcolm",""),IF(BF1229="Cancelled","Cancelado: excluido de totales",IF(R1229="","Sin estado: se trata como Draft",IF(BF1229="Submitted",IF(ISNUMBER(V1229),IF(V1229&gt;CFG_MAXD,"⚠ "&amp;V1229&amp;" días en Submitted (máx. "&amp;CFG_MAXD&amp;")",""),"Falta fecha de envío"),IF(BF1229="Returned","⚠ Devuelto: corregir y reenviar",IF(BF1229="Recall Requested","Retirada solicitada: pendiente",IF(AND(BF1229="Approved",NOT(ISNUMBER(T1229))),"Falta fecha de aprobación",IF(AND(ISNUMBER(S1229),ISNUMBER(T1229),T1229&lt;S1229),"Aprobación anterior al envío","")))))))))</f>
        <v/>
      </c>
      <c r="Y1229" s="80">
        <f>IF(COUNTA(B1229,D1229,E1229,F1229,G1229,H1229,I1229,J1229,R1229,S1229,T1229)&gt;0,1,0)</f>
        <v>0</v>
      </c>
      <c r="Z1229" s="80" t="str">
        <f>IF(AND(ISNUMBER(H1229),H1229&gt;=0,H1229&lt;1),ROUND(H1229*1440,0),"")</f>
        <v/>
      </c>
      <c r="AA1229" s="80" t="str">
        <f>IF(AND(ISNUMBER(I1229),I1229&gt;=0,I1229&lt;1),ROUND(I1229*1440,0),"")</f>
        <v/>
      </c>
      <c r="AB1229" s="80">
        <f>IF(AND(ISNUMBER(B1229),D1229&lt;&gt;"",ISNUMBER(Z1229),ISNUMBER(AA1229)),IF(Z1229=AA1229,0,1),0)</f>
        <v>0</v>
      </c>
      <c r="AC1229" s="80">
        <f>IF(AB1229=1,IF(AA1229&lt;Z1229,1,0),0)</f>
        <v>0</v>
      </c>
      <c r="AD1229" s="80">
        <f>IF(AB1229=1,IF(AC1229=1,1440-Z1229+AA1229,AA1229-Z1229),0)</f>
        <v>0</v>
      </c>
      <c r="AE1229" s="80">
        <f>IF(J1229="",0,IF(ISNUMBER(J1229),J1229,-1))</f>
        <v>0</v>
      </c>
      <c r="AF1229" s="80">
        <f>MIN(MAX(0,AE1229),AD1229)</f>
        <v>0</v>
      </c>
      <c r="AG1229" s="80">
        <f>MAX(0,AD1229-MAX(0,AE1229))</f>
        <v>0</v>
      </c>
      <c r="AH1229" s="80">
        <f>IF(ISNUMBER(B1229),IF(AND(INDEX(CFG_WDAYS,WEEKDAY(INT(B1229),2))="Sí",IF(D1229="proMX",COUNTIFS(FER_F,INT(B1229),FER_NLP,"Sí"),COUNTIFS(FER_F,INT(B1229),FER_NLM,"Sí"))=0),1,0),0)</f>
        <v>0</v>
      </c>
      <c r="AI1229" s="80">
        <f>IF(AC1229=1,IF(AND(INDEX(CFG_WDAYS,WEEKDAY(INT(B1229)+1,2))="Sí",IF(D1229="proMX",COUNTIFS(FER_F,INT(B1229)+1,FER_NLP,"Sí"),COUNTIFS(FER_F,INT(B1229)+1,FER_NLM,"Sí"))=0),1,0),0)</f>
        <v>0</v>
      </c>
      <c r="AJ1229" s="80">
        <f>IF(AC1229=1,1440-Z1229,AD1229)</f>
        <v>0</v>
      </c>
      <c r="AK1229" s="80">
        <f>IF(AND(AB1229=1,AH1229=1),MAX(0,MIN(IF(AC1229=1,1440,AA1229),CFG_WEM)-MAX(Z1229,CFG_WSM)),0)</f>
        <v>0</v>
      </c>
      <c r="AL1229" s="80">
        <f>IF(AND(AC1229=1,AI1229=1),MAX(0,MIN(AA1229,CFG_WEM)-CFG_WSM),0)</f>
        <v>0</v>
      </c>
      <c r="AM1229" s="80">
        <f>AK1229+AL1229</f>
        <v>0</v>
      </c>
      <c r="AN1229" s="80">
        <f>IF(CFG_BRK="Proporcional",IF(AD1229=0,0,AF1229*AM1229/AD1229),IF(CFG_BRK="Extras primero",MIN(AM1229,MAX(0,AF1229-(AD1229-AM1229))),MIN(AF1229,AM1229)))</f>
        <v>0</v>
      </c>
      <c r="AO1229" s="80">
        <f>AF1229-AN1229</f>
        <v>0</v>
      </c>
      <c r="AP1229" s="80">
        <f>AM1229-AN1229</f>
        <v>0</v>
      </c>
      <c r="AQ1229" s="80">
        <f>AD1229-AM1229-AO1229</f>
        <v>0</v>
      </c>
      <c r="AR1229" s="80">
        <f>IF(AM1229=0,0,AK1229-AN1229*AK1229/AM1229)</f>
        <v>0</v>
      </c>
      <c r="AS1229" s="80">
        <f>IF(AD1229-AM1229=0,0,(AJ1229-AK1229)-AO1229*(AJ1229-AK1229)/(AD1229-AM1229))</f>
        <v>0</v>
      </c>
      <c r="AT1229" s="80" t="str">
        <f>IF(AC1229=1,INT(B1229)+1,"")</f>
        <v/>
      </c>
      <c r="AU1229" s="80">
        <f>IF(AND(D1229="proMX",R1229="Cancelled"),0,1)</f>
        <v>1</v>
      </c>
      <c r="AV1229" s="80">
        <f>IF(AND(AB1229=1,AU1229=1),IF(COUNTIFS($D$5:D1228,D1229,$B$5:B1228,B1229,$Z$5:Z1228,Z1229,$AA$5:AA1228,AA1229,$F$5:F1228,F1229&amp;"",$AU$5:AU1228,1)&gt;0,1,0),0)</f>
        <v>0</v>
      </c>
      <c r="AW1229" s="80" t="str">
        <f>IF(AB1229=1,INT(B1229)*1440+Z1229,"")</f>
        <v/>
      </c>
      <c r="AX1229" s="80" t="str">
        <f>IF(AB1229=1,AW1229+AD1229,"")</f>
        <v/>
      </c>
      <c r="AY1229" s="80">
        <f>IF(AND(AB1229=1,AV1229=0,AU1229=1),1,0)</f>
        <v>0</v>
      </c>
      <c r="AZ1229" s="80">
        <f>IF(AY1229=1,COUNTIFS(R_Emp,D1229,R_SAbs,"&lt;"&amp;AX1229,R_EAbs,"&gt;"&amp;AW1229,R_OKey,1)-1,0)</f>
        <v>0</v>
      </c>
      <c r="BA1229" s="80">
        <f>IF(AY1229=1,COUNTIFS(R_Emp,"&lt;&gt;"&amp;D1229,R_SAbs,"&lt;"&amp;AX1229,R_EAbs,"&gt;"&amp;AW1229,R_OKey,1),0)</f>
        <v>0</v>
      </c>
      <c r="BB1229" s="80">
        <f>IF(AND(AB1229=1,D1229="proMX"),IF(AND(MOD(Z1229,CFG_BLK)=0,MOD(AA1229,CFG_BLK)=0,MOD(AG1229,CFG_BLK)=0,AG1229&gt;0),1,0),1)</f>
        <v>1</v>
      </c>
      <c r="BC1229" s="80" t="str">
        <f>IF(Y1229=0,"",IF(NOT(ISNUMBER(B1229)),"Falta fecha o fecha inválida",IF(D1229="","Falta empresa",IF(AND(D1229&lt;&gt;"Malcolm",D1229&lt;&gt;"proMX"),"Empresa inválida",IF(OR(INT(B1229)&lt;CFG_PSTART,INT(B1229)&gt;CFG_PEND),"Fecha fuera del período",IF(OR(NOT(ISNUMBER(Z1229)),NOT(ISNUMBER(AA1229))),"Falta hora inicio/fin o formato inválido",IF(AB1229=0,"Hora inicio = hora fin",IF(AE1229&lt;0,"Descanso inválido",IF(AE1229&gt;=AD1229,"Descanso ≥ duración",IF(AV1229=1,"Registro duplicado",IF(AZ1229&gt;0,"Se superpone con otro registro "&amp;D1229,IF(BB1229=0,"inicio, fin y duración neta deben ser múltiplos de "&amp;CFG_BLK&amp;" min",""))))))))))))</f>
        <v/>
      </c>
      <c r="BD1229" s="80">
        <f>IF(AND(Y1229=1,BC1229=""),1,0)</f>
        <v>0</v>
      </c>
      <c r="BE1229" s="80">
        <f>IF(AND(BD1229=1,AU1229=1),1,0)</f>
        <v>0</v>
      </c>
      <c r="BF1229" s="80" t="str">
        <f>IF(AND(D1229="proMX",BD1229=1),IF(R1229="","Draft",R1229),"")</f>
        <v/>
      </c>
      <c r="BG1229" s="80">
        <f>IF(BD1229=1,ROUND(AG1229/60,6),0)</f>
        <v>0</v>
      </c>
      <c r="BH1229" s="80">
        <f>IF(BE1229=1,ROUND(AG1229/60,6),0)</f>
        <v>0</v>
      </c>
      <c r="BI1229" s="80">
        <f>IF(BE1229=1,ROUND(AP1229/60,6),0)</f>
        <v>0</v>
      </c>
      <c r="BJ1229" s="80">
        <f>IF(BE1229=1,ROUND(AQ1229/60,6),0)</f>
        <v>0</v>
      </c>
      <c r="BK1229" s="80">
        <f>IF(BE1229=1,ROUND((AR1229+AS1229)/60,6),0)</f>
        <v>0</v>
      </c>
      <c r="BL1229" s="80">
        <f>ROUND(BH1229-BK1229,6)</f>
        <v>0</v>
      </c>
      <c r="BM1229" s="80">
        <f>IF(BE1229=1,ROUND(AR1229/60,6),0)</f>
        <v>0</v>
      </c>
      <c r="BN1229" s="80">
        <f>ROUND(BI1229-BM1229,6)</f>
        <v>0</v>
      </c>
      <c r="BO1229" s="80">
        <f>IF(BE1229=1,ROUND(AS1229/60,6),0)</f>
        <v>0</v>
      </c>
      <c r="BP1229" s="80">
        <f>ROUND(BJ1229-BO1229,6)</f>
        <v>0</v>
      </c>
      <c r="BQ1229" s="80">
        <f>IF(BE1229=1,AW1229,0)</f>
        <v>0</v>
      </c>
      <c r="BR1229" s="80">
        <f>IF(BE1229=1,AX1229,0)</f>
        <v>0</v>
      </c>
      <c r="BS1229" s="80">
        <f>IF(AND(BE1229=1,D1229="Malcolm",BA1229&gt;0),MIN(BH1229,SUMPRODUCT((R_Emp="proMX")*(R_EN&gt;0)*((R_EN-(R_EN&gt;BR1229)*(R_EN-BR1229))&gt;(R_SN+(R_SN&lt;BQ1229)*(BQ1229-R_SN)))*((R_EN-(R_EN&gt;BR1229)*(R_EN-BR1229))-(R_SN+(R_SN&lt;BQ1229)*(BQ1229-R_SN))))/60),0)</f>
        <v>0</v>
      </c>
      <c r="BT1229" s="80">
        <f>IF(AND(BE1229=1,D1229="proMX"),ROUND(BI1229*CFG_RATE+BJ1229*CFG_OTRATE,6),0)</f>
        <v>0</v>
      </c>
      <c r="BU1229" s="80">
        <f>IF(AND(BD1229=1,D1229="proMX"),ROUND(AG1229/CFG_BLK,6),0)</f>
        <v>0</v>
      </c>
      <c r="BV1229" s="80" t="str">
        <f>IF(BF1229="Approved",IF(ISNUMBER(T1229),INT(T1229),INT(B1229)),"")</f>
        <v/>
      </c>
      <c r="BW1229" s="80">
        <f>IF(ISNUMBER(B1229),IF(DB_MON="Todos",1,IF(AND(INT(B1229)&gt;=DB_MS,INT(B1229)&lt;=DB_ME),1,0)),0)</f>
        <v>0</v>
      </c>
      <c r="BX1229" s="80">
        <f>IF(DB_PROJ="Todos",1,IF(E1229&amp;""=DB_PROJ&amp;"",1,0))</f>
        <v>1</v>
      </c>
      <c r="BY1229" s="80">
        <f>BW1229*BX1229</f>
        <v>0</v>
      </c>
      <c r="BZ1229" s="80" t="str">
        <f>IF(Y1229=1,F1229&amp;IF(AND(F1229&amp;""&lt;&gt;"",E1229&amp;""&lt;&gt;"")," · ","")&amp;E1229,"")</f>
        <v/>
      </c>
      <c r="CA1229" s="80" t="str">
        <f>IF(AND(BD1229=1,E1229&amp;""&lt;&gt;""),IF(COUNTIFS($E$5:E1228,E1229,$BD$5:BD1228,1)=0,MAX($CA$5:CA1228)+1,""),"")</f>
        <v/>
      </c>
      <c r="CB1229" s="80" t="str">
        <f>IF(AND(BE1229=1,D1229="Malcolm",E1229&amp;""&lt;&gt;""),IF(COUNTIFS($D$5:D1228,"Malcolm",$E$5:E1228,E1229,$BE$5:BE1228,1)=0,MAX($CB$5:CB1228)+1,""),"")</f>
        <v/>
      </c>
      <c r="CC1229" s="80" t="str">
        <f>IF(AND(BD1229=1,D1229="proMX",E1229&amp;""&lt;&gt;""),IF(COUNTIFS($D$5:D1228,"proMX",$E$5:E1228,E1229,$BD$5:BD1228,1)=0,MAX($CC$5:CC1228)+1,""),"")</f>
        <v/>
      </c>
      <c r="CD1229" s="80" t="str">
        <f>IF(AND(BE1229=1,D1229="Malcolm",F1229&amp;""&lt;&gt;""),IF(COUNTIFS($D$5:D1228,"Malcolm",$F$5:F1228,F1229,$BE$5:BE1228,1)=0,MAX($CD$5:CD1228)+1,""),"")</f>
        <v/>
      </c>
      <c r="CE1229" s="80" t="str">
        <f>IF(AND(BD1229=1,D1229="proMX",F1229&amp;""&lt;&gt;""),IF(COUNTIFS($D$5:D1228,"proMX",$F$5:F1228,F1229,$BD$5:BD1228,1)=0,MAX($CE$5:CE1228)+1,""),"")</f>
        <v/>
      </c>
      <c r="CF1229" s="80" t="str">
        <f>IF(AND(D1229="proMX",BD1229=1),IF(OR(BF1229="Draft",BF1229="Submitted",BF1229="Returned",BF1229="Recall Requested"),MAX($CF$5:CF1228)+1,""),"")</f>
        <v/>
      </c>
      <c r="CG1229" s="80">
        <f>IF(BD1229=0,0,IF(D1229="Malcolm",1,MATCH(BF1229,{"Draft","Submitted","Approved","Returned","Recall Requested","Cancelled"},0)+1))</f>
        <v>0</v>
      </c>
      <c r="CH1229" s="80">
        <f>IF(AND(BF1229="Submitted",ISNUMBER(V1229)),IF(V1229&gt;CFG_MAXD,1,0),0)</f>
        <v>0</v>
      </c>
    </row>
    <row r="1230">
      <c r="A1230" s="71" t="str">
        <f>IF(Y1230=1,ROW()-5,"")</f>
        <v/>
      </c>
      <c r="B1230" s="72" t="n"/>
      <c r="C1230" s="71" t="str">
        <f>IF(ISNUMBER(B1230),CHOOSE(WEEKDAY(B1230,2),"Lun","Mar","Mié","Jue","Vie","Sáb","Dom"),"")</f>
        <v/>
      </c>
      <c r="D1230" s="73" t="n"/>
      <c r="E1230" s="74" t="n"/>
      <c r="F1230" s="74" t="n"/>
      <c r="G1230" s="74" t="n"/>
      <c r="H1230" s="75" t="n"/>
      <c r="I1230" s="75" t="n"/>
      <c r="J1230" s="76" t="n"/>
      <c r="K1230" s="77" t="str">
        <f>IF(AB1230=1,ROUND(AG1230/60,4),"")</f>
        <v/>
      </c>
      <c r="L1230" s="77" t="str">
        <f>IF(BD1230=1,ROUND(AP1230/60,4),"")</f>
        <v/>
      </c>
      <c r="M1230" s="77" t="str">
        <f>IF(BD1230=1,ROUND(AQ1230/60,4),"")</f>
        <v/>
      </c>
      <c r="N1230" s="71" t="str">
        <f>IF(AND(D1230="proMX",AB1230=1),ROUND(AG1230/CFG_BLK,2),"")</f>
        <v/>
      </c>
      <c r="O1230" s="77" t="str">
        <f>IF(D1230="proMX",IF(BD1230=1,ROUND(AG1230/60,4),0),"")</f>
        <v/>
      </c>
      <c r="P1230" s="78" t="str">
        <f>IF(Y1230=0,"",IF(BD1230=1,"OK",IF(D1230="proMX","Revisar bloques: ","Revisar: ")&amp;BC1230))</f>
        <v/>
      </c>
      <c r="Q1230" s="78" t="str">
        <f>IF(NOT(ISNUMBER(B1230)),"",IF(COUNTIFS(FER_F,INT(B1230))&gt;0,"Feriado"&amp;IF(AH1230=1," (laborable)"," (no laborable)"),IF(AH1230=1,"Laborable",IF(WEEKDAY(B1230,2)&gt;5,"Fin de semana","No laborable"))))</f>
        <v/>
      </c>
      <c r="R1230" s="73" t="n"/>
      <c r="S1230" s="72" t="n"/>
      <c r="T1230" s="72" t="n"/>
      <c r="U1230" s="74" t="n"/>
      <c r="V1230" s="79" t="str">
        <f>IF(AND(D1230="proMX",OR(R1230="Submitted",R1230="Recall Requested"),ISNUMBER(S1230)),CFG_TODAY-INT(S1230),"")</f>
        <v/>
      </c>
      <c r="W1230" s="78" t="str">
        <f>IF(BD1230=0,"",IF(BA1230&gt;0,"⚠ Se superpone con un registro de la otra empresa",IF(D1230="Malcolm",IF(COUNTA(R1230,S1230,T1230)&gt;0,"Estado/fechas proMX se ignoran en Malcolm",""),IF(BF1230="Cancelled","Cancelado: excluido de totales",IF(R1230="","Sin estado: se trata como Draft",IF(BF1230="Submitted",IF(ISNUMBER(V1230),IF(V1230&gt;CFG_MAXD,"⚠ "&amp;V1230&amp;" días en Submitted (máx. "&amp;CFG_MAXD&amp;")",""),"Falta fecha de envío"),IF(BF1230="Returned","⚠ Devuelto: corregir y reenviar",IF(BF1230="Recall Requested","Retirada solicitada: pendiente",IF(AND(BF1230="Approved",NOT(ISNUMBER(T1230))),"Falta fecha de aprobación",IF(AND(ISNUMBER(S1230),ISNUMBER(T1230),T1230&lt;S1230),"Aprobación anterior al envío","")))))))))</f>
        <v/>
      </c>
      <c r="Y1230" s="80">
        <f>IF(COUNTA(B1230,D1230,E1230,F1230,G1230,H1230,I1230,J1230,R1230,S1230,T1230)&gt;0,1,0)</f>
        <v>0</v>
      </c>
      <c r="Z1230" s="80" t="str">
        <f>IF(AND(ISNUMBER(H1230),H1230&gt;=0,H1230&lt;1),ROUND(H1230*1440,0),"")</f>
        <v/>
      </c>
      <c r="AA1230" s="80" t="str">
        <f>IF(AND(ISNUMBER(I1230),I1230&gt;=0,I1230&lt;1),ROUND(I1230*1440,0),"")</f>
        <v/>
      </c>
      <c r="AB1230" s="80">
        <f>IF(AND(ISNUMBER(B1230),D1230&lt;&gt;"",ISNUMBER(Z1230),ISNUMBER(AA1230)),IF(Z1230=AA1230,0,1),0)</f>
        <v>0</v>
      </c>
      <c r="AC1230" s="80">
        <f>IF(AB1230=1,IF(AA1230&lt;Z1230,1,0),0)</f>
        <v>0</v>
      </c>
      <c r="AD1230" s="80">
        <f>IF(AB1230=1,IF(AC1230=1,1440-Z1230+AA1230,AA1230-Z1230),0)</f>
        <v>0</v>
      </c>
      <c r="AE1230" s="80">
        <f>IF(J1230="",0,IF(ISNUMBER(J1230),J1230,-1))</f>
        <v>0</v>
      </c>
      <c r="AF1230" s="80">
        <f>MIN(MAX(0,AE1230),AD1230)</f>
        <v>0</v>
      </c>
      <c r="AG1230" s="80">
        <f>MAX(0,AD1230-MAX(0,AE1230))</f>
        <v>0</v>
      </c>
      <c r="AH1230" s="80">
        <f>IF(ISNUMBER(B1230),IF(AND(INDEX(CFG_WDAYS,WEEKDAY(INT(B1230),2))="Sí",IF(D1230="proMX",COUNTIFS(FER_F,INT(B1230),FER_NLP,"Sí"),COUNTIFS(FER_F,INT(B1230),FER_NLM,"Sí"))=0),1,0),0)</f>
        <v>0</v>
      </c>
      <c r="AI1230" s="80">
        <f>IF(AC1230=1,IF(AND(INDEX(CFG_WDAYS,WEEKDAY(INT(B1230)+1,2))="Sí",IF(D1230="proMX",COUNTIFS(FER_F,INT(B1230)+1,FER_NLP,"Sí"),COUNTIFS(FER_F,INT(B1230)+1,FER_NLM,"Sí"))=0),1,0),0)</f>
        <v>0</v>
      </c>
      <c r="AJ1230" s="80">
        <f>IF(AC1230=1,1440-Z1230,AD1230)</f>
        <v>0</v>
      </c>
      <c r="AK1230" s="80">
        <f>IF(AND(AB1230=1,AH1230=1),MAX(0,MIN(IF(AC1230=1,1440,AA1230),CFG_WEM)-MAX(Z1230,CFG_WSM)),0)</f>
        <v>0</v>
      </c>
      <c r="AL1230" s="80">
        <f>IF(AND(AC1230=1,AI1230=1),MAX(0,MIN(AA1230,CFG_WEM)-CFG_WSM),0)</f>
        <v>0</v>
      </c>
      <c r="AM1230" s="80">
        <f>AK1230+AL1230</f>
        <v>0</v>
      </c>
      <c r="AN1230" s="80">
        <f>IF(CFG_BRK="Proporcional",IF(AD1230=0,0,AF1230*AM1230/AD1230),IF(CFG_BRK="Extras primero",MIN(AM1230,MAX(0,AF1230-(AD1230-AM1230))),MIN(AF1230,AM1230)))</f>
        <v>0</v>
      </c>
      <c r="AO1230" s="80">
        <f>AF1230-AN1230</f>
        <v>0</v>
      </c>
      <c r="AP1230" s="80">
        <f>AM1230-AN1230</f>
        <v>0</v>
      </c>
      <c r="AQ1230" s="80">
        <f>AD1230-AM1230-AO1230</f>
        <v>0</v>
      </c>
      <c r="AR1230" s="80">
        <f>IF(AM1230=0,0,AK1230-AN1230*AK1230/AM1230)</f>
        <v>0</v>
      </c>
      <c r="AS1230" s="80">
        <f>IF(AD1230-AM1230=0,0,(AJ1230-AK1230)-AO1230*(AJ1230-AK1230)/(AD1230-AM1230))</f>
        <v>0</v>
      </c>
      <c r="AT1230" s="80" t="str">
        <f>IF(AC1230=1,INT(B1230)+1,"")</f>
        <v/>
      </c>
      <c r="AU1230" s="80">
        <f>IF(AND(D1230="proMX",R1230="Cancelled"),0,1)</f>
        <v>1</v>
      </c>
      <c r="AV1230" s="80">
        <f>IF(AND(AB1230=1,AU1230=1),IF(COUNTIFS($D$5:D1229,D1230,$B$5:B1229,B1230,$Z$5:Z1229,Z1230,$AA$5:AA1229,AA1230,$F$5:F1229,F1230&amp;"",$AU$5:AU1229,1)&gt;0,1,0),0)</f>
        <v>0</v>
      </c>
      <c r="AW1230" s="80" t="str">
        <f>IF(AB1230=1,INT(B1230)*1440+Z1230,"")</f>
        <v/>
      </c>
      <c r="AX1230" s="80" t="str">
        <f>IF(AB1230=1,AW1230+AD1230,"")</f>
        <v/>
      </c>
      <c r="AY1230" s="80">
        <f>IF(AND(AB1230=1,AV1230=0,AU1230=1),1,0)</f>
        <v>0</v>
      </c>
      <c r="AZ1230" s="80">
        <f>IF(AY1230=1,COUNTIFS(R_Emp,D1230,R_SAbs,"&lt;"&amp;AX1230,R_EAbs,"&gt;"&amp;AW1230,R_OKey,1)-1,0)</f>
        <v>0</v>
      </c>
      <c r="BA1230" s="80">
        <f>IF(AY1230=1,COUNTIFS(R_Emp,"&lt;&gt;"&amp;D1230,R_SAbs,"&lt;"&amp;AX1230,R_EAbs,"&gt;"&amp;AW1230,R_OKey,1),0)</f>
        <v>0</v>
      </c>
      <c r="BB1230" s="80">
        <f>IF(AND(AB1230=1,D1230="proMX"),IF(AND(MOD(Z1230,CFG_BLK)=0,MOD(AA1230,CFG_BLK)=0,MOD(AG1230,CFG_BLK)=0,AG1230&gt;0),1,0),1)</f>
        <v>1</v>
      </c>
      <c r="BC1230" s="80" t="str">
        <f>IF(Y1230=0,"",IF(NOT(ISNUMBER(B1230)),"Falta fecha o fecha inválida",IF(D1230="","Falta empresa",IF(AND(D1230&lt;&gt;"Malcolm",D1230&lt;&gt;"proMX"),"Empresa inválida",IF(OR(INT(B1230)&lt;CFG_PSTART,INT(B1230)&gt;CFG_PEND),"Fecha fuera del período",IF(OR(NOT(ISNUMBER(Z1230)),NOT(ISNUMBER(AA1230))),"Falta hora inicio/fin o formato inválido",IF(AB1230=0,"Hora inicio = hora fin",IF(AE1230&lt;0,"Descanso inválido",IF(AE1230&gt;=AD1230,"Descanso ≥ duración",IF(AV1230=1,"Registro duplicado",IF(AZ1230&gt;0,"Se superpone con otro registro "&amp;D1230,IF(BB1230=0,"inicio, fin y duración neta deben ser múltiplos de "&amp;CFG_BLK&amp;" min",""))))))))))))</f>
        <v/>
      </c>
      <c r="BD1230" s="80">
        <f>IF(AND(Y1230=1,BC1230=""),1,0)</f>
        <v>0</v>
      </c>
      <c r="BE1230" s="80">
        <f>IF(AND(BD1230=1,AU1230=1),1,0)</f>
        <v>0</v>
      </c>
      <c r="BF1230" s="80" t="str">
        <f>IF(AND(D1230="proMX",BD1230=1),IF(R1230="","Draft",R1230),"")</f>
        <v/>
      </c>
      <c r="BG1230" s="80">
        <f>IF(BD1230=1,ROUND(AG1230/60,6),0)</f>
        <v>0</v>
      </c>
      <c r="BH1230" s="80">
        <f>IF(BE1230=1,ROUND(AG1230/60,6),0)</f>
        <v>0</v>
      </c>
      <c r="BI1230" s="80">
        <f>IF(BE1230=1,ROUND(AP1230/60,6),0)</f>
        <v>0</v>
      </c>
      <c r="BJ1230" s="80">
        <f>IF(BE1230=1,ROUND(AQ1230/60,6),0)</f>
        <v>0</v>
      </c>
      <c r="BK1230" s="80">
        <f>IF(BE1230=1,ROUND((AR1230+AS1230)/60,6),0)</f>
        <v>0</v>
      </c>
      <c r="BL1230" s="80">
        <f>ROUND(BH1230-BK1230,6)</f>
        <v>0</v>
      </c>
      <c r="BM1230" s="80">
        <f>IF(BE1230=1,ROUND(AR1230/60,6),0)</f>
        <v>0</v>
      </c>
      <c r="BN1230" s="80">
        <f>ROUND(BI1230-BM1230,6)</f>
        <v>0</v>
      </c>
      <c r="BO1230" s="80">
        <f>IF(BE1230=1,ROUND(AS1230/60,6),0)</f>
        <v>0</v>
      </c>
      <c r="BP1230" s="80">
        <f>ROUND(BJ1230-BO1230,6)</f>
        <v>0</v>
      </c>
      <c r="BQ1230" s="80">
        <f>IF(BE1230=1,AW1230,0)</f>
        <v>0</v>
      </c>
      <c r="BR1230" s="80">
        <f>IF(BE1230=1,AX1230,0)</f>
        <v>0</v>
      </c>
      <c r="BS1230" s="80">
        <f>IF(AND(BE1230=1,D1230="Malcolm",BA1230&gt;0),MIN(BH1230,SUMPRODUCT((R_Emp="proMX")*(R_EN&gt;0)*((R_EN-(R_EN&gt;BR1230)*(R_EN-BR1230))&gt;(R_SN+(R_SN&lt;BQ1230)*(BQ1230-R_SN)))*((R_EN-(R_EN&gt;BR1230)*(R_EN-BR1230))-(R_SN+(R_SN&lt;BQ1230)*(BQ1230-R_SN))))/60),0)</f>
        <v>0</v>
      </c>
      <c r="BT1230" s="80">
        <f>IF(AND(BE1230=1,D1230="proMX"),ROUND(BI1230*CFG_RATE+BJ1230*CFG_OTRATE,6),0)</f>
        <v>0</v>
      </c>
      <c r="BU1230" s="80">
        <f>IF(AND(BD1230=1,D1230="proMX"),ROUND(AG1230/CFG_BLK,6),0)</f>
        <v>0</v>
      </c>
      <c r="BV1230" s="80" t="str">
        <f>IF(BF1230="Approved",IF(ISNUMBER(T1230),INT(T1230),INT(B1230)),"")</f>
        <v/>
      </c>
      <c r="BW1230" s="80">
        <f>IF(ISNUMBER(B1230),IF(DB_MON="Todos",1,IF(AND(INT(B1230)&gt;=DB_MS,INT(B1230)&lt;=DB_ME),1,0)),0)</f>
        <v>0</v>
      </c>
      <c r="BX1230" s="80">
        <f>IF(DB_PROJ="Todos",1,IF(E1230&amp;""=DB_PROJ&amp;"",1,0))</f>
        <v>1</v>
      </c>
      <c r="BY1230" s="80">
        <f>BW1230*BX1230</f>
        <v>0</v>
      </c>
      <c r="BZ1230" s="80" t="str">
        <f>IF(Y1230=1,F1230&amp;IF(AND(F1230&amp;""&lt;&gt;"",E1230&amp;""&lt;&gt;"")," · ","")&amp;E1230,"")</f>
        <v/>
      </c>
      <c r="CA1230" s="80" t="str">
        <f>IF(AND(BD1230=1,E1230&amp;""&lt;&gt;""),IF(COUNTIFS($E$5:E1229,E1230,$BD$5:BD1229,1)=0,MAX($CA$5:CA1229)+1,""),"")</f>
        <v/>
      </c>
      <c r="CB1230" s="80" t="str">
        <f>IF(AND(BE1230=1,D1230="Malcolm",E1230&amp;""&lt;&gt;""),IF(COUNTIFS($D$5:D1229,"Malcolm",$E$5:E1229,E1230,$BE$5:BE1229,1)=0,MAX($CB$5:CB1229)+1,""),"")</f>
        <v/>
      </c>
      <c r="CC1230" s="80" t="str">
        <f>IF(AND(BD1230=1,D1230="proMX",E1230&amp;""&lt;&gt;""),IF(COUNTIFS($D$5:D1229,"proMX",$E$5:E1229,E1230,$BD$5:BD1229,1)=0,MAX($CC$5:CC1229)+1,""),"")</f>
        <v/>
      </c>
      <c r="CD1230" s="80" t="str">
        <f>IF(AND(BE1230=1,D1230="Malcolm",F1230&amp;""&lt;&gt;""),IF(COUNTIFS($D$5:D1229,"Malcolm",$F$5:F1229,F1230,$BE$5:BE1229,1)=0,MAX($CD$5:CD1229)+1,""),"")</f>
        <v/>
      </c>
      <c r="CE1230" s="80" t="str">
        <f>IF(AND(BD1230=1,D1230="proMX",F1230&amp;""&lt;&gt;""),IF(COUNTIFS($D$5:D1229,"proMX",$F$5:F1229,F1230,$BD$5:BD1229,1)=0,MAX($CE$5:CE1229)+1,""),"")</f>
        <v/>
      </c>
      <c r="CF1230" s="80" t="str">
        <f>IF(AND(D1230="proMX",BD1230=1),IF(OR(BF1230="Draft",BF1230="Submitted",BF1230="Returned",BF1230="Recall Requested"),MAX($CF$5:CF1229)+1,""),"")</f>
        <v/>
      </c>
      <c r="CG1230" s="80">
        <f>IF(BD1230=0,0,IF(D1230="Malcolm",1,MATCH(BF1230,{"Draft","Submitted","Approved","Returned","Recall Requested","Cancelled"},0)+1))</f>
        <v>0</v>
      </c>
      <c r="CH1230" s="80">
        <f>IF(AND(BF1230="Submitted",ISNUMBER(V1230)),IF(V1230&gt;CFG_MAXD,1,0),0)</f>
        <v>0</v>
      </c>
    </row>
    <row r="1231">
      <c r="A1231" s="71" t="str">
        <f>IF(Y1231=1,ROW()-5,"")</f>
        <v/>
      </c>
      <c r="B1231" s="72" t="n"/>
      <c r="C1231" s="71" t="str">
        <f>IF(ISNUMBER(B1231),CHOOSE(WEEKDAY(B1231,2),"Lun","Mar","Mié","Jue","Vie","Sáb","Dom"),"")</f>
        <v/>
      </c>
      <c r="D1231" s="73" t="n"/>
      <c r="E1231" s="74" t="n"/>
      <c r="F1231" s="74" t="n"/>
      <c r="G1231" s="74" t="n"/>
      <c r="H1231" s="75" t="n"/>
      <c r="I1231" s="75" t="n"/>
      <c r="J1231" s="76" t="n"/>
      <c r="K1231" s="77" t="str">
        <f>IF(AB1231=1,ROUND(AG1231/60,4),"")</f>
        <v/>
      </c>
      <c r="L1231" s="77" t="str">
        <f>IF(BD1231=1,ROUND(AP1231/60,4),"")</f>
        <v/>
      </c>
      <c r="M1231" s="77" t="str">
        <f>IF(BD1231=1,ROUND(AQ1231/60,4),"")</f>
        <v/>
      </c>
      <c r="N1231" s="71" t="str">
        <f>IF(AND(D1231="proMX",AB1231=1),ROUND(AG1231/CFG_BLK,2),"")</f>
        <v/>
      </c>
      <c r="O1231" s="77" t="str">
        <f>IF(D1231="proMX",IF(BD1231=1,ROUND(AG1231/60,4),0),"")</f>
        <v/>
      </c>
      <c r="P1231" s="78" t="str">
        <f>IF(Y1231=0,"",IF(BD1231=1,"OK",IF(D1231="proMX","Revisar bloques: ","Revisar: ")&amp;BC1231))</f>
        <v/>
      </c>
      <c r="Q1231" s="78" t="str">
        <f>IF(NOT(ISNUMBER(B1231)),"",IF(COUNTIFS(FER_F,INT(B1231))&gt;0,"Feriado"&amp;IF(AH1231=1," (laborable)"," (no laborable)"),IF(AH1231=1,"Laborable",IF(WEEKDAY(B1231,2)&gt;5,"Fin de semana","No laborable"))))</f>
        <v/>
      </c>
      <c r="R1231" s="73" t="n"/>
      <c r="S1231" s="72" t="n"/>
      <c r="T1231" s="72" t="n"/>
      <c r="U1231" s="74" t="n"/>
      <c r="V1231" s="79" t="str">
        <f>IF(AND(D1231="proMX",OR(R1231="Submitted",R1231="Recall Requested"),ISNUMBER(S1231)),CFG_TODAY-INT(S1231),"")</f>
        <v/>
      </c>
      <c r="W1231" s="78" t="str">
        <f>IF(BD1231=0,"",IF(BA1231&gt;0,"⚠ Se superpone con un registro de la otra empresa",IF(D1231="Malcolm",IF(COUNTA(R1231,S1231,T1231)&gt;0,"Estado/fechas proMX se ignoran en Malcolm",""),IF(BF1231="Cancelled","Cancelado: excluido de totales",IF(R1231="","Sin estado: se trata como Draft",IF(BF1231="Submitted",IF(ISNUMBER(V1231),IF(V1231&gt;CFG_MAXD,"⚠ "&amp;V1231&amp;" días en Submitted (máx. "&amp;CFG_MAXD&amp;")",""),"Falta fecha de envío"),IF(BF1231="Returned","⚠ Devuelto: corregir y reenviar",IF(BF1231="Recall Requested","Retirada solicitada: pendiente",IF(AND(BF1231="Approved",NOT(ISNUMBER(T1231))),"Falta fecha de aprobación",IF(AND(ISNUMBER(S1231),ISNUMBER(T1231),T1231&lt;S1231),"Aprobación anterior al envío","")))))))))</f>
        <v/>
      </c>
      <c r="Y1231" s="80">
        <f>IF(COUNTA(B1231,D1231,E1231,F1231,G1231,H1231,I1231,J1231,R1231,S1231,T1231)&gt;0,1,0)</f>
        <v>0</v>
      </c>
      <c r="Z1231" s="80" t="str">
        <f>IF(AND(ISNUMBER(H1231),H1231&gt;=0,H1231&lt;1),ROUND(H1231*1440,0),"")</f>
        <v/>
      </c>
      <c r="AA1231" s="80" t="str">
        <f>IF(AND(ISNUMBER(I1231),I1231&gt;=0,I1231&lt;1),ROUND(I1231*1440,0),"")</f>
        <v/>
      </c>
      <c r="AB1231" s="80">
        <f>IF(AND(ISNUMBER(B1231),D1231&lt;&gt;"",ISNUMBER(Z1231),ISNUMBER(AA1231)),IF(Z1231=AA1231,0,1),0)</f>
        <v>0</v>
      </c>
      <c r="AC1231" s="80">
        <f>IF(AB1231=1,IF(AA1231&lt;Z1231,1,0),0)</f>
        <v>0</v>
      </c>
      <c r="AD1231" s="80">
        <f>IF(AB1231=1,IF(AC1231=1,1440-Z1231+AA1231,AA1231-Z1231),0)</f>
        <v>0</v>
      </c>
      <c r="AE1231" s="80">
        <f>IF(J1231="",0,IF(ISNUMBER(J1231),J1231,-1))</f>
        <v>0</v>
      </c>
      <c r="AF1231" s="80">
        <f>MIN(MAX(0,AE1231),AD1231)</f>
        <v>0</v>
      </c>
      <c r="AG1231" s="80">
        <f>MAX(0,AD1231-MAX(0,AE1231))</f>
        <v>0</v>
      </c>
      <c r="AH1231" s="80">
        <f>IF(ISNUMBER(B1231),IF(AND(INDEX(CFG_WDAYS,WEEKDAY(INT(B1231),2))="Sí",IF(D1231="proMX",COUNTIFS(FER_F,INT(B1231),FER_NLP,"Sí"),COUNTIFS(FER_F,INT(B1231),FER_NLM,"Sí"))=0),1,0),0)</f>
        <v>0</v>
      </c>
      <c r="AI1231" s="80">
        <f>IF(AC1231=1,IF(AND(INDEX(CFG_WDAYS,WEEKDAY(INT(B1231)+1,2))="Sí",IF(D1231="proMX",COUNTIFS(FER_F,INT(B1231)+1,FER_NLP,"Sí"),COUNTIFS(FER_F,INT(B1231)+1,FER_NLM,"Sí"))=0),1,0),0)</f>
        <v>0</v>
      </c>
      <c r="AJ1231" s="80">
        <f>IF(AC1231=1,1440-Z1231,AD1231)</f>
        <v>0</v>
      </c>
      <c r="AK1231" s="80">
        <f>IF(AND(AB1231=1,AH1231=1),MAX(0,MIN(IF(AC1231=1,1440,AA1231),CFG_WEM)-MAX(Z1231,CFG_WSM)),0)</f>
        <v>0</v>
      </c>
      <c r="AL1231" s="80">
        <f>IF(AND(AC1231=1,AI1231=1),MAX(0,MIN(AA1231,CFG_WEM)-CFG_WSM),0)</f>
        <v>0</v>
      </c>
      <c r="AM1231" s="80">
        <f>AK1231+AL1231</f>
        <v>0</v>
      </c>
      <c r="AN1231" s="80">
        <f>IF(CFG_BRK="Proporcional",IF(AD1231=0,0,AF1231*AM1231/AD1231),IF(CFG_BRK="Extras primero",MIN(AM1231,MAX(0,AF1231-(AD1231-AM1231))),MIN(AF1231,AM1231)))</f>
        <v>0</v>
      </c>
      <c r="AO1231" s="80">
        <f>AF1231-AN1231</f>
        <v>0</v>
      </c>
      <c r="AP1231" s="80">
        <f>AM1231-AN1231</f>
        <v>0</v>
      </c>
      <c r="AQ1231" s="80">
        <f>AD1231-AM1231-AO1231</f>
        <v>0</v>
      </c>
      <c r="AR1231" s="80">
        <f>IF(AM1231=0,0,AK1231-AN1231*AK1231/AM1231)</f>
        <v>0</v>
      </c>
      <c r="AS1231" s="80">
        <f>IF(AD1231-AM1231=0,0,(AJ1231-AK1231)-AO1231*(AJ1231-AK1231)/(AD1231-AM1231))</f>
        <v>0</v>
      </c>
      <c r="AT1231" s="80" t="str">
        <f>IF(AC1231=1,INT(B1231)+1,"")</f>
        <v/>
      </c>
      <c r="AU1231" s="80">
        <f>IF(AND(D1231="proMX",R1231="Cancelled"),0,1)</f>
        <v>1</v>
      </c>
      <c r="AV1231" s="80">
        <f>IF(AND(AB1231=1,AU1231=1),IF(COUNTIFS($D$5:D1230,D1231,$B$5:B1230,B1231,$Z$5:Z1230,Z1231,$AA$5:AA1230,AA1231,$F$5:F1230,F1231&amp;"",$AU$5:AU1230,1)&gt;0,1,0),0)</f>
        <v>0</v>
      </c>
      <c r="AW1231" s="80" t="str">
        <f>IF(AB1231=1,INT(B1231)*1440+Z1231,"")</f>
        <v/>
      </c>
      <c r="AX1231" s="80" t="str">
        <f>IF(AB1231=1,AW1231+AD1231,"")</f>
        <v/>
      </c>
      <c r="AY1231" s="80">
        <f>IF(AND(AB1231=1,AV1231=0,AU1231=1),1,0)</f>
        <v>0</v>
      </c>
      <c r="AZ1231" s="80">
        <f>IF(AY1231=1,COUNTIFS(R_Emp,D1231,R_SAbs,"&lt;"&amp;AX1231,R_EAbs,"&gt;"&amp;AW1231,R_OKey,1)-1,0)</f>
        <v>0</v>
      </c>
      <c r="BA1231" s="80">
        <f>IF(AY1231=1,COUNTIFS(R_Emp,"&lt;&gt;"&amp;D1231,R_SAbs,"&lt;"&amp;AX1231,R_EAbs,"&gt;"&amp;AW1231,R_OKey,1),0)</f>
        <v>0</v>
      </c>
      <c r="BB1231" s="80">
        <f>IF(AND(AB1231=1,D1231="proMX"),IF(AND(MOD(Z1231,CFG_BLK)=0,MOD(AA1231,CFG_BLK)=0,MOD(AG1231,CFG_BLK)=0,AG1231&gt;0),1,0),1)</f>
        <v>1</v>
      </c>
      <c r="BC1231" s="80" t="str">
        <f>IF(Y1231=0,"",IF(NOT(ISNUMBER(B1231)),"Falta fecha o fecha inválida",IF(D1231="","Falta empresa",IF(AND(D1231&lt;&gt;"Malcolm",D1231&lt;&gt;"proMX"),"Empresa inválida",IF(OR(INT(B1231)&lt;CFG_PSTART,INT(B1231)&gt;CFG_PEND),"Fecha fuera del período",IF(OR(NOT(ISNUMBER(Z1231)),NOT(ISNUMBER(AA1231))),"Falta hora inicio/fin o formato inválido",IF(AB1231=0,"Hora inicio = hora fin",IF(AE1231&lt;0,"Descanso inválido",IF(AE1231&gt;=AD1231,"Descanso ≥ duración",IF(AV1231=1,"Registro duplicado",IF(AZ1231&gt;0,"Se superpone con otro registro "&amp;D1231,IF(BB1231=0,"inicio, fin y duración neta deben ser múltiplos de "&amp;CFG_BLK&amp;" min",""))))))))))))</f>
        <v/>
      </c>
      <c r="BD1231" s="80">
        <f>IF(AND(Y1231=1,BC1231=""),1,0)</f>
        <v>0</v>
      </c>
      <c r="BE1231" s="80">
        <f>IF(AND(BD1231=1,AU1231=1),1,0)</f>
        <v>0</v>
      </c>
      <c r="BF1231" s="80" t="str">
        <f>IF(AND(D1231="proMX",BD1231=1),IF(R1231="","Draft",R1231),"")</f>
        <v/>
      </c>
      <c r="BG1231" s="80">
        <f>IF(BD1231=1,ROUND(AG1231/60,6),0)</f>
        <v>0</v>
      </c>
      <c r="BH1231" s="80">
        <f>IF(BE1231=1,ROUND(AG1231/60,6),0)</f>
        <v>0</v>
      </c>
      <c r="BI1231" s="80">
        <f>IF(BE1231=1,ROUND(AP1231/60,6),0)</f>
        <v>0</v>
      </c>
      <c r="BJ1231" s="80">
        <f>IF(BE1231=1,ROUND(AQ1231/60,6),0)</f>
        <v>0</v>
      </c>
      <c r="BK1231" s="80">
        <f>IF(BE1231=1,ROUND((AR1231+AS1231)/60,6),0)</f>
        <v>0</v>
      </c>
      <c r="BL1231" s="80">
        <f>ROUND(BH1231-BK1231,6)</f>
        <v>0</v>
      </c>
      <c r="BM1231" s="80">
        <f>IF(BE1231=1,ROUND(AR1231/60,6),0)</f>
        <v>0</v>
      </c>
      <c r="BN1231" s="80">
        <f>ROUND(BI1231-BM1231,6)</f>
        <v>0</v>
      </c>
      <c r="BO1231" s="80">
        <f>IF(BE1231=1,ROUND(AS1231/60,6),0)</f>
        <v>0</v>
      </c>
      <c r="BP1231" s="80">
        <f>ROUND(BJ1231-BO1231,6)</f>
        <v>0</v>
      </c>
      <c r="BQ1231" s="80">
        <f>IF(BE1231=1,AW1231,0)</f>
        <v>0</v>
      </c>
      <c r="BR1231" s="80">
        <f>IF(BE1231=1,AX1231,0)</f>
        <v>0</v>
      </c>
      <c r="BS1231" s="80">
        <f>IF(AND(BE1231=1,D1231="Malcolm",BA1231&gt;0),MIN(BH1231,SUMPRODUCT((R_Emp="proMX")*(R_EN&gt;0)*((R_EN-(R_EN&gt;BR1231)*(R_EN-BR1231))&gt;(R_SN+(R_SN&lt;BQ1231)*(BQ1231-R_SN)))*((R_EN-(R_EN&gt;BR1231)*(R_EN-BR1231))-(R_SN+(R_SN&lt;BQ1231)*(BQ1231-R_SN))))/60),0)</f>
        <v>0</v>
      </c>
      <c r="BT1231" s="80">
        <f>IF(AND(BE1231=1,D1231="proMX"),ROUND(BI1231*CFG_RATE+BJ1231*CFG_OTRATE,6),0)</f>
        <v>0</v>
      </c>
      <c r="BU1231" s="80">
        <f>IF(AND(BD1231=1,D1231="proMX"),ROUND(AG1231/CFG_BLK,6),0)</f>
        <v>0</v>
      </c>
      <c r="BV1231" s="80" t="str">
        <f>IF(BF1231="Approved",IF(ISNUMBER(T1231),INT(T1231),INT(B1231)),"")</f>
        <v/>
      </c>
      <c r="BW1231" s="80">
        <f>IF(ISNUMBER(B1231),IF(DB_MON="Todos",1,IF(AND(INT(B1231)&gt;=DB_MS,INT(B1231)&lt;=DB_ME),1,0)),0)</f>
        <v>0</v>
      </c>
      <c r="BX1231" s="80">
        <f>IF(DB_PROJ="Todos",1,IF(E1231&amp;""=DB_PROJ&amp;"",1,0))</f>
        <v>1</v>
      </c>
      <c r="BY1231" s="80">
        <f>BW1231*BX1231</f>
        <v>0</v>
      </c>
      <c r="BZ1231" s="80" t="str">
        <f>IF(Y1231=1,F1231&amp;IF(AND(F1231&amp;""&lt;&gt;"",E1231&amp;""&lt;&gt;"")," · ","")&amp;E1231,"")</f>
        <v/>
      </c>
      <c r="CA1231" s="80" t="str">
        <f>IF(AND(BD1231=1,E1231&amp;""&lt;&gt;""),IF(COUNTIFS($E$5:E1230,E1231,$BD$5:BD1230,1)=0,MAX($CA$5:CA1230)+1,""),"")</f>
        <v/>
      </c>
      <c r="CB1231" s="80" t="str">
        <f>IF(AND(BE1231=1,D1231="Malcolm",E1231&amp;""&lt;&gt;""),IF(COUNTIFS($D$5:D1230,"Malcolm",$E$5:E1230,E1231,$BE$5:BE1230,1)=0,MAX($CB$5:CB1230)+1,""),"")</f>
        <v/>
      </c>
      <c r="CC1231" s="80" t="str">
        <f>IF(AND(BD1231=1,D1231="proMX",E1231&amp;""&lt;&gt;""),IF(COUNTIFS($D$5:D1230,"proMX",$E$5:E1230,E1231,$BD$5:BD1230,1)=0,MAX($CC$5:CC1230)+1,""),"")</f>
        <v/>
      </c>
      <c r="CD1231" s="80" t="str">
        <f>IF(AND(BE1231=1,D1231="Malcolm",F1231&amp;""&lt;&gt;""),IF(COUNTIFS($D$5:D1230,"Malcolm",$F$5:F1230,F1231,$BE$5:BE1230,1)=0,MAX($CD$5:CD1230)+1,""),"")</f>
        <v/>
      </c>
      <c r="CE1231" s="80" t="str">
        <f>IF(AND(BD1231=1,D1231="proMX",F1231&amp;""&lt;&gt;""),IF(COUNTIFS($D$5:D1230,"proMX",$F$5:F1230,F1231,$BD$5:BD1230,1)=0,MAX($CE$5:CE1230)+1,""),"")</f>
        <v/>
      </c>
      <c r="CF1231" s="80" t="str">
        <f>IF(AND(D1231="proMX",BD1231=1),IF(OR(BF1231="Draft",BF1231="Submitted",BF1231="Returned",BF1231="Recall Requested"),MAX($CF$5:CF1230)+1,""),"")</f>
        <v/>
      </c>
      <c r="CG1231" s="80">
        <f>IF(BD1231=0,0,IF(D1231="Malcolm",1,MATCH(BF1231,{"Draft","Submitted","Approved","Returned","Recall Requested","Cancelled"},0)+1))</f>
        <v>0</v>
      </c>
      <c r="CH1231" s="80">
        <f>IF(AND(BF1231="Submitted",ISNUMBER(V1231)),IF(V1231&gt;CFG_MAXD,1,0),0)</f>
        <v>0</v>
      </c>
    </row>
    <row r="1232">
      <c r="A1232" s="71" t="str">
        <f>IF(Y1232=1,ROW()-5,"")</f>
        <v/>
      </c>
      <c r="B1232" s="72" t="n"/>
      <c r="C1232" s="71" t="str">
        <f>IF(ISNUMBER(B1232),CHOOSE(WEEKDAY(B1232,2),"Lun","Mar","Mié","Jue","Vie","Sáb","Dom"),"")</f>
        <v/>
      </c>
      <c r="D1232" s="73" t="n"/>
      <c r="E1232" s="74" t="n"/>
      <c r="F1232" s="74" t="n"/>
      <c r="G1232" s="74" t="n"/>
      <c r="H1232" s="75" t="n"/>
      <c r="I1232" s="75" t="n"/>
      <c r="J1232" s="76" t="n"/>
      <c r="K1232" s="77" t="str">
        <f>IF(AB1232=1,ROUND(AG1232/60,4),"")</f>
        <v/>
      </c>
      <c r="L1232" s="77" t="str">
        <f>IF(BD1232=1,ROUND(AP1232/60,4),"")</f>
        <v/>
      </c>
      <c r="M1232" s="77" t="str">
        <f>IF(BD1232=1,ROUND(AQ1232/60,4),"")</f>
        <v/>
      </c>
      <c r="N1232" s="71" t="str">
        <f>IF(AND(D1232="proMX",AB1232=1),ROUND(AG1232/CFG_BLK,2),"")</f>
        <v/>
      </c>
      <c r="O1232" s="77" t="str">
        <f>IF(D1232="proMX",IF(BD1232=1,ROUND(AG1232/60,4),0),"")</f>
        <v/>
      </c>
      <c r="P1232" s="78" t="str">
        <f>IF(Y1232=0,"",IF(BD1232=1,"OK",IF(D1232="proMX","Revisar bloques: ","Revisar: ")&amp;BC1232))</f>
        <v/>
      </c>
      <c r="Q1232" s="78" t="str">
        <f>IF(NOT(ISNUMBER(B1232)),"",IF(COUNTIFS(FER_F,INT(B1232))&gt;0,"Feriado"&amp;IF(AH1232=1," (laborable)"," (no laborable)"),IF(AH1232=1,"Laborable",IF(WEEKDAY(B1232,2)&gt;5,"Fin de semana","No laborable"))))</f>
        <v/>
      </c>
      <c r="R1232" s="73" t="n"/>
      <c r="S1232" s="72" t="n"/>
      <c r="T1232" s="72" t="n"/>
      <c r="U1232" s="74" t="n"/>
      <c r="V1232" s="79" t="str">
        <f>IF(AND(D1232="proMX",OR(R1232="Submitted",R1232="Recall Requested"),ISNUMBER(S1232)),CFG_TODAY-INT(S1232),"")</f>
        <v/>
      </c>
      <c r="W1232" s="78" t="str">
        <f>IF(BD1232=0,"",IF(BA1232&gt;0,"⚠ Se superpone con un registro de la otra empresa",IF(D1232="Malcolm",IF(COUNTA(R1232,S1232,T1232)&gt;0,"Estado/fechas proMX se ignoran en Malcolm",""),IF(BF1232="Cancelled","Cancelado: excluido de totales",IF(R1232="","Sin estado: se trata como Draft",IF(BF1232="Submitted",IF(ISNUMBER(V1232),IF(V1232&gt;CFG_MAXD,"⚠ "&amp;V1232&amp;" días en Submitted (máx. "&amp;CFG_MAXD&amp;")",""),"Falta fecha de envío"),IF(BF1232="Returned","⚠ Devuelto: corregir y reenviar",IF(BF1232="Recall Requested","Retirada solicitada: pendiente",IF(AND(BF1232="Approved",NOT(ISNUMBER(T1232))),"Falta fecha de aprobación",IF(AND(ISNUMBER(S1232),ISNUMBER(T1232),T1232&lt;S1232),"Aprobación anterior al envío","")))))))))</f>
        <v/>
      </c>
      <c r="Y1232" s="80">
        <f>IF(COUNTA(B1232,D1232,E1232,F1232,G1232,H1232,I1232,J1232,R1232,S1232,T1232)&gt;0,1,0)</f>
        <v>0</v>
      </c>
      <c r="Z1232" s="80" t="str">
        <f>IF(AND(ISNUMBER(H1232),H1232&gt;=0,H1232&lt;1),ROUND(H1232*1440,0),"")</f>
        <v/>
      </c>
      <c r="AA1232" s="80" t="str">
        <f>IF(AND(ISNUMBER(I1232),I1232&gt;=0,I1232&lt;1),ROUND(I1232*1440,0),"")</f>
        <v/>
      </c>
      <c r="AB1232" s="80">
        <f>IF(AND(ISNUMBER(B1232),D1232&lt;&gt;"",ISNUMBER(Z1232),ISNUMBER(AA1232)),IF(Z1232=AA1232,0,1),0)</f>
        <v>0</v>
      </c>
      <c r="AC1232" s="80">
        <f>IF(AB1232=1,IF(AA1232&lt;Z1232,1,0),0)</f>
        <v>0</v>
      </c>
      <c r="AD1232" s="80">
        <f>IF(AB1232=1,IF(AC1232=1,1440-Z1232+AA1232,AA1232-Z1232),0)</f>
        <v>0</v>
      </c>
      <c r="AE1232" s="80">
        <f>IF(J1232="",0,IF(ISNUMBER(J1232),J1232,-1))</f>
        <v>0</v>
      </c>
      <c r="AF1232" s="80">
        <f>MIN(MAX(0,AE1232),AD1232)</f>
        <v>0</v>
      </c>
      <c r="AG1232" s="80">
        <f>MAX(0,AD1232-MAX(0,AE1232))</f>
        <v>0</v>
      </c>
      <c r="AH1232" s="80">
        <f>IF(ISNUMBER(B1232),IF(AND(INDEX(CFG_WDAYS,WEEKDAY(INT(B1232),2))="Sí",IF(D1232="proMX",COUNTIFS(FER_F,INT(B1232),FER_NLP,"Sí"),COUNTIFS(FER_F,INT(B1232),FER_NLM,"Sí"))=0),1,0),0)</f>
        <v>0</v>
      </c>
      <c r="AI1232" s="80">
        <f>IF(AC1232=1,IF(AND(INDEX(CFG_WDAYS,WEEKDAY(INT(B1232)+1,2))="Sí",IF(D1232="proMX",COUNTIFS(FER_F,INT(B1232)+1,FER_NLP,"Sí"),COUNTIFS(FER_F,INT(B1232)+1,FER_NLM,"Sí"))=0),1,0),0)</f>
        <v>0</v>
      </c>
      <c r="AJ1232" s="80">
        <f>IF(AC1232=1,1440-Z1232,AD1232)</f>
        <v>0</v>
      </c>
      <c r="AK1232" s="80">
        <f>IF(AND(AB1232=1,AH1232=1),MAX(0,MIN(IF(AC1232=1,1440,AA1232),CFG_WEM)-MAX(Z1232,CFG_WSM)),0)</f>
        <v>0</v>
      </c>
      <c r="AL1232" s="80">
        <f>IF(AND(AC1232=1,AI1232=1),MAX(0,MIN(AA1232,CFG_WEM)-CFG_WSM),0)</f>
        <v>0</v>
      </c>
      <c r="AM1232" s="80">
        <f>AK1232+AL1232</f>
        <v>0</v>
      </c>
      <c r="AN1232" s="80">
        <f>IF(CFG_BRK="Proporcional",IF(AD1232=0,0,AF1232*AM1232/AD1232),IF(CFG_BRK="Extras primero",MIN(AM1232,MAX(0,AF1232-(AD1232-AM1232))),MIN(AF1232,AM1232)))</f>
        <v>0</v>
      </c>
      <c r="AO1232" s="80">
        <f>AF1232-AN1232</f>
        <v>0</v>
      </c>
      <c r="AP1232" s="80">
        <f>AM1232-AN1232</f>
        <v>0</v>
      </c>
      <c r="AQ1232" s="80">
        <f>AD1232-AM1232-AO1232</f>
        <v>0</v>
      </c>
      <c r="AR1232" s="80">
        <f>IF(AM1232=0,0,AK1232-AN1232*AK1232/AM1232)</f>
        <v>0</v>
      </c>
      <c r="AS1232" s="80">
        <f>IF(AD1232-AM1232=0,0,(AJ1232-AK1232)-AO1232*(AJ1232-AK1232)/(AD1232-AM1232))</f>
        <v>0</v>
      </c>
      <c r="AT1232" s="80" t="str">
        <f>IF(AC1232=1,INT(B1232)+1,"")</f>
        <v/>
      </c>
      <c r="AU1232" s="80">
        <f>IF(AND(D1232="proMX",R1232="Cancelled"),0,1)</f>
        <v>1</v>
      </c>
      <c r="AV1232" s="80">
        <f>IF(AND(AB1232=1,AU1232=1),IF(COUNTIFS($D$5:D1231,D1232,$B$5:B1231,B1232,$Z$5:Z1231,Z1232,$AA$5:AA1231,AA1232,$F$5:F1231,F1232&amp;"",$AU$5:AU1231,1)&gt;0,1,0),0)</f>
        <v>0</v>
      </c>
      <c r="AW1232" s="80" t="str">
        <f>IF(AB1232=1,INT(B1232)*1440+Z1232,"")</f>
        <v/>
      </c>
      <c r="AX1232" s="80" t="str">
        <f>IF(AB1232=1,AW1232+AD1232,"")</f>
        <v/>
      </c>
      <c r="AY1232" s="80">
        <f>IF(AND(AB1232=1,AV1232=0,AU1232=1),1,0)</f>
        <v>0</v>
      </c>
      <c r="AZ1232" s="80">
        <f>IF(AY1232=1,COUNTIFS(R_Emp,D1232,R_SAbs,"&lt;"&amp;AX1232,R_EAbs,"&gt;"&amp;AW1232,R_OKey,1)-1,0)</f>
        <v>0</v>
      </c>
      <c r="BA1232" s="80">
        <f>IF(AY1232=1,COUNTIFS(R_Emp,"&lt;&gt;"&amp;D1232,R_SAbs,"&lt;"&amp;AX1232,R_EAbs,"&gt;"&amp;AW1232,R_OKey,1),0)</f>
        <v>0</v>
      </c>
      <c r="BB1232" s="80">
        <f>IF(AND(AB1232=1,D1232="proMX"),IF(AND(MOD(Z1232,CFG_BLK)=0,MOD(AA1232,CFG_BLK)=0,MOD(AG1232,CFG_BLK)=0,AG1232&gt;0),1,0),1)</f>
        <v>1</v>
      </c>
      <c r="BC1232" s="80" t="str">
        <f>IF(Y1232=0,"",IF(NOT(ISNUMBER(B1232)),"Falta fecha o fecha inválida",IF(D1232="","Falta empresa",IF(AND(D1232&lt;&gt;"Malcolm",D1232&lt;&gt;"proMX"),"Empresa inválida",IF(OR(INT(B1232)&lt;CFG_PSTART,INT(B1232)&gt;CFG_PEND),"Fecha fuera del período",IF(OR(NOT(ISNUMBER(Z1232)),NOT(ISNUMBER(AA1232))),"Falta hora inicio/fin o formato inválido",IF(AB1232=0,"Hora inicio = hora fin",IF(AE1232&lt;0,"Descanso inválido",IF(AE1232&gt;=AD1232,"Descanso ≥ duración",IF(AV1232=1,"Registro duplicado",IF(AZ1232&gt;0,"Se superpone con otro registro "&amp;D1232,IF(BB1232=0,"inicio, fin y duración neta deben ser múltiplos de "&amp;CFG_BLK&amp;" min",""))))))))))))</f>
        <v/>
      </c>
      <c r="BD1232" s="80">
        <f>IF(AND(Y1232=1,BC1232=""),1,0)</f>
        <v>0</v>
      </c>
      <c r="BE1232" s="80">
        <f>IF(AND(BD1232=1,AU1232=1),1,0)</f>
        <v>0</v>
      </c>
      <c r="BF1232" s="80" t="str">
        <f>IF(AND(D1232="proMX",BD1232=1),IF(R1232="","Draft",R1232),"")</f>
        <v/>
      </c>
      <c r="BG1232" s="80">
        <f>IF(BD1232=1,ROUND(AG1232/60,6),0)</f>
        <v>0</v>
      </c>
      <c r="BH1232" s="80">
        <f>IF(BE1232=1,ROUND(AG1232/60,6),0)</f>
        <v>0</v>
      </c>
      <c r="BI1232" s="80">
        <f>IF(BE1232=1,ROUND(AP1232/60,6),0)</f>
        <v>0</v>
      </c>
      <c r="BJ1232" s="80">
        <f>IF(BE1232=1,ROUND(AQ1232/60,6),0)</f>
        <v>0</v>
      </c>
      <c r="BK1232" s="80">
        <f>IF(BE1232=1,ROUND((AR1232+AS1232)/60,6),0)</f>
        <v>0</v>
      </c>
      <c r="BL1232" s="80">
        <f>ROUND(BH1232-BK1232,6)</f>
        <v>0</v>
      </c>
      <c r="BM1232" s="80">
        <f>IF(BE1232=1,ROUND(AR1232/60,6),0)</f>
        <v>0</v>
      </c>
      <c r="BN1232" s="80">
        <f>ROUND(BI1232-BM1232,6)</f>
        <v>0</v>
      </c>
      <c r="BO1232" s="80">
        <f>IF(BE1232=1,ROUND(AS1232/60,6),0)</f>
        <v>0</v>
      </c>
      <c r="BP1232" s="80">
        <f>ROUND(BJ1232-BO1232,6)</f>
        <v>0</v>
      </c>
      <c r="BQ1232" s="80">
        <f>IF(BE1232=1,AW1232,0)</f>
        <v>0</v>
      </c>
      <c r="BR1232" s="80">
        <f>IF(BE1232=1,AX1232,0)</f>
        <v>0</v>
      </c>
      <c r="BS1232" s="80">
        <f>IF(AND(BE1232=1,D1232="Malcolm",BA1232&gt;0),MIN(BH1232,SUMPRODUCT((R_Emp="proMX")*(R_EN&gt;0)*((R_EN-(R_EN&gt;BR1232)*(R_EN-BR1232))&gt;(R_SN+(R_SN&lt;BQ1232)*(BQ1232-R_SN)))*((R_EN-(R_EN&gt;BR1232)*(R_EN-BR1232))-(R_SN+(R_SN&lt;BQ1232)*(BQ1232-R_SN))))/60),0)</f>
        <v>0</v>
      </c>
      <c r="BT1232" s="80">
        <f>IF(AND(BE1232=1,D1232="proMX"),ROUND(BI1232*CFG_RATE+BJ1232*CFG_OTRATE,6),0)</f>
        <v>0</v>
      </c>
      <c r="BU1232" s="80">
        <f>IF(AND(BD1232=1,D1232="proMX"),ROUND(AG1232/CFG_BLK,6),0)</f>
        <v>0</v>
      </c>
      <c r="BV1232" s="80" t="str">
        <f>IF(BF1232="Approved",IF(ISNUMBER(T1232),INT(T1232),INT(B1232)),"")</f>
        <v/>
      </c>
      <c r="BW1232" s="80">
        <f>IF(ISNUMBER(B1232),IF(DB_MON="Todos",1,IF(AND(INT(B1232)&gt;=DB_MS,INT(B1232)&lt;=DB_ME),1,0)),0)</f>
        <v>0</v>
      </c>
      <c r="BX1232" s="80">
        <f>IF(DB_PROJ="Todos",1,IF(E1232&amp;""=DB_PROJ&amp;"",1,0))</f>
        <v>1</v>
      </c>
      <c r="BY1232" s="80">
        <f>BW1232*BX1232</f>
        <v>0</v>
      </c>
      <c r="BZ1232" s="80" t="str">
        <f>IF(Y1232=1,F1232&amp;IF(AND(F1232&amp;""&lt;&gt;"",E1232&amp;""&lt;&gt;"")," · ","")&amp;E1232,"")</f>
        <v/>
      </c>
      <c r="CA1232" s="80" t="str">
        <f>IF(AND(BD1232=1,E1232&amp;""&lt;&gt;""),IF(COUNTIFS($E$5:E1231,E1232,$BD$5:BD1231,1)=0,MAX($CA$5:CA1231)+1,""),"")</f>
        <v/>
      </c>
      <c r="CB1232" s="80" t="str">
        <f>IF(AND(BE1232=1,D1232="Malcolm",E1232&amp;""&lt;&gt;""),IF(COUNTIFS($D$5:D1231,"Malcolm",$E$5:E1231,E1232,$BE$5:BE1231,1)=0,MAX($CB$5:CB1231)+1,""),"")</f>
        <v/>
      </c>
      <c r="CC1232" s="80" t="str">
        <f>IF(AND(BD1232=1,D1232="proMX",E1232&amp;""&lt;&gt;""),IF(COUNTIFS($D$5:D1231,"proMX",$E$5:E1231,E1232,$BD$5:BD1231,1)=0,MAX($CC$5:CC1231)+1,""),"")</f>
        <v/>
      </c>
      <c r="CD1232" s="80" t="str">
        <f>IF(AND(BE1232=1,D1232="Malcolm",F1232&amp;""&lt;&gt;""),IF(COUNTIFS($D$5:D1231,"Malcolm",$F$5:F1231,F1232,$BE$5:BE1231,1)=0,MAX($CD$5:CD1231)+1,""),"")</f>
        <v/>
      </c>
      <c r="CE1232" s="80" t="str">
        <f>IF(AND(BD1232=1,D1232="proMX",F1232&amp;""&lt;&gt;""),IF(COUNTIFS($D$5:D1231,"proMX",$F$5:F1231,F1232,$BD$5:BD1231,1)=0,MAX($CE$5:CE1231)+1,""),"")</f>
        <v/>
      </c>
      <c r="CF1232" s="80" t="str">
        <f>IF(AND(D1232="proMX",BD1232=1),IF(OR(BF1232="Draft",BF1232="Submitted",BF1232="Returned",BF1232="Recall Requested"),MAX($CF$5:CF1231)+1,""),"")</f>
        <v/>
      </c>
      <c r="CG1232" s="80">
        <f>IF(BD1232=0,0,IF(D1232="Malcolm",1,MATCH(BF1232,{"Draft","Submitted","Approved","Returned","Recall Requested","Cancelled"},0)+1))</f>
        <v>0</v>
      </c>
      <c r="CH1232" s="80">
        <f>IF(AND(BF1232="Submitted",ISNUMBER(V1232)),IF(V1232&gt;CFG_MAXD,1,0),0)</f>
        <v>0</v>
      </c>
    </row>
    <row r="1233">
      <c r="A1233" s="71" t="str">
        <f>IF(Y1233=1,ROW()-5,"")</f>
        <v/>
      </c>
      <c r="B1233" s="72" t="n"/>
      <c r="C1233" s="71" t="str">
        <f>IF(ISNUMBER(B1233),CHOOSE(WEEKDAY(B1233,2),"Lun","Mar","Mié","Jue","Vie","Sáb","Dom"),"")</f>
        <v/>
      </c>
      <c r="D1233" s="73" t="n"/>
      <c r="E1233" s="74" t="n"/>
      <c r="F1233" s="74" t="n"/>
      <c r="G1233" s="74" t="n"/>
      <c r="H1233" s="75" t="n"/>
      <c r="I1233" s="75" t="n"/>
      <c r="J1233" s="76" t="n"/>
      <c r="K1233" s="77" t="str">
        <f>IF(AB1233=1,ROUND(AG1233/60,4),"")</f>
        <v/>
      </c>
      <c r="L1233" s="77" t="str">
        <f>IF(BD1233=1,ROUND(AP1233/60,4),"")</f>
        <v/>
      </c>
      <c r="M1233" s="77" t="str">
        <f>IF(BD1233=1,ROUND(AQ1233/60,4),"")</f>
        <v/>
      </c>
      <c r="N1233" s="71" t="str">
        <f>IF(AND(D1233="proMX",AB1233=1),ROUND(AG1233/CFG_BLK,2),"")</f>
        <v/>
      </c>
      <c r="O1233" s="77" t="str">
        <f>IF(D1233="proMX",IF(BD1233=1,ROUND(AG1233/60,4),0),"")</f>
        <v/>
      </c>
      <c r="P1233" s="78" t="str">
        <f>IF(Y1233=0,"",IF(BD1233=1,"OK",IF(D1233="proMX","Revisar bloques: ","Revisar: ")&amp;BC1233))</f>
        <v/>
      </c>
      <c r="Q1233" s="78" t="str">
        <f>IF(NOT(ISNUMBER(B1233)),"",IF(COUNTIFS(FER_F,INT(B1233))&gt;0,"Feriado"&amp;IF(AH1233=1," (laborable)"," (no laborable)"),IF(AH1233=1,"Laborable",IF(WEEKDAY(B1233,2)&gt;5,"Fin de semana","No laborable"))))</f>
        <v/>
      </c>
      <c r="R1233" s="73" t="n"/>
      <c r="S1233" s="72" t="n"/>
      <c r="T1233" s="72" t="n"/>
      <c r="U1233" s="74" t="n"/>
      <c r="V1233" s="79" t="str">
        <f>IF(AND(D1233="proMX",OR(R1233="Submitted",R1233="Recall Requested"),ISNUMBER(S1233)),CFG_TODAY-INT(S1233),"")</f>
        <v/>
      </c>
      <c r="W1233" s="78" t="str">
        <f>IF(BD1233=0,"",IF(BA1233&gt;0,"⚠ Se superpone con un registro de la otra empresa",IF(D1233="Malcolm",IF(COUNTA(R1233,S1233,T1233)&gt;0,"Estado/fechas proMX se ignoran en Malcolm",""),IF(BF1233="Cancelled","Cancelado: excluido de totales",IF(R1233="","Sin estado: se trata como Draft",IF(BF1233="Submitted",IF(ISNUMBER(V1233),IF(V1233&gt;CFG_MAXD,"⚠ "&amp;V1233&amp;" días en Submitted (máx. "&amp;CFG_MAXD&amp;")",""),"Falta fecha de envío"),IF(BF1233="Returned","⚠ Devuelto: corregir y reenviar",IF(BF1233="Recall Requested","Retirada solicitada: pendiente",IF(AND(BF1233="Approved",NOT(ISNUMBER(T1233))),"Falta fecha de aprobación",IF(AND(ISNUMBER(S1233),ISNUMBER(T1233),T1233&lt;S1233),"Aprobación anterior al envío","")))))))))</f>
        <v/>
      </c>
      <c r="Y1233" s="80">
        <f>IF(COUNTA(B1233,D1233,E1233,F1233,G1233,H1233,I1233,J1233,R1233,S1233,T1233)&gt;0,1,0)</f>
        <v>0</v>
      </c>
      <c r="Z1233" s="80" t="str">
        <f>IF(AND(ISNUMBER(H1233),H1233&gt;=0,H1233&lt;1),ROUND(H1233*1440,0),"")</f>
        <v/>
      </c>
      <c r="AA1233" s="80" t="str">
        <f>IF(AND(ISNUMBER(I1233),I1233&gt;=0,I1233&lt;1),ROUND(I1233*1440,0),"")</f>
        <v/>
      </c>
      <c r="AB1233" s="80">
        <f>IF(AND(ISNUMBER(B1233),D1233&lt;&gt;"",ISNUMBER(Z1233),ISNUMBER(AA1233)),IF(Z1233=AA1233,0,1),0)</f>
        <v>0</v>
      </c>
      <c r="AC1233" s="80">
        <f>IF(AB1233=1,IF(AA1233&lt;Z1233,1,0),0)</f>
        <v>0</v>
      </c>
      <c r="AD1233" s="80">
        <f>IF(AB1233=1,IF(AC1233=1,1440-Z1233+AA1233,AA1233-Z1233),0)</f>
        <v>0</v>
      </c>
      <c r="AE1233" s="80">
        <f>IF(J1233="",0,IF(ISNUMBER(J1233),J1233,-1))</f>
        <v>0</v>
      </c>
      <c r="AF1233" s="80">
        <f>MIN(MAX(0,AE1233),AD1233)</f>
        <v>0</v>
      </c>
      <c r="AG1233" s="80">
        <f>MAX(0,AD1233-MAX(0,AE1233))</f>
        <v>0</v>
      </c>
      <c r="AH1233" s="80">
        <f>IF(ISNUMBER(B1233),IF(AND(INDEX(CFG_WDAYS,WEEKDAY(INT(B1233),2))="Sí",IF(D1233="proMX",COUNTIFS(FER_F,INT(B1233),FER_NLP,"Sí"),COUNTIFS(FER_F,INT(B1233),FER_NLM,"Sí"))=0),1,0),0)</f>
        <v>0</v>
      </c>
      <c r="AI1233" s="80">
        <f>IF(AC1233=1,IF(AND(INDEX(CFG_WDAYS,WEEKDAY(INT(B1233)+1,2))="Sí",IF(D1233="proMX",COUNTIFS(FER_F,INT(B1233)+1,FER_NLP,"Sí"),COUNTIFS(FER_F,INT(B1233)+1,FER_NLM,"Sí"))=0),1,0),0)</f>
        <v>0</v>
      </c>
      <c r="AJ1233" s="80">
        <f>IF(AC1233=1,1440-Z1233,AD1233)</f>
        <v>0</v>
      </c>
      <c r="AK1233" s="80">
        <f>IF(AND(AB1233=1,AH1233=1),MAX(0,MIN(IF(AC1233=1,1440,AA1233),CFG_WEM)-MAX(Z1233,CFG_WSM)),0)</f>
        <v>0</v>
      </c>
      <c r="AL1233" s="80">
        <f>IF(AND(AC1233=1,AI1233=1),MAX(0,MIN(AA1233,CFG_WEM)-CFG_WSM),0)</f>
        <v>0</v>
      </c>
      <c r="AM1233" s="80">
        <f>AK1233+AL1233</f>
        <v>0</v>
      </c>
      <c r="AN1233" s="80">
        <f>IF(CFG_BRK="Proporcional",IF(AD1233=0,0,AF1233*AM1233/AD1233),IF(CFG_BRK="Extras primero",MIN(AM1233,MAX(0,AF1233-(AD1233-AM1233))),MIN(AF1233,AM1233)))</f>
        <v>0</v>
      </c>
      <c r="AO1233" s="80">
        <f>AF1233-AN1233</f>
        <v>0</v>
      </c>
      <c r="AP1233" s="80">
        <f>AM1233-AN1233</f>
        <v>0</v>
      </c>
      <c r="AQ1233" s="80">
        <f>AD1233-AM1233-AO1233</f>
        <v>0</v>
      </c>
      <c r="AR1233" s="80">
        <f>IF(AM1233=0,0,AK1233-AN1233*AK1233/AM1233)</f>
        <v>0</v>
      </c>
      <c r="AS1233" s="80">
        <f>IF(AD1233-AM1233=0,0,(AJ1233-AK1233)-AO1233*(AJ1233-AK1233)/(AD1233-AM1233))</f>
        <v>0</v>
      </c>
      <c r="AT1233" s="80" t="str">
        <f>IF(AC1233=1,INT(B1233)+1,"")</f>
        <v/>
      </c>
      <c r="AU1233" s="80">
        <f>IF(AND(D1233="proMX",R1233="Cancelled"),0,1)</f>
        <v>1</v>
      </c>
      <c r="AV1233" s="80">
        <f>IF(AND(AB1233=1,AU1233=1),IF(COUNTIFS($D$5:D1232,D1233,$B$5:B1232,B1233,$Z$5:Z1232,Z1233,$AA$5:AA1232,AA1233,$F$5:F1232,F1233&amp;"",$AU$5:AU1232,1)&gt;0,1,0),0)</f>
        <v>0</v>
      </c>
      <c r="AW1233" s="80" t="str">
        <f>IF(AB1233=1,INT(B1233)*1440+Z1233,"")</f>
        <v/>
      </c>
      <c r="AX1233" s="80" t="str">
        <f>IF(AB1233=1,AW1233+AD1233,"")</f>
        <v/>
      </c>
      <c r="AY1233" s="80">
        <f>IF(AND(AB1233=1,AV1233=0,AU1233=1),1,0)</f>
        <v>0</v>
      </c>
      <c r="AZ1233" s="80">
        <f>IF(AY1233=1,COUNTIFS(R_Emp,D1233,R_SAbs,"&lt;"&amp;AX1233,R_EAbs,"&gt;"&amp;AW1233,R_OKey,1)-1,0)</f>
        <v>0</v>
      </c>
      <c r="BA1233" s="80">
        <f>IF(AY1233=1,COUNTIFS(R_Emp,"&lt;&gt;"&amp;D1233,R_SAbs,"&lt;"&amp;AX1233,R_EAbs,"&gt;"&amp;AW1233,R_OKey,1),0)</f>
        <v>0</v>
      </c>
      <c r="BB1233" s="80">
        <f>IF(AND(AB1233=1,D1233="proMX"),IF(AND(MOD(Z1233,CFG_BLK)=0,MOD(AA1233,CFG_BLK)=0,MOD(AG1233,CFG_BLK)=0,AG1233&gt;0),1,0),1)</f>
        <v>1</v>
      </c>
      <c r="BC1233" s="80" t="str">
        <f>IF(Y1233=0,"",IF(NOT(ISNUMBER(B1233)),"Falta fecha o fecha inválida",IF(D1233="","Falta empresa",IF(AND(D1233&lt;&gt;"Malcolm",D1233&lt;&gt;"proMX"),"Empresa inválida",IF(OR(INT(B1233)&lt;CFG_PSTART,INT(B1233)&gt;CFG_PEND),"Fecha fuera del período",IF(OR(NOT(ISNUMBER(Z1233)),NOT(ISNUMBER(AA1233))),"Falta hora inicio/fin o formato inválido",IF(AB1233=0,"Hora inicio = hora fin",IF(AE1233&lt;0,"Descanso inválido",IF(AE1233&gt;=AD1233,"Descanso ≥ duración",IF(AV1233=1,"Registro duplicado",IF(AZ1233&gt;0,"Se superpone con otro registro "&amp;D1233,IF(BB1233=0,"inicio, fin y duración neta deben ser múltiplos de "&amp;CFG_BLK&amp;" min",""))))))))))))</f>
        <v/>
      </c>
      <c r="BD1233" s="80">
        <f>IF(AND(Y1233=1,BC1233=""),1,0)</f>
        <v>0</v>
      </c>
      <c r="BE1233" s="80">
        <f>IF(AND(BD1233=1,AU1233=1),1,0)</f>
        <v>0</v>
      </c>
      <c r="BF1233" s="80" t="str">
        <f>IF(AND(D1233="proMX",BD1233=1),IF(R1233="","Draft",R1233),"")</f>
        <v/>
      </c>
      <c r="BG1233" s="80">
        <f>IF(BD1233=1,ROUND(AG1233/60,6),0)</f>
        <v>0</v>
      </c>
      <c r="BH1233" s="80">
        <f>IF(BE1233=1,ROUND(AG1233/60,6),0)</f>
        <v>0</v>
      </c>
      <c r="BI1233" s="80">
        <f>IF(BE1233=1,ROUND(AP1233/60,6),0)</f>
        <v>0</v>
      </c>
      <c r="BJ1233" s="80">
        <f>IF(BE1233=1,ROUND(AQ1233/60,6),0)</f>
        <v>0</v>
      </c>
      <c r="BK1233" s="80">
        <f>IF(BE1233=1,ROUND((AR1233+AS1233)/60,6),0)</f>
        <v>0</v>
      </c>
      <c r="BL1233" s="80">
        <f>ROUND(BH1233-BK1233,6)</f>
        <v>0</v>
      </c>
      <c r="BM1233" s="80">
        <f>IF(BE1233=1,ROUND(AR1233/60,6),0)</f>
        <v>0</v>
      </c>
      <c r="BN1233" s="80">
        <f>ROUND(BI1233-BM1233,6)</f>
        <v>0</v>
      </c>
      <c r="BO1233" s="80">
        <f>IF(BE1233=1,ROUND(AS1233/60,6),0)</f>
        <v>0</v>
      </c>
      <c r="BP1233" s="80">
        <f>ROUND(BJ1233-BO1233,6)</f>
        <v>0</v>
      </c>
      <c r="BQ1233" s="80">
        <f>IF(BE1233=1,AW1233,0)</f>
        <v>0</v>
      </c>
      <c r="BR1233" s="80">
        <f>IF(BE1233=1,AX1233,0)</f>
        <v>0</v>
      </c>
      <c r="BS1233" s="80">
        <f>IF(AND(BE1233=1,D1233="Malcolm",BA1233&gt;0),MIN(BH1233,SUMPRODUCT((R_Emp="proMX")*(R_EN&gt;0)*((R_EN-(R_EN&gt;BR1233)*(R_EN-BR1233))&gt;(R_SN+(R_SN&lt;BQ1233)*(BQ1233-R_SN)))*((R_EN-(R_EN&gt;BR1233)*(R_EN-BR1233))-(R_SN+(R_SN&lt;BQ1233)*(BQ1233-R_SN))))/60),0)</f>
        <v>0</v>
      </c>
      <c r="BT1233" s="80">
        <f>IF(AND(BE1233=1,D1233="proMX"),ROUND(BI1233*CFG_RATE+BJ1233*CFG_OTRATE,6),0)</f>
        <v>0</v>
      </c>
      <c r="BU1233" s="80">
        <f>IF(AND(BD1233=1,D1233="proMX"),ROUND(AG1233/CFG_BLK,6),0)</f>
        <v>0</v>
      </c>
      <c r="BV1233" s="80" t="str">
        <f>IF(BF1233="Approved",IF(ISNUMBER(T1233),INT(T1233),INT(B1233)),"")</f>
        <v/>
      </c>
      <c r="BW1233" s="80">
        <f>IF(ISNUMBER(B1233),IF(DB_MON="Todos",1,IF(AND(INT(B1233)&gt;=DB_MS,INT(B1233)&lt;=DB_ME),1,0)),0)</f>
        <v>0</v>
      </c>
      <c r="BX1233" s="80">
        <f>IF(DB_PROJ="Todos",1,IF(E1233&amp;""=DB_PROJ&amp;"",1,0))</f>
        <v>1</v>
      </c>
      <c r="BY1233" s="80">
        <f>BW1233*BX1233</f>
        <v>0</v>
      </c>
      <c r="BZ1233" s="80" t="str">
        <f>IF(Y1233=1,F1233&amp;IF(AND(F1233&amp;""&lt;&gt;"",E1233&amp;""&lt;&gt;"")," · ","")&amp;E1233,"")</f>
        <v/>
      </c>
      <c r="CA1233" s="80" t="str">
        <f>IF(AND(BD1233=1,E1233&amp;""&lt;&gt;""),IF(COUNTIFS($E$5:E1232,E1233,$BD$5:BD1232,1)=0,MAX($CA$5:CA1232)+1,""),"")</f>
        <v/>
      </c>
      <c r="CB1233" s="80" t="str">
        <f>IF(AND(BE1233=1,D1233="Malcolm",E1233&amp;""&lt;&gt;""),IF(COUNTIFS($D$5:D1232,"Malcolm",$E$5:E1232,E1233,$BE$5:BE1232,1)=0,MAX($CB$5:CB1232)+1,""),"")</f>
        <v/>
      </c>
      <c r="CC1233" s="80" t="str">
        <f>IF(AND(BD1233=1,D1233="proMX",E1233&amp;""&lt;&gt;""),IF(COUNTIFS($D$5:D1232,"proMX",$E$5:E1232,E1233,$BD$5:BD1232,1)=0,MAX($CC$5:CC1232)+1,""),"")</f>
        <v/>
      </c>
      <c r="CD1233" s="80" t="str">
        <f>IF(AND(BE1233=1,D1233="Malcolm",F1233&amp;""&lt;&gt;""),IF(COUNTIFS($D$5:D1232,"Malcolm",$F$5:F1232,F1233,$BE$5:BE1232,1)=0,MAX($CD$5:CD1232)+1,""),"")</f>
        <v/>
      </c>
      <c r="CE1233" s="80" t="str">
        <f>IF(AND(BD1233=1,D1233="proMX",F1233&amp;""&lt;&gt;""),IF(COUNTIFS($D$5:D1232,"proMX",$F$5:F1232,F1233,$BD$5:BD1232,1)=0,MAX($CE$5:CE1232)+1,""),"")</f>
        <v/>
      </c>
      <c r="CF1233" s="80" t="str">
        <f>IF(AND(D1233="proMX",BD1233=1),IF(OR(BF1233="Draft",BF1233="Submitted",BF1233="Returned",BF1233="Recall Requested"),MAX($CF$5:CF1232)+1,""),"")</f>
        <v/>
      </c>
      <c r="CG1233" s="80">
        <f>IF(BD1233=0,0,IF(D1233="Malcolm",1,MATCH(BF1233,{"Draft","Submitted","Approved","Returned","Recall Requested","Cancelled"},0)+1))</f>
        <v>0</v>
      </c>
      <c r="CH1233" s="80">
        <f>IF(AND(BF1233="Submitted",ISNUMBER(V1233)),IF(V1233&gt;CFG_MAXD,1,0),0)</f>
        <v>0</v>
      </c>
    </row>
    <row r="1234">
      <c r="A1234" s="71" t="str">
        <f>IF(Y1234=1,ROW()-5,"")</f>
        <v/>
      </c>
      <c r="B1234" s="72" t="n"/>
      <c r="C1234" s="71" t="str">
        <f>IF(ISNUMBER(B1234),CHOOSE(WEEKDAY(B1234,2),"Lun","Mar","Mié","Jue","Vie","Sáb","Dom"),"")</f>
        <v/>
      </c>
      <c r="D1234" s="73" t="n"/>
      <c r="E1234" s="74" t="n"/>
      <c r="F1234" s="74" t="n"/>
      <c r="G1234" s="74" t="n"/>
      <c r="H1234" s="75" t="n"/>
      <c r="I1234" s="75" t="n"/>
      <c r="J1234" s="76" t="n"/>
      <c r="K1234" s="77" t="str">
        <f>IF(AB1234=1,ROUND(AG1234/60,4),"")</f>
        <v/>
      </c>
      <c r="L1234" s="77" t="str">
        <f>IF(BD1234=1,ROUND(AP1234/60,4),"")</f>
        <v/>
      </c>
      <c r="M1234" s="77" t="str">
        <f>IF(BD1234=1,ROUND(AQ1234/60,4),"")</f>
        <v/>
      </c>
      <c r="N1234" s="71" t="str">
        <f>IF(AND(D1234="proMX",AB1234=1),ROUND(AG1234/CFG_BLK,2),"")</f>
        <v/>
      </c>
      <c r="O1234" s="77" t="str">
        <f>IF(D1234="proMX",IF(BD1234=1,ROUND(AG1234/60,4),0),"")</f>
        <v/>
      </c>
      <c r="P1234" s="78" t="str">
        <f>IF(Y1234=0,"",IF(BD1234=1,"OK",IF(D1234="proMX","Revisar bloques: ","Revisar: ")&amp;BC1234))</f>
        <v/>
      </c>
      <c r="Q1234" s="78" t="str">
        <f>IF(NOT(ISNUMBER(B1234)),"",IF(COUNTIFS(FER_F,INT(B1234))&gt;0,"Feriado"&amp;IF(AH1234=1," (laborable)"," (no laborable)"),IF(AH1234=1,"Laborable",IF(WEEKDAY(B1234,2)&gt;5,"Fin de semana","No laborable"))))</f>
        <v/>
      </c>
      <c r="R1234" s="73" t="n"/>
      <c r="S1234" s="72" t="n"/>
      <c r="T1234" s="72" t="n"/>
      <c r="U1234" s="74" t="n"/>
      <c r="V1234" s="79" t="str">
        <f>IF(AND(D1234="proMX",OR(R1234="Submitted",R1234="Recall Requested"),ISNUMBER(S1234)),CFG_TODAY-INT(S1234),"")</f>
        <v/>
      </c>
      <c r="W1234" s="78" t="str">
        <f>IF(BD1234=0,"",IF(BA1234&gt;0,"⚠ Se superpone con un registro de la otra empresa",IF(D1234="Malcolm",IF(COUNTA(R1234,S1234,T1234)&gt;0,"Estado/fechas proMX se ignoran en Malcolm",""),IF(BF1234="Cancelled","Cancelado: excluido de totales",IF(R1234="","Sin estado: se trata como Draft",IF(BF1234="Submitted",IF(ISNUMBER(V1234),IF(V1234&gt;CFG_MAXD,"⚠ "&amp;V1234&amp;" días en Submitted (máx. "&amp;CFG_MAXD&amp;")",""),"Falta fecha de envío"),IF(BF1234="Returned","⚠ Devuelto: corregir y reenviar",IF(BF1234="Recall Requested","Retirada solicitada: pendiente",IF(AND(BF1234="Approved",NOT(ISNUMBER(T1234))),"Falta fecha de aprobación",IF(AND(ISNUMBER(S1234),ISNUMBER(T1234),T1234&lt;S1234),"Aprobación anterior al envío","")))))))))</f>
        <v/>
      </c>
      <c r="Y1234" s="80">
        <f>IF(COUNTA(B1234,D1234,E1234,F1234,G1234,H1234,I1234,J1234,R1234,S1234,T1234)&gt;0,1,0)</f>
        <v>0</v>
      </c>
      <c r="Z1234" s="80" t="str">
        <f>IF(AND(ISNUMBER(H1234),H1234&gt;=0,H1234&lt;1),ROUND(H1234*1440,0),"")</f>
        <v/>
      </c>
      <c r="AA1234" s="80" t="str">
        <f>IF(AND(ISNUMBER(I1234),I1234&gt;=0,I1234&lt;1),ROUND(I1234*1440,0),"")</f>
        <v/>
      </c>
      <c r="AB1234" s="80">
        <f>IF(AND(ISNUMBER(B1234),D1234&lt;&gt;"",ISNUMBER(Z1234),ISNUMBER(AA1234)),IF(Z1234=AA1234,0,1),0)</f>
        <v>0</v>
      </c>
      <c r="AC1234" s="80">
        <f>IF(AB1234=1,IF(AA1234&lt;Z1234,1,0),0)</f>
        <v>0</v>
      </c>
      <c r="AD1234" s="80">
        <f>IF(AB1234=1,IF(AC1234=1,1440-Z1234+AA1234,AA1234-Z1234),0)</f>
        <v>0</v>
      </c>
      <c r="AE1234" s="80">
        <f>IF(J1234="",0,IF(ISNUMBER(J1234),J1234,-1))</f>
        <v>0</v>
      </c>
      <c r="AF1234" s="80">
        <f>MIN(MAX(0,AE1234),AD1234)</f>
        <v>0</v>
      </c>
      <c r="AG1234" s="80">
        <f>MAX(0,AD1234-MAX(0,AE1234))</f>
        <v>0</v>
      </c>
      <c r="AH1234" s="80">
        <f>IF(ISNUMBER(B1234),IF(AND(INDEX(CFG_WDAYS,WEEKDAY(INT(B1234),2))="Sí",IF(D1234="proMX",COUNTIFS(FER_F,INT(B1234),FER_NLP,"Sí"),COUNTIFS(FER_F,INT(B1234),FER_NLM,"Sí"))=0),1,0),0)</f>
        <v>0</v>
      </c>
      <c r="AI1234" s="80">
        <f>IF(AC1234=1,IF(AND(INDEX(CFG_WDAYS,WEEKDAY(INT(B1234)+1,2))="Sí",IF(D1234="proMX",COUNTIFS(FER_F,INT(B1234)+1,FER_NLP,"Sí"),COUNTIFS(FER_F,INT(B1234)+1,FER_NLM,"Sí"))=0),1,0),0)</f>
        <v>0</v>
      </c>
      <c r="AJ1234" s="80">
        <f>IF(AC1234=1,1440-Z1234,AD1234)</f>
        <v>0</v>
      </c>
      <c r="AK1234" s="80">
        <f>IF(AND(AB1234=1,AH1234=1),MAX(0,MIN(IF(AC1234=1,1440,AA1234),CFG_WEM)-MAX(Z1234,CFG_WSM)),0)</f>
        <v>0</v>
      </c>
      <c r="AL1234" s="80">
        <f>IF(AND(AC1234=1,AI1234=1),MAX(0,MIN(AA1234,CFG_WEM)-CFG_WSM),0)</f>
        <v>0</v>
      </c>
      <c r="AM1234" s="80">
        <f>AK1234+AL1234</f>
        <v>0</v>
      </c>
      <c r="AN1234" s="80">
        <f>IF(CFG_BRK="Proporcional",IF(AD1234=0,0,AF1234*AM1234/AD1234),IF(CFG_BRK="Extras primero",MIN(AM1234,MAX(0,AF1234-(AD1234-AM1234))),MIN(AF1234,AM1234)))</f>
        <v>0</v>
      </c>
      <c r="AO1234" s="80">
        <f>AF1234-AN1234</f>
        <v>0</v>
      </c>
      <c r="AP1234" s="80">
        <f>AM1234-AN1234</f>
        <v>0</v>
      </c>
      <c r="AQ1234" s="80">
        <f>AD1234-AM1234-AO1234</f>
        <v>0</v>
      </c>
      <c r="AR1234" s="80">
        <f>IF(AM1234=0,0,AK1234-AN1234*AK1234/AM1234)</f>
        <v>0</v>
      </c>
      <c r="AS1234" s="80">
        <f>IF(AD1234-AM1234=0,0,(AJ1234-AK1234)-AO1234*(AJ1234-AK1234)/(AD1234-AM1234))</f>
        <v>0</v>
      </c>
      <c r="AT1234" s="80" t="str">
        <f>IF(AC1234=1,INT(B1234)+1,"")</f>
        <v/>
      </c>
      <c r="AU1234" s="80">
        <f>IF(AND(D1234="proMX",R1234="Cancelled"),0,1)</f>
        <v>1</v>
      </c>
      <c r="AV1234" s="80">
        <f>IF(AND(AB1234=1,AU1234=1),IF(COUNTIFS($D$5:D1233,D1234,$B$5:B1233,B1234,$Z$5:Z1233,Z1234,$AA$5:AA1233,AA1234,$F$5:F1233,F1234&amp;"",$AU$5:AU1233,1)&gt;0,1,0),0)</f>
        <v>0</v>
      </c>
      <c r="AW1234" s="80" t="str">
        <f>IF(AB1234=1,INT(B1234)*1440+Z1234,"")</f>
        <v/>
      </c>
      <c r="AX1234" s="80" t="str">
        <f>IF(AB1234=1,AW1234+AD1234,"")</f>
        <v/>
      </c>
      <c r="AY1234" s="80">
        <f>IF(AND(AB1234=1,AV1234=0,AU1234=1),1,0)</f>
        <v>0</v>
      </c>
      <c r="AZ1234" s="80">
        <f>IF(AY1234=1,COUNTIFS(R_Emp,D1234,R_SAbs,"&lt;"&amp;AX1234,R_EAbs,"&gt;"&amp;AW1234,R_OKey,1)-1,0)</f>
        <v>0</v>
      </c>
      <c r="BA1234" s="80">
        <f>IF(AY1234=1,COUNTIFS(R_Emp,"&lt;&gt;"&amp;D1234,R_SAbs,"&lt;"&amp;AX1234,R_EAbs,"&gt;"&amp;AW1234,R_OKey,1),0)</f>
        <v>0</v>
      </c>
      <c r="BB1234" s="80">
        <f>IF(AND(AB1234=1,D1234="proMX"),IF(AND(MOD(Z1234,CFG_BLK)=0,MOD(AA1234,CFG_BLK)=0,MOD(AG1234,CFG_BLK)=0,AG1234&gt;0),1,0),1)</f>
        <v>1</v>
      </c>
      <c r="BC1234" s="80" t="str">
        <f>IF(Y1234=0,"",IF(NOT(ISNUMBER(B1234)),"Falta fecha o fecha inválida",IF(D1234="","Falta empresa",IF(AND(D1234&lt;&gt;"Malcolm",D1234&lt;&gt;"proMX"),"Empresa inválida",IF(OR(INT(B1234)&lt;CFG_PSTART,INT(B1234)&gt;CFG_PEND),"Fecha fuera del período",IF(OR(NOT(ISNUMBER(Z1234)),NOT(ISNUMBER(AA1234))),"Falta hora inicio/fin o formato inválido",IF(AB1234=0,"Hora inicio = hora fin",IF(AE1234&lt;0,"Descanso inválido",IF(AE1234&gt;=AD1234,"Descanso ≥ duración",IF(AV1234=1,"Registro duplicado",IF(AZ1234&gt;0,"Se superpone con otro registro "&amp;D1234,IF(BB1234=0,"inicio, fin y duración neta deben ser múltiplos de "&amp;CFG_BLK&amp;" min",""))))))))))))</f>
        <v/>
      </c>
      <c r="BD1234" s="80">
        <f>IF(AND(Y1234=1,BC1234=""),1,0)</f>
        <v>0</v>
      </c>
      <c r="BE1234" s="80">
        <f>IF(AND(BD1234=1,AU1234=1),1,0)</f>
        <v>0</v>
      </c>
      <c r="BF1234" s="80" t="str">
        <f>IF(AND(D1234="proMX",BD1234=1),IF(R1234="","Draft",R1234),"")</f>
        <v/>
      </c>
      <c r="BG1234" s="80">
        <f>IF(BD1234=1,ROUND(AG1234/60,6),0)</f>
        <v>0</v>
      </c>
      <c r="BH1234" s="80">
        <f>IF(BE1234=1,ROUND(AG1234/60,6),0)</f>
        <v>0</v>
      </c>
      <c r="BI1234" s="80">
        <f>IF(BE1234=1,ROUND(AP1234/60,6),0)</f>
        <v>0</v>
      </c>
      <c r="BJ1234" s="80">
        <f>IF(BE1234=1,ROUND(AQ1234/60,6),0)</f>
        <v>0</v>
      </c>
      <c r="BK1234" s="80">
        <f>IF(BE1234=1,ROUND((AR1234+AS1234)/60,6),0)</f>
        <v>0</v>
      </c>
      <c r="BL1234" s="80">
        <f>ROUND(BH1234-BK1234,6)</f>
        <v>0</v>
      </c>
      <c r="BM1234" s="80">
        <f>IF(BE1234=1,ROUND(AR1234/60,6),0)</f>
        <v>0</v>
      </c>
      <c r="BN1234" s="80">
        <f>ROUND(BI1234-BM1234,6)</f>
        <v>0</v>
      </c>
      <c r="BO1234" s="80">
        <f>IF(BE1234=1,ROUND(AS1234/60,6),0)</f>
        <v>0</v>
      </c>
      <c r="BP1234" s="80">
        <f>ROUND(BJ1234-BO1234,6)</f>
        <v>0</v>
      </c>
      <c r="BQ1234" s="80">
        <f>IF(BE1234=1,AW1234,0)</f>
        <v>0</v>
      </c>
      <c r="BR1234" s="80">
        <f>IF(BE1234=1,AX1234,0)</f>
        <v>0</v>
      </c>
      <c r="BS1234" s="80">
        <f>IF(AND(BE1234=1,D1234="Malcolm",BA1234&gt;0),MIN(BH1234,SUMPRODUCT((R_Emp="proMX")*(R_EN&gt;0)*((R_EN-(R_EN&gt;BR1234)*(R_EN-BR1234))&gt;(R_SN+(R_SN&lt;BQ1234)*(BQ1234-R_SN)))*((R_EN-(R_EN&gt;BR1234)*(R_EN-BR1234))-(R_SN+(R_SN&lt;BQ1234)*(BQ1234-R_SN))))/60),0)</f>
        <v>0</v>
      </c>
      <c r="BT1234" s="80">
        <f>IF(AND(BE1234=1,D1234="proMX"),ROUND(BI1234*CFG_RATE+BJ1234*CFG_OTRATE,6),0)</f>
        <v>0</v>
      </c>
      <c r="BU1234" s="80">
        <f>IF(AND(BD1234=1,D1234="proMX"),ROUND(AG1234/CFG_BLK,6),0)</f>
        <v>0</v>
      </c>
      <c r="BV1234" s="80" t="str">
        <f>IF(BF1234="Approved",IF(ISNUMBER(T1234),INT(T1234),INT(B1234)),"")</f>
        <v/>
      </c>
      <c r="BW1234" s="80">
        <f>IF(ISNUMBER(B1234),IF(DB_MON="Todos",1,IF(AND(INT(B1234)&gt;=DB_MS,INT(B1234)&lt;=DB_ME),1,0)),0)</f>
        <v>0</v>
      </c>
      <c r="BX1234" s="80">
        <f>IF(DB_PROJ="Todos",1,IF(E1234&amp;""=DB_PROJ&amp;"",1,0))</f>
        <v>1</v>
      </c>
      <c r="BY1234" s="80">
        <f>BW1234*BX1234</f>
        <v>0</v>
      </c>
      <c r="BZ1234" s="80" t="str">
        <f>IF(Y1234=1,F1234&amp;IF(AND(F1234&amp;""&lt;&gt;"",E1234&amp;""&lt;&gt;"")," · ","")&amp;E1234,"")</f>
        <v/>
      </c>
      <c r="CA1234" s="80" t="str">
        <f>IF(AND(BD1234=1,E1234&amp;""&lt;&gt;""),IF(COUNTIFS($E$5:E1233,E1234,$BD$5:BD1233,1)=0,MAX($CA$5:CA1233)+1,""),"")</f>
        <v/>
      </c>
      <c r="CB1234" s="80" t="str">
        <f>IF(AND(BE1234=1,D1234="Malcolm",E1234&amp;""&lt;&gt;""),IF(COUNTIFS($D$5:D1233,"Malcolm",$E$5:E1233,E1234,$BE$5:BE1233,1)=0,MAX($CB$5:CB1233)+1,""),"")</f>
        <v/>
      </c>
      <c r="CC1234" s="80" t="str">
        <f>IF(AND(BD1234=1,D1234="proMX",E1234&amp;""&lt;&gt;""),IF(COUNTIFS($D$5:D1233,"proMX",$E$5:E1233,E1234,$BD$5:BD1233,1)=0,MAX($CC$5:CC1233)+1,""),"")</f>
        <v/>
      </c>
      <c r="CD1234" s="80" t="str">
        <f>IF(AND(BE1234=1,D1234="Malcolm",F1234&amp;""&lt;&gt;""),IF(COUNTIFS($D$5:D1233,"Malcolm",$F$5:F1233,F1234,$BE$5:BE1233,1)=0,MAX($CD$5:CD1233)+1,""),"")</f>
        <v/>
      </c>
      <c r="CE1234" s="80" t="str">
        <f>IF(AND(BD1234=1,D1234="proMX",F1234&amp;""&lt;&gt;""),IF(COUNTIFS($D$5:D1233,"proMX",$F$5:F1233,F1234,$BD$5:BD1233,1)=0,MAX($CE$5:CE1233)+1,""),"")</f>
        <v/>
      </c>
      <c r="CF1234" s="80" t="str">
        <f>IF(AND(D1234="proMX",BD1234=1),IF(OR(BF1234="Draft",BF1234="Submitted",BF1234="Returned",BF1234="Recall Requested"),MAX($CF$5:CF1233)+1,""),"")</f>
        <v/>
      </c>
      <c r="CG1234" s="80">
        <f>IF(BD1234=0,0,IF(D1234="Malcolm",1,MATCH(BF1234,{"Draft","Submitted","Approved","Returned","Recall Requested","Cancelled"},0)+1))</f>
        <v>0</v>
      </c>
      <c r="CH1234" s="80">
        <f>IF(AND(BF1234="Submitted",ISNUMBER(V1234)),IF(V1234&gt;CFG_MAXD,1,0),0)</f>
        <v>0</v>
      </c>
    </row>
    <row r="1235">
      <c r="A1235" s="71" t="str">
        <f>IF(Y1235=1,ROW()-5,"")</f>
        <v/>
      </c>
      <c r="B1235" s="72" t="n"/>
      <c r="C1235" s="71" t="str">
        <f>IF(ISNUMBER(B1235),CHOOSE(WEEKDAY(B1235,2),"Lun","Mar","Mié","Jue","Vie","Sáb","Dom"),"")</f>
        <v/>
      </c>
      <c r="D1235" s="73" t="n"/>
      <c r="E1235" s="74" t="n"/>
      <c r="F1235" s="74" t="n"/>
      <c r="G1235" s="74" t="n"/>
      <c r="H1235" s="75" t="n"/>
      <c r="I1235" s="75" t="n"/>
      <c r="J1235" s="76" t="n"/>
      <c r="K1235" s="77" t="str">
        <f>IF(AB1235=1,ROUND(AG1235/60,4),"")</f>
        <v/>
      </c>
      <c r="L1235" s="77" t="str">
        <f>IF(BD1235=1,ROUND(AP1235/60,4),"")</f>
        <v/>
      </c>
      <c r="M1235" s="77" t="str">
        <f>IF(BD1235=1,ROUND(AQ1235/60,4),"")</f>
        <v/>
      </c>
      <c r="N1235" s="71" t="str">
        <f>IF(AND(D1235="proMX",AB1235=1),ROUND(AG1235/CFG_BLK,2),"")</f>
        <v/>
      </c>
      <c r="O1235" s="77" t="str">
        <f>IF(D1235="proMX",IF(BD1235=1,ROUND(AG1235/60,4),0),"")</f>
        <v/>
      </c>
      <c r="P1235" s="78" t="str">
        <f>IF(Y1235=0,"",IF(BD1235=1,"OK",IF(D1235="proMX","Revisar bloques: ","Revisar: ")&amp;BC1235))</f>
        <v/>
      </c>
      <c r="Q1235" s="78" t="str">
        <f>IF(NOT(ISNUMBER(B1235)),"",IF(COUNTIFS(FER_F,INT(B1235))&gt;0,"Feriado"&amp;IF(AH1235=1," (laborable)"," (no laborable)"),IF(AH1235=1,"Laborable",IF(WEEKDAY(B1235,2)&gt;5,"Fin de semana","No laborable"))))</f>
        <v/>
      </c>
      <c r="R1235" s="73" t="n"/>
      <c r="S1235" s="72" t="n"/>
      <c r="T1235" s="72" t="n"/>
      <c r="U1235" s="74" t="n"/>
      <c r="V1235" s="79" t="str">
        <f>IF(AND(D1235="proMX",OR(R1235="Submitted",R1235="Recall Requested"),ISNUMBER(S1235)),CFG_TODAY-INT(S1235),"")</f>
        <v/>
      </c>
      <c r="W1235" s="78" t="str">
        <f>IF(BD1235=0,"",IF(BA1235&gt;0,"⚠ Se superpone con un registro de la otra empresa",IF(D1235="Malcolm",IF(COUNTA(R1235,S1235,T1235)&gt;0,"Estado/fechas proMX se ignoran en Malcolm",""),IF(BF1235="Cancelled","Cancelado: excluido de totales",IF(R1235="","Sin estado: se trata como Draft",IF(BF1235="Submitted",IF(ISNUMBER(V1235),IF(V1235&gt;CFG_MAXD,"⚠ "&amp;V1235&amp;" días en Submitted (máx. "&amp;CFG_MAXD&amp;")",""),"Falta fecha de envío"),IF(BF1235="Returned","⚠ Devuelto: corregir y reenviar",IF(BF1235="Recall Requested","Retirada solicitada: pendiente",IF(AND(BF1235="Approved",NOT(ISNUMBER(T1235))),"Falta fecha de aprobación",IF(AND(ISNUMBER(S1235),ISNUMBER(T1235),T1235&lt;S1235),"Aprobación anterior al envío","")))))))))</f>
        <v/>
      </c>
      <c r="Y1235" s="80">
        <f>IF(COUNTA(B1235,D1235,E1235,F1235,G1235,H1235,I1235,J1235,R1235,S1235,T1235)&gt;0,1,0)</f>
        <v>0</v>
      </c>
      <c r="Z1235" s="80" t="str">
        <f>IF(AND(ISNUMBER(H1235),H1235&gt;=0,H1235&lt;1),ROUND(H1235*1440,0),"")</f>
        <v/>
      </c>
      <c r="AA1235" s="80" t="str">
        <f>IF(AND(ISNUMBER(I1235),I1235&gt;=0,I1235&lt;1),ROUND(I1235*1440,0),"")</f>
        <v/>
      </c>
      <c r="AB1235" s="80">
        <f>IF(AND(ISNUMBER(B1235),D1235&lt;&gt;"",ISNUMBER(Z1235),ISNUMBER(AA1235)),IF(Z1235=AA1235,0,1),0)</f>
        <v>0</v>
      </c>
      <c r="AC1235" s="80">
        <f>IF(AB1235=1,IF(AA1235&lt;Z1235,1,0),0)</f>
        <v>0</v>
      </c>
      <c r="AD1235" s="80">
        <f>IF(AB1235=1,IF(AC1235=1,1440-Z1235+AA1235,AA1235-Z1235),0)</f>
        <v>0</v>
      </c>
      <c r="AE1235" s="80">
        <f>IF(J1235="",0,IF(ISNUMBER(J1235),J1235,-1))</f>
        <v>0</v>
      </c>
      <c r="AF1235" s="80">
        <f>MIN(MAX(0,AE1235),AD1235)</f>
        <v>0</v>
      </c>
      <c r="AG1235" s="80">
        <f>MAX(0,AD1235-MAX(0,AE1235))</f>
        <v>0</v>
      </c>
      <c r="AH1235" s="80">
        <f>IF(ISNUMBER(B1235),IF(AND(INDEX(CFG_WDAYS,WEEKDAY(INT(B1235),2))="Sí",IF(D1235="proMX",COUNTIFS(FER_F,INT(B1235),FER_NLP,"Sí"),COUNTIFS(FER_F,INT(B1235),FER_NLM,"Sí"))=0),1,0),0)</f>
        <v>0</v>
      </c>
      <c r="AI1235" s="80">
        <f>IF(AC1235=1,IF(AND(INDEX(CFG_WDAYS,WEEKDAY(INT(B1235)+1,2))="Sí",IF(D1235="proMX",COUNTIFS(FER_F,INT(B1235)+1,FER_NLP,"Sí"),COUNTIFS(FER_F,INT(B1235)+1,FER_NLM,"Sí"))=0),1,0),0)</f>
        <v>0</v>
      </c>
      <c r="AJ1235" s="80">
        <f>IF(AC1235=1,1440-Z1235,AD1235)</f>
        <v>0</v>
      </c>
      <c r="AK1235" s="80">
        <f>IF(AND(AB1235=1,AH1235=1),MAX(0,MIN(IF(AC1235=1,1440,AA1235),CFG_WEM)-MAX(Z1235,CFG_WSM)),0)</f>
        <v>0</v>
      </c>
      <c r="AL1235" s="80">
        <f>IF(AND(AC1235=1,AI1235=1),MAX(0,MIN(AA1235,CFG_WEM)-CFG_WSM),0)</f>
        <v>0</v>
      </c>
      <c r="AM1235" s="80">
        <f>AK1235+AL1235</f>
        <v>0</v>
      </c>
      <c r="AN1235" s="80">
        <f>IF(CFG_BRK="Proporcional",IF(AD1235=0,0,AF1235*AM1235/AD1235),IF(CFG_BRK="Extras primero",MIN(AM1235,MAX(0,AF1235-(AD1235-AM1235))),MIN(AF1235,AM1235)))</f>
        <v>0</v>
      </c>
      <c r="AO1235" s="80">
        <f>AF1235-AN1235</f>
        <v>0</v>
      </c>
      <c r="AP1235" s="80">
        <f>AM1235-AN1235</f>
        <v>0</v>
      </c>
      <c r="AQ1235" s="80">
        <f>AD1235-AM1235-AO1235</f>
        <v>0</v>
      </c>
      <c r="AR1235" s="80">
        <f>IF(AM1235=0,0,AK1235-AN1235*AK1235/AM1235)</f>
        <v>0</v>
      </c>
      <c r="AS1235" s="80">
        <f>IF(AD1235-AM1235=0,0,(AJ1235-AK1235)-AO1235*(AJ1235-AK1235)/(AD1235-AM1235))</f>
        <v>0</v>
      </c>
      <c r="AT1235" s="80" t="str">
        <f>IF(AC1235=1,INT(B1235)+1,"")</f>
        <v/>
      </c>
      <c r="AU1235" s="80">
        <f>IF(AND(D1235="proMX",R1235="Cancelled"),0,1)</f>
        <v>1</v>
      </c>
      <c r="AV1235" s="80">
        <f>IF(AND(AB1235=1,AU1235=1),IF(COUNTIFS($D$5:D1234,D1235,$B$5:B1234,B1235,$Z$5:Z1234,Z1235,$AA$5:AA1234,AA1235,$F$5:F1234,F1235&amp;"",$AU$5:AU1234,1)&gt;0,1,0),0)</f>
        <v>0</v>
      </c>
      <c r="AW1235" s="80" t="str">
        <f>IF(AB1235=1,INT(B1235)*1440+Z1235,"")</f>
        <v/>
      </c>
      <c r="AX1235" s="80" t="str">
        <f>IF(AB1235=1,AW1235+AD1235,"")</f>
        <v/>
      </c>
      <c r="AY1235" s="80">
        <f>IF(AND(AB1235=1,AV1235=0,AU1235=1),1,0)</f>
        <v>0</v>
      </c>
      <c r="AZ1235" s="80">
        <f>IF(AY1235=1,COUNTIFS(R_Emp,D1235,R_SAbs,"&lt;"&amp;AX1235,R_EAbs,"&gt;"&amp;AW1235,R_OKey,1)-1,0)</f>
        <v>0</v>
      </c>
      <c r="BA1235" s="80">
        <f>IF(AY1235=1,COUNTIFS(R_Emp,"&lt;&gt;"&amp;D1235,R_SAbs,"&lt;"&amp;AX1235,R_EAbs,"&gt;"&amp;AW1235,R_OKey,1),0)</f>
        <v>0</v>
      </c>
      <c r="BB1235" s="80">
        <f>IF(AND(AB1235=1,D1235="proMX"),IF(AND(MOD(Z1235,CFG_BLK)=0,MOD(AA1235,CFG_BLK)=0,MOD(AG1235,CFG_BLK)=0,AG1235&gt;0),1,0),1)</f>
        <v>1</v>
      </c>
      <c r="BC1235" s="80" t="str">
        <f>IF(Y1235=0,"",IF(NOT(ISNUMBER(B1235)),"Falta fecha o fecha inválida",IF(D1235="","Falta empresa",IF(AND(D1235&lt;&gt;"Malcolm",D1235&lt;&gt;"proMX"),"Empresa inválida",IF(OR(INT(B1235)&lt;CFG_PSTART,INT(B1235)&gt;CFG_PEND),"Fecha fuera del período",IF(OR(NOT(ISNUMBER(Z1235)),NOT(ISNUMBER(AA1235))),"Falta hora inicio/fin o formato inválido",IF(AB1235=0,"Hora inicio = hora fin",IF(AE1235&lt;0,"Descanso inválido",IF(AE1235&gt;=AD1235,"Descanso ≥ duración",IF(AV1235=1,"Registro duplicado",IF(AZ1235&gt;0,"Se superpone con otro registro "&amp;D1235,IF(BB1235=0,"inicio, fin y duración neta deben ser múltiplos de "&amp;CFG_BLK&amp;" min",""))))))))))))</f>
        <v/>
      </c>
      <c r="BD1235" s="80">
        <f>IF(AND(Y1235=1,BC1235=""),1,0)</f>
        <v>0</v>
      </c>
      <c r="BE1235" s="80">
        <f>IF(AND(BD1235=1,AU1235=1),1,0)</f>
        <v>0</v>
      </c>
      <c r="BF1235" s="80" t="str">
        <f>IF(AND(D1235="proMX",BD1235=1),IF(R1235="","Draft",R1235),"")</f>
        <v/>
      </c>
      <c r="BG1235" s="80">
        <f>IF(BD1235=1,ROUND(AG1235/60,6),0)</f>
        <v>0</v>
      </c>
      <c r="BH1235" s="80">
        <f>IF(BE1235=1,ROUND(AG1235/60,6),0)</f>
        <v>0</v>
      </c>
      <c r="BI1235" s="80">
        <f>IF(BE1235=1,ROUND(AP1235/60,6),0)</f>
        <v>0</v>
      </c>
      <c r="BJ1235" s="80">
        <f>IF(BE1235=1,ROUND(AQ1235/60,6),0)</f>
        <v>0</v>
      </c>
      <c r="BK1235" s="80">
        <f>IF(BE1235=1,ROUND((AR1235+AS1235)/60,6),0)</f>
        <v>0</v>
      </c>
      <c r="BL1235" s="80">
        <f>ROUND(BH1235-BK1235,6)</f>
        <v>0</v>
      </c>
      <c r="BM1235" s="80">
        <f>IF(BE1235=1,ROUND(AR1235/60,6),0)</f>
        <v>0</v>
      </c>
      <c r="BN1235" s="80">
        <f>ROUND(BI1235-BM1235,6)</f>
        <v>0</v>
      </c>
      <c r="BO1235" s="80">
        <f>IF(BE1235=1,ROUND(AS1235/60,6),0)</f>
        <v>0</v>
      </c>
      <c r="BP1235" s="80">
        <f>ROUND(BJ1235-BO1235,6)</f>
        <v>0</v>
      </c>
      <c r="BQ1235" s="80">
        <f>IF(BE1235=1,AW1235,0)</f>
        <v>0</v>
      </c>
      <c r="BR1235" s="80">
        <f>IF(BE1235=1,AX1235,0)</f>
        <v>0</v>
      </c>
      <c r="BS1235" s="80">
        <f>IF(AND(BE1235=1,D1235="Malcolm",BA1235&gt;0),MIN(BH1235,SUMPRODUCT((R_Emp="proMX")*(R_EN&gt;0)*((R_EN-(R_EN&gt;BR1235)*(R_EN-BR1235))&gt;(R_SN+(R_SN&lt;BQ1235)*(BQ1235-R_SN)))*((R_EN-(R_EN&gt;BR1235)*(R_EN-BR1235))-(R_SN+(R_SN&lt;BQ1235)*(BQ1235-R_SN))))/60),0)</f>
        <v>0</v>
      </c>
      <c r="BT1235" s="80">
        <f>IF(AND(BE1235=1,D1235="proMX"),ROUND(BI1235*CFG_RATE+BJ1235*CFG_OTRATE,6),0)</f>
        <v>0</v>
      </c>
      <c r="BU1235" s="80">
        <f>IF(AND(BD1235=1,D1235="proMX"),ROUND(AG1235/CFG_BLK,6),0)</f>
        <v>0</v>
      </c>
      <c r="BV1235" s="80" t="str">
        <f>IF(BF1235="Approved",IF(ISNUMBER(T1235),INT(T1235),INT(B1235)),"")</f>
        <v/>
      </c>
      <c r="BW1235" s="80">
        <f>IF(ISNUMBER(B1235),IF(DB_MON="Todos",1,IF(AND(INT(B1235)&gt;=DB_MS,INT(B1235)&lt;=DB_ME),1,0)),0)</f>
        <v>0</v>
      </c>
      <c r="BX1235" s="80">
        <f>IF(DB_PROJ="Todos",1,IF(E1235&amp;""=DB_PROJ&amp;"",1,0))</f>
        <v>1</v>
      </c>
      <c r="BY1235" s="80">
        <f>BW1235*BX1235</f>
        <v>0</v>
      </c>
      <c r="BZ1235" s="80" t="str">
        <f>IF(Y1235=1,F1235&amp;IF(AND(F1235&amp;""&lt;&gt;"",E1235&amp;""&lt;&gt;"")," · ","")&amp;E1235,"")</f>
        <v/>
      </c>
      <c r="CA1235" s="80" t="str">
        <f>IF(AND(BD1235=1,E1235&amp;""&lt;&gt;""),IF(COUNTIFS($E$5:E1234,E1235,$BD$5:BD1234,1)=0,MAX($CA$5:CA1234)+1,""),"")</f>
        <v/>
      </c>
      <c r="CB1235" s="80" t="str">
        <f>IF(AND(BE1235=1,D1235="Malcolm",E1235&amp;""&lt;&gt;""),IF(COUNTIFS($D$5:D1234,"Malcolm",$E$5:E1234,E1235,$BE$5:BE1234,1)=0,MAX($CB$5:CB1234)+1,""),"")</f>
        <v/>
      </c>
      <c r="CC1235" s="80" t="str">
        <f>IF(AND(BD1235=1,D1235="proMX",E1235&amp;""&lt;&gt;""),IF(COUNTIFS($D$5:D1234,"proMX",$E$5:E1234,E1235,$BD$5:BD1234,1)=0,MAX($CC$5:CC1234)+1,""),"")</f>
        <v/>
      </c>
      <c r="CD1235" s="80" t="str">
        <f>IF(AND(BE1235=1,D1235="Malcolm",F1235&amp;""&lt;&gt;""),IF(COUNTIFS($D$5:D1234,"Malcolm",$F$5:F1234,F1235,$BE$5:BE1234,1)=0,MAX($CD$5:CD1234)+1,""),"")</f>
        <v/>
      </c>
      <c r="CE1235" s="80" t="str">
        <f>IF(AND(BD1235=1,D1235="proMX",F1235&amp;""&lt;&gt;""),IF(COUNTIFS($D$5:D1234,"proMX",$F$5:F1234,F1235,$BD$5:BD1234,1)=0,MAX($CE$5:CE1234)+1,""),"")</f>
        <v/>
      </c>
      <c r="CF1235" s="80" t="str">
        <f>IF(AND(D1235="proMX",BD1235=1),IF(OR(BF1235="Draft",BF1235="Submitted",BF1235="Returned",BF1235="Recall Requested"),MAX($CF$5:CF1234)+1,""),"")</f>
        <v/>
      </c>
      <c r="CG1235" s="80">
        <f>IF(BD1235=0,0,IF(D1235="Malcolm",1,MATCH(BF1235,{"Draft","Submitted","Approved","Returned","Recall Requested","Cancelled"},0)+1))</f>
        <v>0</v>
      </c>
      <c r="CH1235" s="80">
        <f>IF(AND(BF1235="Submitted",ISNUMBER(V1235)),IF(V1235&gt;CFG_MAXD,1,0),0)</f>
        <v>0</v>
      </c>
    </row>
    <row r="1236">
      <c r="A1236" s="71" t="str">
        <f>IF(Y1236=1,ROW()-5,"")</f>
        <v/>
      </c>
      <c r="B1236" s="72" t="n"/>
      <c r="C1236" s="71" t="str">
        <f>IF(ISNUMBER(B1236),CHOOSE(WEEKDAY(B1236,2),"Lun","Mar","Mié","Jue","Vie","Sáb","Dom"),"")</f>
        <v/>
      </c>
      <c r="D1236" s="73" t="n"/>
      <c r="E1236" s="74" t="n"/>
      <c r="F1236" s="74" t="n"/>
      <c r="G1236" s="74" t="n"/>
      <c r="H1236" s="75" t="n"/>
      <c r="I1236" s="75" t="n"/>
      <c r="J1236" s="76" t="n"/>
      <c r="K1236" s="77" t="str">
        <f>IF(AB1236=1,ROUND(AG1236/60,4),"")</f>
        <v/>
      </c>
      <c r="L1236" s="77" t="str">
        <f>IF(BD1236=1,ROUND(AP1236/60,4),"")</f>
        <v/>
      </c>
      <c r="M1236" s="77" t="str">
        <f>IF(BD1236=1,ROUND(AQ1236/60,4),"")</f>
        <v/>
      </c>
      <c r="N1236" s="71" t="str">
        <f>IF(AND(D1236="proMX",AB1236=1),ROUND(AG1236/CFG_BLK,2),"")</f>
        <v/>
      </c>
      <c r="O1236" s="77" t="str">
        <f>IF(D1236="proMX",IF(BD1236=1,ROUND(AG1236/60,4),0),"")</f>
        <v/>
      </c>
      <c r="P1236" s="78" t="str">
        <f>IF(Y1236=0,"",IF(BD1236=1,"OK",IF(D1236="proMX","Revisar bloques: ","Revisar: ")&amp;BC1236))</f>
        <v/>
      </c>
      <c r="Q1236" s="78" t="str">
        <f>IF(NOT(ISNUMBER(B1236)),"",IF(COUNTIFS(FER_F,INT(B1236))&gt;0,"Feriado"&amp;IF(AH1236=1," (laborable)"," (no laborable)"),IF(AH1236=1,"Laborable",IF(WEEKDAY(B1236,2)&gt;5,"Fin de semana","No laborable"))))</f>
        <v/>
      </c>
      <c r="R1236" s="73" t="n"/>
      <c r="S1236" s="72" t="n"/>
      <c r="T1236" s="72" t="n"/>
      <c r="U1236" s="74" t="n"/>
      <c r="V1236" s="79" t="str">
        <f>IF(AND(D1236="proMX",OR(R1236="Submitted",R1236="Recall Requested"),ISNUMBER(S1236)),CFG_TODAY-INT(S1236),"")</f>
        <v/>
      </c>
      <c r="W1236" s="78" t="str">
        <f>IF(BD1236=0,"",IF(BA1236&gt;0,"⚠ Se superpone con un registro de la otra empresa",IF(D1236="Malcolm",IF(COUNTA(R1236,S1236,T1236)&gt;0,"Estado/fechas proMX se ignoran en Malcolm",""),IF(BF1236="Cancelled","Cancelado: excluido de totales",IF(R1236="","Sin estado: se trata como Draft",IF(BF1236="Submitted",IF(ISNUMBER(V1236),IF(V1236&gt;CFG_MAXD,"⚠ "&amp;V1236&amp;" días en Submitted (máx. "&amp;CFG_MAXD&amp;")",""),"Falta fecha de envío"),IF(BF1236="Returned","⚠ Devuelto: corregir y reenviar",IF(BF1236="Recall Requested","Retirada solicitada: pendiente",IF(AND(BF1236="Approved",NOT(ISNUMBER(T1236))),"Falta fecha de aprobación",IF(AND(ISNUMBER(S1236),ISNUMBER(T1236),T1236&lt;S1236),"Aprobación anterior al envío","")))))))))</f>
        <v/>
      </c>
      <c r="Y1236" s="80">
        <f>IF(COUNTA(B1236,D1236,E1236,F1236,G1236,H1236,I1236,J1236,R1236,S1236,T1236)&gt;0,1,0)</f>
        <v>0</v>
      </c>
      <c r="Z1236" s="80" t="str">
        <f>IF(AND(ISNUMBER(H1236),H1236&gt;=0,H1236&lt;1),ROUND(H1236*1440,0),"")</f>
        <v/>
      </c>
      <c r="AA1236" s="80" t="str">
        <f>IF(AND(ISNUMBER(I1236),I1236&gt;=0,I1236&lt;1),ROUND(I1236*1440,0),"")</f>
        <v/>
      </c>
      <c r="AB1236" s="80">
        <f>IF(AND(ISNUMBER(B1236),D1236&lt;&gt;"",ISNUMBER(Z1236),ISNUMBER(AA1236)),IF(Z1236=AA1236,0,1),0)</f>
        <v>0</v>
      </c>
      <c r="AC1236" s="80">
        <f>IF(AB1236=1,IF(AA1236&lt;Z1236,1,0),0)</f>
        <v>0</v>
      </c>
      <c r="AD1236" s="80">
        <f>IF(AB1236=1,IF(AC1236=1,1440-Z1236+AA1236,AA1236-Z1236),0)</f>
        <v>0</v>
      </c>
      <c r="AE1236" s="80">
        <f>IF(J1236="",0,IF(ISNUMBER(J1236),J1236,-1))</f>
        <v>0</v>
      </c>
      <c r="AF1236" s="80">
        <f>MIN(MAX(0,AE1236),AD1236)</f>
        <v>0</v>
      </c>
      <c r="AG1236" s="80">
        <f>MAX(0,AD1236-MAX(0,AE1236))</f>
        <v>0</v>
      </c>
      <c r="AH1236" s="80">
        <f>IF(ISNUMBER(B1236),IF(AND(INDEX(CFG_WDAYS,WEEKDAY(INT(B1236),2))="Sí",IF(D1236="proMX",COUNTIFS(FER_F,INT(B1236),FER_NLP,"Sí"),COUNTIFS(FER_F,INT(B1236),FER_NLM,"Sí"))=0),1,0),0)</f>
        <v>0</v>
      </c>
      <c r="AI1236" s="80">
        <f>IF(AC1236=1,IF(AND(INDEX(CFG_WDAYS,WEEKDAY(INT(B1236)+1,2))="Sí",IF(D1236="proMX",COUNTIFS(FER_F,INT(B1236)+1,FER_NLP,"Sí"),COUNTIFS(FER_F,INT(B1236)+1,FER_NLM,"Sí"))=0),1,0),0)</f>
        <v>0</v>
      </c>
      <c r="AJ1236" s="80">
        <f>IF(AC1236=1,1440-Z1236,AD1236)</f>
        <v>0</v>
      </c>
      <c r="AK1236" s="80">
        <f>IF(AND(AB1236=1,AH1236=1),MAX(0,MIN(IF(AC1236=1,1440,AA1236),CFG_WEM)-MAX(Z1236,CFG_WSM)),0)</f>
        <v>0</v>
      </c>
      <c r="AL1236" s="80">
        <f>IF(AND(AC1236=1,AI1236=1),MAX(0,MIN(AA1236,CFG_WEM)-CFG_WSM),0)</f>
        <v>0</v>
      </c>
      <c r="AM1236" s="80">
        <f>AK1236+AL1236</f>
        <v>0</v>
      </c>
      <c r="AN1236" s="80">
        <f>IF(CFG_BRK="Proporcional",IF(AD1236=0,0,AF1236*AM1236/AD1236),IF(CFG_BRK="Extras primero",MIN(AM1236,MAX(0,AF1236-(AD1236-AM1236))),MIN(AF1236,AM1236)))</f>
        <v>0</v>
      </c>
      <c r="AO1236" s="80">
        <f>AF1236-AN1236</f>
        <v>0</v>
      </c>
      <c r="AP1236" s="80">
        <f>AM1236-AN1236</f>
        <v>0</v>
      </c>
      <c r="AQ1236" s="80">
        <f>AD1236-AM1236-AO1236</f>
        <v>0</v>
      </c>
      <c r="AR1236" s="80">
        <f>IF(AM1236=0,0,AK1236-AN1236*AK1236/AM1236)</f>
        <v>0</v>
      </c>
      <c r="AS1236" s="80">
        <f>IF(AD1236-AM1236=0,0,(AJ1236-AK1236)-AO1236*(AJ1236-AK1236)/(AD1236-AM1236))</f>
        <v>0</v>
      </c>
      <c r="AT1236" s="80" t="str">
        <f>IF(AC1236=1,INT(B1236)+1,"")</f>
        <v/>
      </c>
      <c r="AU1236" s="80">
        <f>IF(AND(D1236="proMX",R1236="Cancelled"),0,1)</f>
        <v>1</v>
      </c>
      <c r="AV1236" s="80">
        <f>IF(AND(AB1236=1,AU1236=1),IF(COUNTIFS($D$5:D1235,D1236,$B$5:B1235,B1236,$Z$5:Z1235,Z1236,$AA$5:AA1235,AA1236,$F$5:F1235,F1236&amp;"",$AU$5:AU1235,1)&gt;0,1,0),0)</f>
        <v>0</v>
      </c>
      <c r="AW1236" s="80" t="str">
        <f>IF(AB1236=1,INT(B1236)*1440+Z1236,"")</f>
        <v/>
      </c>
      <c r="AX1236" s="80" t="str">
        <f>IF(AB1236=1,AW1236+AD1236,"")</f>
        <v/>
      </c>
      <c r="AY1236" s="80">
        <f>IF(AND(AB1236=1,AV1236=0,AU1236=1),1,0)</f>
        <v>0</v>
      </c>
      <c r="AZ1236" s="80">
        <f>IF(AY1236=1,COUNTIFS(R_Emp,D1236,R_SAbs,"&lt;"&amp;AX1236,R_EAbs,"&gt;"&amp;AW1236,R_OKey,1)-1,0)</f>
        <v>0</v>
      </c>
      <c r="BA1236" s="80">
        <f>IF(AY1236=1,COUNTIFS(R_Emp,"&lt;&gt;"&amp;D1236,R_SAbs,"&lt;"&amp;AX1236,R_EAbs,"&gt;"&amp;AW1236,R_OKey,1),0)</f>
        <v>0</v>
      </c>
      <c r="BB1236" s="80">
        <f>IF(AND(AB1236=1,D1236="proMX"),IF(AND(MOD(Z1236,CFG_BLK)=0,MOD(AA1236,CFG_BLK)=0,MOD(AG1236,CFG_BLK)=0,AG1236&gt;0),1,0),1)</f>
        <v>1</v>
      </c>
      <c r="BC1236" s="80" t="str">
        <f>IF(Y1236=0,"",IF(NOT(ISNUMBER(B1236)),"Falta fecha o fecha inválida",IF(D1236="","Falta empresa",IF(AND(D1236&lt;&gt;"Malcolm",D1236&lt;&gt;"proMX"),"Empresa inválida",IF(OR(INT(B1236)&lt;CFG_PSTART,INT(B1236)&gt;CFG_PEND),"Fecha fuera del período",IF(OR(NOT(ISNUMBER(Z1236)),NOT(ISNUMBER(AA1236))),"Falta hora inicio/fin o formato inválido",IF(AB1236=0,"Hora inicio = hora fin",IF(AE1236&lt;0,"Descanso inválido",IF(AE1236&gt;=AD1236,"Descanso ≥ duración",IF(AV1236=1,"Registro duplicado",IF(AZ1236&gt;0,"Se superpone con otro registro "&amp;D1236,IF(BB1236=0,"inicio, fin y duración neta deben ser múltiplos de "&amp;CFG_BLK&amp;" min",""))))))))))))</f>
        <v/>
      </c>
      <c r="BD1236" s="80">
        <f>IF(AND(Y1236=1,BC1236=""),1,0)</f>
        <v>0</v>
      </c>
      <c r="BE1236" s="80">
        <f>IF(AND(BD1236=1,AU1236=1),1,0)</f>
        <v>0</v>
      </c>
      <c r="BF1236" s="80" t="str">
        <f>IF(AND(D1236="proMX",BD1236=1),IF(R1236="","Draft",R1236),"")</f>
        <v/>
      </c>
      <c r="BG1236" s="80">
        <f>IF(BD1236=1,ROUND(AG1236/60,6),0)</f>
        <v>0</v>
      </c>
      <c r="BH1236" s="80">
        <f>IF(BE1236=1,ROUND(AG1236/60,6),0)</f>
        <v>0</v>
      </c>
      <c r="BI1236" s="80">
        <f>IF(BE1236=1,ROUND(AP1236/60,6),0)</f>
        <v>0</v>
      </c>
      <c r="BJ1236" s="80">
        <f>IF(BE1236=1,ROUND(AQ1236/60,6),0)</f>
        <v>0</v>
      </c>
      <c r="BK1236" s="80">
        <f>IF(BE1236=1,ROUND((AR1236+AS1236)/60,6),0)</f>
        <v>0</v>
      </c>
      <c r="BL1236" s="80">
        <f>ROUND(BH1236-BK1236,6)</f>
        <v>0</v>
      </c>
      <c r="BM1236" s="80">
        <f>IF(BE1236=1,ROUND(AR1236/60,6),0)</f>
        <v>0</v>
      </c>
      <c r="BN1236" s="80">
        <f>ROUND(BI1236-BM1236,6)</f>
        <v>0</v>
      </c>
      <c r="BO1236" s="80">
        <f>IF(BE1236=1,ROUND(AS1236/60,6),0)</f>
        <v>0</v>
      </c>
      <c r="BP1236" s="80">
        <f>ROUND(BJ1236-BO1236,6)</f>
        <v>0</v>
      </c>
      <c r="BQ1236" s="80">
        <f>IF(BE1236=1,AW1236,0)</f>
        <v>0</v>
      </c>
      <c r="BR1236" s="80">
        <f>IF(BE1236=1,AX1236,0)</f>
        <v>0</v>
      </c>
      <c r="BS1236" s="80">
        <f>IF(AND(BE1236=1,D1236="Malcolm",BA1236&gt;0),MIN(BH1236,SUMPRODUCT((R_Emp="proMX")*(R_EN&gt;0)*((R_EN-(R_EN&gt;BR1236)*(R_EN-BR1236))&gt;(R_SN+(R_SN&lt;BQ1236)*(BQ1236-R_SN)))*((R_EN-(R_EN&gt;BR1236)*(R_EN-BR1236))-(R_SN+(R_SN&lt;BQ1236)*(BQ1236-R_SN))))/60),0)</f>
        <v>0</v>
      </c>
      <c r="BT1236" s="80">
        <f>IF(AND(BE1236=1,D1236="proMX"),ROUND(BI1236*CFG_RATE+BJ1236*CFG_OTRATE,6),0)</f>
        <v>0</v>
      </c>
      <c r="BU1236" s="80">
        <f>IF(AND(BD1236=1,D1236="proMX"),ROUND(AG1236/CFG_BLK,6),0)</f>
        <v>0</v>
      </c>
      <c r="BV1236" s="80" t="str">
        <f>IF(BF1236="Approved",IF(ISNUMBER(T1236),INT(T1236),INT(B1236)),"")</f>
        <v/>
      </c>
      <c r="BW1236" s="80">
        <f>IF(ISNUMBER(B1236),IF(DB_MON="Todos",1,IF(AND(INT(B1236)&gt;=DB_MS,INT(B1236)&lt;=DB_ME),1,0)),0)</f>
        <v>0</v>
      </c>
      <c r="BX1236" s="80">
        <f>IF(DB_PROJ="Todos",1,IF(E1236&amp;""=DB_PROJ&amp;"",1,0))</f>
        <v>1</v>
      </c>
      <c r="BY1236" s="80">
        <f>BW1236*BX1236</f>
        <v>0</v>
      </c>
      <c r="BZ1236" s="80" t="str">
        <f>IF(Y1236=1,F1236&amp;IF(AND(F1236&amp;""&lt;&gt;"",E1236&amp;""&lt;&gt;"")," · ","")&amp;E1236,"")</f>
        <v/>
      </c>
      <c r="CA1236" s="80" t="str">
        <f>IF(AND(BD1236=1,E1236&amp;""&lt;&gt;""),IF(COUNTIFS($E$5:E1235,E1236,$BD$5:BD1235,1)=0,MAX($CA$5:CA1235)+1,""),"")</f>
        <v/>
      </c>
      <c r="CB1236" s="80" t="str">
        <f>IF(AND(BE1236=1,D1236="Malcolm",E1236&amp;""&lt;&gt;""),IF(COUNTIFS($D$5:D1235,"Malcolm",$E$5:E1235,E1236,$BE$5:BE1235,1)=0,MAX($CB$5:CB1235)+1,""),"")</f>
        <v/>
      </c>
      <c r="CC1236" s="80" t="str">
        <f>IF(AND(BD1236=1,D1236="proMX",E1236&amp;""&lt;&gt;""),IF(COUNTIFS($D$5:D1235,"proMX",$E$5:E1235,E1236,$BD$5:BD1235,1)=0,MAX($CC$5:CC1235)+1,""),"")</f>
        <v/>
      </c>
      <c r="CD1236" s="80" t="str">
        <f>IF(AND(BE1236=1,D1236="Malcolm",F1236&amp;""&lt;&gt;""),IF(COUNTIFS($D$5:D1235,"Malcolm",$F$5:F1235,F1236,$BE$5:BE1235,1)=0,MAX($CD$5:CD1235)+1,""),"")</f>
        <v/>
      </c>
      <c r="CE1236" s="80" t="str">
        <f>IF(AND(BD1236=1,D1236="proMX",F1236&amp;""&lt;&gt;""),IF(COUNTIFS($D$5:D1235,"proMX",$F$5:F1235,F1236,$BD$5:BD1235,1)=0,MAX($CE$5:CE1235)+1,""),"")</f>
        <v/>
      </c>
      <c r="CF1236" s="80" t="str">
        <f>IF(AND(D1236="proMX",BD1236=1),IF(OR(BF1236="Draft",BF1236="Submitted",BF1236="Returned",BF1236="Recall Requested"),MAX($CF$5:CF1235)+1,""),"")</f>
        <v/>
      </c>
      <c r="CG1236" s="80">
        <f>IF(BD1236=0,0,IF(D1236="Malcolm",1,MATCH(BF1236,{"Draft","Submitted","Approved","Returned","Recall Requested","Cancelled"},0)+1))</f>
        <v>0</v>
      </c>
      <c r="CH1236" s="80">
        <f>IF(AND(BF1236="Submitted",ISNUMBER(V1236)),IF(V1236&gt;CFG_MAXD,1,0),0)</f>
        <v>0</v>
      </c>
    </row>
    <row r="1237">
      <c r="A1237" s="71" t="str">
        <f>IF(Y1237=1,ROW()-5,"")</f>
        <v/>
      </c>
      <c r="B1237" s="72" t="n"/>
      <c r="C1237" s="71" t="str">
        <f>IF(ISNUMBER(B1237),CHOOSE(WEEKDAY(B1237,2),"Lun","Mar","Mié","Jue","Vie","Sáb","Dom"),"")</f>
        <v/>
      </c>
      <c r="D1237" s="73" t="n"/>
      <c r="E1237" s="74" t="n"/>
      <c r="F1237" s="74" t="n"/>
      <c r="G1237" s="74" t="n"/>
      <c r="H1237" s="75" t="n"/>
      <c r="I1237" s="75" t="n"/>
      <c r="J1237" s="76" t="n"/>
      <c r="K1237" s="77" t="str">
        <f>IF(AB1237=1,ROUND(AG1237/60,4),"")</f>
        <v/>
      </c>
      <c r="L1237" s="77" t="str">
        <f>IF(BD1237=1,ROUND(AP1237/60,4),"")</f>
        <v/>
      </c>
      <c r="M1237" s="77" t="str">
        <f>IF(BD1237=1,ROUND(AQ1237/60,4),"")</f>
        <v/>
      </c>
      <c r="N1237" s="71" t="str">
        <f>IF(AND(D1237="proMX",AB1237=1),ROUND(AG1237/CFG_BLK,2),"")</f>
        <v/>
      </c>
      <c r="O1237" s="77" t="str">
        <f>IF(D1237="proMX",IF(BD1237=1,ROUND(AG1237/60,4),0),"")</f>
        <v/>
      </c>
      <c r="P1237" s="78" t="str">
        <f>IF(Y1237=0,"",IF(BD1237=1,"OK",IF(D1237="proMX","Revisar bloques: ","Revisar: ")&amp;BC1237))</f>
        <v/>
      </c>
      <c r="Q1237" s="78" t="str">
        <f>IF(NOT(ISNUMBER(B1237)),"",IF(COUNTIFS(FER_F,INT(B1237))&gt;0,"Feriado"&amp;IF(AH1237=1," (laborable)"," (no laborable)"),IF(AH1237=1,"Laborable",IF(WEEKDAY(B1237,2)&gt;5,"Fin de semana","No laborable"))))</f>
        <v/>
      </c>
      <c r="R1237" s="73" t="n"/>
      <c r="S1237" s="72" t="n"/>
      <c r="T1237" s="72" t="n"/>
      <c r="U1237" s="74" t="n"/>
      <c r="V1237" s="79" t="str">
        <f>IF(AND(D1237="proMX",OR(R1237="Submitted",R1237="Recall Requested"),ISNUMBER(S1237)),CFG_TODAY-INT(S1237),"")</f>
        <v/>
      </c>
      <c r="W1237" s="78" t="str">
        <f>IF(BD1237=0,"",IF(BA1237&gt;0,"⚠ Se superpone con un registro de la otra empresa",IF(D1237="Malcolm",IF(COUNTA(R1237,S1237,T1237)&gt;0,"Estado/fechas proMX se ignoran en Malcolm",""),IF(BF1237="Cancelled","Cancelado: excluido de totales",IF(R1237="","Sin estado: se trata como Draft",IF(BF1237="Submitted",IF(ISNUMBER(V1237),IF(V1237&gt;CFG_MAXD,"⚠ "&amp;V1237&amp;" días en Submitted (máx. "&amp;CFG_MAXD&amp;")",""),"Falta fecha de envío"),IF(BF1237="Returned","⚠ Devuelto: corregir y reenviar",IF(BF1237="Recall Requested","Retirada solicitada: pendiente",IF(AND(BF1237="Approved",NOT(ISNUMBER(T1237))),"Falta fecha de aprobación",IF(AND(ISNUMBER(S1237),ISNUMBER(T1237),T1237&lt;S1237),"Aprobación anterior al envío","")))))))))</f>
        <v/>
      </c>
      <c r="Y1237" s="80">
        <f>IF(COUNTA(B1237,D1237,E1237,F1237,G1237,H1237,I1237,J1237,R1237,S1237,T1237)&gt;0,1,0)</f>
        <v>0</v>
      </c>
      <c r="Z1237" s="80" t="str">
        <f>IF(AND(ISNUMBER(H1237),H1237&gt;=0,H1237&lt;1),ROUND(H1237*1440,0),"")</f>
        <v/>
      </c>
      <c r="AA1237" s="80" t="str">
        <f>IF(AND(ISNUMBER(I1237),I1237&gt;=0,I1237&lt;1),ROUND(I1237*1440,0),"")</f>
        <v/>
      </c>
      <c r="AB1237" s="80">
        <f>IF(AND(ISNUMBER(B1237),D1237&lt;&gt;"",ISNUMBER(Z1237),ISNUMBER(AA1237)),IF(Z1237=AA1237,0,1),0)</f>
        <v>0</v>
      </c>
      <c r="AC1237" s="80">
        <f>IF(AB1237=1,IF(AA1237&lt;Z1237,1,0),0)</f>
        <v>0</v>
      </c>
      <c r="AD1237" s="80">
        <f>IF(AB1237=1,IF(AC1237=1,1440-Z1237+AA1237,AA1237-Z1237),0)</f>
        <v>0</v>
      </c>
      <c r="AE1237" s="80">
        <f>IF(J1237="",0,IF(ISNUMBER(J1237),J1237,-1))</f>
        <v>0</v>
      </c>
      <c r="AF1237" s="80">
        <f>MIN(MAX(0,AE1237),AD1237)</f>
        <v>0</v>
      </c>
      <c r="AG1237" s="80">
        <f>MAX(0,AD1237-MAX(0,AE1237))</f>
        <v>0</v>
      </c>
      <c r="AH1237" s="80">
        <f>IF(ISNUMBER(B1237),IF(AND(INDEX(CFG_WDAYS,WEEKDAY(INT(B1237),2))="Sí",IF(D1237="proMX",COUNTIFS(FER_F,INT(B1237),FER_NLP,"Sí"),COUNTIFS(FER_F,INT(B1237),FER_NLM,"Sí"))=0),1,0),0)</f>
        <v>0</v>
      </c>
      <c r="AI1237" s="80">
        <f>IF(AC1237=1,IF(AND(INDEX(CFG_WDAYS,WEEKDAY(INT(B1237)+1,2))="Sí",IF(D1237="proMX",COUNTIFS(FER_F,INT(B1237)+1,FER_NLP,"Sí"),COUNTIFS(FER_F,INT(B1237)+1,FER_NLM,"Sí"))=0),1,0),0)</f>
        <v>0</v>
      </c>
      <c r="AJ1237" s="80">
        <f>IF(AC1237=1,1440-Z1237,AD1237)</f>
        <v>0</v>
      </c>
      <c r="AK1237" s="80">
        <f>IF(AND(AB1237=1,AH1237=1),MAX(0,MIN(IF(AC1237=1,1440,AA1237),CFG_WEM)-MAX(Z1237,CFG_WSM)),0)</f>
        <v>0</v>
      </c>
      <c r="AL1237" s="80">
        <f>IF(AND(AC1237=1,AI1237=1),MAX(0,MIN(AA1237,CFG_WEM)-CFG_WSM),0)</f>
        <v>0</v>
      </c>
      <c r="AM1237" s="80">
        <f>AK1237+AL1237</f>
        <v>0</v>
      </c>
      <c r="AN1237" s="80">
        <f>IF(CFG_BRK="Proporcional",IF(AD1237=0,0,AF1237*AM1237/AD1237),IF(CFG_BRK="Extras primero",MIN(AM1237,MAX(0,AF1237-(AD1237-AM1237))),MIN(AF1237,AM1237)))</f>
        <v>0</v>
      </c>
      <c r="AO1237" s="80">
        <f>AF1237-AN1237</f>
        <v>0</v>
      </c>
      <c r="AP1237" s="80">
        <f>AM1237-AN1237</f>
        <v>0</v>
      </c>
      <c r="AQ1237" s="80">
        <f>AD1237-AM1237-AO1237</f>
        <v>0</v>
      </c>
      <c r="AR1237" s="80">
        <f>IF(AM1237=0,0,AK1237-AN1237*AK1237/AM1237)</f>
        <v>0</v>
      </c>
      <c r="AS1237" s="80">
        <f>IF(AD1237-AM1237=0,0,(AJ1237-AK1237)-AO1237*(AJ1237-AK1237)/(AD1237-AM1237))</f>
        <v>0</v>
      </c>
      <c r="AT1237" s="80" t="str">
        <f>IF(AC1237=1,INT(B1237)+1,"")</f>
        <v/>
      </c>
      <c r="AU1237" s="80">
        <f>IF(AND(D1237="proMX",R1237="Cancelled"),0,1)</f>
        <v>1</v>
      </c>
      <c r="AV1237" s="80">
        <f>IF(AND(AB1237=1,AU1237=1),IF(COUNTIFS($D$5:D1236,D1237,$B$5:B1236,B1237,$Z$5:Z1236,Z1237,$AA$5:AA1236,AA1237,$F$5:F1236,F1237&amp;"",$AU$5:AU1236,1)&gt;0,1,0),0)</f>
        <v>0</v>
      </c>
      <c r="AW1237" s="80" t="str">
        <f>IF(AB1237=1,INT(B1237)*1440+Z1237,"")</f>
        <v/>
      </c>
      <c r="AX1237" s="80" t="str">
        <f>IF(AB1237=1,AW1237+AD1237,"")</f>
        <v/>
      </c>
      <c r="AY1237" s="80">
        <f>IF(AND(AB1237=1,AV1237=0,AU1237=1),1,0)</f>
        <v>0</v>
      </c>
      <c r="AZ1237" s="80">
        <f>IF(AY1237=1,COUNTIFS(R_Emp,D1237,R_SAbs,"&lt;"&amp;AX1237,R_EAbs,"&gt;"&amp;AW1237,R_OKey,1)-1,0)</f>
        <v>0</v>
      </c>
      <c r="BA1237" s="80">
        <f>IF(AY1237=1,COUNTIFS(R_Emp,"&lt;&gt;"&amp;D1237,R_SAbs,"&lt;"&amp;AX1237,R_EAbs,"&gt;"&amp;AW1237,R_OKey,1),0)</f>
        <v>0</v>
      </c>
      <c r="BB1237" s="80">
        <f>IF(AND(AB1237=1,D1237="proMX"),IF(AND(MOD(Z1237,CFG_BLK)=0,MOD(AA1237,CFG_BLK)=0,MOD(AG1237,CFG_BLK)=0,AG1237&gt;0),1,0),1)</f>
        <v>1</v>
      </c>
      <c r="BC1237" s="80" t="str">
        <f>IF(Y1237=0,"",IF(NOT(ISNUMBER(B1237)),"Falta fecha o fecha inválida",IF(D1237="","Falta empresa",IF(AND(D1237&lt;&gt;"Malcolm",D1237&lt;&gt;"proMX"),"Empresa inválida",IF(OR(INT(B1237)&lt;CFG_PSTART,INT(B1237)&gt;CFG_PEND),"Fecha fuera del período",IF(OR(NOT(ISNUMBER(Z1237)),NOT(ISNUMBER(AA1237))),"Falta hora inicio/fin o formato inválido",IF(AB1237=0,"Hora inicio = hora fin",IF(AE1237&lt;0,"Descanso inválido",IF(AE1237&gt;=AD1237,"Descanso ≥ duración",IF(AV1237=1,"Registro duplicado",IF(AZ1237&gt;0,"Se superpone con otro registro "&amp;D1237,IF(BB1237=0,"inicio, fin y duración neta deben ser múltiplos de "&amp;CFG_BLK&amp;" min",""))))))))))))</f>
        <v/>
      </c>
      <c r="BD1237" s="80">
        <f>IF(AND(Y1237=1,BC1237=""),1,0)</f>
        <v>0</v>
      </c>
      <c r="BE1237" s="80">
        <f>IF(AND(BD1237=1,AU1237=1),1,0)</f>
        <v>0</v>
      </c>
      <c r="BF1237" s="80" t="str">
        <f>IF(AND(D1237="proMX",BD1237=1),IF(R1237="","Draft",R1237),"")</f>
        <v/>
      </c>
      <c r="BG1237" s="80">
        <f>IF(BD1237=1,ROUND(AG1237/60,6),0)</f>
        <v>0</v>
      </c>
      <c r="BH1237" s="80">
        <f>IF(BE1237=1,ROUND(AG1237/60,6),0)</f>
        <v>0</v>
      </c>
      <c r="BI1237" s="80">
        <f>IF(BE1237=1,ROUND(AP1237/60,6),0)</f>
        <v>0</v>
      </c>
      <c r="BJ1237" s="80">
        <f>IF(BE1237=1,ROUND(AQ1237/60,6),0)</f>
        <v>0</v>
      </c>
      <c r="BK1237" s="80">
        <f>IF(BE1237=1,ROUND((AR1237+AS1237)/60,6),0)</f>
        <v>0</v>
      </c>
      <c r="BL1237" s="80">
        <f>ROUND(BH1237-BK1237,6)</f>
        <v>0</v>
      </c>
      <c r="BM1237" s="80">
        <f>IF(BE1237=1,ROUND(AR1237/60,6),0)</f>
        <v>0</v>
      </c>
      <c r="BN1237" s="80">
        <f>ROUND(BI1237-BM1237,6)</f>
        <v>0</v>
      </c>
      <c r="BO1237" s="80">
        <f>IF(BE1237=1,ROUND(AS1237/60,6),0)</f>
        <v>0</v>
      </c>
      <c r="BP1237" s="80">
        <f>ROUND(BJ1237-BO1237,6)</f>
        <v>0</v>
      </c>
      <c r="BQ1237" s="80">
        <f>IF(BE1237=1,AW1237,0)</f>
        <v>0</v>
      </c>
      <c r="BR1237" s="80">
        <f>IF(BE1237=1,AX1237,0)</f>
        <v>0</v>
      </c>
      <c r="BS1237" s="80">
        <f>IF(AND(BE1237=1,D1237="Malcolm",BA1237&gt;0),MIN(BH1237,SUMPRODUCT((R_Emp="proMX")*(R_EN&gt;0)*((R_EN-(R_EN&gt;BR1237)*(R_EN-BR1237))&gt;(R_SN+(R_SN&lt;BQ1237)*(BQ1237-R_SN)))*((R_EN-(R_EN&gt;BR1237)*(R_EN-BR1237))-(R_SN+(R_SN&lt;BQ1237)*(BQ1237-R_SN))))/60),0)</f>
        <v>0</v>
      </c>
      <c r="BT1237" s="80">
        <f>IF(AND(BE1237=1,D1237="proMX"),ROUND(BI1237*CFG_RATE+BJ1237*CFG_OTRATE,6),0)</f>
        <v>0</v>
      </c>
      <c r="BU1237" s="80">
        <f>IF(AND(BD1237=1,D1237="proMX"),ROUND(AG1237/CFG_BLK,6),0)</f>
        <v>0</v>
      </c>
      <c r="BV1237" s="80" t="str">
        <f>IF(BF1237="Approved",IF(ISNUMBER(T1237),INT(T1237),INT(B1237)),"")</f>
        <v/>
      </c>
      <c r="BW1237" s="80">
        <f>IF(ISNUMBER(B1237),IF(DB_MON="Todos",1,IF(AND(INT(B1237)&gt;=DB_MS,INT(B1237)&lt;=DB_ME),1,0)),0)</f>
        <v>0</v>
      </c>
      <c r="BX1237" s="80">
        <f>IF(DB_PROJ="Todos",1,IF(E1237&amp;""=DB_PROJ&amp;"",1,0))</f>
        <v>1</v>
      </c>
      <c r="BY1237" s="80">
        <f>BW1237*BX1237</f>
        <v>0</v>
      </c>
      <c r="BZ1237" s="80" t="str">
        <f>IF(Y1237=1,F1237&amp;IF(AND(F1237&amp;""&lt;&gt;"",E1237&amp;""&lt;&gt;"")," · ","")&amp;E1237,"")</f>
        <v/>
      </c>
      <c r="CA1237" s="80" t="str">
        <f>IF(AND(BD1237=1,E1237&amp;""&lt;&gt;""),IF(COUNTIFS($E$5:E1236,E1237,$BD$5:BD1236,1)=0,MAX($CA$5:CA1236)+1,""),"")</f>
        <v/>
      </c>
      <c r="CB1237" s="80" t="str">
        <f>IF(AND(BE1237=1,D1237="Malcolm",E1237&amp;""&lt;&gt;""),IF(COUNTIFS($D$5:D1236,"Malcolm",$E$5:E1236,E1237,$BE$5:BE1236,1)=0,MAX($CB$5:CB1236)+1,""),"")</f>
        <v/>
      </c>
      <c r="CC1237" s="80" t="str">
        <f>IF(AND(BD1237=1,D1237="proMX",E1237&amp;""&lt;&gt;""),IF(COUNTIFS($D$5:D1236,"proMX",$E$5:E1236,E1237,$BD$5:BD1236,1)=0,MAX($CC$5:CC1236)+1,""),"")</f>
        <v/>
      </c>
      <c r="CD1237" s="80" t="str">
        <f>IF(AND(BE1237=1,D1237="Malcolm",F1237&amp;""&lt;&gt;""),IF(COUNTIFS($D$5:D1236,"Malcolm",$F$5:F1236,F1237,$BE$5:BE1236,1)=0,MAX($CD$5:CD1236)+1,""),"")</f>
        <v/>
      </c>
      <c r="CE1237" s="80" t="str">
        <f>IF(AND(BD1237=1,D1237="proMX",F1237&amp;""&lt;&gt;""),IF(COUNTIFS($D$5:D1236,"proMX",$F$5:F1236,F1237,$BD$5:BD1236,1)=0,MAX($CE$5:CE1236)+1,""),"")</f>
        <v/>
      </c>
      <c r="CF1237" s="80" t="str">
        <f>IF(AND(D1237="proMX",BD1237=1),IF(OR(BF1237="Draft",BF1237="Submitted",BF1237="Returned",BF1237="Recall Requested"),MAX($CF$5:CF1236)+1,""),"")</f>
        <v/>
      </c>
      <c r="CG1237" s="80">
        <f>IF(BD1237=0,0,IF(D1237="Malcolm",1,MATCH(BF1237,{"Draft","Submitted","Approved","Returned","Recall Requested","Cancelled"},0)+1))</f>
        <v>0</v>
      </c>
      <c r="CH1237" s="80">
        <f>IF(AND(BF1237="Submitted",ISNUMBER(V1237)),IF(V1237&gt;CFG_MAXD,1,0),0)</f>
        <v>0</v>
      </c>
    </row>
    <row r="1238">
      <c r="A1238" s="71" t="str">
        <f>IF(Y1238=1,ROW()-5,"")</f>
        <v/>
      </c>
      <c r="B1238" s="72" t="n"/>
      <c r="C1238" s="71" t="str">
        <f>IF(ISNUMBER(B1238),CHOOSE(WEEKDAY(B1238,2),"Lun","Mar","Mié","Jue","Vie","Sáb","Dom"),"")</f>
        <v/>
      </c>
      <c r="D1238" s="73" t="n"/>
      <c r="E1238" s="74" t="n"/>
      <c r="F1238" s="74" t="n"/>
      <c r="G1238" s="74" t="n"/>
      <c r="H1238" s="75" t="n"/>
      <c r="I1238" s="75" t="n"/>
      <c r="J1238" s="76" t="n"/>
      <c r="K1238" s="77" t="str">
        <f>IF(AB1238=1,ROUND(AG1238/60,4),"")</f>
        <v/>
      </c>
      <c r="L1238" s="77" t="str">
        <f>IF(BD1238=1,ROUND(AP1238/60,4),"")</f>
        <v/>
      </c>
      <c r="M1238" s="77" t="str">
        <f>IF(BD1238=1,ROUND(AQ1238/60,4),"")</f>
        <v/>
      </c>
      <c r="N1238" s="71" t="str">
        <f>IF(AND(D1238="proMX",AB1238=1),ROUND(AG1238/CFG_BLK,2),"")</f>
        <v/>
      </c>
      <c r="O1238" s="77" t="str">
        <f>IF(D1238="proMX",IF(BD1238=1,ROUND(AG1238/60,4),0),"")</f>
        <v/>
      </c>
      <c r="P1238" s="78" t="str">
        <f>IF(Y1238=0,"",IF(BD1238=1,"OK",IF(D1238="proMX","Revisar bloques: ","Revisar: ")&amp;BC1238))</f>
        <v/>
      </c>
      <c r="Q1238" s="78" t="str">
        <f>IF(NOT(ISNUMBER(B1238)),"",IF(COUNTIFS(FER_F,INT(B1238))&gt;0,"Feriado"&amp;IF(AH1238=1," (laborable)"," (no laborable)"),IF(AH1238=1,"Laborable",IF(WEEKDAY(B1238,2)&gt;5,"Fin de semana","No laborable"))))</f>
        <v/>
      </c>
      <c r="R1238" s="73" t="n"/>
      <c r="S1238" s="72" t="n"/>
      <c r="T1238" s="72" t="n"/>
      <c r="U1238" s="74" t="n"/>
      <c r="V1238" s="79" t="str">
        <f>IF(AND(D1238="proMX",OR(R1238="Submitted",R1238="Recall Requested"),ISNUMBER(S1238)),CFG_TODAY-INT(S1238),"")</f>
        <v/>
      </c>
      <c r="W1238" s="78" t="str">
        <f>IF(BD1238=0,"",IF(BA1238&gt;0,"⚠ Se superpone con un registro de la otra empresa",IF(D1238="Malcolm",IF(COUNTA(R1238,S1238,T1238)&gt;0,"Estado/fechas proMX se ignoran en Malcolm",""),IF(BF1238="Cancelled","Cancelado: excluido de totales",IF(R1238="","Sin estado: se trata como Draft",IF(BF1238="Submitted",IF(ISNUMBER(V1238),IF(V1238&gt;CFG_MAXD,"⚠ "&amp;V1238&amp;" días en Submitted (máx. "&amp;CFG_MAXD&amp;")",""),"Falta fecha de envío"),IF(BF1238="Returned","⚠ Devuelto: corregir y reenviar",IF(BF1238="Recall Requested","Retirada solicitada: pendiente",IF(AND(BF1238="Approved",NOT(ISNUMBER(T1238))),"Falta fecha de aprobación",IF(AND(ISNUMBER(S1238),ISNUMBER(T1238),T1238&lt;S1238),"Aprobación anterior al envío","")))))))))</f>
        <v/>
      </c>
      <c r="Y1238" s="80">
        <f>IF(COUNTA(B1238,D1238,E1238,F1238,G1238,H1238,I1238,J1238,R1238,S1238,T1238)&gt;0,1,0)</f>
        <v>0</v>
      </c>
      <c r="Z1238" s="80" t="str">
        <f>IF(AND(ISNUMBER(H1238),H1238&gt;=0,H1238&lt;1),ROUND(H1238*1440,0),"")</f>
        <v/>
      </c>
      <c r="AA1238" s="80" t="str">
        <f>IF(AND(ISNUMBER(I1238),I1238&gt;=0,I1238&lt;1),ROUND(I1238*1440,0),"")</f>
        <v/>
      </c>
      <c r="AB1238" s="80">
        <f>IF(AND(ISNUMBER(B1238),D1238&lt;&gt;"",ISNUMBER(Z1238),ISNUMBER(AA1238)),IF(Z1238=AA1238,0,1),0)</f>
        <v>0</v>
      </c>
      <c r="AC1238" s="80">
        <f>IF(AB1238=1,IF(AA1238&lt;Z1238,1,0),0)</f>
        <v>0</v>
      </c>
      <c r="AD1238" s="80">
        <f>IF(AB1238=1,IF(AC1238=1,1440-Z1238+AA1238,AA1238-Z1238),0)</f>
        <v>0</v>
      </c>
      <c r="AE1238" s="80">
        <f>IF(J1238="",0,IF(ISNUMBER(J1238),J1238,-1))</f>
        <v>0</v>
      </c>
      <c r="AF1238" s="80">
        <f>MIN(MAX(0,AE1238),AD1238)</f>
        <v>0</v>
      </c>
      <c r="AG1238" s="80">
        <f>MAX(0,AD1238-MAX(0,AE1238))</f>
        <v>0</v>
      </c>
      <c r="AH1238" s="80">
        <f>IF(ISNUMBER(B1238),IF(AND(INDEX(CFG_WDAYS,WEEKDAY(INT(B1238),2))="Sí",IF(D1238="proMX",COUNTIFS(FER_F,INT(B1238),FER_NLP,"Sí"),COUNTIFS(FER_F,INT(B1238),FER_NLM,"Sí"))=0),1,0),0)</f>
        <v>0</v>
      </c>
      <c r="AI1238" s="80">
        <f>IF(AC1238=1,IF(AND(INDEX(CFG_WDAYS,WEEKDAY(INT(B1238)+1,2))="Sí",IF(D1238="proMX",COUNTIFS(FER_F,INT(B1238)+1,FER_NLP,"Sí"),COUNTIFS(FER_F,INT(B1238)+1,FER_NLM,"Sí"))=0),1,0),0)</f>
        <v>0</v>
      </c>
      <c r="AJ1238" s="80">
        <f>IF(AC1238=1,1440-Z1238,AD1238)</f>
        <v>0</v>
      </c>
      <c r="AK1238" s="80">
        <f>IF(AND(AB1238=1,AH1238=1),MAX(0,MIN(IF(AC1238=1,1440,AA1238),CFG_WEM)-MAX(Z1238,CFG_WSM)),0)</f>
        <v>0</v>
      </c>
      <c r="AL1238" s="80">
        <f>IF(AND(AC1238=1,AI1238=1),MAX(0,MIN(AA1238,CFG_WEM)-CFG_WSM),0)</f>
        <v>0</v>
      </c>
      <c r="AM1238" s="80">
        <f>AK1238+AL1238</f>
        <v>0</v>
      </c>
      <c r="AN1238" s="80">
        <f>IF(CFG_BRK="Proporcional",IF(AD1238=0,0,AF1238*AM1238/AD1238),IF(CFG_BRK="Extras primero",MIN(AM1238,MAX(0,AF1238-(AD1238-AM1238))),MIN(AF1238,AM1238)))</f>
        <v>0</v>
      </c>
      <c r="AO1238" s="80">
        <f>AF1238-AN1238</f>
        <v>0</v>
      </c>
      <c r="AP1238" s="80">
        <f>AM1238-AN1238</f>
        <v>0</v>
      </c>
      <c r="AQ1238" s="80">
        <f>AD1238-AM1238-AO1238</f>
        <v>0</v>
      </c>
      <c r="AR1238" s="80">
        <f>IF(AM1238=0,0,AK1238-AN1238*AK1238/AM1238)</f>
        <v>0</v>
      </c>
      <c r="AS1238" s="80">
        <f>IF(AD1238-AM1238=0,0,(AJ1238-AK1238)-AO1238*(AJ1238-AK1238)/(AD1238-AM1238))</f>
        <v>0</v>
      </c>
      <c r="AT1238" s="80" t="str">
        <f>IF(AC1238=1,INT(B1238)+1,"")</f>
        <v/>
      </c>
      <c r="AU1238" s="80">
        <f>IF(AND(D1238="proMX",R1238="Cancelled"),0,1)</f>
        <v>1</v>
      </c>
      <c r="AV1238" s="80">
        <f>IF(AND(AB1238=1,AU1238=1),IF(COUNTIFS($D$5:D1237,D1238,$B$5:B1237,B1238,$Z$5:Z1237,Z1238,$AA$5:AA1237,AA1238,$F$5:F1237,F1238&amp;"",$AU$5:AU1237,1)&gt;0,1,0),0)</f>
        <v>0</v>
      </c>
      <c r="AW1238" s="80" t="str">
        <f>IF(AB1238=1,INT(B1238)*1440+Z1238,"")</f>
        <v/>
      </c>
      <c r="AX1238" s="80" t="str">
        <f>IF(AB1238=1,AW1238+AD1238,"")</f>
        <v/>
      </c>
      <c r="AY1238" s="80">
        <f>IF(AND(AB1238=1,AV1238=0,AU1238=1),1,0)</f>
        <v>0</v>
      </c>
      <c r="AZ1238" s="80">
        <f>IF(AY1238=1,COUNTIFS(R_Emp,D1238,R_SAbs,"&lt;"&amp;AX1238,R_EAbs,"&gt;"&amp;AW1238,R_OKey,1)-1,0)</f>
        <v>0</v>
      </c>
      <c r="BA1238" s="80">
        <f>IF(AY1238=1,COUNTIFS(R_Emp,"&lt;&gt;"&amp;D1238,R_SAbs,"&lt;"&amp;AX1238,R_EAbs,"&gt;"&amp;AW1238,R_OKey,1),0)</f>
        <v>0</v>
      </c>
      <c r="BB1238" s="80">
        <f>IF(AND(AB1238=1,D1238="proMX"),IF(AND(MOD(Z1238,CFG_BLK)=0,MOD(AA1238,CFG_BLK)=0,MOD(AG1238,CFG_BLK)=0,AG1238&gt;0),1,0),1)</f>
        <v>1</v>
      </c>
      <c r="BC1238" s="80" t="str">
        <f>IF(Y1238=0,"",IF(NOT(ISNUMBER(B1238)),"Falta fecha o fecha inválida",IF(D1238="","Falta empresa",IF(AND(D1238&lt;&gt;"Malcolm",D1238&lt;&gt;"proMX"),"Empresa inválida",IF(OR(INT(B1238)&lt;CFG_PSTART,INT(B1238)&gt;CFG_PEND),"Fecha fuera del período",IF(OR(NOT(ISNUMBER(Z1238)),NOT(ISNUMBER(AA1238))),"Falta hora inicio/fin o formato inválido",IF(AB1238=0,"Hora inicio = hora fin",IF(AE1238&lt;0,"Descanso inválido",IF(AE1238&gt;=AD1238,"Descanso ≥ duración",IF(AV1238=1,"Registro duplicado",IF(AZ1238&gt;0,"Se superpone con otro registro "&amp;D1238,IF(BB1238=0,"inicio, fin y duración neta deben ser múltiplos de "&amp;CFG_BLK&amp;" min",""))))))))))))</f>
        <v/>
      </c>
      <c r="BD1238" s="80">
        <f>IF(AND(Y1238=1,BC1238=""),1,0)</f>
        <v>0</v>
      </c>
      <c r="BE1238" s="80">
        <f>IF(AND(BD1238=1,AU1238=1),1,0)</f>
        <v>0</v>
      </c>
      <c r="BF1238" s="80" t="str">
        <f>IF(AND(D1238="proMX",BD1238=1),IF(R1238="","Draft",R1238),"")</f>
        <v/>
      </c>
      <c r="BG1238" s="80">
        <f>IF(BD1238=1,ROUND(AG1238/60,6),0)</f>
        <v>0</v>
      </c>
      <c r="BH1238" s="80">
        <f>IF(BE1238=1,ROUND(AG1238/60,6),0)</f>
        <v>0</v>
      </c>
      <c r="BI1238" s="80">
        <f>IF(BE1238=1,ROUND(AP1238/60,6),0)</f>
        <v>0</v>
      </c>
      <c r="BJ1238" s="80">
        <f>IF(BE1238=1,ROUND(AQ1238/60,6),0)</f>
        <v>0</v>
      </c>
      <c r="BK1238" s="80">
        <f>IF(BE1238=1,ROUND((AR1238+AS1238)/60,6),0)</f>
        <v>0</v>
      </c>
      <c r="BL1238" s="80">
        <f>ROUND(BH1238-BK1238,6)</f>
        <v>0</v>
      </c>
      <c r="BM1238" s="80">
        <f>IF(BE1238=1,ROUND(AR1238/60,6),0)</f>
        <v>0</v>
      </c>
      <c r="BN1238" s="80">
        <f>ROUND(BI1238-BM1238,6)</f>
        <v>0</v>
      </c>
      <c r="BO1238" s="80">
        <f>IF(BE1238=1,ROUND(AS1238/60,6),0)</f>
        <v>0</v>
      </c>
      <c r="BP1238" s="80">
        <f>ROUND(BJ1238-BO1238,6)</f>
        <v>0</v>
      </c>
      <c r="BQ1238" s="80">
        <f>IF(BE1238=1,AW1238,0)</f>
        <v>0</v>
      </c>
      <c r="BR1238" s="80">
        <f>IF(BE1238=1,AX1238,0)</f>
        <v>0</v>
      </c>
      <c r="BS1238" s="80">
        <f>IF(AND(BE1238=1,D1238="Malcolm",BA1238&gt;0),MIN(BH1238,SUMPRODUCT((R_Emp="proMX")*(R_EN&gt;0)*((R_EN-(R_EN&gt;BR1238)*(R_EN-BR1238))&gt;(R_SN+(R_SN&lt;BQ1238)*(BQ1238-R_SN)))*((R_EN-(R_EN&gt;BR1238)*(R_EN-BR1238))-(R_SN+(R_SN&lt;BQ1238)*(BQ1238-R_SN))))/60),0)</f>
        <v>0</v>
      </c>
      <c r="BT1238" s="80">
        <f>IF(AND(BE1238=1,D1238="proMX"),ROUND(BI1238*CFG_RATE+BJ1238*CFG_OTRATE,6),0)</f>
        <v>0</v>
      </c>
      <c r="BU1238" s="80">
        <f>IF(AND(BD1238=1,D1238="proMX"),ROUND(AG1238/CFG_BLK,6),0)</f>
        <v>0</v>
      </c>
      <c r="BV1238" s="80" t="str">
        <f>IF(BF1238="Approved",IF(ISNUMBER(T1238),INT(T1238),INT(B1238)),"")</f>
        <v/>
      </c>
      <c r="BW1238" s="80">
        <f>IF(ISNUMBER(B1238),IF(DB_MON="Todos",1,IF(AND(INT(B1238)&gt;=DB_MS,INT(B1238)&lt;=DB_ME),1,0)),0)</f>
        <v>0</v>
      </c>
      <c r="BX1238" s="80">
        <f>IF(DB_PROJ="Todos",1,IF(E1238&amp;""=DB_PROJ&amp;"",1,0))</f>
        <v>1</v>
      </c>
      <c r="BY1238" s="80">
        <f>BW1238*BX1238</f>
        <v>0</v>
      </c>
      <c r="BZ1238" s="80" t="str">
        <f>IF(Y1238=1,F1238&amp;IF(AND(F1238&amp;""&lt;&gt;"",E1238&amp;""&lt;&gt;"")," · ","")&amp;E1238,"")</f>
        <v/>
      </c>
      <c r="CA1238" s="80" t="str">
        <f>IF(AND(BD1238=1,E1238&amp;""&lt;&gt;""),IF(COUNTIFS($E$5:E1237,E1238,$BD$5:BD1237,1)=0,MAX($CA$5:CA1237)+1,""),"")</f>
        <v/>
      </c>
      <c r="CB1238" s="80" t="str">
        <f>IF(AND(BE1238=1,D1238="Malcolm",E1238&amp;""&lt;&gt;""),IF(COUNTIFS($D$5:D1237,"Malcolm",$E$5:E1237,E1238,$BE$5:BE1237,1)=0,MAX($CB$5:CB1237)+1,""),"")</f>
        <v/>
      </c>
      <c r="CC1238" s="80" t="str">
        <f>IF(AND(BD1238=1,D1238="proMX",E1238&amp;""&lt;&gt;""),IF(COUNTIFS($D$5:D1237,"proMX",$E$5:E1237,E1238,$BD$5:BD1237,1)=0,MAX($CC$5:CC1237)+1,""),"")</f>
        <v/>
      </c>
      <c r="CD1238" s="80" t="str">
        <f>IF(AND(BE1238=1,D1238="Malcolm",F1238&amp;""&lt;&gt;""),IF(COUNTIFS($D$5:D1237,"Malcolm",$F$5:F1237,F1238,$BE$5:BE1237,1)=0,MAX($CD$5:CD1237)+1,""),"")</f>
        <v/>
      </c>
      <c r="CE1238" s="80" t="str">
        <f>IF(AND(BD1238=1,D1238="proMX",F1238&amp;""&lt;&gt;""),IF(COUNTIFS($D$5:D1237,"proMX",$F$5:F1237,F1238,$BD$5:BD1237,1)=0,MAX($CE$5:CE1237)+1,""),"")</f>
        <v/>
      </c>
      <c r="CF1238" s="80" t="str">
        <f>IF(AND(D1238="proMX",BD1238=1),IF(OR(BF1238="Draft",BF1238="Submitted",BF1238="Returned",BF1238="Recall Requested"),MAX($CF$5:CF1237)+1,""),"")</f>
        <v/>
      </c>
      <c r="CG1238" s="80">
        <f>IF(BD1238=0,0,IF(D1238="Malcolm",1,MATCH(BF1238,{"Draft","Submitted","Approved","Returned","Recall Requested","Cancelled"},0)+1))</f>
        <v>0</v>
      </c>
      <c r="CH1238" s="80">
        <f>IF(AND(BF1238="Submitted",ISNUMBER(V1238)),IF(V1238&gt;CFG_MAXD,1,0),0)</f>
        <v>0</v>
      </c>
    </row>
    <row r="1239">
      <c r="A1239" s="71" t="str">
        <f>IF(Y1239=1,ROW()-5,"")</f>
        <v/>
      </c>
      <c r="B1239" s="72" t="n"/>
      <c r="C1239" s="71" t="str">
        <f>IF(ISNUMBER(B1239),CHOOSE(WEEKDAY(B1239,2),"Lun","Mar","Mié","Jue","Vie","Sáb","Dom"),"")</f>
        <v/>
      </c>
      <c r="D1239" s="73" t="n"/>
      <c r="E1239" s="74" t="n"/>
      <c r="F1239" s="74" t="n"/>
      <c r="G1239" s="74" t="n"/>
      <c r="H1239" s="75" t="n"/>
      <c r="I1239" s="75" t="n"/>
      <c r="J1239" s="76" t="n"/>
      <c r="K1239" s="77" t="str">
        <f>IF(AB1239=1,ROUND(AG1239/60,4),"")</f>
        <v/>
      </c>
      <c r="L1239" s="77" t="str">
        <f>IF(BD1239=1,ROUND(AP1239/60,4),"")</f>
        <v/>
      </c>
      <c r="M1239" s="77" t="str">
        <f>IF(BD1239=1,ROUND(AQ1239/60,4),"")</f>
        <v/>
      </c>
      <c r="N1239" s="71" t="str">
        <f>IF(AND(D1239="proMX",AB1239=1),ROUND(AG1239/CFG_BLK,2),"")</f>
        <v/>
      </c>
      <c r="O1239" s="77" t="str">
        <f>IF(D1239="proMX",IF(BD1239=1,ROUND(AG1239/60,4),0),"")</f>
        <v/>
      </c>
      <c r="P1239" s="78" t="str">
        <f>IF(Y1239=0,"",IF(BD1239=1,"OK",IF(D1239="proMX","Revisar bloques: ","Revisar: ")&amp;BC1239))</f>
        <v/>
      </c>
      <c r="Q1239" s="78" t="str">
        <f>IF(NOT(ISNUMBER(B1239)),"",IF(COUNTIFS(FER_F,INT(B1239))&gt;0,"Feriado"&amp;IF(AH1239=1," (laborable)"," (no laborable)"),IF(AH1239=1,"Laborable",IF(WEEKDAY(B1239,2)&gt;5,"Fin de semana","No laborable"))))</f>
        <v/>
      </c>
      <c r="R1239" s="73" t="n"/>
      <c r="S1239" s="72" t="n"/>
      <c r="T1239" s="72" t="n"/>
      <c r="U1239" s="74" t="n"/>
      <c r="V1239" s="79" t="str">
        <f>IF(AND(D1239="proMX",OR(R1239="Submitted",R1239="Recall Requested"),ISNUMBER(S1239)),CFG_TODAY-INT(S1239),"")</f>
        <v/>
      </c>
      <c r="W1239" s="78" t="str">
        <f>IF(BD1239=0,"",IF(BA1239&gt;0,"⚠ Se superpone con un registro de la otra empresa",IF(D1239="Malcolm",IF(COUNTA(R1239,S1239,T1239)&gt;0,"Estado/fechas proMX se ignoran en Malcolm",""),IF(BF1239="Cancelled","Cancelado: excluido de totales",IF(R1239="","Sin estado: se trata como Draft",IF(BF1239="Submitted",IF(ISNUMBER(V1239),IF(V1239&gt;CFG_MAXD,"⚠ "&amp;V1239&amp;" días en Submitted (máx. "&amp;CFG_MAXD&amp;")",""),"Falta fecha de envío"),IF(BF1239="Returned","⚠ Devuelto: corregir y reenviar",IF(BF1239="Recall Requested","Retirada solicitada: pendiente",IF(AND(BF1239="Approved",NOT(ISNUMBER(T1239))),"Falta fecha de aprobación",IF(AND(ISNUMBER(S1239),ISNUMBER(T1239),T1239&lt;S1239),"Aprobación anterior al envío","")))))))))</f>
        <v/>
      </c>
      <c r="Y1239" s="80">
        <f>IF(COUNTA(B1239,D1239,E1239,F1239,G1239,H1239,I1239,J1239,R1239,S1239,T1239)&gt;0,1,0)</f>
        <v>0</v>
      </c>
      <c r="Z1239" s="80" t="str">
        <f>IF(AND(ISNUMBER(H1239),H1239&gt;=0,H1239&lt;1),ROUND(H1239*1440,0),"")</f>
        <v/>
      </c>
      <c r="AA1239" s="80" t="str">
        <f>IF(AND(ISNUMBER(I1239),I1239&gt;=0,I1239&lt;1),ROUND(I1239*1440,0),"")</f>
        <v/>
      </c>
      <c r="AB1239" s="80">
        <f>IF(AND(ISNUMBER(B1239),D1239&lt;&gt;"",ISNUMBER(Z1239),ISNUMBER(AA1239)),IF(Z1239=AA1239,0,1),0)</f>
        <v>0</v>
      </c>
      <c r="AC1239" s="80">
        <f>IF(AB1239=1,IF(AA1239&lt;Z1239,1,0),0)</f>
        <v>0</v>
      </c>
      <c r="AD1239" s="80">
        <f>IF(AB1239=1,IF(AC1239=1,1440-Z1239+AA1239,AA1239-Z1239),0)</f>
        <v>0</v>
      </c>
      <c r="AE1239" s="80">
        <f>IF(J1239="",0,IF(ISNUMBER(J1239),J1239,-1))</f>
        <v>0</v>
      </c>
      <c r="AF1239" s="80">
        <f>MIN(MAX(0,AE1239),AD1239)</f>
        <v>0</v>
      </c>
      <c r="AG1239" s="80">
        <f>MAX(0,AD1239-MAX(0,AE1239))</f>
        <v>0</v>
      </c>
      <c r="AH1239" s="80">
        <f>IF(ISNUMBER(B1239),IF(AND(INDEX(CFG_WDAYS,WEEKDAY(INT(B1239),2))="Sí",IF(D1239="proMX",COUNTIFS(FER_F,INT(B1239),FER_NLP,"Sí"),COUNTIFS(FER_F,INT(B1239),FER_NLM,"Sí"))=0),1,0),0)</f>
        <v>0</v>
      </c>
      <c r="AI1239" s="80">
        <f>IF(AC1239=1,IF(AND(INDEX(CFG_WDAYS,WEEKDAY(INT(B1239)+1,2))="Sí",IF(D1239="proMX",COUNTIFS(FER_F,INT(B1239)+1,FER_NLP,"Sí"),COUNTIFS(FER_F,INT(B1239)+1,FER_NLM,"Sí"))=0),1,0),0)</f>
        <v>0</v>
      </c>
      <c r="AJ1239" s="80">
        <f>IF(AC1239=1,1440-Z1239,AD1239)</f>
        <v>0</v>
      </c>
      <c r="AK1239" s="80">
        <f>IF(AND(AB1239=1,AH1239=1),MAX(0,MIN(IF(AC1239=1,1440,AA1239),CFG_WEM)-MAX(Z1239,CFG_WSM)),0)</f>
        <v>0</v>
      </c>
      <c r="AL1239" s="80">
        <f>IF(AND(AC1239=1,AI1239=1),MAX(0,MIN(AA1239,CFG_WEM)-CFG_WSM),0)</f>
        <v>0</v>
      </c>
      <c r="AM1239" s="80">
        <f>AK1239+AL1239</f>
        <v>0</v>
      </c>
      <c r="AN1239" s="80">
        <f>IF(CFG_BRK="Proporcional",IF(AD1239=0,0,AF1239*AM1239/AD1239),IF(CFG_BRK="Extras primero",MIN(AM1239,MAX(0,AF1239-(AD1239-AM1239))),MIN(AF1239,AM1239)))</f>
        <v>0</v>
      </c>
      <c r="AO1239" s="80">
        <f>AF1239-AN1239</f>
        <v>0</v>
      </c>
      <c r="AP1239" s="80">
        <f>AM1239-AN1239</f>
        <v>0</v>
      </c>
      <c r="AQ1239" s="80">
        <f>AD1239-AM1239-AO1239</f>
        <v>0</v>
      </c>
      <c r="AR1239" s="80">
        <f>IF(AM1239=0,0,AK1239-AN1239*AK1239/AM1239)</f>
        <v>0</v>
      </c>
      <c r="AS1239" s="80">
        <f>IF(AD1239-AM1239=0,0,(AJ1239-AK1239)-AO1239*(AJ1239-AK1239)/(AD1239-AM1239))</f>
        <v>0</v>
      </c>
      <c r="AT1239" s="80" t="str">
        <f>IF(AC1239=1,INT(B1239)+1,"")</f>
        <v/>
      </c>
      <c r="AU1239" s="80">
        <f>IF(AND(D1239="proMX",R1239="Cancelled"),0,1)</f>
        <v>1</v>
      </c>
      <c r="AV1239" s="80">
        <f>IF(AND(AB1239=1,AU1239=1),IF(COUNTIFS($D$5:D1238,D1239,$B$5:B1238,B1239,$Z$5:Z1238,Z1239,$AA$5:AA1238,AA1239,$F$5:F1238,F1239&amp;"",$AU$5:AU1238,1)&gt;0,1,0),0)</f>
        <v>0</v>
      </c>
      <c r="AW1239" s="80" t="str">
        <f>IF(AB1239=1,INT(B1239)*1440+Z1239,"")</f>
        <v/>
      </c>
      <c r="AX1239" s="80" t="str">
        <f>IF(AB1239=1,AW1239+AD1239,"")</f>
        <v/>
      </c>
      <c r="AY1239" s="80">
        <f>IF(AND(AB1239=1,AV1239=0,AU1239=1),1,0)</f>
        <v>0</v>
      </c>
      <c r="AZ1239" s="80">
        <f>IF(AY1239=1,COUNTIFS(R_Emp,D1239,R_SAbs,"&lt;"&amp;AX1239,R_EAbs,"&gt;"&amp;AW1239,R_OKey,1)-1,0)</f>
        <v>0</v>
      </c>
      <c r="BA1239" s="80">
        <f>IF(AY1239=1,COUNTIFS(R_Emp,"&lt;&gt;"&amp;D1239,R_SAbs,"&lt;"&amp;AX1239,R_EAbs,"&gt;"&amp;AW1239,R_OKey,1),0)</f>
        <v>0</v>
      </c>
      <c r="BB1239" s="80">
        <f>IF(AND(AB1239=1,D1239="proMX"),IF(AND(MOD(Z1239,CFG_BLK)=0,MOD(AA1239,CFG_BLK)=0,MOD(AG1239,CFG_BLK)=0,AG1239&gt;0),1,0),1)</f>
        <v>1</v>
      </c>
      <c r="BC1239" s="80" t="str">
        <f>IF(Y1239=0,"",IF(NOT(ISNUMBER(B1239)),"Falta fecha o fecha inválida",IF(D1239="","Falta empresa",IF(AND(D1239&lt;&gt;"Malcolm",D1239&lt;&gt;"proMX"),"Empresa inválida",IF(OR(INT(B1239)&lt;CFG_PSTART,INT(B1239)&gt;CFG_PEND),"Fecha fuera del período",IF(OR(NOT(ISNUMBER(Z1239)),NOT(ISNUMBER(AA1239))),"Falta hora inicio/fin o formato inválido",IF(AB1239=0,"Hora inicio = hora fin",IF(AE1239&lt;0,"Descanso inválido",IF(AE1239&gt;=AD1239,"Descanso ≥ duración",IF(AV1239=1,"Registro duplicado",IF(AZ1239&gt;0,"Se superpone con otro registro "&amp;D1239,IF(BB1239=0,"inicio, fin y duración neta deben ser múltiplos de "&amp;CFG_BLK&amp;" min",""))))))))))))</f>
        <v/>
      </c>
      <c r="BD1239" s="80">
        <f>IF(AND(Y1239=1,BC1239=""),1,0)</f>
        <v>0</v>
      </c>
      <c r="BE1239" s="80">
        <f>IF(AND(BD1239=1,AU1239=1),1,0)</f>
        <v>0</v>
      </c>
      <c r="BF1239" s="80" t="str">
        <f>IF(AND(D1239="proMX",BD1239=1),IF(R1239="","Draft",R1239),"")</f>
        <v/>
      </c>
      <c r="BG1239" s="80">
        <f>IF(BD1239=1,ROUND(AG1239/60,6),0)</f>
        <v>0</v>
      </c>
      <c r="BH1239" s="80">
        <f>IF(BE1239=1,ROUND(AG1239/60,6),0)</f>
        <v>0</v>
      </c>
      <c r="BI1239" s="80">
        <f>IF(BE1239=1,ROUND(AP1239/60,6),0)</f>
        <v>0</v>
      </c>
      <c r="BJ1239" s="80">
        <f>IF(BE1239=1,ROUND(AQ1239/60,6),0)</f>
        <v>0</v>
      </c>
      <c r="BK1239" s="80">
        <f>IF(BE1239=1,ROUND((AR1239+AS1239)/60,6),0)</f>
        <v>0</v>
      </c>
      <c r="BL1239" s="80">
        <f>ROUND(BH1239-BK1239,6)</f>
        <v>0</v>
      </c>
      <c r="BM1239" s="80">
        <f>IF(BE1239=1,ROUND(AR1239/60,6),0)</f>
        <v>0</v>
      </c>
      <c r="BN1239" s="80">
        <f>ROUND(BI1239-BM1239,6)</f>
        <v>0</v>
      </c>
      <c r="BO1239" s="80">
        <f>IF(BE1239=1,ROUND(AS1239/60,6),0)</f>
        <v>0</v>
      </c>
      <c r="BP1239" s="80">
        <f>ROUND(BJ1239-BO1239,6)</f>
        <v>0</v>
      </c>
      <c r="BQ1239" s="80">
        <f>IF(BE1239=1,AW1239,0)</f>
        <v>0</v>
      </c>
      <c r="BR1239" s="80">
        <f>IF(BE1239=1,AX1239,0)</f>
        <v>0</v>
      </c>
      <c r="BS1239" s="80">
        <f>IF(AND(BE1239=1,D1239="Malcolm",BA1239&gt;0),MIN(BH1239,SUMPRODUCT((R_Emp="proMX")*(R_EN&gt;0)*((R_EN-(R_EN&gt;BR1239)*(R_EN-BR1239))&gt;(R_SN+(R_SN&lt;BQ1239)*(BQ1239-R_SN)))*((R_EN-(R_EN&gt;BR1239)*(R_EN-BR1239))-(R_SN+(R_SN&lt;BQ1239)*(BQ1239-R_SN))))/60),0)</f>
        <v>0</v>
      </c>
      <c r="BT1239" s="80">
        <f>IF(AND(BE1239=1,D1239="proMX"),ROUND(BI1239*CFG_RATE+BJ1239*CFG_OTRATE,6),0)</f>
        <v>0</v>
      </c>
      <c r="BU1239" s="80">
        <f>IF(AND(BD1239=1,D1239="proMX"),ROUND(AG1239/CFG_BLK,6),0)</f>
        <v>0</v>
      </c>
      <c r="BV1239" s="80" t="str">
        <f>IF(BF1239="Approved",IF(ISNUMBER(T1239),INT(T1239),INT(B1239)),"")</f>
        <v/>
      </c>
      <c r="BW1239" s="80">
        <f>IF(ISNUMBER(B1239),IF(DB_MON="Todos",1,IF(AND(INT(B1239)&gt;=DB_MS,INT(B1239)&lt;=DB_ME),1,0)),0)</f>
        <v>0</v>
      </c>
      <c r="BX1239" s="80">
        <f>IF(DB_PROJ="Todos",1,IF(E1239&amp;""=DB_PROJ&amp;"",1,0))</f>
        <v>1</v>
      </c>
      <c r="BY1239" s="80">
        <f>BW1239*BX1239</f>
        <v>0</v>
      </c>
      <c r="BZ1239" s="80" t="str">
        <f>IF(Y1239=1,F1239&amp;IF(AND(F1239&amp;""&lt;&gt;"",E1239&amp;""&lt;&gt;"")," · ","")&amp;E1239,"")</f>
        <v/>
      </c>
      <c r="CA1239" s="80" t="str">
        <f>IF(AND(BD1239=1,E1239&amp;""&lt;&gt;""),IF(COUNTIFS($E$5:E1238,E1239,$BD$5:BD1238,1)=0,MAX($CA$5:CA1238)+1,""),"")</f>
        <v/>
      </c>
      <c r="CB1239" s="80" t="str">
        <f>IF(AND(BE1239=1,D1239="Malcolm",E1239&amp;""&lt;&gt;""),IF(COUNTIFS($D$5:D1238,"Malcolm",$E$5:E1238,E1239,$BE$5:BE1238,1)=0,MAX($CB$5:CB1238)+1,""),"")</f>
        <v/>
      </c>
      <c r="CC1239" s="80" t="str">
        <f>IF(AND(BD1239=1,D1239="proMX",E1239&amp;""&lt;&gt;""),IF(COUNTIFS($D$5:D1238,"proMX",$E$5:E1238,E1239,$BD$5:BD1238,1)=0,MAX($CC$5:CC1238)+1,""),"")</f>
        <v/>
      </c>
      <c r="CD1239" s="80" t="str">
        <f>IF(AND(BE1239=1,D1239="Malcolm",F1239&amp;""&lt;&gt;""),IF(COUNTIFS($D$5:D1238,"Malcolm",$F$5:F1238,F1239,$BE$5:BE1238,1)=0,MAX($CD$5:CD1238)+1,""),"")</f>
        <v/>
      </c>
      <c r="CE1239" s="80" t="str">
        <f>IF(AND(BD1239=1,D1239="proMX",F1239&amp;""&lt;&gt;""),IF(COUNTIFS($D$5:D1238,"proMX",$F$5:F1238,F1239,$BD$5:BD1238,1)=0,MAX($CE$5:CE1238)+1,""),"")</f>
        <v/>
      </c>
      <c r="CF1239" s="80" t="str">
        <f>IF(AND(D1239="proMX",BD1239=1),IF(OR(BF1239="Draft",BF1239="Submitted",BF1239="Returned",BF1239="Recall Requested"),MAX($CF$5:CF1238)+1,""),"")</f>
        <v/>
      </c>
      <c r="CG1239" s="80">
        <f>IF(BD1239=0,0,IF(D1239="Malcolm",1,MATCH(BF1239,{"Draft","Submitted","Approved","Returned","Recall Requested","Cancelled"},0)+1))</f>
        <v>0</v>
      </c>
      <c r="CH1239" s="80">
        <f>IF(AND(BF1239="Submitted",ISNUMBER(V1239)),IF(V1239&gt;CFG_MAXD,1,0),0)</f>
        <v>0</v>
      </c>
    </row>
    <row r="1240">
      <c r="A1240" s="71" t="str">
        <f>IF(Y1240=1,ROW()-5,"")</f>
        <v/>
      </c>
      <c r="B1240" s="72" t="n"/>
      <c r="C1240" s="71" t="str">
        <f>IF(ISNUMBER(B1240),CHOOSE(WEEKDAY(B1240,2),"Lun","Mar","Mié","Jue","Vie","Sáb","Dom"),"")</f>
        <v/>
      </c>
      <c r="D1240" s="73" t="n"/>
      <c r="E1240" s="74" t="n"/>
      <c r="F1240" s="74" t="n"/>
      <c r="G1240" s="74" t="n"/>
      <c r="H1240" s="75" t="n"/>
      <c r="I1240" s="75" t="n"/>
      <c r="J1240" s="76" t="n"/>
      <c r="K1240" s="77" t="str">
        <f>IF(AB1240=1,ROUND(AG1240/60,4),"")</f>
        <v/>
      </c>
      <c r="L1240" s="77" t="str">
        <f>IF(BD1240=1,ROUND(AP1240/60,4),"")</f>
        <v/>
      </c>
      <c r="M1240" s="77" t="str">
        <f>IF(BD1240=1,ROUND(AQ1240/60,4),"")</f>
        <v/>
      </c>
      <c r="N1240" s="71" t="str">
        <f>IF(AND(D1240="proMX",AB1240=1),ROUND(AG1240/CFG_BLK,2),"")</f>
        <v/>
      </c>
      <c r="O1240" s="77" t="str">
        <f>IF(D1240="proMX",IF(BD1240=1,ROUND(AG1240/60,4),0),"")</f>
        <v/>
      </c>
      <c r="P1240" s="78" t="str">
        <f>IF(Y1240=0,"",IF(BD1240=1,"OK",IF(D1240="proMX","Revisar bloques: ","Revisar: ")&amp;BC1240))</f>
        <v/>
      </c>
      <c r="Q1240" s="78" t="str">
        <f>IF(NOT(ISNUMBER(B1240)),"",IF(COUNTIFS(FER_F,INT(B1240))&gt;0,"Feriado"&amp;IF(AH1240=1," (laborable)"," (no laborable)"),IF(AH1240=1,"Laborable",IF(WEEKDAY(B1240,2)&gt;5,"Fin de semana","No laborable"))))</f>
        <v/>
      </c>
      <c r="R1240" s="73" t="n"/>
      <c r="S1240" s="72" t="n"/>
      <c r="T1240" s="72" t="n"/>
      <c r="U1240" s="74" t="n"/>
      <c r="V1240" s="79" t="str">
        <f>IF(AND(D1240="proMX",OR(R1240="Submitted",R1240="Recall Requested"),ISNUMBER(S1240)),CFG_TODAY-INT(S1240),"")</f>
        <v/>
      </c>
      <c r="W1240" s="78" t="str">
        <f>IF(BD1240=0,"",IF(BA1240&gt;0,"⚠ Se superpone con un registro de la otra empresa",IF(D1240="Malcolm",IF(COUNTA(R1240,S1240,T1240)&gt;0,"Estado/fechas proMX se ignoran en Malcolm",""),IF(BF1240="Cancelled","Cancelado: excluido de totales",IF(R1240="","Sin estado: se trata como Draft",IF(BF1240="Submitted",IF(ISNUMBER(V1240),IF(V1240&gt;CFG_MAXD,"⚠ "&amp;V1240&amp;" días en Submitted (máx. "&amp;CFG_MAXD&amp;")",""),"Falta fecha de envío"),IF(BF1240="Returned","⚠ Devuelto: corregir y reenviar",IF(BF1240="Recall Requested","Retirada solicitada: pendiente",IF(AND(BF1240="Approved",NOT(ISNUMBER(T1240))),"Falta fecha de aprobación",IF(AND(ISNUMBER(S1240),ISNUMBER(T1240),T1240&lt;S1240),"Aprobación anterior al envío","")))))))))</f>
        <v/>
      </c>
      <c r="Y1240" s="80">
        <f>IF(COUNTA(B1240,D1240,E1240,F1240,G1240,H1240,I1240,J1240,R1240,S1240,T1240)&gt;0,1,0)</f>
        <v>0</v>
      </c>
      <c r="Z1240" s="80" t="str">
        <f>IF(AND(ISNUMBER(H1240),H1240&gt;=0,H1240&lt;1),ROUND(H1240*1440,0),"")</f>
        <v/>
      </c>
      <c r="AA1240" s="80" t="str">
        <f>IF(AND(ISNUMBER(I1240),I1240&gt;=0,I1240&lt;1),ROUND(I1240*1440,0),"")</f>
        <v/>
      </c>
      <c r="AB1240" s="80">
        <f>IF(AND(ISNUMBER(B1240),D1240&lt;&gt;"",ISNUMBER(Z1240),ISNUMBER(AA1240)),IF(Z1240=AA1240,0,1),0)</f>
        <v>0</v>
      </c>
      <c r="AC1240" s="80">
        <f>IF(AB1240=1,IF(AA1240&lt;Z1240,1,0),0)</f>
        <v>0</v>
      </c>
      <c r="AD1240" s="80">
        <f>IF(AB1240=1,IF(AC1240=1,1440-Z1240+AA1240,AA1240-Z1240),0)</f>
        <v>0</v>
      </c>
      <c r="AE1240" s="80">
        <f>IF(J1240="",0,IF(ISNUMBER(J1240),J1240,-1))</f>
        <v>0</v>
      </c>
      <c r="AF1240" s="80">
        <f>MIN(MAX(0,AE1240),AD1240)</f>
        <v>0</v>
      </c>
      <c r="AG1240" s="80">
        <f>MAX(0,AD1240-MAX(0,AE1240))</f>
        <v>0</v>
      </c>
      <c r="AH1240" s="80">
        <f>IF(ISNUMBER(B1240),IF(AND(INDEX(CFG_WDAYS,WEEKDAY(INT(B1240),2))="Sí",IF(D1240="proMX",COUNTIFS(FER_F,INT(B1240),FER_NLP,"Sí"),COUNTIFS(FER_F,INT(B1240),FER_NLM,"Sí"))=0),1,0),0)</f>
        <v>0</v>
      </c>
      <c r="AI1240" s="80">
        <f>IF(AC1240=1,IF(AND(INDEX(CFG_WDAYS,WEEKDAY(INT(B1240)+1,2))="Sí",IF(D1240="proMX",COUNTIFS(FER_F,INT(B1240)+1,FER_NLP,"Sí"),COUNTIFS(FER_F,INT(B1240)+1,FER_NLM,"Sí"))=0),1,0),0)</f>
        <v>0</v>
      </c>
      <c r="AJ1240" s="80">
        <f>IF(AC1240=1,1440-Z1240,AD1240)</f>
        <v>0</v>
      </c>
      <c r="AK1240" s="80">
        <f>IF(AND(AB1240=1,AH1240=1),MAX(0,MIN(IF(AC1240=1,1440,AA1240),CFG_WEM)-MAX(Z1240,CFG_WSM)),0)</f>
        <v>0</v>
      </c>
      <c r="AL1240" s="80">
        <f>IF(AND(AC1240=1,AI1240=1),MAX(0,MIN(AA1240,CFG_WEM)-CFG_WSM),0)</f>
        <v>0</v>
      </c>
      <c r="AM1240" s="80">
        <f>AK1240+AL1240</f>
        <v>0</v>
      </c>
      <c r="AN1240" s="80">
        <f>IF(CFG_BRK="Proporcional",IF(AD1240=0,0,AF1240*AM1240/AD1240),IF(CFG_BRK="Extras primero",MIN(AM1240,MAX(0,AF1240-(AD1240-AM1240))),MIN(AF1240,AM1240)))</f>
        <v>0</v>
      </c>
      <c r="AO1240" s="80">
        <f>AF1240-AN1240</f>
        <v>0</v>
      </c>
      <c r="AP1240" s="80">
        <f>AM1240-AN1240</f>
        <v>0</v>
      </c>
      <c r="AQ1240" s="80">
        <f>AD1240-AM1240-AO1240</f>
        <v>0</v>
      </c>
      <c r="AR1240" s="80">
        <f>IF(AM1240=0,0,AK1240-AN1240*AK1240/AM1240)</f>
        <v>0</v>
      </c>
      <c r="AS1240" s="80">
        <f>IF(AD1240-AM1240=0,0,(AJ1240-AK1240)-AO1240*(AJ1240-AK1240)/(AD1240-AM1240))</f>
        <v>0</v>
      </c>
      <c r="AT1240" s="80" t="str">
        <f>IF(AC1240=1,INT(B1240)+1,"")</f>
        <v/>
      </c>
      <c r="AU1240" s="80">
        <f>IF(AND(D1240="proMX",R1240="Cancelled"),0,1)</f>
        <v>1</v>
      </c>
      <c r="AV1240" s="80">
        <f>IF(AND(AB1240=1,AU1240=1),IF(COUNTIFS($D$5:D1239,D1240,$B$5:B1239,B1240,$Z$5:Z1239,Z1240,$AA$5:AA1239,AA1240,$F$5:F1239,F1240&amp;"",$AU$5:AU1239,1)&gt;0,1,0),0)</f>
        <v>0</v>
      </c>
      <c r="AW1240" s="80" t="str">
        <f>IF(AB1240=1,INT(B1240)*1440+Z1240,"")</f>
        <v/>
      </c>
      <c r="AX1240" s="80" t="str">
        <f>IF(AB1240=1,AW1240+AD1240,"")</f>
        <v/>
      </c>
      <c r="AY1240" s="80">
        <f>IF(AND(AB1240=1,AV1240=0,AU1240=1),1,0)</f>
        <v>0</v>
      </c>
      <c r="AZ1240" s="80">
        <f>IF(AY1240=1,COUNTIFS(R_Emp,D1240,R_SAbs,"&lt;"&amp;AX1240,R_EAbs,"&gt;"&amp;AW1240,R_OKey,1)-1,0)</f>
        <v>0</v>
      </c>
      <c r="BA1240" s="80">
        <f>IF(AY1240=1,COUNTIFS(R_Emp,"&lt;&gt;"&amp;D1240,R_SAbs,"&lt;"&amp;AX1240,R_EAbs,"&gt;"&amp;AW1240,R_OKey,1),0)</f>
        <v>0</v>
      </c>
      <c r="BB1240" s="80">
        <f>IF(AND(AB1240=1,D1240="proMX"),IF(AND(MOD(Z1240,CFG_BLK)=0,MOD(AA1240,CFG_BLK)=0,MOD(AG1240,CFG_BLK)=0,AG1240&gt;0),1,0),1)</f>
        <v>1</v>
      </c>
      <c r="BC1240" s="80" t="str">
        <f>IF(Y1240=0,"",IF(NOT(ISNUMBER(B1240)),"Falta fecha o fecha inválida",IF(D1240="","Falta empresa",IF(AND(D1240&lt;&gt;"Malcolm",D1240&lt;&gt;"proMX"),"Empresa inválida",IF(OR(INT(B1240)&lt;CFG_PSTART,INT(B1240)&gt;CFG_PEND),"Fecha fuera del período",IF(OR(NOT(ISNUMBER(Z1240)),NOT(ISNUMBER(AA1240))),"Falta hora inicio/fin o formato inválido",IF(AB1240=0,"Hora inicio = hora fin",IF(AE1240&lt;0,"Descanso inválido",IF(AE1240&gt;=AD1240,"Descanso ≥ duración",IF(AV1240=1,"Registro duplicado",IF(AZ1240&gt;0,"Se superpone con otro registro "&amp;D1240,IF(BB1240=0,"inicio, fin y duración neta deben ser múltiplos de "&amp;CFG_BLK&amp;" min",""))))))))))))</f>
        <v/>
      </c>
      <c r="BD1240" s="80">
        <f>IF(AND(Y1240=1,BC1240=""),1,0)</f>
        <v>0</v>
      </c>
      <c r="BE1240" s="80">
        <f>IF(AND(BD1240=1,AU1240=1),1,0)</f>
        <v>0</v>
      </c>
      <c r="BF1240" s="80" t="str">
        <f>IF(AND(D1240="proMX",BD1240=1),IF(R1240="","Draft",R1240),"")</f>
        <v/>
      </c>
      <c r="BG1240" s="80">
        <f>IF(BD1240=1,ROUND(AG1240/60,6),0)</f>
        <v>0</v>
      </c>
      <c r="BH1240" s="80">
        <f>IF(BE1240=1,ROUND(AG1240/60,6),0)</f>
        <v>0</v>
      </c>
      <c r="BI1240" s="80">
        <f>IF(BE1240=1,ROUND(AP1240/60,6),0)</f>
        <v>0</v>
      </c>
      <c r="BJ1240" s="80">
        <f>IF(BE1240=1,ROUND(AQ1240/60,6),0)</f>
        <v>0</v>
      </c>
      <c r="BK1240" s="80">
        <f>IF(BE1240=1,ROUND((AR1240+AS1240)/60,6),0)</f>
        <v>0</v>
      </c>
      <c r="BL1240" s="80">
        <f>ROUND(BH1240-BK1240,6)</f>
        <v>0</v>
      </c>
      <c r="BM1240" s="80">
        <f>IF(BE1240=1,ROUND(AR1240/60,6),0)</f>
        <v>0</v>
      </c>
      <c r="BN1240" s="80">
        <f>ROUND(BI1240-BM1240,6)</f>
        <v>0</v>
      </c>
      <c r="BO1240" s="80">
        <f>IF(BE1240=1,ROUND(AS1240/60,6),0)</f>
        <v>0</v>
      </c>
      <c r="BP1240" s="80">
        <f>ROUND(BJ1240-BO1240,6)</f>
        <v>0</v>
      </c>
      <c r="BQ1240" s="80">
        <f>IF(BE1240=1,AW1240,0)</f>
        <v>0</v>
      </c>
      <c r="BR1240" s="80">
        <f>IF(BE1240=1,AX1240,0)</f>
        <v>0</v>
      </c>
      <c r="BS1240" s="80">
        <f>IF(AND(BE1240=1,D1240="Malcolm",BA1240&gt;0),MIN(BH1240,SUMPRODUCT((R_Emp="proMX")*(R_EN&gt;0)*((R_EN-(R_EN&gt;BR1240)*(R_EN-BR1240))&gt;(R_SN+(R_SN&lt;BQ1240)*(BQ1240-R_SN)))*((R_EN-(R_EN&gt;BR1240)*(R_EN-BR1240))-(R_SN+(R_SN&lt;BQ1240)*(BQ1240-R_SN))))/60),0)</f>
        <v>0</v>
      </c>
      <c r="BT1240" s="80">
        <f>IF(AND(BE1240=1,D1240="proMX"),ROUND(BI1240*CFG_RATE+BJ1240*CFG_OTRATE,6),0)</f>
        <v>0</v>
      </c>
      <c r="BU1240" s="80">
        <f>IF(AND(BD1240=1,D1240="proMX"),ROUND(AG1240/CFG_BLK,6),0)</f>
        <v>0</v>
      </c>
      <c r="BV1240" s="80" t="str">
        <f>IF(BF1240="Approved",IF(ISNUMBER(T1240),INT(T1240),INT(B1240)),"")</f>
        <v/>
      </c>
      <c r="BW1240" s="80">
        <f>IF(ISNUMBER(B1240),IF(DB_MON="Todos",1,IF(AND(INT(B1240)&gt;=DB_MS,INT(B1240)&lt;=DB_ME),1,0)),0)</f>
        <v>0</v>
      </c>
      <c r="BX1240" s="80">
        <f>IF(DB_PROJ="Todos",1,IF(E1240&amp;""=DB_PROJ&amp;"",1,0))</f>
        <v>1</v>
      </c>
      <c r="BY1240" s="80">
        <f>BW1240*BX1240</f>
        <v>0</v>
      </c>
      <c r="BZ1240" s="80" t="str">
        <f>IF(Y1240=1,F1240&amp;IF(AND(F1240&amp;""&lt;&gt;"",E1240&amp;""&lt;&gt;"")," · ","")&amp;E1240,"")</f>
        <v/>
      </c>
      <c r="CA1240" s="80" t="str">
        <f>IF(AND(BD1240=1,E1240&amp;""&lt;&gt;""),IF(COUNTIFS($E$5:E1239,E1240,$BD$5:BD1239,1)=0,MAX($CA$5:CA1239)+1,""),"")</f>
        <v/>
      </c>
      <c r="CB1240" s="80" t="str">
        <f>IF(AND(BE1240=1,D1240="Malcolm",E1240&amp;""&lt;&gt;""),IF(COUNTIFS($D$5:D1239,"Malcolm",$E$5:E1239,E1240,$BE$5:BE1239,1)=0,MAX($CB$5:CB1239)+1,""),"")</f>
        <v/>
      </c>
      <c r="CC1240" s="80" t="str">
        <f>IF(AND(BD1240=1,D1240="proMX",E1240&amp;""&lt;&gt;""),IF(COUNTIFS($D$5:D1239,"proMX",$E$5:E1239,E1240,$BD$5:BD1239,1)=0,MAX($CC$5:CC1239)+1,""),"")</f>
        <v/>
      </c>
      <c r="CD1240" s="80" t="str">
        <f>IF(AND(BE1240=1,D1240="Malcolm",F1240&amp;""&lt;&gt;""),IF(COUNTIFS($D$5:D1239,"Malcolm",$F$5:F1239,F1240,$BE$5:BE1239,1)=0,MAX($CD$5:CD1239)+1,""),"")</f>
        <v/>
      </c>
      <c r="CE1240" s="80" t="str">
        <f>IF(AND(BD1240=1,D1240="proMX",F1240&amp;""&lt;&gt;""),IF(COUNTIFS($D$5:D1239,"proMX",$F$5:F1239,F1240,$BD$5:BD1239,1)=0,MAX($CE$5:CE1239)+1,""),"")</f>
        <v/>
      </c>
      <c r="CF1240" s="80" t="str">
        <f>IF(AND(D1240="proMX",BD1240=1),IF(OR(BF1240="Draft",BF1240="Submitted",BF1240="Returned",BF1240="Recall Requested"),MAX($CF$5:CF1239)+1,""),"")</f>
        <v/>
      </c>
      <c r="CG1240" s="80">
        <f>IF(BD1240=0,0,IF(D1240="Malcolm",1,MATCH(BF1240,{"Draft","Submitted","Approved","Returned","Recall Requested","Cancelled"},0)+1))</f>
        <v>0</v>
      </c>
      <c r="CH1240" s="80">
        <f>IF(AND(BF1240="Submitted",ISNUMBER(V1240)),IF(V1240&gt;CFG_MAXD,1,0),0)</f>
        <v>0</v>
      </c>
    </row>
    <row r="1241">
      <c r="A1241" s="71" t="str">
        <f>IF(Y1241=1,ROW()-5,"")</f>
        <v/>
      </c>
      <c r="B1241" s="72" t="n"/>
      <c r="C1241" s="71" t="str">
        <f>IF(ISNUMBER(B1241),CHOOSE(WEEKDAY(B1241,2),"Lun","Mar","Mié","Jue","Vie","Sáb","Dom"),"")</f>
        <v/>
      </c>
      <c r="D1241" s="73" t="n"/>
      <c r="E1241" s="74" t="n"/>
      <c r="F1241" s="74" t="n"/>
      <c r="G1241" s="74" t="n"/>
      <c r="H1241" s="75" t="n"/>
      <c r="I1241" s="75" t="n"/>
      <c r="J1241" s="76" t="n"/>
      <c r="K1241" s="77" t="str">
        <f>IF(AB1241=1,ROUND(AG1241/60,4),"")</f>
        <v/>
      </c>
      <c r="L1241" s="77" t="str">
        <f>IF(BD1241=1,ROUND(AP1241/60,4),"")</f>
        <v/>
      </c>
      <c r="M1241" s="77" t="str">
        <f>IF(BD1241=1,ROUND(AQ1241/60,4),"")</f>
        <v/>
      </c>
      <c r="N1241" s="71" t="str">
        <f>IF(AND(D1241="proMX",AB1241=1),ROUND(AG1241/CFG_BLK,2),"")</f>
        <v/>
      </c>
      <c r="O1241" s="77" t="str">
        <f>IF(D1241="proMX",IF(BD1241=1,ROUND(AG1241/60,4),0),"")</f>
        <v/>
      </c>
      <c r="P1241" s="78" t="str">
        <f>IF(Y1241=0,"",IF(BD1241=1,"OK",IF(D1241="proMX","Revisar bloques: ","Revisar: ")&amp;BC1241))</f>
        <v/>
      </c>
      <c r="Q1241" s="78" t="str">
        <f>IF(NOT(ISNUMBER(B1241)),"",IF(COUNTIFS(FER_F,INT(B1241))&gt;0,"Feriado"&amp;IF(AH1241=1," (laborable)"," (no laborable)"),IF(AH1241=1,"Laborable",IF(WEEKDAY(B1241,2)&gt;5,"Fin de semana","No laborable"))))</f>
        <v/>
      </c>
      <c r="R1241" s="73" t="n"/>
      <c r="S1241" s="72" t="n"/>
      <c r="T1241" s="72" t="n"/>
      <c r="U1241" s="74" t="n"/>
      <c r="V1241" s="79" t="str">
        <f>IF(AND(D1241="proMX",OR(R1241="Submitted",R1241="Recall Requested"),ISNUMBER(S1241)),CFG_TODAY-INT(S1241),"")</f>
        <v/>
      </c>
      <c r="W1241" s="78" t="str">
        <f>IF(BD1241=0,"",IF(BA1241&gt;0,"⚠ Se superpone con un registro de la otra empresa",IF(D1241="Malcolm",IF(COUNTA(R1241,S1241,T1241)&gt;0,"Estado/fechas proMX se ignoran en Malcolm",""),IF(BF1241="Cancelled","Cancelado: excluido de totales",IF(R1241="","Sin estado: se trata como Draft",IF(BF1241="Submitted",IF(ISNUMBER(V1241),IF(V1241&gt;CFG_MAXD,"⚠ "&amp;V1241&amp;" días en Submitted (máx. "&amp;CFG_MAXD&amp;")",""),"Falta fecha de envío"),IF(BF1241="Returned","⚠ Devuelto: corregir y reenviar",IF(BF1241="Recall Requested","Retirada solicitada: pendiente",IF(AND(BF1241="Approved",NOT(ISNUMBER(T1241))),"Falta fecha de aprobación",IF(AND(ISNUMBER(S1241),ISNUMBER(T1241),T1241&lt;S1241),"Aprobación anterior al envío","")))))))))</f>
        <v/>
      </c>
      <c r="Y1241" s="80">
        <f>IF(COUNTA(B1241,D1241,E1241,F1241,G1241,H1241,I1241,J1241,R1241,S1241,T1241)&gt;0,1,0)</f>
        <v>0</v>
      </c>
      <c r="Z1241" s="80" t="str">
        <f>IF(AND(ISNUMBER(H1241),H1241&gt;=0,H1241&lt;1),ROUND(H1241*1440,0),"")</f>
        <v/>
      </c>
      <c r="AA1241" s="80" t="str">
        <f>IF(AND(ISNUMBER(I1241),I1241&gt;=0,I1241&lt;1),ROUND(I1241*1440,0),"")</f>
        <v/>
      </c>
      <c r="AB1241" s="80">
        <f>IF(AND(ISNUMBER(B1241),D1241&lt;&gt;"",ISNUMBER(Z1241),ISNUMBER(AA1241)),IF(Z1241=AA1241,0,1),0)</f>
        <v>0</v>
      </c>
      <c r="AC1241" s="80">
        <f>IF(AB1241=1,IF(AA1241&lt;Z1241,1,0),0)</f>
        <v>0</v>
      </c>
      <c r="AD1241" s="80">
        <f>IF(AB1241=1,IF(AC1241=1,1440-Z1241+AA1241,AA1241-Z1241),0)</f>
        <v>0</v>
      </c>
      <c r="AE1241" s="80">
        <f>IF(J1241="",0,IF(ISNUMBER(J1241),J1241,-1))</f>
        <v>0</v>
      </c>
      <c r="AF1241" s="80">
        <f>MIN(MAX(0,AE1241),AD1241)</f>
        <v>0</v>
      </c>
      <c r="AG1241" s="80">
        <f>MAX(0,AD1241-MAX(0,AE1241))</f>
        <v>0</v>
      </c>
      <c r="AH1241" s="80">
        <f>IF(ISNUMBER(B1241),IF(AND(INDEX(CFG_WDAYS,WEEKDAY(INT(B1241),2))="Sí",IF(D1241="proMX",COUNTIFS(FER_F,INT(B1241),FER_NLP,"Sí"),COUNTIFS(FER_F,INT(B1241),FER_NLM,"Sí"))=0),1,0),0)</f>
        <v>0</v>
      </c>
      <c r="AI1241" s="80">
        <f>IF(AC1241=1,IF(AND(INDEX(CFG_WDAYS,WEEKDAY(INT(B1241)+1,2))="Sí",IF(D1241="proMX",COUNTIFS(FER_F,INT(B1241)+1,FER_NLP,"Sí"),COUNTIFS(FER_F,INT(B1241)+1,FER_NLM,"Sí"))=0),1,0),0)</f>
        <v>0</v>
      </c>
      <c r="AJ1241" s="80">
        <f>IF(AC1241=1,1440-Z1241,AD1241)</f>
        <v>0</v>
      </c>
      <c r="AK1241" s="80">
        <f>IF(AND(AB1241=1,AH1241=1),MAX(0,MIN(IF(AC1241=1,1440,AA1241),CFG_WEM)-MAX(Z1241,CFG_WSM)),0)</f>
        <v>0</v>
      </c>
      <c r="AL1241" s="80">
        <f>IF(AND(AC1241=1,AI1241=1),MAX(0,MIN(AA1241,CFG_WEM)-CFG_WSM),0)</f>
        <v>0</v>
      </c>
      <c r="AM1241" s="80">
        <f>AK1241+AL1241</f>
        <v>0</v>
      </c>
      <c r="AN1241" s="80">
        <f>IF(CFG_BRK="Proporcional",IF(AD1241=0,0,AF1241*AM1241/AD1241),IF(CFG_BRK="Extras primero",MIN(AM1241,MAX(0,AF1241-(AD1241-AM1241))),MIN(AF1241,AM1241)))</f>
        <v>0</v>
      </c>
      <c r="AO1241" s="80">
        <f>AF1241-AN1241</f>
        <v>0</v>
      </c>
      <c r="AP1241" s="80">
        <f>AM1241-AN1241</f>
        <v>0</v>
      </c>
      <c r="AQ1241" s="80">
        <f>AD1241-AM1241-AO1241</f>
        <v>0</v>
      </c>
      <c r="AR1241" s="80">
        <f>IF(AM1241=0,0,AK1241-AN1241*AK1241/AM1241)</f>
        <v>0</v>
      </c>
      <c r="AS1241" s="80">
        <f>IF(AD1241-AM1241=0,0,(AJ1241-AK1241)-AO1241*(AJ1241-AK1241)/(AD1241-AM1241))</f>
        <v>0</v>
      </c>
      <c r="AT1241" s="80" t="str">
        <f>IF(AC1241=1,INT(B1241)+1,"")</f>
        <v/>
      </c>
      <c r="AU1241" s="80">
        <f>IF(AND(D1241="proMX",R1241="Cancelled"),0,1)</f>
        <v>1</v>
      </c>
      <c r="AV1241" s="80">
        <f>IF(AND(AB1241=1,AU1241=1),IF(COUNTIFS($D$5:D1240,D1241,$B$5:B1240,B1241,$Z$5:Z1240,Z1241,$AA$5:AA1240,AA1241,$F$5:F1240,F1241&amp;"",$AU$5:AU1240,1)&gt;0,1,0),0)</f>
        <v>0</v>
      </c>
      <c r="AW1241" s="80" t="str">
        <f>IF(AB1241=1,INT(B1241)*1440+Z1241,"")</f>
        <v/>
      </c>
      <c r="AX1241" s="80" t="str">
        <f>IF(AB1241=1,AW1241+AD1241,"")</f>
        <v/>
      </c>
      <c r="AY1241" s="80">
        <f>IF(AND(AB1241=1,AV1241=0,AU1241=1),1,0)</f>
        <v>0</v>
      </c>
      <c r="AZ1241" s="80">
        <f>IF(AY1241=1,COUNTIFS(R_Emp,D1241,R_SAbs,"&lt;"&amp;AX1241,R_EAbs,"&gt;"&amp;AW1241,R_OKey,1)-1,0)</f>
        <v>0</v>
      </c>
      <c r="BA1241" s="80">
        <f>IF(AY1241=1,COUNTIFS(R_Emp,"&lt;&gt;"&amp;D1241,R_SAbs,"&lt;"&amp;AX1241,R_EAbs,"&gt;"&amp;AW1241,R_OKey,1),0)</f>
        <v>0</v>
      </c>
      <c r="BB1241" s="80">
        <f>IF(AND(AB1241=1,D1241="proMX"),IF(AND(MOD(Z1241,CFG_BLK)=0,MOD(AA1241,CFG_BLK)=0,MOD(AG1241,CFG_BLK)=0,AG1241&gt;0),1,0),1)</f>
        <v>1</v>
      </c>
      <c r="BC1241" s="80" t="str">
        <f>IF(Y1241=0,"",IF(NOT(ISNUMBER(B1241)),"Falta fecha o fecha inválida",IF(D1241="","Falta empresa",IF(AND(D1241&lt;&gt;"Malcolm",D1241&lt;&gt;"proMX"),"Empresa inválida",IF(OR(INT(B1241)&lt;CFG_PSTART,INT(B1241)&gt;CFG_PEND),"Fecha fuera del período",IF(OR(NOT(ISNUMBER(Z1241)),NOT(ISNUMBER(AA1241))),"Falta hora inicio/fin o formato inválido",IF(AB1241=0,"Hora inicio = hora fin",IF(AE1241&lt;0,"Descanso inválido",IF(AE1241&gt;=AD1241,"Descanso ≥ duración",IF(AV1241=1,"Registro duplicado",IF(AZ1241&gt;0,"Se superpone con otro registro "&amp;D1241,IF(BB1241=0,"inicio, fin y duración neta deben ser múltiplos de "&amp;CFG_BLK&amp;" min",""))))))))))))</f>
        <v/>
      </c>
      <c r="BD1241" s="80">
        <f>IF(AND(Y1241=1,BC1241=""),1,0)</f>
        <v>0</v>
      </c>
      <c r="BE1241" s="80">
        <f>IF(AND(BD1241=1,AU1241=1),1,0)</f>
        <v>0</v>
      </c>
      <c r="BF1241" s="80" t="str">
        <f>IF(AND(D1241="proMX",BD1241=1),IF(R1241="","Draft",R1241),"")</f>
        <v/>
      </c>
      <c r="BG1241" s="80">
        <f>IF(BD1241=1,ROUND(AG1241/60,6),0)</f>
        <v>0</v>
      </c>
      <c r="BH1241" s="80">
        <f>IF(BE1241=1,ROUND(AG1241/60,6),0)</f>
        <v>0</v>
      </c>
      <c r="BI1241" s="80">
        <f>IF(BE1241=1,ROUND(AP1241/60,6),0)</f>
        <v>0</v>
      </c>
      <c r="BJ1241" s="80">
        <f>IF(BE1241=1,ROUND(AQ1241/60,6),0)</f>
        <v>0</v>
      </c>
      <c r="BK1241" s="80">
        <f>IF(BE1241=1,ROUND((AR1241+AS1241)/60,6),0)</f>
        <v>0</v>
      </c>
      <c r="BL1241" s="80">
        <f>ROUND(BH1241-BK1241,6)</f>
        <v>0</v>
      </c>
      <c r="BM1241" s="80">
        <f>IF(BE1241=1,ROUND(AR1241/60,6),0)</f>
        <v>0</v>
      </c>
      <c r="BN1241" s="80">
        <f>ROUND(BI1241-BM1241,6)</f>
        <v>0</v>
      </c>
      <c r="BO1241" s="80">
        <f>IF(BE1241=1,ROUND(AS1241/60,6),0)</f>
        <v>0</v>
      </c>
      <c r="BP1241" s="80">
        <f>ROUND(BJ1241-BO1241,6)</f>
        <v>0</v>
      </c>
      <c r="BQ1241" s="80">
        <f>IF(BE1241=1,AW1241,0)</f>
        <v>0</v>
      </c>
      <c r="BR1241" s="80">
        <f>IF(BE1241=1,AX1241,0)</f>
        <v>0</v>
      </c>
      <c r="BS1241" s="80">
        <f>IF(AND(BE1241=1,D1241="Malcolm",BA1241&gt;0),MIN(BH1241,SUMPRODUCT((R_Emp="proMX")*(R_EN&gt;0)*((R_EN-(R_EN&gt;BR1241)*(R_EN-BR1241))&gt;(R_SN+(R_SN&lt;BQ1241)*(BQ1241-R_SN)))*((R_EN-(R_EN&gt;BR1241)*(R_EN-BR1241))-(R_SN+(R_SN&lt;BQ1241)*(BQ1241-R_SN))))/60),0)</f>
        <v>0</v>
      </c>
      <c r="BT1241" s="80">
        <f>IF(AND(BE1241=1,D1241="proMX"),ROUND(BI1241*CFG_RATE+BJ1241*CFG_OTRATE,6),0)</f>
        <v>0</v>
      </c>
      <c r="BU1241" s="80">
        <f>IF(AND(BD1241=1,D1241="proMX"),ROUND(AG1241/CFG_BLK,6),0)</f>
        <v>0</v>
      </c>
      <c r="BV1241" s="80" t="str">
        <f>IF(BF1241="Approved",IF(ISNUMBER(T1241),INT(T1241),INT(B1241)),"")</f>
        <v/>
      </c>
      <c r="BW1241" s="80">
        <f>IF(ISNUMBER(B1241),IF(DB_MON="Todos",1,IF(AND(INT(B1241)&gt;=DB_MS,INT(B1241)&lt;=DB_ME),1,0)),0)</f>
        <v>0</v>
      </c>
      <c r="BX1241" s="80">
        <f>IF(DB_PROJ="Todos",1,IF(E1241&amp;""=DB_PROJ&amp;"",1,0))</f>
        <v>1</v>
      </c>
      <c r="BY1241" s="80">
        <f>BW1241*BX1241</f>
        <v>0</v>
      </c>
      <c r="BZ1241" s="80" t="str">
        <f>IF(Y1241=1,F1241&amp;IF(AND(F1241&amp;""&lt;&gt;"",E1241&amp;""&lt;&gt;"")," · ","")&amp;E1241,"")</f>
        <v/>
      </c>
      <c r="CA1241" s="80" t="str">
        <f>IF(AND(BD1241=1,E1241&amp;""&lt;&gt;""),IF(COUNTIFS($E$5:E1240,E1241,$BD$5:BD1240,1)=0,MAX($CA$5:CA1240)+1,""),"")</f>
        <v/>
      </c>
      <c r="CB1241" s="80" t="str">
        <f>IF(AND(BE1241=1,D1241="Malcolm",E1241&amp;""&lt;&gt;""),IF(COUNTIFS($D$5:D1240,"Malcolm",$E$5:E1240,E1241,$BE$5:BE1240,1)=0,MAX($CB$5:CB1240)+1,""),"")</f>
        <v/>
      </c>
      <c r="CC1241" s="80" t="str">
        <f>IF(AND(BD1241=1,D1241="proMX",E1241&amp;""&lt;&gt;""),IF(COUNTIFS($D$5:D1240,"proMX",$E$5:E1240,E1241,$BD$5:BD1240,1)=0,MAX($CC$5:CC1240)+1,""),"")</f>
        <v/>
      </c>
      <c r="CD1241" s="80" t="str">
        <f>IF(AND(BE1241=1,D1241="Malcolm",F1241&amp;""&lt;&gt;""),IF(COUNTIFS($D$5:D1240,"Malcolm",$F$5:F1240,F1241,$BE$5:BE1240,1)=0,MAX($CD$5:CD1240)+1,""),"")</f>
        <v/>
      </c>
      <c r="CE1241" s="80" t="str">
        <f>IF(AND(BD1241=1,D1241="proMX",F1241&amp;""&lt;&gt;""),IF(COUNTIFS($D$5:D1240,"proMX",$F$5:F1240,F1241,$BD$5:BD1240,1)=0,MAX($CE$5:CE1240)+1,""),"")</f>
        <v/>
      </c>
      <c r="CF1241" s="80" t="str">
        <f>IF(AND(D1241="proMX",BD1241=1),IF(OR(BF1241="Draft",BF1241="Submitted",BF1241="Returned",BF1241="Recall Requested"),MAX($CF$5:CF1240)+1,""),"")</f>
        <v/>
      </c>
      <c r="CG1241" s="80">
        <f>IF(BD1241=0,0,IF(D1241="Malcolm",1,MATCH(BF1241,{"Draft","Submitted","Approved","Returned","Recall Requested","Cancelled"},0)+1))</f>
        <v>0</v>
      </c>
      <c r="CH1241" s="80">
        <f>IF(AND(BF1241="Submitted",ISNUMBER(V1241)),IF(V1241&gt;CFG_MAXD,1,0),0)</f>
        <v>0</v>
      </c>
    </row>
    <row r="1242">
      <c r="A1242" s="71" t="str">
        <f>IF(Y1242=1,ROW()-5,"")</f>
        <v/>
      </c>
      <c r="B1242" s="72" t="n"/>
      <c r="C1242" s="71" t="str">
        <f>IF(ISNUMBER(B1242),CHOOSE(WEEKDAY(B1242,2),"Lun","Mar","Mié","Jue","Vie","Sáb","Dom"),"")</f>
        <v/>
      </c>
      <c r="D1242" s="73" t="n"/>
      <c r="E1242" s="74" t="n"/>
      <c r="F1242" s="74" t="n"/>
      <c r="G1242" s="74" t="n"/>
      <c r="H1242" s="75" t="n"/>
      <c r="I1242" s="75" t="n"/>
      <c r="J1242" s="76" t="n"/>
      <c r="K1242" s="77" t="str">
        <f>IF(AB1242=1,ROUND(AG1242/60,4),"")</f>
        <v/>
      </c>
      <c r="L1242" s="77" t="str">
        <f>IF(BD1242=1,ROUND(AP1242/60,4),"")</f>
        <v/>
      </c>
      <c r="M1242" s="77" t="str">
        <f>IF(BD1242=1,ROUND(AQ1242/60,4),"")</f>
        <v/>
      </c>
      <c r="N1242" s="71" t="str">
        <f>IF(AND(D1242="proMX",AB1242=1),ROUND(AG1242/CFG_BLK,2),"")</f>
        <v/>
      </c>
      <c r="O1242" s="77" t="str">
        <f>IF(D1242="proMX",IF(BD1242=1,ROUND(AG1242/60,4),0),"")</f>
        <v/>
      </c>
      <c r="P1242" s="78" t="str">
        <f>IF(Y1242=0,"",IF(BD1242=1,"OK",IF(D1242="proMX","Revisar bloques: ","Revisar: ")&amp;BC1242))</f>
        <v/>
      </c>
      <c r="Q1242" s="78" t="str">
        <f>IF(NOT(ISNUMBER(B1242)),"",IF(COUNTIFS(FER_F,INT(B1242))&gt;0,"Feriado"&amp;IF(AH1242=1," (laborable)"," (no laborable)"),IF(AH1242=1,"Laborable",IF(WEEKDAY(B1242,2)&gt;5,"Fin de semana","No laborable"))))</f>
        <v/>
      </c>
      <c r="R1242" s="73" t="n"/>
      <c r="S1242" s="72" t="n"/>
      <c r="T1242" s="72" t="n"/>
      <c r="U1242" s="74" t="n"/>
      <c r="V1242" s="79" t="str">
        <f>IF(AND(D1242="proMX",OR(R1242="Submitted",R1242="Recall Requested"),ISNUMBER(S1242)),CFG_TODAY-INT(S1242),"")</f>
        <v/>
      </c>
      <c r="W1242" s="78" t="str">
        <f>IF(BD1242=0,"",IF(BA1242&gt;0,"⚠ Se superpone con un registro de la otra empresa",IF(D1242="Malcolm",IF(COUNTA(R1242,S1242,T1242)&gt;0,"Estado/fechas proMX se ignoran en Malcolm",""),IF(BF1242="Cancelled","Cancelado: excluido de totales",IF(R1242="","Sin estado: se trata como Draft",IF(BF1242="Submitted",IF(ISNUMBER(V1242),IF(V1242&gt;CFG_MAXD,"⚠ "&amp;V1242&amp;" días en Submitted (máx. "&amp;CFG_MAXD&amp;")",""),"Falta fecha de envío"),IF(BF1242="Returned","⚠ Devuelto: corregir y reenviar",IF(BF1242="Recall Requested","Retirada solicitada: pendiente",IF(AND(BF1242="Approved",NOT(ISNUMBER(T1242))),"Falta fecha de aprobación",IF(AND(ISNUMBER(S1242),ISNUMBER(T1242),T1242&lt;S1242),"Aprobación anterior al envío","")))))))))</f>
        <v/>
      </c>
      <c r="Y1242" s="80">
        <f>IF(COUNTA(B1242,D1242,E1242,F1242,G1242,H1242,I1242,J1242,R1242,S1242,T1242)&gt;0,1,0)</f>
        <v>0</v>
      </c>
      <c r="Z1242" s="80" t="str">
        <f>IF(AND(ISNUMBER(H1242),H1242&gt;=0,H1242&lt;1),ROUND(H1242*1440,0),"")</f>
        <v/>
      </c>
      <c r="AA1242" s="80" t="str">
        <f>IF(AND(ISNUMBER(I1242),I1242&gt;=0,I1242&lt;1),ROUND(I1242*1440,0),"")</f>
        <v/>
      </c>
      <c r="AB1242" s="80">
        <f>IF(AND(ISNUMBER(B1242),D1242&lt;&gt;"",ISNUMBER(Z1242),ISNUMBER(AA1242)),IF(Z1242=AA1242,0,1),0)</f>
        <v>0</v>
      </c>
      <c r="AC1242" s="80">
        <f>IF(AB1242=1,IF(AA1242&lt;Z1242,1,0),0)</f>
        <v>0</v>
      </c>
      <c r="AD1242" s="80">
        <f>IF(AB1242=1,IF(AC1242=1,1440-Z1242+AA1242,AA1242-Z1242),0)</f>
        <v>0</v>
      </c>
      <c r="AE1242" s="80">
        <f>IF(J1242="",0,IF(ISNUMBER(J1242),J1242,-1))</f>
        <v>0</v>
      </c>
      <c r="AF1242" s="80">
        <f>MIN(MAX(0,AE1242),AD1242)</f>
        <v>0</v>
      </c>
      <c r="AG1242" s="80">
        <f>MAX(0,AD1242-MAX(0,AE1242))</f>
        <v>0</v>
      </c>
      <c r="AH1242" s="80">
        <f>IF(ISNUMBER(B1242),IF(AND(INDEX(CFG_WDAYS,WEEKDAY(INT(B1242),2))="Sí",IF(D1242="proMX",COUNTIFS(FER_F,INT(B1242),FER_NLP,"Sí"),COUNTIFS(FER_F,INT(B1242),FER_NLM,"Sí"))=0),1,0),0)</f>
        <v>0</v>
      </c>
      <c r="AI1242" s="80">
        <f>IF(AC1242=1,IF(AND(INDEX(CFG_WDAYS,WEEKDAY(INT(B1242)+1,2))="Sí",IF(D1242="proMX",COUNTIFS(FER_F,INT(B1242)+1,FER_NLP,"Sí"),COUNTIFS(FER_F,INT(B1242)+1,FER_NLM,"Sí"))=0),1,0),0)</f>
        <v>0</v>
      </c>
      <c r="AJ1242" s="80">
        <f>IF(AC1242=1,1440-Z1242,AD1242)</f>
        <v>0</v>
      </c>
      <c r="AK1242" s="80">
        <f>IF(AND(AB1242=1,AH1242=1),MAX(0,MIN(IF(AC1242=1,1440,AA1242),CFG_WEM)-MAX(Z1242,CFG_WSM)),0)</f>
        <v>0</v>
      </c>
      <c r="AL1242" s="80">
        <f>IF(AND(AC1242=1,AI1242=1),MAX(0,MIN(AA1242,CFG_WEM)-CFG_WSM),0)</f>
        <v>0</v>
      </c>
      <c r="AM1242" s="80">
        <f>AK1242+AL1242</f>
        <v>0</v>
      </c>
      <c r="AN1242" s="80">
        <f>IF(CFG_BRK="Proporcional",IF(AD1242=0,0,AF1242*AM1242/AD1242),IF(CFG_BRK="Extras primero",MIN(AM1242,MAX(0,AF1242-(AD1242-AM1242))),MIN(AF1242,AM1242)))</f>
        <v>0</v>
      </c>
      <c r="AO1242" s="80">
        <f>AF1242-AN1242</f>
        <v>0</v>
      </c>
      <c r="AP1242" s="80">
        <f>AM1242-AN1242</f>
        <v>0</v>
      </c>
      <c r="AQ1242" s="80">
        <f>AD1242-AM1242-AO1242</f>
        <v>0</v>
      </c>
      <c r="AR1242" s="80">
        <f>IF(AM1242=0,0,AK1242-AN1242*AK1242/AM1242)</f>
        <v>0</v>
      </c>
      <c r="AS1242" s="80">
        <f>IF(AD1242-AM1242=0,0,(AJ1242-AK1242)-AO1242*(AJ1242-AK1242)/(AD1242-AM1242))</f>
        <v>0</v>
      </c>
      <c r="AT1242" s="80" t="str">
        <f>IF(AC1242=1,INT(B1242)+1,"")</f>
        <v/>
      </c>
      <c r="AU1242" s="80">
        <f>IF(AND(D1242="proMX",R1242="Cancelled"),0,1)</f>
        <v>1</v>
      </c>
      <c r="AV1242" s="80">
        <f>IF(AND(AB1242=1,AU1242=1),IF(COUNTIFS($D$5:D1241,D1242,$B$5:B1241,B1242,$Z$5:Z1241,Z1242,$AA$5:AA1241,AA1242,$F$5:F1241,F1242&amp;"",$AU$5:AU1241,1)&gt;0,1,0),0)</f>
        <v>0</v>
      </c>
      <c r="AW1242" s="80" t="str">
        <f>IF(AB1242=1,INT(B1242)*1440+Z1242,"")</f>
        <v/>
      </c>
      <c r="AX1242" s="80" t="str">
        <f>IF(AB1242=1,AW1242+AD1242,"")</f>
        <v/>
      </c>
      <c r="AY1242" s="80">
        <f>IF(AND(AB1242=1,AV1242=0,AU1242=1),1,0)</f>
        <v>0</v>
      </c>
      <c r="AZ1242" s="80">
        <f>IF(AY1242=1,COUNTIFS(R_Emp,D1242,R_SAbs,"&lt;"&amp;AX1242,R_EAbs,"&gt;"&amp;AW1242,R_OKey,1)-1,0)</f>
        <v>0</v>
      </c>
      <c r="BA1242" s="80">
        <f>IF(AY1242=1,COUNTIFS(R_Emp,"&lt;&gt;"&amp;D1242,R_SAbs,"&lt;"&amp;AX1242,R_EAbs,"&gt;"&amp;AW1242,R_OKey,1),0)</f>
        <v>0</v>
      </c>
      <c r="BB1242" s="80">
        <f>IF(AND(AB1242=1,D1242="proMX"),IF(AND(MOD(Z1242,CFG_BLK)=0,MOD(AA1242,CFG_BLK)=0,MOD(AG1242,CFG_BLK)=0,AG1242&gt;0),1,0),1)</f>
        <v>1</v>
      </c>
      <c r="BC1242" s="80" t="str">
        <f>IF(Y1242=0,"",IF(NOT(ISNUMBER(B1242)),"Falta fecha o fecha inválida",IF(D1242="","Falta empresa",IF(AND(D1242&lt;&gt;"Malcolm",D1242&lt;&gt;"proMX"),"Empresa inválida",IF(OR(INT(B1242)&lt;CFG_PSTART,INT(B1242)&gt;CFG_PEND),"Fecha fuera del período",IF(OR(NOT(ISNUMBER(Z1242)),NOT(ISNUMBER(AA1242))),"Falta hora inicio/fin o formato inválido",IF(AB1242=0,"Hora inicio = hora fin",IF(AE1242&lt;0,"Descanso inválido",IF(AE1242&gt;=AD1242,"Descanso ≥ duración",IF(AV1242=1,"Registro duplicado",IF(AZ1242&gt;0,"Se superpone con otro registro "&amp;D1242,IF(BB1242=0,"inicio, fin y duración neta deben ser múltiplos de "&amp;CFG_BLK&amp;" min",""))))))))))))</f>
        <v/>
      </c>
      <c r="BD1242" s="80">
        <f>IF(AND(Y1242=1,BC1242=""),1,0)</f>
        <v>0</v>
      </c>
      <c r="BE1242" s="80">
        <f>IF(AND(BD1242=1,AU1242=1),1,0)</f>
        <v>0</v>
      </c>
      <c r="BF1242" s="80" t="str">
        <f>IF(AND(D1242="proMX",BD1242=1),IF(R1242="","Draft",R1242),"")</f>
        <v/>
      </c>
      <c r="BG1242" s="80">
        <f>IF(BD1242=1,ROUND(AG1242/60,6),0)</f>
        <v>0</v>
      </c>
      <c r="BH1242" s="80">
        <f>IF(BE1242=1,ROUND(AG1242/60,6),0)</f>
        <v>0</v>
      </c>
      <c r="BI1242" s="80">
        <f>IF(BE1242=1,ROUND(AP1242/60,6),0)</f>
        <v>0</v>
      </c>
      <c r="BJ1242" s="80">
        <f>IF(BE1242=1,ROUND(AQ1242/60,6),0)</f>
        <v>0</v>
      </c>
      <c r="BK1242" s="80">
        <f>IF(BE1242=1,ROUND((AR1242+AS1242)/60,6),0)</f>
        <v>0</v>
      </c>
      <c r="BL1242" s="80">
        <f>ROUND(BH1242-BK1242,6)</f>
        <v>0</v>
      </c>
      <c r="BM1242" s="80">
        <f>IF(BE1242=1,ROUND(AR1242/60,6),0)</f>
        <v>0</v>
      </c>
      <c r="BN1242" s="80">
        <f>ROUND(BI1242-BM1242,6)</f>
        <v>0</v>
      </c>
      <c r="BO1242" s="80">
        <f>IF(BE1242=1,ROUND(AS1242/60,6),0)</f>
        <v>0</v>
      </c>
      <c r="BP1242" s="80">
        <f>ROUND(BJ1242-BO1242,6)</f>
        <v>0</v>
      </c>
      <c r="BQ1242" s="80">
        <f>IF(BE1242=1,AW1242,0)</f>
        <v>0</v>
      </c>
      <c r="BR1242" s="80">
        <f>IF(BE1242=1,AX1242,0)</f>
        <v>0</v>
      </c>
      <c r="BS1242" s="80">
        <f>IF(AND(BE1242=1,D1242="Malcolm",BA1242&gt;0),MIN(BH1242,SUMPRODUCT((R_Emp="proMX")*(R_EN&gt;0)*((R_EN-(R_EN&gt;BR1242)*(R_EN-BR1242))&gt;(R_SN+(R_SN&lt;BQ1242)*(BQ1242-R_SN)))*((R_EN-(R_EN&gt;BR1242)*(R_EN-BR1242))-(R_SN+(R_SN&lt;BQ1242)*(BQ1242-R_SN))))/60),0)</f>
        <v>0</v>
      </c>
      <c r="BT1242" s="80">
        <f>IF(AND(BE1242=1,D1242="proMX"),ROUND(BI1242*CFG_RATE+BJ1242*CFG_OTRATE,6),0)</f>
        <v>0</v>
      </c>
      <c r="BU1242" s="80">
        <f>IF(AND(BD1242=1,D1242="proMX"),ROUND(AG1242/CFG_BLK,6),0)</f>
        <v>0</v>
      </c>
      <c r="BV1242" s="80" t="str">
        <f>IF(BF1242="Approved",IF(ISNUMBER(T1242),INT(T1242),INT(B1242)),"")</f>
        <v/>
      </c>
      <c r="BW1242" s="80">
        <f>IF(ISNUMBER(B1242),IF(DB_MON="Todos",1,IF(AND(INT(B1242)&gt;=DB_MS,INT(B1242)&lt;=DB_ME),1,0)),0)</f>
        <v>0</v>
      </c>
      <c r="BX1242" s="80">
        <f>IF(DB_PROJ="Todos",1,IF(E1242&amp;""=DB_PROJ&amp;"",1,0))</f>
        <v>1</v>
      </c>
      <c r="BY1242" s="80">
        <f>BW1242*BX1242</f>
        <v>0</v>
      </c>
      <c r="BZ1242" s="80" t="str">
        <f>IF(Y1242=1,F1242&amp;IF(AND(F1242&amp;""&lt;&gt;"",E1242&amp;""&lt;&gt;"")," · ","")&amp;E1242,"")</f>
        <v/>
      </c>
      <c r="CA1242" s="80" t="str">
        <f>IF(AND(BD1242=1,E1242&amp;""&lt;&gt;""),IF(COUNTIFS($E$5:E1241,E1242,$BD$5:BD1241,1)=0,MAX($CA$5:CA1241)+1,""),"")</f>
        <v/>
      </c>
      <c r="CB1242" s="80" t="str">
        <f>IF(AND(BE1242=1,D1242="Malcolm",E1242&amp;""&lt;&gt;""),IF(COUNTIFS($D$5:D1241,"Malcolm",$E$5:E1241,E1242,$BE$5:BE1241,1)=0,MAX($CB$5:CB1241)+1,""),"")</f>
        <v/>
      </c>
      <c r="CC1242" s="80" t="str">
        <f>IF(AND(BD1242=1,D1242="proMX",E1242&amp;""&lt;&gt;""),IF(COUNTIFS($D$5:D1241,"proMX",$E$5:E1241,E1242,$BD$5:BD1241,1)=0,MAX($CC$5:CC1241)+1,""),"")</f>
        <v/>
      </c>
      <c r="CD1242" s="80" t="str">
        <f>IF(AND(BE1242=1,D1242="Malcolm",F1242&amp;""&lt;&gt;""),IF(COUNTIFS($D$5:D1241,"Malcolm",$F$5:F1241,F1242,$BE$5:BE1241,1)=0,MAX($CD$5:CD1241)+1,""),"")</f>
        <v/>
      </c>
      <c r="CE1242" s="80" t="str">
        <f>IF(AND(BD1242=1,D1242="proMX",F1242&amp;""&lt;&gt;""),IF(COUNTIFS($D$5:D1241,"proMX",$F$5:F1241,F1242,$BD$5:BD1241,1)=0,MAX($CE$5:CE1241)+1,""),"")</f>
        <v/>
      </c>
      <c r="CF1242" s="80" t="str">
        <f>IF(AND(D1242="proMX",BD1242=1),IF(OR(BF1242="Draft",BF1242="Submitted",BF1242="Returned",BF1242="Recall Requested"),MAX($CF$5:CF1241)+1,""),"")</f>
        <v/>
      </c>
      <c r="CG1242" s="80">
        <f>IF(BD1242=0,0,IF(D1242="Malcolm",1,MATCH(BF1242,{"Draft","Submitted","Approved","Returned","Recall Requested","Cancelled"},0)+1))</f>
        <v>0</v>
      </c>
      <c r="CH1242" s="80">
        <f>IF(AND(BF1242="Submitted",ISNUMBER(V1242)),IF(V1242&gt;CFG_MAXD,1,0),0)</f>
        <v>0</v>
      </c>
    </row>
    <row r="1243">
      <c r="A1243" s="71" t="str">
        <f>IF(Y1243=1,ROW()-5,"")</f>
        <v/>
      </c>
      <c r="B1243" s="72" t="n"/>
      <c r="C1243" s="71" t="str">
        <f>IF(ISNUMBER(B1243),CHOOSE(WEEKDAY(B1243,2),"Lun","Mar","Mié","Jue","Vie","Sáb","Dom"),"")</f>
        <v/>
      </c>
      <c r="D1243" s="73" t="n"/>
      <c r="E1243" s="74" t="n"/>
      <c r="F1243" s="74" t="n"/>
      <c r="G1243" s="74" t="n"/>
      <c r="H1243" s="75" t="n"/>
      <c r="I1243" s="75" t="n"/>
      <c r="J1243" s="76" t="n"/>
      <c r="K1243" s="77" t="str">
        <f>IF(AB1243=1,ROUND(AG1243/60,4),"")</f>
        <v/>
      </c>
      <c r="L1243" s="77" t="str">
        <f>IF(BD1243=1,ROUND(AP1243/60,4),"")</f>
        <v/>
      </c>
      <c r="M1243" s="77" t="str">
        <f>IF(BD1243=1,ROUND(AQ1243/60,4),"")</f>
        <v/>
      </c>
      <c r="N1243" s="71" t="str">
        <f>IF(AND(D1243="proMX",AB1243=1),ROUND(AG1243/CFG_BLK,2),"")</f>
        <v/>
      </c>
      <c r="O1243" s="77" t="str">
        <f>IF(D1243="proMX",IF(BD1243=1,ROUND(AG1243/60,4),0),"")</f>
        <v/>
      </c>
      <c r="P1243" s="78" t="str">
        <f>IF(Y1243=0,"",IF(BD1243=1,"OK",IF(D1243="proMX","Revisar bloques: ","Revisar: ")&amp;BC1243))</f>
        <v/>
      </c>
      <c r="Q1243" s="78" t="str">
        <f>IF(NOT(ISNUMBER(B1243)),"",IF(COUNTIFS(FER_F,INT(B1243))&gt;0,"Feriado"&amp;IF(AH1243=1," (laborable)"," (no laborable)"),IF(AH1243=1,"Laborable",IF(WEEKDAY(B1243,2)&gt;5,"Fin de semana","No laborable"))))</f>
        <v/>
      </c>
      <c r="R1243" s="73" t="n"/>
      <c r="S1243" s="72" t="n"/>
      <c r="T1243" s="72" t="n"/>
      <c r="U1243" s="74" t="n"/>
      <c r="V1243" s="79" t="str">
        <f>IF(AND(D1243="proMX",OR(R1243="Submitted",R1243="Recall Requested"),ISNUMBER(S1243)),CFG_TODAY-INT(S1243),"")</f>
        <v/>
      </c>
      <c r="W1243" s="78" t="str">
        <f>IF(BD1243=0,"",IF(BA1243&gt;0,"⚠ Se superpone con un registro de la otra empresa",IF(D1243="Malcolm",IF(COUNTA(R1243,S1243,T1243)&gt;0,"Estado/fechas proMX se ignoran en Malcolm",""),IF(BF1243="Cancelled","Cancelado: excluido de totales",IF(R1243="","Sin estado: se trata como Draft",IF(BF1243="Submitted",IF(ISNUMBER(V1243),IF(V1243&gt;CFG_MAXD,"⚠ "&amp;V1243&amp;" días en Submitted (máx. "&amp;CFG_MAXD&amp;")",""),"Falta fecha de envío"),IF(BF1243="Returned","⚠ Devuelto: corregir y reenviar",IF(BF1243="Recall Requested","Retirada solicitada: pendiente",IF(AND(BF1243="Approved",NOT(ISNUMBER(T1243))),"Falta fecha de aprobación",IF(AND(ISNUMBER(S1243),ISNUMBER(T1243),T1243&lt;S1243),"Aprobación anterior al envío","")))))))))</f>
        <v/>
      </c>
      <c r="Y1243" s="80">
        <f>IF(COUNTA(B1243,D1243,E1243,F1243,G1243,H1243,I1243,J1243,R1243,S1243,T1243)&gt;0,1,0)</f>
        <v>0</v>
      </c>
      <c r="Z1243" s="80" t="str">
        <f>IF(AND(ISNUMBER(H1243),H1243&gt;=0,H1243&lt;1),ROUND(H1243*1440,0),"")</f>
        <v/>
      </c>
      <c r="AA1243" s="80" t="str">
        <f>IF(AND(ISNUMBER(I1243),I1243&gt;=0,I1243&lt;1),ROUND(I1243*1440,0),"")</f>
        <v/>
      </c>
      <c r="AB1243" s="80">
        <f>IF(AND(ISNUMBER(B1243),D1243&lt;&gt;"",ISNUMBER(Z1243),ISNUMBER(AA1243)),IF(Z1243=AA1243,0,1),0)</f>
        <v>0</v>
      </c>
      <c r="AC1243" s="80">
        <f>IF(AB1243=1,IF(AA1243&lt;Z1243,1,0),0)</f>
        <v>0</v>
      </c>
      <c r="AD1243" s="80">
        <f>IF(AB1243=1,IF(AC1243=1,1440-Z1243+AA1243,AA1243-Z1243),0)</f>
        <v>0</v>
      </c>
      <c r="AE1243" s="80">
        <f>IF(J1243="",0,IF(ISNUMBER(J1243),J1243,-1))</f>
        <v>0</v>
      </c>
      <c r="AF1243" s="80">
        <f>MIN(MAX(0,AE1243),AD1243)</f>
        <v>0</v>
      </c>
      <c r="AG1243" s="80">
        <f>MAX(0,AD1243-MAX(0,AE1243))</f>
        <v>0</v>
      </c>
      <c r="AH1243" s="80">
        <f>IF(ISNUMBER(B1243),IF(AND(INDEX(CFG_WDAYS,WEEKDAY(INT(B1243),2))="Sí",IF(D1243="proMX",COUNTIFS(FER_F,INT(B1243),FER_NLP,"Sí"),COUNTIFS(FER_F,INT(B1243),FER_NLM,"Sí"))=0),1,0),0)</f>
        <v>0</v>
      </c>
      <c r="AI1243" s="80">
        <f>IF(AC1243=1,IF(AND(INDEX(CFG_WDAYS,WEEKDAY(INT(B1243)+1,2))="Sí",IF(D1243="proMX",COUNTIFS(FER_F,INT(B1243)+1,FER_NLP,"Sí"),COUNTIFS(FER_F,INT(B1243)+1,FER_NLM,"Sí"))=0),1,0),0)</f>
        <v>0</v>
      </c>
      <c r="AJ1243" s="80">
        <f>IF(AC1243=1,1440-Z1243,AD1243)</f>
        <v>0</v>
      </c>
      <c r="AK1243" s="80">
        <f>IF(AND(AB1243=1,AH1243=1),MAX(0,MIN(IF(AC1243=1,1440,AA1243),CFG_WEM)-MAX(Z1243,CFG_WSM)),0)</f>
        <v>0</v>
      </c>
      <c r="AL1243" s="80">
        <f>IF(AND(AC1243=1,AI1243=1),MAX(0,MIN(AA1243,CFG_WEM)-CFG_WSM),0)</f>
        <v>0</v>
      </c>
      <c r="AM1243" s="80">
        <f>AK1243+AL1243</f>
        <v>0</v>
      </c>
      <c r="AN1243" s="80">
        <f>IF(CFG_BRK="Proporcional",IF(AD1243=0,0,AF1243*AM1243/AD1243),IF(CFG_BRK="Extras primero",MIN(AM1243,MAX(0,AF1243-(AD1243-AM1243))),MIN(AF1243,AM1243)))</f>
        <v>0</v>
      </c>
      <c r="AO1243" s="80">
        <f>AF1243-AN1243</f>
        <v>0</v>
      </c>
      <c r="AP1243" s="80">
        <f>AM1243-AN1243</f>
        <v>0</v>
      </c>
      <c r="AQ1243" s="80">
        <f>AD1243-AM1243-AO1243</f>
        <v>0</v>
      </c>
      <c r="AR1243" s="80">
        <f>IF(AM1243=0,0,AK1243-AN1243*AK1243/AM1243)</f>
        <v>0</v>
      </c>
      <c r="AS1243" s="80">
        <f>IF(AD1243-AM1243=0,0,(AJ1243-AK1243)-AO1243*(AJ1243-AK1243)/(AD1243-AM1243))</f>
        <v>0</v>
      </c>
      <c r="AT1243" s="80" t="str">
        <f>IF(AC1243=1,INT(B1243)+1,"")</f>
        <v/>
      </c>
      <c r="AU1243" s="80">
        <f>IF(AND(D1243="proMX",R1243="Cancelled"),0,1)</f>
        <v>1</v>
      </c>
      <c r="AV1243" s="80">
        <f>IF(AND(AB1243=1,AU1243=1),IF(COUNTIFS($D$5:D1242,D1243,$B$5:B1242,B1243,$Z$5:Z1242,Z1243,$AA$5:AA1242,AA1243,$F$5:F1242,F1243&amp;"",$AU$5:AU1242,1)&gt;0,1,0),0)</f>
        <v>0</v>
      </c>
      <c r="AW1243" s="80" t="str">
        <f>IF(AB1243=1,INT(B1243)*1440+Z1243,"")</f>
        <v/>
      </c>
      <c r="AX1243" s="80" t="str">
        <f>IF(AB1243=1,AW1243+AD1243,"")</f>
        <v/>
      </c>
      <c r="AY1243" s="80">
        <f>IF(AND(AB1243=1,AV1243=0,AU1243=1),1,0)</f>
        <v>0</v>
      </c>
      <c r="AZ1243" s="80">
        <f>IF(AY1243=1,COUNTIFS(R_Emp,D1243,R_SAbs,"&lt;"&amp;AX1243,R_EAbs,"&gt;"&amp;AW1243,R_OKey,1)-1,0)</f>
        <v>0</v>
      </c>
      <c r="BA1243" s="80">
        <f>IF(AY1243=1,COUNTIFS(R_Emp,"&lt;&gt;"&amp;D1243,R_SAbs,"&lt;"&amp;AX1243,R_EAbs,"&gt;"&amp;AW1243,R_OKey,1),0)</f>
        <v>0</v>
      </c>
      <c r="BB1243" s="80">
        <f>IF(AND(AB1243=1,D1243="proMX"),IF(AND(MOD(Z1243,CFG_BLK)=0,MOD(AA1243,CFG_BLK)=0,MOD(AG1243,CFG_BLK)=0,AG1243&gt;0),1,0),1)</f>
        <v>1</v>
      </c>
      <c r="BC1243" s="80" t="str">
        <f>IF(Y1243=0,"",IF(NOT(ISNUMBER(B1243)),"Falta fecha o fecha inválida",IF(D1243="","Falta empresa",IF(AND(D1243&lt;&gt;"Malcolm",D1243&lt;&gt;"proMX"),"Empresa inválida",IF(OR(INT(B1243)&lt;CFG_PSTART,INT(B1243)&gt;CFG_PEND),"Fecha fuera del período",IF(OR(NOT(ISNUMBER(Z1243)),NOT(ISNUMBER(AA1243))),"Falta hora inicio/fin o formato inválido",IF(AB1243=0,"Hora inicio = hora fin",IF(AE1243&lt;0,"Descanso inválido",IF(AE1243&gt;=AD1243,"Descanso ≥ duración",IF(AV1243=1,"Registro duplicado",IF(AZ1243&gt;0,"Se superpone con otro registro "&amp;D1243,IF(BB1243=0,"inicio, fin y duración neta deben ser múltiplos de "&amp;CFG_BLK&amp;" min",""))))))))))))</f>
        <v/>
      </c>
      <c r="BD1243" s="80">
        <f>IF(AND(Y1243=1,BC1243=""),1,0)</f>
        <v>0</v>
      </c>
      <c r="BE1243" s="80">
        <f>IF(AND(BD1243=1,AU1243=1),1,0)</f>
        <v>0</v>
      </c>
      <c r="BF1243" s="80" t="str">
        <f>IF(AND(D1243="proMX",BD1243=1),IF(R1243="","Draft",R1243),"")</f>
        <v/>
      </c>
      <c r="BG1243" s="80">
        <f>IF(BD1243=1,ROUND(AG1243/60,6),0)</f>
        <v>0</v>
      </c>
      <c r="BH1243" s="80">
        <f>IF(BE1243=1,ROUND(AG1243/60,6),0)</f>
        <v>0</v>
      </c>
      <c r="BI1243" s="80">
        <f>IF(BE1243=1,ROUND(AP1243/60,6),0)</f>
        <v>0</v>
      </c>
      <c r="BJ1243" s="80">
        <f>IF(BE1243=1,ROUND(AQ1243/60,6),0)</f>
        <v>0</v>
      </c>
      <c r="BK1243" s="80">
        <f>IF(BE1243=1,ROUND((AR1243+AS1243)/60,6),0)</f>
        <v>0</v>
      </c>
      <c r="BL1243" s="80">
        <f>ROUND(BH1243-BK1243,6)</f>
        <v>0</v>
      </c>
      <c r="BM1243" s="80">
        <f>IF(BE1243=1,ROUND(AR1243/60,6),0)</f>
        <v>0</v>
      </c>
      <c r="BN1243" s="80">
        <f>ROUND(BI1243-BM1243,6)</f>
        <v>0</v>
      </c>
      <c r="BO1243" s="80">
        <f>IF(BE1243=1,ROUND(AS1243/60,6),0)</f>
        <v>0</v>
      </c>
      <c r="BP1243" s="80">
        <f>ROUND(BJ1243-BO1243,6)</f>
        <v>0</v>
      </c>
      <c r="BQ1243" s="80">
        <f>IF(BE1243=1,AW1243,0)</f>
        <v>0</v>
      </c>
      <c r="BR1243" s="80">
        <f>IF(BE1243=1,AX1243,0)</f>
        <v>0</v>
      </c>
      <c r="BS1243" s="80">
        <f>IF(AND(BE1243=1,D1243="Malcolm",BA1243&gt;0),MIN(BH1243,SUMPRODUCT((R_Emp="proMX")*(R_EN&gt;0)*((R_EN-(R_EN&gt;BR1243)*(R_EN-BR1243))&gt;(R_SN+(R_SN&lt;BQ1243)*(BQ1243-R_SN)))*((R_EN-(R_EN&gt;BR1243)*(R_EN-BR1243))-(R_SN+(R_SN&lt;BQ1243)*(BQ1243-R_SN))))/60),0)</f>
        <v>0</v>
      </c>
      <c r="BT1243" s="80">
        <f>IF(AND(BE1243=1,D1243="proMX"),ROUND(BI1243*CFG_RATE+BJ1243*CFG_OTRATE,6),0)</f>
        <v>0</v>
      </c>
      <c r="BU1243" s="80">
        <f>IF(AND(BD1243=1,D1243="proMX"),ROUND(AG1243/CFG_BLK,6),0)</f>
        <v>0</v>
      </c>
      <c r="BV1243" s="80" t="str">
        <f>IF(BF1243="Approved",IF(ISNUMBER(T1243),INT(T1243),INT(B1243)),"")</f>
        <v/>
      </c>
      <c r="BW1243" s="80">
        <f>IF(ISNUMBER(B1243),IF(DB_MON="Todos",1,IF(AND(INT(B1243)&gt;=DB_MS,INT(B1243)&lt;=DB_ME),1,0)),0)</f>
        <v>0</v>
      </c>
      <c r="BX1243" s="80">
        <f>IF(DB_PROJ="Todos",1,IF(E1243&amp;""=DB_PROJ&amp;"",1,0))</f>
        <v>1</v>
      </c>
      <c r="BY1243" s="80">
        <f>BW1243*BX1243</f>
        <v>0</v>
      </c>
      <c r="BZ1243" s="80" t="str">
        <f>IF(Y1243=1,F1243&amp;IF(AND(F1243&amp;""&lt;&gt;"",E1243&amp;""&lt;&gt;"")," · ","")&amp;E1243,"")</f>
        <v/>
      </c>
      <c r="CA1243" s="80" t="str">
        <f>IF(AND(BD1243=1,E1243&amp;""&lt;&gt;""),IF(COUNTIFS($E$5:E1242,E1243,$BD$5:BD1242,1)=0,MAX($CA$5:CA1242)+1,""),"")</f>
        <v/>
      </c>
      <c r="CB1243" s="80" t="str">
        <f>IF(AND(BE1243=1,D1243="Malcolm",E1243&amp;""&lt;&gt;""),IF(COUNTIFS($D$5:D1242,"Malcolm",$E$5:E1242,E1243,$BE$5:BE1242,1)=0,MAX($CB$5:CB1242)+1,""),"")</f>
        <v/>
      </c>
      <c r="CC1243" s="80" t="str">
        <f>IF(AND(BD1243=1,D1243="proMX",E1243&amp;""&lt;&gt;""),IF(COUNTIFS($D$5:D1242,"proMX",$E$5:E1242,E1243,$BD$5:BD1242,1)=0,MAX($CC$5:CC1242)+1,""),"")</f>
        <v/>
      </c>
      <c r="CD1243" s="80" t="str">
        <f>IF(AND(BE1243=1,D1243="Malcolm",F1243&amp;""&lt;&gt;""),IF(COUNTIFS($D$5:D1242,"Malcolm",$F$5:F1242,F1243,$BE$5:BE1242,1)=0,MAX($CD$5:CD1242)+1,""),"")</f>
        <v/>
      </c>
      <c r="CE1243" s="80" t="str">
        <f>IF(AND(BD1243=1,D1243="proMX",F1243&amp;""&lt;&gt;""),IF(COUNTIFS($D$5:D1242,"proMX",$F$5:F1242,F1243,$BD$5:BD1242,1)=0,MAX($CE$5:CE1242)+1,""),"")</f>
        <v/>
      </c>
      <c r="CF1243" s="80" t="str">
        <f>IF(AND(D1243="proMX",BD1243=1),IF(OR(BF1243="Draft",BF1243="Submitted",BF1243="Returned",BF1243="Recall Requested"),MAX($CF$5:CF1242)+1,""),"")</f>
        <v/>
      </c>
      <c r="CG1243" s="80">
        <f>IF(BD1243=0,0,IF(D1243="Malcolm",1,MATCH(BF1243,{"Draft","Submitted","Approved","Returned","Recall Requested","Cancelled"},0)+1))</f>
        <v>0</v>
      </c>
      <c r="CH1243" s="80">
        <f>IF(AND(BF1243="Submitted",ISNUMBER(V1243)),IF(V1243&gt;CFG_MAXD,1,0),0)</f>
        <v>0</v>
      </c>
    </row>
    <row r="1244">
      <c r="A1244" s="71" t="str">
        <f>IF(Y1244=1,ROW()-5,"")</f>
        <v/>
      </c>
      <c r="B1244" s="72" t="n"/>
      <c r="C1244" s="71" t="str">
        <f>IF(ISNUMBER(B1244),CHOOSE(WEEKDAY(B1244,2),"Lun","Mar","Mié","Jue","Vie","Sáb","Dom"),"")</f>
        <v/>
      </c>
      <c r="D1244" s="73" t="n"/>
      <c r="E1244" s="74" t="n"/>
      <c r="F1244" s="74" t="n"/>
      <c r="G1244" s="74" t="n"/>
      <c r="H1244" s="75" t="n"/>
      <c r="I1244" s="75" t="n"/>
      <c r="J1244" s="76" t="n"/>
      <c r="K1244" s="77" t="str">
        <f>IF(AB1244=1,ROUND(AG1244/60,4),"")</f>
        <v/>
      </c>
      <c r="L1244" s="77" t="str">
        <f>IF(BD1244=1,ROUND(AP1244/60,4),"")</f>
        <v/>
      </c>
      <c r="M1244" s="77" t="str">
        <f>IF(BD1244=1,ROUND(AQ1244/60,4),"")</f>
        <v/>
      </c>
      <c r="N1244" s="71" t="str">
        <f>IF(AND(D1244="proMX",AB1244=1),ROUND(AG1244/CFG_BLK,2),"")</f>
        <v/>
      </c>
      <c r="O1244" s="77" t="str">
        <f>IF(D1244="proMX",IF(BD1244=1,ROUND(AG1244/60,4),0),"")</f>
        <v/>
      </c>
      <c r="P1244" s="78" t="str">
        <f>IF(Y1244=0,"",IF(BD1244=1,"OK",IF(D1244="proMX","Revisar bloques: ","Revisar: ")&amp;BC1244))</f>
        <v/>
      </c>
      <c r="Q1244" s="78" t="str">
        <f>IF(NOT(ISNUMBER(B1244)),"",IF(COUNTIFS(FER_F,INT(B1244))&gt;0,"Feriado"&amp;IF(AH1244=1," (laborable)"," (no laborable)"),IF(AH1244=1,"Laborable",IF(WEEKDAY(B1244,2)&gt;5,"Fin de semana","No laborable"))))</f>
        <v/>
      </c>
      <c r="R1244" s="73" t="n"/>
      <c r="S1244" s="72" t="n"/>
      <c r="T1244" s="72" t="n"/>
      <c r="U1244" s="74" t="n"/>
      <c r="V1244" s="79" t="str">
        <f>IF(AND(D1244="proMX",OR(R1244="Submitted",R1244="Recall Requested"),ISNUMBER(S1244)),CFG_TODAY-INT(S1244),"")</f>
        <v/>
      </c>
      <c r="W1244" s="78" t="str">
        <f>IF(BD1244=0,"",IF(BA1244&gt;0,"⚠ Se superpone con un registro de la otra empresa",IF(D1244="Malcolm",IF(COUNTA(R1244,S1244,T1244)&gt;0,"Estado/fechas proMX se ignoran en Malcolm",""),IF(BF1244="Cancelled","Cancelado: excluido de totales",IF(R1244="","Sin estado: se trata como Draft",IF(BF1244="Submitted",IF(ISNUMBER(V1244),IF(V1244&gt;CFG_MAXD,"⚠ "&amp;V1244&amp;" días en Submitted (máx. "&amp;CFG_MAXD&amp;")",""),"Falta fecha de envío"),IF(BF1244="Returned","⚠ Devuelto: corregir y reenviar",IF(BF1244="Recall Requested","Retirada solicitada: pendiente",IF(AND(BF1244="Approved",NOT(ISNUMBER(T1244))),"Falta fecha de aprobación",IF(AND(ISNUMBER(S1244),ISNUMBER(T1244),T1244&lt;S1244),"Aprobación anterior al envío","")))))))))</f>
        <v/>
      </c>
      <c r="Y1244" s="80">
        <f>IF(COUNTA(B1244,D1244,E1244,F1244,G1244,H1244,I1244,J1244,R1244,S1244,T1244)&gt;0,1,0)</f>
        <v>0</v>
      </c>
      <c r="Z1244" s="80" t="str">
        <f>IF(AND(ISNUMBER(H1244),H1244&gt;=0,H1244&lt;1),ROUND(H1244*1440,0),"")</f>
        <v/>
      </c>
      <c r="AA1244" s="80" t="str">
        <f>IF(AND(ISNUMBER(I1244),I1244&gt;=0,I1244&lt;1),ROUND(I1244*1440,0),"")</f>
        <v/>
      </c>
      <c r="AB1244" s="80">
        <f>IF(AND(ISNUMBER(B1244),D1244&lt;&gt;"",ISNUMBER(Z1244),ISNUMBER(AA1244)),IF(Z1244=AA1244,0,1),0)</f>
        <v>0</v>
      </c>
      <c r="AC1244" s="80">
        <f>IF(AB1244=1,IF(AA1244&lt;Z1244,1,0),0)</f>
        <v>0</v>
      </c>
      <c r="AD1244" s="80">
        <f>IF(AB1244=1,IF(AC1244=1,1440-Z1244+AA1244,AA1244-Z1244),0)</f>
        <v>0</v>
      </c>
      <c r="AE1244" s="80">
        <f>IF(J1244="",0,IF(ISNUMBER(J1244),J1244,-1))</f>
        <v>0</v>
      </c>
      <c r="AF1244" s="80">
        <f>MIN(MAX(0,AE1244),AD1244)</f>
        <v>0</v>
      </c>
      <c r="AG1244" s="80">
        <f>MAX(0,AD1244-MAX(0,AE1244))</f>
        <v>0</v>
      </c>
      <c r="AH1244" s="80">
        <f>IF(ISNUMBER(B1244),IF(AND(INDEX(CFG_WDAYS,WEEKDAY(INT(B1244),2))="Sí",IF(D1244="proMX",COUNTIFS(FER_F,INT(B1244),FER_NLP,"Sí"),COUNTIFS(FER_F,INT(B1244),FER_NLM,"Sí"))=0),1,0),0)</f>
        <v>0</v>
      </c>
      <c r="AI1244" s="80">
        <f>IF(AC1244=1,IF(AND(INDEX(CFG_WDAYS,WEEKDAY(INT(B1244)+1,2))="Sí",IF(D1244="proMX",COUNTIFS(FER_F,INT(B1244)+1,FER_NLP,"Sí"),COUNTIFS(FER_F,INT(B1244)+1,FER_NLM,"Sí"))=0),1,0),0)</f>
        <v>0</v>
      </c>
      <c r="AJ1244" s="80">
        <f>IF(AC1244=1,1440-Z1244,AD1244)</f>
        <v>0</v>
      </c>
      <c r="AK1244" s="80">
        <f>IF(AND(AB1244=1,AH1244=1),MAX(0,MIN(IF(AC1244=1,1440,AA1244),CFG_WEM)-MAX(Z1244,CFG_WSM)),0)</f>
        <v>0</v>
      </c>
      <c r="AL1244" s="80">
        <f>IF(AND(AC1244=1,AI1244=1),MAX(0,MIN(AA1244,CFG_WEM)-CFG_WSM),0)</f>
        <v>0</v>
      </c>
      <c r="AM1244" s="80">
        <f>AK1244+AL1244</f>
        <v>0</v>
      </c>
      <c r="AN1244" s="80">
        <f>IF(CFG_BRK="Proporcional",IF(AD1244=0,0,AF1244*AM1244/AD1244),IF(CFG_BRK="Extras primero",MIN(AM1244,MAX(0,AF1244-(AD1244-AM1244))),MIN(AF1244,AM1244)))</f>
        <v>0</v>
      </c>
      <c r="AO1244" s="80">
        <f>AF1244-AN1244</f>
        <v>0</v>
      </c>
      <c r="AP1244" s="80">
        <f>AM1244-AN1244</f>
        <v>0</v>
      </c>
      <c r="AQ1244" s="80">
        <f>AD1244-AM1244-AO1244</f>
        <v>0</v>
      </c>
      <c r="AR1244" s="80">
        <f>IF(AM1244=0,0,AK1244-AN1244*AK1244/AM1244)</f>
        <v>0</v>
      </c>
      <c r="AS1244" s="80">
        <f>IF(AD1244-AM1244=0,0,(AJ1244-AK1244)-AO1244*(AJ1244-AK1244)/(AD1244-AM1244))</f>
        <v>0</v>
      </c>
      <c r="AT1244" s="80" t="str">
        <f>IF(AC1244=1,INT(B1244)+1,"")</f>
        <v/>
      </c>
      <c r="AU1244" s="80">
        <f>IF(AND(D1244="proMX",R1244="Cancelled"),0,1)</f>
        <v>1</v>
      </c>
      <c r="AV1244" s="80">
        <f>IF(AND(AB1244=1,AU1244=1),IF(COUNTIFS($D$5:D1243,D1244,$B$5:B1243,B1244,$Z$5:Z1243,Z1244,$AA$5:AA1243,AA1244,$F$5:F1243,F1244&amp;"",$AU$5:AU1243,1)&gt;0,1,0),0)</f>
        <v>0</v>
      </c>
      <c r="AW1244" s="80" t="str">
        <f>IF(AB1244=1,INT(B1244)*1440+Z1244,"")</f>
        <v/>
      </c>
      <c r="AX1244" s="80" t="str">
        <f>IF(AB1244=1,AW1244+AD1244,"")</f>
        <v/>
      </c>
      <c r="AY1244" s="80">
        <f>IF(AND(AB1244=1,AV1244=0,AU1244=1),1,0)</f>
        <v>0</v>
      </c>
      <c r="AZ1244" s="80">
        <f>IF(AY1244=1,COUNTIFS(R_Emp,D1244,R_SAbs,"&lt;"&amp;AX1244,R_EAbs,"&gt;"&amp;AW1244,R_OKey,1)-1,0)</f>
        <v>0</v>
      </c>
      <c r="BA1244" s="80">
        <f>IF(AY1244=1,COUNTIFS(R_Emp,"&lt;&gt;"&amp;D1244,R_SAbs,"&lt;"&amp;AX1244,R_EAbs,"&gt;"&amp;AW1244,R_OKey,1),0)</f>
        <v>0</v>
      </c>
      <c r="BB1244" s="80">
        <f>IF(AND(AB1244=1,D1244="proMX"),IF(AND(MOD(Z1244,CFG_BLK)=0,MOD(AA1244,CFG_BLK)=0,MOD(AG1244,CFG_BLK)=0,AG1244&gt;0),1,0),1)</f>
        <v>1</v>
      </c>
      <c r="BC1244" s="80" t="str">
        <f>IF(Y1244=0,"",IF(NOT(ISNUMBER(B1244)),"Falta fecha o fecha inválida",IF(D1244="","Falta empresa",IF(AND(D1244&lt;&gt;"Malcolm",D1244&lt;&gt;"proMX"),"Empresa inválida",IF(OR(INT(B1244)&lt;CFG_PSTART,INT(B1244)&gt;CFG_PEND),"Fecha fuera del período",IF(OR(NOT(ISNUMBER(Z1244)),NOT(ISNUMBER(AA1244))),"Falta hora inicio/fin o formato inválido",IF(AB1244=0,"Hora inicio = hora fin",IF(AE1244&lt;0,"Descanso inválido",IF(AE1244&gt;=AD1244,"Descanso ≥ duración",IF(AV1244=1,"Registro duplicado",IF(AZ1244&gt;0,"Se superpone con otro registro "&amp;D1244,IF(BB1244=0,"inicio, fin y duración neta deben ser múltiplos de "&amp;CFG_BLK&amp;" min",""))))))))))))</f>
        <v/>
      </c>
      <c r="BD1244" s="80">
        <f>IF(AND(Y1244=1,BC1244=""),1,0)</f>
        <v>0</v>
      </c>
      <c r="BE1244" s="80">
        <f>IF(AND(BD1244=1,AU1244=1),1,0)</f>
        <v>0</v>
      </c>
      <c r="BF1244" s="80" t="str">
        <f>IF(AND(D1244="proMX",BD1244=1),IF(R1244="","Draft",R1244),"")</f>
        <v/>
      </c>
      <c r="BG1244" s="80">
        <f>IF(BD1244=1,ROUND(AG1244/60,6),0)</f>
        <v>0</v>
      </c>
      <c r="BH1244" s="80">
        <f>IF(BE1244=1,ROUND(AG1244/60,6),0)</f>
        <v>0</v>
      </c>
      <c r="BI1244" s="80">
        <f>IF(BE1244=1,ROUND(AP1244/60,6),0)</f>
        <v>0</v>
      </c>
      <c r="BJ1244" s="80">
        <f>IF(BE1244=1,ROUND(AQ1244/60,6),0)</f>
        <v>0</v>
      </c>
      <c r="BK1244" s="80">
        <f>IF(BE1244=1,ROUND((AR1244+AS1244)/60,6),0)</f>
        <v>0</v>
      </c>
      <c r="BL1244" s="80">
        <f>ROUND(BH1244-BK1244,6)</f>
        <v>0</v>
      </c>
      <c r="BM1244" s="80">
        <f>IF(BE1244=1,ROUND(AR1244/60,6),0)</f>
        <v>0</v>
      </c>
      <c r="BN1244" s="80">
        <f>ROUND(BI1244-BM1244,6)</f>
        <v>0</v>
      </c>
      <c r="BO1244" s="80">
        <f>IF(BE1244=1,ROUND(AS1244/60,6),0)</f>
        <v>0</v>
      </c>
      <c r="BP1244" s="80">
        <f>ROUND(BJ1244-BO1244,6)</f>
        <v>0</v>
      </c>
      <c r="BQ1244" s="80">
        <f>IF(BE1244=1,AW1244,0)</f>
        <v>0</v>
      </c>
      <c r="BR1244" s="80">
        <f>IF(BE1244=1,AX1244,0)</f>
        <v>0</v>
      </c>
      <c r="BS1244" s="80">
        <f>IF(AND(BE1244=1,D1244="Malcolm",BA1244&gt;0),MIN(BH1244,SUMPRODUCT((R_Emp="proMX")*(R_EN&gt;0)*((R_EN-(R_EN&gt;BR1244)*(R_EN-BR1244))&gt;(R_SN+(R_SN&lt;BQ1244)*(BQ1244-R_SN)))*((R_EN-(R_EN&gt;BR1244)*(R_EN-BR1244))-(R_SN+(R_SN&lt;BQ1244)*(BQ1244-R_SN))))/60),0)</f>
        <v>0</v>
      </c>
      <c r="BT1244" s="80">
        <f>IF(AND(BE1244=1,D1244="proMX"),ROUND(BI1244*CFG_RATE+BJ1244*CFG_OTRATE,6),0)</f>
        <v>0</v>
      </c>
      <c r="BU1244" s="80">
        <f>IF(AND(BD1244=1,D1244="proMX"),ROUND(AG1244/CFG_BLK,6),0)</f>
        <v>0</v>
      </c>
      <c r="BV1244" s="80" t="str">
        <f>IF(BF1244="Approved",IF(ISNUMBER(T1244),INT(T1244),INT(B1244)),"")</f>
        <v/>
      </c>
      <c r="BW1244" s="80">
        <f>IF(ISNUMBER(B1244),IF(DB_MON="Todos",1,IF(AND(INT(B1244)&gt;=DB_MS,INT(B1244)&lt;=DB_ME),1,0)),0)</f>
        <v>0</v>
      </c>
      <c r="BX1244" s="80">
        <f>IF(DB_PROJ="Todos",1,IF(E1244&amp;""=DB_PROJ&amp;"",1,0))</f>
        <v>1</v>
      </c>
      <c r="BY1244" s="80">
        <f>BW1244*BX1244</f>
        <v>0</v>
      </c>
      <c r="BZ1244" s="80" t="str">
        <f>IF(Y1244=1,F1244&amp;IF(AND(F1244&amp;""&lt;&gt;"",E1244&amp;""&lt;&gt;"")," · ","")&amp;E1244,"")</f>
        <v/>
      </c>
      <c r="CA1244" s="80" t="str">
        <f>IF(AND(BD1244=1,E1244&amp;""&lt;&gt;""),IF(COUNTIFS($E$5:E1243,E1244,$BD$5:BD1243,1)=0,MAX($CA$5:CA1243)+1,""),"")</f>
        <v/>
      </c>
      <c r="CB1244" s="80" t="str">
        <f>IF(AND(BE1244=1,D1244="Malcolm",E1244&amp;""&lt;&gt;""),IF(COUNTIFS($D$5:D1243,"Malcolm",$E$5:E1243,E1244,$BE$5:BE1243,1)=0,MAX($CB$5:CB1243)+1,""),"")</f>
        <v/>
      </c>
      <c r="CC1244" s="80" t="str">
        <f>IF(AND(BD1244=1,D1244="proMX",E1244&amp;""&lt;&gt;""),IF(COUNTIFS($D$5:D1243,"proMX",$E$5:E1243,E1244,$BD$5:BD1243,1)=0,MAX($CC$5:CC1243)+1,""),"")</f>
        <v/>
      </c>
      <c r="CD1244" s="80" t="str">
        <f>IF(AND(BE1244=1,D1244="Malcolm",F1244&amp;""&lt;&gt;""),IF(COUNTIFS($D$5:D1243,"Malcolm",$F$5:F1243,F1244,$BE$5:BE1243,1)=0,MAX($CD$5:CD1243)+1,""),"")</f>
        <v/>
      </c>
      <c r="CE1244" s="80" t="str">
        <f>IF(AND(BD1244=1,D1244="proMX",F1244&amp;""&lt;&gt;""),IF(COUNTIFS($D$5:D1243,"proMX",$F$5:F1243,F1244,$BD$5:BD1243,1)=0,MAX($CE$5:CE1243)+1,""),"")</f>
        <v/>
      </c>
      <c r="CF1244" s="80" t="str">
        <f>IF(AND(D1244="proMX",BD1244=1),IF(OR(BF1244="Draft",BF1244="Submitted",BF1244="Returned",BF1244="Recall Requested"),MAX($CF$5:CF1243)+1,""),"")</f>
        <v/>
      </c>
      <c r="CG1244" s="80">
        <f>IF(BD1244=0,0,IF(D1244="Malcolm",1,MATCH(BF1244,{"Draft","Submitted","Approved","Returned","Recall Requested","Cancelled"},0)+1))</f>
        <v>0</v>
      </c>
      <c r="CH1244" s="80">
        <f>IF(AND(BF1244="Submitted",ISNUMBER(V1244)),IF(V1244&gt;CFG_MAXD,1,0),0)</f>
        <v>0</v>
      </c>
    </row>
    <row r="1245">
      <c r="A1245" s="71" t="str">
        <f>IF(Y1245=1,ROW()-5,"")</f>
        <v/>
      </c>
      <c r="B1245" s="72" t="n"/>
      <c r="C1245" s="71" t="str">
        <f>IF(ISNUMBER(B1245),CHOOSE(WEEKDAY(B1245,2),"Lun","Mar","Mié","Jue","Vie","Sáb","Dom"),"")</f>
        <v/>
      </c>
      <c r="D1245" s="73" t="n"/>
      <c r="E1245" s="74" t="n"/>
      <c r="F1245" s="74" t="n"/>
      <c r="G1245" s="74" t="n"/>
      <c r="H1245" s="75" t="n"/>
      <c r="I1245" s="75" t="n"/>
      <c r="J1245" s="76" t="n"/>
      <c r="K1245" s="77" t="str">
        <f>IF(AB1245=1,ROUND(AG1245/60,4),"")</f>
        <v/>
      </c>
      <c r="L1245" s="77" t="str">
        <f>IF(BD1245=1,ROUND(AP1245/60,4),"")</f>
        <v/>
      </c>
      <c r="M1245" s="77" t="str">
        <f>IF(BD1245=1,ROUND(AQ1245/60,4),"")</f>
        <v/>
      </c>
      <c r="N1245" s="71" t="str">
        <f>IF(AND(D1245="proMX",AB1245=1),ROUND(AG1245/CFG_BLK,2),"")</f>
        <v/>
      </c>
      <c r="O1245" s="77" t="str">
        <f>IF(D1245="proMX",IF(BD1245=1,ROUND(AG1245/60,4),0),"")</f>
        <v/>
      </c>
      <c r="P1245" s="78" t="str">
        <f>IF(Y1245=0,"",IF(BD1245=1,"OK",IF(D1245="proMX","Revisar bloques: ","Revisar: ")&amp;BC1245))</f>
        <v/>
      </c>
      <c r="Q1245" s="78" t="str">
        <f>IF(NOT(ISNUMBER(B1245)),"",IF(COUNTIFS(FER_F,INT(B1245))&gt;0,"Feriado"&amp;IF(AH1245=1," (laborable)"," (no laborable)"),IF(AH1245=1,"Laborable",IF(WEEKDAY(B1245,2)&gt;5,"Fin de semana","No laborable"))))</f>
        <v/>
      </c>
      <c r="R1245" s="73" t="n"/>
      <c r="S1245" s="72" t="n"/>
      <c r="T1245" s="72" t="n"/>
      <c r="U1245" s="74" t="n"/>
      <c r="V1245" s="79" t="str">
        <f>IF(AND(D1245="proMX",OR(R1245="Submitted",R1245="Recall Requested"),ISNUMBER(S1245)),CFG_TODAY-INT(S1245),"")</f>
        <v/>
      </c>
      <c r="W1245" s="78" t="str">
        <f>IF(BD1245=0,"",IF(BA1245&gt;0,"⚠ Se superpone con un registro de la otra empresa",IF(D1245="Malcolm",IF(COUNTA(R1245,S1245,T1245)&gt;0,"Estado/fechas proMX se ignoran en Malcolm",""),IF(BF1245="Cancelled","Cancelado: excluido de totales",IF(R1245="","Sin estado: se trata como Draft",IF(BF1245="Submitted",IF(ISNUMBER(V1245),IF(V1245&gt;CFG_MAXD,"⚠ "&amp;V1245&amp;" días en Submitted (máx. "&amp;CFG_MAXD&amp;")",""),"Falta fecha de envío"),IF(BF1245="Returned","⚠ Devuelto: corregir y reenviar",IF(BF1245="Recall Requested","Retirada solicitada: pendiente",IF(AND(BF1245="Approved",NOT(ISNUMBER(T1245))),"Falta fecha de aprobación",IF(AND(ISNUMBER(S1245),ISNUMBER(T1245),T1245&lt;S1245),"Aprobación anterior al envío","")))))))))</f>
        <v/>
      </c>
      <c r="Y1245" s="80">
        <f>IF(COUNTA(B1245,D1245,E1245,F1245,G1245,H1245,I1245,J1245,R1245,S1245,T1245)&gt;0,1,0)</f>
        <v>0</v>
      </c>
      <c r="Z1245" s="80" t="str">
        <f>IF(AND(ISNUMBER(H1245),H1245&gt;=0,H1245&lt;1),ROUND(H1245*1440,0),"")</f>
        <v/>
      </c>
      <c r="AA1245" s="80" t="str">
        <f>IF(AND(ISNUMBER(I1245),I1245&gt;=0,I1245&lt;1),ROUND(I1245*1440,0),"")</f>
        <v/>
      </c>
      <c r="AB1245" s="80">
        <f>IF(AND(ISNUMBER(B1245),D1245&lt;&gt;"",ISNUMBER(Z1245),ISNUMBER(AA1245)),IF(Z1245=AA1245,0,1),0)</f>
        <v>0</v>
      </c>
      <c r="AC1245" s="80">
        <f>IF(AB1245=1,IF(AA1245&lt;Z1245,1,0),0)</f>
        <v>0</v>
      </c>
      <c r="AD1245" s="80">
        <f>IF(AB1245=1,IF(AC1245=1,1440-Z1245+AA1245,AA1245-Z1245),0)</f>
        <v>0</v>
      </c>
      <c r="AE1245" s="80">
        <f>IF(J1245="",0,IF(ISNUMBER(J1245),J1245,-1))</f>
        <v>0</v>
      </c>
      <c r="AF1245" s="80">
        <f>MIN(MAX(0,AE1245),AD1245)</f>
        <v>0</v>
      </c>
      <c r="AG1245" s="80">
        <f>MAX(0,AD1245-MAX(0,AE1245))</f>
        <v>0</v>
      </c>
      <c r="AH1245" s="80">
        <f>IF(ISNUMBER(B1245),IF(AND(INDEX(CFG_WDAYS,WEEKDAY(INT(B1245),2))="Sí",IF(D1245="proMX",COUNTIFS(FER_F,INT(B1245),FER_NLP,"Sí"),COUNTIFS(FER_F,INT(B1245),FER_NLM,"Sí"))=0),1,0),0)</f>
        <v>0</v>
      </c>
      <c r="AI1245" s="80">
        <f>IF(AC1245=1,IF(AND(INDEX(CFG_WDAYS,WEEKDAY(INT(B1245)+1,2))="Sí",IF(D1245="proMX",COUNTIFS(FER_F,INT(B1245)+1,FER_NLP,"Sí"),COUNTIFS(FER_F,INT(B1245)+1,FER_NLM,"Sí"))=0),1,0),0)</f>
        <v>0</v>
      </c>
      <c r="AJ1245" s="80">
        <f>IF(AC1245=1,1440-Z1245,AD1245)</f>
        <v>0</v>
      </c>
      <c r="AK1245" s="80">
        <f>IF(AND(AB1245=1,AH1245=1),MAX(0,MIN(IF(AC1245=1,1440,AA1245),CFG_WEM)-MAX(Z1245,CFG_WSM)),0)</f>
        <v>0</v>
      </c>
      <c r="AL1245" s="80">
        <f>IF(AND(AC1245=1,AI1245=1),MAX(0,MIN(AA1245,CFG_WEM)-CFG_WSM),0)</f>
        <v>0</v>
      </c>
      <c r="AM1245" s="80">
        <f>AK1245+AL1245</f>
        <v>0</v>
      </c>
      <c r="AN1245" s="80">
        <f>IF(CFG_BRK="Proporcional",IF(AD1245=0,0,AF1245*AM1245/AD1245),IF(CFG_BRK="Extras primero",MIN(AM1245,MAX(0,AF1245-(AD1245-AM1245))),MIN(AF1245,AM1245)))</f>
        <v>0</v>
      </c>
      <c r="AO1245" s="80">
        <f>AF1245-AN1245</f>
        <v>0</v>
      </c>
      <c r="AP1245" s="80">
        <f>AM1245-AN1245</f>
        <v>0</v>
      </c>
      <c r="AQ1245" s="80">
        <f>AD1245-AM1245-AO1245</f>
        <v>0</v>
      </c>
      <c r="AR1245" s="80">
        <f>IF(AM1245=0,0,AK1245-AN1245*AK1245/AM1245)</f>
        <v>0</v>
      </c>
      <c r="AS1245" s="80">
        <f>IF(AD1245-AM1245=0,0,(AJ1245-AK1245)-AO1245*(AJ1245-AK1245)/(AD1245-AM1245))</f>
        <v>0</v>
      </c>
      <c r="AT1245" s="80" t="str">
        <f>IF(AC1245=1,INT(B1245)+1,"")</f>
        <v/>
      </c>
      <c r="AU1245" s="80">
        <f>IF(AND(D1245="proMX",R1245="Cancelled"),0,1)</f>
        <v>1</v>
      </c>
      <c r="AV1245" s="80">
        <f>IF(AND(AB1245=1,AU1245=1),IF(COUNTIFS($D$5:D1244,D1245,$B$5:B1244,B1245,$Z$5:Z1244,Z1245,$AA$5:AA1244,AA1245,$F$5:F1244,F1245&amp;"",$AU$5:AU1244,1)&gt;0,1,0),0)</f>
        <v>0</v>
      </c>
      <c r="AW1245" s="80" t="str">
        <f>IF(AB1245=1,INT(B1245)*1440+Z1245,"")</f>
        <v/>
      </c>
      <c r="AX1245" s="80" t="str">
        <f>IF(AB1245=1,AW1245+AD1245,"")</f>
        <v/>
      </c>
      <c r="AY1245" s="80">
        <f>IF(AND(AB1245=1,AV1245=0,AU1245=1),1,0)</f>
        <v>0</v>
      </c>
      <c r="AZ1245" s="80">
        <f>IF(AY1245=1,COUNTIFS(R_Emp,D1245,R_SAbs,"&lt;"&amp;AX1245,R_EAbs,"&gt;"&amp;AW1245,R_OKey,1)-1,0)</f>
        <v>0</v>
      </c>
      <c r="BA1245" s="80">
        <f>IF(AY1245=1,COUNTIFS(R_Emp,"&lt;&gt;"&amp;D1245,R_SAbs,"&lt;"&amp;AX1245,R_EAbs,"&gt;"&amp;AW1245,R_OKey,1),0)</f>
        <v>0</v>
      </c>
      <c r="BB1245" s="80">
        <f>IF(AND(AB1245=1,D1245="proMX"),IF(AND(MOD(Z1245,CFG_BLK)=0,MOD(AA1245,CFG_BLK)=0,MOD(AG1245,CFG_BLK)=0,AG1245&gt;0),1,0),1)</f>
        <v>1</v>
      </c>
      <c r="BC1245" s="80" t="str">
        <f>IF(Y1245=0,"",IF(NOT(ISNUMBER(B1245)),"Falta fecha o fecha inválida",IF(D1245="","Falta empresa",IF(AND(D1245&lt;&gt;"Malcolm",D1245&lt;&gt;"proMX"),"Empresa inválida",IF(OR(INT(B1245)&lt;CFG_PSTART,INT(B1245)&gt;CFG_PEND),"Fecha fuera del período",IF(OR(NOT(ISNUMBER(Z1245)),NOT(ISNUMBER(AA1245))),"Falta hora inicio/fin o formato inválido",IF(AB1245=0,"Hora inicio = hora fin",IF(AE1245&lt;0,"Descanso inválido",IF(AE1245&gt;=AD1245,"Descanso ≥ duración",IF(AV1245=1,"Registro duplicado",IF(AZ1245&gt;0,"Se superpone con otro registro "&amp;D1245,IF(BB1245=0,"inicio, fin y duración neta deben ser múltiplos de "&amp;CFG_BLK&amp;" min",""))))))))))))</f>
        <v/>
      </c>
      <c r="BD1245" s="80">
        <f>IF(AND(Y1245=1,BC1245=""),1,0)</f>
        <v>0</v>
      </c>
      <c r="BE1245" s="80">
        <f>IF(AND(BD1245=1,AU1245=1),1,0)</f>
        <v>0</v>
      </c>
      <c r="BF1245" s="80" t="str">
        <f>IF(AND(D1245="proMX",BD1245=1),IF(R1245="","Draft",R1245),"")</f>
        <v/>
      </c>
      <c r="BG1245" s="80">
        <f>IF(BD1245=1,ROUND(AG1245/60,6),0)</f>
        <v>0</v>
      </c>
      <c r="BH1245" s="80">
        <f>IF(BE1245=1,ROUND(AG1245/60,6),0)</f>
        <v>0</v>
      </c>
      <c r="BI1245" s="80">
        <f>IF(BE1245=1,ROUND(AP1245/60,6),0)</f>
        <v>0</v>
      </c>
      <c r="BJ1245" s="80">
        <f>IF(BE1245=1,ROUND(AQ1245/60,6),0)</f>
        <v>0</v>
      </c>
      <c r="BK1245" s="80">
        <f>IF(BE1245=1,ROUND((AR1245+AS1245)/60,6),0)</f>
        <v>0</v>
      </c>
      <c r="BL1245" s="80">
        <f>ROUND(BH1245-BK1245,6)</f>
        <v>0</v>
      </c>
      <c r="BM1245" s="80">
        <f>IF(BE1245=1,ROUND(AR1245/60,6),0)</f>
        <v>0</v>
      </c>
      <c r="BN1245" s="80">
        <f>ROUND(BI1245-BM1245,6)</f>
        <v>0</v>
      </c>
      <c r="BO1245" s="80">
        <f>IF(BE1245=1,ROUND(AS1245/60,6),0)</f>
        <v>0</v>
      </c>
      <c r="BP1245" s="80">
        <f>ROUND(BJ1245-BO1245,6)</f>
        <v>0</v>
      </c>
      <c r="BQ1245" s="80">
        <f>IF(BE1245=1,AW1245,0)</f>
        <v>0</v>
      </c>
      <c r="BR1245" s="80">
        <f>IF(BE1245=1,AX1245,0)</f>
        <v>0</v>
      </c>
      <c r="BS1245" s="80">
        <f>IF(AND(BE1245=1,D1245="Malcolm",BA1245&gt;0),MIN(BH1245,SUMPRODUCT((R_Emp="proMX")*(R_EN&gt;0)*((R_EN-(R_EN&gt;BR1245)*(R_EN-BR1245))&gt;(R_SN+(R_SN&lt;BQ1245)*(BQ1245-R_SN)))*((R_EN-(R_EN&gt;BR1245)*(R_EN-BR1245))-(R_SN+(R_SN&lt;BQ1245)*(BQ1245-R_SN))))/60),0)</f>
        <v>0</v>
      </c>
      <c r="BT1245" s="80">
        <f>IF(AND(BE1245=1,D1245="proMX"),ROUND(BI1245*CFG_RATE+BJ1245*CFG_OTRATE,6),0)</f>
        <v>0</v>
      </c>
      <c r="BU1245" s="80">
        <f>IF(AND(BD1245=1,D1245="proMX"),ROUND(AG1245/CFG_BLK,6),0)</f>
        <v>0</v>
      </c>
      <c r="BV1245" s="80" t="str">
        <f>IF(BF1245="Approved",IF(ISNUMBER(T1245),INT(T1245),INT(B1245)),"")</f>
        <v/>
      </c>
      <c r="BW1245" s="80">
        <f>IF(ISNUMBER(B1245),IF(DB_MON="Todos",1,IF(AND(INT(B1245)&gt;=DB_MS,INT(B1245)&lt;=DB_ME),1,0)),0)</f>
        <v>0</v>
      </c>
      <c r="BX1245" s="80">
        <f>IF(DB_PROJ="Todos",1,IF(E1245&amp;""=DB_PROJ&amp;"",1,0))</f>
        <v>1</v>
      </c>
      <c r="BY1245" s="80">
        <f>BW1245*BX1245</f>
        <v>0</v>
      </c>
      <c r="BZ1245" s="80" t="str">
        <f>IF(Y1245=1,F1245&amp;IF(AND(F1245&amp;""&lt;&gt;"",E1245&amp;""&lt;&gt;"")," · ","")&amp;E1245,"")</f>
        <v/>
      </c>
      <c r="CA1245" s="80" t="str">
        <f>IF(AND(BD1245=1,E1245&amp;""&lt;&gt;""),IF(COUNTIFS($E$5:E1244,E1245,$BD$5:BD1244,1)=0,MAX($CA$5:CA1244)+1,""),"")</f>
        <v/>
      </c>
      <c r="CB1245" s="80" t="str">
        <f>IF(AND(BE1245=1,D1245="Malcolm",E1245&amp;""&lt;&gt;""),IF(COUNTIFS($D$5:D1244,"Malcolm",$E$5:E1244,E1245,$BE$5:BE1244,1)=0,MAX($CB$5:CB1244)+1,""),"")</f>
        <v/>
      </c>
      <c r="CC1245" s="80" t="str">
        <f>IF(AND(BD1245=1,D1245="proMX",E1245&amp;""&lt;&gt;""),IF(COUNTIFS($D$5:D1244,"proMX",$E$5:E1244,E1245,$BD$5:BD1244,1)=0,MAX($CC$5:CC1244)+1,""),"")</f>
        <v/>
      </c>
      <c r="CD1245" s="80" t="str">
        <f>IF(AND(BE1245=1,D1245="Malcolm",F1245&amp;""&lt;&gt;""),IF(COUNTIFS($D$5:D1244,"Malcolm",$F$5:F1244,F1245,$BE$5:BE1244,1)=0,MAX($CD$5:CD1244)+1,""),"")</f>
        <v/>
      </c>
      <c r="CE1245" s="80" t="str">
        <f>IF(AND(BD1245=1,D1245="proMX",F1245&amp;""&lt;&gt;""),IF(COUNTIFS($D$5:D1244,"proMX",$F$5:F1244,F1245,$BD$5:BD1244,1)=0,MAX($CE$5:CE1244)+1,""),"")</f>
        <v/>
      </c>
      <c r="CF1245" s="80" t="str">
        <f>IF(AND(D1245="proMX",BD1245=1),IF(OR(BF1245="Draft",BF1245="Submitted",BF1245="Returned",BF1245="Recall Requested"),MAX($CF$5:CF1244)+1,""),"")</f>
        <v/>
      </c>
      <c r="CG1245" s="80">
        <f>IF(BD1245=0,0,IF(D1245="Malcolm",1,MATCH(BF1245,{"Draft","Submitted","Approved","Returned","Recall Requested","Cancelled"},0)+1))</f>
        <v>0</v>
      </c>
      <c r="CH1245" s="80">
        <f>IF(AND(BF1245="Submitted",ISNUMBER(V1245)),IF(V1245&gt;CFG_MAXD,1,0),0)</f>
        <v>0</v>
      </c>
    </row>
    <row r="1246">
      <c r="A1246" s="71" t="str">
        <f>IF(Y1246=1,ROW()-5,"")</f>
        <v/>
      </c>
      <c r="B1246" s="72" t="n"/>
      <c r="C1246" s="71" t="str">
        <f>IF(ISNUMBER(B1246),CHOOSE(WEEKDAY(B1246,2),"Lun","Mar","Mié","Jue","Vie","Sáb","Dom"),"")</f>
        <v/>
      </c>
      <c r="D1246" s="73" t="n"/>
      <c r="E1246" s="74" t="n"/>
      <c r="F1246" s="74" t="n"/>
      <c r="G1246" s="74" t="n"/>
      <c r="H1246" s="75" t="n"/>
      <c r="I1246" s="75" t="n"/>
      <c r="J1246" s="76" t="n"/>
      <c r="K1246" s="77" t="str">
        <f>IF(AB1246=1,ROUND(AG1246/60,4),"")</f>
        <v/>
      </c>
      <c r="L1246" s="77" t="str">
        <f>IF(BD1246=1,ROUND(AP1246/60,4),"")</f>
        <v/>
      </c>
      <c r="M1246" s="77" t="str">
        <f>IF(BD1246=1,ROUND(AQ1246/60,4),"")</f>
        <v/>
      </c>
      <c r="N1246" s="71" t="str">
        <f>IF(AND(D1246="proMX",AB1246=1),ROUND(AG1246/CFG_BLK,2),"")</f>
        <v/>
      </c>
      <c r="O1246" s="77" t="str">
        <f>IF(D1246="proMX",IF(BD1246=1,ROUND(AG1246/60,4),0),"")</f>
        <v/>
      </c>
      <c r="P1246" s="78" t="str">
        <f>IF(Y1246=0,"",IF(BD1246=1,"OK",IF(D1246="proMX","Revisar bloques: ","Revisar: ")&amp;BC1246))</f>
        <v/>
      </c>
      <c r="Q1246" s="78" t="str">
        <f>IF(NOT(ISNUMBER(B1246)),"",IF(COUNTIFS(FER_F,INT(B1246))&gt;0,"Feriado"&amp;IF(AH1246=1," (laborable)"," (no laborable)"),IF(AH1246=1,"Laborable",IF(WEEKDAY(B1246,2)&gt;5,"Fin de semana","No laborable"))))</f>
        <v/>
      </c>
      <c r="R1246" s="73" t="n"/>
      <c r="S1246" s="72" t="n"/>
      <c r="T1246" s="72" t="n"/>
      <c r="U1246" s="74" t="n"/>
      <c r="V1246" s="79" t="str">
        <f>IF(AND(D1246="proMX",OR(R1246="Submitted",R1246="Recall Requested"),ISNUMBER(S1246)),CFG_TODAY-INT(S1246),"")</f>
        <v/>
      </c>
      <c r="W1246" s="78" t="str">
        <f>IF(BD1246=0,"",IF(BA1246&gt;0,"⚠ Se superpone con un registro de la otra empresa",IF(D1246="Malcolm",IF(COUNTA(R1246,S1246,T1246)&gt;0,"Estado/fechas proMX se ignoran en Malcolm",""),IF(BF1246="Cancelled","Cancelado: excluido de totales",IF(R1246="","Sin estado: se trata como Draft",IF(BF1246="Submitted",IF(ISNUMBER(V1246),IF(V1246&gt;CFG_MAXD,"⚠ "&amp;V1246&amp;" días en Submitted (máx. "&amp;CFG_MAXD&amp;")",""),"Falta fecha de envío"),IF(BF1246="Returned","⚠ Devuelto: corregir y reenviar",IF(BF1246="Recall Requested","Retirada solicitada: pendiente",IF(AND(BF1246="Approved",NOT(ISNUMBER(T1246))),"Falta fecha de aprobación",IF(AND(ISNUMBER(S1246),ISNUMBER(T1246),T1246&lt;S1246),"Aprobación anterior al envío","")))))))))</f>
        <v/>
      </c>
      <c r="Y1246" s="80">
        <f>IF(COUNTA(B1246,D1246,E1246,F1246,G1246,H1246,I1246,J1246,R1246,S1246,T1246)&gt;0,1,0)</f>
        <v>0</v>
      </c>
      <c r="Z1246" s="80" t="str">
        <f>IF(AND(ISNUMBER(H1246),H1246&gt;=0,H1246&lt;1),ROUND(H1246*1440,0),"")</f>
        <v/>
      </c>
      <c r="AA1246" s="80" t="str">
        <f>IF(AND(ISNUMBER(I1246),I1246&gt;=0,I1246&lt;1),ROUND(I1246*1440,0),"")</f>
        <v/>
      </c>
      <c r="AB1246" s="80">
        <f>IF(AND(ISNUMBER(B1246),D1246&lt;&gt;"",ISNUMBER(Z1246),ISNUMBER(AA1246)),IF(Z1246=AA1246,0,1),0)</f>
        <v>0</v>
      </c>
      <c r="AC1246" s="80">
        <f>IF(AB1246=1,IF(AA1246&lt;Z1246,1,0),0)</f>
        <v>0</v>
      </c>
      <c r="AD1246" s="80">
        <f>IF(AB1246=1,IF(AC1246=1,1440-Z1246+AA1246,AA1246-Z1246),0)</f>
        <v>0</v>
      </c>
      <c r="AE1246" s="80">
        <f>IF(J1246="",0,IF(ISNUMBER(J1246),J1246,-1))</f>
        <v>0</v>
      </c>
      <c r="AF1246" s="80">
        <f>MIN(MAX(0,AE1246),AD1246)</f>
        <v>0</v>
      </c>
      <c r="AG1246" s="80">
        <f>MAX(0,AD1246-MAX(0,AE1246))</f>
        <v>0</v>
      </c>
      <c r="AH1246" s="80">
        <f>IF(ISNUMBER(B1246),IF(AND(INDEX(CFG_WDAYS,WEEKDAY(INT(B1246),2))="Sí",IF(D1246="proMX",COUNTIFS(FER_F,INT(B1246),FER_NLP,"Sí"),COUNTIFS(FER_F,INT(B1246),FER_NLM,"Sí"))=0),1,0),0)</f>
        <v>0</v>
      </c>
      <c r="AI1246" s="80">
        <f>IF(AC1246=1,IF(AND(INDEX(CFG_WDAYS,WEEKDAY(INT(B1246)+1,2))="Sí",IF(D1246="proMX",COUNTIFS(FER_F,INT(B1246)+1,FER_NLP,"Sí"),COUNTIFS(FER_F,INT(B1246)+1,FER_NLM,"Sí"))=0),1,0),0)</f>
        <v>0</v>
      </c>
      <c r="AJ1246" s="80">
        <f>IF(AC1246=1,1440-Z1246,AD1246)</f>
        <v>0</v>
      </c>
      <c r="AK1246" s="80">
        <f>IF(AND(AB1246=1,AH1246=1),MAX(0,MIN(IF(AC1246=1,1440,AA1246),CFG_WEM)-MAX(Z1246,CFG_WSM)),0)</f>
        <v>0</v>
      </c>
      <c r="AL1246" s="80">
        <f>IF(AND(AC1246=1,AI1246=1),MAX(0,MIN(AA1246,CFG_WEM)-CFG_WSM),0)</f>
        <v>0</v>
      </c>
      <c r="AM1246" s="80">
        <f>AK1246+AL1246</f>
        <v>0</v>
      </c>
      <c r="AN1246" s="80">
        <f>IF(CFG_BRK="Proporcional",IF(AD1246=0,0,AF1246*AM1246/AD1246),IF(CFG_BRK="Extras primero",MIN(AM1246,MAX(0,AF1246-(AD1246-AM1246))),MIN(AF1246,AM1246)))</f>
        <v>0</v>
      </c>
      <c r="AO1246" s="80">
        <f>AF1246-AN1246</f>
        <v>0</v>
      </c>
      <c r="AP1246" s="80">
        <f>AM1246-AN1246</f>
        <v>0</v>
      </c>
      <c r="AQ1246" s="80">
        <f>AD1246-AM1246-AO1246</f>
        <v>0</v>
      </c>
      <c r="AR1246" s="80">
        <f>IF(AM1246=0,0,AK1246-AN1246*AK1246/AM1246)</f>
        <v>0</v>
      </c>
      <c r="AS1246" s="80">
        <f>IF(AD1246-AM1246=0,0,(AJ1246-AK1246)-AO1246*(AJ1246-AK1246)/(AD1246-AM1246))</f>
        <v>0</v>
      </c>
      <c r="AT1246" s="80" t="str">
        <f>IF(AC1246=1,INT(B1246)+1,"")</f>
        <v/>
      </c>
      <c r="AU1246" s="80">
        <f>IF(AND(D1246="proMX",R1246="Cancelled"),0,1)</f>
        <v>1</v>
      </c>
      <c r="AV1246" s="80">
        <f>IF(AND(AB1246=1,AU1246=1),IF(COUNTIFS($D$5:D1245,D1246,$B$5:B1245,B1246,$Z$5:Z1245,Z1246,$AA$5:AA1245,AA1246,$F$5:F1245,F1246&amp;"",$AU$5:AU1245,1)&gt;0,1,0),0)</f>
        <v>0</v>
      </c>
      <c r="AW1246" s="80" t="str">
        <f>IF(AB1246=1,INT(B1246)*1440+Z1246,"")</f>
        <v/>
      </c>
      <c r="AX1246" s="80" t="str">
        <f>IF(AB1246=1,AW1246+AD1246,"")</f>
        <v/>
      </c>
      <c r="AY1246" s="80">
        <f>IF(AND(AB1246=1,AV1246=0,AU1246=1),1,0)</f>
        <v>0</v>
      </c>
      <c r="AZ1246" s="80">
        <f>IF(AY1246=1,COUNTIFS(R_Emp,D1246,R_SAbs,"&lt;"&amp;AX1246,R_EAbs,"&gt;"&amp;AW1246,R_OKey,1)-1,0)</f>
        <v>0</v>
      </c>
      <c r="BA1246" s="80">
        <f>IF(AY1246=1,COUNTIFS(R_Emp,"&lt;&gt;"&amp;D1246,R_SAbs,"&lt;"&amp;AX1246,R_EAbs,"&gt;"&amp;AW1246,R_OKey,1),0)</f>
        <v>0</v>
      </c>
      <c r="BB1246" s="80">
        <f>IF(AND(AB1246=1,D1246="proMX"),IF(AND(MOD(Z1246,CFG_BLK)=0,MOD(AA1246,CFG_BLK)=0,MOD(AG1246,CFG_BLK)=0,AG1246&gt;0),1,0),1)</f>
        <v>1</v>
      </c>
      <c r="BC1246" s="80" t="str">
        <f>IF(Y1246=0,"",IF(NOT(ISNUMBER(B1246)),"Falta fecha o fecha inválida",IF(D1246="","Falta empresa",IF(AND(D1246&lt;&gt;"Malcolm",D1246&lt;&gt;"proMX"),"Empresa inválida",IF(OR(INT(B1246)&lt;CFG_PSTART,INT(B1246)&gt;CFG_PEND),"Fecha fuera del período",IF(OR(NOT(ISNUMBER(Z1246)),NOT(ISNUMBER(AA1246))),"Falta hora inicio/fin o formato inválido",IF(AB1246=0,"Hora inicio = hora fin",IF(AE1246&lt;0,"Descanso inválido",IF(AE1246&gt;=AD1246,"Descanso ≥ duración",IF(AV1246=1,"Registro duplicado",IF(AZ1246&gt;0,"Se superpone con otro registro "&amp;D1246,IF(BB1246=0,"inicio, fin y duración neta deben ser múltiplos de "&amp;CFG_BLK&amp;" min",""))))))))))))</f>
        <v/>
      </c>
      <c r="BD1246" s="80">
        <f>IF(AND(Y1246=1,BC1246=""),1,0)</f>
        <v>0</v>
      </c>
      <c r="BE1246" s="80">
        <f>IF(AND(BD1246=1,AU1246=1),1,0)</f>
        <v>0</v>
      </c>
      <c r="BF1246" s="80" t="str">
        <f>IF(AND(D1246="proMX",BD1246=1),IF(R1246="","Draft",R1246),"")</f>
        <v/>
      </c>
      <c r="BG1246" s="80">
        <f>IF(BD1246=1,ROUND(AG1246/60,6),0)</f>
        <v>0</v>
      </c>
      <c r="BH1246" s="80">
        <f>IF(BE1246=1,ROUND(AG1246/60,6),0)</f>
        <v>0</v>
      </c>
      <c r="BI1246" s="80">
        <f>IF(BE1246=1,ROUND(AP1246/60,6),0)</f>
        <v>0</v>
      </c>
      <c r="BJ1246" s="80">
        <f>IF(BE1246=1,ROUND(AQ1246/60,6),0)</f>
        <v>0</v>
      </c>
      <c r="BK1246" s="80">
        <f>IF(BE1246=1,ROUND((AR1246+AS1246)/60,6),0)</f>
        <v>0</v>
      </c>
      <c r="BL1246" s="80">
        <f>ROUND(BH1246-BK1246,6)</f>
        <v>0</v>
      </c>
      <c r="BM1246" s="80">
        <f>IF(BE1246=1,ROUND(AR1246/60,6),0)</f>
        <v>0</v>
      </c>
      <c r="BN1246" s="80">
        <f>ROUND(BI1246-BM1246,6)</f>
        <v>0</v>
      </c>
      <c r="BO1246" s="80">
        <f>IF(BE1246=1,ROUND(AS1246/60,6),0)</f>
        <v>0</v>
      </c>
      <c r="BP1246" s="80">
        <f>ROUND(BJ1246-BO1246,6)</f>
        <v>0</v>
      </c>
      <c r="BQ1246" s="80">
        <f>IF(BE1246=1,AW1246,0)</f>
        <v>0</v>
      </c>
      <c r="BR1246" s="80">
        <f>IF(BE1246=1,AX1246,0)</f>
        <v>0</v>
      </c>
      <c r="BS1246" s="80">
        <f>IF(AND(BE1246=1,D1246="Malcolm",BA1246&gt;0),MIN(BH1246,SUMPRODUCT((R_Emp="proMX")*(R_EN&gt;0)*((R_EN-(R_EN&gt;BR1246)*(R_EN-BR1246))&gt;(R_SN+(R_SN&lt;BQ1246)*(BQ1246-R_SN)))*((R_EN-(R_EN&gt;BR1246)*(R_EN-BR1246))-(R_SN+(R_SN&lt;BQ1246)*(BQ1246-R_SN))))/60),0)</f>
        <v>0</v>
      </c>
      <c r="BT1246" s="80">
        <f>IF(AND(BE1246=1,D1246="proMX"),ROUND(BI1246*CFG_RATE+BJ1246*CFG_OTRATE,6),0)</f>
        <v>0</v>
      </c>
      <c r="BU1246" s="80">
        <f>IF(AND(BD1246=1,D1246="proMX"),ROUND(AG1246/CFG_BLK,6),0)</f>
        <v>0</v>
      </c>
      <c r="BV1246" s="80" t="str">
        <f>IF(BF1246="Approved",IF(ISNUMBER(T1246),INT(T1246),INT(B1246)),"")</f>
        <v/>
      </c>
      <c r="BW1246" s="80">
        <f>IF(ISNUMBER(B1246),IF(DB_MON="Todos",1,IF(AND(INT(B1246)&gt;=DB_MS,INT(B1246)&lt;=DB_ME),1,0)),0)</f>
        <v>0</v>
      </c>
      <c r="BX1246" s="80">
        <f>IF(DB_PROJ="Todos",1,IF(E1246&amp;""=DB_PROJ&amp;"",1,0))</f>
        <v>1</v>
      </c>
      <c r="BY1246" s="80">
        <f>BW1246*BX1246</f>
        <v>0</v>
      </c>
      <c r="BZ1246" s="80" t="str">
        <f>IF(Y1246=1,F1246&amp;IF(AND(F1246&amp;""&lt;&gt;"",E1246&amp;""&lt;&gt;"")," · ","")&amp;E1246,"")</f>
        <v/>
      </c>
      <c r="CA1246" s="80" t="str">
        <f>IF(AND(BD1246=1,E1246&amp;""&lt;&gt;""),IF(COUNTIFS($E$5:E1245,E1246,$BD$5:BD1245,1)=0,MAX($CA$5:CA1245)+1,""),"")</f>
        <v/>
      </c>
      <c r="CB1246" s="80" t="str">
        <f>IF(AND(BE1246=1,D1246="Malcolm",E1246&amp;""&lt;&gt;""),IF(COUNTIFS($D$5:D1245,"Malcolm",$E$5:E1245,E1246,$BE$5:BE1245,1)=0,MAX($CB$5:CB1245)+1,""),"")</f>
        <v/>
      </c>
      <c r="CC1246" s="80" t="str">
        <f>IF(AND(BD1246=1,D1246="proMX",E1246&amp;""&lt;&gt;""),IF(COUNTIFS($D$5:D1245,"proMX",$E$5:E1245,E1246,$BD$5:BD1245,1)=0,MAX($CC$5:CC1245)+1,""),"")</f>
        <v/>
      </c>
      <c r="CD1246" s="80" t="str">
        <f>IF(AND(BE1246=1,D1246="Malcolm",F1246&amp;""&lt;&gt;""),IF(COUNTIFS($D$5:D1245,"Malcolm",$F$5:F1245,F1246,$BE$5:BE1245,1)=0,MAX($CD$5:CD1245)+1,""),"")</f>
        <v/>
      </c>
      <c r="CE1246" s="80" t="str">
        <f>IF(AND(BD1246=1,D1246="proMX",F1246&amp;""&lt;&gt;""),IF(COUNTIFS($D$5:D1245,"proMX",$F$5:F1245,F1246,$BD$5:BD1245,1)=0,MAX($CE$5:CE1245)+1,""),"")</f>
        <v/>
      </c>
      <c r="CF1246" s="80" t="str">
        <f>IF(AND(D1246="proMX",BD1246=1),IF(OR(BF1246="Draft",BF1246="Submitted",BF1246="Returned",BF1246="Recall Requested"),MAX($CF$5:CF1245)+1,""),"")</f>
        <v/>
      </c>
      <c r="CG1246" s="80">
        <f>IF(BD1246=0,0,IF(D1246="Malcolm",1,MATCH(BF1246,{"Draft","Submitted","Approved","Returned","Recall Requested","Cancelled"},0)+1))</f>
        <v>0</v>
      </c>
      <c r="CH1246" s="80">
        <f>IF(AND(BF1246="Submitted",ISNUMBER(V1246)),IF(V1246&gt;CFG_MAXD,1,0),0)</f>
        <v>0</v>
      </c>
    </row>
    <row r="1247">
      <c r="A1247" s="71" t="str">
        <f>IF(Y1247=1,ROW()-5,"")</f>
        <v/>
      </c>
      <c r="B1247" s="72" t="n"/>
      <c r="C1247" s="71" t="str">
        <f>IF(ISNUMBER(B1247),CHOOSE(WEEKDAY(B1247,2),"Lun","Mar","Mié","Jue","Vie","Sáb","Dom"),"")</f>
        <v/>
      </c>
      <c r="D1247" s="73" t="n"/>
      <c r="E1247" s="74" t="n"/>
      <c r="F1247" s="74" t="n"/>
      <c r="G1247" s="74" t="n"/>
      <c r="H1247" s="75" t="n"/>
      <c r="I1247" s="75" t="n"/>
      <c r="J1247" s="76" t="n"/>
      <c r="K1247" s="77" t="str">
        <f>IF(AB1247=1,ROUND(AG1247/60,4),"")</f>
        <v/>
      </c>
      <c r="L1247" s="77" t="str">
        <f>IF(BD1247=1,ROUND(AP1247/60,4),"")</f>
        <v/>
      </c>
      <c r="M1247" s="77" t="str">
        <f>IF(BD1247=1,ROUND(AQ1247/60,4),"")</f>
        <v/>
      </c>
      <c r="N1247" s="71" t="str">
        <f>IF(AND(D1247="proMX",AB1247=1),ROUND(AG1247/CFG_BLK,2),"")</f>
        <v/>
      </c>
      <c r="O1247" s="77" t="str">
        <f>IF(D1247="proMX",IF(BD1247=1,ROUND(AG1247/60,4),0),"")</f>
        <v/>
      </c>
      <c r="P1247" s="78" t="str">
        <f>IF(Y1247=0,"",IF(BD1247=1,"OK",IF(D1247="proMX","Revisar bloques: ","Revisar: ")&amp;BC1247))</f>
        <v/>
      </c>
      <c r="Q1247" s="78" t="str">
        <f>IF(NOT(ISNUMBER(B1247)),"",IF(COUNTIFS(FER_F,INT(B1247))&gt;0,"Feriado"&amp;IF(AH1247=1," (laborable)"," (no laborable)"),IF(AH1247=1,"Laborable",IF(WEEKDAY(B1247,2)&gt;5,"Fin de semana","No laborable"))))</f>
        <v/>
      </c>
      <c r="R1247" s="73" t="n"/>
      <c r="S1247" s="72" t="n"/>
      <c r="T1247" s="72" t="n"/>
      <c r="U1247" s="74" t="n"/>
      <c r="V1247" s="79" t="str">
        <f>IF(AND(D1247="proMX",OR(R1247="Submitted",R1247="Recall Requested"),ISNUMBER(S1247)),CFG_TODAY-INT(S1247),"")</f>
        <v/>
      </c>
      <c r="W1247" s="78" t="str">
        <f>IF(BD1247=0,"",IF(BA1247&gt;0,"⚠ Se superpone con un registro de la otra empresa",IF(D1247="Malcolm",IF(COUNTA(R1247,S1247,T1247)&gt;0,"Estado/fechas proMX se ignoran en Malcolm",""),IF(BF1247="Cancelled","Cancelado: excluido de totales",IF(R1247="","Sin estado: se trata como Draft",IF(BF1247="Submitted",IF(ISNUMBER(V1247),IF(V1247&gt;CFG_MAXD,"⚠ "&amp;V1247&amp;" días en Submitted (máx. "&amp;CFG_MAXD&amp;")",""),"Falta fecha de envío"),IF(BF1247="Returned","⚠ Devuelto: corregir y reenviar",IF(BF1247="Recall Requested","Retirada solicitada: pendiente",IF(AND(BF1247="Approved",NOT(ISNUMBER(T1247))),"Falta fecha de aprobación",IF(AND(ISNUMBER(S1247),ISNUMBER(T1247),T1247&lt;S1247),"Aprobación anterior al envío","")))))))))</f>
        <v/>
      </c>
      <c r="Y1247" s="80">
        <f>IF(COUNTA(B1247,D1247,E1247,F1247,G1247,H1247,I1247,J1247,R1247,S1247,T1247)&gt;0,1,0)</f>
        <v>0</v>
      </c>
      <c r="Z1247" s="80" t="str">
        <f>IF(AND(ISNUMBER(H1247),H1247&gt;=0,H1247&lt;1),ROUND(H1247*1440,0),"")</f>
        <v/>
      </c>
      <c r="AA1247" s="80" t="str">
        <f>IF(AND(ISNUMBER(I1247),I1247&gt;=0,I1247&lt;1),ROUND(I1247*1440,0),"")</f>
        <v/>
      </c>
      <c r="AB1247" s="80">
        <f>IF(AND(ISNUMBER(B1247),D1247&lt;&gt;"",ISNUMBER(Z1247),ISNUMBER(AA1247)),IF(Z1247=AA1247,0,1),0)</f>
        <v>0</v>
      </c>
      <c r="AC1247" s="80">
        <f>IF(AB1247=1,IF(AA1247&lt;Z1247,1,0),0)</f>
        <v>0</v>
      </c>
      <c r="AD1247" s="80">
        <f>IF(AB1247=1,IF(AC1247=1,1440-Z1247+AA1247,AA1247-Z1247),0)</f>
        <v>0</v>
      </c>
      <c r="AE1247" s="80">
        <f>IF(J1247="",0,IF(ISNUMBER(J1247),J1247,-1))</f>
        <v>0</v>
      </c>
      <c r="AF1247" s="80">
        <f>MIN(MAX(0,AE1247),AD1247)</f>
        <v>0</v>
      </c>
      <c r="AG1247" s="80">
        <f>MAX(0,AD1247-MAX(0,AE1247))</f>
        <v>0</v>
      </c>
      <c r="AH1247" s="80">
        <f>IF(ISNUMBER(B1247),IF(AND(INDEX(CFG_WDAYS,WEEKDAY(INT(B1247),2))="Sí",IF(D1247="proMX",COUNTIFS(FER_F,INT(B1247),FER_NLP,"Sí"),COUNTIFS(FER_F,INT(B1247),FER_NLM,"Sí"))=0),1,0),0)</f>
        <v>0</v>
      </c>
      <c r="AI1247" s="80">
        <f>IF(AC1247=1,IF(AND(INDEX(CFG_WDAYS,WEEKDAY(INT(B1247)+1,2))="Sí",IF(D1247="proMX",COUNTIFS(FER_F,INT(B1247)+1,FER_NLP,"Sí"),COUNTIFS(FER_F,INT(B1247)+1,FER_NLM,"Sí"))=0),1,0),0)</f>
        <v>0</v>
      </c>
      <c r="AJ1247" s="80">
        <f>IF(AC1247=1,1440-Z1247,AD1247)</f>
        <v>0</v>
      </c>
      <c r="AK1247" s="80">
        <f>IF(AND(AB1247=1,AH1247=1),MAX(0,MIN(IF(AC1247=1,1440,AA1247),CFG_WEM)-MAX(Z1247,CFG_WSM)),0)</f>
        <v>0</v>
      </c>
      <c r="AL1247" s="80">
        <f>IF(AND(AC1247=1,AI1247=1),MAX(0,MIN(AA1247,CFG_WEM)-CFG_WSM),0)</f>
        <v>0</v>
      </c>
      <c r="AM1247" s="80">
        <f>AK1247+AL1247</f>
        <v>0</v>
      </c>
      <c r="AN1247" s="80">
        <f>IF(CFG_BRK="Proporcional",IF(AD1247=0,0,AF1247*AM1247/AD1247),IF(CFG_BRK="Extras primero",MIN(AM1247,MAX(0,AF1247-(AD1247-AM1247))),MIN(AF1247,AM1247)))</f>
        <v>0</v>
      </c>
      <c r="AO1247" s="80">
        <f>AF1247-AN1247</f>
        <v>0</v>
      </c>
      <c r="AP1247" s="80">
        <f>AM1247-AN1247</f>
        <v>0</v>
      </c>
      <c r="AQ1247" s="80">
        <f>AD1247-AM1247-AO1247</f>
        <v>0</v>
      </c>
      <c r="AR1247" s="80">
        <f>IF(AM1247=0,0,AK1247-AN1247*AK1247/AM1247)</f>
        <v>0</v>
      </c>
      <c r="AS1247" s="80">
        <f>IF(AD1247-AM1247=0,0,(AJ1247-AK1247)-AO1247*(AJ1247-AK1247)/(AD1247-AM1247))</f>
        <v>0</v>
      </c>
      <c r="AT1247" s="80" t="str">
        <f>IF(AC1247=1,INT(B1247)+1,"")</f>
        <v/>
      </c>
      <c r="AU1247" s="80">
        <f>IF(AND(D1247="proMX",R1247="Cancelled"),0,1)</f>
        <v>1</v>
      </c>
      <c r="AV1247" s="80">
        <f>IF(AND(AB1247=1,AU1247=1),IF(COUNTIFS($D$5:D1246,D1247,$B$5:B1246,B1247,$Z$5:Z1246,Z1247,$AA$5:AA1246,AA1247,$F$5:F1246,F1247&amp;"",$AU$5:AU1246,1)&gt;0,1,0),0)</f>
        <v>0</v>
      </c>
      <c r="AW1247" s="80" t="str">
        <f>IF(AB1247=1,INT(B1247)*1440+Z1247,"")</f>
        <v/>
      </c>
      <c r="AX1247" s="80" t="str">
        <f>IF(AB1247=1,AW1247+AD1247,"")</f>
        <v/>
      </c>
      <c r="AY1247" s="80">
        <f>IF(AND(AB1247=1,AV1247=0,AU1247=1),1,0)</f>
        <v>0</v>
      </c>
      <c r="AZ1247" s="80">
        <f>IF(AY1247=1,COUNTIFS(R_Emp,D1247,R_SAbs,"&lt;"&amp;AX1247,R_EAbs,"&gt;"&amp;AW1247,R_OKey,1)-1,0)</f>
        <v>0</v>
      </c>
      <c r="BA1247" s="80">
        <f>IF(AY1247=1,COUNTIFS(R_Emp,"&lt;&gt;"&amp;D1247,R_SAbs,"&lt;"&amp;AX1247,R_EAbs,"&gt;"&amp;AW1247,R_OKey,1),0)</f>
        <v>0</v>
      </c>
      <c r="BB1247" s="80">
        <f>IF(AND(AB1247=1,D1247="proMX"),IF(AND(MOD(Z1247,CFG_BLK)=0,MOD(AA1247,CFG_BLK)=0,MOD(AG1247,CFG_BLK)=0,AG1247&gt;0),1,0),1)</f>
        <v>1</v>
      </c>
      <c r="BC1247" s="80" t="str">
        <f>IF(Y1247=0,"",IF(NOT(ISNUMBER(B1247)),"Falta fecha o fecha inválida",IF(D1247="","Falta empresa",IF(AND(D1247&lt;&gt;"Malcolm",D1247&lt;&gt;"proMX"),"Empresa inválida",IF(OR(INT(B1247)&lt;CFG_PSTART,INT(B1247)&gt;CFG_PEND),"Fecha fuera del período",IF(OR(NOT(ISNUMBER(Z1247)),NOT(ISNUMBER(AA1247))),"Falta hora inicio/fin o formato inválido",IF(AB1247=0,"Hora inicio = hora fin",IF(AE1247&lt;0,"Descanso inválido",IF(AE1247&gt;=AD1247,"Descanso ≥ duración",IF(AV1247=1,"Registro duplicado",IF(AZ1247&gt;0,"Se superpone con otro registro "&amp;D1247,IF(BB1247=0,"inicio, fin y duración neta deben ser múltiplos de "&amp;CFG_BLK&amp;" min",""))))))))))))</f>
        <v/>
      </c>
      <c r="BD1247" s="80">
        <f>IF(AND(Y1247=1,BC1247=""),1,0)</f>
        <v>0</v>
      </c>
      <c r="BE1247" s="80">
        <f>IF(AND(BD1247=1,AU1247=1),1,0)</f>
        <v>0</v>
      </c>
      <c r="BF1247" s="80" t="str">
        <f>IF(AND(D1247="proMX",BD1247=1),IF(R1247="","Draft",R1247),"")</f>
        <v/>
      </c>
      <c r="BG1247" s="80">
        <f>IF(BD1247=1,ROUND(AG1247/60,6),0)</f>
        <v>0</v>
      </c>
      <c r="BH1247" s="80">
        <f>IF(BE1247=1,ROUND(AG1247/60,6),0)</f>
        <v>0</v>
      </c>
      <c r="BI1247" s="80">
        <f>IF(BE1247=1,ROUND(AP1247/60,6),0)</f>
        <v>0</v>
      </c>
      <c r="BJ1247" s="80">
        <f>IF(BE1247=1,ROUND(AQ1247/60,6),0)</f>
        <v>0</v>
      </c>
      <c r="BK1247" s="80">
        <f>IF(BE1247=1,ROUND((AR1247+AS1247)/60,6),0)</f>
        <v>0</v>
      </c>
      <c r="BL1247" s="80">
        <f>ROUND(BH1247-BK1247,6)</f>
        <v>0</v>
      </c>
      <c r="BM1247" s="80">
        <f>IF(BE1247=1,ROUND(AR1247/60,6),0)</f>
        <v>0</v>
      </c>
      <c r="BN1247" s="80">
        <f>ROUND(BI1247-BM1247,6)</f>
        <v>0</v>
      </c>
      <c r="BO1247" s="80">
        <f>IF(BE1247=1,ROUND(AS1247/60,6),0)</f>
        <v>0</v>
      </c>
      <c r="BP1247" s="80">
        <f>ROUND(BJ1247-BO1247,6)</f>
        <v>0</v>
      </c>
      <c r="BQ1247" s="80">
        <f>IF(BE1247=1,AW1247,0)</f>
        <v>0</v>
      </c>
      <c r="BR1247" s="80">
        <f>IF(BE1247=1,AX1247,0)</f>
        <v>0</v>
      </c>
      <c r="BS1247" s="80">
        <f>IF(AND(BE1247=1,D1247="Malcolm",BA1247&gt;0),MIN(BH1247,SUMPRODUCT((R_Emp="proMX")*(R_EN&gt;0)*((R_EN-(R_EN&gt;BR1247)*(R_EN-BR1247))&gt;(R_SN+(R_SN&lt;BQ1247)*(BQ1247-R_SN)))*((R_EN-(R_EN&gt;BR1247)*(R_EN-BR1247))-(R_SN+(R_SN&lt;BQ1247)*(BQ1247-R_SN))))/60),0)</f>
        <v>0</v>
      </c>
      <c r="BT1247" s="80">
        <f>IF(AND(BE1247=1,D1247="proMX"),ROUND(BI1247*CFG_RATE+BJ1247*CFG_OTRATE,6),0)</f>
        <v>0</v>
      </c>
      <c r="BU1247" s="80">
        <f>IF(AND(BD1247=1,D1247="proMX"),ROUND(AG1247/CFG_BLK,6),0)</f>
        <v>0</v>
      </c>
      <c r="BV1247" s="80" t="str">
        <f>IF(BF1247="Approved",IF(ISNUMBER(T1247),INT(T1247),INT(B1247)),"")</f>
        <v/>
      </c>
      <c r="BW1247" s="80">
        <f>IF(ISNUMBER(B1247),IF(DB_MON="Todos",1,IF(AND(INT(B1247)&gt;=DB_MS,INT(B1247)&lt;=DB_ME),1,0)),0)</f>
        <v>0</v>
      </c>
      <c r="BX1247" s="80">
        <f>IF(DB_PROJ="Todos",1,IF(E1247&amp;""=DB_PROJ&amp;"",1,0))</f>
        <v>1</v>
      </c>
      <c r="BY1247" s="80">
        <f>BW1247*BX1247</f>
        <v>0</v>
      </c>
      <c r="BZ1247" s="80" t="str">
        <f>IF(Y1247=1,F1247&amp;IF(AND(F1247&amp;""&lt;&gt;"",E1247&amp;""&lt;&gt;"")," · ","")&amp;E1247,"")</f>
        <v/>
      </c>
      <c r="CA1247" s="80" t="str">
        <f>IF(AND(BD1247=1,E1247&amp;""&lt;&gt;""),IF(COUNTIFS($E$5:E1246,E1247,$BD$5:BD1246,1)=0,MAX($CA$5:CA1246)+1,""),"")</f>
        <v/>
      </c>
      <c r="CB1247" s="80" t="str">
        <f>IF(AND(BE1247=1,D1247="Malcolm",E1247&amp;""&lt;&gt;""),IF(COUNTIFS($D$5:D1246,"Malcolm",$E$5:E1246,E1247,$BE$5:BE1246,1)=0,MAX($CB$5:CB1246)+1,""),"")</f>
        <v/>
      </c>
      <c r="CC1247" s="80" t="str">
        <f>IF(AND(BD1247=1,D1247="proMX",E1247&amp;""&lt;&gt;""),IF(COUNTIFS($D$5:D1246,"proMX",$E$5:E1246,E1247,$BD$5:BD1246,1)=0,MAX($CC$5:CC1246)+1,""),"")</f>
        <v/>
      </c>
      <c r="CD1247" s="80" t="str">
        <f>IF(AND(BE1247=1,D1247="Malcolm",F1247&amp;""&lt;&gt;""),IF(COUNTIFS($D$5:D1246,"Malcolm",$F$5:F1246,F1247,$BE$5:BE1246,1)=0,MAX($CD$5:CD1246)+1,""),"")</f>
        <v/>
      </c>
      <c r="CE1247" s="80" t="str">
        <f>IF(AND(BD1247=1,D1247="proMX",F1247&amp;""&lt;&gt;""),IF(COUNTIFS($D$5:D1246,"proMX",$F$5:F1246,F1247,$BD$5:BD1246,1)=0,MAX($CE$5:CE1246)+1,""),"")</f>
        <v/>
      </c>
      <c r="CF1247" s="80" t="str">
        <f>IF(AND(D1247="proMX",BD1247=1),IF(OR(BF1247="Draft",BF1247="Submitted",BF1247="Returned",BF1247="Recall Requested"),MAX($CF$5:CF1246)+1,""),"")</f>
        <v/>
      </c>
      <c r="CG1247" s="80">
        <f>IF(BD1247=0,0,IF(D1247="Malcolm",1,MATCH(BF1247,{"Draft","Submitted","Approved","Returned","Recall Requested","Cancelled"},0)+1))</f>
        <v>0</v>
      </c>
      <c r="CH1247" s="80">
        <f>IF(AND(BF1247="Submitted",ISNUMBER(V1247)),IF(V1247&gt;CFG_MAXD,1,0),0)</f>
        <v>0</v>
      </c>
    </row>
    <row r="1248">
      <c r="A1248" s="71" t="str">
        <f>IF(Y1248=1,ROW()-5,"")</f>
        <v/>
      </c>
      <c r="B1248" s="72" t="n"/>
      <c r="C1248" s="71" t="str">
        <f>IF(ISNUMBER(B1248),CHOOSE(WEEKDAY(B1248,2),"Lun","Mar","Mié","Jue","Vie","Sáb","Dom"),"")</f>
        <v/>
      </c>
      <c r="D1248" s="73" t="n"/>
      <c r="E1248" s="74" t="n"/>
      <c r="F1248" s="74" t="n"/>
      <c r="G1248" s="74" t="n"/>
      <c r="H1248" s="75" t="n"/>
      <c r="I1248" s="75" t="n"/>
      <c r="J1248" s="76" t="n"/>
      <c r="K1248" s="77" t="str">
        <f>IF(AB1248=1,ROUND(AG1248/60,4),"")</f>
        <v/>
      </c>
      <c r="L1248" s="77" t="str">
        <f>IF(BD1248=1,ROUND(AP1248/60,4),"")</f>
        <v/>
      </c>
      <c r="M1248" s="77" t="str">
        <f>IF(BD1248=1,ROUND(AQ1248/60,4),"")</f>
        <v/>
      </c>
      <c r="N1248" s="71" t="str">
        <f>IF(AND(D1248="proMX",AB1248=1),ROUND(AG1248/CFG_BLK,2),"")</f>
        <v/>
      </c>
      <c r="O1248" s="77" t="str">
        <f>IF(D1248="proMX",IF(BD1248=1,ROUND(AG1248/60,4),0),"")</f>
        <v/>
      </c>
      <c r="P1248" s="78" t="str">
        <f>IF(Y1248=0,"",IF(BD1248=1,"OK",IF(D1248="proMX","Revisar bloques: ","Revisar: ")&amp;BC1248))</f>
        <v/>
      </c>
      <c r="Q1248" s="78" t="str">
        <f>IF(NOT(ISNUMBER(B1248)),"",IF(COUNTIFS(FER_F,INT(B1248))&gt;0,"Feriado"&amp;IF(AH1248=1," (laborable)"," (no laborable)"),IF(AH1248=1,"Laborable",IF(WEEKDAY(B1248,2)&gt;5,"Fin de semana","No laborable"))))</f>
        <v/>
      </c>
      <c r="R1248" s="73" t="n"/>
      <c r="S1248" s="72" t="n"/>
      <c r="T1248" s="72" t="n"/>
      <c r="U1248" s="74" t="n"/>
      <c r="V1248" s="79" t="str">
        <f>IF(AND(D1248="proMX",OR(R1248="Submitted",R1248="Recall Requested"),ISNUMBER(S1248)),CFG_TODAY-INT(S1248),"")</f>
        <v/>
      </c>
      <c r="W1248" s="78" t="str">
        <f>IF(BD1248=0,"",IF(BA1248&gt;0,"⚠ Se superpone con un registro de la otra empresa",IF(D1248="Malcolm",IF(COUNTA(R1248,S1248,T1248)&gt;0,"Estado/fechas proMX se ignoran en Malcolm",""),IF(BF1248="Cancelled","Cancelado: excluido de totales",IF(R1248="","Sin estado: se trata como Draft",IF(BF1248="Submitted",IF(ISNUMBER(V1248),IF(V1248&gt;CFG_MAXD,"⚠ "&amp;V1248&amp;" días en Submitted (máx. "&amp;CFG_MAXD&amp;")",""),"Falta fecha de envío"),IF(BF1248="Returned","⚠ Devuelto: corregir y reenviar",IF(BF1248="Recall Requested","Retirada solicitada: pendiente",IF(AND(BF1248="Approved",NOT(ISNUMBER(T1248))),"Falta fecha de aprobación",IF(AND(ISNUMBER(S1248),ISNUMBER(T1248),T1248&lt;S1248),"Aprobación anterior al envío","")))))))))</f>
        <v/>
      </c>
      <c r="Y1248" s="80">
        <f>IF(COUNTA(B1248,D1248,E1248,F1248,G1248,H1248,I1248,J1248,R1248,S1248,T1248)&gt;0,1,0)</f>
        <v>0</v>
      </c>
      <c r="Z1248" s="80" t="str">
        <f>IF(AND(ISNUMBER(H1248),H1248&gt;=0,H1248&lt;1),ROUND(H1248*1440,0),"")</f>
        <v/>
      </c>
      <c r="AA1248" s="80" t="str">
        <f>IF(AND(ISNUMBER(I1248),I1248&gt;=0,I1248&lt;1),ROUND(I1248*1440,0),"")</f>
        <v/>
      </c>
      <c r="AB1248" s="80">
        <f>IF(AND(ISNUMBER(B1248),D1248&lt;&gt;"",ISNUMBER(Z1248),ISNUMBER(AA1248)),IF(Z1248=AA1248,0,1),0)</f>
        <v>0</v>
      </c>
      <c r="AC1248" s="80">
        <f>IF(AB1248=1,IF(AA1248&lt;Z1248,1,0),0)</f>
        <v>0</v>
      </c>
      <c r="AD1248" s="80">
        <f>IF(AB1248=1,IF(AC1248=1,1440-Z1248+AA1248,AA1248-Z1248),0)</f>
        <v>0</v>
      </c>
      <c r="AE1248" s="80">
        <f>IF(J1248="",0,IF(ISNUMBER(J1248),J1248,-1))</f>
        <v>0</v>
      </c>
      <c r="AF1248" s="80">
        <f>MIN(MAX(0,AE1248),AD1248)</f>
        <v>0</v>
      </c>
      <c r="AG1248" s="80">
        <f>MAX(0,AD1248-MAX(0,AE1248))</f>
        <v>0</v>
      </c>
      <c r="AH1248" s="80">
        <f>IF(ISNUMBER(B1248),IF(AND(INDEX(CFG_WDAYS,WEEKDAY(INT(B1248),2))="Sí",IF(D1248="proMX",COUNTIFS(FER_F,INT(B1248),FER_NLP,"Sí"),COUNTIFS(FER_F,INT(B1248),FER_NLM,"Sí"))=0),1,0),0)</f>
        <v>0</v>
      </c>
      <c r="AI1248" s="80">
        <f>IF(AC1248=1,IF(AND(INDEX(CFG_WDAYS,WEEKDAY(INT(B1248)+1,2))="Sí",IF(D1248="proMX",COUNTIFS(FER_F,INT(B1248)+1,FER_NLP,"Sí"),COUNTIFS(FER_F,INT(B1248)+1,FER_NLM,"Sí"))=0),1,0),0)</f>
        <v>0</v>
      </c>
      <c r="AJ1248" s="80">
        <f>IF(AC1248=1,1440-Z1248,AD1248)</f>
        <v>0</v>
      </c>
      <c r="AK1248" s="80">
        <f>IF(AND(AB1248=1,AH1248=1),MAX(0,MIN(IF(AC1248=1,1440,AA1248),CFG_WEM)-MAX(Z1248,CFG_WSM)),0)</f>
        <v>0</v>
      </c>
      <c r="AL1248" s="80">
        <f>IF(AND(AC1248=1,AI1248=1),MAX(0,MIN(AA1248,CFG_WEM)-CFG_WSM),0)</f>
        <v>0</v>
      </c>
      <c r="AM1248" s="80">
        <f>AK1248+AL1248</f>
        <v>0</v>
      </c>
      <c r="AN1248" s="80">
        <f>IF(CFG_BRK="Proporcional",IF(AD1248=0,0,AF1248*AM1248/AD1248),IF(CFG_BRK="Extras primero",MIN(AM1248,MAX(0,AF1248-(AD1248-AM1248))),MIN(AF1248,AM1248)))</f>
        <v>0</v>
      </c>
      <c r="AO1248" s="80">
        <f>AF1248-AN1248</f>
        <v>0</v>
      </c>
      <c r="AP1248" s="80">
        <f>AM1248-AN1248</f>
        <v>0</v>
      </c>
      <c r="AQ1248" s="80">
        <f>AD1248-AM1248-AO1248</f>
        <v>0</v>
      </c>
      <c r="AR1248" s="80">
        <f>IF(AM1248=0,0,AK1248-AN1248*AK1248/AM1248)</f>
        <v>0</v>
      </c>
      <c r="AS1248" s="80">
        <f>IF(AD1248-AM1248=0,0,(AJ1248-AK1248)-AO1248*(AJ1248-AK1248)/(AD1248-AM1248))</f>
        <v>0</v>
      </c>
      <c r="AT1248" s="80" t="str">
        <f>IF(AC1248=1,INT(B1248)+1,"")</f>
        <v/>
      </c>
      <c r="AU1248" s="80">
        <f>IF(AND(D1248="proMX",R1248="Cancelled"),0,1)</f>
        <v>1</v>
      </c>
      <c r="AV1248" s="80">
        <f>IF(AND(AB1248=1,AU1248=1),IF(COUNTIFS($D$5:D1247,D1248,$B$5:B1247,B1248,$Z$5:Z1247,Z1248,$AA$5:AA1247,AA1248,$F$5:F1247,F1248&amp;"",$AU$5:AU1247,1)&gt;0,1,0),0)</f>
        <v>0</v>
      </c>
      <c r="AW1248" s="80" t="str">
        <f>IF(AB1248=1,INT(B1248)*1440+Z1248,"")</f>
        <v/>
      </c>
      <c r="AX1248" s="80" t="str">
        <f>IF(AB1248=1,AW1248+AD1248,"")</f>
        <v/>
      </c>
      <c r="AY1248" s="80">
        <f>IF(AND(AB1248=1,AV1248=0,AU1248=1),1,0)</f>
        <v>0</v>
      </c>
      <c r="AZ1248" s="80">
        <f>IF(AY1248=1,COUNTIFS(R_Emp,D1248,R_SAbs,"&lt;"&amp;AX1248,R_EAbs,"&gt;"&amp;AW1248,R_OKey,1)-1,0)</f>
        <v>0</v>
      </c>
      <c r="BA1248" s="80">
        <f>IF(AY1248=1,COUNTIFS(R_Emp,"&lt;&gt;"&amp;D1248,R_SAbs,"&lt;"&amp;AX1248,R_EAbs,"&gt;"&amp;AW1248,R_OKey,1),0)</f>
        <v>0</v>
      </c>
      <c r="BB1248" s="80">
        <f>IF(AND(AB1248=1,D1248="proMX"),IF(AND(MOD(Z1248,CFG_BLK)=0,MOD(AA1248,CFG_BLK)=0,MOD(AG1248,CFG_BLK)=0,AG1248&gt;0),1,0),1)</f>
        <v>1</v>
      </c>
      <c r="BC1248" s="80" t="str">
        <f>IF(Y1248=0,"",IF(NOT(ISNUMBER(B1248)),"Falta fecha o fecha inválida",IF(D1248="","Falta empresa",IF(AND(D1248&lt;&gt;"Malcolm",D1248&lt;&gt;"proMX"),"Empresa inválida",IF(OR(INT(B1248)&lt;CFG_PSTART,INT(B1248)&gt;CFG_PEND),"Fecha fuera del período",IF(OR(NOT(ISNUMBER(Z1248)),NOT(ISNUMBER(AA1248))),"Falta hora inicio/fin o formato inválido",IF(AB1248=0,"Hora inicio = hora fin",IF(AE1248&lt;0,"Descanso inválido",IF(AE1248&gt;=AD1248,"Descanso ≥ duración",IF(AV1248=1,"Registro duplicado",IF(AZ1248&gt;0,"Se superpone con otro registro "&amp;D1248,IF(BB1248=0,"inicio, fin y duración neta deben ser múltiplos de "&amp;CFG_BLK&amp;" min",""))))))))))))</f>
        <v/>
      </c>
      <c r="BD1248" s="80">
        <f>IF(AND(Y1248=1,BC1248=""),1,0)</f>
        <v>0</v>
      </c>
      <c r="BE1248" s="80">
        <f>IF(AND(BD1248=1,AU1248=1),1,0)</f>
        <v>0</v>
      </c>
      <c r="BF1248" s="80" t="str">
        <f>IF(AND(D1248="proMX",BD1248=1),IF(R1248="","Draft",R1248),"")</f>
        <v/>
      </c>
      <c r="BG1248" s="80">
        <f>IF(BD1248=1,ROUND(AG1248/60,6),0)</f>
        <v>0</v>
      </c>
      <c r="BH1248" s="80">
        <f>IF(BE1248=1,ROUND(AG1248/60,6),0)</f>
        <v>0</v>
      </c>
      <c r="BI1248" s="80">
        <f>IF(BE1248=1,ROUND(AP1248/60,6),0)</f>
        <v>0</v>
      </c>
      <c r="BJ1248" s="80">
        <f>IF(BE1248=1,ROUND(AQ1248/60,6),0)</f>
        <v>0</v>
      </c>
      <c r="BK1248" s="80">
        <f>IF(BE1248=1,ROUND((AR1248+AS1248)/60,6),0)</f>
        <v>0</v>
      </c>
      <c r="BL1248" s="80">
        <f>ROUND(BH1248-BK1248,6)</f>
        <v>0</v>
      </c>
      <c r="BM1248" s="80">
        <f>IF(BE1248=1,ROUND(AR1248/60,6),0)</f>
        <v>0</v>
      </c>
      <c r="BN1248" s="80">
        <f>ROUND(BI1248-BM1248,6)</f>
        <v>0</v>
      </c>
      <c r="BO1248" s="80">
        <f>IF(BE1248=1,ROUND(AS1248/60,6),0)</f>
        <v>0</v>
      </c>
      <c r="BP1248" s="80">
        <f>ROUND(BJ1248-BO1248,6)</f>
        <v>0</v>
      </c>
      <c r="BQ1248" s="80">
        <f>IF(BE1248=1,AW1248,0)</f>
        <v>0</v>
      </c>
      <c r="BR1248" s="80">
        <f>IF(BE1248=1,AX1248,0)</f>
        <v>0</v>
      </c>
      <c r="BS1248" s="80">
        <f>IF(AND(BE1248=1,D1248="Malcolm",BA1248&gt;0),MIN(BH1248,SUMPRODUCT((R_Emp="proMX")*(R_EN&gt;0)*((R_EN-(R_EN&gt;BR1248)*(R_EN-BR1248))&gt;(R_SN+(R_SN&lt;BQ1248)*(BQ1248-R_SN)))*((R_EN-(R_EN&gt;BR1248)*(R_EN-BR1248))-(R_SN+(R_SN&lt;BQ1248)*(BQ1248-R_SN))))/60),0)</f>
        <v>0</v>
      </c>
      <c r="BT1248" s="80">
        <f>IF(AND(BE1248=1,D1248="proMX"),ROUND(BI1248*CFG_RATE+BJ1248*CFG_OTRATE,6),0)</f>
        <v>0</v>
      </c>
      <c r="BU1248" s="80">
        <f>IF(AND(BD1248=1,D1248="proMX"),ROUND(AG1248/CFG_BLK,6),0)</f>
        <v>0</v>
      </c>
      <c r="BV1248" s="80" t="str">
        <f>IF(BF1248="Approved",IF(ISNUMBER(T1248),INT(T1248),INT(B1248)),"")</f>
        <v/>
      </c>
      <c r="BW1248" s="80">
        <f>IF(ISNUMBER(B1248),IF(DB_MON="Todos",1,IF(AND(INT(B1248)&gt;=DB_MS,INT(B1248)&lt;=DB_ME),1,0)),0)</f>
        <v>0</v>
      </c>
      <c r="BX1248" s="80">
        <f>IF(DB_PROJ="Todos",1,IF(E1248&amp;""=DB_PROJ&amp;"",1,0))</f>
        <v>1</v>
      </c>
      <c r="BY1248" s="80">
        <f>BW1248*BX1248</f>
        <v>0</v>
      </c>
      <c r="BZ1248" s="80" t="str">
        <f>IF(Y1248=1,F1248&amp;IF(AND(F1248&amp;""&lt;&gt;"",E1248&amp;""&lt;&gt;"")," · ","")&amp;E1248,"")</f>
        <v/>
      </c>
      <c r="CA1248" s="80" t="str">
        <f>IF(AND(BD1248=1,E1248&amp;""&lt;&gt;""),IF(COUNTIFS($E$5:E1247,E1248,$BD$5:BD1247,1)=0,MAX($CA$5:CA1247)+1,""),"")</f>
        <v/>
      </c>
      <c r="CB1248" s="80" t="str">
        <f>IF(AND(BE1248=1,D1248="Malcolm",E1248&amp;""&lt;&gt;""),IF(COUNTIFS($D$5:D1247,"Malcolm",$E$5:E1247,E1248,$BE$5:BE1247,1)=0,MAX($CB$5:CB1247)+1,""),"")</f>
        <v/>
      </c>
      <c r="CC1248" s="80" t="str">
        <f>IF(AND(BD1248=1,D1248="proMX",E1248&amp;""&lt;&gt;""),IF(COUNTIFS($D$5:D1247,"proMX",$E$5:E1247,E1248,$BD$5:BD1247,1)=0,MAX($CC$5:CC1247)+1,""),"")</f>
        <v/>
      </c>
      <c r="CD1248" s="80" t="str">
        <f>IF(AND(BE1248=1,D1248="Malcolm",F1248&amp;""&lt;&gt;""),IF(COUNTIFS($D$5:D1247,"Malcolm",$F$5:F1247,F1248,$BE$5:BE1247,1)=0,MAX($CD$5:CD1247)+1,""),"")</f>
        <v/>
      </c>
      <c r="CE1248" s="80" t="str">
        <f>IF(AND(BD1248=1,D1248="proMX",F1248&amp;""&lt;&gt;""),IF(COUNTIFS($D$5:D1247,"proMX",$F$5:F1247,F1248,$BD$5:BD1247,1)=0,MAX($CE$5:CE1247)+1,""),"")</f>
        <v/>
      </c>
      <c r="CF1248" s="80" t="str">
        <f>IF(AND(D1248="proMX",BD1248=1),IF(OR(BF1248="Draft",BF1248="Submitted",BF1248="Returned",BF1248="Recall Requested"),MAX($CF$5:CF1247)+1,""),"")</f>
        <v/>
      </c>
      <c r="CG1248" s="80">
        <f>IF(BD1248=0,0,IF(D1248="Malcolm",1,MATCH(BF1248,{"Draft","Submitted","Approved","Returned","Recall Requested","Cancelled"},0)+1))</f>
        <v>0</v>
      </c>
      <c r="CH1248" s="80">
        <f>IF(AND(BF1248="Submitted",ISNUMBER(V1248)),IF(V1248&gt;CFG_MAXD,1,0),0)</f>
        <v>0</v>
      </c>
    </row>
    <row r="1249">
      <c r="A1249" s="71" t="str">
        <f>IF(Y1249=1,ROW()-5,"")</f>
        <v/>
      </c>
      <c r="B1249" s="72" t="n"/>
      <c r="C1249" s="71" t="str">
        <f>IF(ISNUMBER(B1249),CHOOSE(WEEKDAY(B1249,2),"Lun","Mar","Mié","Jue","Vie","Sáb","Dom"),"")</f>
        <v/>
      </c>
      <c r="D1249" s="73" t="n"/>
      <c r="E1249" s="74" t="n"/>
      <c r="F1249" s="74" t="n"/>
      <c r="G1249" s="74" t="n"/>
      <c r="H1249" s="75" t="n"/>
      <c r="I1249" s="75" t="n"/>
      <c r="J1249" s="76" t="n"/>
      <c r="K1249" s="77" t="str">
        <f>IF(AB1249=1,ROUND(AG1249/60,4),"")</f>
        <v/>
      </c>
      <c r="L1249" s="77" t="str">
        <f>IF(BD1249=1,ROUND(AP1249/60,4),"")</f>
        <v/>
      </c>
      <c r="M1249" s="77" t="str">
        <f>IF(BD1249=1,ROUND(AQ1249/60,4),"")</f>
        <v/>
      </c>
      <c r="N1249" s="71" t="str">
        <f>IF(AND(D1249="proMX",AB1249=1),ROUND(AG1249/CFG_BLK,2),"")</f>
        <v/>
      </c>
      <c r="O1249" s="77" t="str">
        <f>IF(D1249="proMX",IF(BD1249=1,ROUND(AG1249/60,4),0),"")</f>
        <v/>
      </c>
      <c r="P1249" s="78" t="str">
        <f>IF(Y1249=0,"",IF(BD1249=1,"OK",IF(D1249="proMX","Revisar bloques: ","Revisar: ")&amp;BC1249))</f>
        <v/>
      </c>
      <c r="Q1249" s="78" t="str">
        <f>IF(NOT(ISNUMBER(B1249)),"",IF(COUNTIFS(FER_F,INT(B1249))&gt;0,"Feriado"&amp;IF(AH1249=1," (laborable)"," (no laborable)"),IF(AH1249=1,"Laborable",IF(WEEKDAY(B1249,2)&gt;5,"Fin de semana","No laborable"))))</f>
        <v/>
      </c>
      <c r="R1249" s="73" t="n"/>
      <c r="S1249" s="72" t="n"/>
      <c r="T1249" s="72" t="n"/>
      <c r="U1249" s="74" t="n"/>
      <c r="V1249" s="79" t="str">
        <f>IF(AND(D1249="proMX",OR(R1249="Submitted",R1249="Recall Requested"),ISNUMBER(S1249)),CFG_TODAY-INT(S1249),"")</f>
        <v/>
      </c>
      <c r="W1249" s="78" t="str">
        <f>IF(BD1249=0,"",IF(BA1249&gt;0,"⚠ Se superpone con un registro de la otra empresa",IF(D1249="Malcolm",IF(COUNTA(R1249,S1249,T1249)&gt;0,"Estado/fechas proMX se ignoran en Malcolm",""),IF(BF1249="Cancelled","Cancelado: excluido de totales",IF(R1249="","Sin estado: se trata como Draft",IF(BF1249="Submitted",IF(ISNUMBER(V1249),IF(V1249&gt;CFG_MAXD,"⚠ "&amp;V1249&amp;" días en Submitted (máx. "&amp;CFG_MAXD&amp;")",""),"Falta fecha de envío"),IF(BF1249="Returned","⚠ Devuelto: corregir y reenviar",IF(BF1249="Recall Requested","Retirada solicitada: pendiente",IF(AND(BF1249="Approved",NOT(ISNUMBER(T1249))),"Falta fecha de aprobación",IF(AND(ISNUMBER(S1249),ISNUMBER(T1249),T1249&lt;S1249),"Aprobación anterior al envío","")))))))))</f>
        <v/>
      </c>
      <c r="Y1249" s="80">
        <f>IF(COUNTA(B1249,D1249,E1249,F1249,G1249,H1249,I1249,J1249,R1249,S1249,T1249)&gt;0,1,0)</f>
        <v>0</v>
      </c>
      <c r="Z1249" s="80" t="str">
        <f>IF(AND(ISNUMBER(H1249),H1249&gt;=0,H1249&lt;1),ROUND(H1249*1440,0),"")</f>
        <v/>
      </c>
      <c r="AA1249" s="80" t="str">
        <f>IF(AND(ISNUMBER(I1249),I1249&gt;=0,I1249&lt;1),ROUND(I1249*1440,0),"")</f>
        <v/>
      </c>
      <c r="AB1249" s="80">
        <f>IF(AND(ISNUMBER(B1249),D1249&lt;&gt;"",ISNUMBER(Z1249),ISNUMBER(AA1249)),IF(Z1249=AA1249,0,1),0)</f>
        <v>0</v>
      </c>
      <c r="AC1249" s="80">
        <f>IF(AB1249=1,IF(AA1249&lt;Z1249,1,0),0)</f>
        <v>0</v>
      </c>
      <c r="AD1249" s="80">
        <f>IF(AB1249=1,IF(AC1249=1,1440-Z1249+AA1249,AA1249-Z1249),0)</f>
        <v>0</v>
      </c>
      <c r="AE1249" s="80">
        <f>IF(J1249="",0,IF(ISNUMBER(J1249),J1249,-1))</f>
        <v>0</v>
      </c>
      <c r="AF1249" s="80">
        <f>MIN(MAX(0,AE1249),AD1249)</f>
        <v>0</v>
      </c>
      <c r="AG1249" s="80">
        <f>MAX(0,AD1249-MAX(0,AE1249))</f>
        <v>0</v>
      </c>
      <c r="AH1249" s="80">
        <f>IF(ISNUMBER(B1249),IF(AND(INDEX(CFG_WDAYS,WEEKDAY(INT(B1249),2))="Sí",IF(D1249="proMX",COUNTIFS(FER_F,INT(B1249),FER_NLP,"Sí"),COUNTIFS(FER_F,INT(B1249),FER_NLM,"Sí"))=0),1,0),0)</f>
        <v>0</v>
      </c>
      <c r="AI1249" s="80">
        <f>IF(AC1249=1,IF(AND(INDEX(CFG_WDAYS,WEEKDAY(INT(B1249)+1,2))="Sí",IF(D1249="proMX",COUNTIFS(FER_F,INT(B1249)+1,FER_NLP,"Sí"),COUNTIFS(FER_F,INT(B1249)+1,FER_NLM,"Sí"))=0),1,0),0)</f>
        <v>0</v>
      </c>
      <c r="AJ1249" s="80">
        <f>IF(AC1249=1,1440-Z1249,AD1249)</f>
        <v>0</v>
      </c>
      <c r="AK1249" s="80">
        <f>IF(AND(AB1249=1,AH1249=1),MAX(0,MIN(IF(AC1249=1,1440,AA1249),CFG_WEM)-MAX(Z1249,CFG_WSM)),0)</f>
        <v>0</v>
      </c>
      <c r="AL1249" s="80">
        <f>IF(AND(AC1249=1,AI1249=1),MAX(0,MIN(AA1249,CFG_WEM)-CFG_WSM),0)</f>
        <v>0</v>
      </c>
      <c r="AM1249" s="80">
        <f>AK1249+AL1249</f>
        <v>0</v>
      </c>
      <c r="AN1249" s="80">
        <f>IF(CFG_BRK="Proporcional",IF(AD1249=0,0,AF1249*AM1249/AD1249),IF(CFG_BRK="Extras primero",MIN(AM1249,MAX(0,AF1249-(AD1249-AM1249))),MIN(AF1249,AM1249)))</f>
        <v>0</v>
      </c>
      <c r="AO1249" s="80">
        <f>AF1249-AN1249</f>
        <v>0</v>
      </c>
      <c r="AP1249" s="80">
        <f>AM1249-AN1249</f>
        <v>0</v>
      </c>
      <c r="AQ1249" s="80">
        <f>AD1249-AM1249-AO1249</f>
        <v>0</v>
      </c>
      <c r="AR1249" s="80">
        <f>IF(AM1249=0,0,AK1249-AN1249*AK1249/AM1249)</f>
        <v>0</v>
      </c>
      <c r="AS1249" s="80">
        <f>IF(AD1249-AM1249=0,0,(AJ1249-AK1249)-AO1249*(AJ1249-AK1249)/(AD1249-AM1249))</f>
        <v>0</v>
      </c>
      <c r="AT1249" s="80" t="str">
        <f>IF(AC1249=1,INT(B1249)+1,"")</f>
        <v/>
      </c>
      <c r="AU1249" s="80">
        <f>IF(AND(D1249="proMX",R1249="Cancelled"),0,1)</f>
        <v>1</v>
      </c>
      <c r="AV1249" s="80">
        <f>IF(AND(AB1249=1,AU1249=1),IF(COUNTIFS($D$5:D1248,D1249,$B$5:B1248,B1249,$Z$5:Z1248,Z1249,$AA$5:AA1248,AA1249,$F$5:F1248,F1249&amp;"",$AU$5:AU1248,1)&gt;0,1,0),0)</f>
        <v>0</v>
      </c>
      <c r="AW1249" s="80" t="str">
        <f>IF(AB1249=1,INT(B1249)*1440+Z1249,"")</f>
        <v/>
      </c>
      <c r="AX1249" s="80" t="str">
        <f>IF(AB1249=1,AW1249+AD1249,"")</f>
        <v/>
      </c>
      <c r="AY1249" s="80">
        <f>IF(AND(AB1249=1,AV1249=0,AU1249=1),1,0)</f>
        <v>0</v>
      </c>
      <c r="AZ1249" s="80">
        <f>IF(AY1249=1,COUNTIFS(R_Emp,D1249,R_SAbs,"&lt;"&amp;AX1249,R_EAbs,"&gt;"&amp;AW1249,R_OKey,1)-1,0)</f>
        <v>0</v>
      </c>
      <c r="BA1249" s="80">
        <f>IF(AY1249=1,COUNTIFS(R_Emp,"&lt;&gt;"&amp;D1249,R_SAbs,"&lt;"&amp;AX1249,R_EAbs,"&gt;"&amp;AW1249,R_OKey,1),0)</f>
        <v>0</v>
      </c>
      <c r="BB1249" s="80">
        <f>IF(AND(AB1249=1,D1249="proMX"),IF(AND(MOD(Z1249,CFG_BLK)=0,MOD(AA1249,CFG_BLK)=0,MOD(AG1249,CFG_BLK)=0,AG1249&gt;0),1,0),1)</f>
        <v>1</v>
      </c>
      <c r="BC1249" s="80" t="str">
        <f>IF(Y1249=0,"",IF(NOT(ISNUMBER(B1249)),"Falta fecha o fecha inválida",IF(D1249="","Falta empresa",IF(AND(D1249&lt;&gt;"Malcolm",D1249&lt;&gt;"proMX"),"Empresa inválida",IF(OR(INT(B1249)&lt;CFG_PSTART,INT(B1249)&gt;CFG_PEND),"Fecha fuera del período",IF(OR(NOT(ISNUMBER(Z1249)),NOT(ISNUMBER(AA1249))),"Falta hora inicio/fin o formato inválido",IF(AB1249=0,"Hora inicio = hora fin",IF(AE1249&lt;0,"Descanso inválido",IF(AE1249&gt;=AD1249,"Descanso ≥ duración",IF(AV1249=1,"Registro duplicado",IF(AZ1249&gt;0,"Se superpone con otro registro "&amp;D1249,IF(BB1249=0,"inicio, fin y duración neta deben ser múltiplos de "&amp;CFG_BLK&amp;" min",""))))))))))))</f>
        <v/>
      </c>
      <c r="BD1249" s="80">
        <f>IF(AND(Y1249=1,BC1249=""),1,0)</f>
        <v>0</v>
      </c>
      <c r="BE1249" s="80">
        <f>IF(AND(BD1249=1,AU1249=1),1,0)</f>
        <v>0</v>
      </c>
      <c r="BF1249" s="80" t="str">
        <f>IF(AND(D1249="proMX",BD1249=1),IF(R1249="","Draft",R1249),"")</f>
        <v/>
      </c>
      <c r="BG1249" s="80">
        <f>IF(BD1249=1,ROUND(AG1249/60,6),0)</f>
        <v>0</v>
      </c>
      <c r="BH1249" s="80">
        <f>IF(BE1249=1,ROUND(AG1249/60,6),0)</f>
        <v>0</v>
      </c>
      <c r="BI1249" s="80">
        <f>IF(BE1249=1,ROUND(AP1249/60,6),0)</f>
        <v>0</v>
      </c>
      <c r="BJ1249" s="80">
        <f>IF(BE1249=1,ROUND(AQ1249/60,6),0)</f>
        <v>0</v>
      </c>
      <c r="BK1249" s="80">
        <f>IF(BE1249=1,ROUND((AR1249+AS1249)/60,6),0)</f>
        <v>0</v>
      </c>
      <c r="BL1249" s="80">
        <f>ROUND(BH1249-BK1249,6)</f>
        <v>0</v>
      </c>
      <c r="BM1249" s="80">
        <f>IF(BE1249=1,ROUND(AR1249/60,6),0)</f>
        <v>0</v>
      </c>
      <c r="BN1249" s="80">
        <f>ROUND(BI1249-BM1249,6)</f>
        <v>0</v>
      </c>
      <c r="BO1249" s="80">
        <f>IF(BE1249=1,ROUND(AS1249/60,6),0)</f>
        <v>0</v>
      </c>
      <c r="BP1249" s="80">
        <f>ROUND(BJ1249-BO1249,6)</f>
        <v>0</v>
      </c>
      <c r="BQ1249" s="80">
        <f>IF(BE1249=1,AW1249,0)</f>
        <v>0</v>
      </c>
      <c r="BR1249" s="80">
        <f>IF(BE1249=1,AX1249,0)</f>
        <v>0</v>
      </c>
      <c r="BS1249" s="80">
        <f>IF(AND(BE1249=1,D1249="Malcolm",BA1249&gt;0),MIN(BH1249,SUMPRODUCT((R_Emp="proMX")*(R_EN&gt;0)*((R_EN-(R_EN&gt;BR1249)*(R_EN-BR1249))&gt;(R_SN+(R_SN&lt;BQ1249)*(BQ1249-R_SN)))*((R_EN-(R_EN&gt;BR1249)*(R_EN-BR1249))-(R_SN+(R_SN&lt;BQ1249)*(BQ1249-R_SN))))/60),0)</f>
        <v>0</v>
      </c>
      <c r="BT1249" s="80">
        <f>IF(AND(BE1249=1,D1249="proMX"),ROUND(BI1249*CFG_RATE+BJ1249*CFG_OTRATE,6),0)</f>
        <v>0</v>
      </c>
      <c r="BU1249" s="80">
        <f>IF(AND(BD1249=1,D1249="proMX"),ROUND(AG1249/CFG_BLK,6),0)</f>
        <v>0</v>
      </c>
      <c r="BV1249" s="80" t="str">
        <f>IF(BF1249="Approved",IF(ISNUMBER(T1249),INT(T1249),INT(B1249)),"")</f>
        <v/>
      </c>
      <c r="BW1249" s="80">
        <f>IF(ISNUMBER(B1249),IF(DB_MON="Todos",1,IF(AND(INT(B1249)&gt;=DB_MS,INT(B1249)&lt;=DB_ME),1,0)),0)</f>
        <v>0</v>
      </c>
      <c r="BX1249" s="80">
        <f>IF(DB_PROJ="Todos",1,IF(E1249&amp;""=DB_PROJ&amp;"",1,0))</f>
        <v>1</v>
      </c>
      <c r="BY1249" s="80">
        <f>BW1249*BX1249</f>
        <v>0</v>
      </c>
      <c r="BZ1249" s="80" t="str">
        <f>IF(Y1249=1,F1249&amp;IF(AND(F1249&amp;""&lt;&gt;"",E1249&amp;""&lt;&gt;"")," · ","")&amp;E1249,"")</f>
        <v/>
      </c>
      <c r="CA1249" s="80" t="str">
        <f>IF(AND(BD1249=1,E1249&amp;""&lt;&gt;""),IF(COUNTIFS($E$5:E1248,E1249,$BD$5:BD1248,1)=0,MAX($CA$5:CA1248)+1,""),"")</f>
        <v/>
      </c>
      <c r="CB1249" s="80" t="str">
        <f>IF(AND(BE1249=1,D1249="Malcolm",E1249&amp;""&lt;&gt;""),IF(COUNTIFS($D$5:D1248,"Malcolm",$E$5:E1248,E1249,$BE$5:BE1248,1)=0,MAX($CB$5:CB1248)+1,""),"")</f>
        <v/>
      </c>
      <c r="CC1249" s="80" t="str">
        <f>IF(AND(BD1249=1,D1249="proMX",E1249&amp;""&lt;&gt;""),IF(COUNTIFS($D$5:D1248,"proMX",$E$5:E1248,E1249,$BD$5:BD1248,1)=0,MAX($CC$5:CC1248)+1,""),"")</f>
        <v/>
      </c>
      <c r="CD1249" s="80" t="str">
        <f>IF(AND(BE1249=1,D1249="Malcolm",F1249&amp;""&lt;&gt;""),IF(COUNTIFS($D$5:D1248,"Malcolm",$F$5:F1248,F1249,$BE$5:BE1248,1)=0,MAX($CD$5:CD1248)+1,""),"")</f>
        <v/>
      </c>
      <c r="CE1249" s="80" t="str">
        <f>IF(AND(BD1249=1,D1249="proMX",F1249&amp;""&lt;&gt;""),IF(COUNTIFS($D$5:D1248,"proMX",$F$5:F1248,F1249,$BD$5:BD1248,1)=0,MAX($CE$5:CE1248)+1,""),"")</f>
        <v/>
      </c>
      <c r="CF1249" s="80" t="str">
        <f>IF(AND(D1249="proMX",BD1249=1),IF(OR(BF1249="Draft",BF1249="Submitted",BF1249="Returned",BF1249="Recall Requested"),MAX($CF$5:CF1248)+1,""),"")</f>
        <v/>
      </c>
      <c r="CG1249" s="80">
        <f>IF(BD1249=0,0,IF(D1249="Malcolm",1,MATCH(BF1249,{"Draft","Submitted","Approved","Returned","Recall Requested","Cancelled"},0)+1))</f>
        <v>0</v>
      </c>
      <c r="CH1249" s="80">
        <f>IF(AND(BF1249="Submitted",ISNUMBER(V1249)),IF(V1249&gt;CFG_MAXD,1,0),0)</f>
        <v>0</v>
      </c>
    </row>
    <row r="1250">
      <c r="A1250" s="71" t="str">
        <f>IF(Y1250=1,ROW()-5,"")</f>
        <v/>
      </c>
      <c r="B1250" s="72" t="n"/>
      <c r="C1250" s="71" t="str">
        <f>IF(ISNUMBER(B1250),CHOOSE(WEEKDAY(B1250,2),"Lun","Mar","Mié","Jue","Vie","Sáb","Dom"),"")</f>
        <v/>
      </c>
      <c r="D1250" s="73" t="n"/>
      <c r="E1250" s="74" t="n"/>
      <c r="F1250" s="74" t="n"/>
      <c r="G1250" s="74" t="n"/>
      <c r="H1250" s="75" t="n"/>
      <c r="I1250" s="75" t="n"/>
      <c r="J1250" s="76" t="n"/>
      <c r="K1250" s="77" t="str">
        <f>IF(AB1250=1,ROUND(AG1250/60,4),"")</f>
        <v/>
      </c>
      <c r="L1250" s="77" t="str">
        <f>IF(BD1250=1,ROUND(AP1250/60,4),"")</f>
        <v/>
      </c>
      <c r="M1250" s="77" t="str">
        <f>IF(BD1250=1,ROUND(AQ1250/60,4),"")</f>
        <v/>
      </c>
      <c r="N1250" s="71" t="str">
        <f>IF(AND(D1250="proMX",AB1250=1),ROUND(AG1250/CFG_BLK,2),"")</f>
        <v/>
      </c>
      <c r="O1250" s="77" t="str">
        <f>IF(D1250="proMX",IF(BD1250=1,ROUND(AG1250/60,4),0),"")</f>
        <v/>
      </c>
      <c r="P1250" s="78" t="str">
        <f>IF(Y1250=0,"",IF(BD1250=1,"OK",IF(D1250="proMX","Revisar bloques: ","Revisar: ")&amp;BC1250))</f>
        <v/>
      </c>
      <c r="Q1250" s="78" t="str">
        <f>IF(NOT(ISNUMBER(B1250)),"",IF(COUNTIFS(FER_F,INT(B1250))&gt;0,"Feriado"&amp;IF(AH1250=1," (laborable)"," (no laborable)"),IF(AH1250=1,"Laborable",IF(WEEKDAY(B1250,2)&gt;5,"Fin de semana","No laborable"))))</f>
        <v/>
      </c>
      <c r="R1250" s="73" t="n"/>
      <c r="S1250" s="72" t="n"/>
      <c r="T1250" s="72" t="n"/>
      <c r="U1250" s="74" t="n"/>
      <c r="V1250" s="79" t="str">
        <f>IF(AND(D1250="proMX",OR(R1250="Submitted",R1250="Recall Requested"),ISNUMBER(S1250)),CFG_TODAY-INT(S1250),"")</f>
        <v/>
      </c>
      <c r="W1250" s="78" t="str">
        <f>IF(BD1250=0,"",IF(BA1250&gt;0,"⚠ Se superpone con un registro de la otra empresa",IF(D1250="Malcolm",IF(COUNTA(R1250,S1250,T1250)&gt;0,"Estado/fechas proMX se ignoran en Malcolm",""),IF(BF1250="Cancelled","Cancelado: excluido de totales",IF(R1250="","Sin estado: se trata como Draft",IF(BF1250="Submitted",IF(ISNUMBER(V1250),IF(V1250&gt;CFG_MAXD,"⚠ "&amp;V1250&amp;" días en Submitted (máx. "&amp;CFG_MAXD&amp;")",""),"Falta fecha de envío"),IF(BF1250="Returned","⚠ Devuelto: corregir y reenviar",IF(BF1250="Recall Requested","Retirada solicitada: pendiente",IF(AND(BF1250="Approved",NOT(ISNUMBER(T1250))),"Falta fecha de aprobación",IF(AND(ISNUMBER(S1250),ISNUMBER(T1250),T1250&lt;S1250),"Aprobación anterior al envío","")))))))))</f>
        <v/>
      </c>
      <c r="Y1250" s="80">
        <f>IF(COUNTA(B1250,D1250,E1250,F1250,G1250,H1250,I1250,J1250,R1250,S1250,T1250)&gt;0,1,0)</f>
        <v>0</v>
      </c>
      <c r="Z1250" s="80" t="str">
        <f>IF(AND(ISNUMBER(H1250),H1250&gt;=0,H1250&lt;1),ROUND(H1250*1440,0),"")</f>
        <v/>
      </c>
      <c r="AA1250" s="80" t="str">
        <f>IF(AND(ISNUMBER(I1250),I1250&gt;=0,I1250&lt;1),ROUND(I1250*1440,0),"")</f>
        <v/>
      </c>
      <c r="AB1250" s="80">
        <f>IF(AND(ISNUMBER(B1250),D1250&lt;&gt;"",ISNUMBER(Z1250),ISNUMBER(AA1250)),IF(Z1250=AA1250,0,1),0)</f>
        <v>0</v>
      </c>
      <c r="AC1250" s="80">
        <f>IF(AB1250=1,IF(AA1250&lt;Z1250,1,0),0)</f>
        <v>0</v>
      </c>
      <c r="AD1250" s="80">
        <f>IF(AB1250=1,IF(AC1250=1,1440-Z1250+AA1250,AA1250-Z1250),0)</f>
        <v>0</v>
      </c>
      <c r="AE1250" s="80">
        <f>IF(J1250="",0,IF(ISNUMBER(J1250),J1250,-1))</f>
        <v>0</v>
      </c>
      <c r="AF1250" s="80">
        <f>MIN(MAX(0,AE1250),AD1250)</f>
        <v>0</v>
      </c>
      <c r="AG1250" s="80">
        <f>MAX(0,AD1250-MAX(0,AE1250))</f>
        <v>0</v>
      </c>
      <c r="AH1250" s="80">
        <f>IF(ISNUMBER(B1250),IF(AND(INDEX(CFG_WDAYS,WEEKDAY(INT(B1250),2))="Sí",IF(D1250="proMX",COUNTIFS(FER_F,INT(B1250),FER_NLP,"Sí"),COUNTIFS(FER_F,INT(B1250),FER_NLM,"Sí"))=0),1,0),0)</f>
        <v>0</v>
      </c>
      <c r="AI1250" s="80">
        <f>IF(AC1250=1,IF(AND(INDEX(CFG_WDAYS,WEEKDAY(INT(B1250)+1,2))="Sí",IF(D1250="proMX",COUNTIFS(FER_F,INT(B1250)+1,FER_NLP,"Sí"),COUNTIFS(FER_F,INT(B1250)+1,FER_NLM,"Sí"))=0),1,0),0)</f>
        <v>0</v>
      </c>
      <c r="AJ1250" s="80">
        <f>IF(AC1250=1,1440-Z1250,AD1250)</f>
        <v>0</v>
      </c>
      <c r="AK1250" s="80">
        <f>IF(AND(AB1250=1,AH1250=1),MAX(0,MIN(IF(AC1250=1,1440,AA1250),CFG_WEM)-MAX(Z1250,CFG_WSM)),0)</f>
        <v>0</v>
      </c>
      <c r="AL1250" s="80">
        <f>IF(AND(AC1250=1,AI1250=1),MAX(0,MIN(AA1250,CFG_WEM)-CFG_WSM),0)</f>
        <v>0</v>
      </c>
      <c r="AM1250" s="80">
        <f>AK1250+AL1250</f>
        <v>0</v>
      </c>
      <c r="AN1250" s="80">
        <f>IF(CFG_BRK="Proporcional",IF(AD1250=0,0,AF1250*AM1250/AD1250),IF(CFG_BRK="Extras primero",MIN(AM1250,MAX(0,AF1250-(AD1250-AM1250))),MIN(AF1250,AM1250)))</f>
        <v>0</v>
      </c>
      <c r="AO1250" s="80">
        <f>AF1250-AN1250</f>
        <v>0</v>
      </c>
      <c r="AP1250" s="80">
        <f>AM1250-AN1250</f>
        <v>0</v>
      </c>
      <c r="AQ1250" s="80">
        <f>AD1250-AM1250-AO1250</f>
        <v>0</v>
      </c>
      <c r="AR1250" s="80">
        <f>IF(AM1250=0,0,AK1250-AN1250*AK1250/AM1250)</f>
        <v>0</v>
      </c>
      <c r="AS1250" s="80">
        <f>IF(AD1250-AM1250=0,0,(AJ1250-AK1250)-AO1250*(AJ1250-AK1250)/(AD1250-AM1250))</f>
        <v>0</v>
      </c>
      <c r="AT1250" s="80" t="str">
        <f>IF(AC1250=1,INT(B1250)+1,"")</f>
        <v/>
      </c>
      <c r="AU1250" s="80">
        <f>IF(AND(D1250="proMX",R1250="Cancelled"),0,1)</f>
        <v>1</v>
      </c>
      <c r="AV1250" s="80">
        <f>IF(AND(AB1250=1,AU1250=1),IF(COUNTIFS($D$5:D1249,D1250,$B$5:B1249,B1250,$Z$5:Z1249,Z1250,$AA$5:AA1249,AA1250,$F$5:F1249,F1250&amp;"",$AU$5:AU1249,1)&gt;0,1,0),0)</f>
        <v>0</v>
      </c>
      <c r="AW1250" s="80" t="str">
        <f>IF(AB1250=1,INT(B1250)*1440+Z1250,"")</f>
        <v/>
      </c>
      <c r="AX1250" s="80" t="str">
        <f>IF(AB1250=1,AW1250+AD1250,"")</f>
        <v/>
      </c>
      <c r="AY1250" s="80">
        <f>IF(AND(AB1250=1,AV1250=0,AU1250=1),1,0)</f>
        <v>0</v>
      </c>
      <c r="AZ1250" s="80">
        <f>IF(AY1250=1,COUNTIFS(R_Emp,D1250,R_SAbs,"&lt;"&amp;AX1250,R_EAbs,"&gt;"&amp;AW1250,R_OKey,1)-1,0)</f>
        <v>0</v>
      </c>
      <c r="BA1250" s="80">
        <f>IF(AY1250=1,COUNTIFS(R_Emp,"&lt;&gt;"&amp;D1250,R_SAbs,"&lt;"&amp;AX1250,R_EAbs,"&gt;"&amp;AW1250,R_OKey,1),0)</f>
        <v>0</v>
      </c>
      <c r="BB1250" s="80">
        <f>IF(AND(AB1250=1,D1250="proMX"),IF(AND(MOD(Z1250,CFG_BLK)=0,MOD(AA1250,CFG_BLK)=0,MOD(AG1250,CFG_BLK)=0,AG1250&gt;0),1,0),1)</f>
        <v>1</v>
      </c>
      <c r="BC1250" s="80" t="str">
        <f>IF(Y1250=0,"",IF(NOT(ISNUMBER(B1250)),"Falta fecha o fecha inválida",IF(D1250="","Falta empresa",IF(AND(D1250&lt;&gt;"Malcolm",D1250&lt;&gt;"proMX"),"Empresa inválida",IF(OR(INT(B1250)&lt;CFG_PSTART,INT(B1250)&gt;CFG_PEND),"Fecha fuera del período",IF(OR(NOT(ISNUMBER(Z1250)),NOT(ISNUMBER(AA1250))),"Falta hora inicio/fin o formato inválido",IF(AB1250=0,"Hora inicio = hora fin",IF(AE1250&lt;0,"Descanso inválido",IF(AE1250&gt;=AD1250,"Descanso ≥ duración",IF(AV1250=1,"Registro duplicado",IF(AZ1250&gt;0,"Se superpone con otro registro "&amp;D1250,IF(BB1250=0,"inicio, fin y duración neta deben ser múltiplos de "&amp;CFG_BLK&amp;" min",""))))))))))))</f>
        <v/>
      </c>
      <c r="BD1250" s="80">
        <f>IF(AND(Y1250=1,BC1250=""),1,0)</f>
        <v>0</v>
      </c>
      <c r="BE1250" s="80">
        <f>IF(AND(BD1250=1,AU1250=1),1,0)</f>
        <v>0</v>
      </c>
      <c r="BF1250" s="80" t="str">
        <f>IF(AND(D1250="proMX",BD1250=1),IF(R1250="","Draft",R1250),"")</f>
        <v/>
      </c>
      <c r="BG1250" s="80">
        <f>IF(BD1250=1,ROUND(AG1250/60,6),0)</f>
        <v>0</v>
      </c>
      <c r="BH1250" s="80">
        <f>IF(BE1250=1,ROUND(AG1250/60,6),0)</f>
        <v>0</v>
      </c>
      <c r="BI1250" s="80">
        <f>IF(BE1250=1,ROUND(AP1250/60,6),0)</f>
        <v>0</v>
      </c>
      <c r="BJ1250" s="80">
        <f>IF(BE1250=1,ROUND(AQ1250/60,6),0)</f>
        <v>0</v>
      </c>
      <c r="BK1250" s="80">
        <f>IF(BE1250=1,ROUND((AR1250+AS1250)/60,6),0)</f>
        <v>0</v>
      </c>
      <c r="BL1250" s="80">
        <f>ROUND(BH1250-BK1250,6)</f>
        <v>0</v>
      </c>
      <c r="BM1250" s="80">
        <f>IF(BE1250=1,ROUND(AR1250/60,6),0)</f>
        <v>0</v>
      </c>
      <c r="BN1250" s="80">
        <f>ROUND(BI1250-BM1250,6)</f>
        <v>0</v>
      </c>
      <c r="BO1250" s="80">
        <f>IF(BE1250=1,ROUND(AS1250/60,6),0)</f>
        <v>0</v>
      </c>
      <c r="BP1250" s="80">
        <f>ROUND(BJ1250-BO1250,6)</f>
        <v>0</v>
      </c>
      <c r="BQ1250" s="80">
        <f>IF(BE1250=1,AW1250,0)</f>
        <v>0</v>
      </c>
      <c r="BR1250" s="80">
        <f>IF(BE1250=1,AX1250,0)</f>
        <v>0</v>
      </c>
      <c r="BS1250" s="80">
        <f>IF(AND(BE1250=1,D1250="Malcolm",BA1250&gt;0),MIN(BH1250,SUMPRODUCT((R_Emp="proMX")*(R_EN&gt;0)*((R_EN-(R_EN&gt;BR1250)*(R_EN-BR1250))&gt;(R_SN+(R_SN&lt;BQ1250)*(BQ1250-R_SN)))*((R_EN-(R_EN&gt;BR1250)*(R_EN-BR1250))-(R_SN+(R_SN&lt;BQ1250)*(BQ1250-R_SN))))/60),0)</f>
        <v>0</v>
      </c>
      <c r="BT1250" s="80">
        <f>IF(AND(BE1250=1,D1250="proMX"),ROUND(BI1250*CFG_RATE+BJ1250*CFG_OTRATE,6),0)</f>
        <v>0</v>
      </c>
      <c r="BU1250" s="80">
        <f>IF(AND(BD1250=1,D1250="proMX"),ROUND(AG1250/CFG_BLK,6),0)</f>
        <v>0</v>
      </c>
      <c r="BV1250" s="80" t="str">
        <f>IF(BF1250="Approved",IF(ISNUMBER(T1250),INT(T1250),INT(B1250)),"")</f>
        <v/>
      </c>
      <c r="BW1250" s="80">
        <f>IF(ISNUMBER(B1250),IF(DB_MON="Todos",1,IF(AND(INT(B1250)&gt;=DB_MS,INT(B1250)&lt;=DB_ME),1,0)),0)</f>
        <v>0</v>
      </c>
      <c r="BX1250" s="80">
        <f>IF(DB_PROJ="Todos",1,IF(E1250&amp;""=DB_PROJ&amp;"",1,0))</f>
        <v>1</v>
      </c>
      <c r="BY1250" s="80">
        <f>BW1250*BX1250</f>
        <v>0</v>
      </c>
      <c r="BZ1250" s="80" t="str">
        <f>IF(Y1250=1,F1250&amp;IF(AND(F1250&amp;""&lt;&gt;"",E1250&amp;""&lt;&gt;"")," · ","")&amp;E1250,"")</f>
        <v/>
      </c>
      <c r="CA1250" s="80" t="str">
        <f>IF(AND(BD1250=1,E1250&amp;""&lt;&gt;""),IF(COUNTIFS($E$5:E1249,E1250,$BD$5:BD1249,1)=0,MAX($CA$5:CA1249)+1,""),"")</f>
        <v/>
      </c>
      <c r="CB1250" s="80" t="str">
        <f>IF(AND(BE1250=1,D1250="Malcolm",E1250&amp;""&lt;&gt;""),IF(COUNTIFS($D$5:D1249,"Malcolm",$E$5:E1249,E1250,$BE$5:BE1249,1)=0,MAX($CB$5:CB1249)+1,""),"")</f>
        <v/>
      </c>
      <c r="CC1250" s="80" t="str">
        <f>IF(AND(BD1250=1,D1250="proMX",E1250&amp;""&lt;&gt;""),IF(COUNTIFS($D$5:D1249,"proMX",$E$5:E1249,E1250,$BD$5:BD1249,1)=0,MAX($CC$5:CC1249)+1,""),"")</f>
        <v/>
      </c>
      <c r="CD1250" s="80" t="str">
        <f>IF(AND(BE1250=1,D1250="Malcolm",F1250&amp;""&lt;&gt;""),IF(COUNTIFS($D$5:D1249,"Malcolm",$F$5:F1249,F1250,$BE$5:BE1249,1)=0,MAX($CD$5:CD1249)+1,""),"")</f>
        <v/>
      </c>
      <c r="CE1250" s="80" t="str">
        <f>IF(AND(BD1250=1,D1250="proMX",F1250&amp;""&lt;&gt;""),IF(COUNTIFS($D$5:D1249,"proMX",$F$5:F1249,F1250,$BD$5:BD1249,1)=0,MAX($CE$5:CE1249)+1,""),"")</f>
        <v/>
      </c>
      <c r="CF1250" s="80" t="str">
        <f>IF(AND(D1250="proMX",BD1250=1),IF(OR(BF1250="Draft",BF1250="Submitted",BF1250="Returned",BF1250="Recall Requested"),MAX($CF$5:CF1249)+1,""),"")</f>
        <v/>
      </c>
      <c r="CG1250" s="80">
        <f>IF(BD1250=0,0,IF(D1250="Malcolm",1,MATCH(BF1250,{"Draft","Submitted","Approved","Returned","Recall Requested","Cancelled"},0)+1))</f>
        <v>0</v>
      </c>
      <c r="CH1250" s="80">
        <f>IF(AND(BF1250="Submitted",ISNUMBER(V1250)),IF(V1250&gt;CFG_MAXD,1,0),0)</f>
        <v>0</v>
      </c>
    </row>
    <row r="1251">
      <c r="A1251" s="71" t="str">
        <f>IF(Y1251=1,ROW()-5,"")</f>
        <v/>
      </c>
      <c r="B1251" s="72" t="n"/>
      <c r="C1251" s="71" t="str">
        <f>IF(ISNUMBER(B1251),CHOOSE(WEEKDAY(B1251,2),"Lun","Mar","Mié","Jue","Vie","Sáb","Dom"),"")</f>
        <v/>
      </c>
      <c r="D1251" s="73" t="n"/>
      <c r="E1251" s="74" t="n"/>
      <c r="F1251" s="74" t="n"/>
      <c r="G1251" s="74" t="n"/>
      <c r="H1251" s="75" t="n"/>
      <c r="I1251" s="75" t="n"/>
      <c r="J1251" s="76" t="n"/>
      <c r="K1251" s="77" t="str">
        <f>IF(AB1251=1,ROUND(AG1251/60,4),"")</f>
        <v/>
      </c>
      <c r="L1251" s="77" t="str">
        <f>IF(BD1251=1,ROUND(AP1251/60,4),"")</f>
        <v/>
      </c>
      <c r="M1251" s="77" t="str">
        <f>IF(BD1251=1,ROUND(AQ1251/60,4),"")</f>
        <v/>
      </c>
      <c r="N1251" s="71" t="str">
        <f>IF(AND(D1251="proMX",AB1251=1),ROUND(AG1251/CFG_BLK,2),"")</f>
        <v/>
      </c>
      <c r="O1251" s="77" t="str">
        <f>IF(D1251="proMX",IF(BD1251=1,ROUND(AG1251/60,4),0),"")</f>
        <v/>
      </c>
      <c r="P1251" s="78" t="str">
        <f>IF(Y1251=0,"",IF(BD1251=1,"OK",IF(D1251="proMX","Revisar bloques: ","Revisar: ")&amp;BC1251))</f>
        <v/>
      </c>
      <c r="Q1251" s="78" t="str">
        <f>IF(NOT(ISNUMBER(B1251)),"",IF(COUNTIFS(FER_F,INT(B1251))&gt;0,"Feriado"&amp;IF(AH1251=1," (laborable)"," (no laborable)"),IF(AH1251=1,"Laborable",IF(WEEKDAY(B1251,2)&gt;5,"Fin de semana","No laborable"))))</f>
        <v/>
      </c>
      <c r="R1251" s="73" t="n"/>
      <c r="S1251" s="72" t="n"/>
      <c r="T1251" s="72" t="n"/>
      <c r="U1251" s="74" t="n"/>
      <c r="V1251" s="79" t="str">
        <f>IF(AND(D1251="proMX",OR(R1251="Submitted",R1251="Recall Requested"),ISNUMBER(S1251)),CFG_TODAY-INT(S1251),"")</f>
        <v/>
      </c>
      <c r="W1251" s="78" t="str">
        <f>IF(BD1251=0,"",IF(BA1251&gt;0,"⚠ Se superpone con un registro de la otra empresa",IF(D1251="Malcolm",IF(COUNTA(R1251,S1251,T1251)&gt;0,"Estado/fechas proMX se ignoran en Malcolm",""),IF(BF1251="Cancelled","Cancelado: excluido de totales",IF(R1251="","Sin estado: se trata como Draft",IF(BF1251="Submitted",IF(ISNUMBER(V1251),IF(V1251&gt;CFG_MAXD,"⚠ "&amp;V1251&amp;" días en Submitted (máx. "&amp;CFG_MAXD&amp;")",""),"Falta fecha de envío"),IF(BF1251="Returned","⚠ Devuelto: corregir y reenviar",IF(BF1251="Recall Requested","Retirada solicitada: pendiente",IF(AND(BF1251="Approved",NOT(ISNUMBER(T1251))),"Falta fecha de aprobación",IF(AND(ISNUMBER(S1251),ISNUMBER(T1251),T1251&lt;S1251),"Aprobación anterior al envío","")))))))))</f>
        <v/>
      </c>
      <c r="Y1251" s="80">
        <f>IF(COUNTA(B1251,D1251,E1251,F1251,G1251,H1251,I1251,J1251,R1251,S1251,T1251)&gt;0,1,0)</f>
        <v>0</v>
      </c>
      <c r="Z1251" s="80" t="str">
        <f>IF(AND(ISNUMBER(H1251),H1251&gt;=0,H1251&lt;1),ROUND(H1251*1440,0),"")</f>
        <v/>
      </c>
      <c r="AA1251" s="80" t="str">
        <f>IF(AND(ISNUMBER(I1251),I1251&gt;=0,I1251&lt;1),ROUND(I1251*1440,0),"")</f>
        <v/>
      </c>
      <c r="AB1251" s="80">
        <f>IF(AND(ISNUMBER(B1251),D1251&lt;&gt;"",ISNUMBER(Z1251),ISNUMBER(AA1251)),IF(Z1251=AA1251,0,1),0)</f>
        <v>0</v>
      </c>
      <c r="AC1251" s="80">
        <f>IF(AB1251=1,IF(AA1251&lt;Z1251,1,0),0)</f>
        <v>0</v>
      </c>
      <c r="AD1251" s="80">
        <f>IF(AB1251=1,IF(AC1251=1,1440-Z1251+AA1251,AA1251-Z1251),0)</f>
        <v>0</v>
      </c>
      <c r="AE1251" s="80">
        <f>IF(J1251="",0,IF(ISNUMBER(J1251),J1251,-1))</f>
        <v>0</v>
      </c>
      <c r="AF1251" s="80">
        <f>MIN(MAX(0,AE1251),AD1251)</f>
        <v>0</v>
      </c>
      <c r="AG1251" s="80">
        <f>MAX(0,AD1251-MAX(0,AE1251))</f>
        <v>0</v>
      </c>
      <c r="AH1251" s="80">
        <f>IF(ISNUMBER(B1251),IF(AND(INDEX(CFG_WDAYS,WEEKDAY(INT(B1251),2))="Sí",IF(D1251="proMX",COUNTIFS(FER_F,INT(B1251),FER_NLP,"Sí"),COUNTIFS(FER_F,INT(B1251),FER_NLM,"Sí"))=0),1,0),0)</f>
        <v>0</v>
      </c>
      <c r="AI1251" s="80">
        <f>IF(AC1251=1,IF(AND(INDEX(CFG_WDAYS,WEEKDAY(INT(B1251)+1,2))="Sí",IF(D1251="proMX",COUNTIFS(FER_F,INT(B1251)+1,FER_NLP,"Sí"),COUNTIFS(FER_F,INT(B1251)+1,FER_NLM,"Sí"))=0),1,0),0)</f>
        <v>0</v>
      </c>
      <c r="AJ1251" s="80">
        <f>IF(AC1251=1,1440-Z1251,AD1251)</f>
        <v>0</v>
      </c>
      <c r="AK1251" s="80">
        <f>IF(AND(AB1251=1,AH1251=1),MAX(0,MIN(IF(AC1251=1,1440,AA1251),CFG_WEM)-MAX(Z1251,CFG_WSM)),0)</f>
        <v>0</v>
      </c>
      <c r="AL1251" s="80">
        <f>IF(AND(AC1251=1,AI1251=1),MAX(0,MIN(AA1251,CFG_WEM)-CFG_WSM),0)</f>
        <v>0</v>
      </c>
      <c r="AM1251" s="80">
        <f>AK1251+AL1251</f>
        <v>0</v>
      </c>
      <c r="AN1251" s="80">
        <f>IF(CFG_BRK="Proporcional",IF(AD1251=0,0,AF1251*AM1251/AD1251),IF(CFG_BRK="Extras primero",MIN(AM1251,MAX(0,AF1251-(AD1251-AM1251))),MIN(AF1251,AM1251)))</f>
        <v>0</v>
      </c>
      <c r="AO1251" s="80">
        <f>AF1251-AN1251</f>
        <v>0</v>
      </c>
      <c r="AP1251" s="80">
        <f>AM1251-AN1251</f>
        <v>0</v>
      </c>
      <c r="AQ1251" s="80">
        <f>AD1251-AM1251-AO1251</f>
        <v>0</v>
      </c>
      <c r="AR1251" s="80">
        <f>IF(AM1251=0,0,AK1251-AN1251*AK1251/AM1251)</f>
        <v>0</v>
      </c>
      <c r="AS1251" s="80">
        <f>IF(AD1251-AM1251=0,0,(AJ1251-AK1251)-AO1251*(AJ1251-AK1251)/(AD1251-AM1251))</f>
        <v>0</v>
      </c>
      <c r="AT1251" s="80" t="str">
        <f>IF(AC1251=1,INT(B1251)+1,"")</f>
        <v/>
      </c>
      <c r="AU1251" s="80">
        <f>IF(AND(D1251="proMX",R1251="Cancelled"),0,1)</f>
        <v>1</v>
      </c>
      <c r="AV1251" s="80">
        <f>IF(AND(AB1251=1,AU1251=1),IF(COUNTIFS($D$5:D1250,D1251,$B$5:B1250,B1251,$Z$5:Z1250,Z1251,$AA$5:AA1250,AA1251,$F$5:F1250,F1251&amp;"",$AU$5:AU1250,1)&gt;0,1,0),0)</f>
        <v>0</v>
      </c>
      <c r="AW1251" s="80" t="str">
        <f>IF(AB1251=1,INT(B1251)*1440+Z1251,"")</f>
        <v/>
      </c>
      <c r="AX1251" s="80" t="str">
        <f>IF(AB1251=1,AW1251+AD1251,"")</f>
        <v/>
      </c>
      <c r="AY1251" s="80">
        <f>IF(AND(AB1251=1,AV1251=0,AU1251=1),1,0)</f>
        <v>0</v>
      </c>
      <c r="AZ1251" s="80">
        <f>IF(AY1251=1,COUNTIFS(R_Emp,D1251,R_SAbs,"&lt;"&amp;AX1251,R_EAbs,"&gt;"&amp;AW1251,R_OKey,1)-1,0)</f>
        <v>0</v>
      </c>
      <c r="BA1251" s="80">
        <f>IF(AY1251=1,COUNTIFS(R_Emp,"&lt;&gt;"&amp;D1251,R_SAbs,"&lt;"&amp;AX1251,R_EAbs,"&gt;"&amp;AW1251,R_OKey,1),0)</f>
        <v>0</v>
      </c>
      <c r="BB1251" s="80">
        <f>IF(AND(AB1251=1,D1251="proMX"),IF(AND(MOD(Z1251,CFG_BLK)=0,MOD(AA1251,CFG_BLK)=0,MOD(AG1251,CFG_BLK)=0,AG1251&gt;0),1,0),1)</f>
        <v>1</v>
      </c>
      <c r="BC1251" s="80" t="str">
        <f>IF(Y1251=0,"",IF(NOT(ISNUMBER(B1251)),"Falta fecha o fecha inválida",IF(D1251="","Falta empresa",IF(AND(D1251&lt;&gt;"Malcolm",D1251&lt;&gt;"proMX"),"Empresa inválida",IF(OR(INT(B1251)&lt;CFG_PSTART,INT(B1251)&gt;CFG_PEND),"Fecha fuera del período",IF(OR(NOT(ISNUMBER(Z1251)),NOT(ISNUMBER(AA1251))),"Falta hora inicio/fin o formato inválido",IF(AB1251=0,"Hora inicio = hora fin",IF(AE1251&lt;0,"Descanso inválido",IF(AE1251&gt;=AD1251,"Descanso ≥ duración",IF(AV1251=1,"Registro duplicado",IF(AZ1251&gt;0,"Se superpone con otro registro "&amp;D1251,IF(BB1251=0,"inicio, fin y duración neta deben ser múltiplos de "&amp;CFG_BLK&amp;" min",""))))))))))))</f>
        <v/>
      </c>
      <c r="BD1251" s="80">
        <f>IF(AND(Y1251=1,BC1251=""),1,0)</f>
        <v>0</v>
      </c>
      <c r="BE1251" s="80">
        <f>IF(AND(BD1251=1,AU1251=1),1,0)</f>
        <v>0</v>
      </c>
      <c r="BF1251" s="80" t="str">
        <f>IF(AND(D1251="proMX",BD1251=1),IF(R1251="","Draft",R1251),"")</f>
        <v/>
      </c>
      <c r="BG1251" s="80">
        <f>IF(BD1251=1,ROUND(AG1251/60,6),0)</f>
        <v>0</v>
      </c>
      <c r="BH1251" s="80">
        <f>IF(BE1251=1,ROUND(AG1251/60,6),0)</f>
        <v>0</v>
      </c>
      <c r="BI1251" s="80">
        <f>IF(BE1251=1,ROUND(AP1251/60,6),0)</f>
        <v>0</v>
      </c>
      <c r="BJ1251" s="80">
        <f>IF(BE1251=1,ROUND(AQ1251/60,6),0)</f>
        <v>0</v>
      </c>
      <c r="BK1251" s="80">
        <f>IF(BE1251=1,ROUND((AR1251+AS1251)/60,6),0)</f>
        <v>0</v>
      </c>
      <c r="BL1251" s="80">
        <f>ROUND(BH1251-BK1251,6)</f>
        <v>0</v>
      </c>
      <c r="BM1251" s="80">
        <f>IF(BE1251=1,ROUND(AR1251/60,6),0)</f>
        <v>0</v>
      </c>
      <c r="BN1251" s="80">
        <f>ROUND(BI1251-BM1251,6)</f>
        <v>0</v>
      </c>
      <c r="BO1251" s="80">
        <f>IF(BE1251=1,ROUND(AS1251/60,6),0)</f>
        <v>0</v>
      </c>
      <c r="BP1251" s="80">
        <f>ROUND(BJ1251-BO1251,6)</f>
        <v>0</v>
      </c>
      <c r="BQ1251" s="80">
        <f>IF(BE1251=1,AW1251,0)</f>
        <v>0</v>
      </c>
      <c r="BR1251" s="80">
        <f>IF(BE1251=1,AX1251,0)</f>
        <v>0</v>
      </c>
      <c r="BS1251" s="80">
        <f>IF(AND(BE1251=1,D1251="Malcolm",BA1251&gt;0),MIN(BH1251,SUMPRODUCT((R_Emp="proMX")*(R_EN&gt;0)*((R_EN-(R_EN&gt;BR1251)*(R_EN-BR1251))&gt;(R_SN+(R_SN&lt;BQ1251)*(BQ1251-R_SN)))*((R_EN-(R_EN&gt;BR1251)*(R_EN-BR1251))-(R_SN+(R_SN&lt;BQ1251)*(BQ1251-R_SN))))/60),0)</f>
        <v>0</v>
      </c>
      <c r="BT1251" s="80">
        <f>IF(AND(BE1251=1,D1251="proMX"),ROUND(BI1251*CFG_RATE+BJ1251*CFG_OTRATE,6),0)</f>
        <v>0</v>
      </c>
      <c r="BU1251" s="80">
        <f>IF(AND(BD1251=1,D1251="proMX"),ROUND(AG1251/CFG_BLK,6),0)</f>
        <v>0</v>
      </c>
      <c r="BV1251" s="80" t="str">
        <f>IF(BF1251="Approved",IF(ISNUMBER(T1251),INT(T1251),INT(B1251)),"")</f>
        <v/>
      </c>
      <c r="BW1251" s="80">
        <f>IF(ISNUMBER(B1251),IF(DB_MON="Todos",1,IF(AND(INT(B1251)&gt;=DB_MS,INT(B1251)&lt;=DB_ME),1,0)),0)</f>
        <v>0</v>
      </c>
      <c r="BX1251" s="80">
        <f>IF(DB_PROJ="Todos",1,IF(E1251&amp;""=DB_PROJ&amp;"",1,0))</f>
        <v>1</v>
      </c>
      <c r="BY1251" s="80">
        <f>BW1251*BX1251</f>
        <v>0</v>
      </c>
      <c r="BZ1251" s="80" t="str">
        <f>IF(Y1251=1,F1251&amp;IF(AND(F1251&amp;""&lt;&gt;"",E1251&amp;""&lt;&gt;"")," · ","")&amp;E1251,"")</f>
        <v/>
      </c>
      <c r="CA1251" s="80" t="str">
        <f>IF(AND(BD1251=1,E1251&amp;""&lt;&gt;""),IF(COUNTIFS($E$5:E1250,E1251,$BD$5:BD1250,1)=0,MAX($CA$5:CA1250)+1,""),"")</f>
        <v/>
      </c>
      <c r="CB1251" s="80" t="str">
        <f>IF(AND(BE1251=1,D1251="Malcolm",E1251&amp;""&lt;&gt;""),IF(COUNTIFS($D$5:D1250,"Malcolm",$E$5:E1250,E1251,$BE$5:BE1250,1)=0,MAX($CB$5:CB1250)+1,""),"")</f>
        <v/>
      </c>
      <c r="CC1251" s="80" t="str">
        <f>IF(AND(BD1251=1,D1251="proMX",E1251&amp;""&lt;&gt;""),IF(COUNTIFS($D$5:D1250,"proMX",$E$5:E1250,E1251,$BD$5:BD1250,1)=0,MAX($CC$5:CC1250)+1,""),"")</f>
        <v/>
      </c>
      <c r="CD1251" s="80" t="str">
        <f>IF(AND(BE1251=1,D1251="Malcolm",F1251&amp;""&lt;&gt;""),IF(COUNTIFS($D$5:D1250,"Malcolm",$F$5:F1250,F1251,$BE$5:BE1250,1)=0,MAX($CD$5:CD1250)+1,""),"")</f>
        <v/>
      </c>
      <c r="CE1251" s="80" t="str">
        <f>IF(AND(BD1251=1,D1251="proMX",F1251&amp;""&lt;&gt;""),IF(COUNTIFS($D$5:D1250,"proMX",$F$5:F1250,F1251,$BD$5:BD1250,1)=0,MAX($CE$5:CE1250)+1,""),"")</f>
        <v/>
      </c>
      <c r="CF1251" s="80" t="str">
        <f>IF(AND(D1251="proMX",BD1251=1),IF(OR(BF1251="Draft",BF1251="Submitted",BF1251="Returned",BF1251="Recall Requested"),MAX($CF$5:CF1250)+1,""),"")</f>
        <v/>
      </c>
      <c r="CG1251" s="80">
        <f>IF(BD1251=0,0,IF(D1251="Malcolm",1,MATCH(BF1251,{"Draft","Submitted","Approved","Returned","Recall Requested","Cancelled"},0)+1))</f>
        <v>0</v>
      </c>
      <c r="CH1251" s="80">
        <f>IF(AND(BF1251="Submitted",ISNUMBER(V1251)),IF(V1251&gt;CFG_MAXD,1,0),0)</f>
        <v>0</v>
      </c>
    </row>
    <row r="1252">
      <c r="A1252" s="71" t="str">
        <f>IF(Y1252=1,ROW()-5,"")</f>
        <v/>
      </c>
      <c r="B1252" s="72" t="n"/>
      <c r="C1252" s="71" t="str">
        <f>IF(ISNUMBER(B1252),CHOOSE(WEEKDAY(B1252,2),"Lun","Mar","Mié","Jue","Vie","Sáb","Dom"),"")</f>
        <v/>
      </c>
      <c r="D1252" s="73" t="n"/>
      <c r="E1252" s="74" t="n"/>
      <c r="F1252" s="74" t="n"/>
      <c r="G1252" s="74" t="n"/>
      <c r="H1252" s="75" t="n"/>
      <c r="I1252" s="75" t="n"/>
      <c r="J1252" s="76" t="n"/>
      <c r="K1252" s="77" t="str">
        <f>IF(AB1252=1,ROUND(AG1252/60,4),"")</f>
        <v/>
      </c>
      <c r="L1252" s="77" t="str">
        <f>IF(BD1252=1,ROUND(AP1252/60,4),"")</f>
        <v/>
      </c>
      <c r="M1252" s="77" t="str">
        <f>IF(BD1252=1,ROUND(AQ1252/60,4),"")</f>
        <v/>
      </c>
      <c r="N1252" s="71" t="str">
        <f>IF(AND(D1252="proMX",AB1252=1),ROUND(AG1252/CFG_BLK,2),"")</f>
        <v/>
      </c>
      <c r="O1252" s="77" t="str">
        <f>IF(D1252="proMX",IF(BD1252=1,ROUND(AG1252/60,4),0),"")</f>
        <v/>
      </c>
      <c r="P1252" s="78" t="str">
        <f>IF(Y1252=0,"",IF(BD1252=1,"OK",IF(D1252="proMX","Revisar bloques: ","Revisar: ")&amp;BC1252))</f>
        <v/>
      </c>
      <c r="Q1252" s="78" t="str">
        <f>IF(NOT(ISNUMBER(B1252)),"",IF(COUNTIFS(FER_F,INT(B1252))&gt;0,"Feriado"&amp;IF(AH1252=1," (laborable)"," (no laborable)"),IF(AH1252=1,"Laborable",IF(WEEKDAY(B1252,2)&gt;5,"Fin de semana","No laborable"))))</f>
        <v/>
      </c>
      <c r="R1252" s="73" t="n"/>
      <c r="S1252" s="72" t="n"/>
      <c r="T1252" s="72" t="n"/>
      <c r="U1252" s="74" t="n"/>
      <c r="V1252" s="79" t="str">
        <f>IF(AND(D1252="proMX",OR(R1252="Submitted",R1252="Recall Requested"),ISNUMBER(S1252)),CFG_TODAY-INT(S1252),"")</f>
        <v/>
      </c>
      <c r="W1252" s="78" t="str">
        <f>IF(BD1252=0,"",IF(BA1252&gt;0,"⚠ Se superpone con un registro de la otra empresa",IF(D1252="Malcolm",IF(COUNTA(R1252,S1252,T1252)&gt;0,"Estado/fechas proMX se ignoran en Malcolm",""),IF(BF1252="Cancelled","Cancelado: excluido de totales",IF(R1252="","Sin estado: se trata como Draft",IF(BF1252="Submitted",IF(ISNUMBER(V1252),IF(V1252&gt;CFG_MAXD,"⚠ "&amp;V1252&amp;" días en Submitted (máx. "&amp;CFG_MAXD&amp;")",""),"Falta fecha de envío"),IF(BF1252="Returned","⚠ Devuelto: corregir y reenviar",IF(BF1252="Recall Requested","Retirada solicitada: pendiente",IF(AND(BF1252="Approved",NOT(ISNUMBER(T1252))),"Falta fecha de aprobación",IF(AND(ISNUMBER(S1252),ISNUMBER(T1252),T1252&lt;S1252),"Aprobación anterior al envío","")))))))))</f>
        <v/>
      </c>
      <c r="Y1252" s="80">
        <f>IF(COUNTA(B1252,D1252,E1252,F1252,G1252,H1252,I1252,J1252,R1252,S1252,T1252)&gt;0,1,0)</f>
        <v>0</v>
      </c>
      <c r="Z1252" s="80" t="str">
        <f>IF(AND(ISNUMBER(H1252),H1252&gt;=0,H1252&lt;1),ROUND(H1252*1440,0),"")</f>
        <v/>
      </c>
      <c r="AA1252" s="80" t="str">
        <f>IF(AND(ISNUMBER(I1252),I1252&gt;=0,I1252&lt;1),ROUND(I1252*1440,0),"")</f>
        <v/>
      </c>
      <c r="AB1252" s="80">
        <f>IF(AND(ISNUMBER(B1252),D1252&lt;&gt;"",ISNUMBER(Z1252),ISNUMBER(AA1252)),IF(Z1252=AA1252,0,1),0)</f>
        <v>0</v>
      </c>
      <c r="AC1252" s="80">
        <f>IF(AB1252=1,IF(AA1252&lt;Z1252,1,0),0)</f>
        <v>0</v>
      </c>
      <c r="AD1252" s="80">
        <f>IF(AB1252=1,IF(AC1252=1,1440-Z1252+AA1252,AA1252-Z1252),0)</f>
        <v>0</v>
      </c>
      <c r="AE1252" s="80">
        <f>IF(J1252="",0,IF(ISNUMBER(J1252),J1252,-1))</f>
        <v>0</v>
      </c>
      <c r="AF1252" s="80">
        <f>MIN(MAX(0,AE1252),AD1252)</f>
        <v>0</v>
      </c>
      <c r="AG1252" s="80">
        <f>MAX(0,AD1252-MAX(0,AE1252))</f>
        <v>0</v>
      </c>
      <c r="AH1252" s="80">
        <f>IF(ISNUMBER(B1252),IF(AND(INDEX(CFG_WDAYS,WEEKDAY(INT(B1252),2))="Sí",IF(D1252="proMX",COUNTIFS(FER_F,INT(B1252),FER_NLP,"Sí"),COUNTIFS(FER_F,INT(B1252),FER_NLM,"Sí"))=0),1,0),0)</f>
        <v>0</v>
      </c>
      <c r="AI1252" s="80">
        <f>IF(AC1252=1,IF(AND(INDEX(CFG_WDAYS,WEEKDAY(INT(B1252)+1,2))="Sí",IF(D1252="proMX",COUNTIFS(FER_F,INT(B1252)+1,FER_NLP,"Sí"),COUNTIFS(FER_F,INT(B1252)+1,FER_NLM,"Sí"))=0),1,0),0)</f>
        <v>0</v>
      </c>
      <c r="AJ1252" s="80">
        <f>IF(AC1252=1,1440-Z1252,AD1252)</f>
        <v>0</v>
      </c>
      <c r="AK1252" s="80">
        <f>IF(AND(AB1252=1,AH1252=1),MAX(0,MIN(IF(AC1252=1,1440,AA1252),CFG_WEM)-MAX(Z1252,CFG_WSM)),0)</f>
        <v>0</v>
      </c>
      <c r="AL1252" s="80">
        <f>IF(AND(AC1252=1,AI1252=1),MAX(0,MIN(AA1252,CFG_WEM)-CFG_WSM),0)</f>
        <v>0</v>
      </c>
      <c r="AM1252" s="80">
        <f>AK1252+AL1252</f>
        <v>0</v>
      </c>
      <c r="AN1252" s="80">
        <f>IF(CFG_BRK="Proporcional",IF(AD1252=0,0,AF1252*AM1252/AD1252),IF(CFG_BRK="Extras primero",MIN(AM1252,MAX(0,AF1252-(AD1252-AM1252))),MIN(AF1252,AM1252)))</f>
        <v>0</v>
      </c>
      <c r="AO1252" s="80">
        <f>AF1252-AN1252</f>
        <v>0</v>
      </c>
      <c r="AP1252" s="80">
        <f>AM1252-AN1252</f>
        <v>0</v>
      </c>
      <c r="AQ1252" s="80">
        <f>AD1252-AM1252-AO1252</f>
        <v>0</v>
      </c>
      <c r="AR1252" s="80">
        <f>IF(AM1252=0,0,AK1252-AN1252*AK1252/AM1252)</f>
        <v>0</v>
      </c>
      <c r="AS1252" s="80">
        <f>IF(AD1252-AM1252=0,0,(AJ1252-AK1252)-AO1252*(AJ1252-AK1252)/(AD1252-AM1252))</f>
        <v>0</v>
      </c>
      <c r="AT1252" s="80" t="str">
        <f>IF(AC1252=1,INT(B1252)+1,"")</f>
        <v/>
      </c>
      <c r="AU1252" s="80">
        <f>IF(AND(D1252="proMX",R1252="Cancelled"),0,1)</f>
        <v>1</v>
      </c>
      <c r="AV1252" s="80">
        <f>IF(AND(AB1252=1,AU1252=1),IF(COUNTIFS($D$5:D1251,D1252,$B$5:B1251,B1252,$Z$5:Z1251,Z1252,$AA$5:AA1251,AA1252,$F$5:F1251,F1252&amp;"",$AU$5:AU1251,1)&gt;0,1,0),0)</f>
        <v>0</v>
      </c>
      <c r="AW1252" s="80" t="str">
        <f>IF(AB1252=1,INT(B1252)*1440+Z1252,"")</f>
        <v/>
      </c>
      <c r="AX1252" s="80" t="str">
        <f>IF(AB1252=1,AW1252+AD1252,"")</f>
        <v/>
      </c>
      <c r="AY1252" s="80">
        <f>IF(AND(AB1252=1,AV1252=0,AU1252=1),1,0)</f>
        <v>0</v>
      </c>
      <c r="AZ1252" s="80">
        <f>IF(AY1252=1,COUNTIFS(R_Emp,D1252,R_SAbs,"&lt;"&amp;AX1252,R_EAbs,"&gt;"&amp;AW1252,R_OKey,1)-1,0)</f>
        <v>0</v>
      </c>
      <c r="BA1252" s="80">
        <f>IF(AY1252=1,COUNTIFS(R_Emp,"&lt;&gt;"&amp;D1252,R_SAbs,"&lt;"&amp;AX1252,R_EAbs,"&gt;"&amp;AW1252,R_OKey,1),0)</f>
        <v>0</v>
      </c>
      <c r="BB1252" s="80">
        <f>IF(AND(AB1252=1,D1252="proMX"),IF(AND(MOD(Z1252,CFG_BLK)=0,MOD(AA1252,CFG_BLK)=0,MOD(AG1252,CFG_BLK)=0,AG1252&gt;0),1,0),1)</f>
        <v>1</v>
      </c>
      <c r="BC1252" s="80" t="str">
        <f>IF(Y1252=0,"",IF(NOT(ISNUMBER(B1252)),"Falta fecha o fecha inválida",IF(D1252="","Falta empresa",IF(AND(D1252&lt;&gt;"Malcolm",D1252&lt;&gt;"proMX"),"Empresa inválida",IF(OR(INT(B1252)&lt;CFG_PSTART,INT(B1252)&gt;CFG_PEND),"Fecha fuera del período",IF(OR(NOT(ISNUMBER(Z1252)),NOT(ISNUMBER(AA1252))),"Falta hora inicio/fin o formato inválido",IF(AB1252=0,"Hora inicio = hora fin",IF(AE1252&lt;0,"Descanso inválido",IF(AE1252&gt;=AD1252,"Descanso ≥ duración",IF(AV1252=1,"Registro duplicado",IF(AZ1252&gt;0,"Se superpone con otro registro "&amp;D1252,IF(BB1252=0,"inicio, fin y duración neta deben ser múltiplos de "&amp;CFG_BLK&amp;" min",""))))))))))))</f>
        <v/>
      </c>
      <c r="BD1252" s="80">
        <f>IF(AND(Y1252=1,BC1252=""),1,0)</f>
        <v>0</v>
      </c>
      <c r="BE1252" s="80">
        <f>IF(AND(BD1252=1,AU1252=1),1,0)</f>
        <v>0</v>
      </c>
      <c r="BF1252" s="80" t="str">
        <f>IF(AND(D1252="proMX",BD1252=1),IF(R1252="","Draft",R1252),"")</f>
        <v/>
      </c>
      <c r="BG1252" s="80">
        <f>IF(BD1252=1,ROUND(AG1252/60,6),0)</f>
        <v>0</v>
      </c>
      <c r="BH1252" s="80">
        <f>IF(BE1252=1,ROUND(AG1252/60,6),0)</f>
        <v>0</v>
      </c>
      <c r="BI1252" s="80">
        <f>IF(BE1252=1,ROUND(AP1252/60,6),0)</f>
        <v>0</v>
      </c>
      <c r="BJ1252" s="80">
        <f>IF(BE1252=1,ROUND(AQ1252/60,6),0)</f>
        <v>0</v>
      </c>
      <c r="BK1252" s="80">
        <f>IF(BE1252=1,ROUND((AR1252+AS1252)/60,6),0)</f>
        <v>0</v>
      </c>
      <c r="BL1252" s="80">
        <f>ROUND(BH1252-BK1252,6)</f>
        <v>0</v>
      </c>
      <c r="BM1252" s="80">
        <f>IF(BE1252=1,ROUND(AR1252/60,6),0)</f>
        <v>0</v>
      </c>
      <c r="BN1252" s="80">
        <f>ROUND(BI1252-BM1252,6)</f>
        <v>0</v>
      </c>
      <c r="BO1252" s="80">
        <f>IF(BE1252=1,ROUND(AS1252/60,6),0)</f>
        <v>0</v>
      </c>
      <c r="BP1252" s="80">
        <f>ROUND(BJ1252-BO1252,6)</f>
        <v>0</v>
      </c>
      <c r="BQ1252" s="80">
        <f>IF(BE1252=1,AW1252,0)</f>
        <v>0</v>
      </c>
      <c r="BR1252" s="80">
        <f>IF(BE1252=1,AX1252,0)</f>
        <v>0</v>
      </c>
      <c r="BS1252" s="80">
        <f>IF(AND(BE1252=1,D1252="Malcolm",BA1252&gt;0),MIN(BH1252,SUMPRODUCT((R_Emp="proMX")*(R_EN&gt;0)*((R_EN-(R_EN&gt;BR1252)*(R_EN-BR1252))&gt;(R_SN+(R_SN&lt;BQ1252)*(BQ1252-R_SN)))*((R_EN-(R_EN&gt;BR1252)*(R_EN-BR1252))-(R_SN+(R_SN&lt;BQ1252)*(BQ1252-R_SN))))/60),0)</f>
        <v>0</v>
      </c>
      <c r="BT1252" s="80">
        <f>IF(AND(BE1252=1,D1252="proMX"),ROUND(BI1252*CFG_RATE+BJ1252*CFG_OTRATE,6),0)</f>
        <v>0</v>
      </c>
      <c r="BU1252" s="80">
        <f>IF(AND(BD1252=1,D1252="proMX"),ROUND(AG1252/CFG_BLK,6),0)</f>
        <v>0</v>
      </c>
      <c r="BV1252" s="80" t="str">
        <f>IF(BF1252="Approved",IF(ISNUMBER(T1252),INT(T1252),INT(B1252)),"")</f>
        <v/>
      </c>
      <c r="BW1252" s="80">
        <f>IF(ISNUMBER(B1252),IF(DB_MON="Todos",1,IF(AND(INT(B1252)&gt;=DB_MS,INT(B1252)&lt;=DB_ME),1,0)),0)</f>
        <v>0</v>
      </c>
      <c r="BX1252" s="80">
        <f>IF(DB_PROJ="Todos",1,IF(E1252&amp;""=DB_PROJ&amp;"",1,0))</f>
        <v>1</v>
      </c>
      <c r="BY1252" s="80">
        <f>BW1252*BX1252</f>
        <v>0</v>
      </c>
      <c r="BZ1252" s="80" t="str">
        <f>IF(Y1252=1,F1252&amp;IF(AND(F1252&amp;""&lt;&gt;"",E1252&amp;""&lt;&gt;"")," · ","")&amp;E1252,"")</f>
        <v/>
      </c>
      <c r="CA1252" s="80" t="str">
        <f>IF(AND(BD1252=1,E1252&amp;""&lt;&gt;""),IF(COUNTIFS($E$5:E1251,E1252,$BD$5:BD1251,1)=0,MAX($CA$5:CA1251)+1,""),"")</f>
        <v/>
      </c>
      <c r="CB1252" s="80" t="str">
        <f>IF(AND(BE1252=1,D1252="Malcolm",E1252&amp;""&lt;&gt;""),IF(COUNTIFS($D$5:D1251,"Malcolm",$E$5:E1251,E1252,$BE$5:BE1251,1)=0,MAX($CB$5:CB1251)+1,""),"")</f>
        <v/>
      </c>
      <c r="CC1252" s="80" t="str">
        <f>IF(AND(BD1252=1,D1252="proMX",E1252&amp;""&lt;&gt;""),IF(COUNTIFS($D$5:D1251,"proMX",$E$5:E1251,E1252,$BD$5:BD1251,1)=0,MAX($CC$5:CC1251)+1,""),"")</f>
        <v/>
      </c>
      <c r="CD1252" s="80" t="str">
        <f>IF(AND(BE1252=1,D1252="Malcolm",F1252&amp;""&lt;&gt;""),IF(COUNTIFS($D$5:D1251,"Malcolm",$F$5:F1251,F1252,$BE$5:BE1251,1)=0,MAX($CD$5:CD1251)+1,""),"")</f>
        <v/>
      </c>
      <c r="CE1252" s="80" t="str">
        <f>IF(AND(BD1252=1,D1252="proMX",F1252&amp;""&lt;&gt;""),IF(COUNTIFS($D$5:D1251,"proMX",$F$5:F1251,F1252,$BD$5:BD1251,1)=0,MAX($CE$5:CE1251)+1,""),"")</f>
        <v/>
      </c>
      <c r="CF1252" s="80" t="str">
        <f>IF(AND(D1252="proMX",BD1252=1),IF(OR(BF1252="Draft",BF1252="Submitted",BF1252="Returned",BF1252="Recall Requested"),MAX($CF$5:CF1251)+1,""),"")</f>
        <v/>
      </c>
      <c r="CG1252" s="80">
        <f>IF(BD1252=0,0,IF(D1252="Malcolm",1,MATCH(BF1252,{"Draft","Submitted","Approved","Returned","Recall Requested","Cancelled"},0)+1))</f>
        <v>0</v>
      </c>
      <c r="CH1252" s="80">
        <f>IF(AND(BF1252="Submitted",ISNUMBER(V1252)),IF(V1252&gt;CFG_MAXD,1,0),0)</f>
        <v>0</v>
      </c>
    </row>
    <row r="1253">
      <c r="A1253" s="71" t="str">
        <f>IF(Y1253=1,ROW()-5,"")</f>
        <v/>
      </c>
      <c r="B1253" s="72" t="n"/>
      <c r="C1253" s="71" t="str">
        <f>IF(ISNUMBER(B1253),CHOOSE(WEEKDAY(B1253,2),"Lun","Mar","Mié","Jue","Vie","Sáb","Dom"),"")</f>
        <v/>
      </c>
      <c r="D1253" s="73" t="n"/>
      <c r="E1253" s="74" t="n"/>
      <c r="F1253" s="74" t="n"/>
      <c r="G1253" s="74" t="n"/>
      <c r="H1253" s="75" t="n"/>
      <c r="I1253" s="75" t="n"/>
      <c r="J1253" s="76" t="n"/>
      <c r="K1253" s="77" t="str">
        <f>IF(AB1253=1,ROUND(AG1253/60,4),"")</f>
        <v/>
      </c>
      <c r="L1253" s="77" t="str">
        <f>IF(BD1253=1,ROUND(AP1253/60,4),"")</f>
        <v/>
      </c>
      <c r="M1253" s="77" t="str">
        <f>IF(BD1253=1,ROUND(AQ1253/60,4),"")</f>
        <v/>
      </c>
      <c r="N1253" s="71" t="str">
        <f>IF(AND(D1253="proMX",AB1253=1),ROUND(AG1253/CFG_BLK,2),"")</f>
        <v/>
      </c>
      <c r="O1253" s="77" t="str">
        <f>IF(D1253="proMX",IF(BD1253=1,ROUND(AG1253/60,4),0),"")</f>
        <v/>
      </c>
      <c r="P1253" s="78" t="str">
        <f>IF(Y1253=0,"",IF(BD1253=1,"OK",IF(D1253="proMX","Revisar bloques: ","Revisar: ")&amp;BC1253))</f>
        <v/>
      </c>
      <c r="Q1253" s="78" t="str">
        <f>IF(NOT(ISNUMBER(B1253)),"",IF(COUNTIFS(FER_F,INT(B1253))&gt;0,"Feriado"&amp;IF(AH1253=1," (laborable)"," (no laborable)"),IF(AH1253=1,"Laborable",IF(WEEKDAY(B1253,2)&gt;5,"Fin de semana","No laborable"))))</f>
        <v/>
      </c>
      <c r="R1253" s="73" t="n"/>
      <c r="S1253" s="72" t="n"/>
      <c r="T1253" s="72" t="n"/>
      <c r="U1253" s="74" t="n"/>
      <c r="V1253" s="79" t="str">
        <f>IF(AND(D1253="proMX",OR(R1253="Submitted",R1253="Recall Requested"),ISNUMBER(S1253)),CFG_TODAY-INT(S1253),"")</f>
        <v/>
      </c>
      <c r="W1253" s="78" t="str">
        <f>IF(BD1253=0,"",IF(BA1253&gt;0,"⚠ Se superpone con un registro de la otra empresa",IF(D1253="Malcolm",IF(COUNTA(R1253,S1253,T1253)&gt;0,"Estado/fechas proMX se ignoran en Malcolm",""),IF(BF1253="Cancelled","Cancelado: excluido de totales",IF(R1253="","Sin estado: se trata como Draft",IF(BF1253="Submitted",IF(ISNUMBER(V1253),IF(V1253&gt;CFG_MAXD,"⚠ "&amp;V1253&amp;" días en Submitted (máx. "&amp;CFG_MAXD&amp;")",""),"Falta fecha de envío"),IF(BF1253="Returned","⚠ Devuelto: corregir y reenviar",IF(BF1253="Recall Requested","Retirada solicitada: pendiente",IF(AND(BF1253="Approved",NOT(ISNUMBER(T1253))),"Falta fecha de aprobación",IF(AND(ISNUMBER(S1253),ISNUMBER(T1253),T1253&lt;S1253),"Aprobación anterior al envío","")))))))))</f>
        <v/>
      </c>
      <c r="Y1253" s="80">
        <f>IF(COUNTA(B1253,D1253,E1253,F1253,G1253,H1253,I1253,J1253,R1253,S1253,T1253)&gt;0,1,0)</f>
        <v>0</v>
      </c>
      <c r="Z1253" s="80" t="str">
        <f>IF(AND(ISNUMBER(H1253),H1253&gt;=0,H1253&lt;1),ROUND(H1253*1440,0),"")</f>
        <v/>
      </c>
      <c r="AA1253" s="80" t="str">
        <f>IF(AND(ISNUMBER(I1253),I1253&gt;=0,I1253&lt;1),ROUND(I1253*1440,0),"")</f>
        <v/>
      </c>
      <c r="AB1253" s="80">
        <f>IF(AND(ISNUMBER(B1253),D1253&lt;&gt;"",ISNUMBER(Z1253),ISNUMBER(AA1253)),IF(Z1253=AA1253,0,1),0)</f>
        <v>0</v>
      </c>
      <c r="AC1253" s="80">
        <f>IF(AB1253=1,IF(AA1253&lt;Z1253,1,0),0)</f>
        <v>0</v>
      </c>
      <c r="AD1253" s="80">
        <f>IF(AB1253=1,IF(AC1253=1,1440-Z1253+AA1253,AA1253-Z1253),0)</f>
        <v>0</v>
      </c>
      <c r="AE1253" s="80">
        <f>IF(J1253="",0,IF(ISNUMBER(J1253),J1253,-1))</f>
        <v>0</v>
      </c>
      <c r="AF1253" s="80">
        <f>MIN(MAX(0,AE1253),AD1253)</f>
        <v>0</v>
      </c>
      <c r="AG1253" s="80">
        <f>MAX(0,AD1253-MAX(0,AE1253))</f>
        <v>0</v>
      </c>
      <c r="AH1253" s="80">
        <f>IF(ISNUMBER(B1253),IF(AND(INDEX(CFG_WDAYS,WEEKDAY(INT(B1253),2))="Sí",IF(D1253="proMX",COUNTIFS(FER_F,INT(B1253),FER_NLP,"Sí"),COUNTIFS(FER_F,INT(B1253),FER_NLM,"Sí"))=0),1,0),0)</f>
        <v>0</v>
      </c>
      <c r="AI1253" s="80">
        <f>IF(AC1253=1,IF(AND(INDEX(CFG_WDAYS,WEEKDAY(INT(B1253)+1,2))="Sí",IF(D1253="proMX",COUNTIFS(FER_F,INT(B1253)+1,FER_NLP,"Sí"),COUNTIFS(FER_F,INT(B1253)+1,FER_NLM,"Sí"))=0),1,0),0)</f>
        <v>0</v>
      </c>
      <c r="AJ1253" s="80">
        <f>IF(AC1253=1,1440-Z1253,AD1253)</f>
        <v>0</v>
      </c>
      <c r="AK1253" s="80">
        <f>IF(AND(AB1253=1,AH1253=1),MAX(0,MIN(IF(AC1253=1,1440,AA1253),CFG_WEM)-MAX(Z1253,CFG_WSM)),0)</f>
        <v>0</v>
      </c>
      <c r="AL1253" s="80">
        <f>IF(AND(AC1253=1,AI1253=1),MAX(0,MIN(AA1253,CFG_WEM)-CFG_WSM),0)</f>
        <v>0</v>
      </c>
      <c r="AM1253" s="80">
        <f>AK1253+AL1253</f>
        <v>0</v>
      </c>
      <c r="AN1253" s="80">
        <f>IF(CFG_BRK="Proporcional",IF(AD1253=0,0,AF1253*AM1253/AD1253),IF(CFG_BRK="Extras primero",MIN(AM1253,MAX(0,AF1253-(AD1253-AM1253))),MIN(AF1253,AM1253)))</f>
        <v>0</v>
      </c>
      <c r="AO1253" s="80">
        <f>AF1253-AN1253</f>
        <v>0</v>
      </c>
      <c r="AP1253" s="80">
        <f>AM1253-AN1253</f>
        <v>0</v>
      </c>
      <c r="AQ1253" s="80">
        <f>AD1253-AM1253-AO1253</f>
        <v>0</v>
      </c>
      <c r="AR1253" s="80">
        <f>IF(AM1253=0,0,AK1253-AN1253*AK1253/AM1253)</f>
        <v>0</v>
      </c>
      <c r="AS1253" s="80">
        <f>IF(AD1253-AM1253=0,0,(AJ1253-AK1253)-AO1253*(AJ1253-AK1253)/(AD1253-AM1253))</f>
        <v>0</v>
      </c>
      <c r="AT1253" s="80" t="str">
        <f>IF(AC1253=1,INT(B1253)+1,"")</f>
        <v/>
      </c>
      <c r="AU1253" s="80">
        <f>IF(AND(D1253="proMX",R1253="Cancelled"),0,1)</f>
        <v>1</v>
      </c>
      <c r="AV1253" s="80">
        <f>IF(AND(AB1253=1,AU1253=1),IF(COUNTIFS($D$5:D1252,D1253,$B$5:B1252,B1253,$Z$5:Z1252,Z1253,$AA$5:AA1252,AA1253,$F$5:F1252,F1253&amp;"",$AU$5:AU1252,1)&gt;0,1,0),0)</f>
        <v>0</v>
      </c>
      <c r="AW1253" s="80" t="str">
        <f>IF(AB1253=1,INT(B1253)*1440+Z1253,"")</f>
        <v/>
      </c>
      <c r="AX1253" s="80" t="str">
        <f>IF(AB1253=1,AW1253+AD1253,"")</f>
        <v/>
      </c>
      <c r="AY1253" s="80">
        <f>IF(AND(AB1253=1,AV1253=0,AU1253=1),1,0)</f>
        <v>0</v>
      </c>
      <c r="AZ1253" s="80">
        <f>IF(AY1253=1,COUNTIFS(R_Emp,D1253,R_SAbs,"&lt;"&amp;AX1253,R_EAbs,"&gt;"&amp;AW1253,R_OKey,1)-1,0)</f>
        <v>0</v>
      </c>
      <c r="BA1253" s="80">
        <f>IF(AY1253=1,COUNTIFS(R_Emp,"&lt;&gt;"&amp;D1253,R_SAbs,"&lt;"&amp;AX1253,R_EAbs,"&gt;"&amp;AW1253,R_OKey,1),0)</f>
        <v>0</v>
      </c>
      <c r="BB1253" s="80">
        <f>IF(AND(AB1253=1,D1253="proMX"),IF(AND(MOD(Z1253,CFG_BLK)=0,MOD(AA1253,CFG_BLK)=0,MOD(AG1253,CFG_BLK)=0,AG1253&gt;0),1,0),1)</f>
        <v>1</v>
      </c>
      <c r="BC1253" s="80" t="str">
        <f>IF(Y1253=0,"",IF(NOT(ISNUMBER(B1253)),"Falta fecha o fecha inválida",IF(D1253="","Falta empresa",IF(AND(D1253&lt;&gt;"Malcolm",D1253&lt;&gt;"proMX"),"Empresa inválida",IF(OR(INT(B1253)&lt;CFG_PSTART,INT(B1253)&gt;CFG_PEND),"Fecha fuera del período",IF(OR(NOT(ISNUMBER(Z1253)),NOT(ISNUMBER(AA1253))),"Falta hora inicio/fin o formato inválido",IF(AB1253=0,"Hora inicio = hora fin",IF(AE1253&lt;0,"Descanso inválido",IF(AE1253&gt;=AD1253,"Descanso ≥ duración",IF(AV1253=1,"Registro duplicado",IF(AZ1253&gt;0,"Se superpone con otro registro "&amp;D1253,IF(BB1253=0,"inicio, fin y duración neta deben ser múltiplos de "&amp;CFG_BLK&amp;" min",""))))))))))))</f>
        <v/>
      </c>
      <c r="BD1253" s="80">
        <f>IF(AND(Y1253=1,BC1253=""),1,0)</f>
        <v>0</v>
      </c>
      <c r="BE1253" s="80">
        <f>IF(AND(BD1253=1,AU1253=1),1,0)</f>
        <v>0</v>
      </c>
      <c r="BF1253" s="80" t="str">
        <f>IF(AND(D1253="proMX",BD1253=1),IF(R1253="","Draft",R1253),"")</f>
        <v/>
      </c>
      <c r="BG1253" s="80">
        <f>IF(BD1253=1,ROUND(AG1253/60,6),0)</f>
        <v>0</v>
      </c>
      <c r="BH1253" s="80">
        <f>IF(BE1253=1,ROUND(AG1253/60,6),0)</f>
        <v>0</v>
      </c>
      <c r="BI1253" s="80">
        <f>IF(BE1253=1,ROUND(AP1253/60,6),0)</f>
        <v>0</v>
      </c>
      <c r="BJ1253" s="80">
        <f>IF(BE1253=1,ROUND(AQ1253/60,6),0)</f>
        <v>0</v>
      </c>
      <c r="BK1253" s="80">
        <f>IF(BE1253=1,ROUND((AR1253+AS1253)/60,6),0)</f>
        <v>0</v>
      </c>
      <c r="BL1253" s="80">
        <f>ROUND(BH1253-BK1253,6)</f>
        <v>0</v>
      </c>
      <c r="BM1253" s="80">
        <f>IF(BE1253=1,ROUND(AR1253/60,6),0)</f>
        <v>0</v>
      </c>
      <c r="BN1253" s="80">
        <f>ROUND(BI1253-BM1253,6)</f>
        <v>0</v>
      </c>
      <c r="BO1253" s="80">
        <f>IF(BE1253=1,ROUND(AS1253/60,6),0)</f>
        <v>0</v>
      </c>
      <c r="BP1253" s="80">
        <f>ROUND(BJ1253-BO1253,6)</f>
        <v>0</v>
      </c>
      <c r="BQ1253" s="80">
        <f>IF(BE1253=1,AW1253,0)</f>
        <v>0</v>
      </c>
      <c r="BR1253" s="80">
        <f>IF(BE1253=1,AX1253,0)</f>
        <v>0</v>
      </c>
      <c r="BS1253" s="80">
        <f>IF(AND(BE1253=1,D1253="Malcolm",BA1253&gt;0),MIN(BH1253,SUMPRODUCT((R_Emp="proMX")*(R_EN&gt;0)*((R_EN-(R_EN&gt;BR1253)*(R_EN-BR1253))&gt;(R_SN+(R_SN&lt;BQ1253)*(BQ1253-R_SN)))*((R_EN-(R_EN&gt;BR1253)*(R_EN-BR1253))-(R_SN+(R_SN&lt;BQ1253)*(BQ1253-R_SN))))/60),0)</f>
        <v>0</v>
      </c>
      <c r="BT1253" s="80">
        <f>IF(AND(BE1253=1,D1253="proMX"),ROUND(BI1253*CFG_RATE+BJ1253*CFG_OTRATE,6),0)</f>
        <v>0</v>
      </c>
      <c r="BU1253" s="80">
        <f>IF(AND(BD1253=1,D1253="proMX"),ROUND(AG1253/CFG_BLK,6),0)</f>
        <v>0</v>
      </c>
      <c r="BV1253" s="80" t="str">
        <f>IF(BF1253="Approved",IF(ISNUMBER(T1253),INT(T1253),INT(B1253)),"")</f>
        <v/>
      </c>
      <c r="BW1253" s="80">
        <f>IF(ISNUMBER(B1253),IF(DB_MON="Todos",1,IF(AND(INT(B1253)&gt;=DB_MS,INT(B1253)&lt;=DB_ME),1,0)),0)</f>
        <v>0</v>
      </c>
      <c r="BX1253" s="80">
        <f>IF(DB_PROJ="Todos",1,IF(E1253&amp;""=DB_PROJ&amp;"",1,0))</f>
        <v>1</v>
      </c>
      <c r="BY1253" s="80">
        <f>BW1253*BX1253</f>
        <v>0</v>
      </c>
      <c r="BZ1253" s="80" t="str">
        <f>IF(Y1253=1,F1253&amp;IF(AND(F1253&amp;""&lt;&gt;"",E1253&amp;""&lt;&gt;"")," · ","")&amp;E1253,"")</f>
        <v/>
      </c>
      <c r="CA1253" s="80" t="str">
        <f>IF(AND(BD1253=1,E1253&amp;""&lt;&gt;""),IF(COUNTIFS($E$5:E1252,E1253,$BD$5:BD1252,1)=0,MAX($CA$5:CA1252)+1,""),"")</f>
        <v/>
      </c>
      <c r="CB1253" s="80" t="str">
        <f>IF(AND(BE1253=1,D1253="Malcolm",E1253&amp;""&lt;&gt;""),IF(COUNTIFS($D$5:D1252,"Malcolm",$E$5:E1252,E1253,$BE$5:BE1252,1)=0,MAX($CB$5:CB1252)+1,""),"")</f>
        <v/>
      </c>
      <c r="CC1253" s="80" t="str">
        <f>IF(AND(BD1253=1,D1253="proMX",E1253&amp;""&lt;&gt;""),IF(COUNTIFS($D$5:D1252,"proMX",$E$5:E1252,E1253,$BD$5:BD1252,1)=0,MAX($CC$5:CC1252)+1,""),"")</f>
        <v/>
      </c>
      <c r="CD1253" s="80" t="str">
        <f>IF(AND(BE1253=1,D1253="Malcolm",F1253&amp;""&lt;&gt;""),IF(COUNTIFS($D$5:D1252,"Malcolm",$F$5:F1252,F1253,$BE$5:BE1252,1)=0,MAX($CD$5:CD1252)+1,""),"")</f>
        <v/>
      </c>
      <c r="CE1253" s="80" t="str">
        <f>IF(AND(BD1253=1,D1253="proMX",F1253&amp;""&lt;&gt;""),IF(COUNTIFS($D$5:D1252,"proMX",$F$5:F1252,F1253,$BD$5:BD1252,1)=0,MAX($CE$5:CE1252)+1,""),"")</f>
        <v/>
      </c>
      <c r="CF1253" s="80" t="str">
        <f>IF(AND(D1253="proMX",BD1253=1),IF(OR(BF1253="Draft",BF1253="Submitted",BF1253="Returned",BF1253="Recall Requested"),MAX($CF$5:CF1252)+1,""),"")</f>
        <v/>
      </c>
      <c r="CG1253" s="80">
        <f>IF(BD1253=0,0,IF(D1253="Malcolm",1,MATCH(BF1253,{"Draft","Submitted","Approved","Returned","Recall Requested","Cancelled"},0)+1))</f>
        <v>0</v>
      </c>
      <c r="CH1253" s="80">
        <f>IF(AND(BF1253="Submitted",ISNUMBER(V1253)),IF(V1253&gt;CFG_MAXD,1,0),0)</f>
        <v>0</v>
      </c>
    </row>
    <row r="1254">
      <c r="A1254" s="71" t="str">
        <f>IF(Y1254=1,ROW()-5,"")</f>
        <v/>
      </c>
      <c r="B1254" s="72" t="n"/>
      <c r="C1254" s="71" t="str">
        <f>IF(ISNUMBER(B1254),CHOOSE(WEEKDAY(B1254,2),"Lun","Mar","Mié","Jue","Vie","Sáb","Dom"),"")</f>
        <v/>
      </c>
      <c r="D1254" s="73" t="n"/>
      <c r="E1254" s="74" t="n"/>
      <c r="F1254" s="74" t="n"/>
      <c r="G1254" s="74" t="n"/>
      <c r="H1254" s="75" t="n"/>
      <c r="I1254" s="75" t="n"/>
      <c r="J1254" s="76" t="n"/>
      <c r="K1254" s="77" t="str">
        <f>IF(AB1254=1,ROUND(AG1254/60,4),"")</f>
        <v/>
      </c>
      <c r="L1254" s="77" t="str">
        <f>IF(BD1254=1,ROUND(AP1254/60,4),"")</f>
        <v/>
      </c>
      <c r="M1254" s="77" t="str">
        <f>IF(BD1254=1,ROUND(AQ1254/60,4),"")</f>
        <v/>
      </c>
      <c r="N1254" s="71" t="str">
        <f>IF(AND(D1254="proMX",AB1254=1),ROUND(AG1254/CFG_BLK,2),"")</f>
        <v/>
      </c>
      <c r="O1254" s="77" t="str">
        <f>IF(D1254="proMX",IF(BD1254=1,ROUND(AG1254/60,4),0),"")</f>
        <v/>
      </c>
      <c r="P1254" s="78" t="str">
        <f>IF(Y1254=0,"",IF(BD1254=1,"OK",IF(D1254="proMX","Revisar bloques: ","Revisar: ")&amp;BC1254))</f>
        <v/>
      </c>
      <c r="Q1254" s="78" t="str">
        <f>IF(NOT(ISNUMBER(B1254)),"",IF(COUNTIFS(FER_F,INT(B1254))&gt;0,"Feriado"&amp;IF(AH1254=1," (laborable)"," (no laborable)"),IF(AH1254=1,"Laborable",IF(WEEKDAY(B1254,2)&gt;5,"Fin de semana","No laborable"))))</f>
        <v/>
      </c>
      <c r="R1254" s="73" t="n"/>
      <c r="S1254" s="72" t="n"/>
      <c r="T1254" s="72" t="n"/>
      <c r="U1254" s="74" t="n"/>
      <c r="V1254" s="79" t="str">
        <f>IF(AND(D1254="proMX",OR(R1254="Submitted",R1254="Recall Requested"),ISNUMBER(S1254)),CFG_TODAY-INT(S1254),"")</f>
        <v/>
      </c>
      <c r="W1254" s="78" t="str">
        <f>IF(BD1254=0,"",IF(BA1254&gt;0,"⚠ Se superpone con un registro de la otra empresa",IF(D1254="Malcolm",IF(COUNTA(R1254,S1254,T1254)&gt;0,"Estado/fechas proMX se ignoran en Malcolm",""),IF(BF1254="Cancelled","Cancelado: excluido de totales",IF(R1254="","Sin estado: se trata como Draft",IF(BF1254="Submitted",IF(ISNUMBER(V1254),IF(V1254&gt;CFG_MAXD,"⚠ "&amp;V1254&amp;" días en Submitted (máx. "&amp;CFG_MAXD&amp;")",""),"Falta fecha de envío"),IF(BF1254="Returned","⚠ Devuelto: corregir y reenviar",IF(BF1254="Recall Requested","Retirada solicitada: pendiente",IF(AND(BF1254="Approved",NOT(ISNUMBER(T1254))),"Falta fecha de aprobación",IF(AND(ISNUMBER(S1254),ISNUMBER(T1254),T1254&lt;S1254),"Aprobación anterior al envío","")))))))))</f>
        <v/>
      </c>
      <c r="Y1254" s="80">
        <f>IF(COUNTA(B1254,D1254,E1254,F1254,G1254,H1254,I1254,J1254,R1254,S1254,T1254)&gt;0,1,0)</f>
        <v>0</v>
      </c>
      <c r="Z1254" s="80" t="str">
        <f>IF(AND(ISNUMBER(H1254),H1254&gt;=0,H1254&lt;1),ROUND(H1254*1440,0),"")</f>
        <v/>
      </c>
      <c r="AA1254" s="80" t="str">
        <f>IF(AND(ISNUMBER(I1254),I1254&gt;=0,I1254&lt;1),ROUND(I1254*1440,0),"")</f>
        <v/>
      </c>
      <c r="AB1254" s="80">
        <f>IF(AND(ISNUMBER(B1254),D1254&lt;&gt;"",ISNUMBER(Z1254),ISNUMBER(AA1254)),IF(Z1254=AA1254,0,1),0)</f>
        <v>0</v>
      </c>
      <c r="AC1254" s="80">
        <f>IF(AB1254=1,IF(AA1254&lt;Z1254,1,0),0)</f>
        <v>0</v>
      </c>
      <c r="AD1254" s="80">
        <f>IF(AB1254=1,IF(AC1254=1,1440-Z1254+AA1254,AA1254-Z1254),0)</f>
        <v>0</v>
      </c>
      <c r="AE1254" s="80">
        <f>IF(J1254="",0,IF(ISNUMBER(J1254),J1254,-1))</f>
        <v>0</v>
      </c>
      <c r="AF1254" s="80">
        <f>MIN(MAX(0,AE1254),AD1254)</f>
        <v>0</v>
      </c>
      <c r="AG1254" s="80">
        <f>MAX(0,AD1254-MAX(0,AE1254))</f>
        <v>0</v>
      </c>
      <c r="AH1254" s="80">
        <f>IF(ISNUMBER(B1254),IF(AND(INDEX(CFG_WDAYS,WEEKDAY(INT(B1254),2))="Sí",IF(D1254="proMX",COUNTIFS(FER_F,INT(B1254),FER_NLP,"Sí"),COUNTIFS(FER_F,INT(B1254),FER_NLM,"Sí"))=0),1,0),0)</f>
        <v>0</v>
      </c>
      <c r="AI1254" s="80">
        <f>IF(AC1254=1,IF(AND(INDEX(CFG_WDAYS,WEEKDAY(INT(B1254)+1,2))="Sí",IF(D1254="proMX",COUNTIFS(FER_F,INT(B1254)+1,FER_NLP,"Sí"),COUNTIFS(FER_F,INT(B1254)+1,FER_NLM,"Sí"))=0),1,0),0)</f>
        <v>0</v>
      </c>
      <c r="AJ1254" s="80">
        <f>IF(AC1254=1,1440-Z1254,AD1254)</f>
        <v>0</v>
      </c>
      <c r="AK1254" s="80">
        <f>IF(AND(AB1254=1,AH1254=1),MAX(0,MIN(IF(AC1254=1,1440,AA1254),CFG_WEM)-MAX(Z1254,CFG_WSM)),0)</f>
        <v>0</v>
      </c>
      <c r="AL1254" s="80">
        <f>IF(AND(AC1254=1,AI1254=1),MAX(0,MIN(AA1254,CFG_WEM)-CFG_WSM),0)</f>
        <v>0</v>
      </c>
      <c r="AM1254" s="80">
        <f>AK1254+AL1254</f>
        <v>0</v>
      </c>
      <c r="AN1254" s="80">
        <f>IF(CFG_BRK="Proporcional",IF(AD1254=0,0,AF1254*AM1254/AD1254),IF(CFG_BRK="Extras primero",MIN(AM1254,MAX(0,AF1254-(AD1254-AM1254))),MIN(AF1254,AM1254)))</f>
        <v>0</v>
      </c>
      <c r="AO1254" s="80">
        <f>AF1254-AN1254</f>
        <v>0</v>
      </c>
      <c r="AP1254" s="80">
        <f>AM1254-AN1254</f>
        <v>0</v>
      </c>
      <c r="AQ1254" s="80">
        <f>AD1254-AM1254-AO1254</f>
        <v>0</v>
      </c>
      <c r="AR1254" s="80">
        <f>IF(AM1254=0,0,AK1254-AN1254*AK1254/AM1254)</f>
        <v>0</v>
      </c>
      <c r="AS1254" s="80">
        <f>IF(AD1254-AM1254=0,0,(AJ1254-AK1254)-AO1254*(AJ1254-AK1254)/(AD1254-AM1254))</f>
        <v>0</v>
      </c>
      <c r="AT1254" s="80" t="str">
        <f>IF(AC1254=1,INT(B1254)+1,"")</f>
        <v/>
      </c>
      <c r="AU1254" s="80">
        <f>IF(AND(D1254="proMX",R1254="Cancelled"),0,1)</f>
        <v>1</v>
      </c>
      <c r="AV1254" s="80">
        <f>IF(AND(AB1254=1,AU1254=1),IF(COUNTIFS($D$5:D1253,D1254,$B$5:B1253,B1254,$Z$5:Z1253,Z1254,$AA$5:AA1253,AA1254,$F$5:F1253,F1254&amp;"",$AU$5:AU1253,1)&gt;0,1,0),0)</f>
        <v>0</v>
      </c>
      <c r="AW1254" s="80" t="str">
        <f>IF(AB1254=1,INT(B1254)*1440+Z1254,"")</f>
        <v/>
      </c>
      <c r="AX1254" s="80" t="str">
        <f>IF(AB1254=1,AW1254+AD1254,"")</f>
        <v/>
      </c>
      <c r="AY1254" s="80">
        <f>IF(AND(AB1254=1,AV1254=0,AU1254=1),1,0)</f>
        <v>0</v>
      </c>
      <c r="AZ1254" s="80">
        <f>IF(AY1254=1,COUNTIFS(R_Emp,D1254,R_SAbs,"&lt;"&amp;AX1254,R_EAbs,"&gt;"&amp;AW1254,R_OKey,1)-1,0)</f>
        <v>0</v>
      </c>
      <c r="BA1254" s="80">
        <f>IF(AY1254=1,COUNTIFS(R_Emp,"&lt;&gt;"&amp;D1254,R_SAbs,"&lt;"&amp;AX1254,R_EAbs,"&gt;"&amp;AW1254,R_OKey,1),0)</f>
        <v>0</v>
      </c>
      <c r="BB1254" s="80">
        <f>IF(AND(AB1254=1,D1254="proMX"),IF(AND(MOD(Z1254,CFG_BLK)=0,MOD(AA1254,CFG_BLK)=0,MOD(AG1254,CFG_BLK)=0,AG1254&gt;0),1,0),1)</f>
        <v>1</v>
      </c>
      <c r="BC1254" s="80" t="str">
        <f>IF(Y1254=0,"",IF(NOT(ISNUMBER(B1254)),"Falta fecha o fecha inválida",IF(D1254="","Falta empresa",IF(AND(D1254&lt;&gt;"Malcolm",D1254&lt;&gt;"proMX"),"Empresa inválida",IF(OR(INT(B1254)&lt;CFG_PSTART,INT(B1254)&gt;CFG_PEND),"Fecha fuera del período",IF(OR(NOT(ISNUMBER(Z1254)),NOT(ISNUMBER(AA1254))),"Falta hora inicio/fin o formato inválido",IF(AB1254=0,"Hora inicio = hora fin",IF(AE1254&lt;0,"Descanso inválido",IF(AE1254&gt;=AD1254,"Descanso ≥ duración",IF(AV1254=1,"Registro duplicado",IF(AZ1254&gt;0,"Se superpone con otro registro "&amp;D1254,IF(BB1254=0,"inicio, fin y duración neta deben ser múltiplos de "&amp;CFG_BLK&amp;" min",""))))))))))))</f>
        <v/>
      </c>
      <c r="BD1254" s="80">
        <f>IF(AND(Y1254=1,BC1254=""),1,0)</f>
        <v>0</v>
      </c>
      <c r="BE1254" s="80">
        <f>IF(AND(BD1254=1,AU1254=1),1,0)</f>
        <v>0</v>
      </c>
      <c r="BF1254" s="80" t="str">
        <f>IF(AND(D1254="proMX",BD1254=1),IF(R1254="","Draft",R1254),"")</f>
        <v/>
      </c>
      <c r="BG1254" s="80">
        <f>IF(BD1254=1,ROUND(AG1254/60,6),0)</f>
        <v>0</v>
      </c>
      <c r="BH1254" s="80">
        <f>IF(BE1254=1,ROUND(AG1254/60,6),0)</f>
        <v>0</v>
      </c>
      <c r="BI1254" s="80">
        <f>IF(BE1254=1,ROUND(AP1254/60,6),0)</f>
        <v>0</v>
      </c>
      <c r="BJ1254" s="80">
        <f>IF(BE1254=1,ROUND(AQ1254/60,6),0)</f>
        <v>0</v>
      </c>
      <c r="BK1254" s="80">
        <f>IF(BE1254=1,ROUND((AR1254+AS1254)/60,6),0)</f>
        <v>0</v>
      </c>
      <c r="BL1254" s="80">
        <f>ROUND(BH1254-BK1254,6)</f>
        <v>0</v>
      </c>
      <c r="BM1254" s="80">
        <f>IF(BE1254=1,ROUND(AR1254/60,6),0)</f>
        <v>0</v>
      </c>
      <c r="BN1254" s="80">
        <f>ROUND(BI1254-BM1254,6)</f>
        <v>0</v>
      </c>
      <c r="BO1254" s="80">
        <f>IF(BE1254=1,ROUND(AS1254/60,6),0)</f>
        <v>0</v>
      </c>
      <c r="BP1254" s="80">
        <f>ROUND(BJ1254-BO1254,6)</f>
        <v>0</v>
      </c>
      <c r="BQ1254" s="80">
        <f>IF(BE1254=1,AW1254,0)</f>
        <v>0</v>
      </c>
      <c r="BR1254" s="80">
        <f>IF(BE1254=1,AX1254,0)</f>
        <v>0</v>
      </c>
      <c r="BS1254" s="80">
        <f>IF(AND(BE1254=1,D1254="Malcolm",BA1254&gt;0),MIN(BH1254,SUMPRODUCT((R_Emp="proMX")*(R_EN&gt;0)*((R_EN-(R_EN&gt;BR1254)*(R_EN-BR1254))&gt;(R_SN+(R_SN&lt;BQ1254)*(BQ1254-R_SN)))*((R_EN-(R_EN&gt;BR1254)*(R_EN-BR1254))-(R_SN+(R_SN&lt;BQ1254)*(BQ1254-R_SN))))/60),0)</f>
        <v>0</v>
      </c>
      <c r="BT1254" s="80">
        <f>IF(AND(BE1254=1,D1254="proMX"),ROUND(BI1254*CFG_RATE+BJ1254*CFG_OTRATE,6),0)</f>
        <v>0</v>
      </c>
      <c r="BU1254" s="80">
        <f>IF(AND(BD1254=1,D1254="proMX"),ROUND(AG1254/CFG_BLK,6),0)</f>
        <v>0</v>
      </c>
      <c r="BV1254" s="80" t="str">
        <f>IF(BF1254="Approved",IF(ISNUMBER(T1254),INT(T1254),INT(B1254)),"")</f>
        <v/>
      </c>
      <c r="BW1254" s="80">
        <f>IF(ISNUMBER(B1254),IF(DB_MON="Todos",1,IF(AND(INT(B1254)&gt;=DB_MS,INT(B1254)&lt;=DB_ME),1,0)),0)</f>
        <v>0</v>
      </c>
      <c r="BX1254" s="80">
        <f>IF(DB_PROJ="Todos",1,IF(E1254&amp;""=DB_PROJ&amp;"",1,0))</f>
        <v>1</v>
      </c>
      <c r="BY1254" s="80">
        <f>BW1254*BX1254</f>
        <v>0</v>
      </c>
      <c r="BZ1254" s="80" t="str">
        <f>IF(Y1254=1,F1254&amp;IF(AND(F1254&amp;""&lt;&gt;"",E1254&amp;""&lt;&gt;"")," · ","")&amp;E1254,"")</f>
        <v/>
      </c>
      <c r="CA1254" s="80" t="str">
        <f>IF(AND(BD1254=1,E1254&amp;""&lt;&gt;""),IF(COUNTIFS($E$5:E1253,E1254,$BD$5:BD1253,1)=0,MAX($CA$5:CA1253)+1,""),"")</f>
        <v/>
      </c>
      <c r="CB1254" s="80" t="str">
        <f>IF(AND(BE1254=1,D1254="Malcolm",E1254&amp;""&lt;&gt;""),IF(COUNTIFS($D$5:D1253,"Malcolm",$E$5:E1253,E1254,$BE$5:BE1253,1)=0,MAX($CB$5:CB1253)+1,""),"")</f>
        <v/>
      </c>
      <c r="CC1254" s="80" t="str">
        <f>IF(AND(BD1254=1,D1254="proMX",E1254&amp;""&lt;&gt;""),IF(COUNTIFS($D$5:D1253,"proMX",$E$5:E1253,E1254,$BD$5:BD1253,1)=0,MAX($CC$5:CC1253)+1,""),"")</f>
        <v/>
      </c>
      <c r="CD1254" s="80" t="str">
        <f>IF(AND(BE1254=1,D1254="Malcolm",F1254&amp;""&lt;&gt;""),IF(COUNTIFS($D$5:D1253,"Malcolm",$F$5:F1253,F1254,$BE$5:BE1253,1)=0,MAX($CD$5:CD1253)+1,""),"")</f>
        <v/>
      </c>
      <c r="CE1254" s="80" t="str">
        <f>IF(AND(BD1254=1,D1254="proMX",F1254&amp;""&lt;&gt;""),IF(COUNTIFS($D$5:D1253,"proMX",$F$5:F1253,F1254,$BD$5:BD1253,1)=0,MAX($CE$5:CE1253)+1,""),"")</f>
        <v/>
      </c>
      <c r="CF1254" s="80" t="str">
        <f>IF(AND(D1254="proMX",BD1254=1),IF(OR(BF1254="Draft",BF1254="Submitted",BF1254="Returned",BF1254="Recall Requested"),MAX($CF$5:CF1253)+1,""),"")</f>
        <v/>
      </c>
      <c r="CG1254" s="80">
        <f>IF(BD1254=0,0,IF(D1254="Malcolm",1,MATCH(BF1254,{"Draft","Submitted","Approved","Returned","Recall Requested","Cancelled"},0)+1))</f>
        <v>0</v>
      </c>
      <c r="CH1254" s="80">
        <f>IF(AND(BF1254="Submitted",ISNUMBER(V1254)),IF(V1254&gt;CFG_MAXD,1,0),0)</f>
        <v>0</v>
      </c>
    </row>
    <row r="1255">
      <c r="A1255" s="71" t="str">
        <f>IF(Y1255=1,ROW()-5,"")</f>
        <v/>
      </c>
      <c r="B1255" s="72" t="n"/>
      <c r="C1255" s="71" t="str">
        <f>IF(ISNUMBER(B1255),CHOOSE(WEEKDAY(B1255,2),"Lun","Mar","Mié","Jue","Vie","Sáb","Dom"),"")</f>
        <v/>
      </c>
      <c r="D1255" s="73" t="n"/>
      <c r="E1255" s="74" t="n"/>
      <c r="F1255" s="74" t="n"/>
      <c r="G1255" s="74" t="n"/>
      <c r="H1255" s="75" t="n"/>
      <c r="I1255" s="75" t="n"/>
      <c r="J1255" s="76" t="n"/>
      <c r="K1255" s="77" t="str">
        <f>IF(AB1255=1,ROUND(AG1255/60,4),"")</f>
        <v/>
      </c>
      <c r="L1255" s="77" t="str">
        <f>IF(BD1255=1,ROUND(AP1255/60,4),"")</f>
        <v/>
      </c>
      <c r="M1255" s="77" t="str">
        <f>IF(BD1255=1,ROUND(AQ1255/60,4),"")</f>
        <v/>
      </c>
      <c r="N1255" s="71" t="str">
        <f>IF(AND(D1255="proMX",AB1255=1),ROUND(AG1255/CFG_BLK,2),"")</f>
        <v/>
      </c>
      <c r="O1255" s="77" t="str">
        <f>IF(D1255="proMX",IF(BD1255=1,ROUND(AG1255/60,4),0),"")</f>
        <v/>
      </c>
      <c r="P1255" s="78" t="str">
        <f>IF(Y1255=0,"",IF(BD1255=1,"OK",IF(D1255="proMX","Revisar bloques: ","Revisar: ")&amp;BC1255))</f>
        <v/>
      </c>
      <c r="Q1255" s="78" t="str">
        <f>IF(NOT(ISNUMBER(B1255)),"",IF(COUNTIFS(FER_F,INT(B1255))&gt;0,"Feriado"&amp;IF(AH1255=1," (laborable)"," (no laborable)"),IF(AH1255=1,"Laborable",IF(WEEKDAY(B1255,2)&gt;5,"Fin de semana","No laborable"))))</f>
        <v/>
      </c>
      <c r="R1255" s="73" t="n"/>
      <c r="S1255" s="72" t="n"/>
      <c r="T1255" s="72" t="n"/>
      <c r="U1255" s="74" t="n"/>
      <c r="V1255" s="79" t="str">
        <f>IF(AND(D1255="proMX",OR(R1255="Submitted",R1255="Recall Requested"),ISNUMBER(S1255)),CFG_TODAY-INT(S1255),"")</f>
        <v/>
      </c>
      <c r="W1255" s="78" t="str">
        <f>IF(BD1255=0,"",IF(BA1255&gt;0,"⚠ Se superpone con un registro de la otra empresa",IF(D1255="Malcolm",IF(COUNTA(R1255,S1255,T1255)&gt;0,"Estado/fechas proMX se ignoran en Malcolm",""),IF(BF1255="Cancelled","Cancelado: excluido de totales",IF(R1255="","Sin estado: se trata como Draft",IF(BF1255="Submitted",IF(ISNUMBER(V1255),IF(V1255&gt;CFG_MAXD,"⚠ "&amp;V1255&amp;" días en Submitted (máx. "&amp;CFG_MAXD&amp;")",""),"Falta fecha de envío"),IF(BF1255="Returned","⚠ Devuelto: corregir y reenviar",IF(BF1255="Recall Requested","Retirada solicitada: pendiente",IF(AND(BF1255="Approved",NOT(ISNUMBER(T1255))),"Falta fecha de aprobación",IF(AND(ISNUMBER(S1255),ISNUMBER(T1255),T1255&lt;S1255),"Aprobación anterior al envío","")))))))))</f>
        <v/>
      </c>
      <c r="Y1255" s="80">
        <f>IF(COUNTA(B1255,D1255,E1255,F1255,G1255,H1255,I1255,J1255,R1255,S1255,T1255)&gt;0,1,0)</f>
        <v>0</v>
      </c>
      <c r="Z1255" s="80" t="str">
        <f>IF(AND(ISNUMBER(H1255),H1255&gt;=0,H1255&lt;1),ROUND(H1255*1440,0),"")</f>
        <v/>
      </c>
      <c r="AA1255" s="80" t="str">
        <f>IF(AND(ISNUMBER(I1255),I1255&gt;=0,I1255&lt;1),ROUND(I1255*1440,0),"")</f>
        <v/>
      </c>
      <c r="AB1255" s="80">
        <f>IF(AND(ISNUMBER(B1255),D1255&lt;&gt;"",ISNUMBER(Z1255),ISNUMBER(AA1255)),IF(Z1255=AA1255,0,1),0)</f>
        <v>0</v>
      </c>
      <c r="AC1255" s="80">
        <f>IF(AB1255=1,IF(AA1255&lt;Z1255,1,0),0)</f>
        <v>0</v>
      </c>
      <c r="AD1255" s="80">
        <f>IF(AB1255=1,IF(AC1255=1,1440-Z1255+AA1255,AA1255-Z1255),0)</f>
        <v>0</v>
      </c>
      <c r="AE1255" s="80">
        <f>IF(J1255="",0,IF(ISNUMBER(J1255),J1255,-1))</f>
        <v>0</v>
      </c>
      <c r="AF1255" s="80">
        <f>MIN(MAX(0,AE1255),AD1255)</f>
        <v>0</v>
      </c>
      <c r="AG1255" s="80">
        <f>MAX(0,AD1255-MAX(0,AE1255))</f>
        <v>0</v>
      </c>
      <c r="AH1255" s="80">
        <f>IF(ISNUMBER(B1255),IF(AND(INDEX(CFG_WDAYS,WEEKDAY(INT(B1255),2))="Sí",IF(D1255="proMX",COUNTIFS(FER_F,INT(B1255),FER_NLP,"Sí"),COUNTIFS(FER_F,INT(B1255),FER_NLM,"Sí"))=0),1,0),0)</f>
        <v>0</v>
      </c>
      <c r="AI1255" s="80">
        <f>IF(AC1255=1,IF(AND(INDEX(CFG_WDAYS,WEEKDAY(INT(B1255)+1,2))="Sí",IF(D1255="proMX",COUNTIFS(FER_F,INT(B1255)+1,FER_NLP,"Sí"),COUNTIFS(FER_F,INT(B1255)+1,FER_NLM,"Sí"))=0),1,0),0)</f>
        <v>0</v>
      </c>
      <c r="AJ1255" s="80">
        <f>IF(AC1255=1,1440-Z1255,AD1255)</f>
        <v>0</v>
      </c>
      <c r="AK1255" s="80">
        <f>IF(AND(AB1255=1,AH1255=1),MAX(0,MIN(IF(AC1255=1,1440,AA1255),CFG_WEM)-MAX(Z1255,CFG_WSM)),0)</f>
        <v>0</v>
      </c>
      <c r="AL1255" s="80">
        <f>IF(AND(AC1255=1,AI1255=1),MAX(0,MIN(AA1255,CFG_WEM)-CFG_WSM),0)</f>
        <v>0</v>
      </c>
      <c r="AM1255" s="80">
        <f>AK1255+AL1255</f>
        <v>0</v>
      </c>
      <c r="AN1255" s="80">
        <f>IF(CFG_BRK="Proporcional",IF(AD1255=0,0,AF1255*AM1255/AD1255),IF(CFG_BRK="Extras primero",MIN(AM1255,MAX(0,AF1255-(AD1255-AM1255))),MIN(AF1255,AM1255)))</f>
        <v>0</v>
      </c>
      <c r="AO1255" s="80">
        <f>AF1255-AN1255</f>
        <v>0</v>
      </c>
      <c r="AP1255" s="80">
        <f>AM1255-AN1255</f>
        <v>0</v>
      </c>
      <c r="AQ1255" s="80">
        <f>AD1255-AM1255-AO1255</f>
        <v>0</v>
      </c>
      <c r="AR1255" s="80">
        <f>IF(AM1255=0,0,AK1255-AN1255*AK1255/AM1255)</f>
        <v>0</v>
      </c>
      <c r="AS1255" s="80">
        <f>IF(AD1255-AM1255=0,0,(AJ1255-AK1255)-AO1255*(AJ1255-AK1255)/(AD1255-AM1255))</f>
        <v>0</v>
      </c>
      <c r="AT1255" s="80" t="str">
        <f>IF(AC1255=1,INT(B1255)+1,"")</f>
        <v/>
      </c>
      <c r="AU1255" s="80">
        <f>IF(AND(D1255="proMX",R1255="Cancelled"),0,1)</f>
        <v>1</v>
      </c>
      <c r="AV1255" s="80">
        <f>IF(AND(AB1255=1,AU1255=1),IF(COUNTIFS($D$5:D1254,D1255,$B$5:B1254,B1255,$Z$5:Z1254,Z1255,$AA$5:AA1254,AA1255,$F$5:F1254,F1255&amp;"",$AU$5:AU1254,1)&gt;0,1,0),0)</f>
        <v>0</v>
      </c>
      <c r="AW1255" s="80" t="str">
        <f>IF(AB1255=1,INT(B1255)*1440+Z1255,"")</f>
        <v/>
      </c>
      <c r="AX1255" s="80" t="str">
        <f>IF(AB1255=1,AW1255+AD1255,"")</f>
        <v/>
      </c>
      <c r="AY1255" s="80">
        <f>IF(AND(AB1255=1,AV1255=0,AU1255=1),1,0)</f>
        <v>0</v>
      </c>
      <c r="AZ1255" s="80">
        <f>IF(AY1255=1,COUNTIFS(R_Emp,D1255,R_SAbs,"&lt;"&amp;AX1255,R_EAbs,"&gt;"&amp;AW1255,R_OKey,1)-1,0)</f>
        <v>0</v>
      </c>
      <c r="BA1255" s="80">
        <f>IF(AY1255=1,COUNTIFS(R_Emp,"&lt;&gt;"&amp;D1255,R_SAbs,"&lt;"&amp;AX1255,R_EAbs,"&gt;"&amp;AW1255,R_OKey,1),0)</f>
        <v>0</v>
      </c>
      <c r="BB1255" s="80">
        <f>IF(AND(AB1255=1,D1255="proMX"),IF(AND(MOD(Z1255,CFG_BLK)=0,MOD(AA1255,CFG_BLK)=0,MOD(AG1255,CFG_BLK)=0,AG1255&gt;0),1,0),1)</f>
        <v>1</v>
      </c>
      <c r="BC1255" s="80" t="str">
        <f>IF(Y1255=0,"",IF(NOT(ISNUMBER(B1255)),"Falta fecha o fecha inválida",IF(D1255="","Falta empresa",IF(AND(D1255&lt;&gt;"Malcolm",D1255&lt;&gt;"proMX"),"Empresa inválida",IF(OR(INT(B1255)&lt;CFG_PSTART,INT(B1255)&gt;CFG_PEND),"Fecha fuera del período",IF(OR(NOT(ISNUMBER(Z1255)),NOT(ISNUMBER(AA1255))),"Falta hora inicio/fin o formato inválido",IF(AB1255=0,"Hora inicio = hora fin",IF(AE1255&lt;0,"Descanso inválido",IF(AE1255&gt;=AD1255,"Descanso ≥ duración",IF(AV1255=1,"Registro duplicado",IF(AZ1255&gt;0,"Se superpone con otro registro "&amp;D1255,IF(BB1255=0,"inicio, fin y duración neta deben ser múltiplos de "&amp;CFG_BLK&amp;" min",""))))))))))))</f>
        <v/>
      </c>
      <c r="BD1255" s="80">
        <f>IF(AND(Y1255=1,BC1255=""),1,0)</f>
        <v>0</v>
      </c>
      <c r="BE1255" s="80">
        <f>IF(AND(BD1255=1,AU1255=1),1,0)</f>
        <v>0</v>
      </c>
      <c r="BF1255" s="80" t="str">
        <f>IF(AND(D1255="proMX",BD1255=1),IF(R1255="","Draft",R1255),"")</f>
        <v/>
      </c>
      <c r="BG1255" s="80">
        <f>IF(BD1255=1,ROUND(AG1255/60,6),0)</f>
        <v>0</v>
      </c>
      <c r="BH1255" s="80">
        <f>IF(BE1255=1,ROUND(AG1255/60,6),0)</f>
        <v>0</v>
      </c>
      <c r="BI1255" s="80">
        <f>IF(BE1255=1,ROUND(AP1255/60,6),0)</f>
        <v>0</v>
      </c>
      <c r="BJ1255" s="80">
        <f>IF(BE1255=1,ROUND(AQ1255/60,6),0)</f>
        <v>0</v>
      </c>
      <c r="BK1255" s="80">
        <f>IF(BE1255=1,ROUND((AR1255+AS1255)/60,6),0)</f>
        <v>0</v>
      </c>
      <c r="BL1255" s="80">
        <f>ROUND(BH1255-BK1255,6)</f>
        <v>0</v>
      </c>
      <c r="BM1255" s="80">
        <f>IF(BE1255=1,ROUND(AR1255/60,6),0)</f>
        <v>0</v>
      </c>
      <c r="BN1255" s="80">
        <f>ROUND(BI1255-BM1255,6)</f>
        <v>0</v>
      </c>
      <c r="BO1255" s="80">
        <f>IF(BE1255=1,ROUND(AS1255/60,6),0)</f>
        <v>0</v>
      </c>
      <c r="BP1255" s="80">
        <f>ROUND(BJ1255-BO1255,6)</f>
        <v>0</v>
      </c>
      <c r="BQ1255" s="80">
        <f>IF(BE1255=1,AW1255,0)</f>
        <v>0</v>
      </c>
      <c r="BR1255" s="80">
        <f>IF(BE1255=1,AX1255,0)</f>
        <v>0</v>
      </c>
      <c r="BS1255" s="80">
        <f>IF(AND(BE1255=1,D1255="Malcolm",BA1255&gt;0),MIN(BH1255,SUMPRODUCT((R_Emp="proMX")*(R_EN&gt;0)*((R_EN-(R_EN&gt;BR1255)*(R_EN-BR1255))&gt;(R_SN+(R_SN&lt;BQ1255)*(BQ1255-R_SN)))*((R_EN-(R_EN&gt;BR1255)*(R_EN-BR1255))-(R_SN+(R_SN&lt;BQ1255)*(BQ1255-R_SN))))/60),0)</f>
        <v>0</v>
      </c>
      <c r="BT1255" s="80">
        <f>IF(AND(BE1255=1,D1255="proMX"),ROUND(BI1255*CFG_RATE+BJ1255*CFG_OTRATE,6),0)</f>
        <v>0</v>
      </c>
      <c r="BU1255" s="80">
        <f>IF(AND(BD1255=1,D1255="proMX"),ROUND(AG1255/CFG_BLK,6),0)</f>
        <v>0</v>
      </c>
      <c r="BV1255" s="80" t="str">
        <f>IF(BF1255="Approved",IF(ISNUMBER(T1255),INT(T1255),INT(B1255)),"")</f>
        <v/>
      </c>
      <c r="BW1255" s="80">
        <f>IF(ISNUMBER(B1255),IF(DB_MON="Todos",1,IF(AND(INT(B1255)&gt;=DB_MS,INT(B1255)&lt;=DB_ME),1,0)),0)</f>
        <v>0</v>
      </c>
      <c r="BX1255" s="80">
        <f>IF(DB_PROJ="Todos",1,IF(E1255&amp;""=DB_PROJ&amp;"",1,0))</f>
        <v>1</v>
      </c>
      <c r="BY1255" s="80">
        <f>BW1255*BX1255</f>
        <v>0</v>
      </c>
      <c r="BZ1255" s="80" t="str">
        <f>IF(Y1255=1,F1255&amp;IF(AND(F1255&amp;""&lt;&gt;"",E1255&amp;""&lt;&gt;"")," · ","")&amp;E1255,"")</f>
        <v/>
      </c>
      <c r="CA1255" s="80" t="str">
        <f>IF(AND(BD1255=1,E1255&amp;""&lt;&gt;""),IF(COUNTIFS($E$5:E1254,E1255,$BD$5:BD1254,1)=0,MAX($CA$5:CA1254)+1,""),"")</f>
        <v/>
      </c>
      <c r="CB1255" s="80" t="str">
        <f>IF(AND(BE1255=1,D1255="Malcolm",E1255&amp;""&lt;&gt;""),IF(COUNTIFS($D$5:D1254,"Malcolm",$E$5:E1254,E1255,$BE$5:BE1254,1)=0,MAX($CB$5:CB1254)+1,""),"")</f>
        <v/>
      </c>
      <c r="CC1255" s="80" t="str">
        <f>IF(AND(BD1255=1,D1255="proMX",E1255&amp;""&lt;&gt;""),IF(COUNTIFS($D$5:D1254,"proMX",$E$5:E1254,E1255,$BD$5:BD1254,1)=0,MAX($CC$5:CC1254)+1,""),"")</f>
        <v/>
      </c>
      <c r="CD1255" s="80" t="str">
        <f>IF(AND(BE1255=1,D1255="Malcolm",F1255&amp;""&lt;&gt;""),IF(COUNTIFS($D$5:D1254,"Malcolm",$F$5:F1254,F1255,$BE$5:BE1254,1)=0,MAX($CD$5:CD1254)+1,""),"")</f>
        <v/>
      </c>
      <c r="CE1255" s="80" t="str">
        <f>IF(AND(BD1255=1,D1255="proMX",F1255&amp;""&lt;&gt;""),IF(COUNTIFS($D$5:D1254,"proMX",$F$5:F1254,F1255,$BD$5:BD1254,1)=0,MAX($CE$5:CE1254)+1,""),"")</f>
        <v/>
      </c>
      <c r="CF1255" s="80" t="str">
        <f>IF(AND(D1255="proMX",BD1255=1),IF(OR(BF1255="Draft",BF1255="Submitted",BF1255="Returned",BF1255="Recall Requested"),MAX($CF$5:CF1254)+1,""),"")</f>
        <v/>
      </c>
      <c r="CG1255" s="80">
        <f>IF(BD1255=0,0,IF(D1255="Malcolm",1,MATCH(BF1255,{"Draft","Submitted","Approved","Returned","Recall Requested","Cancelled"},0)+1))</f>
        <v>0</v>
      </c>
      <c r="CH1255" s="80">
        <f>IF(AND(BF1255="Submitted",ISNUMBER(V1255)),IF(V1255&gt;CFG_MAXD,1,0),0)</f>
        <v>0</v>
      </c>
    </row>
    <row r="1256">
      <c r="A1256" s="71" t="str">
        <f>IF(Y1256=1,ROW()-5,"")</f>
        <v/>
      </c>
      <c r="B1256" s="72" t="n"/>
      <c r="C1256" s="71" t="str">
        <f>IF(ISNUMBER(B1256),CHOOSE(WEEKDAY(B1256,2),"Lun","Mar","Mié","Jue","Vie","Sáb","Dom"),"")</f>
        <v/>
      </c>
      <c r="D1256" s="73" t="n"/>
      <c r="E1256" s="74" t="n"/>
      <c r="F1256" s="74" t="n"/>
      <c r="G1256" s="74" t="n"/>
      <c r="H1256" s="75" t="n"/>
      <c r="I1256" s="75" t="n"/>
      <c r="J1256" s="76" t="n"/>
      <c r="K1256" s="77" t="str">
        <f>IF(AB1256=1,ROUND(AG1256/60,4),"")</f>
        <v/>
      </c>
      <c r="L1256" s="77" t="str">
        <f>IF(BD1256=1,ROUND(AP1256/60,4),"")</f>
        <v/>
      </c>
      <c r="M1256" s="77" t="str">
        <f>IF(BD1256=1,ROUND(AQ1256/60,4),"")</f>
        <v/>
      </c>
      <c r="N1256" s="71" t="str">
        <f>IF(AND(D1256="proMX",AB1256=1),ROUND(AG1256/CFG_BLK,2),"")</f>
        <v/>
      </c>
      <c r="O1256" s="77" t="str">
        <f>IF(D1256="proMX",IF(BD1256=1,ROUND(AG1256/60,4),0),"")</f>
        <v/>
      </c>
      <c r="P1256" s="78" t="str">
        <f>IF(Y1256=0,"",IF(BD1256=1,"OK",IF(D1256="proMX","Revisar bloques: ","Revisar: ")&amp;BC1256))</f>
        <v/>
      </c>
      <c r="Q1256" s="78" t="str">
        <f>IF(NOT(ISNUMBER(B1256)),"",IF(COUNTIFS(FER_F,INT(B1256))&gt;0,"Feriado"&amp;IF(AH1256=1," (laborable)"," (no laborable)"),IF(AH1256=1,"Laborable",IF(WEEKDAY(B1256,2)&gt;5,"Fin de semana","No laborable"))))</f>
        <v/>
      </c>
      <c r="R1256" s="73" t="n"/>
      <c r="S1256" s="72" t="n"/>
      <c r="T1256" s="72" t="n"/>
      <c r="U1256" s="74" t="n"/>
      <c r="V1256" s="79" t="str">
        <f>IF(AND(D1256="proMX",OR(R1256="Submitted",R1256="Recall Requested"),ISNUMBER(S1256)),CFG_TODAY-INT(S1256),"")</f>
        <v/>
      </c>
      <c r="W1256" s="78" t="str">
        <f>IF(BD1256=0,"",IF(BA1256&gt;0,"⚠ Se superpone con un registro de la otra empresa",IF(D1256="Malcolm",IF(COUNTA(R1256,S1256,T1256)&gt;0,"Estado/fechas proMX se ignoran en Malcolm",""),IF(BF1256="Cancelled","Cancelado: excluido de totales",IF(R1256="","Sin estado: se trata como Draft",IF(BF1256="Submitted",IF(ISNUMBER(V1256),IF(V1256&gt;CFG_MAXD,"⚠ "&amp;V1256&amp;" días en Submitted (máx. "&amp;CFG_MAXD&amp;")",""),"Falta fecha de envío"),IF(BF1256="Returned","⚠ Devuelto: corregir y reenviar",IF(BF1256="Recall Requested","Retirada solicitada: pendiente",IF(AND(BF1256="Approved",NOT(ISNUMBER(T1256))),"Falta fecha de aprobación",IF(AND(ISNUMBER(S1256),ISNUMBER(T1256),T1256&lt;S1256),"Aprobación anterior al envío","")))))))))</f>
        <v/>
      </c>
      <c r="Y1256" s="80">
        <f>IF(COUNTA(B1256,D1256,E1256,F1256,G1256,H1256,I1256,J1256,R1256,S1256,T1256)&gt;0,1,0)</f>
        <v>0</v>
      </c>
      <c r="Z1256" s="80" t="str">
        <f>IF(AND(ISNUMBER(H1256),H1256&gt;=0,H1256&lt;1),ROUND(H1256*1440,0),"")</f>
        <v/>
      </c>
      <c r="AA1256" s="80" t="str">
        <f>IF(AND(ISNUMBER(I1256),I1256&gt;=0,I1256&lt;1),ROUND(I1256*1440,0),"")</f>
        <v/>
      </c>
      <c r="AB1256" s="80">
        <f>IF(AND(ISNUMBER(B1256),D1256&lt;&gt;"",ISNUMBER(Z1256),ISNUMBER(AA1256)),IF(Z1256=AA1256,0,1),0)</f>
        <v>0</v>
      </c>
      <c r="AC1256" s="80">
        <f>IF(AB1256=1,IF(AA1256&lt;Z1256,1,0),0)</f>
        <v>0</v>
      </c>
      <c r="AD1256" s="80">
        <f>IF(AB1256=1,IF(AC1256=1,1440-Z1256+AA1256,AA1256-Z1256),0)</f>
        <v>0</v>
      </c>
      <c r="AE1256" s="80">
        <f>IF(J1256="",0,IF(ISNUMBER(J1256),J1256,-1))</f>
        <v>0</v>
      </c>
      <c r="AF1256" s="80">
        <f>MIN(MAX(0,AE1256),AD1256)</f>
        <v>0</v>
      </c>
      <c r="AG1256" s="80">
        <f>MAX(0,AD1256-MAX(0,AE1256))</f>
        <v>0</v>
      </c>
      <c r="AH1256" s="80">
        <f>IF(ISNUMBER(B1256),IF(AND(INDEX(CFG_WDAYS,WEEKDAY(INT(B1256),2))="Sí",IF(D1256="proMX",COUNTIFS(FER_F,INT(B1256),FER_NLP,"Sí"),COUNTIFS(FER_F,INT(B1256),FER_NLM,"Sí"))=0),1,0),0)</f>
        <v>0</v>
      </c>
      <c r="AI1256" s="80">
        <f>IF(AC1256=1,IF(AND(INDEX(CFG_WDAYS,WEEKDAY(INT(B1256)+1,2))="Sí",IF(D1256="proMX",COUNTIFS(FER_F,INT(B1256)+1,FER_NLP,"Sí"),COUNTIFS(FER_F,INT(B1256)+1,FER_NLM,"Sí"))=0),1,0),0)</f>
        <v>0</v>
      </c>
      <c r="AJ1256" s="80">
        <f>IF(AC1256=1,1440-Z1256,AD1256)</f>
        <v>0</v>
      </c>
      <c r="AK1256" s="80">
        <f>IF(AND(AB1256=1,AH1256=1),MAX(0,MIN(IF(AC1256=1,1440,AA1256),CFG_WEM)-MAX(Z1256,CFG_WSM)),0)</f>
        <v>0</v>
      </c>
      <c r="AL1256" s="80">
        <f>IF(AND(AC1256=1,AI1256=1),MAX(0,MIN(AA1256,CFG_WEM)-CFG_WSM),0)</f>
        <v>0</v>
      </c>
      <c r="AM1256" s="80">
        <f>AK1256+AL1256</f>
        <v>0</v>
      </c>
      <c r="AN1256" s="80">
        <f>IF(CFG_BRK="Proporcional",IF(AD1256=0,0,AF1256*AM1256/AD1256),IF(CFG_BRK="Extras primero",MIN(AM1256,MAX(0,AF1256-(AD1256-AM1256))),MIN(AF1256,AM1256)))</f>
        <v>0</v>
      </c>
      <c r="AO1256" s="80">
        <f>AF1256-AN1256</f>
        <v>0</v>
      </c>
      <c r="AP1256" s="80">
        <f>AM1256-AN1256</f>
        <v>0</v>
      </c>
      <c r="AQ1256" s="80">
        <f>AD1256-AM1256-AO1256</f>
        <v>0</v>
      </c>
      <c r="AR1256" s="80">
        <f>IF(AM1256=0,0,AK1256-AN1256*AK1256/AM1256)</f>
        <v>0</v>
      </c>
      <c r="AS1256" s="80">
        <f>IF(AD1256-AM1256=0,0,(AJ1256-AK1256)-AO1256*(AJ1256-AK1256)/(AD1256-AM1256))</f>
        <v>0</v>
      </c>
      <c r="AT1256" s="80" t="str">
        <f>IF(AC1256=1,INT(B1256)+1,"")</f>
        <v/>
      </c>
      <c r="AU1256" s="80">
        <f>IF(AND(D1256="proMX",R1256="Cancelled"),0,1)</f>
        <v>1</v>
      </c>
      <c r="AV1256" s="80">
        <f>IF(AND(AB1256=1,AU1256=1),IF(COUNTIFS($D$5:D1255,D1256,$B$5:B1255,B1256,$Z$5:Z1255,Z1256,$AA$5:AA1255,AA1256,$F$5:F1255,F1256&amp;"",$AU$5:AU1255,1)&gt;0,1,0),0)</f>
        <v>0</v>
      </c>
      <c r="AW1256" s="80" t="str">
        <f>IF(AB1256=1,INT(B1256)*1440+Z1256,"")</f>
        <v/>
      </c>
      <c r="AX1256" s="80" t="str">
        <f>IF(AB1256=1,AW1256+AD1256,"")</f>
        <v/>
      </c>
      <c r="AY1256" s="80">
        <f>IF(AND(AB1256=1,AV1256=0,AU1256=1),1,0)</f>
        <v>0</v>
      </c>
      <c r="AZ1256" s="80">
        <f>IF(AY1256=1,COUNTIFS(R_Emp,D1256,R_SAbs,"&lt;"&amp;AX1256,R_EAbs,"&gt;"&amp;AW1256,R_OKey,1)-1,0)</f>
        <v>0</v>
      </c>
      <c r="BA1256" s="80">
        <f>IF(AY1256=1,COUNTIFS(R_Emp,"&lt;&gt;"&amp;D1256,R_SAbs,"&lt;"&amp;AX1256,R_EAbs,"&gt;"&amp;AW1256,R_OKey,1),0)</f>
        <v>0</v>
      </c>
      <c r="BB1256" s="80">
        <f>IF(AND(AB1256=1,D1256="proMX"),IF(AND(MOD(Z1256,CFG_BLK)=0,MOD(AA1256,CFG_BLK)=0,MOD(AG1256,CFG_BLK)=0,AG1256&gt;0),1,0),1)</f>
        <v>1</v>
      </c>
      <c r="BC1256" s="80" t="str">
        <f>IF(Y1256=0,"",IF(NOT(ISNUMBER(B1256)),"Falta fecha o fecha inválida",IF(D1256="","Falta empresa",IF(AND(D1256&lt;&gt;"Malcolm",D1256&lt;&gt;"proMX"),"Empresa inválida",IF(OR(INT(B1256)&lt;CFG_PSTART,INT(B1256)&gt;CFG_PEND),"Fecha fuera del período",IF(OR(NOT(ISNUMBER(Z1256)),NOT(ISNUMBER(AA1256))),"Falta hora inicio/fin o formato inválido",IF(AB1256=0,"Hora inicio = hora fin",IF(AE1256&lt;0,"Descanso inválido",IF(AE1256&gt;=AD1256,"Descanso ≥ duración",IF(AV1256=1,"Registro duplicado",IF(AZ1256&gt;0,"Se superpone con otro registro "&amp;D1256,IF(BB1256=0,"inicio, fin y duración neta deben ser múltiplos de "&amp;CFG_BLK&amp;" min",""))))))))))))</f>
        <v/>
      </c>
      <c r="BD1256" s="80">
        <f>IF(AND(Y1256=1,BC1256=""),1,0)</f>
        <v>0</v>
      </c>
      <c r="BE1256" s="80">
        <f>IF(AND(BD1256=1,AU1256=1),1,0)</f>
        <v>0</v>
      </c>
      <c r="BF1256" s="80" t="str">
        <f>IF(AND(D1256="proMX",BD1256=1),IF(R1256="","Draft",R1256),"")</f>
        <v/>
      </c>
      <c r="BG1256" s="80">
        <f>IF(BD1256=1,ROUND(AG1256/60,6),0)</f>
        <v>0</v>
      </c>
      <c r="BH1256" s="80">
        <f>IF(BE1256=1,ROUND(AG1256/60,6),0)</f>
        <v>0</v>
      </c>
      <c r="BI1256" s="80">
        <f>IF(BE1256=1,ROUND(AP1256/60,6),0)</f>
        <v>0</v>
      </c>
      <c r="BJ1256" s="80">
        <f>IF(BE1256=1,ROUND(AQ1256/60,6),0)</f>
        <v>0</v>
      </c>
      <c r="BK1256" s="80">
        <f>IF(BE1256=1,ROUND((AR1256+AS1256)/60,6),0)</f>
        <v>0</v>
      </c>
      <c r="BL1256" s="80">
        <f>ROUND(BH1256-BK1256,6)</f>
        <v>0</v>
      </c>
      <c r="BM1256" s="80">
        <f>IF(BE1256=1,ROUND(AR1256/60,6),0)</f>
        <v>0</v>
      </c>
      <c r="BN1256" s="80">
        <f>ROUND(BI1256-BM1256,6)</f>
        <v>0</v>
      </c>
      <c r="BO1256" s="80">
        <f>IF(BE1256=1,ROUND(AS1256/60,6),0)</f>
        <v>0</v>
      </c>
      <c r="BP1256" s="80">
        <f>ROUND(BJ1256-BO1256,6)</f>
        <v>0</v>
      </c>
      <c r="BQ1256" s="80">
        <f>IF(BE1256=1,AW1256,0)</f>
        <v>0</v>
      </c>
      <c r="BR1256" s="80">
        <f>IF(BE1256=1,AX1256,0)</f>
        <v>0</v>
      </c>
      <c r="BS1256" s="80">
        <f>IF(AND(BE1256=1,D1256="Malcolm",BA1256&gt;0),MIN(BH1256,SUMPRODUCT((R_Emp="proMX")*(R_EN&gt;0)*((R_EN-(R_EN&gt;BR1256)*(R_EN-BR1256))&gt;(R_SN+(R_SN&lt;BQ1256)*(BQ1256-R_SN)))*((R_EN-(R_EN&gt;BR1256)*(R_EN-BR1256))-(R_SN+(R_SN&lt;BQ1256)*(BQ1256-R_SN))))/60),0)</f>
        <v>0</v>
      </c>
      <c r="BT1256" s="80">
        <f>IF(AND(BE1256=1,D1256="proMX"),ROUND(BI1256*CFG_RATE+BJ1256*CFG_OTRATE,6),0)</f>
        <v>0</v>
      </c>
      <c r="BU1256" s="80">
        <f>IF(AND(BD1256=1,D1256="proMX"),ROUND(AG1256/CFG_BLK,6),0)</f>
        <v>0</v>
      </c>
      <c r="BV1256" s="80" t="str">
        <f>IF(BF1256="Approved",IF(ISNUMBER(T1256),INT(T1256),INT(B1256)),"")</f>
        <v/>
      </c>
      <c r="BW1256" s="80">
        <f>IF(ISNUMBER(B1256),IF(DB_MON="Todos",1,IF(AND(INT(B1256)&gt;=DB_MS,INT(B1256)&lt;=DB_ME),1,0)),0)</f>
        <v>0</v>
      </c>
      <c r="BX1256" s="80">
        <f>IF(DB_PROJ="Todos",1,IF(E1256&amp;""=DB_PROJ&amp;"",1,0))</f>
        <v>1</v>
      </c>
      <c r="BY1256" s="80">
        <f>BW1256*BX1256</f>
        <v>0</v>
      </c>
      <c r="BZ1256" s="80" t="str">
        <f>IF(Y1256=1,F1256&amp;IF(AND(F1256&amp;""&lt;&gt;"",E1256&amp;""&lt;&gt;"")," · ","")&amp;E1256,"")</f>
        <v/>
      </c>
      <c r="CA1256" s="80" t="str">
        <f>IF(AND(BD1256=1,E1256&amp;""&lt;&gt;""),IF(COUNTIFS($E$5:E1255,E1256,$BD$5:BD1255,1)=0,MAX($CA$5:CA1255)+1,""),"")</f>
        <v/>
      </c>
      <c r="CB1256" s="80" t="str">
        <f>IF(AND(BE1256=1,D1256="Malcolm",E1256&amp;""&lt;&gt;""),IF(COUNTIFS($D$5:D1255,"Malcolm",$E$5:E1255,E1256,$BE$5:BE1255,1)=0,MAX($CB$5:CB1255)+1,""),"")</f>
        <v/>
      </c>
      <c r="CC1256" s="80" t="str">
        <f>IF(AND(BD1256=1,D1256="proMX",E1256&amp;""&lt;&gt;""),IF(COUNTIFS($D$5:D1255,"proMX",$E$5:E1255,E1256,$BD$5:BD1255,1)=0,MAX($CC$5:CC1255)+1,""),"")</f>
        <v/>
      </c>
      <c r="CD1256" s="80" t="str">
        <f>IF(AND(BE1256=1,D1256="Malcolm",F1256&amp;""&lt;&gt;""),IF(COUNTIFS($D$5:D1255,"Malcolm",$F$5:F1255,F1256,$BE$5:BE1255,1)=0,MAX($CD$5:CD1255)+1,""),"")</f>
        <v/>
      </c>
      <c r="CE1256" s="80" t="str">
        <f>IF(AND(BD1256=1,D1256="proMX",F1256&amp;""&lt;&gt;""),IF(COUNTIFS($D$5:D1255,"proMX",$F$5:F1255,F1256,$BD$5:BD1255,1)=0,MAX($CE$5:CE1255)+1,""),"")</f>
        <v/>
      </c>
      <c r="CF1256" s="80" t="str">
        <f>IF(AND(D1256="proMX",BD1256=1),IF(OR(BF1256="Draft",BF1256="Submitted",BF1256="Returned",BF1256="Recall Requested"),MAX($CF$5:CF1255)+1,""),"")</f>
        <v/>
      </c>
      <c r="CG1256" s="80">
        <f>IF(BD1256=0,0,IF(D1256="Malcolm",1,MATCH(BF1256,{"Draft","Submitted","Approved","Returned","Recall Requested","Cancelled"},0)+1))</f>
        <v>0</v>
      </c>
      <c r="CH1256" s="80">
        <f>IF(AND(BF1256="Submitted",ISNUMBER(V1256)),IF(V1256&gt;CFG_MAXD,1,0),0)</f>
        <v>0</v>
      </c>
    </row>
    <row r="1257">
      <c r="A1257" s="71" t="str">
        <f>IF(Y1257=1,ROW()-5,"")</f>
        <v/>
      </c>
      <c r="B1257" s="72" t="n"/>
      <c r="C1257" s="71" t="str">
        <f>IF(ISNUMBER(B1257),CHOOSE(WEEKDAY(B1257,2),"Lun","Mar","Mié","Jue","Vie","Sáb","Dom"),"")</f>
        <v/>
      </c>
      <c r="D1257" s="73" t="n"/>
      <c r="E1257" s="74" t="n"/>
      <c r="F1257" s="74" t="n"/>
      <c r="G1257" s="74" t="n"/>
      <c r="H1257" s="75" t="n"/>
      <c r="I1257" s="75" t="n"/>
      <c r="J1257" s="76" t="n"/>
      <c r="K1257" s="77" t="str">
        <f>IF(AB1257=1,ROUND(AG1257/60,4),"")</f>
        <v/>
      </c>
      <c r="L1257" s="77" t="str">
        <f>IF(BD1257=1,ROUND(AP1257/60,4),"")</f>
        <v/>
      </c>
      <c r="M1257" s="77" t="str">
        <f>IF(BD1257=1,ROUND(AQ1257/60,4),"")</f>
        <v/>
      </c>
      <c r="N1257" s="71" t="str">
        <f>IF(AND(D1257="proMX",AB1257=1),ROUND(AG1257/CFG_BLK,2),"")</f>
        <v/>
      </c>
      <c r="O1257" s="77" t="str">
        <f>IF(D1257="proMX",IF(BD1257=1,ROUND(AG1257/60,4),0),"")</f>
        <v/>
      </c>
      <c r="P1257" s="78" t="str">
        <f>IF(Y1257=0,"",IF(BD1257=1,"OK",IF(D1257="proMX","Revisar bloques: ","Revisar: ")&amp;BC1257))</f>
        <v/>
      </c>
      <c r="Q1257" s="78" t="str">
        <f>IF(NOT(ISNUMBER(B1257)),"",IF(COUNTIFS(FER_F,INT(B1257))&gt;0,"Feriado"&amp;IF(AH1257=1," (laborable)"," (no laborable)"),IF(AH1257=1,"Laborable",IF(WEEKDAY(B1257,2)&gt;5,"Fin de semana","No laborable"))))</f>
        <v/>
      </c>
      <c r="R1257" s="73" t="n"/>
      <c r="S1257" s="72" t="n"/>
      <c r="T1257" s="72" t="n"/>
      <c r="U1257" s="74" t="n"/>
      <c r="V1257" s="79" t="str">
        <f>IF(AND(D1257="proMX",OR(R1257="Submitted",R1257="Recall Requested"),ISNUMBER(S1257)),CFG_TODAY-INT(S1257),"")</f>
        <v/>
      </c>
      <c r="W1257" s="78" t="str">
        <f>IF(BD1257=0,"",IF(BA1257&gt;0,"⚠ Se superpone con un registro de la otra empresa",IF(D1257="Malcolm",IF(COUNTA(R1257,S1257,T1257)&gt;0,"Estado/fechas proMX se ignoran en Malcolm",""),IF(BF1257="Cancelled","Cancelado: excluido de totales",IF(R1257="","Sin estado: se trata como Draft",IF(BF1257="Submitted",IF(ISNUMBER(V1257),IF(V1257&gt;CFG_MAXD,"⚠ "&amp;V1257&amp;" días en Submitted (máx. "&amp;CFG_MAXD&amp;")",""),"Falta fecha de envío"),IF(BF1257="Returned","⚠ Devuelto: corregir y reenviar",IF(BF1257="Recall Requested","Retirada solicitada: pendiente",IF(AND(BF1257="Approved",NOT(ISNUMBER(T1257))),"Falta fecha de aprobación",IF(AND(ISNUMBER(S1257),ISNUMBER(T1257),T1257&lt;S1257),"Aprobación anterior al envío","")))))))))</f>
        <v/>
      </c>
      <c r="Y1257" s="80">
        <f>IF(COUNTA(B1257,D1257,E1257,F1257,G1257,H1257,I1257,J1257,R1257,S1257,T1257)&gt;0,1,0)</f>
        <v>0</v>
      </c>
      <c r="Z1257" s="80" t="str">
        <f>IF(AND(ISNUMBER(H1257),H1257&gt;=0,H1257&lt;1),ROUND(H1257*1440,0),"")</f>
        <v/>
      </c>
      <c r="AA1257" s="80" t="str">
        <f>IF(AND(ISNUMBER(I1257),I1257&gt;=0,I1257&lt;1),ROUND(I1257*1440,0),"")</f>
        <v/>
      </c>
      <c r="AB1257" s="80">
        <f>IF(AND(ISNUMBER(B1257),D1257&lt;&gt;"",ISNUMBER(Z1257),ISNUMBER(AA1257)),IF(Z1257=AA1257,0,1),0)</f>
        <v>0</v>
      </c>
      <c r="AC1257" s="80">
        <f>IF(AB1257=1,IF(AA1257&lt;Z1257,1,0),0)</f>
        <v>0</v>
      </c>
      <c r="AD1257" s="80">
        <f>IF(AB1257=1,IF(AC1257=1,1440-Z1257+AA1257,AA1257-Z1257),0)</f>
        <v>0</v>
      </c>
      <c r="AE1257" s="80">
        <f>IF(J1257="",0,IF(ISNUMBER(J1257),J1257,-1))</f>
        <v>0</v>
      </c>
      <c r="AF1257" s="80">
        <f>MIN(MAX(0,AE1257),AD1257)</f>
        <v>0</v>
      </c>
      <c r="AG1257" s="80">
        <f>MAX(0,AD1257-MAX(0,AE1257))</f>
        <v>0</v>
      </c>
      <c r="AH1257" s="80">
        <f>IF(ISNUMBER(B1257),IF(AND(INDEX(CFG_WDAYS,WEEKDAY(INT(B1257),2))="Sí",IF(D1257="proMX",COUNTIFS(FER_F,INT(B1257),FER_NLP,"Sí"),COUNTIFS(FER_F,INT(B1257),FER_NLM,"Sí"))=0),1,0),0)</f>
        <v>0</v>
      </c>
      <c r="AI1257" s="80">
        <f>IF(AC1257=1,IF(AND(INDEX(CFG_WDAYS,WEEKDAY(INT(B1257)+1,2))="Sí",IF(D1257="proMX",COUNTIFS(FER_F,INT(B1257)+1,FER_NLP,"Sí"),COUNTIFS(FER_F,INT(B1257)+1,FER_NLM,"Sí"))=0),1,0),0)</f>
        <v>0</v>
      </c>
      <c r="AJ1257" s="80">
        <f>IF(AC1257=1,1440-Z1257,AD1257)</f>
        <v>0</v>
      </c>
      <c r="AK1257" s="80">
        <f>IF(AND(AB1257=1,AH1257=1),MAX(0,MIN(IF(AC1257=1,1440,AA1257),CFG_WEM)-MAX(Z1257,CFG_WSM)),0)</f>
        <v>0</v>
      </c>
      <c r="AL1257" s="80">
        <f>IF(AND(AC1257=1,AI1257=1),MAX(0,MIN(AA1257,CFG_WEM)-CFG_WSM),0)</f>
        <v>0</v>
      </c>
      <c r="AM1257" s="80">
        <f>AK1257+AL1257</f>
        <v>0</v>
      </c>
      <c r="AN1257" s="80">
        <f>IF(CFG_BRK="Proporcional",IF(AD1257=0,0,AF1257*AM1257/AD1257),IF(CFG_BRK="Extras primero",MIN(AM1257,MAX(0,AF1257-(AD1257-AM1257))),MIN(AF1257,AM1257)))</f>
        <v>0</v>
      </c>
      <c r="AO1257" s="80">
        <f>AF1257-AN1257</f>
        <v>0</v>
      </c>
      <c r="AP1257" s="80">
        <f>AM1257-AN1257</f>
        <v>0</v>
      </c>
      <c r="AQ1257" s="80">
        <f>AD1257-AM1257-AO1257</f>
        <v>0</v>
      </c>
      <c r="AR1257" s="80">
        <f>IF(AM1257=0,0,AK1257-AN1257*AK1257/AM1257)</f>
        <v>0</v>
      </c>
      <c r="AS1257" s="80">
        <f>IF(AD1257-AM1257=0,0,(AJ1257-AK1257)-AO1257*(AJ1257-AK1257)/(AD1257-AM1257))</f>
        <v>0</v>
      </c>
      <c r="AT1257" s="80" t="str">
        <f>IF(AC1257=1,INT(B1257)+1,"")</f>
        <v/>
      </c>
      <c r="AU1257" s="80">
        <f>IF(AND(D1257="proMX",R1257="Cancelled"),0,1)</f>
        <v>1</v>
      </c>
      <c r="AV1257" s="80">
        <f>IF(AND(AB1257=1,AU1257=1),IF(COUNTIFS($D$5:D1256,D1257,$B$5:B1256,B1257,$Z$5:Z1256,Z1257,$AA$5:AA1256,AA1257,$F$5:F1256,F1257&amp;"",$AU$5:AU1256,1)&gt;0,1,0),0)</f>
        <v>0</v>
      </c>
      <c r="AW1257" s="80" t="str">
        <f>IF(AB1257=1,INT(B1257)*1440+Z1257,"")</f>
        <v/>
      </c>
      <c r="AX1257" s="80" t="str">
        <f>IF(AB1257=1,AW1257+AD1257,"")</f>
        <v/>
      </c>
      <c r="AY1257" s="80">
        <f>IF(AND(AB1257=1,AV1257=0,AU1257=1),1,0)</f>
        <v>0</v>
      </c>
      <c r="AZ1257" s="80">
        <f>IF(AY1257=1,COUNTIFS(R_Emp,D1257,R_SAbs,"&lt;"&amp;AX1257,R_EAbs,"&gt;"&amp;AW1257,R_OKey,1)-1,0)</f>
        <v>0</v>
      </c>
      <c r="BA1257" s="80">
        <f>IF(AY1257=1,COUNTIFS(R_Emp,"&lt;&gt;"&amp;D1257,R_SAbs,"&lt;"&amp;AX1257,R_EAbs,"&gt;"&amp;AW1257,R_OKey,1),0)</f>
        <v>0</v>
      </c>
      <c r="BB1257" s="80">
        <f>IF(AND(AB1257=1,D1257="proMX"),IF(AND(MOD(Z1257,CFG_BLK)=0,MOD(AA1257,CFG_BLK)=0,MOD(AG1257,CFG_BLK)=0,AG1257&gt;0),1,0),1)</f>
        <v>1</v>
      </c>
      <c r="BC1257" s="80" t="str">
        <f>IF(Y1257=0,"",IF(NOT(ISNUMBER(B1257)),"Falta fecha o fecha inválida",IF(D1257="","Falta empresa",IF(AND(D1257&lt;&gt;"Malcolm",D1257&lt;&gt;"proMX"),"Empresa inválida",IF(OR(INT(B1257)&lt;CFG_PSTART,INT(B1257)&gt;CFG_PEND),"Fecha fuera del período",IF(OR(NOT(ISNUMBER(Z1257)),NOT(ISNUMBER(AA1257))),"Falta hora inicio/fin o formato inválido",IF(AB1257=0,"Hora inicio = hora fin",IF(AE1257&lt;0,"Descanso inválido",IF(AE1257&gt;=AD1257,"Descanso ≥ duración",IF(AV1257=1,"Registro duplicado",IF(AZ1257&gt;0,"Se superpone con otro registro "&amp;D1257,IF(BB1257=0,"inicio, fin y duración neta deben ser múltiplos de "&amp;CFG_BLK&amp;" min",""))))))))))))</f>
        <v/>
      </c>
      <c r="BD1257" s="80">
        <f>IF(AND(Y1257=1,BC1257=""),1,0)</f>
        <v>0</v>
      </c>
      <c r="BE1257" s="80">
        <f>IF(AND(BD1257=1,AU1257=1),1,0)</f>
        <v>0</v>
      </c>
      <c r="BF1257" s="80" t="str">
        <f>IF(AND(D1257="proMX",BD1257=1),IF(R1257="","Draft",R1257),"")</f>
        <v/>
      </c>
      <c r="BG1257" s="80">
        <f>IF(BD1257=1,ROUND(AG1257/60,6),0)</f>
        <v>0</v>
      </c>
      <c r="BH1257" s="80">
        <f>IF(BE1257=1,ROUND(AG1257/60,6),0)</f>
        <v>0</v>
      </c>
      <c r="BI1257" s="80">
        <f>IF(BE1257=1,ROUND(AP1257/60,6),0)</f>
        <v>0</v>
      </c>
      <c r="BJ1257" s="80">
        <f>IF(BE1257=1,ROUND(AQ1257/60,6),0)</f>
        <v>0</v>
      </c>
      <c r="BK1257" s="80">
        <f>IF(BE1257=1,ROUND((AR1257+AS1257)/60,6),0)</f>
        <v>0</v>
      </c>
      <c r="BL1257" s="80">
        <f>ROUND(BH1257-BK1257,6)</f>
        <v>0</v>
      </c>
      <c r="BM1257" s="80">
        <f>IF(BE1257=1,ROUND(AR1257/60,6),0)</f>
        <v>0</v>
      </c>
      <c r="BN1257" s="80">
        <f>ROUND(BI1257-BM1257,6)</f>
        <v>0</v>
      </c>
      <c r="BO1257" s="80">
        <f>IF(BE1257=1,ROUND(AS1257/60,6),0)</f>
        <v>0</v>
      </c>
      <c r="BP1257" s="80">
        <f>ROUND(BJ1257-BO1257,6)</f>
        <v>0</v>
      </c>
      <c r="BQ1257" s="80">
        <f>IF(BE1257=1,AW1257,0)</f>
        <v>0</v>
      </c>
      <c r="BR1257" s="80">
        <f>IF(BE1257=1,AX1257,0)</f>
        <v>0</v>
      </c>
      <c r="BS1257" s="80">
        <f>IF(AND(BE1257=1,D1257="Malcolm",BA1257&gt;0),MIN(BH1257,SUMPRODUCT((R_Emp="proMX")*(R_EN&gt;0)*((R_EN-(R_EN&gt;BR1257)*(R_EN-BR1257))&gt;(R_SN+(R_SN&lt;BQ1257)*(BQ1257-R_SN)))*((R_EN-(R_EN&gt;BR1257)*(R_EN-BR1257))-(R_SN+(R_SN&lt;BQ1257)*(BQ1257-R_SN))))/60),0)</f>
        <v>0</v>
      </c>
      <c r="BT1257" s="80">
        <f>IF(AND(BE1257=1,D1257="proMX"),ROUND(BI1257*CFG_RATE+BJ1257*CFG_OTRATE,6),0)</f>
        <v>0</v>
      </c>
      <c r="BU1257" s="80">
        <f>IF(AND(BD1257=1,D1257="proMX"),ROUND(AG1257/CFG_BLK,6),0)</f>
        <v>0</v>
      </c>
      <c r="BV1257" s="80" t="str">
        <f>IF(BF1257="Approved",IF(ISNUMBER(T1257),INT(T1257),INT(B1257)),"")</f>
        <v/>
      </c>
      <c r="BW1257" s="80">
        <f>IF(ISNUMBER(B1257),IF(DB_MON="Todos",1,IF(AND(INT(B1257)&gt;=DB_MS,INT(B1257)&lt;=DB_ME),1,0)),0)</f>
        <v>0</v>
      </c>
      <c r="BX1257" s="80">
        <f>IF(DB_PROJ="Todos",1,IF(E1257&amp;""=DB_PROJ&amp;"",1,0))</f>
        <v>1</v>
      </c>
      <c r="BY1257" s="80">
        <f>BW1257*BX1257</f>
        <v>0</v>
      </c>
      <c r="BZ1257" s="80" t="str">
        <f>IF(Y1257=1,F1257&amp;IF(AND(F1257&amp;""&lt;&gt;"",E1257&amp;""&lt;&gt;"")," · ","")&amp;E1257,"")</f>
        <v/>
      </c>
      <c r="CA1257" s="80" t="str">
        <f>IF(AND(BD1257=1,E1257&amp;""&lt;&gt;""),IF(COUNTIFS($E$5:E1256,E1257,$BD$5:BD1256,1)=0,MAX($CA$5:CA1256)+1,""),"")</f>
        <v/>
      </c>
      <c r="CB1257" s="80" t="str">
        <f>IF(AND(BE1257=1,D1257="Malcolm",E1257&amp;""&lt;&gt;""),IF(COUNTIFS($D$5:D1256,"Malcolm",$E$5:E1256,E1257,$BE$5:BE1256,1)=0,MAX($CB$5:CB1256)+1,""),"")</f>
        <v/>
      </c>
      <c r="CC1257" s="80" t="str">
        <f>IF(AND(BD1257=1,D1257="proMX",E1257&amp;""&lt;&gt;""),IF(COUNTIFS($D$5:D1256,"proMX",$E$5:E1256,E1257,$BD$5:BD1256,1)=0,MAX($CC$5:CC1256)+1,""),"")</f>
        <v/>
      </c>
      <c r="CD1257" s="80" t="str">
        <f>IF(AND(BE1257=1,D1257="Malcolm",F1257&amp;""&lt;&gt;""),IF(COUNTIFS($D$5:D1256,"Malcolm",$F$5:F1256,F1257,$BE$5:BE1256,1)=0,MAX($CD$5:CD1256)+1,""),"")</f>
        <v/>
      </c>
      <c r="CE1257" s="80" t="str">
        <f>IF(AND(BD1257=1,D1257="proMX",F1257&amp;""&lt;&gt;""),IF(COUNTIFS($D$5:D1256,"proMX",$F$5:F1256,F1257,$BD$5:BD1256,1)=0,MAX($CE$5:CE1256)+1,""),"")</f>
        <v/>
      </c>
      <c r="CF1257" s="80" t="str">
        <f>IF(AND(D1257="proMX",BD1257=1),IF(OR(BF1257="Draft",BF1257="Submitted",BF1257="Returned",BF1257="Recall Requested"),MAX($CF$5:CF1256)+1,""),"")</f>
        <v/>
      </c>
      <c r="CG1257" s="80">
        <f>IF(BD1257=0,0,IF(D1257="Malcolm",1,MATCH(BF1257,{"Draft","Submitted","Approved","Returned","Recall Requested","Cancelled"},0)+1))</f>
        <v>0</v>
      </c>
      <c r="CH1257" s="80">
        <f>IF(AND(BF1257="Submitted",ISNUMBER(V1257)),IF(V1257&gt;CFG_MAXD,1,0),0)</f>
        <v>0</v>
      </c>
    </row>
    <row r="1258">
      <c r="A1258" s="71" t="str">
        <f>IF(Y1258=1,ROW()-5,"")</f>
        <v/>
      </c>
      <c r="B1258" s="72" t="n"/>
      <c r="C1258" s="71" t="str">
        <f>IF(ISNUMBER(B1258),CHOOSE(WEEKDAY(B1258,2),"Lun","Mar","Mié","Jue","Vie","Sáb","Dom"),"")</f>
        <v/>
      </c>
      <c r="D1258" s="73" t="n"/>
      <c r="E1258" s="74" t="n"/>
      <c r="F1258" s="74" t="n"/>
      <c r="G1258" s="74" t="n"/>
      <c r="H1258" s="75" t="n"/>
      <c r="I1258" s="75" t="n"/>
      <c r="J1258" s="76" t="n"/>
      <c r="K1258" s="77" t="str">
        <f>IF(AB1258=1,ROUND(AG1258/60,4),"")</f>
        <v/>
      </c>
      <c r="L1258" s="77" t="str">
        <f>IF(BD1258=1,ROUND(AP1258/60,4),"")</f>
        <v/>
      </c>
      <c r="M1258" s="77" t="str">
        <f>IF(BD1258=1,ROUND(AQ1258/60,4),"")</f>
        <v/>
      </c>
      <c r="N1258" s="71" t="str">
        <f>IF(AND(D1258="proMX",AB1258=1),ROUND(AG1258/CFG_BLK,2),"")</f>
        <v/>
      </c>
      <c r="O1258" s="77" t="str">
        <f>IF(D1258="proMX",IF(BD1258=1,ROUND(AG1258/60,4),0),"")</f>
        <v/>
      </c>
      <c r="P1258" s="78" t="str">
        <f>IF(Y1258=0,"",IF(BD1258=1,"OK",IF(D1258="proMX","Revisar bloques: ","Revisar: ")&amp;BC1258))</f>
        <v/>
      </c>
      <c r="Q1258" s="78" t="str">
        <f>IF(NOT(ISNUMBER(B1258)),"",IF(COUNTIFS(FER_F,INT(B1258))&gt;0,"Feriado"&amp;IF(AH1258=1," (laborable)"," (no laborable)"),IF(AH1258=1,"Laborable",IF(WEEKDAY(B1258,2)&gt;5,"Fin de semana","No laborable"))))</f>
        <v/>
      </c>
      <c r="R1258" s="73" t="n"/>
      <c r="S1258" s="72" t="n"/>
      <c r="T1258" s="72" t="n"/>
      <c r="U1258" s="74" t="n"/>
      <c r="V1258" s="79" t="str">
        <f>IF(AND(D1258="proMX",OR(R1258="Submitted",R1258="Recall Requested"),ISNUMBER(S1258)),CFG_TODAY-INT(S1258),"")</f>
        <v/>
      </c>
      <c r="W1258" s="78" t="str">
        <f>IF(BD1258=0,"",IF(BA1258&gt;0,"⚠ Se superpone con un registro de la otra empresa",IF(D1258="Malcolm",IF(COUNTA(R1258,S1258,T1258)&gt;0,"Estado/fechas proMX se ignoran en Malcolm",""),IF(BF1258="Cancelled","Cancelado: excluido de totales",IF(R1258="","Sin estado: se trata como Draft",IF(BF1258="Submitted",IF(ISNUMBER(V1258),IF(V1258&gt;CFG_MAXD,"⚠ "&amp;V1258&amp;" días en Submitted (máx. "&amp;CFG_MAXD&amp;")",""),"Falta fecha de envío"),IF(BF1258="Returned","⚠ Devuelto: corregir y reenviar",IF(BF1258="Recall Requested","Retirada solicitada: pendiente",IF(AND(BF1258="Approved",NOT(ISNUMBER(T1258))),"Falta fecha de aprobación",IF(AND(ISNUMBER(S1258),ISNUMBER(T1258),T1258&lt;S1258),"Aprobación anterior al envío","")))))))))</f>
        <v/>
      </c>
      <c r="Y1258" s="80">
        <f>IF(COUNTA(B1258,D1258,E1258,F1258,G1258,H1258,I1258,J1258,R1258,S1258,T1258)&gt;0,1,0)</f>
        <v>0</v>
      </c>
      <c r="Z1258" s="80" t="str">
        <f>IF(AND(ISNUMBER(H1258),H1258&gt;=0,H1258&lt;1),ROUND(H1258*1440,0),"")</f>
        <v/>
      </c>
      <c r="AA1258" s="80" t="str">
        <f>IF(AND(ISNUMBER(I1258),I1258&gt;=0,I1258&lt;1),ROUND(I1258*1440,0),"")</f>
        <v/>
      </c>
      <c r="AB1258" s="80">
        <f>IF(AND(ISNUMBER(B1258),D1258&lt;&gt;"",ISNUMBER(Z1258),ISNUMBER(AA1258)),IF(Z1258=AA1258,0,1),0)</f>
        <v>0</v>
      </c>
      <c r="AC1258" s="80">
        <f>IF(AB1258=1,IF(AA1258&lt;Z1258,1,0),0)</f>
        <v>0</v>
      </c>
      <c r="AD1258" s="80">
        <f>IF(AB1258=1,IF(AC1258=1,1440-Z1258+AA1258,AA1258-Z1258),0)</f>
        <v>0</v>
      </c>
      <c r="AE1258" s="80">
        <f>IF(J1258="",0,IF(ISNUMBER(J1258),J1258,-1))</f>
        <v>0</v>
      </c>
      <c r="AF1258" s="80">
        <f>MIN(MAX(0,AE1258),AD1258)</f>
        <v>0</v>
      </c>
      <c r="AG1258" s="80">
        <f>MAX(0,AD1258-MAX(0,AE1258))</f>
        <v>0</v>
      </c>
      <c r="AH1258" s="80">
        <f>IF(ISNUMBER(B1258),IF(AND(INDEX(CFG_WDAYS,WEEKDAY(INT(B1258),2))="Sí",IF(D1258="proMX",COUNTIFS(FER_F,INT(B1258),FER_NLP,"Sí"),COUNTIFS(FER_F,INT(B1258),FER_NLM,"Sí"))=0),1,0),0)</f>
        <v>0</v>
      </c>
      <c r="AI1258" s="80">
        <f>IF(AC1258=1,IF(AND(INDEX(CFG_WDAYS,WEEKDAY(INT(B1258)+1,2))="Sí",IF(D1258="proMX",COUNTIFS(FER_F,INT(B1258)+1,FER_NLP,"Sí"),COUNTIFS(FER_F,INT(B1258)+1,FER_NLM,"Sí"))=0),1,0),0)</f>
        <v>0</v>
      </c>
      <c r="AJ1258" s="80">
        <f>IF(AC1258=1,1440-Z1258,AD1258)</f>
        <v>0</v>
      </c>
      <c r="AK1258" s="80">
        <f>IF(AND(AB1258=1,AH1258=1),MAX(0,MIN(IF(AC1258=1,1440,AA1258),CFG_WEM)-MAX(Z1258,CFG_WSM)),0)</f>
        <v>0</v>
      </c>
      <c r="AL1258" s="80">
        <f>IF(AND(AC1258=1,AI1258=1),MAX(0,MIN(AA1258,CFG_WEM)-CFG_WSM),0)</f>
        <v>0</v>
      </c>
      <c r="AM1258" s="80">
        <f>AK1258+AL1258</f>
        <v>0</v>
      </c>
      <c r="AN1258" s="80">
        <f>IF(CFG_BRK="Proporcional",IF(AD1258=0,0,AF1258*AM1258/AD1258),IF(CFG_BRK="Extras primero",MIN(AM1258,MAX(0,AF1258-(AD1258-AM1258))),MIN(AF1258,AM1258)))</f>
        <v>0</v>
      </c>
      <c r="AO1258" s="80">
        <f>AF1258-AN1258</f>
        <v>0</v>
      </c>
      <c r="AP1258" s="80">
        <f>AM1258-AN1258</f>
        <v>0</v>
      </c>
      <c r="AQ1258" s="80">
        <f>AD1258-AM1258-AO1258</f>
        <v>0</v>
      </c>
      <c r="AR1258" s="80">
        <f>IF(AM1258=0,0,AK1258-AN1258*AK1258/AM1258)</f>
        <v>0</v>
      </c>
      <c r="AS1258" s="80">
        <f>IF(AD1258-AM1258=0,0,(AJ1258-AK1258)-AO1258*(AJ1258-AK1258)/(AD1258-AM1258))</f>
        <v>0</v>
      </c>
      <c r="AT1258" s="80" t="str">
        <f>IF(AC1258=1,INT(B1258)+1,"")</f>
        <v/>
      </c>
      <c r="AU1258" s="80">
        <f>IF(AND(D1258="proMX",R1258="Cancelled"),0,1)</f>
        <v>1</v>
      </c>
      <c r="AV1258" s="80">
        <f>IF(AND(AB1258=1,AU1258=1),IF(COUNTIFS($D$5:D1257,D1258,$B$5:B1257,B1258,$Z$5:Z1257,Z1258,$AA$5:AA1257,AA1258,$F$5:F1257,F1258&amp;"",$AU$5:AU1257,1)&gt;0,1,0),0)</f>
        <v>0</v>
      </c>
      <c r="AW1258" s="80" t="str">
        <f>IF(AB1258=1,INT(B1258)*1440+Z1258,"")</f>
        <v/>
      </c>
      <c r="AX1258" s="80" t="str">
        <f>IF(AB1258=1,AW1258+AD1258,"")</f>
        <v/>
      </c>
      <c r="AY1258" s="80">
        <f>IF(AND(AB1258=1,AV1258=0,AU1258=1),1,0)</f>
        <v>0</v>
      </c>
      <c r="AZ1258" s="80">
        <f>IF(AY1258=1,COUNTIFS(R_Emp,D1258,R_SAbs,"&lt;"&amp;AX1258,R_EAbs,"&gt;"&amp;AW1258,R_OKey,1)-1,0)</f>
        <v>0</v>
      </c>
      <c r="BA1258" s="80">
        <f>IF(AY1258=1,COUNTIFS(R_Emp,"&lt;&gt;"&amp;D1258,R_SAbs,"&lt;"&amp;AX1258,R_EAbs,"&gt;"&amp;AW1258,R_OKey,1),0)</f>
        <v>0</v>
      </c>
      <c r="BB1258" s="80">
        <f>IF(AND(AB1258=1,D1258="proMX"),IF(AND(MOD(Z1258,CFG_BLK)=0,MOD(AA1258,CFG_BLK)=0,MOD(AG1258,CFG_BLK)=0,AG1258&gt;0),1,0),1)</f>
        <v>1</v>
      </c>
      <c r="BC1258" s="80" t="str">
        <f>IF(Y1258=0,"",IF(NOT(ISNUMBER(B1258)),"Falta fecha o fecha inválida",IF(D1258="","Falta empresa",IF(AND(D1258&lt;&gt;"Malcolm",D1258&lt;&gt;"proMX"),"Empresa inválida",IF(OR(INT(B1258)&lt;CFG_PSTART,INT(B1258)&gt;CFG_PEND),"Fecha fuera del período",IF(OR(NOT(ISNUMBER(Z1258)),NOT(ISNUMBER(AA1258))),"Falta hora inicio/fin o formato inválido",IF(AB1258=0,"Hora inicio = hora fin",IF(AE1258&lt;0,"Descanso inválido",IF(AE1258&gt;=AD1258,"Descanso ≥ duración",IF(AV1258=1,"Registro duplicado",IF(AZ1258&gt;0,"Se superpone con otro registro "&amp;D1258,IF(BB1258=0,"inicio, fin y duración neta deben ser múltiplos de "&amp;CFG_BLK&amp;" min",""))))))))))))</f>
        <v/>
      </c>
      <c r="BD1258" s="80">
        <f>IF(AND(Y1258=1,BC1258=""),1,0)</f>
        <v>0</v>
      </c>
      <c r="BE1258" s="80">
        <f>IF(AND(BD1258=1,AU1258=1),1,0)</f>
        <v>0</v>
      </c>
      <c r="BF1258" s="80" t="str">
        <f>IF(AND(D1258="proMX",BD1258=1),IF(R1258="","Draft",R1258),"")</f>
        <v/>
      </c>
      <c r="BG1258" s="80">
        <f>IF(BD1258=1,ROUND(AG1258/60,6),0)</f>
        <v>0</v>
      </c>
      <c r="BH1258" s="80">
        <f>IF(BE1258=1,ROUND(AG1258/60,6),0)</f>
        <v>0</v>
      </c>
      <c r="BI1258" s="80">
        <f>IF(BE1258=1,ROUND(AP1258/60,6),0)</f>
        <v>0</v>
      </c>
      <c r="BJ1258" s="80">
        <f>IF(BE1258=1,ROUND(AQ1258/60,6),0)</f>
        <v>0</v>
      </c>
      <c r="BK1258" s="80">
        <f>IF(BE1258=1,ROUND((AR1258+AS1258)/60,6),0)</f>
        <v>0</v>
      </c>
      <c r="BL1258" s="80">
        <f>ROUND(BH1258-BK1258,6)</f>
        <v>0</v>
      </c>
      <c r="BM1258" s="80">
        <f>IF(BE1258=1,ROUND(AR1258/60,6),0)</f>
        <v>0</v>
      </c>
      <c r="BN1258" s="80">
        <f>ROUND(BI1258-BM1258,6)</f>
        <v>0</v>
      </c>
      <c r="BO1258" s="80">
        <f>IF(BE1258=1,ROUND(AS1258/60,6),0)</f>
        <v>0</v>
      </c>
      <c r="BP1258" s="80">
        <f>ROUND(BJ1258-BO1258,6)</f>
        <v>0</v>
      </c>
      <c r="BQ1258" s="80">
        <f>IF(BE1258=1,AW1258,0)</f>
        <v>0</v>
      </c>
      <c r="BR1258" s="80">
        <f>IF(BE1258=1,AX1258,0)</f>
        <v>0</v>
      </c>
      <c r="BS1258" s="80">
        <f>IF(AND(BE1258=1,D1258="Malcolm",BA1258&gt;0),MIN(BH1258,SUMPRODUCT((R_Emp="proMX")*(R_EN&gt;0)*((R_EN-(R_EN&gt;BR1258)*(R_EN-BR1258))&gt;(R_SN+(R_SN&lt;BQ1258)*(BQ1258-R_SN)))*((R_EN-(R_EN&gt;BR1258)*(R_EN-BR1258))-(R_SN+(R_SN&lt;BQ1258)*(BQ1258-R_SN))))/60),0)</f>
        <v>0</v>
      </c>
      <c r="BT1258" s="80">
        <f>IF(AND(BE1258=1,D1258="proMX"),ROUND(BI1258*CFG_RATE+BJ1258*CFG_OTRATE,6),0)</f>
        <v>0</v>
      </c>
      <c r="BU1258" s="80">
        <f>IF(AND(BD1258=1,D1258="proMX"),ROUND(AG1258/CFG_BLK,6),0)</f>
        <v>0</v>
      </c>
      <c r="BV1258" s="80" t="str">
        <f>IF(BF1258="Approved",IF(ISNUMBER(T1258),INT(T1258),INT(B1258)),"")</f>
        <v/>
      </c>
      <c r="BW1258" s="80">
        <f>IF(ISNUMBER(B1258),IF(DB_MON="Todos",1,IF(AND(INT(B1258)&gt;=DB_MS,INT(B1258)&lt;=DB_ME),1,0)),0)</f>
        <v>0</v>
      </c>
      <c r="BX1258" s="80">
        <f>IF(DB_PROJ="Todos",1,IF(E1258&amp;""=DB_PROJ&amp;"",1,0))</f>
        <v>1</v>
      </c>
      <c r="BY1258" s="80">
        <f>BW1258*BX1258</f>
        <v>0</v>
      </c>
      <c r="BZ1258" s="80" t="str">
        <f>IF(Y1258=1,F1258&amp;IF(AND(F1258&amp;""&lt;&gt;"",E1258&amp;""&lt;&gt;"")," · ","")&amp;E1258,"")</f>
        <v/>
      </c>
      <c r="CA1258" s="80" t="str">
        <f>IF(AND(BD1258=1,E1258&amp;""&lt;&gt;""),IF(COUNTIFS($E$5:E1257,E1258,$BD$5:BD1257,1)=0,MAX($CA$5:CA1257)+1,""),"")</f>
        <v/>
      </c>
      <c r="CB1258" s="80" t="str">
        <f>IF(AND(BE1258=1,D1258="Malcolm",E1258&amp;""&lt;&gt;""),IF(COUNTIFS($D$5:D1257,"Malcolm",$E$5:E1257,E1258,$BE$5:BE1257,1)=0,MAX($CB$5:CB1257)+1,""),"")</f>
        <v/>
      </c>
      <c r="CC1258" s="80" t="str">
        <f>IF(AND(BD1258=1,D1258="proMX",E1258&amp;""&lt;&gt;""),IF(COUNTIFS($D$5:D1257,"proMX",$E$5:E1257,E1258,$BD$5:BD1257,1)=0,MAX($CC$5:CC1257)+1,""),"")</f>
        <v/>
      </c>
      <c r="CD1258" s="80" t="str">
        <f>IF(AND(BE1258=1,D1258="Malcolm",F1258&amp;""&lt;&gt;""),IF(COUNTIFS($D$5:D1257,"Malcolm",$F$5:F1257,F1258,$BE$5:BE1257,1)=0,MAX($CD$5:CD1257)+1,""),"")</f>
        <v/>
      </c>
      <c r="CE1258" s="80" t="str">
        <f>IF(AND(BD1258=1,D1258="proMX",F1258&amp;""&lt;&gt;""),IF(COUNTIFS($D$5:D1257,"proMX",$F$5:F1257,F1258,$BD$5:BD1257,1)=0,MAX($CE$5:CE1257)+1,""),"")</f>
        <v/>
      </c>
      <c r="CF1258" s="80" t="str">
        <f>IF(AND(D1258="proMX",BD1258=1),IF(OR(BF1258="Draft",BF1258="Submitted",BF1258="Returned",BF1258="Recall Requested"),MAX($CF$5:CF1257)+1,""),"")</f>
        <v/>
      </c>
      <c r="CG1258" s="80">
        <f>IF(BD1258=0,0,IF(D1258="Malcolm",1,MATCH(BF1258,{"Draft","Submitted","Approved","Returned","Recall Requested","Cancelled"},0)+1))</f>
        <v>0</v>
      </c>
      <c r="CH1258" s="80">
        <f>IF(AND(BF1258="Submitted",ISNUMBER(V1258)),IF(V1258&gt;CFG_MAXD,1,0),0)</f>
        <v>0</v>
      </c>
    </row>
    <row r="1259">
      <c r="A1259" s="71" t="str">
        <f>IF(Y1259=1,ROW()-5,"")</f>
        <v/>
      </c>
      <c r="B1259" s="72" t="n"/>
      <c r="C1259" s="71" t="str">
        <f>IF(ISNUMBER(B1259),CHOOSE(WEEKDAY(B1259,2),"Lun","Mar","Mié","Jue","Vie","Sáb","Dom"),"")</f>
        <v/>
      </c>
      <c r="D1259" s="73" t="n"/>
      <c r="E1259" s="74" t="n"/>
      <c r="F1259" s="74" t="n"/>
      <c r="G1259" s="74" t="n"/>
      <c r="H1259" s="75" t="n"/>
      <c r="I1259" s="75" t="n"/>
      <c r="J1259" s="76" t="n"/>
      <c r="K1259" s="77" t="str">
        <f>IF(AB1259=1,ROUND(AG1259/60,4),"")</f>
        <v/>
      </c>
      <c r="L1259" s="77" t="str">
        <f>IF(BD1259=1,ROUND(AP1259/60,4),"")</f>
        <v/>
      </c>
      <c r="M1259" s="77" t="str">
        <f>IF(BD1259=1,ROUND(AQ1259/60,4),"")</f>
        <v/>
      </c>
      <c r="N1259" s="71" t="str">
        <f>IF(AND(D1259="proMX",AB1259=1),ROUND(AG1259/CFG_BLK,2),"")</f>
        <v/>
      </c>
      <c r="O1259" s="77" t="str">
        <f>IF(D1259="proMX",IF(BD1259=1,ROUND(AG1259/60,4),0),"")</f>
        <v/>
      </c>
      <c r="P1259" s="78" t="str">
        <f>IF(Y1259=0,"",IF(BD1259=1,"OK",IF(D1259="proMX","Revisar bloques: ","Revisar: ")&amp;BC1259))</f>
        <v/>
      </c>
      <c r="Q1259" s="78" t="str">
        <f>IF(NOT(ISNUMBER(B1259)),"",IF(COUNTIFS(FER_F,INT(B1259))&gt;0,"Feriado"&amp;IF(AH1259=1," (laborable)"," (no laborable)"),IF(AH1259=1,"Laborable",IF(WEEKDAY(B1259,2)&gt;5,"Fin de semana","No laborable"))))</f>
        <v/>
      </c>
      <c r="R1259" s="73" t="n"/>
      <c r="S1259" s="72" t="n"/>
      <c r="T1259" s="72" t="n"/>
      <c r="U1259" s="74" t="n"/>
      <c r="V1259" s="79" t="str">
        <f>IF(AND(D1259="proMX",OR(R1259="Submitted",R1259="Recall Requested"),ISNUMBER(S1259)),CFG_TODAY-INT(S1259),"")</f>
        <v/>
      </c>
      <c r="W1259" s="78" t="str">
        <f>IF(BD1259=0,"",IF(BA1259&gt;0,"⚠ Se superpone con un registro de la otra empresa",IF(D1259="Malcolm",IF(COUNTA(R1259,S1259,T1259)&gt;0,"Estado/fechas proMX se ignoran en Malcolm",""),IF(BF1259="Cancelled","Cancelado: excluido de totales",IF(R1259="","Sin estado: se trata como Draft",IF(BF1259="Submitted",IF(ISNUMBER(V1259),IF(V1259&gt;CFG_MAXD,"⚠ "&amp;V1259&amp;" días en Submitted (máx. "&amp;CFG_MAXD&amp;")",""),"Falta fecha de envío"),IF(BF1259="Returned","⚠ Devuelto: corregir y reenviar",IF(BF1259="Recall Requested","Retirada solicitada: pendiente",IF(AND(BF1259="Approved",NOT(ISNUMBER(T1259))),"Falta fecha de aprobación",IF(AND(ISNUMBER(S1259),ISNUMBER(T1259),T1259&lt;S1259),"Aprobación anterior al envío","")))))))))</f>
        <v/>
      </c>
      <c r="Y1259" s="80">
        <f>IF(COUNTA(B1259,D1259,E1259,F1259,G1259,H1259,I1259,J1259,R1259,S1259,T1259)&gt;0,1,0)</f>
        <v>0</v>
      </c>
      <c r="Z1259" s="80" t="str">
        <f>IF(AND(ISNUMBER(H1259),H1259&gt;=0,H1259&lt;1),ROUND(H1259*1440,0),"")</f>
        <v/>
      </c>
      <c r="AA1259" s="80" t="str">
        <f>IF(AND(ISNUMBER(I1259),I1259&gt;=0,I1259&lt;1),ROUND(I1259*1440,0),"")</f>
        <v/>
      </c>
      <c r="AB1259" s="80">
        <f>IF(AND(ISNUMBER(B1259),D1259&lt;&gt;"",ISNUMBER(Z1259),ISNUMBER(AA1259)),IF(Z1259=AA1259,0,1),0)</f>
        <v>0</v>
      </c>
      <c r="AC1259" s="80">
        <f>IF(AB1259=1,IF(AA1259&lt;Z1259,1,0),0)</f>
        <v>0</v>
      </c>
      <c r="AD1259" s="80">
        <f>IF(AB1259=1,IF(AC1259=1,1440-Z1259+AA1259,AA1259-Z1259),0)</f>
        <v>0</v>
      </c>
      <c r="AE1259" s="80">
        <f>IF(J1259="",0,IF(ISNUMBER(J1259),J1259,-1))</f>
        <v>0</v>
      </c>
      <c r="AF1259" s="80">
        <f>MIN(MAX(0,AE1259),AD1259)</f>
        <v>0</v>
      </c>
      <c r="AG1259" s="80">
        <f>MAX(0,AD1259-MAX(0,AE1259))</f>
        <v>0</v>
      </c>
      <c r="AH1259" s="80">
        <f>IF(ISNUMBER(B1259),IF(AND(INDEX(CFG_WDAYS,WEEKDAY(INT(B1259),2))="Sí",IF(D1259="proMX",COUNTIFS(FER_F,INT(B1259),FER_NLP,"Sí"),COUNTIFS(FER_F,INT(B1259),FER_NLM,"Sí"))=0),1,0),0)</f>
        <v>0</v>
      </c>
      <c r="AI1259" s="80">
        <f>IF(AC1259=1,IF(AND(INDEX(CFG_WDAYS,WEEKDAY(INT(B1259)+1,2))="Sí",IF(D1259="proMX",COUNTIFS(FER_F,INT(B1259)+1,FER_NLP,"Sí"),COUNTIFS(FER_F,INT(B1259)+1,FER_NLM,"Sí"))=0),1,0),0)</f>
        <v>0</v>
      </c>
      <c r="AJ1259" s="80">
        <f>IF(AC1259=1,1440-Z1259,AD1259)</f>
        <v>0</v>
      </c>
      <c r="AK1259" s="80">
        <f>IF(AND(AB1259=1,AH1259=1),MAX(0,MIN(IF(AC1259=1,1440,AA1259),CFG_WEM)-MAX(Z1259,CFG_WSM)),0)</f>
        <v>0</v>
      </c>
      <c r="AL1259" s="80">
        <f>IF(AND(AC1259=1,AI1259=1),MAX(0,MIN(AA1259,CFG_WEM)-CFG_WSM),0)</f>
        <v>0</v>
      </c>
      <c r="AM1259" s="80">
        <f>AK1259+AL1259</f>
        <v>0</v>
      </c>
      <c r="AN1259" s="80">
        <f>IF(CFG_BRK="Proporcional",IF(AD1259=0,0,AF1259*AM1259/AD1259),IF(CFG_BRK="Extras primero",MIN(AM1259,MAX(0,AF1259-(AD1259-AM1259))),MIN(AF1259,AM1259)))</f>
        <v>0</v>
      </c>
      <c r="AO1259" s="80">
        <f>AF1259-AN1259</f>
        <v>0</v>
      </c>
      <c r="AP1259" s="80">
        <f>AM1259-AN1259</f>
        <v>0</v>
      </c>
      <c r="AQ1259" s="80">
        <f>AD1259-AM1259-AO1259</f>
        <v>0</v>
      </c>
      <c r="AR1259" s="80">
        <f>IF(AM1259=0,0,AK1259-AN1259*AK1259/AM1259)</f>
        <v>0</v>
      </c>
      <c r="AS1259" s="80">
        <f>IF(AD1259-AM1259=0,0,(AJ1259-AK1259)-AO1259*(AJ1259-AK1259)/(AD1259-AM1259))</f>
        <v>0</v>
      </c>
      <c r="AT1259" s="80" t="str">
        <f>IF(AC1259=1,INT(B1259)+1,"")</f>
        <v/>
      </c>
      <c r="AU1259" s="80">
        <f>IF(AND(D1259="proMX",R1259="Cancelled"),0,1)</f>
        <v>1</v>
      </c>
      <c r="AV1259" s="80">
        <f>IF(AND(AB1259=1,AU1259=1),IF(COUNTIFS($D$5:D1258,D1259,$B$5:B1258,B1259,$Z$5:Z1258,Z1259,$AA$5:AA1258,AA1259,$F$5:F1258,F1259&amp;"",$AU$5:AU1258,1)&gt;0,1,0),0)</f>
        <v>0</v>
      </c>
      <c r="AW1259" s="80" t="str">
        <f>IF(AB1259=1,INT(B1259)*1440+Z1259,"")</f>
        <v/>
      </c>
      <c r="AX1259" s="80" t="str">
        <f>IF(AB1259=1,AW1259+AD1259,"")</f>
        <v/>
      </c>
      <c r="AY1259" s="80">
        <f>IF(AND(AB1259=1,AV1259=0,AU1259=1),1,0)</f>
        <v>0</v>
      </c>
      <c r="AZ1259" s="80">
        <f>IF(AY1259=1,COUNTIFS(R_Emp,D1259,R_SAbs,"&lt;"&amp;AX1259,R_EAbs,"&gt;"&amp;AW1259,R_OKey,1)-1,0)</f>
        <v>0</v>
      </c>
      <c r="BA1259" s="80">
        <f>IF(AY1259=1,COUNTIFS(R_Emp,"&lt;&gt;"&amp;D1259,R_SAbs,"&lt;"&amp;AX1259,R_EAbs,"&gt;"&amp;AW1259,R_OKey,1),0)</f>
        <v>0</v>
      </c>
      <c r="BB1259" s="80">
        <f>IF(AND(AB1259=1,D1259="proMX"),IF(AND(MOD(Z1259,CFG_BLK)=0,MOD(AA1259,CFG_BLK)=0,MOD(AG1259,CFG_BLK)=0,AG1259&gt;0),1,0),1)</f>
        <v>1</v>
      </c>
      <c r="BC1259" s="80" t="str">
        <f>IF(Y1259=0,"",IF(NOT(ISNUMBER(B1259)),"Falta fecha o fecha inválida",IF(D1259="","Falta empresa",IF(AND(D1259&lt;&gt;"Malcolm",D1259&lt;&gt;"proMX"),"Empresa inválida",IF(OR(INT(B1259)&lt;CFG_PSTART,INT(B1259)&gt;CFG_PEND),"Fecha fuera del período",IF(OR(NOT(ISNUMBER(Z1259)),NOT(ISNUMBER(AA1259))),"Falta hora inicio/fin o formato inválido",IF(AB1259=0,"Hora inicio = hora fin",IF(AE1259&lt;0,"Descanso inválido",IF(AE1259&gt;=AD1259,"Descanso ≥ duración",IF(AV1259=1,"Registro duplicado",IF(AZ1259&gt;0,"Se superpone con otro registro "&amp;D1259,IF(BB1259=0,"inicio, fin y duración neta deben ser múltiplos de "&amp;CFG_BLK&amp;" min",""))))))))))))</f>
        <v/>
      </c>
      <c r="BD1259" s="80">
        <f>IF(AND(Y1259=1,BC1259=""),1,0)</f>
        <v>0</v>
      </c>
      <c r="BE1259" s="80">
        <f>IF(AND(BD1259=1,AU1259=1),1,0)</f>
        <v>0</v>
      </c>
      <c r="BF1259" s="80" t="str">
        <f>IF(AND(D1259="proMX",BD1259=1),IF(R1259="","Draft",R1259),"")</f>
        <v/>
      </c>
      <c r="BG1259" s="80">
        <f>IF(BD1259=1,ROUND(AG1259/60,6),0)</f>
        <v>0</v>
      </c>
      <c r="BH1259" s="80">
        <f>IF(BE1259=1,ROUND(AG1259/60,6),0)</f>
        <v>0</v>
      </c>
      <c r="BI1259" s="80">
        <f>IF(BE1259=1,ROUND(AP1259/60,6),0)</f>
        <v>0</v>
      </c>
      <c r="BJ1259" s="80">
        <f>IF(BE1259=1,ROUND(AQ1259/60,6),0)</f>
        <v>0</v>
      </c>
      <c r="BK1259" s="80">
        <f>IF(BE1259=1,ROUND((AR1259+AS1259)/60,6),0)</f>
        <v>0</v>
      </c>
      <c r="BL1259" s="80">
        <f>ROUND(BH1259-BK1259,6)</f>
        <v>0</v>
      </c>
      <c r="BM1259" s="80">
        <f>IF(BE1259=1,ROUND(AR1259/60,6),0)</f>
        <v>0</v>
      </c>
      <c r="BN1259" s="80">
        <f>ROUND(BI1259-BM1259,6)</f>
        <v>0</v>
      </c>
      <c r="BO1259" s="80">
        <f>IF(BE1259=1,ROUND(AS1259/60,6),0)</f>
        <v>0</v>
      </c>
      <c r="BP1259" s="80">
        <f>ROUND(BJ1259-BO1259,6)</f>
        <v>0</v>
      </c>
      <c r="BQ1259" s="80">
        <f>IF(BE1259=1,AW1259,0)</f>
        <v>0</v>
      </c>
      <c r="BR1259" s="80">
        <f>IF(BE1259=1,AX1259,0)</f>
        <v>0</v>
      </c>
      <c r="BS1259" s="80">
        <f>IF(AND(BE1259=1,D1259="Malcolm",BA1259&gt;0),MIN(BH1259,SUMPRODUCT((R_Emp="proMX")*(R_EN&gt;0)*((R_EN-(R_EN&gt;BR1259)*(R_EN-BR1259))&gt;(R_SN+(R_SN&lt;BQ1259)*(BQ1259-R_SN)))*((R_EN-(R_EN&gt;BR1259)*(R_EN-BR1259))-(R_SN+(R_SN&lt;BQ1259)*(BQ1259-R_SN))))/60),0)</f>
        <v>0</v>
      </c>
      <c r="BT1259" s="80">
        <f>IF(AND(BE1259=1,D1259="proMX"),ROUND(BI1259*CFG_RATE+BJ1259*CFG_OTRATE,6),0)</f>
        <v>0</v>
      </c>
      <c r="BU1259" s="80">
        <f>IF(AND(BD1259=1,D1259="proMX"),ROUND(AG1259/CFG_BLK,6),0)</f>
        <v>0</v>
      </c>
      <c r="BV1259" s="80" t="str">
        <f>IF(BF1259="Approved",IF(ISNUMBER(T1259),INT(T1259),INT(B1259)),"")</f>
        <v/>
      </c>
      <c r="BW1259" s="80">
        <f>IF(ISNUMBER(B1259),IF(DB_MON="Todos",1,IF(AND(INT(B1259)&gt;=DB_MS,INT(B1259)&lt;=DB_ME),1,0)),0)</f>
        <v>0</v>
      </c>
      <c r="BX1259" s="80">
        <f>IF(DB_PROJ="Todos",1,IF(E1259&amp;""=DB_PROJ&amp;"",1,0))</f>
        <v>1</v>
      </c>
      <c r="BY1259" s="80">
        <f>BW1259*BX1259</f>
        <v>0</v>
      </c>
      <c r="BZ1259" s="80" t="str">
        <f>IF(Y1259=1,F1259&amp;IF(AND(F1259&amp;""&lt;&gt;"",E1259&amp;""&lt;&gt;"")," · ","")&amp;E1259,"")</f>
        <v/>
      </c>
      <c r="CA1259" s="80" t="str">
        <f>IF(AND(BD1259=1,E1259&amp;""&lt;&gt;""),IF(COUNTIFS($E$5:E1258,E1259,$BD$5:BD1258,1)=0,MAX($CA$5:CA1258)+1,""),"")</f>
        <v/>
      </c>
      <c r="CB1259" s="80" t="str">
        <f>IF(AND(BE1259=1,D1259="Malcolm",E1259&amp;""&lt;&gt;""),IF(COUNTIFS($D$5:D1258,"Malcolm",$E$5:E1258,E1259,$BE$5:BE1258,1)=0,MAX($CB$5:CB1258)+1,""),"")</f>
        <v/>
      </c>
      <c r="CC1259" s="80" t="str">
        <f>IF(AND(BD1259=1,D1259="proMX",E1259&amp;""&lt;&gt;""),IF(COUNTIFS($D$5:D1258,"proMX",$E$5:E1258,E1259,$BD$5:BD1258,1)=0,MAX($CC$5:CC1258)+1,""),"")</f>
        <v/>
      </c>
      <c r="CD1259" s="80" t="str">
        <f>IF(AND(BE1259=1,D1259="Malcolm",F1259&amp;""&lt;&gt;""),IF(COUNTIFS($D$5:D1258,"Malcolm",$F$5:F1258,F1259,$BE$5:BE1258,1)=0,MAX($CD$5:CD1258)+1,""),"")</f>
        <v/>
      </c>
      <c r="CE1259" s="80" t="str">
        <f>IF(AND(BD1259=1,D1259="proMX",F1259&amp;""&lt;&gt;""),IF(COUNTIFS($D$5:D1258,"proMX",$F$5:F1258,F1259,$BD$5:BD1258,1)=0,MAX($CE$5:CE1258)+1,""),"")</f>
        <v/>
      </c>
      <c r="CF1259" s="80" t="str">
        <f>IF(AND(D1259="proMX",BD1259=1),IF(OR(BF1259="Draft",BF1259="Submitted",BF1259="Returned",BF1259="Recall Requested"),MAX($CF$5:CF1258)+1,""),"")</f>
        <v/>
      </c>
      <c r="CG1259" s="80">
        <f>IF(BD1259=0,0,IF(D1259="Malcolm",1,MATCH(BF1259,{"Draft","Submitted","Approved","Returned","Recall Requested","Cancelled"},0)+1))</f>
        <v>0</v>
      </c>
      <c r="CH1259" s="80">
        <f>IF(AND(BF1259="Submitted",ISNUMBER(V1259)),IF(V1259&gt;CFG_MAXD,1,0),0)</f>
        <v>0</v>
      </c>
    </row>
    <row r="1260">
      <c r="A1260" s="71" t="str">
        <f>IF(Y1260=1,ROW()-5,"")</f>
        <v/>
      </c>
      <c r="B1260" s="72" t="n"/>
      <c r="C1260" s="71" t="str">
        <f>IF(ISNUMBER(B1260),CHOOSE(WEEKDAY(B1260,2),"Lun","Mar","Mié","Jue","Vie","Sáb","Dom"),"")</f>
        <v/>
      </c>
      <c r="D1260" s="73" t="n"/>
      <c r="E1260" s="74" t="n"/>
      <c r="F1260" s="74" t="n"/>
      <c r="G1260" s="74" t="n"/>
      <c r="H1260" s="75" t="n"/>
      <c r="I1260" s="75" t="n"/>
      <c r="J1260" s="76" t="n"/>
      <c r="K1260" s="77" t="str">
        <f>IF(AB1260=1,ROUND(AG1260/60,4),"")</f>
        <v/>
      </c>
      <c r="L1260" s="77" t="str">
        <f>IF(BD1260=1,ROUND(AP1260/60,4),"")</f>
        <v/>
      </c>
      <c r="M1260" s="77" t="str">
        <f>IF(BD1260=1,ROUND(AQ1260/60,4),"")</f>
        <v/>
      </c>
      <c r="N1260" s="71" t="str">
        <f>IF(AND(D1260="proMX",AB1260=1),ROUND(AG1260/CFG_BLK,2),"")</f>
        <v/>
      </c>
      <c r="O1260" s="77" t="str">
        <f>IF(D1260="proMX",IF(BD1260=1,ROUND(AG1260/60,4),0),"")</f>
        <v/>
      </c>
      <c r="P1260" s="78" t="str">
        <f>IF(Y1260=0,"",IF(BD1260=1,"OK",IF(D1260="proMX","Revisar bloques: ","Revisar: ")&amp;BC1260))</f>
        <v/>
      </c>
      <c r="Q1260" s="78" t="str">
        <f>IF(NOT(ISNUMBER(B1260)),"",IF(COUNTIFS(FER_F,INT(B1260))&gt;0,"Feriado"&amp;IF(AH1260=1," (laborable)"," (no laborable)"),IF(AH1260=1,"Laborable",IF(WEEKDAY(B1260,2)&gt;5,"Fin de semana","No laborable"))))</f>
        <v/>
      </c>
      <c r="R1260" s="73" t="n"/>
      <c r="S1260" s="72" t="n"/>
      <c r="T1260" s="72" t="n"/>
      <c r="U1260" s="74" t="n"/>
      <c r="V1260" s="79" t="str">
        <f>IF(AND(D1260="proMX",OR(R1260="Submitted",R1260="Recall Requested"),ISNUMBER(S1260)),CFG_TODAY-INT(S1260),"")</f>
        <v/>
      </c>
      <c r="W1260" s="78" t="str">
        <f>IF(BD1260=0,"",IF(BA1260&gt;0,"⚠ Se superpone con un registro de la otra empresa",IF(D1260="Malcolm",IF(COUNTA(R1260,S1260,T1260)&gt;0,"Estado/fechas proMX se ignoran en Malcolm",""),IF(BF1260="Cancelled","Cancelado: excluido de totales",IF(R1260="","Sin estado: se trata como Draft",IF(BF1260="Submitted",IF(ISNUMBER(V1260),IF(V1260&gt;CFG_MAXD,"⚠ "&amp;V1260&amp;" días en Submitted (máx. "&amp;CFG_MAXD&amp;")",""),"Falta fecha de envío"),IF(BF1260="Returned","⚠ Devuelto: corregir y reenviar",IF(BF1260="Recall Requested","Retirada solicitada: pendiente",IF(AND(BF1260="Approved",NOT(ISNUMBER(T1260))),"Falta fecha de aprobación",IF(AND(ISNUMBER(S1260),ISNUMBER(T1260),T1260&lt;S1260),"Aprobación anterior al envío","")))))))))</f>
        <v/>
      </c>
      <c r="Y1260" s="80">
        <f>IF(COUNTA(B1260,D1260,E1260,F1260,G1260,H1260,I1260,J1260,R1260,S1260,T1260)&gt;0,1,0)</f>
        <v>0</v>
      </c>
      <c r="Z1260" s="80" t="str">
        <f>IF(AND(ISNUMBER(H1260),H1260&gt;=0,H1260&lt;1),ROUND(H1260*1440,0),"")</f>
        <v/>
      </c>
      <c r="AA1260" s="80" t="str">
        <f>IF(AND(ISNUMBER(I1260),I1260&gt;=0,I1260&lt;1),ROUND(I1260*1440,0),"")</f>
        <v/>
      </c>
      <c r="AB1260" s="80">
        <f>IF(AND(ISNUMBER(B1260),D1260&lt;&gt;"",ISNUMBER(Z1260),ISNUMBER(AA1260)),IF(Z1260=AA1260,0,1),0)</f>
        <v>0</v>
      </c>
      <c r="AC1260" s="80">
        <f>IF(AB1260=1,IF(AA1260&lt;Z1260,1,0),0)</f>
        <v>0</v>
      </c>
      <c r="AD1260" s="80">
        <f>IF(AB1260=1,IF(AC1260=1,1440-Z1260+AA1260,AA1260-Z1260),0)</f>
        <v>0</v>
      </c>
      <c r="AE1260" s="80">
        <f>IF(J1260="",0,IF(ISNUMBER(J1260),J1260,-1))</f>
        <v>0</v>
      </c>
      <c r="AF1260" s="80">
        <f>MIN(MAX(0,AE1260),AD1260)</f>
        <v>0</v>
      </c>
      <c r="AG1260" s="80">
        <f>MAX(0,AD1260-MAX(0,AE1260))</f>
        <v>0</v>
      </c>
      <c r="AH1260" s="80">
        <f>IF(ISNUMBER(B1260),IF(AND(INDEX(CFG_WDAYS,WEEKDAY(INT(B1260),2))="Sí",IF(D1260="proMX",COUNTIFS(FER_F,INT(B1260),FER_NLP,"Sí"),COUNTIFS(FER_F,INT(B1260),FER_NLM,"Sí"))=0),1,0),0)</f>
        <v>0</v>
      </c>
      <c r="AI1260" s="80">
        <f>IF(AC1260=1,IF(AND(INDEX(CFG_WDAYS,WEEKDAY(INT(B1260)+1,2))="Sí",IF(D1260="proMX",COUNTIFS(FER_F,INT(B1260)+1,FER_NLP,"Sí"),COUNTIFS(FER_F,INT(B1260)+1,FER_NLM,"Sí"))=0),1,0),0)</f>
        <v>0</v>
      </c>
      <c r="AJ1260" s="80">
        <f>IF(AC1260=1,1440-Z1260,AD1260)</f>
        <v>0</v>
      </c>
      <c r="AK1260" s="80">
        <f>IF(AND(AB1260=1,AH1260=1),MAX(0,MIN(IF(AC1260=1,1440,AA1260),CFG_WEM)-MAX(Z1260,CFG_WSM)),0)</f>
        <v>0</v>
      </c>
      <c r="AL1260" s="80">
        <f>IF(AND(AC1260=1,AI1260=1),MAX(0,MIN(AA1260,CFG_WEM)-CFG_WSM),0)</f>
        <v>0</v>
      </c>
      <c r="AM1260" s="80">
        <f>AK1260+AL1260</f>
        <v>0</v>
      </c>
      <c r="AN1260" s="80">
        <f>IF(CFG_BRK="Proporcional",IF(AD1260=0,0,AF1260*AM1260/AD1260),IF(CFG_BRK="Extras primero",MIN(AM1260,MAX(0,AF1260-(AD1260-AM1260))),MIN(AF1260,AM1260)))</f>
        <v>0</v>
      </c>
      <c r="AO1260" s="80">
        <f>AF1260-AN1260</f>
        <v>0</v>
      </c>
      <c r="AP1260" s="80">
        <f>AM1260-AN1260</f>
        <v>0</v>
      </c>
      <c r="AQ1260" s="80">
        <f>AD1260-AM1260-AO1260</f>
        <v>0</v>
      </c>
      <c r="AR1260" s="80">
        <f>IF(AM1260=0,0,AK1260-AN1260*AK1260/AM1260)</f>
        <v>0</v>
      </c>
      <c r="AS1260" s="80">
        <f>IF(AD1260-AM1260=0,0,(AJ1260-AK1260)-AO1260*(AJ1260-AK1260)/(AD1260-AM1260))</f>
        <v>0</v>
      </c>
      <c r="AT1260" s="80" t="str">
        <f>IF(AC1260=1,INT(B1260)+1,"")</f>
        <v/>
      </c>
      <c r="AU1260" s="80">
        <f>IF(AND(D1260="proMX",R1260="Cancelled"),0,1)</f>
        <v>1</v>
      </c>
      <c r="AV1260" s="80">
        <f>IF(AND(AB1260=1,AU1260=1),IF(COUNTIFS($D$5:D1259,D1260,$B$5:B1259,B1260,$Z$5:Z1259,Z1260,$AA$5:AA1259,AA1260,$F$5:F1259,F1260&amp;"",$AU$5:AU1259,1)&gt;0,1,0),0)</f>
        <v>0</v>
      </c>
      <c r="AW1260" s="80" t="str">
        <f>IF(AB1260=1,INT(B1260)*1440+Z1260,"")</f>
        <v/>
      </c>
      <c r="AX1260" s="80" t="str">
        <f>IF(AB1260=1,AW1260+AD1260,"")</f>
        <v/>
      </c>
      <c r="AY1260" s="80">
        <f>IF(AND(AB1260=1,AV1260=0,AU1260=1),1,0)</f>
        <v>0</v>
      </c>
      <c r="AZ1260" s="80">
        <f>IF(AY1260=1,COUNTIFS(R_Emp,D1260,R_SAbs,"&lt;"&amp;AX1260,R_EAbs,"&gt;"&amp;AW1260,R_OKey,1)-1,0)</f>
        <v>0</v>
      </c>
      <c r="BA1260" s="80">
        <f>IF(AY1260=1,COUNTIFS(R_Emp,"&lt;&gt;"&amp;D1260,R_SAbs,"&lt;"&amp;AX1260,R_EAbs,"&gt;"&amp;AW1260,R_OKey,1),0)</f>
        <v>0</v>
      </c>
      <c r="BB1260" s="80">
        <f>IF(AND(AB1260=1,D1260="proMX"),IF(AND(MOD(Z1260,CFG_BLK)=0,MOD(AA1260,CFG_BLK)=0,MOD(AG1260,CFG_BLK)=0,AG1260&gt;0),1,0),1)</f>
        <v>1</v>
      </c>
      <c r="BC1260" s="80" t="str">
        <f>IF(Y1260=0,"",IF(NOT(ISNUMBER(B1260)),"Falta fecha o fecha inválida",IF(D1260="","Falta empresa",IF(AND(D1260&lt;&gt;"Malcolm",D1260&lt;&gt;"proMX"),"Empresa inválida",IF(OR(INT(B1260)&lt;CFG_PSTART,INT(B1260)&gt;CFG_PEND),"Fecha fuera del período",IF(OR(NOT(ISNUMBER(Z1260)),NOT(ISNUMBER(AA1260))),"Falta hora inicio/fin o formato inválido",IF(AB1260=0,"Hora inicio = hora fin",IF(AE1260&lt;0,"Descanso inválido",IF(AE1260&gt;=AD1260,"Descanso ≥ duración",IF(AV1260=1,"Registro duplicado",IF(AZ1260&gt;0,"Se superpone con otro registro "&amp;D1260,IF(BB1260=0,"inicio, fin y duración neta deben ser múltiplos de "&amp;CFG_BLK&amp;" min",""))))))))))))</f>
        <v/>
      </c>
      <c r="BD1260" s="80">
        <f>IF(AND(Y1260=1,BC1260=""),1,0)</f>
        <v>0</v>
      </c>
      <c r="BE1260" s="80">
        <f>IF(AND(BD1260=1,AU1260=1),1,0)</f>
        <v>0</v>
      </c>
      <c r="BF1260" s="80" t="str">
        <f>IF(AND(D1260="proMX",BD1260=1),IF(R1260="","Draft",R1260),"")</f>
        <v/>
      </c>
      <c r="BG1260" s="80">
        <f>IF(BD1260=1,ROUND(AG1260/60,6),0)</f>
        <v>0</v>
      </c>
      <c r="BH1260" s="80">
        <f>IF(BE1260=1,ROUND(AG1260/60,6),0)</f>
        <v>0</v>
      </c>
      <c r="BI1260" s="80">
        <f>IF(BE1260=1,ROUND(AP1260/60,6),0)</f>
        <v>0</v>
      </c>
      <c r="BJ1260" s="80">
        <f>IF(BE1260=1,ROUND(AQ1260/60,6),0)</f>
        <v>0</v>
      </c>
      <c r="BK1260" s="80">
        <f>IF(BE1260=1,ROUND((AR1260+AS1260)/60,6),0)</f>
        <v>0</v>
      </c>
      <c r="BL1260" s="80">
        <f>ROUND(BH1260-BK1260,6)</f>
        <v>0</v>
      </c>
      <c r="BM1260" s="80">
        <f>IF(BE1260=1,ROUND(AR1260/60,6),0)</f>
        <v>0</v>
      </c>
      <c r="BN1260" s="80">
        <f>ROUND(BI1260-BM1260,6)</f>
        <v>0</v>
      </c>
      <c r="BO1260" s="80">
        <f>IF(BE1260=1,ROUND(AS1260/60,6),0)</f>
        <v>0</v>
      </c>
      <c r="BP1260" s="80">
        <f>ROUND(BJ1260-BO1260,6)</f>
        <v>0</v>
      </c>
      <c r="BQ1260" s="80">
        <f>IF(BE1260=1,AW1260,0)</f>
        <v>0</v>
      </c>
      <c r="BR1260" s="80">
        <f>IF(BE1260=1,AX1260,0)</f>
        <v>0</v>
      </c>
      <c r="BS1260" s="80">
        <f>IF(AND(BE1260=1,D1260="Malcolm",BA1260&gt;0),MIN(BH1260,SUMPRODUCT((R_Emp="proMX")*(R_EN&gt;0)*((R_EN-(R_EN&gt;BR1260)*(R_EN-BR1260))&gt;(R_SN+(R_SN&lt;BQ1260)*(BQ1260-R_SN)))*((R_EN-(R_EN&gt;BR1260)*(R_EN-BR1260))-(R_SN+(R_SN&lt;BQ1260)*(BQ1260-R_SN))))/60),0)</f>
        <v>0</v>
      </c>
      <c r="BT1260" s="80">
        <f>IF(AND(BE1260=1,D1260="proMX"),ROUND(BI1260*CFG_RATE+BJ1260*CFG_OTRATE,6),0)</f>
        <v>0</v>
      </c>
      <c r="BU1260" s="80">
        <f>IF(AND(BD1260=1,D1260="proMX"),ROUND(AG1260/CFG_BLK,6),0)</f>
        <v>0</v>
      </c>
      <c r="BV1260" s="80" t="str">
        <f>IF(BF1260="Approved",IF(ISNUMBER(T1260),INT(T1260),INT(B1260)),"")</f>
        <v/>
      </c>
      <c r="BW1260" s="80">
        <f>IF(ISNUMBER(B1260),IF(DB_MON="Todos",1,IF(AND(INT(B1260)&gt;=DB_MS,INT(B1260)&lt;=DB_ME),1,0)),0)</f>
        <v>0</v>
      </c>
      <c r="BX1260" s="80">
        <f>IF(DB_PROJ="Todos",1,IF(E1260&amp;""=DB_PROJ&amp;"",1,0))</f>
        <v>1</v>
      </c>
      <c r="BY1260" s="80">
        <f>BW1260*BX1260</f>
        <v>0</v>
      </c>
      <c r="BZ1260" s="80" t="str">
        <f>IF(Y1260=1,F1260&amp;IF(AND(F1260&amp;""&lt;&gt;"",E1260&amp;""&lt;&gt;"")," · ","")&amp;E1260,"")</f>
        <v/>
      </c>
      <c r="CA1260" s="80" t="str">
        <f>IF(AND(BD1260=1,E1260&amp;""&lt;&gt;""),IF(COUNTIFS($E$5:E1259,E1260,$BD$5:BD1259,1)=0,MAX($CA$5:CA1259)+1,""),"")</f>
        <v/>
      </c>
      <c r="CB1260" s="80" t="str">
        <f>IF(AND(BE1260=1,D1260="Malcolm",E1260&amp;""&lt;&gt;""),IF(COUNTIFS($D$5:D1259,"Malcolm",$E$5:E1259,E1260,$BE$5:BE1259,1)=0,MAX($CB$5:CB1259)+1,""),"")</f>
        <v/>
      </c>
      <c r="CC1260" s="80" t="str">
        <f>IF(AND(BD1260=1,D1260="proMX",E1260&amp;""&lt;&gt;""),IF(COUNTIFS($D$5:D1259,"proMX",$E$5:E1259,E1260,$BD$5:BD1259,1)=0,MAX($CC$5:CC1259)+1,""),"")</f>
        <v/>
      </c>
      <c r="CD1260" s="80" t="str">
        <f>IF(AND(BE1260=1,D1260="Malcolm",F1260&amp;""&lt;&gt;""),IF(COUNTIFS($D$5:D1259,"Malcolm",$F$5:F1259,F1260,$BE$5:BE1259,1)=0,MAX($CD$5:CD1259)+1,""),"")</f>
        <v/>
      </c>
      <c r="CE1260" s="80" t="str">
        <f>IF(AND(BD1260=1,D1260="proMX",F1260&amp;""&lt;&gt;""),IF(COUNTIFS($D$5:D1259,"proMX",$F$5:F1259,F1260,$BD$5:BD1259,1)=0,MAX($CE$5:CE1259)+1,""),"")</f>
        <v/>
      </c>
      <c r="CF1260" s="80" t="str">
        <f>IF(AND(D1260="proMX",BD1260=1),IF(OR(BF1260="Draft",BF1260="Submitted",BF1260="Returned",BF1260="Recall Requested"),MAX($CF$5:CF1259)+1,""),"")</f>
        <v/>
      </c>
      <c r="CG1260" s="80">
        <f>IF(BD1260=0,0,IF(D1260="Malcolm",1,MATCH(BF1260,{"Draft","Submitted","Approved","Returned","Recall Requested","Cancelled"},0)+1))</f>
        <v>0</v>
      </c>
      <c r="CH1260" s="80">
        <f>IF(AND(BF1260="Submitted",ISNUMBER(V1260)),IF(V1260&gt;CFG_MAXD,1,0),0)</f>
        <v>0</v>
      </c>
    </row>
    <row r="1261">
      <c r="A1261" s="71" t="str">
        <f>IF(Y1261=1,ROW()-5,"")</f>
        <v/>
      </c>
      <c r="B1261" s="72" t="n"/>
      <c r="C1261" s="71" t="str">
        <f>IF(ISNUMBER(B1261),CHOOSE(WEEKDAY(B1261,2),"Lun","Mar","Mié","Jue","Vie","Sáb","Dom"),"")</f>
        <v/>
      </c>
      <c r="D1261" s="73" t="n"/>
      <c r="E1261" s="74" t="n"/>
      <c r="F1261" s="74" t="n"/>
      <c r="G1261" s="74" t="n"/>
      <c r="H1261" s="75" t="n"/>
      <c r="I1261" s="75" t="n"/>
      <c r="J1261" s="76" t="n"/>
      <c r="K1261" s="77" t="str">
        <f>IF(AB1261=1,ROUND(AG1261/60,4),"")</f>
        <v/>
      </c>
      <c r="L1261" s="77" t="str">
        <f>IF(BD1261=1,ROUND(AP1261/60,4),"")</f>
        <v/>
      </c>
      <c r="M1261" s="77" t="str">
        <f>IF(BD1261=1,ROUND(AQ1261/60,4),"")</f>
        <v/>
      </c>
      <c r="N1261" s="71" t="str">
        <f>IF(AND(D1261="proMX",AB1261=1),ROUND(AG1261/CFG_BLK,2),"")</f>
        <v/>
      </c>
      <c r="O1261" s="77" t="str">
        <f>IF(D1261="proMX",IF(BD1261=1,ROUND(AG1261/60,4),0),"")</f>
        <v/>
      </c>
      <c r="P1261" s="78" t="str">
        <f>IF(Y1261=0,"",IF(BD1261=1,"OK",IF(D1261="proMX","Revisar bloques: ","Revisar: ")&amp;BC1261))</f>
        <v/>
      </c>
      <c r="Q1261" s="78" t="str">
        <f>IF(NOT(ISNUMBER(B1261)),"",IF(COUNTIFS(FER_F,INT(B1261))&gt;0,"Feriado"&amp;IF(AH1261=1," (laborable)"," (no laborable)"),IF(AH1261=1,"Laborable",IF(WEEKDAY(B1261,2)&gt;5,"Fin de semana","No laborable"))))</f>
        <v/>
      </c>
      <c r="R1261" s="73" t="n"/>
      <c r="S1261" s="72" t="n"/>
      <c r="T1261" s="72" t="n"/>
      <c r="U1261" s="74" t="n"/>
      <c r="V1261" s="79" t="str">
        <f>IF(AND(D1261="proMX",OR(R1261="Submitted",R1261="Recall Requested"),ISNUMBER(S1261)),CFG_TODAY-INT(S1261),"")</f>
        <v/>
      </c>
      <c r="W1261" s="78" t="str">
        <f>IF(BD1261=0,"",IF(BA1261&gt;0,"⚠ Se superpone con un registro de la otra empresa",IF(D1261="Malcolm",IF(COUNTA(R1261,S1261,T1261)&gt;0,"Estado/fechas proMX se ignoran en Malcolm",""),IF(BF1261="Cancelled","Cancelado: excluido de totales",IF(R1261="","Sin estado: se trata como Draft",IF(BF1261="Submitted",IF(ISNUMBER(V1261),IF(V1261&gt;CFG_MAXD,"⚠ "&amp;V1261&amp;" días en Submitted (máx. "&amp;CFG_MAXD&amp;")",""),"Falta fecha de envío"),IF(BF1261="Returned","⚠ Devuelto: corregir y reenviar",IF(BF1261="Recall Requested","Retirada solicitada: pendiente",IF(AND(BF1261="Approved",NOT(ISNUMBER(T1261))),"Falta fecha de aprobación",IF(AND(ISNUMBER(S1261),ISNUMBER(T1261),T1261&lt;S1261),"Aprobación anterior al envío","")))))))))</f>
        <v/>
      </c>
      <c r="Y1261" s="80">
        <f>IF(COUNTA(B1261,D1261,E1261,F1261,G1261,H1261,I1261,J1261,R1261,S1261,T1261)&gt;0,1,0)</f>
        <v>0</v>
      </c>
      <c r="Z1261" s="80" t="str">
        <f>IF(AND(ISNUMBER(H1261),H1261&gt;=0,H1261&lt;1),ROUND(H1261*1440,0),"")</f>
        <v/>
      </c>
      <c r="AA1261" s="80" t="str">
        <f>IF(AND(ISNUMBER(I1261),I1261&gt;=0,I1261&lt;1),ROUND(I1261*1440,0),"")</f>
        <v/>
      </c>
      <c r="AB1261" s="80">
        <f>IF(AND(ISNUMBER(B1261),D1261&lt;&gt;"",ISNUMBER(Z1261),ISNUMBER(AA1261)),IF(Z1261=AA1261,0,1),0)</f>
        <v>0</v>
      </c>
      <c r="AC1261" s="80">
        <f>IF(AB1261=1,IF(AA1261&lt;Z1261,1,0),0)</f>
        <v>0</v>
      </c>
      <c r="AD1261" s="80">
        <f>IF(AB1261=1,IF(AC1261=1,1440-Z1261+AA1261,AA1261-Z1261),0)</f>
        <v>0</v>
      </c>
      <c r="AE1261" s="80">
        <f>IF(J1261="",0,IF(ISNUMBER(J1261),J1261,-1))</f>
        <v>0</v>
      </c>
      <c r="AF1261" s="80">
        <f>MIN(MAX(0,AE1261),AD1261)</f>
        <v>0</v>
      </c>
      <c r="AG1261" s="80">
        <f>MAX(0,AD1261-MAX(0,AE1261))</f>
        <v>0</v>
      </c>
      <c r="AH1261" s="80">
        <f>IF(ISNUMBER(B1261),IF(AND(INDEX(CFG_WDAYS,WEEKDAY(INT(B1261),2))="Sí",IF(D1261="proMX",COUNTIFS(FER_F,INT(B1261),FER_NLP,"Sí"),COUNTIFS(FER_F,INT(B1261),FER_NLM,"Sí"))=0),1,0),0)</f>
        <v>0</v>
      </c>
      <c r="AI1261" s="80">
        <f>IF(AC1261=1,IF(AND(INDEX(CFG_WDAYS,WEEKDAY(INT(B1261)+1,2))="Sí",IF(D1261="proMX",COUNTIFS(FER_F,INT(B1261)+1,FER_NLP,"Sí"),COUNTIFS(FER_F,INT(B1261)+1,FER_NLM,"Sí"))=0),1,0),0)</f>
        <v>0</v>
      </c>
      <c r="AJ1261" s="80">
        <f>IF(AC1261=1,1440-Z1261,AD1261)</f>
        <v>0</v>
      </c>
      <c r="AK1261" s="80">
        <f>IF(AND(AB1261=1,AH1261=1),MAX(0,MIN(IF(AC1261=1,1440,AA1261),CFG_WEM)-MAX(Z1261,CFG_WSM)),0)</f>
        <v>0</v>
      </c>
      <c r="AL1261" s="80">
        <f>IF(AND(AC1261=1,AI1261=1),MAX(0,MIN(AA1261,CFG_WEM)-CFG_WSM),0)</f>
        <v>0</v>
      </c>
      <c r="AM1261" s="80">
        <f>AK1261+AL1261</f>
        <v>0</v>
      </c>
      <c r="AN1261" s="80">
        <f>IF(CFG_BRK="Proporcional",IF(AD1261=0,0,AF1261*AM1261/AD1261),IF(CFG_BRK="Extras primero",MIN(AM1261,MAX(0,AF1261-(AD1261-AM1261))),MIN(AF1261,AM1261)))</f>
        <v>0</v>
      </c>
      <c r="AO1261" s="80">
        <f>AF1261-AN1261</f>
        <v>0</v>
      </c>
      <c r="AP1261" s="80">
        <f>AM1261-AN1261</f>
        <v>0</v>
      </c>
      <c r="AQ1261" s="80">
        <f>AD1261-AM1261-AO1261</f>
        <v>0</v>
      </c>
      <c r="AR1261" s="80">
        <f>IF(AM1261=0,0,AK1261-AN1261*AK1261/AM1261)</f>
        <v>0</v>
      </c>
      <c r="AS1261" s="80">
        <f>IF(AD1261-AM1261=0,0,(AJ1261-AK1261)-AO1261*(AJ1261-AK1261)/(AD1261-AM1261))</f>
        <v>0</v>
      </c>
      <c r="AT1261" s="80" t="str">
        <f>IF(AC1261=1,INT(B1261)+1,"")</f>
        <v/>
      </c>
      <c r="AU1261" s="80">
        <f>IF(AND(D1261="proMX",R1261="Cancelled"),0,1)</f>
        <v>1</v>
      </c>
      <c r="AV1261" s="80">
        <f>IF(AND(AB1261=1,AU1261=1),IF(COUNTIFS($D$5:D1260,D1261,$B$5:B1260,B1261,$Z$5:Z1260,Z1261,$AA$5:AA1260,AA1261,$F$5:F1260,F1261&amp;"",$AU$5:AU1260,1)&gt;0,1,0),0)</f>
        <v>0</v>
      </c>
      <c r="AW1261" s="80" t="str">
        <f>IF(AB1261=1,INT(B1261)*1440+Z1261,"")</f>
        <v/>
      </c>
      <c r="AX1261" s="80" t="str">
        <f>IF(AB1261=1,AW1261+AD1261,"")</f>
        <v/>
      </c>
      <c r="AY1261" s="80">
        <f>IF(AND(AB1261=1,AV1261=0,AU1261=1),1,0)</f>
        <v>0</v>
      </c>
      <c r="AZ1261" s="80">
        <f>IF(AY1261=1,COUNTIFS(R_Emp,D1261,R_SAbs,"&lt;"&amp;AX1261,R_EAbs,"&gt;"&amp;AW1261,R_OKey,1)-1,0)</f>
        <v>0</v>
      </c>
      <c r="BA1261" s="80">
        <f>IF(AY1261=1,COUNTIFS(R_Emp,"&lt;&gt;"&amp;D1261,R_SAbs,"&lt;"&amp;AX1261,R_EAbs,"&gt;"&amp;AW1261,R_OKey,1),0)</f>
        <v>0</v>
      </c>
      <c r="BB1261" s="80">
        <f>IF(AND(AB1261=1,D1261="proMX"),IF(AND(MOD(Z1261,CFG_BLK)=0,MOD(AA1261,CFG_BLK)=0,MOD(AG1261,CFG_BLK)=0,AG1261&gt;0),1,0),1)</f>
        <v>1</v>
      </c>
      <c r="BC1261" s="80" t="str">
        <f>IF(Y1261=0,"",IF(NOT(ISNUMBER(B1261)),"Falta fecha o fecha inválida",IF(D1261="","Falta empresa",IF(AND(D1261&lt;&gt;"Malcolm",D1261&lt;&gt;"proMX"),"Empresa inválida",IF(OR(INT(B1261)&lt;CFG_PSTART,INT(B1261)&gt;CFG_PEND),"Fecha fuera del período",IF(OR(NOT(ISNUMBER(Z1261)),NOT(ISNUMBER(AA1261))),"Falta hora inicio/fin o formato inválido",IF(AB1261=0,"Hora inicio = hora fin",IF(AE1261&lt;0,"Descanso inválido",IF(AE1261&gt;=AD1261,"Descanso ≥ duración",IF(AV1261=1,"Registro duplicado",IF(AZ1261&gt;0,"Se superpone con otro registro "&amp;D1261,IF(BB1261=0,"inicio, fin y duración neta deben ser múltiplos de "&amp;CFG_BLK&amp;" min",""))))))))))))</f>
        <v/>
      </c>
      <c r="BD1261" s="80">
        <f>IF(AND(Y1261=1,BC1261=""),1,0)</f>
        <v>0</v>
      </c>
      <c r="BE1261" s="80">
        <f>IF(AND(BD1261=1,AU1261=1),1,0)</f>
        <v>0</v>
      </c>
      <c r="BF1261" s="80" t="str">
        <f>IF(AND(D1261="proMX",BD1261=1),IF(R1261="","Draft",R1261),"")</f>
        <v/>
      </c>
      <c r="BG1261" s="80">
        <f>IF(BD1261=1,ROUND(AG1261/60,6),0)</f>
        <v>0</v>
      </c>
      <c r="BH1261" s="80">
        <f>IF(BE1261=1,ROUND(AG1261/60,6),0)</f>
        <v>0</v>
      </c>
      <c r="BI1261" s="80">
        <f>IF(BE1261=1,ROUND(AP1261/60,6),0)</f>
        <v>0</v>
      </c>
      <c r="BJ1261" s="80">
        <f>IF(BE1261=1,ROUND(AQ1261/60,6),0)</f>
        <v>0</v>
      </c>
      <c r="BK1261" s="80">
        <f>IF(BE1261=1,ROUND((AR1261+AS1261)/60,6),0)</f>
        <v>0</v>
      </c>
      <c r="BL1261" s="80">
        <f>ROUND(BH1261-BK1261,6)</f>
        <v>0</v>
      </c>
      <c r="BM1261" s="80">
        <f>IF(BE1261=1,ROUND(AR1261/60,6),0)</f>
        <v>0</v>
      </c>
      <c r="BN1261" s="80">
        <f>ROUND(BI1261-BM1261,6)</f>
        <v>0</v>
      </c>
      <c r="BO1261" s="80">
        <f>IF(BE1261=1,ROUND(AS1261/60,6),0)</f>
        <v>0</v>
      </c>
      <c r="BP1261" s="80">
        <f>ROUND(BJ1261-BO1261,6)</f>
        <v>0</v>
      </c>
      <c r="BQ1261" s="80">
        <f>IF(BE1261=1,AW1261,0)</f>
        <v>0</v>
      </c>
      <c r="BR1261" s="80">
        <f>IF(BE1261=1,AX1261,0)</f>
        <v>0</v>
      </c>
      <c r="BS1261" s="80">
        <f>IF(AND(BE1261=1,D1261="Malcolm",BA1261&gt;0),MIN(BH1261,SUMPRODUCT((R_Emp="proMX")*(R_EN&gt;0)*((R_EN-(R_EN&gt;BR1261)*(R_EN-BR1261))&gt;(R_SN+(R_SN&lt;BQ1261)*(BQ1261-R_SN)))*((R_EN-(R_EN&gt;BR1261)*(R_EN-BR1261))-(R_SN+(R_SN&lt;BQ1261)*(BQ1261-R_SN))))/60),0)</f>
        <v>0</v>
      </c>
      <c r="BT1261" s="80">
        <f>IF(AND(BE1261=1,D1261="proMX"),ROUND(BI1261*CFG_RATE+BJ1261*CFG_OTRATE,6),0)</f>
        <v>0</v>
      </c>
      <c r="BU1261" s="80">
        <f>IF(AND(BD1261=1,D1261="proMX"),ROUND(AG1261/CFG_BLK,6),0)</f>
        <v>0</v>
      </c>
      <c r="BV1261" s="80" t="str">
        <f>IF(BF1261="Approved",IF(ISNUMBER(T1261),INT(T1261),INT(B1261)),"")</f>
        <v/>
      </c>
      <c r="BW1261" s="80">
        <f>IF(ISNUMBER(B1261),IF(DB_MON="Todos",1,IF(AND(INT(B1261)&gt;=DB_MS,INT(B1261)&lt;=DB_ME),1,0)),0)</f>
        <v>0</v>
      </c>
      <c r="BX1261" s="80">
        <f>IF(DB_PROJ="Todos",1,IF(E1261&amp;""=DB_PROJ&amp;"",1,0))</f>
        <v>1</v>
      </c>
      <c r="BY1261" s="80">
        <f>BW1261*BX1261</f>
        <v>0</v>
      </c>
      <c r="BZ1261" s="80" t="str">
        <f>IF(Y1261=1,F1261&amp;IF(AND(F1261&amp;""&lt;&gt;"",E1261&amp;""&lt;&gt;"")," · ","")&amp;E1261,"")</f>
        <v/>
      </c>
      <c r="CA1261" s="80" t="str">
        <f>IF(AND(BD1261=1,E1261&amp;""&lt;&gt;""),IF(COUNTIFS($E$5:E1260,E1261,$BD$5:BD1260,1)=0,MAX($CA$5:CA1260)+1,""),"")</f>
        <v/>
      </c>
      <c r="CB1261" s="80" t="str">
        <f>IF(AND(BE1261=1,D1261="Malcolm",E1261&amp;""&lt;&gt;""),IF(COUNTIFS($D$5:D1260,"Malcolm",$E$5:E1260,E1261,$BE$5:BE1260,1)=0,MAX($CB$5:CB1260)+1,""),"")</f>
        <v/>
      </c>
      <c r="CC1261" s="80" t="str">
        <f>IF(AND(BD1261=1,D1261="proMX",E1261&amp;""&lt;&gt;""),IF(COUNTIFS($D$5:D1260,"proMX",$E$5:E1260,E1261,$BD$5:BD1260,1)=0,MAX($CC$5:CC1260)+1,""),"")</f>
        <v/>
      </c>
      <c r="CD1261" s="80" t="str">
        <f>IF(AND(BE1261=1,D1261="Malcolm",F1261&amp;""&lt;&gt;""),IF(COUNTIFS($D$5:D1260,"Malcolm",$F$5:F1260,F1261,$BE$5:BE1260,1)=0,MAX($CD$5:CD1260)+1,""),"")</f>
        <v/>
      </c>
      <c r="CE1261" s="80" t="str">
        <f>IF(AND(BD1261=1,D1261="proMX",F1261&amp;""&lt;&gt;""),IF(COUNTIFS($D$5:D1260,"proMX",$F$5:F1260,F1261,$BD$5:BD1260,1)=0,MAX($CE$5:CE1260)+1,""),"")</f>
        <v/>
      </c>
      <c r="CF1261" s="80" t="str">
        <f>IF(AND(D1261="proMX",BD1261=1),IF(OR(BF1261="Draft",BF1261="Submitted",BF1261="Returned",BF1261="Recall Requested"),MAX($CF$5:CF1260)+1,""),"")</f>
        <v/>
      </c>
      <c r="CG1261" s="80">
        <f>IF(BD1261=0,0,IF(D1261="Malcolm",1,MATCH(BF1261,{"Draft","Submitted","Approved","Returned","Recall Requested","Cancelled"},0)+1))</f>
        <v>0</v>
      </c>
      <c r="CH1261" s="80">
        <f>IF(AND(BF1261="Submitted",ISNUMBER(V1261)),IF(V1261&gt;CFG_MAXD,1,0),0)</f>
        <v>0</v>
      </c>
    </row>
    <row r="1262">
      <c r="A1262" s="71" t="str">
        <f>IF(Y1262=1,ROW()-5,"")</f>
        <v/>
      </c>
      <c r="B1262" s="72" t="n"/>
      <c r="C1262" s="71" t="str">
        <f>IF(ISNUMBER(B1262),CHOOSE(WEEKDAY(B1262,2),"Lun","Mar","Mié","Jue","Vie","Sáb","Dom"),"")</f>
        <v/>
      </c>
      <c r="D1262" s="73" t="n"/>
      <c r="E1262" s="74" t="n"/>
      <c r="F1262" s="74" t="n"/>
      <c r="G1262" s="74" t="n"/>
      <c r="H1262" s="75" t="n"/>
      <c r="I1262" s="75" t="n"/>
      <c r="J1262" s="76" t="n"/>
      <c r="K1262" s="77" t="str">
        <f>IF(AB1262=1,ROUND(AG1262/60,4),"")</f>
        <v/>
      </c>
      <c r="L1262" s="77" t="str">
        <f>IF(BD1262=1,ROUND(AP1262/60,4),"")</f>
        <v/>
      </c>
      <c r="M1262" s="77" t="str">
        <f>IF(BD1262=1,ROUND(AQ1262/60,4),"")</f>
        <v/>
      </c>
      <c r="N1262" s="71" t="str">
        <f>IF(AND(D1262="proMX",AB1262=1),ROUND(AG1262/CFG_BLK,2),"")</f>
        <v/>
      </c>
      <c r="O1262" s="77" t="str">
        <f>IF(D1262="proMX",IF(BD1262=1,ROUND(AG1262/60,4),0),"")</f>
        <v/>
      </c>
      <c r="P1262" s="78" t="str">
        <f>IF(Y1262=0,"",IF(BD1262=1,"OK",IF(D1262="proMX","Revisar bloques: ","Revisar: ")&amp;BC1262))</f>
        <v/>
      </c>
      <c r="Q1262" s="78" t="str">
        <f>IF(NOT(ISNUMBER(B1262)),"",IF(COUNTIFS(FER_F,INT(B1262))&gt;0,"Feriado"&amp;IF(AH1262=1," (laborable)"," (no laborable)"),IF(AH1262=1,"Laborable",IF(WEEKDAY(B1262,2)&gt;5,"Fin de semana","No laborable"))))</f>
        <v/>
      </c>
      <c r="R1262" s="73" t="n"/>
      <c r="S1262" s="72" t="n"/>
      <c r="T1262" s="72" t="n"/>
      <c r="U1262" s="74" t="n"/>
      <c r="V1262" s="79" t="str">
        <f>IF(AND(D1262="proMX",OR(R1262="Submitted",R1262="Recall Requested"),ISNUMBER(S1262)),CFG_TODAY-INT(S1262),"")</f>
        <v/>
      </c>
      <c r="W1262" s="78" t="str">
        <f>IF(BD1262=0,"",IF(BA1262&gt;0,"⚠ Se superpone con un registro de la otra empresa",IF(D1262="Malcolm",IF(COUNTA(R1262,S1262,T1262)&gt;0,"Estado/fechas proMX se ignoran en Malcolm",""),IF(BF1262="Cancelled","Cancelado: excluido de totales",IF(R1262="","Sin estado: se trata como Draft",IF(BF1262="Submitted",IF(ISNUMBER(V1262),IF(V1262&gt;CFG_MAXD,"⚠ "&amp;V1262&amp;" días en Submitted (máx. "&amp;CFG_MAXD&amp;")",""),"Falta fecha de envío"),IF(BF1262="Returned","⚠ Devuelto: corregir y reenviar",IF(BF1262="Recall Requested","Retirada solicitada: pendiente",IF(AND(BF1262="Approved",NOT(ISNUMBER(T1262))),"Falta fecha de aprobación",IF(AND(ISNUMBER(S1262),ISNUMBER(T1262),T1262&lt;S1262),"Aprobación anterior al envío","")))))))))</f>
        <v/>
      </c>
      <c r="Y1262" s="80">
        <f>IF(COUNTA(B1262,D1262,E1262,F1262,G1262,H1262,I1262,J1262,R1262,S1262,T1262)&gt;0,1,0)</f>
        <v>0</v>
      </c>
      <c r="Z1262" s="80" t="str">
        <f>IF(AND(ISNUMBER(H1262),H1262&gt;=0,H1262&lt;1),ROUND(H1262*1440,0),"")</f>
        <v/>
      </c>
      <c r="AA1262" s="80" t="str">
        <f>IF(AND(ISNUMBER(I1262),I1262&gt;=0,I1262&lt;1),ROUND(I1262*1440,0),"")</f>
        <v/>
      </c>
      <c r="AB1262" s="80">
        <f>IF(AND(ISNUMBER(B1262),D1262&lt;&gt;"",ISNUMBER(Z1262),ISNUMBER(AA1262)),IF(Z1262=AA1262,0,1),0)</f>
        <v>0</v>
      </c>
      <c r="AC1262" s="80">
        <f>IF(AB1262=1,IF(AA1262&lt;Z1262,1,0),0)</f>
        <v>0</v>
      </c>
      <c r="AD1262" s="80">
        <f>IF(AB1262=1,IF(AC1262=1,1440-Z1262+AA1262,AA1262-Z1262),0)</f>
        <v>0</v>
      </c>
      <c r="AE1262" s="80">
        <f>IF(J1262="",0,IF(ISNUMBER(J1262),J1262,-1))</f>
        <v>0</v>
      </c>
      <c r="AF1262" s="80">
        <f>MIN(MAX(0,AE1262),AD1262)</f>
        <v>0</v>
      </c>
      <c r="AG1262" s="80">
        <f>MAX(0,AD1262-MAX(0,AE1262))</f>
        <v>0</v>
      </c>
      <c r="AH1262" s="80">
        <f>IF(ISNUMBER(B1262),IF(AND(INDEX(CFG_WDAYS,WEEKDAY(INT(B1262),2))="Sí",IF(D1262="proMX",COUNTIFS(FER_F,INT(B1262),FER_NLP,"Sí"),COUNTIFS(FER_F,INT(B1262),FER_NLM,"Sí"))=0),1,0),0)</f>
        <v>0</v>
      </c>
      <c r="AI1262" s="80">
        <f>IF(AC1262=1,IF(AND(INDEX(CFG_WDAYS,WEEKDAY(INT(B1262)+1,2))="Sí",IF(D1262="proMX",COUNTIFS(FER_F,INT(B1262)+1,FER_NLP,"Sí"),COUNTIFS(FER_F,INT(B1262)+1,FER_NLM,"Sí"))=0),1,0),0)</f>
        <v>0</v>
      </c>
      <c r="AJ1262" s="80">
        <f>IF(AC1262=1,1440-Z1262,AD1262)</f>
        <v>0</v>
      </c>
      <c r="AK1262" s="80">
        <f>IF(AND(AB1262=1,AH1262=1),MAX(0,MIN(IF(AC1262=1,1440,AA1262),CFG_WEM)-MAX(Z1262,CFG_WSM)),0)</f>
        <v>0</v>
      </c>
      <c r="AL1262" s="80">
        <f>IF(AND(AC1262=1,AI1262=1),MAX(0,MIN(AA1262,CFG_WEM)-CFG_WSM),0)</f>
        <v>0</v>
      </c>
      <c r="AM1262" s="80">
        <f>AK1262+AL1262</f>
        <v>0</v>
      </c>
      <c r="AN1262" s="80">
        <f>IF(CFG_BRK="Proporcional",IF(AD1262=0,0,AF1262*AM1262/AD1262),IF(CFG_BRK="Extras primero",MIN(AM1262,MAX(0,AF1262-(AD1262-AM1262))),MIN(AF1262,AM1262)))</f>
        <v>0</v>
      </c>
      <c r="AO1262" s="80">
        <f>AF1262-AN1262</f>
        <v>0</v>
      </c>
      <c r="AP1262" s="80">
        <f>AM1262-AN1262</f>
        <v>0</v>
      </c>
      <c r="AQ1262" s="80">
        <f>AD1262-AM1262-AO1262</f>
        <v>0</v>
      </c>
      <c r="AR1262" s="80">
        <f>IF(AM1262=0,0,AK1262-AN1262*AK1262/AM1262)</f>
        <v>0</v>
      </c>
      <c r="AS1262" s="80">
        <f>IF(AD1262-AM1262=0,0,(AJ1262-AK1262)-AO1262*(AJ1262-AK1262)/(AD1262-AM1262))</f>
        <v>0</v>
      </c>
      <c r="AT1262" s="80" t="str">
        <f>IF(AC1262=1,INT(B1262)+1,"")</f>
        <v/>
      </c>
      <c r="AU1262" s="80">
        <f>IF(AND(D1262="proMX",R1262="Cancelled"),0,1)</f>
        <v>1</v>
      </c>
      <c r="AV1262" s="80">
        <f>IF(AND(AB1262=1,AU1262=1),IF(COUNTIFS($D$5:D1261,D1262,$B$5:B1261,B1262,$Z$5:Z1261,Z1262,$AA$5:AA1261,AA1262,$F$5:F1261,F1262&amp;"",$AU$5:AU1261,1)&gt;0,1,0),0)</f>
        <v>0</v>
      </c>
      <c r="AW1262" s="80" t="str">
        <f>IF(AB1262=1,INT(B1262)*1440+Z1262,"")</f>
        <v/>
      </c>
      <c r="AX1262" s="80" t="str">
        <f>IF(AB1262=1,AW1262+AD1262,"")</f>
        <v/>
      </c>
      <c r="AY1262" s="80">
        <f>IF(AND(AB1262=1,AV1262=0,AU1262=1),1,0)</f>
        <v>0</v>
      </c>
      <c r="AZ1262" s="80">
        <f>IF(AY1262=1,COUNTIFS(R_Emp,D1262,R_SAbs,"&lt;"&amp;AX1262,R_EAbs,"&gt;"&amp;AW1262,R_OKey,1)-1,0)</f>
        <v>0</v>
      </c>
      <c r="BA1262" s="80">
        <f>IF(AY1262=1,COUNTIFS(R_Emp,"&lt;&gt;"&amp;D1262,R_SAbs,"&lt;"&amp;AX1262,R_EAbs,"&gt;"&amp;AW1262,R_OKey,1),0)</f>
        <v>0</v>
      </c>
      <c r="BB1262" s="80">
        <f>IF(AND(AB1262=1,D1262="proMX"),IF(AND(MOD(Z1262,CFG_BLK)=0,MOD(AA1262,CFG_BLK)=0,MOD(AG1262,CFG_BLK)=0,AG1262&gt;0),1,0),1)</f>
        <v>1</v>
      </c>
      <c r="BC1262" s="80" t="str">
        <f>IF(Y1262=0,"",IF(NOT(ISNUMBER(B1262)),"Falta fecha o fecha inválida",IF(D1262="","Falta empresa",IF(AND(D1262&lt;&gt;"Malcolm",D1262&lt;&gt;"proMX"),"Empresa inválida",IF(OR(INT(B1262)&lt;CFG_PSTART,INT(B1262)&gt;CFG_PEND),"Fecha fuera del período",IF(OR(NOT(ISNUMBER(Z1262)),NOT(ISNUMBER(AA1262))),"Falta hora inicio/fin o formato inválido",IF(AB1262=0,"Hora inicio = hora fin",IF(AE1262&lt;0,"Descanso inválido",IF(AE1262&gt;=AD1262,"Descanso ≥ duración",IF(AV1262=1,"Registro duplicado",IF(AZ1262&gt;0,"Se superpone con otro registro "&amp;D1262,IF(BB1262=0,"inicio, fin y duración neta deben ser múltiplos de "&amp;CFG_BLK&amp;" min",""))))))))))))</f>
        <v/>
      </c>
      <c r="BD1262" s="80">
        <f>IF(AND(Y1262=1,BC1262=""),1,0)</f>
        <v>0</v>
      </c>
      <c r="BE1262" s="80">
        <f>IF(AND(BD1262=1,AU1262=1),1,0)</f>
        <v>0</v>
      </c>
      <c r="BF1262" s="80" t="str">
        <f>IF(AND(D1262="proMX",BD1262=1),IF(R1262="","Draft",R1262),"")</f>
        <v/>
      </c>
      <c r="BG1262" s="80">
        <f>IF(BD1262=1,ROUND(AG1262/60,6),0)</f>
        <v>0</v>
      </c>
      <c r="BH1262" s="80">
        <f>IF(BE1262=1,ROUND(AG1262/60,6),0)</f>
        <v>0</v>
      </c>
      <c r="BI1262" s="80">
        <f>IF(BE1262=1,ROUND(AP1262/60,6),0)</f>
        <v>0</v>
      </c>
      <c r="BJ1262" s="80">
        <f>IF(BE1262=1,ROUND(AQ1262/60,6),0)</f>
        <v>0</v>
      </c>
      <c r="BK1262" s="80">
        <f>IF(BE1262=1,ROUND((AR1262+AS1262)/60,6),0)</f>
        <v>0</v>
      </c>
      <c r="BL1262" s="80">
        <f>ROUND(BH1262-BK1262,6)</f>
        <v>0</v>
      </c>
      <c r="BM1262" s="80">
        <f>IF(BE1262=1,ROUND(AR1262/60,6),0)</f>
        <v>0</v>
      </c>
      <c r="BN1262" s="80">
        <f>ROUND(BI1262-BM1262,6)</f>
        <v>0</v>
      </c>
      <c r="BO1262" s="80">
        <f>IF(BE1262=1,ROUND(AS1262/60,6),0)</f>
        <v>0</v>
      </c>
      <c r="BP1262" s="80">
        <f>ROUND(BJ1262-BO1262,6)</f>
        <v>0</v>
      </c>
      <c r="BQ1262" s="80">
        <f>IF(BE1262=1,AW1262,0)</f>
        <v>0</v>
      </c>
      <c r="BR1262" s="80">
        <f>IF(BE1262=1,AX1262,0)</f>
        <v>0</v>
      </c>
      <c r="BS1262" s="80">
        <f>IF(AND(BE1262=1,D1262="Malcolm",BA1262&gt;0),MIN(BH1262,SUMPRODUCT((R_Emp="proMX")*(R_EN&gt;0)*((R_EN-(R_EN&gt;BR1262)*(R_EN-BR1262))&gt;(R_SN+(R_SN&lt;BQ1262)*(BQ1262-R_SN)))*((R_EN-(R_EN&gt;BR1262)*(R_EN-BR1262))-(R_SN+(R_SN&lt;BQ1262)*(BQ1262-R_SN))))/60),0)</f>
        <v>0</v>
      </c>
      <c r="BT1262" s="80">
        <f>IF(AND(BE1262=1,D1262="proMX"),ROUND(BI1262*CFG_RATE+BJ1262*CFG_OTRATE,6),0)</f>
        <v>0</v>
      </c>
      <c r="BU1262" s="80">
        <f>IF(AND(BD1262=1,D1262="proMX"),ROUND(AG1262/CFG_BLK,6),0)</f>
        <v>0</v>
      </c>
      <c r="BV1262" s="80" t="str">
        <f>IF(BF1262="Approved",IF(ISNUMBER(T1262),INT(T1262),INT(B1262)),"")</f>
        <v/>
      </c>
      <c r="BW1262" s="80">
        <f>IF(ISNUMBER(B1262),IF(DB_MON="Todos",1,IF(AND(INT(B1262)&gt;=DB_MS,INT(B1262)&lt;=DB_ME),1,0)),0)</f>
        <v>0</v>
      </c>
      <c r="BX1262" s="80">
        <f>IF(DB_PROJ="Todos",1,IF(E1262&amp;""=DB_PROJ&amp;"",1,0))</f>
        <v>1</v>
      </c>
      <c r="BY1262" s="80">
        <f>BW1262*BX1262</f>
        <v>0</v>
      </c>
      <c r="BZ1262" s="80" t="str">
        <f>IF(Y1262=1,F1262&amp;IF(AND(F1262&amp;""&lt;&gt;"",E1262&amp;""&lt;&gt;"")," · ","")&amp;E1262,"")</f>
        <v/>
      </c>
      <c r="CA1262" s="80" t="str">
        <f>IF(AND(BD1262=1,E1262&amp;""&lt;&gt;""),IF(COUNTIFS($E$5:E1261,E1262,$BD$5:BD1261,1)=0,MAX($CA$5:CA1261)+1,""),"")</f>
        <v/>
      </c>
      <c r="CB1262" s="80" t="str">
        <f>IF(AND(BE1262=1,D1262="Malcolm",E1262&amp;""&lt;&gt;""),IF(COUNTIFS($D$5:D1261,"Malcolm",$E$5:E1261,E1262,$BE$5:BE1261,1)=0,MAX($CB$5:CB1261)+1,""),"")</f>
        <v/>
      </c>
      <c r="CC1262" s="80" t="str">
        <f>IF(AND(BD1262=1,D1262="proMX",E1262&amp;""&lt;&gt;""),IF(COUNTIFS($D$5:D1261,"proMX",$E$5:E1261,E1262,$BD$5:BD1261,1)=0,MAX($CC$5:CC1261)+1,""),"")</f>
        <v/>
      </c>
      <c r="CD1262" s="80" t="str">
        <f>IF(AND(BE1262=1,D1262="Malcolm",F1262&amp;""&lt;&gt;""),IF(COUNTIFS($D$5:D1261,"Malcolm",$F$5:F1261,F1262,$BE$5:BE1261,1)=0,MAX($CD$5:CD1261)+1,""),"")</f>
        <v/>
      </c>
      <c r="CE1262" s="80" t="str">
        <f>IF(AND(BD1262=1,D1262="proMX",F1262&amp;""&lt;&gt;""),IF(COUNTIFS($D$5:D1261,"proMX",$F$5:F1261,F1262,$BD$5:BD1261,1)=0,MAX($CE$5:CE1261)+1,""),"")</f>
        <v/>
      </c>
      <c r="CF1262" s="80" t="str">
        <f>IF(AND(D1262="proMX",BD1262=1),IF(OR(BF1262="Draft",BF1262="Submitted",BF1262="Returned",BF1262="Recall Requested"),MAX($CF$5:CF1261)+1,""),"")</f>
        <v/>
      </c>
      <c r="CG1262" s="80">
        <f>IF(BD1262=0,0,IF(D1262="Malcolm",1,MATCH(BF1262,{"Draft","Submitted","Approved","Returned","Recall Requested","Cancelled"},0)+1))</f>
        <v>0</v>
      </c>
      <c r="CH1262" s="80">
        <f>IF(AND(BF1262="Submitted",ISNUMBER(V1262)),IF(V1262&gt;CFG_MAXD,1,0),0)</f>
        <v>0</v>
      </c>
    </row>
    <row r="1263">
      <c r="A1263" s="71" t="str">
        <f>IF(Y1263=1,ROW()-5,"")</f>
        <v/>
      </c>
      <c r="B1263" s="72" t="n"/>
      <c r="C1263" s="71" t="str">
        <f>IF(ISNUMBER(B1263),CHOOSE(WEEKDAY(B1263,2),"Lun","Mar","Mié","Jue","Vie","Sáb","Dom"),"")</f>
        <v/>
      </c>
      <c r="D1263" s="73" t="n"/>
      <c r="E1263" s="74" t="n"/>
      <c r="F1263" s="74" t="n"/>
      <c r="G1263" s="74" t="n"/>
      <c r="H1263" s="75" t="n"/>
      <c r="I1263" s="75" t="n"/>
      <c r="J1263" s="76" t="n"/>
      <c r="K1263" s="77" t="str">
        <f>IF(AB1263=1,ROUND(AG1263/60,4),"")</f>
        <v/>
      </c>
      <c r="L1263" s="77" t="str">
        <f>IF(BD1263=1,ROUND(AP1263/60,4),"")</f>
        <v/>
      </c>
      <c r="M1263" s="77" t="str">
        <f>IF(BD1263=1,ROUND(AQ1263/60,4),"")</f>
        <v/>
      </c>
      <c r="N1263" s="71" t="str">
        <f>IF(AND(D1263="proMX",AB1263=1),ROUND(AG1263/CFG_BLK,2),"")</f>
        <v/>
      </c>
      <c r="O1263" s="77" t="str">
        <f>IF(D1263="proMX",IF(BD1263=1,ROUND(AG1263/60,4),0),"")</f>
        <v/>
      </c>
      <c r="P1263" s="78" t="str">
        <f>IF(Y1263=0,"",IF(BD1263=1,"OK",IF(D1263="proMX","Revisar bloques: ","Revisar: ")&amp;BC1263))</f>
        <v/>
      </c>
      <c r="Q1263" s="78" t="str">
        <f>IF(NOT(ISNUMBER(B1263)),"",IF(COUNTIFS(FER_F,INT(B1263))&gt;0,"Feriado"&amp;IF(AH1263=1," (laborable)"," (no laborable)"),IF(AH1263=1,"Laborable",IF(WEEKDAY(B1263,2)&gt;5,"Fin de semana","No laborable"))))</f>
        <v/>
      </c>
      <c r="R1263" s="73" t="n"/>
      <c r="S1263" s="72" t="n"/>
      <c r="T1263" s="72" t="n"/>
      <c r="U1263" s="74" t="n"/>
      <c r="V1263" s="79" t="str">
        <f>IF(AND(D1263="proMX",OR(R1263="Submitted",R1263="Recall Requested"),ISNUMBER(S1263)),CFG_TODAY-INT(S1263),"")</f>
        <v/>
      </c>
      <c r="W1263" s="78" t="str">
        <f>IF(BD1263=0,"",IF(BA1263&gt;0,"⚠ Se superpone con un registro de la otra empresa",IF(D1263="Malcolm",IF(COUNTA(R1263,S1263,T1263)&gt;0,"Estado/fechas proMX se ignoran en Malcolm",""),IF(BF1263="Cancelled","Cancelado: excluido de totales",IF(R1263="","Sin estado: se trata como Draft",IF(BF1263="Submitted",IF(ISNUMBER(V1263),IF(V1263&gt;CFG_MAXD,"⚠ "&amp;V1263&amp;" días en Submitted (máx. "&amp;CFG_MAXD&amp;")",""),"Falta fecha de envío"),IF(BF1263="Returned","⚠ Devuelto: corregir y reenviar",IF(BF1263="Recall Requested","Retirada solicitada: pendiente",IF(AND(BF1263="Approved",NOT(ISNUMBER(T1263))),"Falta fecha de aprobación",IF(AND(ISNUMBER(S1263),ISNUMBER(T1263),T1263&lt;S1263),"Aprobación anterior al envío","")))))))))</f>
        <v/>
      </c>
      <c r="Y1263" s="80">
        <f>IF(COUNTA(B1263,D1263,E1263,F1263,G1263,H1263,I1263,J1263,R1263,S1263,T1263)&gt;0,1,0)</f>
        <v>0</v>
      </c>
      <c r="Z1263" s="80" t="str">
        <f>IF(AND(ISNUMBER(H1263),H1263&gt;=0,H1263&lt;1),ROUND(H1263*1440,0),"")</f>
        <v/>
      </c>
      <c r="AA1263" s="80" t="str">
        <f>IF(AND(ISNUMBER(I1263),I1263&gt;=0,I1263&lt;1),ROUND(I1263*1440,0),"")</f>
        <v/>
      </c>
      <c r="AB1263" s="80">
        <f>IF(AND(ISNUMBER(B1263),D1263&lt;&gt;"",ISNUMBER(Z1263),ISNUMBER(AA1263)),IF(Z1263=AA1263,0,1),0)</f>
        <v>0</v>
      </c>
      <c r="AC1263" s="80">
        <f>IF(AB1263=1,IF(AA1263&lt;Z1263,1,0),0)</f>
        <v>0</v>
      </c>
      <c r="AD1263" s="80">
        <f>IF(AB1263=1,IF(AC1263=1,1440-Z1263+AA1263,AA1263-Z1263),0)</f>
        <v>0</v>
      </c>
      <c r="AE1263" s="80">
        <f>IF(J1263="",0,IF(ISNUMBER(J1263),J1263,-1))</f>
        <v>0</v>
      </c>
      <c r="AF1263" s="80">
        <f>MIN(MAX(0,AE1263),AD1263)</f>
        <v>0</v>
      </c>
      <c r="AG1263" s="80">
        <f>MAX(0,AD1263-MAX(0,AE1263))</f>
        <v>0</v>
      </c>
      <c r="AH1263" s="80">
        <f>IF(ISNUMBER(B1263),IF(AND(INDEX(CFG_WDAYS,WEEKDAY(INT(B1263),2))="Sí",IF(D1263="proMX",COUNTIFS(FER_F,INT(B1263),FER_NLP,"Sí"),COUNTIFS(FER_F,INT(B1263),FER_NLM,"Sí"))=0),1,0),0)</f>
        <v>0</v>
      </c>
      <c r="AI1263" s="80">
        <f>IF(AC1263=1,IF(AND(INDEX(CFG_WDAYS,WEEKDAY(INT(B1263)+1,2))="Sí",IF(D1263="proMX",COUNTIFS(FER_F,INT(B1263)+1,FER_NLP,"Sí"),COUNTIFS(FER_F,INT(B1263)+1,FER_NLM,"Sí"))=0),1,0),0)</f>
        <v>0</v>
      </c>
      <c r="AJ1263" s="80">
        <f>IF(AC1263=1,1440-Z1263,AD1263)</f>
        <v>0</v>
      </c>
      <c r="AK1263" s="80">
        <f>IF(AND(AB1263=1,AH1263=1),MAX(0,MIN(IF(AC1263=1,1440,AA1263),CFG_WEM)-MAX(Z1263,CFG_WSM)),0)</f>
        <v>0</v>
      </c>
      <c r="AL1263" s="80">
        <f>IF(AND(AC1263=1,AI1263=1),MAX(0,MIN(AA1263,CFG_WEM)-CFG_WSM),0)</f>
        <v>0</v>
      </c>
      <c r="AM1263" s="80">
        <f>AK1263+AL1263</f>
        <v>0</v>
      </c>
      <c r="AN1263" s="80">
        <f>IF(CFG_BRK="Proporcional",IF(AD1263=0,0,AF1263*AM1263/AD1263),IF(CFG_BRK="Extras primero",MIN(AM1263,MAX(0,AF1263-(AD1263-AM1263))),MIN(AF1263,AM1263)))</f>
        <v>0</v>
      </c>
      <c r="AO1263" s="80">
        <f>AF1263-AN1263</f>
        <v>0</v>
      </c>
      <c r="AP1263" s="80">
        <f>AM1263-AN1263</f>
        <v>0</v>
      </c>
      <c r="AQ1263" s="80">
        <f>AD1263-AM1263-AO1263</f>
        <v>0</v>
      </c>
      <c r="AR1263" s="80">
        <f>IF(AM1263=0,0,AK1263-AN1263*AK1263/AM1263)</f>
        <v>0</v>
      </c>
      <c r="AS1263" s="80">
        <f>IF(AD1263-AM1263=0,0,(AJ1263-AK1263)-AO1263*(AJ1263-AK1263)/(AD1263-AM1263))</f>
        <v>0</v>
      </c>
      <c r="AT1263" s="80" t="str">
        <f>IF(AC1263=1,INT(B1263)+1,"")</f>
        <v/>
      </c>
      <c r="AU1263" s="80">
        <f>IF(AND(D1263="proMX",R1263="Cancelled"),0,1)</f>
        <v>1</v>
      </c>
      <c r="AV1263" s="80">
        <f>IF(AND(AB1263=1,AU1263=1),IF(COUNTIFS($D$5:D1262,D1263,$B$5:B1262,B1263,$Z$5:Z1262,Z1263,$AA$5:AA1262,AA1263,$F$5:F1262,F1263&amp;"",$AU$5:AU1262,1)&gt;0,1,0),0)</f>
        <v>0</v>
      </c>
      <c r="AW1263" s="80" t="str">
        <f>IF(AB1263=1,INT(B1263)*1440+Z1263,"")</f>
        <v/>
      </c>
      <c r="AX1263" s="80" t="str">
        <f>IF(AB1263=1,AW1263+AD1263,"")</f>
        <v/>
      </c>
      <c r="AY1263" s="80">
        <f>IF(AND(AB1263=1,AV1263=0,AU1263=1),1,0)</f>
        <v>0</v>
      </c>
      <c r="AZ1263" s="80">
        <f>IF(AY1263=1,COUNTIFS(R_Emp,D1263,R_SAbs,"&lt;"&amp;AX1263,R_EAbs,"&gt;"&amp;AW1263,R_OKey,1)-1,0)</f>
        <v>0</v>
      </c>
      <c r="BA1263" s="80">
        <f>IF(AY1263=1,COUNTIFS(R_Emp,"&lt;&gt;"&amp;D1263,R_SAbs,"&lt;"&amp;AX1263,R_EAbs,"&gt;"&amp;AW1263,R_OKey,1),0)</f>
        <v>0</v>
      </c>
      <c r="BB1263" s="80">
        <f>IF(AND(AB1263=1,D1263="proMX"),IF(AND(MOD(Z1263,CFG_BLK)=0,MOD(AA1263,CFG_BLK)=0,MOD(AG1263,CFG_BLK)=0,AG1263&gt;0),1,0),1)</f>
        <v>1</v>
      </c>
      <c r="BC1263" s="80" t="str">
        <f>IF(Y1263=0,"",IF(NOT(ISNUMBER(B1263)),"Falta fecha o fecha inválida",IF(D1263="","Falta empresa",IF(AND(D1263&lt;&gt;"Malcolm",D1263&lt;&gt;"proMX"),"Empresa inválida",IF(OR(INT(B1263)&lt;CFG_PSTART,INT(B1263)&gt;CFG_PEND),"Fecha fuera del período",IF(OR(NOT(ISNUMBER(Z1263)),NOT(ISNUMBER(AA1263))),"Falta hora inicio/fin o formato inválido",IF(AB1263=0,"Hora inicio = hora fin",IF(AE1263&lt;0,"Descanso inválido",IF(AE1263&gt;=AD1263,"Descanso ≥ duración",IF(AV1263=1,"Registro duplicado",IF(AZ1263&gt;0,"Se superpone con otro registro "&amp;D1263,IF(BB1263=0,"inicio, fin y duración neta deben ser múltiplos de "&amp;CFG_BLK&amp;" min",""))))))))))))</f>
        <v/>
      </c>
      <c r="BD1263" s="80">
        <f>IF(AND(Y1263=1,BC1263=""),1,0)</f>
        <v>0</v>
      </c>
      <c r="BE1263" s="80">
        <f>IF(AND(BD1263=1,AU1263=1),1,0)</f>
        <v>0</v>
      </c>
      <c r="BF1263" s="80" t="str">
        <f>IF(AND(D1263="proMX",BD1263=1),IF(R1263="","Draft",R1263),"")</f>
        <v/>
      </c>
      <c r="BG1263" s="80">
        <f>IF(BD1263=1,ROUND(AG1263/60,6),0)</f>
        <v>0</v>
      </c>
      <c r="BH1263" s="80">
        <f>IF(BE1263=1,ROUND(AG1263/60,6),0)</f>
        <v>0</v>
      </c>
      <c r="BI1263" s="80">
        <f>IF(BE1263=1,ROUND(AP1263/60,6),0)</f>
        <v>0</v>
      </c>
      <c r="BJ1263" s="80">
        <f>IF(BE1263=1,ROUND(AQ1263/60,6),0)</f>
        <v>0</v>
      </c>
      <c r="BK1263" s="80">
        <f>IF(BE1263=1,ROUND((AR1263+AS1263)/60,6),0)</f>
        <v>0</v>
      </c>
      <c r="BL1263" s="80">
        <f>ROUND(BH1263-BK1263,6)</f>
        <v>0</v>
      </c>
      <c r="BM1263" s="80">
        <f>IF(BE1263=1,ROUND(AR1263/60,6),0)</f>
        <v>0</v>
      </c>
      <c r="BN1263" s="80">
        <f>ROUND(BI1263-BM1263,6)</f>
        <v>0</v>
      </c>
      <c r="BO1263" s="80">
        <f>IF(BE1263=1,ROUND(AS1263/60,6),0)</f>
        <v>0</v>
      </c>
      <c r="BP1263" s="80">
        <f>ROUND(BJ1263-BO1263,6)</f>
        <v>0</v>
      </c>
      <c r="BQ1263" s="80">
        <f>IF(BE1263=1,AW1263,0)</f>
        <v>0</v>
      </c>
      <c r="BR1263" s="80">
        <f>IF(BE1263=1,AX1263,0)</f>
        <v>0</v>
      </c>
      <c r="BS1263" s="80">
        <f>IF(AND(BE1263=1,D1263="Malcolm",BA1263&gt;0),MIN(BH1263,SUMPRODUCT((R_Emp="proMX")*(R_EN&gt;0)*((R_EN-(R_EN&gt;BR1263)*(R_EN-BR1263))&gt;(R_SN+(R_SN&lt;BQ1263)*(BQ1263-R_SN)))*((R_EN-(R_EN&gt;BR1263)*(R_EN-BR1263))-(R_SN+(R_SN&lt;BQ1263)*(BQ1263-R_SN))))/60),0)</f>
        <v>0</v>
      </c>
      <c r="BT1263" s="80">
        <f>IF(AND(BE1263=1,D1263="proMX"),ROUND(BI1263*CFG_RATE+BJ1263*CFG_OTRATE,6),0)</f>
        <v>0</v>
      </c>
      <c r="BU1263" s="80">
        <f>IF(AND(BD1263=1,D1263="proMX"),ROUND(AG1263/CFG_BLK,6),0)</f>
        <v>0</v>
      </c>
      <c r="BV1263" s="80" t="str">
        <f>IF(BF1263="Approved",IF(ISNUMBER(T1263),INT(T1263),INT(B1263)),"")</f>
        <v/>
      </c>
      <c r="BW1263" s="80">
        <f>IF(ISNUMBER(B1263),IF(DB_MON="Todos",1,IF(AND(INT(B1263)&gt;=DB_MS,INT(B1263)&lt;=DB_ME),1,0)),0)</f>
        <v>0</v>
      </c>
      <c r="BX1263" s="80">
        <f>IF(DB_PROJ="Todos",1,IF(E1263&amp;""=DB_PROJ&amp;"",1,0))</f>
        <v>1</v>
      </c>
      <c r="BY1263" s="80">
        <f>BW1263*BX1263</f>
        <v>0</v>
      </c>
      <c r="BZ1263" s="80" t="str">
        <f>IF(Y1263=1,F1263&amp;IF(AND(F1263&amp;""&lt;&gt;"",E1263&amp;""&lt;&gt;"")," · ","")&amp;E1263,"")</f>
        <v/>
      </c>
      <c r="CA1263" s="80" t="str">
        <f>IF(AND(BD1263=1,E1263&amp;""&lt;&gt;""),IF(COUNTIFS($E$5:E1262,E1263,$BD$5:BD1262,1)=0,MAX($CA$5:CA1262)+1,""),"")</f>
        <v/>
      </c>
      <c r="CB1263" s="80" t="str">
        <f>IF(AND(BE1263=1,D1263="Malcolm",E1263&amp;""&lt;&gt;""),IF(COUNTIFS($D$5:D1262,"Malcolm",$E$5:E1262,E1263,$BE$5:BE1262,1)=0,MAX($CB$5:CB1262)+1,""),"")</f>
        <v/>
      </c>
      <c r="CC1263" s="80" t="str">
        <f>IF(AND(BD1263=1,D1263="proMX",E1263&amp;""&lt;&gt;""),IF(COUNTIFS($D$5:D1262,"proMX",$E$5:E1262,E1263,$BD$5:BD1262,1)=0,MAX($CC$5:CC1262)+1,""),"")</f>
        <v/>
      </c>
      <c r="CD1263" s="80" t="str">
        <f>IF(AND(BE1263=1,D1263="Malcolm",F1263&amp;""&lt;&gt;""),IF(COUNTIFS($D$5:D1262,"Malcolm",$F$5:F1262,F1263,$BE$5:BE1262,1)=0,MAX($CD$5:CD1262)+1,""),"")</f>
        <v/>
      </c>
      <c r="CE1263" s="80" t="str">
        <f>IF(AND(BD1263=1,D1263="proMX",F1263&amp;""&lt;&gt;""),IF(COUNTIFS($D$5:D1262,"proMX",$F$5:F1262,F1263,$BD$5:BD1262,1)=0,MAX($CE$5:CE1262)+1,""),"")</f>
        <v/>
      </c>
      <c r="CF1263" s="80" t="str">
        <f>IF(AND(D1263="proMX",BD1263=1),IF(OR(BF1263="Draft",BF1263="Submitted",BF1263="Returned",BF1263="Recall Requested"),MAX($CF$5:CF1262)+1,""),"")</f>
        <v/>
      </c>
      <c r="CG1263" s="80">
        <f>IF(BD1263=0,0,IF(D1263="Malcolm",1,MATCH(BF1263,{"Draft","Submitted","Approved","Returned","Recall Requested","Cancelled"},0)+1))</f>
        <v>0</v>
      </c>
      <c r="CH1263" s="80">
        <f>IF(AND(BF1263="Submitted",ISNUMBER(V1263)),IF(V1263&gt;CFG_MAXD,1,0),0)</f>
        <v>0</v>
      </c>
    </row>
    <row r="1264">
      <c r="A1264" s="71" t="str">
        <f>IF(Y1264=1,ROW()-5,"")</f>
        <v/>
      </c>
      <c r="B1264" s="72" t="n"/>
      <c r="C1264" s="71" t="str">
        <f>IF(ISNUMBER(B1264),CHOOSE(WEEKDAY(B1264,2),"Lun","Mar","Mié","Jue","Vie","Sáb","Dom"),"")</f>
        <v/>
      </c>
      <c r="D1264" s="73" t="n"/>
      <c r="E1264" s="74" t="n"/>
      <c r="F1264" s="74" t="n"/>
      <c r="G1264" s="74" t="n"/>
      <c r="H1264" s="75" t="n"/>
      <c r="I1264" s="75" t="n"/>
      <c r="J1264" s="76" t="n"/>
      <c r="K1264" s="77" t="str">
        <f>IF(AB1264=1,ROUND(AG1264/60,4),"")</f>
        <v/>
      </c>
      <c r="L1264" s="77" t="str">
        <f>IF(BD1264=1,ROUND(AP1264/60,4),"")</f>
        <v/>
      </c>
      <c r="M1264" s="77" t="str">
        <f>IF(BD1264=1,ROUND(AQ1264/60,4),"")</f>
        <v/>
      </c>
      <c r="N1264" s="71" t="str">
        <f>IF(AND(D1264="proMX",AB1264=1),ROUND(AG1264/CFG_BLK,2),"")</f>
        <v/>
      </c>
      <c r="O1264" s="77" t="str">
        <f>IF(D1264="proMX",IF(BD1264=1,ROUND(AG1264/60,4),0),"")</f>
        <v/>
      </c>
      <c r="P1264" s="78" t="str">
        <f>IF(Y1264=0,"",IF(BD1264=1,"OK",IF(D1264="proMX","Revisar bloques: ","Revisar: ")&amp;BC1264))</f>
        <v/>
      </c>
      <c r="Q1264" s="78" t="str">
        <f>IF(NOT(ISNUMBER(B1264)),"",IF(COUNTIFS(FER_F,INT(B1264))&gt;0,"Feriado"&amp;IF(AH1264=1," (laborable)"," (no laborable)"),IF(AH1264=1,"Laborable",IF(WEEKDAY(B1264,2)&gt;5,"Fin de semana","No laborable"))))</f>
        <v/>
      </c>
      <c r="R1264" s="73" t="n"/>
      <c r="S1264" s="72" t="n"/>
      <c r="T1264" s="72" t="n"/>
      <c r="U1264" s="74" t="n"/>
      <c r="V1264" s="79" t="str">
        <f>IF(AND(D1264="proMX",OR(R1264="Submitted",R1264="Recall Requested"),ISNUMBER(S1264)),CFG_TODAY-INT(S1264),"")</f>
        <v/>
      </c>
      <c r="W1264" s="78" t="str">
        <f>IF(BD1264=0,"",IF(BA1264&gt;0,"⚠ Se superpone con un registro de la otra empresa",IF(D1264="Malcolm",IF(COUNTA(R1264,S1264,T1264)&gt;0,"Estado/fechas proMX se ignoran en Malcolm",""),IF(BF1264="Cancelled","Cancelado: excluido de totales",IF(R1264="","Sin estado: se trata como Draft",IF(BF1264="Submitted",IF(ISNUMBER(V1264),IF(V1264&gt;CFG_MAXD,"⚠ "&amp;V1264&amp;" días en Submitted (máx. "&amp;CFG_MAXD&amp;")",""),"Falta fecha de envío"),IF(BF1264="Returned","⚠ Devuelto: corregir y reenviar",IF(BF1264="Recall Requested","Retirada solicitada: pendiente",IF(AND(BF1264="Approved",NOT(ISNUMBER(T1264))),"Falta fecha de aprobación",IF(AND(ISNUMBER(S1264),ISNUMBER(T1264),T1264&lt;S1264),"Aprobación anterior al envío","")))))))))</f>
        <v/>
      </c>
      <c r="Y1264" s="80">
        <f>IF(COUNTA(B1264,D1264,E1264,F1264,G1264,H1264,I1264,J1264,R1264,S1264,T1264)&gt;0,1,0)</f>
        <v>0</v>
      </c>
      <c r="Z1264" s="80" t="str">
        <f>IF(AND(ISNUMBER(H1264),H1264&gt;=0,H1264&lt;1),ROUND(H1264*1440,0),"")</f>
        <v/>
      </c>
      <c r="AA1264" s="80" t="str">
        <f>IF(AND(ISNUMBER(I1264),I1264&gt;=0,I1264&lt;1),ROUND(I1264*1440,0),"")</f>
        <v/>
      </c>
      <c r="AB1264" s="80">
        <f>IF(AND(ISNUMBER(B1264),D1264&lt;&gt;"",ISNUMBER(Z1264),ISNUMBER(AA1264)),IF(Z1264=AA1264,0,1),0)</f>
        <v>0</v>
      </c>
      <c r="AC1264" s="80">
        <f>IF(AB1264=1,IF(AA1264&lt;Z1264,1,0),0)</f>
        <v>0</v>
      </c>
      <c r="AD1264" s="80">
        <f>IF(AB1264=1,IF(AC1264=1,1440-Z1264+AA1264,AA1264-Z1264),0)</f>
        <v>0</v>
      </c>
      <c r="AE1264" s="80">
        <f>IF(J1264="",0,IF(ISNUMBER(J1264),J1264,-1))</f>
        <v>0</v>
      </c>
      <c r="AF1264" s="80">
        <f>MIN(MAX(0,AE1264),AD1264)</f>
        <v>0</v>
      </c>
      <c r="AG1264" s="80">
        <f>MAX(0,AD1264-MAX(0,AE1264))</f>
        <v>0</v>
      </c>
      <c r="AH1264" s="80">
        <f>IF(ISNUMBER(B1264),IF(AND(INDEX(CFG_WDAYS,WEEKDAY(INT(B1264),2))="Sí",IF(D1264="proMX",COUNTIFS(FER_F,INT(B1264),FER_NLP,"Sí"),COUNTIFS(FER_F,INT(B1264),FER_NLM,"Sí"))=0),1,0),0)</f>
        <v>0</v>
      </c>
      <c r="AI1264" s="80">
        <f>IF(AC1264=1,IF(AND(INDEX(CFG_WDAYS,WEEKDAY(INT(B1264)+1,2))="Sí",IF(D1264="proMX",COUNTIFS(FER_F,INT(B1264)+1,FER_NLP,"Sí"),COUNTIFS(FER_F,INT(B1264)+1,FER_NLM,"Sí"))=0),1,0),0)</f>
        <v>0</v>
      </c>
      <c r="AJ1264" s="80">
        <f>IF(AC1264=1,1440-Z1264,AD1264)</f>
        <v>0</v>
      </c>
      <c r="AK1264" s="80">
        <f>IF(AND(AB1264=1,AH1264=1),MAX(0,MIN(IF(AC1264=1,1440,AA1264),CFG_WEM)-MAX(Z1264,CFG_WSM)),0)</f>
        <v>0</v>
      </c>
      <c r="AL1264" s="80">
        <f>IF(AND(AC1264=1,AI1264=1),MAX(0,MIN(AA1264,CFG_WEM)-CFG_WSM),0)</f>
        <v>0</v>
      </c>
      <c r="AM1264" s="80">
        <f>AK1264+AL1264</f>
        <v>0</v>
      </c>
      <c r="AN1264" s="80">
        <f>IF(CFG_BRK="Proporcional",IF(AD1264=0,0,AF1264*AM1264/AD1264),IF(CFG_BRK="Extras primero",MIN(AM1264,MAX(0,AF1264-(AD1264-AM1264))),MIN(AF1264,AM1264)))</f>
        <v>0</v>
      </c>
      <c r="AO1264" s="80">
        <f>AF1264-AN1264</f>
        <v>0</v>
      </c>
      <c r="AP1264" s="80">
        <f>AM1264-AN1264</f>
        <v>0</v>
      </c>
      <c r="AQ1264" s="80">
        <f>AD1264-AM1264-AO1264</f>
        <v>0</v>
      </c>
      <c r="AR1264" s="80">
        <f>IF(AM1264=0,0,AK1264-AN1264*AK1264/AM1264)</f>
        <v>0</v>
      </c>
      <c r="AS1264" s="80">
        <f>IF(AD1264-AM1264=0,0,(AJ1264-AK1264)-AO1264*(AJ1264-AK1264)/(AD1264-AM1264))</f>
        <v>0</v>
      </c>
      <c r="AT1264" s="80" t="str">
        <f>IF(AC1264=1,INT(B1264)+1,"")</f>
        <v/>
      </c>
      <c r="AU1264" s="80">
        <f>IF(AND(D1264="proMX",R1264="Cancelled"),0,1)</f>
        <v>1</v>
      </c>
      <c r="AV1264" s="80">
        <f>IF(AND(AB1264=1,AU1264=1),IF(COUNTIFS($D$5:D1263,D1264,$B$5:B1263,B1264,$Z$5:Z1263,Z1264,$AA$5:AA1263,AA1264,$F$5:F1263,F1264&amp;"",$AU$5:AU1263,1)&gt;0,1,0),0)</f>
        <v>0</v>
      </c>
      <c r="AW1264" s="80" t="str">
        <f>IF(AB1264=1,INT(B1264)*1440+Z1264,"")</f>
        <v/>
      </c>
      <c r="AX1264" s="80" t="str">
        <f>IF(AB1264=1,AW1264+AD1264,"")</f>
        <v/>
      </c>
      <c r="AY1264" s="80">
        <f>IF(AND(AB1264=1,AV1264=0,AU1264=1),1,0)</f>
        <v>0</v>
      </c>
      <c r="AZ1264" s="80">
        <f>IF(AY1264=1,COUNTIFS(R_Emp,D1264,R_SAbs,"&lt;"&amp;AX1264,R_EAbs,"&gt;"&amp;AW1264,R_OKey,1)-1,0)</f>
        <v>0</v>
      </c>
      <c r="BA1264" s="80">
        <f>IF(AY1264=1,COUNTIFS(R_Emp,"&lt;&gt;"&amp;D1264,R_SAbs,"&lt;"&amp;AX1264,R_EAbs,"&gt;"&amp;AW1264,R_OKey,1),0)</f>
        <v>0</v>
      </c>
      <c r="BB1264" s="80">
        <f>IF(AND(AB1264=1,D1264="proMX"),IF(AND(MOD(Z1264,CFG_BLK)=0,MOD(AA1264,CFG_BLK)=0,MOD(AG1264,CFG_BLK)=0,AG1264&gt;0),1,0),1)</f>
        <v>1</v>
      </c>
      <c r="BC1264" s="80" t="str">
        <f>IF(Y1264=0,"",IF(NOT(ISNUMBER(B1264)),"Falta fecha o fecha inválida",IF(D1264="","Falta empresa",IF(AND(D1264&lt;&gt;"Malcolm",D1264&lt;&gt;"proMX"),"Empresa inválida",IF(OR(INT(B1264)&lt;CFG_PSTART,INT(B1264)&gt;CFG_PEND),"Fecha fuera del período",IF(OR(NOT(ISNUMBER(Z1264)),NOT(ISNUMBER(AA1264))),"Falta hora inicio/fin o formato inválido",IF(AB1264=0,"Hora inicio = hora fin",IF(AE1264&lt;0,"Descanso inválido",IF(AE1264&gt;=AD1264,"Descanso ≥ duración",IF(AV1264=1,"Registro duplicado",IF(AZ1264&gt;0,"Se superpone con otro registro "&amp;D1264,IF(BB1264=0,"inicio, fin y duración neta deben ser múltiplos de "&amp;CFG_BLK&amp;" min",""))))))))))))</f>
        <v/>
      </c>
      <c r="BD1264" s="80">
        <f>IF(AND(Y1264=1,BC1264=""),1,0)</f>
        <v>0</v>
      </c>
      <c r="BE1264" s="80">
        <f>IF(AND(BD1264=1,AU1264=1),1,0)</f>
        <v>0</v>
      </c>
      <c r="BF1264" s="80" t="str">
        <f>IF(AND(D1264="proMX",BD1264=1),IF(R1264="","Draft",R1264),"")</f>
        <v/>
      </c>
      <c r="BG1264" s="80">
        <f>IF(BD1264=1,ROUND(AG1264/60,6),0)</f>
        <v>0</v>
      </c>
      <c r="BH1264" s="80">
        <f>IF(BE1264=1,ROUND(AG1264/60,6),0)</f>
        <v>0</v>
      </c>
      <c r="BI1264" s="80">
        <f>IF(BE1264=1,ROUND(AP1264/60,6),0)</f>
        <v>0</v>
      </c>
      <c r="BJ1264" s="80">
        <f>IF(BE1264=1,ROUND(AQ1264/60,6),0)</f>
        <v>0</v>
      </c>
      <c r="BK1264" s="80">
        <f>IF(BE1264=1,ROUND((AR1264+AS1264)/60,6),0)</f>
        <v>0</v>
      </c>
      <c r="BL1264" s="80">
        <f>ROUND(BH1264-BK1264,6)</f>
        <v>0</v>
      </c>
      <c r="BM1264" s="80">
        <f>IF(BE1264=1,ROUND(AR1264/60,6),0)</f>
        <v>0</v>
      </c>
      <c r="BN1264" s="80">
        <f>ROUND(BI1264-BM1264,6)</f>
        <v>0</v>
      </c>
      <c r="BO1264" s="80">
        <f>IF(BE1264=1,ROUND(AS1264/60,6),0)</f>
        <v>0</v>
      </c>
      <c r="BP1264" s="80">
        <f>ROUND(BJ1264-BO1264,6)</f>
        <v>0</v>
      </c>
      <c r="BQ1264" s="80">
        <f>IF(BE1264=1,AW1264,0)</f>
        <v>0</v>
      </c>
      <c r="BR1264" s="80">
        <f>IF(BE1264=1,AX1264,0)</f>
        <v>0</v>
      </c>
      <c r="BS1264" s="80">
        <f>IF(AND(BE1264=1,D1264="Malcolm",BA1264&gt;0),MIN(BH1264,SUMPRODUCT((R_Emp="proMX")*(R_EN&gt;0)*((R_EN-(R_EN&gt;BR1264)*(R_EN-BR1264))&gt;(R_SN+(R_SN&lt;BQ1264)*(BQ1264-R_SN)))*((R_EN-(R_EN&gt;BR1264)*(R_EN-BR1264))-(R_SN+(R_SN&lt;BQ1264)*(BQ1264-R_SN))))/60),0)</f>
        <v>0</v>
      </c>
      <c r="BT1264" s="80">
        <f>IF(AND(BE1264=1,D1264="proMX"),ROUND(BI1264*CFG_RATE+BJ1264*CFG_OTRATE,6),0)</f>
        <v>0</v>
      </c>
      <c r="BU1264" s="80">
        <f>IF(AND(BD1264=1,D1264="proMX"),ROUND(AG1264/CFG_BLK,6),0)</f>
        <v>0</v>
      </c>
      <c r="BV1264" s="80" t="str">
        <f>IF(BF1264="Approved",IF(ISNUMBER(T1264),INT(T1264),INT(B1264)),"")</f>
        <v/>
      </c>
      <c r="BW1264" s="80">
        <f>IF(ISNUMBER(B1264),IF(DB_MON="Todos",1,IF(AND(INT(B1264)&gt;=DB_MS,INT(B1264)&lt;=DB_ME),1,0)),0)</f>
        <v>0</v>
      </c>
      <c r="BX1264" s="80">
        <f>IF(DB_PROJ="Todos",1,IF(E1264&amp;""=DB_PROJ&amp;"",1,0))</f>
        <v>1</v>
      </c>
      <c r="BY1264" s="80">
        <f>BW1264*BX1264</f>
        <v>0</v>
      </c>
      <c r="BZ1264" s="80" t="str">
        <f>IF(Y1264=1,F1264&amp;IF(AND(F1264&amp;""&lt;&gt;"",E1264&amp;""&lt;&gt;"")," · ","")&amp;E1264,"")</f>
        <v/>
      </c>
      <c r="CA1264" s="80" t="str">
        <f>IF(AND(BD1264=1,E1264&amp;""&lt;&gt;""),IF(COUNTIFS($E$5:E1263,E1264,$BD$5:BD1263,1)=0,MAX($CA$5:CA1263)+1,""),"")</f>
        <v/>
      </c>
      <c r="CB1264" s="80" t="str">
        <f>IF(AND(BE1264=1,D1264="Malcolm",E1264&amp;""&lt;&gt;""),IF(COUNTIFS($D$5:D1263,"Malcolm",$E$5:E1263,E1264,$BE$5:BE1263,1)=0,MAX($CB$5:CB1263)+1,""),"")</f>
        <v/>
      </c>
      <c r="CC1264" s="80" t="str">
        <f>IF(AND(BD1264=1,D1264="proMX",E1264&amp;""&lt;&gt;""),IF(COUNTIFS($D$5:D1263,"proMX",$E$5:E1263,E1264,$BD$5:BD1263,1)=0,MAX($CC$5:CC1263)+1,""),"")</f>
        <v/>
      </c>
      <c r="CD1264" s="80" t="str">
        <f>IF(AND(BE1264=1,D1264="Malcolm",F1264&amp;""&lt;&gt;""),IF(COUNTIFS($D$5:D1263,"Malcolm",$F$5:F1263,F1264,$BE$5:BE1263,1)=0,MAX($CD$5:CD1263)+1,""),"")</f>
        <v/>
      </c>
      <c r="CE1264" s="80" t="str">
        <f>IF(AND(BD1264=1,D1264="proMX",F1264&amp;""&lt;&gt;""),IF(COUNTIFS($D$5:D1263,"proMX",$F$5:F1263,F1264,$BD$5:BD1263,1)=0,MAX($CE$5:CE1263)+1,""),"")</f>
        <v/>
      </c>
      <c r="CF1264" s="80" t="str">
        <f>IF(AND(D1264="proMX",BD1264=1),IF(OR(BF1264="Draft",BF1264="Submitted",BF1264="Returned",BF1264="Recall Requested"),MAX($CF$5:CF1263)+1,""),"")</f>
        <v/>
      </c>
      <c r="CG1264" s="80">
        <f>IF(BD1264=0,0,IF(D1264="Malcolm",1,MATCH(BF1264,{"Draft","Submitted","Approved","Returned","Recall Requested","Cancelled"},0)+1))</f>
        <v>0</v>
      </c>
      <c r="CH1264" s="80">
        <f>IF(AND(BF1264="Submitted",ISNUMBER(V1264)),IF(V1264&gt;CFG_MAXD,1,0),0)</f>
        <v>0</v>
      </c>
    </row>
    <row r="1265">
      <c r="A1265" s="71" t="str">
        <f>IF(Y1265=1,ROW()-5,"")</f>
        <v/>
      </c>
      <c r="B1265" s="72" t="n"/>
      <c r="C1265" s="71" t="str">
        <f>IF(ISNUMBER(B1265),CHOOSE(WEEKDAY(B1265,2),"Lun","Mar","Mié","Jue","Vie","Sáb","Dom"),"")</f>
        <v/>
      </c>
      <c r="D1265" s="73" t="n"/>
      <c r="E1265" s="74" t="n"/>
      <c r="F1265" s="74" t="n"/>
      <c r="G1265" s="74" t="n"/>
      <c r="H1265" s="75" t="n"/>
      <c r="I1265" s="75" t="n"/>
      <c r="J1265" s="76" t="n"/>
      <c r="K1265" s="77" t="str">
        <f>IF(AB1265=1,ROUND(AG1265/60,4),"")</f>
        <v/>
      </c>
      <c r="L1265" s="77" t="str">
        <f>IF(BD1265=1,ROUND(AP1265/60,4),"")</f>
        <v/>
      </c>
      <c r="M1265" s="77" t="str">
        <f>IF(BD1265=1,ROUND(AQ1265/60,4),"")</f>
        <v/>
      </c>
      <c r="N1265" s="71" t="str">
        <f>IF(AND(D1265="proMX",AB1265=1),ROUND(AG1265/CFG_BLK,2),"")</f>
        <v/>
      </c>
      <c r="O1265" s="77" t="str">
        <f>IF(D1265="proMX",IF(BD1265=1,ROUND(AG1265/60,4),0),"")</f>
        <v/>
      </c>
      <c r="P1265" s="78" t="str">
        <f>IF(Y1265=0,"",IF(BD1265=1,"OK",IF(D1265="proMX","Revisar bloques: ","Revisar: ")&amp;BC1265))</f>
        <v/>
      </c>
      <c r="Q1265" s="78" t="str">
        <f>IF(NOT(ISNUMBER(B1265)),"",IF(COUNTIFS(FER_F,INT(B1265))&gt;0,"Feriado"&amp;IF(AH1265=1," (laborable)"," (no laborable)"),IF(AH1265=1,"Laborable",IF(WEEKDAY(B1265,2)&gt;5,"Fin de semana","No laborable"))))</f>
        <v/>
      </c>
      <c r="R1265" s="73" t="n"/>
      <c r="S1265" s="72" t="n"/>
      <c r="T1265" s="72" t="n"/>
      <c r="U1265" s="74" t="n"/>
      <c r="V1265" s="79" t="str">
        <f>IF(AND(D1265="proMX",OR(R1265="Submitted",R1265="Recall Requested"),ISNUMBER(S1265)),CFG_TODAY-INT(S1265),"")</f>
        <v/>
      </c>
      <c r="W1265" s="78" t="str">
        <f>IF(BD1265=0,"",IF(BA1265&gt;0,"⚠ Se superpone con un registro de la otra empresa",IF(D1265="Malcolm",IF(COUNTA(R1265,S1265,T1265)&gt;0,"Estado/fechas proMX se ignoran en Malcolm",""),IF(BF1265="Cancelled","Cancelado: excluido de totales",IF(R1265="","Sin estado: se trata como Draft",IF(BF1265="Submitted",IF(ISNUMBER(V1265),IF(V1265&gt;CFG_MAXD,"⚠ "&amp;V1265&amp;" días en Submitted (máx. "&amp;CFG_MAXD&amp;")",""),"Falta fecha de envío"),IF(BF1265="Returned","⚠ Devuelto: corregir y reenviar",IF(BF1265="Recall Requested","Retirada solicitada: pendiente",IF(AND(BF1265="Approved",NOT(ISNUMBER(T1265))),"Falta fecha de aprobación",IF(AND(ISNUMBER(S1265),ISNUMBER(T1265),T1265&lt;S1265),"Aprobación anterior al envío","")))))))))</f>
        <v/>
      </c>
      <c r="Y1265" s="80">
        <f>IF(COUNTA(B1265,D1265,E1265,F1265,G1265,H1265,I1265,J1265,R1265,S1265,T1265)&gt;0,1,0)</f>
        <v>0</v>
      </c>
      <c r="Z1265" s="80" t="str">
        <f>IF(AND(ISNUMBER(H1265),H1265&gt;=0,H1265&lt;1),ROUND(H1265*1440,0),"")</f>
        <v/>
      </c>
      <c r="AA1265" s="80" t="str">
        <f>IF(AND(ISNUMBER(I1265),I1265&gt;=0,I1265&lt;1),ROUND(I1265*1440,0),"")</f>
        <v/>
      </c>
      <c r="AB1265" s="80">
        <f>IF(AND(ISNUMBER(B1265),D1265&lt;&gt;"",ISNUMBER(Z1265),ISNUMBER(AA1265)),IF(Z1265=AA1265,0,1),0)</f>
        <v>0</v>
      </c>
      <c r="AC1265" s="80">
        <f>IF(AB1265=1,IF(AA1265&lt;Z1265,1,0),0)</f>
        <v>0</v>
      </c>
      <c r="AD1265" s="80">
        <f>IF(AB1265=1,IF(AC1265=1,1440-Z1265+AA1265,AA1265-Z1265),0)</f>
        <v>0</v>
      </c>
      <c r="AE1265" s="80">
        <f>IF(J1265="",0,IF(ISNUMBER(J1265),J1265,-1))</f>
        <v>0</v>
      </c>
      <c r="AF1265" s="80">
        <f>MIN(MAX(0,AE1265),AD1265)</f>
        <v>0</v>
      </c>
      <c r="AG1265" s="80">
        <f>MAX(0,AD1265-MAX(0,AE1265))</f>
        <v>0</v>
      </c>
      <c r="AH1265" s="80">
        <f>IF(ISNUMBER(B1265),IF(AND(INDEX(CFG_WDAYS,WEEKDAY(INT(B1265),2))="Sí",IF(D1265="proMX",COUNTIFS(FER_F,INT(B1265),FER_NLP,"Sí"),COUNTIFS(FER_F,INT(B1265),FER_NLM,"Sí"))=0),1,0),0)</f>
        <v>0</v>
      </c>
      <c r="AI1265" s="80">
        <f>IF(AC1265=1,IF(AND(INDEX(CFG_WDAYS,WEEKDAY(INT(B1265)+1,2))="Sí",IF(D1265="proMX",COUNTIFS(FER_F,INT(B1265)+1,FER_NLP,"Sí"),COUNTIFS(FER_F,INT(B1265)+1,FER_NLM,"Sí"))=0),1,0),0)</f>
        <v>0</v>
      </c>
      <c r="AJ1265" s="80">
        <f>IF(AC1265=1,1440-Z1265,AD1265)</f>
        <v>0</v>
      </c>
      <c r="AK1265" s="80">
        <f>IF(AND(AB1265=1,AH1265=1),MAX(0,MIN(IF(AC1265=1,1440,AA1265),CFG_WEM)-MAX(Z1265,CFG_WSM)),0)</f>
        <v>0</v>
      </c>
      <c r="AL1265" s="80">
        <f>IF(AND(AC1265=1,AI1265=1),MAX(0,MIN(AA1265,CFG_WEM)-CFG_WSM),0)</f>
        <v>0</v>
      </c>
      <c r="AM1265" s="80">
        <f>AK1265+AL1265</f>
        <v>0</v>
      </c>
      <c r="AN1265" s="80">
        <f>IF(CFG_BRK="Proporcional",IF(AD1265=0,0,AF1265*AM1265/AD1265),IF(CFG_BRK="Extras primero",MIN(AM1265,MAX(0,AF1265-(AD1265-AM1265))),MIN(AF1265,AM1265)))</f>
        <v>0</v>
      </c>
      <c r="AO1265" s="80">
        <f>AF1265-AN1265</f>
        <v>0</v>
      </c>
      <c r="AP1265" s="80">
        <f>AM1265-AN1265</f>
        <v>0</v>
      </c>
      <c r="AQ1265" s="80">
        <f>AD1265-AM1265-AO1265</f>
        <v>0</v>
      </c>
      <c r="AR1265" s="80">
        <f>IF(AM1265=0,0,AK1265-AN1265*AK1265/AM1265)</f>
        <v>0</v>
      </c>
      <c r="AS1265" s="80">
        <f>IF(AD1265-AM1265=0,0,(AJ1265-AK1265)-AO1265*(AJ1265-AK1265)/(AD1265-AM1265))</f>
        <v>0</v>
      </c>
      <c r="AT1265" s="80" t="str">
        <f>IF(AC1265=1,INT(B1265)+1,"")</f>
        <v/>
      </c>
      <c r="AU1265" s="80">
        <f>IF(AND(D1265="proMX",R1265="Cancelled"),0,1)</f>
        <v>1</v>
      </c>
      <c r="AV1265" s="80">
        <f>IF(AND(AB1265=1,AU1265=1),IF(COUNTIFS($D$5:D1264,D1265,$B$5:B1264,B1265,$Z$5:Z1264,Z1265,$AA$5:AA1264,AA1265,$F$5:F1264,F1265&amp;"",$AU$5:AU1264,1)&gt;0,1,0),0)</f>
        <v>0</v>
      </c>
      <c r="AW1265" s="80" t="str">
        <f>IF(AB1265=1,INT(B1265)*1440+Z1265,"")</f>
        <v/>
      </c>
      <c r="AX1265" s="80" t="str">
        <f>IF(AB1265=1,AW1265+AD1265,"")</f>
        <v/>
      </c>
      <c r="AY1265" s="80">
        <f>IF(AND(AB1265=1,AV1265=0,AU1265=1),1,0)</f>
        <v>0</v>
      </c>
      <c r="AZ1265" s="80">
        <f>IF(AY1265=1,COUNTIFS(R_Emp,D1265,R_SAbs,"&lt;"&amp;AX1265,R_EAbs,"&gt;"&amp;AW1265,R_OKey,1)-1,0)</f>
        <v>0</v>
      </c>
      <c r="BA1265" s="80">
        <f>IF(AY1265=1,COUNTIFS(R_Emp,"&lt;&gt;"&amp;D1265,R_SAbs,"&lt;"&amp;AX1265,R_EAbs,"&gt;"&amp;AW1265,R_OKey,1),0)</f>
        <v>0</v>
      </c>
      <c r="BB1265" s="80">
        <f>IF(AND(AB1265=1,D1265="proMX"),IF(AND(MOD(Z1265,CFG_BLK)=0,MOD(AA1265,CFG_BLK)=0,MOD(AG1265,CFG_BLK)=0,AG1265&gt;0),1,0),1)</f>
        <v>1</v>
      </c>
      <c r="BC1265" s="80" t="str">
        <f>IF(Y1265=0,"",IF(NOT(ISNUMBER(B1265)),"Falta fecha o fecha inválida",IF(D1265="","Falta empresa",IF(AND(D1265&lt;&gt;"Malcolm",D1265&lt;&gt;"proMX"),"Empresa inválida",IF(OR(INT(B1265)&lt;CFG_PSTART,INT(B1265)&gt;CFG_PEND),"Fecha fuera del período",IF(OR(NOT(ISNUMBER(Z1265)),NOT(ISNUMBER(AA1265))),"Falta hora inicio/fin o formato inválido",IF(AB1265=0,"Hora inicio = hora fin",IF(AE1265&lt;0,"Descanso inválido",IF(AE1265&gt;=AD1265,"Descanso ≥ duración",IF(AV1265=1,"Registro duplicado",IF(AZ1265&gt;0,"Se superpone con otro registro "&amp;D1265,IF(BB1265=0,"inicio, fin y duración neta deben ser múltiplos de "&amp;CFG_BLK&amp;" min",""))))))))))))</f>
        <v/>
      </c>
      <c r="BD1265" s="80">
        <f>IF(AND(Y1265=1,BC1265=""),1,0)</f>
        <v>0</v>
      </c>
      <c r="BE1265" s="80">
        <f>IF(AND(BD1265=1,AU1265=1),1,0)</f>
        <v>0</v>
      </c>
      <c r="BF1265" s="80" t="str">
        <f>IF(AND(D1265="proMX",BD1265=1),IF(R1265="","Draft",R1265),"")</f>
        <v/>
      </c>
      <c r="BG1265" s="80">
        <f>IF(BD1265=1,ROUND(AG1265/60,6),0)</f>
        <v>0</v>
      </c>
      <c r="BH1265" s="80">
        <f>IF(BE1265=1,ROUND(AG1265/60,6),0)</f>
        <v>0</v>
      </c>
      <c r="BI1265" s="80">
        <f>IF(BE1265=1,ROUND(AP1265/60,6),0)</f>
        <v>0</v>
      </c>
      <c r="BJ1265" s="80">
        <f>IF(BE1265=1,ROUND(AQ1265/60,6),0)</f>
        <v>0</v>
      </c>
      <c r="BK1265" s="80">
        <f>IF(BE1265=1,ROUND((AR1265+AS1265)/60,6),0)</f>
        <v>0</v>
      </c>
      <c r="BL1265" s="80">
        <f>ROUND(BH1265-BK1265,6)</f>
        <v>0</v>
      </c>
      <c r="BM1265" s="80">
        <f>IF(BE1265=1,ROUND(AR1265/60,6),0)</f>
        <v>0</v>
      </c>
      <c r="BN1265" s="80">
        <f>ROUND(BI1265-BM1265,6)</f>
        <v>0</v>
      </c>
      <c r="BO1265" s="80">
        <f>IF(BE1265=1,ROUND(AS1265/60,6),0)</f>
        <v>0</v>
      </c>
      <c r="BP1265" s="80">
        <f>ROUND(BJ1265-BO1265,6)</f>
        <v>0</v>
      </c>
      <c r="BQ1265" s="80">
        <f>IF(BE1265=1,AW1265,0)</f>
        <v>0</v>
      </c>
      <c r="BR1265" s="80">
        <f>IF(BE1265=1,AX1265,0)</f>
        <v>0</v>
      </c>
      <c r="BS1265" s="80">
        <f>IF(AND(BE1265=1,D1265="Malcolm",BA1265&gt;0),MIN(BH1265,SUMPRODUCT((R_Emp="proMX")*(R_EN&gt;0)*((R_EN-(R_EN&gt;BR1265)*(R_EN-BR1265))&gt;(R_SN+(R_SN&lt;BQ1265)*(BQ1265-R_SN)))*((R_EN-(R_EN&gt;BR1265)*(R_EN-BR1265))-(R_SN+(R_SN&lt;BQ1265)*(BQ1265-R_SN))))/60),0)</f>
        <v>0</v>
      </c>
      <c r="BT1265" s="80">
        <f>IF(AND(BE1265=1,D1265="proMX"),ROUND(BI1265*CFG_RATE+BJ1265*CFG_OTRATE,6),0)</f>
        <v>0</v>
      </c>
      <c r="BU1265" s="80">
        <f>IF(AND(BD1265=1,D1265="proMX"),ROUND(AG1265/CFG_BLK,6),0)</f>
        <v>0</v>
      </c>
      <c r="BV1265" s="80" t="str">
        <f>IF(BF1265="Approved",IF(ISNUMBER(T1265),INT(T1265),INT(B1265)),"")</f>
        <v/>
      </c>
      <c r="BW1265" s="80">
        <f>IF(ISNUMBER(B1265),IF(DB_MON="Todos",1,IF(AND(INT(B1265)&gt;=DB_MS,INT(B1265)&lt;=DB_ME),1,0)),0)</f>
        <v>0</v>
      </c>
      <c r="BX1265" s="80">
        <f>IF(DB_PROJ="Todos",1,IF(E1265&amp;""=DB_PROJ&amp;"",1,0))</f>
        <v>1</v>
      </c>
      <c r="BY1265" s="80">
        <f>BW1265*BX1265</f>
        <v>0</v>
      </c>
      <c r="BZ1265" s="80" t="str">
        <f>IF(Y1265=1,F1265&amp;IF(AND(F1265&amp;""&lt;&gt;"",E1265&amp;""&lt;&gt;"")," · ","")&amp;E1265,"")</f>
        <v/>
      </c>
      <c r="CA1265" s="80" t="str">
        <f>IF(AND(BD1265=1,E1265&amp;""&lt;&gt;""),IF(COUNTIFS($E$5:E1264,E1265,$BD$5:BD1264,1)=0,MAX($CA$5:CA1264)+1,""),"")</f>
        <v/>
      </c>
      <c r="CB1265" s="80" t="str">
        <f>IF(AND(BE1265=1,D1265="Malcolm",E1265&amp;""&lt;&gt;""),IF(COUNTIFS($D$5:D1264,"Malcolm",$E$5:E1264,E1265,$BE$5:BE1264,1)=0,MAX($CB$5:CB1264)+1,""),"")</f>
        <v/>
      </c>
      <c r="CC1265" s="80" t="str">
        <f>IF(AND(BD1265=1,D1265="proMX",E1265&amp;""&lt;&gt;""),IF(COUNTIFS($D$5:D1264,"proMX",$E$5:E1264,E1265,$BD$5:BD1264,1)=0,MAX($CC$5:CC1264)+1,""),"")</f>
        <v/>
      </c>
      <c r="CD1265" s="80" t="str">
        <f>IF(AND(BE1265=1,D1265="Malcolm",F1265&amp;""&lt;&gt;""),IF(COUNTIFS($D$5:D1264,"Malcolm",$F$5:F1264,F1265,$BE$5:BE1264,1)=0,MAX($CD$5:CD1264)+1,""),"")</f>
        <v/>
      </c>
      <c r="CE1265" s="80" t="str">
        <f>IF(AND(BD1265=1,D1265="proMX",F1265&amp;""&lt;&gt;""),IF(COUNTIFS($D$5:D1264,"proMX",$F$5:F1264,F1265,$BD$5:BD1264,1)=0,MAX($CE$5:CE1264)+1,""),"")</f>
        <v/>
      </c>
      <c r="CF1265" s="80" t="str">
        <f>IF(AND(D1265="proMX",BD1265=1),IF(OR(BF1265="Draft",BF1265="Submitted",BF1265="Returned",BF1265="Recall Requested"),MAX($CF$5:CF1264)+1,""),"")</f>
        <v/>
      </c>
      <c r="CG1265" s="80">
        <f>IF(BD1265=0,0,IF(D1265="Malcolm",1,MATCH(BF1265,{"Draft","Submitted","Approved","Returned","Recall Requested","Cancelled"},0)+1))</f>
        <v>0</v>
      </c>
      <c r="CH1265" s="80">
        <f>IF(AND(BF1265="Submitted",ISNUMBER(V1265)),IF(V1265&gt;CFG_MAXD,1,0),0)</f>
        <v>0</v>
      </c>
    </row>
    <row r="1266">
      <c r="A1266" s="71" t="str">
        <f>IF(Y1266=1,ROW()-5,"")</f>
        <v/>
      </c>
      <c r="B1266" s="72" t="n"/>
      <c r="C1266" s="71" t="str">
        <f>IF(ISNUMBER(B1266),CHOOSE(WEEKDAY(B1266,2),"Lun","Mar","Mié","Jue","Vie","Sáb","Dom"),"")</f>
        <v/>
      </c>
      <c r="D1266" s="73" t="n"/>
      <c r="E1266" s="74" t="n"/>
      <c r="F1266" s="74" t="n"/>
      <c r="G1266" s="74" t="n"/>
      <c r="H1266" s="75" t="n"/>
      <c r="I1266" s="75" t="n"/>
      <c r="J1266" s="76" t="n"/>
      <c r="K1266" s="77" t="str">
        <f>IF(AB1266=1,ROUND(AG1266/60,4),"")</f>
        <v/>
      </c>
      <c r="L1266" s="77" t="str">
        <f>IF(BD1266=1,ROUND(AP1266/60,4),"")</f>
        <v/>
      </c>
      <c r="M1266" s="77" t="str">
        <f>IF(BD1266=1,ROUND(AQ1266/60,4),"")</f>
        <v/>
      </c>
      <c r="N1266" s="71" t="str">
        <f>IF(AND(D1266="proMX",AB1266=1),ROUND(AG1266/CFG_BLK,2),"")</f>
        <v/>
      </c>
      <c r="O1266" s="77" t="str">
        <f>IF(D1266="proMX",IF(BD1266=1,ROUND(AG1266/60,4),0),"")</f>
        <v/>
      </c>
      <c r="P1266" s="78" t="str">
        <f>IF(Y1266=0,"",IF(BD1266=1,"OK",IF(D1266="proMX","Revisar bloques: ","Revisar: ")&amp;BC1266))</f>
        <v/>
      </c>
      <c r="Q1266" s="78" t="str">
        <f>IF(NOT(ISNUMBER(B1266)),"",IF(COUNTIFS(FER_F,INT(B1266))&gt;0,"Feriado"&amp;IF(AH1266=1," (laborable)"," (no laborable)"),IF(AH1266=1,"Laborable",IF(WEEKDAY(B1266,2)&gt;5,"Fin de semana","No laborable"))))</f>
        <v/>
      </c>
      <c r="R1266" s="73" t="n"/>
      <c r="S1266" s="72" t="n"/>
      <c r="T1266" s="72" t="n"/>
      <c r="U1266" s="74" t="n"/>
      <c r="V1266" s="79" t="str">
        <f>IF(AND(D1266="proMX",OR(R1266="Submitted",R1266="Recall Requested"),ISNUMBER(S1266)),CFG_TODAY-INT(S1266),"")</f>
        <v/>
      </c>
      <c r="W1266" s="78" t="str">
        <f>IF(BD1266=0,"",IF(BA1266&gt;0,"⚠ Se superpone con un registro de la otra empresa",IF(D1266="Malcolm",IF(COUNTA(R1266,S1266,T1266)&gt;0,"Estado/fechas proMX se ignoran en Malcolm",""),IF(BF1266="Cancelled","Cancelado: excluido de totales",IF(R1266="","Sin estado: se trata como Draft",IF(BF1266="Submitted",IF(ISNUMBER(V1266),IF(V1266&gt;CFG_MAXD,"⚠ "&amp;V1266&amp;" días en Submitted (máx. "&amp;CFG_MAXD&amp;")",""),"Falta fecha de envío"),IF(BF1266="Returned","⚠ Devuelto: corregir y reenviar",IF(BF1266="Recall Requested","Retirada solicitada: pendiente",IF(AND(BF1266="Approved",NOT(ISNUMBER(T1266))),"Falta fecha de aprobación",IF(AND(ISNUMBER(S1266),ISNUMBER(T1266),T1266&lt;S1266),"Aprobación anterior al envío","")))))))))</f>
        <v/>
      </c>
      <c r="Y1266" s="80">
        <f>IF(COUNTA(B1266,D1266,E1266,F1266,G1266,H1266,I1266,J1266,R1266,S1266,T1266)&gt;0,1,0)</f>
        <v>0</v>
      </c>
      <c r="Z1266" s="80" t="str">
        <f>IF(AND(ISNUMBER(H1266),H1266&gt;=0,H1266&lt;1),ROUND(H1266*1440,0),"")</f>
        <v/>
      </c>
      <c r="AA1266" s="80" t="str">
        <f>IF(AND(ISNUMBER(I1266),I1266&gt;=0,I1266&lt;1),ROUND(I1266*1440,0),"")</f>
        <v/>
      </c>
      <c r="AB1266" s="80">
        <f>IF(AND(ISNUMBER(B1266),D1266&lt;&gt;"",ISNUMBER(Z1266),ISNUMBER(AA1266)),IF(Z1266=AA1266,0,1),0)</f>
        <v>0</v>
      </c>
      <c r="AC1266" s="80">
        <f>IF(AB1266=1,IF(AA1266&lt;Z1266,1,0),0)</f>
        <v>0</v>
      </c>
      <c r="AD1266" s="80">
        <f>IF(AB1266=1,IF(AC1266=1,1440-Z1266+AA1266,AA1266-Z1266),0)</f>
        <v>0</v>
      </c>
      <c r="AE1266" s="80">
        <f>IF(J1266="",0,IF(ISNUMBER(J1266),J1266,-1))</f>
        <v>0</v>
      </c>
      <c r="AF1266" s="80">
        <f>MIN(MAX(0,AE1266),AD1266)</f>
        <v>0</v>
      </c>
      <c r="AG1266" s="80">
        <f>MAX(0,AD1266-MAX(0,AE1266))</f>
        <v>0</v>
      </c>
      <c r="AH1266" s="80">
        <f>IF(ISNUMBER(B1266),IF(AND(INDEX(CFG_WDAYS,WEEKDAY(INT(B1266),2))="Sí",IF(D1266="proMX",COUNTIFS(FER_F,INT(B1266),FER_NLP,"Sí"),COUNTIFS(FER_F,INT(B1266),FER_NLM,"Sí"))=0),1,0),0)</f>
        <v>0</v>
      </c>
      <c r="AI1266" s="80">
        <f>IF(AC1266=1,IF(AND(INDEX(CFG_WDAYS,WEEKDAY(INT(B1266)+1,2))="Sí",IF(D1266="proMX",COUNTIFS(FER_F,INT(B1266)+1,FER_NLP,"Sí"),COUNTIFS(FER_F,INT(B1266)+1,FER_NLM,"Sí"))=0),1,0),0)</f>
        <v>0</v>
      </c>
      <c r="AJ1266" s="80">
        <f>IF(AC1266=1,1440-Z1266,AD1266)</f>
        <v>0</v>
      </c>
      <c r="AK1266" s="80">
        <f>IF(AND(AB1266=1,AH1266=1),MAX(0,MIN(IF(AC1266=1,1440,AA1266),CFG_WEM)-MAX(Z1266,CFG_WSM)),0)</f>
        <v>0</v>
      </c>
      <c r="AL1266" s="80">
        <f>IF(AND(AC1266=1,AI1266=1),MAX(0,MIN(AA1266,CFG_WEM)-CFG_WSM),0)</f>
        <v>0</v>
      </c>
      <c r="AM1266" s="80">
        <f>AK1266+AL1266</f>
        <v>0</v>
      </c>
      <c r="AN1266" s="80">
        <f>IF(CFG_BRK="Proporcional",IF(AD1266=0,0,AF1266*AM1266/AD1266),IF(CFG_BRK="Extras primero",MIN(AM1266,MAX(0,AF1266-(AD1266-AM1266))),MIN(AF1266,AM1266)))</f>
        <v>0</v>
      </c>
      <c r="AO1266" s="80">
        <f>AF1266-AN1266</f>
        <v>0</v>
      </c>
      <c r="AP1266" s="80">
        <f>AM1266-AN1266</f>
        <v>0</v>
      </c>
      <c r="AQ1266" s="80">
        <f>AD1266-AM1266-AO1266</f>
        <v>0</v>
      </c>
      <c r="AR1266" s="80">
        <f>IF(AM1266=0,0,AK1266-AN1266*AK1266/AM1266)</f>
        <v>0</v>
      </c>
      <c r="AS1266" s="80">
        <f>IF(AD1266-AM1266=0,0,(AJ1266-AK1266)-AO1266*(AJ1266-AK1266)/(AD1266-AM1266))</f>
        <v>0</v>
      </c>
      <c r="AT1266" s="80" t="str">
        <f>IF(AC1266=1,INT(B1266)+1,"")</f>
        <v/>
      </c>
      <c r="AU1266" s="80">
        <f>IF(AND(D1266="proMX",R1266="Cancelled"),0,1)</f>
        <v>1</v>
      </c>
      <c r="AV1266" s="80">
        <f>IF(AND(AB1266=1,AU1266=1),IF(COUNTIFS($D$5:D1265,D1266,$B$5:B1265,B1266,$Z$5:Z1265,Z1266,$AA$5:AA1265,AA1266,$F$5:F1265,F1266&amp;"",$AU$5:AU1265,1)&gt;0,1,0),0)</f>
        <v>0</v>
      </c>
      <c r="AW1266" s="80" t="str">
        <f>IF(AB1266=1,INT(B1266)*1440+Z1266,"")</f>
        <v/>
      </c>
      <c r="AX1266" s="80" t="str">
        <f>IF(AB1266=1,AW1266+AD1266,"")</f>
        <v/>
      </c>
      <c r="AY1266" s="80">
        <f>IF(AND(AB1266=1,AV1266=0,AU1266=1),1,0)</f>
        <v>0</v>
      </c>
      <c r="AZ1266" s="80">
        <f>IF(AY1266=1,COUNTIFS(R_Emp,D1266,R_SAbs,"&lt;"&amp;AX1266,R_EAbs,"&gt;"&amp;AW1266,R_OKey,1)-1,0)</f>
        <v>0</v>
      </c>
      <c r="BA1266" s="80">
        <f>IF(AY1266=1,COUNTIFS(R_Emp,"&lt;&gt;"&amp;D1266,R_SAbs,"&lt;"&amp;AX1266,R_EAbs,"&gt;"&amp;AW1266,R_OKey,1),0)</f>
        <v>0</v>
      </c>
      <c r="BB1266" s="80">
        <f>IF(AND(AB1266=1,D1266="proMX"),IF(AND(MOD(Z1266,CFG_BLK)=0,MOD(AA1266,CFG_BLK)=0,MOD(AG1266,CFG_BLK)=0,AG1266&gt;0),1,0),1)</f>
        <v>1</v>
      </c>
      <c r="BC1266" s="80" t="str">
        <f>IF(Y1266=0,"",IF(NOT(ISNUMBER(B1266)),"Falta fecha o fecha inválida",IF(D1266="","Falta empresa",IF(AND(D1266&lt;&gt;"Malcolm",D1266&lt;&gt;"proMX"),"Empresa inválida",IF(OR(INT(B1266)&lt;CFG_PSTART,INT(B1266)&gt;CFG_PEND),"Fecha fuera del período",IF(OR(NOT(ISNUMBER(Z1266)),NOT(ISNUMBER(AA1266))),"Falta hora inicio/fin o formato inválido",IF(AB1266=0,"Hora inicio = hora fin",IF(AE1266&lt;0,"Descanso inválido",IF(AE1266&gt;=AD1266,"Descanso ≥ duración",IF(AV1266=1,"Registro duplicado",IF(AZ1266&gt;0,"Se superpone con otro registro "&amp;D1266,IF(BB1266=0,"inicio, fin y duración neta deben ser múltiplos de "&amp;CFG_BLK&amp;" min",""))))))))))))</f>
        <v/>
      </c>
      <c r="BD1266" s="80">
        <f>IF(AND(Y1266=1,BC1266=""),1,0)</f>
        <v>0</v>
      </c>
      <c r="BE1266" s="80">
        <f>IF(AND(BD1266=1,AU1266=1),1,0)</f>
        <v>0</v>
      </c>
      <c r="BF1266" s="80" t="str">
        <f>IF(AND(D1266="proMX",BD1266=1),IF(R1266="","Draft",R1266),"")</f>
        <v/>
      </c>
      <c r="BG1266" s="80">
        <f>IF(BD1266=1,ROUND(AG1266/60,6),0)</f>
        <v>0</v>
      </c>
      <c r="BH1266" s="80">
        <f>IF(BE1266=1,ROUND(AG1266/60,6),0)</f>
        <v>0</v>
      </c>
      <c r="BI1266" s="80">
        <f>IF(BE1266=1,ROUND(AP1266/60,6),0)</f>
        <v>0</v>
      </c>
      <c r="BJ1266" s="80">
        <f>IF(BE1266=1,ROUND(AQ1266/60,6),0)</f>
        <v>0</v>
      </c>
      <c r="BK1266" s="80">
        <f>IF(BE1266=1,ROUND((AR1266+AS1266)/60,6),0)</f>
        <v>0</v>
      </c>
      <c r="BL1266" s="80">
        <f>ROUND(BH1266-BK1266,6)</f>
        <v>0</v>
      </c>
      <c r="BM1266" s="80">
        <f>IF(BE1266=1,ROUND(AR1266/60,6),0)</f>
        <v>0</v>
      </c>
      <c r="BN1266" s="80">
        <f>ROUND(BI1266-BM1266,6)</f>
        <v>0</v>
      </c>
      <c r="BO1266" s="80">
        <f>IF(BE1266=1,ROUND(AS1266/60,6),0)</f>
        <v>0</v>
      </c>
      <c r="BP1266" s="80">
        <f>ROUND(BJ1266-BO1266,6)</f>
        <v>0</v>
      </c>
      <c r="BQ1266" s="80">
        <f>IF(BE1266=1,AW1266,0)</f>
        <v>0</v>
      </c>
      <c r="BR1266" s="80">
        <f>IF(BE1266=1,AX1266,0)</f>
        <v>0</v>
      </c>
      <c r="BS1266" s="80">
        <f>IF(AND(BE1266=1,D1266="Malcolm",BA1266&gt;0),MIN(BH1266,SUMPRODUCT((R_Emp="proMX")*(R_EN&gt;0)*((R_EN-(R_EN&gt;BR1266)*(R_EN-BR1266))&gt;(R_SN+(R_SN&lt;BQ1266)*(BQ1266-R_SN)))*((R_EN-(R_EN&gt;BR1266)*(R_EN-BR1266))-(R_SN+(R_SN&lt;BQ1266)*(BQ1266-R_SN))))/60),0)</f>
        <v>0</v>
      </c>
      <c r="BT1266" s="80">
        <f>IF(AND(BE1266=1,D1266="proMX"),ROUND(BI1266*CFG_RATE+BJ1266*CFG_OTRATE,6),0)</f>
        <v>0</v>
      </c>
      <c r="BU1266" s="80">
        <f>IF(AND(BD1266=1,D1266="proMX"),ROUND(AG1266/CFG_BLK,6),0)</f>
        <v>0</v>
      </c>
      <c r="BV1266" s="80" t="str">
        <f>IF(BF1266="Approved",IF(ISNUMBER(T1266),INT(T1266),INT(B1266)),"")</f>
        <v/>
      </c>
      <c r="BW1266" s="80">
        <f>IF(ISNUMBER(B1266),IF(DB_MON="Todos",1,IF(AND(INT(B1266)&gt;=DB_MS,INT(B1266)&lt;=DB_ME),1,0)),0)</f>
        <v>0</v>
      </c>
      <c r="BX1266" s="80">
        <f>IF(DB_PROJ="Todos",1,IF(E1266&amp;""=DB_PROJ&amp;"",1,0))</f>
        <v>1</v>
      </c>
      <c r="BY1266" s="80">
        <f>BW1266*BX1266</f>
        <v>0</v>
      </c>
      <c r="BZ1266" s="80" t="str">
        <f>IF(Y1266=1,F1266&amp;IF(AND(F1266&amp;""&lt;&gt;"",E1266&amp;""&lt;&gt;"")," · ","")&amp;E1266,"")</f>
        <v/>
      </c>
      <c r="CA1266" s="80" t="str">
        <f>IF(AND(BD1266=1,E1266&amp;""&lt;&gt;""),IF(COUNTIFS($E$5:E1265,E1266,$BD$5:BD1265,1)=0,MAX($CA$5:CA1265)+1,""),"")</f>
        <v/>
      </c>
      <c r="CB1266" s="80" t="str">
        <f>IF(AND(BE1266=1,D1266="Malcolm",E1266&amp;""&lt;&gt;""),IF(COUNTIFS($D$5:D1265,"Malcolm",$E$5:E1265,E1266,$BE$5:BE1265,1)=0,MAX($CB$5:CB1265)+1,""),"")</f>
        <v/>
      </c>
      <c r="CC1266" s="80" t="str">
        <f>IF(AND(BD1266=1,D1266="proMX",E1266&amp;""&lt;&gt;""),IF(COUNTIFS($D$5:D1265,"proMX",$E$5:E1265,E1266,$BD$5:BD1265,1)=0,MAX($CC$5:CC1265)+1,""),"")</f>
        <v/>
      </c>
      <c r="CD1266" s="80" t="str">
        <f>IF(AND(BE1266=1,D1266="Malcolm",F1266&amp;""&lt;&gt;""),IF(COUNTIFS($D$5:D1265,"Malcolm",$F$5:F1265,F1266,$BE$5:BE1265,1)=0,MAX($CD$5:CD1265)+1,""),"")</f>
        <v/>
      </c>
      <c r="CE1266" s="80" t="str">
        <f>IF(AND(BD1266=1,D1266="proMX",F1266&amp;""&lt;&gt;""),IF(COUNTIFS($D$5:D1265,"proMX",$F$5:F1265,F1266,$BD$5:BD1265,1)=0,MAX($CE$5:CE1265)+1,""),"")</f>
        <v/>
      </c>
      <c r="CF1266" s="80" t="str">
        <f>IF(AND(D1266="proMX",BD1266=1),IF(OR(BF1266="Draft",BF1266="Submitted",BF1266="Returned",BF1266="Recall Requested"),MAX($CF$5:CF1265)+1,""),"")</f>
        <v/>
      </c>
      <c r="CG1266" s="80">
        <f>IF(BD1266=0,0,IF(D1266="Malcolm",1,MATCH(BF1266,{"Draft","Submitted","Approved","Returned","Recall Requested","Cancelled"},0)+1))</f>
        <v>0</v>
      </c>
      <c r="CH1266" s="80">
        <f>IF(AND(BF1266="Submitted",ISNUMBER(V1266)),IF(V1266&gt;CFG_MAXD,1,0),0)</f>
        <v>0</v>
      </c>
    </row>
    <row r="1267">
      <c r="A1267" s="71" t="str">
        <f>IF(Y1267=1,ROW()-5,"")</f>
        <v/>
      </c>
      <c r="B1267" s="72" t="n"/>
      <c r="C1267" s="71" t="str">
        <f>IF(ISNUMBER(B1267),CHOOSE(WEEKDAY(B1267,2),"Lun","Mar","Mié","Jue","Vie","Sáb","Dom"),"")</f>
        <v/>
      </c>
      <c r="D1267" s="73" t="n"/>
      <c r="E1267" s="74" t="n"/>
      <c r="F1267" s="74" t="n"/>
      <c r="G1267" s="74" t="n"/>
      <c r="H1267" s="75" t="n"/>
      <c r="I1267" s="75" t="n"/>
      <c r="J1267" s="76" t="n"/>
      <c r="K1267" s="77" t="str">
        <f>IF(AB1267=1,ROUND(AG1267/60,4),"")</f>
        <v/>
      </c>
      <c r="L1267" s="77" t="str">
        <f>IF(BD1267=1,ROUND(AP1267/60,4),"")</f>
        <v/>
      </c>
      <c r="M1267" s="77" t="str">
        <f>IF(BD1267=1,ROUND(AQ1267/60,4),"")</f>
        <v/>
      </c>
      <c r="N1267" s="71" t="str">
        <f>IF(AND(D1267="proMX",AB1267=1),ROUND(AG1267/CFG_BLK,2),"")</f>
        <v/>
      </c>
      <c r="O1267" s="77" t="str">
        <f>IF(D1267="proMX",IF(BD1267=1,ROUND(AG1267/60,4),0),"")</f>
        <v/>
      </c>
      <c r="P1267" s="78" t="str">
        <f>IF(Y1267=0,"",IF(BD1267=1,"OK",IF(D1267="proMX","Revisar bloques: ","Revisar: ")&amp;BC1267))</f>
        <v/>
      </c>
      <c r="Q1267" s="78" t="str">
        <f>IF(NOT(ISNUMBER(B1267)),"",IF(COUNTIFS(FER_F,INT(B1267))&gt;0,"Feriado"&amp;IF(AH1267=1," (laborable)"," (no laborable)"),IF(AH1267=1,"Laborable",IF(WEEKDAY(B1267,2)&gt;5,"Fin de semana","No laborable"))))</f>
        <v/>
      </c>
      <c r="R1267" s="73" t="n"/>
      <c r="S1267" s="72" t="n"/>
      <c r="T1267" s="72" t="n"/>
      <c r="U1267" s="74" t="n"/>
      <c r="V1267" s="79" t="str">
        <f>IF(AND(D1267="proMX",OR(R1267="Submitted",R1267="Recall Requested"),ISNUMBER(S1267)),CFG_TODAY-INT(S1267),"")</f>
        <v/>
      </c>
      <c r="W1267" s="78" t="str">
        <f>IF(BD1267=0,"",IF(BA1267&gt;0,"⚠ Se superpone con un registro de la otra empresa",IF(D1267="Malcolm",IF(COUNTA(R1267,S1267,T1267)&gt;0,"Estado/fechas proMX se ignoran en Malcolm",""),IF(BF1267="Cancelled","Cancelado: excluido de totales",IF(R1267="","Sin estado: se trata como Draft",IF(BF1267="Submitted",IF(ISNUMBER(V1267),IF(V1267&gt;CFG_MAXD,"⚠ "&amp;V1267&amp;" días en Submitted (máx. "&amp;CFG_MAXD&amp;")",""),"Falta fecha de envío"),IF(BF1267="Returned","⚠ Devuelto: corregir y reenviar",IF(BF1267="Recall Requested","Retirada solicitada: pendiente",IF(AND(BF1267="Approved",NOT(ISNUMBER(T1267))),"Falta fecha de aprobación",IF(AND(ISNUMBER(S1267),ISNUMBER(T1267),T1267&lt;S1267),"Aprobación anterior al envío","")))))))))</f>
        <v/>
      </c>
      <c r="Y1267" s="80">
        <f>IF(COUNTA(B1267,D1267,E1267,F1267,G1267,H1267,I1267,J1267,R1267,S1267,T1267)&gt;0,1,0)</f>
        <v>0</v>
      </c>
      <c r="Z1267" s="80" t="str">
        <f>IF(AND(ISNUMBER(H1267),H1267&gt;=0,H1267&lt;1),ROUND(H1267*1440,0),"")</f>
        <v/>
      </c>
      <c r="AA1267" s="80" t="str">
        <f>IF(AND(ISNUMBER(I1267),I1267&gt;=0,I1267&lt;1),ROUND(I1267*1440,0),"")</f>
        <v/>
      </c>
      <c r="AB1267" s="80">
        <f>IF(AND(ISNUMBER(B1267),D1267&lt;&gt;"",ISNUMBER(Z1267),ISNUMBER(AA1267)),IF(Z1267=AA1267,0,1),0)</f>
        <v>0</v>
      </c>
      <c r="AC1267" s="80">
        <f>IF(AB1267=1,IF(AA1267&lt;Z1267,1,0),0)</f>
        <v>0</v>
      </c>
      <c r="AD1267" s="80">
        <f>IF(AB1267=1,IF(AC1267=1,1440-Z1267+AA1267,AA1267-Z1267),0)</f>
        <v>0</v>
      </c>
      <c r="AE1267" s="80">
        <f>IF(J1267="",0,IF(ISNUMBER(J1267),J1267,-1))</f>
        <v>0</v>
      </c>
      <c r="AF1267" s="80">
        <f>MIN(MAX(0,AE1267),AD1267)</f>
        <v>0</v>
      </c>
      <c r="AG1267" s="80">
        <f>MAX(0,AD1267-MAX(0,AE1267))</f>
        <v>0</v>
      </c>
      <c r="AH1267" s="80">
        <f>IF(ISNUMBER(B1267),IF(AND(INDEX(CFG_WDAYS,WEEKDAY(INT(B1267),2))="Sí",IF(D1267="proMX",COUNTIFS(FER_F,INT(B1267),FER_NLP,"Sí"),COUNTIFS(FER_F,INT(B1267),FER_NLM,"Sí"))=0),1,0),0)</f>
        <v>0</v>
      </c>
      <c r="AI1267" s="80">
        <f>IF(AC1267=1,IF(AND(INDEX(CFG_WDAYS,WEEKDAY(INT(B1267)+1,2))="Sí",IF(D1267="proMX",COUNTIFS(FER_F,INT(B1267)+1,FER_NLP,"Sí"),COUNTIFS(FER_F,INT(B1267)+1,FER_NLM,"Sí"))=0),1,0),0)</f>
        <v>0</v>
      </c>
      <c r="AJ1267" s="80">
        <f>IF(AC1267=1,1440-Z1267,AD1267)</f>
        <v>0</v>
      </c>
      <c r="AK1267" s="80">
        <f>IF(AND(AB1267=1,AH1267=1),MAX(0,MIN(IF(AC1267=1,1440,AA1267),CFG_WEM)-MAX(Z1267,CFG_WSM)),0)</f>
        <v>0</v>
      </c>
      <c r="AL1267" s="80">
        <f>IF(AND(AC1267=1,AI1267=1),MAX(0,MIN(AA1267,CFG_WEM)-CFG_WSM),0)</f>
        <v>0</v>
      </c>
      <c r="AM1267" s="80">
        <f>AK1267+AL1267</f>
        <v>0</v>
      </c>
      <c r="AN1267" s="80">
        <f>IF(CFG_BRK="Proporcional",IF(AD1267=0,0,AF1267*AM1267/AD1267),IF(CFG_BRK="Extras primero",MIN(AM1267,MAX(0,AF1267-(AD1267-AM1267))),MIN(AF1267,AM1267)))</f>
        <v>0</v>
      </c>
      <c r="AO1267" s="80">
        <f>AF1267-AN1267</f>
        <v>0</v>
      </c>
      <c r="AP1267" s="80">
        <f>AM1267-AN1267</f>
        <v>0</v>
      </c>
      <c r="AQ1267" s="80">
        <f>AD1267-AM1267-AO1267</f>
        <v>0</v>
      </c>
      <c r="AR1267" s="80">
        <f>IF(AM1267=0,0,AK1267-AN1267*AK1267/AM1267)</f>
        <v>0</v>
      </c>
      <c r="AS1267" s="80">
        <f>IF(AD1267-AM1267=0,0,(AJ1267-AK1267)-AO1267*(AJ1267-AK1267)/(AD1267-AM1267))</f>
        <v>0</v>
      </c>
      <c r="AT1267" s="80" t="str">
        <f>IF(AC1267=1,INT(B1267)+1,"")</f>
        <v/>
      </c>
      <c r="AU1267" s="80">
        <f>IF(AND(D1267="proMX",R1267="Cancelled"),0,1)</f>
        <v>1</v>
      </c>
      <c r="AV1267" s="80">
        <f>IF(AND(AB1267=1,AU1267=1),IF(COUNTIFS($D$5:D1266,D1267,$B$5:B1266,B1267,$Z$5:Z1266,Z1267,$AA$5:AA1266,AA1267,$F$5:F1266,F1267&amp;"",$AU$5:AU1266,1)&gt;0,1,0),0)</f>
        <v>0</v>
      </c>
      <c r="AW1267" s="80" t="str">
        <f>IF(AB1267=1,INT(B1267)*1440+Z1267,"")</f>
        <v/>
      </c>
      <c r="AX1267" s="80" t="str">
        <f>IF(AB1267=1,AW1267+AD1267,"")</f>
        <v/>
      </c>
      <c r="AY1267" s="80">
        <f>IF(AND(AB1267=1,AV1267=0,AU1267=1),1,0)</f>
        <v>0</v>
      </c>
      <c r="AZ1267" s="80">
        <f>IF(AY1267=1,COUNTIFS(R_Emp,D1267,R_SAbs,"&lt;"&amp;AX1267,R_EAbs,"&gt;"&amp;AW1267,R_OKey,1)-1,0)</f>
        <v>0</v>
      </c>
      <c r="BA1267" s="80">
        <f>IF(AY1267=1,COUNTIFS(R_Emp,"&lt;&gt;"&amp;D1267,R_SAbs,"&lt;"&amp;AX1267,R_EAbs,"&gt;"&amp;AW1267,R_OKey,1),0)</f>
        <v>0</v>
      </c>
      <c r="BB1267" s="80">
        <f>IF(AND(AB1267=1,D1267="proMX"),IF(AND(MOD(Z1267,CFG_BLK)=0,MOD(AA1267,CFG_BLK)=0,MOD(AG1267,CFG_BLK)=0,AG1267&gt;0),1,0),1)</f>
        <v>1</v>
      </c>
      <c r="BC1267" s="80" t="str">
        <f>IF(Y1267=0,"",IF(NOT(ISNUMBER(B1267)),"Falta fecha o fecha inválida",IF(D1267="","Falta empresa",IF(AND(D1267&lt;&gt;"Malcolm",D1267&lt;&gt;"proMX"),"Empresa inválida",IF(OR(INT(B1267)&lt;CFG_PSTART,INT(B1267)&gt;CFG_PEND),"Fecha fuera del período",IF(OR(NOT(ISNUMBER(Z1267)),NOT(ISNUMBER(AA1267))),"Falta hora inicio/fin o formato inválido",IF(AB1267=0,"Hora inicio = hora fin",IF(AE1267&lt;0,"Descanso inválido",IF(AE1267&gt;=AD1267,"Descanso ≥ duración",IF(AV1267=1,"Registro duplicado",IF(AZ1267&gt;0,"Se superpone con otro registro "&amp;D1267,IF(BB1267=0,"inicio, fin y duración neta deben ser múltiplos de "&amp;CFG_BLK&amp;" min",""))))))))))))</f>
        <v/>
      </c>
      <c r="BD1267" s="80">
        <f>IF(AND(Y1267=1,BC1267=""),1,0)</f>
        <v>0</v>
      </c>
      <c r="BE1267" s="80">
        <f>IF(AND(BD1267=1,AU1267=1),1,0)</f>
        <v>0</v>
      </c>
      <c r="BF1267" s="80" t="str">
        <f>IF(AND(D1267="proMX",BD1267=1),IF(R1267="","Draft",R1267),"")</f>
        <v/>
      </c>
      <c r="BG1267" s="80">
        <f>IF(BD1267=1,ROUND(AG1267/60,6),0)</f>
        <v>0</v>
      </c>
      <c r="BH1267" s="80">
        <f>IF(BE1267=1,ROUND(AG1267/60,6),0)</f>
        <v>0</v>
      </c>
      <c r="BI1267" s="80">
        <f>IF(BE1267=1,ROUND(AP1267/60,6),0)</f>
        <v>0</v>
      </c>
      <c r="BJ1267" s="80">
        <f>IF(BE1267=1,ROUND(AQ1267/60,6),0)</f>
        <v>0</v>
      </c>
      <c r="BK1267" s="80">
        <f>IF(BE1267=1,ROUND((AR1267+AS1267)/60,6),0)</f>
        <v>0</v>
      </c>
      <c r="BL1267" s="80">
        <f>ROUND(BH1267-BK1267,6)</f>
        <v>0</v>
      </c>
      <c r="BM1267" s="80">
        <f>IF(BE1267=1,ROUND(AR1267/60,6),0)</f>
        <v>0</v>
      </c>
      <c r="BN1267" s="80">
        <f>ROUND(BI1267-BM1267,6)</f>
        <v>0</v>
      </c>
      <c r="BO1267" s="80">
        <f>IF(BE1267=1,ROUND(AS1267/60,6),0)</f>
        <v>0</v>
      </c>
      <c r="BP1267" s="80">
        <f>ROUND(BJ1267-BO1267,6)</f>
        <v>0</v>
      </c>
      <c r="BQ1267" s="80">
        <f>IF(BE1267=1,AW1267,0)</f>
        <v>0</v>
      </c>
      <c r="BR1267" s="80">
        <f>IF(BE1267=1,AX1267,0)</f>
        <v>0</v>
      </c>
      <c r="BS1267" s="80">
        <f>IF(AND(BE1267=1,D1267="Malcolm",BA1267&gt;0),MIN(BH1267,SUMPRODUCT((R_Emp="proMX")*(R_EN&gt;0)*((R_EN-(R_EN&gt;BR1267)*(R_EN-BR1267))&gt;(R_SN+(R_SN&lt;BQ1267)*(BQ1267-R_SN)))*((R_EN-(R_EN&gt;BR1267)*(R_EN-BR1267))-(R_SN+(R_SN&lt;BQ1267)*(BQ1267-R_SN))))/60),0)</f>
        <v>0</v>
      </c>
      <c r="BT1267" s="80">
        <f>IF(AND(BE1267=1,D1267="proMX"),ROUND(BI1267*CFG_RATE+BJ1267*CFG_OTRATE,6),0)</f>
        <v>0</v>
      </c>
      <c r="BU1267" s="80">
        <f>IF(AND(BD1267=1,D1267="proMX"),ROUND(AG1267/CFG_BLK,6),0)</f>
        <v>0</v>
      </c>
      <c r="BV1267" s="80" t="str">
        <f>IF(BF1267="Approved",IF(ISNUMBER(T1267),INT(T1267),INT(B1267)),"")</f>
        <v/>
      </c>
      <c r="BW1267" s="80">
        <f>IF(ISNUMBER(B1267),IF(DB_MON="Todos",1,IF(AND(INT(B1267)&gt;=DB_MS,INT(B1267)&lt;=DB_ME),1,0)),0)</f>
        <v>0</v>
      </c>
      <c r="BX1267" s="80">
        <f>IF(DB_PROJ="Todos",1,IF(E1267&amp;""=DB_PROJ&amp;"",1,0))</f>
        <v>1</v>
      </c>
      <c r="BY1267" s="80">
        <f>BW1267*BX1267</f>
        <v>0</v>
      </c>
      <c r="BZ1267" s="80" t="str">
        <f>IF(Y1267=1,F1267&amp;IF(AND(F1267&amp;""&lt;&gt;"",E1267&amp;""&lt;&gt;"")," · ","")&amp;E1267,"")</f>
        <v/>
      </c>
      <c r="CA1267" s="80" t="str">
        <f>IF(AND(BD1267=1,E1267&amp;""&lt;&gt;""),IF(COUNTIFS($E$5:E1266,E1267,$BD$5:BD1266,1)=0,MAX($CA$5:CA1266)+1,""),"")</f>
        <v/>
      </c>
      <c r="CB1267" s="80" t="str">
        <f>IF(AND(BE1267=1,D1267="Malcolm",E1267&amp;""&lt;&gt;""),IF(COUNTIFS($D$5:D1266,"Malcolm",$E$5:E1266,E1267,$BE$5:BE1266,1)=0,MAX($CB$5:CB1266)+1,""),"")</f>
        <v/>
      </c>
      <c r="CC1267" s="80" t="str">
        <f>IF(AND(BD1267=1,D1267="proMX",E1267&amp;""&lt;&gt;""),IF(COUNTIFS($D$5:D1266,"proMX",$E$5:E1266,E1267,$BD$5:BD1266,1)=0,MAX($CC$5:CC1266)+1,""),"")</f>
        <v/>
      </c>
      <c r="CD1267" s="80" t="str">
        <f>IF(AND(BE1267=1,D1267="Malcolm",F1267&amp;""&lt;&gt;""),IF(COUNTIFS($D$5:D1266,"Malcolm",$F$5:F1266,F1267,$BE$5:BE1266,1)=0,MAX($CD$5:CD1266)+1,""),"")</f>
        <v/>
      </c>
      <c r="CE1267" s="80" t="str">
        <f>IF(AND(BD1267=1,D1267="proMX",F1267&amp;""&lt;&gt;""),IF(COUNTIFS($D$5:D1266,"proMX",$F$5:F1266,F1267,$BD$5:BD1266,1)=0,MAX($CE$5:CE1266)+1,""),"")</f>
        <v/>
      </c>
      <c r="CF1267" s="80" t="str">
        <f>IF(AND(D1267="proMX",BD1267=1),IF(OR(BF1267="Draft",BF1267="Submitted",BF1267="Returned",BF1267="Recall Requested"),MAX($CF$5:CF1266)+1,""),"")</f>
        <v/>
      </c>
      <c r="CG1267" s="80">
        <f>IF(BD1267=0,0,IF(D1267="Malcolm",1,MATCH(BF1267,{"Draft","Submitted","Approved","Returned","Recall Requested","Cancelled"},0)+1))</f>
        <v>0</v>
      </c>
      <c r="CH1267" s="80">
        <f>IF(AND(BF1267="Submitted",ISNUMBER(V1267)),IF(V1267&gt;CFG_MAXD,1,0),0)</f>
        <v>0</v>
      </c>
    </row>
    <row r="1268">
      <c r="A1268" s="71" t="str">
        <f>IF(Y1268=1,ROW()-5,"")</f>
        <v/>
      </c>
      <c r="B1268" s="72" t="n"/>
      <c r="C1268" s="71" t="str">
        <f>IF(ISNUMBER(B1268),CHOOSE(WEEKDAY(B1268,2),"Lun","Mar","Mié","Jue","Vie","Sáb","Dom"),"")</f>
        <v/>
      </c>
      <c r="D1268" s="73" t="n"/>
      <c r="E1268" s="74" t="n"/>
      <c r="F1268" s="74" t="n"/>
      <c r="G1268" s="74" t="n"/>
      <c r="H1268" s="75" t="n"/>
      <c r="I1268" s="75" t="n"/>
      <c r="J1268" s="76" t="n"/>
      <c r="K1268" s="77" t="str">
        <f>IF(AB1268=1,ROUND(AG1268/60,4),"")</f>
        <v/>
      </c>
      <c r="L1268" s="77" t="str">
        <f>IF(BD1268=1,ROUND(AP1268/60,4),"")</f>
        <v/>
      </c>
      <c r="M1268" s="77" t="str">
        <f>IF(BD1268=1,ROUND(AQ1268/60,4),"")</f>
        <v/>
      </c>
      <c r="N1268" s="71" t="str">
        <f>IF(AND(D1268="proMX",AB1268=1),ROUND(AG1268/CFG_BLK,2),"")</f>
        <v/>
      </c>
      <c r="O1268" s="77" t="str">
        <f>IF(D1268="proMX",IF(BD1268=1,ROUND(AG1268/60,4),0),"")</f>
        <v/>
      </c>
      <c r="P1268" s="78" t="str">
        <f>IF(Y1268=0,"",IF(BD1268=1,"OK",IF(D1268="proMX","Revisar bloques: ","Revisar: ")&amp;BC1268))</f>
        <v/>
      </c>
      <c r="Q1268" s="78" t="str">
        <f>IF(NOT(ISNUMBER(B1268)),"",IF(COUNTIFS(FER_F,INT(B1268))&gt;0,"Feriado"&amp;IF(AH1268=1," (laborable)"," (no laborable)"),IF(AH1268=1,"Laborable",IF(WEEKDAY(B1268,2)&gt;5,"Fin de semana","No laborable"))))</f>
        <v/>
      </c>
      <c r="R1268" s="73" t="n"/>
      <c r="S1268" s="72" t="n"/>
      <c r="T1268" s="72" t="n"/>
      <c r="U1268" s="74" t="n"/>
      <c r="V1268" s="79" t="str">
        <f>IF(AND(D1268="proMX",OR(R1268="Submitted",R1268="Recall Requested"),ISNUMBER(S1268)),CFG_TODAY-INT(S1268),"")</f>
        <v/>
      </c>
      <c r="W1268" s="78" t="str">
        <f>IF(BD1268=0,"",IF(BA1268&gt;0,"⚠ Se superpone con un registro de la otra empresa",IF(D1268="Malcolm",IF(COUNTA(R1268,S1268,T1268)&gt;0,"Estado/fechas proMX se ignoran en Malcolm",""),IF(BF1268="Cancelled","Cancelado: excluido de totales",IF(R1268="","Sin estado: se trata como Draft",IF(BF1268="Submitted",IF(ISNUMBER(V1268),IF(V1268&gt;CFG_MAXD,"⚠ "&amp;V1268&amp;" días en Submitted (máx. "&amp;CFG_MAXD&amp;")",""),"Falta fecha de envío"),IF(BF1268="Returned","⚠ Devuelto: corregir y reenviar",IF(BF1268="Recall Requested","Retirada solicitada: pendiente",IF(AND(BF1268="Approved",NOT(ISNUMBER(T1268))),"Falta fecha de aprobación",IF(AND(ISNUMBER(S1268),ISNUMBER(T1268),T1268&lt;S1268),"Aprobación anterior al envío","")))))))))</f>
        <v/>
      </c>
      <c r="Y1268" s="80">
        <f>IF(COUNTA(B1268,D1268,E1268,F1268,G1268,H1268,I1268,J1268,R1268,S1268,T1268)&gt;0,1,0)</f>
        <v>0</v>
      </c>
      <c r="Z1268" s="80" t="str">
        <f>IF(AND(ISNUMBER(H1268),H1268&gt;=0,H1268&lt;1),ROUND(H1268*1440,0),"")</f>
        <v/>
      </c>
      <c r="AA1268" s="80" t="str">
        <f>IF(AND(ISNUMBER(I1268),I1268&gt;=0,I1268&lt;1),ROUND(I1268*1440,0),"")</f>
        <v/>
      </c>
      <c r="AB1268" s="80">
        <f>IF(AND(ISNUMBER(B1268),D1268&lt;&gt;"",ISNUMBER(Z1268),ISNUMBER(AA1268)),IF(Z1268=AA1268,0,1),0)</f>
        <v>0</v>
      </c>
      <c r="AC1268" s="80">
        <f>IF(AB1268=1,IF(AA1268&lt;Z1268,1,0),0)</f>
        <v>0</v>
      </c>
      <c r="AD1268" s="80">
        <f>IF(AB1268=1,IF(AC1268=1,1440-Z1268+AA1268,AA1268-Z1268),0)</f>
        <v>0</v>
      </c>
      <c r="AE1268" s="80">
        <f>IF(J1268="",0,IF(ISNUMBER(J1268),J1268,-1))</f>
        <v>0</v>
      </c>
      <c r="AF1268" s="80">
        <f>MIN(MAX(0,AE1268),AD1268)</f>
        <v>0</v>
      </c>
      <c r="AG1268" s="80">
        <f>MAX(0,AD1268-MAX(0,AE1268))</f>
        <v>0</v>
      </c>
      <c r="AH1268" s="80">
        <f>IF(ISNUMBER(B1268),IF(AND(INDEX(CFG_WDAYS,WEEKDAY(INT(B1268),2))="Sí",IF(D1268="proMX",COUNTIFS(FER_F,INT(B1268),FER_NLP,"Sí"),COUNTIFS(FER_F,INT(B1268),FER_NLM,"Sí"))=0),1,0),0)</f>
        <v>0</v>
      </c>
      <c r="AI1268" s="80">
        <f>IF(AC1268=1,IF(AND(INDEX(CFG_WDAYS,WEEKDAY(INT(B1268)+1,2))="Sí",IF(D1268="proMX",COUNTIFS(FER_F,INT(B1268)+1,FER_NLP,"Sí"),COUNTIFS(FER_F,INT(B1268)+1,FER_NLM,"Sí"))=0),1,0),0)</f>
        <v>0</v>
      </c>
      <c r="AJ1268" s="80">
        <f>IF(AC1268=1,1440-Z1268,AD1268)</f>
        <v>0</v>
      </c>
      <c r="AK1268" s="80">
        <f>IF(AND(AB1268=1,AH1268=1),MAX(0,MIN(IF(AC1268=1,1440,AA1268),CFG_WEM)-MAX(Z1268,CFG_WSM)),0)</f>
        <v>0</v>
      </c>
      <c r="AL1268" s="80">
        <f>IF(AND(AC1268=1,AI1268=1),MAX(0,MIN(AA1268,CFG_WEM)-CFG_WSM),0)</f>
        <v>0</v>
      </c>
      <c r="AM1268" s="80">
        <f>AK1268+AL1268</f>
        <v>0</v>
      </c>
      <c r="AN1268" s="80">
        <f>IF(CFG_BRK="Proporcional",IF(AD1268=0,0,AF1268*AM1268/AD1268),IF(CFG_BRK="Extras primero",MIN(AM1268,MAX(0,AF1268-(AD1268-AM1268))),MIN(AF1268,AM1268)))</f>
        <v>0</v>
      </c>
      <c r="AO1268" s="80">
        <f>AF1268-AN1268</f>
        <v>0</v>
      </c>
      <c r="AP1268" s="80">
        <f>AM1268-AN1268</f>
        <v>0</v>
      </c>
      <c r="AQ1268" s="80">
        <f>AD1268-AM1268-AO1268</f>
        <v>0</v>
      </c>
      <c r="AR1268" s="80">
        <f>IF(AM1268=0,0,AK1268-AN1268*AK1268/AM1268)</f>
        <v>0</v>
      </c>
      <c r="AS1268" s="80">
        <f>IF(AD1268-AM1268=0,0,(AJ1268-AK1268)-AO1268*(AJ1268-AK1268)/(AD1268-AM1268))</f>
        <v>0</v>
      </c>
      <c r="AT1268" s="80" t="str">
        <f>IF(AC1268=1,INT(B1268)+1,"")</f>
        <v/>
      </c>
      <c r="AU1268" s="80">
        <f>IF(AND(D1268="proMX",R1268="Cancelled"),0,1)</f>
        <v>1</v>
      </c>
      <c r="AV1268" s="80">
        <f>IF(AND(AB1268=1,AU1268=1),IF(COUNTIFS($D$5:D1267,D1268,$B$5:B1267,B1268,$Z$5:Z1267,Z1268,$AA$5:AA1267,AA1268,$F$5:F1267,F1268&amp;"",$AU$5:AU1267,1)&gt;0,1,0),0)</f>
        <v>0</v>
      </c>
      <c r="AW1268" s="80" t="str">
        <f>IF(AB1268=1,INT(B1268)*1440+Z1268,"")</f>
        <v/>
      </c>
      <c r="AX1268" s="80" t="str">
        <f>IF(AB1268=1,AW1268+AD1268,"")</f>
        <v/>
      </c>
      <c r="AY1268" s="80">
        <f>IF(AND(AB1268=1,AV1268=0,AU1268=1),1,0)</f>
        <v>0</v>
      </c>
      <c r="AZ1268" s="80">
        <f>IF(AY1268=1,COUNTIFS(R_Emp,D1268,R_SAbs,"&lt;"&amp;AX1268,R_EAbs,"&gt;"&amp;AW1268,R_OKey,1)-1,0)</f>
        <v>0</v>
      </c>
      <c r="BA1268" s="80">
        <f>IF(AY1268=1,COUNTIFS(R_Emp,"&lt;&gt;"&amp;D1268,R_SAbs,"&lt;"&amp;AX1268,R_EAbs,"&gt;"&amp;AW1268,R_OKey,1),0)</f>
        <v>0</v>
      </c>
      <c r="BB1268" s="80">
        <f>IF(AND(AB1268=1,D1268="proMX"),IF(AND(MOD(Z1268,CFG_BLK)=0,MOD(AA1268,CFG_BLK)=0,MOD(AG1268,CFG_BLK)=0,AG1268&gt;0),1,0),1)</f>
        <v>1</v>
      </c>
      <c r="BC1268" s="80" t="str">
        <f>IF(Y1268=0,"",IF(NOT(ISNUMBER(B1268)),"Falta fecha o fecha inválida",IF(D1268="","Falta empresa",IF(AND(D1268&lt;&gt;"Malcolm",D1268&lt;&gt;"proMX"),"Empresa inválida",IF(OR(INT(B1268)&lt;CFG_PSTART,INT(B1268)&gt;CFG_PEND),"Fecha fuera del período",IF(OR(NOT(ISNUMBER(Z1268)),NOT(ISNUMBER(AA1268))),"Falta hora inicio/fin o formato inválido",IF(AB1268=0,"Hora inicio = hora fin",IF(AE1268&lt;0,"Descanso inválido",IF(AE1268&gt;=AD1268,"Descanso ≥ duración",IF(AV1268=1,"Registro duplicado",IF(AZ1268&gt;0,"Se superpone con otro registro "&amp;D1268,IF(BB1268=0,"inicio, fin y duración neta deben ser múltiplos de "&amp;CFG_BLK&amp;" min",""))))))))))))</f>
        <v/>
      </c>
      <c r="BD1268" s="80">
        <f>IF(AND(Y1268=1,BC1268=""),1,0)</f>
        <v>0</v>
      </c>
      <c r="BE1268" s="80">
        <f>IF(AND(BD1268=1,AU1268=1),1,0)</f>
        <v>0</v>
      </c>
      <c r="BF1268" s="80" t="str">
        <f>IF(AND(D1268="proMX",BD1268=1),IF(R1268="","Draft",R1268),"")</f>
        <v/>
      </c>
      <c r="BG1268" s="80">
        <f>IF(BD1268=1,ROUND(AG1268/60,6),0)</f>
        <v>0</v>
      </c>
      <c r="BH1268" s="80">
        <f>IF(BE1268=1,ROUND(AG1268/60,6),0)</f>
        <v>0</v>
      </c>
      <c r="BI1268" s="80">
        <f>IF(BE1268=1,ROUND(AP1268/60,6),0)</f>
        <v>0</v>
      </c>
      <c r="BJ1268" s="80">
        <f>IF(BE1268=1,ROUND(AQ1268/60,6),0)</f>
        <v>0</v>
      </c>
      <c r="BK1268" s="80">
        <f>IF(BE1268=1,ROUND((AR1268+AS1268)/60,6),0)</f>
        <v>0</v>
      </c>
      <c r="BL1268" s="80">
        <f>ROUND(BH1268-BK1268,6)</f>
        <v>0</v>
      </c>
      <c r="BM1268" s="80">
        <f>IF(BE1268=1,ROUND(AR1268/60,6),0)</f>
        <v>0</v>
      </c>
      <c r="BN1268" s="80">
        <f>ROUND(BI1268-BM1268,6)</f>
        <v>0</v>
      </c>
      <c r="BO1268" s="80">
        <f>IF(BE1268=1,ROUND(AS1268/60,6),0)</f>
        <v>0</v>
      </c>
      <c r="BP1268" s="80">
        <f>ROUND(BJ1268-BO1268,6)</f>
        <v>0</v>
      </c>
      <c r="BQ1268" s="80">
        <f>IF(BE1268=1,AW1268,0)</f>
        <v>0</v>
      </c>
      <c r="BR1268" s="80">
        <f>IF(BE1268=1,AX1268,0)</f>
        <v>0</v>
      </c>
      <c r="BS1268" s="80">
        <f>IF(AND(BE1268=1,D1268="Malcolm",BA1268&gt;0),MIN(BH1268,SUMPRODUCT((R_Emp="proMX")*(R_EN&gt;0)*((R_EN-(R_EN&gt;BR1268)*(R_EN-BR1268))&gt;(R_SN+(R_SN&lt;BQ1268)*(BQ1268-R_SN)))*((R_EN-(R_EN&gt;BR1268)*(R_EN-BR1268))-(R_SN+(R_SN&lt;BQ1268)*(BQ1268-R_SN))))/60),0)</f>
        <v>0</v>
      </c>
      <c r="BT1268" s="80">
        <f>IF(AND(BE1268=1,D1268="proMX"),ROUND(BI1268*CFG_RATE+BJ1268*CFG_OTRATE,6),0)</f>
        <v>0</v>
      </c>
      <c r="BU1268" s="80">
        <f>IF(AND(BD1268=1,D1268="proMX"),ROUND(AG1268/CFG_BLK,6),0)</f>
        <v>0</v>
      </c>
      <c r="BV1268" s="80" t="str">
        <f>IF(BF1268="Approved",IF(ISNUMBER(T1268),INT(T1268),INT(B1268)),"")</f>
        <v/>
      </c>
      <c r="BW1268" s="80">
        <f>IF(ISNUMBER(B1268),IF(DB_MON="Todos",1,IF(AND(INT(B1268)&gt;=DB_MS,INT(B1268)&lt;=DB_ME),1,0)),0)</f>
        <v>0</v>
      </c>
      <c r="BX1268" s="80">
        <f>IF(DB_PROJ="Todos",1,IF(E1268&amp;""=DB_PROJ&amp;"",1,0))</f>
        <v>1</v>
      </c>
      <c r="BY1268" s="80">
        <f>BW1268*BX1268</f>
        <v>0</v>
      </c>
      <c r="BZ1268" s="80" t="str">
        <f>IF(Y1268=1,F1268&amp;IF(AND(F1268&amp;""&lt;&gt;"",E1268&amp;""&lt;&gt;"")," · ","")&amp;E1268,"")</f>
        <v/>
      </c>
      <c r="CA1268" s="80" t="str">
        <f>IF(AND(BD1268=1,E1268&amp;""&lt;&gt;""),IF(COUNTIFS($E$5:E1267,E1268,$BD$5:BD1267,1)=0,MAX($CA$5:CA1267)+1,""),"")</f>
        <v/>
      </c>
      <c r="CB1268" s="80" t="str">
        <f>IF(AND(BE1268=1,D1268="Malcolm",E1268&amp;""&lt;&gt;""),IF(COUNTIFS($D$5:D1267,"Malcolm",$E$5:E1267,E1268,$BE$5:BE1267,1)=0,MAX($CB$5:CB1267)+1,""),"")</f>
        <v/>
      </c>
      <c r="CC1268" s="80" t="str">
        <f>IF(AND(BD1268=1,D1268="proMX",E1268&amp;""&lt;&gt;""),IF(COUNTIFS($D$5:D1267,"proMX",$E$5:E1267,E1268,$BD$5:BD1267,1)=0,MAX($CC$5:CC1267)+1,""),"")</f>
        <v/>
      </c>
      <c r="CD1268" s="80" t="str">
        <f>IF(AND(BE1268=1,D1268="Malcolm",F1268&amp;""&lt;&gt;""),IF(COUNTIFS($D$5:D1267,"Malcolm",$F$5:F1267,F1268,$BE$5:BE1267,1)=0,MAX($CD$5:CD1267)+1,""),"")</f>
        <v/>
      </c>
      <c r="CE1268" s="80" t="str">
        <f>IF(AND(BD1268=1,D1268="proMX",F1268&amp;""&lt;&gt;""),IF(COUNTIFS($D$5:D1267,"proMX",$F$5:F1267,F1268,$BD$5:BD1267,1)=0,MAX($CE$5:CE1267)+1,""),"")</f>
        <v/>
      </c>
      <c r="CF1268" s="80" t="str">
        <f>IF(AND(D1268="proMX",BD1268=1),IF(OR(BF1268="Draft",BF1268="Submitted",BF1268="Returned",BF1268="Recall Requested"),MAX($CF$5:CF1267)+1,""),"")</f>
        <v/>
      </c>
      <c r="CG1268" s="80">
        <f>IF(BD1268=0,0,IF(D1268="Malcolm",1,MATCH(BF1268,{"Draft","Submitted","Approved","Returned","Recall Requested","Cancelled"},0)+1))</f>
        <v>0</v>
      </c>
      <c r="CH1268" s="80">
        <f>IF(AND(BF1268="Submitted",ISNUMBER(V1268)),IF(V1268&gt;CFG_MAXD,1,0),0)</f>
        <v>0</v>
      </c>
    </row>
    <row r="1269">
      <c r="A1269" s="71" t="str">
        <f>IF(Y1269=1,ROW()-5,"")</f>
        <v/>
      </c>
      <c r="B1269" s="72" t="n"/>
      <c r="C1269" s="71" t="str">
        <f>IF(ISNUMBER(B1269),CHOOSE(WEEKDAY(B1269,2),"Lun","Mar","Mié","Jue","Vie","Sáb","Dom"),"")</f>
        <v/>
      </c>
      <c r="D1269" s="73" t="n"/>
      <c r="E1269" s="74" t="n"/>
      <c r="F1269" s="74" t="n"/>
      <c r="G1269" s="74" t="n"/>
      <c r="H1269" s="75" t="n"/>
      <c r="I1269" s="75" t="n"/>
      <c r="J1269" s="76" t="n"/>
      <c r="K1269" s="77" t="str">
        <f>IF(AB1269=1,ROUND(AG1269/60,4),"")</f>
        <v/>
      </c>
      <c r="L1269" s="77" t="str">
        <f>IF(BD1269=1,ROUND(AP1269/60,4),"")</f>
        <v/>
      </c>
      <c r="M1269" s="77" t="str">
        <f>IF(BD1269=1,ROUND(AQ1269/60,4),"")</f>
        <v/>
      </c>
      <c r="N1269" s="71" t="str">
        <f>IF(AND(D1269="proMX",AB1269=1),ROUND(AG1269/CFG_BLK,2),"")</f>
        <v/>
      </c>
      <c r="O1269" s="77" t="str">
        <f>IF(D1269="proMX",IF(BD1269=1,ROUND(AG1269/60,4),0),"")</f>
        <v/>
      </c>
      <c r="P1269" s="78" t="str">
        <f>IF(Y1269=0,"",IF(BD1269=1,"OK",IF(D1269="proMX","Revisar bloques: ","Revisar: ")&amp;BC1269))</f>
        <v/>
      </c>
      <c r="Q1269" s="78" t="str">
        <f>IF(NOT(ISNUMBER(B1269)),"",IF(COUNTIFS(FER_F,INT(B1269))&gt;0,"Feriado"&amp;IF(AH1269=1," (laborable)"," (no laborable)"),IF(AH1269=1,"Laborable",IF(WEEKDAY(B1269,2)&gt;5,"Fin de semana","No laborable"))))</f>
        <v/>
      </c>
      <c r="R1269" s="73" t="n"/>
      <c r="S1269" s="72" t="n"/>
      <c r="T1269" s="72" t="n"/>
      <c r="U1269" s="74" t="n"/>
      <c r="V1269" s="79" t="str">
        <f>IF(AND(D1269="proMX",OR(R1269="Submitted",R1269="Recall Requested"),ISNUMBER(S1269)),CFG_TODAY-INT(S1269),"")</f>
        <v/>
      </c>
      <c r="W1269" s="78" t="str">
        <f>IF(BD1269=0,"",IF(BA1269&gt;0,"⚠ Se superpone con un registro de la otra empresa",IF(D1269="Malcolm",IF(COUNTA(R1269,S1269,T1269)&gt;0,"Estado/fechas proMX se ignoran en Malcolm",""),IF(BF1269="Cancelled","Cancelado: excluido de totales",IF(R1269="","Sin estado: se trata como Draft",IF(BF1269="Submitted",IF(ISNUMBER(V1269),IF(V1269&gt;CFG_MAXD,"⚠ "&amp;V1269&amp;" días en Submitted (máx. "&amp;CFG_MAXD&amp;")",""),"Falta fecha de envío"),IF(BF1269="Returned","⚠ Devuelto: corregir y reenviar",IF(BF1269="Recall Requested","Retirada solicitada: pendiente",IF(AND(BF1269="Approved",NOT(ISNUMBER(T1269))),"Falta fecha de aprobación",IF(AND(ISNUMBER(S1269),ISNUMBER(T1269),T1269&lt;S1269),"Aprobación anterior al envío","")))))))))</f>
        <v/>
      </c>
      <c r="Y1269" s="80">
        <f>IF(COUNTA(B1269,D1269,E1269,F1269,G1269,H1269,I1269,J1269,R1269,S1269,T1269)&gt;0,1,0)</f>
        <v>0</v>
      </c>
      <c r="Z1269" s="80" t="str">
        <f>IF(AND(ISNUMBER(H1269),H1269&gt;=0,H1269&lt;1),ROUND(H1269*1440,0),"")</f>
        <v/>
      </c>
      <c r="AA1269" s="80" t="str">
        <f>IF(AND(ISNUMBER(I1269),I1269&gt;=0,I1269&lt;1),ROUND(I1269*1440,0),"")</f>
        <v/>
      </c>
      <c r="AB1269" s="80">
        <f>IF(AND(ISNUMBER(B1269),D1269&lt;&gt;"",ISNUMBER(Z1269),ISNUMBER(AA1269)),IF(Z1269=AA1269,0,1),0)</f>
        <v>0</v>
      </c>
      <c r="AC1269" s="80">
        <f>IF(AB1269=1,IF(AA1269&lt;Z1269,1,0),0)</f>
        <v>0</v>
      </c>
      <c r="AD1269" s="80">
        <f>IF(AB1269=1,IF(AC1269=1,1440-Z1269+AA1269,AA1269-Z1269),0)</f>
        <v>0</v>
      </c>
      <c r="AE1269" s="80">
        <f>IF(J1269="",0,IF(ISNUMBER(J1269),J1269,-1))</f>
        <v>0</v>
      </c>
      <c r="AF1269" s="80">
        <f>MIN(MAX(0,AE1269),AD1269)</f>
        <v>0</v>
      </c>
      <c r="AG1269" s="80">
        <f>MAX(0,AD1269-MAX(0,AE1269))</f>
        <v>0</v>
      </c>
      <c r="AH1269" s="80">
        <f>IF(ISNUMBER(B1269),IF(AND(INDEX(CFG_WDAYS,WEEKDAY(INT(B1269),2))="Sí",IF(D1269="proMX",COUNTIFS(FER_F,INT(B1269),FER_NLP,"Sí"),COUNTIFS(FER_F,INT(B1269),FER_NLM,"Sí"))=0),1,0),0)</f>
        <v>0</v>
      </c>
      <c r="AI1269" s="80">
        <f>IF(AC1269=1,IF(AND(INDEX(CFG_WDAYS,WEEKDAY(INT(B1269)+1,2))="Sí",IF(D1269="proMX",COUNTIFS(FER_F,INT(B1269)+1,FER_NLP,"Sí"),COUNTIFS(FER_F,INT(B1269)+1,FER_NLM,"Sí"))=0),1,0),0)</f>
        <v>0</v>
      </c>
      <c r="AJ1269" s="80">
        <f>IF(AC1269=1,1440-Z1269,AD1269)</f>
        <v>0</v>
      </c>
      <c r="AK1269" s="80">
        <f>IF(AND(AB1269=1,AH1269=1),MAX(0,MIN(IF(AC1269=1,1440,AA1269),CFG_WEM)-MAX(Z1269,CFG_WSM)),0)</f>
        <v>0</v>
      </c>
      <c r="AL1269" s="80">
        <f>IF(AND(AC1269=1,AI1269=1),MAX(0,MIN(AA1269,CFG_WEM)-CFG_WSM),0)</f>
        <v>0</v>
      </c>
      <c r="AM1269" s="80">
        <f>AK1269+AL1269</f>
        <v>0</v>
      </c>
      <c r="AN1269" s="80">
        <f>IF(CFG_BRK="Proporcional",IF(AD1269=0,0,AF1269*AM1269/AD1269),IF(CFG_BRK="Extras primero",MIN(AM1269,MAX(0,AF1269-(AD1269-AM1269))),MIN(AF1269,AM1269)))</f>
        <v>0</v>
      </c>
      <c r="AO1269" s="80">
        <f>AF1269-AN1269</f>
        <v>0</v>
      </c>
      <c r="AP1269" s="80">
        <f>AM1269-AN1269</f>
        <v>0</v>
      </c>
      <c r="AQ1269" s="80">
        <f>AD1269-AM1269-AO1269</f>
        <v>0</v>
      </c>
      <c r="AR1269" s="80">
        <f>IF(AM1269=0,0,AK1269-AN1269*AK1269/AM1269)</f>
        <v>0</v>
      </c>
      <c r="AS1269" s="80">
        <f>IF(AD1269-AM1269=0,0,(AJ1269-AK1269)-AO1269*(AJ1269-AK1269)/(AD1269-AM1269))</f>
        <v>0</v>
      </c>
      <c r="AT1269" s="80" t="str">
        <f>IF(AC1269=1,INT(B1269)+1,"")</f>
        <v/>
      </c>
      <c r="AU1269" s="80">
        <f>IF(AND(D1269="proMX",R1269="Cancelled"),0,1)</f>
        <v>1</v>
      </c>
      <c r="AV1269" s="80">
        <f>IF(AND(AB1269=1,AU1269=1),IF(COUNTIFS($D$5:D1268,D1269,$B$5:B1268,B1269,$Z$5:Z1268,Z1269,$AA$5:AA1268,AA1269,$F$5:F1268,F1269&amp;"",$AU$5:AU1268,1)&gt;0,1,0),0)</f>
        <v>0</v>
      </c>
      <c r="AW1269" s="80" t="str">
        <f>IF(AB1269=1,INT(B1269)*1440+Z1269,"")</f>
        <v/>
      </c>
      <c r="AX1269" s="80" t="str">
        <f>IF(AB1269=1,AW1269+AD1269,"")</f>
        <v/>
      </c>
      <c r="AY1269" s="80">
        <f>IF(AND(AB1269=1,AV1269=0,AU1269=1),1,0)</f>
        <v>0</v>
      </c>
      <c r="AZ1269" s="80">
        <f>IF(AY1269=1,COUNTIFS(R_Emp,D1269,R_SAbs,"&lt;"&amp;AX1269,R_EAbs,"&gt;"&amp;AW1269,R_OKey,1)-1,0)</f>
        <v>0</v>
      </c>
      <c r="BA1269" s="80">
        <f>IF(AY1269=1,COUNTIFS(R_Emp,"&lt;&gt;"&amp;D1269,R_SAbs,"&lt;"&amp;AX1269,R_EAbs,"&gt;"&amp;AW1269,R_OKey,1),0)</f>
        <v>0</v>
      </c>
      <c r="BB1269" s="80">
        <f>IF(AND(AB1269=1,D1269="proMX"),IF(AND(MOD(Z1269,CFG_BLK)=0,MOD(AA1269,CFG_BLK)=0,MOD(AG1269,CFG_BLK)=0,AG1269&gt;0),1,0),1)</f>
        <v>1</v>
      </c>
      <c r="BC1269" s="80" t="str">
        <f>IF(Y1269=0,"",IF(NOT(ISNUMBER(B1269)),"Falta fecha o fecha inválida",IF(D1269="","Falta empresa",IF(AND(D1269&lt;&gt;"Malcolm",D1269&lt;&gt;"proMX"),"Empresa inválida",IF(OR(INT(B1269)&lt;CFG_PSTART,INT(B1269)&gt;CFG_PEND),"Fecha fuera del período",IF(OR(NOT(ISNUMBER(Z1269)),NOT(ISNUMBER(AA1269))),"Falta hora inicio/fin o formato inválido",IF(AB1269=0,"Hora inicio = hora fin",IF(AE1269&lt;0,"Descanso inválido",IF(AE1269&gt;=AD1269,"Descanso ≥ duración",IF(AV1269=1,"Registro duplicado",IF(AZ1269&gt;0,"Se superpone con otro registro "&amp;D1269,IF(BB1269=0,"inicio, fin y duración neta deben ser múltiplos de "&amp;CFG_BLK&amp;" min",""))))))))))))</f>
        <v/>
      </c>
      <c r="BD1269" s="80">
        <f>IF(AND(Y1269=1,BC1269=""),1,0)</f>
        <v>0</v>
      </c>
      <c r="BE1269" s="80">
        <f>IF(AND(BD1269=1,AU1269=1),1,0)</f>
        <v>0</v>
      </c>
      <c r="BF1269" s="80" t="str">
        <f>IF(AND(D1269="proMX",BD1269=1),IF(R1269="","Draft",R1269),"")</f>
        <v/>
      </c>
      <c r="BG1269" s="80">
        <f>IF(BD1269=1,ROUND(AG1269/60,6),0)</f>
        <v>0</v>
      </c>
      <c r="BH1269" s="80">
        <f>IF(BE1269=1,ROUND(AG1269/60,6),0)</f>
        <v>0</v>
      </c>
      <c r="BI1269" s="80">
        <f>IF(BE1269=1,ROUND(AP1269/60,6),0)</f>
        <v>0</v>
      </c>
      <c r="BJ1269" s="80">
        <f>IF(BE1269=1,ROUND(AQ1269/60,6),0)</f>
        <v>0</v>
      </c>
      <c r="BK1269" s="80">
        <f>IF(BE1269=1,ROUND((AR1269+AS1269)/60,6),0)</f>
        <v>0</v>
      </c>
      <c r="BL1269" s="80">
        <f>ROUND(BH1269-BK1269,6)</f>
        <v>0</v>
      </c>
      <c r="BM1269" s="80">
        <f>IF(BE1269=1,ROUND(AR1269/60,6),0)</f>
        <v>0</v>
      </c>
      <c r="BN1269" s="80">
        <f>ROUND(BI1269-BM1269,6)</f>
        <v>0</v>
      </c>
      <c r="BO1269" s="80">
        <f>IF(BE1269=1,ROUND(AS1269/60,6),0)</f>
        <v>0</v>
      </c>
      <c r="BP1269" s="80">
        <f>ROUND(BJ1269-BO1269,6)</f>
        <v>0</v>
      </c>
      <c r="BQ1269" s="80">
        <f>IF(BE1269=1,AW1269,0)</f>
        <v>0</v>
      </c>
      <c r="BR1269" s="80">
        <f>IF(BE1269=1,AX1269,0)</f>
        <v>0</v>
      </c>
      <c r="BS1269" s="80">
        <f>IF(AND(BE1269=1,D1269="Malcolm",BA1269&gt;0),MIN(BH1269,SUMPRODUCT((R_Emp="proMX")*(R_EN&gt;0)*((R_EN-(R_EN&gt;BR1269)*(R_EN-BR1269))&gt;(R_SN+(R_SN&lt;BQ1269)*(BQ1269-R_SN)))*((R_EN-(R_EN&gt;BR1269)*(R_EN-BR1269))-(R_SN+(R_SN&lt;BQ1269)*(BQ1269-R_SN))))/60),0)</f>
        <v>0</v>
      </c>
      <c r="BT1269" s="80">
        <f>IF(AND(BE1269=1,D1269="proMX"),ROUND(BI1269*CFG_RATE+BJ1269*CFG_OTRATE,6),0)</f>
        <v>0</v>
      </c>
      <c r="BU1269" s="80">
        <f>IF(AND(BD1269=1,D1269="proMX"),ROUND(AG1269/CFG_BLK,6),0)</f>
        <v>0</v>
      </c>
      <c r="BV1269" s="80" t="str">
        <f>IF(BF1269="Approved",IF(ISNUMBER(T1269),INT(T1269),INT(B1269)),"")</f>
        <v/>
      </c>
      <c r="BW1269" s="80">
        <f>IF(ISNUMBER(B1269),IF(DB_MON="Todos",1,IF(AND(INT(B1269)&gt;=DB_MS,INT(B1269)&lt;=DB_ME),1,0)),0)</f>
        <v>0</v>
      </c>
      <c r="BX1269" s="80">
        <f>IF(DB_PROJ="Todos",1,IF(E1269&amp;""=DB_PROJ&amp;"",1,0))</f>
        <v>1</v>
      </c>
      <c r="BY1269" s="80">
        <f>BW1269*BX1269</f>
        <v>0</v>
      </c>
      <c r="BZ1269" s="80" t="str">
        <f>IF(Y1269=1,F1269&amp;IF(AND(F1269&amp;""&lt;&gt;"",E1269&amp;""&lt;&gt;"")," · ","")&amp;E1269,"")</f>
        <v/>
      </c>
      <c r="CA1269" s="80" t="str">
        <f>IF(AND(BD1269=1,E1269&amp;""&lt;&gt;""),IF(COUNTIFS($E$5:E1268,E1269,$BD$5:BD1268,1)=0,MAX($CA$5:CA1268)+1,""),"")</f>
        <v/>
      </c>
      <c r="CB1269" s="80" t="str">
        <f>IF(AND(BE1269=1,D1269="Malcolm",E1269&amp;""&lt;&gt;""),IF(COUNTIFS($D$5:D1268,"Malcolm",$E$5:E1268,E1269,$BE$5:BE1268,1)=0,MAX($CB$5:CB1268)+1,""),"")</f>
        <v/>
      </c>
      <c r="CC1269" s="80" t="str">
        <f>IF(AND(BD1269=1,D1269="proMX",E1269&amp;""&lt;&gt;""),IF(COUNTIFS($D$5:D1268,"proMX",$E$5:E1268,E1269,$BD$5:BD1268,1)=0,MAX($CC$5:CC1268)+1,""),"")</f>
        <v/>
      </c>
      <c r="CD1269" s="80" t="str">
        <f>IF(AND(BE1269=1,D1269="Malcolm",F1269&amp;""&lt;&gt;""),IF(COUNTIFS($D$5:D1268,"Malcolm",$F$5:F1268,F1269,$BE$5:BE1268,1)=0,MAX($CD$5:CD1268)+1,""),"")</f>
        <v/>
      </c>
      <c r="CE1269" s="80" t="str">
        <f>IF(AND(BD1269=1,D1269="proMX",F1269&amp;""&lt;&gt;""),IF(COUNTIFS($D$5:D1268,"proMX",$F$5:F1268,F1269,$BD$5:BD1268,1)=0,MAX($CE$5:CE1268)+1,""),"")</f>
        <v/>
      </c>
      <c r="CF1269" s="80" t="str">
        <f>IF(AND(D1269="proMX",BD1269=1),IF(OR(BF1269="Draft",BF1269="Submitted",BF1269="Returned",BF1269="Recall Requested"),MAX($CF$5:CF1268)+1,""),"")</f>
        <v/>
      </c>
      <c r="CG1269" s="80">
        <f>IF(BD1269=0,0,IF(D1269="Malcolm",1,MATCH(BF1269,{"Draft","Submitted","Approved","Returned","Recall Requested","Cancelled"},0)+1))</f>
        <v>0</v>
      </c>
      <c r="CH1269" s="80">
        <f>IF(AND(BF1269="Submitted",ISNUMBER(V1269)),IF(V1269&gt;CFG_MAXD,1,0),0)</f>
        <v>0</v>
      </c>
    </row>
    <row r="1270">
      <c r="A1270" s="71" t="str">
        <f>IF(Y1270=1,ROW()-5,"")</f>
        <v/>
      </c>
      <c r="B1270" s="72" t="n"/>
      <c r="C1270" s="71" t="str">
        <f>IF(ISNUMBER(B1270),CHOOSE(WEEKDAY(B1270,2),"Lun","Mar","Mié","Jue","Vie","Sáb","Dom"),"")</f>
        <v/>
      </c>
      <c r="D1270" s="73" t="n"/>
      <c r="E1270" s="74" t="n"/>
      <c r="F1270" s="74" t="n"/>
      <c r="G1270" s="74" t="n"/>
      <c r="H1270" s="75" t="n"/>
      <c r="I1270" s="75" t="n"/>
      <c r="J1270" s="76" t="n"/>
      <c r="K1270" s="77" t="str">
        <f>IF(AB1270=1,ROUND(AG1270/60,4),"")</f>
        <v/>
      </c>
      <c r="L1270" s="77" t="str">
        <f>IF(BD1270=1,ROUND(AP1270/60,4),"")</f>
        <v/>
      </c>
      <c r="M1270" s="77" t="str">
        <f>IF(BD1270=1,ROUND(AQ1270/60,4),"")</f>
        <v/>
      </c>
      <c r="N1270" s="71" t="str">
        <f>IF(AND(D1270="proMX",AB1270=1),ROUND(AG1270/CFG_BLK,2),"")</f>
        <v/>
      </c>
      <c r="O1270" s="77" t="str">
        <f>IF(D1270="proMX",IF(BD1270=1,ROUND(AG1270/60,4),0),"")</f>
        <v/>
      </c>
      <c r="P1270" s="78" t="str">
        <f>IF(Y1270=0,"",IF(BD1270=1,"OK",IF(D1270="proMX","Revisar bloques: ","Revisar: ")&amp;BC1270))</f>
        <v/>
      </c>
      <c r="Q1270" s="78" t="str">
        <f>IF(NOT(ISNUMBER(B1270)),"",IF(COUNTIFS(FER_F,INT(B1270))&gt;0,"Feriado"&amp;IF(AH1270=1," (laborable)"," (no laborable)"),IF(AH1270=1,"Laborable",IF(WEEKDAY(B1270,2)&gt;5,"Fin de semana","No laborable"))))</f>
        <v/>
      </c>
      <c r="R1270" s="73" t="n"/>
      <c r="S1270" s="72" t="n"/>
      <c r="T1270" s="72" t="n"/>
      <c r="U1270" s="74" t="n"/>
      <c r="V1270" s="79" t="str">
        <f>IF(AND(D1270="proMX",OR(R1270="Submitted",R1270="Recall Requested"),ISNUMBER(S1270)),CFG_TODAY-INT(S1270),"")</f>
        <v/>
      </c>
      <c r="W1270" s="78" t="str">
        <f>IF(BD1270=0,"",IF(BA1270&gt;0,"⚠ Se superpone con un registro de la otra empresa",IF(D1270="Malcolm",IF(COUNTA(R1270,S1270,T1270)&gt;0,"Estado/fechas proMX se ignoran en Malcolm",""),IF(BF1270="Cancelled","Cancelado: excluido de totales",IF(R1270="","Sin estado: se trata como Draft",IF(BF1270="Submitted",IF(ISNUMBER(V1270),IF(V1270&gt;CFG_MAXD,"⚠ "&amp;V1270&amp;" días en Submitted (máx. "&amp;CFG_MAXD&amp;")",""),"Falta fecha de envío"),IF(BF1270="Returned","⚠ Devuelto: corregir y reenviar",IF(BF1270="Recall Requested","Retirada solicitada: pendiente",IF(AND(BF1270="Approved",NOT(ISNUMBER(T1270))),"Falta fecha de aprobación",IF(AND(ISNUMBER(S1270),ISNUMBER(T1270),T1270&lt;S1270),"Aprobación anterior al envío","")))))))))</f>
        <v/>
      </c>
      <c r="Y1270" s="80">
        <f>IF(COUNTA(B1270,D1270,E1270,F1270,G1270,H1270,I1270,J1270,R1270,S1270,T1270)&gt;0,1,0)</f>
        <v>0</v>
      </c>
      <c r="Z1270" s="80" t="str">
        <f>IF(AND(ISNUMBER(H1270),H1270&gt;=0,H1270&lt;1),ROUND(H1270*1440,0),"")</f>
        <v/>
      </c>
      <c r="AA1270" s="80" t="str">
        <f>IF(AND(ISNUMBER(I1270),I1270&gt;=0,I1270&lt;1),ROUND(I1270*1440,0),"")</f>
        <v/>
      </c>
      <c r="AB1270" s="80">
        <f>IF(AND(ISNUMBER(B1270),D1270&lt;&gt;"",ISNUMBER(Z1270),ISNUMBER(AA1270)),IF(Z1270=AA1270,0,1),0)</f>
        <v>0</v>
      </c>
      <c r="AC1270" s="80">
        <f>IF(AB1270=1,IF(AA1270&lt;Z1270,1,0),0)</f>
        <v>0</v>
      </c>
      <c r="AD1270" s="80">
        <f>IF(AB1270=1,IF(AC1270=1,1440-Z1270+AA1270,AA1270-Z1270),0)</f>
        <v>0</v>
      </c>
      <c r="AE1270" s="80">
        <f>IF(J1270="",0,IF(ISNUMBER(J1270),J1270,-1))</f>
        <v>0</v>
      </c>
      <c r="AF1270" s="80">
        <f>MIN(MAX(0,AE1270),AD1270)</f>
        <v>0</v>
      </c>
      <c r="AG1270" s="80">
        <f>MAX(0,AD1270-MAX(0,AE1270))</f>
        <v>0</v>
      </c>
      <c r="AH1270" s="80">
        <f>IF(ISNUMBER(B1270),IF(AND(INDEX(CFG_WDAYS,WEEKDAY(INT(B1270),2))="Sí",IF(D1270="proMX",COUNTIFS(FER_F,INT(B1270),FER_NLP,"Sí"),COUNTIFS(FER_F,INT(B1270),FER_NLM,"Sí"))=0),1,0),0)</f>
        <v>0</v>
      </c>
      <c r="AI1270" s="80">
        <f>IF(AC1270=1,IF(AND(INDEX(CFG_WDAYS,WEEKDAY(INT(B1270)+1,2))="Sí",IF(D1270="proMX",COUNTIFS(FER_F,INT(B1270)+1,FER_NLP,"Sí"),COUNTIFS(FER_F,INT(B1270)+1,FER_NLM,"Sí"))=0),1,0),0)</f>
        <v>0</v>
      </c>
      <c r="AJ1270" s="80">
        <f>IF(AC1270=1,1440-Z1270,AD1270)</f>
        <v>0</v>
      </c>
      <c r="AK1270" s="80">
        <f>IF(AND(AB1270=1,AH1270=1),MAX(0,MIN(IF(AC1270=1,1440,AA1270),CFG_WEM)-MAX(Z1270,CFG_WSM)),0)</f>
        <v>0</v>
      </c>
      <c r="AL1270" s="80">
        <f>IF(AND(AC1270=1,AI1270=1),MAX(0,MIN(AA1270,CFG_WEM)-CFG_WSM),0)</f>
        <v>0</v>
      </c>
      <c r="AM1270" s="80">
        <f>AK1270+AL1270</f>
        <v>0</v>
      </c>
      <c r="AN1270" s="80">
        <f>IF(CFG_BRK="Proporcional",IF(AD1270=0,0,AF1270*AM1270/AD1270),IF(CFG_BRK="Extras primero",MIN(AM1270,MAX(0,AF1270-(AD1270-AM1270))),MIN(AF1270,AM1270)))</f>
        <v>0</v>
      </c>
      <c r="AO1270" s="80">
        <f>AF1270-AN1270</f>
        <v>0</v>
      </c>
      <c r="AP1270" s="80">
        <f>AM1270-AN1270</f>
        <v>0</v>
      </c>
      <c r="AQ1270" s="80">
        <f>AD1270-AM1270-AO1270</f>
        <v>0</v>
      </c>
      <c r="AR1270" s="80">
        <f>IF(AM1270=0,0,AK1270-AN1270*AK1270/AM1270)</f>
        <v>0</v>
      </c>
      <c r="AS1270" s="80">
        <f>IF(AD1270-AM1270=0,0,(AJ1270-AK1270)-AO1270*(AJ1270-AK1270)/(AD1270-AM1270))</f>
        <v>0</v>
      </c>
      <c r="AT1270" s="80" t="str">
        <f>IF(AC1270=1,INT(B1270)+1,"")</f>
        <v/>
      </c>
      <c r="AU1270" s="80">
        <f>IF(AND(D1270="proMX",R1270="Cancelled"),0,1)</f>
        <v>1</v>
      </c>
      <c r="AV1270" s="80">
        <f>IF(AND(AB1270=1,AU1270=1),IF(COUNTIFS($D$5:D1269,D1270,$B$5:B1269,B1270,$Z$5:Z1269,Z1270,$AA$5:AA1269,AA1270,$F$5:F1269,F1270&amp;"",$AU$5:AU1269,1)&gt;0,1,0),0)</f>
        <v>0</v>
      </c>
      <c r="AW1270" s="80" t="str">
        <f>IF(AB1270=1,INT(B1270)*1440+Z1270,"")</f>
        <v/>
      </c>
      <c r="AX1270" s="80" t="str">
        <f>IF(AB1270=1,AW1270+AD1270,"")</f>
        <v/>
      </c>
      <c r="AY1270" s="80">
        <f>IF(AND(AB1270=1,AV1270=0,AU1270=1),1,0)</f>
        <v>0</v>
      </c>
      <c r="AZ1270" s="80">
        <f>IF(AY1270=1,COUNTIFS(R_Emp,D1270,R_SAbs,"&lt;"&amp;AX1270,R_EAbs,"&gt;"&amp;AW1270,R_OKey,1)-1,0)</f>
        <v>0</v>
      </c>
      <c r="BA1270" s="80">
        <f>IF(AY1270=1,COUNTIFS(R_Emp,"&lt;&gt;"&amp;D1270,R_SAbs,"&lt;"&amp;AX1270,R_EAbs,"&gt;"&amp;AW1270,R_OKey,1),0)</f>
        <v>0</v>
      </c>
      <c r="BB1270" s="80">
        <f>IF(AND(AB1270=1,D1270="proMX"),IF(AND(MOD(Z1270,CFG_BLK)=0,MOD(AA1270,CFG_BLK)=0,MOD(AG1270,CFG_BLK)=0,AG1270&gt;0),1,0),1)</f>
        <v>1</v>
      </c>
      <c r="BC1270" s="80" t="str">
        <f>IF(Y1270=0,"",IF(NOT(ISNUMBER(B1270)),"Falta fecha o fecha inválida",IF(D1270="","Falta empresa",IF(AND(D1270&lt;&gt;"Malcolm",D1270&lt;&gt;"proMX"),"Empresa inválida",IF(OR(INT(B1270)&lt;CFG_PSTART,INT(B1270)&gt;CFG_PEND),"Fecha fuera del período",IF(OR(NOT(ISNUMBER(Z1270)),NOT(ISNUMBER(AA1270))),"Falta hora inicio/fin o formato inválido",IF(AB1270=0,"Hora inicio = hora fin",IF(AE1270&lt;0,"Descanso inválido",IF(AE1270&gt;=AD1270,"Descanso ≥ duración",IF(AV1270=1,"Registro duplicado",IF(AZ1270&gt;0,"Se superpone con otro registro "&amp;D1270,IF(BB1270=0,"inicio, fin y duración neta deben ser múltiplos de "&amp;CFG_BLK&amp;" min",""))))))))))))</f>
        <v/>
      </c>
      <c r="BD1270" s="80">
        <f>IF(AND(Y1270=1,BC1270=""),1,0)</f>
        <v>0</v>
      </c>
      <c r="BE1270" s="80">
        <f>IF(AND(BD1270=1,AU1270=1),1,0)</f>
        <v>0</v>
      </c>
      <c r="BF1270" s="80" t="str">
        <f>IF(AND(D1270="proMX",BD1270=1),IF(R1270="","Draft",R1270),"")</f>
        <v/>
      </c>
      <c r="BG1270" s="80">
        <f>IF(BD1270=1,ROUND(AG1270/60,6),0)</f>
        <v>0</v>
      </c>
      <c r="BH1270" s="80">
        <f>IF(BE1270=1,ROUND(AG1270/60,6),0)</f>
        <v>0</v>
      </c>
      <c r="BI1270" s="80">
        <f>IF(BE1270=1,ROUND(AP1270/60,6),0)</f>
        <v>0</v>
      </c>
      <c r="BJ1270" s="80">
        <f>IF(BE1270=1,ROUND(AQ1270/60,6),0)</f>
        <v>0</v>
      </c>
      <c r="BK1270" s="80">
        <f>IF(BE1270=1,ROUND((AR1270+AS1270)/60,6),0)</f>
        <v>0</v>
      </c>
      <c r="BL1270" s="80">
        <f>ROUND(BH1270-BK1270,6)</f>
        <v>0</v>
      </c>
      <c r="BM1270" s="80">
        <f>IF(BE1270=1,ROUND(AR1270/60,6),0)</f>
        <v>0</v>
      </c>
      <c r="BN1270" s="80">
        <f>ROUND(BI1270-BM1270,6)</f>
        <v>0</v>
      </c>
      <c r="BO1270" s="80">
        <f>IF(BE1270=1,ROUND(AS1270/60,6),0)</f>
        <v>0</v>
      </c>
      <c r="BP1270" s="80">
        <f>ROUND(BJ1270-BO1270,6)</f>
        <v>0</v>
      </c>
      <c r="BQ1270" s="80">
        <f>IF(BE1270=1,AW1270,0)</f>
        <v>0</v>
      </c>
      <c r="BR1270" s="80">
        <f>IF(BE1270=1,AX1270,0)</f>
        <v>0</v>
      </c>
      <c r="BS1270" s="80">
        <f>IF(AND(BE1270=1,D1270="Malcolm",BA1270&gt;0),MIN(BH1270,SUMPRODUCT((R_Emp="proMX")*(R_EN&gt;0)*((R_EN-(R_EN&gt;BR1270)*(R_EN-BR1270))&gt;(R_SN+(R_SN&lt;BQ1270)*(BQ1270-R_SN)))*((R_EN-(R_EN&gt;BR1270)*(R_EN-BR1270))-(R_SN+(R_SN&lt;BQ1270)*(BQ1270-R_SN))))/60),0)</f>
        <v>0</v>
      </c>
      <c r="BT1270" s="80">
        <f>IF(AND(BE1270=1,D1270="proMX"),ROUND(BI1270*CFG_RATE+BJ1270*CFG_OTRATE,6),0)</f>
        <v>0</v>
      </c>
      <c r="BU1270" s="80">
        <f>IF(AND(BD1270=1,D1270="proMX"),ROUND(AG1270/CFG_BLK,6),0)</f>
        <v>0</v>
      </c>
      <c r="BV1270" s="80" t="str">
        <f>IF(BF1270="Approved",IF(ISNUMBER(T1270),INT(T1270),INT(B1270)),"")</f>
        <v/>
      </c>
      <c r="BW1270" s="80">
        <f>IF(ISNUMBER(B1270),IF(DB_MON="Todos",1,IF(AND(INT(B1270)&gt;=DB_MS,INT(B1270)&lt;=DB_ME),1,0)),0)</f>
        <v>0</v>
      </c>
      <c r="BX1270" s="80">
        <f>IF(DB_PROJ="Todos",1,IF(E1270&amp;""=DB_PROJ&amp;"",1,0))</f>
        <v>1</v>
      </c>
      <c r="BY1270" s="80">
        <f>BW1270*BX1270</f>
        <v>0</v>
      </c>
      <c r="BZ1270" s="80" t="str">
        <f>IF(Y1270=1,F1270&amp;IF(AND(F1270&amp;""&lt;&gt;"",E1270&amp;""&lt;&gt;"")," · ","")&amp;E1270,"")</f>
        <v/>
      </c>
      <c r="CA1270" s="80" t="str">
        <f>IF(AND(BD1270=1,E1270&amp;""&lt;&gt;""),IF(COUNTIFS($E$5:E1269,E1270,$BD$5:BD1269,1)=0,MAX($CA$5:CA1269)+1,""),"")</f>
        <v/>
      </c>
      <c r="CB1270" s="80" t="str">
        <f>IF(AND(BE1270=1,D1270="Malcolm",E1270&amp;""&lt;&gt;""),IF(COUNTIFS($D$5:D1269,"Malcolm",$E$5:E1269,E1270,$BE$5:BE1269,1)=0,MAX($CB$5:CB1269)+1,""),"")</f>
        <v/>
      </c>
      <c r="CC1270" s="80" t="str">
        <f>IF(AND(BD1270=1,D1270="proMX",E1270&amp;""&lt;&gt;""),IF(COUNTIFS($D$5:D1269,"proMX",$E$5:E1269,E1270,$BD$5:BD1269,1)=0,MAX($CC$5:CC1269)+1,""),"")</f>
        <v/>
      </c>
      <c r="CD1270" s="80" t="str">
        <f>IF(AND(BE1270=1,D1270="Malcolm",F1270&amp;""&lt;&gt;""),IF(COUNTIFS($D$5:D1269,"Malcolm",$F$5:F1269,F1270,$BE$5:BE1269,1)=0,MAX($CD$5:CD1269)+1,""),"")</f>
        <v/>
      </c>
      <c r="CE1270" s="80" t="str">
        <f>IF(AND(BD1270=1,D1270="proMX",F1270&amp;""&lt;&gt;""),IF(COUNTIFS($D$5:D1269,"proMX",$F$5:F1269,F1270,$BD$5:BD1269,1)=0,MAX($CE$5:CE1269)+1,""),"")</f>
        <v/>
      </c>
      <c r="CF1270" s="80" t="str">
        <f>IF(AND(D1270="proMX",BD1270=1),IF(OR(BF1270="Draft",BF1270="Submitted",BF1270="Returned",BF1270="Recall Requested"),MAX($CF$5:CF1269)+1,""),"")</f>
        <v/>
      </c>
      <c r="CG1270" s="80">
        <f>IF(BD1270=0,0,IF(D1270="Malcolm",1,MATCH(BF1270,{"Draft","Submitted","Approved","Returned","Recall Requested","Cancelled"},0)+1))</f>
        <v>0</v>
      </c>
      <c r="CH1270" s="80">
        <f>IF(AND(BF1270="Submitted",ISNUMBER(V1270)),IF(V1270&gt;CFG_MAXD,1,0),0)</f>
        <v>0</v>
      </c>
    </row>
    <row r="1271">
      <c r="A1271" s="71" t="str">
        <f>IF(Y1271=1,ROW()-5,"")</f>
        <v/>
      </c>
      <c r="B1271" s="72" t="n"/>
      <c r="C1271" s="71" t="str">
        <f>IF(ISNUMBER(B1271),CHOOSE(WEEKDAY(B1271,2),"Lun","Mar","Mié","Jue","Vie","Sáb","Dom"),"")</f>
        <v/>
      </c>
      <c r="D1271" s="73" t="n"/>
      <c r="E1271" s="74" t="n"/>
      <c r="F1271" s="74" t="n"/>
      <c r="G1271" s="74" t="n"/>
      <c r="H1271" s="75" t="n"/>
      <c r="I1271" s="75" t="n"/>
      <c r="J1271" s="76" t="n"/>
      <c r="K1271" s="77" t="str">
        <f>IF(AB1271=1,ROUND(AG1271/60,4),"")</f>
        <v/>
      </c>
      <c r="L1271" s="77" t="str">
        <f>IF(BD1271=1,ROUND(AP1271/60,4),"")</f>
        <v/>
      </c>
      <c r="M1271" s="77" t="str">
        <f>IF(BD1271=1,ROUND(AQ1271/60,4),"")</f>
        <v/>
      </c>
      <c r="N1271" s="71" t="str">
        <f>IF(AND(D1271="proMX",AB1271=1),ROUND(AG1271/CFG_BLK,2),"")</f>
        <v/>
      </c>
      <c r="O1271" s="77" t="str">
        <f>IF(D1271="proMX",IF(BD1271=1,ROUND(AG1271/60,4),0),"")</f>
        <v/>
      </c>
      <c r="P1271" s="78" t="str">
        <f>IF(Y1271=0,"",IF(BD1271=1,"OK",IF(D1271="proMX","Revisar bloques: ","Revisar: ")&amp;BC1271))</f>
        <v/>
      </c>
      <c r="Q1271" s="78" t="str">
        <f>IF(NOT(ISNUMBER(B1271)),"",IF(COUNTIFS(FER_F,INT(B1271))&gt;0,"Feriado"&amp;IF(AH1271=1," (laborable)"," (no laborable)"),IF(AH1271=1,"Laborable",IF(WEEKDAY(B1271,2)&gt;5,"Fin de semana","No laborable"))))</f>
        <v/>
      </c>
      <c r="R1271" s="73" t="n"/>
      <c r="S1271" s="72" t="n"/>
      <c r="T1271" s="72" t="n"/>
      <c r="U1271" s="74" t="n"/>
      <c r="V1271" s="79" t="str">
        <f>IF(AND(D1271="proMX",OR(R1271="Submitted",R1271="Recall Requested"),ISNUMBER(S1271)),CFG_TODAY-INT(S1271),"")</f>
        <v/>
      </c>
      <c r="W1271" s="78" t="str">
        <f>IF(BD1271=0,"",IF(BA1271&gt;0,"⚠ Se superpone con un registro de la otra empresa",IF(D1271="Malcolm",IF(COUNTA(R1271,S1271,T1271)&gt;0,"Estado/fechas proMX se ignoran en Malcolm",""),IF(BF1271="Cancelled","Cancelado: excluido de totales",IF(R1271="","Sin estado: se trata como Draft",IF(BF1271="Submitted",IF(ISNUMBER(V1271),IF(V1271&gt;CFG_MAXD,"⚠ "&amp;V1271&amp;" días en Submitted (máx. "&amp;CFG_MAXD&amp;")",""),"Falta fecha de envío"),IF(BF1271="Returned","⚠ Devuelto: corregir y reenviar",IF(BF1271="Recall Requested","Retirada solicitada: pendiente",IF(AND(BF1271="Approved",NOT(ISNUMBER(T1271))),"Falta fecha de aprobación",IF(AND(ISNUMBER(S1271),ISNUMBER(T1271),T1271&lt;S1271),"Aprobación anterior al envío","")))))))))</f>
        <v/>
      </c>
      <c r="Y1271" s="80">
        <f>IF(COUNTA(B1271,D1271,E1271,F1271,G1271,H1271,I1271,J1271,R1271,S1271,T1271)&gt;0,1,0)</f>
        <v>0</v>
      </c>
      <c r="Z1271" s="80" t="str">
        <f>IF(AND(ISNUMBER(H1271),H1271&gt;=0,H1271&lt;1),ROUND(H1271*1440,0),"")</f>
        <v/>
      </c>
      <c r="AA1271" s="80" t="str">
        <f>IF(AND(ISNUMBER(I1271),I1271&gt;=0,I1271&lt;1),ROUND(I1271*1440,0),"")</f>
        <v/>
      </c>
      <c r="AB1271" s="80">
        <f>IF(AND(ISNUMBER(B1271),D1271&lt;&gt;"",ISNUMBER(Z1271),ISNUMBER(AA1271)),IF(Z1271=AA1271,0,1),0)</f>
        <v>0</v>
      </c>
      <c r="AC1271" s="80">
        <f>IF(AB1271=1,IF(AA1271&lt;Z1271,1,0),0)</f>
        <v>0</v>
      </c>
      <c r="AD1271" s="80">
        <f>IF(AB1271=1,IF(AC1271=1,1440-Z1271+AA1271,AA1271-Z1271),0)</f>
        <v>0</v>
      </c>
      <c r="AE1271" s="80">
        <f>IF(J1271="",0,IF(ISNUMBER(J1271),J1271,-1))</f>
        <v>0</v>
      </c>
      <c r="AF1271" s="80">
        <f>MIN(MAX(0,AE1271),AD1271)</f>
        <v>0</v>
      </c>
      <c r="AG1271" s="80">
        <f>MAX(0,AD1271-MAX(0,AE1271))</f>
        <v>0</v>
      </c>
      <c r="AH1271" s="80">
        <f>IF(ISNUMBER(B1271),IF(AND(INDEX(CFG_WDAYS,WEEKDAY(INT(B1271),2))="Sí",IF(D1271="proMX",COUNTIFS(FER_F,INT(B1271),FER_NLP,"Sí"),COUNTIFS(FER_F,INT(B1271),FER_NLM,"Sí"))=0),1,0),0)</f>
        <v>0</v>
      </c>
      <c r="AI1271" s="80">
        <f>IF(AC1271=1,IF(AND(INDEX(CFG_WDAYS,WEEKDAY(INT(B1271)+1,2))="Sí",IF(D1271="proMX",COUNTIFS(FER_F,INT(B1271)+1,FER_NLP,"Sí"),COUNTIFS(FER_F,INT(B1271)+1,FER_NLM,"Sí"))=0),1,0),0)</f>
        <v>0</v>
      </c>
      <c r="AJ1271" s="80">
        <f>IF(AC1271=1,1440-Z1271,AD1271)</f>
        <v>0</v>
      </c>
      <c r="AK1271" s="80">
        <f>IF(AND(AB1271=1,AH1271=1),MAX(0,MIN(IF(AC1271=1,1440,AA1271),CFG_WEM)-MAX(Z1271,CFG_WSM)),0)</f>
        <v>0</v>
      </c>
      <c r="AL1271" s="80">
        <f>IF(AND(AC1271=1,AI1271=1),MAX(0,MIN(AA1271,CFG_WEM)-CFG_WSM),0)</f>
        <v>0</v>
      </c>
      <c r="AM1271" s="80">
        <f>AK1271+AL1271</f>
        <v>0</v>
      </c>
      <c r="AN1271" s="80">
        <f>IF(CFG_BRK="Proporcional",IF(AD1271=0,0,AF1271*AM1271/AD1271),IF(CFG_BRK="Extras primero",MIN(AM1271,MAX(0,AF1271-(AD1271-AM1271))),MIN(AF1271,AM1271)))</f>
        <v>0</v>
      </c>
      <c r="AO1271" s="80">
        <f>AF1271-AN1271</f>
        <v>0</v>
      </c>
      <c r="AP1271" s="80">
        <f>AM1271-AN1271</f>
        <v>0</v>
      </c>
      <c r="AQ1271" s="80">
        <f>AD1271-AM1271-AO1271</f>
        <v>0</v>
      </c>
      <c r="AR1271" s="80">
        <f>IF(AM1271=0,0,AK1271-AN1271*AK1271/AM1271)</f>
        <v>0</v>
      </c>
      <c r="AS1271" s="80">
        <f>IF(AD1271-AM1271=0,0,(AJ1271-AK1271)-AO1271*(AJ1271-AK1271)/(AD1271-AM1271))</f>
        <v>0</v>
      </c>
      <c r="AT1271" s="80" t="str">
        <f>IF(AC1271=1,INT(B1271)+1,"")</f>
        <v/>
      </c>
      <c r="AU1271" s="80">
        <f>IF(AND(D1271="proMX",R1271="Cancelled"),0,1)</f>
        <v>1</v>
      </c>
      <c r="AV1271" s="80">
        <f>IF(AND(AB1271=1,AU1271=1),IF(COUNTIFS($D$5:D1270,D1271,$B$5:B1270,B1271,$Z$5:Z1270,Z1271,$AA$5:AA1270,AA1271,$F$5:F1270,F1271&amp;"",$AU$5:AU1270,1)&gt;0,1,0),0)</f>
        <v>0</v>
      </c>
      <c r="AW1271" s="80" t="str">
        <f>IF(AB1271=1,INT(B1271)*1440+Z1271,"")</f>
        <v/>
      </c>
      <c r="AX1271" s="80" t="str">
        <f>IF(AB1271=1,AW1271+AD1271,"")</f>
        <v/>
      </c>
      <c r="AY1271" s="80">
        <f>IF(AND(AB1271=1,AV1271=0,AU1271=1),1,0)</f>
        <v>0</v>
      </c>
      <c r="AZ1271" s="80">
        <f>IF(AY1271=1,COUNTIFS(R_Emp,D1271,R_SAbs,"&lt;"&amp;AX1271,R_EAbs,"&gt;"&amp;AW1271,R_OKey,1)-1,0)</f>
        <v>0</v>
      </c>
      <c r="BA1271" s="80">
        <f>IF(AY1271=1,COUNTIFS(R_Emp,"&lt;&gt;"&amp;D1271,R_SAbs,"&lt;"&amp;AX1271,R_EAbs,"&gt;"&amp;AW1271,R_OKey,1),0)</f>
        <v>0</v>
      </c>
      <c r="BB1271" s="80">
        <f>IF(AND(AB1271=1,D1271="proMX"),IF(AND(MOD(Z1271,CFG_BLK)=0,MOD(AA1271,CFG_BLK)=0,MOD(AG1271,CFG_BLK)=0,AG1271&gt;0),1,0),1)</f>
        <v>1</v>
      </c>
      <c r="BC1271" s="80" t="str">
        <f>IF(Y1271=0,"",IF(NOT(ISNUMBER(B1271)),"Falta fecha o fecha inválida",IF(D1271="","Falta empresa",IF(AND(D1271&lt;&gt;"Malcolm",D1271&lt;&gt;"proMX"),"Empresa inválida",IF(OR(INT(B1271)&lt;CFG_PSTART,INT(B1271)&gt;CFG_PEND),"Fecha fuera del período",IF(OR(NOT(ISNUMBER(Z1271)),NOT(ISNUMBER(AA1271))),"Falta hora inicio/fin o formato inválido",IF(AB1271=0,"Hora inicio = hora fin",IF(AE1271&lt;0,"Descanso inválido",IF(AE1271&gt;=AD1271,"Descanso ≥ duración",IF(AV1271=1,"Registro duplicado",IF(AZ1271&gt;0,"Se superpone con otro registro "&amp;D1271,IF(BB1271=0,"inicio, fin y duración neta deben ser múltiplos de "&amp;CFG_BLK&amp;" min",""))))))))))))</f>
        <v/>
      </c>
      <c r="BD1271" s="80">
        <f>IF(AND(Y1271=1,BC1271=""),1,0)</f>
        <v>0</v>
      </c>
      <c r="BE1271" s="80">
        <f>IF(AND(BD1271=1,AU1271=1),1,0)</f>
        <v>0</v>
      </c>
      <c r="BF1271" s="80" t="str">
        <f>IF(AND(D1271="proMX",BD1271=1),IF(R1271="","Draft",R1271),"")</f>
        <v/>
      </c>
      <c r="BG1271" s="80">
        <f>IF(BD1271=1,ROUND(AG1271/60,6),0)</f>
        <v>0</v>
      </c>
      <c r="BH1271" s="80">
        <f>IF(BE1271=1,ROUND(AG1271/60,6),0)</f>
        <v>0</v>
      </c>
      <c r="BI1271" s="80">
        <f>IF(BE1271=1,ROUND(AP1271/60,6),0)</f>
        <v>0</v>
      </c>
      <c r="BJ1271" s="80">
        <f>IF(BE1271=1,ROUND(AQ1271/60,6),0)</f>
        <v>0</v>
      </c>
      <c r="BK1271" s="80">
        <f>IF(BE1271=1,ROUND((AR1271+AS1271)/60,6),0)</f>
        <v>0</v>
      </c>
      <c r="BL1271" s="80">
        <f>ROUND(BH1271-BK1271,6)</f>
        <v>0</v>
      </c>
      <c r="BM1271" s="80">
        <f>IF(BE1271=1,ROUND(AR1271/60,6),0)</f>
        <v>0</v>
      </c>
      <c r="BN1271" s="80">
        <f>ROUND(BI1271-BM1271,6)</f>
        <v>0</v>
      </c>
      <c r="BO1271" s="80">
        <f>IF(BE1271=1,ROUND(AS1271/60,6),0)</f>
        <v>0</v>
      </c>
      <c r="BP1271" s="80">
        <f>ROUND(BJ1271-BO1271,6)</f>
        <v>0</v>
      </c>
      <c r="BQ1271" s="80">
        <f>IF(BE1271=1,AW1271,0)</f>
        <v>0</v>
      </c>
      <c r="BR1271" s="80">
        <f>IF(BE1271=1,AX1271,0)</f>
        <v>0</v>
      </c>
      <c r="BS1271" s="80">
        <f>IF(AND(BE1271=1,D1271="Malcolm",BA1271&gt;0),MIN(BH1271,SUMPRODUCT((R_Emp="proMX")*(R_EN&gt;0)*((R_EN-(R_EN&gt;BR1271)*(R_EN-BR1271))&gt;(R_SN+(R_SN&lt;BQ1271)*(BQ1271-R_SN)))*((R_EN-(R_EN&gt;BR1271)*(R_EN-BR1271))-(R_SN+(R_SN&lt;BQ1271)*(BQ1271-R_SN))))/60),0)</f>
        <v>0</v>
      </c>
      <c r="BT1271" s="80">
        <f>IF(AND(BE1271=1,D1271="proMX"),ROUND(BI1271*CFG_RATE+BJ1271*CFG_OTRATE,6),0)</f>
        <v>0</v>
      </c>
      <c r="BU1271" s="80">
        <f>IF(AND(BD1271=1,D1271="proMX"),ROUND(AG1271/CFG_BLK,6),0)</f>
        <v>0</v>
      </c>
      <c r="BV1271" s="80" t="str">
        <f>IF(BF1271="Approved",IF(ISNUMBER(T1271),INT(T1271),INT(B1271)),"")</f>
        <v/>
      </c>
      <c r="BW1271" s="80">
        <f>IF(ISNUMBER(B1271),IF(DB_MON="Todos",1,IF(AND(INT(B1271)&gt;=DB_MS,INT(B1271)&lt;=DB_ME),1,0)),0)</f>
        <v>0</v>
      </c>
      <c r="BX1271" s="80">
        <f>IF(DB_PROJ="Todos",1,IF(E1271&amp;""=DB_PROJ&amp;"",1,0))</f>
        <v>1</v>
      </c>
      <c r="BY1271" s="80">
        <f>BW1271*BX1271</f>
        <v>0</v>
      </c>
      <c r="BZ1271" s="80" t="str">
        <f>IF(Y1271=1,F1271&amp;IF(AND(F1271&amp;""&lt;&gt;"",E1271&amp;""&lt;&gt;"")," · ","")&amp;E1271,"")</f>
        <v/>
      </c>
      <c r="CA1271" s="80" t="str">
        <f>IF(AND(BD1271=1,E1271&amp;""&lt;&gt;""),IF(COUNTIFS($E$5:E1270,E1271,$BD$5:BD1270,1)=0,MAX($CA$5:CA1270)+1,""),"")</f>
        <v/>
      </c>
      <c r="CB1271" s="80" t="str">
        <f>IF(AND(BE1271=1,D1271="Malcolm",E1271&amp;""&lt;&gt;""),IF(COUNTIFS($D$5:D1270,"Malcolm",$E$5:E1270,E1271,$BE$5:BE1270,1)=0,MAX($CB$5:CB1270)+1,""),"")</f>
        <v/>
      </c>
      <c r="CC1271" s="80" t="str">
        <f>IF(AND(BD1271=1,D1271="proMX",E1271&amp;""&lt;&gt;""),IF(COUNTIFS($D$5:D1270,"proMX",$E$5:E1270,E1271,$BD$5:BD1270,1)=0,MAX($CC$5:CC1270)+1,""),"")</f>
        <v/>
      </c>
      <c r="CD1271" s="80" t="str">
        <f>IF(AND(BE1271=1,D1271="Malcolm",F1271&amp;""&lt;&gt;""),IF(COUNTIFS($D$5:D1270,"Malcolm",$F$5:F1270,F1271,$BE$5:BE1270,1)=0,MAX($CD$5:CD1270)+1,""),"")</f>
        <v/>
      </c>
      <c r="CE1271" s="80" t="str">
        <f>IF(AND(BD1271=1,D1271="proMX",F1271&amp;""&lt;&gt;""),IF(COUNTIFS($D$5:D1270,"proMX",$F$5:F1270,F1271,$BD$5:BD1270,1)=0,MAX($CE$5:CE1270)+1,""),"")</f>
        <v/>
      </c>
      <c r="CF1271" s="80" t="str">
        <f>IF(AND(D1271="proMX",BD1271=1),IF(OR(BF1271="Draft",BF1271="Submitted",BF1271="Returned",BF1271="Recall Requested"),MAX($CF$5:CF1270)+1,""),"")</f>
        <v/>
      </c>
      <c r="CG1271" s="80">
        <f>IF(BD1271=0,0,IF(D1271="Malcolm",1,MATCH(BF1271,{"Draft","Submitted","Approved","Returned","Recall Requested","Cancelled"},0)+1))</f>
        <v>0</v>
      </c>
      <c r="CH1271" s="80">
        <f>IF(AND(BF1271="Submitted",ISNUMBER(V1271)),IF(V1271&gt;CFG_MAXD,1,0),0)</f>
        <v>0</v>
      </c>
    </row>
    <row r="1272">
      <c r="A1272" s="71" t="str">
        <f>IF(Y1272=1,ROW()-5,"")</f>
        <v/>
      </c>
      <c r="B1272" s="72" t="n"/>
      <c r="C1272" s="71" t="str">
        <f>IF(ISNUMBER(B1272),CHOOSE(WEEKDAY(B1272,2),"Lun","Mar","Mié","Jue","Vie","Sáb","Dom"),"")</f>
        <v/>
      </c>
      <c r="D1272" s="73" t="n"/>
      <c r="E1272" s="74" t="n"/>
      <c r="F1272" s="74" t="n"/>
      <c r="G1272" s="74" t="n"/>
      <c r="H1272" s="75" t="n"/>
      <c r="I1272" s="75" t="n"/>
      <c r="J1272" s="76" t="n"/>
      <c r="K1272" s="77" t="str">
        <f>IF(AB1272=1,ROUND(AG1272/60,4),"")</f>
        <v/>
      </c>
      <c r="L1272" s="77" t="str">
        <f>IF(BD1272=1,ROUND(AP1272/60,4),"")</f>
        <v/>
      </c>
      <c r="M1272" s="77" t="str">
        <f>IF(BD1272=1,ROUND(AQ1272/60,4),"")</f>
        <v/>
      </c>
      <c r="N1272" s="71" t="str">
        <f>IF(AND(D1272="proMX",AB1272=1),ROUND(AG1272/CFG_BLK,2),"")</f>
        <v/>
      </c>
      <c r="O1272" s="77" t="str">
        <f>IF(D1272="proMX",IF(BD1272=1,ROUND(AG1272/60,4),0),"")</f>
        <v/>
      </c>
      <c r="P1272" s="78" t="str">
        <f>IF(Y1272=0,"",IF(BD1272=1,"OK",IF(D1272="proMX","Revisar bloques: ","Revisar: ")&amp;BC1272))</f>
        <v/>
      </c>
      <c r="Q1272" s="78" t="str">
        <f>IF(NOT(ISNUMBER(B1272)),"",IF(COUNTIFS(FER_F,INT(B1272))&gt;0,"Feriado"&amp;IF(AH1272=1," (laborable)"," (no laborable)"),IF(AH1272=1,"Laborable",IF(WEEKDAY(B1272,2)&gt;5,"Fin de semana","No laborable"))))</f>
        <v/>
      </c>
      <c r="R1272" s="73" t="n"/>
      <c r="S1272" s="72" t="n"/>
      <c r="T1272" s="72" t="n"/>
      <c r="U1272" s="74" t="n"/>
      <c r="V1272" s="79" t="str">
        <f>IF(AND(D1272="proMX",OR(R1272="Submitted",R1272="Recall Requested"),ISNUMBER(S1272)),CFG_TODAY-INT(S1272),"")</f>
        <v/>
      </c>
      <c r="W1272" s="78" t="str">
        <f>IF(BD1272=0,"",IF(BA1272&gt;0,"⚠ Se superpone con un registro de la otra empresa",IF(D1272="Malcolm",IF(COUNTA(R1272,S1272,T1272)&gt;0,"Estado/fechas proMX se ignoran en Malcolm",""),IF(BF1272="Cancelled","Cancelado: excluido de totales",IF(R1272="","Sin estado: se trata como Draft",IF(BF1272="Submitted",IF(ISNUMBER(V1272),IF(V1272&gt;CFG_MAXD,"⚠ "&amp;V1272&amp;" días en Submitted (máx. "&amp;CFG_MAXD&amp;")",""),"Falta fecha de envío"),IF(BF1272="Returned","⚠ Devuelto: corregir y reenviar",IF(BF1272="Recall Requested","Retirada solicitada: pendiente",IF(AND(BF1272="Approved",NOT(ISNUMBER(T1272))),"Falta fecha de aprobación",IF(AND(ISNUMBER(S1272),ISNUMBER(T1272),T1272&lt;S1272),"Aprobación anterior al envío","")))))))))</f>
        <v/>
      </c>
      <c r="Y1272" s="80">
        <f>IF(COUNTA(B1272,D1272,E1272,F1272,G1272,H1272,I1272,J1272,R1272,S1272,T1272)&gt;0,1,0)</f>
        <v>0</v>
      </c>
      <c r="Z1272" s="80" t="str">
        <f>IF(AND(ISNUMBER(H1272),H1272&gt;=0,H1272&lt;1),ROUND(H1272*1440,0),"")</f>
        <v/>
      </c>
      <c r="AA1272" s="80" t="str">
        <f>IF(AND(ISNUMBER(I1272),I1272&gt;=0,I1272&lt;1),ROUND(I1272*1440,0),"")</f>
        <v/>
      </c>
      <c r="AB1272" s="80">
        <f>IF(AND(ISNUMBER(B1272),D1272&lt;&gt;"",ISNUMBER(Z1272),ISNUMBER(AA1272)),IF(Z1272=AA1272,0,1),0)</f>
        <v>0</v>
      </c>
      <c r="AC1272" s="80">
        <f>IF(AB1272=1,IF(AA1272&lt;Z1272,1,0),0)</f>
        <v>0</v>
      </c>
      <c r="AD1272" s="80">
        <f>IF(AB1272=1,IF(AC1272=1,1440-Z1272+AA1272,AA1272-Z1272),0)</f>
        <v>0</v>
      </c>
      <c r="AE1272" s="80">
        <f>IF(J1272="",0,IF(ISNUMBER(J1272),J1272,-1))</f>
        <v>0</v>
      </c>
      <c r="AF1272" s="80">
        <f>MIN(MAX(0,AE1272),AD1272)</f>
        <v>0</v>
      </c>
      <c r="AG1272" s="80">
        <f>MAX(0,AD1272-MAX(0,AE1272))</f>
        <v>0</v>
      </c>
      <c r="AH1272" s="80">
        <f>IF(ISNUMBER(B1272),IF(AND(INDEX(CFG_WDAYS,WEEKDAY(INT(B1272),2))="Sí",IF(D1272="proMX",COUNTIFS(FER_F,INT(B1272),FER_NLP,"Sí"),COUNTIFS(FER_F,INT(B1272),FER_NLM,"Sí"))=0),1,0),0)</f>
        <v>0</v>
      </c>
      <c r="AI1272" s="80">
        <f>IF(AC1272=1,IF(AND(INDEX(CFG_WDAYS,WEEKDAY(INT(B1272)+1,2))="Sí",IF(D1272="proMX",COUNTIFS(FER_F,INT(B1272)+1,FER_NLP,"Sí"),COUNTIFS(FER_F,INT(B1272)+1,FER_NLM,"Sí"))=0),1,0),0)</f>
        <v>0</v>
      </c>
      <c r="AJ1272" s="80">
        <f>IF(AC1272=1,1440-Z1272,AD1272)</f>
        <v>0</v>
      </c>
      <c r="AK1272" s="80">
        <f>IF(AND(AB1272=1,AH1272=1),MAX(0,MIN(IF(AC1272=1,1440,AA1272),CFG_WEM)-MAX(Z1272,CFG_WSM)),0)</f>
        <v>0</v>
      </c>
      <c r="AL1272" s="80">
        <f>IF(AND(AC1272=1,AI1272=1),MAX(0,MIN(AA1272,CFG_WEM)-CFG_WSM),0)</f>
        <v>0</v>
      </c>
      <c r="AM1272" s="80">
        <f>AK1272+AL1272</f>
        <v>0</v>
      </c>
      <c r="AN1272" s="80">
        <f>IF(CFG_BRK="Proporcional",IF(AD1272=0,0,AF1272*AM1272/AD1272),IF(CFG_BRK="Extras primero",MIN(AM1272,MAX(0,AF1272-(AD1272-AM1272))),MIN(AF1272,AM1272)))</f>
        <v>0</v>
      </c>
      <c r="AO1272" s="80">
        <f>AF1272-AN1272</f>
        <v>0</v>
      </c>
      <c r="AP1272" s="80">
        <f>AM1272-AN1272</f>
        <v>0</v>
      </c>
      <c r="AQ1272" s="80">
        <f>AD1272-AM1272-AO1272</f>
        <v>0</v>
      </c>
      <c r="AR1272" s="80">
        <f>IF(AM1272=0,0,AK1272-AN1272*AK1272/AM1272)</f>
        <v>0</v>
      </c>
      <c r="AS1272" s="80">
        <f>IF(AD1272-AM1272=0,0,(AJ1272-AK1272)-AO1272*(AJ1272-AK1272)/(AD1272-AM1272))</f>
        <v>0</v>
      </c>
      <c r="AT1272" s="80" t="str">
        <f>IF(AC1272=1,INT(B1272)+1,"")</f>
        <v/>
      </c>
      <c r="AU1272" s="80">
        <f>IF(AND(D1272="proMX",R1272="Cancelled"),0,1)</f>
        <v>1</v>
      </c>
      <c r="AV1272" s="80">
        <f>IF(AND(AB1272=1,AU1272=1),IF(COUNTIFS($D$5:D1271,D1272,$B$5:B1271,B1272,$Z$5:Z1271,Z1272,$AA$5:AA1271,AA1272,$F$5:F1271,F1272&amp;"",$AU$5:AU1271,1)&gt;0,1,0),0)</f>
        <v>0</v>
      </c>
      <c r="AW1272" s="80" t="str">
        <f>IF(AB1272=1,INT(B1272)*1440+Z1272,"")</f>
        <v/>
      </c>
      <c r="AX1272" s="80" t="str">
        <f>IF(AB1272=1,AW1272+AD1272,"")</f>
        <v/>
      </c>
      <c r="AY1272" s="80">
        <f>IF(AND(AB1272=1,AV1272=0,AU1272=1),1,0)</f>
        <v>0</v>
      </c>
      <c r="AZ1272" s="80">
        <f>IF(AY1272=1,COUNTIFS(R_Emp,D1272,R_SAbs,"&lt;"&amp;AX1272,R_EAbs,"&gt;"&amp;AW1272,R_OKey,1)-1,0)</f>
        <v>0</v>
      </c>
      <c r="BA1272" s="80">
        <f>IF(AY1272=1,COUNTIFS(R_Emp,"&lt;&gt;"&amp;D1272,R_SAbs,"&lt;"&amp;AX1272,R_EAbs,"&gt;"&amp;AW1272,R_OKey,1),0)</f>
        <v>0</v>
      </c>
      <c r="BB1272" s="80">
        <f>IF(AND(AB1272=1,D1272="proMX"),IF(AND(MOD(Z1272,CFG_BLK)=0,MOD(AA1272,CFG_BLK)=0,MOD(AG1272,CFG_BLK)=0,AG1272&gt;0),1,0),1)</f>
        <v>1</v>
      </c>
      <c r="BC1272" s="80" t="str">
        <f>IF(Y1272=0,"",IF(NOT(ISNUMBER(B1272)),"Falta fecha o fecha inválida",IF(D1272="","Falta empresa",IF(AND(D1272&lt;&gt;"Malcolm",D1272&lt;&gt;"proMX"),"Empresa inválida",IF(OR(INT(B1272)&lt;CFG_PSTART,INT(B1272)&gt;CFG_PEND),"Fecha fuera del período",IF(OR(NOT(ISNUMBER(Z1272)),NOT(ISNUMBER(AA1272))),"Falta hora inicio/fin o formato inválido",IF(AB1272=0,"Hora inicio = hora fin",IF(AE1272&lt;0,"Descanso inválido",IF(AE1272&gt;=AD1272,"Descanso ≥ duración",IF(AV1272=1,"Registro duplicado",IF(AZ1272&gt;0,"Se superpone con otro registro "&amp;D1272,IF(BB1272=0,"inicio, fin y duración neta deben ser múltiplos de "&amp;CFG_BLK&amp;" min",""))))))))))))</f>
        <v/>
      </c>
      <c r="BD1272" s="80">
        <f>IF(AND(Y1272=1,BC1272=""),1,0)</f>
        <v>0</v>
      </c>
      <c r="BE1272" s="80">
        <f>IF(AND(BD1272=1,AU1272=1),1,0)</f>
        <v>0</v>
      </c>
      <c r="BF1272" s="80" t="str">
        <f>IF(AND(D1272="proMX",BD1272=1),IF(R1272="","Draft",R1272),"")</f>
        <v/>
      </c>
      <c r="BG1272" s="80">
        <f>IF(BD1272=1,ROUND(AG1272/60,6),0)</f>
        <v>0</v>
      </c>
      <c r="BH1272" s="80">
        <f>IF(BE1272=1,ROUND(AG1272/60,6),0)</f>
        <v>0</v>
      </c>
      <c r="BI1272" s="80">
        <f>IF(BE1272=1,ROUND(AP1272/60,6),0)</f>
        <v>0</v>
      </c>
      <c r="BJ1272" s="80">
        <f>IF(BE1272=1,ROUND(AQ1272/60,6),0)</f>
        <v>0</v>
      </c>
      <c r="BK1272" s="80">
        <f>IF(BE1272=1,ROUND((AR1272+AS1272)/60,6),0)</f>
        <v>0</v>
      </c>
      <c r="BL1272" s="80">
        <f>ROUND(BH1272-BK1272,6)</f>
        <v>0</v>
      </c>
      <c r="BM1272" s="80">
        <f>IF(BE1272=1,ROUND(AR1272/60,6),0)</f>
        <v>0</v>
      </c>
      <c r="BN1272" s="80">
        <f>ROUND(BI1272-BM1272,6)</f>
        <v>0</v>
      </c>
      <c r="BO1272" s="80">
        <f>IF(BE1272=1,ROUND(AS1272/60,6),0)</f>
        <v>0</v>
      </c>
      <c r="BP1272" s="80">
        <f>ROUND(BJ1272-BO1272,6)</f>
        <v>0</v>
      </c>
      <c r="BQ1272" s="80">
        <f>IF(BE1272=1,AW1272,0)</f>
        <v>0</v>
      </c>
      <c r="BR1272" s="80">
        <f>IF(BE1272=1,AX1272,0)</f>
        <v>0</v>
      </c>
      <c r="BS1272" s="80">
        <f>IF(AND(BE1272=1,D1272="Malcolm",BA1272&gt;0),MIN(BH1272,SUMPRODUCT((R_Emp="proMX")*(R_EN&gt;0)*((R_EN-(R_EN&gt;BR1272)*(R_EN-BR1272))&gt;(R_SN+(R_SN&lt;BQ1272)*(BQ1272-R_SN)))*((R_EN-(R_EN&gt;BR1272)*(R_EN-BR1272))-(R_SN+(R_SN&lt;BQ1272)*(BQ1272-R_SN))))/60),0)</f>
        <v>0</v>
      </c>
      <c r="BT1272" s="80">
        <f>IF(AND(BE1272=1,D1272="proMX"),ROUND(BI1272*CFG_RATE+BJ1272*CFG_OTRATE,6),0)</f>
        <v>0</v>
      </c>
      <c r="BU1272" s="80">
        <f>IF(AND(BD1272=1,D1272="proMX"),ROUND(AG1272/CFG_BLK,6),0)</f>
        <v>0</v>
      </c>
      <c r="BV1272" s="80" t="str">
        <f>IF(BF1272="Approved",IF(ISNUMBER(T1272),INT(T1272),INT(B1272)),"")</f>
        <v/>
      </c>
      <c r="BW1272" s="80">
        <f>IF(ISNUMBER(B1272),IF(DB_MON="Todos",1,IF(AND(INT(B1272)&gt;=DB_MS,INT(B1272)&lt;=DB_ME),1,0)),0)</f>
        <v>0</v>
      </c>
      <c r="BX1272" s="80">
        <f>IF(DB_PROJ="Todos",1,IF(E1272&amp;""=DB_PROJ&amp;"",1,0))</f>
        <v>1</v>
      </c>
      <c r="BY1272" s="80">
        <f>BW1272*BX1272</f>
        <v>0</v>
      </c>
      <c r="BZ1272" s="80" t="str">
        <f>IF(Y1272=1,F1272&amp;IF(AND(F1272&amp;""&lt;&gt;"",E1272&amp;""&lt;&gt;"")," · ","")&amp;E1272,"")</f>
        <v/>
      </c>
      <c r="CA1272" s="80" t="str">
        <f>IF(AND(BD1272=1,E1272&amp;""&lt;&gt;""),IF(COUNTIFS($E$5:E1271,E1272,$BD$5:BD1271,1)=0,MAX($CA$5:CA1271)+1,""),"")</f>
        <v/>
      </c>
      <c r="CB1272" s="80" t="str">
        <f>IF(AND(BE1272=1,D1272="Malcolm",E1272&amp;""&lt;&gt;""),IF(COUNTIFS($D$5:D1271,"Malcolm",$E$5:E1271,E1272,$BE$5:BE1271,1)=0,MAX($CB$5:CB1271)+1,""),"")</f>
        <v/>
      </c>
      <c r="CC1272" s="80" t="str">
        <f>IF(AND(BD1272=1,D1272="proMX",E1272&amp;""&lt;&gt;""),IF(COUNTIFS($D$5:D1271,"proMX",$E$5:E1271,E1272,$BD$5:BD1271,1)=0,MAX($CC$5:CC1271)+1,""),"")</f>
        <v/>
      </c>
      <c r="CD1272" s="80" t="str">
        <f>IF(AND(BE1272=1,D1272="Malcolm",F1272&amp;""&lt;&gt;""),IF(COUNTIFS($D$5:D1271,"Malcolm",$F$5:F1271,F1272,$BE$5:BE1271,1)=0,MAX($CD$5:CD1271)+1,""),"")</f>
        <v/>
      </c>
      <c r="CE1272" s="80" t="str">
        <f>IF(AND(BD1272=1,D1272="proMX",F1272&amp;""&lt;&gt;""),IF(COUNTIFS($D$5:D1271,"proMX",$F$5:F1271,F1272,$BD$5:BD1271,1)=0,MAX($CE$5:CE1271)+1,""),"")</f>
        <v/>
      </c>
      <c r="CF1272" s="80" t="str">
        <f>IF(AND(D1272="proMX",BD1272=1),IF(OR(BF1272="Draft",BF1272="Submitted",BF1272="Returned",BF1272="Recall Requested"),MAX($CF$5:CF1271)+1,""),"")</f>
        <v/>
      </c>
      <c r="CG1272" s="80">
        <f>IF(BD1272=0,0,IF(D1272="Malcolm",1,MATCH(BF1272,{"Draft","Submitted","Approved","Returned","Recall Requested","Cancelled"},0)+1))</f>
        <v>0</v>
      </c>
      <c r="CH1272" s="80">
        <f>IF(AND(BF1272="Submitted",ISNUMBER(V1272)),IF(V1272&gt;CFG_MAXD,1,0),0)</f>
        <v>0</v>
      </c>
    </row>
    <row r="1273">
      <c r="A1273" s="71" t="str">
        <f>IF(Y1273=1,ROW()-5,"")</f>
        <v/>
      </c>
      <c r="B1273" s="72" t="n"/>
      <c r="C1273" s="71" t="str">
        <f>IF(ISNUMBER(B1273),CHOOSE(WEEKDAY(B1273,2),"Lun","Mar","Mié","Jue","Vie","Sáb","Dom"),"")</f>
        <v/>
      </c>
      <c r="D1273" s="73" t="n"/>
      <c r="E1273" s="74" t="n"/>
      <c r="F1273" s="74" t="n"/>
      <c r="G1273" s="74" t="n"/>
      <c r="H1273" s="75" t="n"/>
      <c r="I1273" s="75" t="n"/>
      <c r="J1273" s="76" t="n"/>
      <c r="K1273" s="77" t="str">
        <f>IF(AB1273=1,ROUND(AG1273/60,4),"")</f>
        <v/>
      </c>
      <c r="L1273" s="77" t="str">
        <f>IF(BD1273=1,ROUND(AP1273/60,4),"")</f>
        <v/>
      </c>
      <c r="M1273" s="77" t="str">
        <f>IF(BD1273=1,ROUND(AQ1273/60,4),"")</f>
        <v/>
      </c>
      <c r="N1273" s="71" t="str">
        <f>IF(AND(D1273="proMX",AB1273=1),ROUND(AG1273/CFG_BLK,2),"")</f>
        <v/>
      </c>
      <c r="O1273" s="77" t="str">
        <f>IF(D1273="proMX",IF(BD1273=1,ROUND(AG1273/60,4),0),"")</f>
        <v/>
      </c>
      <c r="P1273" s="78" t="str">
        <f>IF(Y1273=0,"",IF(BD1273=1,"OK",IF(D1273="proMX","Revisar bloques: ","Revisar: ")&amp;BC1273))</f>
        <v/>
      </c>
      <c r="Q1273" s="78" t="str">
        <f>IF(NOT(ISNUMBER(B1273)),"",IF(COUNTIFS(FER_F,INT(B1273))&gt;0,"Feriado"&amp;IF(AH1273=1," (laborable)"," (no laborable)"),IF(AH1273=1,"Laborable",IF(WEEKDAY(B1273,2)&gt;5,"Fin de semana","No laborable"))))</f>
        <v/>
      </c>
      <c r="R1273" s="73" t="n"/>
      <c r="S1273" s="72" t="n"/>
      <c r="T1273" s="72" t="n"/>
      <c r="U1273" s="74" t="n"/>
      <c r="V1273" s="79" t="str">
        <f>IF(AND(D1273="proMX",OR(R1273="Submitted",R1273="Recall Requested"),ISNUMBER(S1273)),CFG_TODAY-INT(S1273),"")</f>
        <v/>
      </c>
      <c r="W1273" s="78" t="str">
        <f>IF(BD1273=0,"",IF(BA1273&gt;0,"⚠ Se superpone con un registro de la otra empresa",IF(D1273="Malcolm",IF(COUNTA(R1273,S1273,T1273)&gt;0,"Estado/fechas proMX se ignoran en Malcolm",""),IF(BF1273="Cancelled","Cancelado: excluido de totales",IF(R1273="","Sin estado: se trata como Draft",IF(BF1273="Submitted",IF(ISNUMBER(V1273),IF(V1273&gt;CFG_MAXD,"⚠ "&amp;V1273&amp;" días en Submitted (máx. "&amp;CFG_MAXD&amp;")",""),"Falta fecha de envío"),IF(BF1273="Returned","⚠ Devuelto: corregir y reenviar",IF(BF1273="Recall Requested","Retirada solicitada: pendiente",IF(AND(BF1273="Approved",NOT(ISNUMBER(T1273))),"Falta fecha de aprobación",IF(AND(ISNUMBER(S1273),ISNUMBER(T1273),T1273&lt;S1273),"Aprobación anterior al envío","")))))))))</f>
        <v/>
      </c>
      <c r="Y1273" s="80">
        <f>IF(COUNTA(B1273,D1273,E1273,F1273,G1273,H1273,I1273,J1273,R1273,S1273,T1273)&gt;0,1,0)</f>
        <v>0</v>
      </c>
      <c r="Z1273" s="80" t="str">
        <f>IF(AND(ISNUMBER(H1273),H1273&gt;=0,H1273&lt;1),ROUND(H1273*1440,0),"")</f>
        <v/>
      </c>
      <c r="AA1273" s="80" t="str">
        <f>IF(AND(ISNUMBER(I1273),I1273&gt;=0,I1273&lt;1),ROUND(I1273*1440,0),"")</f>
        <v/>
      </c>
      <c r="AB1273" s="80">
        <f>IF(AND(ISNUMBER(B1273),D1273&lt;&gt;"",ISNUMBER(Z1273),ISNUMBER(AA1273)),IF(Z1273=AA1273,0,1),0)</f>
        <v>0</v>
      </c>
      <c r="AC1273" s="80">
        <f>IF(AB1273=1,IF(AA1273&lt;Z1273,1,0),0)</f>
        <v>0</v>
      </c>
      <c r="AD1273" s="80">
        <f>IF(AB1273=1,IF(AC1273=1,1440-Z1273+AA1273,AA1273-Z1273),0)</f>
        <v>0</v>
      </c>
      <c r="AE1273" s="80">
        <f>IF(J1273="",0,IF(ISNUMBER(J1273),J1273,-1))</f>
        <v>0</v>
      </c>
      <c r="AF1273" s="80">
        <f>MIN(MAX(0,AE1273),AD1273)</f>
        <v>0</v>
      </c>
      <c r="AG1273" s="80">
        <f>MAX(0,AD1273-MAX(0,AE1273))</f>
        <v>0</v>
      </c>
      <c r="AH1273" s="80">
        <f>IF(ISNUMBER(B1273),IF(AND(INDEX(CFG_WDAYS,WEEKDAY(INT(B1273),2))="Sí",IF(D1273="proMX",COUNTIFS(FER_F,INT(B1273),FER_NLP,"Sí"),COUNTIFS(FER_F,INT(B1273),FER_NLM,"Sí"))=0),1,0),0)</f>
        <v>0</v>
      </c>
      <c r="AI1273" s="80">
        <f>IF(AC1273=1,IF(AND(INDEX(CFG_WDAYS,WEEKDAY(INT(B1273)+1,2))="Sí",IF(D1273="proMX",COUNTIFS(FER_F,INT(B1273)+1,FER_NLP,"Sí"),COUNTIFS(FER_F,INT(B1273)+1,FER_NLM,"Sí"))=0),1,0),0)</f>
        <v>0</v>
      </c>
      <c r="AJ1273" s="80">
        <f>IF(AC1273=1,1440-Z1273,AD1273)</f>
        <v>0</v>
      </c>
      <c r="AK1273" s="80">
        <f>IF(AND(AB1273=1,AH1273=1),MAX(0,MIN(IF(AC1273=1,1440,AA1273),CFG_WEM)-MAX(Z1273,CFG_WSM)),0)</f>
        <v>0</v>
      </c>
      <c r="AL1273" s="80">
        <f>IF(AND(AC1273=1,AI1273=1),MAX(0,MIN(AA1273,CFG_WEM)-CFG_WSM),0)</f>
        <v>0</v>
      </c>
      <c r="AM1273" s="80">
        <f>AK1273+AL1273</f>
        <v>0</v>
      </c>
      <c r="AN1273" s="80">
        <f>IF(CFG_BRK="Proporcional",IF(AD1273=0,0,AF1273*AM1273/AD1273),IF(CFG_BRK="Extras primero",MIN(AM1273,MAX(0,AF1273-(AD1273-AM1273))),MIN(AF1273,AM1273)))</f>
        <v>0</v>
      </c>
      <c r="AO1273" s="80">
        <f>AF1273-AN1273</f>
        <v>0</v>
      </c>
      <c r="AP1273" s="80">
        <f>AM1273-AN1273</f>
        <v>0</v>
      </c>
      <c r="AQ1273" s="80">
        <f>AD1273-AM1273-AO1273</f>
        <v>0</v>
      </c>
      <c r="AR1273" s="80">
        <f>IF(AM1273=0,0,AK1273-AN1273*AK1273/AM1273)</f>
        <v>0</v>
      </c>
      <c r="AS1273" s="80">
        <f>IF(AD1273-AM1273=0,0,(AJ1273-AK1273)-AO1273*(AJ1273-AK1273)/(AD1273-AM1273))</f>
        <v>0</v>
      </c>
      <c r="AT1273" s="80" t="str">
        <f>IF(AC1273=1,INT(B1273)+1,"")</f>
        <v/>
      </c>
      <c r="AU1273" s="80">
        <f>IF(AND(D1273="proMX",R1273="Cancelled"),0,1)</f>
        <v>1</v>
      </c>
      <c r="AV1273" s="80">
        <f>IF(AND(AB1273=1,AU1273=1),IF(COUNTIFS($D$5:D1272,D1273,$B$5:B1272,B1273,$Z$5:Z1272,Z1273,$AA$5:AA1272,AA1273,$F$5:F1272,F1273&amp;"",$AU$5:AU1272,1)&gt;0,1,0),0)</f>
        <v>0</v>
      </c>
      <c r="AW1273" s="80" t="str">
        <f>IF(AB1273=1,INT(B1273)*1440+Z1273,"")</f>
        <v/>
      </c>
      <c r="AX1273" s="80" t="str">
        <f>IF(AB1273=1,AW1273+AD1273,"")</f>
        <v/>
      </c>
      <c r="AY1273" s="80">
        <f>IF(AND(AB1273=1,AV1273=0,AU1273=1),1,0)</f>
        <v>0</v>
      </c>
      <c r="AZ1273" s="80">
        <f>IF(AY1273=1,COUNTIFS(R_Emp,D1273,R_SAbs,"&lt;"&amp;AX1273,R_EAbs,"&gt;"&amp;AW1273,R_OKey,1)-1,0)</f>
        <v>0</v>
      </c>
      <c r="BA1273" s="80">
        <f>IF(AY1273=1,COUNTIFS(R_Emp,"&lt;&gt;"&amp;D1273,R_SAbs,"&lt;"&amp;AX1273,R_EAbs,"&gt;"&amp;AW1273,R_OKey,1),0)</f>
        <v>0</v>
      </c>
      <c r="BB1273" s="80">
        <f>IF(AND(AB1273=1,D1273="proMX"),IF(AND(MOD(Z1273,CFG_BLK)=0,MOD(AA1273,CFG_BLK)=0,MOD(AG1273,CFG_BLK)=0,AG1273&gt;0),1,0),1)</f>
        <v>1</v>
      </c>
      <c r="BC1273" s="80" t="str">
        <f>IF(Y1273=0,"",IF(NOT(ISNUMBER(B1273)),"Falta fecha o fecha inválida",IF(D1273="","Falta empresa",IF(AND(D1273&lt;&gt;"Malcolm",D1273&lt;&gt;"proMX"),"Empresa inválida",IF(OR(INT(B1273)&lt;CFG_PSTART,INT(B1273)&gt;CFG_PEND),"Fecha fuera del período",IF(OR(NOT(ISNUMBER(Z1273)),NOT(ISNUMBER(AA1273))),"Falta hora inicio/fin o formato inválido",IF(AB1273=0,"Hora inicio = hora fin",IF(AE1273&lt;0,"Descanso inválido",IF(AE1273&gt;=AD1273,"Descanso ≥ duración",IF(AV1273=1,"Registro duplicado",IF(AZ1273&gt;0,"Se superpone con otro registro "&amp;D1273,IF(BB1273=0,"inicio, fin y duración neta deben ser múltiplos de "&amp;CFG_BLK&amp;" min",""))))))))))))</f>
        <v/>
      </c>
      <c r="BD1273" s="80">
        <f>IF(AND(Y1273=1,BC1273=""),1,0)</f>
        <v>0</v>
      </c>
      <c r="BE1273" s="80">
        <f>IF(AND(BD1273=1,AU1273=1),1,0)</f>
        <v>0</v>
      </c>
      <c r="BF1273" s="80" t="str">
        <f>IF(AND(D1273="proMX",BD1273=1),IF(R1273="","Draft",R1273),"")</f>
        <v/>
      </c>
      <c r="BG1273" s="80">
        <f>IF(BD1273=1,ROUND(AG1273/60,6),0)</f>
        <v>0</v>
      </c>
      <c r="BH1273" s="80">
        <f>IF(BE1273=1,ROUND(AG1273/60,6),0)</f>
        <v>0</v>
      </c>
      <c r="BI1273" s="80">
        <f>IF(BE1273=1,ROUND(AP1273/60,6),0)</f>
        <v>0</v>
      </c>
      <c r="BJ1273" s="80">
        <f>IF(BE1273=1,ROUND(AQ1273/60,6),0)</f>
        <v>0</v>
      </c>
      <c r="BK1273" s="80">
        <f>IF(BE1273=1,ROUND((AR1273+AS1273)/60,6),0)</f>
        <v>0</v>
      </c>
      <c r="BL1273" s="80">
        <f>ROUND(BH1273-BK1273,6)</f>
        <v>0</v>
      </c>
      <c r="BM1273" s="80">
        <f>IF(BE1273=1,ROUND(AR1273/60,6),0)</f>
        <v>0</v>
      </c>
      <c r="BN1273" s="80">
        <f>ROUND(BI1273-BM1273,6)</f>
        <v>0</v>
      </c>
      <c r="BO1273" s="80">
        <f>IF(BE1273=1,ROUND(AS1273/60,6),0)</f>
        <v>0</v>
      </c>
      <c r="BP1273" s="80">
        <f>ROUND(BJ1273-BO1273,6)</f>
        <v>0</v>
      </c>
      <c r="BQ1273" s="80">
        <f>IF(BE1273=1,AW1273,0)</f>
        <v>0</v>
      </c>
      <c r="BR1273" s="80">
        <f>IF(BE1273=1,AX1273,0)</f>
        <v>0</v>
      </c>
      <c r="BS1273" s="80">
        <f>IF(AND(BE1273=1,D1273="Malcolm",BA1273&gt;0),MIN(BH1273,SUMPRODUCT((R_Emp="proMX")*(R_EN&gt;0)*((R_EN-(R_EN&gt;BR1273)*(R_EN-BR1273))&gt;(R_SN+(R_SN&lt;BQ1273)*(BQ1273-R_SN)))*((R_EN-(R_EN&gt;BR1273)*(R_EN-BR1273))-(R_SN+(R_SN&lt;BQ1273)*(BQ1273-R_SN))))/60),0)</f>
        <v>0</v>
      </c>
      <c r="BT1273" s="80">
        <f>IF(AND(BE1273=1,D1273="proMX"),ROUND(BI1273*CFG_RATE+BJ1273*CFG_OTRATE,6),0)</f>
        <v>0</v>
      </c>
      <c r="BU1273" s="80">
        <f>IF(AND(BD1273=1,D1273="proMX"),ROUND(AG1273/CFG_BLK,6),0)</f>
        <v>0</v>
      </c>
      <c r="BV1273" s="80" t="str">
        <f>IF(BF1273="Approved",IF(ISNUMBER(T1273),INT(T1273),INT(B1273)),"")</f>
        <v/>
      </c>
      <c r="BW1273" s="80">
        <f>IF(ISNUMBER(B1273),IF(DB_MON="Todos",1,IF(AND(INT(B1273)&gt;=DB_MS,INT(B1273)&lt;=DB_ME),1,0)),0)</f>
        <v>0</v>
      </c>
      <c r="BX1273" s="80">
        <f>IF(DB_PROJ="Todos",1,IF(E1273&amp;""=DB_PROJ&amp;"",1,0))</f>
        <v>1</v>
      </c>
      <c r="BY1273" s="80">
        <f>BW1273*BX1273</f>
        <v>0</v>
      </c>
      <c r="BZ1273" s="80" t="str">
        <f>IF(Y1273=1,F1273&amp;IF(AND(F1273&amp;""&lt;&gt;"",E1273&amp;""&lt;&gt;"")," · ","")&amp;E1273,"")</f>
        <v/>
      </c>
      <c r="CA1273" s="80" t="str">
        <f>IF(AND(BD1273=1,E1273&amp;""&lt;&gt;""),IF(COUNTIFS($E$5:E1272,E1273,$BD$5:BD1272,1)=0,MAX($CA$5:CA1272)+1,""),"")</f>
        <v/>
      </c>
      <c r="CB1273" s="80" t="str">
        <f>IF(AND(BE1273=1,D1273="Malcolm",E1273&amp;""&lt;&gt;""),IF(COUNTIFS($D$5:D1272,"Malcolm",$E$5:E1272,E1273,$BE$5:BE1272,1)=0,MAX($CB$5:CB1272)+1,""),"")</f>
        <v/>
      </c>
      <c r="CC1273" s="80" t="str">
        <f>IF(AND(BD1273=1,D1273="proMX",E1273&amp;""&lt;&gt;""),IF(COUNTIFS($D$5:D1272,"proMX",$E$5:E1272,E1273,$BD$5:BD1272,1)=0,MAX($CC$5:CC1272)+1,""),"")</f>
        <v/>
      </c>
      <c r="CD1273" s="80" t="str">
        <f>IF(AND(BE1273=1,D1273="Malcolm",F1273&amp;""&lt;&gt;""),IF(COUNTIFS($D$5:D1272,"Malcolm",$F$5:F1272,F1273,$BE$5:BE1272,1)=0,MAX($CD$5:CD1272)+1,""),"")</f>
        <v/>
      </c>
      <c r="CE1273" s="80" t="str">
        <f>IF(AND(BD1273=1,D1273="proMX",F1273&amp;""&lt;&gt;""),IF(COUNTIFS($D$5:D1272,"proMX",$F$5:F1272,F1273,$BD$5:BD1272,1)=0,MAX($CE$5:CE1272)+1,""),"")</f>
        <v/>
      </c>
      <c r="CF1273" s="80" t="str">
        <f>IF(AND(D1273="proMX",BD1273=1),IF(OR(BF1273="Draft",BF1273="Submitted",BF1273="Returned",BF1273="Recall Requested"),MAX($CF$5:CF1272)+1,""),"")</f>
        <v/>
      </c>
      <c r="CG1273" s="80">
        <f>IF(BD1273=0,0,IF(D1273="Malcolm",1,MATCH(BF1273,{"Draft","Submitted","Approved","Returned","Recall Requested","Cancelled"},0)+1))</f>
        <v>0</v>
      </c>
      <c r="CH1273" s="80">
        <f>IF(AND(BF1273="Submitted",ISNUMBER(V1273)),IF(V1273&gt;CFG_MAXD,1,0),0)</f>
        <v>0</v>
      </c>
    </row>
    <row r="1274">
      <c r="A1274" s="71" t="str">
        <f>IF(Y1274=1,ROW()-5,"")</f>
        <v/>
      </c>
      <c r="B1274" s="72" t="n"/>
      <c r="C1274" s="71" t="str">
        <f>IF(ISNUMBER(B1274),CHOOSE(WEEKDAY(B1274,2),"Lun","Mar","Mié","Jue","Vie","Sáb","Dom"),"")</f>
        <v/>
      </c>
      <c r="D1274" s="73" t="n"/>
      <c r="E1274" s="74" t="n"/>
      <c r="F1274" s="74" t="n"/>
      <c r="G1274" s="74" t="n"/>
      <c r="H1274" s="75" t="n"/>
      <c r="I1274" s="75" t="n"/>
      <c r="J1274" s="76" t="n"/>
      <c r="K1274" s="77" t="str">
        <f>IF(AB1274=1,ROUND(AG1274/60,4),"")</f>
        <v/>
      </c>
      <c r="L1274" s="77" t="str">
        <f>IF(BD1274=1,ROUND(AP1274/60,4),"")</f>
        <v/>
      </c>
      <c r="M1274" s="77" t="str">
        <f>IF(BD1274=1,ROUND(AQ1274/60,4),"")</f>
        <v/>
      </c>
      <c r="N1274" s="71" t="str">
        <f>IF(AND(D1274="proMX",AB1274=1),ROUND(AG1274/CFG_BLK,2),"")</f>
        <v/>
      </c>
      <c r="O1274" s="77" t="str">
        <f>IF(D1274="proMX",IF(BD1274=1,ROUND(AG1274/60,4),0),"")</f>
        <v/>
      </c>
      <c r="P1274" s="78" t="str">
        <f>IF(Y1274=0,"",IF(BD1274=1,"OK",IF(D1274="proMX","Revisar bloques: ","Revisar: ")&amp;BC1274))</f>
        <v/>
      </c>
      <c r="Q1274" s="78" t="str">
        <f>IF(NOT(ISNUMBER(B1274)),"",IF(COUNTIFS(FER_F,INT(B1274))&gt;0,"Feriado"&amp;IF(AH1274=1," (laborable)"," (no laborable)"),IF(AH1274=1,"Laborable",IF(WEEKDAY(B1274,2)&gt;5,"Fin de semana","No laborable"))))</f>
        <v/>
      </c>
      <c r="R1274" s="73" t="n"/>
      <c r="S1274" s="72" t="n"/>
      <c r="T1274" s="72" t="n"/>
      <c r="U1274" s="74" t="n"/>
      <c r="V1274" s="79" t="str">
        <f>IF(AND(D1274="proMX",OR(R1274="Submitted",R1274="Recall Requested"),ISNUMBER(S1274)),CFG_TODAY-INT(S1274),"")</f>
        <v/>
      </c>
      <c r="W1274" s="78" t="str">
        <f>IF(BD1274=0,"",IF(BA1274&gt;0,"⚠ Se superpone con un registro de la otra empresa",IF(D1274="Malcolm",IF(COUNTA(R1274,S1274,T1274)&gt;0,"Estado/fechas proMX se ignoran en Malcolm",""),IF(BF1274="Cancelled","Cancelado: excluido de totales",IF(R1274="","Sin estado: se trata como Draft",IF(BF1274="Submitted",IF(ISNUMBER(V1274),IF(V1274&gt;CFG_MAXD,"⚠ "&amp;V1274&amp;" días en Submitted (máx. "&amp;CFG_MAXD&amp;")",""),"Falta fecha de envío"),IF(BF1274="Returned","⚠ Devuelto: corregir y reenviar",IF(BF1274="Recall Requested","Retirada solicitada: pendiente",IF(AND(BF1274="Approved",NOT(ISNUMBER(T1274))),"Falta fecha de aprobación",IF(AND(ISNUMBER(S1274),ISNUMBER(T1274),T1274&lt;S1274),"Aprobación anterior al envío","")))))))))</f>
        <v/>
      </c>
      <c r="Y1274" s="80">
        <f>IF(COUNTA(B1274,D1274,E1274,F1274,G1274,H1274,I1274,J1274,R1274,S1274,T1274)&gt;0,1,0)</f>
        <v>0</v>
      </c>
      <c r="Z1274" s="80" t="str">
        <f>IF(AND(ISNUMBER(H1274),H1274&gt;=0,H1274&lt;1),ROUND(H1274*1440,0),"")</f>
        <v/>
      </c>
      <c r="AA1274" s="80" t="str">
        <f>IF(AND(ISNUMBER(I1274),I1274&gt;=0,I1274&lt;1),ROUND(I1274*1440,0),"")</f>
        <v/>
      </c>
      <c r="AB1274" s="80">
        <f>IF(AND(ISNUMBER(B1274),D1274&lt;&gt;"",ISNUMBER(Z1274),ISNUMBER(AA1274)),IF(Z1274=AA1274,0,1),0)</f>
        <v>0</v>
      </c>
      <c r="AC1274" s="80">
        <f>IF(AB1274=1,IF(AA1274&lt;Z1274,1,0),0)</f>
        <v>0</v>
      </c>
      <c r="AD1274" s="80">
        <f>IF(AB1274=1,IF(AC1274=1,1440-Z1274+AA1274,AA1274-Z1274),0)</f>
        <v>0</v>
      </c>
      <c r="AE1274" s="80">
        <f>IF(J1274="",0,IF(ISNUMBER(J1274),J1274,-1))</f>
        <v>0</v>
      </c>
      <c r="AF1274" s="80">
        <f>MIN(MAX(0,AE1274),AD1274)</f>
        <v>0</v>
      </c>
      <c r="AG1274" s="80">
        <f>MAX(0,AD1274-MAX(0,AE1274))</f>
        <v>0</v>
      </c>
      <c r="AH1274" s="80">
        <f>IF(ISNUMBER(B1274),IF(AND(INDEX(CFG_WDAYS,WEEKDAY(INT(B1274),2))="Sí",IF(D1274="proMX",COUNTIFS(FER_F,INT(B1274),FER_NLP,"Sí"),COUNTIFS(FER_F,INT(B1274),FER_NLM,"Sí"))=0),1,0),0)</f>
        <v>0</v>
      </c>
      <c r="AI1274" s="80">
        <f>IF(AC1274=1,IF(AND(INDEX(CFG_WDAYS,WEEKDAY(INT(B1274)+1,2))="Sí",IF(D1274="proMX",COUNTIFS(FER_F,INT(B1274)+1,FER_NLP,"Sí"),COUNTIFS(FER_F,INT(B1274)+1,FER_NLM,"Sí"))=0),1,0),0)</f>
        <v>0</v>
      </c>
      <c r="AJ1274" s="80">
        <f>IF(AC1274=1,1440-Z1274,AD1274)</f>
        <v>0</v>
      </c>
      <c r="AK1274" s="80">
        <f>IF(AND(AB1274=1,AH1274=1),MAX(0,MIN(IF(AC1274=1,1440,AA1274),CFG_WEM)-MAX(Z1274,CFG_WSM)),0)</f>
        <v>0</v>
      </c>
      <c r="AL1274" s="80">
        <f>IF(AND(AC1274=1,AI1274=1),MAX(0,MIN(AA1274,CFG_WEM)-CFG_WSM),0)</f>
        <v>0</v>
      </c>
      <c r="AM1274" s="80">
        <f>AK1274+AL1274</f>
        <v>0</v>
      </c>
      <c r="AN1274" s="80">
        <f>IF(CFG_BRK="Proporcional",IF(AD1274=0,0,AF1274*AM1274/AD1274),IF(CFG_BRK="Extras primero",MIN(AM1274,MAX(0,AF1274-(AD1274-AM1274))),MIN(AF1274,AM1274)))</f>
        <v>0</v>
      </c>
      <c r="AO1274" s="80">
        <f>AF1274-AN1274</f>
        <v>0</v>
      </c>
      <c r="AP1274" s="80">
        <f>AM1274-AN1274</f>
        <v>0</v>
      </c>
      <c r="AQ1274" s="80">
        <f>AD1274-AM1274-AO1274</f>
        <v>0</v>
      </c>
      <c r="AR1274" s="80">
        <f>IF(AM1274=0,0,AK1274-AN1274*AK1274/AM1274)</f>
        <v>0</v>
      </c>
      <c r="AS1274" s="80">
        <f>IF(AD1274-AM1274=0,0,(AJ1274-AK1274)-AO1274*(AJ1274-AK1274)/(AD1274-AM1274))</f>
        <v>0</v>
      </c>
      <c r="AT1274" s="80" t="str">
        <f>IF(AC1274=1,INT(B1274)+1,"")</f>
        <v/>
      </c>
      <c r="AU1274" s="80">
        <f>IF(AND(D1274="proMX",R1274="Cancelled"),0,1)</f>
        <v>1</v>
      </c>
      <c r="AV1274" s="80">
        <f>IF(AND(AB1274=1,AU1274=1),IF(COUNTIFS($D$5:D1273,D1274,$B$5:B1273,B1274,$Z$5:Z1273,Z1274,$AA$5:AA1273,AA1274,$F$5:F1273,F1274&amp;"",$AU$5:AU1273,1)&gt;0,1,0),0)</f>
        <v>0</v>
      </c>
      <c r="AW1274" s="80" t="str">
        <f>IF(AB1274=1,INT(B1274)*1440+Z1274,"")</f>
        <v/>
      </c>
      <c r="AX1274" s="80" t="str">
        <f>IF(AB1274=1,AW1274+AD1274,"")</f>
        <v/>
      </c>
      <c r="AY1274" s="80">
        <f>IF(AND(AB1274=1,AV1274=0,AU1274=1),1,0)</f>
        <v>0</v>
      </c>
      <c r="AZ1274" s="80">
        <f>IF(AY1274=1,COUNTIFS(R_Emp,D1274,R_SAbs,"&lt;"&amp;AX1274,R_EAbs,"&gt;"&amp;AW1274,R_OKey,1)-1,0)</f>
        <v>0</v>
      </c>
      <c r="BA1274" s="80">
        <f>IF(AY1274=1,COUNTIFS(R_Emp,"&lt;&gt;"&amp;D1274,R_SAbs,"&lt;"&amp;AX1274,R_EAbs,"&gt;"&amp;AW1274,R_OKey,1),0)</f>
        <v>0</v>
      </c>
      <c r="BB1274" s="80">
        <f>IF(AND(AB1274=1,D1274="proMX"),IF(AND(MOD(Z1274,CFG_BLK)=0,MOD(AA1274,CFG_BLK)=0,MOD(AG1274,CFG_BLK)=0,AG1274&gt;0),1,0),1)</f>
        <v>1</v>
      </c>
      <c r="BC1274" s="80" t="str">
        <f>IF(Y1274=0,"",IF(NOT(ISNUMBER(B1274)),"Falta fecha o fecha inválida",IF(D1274="","Falta empresa",IF(AND(D1274&lt;&gt;"Malcolm",D1274&lt;&gt;"proMX"),"Empresa inválida",IF(OR(INT(B1274)&lt;CFG_PSTART,INT(B1274)&gt;CFG_PEND),"Fecha fuera del período",IF(OR(NOT(ISNUMBER(Z1274)),NOT(ISNUMBER(AA1274))),"Falta hora inicio/fin o formato inválido",IF(AB1274=0,"Hora inicio = hora fin",IF(AE1274&lt;0,"Descanso inválido",IF(AE1274&gt;=AD1274,"Descanso ≥ duración",IF(AV1274=1,"Registro duplicado",IF(AZ1274&gt;0,"Se superpone con otro registro "&amp;D1274,IF(BB1274=0,"inicio, fin y duración neta deben ser múltiplos de "&amp;CFG_BLK&amp;" min",""))))))))))))</f>
        <v/>
      </c>
      <c r="BD1274" s="80">
        <f>IF(AND(Y1274=1,BC1274=""),1,0)</f>
        <v>0</v>
      </c>
      <c r="BE1274" s="80">
        <f>IF(AND(BD1274=1,AU1274=1),1,0)</f>
        <v>0</v>
      </c>
      <c r="BF1274" s="80" t="str">
        <f>IF(AND(D1274="proMX",BD1274=1),IF(R1274="","Draft",R1274),"")</f>
        <v/>
      </c>
      <c r="BG1274" s="80">
        <f>IF(BD1274=1,ROUND(AG1274/60,6),0)</f>
        <v>0</v>
      </c>
      <c r="BH1274" s="80">
        <f>IF(BE1274=1,ROUND(AG1274/60,6),0)</f>
        <v>0</v>
      </c>
      <c r="BI1274" s="80">
        <f>IF(BE1274=1,ROUND(AP1274/60,6),0)</f>
        <v>0</v>
      </c>
      <c r="BJ1274" s="80">
        <f>IF(BE1274=1,ROUND(AQ1274/60,6),0)</f>
        <v>0</v>
      </c>
      <c r="BK1274" s="80">
        <f>IF(BE1274=1,ROUND((AR1274+AS1274)/60,6),0)</f>
        <v>0</v>
      </c>
      <c r="BL1274" s="80">
        <f>ROUND(BH1274-BK1274,6)</f>
        <v>0</v>
      </c>
      <c r="BM1274" s="80">
        <f>IF(BE1274=1,ROUND(AR1274/60,6),0)</f>
        <v>0</v>
      </c>
      <c r="BN1274" s="80">
        <f>ROUND(BI1274-BM1274,6)</f>
        <v>0</v>
      </c>
      <c r="BO1274" s="80">
        <f>IF(BE1274=1,ROUND(AS1274/60,6),0)</f>
        <v>0</v>
      </c>
      <c r="BP1274" s="80">
        <f>ROUND(BJ1274-BO1274,6)</f>
        <v>0</v>
      </c>
      <c r="BQ1274" s="80">
        <f>IF(BE1274=1,AW1274,0)</f>
        <v>0</v>
      </c>
      <c r="BR1274" s="80">
        <f>IF(BE1274=1,AX1274,0)</f>
        <v>0</v>
      </c>
      <c r="BS1274" s="80">
        <f>IF(AND(BE1274=1,D1274="Malcolm",BA1274&gt;0),MIN(BH1274,SUMPRODUCT((R_Emp="proMX")*(R_EN&gt;0)*((R_EN-(R_EN&gt;BR1274)*(R_EN-BR1274))&gt;(R_SN+(R_SN&lt;BQ1274)*(BQ1274-R_SN)))*((R_EN-(R_EN&gt;BR1274)*(R_EN-BR1274))-(R_SN+(R_SN&lt;BQ1274)*(BQ1274-R_SN))))/60),0)</f>
        <v>0</v>
      </c>
      <c r="BT1274" s="80">
        <f>IF(AND(BE1274=1,D1274="proMX"),ROUND(BI1274*CFG_RATE+BJ1274*CFG_OTRATE,6),0)</f>
        <v>0</v>
      </c>
      <c r="BU1274" s="80">
        <f>IF(AND(BD1274=1,D1274="proMX"),ROUND(AG1274/CFG_BLK,6),0)</f>
        <v>0</v>
      </c>
      <c r="BV1274" s="80" t="str">
        <f>IF(BF1274="Approved",IF(ISNUMBER(T1274),INT(T1274),INT(B1274)),"")</f>
        <v/>
      </c>
      <c r="BW1274" s="80">
        <f>IF(ISNUMBER(B1274),IF(DB_MON="Todos",1,IF(AND(INT(B1274)&gt;=DB_MS,INT(B1274)&lt;=DB_ME),1,0)),0)</f>
        <v>0</v>
      </c>
      <c r="BX1274" s="80">
        <f>IF(DB_PROJ="Todos",1,IF(E1274&amp;""=DB_PROJ&amp;"",1,0))</f>
        <v>1</v>
      </c>
      <c r="BY1274" s="80">
        <f>BW1274*BX1274</f>
        <v>0</v>
      </c>
      <c r="BZ1274" s="80" t="str">
        <f>IF(Y1274=1,F1274&amp;IF(AND(F1274&amp;""&lt;&gt;"",E1274&amp;""&lt;&gt;"")," · ","")&amp;E1274,"")</f>
        <v/>
      </c>
      <c r="CA1274" s="80" t="str">
        <f>IF(AND(BD1274=1,E1274&amp;""&lt;&gt;""),IF(COUNTIFS($E$5:E1273,E1274,$BD$5:BD1273,1)=0,MAX($CA$5:CA1273)+1,""),"")</f>
        <v/>
      </c>
      <c r="CB1274" s="80" t="str">
        <f>IF(AND(BE1274=1,D1274="Malcolm",E1274&amp;""&lt;&gt;""),IF(COUNTIFS($D$5:D1273,"Malcolm",$E$5:E1273,E1274,$BE$5:BE1273,1)=0,MAX($CB$5:CB1273)+1,""),"")</f>
        <v/>
      </c>
      <c r="CC1274" s="80" t="str">
        <f>IF(AND(BD1274=1,D1274="proMX",E1274&amp;""&lt;&gt;""),IF(COUNTIFS($D$5:D1273,"proMX",$E$5:E1273,E1274,$BD$5:BD1273,1)=0,MAX($CC$5:CC1273)+1,""),"")</f>
        <v/>
      </c>
      <c r="CD1274" s="80" t="str">
        <f>IF(AND(BE1274=1,D1274="Malcolm",F1274&amp;""&lt;&gt;""),IF(COUNTIFS($D$5:D1273,"Malcolm",$F$5:F1273,F1274,$BE$5:BE1273,1)=0,MAX($CD$5:CD1273)+1,""),"")</f>
        <v/>
      </c>
      <c r="CE1274" s="80" t="str">
        <f>IF(AND(BD1274=1,D1274="proMX",F1274&amp;""&lt;&gt;""),IF(COUNTIFS($D$5:D1273,"proMX",$F$5:F1273,F1274,$BD$5:BD1273,1)=0,MAX($CE$5:CE1273)+1,""),"")</f>
        <v/>
      </c>
      <c r="CF1274" s="80" t="str">
        <f>IF(AND(D1274="proMX",BD1274=1),IF(OR(BF1274="Draft",BF1274="Submitted",BF1274="Returned",BF1274="Recall Requested"),MAX($CF$5:CF1273)+1,""),"")</f>
        <v/>
      </c>
      <c r="CG1274" s="80">
        <f>IF(BD1274=0,0,IF(D1274="Malcolm",1,MATCH(BF1274,{"Draft","Submitted","Approved","Returned","Recall Requested","Cancelled"},0)+1))</f>
        <v>0</v>
      </c>
      <c r="CH1274" s="80">
        <f>IF(AND(BF1274="Submitted",ISNUMBER(V1274)),IF(V1274&gt;CFG_MAXD,1,0),0)</f>
        <v>0</v>
      </c>
    </row>
    <row r="1275">
      <c r="A1275" s="71" t="str">
        <f>IF(Y1275=1,ROW()-5,"")</f>
        <v/>
      </c>
      <c r="B1275" s="72" t="n"/>
      <c r="C1275" s="71" t="str">
        <f>IF(ISNUMBER(B1275),CHOOSE(WEEKDAY(B1275,2),"Lun","Mar","Mié","Jue","Vie","Sáb","Dom"),"")</f>
        <v/>
      </c>
      <c r="D1275" s="73" t="n"/>
      <c r="E1275" s="74" t="n"/>
      <c r="F1275" s="74" t="n"/>
      <c r="G1275" s="74" t="n"/>
      <c r="H1275" s="75" t="n"/>
      <c r="I1275" s="75" t="n"/>
      <c r="J1275" s="76" t="n"/>
      <c r="K1275" s="77" t="str">
        <f>IF(AB1275=1,ROUND(AG1275/60,4),"")</f>
        <v/>
      </c>
      <c r="L1275" s="77" t="str">
        <f>IF(BD1275=1,ROUND(AP1275/60,4),"")</f>
        <v/>
      </c>
      <c r="M1275" s="77" t="str">
        <f>IF(BD1275=1,ROUND(AQ1275/60,4),"")</f>
        <v/>
      </c>
      <c r="N1275" s="71" t="str">
        <f>IF(AND(D1275="proMX",AB1275=1),ROUND(AG1275/CFG_BLK,2),"")</f>
        <v/>
      </c>
      <c r="O1275" s="77" t="str">
        <f>IF(D1275="proMX",IF(BD1275=1,ROUND(AG1275/60,4),0),"")</f>
        <v/>
      </c>
      <c r="P1275" s="78" t="str">
        <f>IF(Y1275=0,"",IF(BD1275=1,"OK",IF(D1275="proMX","Revisar bloques: ","Revisar: ")&amp;BC1275))</f>
        <v/>
      </c>
      <c r="Q1275" s="78" t="str">
        <f>IF(NOT(ISNUMBER(B1275)),"",IF(COUNTIFS(FER_F,INT(B1275))&gt;0,"Feriado"&amp;IF(AH1275=1," (laborable)"," (no laborable)"),IF(AH1275=1,"Laborable",IF(WEEKDAY(B1275,2)&gt;5,"Fin de semana","No laborable"))))</f>
        <v/>
      </c>
      <c r="R1275" s="73" t="n"/>
      <c r="S1275" s="72" t="n"/>
      <c r="T1275" s="72" t="n"/>
      <c r="U1275" s="74" t="n"/>
      <c r="V1275" s="79" t="str">
        <f>IF(AND(D1275="proMX",OR(R1275="Submitted",R1275="Recall Requested"),ISNUMBER(S1275)),CFG_TODAY-INT(S1275),"")</f>
        <v/>
      </c>
      <c r="W1275" s="78" t="str">
        <f>IF(BD1275=0,"",IF(BA1275&gt;0,"⚠ Se superpone con un registro de la otra empresa",IF(D1275="Malcolm",IF(COUNTA(R1275,S1275,T1275)&gt;0,"Estado/fechas proMX se ignoran en Malcolm",""),IF(BF1275="Cancelled","Cancelado: excluido de totales",IF(R1275="","Sin estado: se trata como Draft",IF(BF1275="Submitted",IF(ISNUMBER(V1275),IF(V1275&gt;CFG_MAXD,"⚠ "&amp;V1275&amp;" días en Submitted (máx. "&amp;CFG_MAXD&amp;")",""),"Falta fecha de envío"),IF(BF1275="Returned","⚠ Devuelto: corregir y reenviar",IF(BF1275="Recall Requested","Retirada solicitada: pendiente",IF(AND(BF1275="Approved",NOT(ISNUMBER(T1275))),"Falta fecha de aprobación",IF(AND(ISNUMBER(S1275),ISNUMBER(T1275),T1275&lt;S1275),"Aprobación anterior al envío","")))))))))</f>
        <v/>
      </c>
      <c r="Y1275" s="80">
        <f>IF(COUNTA(B1275,D1275,E1275,F1275,G1275,H1275,I1275,J1275,R1275,S1275,T1275)&gt;0,1,0)</f>
        <v>0</v>
      </c>
      <c r="Z1275" s="80" t="str">
        <f>IF(AND(ISNUMBER(H1275),H1275&gt;=0,H1275&lt;1),ROUND(H1275*1440,0),"")</f>
        <v/>
      </c>
      <c r="AA1275" s="80" t="str">
        <f>IF(AND(ISNUMBER(I1275),I1275&gt;=0,I1275&lt;1),ROUND(I1275*1440,0),"")</f>
        <v/>
      </c>
      <c r="AB1275" s="80">
        <f>IF(AND(ISNUMBER(B1275),D1275&lt;&gt;"",ISNUMBER(Z1275),ISNUMBER(AA1275)),IF(Z1275=AA1275,0,1),0)</f>
        <v>0</v>
      </c>
      <c r="AC1275" s="80">
        <f>IF(AB1275=1,IF(AA1275&lt;Z1275,1,0),0)</f>
        <v>0</v>
      </c>
      <c r="AD1275" s="80">
        <f>IF(AB1275=1,IF(AC1275=1,1440-Z1275+AA1275,AA1275-Z1275),0)</f>
        <v>0</v>
      </c>
      <c r="AE1275" s="80">
        <f>IF(J1275="",0,IF(ISNUMBER(J1275),J1275,-1))</f>
        <v>0</v>
      </c>
      <c r="AF1275" s="80">
        <f>MIN(MAX(0,AE1275),AD1275)</f>
        <v>0</v>
      </c>
      <c r="AG1275" s="80">
        <f>MAX(0,AD1275-MAX(0,AE1275))</f>
        <v>0</v>
      </c>
      <c r="AH1275" s="80">
        <f>IF(ISNUMBER(B1275),IF(AND(INDEX(CFG_WDAYS,WEEKDAY(INT(B1275),2))="Sí",IF(D1275="proMX",COUNTIFS(FER_F,INT(B1275),FER_NLP,"Sí"),COUNTIFS(FER_F,INT(B1275),FER_NLM,"Sí"))=0),1,0),0)</f>
        <v>0</v>
      </c>
      <c r="AI1275" s="80">
        <f>IF(AC1275=1,IF(AND(INDEX(CFG_WDAYS,WEEKDAY(INT(B1275)+1,2))="Sí",IF(D1275="proMX",COUNTIFS(FER_F,INT(B1275)+1,FER_NLP,"Sí"),COUNTIFS(FER_F,INT(B1275)+1,FER_NLM,"Sí"))=0),1,0),0)</f>
        <v>0</v>
      </c>
      <c r="AJ1275" s="80">
        <f>IF(AC1275=1,1440-Z1275,AD1275)</f>
        <v>0</v>
      </c>
      <c r="AK1275" s="80">
        <f>IF(AND(AB1275=1,AH1275=1),MAX(0,MIN(IF(AC1275=1,1440,AA1275),CFG_WEM)-MAX(Z1275,CFG_WSM)),0)</f>
        <v>0</v>
      </c>
      <c r="AL1275" s="80">
        <f>IF(AND(AC1275=1,AI1275=1),MAX(0,MIN(AA1275,CFG_WEM)-CFG_WSM),0)</f>
        <v>0</v>
      </c>
      <c r="AM1275" s="80">
        <f>AK1275+AL1275</f>
        <v>0</v>
      </c>
      <c r="AN1275" s="80">
        <f>IF(CFG_BRK="Proporcional",IF(AD1275=0,0,AF1275*AM1275/AD1275),IF(CFG_BRK="Extras primero",MIN(AM1275,MAX(0,AF1275-(AD1275-AM1275))),MIN(AF1275,AM1275)))</f>
        <v>0</v>
      </c>
      <c r="AO1275" s="80">
        <f>AF1275-AN1275</f>
        <v>0</v>
      </c>
      <c r="AP1275" s="80">
        <f>AM1275-AN1275</f>
        <v>0</v>
      </c>
      <c r="AQ1275" s="80">
        <f>AD1275-AM1275-AO1275</f>
        <v>0</v>
      </c>
      <c r="AR1275" s="80">
        <f>IF(AM1275=0,0,AK1275-AN1275*AK1275/AM1275)</f>
        <v>0</v>
      </c>
      <c r="AS1275" s="80">
        <f>IF(AD1275-AM1275=0,0,(AJ1275-AK1275)-AO1275*(AJ1275-AK1275)/(AD1275-AM1275))</f>
        <v>0</v>
      </c>
      <c r="AT1275" s="80" t="str">
        <f>IF(AC1275=1,INT(B1275)+1,"")</f>
        <v/>
      </c>
      <c r="AU1275" s="80">
        <f>IF(AND(D1275="proMX",R1275="Cancelled"),0,1)</f>
        <v>1</v>
      </c>
      <c r="AV1275" s="80">
        <f>IF(AND(AB1275=1,AU1275=1),IF(COUNTIFS($D$5:D1274,D1275,$B$5:B1274,B1275,$Z$5:Z1274,Z1275,$AA$5:AA1274,AA1275,$F$5:F1274,F1275&amp;"",$AU$5:AU1274,1)&gt;0,1,0),0)</f>
        <v>0</v>
      </c>
      <c r="AW1275" s="80" t="str">
        <f>IF(AB1275=1,INT(B1275)*1440+Z1275,"")</f>
        <v/>
      </c>
      <c r="AX1275" s="80" t="str">
        <f>IF(AB1275=1,AW1275+AD1275,"")</f>
        <v/>
      </c>
      <c r="AY1275" s="80">
        <f>IF(AND(AB1275=1,AV1275=0,AU1275=1),1,0)</f>
        <v>0</v>
      </c>
      <c r="AZ1275" s="80">
        <f>IF(AY1275=1,COUNTIFS(R_Emp,D1275,R_SAbs,"&lt;"&amp;AX1275,R_EAbs,"&gt;"&amp;AW1275,R_OKey,1)-1,0)</f>
        <v>0</v>
      </c>
      <c r="BA1275" s="80">
        <f>IF(AY1275=1,COUNTIFS(R_Emp,"&lt;&gt;"&amp;D1275,R_SAbs,"&lt;"&amp;AX1275,R_EAbs,"&gt;"&amp;AW1275,R_OKey,1),0)</f>
        <v>0</v>
      </c>
      <c r="BB1275" s="80">
        <f>IF(AND(AB1275=1,D1275="proMX"),IF(AND(MOD(Z1275,CFG_BLK)=0,MOD(AA1275,CFG_BLK)=0,MOD(AG1275,CFG_BLK)=0,AG1275&gt;0),1,0),1)</f>
        <v>1</v>
      </c>
      <c r="BC1275" s="80" t="str">
        <f>IF(Y1275=0,"",IF(NOT(ISNUMBER(B1275)),"Falta fecha o fecha inválida",IF(D1275="","Falta empresa",IF(AND(D1275&lt;&gt;"Malcolm",D1275&lt;&gt;"proMX"),"Empresa inválida",IF(OR(INT(B1275)&lt;CFG_PSTART,INT(B1275)&gt;CFG_PEND),"Fecha fuera del período",IF(OR(NOT(ISNUMBER(Z1275)),NOT(ISNUMBER(AA1275))),"Falta hora inicio/fin o formato inválido",IF(AB1275=0,"Hora inicio = hora fin",IF(AE1275&lt;0,"Descanso inválido",IF(AE1275&gt;=AD1275,"Descanso ≥ duración",IF(AV1275=1,"Registro duplicado",IF(AZ1275&gt;0,"Se superpone con otro registro "&amp;D1275,IF(BB1275=0,"inicio, fin y duración neta deben ser múltiplos de "&amp;CFG_BLK&amp;" min",""))))))))))))</f>
        <v/>
      </c>
      <c r="BD1275" s="80">
        <f>IF(AND(Y1275=1,BC1275=""),1,0)</f>
        <v>0</v>
      </c>
      <c r="BE1275" s="80">
        <f>IF(AND(BD1275=1,AU1275=1),1,0)</f>
        <v>0</v>
      </c>
      <c r="BF1275" s="80" t="str">
        <f>IF(AND(D1275="proMX",BD1275=1),IF(R1275="","Draft",R1275),"")</f>
        <v/>
      </c>
      <c r="BG1275" s="80">
        <f>IF(BD1275=1,ROUND(AG1275/60,6),0)</f>
        <v>0</v>
      </c>
      <c r="BH1275" s="80">
        <f>IF(BE1275=1,ROUND(AG1275/60,6),0)</f>
        <v>0</v>
      </c>
      <c r="BI1275" s="80">
        <f>IF(BE1275=1,ROUND(AP1275/60,6),0)</f>
        <v>0</v>
      </c>
      <c r="BJ1275" s="80">
        <f>IF(BE1275=1,ROUND(AQ1275/60,6),0)</f>
        <v>0</v>
      </c>
      <c r="BK1275" s="80">
        <f>IF(BE1275=1,ROUND((AR1275+AS1275)/60,6),0)</f>
        <v>0</v>
      </c>
      <c r="BL1275" s="80">
        <f>ROUND(BH1275-BK1275,6)</f>
        <v>0</v>
      </c>
      <c r="BM1275" s="80">
        <f>IF(BE1275=1,ROUND(AR1275/60,6),0)</f>
        <v>0</v>
      </c>
      <c r="BN1275" s="80">
        <f>ROUND(BI1275-BM1275,6)</f>
        <v>0</v>
      </c>
      <c r="BO1275" s="80">
        <f>IF(BE1275=1,ROUND(AS1275/60,6),0)</f>
        <v>0</v>
      </c>
      <c r="BP1275" s="80">
        <f>ROUND(BJ1275-BO1275,6)</f>
        <v>0</v>
      </c>
      <c r="BQ1275" s="80">
        <f>IF(BE1275=1,AW1275,0)</f>
        <v>0</v>
      </c>
      <c r="BR1275" s="80">
        <f>IF(BE1275=1,AX1275,0)</f>
        <v>0</v>
      </c>
      <c r="BS1275" s="80">
        <f>IF(AND(BE1275=1,D1275="Malcolm",BA1275&gt;0),MIN(BH1275,SUMPRODUCT((R_Emp="proMX")*(R_EN&gt;0)*((R_EN-(R_EN&gt;BR1275)*(R_EN-BR1275))&gt;(R_SN+(R_SN&lt;BQ1275)*(BQ1275-R_SN)))*((R_EN-(R_EN&gt;BR1275)*(R_EN-BR1275))-(R_SN+(R_SN&lt;BQ1275)*(BQ1275-R_SN))))/60),0)</f>
        <v>0</v>
      </c>
      <c r="BT1275" s="80">
        <f>IF(AND(BE1275=1,D1275="proMX"),ROUND(BI1275*CFG_RATE+BJ1275*CFG_OTRATE,6),0)</f>
        <v>0</v>
      </c>
      <c r="BU1275" s="80">
        <f>IF(AND(BD1275=1,D1275="proMX"),ROUND(AG1275/CFG_BLK,6),0)</f>
        <v>0</v>
      </c>
      <c r="BV1275" s="80" t="str">
        <f>IF(BF1275="Approved",IF(ISNUMBER(T1275),INT(T1275),INT(B1275)),"")</f>
        <v/>
      </c>
      <c r="BW1275" s="80">
        <f>IF(ISNUMBER(B1275),IF(DB_MON="Todos",1,IF(AND(INT(B1275)&gt;=DB_MS,INT(B1275)&lt;=DB_ME),1,0)),0)</f>
        <v>0</v>
      </c>
      <c r="BX1275" s="80">
        <f>IF(DB_PROJ="Todos",1,IF(E1275&amp;""=DB_PROJ&amp;"",1,0))</f>
        <v>1</v>
      </c>
      <c r="BY1275" s="80">
        <f>BW1275*BX1275</f>
        <v>0</v>
      </c>
      <c r="BZ1275" s="80" t="str">
        <f>IF(Y1275=1,F1275&amp;IF(AND(F1275&amp;""&lt;&gt;"",E1275&amp;""&lt;&gt;"")," · ","")&amp;E1275,"")</f>
        <v/>
      </c>
      <c r="CA1275" s="80" t="str">
        <f>IF(AND(BD1275=1,E1275&amp;""&lt;&gt;""),IF(COUNTIFS($E$5:E1274,E1275,$BD$5:BD1274,1)=0,MAX($CA$5:CA1274)+1,""),"")</f>
        <v/>
      </c>
      <c r="CB1275" s="80" t="str">
        <f>IF(AND(BE1275=1,D1275="Malcolm",E1275&amp;""&lt;&gt;""),IF(COUNTIFS($D$5:D1274,"Malcolm",$E$5:E1274,E1275,$BE$5:BE1274,1)=0,MAX($CB$5:CB1274)+1,""),"")</f>
        <v/>
      </c>
      <c r="CC1275" s="80" t="str">
        <f>IF(AND(BD1275=1,D1275="proMX",E1275&amp;""&lt;&gt;""),IF(COUNTIFS($D$5:D1274,"proMX",$E$5:E1274,E1275,$BD$5:BD1274,1)=0,MAX($CC$5:CC1274)+1,""),"")</f>
        <v/>
      </c>
      <c r="CD1275" s="80" t="str">
        <f>IF(AND(BE1275=1,D1275="Malcolm",F1275&amp;""&lt;&gt;""),IF(COUNTIFS($D$5:D1274,"Malcolm",$F$5:F1274,F1275,$BE$5:BE1274,1)=0,MAX($CD$5:CD1274)+1,""),"")</f>
        <v/>
      </c>
      <c r="CE1275" s="80" t="str">
        <f>IF(AND(BD1275=1,D1275="proMX",F1275&amp;""&lt;&gt;""),IF(COUNTIFS($D$5:D1274,"proMX",$F$5:F1274,F1275,$BD$5:BD1274,1)=0,MAX($CE$5:CE1274)+1,""),"")</f>
        <v/>
      </c>
      <c r="CF1275" s="80" t="str">
        <f>IF(AND(D1275="proMX",BD1275=1),IF(OR(BF1275="Draft",BF1275="Submitted",BF1275="Returned",BF1275="Recall Requested"),MAX($CF$5:CF1274)+1,""),"")</f>
        <v/>
      </c>
      <c r="CG1275" s="80">
        <f>IF(BD1275=0,0,IF(D1275="Malcolm",1,MATCH(BF1275,{"Draft","Submitted","Approved","Returned","Recall Requested","Cancelled"},0)+1))</f>
        <v>0</v>
      </c>
      <c r="CH1275" s="80">
        <f>IF(AND(BF1275="Submitted",ISNUMBER(V1275)),IF(V1275&gt;CFG_MAXD,1,0),0)</f>
        <v>0</v>
      </c>
    </row>
    <row r="1276">
      <c r="A1276" s="71" t="str">
        <f>IF(Y1276=1,ROW()-5,"")</f>
        <v/>
      </c>
      <c r="B1276" s="72" t="n"/>
      <c r="C1276" s="71" t="str">
        <f>IF(ISNUMBER(B1276),CHOOSE(WEEKDAY(B1276,2),"Lun","Mar","Mié","Jue","Vie","Sáb","Dom"),"")</f>
        <v/>
      </c>
      <c r="D1276" s="73" t="n"/>
      <c r="E1276" s="74" t="n"/>
      <c r="F1276" s="74" t="n"/>
      <c r="G1276" s="74" t="n"/>
      <c r="H1276" s="75" t="n"/>
      <c r="I1276" s="75" t="n"/>
      <c r="J1276" s="76" t="n"/>
      <c r="K1276" s="77" t="str">
        <f>IF(AB1276=1,ROUND(AG1276/60,4),"")</f>
        <v/>
      </c>
      <c r="L1276" s="77" t="str">
        <f>IF(BD1276=1,ROUND(AP1276/60,4),"")</f>
        <v/>
      </c>
      <c r="M1276" s="77" t="str">
        <f>IF(BD1276=1,ROUND(AQ1276/60,4),"")</f>
        <v/>
      </c>
      <c r="N1276" s="71" t="str">
        <f>IF(AND(D1276="proMX",AB1276=1),ROUND(AG1276/CFG_BLK,2),"")</f>
        <v/>
      </c>
      <c r="O1276" s="77" t="str">
        <f>IF(D1276="proMX",IF(BD1276=1,ROUND(AG1276/60,4),0),"")</f>
        <v/>
      </c>
      <c r="P1276" s="78" t="str">
        <f>IF(Y1276=0,"",IF(BD1276=1,"OK",IF(D1276="proMX","Revisar bloques: ","Revisar: ")&amp;BC1276))</f>
        <v/>
      </c>
      <c r="Q1276" s="78" t="str">
        <f>IF(NOT(ISNUMBER(B1276)),"",IF(COUNTIFS(FER_F,INT(B1276))&gt;0,"Feriado"&amp;IF(AH1276=1," (laborable)"," (no laborable)"),IF(AH1276=1,"Laborable",IF(WEEKDAY(B1276,2)&gt;5,"Fin de semana","No laborable"))))</f>
        <v/>
      </c>
      <c r="R1276" s="73" t="n"/>
      <c r="S1276" s="72" t="n"/>
      <c r="T1276" s="72" t="n"/>
      <c r="U1276" s="74" t="n"/>
      <c r="V1276" s="79" t="str">
        <f>IF(AND(D1276="proMX",OR(R1276="Submitted",R1276="Recall Requested"),ISNUMBER(S1276)),CFG_TODAY-INT(S1276),"")</f>
        <v/>
      </c>
      <c r="W1276" s="78" t="str">
        <f>IF(BD1276=0,"",IF(BA1276&gt;0,"⚠ Se superpone con un registro de la otra empresa",IF(D1276="Malcolm",IF(COUNTA(R1276,S1276,T1276)&gt;0,"Estado/fechas proMX se ignoran en Malcolm",""),IF(BF1276="Cancelled","Cancelado: excluido de totales",IF(R1276="","Sin estado: se trata como Draft",IF(BF1276="Submitted",IF(ISNUMBER(V1276),IF(V1276&gt;CFG_MAXD,"⚠ "&amp;V1276&amp;" días en Submitted (máx. "&amp;CFG_MAXD&amp;")",""),"Falta fecha de envío"),IF(BF1276="Returned","⚠ Devuelto: corregir y reenviar",IF(BF1276="Recall Requested","Retirada solicitada: pendiente",IF(AND(BF1276="Approved",NOT(ISNUMBER(T1276))),"Falta fecha de aprobación",IF(AND(ISNUMBER(S1276),ISNUMBER(T1276),T1276&lt;S1276),"Aprobación anterior al envío","")))))))))</f>
        <v/>
      </c>
      <c r="Y1276" s="80">
        <f>IF(COUNTA(B1276,D1276,E1276,F1276,G1276,H1276,I1276,J1276,R1276,S1276,T1276)&gt;0,1,0)</f>
        <v>0</v>
      </c>
      <c r="Z1276" s="80" t="str">
        <f>IF(AND(ISNUMBER(H1276),H1276&gt;=0,H1276&lt;1),ROUND(H1276*1440,0),"")</f>
        <v/>
      </c>
      <c r="AA1276" s="80" t="str">
        <f>IF(AND(ISNUMBER(I1276),I1276&gt;=0,I1276&lt;1),ROUND(I1276*1440,0),"")</f>
        <v/>
      </c>
      <c r="AB1276" s="80">
        <f>IF(AND(ISNUMBER(B1276),D1276&lt;&gt;"",ISNUMBER(Z1276),ISNUMBER(AA1276)),IF(Z1276=AA1276,0,1),0)</f>
        <v>0</v>
      </c>
      <c r="AC1276" s="80">
        <f>IF(AB1276=1,IF(AA1276&lt;Z1276,1,0),0)</f>
        <v>0</v>
      </c>
      <c r="AD1276" s="80">
        <f>IF(AB1276=1,IF(AC1276=1,1440-Z1276+AA1276,AA1276-Z1276),0)</f>
        <v>0</v>
      </c>
      <c r="AE1276" s="80">
        <f>IF(J1276="",0,IF(ISNUMBER(J1276),J1276,-1))</f>
        <v>0</v>
      </c>
      <c r="AF1276" s="80">
        <f>MIN(MAX(0,AE1276),AD1276)</f>
        <v>0</v>
      </c>
      <c r="AG1276" s="80">
        <f>MAX(0,AD1276-MAX(0,AE1276))</f>
        <v>0</v>
      </c>
      <c r="AH1276" s="80">
        <f>IF(ISNUMBER(B1276),IF(AND(INDEX(CFG_WDAYS,WEEKDAY(INT(B1276),2))="Sí",IF(D1276="proMX",COUNTIFS(FER_F,INT(B1276),FER_NLP,"Sí"),COUNTIFS(FER_F,INT(B1276),FER_NLM,"Sí"))=0),1,0),0)</f>
        <v>0</v>
      </c>
      <c r="AI1276" s="80">
        <f>IF(AC1276=1,IF(AND(INDEX(CFG_WDAYS,WEEKDAY(INT(B1276)+1,2))="Sí",IF(D1276="proMX",COUNTIFS(FER_F,INT(B1276)+1,FER_NLP,"Sí"),COUNTIFS(FER_F,INT(B1276)+1,FER_NLM,"Sí"))=0),1,0),0)</f>
        <v>0</v>
      </c>
      <c r="AJ1276" s="80">
        <f>IF(AC1276=1,1440-Z1276,AD1276)</f>
        <v>0</v>
      </c>
      <c r="AK1276" s="80">
        <f>IF(AND(AB1276=1,AH1276=1),MAX(0,MIN(IF(AC1276=1,1440,AA1276),CFG_WEM)-MAX(Z1276,CFG_WSM)),0)</f>
        <v>0</v>
      </c>
      <c r="AL1276" s="80">
        <f>IF(AND(AC1276=1,AI1276=1),MAX(0,MIN(AA1276,CFG_WEM)-CFG_WSM),0)</f>
        <v>0</v>
      </c>
      <c r="AM1276" s="80">
        <f>AK1276+AL1276</f>
        <v>0</v>
      </c>
      <c r="AN1276" s="80">
        <f>IF(CFG_BRK="Proporcional",IF(AD1276=0,0,AF1276*AM1276/AD1276),IF(CFG_BRK="Extras primero",MIN(AM1276,MAX(0,AF1276-(AD1276-AM1276))),MIN(AF1276,AM1276)))</f>
        <v>0</v>
      </c>
      <c r="AO1276" s="80">
        <f>AF1276-AN1276</f>
        <v>0</v>
      </c>
      <c r="AP1276" s="80">
        <f>AM1276-AN1276</f>
        <v>0</v>
      </c>
      <c r="AQ1276" s="80">
        <f>AD1276-AM1276-AO1276</f>
        <v>0</v>
      </c>
      <c r="AR1276" s="80">
        <f>IF(AM1276=0,0,AK1276-AN1276*AK1276/AM1276)</f>
        <v>0</v>
      </c>
      <c r="AS1276" s="80">
        <f>IF(AD1276-AM1276=0,0,(AJ1276-AK1276)-AO1276*(AJ1276-AK1276)/(AD1276-AM1276))</f>
        <v>0</v>
      </c>
      <c r="AT1276" s="80" t="str">
        <f>IF(AC1276=1,INT(B1276)+1,"")</f>
        <v/>
      </c>
      <c r="AU1276" s="80">
        <f>IF(AND(D1276="proMX",R1276="Cancelled"),0,1)</f>
        <v>1</v>
      </c>
      <c r="AV1276" s="80">
        <f>IF(AND(AB1276=1,AU1276=1),IF(COUNTIFS($D$5:D1275,D1276,$B$5:B1275,B1276,$Z$5:Z1275,Z1276,$AA$5:AA1275,AA1276,$F$5:F1275,F1276&amp;"",$AU$5:AU1275,1)&gt;0,1,0),0)</f>
        <v>0</v>
      </c>
      <c r="AW1276" s="80" t="str">
        <f>IF(AB1276=1,INT(B1276)*1440+Z1276,"")</f>
        <v/>
      </c>
      <c r="AX1276" s="80" t="str">
        <f>IF(AB1276=1,AW1276+AD1276,"")</f>
        <v/>
      </c>
      <c r="AY1276" s="80">
        <f>IF(AND(AB1276=1,AV1276=0,AU1276=1),1,0)</f>
        <v>0</v>
      </c>
      <c r="AZ1276" s="80">
        <f>IF(AY1276=1,COUNTIFS(R_Emp,D1276,R_SAbs,"&lt;"&amp;AX1276,R_EAbs,"&gt;"&amp;AW1276,R_OKey,1)-1,0)</f>
        <v>0</v>
      </c>
      <c r="BA1276" s="80">
        <f>IF(AY1276=1,COUNTIFS(R_Emp,"&lt;&gt;"&amp;D1276,R_SAbs,"&lt;"&amp;AX1276,R_EAbs,"&gt;"&amp;AW1276,R_OKey,1),0)</f>
        <v>0</v>
      </c>
      <c r="BB1276" s="80">
        <f>IF(AND(AB1276=1,D1276="proMX"),IF(AND(MOD(Z1276,CFG_BLK)=0,MOD(AA1276,CFG_BLK)=0,MOD(AG1276,CFG_BLK)=0,AG1276&gt;0),1,0),1)</f>
        <v>1</v>
      </c>
      <c r="BC1276" s="80" t="str">
        <f>IF(Y1276=0,"",IF(NOT(ISNUMBER(B1276)),"Falta fecha o fecha inválida",IF(D1276="","Falta empresa",IF(AND(D1276&lt;&gt;"Malcolm",D1276&lt;&gt;"proMX"),"Empresa inválida",IF(OR(INT(B1276)&lt;CFG_PSTART,INT(B1276)&gt;CFG_PEND),"Fecha fuera del período",IF(OR(NOT(ISNUMBER(Z1276)),NOT(ISNUMBER(AA1276))),"Falta hora inicio/fin o formato inválido",IF(AB1276=0,"Hora inicio = hora fin",IF(AE1276&lt;0,"Descanso inválido",IF(AE1276&gt;=AD1276,"Descanso ≥ duración",IF(AV1276=1,"Registro duplicado",IF(AZ1276&gt;0,"Se superpone con otro registro "&amp;D1276,IF(BB1276=0,"inicio, fin y duración neta deben ser múltiplos de "&amp;CFG_BLK&amp;" min",""))))))))))))</f>
        <v/>
      </c>
      <c r="BD1276" s="80">
        <f>IF(AND(Y1276=1,BC1276=""),1,0)</f>
        <v>0</v>
      </c>
      <c r="BE1276" s="80">
        <f>IF(AND(BD1276=1,AU1276=1),1,0)</f>
        <v>0</v>
      </c>
      <c r="BF1276" s="80" t="str">
        <f>IF(AND(D1276="proMX",BD1276=1),IF(R1276="","Draft",R1276),"")</f>
        <v/>
      </c>
      <c r="BG1276" s="80">
        <f>IF(BD1276=1,ROUND(AG1276/60,6),0)</f>
        <v>0</v>
      </c>
      <c r="BH1276" s="80">
        <f>IF(BE1276=1,ROUND(AG1276/60,6),0)</f>
        <v>0</v>
      </c>
      <c r="BI1276" s="80">
        <f>IF(BE1276=1,ROUND(AP1276/60,6),0)</f>
        <v>0</v>
      </c>
      <c r="BJ1276" s="80">
        <f>IF(BE1276=1,ROUND(AQ1276/60,6),0)</f>
        <v>0</v>
      </c>
      <c r="BK1276" s="80">
        <f>IF(BE1276=1,ROUND((AR1276+AS1276)/60,6),0)</f>
        <v>0</v>
      </c>
      <c r="BL1276" s="80">
        <f>ROUND(BH1276-BK1276,6)</f>
        <v>0</v>
      </c>
      <c r="BM1276" s="80">
        <f>IF(BE1276=1,ROUND(AR1276/60,6),0)</f>
        <v>0</v>
      </c>
      <c r="BN1276" s="80">
        <f>ROUND(BI1276-BM1276,6)</f>
        <v>0</v>
      </c>
      <c r="BO1276" s="80">
        <f>IF(BE1276=1,ROUND(AS1276/60,6),0)</f>
        <v>0</v>
      </c>
      <c r="BP1276" s="80">
        <f>ROUND(BJ1276-BO1276,6)</f>
        <v>0</v>
      </c>
      <c r="BQ1276" s="80">
        <f>IF(BE1276=1,AW1276,0)</f>
        <v>0</v>
      </c>
      <c r="BR1276" s="80">
        <f>IF(BE1276=1,AX1276,0)</f>
        <v>0</v>
      </c>
      <c r="BS1276" s="80">
        <f>IF(AND(BE1276=1,D1276="Malcolm",BA1276&gt;0),MIN(BH1276,SUMPRODUCT((R_Emp="proMX")*(R_EN&gt;0)*((R_EN-(R_EN&gt;BR1276)*(R_EN-BR1276))&gt;(R_SN+(R_SN&lt;BQ1276)*(BQ1276-R_SN)))*((R_EN-(R_EN&gt;BR1276)*(R_EN-BR1276))-(R_SN+(R_SN&lt;BQ1276)*(BQ1276-R_SN))))/60),0)</f>
        <v>0</v>
      </c>
      <c r="BT1276" s="80">
        <f>IF(AND(BE1276=1,D1276="proMX"),ROUND(BI1276*CFG_RATE+BJ1276*CFG_OTRATE,6),0)</f>
        <v>0</v>
      </c>
      <c r="BU1276" s="80">
        <f>IF(AND(BD1276=1,D1276="proMX"),ROUND(AG1276/CFG_BLK,6),0)</f>
        <v>0</v>
      </c>
      <c r="BV1276" s="80" t="str">
        <f>IF(BF1276="Approved",IF(ISNUMBER(T1276),INT(T1276),INT(B1276)),"")</f>
        <v/>
      </c>
      <c r="BW1276" s="80">
        <f>IF(ISNUMBER(B1276),IF(DB_MON="Todos",1,IF(AND(INT(B1276)&gt;=DB_MS,INT(B1276)&lt;=DB_ME),1,0)),0)</f>
        <v>0</v>
      </c>
      <c r="BX1276" s="80">
        <f>IF(DB_PROJ="Todos",1,IF(E1276&amp;""=DB_PROJ&amp;"",1,0))</f>
        <v>1</v>
      </c>
      <c r="BY1276" s="80">
        <f>BW1276*BX1276</f>
        <v>0</v>
      </c>
      <c r="BZ1276" s="80" t="str">
        <f>IF(Y1276=1,F1276&amp;IF(AND(F1276&amp;""&lt;&gt;"",E1276&amp;""&lt;&gt;"")," · ","")&amp;E1276,"")</f>
        <v/>
      </c>
      <c r="CA1276" s="80" t="str">
        <f>IF(AND(BD1276=1,E1276&amp;""&lt;&gt;""),IF(COUNTIFS($E$5:E1275,E1276,$BD$5:BD1275,1)=0,MAX($CA$5:CA1275)+1,""),"")</f>
        <v/>
      </c>
      <c r="CB1276" s="80" t="str">
        <f>IF(AND(BE1276=1,D1276="Malcolm",E1276&amp;""&lt;&gt;""),IF(COUNTIFS($D$5:D1275,"Malcolm",$E$5:E1275,E1276,$BE$5:BE1275,1)=0,MAX($CB$5:CB1275)+1,""),"")</f>
        <v/>
      </c>
      <c r="CC1276" s="80" t="str">
        <f>IF(AND(BD1276=1,D1276="proMX",E1276&amp;""&lt;&gt;""),IF(COUNTIFS($D$5:D1275,"proMX",$E$5:E1275,E1276,$BD$5:BD1275,1)=0,MAX($CC$5:CC1275)+1,""),"")</f>
        <v/>
      </c>
      <c r="CD1276" s="80" t="str">
        <f>IF(AND(BE1276=1,D1276="Malcolm",F1276&amp;""&lt;&gt;""),IF(COUNTIFS($D$5:D1275,"Malcolm",$F$5:F1275,F1276,$BE$5:BE1275,1)=0,MAX($CD$5:CD1275)+1,""),"")</f>
        <v/>
      </c>
      <c r="CE1276" s="80" t="str">
        <f>IF(AND(BD1276=1,D1276="proMX",F1276&amp;""&lt;&gt;""),IF(COUNTIFS($D$5:D1275,"proMX",$F$5:F1275,F1276,$BD$5:BD1275,1)=0,MAX($CE$5:CE1275)+1,""),"")</f>
        <v/>
      </c>
      <c r="CF1276" s="80" t="str">
        <f>IF(AND(D1276="proMX",BD1276=1),IF(OR(BF1276="Draft",BF1276="Submitted",BF1276="Returned",BF1276="Recall Requested"),MAX($CF$5:CF1275)+1,""),"")</f>
        <v/>
      </c>
      <c r="CG1276" s="80">
        <f>IF(BD1276=0,0,IF(D1276="Malcolm",1,MATCH(BF1276,{"Draft","Submitted","Approved","Returned","Recall Requested","Cancelled"},0)+1))</f>
        <v>0</v>
      </c>
      <c r="CH1276" s="80">
        <f>IF(AND(BF1276="Submitted",ISNUMBER(V1276)),IF(V1276&gt;CFG_MAXD,1,0),0)</f>
        <v>0</v>
      </c>
    </row>
    <row r="1277">
      <c r="A1277" s="71" t="str">
        <f>IF(Y1277=1,ROW()-5,"")</f>
        <v/>
      </c>
      <c r="B1277" s="72" t="n"/>
      <c r="C1277" s="71" t="str">
        <f>IF(ISNUMBER(B1277),CHOOSE(WEEKDAY(B1277,2),"Lun","Mar","Mié","Jue","Vie","Sáb","Dom"),"")</f>
        <v/>
      </c>
      <c r="D1277" s="73" t="n"/>
      <c r="E1277" s="74" t="n"/>
      <c r="F1277" s="74" t="n"/>
      <c r="G1277" s="74" t="n"/>
      <c r="H1277" s="75" t="n"/>
      <c r="I1277" s="75" t="n"/>
      <c r="J1277" s="76" t="n"/>
      <c r="K1277" s="77" t="str">
        <f>IF(AB1277=1,ROUND(AG1277/60,4),"")</f>
        <v/>
      </c>
      <c r="L1277" s="77" t="str">
        <f>IF(BD1277=1,ROUND(AP1277/60,4),"")</f>
        <v/>
      </c>
      <c r="M1277" s="77" t="str">
        <f>IF(BD1277=1,ROUND(AQ1277/60,4),"")</f>
        <v/>
      </c>
      <c r="N1277" s="71" t="str">
        <f>IF(AND(D1277="proMX",AB1277=1),ROUND(AG1277/CFG_BLK,2),"")</f>
        <v/>
      </c>
      <c r="O1277" s="77" t="str">
        <f>IF(D1277="proMX",IF(BD1277=1,ROUND(AG1277/60,4),0),"")</f>
        <v/>
      </c>
      <c r="P1277" s="78" t="str">
        <f>IF(Y1277=0,"",IF(BD1277=1,"OK",IF(D1277="proMX","Revisar bloques: ","Revisar: ")&amp;BC1277))</f>
        <v/>
      </c>
      <c r="Q1277" s="78" t="str">
        <f>IF(NOT(ISNUMBER(B1277)),"",IF(COUNTIFS(FER_F,INT(B1277))&gt;0,"Feriado"&amp;IF(AH1277=1," (laborable)"," (no laborable)"),IF(AH1277=1,"Laborable",IF(WEEKDAY(B1277,2)&gt;5,"Fin de semana","No laborable"))))</f>
        <v/>
      </c>
      <c r="R1277" s="73" t="n"/>
      <c r="S1277" s="72" t="n"/>
      <c r="T1277" s="72" t="n"/>
      <c r="U1277" s="74" t="n"/>
      <c r="V1277" s="79" t="str">
        <f>IF(AND(D1277="proMX",OR(R1277="Submitted",R1277="Recall Requested"),ISNUMBER(S1277)),CFG_TODAY-INT(S1277),"")</f>
        <v/>
      </c>
      <c r="W1277" s="78" t="str">
        <f>IF(BD1277=0,"",IF(BA1277&gt;0,"⚠ Se superpone con un registro de la otra empresa",IF(D1277="Malcolm",IF(COUNTA(R1277,S1277,T1277)&gt;0,"Estado/fechas proMX se ignoran en Malcolm",""),IF(BF1277="Cancelled","Cancelado: excluido de totales",IF(R1277="","Sin estado: se trata como Draft",IF(BF1277="Submitted",IF(ISNUMBER(V1277),IF(V1277&gt;CFG_MAXD,"⚠ "&amp;V1277&amp;" días en Submitted (máx. "&amp;CFG_MAXD&amp;")",""),"Falta fecha de envío"),IF(BF1277="Returned","⚠ Devuelto: corregir y reenviar",IF(BF1277="Recall Requested","Retirada solicitada: pendiente",IF(AND(BF1277="Approved",NOT(ISNUMBER(T1277))),"Falta fecha de aprobación",IF(AND(ISNUMBER(S1277),ISNUMBER(T1277),T1277&lt;S1277),"Aprobación anterior al envío","")))))))))</f>
        <v/>
      </c>
      <c r="Y1277" s="80">
        <f>IF(COUNTA(B1277,D1277,E1277,F1277,G1277,H1277,I1277,J1277,R1277,S1277,T1277)&gt;0,1,0)</f>
        <v>0</v>
      </c>
      <c r="Z1277" s="80" t="str">
        <f>IF(AND(ISNUMBER(H1277),H1277&gt;=0,H1277&lt;1),ROUND(H1277*1440,0),"")</f>
        <v/>
      </c>
      <c r="AA1277" s="80" t="str">
        <f>IF(AND(ISNUMBER(I1277),I1277&gt;=0,I1277&lt;1),ROUND(I1277*1440,0),"")</f>
        <v/>
      </c>
      <c r="AB1277" s="80">
        <f>IF(AND(ISNUMBER(B1277),D1277&lt;&gt;"",ISNUMBER(Z1277),ISNUMBER(AA1277)),IF(Z1277=AA1277,0,1),0)</f>
        <v>0</v>
      </c>
      <c r="AC1277" s="80">
        <f>IF(AB1277=1,IF(AA1277&lt;Z1277,1,0),0)</f>
        <v>0</v>
      </c>
      <c r="AD1277" s="80">
        <f>IF(AB1277=1,IF(AC1277=1,1440-Z1277+AA1277,AA1277-Z1277),0)</f>
        <v>0</v>
      </c>
      <c r="AE1277" s="80">
        <f>IF(J1277="",0,IF(ISNUMBER(J1277),J1277,-1))</f>
        <v>0</v>
      </c>
      <c r="AF1277" s="80">
        <f>MIN(MAX(0,AE1277),AD1277)</f>
        <v>0</v>
      </c>
      <c r="AG1277" s="80">
        <f>MAX(0,AD1277-MAX(0,AE1277))</f>
        <v>0</v>
      </c>
      <c r="AH1277" s="80">
        <f>IF(ISNUMBER(B1277),IF(AND(INDEX(CFG_WDAYS,WEEKDAY(INT(B1277),2))="Sí",IF(D1277="proMX",COUNTIFS(FER_F,INT(B1277),FER_NLP,"Sí"),COUNTIFS(FER_F,INT(B1277),FER_NLM,"Sí"))=0),1,0),0)</f>
        <v>0</v>
      </c>
      <c r="AI1277" s="80">
        <f>IF(AC1277=1,IF(AND(INDEX(CFG_WDAYS,WEEKDAY(INT(B1277)+1,2))="Sí",IF(D1277="proMX",COUNTIFS(FER_F,INT(B1277)+1,FER_NLP,"Sí"),COUNTIFS(FER_F,INT(B1277)+1,FER_NLM,"Sí"))=0),1,0),0)</f>
        <v>0</v>
      </c>
      <c r="AJ1277" s="80">
        <f>IF(AC1277=1,1440-Z1277,AD1277)</f>
        <v>0</v>
      </c>
      <c r="AK1277" s="80">
        <f>IF(AND(AB1277=1,AH1277=1),MAX(0,MIN(IF(AC1277=1,1440,AA1277),CFG_WEM)-MAX(Z1277,CFG_WSM)),0)</f>
        <v>0</v>
      </c>
      <c r="AL1277" s="80">
        <f>IF(AND(AC1277=1,AI1277=1),MAX(0,MIN(AA1277,CFG_WEM)-CFG_WSM),0)</f>
        <v>0</v>
      </c>
      <c r="AM1277" s="80">
        <f>AK1277+AL1277</f>
        <v>0</v>
      </c>
      <c r="AN1277" s="80">
        <f>IF(CFG_BRK="Proporcional",IF(AD1277=0,0,AF1277*AM1277/AD1277),IF(CFG_BRK="Extras primero",MIN(AM1277,MAX(0,AF1277-(AD1277-AM1277))),MIN(AF1277,AM1277)))</f>
        <v>0</v>
      </c>
      <c r="AO1277" s="80">
        <f>AF1277-AN1277</f>
        <v>0</v>
      </c>
      <c r="AP1277" s="80">
        <f>AM1277-AN1277</f>
        <v>0</v>
      </c>
      <c r="AQ1277" s="80">
        <f>AD1277-AM1277-AO1277</f>
        <v>0</v>
      </c>
      <c r="AR1277" s="80">
        <f>IF(AM1277=0,0,AK1277-AN1277*AK1277/AM1277)</f>
        <v>0</v>
      </c>
      <c r="AS1277" s="80">
        <f>IF(AD1277-AM1277=0,0,(AJ1277-AK1277)-AO1277*(AJ1277-AK1277)/(AD1277-AM1277))</f>
        <v>0</v>
      </c>
      <c r="AT1277" s="80" t="str">
        <f>IF(AC1277=1,INT(B1277)+1,"")</f>
        <v/>
      </c>
      <c r="AU1277" s="80">
        <f>IF(AND(D1277="proMX",R1277="Cancelled"),0,1)</f>
        <v>1</v>
      </c>
      <c r="AV1277" s="80">
        <f>IF(AND(AB1277=1,AU1277=1),IF(COUNTIFS($D$5:D1276,D1277,$B$5:B1276,B1277,$Z$5:Z1276,Z1277,$AA$5:AA1276,AA1277,$F$5:F1276,F1277&amp;"",$AU$5:AU1276,1)&gt;0,1,0),0)</f>
        <v>0</v>
      </c>
      <c r="AW1277" s="80" t="str">
        <f>IF(AB1277=1,INT(B1277)*1440+Z1277,"")</f>
        <v/>
      </c>
      <c r="AX1277" s="80" t="str">
        <f>IF(AB1277=1,AW1277+AD1277,"")</f>
        <v/>
      </c>
      <c r="AY1277" s="80">
        <f>IF(AND(AB1277=1,AV1277=0,AU1277=1),1,0)</f>
        <v>0</v>
      </c>
      <c r="AZ1277" s="80">
        <f>IF(AY1277=1,COUNTIFS(R_Emp,D1277,R_SAbs,"&lt;"&amp;AX1277,R_EAbs,"&gt;"&amp;AW1277,R_OKey,1)-1,0)</f>
        <v>0</v>
      </c>
      <c r="BA1277" s="80">
        <f>IF(AY1277=1,COUNTIFS(R_Emp,"&lt;&gt;"&amp;D1277,R_SAbs,"&lt;"&amp;AX1277,R_EAbs,"&gt;"&amp;AW1277,R_OKey,1),0)</f>
        <v>0</v>
      </c>
      <c r="BB1277" s="80">
        <f>IF(AND(AB1277=1,D1277="proMX"),IF(AND(MOD(Z1277,CFG_BLK)=0,MOD(AA1277,CFG_BLK)=0,MOD(AG1277,CFG_BLK)=0,AG1277&gt;0),1,0),1)</f>
        <v>1</v>
      </c>
      <c r="BC1277" s="80" t="str">
        <f>IF(Y1277=0,"",IF(NOT(ISNUMBER(B1277)),"Falta fecha o fecha inválida",IF(D1277="","Falta empresa",IF(AND(D1277&lt;&gt;"Malcolm",D1277&lt;&gt;"proMX"),"Empresa inválida",IF(OR(INT(B1277)&lt;CFG_PSTART,INT(B1277)&gt;CFG_PEND),"Fecha fuera del período",IF(OR(NOT(ISNUMBER(Z1277)),NOT(ISNUMBER(AA1277))),"Falta hora inicio/fin o formato inválido",IF(AB1277=0,"Hora inicio = hora fin",IF(AE1277&lt;0,"Descanso inválido",IF(AE1277&gt;=AD1277,"Descanso ≥ duración",IF(AV1277=1,"Registro duplicado",IF(AZ1277&gt;0,"Se superpone con otro registro "&amp;D1277,IF(BB1277=0,"inicio, fin y duración neta deben ser múltiplos de "&amp;CFG_BLK&amp;" min",""))))))))))))</f>
        <v/>
      </c>
      <c r="BD1277" s="80">
        <f>IF(AND(Y1277=1,BC1277=""),1,0)</f>
        <v>0</v>
      </c>
      <c r="BE1277" s="80">
        <f>IF(AND(BD1277=1,AU1277=1),1,0)</f>
        <v>0</v>
      </c>
      <c r="BF1277" s="80" t="str">
        <f>IF(AND(D1277="proMX",BD1277=1),IF(R1277="","Draft",R1277),"")</f>
        <v/>
      </c>
      <c r="BG1277" s="80">
        <f>IF(BD1277=1,ROUND(AG1277/60,6),0)</f>
        <v>0</v>
      </c>
      <c r="BH1277" s="80">
        <f>IF(BE1277=1,ROUND(AG1277/60,6),0)</f>
        <v>0</v>
      </c>
      <c r="BI1277" s="80">
        <f>IF(BE1277=1,ROUND(AP1277/60,6),0)</f>
        <v>0</v>
      </c>
      <c r="BJ1277" s="80">
        <f>IF(BE1277=1,ROUND(AQ1277/60,6),0)</f>
        <v>0</v>
      </c>
      <c r="BK1277" s="80">
        <f>IF(BE1277=1,ROUND((AR1277+AS1277)/60,6),0)</f>
        <v>0</v>
      </c>
      <c r="BL1277" s="80">
        <f>ROUND(BH1277-BK1277,6)</f>
        <v>0</v>
      </c>
      <c r="BM1277" s="80">
        <f>IF(BE1277=1,ROUND(AR1277/60,6),0)</f>
        <v>0</v>
      </c>
      <c r="BN1277" s="80">
        <f>ROUND(BI1277-BM1277,6)</f>
        <v>0</v>
      </c>
      <c r="BO1277" s="80">
        <f>IF(BE1277=1,ROUND(AS1277/60,6),0)</f>
        <v>0</v>
      </c>
      <c r="BP1277" s="80">
        <f>ROUND(BJ1277-BO1277,6)</f>
        <v>0</v>
      </c>
      <c r="BQ1277" s="80">
        <f>IF(BE1277=1,AW1277,0)</f>
        <v>0</v>
      </c>
      <c r="BR1277" s="80">
        <f>IF(BE1277=1,AX1277,0)</f>
        <v>0</v>
      </c>
      <c r="BS1277" s="80">
        <f>IF(AND(BE1277=1,D1277="Malcolm",BA1277&gt;0),MIN(BH1277,SUMPRODUCT((R_Emp="proMX")*(R_EN&gt;0)*((R_EN-(R_EN&gt;BR1277)*(R_EN-BR1277))&gt;(R_SN+(R_SN&lt;BQ1277)*(BQ1277-R_SN)))*((R_EN-(R_EN&gt;BR1277)*(R_EN-BR1277))-(R_SN+(R_SN&lt;BQ1277)*(BQ1277-R_SN))))/60),0)</f>
        <v>0</v>
      </c>
      <c r="BT1277" s="80">
        <f>IF(AND(BE1277=1,D1277="proMX"),ROUND(BI1277*CFG_RATE+BJ1277*CFG_OTRATE,6),0)</f>
        <v>0</v>
      </c>
      <c r="BU1277" s="80">
        <f>IF(AND(BD1277=1,D1277="proMX"),ROUND(AG1277/CFG_BLK,6),0)</f>
        <v>0</v>
      </c>
      <c r="BV1277" s="80" t="str">
        <f>IF(BF1277="Approved",IF(ISNUMBER(T1277),INT(T1277),INT(B1277)),"")</f>
        <v/>
      </c>
      <c r="BW1277" s="80">
        <f>IF(ISNUMBER(B1277),IF(DB_MON="Todos",1,IF(AND(INT(B1277)&gt;=DB_MS,INT(B1277)&lt;=DB_ME),1,0)),0)</f>
        <v>0</v>
      </c>
      <c r="BX1277" s="80">
        <f>IF(DB_PROJ="Todos",1,IF(E1277&amp;""=DB_PROJ&amp;"",1,0))</f>
        <v>1</v>
      </c>
      <c r="BY1277" s="80">
        <f>BW1277*BX1277</f>
        <v>0</v>
      </c>
      <c r="BZ1277" s="80" t="str">
        <f>IF(Y1277=1,F1277&amp;IF(AND(F1277&amp;""&lt;&gt;"",E1277&amp;""&lt;&gt;"")," · ","")&amp;E1277,"")</f>
        <v/>
      </c>
      <c r="CA1277" s="80" t="str">
        <f>IF(AND(BD1277=1,E1277&amp;""&lt;&gt;""),IF(COUNTIFS($E$5:E1276,E1277,$BD$5:BD1276,1)=0,MAX($CA$5:CA1276)+1,""),"")</f>
        <v/>
      </c>
      <c r="CB1277" s="80" t="str">
        <f>IF(AND(BE1277=1,D1277="Malcolm",E1277&amp;""&lt;&gt;""),IF(COUNTIFS($D$5:D1276,"Malcolm",$E$5:E1276,E1277,$BE$5:BE1276,1)=0,MAX($CB$5:CB1276)+1,""),"")</f>
        <v/>
      </c>
      <c r="CC1277" s="80" t="str">
        <f>IF(AND(BD1277=1,D1277="proMX",E1277&amp;""&lt;&gt;""),IF(COUNTIFS($D$5:D1276,"proMX",$E$5:E1276,E1277,$BD$5:BD1276,1)=0,MAX($CC$5:CC1276)+1,""),"")</f>
        <v/>
      </c>
      <c r="CD1277" s="80" t="str">
        <f>IF(AND(BE1277=1,D1277="Malcolm",F1277&amp;""&lt;&gt;""),IF(COUNTIFS($D$5:D1276,"Malcolm",$F$5:F1276,F1277,$BE$5:BE1276,1)=0,MAX($CD$5:CD1276)+1,""),"")</f>
        <v/>
      </c>
      <c r="CE1277" s="80" t="str">
        <f>IF(AND(BD1277=1,D1277="proMX",F1277&amp;""&lt;&gt;""),IF(COUNTIFS($D$5:D1276,"proMX",$F$5:F1276,F1277,$BD$5:BD1276,1)=0,MAX($CE$5:CE1276)+1,""),"")</f>
        <v/>
      </c>
      <c r="CF1277" s="80" t="str">
        <f>IF(AND(D1277="proMX",BD1277=1),IF(OR(BF1277="Draft",BF1277="Submitted",BF1277="Returned",BF1277="Recall Requested"),MAX($CF$5:CF1276)+1,""),"")</f>
        <v/>
      </c>
      <c r="CG1277" s="80">
        <f>IF(BD1277=0,0,IF(D1277="Malcolm",1,MATCH(BF1277,{"Draft","Submitted","Approved","Returned","Recall Requested","Cancelled"},0)+1))</f>
        <v>0</v>
      </c>
      <c r="CH1277" s="80">
        <f>IF(AND(BF1277="Submitted",ISNUMBER(V1277)),IF(V1277&gt;CFG_MAXD,1,0),0)</f>
        <v>0</v>
      </c>
    </row>
    <row r="1278">
      <c r="A1278" s="71" t="str">
        <f>IF(Y1278=1,ROW()-5,"")</f>
        <v/>
      </c>
      <c r="B1278" s="72" t="n"/>
      <c r="C1278" s="71" t="str">
        <f>IF(ISNUMBER(B1278),CHOOSE(WEEKDAY(B1278,2),"Lun","Mar","Mié","Jue","Vie","Sáb","Dom"),"")</f>
        <v/>
      </c>
      <c r="D1278" s="73" t="n"/>
      <c r="E1278" s="74" t="n"/>
      <c r="F1278" s="74" t="n"/>
      <c r="G1278" s="74" t="n"/>
      <c r="H1278" s="75" t="n"/>
      <c r="I1278" s="75" t="n"/>
      <c r="J1278" s="76" t="n"/>
      <c r="K1278" s="77" t="str">
        <f>IF(AB1278=1,ROUND(AG1278/60,4),"")</f>
        <v/>
      </c>
      <c r="L1278" s="77" t="str">
        <f>IF(BD1278=1,ROUND(AP1278/60,4),"")</f>
        <v/>
      </c>
      <c r="M1278" s="77" t="str">
        <f>IF(BD1278=1,ROUND(AQ1278/60,4),"")</f>
        <v/>
      </c>
      <c r="N1278" s="71" t="str">
        <f>IF(AND(D1278="proMX",AB1278=1),ROUND(AG1278/CFG_BLK,2),"")</f>
        <v/>
      </c>
      <c r="O1278" s="77" t="str">
        <f>IF(D1278="proMX",IF(BD1278=1,ROUND(AG1278/60,4),0),"")</f>
        <v/>
      </c>
      <c r="P1278" s="78" t="str">
        <f>IF(Y1278=0,"",IF(BD1278=1,"OK",IF(D1278="proMX","Revisar bloques: ","Revisar: ")&amp;BC1278))</f>
        <v/>
      </c>
      <c r="Q1278" s="78" t="str">
        <f>IF(NOT(ISNUMBER(B1278)),"",IF(COUNTIFS(FER_F,INT(B1278))&gt;0,"Feriado"&amp;IF(AH1278=1," (laborable)"," (no laborable)"),IF(AH1278=1,"Laborable",IF(WEEKDAY(B1278,2)&gt;5,"Fin de semana","No laborable"))))</f>
        <v/>
      </c>
      <c r="R1278" s="73" t="n"/>
      <c r="S1278" s="72" t="n"/>
      <c r="T1278" s="72" t="n"/>
      <c r="U1278" s="74" t="n"/>
      <c r="V1278" s="79" t="str">
        <f>IF(AND(D1278="proMX",OR(R1278="Submitted",R1278="Recall Requested"),ISNUMBER(S1278)),CFG_TODAY-INT(S1278),"")</f>
        <v/>
      </c>
      <c r="W1278" s="78" t="str">
        <f>IF(BD1278=0,"",IF(BA1278&gt;0,"⚠ Se superpone con un registro de la otra empresa",IF(D1278="Malcolm",IF(COUNTA(R1278,S1278,T1278)&gt;0,"Estado/fechas proMX se ignoran en Malcolm",""),IF(BF1278="Cancelled","Cancelado: excluido de totales",IF(R1278="","Sin estado: se trata como Draft",IF(BF1278="Submitted",IF(ISNUMBER(V1278),IF(V1278&gt;CFG_MAXD,"⚠ "&amp;V1278&amp;" días en Submitted (máx. "&amp;CFG_MAXD&amp;")",""),"Falta fecha de envío"),IF(BF1278="Returned","⚠ Devuelto: corregir y reenviar",IF(BF1278="Recall Requested","Retirada solicitada: pendiente",IF(AND(BF1278="Approved",NOT(ISNUMBER(T1278))),"Falta fecha de aprobación",IF(AND(ISNUMBER(S1278),ISNUMBER(T1278),T1278&lt;S1278),"Aprobación anterior al envío","")))))))))</f>
        <v/>
      </c>
      <c r="Y1278" s="80">
        <f>IF(COUNTA(B1278,D1278,E1278,F1278,G1278,H1278,I1278,J1278,R1278,S1278,T1278)&gt;0,1,0)</f>
        <v>0</v>
      </c>
      <c r="Z1278" s="80" t="str">
        <f>IF(AND(ISNUMBER(H1278),H1278&gt;=0,H1278&lt;1),ROUND(H1278*1440,0),"")</f>
        <v/>
      </c>
      <c r="AA1278" s="80" t="str">
        <f>IF(AND(ISNUMBER(I1278),I1278&gt;=0,I1278&lt;1),ROUND(I1278*1440,0),"")</f>
        <v/>
      </c>
      <c r="AB1278" s="80">
        <f>IF(AND(ISNUMBER(B1278),D1278&lt;&gt;"",ISNUMBER(Z1278),ISNUMBER(AA1278)),IF(Z1278=AA1278,0,1),0)</f>
        <v>0</v>
      </c>
      <c r="AC1278" s="80">
        <f>IF(AB1278=1,IF(AA1278&lt;Z1278,1,0),0)</f>
        <v>0</v>
      </c>
      <c r="AD1278" s="80">
        <f>IF(AB1278=1,IF(AC1278=1,1440-Z1278+AA1278,AA1278-Z1278),0)</f>
        <v>0</v>
      </c>
      <c r="AE1278" s="80">
        <f>IF(J1278="",0,IF(ISNUMBER(J1278),J1278,-1))</f>
        <v>0</v>
      </c>
      <c r="AF1278" s="80">
        <f>MIN(MAX(0,AE1278),AD1278)</f>
        <v>0</v>
      </c>
      <c r="AG1278" s="80">
        <f>MAX(0,AD1278-MAX(0,AE1278))</f>
        <v>0</v>
      </c>
      <c r="AH1278" s="80">
        <f>IF(ISNUMBER(B1278),IF(AND(INDEX(CFG_WDAYS,WEEKDAY(INT(B1278),2))="Sí",IF(D1278="proMX",COUNTIFS(FER_F,INT(B1278),FER_NLP,"Sí"),COUNTIFS(FER_F,INT(B1278),FER_NLM,"Sí"))=0),1,0),0)</f>
        <v>0</v>
      </c>
      <c r="AI1278" s="80">
        <f>IF(AC1278=1,IF(AND(INDEX(CFG_WDAYS,WEEKDAY(INT(B1278)+1,2))="Sí",IF(D1278="proMX",COUNTIFS(FER_F,INT(B1278)+1,FER_NLP,"Sí"),COUNTIFS(FER_F,INT(B1278)+1,FER_NLM,"Sí"))=0),1,0),0)</f>
        <v>0</v>
      </c>
      <c r="AJ1278" s="80">
        <f>IF(AC1278=1,1440-Z1278,AD1278)</f>
        <v>0</v>
      </c>
      <c r="AK1278" s="80">
        <f>IF(AND(AB1278=1,AH1278=1),MAX(0,MIN(IF(AC1278=1,1440,AA1278),CFG_WEM)-MAX(Z1278,CFG_WSM)),0)</f>
        <v>0</v>
      </c>
      <c r="AL1278" s="80">
        <f>IF(AND(AC1278=1,AI1278=1),MAX(0,MIN(AA1278,CFG_WEM)-CFG_WSM),0)</f>
        <v>0</v>
      </c>
      <c r="AM1278" s="80">
        <f>AK1278+AL1278</f>
        <v>0</v>
      </c>
      <c r="AN1278" s="80">
        <f>IF(CFG_BRK="Proporcional",IF(AD1278=0,0,AF1278*AM1278/AD1278),IF(CFG_BRK="Extras primero",MIN(AM1278,MAX(0,AF1278-(AD1278-AM1278))),MIN(AF1278,AM1278)))</f>
        <v>0</v>
      </c>
      <c r="AO1278" s="80">
        <f>AF1278-AN1278</f>
        <v>0</v>
      </c>
      <c r="AP1278" s="80">
        <f>AM1278-AN1278</f>
        <v>0</v>
      </c>
      <c r="AQ1278" s="80">
        <f>AD1278-AM1278-AO1278</f>
        <v>0</v>
      </c>
      <c r="AR1278" s="80">
        <f>IF(AM1278=0,0,AK1278-AN1278*AK1278/AM1278)</f>
        <v>0</v>
      </c>
      <c r="AS1278" s="80">
        <f>IF(AD1278-AM1278=0,0,(AJ1278-AK1278)-AO1278*(AJ1278-AK1278)/(AD1278-AM1278))</f>
        <v>0</v>
      </c>
      <c r="AT1278" s="80" t="str">
        <f>IF(AC1278=1,INT(B1278)+1,"")</f>
        <v/>
      </c>
      <c r="AU1278" s="80">
        <f>IF(AND(D1278="proMX",R1278="Cancelled"),0,1)</f>
        <v>1</v>
      </c>
      <c r="AV1278" s="80">
        <f>IF(AND(AB1278=1,AU1278=1),IF(COUNTIFS($D$5:D1277,D1278,$B$5:B1277,B1278,$Z$5:Z1277,Z1278,$AA$5:AA1277,AA1278,$F$5:F1277,F1278&amp;"",$AU$5:AU1277,1)&gt;0,1,0),0)</f>
        <v>0</v>
      </c>
      <c r="AW1278" s="80" t="str">
        <f>IF(AB1278=1,INT(B1278)*1440+Z1278,"")</f>
        <v/>
      </c>
      <c r="AX1278" s="80" t="str">
        <f>IF(AB1278=1,AW1278+AD1278,"")</f>
        <v/>
      </c>
      <c r="AY1278" s="80">
        <f>IF(AND(AB1278=1,AV1278=0,AU1278=1),1,0)</f>
        <v>0</v>
      </c>
      <c r="AZ1278" s="80">
        <f>IF(AY1278=1,COUNTIFS(R_Emp,D1278,R_SAbs,"&lt;"&amp;AX1278,R_EAbs,"&gt;"&amp;AW1278,R_OKey,1)-1,0)</f>
        <v>0</v>
      </c>
      <c r="BA1278" s="80">
        <f>IF(AY1278=1,COUNTIFS(R_Emp,"&lt;&gt;"&amp;D1278,R_SAbs,"&lt;"&amp;AX1278,R_EAbs,"&gt;"&amp;AW1278,R_OKey,1),0)</f>
        <v>0</v>
      </c>
      <c r="BB1278" s="80">
        <f>IF(AND(AB1278=1,D1278="proMX"),IF(AND(MOD(Z1278,CFG_BLK)=0,MOD(AA1278,CFG_BLK)=0,MOD(AG1278,CFG_BLK)=0,AG1278&gt;0),1,0),1)</f>
        <v>1</v>
      </c>
      <c r="BC1278" s="80" t="str">
        <f>IF(Y1278=0,"",IF(NOT(ISNUMBER(B1278)),"Falta fecha o fecha inválida",IF(D1278="","Falta empresa",IF(AND(D1278&lt;&gt;"Malcolm",D1278&lt;&gt;"proMX"),"Empresa inválida",IF(OR(INT(B1278)&lt;CFG_PSTART,INT(B1278)&gt;CFG_PEND),"Fecha fuera del período",IF(OR(NOT(ISNUMBER(Z1278)),NOT(ISNUMBER(AA1278))),"Falta hora inicio/fin o formato inválido",IF(AB1278=0,"Hora inicio = hora fin",IF(AE1278&lt;0,"Descanso inválido",IF(AE1278&gt;=AD1278,"Descanso ≥ duración",IF(AV1278=1,"Registro duplicado",IF(AZ1278&gt;0,"Se superpone con otro registro "&amp;D1278,IF(BB1278=0,"inicio, fin y duración neta deben ser múltiplos de "&amp;CFG_BLK&amp;" min",""))))))))))))</f>
        <v/>
      </c>
      <c r="BD1278" s="80">
        <f>IF(AND(Y1278=1,BC1278=""),1,0)</f>
        <v>0</v>
      </c>
      <c r="BE1278" s="80">
        <f>IF(AND(BD1278=1,AU1278=1),1,0)</f>
        <v>0</v>
      </c>
      <c r="BF1278" s="80" t="str">
        <f>IF(AND(D1278="proMX",BD1278=1),IF(R1278="","Draft",R1278),"")</f>
        <v/>
      </c>
      <c r="BG1278" s="80">
        <f>IF(BD1278=1,ROUND(AG1278/60,6),0)</f>
        <v>0</v>
      </c>
      <c r="BH1278" s="80">
        <f>IF(BE1278=1,ROUND(AG1278/60,6),0)</f>
        <v>0</v>
      </c>
      <c r="BI1278" s="80">
        <f>IF(BE1278=1,ROUND(AP1278/60,6),0)</f>
        <v>0</v>
      </c>
      <c r="BJ1278" s="80">
        <f>IF(BE1278=1,ROUND(AQ1278/60,6),0)</f>
        <v>0</v>
      </c>
      <c r="BK1278" s="80">
        <f>IF(BE1278=1,ROUND((AR1278+AS1278)/60,6),0)</f>
        <v>0</v>
      </c>
      <c r="BL1278" s="80">
        <f>ROUND(BH1278-BK1278,6)</f>
        <v>0</v>
      </c>
      <c r="BM1278" s="80">
        <f>IF(BE1278=1,ROUND(AR1278/60,6),0)</f>
        <v>0</v>
      </c>
      <c r="BN1278" s="80">
        <f>ROUND(BI1278-BM1278,6)</f>
        <v>0</v>
      </c>
      <c r="BO1278" s="80">
        <f>IF(BE1278=1,ROUND(AS1278/60,6),0)</f>
        <v>0</v>
      </c>
      <c r="BP1278" s="80">
        <f>ROUND(BJ1278-BO1278,6)</f>
        <v>0</v>
      </c>
      <c r="BQ1278" s="80">
        <f>IF(BE1278=1,AW1278,0)</f>
        <v>0</v>
      </c>
      <c r="BR1278" s="80">
        <f>IF(BE1278=1,AX1278,0)</f>
        <v>0</v>
      </c>
      <c r="BS1278" s="80">
        <f>IF(AND(BE1278=1,D1278="Malcolm",BA1278&gt;0),MIN(BH1278,SUMPRODUCT((R_Emp="proMX")*(R_EN&gt;0)*((R_EN-(R_EN&gt;BR1278)*(R_EN-BR1278))&gt;(R_SN+(R_SN&lt;BQ1278)*(BQ1278-R_SN)))*((R_EN-(R_EN&gt;BR1278)*(R_EN-BR1278))-(R_SN+(R_SN&lt;BQ1278)*(BQ1278-R_SN))))/60),0)</f>
        <v>0</v>
      </c>
      <c r="BT1278" s="80">
        <f>IF(AND(BE1278=1,D1278="proMX"),ROUND(BI1278*CFG_RATE+BJ1278*CFG_OTRATE,6),0)</f>
        <v>0</v>
      </c>
      <c r="BU1278" s="80">
        <f>IF(AND(BD1278=1,D1278="proMX"),ROUND(AG1278/CFG_BLK,6),0)</f>
        <v>0</v>
      </c>
      <c r="BV1278" s="80" t="str">
        <f>IF(BF1278="Approved",IF(ISNUMBER(T1278),INT(T1278),INT(B1278)),"")</f>
        <v/>
      </c>
      <c r="BW1278" s="80">
        <f>IF(ISNUMBER(B1278),IF(DB_MON="Todos",1,IF(AND(INT(B1278)&gt;=DB_MS,INT(B1278)&lt;=DB_ME),1,0)),0)</f>
        <v>0</v>
      </c>
      <c r="BX1278" s="80">
        <f>IF(DB_PROJ="Todos",1,IF(E1278&amp;""=DB_PROJ&amp;"",1,0))</f>
        <v>1</v>
      </c>
      <c r="BY1278" s="80">
        <f>BW1278*BX1278</f>
        <v>0</v>
      </c>
      <c r="BZ1278" s="80" t="str">
        <f>IF(Y1278=1,F1278&amp;IF(AND(F1278&amp;""&lt;&gt;"",E1278&amp;""&lt;&gt;"")," · ","")&amp;E1278,"")</f>
        <v/>
      </c>
      <c r="CA1278" s="80" t="str">
        <f>IF(AND(BD1278=1,E1278&amp;""&lt;&gt;""),IF(COUNTIFS($E$5:E1277,E1278,$BD$5:BD1277,1)=0,MAX($CA$5:CA1277)+1,""),"")</f>
        <v/>
      </c>
      <c r="CB1278" s="80" t="str">
        <f>IF(AND(BE1278=1,D1278="Malcolm",E1278&amp;""&lt;&gt;""),IF(COUNTIFS($D$5:D1277,"Malcolm",$E$5:E1277,E1278,$BE$5:BE1277,1)=0,MAX($CB$5:CB1277)+1,""),"")</f>
        <v/>
      </c>
      <c r="CC1278" s="80" t="str">
        <f>IF(AND(BD1278=1,D1278="proMX",E1278&amp;""&lt;&gt;""),IF(COUNTIFS($D$5:D1277,"proMX",$E$5:E1277,E1278,$BD$5:BD1277,1)=0,MAX($CC$5:CC1277)+1,""),"")</f>
        <v/>
      </c>
      <c r="CD1278" s="80" t="str">
        <f>IF(AND(BE1278=1,D1278="Malcolm",F1278&amp;""&lt;&gt;""),IF(COUNTIFS($D$5:D1277,"Malcolm",$F$5:F1277,F1278,$BE$5:BE1277,1)=0,MAX($CD$5:CD1277)+1,""),"")</f>
        <v/>
      </c>
      <c r="CE1278" s="80" t="str">
        <f>IF(AND(BD1278=1,D1278="proMX",F1278&amp;""&lt;&gt;""),IF(COUNTIFS($D$5:D1277,"proMX",$F$5:F1277,F1278,$BD$5:BD1277,1)=0,MAX($CE$5:CE1277)+1,""),"")</f>
        <v/>
      </c>
      <c r="CF1278" s="80" t="str">
        <f>IF(AND(D1278="proMX",BD1278=1),IF(OR(BF1278="Draft",BF1278="Submitted",BF1278="Returned",BF1278="Recall Requested"),MAX($CF$5:CF1277)+1,""),"")</f>
        <v/>
      </c>
      <c r="CG1278" s="80">
        <f>IF(BD1278=0,0,IF(D1278="Malcolm",1,MATCH(BF1278,{"Draft","Submitted","Approved","Returned","Recall Requested","Cancelled"},0)+1))</f>
        <v>0</v>
      </c>
      <c r="CH1278" s="80">
        <f>IF(AND(BF1278="Submitted",ISNUMBER(V1278)),IF(V1278&gt;CFG_MAXD,1,0),0)</f>
        <v>0</v>
      </c>
    </row>
    <row r="1279">
      <c r="A1279" s="71" t="str">
        <f>IF(Y1279=1,ROW()-5,"")</f>
        <v/>
      </c>
      <c r="B1279" s="72" t="n"/>
      <c r="C1279" s="71" t="str">
        <f>IF(ISNUMBER(B1279),CHOOSE(WEEKDAY(B1279,2),"Lun","Mar","Mié","Jue","Vie","Sáb","Dom"),"")</f>
        <v/>
      </c>
      <c r="D1279" s="73" t="n"/>
      <c r="E1279" s="74" t="n"/>
      <c r="F1279" s="74" t="n"/>
      <c r="G1279" s="74" t="n"/>
      <c r="H1279" s="75" t="n"/>
      <c r="I1279" s="75" t="n"/>
      <c r="J1279" s="76" t="n"/>
      <c r="K1279" s="77" t="str">
        <f>IF(AB1279=1,ROUND(AG1279/60,4),"")</f>
        <v/>
      </c>
      <c r="L1279" s="77" t="str">
        <f>IF(BD1279=1,ROUND(AP1279/60,4),"")</f>
        <v/>
      </c>
      <c r="M1279" s="77" t="str">
        <f>IF(BD1279=1,ROUND(AQ1279/60,4),"")</f>
        <v/>
      </c>
      <c r="N1279" s="71" t="str">
        <f>IF(AND(D1279="proMX",AB1279=1),ROUND(AG1279/CFG_BLK,2),"")</f>
        <v/>
      </c>
      <c r="O1279" s="77" t="str">
        <f>IF(D1279="proMX",IF(BD1279=1,ROUND(AG1279/60,4),0),"")</f>
        <v/>
      </c>
      <c r="P1279" s="78" t="str">
        <f>IF(Y1279=0,"",IF(BD1279=1,"OK",IF(D1279="proMX","Revisar bloques: ","Revisar: ")&amp;BC1279))</f>
        <v/>
      </c>
      <c r="Q1279" s="78" t="str">
        <f>IF(NOT(ISNUMBER(B1279)),"",IF(COUNTIFS(FER_F,INT(B1279))&gt;0,"Feriado"&amp;IF(AH1279=1," (laborable)"," (no laborable)"),IF(AH1279=1,"Laborable",IF(WEEKDAY(B1279,2)&gt;5,"Fin de semana","No laborable"))))</f>
        <v/>
      </c>
      <c r="R1279" s="73" t="n"/>
      <c r="S1279" s="72" t="n"/>
      <c r="T1279" s="72" t="n"/>
      <c r="U1279" s="74" t="n"/>
      <c r="V1279" s="79" t="str">
        <f>IF(AND(D1279="proMX",OR(R1279="Submitted",R1279="Recall Requested"),ISNUMBER(S1279)),CFG_TODAY-INT(S1279),"")</f>
        <v/>
      </c>
      <c r="W1279" s="78" t="str">
        <f>IF(BD1279=0,"",IF(BA1279&gt;0,"⚠ Se superpone con un registro de la otra empresa",IF(D1279="Malcolm",IF(COUNTA(R1279,S1279,T1279)&gt;0,"Estado/fechas proMX se ignoran en Malcolm",""),IF(BF1279="Cancelled","Cancelado: excluido de totales",IF(R1279="","Sin estado: se trata como Draft",IF(BF1279="Submitted",IF(ISNUMBER(V1279),IF(V1279&gt;CFG_MAXD,"⚠ "&amp;V1279&amp;" días en Submitted (máx. "&amp;CFG_MAXD&amp;")",""),"Falta fecha de envío"),IF(BF1279="Returned","⚠ Devuelto: corregir y reenviar",IF(BF1279="Recall Requested","Retirada solicitada: pendiente",IF(AND(BF1279="Approved",NOT(ISNUMBER(T1279))),"Falta fecha de aprobación",IF(AND(ISNUMBER(S1279),ISNUMBER(T1279),T1279&lt;S1279),"Aprobación anterior al envío","")))))))))</f>
        <v/>
      </c>
      <c r="Y1279" s="80">
        <f>IF(COUNTA(B1279,D1279,E1279,F1279,G1279,H1279,I1279,J1279,R1279,S1279,T1279)&gt;0,1,0)</f>
        <v>0</v>
      </c>
      <c r="Z1279" s="80" t="str">
        <f>IF(AND(ISNUMBER(H1279),H1279&gt;=0,H1279&lt;1),ROUND(H1279*1440,0),"")</f>
        <v/>
      </c>
      <c r="AA1279" s="80" t="str">
        <f>IF(AND(ISNUMBER(I1279),I1279&gt;=0,I1279&lt;1),ROUND(I1279*1440,0),"")</f>
        <v/>
      </c>
      <c r="AB1279" s="80">
        <f>IF(AND(ISNUMBER(B1279),D1279&lt;&gt;"",ISNUMBER(Z1279),ISNUMBER(AA1279)),IF(Z1279=AA1279,0,1),0)</f>
        <v>0</v>
      </c>
      <c r="AC1279" s="80">
        <f>IF(AB1279=1,IF(AA1279&lt;Z1279,1,0),0)</f>
        <v>0</v>
      </c>
      <c r="AD1279" s="80">
        <f>IF(AB1279=1,IF(AC1279=1,1440-Z1279+AA1279,AA1279-Z1279),0)</f>
        <v>0</v>
      </c>
      <c r="AE1279" s="80">
        <f>IF(J1279="",0,IF(ISNUMBER(J1279),J1279,-1))</f>
        <v>0</v>
      </c>
      <c r="AF1279" s="80">
        <f>MIN(MAX(0,AE1279),AD1279)</f>
        <v>0</v>
      </c>
      <c r="AG1279" s="80">
        <f>MAX(0,AD1279-MAX(0,AE1279))</f>
        <v>0</v>
      </c>
      <c r="AH1279" s="80">
        <f>IF(ISNUMBER(B1279),IF(AND(INDEX(CFG_WDAYS,WEEKDAY(INT(B1279),2))="Sí",IF(D1279="proMX",COUNTIFS(FER_F,INT(B1279),FER_NLP,"Sí"),COUNTIFS(FER_F,INT(B1279),FER_NLM,"Sí"))=0),1,0),0)</f>
        <v>0</v>
      </c>
      <c r="AI1279" s="80">
        <f>IF(AC1279=1,IF(AND(INDEX(CFG_WDAYS,WEEKDAY(INT(B1279)+1,2))="Sí",IF(D1279="proMX",COUNTIFS(FER_F,INT(B1279)+1,FER_NLP,"Sí"),COUNTIFS(FER_F,INT(B1279)+1,FER_NLM,"Sí"))=0),1,0),0)</f>
        <v>0</v>
      </c>
      <c r="AJ1279" s="80">
        <f>IF(AC1279=1,1440-Z1279,AD1279)</f>
        <v>0</v>
      </c>
      <c r="AK1279" s="80">
        <f>IF(AND(AB1279=1,AH1279=1),MAX(0,MIN(IF(AC1279=1,1440,AA1279),CFG_WEM)-MAX(Z1279,CFG_WSM)),0)</f>
        <v>0</v>
      </c>
      <c r="AL1279" s="80">
        <f>IF(AND(AC1279=1,AI1279=1),MAX(0,MIN(AA1279,CFG_WEM)-CFG_WSM),0)</f>
        <v>0</v>
      </c>
      <c r="AM1279" s="80">
        <f>AK1279+AL1279</f>
        <v>0</v>
      </c>
      <c r="AN1279" s="80">
        <f>IF(CFG_BRK="Proporcional",IF(AD1279=0,0,AF1279*AM1279/AD1279),IF(CFG_BRK="Extras primero",MIN(AM1279,MAX(0,AF1279-(AD1279-AM1279))),MIN(AF1279,AM1279)))</f>
        <v>0</v>
      </c>
      <c r="AO1279" s="80">
        <f>AF1279-AN1279</f>
        <v>0</v>
      </c>
      <c r="AP1279" s="80">
        <f>AM1279-AN1279</f>
        <v>0</v>
      </c>
      <c r="AQ1279" s="80">
        <f>AD1279-AM1279-AO1279</f>
        <v>0</v>
      </c>
      <c r="AR1279" s="80">
        <f>IF(AM1279=0,0,AK1279-AN1279*AK1279/AM1279)</f>
        <v>0</v>
      </c>
      <c r="AS1279" s="80">
        <f>IF(AD1279-AM1279=0,0,(AJ1279-AK1279)-AO1279*(AJ1279-AK1279)/(AD1279-AM1279))</f>
        <v>0</v>
      </c>
      <c r="AT1279" s="80" t="str">
        <f>IF(AC1279=1,INT(B1279)+1,"")</f>
        <v/>
      </c>
      <c r="AU1279" s="80">
        <f>IF(AND(D1279="proMX",R1279="Cancelled"),0,1)</f>
        <v>1</v>
      </c>
      <c r="AV1279" s="80">
        <f>IF(AND(AB1279=1,AU1279=1),IF(COUNTIFS($D$5:D1278,D1279,$B$5:B1278,B1279,$Z$5:Z1278,Z1279,$AA$5:AA1278,AA1279,$F$5:F1278,F1279&amp;"",$AU$5:AU1278,1)&gt;0,1,0),0)</f>
        <v>0</v>
      </c>
      <c r="AW1279" s="80" t="str">
        <f>IF(AB1279=1,INT(B1279)*1440+Z1279,"")</f>
        <v/>
      </c>
      <c r="AX1279" s="80" t="str">
        <f>IF(AB1279=1,AW1279+AD1279,"")</f>
        <v/>
      </c>
      <c r="AY1279" s="80">
        <f>IF(AND(AB1279=1,AV1279=0,AU1279=1),1,0)</f>
        <v>0</v>
      </c>
      <c r="AZ1279" s="80">
        <f>IF(AY1279=1,COUNTIFS(R_Emp,D1279,R_SAbs,"&lt;"&amp;AX1279,R_EAbs,"&gt;"&amp;AW1279,R_OKey,1)-1,0)</f>
        <v>0</v>
      </c>
      <c r="BA1279" s="80">
        <f>IF(AY1279=1,COUNTIFS(R_Emp,"&lt;&gt;"&amp;D1279,R_SAbs,"&lt;"&amp;AX1279,R_EAbs,"&gt;"&amp;AW1279,R_OKey,1),0)</f>
        <v>0</v>
      </c>
      <c r="BB1279" s="80">
        <f>IF(AND(AB1279=1,D1279="proMX"),IF(AND(MOD(Z1279,CFG_BLK)=0,MOD(AA1279,CFG_BLK)=0,MOD(AG1279,CFG_BLK)=0,AG1279&gt;0),1,0),1)</f>
        <v>1</v>
      </c>
      <c r="BC1279" s="80" t="str">
        <f>IF(Y1279=0,"",IF(NOT(ISNUMBER(B1279)),"Falta fecha o fecha inválida",IF(D1279="","Falta empresa",IF(AND(D1279&lt;&gt;"Malcolm",D1279&lt;&gt;"proMX"),"Empresa inválida",IF(OR(INT(B1279)&lt;CFG_PSTART,INT(B1279)&gt;CFG_PEND),"Fecha fuera del período",IF(OR(NOT(ISNUMBER(Z1279)),NOT(ISNUMBER(AA1279))),"Falta hora inicio/fin o formato inválido",IF(AB1279=0,"Hora inicio = hora fin",IF(AE1279&lt;0,"Descanso inválido",IF(AE1279&gt;=AD1279,"Descanso ≥ duración",IF(AV1279=1,"Registro duplicado",IF(AZ1279&gt;0,"Se superpone con otro registro "&amp;D1279,IF(BB1279=0,"inicio, fin y duración neta deben ser múltiplos de "&amp;CFG_BLK&amp;" min",""))))))))))))</f>
        <v/>
      </c>
      <c r="BD1279" s="80">
        <f>IF(AND(Y1279=1,BC1279=""),1,0)</f>
        <v>0</v>
      </c>
      <c r="BE1279" s="80">
        <f>IF(AND(BD1279=1,AU1279=1),1,0)</f>
        <v>0</v>
      </c>
      <c r="BF1279" s="80" t="str">
        <f>IF(AND(D1279="proMX",BD1279=1),IF(R1279="","Draft",R1279),"")</f>
        <v/>
      </c>
      <c r="BG1279" s="80">
        <f>IF(BD1279=1,ROUND(AG1279/60,6),0)</f>
        <v>0</v>
      </c>
      <c r="BH1279" s="80">
        <f>IF(BE1279=1,ROUND(AG1279/60,6),0)</f>
        <v>0</v>
      </c>
      <c r="BI1279" s="80">
        <f>IF(BE1279=1,ROUND(AP1279/60,6),0)</f>
        <v>0</v>
      </c>
      <c r="BJ1279" s="80">
        <f>IF(BE1279=1,ROUND(AQ1279/60,6),0)</f>
        <v>0</v>
      </c>
      <c r="BK1279" s="80">
        <f>IF(BE1279=1,ROUND((AR1279+AS1279)/60,6),0)</f>
        <v>0</v>
      </c>
      <c r="BL1279" s="80">
        <f>ROUND(BH1279-BK1279,6)</f>
        <v>0</v>
      </c>
      <c r="BM1279" s="80">
        <f>IF(BE1279=1,ROUND(AR1279/60,6),0)</f>
        <v>0</v>
      </c>
      <c r="BN1279" s="80">
        <f>ROUND(BI1279-BM1279,6)</f>
        <v>0</v>
      </c>
      <c r="BO1279" s="80">
        <f>IF(BE1279=1,ROUND(AS1279/60,6),0)</f>
        <v>0</v>
      </c>
      <c r="BP1279" s="80">
        <f>ROUND(BJ1279-BO1279,6)</f>
        <v>0</v>
      </c>
      <c r="BQ1279" s="80">
        <f>IF(BE1279=1,AW1279,0)</f>
        <v>0</v>
      </c>
      <c r="BR1279" s="80">
        <f>IF(BE1279=1,AX1279,0)</f>
        <v>0</v>
      </c>
      <c r="BS1279" s="80">
        <f>IF(AND(BE1279=1,D1279="Malcolm",BA1279&gt;0),MIN(BH1279,SUMPRODUCT((R_Emp="proMX")*(R_EN&gt;0)*((R_EN-(R_EN&gt;BR1279)*(R_EN-BR1279))&gt;(R_SN+(R_SN&lt;BQ1279)*(BQ1279-R_SN)))*((R_EN-(R_EN&gt;BR1279)*(R_EN-BR1279))-(R_SN+(R_SN&lt;BQ1279)*(BQ1279-R_SN))))/60),0)</f>
        <v>0</v>
      </c>
      <c r="BT1279" s="80">
        <f>IF(AND(BE1279=1,D1279="proMX"),ROUND(BI1279*CFG_RATE+BJ1279*CFG_OTRATE,6),0)</f>
        <v>0</v>
      </c>
      <c r="BU1279" s="80">
        <f>IF(AND(BD1279=1,D1279="proMX"),ROUND(AG1279/CFG_BLK,6),0)</f>
        <v>0</v>
      </c>
      <c r="BV1279" s="80" t="str">
        <f>IF(BF1279="Approved",IF(ISNUMBER(T1279),INT(T1279),INT(B1279)),"")</f>
        <v/>
      </c>
      <c r="BW1279" s="80">
        <f>IF(ISNUMBER(B1279),IF(DB_MON="Todos",1,IF(AND(INT(B1279)&gt;=DB_MS,INT(B1279)&lt;=DB_ME),1,0)),0)</f>
        <v>0</v>
      </c>
      <c r="BX1279" s="80">
        <f>IF(DB_PROJ="Todos",1,IF(E1279&amp;""=DB_PROJ&amp;"",1,0))</f>
        <v>1</v>
      </c>
      <c r="BY1279" s="80">
        <f>BW1279*BX1279</f>
        <v>0</v>
      </c>
      <c r="BZ1279" s="80" t="str">
        <f>IF(Y1279=1,F1279&amp;IF(AND(F1279&amp;""&lt;&gt;"",E1279&amp;""&lt;&gt;"")," · ","")&amp;E1279,"")</f>
        <v/>
      </c>
      <c r="CA1279" s="80" t="str">
        <f>IF(AND(BD1279=1,E1279&amp;""&lt;&gt;""),IF(COUNTIFS($E$5:E1278,E1279,$BD$5:BD1278,1)=0,MAX($CA$5:CA1278)+1,""),"")</f>
        <v/>
      </c>
      <c r="CB1279" s="80" t="str">
        <f>IF(AND(BE1279=1,D1279="Malcolm",E1279&amp;""&lt;&gt;""),IF(COUNTIFS($D$5:D1278,"Malcolm",$E$5:E1278,E1279,$BE$5:BE1278,1)=0,MAX($CB$5:CB1278)+1,""),"")</f>
        <v/>
      </c>
      <c r="CC1279" s="80" t="str">
        <f>IF(AND(BD1279=1,D1279="proMX",E1279&amp;""&lt;&gt;""),IF(COUNTIFS($D$5:D1278,"proMX",$E$5:E1278,E1279,$BD$5:BD1278,1)=0,MAX($CC$5:CC1278)+1,""),"")</f>
        <v/>
      </c>
      <c r="CD1279" s="80" t="str">
        <f>IF(AND(BE1279=1,D1279="Malcolm",F1279&amp;""&lt;&gt;""),IF(COUNTIFS($D$5:D1278,"Malcolm",$F$5:F1278,F1279,$BE$5:BE1278,1)=0,MAX($CD$5:CD1278)+1,""),"")</f>
        <v/>
      </c>
      <c r="CE1279" s="80" t="str">
        <f>IF(AND(BD1279=1,D1279="proMX",F1279&amp;""&lt;&gt;""),IF(COUNTIFS($D$5:D1278,"proMX",$F$5:F1278,F1279,$BD$5:BD1278,1)=0,MAX($CE$5:CE1278)+1,""),"")</f>
        <v/>
      </c>
      <c r="CF1279" s="80" t="str">
        <f>IF(AND(D1279="proMX",BD1279=1),IF(OR(BF1279="Draft",BF1279="Submitted",BF1279="Returned",BF1279="Recall Requested"),MAX($CF$5:CF1278)+1,""),"")</f>
        <v/>
      </c>
      <c r="CG1279" s="80">
        <f>IF(BD1279=0,0,IF(D1279="Malcolm",1,MATCH(BF1279,{"Draft","Submitted","Approved","Returned","Recall Requested","Cancelled"},0)+1))</f>
        <v>0</v>
      </c>
      <c r="CH1279" s="80">
        <f>IF(AND(BF1279="Submitted",ISNUMBER(V1279)),IF(V1279&gt;CFG_MAXD,1,0),0)</f>
        <v>0</v>
      </c>
    </row>
    <row r="1280">
      <c r="A1280" s="71" t="str">
        <f>IF(Y1280=1,ROW()-5,"")</f>
        <v/>
      </c>
      <c r="B1280" s="72" t="n"/>
      <c r="C1280" s="71" t="str">
        <f>IF(ISNUMBER(B1280),CHOOSE(WEEKDAY(B1280,2),"Lun","Mar","Mié","Jue","Vie","Sáb","Dom"),"")</f>
        <v/>
      </c>
      <c r="D1280" s="73" t="n"/>
      <c r="E1280" s="74" t="n"/>
      <c r="F1280" s="74" t="n"/>
      <c r="G1280" s="74" t="n"/>
      <c r="H1280" s="75" t="n"/>
      <c r="I1280" s="75" t="n"/>
      <c r="J1280" s="76" t="n"/>
      <c r="K1280" s="77" t="str">
        <f>IF(AB1280=1,ROUND(AG1280/60,4),"")</f>
        <v/>
      </c>
      <c r="L1280" s="77" t="str">
        <f>IF(BD1280=1,ROUND(AP1280/60,4),"")</f>
        <v/>
      </c>
      <c r="M1280" s="77" t="str">
        <f>IF(BD1280=1,ROUND(AQ1280/60,4),"")</f>
        <v/>
      </c>
      <c r="N1280" s="71" t="str">
        <f>IF(AND(D1280="proMX",AB1280=1),ROUND(AG1280/CFG_BLK,2),"")</f>
        <v/>
      </c>
      <c r="O1280" s="77" t="str">
        <f>IF(D1280="proMX",IF(BD1280=1,ROUND(AG1280/60,4),0),"")</f>
        <v/>
      </c>
      <c r="P1280" s="78" t="str">
        <f>IF(Y1280=0,"",IF(BD1280=1,"OK",IF(D1280="proMX","Revisar bloques: ","Revisar: ")&amp;BC1280))</f>
        <v/>
      </c>
      <c r="Q1280" s="78" t="str">
        <f>IF(NOT(ISNUMBER(B1280)),"",IF(COUNTIFS(FER_F,INT(B1280))&gt;0,"Feriado"&amp;IF(AH1280=1," (laborable)"," (no laborable)"),IF(AH1280=1,"Laborable",IF(WEEKDAY(B1280,2)&gt;5,"Fin de semana","No laborable"))))</f>
        <v/>
      </c>
      <c r="R1280" s="73" t="n"/>
      <c r="S1280" s="72" t="n"/>
      <c r="T1280" s="72" t="n"/>
      <c r="U1280" s="74" t="n"/>
      <c r="V1280" s="79" t="str">
        <f>IF(AND(D1280="proMX",OR(R1280="Submitted",R1280="Recall Requested"),ISNUMBER(S1280)),CFG_TODAY-INT(S1280),"")</f>
        <v/>
      </c>
      <c r="W1280" s="78" t="str">
        <f>IF(BD1280=0,"",IF(BA1280&gt;0,"⚠ Se superpone con un registro de la otra empresa",IF(D1280="Malcolm",IF(COUNTA(R1280,S1280,T1280)&gt;0,"Estado/fechas proMX se ignoran en Malcolm",""),IF(BF1280="Cancelled","Cancelado: excluido de totales",IF(R1280="","Sin estado: se trata como Draft",IF(BF1280="Submitted",IF(ISNUMBER(V1280),IF(V1280&gt;CFG_MAXD,"⚠ "&amp;V1280&amp;" días en Submitted (máx. "&amp;CFG_MAXD&amp;")",""),"Falta fecha de envío"),IF(BF1280="Returned","⚠ Devuelto: corregir y reenviar",IF(BF1280="Recall Requested","Retirada solicitada: pendiente",IF(AND(BF1280="Approved",NOT(ISNUMBER(T1280))),"Falta fecha de aprobación",IF(AND(ISNUMBER(S1280),ISNUMBER(T1280),T1280&lt;S1280),"Aprobación anterior al envío","")))))))))</f>
        <v/>
      </c>
      <c r="Y1280" s="80">
        <f>IF(COUNTA(B1280,D1280,E1280,F1280,G1280,H1280,I1280,J1280,R1280,S1280,T1280)&gt;0,1,0)</f>
        <v>0</v>
      </c>
      <c r="Z1280" s="80" t="str">
        <f>IF(AND(ISNUMBER(H1280),H1280&gt;=0,H1280&lt;1),ROUND(H1280*1440,0),"")</f>
        <v/>
      </c>
      <c r="AA1280" s="80" t="str">
        <f>IF(AND(ISNUMBER(I1280),I1280&gt;=0,I1280&lt;1),ROUND(I1280*1440,0),"")</f>
        <v/>
      </c>
      <c r="AB1280" s="80">
        <f>IF(AND(ISNUMBER(B1280),D1280&lt;&gt;"",ISNUMBER(Z1280),ISNUMBER(AA1280)),IF(Z1280=AA1280,0,1),0)</f>
        <v>0</v>
      </c>
      <c r="AC1280" s="80">
        <f>IF(AB1280=1,IF(AA1280&lt;Z1280,1,0),0)</f>
        <v>0</v>
      </c>
      <c r="AD1280" s="80">
        <f>IF(AB1280=1,IF(AC1280=1,1440-Z1280+AA1280,AA1280-Z1280),0)</f>
        <v>0</v>
      </c>
      <c r="AE1280" s="80">
        <f>IF(J1280="",0,IF(ISNUMBER(J1280),J1280,-1))</f>
        <v>0</v>
      </c>
      <c r="AF1280" s="80">
        <f>MIN(MAX(0,AE1280),AD1280)</f>
        <v>0</v>
      </c>
      <c r="AG1280" s="80">
        <f>MAX(0,AD1280-MAX(0,AE1280))</f>
        <v>0</v>
      </c>
      <c r="AH1280" s="80">
        <f>IF(ISNUMBER(B1280),IF(AND(INDEX(CFG_WDAYS,WEEKDAY(INT(B1280),2))="Sí",IF(D1280="proMX",COUNTIFS(FER_F,INT(B1280),FER_NLP,"Sí"),COUNTIFS(FER_F,INT(B1280),FER_NLM,"Sí"))=0),1,0),0)</f>
        <v>0</v>
      </c>
      <c r="AI1280" s="80">
        <f>IF(AC1280=1,IF(AND(INDEX(CFG_WDAYS,WEEKDAY(INT(B1280)+1,2))="Sí",IF(D1280="proMX",COUNTIFS(FER_F,INT(B1280)+1,FER_NLP,"Sí"),COUNTIFS(FER_F,INT(B1280)+1,FER_NLM,"Sí"))=0),1,0),0)</f>
        <v>0</v>
      </c>
      <c r="AJ1280" s="80">
        <f>IF(AC1280=1,1440-Z1280,AD1280)</f>
        <v>0</v>
      </c>
      <c r="AK1280" s="80">
        <f>IF(AND(AB1280=1,AH1280=1),MAX(0,MIN(IF(AC1280=1,1440,AA1280),CFG_WEM)-MAX(Z1280,CFG_WSM)),0)</f>
        <v>0</v>
      </c>
      <c r="AL1280" s="80">
        <f>IF(AND(AC1280=1,AI1280=1),MAX(0,MIN(AA1280,CFG_WEM)-CFG_WSM),0)</f>
        <v>0</v>
      </c>
      <c r="AM1280" s="80">
        <f>AK1280+AL1280</f>
        <v>0</v>
      </c>
      <c r="AN1280" s="80">
        <f>IF(CFG_BRK="Proporcional",IF(AD1280=0,0,AF1280*AM1280/AD1280),IF(CFG_BRK="Extras primero",MIN(AM1280,MAX(0,AF1280-(AD1280-AM1280))),MIN(AF1280,AM1280)))</f>
        <v>0</v>
      </c>
      <c r="AO1280" s="80">
        <f>AF1280-AN1280</f>
        <v>0</v>
      </c>
      <c r="AP1280" s="80">
        <f>AM1280-AN1280</f>
        <v>0</v>
      </c>
      <c r="AQ1280" s="80">
        <f>AD1280-AM1280-AO1280</f>
        <v>0</v>
      </c>
      <c r="AR1280" s="80">
        <f>IF(AM1280=0,0,AK1280-AN1280*AK1280/AM1280)</f>
        <v>0</v>
      </c>
      <c r="AS1280" s="80">
        <f>IF(AD1280-AM1280=0,0,(AJ1280-AK1280)-AO1280*(AJ1280-AK1280)/(AD1280-AM1280))</f>
        <v>0</v>
      </c>
      <c r="AT1280" s="80" t="str">
        <f>IF(AC1280=1,INT(B1280)+1,"")</f>
        <v/>
      </c>
      <c r="AU1280" s="80">
        <f>IF(AND(D1280="proMX",R1280="Cancelled"),0,1)</f>
        <v>1</v>
      </c>
      <c r="AV1280" s="80">
        <f>IF(AND(AB1280=1,AU1280=1),IF(COUNTIFS($D$5:D1279,D1280,$B$5:B1279,B1280,$Z$5:Z1279,Z1280,$AA$5:AA1279,AA1280,$F$5:F1279,F1280&amp;"",$AU$5:AU1279,1)&gt;0,1,0),0)</f>
        <v>0</v>
      </c>
      <c r="AW1280" s="80" t="str">
        <f>IF(AB1280=1,INT(B1280)*1440+Z1280,"")</f>
        <v/>
      </c>
      <c r="AX1280" s="80" t="str">
        <f>IF(AB1280=1,AW1280+AD1280,"")</f>
        <v/>
      </c>
      <c r="AY1280" s="80">
        <f>IF(AND(AB1280=1,AV1280=0,AU1280=1),1,0)</f>
        <v>0</v>
      </c>
      <c r="AZ1280" s="80">
        <f>IF(AY1280=1,COUNTIFS(R_Emp,D1280,R_SAbs,"&lt;"&amp;AX1280,R_EAbs,"&gt;"&amp;AW1280,R_OKey,1)-1,0)</f>
        <v>0</v>
      </c>
      <c r="BA1280" s="80">
        <f>IF(AY1280=1,COUNTIFS(R_Emp,"&lt;&gt;"&amp;D1280,R_SAbs,"&lt;"&amp;AX1280,R_EAbs,"&gt;"&amp;AW1280,R_OKey,1),0)</f>
        <v>0</v>
      </c>
      <c r="BB1280" s="80">
        <f>IF(AND(AB1280=1,D1280="proMX"),IF(AND(MOD(Z1280,CFG_BLK)=0,MOD(AA1280,CFG_BLK)=0,MOD(AG1280,CFG_BLK)=0,AG1280&gt;0),1,0),1)</f>
        <v>1</v>
      </c>
      <c r="BC1280" s="80" t="str">
        <f>IF(Y1280=0,"",IF(NOT(ISNUMBER(B1280)),"Falta fecha o fecha inválida",IF(D1280="","Falta empresa",IF(AND(D1280&lt;&gt;"Malcolm",D1280&lt;&gt;"proMX"),"Empresa inválida",IF(OR(INT(B1280)&lt;CFG_PSTART,INT(B1280)&gt;CFG_PEND),"Fecha fuera del período",IF(OR(NOT(ISNUMBER(Z1280)),NOT(ISNUMBER(AA1280))),"Falta hora inicio/fin o formato inválido",IF(AB1280=0,"Hora inicio = hora fin",IF(AE1280&lt;0,"Descanso inválido",IF(AE1280&gt;=AD1280,"Descanso ≥ duración",IF(AV1280=1,"Registro duplicado",IF(AZ1280&gt;0,"Se superpone con otro registro "&amp;D1280,IF(BB1280=0,"inicio, fin y duración neta deben ser múltiplos de "&amp;CFG_BLK&amp;" min",""))))))))))))</f>
        <v/>
      </c>
      <c r="BD1280" s="80">
        <f>IF(AND(Y1280=1,BC1280=""),1,0)</f>
        <v>0</v>
      </c>
      <c r="BE1280" s="80">
        <f>IF(AND(BD1280=1,AU1280=1),1,0)</f>
        <v>0</v>
      </c>
      <c r="BF1280" s="80" t="str">
        <f>IF(AND(D1280="proMX",BD1280=1),IF(R1280="","Draft",R1280),"")</f>
        <v/>
      </c>
      <c r="BG1280" s="80">
        <f>IF(BD1280=1,ROUND(AG1280/60,6),0)</f>
        <v>0</v>
      </c>
      <c r="BH1280" s="80">
        <f>IF(BE1280=1,ROUND(AG1280/60,6),0)</f>
        <v>0</v>
      </c>
      <c r="BI1280" s="80">
        <f>IF(BE1280=1,ROUND(AP1280/60,6),0)</f>
        <v>0</v>
      </c>
      <c r="BJ1280" s="80">
        <f>IF(BE1280=1,ROUND(AQ1280/60,6),0)</f>
        <v>0</v>
      </c>
      <c r="BK1280" s="80">
        <f>IF(BE1280=1,ROUND((AR1280+AS1280)/60,6),0)</f>
        <v>0</v>
      </c>
      <c r="BL1280" s="80">
        <f>ROUND(BH1280-BK1280,6)</f>
        <v>0</v>
      </c>
      <c r="BM1280" s="80">
        <f>IF(BE1280=1,ROUND(AR1280/60,6),0)</f>
        <v>0</v>
      </c>
      <c r="BN1280" s="80">
        <f>ROUND(BI1280-BM1280,6)</f>
        <v>0</v>
      </c>
      <c r="BO1280" s="80">
        <f>IF(BE1280=1,ROUND(AS1280/60,6),0)</f>
        <v>0</v>
      </c>
      <c r="BP1280" s="80">
        <f>ROUND(BJ1280-BO1280,6)</f>
        <v>0</v>
      </c>
      <c r="BQ1280" s="80">
        <f>IF(BE1280=1,AW1280,0)</f>
        <v>0</v>
      </c>
      <c r="BR1280" s="80">
        <f>IF(BE1280=1,AX1280,0)</f>
        <v>0</v>
      </c>
      <c r="BS1280" s="80">
        <f>IF(AND(BE1280=1,D1280="Malcolm",BA1280&gt;0),MIN(BH1280,SUMPRODUCT((R_Emp="proMX")*(R_EN&gt;0)*((R_EN-(R_EN&gt;BR1280)*(R_EN-BR1280))&gt;(R_SN+(R_SN&lt;BQ1280)*(BQ1280-R_SN)))*((R_EN-(R_EN&gt;BR1280)*(R_EN-BR1280))-(R_SN+(R_SN&lt;BQ1280)*(BQ1280-R_SN))))/60),0)</f>
        <v>0</v>
      </c>
      <c r="BT1280" s="80">
        <f>IF(AND(BE1280=1,D1280="proMX"),ROUND(BI1280*CFG_RATE+BJ1280*CFG_OTRATE,6),0)</f>
        <v>0</v>
      </c>
      <c r="BU1280" s="80">
        <f>IF(AND(BD1280=1,D1280="proMX"),ROUND(AG1280/CFG_BLK,6),0)</f>
        <v>0</v>
      </c>
      <c r="BV1280" s="80" t="str">
        <f>IF(BF1280="Approved",IF(ISNUMBER(T1280),INT(T1280),INT(B1280)),"")</f>
        <v/>
      </c>
      <c r="BW1280" s="80">
        <f>IF(ISNUMBER(B1280),IF(DB_MON="Todos",1,IF(AND(INT(B1280)&gt;=DB_MS,INT(B1280)&lt;=DB_ME),1,0)),0)</f>
        <v>0</v>
      </c>
      <c r="BX1280" s="80">
        <f>IF(DB_PROJ="Todos",1,IF(E1280&amp;""=DB_PROJ&amp;"",1,0))</f>
        <v>1</v>
      </c>
      <c r="BY1280" s="80">
        <f>BW1280*BX1280</f>
        <v>0</v>
      </c>
      <c r="BZ1280" s="80" t="str">
        <f>IF(Y1280=1,F1280&amp;IF(AND(F1280&amp;""&lt;&gt;"",E1280&amp;""&lt;&gt;"")," · ","")&amp;E1280,"")</f>
        <v/>
      </c>
      <c r="CA1280" s="80" t="str">
        <f>IF(AND(BD1280=1,E1280&amp;""&lt;&gt;""),IF(COUNTIFS($E$5:E1279,E1280,$BD$5:BD1279,1)=0,MAX($CA$5:CA1279)+1,""),"")</f>
        <v/>
      </c>
      <c r="CB1280" s="80" t="str">
        <f>IF(AND(BE1280=1,D1280="Malcolm",E1280&amp;""&lt;&gt;""),IF(COUNTIFS($D$5:D1279,"Malcolm",$E$5:E1279,E1280,$BE$5:BE1279,1)=0,MAX($CB$5:CB1279)+1,""),"")</f>
        <v/>
      </c>
      <c r="CC1280" s="80" t="str">
        <f>IF(AND(BD1280=1,D1280="proMX",E1280&amp;""&lt;&gt;""),IF(COUNTIFS($D$5:D1279,"proMX",$E$5:E1279,E1280,$BD$5:BD1279,1)=0,MAX($CC$5:CC1279)+1,""),"")</f>
        <v/>
      </c>
      <c r="CD1280" s="80" t="str">
        <f>IF(AND(BE1280=1,D1280="Malcolm",F1280&amp;""&lt;&gt;""),IF(COUNTIFS($D$5:D1279,"Malcolm",$F$5:F1279,F1280,$BE$5:BE1279,1)=0,MAX($CD$5:CD1279)+1,""),"")</f>
        <v/>
      </c>
      <c r="CE1280" s="80" t="str">
        <f>IF(AND(BD1280=1,D1280="proMX",F1280&amp;""&lt;&gt;""),IF(COUNTIFS($D$5:D1279,"proMX",$F$5:F1279,F1280,$BD$5:BD1279,1)=0,MAX($CE$5:CE1279)+1,""),"")</f>
        <v/>
      </c>
      <c r="CF1280" s="80" t="str">
        <f>IF(AND(D1280="proMX",BD1280=1),IF(OR(BF1280="Draft",BF1280="Submitted",BF1280="Returned",BF1280="Recall Requested"),MAX($CF$5:CF1279)+1,""),"")</f>
        <v/>
      </c>
      <c r="CG1280" s="80">
        <f>IF(BD1280=0,0,IF(D1280="Malcolm",1,MATCH(BF1280,{"Draft","Submitted","Approved","Returned","Recall Requested","Cancelled"},0)+1))</f>
        <v>0</v>
      </c>
      <c r="CH1280" s="80">
        <f>IF(AND(BF1280="Submitted",ISNUMBER(V1280)),IF(V1280&gt;CFG_MAXD,1,0),0)</f>
        <v>0</v>
      </c>
    </row>
    <row r="1281">
      <c r="A1281" s="71" t="str">
        <f>IF(Y1281=1,ROW()-5,"")</f>
        <v/>
      </c>
      <c r="B1281" s="72" t="n"/>
      <c r="C1281" s="71" t="str">
        <f>IF(ISNUMBER(B1281),CHOOSE(WEEKDAY(B1281,2),"Lun","Mar","Mié","Jue","Vie","Sáb","Dom"),"")</f>
        <v/>
      </c>
      <c r="D1281" s="73" t="n"/>
      <c r="E1281" s="74" t="n"/>
      <c r="F1281" s="74" t="n"/>
      <c r="G1281" s="74" t="n"/>
      <c r="H1281" s="75" t="n"/>
      <c r="I1281" s="75" t="n"/>
      <c r="J1281" s="76" t="n"/>
      <c r="K1281" s="77" t="str">
        <f>IF(AB1281=1,ROUND(AG1281/60,4),"")</f>
        <v/>
      </c>
      <c r="L1281" s="77" t="str">
        <f>IF(BD1281=1,ROUND(AP1281/60,4),"")</f>
        <v/>
      </c>
      <c r="M1281" s="77" t="str">
        <f>IF(BD1281=1,ROUND(AQ1281/60,4),"")</f>
        <v/>
      </c>
      <c r="N1281" s="71" t="str">
        <f>IF(AND(D1281="proMX",AB1281=1),ROUND(AG1281/CFG_BLK,2),"")</f>
        <v/>
      </c>
      <c r="O1281" s="77" t="str">
        <f>IF(D1281="proMX",IF(BD1281=1,ROUND(AG1281/60,4),0),"")</f>
        <v/>
      </c>
      <c r="P1281" s="78" t="str">
        <f>IF(Y1281=0,"",IF(BD1281=1,"OK",IF(D1281="proMX","Revisar bloques: ","Revisar: ")&amp;BC1281))</f>
        <v/>
      </c>
      <c r="Q1281" s="78" t="str">
        <f>IF(NOT(ISNUMBER(B1281)),"",IF(COUNTIFS(FER_F,INT(B1281))&gt;0,"Feriado"&amp;IF(AH1281=1," (laborable)"," (no laborable)"),IF(AH1281=1,"Laborable",IF(WEEKDAY(B1281,2)&gt;5,"Fin de semana","No laborable"))))</f>
        <v/>
      </c>
      <c r="R1281" s="73" t="n"/>
      <c r="S1281" s="72" t="n"/>
      <c r="T1281" s="72" t="n"/>
      <c r="U1281" s="74" t="n"/>
      <c r="V1281" s="79" t="str">
        <f>IF(AND(D1281="proMX",OR(R1281="Submitted",R1281="Recall Requested"),ISNUMBER(S1281)),CFG_TODAY-INT(S1281),"")</f>
        <v/>
      </c>
      <c r="W1281" s="78" t="str">
        <f>IF(BD1281=0,"",IF(BA1281&gt;0,"⚠ Se superpone con un registro de la otra empresa",IF(D1281="Malcolm",IF(COUNTA(R1281,S1281,T1281)&gt;0,"Estado/fechas proMX se ignoran en Malcolm",""),IF(BF1281="Cancelled","Cancelado: excluido de totales",IF(R1281="","Sin estado: se trata como Draft",IF(BF1281="Submitted",IF(ISNUMBER(V1281),IF(V1281&gt;CFG_MAXD,"⚠ "&amp;V1281&amp;" días en Submitted (máx. "&amp;CFG_MAXD&amp;")",""),"Falta fecha de envío"),IF(BF1281="Returned","⚠ Devuelto: corregir y reenviar",IF(BF1281="Recall Requested","Retirada solicitada: pendiente",IF(AND(BF1281="Approved",NOT(ISNUMBER(T1281))),"Falta fecha de aprobación",IF(AND(ISNUMBER(S1281),ISNUMBER(T1281),T1281&lt;S1281),"Aprobación anterior al envío","")))))))))</f>
        <v/>
      </c>
      <c r="Y1281" s="80">
        <f>IF(COUNTA(B1281,D1281,E1281,F1281,G1281,H1281,I1281,J1281,R1281,S1281,T1281)&gt;0,1,0)</f>
        <v>0</v>
      </c>
      <c r="Z1281" s="80" t="str">
        <f>IF(AND(ISNUMBER(H1281),H1281&gt;=0,H1281&lt;1),ROUND(H1281*1440,0),"")</f>
        <v/>
      </c>
      <c r="AA1281" s="80" t="str">
        <f>IF(AND(ISNUMBER(I1281),I1281&gt;=0,I1281&lt;1),ROUND(I1281*1440,0),"")</f>
        <v/>
      </c>
      <c r="AB1281" s="80">
        <f>IF(AND(ISNUMBER(B1281),D1281&lt;&gt;"",ISNUMBER(Z1281),ISNUMBER(AA1281)),IF(Z1281=AA1281,0,1),0)</f>
        <v>0</v>
      </c>
      <c r="AC1281" s="80">
        <f>IF(AB1281=1,IF(AA1281&lt;Z1281,1,0),0)</f>
        <v>0</v>
      </c>
      <c r="AD1281" s="80">
        <f>IF(AB1281=1,IF(AC1281=1,1440-Z1281+AA1281,AA1281-Z1281),0)</f>
        <v>0</v>
      </c>
      <c r="AE1281" s="80">
        <f>IF(J1281="",0,IF(ISNUMBER(J1281),J1281,-1))</f>
        <v>0</v>
      </c>
      <c r="AF1281" s="80">
        <f>MIN(MAX(0,AE1281),AD1281)</f>
        <v>0</v>
      </c>
      <c r="AG1281" s="80">
        <f>MAX(0,AD1281-MAX(0,AE1281))</f>
        <v>0</v>
      </c>
      <c r="AH1281" s="80">
        <f>IF(ISNUMBER(B1281),IF(AND(INDEX(CFG_WDAYS,WEEKDAY(INT(B1281),2))="Sí",IF(D1281="proMX",COUNTIFS(FER_F,INT(B1281),FER_NLP,"Sí"),COUNTIFS(FER_F,INT(B1281),FER_NLM,"Sí"))=0),1,0),0)</f>
        <v>0</v>
      </c>
      <c r="AI1281" s="80">
        <f>IF(AC1281=1,IF(AND(INDEX(CFG_WDAYS,WEEKDAY(INT(B1281)+1,2))="Sí",IF(D1281="proMX",COUNTIFS(FER_F,INT(B1281)+1,FER_NLP,"Sí"),COUNTIFS(FER_F,INT(B1281)+1,FER_NLM,"Sí"))=0),1,0),0)</f>
        <v>0</v>
      </c>
      <c r="AJ1281" s="80">
        <f>IF(AC1281=1,1440-Z1281,AD1281)</f>
        <v>0</v>
      </c>
      <c r="AK1281" s="80">
        <f>IF(AND(AB1281=1,AH1281=1),MAX(0,MIN(IF(AC1281=1,1440,AA1281),CFG_WEM)-MAX(Z1281,CFG_WSM)),0)</f>
        <v>0</v>
      </c>
      <c r="AL1281" s="80">
        <f>IF(AND(AC1281=1,AI1281=1),MAX(0,MIN(AA1281,CFG_WEM)-CFG_WSM),0)</f>
        <v>0</v>
      </c>
      <c r="AM1281" s="80">
        <f>AK1281+AL1281</f>
        <v>0</v>
      </c>
      <c r="AN1281" s="80">
        <f>IF(CFG_BRK="Proporcional",IF(AD1281=0,0,AF1281*AM1281/AD1281),IF(CFG_BRK="Extras primero",MIN(AM1281,MAX(0,AF1281-(AD1281-AM1281))),MIN(AF1281,AM1281)))</f>
        <v>0</v>
      </c>
      <c r="AO1281" s="80">
        <f>AF1281-AN1281</f>
        <v>0</v>
      </c>
      <c r="AP1281" s="80">
        <f>AM1281-AN1281</f>
        <v>0</v>
      </c>
      <c r="AQ1281" s="80">
        <f>AD1281-AM1281-AO1281</f>
        <v>0</v>
      </c>
      <c r="AR1281" s="80">
        <f>IF(AM1281=0,0,AK1281-AN1281*AK1281/AM1281)</f>
        <v>0</v>
      </c>
      <c r="AS1281" s="80">
        <f>IF(AD1281-AM1281=0,0,(AJ1281-AK1281)-AO1281*(AJ1281-AK1281)/(AD1281-AM1281))</f>
        <v>0</v>
      </c>
      <c r="AT1281" s="80" t="str">
        <f>IF(AC1281=1,INT(B1281)+1,"")</f>
        <v/>
      </c>
      <c r="AU1281" s="80">
        <f>IF(AND(D1281="proMX",R1281="Cancelled"),0,1)</f>
        <v>1</v>
      </c>
      <c r="AV1281" s="80">
        <f>IF(AND(AB1281=1,AU1281=1),IF(COUNTIFS($D$5:D1280,D1281,$B$5:B1280,B1281,$Z$5:Z1280,Z1281,$AA$5:AA1280,AA1281,$F$5:F1280,F1281&amp;"",$AU$5:AU1280,1)&gt;0,1,0),0)</f>
        <v>0</v>
      </c>
      <c r="AW1281" s="80" t="str">
        <f>IF(AB1281=1,INT(B1281)*1440+Z1281,"")</f>
        <v/>
      </c>
      <c r="AX1281" s="80" t="str">
        <f>IF(AB1281=1,AW1281+AD1281,"")</f>
        <v/>
      </c>
      <c r="AY1281" s="80">
        <f>IF(AND(AB1281=1,AV1281=0,AU1281=1),1,0)</f>
        <v>0</v>
      </c>
      <c r="AZ1281" s="80">
        <f>IF(AY1281=1,COUNTIFS(R_Emp,D1281,R_SAbs,"&lt;"&amp;AX1281,R_EAbs,"&gt;"&amp;AW1281,R_OKey,1)-1,0)</f>
        <v>0</v>
      </c>
      <c r="BA1281" s="80">
        <f>IF(AY1281=1,COUNTIFS(R_Emp,"&lt;&gt;"&amp;D1281,R_SAbs,"&lt;"&amp;AX1281,R_EAbs,"&gt;"&amp;AW1281,R_OKey,1),0)</f>
        <v>0</v>
      </c>
      <c r="BB1281" s="80">
        <f>IF(AND(AB1281=1,D1281="proMX"),IF(AND(MOD(Z1281,CFG_BLK)=0,MOD(AA1281,CFG_BLK)=0,MOD(AG1281,CFG_BLK)=0,AG1281&gt;0),1,0),1)</f>
        <v>1</v>
      </c>
      <c r="BC1281" s="80" t="str">
        <f>IF(Y1281=0,"",IF(NOT(ISNUMBER(B1281)),"Falta fecha o fecha inválida",IF(D1281="","Falta empresa",IF(AND(D1281&lt;&gt;"Malcolm",D1281&lt;&gt;"proMX"),"Empresa inválida",IF(OR(INT(B1281)&lt;CFG_PSTART,INT(B1281)&gt;CFG_PEND),"Fecha fuera del período",IF(OR(NOT(ISNUMBER(Z1281)),NOT(ISNUMBER(AA1281))),"Falta hora inicio/fin o formato inválido",IF(AB1281=0,"Hora inicio = hora fin",IF(AE1281&lt;0,"Descanso inválido",IF(AE1281&gt;=AD1281,"Descanso ≥ duración",IF(AV1281=1,"Registro duplicado",IF(AZ1281&gt;0,"Se superpone con otro registro "&amp;D1281,IF(BB1281=0,"inicio, fin y duración neta deben ser múltiplos de "&amp;CFG_BLK&amp;" min",""))))))))))))</f>
        <v/>
      </c>
      <c r="BD1281" s="80">
        <f>IF(AND(Y1281=1,BC1281=""),1,0)</f>
        <v>0</v>
      </c>
      <c r="BE1281" s="80">
        <f>IF(AND(BD1281=1,AU1281=1),1,0)</f>
        <v>0</v>
      </c>
      <c r="BF1281" s="80" t="str">
        <f>IF(AND(D1281="proMX",BD1281=1),IF(R1281="","Draft",R1281),"")</f>
        <v/>
      </c>
      <c r="BG1281" s="80">
        <f>IF(BD1281=1,ROUND(AG1281/60,6),0)</f>
        <v>0</v>
      </c>
      <c r="BH1281" s="80">
        <f>IF(BE1281=1,ROUND(AG1281/60,6),0)</f>
        <v>0</v>
      </c>
      <c r="BI1281" s="80">
        <f>IF(BE1281=1,ROUND(AP1281/60,6),0)</f>
        <v>0</v>
      </c>
      <c r="BJ1281" s="80">
        <f>IF(BE1281=1,ROUND(AQ1281/60,6),0)</f>
        <v>0</v>
      </c>
      <c r="BK1281" s="80">
        <f>IF(BE1281=1,ROUND((AR1281+AS1281)/60,6),0)</f>
        <v>0</v>
      </c>
      <c r="BL1281" s="80">
        <f>ROUND(BH1281-BK1281,6)</f>
        <v>0</v>
      </c>
      <c r="BM1281" s="80">
        <f>IF(BE1281=1,ROUND(AR1281/60,6),0)</f>
        <v>0</v>
      </c>
      <c r="BN1281" s="80">
        <f>ROUND(BI1281-BM1281,6)</f>
        <v>0</v>
      </c>
      <c r="BO1281" s="80">
        <f>IF(BE1281=1,ROUND(AS1281/60,6),0)</f>
        <v>0</v>
      </c>
      <c r="BP1281" s="80">
        <f>ROUND(BJ1281-BO1281,6)</f>
        <v>0</v>
      </c>
      <c r="BQ1281" s="80">
        <f>IF(BE1281=1,AW1281,0)</f>
        <v>0</v>
      </c>
      <c r="BR1281" s="80">
        <f>IF(BE1281=1,AX1281,0)</f>
        <v>0</v>
      </c>
      <c r="BS1281" s="80">
        <f>IF(AND(BE1281=1,D1281="Malcolm",BA1281&gt;0),MIN(BH1281,SUMPRODUCT((R_Emp="proMX")*(R_EN&gt;0)*((R_EN-(R_EN&gt;BR1281)*(R_EN-BR1281))&gt;(R_SN+(R_SN&lt;BQ1281)*(BQ1281-R_SN)))*((R_EN-(R_EN&gt;BR1281)*(R_EN-BR1281))-(R_SN+(R_SN&lt;BQ1281)*(BQ1281-R_SN))))/60),0)</f>
        <v>0</v>
      </c>
      <c r="BT1281" s="80">
        <f>IF(AND(BE1281=1,D1281="proMX"),ROUND(BI1281*CFG_RATE+BJ1281*CFG_OTRATE,6),0)</f>
        <v>0</v>
      </c>
      <c r="BU1281" s="80">
        <f>IF(AND(BD1281=1,D1281="proMX"),ROUND(AG1281/CFG_BLK,6),0)</f>
        <v>0</v>
      </c>
      <c r="BV1281" s="80" t="str">
        <f>IF(BF1281="Approved",IF(ISNUMBER(T1281),INT(T1281),INT(B1281)),"")</f>
        <v/>
      </c>
      <c r="BW1281" s="80">
        <f>IF(ISNUMBER(B1281),IF(DB_MON="Todos",1,IF(AND(INT(B1281)&gt;=DB_MS,INT(B1281)&lt;=DB_ME),1,0)),0)</f>
        <v>0</v>
      </c>
      <c r="BX1281" s="80">
        <f>IF(DB_PROJ="Todos",1,IF(E1281&amp;""=DB_PROJ&amp;"",1,0))</f>
        <v>1</v>
      </c>
      <c r="BY1281" s="80">
        <f>BW1281*BX1281</f>
        <v>0</v>
      </c>
      <c r="BZ1281" s="80" t="str">
        <f>IF(Y1281=1,F1281&amp;IF(AND(F1281&amp;""&lt;&gt;"",E1281&amp;""&lt;&gt;"")," · ","")&amp;E1281,"")</f>
        <v/>
      </c>
      <c r="CA1281" s="80" t="str">
        <f>IF(AND(BD1281=1,E1281&amp;""&lt;&gt;""),IF(COUNTIFS($E$5:E1280,E1281,$BD$5:BD1280,1)=0,MAX($CA$5:CA1280)+1,""),"")</f>
        <v/>
      </c>
      <c r="CB1281" s="80" t="str">
        <f>IF(AND(BE1281=1,D1281="Malcolm",E1281&amp;""&lt;&gt;""),IF(COUNTIFS($D$5:D1280,"Malcolm",$E$5:E1280,E1281,$BE$5:BE1280,1)=0,MAX($CB$5:CB1280)+1,""),"")</f>
        <v/>
      </c>
      <c r="CC1281" s="80" t="str">
        <f>IF(AND(BD1281=1,D1281="proMX",E1281&amp;""&lt;&gt;""),IF(COUNTIFS($D$5:D1280,"proMX",$E$5:E1280,E1281,$BD$5:BD1280,1)=0,MAX($CC$5:CC1280)+1,""),"")</f>
        <v/>
      </c>
      <c r="CD1281" s="80" t="str">
        <f>IF(AND(BE1281=1,D1281="Malcolm",F1281&amp;""&lt;&gt;""),IF(COUNTIFS($D$5:D1280,"Malcolm",$F$5:F1280,F1281,$BE$5:BE1280,1)=0,MAX($CD$5:CD1280)+1,""),"")</f>
        <v/>
      </c>
      <c r="CE1281" s="80" t="str">
        <f>IF(AND(BD1281=1,D1281="proMX",F1281&amp;""&lt;&gt;""),IF(COUNTIFS($D$5:D1280,"proMX",$F$5:F1280,F1281,$BD$5:BD1280,1)=0,MAX($CE$5:CE1280)+1,""),"")</f>
        <v/>
      </c>
      <c r="CF1281" s="80" t="str">
        <f>IF(AND(D1281="proMX",BD1281=1),IF(OR(BF1281="Draft",BF1281="Submitted",BF1281="Returned",BF1281="Recall Requested"),MAX($CF$5:CF1280)+1,""),"")</f>
        <v/>
      </c>
      <c r="CG1281" s="80">
        <f>IF(BD1281=0,0,IF(D1281="Malcolm",1,MATCH(BF1281,{"Draft","Submitted","Approved","Returned","Recall Requested","Cancelled"},0)+1))</f>
        <v>0</v>
      </c>
      <c r="CH1281" s="80">
        <f>IF(AND(BF1281="Submitted",ISNUMBER(V1281)),IF(V1281&gt;CFG_MAXD,1,0),0)</f>
        <v>0</v>
      </c>
    </row>
    <row r="1282">
      <c r="A1282" s="71" t="str">
        <f>IF(Y1282=1,ROW()-5,"")</f>
        <v/>
      </c>
      <c r="B1282" s="72" t="n"/>
      <c r="C1282" s="71" t="str">
        <f>IF(ISNUMBER(B1282),CHOOSE(WEEKDAY(B1282,2),"Lun","Mar","Mié","Jue","Vie","Sáb","Dom"),"")</f>
        <v/>
      </c>
      <c r="D1282" s="73" t="n"/>
      <c r="E1282" s="74" t="n"/>
      <c r="F1282" s="74" t="n"/>
      <c r="G1282" s="74" t="n"/>
      <c r="H1282" s="75" t="n"/>
      <c r="I1282" s="75" t="n"/>
      <c r="J1282" s="76" t="n"/>
      <c r="K1282" s="77" t="str">
        <f>IF(AB1282=1,ROUND(AG1282/60,4),"")</f>
        <v/>
      </c>
      <c r="L1282" s="77" t="str">
        <f>IF(BD1282=1,ROUND(AP1282/60,4),"")</f>
        <v/>
      </c>
      <c r="M1282" s="77" t="str">
        <f>IF(BD1282=1,ROUND(AQ1282/60,4),"")</f>
        <v/>
      </c>
      <c r="N1282" s="71" t="str">
        <f>IF(AND(D1282="proMX",AB1282=1),ROUND(AG1282/CFG_BLK,2),"")</f>
        <v/>
      </c>
      <c r="O1282" s="77" t="str">
        <f>IF(D1282="proMX",IF(BD1282=1,ROUND(AG1282/60,4),0),"")</f>
        <v/>
      </c>
      <c r="P1282" s="78" t="str">
        <f>IF(Y1282=0,"",IF(BD1282=1,"OK",IF(D1282="proMX","Revisar bloques: ","Revisar: ")&amp;BC1282))</f>
        <v/>
      </c>
      <c r="Q1282" s="78" t="str">
        <f>IF(NOT(ISNUMBER(B1282)),"",IF(COUNTIFS(FER_F,INT(B1282))&gt;0,"Feriado"&amp;IF(AH1282=1," (laborable)"," (no laborable)"),IF(AH1282=1,"Laborable",IF(WEEKDAY(B1282,2)&gt;5,"Fin de semana","No laborable"))))</f>
        <v/>
      </c>
      <c r="R1282" s="73" t="n"/>
      <c r="S1282" s="72" t="n"/>
      <c r="T1282" s="72" t="n"/>
      <c r="U1282" s="74" t="n"/>
      <c r="V1282" s="79" t="str">
        <f>IF(AND(D1282="proMX",OR(R1282="Submitted",R1282="Recall Requested"),ISNUMBER(S1282)),CFG_TODAY-INT(S1282),"")</f>
        <v/>
      </c>
      <c r="W1282" s="78" t="str">
        <f>IF(BD1282=0,"",IF(BA1282&gt;0,"⚠ Se superpone con un registro de la otra empresa",IF(D1282="Malcolm",IF(COUNTA(R1282,S1282,T1282)&gt;0,"Estado/fechas proMX se ignoran en Malcolm",""),IF(BF1282="Cancelled","Cancelado: excluido de totales",IF(R1282="","Sin estado: se trata como Draft",IF(BF1282="Submitted",IF(ISNUMBER(V1282),IF(V1282&gt;CFG_MAXD,"⚠ "&amp;V1282&amp;" días en Submitted (máx. "&amp;CFG_MAXD&amp;")",""),"Falta fecha de envío"),IF(BF1282="Returned","⚠ Devuelto: corregir y reenviar",IF(BF1282="Recall Requested","Retirada solicitada: pendiente",IF(AND(BF1282="Approved",NOT(ISNUMBER(T1282))),"Falta fecha de aprobación",IF(AND(ISNUMBER(S1282),ISNUMBER(T1282),T1282&lt;S1282),"Aprobación anterior al envío","")))))))))</f>
        <v/>
      </c>
      <c r="Y1282" s="80">
        <f>IF(COUNTA(B1282,D1282,E1282,F1282,G1282,H1282,I1282,J1282,R1282,S1282,T1282)&gt;0,1,0)</f>
        <v>0</v>
      </c>
      <c r="Z1282" s="80" t="str">
        <f>IF(AND(ISNUMBER(H1282),H1282&gt;=0,H1282&lt;1),ROUND(H1282*1440,0),"")</f>
        <v/>
      </c>
      <c r="AA1282" s="80" t="str">
        <f>IF(AND(ISNUMBER(I1282),I1282&gt;=0,I1282&lt;1),ROUND(I1282*1440,0),"")</f>
        <v/>
      </c>
      <c r="AB1282" s="80">
        <f>IF(AND(ISNUMBER(B1282),D1282&lt;&gt;"",ISNUMBER(Z1282),ISNUMBER(AA1282)),IF(Z1282=AA1282,0,1),0)</f>
        <v>0</v>
      </c>
      <c r="AC1282" s="80">
        <f>IF(AB1282=1,IF(AA1282&lt;Z1282,1,0),0)</f>
        <v>0</v>
      </c>
      <c r="AD1282" s="80">
        <f>IF(AB1282=1,IF(AC1282=1,1440-Z1282+AA1282,AA1282-Z1282),0)</f>
        <v>0</v>
      </c>
      <c r="AE1282" s="80">
        <f>IF(J1282="",0,IF(ISNUMBER(J1282),J1282,-1))</f>
        <v>0</v>
      </c>
      <c r="AF1282" s="80">
        <f>MIN(MAX(0,AE1282),AD1282)</f>
        <v>0</v>
      </c>
      <c r="AG1282" s="80">
        <f>MAX(0,AD1282-MAX(0,AE1282))</f>
        <v>0</v>
      </c>
      <c r="AH1282" s="80">
        <f>IF(ISNUMBER(B1282),IF(AND(INDEX(CFG_WDAYS,WEEKDAY(INT(B1282),2))="Sí",IF(D1282="proMX",COUNTIFS(FER_F,INT(B1282),FER_NLP,"Sí"),COUNTIFS(FER_F,INT(B1282),FER_NLM,"Sí"))=0),1,0),0)</f>
        <v>0</v>
      </c>
      <c r="AI1282" s="80">
        <f>IF(AC1282=1,IF(AND(INDEX(CFG_WDAYS,WEEKDAY(INT(B1282)+1,2))="Sí",IF(D1282="proMX",COUNTIFS(FER_F,INT(B1282)+1,FER_NLP,"Sí"),COUNTIFS(FER_F,INT(B1282)+1,FER_NLM,"Sí"))=0),1,0),0)</f>
        <v>0</v>
      </c>
      <c r="AJ1282" s="80">
        <f>IF(AC1282=1,1440-Z1282,AD1282)</f>
        <v>0</v>
      </c>
      <c r="AK1282" s="80">
        <f>IF(AND(AB1282=1,AH1282=1),MAX(0,MIN(IF(AC1282=1,1440,AA1282),CFG_WEM)-MAX(Z1282,CFG_WSM)),0)</f>
        <v>0</v>
      </c>
      <c r="AL1282" s="80">
        <f>IF(AND(AC1282=1,AI1282=1),MAX(0,MIN(AA1282,CFG_WEM)-CFG_WSM),0)</f>
        <v>0</v>
      </c>
      <c r="AM1282" s="80">
        <f>AK1282+AL1282</f>
        <v>0</v>
      </c>
      <c r="AN1282" s="80">
        <f>IF(CFG_BRK="Proporcional",IF(AD1282=0,0,AF1282*AM1282/AD1282),IF(CFG_BRK="Extras primero",MIN(AM1282,MAX(0,AF1282-(AD1282-AM1282))),MIN(AF1282,AM1282)))</f>
        <v>0</v>
      </c>
      <c r="AO1282" s="80">
        <f>AF1282-AN1282</f>
        <v>0</v>
      </c>
      <c r="AP1282" s="80">
        <f>AM1282-AN1282</f>
        <v>0</v>
      </c>
      <c r="AQ1282" s="80">
        <f>AD1282-AM1282-AO1282</f>
        <v>0</v>
      </c>
      <c r="AR1282" s="80">
        <f>IF(AM1282=0,0,AK1282-AN1282*AK1282/AM1282)</f>
        <v>0</v>
      </c>
      <c r="AS1282" s="80">
        <f>IF(AD1282-AM1282=0,0,(AJ1282-AK1282)-AO1282*(AJ1282-AK1282)/(AD1282-AM1282))</f>
        <v>0</v>
      </c>
      <c r="AT1282" s="80" t="str">
        <f>IF(AC1282=1,INT(B1282)+1,"")</f>
        <v/>
      </c>
      <c r="AU1282" s="80">
        <f>IF(AND(D1282="proMX",R1282="Cancelled"),0,1)</f>
        <v>1</v>
      </c>
      <c r="AV1282" s="80">
        <f>IF(AND(AB1282=1,AU1282=1),IF(COUNTIFS($D$5:D1281,D1282,$B$5:B1281,B1282,$Z$5:Z1281,Z1282,$AA$5:AA1281,AA1282,$F$5:F1281,F1282&amp;"",$AU$5:AU1281,1)&gt;0,1,0),0)</f>
        <v>0</v>
      </c>
      <c r="AW1282" s="80" t="str">
        <f>IF(AB1282=1,INT(B1282)*1440+Z1282,"")</f>
        <v/>
      </c>
      <c r="AX1282" s="80" t="str">
        <f>IF(AB1282=1,AW1282+AD1282,"")</f>
        <v/>
      </c>
      <c r="AY1282" s="80">
        <f>IF(AND(AB1282=1,AV1282=0,AU1282=1),1,0)</f>
        <v>0</v>
      </c>
      <c r="AZ1282" s="80">
        <f>IF(AY1282=1,COUNTIFS(R_Emp,D1282,R_SAbs,"&lt;"&amp;AX1282,R_EAbs,"&gt;"&amp;AW1282,R_OKey,1)-1,0)</f>
        <v>0</v>
      </c>
      <c r="BA1282" s="80">
        <f>IF(AY1282=1,COUNTIFS(R_Emp,"&lt;&gt;"&amp;D1282,R_SAbs,"&lt;"&amp;AX1282,R_EAbs,"&gt;"&amp;AW1282,R_OKey,1),0)</f>
        <v>0</v>
      </c>
      <c r="BB1282" s="80">
        <f>IF(AND(AB1282=1,D1282="proMX"),IF(AND(MOD(Z1282,CFG_BLK)=0,MOD(AA1282,CFG_BLK)=0,MOD(AG1282,CFG_BLK)=0,AG1282&gt;0),1,0),1)</f>
        <v>1</v>
      </c>
      <c r="BC1282" s="80" t="str">
        <f>IF(Y1282=0,"",IF(NOT(ISNUMBER(B1282)),"Falta fecha o fecha inválida",IF(D1282="","Falta empresa",IF(AND(D1282&lt;&gt;"Malcolm",D1282&lt;&gt;"proMX"),"Empresa inválida",IF(OR(INT(B1282)&lt;CFG_PSTART,INT(B1282)&gt;CFG_PEND),"Fecha fuera del período",IF(OR(NOT(ISNUMBER(Z1282)),NOT(ISNUMBER(AA1282))),"Falta hora inicio/fin o formato inválido",IF(AB1282=0,"Hora inicio = hora fin",IF(AE1282&lt;0,"Descanso inválido",IF(AE1282&gt;=AD1282,"Descanso ≥ duración",IF(AV1282=1,"Registro duplicado",IF(AZ1282&gt;0,"Se superpone con otro registro "&amp;D1282,IF(BB1282=0,"inicio, fin y duración neta deben ser múltiplos de "&amp;CFG_BLK&amp;" min",""))))))))))))</f>
        <v/>
      </c>
      <c r="BD1282" s="80">
        <f>IF(AND(Y1282=1,BC1282=""),1,0)</f>
        <v>0</v>
      </c>
      <c r="BE1282" s="80">
        <f>IF(AND(BD1282=1,AU1282=1),1,0)</f>
        <v>0</v>
      </c>
      <c r="BF1282" s="80" t="str">
        <f>IF(AND(D1282="proMX",BD1282=1),IF(R1282="","Draft",R1282),"")</f>
        <v/>
      </c>
      <c r="BG1282" s="80">
        <f>IF(BD1282=1,ROUND(AG1282/60,6),0)</f>
        <v>0</v>
      </c>
      <c r="BH1282" s="80">
        <f>IF(BE1282=1,ROUND(AG1282/60,6),0)</f>
        <v>0</v>
      </c>
      <c r="BI1282" s="80">
        <f>IF(BE1282=1,ROUND(AP1282/60,6),0)</f>
        <v>0</v>
      </c>
      <c r="BJ1282" s="80">
        <f>IF(BE1282=1,ROUND(AQ1282/60,6),0)</f>
        <v>0</v>
      </c>
      <c r="BK1282" s="80">
        <f>IF(BE1282=1,ROUND((AR1282+AS1282)/60,6),0)</f>
        <v>0</v>
      </c>
      <c r="BL1282" s="80">
        <f>ROUND(BH1282-BK1282,6)</f>
        <v>0</v>
      </c>
      <c r="BM1282" s="80">
        <f>IF(BE1282=1,ROUND(AR1282/60,6),0)</f>
        <v>0</v>
      </c>
      <c r="BN1282" s="80">
        <f>ROUND(BI1282-BM1282,6)</f>
        <v>0</v>
      </c>
      <c r="BO1282" s="80">
        <f>IF(BE1282=1,ROUND(AS1282/60,6),0)</f>
        <v>0</v>
      </c>
      <c r="BP1282" s="80">
        <f>ROUND(BJ1282-BO1282,6)</f>
        <v>0</v>
      </c>
      <c r="BQ1282" s="80">
        <f>IF(BE1282=1,AW1282,0)</f>
        <v>0</v>
      </c>
      <c r="BR1282" s="80">
        <f>IF(BE1282=1,AX1282,0)</f>
        <v>0</v>
      </c>
      <c r="BS1282" s="80">
        <f>IF(AND(BE1282=1,D1282="Malcolm",BA1282&gt;0),MIN(BH1282,SUMPRODUCT((R_Emp="proMX")*(R_EN&gt;0)*((R_EN-(R_EN&gt;BR1282)*(R_EN-BR1282))&gt;(R_SN+(R_SN&lt;BQ1282)*(BQ1282-R_SN)))*((R_EN-(R_EN&gt;BR1282)*(R_EN-BR1282))-(R_SN+(R_SN&lt;BQ1282)*(BQ1282-R_SN))))/60),0)</f>
        <v>0</v>
      </c>
      <c r="BT1282" s="80">
        <f>IF(AND(BE1282=1,D1282="proMX"),ROUND(BI1282*CFG_RATE+BJ1282*CFG_OTRATE,6),0)</f>
        <v>0</v>
      </c>
      <c r="BU1282" s="80">
        <f>IF(AND(BD1282=1,D1282="proMX"),ROUND(AG1282/CFG_BLK,6),0)</f>
        <v>0</v>
      </c>
      <c r="BV1282" s="80" t="str">
        <f>IF(BF1282="Approved",IF(ISNUMBER(T1282),INT(T1282),INT(B1282)),"")</f>
        <v/>
      </c>
      <c r="BW1282" s="80">
        <f>IF(ISNUMBER(B1282),IF(DB_MON="Todos",1,IF(AND(INT(B1282)&gt;=DB_MS,INT(B1282)&lt;=DB_ME),1,0)),0)</f>
        <v>0</v>
      </c>
      <c r="BX1282" s="80">
        <f>IF(DB_PROJ="Todos",1,IF(E1282&amp;""=DB_PROJ&amp;"",1,0))</f>
        <v>1</v>
      </c>
      <c r="BY1282" s="80">
        <f>BW1282*BX1282</f>
        <v>0</v>
      </c>
      <c r="BZ1282" s="80" t="str">
        <f>IF(Y1282=1,F1282&amp;IF(AND(F1282&amp;""&lt;&gt;"",E1282&amp;""&lt;&gt;"")," · ","")&amp;E1282,"")</f>
        <v/>
      </c>
      <c r="CA1282" s="80" t="str">
        <f>IF(AND(BD1282=1,E1282&amp;""&lt;&gt;""),IF(COUNTIFS($E$5:E1281,E1282,$BD$5:BD1281,1)=0,MAX($CA$5:CA1281)+1,""),"")</f>
        <v/>
      </c>
      <c r="CB1282" s="80" t="str">
        <f>IF(AND(BE1282=1,D1282="Malcolm",E1282&amp;""&lt;&gt;""),IF(COUNTIFS($D$5:D1281,"Malcolm",$E$5:E1281,E1282,$BE$5:BE1281,1)=0,MAX($CB$5:CB1281)+1,""),"")</f>
        <v/>
      </c>
      <c r="CC1282" s="80" t="str">
        <f>IF(AND(BD1282=1,D1282="proMX",E1282&amp;""&lt;&gt;""),IF(COUNTIFS($D$5:D1281,"proMX",$E$5:E1281,E1282,$BD$5:BD1281,1)=0,MAX($CC$5:CC1281)+1,""),"")</f>
        <v/>
      </c>
      <c r="CD1282" s="80" t="str">
        <f>IF(AND(BE1282=1,D1282="Malcolm",F1282&amp;""&lt;&gt;""),IF(COUNTIFS($D$5:D1281,"Malcolm",$F$5:F1281,F1282,$BE$5:BE1281,1)=0,MAX($CD$5:CD1281)+1,""),"")</f>
        <v/>
      </c>
      <c r="CE1282" s="80" t="str">
        <f>IF(AND(BD1282=1,D1282="proMX",F1282&amp;""&lt;&gt;""),IF(COUNTIFS($D$5:D1281,"proMX",$F$5:F1281,F1282,$BD$5:BD1281,1)=0,MAX($CE$5:CE1281)+1,""),"")</f>
        <v/>
      </c>
      <c r="CF1282" s="80" t="str">
        <f>IF(AND(D1282="proMX",BD1282=1),IF(OR(BF1282="Draft",BF1282="Submitted",BF1282="Returned",BF1282="Recall Requested"),MAX($CF$5:CF1281)+1,""),"")</f>
        <v/>
      </c>
      <c r="CG1282" s="80">
        <f>IF(BD1282=0,0,IF(D1282="Malcolm",1,MATCH(BF1282,{"Draft","Submitted","Approved","Returned","Recall Requested","Cancelled"},0)+1))</f>
        <v>0</v>
      </c>
      <c r="CH1282" s="80">
        <f>IF(AND(BF1282="Submitted",ISNUMBER(V1282)),IF(V1282&gt;CFG_MAXD,1,0),0)</f>
        <v>0</v>
      </c>
    </row>
    <row r="1283">
      <c r="A1283" s="71" t="str">
        <f>IF(Y1283=1,ROW()-5,"")</f>
        <v/>
      </c>
      <c r="B1283" s="72" t="n"/>
      <c r="C1283" s="71" t="str">
        <f>IF(ISNUMBER(B1283),CHOOSE(WEEKDAY(B1283,2),"Lun","Mar","Mié","Jue","Vie","Sáb","Dom"),"")</f>
        <v/>
      </c>
      <c r="D1283" s="73" t="n"/>
      <c r="E1283" s="74" t="n"/>
      <c r="F1283" s="74" t="n"/>
      <c r="G1283" s="74" t="n"/>
      <c r="H1283" s="75" t="n"/>
      <c r="I1283" s="75" t="n"/>
      <c r="J1283" s="76" t="n"/>
      <c r="K1283" s="77" t="str">
        <f>IF(AB1283=1,ROUND(AG1283/60,4),"")</f>
        <v/>
      </c>
      <c r="L1283" s="77" t="str">
        <f>IF(BD1283=1,ROUND(AP1283/60,4),"")</f>
        <v/>
      </c>
      <c r="M1283" s="77" t="str">
        <f>IF(BD1283=1,ROUND(AQ1283/60,4),"")</f>
        <v/>
      </c>
      <c r="N1283" s="71" t="str">
        <f>IF(AND(D1283="proMX",AB1283=1),ROUND(AG1283/CFG_BLK,2),"")</f>
        <v/>
      </c>
      <c r="O1283" s="77" t="str">
        <f>IF(D1283="proMX",IF(BD1283=1,ROUND(AG1283/60,4),0),"")</f>
        <v/>
      </c>
      <c r="P1283" s="78" t="str">
        <f>IF(Y1283=0,"",IF(BD1283=1,"OK",IF(D1283="proMX","Revisar bloques: ","Revisar: ")&amp;BC1283))</f>
        <v/>
      </c>
      <c r="Q1283" s="78" t="str">
        <f>IF(NOT(ISNUMBER(B1283)),"",IF(COUNTIFS(FER_F,INT(B1283))&gt;0,"Feriado"&amp;IF(AH1283=1," (laborable)"," (no laborable)"),IF(AH1283=1,"Laborable",IF(WEEKDAY(B1283,2)&gt;5,"Fin de semana","No laborable"))))</f>
        <v/>
      </c>
      <c r="R1283" s="73" t="n"/>
      <c r="S1283" s="72" t="n"/>
      <c r="T1283" s="72" t="n"/>
      <c r="U1283" s="74" t="n"/>
      <c r="V1283" s="79" t="str">
        <f>IF(AND(D1283="proMX",OR(R1283="Submitted",R1283="Recall Requested"),ISNUMBER(S1283)),CFG_TODAY-INT(S1283),"")</f>
        <v/>
      </c>
      <c r="W1283" s="78" t="str">
        <f>IF(BD1283=0,"",IF(BA1283&gt;0,"⚠ Se superpone con un registro de la otra empresa",IF(D1283="Malcolm",IF(COUNTA(R1283,S1283,T1283)&gt;0,"Estado/fechas proMX se ignoran en Malcolm",""),IF(BF1283="Cancelled","Cancelado: excluido de totales",IF(R1283="","Sin estado: se trata como Draft",IF(BF1283="Submitted",IF(ISNUMBER(V1283),IF(V1283&gt;CFG_MAXD,"⚠ "&amp;V1283&amp;" días en Submitted (máx. "&amp;CFG_MAXD&amp;")",""),"Falta fecha de envío"),IF(BF1283="Returned","⚠ Devuelto: corregir y reenviar",IF(BF1283="Recall Requested","Retirada solicitada: pendiente",IF(AND(BF1283="Approved",NOT(ISNUMBER(T1283))),"Falta fecha de aprobación",IF(AND(ISNUMBER(S1283),ISNUMBER(T1283),T1283&lt;S1283),"Aprobación anterior al envío","")))))))))</f>
        <v/>
      </c>
      <c r="Y1283" s="80">
        <f>IF(COUNTA(B1283,D1283,E1283,F1283,G1283,H1283,I1283,J1283,R1283,S1283,T1283)&gt;0,1,0)</f>
        <v>0</v>
      </c>
      <c r="Z1283" s="80" t="str">
        <f>IF(AND(ISNUMBER(H1283),H1283&gt;=0,H1283&lt;1),ROUND(H1283*1440,0),"")</f>
        <v/>
      </c>
      <c r="AA1283" s="80" t="str">
        <f>IF(AND(ISNUMBER(I1283),I1283&gt;=0,I1283&lt;1),ROUND(I1283*1440,0),"")</f>
        <v/>
      </c>
      <c r="AB1283" s="80">
        <f>IF(AND(ISNUMBER(B1283),D1283&lt;&gt;"",ISNUMBER(Z1283),ISNUMBER(AA1283)),IF(Z1283=AA1283,0,1),0)</f>
        <v>0</v>
      </c>
      <c r="AC1283" s="80">
        <f>IF(AB1283=1,IF(AA1283&lt;Z1283,1,0),0)</f>
        <v>0</v>
      </c>
      <c r="AD1283" s="80">
        <f>IF(AB1283=1,IF(AC1283=1,1440-Z1283+AA1283,AA1283-Z1283),0)</f>
        <v>0</v>
      </c>
      <c r="AE1283" s="80">
        <f>IF(J1283="",0,IF(ISNUMBER(J1283),J1283,-1))</f>
        <v>0</v>
      </c>
      <c r="AF1283" s="80">
        <f>MIN(MAX(0,AE1283),AD1283)</f>
        <v>0</v>
      </c>
      <c r="AG1283" s="80">
        <f>MAX(0,AD1283-MAX(0,AE1283))</f>
        <v>0</v>
      </c>
      <c r="AH1283" s="80">
        <f>IF(ISNUMBER(B1283),IF(AND(INDEX(CFG_WDAYS,WEEKDAY(INT(B1283),2))="Sí",IF(D1283="proMX",COUNTIFS(FER_F,INT(B1283),FER_NLP,"Sí"),COUNTIFS(FER_F,INT(B1283),FER_NLM,"Sí"))=0),1,0),0)</f>
        <v>0</v>
      </c>
      <c r="AI1283" s="80">
        <f>IF(AC1283=1,IF(AND(INDEX(CFG_WDAYS,WEEKDAY(INT(B1283)+1,2))="Sí",IF(D1283="proMX",COUNTIFS(FER_F,INT(B1283)+1,FER_NLP,"Sí"),COUNTIFS(FER_F,INT(B1283)+1,FER_NLM,"Sí"))=0),1,0),0)</f>
        <v>0</v>
      </c>
      <c r="AJ1283" s="80">
        <f>IF(AC1283=1,1440-Z1283,AD1283)</f>
        <v>0</v>
      </c>
      <c r="AK1283" s="80">
        <f>IF(AND(AB1283=1,AH1283=1),MAX(0,MIN(IF(AC1283=1,1440,AA1283),CFG_WEM)-MAX(Z1283,CFG_WSM)),0)</f>
        <v>0</v>
      </c>
      <c r="AL1283" s="80">
        <f>IF(AND(AC1283=1,AI1283=1),MAX(0,MIN(AA1283,CFG_WEM)-CFG_WSM),0)</f>
        <v>0</v>
      </c>
      <c r="AM1283" s="80">
        <f>AK1283+AL1283</f>
        <v>0</v>
      </c>
      <c r="AN1283" s="80">
        <f>IF(CFG_BRK="Proporcional",IF(AD1283=0,0,AF1283*AM1283/AD1283),IF(CFG_BRK="Extras primero",MIN(AM1283,MAX(0,AF1283-(AD1283-AM1283))),MIN(AF1283,AM1283)))</f>
        <v>0</v>
      </c>
      <c r="AO1283" s="80">
        <f>AF1283-AN1283</f>
        <v>0</v>
      </c>
      <c r="AP1283" s="80">
        <f>AM1283-AN1283</f>
        <v>0</v>
      </c>
      <c r="AQ1283" s="80">
        <f>AD1283-AM1283-AO1283</f>
        <v>0</v>
      </c>
      <c r="AR1283" s="80">
        <f>IF(AM1283=0,0,AK1283-AN1283*AK1283/AM1283)</f>
        <v>0</v>
      </c>
      <c r="AS1283" s="80">
        <f>IF(AD1283-AM1283=0,0,(AJ1283-AK1283)-AO1283*(AJ1283-AK1283)/(AD1283-AM1283))</f>
        <v>0</v>
      </c>
      <c r="AT1283" s="80" t="str">
        <f>IF(AC1283=1,INT(B1283)+1,"")</f>
        <v/>
      </c>
      <c r="AU1283" s="80">
        <f>IF(AND(D1283="proMX",R1283="Cancelled"),0,1)</f>
        <v>1</v>
      </c>
      <c r="AV1283" s="80">
        <f>IF(AND(AB1283=1,AU1283=1),IF(COUNTIFS($D$5:D1282,D1283,$B$5:B1282,B1283,$Z$5:Z1282,Z1283,$AA$5:AA1282,AA1283,$F$5:F1282,F1283&amp;"",$AU$5:AU1282,1)&gt;0,1,0),0)</f>
        <v>0</v>
      </c>
      <c r="AW1283" s="80" t="str">
        <f>IF(AB1283=1,INT(B1283)*1440+Z1283,"")</f>
        <v/>
      </c>
      <c r="AX1283" s="80" t="str">
        <f>IF(AB1283=1,AW1283+AD1283,"")</f>
        <v/>
      </c>
      <c r="AY1283" s="80">
        <f>IF(AND(AB1283=1,AV1283=0,AU1283=1),1,0)</f>
        <v>0</v>
      </c>
      <c r="AZ1283" s="80">
        <f>IF(AY1283=1,COUNTIFS(R_Emp,D1283,R_SAbs,"&lt;"&amp;AX1283,R_EAbs,"&gt;"&amp;AW1283,R_OKey,1)-1,0)</f>
        <v>0</v>
      </c>
      <c r="BA1283" s="80">
        <f>IF(AY1283=1,COUNTIFS(R_Emp,"&lt;&gt;"&amp;D1283,R_SAbs,"&lt;"&amp;AX1283,R_EAbs,"&gt;"&amp;AW1283,R_OKey,1),0)</f>
        <v>0</v>
      </c>
      <c r="BB1283" s="80">
        <f>IF(AND(AB1283=1,D1283="proMX"),IF(AND(MOD(Z1283,CFG_BLK)=0,MOD(AA1283,CFG_BLK)=0,MOD(AG1283,CFG_BLK)=0,AG1283&gt;0),1,0),1)</f>
        <v>1</v>
      </c>
      <c r="BC1283" s="80" t="str">
        <f>IF(Y1283=0,"",IF(NOT(ISNUMBER(B1283)),"Falta fecha o fecha inválida",IF(D1283="","Falta empresa",IF(AND(D1283&lt;&gt;"Malcolm",D1283&lt;&gt;"proMX"),"Empresa inválida",IF(OR(INT(B1283)&lt;CFG_PSTART,INT(B1283)&gt;CFG_PEND),"Fecha fuera del período",IF(OR(NOT(ISNUMBER(Z1283)),NOT(ISNUMBER(AA1283))),"Falta hora inicio/fin o formato inválido",IF(AB1283=0,"Hora inicio = hora fin",IF(AE1283&lt;0,"Descanso inválido",IF(AE1283&gt;=AD1283,"Descanso ≥ duración",IF(AV1283=1,"Registro duplicado",IF(AZ1283&gt;0,"Se superpone con otro registro "&amp;D1283,IF(BB1283=0,"inicio, fin y duración neta deben ser múltiplos de "&amp;CFG_BLK&amp;" min",""))))))))))))</f>
        <v/>
      </c>
      <c r="BD1283" s="80">
        <f>IF(AND(Y1283=1,BC1283=""),1,0)</f>
        <v>0</v>
      </c>
      <c r="BE1283" s="80">
        <f>IF(AND(BD1283=1,AU1283=1),1,0)</f>
        <v>0</v>
      </c>
      <c r="BF1283" s="80" t="str">
        <f>IF(AND(D1283="proMX",BD1283=1),IF(R1283="","Draft",R1283),"")</f>
        <v/>
      </c>
      <c r="BG1283" s="80">
        <f>IF(BD1283=1,ROUND(AG1283/60,6),0)</f>
        <v>0</v>
      </c>
      <c r="BH1283" s="80">
        <f>IF(BE1283=1,ROUND(AG1283/60,6),0)</f>
        <v>0</v>
      </c>
      <c r="BI1283" s="80">
        <f>IF(BE1283=1,ROUND(AP1283/60,6),0)</f>
        <v>0</v>
      </c>
      <c r="BJ1283" s="80">
        <f>IF(BE1283=1,ROUND(AQ1283/60,6),0)</f>
        <v>0</v>
      </c>
      <c r="BK1283" s="80">
        <f>IF(BE1283=1,ROUND((AR1283+AS1283)/60,6),0)</f>
        <v>0</v>
      </c>
      <c r="BL1283" s="80">
        <f>ROUND(BH1283-BK1283,6)</f>
        <v>0</v>
      </c>
      <c r="BM1283" s="80">
        <f>IF(BE1283=1,ROUND(AR1283/60,6),0)</f>
        <v>0</v>
      </c>
      <c r="BN1283" s="80">
        <f>ROUND(BI1283-BM1283,6)</f>
        <v>0</v>
      </c>
      <c r="BO1283" s="80">
        <f>IF(BE1283=1,ROUND(AS1283/60,6),0)</f>
        <v>0</v>
      </c>
      <c r="BP1283" s="80">
        <f>ROUND(BJ1283-BO1283,6)</f>
        <v>0</v>
      </c>
      <c r="BQ1283" s="80">
        <f>IF(BE1283=1,AW1283,0)</f>
        <v>0</v>
      </c>
      <c r="BR1283" s="80">
        <f>IF(BE1283=1,AX1283,0)</f>
        <v>0</v>
      </c>
      <c r="BS1283" s="80">
        <f>IF(AND(BE1283=1,D1283="Malcolm",BA1283&gt;0),MIN(BH1283,SUMPRODUCT((R_Emp="proMX")*(R_EN&gt;0)*((R_EN-(R_EN&gt;BR1283)*(R_EN-BR1283))&gt;(R_SN+(R_SN&lt;BQ1283)*(BQ1283-R_SN)))*((R_EN-(R_EN&gt;BR1283)*(R_EN-BR1283))-(R_SN+(R_SN&lt;BQ1283)*(BQ1283-R_SN))))/60),0)</f>
        <v>0</v>
      </c>
      <c r="BT1283" s="80">
        <f>IF(AND(BE1283=1,D1283="proMX"),ROUND(BI1283*CFG_RATE+BJ1283*CFG_OTRATE,6),0)</f>
        <v>0</v>
      </c>
      <c r="BU1283" s="80">
        <f>IF(AND(BD1283=1,D1283="proMX"),ROUND(AG1283/CFG_BLK,6),0)</f>
        <v>0</v>
      </c>
      <c r="BV1283" s="80" t="str">
        <f>IF(BF1283="Approved",IF(ISNUMBER(T1283),INT(T1283),INT(B1283)),"")</f>
        <v/>
      </c>
      <c r="BW1283" s="80">
        <f>IF(ISNUMBER(B1283),IF(DB_MON="Todos",1,IF(AND(INT(B1283)&gt;=DB_MS,INT(B1283)&lt;=DB_ME),1,0)),0)</f>
        <v>0</v>
      </c>
      <c r="BX1283" s="80">
        <f>IF(DB_PROJ="Todos",1,IF(E1283&amp;""=DB_PROJ&amp;"",1,0))</f>
        <v>1</v>
      </c>
      <c r="BY1283" s="80">
        <f>BW1283*BX1283</f>
        <v>0</v>
      </c>
      <c r="BZ1283" s="80" t="str">
        <f>IF(Y1283=1,F1283&amp;IF(AND(F1283&amp;""&lt;&gt;"",E1283&amp;""&lt;&gt;"")," · ","")&amp;E1283,"")</f>
        <v/>
      </c>
      <c r="CA1283" s="80" t="str">
        <f>IF(AND(BD1283=1,E1283&amp;""&lt;&gt;""),IF(COUNTIFS($E$5:E1282,E1283,$BD$5:BD1282,1)=0,MAX($CA$5:CA1282)+1,""),"")</f>
        <v/>
      </c>
      <c r="CB1283" s="80" t="str">
        <f>IF(AND(BE1283=1,D1283="Malcolm",E1283&amp;""&lt;&gt;""),IF(COUNTIFS($D$5:D1282,"Malcolm",$E$5:E1282,E1283,$BE$5:BE1282,1)=0,MAX($CB$5:CB1282)+1,""),"")</f>
        <v/>
      </c>
      <c r="CC1283" s="80" t="str">
        <f>IF(AND(BD1283=1,D1283="proMX",E1283&amp;""&lt;&gt;""),IF(COUNTIFS($D$5:D1282,"proMX",$E$5:E1282,E1283,$BD$5:BD1282,1)=0,MAX($CC$5:CC1282)+1,""),"")</f>
        <v/>
      </c>
      <c r="CD1283" s="80" t="str">
        <f>IF(AND(BE1283=1,D1283="Malcolm",F1283&amp;""&lt;&gt;""),IF(COUNTIFS($D$5:D1282,"Malcolm",$F$5:F1282,F1283,$BE$5:BE1282,1)=0,MAX($CD$5:CD1282)+1,""),"")</f>
        <v/>
      </c>
      <c r="CE1283" s="80" t="str">
        <f>IF(AND(BD1283=1,D1283="proMX",F1283&amp;""&lt;&gt;""),IF(COUNTIFS($D$5:D1282,"proMX",$F$5:F1282,F1283,$BD$5:BD1282,1)=0,MAX($CE$5:CE1282)+1,""),"")</f>
        <v/>
      </c>
      <c r="CF1283" s="80" t="str">
        <f>IF(AND(D1283="proMX",BD1283=1),IF(OR(BF1283="Draft",BF1283="Submitted",BF1283="Returned",BF1283="Recall Requested"),MAX($CF$5:CF1282)+1,""),"")</f>
        <v/>
      </c>
      <c r="CG1283" s="80">
        <f>IF(BD1283=0,0,IF(D1283="Malcolm",1,MATCH(BF1283,{"Draft","Submitted","Approved","Returned","Recall Requested","Cancelled"},0)+1))</f>
        <v>0</v>
      </c>
      <c r="CH1283" s="80">
        <f>IF(AND(BF1283="Submitted",ISNUMBER(V1283)),IF(V1283&gt;CFG_MAXD,1,0),0)</f>
        <v>0</v>
      </c>
    </row>
    <row r="1284">
      <c r="A1284" s="71" t="str">
        <f>IF(Y1284=1,ROW()-5,"")</f>
        <v/>
      </c>
      <c r="B1284" s="72" t="n"/>
      <c r="C1284" s="71" t="str">
        <f>IF(ISNUMBER(B1284),CHOOSE(WEEKDAY(B1284,2),"Lun","Mar","Mié","Jue","Vie","Sáb","Dom"),"")</f>
        <v/>
      </c>
      <c r="D1284" s="73" t="n"/>
      <c r="E1284" s="74" t="n"/>
      <c r="F1284" s="74" t="n"/>
      <c r="G1284" s="74" t="n"/>
      <c r="H1284" s="75" t="n"/>
      <c r="I1284" s="75" t="n"/>
      <c r="J1284" s="76" t="n"/>
      <c r="K1284" s="77" t="str">
        <f>IF(AB1284=1,ROUND(AG1284/60,4),"")</f>
        <v/>
      </c>
      <c r="L1284" s="77" t="str">
        <f>IF(BD1284=1,ROUND(AP1284/60,4),"")</f>
        <v/>
      </c>
      <c r="M1284" s="77" t="str">
        <f>IF(BD1284=1,ROUND(AQ1284/60,4),"")</f>
        <v/>
      </c>
      <c r="N1284" s="71" t="str">
        <f>IF(AND(D1284="proMX",AB1284=1),ROUND(AG1284/CFG_BLK,2),"")</f>
        <v/>
      </c>
      <c r="O1284" s="77" t="str">
        <f>IF(D1284="proMX",IF(BD1284=1,ROUND(AG1284/60,4),0),"")</f>
        <v/>
      </c>
      <c r="P1284" s="78" t="str">
        <f>IF(Y1284=0,"",IF(BD1284=1,"OK",IF(D1284="proMX","Revisar bloques: ","Revisar: ")&amp;BC1284))</f>
        <v/>
      </c>
      <c r="Q1284" s="78" t="str">
        <f>IF(NOT(ISNUMBER(B1284)),"",IF(COUNTIFS(FER_F,INT(B1284))&gt;0,"Feriado"&amp;IF(AH1284=1," (laborable)"," (no laborable)"),IF(AH1284=1,"Laborable",IF(WEEKDAY(B1284,2)&gt;5,"Fin de semana","No laborable"))))</f>
        <v/>
      </c>
      <c r="R1284" s="73" t="n"/>
      <c r="S1284" s="72" t="n"/>
      <c r="T1284" s="72" t="n"/>
      <c r="U1284" s="74" t="n"/>
      <c r="V1284" s="79" t="str">
        <f>IF(AND(D1284="proMX",OR(R1284="Submitted",R1284="Recall Requested"),ISNUMBER(S1284)),CFG_TODAY-INT(S1284),"")</f>
        <v/>
      </c>
      <c r="W1284" s="78" t="str">
        <f>IF(BD1284=0,"",IF(BA1284&gt;0,"⚠ Se superpone con un registro de la otra empresa",IF(D1284="Malcolm",IF(COUNTA(R1284,S1284,T1284)&gt;0,"Estado/fechas proMX se ignoran en Malcolm",""),IF(BF1284="Cancelled","Cancelado: excluido de totales",IF(R1284="","Sin estado: se trata como Draft",IF(BF1284="Submitted",IF(ISNUMBER(V1284),IF(V1284&gt;CFG_MAXD,"⚠ "&amp;V1284&amp;" días en Submitted (máx. "&amp;CFG_MAXD&amp;")",""),"Falta fecha de envío"),IF(BF1284="Returned","⚠ Devuelto: corregir y reenviar",IF(BF1284="Recall Requested","Retirada solicitada: pendiente",IF(AND(BF1284="Approved",NOT(ISNUMBER(T1284))),"Falta fecha de aprobación",IF(AND(ISNUMBER(S1284),ISNUMBER(T1284),T1284&lt;S1284),"Aprobación anterior al envío","")))))))))</f>
        <v/>
      </c>
      <c r="Y1284" s="80">
        <f>IF(COUNTA(B1284,D1284,E1284,F1284,G1284,H1284,I1284,J1284,R1284,S1284,T1284)&gt;0,1,0)</f>
        <v>0</v>
      </c>
      <c r="Z1284" s="80" t="str">
        <f>IF(AND(ISNUMBER(H1284),H1284&gt;=0,H1284&lt;1),ROUND(H1284*1440,0),"")</f>
        <v/>
      </c>
      <c r="AA1284" s="80" t="str">
        <f>IF(AND(ISNUMBER(I1284),I1284&gt;=0,I1284&lt;1),ROUND(I1284*1440,0),"")</f>
        <v/>
      </c>
      <c r="AB1284" s="80">
        <f>IF(AND(ISNUMBER(B1284),D1284&lt;&gt;"",ISNUMBER(Z1284),ISNUMBER(AA1284)),IF(Z1284=AA1284,0,1),0)</f>
        <v>0</v>
      </c>
      <c r="AC1284" s="80">
        <f>IF(AB1284=1,IF(AA1284&lt;Z1284,1,0),0)</f>
        <v>0</v>
      </c>
      <c r="AD1284" s="80">
        <f>IF(AB1284=1,IF(AC1284=1,1440-Z1284+AA1284,AA1284-Z1284),0)</f>
        <v>0</v>
      </c>
      <c r="AE1284" s="80">
        <f>IF(J1284="",0,IF(ISNUMBER(J1284),J1284,-1))</f>
        <v>0</v>
      </c>
      <c r="AF1284" s="80">
        <f>MIN(MAX(0,AE1284),AD1284)</f>
        <v>0</v>
      </c>
      <c r="AG1284" s="80">
        <f>MAX(0,AD1284-MAX(0,AE1284))</f>
        <v>0</v>
      </c>
      <c r="AH1284" s="80">
        <f>IF(ISNUMBER(B1284),IF(AND(INDEX(CFG_WDAYS,WEEKDAY(INT(B1284),2))="Sí",IF(D1284="proMX",COUNTIFS(FER_F,INT(B1284),FER_NLP,"Sí"),COUNTIFS(FER_F,INT(B1284),FER_NLM,"Sí"))=0),1,0),0)</f>
        <v>0</v>
      </c>
      <c r="AI1284" s="80">
        <f>IF(AC1284=1,IF(AND(INDEX(CFG_WDAYS,WEEKDAY(INT(B1284)+1,2))="Sí",IF(D1284="proMX",COUNTIFS(FER_F,INT(B1284)+1,FER_NLP,"Sí"),COUNTIFS(FER_F,INT(B1284)+1,FER_NLM,"Sí"))=0),1,0),0)</f>
        <v>0</v>
      </c>
      <c r="AJ1284" s="80">
        <f>IF(AC1284=1,1440-Z1284,AD1284)</f>
        <v>0</v>
      </c>
      <c r="AK1284" s="80">
        <f>IF(AND(AB1284=1,AH1284=1),MAX(0,MIN(IF(AC1284=1,1440,AA1284),CFG_WEM)-MAX(Z1284,CFG_WSM)),0)</f>
        <v>0</v>
      </c>
      <c r="AL1284" s="80">
        <f>IF(AND(AC1284=1,AI1284=1),MAX(0,MIN(AA1284,CFG_WEM)-CFG_WSM),0)</f>
        <v>0</v>
      </c>
      <c r="AM1284" s="80">
        <f>AK1284+AL1284</f>
        <v>0</v>
      </c>
      <c r="AN1284" s="80">
        <f>IF(CFG_BRK="Proporcional",IF(AD1284=0,0,AF1284*AM1284/AD1284),IF(CFG_BRK="Extras primero",MIN(AM1284,MAX(0,AF1284-(AD1284-AM1284))),MIN(AF1284,AM1284)))</f>
        <v>0</v>
      </c>
      <c r="AO1284" s="80">
        <f>AF1284-AN1284</f>
        <v>0</v>
      </c>
      <c r="AP1284" s="80">
        <f>AM1284-AN1284</f>
        <v>0</v>
      </c>
      <c r="AQ1284" s="80">
        <f>AD1284-AM1284-AO1284</f>
        <v>0</v>
      </c>
      <c r="AR1284" s="80">
        <f>IF(AM1284=0,0,AK1284-AN1284*AK1284/AM1284)</f>
        <v>0</v>
      </c>
      <c r="AS1284" s="80">
        <f>IF(AD1284-AM1284=0,0,(AJ1284-AK1284)-AO1284*(AJ1284-AK1284)/(AD1284-AM1284))</f>
        <v>0</v>
      </c>
      <c r="AT1284" s="80" t="str">
        <f>IF(AC1284=1,INT(B1284)+1,"")</f>
        <v/>
      </c>
      <c r="AU1284" s="80">
        <f>IF(AND(D1284="proMX",R1284="Cancelled"),0,1)</f>
        <v>1</v>
      </c>
      <c r="AV1284" s="80">
        <f>IF(AND(AB1284=1,AU1284=1),IF(COUNTIFS($D$5:D1283,D1284,$B$5:B1283,B1284,$Z$5:Z1283,Z1284,$AA$5:AA1283,AA1284,$F$5:F1283,F1284&amp;"",$AU$5:AU1283,1)&gt;0,1,0),0)</f>
        <v>0</v>
      </c>
      <c r="AW1284" s="80" t="str">
        <f>IF(AB1284=1,INT(B1284)*1440+Z1284,"")</f>
        <v/>
      </c>
      <c r="AX1284" s="80" t="str">
        <f>IF(AB1284=1,AW1284+AD1284,"")</f>
        <v/>
      </c>
      <c r="AY1284" s="80">
        <f>IF(AND(AB1284=1,AV1284=0,AU1284=1),1,0)</f>
        <v>0</v>
      </c>
      <c r="AZ1284" s="80">
        <f>IF(AY1284=1,COUNTIFS(R_Emp,D1284,R_SAbs,"&lt;"&amp;AX1284,R_EAbs,"&gt;"&amp;AW1284,R_OKey,1)-1,0)</f>
        <v>0</v>
      </c>
      <c r="BA1284" s="80">
        <f>IF(AY1284=1,COUNTIFS(R_Emp,"&lt;&gt;"&amp;D1284,R_SAbs,"&lt;"&amp;AX1284,R_EAbs,"&gt;"&amp;AW1284,R_OKey,1),0)</f>
        <v>0</v>
      </c>
      <c r="BB1284" s="80">
        <f>IF(AND(AB1284=1,D1284="proMX"),IF(AND(MOD(Z1284,CFG_BLK)=0,MOD(AA1284,CFG_BLK)=0,MOD(AG1284,CFG_BLK)=0,AG1284&gt;0),1,0),1)</f>
        <v>1</v>
      </c>
      <c r="BC1284" s="80" t="str">
        <f>IF(Y1284=0,"",IF(NOT(ISNUMBER(B1284)),"Falta fecha o fecha inválida",IF(D1284="","Falta empresa",IF(AND(D1284&lt;&gt;"Malcolm",D1284&lt;&gt;"proMX"),"Empresa inválida",IF(OR(INT(B1284)&lt;CFG_PSTART,INT(B1284)&gt;CFG_PEND),"Fecha fuera del período",IF(OR(NOT(ISNUMBER(Z1284)),NOT(ISNUMBER(AA1284))),"Falta hora inicio/fin o formato inválido",IF(AB1284=0,"Hora inicio = hora fin",IF(AE1284&lt;0,"Descanso inválido",IF(AE1284&gt;=AD1284,"Descanso ≥ duración",IF(AV1284=1,"Registro duplicado",IF(AZ1284&gt;0,"Se superpone con otro registro "&amp;D1284,IF(BB1284=0,"inicio, fin y duración neta deben ser múltiplos de "&amp;CFG_BLK&amp;" min",""))))))))))))</f>
        <v/>
      </c>
      <c r="BD1284" s="80">
        <f>IF(AND(Y1284=1,BC1284=""),1,0)</f>
        <v>0</v>
      </c>
      <c r="BE1284" s="80">
        <f>IF(AND(BD1284=1,AU1284=1),1,0)</f>
        <v>0</v>
      </c>
      <c r="BF1284" s="80" t="str">
        <f>IF(AND(D1284="proMX",BD1284=1),IF(R1284="","Draft",R1284),"")</f>
        <v/>
      </c>
      <c r="BG1284" s="80">
        <f>IF(BD1284=1,ROUND(AG1284/60,6),0)</f>
        <v>0</v>
      </c>
      <c r="BH1284" s="80">
        <f>IF(BE1284=1,ROUND(AG1284/60,6),0)</f>
        <v>0</v>
      </c>
      <c r="BI1284" s="80">
        <f>IF(BE1284=1,ROUND(AP1284/60,6),0)</f>
        <v>0</v>
      </c>
      <c r="BJ1284" s="80">
        <f>IF(BE1284=1,ROUND(AQ1284/60,6),0)</f>
        <v>0</v>
      </c>
      <c r="BK1284" s="80">
        <f>IF(BE1284=1,ROUND((AR1284+AS1284)/60,6),0)</f>
        <v>0</v>
      </c>
      <c r="BL1284" s="80">
        <f>ROUND(BH1284-BK1284,6)</f>
        <v>0</v>
      </c>
      <c r="BM1284" s="80">
        <f>IF(BE1284=1,ROUND(AR1284/60,6),0)</f>
        <v>0</v>
      </c>
      <c r="BN1284" s="80">
        <f>ROUND(BI1284-BM1284,6)</f>
        <v>0</v>
      </c>
      <c r="BO1284" s="80">
        <f>IF(BE1284=1,ROUND(AS1284/60,6),0)</f>
        <v>0</v>
      </c>
      <c r="BP1284" s="80">
        <f>ROUND(BJ1284-BO1284,6)</f>
        <v>0</v>
      </c>
      <c r="BQ1284" s="80">
        <f>IF(BE1284=1,AW1284,0)</f>
        <v>0</v>
      </c>
      <c r="BR1284" s="80">
        <f>IF(BE1284=1,AX1284,0)</f>
        <v>0</v>
      </c>
      <c r="BS1284" s="80">
        <f>IF(AND(BE1284=1,D1284="Malcolm",BA1284&gt;0),MIN(BH1284,SUMPRODUCT((R_Emp="proMX")*(R_EN&gt;0)*((R_EN-(R_EN&gt;BR1284)*(R_EN-BR1284))&gt;(R_SN+(R_SN&lt;BQ1284)*(BQ1284-R_SN)))*((R_EN-(R_EN&gt;BR1284)*(R_EN-BR1284))-(R_SN+(R_SN&lt;BQ1284)*(BQ1284-R_SN))))/60),0)</f>
        <v>0</v>
      </c>
      <c r="BT1284" s="80">
        <f>IF(AND(BE1284=1,D1284="proMX"),ROUND(BI1284*CFG_RATE+BJ1284*CFG_OTRATE,6),0)</f>
        <v>0</v>
      </c>
      <c r="BU1284" s="80">
        <f>IF(AND(BD1284=1,D1284="proMX"),ROUND(AG1284/CFG_BLK,6),0)</f>
        <v>0</v>
      </c>
      <c r="BV1284" s="80" t="str">
        <f>IF(BF1284="Approved",IF(ISNUMBER(T1284),INT(T1284),INT(B1284)),"")</f>
        <v/>
      </c>
      <c r="BW1284" s="80">
        <f>IF(ISNUMBER(B1284),IF(DB_MON="Todos",1,IF(AND(INT(B1284)&gt;=DB_MS,INT(B1284)&lt;=DB_ME),1,0)),0)</f>
        <v>0</v>
      </c>
      <c r="BX1284" s="80">
        <f>IF(DB_PROJ="Todos",1,IF(E1284&amp;""=DB_PROJ&amp;"",1,0))</f>
        <v>1</v>
      </c>
      <c r="BY1284" s="80">
        <f>BW1284*BX1284</f>
        <v>0</v>
      </c>
      <c r="BZ1284" s="80" t="str">
        <f>IF(Y1284=1,F1284&amp;IF(AND(F1284&amp;""&lt;&gt;"",E1284&amp;""&lt;&gt;"")," · ","")&amp;E1284,"")</f>
        <v/>
      </c>
      <c r="CA1284" s="80" t="str">
        <f>IF(AND(BD1284=1,E1284&amp;""&lt;&gt;""),IF(COUNTIFS($E$5:E1283,E1284,$BD$5:BD1283,1)=0,MAX($CA$5:CA1283)+1,""),"")</f>
        <v/>
      </c>
      <c r="CB1284" s="80" t="str">
        <f>IF(AND(BE1284=1,D1284="Malcolm",E1284&amp;""&lt;&gt;""),IF(COUNTIFS($D$5:D1283,"Malcolm",$E$5:E1283,E1284,$BE$5:BE1283,1)=0,MAX($CB$5:CB1283)+1,""),"")</f>
        <v/>
      </c>
      <c r="CC1284" s="80" t="str">
        <f>IF(AND(BD1284=1,D1284="proMX",E1284&amp;""&lt;&gt;""),IF(COUNTIFS($D$5:D1283,"proMX",$E$5:E1283,E1284,$BD$5:BD1283,1)=0,MAX($CC$5:CC1283)+1,""),"")</f>
        <v/>
      </c>
      <c r="CD1284" s="80" t="str">
        <f>IF(AND(BE1284=1,D1284="Malcolm",F1284&amp;""&lt;&gt;""),IF(COUNTIFS($D$5:D1283,"Malcolm",$F$5:F1283,F1284,$BE$5:BE1283,1)=0,MAX($CD$5:CD1283)+1,""),"")</f>
        <v/>
      </c>
      <c r="CE1284" s="80" t="str">
        <f>IF(AND(BD1284=1,D1284="proMX",F1284&amp;""&lt;&gt;""),IF(COUNTIFS($D$5:D1283,"proMX",$F$5:F1283,F1284,$BD$5:BD1283,1)=0,MAX($CE$5:CE1283)+1,""),"")</f>
        <v/>
      </c>
      <c r="CF1284" s="80" t="str">
        <f>IF(AND(D1284="proMX",BD1284=1),IF(OR(BF1284="Draft",BF1284="Submitted",BF1284="Returned",BF1284="Recall Requested"),MAX($CF$5:CF1283)+1,""),"")</f>
        <v/>
      </c>
      <c r="CG1284" s="80">
        <f>IF(BD1284=0,0,IF(D1284="Malcolm",1,MATCH(BF1284,{"Draft","Submitted","Approved","Returned","Recall Requested","Cancelled"},0)+1))</f>
        <v>0</v>
      </c>
      <c r="CH1284" s="80">
        <f>IF(AND(BF1284="Submitted",ISNUMBER(V1284)),IF(V1284&gt;CFG_MAXD,1,0),0)</f>
        <v>0</v>
      </c>
    </row>
    <row r="1285">
      <c r="A1285" s="71" t="str">
        <f>IF(Y1285=1,ROW()-5,"")</f>
        <v/>
      </c>
      <c r="B1285" s="72" t="n"/>
      <c r="C1285" s="71" t="str">
        <f>IF(ISNUMBER(B1285),CHOOSE(WEEKDAY(B1285,2),"Lun","Mar","Mié","Jue","Vie","Sáb","Dom"),"")</f>
        <v/>
      </c>
      <c r="D1285" s="73" t="n"/>
      <c r="E1285" s="74" t="n"/>
      <c r="F1285" s="74" t="n"/>
      <c r="G1285" s="74" t="n"/>
      <c r="H1285" s="75" t="n"/>
      <c r="I1285" s="75" t="n"/>
      <c r="J1285" s="76" t="n"/>
      <c r="K1285" s="77" t="str">
        <f>IF(AB1285=1,ROUND(AG1285/60,4),"")</f>
        <v/>
      </c>
      <c r="L1285" s="77" t="str">
        <f>IF(BD1285=1,ROUND(AP1285/60,4),"")</f>
        <v/>
      </c>
      <c r="M1285" s="77" t="str">
        <f>IF(BD1285=1,ROUND(AQ1285/60,4),"")</f>
        <v/>
      </c>
      <c r="N1285" s="71" t="str">
        <f>IF(AND(D1285="proMX",AB1285=1),ROUND(AG1285/CFG_BLK,2),"")</f>
        <v/>
      </c>
      <c r="O1285" s="77" t="str">
        <f>IF(D1285="proMX",IF(BD1285=1,ROUND(AG1285/60,4),0),"")</f>
        <v/>
      </c>
      <c r="P1285" s="78" t="str">
        <f>IF(Y1285=0,"",IF(BD1285=1,"OK",IF(D1285="proMX","Revisar bloques: ","Revisar: ")&amp;BC1285))</f>
        <v/>
      </c>
      <c r="Q1285" s="78" t="str">
        <f>IF(NOT(ISNUMBER(B1285)),"",IF(COUNTIFS(FER_F,INT(B1285))&gt;0,"Feriado"&amp;IF(AH1285=1," (laborable)"," (no laborable)"),IF(AH1285=1,"Laborable",IF(WEEKDAY(B1285,2)&gt;5,"Fin de semana","No laborable"))))</f>
        <v/>
      </c>
      <c r="R1285" s="73" t="n"/>
      <c r="S1285" s="72" t="n"/>
      <c r="T1285" s="72" t="n"/>
      <c r="U1285" s="74" t="n"/>
      <c r="V1285" s="79" t="str">
        <f>IF(AND(D1285="proMX",OR(R1285="Submitted",R1285="Recall Requested"),ISNUMBER(S1285)),CFG_TODAY-INT(S1285),"")</f>
        <v/>
      </c>
      <c r="W1285" s="78" t="str">
        <f>IF(BD1285=0,"",IF(BA1285&gt;0,"⚠ Se superpone con un registro de la otra empresa",IF(D1285="Malcolm",IF(COUNTA(R1285,S1285,T1285)&gt;0,"Estado/fechas proMX se ignoran en Malcolm",""),IF(BF1285="Cancelled","Cancelado: excluido de totales",IF(R1285="","Sin estado: se trata como Draft",IF(BF1285="Submitted",IF(ISNUMBER(V1285),IF(V1285&gt;CFG_MAXD,"⚠ "&amp;V1285&amp;" días en Submitted (máx. "&amp;CFG_MAXD&amp;")",""),"Falta fecha de envío"),IF(BF1285="Returned","⚠ Devuelto: corregir y reenviar",IF(BF1285="Recall Requested","Retirada solicitada: pendiente",IF(AND(BF1285="Approved",NOT(ISNUMBER(T1285))),"Falta fecha de aprobación",IF(AND(ISNUMBER(S1285),ISNUMBER(T1285),T1285&lt;S1285),"Aprobación anterior al envío","")))))))))</f>
        <v/>
      </c>
      <c r="Y1285" s="80">
        <f>IF(COUNTA(B1285,D1285,E1285,F1285,G1285,H1285,I1285,J1285,R1285,S1285,T1285)&gt;0,1,0)</f>
        <v>0</v>
      </c>
      <c r="Z1285" s="80" t="str">
        <f>IF(AND(ISNUMBER(H1285),H1285&gt;=0,H1285&lt;1),ROUND(H1285*1440,0),"")</f>
        <v/>
      </c>
      <c r="AA1285" s="80" t="str">
        <f>IF(AND(ISNUMBER(I1285),I1285&gt;=0,I1285&lt;1),ROUND(I1285*1440,0),"")</f>
        <v/>
      </c>
      <c r="AB1285" s="80">
        <f>IF(AND(ISNUMBER(B1285),D1285&lt;&gt;"",ISNUMBER(Z1285),ISNUMBER(AA1285)),IF(Z1285=AA1285,0,1),0)</f>
        <v>0</v>
      </c>
      <c r="AC1285" s="80">
        <f>IF(AB1285=1,IF(AA1285&lt;Z1285,1,0),0)</f>
        <v>0</v>
      </c>
      <c r="AD1285" s="80">
        <f>IF(AB1285=1,IF(AC1285=1,1440-Z1285+AA1285,AA1285-Z1285),0)</f>
        <v>0</v>
      </c>
      <c r="AE1285" s="80">
        <f>IF(J1285="",0,IF(ISNUMBER(J1285),J1285,-1))</f>
        <v>0</v>
      </c>
      <c r="AF1285" s="80">
        <f>MIN(MAX(0,AE1285),AD1285)</f>
        <v>0</v>
      </c>
      <c r="AG1285" s="80">
        <f>MAX(0,AD1285-MAX(0,AE1285))</f>
        <v>0</v>
      </c>
      <c r="AH1285" s="80">
        <f>IF(ISNUMBER(B1285),IF(AND(INDEX(CFG_WDAYS,WEEKDAY(INT(B1285),2))="Sí",IF(D1285="proMX",COUNTIFS(FER_F,INT(B1285),FER_NLP,"Sí"),COUNTIFS(FER_F,INT(B1285),FER_NLM,"Sí"))=0),1,0),0)</f>
        <v>0</v>
      </c>
      <c r="AI1285" s="80">
        <f>IF(AC1285=1,IF(AND(INDEX(CFG_WDAYS,WEEKDAY(INT(B1285)+1,2))="Sí",IF(D1285="proMX",COUNTIFS(FER_F,INT(B1285)+1,FER_NLP,"Sí"),COUNTIFS(FER_F,INT(B1285)+1,FER_NLM,"Sí"))=0),1,0),0)</f>
        <v>0</v>
      </c>
      <c r="AJ1285" s="80">
        <f>IF(AC1285=1,1440-Z1285,AD1285)</f>
        <v>0</v>
      </c>
      <c r="AK1285" s="80">
        <f>IF(AND(AB1285=1,AH1285=1),MAX(0,MIN(IF(AC1285=1,1440,AA1285),CFG_WEM)-MAX(Z1285,CFG_WSM)),0)</f>
        <v>0</v>
      </c>
      <c r="AL1285" s="80">
        <f>IF(AND(AC1285=1,AI1285=1),MAX(0,MIN(AA1285,CFG_WEM)-CFG_WSM),0)</f>
        <v>0</v>
      </c>
      <c r="AM1285" s="80">
        <f>AK1285+AL1285</f>
        <v>0</v>
      </c>
      <c r="AN1285" s="80">
        <f>IF(CFG_BRK="Proporcional",IF(AD1285=0,0,AF1285*AM1285/AD1285),IF(CFG_BRK="Extras primero",MIN(AM1285,MAX(0,AF1285-(AD1285-AM1285))),MIN(AF1285,AM1285)))</f>
        <v>0</v>
      </c>
      <c r="AO1285" s="80">
        <f>AF1285-AN1285</f>
        <v>0</v>
      </c>
      <c r="AP1285" s="80">
        <f>AM1285-AN1285</f>
        <v>0</v>
      </c>
      <c r="AQ1285" s="80">
        <f>AD1285-AM1285-AO1285</f>
        <v>0</v>
      </c>
      <c r="AR1285" s="80">
        <f>IF(AM1285=0,0,AK1285-AN1285*AK1285/AM1285)</f>
        <v>0</v>
      </c>
      <c r="AS1285" s="80">
        <f>IF(AD1285-AM1285=0,0,(AJ1285-AK1285)-AO1285*(AJ1285-AK1285)/(AD1285-AM1285))</f>
        <v>0</v>
      </c>
      <c r="AT1285" s="80" t="str">
        <f>IF(AC1285=1,INT(B1285)+1,"")</f>
        <v/>
      </c>
      <c r="AU1285" s="80">
        <f>IF(AND(D1285="proMX",R1285="Cancelled"),0,1)</f>
        <v>1</v>
      </c>
      <c r="AV1285" s="80">
        <f>IF(AND(AB1285=1,AU1285=1),IF(COUNTIFS($D$5:D1284,D1285,$B$5:B1284,B1285,$Z$5:Z1284,Z1285,$AA$5:AA1284,AA1285,$F$5:F1284,F1285&amp;"",$AU$5:AU1284,1)&gt;0,1,0),0)</f>
        <v>0</v>
      </c>
      <c r="AW1285" s="80" t="str">
        <f>IF(AB1285=1,INT(B1285)*1440+Z1285,"")</f>
        <v/>
      </c>
      <c r="AX1285" s="80" t="str">
        <f>IF(AB1285=1,AW1285+AD1285,"")</f>
        <v/>
      </c>
      <c r="AY1285" s="80">
        <f>IF(AND(AB1285=1,AV1285=0,AU1285=1),1,0)</f>
        <v>0</v>
      </c>
      <c r="AZ1285" s="80">
        <f>IF(AY1285=1,COUNTIFS(R_Emp,D1285,R_SAbs,"&lt;"&amp;AX1285,R_EAbs,"&gt;"&amp;AW1285,R_OKey,1)-1,0)</f>
        <v>0</v>
      </c>
      <c r="BA1285" s="80">
        <f>IF(AY1285=1,COUNTIFS(R_Emp,"&lt;&gt;"&amp;D1285,R_SAbs,"&lt;"&amp;AX1285,R_EAbs,"&gt;"&amp;AW1285,R_OKey,1),0)</f>
        <v>0</v>
      </c>
      <c r="BB1285" s="80">
        <f>IF(AND(AB1285=1,D1285="proMX"),IF(AND(MOD(Z1285,CFG_BLK)=0,MOD(AA1285,CFG_BLK)=0,MOD(AG1285,CFG_BLK)=0,AG1285&gt;0),1,0),1)</f>
        <v>1</v>
      </c>
      <c r="BC1285" s="80" t="str">
        <f>IF(Y1285=0,"",IF(NOT(ISNUMBER(B1285)),"Falta fecha o fecha inválida",IF(D1285="","Falta empresa",IF(AND(D1285&lt;&gt;"Malcolm",D1285&lt;&gt;"proMX"),"Empresa inválida",IF(OR(INT(B1285)&lt;CFG_PSTART,INT(B1285)&gt;CFG_PEND),"Fecha fuera del período",IF(OR(NOT(ISNUMBER(Z1285)),NOT(ISNUMBER(AA1285))),"Falta hora inicio/fin o formato inválido",IF(AB1285=0,"Hora inicio = hora fin",IF(AE1285&lt;0,"Descanso inválido",IF(AE1285&gt;=AD1285,"Descanso ≥ duración",IF(AV1285=1,"Registro duplicado",IF(AZ1285&gt;0,"Se superpone con otro registro "&amp;D1285,IF(BB1285=0,"inicio, fin y duración neta deben ser múltiplos de "&amp;CFG_BLK&amp;" min",""))))))))))))</f>
        <v/>
      </c>
      <c r="BD1285" s="80">
        <f>IF(AND(Y1285=1,BC1285=""),1,0)</f>
        <v>0</v>
      </c>
      <c r="BE1285" s="80">
        <f>IF(AND(BD1285=1,AU1285=1),1,0)</f>
        <v>0</v>
      </c>
      <c r="BF1285" s="80" t="str">
        <f>IF(AND(D1285="proMX",BD1285=1),IF(R1285="","Draft",R1285),"")</f>
        <v/>
      </c>
      <c r="BG1285" s="80">
        <f>IF(BD1285=1,ROUND(AG1285/60,6),0)</f>
        <v>0</v>
      </c>
      <c r="BH1285" s="80">
        <f>IF(BE1285=1,ROUND(AG1285/60,6),0)</f>
        <v>0</v>
      </c>
      <c r="BI1285" s="80">
        <f>IF(BE1285=1,ROUND(AP1285/60,6),0)</f>
        <v>0</v>
      </c>
      <c r="BJ1285" s="80">
        <f>IF(BE1285=1,ROUND(AQ1285/60,6),0)</f>
        <v>0</v>
      </c>
      <c r="BK1285" s="80">
        <f>IF(BE1285=1,ROUND((AR1285+AS1285)/60,6),0)</f>
        <v>0</v>
      </c>
      <c r="BL1285" s="80">
        <f>ROUND(BH1285-BK1285,6)</f>
        <v>0</v>
      </c>
      <c r="BM1285" s="80">
        <f>IF(BE1285=1,ROUND(AR1285/60,6),0)</f>
        <v>0</v>
      </c>
      <c r="BN1285" s="80">
        <f>ROUND(BI1285-BM1285,6)</f>
        <v>0</v>
      </c>
      <c r="BO1285" s="80">
        <f>IF(BE1285=1,ROUND(AS1285/60,6),0)</f>
        <v>0</v>
      </c>
      <c r="BP1285" s="80">
        <f>ROUND(BJ1285-BO1285,6)</f>
        <v>0</v>
      </c>
      <c r="BQ1285" s="80">
        <f>IF(BE1285=1,AW1285,0)</f>
        <v>0</v>
      </c>
      <c r="BR1285" s="80">
        <f>IF(BE1285=1,AX1285,0)</f>
        <v>0</v>
      </c>
      <c r="BS1285" s="80">
        <f>IF(AND(BE1285=1,D1285="Malcolm",BA1285&gt;0),MIN(BH1285,SUMPRODUCT((R_Emp="proMX")*(R_EN&gt;0)*((R_EN-(R_EN&gt;BR1285)*(R_EN-BR1285))&gt;(R_SN+(R_SN&lt;BQ1285)*(BQ1285-R_SN)))*((R_EN-(R_EN&gt;BR1285)*(R_EN-BR1285))-(R_SN+(R_SN&lt;BQ1285)*(BQ1285-R_SN))))/60),0)</f>
        <v>0</v>
      </c>
      <c r="BT1285" s="80">
        <f>IF(AND(BE1285=1,D1285="proMX"),ROUND(BI1285*CFG_RATE+BJ1285*CFG_OTRATE,6),0)</f>
        <v>0</v>
      </c>
      <c r="BU1285" s="80">
        <f>IF(AND(BD1285=1,D1285="proMX"),ROUND(AG1285/CFG_BLK,6),0)</f>
        <v>0</v>
      </c>
      <c r="BV1285" s="80" t="str">
        <f>IF(BF1285="Approved",IF(ISNUMBER(T1285),INT(T1285),INT(B1285)),"")</f>
        <v/>
      </c>
      <c r="BW1285" s="80">
        <f>IF(ISNUMBER(B1285),IF(DB_MON="Todos",1,IF(AND(INT(B1285)&gt;=DB_MS,INT(B1285)&lt;=DB_ME),1,0)),0)</f>
        <v>0</v>
      </c>
      <c r="BX1285" s="80">
        <f>IF(DB_PROJ="Todos",1,IF(E1285&amp;""=DB_PROJ&amp;"",1,0))</f>
        <v>1</v>
      </c>
      <c r="BY1285" s="80">
        <f>BW1285*BX1285</f>
        <v>0</v>
      </c>
      <c r="BZ1285" s="80" t="str">
        <f>IF(Y1285=1,F1285&amp;IF(AND(F1285&amp;""&lt;&gt;"",E1285&amp;""&lt;&gt;"")," · ","")&amp;E1285,"")</f>
        <v/>
      </c>
      <c r="CA1285" s="80" t="str">
        <f>IF(AND(BD1285=1,E1285&amp;""&lt;&gt;""),IF(COUNTIFS($E$5:E1284,E1285,$BD$5:BD1284,1)=0,MAX($CA$5:CA1284)+1,""),"")</f>
        <v/>
      </c>
      <c r="CB1285" s="80" t="str">
        <f>IF(AND(BE1285=1,D1285="Malcolm",E1285&amp;""&lt;&gt;""),IF(COUNTIFS($D$5:D1284,"Malcolm",$E$5:E1284,E1285,$BE$5:BE1284,1)=0,MAX($CB$5:CB1284)+1,""),"")</f>
        <v/>
      </c>
      <c r="CC1285" s="80" t="str">
        <f>IF(AND(BD1285=1,D1285="proMX",E1285&amp;""&lt;&gt;""),IF(COUNTIFS($D$5:D1284,"proMX",$E$5:E1284,E1285,$BD$5:BD1284,1)=0,MAX($CC$5:CC1284)+1,""),"")</f>
        <v/>
      </c>
      <c r="CD1285" s="80" t="str">
        <f>IF(AND(BE1285=1,D1285="Malcolm",F1285&amp;""&lt;&gt;""),IF(COUNTIFS($D$5:D1284,"Malcolm",$F$5:F1284,F1285,$BE$5:BE1284,1)=0,MAX($CD$5:CD1284)+1,""),"")</f>
        <v/>
      </c>
      <c r="CE1285" s="80" t="str">
        <f>IF(AND(BD1285=1,D1285="proMX",F1285&amp;""&lt;&gt;""),IF(COUNTIFS($D$5:D1284,"proMX",$F$5:F1284,F1285,$BD$5:BD1284,1)=0,MAX($CE$5:CE1284)+1,""),"")</f>
        <v/>
      </c>
      <c r="CF1285" s="80" t="str">
        <f>IF(AND(D1285="proMX",BD1285=1),IF(OR(BF1285="Draft",BF1285="Submitted",BF1285="Returned",BF1285="Recall Requested"),MAX($CF$5:CF1284)+1,""),"")</f>
        <v/>
      </c>
      <c r="CG1285" s="80">
        <f>IF(BD1285=0,0,IF(D1285="Malcolm",1,MATCH(BF1285,{"Draft","Submitted","Approved","Returned","Recall Requested","Cancelled"},0)+1))</f>
        <v>0</v>
      </c>
      <c r="CH1285" s="80">
        <f>IF(AND(BF1285="Submitted",ISNUMBER(V1285)),IF(V1285&gt;CFG_MAXD,1,0),0)</f>
        <v>0</v>
      </c>
    </row>
    <row r="1286">
      <c r="A1286" s="71" t="str">
        <f>IF(Y1286=1,ROW()-5,"")</f>
        <v/>
      </c>
      <c r="B1286" s="72" t="n"/>
      <c r="C1286" s="71" t="str">
        <f>IF(ISNUMBER(B1286),CHOOSE(WEEKDAY(B1286,2),"Lun","Mar","Mié","Jue","Vie","Sáb","Dom"),"")</f>
        <v/>
      </c>
      <c r="D1286" s="73" t="n"/>
      <c r="E1286" s="74" t="n"/>
      <c r="F1286" s="74" t="n"/>
      <c r="G1286" s="74" t="n"/>
      <c r="H1286" s="75" t="n"/>
      <c r="I1286" s="75" t="n"/>
      <c r="J1286" s="76" t="n"/>
      <c r="K1286" s="77" t="str">
        <f>IF(AB1286=1,ROUND(AG1286/60,4),"")</f>
        <v/>
      </c>
      <c r="L1286" s="77" t="str">
        <f>IF(BD1286=1,ROUND(AP1286/60,4),"")</f>
        <v/>
      </c>
      <c r="M1286" s="77" t="str">
        <f>IF(BD1286=1,ROUND(AQ1286/60,4),"")</f>
        <v/>
      </c>
      <c r="N1286" s="71" t="str">
        <f>IF(AND(D1286="proMX",AB1286=1),ROUND(AG1286/CFG_BLK,2),"")</f>
        <v/>
      </c>
      <c r="O1286" s="77" t="str">
        <f>IF(D1286="proMX",IF(BD1286=1,ROUND(AG1286/60,4),0),"")</f>
        <v/>
      </c>
      <c r="P1286" s="78" t="str">
        <f>IF(Y1286=0,"",IF(BD1286=1,"OK",IF(D1286="proMX","Revisar bloques: ","Revisar: ")&amp;BC1286))</f>
        <v/>
      </c>
      <c r="Q1286" s="78" t="str">
        <f>IF(NOT(ISNUMBER(B1286)),"",IF(COUNTIFS(FER_F,INT(B1286))&gt;0,"Feriado"&amp;IF(AH1286=1," (laborable)"," (no laborable)"),IF(AH1286=1,"Laborable",IF(WEEKDAY(B1286,2)&gt;5,"Fin de semana","No laborable"))))</f>
        <v/>
      </c>
      <c r="R1286" s="73" t="n"/>
      <c r="S1286" s="72" t="n"/>
      <c r="T1286" s="72" t="n"/>
      <c r="U1286" s="74" t="n"/>
      <c r="V1286" s="79" t="str">
        <f>IF(AND(D1286="proMX",OR(R1286="Submitted",R1286="Recall Requested"),ISNUMBER(S1286)),CFG_TODAY-INT(S1286),"")</f>
        <v/>
      </c>
      <c r="W1286" s="78" t="str">
        <f>IF(BD1286=0,"",IF(BA1286&gt;0,"⚠ Se superpone con un registro de la otra empresa",IF(D1286="Malcolm",IF(COUNTA(R1286,S1286,T1286)&gt;0,"Estado/fechas proMX se ignoran en Malcolm",""),IF(BF1286="Cancelled","Cancelado: excluido de totales",IF(R1286="","Sin estado: se trata como Draft",IF(BF1286="Submitted",IF(ISNUMBER(V1286),IF(V1286&gt;CFG_MAXD,"⚠ "&amp;V1286&amp;" días en Submitted (máx. "&amp;CFG_MAXD&amp;")",""),"Falta fecha de envío"),IF(BF1286="Returned","⚠ Devuelto: corregir y reenviar",IF(BF1286="Recall Requested","Retirada solicitada: pendiente",IF(AND(BF1286="Approved",NOT(ISNUMBER(T1286))),"Falta fecha de aprobación",IF(AND(ISNUMBER(S1286),ISNUMBER(T1286),T1286&lt;S1286),"Aprobación anterior al envío","")))))))))</f>
        <v/>
      </c>
      <c r="Y1286" s="80">
        <f>IF(COUNTA(B1286,D1286,E1286,F1286,G1286,H1286,I1286,J1286,R1286,S1286,T1286)&gt;0,1,0)</f>
        <v>0</v>
      </c>
      <c r="Z1286" s="80" t="str">
        <f>IF(AND(ISNUMBER(H1286),H1286&gt;=0,H1286&lt;1),ROUND(H1286*1440,0),"")</f>
        <v/>
      </c>
      <c r="AA1286" s="80" t="str">
        <f>IF(AND(ISNUMBER(I1286),I1286&gt;=0,I1286&lt;1),ROUND(I1286*1440,0),"")</f>
        <v/>
      </c>
      <c r="AB1286" s="80">
        <f>IF(AND(ISNUMBER(B1286),D1286&lt;&gt;"",ISNUMBER(Z1286),ISNUMBER(AA1286)),IF(Z1286=AA1286,0,1),0)</f>
        <v>0</v>
      </c>
      <c r="AC1286" s="80">
        <f>IF(AB1286=1,IF(AA1286&lt;Z1286,1,0),0)</f>
        <v>0</v>
      </c>
      <c r="AD1286" s="80">
        <f>IF(AB1286=1,IF(AC1286=1,1440-Z1286+AA1286,AA1286-Z1286),0)</f>
        <v>0</v>
      </c>
      <c r="AE1286" s="80">
        <f>IF(J1286="",0,IF(ISNUMBER(J1286),J1286,-1))</f>
        <v>0</v>
      </c>
      <c r="AF1286" s="80">
        <f>MIN(MAX(0,AE1286),AD1286)</f>
        <v>0</v>
      </c>
      <c r="AG1286" s="80">
        <f>MAX(0,AD1286-MAX(0,AE1286))</f>
        <v>0</v>
      </c>
      <c r="AH1286" s="80">
        <f>IF(ISNUMBER(B1286),IF(AND(INDEX(CFG_WDAYS,WEEKDAY(INT(B1286),2))="Sí",IF(D1286="proMX",COUNTIFS(FER_F,INT(B1286),FER_NLP,"Sí"),COUNTIFS(FER_F,INT(B1286),FER_NLM,"Sí"))=0),1,0),0)</f>
        <v>0</v>
      </c>
      <c r="AI1286" s="80">
        <f>IF(AC1286=1,IF(AND(INDEX(CFG_WDAYS,WEEKDAY(INT(B1286)+1,2))="Sí",IF(D1286="proMX",COUNTIFS(FER_F,INT(B1286)+1,FER_NLP,"Sí"),COUNTIFS(FER_F,INT(B1286)+1,FER_NLM,"Sí"))=0),1,0),0)</f>
        <v>0</v>
      </c>
      <c r="AJ1286" s="80">
        <f>IF(AC1286=1,1440-Z1286,AD1286)</f>
        <v>0</v>
      </c>
      <c r="AK1286" s="80">
        <f>IF(AND(AB1286=1,AH1286=1),MAX(0,MIN(IF(AC1286=1,1440,AA1286),CFG_WEM)-MAX(Z1286,CFG_WSM)),0)</f>
        <v>0</v>
      </c>
      <c r="AL1286" s="80">
        <f>IF(AND(AC1286=1,AI1286=1),MAX(0,MIN(AA1286,CFG_WEM)-CFG_WSM),0)</f>
        <v>0</v>
      </c>
      <c r="AM1286" s="80">
        <f>AK1286+AL1286</f>
        <v>0</v>
      </c>
      <c r="AN1286" s="80">
        <f>IF(CFG_BRK="Proporcional",IF(AD1286=0,0,AF1286*AM1286/AD1286),IF(CFG_BRK="Extras primero",MIN(AM1286,MAX(0,AF1286-(AD1286-AM1286))),MIN(AF1286,AM1286)))</f>
        <v>0</v>
      </c>
      <c r="AO1286" s="80">
        <f>AF1286-AN1286</f>
        <v>0</v>
      </c>
      <c r="AP1286" s="80">
        <f>AM1286-AN1286</f>
        <v>0</v>
      </c>
      <c r="AQ1286" s="80">
        <f>AD1286-AM1286-AO1286</f>
        <v>0</v>
      </c>
      <c r="AR1286" s="80">
        <f>IF(AM1286=0,0,AK1286-AN1286*AK1286/AM1286)</f>
        <v>0</v>
      </c>
      <c r="AS1286" s="80">
        <f>IF(AD1286-AM1286=0,0,(AJ1286-AK1286)-AO1286*(AJ1286-AK1286)/(AD1286-AM1286))</f>
        <v>0</v>
      </c>
      <c r="AT1286" s="80" t="str">
        <f>IF(AC1286=1,INT(B1286)+1,"")</f>
        <v/>
      </c>
      <c r="AU1286" s="80">
        <f>IF(AND(D1286="proMX",R1286="Cancelled"),0,1)</f>
        <v>1</v>
      </c>
      <c r="AV1286" s="80">
        <f>IF(AND(AB1286=1,AU1286=1),IF(COUNTIFS($D$5:D1285,D1286,$B$5:B1285,B1286,$Z$5:Z1285,Z1286,$AA$5:AA1285,AA1286,$F$5:F1285,F1286&amp;"",$AU$5:AU1285,1)&gt;0,1,0),0)</f>
        <v>0</v>
      </c>
      <c r="AW1286" s="80" t="str">
        <f>IF(AB1286=1,INT(B1286)*1440+Z1286,"")</f>
        <v/>
      </c>
      <c r="AX1286" s="80" t="str">
        <f>IF(AB1286=1,AW1286+AD1286,"")</f>
        <v/>
      </c>
      <c r="AY1286" s="80">
        <f>IF(AND(AB1286=1,AV1286=0,AU1286=1),1,0)</f>
        <v>0</v>
      </c>
      <c r="AZ1286" s="80">
        <f>IF(AY1286=1,COUNTIFS(R_Emp,D1286,R_SAbs,"&lt;"&amp;AX1286,R_EAbs,"&gt;"&amp;AW1286,R_OKey,1)-1,0)</f>
        <v>0</v>
      </c>
      <c r="BA1286" s="80">
        <f>IF(AY1286=1,COUNTIFS(R_Emp,"&lt;&gt;"&amp;D1286,R_SAbs,"&lt;"&amp;AX1286,R_EAbs,"&gt;"&amp;AW1286,R_OKey,1),0)</f>
        <v>0</v>
      </c>
      <c r="BB1286" s="80">
        <f>IF(AND(AB1286=1,D1286="proMX"),IF(AND(MOD(Z1286,CFG_BLK)=0,MOD(AA1286,CFG_BLK)=0,MOD(AG1286,CFG_BLK)=0,AG1286&gt;0),1,0),1)</f>
        <v>1</v>
      </c>
      <c r="BC1286" s="80" t="str">
        <f>IF(Y1286=0,"",IF(NOT(ISNUMBER(B1286)),"Falta fecha o fecha inválida",IF(D1286="","Falta empresa",IF(AND(D1286&lt;&gt;"Malcolm",D1286&lt;&gt;"proMX"),"Empresa inválida",IF(OR(INT(B1286)&lt;CFG_PSTART,INT(B1286)&gt;CFG_PEND),"Fecha fuera del período",IF(OR(NOT(ISNUMBER(Z1286)),NOT(ISNUMBER(AA1286))),"Falta hora inicio/fin o formato inválido",IF(AB1286=0,"Hora inicio = hora fin",IF(AE1286&lt;0,"Descanso inválido",IF(AE1286&gt;=AD1286,"Descanso ≥ duración",IF(AV1286=1,"Registro duplicado",IF(AZ1286&gt;0,"Se superpone con otro registro "&amp;D1286,IF(BB1286=0,"inicio, fin y duración neta deben ser múltiplos de "&amp;CFG_BLK&amp;" min",""))))))))))))</f>
        <v/>
      </c>
      <c r="BD1286" s="80">
        <f>IF(AND(Y1286=1,BC1286=""),1,0)</f>
        <v>0</v>
      </c>
      <c r="BE1286" s="80">
        <f>IF(AND(BD1286=1,AU1286=1),1,0)</f>
        <v>0</v>
      </c>
      <c r="BF1286" s="80" t="str">
        <f>IF(AND(D1286="proMX",BD1286=1),IF(R1286="","Draft",R1286),"")</f>
        <v/>
      </c>
      <c r="BG1286" s="80">
        <f>IF(BD1286=1,ROUND(AG1286/60,6),0)</f>
        <v>0</v>
      </c>
      <c r="BH1286" s="80">
        <f>IF(BE1286=1,ROUND(AG1286/60,6),0)</f>
        <v>0</v>
      </c>
      <c r="BI1286" s="80">
        <f>IF(BE1286=1,ROUND(AP1286/60,6),0)</f>
        <v>0</v>
      </c>
      <c r="BJ1286" s="80">
        <f>IF(BE1286=1,ROUND(AQ1286/60,6),0)</f>
        <v>0</v>
      </c>
      <c r="BK1286" s="80">
        <f>IF(BE1286=1,ROUND((AR1286+AS1286)/60,6),0)</f>
        <v>0</v>
      </c>
      <c r="BL1286" s="80">
        <f>ROUND(BH1286-BK1286,6)</f>
        <v>0</v>
      </c>
      <c r="BM1286" s="80">
        <f>IF(BE1286=1,ROUND(AR1286/60,6),0)</f>
        <v>0</v>
      </c>
      <c r="BN1286" s="80">
        <f>ROUND(BI1286-BM1286,6)</f>
        <v>0</v>
      </c>
      <c r="BO1286" s="80">
        <f>IF(BE1286=1,ROUND(AS1286/60,6),0)</f>
        <v>0</v>
      </c>
      <c r="BP1286" s="80">
        <f>ROUND(BJ1286-BO1286,6)</f>
        <v>0</v>
      </c>
      <c r="BQ1286" s="80">
        <f>IF(BE1286=1,AW1286,0)</f>
        <v>0</v>
      </c>
      <c r="BR1286" s="80">
        <f>IF(BE1286=1,AX1286,0)</f>
        <v>0</v>
      </c>
      <c r="BS1286" s="80">
        <f>IF(AND(BE1286=1,D1286="Malcolm",BA1286&gt;0),MIN(BH1286,SUMPRODUCT((R_Emp="proMX")*(R_EN&gt;0)*((R_EN-(R_EN&gt;BR1286)*(R_EN-BR1286))&gt;(R_SN+(R_SN&lt;BQ1286)*(BQ1286-R_SN)))*((R_EN-(R_EN&gt;BR1286)*(R_EN-BR1286))-(R_SN+(R_SN&lt;BQ1286)*(BQ1286-R_SN))))/60),0)</f>
        <v>0</v>
      </c>
      <c r="BT1286" s="80">
        <f>IF(AND(BE1286=1,D1286="proMX"),ROUND(BI1286*CFG_RATE+BJ1286*CFG_OTRATE,6),0)</f>
        <v>0</v>
      </c>
      <c r="BU1286" s="80">
        <f>IF(AND(BD1286=1,D1286="proMX"),ROUND(AG1286/CFG_BLK,6),0)</f>
        <v>0</v>
      </c>
      <c r="BV1286" s="80" t="str">
        <f>IF(BF1286="Approved",IF(ISNUMBER(T1286),INT(T1286),INT(B1286)),"")</f>
        <v/>
      </c>
      <c r="BW1286" s="80">
        <f>IF(ISNUMBER(B1286),IF(DB_MON="Todos",1,IF(AND(INT(B1286)&gt;=DB_MS,INT(B1286)&lt;=DB_ME),1,0)),0)</f>
        <v>0</v>
      </c>
      <c r="BX1286" s="80">
        <f>IF(DB_PROJ="Todos",1,IF(E1286&amp;""=DB_PROJ&amp;"",1,0))</f>
        <v>1</v>
      </c>
      <c r="BY1286" s="80">
        <f>BW1286*BX1286</f>
        <v>0</v>
      </c>
      <c r="BZ1286" s="80" t="str">
        <f>IF(Y1286=1,F1286&amp;IF(AND(F1286&amp;""&lt;&gt;"",E1286&amp;""&lt;&gt;"")," · ","")&amp;E1286,"")</f>
        <v/>
      </c>
      <c r="CA1286" s="80" t="str">
        <f>IF(AND(BD1286=1,E1286&amp;""&lt;&gt;""),IF(COUNTIFS($E$5:E1285,E1286,$BD$5:BD1285,1)=0,MAX($CA$5:CA1285)+1,""),"")</f>
        <v/>
      </c>
      <c r="CB1286" s="80" t="str">
        <f>IF(AND(BE1286=1,D1286="Malcolm",E1286&amp;""&lt;&gt;""),IF(COUNTIFS($D$5:D1285,"Malcolm",$E$5:E1285,E1286,$BE$5:BE1285,1)=0,MAX($CB$5:CB1285)+1,""),"")</f>
        <v/>
      </c>
      <c r="CC1286" s="80" t="str">
        <f>IF(AND(BD1286=1,D1286="proMX",E1286&amp;""&lt;&gt;""),IF(COUNTIFS($D$5:D1285,"proMX",$E$5:E1285,E1286,$BD$5:BD1285,1)=0,MAX($CC$5:CC1285)+1,""),"")</f>
        <v/>
      </c>
      <c r="CD1286" s="80" t="str">
        <f>IF(AND(BE1286=1,D1286="Malcolm",F1286&amp;""&lt;&gt;""),IF(COUNTIFS($D$5:D1285,"Malcolm",$F$5:F1285,F1286,$BE$5:BE1285,1)=0,MAX($CD$5:CD1285)+1,""),"")</f>
        <v/>
      </c>
      <c r="CE1286" s="80" t="str">
        <f>IF(AND(BD1286=1,D1286="proMX",F1286&amp;""&lt;&gt;""),IF(COUNTIFS($D$5:D1285,"proMX",$F$5:F1285,F1286,$BD$5:BD1285,1)=0,MAX($CE$5:CE1285)+1,""),"")</f>
        <v/>
      </c>
      <c r="CF1286" s="80" t="str">
        <f>IF(AND(D1286="proMX",BD1286=1),IF(OR(BF1286="Draft",BF1286="Submitted",BF1286="Returned",BF1286="Recall Requested"),MAX($CF$5:CF1285)+1,""),"")</f>
        <v/>
      </c>
      <c r="CG1286" s="80">
        <f>IF(BD1286=0,0,IF(D1286="Malcolm",1,MATCH(BF1286,{"Draft","Submitted","Approved","Returned","Recall Requested","Cancelled"},0)+1))</f>
        <v>0</v>
      </c>
      <c r="CH1286" s="80">
        <f>IF(AND(BF1286="Submitted",ISNUMBER(V1286)),IF(V1286&gt;CFG_MAXD,1,0),0)</f>
        <v>0</v>
      </c>
    </row>
    <row r="1287">
      <c r="A1287" s="71" t="str">
        <f>IF(Y1287=1,ROW()-5,"")</f>
        <v/>
      </c>
      <c r="B1287" s="72" t="n"/>
      <c r="C1287" s="71" t="str">
        <f>IF(ISNUMBER(B1287),CHOOSE(WEEKDAY(B1287,2),"Lun","Mar","Mié","Jue","Vie","Sáb","Dom"),"")</f>
        <v/>
      </c>
      <c r="D1287" s="73" t="n"/>
      <c r="E1287" s="74" t="n"/>
      <c r="F1287" s="74" t="n"/>
      <c r="G1287" s="74" t="n"/>
      <c r="H1287" s="75" t="n"/>
      <c r="I1287" s="75" t="n"/>
      <c r="J1287" s="76" t="n"/>
      <c r="K1287" s="77" t="str">
        <f>IF(AB1287=1,ROUND(AG1287/60,4),"")</f>
        <v/>
      </c>
      <c r="L1287" s="77" t="str">
        <f>IF(BD1287=1,ROUND(AP1287/60,4),"")</f>
        <v/>
      </c>
      <c r="M1287" s="77" t="str">
        <f>IF(BD1287=1,ROUND(AQ1287/60,4),"")</f>
        <v/>
      </c>
      <c r="N1287" s="71" t="str">
        <f>IF(AND(D1287="proMX",AB1287=1),ROUND(AG1287/CFG_BLK,2),"")</f>
        <v/>
      </c>
      <c r="O1287" s="77" t="str">
        <f>IF(D1287="proMX",IF(BD1287=1,ROUND(AG1287/60,4),0),"")</f>
        <v/>
      </c>
      <c r="P1287" s="78" t="str">
        <f>IF(Y1287=0,"",IF(BD1287=1,"OK",IF(D1287="proMX","Revisar bloques: ","Revisar: ")&amp;BC1287))</f>
        <v/>
      </c>
      <c r="Q1287" s="78" t="str">
        <f>IF(NOT(ISNUMBER(B1287)),"",IF(COUNTIFS(FER_F,INT(B1287))&gt;0,"Feriado"&amp;IF(AH1287=1," (laborable)"," (no laborable)"),IF(AH1287=1,"Laborable",IF(WEEKDAY(B1287,2)&gt;5,"Fin de semana","No laborable"))))</f>
        <v/>
      </c>
      <c r="R1287" s="73" t="n"/>
      <c r="S1287" s="72" t="n"/>
      <c r="T1287" s="72" t="n"/>
      <c r="U1287" s="74" t="n"/>
      <c r="V1287" s="79" t="str">
        <f>IF(AND(D1287="proMX",OR(R1287="Submitted",R1287="Recall Requested"),ISNUMBER(S1287)),CFG_TODAY-INT(S1287),"")</f>
        <v/>
      </c>
      <c r="W1287" s="78" t="str">
        <f>IF(BD1287=0,"",IF(BA1287&gt;0,"⚠ Se superpone con un registro de la otra empresa",IF(D1287="Malcolm",IF(COUNTA(R1287,S1287,T1287)&gt;0,"Estado/fechas proMX se ignoran en Malcolm",""),IF(BF1287="Cancelled","Cancelado: excluido de totales",IF(R1287="","Sin estado: se trata como Draft",IF(BF1287="Submitted",IF(ISNUMBER(V1287),IF(V1287&gt;CFG_MAXD,"⚠ "&amp;V1287&amp;" días en Submitted (máx. "&amp;CFG_MAXD&amp;")",""),"Falta fecha de envío"),IF(BF1287="Returned","⚠ Devuelto: corregir y reenviar",IF(BF1287="Recall Requested","Retirada solicitada: pendiente",IF(AND(BF1287="Approved",NOT(ISNUMBER(T1287))),"Falta fecha de aprobación",IF(AND(ISNUMBER(S1287),ISNUMBER(T1287),T1287&lt;S1287),"Aprobación anterior al envío","")))))))))</f>
        <v/>
      </c>
      <c r="Y1287" s="80">
        <f>IF(COUNTA(B1287,D1287,E1287,F1287,G1287,H1287,I1287,J1287,R1287,S1287,T1287)&gt;0,1,0)</f>
        <v>0</v>
      </c>
      <c r="Z1287" s="80" t="str">
        <f>IF(AND(ISNUMBER(H1287),H1287&gt;=0,H1287&lt;1),ROUND(H1287*1440,0),"")</f>
        <v/>
      </c>
      <c r="AA1287" s="80" t="str">
        <f>IF(AND(ISNUMBER(I1287),I1287&gt;=0,I1287&lt;1),ROUND(I1287*1440,0),"")</f>
        <v/>
      </c>
      <c r="AB1287" s="80">
        <f>IF(AND(ISNUMBER(B1287),D1287&lt;&gt;"",ISNUMBER(Z1287),ISNUMBER(AA1287)),IF(Z1287=AA1287,0,1),0)</f>
        <v>0</v>
      </c>
      <c r="AC1287" s="80">
        <f>IF(AB1287=1,IF(AA1287&lt;Z1287,1,0),0)</f>
        <v>0</v>
      </c>
      <c r="AD1287" s="80">
        <f>IF(AB1287=1,IF(AC1287=1,1440-Z1287+AA1287,AA1287-Z1287),0)</f>
        <v>0</v>
      </c>
      <c r="AE1287" s="80">
        <f>IF(J1287="",0,IF(ISNUMBER(J1287),J1287,-1))</f>
        <v>0</v>
      </c>
      <c r="AF1287" s="80">
        <f>MIN(MAX(0,AE1287),AD1287)</f>
        <v>0</v>
      </c>
      <c r="AG1287" s="80">
        <f>MAX(0,AD1287-MAX(0,AE1287))</f>
        <v>0</v>
      </c>
      <c r="AH1287" s="80">
        <f>IF(ISNUMBER(B1287),IF(AND(INDEX(CFG_WDAYS,WEEKDAY(INT(B1287),2))="Sí",IF(D1287="proMX",COUNTIFS(FER_F,INT(B1287),FER_NLP,"Sí"),COUNTIFS(FER_F,INT(B1287),FER_NLM,"Sí"))=0),1,0),0)</f>
        <v>0</v>
      </c>
      <c r="AI1287" s="80">
        <f>IF(AC1287=1,IF(AND(INDEX(CFG_WDAYS,WEEKDAY(INT(B1287)+1,2))="Sí",IF(D1287="proMX",COUNTIFS(FER_F,INT(B1287)+1,FER_NLP,"Sí"),COUNTIFS(FER_F,INT(B1287)+1,FER_NLM,"Sí"))=0),1,0),0)</f>
        <v>0</v>
      </c>
      <c r="AJ1287" s="80">
        <f>IF(AC1287=1,1440-Z1287,AD1287)</f>
        <v>0</v>
      </c>
      <c r="AK1287" s="80">
        <f>IF(AND(AB1287=1,AH1287=1),MAX(0,MIN(IF(AC1287=1,1440,AA1287),CFG_WEM)-MAX(Z1287,CFG_WSM)),0)</f>
        <v>0</v>
      </c>
      <c r="AL1287" s="80">
        <f>IF(AND(AC1287=1,AI1287=1),MAX(0,MIN(AA1287,CFG_WEM)-CFG_WSM),0)</f>
        <v>0</v>
      </c>
      <c r="AM1287" s="80">
        <f>AK1287+AL1287</f>
        <v>0</v>
      </c>
      <c r="AN1287" s="80">
        <f>IF(CFG_BRK="Proporcional",IF(AD1287=0,0,AF1287*AM1287/AD1287),IF(CFG_BRK="Extras primero",MIN(AM1287,MAX(0,AF1287-(AD1287-AM1287))),MIN(AF1287,AM1287)))</f>
        <v>0</v>
      </c>
      <c r="AO1287" s="80">
        <f>AF1287-AN1287</f>
        <v>0</v>
      </c>
      <c r="AP1287" s="80">
        <f>AM1287-AN1287</f>
        <v>0</v>
      </c>
      <c r="AQ1287" s="80">
        <f>AD1287-AM1287-AO1287</f>
        <v>0</v>
      </c>
      <c r="AR1287" s="80">
        <f>IF(AM1287=0,0,AK1287-AN1287*AK1287/AM1287)</f>
        <v>0</v>
      </c>
      <c r="AS1287" s="80">
        <f>IF(AD1287-AM1287=0,0,(AJ1287-AK1287)-AO1287*(AJ1287-AK1287)/(AD1287-AM1287))</f>
        <v>0</v>
      </c>
      <c r="AT1287" s="80" t="str">
        <f>IF(AC1287=1,INT(B1287)+1,"")</f>
        <v/>
      </c>
      <c r="AU1287" s="80">
        <f>IF(AND(D1287="proMX",R1287="Cancelled"),0,1)</f>
        <v>1</v>
      </c>
      <c r="AV1287" s="80">
        <f>IF(AND(AB1287=1,AU1287=1),IF(COUNTIFS($D$5:D1286,D1287,$B$5:B1286,B1287,$Z$5:Z1286,Z1287,$AA$5:AA1286,AA1287,$F$5:F1286,F1287&amp;"",$AU$5:AU1286,1)&gt;0,1,0),0)</f>
        <v>0</v>
      </c>
      <c r="AW1287" s="80" t="str">
        <f>IF(AB1287=1,INT(B1287)*1440+Z1287,"")</f>
        <v/>
      </c>
      <c r="AX1287" s="80" t="str">
        <f>IF(AB1287=1,AW1287+AD1287,"")</f>
        <v/>
      </c>
      <c r="AY1287" s="80">
        <f>IF(AND(AB1287=1,AV1287=0,AU1287=1),1,0)</f>
        <v>0</v>
      </c>
      <c r="AZ1287" s="80">
        <f>IF(AY1287=1,COUNTIFS(R_Emp,D1287,R_SAbs,"&lt;"&amp;AX1287,R_EAbs,"&gt;"&amp;AW1287,R_OKey,1)-1,0)</f>
        <v>0</v>
      </c>
      <c r="BA1287" s="80">
        <f>IF(AY1287=1,COUNTIFS(R_Emp,"&lt;&gt;"&amp;D1287,R_SAbs,"&lt;"&amp;AX1287,R_EAbs,"&gt;"&amp;AW1287,R_OKey,1),0)</f>
        <v>0</v>
      </c>
      <c r="BB1287" s="80">
        <f>IF(AND(AB1287=1,D1287="proMX"),IF(AND(MOD(Z1287,CFG_BLK)=0,MOD(AA1287,CFG_BLK)=0,MOD(AG1287,CFG_BLK)=0,AG1287&gt;0),1,0),1)</f>
        <v>1</v>
      </c>
      <c r="BC1287" s="80" t="str">
        <f>IF(Y1287=0,"",IF(NOT(ISNUMBER(B1287)),"Falta fecha o fecha inválida",IF(D1287="","Falta empresa",IF(AND(D1287&lt;&gt;"Malcolm",D1287&lt;&gt;"proMX"),"Empresa inválida",IF(OR(INT(B1287)&lt;CFG_PSTART,INT(B1287)&gt;CFG_PEND),"Fecha fuera del período",IF(OR(NOT(ISNUMBER(Z1287)),NOT(ISNUMBER(AA1287))),"Falta hora inicio/fin o formato inválido",IF(AB1287=0,"Hora inicio = hora fin",IF(AE1287&lt;0,"Descanso inválido",IF(AE1287&gt;=AD1287,"Descanso ≥ duración",IF(AV1287=1,"Registro duplicado",IF(AZ1287&gt;0,"Se superpone con otro registro "&amp;D1287,IF(BB1287=0,"inicio, fin y duración neta deben ser múltiplos de "&amp;CFG_BLK&amp;" min",""))))))))))))</f>
        <v/>
      </c>
      <c r="BD1287" s="80">
        <f>IF(AND(Y1287=1,BC1287=""),1,0)</f>
        <v>0</v>
      </c>
      <c r="BE1287" s="80">
        <f>IF(AND(BD1287=1,AU1287=1),1,0)</f>
        <v>0</v>
      </c>
      <c r="BF1287" s="80" t="str">
        <f>IF(AND(D1287="proMX",BD1287=1),IF(R1287="","Draft",R1287),"")</f>
        <v/>
      </c>
      <c r="BG1287" s="80">
        <f>IF(BD1287=1,ROUND(AG1287/60,6),0)</f>
        <v>0</v>
      </c>
      <c r="BH1287" s="80">
        <f>IF(BE1287=1,ROUND(AG1287/60,6),0)</f>
        <v>0</v>
      </c>
      <c r="BI1287" s="80">
        <f>IF(BE1287=1,ROUND(AP1287/60,6),0)</f>
        <v>0</v>
      </c>
      <c r="BJ1287" s="80">
        <f>IF(BE1287=1,ROUND(AQ1287/60,6),0)</f>
        <v>0</v>
      </c>
      <c r="BK1287" s="80">
        <f>IF(BE1287=1,ROUND((AR1287+AS1287)/60,6),0)</f>
        <v>0</v>
      </c>
      <c r="BL1287" s="80">
        <f>ROUND(BH1287-BK1287,6)</f>
        <v>0</v>
      </c>
      <c r="BM1287" s="80">
        <f>IF(BE1287=1,ROUND(AR1287/60,6),0)</f>
        <v>0</v>
      </c>
      <c r="BN1287" s="80">
        <f>ROUND(BI1287-BM1287,6)</f>
        <v>0</v>
      </c>
      <c r="BO1287" s="80">
        <f>IF(BE1287=1,ROUND(AS1287/60,6),0)</f>
        <v>0</v>
      </c>
      <c r="BP1287" s="80">
        <f>ROUND(BJ1287-BO1287,6)</f>
        <v>0</v>
      </c>
      <c r="BQ1287" s="80">
        <f>IF(BE1287=1,AW1287,0)</f>
        <v>0</v>
      </c>
      <c r="BR1287" s="80">
        <f>IF(BE1287=1,AX1287,0)</f>
        <v>0</v>
      </c>
      <c r="BS1287" s="80">
        <f>IF(AND(BE1287=1,D1287="Malcolm",BA1287&gt;0),MIN(BH1287,SUMPRODUCT((R_Emp="proMX")*(R_EN&gt;0)*((R_EN-(R_EN&gt;BR1287)*(R_EN-BR1287))&gt;(R_SN+(R_SN&lt;BQ1287)*(BQ1287-R_SN)))*((R_EN-(R_EN&gt;BR1287)*(R_EN-BR1287))-(R_SN+(R_SN&lt;BQ1287)*(BQ1287-R_SN))))/60),0)</f>
        <v>0</v>
      </c>
      <c r="BT1287" s="80">
        <f>IF(AND(BE1287=1,D1287="proMX"),ROUND(BI1287*CFG_RATE+BJ1287*CFG_OTRATE,6),0)</f>
        <v>0</v>
      </c>
      <c r="BU1287" s="80">
        <f>IF(AND(BD1287=1,D1287="proMX"),ROUND(AG1287/CFG_BLK,6),0)</f>
        <v>0</v>
      </c>
      <c r="BV1287" s="80" t="str">
        <f>IF(BF1287="Approved",IF(ISNUMBER(T1287),INT(T1287),INT(B1287)),"")</f>
        <v/>
      </c>
      <c r="BW1287" s="80">
        <f>IF(ISNUMBER(B1287),IF(DB_MON="Todos",1,IF(AND(INT(B1287)&gt;=DB_MS,INT(B1287)&lt;=DB_ME),1,0)),0)</f>
        <v>0</v>
      </c>
      <c r="BX1287" s="80">
        <f>IF(DB_PROJ="Todos",1,IF(E1287&amp;""=DB_PROJ&amp;"",1,0))</f>
        <v>1</v>
      </c>
      <c r="BY1287" s="80">
        <f>BW1287*BX1287</f>
        <v>0</v>
      </c>
      <c r="BZ1287" s="80" t="str">
        <f>IF(Y1287=1,F1287&amp;IF(AND(F1287&amp;""&lt;&gt;"",E1287&amp;""&lt;&gt;"")," · ","")&amp;E1287,"")</f>
        <v/>
      </c>
      <c r="CA1287" s="80" t="str">
        <f>IF(AND(BD1287=1,E1287&amp;""&lt;&gt;""),IF(COUNTIFS($E$5:E1286,E1287,$BD$5:BD1286,1)=0,MAX($CA$5:CA1286)+1,""),"")</f>
        <v/>
      </c>
      <c r="CB1287" s="80" t="str">
        <f>IF(AND(BE1287=1,D1287="Malcolm",E1287&amp;""&lt;&gt;""),IF(COUNTIFS($D$5:D1286,"Malcolm",$E$5:E1286,E1287,$BE$5:BE1286,1)=0,MAX($CB$5:CB1286)+1,""),"")</f>
        <v/>
      </c>
      <c r="CC1287" s="80" t="str">
        <f>IF(AND(BD1287=1,D1287="proMX",E1287&amp;""&lt;&gt;""),IF(COUNTIFS($D$5:D1286,"proMX",$E$5:E1286,E1287,$BD$5:BD1286,1)=0,MAX($CC$5:CC1286)+1,""),"")</f>
        <v/>
      </c>
      <c r="CD1287" s="80" t="str">
        <f>IF(AND(BE1287=1,D1287="Malcolm",F1287&amp;""&lt;&gt;""),IF(COUNTIFS($D$5:D1286,"Malcolm",$F$5:F1286,F1287,$BE$5:BE1286,1)=0,MAX($CD$5:CD1286)+1,""),"")</f>
        <v/>
      </c>
      <c r="CE1287" s="80" t="str">
        <f>IF(AND(BD1287=1,D1287="proMX",F1287&amp;""&lt;&gt;""),IF(COUNTIFS($D$5:D1286,"proMX",$F$5:F1286,F1287,$BD$5:BD1286,1)=0,MAX($CE$5:CE1286)+1,""),"")</f>
        <v/>
      </c>
      <c r="CF1287" s="80" t="str">
        <f>IF(AND(D1287="proMX",BD1287=1),IF(OR(BF1287="Draft",BF1287="Submitted",BF1287="Returned",BF1287="Recall Requested"),MAX($CF$5:CF1286)+1,""),"")</f>
        <v/>
      </c>
      <c r="CG1287" s="80">
        <f>IF(BD1287=0,0,IF(D1287="Malcolm",1,MATCH(BF1287,{"Draft","Submitted","Approved","Returned","Recall Requested","Cancelled"},0)+1))</f>
        <v>0</v>
      </c>
      <c r="CH1287" s="80">
        <f>IF(AND(BF1287="Submitted",ISNUMBER(V1287)),IF(V1287&gt;CFG_MAXD,1,0),0)</f>
        <v>0</v>
      </c>
    </row>
    <row r="1288">
      <c r="A1288" s="71" t="str">
        <f>IF(Y1288=1,ROW()-5,"")</f>
        <v/>
      </c>
      <c r="B1288" s="72" t="n"/>
      <c r="C1288" s="71" t="str">
        <f>IF(ISNUMBER(B1288),CHOOSE(WEEKDAY(B1288,2),"Lun","Mar","Mié","Jue","Vie","Sáb","Dom"),"")</f>
        <v/>
      </c>
      <c r="D1288" s="73" t="n"/>
      <c r="E1288" s="74" t="n"/>
      <c r="F1288" s="74" t="n"/>
      <c r="G1288" s="74" t="n"/>
      <c r="H1288" s="75" t="n"/>
      <c r="I1288" s="75" t="n"/>
      <c r="J1288" s="76" t="n"/>
      <c r="K1288" s="77" t="str">
        <f>IF(AB1288=1,ROUND(AG1288/60,4),"")</f>
        <v/>
      </c>
      <c r="L1288" s="77" t="str">
        <f>IF(BD1288=1,ROUND(AP1288/60,4),"")</f>
        <v/>
      </c>
      <c r="M1288" s="77" t="str">
        <f>IF(BD1288=1,ROUND(AQ1288/60,4),"")</f>
        <v/>
      </c>
      <c r="N1288" s="71" t="str">
        <f>IF(AND(D1288="proMX",AB1288=1),ROUND(AG1288/CFG_BLK,2),"")</f>
        <v/>
      </c>
      <c r="O1288" s="77" t="str">
        <f>IF(D1288="proMX",IF(BD1288=1,ROUND(AG1288/60,4),0),"")</f>
        <v/>
      </c>
      <c r="P1288" s="78" t="str">
        <f>IF(Y1288=0,"",IF(BD1288=1,"OK",IF(D1288="proMX","Revisar bloques: ","Revisar: ")&amp;BC1288))</f>
        <v/>
      </c>
      <c r="Q1288" s="78" t="str">
        <f>IF(NOT(ISNUMBER(B1288)),"",IF(COUNTIFS(FER_F,INT(B1288))&gt;0,"Feriado"&amp;IF(AH1288=1," (laborable)"," (no laborable)"),IF(AH1288=1,"Laborable",IF(WEEKDAY(B1288,2)&gt;5,"Fin de semana","No laborable"))))</f>
        <v/>
      </c>
      <c r="R1288" s="73" t="n"/>
      <c r="S1288" s="72" t="n"/>
      <c r="T1288" s="72" t="n"/>
      <c r="U1288" s="74" t="n"/>
      <c r="V1288" s="79" t="str">
        <f>IF(AND(D1288="proMX",OR(R1288="Submitted",R1288="Recall Requested"),ISNUMBER(S1288)),CFG_TODAY-INT(S1288),"")</f>
        <v/>
      </c>
      <c r="W1288" s="78" t="str">
        <f>IF(BD1288=0,"",IF(BA1288&gt;0,"⚠ Se superpone con un registro de la otra empresa",IF(D1288="Malcolm",IF(COUNTA(R1288,S1288,T1288)&gt;0,"Estado/fechas proMX se ignoran en Malcolm",""),IF(BF1288="Cancelled","Cancelado: excluido de totales",IF(R1288="","Sin estado: se trata como Draft",IF(BF1288="Submitted",IF(ISNUMBER(V1288),IF(V1288&gt;CFG_MAXD,"⚠ "&amp;V1288&amp;" días en Submitted (máx. "&amp;CFG_MAXD&amp;")",""),"Falta fecha de envío"),IF(BF1288="Returned","⚠ Devuelto: corregir y reenviar",IF(BF1288="Recall Requested","Retirada solicitada: pendiente",IF(AND(BF1288="Approved",NOT(ISNUMBER(T1288))),"Falta fecha de aprobación",IF(AND(ISNUMBER(S1288),ISNUMBER(T1288),T1288&lt;S1288),"Aprobación anterior al envío","")))))))))</f>
        <v/>
      </c>
      <c r="Y1288" s="80">
        <f>IF(COUNTA(B1288,D1288,E1288,F1288,G1288,H1288,I1288,J1288,R1288,S1288,T1288)&gt;0,1,0)</f>
        <v>0</v>
      </c>
      <c r="Z1288" s="80" t="str">
        <f>IF(AND(ISNUMBER(H1288),H1288&gt;=0,H1288&lt;1),ROUND(H1288*1440,0),"")</f>
        <v/>
      </c>
      <c r="AA1288" s="80" t="str">
        <f>IF(AND(ISNUMBER(I1288),I1288&gt;=0,I1288&lt;1),ROUND(I1288*1440,0),"")</f>
        <v/>
      </c>
      <c r="AB1288" s="80">
        <f>IF(AND(ISNUMBER(B1288),D1288&lt;&gt;"",ISNUMBER(Z1288),ISNUMBER(AA1288)),IF(Z1288=AA1288,0,1),0)</f>
        <v>0</v>
      </c>
      <c r="AC1288" s="80">
        <f>IF(AB1288=1,IF(AA1288&lt;Z1288,1,0),0)</f>
        <v>0</v>
      </c>
      <c r="AD1288" s="80">
        <f>IF(AB1288=1,IF(AC1288=1,1440-Z1288+AA1288,AA1288-Z1288),0)</f>
        <v>0</v>
      </c>
      <c r="AE1288" s="80">
        <f>IF(J1288="",0,IF(ISNUMBER(J1288),J1288,-1))</f>
        <v>0</v>
      </c>
      <c r="AF1288" s="80">
        <f>MIN(MAX(0,AE1288),AD1288)</f>
        <v>0</v>
      </c>
      <c r="AG1288" s="80">
        <f>MAX(0,AD1288-MAX(0,AE1288))</f>
        <v>0</v>
      </c>
      <c r="AH1288" s="80">
        <f>IF(ISNUMBER(B1288),IF(AND(INDEX(CFG_WDAYS,WEEKDAY(INT(B1288),2))="Sí",IF(D1288="proMX",COUNTIFS(FER_F,INT(B1288),FER_NLP,"Sí"),COUNTIFS(FER_F,INT(B1288),FER_NLM,"Sí"))=0),1,0),0)</f>
        <v>0</v>
      </c>
      <c r="AI1288" s="80">
        <f>IF(AC1288=1,IF(AND(INDEX(CFG_WDAYS,WEEKDAY(INT(B1288)+1,2))="Sí",IF(D1288="proMX",COUNTIFS(FER_F,INT(B1288)+1,FER_NLP,"Sí"),COUNTIFS(FER_F,INT(B1288)+1,FER_NLM,"Sí"))=0),1,0),0)</f>
        <v>0</v>
      </c>
      <c r="AJ1288" s="80">
        <f>IF(AC1288=1,1440-Z1288,AD1288)</f>
        <v>0</v>
      </c>
      <c r="AK1288" s="80">
        <f>IF(AND(AB1288=1,AH1288=1),MAX(0,MIN(IF(AC1288=1,1440,AA1288),CFG_WEM)-MAX(Z1288,CFG_WSM)),0)</f>
        <v>0</v>
      </c>
      <c r="AL1288" s="80">
        <f>IF(AND(AC1288=1,AI1288=1),MAX(0,MIN(AA1288,CFG_WEM)-CFG_WSM),0)</f>
        <v>0</v>
      </c>
      <c r="AM1288" s="80">
        <f>AK1288+AL1288</f>
        <v>0</v>
      </c>
      <c r="AN1288" s="80">
        <f>IF(CFG_BRK="Proporcional",IF(AD1288=0,0,AF1288*AM1288/AD1288),IF(CFG_BRK="Extras primero",MIN(AM1288,MAX(0,AF1288-(AD1288-AM1288))),MIN(AF1288,AM1288)))</f>
        <v>0</v>
      </c>
      <c r="AO1288" s="80">
        <f>AF1288-AN1288</f>
        <v>0</v>
      </c>
      <c r="AP1288" s="80">
        <f>AM1288-AN1288</f>
        <v>0</v>
      </c>
      <c r="AQ1288" s="80">
        <f>AD1288-AM1288-AO1288</f>
        <v>0</v>
      </c>
      <c r="AR1288" s="80">
        <f>IF(AM1288=0,0,AK1288-AN1288*AK1288/AM1288)</f>
        <v>0</v>
      </c>
      <c r="AS1288" s="80">
        <f>IF(AD1288-AM1288=0,0,(AJ1288-AK1288)-AO1288*(AJ1288-AK1288)/(AD1288-AM1288))</f>
        <v>0</v>
      </c>
      <c r="AT1288" s="80" t="str">
        <f>IF(AC1288=1,INT(B1288)+1,"")</f>
        <v/>
      </c>
      <c r="AU1288" s="80">
        <f>IF(AND(D1288="proMX",R1288="Cancelled"),0,1)</f>
        <v>1</v>
      </c>
      <c r="AV1288" s="80">
        <f>IF(AND(AB1288=1,AU1288=1),IF(COUNTIFS($D$5:D1287,D1288,$B$5:B1287,B1288,$Z$5:Z1287,Z1288,$AA$5:AA1287,AA1288,$F$5:F1287,F1288&amp;"",$AU$5:AU1287,1)&gt;0,1,0),0)</f>
        <v>0</v>
      </c>
      <c r="AW1288" s="80" t="str">
        <f>IF(AB1288=1,INT(B1288)*1440+Z1288,"")</f>
        <v/>
      </c>
      <c r="AX1288" s="80" t="str">
        <f>IF(AB1288=1,AW1288+AD1288,"")</f>
        <v/>
      </c>
      <c r="AY1288" s="80">
        <f>IF(AND(AB1288=1,AV1288=0,AU1288=1),1,0)</f>
        <v>0</v>
      </c>
      <c r="AZ1288" s="80">
        <f>IF(AY1288=1,COUNTIFS(R_Emp,D1288,R_SAbs,"&lt;"&amp;AX1288,R_EAbs,"&gt;"&amp;AW1288,R_OKey,1)-1,0)</f>
        <v>0</v>
      </c>
      <c r="BA1288" s="80">
        <f>IF(AY1288=1,COUNTIFS(R_Emp,"&lt;&gt;"&amp;D1288,R_SAbs,"&lt;"&amp;AX1288,R_EAbs,"&gt;"&amp;AW1288,R_OKey,1),0)</f>
        <v>0</v>
      </c>
      <c r="BB1288" s="80">
        <f>IF(AND(AB1288=1,D1288="proMX"),IF(AND(MOD(Z1288,CFG_BLK)=0,MOD(AA1288,CFG_BLK)=0,MOD(AG1288,CFG_BLK)=0,AG1288&gt;0),1,0),1)</f>
        <v>1</v>
      </c>
      <c r="BC1288" s="80" t="str">
        <f>IF(Y1288=0,"",IF(NOT(ISNUMBER(B1288)),"Falta fecha o fecha inválida",IF(D1288="","Falta empresa",IF(AND(D1288&lt;&gt;"Malcolm",D1288&lt;&gt;"proMX"),"Empresa inválida",IF(OR(INT(B1288)&lt;CFG_PSTART,INT(B1288)&gt;CFG_PEND),"Fecha fuera del período",IF(OR(NOT(ISNUMBER(Z1288)),NOT(ISNUMBER(AA1288))),"Falta hora inicio/fin o formato inválido",IF(AB1288=0,"Hora inicio = hora fin",IF(AE1288&lt;0,"Descanso inválido",IF(AE1288&gt;=AD1288,"Descanso ≥ duración",IF(AV1288=1,"Registro duplicado",IF(AZ1288&gt;0,"Se superpone con otro registro "&amp;D1288,IF(BB1288=0,"inicio, fin y duración neta deben ser múltiplos de "&amp;CFG_BLK&amp;" min",""))))))))))))</f>
        <v/>
      </c>
      <c r="BD1288" s="80">
        <f>IF(AND(Y1288=1,BC1288=""),1,0)</f>
        <v>0</v>
      </c>
      <c r="BE1288" s="80">
        <f>IF(AND(BD1288=1,AU1288=1),1,0)</f>
        <v>0</v>
      </c>
      <c r="BF1288" s="80" t="str">
        <f>IF(AND(D1288="proMX",BD1288=1),IF(R1288="","Draft",R1288),"")</f>
        <v/>
      </c>
      <c r="BG1288" s="80">
        <f>IF(BD1288=1,ROUND(AG1288/60,6),0)</f>
        <v>0</v>
      </c>
      <c r="BH1288" s="80">
        <f>IF(BE1288=1,ROUND(AG1288/60,6),0)</f>
        <v>0</v>
      </c>
      <c r="BI1288" s="80">
        <f>IF(BE1288=1,ROUND(AP1288/60,6),0)</f>
        <v>0</v>
      </c>
      <c r="BJ1288" s="80">
        <f>IF(BE1288=1,ROUND(AQ1288/60,6),0)</f>
        <v>0</v>
      </c>
      <c r="BK1288" s="80">
        <f>IF(BE1288=1,ROUND((AR1288+AS1288)/60,6),0)</f>
        <v>0</v>
      </c>
      <c r="BL1288" s="80">
        <f>ROUND(BH1288-BK1288,6)</f>
        <v>0</v>
      </c>
      <c r="BM1288" s="80">
        <f>IF(BE1288=1,ROUND(AR1288/60,6),0)</f>
        <v>0</v>
      </c>
      <c r="BN1288" s="80">
        <f>ROUND(BI1288-BM1288,6)</f>
        <v>0</v>
      </c>
      <c r="BO1288" s="80">
        <f>IF(BE1288=1,ROUND(AS1288/60,6),0)</f>
        <v>0</v>
      </c>
      <c r="BP1288" s="80">
        <f>ROUND(BJ1288-BO1288,6)</f>
        <v>0</v>
      </c>
      <c r="BQ1288" s="80">
        <f>IF(BE1288=1,AW1288,0)</f>
        <v>0</v>
      </c>
      <c r="BR1288" s="80">
        <f>IF(BE1288=1,AX1288,0)</f>
        <v>0</v>
      </c>
      <c r="BS1288" s="80">
        <f>IF(AND(BE1288=1,D1288="Malcolm",BA1288&gt;0),MIN(BH1288,SUMPRODUCT((R_Emp="proMX")*(R_EN&gt;0)*((R_EN-(R_EN&gt;BR1288)*(R_EN-BR1288))&gt;(R_SN+(R_SN&lt;BQ1288)*(BQ1288-R_SN)))*((R_EN-(R_EN&gt;BR1288)*(R_EN-BR1288))-(R_SN+(R_SN&lt;BQ1288)*(BQ1288-R_SN))))/60),0)</f>
        <v>0</v>
      </c>
      <c r="BT1288" s="80">
        <f>IF(AND(BE1288=1,D1288="proMX"),ROUND(BI1288*CFG_RATE+BJ1288*CFG_OTRATE,6),0)</f>
        <v>0</v>
      </c>
      <c r="BU1288" s="80">
        <f>IF(AND(BD1288=1,D1288="proMX"),ROUND(AG1288/CFG_BLK,6),0)</f>
        <v>0</v>
      </c>
      <c r="BV1288" s="80" t="str">
        <f>IF(BF1288="Approved",IF(ISNUMBER(T1288),INT(T1288),INT(B1288)),"")</f>
        <v/>
      </c>
      <c r="BW1288" s="80">
        <f>IF(ISNUMBER(B1288),IF(DB_MON="Todos",1,IF(AND(INT(B1288)&gt;=DB_MS,INT(B1288)&lt;=DB_ME),1,0)),0)</f>
        <v>0</v>
      </c>
      <c r="BX1288" s="80">
        <f>IF(DB_PROJ="Todos",1,IF(E1288&amp;""=DB_PROJ&amp;"",1,0))</f>
        <v>1</v>
      </c>
      <c r="BY1288" s="80">
        <f>BW1288*BX1288</f>
        <v>0</v>
      </c>
      <c r="BZ1288" s="80" t="str">
        <f>IF(Y1288=1,F1288&amp;IF(AND(F1288&amp;""&lt;&gt;"",E1288&amp;""&lt;&gt;"")," · ","")&amp;E1288,"")</f>
        <v/>
      </c>
      <c r="CA1288" s="80" t="str">
        <f>IF(AND(BD1288=1,E1288&amp;""&lt;&gt;""),IF(COUNTIFS($E$5:E1287,E1288,$BD$5:BD1287,1)=0,MAX($CA$5:CA1287)+1,""),"")</f>
        <v/>
      </c>
      <c r="CB1288" s="80" t="str">
        <f>IF(AND(BE1288=1,D1288="Malcolm",E1288&amp;""&lt;&gt;""),IF(COUNTIFS($D$5:D1287,"Malcolm",$E$5:E1287,E1288,$BE$5:BE1287,1)=0,MAX($CB$5:CB1287)+1,""),"")</f>
        <v/>
      </c>
      <c r="CC1288" s="80" t="str">
        <f>IF(AND(BD1288=1,D1288="proMX",E1288&amp;""&lt;&gt;""),IF(COUNTIFS($D$5:D1287,"proMX",$E$5:E1287,E1288,$BD$5:BD1287,1)=0,MAX($CC$5:CC1287)+1,""),"")</f>
        <v/>
      </c>
      <c r="CD1288" s="80" t="str">
        <f>IF(AND(BE1288=1,D1288="Malcolm",F1288&amp;""&lt;&gt;""),IF(COUNTIFS($D$5:D1287,"Malcolm",$F$5:F1287,F1288,$BE$5:BE1287,1)=0,MAX($CD$5:CD1287)+1,""),"")</f>
        <v/>
      </c>
      <c r="CE1288" s="80" t="str">
        <f>IF(AND(BD1288=1,D1288="proMX",F1288&amp;""&lt;&gt;""),IF(COUNTIFS($D$5:D1287,"proMX",$F$5:F1287,F1288,$BD$5:BD1287,1)=0,MAX($CE$5:CE1287)+1,""),"")</f>
        <v/>
      </c>
      <c r="CF1288" s="80" t="str">
        <f>IF(AND(D1288="proMX",BD1288=1),IF(OR(BF1288="Draft",BF1288="Submitted",BF1288="Returned",BF1288="Recall Requested"),MAX($CF$5:CF1287)+1,""),"")</f>
        <v/>
      </c>
      <c r="CG1288" s="80">
        <f>IF(BD1288=0,0,IF(D1288="Malcolm",1,MATCH(BF1288,{"Draft","Submitted","Approved","Returned","Recall Requested","Cancelled"},0)+1))</f>
        <v>0</v>
      </c>
      <c r="CH1288" s="80">
        <f>IF(AND(BF1288="Submitted",ISNUMBER(V1288)),IF(V1288&gt;CFG_MAXD,1,0),0)</f>
        <v>0</v>
      </c>
    </row>
    <row r="1289">
      <c r="A1289" s="71" t="str">
        <f>IF(Y1289=1,ROW()-5,"")</f>
        <v/>
      </c>
      <c r="B1289" s="72" t="n"/>
      <c r="C1289" s="71" t="str">
        <f>IF(ISNUMBER(B1289),CHOOSE(WEEKDAY(B1289,2),"Lun","Mar","Mié","Jue","Vie","Sáb","Dom"),"")</f>
        <v/>
      </c>
      <c r="D1289" s="73" t="n"/>
      <c r="E1289" s="74" t="n"/>
      <c r="F1289" s="74" t="n"/>
      <c r="G1289" s="74" t="n"/>
      <c r="H1289" s="75" t="n"/>
      <c r="I1289" s="75" t="n"/>
      <c r="J1289" s="76" t="n"/>
      <c r="K1289" s="77" t="str">
        <f>IF(AB1289=1,ROUND(AG1289/60,4),"")</f>
        <v/>
      </c>
      <c r="L1289" s="77" t="str">
        <f>IF(BD1289=1,ROUND(AP1289/60,4),"")</f>
        <v/>
      </c>
      <c r="M1289" s="77" t="str">
        <f>IF(BD1289=1,ROUND(AQ1289/60,4),"")</f>
        <v/>
      </c>
      <c r="N1289" s="71" t="str">
        <f>IF(AND(D1289="proMX",AB1289=1),ROUND(AG1289/CFG_BLK,2),"")</f>
        <v/>
      </c>
      <c r="O1289" s="77" t="str">
        <f>IF(D1289="proMX",IF(BD1289=1,ROUND(AG1289/60,4),0),"")</f>
        <v/>
      </c>
      <c r="P1289" s="78" t="str">
        <f>IF(Y1289=0,"",IF(BD1289=1,"OK",IF(D1289="proMX","Revisar bloques: ","Revisar: ")&amp;BC1289))</f>
        <v/>
      </c>
      <c r="Q1289" s="78" t="str">
        <f>IF(NOT(ISNUMBER(B1289)),"",IF(COUNTIFS(FER_F,INT(B1289))&gt;0,"Feriado"&amp;IF(AH1289=1," (laborable)"," (no laborable)"),IF(AH1289=1,"Laborable",IF(WEEKDAY(B1289,2)&gt;5,"Fin de semana","No laborable"))))</f>
        <v/>
      </c>
      <c r="R1289" s="73" t="n"/>
      <c r="S1289" s="72" t="n"/>
      <c r="T1289" s="72" t="n"/>
      <c r="U1289" s="74" t="n"/>
      <c r="V1289" s="79" t="str">
        <f>IF(AND(D1289="proMX",OR(R1289="Submitted",R1289="Recall Requested"),ISNUMBER(S1289)),CFG_TODAY-INT(S1289),"")</f>
        <v/>
      </c>
      <c r="W1289" s="78" t="str">
        <f>IF(BD1289=0,"",IF(BA1289&gt;0,"⚠ Se superpone con un registro de la otra empresa",IF(D1289="Malcolm",IF(COUNTA(R1289,S1289,T1289)&gt;0,"Estado/fechas proMX se ignoran en Malcolm",""),IF(BF1289="Cancelled","Cancelado: excluido de totales",IF(R1289="","Sin estado: se trata como Draft",IF(BF1289="Submitted",IF(ISNUMBER(V1289),IF(V1289&gt;CFG_MAXD,"⚠ "&amp;V1289&amp;" días en Submitted (máx. "&amp;CFG_MAXD&amp;")",""),"Falta fecha de envío"),IF(BF1289="Returned","⚠ Devuelto: corregir y reenviar",IF(BF1289="Recall Requested","Retirada solicitada: pendiente",IF(AND(BF1289="Approved",NOT(ISNUMBER(T1289))),"Falta fecha de aprobación",IF(AND(ISNUMBER(S1289),ISNUMBER(T1289),T1289&lt;S1289),"Aprobación anterior al envío","")))))))))</f>
        <v/>
      </c>
      <c r="Y1289" s="80">
        <f>IF(COUNTA(B1289,D1289,E1289,F1289,G1289,H1289,I1289,J1289,R1289,S1289,T1289)&gt;0,1,0)</f>
        <v>0</v>
      </c>
      <c r="Z1289" s="80" t="str">
        <f>IF(AND(ISNUMBER(H1289),H1289&gt;=0,H1289&lt;1),ROUND(H1289*1440,0),"")</f>
        <v/>
      </c>
      <c r="AA1289" s="80" t="str">
        <f>IF(AND(ISNUMBER(I1289),I1289&gt;=0,I1289&lt;1),ROUND(I1289*1440,0),"")</f>
        <v/>
      </c>
      <c r="AB1289" s="80">
        <f>IF(AND(ISNUMBER(B1289),D1289&lt;&gt;"",ISNUMBER(Z1289),ISNUMBER(AA1289)),IF(Z1289=AA1289,0,1),0)</f>
        <v>0</v>
      </c>
      <c r="AC1289" s="80">
        <f>IF(AB1289=1,IF(AA1289&lt;Z1289,1,0),0)</f>
        <v>0</v>
      </c>
      <c r="AD1289" s="80">
        <f>IF(AB1289=1,IF(AC1289=1,1440-Z1289+AA1289,AA1289-Z1289),0)</f>
        <v>0</v>
      </c>
      <c r="AE1289" s="80">
        <f>IF(J1289="",0,IF(ISNUMBER(J1289),J1289,-1))</f>
        <v>0</v>
      </c>
      <c r="AF1289" s="80">
        <f>MIN(MAX(0,AE1289),AD1289)</f>
        <v>0</v>
      </c>
      <c r="AG1289" s="80">
        <f>MAX(0,AD1289-MAX(0,AE1289))</f>
        <v>0</v>
      </c>
      <c r="AH1289" s="80">
        <f>IF(ISNUMBER(B1289),IF(AND(INDEX(CFG_WDAYS,WEEKDAY(INT(B1289),2))="Sí",IF(D1289="proMX",COUNTIFS(FER_F,INT(B1289),FER_NLP,"Sí"),COUNTIFS(FER_F,INT(B1289),FER_NLM,"Sí"))=0),1,0),0)</f>
        <v>0</v>
      </c>
      <c r="AI1289" s="80">
        <f>IF(AC1289=1,IF(AND(INDEX(CFG_WDAYS,WEEKDAY(INT(B1289)+1,2))="Sí",IF(D1289="proMX",COUNTIFS(FER_F,INT(B1289)+1,FER_NLP,"Sí"),COUNTIFS(FER_F,INT(B1289)+1,FER_NLM,"Sí"))=0),1,0),0)</f>
        <v>0</v>
      </c>
      <c r="AJ1289" s="80">
        <f>IF(AC1289=1,1440-Z1289,AD1289)</f>
        <v>0</v>
      </c>
      <c r="AK1289" s="80">
        <f>IF(AND(AB1289=1,AH1289=1),MAX(0,MIN(IF(AC1289=1,1440,AA1289),CFG_WEM)-MAX(Z1289,CFG_WSM)),0)</f>
        <v>0</v>
      </c>
      <c r="AL1289" s="80">
        <f>IF(AND(AC1289=1,AI1289=1),MAX(0,MIN(AA1289,CFG_WEM)-CFG_WSM),0)</f>
        <v>0</v>
      </c>
      <c r="AM1289" s="80">
        <f>AK1289+AL1289</f>
        <v>0</v>
      </c>
      <c r="AN1289" s="80">
        <f>IF(CFG_BRK="Proporcional",IF(AD1289=0,0,AF1289*AM1289/AD1289),IF(CFG_BRK="Extras primero",MIN(AM1289,MAX(0,AF1289-(AD1289-AM1289))),MIN(AF1289,AM1289)))</f>
        <v>0</v>
      </c>
      <c r="AO1289" s="80">
        <f>AF1289-AN1289</f>
        <v>0</v>
      </c>
      <c r="AP1289" s="80">
        <f>AM1289-AN1289</f>
        <v>0</v>
      </c>
      <c r="AQ1289" s="80">
        <f>AD1289-AM1289-AO1289</f>
        <v>0</v>
      </c>
      <c r="AR1289" s="80">
        <f>IF(AM1289=0,0,AK1289-AN1289*AK1289/AM1289)</f>
        <v>0</v>
      </c>
      <c r="AS1289" s="80">
        <f>IF(AD1289-AM1289=0,0,(AJ1289-AK1289)-AO1289*(AJ1289-AK1289)/(AD1289-AM1289))</f>
        <v>0</v>
      </c>
      <c r="AT1289" s="80" t="str">
        <f>IF(AC1289=1,INT(B1289)+1,"")</f>
        <v/>
      </c>
      <c r="AU1289" s="80">
        <f>IF(AND(D1289="proMX",R1289="Cancelled"),0,1)</f>
        <v>1</v>
      </c>
      <c r="AV1289" s="80">
        <f>IF(AND(AB1289=1,AU1289=1),IF(COUNTIFS($D$5:D1288,D1289,$B$5:B1288,B1289,$Z$5:Z1288,Z1289,$AA$5:AA1288,AA1289,$F$5:F1288,F1289&amp;"",$AU$5:AU1288,1)&gt;0,1,0),0)</f>
        <v>0</v>
      </c>
      <c r="AW1289" s="80" t="str">
        <f>IF(AB1289=1,INT(B1289)*1440+Z1289,"")</f>
        <v/>
      </c>
      <c r="AX1289" s="80" t="str">
        <f>IF(AB1289=1,AW1289+AD1289,"")</f>
        <v/>
      </c>
      <c r="AY1289" s="80">
        <f>IF(AND(AB1289=1,AV1289=0,AU1289=1),1,0)</f>
        <v>0</v>
      </c>
      <c r="AZ1289" s="80">
        <f>IF(AY1289=1,COUNTIFS(R_Emp,D1289,R_SAbs,"&lt;"&amp;AX1289,R_EAbs,"&gt;"&amp;AW1289,R_OKey,1)-1,0)</f>
        <v>0</v>
      </c>
      <c r="BA1289" s="80">
        <f>IF(AY1289=1,COUNTIFS(R_Emp,"&lt;&gt;"&amp;D1289,R_SAbs,"&lt;"&amp;AX1289,R_EAbs,"&gt;"&amp;AW1289,R_OKey,1),0)</f>
        <v>0</v>
      </c>
      <c r="BB1289" s="80">
        <f>IF(AND(AB1289=1,D1289="proMX"),IF(AND(MOD(Z1289,CFG_BLK)=0,MOD(AA1289,CFG_BLK)=0,MOD(AG1289,CFG_BLK)=0,AG1289&gt;0),1,0),1)</f>
        <v>1</v>
      </c>
      <c r="BC1289" s="80" t="str">
        <f>IF(Y1289=0,"",IF(NOT(ISNUMBER(B1289)),"Falta fecha o fecha inválida",IF(D1289="","Falta empresa",IF(AND(D1289&lt;&gt;"Malcolm",D1289&lt;&gt;"proMX"),"Empresa inválida",IF(OR(INT(B1289)&lt;CFG_PSTART,INT(B1289)&gt;CFG_PEND),"Fecha fuera del período",IF(OR(NOT(ISNUMBER(Z1289)),NOT(ISNUMBER(AA1289))),"Falta hora inicio/fin o formato inválido",IF(AB1289=0,"Hora inicio = hora fin",IF(AE1289&lt;0,"Descanso inválido",IF(AE1289&gt;=AD1289,"Descanso ≥ duración",IF(AV1289=1,"Registro duplicado",IF(AZ1289&gt;0,"Se superpone con otro registro "&amp;D1289,IF(BB1289=0,"inicio, fin y duración neta deben ser múltiplos de "&amp;CFG_BLK&amp;" min",""))))))))))))</f>
        <v/>
      </c>
      <c r="BD1289" s="80">
        <f>IF(AND(Y1289=1,BC1289=""),1,0)</f>
        <v>0</v>
      </c>
      <c r="BE1289" s="80">
        <f>IF(AND(BD1289=1,AU1289=1),1,0)</f>
        <v>0</v>
      </c>
      <c r="BF1289" s="80" t="str">
        <f>IF(AND(D1289="proMX",BD1289=1),IF(R1289="","Draft",R1289),"")</f>
        <v/>
      </c>
      <c r="BG1289" s="80">
        <f>IF(BD1289=1,ROUND(AG1289/60,6),0)</f>
        <v>0</v>
      </c>
      <c r="BH1289" s="80">
        <f>IF(BE1289=1,ROUND(AG1289/60,6),0)</f>
        <v>0</v>
      </c>
      <c r="BI1289" s="80">
        <f>IF(BE1289=1,ROUND(AP1289/60,6),0)</f>
        <v>0</v>
      </c>
      <c r="BJ1289" s="80">
        <f>IF(BE1289=1,ROUND(AQ1289/60,6),0)</f>
        <v>0</v>
      </c>
      <c r="BK1289" s="80">
        <f>IF(BE1289=1,ROUND((AR1289+AS1289)/60,6),0)</f>
        <v>0</v>
      </c>
      <c r="BL1289" s="80">
        <f>ROUND(BH1289-BK1289,6)</f>
        <v>0</v>
      </c>
      <c r="BM1289" s="80">
        <f>IF(BE1289=1,ROUND(AR1289/60,6),0)</f>
        <v>0</v>
      </c>
      <c r="BN1289" s="80">
        <f>ROUND(BI1289-BM1289,6)</f>
        <v>0</v>
      </c>
      <c r="BO1289" s="80">
        <f>IF(BE1289=1,ROUND(AS1289/60,6),0)</f>
        <v>0</v>
      </c>
      <c r="BP1289" s="80">
        <f>ROUND(BJ1289-BO1289,6)</f>
        <v>0</v>
      </c>
      <c r="BQ1289" s="80">
        <f>IF(BE1289=1,AW1289,0)</f>
        <v>0</v>
      </c>
      <c r="BR1289" s="80">
        <f>IF(BE1289=1,AX1289,0)</f>
        <v>0</v>
      </c>
      <c r="BS1289" s="80">
        <f>IF(AND(BE1289=1,D1289="Malcolm",BA1289&gt;0),MIN(BH1289,SUMPRODUCT((R_Emp="proMX")*(R_EN&gt;0)*((R_EN-(R_EN&gt;BR1289)*(R_EN-BR1289))&gt;(R_SN+(R_SN&lt;BQ1289)*(BQ1289-R_SN)))*((R_EN-(R_EN&gt;BR1289)*(R_EN-BR1289))-(R_SN+(R_SN&lt;BQ1289)*(BQ1289-R_SN))))/60),0)</f>
        <v>0</v>
      </c>
      <c r="BT1289" s="80">
        <f>IF(AND(BE1289=1,D1289="proMX"),ROUND(BI1289*CFG_RATE+BJ1289*CFG_OTRATE,6),0)</f>
        <v>0</v>
      </c>
      <c r="BU1289" s="80">
        <f>IF(AND(BD1289=1,D1289="proMX"),ROUND(AG1289/CFG_BLK,6),0)</f>
        <v>0</v>
      </c>
      <c r="BV1289" s="80" t="str">
        <f>IF(BF1289="Approved",IF(ISNUMBER(T1289),INT(T1289),INT(B1289)),"")</f>
        <v/>
      </c>
      <c r="BW1289" s="80">
        <f>IF(ISNUMBER(B1289),IF(DB_MON="Todos",1,IF(AND(INT(B1289)&gt;=DB_MS,INT(B1289)&lt;=DB_ME),1,0)),0)</f>
        <v>0</v>
      </c>
      <c r="BX1289" s="80">
        <f>IF(DB_PROJ="Todos",1,IF(E1289&amp;""=DB_PROJ&amp;"",1,0))</f>
        <v>1</v>
      </c>
      <c r="BY1289" s="80">
        <f>BW1289*BX1289</f>
        <v>0</v>
      </c>
      <c r="BZ1289" s="80" t="str">
        <f>IF(Y1289=1,F1289&amp;IF(AND(F1289&amp;""&lt;&gt;"",E1289&amp;""&lt;&gt;"")," · ","")&amp;E1289,"")</f>
        <v/>
      </c>
      <c r="CA1289" s="80" t="str">
        <f>IF(AND(BD1289=1,E1289&amp;""&lt;&gt;""),IF(COUNTIFS($E$5:E1288,E1289,$BD$5:BD1288,1)=0,MAX($CA$5:CA1288)+1,""),"")</f>
        <v/>
      </c>
      <c r="CB1289" s="80" t="str">
        <f>IF(AND(BE1289=1,D1289="Malcolm",E1289&amp;""&lt;&gt;""),IF(COUNTIFS($D$5:D1288,"Malcolm",$E$5:E1288,E1289,$BE$5:BE1288,1)=0,MAX($CB$5:CB1288)+1,""),"")</f>
        <v/>
      </c>
      <c r="CC1289" s="80" t="str">
        <f>IF(AND(BD1289=1,D1289="proMX",E1289&amp;""&lt;&gt;""),IF(COUNTIFS($D$5:D1288,"proMX",$E$5:E1288,E1289,$BD$5:BD1288,1)=0,MAX($CC$5:CC1288)+1,""),"")</f>
        <v/>
      </c>
      <c r="CD1289" s="80" t="str">
        <f>IF(AND(BE1289=1,D1289="Malcolm",F1289&amp;""&lt;&gt;""),IF(COUNTIFS($D$5:D1288,"Malcolm",$F$5:F1288,F1289,$BE$5:BE1288,1)=0,MAX($CD$5:CD1288)+1,""),"")</f>
        <v/>
      </c>
      <c r="CE1289" s="80" t="str">
        <f>IF(AND(BD1289=1,D1289="proMX",F1289&amp;""&lt;&gt;""),IF(COUNTIFS($D$5:D1288,"proMX",$F$5:F1288,F1289,$BD$5:BD1288,1)=0,MAX($CE$5:CE1288)+1,""),"")</f>
        <v/>
      </c>
      <c r="CF1289" s="80" t="str">
        <f>IF(AND(D1289="proMX",BD1289=1),IF(OR(BF1289="Draft",BF1289="Submitted",BF1289="Returned",BF1289="Recall Requested"),MAX($CF$5:CF1288)+1,""),"")</f>
        <v/>
      </c>
      <c r="CG1289" s="80">
        <f>IF(BD1289=0,0,IF(D1289="Malcolm",1,MATCH(BF1289,{"Draft","Submitted","Approved","Returned","Recall Requested","Cancelled"},0)+1))</f>
        <v>0</v>
      </c>
      <c r="CH1289" s="80">
        <f>IF(AND(BF1289="Submitted",ISNUMBER(V1289)),IF(V1289&gt;CFG_MAXD,1,0),0)</f>
        <v>0</v>
      </c>
    </row>
    <row r="1290">
      <c r="A1290" s="71" t="str">
        <f>IF(Y1290=1,ROW()-5,"")</f>
        <v/>
      </c>
      <c r="B1290" s="72" t="n"/>
      <c r="C1290" s="71" t="str">
        <f>IF(ISNUMBER(B1290),CHOOSE(WEEKDAY(B1290,2),"Lun","Mar","Mié","Jue","Vie","Sáb","Dom"),"")</f>
        <v/>
      </c>
      <c r="D1290" s="73" t="n"/>
      <c r="E1290" s="74" t="n"/>
      <c r="F1290" s="74" t="n"/>
      <c r="G1290" s="74" t="n"/>
      <c r="H1290" s="75" t="n"/>
      <c r="I1290" s="75" t="n"/>
      <c r="J1290" s="76" t="n"/>
      <c r="K1290" s="77" t="str">
        <f>IF(AB1290=1,ROUND(AG1290/60,4),"")</f>
        <v/>
      </c>
      <c r="L1290" s="77" t="str">
        <f>IF(BD1290=1,ROUND(AP1290/60,4),"")</f>
        <v/>
      </c>
      <c r="M1290" s="77" t="str">
        <f>IF(BD1290=1,ROUND(AQ1290/60,4),"")</f>
        <v/>
      </c>
      <c r="N1290" s="71" t="str">
        <f>IF(AND(D1290="proMX",AB1290=1),ROUND(AG1290/CFG_BLK,2),"")</f>
        <v/>
      </c>
      <c r="O1290" s="77" t="str">
        <f>IF(D1290="proMX",IF(BD1290=1,ROUND(AG1290/60,4),0),"")</f>
        <v/>
      </c>
      <c r="P1290" s="78" t="str">
        <f>IF(Y1290=0,"",IF(BD1290=1,"OK",IF(D1290="proMX","Revisar bloques: ","Revisar: ")&amp;BC1290))</f>
        <v/>
      </c>
      <c r="Q1290" s="78" t="str">
        <f>IF(NOT(ISNUMBER(B1290)),"",IF(COUNTIFS(FER_F,INT(B1290))&gt;0,"Feriado"&amp;IF(AH1290=1," (laborable)"," (no laborable)"),IF(AH1290=1,"Laborable",IF(WEEKDAY(B1290,2)&gt;5,"Fin de semana","No laborable"))))</f>
        <v/>
      </c>
      <c r="R1290" s="73" t="n"/>
      <c r="S1290" s="72" t="n"/>
      <c r="T1290" s="72" t="n"/>
      <c r="U1290" s="74" t="n"/>
      <c r="V1290" s="79" t="str">
        <f>IF(AND(D1290="proMX",OR(R1290="Submitted",R1290="Recall Requested"),ISNUMBER(S1290)),CFG_TODAY-INT(S1290),"")</f>
        <v/>
      </c>
      <c r="W1290" s="78" t="str">
        <f>IF(BD1290=0,"",IF(BA1290&gt;0,"⚠ Se superpone con un registro de la otra empresa",IF(D1290="Malcolm",IF(COUNTA(R1290,S1290,T1290)&gt;0,"Estado/fechas proMX se ignoran en Malcolm",""),IF(BF1290="Cancelled","Cancelado: excluido de totales",IF(R1290="","Sin estado: se trata como Draft",IF(BF1290="Submitted",IF(ISNUMBER(V1290),IF(V1290&gt;CFG_MAXD,"⚠ "&amp;V1290&amp;" días en Submitted (máx. "&amp;CFG_MAXD&amp;")",""),"Falta fecha de envío"),IF(BF1290="Returned","⚠ Devuelto: corregir y reenviar",IF(BF1290="Recall Requested","Retirada solicitada: pendiente",IF(AND(BF1290="Approved",NOT(ISNUMBER(T1290))),"Falta fecha de aprobación",IF(AND(ISNUMBER(S1290),ISNUMBER(T1290),T1290&lt;S1290),"Aprobación anterior al envío","")))))))))</f>
        <v/>
      </c>
      <c r="Y1290" s="80">
        <f>IF(COUNTA(B1290,D1290,E1290,F1290,G1290,H1290,I1290,J1290,R1290,S1290,T1290)&gt;0,1,0)</f>
        <v>0</v>
      </c>
      <c r="Z1290" s="80" t="str">
        <f>IF(AND(ISNUMBER(H1290),H1290&gt;=0,H1290&lt;1),ROUND(H1290*1440,0),"")</f>
        <v/>
      </c>
      <c r="AA1290" s="80" t="str">
        <f>IF(AND(ISNUMBER(I1290),I1290&gt;=0,I1290&lt;1),ROUND(I1290*1440,0),"")</f>
        <v/>
      </c>
      <c r="AB1290" s="80">
        <f>IF(AND(ISNUMBER(B1290),D1290&lt;&gt;"",ISNUMBER(Z1290),ISNUMBER(AA1290)),IF(Z1290=AA1290,0,1),0)</f>
        <v>0</v>
      </c>
      <c r="AC1290" s="80">
        <f>IF(AB1290=1,IF(AA1290&lt;Z1290,1,0),0)</f>
        <v>0</v>
      </c>
      <c r="AD1290" s="80">
        <f>IF(AB1290=1,IF(AC1290=1,1440-Z1290+AA1290,AA1290-Z1290),0)</f>
        <v>0</v>
      </c>
      <c r="AE1290" s="80">
        <f>IF(J1290="",0,IF(ISNUMBER(J1290),J1290,-1))</f>
        <v>0</v>
      </c>
      <c r="AF1290" s="80">
        <f>MIN(MAX(0,AE1290),AD1290)</f>
        <v>0</v>
      </c>
      <c r="AG1290" s="80">
        <f>MAX(0,AD1290-MAX(0,AE1290))</f>
        <v>0</v>
      </c>
      <c r="AH1290" s="80">
        <f>IF(ISNUMBER(B1290),IF(AND(INDEX(CFG_WDAYS,WEEKDAY(INT(B1290),2))="Sí",IF(D1290="proMX",COUNTIFS(FER_F,INT(B1290),FER_NLP,"Sí"),COUNTIFS(FER_F,INT(B1290),FER_NLM,"Sí"))=0),1,0),0)</f>
        <v>0</v>
      </c>
      <c r="AI1290" s="80">
        <f>IF(AC1290=1,IF(AND(INDEX(CFG_WDAYS,WEEKDAY(INT(B1290)+1,2))="Sí",IF(D1290="proMX",COUNTIFS(FER_F,INT(B1290)+1,FER_NLP,"Sí"),COUNTIFS(FER_F,INT(B1290)+1,FER_NLM,"Sí"))=0),1,0),0)</f>
        <v>0</v>
      </c>
      <c r="AJ1290" s="80">
        <f>IF(AC1290=1,1440-Z1290,AD1290)</f>
        <v>0</v>
      </c>
      <c r="AK1290" s="80">
        <f>IF(AND(AB1290=1,AH1290=1),MAX(0,MIN(IF(AC1290=1,1440,AA1290),CFG_WEM)-MAX(Z1290,CFG_WSM)),0)</f>
        <v>0</v>
      </c>
      <c r="AL1290" s="80">
        <f>IF(AND(AC1290=1,AI1290=1),MAX(0,MIN(AA1290,CFG_WEM)-CFG_WSM),0)</f>
        <v>0</v>
      </c>
      <c r="AM1290" s="80">
        <f>AK1290+AL1290</f>
        <v>0</v>
      </c>
      <c r="AN1290" s="80">
        <f>IF(CFG_BRK="Proporcional",IF(AD1290=0,0,AF1290*AM1290/AD1290),IF(CFG_BRK="Extras primero",MIN(AM1290,MAX(0,AF1290-(AD1290-AM1290))),MIN(AF1290,AM1290)))</f>
        <v>0</v>
      </c>
      <c r="AO1290" s="80">
        <f>AF1290-AN1290</f>
        <v>0</v>
      </c>
      <c r="AP1290" s="80">
        <f>AM1290-AN1290</f>
        <v>0</v>
      </c>
      <c r="AQ1290" s="80">
        <f>AD1290-AM1290-AO1290</f>
        <v>0</v>
      </c>
      <c r="AR1290" s="80">
        <f>IF(AM1290=0,0,AK1290-AN1290*AK1290/AM1290)</f>
        <v>0</v>
      </c>
      <c r="AS1290" s="80">
        <f>IF(AD1290-AM1290=0,0,(AJ1290-AK1290)-AO1290*(AJ1290-AK1290)/(AD1290-AM1290))</f>
        <v>0</v>
      </c>
      <c r="AT1290" s="80" t="str">
        <f>IF(AC1290=1,INT(B1290)+1,"")</f>
        <v/>
      </c>
      <c r="AU1290" s="80">
        <f>IF(AND(D1290="proMX",R1290="Cancelled"),0,1)</f>
        <v>1</v>
      </c>
      <c r="AV1290" s="80">
        <f>IF(AND(AB1290=1,AU1290=1),IF(COUNTIFS($D$5:D1289,D1290,$B$5:B1289,B1290,$Z$5:Z1289,Z1290,$AA$5:AA1289,AA1290,$F$5:F1289,F1290&amp;"",$AU$5:AU1289,1)&gt;0,1,0),0)</f>
        <v>0</v>
      </c>
      <c r="AW1290" s="80" t="str">
        <f>IF(AB1290=1,INT(B1290)*1440+Z1290,"")</f>
        <v/>
      </c>
      <c r="AX1290" s="80" t="str">
        <f>IF(AB1290=1,AW1290+AD1290,"")</f>
        <v/>
      </c>
      <c r="AY1290" s="80">
        <f>IF(AND(AB1290=1,AV1290=0,AU1290=1),1,0)</f>
        <v>0</v>
      </c>
      <c r="AZ1290" s="80">
        <f>IF(AY1290=1,COUNTIFS(R_Emp,D1290,R_SAbs,"&lt;"&amp;AX1290,R_EAbs,"&gt;"&amp;AW1290,R_OKey,1)-1,0)</f>
        <v>0</v>
      </c>
      <c r="BA1290" s="80">
        <f>IF(AY1290=1,COUNTIFS(R_Emp,"&lt;&gt;"&amp;D1290,R_SAbs,"&lt;"&amp;AX1290,R_EAbs,"&gt;"&amp;AW1290,R_OKey,1),0)</f>
        <v>0</v>
      </c>
      <c r="BB1290" s="80">
        <f>IF(AND(AB1290=1,D1290="proMX"),IF(AND(MOD(Z1290,CFG_BLK)=0,MOD(AA1290,CFG_BLK)=0,MOD(AG1290,CFG_BLK)=0,AG1290&gt;0),1,0),1)</f>
        <v>1</v>
      </c>
      <c r="BC1290" s="80" t="str">
        <f>IF(Y1290=0,"",IF(NOT(ISNUMBER(B1290)),"Falta fecha o fecha inválida",IF(D1290="","Falta empresa",IF(AND(D1290&lt;&gt;"Malcolm",D1290&lt;&gt;"proMX"),"Empresa inválida",IF(OR(INT(B1290)&lt;CFG_PSTART,INT(B1290)&gt;CFG_PEND),"Fecha fuera del período",IF(OR(NOT(ISNUMBER(Z1290)),NOT(ISNUMBER(AA1290))),"Falta hora inicio/fin o formato inválido",IF(AB1290=0,"Hora inicio = hora fin",IF(AE1290&lt;0,"Descanso inválido",IF(AE1290&gt;=AD1290,"Descanso ≥ duración",IF(AV1290=1,"Registro duplicado",IF(AZ1290&gt;0,"Se superpone con otro registro "&amp;D1290,IF(BB1290=0,"inicio, fin y duración neta deben ser múltiplos de "&amp;CFG_BLK&amp;" min",""))))))))))))</f>
        <v/>
      </c>
      <c r="BD1290" s="80">
        <f>IF(AND(Y1290=1,BC1290=""),1,0)</f>
        <v>0</v>
      </c>
      <c r="BE1290" s="80">
        <f>IF(AND(BD1290=1,AU1290=1),1,0)</f>
        <v>0</v>
      </c>
      <c r="BF1290" s="80" t="str">
        <f>IF(AND(D1290="proMX",BD1290=1),IF(R1290="","Draft",R1290),"")</f>
        <v/>
      </c>
      <c r="BG1290" s="80">
        <f>IF(BD1290=1,ROUND(AG1290/60,6),0)</f>
        <v>0</v>
      </c>
      <c r="BH1290" s="80">
        <f>IF(BE1290=1,ROUND(AG1290/60,6),0)</f>
        <v>0</v>
      </c>
      <c r="BI1290" s="80">
        <f>IF(BE1290=1,ROUND(AP1290/60,6),0)</f>
        <v>0</v>
      </c>
      <c r="BJ1290" s="80">
        <f>IF(BE1290=1,ROUND(AQ1290/60,6),0)</f>
        <v>0</v>
      </c>
      <c r="BK1290" s="80">
        <f>IF(BE1290=1,ROUND((AR1290+AS1290)/60,6),0)</f>
        <v>0</v>
      </c>
      <c r="BL1290" s="80">
        <f>ROUND(BH1290-BK1290,6)</f>
        <v>0</v>
      </c>
      <c r="BM1290" s="80">
        <f>IF(BE1290=1,ROUND(AR1290/60,6),0)</f>
        <v>0</v>
      </c>
      <c r="BN1290" s="80">
        <f>ROUND(BI1290-BM1290,6)</f>
        <v>0</v>
      </c>
      <c r="BO1290" s="80">
        <f>IF(BE1290=1,ROUND(AS1290/60,6),0)</f>
        <v>0</v>
      </c>
      <c r="BP1290" s="80">
        <f>ROUND(BJ1290-BO1290,6)</f>
        <v>0</v>
      </c>
      <c r="BQ1290" s="80">
        <f>IF(BE1290=1,AW1290,0)</f>
        <v>0</v>
      </c>
      <c r="BR1290" s="80">
        <f>IF(BE1290=1,AX1290,0)</f>
        <v>0</v>
      </c>
      <c r="BS1290" s="80">
        <f>IF(AND(BE1290=1,D1290="Malcolm",BA1290&gt;0),MIN(BH1290,SUMPRODUCT((R_Emp="proMX")*(R_EN&gt;0)*((R_EN-(R_EN&gt;BR1290)*(R_EN-BR1290))&gt;(R_SN+(R_SN&lt;BQ1290)*(BQ1290-R_SN)))*((R_EN-(R_EN&gt;BR1290)*(R_EN-BR1290))-(R_SN+(R_SN&lt;BQ1290)*(BQ1290-R_SN))))/60),0)</f>
        <v>0</v>
      </c>
      <c r="BT1290" s="80">
        <f>IF(AND(BE1290=1,D1290="proMX"),ROUND(BI1290*CFG_RATE+BJ1290*CFG_OTRATE,6),0)</f>
        <v>0</v>
      </c>
      <c r="BU1290" s="80">
        <f>IF(AND(BD1290=1,D1290="proMX"),ROUND(AG1290/CFG_BLK,6),0)</f>
        <v>0</v>
      </c>
      <c r="BV1290" s="80" t="str">
        <f>IF(BF1290="Approved",IF(ISNUMBER(T1290),INT(T1290),INT(B1290)),"")</f>
        <v/>
      </c>
      <c r="BW1290" s="80">
        <f>IF(ISNUMBER(B1290),IF(DB_MON="Todos",1,IF(AND(INT(B1290)&gt;=DB_MS,INT(B1290)&lt;=DB_ME),1,0)),0)</f>
        <v>0</v>
      </c>
      <c r="BX1290" s="80">
        <f>IF(DB_PROJ="Todos",1,IF(E1290&amp;""=DB_PROJ&amp;"",1,0))</f>
        <v>1</v>
      </c>
      <c r="BY1290" s="80">
        <f>BW1290*BX1290</f>
        <v>0</v>
      </c>
      <c r="BZ1290" s="80" t="str">
        <f>IF(Y1290=1,F1290&amp;IF(AND(F1290&amp;""&lt;&gt;"",E1290&amp;""&lt;&gt;"")," · ","")&amp;E1290,"")</f>
        <v/>
      </c>
      <c r="CA1290" s="80" t="str">
        <f>IF(AND(BD1290=1,E1290&amp;""&lt;&gt;""),IF(COUNTIFS($E$5:E1289,E1290,$BD$5:BD1289,1)=0,MAX($CA$5:CA1289)+1,""),"")</f>
        <v/>
      </c>
      <c r="CB1290" s="80" t="str">
        <f>IF(AND(BE1290=1,D1290="Malcolm",E1290&amp;""&lt;&gt;""),IF(COUNTIFS($D$5:D1289,"Malcolm",$E$5:E1289,E1290,$BE$5:BE1289,1)=0,MAX($CB$5:CB1289)+1,""),"")</f>
        <v/>
      </c>
      <c r="CC1290" s="80" t="str">
        <f>IF(AND(BD1290=1,D1290="proMX",E1290&amp;""&lt;&gt;""),IF(COUNTIFS($D$5:D1289,"proMX",$E$5:E1289,E1290,$BD$5:BD1289,1)=0,MAX($CC$5:CC1289)+1,""),"")</f>
        <v/>
      </c>
      <c r="CD1290" s="80" t="str">
        <f>IF(AND(BE1290=1,D1290="Malcolm",F1290&amp;""&lt;&gt;""),IF(COUNTIFS($D$5:D1289,"Malcolm",$F$5:F1289,F1290,$BE$5:BE1289,1)=0,MAX($CD$5:CD1289)+1,""),"")</f>
        <v/>
      </c>
      <c r="CE1290" s="80" t="str">
        <f>IF(AND(BD1290=1,D1290="proMX",F1290&amp;""&lt;&gt;""),IF(COUNTIFS($D$5:D1289,"proMX",$F$5:F1289,F1290,$BD$5:BD1289,1)=0,MAX($CE$5:CE1289)+1,""),"")</f>
        <v/>
      </c>
      <c r="CF1290" s="80" t="str">
        <f>IF(AND(D1290="proMX",BD1290=1),IF(OR(BF1290="Draft",BF1290="Submitted",BF1290="Returned",BF1290="Recall Requested"),MAX($CF$5:CF1289)+1,""),"")</f>
        <v/>
      </c>
      <c r="CG1290" s="80">
        <f>IF(BD1290=0,0,IF(D1290="Malcolm",1,MATCH(BF1290,{"Draft","Submitted","Approved","Returned","Recall Requested","Cancelled"},0)+1))</f>
        <v>0</v>
      </c>
      <c r="CH1290" s="80">
        <f>IF(AND(BF1290="Submitted",ISNUMBER(V1290)),IF(V1290&gt;CFG_MAXD,1,0),0)</f>
        <v>0</v>
      </c>
    </row>
    <row r="1291">
      <c r="A1291" s="71" t="str">
        <f>IF(Y1291=1,ROW()-5,"")</f>
        <v/>
      </c>
      <c r="B1291" s="72" t="n"/>
      <c r="C1291" s="71" t="str">
        <f>IF(ISNUMBER(B1291),CHOOSE(WEEKDAY(B1291,2),"Lun","Mar","Mié","Jue","Vie","Sáb","Dom"),"")</f>
        <v/>
      </c>
      <c r="D1291" s="73" t="n"/>
      <c r="E1291" s="74" t="n"/>
      <c r="F1291" s="74" t="n"/>
      <c r="G1291" s="74" t="n"/>
      <c r="H1291" s="75" t="n"/>
      <c r="I1291" s="75" t="n"/>
      <c r="J1291" s="76" t="n"/>
      <c r="K1291" s="77" t="str">
        <f>IF(AB1291=1,ROUND(AG1291/60,4),"")</f>
        <v/>
      </c>
      <c r="L1291" s="77" t="str">
        <f>IF(BD1291=1,ROUND(AP1291/60,4),"")</f>
        <v/>
      </c>
      <c r="M1291" s="77" t="str">
        <f>IF(BD1291=1,ROUND(AQ1291/60,4),"")</f>
        <v/>
      </c>
      <c r="N1291" s="71" t="str">
        <f>IF(AND(D1291="proMX",AB1291=1),ROUND(AG1291/CFG_BLK,2),"")</f>
        <v/>
      </c>
      <c r="O1291" s="77" t="str">
        <f>IF(D1291="proMX",IF(BD1291=1,ROUND(AG1291/60,4),0),"")</f>
        <v/>
      </c>
      <c r="P1291" s="78" t="str">
        <f>IF(Y1291=0,"",IF(BD1291=1,"OK",IF(D1291="proMX","Revisar bloques: ","Revisar: ")&amp;BC1291))</f>
        <v/>
      </c>
      <c r="Q1291" s="78" t="str">
        <f>IF(NOT(ISNUMBER(B1291)),"",IF(COUNTIFS(FER_F,INT(B1291))&gt;0,"Feriado"&amp;IF(AH1291=1," (laborable)"," (no laborable)"),IF(AH1291=1,"Laborable",IF(WEEKDAY(B1291,2)&gt;5,"Fin de semana","No laborable"))))</f>
        <v/>
      </c>
      <c r="R1291" s="73" t="n"/>
      <c r="S1291" s="72" t="n"/>
      <c r="T1291" s="72" t="n"/>
      <c r="U1291" s="74" t="n"/>
      <c r="V1291" s="79" t="str">
        <f>IF(AND(D1291="proMX",OR(R1291="Submitted",R1291="Recall Requested"),ISNUMBER(S1291)),CFG_TODAY-INT(S1291),"")</f>
        <v/>
      </c>
      <c r="W1291" s="78" t="str">
        <f>IF(BD1291=0,"",IF(BA1291&gt;0,"⚠ Se superpone con un registro de la otra empresa",IF(D1291="Malcolm",IF(COUNTA(R1291,S1291,T1291)&gt;0,"Estado/fechas proMX se ignoran en Malcolm",""),IF(BF1291="Cancelled","Cancelado: excluido de totales",IF(R1291="","Sin estado: se trata como Draft",IF(BF1291="Submitted",IF(ISNUMBER(V1291),IF(V1291&gt;CFG_MAXD,"⚠ "&amp;V1291&amp;" días en Submitted (máx. "&amp;CFG_MAXD&amp;")",""),"Falta fecha de envío"),IF(BF1291="Returned","⚠ Devuelto: corregir y reenviar",IF(BF1291="Recall Requested","Retirada solicitada: pendiente",IF(AND(BF1291="Approved",NOT(ISNUMBER(T1291))),"Falta fecha de aprobación",IF(AND(ISNUMBER(S1291),ISNUMBER(T1291),T1291&lt;S1291),"Aprobación anterior al envío","")))))))))</f>
        <v/>
      </c>
      <c r="Y1291" s="80">
        <f>IF(COUNTA(B1291,D1291,E1291,F1291,G1291,H1291,I1291,J1291,R1291,S1291,T1291)&gt;0,1,0)</f>
        <v>0</v>
      </c>
      <c r="Z1291" s="80" t="str">
        <f>IF(AND(ISNUMBER(H1291),H1291&gt;=0,H1291&lt;1),ROUND(H1291*1440,0),"")</f>
        <v/>
      </c>
      <c r="AA1291" s="80" t="str">
        <f>IF(AND(ISNUMBER(I1291),I1291&gt;=0,I1291&lt;1),ROUND(I1291*1440,0),"")</f>
        <v/>
      </c>
      <c r="AB1291" s="80">
        <f>IF(AND(ISNUMBER(B1291),D1291&lt;&gt;"",ISNUMBER(Z1291),ISNUMBER(AA1291)),IF(Z1291=AA1291,0,1),0)</f>
        <v>0</v>
      </c>
      <c r="AC1291" s="80">
        <f>IF(AB1291=1,IF(AA1291&lt;Z1291,1,0),0)</f>
        <v>0</v>
      </c>
      <c r="AD1291" s="80">
        <f>IF(AB1291=1,IF(AC1291=1,1440-Z1291+AA1291,AA1291-Z1291),0)</f>
        <v>0</v>
      </c>
      <c r="AE1291" s="80">
        <f>IF(J1291="",0,IF(ISNUMBER(J1291),J1291,-1))</f>
        <v>0</v>
      </c>
      <c r="AF1291" s="80">
        <f>MIN(MAX(0,AE1291),AD1291)</f>
        <v>0</v>
      </c>
      <c r="AG1291" s="80">
        <f>MAX(0,AD1291-MAX(0,AE1291))</f>
        <v>0</v>
      </c>
      <c r="AH1291" s="80">
        <f>IF(ISNUMBER(B1291),IF(AND(INDEX(CFG_WDAYS,WEEKDAY(INT(B1291),2))="Sí",IF(D1291="proMX",COUNTIFS(FER_F,INT(B1291),FER_NLP,"Sí"),COUNTIFS(FER_F,INT(B1291),FER_NLM,"Sí"))=0),1,0),0)</f>
        <v>0</v>
      </c>
      <c r="AI1291" s="80">
        <f>IF(AC1291=1,IF(AND(INDEX(CFG_WDAYS,WEEKDAY(INT(B1291)+1,2))="Sí",IF(D1291="proMX",COUNTIFS(FER_F,INT(B1291)+1,FER_NLP,"Sí"),COUNTIFS(FER_F,INT(B1291)+1,FER_NLM,"Sí"))=0),1,0),0)</f>
        <v>0</v>
      </c>
      <c r="AJ1291" s="80">
        <f>IF(AC1291=1,1440-Z1291,AD1291)</f>
        <v>0</v>
      </c>
      <c r="AK1291" s="80">
        <f>IF(AND(AB1291=1,AH1291=1),MAX(0,MIN(IF(AC1291=1,1440,AA1291),CFG_WEM)-MAX(Z1291,CFG_WSM)),0)</f>
        <v>0</v>
      </c>
      <c r="AL1291" s="80">
        <f>IF(AND(AC1291=1,AI1291=1),MAX(0,MIN(AA1291,CFG_WEM)-CFG_WSM),0)</f>
        <v>0</v>
      </c>
      <c r="AM1291" s="80">
        <f>AK1291+AL1291</f>
        <v>0</v>
      </c>
      <c r="AN1291" s="80">
        <f>IF(CFG_BRK="Proporcional",IF(AD1291=0,0,AF1291*AM1291/AD1291),IF(CFG_BRK="Extras primero",MIN(AM1291,MAX(0,AF1291-(AD1291-AM1291))),MIN(AF1291,AM1291)))</f>
        <v>0</v>
      </c>
      <c r="AO1291" s="80">
        <f>AF1291-AN1291</f>
        <v>0</v>
      </c>
      <c r="AP1291" s="80">
        <f>AM1291-AN1291</f>
        <v>0</v>
      </c>
      <c r="AQ1291" s="80">
        <f>AD1291-AM1291-AO1291</f>
        <v>0</v>
      </c>
      <c r="AR1291" s="80">
        <f>IF(AM1291=0,0,AK1291-AN1291*AK1291/AM1291)</f>
        <v>0</v>
      </c>
      <c r="AS1291" s="80">
        <f>IF(AD1291-AM1291=0,0,(AJ1291-AK1291)-AO1291*(AJ1291-AK1291)/(AD1291-AM1291))</f>
        <v>0</v>
      </c>
      <c r="AT1291" s="80" t="str">
        <f>IF(AC1291=1,INT(B1291)+1,"")</f>
        <v/>
      </c>
      <c r="AU1291" s="80">
        <f>IF(AND(D1291="proMX",R1291="Cancelled"),0,1)</f>
        <v>1</v>
      </c>
      <c r="AV1291" s="80">
        <f>IF(AND(AB1291=1,AU1291=1),IF(COUNTIFS($D$5:D1290,D1291,$B$5:B1290,B1291,$Z$5:Z1290,Z1291,$AA$5:AA1290,AA1291,$F$5:F1290,F1291&amp;"",$AU$5:AU1290,1)&gt;0,1,0),0)</f>
        <v>0</v>
      </c>
      <c r="AW1291" s="80" t="str">
        <f>IF(AB1291=1,INT(B1291)*1440+Z1291,"")</f>
        <v/>
      </c>
      <c r="AX1291" s="80" t="str">
        <f>IF(AB1291=1,AW1291+AD1291,"")</f>
        <v/>
      </c>
      <c r="AY1291" s="80">
        <f>IF(AND(AB1291=1,AV1291=0,AU1291=1),1,0)</f>
        <v>0</v>
      </c>
      <c r="AZ1291" s="80">
        <f>IF(AY1291=1,COUNTIFS(R_Emp,D1291,R_SAbs,"&lt;"&amp;AX1291,R_EAbs,"&gt;"&amp;AW1291,R_OKey,1)-1,0)</f>
        <v>0</v>
      </c>
      <c r="BA1291" s="80">
        <f>IF(AY1291=1,COUNTIFS(R_Emp,"&lt;&gt;"&amp;D1291,R_SAbs,"&lt;"&amp;AX1291,R_EAbs,"&gt;"&amp;AW1291,R_OKey,1),0)</f>
        <v>0</v>
      </c>
      <c r="BB1291" s="80">
        <f>IF(AND(AB1291=1,D1291="proMX"),IF(AND(MOD(Z1291,CFG_BLK)=0,MOD(AA1291,CFG_BLK)=0,MOD(AG1291,CFG_BLK)=0,AG1291&gt;0),1,0),1)</f>
        <v>1</v>
      </c>
      <c r="BC1291" s="80" t="str">
        <f>IF(Y1291=0,"",IF(NOT(ISNUMBER(B1291)),"Falta fecha o fecha inválida",IF(D1291="","Falta empresa",IF(AND(D1291&lt;&gt;"Malcolm",D1291&lt;&gt;"proMX"),"Empresa inválida",IF(OR(INT(B1291)&lt;CFG_PSTART,INT(B1291)&gt;CFG_PEND),"Fecha fuera del período",IF(OR(NOT(ISNUMBER(Z1291)),NOT(ISNUMBER(AA1291))),"Falta hora inicio/fin o formato inválido",IF(AB1291=0,"Hora inicio = hora fin",IF(AE1291&lt;0,"Descanso inválido",IF(AE1291&gt;=AD1291,"Descanso ≥ duración",IF(AV1291=1,"Registro duplicado",IF(AZ1291&gt;0,"Se superpone con otro registro "&amp;D1291,IF(BB1291=0,"inicio, fin y duración neta deben ser múltiplos de "&amp;CFG_BLK&amp;" min",""))))))))))))</f>
        <v/>
      </c>
      <c r="BD1291" s="80">
        <f>IF(AND(Y1291=1,BC1291=""),1,0)</f>
        <v>0</v>
      </c>
      <c r="BE1291" s="80">
        <f>IF(AND(BD1291=1,AU1291=1),1,0)</f>
        <v>0</v>
      </c>
      <c r="BF1291" s="80" t="str">
        <f>IF(AND(D1291="proMX",BD1291=1),IF(R1291="","Draft",R1291),"")</f>
        <v/>
      </c>
      <c r="BG1291" s="80">
        <f>IF(BD1291=1,ROUND(AG1291/60,6),0)</f>
        <v>0</v>
      </c>
      <c r="BH1291" s="80">
        <f>IF(BE1291=1,ROUND(AG1291/60,6),0)</f>
        <v>0</v>
      </c>
      <c r="BI1291" s="80">
        <f>IF(BE1291=1,ROUND(AP1291/60,6),0)</f>
        <v>0</v>
      </c>
      <c r="BJ1291" s="80">
        <f>IF(BE1291=1,ROUND(AQ1291/60,6),0)</f>
        <v>0</v>
      </c>
      <c r="BK1291" s="80">
        <f>IF(BE1291=1,ROUND((AR1291+AS1291)/60,6),0)</f>
        <v>0</v>
      </c>
      <c r="BL1291" s="80">
        <f>ROUND(BH1291-BK1291,6)</f>
        <v>0</v>
      </c>
      <c r="BM1291" s="80">
        <f>IF(BE1291=1,ROUND(AR1291/60,6),0)</f>
        <v>0</v>
      </c>
      <c r="BN1291" s="80">
        <f>ROUND(BI1291-BM1291,6)</f>
        <v>0</v>
      </c>
      <c r="BO1291" s="80">
        <f>IF(BE1291=1,ROUND(AS1291/60,6),0)</f>
        <v>0</v>
      </c>
      <c r="BP1291" s="80">
        <f>ROUND(BJ1291-BO1291,6)</f>
        <v>0</v>
      </c>
      <c r="BQ1291" s="80">
        <f>IF(BE1291=1,AW1291,0)</f>
        <v>0</v>
      </c>
      <c r="BR1291" s="80">
        <f>IF(BE1291=1,AX1291,0)</f>
        <v>0</v>
      </c>
      <c r="BS1291" s="80">
        <f>IF(AND(BE1291=1,D1291="Malcolm",BA1291&gt;0),MIN(BH1291,SUMPRODUCT((R_Emp="proMX")*(R_EN&gt;0)*((R_EN-(R_EN&gt;BR1291)*(R_EN-BR1291))&gt;(R_SN+(R_SN&lt;BQ1291)*(BQ1291-R_SN)))*((R_EN-(R_EN&gt;BR1291)*(R_EN-BR1291))-(R_SN+(R_SN&lt;BQ1291)*(BQ1291-R_SN))))/60),0)</f>
        <v>0</v>
      </c>
      <c r="BT1291" s="80">
        <f>IF(AND(BE1291=1,D1291="proMX"),ROUND(BI1291*CFG_RATE+BJ1291*CFG_OTRATE,6),0)</f>
        <v>0</v>
      </c>
      <c r="BU1291" s="80">
        <f>IF(AND(BD1291=1,D1291="proMX"),ROUND(AG1291/CFG_BLK,6),0)</f>
        <v>0</v>
      </c>
      <c r="BV1291" s="80" t="str">
        <f>IF(BF1291="Approved",IF(ISNUMBER(T1291),INT(T1291),INT(B1291)),"")</f>
        <v/>
      </c>
      <c r="BW1291" s="80">
        <f>IF(ISNUMBER(B1291),IF(DB_MON="Todos",1,IF(AND(INT(B1291)&gt;=DB_MS,INT(B1291)&lt;=DB_ME),1,0)),0)</f>
        <v>0</v>
      </c>
      <c r="BX1291" s="80">
        <f>IF(DB_PROJ="Todos",1,IF(E1291&amp;""=DB_PROJ&amp;"",1,0))</f>
        <v>1</v>
      </c>
      <c r="BY1291" s="80">
        <f>BW1291*BX1291</f>
        <v>0</v>
      </c>
      <c r="BZ1291" s="80" t="str">
        <f>IF(Y1291=1,F1291&amp;IF(AND(F1291&amp;""&lt;&gt;"",E1291&amp;""&lt;&gt;"")," · ","")&amp;E1291,"")</f>
        <v/>
      </c>
      <c r="CA1291" s="80" t="str">
        <f>IF(AND(BD1291=1,E1291&amp;""&lt;&gt;""),IF(COUNTIFS($E$5:E1290,E1291,$BD$5:BD1290,1)=0,MAX($CA$5:CA1290)+1,""),"")</f>
        <v/>
      </c>
      <c r="CB1291" s="80" t="str">
        <f>IF(AND(BE1291=1,D1291="Malcolm",E1291&amp;""&lt;&gt;""),IF(COUNTIFS($D$5:D1290,"Malcolm",$E$5:E1290,E1291,$BE$5:BE1290,1)=0,MAX($CB$5:CB1290)+1,""),"")</f>
        <v/>
      </c>
      <c r="CC1291" s="80" t="str">
        <f>IF(AND(BD1291=1,D1291="proMX",E1291&amp;""&lt;&gt;""),IF(COUNTIFS($D$5:D1290,"proMX",$E$5:E1290,E1291,$BD$5:BD1290,1)=0,MAX($CC$5:CC1290)+1,""),"")</f>
        <v/>
      </c>
      <c r="CD1291" s="80" t="str">
        <f>IF(AND(BE1291=1,D1291="Malcolm",F1291&amp;""&lt;&gt;""),IF(COUNTIFS($D$5:D1290,"Malcolm",$F$5:F1290,F1291,$BE$5:BE1290,1)=0,MAX($CD$5:CD1290)+1,""),"")</f>
        <v/>
      </c>
      <c r="CE1291" s="80" t="str">
        <f>IF(AND(BD1291=1,D1291="proMX",F1291&amp;""&lt;&gt;""),IF(COUNTIFS($D$5:D1290,"proMX",$F$5:F1290,F1291,$BD$5:BD1290,1)=0,MAX($CE$5:CE1290)+1,""),"")</f>
        <v/>
      </c>
      <c r="CF1291" s="80" t="str">
        <f>IF(AND(D1291="proMX",BD1291=1),IF(OR(BF1291="Draft",BF1291="Submitted",BF1291="Returned",BF1291="Recall Requested"),MAX($CF$5:CF1290)+1,""),"")</f>
        <v/>
      </c>
      <c r="CG1291" s="80">
        <f>IF(BD1291=0,0,IF(D1291="Malcolm",1,MATCH(BF1291,{"Draft","Submitted","Approved","Returned","Recall Requested","Cancelled"},0)+1))</f>
        <v>0</v>
      </c>
      <c r="CH1291" s="80">
        <f>IF(AND(BF1291="Submitted",ISNUMBER(V1291)),IF(V1291&gt;CFG_MAXD,1,0),0)</f>
        <v>0</v>
      </c>
    </row>
    <row r="1292">
      <c r="A1292" s="71" t="str">
        <f>IF(Y1292=1,ROW()-5,"")</f>
        <v/>
      </c>
      <c r="B1292" s="72" t="n"/>
      <c r="C1292" s="71" t="str">
        <f>IF(ISNUMBER(B1292),CHOOSE(WEEKDAY(B1292,2),"Lun","Mar","Mié","Jue","Vie","Sáb","Dom"),"")</f>
        <v/>
      </c>
      <c r="D1292" s="73" t="n"/>
      <c r="E1292" s="74" t="n"/>
      <c r="F1292" s="74" t="n"/>
      <c r="G1292" s="74" t="n"/>
      <c r="H1292" s="75" t="n"/>
      <c r="I1292" s="75" t="n"/>
      <c r="J1292" s="76" t="n"/>
      <c r="K1292" s="77" t="str">
        <f>IF(AB1292=1,ROUND(AG1292/60,4),"")</f>
        <v/>
      </c>
      <c r="L1292" s="77" t="str">
        <f>IF(BD1292=1,ROUND(AP1292/60,4),"")</f>
        <v/>
      </c>
      <c r="M1292" s="77" t="str">
        <f>IF(BD1292=1,ROUND(AQ1292/60,4),"")</f>
        <v/>
      </c>
      <c r="N1292" s="71" t="str">
        <f>IF(AND(D1292="proMX",AB1292=1),ROUND(AG1292/CFG_BLK,2),"")</f>
        <v/>
      </c>
      <c r="O1292" s="77" t="str">
        <f>IF(D1292="proMX",IF(BD1292=1,ROUND(AG1292/60,4),0),"")</f>
        <v/>
      </c>
      <c r="P1292" s="78" t="str">
        <f>IF(Y1292=0,"",IF(BD1292=1,"OK",IF(D1292="proMX","Revisar bloques: ","Revisar: ")&amp;BC1292))</f>
        <v/>
      </c>
      <c r="Q1292" s="78" t="str">
        <f>IF(NOT(ISNUMBER(B1292)),"",IF(COUNTIFS(FER_F,INT(B1292))&gt;0,"Feriado"&amp;IF(AH1292=1," (laborable)"," (no laborable)"),IF(AH1292=1,"Laborable",IF(WEEKDAY(B1292,2)&gt;5,"Fin de semana","No laborable"))))</f>
        <v/>
      </c>
      <c r="R1292" s="73" t="n"/>
      <c r="S1292" s="72" t="n"/>
      <c r="T1292" s="72" t="n"/>
      <c r="U1292" s="74" t="n"/>
      <c r="V1292" s="79" t="str">
        <f>IF(AND(D1292="proMX",OR(R1292="Submitted",R1292="Recall Requested"),ISNUMBER(S1292)),CFG_TODAY-INT(S1292),"")</f>
        <v/>
      </c>
      <c r="W1292" s="78" t="str">
        <f>IF(BD1292=0,"",IF(BA1292&gt;0,"⚠ Se superpone con un registro de la otra empresa",IF(D1292="Malcolm",IF(COUNTA(R1292,S1292,T1292)&gt;0,"Estado/fechas proMX se ignoran en Malcolm",""),IF(BF1292="Cancelled","Cancelado: excluido de totales",IF(R1292="","Sin estado: se trata como Draft",IF(BF1292="Submitted",IF(ISNUMBER(V1292),IF(V1292&gt;CFG_MAXD,"⚠ "&amp;V1292&amp;" días en Submitted (máx. "&amp;CFG_MAXD&amp;")",""),"Falta fecha de envío"),IF(BF1292="Returned","⚠ Devuelto: corregir y reenviar",IF(BF1292="Recall Requested","Retirada solicitada: pendiente",IF(AND(BF1292="Approved",NOT(ISNUMBER(T1292))),"Falta fecha de aprobación",IF(AND(ISNUMBER(S1292),ISNUMBER(T1292),T1292&lt;S1292),"Aprobación anterior al envío","")))))))))</f>
        <v/>
      </c>
      <c r="Y1292" s="80">
        <f>IF(COUNTA(B1292,D1292,E1292,F1292,G1292,H1292,I1292,J1292,R1292,S1292,T1292)&gt;0,1,0)</f>
        <v>0</v>
      </c>
      <c r="Z1292" s="80" t="str">
        <f>IF(AND(ISNUMBER(H1292),H1292&gt;=0,H1292&lt;1),ROUND(H1292*1440,0),"")</f>
        <v/>
      </c>
      <c r="AA1292" s="80" t="str">
        <f>IF(AND(ISNUMBER(I1292),I1292&gt;=0,I1292&lt;1),ROUND(I1292*1440,0),"")</f>
        <v/>
      </c>
      <c r="AB1292" s="80">
        <f>IF(AND(ISNUMBER(B1292),D1292&lt;&gt;"",ISNUMBER(Z1292),ISNUMBER(AA1292)),IF(Z1292=AA1292,0,1),0)</f>
        <v>0</v>
      </c>
      <c r="AC1292" s="80">
        <f>IF(AB1292=1,IF(AA1292&lt;Z1292,1,0),0)</f>
        <v>0</v>
      </c>
      <c r="AD1292" s="80">
        <f>IF(AB1292=1,IF(AC1292=1,1440-Z1292+AA1292,AA1292-Z1292),0)</f>
        <v>0</v>
      </c>
      <c r="AE1292" s="80">
        <f>IF(J1292="",0,IF(ISNUMBER(J1292),J1292,-1))</f>
        <v>0</v>
      </c>
      <c r="AF1292" s="80">
        <f>MIN(MAX(0,AE1292),AD1292)</f>
        <v>0</v>
      </c>
      <c r="AG1292" s="80">
        <f>MAX(0,AD1292-MAX(0,AE1292))</f>
        <v>0</v>
      </c>
      <c r="AH1292" s="80">
        <f>IF(ISNUMBER(B1292),IF(AND(INDEX(CFG_WDAYS,WEEKDAY(INT(B1292),2))="Sí",IF(D1292="proMX",COUNTIFS(FER_F,INT(B1292),FER_NLP,"Sí"),COUNTIFS(FER_F,INT(B1292),FER_NLM,"Sí"))=0),1,0),0)</f>
        <v>0</v>
      </c>
      <c r="AI1292" s="80">
        <f>IF(AC1292=1,IF(AND(INDEX(CFG_WDAYS,WEEKDAY(INT(B1292)+1,2))="Sí",IF(D1292="proMX",COUNTIFS(FER_F,INT(B1292)+1,FER_NLP,"Sí"),COUNTIFS(FER_F,INT(B1292)+1,FER_NLM,"Sí"))=0),1,0),0)</f>
        <v>0</v>
      </c>
      <c r="AJ1292" s="80">
        <f>IF(AC1292=1,1440-Z1292,AD1292)</f>
        <v>0</v>
      </c>
      <c r="AK1292" s="80">
        <f>IF(AND(AB1292=1,AH1292=1),MAX(0,MIN(IF(AC1292=1,1440,AA1292),CFG_WEM)-MAX(Z1292,CFG_WSM)),0)</f>
        <v>0</v>
      </c>
      <c r="AL1292" s="80">
        <f>IF(AND(AC1292=1,AI1292=1),MAX(0,MIN(AA1292,CFG_WEM)-CFG_WSM),0)</f>
        <v>0</v>
      </c>
      <c r="AM1292" s="80">
        <f>AK1292+AL1292</f>
        <v>0</v>
      </c>
      <c r="AN1292" s="80">
        <f>IF(CFG_BRK="Proporcional",IF(AD1292=0,0,AF1292*AM1292/AD1292),IF(CFG_BRK="Extras primero",MIN(AM1292,MAX(0,AF1292-(AD1292-AM1292))),MIN(AF1292,AM1292)))</f>
        <v>0</v>
      </c>
      <c r="AO1292" s="80">
        <f>AF1292-AN1292</f>
        <v>0</v>
      </c>
      <c r="AP1292" s="80">
        <f>AM1292-AN1292</f>
        <v>0</v>
      </c>
      <c r="AQ1292" s="80">
        <f>AD1292-AM1292-AO1292</f>
        <v>0</v>
      </c>
      <c r="AR1292" s="80">
        <f>IF(AM1292=0,0,AK1292-AN1292*AK1292/AM1292)</f>
        <v>0</v>
      </c>
      <c r="AS1292" s="80">
        <f>IF(AD1292-AM1292=0,0,(AJ1292-AK1292)-AO1292*(AJ1292-AK1292)/(AD1292-AM1292))</f>
        <v>0</v>
      </c>
      <c r="AT1292" s="80" t="str">
        <f>IF(AC1292=1,INT(B1292)+1,"")</f>
        <v/>
      </c>
      <c r="AU1292" s="80">
        <f>IF(AND(D1292="proMX",R1292="Cancelled"),0,1)</f>
        <v>1</v>
      </c>
      <c r="AV1292" s="80">
        <f>IF(AND(AB1292=1,AU1292=1),IF(COUNTIFS($D$5:D1291,D1292,$B$5:B1291,B1292,$Z$5:Z1291,Z1292,$AA$5:AA1291,AA1292,$F$5:F1291,F1292&amp;"",$AU$5:AU1291,1)&gt;0,1,0),0)</f>
        <v>0</v>
      </c>
      <c r="AW1292" s="80" t="str">
        <f>IF(AB1292=1,INT(B1292)*1440+Z1292,"")</f>
        <v/>
      </c>
      <c r="AX1292" s="80" t="str">
        <f>IF(AB1292=1,AW1292+AD1292,"")</f>
        <v/>
      </c>
      <c r="AY1292" s="80">
        <f>IF(AND(AB1292=1,AV1292=0,AU1292=1),1,0)</f>
        <v>0</v>
      </c>
      <c r="AZ1292" s="80">
        <f>IF(AY1292=1,COUNTIFS(R_Emp,D1292,R_SAbs,"&lt;"&amp;AX1292,R_EAbs,"&gt;"&amp;AW1292,R_OKey,1)-1,0)</f>
        <v>0</v>
      </c>
      <c r="BA1292" s="80">
        <f>IF(AY1292=1,COUNTIFS(R_Emp,"&lt;&gt;"&amp;D1292,R_SAbs,"&lt;"&amp;AX1292,R_EAbs,"&gt;"&amp;AW1292,R_OKey,1),0)</f>
        <v>0</v>
      </c>
      <c r="BB1292" s="80">
        <f>IF(AND(AB1292=1,D1292="proMX"),IF(AND(MOD(Z1292,CFG_BLK)=0,MOD(AA1292,CFG_BLK)=0,MOD(AG1292,CFG_BLK)=0,AG1292&gt;0),1,0),1)</f>
        <v>1</v>
      </c>
      <c r="BC1292" s="80" t="str">
        <f>IF(Y1292=0,"",IF(NOT(ISNUMBER(B1292)),"Falta fecha o fecha inválida",IF(D1292="","Falta empresa",IF(AND(D1292&lt;&gt;"Malcolm",D1292&lt;&gt;"proMX"),"Empresa inválida",IF(OR(INT(B1292)&lt;CFG_PSTART,INT(B1292)&gt;CFG_PEND),"Fecha fuera del período",IF(OR(NOT(ISNUMBER(Z1292)),NOT(ISNUMBER(AA1292))),"Falta hora inicio/fin o formato inválido",IF(AB1292=0,"Hora inicio = hora fin",IF(AE1292&lt;0,"Descanso inválido",IF(AE1292&gt;=AD1292,"Descanso ≥ duración",IF(AV1292=1,"Registro duplicado",IF(AZ1292&gt;0,"Se superpone con otro registro "&amp;D1292,IF(BB1292=0,"inicio, fin y duración neta deben ser múltiplos de "&amp;CFG_BLK&amp;" min",""))))))))))))</f>
        <v/>
      </c>
      <c r="BD1292" s="80">
        <f>IF(AND(Y1292=1,BC1292=""),1,0)</f>
        <v>0</v>
      </c>
      <c r="BE1292" s="80">
        <f>IF(AND(BD1292=1,AU1292=1),1,0)</f>
        <v>0</v>
      </c>
      <c r="BF1292" s="80" t="str">
        <f>IF(AND(D1292="proMX",BD1292=1),IF(R1292="","Draft",R1292),"")</f>
        <v/>
      </c>
      <c r="BG1292" s="80">
        <f>IF(BD1292=1,ROUND(AG1292/60,6),0)</f>
        <v>0</v>
      </c>
      <c r="BH1292" s="80">
        <f>IF(BE1292=1,ROUND(AG1292/60,6),0)</f>
        <v>0</v>
      </c>
      <c r="BI1292" s="80">
        <f>IF(BE1292=1,ROUND(AP1292/60,6),0)</f>
        <v>0</v>
      </c>
      <c r="BJ1292" s="80">
        <f>IF(BE1292=1,ROUND(AQ1292/60,6),0)</f>
        <v>0</v>
      </c>
      <c r="BK1292" s="80">
        <f>IF(BE1292=1,ROUND((AR1292+AS1292)/60,6),0)</f>
        <v>0</v>
      </c>
      <c r="BL1292" s="80">
        <f>ROUND(BH1292-BK1292,6)</f>
        <v>0</v>
      </c>
      <c r="BM1292" s="80">
        <f>IF(BE1292=1,ROUND(AR1292/60,6),0)</f>
        <v>0</v>
      </c>
      <c r="BN1292" s="80">
        <f>ROUND(BI1292-BM1292,6)</f>
        <v>0</v>
      </c>
      <c r="BO1292" s="80">
        <f>IF(BE1292=1,ROUND(AS1292/60,6),0)</f>
        <v>0</v>
      </c>
      <c r="BP1292" s="80">
        <f>ROUND(BJ1292-BO1292,6)</f>
        <v>0</v>
      </c>
      <c r="BQ1292" s="80">
        <f>IF(BE1292=1,AW1292,0)</f>
        <v>0</v>
      </c>
      <c r="BR1292" s="80">
        <f>IF(BE1292=1,AX1292,0)</f>
        <v>0</v>
      </c>
      <c r="BS1292" s="80">
        <f>IF(AND(BE1292=1,D1292="Malcolm",BA1292&gt;0),MIN(BH1292,SUMPRODUCT((R_Emp="proMX")*(R_EN&gt;0)*((R_EN-(R_EN&gt;BR1292)*(R_EN-BR1292))&gt;(R_SN+(R_SN&lt;BQ1292)*(BQ1292-R_SN)))*((R_EN-(R_EN&gt;BR1292)*(R_EN-BR1292))-(R_SN+(R_SN&lt;BQ1292)*(BQ1292-R_SN))))/60),0)</f>
        <v>0</v>
      </c>
      <c r="BT1292" s="80">
        <f>IF(AND(BE1292=1,D1292="proMX"),ROUND(BI1292*CFG_RATE+BJ1292*CFG_OTRATE,6),0)</f>
        <v>0</v>
      </c>
      <c r="BU1292" s="80">
        <f>IF(AND(BD1292=1,D1292="proMX"),ROUND(AG1292/CFG_BLK,6),0)</f>
        <v>0</v>
      </c>
      <c r="BV1292" s="80" t="str">
        <f>IF(BF1292="Approved",IF(ISNUMBER(T1292),INT(T1292),INT(B1292)),"")</f>
        <v/>
      </c>
      <c r="BW1292" s="80">
        <f>IF(ISNUMBER(B1292),IF(DB_MON="Todos",1,IF(AND(INT(B1292)&gt;=DB_MS,INT(B1292)&lt;=DB_ME),1,0)),0)</f>
        <v>0</v>
      </c>
      <c r="BX1292" s="80">
        <f>IF(DB_PROJ="Todos",1,IF(E1292&amp;""=DB_PROJ&amp;"",1,0))</f>
        <v>1</v>
      </c>
      <c r="BY1292" s="80">
        <f>BW1292*BX1292</f>
        <v>0</v>
      </c>
      <c r="BZ1292" s="80" t="str">
        <f>IF(Y1292=1,F1292&amp;IF(AND(F1292&amp;""&lt;&gt;"",E1292&amp;""&lt;&gt;"")," · ","")&amp;E1292,"")</f>
        <v/>
      </c>
      <c r="CA1292" s="80" t="str">
        <f>IF(AND(BD1292=1,E1292&amp;""&lt;&gt;""),IF(COUNTIFS($E$5:E1291,E1292,$BD$5:BD1291,1)=0,MAX($CA$5:CA1291)+1,""),"")</f>
        <v/>
      </c>
      <c r="CB1292" s="80" t="str">
        <f>IF(AND(BE1292=1,D1292="Malcolm",E1292&amp;""&lt;&gt;""),IF(COUNTIFS($D$5:D1291,"Malcolm",$E$5:E1291,E1292,$BE$5:BE1291,1)=0,MAX($CB$5:CB1291)+1,""),"")</f>
        <v/>
      </c>
      <c r="CC1292" s="80" t="str">
        <f>IF(AND(BD1292=1,D1292="proMX",E1292&amp;""&lt;&gt;""),IF(COUNTIFS($D$5:D1291,"proMX",$E$5:E1291,E1292,$BD$5:BD1291,1)=0,MAX($CC$5:CC1291)+1,""),"")</f>
        <v/>
      </c>
      <c r="CD1292" s="80" t="str">
        <f>IF(AND(BE1292=1,D1292="Malcolm",F1292&amp;""&lt;&gt;""),IF(COUNTIFS($D$5:D1291,"Malcolm",$F$5:F1291,F1292,$BE$5:BE1291,1)=0,MAX($CD$5:CD1291)+1,""),"")</f>
        <v/>
      </c>
      <c r="CE1292" s="80" t="str">
        <f>IF(AND(BD1292=1,D1292="proMX",F1292&amp;""&lt;&gt;""),IF(COUNTIFS($D$5:D1291,"proMX",$F$5:F1291,F1292,$BD$5:BD1291,1)=0,MAX($CE$5:CE1291)+1,""),"")</f>
        <v/>
      </c>
      <c r="CF1292" s="80" t="str">
        <f>IF(AND(D1292="proMX",BD1292=1),IF(OR(BF1292="Draft",BF1292="Submitted",BF1292="Returned",BF1292="Recall Requested"),MAX($CF$5:CF1291)+1,""),"")</f>
        <v/>
      </c>
      <c r="CG1292" s="80">
        <f>IF(BD1292=0,0,IF(D1292="Malcolm",1,MATCH(BF1292,{"Draft","Submitted","Approved","Returned","Recall Requested","Cancelled"},0)+1))</f>
        <v>0</v>
      </c>
      <c r="CH1292" s="80">
        <f>IF(AND(BF1292="Submitted",ISNUMBER(V1292)),IF(V1292&gt;CFG_MAXD,1,0),0)</f>
        <v>0</v>
      </c>
    </row>
    <row r="1293">
      <c r="A1293" s="71" t="str">
        <f>IF(Y1293=1,ROW()-5,"")</f>
        <v/>
      </c>
      <c r="B1293" s="72" t="n"/>
      <c r="C1293" s="71" t="str">
        <f>IF(ISNUMBER(B1293),CHOOSE(WEEKDAY(B1293,2),"Lun","Mar","Mié","Jue","Vie","Sáb","Dom"),"")</f>
        <v/>
      </c>
      <c r="D1293" s="73" t="n"/>
      <c r="E1293" s="74" t="n"/>
      <c r="F1293" s="74" t="n"/>
      <c r="G1293" s="74" t="n"/>
      <c r="H1293" s="75" t="n"/>
      <c r="I1293" s="75" t="n"/>
      <c r="J1293" s="76" t="n"/>
      <c r="K1293" s="77" t="str">
        <f>IF(AB1293=1,ROUND(AG1293/60,4),"")</f>
        <v/>
      </c>
      <c r="L1293" s="77" t="str">
        <f>IF(BD1293=1,ROUND(AP1293/60,4),"")</f>
        <v/>
      </c>
      <c r="M1293" s="77" t="str">
        <f>IF(BD1293=1,ROUND(AQ1293/60,4),"")</f>
        <v/>
      </c>
      <c r="N1293" s="71" t="str">
        <f>IF(AND(D1293="proMX",AB1293=1),ROUND(AG1293/CFG_BLK,2),"")</f>
        <v/>
      </c>
      <c r="O1293" s="77" t="str">
        <f>IF(D1293="proMX",IF(BD1293=1,ROUND(AG1293/60,4),0),"")</f>
        <v/>
      </c>
      <c r="P1293" s="78" t="str">
        <f>IF(Y1293=0,"",IF(BD1293=1,"OK",IF(D1293="proMX","Revisar bloques: ","Revisar: ")&amp;BC1293))</f>
        <v/>
      </c>
      <c r="Q1293" s="78" t="str">
        <f>IF(NOT(ISNUMBER(B1293)),"",IF(COUNTIFS(FER_F,INT(B1293))&gt;0,"Feriado"&amp;IF(AH1293=1," (laborable)"," (no laborable)"),IF(AH1293=1,"Laborable",IF(WEEKDAY(B1293,2)&gt;5,"Fin de semana","No laborable"))))</f>
        <v/>
      </c>
      <c r="R1293" s="73" t="n"/>
      <c r="S1293" s="72" t="n"/>
      <c r="T1293" s="72" t="n"/>
      <c r="U1293" s="74" t="n"/>
      <c r="V1293" s="79" t="str">
        <f>IF(AND(D1293="proMX",OR(R1293="Submitted",R1293="Recall Requested"),ISNUMBER(S1293)),CFG_TODAY-INT(S1293),"")</f>
        <v/>
      </c>
      <c r="W1293" s="78" t="str">
        <f>IF(BD1293=0,"",IF(BA1293&gt;0,"⚠ Se superpone con un registro de la otra empresa",IF(D1293="Malcolm",IF(COUNTA(R1293,S1293,T1293)&gt;0,"Estado/fechas proMX se ignoran en Malcolm",""),IF(BF1293="Cancelled","Cancelado: excluido de totales",IF(R1293="","Sin estado: se trata como Draft",IF(BF1293="Submitted",IF(ISNUMBER(V1293),IF(V1293&gt;CFG_MAXD,"⚠ "&amp;V1293&amp;" días en Submitted (máx. "&amp;CFG_MAXD&amp;")",""),"Falta fecha de envío"),IF(BF1293="Returned","⚠ Devuelto: corregir y reenviar",IF(BF1293="Recall Requested","Retirada solicitada: pendiente",IF(AND(BF1293="Approved",NOT(ISNUMBER(T1293))),"Falta fecha de aprobación",IF(AND(ISNUMBER(S1293),ISNUMBER(T1293),T1293&lt;S1293),"Aprobación anterior al envío","")))))))))</f>
        <v/>
      </c>
      <c r="Y1293" s="80">
        <f>IF(COUNTA(B1293,D1293,E1293,F1293,G1293,H1293,I1293,J1293,R1293,S1293,T1293)&gt;0,1,0)</f>
        <v>0</v>
      </c>
      <c r="Z1293" s="80" t="str">
        <f>IF(AND(ISNUMBER(H1293),H1293&gt;=0,H1293&lt;1),ROUND(H1293*1440,0),"")</f>
        <v/>
      </c>
      <c r="AA1293" s="80" t="str">
        <f>IF(AND(ISNUMBER(I1293),I1293&gt;=0,I1293&lt;1),ROUND(I1293*1440,0),"")</f>
        <v/>
      </c>
      <c r="AB1293" s="80">
        <f>IF(AND(ISNUMBER(B1293),D1293&lt;&gt;"",ISNUMBER(Z1293),ISNUMBER(AA1293)),IF(Z1293=AA1293,0,1),0)</f>
        <v>0</v>
      </c>
      <c r="AC1293" s="80">
        <f>IF(AB1293=1,IF(AA1293&lt;Z1293,1,0),0)</f>
        <v>0</v>
      </c>
      <c r="AD1293" s="80">
        <f>IF(AB1293=1,IF(AC1293=1,1440-Z1293+AA1293,AA1293-Z1293),0)</f>
        <v>0</v>
      </c>
      <c r="AE1293" s="80">
        <f>IF(J1293="",0,IF(ISNUMBER(J1293),J1293,-1))</f>
        <v>0</v>
      </c>
      <c r="AF1293" s="80">
        <f>MIN(MAX(0,AE1293),AD1293)</f>
        <v>0</v>
      </c>
      <c r="AG1293" s="80">
        <f>MAX(0,AD1293-MAX(0,AE1293))</f>
        <v>0</v>
      </c>
      <c r="AH1293" s="80">
        <f>IF(ISNUMBER(B1293),IF(AND(INDEX(CFG_WDAYS,WEEKDAY(INT(B1293),2))="Sí",IF(D1293="proMX",COUNTIFS(FER_F,INT(B1293),FER_NLP,"Sí"),COUNTIFS(FER_F,INT(B1293),FER_NLM,"Sí"))=0),1,0),0)</f>
        <v>0</v>
      </c>
      <c r="AI1293" s="80">
        <f>IF(AC1293=1,IF(AND(INDEX(CFG_WDAYS,WEEKDAY(INT(B1293)+1,2))="Sí",IF(D1293="proMX",COUNTIFS(FER_F,INT(B1293)+1,FER_NLP,"Sí"),COUNTIFS(FER_F,INT(B1293)+1,FER_NLM,"Sí"))=0),1,0),0)</f>
        <v>0</v>
      </c>
      <c r="AJ1293" s="80">
        <f>IF(AC1293=1,1440-Z1293,AD1293)</f>
        <v>0</v>
      </c>
      <c r="AK1293" s="80">
        <f>IF(AND(AB1293=1,AH1293=1),MAX(0,MIN(IF(AC1293=1,1440,AA1293),CFG_WEM)-MAX(Z1293,CFG_WSM)),0)</f>
        <v>0</v>
      </c>
      <c r="AL1293" s="80">
        <f>IF(AND(AC1293=1,AI1293=1),MAX(0,MIN(AA1293,CFG_WEM)-CFG_WSM),0)</f>
        <v>0</v>
      </c>
      <c r="AM1293" s="80">
        <f>AK1293+AL1293</f>
        <v>0</v>
      </c>
      <c r="AN1293" s="80">
        <f>IF(CFG_BRK="Proporcional",IF(AD1293=0,0,AF1293*AM1293/AD1293),IF(CFG_BRK="Extras primero",MIN(AM1293,MAX(0,AF1293-(AD1293-AM1293))),MIN(AF1293,AM1293)))</f>
        <v>0</v>
      </c>
      <c r="AO1293" s="80">
        <f>AF1293-AN1293</f>
        <v>0</v>
      </c>
      <c r="AP1293" s="80">
        <f>AM1293-AN1293</f>
        <v>0</v>
      </c>
      <c r="AQ1293" s="80">
        <f>AD1293-AM1293-AO1293</f>
        <v>0</v>
      </c>
      <c r="AR1293" s="80">
        <f>IF(AM1293=0,0,AK1293-AN1293*AK1293/AM1293)</f>
        <v>0</v>
      </c>
      <c r="AS1293" s="80">
        <f>IF(AD1293-AM1293=0,0,(AJ1293-AK1293)-AO1293*(AJ1293-AK1293)/(AD1293-AM1293))</f>
        <v>0</v>
      </c>
      <c r="AT1293" s="80" t="str">
        <f>IF(AC1293=1,INT(B1293)+1,"")</f>
        <v/>
      </c>
      <c r="AU1293" s="80">
        <f>IF(AND(D1293="proMX",R1293="Cancelled"),0,1)</f>
        <v>1</v>
      </c>
      <c r="AV1293" s="80">
        <f>IF(AND(AB1293=1,AU1293=1),IF(COUNTIFS($D$5:D1292,D1293,$B$5:B1292,B1293,$Z$5:Z1292,Z1293,$AA$5:AA1292,AA1293,$F$5:F1292,F1293&amp;"",$AU$5:AU1292,1)&gt;0,1,0),0)</f>
        <v>0</v>
      </c>
      <c r="AW1293" s="80" t="str">
        <f>IF(AB1293=1,INT(B1293)*1440+Z1293,"")</f>
        <v/>
      </c>
      <c r="AX1293" s="80" t="str">
        <f>IF(AB1293=1,AW1293+AD1293,"")</f>
        <v/>
      </c>
      <c r="AY1293" s="80">
        <f>IF(AND(AB1293=1,AV1293=0,AU1293=1),1,0)</f>
        <v>0</v>
      </c>
      <c r="AZ1293" s="80">
        <f>IF(AY1293=1,COUNTIFS(R_Emp,D1293,R_SAbs,"&lt;"&amp;AX1293,R_EAbs,"&gt;"&amp;AW1293,R_OKey,1)-1,0)</f>
        <v>0</v>
      </c>
      <c r="BA1293" s="80">
        <f>IF(AY1293=1,COUNTIFS(R_Emp,"&lt;&gt;"&amp;D1293,R_SAbs,"&lt;"&amp;AX1293,R_EAbs,"&gt;"&amp;AW1293,R_OKey,1),0)</f>
        <v>0</v>
      </c>
      <c r="BB1293" s="80">
        <f>IF(AND(AB1293=1,D1293="proMX"),IF(AND(MOD(Z1293,CFG_BLK)=0,MOD(AA1293,CFG_BLK)=0,MOD(AG1293,CFG_BLK)=0,AG1293&gt;0),1,0),1)</f>
        <v>1</v>
      </c>
      <c r="BC1293" s="80" t="str">
        <f>IF(Y1293=0,"",IF(NOT(ISNUMBER(B1293)),"Falta fecha o fecha inválida",IF(D1293="","Falta empresa",IF(AND(D1293&lt;&gt;"Malcolm",D1293&lt;&gt;"proMX"),"Empresa inválida",IF(OR(INT(B1293)&lt;CFG_PSTART,INT(B1293)&gt;CFG_PEND),"Fecha fuera del período",IF(OR(NOT(ISNUMBER(Z1293)),NOT(ISNUMBER(AA1293))),"Falta hora inicio/fin o formato inválido",IF(AB1293=0,"Hora inicio = hora fin",IF(AE1293&lt;0,"Descanso inválido",IF(AE1293&gt;=AD1293,"Descanso ≥ duración",IF(AV1293=1,"Registro duplicado",IF(AZ1293&gt;0,"Se superpone con otro registro "&amp;D1293,IF(BB1293=0,"inicio, fin y duración neta deben ser múltiplos de "&amp;CFG_BLK&amp;" min",""))))))))))))</f>
        <v/>
      </c>
      <c r="BD1293" s="80">
        <f>IF(AND(Y1293=1,BC1293=""),1,0)</f>
        <v>0</v>
      </c>
      <c r="BE1293" s="80">
        <f>IF(AND(BD1293=1,AU1293=1),1,0)</f>
        <v>0</v>
      </c>
      <c r="BF1293" s="80" t="str">
        <f>IF(AND(D1293="proMX",BD1293=1),IF(R1293="","Draft",R1293),"")</f>
        <v/>
      </c>
      <c r="BG1293" s="80">
        <f>IF(BD1293=1,ROUND(AG1293/60,6),0)</f>
        <v>0</v>
      </c>
      <c r="BH1293" s="80">
        <f>IF(BE1293=1,ROUND(AG1293/60,6),0)</f>
        <v>0</v>
      </c>
      <c r="BI1293" s="80">
        <f>IF(BE1293=1,ROUND(AP1293/60,6),0)</f>
        <v>0</v>
      </c>
      <c r="BJ1293" s="80">
        <f>IF(BE1293=1,ROUND(AQ1293/60,6),0)</f>
        <v>0</v>
      </c>
      <c r="BK1293" s="80">
        <f>IF(BE1293=1,ROUND((AR1293+AS1293)/60,6),0)</f>
        <v>0</v>
      </c>
      <c r="BL1293" s="80">
        <f>ROUND(BH1293-BK1293,6)</f>
        <v>0</v>
      </c>
      <c r="BM1293" s="80">
        <f>IF(BE1293=1,ROUND(AR1293/60,6),0)</f>
        <v>0</v>
      </c>
      <c r="BN1293" s="80">
        <f>ROUND(BI1293-BM1293,6)</f>
        <v>0</v>
      </c>
      <c r="BO1293" s="80">
        <f>IF(BE1293=1,ROUND(AS1293/60,6),0)</f>
        <v>0</v>
      </c>
      <c r="BP1293" s="80">
        <f>ROUND(BJ1293-BO1293,6)</f>
        <v>0</v>
      </c>
      <c r="BQ1293" s="80">
        <f>IF(BE1293=1,AW1293,0)</f>
        <v>0</v>
      </c>
      <c r="BR1293" s="80">
        <f>IF(BE1293=1,AX1293,0)</f>
        <v>0</v>
      </c>
      <c r="BS1293" s="80">
        <f>IF(AND(BE1293=1,D1293="Malcolm",BA1293&gt;0),MIN(BH1293,SUMPRODUCT((R_Emp="proMX")*(R_EN&gt;0)*((R_EN-(R_EN&gt;BR1293)*(R_EN-BR1293))&gt;(R_SN+(R_SN&lt;BQ1293)*(BQ1293-R_SN)))*((R_EN-(R_EN&gt;BR1293)*(R_EN-BR1293))-(R_SN+(R_SN&lt;BQ1293)*(BQ1293-R_SN))))/60),0)</f>
        <v>0</v>
      </c>
      <c r="BT1293" s="80">
        <f>IF(AND(BE1293=1,D1293="proMX"),ROUND(BI1293*CFG_RATE+BJ1293*CFG_OTRATE,6),0)</f>
        <v>0</v>
      </c>
      <c r="BU1293" s="80">
        <f>IF(AND(BD1293=1,D1293="proMX"),ROUND(AG1293/CFG_BLK,6),0)</f>
        <v>0</v>
      </c>
      <c r="BV1293" s="80" t="str">
        <f>IF(BF1293="Approved",IF(ISNUMBER(T1293),INT(T1293),INT(B1293)),"")</f>
        <v/>
      </c>
      <c r="BW1293" s="80">
        <f>IF(ISNUMBER(B1293),IF(DB_MON="Todos",1,IF(AND(INT(B1293)&gt;=DB_MS,INT(B1293)&lt;=DB_ME),1,0)),0)</f>
        <v>0</v>
      </c>
      <c r="BX1293" s="80">
        <f>IF(DB_PROJ="Todos",1,IF(E1293&amp;""=DB_PROJ&amp;"",1,0))</f>
        <v>1</v>
      </c>
      <c r="BY1293" s="80">
        <f>BW1293*BX1293</f>
        <v>0</v>
      </c>
      <c r="BZ1293" s="80" t="str">
        <f>IF(Y1293=1,F1293&amp;IF(AND(F1293&amp;""&lt;&gt;"",E1293&amp;""&lt;&gt;"")," · ","")&amp;E1293,"")</f>
        <v/>
      </c>
      <c r="CA1293" s="80" t="str">
        <f>IF(AND(BD1293=1,E1293&amp;""&lt;&gt;""),IF(COUNTIFS($E$5:E1292,E1293,$BD$5:BD1292,1)=0,MAX($CA$5:CA1292)+1,""),"")</f>
        <v/>
      </c>
      <c r="CB1293" s="80" t="str">
        <f>IF(AND(BE1293=1,D1293="Malcolm",E1293&amp;""&lt;&gt;""),IF(COUNTIFS($D$5:D1292,"Malcolm",$E$5:E1292,E1293,$BE$5:BE1292,1)=0,MAX($CB$5:CB1292)+1,""),"")</f>
        <v/>
      </c>
      <c r="CC1293" s="80" t="str">
        <f>IF(AND(BD1293=1,D1293="proMX",E1293&amp;""&lt;&gt;""),IF(COUNTIFS($D$5:D1292,"proMX",$E$5:E1292,E1293,$BD$5:BD1292,1)=0,MAX($CC$5:CC1292)+1,""),"")</f>
        <v/>
      </c>
      <c r="CD1293" s="80" t="str">
        <f>IF(AND(BE1293=1,D1293="Malcolm",F1293&amp;""&lt;&gt;""),IF(COUNTIFS($D$5:D1292,"Malcolm",$F$5:F1292,F1293,$BE$5:BE1292,1)=0,MAX($CD$5:CD1292)+1,""),"")</f>
        <v/>
      </c>
      <c r="CE1293" s="80" t="str">
        <f>IF(AND(BD1293=1,D1293="proMX",F1293&amp;""&lt;&gt;""),IF(COUNTIFS($D$5:D1292,"proMX",$F$5:F1292,F1293,$BD$5:BD1292,1)=0,MAX($CE$5:CE1292)+1,""),"")</f>
        <v/>
      </c>
      <c r="CF1293" s="80" t="str">
        <f>IF(AND(D1293="proMX",BD1293=1),IF(OR(BF1293="Draft",BF1293="Submitted",BF1293="Returned",BF1293="Recall Requested"),MAX($CF$5:CF1292)+1,""),"")</f>
        <v/>
      </c>
      <c r="CG1293" s="80">
        <f>IF(BD1293=0,0,IF(D1293="Malcolm",1,MATCH(BF1293,{"Draft","Submitted","Approved","Returned","Recall Requested","Cancelled"},0)+1))</f>
        <v>0</v>
      </c>
      <c r="CH1293" s="80">
        <f>IF(AND(BF1293="Submitted",ISNUMBER(V1293)),IF(V1293&gt;CFG_MAXD,1,0),0)</f>
        <v>0</v>
      </c>
    </row>
    <row r="1294">
      <c r="A1294" s="71" t="str">
        <f>IF(Y1294=1,ROW()-5,"")</f>
        <v/>
      </c>
      <c r="B1294" s="72" t="n"/>
      <c r="C1294" s="71" t="str">
        <f>IF(ISNUMBER(B1294),CHOOSE(WEEKDAY(B1294,2),"Lun","Mar","Mié","Jue","Vie","Sáb","Dom"),"")</f>
        <v/>
      </c>
      <c r="D1294" s="73" t="n"/>
      <c r="E1294" s="74" t="n"/>
      <c r="F1294" s="74" t="n"/>
      <c r="G1294" s="74" t="n"/>
      <c r="H1294" s="75" t="n"/>
      <c r="I1294" s="75" t="n"/>
      <c r="J1294" s="76" t="n"/>
      <c r="K1294" s="77" t="str">
        <f>IF(AB1294=1,ROUND(AG1294/60,4),"")</f>
        <v/>
      </c>
      <c r="L1294" s="77" t="str">
        <f>IF(BD1294=1,ROUND(AP1294/60,4),"")</f>
        <v/>
      </c>
      <c r="M1294" s="77" t="str">
        <f>IF(BD1294=1,ROUND(AQ1294/60,4),"")</f>
        <v/>
      </c>
      <c r="N1294" s="71" t="str">
        <f>IF(AND(D1294="proMX",AB1294=1),ROUND(AG1294/CFG_BLK,2),"")</f>
        <v/>
      </c>
      <c r="O1294" s="77" t="str">
        <f>IF(D1294="proMX",IF(BD1294=1,ROUND(AG1294/60,4),0),"")</f>
        <v/>
      </c>
      <c r="P1294" s="78" t="str">
        <f>IF(Y1294=0,"",IF(BD1294=1,"OK",IF(D1294="proMX","Revisar bloques: ","Revisar: ")&amp;BC1294))</f>
        <v/>
      </c>
      <c r="Q1294" s="78" t="str">
        <f>IF(NOT(ISNUMBER(B1294)),"",IF(COUNTIFS(FER_F,INT(B1294))&gt;0,"Feriado"&amp;IF(AH1294=1," (laborable)"," (no laborable)"),IF(AH1294=1,"Laborable",IF(WEEKDAY(B1294,2)&gt;5,"Fin de semana","No laborable"))))</f>
        <v/>
      </c>
      <c r="R1294" s="73" t="n"/>
      <c r="S1294" s="72" t="n"/>
      <c r="T1294" s="72" t="n"/>
      <c r="U1294" s="74" t="n"/>
      <c r="V1294" s="79" t="str">
        <f>IF(AND(D1294="proMX",OR(R1294="Submitted",R1294="Recall Requested"),ISNUMBER(S1294)),CFG_TODAY-INT(S1294),"")</f>
        <v/>
      </c>
      <c r="W1294" s="78" t="str">
        <f>IF(BD1294=0,"",IF(BA1294&gt;0,"⚠ Se superpone con un registro de la otra empresa",IF(D1294="Malcolm",IF(COUNTA(R1294,S1294,T1294)&gt;0,"Estado/fechas proMX se ignoran en Malcolm",""),IF(BF1294="Cancelled","Cancelado: excluido de totales",IF(R1294="","Sin estado: se trata como Draft",IF(BF1294="Submitted",IF(ISNUMBER(V1294),IF(V1294&gt;CFG_MAXD,"⚠ "&amp;V1294&amp;" días en Submitted (máx. "&amp;CFG_MAXD&amp;")",""),"Falta fecha de envío"),IF(BF1294="Returned","⚠ Devuelto: corregir y reenviar",IF(BF1294="Recall Requested","Retirada solicitada: pendiente",IF(AND(BF1294="Approved",NOT(ISNUMBER(T1294))),"Falta fecha de aprobación",IF(AND(ISNUMBER(S1294),ISNUMBER(T1294),T1294&lt;S1294),"Aprobación anterior al envío","")))))))))</f>
        <v/>
      </c>
      <c r="Y1294" s="80">
        <f>IF(COUNTA(B1294,D1294,E1294,F1294,G1294,H1294,I1294,J1294,R1294,S1294,T1294)&gt;0,1,0)</f>
        <v>0</v>
      </c>
      <c r="Z1294" s="80" t="str">
        <f>IF(AND(ISNUMBER(H1294),H1294&gt;=0,H1294&lt;1),ROUND(H1294*1440,0),"")</f>
        <v/>
      </c>
      <c r="AA1294" s="80" t="str">
        <f>IF(AND(ISNUMBER(I1294),I1294&gt;=0,I1294&lt;1),ROUND(I1294*1440,0),"")</f>
        <v/>
      </c>
      <c r="AB1294" s="80">
        <f>IF(AND(ISNUMBER(B1294),D1294&lt;&gt;"",ISNUMBER(Z1294),ISNUMBER(AA1294)),IF(Z1294=AA1294,0,1),0)</f>
        <v>0</v>
      </c>
      <c r="AC1294" s="80">
        <f>IF(AB1294=1,IF(AA1294&lt;Z1294,1,0),0)</f>
        <v>0</v>
      </c>
      <c r="AD1294" s="80">
        <f>IF(AB1294=1,IF(AC1294=1,1440-Z1294+AA1294,AA1294-Z1294),0)</f>
        <v>0</v>
      </c>
      <c r="AE1294" s="80">
        <f>IF(J1294="",0,IF(ISNUMBER(J1294),J1294,-1))</f>
        <v>0</v>
      </c>
      <c r="AF1294" s="80">
        <f>MIN(MAX(0,AE1294),AD1294)</f>
        <v>0</v>
      </c>
      <c r="AG1294" s="80">
        <f>MAX(0,AD1294-MAX(0,AE1294))</f>
        <v>0</v>
      </c>
      <c r="AH1294" s="80">
        <f>IF(ISNUMBER(B1294),IF(AND(INDEX(CFG_WDAYS,WEEKDAY(INT(B1294),2))="Sí",IF(D1294="proMX",COUNTIFS(FER_F,INT(B1294),FER_NLP,"Sí"),COUNTIFS(FER_F,INT(B1294),FER_NLM,"Sí"))=0),1,0),0)</f>
        <v>0</v>
      </c>
      <c r="AI1294" s="80">
        <f>IF(AC1294=1,IF(AND(INDEX(CFG_WDAYS,WEEKDAY(INT(B1294)+1,2))="Sí",IF(D1294="proMX",COUNTIFS(FER_F,INT(B1294)+1,FER_NLP,"Sí"),COUNTIFS(FER_F,INT(B1294)+1,FER_NLM,"Sí"))=0),1,0),0)</f>
        <v>0</v>
      </c>
      <c r="AJ1294" s="80">
        <f>IF(AC1294=1,1440-Z1294,AD1294)</f>
        <v>0</v>
      </c>
      <c r="AK1294" s="80">
        <f>IF(AND(AB1294=1,AH1294=1),MAX(0,MIN(IF(AC1294=1,1440,AA1294),CFG_WEM)-MAX(Z1294,CFG_WSM)),0)</f>
        <v>0</v>
      </c>
      <c r="AL1294" s="80">
        <f>IF(AND(AC1294=1,AI1294=1),MAX(0,MIN(AA1294,CFG_WEM)-CFG_WSM),0)</f>
        <v>0</v>
      </c>
      <c r="AM1294" s="80">
        <f>AK1294+AL1294</f>
        <v>0</v>
      </c>
      <c r="AN1294" s="80">
        <f>IF(CFG_BRK="Proporcional",IF(AD1294=0,0,AF1294*AM1294/AD1294),IF(CFG_BRK="Extras primero",MIN(AM1294,MAX(0,AF1294-(AD1294-AM1294))),MIN(AF1294,AM1294)))</f>
        <v>0</v>
      </c>
      <c r="AO1294" s="80">
        <f>AF1294-AN1294</f>
        <v>0</v>
      </c>
      <c r="AP1294" s="80">
        <f>AM1294-AN1294</f>
        <v>0</v>
      </c>
      <c r="AQ1294" s="80">
        <f>AD1294-AM1294-AO1294</f>
        <v>0</v>
      </c>
      <c r="AR1294" s="80">
        <f>IF(AM1294=0,0,AK1294-AN1294*AK1294/AM1294)</f>
        <v>0</v>
      </c>
      <c r="AS1294" s="80">
        <f>IF(AD1294-AM1294=0,0,(AJ1294-AK1294)-AO1294*(AJ1294-AK1294)/(AD1294-AM1294))</f>
        <v>0</v>
      </c>
      <c r="AT1294" s="80" t="str">
        <f>IF(AC1294=1,INT(B1294)+1,"")</f>
        <v/>
      </c>
      <c r="AU1294" s="80">
        <f>IF(AND(D1294="proMX",R1294="Cancelled"),0,1)</f>
        <v>1</v>
      </c>
      <c r="AV1294" s="80">
        <f>IF(AND(AB1294=1,AU1294=1),IF(COUNTIFS($D$5:D1293,D1294,$B$5:B1293,B1294,$Z$5:Z1293,Z1294,$AA$5:AA1293,AA1294,$F$5:F1293,F1294&amp;"",$AU$5:AU1293,1)&gt;0,1,0),0)</f>
        <v>0</v>
      </c>
      <c r="AW1294" s="80" t="str">
        <f>IF(AB1294=1,INT(B1294)*1440+Z1294,"")</f>
        <v/>
      </c>
      <c r="AX1294" s="80" t="str">
        <f>IF(AB1294=1,AW1294+AD1294,"")</f>
        <v/>
      </c>
      <c r="AY1294" s="80">
        <f>IF(AND(AB1294=1,AV1294=0,AU1294=1),1,0)</f>
        <v>0</v>
      </c>
      <c r="AZ1294" s="80">
        <f>IF(AY1294=1,COUNTIFS(R_Emp,D1294,R_SAbs,"&lt;"&amp;AX1294,R_EAbs,"&gt;"&amp;AW1294,R_OKey,1)-1,0)</f>
        <v>0</v>
      </c>
      <c r="BA1294" s="80">
        <f>IF(AY1294=1,COUNTIFS(R_Emp,"&lt;&gt;"&amp;D1294,R_SAbs,"&lt;"&amp;AX1294,R_EAbs,"&gt;"&amp;AW1294,R_OKey,1),0)</f>
        <v>0</v>
      </c>
      <c r="BB1294" s="80">
        <f>IF(AND(AB1294=1,D1294="proMX"),IF(AND(MOD(Z1294,CFG_BLK)=0,MOD(AA1294,CFG_BLK)=0,MOD(AG1294,CFG_BLK)=0,AG1294&gt;0),1,0),1)</f>
        <v>1</v>
      </c>
      <c r="BC1294" s="80" t="str">
        <f>IF(Y1294=0,"",IF(NOT(ISNUMBER(B1294)),"Falta fecha o fecha inválida",IF(D1294="","Falta empresa",IF(AND(D1294&lt;&gt;"Malcolm",D1294&lt;&gt;"proMX"),"Empresa inválida",IF(OR(INT(B1294)&lt;CFG_PSTART,INT(B1294)&gt;CFG_PEND),"Fecha fuera del período",IF(OR(NOT(ISNUMBER(Z1294)),NOT(ISNUMBER(AA1294))),"Falta hora inicio/fin o formato inválido",IF(AB1294=0,"Hora inicio = hora fin",IF(AE1294&lt;0,"Descanso inválido",IF(AE1294&gt;=AD1294,"Descanso ≥ duración",IF(AV1294=1,"Registro duplicado",IF(AZ1294&gt;0,"Se superpone con otro registro "&amp;D1294,IF(BB1294=0,"inicio, fin y duración neta deben ser múltiplos de "&amp;CFG_BLK&amp;" min",""))))))))))))</f>
        <v/>
      </c>
      <c r="BD1294" s="80">
        <f>IF(AND(Y1294=1,BC1294=""),1,0)</f>
        <v>0</v>
      </c>
      <c r="BE1294" s="80">
        <f>IF(AND(BD1294=1,AU1294=1),1,0)</f>
        <v>0</v>
      </c>
      <c r="BF1294" s="80" t="str">
        <f>IF(AND(D1294="proMX",BD1294=1),IF(R1294="","Draft",R1294),"")</f>
        <v/>
      </c>
      <c r="BG1294" s="80">
        <f>IF(BD1294=1,ROUND(AG1294/60,6),0)</f>
        <v>0</v>
      </c>
      <c r="BH1294" s="80">
        <f>IF(BE1294=1,ROUND(AG1294/60,6),0)</f>
        <v>0</v>
      </c>
      <c r="BI1294" s="80">
        <f>IF(BE1294=1,ROUND(AP1294/60,6),0)</f>
        <v>0</v>
      </c>
      <c r="BJ1294" s="80">
        <f>IF(BE1294=1,ROUND(AQ1294/60,6),0)</f>
        <v>0</v>
      </c>
      <c r="BK1294" s="80">
        <f>IF(BE1294=1,ROUND((AR1294+AS1294)/60,6),0)</f>
        <v>0</v>
      </c>
      <c r="BL1294" s="80">
        <f>ROUND(BH1294-BK1294,6)</f>
        <v>0</v>
      </c>
      <c r="BM1294" s="80">
        <f>IF(BE1294=1,ROUND(AR1294/60,6),0)</f>
        <v>0</v>
      </c>
      <c r="BN1294" s="80">
        <f>ROUND(BI1294-BM1294,6)</f>
        <v>0</v>
      </c>
      <c r="BO1294" s="80">
        <f>IF(BE1294=1,ROUND(AS1294/60,6),0)</f>
        <v>0</v>
      </c>
      <c r="BP1294" s="80">
        <f>ROUND(BJ1294-BO1294,6)</f>
        <v>0</v>
      </c>
      <c r="BQ1294" s="80">
        <f>IF(BE1294=1,AW1294,0)</f>
        <v>0</v>
      </c>
      <c r="BR1294" s="80">
        <f>IF(BE1294=1,AX1294,0)</f>
        <v>0</v>
      </c>
      <c r="BS1294" s="80">
        <f>IF(AND(BE1294=1,D1294="Malcolm",BA1294&gt;0),MIN(BH1294,SUMPRODUCT((R_Emp="proMX")*(R_EN&gt;0)*((R_EN-(R_EN&gt;BR1294)*(R_EN-BR1294))&gt;(R_SN+(R_SN&lt;BQ1294)*(BQ1294-R_SN)))*((R_EN-(R_EN&gt;BR1294)*(R_EN-BR1294))-(R_SN+(R_SN&lt;BQ1294)*(BQ1294-R_SN))))/60),0)</f>
        <v>0</v>
      </c>
      <c r="BT1294" s="80">
        <f>IF(AND(BE1294=1,D1294="proMX"),ROUND(BI1294*CFG_RATE+BJ1294*CFG_OTRATE,6),0)</f>
        <v>0</v>
      </c>
      <c r="BU1294" s="80">
        <f>IF(AND(BD1294=1,D1294="proMX"),ROUND(AG1294/CFG_BLK,6),0)</f>
        <v>0</v>
      </c>
      <c r="BV1294" s="80" t="str">
        <f>IF(BF1294="Approved",IF(ISNUMBER(T1294),INT(T1294),INT(B1294)),"")</f>
        <v/>
      </c>
      <c r="BW1294" s="80">
        <f>IF(ISNUMBER(B1294),IF(DB_MON="Todos",1,IF(AND(INT(B1294)&gt;=DB_MS,INT(B1294)&lt;=DB_ME),1,0)),0)</f>
        <v>0</v>
      </c>
      <c r="BX1294" s="80">
        <f>IF(DB_PROJ="Todos",1,IF(E1294&amp;""=DB_PROJ&amp;"",1,0))</f>
        <v>1</v>
      </c>
      <c r="BY1294" s="80">
        <f>BW1294*BX1294</f>
        <v>0</v>
      </c>
      <c r="BZ1294" s="80" t="str">
        <f>IF(Y1294=1,F1294&amp;IF(AND(F1294&amp;""&lt;&gt;"",E1294&amp;""&lt;&gt;"")," · ","")&amp;E1294,"")</f>
        <v/>
      </c>
      <c r="CA1294" s="80" t="str">
        <f>IF(AND(BD1294=1,E1294&amp;""&lt;&gt;""),IF(COUNTIFS($E$5:E1293,E1294,$BD$5:BD1293,1)=0,MAX($CA$5:CA1293)+1,""),"")</f>
        <v/>
      </c>
      <c r="CB1294" s="80" t="str">
        <f>IF(AND(BE1294=1,D1294="Malcolm",E1294&amp;""&lt;&gt;""),IF(COUNTIFS($D$5:D1293,"Malcolm",$E$5:E1293,E1294,$BE$5:BE1293,1)=0,MAX($CB$5:CB1293)+1,""),"")</f>
        <v/>
      </c>
      <c r="CC1294" s="80" t="str">
        <f>IF(AND(BD1294=1,D1294="proMX",E1294&amp;""&lt;&gt;""),IF(COUNTIFS($D$5:D1293,"proMX",$E$5:E1293,E1294,$BD$5:BD1293,1)=0,MAX($CC$5:CC1293)+1,""),"")</f>
        <v/>
      </c>
      <c r="CD1294" s="80" t="str">
        <f>IF(AND(BE1294=1,D1294="Malcolm",F1294&amp;""&lt;&gt;""),IF(COUNTIFS($D$5:D1293,"Malcolm",$F$5:F1293,F1294,$BE$5:BE1293,1)=0,MAX($CD$5:CD1293)+1,""),"")</f>
        <v/>
      </c>
      <c r="CE1294" s="80" t="str">
        <f>IF(AND(BD1294=1,D1294="proMX",F1294&amp;""&lt;&gt;""),IF(COUNTIFS($D$5:D1293,"proMX",$F$5:F1293,F1294,$BD$5:BD1293,1)=0,MAX($CE$5:CE1293)+1,""),"")</f>
        <v/>
      </c>
      <c r="CF1294" s="80" t="str">
        <f>IF(AND(D1294="proMX",BD1294=1),IF(OR(BF1294="Draft",BF1294="Submitted",BF1294="Returned",BF1294="Recall Requested"),MAX($CF$5:CF1293)+1,""),"")</f>
        <v/>
      </c>
      <c r="CG1294" s="80">
        <f>IF(BD1294=0,0,IF(D1294="Malcolm",1,MATCH(BF1294,{"Draft","Submitted","Approved","Returned","Recall Requested","Cancelled"},0)+1))</f>
        <v>0</v>
      </c>
      <c r="CH1294" s="80">
        <f>IF(AND(BF1294="Submitted",ISNUMBER(V1294)),IF(V1294&gt;CFG_MAXD,1,0),0)</f>
        <v>0</v>
      </c>
    </row>
    <row r="1295">
      <c r="A1295" s="71" t="str">
        <f>IF(Y1295=1,ROW()-5,"")</f>
        <v/>
      </c>
      <c r="B1295" s="72" t="n"/>
      <c r="C1295" s="71" t="str">
        <f>IF(ISNUMBER(B1295),CHOOSE(WEEKDAY(B1295,2),"Lun","Mar","Mié","Jue","Vie","Sáb","Dom"),"")</f>
        <v/>
      </c>
      <c r="D1295" s="73" t="n"/>
      <c r="E1295" s="74" t="n"/>
      <c r="F1295" s="74" t="n"/>
      <c r="G1295" s="74" t="n"/>
      <c r="H1295" s="75" t="n"/>
      <c r="I1295" s="75" t="n"/>
      <c r="J1295" s="76" t="n"/>
      <c r="K1295" s="77" t="str">
        <f>IF(AB1295=1,ROUND(AG1295/60,4),"")</f>
        <v/>
      </c>
      <c r="L1295" s="77" t="str">
        <f>IF(BD1295=1,ROUND(AP1295/60,4),"")</f>
        <v/>
      </c>
      <c r="M1295" s="77" t="str">
        <f>IF(BD1295=1,ROUND(AQ1295/60,4),"")</f>
        <v/>
      </c>
      <c r="N1295" s="71" t="str">
        <f>IF(AND(D1295="proMX",AB1295=1),ROUND(AG1295/CFG_BLK,2),"")</f>
        <v/>
      </c>
      <c r="O1295" s="77" t="str">
        <f>IF(D1295="proMX",IF(BD1295=1,ROUND(AG1295/60,4),0),"")</f>
        <v/>
      </c>
      <c r="P1295" s="78" t="str">
        <f>IF(Y1295=0,"",IF(BD1295=1,"OK",IF(D1295="proMX","Revisar bloques: ","Revisar: ")&amp;BC1295))</f>
        <v/>
      </c>
      <c r="Q1295" s="78" t="str">
        <f>IF(NOT(ISNUMBER(B1295)),"",IF(COUNTIFS(FER_F,INT(B1295))&gt;0,"Feriado"&amp;IF(AH1295=1," (laborable)"," (no laborable)"),IF(AH1295=1,"Laborable",IF(WEEKDAY(B1295,2)&gt;5,"Fin de semana","No laborable"))))</f>
        <v/>
      </c>
      <c r="R1295" s="73" t="n"/>
      <c r="S1295" s="72" t="n"/>
      <c r="T1295" s="72" t="n"/>
      <c r="U1295" s="74" t="n"/>
      <c r="V1295" s="79" t="str">
        <f>IF(AND(D1295="proMX",OR(R1295="Submitted",R1295="Recall Requested"),ISNUMBER(S1295)),CFG_TODAY-INT(S1295),"")</f>
        <v/>
      </c>
      <c r="W1295" s="78" t="str">
        <f>IF(BD1295=0,"",IF(BA1295&gt;0,"⚠ Se superpone con un registro de la otra empresa",IF(D1295="Malcolm",IF(COUNTA(R1295,S1295,T1295)&gt;0,"Estado/fechas proMX se ignoran en Malcolm",""),IF(BF1295="Cancelled","Cancelado: excluido de totales",IF(R1295="","Sin estado: se trata como Draft",IF(BF1295="Submitted",IF(ISNUMBER(V1295),IF(V1295&gt;CFG_MAXD,"⚠ "&amp;V1295&amp;" días en Submitted (máx. "&amp;CFG_MAXD&amp;")",""),"Falta fecha de envío"),IF(BF1295="Returned","⚠ Devuelto: corregir y reenviar",IF(BF1295="Recall Requested","Retirada solicitada: pendiente",IF(AND(BF1295="Approved",NOT(ISNUMBER(T1295))),"Falta fecha de aprobación",IF(AND(ISNUMBER(S1295),ISNUMBER(T1295),T1295&lt;S1295),"Aprobación anterior al envío","")))))))))</f>
        <v/>
      </c>
      <c r="Y1295" s="80">
        <f>IF(COUNTA(B1295,D1295,E1295,F1295,G1295,H1295,I1295,J1295,R1295,S1295,T1295)&gt;0,1,0)</f>
        <v>0</v>
      </c>
      <c r="Z1295" s="80" t="str">
        <f>IF(AND(ISNUMBER(H1295),H1295&gt;=0,H1295&lt;1),ROUND(H1295*1440,0),"")</f>
        <v/>
      </c>
      <c r="AA1295" s="80" t="str">
        <f>IF(AND(ISNUMBER(I1295),I1295&gt;=0,I1295&lt;1),ROUND(I1295*1440,0),"")</f>
        <v/>
      </c>
      <c r="AB1295" s="80">
        <f>IF(AND(ISNUMBER(B1295),D1295&lt;&gt;"",ISNUMBER(Z1295),ISNUMBER(AA1295)),IF(Z1295=AA1295,0,1),0)</f>
        <v>0</v>
      </c>
      <c r="AC1295" s="80">
        <f>IF(AB1295=1,IF(AA1295&lt;Z1295,1,0),0)</f>
        <v>0</v>
      </c>
      <c r="AD1295" s="80">
        <f>IF(AB1295=1,IF(AC1295=1,1440-Z1295+AA1295,AA1295-Z1295),0)</f>
        <v>0</v>
      </c>
      <c r="AE1295" s="80">
        <f>IF(J1295="",0,IF(ISNUMBER(J1295),J1295,-1))</f>
        <v>0</v>
      </c>
      <c r="AF1295" s="80">
        <f>MIN(MAX(0,AE1295),AD1295)</f>
        <v>0</v>
      </c>
      <c r="AG1295" s="80">
        <f>MAX(0,AD1295-MAX(0,AE1295))</f>
        <v>0</v>
      </c>
      <c r="AH1295" s="80">
        <f>IF(ISNUMBER(B1295),IF(AND(INDEX(CFG_WDAYS,WEEKDAY(INT(B1295),2))="Sí",IF(D1295="proMX",COUNTIFS(FER_F,INT(B1295),FER_NLP,"Sí"),COUNTIFS(FER_F,INT(B1295),FER_NLM,"Sí"))=0),1,0),0)</f>
        <v>0</v>
      </c>
      <c r="AI1295" s="80">
        <f>IF(AC1295=1,IF(AND(INDEX(CFG_WDAYS,WEEKDAY(INT(B1295)+1,2))="Sí",IF(D1295="proMX",COUNTIFS(FER_F,INT(B1295)+1,FER_NLP,"Sí"),COUNTIFS(FER_F,INT(B1295)+1,FER_NLM,"Sí"))=0),1,0),0)</f>
        <v>0</v>
      </c>
      <c r="AJ1295" s="80">
        <f>IF(AC1295=1,1440-Z1295,AD1295)</f>
        <v>0</v>
      </c>
      <c r="AK1295" s="80">
        <f>IF(AND(AB1295=1,AH1295=1),MAX(0,MIN(IF(AC1295=1,1440,AA1295),CFG_WEM)-MAX(Z1295,CFG_WSM)),0)</f>
        <v>0</v>
      </c>
      <c r="AL1295" s="80">
        <f>IF(AND(AC1295=1,AI1295=1),MAX(0,MIN(AA1295,CFG_WEM)-CFG_WSM),0)</f>
        <v>0</v>
      </c>
      <c r="AM1295" s="80">
        <f>AK1295+AL1295</f>
        <v>0</v>
      </c>
      <c r="AN1295" s="80">
        <f>IF(CFG_BRK="Proporcional",IF(AD1295=0,0,AF1295*AM1295/AD1295),IF(CFG_BRK="Extras primero",MIN(AM1295,MAX(0,AF1295-(AD1295-AM1295))),MIN(AF1295,AM1295)))</f>
        <v>0</v>
      </c>
      <c r="AO1295" s="80">
        <f>AF1295-AN1295</f>
        <v>0</v>
      </c>
      <c r="AP1295" s="80">
        <f>AM1295-AN1295</f>
        <v>0</v>
      </c>
      <c r="AQ1295" s="80">
        <f>AD1295-AM1295-AO1295</f>
        <v>0</v>
      </c>
      <c r="AR1295" s="80">
        <f>IF(AM1295=0,0,AK1295-AN1295*AK1295/AM1295)</f>
        <v>0</v>
      </c>
      <c r="AS1295" s="80">
        <f>IF(AD1295-AM1295=0,0,(AJ1295-AK1295)-AO1295*(AJ1295-AK1295)/(AD1295-AM1295))</f>
        <v>0</v>
      </c>
      <c r="AT1295" s="80" t="str">
        <f>IF(AC1295=1,INT(B1295)+1,"")</f>
        <v/>
      </c>
      <c r="AU1295" s="80">
        <f>IF(AND(D1295="proMX",R1295="Cancelled"),0,1)</f>
        <v>1</v>
      </c>
      <c r="AV1295" s="80">
        <f>IF(AND(AB1295=1,AU1295=1),IF(COUNTIFS($D$5:D1294,D1295,$B$5:B1294,B1295,$Z$5:Z1294,Z1295,$AA$5:AA1294,AA1295,$F$5:F1294,F1295&amp;"",$AU$5:AU1294,1)&gt;0,1,0),0)</f>
        <v>0</v>
      </c>
      <c r="AW1295" s="80" t="str">
        <f>IF(AB1295=1,INT(B1295)*1440+Z1295,"")</f>
        <v/>
      </c>
      <c r="AX1295" s="80" t="str">
        <f>IF(AB1295=1,AW1295+AD1295,"")</f>
        <v/>
      </c>
      <c r="AY1295" s="80">
        <f>IF(AND(AB1295=1,AV1295=0,AU1295=1),1,0)</f>
        <v>0</v>
      </c>
      <c r="AZ1295" s="80">
        <f>IF(AY1295=1,COUNTIFS(R_Emp,D1295,R_SAbs,"&lt;"&amp;AX1295,R_EAbs,"&gt;"&amp;AW1295,R_OKey,1)-1,0)</f>
        <v>0</v>
      </c>
      <c r="BA1295" s="80">
        <f>IF(AY1295=1,COUNTIFS(R_Emp,"&lt;&gt;"&amp;D1295,R_SAbs,"&lt;"&amp;AX1295,R_EAbs,"&gt;"&amp;AW1295,R_OKey,1),0)</f>
        <v>0</v>
      </c>
      <c r="BB1295" s="80">
        <f>IF(AND(AB1295=1,D1295="proMX"),IF(AND(MOD(Z1295,CFG_BLK)=0,MOD(AA1295,CFG_BLK)=0,MOD(AG1295,CFG_BLK)=0,AG1295&gt;0),1,0),1)</f>
        <v>1</v>
      </c>
      <c r="BC1295" s="80" t="str">
        <f>IF(Y1295=0,"",IF(NOT(ISNUMBER(B1295)),"Falta fecha o fecha inválida",IF(D1295="","Falta empresa",IF(AND(D1295&lt;&gt;"Malcolm",D1295&lt;&gt;"proMX"),"Empresa inválida",IF(OR(INT(B1295)&lt;CFG_PSTART,INT(B1295)&gt;CFG_PEND),"Fecha fuera del período",IF(OR(NOT(ISNUMBER(Z1295)),NOT(ISNUMBER(AA1295))),"Falta hora inicio/fin o formato inválido",IF(AB1295=0,"Hora inicio = hora fin",IF(AE1295&lt;0,"Descanso inválido",IF(AE1295&gt;=AD1295,"Descanso ≥ duración",IF(AV1295=1,"Registro duplicado",IF(AZ1295&gt;0,"Se superpone con otro registro "&amp;D1295,IF(BB1295=0,"inicio, fin y duración neta deben ser múltiplos de "&amp;CFG_BLK&amp;" min",""))))))))))))</f>
        <v/>
      </c>
      <c r="BD1295" s="80">
        <f>IF(AND(Y1295=1,BC1295=""),1,0)</f>
        <v>0</v>
      </c>
      <c r="BE1295" s="80">
        <f>IF(AND(BD1295=1,AU1295=1),1,0)</f>
        <v>0</v>
      </c>
      <c r="BF1295" s="80" t="str">
        <f>IF(AND(D1295="proMX",BD1295=1),IF(R1295="","Draft",R1295),"")</f>
        <v/>
      </c>
      <c r="BG1295" s="80">
        <f>IF(BD1295=1,ROUND(AG1295/60,6),0)</f>
        <v>0</v>
      </c>
      <c r="BH1295" s="80">
        <f>IF(BE1295=1,ROUND(AG1295/60,6),0)</f>
        <v>0</v>
      </c>
      <c r="BI1295" s="80">
        <f>IF(BE1295=1,ROUND(AP1295/60,6),0)</f>
        <v>0</v>
      </c>
      <c r="BJ1295" s="80">
        <f>IF(BE1295=1,ROUND(AQ1295/60,6),0)</f>
        <v>0</v>
      </c>
      <c r="BK1295" s="80">
        <f>IF(BE1295=1,ROUND((AR1295+AS1295)/60,6),0)</f>
        <v>0</v>
      </c>
      <c r="BL1295" s="80">
        <f>ROUND(BH1295-BK1295,6)</f>
        <v>0</v>
      </c>
      <c r="BM1295" s="80">
        <f>IF(BE1295=1,ROUND(AR1295/60,6),0)</f>
        <v>0</v>
      </c>
      <c r="BN1295" s="80">
        <f>ROUND(BI1295-BM1295,6)</f>
        <v>0</v>
      </c>
      <c r="BO1295" s="80">
        <f>IF(BE1295=1,ROUND(AS1295/60,6),0)</f>
        <v>0</v>
      </c>
      <c r="BP1295" s="80">
        <f>ROUND(BJ1295-BO1295,6)</f>
        <v>0</v>
      </c>
      <c r="BQ1295" s="80">
        <f>IF(BE1295=1,AW1295,0)</f>
        <v>0</v>
      </c>
      <c r="BR1295" s="80">
        <f>IF(BE1295=1,AX1295,0)</f>
        <v>0</v>
      </c>
      <c r="BS1295" s="80">
        <f>IF(AND(BE1295=1,D1295="Malcolm",BA1295&gt;0),MIN(BH1295,SUMPRODUCT((R_Emp="proMX")*(R_EN&gt;0)*((R_EN-(R_EN&gt;BR1295)*(R_EN-BR1295))&gt;(R_SN+(R_SN&lt;BQ1295)*(BQ1295-R_SN)))*((R_EN-(R_EN&gt;BR1295)*(R_EN-BR1295))-(R_SN+(R_SN&lt;BQ1295)*(BQ1295-R_SN))))/60),0)</f>
        <v>0</v>
      </c>
      <c r="BT1295" s="80">
        <f>IF(AND(BE1295=1,D1295="proMX"),ROUND(BI1295*CFG_RATE+BJ1295*CFG_OTRATE,6),0)</f>
        <v>0</v>
      </c>
      <c r="BU1295" s="80">
        <f>IF(AND(BD1295=1,D1295="proMX"),ROUND(AG1295/CFG_BLK,6),0)</f>
        <v>0</v>
      </c>
      <c r="BV1295" s="80" t="str">
        <f>IF(BF1295="Approved",IF(ISNUMBER(T1295),INT(T1295),INT(B1295)),"")</f>
        <v/>
      </c>
      <c r="BW1295" s="80">
        <f>IF(ISNUMBER(B1295),IF(DB_MON="Todos",1,IF(AND(INT(B1295)&gt;=DB_MS,INT(B1295)&lt;=DB_ME),1,0)),0)</f>
        <v>0</v>
      </c>
      <c r="BX1295" s="80">
        <f>IF(DB_PROJ="Todos",1,IF(E1295&amp;""=DB_PROJ&amp;"",1,0))</f>
        <v>1</v>
      </c>
      <c r="BY1295" s="80">
        <f>BW1295*BX1295</f>
        <v>0</v>
      </c>
      <c r="BZ1295" s="80" t="str">
        <f>IF(Y1295=1,F1295&amp;IF(AND(F1295&amp;""&lt;&gt;"",E1295&amp;""&lt;&gt;"")," · ","")&amp;E1295,"")</f>
        <v/>
      </c>
      <c r="CA1295" s="80" t="str">
        <f>IF(AND(BD1295=1,E1295&amp;""&lt;&gt;""),IF(COUNTIFS($E$5:E1294,E1295,$BD$5:BD1294,1)=0,MAX($CA$5:CA1294)+1,""),"")</f>
        <v/>
      </c>
      <c r="CB1295" s="80" t="str">
        <f>IF(AND(BE1295=1,D1295="Malcolm",E1295&amp;""&lt;&gt;""),IF(COUNTIFS($D$5:D1294,"Malcolm",$E$5:E1294,E1295,$BE$5:BE1294,1)=0,MAX($CB$5:CB1294)+1,""),"")</f>
        <v/>
      </c>
      <c r="CC1295" s="80" t="str">
        <f>IF(AND(BD1295=1,D1295="proMX",E1295&amp;""&lt;&gt;""),IF(COUNTIFS($D$5:D1294,"proMX",$E$5:E1294,E1295,$BD$5:BD1294,1)=0,MAX($CC$5:CC1294)+1,""),"")</f>
        <v/>
      </c>
      <c r="CD1295" s="80" t="str">
        <f>IF(AND(BE1295=1,D1295="Malcolm",F1295&amp;""&lt;&gt;""),IF(COUNTIFS($D$5:D1294,"Malcolm",$F$5:F1294,F1295,$BE$5:BE1294,1)=0,MAX($CD$5:CD1294)+1,""),"")</f>
        <v/>
      </c>
      <c r="CE1295" s="80" t="str">
        <f>IF(AND(BD1295=1,D1295="proMX",F1295&amp;""&lt;&gt;""),IF(COUNTIFS($D$5:D1294,"proMX",$F$5:F1294,F1295,$BD$5:BD1294,1)=0,MAX($CE$5:CE1294)+1,""),"")</f>
        <v/>
      </c>
      <c r="CF1295" s="80" t="str">
        <f>IF(AND(D1295="proMX",BD1295=1),IF(OR(BF1295="Draft",BF1295="Submitted",BF1295="Returned",BF1295="Recall Requested"),MAX($CF$5:CF1294)+1,""),"")</f>
        <v/>
      </c>
      <c r="CG1295" s="80">
        <f>IF(BD1295=0,0,IF(D1295="Malcolm",1,MATCH(BF1295,{"Draft","Submitted","Approved","Returned","Recall Requested","Cancelled"},0)+1))</f>
        <v>0</v>
      </c>
      <c r="CH1295" s="80">
        <f>IF(AND(BF1295="Submitted",ISNUMBER(V1295)),IF(V1295&gt;CFG_MAXD,1,0),0)</f>
        <v>0</v>
      </c>
    </row>
    <row r="1296">
      <c r="A1296" s="71" t="str">
        <f>IF(Y1296=1,ROW()-5,"")</f>
        <v/>
      </c>
      <c r="B1296" s="72" t="n"/>
      <c r="C1296" s="71" t="str">
        <f>IF(ISNUMBER(B1296),CHOOSE(WEEKDAY(B1296,2),"Lun","Mar","Mié","Jue","Vie","Sáb","Dom"),"")</f>
        <v/>
      </c>
      <c r="D1296" s="73" t="n"/>
      <c r="E1296" s="74" t="n"/>
      <c r="F1296" s="74" t="n"/>
      <c r="G1296" s="74" t="n"/>
      <c r="H1296" s="75" t="n"/>
      <c r="I1296" s="75" t="n"/>
      <c r="J1296" s="76" t="n"/>
      <c r="K1296" s="77" t="str">
        <f>IF(AB1296=1,ROUND(AG1296/60,4),"")</f>
        <v/>
      </c>
      <c r="L1296" s="77" t="str">
        <f>IF(BD1296=1,ROUND(AP1296/60,4),"")</f>
        <v/>
      </c>
      <c r="M1296" s="77" t="str">
        <f>IF(BD1296=1,ROUND(AQ1296/60,4),"")</f>
        <v/>
      </c>
      <c r="N1296" s="71" t="str">
        <f>IF(AND(D1296="proMX",AB1296=1),ROUND(AG1296/CFG_BLK,2),"")</f>
        <v/>
      </c>
      <c r="O1296" s="77" t="str">
        <f>IF(D1296="proMX",IF(BD1296=1,ROUND(AG1296/60,4),0),"")</f>
        <v/>
      </c>
      <c r="P1296" s="78" t="str">
        <f>IF(Y1296=0,"",IF(BD1296=1,"OK",IF(D1296="proMX","Revisar bloques: ","Revisar: ")&amp;BC1296))</f>
        <v/>
      </c>
      <c r="Q1296" s="78" t="str">
        <f>IF(NOT(ISNUMBER(B1296)),"",IF(COUNTIFS(FER_F,INT(B1296))&gt;0,"Feriado"&amp;IF(AH1296=1," (laborable)"," (no laborable)"),IF(AH1296=1,"Laborable",IF(WEEKDAY(B1296,2)&gt;5,"Fin de semana","No laborable"))))</f>
        <v/>
      </c>
      <c r="R1296" s="73" t="n"/>
      <c r="S1296" s="72" t="n"/>
      <c r="T1296" s="72" t="n"/>
      <c r="U1296" s="74" t="n"/>
      <c r="V1296" s="79" t="str">
        <f>IF(AND(D1296="proMX",OR(R1296="Submitted",R1296="Recall Requested"),ISNUMBER(S1296)),CFG_TODAY-INT(S1296),"")</f>
        <v/>
      </c>
      <c r="W1296" s="78" t="str">
        <f>IF(BD1296=0,"",IF(BA1296&gt;0,"⚠ Se superpone con un registro de la otra empresa",IF(D1296="Malcolm",IF(COUNTA(R1296,S1296,T1296)&gt;0,"Estado/fechas proMX se ignoran en Malcolm",""),IF(BF1296="Cancelled","Cancelado: excluido de totales",IF(R1296="","Sin estado: se trata como Draft",IF(BF1296="Submitted",IF(ISNUMBER(V1296),IF(V1296&gt;CFG_MAXD,"⚠ "&amp;V1296&amp;" días en Submitted (máx. "&amp;CFG_MAXD&amp;")",""),"Falta fecha de envío"),IF(BF1296="Returned","⚠ Devuelto: corregir y reenviar",IF(BF1296="Recall Requested","Retirada solicitada: pendiente",IF(AND(BF1296="Approved",NOT(ISNUMBER(T1296))),"Falta fecha de aprobación",IF(AND(ISNUMBER(S1296),ISNUMBER(T1296),T1296&lt;S1296),"Aprobación anterior al envío","")))))))))</f>
        <v/>
      </c>
      <c r="Y1296" s="80">
        <f>IF(COUNTA(B1296,D1296,E1296,F1296,G1296,H1296,I1296,J1296,R1296,S1296,T1296)&gt;0,1,0)</f>
        <v>0</v>
      </c>
      <c r="Z1296" s="80" t="str">
        <f>IF(AND(ISNUMBER(H1296),H1296&gt;=0,H1296&lt;1),ROUND(H1296*1440,0),"")</f>
        <v/>
      </c>
      <c r="AA1296" s="80" t="str">
        <f>IF(AND(ISNUMBER(I1296),I1296&gt;=0,I1296&lt;1),ROUND(I1296*1440,0),"")</f>
        <v/>
      </c>
      <c r="AB1296" s="80">
        <f>IF(AND(ISNUMBER(B1296),D1296&lt;&gt;"",ISNUMBER(Z1296),ISNUMBER(AA1296)),IF(Z1296=AA1296,0,1),0)</f>
        <v>0</v>
      </c>
      <c r="AC1296" s="80">
        <f>IF(AB1296=1,IF(AA1296&lt;Z1296,1,0),0)</f>
        <v>0</v>
      </c>
      <c r="AD1296" s="80">
        <f>IF(AB1296=1,IF(AC1296=1,1440-Z1296+AA1296,AA1296-Z1296),0)</f>
        <v>0</v>
      </c>
      <c r="AE1296" s="80">
        <f>IF(J1296="",0,IF(ISNUMBER(J1296),J1296,-1))</f>
        <v>0</v>
      </c>
      <c r="AF1296" s="80">
        <f>MIN(MAX(0,AE1296),AD1296)</f>
        <v>0</v>
      </c>
      <c r="AG1296" s="80">
        <f>MAX(0,AD1296-MAX(0,AE1296))</f>
        <v>0</v>
      </c>
      <c r="AH1296" s="80">
        <f>IF(ISNUMBER(B1296),IF(AND(INDEX(CFG_WDAYS,WEEKDAY(INT(B1296),2))="Sí",IF(D1296="proMX",COUNTIFS(FER_F,INT(B1296),FER_NLP,"Sí"),COUNTIFS(FER_F,INT(B1296),FER_NLM,"Sí"))=0),1,0),0)</f>
        <v>0</v>
      </c>
      <c r="AI1296" s="80">
        <f>IF(AC1296=1,IF(AND(INDEX(CFG_WDAYS,WEEKDAY(INT(B1296)+1,2))="Sí",IF(D1296="proMX",COUNTIFS(FER_F,INT(B1296)+1,FER_NLP,"Sí"),COUNTIFS(FER_F,INT(B1296)+1,FER_NLM,"Sí"))=0),1,0),0)</f>
        <v>0</v>
      </c>
      <c r="AJ1296" s="80">
        <f>IF(AC1296=1,1440-Z1296,AD1296)</f>
        <v>0</v>
      </c>
      <c r="AK1296" s="80">
        <f>IF(AND(AB1296=1,AH1296=1),MAX(0,MIN(IF(AC1296=1,1440,AA1296),CFG_WEM)-MAX(Z1296,CFG_WSM)),0)</f>
        <v>0</v>
      </c>
      <c r="AL1296" s="80">
        <f>IF(AND(AC1296=1,AI1296=1),MAX(0,MIN(AA1296,CFG_WEM)-CFG_WSM),0)</f>
        <v>0</v>
      </c>
      <c r="AM1296" s="80">
        <f>AK1296+AL1296</f>
        <v>0</v>
      </c>
      <c r="AN1296" s="80">
        <f>IF(CFG_BRK="Proporcional",IF(AD1296=0,0,AF1296*AM1296/AD1296),IF(CFG_BRK="Extras primero",MIN(AM1296,MAX(0,AF1296-(AD1296-AM1296))),MIN(AF1296,AM1296)))</f>
        <v>0</v>
      </c>
      <c r="AO1296" s="80">
        <f>AF1296-AN1296</f>
        <v>0</v>
      </c>
      <c r="AP1296" s="80">
        <f>AM1296-AN1296</f>
        <v>0</v>
      </c>
      <c r="AQ1296" s="80">
        <f>AD1296-AM1296-AO1296</f>
        <v>0</v>
      </c>
      <c r="AR1296" s="80">
        <f>IF(AM1296=0,0,AK1296-AN1296*AK1296/AM1296)</f>
        <v>0</v>
      </c>
      <c r="AS1296" s="80">
        <f>IF(AD1296-AM1296=0,0,(AJ1296-AK1296)-AO1296*(AJ1296-AK1296)/(AD1296-AM1296))</f>
        <v>0</v>
      </c>
      <c r="AT1296" s="80" t="str">
        <f>IF(AC1296=1,INT(B1296)+1,"")</f>
        <v/>
      </c>
      <c r="AU1296" s="80">
        <f>IF(AND(D1296="proMX",R1296="Cancelled"),0,1)</f>
        <v>1</v>
      </c>
      <c r="AV1296" s="80">
        <f>IF(AND(AB1296=1,AU1296=1),IF(COUNTIFS($D$5:D1295,D1296,$B$5:B1295,B1296,$Z$5:Z1295,Z1296,$AA$5:AA1295,AA1296,$F$5:F1295,F1296&amp;"",$AU$5:AU1295,1)&gt;0,1,0),0)</f>
        <v>0</v>
      </c>
      <c r="AW1296" s="80" t="str">
        <f>IF(AB1296=1,INT(B1296)*1440+Z1296,"")</f>
        <v/>
      </c>
      <c r="AX1296" s="80" t="str">
        <f>IF(AB1296=1,AW1296+AD1296,"")</f>
        <v/>
      </c>
      <c r="AY1296" s="80">
        <f>IF(AND(AB1296=1,AV1296=0,AU1296=1),1,0)</f>
        <v>0</v>
      </c>
      <c r="AZ1296" s="80">
        <f>IF(AY1296=1,COUNTIFS(R_Emp,D1296,R_SAbs,"&lt;"&amp;AX1296,R_EAbs,"&gt;"&amp;AW1296,R_OKey,1)-1,0)</f>
        <v>0</v>
      </c>
      <c r="BA1296" s="80">
        <f>IF(AY1296=1,COUNTIFS(R_Emp,"&lt;&gt;"&amp;D1296,R_SAbs,"&lt;"&amp;AX1296,R_EAbs,"&gt;"&amp;AW1296,R_OKey,1),0)</f>
        <v>0</v>
      </c>
      <c r="BB1296" s="80">
        <f>IF(AND(AB1296=1,D1296="proMX"),IF(AND(MOD(Z1296,CFG_BLK)=0,MOD(AA1296,CFG_BLK)=0,MOD(AG1296,CFG_BLK)=0,AG1296&gt;0),1,0),1)</f>
        <v>1</v>
      </c>
      <c r="BC1296" s="80" t="str">
        <f>IF(Y1296=0,"",IF(NOT(ISNUMBER(B1296)),"Falta fecha o fecha inválida",IF(D1296="","Falta empresa",IF(AND(D1296&lt;&gt;"Malcolm",D1296&lt;&gt;"proMX"),"Empresa inválida",IF(OR(INT(B1296)&lt;CFG_PSTART,INT(B1296)&gt;CFG_PEND),"Fecha fuera del período",IF(OR(NOT(ISNUMBER(Z1296)),NOT(ISNUMBER(AA1296))),"Falta hora inicio/fin o formato inválido",IF(AB1296=0,"Hora inicio = hora fin",IF(AE1296&lt;0,"Descanso inválido",IF(AE1296&gt;=AD1296,"Descanso ≥ duración",IF(AV1296=1,"Registro duplicado",IF(AZ1296&gt;0,"Se superpone con otro registro "&amp;D1296,IF(BB1296=0,"inicio, fin y duración neta deben ser múltiplos de "&amp;CFG_BLK&amp;" min",""))))))))))))</f>
        <v/>
      </c>
      <c r="BD1296" s="80">
        <f>IF(AND(Y1296=1,BC1296=""),1,0)</f>
        <v>0</v>
      </c>
      <c r="BE1296" s="80">
        <f>IF(AND(BD1296=1,AU1296=1),1,0)</f>
        <v>0</v>
      </c>
      <c r="BF1296" s="80" t="str">
        <f>IF(AND(D1296="proMX",BD1296=1),IF(R1296="","Draft",R1296),"")</f>
        <v/>
      </c>
      <c r="BG1296" s="80">
        <f>IF(BD1296=1,ROUND(AG1296/60,6),0)</f>
        <v>0</v>
      </c>
      <c r="BH1296" s="80">
        <f>IF(BE1296=1,ROUND(AG1296/60,6),0)</f>
        <v>0</v>
      </c>
      <c r="BI1296" s="80">
        <f>IF(BE1296=1,ROUND(AP1296/60,6),0)</f>
        <v>0</v>
      </c>
      <c r="BJ1296" s="80">
        <f>IF(BE1296=1,ROUND(AQ1296/60,6),0)</f>
        <v>0</v>
      </c>
      <c r="BK1296" s="80">
        <f>IF(BE1296=1,ROUND((AR1296+AS1296)/60,6),0)</f>
        <v>0</v>
      </c>
      <c r="BL1296" s="80">
        <f>ROUND(BH1296-BK1296,6)</f>
        <v>0</v>
      </c>
      <c r="BM1296" s="80">
        <f>IF(BE1296=1,ROUND(AR1296/60,6),0)</f>
        <v>0</v>
      </c>
      <c r="BN1296" s="80">
        <f>ROUND(BI1296-BM1296,6)</f>
        <v>0</v>
      </c>
      <c r="BO1296" s="80">
        <f>IF(BE1296=1,ROUND(AS1296/60,6),0)</f>
        <v>0</v>
      </c>
      <c r="BP1296" s="80">
        <f>ROUND(BJ1296-BO1296,6)</f>
        <v>0</v>
      </c>
      <c r="BQ1296" s="80">
        <f>IF(BE1296=1,AW1296,0)</f>
        <v>0</v>
      </c>
      <c r="BR1296" s="80">
        <f>IF(BE1296=1,AX1296,0)</f>
        <v>0</v>
      </c>
      <c r="BS1296" s="80">
        <f>IF(AND(BE1296=1,D1296="Malcolm",BA1296&gt;0),MIN(BH1296,SUMPRODUCT((R_Emp="proMX")*(R_EN&gt;0)*((R_EN-(R_EN&gt;BR1296)*(R_EN-BR1296))&gt;(R_SN+(R_SN&lt;BQ1296)*(BQ1296-R_SN)))*((R_EN-(R_EN&gt;BR1296)*(R_EN-BR1296))-(R_SN+(R_SN&lt;BQ1296)*(BQ1296-R_SN))))/60),0)</f>
        <v>0</v>
      </c>
      <c r="BT1296" s="80">
        <f>IF(AND(BE1296=1,D1296="proMX"),ROUND(BI1296*CFG_RATE+BJ1296*CFG_OTRATE,6),0)</f>
        <v>0</v>
      </c>
      <c r="BU1296" s="80">
        <f>IF(AND(BD1296=1,D1296="proMX"),ROUND(AG1296/CFG_BLK,6),0)</f>
        <v>0</v>
      </c>
      <c r="BV1296" s="80" t="str">
        <f>IF(BF1296="Approved",IF(ISNUMBER(T1296),INT(T1296),INT(B1296)),"")</f>
        <v/>
      </c>
      <c r="BW1296" s="80">
        <f>IF(ISNUMBER(B1296),IF(DB_MON="Todos",1,IF(AND(INT(B1296)&gt;=DB_MS,INT(B1296)&lt;=DB_ME),1,0)),0)</f>
        <v>0</v>
      </c>
      <c r="BX1296" s="80">
        <f>IF(DB_PROJ="Todos",1,IF(E1296&amp;""=DB_PROJ&amp;"",1,0))</f>
        <v>1</v>
      </c>
      <c r="BY1296" s="80">
        <f>BW1296*BX1296</f>
        <v>0</v>
      </c>
      <c r="BZ1296" s="80" t="str">
        <f>IF(Y1296=1,F1296&amp;IF(AND(F1296&amp;""&lt;&gt;"",E1296&amp;""&lt;&gt;"")," · ","")&amp;E1296,"")</f>
        <v/>
      </c>
      <c r="CA1296" s="80" t="str">
        <f>IF(AND(BD1296=1,E1296&amp;""&lt;&gt;""),IF(COUNTIFS($E$5:E1295,E1296,$BD$5:BD1295,1)=0,MAX($CA$5:CA1295)+1,""),"")</f>
        <v/>
      </c>
      <c r="CB1296" s="80" t="str">
        <f>IF(AND(BE1296=1,D1296="Malcolm",E1296&amp;""&lt;&gt;""),IF(COUNTIFS($D$5:D1295,"Malcolm",$E$5:E1295,E1296,$BE$5:BE1295,1)=0,MAX($CB$5:CB1295)+1,""),"")</f>
        <v/>
      </c>
      <c r="CC1296" s="80" t="str">
        <f>IF(AND(BD1296=1,D1296="proMX",E1296&amp;""&lt;&gt;""),IF(COUNTIFS($D$5:D1295,"proMX",$E$5:E1295,E1296,$BD$5:BD1295,1)=0,MAX($CC$5:CC1295)+1,""),"")</f>
        <v/>
      </c>
      <c r="CD1296" s="80" t="str">
        <f>IF(AND(BE1296=1,D1296="Malcolm",F1296&amp;""&lt;&gt;""),IF(COUNTIFS($D$5:D1295,"Malcolm",$F$5:F1295,F1296,$BE$5:BE1295,1)=0,MAX($CD$5:CD1295)+1,""),"")</f>
        <v/>
      </c>
      <c r="CE1296" s="80" t="str">
        <f>IF(AND(BD1296=1,D1296="proMX",F1296&amp;""&lt;&gt;""),IF(COUNTIFS($D$5:D1295,"proMX",$F$5:F1295,F1296,$BD$5:BD1295,1)=0,MAX($CE$5:CE1295)+1,""),"")</f>
        <v/>
      </c>
      <c r="CF1296" s="80" t="str">
        <f>IF(AND(D1296="proMX",BD1296=1),IF(OR(BF1296="Draft",BF1296="Submitted",BF1296="Returned",BF1296="Recall Requested"),MAX($CF$5:CF1295)+1,""),"")</f>
        <v/>
      </c>
      <c r="CG1296" s="80">
        <f>IF(BD1296=0,0,IF(D1296="Malcolm",1,MATCH(BF1296,{"Draft","Submitted","Approved","Returned","Recall Requested","Cancelled"},0)+1))</f>
        <v>0</v>
      </c>
      <c r="CH1296" s="80">
        <f>IF(AND(BF1296="Submitted",ISNUMBER(V1296)),IF(V1296&gt;CFG_MAXD,1,0),0)</f>
        <v>0</v>
      </c>
    </row>
    <row r="1297">
      <c r="A1297" s="71" t="str">
        <f>IF(Y1297=1,ROW()-5,"")</f>
        <v/>
      </c>
      <c r="B1297" s="72" t="n"/>
      <c r="C1297" s="71" t="str">
        <f>IF(ISNUMBER(B1297),CHOOSE(WEEKDAY(B1297,2),"Lun","Mar","Mié","Jue","Vie","Sáb","Dom"),"")</f>
        <v/>
      </c>
      <c r="D1297" s="73" t="n"/>
      <c r="E1297" s="74" t="n"/>
      <c r="F1297" s="74" t="n"/>
      <c r="G1297" s="74" t="n"/>
      <c r="H1297" s="75" t="n"/>
      <c r="I1297" s="75" t="n"/>
      <c r="J1297" s="76" t="n"/>
      <c r="K1297" s="77" t="str">
        <f>IF(AB1297=1,ROUND(AG1297/60,4),"")</f>
        <v/>
      </c>
      <c r="L1297" s="77" t="str">
        <f>IF(BD1297=1,ROUND(AP1297/60,4),"")</f>
        <v/>
      </c>
      <c r="M1297" s="77" t="str">
        <f>IF(BD1297=1,ROUND(AQ1297/60,4),"")</f>
        <v/>
      </c>
      <c r="N1297" s="71" t="str">
        <f>IF(AND(D1297="proMX",AB1297=1),ROUND(AG1297/CFG_BLK,2),"")</f>
        <v/>
      </c>
      <c r="O1297" s="77" t="str">
        <f>IF(D1297="proMX",IF(BD1297=1,ROUND(AG1297/60,4),0),"")</f>
        <v/>
      </c>
      <c r="P1297" s="78" t="str">
        <f>IF(Y1297=0,"",IF(BD1297=1,"OK",IF(D1297="proMX","Revisar bloques: ","Revisar: ")&amp;BC1297))</f>
        <v/>
      </c>
      <c r="Q1297" s="78" t="str">
        <f>IF(NOT(ISNUMBER(B1297)),"",IF(COUNTIFS(FER_F,INT(B1297))&gt;0,"Feriado"&amp;IF(AH1297=1," (laborable)"," (no laborable)"),IF(AH1297=1,"Laborable",IF(WEEKDAY(B1297,2)&gt;5,"Fin de semana","No laborable"))))</f>
        <v/>
      </c>
      <c r="R1297" s="73" t="n"/>
      <c r="S1297" s="72" t="n"/>
      <c r="T1297" s="72" t="n"/>
      <c r="U1297" s="74" t="n"/>
      <c r="V1297" s="79" t="str">
        <f>IF(AND(D1297="proMX",OR(R1297="Submitted",R1297="Recall Requested"),ISNUMBER(S1297)),CFG_TODAY-INT(S1297),"")</f>
        <v/>
      </c>
      <c r="W1297" s="78" t="str">
        <f>IF(BD1297=0,"",IF(BA1297&gt;0,"⚠ Se superpone con un registro de la otra empresa",IF(D1297="Malcolm",IF(COUNTA(R1297,S1297,T1297)&gt;0,"Estado/fechas proMX se ignoran en Malcolm",""),IF(BF1297="Cancelled","Cancelado: excluido de totales",IF(R1297="","Sin estado: se trata como Draft",IF(BF1297="Submitted",IF(ISNUMBER(V1297),IF(V1297&gt;CFG_MAXD,"⚠ "&amp;V1297&amp;" días en Submitted (máx. "&amp;CFG_MAXD&amp;")",""),"Falta fecha de envío"),IF(BF1297="Returned","⚠ Devuelto: corregir y reenviar",IF(BF1297="Recall Requested","Retirada solicitada: pendiente",IF(AND(BF1297="Approved",NOT(ISNUMBER(T1297))),"Falta fecha de aprobación",IF(AND(ISNUMBER(S1297),ISNUMBER(T1297),T1297&lt;S1297),"Aprobación anterior al envío","")))))))))</f>
        <v/>
      </c>
      <c r="Y1297" s="80">
        <f>IF(COUNTA(B1297,D1297,E1297,F1297,G1297,H1297,I1297,J1297,R1297,S1297,T1297)&gt;0,1,0)</f>
        <v>0</v>
      </c>
      <c r="Z1297" s="80" t="str">
        <f>IF(AND(ISNUMBER(H1297),H1297&gt;=0,H1297&lt;1),ROUND(H1297*1440,0),"")</f>
        <v/>
      </c>
      <c r="AA1297" s="80" t="str">
        <f>IF(AND(ISNUMBER(I1297),I1297&gt;=0,I1297&lt;1),ROUND(I1297*1440,0),"")</f>
        <v/>
      </c>
      <c r="AB1297" s="80">
        <f>IF(AND(ISNUMBER(B1297),D1297&lt;&gt;"",ISNUMBER(Z1297),ISNUMBER(AA1297)),IF(Z1297=AA1297,0,1),0)</f>
        <v>0</v>
      </c>
      <c r="AC1297" s="80">
        <f>IF(AB1297=1,IF(AA1297&lt;Z1297,1,0),0)</f>
        <v>0</v>
      </c>
      <c r="AD1297" s="80">
        <f>IF(AB1297=1,IF(AC1297=1,1440-Z1297+AA1297,AA1297-Z1297),0)</f>
        <v>0</v>
      </c>
      <c r="AE1297" s="80">
        <f>IF(J1297="",0,IF(ISNUMBER(J1297),J1297,-1))</f>
        <v>0</v>
      </c>
      <c r="AF1297" s="80">
        <f>MIN(MAX(0,AE1297),AD1297)</f>
        <v>0</v>
      </c>
      <c r="AG1297" s="80">
        <f>MAX(0,AD1297-MAX(0,AE1297))</f>
        <v>0</v>
      </c>
      <c r="AH1297" s="80">
        <f>IF(ISNUMBER(B1297),IF(AND(INDEX(CFG_WDAYS,WEEKDAY(INT(B1297),2))="Sí",IF(D1297="proMX",COUNTIFS(FER_F,INT(B1297),FER_NLP,"Sí"),COUNTIFS(FER_F,INT(B1297),FER_NLM,"Sí"))=0),1,0),0)</f>
        <v>0</v>
      </c>
      <c r="AI1297" s="80">
        <f>IF(AC1297=1,IF(AND(INDEX(CFG_WDAYS,WEEKDAY(INT(B1297)+1,2))="Sí",IF(D1297="proMX",COUNTIFS(FER_F,INT(B1297)+1,FER_NLP,"Sí"),COUNTIFS(FER_F,INT(B1297)+1,FER_NLM,"Sí"))=0),1,0),0)</f>
        <v>0</v>
      </c>
      <c r="AJ1297" s="80">
        <f>IF(AC1297=1,1440-Z1297,AD1297)</f>
        <v>0</v>
      </c>
      <c r="AK1297" s="80">
        <f>IF(AND(AB1297=1,AH1297=1),MAX(0,MIN(IF(AC1297=1,1440,AA1297),CFG_WEM)-MAX(Z1297,CFG_WSM)),0)</f>
        <v>0</v>
      </c>
      <c r="AL1297" s="80">
        <f>IF(AND(AC1297=1,AI1297=1),MAX(0,MIN(AA1297,CFG_WEM)-CFG_WSM),0)</f>
        <v>0</v>
      </c>
      <c r="AM1297" s="80">
        <f>AK1297+AL1297</f>
        <v>0</v>
      </c>
      <c r="AN1297" s="80">
        <f>IF(CFG_BRK="Proporcional",IF(AD1297=0,0,AF1297*AM1297/AD1297),IF(CFG_BRK="Extras primero",MIN(AM1297,MAX(0,AF1297-(AD1297-AM1297))),MIN(AF1297,AM1297)))</f>
        <v>0</v>
      </c>
      <c r="AO1297" s="80">
        <f>AF1297-AN1297</f>
        <v>0</v>
      </c>
      <c r="AP1297" s="80">
        <f>AM1297-AN1297</f>
        <v>0</v>
      </c>
      <c r="AQ1297" s="80">
        <f>AD1297-AM1297-AO1297</f>
        <v>0</v>
      </c>
      <c r="AR1297" s="80">
        <f>IF(AM1297=0,0,AK1297-AN1297*AK1297/AM1297)</f>
        <v>0</v>
      </c>
      <c r="AS1297" s="80">
        <f>IF(AD1297-AM1297=0,0,(AJ1297-AK1297)-AO1297*(AJ1297-AK1297)/(AD1297-AM1297))</f>
        <v>0</v>
      </c>
      <c r="AT1297" s="80" t="str">
        <f>IF(AC1297=1,INT(B1297)+1,"")</f>
        <v/>
      </c>
      <c r="AU1297" s="80">
        <f>IF(AND(D1297="proMX",R1297="Cancelled"),0,1)</f>
        <v>1</v>
      </c>
      <c r="AV1297" s="80">
        <f>IF(AND(AB1297=1,AU1297=1),IF(COUNTIFS($D$5:D1296,D1297,$B$5:B1296,B1297,$Z$5:Z1296,Z1297,$AA$5:AA1296,AA1297,$F$5:F1296,F1297&amp;"",$AU$5:AU1296,1)&gt;0,1,0),0)</f>
        <v>0</v>
      </c>
      <c r="AW1297" s="80" t="str">
        <f>IF(AB1297=1,INT(B1297)*1440+Z1297,"")</f>
        <v/>
      </c>
      <c r="AX1297" s="80" t="str">
        <f>IF(AB1297=1,AW1297+AD1297,"")</f>
        <v/>
      </c>
      <c r="AY1297" s="80">
        <f>IF(AND(AB1297=1,AV1297=0,AU1297=1),1,0)</f>
        <v>0</v>
      </c>
      <c r="AZ1297" s="80">
        <f>IF(AY1297=1,COUNTIFS(R_Emp,D1297,R_SAbs,"&lt;"&amp;AX1297,R_EAbs,"&gt;"&amp;AW1297,R_OKey,1)-1,0)</f>
        <v>0</v>
      </c>
      <c r="BA1297" s="80">
        <f>IF(AY1297=1,COUNTIFS(R_Emp,"&lt;&gt;"&amp;D1297,R_SAbs,"&lt;"&amp;AX1297,R_EAbs,"&gt;"&amp;AW1297,R_OKey,1),0)</f>
        <v>0</v>
      </c>
      <c r="BB1297" s="80">
        <f>IF(AND(AB1297=1,D1297="proMX"),IF(AND(MOD(Z1297,CFG_BLK)=0,MOD(AA1297,CFG_BLK)=0,MOD(AG1297,CFG_BLK)=0,AG1297&gt;0),1,0),1)</f>
        <v>1</v>
      </c>
      <c r="BC1297" s="80" t="str">
        <f>IF(Y1297=0,"",IF(NOT(ISNUMBER(B1297)),"Falta fecha o fecha inválida",IF(D1297="","Falta empresa",IF(AND(D1297&lt;&gt;"Malcolm",D1297&lt;&gt;"proMX"),"Empresa inválida",IF(OR(INT(B1297)&lt;CFG_PSTART,INT(B1297)&gt;CFG_PEND),"Fecha fuera del período",IF(OR(NOT(ISNUMBER(Z1297)),NOT(ISNUMBER(AA1297))),"Falta hora inicio/fin o formato inválido",IF(AB1297=0,"Hora inicio = hora fin",IF(AE1297&lt;0,"Descanso inválido",IF(AE1297&gt;=AD1297,"Descanso ≥ duración",IF(AV1297=1,"Registro duplicado",IF(AZ1297&gt;0,"Se superpone con otro registro "&amp;D1297,IF(BB1297=0,"inicio, fin y duración neta deben ser múltiplos de "&amp;CFG_BLK&amp;" min",""))))))))))))</f>
        <v/>
      </c>
      <c r="BD1297" s="80">
        <f>IF(AND(Y1297=1,BC1297=""),1,0)</f>
        <v>0</v>
      </c>
      <c r="BE1297" s="80">
        <f>IF(AND(BD1297=1,AU1297=1),1,0)</f>
        <v>0</v>
      </c>
      <c r="BF1297" s="80" t="str">
        <f>IF(AND(D1297="proMX",BD1297=1),IF(R1297="","Draft",R1297),"")</f>
        <v/>
      </c>
      <c r="BG1297" s="80">
        <f>IF(BD1297=1,ROUND(AG1297/60,6),0)</f>
        <v>0</v>
      </c>
      <c r="BH1297" s="80">
        <f>IF(BE1297=1,ROUND(AG1297/60,6),0)</f>
        <v>0</v>
      </c>
      <c r="BI1297" s="80">
        <f>IF(BE1297=1,ROUND(AP1297/60,6),0)</f>
        <v>0</v>
      </c>
      <c r="BJ1297" s="80">
        <f>IF(BE1297=1,ROUND(AQ1297/60,6),0)</f>
        <v>0</v>
      </c>
      <c r="BK1297" s="80">
        <f>IF(BE1297=1,ROUND((AR1297+AS1297)/60,6),0)</f>
        <v>0</v>
      </c>
      <c r="BL1297" s="80">
        <f>ROUND(BH1297-BK1297,6)</f>
        <v>0</v>
      </c>
      <c r="BM1297" s="80">
        <f>IF(BE1297=1,ROUND(AR1297/60,6),0)</f>
        <v>0</v>
      </c>
      <c r="BN1297" s="80">
        <f>ROUND(BI1297-BM1297,6)</f>
        <v>0</v>
      </c>
      <c r="BO1297" s="80">
        <f>IF(BE1297=1,ROUND(AS1297/60,6),0)</f>
        <v>0</v>
      </c>
      <c r="BP1297" s="80">
        <f>ROUND(BJ1297-BO1297,6)</f>
        <v>0</v>
      </c>
      <c r="BQ1297" s="80">
        <f>IF(BE1297=1,AW1297,0)</f>
        <v>0</v>
      </c>
      <c r="BR1297" s="80">
        <f>IF(BE1297=1,AX1297,0)</f>
        <v>0</v>
      </c>
      <c r="BS1297" s="80">
        <f>IF(AND(BE1297=1,D1297="Malcolm",BA1297&gt;0),MIN(BH1297,SUMPRODUCT((R_Emp="proMX")*(R_EN&gt;0)*((R_EN-(R_EN&gt;BR1297)*(R_EN-BR1297))&gt;(R_SN+(R_SN&lt;BQ1297)*(BQ1297-R_SN)))*((R_EN-(R_EN&gt;BR1297)*(R_EN-BR1297))-(R_SN+(R_SN&lt;BQ1297)*(BQ1297-R_SN))))/60),0)</f>
        <v>0</v>
      </c>
      <c r="BT1297" s="80">
        <f>IF(AND(BE1297=1,D1297="proMX"),ROUND(BI1297*CFG_RATE+BJ1297*CFG_OTRATE,6),0)</f>
        <v>0</v>
      </c>
      <c r="BU1297" s="80">
        <f>IF(AND(BD1297=1,D1297="proMX"),ROUND(AG1297/CFG_BLK,6),0)</f>
        <v>0</v>
      </c>
      <c r="BV1297" s="80" t="str">
        <f>IF(BF1297="Approved",IF(ISNUMBER(T1297),INT(T1297),INT(B1297)),"")</f>
        <v/>
      </c>
      <c r="BW1297" s="80">
        <f>IF(ISNUMBER(B1297),IF(DB_MON="Todos",1,IF(AND(INT(B1297)&gt;=DB_MS,INT(B1297)&lt;=DB_ME),1,0)),0)</f>
        <v>0</v>
      </c>
      <c r="BX1297" s="80">
        <f>IF(DB_PROJ="Todos",1,IF(E1297&amp;""=DB_PROJ&amp;"",1,0))</f>
        <v>1</v>
      </c>
      <c r="BY1297" s="80">
        <f>BW1297*BX1297</f>
        <v>0</v>
      </c>
      <c r="BZ1297" s="80" t="str">
        <f>IF(Y1297=1,F1297&amp;IF(AND(F1297&amp;""&lt;&gt;"",E1297&amp;""&lt;&gt;"")," · ","")&amp;E1297,"")</f>
        <v/>
      </c>
      <c r="CA1297" s="80" t="str">
        <f>IF(AND(BD1297=1,E1297&amp;""&lt;&gt;""),IF(COUNTIFS($E$5:E1296,E1297,$BD$5:BD1296,1)=0,MAX($CA$5:CA1296)+1,""),"")</f>
        <v/>
      </c>
      <c r="CB1297" s="80" t="str">
        <f>IF(AND(BE1297=1,D1297="Malcolm",E1297&amp;""&lt;&gt;""),IF(COUNTIFS($D$5:D1296,"Malcolm",$E$5:E1296,E1297,$BE$5:BE1296,1)=0,MAX($CB$5:CB1296)+1,""),"")</f>
        <v/>
      </c>
      <c r="CC1297" s="80" t="str">
        <f>IF(AND(BD1297=1,D1297="proMX",E1297&amp;""&lt;&gt;""),IF(COUNTIFS($D$5:D1296,"proMX",$E$5:E1296,E1297,$BD$5:BD1296,1)=0,MAX($CC$5:CC1296)+1,""),"")</f>
        <v/>
      </c>
      <c r="CD1297" s="80" t="str">
        <f>IF(AND(BE1297=1,D1297="Malcolm",F1297&amp;""&lt;&gt;""),IF(COUNTIFS($D$5:D1296,"Malcolm",$F$5:F1296,F1297,$BE$5:BE1296,1)=0,MAX($CD$5:CD1296)+1,""),"")</f>
        <v/>
      </c>
      <c r="CE1297" s="80" t="str">
        <f>IF(AND(BD1297=1,D1297="proMX",F1297&amp;""&lt;&gt;""),IF(COUNTIFS($D$5:D1296,"proMX",$F$5:F1296,F1297,$BD$5:BD1296,1)=0,MAX($CE$5:CE1296)+1,""),"")</f>
        <v/>
      </c>
      <c r="CF1297" s="80" t="str">
        <f>IF(AND(D1297="proMX",BD1297=1),IF(OR(BF1297="Draft",BF1297="Submitted",BF1297="Returned",BF1297="Recall Requested"),MAX($CF$5:CF1296)+1,""),"")</f>
        <v/>
      </c>
      <c r="CG1297" s="80">
        <f>IF(BD1297=0,0,IF(D1297="Malcolm",1,MATCH(BF1297,{"Draft","Submitted","Approved","Returned","Recall Requested","Cancelled"},0)+1))</f>
        <v>0</v>
      </c>
      <c r="CH1297" s="80">
        <f>IF(AND(BF1297="Submitted",ISNUMBER(V1297)),IF(V1297&gt;CFG_MAXD,1,0),0)</f>
        <v>0</v>
      </c>
    </row>
    <row r="1298">
      <c r="A1298" s="71" t="str">
        <f>IF(Y1298=1,ROW()-5,"")</f>
        <v/>
      </c>
      <c r="B1298" s="72" t="n"/>
      <c r="C1298" s="71" t="str">
        <f>IF(ISNUMBER(B1298),CHOOSE(WEEKDAY(B1298,2),"Lun","Mar","Mié","Jue","Vie","Sáb","Dom"),"")</f>
        <v/>
      </c>
      <c r="D1298" s="73" t="n"/>
      <c r="E1298" s="74" t="n"/>
      <c r="F1298" s="74" t="n"/>
      <c r="G1298" s="74" t="n"/>
      <c r="H1298" s="75" t="n"/>
      <c r="I1298" s="75" t="n"/>
      <c r="J1298" s="76" t="n"/>
      <c r="K1298" s="77" t="str">
        <f>IF(AB1298=1,ROUND(AG1298/60,4),"")</f>
        <v/>
      </c>
      <c r="L1298" s="77" t="str">
        <f>IF(BD1298=1,ROUND(AP1298/60,4),"")</f>
        <v/>
      </c>
      <c r="M1298" s="77" t="str">
        <f>IF(BD1298=1,ROUND(AQ1298/60,4),"")</f>
        <v/>
      </c>
      <c r="N1298" s="71" t="str">
        <f>IF(AND(D1298="proMX",AB1298=1),ROUND(AG1298/CFG_BLK,2),"")</f>
        <v/>
      </c>
      <c r="O1298" s="77" t="str">
        <f>IF(D1298="proMX",IF(BD1298=1,ROUND(AG1298/60,4),0),"")</f>
        <v/>
      </c>
      <c r="P1298" s="78" t="str">
        <f>IF(Y1298=0,"",IF(BD1298=1,"OK",IF(D1298="proMX","Revisar bloques: ","Revisar: ")&amp;BC1298))</f>
        <v/>
      </c>
      <c r="Q1298" s="78" t="str">
        <f>IF(NOT(ISNUMBER(B1298)),"",IF(COUNTIFS(FER_F,INT(B1298))&gt;0,"Feriado"&amp;IF(AH1298=1," (laborable)"," (no laborable)"),IF(AH1298=1,"Laborable",IF(WEEKDAY(B1298,2)&gt;5,"Fin de semana","No laborable"))))</f>
        <v/>
      </c>
      <c r="R1298" s="73" t="n"/>
      <c r="S1298" s="72" t="n"/>
      <c r="T1298" s="72" t="n"/>
      <c r="U1298" s="74" t="n"/>
      <c r="V1298" s="79" t="str">
        <f>IF(AND(D1298="proMX",OR(R1298="Submitted",R1298="Recall Requested"),ISNUMBER(S1298)),CFG_TODAY-INT(S1298),"")</f>
        <v/>
      </c>
      <c r="W1298" s="78" t="str">
        <f>IF(BD1298=0,"",IF(BA1298&gt;0,"⚠ Se superpone con un registro de la otra empresa",IF(D1298="Malcolm",IF(COUNTA(R1298,S1298,T1298)&gt;0,"Estado/fechas proMX se ignoran en Malcolm",""),IF(BF1298="Cancelled","Cancelado: excluido de totales",IF(R1298="","Sin estado: se trata como Draft",IF(BF1298="Submitted",IF(ISNUMBER(V1298),IF(V1298&gt;CFG_MAXD,"⚠ "&amp;V1298&amp;" días en Submitted (máx. "&amp;CFG_MAXD&amp;")",""),"Falta fecha de envío"),IF(BF1298="Returned","⚠ Devuelto: corregir y reenviar",IF(BF1298="Recall Requested","Retirada solicitada: pendiente",IF(AND(BF1298="Approved",NOT(ISNUMBER(T1298))),"Falta fecha de aprobación",IF(AND(ISNUMBER(S1298),ISNUMBER(T1298),T1298&lt;S1298),"Aprobación anterior al envío","")))))))))</f>
        <v/>
      </c>
      <c r="Y1298" s="80">
        <f>IF(COUNTA(B1298,D1298,E1298,F1298,G1298,H1298,I1298,J1298,R1298,S1298,T1298)&gt;0,1,0)</f>
        <v>0</v>
      </c>
      <c r="Z1298" s="80" t="str">
        <f>IF(AND(ISNUMBER(H1298),H1298&gt;=0,H1298&lt;1),ROUND(H1298*1440,0),"")</f>
        <v/>
      </c>
      <c r="AA1298" s="80" t="str">
        <f>IF(AND(ISNUMBER(I1298),I1298&gt;=0,I1298&lt;1),ROUND(I1298*1440,0),"")</f>
        <v/>
      </c>
      <c r="AB1298" s="80">
        <f>IF(AND(ISNUMBER(B1298),D1298&lt;&gt;"",ISNUMBER(Z1298),ISNUMBER(AA1298)),IF(Z1298=AA1298,0,1),0)</f>
        <v>0</v>
      </c>
      <c r="AC1298" s="80">
        <f>IF(AB1298=1,IF(AA1298&lt;Z1298,1,0),0)</f>
        <v>0</v>
      </c>
      <c r="AD1298" s="80">
        <f>IF(AB1298=1,IF(AC1298=1,1440-Z1298+AA1298,AA1298-Z1298),0)</f>
        <v>0</v>
      </c>
      <c r="AE1298" s="80">
        <f>IF(J1298="",0,IF(ISNUMBER(J1298),J1298,-1))</f>
        <v>0</v>
      </c>
      <c r="AF1298" s="80">
        <f>MIN(MAX(0,AE1298),AD1298)</f>
        <v>0</v>
      </c>
      <c r="AG1298" s="80">
        <f>MAX(0,AD1298-MAX(0,AE1298))</f>
        <v>0</v>
      </c>
      <c r="AH1298" s="80">
        <f>IF(ISNUMBER(B1298),IF(AND(INDEX(CFG_WDAYS,WEEKDAY(INT(B1298),2))="Sí",IF(D1298="proMX",COUNTIFS(FER_F,INT(B1298),FER_NLP,"Sí"),COUNTIFS(FER_F,INT(B1298),FER_NLM,"Sí"))=0),1,0),0)</f>
        <v>0</v>
      </c>
      <c r="AI1298" s="80">
        <f>IF(AC1298=1,IF(AND(INDEX(CFG_WDAYS,WEEKDAY(INT(B1298)+1,2))="Sí",IF(D1298="proMX",COUNTIFS(FER_F,INT(B1298)+1,FER_NLP,"Sí"),COUNTIFS(FER_F,INT(B1298)+1,FER_NLM,"Sí"))=0),1,0),0)</f>
        <v>0</v>
      </c>
      <c r="AJ1298" s="80">
        <f>IF(AC1298=1,1440-Z1298,AD1298)</f>
        <v>0</v>
      </c>
      <c r="AK1298" s="80">
        <f>IF(AND(AB1298=1,AH1298=1),MAX(0,MIN(IF(AC1298=1,1440,AA1298),CFG_WEM)-MAX(Z1298,CFG_WSM)),0)</f>
        <v>0</v>
      </c>
      <c r="AL1298" s="80">
        <f>IF(AND(AC1298=1,AI1298=1),MAX(0,MIN(AA1298,CFG_WEM)-CFG_WSM),0)</f>
        <v>0</v>
      </c>
      <c r="AM1298" s="80">
        <f>AK1298+AL1298</f>
        <v>0</v>
      </c>
      <c r="AN1298" s="80">
        <f>IF(CFG_BRK="Proporcional",IF(AD1298=0,0,AF1298*AM1298/AD1298),IF(CFG_BRK="Extras primero",MIN(AM1298,MAX(0,AF1298-(AD1298-AM1298))),MIN(AF1298,AM1298)))</f>
        <v>0</v>
      </c>
      <c r="AO1298" s="80">
        <f>AF1298-AN1298</f>
        <v>0</v>
      </c>
      <c r="AP1298" s="80">
        <f>AM1298-AN1298</f>
        <v>0</v>
      </c>
      <c r="AQ1298" s="80">
        <f>AD1298-AM1298-AO1298</f>
        <v>0</v>
      </c>
      <c r="AR1298" s="80">
        <f>IF(AM1298=0,0,AK1298-AN1298*AK1298/AM1298)</f>
        <v>0</v>
      </c>
      <c r="AS1298" s="80">
        <f>IF(AD1298-AM1298=0,0,(AJ1298-AK1298)-AO1298*(AJ1298-AK1298)/(AD1298-AM1298))</f>
        <v>0</v>
      </c>
      <c r="AT1298" s="80" t="str">
        <f>IF(AC1298=1,INT(B1298)+1,"")</f>
        <v/>
      </c>
      <c r="AU1298" s="80">
        <f>IF(AND(D1298="proMX",R1298="Cancelled"),0,1)</f>
        <v>1</v>
      </c>
      <c r="AV1298" s="80">
        <f>IF(AND(AB1298=1,AU1298=1),IF(COUNTIFS($D$5:D1297,D1298,$B$5:B1297,B1298,$Z$5:Z1297,Z1298,$AA$5:AA1297,AA1298,$F$5:F1297,F1298&amp;"",$AU$5:AU1297,1)&gt;0,1,0),0)</f>
        <v>0</v>
      </c>
      <c r="AW1298" s="80" t="str">
        <f>IF(AB1298=1,INT(B1298)*1440+Z1298,"")</f>
        <v/>
      </c>
      <c r="AX1298" s="80" t="str">
        <f>IF(AB1298=1,AW1298+AD1298,"")</f>
        <v/>
      </c>
      <c r="AY1298" s="80">
        <f>IF(AND(AB1298=1,AV1298=0,AU1298=1),1,0)</f>
        <v>0</v>
      </c>
      <c r="AZ1298" s="80">
        <f>IF(AY1298=1,COUNTIFS(R_Emp,D1298,R_SAbs,"&lt;"&amp;AX1298,R_EAbs,"&gt;"&amp;AW1298,R_OKey,1)-1,0)</f>
        <v>0</v>
      </c>
      <c r="BA1298" s="80">
        <f>IF(AY1298=1,COUNTIFS(R_Emp,"&lt;&gt;"&amp;D1298,R_SAbs,"&lt;"&amp;AX1298,R_EAbs,"&gt;"&amp;AW1298,R_OKey,1),0)</f>
        <v>0</v>
      </c>
      <c r="BB1298" s="80">
        <f>IF(AND(AB1298=1,D1298="proMX"),IF(AND(MOD(Z1298,CFG_BLK)=0,MOD(AA1298,CFG_BLK)=0,MOD(AG1298,CFG_BLK)=0,AG1298&gt;0),1,0),1)</f>
        <v>1</v>
      </c>
      <c r="BC1298" s="80" t="str">
        <f>IF(Y1298=0,"",IF(NOT(ISNUMBER(B1298)),"Falta fecha o fecha inválida",IF(D1298="","Falta empresa",IF(AND(D1298&lt;&gt;"Malcolm",D1298&lt;&gt;"proMX"),"Empresa inválida",IF(OR(INT(B1298)&lt;CFG_PSTART,INT(B1298)&gt;CFG_PEND),"Fecha fuera del período",IF(OR(NOT(ISNUMBER(Z1298)),NOT(ISNUMBER(AA1298))),"Falta hora inicio/fin o formato inválido",IF(AB1298=0,"Hora inicio = hora fin",IF(AE1298&lt;0,"Descanso inválido",IF(AE1298&gt;=AD1298,"Descanso ≥ duración",IF(AV1298=1,"Registro duplicado",IF(AZ1298&gt;0,"Se superpone con otro registro "&amp;D1298,IF(BB1298=0,"inicio, fin y duración neta deben ser múltiplos de "&amp;CFG_BLK&amp;" min",""))))))))))))</f>
        <v/>
      </c>
      <c r="BD1298" s="80">
        <f>IF(AND(Y1298=1,BC1298=""),1,0)</f>
        <v>0</v>
      </c>
      <c r="BE1298" s="80">
        <f>IF(AND(BD1298=1,AU1298=1),1,0)</f>
        <v>0</v>
      </c>
      <c r="BF1298" s="80" t="str">
        <f>IF(AND(D1298="proMX",BD1298=1),IF(R1298="","Draft",R1298),"")</f>
        <v/>
      </c>
      <c r="BG1298" s="80">
        <f>IF(BD1298=1,ROUND(AG1298/60,6),0)</f>
        <v>0</v>
      </c>
      <c r="BH1298" s="80">
        <f>IF(BE1298=1,ROUND(AG1298/60,6),0)</f>
        <v>0</v>
      </c>
      <c r="BI1298" s="80">
        <f>IF(BE1298=1,ROUND(AP1298/60,6),0)</f>
        <v>0</v>
      </c>
      <c r="BJ1298" s="80">
        <f>IF(BE1298=1,ROUND(AQ1298/60,6),0)</f>
        <v>0</v>
      </c>
      <c r="BK1298" s="80">
        <f>IF(BE1298=1,ROUND((AR1298+AS1298)/60,6),0)</f>
        <v>0</v>
      </c>
      <c r="BL1298" s="80">
        <f>ROUND(BH1298-BK1298,6)</f>
        <v>0</v>
      </c>
      <c r="BM1298" s="80">
        <f>IF(BE1298=1,ROUND(AR1298/60,6),0)</f>
        <v>0</v>
      </c>
      <c r="BN1298" s="80">
        <f>ROUND(BI1298-BM1298,6)</f>
        <v>0</v>
      </c>
      <c r="BO1298" s="80">
        <f>IF(BE1298=1,ROUND(AS1298/60,6),0)</f>
        <v>0</v>
      </c>
      <c r="BP1298" s="80">
        <f>ROUND(BJ1298-BO1298,6)</f>
        <v>0</v>
      </c>
      <c r="BQ1298" s="80">
        <f>IF(BE1298=1,AW1298,0)</f>
        <v>0</v>
      </c>
      <c r="BR1298" s="80">
        <f>IF(BE1298=1,AX1298,0)</f>
        <v>0</v>
      </c>
      <c r="BS1298" s="80">
        <f>IF(AND(BE1298=1,D1298="Malcolm",BA1298&gt;0),MIN(BH1298,SUMPRODUCT((R_Emp="proMX")*(R_EN&gt;0)*((R_EN-(R_EN&gt;BR1298)*(R_EN-BR1298))&gt;(R_SN+(R_SN&lt;BQ1298)*(BQ1298-R_SN)))*((R_EN-(R_EN&gt;BR1298)*(R_EN-BR1298))-(R_SN+(R_SN&lt;BQ1298)*(BQ1298-R_SN))))/60),0)</f>
        <v>0</v>
      </c>
      <c r="BT1298" s="80">
        <f>IF(AND(BE1298=1,D1298="proMX"),ROUND(BI1298*CFG_RATE+BJ1298*CFG_OTRATE,6),0)</f>
        <v>0</v>
      </c>
      <c r="BU1298" s="80">
        <f>IF(AND(BD1298=1,D1298="proMX"),ROUND(AG1298/CFG_BLK,6),0)</f>
        <v>0</v>
      </c>
      <c r="BV1298" s="80" t="str">
        <f>IF(BF1298="Approved",IF(ISNUMBER(T1298),INT(T1298),INT(B1298)),"")</f>
        <v/>
      </c>
      <c r="BW1298" s="80">
        <f>IF(ISNUMBER(B1298),IF(DB_MON="Todos",1,IF(AND(INT(B1298)&gt;=DB_MS,INT(B1298)&lt;=DB_ME),1,0)),0)</f>
        <v>0</v>
      </c>
      <c r="BX1298" s="80">
        <f>IF(DB_PROJ="Todos",1,IF(E1298&amp;""=DB_PROJ&amp;"",1,0))</f>
        <v>1</v>
      </c>
      <c r="BY1298" s="80">
        <f>BW1298*BX1298</f>
        <v>0</v>
      </c>
      <c r="BZ1298" s="80" t="str">
        <f>IF(Y1298=1,F1298&amp;IF(AND(F1298&amp;""&lt;&gt;"",E1298&amp;""&lt;&gt;"")," · ","")&amp;E1298,"")</f>
        <v/>
      </c>
      <c r="CA1298" s="80" t="str">
        <f>IF(AND(BD1298=1,E1298&amp;""&lt;&gt;""),IF(COUNTIFS($E$5:E1297,E1298,$BD$5:BD1297,1)=0,MAX($CA$5:CA1297)+1,""),"")</f>
        <v/>
      </c>
      <c r="CB1298" s="80" t="str">
        <f>IF(AND(BE1298=1,D1298="Malcolm",E1298&amp;""&lt;&gt;""),IF(COUNTIFS($D$5:D1297,"Malcolm",$E$5:E1297,E1298,$BE$5:BE1297,1)=0,MAX($CB$5:CB1297)+1,""),"")</f>
        <v/>
      </c>
      <c r="CC1298" s="80" t="str">
        <f>IF(AND(BD1298=1,D1298="proMX",E1298&amp;""&lt;&gt;""),IF(COUNTIFS($D$5:D1297,"proMX",$E$5:E1297,E1298,$BD$5:BD1297,1)=0,MAX($CC$5:CC1297)+1,""),"")</f>
        <v/>
      </c>
      <c r="CD1298" s="80" t="str">
        <f>IF(AND(BE1298=1,D1298="Malcolm",F1298&amp;""&lt;&gt;""),IF(COUNTIFS($D$5:D1297,"Malcolm",$F$5:F1297,F1298,$BE$5:BE1297,1)=0,MAX($CD$5:CD1297)+1,""),"")</f>
        <v/>
      </c>
      <c r="CE1298" s="80" t="str">
        <f>IF(AND(BD1298=1,D1298="proMX",F1298&amp;""&lt;&gt;""),IF(COUNTIFS($D$5:D1297,"proMX",$F$5:F1297,F1298,$BD$5:BD1297,1)=0,MAX($CE$5:CE1297)+1,""),"")</f>
        <v/>
      </c>
      <c r="CF1298" s="80" t="str">
        <f>IF(AND(D1298="proMX",BD1298=1),IF(OR(BF1298="Draft",BF1298="Submitted",BF1298="Returned",BF1298="Recall Requested"),MAX($CF$5:CF1297)+1,""),"")</f>
        <v/>
      </c>
      <c r="CG1298" s="80">
        <f>IF(BD1298=0,0,IF(D1298="Malcolm",1,MATCH(BF1298,{"Draft","Submitted","Approved","Returned","Recall Requested","Cancelled"},0)+1))</f>
        <v>0</v>
      </c>
      <c r="CH1298" s="80">
        <f>IF(AND(BF1298="Submitted",ISNUMBER(V1298)),IF(V1298&gt;CFG_MAXD,1,0),0)</f>
        <v>0</v>
      </c>
    </row>
    <row r="1299">
      <c r="A1299" s="71" t="str">
        <f>IF(Y1299=1,ROW()-5,"")</f>
        <v/>
      </c>
      <c r="B1299" s="72" t="n"/>
      <c r="C1299" s="71" t="str">
        <f>IF(ISNUMBER(B1299),CHOOSE(WEEKDAY(B1299,2),"Lun","Mar","Mié","Jue","Vie","Sáb","Dom"),"")</f>
        <v/>
      </c>
      <c r="D1299" s="73" t="n"/>
      <c r="E1299" s="74" t="n"/>
      <c r="F1299" s="74" t="n"/>
      <c r="G1299" s="74" t="n"/>
      <c r="H1299" s="75" t="n"/>
      <c r="I1299" s="75" t="n"/>
      <c r="J1299" s="76" t="n"/>
      <c r="K1299" s="77" t="str">
        <f>IF(AB1299=1,ROUND(AG1299/60,4),"")</f>
        <v/>
      </c>
      <c r="L1299" s="77" t="str">
        <f>IF(BD1299=1,ROUND(AP1299/60,4),"")</f>
        <v/>
      </c>
      <c r="M1299" s="77" t="str">
        <f>IF(BD1299=1,ROUND(AQ1299/60,4),"")</f>
        <v/>
      </c>
      <c r="N1299" s="71" t="str">
        <f>IF(AND(D1299="proMX",AB1299=1),ROUND(AG1299/CFG_BLK,2),"")</f>
        <v/>
      </c>
      <c r="O1299" s="77" t="str">
        <f>IF(D1299="proMX",IF(BD1299=1,ROUND(AG1299/60,4),0),"")</f>
        <v/>
      </c>
      <c r="P1299" s="78" t="str">
        <f>IF(Y1299=0,"",IF(BD1299=1,"OK",IF(D1299="proMX","Revisar bloques: ","Revisar: ")&amp;BC1299))</f>
        <v/>
      </c>
      <c r="Q1299" s="78" t="str">
        <f>IF(NOT(ISNUMBER(B1299)),"",IF(COUNTIFS(FER_F,INT(B1299))&gt;0,"Feriado"&amp;IF(AH1299=1," (laborable)"," (no laborable)"),IF(AH1299=1,"Laborable",IF(WEEKDAY(B1299,2)&gt;5,"Fin de semana","No laborable"))))</f>
        <v/>
      </c>
      <c r="R1299" s="73" t="n"/>
      <c r="S1299" s="72" t="n"/>
      <c r="T1299" s="72" t="n"/>
      <c r="U1299" s="74" t="n"/>
      <c r="V1299" s="79" t="str">
        <f>IF(AND(D1299="proMX",OR(R1299="Submitted",R1299="Recall Requested"),ISNUMBER(S1299)),CFG_TODAY-INT(S1299),"")</f>
        <v/>
      </c>
      <c r="W1299" s="78" t="str">
        <f>IF(BD1299=0,"",IF(BA1299&gt;0,"⚠ Se superpone con un registro de la otra empresa",IF(D1299="Malcolm",IF(COUNTA(R1299,S1299,T1299)&gt;0,"Estado/fechas proMX se ignoran en Malcolm",""),IF(BF1299="Cancelled","Cancelado: excluido de totales",IF(R1299="","Sin estado: se trata como Draft",IF(BF1299="Submitted",IF(ISNUMBER(V1299),IF(V1299&gt;CFG_MAXD,"⚠ "&amp;V1299&amp;" días en Submitted (máx. "&amp;CFG_MAXD&amp;")",""),"Falta fecha de envío"),IF(BF1299="Returned","⚠ Devuelto: corregir y reenviar",IF(BF1299="Recall Requested","Retirada solicitada: pendiente",IF(AND(BF1299="Approved",NOT(ISNUMBER(T1299))),"Falta fecha de aprobación",IF(AND(ISNUMBER(S1299),ISNUMBER(T1299),T1299&lt;S1299),"Aprobación anterior al envío","")))))))))</f>
        <v/>
      </c>
      <c r="Y1299" s="80">
        <f>IF(COUNTA(B1299,D1299,E1299,F1299,G1299,H1299,I1299,J1299,R1299,S1299,T1299)&gt;0,1,0)</f>
        <v>0</v>
      </c>
      <c r="Z1299" s="80" t="str">
        <f>IF(AND(ISNUMBER(H1299),H1299&gt;=0,H1299&lt;1),ROUND(H1299*1440,0),"")</f>
        <v/>
      </c>
      <c r="AA1299" s="80" t="str">
        <f>IF(AND(ISNUMBER(I1299),I1299&gt;=0,I1299&lt;1),ROUND(I1299*1440,0),"")</f>
        <v/>
      </c>
      <c r="AB1299" s="80">
        <f>IF(AND(ISNUMBER(B1299),D1299&lt;&gt;"",ISNUMBER(Z1299),ISNUMBER(AA1299)),IF(Z1299=AA1299,0,1),0)</f>
        <v>0</v>
      </c>
      <c r="AC1299" s="80">
        <f>IF(AB1299=1,IF(AA1299&lt;Z1299,1,0),0)</f>
        <v>0</v>
      </c>
      <c r="AD1299" s="80">
        <f>IF(AB1299=1,IF(AC1299=1,1440-Z1299+AA1299,AA1299-Z1299),0)</f>
        <v>0</v>
      </c>
      <c r="AE1299" s="80">
        <f>IF(J1299="",0,IF(ISNUMBER(J1299),J1299,-1))</f>
        <v>0</v>
      </c>
      <c r="AF1299" s="80">
        <f>MIN(MAX(0,AE1299),AD1299)</f>
        <v>0</v>
      </c>
      <c r="AG1299" s="80">
        <f>MAX(0,AD1299-MAX(0,AE1299))</f>
        <v>0</v>
      </c>
      <c r="AH1299" s="80">
        <f>IF(ISNUMBER(B1299),IF(AND(INDEX(CFG_WDAYS,WEEKDAY(INT(B1299),2))="Sí",IF(D1299="proMX",COUNTIFS(FER_F,INT(B1299),FER_NLP,"Sí"),COUNTIFS(FER_F,INT(B1299),FER_NLM,"Sí"))=0),1,0),0)</f>
        <v>0</v>
      </c>
      <c r="AI1299" s="80">
        <f>IF(AC1299=1,IF(AND(INDEX(CFG_WDAYS,WEEKDAY(INT(B1299)+1,2))="Sí",IF(D1299="proMX",COUNTIFS(FER_F,INT(B1299)+1,FER_NLP,"Sí"),COUNTIFS(FER_F,INT(B1299)+1,FER_NLM,"Sí"))=0),1,0),0)</f>
        <v>0</v>
      </c>
      <c r="AJ1299" s="80">
        <f>IF(AC1299=1,1440-Z1299,AD1299)</f>
        <v>0</v>
      </c>
      <c r="AK1299" s="80">
        <f>IF(AND(AB1299=1,AH1299=1),MAX(0,MIN(IF(AC1299=1,1440,AA1299),CFG_WEM)-MAX(Z1299,CFG_WSM)),0)</f>
        <v>0</v>
      </c>
      <c r="AL1299" s="80">
        <f>IF(AND(AC1299=1,AI1299=1),MAX(0,MIN(AA1299,CFG_WEM)-CFG_WSM),0)</f>
        <v>0</v>
      </c>
      <c r="AM1299" s="80">
        <f>AK1299+AL1299</f>
        <v>0</v>
      </c>
      <c r="AN1299" s="80">
        <f>IF(CFG_BRK="Proporcional",IF(AD1299=0,0,AF1299*AM1299/AD1299),IF(CFG_BRK="Extras primero",MIN(AM1299,MAX(0,AF1299-(AD1299-AM1299))),MIN(AF1299,AM1299)))</f>
        <v>0</v>
      </c>
      <c r="AO1299" s="80">
        <f>AF1299-AN1299</f>
        <v>0</v>
      </c>
      <c r="AP1299" s="80">
        <f>AM1299-AN1299</f>
        <v>0</v>
      </c>
      <c r="AQ1299" s="80">
        <f>AD1299-AM1299-AO1299</f>
        <v>0</v>
      </c>
      <c r="AR1299" s="80">
        <f>IF(AM1299=0,0,AK1299-AN1299*AK1299/AM1299)</f>
        <v>0</v>
      </c>
      <c r="AS1299" s="80">
        <f>IF(AD1299-AM1299=0,0,(AJ1299-AK1299)-AO1299*(AJ1299-AK1299)/(AD1299-AM1299))</f>
        <v>0</v>
      </c>
      <c r="AT1299" s="80" t="str">
        <f>IF(AC1299=1,INT(B1299)+1,"")</f>
        <v/>
      </c>
      <c r="AU1299" s="80">
        <f>IF(AND(D1299="proMX",R1299="Cancelled"),0,1)</f>
        <v>1</v>
      </c>
      <c r="AV1299" s="80">
        <f>IF(AND(AB1299=1,AU1299=1),IF(COUNTIFS($D$5:D1298,D1299,$B$5:B1298,B1299,$Z$5:Z1298,Z1299,$AA$5:AA1298,AA1299,$F$5:F1298,F1299&amp;"",$AU$5:AU1298,1)&gt;0,1,0),0)</f>
        <v>0</v>
      </c>
      <c r="AW1299" s="80" t="str">
        <f>IF(AB1299=1,INT(B1299)*1440+Z1299,"")</f>
        <v/>
      </c>
      <c r="AX1299" s="80" t="str">
        <f>IF(AB1299=1,AW1299+AD1299,"")</f>
        <v/>
      </c>
      <c r="AY1299" s="80">
        <f>IF(AND(AB1299=1,AV1299=0,AU1299=1),1,0)</f>
        <v>0</v>
      </c>
      <c r="AZ1299" s="80">
        <f>IF(AY1299=1,COUNTIFS(R_Emp,D1299,R_SAbs,"&lt;"&amp;AX1299,R_EAbs,"&gt;"&amp;AW1299,R_OKey,1)-1,0)</f>
        <v>0</v>
      </c>
      <c r="BA1299" s="80">
        <f>IF(AY1299=1,COUNTIFS(R_Emp,"&lt;&gt;"&amp;D1299,R_SAbs,"&lt;"&amp;AX1299,R_EAbs,"&gt;"&amp;AW1299,R_OKey,1),0)</f>
        <v>0</v>
      </c>
      <c r="BB1299" s="80">
        <f>IF(AND(AB1299=1,D1299="proMX"),IF(AND(MOD(Z1299,CFG_BLK)=0,MOD(AA1299,CFG_BLK)=0,MOD(AG1299,CFG_BLK)=0,AG1299&gt;0),1,0),1)</f>
        <v>1</v>
      </c>
      <c r="BC1299" s="80" t="str">
        <f>IF(Y1299=0,"",IF(NOT(ISNUMBER(B1299)),"Falta fecha o fecha inválida",IF(D1299="","Falta empresa",IF(AND(D1299&lt;&gt;"Malcolm",D1299&lt;&gt;"proMX"),"Empresa inválida",IF(OR(INT(B1299)&lt;CFG_PSTART,INT(B1299)&gt;CFG_PEND),"Fecha fuera del período",IF(OR(NOT(ISNUMBER(Z1299)),NOT(ISNUMBER(AA1299))),"Falta hora inicio/fin o formato inválido",IF(AB1299=0,"Hora inicio = hora fin",IF(AE1299&lt;0,"Descanso inválido",IF(AE1299&gt;=AD1299,"Descanso ≥ duración",IF(AV1299=1,"Registro duplicado",IF(AZ1299&gt;0,"Se superpone con otro registro "&amp;D1299,IF(BB1299=0,"inicio, fin y duración neta deben ser múltiplos de "&amp;CFG_BLK&amp;" min",""))))))))))))</f>
        <v/>
      </c>
      <c r="BD1299" s="80">
        <f>IF(AND(Y1299=1,BC1299=""),1,0)</f>
        <v>0</v>
      </c>
      <c r="BE1299" s="80">
        <f>IF(AND(BD1299=1,AU1299=1),1,0)</f>
        <v>0</v>
      </c>
      <c r="BF1299" s="80" t="str">
        <f>IF(AND(D1299="proMX",BD1299=1),IF(R1299="","Draft",R1299),"")</f>
        <v/>
      </c>
      <c r="BG1299" s="80">
        <f>IF(BD1299=1,ROUND(AG1299/60,6),0)</f>
        <v>0</v>
      </c>
      <c r="BH1299" s="80">
        <f>IF(BE1299=1,ROUND(AG1299/60,6),0)</f>
        <v>0</v>
      </c>
      <c r="BI1299" s="80">
        <f>IF(BE1299=1,ROUND(AP1299/60,6),0)</f>
        <v>0</v>
      </c>
      <c r="BJ1299" s="80">
        <f>IF(BE1299=1,ROUND(AQ1299/60,6),0)</f>
        <v>0</v>
      </c>
      <c r="BK1299" s="80">
        <f>IF(BE1299=1,ROUND((AR1299+AS1299)/60,6),0)</f>
        <v>0</v>
      </c>
      <c r="BL1299" s="80">
        <f>ROUND(BH1299-BK1299,6)</f>
        <v>0</v>
      </c>
      <c r="BM1299" s="80">
        <f>IF(BE1299=1,ROUND(AR1299/60,6),0)</f>
        <v>0</v>
      </c>
      <c r="BN1299" s="80">
        <f>ROUND(BI1299-BM1299,6)</f>
        <v>0</v>
      </c>
      <c r="BO1299" s="80">
        <f>IF(BE1299=1,ROUND(AS1299/60,6),0)</f>
        <v>0</v>
      </c>
      <c r="BP1299" s="80">
        <f>ROUND(BJ1299-BO1299,6)</f>
        <v>0</v>
      </c>
      <c r="BQ1299" s="80">
        <f>IF(BE1299=1,AW1299,0)</f>
        <v>0</v>
      </c>
      <c r="BR1299" s="80">
        <f>IF(BE1299=1,AX1299,0)</f>
        <v>0</v>
      </c>
      <c r="BS1299" s="80">
        <f>IF(AND(BE1299=1,D1299="Malcolm",BA1299&gt;0),MIN(BH1299,SUMPRODUCT((R_Emp="proMX")*(R_EN&gt;0)*((R_EN-(R_EN&gt;BR1299)*(R_EN-BR1299))&gt;(R_SN+(R_SN&lt;BQ1299)*(BQ1299-R_SN)))*((R_EN-(R_EN&gt;BR1299)*(R_EN-BR1299))-(R_SN+(R_SN&lt;BQ1299)*(BQ1299-R_SN))))/60),0)</f>
        <v>0</v>
      </c>
      <c r="BT1299" s="80">
        <f>IF(AND(BE1299=1,D1299="proMX"),ROUND(BI1299*CFG_RATE+BJ1299*CFG_OTRATE,6),0)</f>
        <v>0</v>
      </c>
      <c r="BU1299" s="80">
        <f>IF(AND(BD1299=1,D1299="proMX"),ROUND(AG1299/CFG_BLK,6),0)</f>
        <v>0</v>
      </c>
      <c r="BV1299" s="80" t="str">
        <f>IF(BF1299="Approved",IF(ISNUMBER(T1299),INT(T1299),INT(B1299)),"")</f>
        <v/>
      </c>
      <c r="BW1299" s="80">
        <f>IF(ISNUMBER(B1299),IF(DB_MON="Todos",1,IF(AND(INT(B1299)&gt;=DB_MS,INT(B1299)&lt;=DB_ME),1,0)),0)</f>
        <v>0</v>
      </c>
      <c r="BX1299" s="80">
        <f>IF(DB_PROJ="Todos",1,IF(E1299&amp;""=DB_PROJ&amp;"",1,0))</f>
        <v>1</v>
      </c>
      <c r="BY1299" s="80">
        <f>BW1299*BX1299</f>
        <v>0</v>
      </c>
      <c r="BZ1299" s="80" t="str">
        <f>IF(Y1299=1,F1299&amp;IF(AND(F1299&amp;""&lt;&gt;"",E1299&amp;""&lt;&gt;"")," · ","")&amp;E1299,"")</f>
        <v/>
      </c>
      <c r="CA1299" s="80" t="str">
        <f>IF(AND(BD1299=1,E1299&amp;""&lt;&gt;""),IF(COUNTIFS($E$5:E1298,E1299,$BD$5:BD1298,1)=0,MAX($CA$5:CA1298)+1,""),"")</f>
        <v/>
      </c>
      <c r="CB1299" s="80" t="str">
        <f>IF(AND(BE1299=1,D1299="Malcolm",E1299&amp;""&lt;&gt;""),IF(COUNTIFS($D$5:D1298,"Malcolm",$E$5:E1298,E1299,$BE$5:BE1298,1)=0,MAX($CB$5:CB1298)+1,""),"")</f>
        <v/>
      </c>
      <c r="CC1299" s="80" t="str">
        <f>IF(AND(BD1299=1,D1299="proMX",E1299&amp;""&lt;&gt;""),IF(COUNTIFS($D$5:D1298,"proMX",$E$5:E1298,E1299,$BD$5:BD1298,1)=0,MAX($CC$5:CC1298)+1,""),"")</f>
        <v/>
      </c>
      <c r="CD1299" s="80" t="str">
        <f>IF(AND(BE1299=1,D1299="Malcolm",F1299&amp;""&lt;&gt;""),IF(COUNTIFS($D$5:D1298,"Malcolm",$F$5:F1298,F1299,$BE$5:BE1298,1)=0,MAX($CD$5:CD1298)+1,""),"")</f>
        <v/>
      </c>
      <c r="CE1299" s="80" t="str">
        <f>IF(AND(BD1299=1,D1299="proMX",F1299&amp;""&lt;&gt;""),IF(COUNTIFS($D$5:D1298,"proMX",$F$5:F1298,F1299,$BD$5:BD1298,1)=0,MAX($CE$5:CE1298)+1,""),"")</f>
        <v/>
      </c>
      <c r="CF1299" s="80" t="str">
        <f>IF(AND(D1299="proMX",BD1299=1),IF(OR(BF1299="Draft",BF1299="Submitted",BF1299="Returned",BF1299="Recall Requested"),MAX($CF$5:CF1298)+1,""),"")</f>
        <v/>
      </c>
      <c r="CG1299" s="80">
        <f>IF(BD1299=0,0,IF(D1299="Malcolm",1,MATCH(BF1299,{"Draft","Submitted","Approved","Returned","Recall Requested","Cancelled"},0)+1))</f>
        <v>0</v>
      </c>
      <c r="CH1299" s="80">
        <f>IF(AND(BF1299="Submitted",ISNUMBER(V1299)),IF(V1299&gt;CFG_MAXD,1,0),0)</f>
        <v>0</v>
      </c>
    </row>
    <row r="1300">
      <c r="A1300" s="71" t="str">
        <f>IF(Y1300=1,ROW()-5,"")</f>
        <v/>
      </c>
      <c r="B1300" s="72" t="n"/>
      <c r="C1300" s="71" t="str">
        <f>IF(ISNUMBER(B1300),CHOOSE(WEEKDAY(B1300,2),"Lun","Mar","Mié","Jue","Vie","Sáb","Dom"),"")</f>
        <v/>
      </c>
      <c r="D1300" s="73" t="n"/>
      <c r="E1300" s="74" t="n"/>
      <c r="F1300" s="74" t="n"/>
      <c r="G1300" s="74" t="n"/>
      <c r="H1300" s="75" t="n"/>
      <c r="I1300" s="75" t="n"/>
      <c r="J1300" s="76" t="n"/>
      <c r="K1300" s="77" t="str">
        <f>IF(AB1300=1,ROUND(AG1300/60,4),"")</f>
        <v/>
      </c>
      <c r="L1300" s="77" t="str">
        <f>IF(BD1300=1,ROUND(AP1300/60,4),"")</f>
        <v/>
      </c>
      <c r="M1300" s="77" t="str">
        <f>IF(BD1300=1,ROUND(AQ1300/60,4),"")</f>
        <v/>
      </c>
      <c r="N1300" s="71" t="str">
        <f>IF(AND(D1300="proMX",AB1300=1),ROUND(AG1300/CFG_BLK,2),"")</f>
        <v/>
      </c>
      <c r="O1300" s="77" t="str">
        <f>IF(D1300="proMX",IF(BD1300=1,ROUND(AG1300/60,4),0),"")</f>
        <v/>
      </c>
      <c r="P1300" s="78" t="str">
        <f>IF(Y1300=0,"",IF(BD1300=1,"OK",IF(D1300="proMX","Revisar bloques: ","Revisar: ")&amp;BC1300))</f>
        <v/>
      </c>
      <c r="Q1300" s="78" t="str">
        <f>IF(NOT(ISNUMBER(B1300)),"",IF(COUNTIFS(FER_F,INT(B1300))&gt;0,"Feriado"&amp;IF(AH1300=1," (laborable)"," (no laborable)"),IF(AH1300=1,"Laborable",IF(WEEKDAY(B1300,2)&gt;5,"Fin de semana","No laborable"))))</f>
        <v/>
      </c>
      <c r="R1300" s="73" t="n"/>
      <c r="S1300" s="72" t="n"/>
      <c r="T1300" s="72" t="n"/>
      <c r="U1300" s="74" t="n"/>
      <c r="V1300" s="79" t="str">
        <f>IF(AND(D1300="proMX",OR(R1300="Submitted",R1300="Recall Requested"),ISNUMBER(S1300)),CFG_TODAY-INT(S1300),"")</f>
        <v/>
      </c>
      <c r="W1300" s="78" t="str">
        <f>IF(BD1300=0,"",IF(BA1300&gt;0,"⚠ Se superpone con un registro de la otra empresa",IF(D1300="Malcolm",IF(COUNTA(R1300,S1300,T1300)&gt;0,"Estado/fechas proMX se ignoran en Malcolm",""),IF(BF1300="Cancelled","Cancelado: excluido de totales",IF(R1300="","Sin estado: se trata como Draft",IF(BF1300="Submitted",IF(ISNUMBER(V1300),IF(V1300&gt;CFG_MAXD,"⚠ "&amp;V1300&amp;" días en Submitted (máx. "&amp;CFG_MAXD&amp;")",""),"Falta fecha de envío"),IF(BF1300="Returned","⚠ Devuelto: corregir y reenviar",IF(BF1300="Recall Requested","Retirada solicitada: pendiente",IF(AND(BF1300="Approved",NOT(ISNUMBER(T1300))),"Falta fecha de aprobación",IF(AND(ISNUMBER(S1300),ISNUMBER(T1300),T1300&lt;S1300),"Aprobación anterior al envío","")))))))))</f>
        <v/>
      </c>
      <c r="Y1300" s="80">
        <f>IF(COUNTA(B1300,D1300,E1300,F1300,G1300,H1300,I1300,J1300,R1300,S1300,T1300)&gt;0,1,0)</f>
        <v>0</v>
      </c>
      <c r="Z1300" s="80" t="str">
        <f>IF(AND(ISNUMBER(H1300),H1300&gt;=0,H1300&lt;1),ROUND(H1300*1440,0),"")</f>
        <v/>
      </c>
      <c r="AA1300" s="80" t="str">
        <f>IF(AND(ISNUMBER(I1300),I1300&gt;=0,I1300&lt;1),ROUND(I1300*1440,0),"")</f>
        <v/>
      </c>
      <c r="AB1300" s="80">
        <f>IF(AND(ISNUMBER(B1300),D1300&lt;&gt;"",ISNUMBER(Z1300),ISNUMBER(AA1300)),IF(Z1300=AA1300,0,1),0)</f>
        <v>0</v>
      </c>
      <c r="AC1300" s="80">
        <f>IF(AB1300=1,IF(AA1300&lt;Z1300,1,0),0)</f>
        <v>0</v>
      </c>
      <c r="AD1300" s="80">
        <f>IF(AB1300=1,IF(AC1300=1,1440-Z1300+AA1300,AA1300-Z1300),0)</f>
        <v>0</v>
      </c>
      <c r="AE1300" s="80">
        <f>IF(J1300="",0,IF(ISNUMBER(J1300),J1300,-1))</f>
        <v>0</v>
      </c>
      <c r="AF1300" s="80">
        <f>MIN(MAX(0,AE1300),AD1300)</f>
        <v>0</v>
      </c>
      <c r="AG1300" s="80">
        <f>MAX(0,AD1300-MAX(0,AE1300))</f>
        <v>0</v>
      </c>
      <c r="AH1300" s="80">
        <f>IF(ISNUMBER(B1300),IF(AND(INDEX(CFG_WDAYS,WEEKDAY(INT(B1300),2))="Sí",IF(D1300="proMX",COUNTIFS(FER_F,INT(B1300),FER_NLP,"Sí"),COUNTIFS(FER_F,INT(B1300),FER_NLM,"Sí"))=0),1,0),0)</f>
        <v>0</v>
      </c>
      <c r="AI1300" s="80">
        <f>IF(AC1300=1,IF(AND(INDEX(CFG_WDAYS,WEEKDAY(INT(B1300)+1,2))="Sí",IF(D1300="proMX",COUNTIFS(FER_F,INT(B1300)+1,FER_NLP,"Sí"),COUNTIFS(FER_F,INT(B1300)+1,FER_NLM,"Sí"))=0),1,0),0)</f>
        <v>0</v>
      </c>
      <c r="AJ1300" s="80">
        <f>IF(AC1300=1,1440-Z1300,AD1300)</f>
        <v>0</v>
      </c>
      <c r="AK1300" s="80">
        <f>IF(AND(AB1300=1,AH1300=1),MAX(0,MIN(IF(AC1300=1,1440,AA1300),CFG_WEM)-MAX(Z1300,CFG_WSM)),0)</f>
        <v>0</v>
      </c>
      <c r="AL1300" s="80">
        <f>IF(AND(AC1300=1,AI1300=1),MAX(0,MIN(AA1300,CFG_WEM)-CFG_WSM),0)</f>
        <v>0</v>
      </c>
      <c r="AM1300" s="80">
        <f>AK1300+AL1300</f>
        <v>0</v>
      </c>
      <c r="AN1300" s="80">
        <f>IF(CFG_BRK="Proporcional",IF(AD1300=0,0,AF1300*AM1300/AD1300),IF(CFG_BRK="Extras primero",MIN(AM1300,MAX(0,AF1300-(AD1300-AM1300))),MIN(AF1300,AM1300)))</f>
        <v>0</v>
      </c>
      <c r="AO1300" s="80">
        <f>AF1300-AN1300</f>
        <v>0</v>
      </c>
      <c r="AP1300" s="80">
        <f>AM1300-AN1300</f>
        <v>0</v>
      </c>
      <c r="AQ1300" s="80">
        <f>AD1300-AM1300-AO1300</f>
        <v>0</v>
      </c>
      <c r="AR1300" s="80">
        <f>IF(AM1300=0,0,AK1300-AN1300*AK1300/AM1300)</f>
        <v>0</v>
      </c>
      <c r="AS1300" s="80">
        <f>IF(AD1300-AM1300=0,0,(AJ1300-AK1300)-AO1300*(AJ1300-AK1300)/(AD1300-AM1300))</f>
        <v>0</v>
      </c>
      <c r="AT1300" s="80" t="str">
        <f>IF(AC1300=1,INT(B1300)+1,"")</f>
        <v/>
      </c>
      <c r="AU1300" s="80">
        <f>IF(AND(D1300="proMX",R1300="Cancelled"),0,1)</f>
        <v>1</v>
      </c>
      <c r="AV1300" s="80">
        <f>IF(AND(AB1300=1,AU1300=1),IF(COUNTIFS($D$5:D1299,D1300,$B$5:B1299,B1300,$Z$5:Z1299,Z1300,$AA$5:AA1299,AA1300,$F$5:F1299,F1300&amp;"",$AU$5:AU1299,1)&gt;0,1,0),0)</f>
        <v>0</v>
      </c>
      <c r="AW1300" s="80" t="str">
        <f>IF(AB1300=1,INT(B1300)*1440+Z1300,"")</f>
        <v/>
      </c>
      <c r="AX1300" s="80" t="str">
        <f>IF(AB1300=1,AW1300+AD1300,"")</f>
        <v/>
      </c>
      <c r="AY1300" s="80">
        <f>IF(AND(AB1300=1,AV1300=0,AU1300=1),1,0)</f>
        <v>0</v>
      </c>
      <c r="AZ1300" s="80">
        <f>IF(AY1300=1,COUNTIFS(R_Emp,D1300,R_SAbs,"&lt;"&amp;AX1300,R_EAbs,"&gt;"&amp;AW1300,R_OKey,1)-1,0)</f>
        <v>0</v>
      </c>
      <c r="BA1300" s="80">
        <f>IF(AY1300=1,COUNTIFS(R_Emp,"&lt;&gt;"&amp;D1300,R_SAbs,"&lt;"&amp;AX1300,R_EAbs,"&gt;"&amp;AW1300,R_OKey,1),0)</f>
        <v>0</v>
      </c>
      <c r="BB1300" s="80">
        <f>IF(AND(AB1300=1,D1300="proMX"),IF(AND(MOD(Z1300,CFG_BLK)=0,MOD(AA1300,CFG_BLK)=0,MOD(AG1300,CFG_BLK)=0,AG1300&gt;0),1,0),1)</f>
        <v>1</v>
      </c>
      <c r="BC1300" s="80" t="str">
        <f>IF(Y1300=0,"",IF(NOT(ISNUMBER(B1300)),"Falta fecha o fecha inválida",IF(D1300="","Falta empresa",IF(AND(D1300&lt;&gt;"Malcolm",D1300&lt;&gt;"proMX"),"Empresa inválida",IF(OR(INT(B1300)&lt;CFG_PSTART,INT(B1300)&gt;CFG_PEND),"Fecha fuera del período",IF(OR(NOT(ISNUMBER(Z1300)),NOT(ISNUMBER(AA1300))),"Falta hora inicio/fin o formato inválido",IF(AB1300=0,"Hora inicio = hora fin",IF(AE1300&lt;0,"Descanso inválido",IF(AE1300&gt;=AD1300,"Descanso ≥ duración",IF(AV1300=1,"Registro duplicado",IF(AZ1300&gt;0,"Se superpone con otro registro "&amp;D1300,IF(BB1300=0,"inicio, fin y duración neta deben ser múltiplos de "&amp;CFG_BLK&amp;" min",""))))))))))))</f>
        <v/>
      </c>
      <c r="BD1300" s="80">
        <f>IF(AND(Y1300=1,BC1300=""),1,0)</f>
        <v>0</v>
      </c>
      <c r="BE1300" s="80">
        <f>IF(AND(BD1300=1,AU1300=1),1,0)</f>
        <v>0</v>
      </c>
      <c r="BF1300" s="80" t="str">
        <f>IF(AND(D1300="proMX",BD1300=1),IF(R1300="","Draft",R1300),"")</f>
        <v/>
      </c>
      <c r="BG1300" s="80">
        <f>IF(BD1300=1,ROUND(AG1300/60,6),0)</f>
        <v>0</v>
      </c>
      <c r="BH1300" s="80">
        <f>IF(BE1300=1,ROUND(AG1300/60,6),0)</f>
        <v>0</v>
      </c>
      <c r="BI1300" s="80">
        <f>IF(BE1300=1,ROUND(AP1300/60,6),0)</f>
        <v>0</v>
      </c>
      <c r="BJ1300" s="80">
        <f>IF(BE1300=1,ROUND(AQ1300/60,6),0)</f>
        <v>0</v>
      </c>
      <c r="BK1300" s="80">
        <f>IF(BE1300=1,ROUND((AR1300+AS1300)/60,6),0)</f>
        <v>0</v>
      </c>
      <c r="BL1300" s="80">
        <f>ROUND(BH1300-BK1300,6)</f>
        <v>0</v>
      </c>
      <c r="BM1300" s="80">
        <f>IF(BE1300=1,ROUND(AR1300/60,6),0)</f>
        <v>0</v>
      </c>
      <c r="BN1300" s="80">
        <f>ROUND(BI1300-BM1300,6)</f>
        <v>0</v>
      </c>
      <c r="BO1300" s="80">
        <f>IF(BE1300=1,ROUND(AS1300/60,6),0)</f>
        <v>0</v>
      </c>
      <c r="BP1300" s="80">
        <f>ROUND(BJ1300-BO1300,6)</f>
        <v>0</v>
      </c>
      <c r="BQ1300" s="80">
        <f>IF(BE1300=1,AW1300,0)</f>
        <v>0</v>
      </c>
      <c r="BR1300" s="80">
        <f>IF(BE1300=1,AX1300,0)</f>
        <v>0</v>
      </c>
      <c r="BS1300" s="80">
        <f>IF(AND(BE1300=1,D1300="Malcolm",BA1300&gt;0),MIN(BH1300,SUMPRODUCT((R_Emp="proMX")*(R_EN&gt;0)*((R_EN-(R_EN&gt;BR1300)*(R_EN-BR1300))&gt;(R_SN+(R_SN&lt;BQ1300)*(BQ1300-R_SN)))*((R_EN-(R_EN&gt;BR1300)*(R_EN-BR1300))-(R_SN+(R_SN&lt;BQ1300)*(BQ1300-R_SN))))/60),0)</f>
        <v>0</v>
      </c>
      <c r="BT1300" s="80">
        <f>IF(AND(BE1300=1,D1300="proMX"),ROUND(BI1300*CFG_RATE+BJ1300*CFG_OTRATE,6),0)</f>
        <v>0</v>
      </c>
      <c r="BU1300" s="80">
        <f>IF(AND(BD1300=1,D1300="proMX"),ROUND(AG1300/CFG_BLK,6),0)</f>
        <v>0</v>
      </c>
      <c r="BV1300" s="80" t="str">
        <f>IF(BF1300="Approved",IF(ISNUMBER(T1300),INT(T1300),INT(B1300)),"")</f>
        <v/>
      </c>
      <c r="BW1300" s="80">
        <f>IF(ISNUMBER(B1300),IF(DB_MON="Todos",1,IF(AND(INT(B1300)&gt;=DB_MS,INT(B1300)&lt;=DB_ME),1,0)),0)</f>
        <v>0</v>
      </c>
      <c r="BX1300" s="80">
        <f>IF(DB_PROJ="Todos",1,IF(E1300&amp;""=DB_PROJ&amp;"",1,0))</f>
        <v>1</v>
      </c>
      <c r="BY1300" s="80">
        <f>BW1300*BX1300</f>
        <v>0</v>
      </c>
      <c r="BZ1300" s="80" t="str">
        <f>IF(Y1300=1,F1300&amp;IF(AND(F1300&amp;""&lt;&gt;"",E1300&amp;""&lt;&gt;"")," · ","")&amp;E1300,"")</f>
        <v/>
      </c>
      <c r="CA1300" s="80" t="str">
        <f>IF(AND(BD1300=1,E1300&amp;""&lt;&gt;""),IF(COUNTIFS($E$5:E1299,E1300,$BD$5:BD1299,1)=0,MAX($CA$5:CA1299)+1,""),"")</f>
        <v/>
      </c>
      <c r="CB1300" s="80" t="str">
        <f>IF(AND(BE1300=1,D1300="Malcolm",E1300&amp;""&lt;&gt;""),IF(COUNTIFS($D$5:D1299,"Malcolm",$E$5:E1299,E1300,$BE$5:BE1299,1)=0,MAX($CB$5:CB1299)+1,""),"")</f>
        <v/>
      </c>
      <c r="CC1300" s="80" t="str">
        <f>IF(AND(BD1300=1,D1300="proMX",E1300&amp;""&lt;&gt;""),IF(COUNTIFS($D$5:D1299,"proMX",$E$5:E1299,E1300,$BD$5:BD1299,1)=0,MAX($CC$5:CC1299)+1,""),"")</f>
        <v/>
      </c>
      <c r="CD1300" s="80" t="str">
        <f>IF(AND(BE1300=1,D1300="Malcolm",F1300&amp;""&lt;&gt;""),IF(COUNTIFS($D$5:D1299,"Malcolm",$F$5:F1299,F1300,$BE$5:BE1299,1)=0,MAX($CD$5:CD1299)+1,""),"")</f>
        <v/>
      </c>
      <c r="CE1300" s="80" t="str">
        <f>IF(AND(BD1300=1,D1300="proMX",F1300&amp;""&lt;&gt;""),IF(COUNTIFS($D$5:D1299,"proMX",$F$5:F1299,F1300,$BD$5:BD1299,1)=0,MAX($CE$5:CE1299)+1,""),"")</f>
        <v/>
      </c>
      <c r="CF1300" s="80" t="str">
        <f>IF(AND(D1300="proMX",BD1300=1),IF(OR(BF1300="Draft",BF1300="Submitted",BF1300="Returned",BF1300="Recall Requested"),MAX($CF$5:CF1299)+1,""),"")</f>
        <v/>
      </c>
      <c r="CG1300" s="80">
        <f>IF(BD1300=0,0,IF(D1300="Malcolm",1,MATCH(BF1300,{"Draft","Submitted","Approved","Returned","Recall Requested","Cancelled"},0)+1))</f>
        <v>0</v>
      </c>
      <c r="CH1300" s="80">
        <f>IF(AND(BF1300="Submitted",ISNUMBER(V1300)),IF(V1300&gt;CFG_MAXD,1,0),0)</f>
        <v>0</v>
      </c>
    </row>
    <row r="1301">
      <c r="A1301" s="71" t="str">
        <f>IF(Y1301=1,ROW()-5,"")</f>
        <v/>
      </c>
      <c r="B1301" s="72" t="n"/>
      <c r="C1301" s="71" t="str">
        <f>IF(ISNUMBER(B1301),CHOOSE(WEEKDAY(B1301,2),"Lun","Mar","Mié","Jue","Vie","Sáb","Dom"),"")</f>
        <v/>
      </c>
      <c r="D1301" s="73" t="n"/>
      <c r="E1301" s="74" t="n"/>
      <c r="F1301" s="74" t="n"/>
      <c r="G1301" s="74" t="n"/>
      <c r="H1301" s="75" t="n"/>
      <c r="I1301" s="75" t="n"/>
      <c r="J1301" s="76" t="n"/>
      <c r="K1301" s="77" t="str">
        <f>IF(AB1301=1,ROUND(AG1301/60,4),"")</f>
        <v/>
      </c>
      <c r="L1301" s="77" t="str">
        <f>IF(BD1301=1,ROUND(AP1301/60,4),"")</f>
        <v/>
      </c>
      <c r="M1301" s="77" t="str">
        <f>IF(BD1301=1,ROUND(AQ1301/60,4),"")</f>
        <v/>
      </c>
      <c r="N1301" s="71" t="str">
        <f>IF(AND(D1301="proMX",AB1301=1),ROUND(AG1301/CFG_BLK,2),"")</f>
        <v/>
      </c>
      <c r="O1301" s="77" t="str">
        <f>IF(D1301="proMX",IF(BD1301=1,ROUND(AG1301/60,4),0),"")</f>
        <v/>
      </c>
      <c r="P1301" s="78" t="str">
        <f>IF(Y1301=0,"",IF(BD1301=1,"OK",IF(D1301="proMX","Revisar bloques: ","Revisar: ")&amp;BC1301))</f>
        <v/>
      </c>
      <c r="Q1301" s="78" t="str">
        <f>IF(NOT(ISNUMBER(B1301)),"",IF(COUNTIFS(FER_F,INT(B1301))&gt;0,"Feriado"&amp;IF(AH1301=1," (laborable)"," (no laborable)"),IF(AH1301=1,"Laborable",IF(WEEKDAY(B1301,2)&gt;5,"Fin de semana","No laborable"))))</f>
        <v/>
      </c>
      <c r="R1301" s="73" t="n"/>
      <c r="S1301" s="72" t="n"/>
      <c r="T1301" s="72" t="n"/>
      <c r="U1301" s="74" t="n"/>
      <c r="V1301" s="79" t="str">
        <f>IF(AND(D1301="proMX",OR(R1301="Submitted",R1301="Recall Requested"),ISNUMBER(S1301)),CFG_TODAY-INT(S1301),"")</f>
        <v/>
      </c>
      <c r="W1301" s="78" t="str">
        <f>IF(BD1301=0,"",IF(BA1301&gt;0,"⚠ Se superpone con un registro de la otra empresa",IF(D1301="Malcolm",IF(COUNTA(R1301,S1301,T1301)&gt;0,"Estado/fechas proMX se ignoran en Malcolm",""),IF(BF1301="Cancelled","Cancelado: excluido de totales",IF(R1301="","Sin estado: se trata como Draft",IF(BF1301="Submitted",IF(ISNUMBER(V1301),IF(V1301&gt;CFG_MAXD,"⚠ "&amp;V1301&amp;" días en Submitted (máx. "&amp;CFG_MAXD&amp;")",""),"Falta fecha de envío"),IF(BF1301="Returned","⚠ Devuelto: corregir y reenviar",IF(BF1301="Recall Requested","Retirada solicitada: pendiente",IF(AND(BF1301="Approved",NOT(ISNUMBER(T1301))),"Falta fecha de aprobación",IF(AND(ISNUMBER(S1301),ISNUMBER(T1301),T1301&lt;S1301),"Aprobación anterior al envío","")))))))))</f>
        <v/>
      </c>
      <c r="Y1301" s="80">
        <f>IF(COUNTA(B1301,D1301,E1301,F1301,G1301,H1301,I1301,J1301,R1301,S1301,T1301)&gt;0,1,0)</f>
        <v>0</v>
      </c>
      <c r="Z1301" s="80" t="str">
        <f>IF(AND(ISNUMBER(H1301),H1301&gt;=0,H1301&lt;1),ROUND(H1301*1440,0),"")</f>
        <v/>
      </c>
      <c r="AA1301" s="80" t="str">
        <f>IF(AND(ISNUMBER(I1301),I1301&gt;=0,I1301&lt;1),ROUND(I1301*1440,0),"")</f>
        <v/>
      </c>
      <c r="AB1301" s="80">
        <f>IF(AND(ISNUMBER(B1301),D1301&lt;&gt;"",ISNUMBER(Z1301),ISNUMBER(AA1301)),IF(Z1301=AA1301,0,1),0)</f>
        <v>0</v>
      </c>
      <c r="AC1301" s="80">
        <f>IF(AB1301=1,IF(AA1301&lt;Z1301,1,0),0)</f>
        <v>0</v>
      </c>
      <c r="AD1301" s="80">
        <f>IF(AB1301=1,IF(AC1301=1,1440-Z1301+AA1301,AA1301-Z1301),0)</f>
        <v>0</v>
      </c>
      <c r="AE1301" s="80">
        <f>IF(J1301="",0,IF(ISNUMBER(J1301),J1301,-1))</f>
        <v>0</v>
      </c>
      <c r="AF1301" s="80">
        <f>MIN(MAX(0,AE1301),AD1301)</f>
        <v>0</v>
      </c>
      <c r="AG1301" s="80">
        <f>MAX(0,AD1301-MAX(0,AE1301))</f>
        <v>0</v>
      </c>
      <c r="AH1301" s="80">
        <f>IF(ISNUMBER(B1301),IF(AND(INDEX(CFG_WDAYS,WEEKDAY(INT(B1301),2))="Sí",IF(D1301="proMX",COUNTIFS(FER_F,INT(B1301),FER_NLP,"Sí"),COUNTIFS(FER_F,INT(B1301),FER_NLM,"Sí"))=0),1,0),0)</f>
        <v>0</v>
      </c>
      <c r="AI1301" s="80">
        <f>IF(AC1301=1,IF(AND(INDEX(CFG_WDAYS,WEEKDAY(INT(B1301)+1,2))="Sí",IF(D1301="proMX",COUNTIFS(FER_F,INT(B1301)+1,FER_NLP,"Sí"),COUNTIFS(FER_F,INT(B1301)+1,FER_NLM,"Sí"))=0),1,0),0)</f>
        <v>0</v>
      </c>
      <c r="AJ1301" s="80">
        <f>IF(AC1301=1,1440-Z1301,AD1301)</f>
        <v>0</v>
      </c>
      <c r="AK1301" s="80">
        <f>IF(AND(AB1301=1,AH1301=1),MAX(0,MIN(IF(AC1301=1,1440,AA1301),CFG_WEM)-MAX(Z1301,CFG_WSM)),0)</f>
        <v>0</v>
      </c>
      <c r="AL1301" s="80">
        <f>IF(AND(AC1301=1,AI1301=1),MAX(0,MIN(AA1301,CFG_WEM)-CFG_WSM),0)</f>
        <v>0</v>
      </c>
      <c r="AM1301" s="80">
        <f>AK1301+AL1301</f>
        <v>0</v>
      </c>
      <c r="AN1301" s="80">
        <f>IF(CFG_BRK="Proporcional",IF(AD1301=0,0,AF1301*AM1301/AD1301),IF(CFG_BRK="Extras primero",MIN(AM1301,MAX(0,AF1301-(AD1301-AM1301))),MIN(AF1301,AM1301)))</f>
        <v>0</v>
      </c>
      <c r="AO1301" s="80">
        <f>AF1301-AN1301</f>
        <v>0</v>
      </c>
      <c r="AP1301" s="80">
        <f>AM1301-AN1301</f>
        <v>0</v>
      </c>
      <c r="AQ1301" s="80">
        <f>AD1301-AM1301-AO1301</f>
        <v>0</v>
      </c>
      <c r="AR1301" s="80">
        <f>IF(AM1301=0,0,AK1301-AN1301*AK1301/AM1301)</f>
        <v>0</v>
      </c>
      <c r="AS1301" s="80">
        <f>IF(AD1301-AM1301=0,0,(AJ1301-AK1301)-AO1301*(AJ1301-AK1301)/(AD1301-AM1301))</f>
        <v>0</v>
      </c>
      <c r="AT1301" s="80" t="str">
        <f>IF(AC1301=1,INT(B1301)+1,"")</f>
        <v/>
      </c>
      <c r="AU1301" s="80">
        <f>IF(AND(D1301="proMX",R1301="Cancelled"),0,1)</f>
        <v>1</v>
      </c>
      <c r="AV1301" s="80">
        <f>IF(AND(AB1301=1,AU1301=1),IF(COUNTIFS($D$5:D1300,D1301,$B$5:B1300,B1301,$Z$5:Z1300,Z1301,$AA$5:AA1300,AA1301,$F$5:F1300,F1301&amp;"",$AU$5:AU1300,1)&gt;0,1,0),0)</f>
        <v>0</v>
      </c>
      <c r="AW1301" s="80" t="str">
        <f>IF(AB1301=1,INT(B1301)*1440+Z1301,"")</f>
        <v/>
      </c>
      <c r="AX1301" s="80" t="str">
        <f>IF(AB1301=1,AW1301+AD1301,"")</f>
        <v/>
      </c>
      <c r="AY1301" s="80">
        <f>IF(AND(AB1301=1,AV1301=0,AU1301=1),1,0)</f>
        <v>0</v>
      </c>
      <c r="AZ1301" s="80">
        <f>IF(AY1301=1,COUNTIFS(R_Emp,D1301,R_SAbs,"&lt;"&amp;AX1301,R_EAbs,"&gt;"&amp;AW1301,R_OKey,1)-1,0)</f>
        <v>0</v>
      </c>
      <c r="BA1301" s="80">
        <f>IF(AY1301=1,COUNTIFS(R_Emp,"&lt;&gt;"&amp;D1301,R_SAbs,"&lt;"&amp;AX1301,R_EAbs,"&gt;"&amp;AW1301,R_OKey,1),0)</f>
        <v>0</v>
      </c>
      <c r="BB1301" s="80">
        <f>IF(AND(AB1301=1,D1301="proMX"),IF(AND(MOD(Z1301,CFG_BLK)=0,MOD(AA1301,CFG_BLK)=0,MOD(AG1301,CFG_BLK)=0,AG1301&gt;0),1,0),1)</f>
        <v>1</v>
      </c>
      <c r="BC1301" s="80" t="str">
        <f>IF(Y1301=0,"",IF(NOT(ISNUMBER(B1301)),"Falta fecha o fecha inválida",IF(D1301="","Falta empresa",IF(AND(D1301&lt;&gt;"Malcolm",D1301&lt;&gt;"proMX"),"Empresa inválida",IF(OR(INT(B1301)&lt;CFG_PSTART,INT(B1301)&gt;CFG_PEND),"Fecha fuera del período",IF(OR(NOT(ISNUMBER(Z1301)),NOT(ISNUMBER(AA1301))),"Falta hora inicio/fin o formato inválido",IF(AB1301=0,"Hora inicio = hora fin",IF(AE1301&lt;0,"Descanso inválido",IF(AE1301&gt;=AD1301,"Descanso ≥ duración",IF(AV1301=1,"Registro duplicado",IF(AZ1301&gt;0,"Se superpone con otro registro "&amp;D1301,IF(BB1301=0,"inicio, fin y duración neta deben ser múltiplos de "&amp;CFG_BLK&amp;" min",""))))))))))))</f>
        <v/>
      </c>
      <c r="BD1301" s="80">
        <f>IF(AND(Y1301=1,BC1301=""),1,0)</f>
        <v>0</v>
      </c>
      <c r="BE1301" s="80">
        <f>IF(AND(BD1301=1,AU1301=1),1,0)</f>
        <v>0</v>
      </c>
      <c r="BF1301" s="80" t="str">
        <f>IF(AND(D1301="proMX",BD1301=1),IF(R1301="","Draft",R1301),"")</f>
        <v/>
      </c>
      <c r="BG1301" s="80">
        <f>IF(BD1301=1,ROUND(AG1301/60,6),0)</f>
        <v>0</v>
      </c>
      <c r="BH1301" s="80">
        <f>IF(BE1301=1,ROUND(AG1301/60,6),0)</f>
        <v>0</v>
      </c>
      <c r="BI1301" s="80">
        <f>IF(BE1301=1,ROUND(AP1301/60,6),0)</f>
        <v>0</v>
      </c>
      <c r="BJ1301" s="80">
        <f>IF(BE1301=1,ROUND(AQ1301/60,6),0)</f>
        <v>0</v>
      </c>
      <c r="BK1301" s="80">
        <f>IF(BE1301=1,ROUND((AR1301+AS1301)/60,6),0)</f>
        <v>0</v>
      </c>
      <c r="BL1301" s="80">
        <f>ROUND(BH1301-BK1301,6)</f>
        <v>0</v>
      </c>
      <c r="BM1301" s="80">
        <f>IF(BE1301=1,ROUND(AR1301/60,6),0)</f>
        <v>0</v>
      </c>
      <c r="BN1301" s="80">
        <f>ROUND(BI1301-BM1301,6)</f>
        <v>0</v>
      </c>
      <c r="BO1301" s="80">
        <f>IF(BE1301=1,ROUND(AS1301/60,6),0)</f>
        <v>0</v>
      </c>
      <c r="BP1301" s="80">
        <f>ROUND(BJ1301-BO1301,6)</f>
        <v>0</v>
      </c>
      <c r="BQ1301" s="80">
        <f>IF(BE1301=1,AW1301,0)</f>
        <v>0</v>
      </c>
      <c r="BR1301" s="80">
        <f>IF(BE1301=1,AX1301,0)</f>
        <v>0</v>
      </c>
      <c r="BS1301" s="80">
        <f>IF(AND(BE1301=1,D1301="Malcolm",BA1301&gt;0),MIN(BH1301,SUMPRODUCT((R_Emp="proMX")*(R_EN&gt;0)*((R_EN-(R_EN&gt;BR1301)*(R_EN-BR1301))&gt;(R_SN+(R_SN&lt;BQ1301)*(BQ1301-R_SN)))*((R_EN-(R_EN&gt;BR1301)*(R_EN-BR1301))-(R_SN+(R_SN&lt;BQ1301)*(BQ1301-R_SN))))/60),0)</f>
        <v>0</v>
      </c>
      <c r="BT1301" s="80">
        <f>IF(AND(BE1301=1,D1301="proMX"),ROUND(BI1301*CFG_RATE+BJ1301*CFG_OTRATE,6),0)</f>
        <v>0</v>
      </c>
      <c r="BU1301" s="80">
        <f>IF(AND(BD1301=1,D1301="proMX"),ROUND(AG1301/CFG_BLK,6),0)</f>
        <v>0</v>
      </c>
      <c r="BV1301" s="80" t="str">
        <f>IF(BF1301="Approved",IF(ISNUMBER(T1301),INT(T1301),INT(B1301)),"")</f>
        <v/>
      </c>
      <c r="BW1301" s="80">
        <f>IF(ISNUMBER(B1301),IF(DB_MON="Todos",1,IF(AND(INT(B1301)&gt;=DB_MS,INT(B1301)&lt;=DB_ME),1,0)),0)</f>
        <v>0</v>
      </c>
      <c r="BX1301" s="80">
        <f>IF(DB_PROJ="Todos",1,IF(E1301&amp;""=DB_PROJ&amp;"",1,0))</f>
        <v>1</v>
      </c>
      <c r="BY1301" s="80">
        <f>BW1301*BX1301</f>
        <v>0</v>
      </c>
      <c r="BZ1301" s="80" t="str">
        <f>IF(Y1301=1,F1301&amp;IF(AND(F1301&amp;""&lt;&gt;"",E1301&amp;""&lt;&gt;"")," · ","")&amp;E1301,"")</f>
        <v/>
      </c>
      <c r="CA1301" s="80" t="str">
        <f>IF(AND(BD1301=1,E1301&amp;""&lt;&gt;""),IF(COUNTIFS($E$5:E1300,E1301,$BD$5:BD1300,1)=0,MAX($CA$5:CA1300)+1,""),"")</f>
        <v/>
      </c>
      <c r="CB1301" s="80" t="str">
        <f>IF(AND(BE1301=1,D1301="Malcolm",E1301&amp;""&lt;&gt;""),IF(COUNTIFS($D$5:D1300,"Malcolm",$E$5:E1300,E1301,$BE$5:BE1300,1)=0,MAX($CB$5:CB1300)+1,""),"")</f>
        <v/>
      </c>
      <c r="CC1301" s="80" t="str">
        <f>IF(AND(BD1301=1,D1301="proMX",E1301&amp;""&lt;&gt;""),IF(COUNTIFS($D$5:D1300,"proMX",$E$5:E1300,E1301,$BD$5:BD1300,1)=0,MAX($CC$5:CC1300)+1,""),"")</f>
        <v/>
      </c>
      <c r="CD1301" s="80" t="str">
        <f>IF(AND(BE1301=1,D1301="Malcolm",F1301&amp;""&lt;&gt;""),IF(COUNTIFS($D$5:D1300,"Malcolm",$F$5:F1300,F1301,$BE$5:BE1300,1)=0,MAX($CD$5:CD1300)+1,""),"")</f>
        <v/>
      </c>
      <c r="CE1301" s="80" t="str">
        <f>IF(AND(BD1301=1,D1301="proMX",F1301&amp;""&lt;&gt;""),IF(COUNTIFS($D$5:D1300,"proMX",$F$5:F1300,F1301,$BD$5:BD1300,1)=0,MAX($CE$5:CE1300)+1,""),"")</f>
        <v/>
      </c>
      <c r="CF1301" s="80" t="str">
        <f>IF(AND(D1301="proMX",BD1301=1),IF(OR(BF1301="Draft",BF1301="Submitted",BF1301="Returned",BF1301="Recall Requested"),MAX($CF$5:CF1300)+1,""),"")</f>
        <v/>
      </c>
      <c r="CG1301" s="80">
        <f>IF(BD1301=0,0,IF(D1301="Malcolm",1,MATCH(BF1301,{"Draft","Submitted","Approved","Returned","Recall Requested","Cancelled"},0)+1))</f>
        <v>0</v>
      </c>
      <c r="CH1301" s="80">
        <f>IF(AND(BF1301="Submitted",ISNUMBER(V1301)),IF(V1301&gt;CFG_MAXD,1,0),0)</f>
        <v>0</v>
      </c>
    </row>
    <row r="1302">
      <c r="A1302" s="71" t="str">
        <f>IF(Y1302=1,ROW()-5,"")</f>
        <v/>
      </c>
      <c r="B1302" s="72" t="n"/>
      <c r="C1302" s="71" t="str">
        <f>IF(ISNUMBER(B1302),CHOOSE(WEEKDAY(B1302,2),"Lun","Mar","Mié","Jue","Vie","Sáb","Dom"),"")</f>
        <v/>
      </c>
      <c r="D1302" s="73" t="n"/>
      <c r="E1302" s="74" t="n"/>
      <c r="F1302" s="74" t="n"/>
      <c r="G1302" s="74" t="n"/>
      <c r="H1302" s="75" t="n"/>
      <c r="I1302" s="75" t="n"/>
      <c r="J1302" s="76" t="n"/>
      <c r="K1302" s="77" t="str">
        <f>IF(AB1302=1,ROUND(AG1302/60,4),"")</f>
        <v/>
      </c>
      <c r="L1302" s="77" t="str">
        <f>IF(BD1302=1,ROUND(AP1302/60,4),"")</f>
        <v/>
      </c>
      <c r="M1302" s="77" t="str">
        <f>IF(BD1302=1,ROUND(AQ1302/60,4),"")</f>
        <v/>
      </c>
      <c r="N1302" s="71" t="str">
        <f>IF(AND(D1302="proMX",AB1302=1),ROUND(AG1302/CFG_BLK,2),"")</f>
        <v/>
      </c>
      <c r="O1302" s="77" t="str">
        <f>IF(D1302="proMX",IF(BD1302=1,ROUND(AG1302/60,4),0),"")</f>
        <v/>
      </c>
      <c r="P1302" s="78" t="str">
        <f>IF(Y1302=0,"",IF(BD1302=1,"OK",IF(D1302="proMX","Revisar bloques: ","Revisar: ")&amp;BC1302))</f>
        <v/>
      </c>
      <c r="Q1302" s="78" t="str">
        <f>IF(NOT(ISNUMBER(B1302)),"",IF(COUNTIFS(FER_F,INT(B1302))&gt;0,"Feriado"&amp;IF(AH1302=1," (laborable)"," (no laborable)"),IF(AH1302=1,"Laborable",IF(WEEKDAY(B1302,2)&gt;5,"Fin de semana","No laborable"))))</f>
        <v/>
      </c>
      <c r="R1302" s="73" t="n"/>
      <c r="S1302" s="72" t="n"/>
      <c r="T1302" s="72" t="n"/>
      <c r="U1302" s="74" t="n"/>
      <c r="V1302" s="79" t="str">
        <f>IF(AND(D1302="proMX",OR(R1302="Submitted",R1302="Recall Requested"),ISNUMBER(S1302)),CFG_TODAY-INT(S1302),"")</f>
        <v/>
      </c>
      <c r="W1302" s="78" t="str">
        <f>IF(BD1302=0,"",IF(BA1302&gt;0,"⚠ Se superpone con un registro de la otra empresa",IF(D1302="Malcolm",IF(COUNTA(R1302,S1302,T1302)&gt;0,"Estado/fechas proMX se ignoran en Malcolm",""),IF(BF1302="Cancelled","Cancelado: excluido de totales",IF(R1302="","Sin estado: se trata como Draft",IF(BF1302="Submitted",IF(ISNUMBER(V1302),IF(V1302&gt;CFG_MAXD,"⚠ "&amp;V1302&amp;" días en Submitted (máx. "&amp;CFG_MAXD&amp;")",""),"Falta fecha de envío"),IF(BF1302="Returned","⚠ Devuelto: corregir y reenviar",IF(BF1302="Recall Requested","Retirada solicitada: pendiente",IF(AND(BF1302="Approved",NOT(ISNUMBER(T1302))),"Falta fecha de aprobación",IF(AND(ISNUMBER(S1302),ISNUMBER(T1302),T1302&lt;S1302),"Aprobación anterior al envío","")))))))))</f>
        <v/>
      </c>
      <c r="Y1302" s="80">
        <f>IF(COUNTA(B1302,D1302,E1302,F1302,G1302,H1302,I1302,J1302,R1302,S1302,T1302)&gt;0,1,0)</f>
        <v>0</v>
      </c>
      <c r="Z1302" s="80" t="str">
        <f>IF(AND(ISNUMBER(H1302),H1302&gt;=0,H1302&lt;1),ROUND(H1302*1440,0),"")</f>
        <v/>
      </c>
      <c r="AA1302" s="80" t="str">
        <f>IF(AND(ISNUMBER(I1302),I1302&gt;=0,I1302&lt;1),ROUND(I1302*1440,0),"")</f>
        <v/>
      </c>
      <c r="AB1302" s="80">
        <f>IF(AND(ISNUMBER(B1302),D1302&lt;&gt;"",ISNUMBER(Z1302),ISNUMBER(AA1302)),IF(Z1302=AA1302,0,1),0)</f>
        <v>0</v>
      </c>
      <c r="AC1302" s="80">
        <f>IF(AB1302=1,IF(AA1302&lt;Z1302,1,0),0)</f>
        <v>0</v>
      </c>
      <c r="AD1302" s="80">
        <f>IF(AB1302=1,IF(AC1302=1,1440-Z1302+AA1302,AA1302-Z1302),0)</f>
        <v>0</v>
      </c>
      <c r="AE1302" s="80">
        <f>IF(J1302="",0,IF(ISNUMBER(J1302),J1302,-1))</f>
        <v>0</v>
      </c>
      <c r="AF1302" s="80">
        <f>MIN(MAX(0,AE1302),AD1302)</f>
        <v>0</v>
      </c>
      <c r="AG1302" s="80">
        <f>MAX(0,AD1302-MAX(0,AE1302))</f>
        <v>0</v>
      </c>
      <c r="AH1302" s="80">
        <f>IF(ISNUMBER(B1302),IF(AND(INDEX(CFG_WDAYS,WEEKDAY(INT(B1302),2))="Sí",IF(D1302="proMX",COUNTIFS(FER_F,INT(B1302),FER_NLP,"Sí"),COUNTIFS(FER_F,INT(B1302),FER_NLM,"Sí"))=0),1,0),0)</f>
        <v>0</v>
      </c>
      <c r="AI1302" s="80">
        <f>IF(AC1302=1,IF(AND(INDEX(CFG_WDAYS,WEEKDAY(INT(B1302)+1,2))="Sí",IF(D1302="proMX",COUNTIFS(FER_F,INT(B1302)+1,FER_NLP,"Sí"),COUNTIFS(FER_F,INT(B1302)+1,FER_NLM,"Sí"))=0),1,0),0)</f>
        <v>0</v>
      </c>
      <c r="AJ1302" s="80">
        <f>IF(AC1302=1,1440-Z1302,AD1302)</f>
        <v>0</v>
      </c>
      <c r="AK1302" s="80">
        <f>IF(AND(AB1302=1,AH1302=1),MAX(0,MIN(IF(AC1302=1,1440,AA1302),CFG_WEM)-MAX(Z1302,CFG_WSM)),0)</f>
        <v>0</v>
      </c>
      <c r="AL1302" s="80">
        <f>IF(AND(AC1302=1,AI1302=1),MAX(0,MIN(AA1302,CFG_WEM)-CFG_WSM),0)</f>
        <v>0</v>
      </c>
      <c r="AM1302" s="80">
        <f>AK1302+AL1302</f>
        <v>0</v>
      </c>
      <c r="AN1302" s="80">
        <f>IF(CFG_BRK="Proporcional",IF(AD1302=0,0,AF1302*AM1302/AD1302),IF(CFG_BRK="Extras primero",MIN(AM1302,MAX(0,AF1302-(AD1302-AM1302))),MIN(AF1302,AM1302)))</f>
        <v>0</v>
      </c>
      <c r="AO1302" s="80">
        <f>AF1302-AN1302</f>
        <v>0</v>
      </c>
      <c r="AP1302" s="80">
        <f>AM1302-AN1302</f>
        <v>0</v>
      </c>
      <c r="AQ1302" s="80">
        <f>AD1302-AM1302-AO1302</f>
        <v>0</v>
      </c>
      <c r="AR1302" s="80">
        <f>IF(AM1302=0,0,AK1302-AN1302*AK1302/AM1302)</f>
        <v>0</v>
      </c>
      <c r="AS1302" s="80">
        <f>IF(AD1302-AM1302=0,0,(AJ1302-AK1302)-AO1302*(AJ1302-AK1302)/(AD1302-AM1302))</f>
        <v>0</v>
      </c>
      <c r="AT1302" s="80" t="str">
        <f>IF(AC1302=1,INT(B1302)+1,"")</f>
        <v/>
      </c>
      <c r="AU1302" s="80">
        <f>IF(AND(D1302="proMX",R1302="Cancelled"),0,1)</f>
        <v>1</v>
      </c>
      <c r="AV1302" s="80">
        <f>IF(AND(AB1302=1,AU1302=1),IF(COUNTIFS($D$5:D1301,D1302,$B$5:B1301,B1302,$Z$5:Z1301,Z1302,$AA$5:AA1301,AA1302,$F$5:F1301,F1302&amp;"",$AU$5:AU1301,1)&gt;0,1,0),0)</f>
        <v>0</v>
      </c>
      <c r="AW1302" s="80" t="str">
        <f>IF(AB1302=1,INT(B1302)*1440+Z1302,"")</f>
        <v/>
      </c>
      <c r="AX1302" s="80" t="str">
        <f>IF(AB1302=1,AW1302+AD1302,"")</f>
        <v/>
      </c>
      <c r="AY1302" s="80">
        <f>IF(AND(AB1302=1,AV1302=0,AU1302=1),1,0)</f>
        <v>0</v>
      </c>
      <c r="AZ1302" s="80">
        <f>IF(AY1302=1,COUNTIFS(R_Emp,D1302,R_SAbs,"&lt;"&amp;AX1302,R_EAbs,"&gt;"&amp;AW1302,R_OKey,1)-1,0)</f>
        <v>0</v>
      </c>
      <c r="BA1302" s="80">
        <f>IF(AY1302=1,COUNTIFS(R_Emp,"&lt;&gt;"&amp;D1302,R_SAbs,"&lt;"&amp;AX1302,R_EAbs,"&gt;"&amp;AW1302,R_OKey,1),0)</f>
        <v>0</v>
      </c>
      <c r="BB1302" s="80">
        <f>IF(AND(AB1302=1,D1302="proMX"),IF(AND(MOD(Z1302,CFG_BLK)=0,MOD(AA1302,CFG_BLK)=0,MOD(AG1302,CFG_BLK)=0,AG1302&gt;0),1,0),1)</f>
        <v>1</v>
      </c>
      <c r="BC1302" s="80" t="str">
        <f>IF(Y1302=0,"",IF(NOT(ISNUMBER(B1302)),"Falta fecha o fecha inválida",IF(D1302="","Falta empresa",IF(AND(D1302&lt;&gt;"Malcolm",D1302&lt;&gt;"proMX"),"Empresa inválida",IF(OR(INT(B1302)&lt;CFG_PSTART,INT(B1302)&gt;CFG_PEND),"Fecha fuera del período",IF(OR(NOT(ISNUMBER(Z1302)),NOT(ISNUMBER(AA1302))),"Falta hora inicio/fin o formato inválido",IF(AB1302=0,"Hora inicio = hora fin",IF(AE1302&lt;0,"Descanso inválido",IF(AE1302&gt;=AD1302,"Descanso ≥ duración",IF(AV1302=1,"Registro duplicado",IF(AZ1302&gt;0,"Se superpone con otro registro "&amp;D1302,IF(BB1302=0,"inicio, fin y duración neta deben ser múltiplos de "&amp;CFG_BLK&amp;" min",""))))))))))))</f>
        <v/>
      </c>
      <c r="BD1302" s="80">
        <f>IF(AND(Y1302=1,BC1302=""),1,0)</f>
        <v>0</v>
      </c>
      <c r="BE1302" s="80">
        <f>IF(AND(BD1302=1,AU1302=1),1,0)</f>
        <v>0</v>
      </c>
      <c r="BF1302" s="80" t="str">
        <f>IF(AND(D1302="proMX",BD1302=1),IF(R1302="","Draft",R1302),"")</f>
        <v/>
      </c>
      <c r="BG1302" s="80">
        <f>IF(BD1302=1,ROUND(AG1302/60,6),0)</f>
        <v>0</v>
      </c>
      <c r="BH1302" s="80">
        <f>IF(BE1302=1,ROUND(AG1302/60,6),0)</f>
        <v>0</v>
      </c>
      <c r="BI1302" s="80">
        <f>IF(BE1302=1,ROUND(AP1302/60,6),0)</f>
        <v>0</v>
      </c>
      <c r="BJ1302" s="80">
        <f>IF(BE1302=1,ROUND(AQ1302/60,6),0)</f>
        <v>0</v>
      </c>
      <c r="BK1302" s="80">
        <f>IF(BE1302=1,ROUND((AR1302+AS1302)/60,6),0)</f>
        <v>0</v>
      </c>
      <c r="BL1302" s="80">
        <f>ROUND(BH1302-BK1302,6)</f>
        <v>0</v>
      </c>
      <c r="BM1302" s="80">
        <f>IF(BE1302=1,ROUND(AR1302/60,6),0)</f>
        <v>0</v>
      </c>
      <c r="BN1302" s="80">
        <f>ROUND(BI1302-BM1302,6)</f>
        <v>0</v>
      </c>
      <c r="BO1302" s="80">
        <f>IF(BE1302=1,ROUND(AS1302/60,6),0)</f>
        <v>0</v>
      </c>
      <c r="BP1302" s="80">
        <f>ROUND(BJ1302-BO1302,6)</f>
        <v>0</v>
      </c>
      <c r="BQ1302" s="80">
        <f>IF(BE1302=1,AW1302,0)</f>
        <v>0</v>
      </c>
      <c r="BR1302" s="80">
        <f>IF(BE1302=1,AX1302,0)</f>
        <v>0</v>
      </c>
      <c r="BS1302" s="80">
        <f>IF(AND(BE1302=1,D1302="Malcolm",BA1302&gt;0),MIN(BH1302,SUMPRODUCT((R_Emp="proMX")*(R_EN&gt;0)*((R_EN-(R_EN&gt;BR1302)*(R_EN-BR1302))&gt;(R_SN+(R_SN&lt;BQ1302)*(BQ1302-R_SN)))*((R_EN-(R_EN&gt;BR1302)*(R_EN-BR1302))-(R_SN+(R_SN&lt;BQ1302)*(BQ1302-R_SN))))/60),0)</f>
        <v>0</v>
      </c>
      <c r="BT1302" s="80">
        <f>IF(AND(BE1302=1,D1302="proMX"),ROUND(BI1302*CFG_RATE+BJ1302*CFG_OTRATE,6),0)</f>
        <v>0</v>
      </c>
      <c r="BU1302" s="80">
        <f>IF(AND(BD1302=1,D1302="proMX"),ROUND(AG1302/CFG_BLK,6),0)</f>
        <v>0</v>
      </c>
      <c r="BV1302" s="80" t="str">
        <f>IF(BF1302="Approved",IF(ISNUMBER(T1302),INT(T1302),INT(B1302)),"")</f>
        <v/>
      </c>
      <c r="BW1302" s="80">
        <f>IF(ISNUMBER(B1302),IF(DB_MON="Todos",1,IF(AND(INT(B1302)&gt;=DB_MS,INT(B1302)&lt;=DB_ME),1,0)),0)</f>
        <v>0</v>
      </c>
      <c r="BX1302" s="80">
        <f>IF(DB_PROJ="Todos",1,IF(E1302&amp;""=DB_PROJ&amp;"",1,0))</f>
        <v>1</v>
      </c>
      <c r="BY1302" s="80">
        <f>BW1302*BX1302</f>
        <v>0</v>
      </c>
      <c r="BZ1302" s="80" t="str">
        <f>IF(Y1302=1,F1302&amp;IF(AND(F1302&amp;""&lt;&gt;"",E1302&amp;""&lt;&gt;"")," · ","")&amp;E1302,"")</f>
        <v/>
      </c>
      <c r="CA1302" s="80" t="str">
        <f>IF(AND(BD1302=1,E1302&amp;""&lt;&gt;""),IF(COUNTIFS($E$5:E1301,E1302,$BD$5:BD1301,1)=0,MAX($CA$5:CA1301)+1,""),"")</f>
        <v/>
      </c>
      <c r="CB1302" s="80" t="str">
        <f>IF(AND(BE1302=1,D1302="Malcolm",E1302&amp;""&lt;&gt;""),IF(COUNTIFS($D$5:D1301,"Malcolm",$E$5:E1301,E1302,$BE$5:BE1301,1)=0,MAX($CB$5:CB1301)+1,""),"")</f>
        <v/>
      </c>
      <c r="CC1302" s="80" t="str">
        <f>IF(AND(BD1302=1,D1302="proMX",E1302&amp;""&lt;&gt;""),IF(COUNTIFS($D$5:D1301,"proMX",$E$5:E1301,E1302,$BD$5:BD1301,1)=0,MAX($CC$5:CC1301)+1,""),"")</f>
        <v/>
      </c>
      <c r="CD1302" s="80" t="str">
        <f>IF(AND(BE1302=1,D1302="Malcolm",F1302&amp;""&lt;&gt;""),IF(COUNTIFS($D$5:D1301,"Malcolm",$F$5:F1301,F1302,$BE$5:BE1301,1)=0,MAX($CD$5:CD1301)+1,""),"")</f>
        <v/>
      </c>
      <c r="CE1302" s="80" t="str">
        <f>IF(AND(BD1302=1,D1302="proMX",F1302&amp;""&lt;&gt;""),IF(COUNTIFS($D$5:D1301,"proMX",$F$5:F1301,F1302,$BD$5:BD1301,1)=0,MAX($CE$5:CE1301)+1,""),"")</f>
        <v/>
      </c>
      <c r="CF1302" s="80" t="str">
        <f>IF(AND(D1302="proMX",BD1302=1),IF(OR(BF1302="Draft",BF1302="Submitted",BF1302="Returned",BF1302="Recall Requested"),MAX($CF$5:CF1301)+1,""),"")</f>
        <v/>
      </c>
      <c r="CG1302" s="80">
        <f>IF(BD1302=0,0,IF(D1302="Malcolm",1,MATCH(BF1302,{"Draft","Submitted","Approved","Returned","Recall Requested","Cancelled"},0)+1))</f>
        <v>0</v>
      </c>
      <c r="CH1302" s="80">
        <f>IF(AND(BF1302="Submitted",ISNUMBER(V1302)),IF(V1302&gt;CFG_MAXD,1,0),0)</f>
        <v>0</v>
      </c>
    </row>
    <row r="1303">
      <c r="A1303" s="71" t="str">
        <f>IF(Y1303=1,ROW()-5,"")</f>
        <v/>
      </c>
      <c r="B1303" s="72" t="n"/>
      <c r="C1303" s="71" t="str">
        <f>IF(ISNUMBER(B1303),CHOOSE(WEEKDAY(B1303,2),"Lun","Mar","Mié","Jue","Vie","Sáb","Dom"),"")</f>
        <v/>
      </c>
      <c r="D1303" s="73" t="n"/>
      <c r="E1303" s="74" t="n"/>
      <c r="F1303" s="74" t="n"/>
      <c r="G1303" s="74" t="n"/>
      <c r="H1303" s="75" t="n"/>
      <c r="I1303" s="75" t="n"/>
      <c r="J1303" s="76" t="n"/>
      <c r="K1303" s="77" t="str">
        <f>IF(AB1303=1,ROUND(AG1303/60,4),"")</f>
        <v/>
      </c>
      <c r="L1303" s="77" t="str">
        <f>IF(BD1303=1,ROUND(AP1303/60,4),"")</f>
        <v/>
      </c>
      <c r="M1303" s="77" t="str">
        <f>IF(BD1303=1,ROUND(AQ1303/60,4),"")</f>
        <v/>
      </c>
      <c r="N1303" s="71" t="str">
        <f>IF(AND(D1303="proMX",AB1303=1),ROUND(AG1303/CFG_BLK,2),"")</f>
        <v/>
      </c>
      <c r="O1303" s="77" t="str">
        <f>IF(D1303="proMX",IF(BD1303=1,ROUND(AG1303/60,4),0),"")</f>
        <v/>
      </c>
      <c r="P1303" s="78" t="str">
        <f>IF(Y1303=0,"",IF(BD1303=1,"OK",IF(D1303="proMX","Revisar bloques: ","Revisar: ")&amp;BC1303))</f>
        <v/>
      </c>
      <c r="Q1303" s="78" t="str">
        <f>IF(NOT(ISNUMBER(B1303)),"",IF(COUNTIFS(FER_F,INT(B1303))&gt;0,"Feriado"&amp;IF(AH1303=1," (laborable)"," (no laborable)"),IF(AH1303=1,"Laborable",IF(WEEKDAY(B1303,2)&gt;5,"Fin de semana","No laborable"))))</f>
        <v/>
      </c>
      <c r="R1303" s="73" t="n"/>
      <c r="S1303" s="72" t="n"/>
      <c r="T1303" s="72" t="n"/>
      <c r="U1303" s="74" t="n"/>
      <c r="V1303" s="79" t="str">
        <f>IF(AND(D1303="proMX",OR(R1303="Submitted",R1303="Recall Requested"),ISNUMBER(S1303)),CFG_TODAY-INT(S1303),"")</f>
        <v/>
      </c>
      <c r="W1303" s="78" t="str">
        <f>IF(BD1303=0,"",IF(BA1303&gt;0,"⚠ Se superpone con un registro de la otra empresa",IF(D1303="Malcolm",IF(COUNTA(R1303,S1303,T1303)&gt;0,"Estado/fechas proMX se ignoran en Malcolm",""),IF(BF1303="Cancelled","Cancelado: excluido de totales",IF(R1303="","Sin estado: se trata como Draft",IF(BF1303="Submitted",IF(ISNUMBER(V1303),IF(V1303&gt;CFG_MAXD,"⚠ "&amp;V1303&amp;" días en Submitted (máx. "&amp;CFG_MAXD&amp;")",""),"Falta fecha de envío"),IF(BF1303="Returned","⚠ Devuelto: corregir y reenviar",IF(BF1303="Recall Requested","Retirada solicitada: pendiente",IF(AND(BF1303="Approved",NOT(ISNUMBER(T1303))),"Falta fecha de aprobación",IF(AND(ISNUMBER(S1303),ISNUMBER(T1303),T1303&lt;S1303),"Aprobación anterior al envío","")))))))))</f>
        <v/>
      </c>
      <c r="Y1303" s="80">
        <f>IF(COUNTA(B1303,D1303,E1303,F1303,G1303,H1303,I1303,J1303,R1303,S1303,T1303)&gt;0,1,0)</f>
        <v>0</v>
      </c>
      <c r="Z1303" s="80" t="str">
        <f>IF(AND(ISNUMBER(H1303),H1303&gt;=0,H1303&lt;1),ROUND(H1303*1440,0),"")</f>
        <v/>
      </c>
      <c r="AA1303" s="80" t="str">
        <f>IF(AND(ISNUMBER(I1303),I1303&gt;=0,I1303&lt;1),ROUND(I1303*1440,0),"")</f>
        <v/>
      </c>
      <c r="AB1303" s="80">
        <f>IF(AND(ISNUMBER(B1303),D1303&lt;&gt;"",ISNUMBER(Z1303),ISNUMBER(AA1303)),IF(Z1303=AA1303,0,1),0)</f>
        <v>0</v>
      </c>
      <c r="AC1303" s="80">
        <f>IF(AB1303=1,IF(AA1303&lt;Z1303,1,0),0)</f>
        <v>0</v>
      </c>
      <c r="AD1303" s="80">
        <f>IF(AB1303=1,IF(AC1303=1,1440-Z1303+AA1303,AA1303-Z1303),0)</f>
        <v>0</v>
      </c>
      <c r="AE1303" s="80">
        <f>IF(J1303="",0,IF(ISNUMBER(J1303),J1303,-1))</f>
        <v>0</v>
      </c>
      <c r="AF1303" s="80">
        <f>MIN(MAX(0,AE1303),AD1303)</f>
        <v>0</v>
      </c>
      <c r="AG1303" s="80">
        <f>MAX(0,AD1303-MAX(0,AE1303))</f>
        <v>0</v>
      </c>
      <c r="AH1303" s="80">
        <f>IF(ISNUMBER(B1303),IF(AND(INDEX(CFG_WDAYS,WEEKDAY(INT(B1303),2))="Sí",IF(D1303="proMX",COUNTIFS(FER_F,INT(B1303),FER_NLP,"Sí"),COUNTIFS(FER_F,INT(B1303),FER_NLM,"Sí"))=0),1,0),0)</f>
        <v>0</v>
      </c>
      <c r="AI1303" s="80">
        <f>IF(AC1303=1,IF(AND(INDEX(CFG_WDAYS,WEEKDAY(INT(B1303)+1,2))="Sí",IF(D1303="proMX",COUNTIFS(FER_F,INT(B1303)+1,FER_NLP,"Sí"),COUNTIFS(FER_F,INT(B1303)+1,FER_NLM,"Sí"))=0),1,0),0)</f>
        <v>0</v>
      </c>
      <c r="AJ1303" s="80">
        <f>IF(AC1303=1,1440-Z1303,AD1303)</f>
        <v>0</v>
      </c>
      <c r="AK1303" s="80">
        <f>IF(AND(AB1303=1,AH1303=1),MAX(0,MIN(IF(AC1303=1,1440,AA1303),CFG_WEM)-MAX(Z1303,CFG_WSM)),0)</f>
        <v>0</v>
      </c>
      <c r="AL1303" s="80">
        <f>IF(AND(AC1303=1,AI1303=1),MAX(0,MIN(AA1303,CFG_WEM)-CFG_WSM),0)</f>
        <v>0</v>
      </c>
      <c r="AM1303" s="80">
        <f>AK1303+AL1303</f>
        <v>0</v>
      </c>
      <c r="AN1303" s="80">
        <f>IF(CFG_BRK="Proporcional",IF(AD1303=0,0,AF1303*AM1303/AD1303),IF(CFG_BRK="Extras primero",MIN(AM1303,MAX(0,AF1303-(AD1303-AM1303))),MIN(AF1303,AM1303)))</f>
        <v>0</v>
      </c>
      <c r="AO1303" s="80">
        <f>AF1303-AN1303</f>
        <v>0</v>
      </c>
      <c r="AP1303" s="80">
        <f>AM1303-AN1303</f>
        <v>0</v>
      </c>
      <c r="AQ1303" s="80">
        <f>AD1303-AM1303-AO1303</f>
        <v>0</v>
      </c>
      <c r="AR1303" s="80">
        <f>IF(AM1303=0,0,AK1303-AN1303*AK1303/AM1303)</f>
        <v>0</v>
      </c>
      <c r="AS1303" s="80">
        <f>IF(AD1303-AM1303=0,0,(AJ1303-AK1303)-AO1303*(AJ1303-AK1303)/(AD1303-AM1303))</f>
        <v>0</v>
      </c>
      <c r="AT1303" s="80" t="str">
        <f>IF(AC1303=1,INT(B1303)+1,"")</f>
        <v/>
      </c>
      <c r="AU1303" s="80">
        <f>IF(AND(D1303="proMX",R1303="Cancelled"),0,1)</f>
        <v>1</v>
      </c>
      <c r="AV1303" s="80">
        <f>IF(AND(AB1303=1,AU1303=1),IF(COUNTIFS($D$5:D1302,D1303,$B$5:B1302,B1303,$Z$5:Z1302,Z1303,$AA$5:AA1302,AA1303,$F$5:F1302,F1303&amp;"",$AU$5:AU1302,1)&gt;0,1,0),0)</f>
        <v>0</v>
      </c>
      <c r="AW1303" s="80" t="str">
        <f>IF(AB1303=1,INT(B1303)*1440+Z1303,"")</f>
        <v/>
      </c>
      <c r="AX1303" s="80" t="str">
        <f>IF(AB1303=1,AW1303+AD1303,"")</f>
        <v/>
      </c>
      <c r="AY1303" s="80">
        <f>IF(AND(AB1303=1,AV1303=0,AU1303=1),1,0)</f>
        <v>0</v>
      </c>
      <c r="AZ1303" s="80">
        <f>IF(AY1303=1,COUNTIFS(R_Emp,D1303,R_SAbs,"&lt;"&amp;AX1303,R_EAbs,"&gt;"&amp;AW1303,R_OKey,1)-1,0)</f>
        <v>0</v>
      </c>
      <c r="BA1303" s="80">
        <f>IF(AY1303=1,COUNTIFS(R_Emp,"&lt;&gt;"&amp;D1303,R_SAbs,"&lt;"&amp;AX1303,R_EAbs,"&gt;"&amp;AW1303,R_OKey,1),0)</f>
        <v>0</v>
      </c>
      <c r="BB1303" s="80">
        <f>IF(AND(AB1303=1,D1303="proMX"),IF(AND(MOD(Z1303,CFG_BLK)=0,MOD(AA1303,CFG_BLK)=0,MOD(AG1303,CFG_BLK)=0,AG1303&gt;0),1,0),1)</f>
        <v>1</v>
      </c>
      <c r="BC1303" s="80" t="str">
        <f>IF(Y1303=0,"",IF(NOT(ISNUMBER(B1303)),"Falta fecha o fecha inválida",IF(D1303="","Falta empresa",IF(AND(D1303&lt;&gt;"Malcolm",D1303&lt;&gt;"proMX"),"Empresa inválida",IF(OR(INT(B1303)&lt;CFG_PSTART,INT(B1303)&gt;CFG_PEND),"Fecha fuera del período",IF(OR(NOT(ISNUMBER(Z1303)),NOT(ISNUMBER(AA1303))),"Falta hora inicio/fin o formato inválido",IF(AB1303=0,"Hora inicio = hora fin",IF(AE1303&lt;0,"Descanso inválido",IF(AE1303&gt;=AD1303,"Descanso ≥ duración",IF(AV1303=1,"Registro duplicado",IF(AZ1303&gt;0,"Se superpone con otro registro "&amp;D1303,IF(BB1303=0,"inicio, fin y duración neta deben ser múltiplos de "&amp;CFG_BLK&amp;" min",""))))))))))))</f>
        <v/>
      </c>
      <c r="BD1303" s="80">
        <f>IF(AND(Y1303=1,BC1303=""),1,0)</f>
        <v>0</v>
      </c>
      <c r="BE1303" s="80">
        <f>IF(AND(BD1303=1,AU1303=1),1,0)</f>
        <v>0</v>
      </c>
      <c r="BF1303" s="80" t="str">
        <f>IF(AND(D1303="proMX",BD1303=1),IF(R1303="","Draft",R1303),"")</f>
        <v/>
      </c>
      <c r="BG1303" s="80">
        <f>IF(BD1303=1,ROUND(AG1303/60,6),0)</f>
        <v>0</v>
      </c>
      <c r="BH1303" s="80">
        <f>IF(BE1303=1,ROUND(AG1303/60,6),0)</f>
        <v>0</v>
      </c>
      <c r="BI1303" s="80">
        <f>IF(BE1303=1,ROUND(AP1303/60,6),0)</f>
        <v>0</v>
      </c>
      <c r="BJ1303" s="80">
        <f>IF(BE1303=1,ROUND(AQ1303/60,6),0)</f>
        <v>0</v>
      </c>
      <c r="BK1303" s="80">
        <f>IF(BE1303=1,ROUND((AR1303+AS1303)/60,6),0)</f>
        <v>0</v>
      </c>
      <c r="BL1303" s="80">
        <f>ROUND(BH1303-BK1303,6)</f>
        <v>0</v>
      </c>
      <c r="BM1303" s="80">
        <f>IF(BE1303=1,ROUND(AR1303/60,6),0)</f>
        <v>0</v>
      </c>
      <c r="BN1303" s="80">
        <f>ROUND(BI1303-BM1303,6)</f>
        <v>0</v>
      </c>
      <c r="BO1303" s="80">
        <f>IF(BE1303=1,ROUND(AS1303/60,6),0)</f>
        <v>0</v>
      </c>
      <c r="BP1303" s="80">
        <f>ROUND(BJ1303-BO1303,6)</f>
        <v>0</v>
      </c>
      <c r="BQ1303" s="80">
        <f>IF(BE1303=1,AW1303,0)</f>
        <v>0</v>
      </c>
      <c r="BR1303" s="80">
        <f>IF(BE1303=1,AX1303,0)</f>
        <v>0</v>
      </c>
      <c r="BS1303" s="80">
        <f>IF(AND(BE1303=1,D1303="Malcolm",BA1303&gt;0),MIN(BH1303,SUMPRODUCT((R_Emp="proMX")*(R_EN&gt;0)*((R_EN-(R_EN&gt;BR1303)*(R_EN-BR1303))&gt;(R_SN+(R_SN&lt;BQ1303)*(BQ1303-R_SN)))*((R_EN-(R_EN&gt;BR1303)*(R_EN-BR1303))-(R_SN+(R_SN&lt;BQ1303)*(BQ1303-R_SN))))/60),0)</f>
        <v>0</v>
      </c>
      <c r="BT1303" s="80">
        <f>IF(AND(BE1303=1,D1303="proMX"),ROUND(BI1303*CFG_RATE+BJ1303*CFG_OTRATE,6),0)</f>
        <v>0</v>
      </c>
      <c r="BU1303" s="80">
        <f>IF(AND(BD1303=1,D1303="proMX"),ROUND(AG1303/CFG_BLK,6),0)</f>
        <v>0</v>
      </c>
      <c r="BV1303" s="80" t="str">
        <f>IF(BF1303="Approved",IF(ISNUMBER(T1303),INT(T1303),INT(B1303)),"")</f>
        <v/>
      </c>
      <c r="BW1303" s="80">
        <f>IF(ISNUMBER(B1303),IF(DB_MON="Todos",1,IF(AND(INT(B1303)&gt;=DB_MS,INT(B1303)&lt;=DB_ME),1,0)),0)</f>
        <v>0</v>
      </c>
      <c r="BX1303" s="80">
        <f>IF(DB_PROJ="Todos",1,IF(E1303&amp;""=DB_PROJ&amp;"",1,0))</f>
        <v>1</v>
      </c>
      <c r="BY1303" s="80">
        <f>BW1303*BX1303</f>
        <v>0</v>
      </c>
      <c r="BZ1303" s="80" t="str">
        <f>IF(Y1303=1,F1303&amp;IF(AND(F1303&amp;""&lt;&gt;"",E1303&amp;""&lt;&gt;"")," · ","")&amp;E1303,"")</f>
        <v/>
      </c>
      <c r="CA1303" s="80" t="str">
        <f>IF(AND(BD1303=1,E1303&amp;""&lt;&gt;""),IF(COUNTIFS($E$5:E1302,E1303,$BD$5:BD1302,1)=0,MAX($CA$5:CA1302)+1,""),"")</f>
        <v/>
      </c>
      <c r="CB1303" s="80" t="str">
        <f>IF(AND(BE1303=1,D1303="Malcolm",E1303&amp;""&lt;&gt;""),IF(COUNTIFS($D$5:D1302,"Malcolm",$E$5:E1302,E1303,$BE$5:BE1302,1)=0,MAX($CB$5:CB1302)+1,""),"")</f>
        <v/>
      </c>
      <c r="CC1303" s="80" t="str">
        <f>IF(AND(BD1303=1,D1303="proMX",E1303&amp;""&lt;&gt;""),IF(COUNTIFS($D$5:D1302,"proMX",$E$5:E1302,E1303,$BD$5:BD1302,1)=0,MAX($CC$5:CC1302)+1,""),"")</f>
        <v/>
      </c>
      <c r="CD1303" s="80" t="str">
        <f>IF(AND(BE1303=1,D1303="Malcolm",F1303&amp;""&lt;&gt;""),IF(COUNTIFS($D$5:D1302,"Malcolm",$F$5:F1302,F1303,$BE$5:BE1302,1)=0,MAX($CD$5:CD1302)+1,""),"")</f>
        <v/>
      </c>
      <c r="CE1303" s="80" t="str">
        <f>IF(AND(BD1303=1,D1303="proMX",F1303&amp;""&lt;&gt;""),IF(COUNTIFS($D$5:D1302,"proMX",$F$5:F1302,F1303,$BD$5:BD1302,1)=0,MAX($CE$5:CE1302)+1,""),"")</f>
        <v/>
      </c>
      <c r="CF1303" s="80" t="str">
        <f>IF(AND(D1303="proMX",BD1303=1),IF(OR(BF1303="Draft",BF1303="Submitted",BF1303="Returned",BF1303="Recall Requested"),MAX($CF$5:CF1302)+1,""),"")</f>
        <v/>
      </c>
      <c r="CG1303" s="80">
        <f>IF(BD1303=0,0,IF(D1303="Malcolm",1,MATCH(BF1303,{"Draft","Submitted","Approved","Returned","Recall Requested","Cancelled"},0)+1))</f>
        <v>0</v>
      </c>
      <c r="CH1303" s="80">
        <f>IF(AND(BF1303="Submitted",ISNUMBER(V1303)),IF(V1303&gt;CFG_MAXD,1,0),0)</f>
        <v>0</v>
      </c>
    </row>
    <row r="1304">
      <c r="A1304" s="71" t="str">
        <f>IF(Y1304=1,ROW()-5,"")</f>
        <v/>
      </c>
      <c r="B1304" s="72" t="n"/>
      <c r="C1304" s="71" t="str">
        <f>IF(ISNUMBER(B1304),CHOOSE(WEEKDAY(B1304,2),"Lun","Mar","Mié","Jue","Vie","Sáb","Dom"),"")</f>
        <v/>
      </c>
      <c r="D1304" s="73" t="n"/>
      <c r="E1304" s="74" t="n"/>
      <c r="F1304" s="74" t="n"/>
      <c r="G1304" s="74" t="n"/>
      <c r="H1304" s="75" t="n"/>
      <c r="I1304" s="75" t="n"/>
      <c r="J1304" s="76" t="n"/>
      <c r="K1304" s="77" t="str">
        <f>IF(AB1304=1,ROUND(AG1304/60,4),"")</f>
        <v/>
      </c>
      <c r="L1304" s="77" t="str">
        <f>IF(BD1304=1,ROUND(AP1304/60,4),"")</f>
        <v/>
      </c>
      <c r="M1304" s="77" t="str">
        <f>IF(BD1304=1,ROUND(AQ1304/60,4),"")</f>
        <v/>
      </c>
      <c r="N1304" s="71" t="str">
        <f>IF(AND(D1304="proMX",AB1304=1),ROUND(AG1304/CFG_BLK,2),"")</f>
        <v/>
      </c>
      <c r="O1304" s="77" t="str">
        <f>IF(D1304="proMX",IF(BD1304=1,ROUND(AG1304/60,4),0),"")</f>
        <v/>
      </c>
      <c r="P1304" s="78" t="str">
        <f>IF(Y1304=0,"",IF(BD1304=1,"OK",IF(D1304="proMX","Revisar bloques: ","Revisar: ")&amp;BC1304))</f>
        <v/>
      </c>
      <c r="Q1304" s="78" t="str">
        <f>IF(NOT(ISNUMBER(B1304)),"",IF(COUNTIFS(FER_F,INT(B1304))&gt;0,"Feriado"&amp;IF(AH1304=1," (laborable)"," (no laborable)"),IF(AH1304=1,"Laborable",IF(WEEKDAY(B1304,2)&gt;5,"Fin de semana","No laborable"))))</f>
        <v/>
      </c>
      <c r="R1304" s="73" t="n"/>
      <c r="S1304" s="72" t="n"/>
      <c r="T1304" s="72" t="n"/>
      <c r="U1304" s="74" t="n"/>
      <c r="V1304" s="79" t="str">
        <f>IF(AND(D1304="proMX",OR(R1304="Submitted",R1304="Recall Requested"),ISNUMBER(S1304)),CFG_TODAY-INT(S1304),"")</f>
        <v/>
      </c>
      <c r="W1304" s="78" t="str">
        <f>IF(BD1304=0,"",IF(BA1304&gt;0,"⚠ Se superpone con un registro de la otra empresa",IF(D1304="Malcolm",IF(COUNTA(R1304,S1304,T1304)&gt;0,"Estado/fechas proMX se ignoran en Malcolm",""),IF(BF1304="Cancelled","Cancelado: excluido de totales",IF(R1304="","Sin estado: se trata como Draft",IF(BF1304="Submitted",IF(ISNUMBER(V1304),IF(V1304&gt;CFG_MAXD,"⚠ "&amp;V1304&amp;" días en Submitted (máx. "&amp;CFG_MAXD&amp;")",""),"Falta fecha de envío"),IF(BF1304="Returned","⚠ Devuelto: corregir y reenviar",IF(BF1304="Recall Requested","Retirada solicitada: pendiente",IF(AND(BF1304="Approved",NOT(ISNUMBER(T1304))),"Falta fecha de aprobación",IF(AND(ISNUMBER(S1304),ISNUMBER(T1304),T1304&lt;S1304),"Aprobación anterior al envío","")))))))))</f>
        <v/>
      </c>
      <c r="Y1304" s="80">
        <f>IF(COUNTA(B1304,D1304,E1304,F1304,G1304,H1304,I1304,J1304,R1304,S1304,T1304)&gt;0,1,0)</f>
        <v>0</v>
      </c>
      <c r="Z1304" s="80" t="str">
        <f>IF(AND(ISNUMBER(H1304),H1304&gt;=0,H1304&lt;1),ROUND(H1304*1440,0),"")</f>
        <v/>
      </c>
      <c r="AA1304" s="80" t="str">
        <f>IF(AND(ISNUMBER(I1304),I1304&gt;=0,I1304&lt;1),ROUND(I1304*1440,0),"")</f>
        <v/>
      </c>
      <c r="AB1304" s="80">
        <f>IF(AND(ISNUMBER(B1304),D1304&lt;&gt;"",ISNUMBER(Z1304),ISNUMBER(AA1304)),IF(Z1304=AA1304,0,1),0)</f>
        <v>0</v>
      </c>
      <c r="AC1304" s="80">
        <f>IF(AB1304=1,IF(AA1304&lt;Z1304,1,0),0)</f>
        <v>0</v>
      </c>
      <c r="AD1304" s="80">
        <f>IF(AB1304=1,IF(AC1304=1,1440-Z1304+AA1304,AA1304-Z1304),0)</f>
        <v>0</v>
      </c>
      <c r="AE1304" s="80">
        <f>IF(J1304="",0,IF(ISNUMBER(J1304),J1304,-1))</f>
        <v>0</v>
      </c>
      <c r="AF1304" s="80">
        <f>MIN(MAX(0,AE1304),AD1304)</f>
        <v>0</v>
      </c>
      <c r="AG1304" s="80">
        <f>MAX(0,AD1304-MAX(0,AE1304))</f>
        <v>0</v>
      </c>
      <c r="AH1304" s="80">
        <f>IF(ISNUMBER(B1304),IF(AND(INDEX(CFG_WDAYS,WEEKDAY(INT(B1304),2))="Sí",IF(D1304="proMX",COUNTIFS(FER_F,INT(B1304),FER_NLP,"Sí"),COUNTIFS(FER_F,INT(B1304),FER_NLM,"Sí"))=0),1,0),0)</f>
        <v>0</v>
      </c>
      <c r="AI1304" s="80">
        <f>IF(AC1304=1,IF(AND(INDEX(CFG_WDAYS,WEEKDAY(INT(B1304)+1,2))="Sí",IF(D1304="proMX",COUNTIFS(FER_F,INT(B1304)+1,FER_NLP,"Sí"),COUNTIFS(FER_F,INT(B1304)+1,FER_NLM,"Sí"))=0),1,0),0)</f>
        <v>0</v>
      </c>
      <c r="AJ1304" s="80">
        <f>IF(AC1304=1,1440-Z1304,AD1304)</f>
        <v>0</v>
      </c>
      <c r="AK1304" s="80">
        <f>IF(AND(AB1304=1,AH1304=1),MAX(0,MIN(IF(AC1304=1,1440,AA1304),CFG_WEM)-MAX(Z1304,CFG_WSM)),0)</f>
        <v>0</v>
      </c>
      <c r="AL1304" s="80">
        <f>IF(AND(AC1304=1,AI1304=1),MAX(0,MIN(AA1304,CFG_WEM)-CFG_WSM),0)</f>
        <v>0</v>
      </c>
      <c r="AM1304" s="80">
        <f>AK1304+AL1304</f>
        <v>0</v>
      </c>
      <c r="AN1304" s="80">
        <f>IF(CFG_BRK="Proporcional",IF(AD1304=0,0,AF1304*AM1304/AD1304),IF(CFG_BRK="Extras primero",MIN(AM1304,MAX(0,AF1304-(AD1304-AM1304))),MIN(AF1304,AM1304)))</f>
        <v>0</v>
      </c>
      <c r="AO1304" s="80">
        <f>AF1304-AN1304</f>
        <v>0</v>
      </c>
      <c r="AP1304" s="80">
        <f>AM1304-AN1304</f>
        <v>0</v>
      </c>
      <c r="AQ1304" s="80">
        <f>AD1304-AM1304-AO1304</f>
        <v>0</v>
      </c>
      <c r="AR1304" s="80">
        <f>IF(AM1304=0,0,AK1304-AN1304*AK1304/AM1304)</f>
        <v>0</v>
      </c>
      <c r="AS1304" s="80">
        <f>IF(AD1304-AM1304=0,0,(AJ1304-AK1304)-AO1304*(AJ1304-AK1304)/(AD1304-AM1304))</f>
        <v>0</v>
      </c>
      <c r="AT1304" s="80" t="str">
        <f>IF(AC1304=1,INT(B1304)+1,"")</f>
        <v/>
      </c>
      <c r="AU1304" s="80">
        <f>IF(AND(D1304="proMX",R1304="Cancelled"),0,1)</f>
        <v>1</v>
      </c>
      <c r="AV1304" s="80">
        <f>IF(AND(AB1304=1,AU1304=1),IF(COUNTIFS($D$5:D1303,D1304,$B$5:B1303,B1304,$Z$5:Z1303,Z1304,$AA$5:AA1303,AA1304,$F$5:F1303,F1304&amp;"",$AU$5:AU1303,1)&gt;0,1,0),0)</f>
        <v>0</v>
      </c>
      <c r="AW1304" s="80" t="str">
        <f>IF(AB1304=1,INT(B1304)*1440+Z1304,"")</f>
        <v/>
      </c>
      <c r="AX1304" s="80" t="str">
        <f>IF(AB1304=1,AW1304+AD1304,"")</f>
        <v/>
      </c>
      <c r="AY1304" s="80">
        <f>IF(AND(AB1304=1,AV1304=0,AU1304=1),1,0)</f>
        <v>0</v>
      </c>
      <c r="AZ1304" s="80">
        <f>IF(AY1304=1,COUNTIFS(R_Emp,D1304,R_SAbs,"&lt;"&amp;AX1304,R_EAbs,"&gt;"&amp;AW1304,R_OKey,1)-1,0)</f>
        <v>0</v>
      </c>
      <c r="BA1304" s="80">
        <f>IF(AY1304=1,COUNTIFS(R_Emp,"&lt;&gt;"&amp;D1304,R_SAbs,"&lt;"&amp;AX1304,R_EAbs,"&gt;"&amp;AW1304,R_OKey,1),0)</f>
        <v>0</v>
      </c>
      <c r="BB1304" s="80">
        <f>IF(AND(AB1304=1,D1304="proMX"),IF(AND(MOD(Z1304,CFG_BLK)=0,MOD(AA1304,CFG_BLK)=0,MOD(AG1304,CFG_BLK)=0,AG1304&gt;0),1,0),1)</f>
        <v>1</v>
      </c>
      <c r="BC1304" s="80" t="str">
        <f>IF(Y1304=0,"",IF(NOT(ISNUMBER(B1304)),"Falta fecha o fecha inválida",IF(D1304="","Falta empresa",IF(AND(D1304&lt;&gt;"Malcolm",D1304&lt;&gt;"proMX"),"Empresa inválida",IF(OR(INT(B1304)&lt;CFG_PSTART,INT(B1304)&gt;CFG_PEND),"Fecha fuera del período",IF(OR(NOT(ISNUMBER(Z1304)),NOT(ISNUMBER(AA1304))),"Falta hora inicio/fin o formato inválido",IF(AB1304=0,"Hora inicio = hora fin",IF(AE1304&lt;0,"Descanso inválido",IF(AE1304&gt;=AD1304,"Descanso ≥ duración",IF(AV1304=1,"Registro duplicado",IF(AZ1304&gt;0,"Se superpone con otro registro "&amp;D1304,IF(BB1304=0,"inicio, fin y duración neta deben ser múltiplos de "&amp;CFG_BLK&amp;" min",""))))))))))))</f>
        <v/>
      </c>
      <c r="BD1304" s="80">
        <f>IF(AND(Y1304=1,BC1304=""),1,0)</f>
        <v>0</v>
      </c>
      <c r="BE1304" s="80">
        <f>IF(AND(BD1304=1,AU1304=1),1,0)</f>
        <v>0</v>
      </c>
      <c r="BF1304" s="80" t="str">
        <f>IF(AND(D1304="proMX",BD1304=1),IF(R1304="","Draft",R1304),"")</f>
        <v/>
      </c>
      <c r="BG1304" s="80">
        <f>IF(BD1304=1,ROUND(AG1304/60,6),0)</f>
        <v>0</v>
      </c>
      <c r="BH1304" s="80">
        <f>IF(BE1304=1,ROUND(AG1304/60,6),0)</f>
        <v>0</v>
      </c>
      <c r="BI1304" s="80">
        <f>IF(BE1304=1,ROUND(AP1304/60,6),0)</f>
        <v>0</v>
      </c>
      <c r="BJ1304" s="80">
        <f>IF(BE1304=1,ROUND(AQ1304/60,6),0)</f>
        <v>0</v>
      </c>
      <c r="BK1304" s="80">
        <f>IF(BE1304=1,ROUND((AR1304+AS1304)/60,6),0)</f>
        <v>0</v>
      </c>
      <c r="BL1304" s="80">
        <f>ROUND(BH1304-BK1304,6)</f>
        <v>0</v>
      </c>
      <c r="BM1304" s="80">
        <f>IF(BE1304=1,ROUND(AR1304/60,6),0)</f>
        <v>0</v>
      </c>
      <c r="BN1304" s="80">
        <f>ROUND(BI1304-BM1304,6)</f>
        <v>0</v>
      </c>
      <c r="BO1304" s="80">
        <f>IF(BE1304=1,ROUND(AS1304/60,6),0)</f>
        <v>0</v>
      </c>
      <c r="BP1304" s="80">
        <f>ROUND(BJ1304-BO1304,6)</f>
        <v>0</v>
      </c>
      <c r="BQ1304" s="80">
        <f>IF(BE1304=1,AW1304,0)</f>
        <v>0</v>
      </c>
      <c r="BR1304" s="80">
        <f>IF(BE1304=1,AX1304,0)</f>
        <v>0</v>
      </c>
      <c r="BS1304" s="80">
        <f>IF(AND(BE1304=1,D1304="Malcolm",BA1304&gt;0),MIN(BH1304,SUMPRODUCT((R_Emp="proMX")*(R_EN&gt;0)*((R_EN-(R_EN&gt;BR1304)*(R_EN-BR1304))&gt;(R_SN+(R_SN&lt;BQ1304)*(BQ1304-R_SN)))*((R_EN-(R_EN&gt;BR1304)*(R_EN-BR1304))-(R_SN+(R_SN&lt;BQ1304)*(BQ1304-R_SN))))/60),0)</f>
        <v>0</v>
      </c>
      <c r="BT1304" s="80">
        <f>IF(AND(BE1304=1,D1304="proMX"),ROUND(BI1304*CFG_RATE+BJ1304*CFG_OTRATE,6),0)</f>
        <v>0</v>
      </c>
      <c r="BU1304" s="80">
        <f>IF(AND(BD1304=1,D1304="proMX"),ROUND(AG1304/CFG_BLK,6),0)</f>
        <v>0</v>
      </c>
      <c r="BV1304" s="80" t="str">
        <f>IF(BF1304="Approved",IF(ISNUMBER(T1304),INT(T1304),INT(B1304)),"")</f>
        <v/>
      </c>
      <c r="BW1304" s="80">
        <f>IF(ISNUMBER(B1304),IF(DB_MON="Todos",1,IF(AND(INT(B1304)&gt;=DB_MS,INT(B1304)&lt;=DB_ME),1,0)),0)</f>
        <v>0</v>
      </c>
      <c r="BX1304" s="80">
        <f>IF(DB_PROJ="Todos",1,IF(E1304&amp;""=DB_PROJ&amp;"",1,0))</f>
        <v>1</v>
      </c>
      <c r="BY1304" s="80">
        <f>BW1304*BX1304</f>
        <v>0</v>
      </c>
      <c r="BZ1304" s="80" t="str">
        <f>IF(Y1304=1,F1304&amp;IF(AND(F1304&amp;""&lt;&gt;"",E1304&amp;""&lt;&gt;"")," · ","")&amp;E1304,"")</f>
        <v/>
      </c>
      <c r="CA1304" s="80" t="str">
        <f>IF(AND(BD1304=1,E1304&amp;""&lt;&gt;""),IF(COUNTIFS($E$5:E1303,E1304,$BD$5:BD1303,1)=0,MAX($CA$5:CA1303)+1,""),"")</f>
        <v/>
      </c>
      <c r="CB1304" s="80" t="str">
        <f>IF(AND(BE1304=1,D1304="Malcolm",E1304&amp;""&lt;&gt;""),IF(COUNTIFS($D$5:D1303,"Malcolm",$E$5:E1303,E1304,$BE$5:BE1303,1)=0,MAX($CB$5:CB1303)+1,""),"")</f>
        <v/>
      </c>
      <c r="CC1304" s="80" t="str">
        <f>IF(AND(BD1304=1,D1304="proMX",E1304&amp;""&lt;&gt;""),IF(COUNTIFS($D$5:D1303,"proMX",$E$5:E1303,E1304,$BD$5:BD1303,1)=0,MAX($CC$5:CC1303)+1,""),"")</f>
        <v/>
      </c>
      <c r="CD1304" s="80" t="str">
        <f>IF(AND(BE1304=1,D1304="Malcolm",F1304&amp;""&lt;&gt;""),IF(COUNTIFS($D$5:D1303,"Malcolm",$F$5:F1303,F1304,$BE$5:BE1303,1)=0,MAX($CD$5:CD1303)+1,""),"")</f>
        <v/>
      </c>
      <c r="CE1304" s="80" t="str">
        <f>IF(AND(BD1304=1,D1304="proMX",F1304&amp;""&lt;&gt;""),IF(COUNTIFS($D$5:D1303,"proMX",$F$5:F1303,F1304,$BD$5:BD1303,1)=0,MAX($CE$5:CE1303)+1,""),"")</f>
        <v/>
      </c>
      <c r="CF1304" s="80" t="str">
        <f>IF(AND(D1304="proMX",BD1304=1),IF(OR(BF1304="Draft",BF1304="Submitted",BF1304="Returned",BF1304="Recall Requested"),MAX($CF$5:CF1303)+1,""),"")</f>
        <v/>
      </c>
      <c r="CG1304" s="80">
        <f>IF(BD1304=0,0,IF(D1304="Malcolm",1,MATCH(BF1304,{"Draft","Submitted","Approved","Returned","Recall Requested","Cancelled"},0)+1))</f>
        <v>0</v>
      </c>
      <c r="CH1304" s="80">
        <f>IF(AND(BF1304="Submitted",ISNUMBER(V1304)),IF(V1304&gt;CFG_MAXD,1,0),0)</f>
        <v>0</v>
      </c>
    </row>
    <row r="1305">
      <c r="A1305" s="71" t="str">
        <f>IF(Y1305=1,ROW()-5,"")</f>
        <v/>
      </c>
      <c r="B1305" s="72" t="n"/>
      <c r="C1305" s="71" t="str">
        <f>IF(ISNUMBER(B1305),CHOOSE(WEEKDAY(B1305,2),"Lun","Mar","Mié","Jue","Vie","Sáb","Dom"),"")</f>
        <v/>
      </c>
      <c r="D1305" s="73" t="n"/>
      <c r="E1305" s="74" t="n"/>
      <c r="F1305" s="74" t="n"/>
      <c r="G1305" s="74" t="n"/>
      <c r="H1305" s="75" t="n"/>
      <c r="I1305" s="75" t="n"/>
      <c r="J1305" s="76" t="n"/>
      <c r="K1305" s="77" t="str">
        <f>IF(AB1305=1,ROUND(AG1305/60,4),"")</f>
        <v/>
      </c>
      <c r="L1305" s="77" t="str">
        <f>IF(BD1305=1,ROUND(AP1305/60,4),"")</f>
        <v/>
      </c>
      <c r="M1305" s="77" t="str">
        <f>IF(BD1305=1,ROUND(AQ1305/60,4),"")</f>
        <v/>
      </c>
      <c r="N1305" s="71" t="str">
        <f>IF(AND(D1305="proMX",AB1305=1),ROUND(AG1305/CFG_BLK,2),"")</f>
        <v/>
      </c>
      <c r="O1305" s="77" t="str">
        <f>IF(D1305="proMX",IF(BD1305=1,ROUND(AG1305/60,4),0),"")</f>
        <v/>
      </c>
      <c r="P1305" s="78" t="str">
        <f>IF(Y1305=0,"",IF(BD1305=1,"OK",IF(D1305="proMX","Revisar bloques: ","Revisar: ")&amp;BC1305))</f>
        <v/>
      </c>
      <c r="Q1305" s="78" t="str">
        <f>IF(NOT(ISNUMBER(B1305)),"",IF(COUNTIFS(FER_F,INT(B1305))&gt;0,"Feriado"&amp;IF(AH1305=1," (laborable)"," (no laborable)"),IF(AH1305=1,"Laborable",IF(WEEKDAY(B1305,2)&gt;5,"Fin de semana","No laborable"))))</f>
        <v/>
      </c>
      <c r="R1305" s="73" t="n"/>
      <c r="S1305" s="72" t="n"/>
      <c r="T1305" s="72" t="n"/>
      <c r="U1305" s="74" t="n"/>
      <c r="V1305" s="79" t="str">
        <f>IF(AND(D1305="proMX",OR(R1305="Submitted",R1305="Recall Requested"),ISNUMBER(S1305)),CFG_TODAY-INT(S1305),"")</f>
        <v/>
      </c>
      <c r="W1305" s="78" t="str">
        <f>IF(BD1305=0,"",IF(BA1305&gt;0,"⚠ Se superpone con un registro de la otra empresa",IF(D1305="Malcolm",IF(COUNTA(R1305,S1305,T1305)&gt;0,"Estado/fechas proMX se ignoran en Malcolm",""),IF(BF1305="Cancelled","Cancelado: excluido de totales",IF(R1305="","Sin estado: se trata como Draft",IF(BF1305="Submitted",IF(ISNUMBER(V1305),IF(V1305&gt;CFG_MAXD,"⚠ "&amp;V1305&amp;" días en Submitted (máx. "&amp;CFG_MAXD&amp;")",""),"Falta fecha de envío"),IF(BF1305="Returned","⚠ Devuelto: corregir y reenviar",IF(BF1305="Recall Requested","Retirada solicitada: pendiente",IF(AND(BF1305="Approved",NOT(ISNUMBER(T1305))),"Falta fecha de aprobación",IF(AND(ISNUMBER(S1305),ISNUMBER(T1305),T1305&lt;S1305),"Aprobación anterior al envío","")))))))))</f>
        <v/>
      </c>
      <c r="Y1305" s="80">
        <f>IF(COUNTA(B1305,D1305,E1305,F1305,G1305,H1305,I1305,J1305,R1305,S1305,T1305)&gt;0,1,0)</f>
        <v>0</v>
      </c>
      <c r="Z1305" s="80" t="str">
        <f>IF(AND(ISNUMBER(H1305),H1305&gt;=0,H1305&lt;1),ROUND(H1305*1440,0),"")</f>
        <v/>
      </c>
      <c r="AA1305" s="80" t="str">
        <f>IF(AND(ISNUMBER(I1305),I1305&gt;=0,I1305&lt;1),ROUND(I1305*1440,0),"")</f>
        <v/>
      </c>
      <c r="AB1305" s="80">
        <f>IF(AND(ISNUMBER(B1305),D1305&lt;&gt;"",ISNUMBER(Z1305),ISNUMBER(AA1305)),IF(Z1305=AA1305,0,1),0)</f>
        <v>0</v>
      </c>
      <c r="AC1305" s="80">
        <f>IF(AB1305=1,IF(AA1305&lt;Z1305,1,0),0)</f>
        <v>0</v>
      </c>
      <c r="AD1305" s="80">
        <f>IF(AB1305=1,IF(AC1305=1,1440-Z1305+AA1305,AA1305-Z1305),0)</f>
        <v>0</v>
      </c>
      <c r="AE1305" s="80">
        <f>IF(J1305="",0,IF(ISNUMBER(J1305),J1305,-1))</f>
        <v>0</v>
      </c>
      <c r="AF1305" s="80">
        <f>MIN(MAX(0,AE1305),AD1305)</f>
        <v>0</v>
      </c>
      <c r="AG1305" s="80">
        <f>MAX(0,AD1305-MAX(0,AE1305))</f>
        <v>0</v>
      </c>
      <c r="AH1305" s="80">
        <f>IF(ISNUMBER(B1305),IF(AND(INDEX(CFG_WDAYS,WEEKDAY(INT(B1305),2))="Sí",IF(D1305="proMX",COUNTIFS(FER_F,INT(B1305),FER_NLP,"Sí"),COUNTIFS(FER_F,INT(B1305),FER_NLM,"Sí"))=0),1,0),0)</f>
        <v>0</v>
      </c>
      <c r="AI1305" s="80">
        <f>IF(AC1305=1,IF(AND(INDEX(CFG_WDAYS,WEEKDAY(INT(B1305)+1,2))="Sí",IF(D1305="proMX",COUNTIFS(FER_F,INT(B1305)+1,FER_NLP,"Sí"),COUNTIFS(FER_F,INT(B1305)+1,FER_NLM,"Sí"))=0),1,0),0)</f>
        <v>0</v>
      </c>
      <c r="AJ1305" s="80">
        <f>IF(AC1305=1,1440-Z1305,AD1305)</f>
        <v>0</v>
      </c>
      <c r="AK1305" s="80">
        <f>IF(AND(AB1305=1,AH1305=1),MAX(0,MIN(IF(AC1305=1,1440,AA1305),CFG_WEM)-MAX(Z1305,CFG_WSM)),0)</f>
        <v>0</v>
      </c>
      <c r="AL1305" s="80">
        <f>IF(AND(AC1305=1,AI1305=1),MAX(0,MIN(AA1305,CFG_WEM)-CFG_WSM),0)</f>
        <v>0</v>
      </c>
      <c r="AM1305" s="80">
        <f>AK1305+AL1305</f>
        <v>0</v>
      </c>
      <c r="AN1305" s="80">
        <f>IF(CFG_BRK="Proporcional",IF(AD1305=0,0,AF1305*AM1305/AD1305),IF(CFG_BRK="Extras primero",MIN(AM1305,MAX(0,AF1305-(AD1305-AM1305))),MIN(AF1305,AM1305)))</f>
        <v>0</v>
      </c>
      <c r="AO1305" s="80">
        <f>AF1305-AN1305</f>
        <v>0</v>
      </c>
      <c r="AP1305" s="80">
        <f>AM1305-AN1305</f>
        <v>0</v>
      </c>
      <c r="AQ1305" s="80">
        <f>AD1305-AM1305-AO1305</f>
        <v>0</v>
      </c>
      <c r="AR1305" s="80">
        <f>IF(AM1305=0,0,AK1305-AN1305*AK1305/AM1305)</f>
        <v>0</v>
      </c>
      <c r="AS1305" s="80">
        <f>IF(AD1305-AM1305=0,0,(AJ1305-AK1305)-AO1305*(AJ1305-AK1305)/(AD1305-AM1305))</f>
        <v>0</v>
      </c>
      <c r="AT1305" s="80" t="str">
        <f>IF(AC1305=1,INT(B1305)+1,"")</f>
        <v/>
      </c>
      <c r="AU1305" s="80">
        <f>IF(AND(D1305="proMX",R1305="Cancelled"),0,1)</f>
        <v>1</v>
      </c>
      <c r="AV1305" s="80">
        <f>IF(AND(AB1305=1,AU1305=1),IF(COUNTIFS($D$5:D1304,D1305,$B$5:B1304,B1305,$Z$5:Z1304,Z1305,$AA$5:AA1304,AA1305,$F$5:F1304,F1305&amp;"",$AU$5:AU1304,1)&gt;0,1,0),0)</f>
        <v>0</v>
      </c>
      <c r="AW1305" s="80" t="str">
        <f>IF(AB1305=1,INT(B1305)*1440+Z1305,"")</f>
        <v/>
      </c>
      <c r="AX1305" s="80" t="str">
        <f>IF(AB1305=1,AW1305+AD1305,"")</f>
        <v/>
      </c>
      <c r="AY1305" s="80">
        <f>IF(AND(AB1305=1,AV1305=0,AU1305=1),1,0)</f>
        <v>0</v>
      </c>
      <c r="AZ1305" s="80">
        <f>IF(AY1305=1,COUNTIFS(R_Emp,D1305,R_SAbs,"&lt;"&amp;AX1305,R_EAbs,"&gt;"&amp;AW1305,R_OKey,1)-1,0)</f>
        <v>0</v>
      </c>
      <c r="BA1305" s="80">
        <f>IF(AY1305=1,COUNTIFS(R_Emp,"&lt;&gt;"&amp;D1305,R_SAbs,"&lt;"&amp;AX1305,R_EAbs,"&gt;"&amp;AW1305,R_OKey,1),0)</f>
        <v>0</v>
      </c>
      <c r="BB1305" s="80">
        <f>IF(AND(AB1305=1,D1305="proMX"),IF(AND(MOD(Z1305,CFG_BLK)=0,MOD(AA1305,CFG_BLK)=0,MOD(AG1305,CFG_BLK)=0,AG1305&gt;0),1,0),1)</f>
        <v>1</v>
      </c>
      <c r="BC1305" s="80" t="str">
        <f>IF(Y1305=0,"",IF(NOT(ISNUMBER(B1305)),"Falta fecha o fecha inválida",IF(D1305="","Falta empresa",IF(AND(D1305&lt;&gt;"Malcolm",D1305&lt;&gt;"proMX"),"Empresa inválida",IF(OR(INT(B1305)&lt;CFG_PSTART,INT(B1305)&gt;CFG_PEND),"Fecha fuera del período",IF(OR(NOT(ISNUMBER(Z1305)),NOT(ISNUMBER(AA1305))),"Falta hora inicio/fin o formato inválido",IF(AB1305=0,"Hora inicio = hora fin",IF(AE1305&lt;0,"Descanso inválido",IF(AE1305&gt;=AD1305,"Descanso ≥ duración",IF(AV1305=1,"Registro duplicado",IF(AZ1305&gt;0,"Se superpone con otro registro "&amp;D1305,IF(BB1305=0,"inicio, fin y duración neta deben ser múltiplos de "&amp;CFG_BLK&amp;" min",""))))))))))))</f>
        <v/>
      </c>
      <c r="BD1305" s="80">
        <f>IF(AND(Y1305=1,BC1305=""),1,0)</f>
        <v>0</v>
      </c>
      <c r="BE1305" s="80">
        <f>IF(AND(BD1305=1,AU1305=1),1,0)</f>
        <v>0</v>
      </c>
      <c r="BF1305" s="80" t="str">
        <f>IF(AND(D1305="proMX",BD1305=1),IF(R1305="","Draft",R1305),"")</f>
        <v/>
      </c>
      <c r="BG1305" s="80">
        <f>IF(BD1305=1,ROUND(AG1305/60,6),0)</f>
        <v>0</v>
      </c>
      <c r="BH1305" s="80">
        <f>IF(BE1305=1,ROUND(AG1305/60,6),0)</f>
        <v>0</v>
      </c>
      <c r="BI1305" s="80">
        <f>IF(BE1305=1,ROUND(AP1305/60,6),0)</f>
        <v>0</v>
      </c>
      <c r="BJ1305" s="80">
        <f>IF(BE1305=1,ROUND(AQ1305/60,6),0)</f>
        <v>0</v>
      </c>
      <c r="BK1305" s="80">
        <f>IF(BE1305=1,ROUND((AR1305+AS1305)/60,6),0)</f>
        <v>0</v>
      </c>
      <c r="BL1305" s="80">
        <f>ROUND(BH1305-BK1305,6)</f>
        <v>0</v>
      </c>
      <c r="BM1305" s="80">
        <f>IF(BE1305=1,ROUND(AR1305/60,6),0)</f>
        <v>0</v>
      </c>
      <c r="BN1305" s="80">
        <f>ROUND(BI1305-BM1305,6)</f>
        <v>0</v>
      </c>
      <c r="BO1305" s="80">
        <f>IF(BE1305=1,ROUND(AS1305/60,6),0)</f>
        <v>0</v>
      </c>
      <c r="BP1305" s="80">
        <f>ROUND(BJ1305-BO1305,6)</f>
        <v>0</v>
      </c>
      <c r="BQ1305" s="80">
        <f>IF(BE1305=1,AW1305,0)</f>
        <v>0</v>
      </c>
      <c r="BR1305" s="80">
        <f>IF(BE1305=1,AX1305,0)</f>
        <v>0</v>
      </c>
      <c r="BS1305" s="80">
        <f>IF(AND(BE1305=1,D1305="Malcolm",BA1305&gt;0),MIN(BH1305,SUMPRODUCT((R_Emp="proMX")*(R_EN&gt;0)*((R_EN-(R_EN&gt;BR1305)*(R_EN-BR1305))&gt;(R_SN+(R_SN&lt;BQ1305)*(BQ1305-R_SN)))*((R_EN-(R_EN&gt;BR1305)*(R_EN-BR1305))-(R_SN+(R_SN&lt;BQ1305)*(BQ1305-R_SN))))/60),0)</f>
        <v>0</v>
      </c>
      <c r="BT1305" s="80">
        <f>IF(AND(BE1305=1,D1305="proMX"),ROUND(BI1305*CFG_RATE+BJ1305*CFG_OTRATE,6),0)</f>
        <v>0</v>
      </c>
      <c r="BU1305" s="80">
        <f>IF(AND(BD1305=1,D1305="proMX"),ROUND(AG1305/CFG_BLK,6),0)</f>
        <v>0</v>
      </c>
      <c r="BV1305" s="80" t="str">
        <f>IF(BF1305="Approved",IF(ISNUMBER(T1305),INT(T1305),INT(B1305)),"")</f>
        <v/>
      </c>
      <c r="BW1305" s="80">
        <f>IF(ISNUMBER(B1305),IF(DB_MON="Todos",1,IF(AND(INT(B1305)&gt;=DB_MS,INT(B1305)&lt;=DB_ME),1,0)),0)</f>
        <v>0</v>
      </c>
      <c r="BX1305" s="80">
        <f>IF(DB_PROJ="Todos",1,IF(E1305&amp;""=DB_PROJ&amp;"",1,0))</f>
        <v>1</v>
      </c>
      <c r="BY1305" s="80">
        <f>BW1305*BX1305</f>
        <v>0</v>
      </c>
      <c r="BZ1305" s="80" t="str">
        <f>IF(Y1305=1,F1305&amp;IF(AND(F1305&amp;""&lt;&gt;"",E1305&amp;""&lt;&gt;"")," · ","")&amp;E1305,"")</f>
        <v/>
      </c>
      <c r="CA1305" s="80" t="str">
        <f>IF(AND(BD1305=1,E1305&amp;""&lt;&gt;""),IF(COUNTIFS($E$5:E1304,E1305,$BD$5:BD1304,1)=0,MAX($CA$5:CA1304)+1,""),"")</f>
        <v/>
      </c>
      <c r="CB1305" s="80" t="str">
        <f>IF(AND(BE1305=1,D1305="Malcolm",E1305&amp;""&lt;&gt;""),IF(COUNTIFS($D$5:D1304,"Malcolm",$E$5:E1304,E1305,$BE$5:BE1304,1)=0,MAX($CB$5:CB1304)+1,""),"")</f>
        <v/>
      </c>
      <c r="CC1305" s="80" t="str">
        <f>IF(AND(BD1305=1,D1305="proMX",E1305&amp;""&lt;&gt;""),IF(COUNTIFS($D$5:D1304,"proMX",$E$5:E1304,E1305,$BD$5:BD1304,1)=0,MAX($CC$5:CC1304)+1,""),"")</f>
        <v/>
      </c>
      <c r="CD1305" s="80" t="str">
        <f>IF(AND(BE1305=1,D1305="Malcolm",F1305&amp;""&lt;&gt;""),IF(COUNTIFS($D$5:D1304,"Malcolm",$F$5:F1304,F1305,$BE$5:BE1304,1)=0,MAX($CD$5:CD1304)+1,""),"")</f>
        <v/>
      </c>
      <c r="CE1305" s="80" t="str">
        <f>IF(AND(BD1305=1,D1305="proMX",F1305&amp;""&lt;&gt;""),IF(COUNTIFS($D$5:D1304,"proMX",$F$5:F1304,F1305,$BD$5:BD1304,1)=0,MAX($CE$5:CE1304)+1,""),"")</f>
        <v/>
      </c>
      <c r="CF1305" s="80" t="str">
        <f>IF(AND(D1305="proMX",BD1305=1),IF(OR(BF1305="Draft",BF1305="Submitted",BF1305="Returned",BF1305="Recall Requested"),MAX($CF$5:CF1304)+1,""),"")</f>
        <v/>
      </c>
      <c r="CG1305" s="80">
        <f>IF(BD1305=0,0,IF(D1305="Malcolm",1,MATCH(BF1305,{"Draft","Submitted","Approved","Returned","Recall Requested","Cancelled"},0)+1))</f>
        <v>0</v>
      </c>
      <c r="CH1305" s="80">
        <f>IF(AND(BF1305="Submitted",ISNUMBER(V1305)),IF(V1305&gt;CFG_MAXD,1,0),0)</f>
        <v>0</v>
      </c>
    </row>
    <row r="1306">
      <c r="A1306" s="71" t="str">
        <f>IF(Y1306=1,ROW()-5,"")</f>
        <v/>
      </c>
      <c r="B1306" s="72" t="n"/>
      <c r="C1306" s="71" t="str">
        <f>IF(ISNUMBER(B1306),CHOOSE(WEEKDAY(B1306,2),"Lun","Mar","Mié","Jue","Vie","Sáb","Dom"),"")</f>
        <v/>
      </c>
      <c r="D1306" s="73" t="n"/>
      <c r="E1306" s="74" t="n"/>
      <c r="F1306" s="74" t="n"/>
      <c r="G1306" s="74" t="n"/>
      <c r="H1306" s="75" t="n"/>
      <c r="I1306" s="75" t="n"/>
      <c r="J1306" s="76" t="n"/>
      <c r="K1306" s="77" t="str">
        <f>IF(AB1306=1,ROUND(AG1306/60,4),"")</f>
        <v/>
      </c>
      <c r="L1306" s="77" t="str">
        <f>IF(BD1306=1,ROUND(AP1306/60,4),"")</f>
        <v/>
      </c>
      <c r="M1306" s="77" t="str">
        <f>IF(BD1306=1,ROUND(AQ1306/60,4),"")</f>
        <v/>
      </c>
      <c r="N1306" s="71" t="str">
        <f>IF(AND(D1306="proMX",AB1306=1),ROUND(AG1306/CFG_BLK,2),"")</f>
        <v/>
      </c>
      <c r="O1306" s="77" t="str">
        <f>IF(D1306="proMX",IF(BD1306=1,ROUND(AG1306/60,4),0),"")</f>
        <v/>
      </c>
      <c r="P1306" s="78" t="str">
        <f>IF(Y1306=0,"",IF(BD1306=1,"OK",IF(D1306="proMX","Revisar bloques: ","Revisar: ")&amp;BC1306))</f>
        <v/>
      </c>
      <c r="Q1306" s="78" t="str">
        <f>IF(NOT(ISNUMBER(B1306)),"",IF(COUNTIFS(FER_F,INT(B1306))&gt;0,"Feriado"&amp;IF(AH1306=1," (laborable)"," (no laborable)"),IF(AH1306=1,"Laborable",IF(WEEKDAY(B1306,2)&gt;5,"Fin de semana","No laborable"))))</f>
        <v/>
      </c>
      <c r="R1306" s="73" t="n"/>
      <c r="S1306" s="72" t="n"/>
      <c r="T1306" s="72" t="n"/>
      <c r="U1306" s="74" t="n"/>
      <c r="V1306" s="79" t="str">
        <f>IF(AND(D1306="proMX",OR(R1306="Submitted",R1306="Recall Requested"),ISNUMBER(S1306)),CFG_TODAY-INT(S1306),"")</f>
        <v/>
      </c>
      <c r="W1306" s="78" t="str">
        <f>IF(BD1306=0,"",IF(BA1306&gt;0,"⚠ Se superpone con un registro de la otra empresa",IF(D1306="Malcolm",IF(COUNTA(R1306,S1306,T1306)&gt;0,"Estado/fechas proMX se ignoran en Malcolm",""),IF(BF1306="Cancelled","Cancelado: excluido de totales",IF(R1306="","Sin estado: se trata como Draft",IF(BF1306="Submitted",IF(ISNUMBER(V1306),IF(V1306&gt;CFG_MAXD,"⚠ "&amp;V1306&amp;" días en Submitted (máx. "&amp;CFG_MAXD&amp;")",""),"Falta fecha de envío"),IF(BF1306="Returned","⚠ Devuelto: corregir y reenviar",IF(BF1306="Recall Requested","Retirada solicitada: pendiente",IF(AND(BF1306="Approved",NOT(ISNUMBER(T1306))),"Falta fecha de aprobación",IF(AND(ISNUMBER(S1306),ISNUMBER(T1306),T1306&lt;S1306),"Aprobación anterior al envío","")))))))))</f>
        <v/>
      </c>
      <c r="Y1306" s="80">
        <f>IF(COUNTA(B1306,D1306,E1306,F1306,G1306,H1306,I1306,J1306,R1306,S1306,T1306)&gt;0,1,0)</f>
        <v>0</v>
      </c>
      <c r="Z1306" s="80" t="str">
        <f>IF(AND(ISNUMBER(H1306),H1306&gt;=0,H1306&lt;1),ROUND(H1306*1440,0),"")</f>
        <v/>
      </c>
      <c r="AA1306" s="80" t="str">
        <f>IF(AND(ISNUMBER(I1306),I1306&gt;=0,I1306&lt;1),ROUND(I1306*1440,0),"")</f>
        <v/>
      </c>
      <c r="AB1306" s="80">
        <f>IF(AND(ISNUMBER(B1306),D1306&lt;&gt;"",ISNUMBER(Z1306),ISNUMBER(AA1306)),IF(Z1306=AA1306,0,1),0)</f>
        <v>0</v>
      </c>
      <c r="AC1306" s="80">
        <f>IF(AB1306=1,IF(AA1306&lt;Z1306,1,0),0)</f>
        <v>0</v>
      </c>
      <c r="AD1306" s="80">
        <f>IF(AB1306=1,IF(AC1306=1,1440-Z1306+AA1306,AA1306-Z1306),0)</f>
        <v>0</v>
      </c>
      <c r="AE1306" s="80">
        <f>IF(J1306="",0,IF(ISNUMBER(J1306),J1306,-1))</f>
        <v>0</v>
      </c>
      <c r="AF1306" s="80">
        <f>MIN(MAX(0,AE1306),AD1306)</f>
        <v>0</v>
      </c>
      <c r="AG1306" s="80">
        <f>MAX(0,AD1306-MAX(0,AE1306))</f>
        <v>0</v>
      </c>
      <c r="AH1306" s="80">
        <f>IF(ISNUMBER(B1306),IF(AND(INDEX(CFG_WDAYS,WEEKDAY(INT(B1306),2))="Sí",IF(D1306="proMX",COUNTIFS(FER_F,INT(B1306),FER_NLP,"Sí"),COUNTIFS(FER_F,INT(B1306),FER_NLM,"Sí"))=0),1,0),0)</f>
        <v>0</v>
      </c>
      <c r="AI1306" s="80">
        <f>IF(AC1306=1,IF(AND(INDEX(CFG_WDAYS,WEEKDAY(INT(B1306)+1,2))="Sí",IF(D1306="proMX",COUNTIFS(FER_F,INT(B1306)+1,FER_NLP,"Sí"),COUNTIFS(FER_F,INT(B1306)+1,FER_NLM,"Sí"))=0),1,0),0)</f>
        <v>0</v>
      </c>
      <c r="AJ1306" s="80">
        <f>IF(AC1306=1,1440-Z1306,AD1306)</f>
        <v>0</v>
      </c>
      <c r="AK1306" s="80">
        <f>IF(AND(AB1306=1,AH1306=1),MAX(0,MIN(IF(AC1306=1,1440,AA1306),CFG_WEM)-MAX(Z1306,CFG_WSM)),0)</f>
        <v>0</v>
      </c>
      <c r="AL1306" s="80">
        <f>IF(AND(AC1306=1,AI1306=1),MAX(0,MIN(AA1306,CFG_WEM)-CFG_WSM),0)</f>
        <v>0</v>
      </c>
      <c r="AM1306" s="80">
        <f>AK1306+AL1306</f>
        <v>0</v>
      </c>
      <c r="AN1306" s="80">
        <f>IF(CFG_BRK="Proporcional",IF(AD1306=0,0,AF1306*AM1306/AD1306),IF(CFG_BRK="Extras primero",MIN(AM1306,MAX(0,AF1306-(AD1306-AM1306))),MIN(AF1306,AM1306)))</f>
        <v>0</v>
      </c>
      <c r="AO1306" s="80">
        <f>AF1306-AN1306</f>
        <v>0</v>
      </c>
      <c r="AP1306" s="80">
        <f>AM1306-AN1306</f>
        <v>0</v>
      </c>
      <c r="AQ1306" s="80">
        <f>AD1306-AM1306-AO1306</f>
        <v>0</v>
      </c>
      <c r="AR1306" s="80">
        <f>IF(AM1306=0,0,AK1306-AN1306*AK1306/AM1306)</f>
        <v>0</v>
      </c>
      <c r="AS1306" s="80">
        <f>IF(AD1306-AM1306=0,0,(AJ1306-AK1306)-AO1306*(AJ1306-AK1306)/(AD1306-AM1306))</f>
        <v>0</v>
      </c>
      <c r="AT1306" s="80" t="str">
        <f>IF(AC1306=1,INT(B1306)+1,"")</f>
        <v/>
      </c>
      <c r="AU1306" s="80">
        <f>IF(AND(D1306="proMX",R1306="Cancelled"),0,1)</f>
        <v>1</v>
      </c>
      <c r="AV1306" s="80">
        <f>IF(AND(AB1306=1,AU1306=1),IF(COUNTIFS($D$5:D1305,D1306,$B$5:B1305,B1306,$Z$5:Z1305,Z1306,$AA$5:AA1305,AA1306,$F$5:F1305,F1306&amp;"",$AU$5:AU1305,1)&gt;0,1,0),0)</f>
        <v>0</v>
      </c>
      <c r="AW1306" s="80" t="str">
        <f>IF(AB1306=1,INT(B1306)*1440+Z1306,"")</f>
        <v/>
      </c>
      <c r="AX1306" s="80" t="str">
        <f>IF(AB1306=1,AW1306+AD1306,"")</f>
        <v/>
      </c>
      <c r="AY1306" s="80">
        <f>IF(AND(AB1306=1,AV1306=0,AU1306=1),1,0)</f>
        <v>0</v>
      </c>
      <c r="AZ1306" s="80">
        <f>IF(AY1306=1,COUNTIFS(R_Emp,D1306,R_SAbs,"&lt;"&amp;AX1306,R_EAbs,"&gt;"&amp;AW1306,R_OKey,1)-1,0)</f>
        <v>0</v>
      </c>
      <c r="BA1306" s="80">
        <f>IF(AY1306=1,COUNTIFS(R_Emp,"&lt;&gt;"&amp;D1306,R_SAbs,"&lt;"&amp;AX1306,R_EAbs,"&gt;"&amp;AW1306,R_OKey,1),0)</f>
        <v>0</v>
      </c>
      <c r="BB1306" s="80">
        <f>IF(AND(AB1306=1,D1306="proMX"),IF(AND(MOD(Z1306,CFG_BLK)=0,MOD(AA1306,CFG_BLK)=0,MOD(AG1306,CFG_BLK)=0,AG1306&gt;0),1,0),1)</f>
        <v>1</v>
      </c>
      <c r="BC1306" s="80" t="str">
        <f>IF(Y1306=0,"",IF(NOT(ISNUMBER(B1306)),"Falta fecha o fecha inválida",IF(D1306="","Falta empresa",IF(AND(D1306&lt;&gt;"Malcolm",D1306&lt;&gt;"proMX"),"Empresa inválida",IF(OR(INT(B1306)&lt;CFG_PSTART,INT(B1306)&gt;CFG_PEND),"Fecha fuera del período",IF(OR(NOT(ISNUMBER(Z1306)),NOT(ISNUMBER(AA1306))),"Falta hora inicio/fin o formato inválido",IF(AB1306=0,"Hora inicio = hora fin",IF(AE1306&lt;0,"Descanso inválido",IF(AE1306&gt;=AD1306,"Descanso ≥ duración",IF(AV1306=1,"Registro duplicado",IF(AZ1306&gt;0,"Se superpone con otro registro "&amp;D1306,IF(BB1306=0,"inicio, fin y duración neta deben ser múltiplos de "&amp;CFG_BLK&amp;" min",""))))))))))))</f>
        <v/>
      </c>
      <c r="BD1306" s="80">
        <f>IF(AND(Y1306=1,BC1306=""),1,0)</f>
        <v>0</v>
      </c>
      <c r="BE1306" s="80">
        <f>IF(AND(BD1306=1,AU1306=1),1,0)</f>
        <v>0</v>
      </c>
      <c r="BF1306" s="80" t="str">
        <f>IF(AND(D1306="proMX",BD1306=1),IF(R1306="","Draft",R1306),"")</f>
        <v/>
      </c>
      <c r="BG1306" s="80">
        <f>IF(BD1306=1,ROUND(AG1306/60,6),0)</f>
        <v>0</v>
      </c>
      <c r="BH1306" s="80">
        <f>IF(BE1306=1,ROUND(AG1306/60,6),0)</f>
        <v>0</v>
      </c>
      <c r="BI1306" s="80">
        <f>IF(BE1306=1,ROUND(AP1306/60,6),0)</f>
        <v>0</v>
      </c>
      <c r="BJ1306" s="80">
        <f>IF(BE1306=1,ROUND(AQ1306/60,6),0)</f>
        <v>0</v>
      </c>
      <c r="BK1306" s="80">
        <f>IF(BE1306=1,ROUND((AR1306+AS1306)/60,6),0)</f>
        <v>0</v>
      </c>
      <c r="BL1306" s="80">
        <f>ROUND(BH1306-BK1306,6)</f>
        <v>0</v>
      </c>
      <c r="BM1306" s="80">
        <f>IF(BE1306=1,ROUND(AR1306/60,6),0)</f>
        <v>0</v>
      </c>
      <c r="BN1306" s="80">
        <f>ROUND(BI1306-BM1306,6)</f>
        <v>0</v>
      </c>
      <c r="BO1306" s="80">
        <f>IF(BE1306=1,ROUND(AS1306/60,6),0)</f>
        <v>0</v>
      </c>
      <c r="BP1306" s="80">
        <f>ROUND(BJ1306-BO1306,6)</f>
        <v>0</v>
      </c>
      <c r="BQ1306" s="80">
        <f>IF(BE1306=1,AW1306,0)</f>
        <v>0</v>
      </c>
      <c r="BR1306" s="80">
        <f>IF(BE1306=1,AX1306,0)</f>
        <v>0</v>
      </c>
      <c r="BS1306" s="80">
        <f>IF(AND(BE1306=1,D1306="Malcolm",BA1306&gt;0),MIN(BH1306,SUMPRODUCT((R_Emp="proMX")*(R_EN&gt;0)*((R_EN-(R_EN&gt;BR1306)*(R_EN-BR1306))&gt;(R_SN+(R_SN&lt;BQ1306)*(BQ1306-R_SN)))*((R_EN-(R_EN&gt;BR1306)*(R_EN-BR1306))-(R_SN+(R_SN&lt;BQ1306)*(BQ1306-R_SN))))/60),0)</f>
        <v>0</v>
      </c>
      <c r="BT1306" s="80">
        <f>IF(AND(BE1306=1,D1306="proMX"),ROUND(BI1306*CFG_RATE+BJ1306*CFG_OTRATE,6),0)</f>
        <v>0</v>
      </c>
      <c r="BU1306" s="80">
        <f>IF(AND(BD1306=1,D1306="proMX"),ROUND(AG1306/CFG_BLK,6),0)</f>
        <v>0</v>
      </c>
      <c r="BV1306" s="80" t="str">
        <f>IF(BF1306="Approved",IF(ISNUMBER(T1306),INT(T1306),INT(B1306)),"")</f>
        <v/>
      </c>
      <c r="BW1306" s="80">
        <f>IF(ISNUMBER(B1306),IF(DB_MON="Todos",1,IF(AND(INT(B1306)&gt;=DB_MS,INT(B1306)&lt;=DB_ME),1,0)),0)</f>
        <v>0</v>
      </c>
      <c r="BX1306" s="80">
        <f>IF(DB_PROJ="Todos",1,IF(E1306&amp;""=DB_PROJ&amp;"",1,0))</f>
        <v>1</v>
      </c>
      <c r="BY1306" s="80">
        <f>BW1306*BX1306</f>
        <v>0</v>
      </c>
      <c r="BZ1306" s="80" t="str">
        <f>IF(Y1306=1,F1306&amp;IF(AND(F1306&amp;""&lt;&gt;"",E1306&amp;""&lt;&gt;"")," · ","")&amp;E1306,"")</f>
        <v/>
      </c>
      <c r="CA1306" s="80" t="str">
        <f>IF(AND(BD1306=1,E1306&amp;""&lt;&gt;""),IF(COUNTIFS($E$5:E1305,E1306,$BD$5:BD1305,1)=0,MAX($CA$5:CA1305)+1,""),"")</f>
        <v/>
      </c>
      <c r="CB1306" s="80" t="str">
        <f>IF(AND(BE1306=1,D1306="Malcolm",E1306&amp;""&lt;&gt;""),IF(COUNTIFS($D$5:D1305,"Malcolm",$E$5:E1305,E1306,$BE$5:BE1305,1)=0,MAX($CB$5:CB1305)+1,""),"")</f>
        <v/>
      </c>
      <c r="CC1306" s="80" t="str">
        <f>IF(AND(BD1306=1,D1306="proMX",E1306&amp;""&lt;&gt;""),IF(COUNTIFS($D$5:D1305,"proMX",$E$5:E1305,E1306,$BD$5:BD1305,1)=0,MAX($CC$5:CC1305)+1,""),"")</f>
        <v/>
      </c>
      <c r="CD1306" s="80" t="str">
        <f>IF(AND(BE1306=1,D1306="Malcolm",F1306&amp;""&lt;&gt;""),IF(COUNTIFS($D$5:D1305,"Malcolm",$F$5:F1305,F1306,$BE$5:BE1305,1)=0,MAX($CD$5:CD1305)+1,""),"")</f>
        <v/>
      </c>
      <c r="CE1306" s="80" t="str">
        <f>IF(AND(BD1306=1,D1306="proMX",F1306&amp;""&lt;&gt;""),IF(COUNTIFS($D$5:D1305,"proMX",$F$5:F1305,F1306,$BD$5:BD1305,1)=0,MAX($CE$5:CE1305)+1,""),"")</f>
        <v/>
      </c>
      <c r="CF1306" s="80" t="str">
        <f>IF(AND(D1306="proMX",BD1306=1),IF(OR(BF1306="Draft",BF1306="Submitted",BF1306="Returned",BF1306="Recall Requested"),MAX($CF$5:CF1305)+1,""),"")</f>
        <v/>
      </c>
      <c r="CG1306" s="80">
        <f>IF(BD1306=0,0,IF(D1306="Malcolm",1,MATCH(BF1306,{"Draft","Submitted","Approved","Returned","Recall Requested","Cancelled"},0)+1))</f>
        <v>0</v>
      </c>
      <c r="CH1306" s="80">
        <f>IF(AND(BF1306="Submitted",ISNUMBER(V1306)),IF(V1306&gt;CFG_MAXD,1,0),0)</f>
        <v>0</v>
      </c>
    </row>
    <row r="1307">
      <c r="A1307" s="71" t="str">
        <f>IF(Y1307=1,ROW()-5,"")</f>
        <v/>
      </c>
      <c r="B1307" s="72" t="n"/>
      <c r="C1307" s="71" t="str">
        <f>IF(ISNUMBER(B1307),CHOOSE(WEEKDAY(B1307,2),"Lun","Mar","Mié","Jue","Vie","Sáb","Dom"),"")</f>
        <v/>
      </c>
      <c r="D1307" s="73" t="n"/>
      <c r="E1307" s="74" t="n"/>
      <c r="F1307" s="74" t="n"/>
      <c r="G1307" s="74" t="n"/>
      <c r="H1307" s="75" t="n"/>
      <c r="I1307" s="75" t="n"/>
      <c r="J1307" s="76" t="n"/>
      <c r="K1307" s="77" t="str">
        <f>IF(AB1307=1,ROUND(AG1307/60,4),"")</f>
        <v/>
      </c>
      <c r="L1307" s="77" t="str">
        <f>IF(BD1307=1,ROUND(AP1307/60,4),"")</f>
        <v/>
      </c>
      <c r="M1307" s="77" t="str">
        <f>IF(BD1307=1,ROUND(AQ1307/60,4),"")</f>
        <v/>
      </c>
      <c r="N1307" s="71" t="str">
        <f>IF(AND(D1307="proMX",AB1307=1),ROUND(AG1307/CFG_BLK,2),"")</f>
        <v/>
      </c>
      <c r="O1307" s="77" t="str">
        <f>IF(D1307="proMX",IF(BD1307=1,ROUND(AG1307/60,4),0),"")</f>
        <v/>
      </c>
      <c r="P1307" s="78" t="str">
        <f>IF(Y1307=0,"",IF(BD1307=1,"OK",IF(D1307="proMX","Revisar bloques: ","Revisar: ")&amp;BC1307))</f>
        <v/>
      </c>
      <c r="Q1307" s="78" t="str">
        <f>IF(NOT(ISNUMBER(B1307)),"",IF(COUNTIFS(FER_F,INT(B1307))&gt;0,"Feriado"&amp;IF(AH1307=1," (laborable)"," (no laborable)"),IF(AH1307=1,"Laborable",IF(WEEKDAY(B1307,2)&gt;5,"Fin de semana","No laborable"))))</f>
        <v/>
      </c>
      <c r="R1307" s="73" t="n"/>
      <c r="S1307" s="72" t="n"/>
      <c r="T1307" s="72" t="n"/>
      <c r="U1307" s="74" t="n"/>
      <c r="V1307" s="79" t="str">
        <f>IF(AND(D1307="proMX",OR(R1307="Submitted",R1307="Recall Requested"),ISNUMBER(S1307)),CFG_TODAY-INT(S1307),"")</f>
        <v/>
      </c>
      <c r="W1307" s="78" t="str">
        <f>IF(BD1307=0,"",IF(BA1307&gt;0,"⚠ Se superpone con un registro de la otra empresa",IF(D1307="Malcolm",IF(COUNTA(R1307,S1307,T1307)&gt;0,"Estado/fechas proMX se ignoran en Malcolm",""),IF(BF1307="Cancelled","Cancelado: excluido de totales",IF(R1307="","Sin estado: se trata como Draft",IF(BF1307="Submitted",IF(ISNUMBER(V1307),IF(V1307&gt;CFG_MAXD,"⚠ "&amp;V1307&amp;" días en Submitted (máx. "&amp;CFG_MAXD&amp;")",""),"Falta fecha de envío"),IF(BF1307="Returned","⚠ Devuelto: corregir y reenviar",IF(BF1307="Recall Requested","Retirada solicitada: pendiente",IF(AND(BF1307="Approved",NOT(ISNUMBER(T1307))),"Falta fecha de aprobación",IF(AND(ISNUMBER(S1307),ISNUMBER(T1307),T1307&lt;S1307),"Aprobación anterior al envío","")))))))))</f>
        <v/>
      </c>
      <c r="Y1307" s="80">
        <f>IF(COUNTA(B1307,D1307,E1307,F1307,G1307,H1307,I1307,J1307,R1307,S1307,T1307)&gt;0,1,0)</f>
        <v>0</v>
      </c>
      <c r="Z1307" s="80" t="str">
        <f>IF(AND(ISNUMBER(H1307),H1307&gt;=0,H1307&lt;1),ROUND(H1307*1440,0),"")</f>
        <v/>
      </c>
      <c r="AA1307" s="80" t="str">
        <f>IF(AND(ISNUMBER(I1307),I1307&gt;=0,I1307&lt;1),ROUND(I1307*1440,0),"")</f>
        <v/>
      </c>
      <c r="AB1307" s="80">
        <f>IF(AND(ISNUMBER(B1307),D1307&lt;&gt;"",ISNUMBER(Z1307),ISNUMBER(AA1307)),IF(Z1307=AA1307,0,1),0)</f>
        <v>0</v>
      </c>
      <c r="AC1307" s="80">
        <f>IF(AB1307=1,IF(AA1307&lt;Z1307,1,0),0)</f>
        <v>0</v>
      </c>
      <c r="AD1307" s="80">
        <f>IF(AB1307=1,IF(AC1307=1,1440-Z1307+AA1307,AA1307-Z1307),0)</f>
        <v>0</v>
      </c>
      <c r="AE1307" s="80">
        <f>IF(J1307="",0,IF(ISNUMBER(J1307),J1307,-1))</f>
        <v>0</v>
      </c>
      <c r="AF1307" s="80">
        <f>MIN(MAX(0,AE1307),AD1307)</f>
        <v>0</v>
      </c>
      <c r="AG1307" s="80">
        <f>MAX(0,AD1307-MAX(0,AE1307))</f>
        <v>0</v>
      </c>
      <c r="AH1307" s="80">
        <f>IF(ISNUMBER(B1307),IF(AND(INDEX(CFG_WDAYS,WEEKDAY(INT(B1307),2))="Sí",IF(D1307="proMX",COUNTIFS(FER_F,INT(B1307),FER_NLP,"Sí"),COUNTIFS(FER_F,INT(B1307),FER_NLM,"Sí"))=0),1,0),0)</f>
        <v>0</v>
      </c>
      <c r="AI1307" s="80">
        <f>IF(AC1307=1,IF(AND(INDEX(CFG_WDAYS,WEEKDAY(INT(B1307)+1,2))="Sí",IF(D1307="proMX",COUNTIFS(FER_F,INT(B1307)+1,FER_NLP,"Sí"),COUNTIFS(FER_F,INT(B1307)+1,FER_NLM,"Sí"))=0),1,0),0)</f>
        <v>0</v>
      </c>
      <c r="AJ1307" s="80">
        <f>IF(AC1307=1,1440-Z1307,AD1307)</f>
        <v>0</v>
      </c>
      <c r="AK1307" s="80">
        <f>IF(AND(AB1307=1,AH1307=1),MAX(0,MIN(IF(AC1307=1,1440,AA1307),CFG_WEM)-MAX(Z1307,CFG_WSM)),0)</f>
        <v>0</v>
      </c>
      <c r="AL1307" s="80">
        <f>IF(AND(AC1307=1,AI1307=1),MAX(0,MIN(AA1307,CFG_WEM)-CFG_WSM),0)</f>
        <v>0</v>
      </c>
      <c r="AM1307" s="80">
        <f>AK1307+AL1307</f>
        <v>0</v>
      </c>
      <c r="AN1307" s="80">
        <f>IF(CFG_BRK="Proporcional",IF(AD1307=0,0,AF1307*AM1307/AD1307),IF(CFG_BRK="Extras primero",MIN(AM1307,MAX(0,AF1307-(AD1307-AM1307))),MIN(AF1307,AM1307)))</f>
        <v>0</v>
      </c>
      <c r="AO1307" s="80">
        <f>AF1307-AN1307</f>
        <v>0</v>
      </c>
      <c r="AP1307" s="80">
        <f>AM1307-AN1307</f>
        <v>0</v>
      </c>
      <c r="AQ1307" s="80">
        <f>AD1307-AM1307-AO1307</f>
        <v>0</v>
      </c>
      <c r="AR1307" s="80">
        <f>IF(AM1307=0,0,AK1307-AN1307*AK1307/AM1307)</f>
        <v>0</v>
      </c>
      <c r="AS1307" s="80">
        <f>IF(AD1307-AM1307=0,0,(AJ1307-AK1307)-AO1307*(AJ1307-AK1307)/(AD1307-AM1307))</f>
        <v>0</v>
      </c>
      <c r="AT1307" s="80" t="str">
        <f>IF(AC1307=1,INT(B1307)+1,"")</f>
        <v/>
      </c>
      <c r="AU1307" s="80">
        <f>IF(AND(D1307="proMX",R1307="Cancelled"),0,1)</f>
        <v>1</v>
      </c>
      <c r="AV1307" s="80">
        <f>IF(AND(AB1307=1,AU1307=1),IF(COUNTIFS($D$5:D1306,D1307,$B$5:B1306,B1307,$Z$5:Z1306,Z1307,$AA$5:AA1306,AA1307,$F$5:F1306,F1307&amp;"",$AU$5:AU1306,1)&gt;0,1,0),0)</f>
        <v>0</v>
      </c>
      <c r="AW1307" s="80" t="str">
        <f>IF(AB1307=1,INT(B1307)*1440+Z1307,"")</f>
        <v/>
      </c>
      <c r="AX1307" s="80" t="str">
        <f>IF(AB1307=1,AW1307+AD1307,"")</f>
        <v/>
      </c>
      <c r="AY1307" s="80">
        <f>IF(AND(AB1307=1,AV1307=0,AU1307=1),1,0)</f>
        <v>0</v>
      </c>
      <c r="AZ1307" s="80">
        <f>IF(AY1307=1,COUNTIFS(R_Emp,D1307,R_SAbs,"&lt;"&amp;AX1307,R_EAbs,"&gt;"&amp;AW1307,R_OKey,1)-1,0)</f>
        <v>0</v>
      </c>
      <c r="BA1307" s="80">
        <f>IF(AY1307=1,COUNTIFS(R_Emp,"&lt;&gt;"&amp;D1307,R_SAbs,"&lt;"&amp;AX1307,R_EAbs,"&gt;"&amp;AW1307,R_OKey,1),0)</f>
        <v>0</v>
      </c>
      <c r="BB1307" s="80">
        <f>IF(AND(AB1307=1,D1307="proMX"),IF(AND(MOD(Z1307,CFG_BLK)=0,MOD(AA1307,CFG_BLK)=0,MOD(AG1307,CFG_BLK)=0,AG1307&gt;0),1,0),1)</f>
        <v>1</v>
      </c>
      <c r="BC1307" s="80" t="str">
        <f>IF(Y1307=0,"",IF(NOT(ISNUMBER(B1307)),"Falta fecha o fecha inválida",IF(D1307="","Falta empresa",IF(AND(D1307&lt;&gt;"Malcolm",D1307&lt;&gt;"proMX"),"Empresa inválida",IF(OR(INT(B1307)&lt;CFG_PSTART,INT(B1307)&gt;CFG_PEND),"Fecha fuera del período",IF(OR(NOT(ISNUMBER(Z1307)),NOT(ISNUMBER(AA1307))),"Falta hora inicio/fin o formato inválido",IF(AB1307=0,"Hora inicio = hora fin",IF(AE1307&lt;0,"Descanso inválido",IF(AE1307&gt;=AD1307,"Descanso ≥ duración",IF(AV1307=1,"Registro duplicado",IF(AZ1307&gt;0,"Se superpone con otro registro "&amp;D1307,IF(BB1307=0,"inicio, fin y duración neta deben ser múltiplos de "&amp;CFG_BLK&amp;" min",""))))))))))))</f>
        <v/>
      </c>
      <c r="BD1307" s="80">
        <f>IF(AND(Y1307=1,BC1307=""),1,0)</f>
        <v>0</v>
      </c>
      <c r="BE1307" s="80">
        <f>IF(AND(BD1307=1,AU1307=1),1,0)</f>
        <v>0</v>
      </c>
      <c r="BF1307" s="80" t="str">
        <f>IF(AND(D1307="proMX",BD1307=1),IF(R1307="","Draft",R1307),"")</f>
        <v/>
      </c>
      <c r="BG1307" s="80">
        <f>IF(BD1307=1,ROUND(AG1307/60,6),0)</f>
        <v>0</v>
      </c>
      <c r="BH1307" s="80">
        <f>IF(BE1307=1,ROUND(AG1307/60,6),0)</f>
        <v>0</v>
      </c>
      <c r="BI1307" s="80">
        <f>IF(BE1307=1,ROUND(AP1307/60,6),0)</f>
        <v>0</v>
      </c>
      <c r="BJ1307" s="80">
        <f>IF(BE1307=1,ROUND(AQ1307/60,6),0)</f>
        <v>0</v>
      </c>
      <c r="BK1307" s="80">
        <f>IF(BE1307=1,ROUND((AR1307+AS1307)/60,6),0)</f>
        <v>0</v>
      </c>
      <c r="BL1307" s="80">
        <f>ROUND(BH1307-BK1307,6)</f>
        <v>0</v>
      </c>
      <c r="BM1307" s="80">
        <f>IF(BE1307=1,ROUND(AR1307/60,6),0)</f>
        <v>0</v>
      </c>
      <c r="BN1307" s="80">
        <f>ROUND(BI1307-BM1307,6)</f>
        <v>0</v>
      </c>
      <c r="BO1307" s="80">
        <f>IF(BE1307=1,ROUND(AS1307/60,6),0)</f>
        <v>0</v>
      </c>
      <c r="BP1307" s="80">
        <f>ROUND(BJ1307-BO1307,6)</f>
        <v>0</v>
      </c>
      <c r="BQ1307" s="80">
        <f>IF(BE1307=1,AW1307,0)</f>
        <v>0</v>
      </c>
      <c r="BR1307" s="80">
        <f>IF(BE1307=1,AX1307,0)</f>
        <v>0</v>
      </c>
      <c r="BS1307" s="80">
        <f>IF(AND(BE1307=1,D1307="Malcolm",BA1307&gt;0),MIN(BH1307,SUMPRODUCT((R_Emp="proMX")*(R_EN&gt;0)*((R_EN-(R_EN&gt;BR1307)*(R_EN-BR1307))&gt;(R_SN+(R_SN&lt;BQ1307)*(BQ1307-R_SN)))*((R_EN-(R_EN&gt;BR1307)*(R_EN-BR1307))-(R_SN+(R_SN&lt;BQ1307)*(BQ1307-R_SN))))/60),0)</f>
        <v>0</v>
      </c>
      <c r="BT1307" s="80">
        <f>IF(AND(BE1307=1,D1307="proMX"),ROUND(BI1307*CFG_RATE+BJ1307*CFG_OTRATE,6),0)</f>
        <v>0</v>
      </c>
      <c r="BU1307" s="80">
        <f>IF(AND(BD1307=1,D1307="proMX"),ROUND(AG1307/CFG_BLK,6),0)</f>
        <v>0</v>
      </c>
      <c r="BV1307" s="80" t="str">
        <f>IF(BF1307="Approved",IF(ISNUMBER(T1307),INT(T1307),INT(B1307)),"")</f>
        <v/>
      </c>
      <c r="BW1307" s="80">
        <f>IF(ISNUMBER(B1307),IF(DB_MON="Todos",1,IF(AND(INT(B1307)&gt;=DB_MS,INT(B1307)&lt;=DB_ME),1,0)),0)</f>
        <v>0</v>
      </c>
      <c r="BX1307" s="80">
        <f>IF(DB_PROJ="Todos",1,IF(E1307&amp;""=DB_PROJ&amp;"",1,0))</f>
        <v>1</v>
      </c>
      <c r="BY1307" s="80">
        <f>BW1307*BX1307</f>
        <v>0</v>
      </c>
      <c r="BZ1307" s="80" t="str">
        <f>IF(Y1307=1,F1307&amp;IF(AND(F1307&amp;""&lt;&gt;"",E1307&amp;""&lt;&gt;"")," · ","")&amp;E1307,"")</f>
        <v/>
      </c>
      <c r="CA1307" s="80" t="str">
        <f>IF(AND(BD1307=1,E1307&amp;""&lt;&gt;""),IF(COUNTIFS($E$5:E1306,E1307,$BD$5:BD1306,1)=0,MAX($CA$5:CA1306)+1,""),"")</f>
        <v/>
      </c>
      <c r="CB1307" s="80" t="str">
        <f>IF(AND(BE1307=1,D1307="Malcolm",E1307&amp;""&lt;&gt;""),IF(COUNTIFS($D$5:D1306,"Malcolm",$E$5:E1306,E1307,$BE$5:BE1306,1)=0,MAX($CB$5:CB1306)+1,""),"")</f>
        <v/>
      </c>
      <c r="CC1307" s="80" t="str">
        <f>IF(AND(BD1307=1,D1307="proMX",E1307&amp;""&lt;&gt;""),IF(COUNTIFS($D$5:D1306,"proMX",$E$5:E1306,E1307,$BD$5:BD1306,1)=0,MAX($CC$5:CC1306)+1,""),"")</f>
        <v/>
      </c>
      <c r="CD1307" s="80" t="str">
        <f>IF(AND(BE1307=1,D1307="Malcolm",F1307&amp;""&lt;&gt;""),IF(COUNTIFS($D$5:D1306,"Malcolm",$F$5:F1306,F1307,$BE$5:BE1306,1)=0,MAX($CD$5:CD1306)+1,""),"")</f>
        <v/>
      </c>
      <c r="CE1307" s="80" t="str">
        <f>IF(AND(BD1307=1,D1307="proMX",F1307&amp;""&lt;&gt;""),IF(COUNTIFS($D$5:D1306,"proMX",$F$5:F1306,F1307,$BD$5:BD1306,1)=0,MAX($CE$5:CE1306)+1,""),"")</f>
        <v/>
      </c>
      <c r="CF1307" s="80" t="str">
        <f>IF(AND(D1307="proMX",BD1307=1),IF(OR(BF1307="Draft",BF1307="Submitted",BF1307="Returned",BF1307="Recall Requested"),MAX($CF$5:CF1306)+1,""),"")</f>
        <v/>
      </c>
      <c r="CG1307" s="80">
        <f>IF(BD1307=0,0,IF(D1307="Malcolm",1,MATCH(BF1307,{"Draft","Submitted","Approved","Returned","Recall Requested","Cancelled"},0)+1))</f>
        <v>0</v>
      </c>
      <c r="CH1307" s="80">
        <f>IF(AND(BF1307="Submitted",ISNUMBER(V1307)),IF(V1307&gt;CFG_MAXD,1,0),0)</f>
        <v>0</v>
      </c>
    </row>
    <row r="1308">
      <c r="A1308" s="71" t="str">
        <f>IF(Y1308=1,ROW()-5,"")</f>
        <v/>
      </c>
      <c r="B1308" s="72" t="n"/>
      <c r="C1308" s="71" t="str">
        <f>IF(ISNUMBER(B1308),CHOOSE(WEEKDAY(B1308,2),"Lun","Mar","Mié","Jue","Vie","Sáb","Dom"),"")</f>
        <v/>
      </c>
      <c r="D1308" s="73" t="n"/>
      <c r="E1308" s="74" t="n"/>
      <c r="F1308" s="74" t="n"/>
      <c r="G1308" s="74" t="n"/>
      <c r="H1308" s="75" t="n"/>
      <c r="I1308" s="75" t="n"/>
      <c r="J1308" s="76" t="n"/>
      <c r="K1308" s="77" t="str">
        <f>IF(AB1308=1,ROUND(AG1308/60,4),"")</f>
        <v/>
      </c>
      <c r="L1308" s="77" t="str">
        <f>IF(BD1308=1,ROUND(AP1308/60,4),"")</f>
        <v/>
      </c>
      <c r="M1308" s="77" t="str">
        <f>IF(BD1308=1,ROUND(AQ1308/60,4),"")</f>
        <v/>
      </c>
      <c r="N1308" s="71" t="str">
        <f>IF(AND(D1308="proMX",AB1308=1),ROUND(AG1308/CFG_BLK,2),"")</f>
        <v/>
      </c>
      <c r="O1308" s="77" t="str">
        <f>IF(D1308="proMX",IF(BD1308=1,ROUND(AG1308/60,4),0),"")</f>
        <v/>
      </c>
      <c r="P1308" s="78" t="str">
        <f>IF(Y1308=0,"",IF(BD1308=1,"OK",IF(D1308="proMX","Revisar bloques: ","Revisar: ")&amp;BC1308))</f>
        <v/>
      </c>
      <c r="Q1308" s="78" t="str">
        <f>IF(NOT(ISNUMBER(B1308)),"",IF(COUNTIFS(FER_F,INT(B1308))&gt;0,"Feriado"&amp;IF(AH1308=1," (laborable)"," (no laborable)"),IF(AH1308=1,"Laborable",IF(WEEKDAY(B1308,2)&gt;5,"Fin de semana","No laborable"))))</f>
        <v/>
      </c>
      <c r="R1308" s="73" t="n"/>
      <c r="S1308" s="72" t="n"/>
      <c r="T1308" s="72" t="n"/>
      <c r="U1308" s="74" t="n"/>
      <c r="V1308" s="79" t="str">
        <f>IF(AND(D1308="proMX",OR(R1308="Submitted",R1308="Recall Requested"),ISNUMBER(S1308)),CFG_TODAY-INT(S1308),"")</f>
        <v/>
      </c>
      <c r="W1308" s="78" t="str">
        <f>IF(BD1308=0,"",IF(BA1308&gt;0,"⚠ Se superpone con un registro de la otra empresa",IF(D1308="Malcolm",IF(COUNTA(R1308,S1308,T1308)&gt;0,"Estado/fechas proMX se ignoran en Malcolm",""),IF(BF1308="Cancelled","Cancelado: excluido de totales",IF(R1308="","Sin estado: se trata como Draft",IF(BF1308="Submitted",IF(ISNUMBER(V1308),IF(V1308&gt;CFG_MAXD,"⚠ "&amp;V1308&amp;" días en Submitted (máx. "&amp;CFG_MAXD&amp;")",""),"Falta fecha de envío"),IF(BF1308="Returned","⚠ Devuelto: corregir y reenviar",IF(BF1308="Recall Requested","Retirada solicitada: pendiente",IF(AND(BF1308="Approved",NOT(ISNUMBER(T1308))),"Falta fecha de aprobación",IF(AND(ISNUMBER(S1308),ISNUMBER(T1308),T1308&lt;S1308),"Aprobación anterior al envío","")))))))))</f>
        <v/>
      </c>
      <c r="Y1308" s="80">
        <f>IF(COUNTA(B1308,D1308,E1308,F1308,G1308,H1308,I1308,J1308,R1308,S1308,T1308)&gt;0,1,0)</f>
        <v>0</v>
      </c>
      <c r="Z1308" s="80" t="str">
        <f>IF(AND(ISNUMBER(H1308),H1308&gt;=0,H1308&lt;1),ROUND(H1308*1440,0),"")</f>
        <v/>
      </c>
      <c r="AA1308" s="80" t="str">
        <f>IF(AND(ISNUMBER(I1308),I1308&gt;=0,I1308&lt;1),ROUND(I1308*1440,0),"")</f>
        <v/>
      </c>
      <c r="AB1308" s="80">
        <f>IF(AND(ISNUMBER(B1308),D1308&lt;&gt;"",ISNUMBER(Z1308),ISNUMBER(AA1308)),IF(Z1308=AA1308,0,1),0)</f>
        <v>0</v>
      </c>
      <c r="AC1308" s="80">
        <f>IF(AB1308=1,IF(AA1308&lt;Z1308,1,0),0)</f>
        <v>0</v>
      </c>
      <c r="AD1308" s="80">
        <f>IF(AB1308=1,IF(AC1308=1,1440-Z1308+AA1308,AA1308-Z1308),0)</f>
        <v>0</v>
      </c>
      <c r="AE1308" s="80">
        <f>IF(J1308="",0,IF(ISNUMBER(J1308),J1308,-1))</f>
        <v>0</v>
      </c>
      <c r="AF1308" s="80">
        <f>MIN(MAX(0,AE1308),AD1308)</f>
        <v>0</v>
      </c>
      <c r="AG1308" s="80">
        <f>MAX(0,AD1308-MAX(0,AE1308))</f>
        <v>0</v>
      </c>
      <c r="AH1308" s="80">
        <f>IF(ISNUMBER(B1308),IF(AND(INDEX(CFG_WDAYS,WEEKDAY(INT(B1308),2))="Sí",IF(D1308="proMX",COUNTIFS(FER_F,INT(B1308),FER_NLP,"Sí"),COUNTIFS(FER_F,INT(B1308),FER_NLM,"Sí"))=0),1,0),0)</f>
        <v>0</v>
      </c>
      <c r="AI1308" s="80">
        <f>IF(AC1308=1,IF(AND(INDEX(CFG_WDAYS,WEEKDAY(INT(B1308)+1,2))="Sí",IF(D1308="proMX",COUNTIFS(FER_F,INT(B1308)+1,FER_NLP,"Sí"),COUNTIFS(FER_F,INT(B1308)+1,FER_NLM,"Sí"))=0),1,0),0)</f>
        <v>0</v>
      </c>
      <c r="AJ1308" s="80">
        <f>IF(AC1308=1,1440-Z1308,AD1308)</f>
        <v>0</v>
      </c>
      <c r="AK1308" s="80">
        <f>IF(AND(AB1308=1,AH1308=1),MAX(0,MIN(IF(AC1308=1,1440,AA1308),CFG_WEM)-MAX(Z1308,CFG_WSM)),0)</f>
        <v>0</v>
      </c>
      <c r="AL1308" s="80">
        <f>IF(AND(AC1308=1,AI1308=1),MAX(0,MIN(AA1308,CFG_WEM)-CFG_WSM),0)</f>
        <v>0</v>
      </c>
      <c r="AM1308" s="80">
        <f>AK1308+AL1308</f>
        <v>0</v>
      </c>
      <c r="AN1308" s="80">
        <f>IF(CFG_BRK="Proporcional",IF(AD1308=0,0,AF1308*AM1308/AD1308),IF(CFG_BRK="Extras primero",MIN(AM1308,MAX(0,AF1308-(AD1308-AM1308))),MIN(AF1308,AM1308)))</f>
        <v>0</v>
      </c>
      <c r="AO1308" s="80">
        <f>AF1308-AN1308</f>
        <v>0</v>
      </c>
      <c r="AP1308" s="80">
        <f>AM1308-AN1308</f>
        <v>0</v>
      </c>
      <c r="AQ1308" s="80">
        <f>AD1308-AM1308-AO1308</f>
        <v>0</v>
      </c>
      <c r="AR1308" s="80">
        <f>IF(AM1308=0,0,AK1308-AN1308*AK1308/AM1308)</f>
        <v>0</v>
      </c>
      <c r="AS1308" s="80">
        <f>IF(AD1308-AM1308=0,0,(AJ1308-AK1308)-AO1308*(AJ1308-AK1308)/(AD1308-AM1308))</f>
        <v>0</v>
      </c>
      <c r="AT1308" s="80" t="str">
        <f>IF(AC1308=1,INT(B1308)+1,"")</f>
        <v/>
      </c>
      <c r="AU1308" s="80">
        <f>IF(AND(D1308="proMX",R1308="Cancelled"),0,1)</f>
        <v>1</v>
      </c>
      <c r="AV1308" s="80">
        <f>IF(AND(AB1308=1,AU1308=1),IF(COUNTIFS($D$5:D1307,D1308,$B$5:B1307,B1308,$Z$5:Z1307,Z1308,$AA$5:AA1307,AA1308,$F$5:F1307,F1308&amp;"",$AU$5:AU1307,1)&gt;0,1,0),0)</f>
        <v>0</v>
      </c>
      <c r="AW1308" s="80" t="str">
        <f>IF(AB1308=1,INT(B1308)*1440+Z1308,"")</f>
        <v/>
      </c>
      <c r="AX1308" s="80" t="str">
        <f>IF(AB1308=1,AW1308+AD1308,"")</f>
        <v/>
      </c>
      <c r="AY1308" s="80">
        <f>IF(AND(AB1308=1,AV1308=0,AU1308=1),1,0)</f>
        <v>0</v>
      </c>
      <c r="AZ1308" s="80">
        <f>IF(AY1308=1,COUNTIFS(R_Emp,D1308,R_SAbs,"&lt;"&amp;AX1308,R_EAbs,"&gt;"&amp;AW1308,R_OKey,1)-1,0)</f>
        <v>0</v>
      </c>
      <c r="BA1308" s="80">
        <f>IF(AY1308=1,COUNTIFS(R_Emp,"&lt;&gt;"&amp;D1308,R_SAbs,"&lt;"&amp;AX1308,R_EAbs,"&gt;"&amp;AW1308,R_OKey,1),0)</f>
        <v>0</v>
      </c>
      <c r="BB1308" s="80">
        <f>IF(AND(AB1308=1,D1308="proMX"),IF(AND(MOD(Z1308,CFG_BLK)=0,MOD(AA1308,CFG_BLK)=0,MOD(AG1308,CFG_BLK)=0,AG1308&gt;0),1,0),1)</f>
        <v>1</v>
      </c>
      <c r="BC1308" s="80" t="str">
        <f>IF(Y1308=0,"",IF(NOT(ISNUMBER(B1308)),"Falta fecha o fecha inválida",IF(D1308="","Falta empresa",IF(AND(D1308&lt;&gt;"Malcolm",D1308&lt;&gt;"proMX"),"Empresa inválida",IF(OR(INT(B1308)&lt;CFG_PSTART,INT(B1308)&gt;CFG_PEND),"Fecha fuera del período",IF(OR(NOT(ISNUMBER(Z1308)),NOT(ISNUMBER(AA1308))),"Falta hora inicio/fin o formato inválido",IF(AB1308=0,"Hora inicio = hora fin",IF(AE1308&lt;0,"Descanso inválido",IF(AE1308&gt;=AD1308,"Descanso ≥ duración",IF(AV1308=1,"Registro duplicado",IF(AZ1308&gt;0,"Se superpone con otro registro "&amp;D1308,IF(BB1308=0,"inicio, fin y duración neta deben ser múltiplos de "&amp;CFG_BLK&amp;" min",""))))))))))))</f>
        <v/>
      </c>
      <c r="BD1308" s="80">
        <f>IF(AND(Y1308=1,BC1308=""),1,0)</f>
        <v>0</v>
      </c>
      <c r="BE1308" s="80">
        <f>IF(AND(BD1308=1,AU1308=1),1,0)</f>
        <v>0</v>
      </c>
      <c r="BF1308" s="80" t="str">
        <f>IF(AND(D1308="proMX",BD1308=1),IF(R1308="","Draft",R1308),"")</f>
        <v/>
      </c>
      <c r="BG1308" s="80">
        <f>IF(BD1308=1,ROUND(AG1308/60,6),0)</f>
        <v>0</v>
      </c>
      <c r="BH1308" s="80">
        <f>IF(BE1308=1,ROUND(AG1308/60,6),0)</f>
        <v>0</v>
      </c>
      <c r="BI1308" s="80">
        <f>IF(BE1308=1,ROUND(AP1308/60,6),0)</f>
        <v>0</v>
      </c>
      <c r="BJ1308" s="80">
        <f>IF(BE1308=1,ROUND(AQ1308/60,6),0)</f>
        <v>0</v>
      </c>
      <c r="BK1308" s="80">
        <f>IF(BE1308=1,ROUND((AR1308+AS1308)/60,6),0)</f>
        <v>0</v>
      </c>
      <c r="BL1308" s="80">
        <f>ROUND(BH1308-BK1308,6)</f>
        <v>0</v>
      </c>
      <c r="BM1308" s="80">
        <f>IF(BE1308=1,ROUND(AR1308/60,6),0)</f>
        <v>0</v>
      </c>
      <c r="BN1308" s="80">
        <f>ROUND(BI1308-BM1308,6)</f>
        <v>0</v>
      </c>
      <c r="BO1308" s="80">
        <f>IF(BE1308=1,ROUND(AS1308/60,6),0)</f>
        <v>0</v>
      </c>
      <c r="BP1308" s="80">
        <f>ROUND(BJ1308-BO1308,6)</f>
        <v>0</v>
      </c>
      <c r="BQ1308" s="80">
        <f>IF(BE1308=1,AW1308,0)</f>
        <v>0</v>
      </c>
      <c r="BR1308" s="80">
        <f>IF(BE1308=1,AX1308,0)</f>
        <v>0</v>
      </c>
      <c r="BS1308" s="80">
        <f>IF(AND(BE1308=1,D1308="Malcolm",BA1308&gt;0),MIN(BH1308,SUMPRODUCT((R_Emp="proMX")*(R_EN&gt;0)*((R_EN-(R_EN&gt;BR1308)*(R_EN-BR1308))&gt;(R_SN+(R_SN&lt;BQ1308)*(BQ1308-R_SN)))*((R_EN-(R_EN&gt;BR1308)*(R_EN-BR1308))-(R_SN+(R_SN&lt;BQ1308)*(BQ1308-R_SN))))/60),0)</f>
        <v>0</v>
      </c>
      <c r="BT1308" s="80">
        <f>IF(AND(BE1308=1,D1308="proMX"),ROUND(BI1308*CFG_RATE+BJ1308*CFG_OTRATE,6),0)</f>
        <v>0</v>
      </c>
      <c r="BU1308" s="80">
        <f>IF(AND(BD1308=1,D1308="proMX"),ROUND(AG1308/CFG_BLK,6),0)</f>
        <v>0</v>
      </c>
      <c r="BV1308" s="80" t="str">
        <f>IF(BF1308="Approved",IF(ISNUMBER(T1308),INT(T1308),INT(B1308)),"")</f>
        <v/>
      </c>
      <c r="BW1308" s="80">
        <f>IF(ISNUMBER(B1308),IF(DB_MON="Todos",1,IF(AND(INT(B1308)&gt;=DB_MS,INT(B1308)&lt;=DB_ME),1,0)),0)</f>
        <v>0</v>
      </c>
      <c r="BX1308" s="80">
        <f>IF(DB_PROJ="Todos",1,IF(E1308&amp;""=DB_PROJ&amp;"",1,0))</f>
        <v>1</v>
      </c>
      <c r="BY1308" s="80">
        <f>BW1308*BX1308</f>
        <v>0</v>
      </c>
      <c r="BZ1308" s="80" t="str">
        <f>IF(Y1308=1,F1308&amp;IF(AND(F1308&amp;""&lt;&gt;"",E1308&amp;""&lt;&gt;"")," · ","")&amp;E1308,"")</f>
        <v/>
      </c>
      <c r="CA1308" s="80" t="str">
        <f>IF(AND(BD1308=1,E1308&amp;""&lt;&gt;""),IF(COUNTIFS($E$5:E1307,E1308,$BD$5:BD1307,1)=0,MAX($CA$5:CA1307)+1,""),"")</f>
        <v/>
      </c>
      <c r="CB1308" s="80" t="str">
        <f>IF(AND(BE1308=1,D1308="Malcolm",E1308&amp;""&lt;&gt;""),IF(COUNTIFS($D$5:D1307,"Malcolm",$E$5:E1307,E1308,$BE$5:BE1307,1)=0,MAX($CB$5:CB1307)+1,""),"")</f>
        <v/>
      </c>
      <c r="CC1308" s="80" t="str">
        <f>IF(AND(BD1308=1,D1308="proMX",E1308&amp;""&lt;&gt;""),IF(COUNTIFS($D$5:D1307,"proMX",$E$5:E1307,E1308,$BD$5:BD1307,1)=0,MAX($CC$5:CC1307)+1,""),"")</f>
        <v/>
      </c>
      <c r="CD1308" s="80" t="str">
        <f>IF(AND(BE1308=1,D1308="Malcolm",F1308&amp;""&lt;&gt;""),IF(COUNTIFS($D$5:D1307,"Malcolm",$F$5:F1307,F1308,$BE$5:BE1307,1)=0,MAX($CD$5:CD1307)+1,""),"")</f>
        <v/>
      </c>
      <c r="CE1308" s="80" t="str">
        <f>IF(AND(BD1308=1,D1308="proMX",F1308&amp;""&lt;&gt;""),IF(COUNTIFS($D$5:D1307,"proMX",$F$5:F1307,F1308,$BD$5:BD1307,1)=0,MAX($CE$5:CE1307)+1,""),"")</f>
        <v/>
      </c>
      <c r="CF1308" s="80" t="str">
        <f>IF(AND(D1308="proMX",BD1308=1),IF(OR(BF1308="Draft",BF1308="Submitted",BF1308="Returned",BF1308="Recall Requested"),MAX($CF$5:CF1307)+1,""),"")</f>
        <v/>
      </c>
      <c r="CG1308" s="80">
        <f>IF(BD1308=0,0,IF(D1308="Malcolm",1,MATCH(BF1308,{"Draft","Submitted","Approved","Returned","Recall Requested","Cancelled"},0)+1))</f>
        <v>0</v>
      </c>
      <c r="CH1308" s="80">
        <f>IF(AND(BF1308="Submitted",ISNUMBER(V1308)),IF(V1308&gt;CFG_MAXD,1,0),0)</f>
        <v>0</v>
      </c>
    </row>
    <row r="1309">
      <c r="A1309" s="71" t="str">
        <f>IF(Y1309=1,ROW()-5,"")</f>
        <v/>
      </c>
      <c r="B1309" s="72" t="n"/>
      <c r="C1309" s="71" t="str">
        <f>IF(ISNUMBER(B1309),CHOOSE(WEEKDAY(B1309,2),"Lun","Mar","Mié","Jue","Vie","Sáb","Dom"),"")</f>
        <v/>
      </c>
      <c r="D1309" s="73" t="n"/>
      <c r="E1309" s="74" t="n"/>
      <c r="F1309" s="74" t="n"/>
      <c r="G1309" s="74" t="n"/>
      <c r="H1309" s="75" t="n"/>
      <c r="I1309" s="75" t="n"/>
      <c r="J1309" s="76" t="n"/>
      <c r="K1309" s="77" t="str">
        <f>IF(AB1309=1,ROUND(AG1309/60,4),"")</f>
        <v/>
      </c>
      <c r="L1309" s="77" t="str">
        <f>IF(BD1309=1,ROUND(AP1309/60,4),"")</f>
        <v/>
      </c>
      <c r="M1309" s="77" t="str">
        <f>IF(BD1309=1,ROUND(AQ1309/60,4),"")</f>
        <v/>
      </c>
      <c r="N1309" s="71" t="str">
        <f>IF(AND(D1309="proMX",AB1309=1),ROUND(AG1309/CFG_BLK,2),"")</f>
        <v/>
      </c>
      <c r="O1309" s="77" t="str">
        <f>IF(D1309="proMX",IF(BD1309=1,ROUND(AG1309/60,4),0),"")</f>
        <v/>
      </c>
      <c r="P1309" s="78" t="str">
        <f>IF(Y1309=0,"",IF(BD1309=1,"OK",IF(D1309="proMX","Revisar bloques: ","Revisar: ")&amp;BC1309))</f>
        <v/>
      </c>
      <c r="Q1309" s="78" t="str">
        <f>IF(NOT(ISNUMBER(B1309)),"",IF(COUNTIFS(FER_F,INT(B1309))&gt;0,"Feriado"&amp;IF(AH1309=1," (laborable)"," (no laborable)"),IF(AH1309=1,"Laborable",IF(WEEKDAY(B1309,2)&gt;5,"Fin de semana","No laborable"))))</f>
        <v/>
      </c>
      <c r="R1309" s="73" t="n"/>
      <c r="S1309" s="72" t="n"/>
      <c r="T1309" s="72" t="n"/>
      <c r="U1309" s="74" t="n"/>
      <c r="V1309" s="79" t="str">
        <f>IF(AND(D1309="proMX",OR(R1309="Submitted",R1309="Recall Requested"),ISNUMBER(S1309)),CFG_TODAY-INT(S1309),"")</f>
        <v/>
      </c>
      <c r="W1309" s="78" t="str">
        <f>IF(BD1309=0,"",IF(BA1309&gt;0,"⚠ Se superpone con un registro de la otra empresa",IF(D1309="Malcolm",IF(COUNTA(R1309,S1309,T1309)&gt;0,"Estado/fechas proMX se ignoran en Malcolm",""),IF(BF1309="Cancelled","Cancelado: excluido de totales",IF(R1309="","Sin estado: se trata como Draft",IF(BF1309="Submitted",IF(ISNUMBER(V1309),IF(V1309&gt;CFG_MAXD,"⚠ "&amp;V1309&amp;" días en Submitted (máx. "&amp;CFG_MAXD&amp;")",""),"Falta fecha de envío"),IF(BF1309="Returned","⚠ Devuelto: corregir y reenviar",IF(BF1309="Recall Requested","Retirada solicitada: pendiente",IF(AND(BF1309="Approved",NOT(ISNUMBER(T1309))),"Falta fecha de aprobación",IF(AND(ISNUMBER(S1309),ISNUMBER(T1309),T1309&lt;S1309),"Aprobación anterior al envío","")))))))))</f>
        <v/>
      </c>
      <c r="Y1309" s="80">
        <f>IF(COUNTA(B1309,D1309,E1309,F1309,G1309,H1309,I1309,J1309,R1309,S1309,T1309)&gt;0,1,0)</f>
        <v>0</v>
      </c>
      <c r="Z1309" s="80" t="str">
        <f>IF(AND(ISNUMBER(H1309),H1309&gt;=0,H1309&lt;1),ROUND(H1309*1440,0),"")</f>
        <v/>
      </c>
      <c r="AA1309" s="80" t="str">
        <f>IF(AND(ISNUMBER(I1309),I1309&gt;=0,I1309&lt;1),ROUND(I1309*1440,0),"")</f>
        <v/>
      </c>
      <c r="AB1309" s="80">
        <f>IF(AND(ISNUMBER(B1309),D1309&lt;&gt;"",ISNUMBER(Z1309),ISNUMBER(AA1309)),IF(Z1309=AA1309,0,1),0)</f>
        <v>0</v>
      </c>
      <c r="AC1309" s="80">
        <f>IF(AB1309=1,IF(AA1309&lt;Z1309,1,0),0)</f>
        <v>0</v>
      </c>
      <c r="AD1309" s="80">
        <f>IF(AB1309=1,IF(AC1309=1,1440-Z1309+AA1309,AA1309-Z1309),0)</f>
        <v>0</v>
      </c>
      <c r="AE1309" s="80">
        <f>IF(J1309="",0,IF(ISNUMBER(J1309),J1309,-1))</f>
        <v>0</v>
      </c>
      <c r="AF1309" s="80">
        <f>MIN(MAX(0,AE1309),AD1309)</f>
        <v>0</v>
      </c>
      <c r="AG1309" s="80">
        <f>MAX(0,AD1309-MAX(0,AE1309))</f>
        <v>0</v>
      </c>
      <c r="AH1309" s="80">
        <f>IF(ISNUMBER(B1309),IF(AND(INDEX(CFG_WDAYS,WEEKDAY(INT(B1309),2))="Sí",IF(D1309="proMX",COUNTIFS(FER_F,INT(B1309),FER_NLP,"Sí"),COUNTIFS(FER_F,INT(B1309),FER_NLM,"Sí"))=0),1,0),0)</f>
        <v>0</v>
      </c>
      <c r="AI1309" s="80">
        <f>IF(AC1309=1,IF(AND(INDEX(CFG_WDAYS,WEEKDAY(INT(B1309)+1,2))="Sí",IF(D1309="proMX",COUNTIFS(FER_F,INT(B1309)+1,FER_NLP,"Sí"),COUNTIFS(FER_F,INT(B1309)+1,FER_NLM,"Sí"))=0),1,0),0)</f>
        <v>0</v>
      </c>
      <c r="AJ1309" s="80">
        <f>IF(AC1309=1,1440-Z1309,AD1309)</f>
        <v>0</v>
      </c>
      <c r="AK1309" s="80">
        <f>IF(AND(AB1309=1,AH1309=1),MAX(0,MIN(IF(AC1309=1,1440,AA1309),CFG_WEM)-MAX(Z1309,CFG_WSM)),0)</f>
        <v>0</v>
      </c>
      <c r="AL1309" s="80">
        <f>IF(AND(AC1309=1,AI1309=1),MAX(0,MIN(AA1309,CFG_WEM)-CFG_WSM),0)</f>
        <v>0</v>
      </c>
      <c r="AM1309" s="80">
        <f>AK1309+AL1309</f>
        <v>0</v>
      </c>
      <c r="AN1309" s="80">
        <f>IF(CFG_BRK="Proporcional",IF(AD1309=0,0,AF1309*AM1309/AD1309),IF(CFG_BRK="Extras primero",MIN(AM1309,MAX(0,AF1309-(AD1309-AM1309))),MIN(AF1309,AM1309)))</f>
        <v>0</v>
      </c>
      <c r="AO1309" s="80">
        <f>AF1309-AN1309</f>
        <v>0</v>
      </c>
      <c r="AP1309" s="80">
        <f>AM1309-AN1309</f>
        <v>0</v>
      </c>
      <c r="AQ1309" s="80">
        <f>AD1309-AM1309-AO1309</f>
        <v>0</v>
      </c>
      <c r="AR1309" s="80">
        <f>IF(AM1309=0,0,AK1309-AN1309*AK1309/AM1309)</f>
        <v>0</v>
      </c>
      <c r="AS1309" s="80">
        <f>IF(AD1309-AM1309=0,0,(AJ1309-AK1309)-AO1309*(AJ1309-AK1309)/(AD1309-AM1309))</f>
        <v>0</v>
      </c>
      <c r="AT1309" s="80" t="str">
        <f>IF(AC1309=1,INT(B1309)+1,"")</f>
        <v/>
      </c>
      <c r="AU1309" s="80">
        <f>IF(AND(D1309="proMX",R1309="Cancelled"),0,1)</f>
        <v>1</v>
      </c>
      <c r="AV1309" s="80">
        <f>IF(AND(AB1309=1,AU1309=1),IF(COUNTIFS($D$5:D1308,D1309,$B$5:B1308,B1309,$Z$5:Z1308,Z1309,$AA$5:AA1308,AA1309,$F$5:F1308,F1309&amp;"",$AU$5:AU1308,1)&gt;0,1,0),0)</f>
        <v>0</v>
      </c>
      <c r="AW1309" s="80" t="str">
        <f>IF(AB1309=1,INT(B1309)*1440+Z1309,"")</f>
        <v/>
      </c>
      <c r="AX1309" s="80" t="str">
        <f>IF(AB1309=1,AW1309+AD1309,"")</f>
        <v/>
      </c>
      <c r="AY1309" s="80">
        <f>IF(AND(AB1309=1,AV1309=0,AU1309=1),1,0)</f>
        <v>0</v>
      </c>
      <c r="AZ1309" s="80">
        <f>IF(AY1309=1,COUNTIFS(R_Emp,D1309,R_SAbs,"&lt;"&amp;AX1309,R_EAbs,"&gt;"&amp;AW1309,R_OKey,1)-1,0)</f>
        <v>0</v>
      </c>
      <c r="BA1309" s="80">
        <f>IF(AY1309=1,COUNTIFS(R_Emp,"&lt;&gt;"&amp;D1309,R_SAbs,"&lt;"&amp;AX1309,R_EAbs,"&gt;"&amp;AW1309,R_OKey,1),0)</f>
        <v>0</v>
      </c>
      <c r="BB1309" s="80">
        <f>IF(AND(AB1309=1,D1309="proMX"),IF(AND(MOD(Z1309,CFG_BLK)=0,MOD(AA1309,CFG_BLK)=0,MOD(AG1309,CFG_BLK)=0,AG1309&gt;0),1,0),1)</f>
        <v>1</v>
      </c>
      <c r="BC1309" s="80" t="str">
        <f>IF(Y1309=0,"",IF(NOT(ISNUMBER(B1309)),"Falta fecha o fecha inválida",IF(D1309="","Falta empresa",IF(AND(D1309&lt;&gt;"Malcolm",D1309&lt;&gt;"proMX"),"Empresa inválida",IF(OR(INT(B1309)&lt;CFG_PSTART,INT(B1309)&gt;CFG_PEND),"Fecha fuera del período",IF(OR(NOT(ISNUMBER(Z1309)),NOT(ISNUMBER(AA1309))),"Falta hora inicio/fin o formato inválido",IF(AB1309=0,"Hora inicio = hora fin",IF(AE1309&lt;0,"Descanso inválido",IF(AE1309&gt;=AD1309,"Descanso ≥ duración",IF(AV1309=1,"Registro duplicado",IF(AZ1309&gt;0,"Se superpone con otro registro "&amp;D1309,IF(BB1309=0,"inicio, fin y duración neta deben ser múltiplos de "&amp;CFG_BLK&amp;" min",""))))))))))))</f>
        <v/>
      </c>
      <c r="BD1309" s="80">
        <f>IF(AND(Y1309=1,BC1309=""),1,0)</f>
        <v>0</v>
      </c>
      <c r="BE1309" s="80">
        <f>IF(AND(BD1309=1,AU1309=1),1,0)</f>
        <v>0</v>
      </c>
      <c r="BF1309" s="80" t="str">
        <f>IF(AND(D1309="proMX",BD1309=1),IF(R1309="","Draft",R1309),"")</f>
        <v/>
      </c>
      <c r="BG1309" s="80">
        <f>IF(BD1309=1,ROUND(AG1309/60,6),0)</f>
        <v>0</v>
      </c>
      <c r="BH1309" s="80">
        <f>IF(BE1309=1,ROUND(AG1309/60,6),0)</f>
        <v>0</v>
      </c>
      <c r="BI1309" s="80">
        <f>IF(BE1309=1,ROUND(AP1309/60,6),0)</f>
        <v>0</v>
      </c>
      <c r="BJ1309" s="80">
        <f>IF(BE1309=1,ROUND(AQ1309/60,6),0)</f>
        <v>0</v>
      </c>
      <c r="BK1309" s="80">
        <f>IF(BE1309=1,ROUND((AR1309+AS1309)/60,6),0)</f>
        <v>0</v>
      </c>
      <c r="BL1309" s="80">
        <f>ROUND(BH1309-BK1309,6)</f>
        <v>0</v>
      </c>
      <c r="BM1309" s="80">
        <f>IF(BE1309=1,ROUND(AR1309/60,6),0)</f>
        <v>0</v>
      </c>
      <c r="BN1309" s="80">
        <f>ROUND(BI1309-BM1309,6)</f>
        <v>0</v>
      </c>
      <c r="BO1309" s="80">
        <f>IF(BE1309=1,ROUND(AS1309/60,6),0)</f>
        <v>0</v>
      </c>
      <c r="BP1309" s="80">
        <f>ROUND(BJ1309-BO1309,6)</f>
        <v>0</v>
      </c>
      <c r="BQ1309" s="80">
        <f>IF(BE1309=1,AW1309,0)</f>
        <v>0</v>
      </c>
      <c r="BR1309" s="80">
        <f>IF(BE1309=1,AX1309,0)</f>
        <v>0</v>
      </c>
      <c r="BS1309" s="80">
        <f>IF(AND(BE1309=1,D1309="Malcolm",BA1309&gt;0),MIN(BH1309,SUMPRODUCT((R_Emp="proMX")*(R_EN&gt;0)*((R_EN-(R_EN&gt;BR1309)*(R_EN-BR1309))&gt;(R_SN+(R_SN&lt;BQ1309)*(BQ1309-R_SN)))*((R_EN-(R_EN&gt;BR1309)*(R_EN-BR1309))-(R_SN+(R_SN&lt;BQ1309)*(BQ1309-R_SN))))/60),0)</f>
        <v>0</v>
      </c>
      <c r="BT1309" s="80">
        <f>IF(AND(BE1309=1,D1309="proMX"),ROUND(BI1309*CFG_RATE+BJ1309*CFG_OTRATE,6),0)</f>
        <v>0</v>
      </c>
      <c r="BU1309" s="80">
        <f>IF(AND(BD1309=1,D1309="proMX"),ROUND(AG1309/CFG_BLK,6),0)</f>
        <v>0</v>
      </c>
      <c r="BV1309" s="80" t="str">
        <f>IF(BF1309="Approved",IF(ISNUMBER(T1309),INT(T1309),INT(B1309)),"")</f>
        <v/>
      </c>
      <c r="BW1309" s="80">
        <f>IF(ISNUMBER(B1309),IF(DB_MON="Todos",1,IF(AND(INT(B1309)&gt;=DB_MS,INT(B1309)&lt;=DB_ME),1,0)),0)</f>
        <v>0</v>
      </c>
      <c r="BX1309" s="80">
        <f>IF(DB_PROJ="Todos",1,IF(E1309&amp;""=DB_PROJ&amp;"",1,0))</f>
        <v>1</v>
      </c>
      <c r="BY1309" s="80">
        <f>BW1309*BX1309</f>
        <v>0</v>
      </c>
      <c r="BZ1309" s="80" t="str">
        <f>IF(Y1309=1,F1309&amp;IF(AND(F1309&amp;""&lt;&gt;"",E1309&amp;""&lt;&gt;"")," · ","")&amp;E1309,"")</f>
        <v/>
      </c>
      <c r="CA1309" s="80" t="str">
        <f>IF(AND(BD1309=1,E1309&amp;""&lt;&gt;""),IF(COUNTIFS($E$5:E1308,E1309,$BD$5:BD1308,1)=0,MAX($CA$5:CA1308)+1,""),"")</f>
        <v/>
      </c>
      <c r="CB1309" s="80" t="str">
        <f>IF(AND(BE1309=1,D1309="Malcolm",E1309&amp;""&lt;&gt;""),IF(COUNTIFS($D$5:D1308,"Malcolm",$E$5:E1308,E1309,$BE$5:BE1308,1)=0,MAX($CB$5:CB1308)+1,""),"")</f>
        <v/>
      </c>
      <c r="CC1309" s="80" t="str">
        <f>IF(AND(BD1309=1,D1309="proMX",E1309&amp;""&lt;&gt;""),IF(COUNTIFS($D$5:D1308,"proMX",$E$5:E1308,E1309,$BD$5:BD1308,1)=0,MAX($CC$5:CC1308)+1,""),"")</f>
        <v/>
      </c>
      <c r="CD1309" s="80" t="str">
        <f>IF(AND(BE1309=1,D1309="Malcolm",F1309&amp;""&lt;&gt;""),IF(COUNTIFS($D$5:D1308,"Malcolm",$F$5:F1308,F1309,$BE$5:BE1308,1)=0,MAX($CD$5:CD1308)+1,""),"")</f>
        <v/>
      </c>
      <c r="CE1309" s="80" t="str">
        <f>IF(AND(BD1309=1,D1309="proMX",F1309&amp;""&lt;&gt;""),IF(COUNTIFS($D$5:D1308,"proMX",$F$5:F1308,F1309,$BD$5:BD1308,1)=0,MAX($CE$5:CE1308)+1,""),"")</f>
        <v/>
      </c>
      <c r="CF1309" s="80" t="str">
        <f>IF(AND(D1309="proMX",BD1309=1),IF(OR(BF1309="Draft",BF1309="Submitted",BF1309="Returned",BF1309="Recall Requested"),MAX($CF$5:CF1308)+1,""),"")</f>
        <v/>
      </c>
      <c r="CG1309" s="80">
        <f>IF(BD1309=0,0,IF(D1309="Malcolm",1,MATCH(BF1309,{"Draft","Submitted","Approved","Returned","Recall Requested","Cancelled"},0)+1))</f>
        <v>0</v>
      </c>
      <c r="CH1309" s="80">
        <f>IF(AND(BF1309="Submitted",ISNUMBER(V1309)),IF(V1309&gt;CFG_MAXD,1,0),0)</f>
        <v>0</v>
      </c>
    </row>
    <row r="1310">
      <c r="A1310" s="71" t="str">
        <f>IF(Y1310=1,ROW()-5,"")</f>
        <v/>
      </c>
      <c r="B1310" s="72" t="n"/>
      <c r="C1310" s="71" t="str">
        <f>IF(ISNUMBER(B1310),CHOOSE(WEEKDAY(B1310,2),"Lun","Mar","Mié","Jue","Vie","Sáb","Dom"),"")</f>
        <v/>
      </c>
      <c r="D1310" s="73" t="n"/>
      <c r="E1310" s="74" t="n"/>
      <c r="F1310" s="74" t="n"/>
      <c r="G1310" s="74" t="n"/>
      <c r="H1310" s="75" t="n"/>
      <c r="I1310" s="75" t="n"/>
      <c r="J1310" s="76" t="n"/>
      <c r="K1310" s="77" t="str">
        <f>IF(AB1310=1,ROUND(AG1310/60,4),"")</f>
        <v/>
      </c>
      <c r="L1310" s="77" t="str">
        <f>IF(BD1310=1,ROUND(AP1310/60,4),"")</f>
        <v/>
      </c>
      <c r="M1310" s="77" t="str">
        <f>IF(BD1310=1,ROUND(AQ1310/60,4),"")</f>
        <v/>
      </c>
      <c r="N1310" s="71" t="str">
        <f>IF(AND(D1310="proMX",AB1310=1),ROUND(AG1310/CFG_BLK,2),"")</f>
        <v/>
      </c>
      <c r="O1310" s="77" t="str">
        <f>IF(D1310="proMX",IF(BD1310=1,ROUND(AG1310/60,4),0),"")</f>
        <v/>
      </c>
      <c r="P1310" s="78" t="str">
        <f>IF(Y1310=0,"",IF(BD1310=1,"OK",IF(D1310="proMX","Revisar bloques: ","Revisar: ")&amp;BC1310))</f>
        <v/>
      </c>
      <c r="Q1310" s="78" t="str">
        <f>IF(NOT(ISNUMBER(B1310)),"",IF(COUNTIFS(FER_F,INT(B1310))&gt;0,"Feriado"&amp;IF(AH1310=1," (laborable)"," (no laborable)"),IF(AH1310=1,"Laborable",IF(WEEKDAY(B1310,2)&gt;5,"Fin de semana","No laborable"))))</f>
        <v/>
      </c>
      <c r="R1310" s="73" t="n"/>
      <c r="S1310" s="72" t="n"/>
      <c r="T1310" s="72" t="n"/>
      <c r="U1310" s="74" t="n"/>
      <c r="V1310" s="79" t="str">
        <f>IF(AND(D1310="proMX",OR(R1310="Submitted",R1310="Recall Requested"),ISNUMBER(S1310)),CFG_TODAY-INT(S1310),"")</f>
        <v/>
      </c>
      <c r="W1310" s="78" t="str">
        <f>IF(BD1310=0,"",IF(BA1310&gt;0,"⚠ Se superpone con un registro de la otra empresa",IF(D1310="Malcolm",IF(COUNTA(R1310,S1310,T1310)&gt;0,"Estado/fechas proMX se ignoran en Malcolm",""),IF(BF1310="Cancelled","Cancelado: excluido de totales",IF(R1310="","Sin estado: se trata como Draft",IF(BF1310="Submitted",IF(ISNUMBER(V1310),IF(V1310&gt;CFG_MAXD,"⚠ "&amp;V1310&amp;" días en Submitted (máx. "&amp;CFG_MAXD&amp;")",""),"Falta fecha de envío"),IF(BF1310="Returned","⚠ Devuelto: corregir y reenviar",IF(BF1310="Recall Requested","Retirada solicitada: pendiente",IF(AND(BF1310="Approved",NOT(ISNUMBER(T1310))),"Falta fecha de aprobación",IF(AND(ISNUMBER(S1310),ISNUMBER(T1310),T1310&lt;S1310),"Aprobación anterior al envío","")))))))))</f>
        <v/>
      </c>
      <c r="Y1310" s="80">
        <f>IF(COUNTA(B1310,D1310,E1310,F1310,G1310,H1310,I1310,J1310,R1310,S1310,T1310)&gt;0,1,0)</f>
        <v>0</v>
      </c>
      <c r="Z1310" s="80" t="str">
        <f>IF(AND(ISNUMBER(H1310),H1310&gt;=0,H1310&lt;1),ROUND(H1310*1440,0),"")</f>
        <v/>
      </c>
      <c r="AA1310" s="80" t="str">
        <f>IF(AND(ISNUMBER(I1310),I1310&gt;=0,I1310&lt;1),ROUND(I1310*1440,0),"")</f>
        <v/>
      </c>
      <c r="AB1310" s="80">
        <f>IF(AND(ISNUMBER(B1310),D1310&lt;&gt;"",ISNUMBER(Z1310),ISNUMBER(AA1310)),IF(Z1310=AA1310,0,1),0)</f>
        <v>0</v>
      </c>
      <c r="AC1310" s="80">
        <f>IF(AB1310=1,IF(AA1310&lt;Z1310,1,0),0)</f>
        <v>0</v>
      </c>
      <c r="AD1310" s="80">
        <f>IF(AB1310=1,IF(AC1310=1,1440-Z1310+AA1310,AA1310-Z1310),0)</f>
        <v>0</v>
      </c>
      <c r="AE1310" s="80">
        <f>IF(J1310="",0,IF(ISNUMBER(J1310),J1310,-1))</f>
        <v>0</v>
      </c>
      <c r="AF1310" s="80">
        <f>MIN(MAX(0,AE1310),AD1310)</f>
        <v>0</v>
      </c>
      <c r="AG1310" s="80">
        <f>MAX(0,AD1310-MAX(0,AE1310))</f>
        <v>0</v>
      </c>
      <c r="AH1310" s="80">
        <f>IF(ISNUMBER(B1310),IF(AND(INDEX(CFG_WDAYS,WEEKDAY(INT(B1310),2))="Sí",IF(D1310="proMX",COUNTIFS(FER_F,INT(B1310),FER_NLP,"Sí"),COUNTIFS(FER_F,INT(B1310),FER_NLM,"Sí"))=0),1,0),0)</f>
        <v>0</v>
      </c>
      <c r="AI1310" s="80">
        <f>IF(AC1310=1,IF(AND(INDEX(CFG_WDAYS,WEEKDAY(INT(B1310)+1,2))="Sí",IF(D1310="proMX",COUNTIFS(FER_F,INT(B1310)+1,FER_NLP,"Sí"),COUNTIFS(FER_F,INT(B1310)+1,FER_NLM,"Sí"))=0),1,0),0)</f>
        <v>0</v>
      </c>
      <c r="AJ1310" s="80">
        <f>IF(AC1310=1,1440-Z1310,AD1310)</f>
        <v>0</v>
      </c>
      <c r="AK1310" s="80">
        <f>IF(AND(AB1310=1,AH1310=1),MAX(0,MIN(IF(AC1310=1,1440,AA1310),CFG_WEM)-MAX(Z1310,CFG_WSM)),0)</f>
        <v>0</v>
      </c>
      <c r="AL1310" s="80">
        <f>IF(AND(AC1310=1,AI1310=1),MAX(0,MIN(AA1310,CFG_WEM)-CFG_WSM),0)</f>
        <v>0</v>
      </c>
      <c r="AM1310" s="80">
        <f>AK1310+AL1310</f>
        <v>0</v>
      </c>
      <c r="AN1310" s="80">
        <f>IF(CFG_BRK="Proporcional",IF(AD1310=0,0,AF1310*AM1310/AD1310),IF(CFG_BRK="Extras primero",MIN(AM1310,MAX(0,AF1310-(AD1310-AM1310))),MIN(AF1310,AM1310)))</f>
        <v>0</v>
      </c>
      <c r="AO1310" s="80">
        <f>AF1310-AN1310</f>
        <v>0</v>
      </c>
      <c r="AP1310" s="80">
        <f>AM1310-AN1310</f>
        <v>0</v>
      </c>
      <c r="AQ1310" s="80">
        <f>AD1310-AM1310-AO1310</f>
        <v>0</v>
      </c>
      <c r="AR1310" s="80">
        <f>IF(AM1310=0,0,AK1310-AN1310*AK1310/AM1310)</f>
        <v>0</v>
      </c>
      <c r="AS1310" s="80">
        <f>IF(AD1310-AM1310=0,0,(AJ1310-AK1310)-AO1310*(AJ1310-AK1310)/(AD1310-AM1310))</f>
        <v>0</v>
      </c>
      <c r="AT1310" s="80" t="str">
        <f>IF(AC1310=1,INT(B1310)+1,"")</f>
        <v/>
      </c>
      <c r="AU1310" s="80">
        <f>IF(AND(D1310="proMX",R1310="Cancelled"),0,1)</f>
        <v>1</v>
      </c>
      <c r="AV1310" s="80">
        <f>IF(AND(AB1310=1,AU1310=1),IF(COUNTIFS($D$5:D1309,D1310,$B$5:B1309,B1310,$Z$5:Z1309,Z1310,$AA$5:AA1309,AA1310,$F$5:F1309,F1310&amp;"",$AU$5:AU1309,1)&gt;0,1,0),0)</f>
        <v>0</v>
      </c>
      <c r="AW1310" s="80" t="str">
        <f>IF(AB1310=1,INT(B1310)*1440+Z1310,"")</f>
        <v/>
      </c>
      <c r="AX1310" s="80" t="str">
        <f>IF(AB1310=1,AW1310+AD1310,"")</f>
        <v/>
      </c>
      <c r="AY1310" s="80">
        <f>IF(AND(AB1310=1,AV1310=0,AU1310=1),1,0)</f>
        <v>0</v>
      </c>
      <c r="AZ1310" s="80">
        <f>IF(AY1310=1,COUNTIFS(R_Emp,D1310,R_SAbs,"&lt;"&amp;AX1310,R_EAbs,"&gt;"&amp;AW1310,R_OKey,1)-1,0)</f>
        <v>0</v>
      </c>
      <c r="BA1310" s="80">
        <f>IF(AY1310=1,COUNTIFS(R_Emp,"&lt;&gt;"&amp;D1310,R_SAbs,"&lt;"&amp;AX1310,R_EAbs,"&gt;"&amp;AW1310,R_OKey,1),0)</f>
        <v>0</v>
      </c>
      <c r="BB1310" s="80">
        <f>IF(AND(AB1310=1,D1310="proMX"),IF(AND(MOD(Z1310,CFG_BLK)=0,MOD(AA1310,CFG_BLK)=0,MOD(AG1310,CFG_BLK)=0,AG1310&gt;0),1,0),1)</f>
        <v>1</v>
      </c>
      <c r="BC1310" s="80" t="str">
        <f>IF(Y1310=0,"",IF(NOT(ISNUMBER(B1310)),"Falta fecha o fecha inválida",IF(D1310="","Falta empresa",IF(AND(D1310&lt;&gt;"Malcolm",D1310&lt;&gt;"proMX"),"Empresa inválida",IF(OR(INT(B1310)&lt;CFG_PSTART,INT(B1310)&gt;CFG_PEND),"Fecha fuera del período",IF(OR(NOT(ISNUMBER(Z1310)),NOT(ISNUMBER(AA1310))),"Falta hora inicio/fin o formato inválido",IF(AB1310=0,"Hora inicio = hora fin",IF(AE1310&lt;0,"Descanso inválido",IF(AE1310&gt;=AD1310,"Descanso ≥ duración",IF(AV1310=1,"Registro duplicado",IF(AZ1310&gt;0,"Se superpone con otro registro "&amp;D1310,IF(BB1310=0,"inicio, fin y duración neta deben ser múltiplos de "&amp;CFG_BLK&amp;" min",""))))))))))))</f>
        <v/>
      </c>
      <c r="BD1310" s="80">
        <f>IF(AND(Y1310=1,BC1310=""),1,0)</f>
        <v>0</v>
      </c>
      <c r="BE1310" s="80">
        <f>IF(AND(BD1310=1,AU1310=1),1,0)</f>
        <v>0</v>
      </c>
      <c r="BF1310" s="80" t="str">
        <f>IF(AND(D1310="proMX",BD1310=1),IF(R1310="","Draft",R1310),"")</f>
        <v/>
      </c>
      <c r="BG1310" s="80">
        <f>IF(BD1310=1,ROUND(AG1310/60,6),0)</f>
        <v>0</v>
      </c>
      <c r="BH1310" s="80">
        <f>IF(BE1310=1,ROUND(AG1310/60,6),0)</f>
        <v>0</v>
      </c>
      <c r="BI1310" s="80">
        <f>IF(BE1310=1,ROUND(AP1310/60,6),0)</f>
        <v>0</v>
      </c>
      <c r="BJ1310" s="80">
        <f>IF(BE1310=1,ROUND(AQ1310/60,6),0)</f>
        <v>0</v>
      </c>
      <c r="BK1310" s="80">
        <f>IF(BE1310=1,ROUND((AR1310+AS1310)/60,6),0)</f>
        <v>0</v>
      </c>
      <c r="BL1310" s="80">
        <f>ROUND(BH1310-BK1310,6)</f>
        <v>0</v>
      </c>
      <c r="BM1310" s="80">
        <f>IF(BE1310=1,ROUND(AR1310/60,6),0)</f>
        <v>0</v>
      </c>
      <c r="BN1310" s="80">
        <f>ROUND(BI1310-BM1310,6)</f>
        <v>0</v>
      </c>
      <c r="BO1310" s="80">
        <f>IF(BE1310=1,ROUND(AS1310/60,6),0)</f>
        <v>0</v>
      </c>
      <c r="BP1310" s="80">
        <f>ROUND(BJ1310-BO1310,6)</f>
        <v>0</v>
      </c>
      <c r="BQ1310" s="80">
        <f>IF(BE1310=1,AW1310,0)</f>
        <v>0</v>
      </c>
      <c r="BR1310" s="80">
        <f>IF(BE1310=1,AX1310,0)</f>
        <v>0</v>
      </c>
      <c r="BS1310" s="80">
        <f>IF(AND(BE1310=1,D1310="Malcolm",BA1310&gt;0),MIN(BH1310,SUMPRODUCT((R_Emp="proMX")*(R_EN&gt;0)*((R_EN-(R_EN&gt;BR1310)*(R_EN-BR1310))&gt;(R_SN+(R_SN&lt;BQ1310)*(BQ1310-R_SN)))*((R_EN-(R_EN&gt;BR1310)*(R_EN-BR1310))-(R_SN+(R_SN&lt;BQ1310)*(BQ1310-R_SN))))/60),0)</f>
        <v>0</v>
      </c>
      <c r="BT1310" s="80">
        <f>IF(AND(BE1310=1,D1310="proMX"),ROUND(BI1310*CFG_RATE+BJ1310*CFG_OTRATE,6),0)</f>
        <v>0</v>
      </c>
      <c r="BU1310" s="80">
        <f>IF(AND(BD1310=1,D1310="proMX"),ROUND(AG1310/CFG_BLK,6),0)</f>
        <v>0</v>
      </c>
      <c r="BV1310" s="80" t="str">
        <f>IF(BF1310="Approved",IF(ISNUMBER(T1310),INT(T1310),INT(B1310)),"")</f>
        <v/>
      </c>
      <c r="BW1310" s="80">
        <f>IF(ISNUMBER(B1310),IF(DB_MON="Todos",1,IF(AND(INT(B1310)&gt;=DB_MS,INT(B1310)&lt;=DB_ME),1,0)),0)</f>
        <v>0</v>
      </c>
      <c r="BX1310" s="80">
        <f>IF(DB_PROJ="Todos",1,IF(E1310&amp;""=DB_PROJ&amp;"",1,0))</f>
        <v>1</v>
      </c>
      <c r="BY1310" s="80">
        <f>BW1310*BX1310</f>
        <v>0</v>
      </c>
      <c r="BZ1310" s="80" t="str">
        <f>IF(Y1310=1,F1310&amp;IF(AND(F1310&amp;""&lt;&gt;"",E1310&amp;""&lt;&gt;"")," · ","")&amp;E1310,"")</f>
        <v/>
      </c>
      <c r="CA1310" s="80" t="str">
        <f>IF(AND(BD1310=1,E1310&amp;""&lt;&gt;""),IF(COUNTIFS($E$5:E1309,E1310,$BD$5:BD1309,1)=0,MAX($CA$5:CA1309)+1,""),"")</f>
        <v/>
      </c>
      <c r="CB1310" s="80" t="str">
        <f>IF(AND(BE1310=1,D1310="Malcolm",E1310&amp;""&lt;&gt;""),IF(COUNTIFS($D$5:D1309,"Malcolm",$E$5:E1309,E1310,$BE$5:BE1309,1)=0,MAX($CB$5:CB1309)+1,""),"")</f>
        <v/>
      </c>
      <c r="CC1310" s="80" t="str">
        <f>IF(AND(BD1310=1,D1310="proMX",E1310&amp;""&lt;&gt;""),IF(COUNTIFS($D$5:D1309,"proMX",$E$5:E1309,E1310,$BD$5:BD1309,1)=0,MAX($CC$5:CC1309)+1,""),"")</f>
        <v/>
      </c>
      <c r="CD1310" s="80" t="str">
        <f>IF(AND(BE1310=1,D1310="Malcolm",F1310&amp;""&lt;&gt;""),IF(COUNTIFS($D$5:D1309,"Malcolm",$F$5:F1309,F1310,$BE$5:BE1309,1)=0,MAX($CD$5:CD1309)+1,""),"")</f>
        <v/>
      </c>
      <c r="CE1310" s="80" t="str">
        <f>IF(AND(BD1310=1,D1310="proMX",F1310&amp;""&lt;&gt;""),IF(COUNTIFS($D$5:D1309,"proMX",$F$5:F1309,F1310,$BD$5:BD1309,1)=0,MAX($CE$5:CE1309)+1,""),"")</f>
        <v/>
      </c>
      <c r="CF1310" s="80" t="str">
        <f>IF(AND(D1310="proMX",BD1310=1),IF(OR(BF1310="Draft",BF1310="Submitted",BF1310="Returned",BF1310="Recall Requested"),MAX($CF$5:CF1309)+1,""),"")</f>
        <v/>
      </c>
      <c r="CG1310" s="80">
        <f>IF(BD1310=0,0,IF(D1310="Malcolm",1,MATCH(BF1310,{"Draft","Submitted","Approved","Returned","Recall Requested","Cancelled"},0)+1))</f>
        <v>0</v>
      </c>
      <c r="CH1310" s="80">
        <f>IF(AND(BF1310="Submitted",ISNUMBER(V1310)),IF(V1310&gt;CFG_MAXD,1,0),0)</f>
        <v>0</v>
      </c>
    </row>
    <row r="1311">
      <c r="A1311" s="71" t="str">
        <f>IF(Y1311=1,ROW()-5,"")</f>
        <v/>
      </c>
      <c r="B1311" s="72" t="n"/>
      <c r="C1311" s="71" t="str">
        <f>IF(ISNUMBER(B1311),CHOOSE(WEEKDAY(B1311,2),"Lun","Mar","Mié","Jue","Vie","Sáb","Dom"),"")</f>
        <v/>
      </c>
      <c r="D1311" s="73" t="n"/>
      <c r="E1311" s="74" t="n"/>
      <c r="F1311" s="74" t="n"/>
      <c r="G1311" s="74" t="n"/>
      <c r="H1311" s="75" t="n"/>
      <c r="I1311" s="75" t="n"/>
      <c r="J1311" s="76" t="n"/>
      <c r="K1311" s="77" t="str">
        <f>IF(AB1311=1,ROUND(AG1311/60,4),"")</f>
        <v/>
      </c>
      <c r="L1311" s="77" t="str">
        <f>IF(BD1311=1,ROUND(AP1311/60,4),"")</f>
        <v/>
      </c>
      <c r="M1311" s="77" t="str">
        <f>IF(BD1311=1,ROUND(AQ1311/60,4),"")</f>
        <v/>
      </c>
      <c r="N1311" s="71" t="str">
        <f>IF(AND(D1311="proMX",AB1311=1),ROUND(AG1311/CFG_BLK,2),"")</f>
        <v/>
      </c>
      <c r="O1311" s="77" t="str">
        <f>IF(D1311="proMX",IF(BD1311=1,ROUND(AG1311/60,4),0),"")</f>
        <v/>
      </c>
      <c r="P1311" s="78" t="str">
        <f>IF(Y1311=0,"",IF(BD1311=1,"OK",IF(D1311="proMX","Revisar bloques: ","Revisar: ")&amp;BC1311))</f>
        <v/>
      </c>
      <c r="Q1311" s="78" t="str">
        <f>IF(NOT(ISNUMBER(B1311)),"",IF(COUNTIFS(FER_F,INT(B1311))&gt;0,"Feriado"&amp;IF(AH1311=1," (laborable)"," (no laborable)"),IF(AH1311=1,"Laborable",IF(WEEKDAY(B1311,2)&gt;5,"Fin de semana","No laborable"))))</f>
        <v/>
      </c>
      <c r="R1311" s="73" t="n"/>
      <c r="S1311" s="72" t="n"/>
      <c r="T1311" s="72" t="n"/>
      <c r="U1311" s="74" t="n"/>
      <c r="V1311" s="79" t="str">
        <f>IF(AND(D1311="proMX",OR(R1311="Submitted",R1311="Recall Requested"),ISNUMBER(S1311)),CFG_TODAY-INT(S1311),"")</f>
        <v/>
      </c>
      <c r="W1311" s="78" t="str">
        <f>IF(BD1311=0,"",IF(BA1311&gt;0,"⚠ Se superpone con un registro de la otra empresa",IF(D1311="Malcolm",IF(COUNTA(R1311,S1311,T1311)&gt;0,"Estado/fechas proMX se ignoran en Malcolm",""),IF(BF1311="Cancelled","Cancelado: excluido de totales",IF(R1311="","Sin estado: se trata como Draft",IF(BF1311="Submitted",IF(ISNUMBER(V1311),IF(V1311&gt;CFG_MAXD,"⚠ "&amp;V1311&amp;" días en Submitted (máx. "&amp;CFG_MAXD&amp;")",""),"Falta fecha de envío"),IF(BF1311="Returned","⚠ Devuelto: corregir y reenviar",IF(BF1311="Recall Requested","Retirada solicitada: pendiente",IF(AND(BF1311="Approved",NOT(ISNUMBER(T1311))),"Falta fecha de aprobación",IF(AND(ISNUMBER(S1311),ISNUMBER(T1311),T1311&lt;S1311),"Aprobación anterior al envío","")))))))))</f>
        <v/>
      </c>
      <c r="Y1311" s="80">
        <f>IF(COUNTA(B1311,D1311,E1311,F1311,G1311,H1311,I1311,J1311,R1311,S1311,T1311)&gt;0,1,0)</f>
        <v>0</v>
      </c>
      <c r="Z1311" s="80" t="str">
        <f>IF(AND(ISNUMBER(H1311),H1311&gt;=0,H1311&lt;1),ROUND(H1311*1440,0),"")</f>
        <v/>
      </c>
      <c r="AA1311" s="80" t="str">
        <f>IF(AND(ISNUMBER(I1311),I1311&gt;=0,I1311&lt;1),ROUND(I1311*1440,0),"")</f>
        <v/>
      </c>
      <c r="AB1311" s="80">
        <f>IF(AND(ISNUMBER(B1311),D1311&lt;&gt;"",ISNUMBER(Z1311),ISNUMBER(AA1311)),IF(Z1311=AA1311,0,1),0)</f>
        <v>0</v>
      </c>
      <c r="AC1311" s="80">
        <f>IF(AB1311=1,IF(AA1311&lt;Z1311,1,0),0)</f>
        <v>0</v>
      </c>
      <c r="AD1311" s="80">
        <f>IF(AB1311=1,IF(AC1311=1,1440-Z1311+AA1311,AA1311-Z1311),0)</f>
        <v>0</v>
      </c>
      <c r="AE1311" s="80">
        <f>IF(J1311="",0,IF(ISNUMBER(J1311),J1311,-1))</f>
        <v>0</v>
      </c>
      <c r="AF1311" s="80">
        <f>MIN(MAX(0,AE1311),AD1311)</f>
        <v>0</v>
      </c>
      <c r="AG1311" s="80">
        <f>MAX(0,AD1311-MAX(0,AE1311))</f>
        <v>0</v>
      </c>
      <c r="AH1311" s="80">
        <f>IF(ISNUMBER(B1311),IF(AND(INDEX(CFG_WDAYS,WEEKDAY(INT(B1311),2))="Sí",IF(D1311="proMX",COUNTIFS(FER_F,INT(B1311),FER_NLP,"Sí"),COUNTIFS(FER_F,INT(B1311),FER_NLM,"Sí"))=0),1,0),0)</f>
        <v>0</v>
      </c>
      <c r="AI1311" s="80">
        <f>IF(AC1311=1,IF(AND(INDEX(CFG_WDAYS,WEEKDAY(INT(B1311)+1,2))="Sí",IF(D1311="proMX",COUNTIFS(FER_F,INT(B1311)+1,FER_NLP,"Sí"),COUNTIFS(FER_F,INT(B1311)+1,FER_NLM,"Sí"))=0),1,0),0)</f>
        <v>0</v>
      </c>
      <c r="AJ1311" s="80">
        <f>IF(AC1311=1,1440-Z1311,AD1311)</f>
        <v>0</v>
      </c>
      <c r="AK1311" s="80">
        <f>IF(AND(AB1311=1,AH1311=1),MAX(0,MIN(IF(AC1311=1,1440,AA1311),CFG_WEM)-MAX(Z1311,CFG_WSM)),0)</f>
        <v>0</v>
      </c>
      <c r="AL1311" s="80">
        <f>IF(AND(AC1311=1,AI1311=1),MAX(0,MIN(AA1311,CFG_WEM)-CFG_WSM),0)</f>
        <v>0</v>
      </c>
      <c r="AM1311" s="80">
        <f>AK1311+AL1311</f>
        <v>0</v>
      </c>
      <c r="AN1311" s="80">
        <f>IF(CFG_BRK="Proporcional",IF(AD1311=0,0,AF1311*AM1311/AD1311),IF(CFG_BRK="Extras primero",MIN(AM1311,MAX(0,AF1311-(AD1311-AM1311))),MIN(AF1311,AM1311)))</f>
        <v>0</v>
      </c>
      <c r="AO1311" s="80">
        <f>AF1311-AN1311</f>
        <v>0</v>
      </c>
      <c r="AP1311" s="80">
        <f>AM1311-AN1311</f>
        <v>0</v>
      </c>
      <c r="AQ1311" s="80">
        <f>AD1311-AM1311-AO1311</f>
        <v>0</v>
      </c>
      <c r="AR1311" s="80">
        <f>IF(AM1311=0,0,AK1311-AN1311*AK1311/AM1311)</f>
        <v>0</v>
      </c>
      <c r="AS1311" s="80">
        <f>IF(AD1311-AM1311=0,0,(AJ1311-AK1311)-AO1311*(AJ1311-AK1311)/(AD1311-AM1311))</f>
        <v>0</v>
      </c>
      <c r="AT1311" s="80" t="str">
        <f>IF(AC1311=1,INT(B1311)+1,"")</f>
        <v/>
      </c>
      <c r="AU1311" s="80">
        <f>IF(AND(D1311="proMX",R1311="Cancelled"),0,1)</f>
        <v>1</v>
      </c>
      <c r="AV1311" s="80">
        <f>IF(AND(AB1311=1,AU1311=1),IF(COUNTIFS($D$5:D1310,D1311,$B$5:B1310,B1311,$Z$5:Z1310,Z1311,$AA$5:AA1310,AA1311,$F$5:F1310,F1311&amp;"",$AU$5:AU1310,1)&gt;0,1,0),0)</f>
        <v>0</v>
      </c>
      <c r="AW1311" s="80" t="str">
        <f>IF(AB1311=1,INT(B1311)*1440+Z1311,"")</f>
        <v/>
      </c>
      <c r="AX1311" s="80" t="str">
        <f>IF(AB1311=1,AW1311+AD1311,"")</f>
        <v/>
      </c>
      <c r="AY1311" s="80">
        <f>IF(AND(AB1311=1,AV1311=0,AU1311=1),1,0)</f>
        <v>0</v>
      </c>
      <c r="AZ1311" s="80">
        <f>IF(AY1311=1,COUNTIFS(R_Emp,D1311,R_SAbs,"&lt;"&amp;AX1311,R_EAbs,"&gt;"&amp;AW1311,R_OKey,1)-1,0)</f>
        <v>0</v>
      </c>
      <c r="BA1311" s="80">
        <f>IF(AY1311=1,COUNTIFS(R_Emp,"&lt;&gt;"&amp;D1311,R_SAbs,"&lt;"&amp;AX1311,R_EAbs,"&gt;"&amp;AW1311,R_OKey,1),0)</f>
        <v>0</v>
      </c>
      <c r="BB1311" s="80">
        <f>IF(AND(AB1311=1,D1311="proMX"),IF(AND(MOD(Z1311,CFG_BLK)=0,MOD(AA1311,CFG_BLK)=0,MOD(AG1311,CFG_BLK)=0,AG1311&gt;0),1,0),1)</f>
        <v>1</v>
      </c>
      <c r="BC1311" s="80" t="str">
        <f>IF(Y1311=0,"",IF(NOT(ISNUMBER(B1311)),"Falta fecha o fecha inválida",IF(D1311="","Falta empresa",IF(AND(D1311&lt;&gt;"Malcolm",D1311&lt;&gt;"proMX"),"Empresa inválida",IF(OR(INT(B1311)&lt;CFG_PSTART,INT(B1311)&gt;CFG_PEND),"Fecha fuera del período",IF(OR(NOT(ISNUMBER(Z1311)),NOT(ISNUMBER(AA1311))),"Falta hora inicio/fin o formato inválido",IF(AB1311=0,"Hora inicio = hora fin",IF(AE1311&lt;0,"Descanso inválido",IF(AE1311&gt;=AD1311,"Descanso ≥ duración",IF(AV1311=1,"Registro duplicado",IF(AZ1311&gt;0,"Se superpone con otro registro "&amp;D1311,IF(BB1311=0,"inicio, fin y duración neta deben ser múltiplos de "&amp;CFG_BLK&amp;" min",""))))))))))))</f>
        <v/>
      </c>
      <c r="BD1311" s="80">
        <f>IF(AND(Y1311=1,BC1311=""),1,0)</f>
        <v>0</v>
      </c>
      <c r="BE1311" s="80">
        <f>IF(AND(BD1311=1,AU1311=1),1,0)</f>
        <v>0</v>
      </c>
      <c r="BF1311" s="80" t="str">
        <f>IF(AND(D1311="proMX",BD1311=1),IF(R1311="","Draft",R1311),"")</f>
        <v/>
      </c>
      <c r="BG1311" s="80">
        <f>IF(BD1311=1,ROUND(AG1311/60,6),0)</f>
        <v>0</v>
      </c>
      <c r="BH1311" s="80">
        <f>IF(BE1311=1,ROUND(AG1311/60,6),0)</f>
        <v>0</v>
      </c>
      <c r="BI1311" s="80">
        <f>IF(BE1311=1,ROUND(AP1311/60,6),0)</f>
        <v>0</v>
      </c>
      <c r="BJ1311" s="80">
        <f>IF(BE1311=1,ROUND(AQ1311/60,6),0)</f>
        <v>0</v>
      </c>
      <c r="BK1311" s="80">
        <f>IF(BE1311=1,ROUND((AR1311+AS1311)/60,6),0)</f>
        <v>0</v>
      </c>
      <c r="BL1311" s="80">
        <f>ROUND(BH1311-BK1311,6)</f>
        <v>0</v>
      </c>
      <c r="BM1311" s="80">
        <f>IF(BE1311=1,ROUND(AR1311/60,6),0)</f>
        <v>0</v>
      </c>
      <c r="BN1311" s="80">
        <f>ROUND(BI1311-BM1311,6)</f>
        <v>0</v>
      </c>
      <c r="BO1311" s="80">
        <f>IF(BE1311=1,ROUND(AS1311/60,6),0)</f>
        <v>0</v>
      </c>
      <c r="BP1311" s="80">
        <f>ROUND(BJ1311-BO1311,6)</f>
        <v>0</v>
      </c>
      <c r="BQ1311" s="80">
        <f>IF(BE1311=1,AW1311,0)</f>
        <v>0</v>
      </c>
      <c r="BR1311" s="80">
        <f>IF(BE1311=1,AX1311,0)</f>
        <v>0</v>
      </c>
      <c r="BS1311" s="80">
        <f>IF(AND(BE1311=1,D1311="Malcolm",BA1311&gt;0),MIN(BH1311,SUMPRODUCT((R_Emp="proMX")*(R_EN&gt;0)*((R_EN-(R_EN&gt;BR1311)*(R_EN-BR1311))&gt;(R_SN+(R_SN&lt;BQ1311)*(BQ1311-R_SN)))*((R_EN-(R_EN&gt;BR1311)*(R_EN-BR1311))-(R_SN+(R_SN&lt;BQ1311)*(BQ1311-R_SN))))/60),0)</f>
        <v>0</v>
      </c>
      <c r="BT1311" s="80">
        <f>IF(AND(BE1311=1,D1311="proMX"),ROUND(BI1311*CFG_RATE+BJ1311*CFG_OTRATE,6),0)</f>
        <v>0</v>
      </c>
      <c r="BU1311" s="80">
        <f>IF(AND(BD1311=1,D1311="proMX"),ROUND(AG1311/CFG_BLK,6),0)</f>
        <v>0</v>
      </c>
      <c r="BV1311" s="80" t="str">
        <f>IF(BF1311="Approved",IF(ISNUMBER(T1311),INT(T1311),INT(B1311)),"")</f>
        <v/>
      </c>
      <c r="BW1311" s="80">
        <f>IF(ISNUMBER(B1311),IF(DB_MON="Todos",1,IF(AND(INT(B1311)&gt;=DB_MS,INT(B1311)&lt;=DB_ME),1,0)),0)</f>
        <v>0</v>
      </c>
      <c r="BX1311" s="80">
        <f>IF(DB_PROJ="Todos",1,IF(E1311&amp;""=DB_PROJ&amp;"",1,0))</f>
        <v>1</v>
      </c>
      <c r="BY1311" s="80">
        <f>BW1311*BX1311</f>
        <v>0</v>
      </c>
      <c r="BZ1311" s="80" t="str">
        <f>IF(Y1311=1,F1311&amp;IF(AND(F1311&amp;""&lt;&gt;"",E1311&amp;""&lt;&gt;"")," · ","")&amp;E1311,"")</f>
        <v/>
      </c>
      <c r="CA1311" s="80" t="str">
        <f>IF(AND(BD1311=1,E1311&amp;""&lt;&gt;""),IF(COUNTIFS($E$5:E1310,E1311,$BD$5:BD1310,1)=0,MAX($CA$5:CA1310)+1,""),"")</f>
        <v/>
      </c>
      <c r="CB1311" s="80" t="str">
        <f>IF(AND(BE1311=1,D1311="Malcolm",E1311&amp;""&lt;&gt;""),IF(COUNTIFS($D$5:D1310,"Malcolm",$E$5:E1310,E1311,$BE$5:BE1310,1)=0,MAX($CB$5:CB1310)+1,""),"")</f>
        <v/>
      </c>
      <c r="CC1311" s="80" t="str">
        <f>IF(AND(BD1311=1,D1311="proMX",E1311&amp;""&lt;&gt;""),IF(COUNTIFS($D$5:D1310,"proMX",$E$5:E1310,E1311,$BD$5:BD1310,1)=0,MAX($CC$5:CC1310)+1,""),"")</f>
        <v/>
      </c>
      <c r="CD1311" s="80" t="str">
        <f>IF(AND(BE1311=1,D1311="Malcolm",F1311&amp;""&lt;&gt;""),IF(COUNTIFS($D$5:D1310,"Malcolm",$F$5:F1310,F1311,$BE$5:BE1310,1)=0,MAX($CD$5:CD1310)+1,""),"")</f>
        <v/>
      </c>
      <c r="CE1311" s="80" t="str">
        <f>IF(AND(BD1311=1,D1311="proMX",F1311&amp;""&lt;&gt;""),IF(COUNTIFS($D$5:D1310,"proMX",$F$5:F1310,F1311,$BD$5:BD1310,1)=0,MAX($CE$5:CE1310)+1,""),"")</f>
        <v/>
      </c>
      <c r="CF1311" s="80" t="str">
        <f>IF(AND(D1311="proMX",BD1311=1),IF(OR(BF1311="Draft",BF1311="Submitted",BF1311="Returned",BF1311="Recall Requested"),MAX($CF$5:CF1310)+1,""),"")</f>
        <v/>
      </c>
      <c r="CG1311" s="80">
        <f>IF(BD1311=0,0,IF(D1311="Malcolm",1,MATCH(BF1311,{"Draft","Submitted","Approved","Returned","Recall Requested","Cancelled"},0)+1))</f>
        <v>0</v>
      </c>
      <c r="CH1311" s="80">
        <f>IF(AND(BF1311="Submitted",ISNUMBER(V1311)),IF(V1311&gt;CFG_MAXD,1,0),0)</f>
        <v>0</v>
      </c>
    </row>
    <row r="1312">
      <c r="A1312" s="71" t="str">
        <f>IF(Y1312=1,ROW()-5,"")</f>
        <v/>
      </c>
      <c r="B1312" s="72" t="n"/>
      <c r="C1312" s="71" t="str">
        <f>IF(ISNUMBER(B1312),CHOOSE(WEEKDAY(B1312,2),"Lun","Mar","Mié","Jue","Vie","Sáb","Dom"),"")</f>
        <v/>
      </c>
      <c r="D1312" s="73" t="n"/>
      <c r="E1312" s="74" t="n"/>
      <c r="F1312" s="74" t="n"/>
      <c r="G1312" s="74" t="n"/>
      <c r="H1312" s="75" t="n"/>
      <c r="I1312" s="75" t="n"/>
      <c r="J1312" s="76" t="n"/>
      <c r="K1312" s="77" t="str">
        <f>IF(AB1312=1,ROUND(AG1312/60,4),"")</f>
        <v/>
      </c>
      <c r="L1312" s="77" t="str">
        <f>IF(BD1312=1,ROUND(AP1312/60,4),"")</f>
        <v/>
      </c>
      <c r="M1312" s="77" t="str">
        <f>IF(BD1312=1,ROUND(AQ1312/60,4),"")</f>
        <v/>
      </c>
      <c r="N1312" s="71" t="str">
        <f>IF(AND(D1312="proMX",AB1312=1),ROUND(AG1312/CFG_BLK,2),"")</f>
        <v/>
      </c>
      <c r="O1312" s="77" t="str">
        <f>IF(D1312="proMX",IF(BD1312=1,ROUND(AG1312/60,4),0),"")</f>
        <v/>
      </c>
      <c r="P1312" s="78" t="str">
        <f>IF(Y1312=0,"",IF(BD1312=1,"OK",IF(D1312="proMX","Revisar bloques: ","Revisar: ")&amp;BC1312))</f>
        <v/>
      </c>
      <c r="Q1312" s="78" t="str">
        <f>IF(NOT(ISNUMBER(B1312)),"",IF(COUNTIFS(FER_F,INT(B1312))&gt;0,"Feriado"&amp;IF(AH1312=1," (laborable)"," (no laborable)"),IF(AH1312=1,"Laborable",IF(WEEKDAY(B1312,2)&gt;5,"Fin de semana","No laborable"))))</f>
        <v/>
      </c>
      <c r="R1312" s="73" t="n"/>
      <c r="S1312" s="72" t="n"/>
      <c r="T1312" s="72" t="n"/>
      <c r="U1312" s="74" t="n"/>
      <c r="V1312" s="79" t="str">
        <f>IF(AND(D1312="proMX",OR(R1312="Submitted",R1312="Recall Requested"),ISNUMBER(S1312)),CFG_TODAY-INT(S1312),"")</f>
        <v/>
      </c>
      <c r="W1312" s="78" t="str">
        <f>IF(BD1312=0,"",IF(BA1312&gt;0,"⚠ Se superpone con un registro de la otra empresa",IF(D1312="Malcolm",IF(COUNTA(R1312,S1312,T1312)&gt;0,"Estado/fechas proMX se ignoran en Malcolm",""),IF(BF1312="Cancelled","Cancelado: excluido de totales",IF(R1312="","Sin estado: se trata como Draft",IF(BF1312="Submitted",IF(ISNUMBER(V1312),IF(V1312&gt;CFG_MAXD,"⚠ "&amp;V1312&amp;" días en Submitted (máx. "&amp;CFG_MAXD&amp;")",""),"Falta fecha de envío"),IF(BF1312="Returned","⚠ Devuelto: corregir y reenviar",IF(BF1312="Recall Requested","Retirada solicitada: pendiente",IF(AND(BF1312="Approved",NOT(ISNUMBER(T1312))),"Falta fecha de aprobación",IF(AND(ISNUMBER(S1312),ISNUMBER(T1312),T1312&lt;S1312),"Aprobación anterior al envío","")))))))))</f>
        <v/>
      </c>
      <c r="Y1312" s="80">
        <f>IF(COUNTA(B1312,D1312,E1312,F1312,G1312,H1312,I1312,J1312,R1312,S1312,T1312)&gt;0,1,0)</f>
        <v>0</v>
      </c>
      <c r="Z1312" s="80" t="str">
        <f>IF(AND(ISNUMBER(H1312),H1312&gt;=0,H1312&lt;1),ROUND(H1312*1440,0),"")</f>
        <v/>
      </c>
      <c r="AA1312" s="80" t="str">
        <f>IF(AND(ISNUMBER(I1312),I1312&gt;=0,I1312&lt;1),ROUND(I1312*1440,0),"")</f>
        <v/>
      </c>
      <c r="AB1312" s="80">
        <f>IF(AND(ISNUMBER(B1312),D1312&lt;&gt;"",ISNUMBER(Z1312),ISNUMBER(AA1312)),IF(Z1312=AA1312,0,1),0)</f>
        <v>0</v>
      </c>
      <c r="AC1312" s="80">
        <f>IF(AB1312=1,IF(AA1312&lt;Z1312,1,0),0)</f>
        <v>0</v>
      </c>
      <c r="AD1312" s="80">
        <f>IF(AB1312=1,IF(AC1312=1,1440-Z1312+AA1312,AA1312-Z1312),0)</f>
        <v>0</v>
      </c>
      <c r="AE1312" s="80">
        <f>IF(J1312="",0,IF(ISNUMBER(J1312),J1312,-1))</f>
        <v>0</v>
      </c>
      <c r="AF1312" s="80">
        <f>MIN(MAX(0,AE1312),AD1312)</f>
        <v>0</v>
      </c>
      <c r="AG1312" s="80">
        <f>MAX(0,AD1312-MAX(0,AE1312))</f>
        <v>0</v>
      </c>
      <c r="AH1312" s="80">
        <f>IF(ISNUMBER(B1312),IF(AND(INDEX(CFG_WDAYS,WEEKDAY(INT(B1312),2))="Sí",IF(D1312="proMX",COUNTIFS(FER_F,INT(B1312),FER_NLP,"Sí"),COUNTIFS(FER_F,INT(B1312),FER_NLM,"Sí"))=0),1,0),0)</f>
        <v>0</v>
      </c>
      <c r="AI1312" s="80">
        <f>IF(AC1312=1,IF(AND(INDEX(CFG_WDAYS,WEEKDAY(INT(B1312)+1,2))="Sí",IF(D1312="proMX",COUNTIFS(FER_F,INT(B1312)+1,FER_NLP,"Sí"),COUNTIFS(FER_F,INT(B1312)+1,FER_NLM,"Sí"))=0),1,0),0)</f>
        <v>0</v>
      </c>
      <c r="AJ1312" s="80">
        <f>IF(AC1312=1,1440-Z1312,AD1312)</f>
        <v>0</v>
      </c>
      <c r="AK1312" s="80">
        <f>IF(AND(AB1312=1,AH1312=1),MAX(0,MIN(IF(AC1312=1,1440,AA1312),CFG_WEM)-MAX(Z1312,CFG_WSM)),0)</f>
        <v>0</v>
      </c>
      <c r="AL1312" s="80">
        <f>IF(AND(AC1312=1,AI1312=1),MAX(0,MIN(AA1312,CFG_WEM)-CFG_WSM),0)</f>
        <v>0</v>
      </c>
      <c r="AM1312" s="80">
        <f>AK1312+AL1312</f>
        <v>0</v>
      </c>
      <c r="AN1312" s="80">
        <f>IF(CFG_BRK="Proporcional",IF(AD1312=0,0,AF1312*AM1312/AD1312),IF(CFG_BRK="Extras primero",MIN(AM1312,MAX(0,AF1312-(AD1312-AM1312))),MIN(AF1312,AM1312)))</f>
        <v>0</v>
      </c>
      <c r="AO1312" s="80">
        <f>AF1312-AN1312</f>
        <v>0</v>
      </c>
      <c r="AP1312" s="80">
        <f>AM1312-AN1312</f>
        <v>0</v>
      </c>
      <c r="AQ1312" s="80">
        <f>AD1312-AM1312-AO1312</f>
        <v>0</v>
      </c>
      <c r="AR1312" s="80">
        <f>IF(AM1312=0,0,AK1312-AN1312*AK1312/AM1312)</f>
        <v>0</v>
      </c>
      <c r="AS1312" s="80">
        <f>IF(AD1312-AM1312=0,0,(AJ1312-AK1312)-AO1312*(AJ1312-AK1312)/(AD1312-AM1312))</f>
        <v>0</v>
      </c>
      <c r="AT1312" s="80" t="str">
        <f>IF(AC1312=1,INT(B1312)+1,"")</f>
        <v/>
      </c>
      <c r="AU1312" s="80">
        <f>IF(AND(D1312="proMX",R1312="Cancelled"),0,1)</f>
        <v>1</v>
      </c>
      <c r="AV1312" s="80">
        <f>IF(AND(AB1312=1,AU1312=1),IF(COUNTIFS($D$5:D1311,D1312,$B$5:B1311,B1312,$Z$5:Z1311,Z1312,$AA$5:AA1311,AA1312,$F$5:F1311,F1312&amp;"",$AU$5:AU1311,1)&gt;0,1,0),0)</f>
        <v>0</v>
      </c>
      <c r="AW1312" s="80" t="str">
        <f>IF(AB1312=1,INT(B1312)*1440+Z1312,"")</f>
        <v/>
      </c>
      <c r="AX1312" s="80" t="str">
        <f>IF(AB1312=1,AW1312+AD1312,"")</f>
        <v/>
      </c>
      <c r="AY1312" s="80">
        <f>IF(AND(AB1312=1,AV1312=0,AU1312=1),1,0)</f>
        <v>0</v>
      </c>
      <c r="AZ1312" s="80">
        <f>IF(AY1312=1,COUNTIFS(R_Emp,D1312,R_SAbs,"&lt;"&amp;AX1312,R_EAbs,"&gt;"&amp;AW1312,R_OKey,1)-1,0)</f>
        <v>0</v>
      </c>
      <c r="BA1312" s="80">
        <f>IF(AY1312=1,COUNTIFS(R_Emp,"&lt;&gt;"&amp;D1312,R_SAbs,"&lt;"&amp;AX1312,R_EAbs,"&gt;"&amp;AW1312,R_OKey,1),0)</f>
        <v>0</v>
      </c>
      <c r="BB1312" s="80">
        <f>IF(AND(AB1312=1,D1312="proMX"),IF(AND(MOD(Z1312,CFG_BLK)=0,MOD(AA1312,CFG_BLK)=0,MOD(AG1312,CFG_BLK)=0,AG1312&gt;0),1,0),1)</f>
        <v>1</v>
      </c>
      <c r="BC1312" s="80" t="str">
        <f>IF(Y1312=0,"",IF(NOT(ISNUMBER(B1312)),"Falta fecha o fecha inválida",IF(D1312="","Falta empresa",IF(AND(D1312&lt;&gt;"Malcolm",D1312&lt;&gt;"proMX"),"Empresa inválida",IF(OR(INT(B1312)&lt;CFG_PSTART,INT(B1312)&gt;CFG_PEND),"Fecha fuera del período",IF(OR(NOT(ISNUMBER(Z1312)),NOT(ISNUMBER(AA1312))),"Falta hora inicio/fin o formato inválido",IF(AB1312=0,"Hora inicio = hora fin",IF(AE1312&lt;0,"Descanso inválido",IF(AE1312&gt;=AD1312,"Descanso ≥ duración",IF(AV1312=1,"Registro duplicado",IF(AZ1312&gt;0,"Se superpone con otro registro "&amp;D1312,IF(BB1312=0,"inicio, fin y duración neta deben ser múltiplos de "&amp;CFG_BLK&amp;" min",""))))))))))))</f>
        <v/>
      </c>
      <c r="BD1312" s="80">
        <f>IF(AND(Y1312=1,BC1312=""),1,0)</f>
        <v>0</v>
      </c>
      <c r="BE1312" s="80">
        <f>IF(AND(BD1312=1,AU1312=1),1,0)</f>
        <v>0</v>
      </c>
      <c r="BF1312" s="80" t="str">
        <f>IF(AND(D1312="proMX",BD1312=1),IF(R1312="","Draft",R1312),"")</f>
        <v/>
      </c>
      <c r="BG1312" s="80">
        <f>IF(BD1312=1,ROUND(AG1312/60,6),0)</f>
        <v>0</v>
      </c>
      <c r="BH1312" s="80">
        <f>IF(BE1312=1,ROUND(AG1312/60,6),0)</f>
        <v>0</v>
      </c>
      <c r="BI1312" s="80">
        <f>IF(BE1312=1,ROUND(AP1312/60,6),0)</f>
        <v>0</v>
      </c>
      <c r="BJ1312" s="80">
        <f>IF(BE1312=1,ROUND(AQ1312/60,6),0)</f>
        <v>0</v>
      </c>
      <c r="BK1312" s="80">
        <f>IF(BE1312=1,ROUND((AR1312+AS1312)/60,6),0)</f>
        <v>0</v>
      </c>
      <c r="BL1312" s="80">
        <f>ROUND(BH1312-BK1312,6)</f>
        <v>0</v>
      </c>
      <c r="BM1312" s="80">
        <f>IF(BE1312=1,ROUND(AR1312/60,6),0)</f>
        <v>0</v>
      </c>
      <c r="BN1312" s="80">
        <f>ROUND(BI1312-BM1312,6)</f>
        <v>0</v>
      </c>
      <c r="BO1312" s="80">
        <f>IF(BE1312=1,ROUND(AS1312/60,6),0)</f>
        <v>0</v>
      </c>
      <c r="BP1312" s="80">
        <f>ROUND(BJ1312-BO1312,6)</f>
        <v>0</v>
      </c>
      <c r="BQ1312" s="80">
        <f>IF(BE1312=1,AW1312,0)</f>
        <v>0</v>
      </c>
      <c r="BR1312" s="80">
        <f>IF(BE1312=1,AX1312,0)</f>
        <v>0</v>
      </c>
      <c r="BS1312" s="80">
        <f>IF(AND(BE1312=1,D1312="Malcolm",BA1312&gt;0),MIN(BH1312,SUMPRODUCT((R_Emp="proMX")*(R_EN&gt;0)*((R_EN-(R_EN&gt;BR1312)*(R_EN-BR1312))&gt;(R_SN+(R_SN&lt;BQ1312)*(BQ1312-R_SN)))*((R_EN-(R_EN&gt;BR1312)*(R_EN-BR1312))-(R_SN+(R_SN&lt;BQ1312)*(BQ1312-R_SN))))/60),0)</f>
        <v>0</v>
      </c>
      <c r="BT1312" s="80">
        <f>IF(AND(BE1312=1,D1312="proMX"),ROUND(BI1312*CFG_RATE+BJ1312*CFG_OTRATE,6),0)</f>
        <v>0</v>
      </c>
      <c r="BU1312" s="80">
        <f>IF(AND(BD1312=1,D1312="proMX"),ROUND(AG1312/CFG_BLK,6),0)</f>
        <v>0</v>
      </c>
      <c r="BV1312" s="80" t="str">
        <f>IF(BF1312="Approved",IF(ISNUMBER(T1312),INT(T1312),INT(B1312)),"")</f>
        <v/>
      </c>
      <c r="BW1312" s="80">
        <f>IF(ISNUMBER(B1312),IF(DB_MON="Todos",1,IF(AND(INT(B1312)&gt;=DB_MS,INT(B1312)&lt;=DB_ME),1,0)),0)</f>
        <v>0</v>
      </c>
      <c r="BX1312" s="80">
        <f>IF(DB_PROJ="Todos",1,IF(E1312&amp;""=DB_PROJ&amp;"",1,0))</f>
        <v>1</v>
      </c>
      <c r="BY1312" s="80">
        <f>BW1312*BX1312</f>
        <v>0</v>
      </c>
      <c r="BZ1312" s="80" t="str">
        <f>IF(Y1312=1,F1312&amp;IF(AND(F1312&amp;""&lt;&gt;"",E1312&amp;""&lt;&gt;"")," · ","")&amp;E1312,"")</f>
        <v/>
      </c>
      <c r="CA1312" s="80" t="str">
        <f>IF(AND(BD1312=1,E1312&amp;""&lt;&gt;""),IF(COUNTIFS($E$5:E1311,E1312,$BD$5:BD1311,1)=0,MAX($CA$5:CA1311)+1,""),"")</f>
        <v/>
      </c>
      <c r="CB1312" s="80" t="str">
        <f>IF(AND(BE1312=1,D1312="Malcolm",E1312&amp;""&lt;&gt;""),IF(COUNTIFS($D$5:D1311,"Malcolm",$E$5:E1311,E1312,$BE$5:BE1311,1)=0,MAX($CB$5:CB1311)+1,""),"")</f>
        <v/>
      </c>
      <c r="CC1312" s="80" t="str">
        <f>IF(AND(BD1312=1,D1312="proMX",E1312&amp;""&lt;&gt;""),IF(COUNTIFS($D$5:D1311,"proMX",$E$5:E1311,E1312,$BD$5:BD1311,1)=0,MAX($CC$5:CC1311)+1,""),"")</f>
        <v/>
      </c>
      <c r="CD1312" s="80" t="str">
        <f>IF(AND(BE1312=1,D1312="Malcolm",F1312&amp;""&lt;&gt;""),IF(COUNTIFS($D$5:D1311,"Malcolm",$F$5:F1311,F1312,$BE$5:BE1311,1)=0,MAX($CD$5:CD1311)+1,""),"")</f>
        <v/>
      </c>
      <c r="CE1312" s="80" t="str">
        <f>IF(AND(BD1312=1,D1312="proMX",F1312&amp;""&lt;&gt;""),IF(COUNTIFS($D$5:D1311,"proMX",$F$5:F1311,F1312,$BD$5:BD1311,1)=0,MAX($CE$5:CE1311)+1,""),"")</f>
        <v/>
      </c>
      <c r="CF1312" s="80" t="str">
        <f>IF(AND(D1312="proMX",BD1312=1),IF(OR(BF1312="Draft",BF1312="Submitted",BF1312="Returned",BF1312="Recall Requested"),MAX($CF$5:CF1311)+1,""),"")</f>
        <v/>
      </c>
      <c r="CG1312" s="80">
        <f>IF(BD1312=0,0,IF(D1312="Malcolm",1,MATCH(BF1312,{"Draft","Submitted","Approved","Returned","Recall Requested","Cancelled"},0)+1))</f>
        <v>0</v>
      </c>
      <c r="CH1312" s="80">
        <f>IF(AND(BF1312="Submitted",ISNUMBER(V1312)),IF(V1312&gt;CFG_MAXD,1,0),0)</f>
        <v>0</v>
      </c>
    </row>
    <row r="1313">
      <c r="A1313" s="71" t="str">
        <f>IF(Y1313=1,ROW()-5,"")</f>
        <v/>
      </c>
      <c r="B1313" s="72" t="n"/>
      <c r="C1313" s="71" t="str">
        <f>IF(ISNUMBER(B1313),CHOOSE(WEEKDAY(B1313,2),"Lun","Mar","Mié","Jue","Vie","Sáb","Dom"),"")</f>
        <v/>
      </c>
      <c r="D1313" s="73" t="n"/>
      <c r="E1313" s="74" t="n"/>
      <c r="F1313" s="74" t="n"/>
      <c r="G1313" s="74" t="n"/>
      <c r="H1313" s="75" t="n"/>
      <c r="I1313" s="75" t="n"/>
      <c r="J1313" s="76" t="n"/>
      <c r="K1313" s="77" t="str">
        <f>IF(AB1313=1,ROUND(AG1313/60,4),"")</f>
        <v/>
      </c>
      <c r="L1313" s="77" t="str">
        <f>IF(BD1313=1,ROUND(AP1313/60,4),"")</f>
        <v/>
      </c>
      <c r="M1313" s="77" t="str">
        <f>IF(BD1313=1,ROUND(AQ1313/60,4),"")</f>
        <v/>
      </c>
      <c r="N1313" s="71" t="str">
        <f>IF(AND(D1313="proMX",AB1313=1),ROUND(AG1313/CFG_BLK,2),"")</f>
        <v/>
      </c>
      <c r="O1313" s="77" t="str">
        <f>IF(D1313="proMX",IF(BD1313=1,ROUND(AG1313/60,4),0),"")</f>
        <v/>
      </c>
      <c r="P1313" s="78" t="str">
        <f>IF(Y1313=0,"",IF(BD1313=1,"OK",IF(D1313="proMX","Revisar bloques: ","Revisar: ")&amp;BC1313))</f>
        <v/>
      </c>
      <c r="Q1313" s="78" t="str">
        <f>IF(NOT(ISNUMBER(B1313)),"",IF(COUNTIFS(FER_F,INT(B1313))&gt;0,"Feriado"&amp;IF(AH1313=1," (laborable)"," (no laborable)"),IF(AH1313=1,"Laborable",IF(WEEKDAY(B1313,2)&gt;5,"Fin de semana","No laborable"))))</f>
        <v/>
      </c>
      <c r="R1313" s="73" t="n"/>
      <c r="S1313" s="72" t="n"/>
      <c r="T1313" s="72" t="n"/>
      <c r="U1313" s="74" t="n"/>
      <c r="V1313" s="79" t="str">
        <f>IF(AND(D1313="proMX",OR(R1313="Submitted",R1313="Recall Requested"),ISNUMBER(S1313)),CFG_TODAY-INT(S1313),"")</f>
        <v/>
      </c>
      <c r="W1313" s="78" t="str">
        <f>IF(BD1313=0,"",IF(BA1313&gt;0,"⚠ Se superpone con un registro de la otra empresa",IF(D1313="Malcolm",IF(COUNTA(R1313,S1313,T1313)&gt;0,"Estado/fechas proMX se ignoran en Malcolm",""),IF(BF1313="Cancelled","Cancelado: excluido de totales",IF(R1313="","Sin estado: se trata como Draft",IF(BF1313="Submitted",IF(ISNUMBER(V1313),IF(V1313&gt;CFG_MAXD,"⚠ "&amp;V1313&amp;" días en Submitted (máx. "&amp;CFG_MAXD&amp;")",""),"Falta fecha de envío"),IF(BF1313="Returned","⚠ Devuelto: corregir y reenviar",IF(BF1313="Recall Requested","Retirada solicitada: pendiente",IF(AND(BF1313="Approved",NOT(ISNUMBER(T1313))),"Falta fecha de aprobación",IF(AND(ISNUMBER(S1313),ISNUMBER(T1313),T1313&lt;S1313),"Aprobación anterior al envío","")))))))))</f>
        <v/>
      </c>
      <c r="Y1313" s="80">
        <f>IF(COUNTA(B1313,D1313,E1313,F1313,G1313,H1313,I1313,J1313,R1313,S1313,T1313)&gt;0,1,0)</f>
        <v>0</v>
      </c>
      <c r="Z1313" s="80" t="str">
        <f>IF(AND(ISNUMBER(H1313),H1313&gt;=0,H1313&lt;1),ROUND(H1313*1440,0),"")</f>
        <v/>
      </c>
      <c r="AA1313" s="80" t="str">
        <f>IF(AND(ISNUMBER(I1313),I1313&gt;=0,I1313&lt;1),ROUND(I1313*1440,0),"")</f>
        <v/>
      </c>
      <c r="AB1313" s="80">
        <f>IF(AND(ISNUMBER(B1313),D1313&lt;&gt;"",ISNUMBER(Z1313),ISNUMBER(AA1313)),IF(Z1313=AA1313,0,1),0)</f>
        <v>0</v>
      </c>
      <c r="AC1313" s="80">
        <f>IF(AB1313=1,IF(AA1313&lt;Z1313,1,0),0)</f>
        <v>0</v>
      </c>
      <c r="AD1313" s="80">
        <f>IF(AB1313=1,IF(AC1313=1,1440-Z1313+AA1313,AA1313-Z1313),0)</f>
        <v>0</v>
      </c>
      <c r="AE1313" s="80">
        <f>IF(J1313="",0,IF(ISNUMBER(J1313),J1313,-1))</f>
        <v>0</v>
      </c>
      <c r="AF1313" s="80">
        <f>MIN(MAX(0,AE1313),AD1313)</f>
        <v>0</v>
      </c>
      <c r="AG1313" s="80">
        <f>MAX(0,AD1313-MAX(0,AE1313))</f>
        <v>0</v>
      </c>
      <c r="AH1313" s="80">
        <f>IF(ISNUMBER(B1313),IF(AND(INDEX(CFG_WDAYS,WEEKDAY(INT(B1313),2))="Sí",IF(D1313="proMX",COUNTIFS(FER_F,INT(B1313),FER_NLP,"Sí"),COUNTIFS(FER_F,INT(B1313),FER_NLM,"Sí"))=0),1,0),0)</f>
        <v>0</v>
      </c>
      <c r="AI1313" s="80">
        <f>IF(AC1313=1,IF(AND(INDEX(CFG_WDAYS,WEEKDAY(INT(B1313)+1,2))="Sí",IF(D1313="proMX",COUNTIFS(FER_F,INT(B1313)+1,FER_NLP,"Sí"),COUNTIFS(FER_F,INT(B1313)+1,FER_NLM,"Sí"))=0),1,0),0)</f>
        <v>0</v>
      </c>
      <c r="AJ1313" s="80">
        <f>IF(AC1313=1,1440-Z1313,AD1313)</f>
        <v>0</v>
      </c>
      <c r="AK1313" s="80">
        <f>IF(AND(AB1313=1,AH1313=1),MAX(0,MIN(IF(AC1313=1,1440,AA1313),CFG_WEM)-MAX(Z1313,CFG_WSM)),0)</f>
        <v>0</v>
      </c>
      <c r="AL1313" s="80">
        <f>IF(AND(AC1313=1,AI1313=1),MAX(0,MIN(AA1313,CFG_WEM)-CFG_WSM),0)</f>
        <v>0</v>
      </c>
      <c r="AM1313" s="80">
        <f>AK1313+AL1313</f>
        <v>0</v>
      </c>
      <c r="AN1313" s="80">
        <f>IF(CFG_BRK="Proporcional",IF(AD1313=0,0,AF1313*AM1313/AD1313),IF(CFG_BRK="Extras primero",MIN(AM1313,MAX(0,AF1313-(AD1313-AM1313))),MIN(AF1313,AM1313)))</f>
        <v>0</v>
      </c>
      <c r="AO1313" s="80">
        <f>AF1313-AN1313</f>
        <v>0</v>
      </c>
      <c r="AP1313" s="80">
        <f>AM1313-AN1313</f>
        <v>0</v>
      </c>
      <c r="AQ1313" s="80">
        <f>AD1313-AM1313-AO1313</f>
        <v>0</v>
      </c>
      <c r="AR1313" s="80">
        <f>IF(AM1313=0,0,AK1313-AN1313*AK1313/AM1313)</f>
        <v>0</v>
      </c>
      <c r="AS1313" s="80">
        <f>IF(AD1313-AM1313=0,0,(AJ1313-AK1313)-AO1313*(AJ1313-AK1313)/(AD1313-AM1313))</f>
        <v>0</v>
      </c>
      <c r="AT1313" s="80" t="str">
        <f>IF(AC1313=1,INT(B1313)+1,"")</f>
        <v/>
      </c>
      <c r="AU1313" s="80">
        <f>IF(AND(D1313="proMX",R1313="Cancelled"),0,1)</f>
        <v>1</v>
      </c>
      <c r="AV1313" s="80">
        <f>IF(AND(AB1313=1,AU1313=1),IF(COUNTIFS($D$5:D1312,D1313,$B$5:B1312,B1313,$Z$5:Z1312,Z1313,$AA$5:AA1312,AA1313,$F$5:F1312,F1313&amp;"",$AU$5:AU1312,1)&gt;0,1,0),0)</f>
        <v>0</v>
      </c>
      <c r="AW1313" s="80" t="str">
        <f>IF(AB1313=1,INT(B1313)*1440+Z1313,"")</f>
        <v/>
      </c>
      <c r="AX1313" s="80" t="str">
        <f>IF(AB1313=1,AW1313+AD1313,"")</f>
        <v/>
      </c>
      <c r="AY1313" s="80">
        <f>IF(AND(AB1313=1,AV1313=0,AU1313=1),1,0)</f>
        <v>0</v>
      </c>
      <c r="AZ1313" s="80">
        <f>IF(AY1313=1,COUNTIFS(R_Emp,D1313,R_SAbs,"&lt;"&amp;AX1313,R_EAbs,"&gt;"&amp;AW1313,R_OKey,1)-1,0)</f>
        <v>0</v>
      </c>
      <c r="BA1313" s="80">
        <f>IF(AY1313=1,COUNTIFS(R_Emp,"&lt;&gt;"&amp;D1313,R_SAbs,"&lt;"&amp;AX1313,R_EAbs,"&gt;"&amp;AW1313,R_OKey,1),0)</f>
        <v>0</v>
      </c>
      <c r="BB1313" s="80">
        <f>IF(AND(AB1313=1,D1313="proMX"),IF(AND(MOD(Z1313,CFG_BLK)=0,MOD(AA1313,CFG_BLK)=0,MOD(AG1313,CFG_BLK)=0,AG1313&gt;0),1,0),1)</f>
        <v>1</v>
      </c>
      <c r="BC1313" s="80" t="str">
        <f>IF(Y1313=0,"",IF(NOT(ISNUMBER(B1313)),"Falta fecha o fecha inválida",IF(D1313="","Falta empresa",IF(AND(D1313&lt;&gt;"Malcolm",D1313&lt;&gt;"proMX"),"Empresa inválida",IF(OR(INT(B1313)&lt;CFG_PSTART,INT(B1313)&gt;CFG_PEND),"Fecha fuera del período",IF(OR(NOT(ISNUMBER(Z1313)),NOT(ISNUMBER(AA1313))),"Falta hora inicio/fin o formato inválido",IF(AB1313=0,"Hora inicio = hora fin",IF(AE1313&lt;0,"Descanso inválido",IF(AE1313&gt;=AD1313,"Descanso ≥ duración",IF(AV1313=1,"Registro duplicado",IF(AZ1313&gt;0,"Se superpone con otro registro "&amp;D1313,IF(BB1313=0,"inicio, fin y duración neta deben ser múltiplos de "&amp;CFG_BLK&amp;" min",""))))))))))))</f>
        <v/>
      </c>
      <c r="BD1313" s="80">
        <f>IF(AND(Y1313=1,BC1313=""),1,0)</f>
        <v>0</v>
      </c>
      <c r="BE1313" s="80">
        <f>IF(AND(BD1313=1,AU1313=1),1,0)</f>
        <v>0</v>
      </c>
      <c r="BF1313" s="80" t="str">
        <f>IF(AND(D1313="proMX",BD1313=1),IF(R1313="","Draft",R1313),"")</f>
        <v/>
      </c>
      <c r="BG1313" s="80">
        <f>IF(BD1313=1,ROUND(AG1313/60,6),0)</f>
        <v>0</v>
      </c>
      <c r="BH1313" s="80">
        <f>IF(BE1313=1,ROUND(AG1313/60,6),0)</f>
        <v>0</v>
      </c>
      <c r="BI1313" s="80">
        <f>IF(BE1313=1,ROUND(AP1313/60,6),0)</f>
        <v>0</v>
      </c>
      <c r="BJ1313" s="80">
        <f>IF(BE1313=1,ROUND(AQ1313/60,6),0)</f>
        <v>0</v>
      </c>
      <c r="BK1313" s="80">
        <f>IF(BE1313=1,ROUND((AR1313+AS1313)/60,6),0)</f>
        <v>0</v>
      </c>
      <c r="BL1313" s="80">
        <f>ROUND(BH1313-BK1313,6)</f>
        <v>0</v>
      </c>
      <c r="BM1313" s="80">
        <f>IF(BE1313=1,ROUND(AR1313/60,6),0)</f>
        <v>0</v>
      </c>
      <c r="BN1313" s="80">
        <f>ROUND(BI1313-BM1313,6)</f>
        <v>0</v>
      </c>
      <c r="BO1313" s="80">
        <f>IF(BE1313=1,ROUND(AS1313/60,6),0)</f>
        <v>0</v>
      </c>
      <c r="BP1313" s="80">
        <f>ROUND(BJ1313-BO1313,6)</f>
        <v>0</v>
      </c>
      <c r="BQ1313" s="80">
        <f>IF(BE1313=1,AW1313,0)</f>
        <v>0</v>
      </c>
      <c r="BR1313" s="80">
        <f>IF(BE1313=1,AX1313,0)</f>
        <v>0</v>
      </c>
      <c r="BS1313" s="80">
        <f>IF(AND(BE1313=1,D1313="Malcolm",BA1313&gt;0),MIN(BH1313,SUMPRODUCT((R_Emp="proMX")*(R_EN&gt;0)*((R_EN-(R_EN&gt;BR1313)*(R_EN-BR1313))&gt;(R_SN+(R_SN&lt;BQ1313)*(BQ1313-R_SN)))*((R_EN-(R_EN&gt;BR1313)*(R_EN-BR1313))-(R_SN+(R_SN&lt;BQ1313)*(BQ1313-R_SN))))/60),0)</f>
        <v>0</v>
      </c>
      <c r="BT1313" s="80">
        <f>IF(AND(BE1313=1,D1313="proMX"),ROUND(BI1313*CFG_RATE+BJ1313*CFG_OTRATE,6),0)</f>
        <v>0</v>
      </c>
      <c r="BU1313" s="80">
        <f>IF(AND(BD1313=1,D1313="proMX"),ROUND(AG1313/CFG_BLK,6),0)</f>
        <v>0</v>
      </c>
      <c r="BV1313" s="80" t="str">
        <f>IF(BF1313="Approved",IF(ISNUMBER(T1313),INT(T1313),INT(B1313)),"")</f>
        <v/>
      </c>
      <c r="BW1313" s="80">
        <f>IF(ISNUMBER(B1313),IF(DB_MON="Todos",1,IF(AND(INT(B1313)&gt;=DB_MS,INT(B1313)&lt;=DB_ME),1,0)),0)</f>
        <v>0</v>
      </c>
      <c r="BX1313" s="80">
        <f>IF(DB_PROJ="Todos",1,IF(E1313&amp;""=DB_PROJ&amp;"",1,0))</f>
        <v>1</v>
      </c>
      <c r="BY1313" s="80">
        <f>BW1313*BX1313</f>
        <v>0</v>
      </c>
      <c r="BZ1313" s="80" t="str">
        <f>IF(Y1313=1,F1313&amp;IF(AND(F1313&amp;""&lt;&gt;"",E1313&amp;""&lt;&gt;"")," · ","")&amp;E1313,"")</f>
        <v/>
      </c>
      <c r="CA1313" s="80" t="str">
        <f>IF(AND(BD1313=1,E1313&amp;""&lt;&gt;""),IF(COUNTIFS($E$5:E1312,E1313,$BD$5:BD1312,1)=0,MAX($CA$5:CA1312)+1,""),"")</f>
        <v/>
      </c>
      <c r="CB1313" s="80" t="str">
        <f>IF(AND(BE1313=1,D1313="Malcolm",E1313&amp;""&lt;&gt;""),IF(COUNTIFS($D$5:D1312,"Malcolm",$E$5:E1312,E1313,$BE$5:BE1312,1)=0,MAX($CB$5:CB1312)+1,""),"")</f>
        <v/>
      </c>
      <c r="CC1313" s="80" t="str">
        <f>IF(AND(BD1313=1,D1313="proMX",E1313&amp;""&lt;&gt;""),IF(COUNTIFS($D$5:D1312,"proMX",$E$5:E1312,E1313,$BD$5:BD1312,1)=0,MAX($CC$5:CC1312)+1,""),"")</f>
        <v/>
      </c>
      <c r="CD1313" s="80" t="str">
        <f>IF(AND(BE1313=1,D1313="Malcolm",F1313&amp;""&lt;&gt;""),IF(COUNTIFS($D$5:D1312,"Malcolm",$F$5:F1312,F1313,$BE$5:BE1312,1)=0,MAX($CD$5:CD1312)+1,""),"")</f>
        <v/>
      </c>
      <c r="CE1313" s="80" t="str">
        <f>IF(AND(BD1313=1,D1313="proMX",F1313&amp;""&lt;&gt;""),IF(COUNTIFS($D$5:D1312,"proMX",$F$5:F1312,F1313,$BD$5:BD1312,1)=0,MAX($CE$5:CE1312)+1,""),"")</f>
        <v/>
      </c>
      <c r="CF1313" s="80" t="str">
        <f>IF(AND(D1313="proMX",BD1313=1),IF(OR(BF1313="Draft",BF1313="Submitted",BF1313="Returned",BF1313="Recall Requested"),MAX($CF$5:CF1312)+1,""),"")</f>
        <v/>
      </c>
      <c r="CG1313" s="80">
        <f>IF(BD1313=0,0,IF(D1313="Malcolm",1,MATCH(BF1313,{"Draft","Submitted","Approved","Returned","Recall Requested","Cancelled"},0)+1))</f>
        <v>0</v>
      </c>
      <c r="CH1313" s="80">
        <f>IF(AND(BF1313="Submitted",ISNUMBER(V1313)),IF(V1313&gt;CFG_MAXD,1,0),0)</f>
        <v>0</v>
      </c>
    </row>
    <row r="1314">
      <c r="A1314" s="71" t="str">
        <f>IF(Y1314=1,ROW()-5,"")</f>
        <v/>
      </c>
      <c r="B1314" s="72" t="n"/>
      <c r="C1314" s="71" t="str">
        <f>IF(ISNUMBER(B1314),CHOOSE(WEEKDAY(B1314,2),"Lun","Mar","Mié","Jue","Vie","Sáb","Dom"),"")</f>
        <v/>
      </c>
      <c r="D1314" s="73" t="n"/>
      <c r="E1314" s="74" t="n"/>
      <c r="F1314" s="74" t="n"/>
      <c r="G1314" s="74" t="n"/>
      <c r="H1314" s="75" t="n"/>
      <c r="I1314" s="75" t="n"/>
      <c r="J1314" s="76" t="n"/>
      <c r="K1314" s="77" t="str">
        <f>IF(AB1314=1,ROUND(AG1314/60,4),"")</f>
        <v/>
      </c>
      <c r="L1314" s="77" t="str">
        <f>IF(BD1314=1,ROUND(AP1314/60,4),"")</f>
        <v/>
      </c>
      <c r="M1314" s="77" t="str">
        <f>IF(BD1314=1,ROUND(AQ1314/60,4),"")</f>
        <v/>
      </c>
      <c r="N1314" s="71" t="str">
        <f>IF(AND(D1314="proMX",AB1314=1),ROUND(AG1314/CFG_BLK,2),"")</f>
        <v/>
      </c>
      <c r="O1314" s="77" t="str">
        <f>IF(D1314="proMX",IF(BD1314=1,ROUND(AG1314/60,4),0),"")</f>
        <v/>
      </c>
      <c r="P1314" s="78" t="str">
        <f>IF(Y1314=0,"",IF(BD1314=1,"OK",IF(D1314="proMX","Revisar bloques: ","Revisar: ")&amp;BC1314))</f>
        <v/>
      </c>
      <c r="Q1314" s="78" t="str">
        <f>IF(NOT(ISNUMBER(B1314)),"",IF(COUNTIFS(FER_F,INT(B1314))&gt;0,"Feriado"&amp;IF(AH1314=1," (laborable)"," (no laborable)"),IF(AH1314=1,"Laborable",IF(WEEKDAY(B1314,2)&gt;5,"Fin de semana","No laborable"))))</f>
        <v/>
      </c>
      <c r="R1314" s="73" t="n"/>
      <c r="S1314" s="72" t="n"/>
      <c r="T1314" s="72" t="n"/>
      <c r="U1314" s="74" t="n"/>
      <c r="V1314" s="79" t="str">
        <f>IF(AND(D1314="proMX",OR(R1314="Submitted",R1314="Recall Requested"),ISNUMBER(S1314)),CFG_TODAY-INT(S1314),"")</f>
        <v/>
      </c>
      <c r="W1314" s="78" t="str">
        <f>IF(BD1314=0,"",IF(BA1314&gt;0,"⚠ Se superpone con un registro de la otra empresa",IF(D1314="Malcolm",IF(COUNTA(R1314,S1314,T1314)&gt;0,"Estado/fechas proMX se ignoran en Malcolm",""),IF(BF1314="Cancelled","Cancelado: excluido de totales",IF(R1314="","Sin estado: se trata como Draft",IF(BF1314="Submitted",IF(ISNUMBER(V1314),IF(V1314&gt;CFG_MAXD,"⚠ "&amp;V1314&amp;" días en Submitted (máx. "&amp;CFG_MAXD&amp;")",""),"Falta fecha de envío"),IF(BF1314="Returned","⚠ Devuelto: corregir y reenviar",IF(BF1314="Recall Requested","Retirada solicitada: pendiente",IF(AND(BF1314="Approved",NOT(ISNUMBER(T1314))),"Falta fecha de aprobación",IF(AND(ISNUMBER(S1314),ISNUMBER(T1314),T1314&lt;S1314),"Aprobación anterior al envío","")))))))))</f>
        <v/>
      </c>
      <c r="Y1314" s="80">
        <f>IF(COUNTA(B1314,D1314,E1314,F1314,G1314,H1314,I1314,J1314,R1314,S1314,T1314)&gt;0,1,0)</f>
        <v>0</v>
      </c>
      <c r="Z1314" s="80" t="str">
        <f>IF(AND(ISNUMBER(H1314),H1314&gt;=0,H1314&lt;1),ROUND(H1314*1440,0),"")</f>
        <v/>
      </c>
      <c r="AA1314" s="80" t="str">
        <f>IF(AND(ISNUMBER(I1314),I1314&gt;=0,I1314&lt;1),ROUND(I1314*1440,0),"")</f>
        <v/>
      </c>
      <c r="AB1314" s="80">
        <f>IF(AND(ISNUMBER(B1314),D1314&lt;&gt;"",ISNUMBER(Z1314),ISNUMBER(AA1314)),IF(Z1314=AA1314,0,1),0)</f>
        <v>0</v>
      </c>
      <c r="AC1314" s="80">
        <f>IF(AB1314=1,IF(AA1314&lt;Z1314,1,0),0)</f>
        <v>0</v>
      </c>
      <c r="AD1314" s="80">
        <f>IF(AB1314=1,IF(AC1314=1,1440-Z1314+AA1314,AA1314-Z1314),0)</f>
        <v>0</v>
      </c>
      <c r="AE1314" s="80">
        <f>IF(J1314="",0,IF(ISNUMBER(J1314),J1314,-1))</f>
        <v>0</v>
      </c>
      <c r="AF1314" s="80">
        <f>MIN(MAX(0,AE1314),AD1314)</f>
        <v>0</v>
      </c>
      <c r="AG1314" s="80">
        <f>MAX(0,AD1314-MAX(0,AE1314))</f>
        <v>0</v>
      </c>
      <c r="AH1314" s="80">
        <f>IF(ISNUMBER(B1314),IF(AND(INDEX(CFG_WDAYS,WEEKDAY(INT(B1314),2))="Sí",IF(D1314="proMX",COUNTIFS(FER_F,INT(B1314),FER_NLP,"Sí"),COUNTIFS(FER_F,INT(B1314),FER_NLM,"Sí"))=0),1,0),0)</f>
        <v>0</v>
      </c>
      <c r="AI1314" s="80">
        <f>IF(AC1314=1,IF(AND(INDEX(CFG_WDAYS,WEEKDAY(INT(B1314)+1,2))="Sí",IF(D1314="proMX",COUNTIFS(FER_F,INT(B1314)+1,FER_NLP,"Sí"),COUNTIFS(FER_F,INT(B1314)+1,FER_NLM,"Sí"))=0),1,0),0)</f>
        <v>0</v>
      </c>
      <c r="AJ1314" s="80">
        <f>IF(AC1314=1,1440-Z1314,AD1314)</f>
        <v>0</v>
      </c>
      <c r="AK1314" s="80">
        <f>IF(AND(AB1314=1,AH1314=1),MAX(0,MIN(IF(AC1314=1,1440,AA1314),CFG_WEM)-MAX(Z1314,CFG_WSM)),0)</f>
        <v>0</v>
      </c>
      <c r="AL1314" s="80">
        <f>IF(AND(AC1314=1,AI1314=1),MAX(0,MIN(AA1314,CFG_WEM)-CFG_WSM),0)</f>
        <v>0</v>
      </c>
      <c r="AM1314" s="80">
        <f>AK1314+AL1314</f>
        <v>0</v>
      </c>
      <c r="AN1314" s="80">
        <f>IF(CFG_BRK="Proporcional",IF(AD1314=0,0,AF1314*AM1314/AD1314),IF(CFG_BRK="Extras primero",MIN(AM1314,MAX(0,AF1314-(AD1314-AM1314))),MIN(AF1314,AM1314)))</f>
        <v>0</v>
      </c>
      <c r="AO1314" s="80">
        <f>AF1314-AN1314</f>
        <v>0</v>
      </c>
      <c r="AP1314" s="80">
        <f>AM1314-AN1314</f>
        <v>0</v>
      </c>
      <c r="AQ1314" s="80">
        <f>AD1314-AM1314-AO1314</f>
        <v>0</v>
      </c>
      <c r="AR1314" s="80">
        <f>IF(AM1314=0,0,AK1314-AN1314*AK1314/AM1314)</f>
        <v>0</v>
      </c>
      <c r="AS1314" s="80">
        <f>IF(AD1314-AM1314=0,0,(AJ1314-AK1314)-AO1314*(AJ1314-AK1314)/(AD1314-AM1314))</f>
        <v>0</v>
      </c>
      <c r="AT1314" s="80" t="str">
        <f>IF(AC1314=1,INT(B1314)+1,"")</f>
        <v/>
      </c>
      <c r="AU1314" s="80">
        <f>IF(AND(D1314="proMX",R1314="Cancelled"),0,1)</f>
        <v>1</v>
      </c>
      <c r="AV1314" s="80">
        <f>IF(AND(AB1314=1,AU1314=1),IF(COUNTIFS($D$5:D1313,D1314,$B$5:B1313,B1314,$Z$5:Z1313,Z1314,$AA$5:AA1313,AA1314,$F$5:F1313,F1314&amp;"",$AU$5:AU1313,1)&gt;0,1,0),0)</f>
        <v>0</v>
      </c>
      <c r="AW1314" s="80" t="str">
        <f>IF(AB1314=1,INT(B1314)*1440+Z1314,"")</f>
        <v/>
      </c>
      <c r="AX1314" s="80" t="str">
        <f>IF(AB1314=1,AW1314+AD1314,"")</f>
        <v/>
      </c>
      <c r="AY1314" s="80">
        <f>IF(AND(AB1314=1,AV1314=0,AU1314=1),1,0)</f>
        <v>0</v>
      </c>
      <c r="AZ1314" s="80">
        <f>IF(AY1314=1,COUNTIFS(R_Emp,D1314,R_SAbs,"&lt;"&amp;AX1314,R_EAbs,"&gt;"&amp;AW1314,R_OKey,1)-1,0)</f>
        <v>0</v>
      </c>
      <c r="BA1314" s="80">
        <f>IF(AY1314=1,COUNTIFS(R_Emp,"&lt;&gt;"&amp;D1314,R_SAbs,"&lt;"&amp;AX1314,R_EAbs,"&gt;"&amp;AW1314,R_OKey,1),0)</f>
        <v>0</v>
      </c>
      <c r="BB1314" s="80">
        <f>IF(AND(AB1314=1,D1314="proMX"),IF(AND(MOD(Z1314,CFG_BLK)=0,MOD(AA1314,CFG_BLK)=0,MOD(AG1314,CFG_BLK)=0,AG1314&gt;0),1,0),1)</f>
        <v>1</v>
      </c>
      <c r="BC1314" s="80" t="str">
        <f>IF(Y1314=0,"",IF(NOT(ISNUMBER(B1314)),"Falta fecha o fecha inválida",IF(D1314="","Falta empresa",IF(AND(D1314&lt;&gt;"Malcolm",D1314&lt;&gt;"proMX"),"Empresa inválida",IF(OR(INT(B1314)&lt;CFG_PSTART,INT(B1314)&gt;CFG_PEND),"Fecha fuera del período",IF(OR(NOT(ISNUMBER(Z1314)),NOT(ISNUMBER(AA1314))),"Falta hora inicio/fin o formato inválido",IF(AB1314=0,"Hora inicio = hora fin",IF(AE1314&lt;0,"Descanso inválido",IF(AE1314&gt;=AD1314,"Descanso ≥ duración",IF(AV1314=1,"Registro duplicado",IF(AZ1314&gt;0,"Se superpone con otro registro "&amp;D1314,IF(BB1314=0,"inicio, fin y duración neta deben ser múltiplos de "&amp;CFG_BLK&amp;" min",""))))))))))))</f>
        <v/>
      </c>
      <c r="BD1314" s="80">
        <f>IF(AND(Y1314=1,BC1314=""),1,0)</f>
        <v>0</v>
      </c>
      <c r="BE1314" s="80">
        <f>IF(AND(BD1314=1,AU1314=1),1,0)</f>
        <v>0</v>
      </c>
      <c r="BF1314" s="80" t="str">
        <f>IF(AND(D1314="proMX",BD1314=1),IF(R1314="","Draft",R1314),"")</f>
        <v/>
      </c>
      <c r="BG1314" s="80">
        <f>IF(BD1314=1,ROUND(AG1314/60,6),0)</f>
        <v>0</v>
      </c>
      <c r="BH1314" s="80">
        <f>IF(BE1314=1,ROUND(AG1314/60,6),0)</f>
        <v>0</v>
      </c>
      <c r="BI1314" s="80">
        <f>IF(BE1314=1,ROUND(AP1314/60,6),0)</f>
        <v>0</v>
      </c>
      <c r="BJ1314" s="80">
        <f>IF(BE1314=1,ROUND(AQ1314/60,6),0)</f>
        <v>0</v>
      </c>
      <c r="BK1314" s="80">
        <f>IF(BE1314=1,ROUND((AR1314+AS1314)/60,6),0)</f>
        <v>0</v>
      </c>
      <c r="BL1314" s="80">
        <f>ROUND(BH1314-BK1314,6)</f>
        <v>0</v>
      </c>
      <c r="BM1314" s="80">
        <f>IF(BE1314=1,ROUND(AR1314/60,6),0)</f>
        <v>0</v>
      </c>
      <c r="BN1314" s="80">
        <f>ROUND(BI1314-BM1314,6)</f>
        <v>0</v>
      </c>
      <c r="BO1314" s="80">
        <f>IF(BE1314=1,ROUND(AS1314/60,6),0)</f>
        <v>0</v>
      </c>
      <c r="BP1314" s="80">
        <f>ROUND(BJ1314-BO1314,6)</f>
        <v>0</v>
      </c>
      <c r="BQ1314" s="80">
        <f>IF(BE1314=1,AW1314,0)</f>
        <v>0</v>
      </c>
      <c r="BR1314" s="80">
        <f>IF(BE1314=1,AX1314,0)</f>
        <v>0</v>
      </c>
      <c r="BS1314" s="80">
        <f>IF(AND(BE1314=1,D1314="Malcolm",BA1314&gt;0),MIN(BH1314,SUMPRODUCT((R_Emp="proMX")*(R_EN&gt;0)*((R_EN-(R_EN&gt;BR1314)*(R_EN-BR1314))&gt;(R_SN+(R_SN&lt;BQ1314)*(BQ1314-R_SN)))*((R_EN-(R_EN&gt;BR1314)*(R_EN-BR1314))-(R_SN+(R_SN&lt;BQ1314)*(BQ1314-R_SN))))/60),0)</f>
        <v>0</v>
      </c>
      <c r="BT1314" s="80">
        <f>IF(AND(BE1314=1,D1314="proMX"),ROUND(BI1314*CFG_RATE+BJ1314*CFG_OTRATE,6),0)</f>
        <v>0</v>
      </c>
      <c r="BU1314" s="80">
        <f>IF(AND(BD1314=1,D1314="proMX"),ROUND(AG1314/CFG_BLK,6),0)</f>
        <v>0</v>
      </c>
      <c r="BV1314" s="80" t="str">
        <f>IF(BF1314="Approved",IF(ISNUMBER(T1314),INT(T1314),INT(B1314)),"")</f>
        <v/>
      </c>
      <c r="BW1314" s="80">
        <f>IF(ISNUMBER(B1314),IF(DB_MON="Todos",1,IF(AND(INT(B1314)&gt;=DB_MS,INT(B1314)&lt;=DB_ME),1,0)),0)</f>
        <v>0</v>
      </c>
      <c r="BX1314" s="80">
        <f>IF(DB_PROJ="Todos",1,IF(E1314&amp;""=DB_PROJ&amp;"",1,0))</f>
        <v>1</v>
      </c>
      <c r="BY1314" s="80">
        <f>BW1314*BX1314</f>
        <v>0</v>
      </c>
      <c r="BZ1314" s="80" t="str">
        <f>IF(Y1314=1,F1314&amp;IF(AND(F1314&amp;""&lt;&gt;"",E1314&amp;""&lt;&gt;"")," · ","")&amp;E1314,"")</f>
        <v/>
      </c>
      <c r="CA1314" s="80" t="str">
        <f>IF(AND(BD1314=1,E1314&amp;""&lt;&gt;""),IF(COUNTIFS($E$5:E1313,E1314,$BD$5:BD1313,1)=0,MAX($CA$5:CA1313)+1,""),"")</f>
        <v/>
      </c>
      <c r="CB1314" s="80" t="str">
        <f>IF(AND(BE1314=1,D1314="Malcolm",E1314&amp;""&lt;&gt;""),IF(COUNTIFS($D$5:D1313,"Malcolm",$E$5:E1313,E1314,$BE$5:BE1313,1)=0,MAX($CB$5:CB1313)+1,""),"")</f>
        <v/>
      </c>
      <c r="CC1314" s="80" t="str">
        <f>IF(AND(BD1314=1,D1314="proMX",E1314&amp;""&lt;&gt;""),IF(COUNTIFS($D$5:D1313,"proMX",$E$5:E1313,E1314,$BD$5:BD1313,1)=0,MAX($CC$5:CC1313)+1,""),"")</f>
        <v/>
      </c>
      <c r="CD1314" s="80" t="str">
        <f>IF(AND(BE1314=1,D1314="Malcolm",F1314&amp;""&lt;&gt;""),IF(COUNTIFS($D$5:D1313,"Malcolm",$F$5:F1313,F1314,$BE$5:BE1313,1)=0,MAX($CD$5:CD1313)+1,""),"")</f>
        <v/>
      </c>
      <c r="CE1314" s="80" t="str">
        <f>IF(AND(BD1314=1,D1314="proMX",F1314&amp;""&lt;&gt;""),IF(COUNTIFS($D$5:D1313,"proMX",$F$5:F1313,F1314,$BD$5:BD1313,1)=0,MAX($CE$5:CE1313)+1,""),"")</f>
        <v/>
      </c>
      <c r="CF1314" s="80" t="str">
        <f>IF(AND(D1314="proMX",BD1314=1),IF(OR(BF1314="Draft",BF1314="Submitted",BF1314="Returned",BF1314="Recall Requested"),MAX($CF$5:CF1313)+1,""),"")</f>
        <v/>
      </c>
      <c r="CG1314" s="80">
        <f>IF(BD1314=0,0,IF(D1314="Malcolm",1,MATCH(BF1314,{"Draft","Submitted","Approved","Returned","Recall Requested","Cancelled"},0)+1))</f>
        <v>0</v>
      </c>
      <c r="CH1314" s="80">
        <f>IF(AND(BF1314="Submitted",ISNUMBER(V1314)),IF(V1314&gt;CFG_MAXD,1,0),0)</f>
        <v>0</v>
      </c>
    </row>
    <row r="1315">
      <c r="A1315" s="71" t="str">
        <f>IF(Y1315=1,ROW()-5,"")</f>
        <v/>
      </c>
      <c r="B1315" s="72" t="n"/>
      <c r="C1315" s="71" t="str">
        <f>IF(ISNUMBER(B1315),CHOOSE(WEEKDAY(B1315,2),"Lun","Mar","Mié","Jue","Vie","Sáb","Dom"),"")</f>
        <v/>
      </c>
      <c r="D1315" s="73" t="n"/>
      <c r="E1315" s="74" t="n"/>
      <c r="F1315" s="74" t="n"/>
      <c r="G1315" s="74" t="n"/>
      <c r="H1315" s="75" t="n"/>
      <c r="I1315" s="75" t="n"/>
      <c r="J1315" s="76" t="n"/>
      <c r="K1315" s="77" t="str">
        <f>IF(AB1315=1,ROUND(AG1315/60,4),"")</f>
        <v/>
      </c>
      <c r="L1315" s="77" t="str">
        <f>IF(BD1315=1,ROUND(AP1315/60,4),"")</f>
        <v/>
      </c>
      <c r="M1315" s="77" t="str">
        <f>IF(BD1315=1,ROUND(AQ1315/60,4),"")</f>
        <v/>
      </c>
      <c r="N1315" s="71" t="str">
        <f>IF(AND(D1315="proMX",AB1315=1),ROUND(AG1315/CFG_BLK,2),"")</f>
        <v/>
      </c>
      <c r="O1315" s="77" t="str">
        <f>IF(D1315="proMX",IF(BD1315=1,ROUND(AG1315/60,4),0),"")</f>
        <v/>
      </c>
      <c r="P1315" s="78" t="str">
        <f>IF(Y1315=0,"",IF(BD1315=1,"OK",IF(D1315="proMX","Revisar bloques: ","Revisar: ")&amp;BC1315))</f>
        <v/>
      </c>
      <c r="Q1315" s="78" t="str">
        <f>IF(NOT(ISNUMBER(B1315)),"",IF(COUNTIFS(FER_F,INT(B1315))&gt;0,"Feriado"&amp;IF(AH1315=1," (laborable)"," (no laborable)"),IF(AH1315=1,"Laborable",IF(WEEKDAY(B1315,2)&gt;5,"Fin de semana","No laborable"))))</f>
        <v/>
      </c>
      <c r="R1315" s="73" t="n"/>
      <c r="S1315" s="72" t="n"/>
      <c r="T1315" s="72" t="n"/>
      <c r="U1315" s="74" t="n"/>
      <c r="V1315" s="79" t="str">
        <f>IF(AND(D1315="proMX",OR(R1315="Submitted",R1315="Recall Requested"),ISNUMBER(S1315)),CFG_TODAY-INT(S1315),"")</f>
        <v/>
      </c>
      <c r="W1315" s="78" t="str">
        <f>IF(BD1315=0,"",IF(BA1315&gt;0,"⚠ Se superpone con un registro de la otra empresa",IF(D1315="Malcolm",IF(COUNTA(R1315,S1315,T1315)&gt;0,"Estado/fechas proMX se ignoran en Malcolm",""),IF(BF1315="Cancelled","Cancelado: excluido de totales",IF(R1315="","Sin estado: se trata como Draft",IF(BF1315="Submitted",IF(ISNUMBER(V1315),IF(V1315&gt;CFG_MAXD,"⚠ "&amp;V1315&amp;" días en Submitted (máx. "&amp;CFG_MAXD&amp;")",""),"Falta fecha de envío"),IF(BF1315="Returned","⚠ Devuelto: corregir y reenviar",IF(BF1315="Recall Requested","Retirada solicitada: pendiente",IF(AND(BF1315="Approved",NOT(ISNUMBER(T1315))),"Falta fecha de aprobación",IF(AND(ISNUMBER(S1315),ISNUMBER(T1315),T1315&lt;S1315),"Aprobación anterior al envío","")))))))))</f>
        <v/>
      </c>
      <c r="Y1315" s="80">
        <f>IF(COUNTA(B1315,D1315,E1315,F1315,G1315,H1315,I1315,J1315,R1315,S1315,T1315)&gt;0,1,0)</f>
        <v>0</v>
      </c>
      <c r="Z1315" s="80" t="str">
        <f>IF(AND(ISNUMBER(H1315),H1315&gt;=0,H1315&lt;1),ROUND(H1315*1440,0),"")</f>
        <v/>
      </c>
      <c r="AA1315" s="80" t="str">
        <f>IF(AND(ISNUMBER(I1315),I1315&gt;=0,I1315&lt;1),ROUND(I1315*1440,0),"")</f>
        <v/>
      </c>
      <c r="AB1315" s="80">
        <f>IF(AND(ISNUMBER(B1315),D1315&lt;&gt;"",ISNUMBER(Z1315),ISNUMBER(AA1315)),IF(Z1315=AA1315,0,1),0)</f>
        <v>0</v>
      </c>
      <c r="AC1315" s="80">
        <f>IF(AB1315=1,IF(AA1315&lt;Z1315,1,0),0)</f>
        <v>0</v>
      </c>
      <c r="AD1315" s="80">
        <f>IF(AB1315=1,IF(AC1315=1,1440-Z1315+AA1315,AA1315-Z1315),0)</f>
        <v>0</v>
      </c>
      <c r="AE1315" s="80">
        <f>IF(J1315="",0,IF(ISNUMBER(J1315),J1315,-1))</f>
        <v>0</v>
      </c>
      <c r="AF1315" s="80">
        <f>MIN(MAX(0,AE1315),AD1315)</f>
        <v>0</v>
      </c>
      <c r="AG1315" s="80">
        <f>MAX(0,AD1315-MAX(0,AE1315))</f>
        <v>0</v>
      </c>
      <c r="AH1315" s="80">
        <f>IF(ISNUMBER(B1315),IF(AND(INDEX(CFG_WDAYS,WEEKDAY(INT(B1315),2))="Sí",IF(D1315="proMX",COUNTIFS(FER_F,INT(B1315),FER_NLP,"Sí"),COUNTIFS(FER_F,INT(B1315),FER_NLM,"Sí"))=0),1,0),0)</f>
        <v>0</v>
      </c>
      <c r="AI1315" s="80">
        <f>IF(AC1315=1,IF(AND(INDEX(CFG_WDAYS,WEEKDAY(INT(B1315)+1,2))="Sí",IF(D1315="proMX",COUNTIFS(FER_F,INT(B1315)+1,FER_NLP,"Sí"),COUNTIFS(FER_F,INT(B1315)+1,FER_NLM,"Sí"))=0),1,0),0)</f>
        <v>0</v>
      </c>
      <c r="AJ1315" s="80">
        <f>IF(AC1315=1,1440-Z1315,AD1315)</f>
        <v>0</v>
      </c>
      <c r="AK1315" s="80">
        <f>IF(AND(AB1315=1,AH1315=1),MAX(0,MIN(IF(AC1315=1,1440,AA1315),CFG_WEM)-MAX(Z1315,CFG_WSM)),0)</f>
        <v>0</v>
      </c>
      <c r="AL1315" s="80">
        <f>IF(AND(AC1315=1,AI1315=1),MAX(0,MIN(AA1315,CFG_WEM)-CFG_WSM),0)</f>
        <v>0</v>
      </c>
      <c r="AM1315" s="80">
        <f>AK1315+AL1315</f>
        <v>0</v>
      </c>
      <c r="AN1315" s="80">
        <f>IF(CFG_BRK="Proporcional",IF(AD1315=0,0,AF1315*AM1315/AD1315),IF(CFG_BRK="Extras primero",MIN(AM1315,MAX(0,AF1315-(AD1315-AM1315))),MIN(AF1315,AM1315)))</f>
        <v>0</v>
      </c>
      <c r="AO1315" s="80">
        <f>AF1315-AN1315</f>
        <v>0</v>
      </c>
      <c r="AP1315" s="80">
        <f>AM1315-AN1315</f>
        <v>0</v>
      </c>
      <c r="AQ1315" s="80">
        <f>AD1315-AM1315-AO1315</f>
        <v>0</v>
      </c>
      <c r="AR1315" s="80">
        <f>IF(AM1315=0,0,AK1315-AN1315*AK1315/AM1315)</f>
        <v>0</v>
      </c>
      <c r="AS1315" s="80">
        <f>IF(AD1315-AM1315=0,0,(AJ1315-AK1315)-AO1315*(AJ1315-AK1315)/(AD1315-AM1315))</f>
        <v>0</v>
      </c>
      <c r="AT1315" s="80" t="str">
        <f>IF(AC1315=1,INT(B1315)+1,"")</f>
        <v/>
      </c>
      <c r="AU1315" s="80">
        <f>IF(AND(D1315="proMX",R1315="Cancelled"),0,1)</f>
        <v>1</v>
      </c>
      <c r="AV1315" s="80">
        <f>IF(AND(AB1315=1,AU1315=1),IF(COUNTIFS($D$5:D1314,D1315,$B$5:B1314,B1315,$Z$5:Z1314,Z1315,$AA$5:AA1314,AA1315,$F$5:F1314,F1315&amp;"",$AU$5:AU1314,1)&gt;0,1,0),0)</f>
        <v>0</v>
      </c>
      <c r="AW1315" s="80" t="str">
        <f>IF(AB1315=1,INT(B1315)*1440+Z1315,"")</f>
        <v/>
      </c>
      <c r="AX1315" s="80" t="str">
        <f>IF(AB1315=1,AW1315+AD1315,"")</f>
        <v/>
      </c>
      <c r="AY1315" s="80">
        <f>IF(AND(AB1315=1,AV1315=0,AU1315=1),1,0)</f>
        <v>0</v>
      </c>
      <c r="AZ1315" s="80">
        <f>IF(AY1315=1,COUNTIFS(R_Emp,D1315,R_SAbs,"&lt;"&amp;AX1315,R_EAbs,"&gt;"&amp;AW1315,R_OKey,1)-1,0)</f>
        <v>0</v>
      </c>
      <c r="BA1315" s="80">
        <f>IF(AY1315=1,COUNTIFS(R_Emp,"&lt;&gt;"&amp;D1315,R_SAbs,"&lt;"&amp;AX1315,R_EAbs,"&gt;"&amp;AW1315,R_OKey,1),0)</f>
        <v>0</v>
      </c>
      <c r="BB1315" s="80">
        <f>IF(AND(AB1315=1,D1315="proMX"),IF(AND(MOD(Z1315,CFG_BLK)=0,MOD(AA1315,CFG_BLK)=0,MOD(AG1315,CFG_BLK)=0,AG1315&gt;0),1,0),1)</f>
        <v>1</v>
      </c>
      <c r="BC1315" s="80" t="str">
        <f>IF(Y1315=0,"",IF(NOT(ISNUMBER(B1315)),"Falta fecha o fecha inválida",IF(D1315="","Falta empresa",IF(AND(D1315&lt;&gt;"Malcolm",D1315&lt;&gt;"proMX"),"Empresa inválida",IF(OR(INT(B1315)&lt;CFG_PSTART,INT(B1315)&gt;CFG_PEND),"Fecha fuera del período",IF(OR(NOT(ISNUMBER(Z1315)),NOT(ISNUMBER(AA1315))),"Falta hora inicio/fin o formato inválido",IF(AB1315=0,"Hora inicio = hora fin",IF(AE1315&lt;0,"Descanso inválido",IF(AE1315&gt;=AD1315,"Descanso ≥ duración",IF(AV1315=1,"Registro duplicado",IF(AZ1315&gt;0,"Se superpone con otro registro "&amp;D1315,IF(BB1315=0,"inicio, fin y duración neta deben ser múltiplos de "&amp;CFG_BLK&amp;" min",""))))))))))))</f>
        <v/>
      </c>
      <c r="BD1315" s="80">
        <f>IF(AND(Y1315=1,BC1315=""),1,0)</f>
        <v>0</v>
      </c>
      <c r="BE1315" s="80">
        <f>IF(AND(BD1315=1,AU1315=1),1,0)</f>
        <v>0</v>
      </c>
      <c r="BF1315" s="80" t="str">
        <f>IF(AND(D1315="proMX",BD1315=1),IF(R1315="","Draft",R1315),"")</f>
        <v/>
      </c>
      <c r="BG1315" s="80">
        <f>IF(BD1315=1,ROUND(AG1315/60,6),0)</f>
        <v>0</v>
      </c>
      <c r="BH1315" s="80">
        <f>IF(BE1315=1,ROUND(AG1315/60,6),0)</f>
        <v>0</v>
      </c>
      <c r="BI1315" s="80">
        <f>IF(BE1315=1,ROUND(AP1315/60,6),0)</f>
        <v>0</v>
      </c>
      <c r="BJ1315" s="80">
        <f>IF(BE1315=1,ROUND(AQ1315/60,6),0)</f>
        <v>0</v>
      </c>
      <c r="BK1315" s="80">
        <f>IF(BE1315=1,ROUND((AR1315+AS1315)/60,6),0)</f>
        <v>0</v>
      </c>
      <c r="BL1315" s="80">
        <f>ROUND(BH1315-BK1315,6)</f>
        <v>0</v>
      </c>
      <c r="BM1315" s="80">
        <f>IF(BE1315=1,ROUND(AR1315/60,6),0)</f>
        <v>0</v>
      </c>
      <c r="BN1315" s="80">
        <f>ROUND(BI1315-BM1315,6)</f>
        <v>0</v>
      </c>
      <c r="BO1315" s="80">
        <f>IF(BE1315=1,ROUND(AS1315/60,6),0)</f>
        <v>0</v>
      </c>
      <c r="BP1315" s="80">
        <f>ROUND(BJ1315-BO1315,6)</f>
        <v>0</v>
      </c>
      <c r="BQ1315" s="80">
        <f>IF(BE1315=1,AW1315,0)</f>
        <v>0</v>
      </c>
      <c r="BR1315" s="80">
        <f>IF(BE1315=1,AX1315,0)</f>
        <v>0</v>
      </c>
      <c r="BS1315" s="80">
        <f>IF(AND(BE1315=1,D1315="Malcolm",BA1315&gt;0),MIN(BH1315,SUMPRODUCT((R_Emp="proMX")*(R_EN&gt;0)*((R_EN-(R_EN&gt;BR1315)*(R_EN-BR1315))&gt;(R_SN+(R_SN&lt;BQ1315)*(BQ1315-R_SN)))*((R_EN-(R_EN&gt;BR1315)*(R_EN-BR1315))-(R_SN+(R_SN&lt;BQ1315)*(BQ1315-R_SN))))/60),0)</f>
        <v>0</v>
      </c>
      <c r="BT1315" s="80">
        <f>IF(AND(BE1315=1,D1315="proMX"),ROUND(BI1315*CFG_RATE+BJ1315*CFG_OTRATE,6),0)</f>
        <v>0</v>
      </c>
      <c r="BU1315" s="80">
        <f>IF(AND(BD1315=1,D1315="proMX"),ROUND(AG1315/CFG_BLK,6),0)</f>
        <v>0</v>
      </c>
      <c r="BV1315" s="80" t="str">
        <f>IF(BF1315="Approved",IF(ISNUMBER(T1315),INT(T1315),INT(B1315)),"")</f>
        <v/>
      </c>
      <c r="BW1315" s="80">
        <f>IF(ISNUMBER(B1315),IF(DB_MON="Todos",1,IF(AND(INT(B1315)&gt;=DB_MS,INT(B1315)&lt;=DB_ME),1,0)),0)</f>
        <v>0</v>
      </c>
      <c r="BX1315" s="80">
        <f>IF(DB_PROJ="Todos",1,IF(E1315&amp;""=DB_PROJ&amp;"",1,0))</f>
        <v>1</v>
      </c>
      <c r="BY1315" s="80">
        <f>BW1315*BX1315</f>
        <v>0</v>
      </c>
      <c r="BZ1315" s="80" t="str">
        <f>IF(Y1315=1,F1315&amp;IF(AND(F1315&amp;""&lt;&gt;"",E1315&amp;""&lt;&gt;"")," · ","")&amp;E1315,"")</f>
        <v/>
      </c>
      <c r="CA1315" s="80" t="str">
        <f>IF(AND(BD1315=1,E1315&amp;""&lt;&gt;""),IF(COUNTIFS($E$5:E1314,E1315,$BD$5:BD1314,1)=0,MAX($CA$5:CA1314)+1,""),"")</f>
        <v/>
      </c>
      <c r="CB1315" s="80" t="str">
        <f>IF(AND(BE1315=1,D1315="Malcolm",E1315&amp;""&lt;&gt;""),IF(COUNTIFS($D$5:D1314,"Malcolm",$E$5:E1314,E1315,$BE$5:BE1314,1)=0,MAX($CB$5:CB1314)+1,""),"")</f>
        <v/>
      </c>
      <c r="CC1315" s="80" t="str">
        <f>IF(AND(BD1315=1,D1315="proMX",E1315&amp;""&lt;&gt;""),IF(COUNTIFS($D$5:D1314,"proMX",$E$5:E1314,E1315,$BD$5:BD1314,1)=0,MAX($CC$5:CC1314)+1,""),"")</f>
        <v/>
      </c>
      <c r="CD1315" s="80" t="str">
        <f>IF(AND(BE1315=1,D1315="Malcolm",F1315&amp;""&lt;&gt;""),IF(COUNTIFS($D$5:D1314,"Malcolm",$F$5:F1314,F1315,$BE$5:BE1314,1)=0,MAX($CD$5:CD1314)+1,""),"")</f>
        <v/>
      </c>
      <c r="CE1315" s="80" t="str">
        <f>IF(AND(BD1315=1,D1315="proMX",F1315&amp;""&lt;&gt;""),IF(COUNTIFS($D$5:D1314,"proMX",$F$5:F1314,F1315,$BD$5:BD1314,1)=0,MAX($CE$5:CE1314)+1,""),"")</f>
        <v/>
      </c>
      <c r="CF1315" s="80" t="str">
        <f>IF(AND(D1315="proMX",BD1315=1),IF(OR(BF1315="Draft",BF1315="Submitted",BF1315="Returned",BF1315="Recall Requested"),MAX($CF$5:CF1314)+1,""),"")</f>
        <v/>
      </c>
      <c r="CG1315" s="80">
        <f>IF(BD1315=0,0,IF(D1315="Malcolm",1,MATCH(BF1315,{"Draft","Submitted","Approved","Returned","Recall Requested","Cancelled"},0)+1))</f>
        <v>0</v>
      </c>
      <c r="CH1315" s="80">
        <f>IF(AND(BF1315="Submitted",ISNUMBER(V1315)),IF(V1315&gt;CFG_MAXD,1,0),0)</f>
        <v>0</v>
      </c>
    </row>
    <row r="1316">
      <c r="A1316" s="71" t="str">
        <f>IF(Y1316=1,ROW()-5,"")</f>
        <v/>
      </c>
      <c r="B1316" s="72" t="n"/>
      <c r="C1316" s="71" t="str">
        <f>IF(ISNUMBER(B1316),CHOOSE(WEEKDAY(B1316,2),"Lun","Mar","Mié","Jue","Vie","Sáb","Dom"),"")</f>
        <v/>
      </c>
      <c r="D1316" s="73" t="n"/>
      <c r="E1316" s="74" t="n"/>
      <c r="F1316" s="74" t="n"/>
      <c r="G1316" s="74" t="n"/>
      <c r="H1316" s="75" t="n"/>
      <c r="I1316" s="75" t="n"/>
      <c r="J1316" s="76" t="n"/>
      <c r="K1316" s="77" t="str">
        <f>IF(AB1316=1,ROUND(AG1316/60,4),"")</f>
        <v/>
      </c>
      <c r="L1316" s="77" t="str">
        <f>IF(BD1316=1,ROUND(AP1316/60,4),"")</f>
        <v/>
      </c>
      <c r="M1316" s="77" t="str">
        <f>IF(BD1316=1,ROUND(AQ1316/60,4),"")</f>
        <v/>
      </c>
      <c r="N1316" s="71" t="str">
        <f>IF(AND(D1316="proMX",AB1316=1),ROUND(AG1316/CFG_BLK,2),"")</f>
        <v/>
      </c>
      <c r="O1316" s="77" t="str">
        <f>IF(D1316="proMX",IF(BD1316=1,ROUND(AG1316/60,4),0),"")</f>
        <v/>
      </c>
      <c r="P1316" s="78" t="str">
        <f>IF(Y1316=0,"",IF(BD1316=1,"OK",IF(D1316="proMX","Revisar bloques: ","Revisar: ")&amp;BC1316))</f>
        <v/>
      </c>
      <c r="Q1316" s="78" t="str">
        <f>IF(NOT(ISNUMBER(B1316)),"",IF(COUNTIFS(FER_F,INT(B1316))&gt;0,"Feriado"&amp;IF(AH1316=1," (laborable)"," (no laborable)"),IF(AH1316=1,"Laborable",IF(WEEKDAY(B1316,2)&gt;5,"Fin de semana","No laborable"))))</f>
        <v/>
      </c>
      <c r="R1316" s="73" t="n"/>
      <c r="S1316" s="72" t="n"/>
      <c r="T1316" s="72" t="n"/>
      <c r="U1316" s="74" t="n"/>
      <c r="V1316" s="79" t="str">
        <f>IF(AND(D1316="proMX",OR(R1316="Submitted",R1316="Recall Requested"),ISNUMBER(S1316)),CFG_TODAY-INT(S1316),"")</f>
        <v/>
      </c>
      <c r="W1316" s="78" t="str">
        <f>IF(BD1316=0,"",IF(BA1316&gt;0,"⚠ Se superpone con un registro de la otra empresa",IF(D1316="Malcolm",IF(COUNTA(R1316,S1316,T1316)&gt;0,"Estado/fechas proMX se ignoran en Malcolm",""),IF(BF1316="Cancelled","Cancelado: excluido de totales",IF(R1316="","Sin estado: se trata como Draft",IF(BF1316="Submitted",IF(ISNUMBER(V1316),IF(V1316&gt;CFG_MAXD,"⚠ "&amp;V1316&amp;" días en Submitted (máx. "&amp;CFG_MAXD&amp;")",""),"Falta fecha de envío"),IF(BF1316="Returned","⚠ Devuelto: corregir y reenviar",IF(BF1316="Recall Requested","Retirada solicitada: pendiente",IF(AND(BF1316="Approved",NOT(ISNUMBER(T1316))),"Falta fecha de aprobación",IF(AND(ISNUMBER(S1316),ISNUMBER(T1316),T1316&lt;S1316),"Aprobación anterior al envío","")))))))))</f>
        <v/>
      </c>
      <c r="Y1316" s="80">
        <f>IF(COUNTA(B1316,D1316,E1316,F1316,G1316,H1316,I1316,J1316,R1316,S1316,T1316)&gt;0,1,0)</f>
        <v>0</v>
      </c>
      <c r="Z1316" s="80" t="str">
        <f>IF(AND(ISNUMBER(H1316),H1316&gt;=0,H1316&lt;1),ROUND(H1316*1440,0),"")</f>
        <v/>
      </c>
      <c r="AA1316" s="80" t="str">
        <f>IF(AND(ISNUMBER(I1316),I1316&gt;=0,I1316&lt;1),ROUND(I1316*1440,0),"")</f>
        <v/>
      </c>
      <c r="AB1316" s="80">
        <f>IF(AND(ISNUMBER(B1316),D1316&lt;&gt;"",ISNUMBER(Z1316),ISNUMBER(AA1316)),IF(Z1316=AA1316,0,1),0)</f>
        <v>0</v>
      </c>
      <c r="AC1316" s="80">
        <f>IF(AB1316=1,IF(AA1316&lt;Z1316,1,0),0)</f>
        <v>0</v>
      </c>
      <c r="AD1316" s="80">
        <f>IF(AB1316=1,IF(AC1316=1,1440-Z1316+AA1316,AA1316-Z1316),0)</f>
        <v>0</v>
      </c>
      <c r="AE1316" s="80">
        <f>IF(J1316="",0,IF(ISNUMBER(J1316),J1316,-1))</f>
        <v>0</v>
      </c>
      <c r="AF1316" s="80">
        <f>MIN(MAX(0,AE1316),AD1316)</f>
        <v>0</v>
      </c>
      <c r="AG1316" s="80">
        <f>MAX(0,AD1316-MAX(0,AE1316))</f>
        <v>0</v>
      </c>
      <c r="AH1316" s="80">
        <f>IF(ISNUMBER(B1316),IF(AND(INDEX(CFG_WDAYS,WEEKDAY(INT(B1316),2))="Sí",IF(D1316="proMX",COUNTIFS(FER_F,INT(B1316),FER_NLP,"Sí"),COUNTIFS(FER_F,INT(B1316),FER_NLM,"Sí"))=0),1,0),0)</f>
        <v>0</v>
      </c>
      <c r="AI1316" s="80">
        <f>IF(AC1316=1,IF(AND(INDEX(CFG_WDAYS,WEEKDAY(INT(B1316)+1,2))="Sí",IF(D1316="proMX",COUNTIFS(FER_F,INT(B1316)+1,FER_NLP,"Sí"),COUNTIFS(FER_F,INT(B1316)+1,FER_NLM,"Sí"))=0),1,0),0)</f>
        <v>0</v>
      </c>
      <c r="AJ1316" s="80">
        <f>IF(AC1316=1,1440-Z1316,AD1316)</f>
        <v>0</v>
      </c>
      <c r="AK1316" s="80">
        <f>IF(AND(AB1316=1,AH1316=1),MAX(0,MIN(IF(AC1316=1,1440,AA1316),CFG_WEM)-MAX(Z1316,CFG_WSM)),0)</f>
        <v>0</v>
      </c>
      <c r="AL1316" s="80">
        <f>IF(AND(AC1316=1,AI1316=1),MAX(0,MIN(AA1316,CFG_WEM)-CFG_WSM),0)</f>
        <v>0</v>
      </c>
      <c r="AM1316" s="80">
        <f>AK1316+AL1316</f>
        <v>0</v>
      </c>
      <c r="AN1316" s="80">
        <f>IF(CFG_BRK="Proporcional",IF(AD1316=0,0,AF1316*AM1316/AD1316),IF(CFG_BRK="Extras primero",MIN(AM1316,MAX(0,AF1316-(AD1316-AM1316))),MIN(AF1316,AM1316)))</f>
        <v>0</v>
      </c>
      <c r="AO1316" s="80">
        <f>AF1316-AN1316</f>
        <v>0</v>
      </c>
      <c r="AP1316" s="80">
        <f>AM1316-AN1316</f>
        <v>0</v>
      </c>
      <c r="AQ1316" s="80">
        <f>AD1316-AM1316-AO1316</f>
        <v>0</v>
      </c>
      <c r="AR1316" s="80">
        <f>IF(AM1316=0,0,AK1316-AN1316*AK1316/AM1316)</f>
        <v>0</v>
      </c>
      <c r="AS1316" s="80">
        <f>IF(AD1316-AM1316=0,0,(AJ1316-AK1316)-AO1316*(AJ1316-AK1316)/(AD1316-AM1316))</f>
        <v>0</v>
      </c>
      <c r="AT1316" s="80" t="str">
        <f>IF(AC1316=1,INT(B1316)+1,"")</f>
        <v/>
      </c>
      <c r="AU1316" s="80">
        <f>IF(AND(D1316="proMX",R1316="Cancelled"),0,1)</f>
        <v>1</v>
      </c>
      <c r="AV1316" s="80">
        <f>IF(AND(AB1316=1,AU1316=1),IF(COUNTIFS($D$5:D1315,D1316,$B$5:B1315,B1316,$Z$5:Z1315,Z1316,$AA$5:AA1315,AA1316,$F$5:F1315,F1316&amp;"",$AU$5:AU1315,1)&gt;0,1,0),0)</f>
        <v>0</v>
      </c>
      <c r="AW1316" s="80" t="str">
        <f>IF(AB1316=1,INT(B1316)*1440+Z1316,"")</f>
        <v/>
      </c>
      <c r="AX1316" s="80" t="str">
        <f>IF(AB1316=1,AW1316+AD1316,"")</f>
        <v/>
      </c>
      <c r="AY1316" s="80">
        <f>IF(AND(AB1316=1,AV1316=0,AU1316=1),1,0)</f>
        <v>0</v>
      </c>
      <c r="AZ1316" s="80">
        <f>IF(AY1316=1,COUNTIFS(R_Emp,D1316,R_SAbs,"&lt;"&amp;AX1316,R_EAbs,"&gt;"&amp;AW1316,R_OKey,1)-1,0)</f>
        <v>0</v>
      </c>
      <c r="BA1316" s="80">
        <f>IF(AY1316=1,COUNTIFS(R_Emp,"&lt;&gt;"&amp;D1316,R_SAbs,"&lt;"&amp;AX1316,R_EAbs,"&gt;"&amp;AW1316,R_OKey,1),0)</f>
        <v>0</v>
      </c>
      <c r="BB1316" s="80">
        <f>IF(AND(AB1316=1,D1316="proMX"),IF(AND(MOD(Z1316,CFG_BLK)=0,MOD(AA1316,CFG_BLK)=0,MOD(AG1316,CFG_BLK)=0,AG1316&gt;0),1,0),1)</f>
        <v>1</v>
      </c>
      <c r="BC1316" s="80" t="str">
        <f>IF(Y1316=0,"",IF(NOT(ISNUMBER(B1316)),"Falta fecha o fecha inválida",IF(D1316="","Falta empresa",IF(AND(D1316&lt;&gt;"Malcolm",D1316&lt;&gt;"proMX"),"Empresa inválida",IF(OR(INT(B1316)&lt;CFG_PSTART,INT(B1316)&gt;CFG_PEND),"Fecha fuera del período",IF(OR(NOT(ISNUMBER(Z1316)),NOT(ISNUMBER(AA1316))),"Falta hora inicio/fin o formato inválido",IF(AB1316=0,"Hora inicio = hora fin",IF(AE1316&lt;0,"Descanso inválido",IF(AE1316&gt;=AD1316,"Descanso ≥ duración",IF(AV1316=1,"Registro duplicado",IF(AZ1316&gt;0,"Se superpone con otro registro "&amp;D1316,IF(BB1316=0,"inicio, fin y duración neta deben ser múltiplos de "&amp;CFG_BLK&amp;" min",""))))))))))))</f>
        <v/>
      </c>
      <c r="BD1316" s="80">
        <f>IF(AND(Y1316=1,BC1316=""),1,0)</f>
        <v>0</v>
      </c>
      <c r="BE1316" s="80">
        <f>IF(AND(BD1316=1,AU1316=1),1,0)</f>
        <v>0</v>
      </c>
      <c r="BF1316" s="80" t="str">
        <f>IF(AND(D1316="proMX",BD1316=1),IF(R1316="","Draft",R1316),"")</f>
        <v/>
      </c>
      <c r="BG1316" s="80">
        <f>IF(BD1316=1,ROUND(AG1316/60,6),0)</f>
        <v>0</v>
      </c>
      <c r="BH1316" s="80">
        <f>IF(BE1316=1,ROUND(AG1316/60,6),0)</f>
        <v>0</v>
      </c>
      <c r="BI1316" s="80">
        <f>IF(BE1316=1,ROUND(AP1316/60,6),0)</f>
        <v>0</v>
      </c>
      <c r="BJ1316" s="80">
        <f>IF(BE1316=1,ROUND(AQ1316/60,6),0)</f>
        <v>0</v>
      </c>
      <c r="BK1316" s="80">
        <f>IF(BE1316=1,ROUND((AR1316+AS1316)/60,6),0)</f>
        <v>0</v>
      </c>
      <c r="BL1316" s="80">
        <f>ROUND(BH1316-BK1316,6)</f>
        <v>0</v>
      </c>
      <c r="BM1316" s="80">
        <f>IF(BE1316=1,ROUND(AR1316/60,6),0)</f>
        <v>0</v>
      </c>
      <c r="BN1316" s="80">
        <f>ROUND(BI1316-BM1316,6)</f>
        <v>0</v>
      </c>
      <c r="BO1316" s="80">
        <f>IF(BE1316=1,ROUND(AS1316/60,6),0)</f>
        <v>0</v>
      </c>
      <c r="BP1316" s="80">
        <f>ROUND(BJ1316-BO1316,6)</f>
        <v>0</v>
      </c>
      <c r="BQ1316" s="80">
        <f>IF(BE1316=1,AW1316,0)</f>
        <v>0</v>
      </c>
      <c r="BR1316" s="80">
        <f>IF(BE1316=1,AX1316,0)</f>
        <v>0</v>
      </c>
      <c r="BS1316" s="80">
        <f>IF(AND(BE1316=1,D1316="Malcolm",BA1316&gt;0),MIN(BH1316,SUMPRODUCT((R_Emp="proMX")*(R_EN&gt;0)*((R_EN-(R_EN&gt;BR1316)*(R_EN-BR1316))&gt;(R_SN+(R_SN&lt;BQ1316)*(BQ1316-R_SN)))*((R_EN-(R_EN&gt;BR1316)*(R_EN-BR1316))-(R_SN+(R_SN&lt;BQ1316)*(BQ1316-R_SN))))/60),0)</f>
        <v>0</v>
      </c>
      <c r="BT1316" s="80">
        <f>IF(AND(BE1316=1,D1316="proMX"),ROUND(BI1316*CFG_RATE+BJ1316*CFG_OTRATE,6),0)</f>
        <v>0</v>
      </c>
      <c r="BU1316" s="80">
        <f>IF(AND(BD1316=1,D1316="proMX"),ROUND(AG1316/CFG_BLK,6),0)</f>
        <v>0</v>
      </c>
      <c r="BV1316" s="80" t="str">
        <f>IF(BF1316="Approved",IF(ISNUMBER(T1316),INT(T1316),INT(B1316)),"")</f>
        <v/>
      </c>
      <c r="BW1316" s="80">
        <f>IF(ISNUMBER(B1316),IF(DB_MON="Todos",1,IF(AND(INT(B1316)&gt;=DB_MS,INT(B1316)&lt;=DB_ME),1,0)),0)</f>
        <v>0</v>
      </c>
      <c r="BX1316" s="80">
        <f>IF(DB_PROJ="Todos",1,IF(E1316&amp;""=DB_PROJ&amp;"",1,0))</f>
        <v>1</v>
      </c>
      <c r="BY1316" s="80">
        <f>BW1316*BX1316</f>
        <v>0</v>
      </c>
      <c r="BZ1316" s="80" t="str">
        <f>IF(Y1316=1,F1316&amp;IF(AND(F1316&amp;""&lt;&gt;"",E1316&amp;""&lt;&gt;"")," · ","")&amp;E1316,"")</f>
        <v/>
      </c>
      <c r="CA1316" s="80" t="str">
        <f>IF(AND(BD1316=1,E1316&amp;""&lt;&gt;""),IF(COUNTIFS($E$5:E1315,E1316,$BD$5:BD1315,1)=0,MAX($CA$5:CA1315)+1,""),"")</f>
        <v/>
      </c>
      <c r="CB1316" s="80" t="str">
        <f>IF(AND(BE1316=1,D1316="Malcolm",E1316&amp;""&lt;&gt;""),IF(COUNTIFS($D$5:D1315,"Malcolm",$E$5:E1315,E1316,$BE$5:BE1315,1)=0,MAX($CB$5:CB1315)+1,""),"")</f>
        <v/>
      </c>
      <c r="CC1316" s="80" t="str">
        <f>IF(AND(BD1316=1,D1316="proMX",E1316&amp;""&lt;&gt;""),IF(COUNTIFS($D$5:D1315,"proMX",$E$5:E1315,E1316,$BD$5:BD1315,1)=0,MAX($CC$5:CC1315)+1,""),"")</f>
        <v/>
      </c>
      <c r="CD1316" s="80" t="str">
        <f>IF(AND(BE1316=1,D1316="Malcolm",F1316&amp;""&lt;&gt;""),IF(COUNTIFS($D$5:D1315,"Malcolm",$F$5:F1315,F1316,$BE$5:BE1315,1)=0,MAX($CD$5:CD1315)+1,""),"")</f>
        <v/>
      </c>
      <c r="CE1316" s="80" t="str">
        <f>IF(AND(BD1316=1,D1316="proMX",F1316&amp;""&lt;&gt;""),IF(COUNTIFS($D$5:D1315,"proMX",$F$5:F1315,F1316,$BD$5:BD1315,1)=0,MAX($CE$5:CE1315)+1,""),"")</f>
        <v/>
      </c>
      <c r="CF1316" s="80" t="str">
        <f>IF(AND(D1316="proMX",BD1316=1),IF(OR(BF1316="Draft",BF1316="Submitted",BF1316="Returned",BF1316="Recall Requested"),MAX($CF$5:CF1315)+1,""),"")</f>
        <v/>
      </c>
      <c r="CG1316" s="80">
        <f>IF(BD1316=0,0,IF(D1316="Malcolm",1,MATCH(BF1316,{"Draft","Submitted","Approved","Returned","Recall Requested","Cancelled"},0)+1))</f>
        <v>0</v>
      </c>
      <c r="CH1316" s="80">
        <f>IF(AND(BF1316="Submitted",ISNUMBER(V1316)),IF(V1316&gt;CFG_MAXD,1,0),0)</f>
        <v>0</v>
      </c>
    </row>
    <row r="1317">
      <c r="A1317" s="71" t="str">
        <f>IF(Y1317=1,ROW()-5,"")</f>
        <v/>
      </c>
      <c r="B1317" s="72" t="n"/>
      <c r="C1317" s="71" t="str">
        <f>IF(ISNUMBER(B1317),CHOOSE(WEEKDAY(B1317,2),"Lun","Mar","Mié","Jue","Vie","Sáb","Dom"),"")</f>
        <v/>
      </c>
      <c r="D1317" s="73" t="n"/>
      <c r="E1317" s="74" t="n"/>
      <c r="F1317" s="74" t="n"/>
      <c r="G1317" s="74" t="n"/>
      <c r="H1317" s="75" t="n"/>
      <c r="I1317" s="75" t="n"/>
      <c r="J1317" s="76" t="n"/>
      <c r="K1317" s="77" t="str">
        <f>IF(AB1317=1,ROUND(AG1317/60,4),"")</f>
        <v/>
      </c>
      <c r="L1317" s="77" t="str">
        <f>IF(BD1317=1,ROUND(AP1317/60,4),"")</f>
        <v/>
      </c>
      <c r="M1317" s="77" t="str">
        <f>IF(BD1317=1,ROUND(AQ1317/60,4),"")</f>
        <v/>
      </c>
      <c r="N1317" s="71" t="str">
        <f>IF(AND(D1317="proMX",AB1317=1),ROUND(AG1317/CFG_BLK,2),"")</f>
        <v/>
      </c>
      <c r="O1317" s="77" t="str">
        <f>IF(D1317="proMX",IF(BD1317=1,ROUND(AG1317/60,4),0),"")</f>
        <v/>
      </c>
      <c r="P1317" s="78" t="str">
        <f>IF(Y1317=0,"",IF(BD1317=1,"OK",IF(D1317="proMX","Revisar bloques: ","Revisar: ")&amp;BC1317))</f>
        <v/>
      </c>
      <c r="Q1317" s="78" t="str">
        <f>IF(NOT(ISNUMBER(B1317)),"",IF(COUNTIFS(FER_F,INT(B1317))&gt;0,"Feriado"&amp;IF(AH1317=1," (laborable)"," (no laborable)"),IF(AH1317=1,"Laborable",IF(WEEKDAY(B1317,2)&gt;5,"Fin de semana","No laborable"))))</f>
        <v/>
      </c>
      <c r="R1317" s="73" t="n"/>
      <c r="S1317" s="72" t="n"/>
      <c r="T1317" s="72" t="n"/>
      <c r="U1317" s="74" t="n"/>
      <c r="V1317" s="79" t="str">
        <f>IF(AND(D1317="proMX",OR(R1317="Submitted",R1317="Recall Requested"),ISNUMBER(S1317)),CFG_TODAY-INT(S1317),"")</f>
        <v/>
      </c>
      <c r="W1317" s="78" t="str">
        <f>IF(BD1317=0,"",IF(BA1317&gt;0,"⚠ Se superpone con un registro de la otra empresa",IF(D1317="Malcolm",IF(COUNTA(R1317,S1317,T1317)&gt;0,"Estado/fechas proMX se ignoran en Malcolm",""),IF(BF1317="Cancelled","Cancelado: excluido de totales",IF(R1317="","Sin estado: se trata como Draft",IF(BF1317="Submitted",IF(ISNUMBER(V1317),IF(V1317&gt;CFG_MAXD,"⚠ "&amp;V1317&amp;" días en Submitted (máx. "&amp;CFG_MAXD&amp;")",""),"Falta fecha de envío"),IF(BF1317="Returned","⚠ Devuelto: corregir y reenviar",IF(BF1317="Recall Requested","Retirada solicitada: pendiente",IF(AND(BF1317="Approved",NOT(ISNUMBER(T1317))),"Falta fecha de aprobación",IF(AND(ISNUMBER(S1317),ISNUMBER(T1317),T1317&lt;S1317),"Aprobación anterior al envío","")))))))))</f>
        <v/>
      </c>
      <c r="Y1317" s="80">
        <f>IF(COUNTA(B1317,D1317,E1317,F1317,G1317,H1317,I1317,J1317,R1317,S1317,T1317)&gt;0,1,0)</f>
        <v>0</v>
      </c>
      <c r="Z1317" s="80" t="str">
        <f>IF(AND(ISNUMBER(H1317),H1317&gt;=0,H1317&lt;1),ROUND(H1317*1440,0),"")</f>
        <v/>
      </c>
      <c r="AA1317" s="80" t="str">
        <f>IF(AND(ISNUMBER(I1317),I1317&gt;=0,I1317&lt;1),ROUND(I1317*1440,0),"")</f>
        <v/>
      </c>
      <c r="AB1317" s="80">
        <f>IF(AND(ISNUMBER(B1317),D1317&lt;&gt;"",ISNUMBER(Z1317),ISNUMBER(AA1317)),IF(Z1317=AA1317,0,1),0)</f>
        <v>0</v>
      </c>
      <c r="AC1317" s="80">
        <f>IF(AB1317=1,IF(AA1317&lt;Z1317,1,0),0)</f>
        <v>0</v>
      </c>
      <c r="AD1317" s="80">
        <f>IF(AB1317=1,IF(AC1317=1,1440-Z1317+AA1317,AA1317-Z1317),0)</f>
        <v>0</v>
      </c>
      <c r="AE1317" s="80">
        <f>IF(J1317="",0,IF(ISNUMBER(J1317),J1317,-1))</f>
        <v>0</v>
      </c>
      <c r="AF1317" s="80">
        <f>MIN(MAX(0,AE1317),AD1317)</f>
        <v>0</v>
      </c>
      <c r="AG1317" s="80">
        <f>MAX(0,AD1317-MAX(0,AE1317))</f>
        <v>0</v>
      </c>
      <c r="AH1317" s="80">
        <f>IF(ISNUMBER(B1317),IF(AND(INDEX(CFG_WDAYS,WEEKDAY(INT(B1317),2))="Sí",IF(D1317="proMX",COUNTIFS(FER_F,INT(B1317),FER_NLP,"Sí"),COUNTIFS(FER_F,INT(B1317),FER_NLM,"Sí"))=0),1,0),0)</f>
        <v>0</v>
      </c>
      <c r="AI1317" s="80">
        <f>IF(AC1317=1,IF(AND(INDEX(CFG_WDAYS,WEEKDAY(INT(B1317)+1,2))="Sí",IF(D1317="proMX",COUNTIFS(FER_F,INT(B1317)+1,FER_NLP,"Sí"),COUNTIFS(FER_F,INT(B1317)+1,FER_NLM,"Sí"))=0),1,0),0)</f>
        <v>0</v>
      </c>
      <c r="AJ1317" s="80">
        <f>IF(AC1317=1,1440-Z1317,AD1317)</f>
        <v>0</v>
      </c>
      <c r="AK1317" s="80">
        <f>IF(AND(AB1317=1,AH1317=1),MAX(0,MIN(IF(AC1317=1,1440,AA1317),CFG_WEM)-MAX(Z1317,CFG_WSM)),0)</f>
        <v>0</v>
      </c>
      <c r="AL1317" s="80">
        <f>IF(AND(AC1317=1,AI1317=1),MAX(0,MIN(AA1317,CFG_WEM)-CFG_WSM),0)</f>
        <v>0</v>
      </c>
      <c r="AM1317" s="80">
        <f>AK1317+AL1317</f>
        <v>0</v>
      </c>
      <c r="AN1317" s="80">
        <f>IF(CFG_BRK="Proporcional",IF(AD1317=0,0,AF1317*AM1317/AD1317),IF(CFG_BRK="Extras primero",MIN(AM1317,MAX(0,AF1317-(AD1317-AM1317))),MIN(AF1317,AM1317)))</f>
        <v>0</v>
      </c>
      <c r="AO1317" s="80">
        <f>AF1317-AN1317</f>
        <v>0</v>
      </c>
      <c r="AP1317" s="80">
        <f>AM1317-AN1317</f>
        <v>0</v>
      </c>
      <c r="AQ1317" s="80">
        <f>AD1317-AM1317-AO1317</f>
        <v>0</v>
      </c>
      <c r="AR1317" s="80">
        <f>IF(AM1317=0,0,AK1317-AN1317*AK1317/AM1317)</f>
        <v>0</v>
      </c>
      <c r="AS1317" s="80">
        <f>IF(AD1317-AM1317=0,0,(AJ1317-AK1317)-AO1317*(AJ1317-AK1317)/(AD1317-AM1317))</f>
        <v>0</v>
      </c>
      <c r="AT1317" s="80" t="str">
        <f>IF(AC1317=1,INT(B1317)+1,"")</f>
        <v/>
      </c>
      <c r="AU1317" s="80">
        <f>IF(AND(D1317="proMX",R1317="Cancelled"),0,1)</f>
        <v>1</v>
      </c>
      <c r="AV1317" s="80">
        <f>IF(AND(AB1317=1,AU1317=1),IF(COUNTIFS($D$5:D1316,D1317,$B$5:B1316,B1317,$Z$5:Z1316,Z1317,$AA$5:AA1316,AA1317,$F$5:F1316,F1317&amp;"",$AU$5:AU1316,1)&gt;0,1,0),0)</f>
        <v>0</v>
      </c>
      <c r="AW1317" s="80" t="str">
        <f>IF(AB1317=1,INT(B1317)*1440+Z1317,"")</f>
        <v/>
      </c>
      <c r="AX1317" s="80" t="str">
        <f>IF(AB1317=1,AW1317+AD1317,"")</f>
        <v/>
      </c>
      <c r="AY1317" s="80">
        <f>IF(AND(AB1317=1,AV1317=0,AU1317=1),1,0)</f>
        <v>0</v>
      </c>
      <c r="AZ1317" s="80">
        <f>IF(AY1317=1,COUNTIFS(R_Emp,D1317,R_SAbs,"&lt;"&amp;AX1317,R_EAbs,"&gt;"&amp;AW1317,R_OKey,1)-1,0)</f>
        <v>0</v>
      </c>
      <c r="BA1317" s="80">
        <f>IF(AY1317=1,COUNTIFS(R_Emp,"&lt;&gt;"&amp;D1317,R_SAbs,"&lt;"&amp;AX1317,R_EAbs,"&gt;"&amp;AW1317,R_OKey,1),0)</f>
        <v>0</v>
      </c>
      <c r="BB1317" s="80">
        <f>IF(AND(AB1317=1,D1317="proMX"),IF(AND(MOD(Z1317,CFG_BLK)=0,MOD(AA1317,CFG_BLK)=0,MOD(AG1317,CFG_BLK)=0,AG1317&gt;0),1,0),1)</f>
        <v>1</v>
      </c>
      <c r="BC1317" s="80" t="str">
        <f>IF(Y1317=0,"",IF(NOT(ISNUMBER(B1317)),"Falta fecha o fecha inválida",IF(D1317="","Falta empresa",IF(AND(D1317&lt;&gt;"Malcolm",D1317&lt;&gt;"proMX"),"Empresa inválida",IF(OR(INT(B1317)&lt;CFG_PSTART,INT(B1317)&gt;CFG_PEND),"Fecha fuera del período",IF(OR(NOT(ISNUMBER(Z1317)),NOT(ISNUMBER(AA1317))),"Falta hora inicio/fin o formato inválido",IF(AB1317=0,"Hora inicio = hora fin",IF(AE1317&lt;0,"Descanso inválido",IF(AE1317&gt;=AD1317,"Descanso ≥ duración",IF(AV1317=1,"Registro duplicado",IF(AZ1317&gt;0,"Se superpone con otro registro "&amp;D1317,IF(BB1317=0,"inicio, fin y duración neta deben ser múltiplos de "&amp;CFG_BLK&amp;" min",""))))))))))))</f>
        <v/>
      </c>
      <c r="BD1317" s="80">
        <f>IF(AND(Y1317=1,BC1317=""),1,0)</f>
        <v>0</v>
      </c>
      <c r="BE1317" s="80">
        <f>IF(AND(BD1317=1,AU1317=1),1,0)</f>
        <v>0</v>
      </c>
      <c r="BF1317" s="80" t="str">
        <f>IF(AND(D1317="proMX",BD1317=1),IF(R1317="","Draft",R1317),"")</f>
        <v/>
      </c>
      <c r="BG1317" s="80">
        <f>IF(BD1317=1,ROUND(AG1317/60,6),0)</f>
        <v>0</v>
      </c>
      <c r="BH1317" s="80">
        <f>IF(BE1317=1,ROUND(AG1317/60,6),0)</f>
        <v>0</v>
      </c>
      <c r="BI1317" s="80">
        <f>IF(BE1317=1,ROUND(AP1317/60,6),0)</f>
        <v>0</v>
      </c>
      <c r="BJ1317" s="80">
        <f>IF(BE1317=1,ROUND(AQ1317/60,6),0)</f>
        <v>0</v>
      </c>
      <c r="BK1317" s="80">
        <f>IF(BE1317=1,ROUND((AR1317+AS1317)/60,6),0)</f>
        <v>0</v>
      </c>
      <c r="BL1317" s="80">
        <f>ROUND(BH1317-BK1317,6)</f>
        <v>0</v>
      </c>
      <c r="BM1317" s="80">
        <f>IF(BE1317=1,ROUND(AR1317/60,6),0)</f>
        <v>0</v>
      </c>
      <c r="BN1317" s="80">
        <f>ROUND(BI1317-BM1317,6)</f>
        <v>0</v>
      </c>
      <c r="BO1317" s="80">
        <f>IF(BE1317=1,ROUND(AS1317/60,6),0)</f>
        <v>0</v>
      </c>
      <c r="BP1317" s="80">
        <f>ROUND(BJ1317-BO1317,6)</f>
        <v>0</v>
      </c>
      <c r="BQ1317" s="80">
        <f>IF(BE1317=1,AW1317,0)</f>
        <v>0</v>
      </c>
      <c r="BR1317" s="80">
        <f>IF(BE1317=1,AX1317,0)</f>
        <v>0</v>
      </c>
      <c r="BS1317" s="80">
        <f>IF(AND(BE1317=1,D1317="Malcolm",BA1317&gt;0),MIN(BH1317,SUMPRODUCT((R_Emp="proMX")*(R_EN&gt;0)*((R_EN-(R_EN&gt;BR1317)*(R_EN-BR1317))&gt;(R_SN+(R_SN&lt;BQ1317)*(BQ1317-R_SN)))*((R_EN-(R_EN&gt;BR1317)*(R_EN-BR1317))-(R_SN+(R_SN&lt;BQ1317)*(BQ1317-R_SN))))/60),0)</f>
        <v>0</v>
      </c>
      <c r="BT1317" s="80">
        <f>IF(AND(BE1317=1,D1317="proMX"),ROUND(BI1317*CFG_RATE+BJ1317*CFG_OTRATE,6),0)</f>
        <v>0</v>
      </c>
      <c r="BU1317" s="80">
        <f>IF(AND(BD1317=1,D1317="proMX"),ROUND(AG1317/CFG_BLK,6),0)</f>
        <v>0</v>
      </c>
      <c r="BV1317" s="80" t="str">
        <f>IF(BF1317="Approved",IF(ISNUMBER(T1317),INT(T1317),INT(B1317)),"")</f>
        <v/>
      </c>
      <c r="BW1317" s="80">
        <f>IF(ISNUMBER(B1317),IF(DB_MON="Todos",1,IF(AND(INT(B1317)&gt;=DB_MS,INT(B1317)&lt;=DB_ME),1,0)),0)</f>
        <v>0</v>
      </c>
      <c r="BX1317" s="80">
        <f>IF(DB_PROJ="Todos",1,IF(E1317&amp;""=DB_PROJ&amp;"",1,0))</f>
        <v>1</v>
      </c>
      <c r="BY1317" s="80">
        <f>BW1317*BX1317</f>
        <v>0</v>
      </c>
      <c r="BZ1317" s="80" t="str">
        <f>IF(Y1317=1,F1317&amp;IF(AND(F1317&amp;""&lt;&gt;"",E1317&amp;""&lt;&gt;"")," · ","")&amp;E1317,"")</f>
        <v/>
      </c>
      <c r="CA1317" s="80" t="str">
        <f>IF(AND(BD1317=1,E1317&amp;""&lt;&gt;""),IF(COUNTIFS($E$5:E1316,E1317,$BD$5:BD1316,1)=0,MAX($CA$5:CA1316)+1,""),"")</f>
        <v/>
      </c>
      <c r="CB1317" s="80" t="str">
        <f>IF(AND(BE1317=1,D1317="Malcolm",E1317&amp;""&lt;&gt;""),IF(COUNTIFS($D$5:D1316,"Malcolm",$E$5:E1316,E1317,$BE$5:BE1316,1)=0,MAX($CB$5:CB1316)+1,""),"")</f>
        <v/>
      </c>
      <c r="CC1317" s="80" t="str">
        <f>IF(AND(BD1317=1,D1317="proMX",E1317&amp;""&lt;&gt;""),IF(COUNTIFS($D$5:D1316,"proMX",$E$5:E1316,E1317,$BD$5:BD1316,1)=0,MAX($CC$5:CC1316)+1,""),"")</f>
        <v/>
      </c>
      <c r="CD1317" s="80" t="str">
        <f>IF(AND(BE1317=1,D1317="Malcolm",F1317&amp;""&lt;&gt;""),IF(COUNTIFS($D$5:D1316,"Malcolm",$F$5:F1316,F1317,$BE$5:BE1316,1)=0,MAX($CD$5:CD1316)+1,""),"")</f>
        <v/>
      </c>
      <c r="CE1317" s="80" t="str">
        <f>IF(AND(BD1317=1,D1317="proMX",F1317&amp;""&lt;&gt;""),IF(COUNTIFS($D$5:D1316,"proMX",$F$5:F1316,F1317,$BD$5:BD1316,1)=0,MAX($CE$5:CE1316)+1,""),"")</f>
        <v/>
      </c>
      <c r="CF1317" s="80" t="str">
        <f>IF(AND(D1317="proMX",BD1317=1),IF(OR(BF1317="Draft",BF1317="Submitted",BF1317="Returned",BF1317="Recall Requested"),MAX($CF$5:CF1316)+1,""),"")</f>
        <v/>
      </c>
      <c r="CG1317" s="80">
        <f>IF(BD1317=0,0,IF(D1317="Malcolm",1,MATCH(BF1317,{"Draft","Submitted","Approved","Returned","Recall Requested","Cancelled"},0)+1))</f>
        <v>0</v>
      </c>
      <c r="CH1317" s="80">
        <f>IF(AND(BF1317="Submitted",ISNUMBER(V1317)),IF(V1317&gt;CFG_MAXD,1,0),0)</f>
        <v>0</v>
      </c>
    </row>
    <row r="1318">
      <c r="A1318" s="71" t="str">
        <f>IF(Y1318=1,ROW()-5,"")</f>
        <v/>
      </c>
      <c r="B1318" s="72" t="n"/>
      <c r="C1318" s="71" t="str">
        <f>IF(ISNUMBER(B1318),CHOOSE(WEEKDAY(B1318,2),"Lun","Mar","Mié","Jue","Vie","Sáb","Dom"),"")</f>
        <v/>
      </c>
      <c r="D1318" s="73" t="n"/>
      <c r="E1318" s="74" t="n"/>
      <c r="F1318" s="74" t="n"/>
      <c r="G1318" s="74" t="n"/>
      <c r="H1318" s="75" t="n"/>
      <c r="I1318" s="75" t="n"/>
      <c r="J1318" s="76" t="n"/>
      <c r="K1318" s="77" t="str">
        <f>IF(AB1318=1,ROUND(AG1318/60,4),"")</f>
        <v/>
      </c>
      <c r="L1318" s="77" t="str">
        <f>IF(BD1318=1,ROUND(AP1318/60,4),"")</f>
        <v/>
      </c>
      <c r="M1318" s="77" t="str">
        <f>IF(BD1318=1,ROUND(AQ1318/60,4),"")</f>
        <v/>
      </c>
      <c r="N1318" s="71" t="str">
        <f>IF(AND(D1318="proMX",AB1318=1),ROUND(AG1318/CFG_BLK,2),"")</f>
        <v/>
      </c>
      <c r="O1318" s="77" t="str">
        <f>IF(D1318="proMX",IF(BD1318=1,ROUND(AG1318/60,4),0),"")</f>
        <v/>
      </c>
      <c r="P1318" s="78" t="str">
        <f>IF(Y1318=0,"",IF(BD1318=1,"OK",IF(D1318="proMX","Revisar bloques: ","Revisar: ")&amp;BC1318))</f>
        <v/>
      </c>
      <c r="Q1318" s="78" t="str">
        <f>IF(NOT(ISNUMBER(B1318)),"",IF(COUNTIFS(FER_F,INT(B1318))&gt;0,"Feriado"&amp;IF(AH1318=1," (laborable)"," (no laborable)"),IF(AH1318=1,"Laborable",IF(WEEKDAY(B1318,2)&gt;5,"Fin de semana","No laborable"))))</f>
        <v/>
      </c>
      <c r="R1318" s="73" t="n"/>
      <c r="S1318" s="72" t="n"/>
      <c r="T1318" s="72" t="n"/>
      <c r="U1318" s="74" t="n"/>
      <c r="V1318" s="79" t="str">
        <f>IF(AND(D1318="proMX",OR(R1318="Submitted",R1318="Recall Requested"),ISNUMBER(S1318)),CFG_TODAY-INT(S1318),"")</f>
        <v/>
      </c>
      <c r="W1318" s="78" t="str">
        <f>IF(BD1318=0,"",IF(BA1318&gt;0,"⚠ Se superpone con un registro de la otra empresa",IF(D1318="Malcolm",IF(COUNTA(R1318,S1318,T1318)&gt;0,"Estado/fechas proMX se ignoran en Malcolm",""),IF(BF1318="Cancelled","Cancelado: excluido de totales",IF(R1318="","Sin estado: se trata como Draft",IF(BF1318="Submitted",IF(ISNUMBER(V1318),IF(V1318&gt;CFG_MAXD,"⚠ "&amp;V1318&amp;" días en Submitted (máx. "&amp;CFG_MAXD&amp;")",""),"Falta fecha de envío"),IF(BF1318="Returned","⚠ Devuelto: corregir y reenviar",IF(BF1318="Recall Requested","Retirada solicitada: pendiente",IF(AND(BF1318="Approved",NOT(ISNUMBER(T1318))),"Falta fecha de aprobación",IF(AND(ISNUMBER(S1318),ISNUMBER(T1318),T1318&lt;S1318),"Aprobación anterior al envío","")))))))))</f>
        <v/>
      </c>
      <c r="Y1318" s="80">
        <f>IF(COUNTA(B1318,D1318,E1318,F1318,G1318,H1318,I1318,J1318,R1318,S1318,T1318)&gt;0,1,0)</f>
        <v>0</v>
      </c>
      <c r="Z1318" s="80" t="str">
        <f>IF(AND(ISNUMBER(H1318),H1318&gt;=0,H1318&lt;1),ROUND(H1318*1440,0),"")</f>
        <v/>
      </c>
      <c r="AA1318" s="80" t="str">
        <f>IF(AND(ISNUMBER(I1318),I1318&gt;=0,I1318&lt;1),ROUND(I1318*1440,0),"")</f>
        <v/>
      </c>
      <c r="AB1318" s="80">
        <f>IF(AND(ISNUMBER(B1318),D1318&lt;&gt;"",ISNUMBER(Z1318),ISNUMBER(AA1318)),IF(Z1318=AA1318,0,1),0)</f>
        <v>0</v>
      </c>
      <c r="AC1318" s="80">
        <f>IF(AB1318=1,IF(AA1318&lt;Z1318,1,0),0)</f>
        <v>0</v>
      </c>
      <c r="AD1318" s="80">
        <f>IF(AB1318=1,IF(AC1318=1,1440-Z1318+AA1318,AA1318-Z1318),0)</f>
        <v>0</v>
      </c>
      <c r="AE1318" s="80">
        <f>IF(J1318="",0,IF(ISNUMBER(J1318),J1318,-1))</f>
        <v>0</v>
      </c>
      <c r="AF1318" s="80">
        <f>MIN(MAX(0,AE1318),AD1318)</f>
        <v>0</v>
      </c>
      <c r="AG1318" s="80">
        <f>MAX(0,AD1318-MAX(0,AE1318))</f>
        <v>0</v>
      </c>
      <c r="AH1318" s="80">
        <f>IF(ISNUMBER(B1318),IF(AND(INDEX(CFG_WDAYS,WEEKDAY(INT(B1318),2))="Sí",IF(D1318="proMX",COUNTIFS(FER_F,INT(B1318),FER_NLP,"Sí"),COUNTIFS(FER_F,INT(B1318),FER_NLM,"Sí"))=0),1,0),0)</f>
        <v>0</v>
      </c>
      <c r="AI1318" s="80">
        <f>IF(AC1318=1,IF(AND(INDEX(CFG_WDAYS,WEEKDAY(INT(B1318)+1,2))="Sí",IF(D1318="proMX",COUNTIFS(FER_F,INT(B1318)+1,FER_NLP,"Sí"),COUNTIFS(FER_F,INT(B1318)+1,FER_NLM,"Sí"))=0),1,0),0)</f>
        <v>0</v>
      </c>
      <c r="AJ1318" s="80">
        <f>IF(AC1318=1,1440-Z1318,AD1318)</f>
        <v>0</v>
      </c>
      <c r="AK1318" s="80">
        <f>IF(AND(AB1318=1,AH1318=1),MAX(0,MIN(IF(AC1318=1,1440,AA1318),CFG_WEM)-MAX(Z1318,CFG_WSM)),0)</f>
        <v>0</v>
      </c>
      <c r="AL1318" s="80">
        <f>IF(AND(AC1318=1,AI1318=1),MAX(0,MIN(AA1318,CFG_WEM)-CFG_WSM),0)</f>
        <v>0</v>
      </c>
      <c r="AM1318" s="80">
        <f>AK1318+AL1318</f>
        <v>0</v>
      </c>
      <c r="AN1318" s="80">
        <f>IF(CFG_BRK="Proporcional",IF(AD1318=0,0,AF1318*AM1318/AD1318),IF(CFG_BRK="Extras primero",MIN(AM1318,MAX(0,AF1318-(AD1318-AM1318))),MIN(AF1318,AM1318)))</f>
        <v>0</v>
      </c>
      <c r="AO1318" s="80">
        <f>AF1318-AN1318</f>
        <v>0</v>
      </c>
      <c r="AP1318" s="80">
        <f>AM1318-AN1318</f>
        <v>0</v>
      </c>
      <c r="AQ1318" s="80">
        <f>AD1318-AM1318-AO1318</f>
        <v>0</v>
      </c>
      <c r="AR1318" s="80">
        <f>IF(AM1318=0,0,AK1318-AN1318*AK1318/AM1318)</f>
        <v>0</v>
      </c>
      <c r="AS1318" s="80">
        <f>IF(AD1318-AM1318=0,0,(AJ1318-AK1318)-AO1318*(AJ1318-AK1318)/(AD1318-AM1318))</f>
        <v>0</v>
      </c>
      <c r="AT1318" s="80" t="str">
        <f>IF(AC1318=1,INT(B1318)+1,"")</f>
        <v/>
      </c>
      <c r="AU1318" s="80">
        <f>IF(AND(D1318="proMX",R1318="Cancelled"),0,1)</f>
        <v>1</v>
      </c>
      <c r="AV1318" s="80">
        <f>IF(AND(AB1318=1,AU1318=1),IF(COUNTIFS($D$5:D1317,D1318,$B$5:B1317,B1318,$Z$5:Z1317,Z1318,$AA$5:AA1317,AA1318,$F$5:F1317,F1318&amp;"",$AU$5:AU1317,1)&gt;0,1,0),0)</f>
        <v>0</v>
      </c>
      <c r="AW1318" s="80" t="str">
        <f>IF(AB1318=1,INT(B1318)*1440+Z1318,"")</f>
        <v/>
      </c>
      <c r="AX1318" s="80" t="str">
        <f>IF(AB1318=1,AW1318+AD1318,"")</f>
        <v/>
      </c>
      <c r="AY1318" s="80">
        <f>IF(AND(AB1318=1,AV1318=0,AU1318=1),1,0)</f>
        <v>0</v>
      </c>
      <c r="AZ1318" s="80">
        <f>IF(AY1318=1,COUNTIFS(R_Emp,D1318,R_SAbs,"&lt;"&amp;AX1318,R_EAbs,"&gt;"&amp;AW1318,R_OKey,1)-1,0)</f>
        <v>0</v>
      </c>
      <c r="BA1318" s="80">
        <f>IF(AY1318=1,COUNTIFS(R_Emp,"&lt;&gt;"&amp;D1318,R_SAbs,"&lt;"&amp;AX1318,R_EAbs,"&gt;"&amp;AW1318,R_OKey,1),0)</f>
        <v>0</v>
      </c>
      <c r="BB1318" s="80">
        <f>IF(AND(AB1318=1,D1318="proMX"),IF(AND(MOD(Z1318,CFG_BLK)=0,MOD(AA1318,CFG_BLK)=0,MOD(AG1318,CFG_BLK)=0,AG1318&gt;0),1,0),1)</f>
        <v>1</v>
      </c>
      <c r="BC1318" s="80" t="str">
        <f>IF(Y1318=0,"",IF(NOT(ISNUMBER(B1318)),"Falta fecha o fecha inválida",IF(D1318="","Falta empresa",IF(AND(D1318&lt;&gt;"Malcolm",D1318&lt;&gt;"proMX"),"Empresa inválida",IF(OR(INT(B1318)&lt;CFG_PSTART,INT(B1318)&gt;CFG_PEND),"Fecha fuera del período",IF(OR(NOT(ISNUMBER(Z1318)),NOT(ISNUMBER(AA1318))),"Falta hora inicio/fin o formato inválido",IF(AB1318=0,"Hora inicio = hora fin",IF(AE1318&lt;0,"Descanso inválido",IF(AE1318&gt;=AD1318,"Descanso ≥ duración",IF(AV1318=1,"Registro duplicado",IF(AZ1318&gt;0,"Se superpone con otro registro "&amp;D1318,IF(BB1318=0,"inicio, fin y duración neta deben ser múltiplos de "&amp;CFG_BLK&amp;" min",""))))))))))))</f>
        <v/>
      </c>
      <c r="BD1318" s="80">
        <f>IF(AND(Y1318=1,BC1318=""),1,0)</f>
        <v>0</v>
      </c>
      <c r="BE1318" s="80">
        <f>IF(AND(BD1318=1,AU1318=1),1,0)</f>
        <v>0</v>
      </c>
      <c r="BF1318" s="80" t="str">
        <f>IF(AND(D1318="proMX",BD1318=1),IF(R1318="","Draft",R1318),"")</f>
        <v/>
      </c>
      <c r="BG1318" s="80">
        <f>IF(BD1318=1,ROUND(AG1318/60,6),0)</f>
        <v>0</v>
      </c>
      <c r="BH1318" s="80">
        <f>IF(BE1318=1,ROUND(AG1318/60,6),0)</f>
        <v>0</v>
      </c>
      <c r="BI1318" s="80">
        <f>IF(BE1318=1,ROUND(AP1318/60,6),0)</f>
        <v>0</v>
      </c>
      <c r="BJ1318" s="80">
        <f>IF(BE1318=1,ROUND(AQ1318/60,6),0)</f>
        <v>0</v>
      </c>
      <c r="BK1318" s="80">
        <f>IF(BE1318=1,ROUND((AR1318+AS1318)/60,6),0)</f>
        <v>0</v>
      </c>
      <c r="BL1318" s="80">
        <f>ROUND(BH1318-BK1318,6)</f>
        <v>0</v>
      </c>
      <c r="BM1318" s="80">
        <f>IF(BE1318=1,ROUND(AR1318/60,6),0)</f>
        <v>0</v>
      </c>
      <c r="BN1318" s="80">
        <f>ROUND(BI1318-BM1318,6)</f>
        <v>0</v>
      </c>
      <c r="BO1318" s="80">
        <f>IF(BE1318=1,ROUND(AS1318/60,6),0)</f>
        <v>0</v>
      </c>
      <c r="BP1318" s="80">
        <f>ROUND(BJ1318-BO1318,6)</f>
        <v>0</v>
      </c>
      <c r="BQ1318" s="80">
        <f>IF(BE1318=1,AW1318,0)</f>
        <v>0</v>
      </c>
      <c r="BR1318" s="80">
        <f>IF(BE1318=1,AX1318,0)</f>
        <v>0</v>
      </c>
      <c r="BS1318" s="80">
        <f>IF(AND(BE1318=1,D1318="Malcolm",BA1318&gt;0),MIN(BH1318,SUMPRODUCT((R_Emp="proMX")*(R_EN&gt;0)*((R_EN-(R_EN&gt;BR1318)*(R_EN-BR1318))&gt;(R_SN+(R_SN&lt;BQ1318)*(BQ1318-R_SN)))*((R_EN-(R_EN&gt;BR1318)*(R_EN-BR1318))-(R_SN+(R_SN&lt;BQ1318)*(BQ1318-R_SN))))/60),0)</f>
        <v>0</v>
      </c>
      <c r="BT1318" s="80">
        <f>IF(AND(BE1318=1,D1318="proMX"),ROUND(BI1318*CFG_RATE+BJ1318*CFG_OTRATE,6),0)</f>
        <v>0</v>
      </c>
      <c r="BU1318" s="80">
        <f>IF(AND(BD1318=1,D1318="proMX"),ROUND(AG1318/CFG_BLK,6),0)</f>
        <v>0</v>
      </c>
      <c r="BV1318" s="80" t="str">
        <f>IF(BF1318="Approved",IF(ISNUMBER(T1318),INT(T1318),INT(B1318)),"")</f>
        <v/>
      </c>
      <c r="BW1318" s="80">
        <f>IF(ISNUMBER(B1318),IF(DB_MON="Todos",1,IF(AND(INT(B1318)&gt;=DB_MS,INT(B1318)&lt;=DB_ME),1,0)),0)</f>
        <v>0</v>
      </c>
      <c r="BX1318" s="80">
        <f>IF(DB_PROJ="Todos",1,IF(E1318&amp;""=DB_PROJ&amp;"",1,0))</f>
        <v>1</v>
      </c>
      <c r="BY1318" s="80">
        <f>BW1318*BX1318</f>
        <v>0</v>
      </c>
      <c r="BZ1318" s="80" t="str">
        <f>IF(Y1318=1,F1318&amp;IF(AND(F1318&amp;""&lt;&gt;"",E1318&amp;""&lt;&gt;"")," · ","")&amp;E1318,"")</f>
        <v/>
      </c>
      <c r="CA1318" s="80" t="str">
        <f>IF(AND(BD1318=1,E1318&amp;""&lt;&gt;""),IF(COUNTIFS($E$5:E1317,E1318,$BD$5:BD1317,1)=0,MAX($CA$5:CA1317)+1,""),"")</f>
        <v/>
      </c>
      <c r="CB1318" s="80" t="str">
        <f>IF(AND(BE1318=1,D1318="Malcolm",E1318&amp;""&lt;&gt;""),IF(COUNTIFS($D$5:D1317,"Malcolm",$E$5:E1317,E1318,$BE$5:BE1317,1)=0,MAX($CB$5:CB1317)+1,""),"")</f>
        <v/>
      </c>
      <c r="CC1318" s="80" t="str">
        <f>IF(AND(BD1318=1,D1318="proMX",E1318&amp;""&lt;&gt;""),IF(COUNTIFS($D$5:D1317,"proMX",$E$5:E1317,E1318,$BD$5:BD1317,1)=0,MAX($CC$5:CC1317)+1,""),"")</f>
        <v/>
      </c>
      <c r="CD1318" s="80" t="str">
        <f>IF(AND(BE1318=1,D1318="Malcolm",F1318&amp;""&lt;&gt;""),IF(COUNTIFS($D$5:D1317,"Malcolm",$F$5:F1317,F1318,$BE$5:BE1317,1)=0,MAX($CD$5:CD1317)+1,""),"")</f>
        <v/>
      </c>
      <c r="CE1318" s="80" t="str">
        <f>IF(AND(BD1318=1,D1318="proMX",F1318&amp;""&lt;&gt;""),IF(COUNTIFS($D$5:D1317,"proMX",$F$5:F1317,F1318,$BD$5:BD1317,1)=0,MAX($CE$5:CE1317)+1,""),"")</f>
        <v/>
      </c>
      <c r="CF1318" s="80" t="str">
        <f>IF(AND(D1318="proMX",BD1318=1),IF(OR(BF1318="Draft",BF1318="Submitted",BF1318="Returned",BF1318="Recall Requested"),MAX($CF$5:CF1317)+1,""),"")</f>
        <v/>
      </c>
      <c r="CG1318" s="80">
        <f>IF(BD1318=0,0,IF(D1318="Malcolm",1,MATCH(BF1318,{"Draft","Submitted","Approved","Returned","Recall Requested","Cancelled"},0)+1))</f>
        <v>0</v>
      </c>
      <c r="CH1318" s="80">
        <f>IF(AND(BF1318="Submitted",ISNUMBER(V1318)),IF(V1318&gt;CFG_MAXD,1,0),0)</f>
        <v>0</v>
      </c>
    </row>
    <row r="1319">
      <c r="A1319" s="71" t="str">
        <f>IF(Y1319=1,ROW()-5,"")</f>
        <v/>
      </c>
      <c r="B1319" s="72" t="n"/>
      <c r="C1319" s="71" t="str">
        <f>IF(ISNUMBER(B1319),CHOOSE(WEEKDAY(B1319,2),"Lun","Mar","Mié","Jue","Vie","Sáb","Dom"),"")</f>
        <v/>
      </c>
      <c r="D1319" s="73" t="n"/>
      <c r="E1319" s="74" t="n"/>
      <c r="F1319" s="74" t="n"/>
      <c r="G1319" s="74" t="n"/>
      <c r="H1319" s="75" t="n"/>
      <c r="I1319" s="75" t="n"/>
      <c r="J1319" s="76" t="n"/>
      <c r="K1319" s="77" t="str">
        <f>IF(AB1319=1,ROUND(AG1319/60,4),"")</f>
        <v/>
      </c>
      <c r="L1319" s="77" t="str">
        <f>IF(BD1319=1,ROUND(AP1319/60,4),"")</f>
        <v/>
      </c>
      <c r="M1319" s="77" t="str">
        <f>IF(BD1319=1,ROUND(AQ1319/60,4),"")</f>
        <v/>
      </c>
      <c r="N1319" s="71" t="str">
        <f>IF(AND(D1319="proMX",AB1319=1),ROUND(AG1319/CFG_BLK,2),"")</f>
        <v/>
      </c>
      <c r="O1319" s="77" t="str">
        <f>IF(D1319="proMX",IF(BD1319=1,ROUND(AG1319/60,4),0),"")</f>
        <v/>
      </c>
      <c r="P1319" s="78" t="str">
        <f>IF(Y1319=0,"",IF(BD1319=1,"OK",IF(D1319="proMX","Revisar bloques: ","Revisar: ")&amp;BC1319))</f>
        <v/>
      </c>
      <c r="Q1319" s="78" t="str">
        <f>IF(NOT(ISNUMBER(B1319)),"",IF(COUNTIFS(FER_F,INT(B1319))&gt;0,"Feriado"&amp;IF(AH1319=1," (laborable)"," (no laborable)"),IF(AH1319=1,"Laborable",IF(WEEKDAY(B1319,2)&gt;5,"Fin de semana","No laborable"))))</f>
        <v/>
      </c>
      <c r="R1319" s="73" t="n"/>
      <c r="S1319" s="72" t="n"/>
      <c r="T1319" s="72" t="n"/>
      <c r="U1319" s="74" t="n"/>
      <c r="V1319" s="79" t="str">
        <f>IF(AND(D1319="proMX",OR(R1319="Submitted",R1319="Recall Requested"),ISNUMBER(S1319)),CFG_TODAY-INT(S1319),"")</f>
        <v/>
      </c>
      <c r="W1319" s="78" t="str">
        <f>IF(BD1319=0,"",IF(BA1319&gt;0,"⚠ Se superpone con un registro de la otra empresa",IF(D1319="Malcolm",IF(COUNTA(R1319,S1319,T1319)&gt;0,"Estado/fechas proMX se ignoran en Malcolm",""),IF(BF1319="Cancelled","Cancelado: excluido de totales",IF(R1319="","Sin estado: se trata como Draft",IF(BF1319="Submitted",IF(ISNUMBER(V1319),IF(V1319&gt;CFG_MAXD,"⚠ "&amp;V1319&amp;" días en Submitted (máx. "&amp;CFG_MAXD&amp;")",""),"Falta fecha de envío"),IF(BF1319="Returned","⚠ Devuelto: corregir y reenviar",IF(BF1319="Recall Requested","Retirada solicitada: pendiente",IF(AND(BF1319="Approved",NOT(ISNUMBER(T1319))),"Falta fecha de aprobación",IF(AND(ISNUMBER(S1319),ISNUMBER(T1319),T1319&lt;S1319),"Aprobación anterior al envío","")))))))))</f>
        <v/>
      </c>
      <c r="Y1319" s="80">
        <f>IF(COUNTA(B1319,D1319,E1319,F1319,G1319,H1319,I1319,J1319,R1319,S1319,T1319)&gt;0,1,0)</f>
        <v>0</v>
      </c>
      <c r="Z1319" s="80" t="str">
        <f>IF(AND(ISNUMBER(H1319),H1319&gt;=0,H1319&lt;1),ROUND(H1319*1440,0),"")</f>
        <v/>
      </c>
      <c r="AA1319" s="80" t="str">
        <f>IF(AND(ISNUMBER(I1319),I1319&gt;=0,I1319&lt;1),ROUND(I1319*1440,0),"")</f>
        <v/>
      </c>
      <c r="AB1319" s="80">
        <f>IF(AND(ISNUMBER(B1319),D1319&lt;&gt;"",ISNUMBER(Z1319),ISNUMBER(AA1319)),IF(Z1319=AA1319,0,1),0)</f>
        <v>0</v>
      </c>
      <c r="AC1319" s="80">
        <f>IF(AB1319=1,IF(AA1319&lt;Z1319,1,0),0)</f>
        <v>0</v>
      </c>
      <c r="AD1319" s="80">
        <f>IF(AB1319=1,IF(AC1319=1,1440-Z1319+AA1319,AA1319-Z1319),0)</f>
        <v>0</v>
      </c>
      <c r="AE1319" s="80">
        <f>IF(J1319="",0,IF(ISNUMBER(J1319),J1319,-1))</f>
        <v>0</v>
      </c>
      <c r="AF1319" s="80">
        <f>MIN(MAX(0,AE1319),AD1319)</f>
        <v>0</v>
      </c>
      <c r="AG1319" s="80">
        <f>MAX(0,AD1319-MAX(0,AE1319))</f>
        <v>0</v>
      </c>
      <c r="AH1319" s="80">
        <f>IF(ISNUMBER(B1319),IF(AND(INDEX(CFG_WDAYS,WEEKDAY(INT(B1319),2))="Sí",IF(D1319="proMX",COUNTIFS(FER_F,INT(B1319),FER_NLP,"Sí"),COUNTIFS(FER_F,INT(B1319),FER_NLM,"Sí"))=0),1,0),0)</f>
        <v>0</v>
      </c>
      <c r="AI1319" s="80">
        <f>IF(AC1319=1,IF(AND(INDEX(CFG_WDAYS,WEEKDAY(INT(B1319)+1,2))="Sí",IF(D1319="proMX",COUNTIFS(FER_F,INT(B1319)+1,FER_NLP,"Sí"),COUNTIFS(FER_F,INT(B1319)+1,FER_NLM,"Sí"))=0),1,0),0)</f>
        <v>0</v>
      </c>
      <c r="AJ1319" s="80">
        <f>IF(AC1319=1,1440-Z1319,AD1319)</f>
        <v>0</v>
      </c>
      <c r="AK1319" s="80">
        <f>IF(AND(AB1319=1,AH1319=1),MAX(0,MIN(IF(AC1319=1,1440,AA1319),CFG_WEM)-MAX(Z1319,CFG_WSM)),0)</f>
        <v>0</v>
      </c>
      <c r="AL1319" s="80">
        <f>IF(AND(AC1319=1,AI1319=1),MAX(0,MIN(AA1319,CFG_WEM)-CFG_WSM),0)</f>
        <v>0</v>
      </c>
      <c r="AM1319" s="80">
        <f>AK1319+AL1319</f>
        <v>0</v>
      </c>
      <c r="AN1319" s="80">
        <f>IF(CFG_BRK="Proporcional",IF(AD1319=0,0,AF1319*AM1319/AD1319),IF(CFG_BRK="Extras primero",MIN(AM1319,MAX(0,AF1319-(AD1319-AM1319))),MIN(AF1319,AM1319)))</f>
        <v>0</v>
      </c>
      <c r="AO1319" s="80">
        <f>AF1319-AN1319</f>
        <v>0</v>
      </c>
      <c r="AP1319" s="80">
        <f>AM1319-AN1319</f>
        <v>0</v>
      </c>
      <c r="AQ1319" s="80">
        <f>AD1319-AM1319-AO1319</f>
        <v>0</v>
      </c>
      <c r="AR1319" s="80">
        <f>IF(AM1319=0,0,AK1319-AN1319*AK1319/AM1319)</f>
        <v>0</v>
      </c>
      <c r="AS1319" s="80">
        <f>IF(AD1319-AM1319=0,0,(AJ1319-AK1319)-AO1319*(AJ1319-AK1319)/(AD1319-AM1319))</f>
        <v>0</v>
      </c>
      <c r="AT1319" s="80" t="str">
        <f>IF(AC1319=1,INT(B1319)+1,"")</f>
        <v/>
      </c>
      <c r="AU1319" s="80">
        <f>IF(AND(D1319="proMX",R1319="Cancelled"),0,1)</f>
        <v>1</v>
      </c>
      <c r="AV1319" s="80">
        <f>IF(AND(AB1319=1,AU1319=1),IF(COUNTIFS($D$5:D1318,D1319,$B$5:B1318,B1319,$Z$5:Z1318,Z1319,$AA$5:AA1318,AA1319,$F$5:F1318,F1319&amp;"",$AU$5:AU1318,1)&gt;0,1,0),0)</f>
        <v>0</v>
      </c>
      <c r="AW1319" s="80" t="str">
        <f>IF(AB1319=1,INT(B1319)*1440+Z1319,"")</f>
        <v/>
      </c>
      <c r="AX1319" s="80" t="str">
        <f>IF(AB1319=1,AW1319+AD1319,"")</f>
        <v/>
      </c>
      <c r="AY1319" s="80">
        <f>IF(AND(AB1319=1,AV1319=0,AU1319=1),1,0)</f>
        <v>0</v>
      </c>
      <c r="AZ1319" s="80">
        <f>IF(AY1319=1,COUNTIFS(R_Emp,D1319,R_SAbs,"&lt;"&amp;AX1319,R_EAbs,"&gt;"&amp;AW1319,R_OKey,1)-1,0)</f>
        <v>0</v>
      </c>
      <c r="BA1319" s="80">
        <f>IF(AY1319=1,COUNTIFS(R_Emp,"&lt;&gt;"&amp;D1319,R_SAbs,"&lt;"&amp;AX1319,R_EAbs,"&gt;"&amp;AW1319,R_OKey,1),0)</f>
        <v>0</v>
      </c>
      <c r="BB1319" s="80">
        <f>IF(AND(AB1319=1,D1319="proMX"),IF(AND(MOD(Z1319,CFG_BLK)=0,MOD(AA1319,CFG_BLK)=0,MOD(AG1319,CFG_BLK)=0,AG1319&gt;0),1,0),1)</f>
        <v>1</v>
      </c>
      <c r="BC1319" s="80" t="str">
        <f>IF(Y1319=0,"",IF(NOT(ISNUMBER(B1319)),"Falta fecha o fecha inválida",IF(D1319="","Falta empresa",IF(AND(D1319&lt;&gt;"Malcolm",D1319&lt;&gt;"proMX"),"Empresa inválida",IF(OR(INT(B1319)&lt;CFG_PSTART,INT(B1319)&gt;CFG_PEND),"Fecha fuera del período",IF(OR(NOT(ISNUMBER(Z1319)),NOT(ISNUMBER(AA1319))),"Falta hora inicio/fin o formato inválido",IF(AB1319=0,"Hora inicio = hora fin",IF(AE1319&lt;0,"Descanso inválido",IF(AE1319&gt;=AD1319,"Descanso ≥ duración",IF(AV1319=1,"Registro duplicado",IF(AZ1319&gt;0,"Se superpone con otro registro "&amp;D1319,IF(BB1319=0,"inicio, fin y duración neta deben ser múltiplos de "&amp;CFG_BLK&amp;" min",""))))))))))))</f>
        <v/>
      </c>
      <c r="BD1319" s="80">
        <f>IF(AND(Y1319=1,BC1319=""),1,0)</f>
        <v>0</v>
      </c>
      <c r="BE1319" s="80">
        <f>IF(AND(BD1319=1,AU1319=1),1,0)</f>
        <v>0</v>
      </c>
      <c r="BF1319" s="80" t="str">
        <f>IF(AND(D1319="proMX",BD1319=1),IF(R1319="","Draft",R1319),"")</f>
        <v/>
      </c>
      <c r="BG1319" s="80">
        <f>IF(BD1319=1,ROUND(AG1319/60,6),0)</f>
        <v>0</v>
      </c>
      <c r="BH1319" s="80">
        <f>IF(BE1319=1,ROUND(AG1319/60,6),0)</f>
        <v>0</v>
      </c>
      <c r="BI1319" s="80">
        <f>IF(BE1319=1,ROUND(AP1319/60,6),0)</f>
        <v>0</v>
      </c>
      <c r="BJ1319" s="80">
        <f>IF(BE1319=1,ROUND(AQ1319/60,6),0)</f>
        <v>0</v>
      </c>
      <c r="BK1319" s="80">
        <f>IF(BE1319=1,ROUND((AR1319+AS1319)/60,6),0)</f>
        <v>0</v>
      </c>
      <c r="BL1319" s="80">
        <f>ROUND(BH1319-BK1319,6)</f>
        <v>0</v>
      </c>
      <c r="BM1319" s="80">
        <f>IF(BE1319=1,ROUND(AR1319/60,6),0)</f>
        <v>0</v>
      </c>
      <c r="BN1319" s="80">
        <f>ROUND(BI1319-BM1319,6)</f>
        <v>0</v>
      </c>
      <c r="BO1319" s="80">
        <f>IF(BE1319=1,ROUND(AS1319/60,6),0)</f>
        <v>0</v>
      </c>
      <c r="BP1319" s="80">
        <f>ROUND(BJ1319-BO1319,6)</f>
        <v>0</v>
      </c>
      <c r="BQ1319" s="80">
        <f>IF(BE1319=1,AW1319,0)</f>
        <v>0</v>
      </c>
      <c r="BR1319" s="80">
        <f>IF(BE1319=1,AX1319,0)</f>
        <v>0</v>
      </c>
      <c r="BS1319" s="80">
        <f>IF(AND(BE1319=1,D1319="Malcolm",BA1319&gt;0),MIN(BH1319,SUMPRODUCT((R_Emp="proMX")*(R_EN&gt;0)*((R_EN-(R_EN&gt;BR1319)*(R_EN-BR1319))&gt;(R_SN+(R_SN&lt;BQ1319)*(BQ1319-R_SN)))*((R_EN-(R_EN&gt;BR1319)*(R_EN-BR1319))-(R_SN+(R_SN&lt;BQ1319)*(BQ1319-R_SN))))/60),0)</f>
        <v>0</v>
      </c>
      <c r="BT1319" s="80">
        <f>IF(AND(BE1319=1,D1319="proMX"),ROUND(BI1319*CFG_RATE+BJ1319*CFG_OTRATE,6),0)</f>
        <v>0</v>
      </c>
      <c r="BU1319" s="80">
        <f>IF(AND(BD1319=1,D1319="proMX"),ROUND(AG1319/CFG_BLK,6),0)</f>
        <v>0</v>
      </c>
      <c r="BV1319" s="80" t="str">
        <f>IF(BF1319="Approved",IF(ISNUMBER(T1319),INT(T1319),INT(B1319)),"")</f>
        <v/>
      </c>
      <c r="BW1319" s="80">
        <f>IF(ISNUMBER(B1319),IF(DB_MON="Todos",1,IF(AND(INT(B1319)&gt;=DB_MS,INT(B1319)&lt;=DB_ME),1,0)),0)</f>
        <v>0</v>
      </c>
      <c r="BX1319" s="80">
        <f>IF(DB_PROJ="Todos",1,IF(E1319&amp;""=DB_PROJ&amp;"",1,0))</f>
        <v>1</v>
      </c>
      <c r="BY1319" s="80">
        <f>BW1319*BX1319</f>
        <v>0</v>
      </c>
      <c r="BZ1319" s="80" t="str">
        <f>IF(Y1319=1,F1319&amp;IF(AND(F1319&amp;""&lt;&gt;"",E1319&amp;""&lt;&gt;"")," · ","")&amp;E1319,"")</f>
        <v/>
      </c>
      <c r="CA1319" s="80" t="str">
        <f>IF(AND(BD1319=1,E1319&amp;""&lt;&gt;""),IF(COUNTIFS($E$5:E1318,E1319,$BD$5:BD1318,1)=0,MAX($CA$5:CA1318)+1,""),"")</f>
        <v/>
      </c>
      <c r="CB1319" s="80" t="str">
        <f>IF(AND(BE1319=1,D1319="Malcolm",E1319&amp;""&lt;&gt;""),IF(COUNTIFS($D$5:D1318,"Malcolm",$E$5:E1318,E1319,$BE$5:BE1318,1)=0,MAX($CB$5:CB1318)+1,""),"")</f>
        <v/>
      </c>
      <c r="CC1319" s="80" t="str">
        <f>IF(AND(BD1319=1,D1319="proMX",E1319&amp;""&lt;&gt;""),IF(COUNTIFS($D$5:D1318,"proMX",$E$5:E1318,E1319,$BD$5:BD1318,1)=0,MAX($CC$5:CC1318)+1,""),"")</f>
        <v/>
      </c>
      <c r="CD1319" s="80" t="str">
        <f>IF(AND(BE1319=1,D1319="Malcolm",F1319&amp;""&lt;&gt;""),IF(COUNTIFS($D$5:D1318,"Malcolm",$F$5:F1318,F1319,$BE$5:BE1318,1)=0,MAX($CD$5:CD1318)+1,""),"")</f>
        <v/>
      </c>
      <c r="CE1319" s="80" t="str">
        <f>IF(AND(BD1319=1,D1319="proMX",F1319&amp;""&lt;&gt;""),IF(COUNTIFS($D$5:D1318,"proMX",$F$5:F1318,F1319,$BD$5:BD1318,1)=0,MAX($CE$5:CE1318)+1,""),"")</f>
        <v/>
      </c>
      <c r="CF1319" s="80" t="str">
        <f>IF(AND(D1319="proMX",BD1319=1),IF(OR(BF1319="Draft",BF1319="Submitted",BF1319="Returned",BF1319="Recall Requested"),MAX($CF$5:CF1318)+1,""),"")</f>
        <v/>
      </c>
      <c r="CG1319" s="80">
        <f>IF(BD1319=0,0,IF(D1319="Malcolm",1,MATCH(BF1319,{"Draft","Submitted","Approved","Returned","Recall Requested","Cancelled"},0)+1))</f>
        <v>0</v>
      </c>
      <c r="CH1319" s="80">
        <f>IF(AND(BF1319="Submitted",ISNUMBER(V1319)),IF(V1319&gt;CFG_MAXD,1,0),0)</f>
        <v>0</v>
      </c>
    </row>
    <row r="1320">
      <c r="A1320" s="71" t="str">
        <f>IF(Y1320=1,ROW()-5,"")</f>
        <v/>
      </c>
      <c r="B1320" s="72" t="n"/>
      <c r="C1320" s="71" t="str">
        <f>IF(ISNUMBER(B1320),CHOOSE(WEEKDAY(B1320,2),"Lun","Mar","Mié","Jue","Vie","Sáb","Dom"),"")</f>
        <v/>
      </c>
      <c r="D1320" s="73" t="n"/>
      <c r="E1320" s="74" t="n"/>
      <c r="F1320" s="74" t="n"/>
      <c r="G1320" s="74" t="n"/>
      <c r="H1320" s="75" t="n"/>
      <c r="I1320" s="75" t="n"/>
      <c r="J1320" s="76" t="n"/>
      <c r="K1320" s="77" t="str">
        <f>IF(AB1320=1,ROUND(AG1320/60,4),"")</f>
        <v/>
      </c>
      <c r="L1320" s="77" t="str">
        <f>IF(BD1320=1,ROUND(AP1320/60,4),"")</f>
        <v/>
      </c>
      <c r="M1320" s="77" t="str">
        <f>IF(BD1320=1,ROUND(AQ1320/60,4),"")</f>
        <v/>
      </c>
      <c r="N1320" s="71" t="str">
        <f>IF(AND(D1320="proMX",AB1320=1),ROUND(AG1320/CFG_BLK,2),"")</f>
        <v/>
      </c>
      <c r="O1320" s="77" t="str">
        <f>IF(D1320="proMX",IF(BD1320=1,ROUND(AG1320/60,4),0),"")</f>
        <v/>
      </c>
      <c r="P1320" s="78" t="str">
        <f>IF(Y1320=0,"",IF(BD1320=1,"OK",IF(D1320="proMX","Revisar bloques: ","Revisar: ")&amp;BC1320))</f>
        <v/>
      </c>
      <c r="Q1320" s="78" t="str">
        <f>IF(NOT(ISNUMBER(B1320)),"",IF(COUNTIFS(FER_F,INT(B1320))&gt;0,"Feriado"&amp;IF(AH1320=1," (laborable)"," (no laborable)"),IF(AH1320=1,"Laborable",IF(WEEKDAY(B1320,2)&gt;5,"Fin de semana","No laborable"))))</f>
        <v/>
      </c>
      <c r="R1320" s="73" t="n"/>
      <c r="S1320" s="72" t="n"/>
      <c r="T1320" s="72" t="n"/>
      <c r="U1320" s="74" t="n"/>
      <c r="V1320" s="79" t="str">
        <f>IF(AND(D1320="proMX",OR(R1320="Submitted",R1320="Recall Requested"),ISNUMBER(S1320)),CFG_TODAY-INT(S1320),"")</f>
        <v/>
      </c>
      <c r="W1320" s="78" t="str">
        <f>IF(BD1320=0,"",IF(BA1320&gt;0,"⚠ Se superpone con un registro de la otra empresa",IF(D1320="Malcolm",IF(COUNTA(R1320,S1320,T1320)&gt;0,"Estado/fechas proMX se ignoran en Malcolm",""),IF(BF1320="Cancelled","Cancelado: excluido de totales",IF(R1320="","Sin estado: se trata como Draft",IF(BF1320="Submitted",IF(ISNUMBER(V1320),IF(V1320&gt;CFG_MAXD,"⚠ "&amp;V1320&amp;" días en Submitted (máx. "&amp;CFG_MAXD&amp;")",""),"Falta fecha de envío"),IF(BF1320="Returned","⚠ Devuelto: corregir y reenviar",IF(BF1320="Recall Requested","Retirada solicitada: pendiente",IF(AND(BF1320="Approved",NOT(ISNUMBER(T1320))),"Falta fecha de aprobación",IF(AND(ISNUMBER(S1320),ISNUMBER(T1320),T1320&lt;S1320),"Aprobación anterior al envío","")))))))))</f>
        <v/>
      </c>
      <c r="Y1320" s="80">
        <f>IF(COUNTA(B1320,D1320,E1320,F1320,G1320,H1320,I1320,J1320,R1320,S1320,T1320)&gt;0,1,0)</f>
        <v>0</v>
      </c>
      <c r="Z1320" s="80" t="str">
        <f>IF(AND(ISNUMBER(H1320),H1320&gt;=0,H1320&lt;1),ROUND(H1320*1440,0),"")</f>
        <v/>
      </c>
      <c r="AA1320" s="80" t="str">
        <f>IF(AND(ISNUMBER(I1320),I1320&gt;=0,I1320&lt;1),ROUND(I1320*1440,0),"")</f>
        <v/>
      </c>
      <c r="AB1320" s="80">
        <f>IF(AND(ISNUMBER(B1320),D1320&lt;&gt;"",ISNUMBER(Z1320),ISNUMBER(AA1320)),IF(Z1320=AA1320,0,1),0)</f>
        <v>0</v>
      </c>
      <c r="AC1320" s="80">
        <f>IF(AB1320=1,IF(AA1320&lt;Z1320,1,0),0)</f>
        <v>0</v>
      </c>
      <c r="AD1320" s="80">
        <f>IF(AB1320=1,IF(AC1320=1,1440-Z1320+AA1320,AA1320-Z1320),0)</f>
        <v>0</v>
      </c>
      <c r="AE1320" s="80">
        <f>IF(J1320="",0,IF(ISNUMBER(J1320),J1320,-1))</f>
        <v>0</v>
      </c>
      <c r="AF1320" s="80">
        <f>MIN(MAX(0,AE1320),AD1320)</f>
        <v>0</v>
      </c>
      <c r="AG1320" s="80">
        <f>MAX(0,AD1320-MAX(0,AE1320))</f>
        <v>0</v>
      </c>
      <c r="AH1320" s="80">
        <f>IF(ISNUMBER(B1320),IF(AND(INDEX(CFG_WDAYS,WEEKDAY(INT(B1320),2))="Sí",IF(D1320="proMX",COUNTIFS(FER_F,INT(B1320),FER_NLP,"Sí"),COUNTIFS(FER_F,INT(B1320),FER_NLM,"Sí"))=0),1,0),0)</f>
        <v>0</v>
      </c>
      <c r="AI1320" s="80">
        <f>IF(AC1320=1,IF(AND(INDEX(CFG_WDAYS,WEEKDAY(INT(B1320)+1,2))="Sí",IF(D1320="proMX",COUNTIFS(FER_F,INT(B1320)+1,FER_NLP,"Sí"),COUNTIFS(FER_F,INT(B1320)+1,FER_NLM,"Sí"))=0),1,0),0)</f>
        <v>0</v>
      </c>
      <c r="AJ1320" s="80">
        <f>IF(AC1320=1,1440-Z1320,AD1320)</f>
        <v>0</v>
      </c>
      <c r="AK1320" s="80">
        <f>IF(AND(AB1320=1,AH1320=1),MAX(0,MIN(IF(AC1320=1,1440,AA1320),CFG_WEM)-MAX(Z1320,CFG_WSM)),0)</f>
        <v>0</v>
      </c>
      <c r="AL1320" s="80">
        <f>IF(AND(AC1320=1,AI1320=1),MAX(0,MIN(AA1320,CFG_WEM)-CFG_WSM),0)</f>
        <v>0</v>
      </c>
      <c r="AM1320" s="80">
        <f>AK1320+AL1320</f>
        <v>0</v>
      </c>
      <c r="AN1320" s="80">
        <f>IF(CFG_BRK="Proporcional",IF(AD1320=0,0,AF1320*AM1320/AD1320),IF(CFG_BRK="Extras primero",MIN(AM1320,MAX(0,AF1320-(AD1320-AM1320))),MIN(AF1320,AM1320)))</f>
        <v>0</v>
      </c>
      <c r="AO1320" s="80">
        <f>AF1320-AN1320</f>
        <v>0</v>
      </c>
      <c r="AP1320" s="80">
        <f>AM1320-AN1320</f>
        <v>0</v>
      </c>
      <c r="AQ1320" s="80">
        <f>AD1320-AM1320-AO1320</f>
        <v>0</v>
      </c>
      <c r="AR1320" s="80">
        <f>IF(AM1320=0,0,AK1320-AN1320*AK1320/AM1320)</f>
        <v>0</v>
      </c>
      <c r="AS1320" s="80">
        <f>IF(AD1320-AM1320=0,0,(AJ1320-AK1320)-AO1320*(AJ1320-AK1320)/(AD1320-AM1320))</f>
        <v>0</v>
      </c>
      <c r="AT1320" s="80" t="str">
        <f>IF(AC1320=1,INT(B1320)+1,"")</f>
        <v/>
      </c>
      <c r="AU1320" s="80">
        <f>IF(AND(D1320="proMX",R1320="Cancelled"),0,1)</f>
        <v>1</v>
      </c>
      <c r="AV1320" s="80">
        <f>IF(AND(AB1320=1,AU1320=1),IF(COUNTIFS($D$5:D1319,D1320,$B$5:B1319,B1320,$Z$5:Z1319,Z1320,$AA$5:AA1319,AA1320,$F$5:F1319,F1320&amp;"",$AU$5:AU1319,1)&gt;0,1,0),0)</f>
        <v>0</v>
      </c>
      <c r="AW1320" s="80" t="str">
        <f>IF(AB1320=1,INT(B1320)*1440+Z1320,"")</f>
        <v/>
      </c>
      <c r="AX1320" s="80" t="str">
        <f>IF(AB1320=1,AW1320+AD1320,"")</f>
        <v/>
      </c>
      <c r="AY1320" s="80">
        <f>IF(AND(AB1320=1,AV1320=0,AU1320=1),1,0)</f>
        <v>0</v>
      </c>
      <c r="AZ1320" s="80">
        <f>IF(AY1320=1,COUNTIFS(R_Emp,D1320,R_SAbs,"&lt;"&amp;AX1320,R_EAbs,"&gt;"&amp;AW1320,R_OKey,1)-1,0)</f>
        <v>0</v>
      </c>
      <c r="BA1320" s="80">
        <f>IF(AY1320=1,COUNTIFS(R_Emp,"&lt;&gt;"&amp;D1320,R_SAbs,"&lt;"&amp;AX1320,R_EAbs,"&gt;"&amp;AW1320,R_OKey,1),0)</f>
        <v>0</v>
      </c>
      <c r="BB1320" s="80">
        <f>IF(AND(AB1320=1,D1320="proMX"),IF(AND(MOD(Z1320,CFG_BLK)=0,MOD(AA1320,CFG_BLK)=0,MOD(AG1320,CFG_BLK)=0,AG1320&gt;0),1,0),1)</f>
        <v>1</v>
      </c>
      <c r="BC1320" s="80" t="str">
        <f>IF(Y1320=0,"",IF(NOT(ISNUMBER(B1320)),"Falta fecha o fecha inválida",IF(D1320="","Falta empresa",IF(AND(D1320&lt;&gt;"Malcolm",D1320&lt;&gt;"proMX"),"Empresa inválida",IF(OR(INT(B1320)&lt;CFG_PSTART,INT(B1320)&gt;CFG_PEND),"Fecha fuera del período",IF(OR(NOT(ISNUMBER(Z1320)),NOT(ISNUMBER(AA1320))),"Falta hora inicio/fin o formato inválido",IF(AB1320=0,"Hora inicio = hora fin",IF(AE1320&lt;0,"Descanso inválido",IF(AE1320&gt;=AD1320,"Descanso ≥ duración",IF(AV1320=1,"Registro duplicado",IF(AZ1320&gt;0,"Se superpone con otro registro "&amp;D1320,IF(BB1320=0,"inicio, fin y duración neta deben ser múltiplos de "&amp;CFG_BLK&amp;" min",""))))))))))))</f>
        <v/>
      </c>
      <c r="BD1320" s="80">
        <f>IF(AND(Y1320=1,BC1320=""),1,0)</f>
        <v>0</v>
      </c>
      <c r="BE1320" s="80">
        <f>IF(AND(BD1320=1,AU1320=1),1,0)</f>
        <v>0</v>
      </c>
      <c r="BF1320" s="80" t="str">
        <f>IF(AND(D1320="proMX",BD1320=1),IF(R1320="","Draft",R1320),"")</f>
        <v/>
      </c>
      <c r="BG1320" s="80">
        <f>IF(BD1320=1,ROUND(AG1320/60,6),0)</f>
        <v>0</v>
      </c>
      <c r="BH1320" s="80">
        <f>IF(BE1320=1,ROUND(AG1320/60,6),0)</f>
        <v>0</v>
      </c>
      <c r="BI1320" s="80">
        <f>IF(BE1320=1,ROUND(AP1320/60,6),0)</f>
        <v>0</v>
      </c>
      <c r="BJ1320" s="80">
        <f>IF(BE1320=1,ROUND(AQ1320/60,6),0)</f>
        <v>0</v>
      </c>
      <c r="BK1320" s="80">
        <f>IF(BE1320=1,ROUND((AR1320+AS1320)/60,6),0)</f>
        <v>0</v>
      </c>
      <c r="BL1320" s="80">
        <f>ROUND(BH1320-BK1320,6)</f>
        <v>0</v>
      </c>
      <c r="BM1320" s="80">
        <f>IF(BE1320=1,ROUND(AR1320/60,6),0)</f>
        <v>0</v>
      </c>
      <c r="BN1320" s="80">
        <f>ROUND(BI1320-BM1320,6)</f>
        <v>0</v>
      </c>
      <c r="BO1320" s="80">
        <f>IF(BE1320=1,ROUND(AS1320/60,6),0)</f>
        <v>0</v>
      </c>
      <c r="BP1320" s="80">
        <f>ROUND(BJ1320-BO1320,6)</f>
        <v>0</v>
      </c>
      <c r="BQ1320" s="80">
        <f>IF(BE1320=1,AW1320,0)</f>
        <v>0</v>
      </c>
      <c r="BR1320" s="80">
        <f>IF(BE1320=1,AX1320,0)</f>
        <v>0</v>
      </c>
      <c r="BS1320" s="80">
        <f>IF(AND(BE1320=1,D1320="Malcolm",BA1320&gt;0),MIN(BH1320,SUMPRODUCT((R_Emp="proMX")*(R_EN&gt;0)*((R_EN-(R_EN&gt;BR1320)*(R_EN-BR1320))&gt;(R_SN+(R_SN&lt;BQ1320)*(BQ1320-R_SN)))*((R_EN-(R_EN&gt;BR1320)*(R_EN-BR1320))-(R_SN+(R_SN&lt;BQ1320)*(BQ1320-R_SN))))/60),0)</f>
        <v>0</v>
      </c>
      <c r="BT1320" s="80">
        <f>IF(AND(BE1320=1,D1320="proMX"),ROUND(BI1320*CFG_RATE+BJ1320*CFG_OTRATE,6),0)</f>
        <v>0</v>
      </c>
      <c r="BU1320" s="80">
        <f>IF(AND(BD1320=1,D1320="proMX"),ROUND(AG1320/CFG_BLK,6),0)</f>
        <v>0</v>
      </c>
      <c r="BV1320" s="80" t="str">
        <f>IF(BF1320="Approved",IF(ISNUMBER(T1320),INT(T1320),INT(B1320)),"")</f>
        <v/>
      </c>
      <c r="BW1320" s="80">
        <f>IF(ISNUMBER(B1320),IF(DB_MON="Todos",1,IF(AND(INT(B1320)&gt;=DB_MS,INT(B1320)&lt;=DB_ME),1,0)),0)</f>
        <v>0</v>
      </c>
      <c r="BX1320" s="80">
        <f>IF(DB_PROJ="Todos",1,IF(E1320&amp;""=DB_PROJ&amp;"",1,0))</f>
        <v>1</v>
      </c>
      <c r="BY1320" s="80">
        <f>BW1320*BX1320</f>
        <v>0</v>
      </c>
      <c r="BZ1320" s="80" t="str">
        <f>IF(Y1320=1,F1320&amp;IF(AND(F1320&amp;""&lt;&gt;"",E1320&amp;""&lt;&gt;"")," · ","")&amp;E1320,"")</f>
        <v/>
      </c>
      <c r="CA1320" s="80" t="str">
        <f>IF(AND(BD1320=1,E1320&amp;""&lt;&gt;""),IF(COUNTIFS($E$5:E1319,E1320,$BD$5:BD1319,1)=0,MAX($CA$5:CA1319)+1,""),"")</f>
        <v/>
      </c>
      <c r="CB1320" s="80" t="str">
        <f>IF(AND(BE1320=1,D1320="Malcolm",E1320&amp;""&lt;&gt;""),IF(COUNTIFS($D$5:D1319,"Malcolm",$E$5:E1319,E1320,$BE$5:BE1319,1)=0,MAX($CB$5:CB1319)+1,""),"")</f>
        <v/>
      </c>
      <c r="CC1320" s="80" t="str">
        <f>IF(AND(BD1320=1,D1320="proMX",E1320&amp;""&lt;&gt;""),IF(COUNTIFS($D$5:D1319,"proMX",$E$5:E1319,E1320,$BD$5:BD1319,1)=0,MAX($CC$5:CC1319)+1,""),"")</f>
        <v/>
      </c>
      <c r="CD1320" s="80" t="str">
        <f>IF(AND(BE1320=1,D1320="Malcolm",F1320&amp;""&lt;&gt;""),IF(COUNTIFS($D$5:D1319,"Malcolm",$F$5:F1319,F1320,$BE$5:BE1319,1)=0,MAX($CD$5:CD1319)+1,""),"")</f>
        <v/>
      </c>
      <c r="CE1320" s="80" t="str">
        <f>IF(AND(BD1320=1,D1320="proMX",F1320&amp;""&lt;&gt;""),IF(COUNTIFS($D$5:D1319,"proMX",$F$5:F1319,F1320,$BD$5:BD1319,1)=0,MAX($CE$5:CE1319)+1,""),"")</f>
        <v/>
      </c>
      <c r="CF1320" s="80" t="str">
        <f>IF(AND(D1320="proMX",BD1320=1),IF(OR(BF1320="Draft",BF1320="Submitted",BF1320="Returned",BF1320="Recall Requested"),MAX($CF$5:CF1319)+1,""),"")</f>
        <v/>
      </c>
      <c r="CG1320" s="80">
        <f>IF(BD1320=0,0,IF(D1320="Malcolm",1,MATCH(BF1320,{"Draft","Submitted","Approved","Returned","Recall Requested","Cancelled"},0)+1))</f>
        <v>0</v>
      </c>
      <c r="CH1320" s="80">
        <f>IF(AND(BF1320="Submitted",ISNUMBER(V1320)),IF(V1320&gt;CFG_MAXD,1,0),0)</f>
        <v>0</v>
      </c>
    </row>
    <row r="1321">
      <c r="A1321" s="71" t="str">
        <f>IF(Y1321=1,ROW()-5,"")</f>
        <v/>
      </c>
      <c r="B1321" s="72" t="n"/>
      <c r="C1321" s="71" t="str">
        <f>IF(ISNUMBER(B1321),CHOOSE(WEEKDAY(B1321,2),"Lun","Mar","Mié","Jue","Vie","Sáb","Dom"),"")</f>
        <v/>
      </c>
      <c r="D1321" s="73" t="n"/>
      <c r="E1321" s="74" t="n"/>
      <c r="F1321" s="74" t="n"/>
      <c r="G1321" s="74" t="n"/>
      <c r="H1321" s="75" t="n"/>
      <c r="I1321" s="75" t="n"/>
      <c r="J1321" s="76" t="n"/>
      <c r="K1321" s="77" t="str">
        <f>IF(AB1321=1,ROUND(AG1321/60,4),"")</f>
        <v/>
      </c>
      <c r="L1321" s="77" t="str">
        <f>IF(BD1321=1,ROUND(AP1321/60,4),"")</f>
        <v/>
      </c>
      <c r="M1321" s="77" t="str">
        <f>IF(BD1321=1,ROUND(AQ1321/60,4),"")</f>
        <v/>
      </c>
      <c r="N1321" s="71" t="str">
        <f>IF(AND(D1321="proMX",AB1321=1),ROUND(AG1321/CFG_BLK,2),"")</f>
        <v/>
      </c>
      <c r="O1321" s="77" t="str">
        <f>IF(D1321="proMX",IF(BD1321=1,ROUND(AG1321/60,4),0),"")</f>
        <v/>
      </c>
      <c r="P1321" s="78" t="str">
        <f>IF(Y1321=0,"",IF(BD1321=1,"OK",IF(D1321="proMX","Revisar bloques: ","Revisar: ")&amp;BC1321))</f>
        <v/>
      </c>
      <c r="Q1321" s="78" t="str">
        <f>IF(NOT(ISNUMBER(B1321)),"",IF(COUNTIFS(FER_F,INT(B1321))&gt;0,"Feriado"&amp;IF(AH1321=1," (laborable)"," (no laborable)"),IF(AH1321=1,"Laborable",IF(WEEKDAY(B1321,2)&gt;5,"Fin de semana","No laborable"))))</f>
        <v/>
      </c>
      <c r="R1321" s="73" t="n"/>
      <c r="S1321" s="72" t="n"/>
      <c r="T1321" s="72" t="n"/>
      <c r="U1321" s="74" t="n"/>
      <c r="V1321" s="79" t="str">
        <f>IF(AND(D1321="proMX",OR(R1321="Submitted",R1321="Recall Requested"),ISNUMBER(S1321)),CFG_TODAY-INT(S1321),"")</f>
        <v/>
      </c>
      <c r="W1321" s="78" t="str">
        <f>IF(BD1321=0,"",IF(BA1321&gt;0,"⚠ Se superpone con un registro de la otra empresa",IF(D1321="Malcolm",IF(COUNTA(R1321,S1321,T1321)&gt;0,"Estado/fechas proMX se ignoran en Malcolm",""),IF(BF1321="Cancelled","Cancelado: excluido de totales",IF(R1321="","Sin estado: se trata como Draft",IF(BF1321="Submitted",IF(ISNUMBER(V1321),IF(V1321&gt;CFG_MAXD,"⚠ "&amp;V1321&amp;" días en Submitted (máx. "&amp;CFG_MAXD&amp;")",""),"Falta fecha de envío"),IF(BF1321="Returned","⚠ Devuelto: corregir y reenviar",IF(BF1321="Recall Requested","Retirada solicitada: pendiente",IF(AND(BF1321="Approved",NOT(ISNUMBER(T1321))),"Falta fecha de aprobación",IF(AND(ISNUMBER(S1321),ISNUMBER(T1321),T1321&lt;S1321),"Aprobación anterior al envío","")))))))))</f>
        <v/>
      </c>
      <c r="Y1321" s="80">
        <f>IF(COUNTA(B1321,D1321,E1321,F1321,G1321,H1321,I1321,J1321,R1321,S1321,T1321)&gt;0,1,0)</f>
        <v>0</v>
      </c>
      <c r="Z1321" s="80" t="str">
        <f>IF(AND(ISNUMBER(H1321),H1321&gt;=0,H1321&lt;1),ROUND(H1321*1440,0),"")</f>
        <v/>
      </c>
      <c r="AA1321" s="80" t="str">
        <f>IF(AND(ISNUMBER(I1321),I1321&gt;=0,I1321&lt;1),ROUND(I1321*1440,0),"")</f>
        <v/>
      </c>
      <c r="AB1321" s="80">
        <f>IF(AND(ISNUMBER(B1321),D1321&lt;&gt;"",ISNUMBER(Z1321),ISNUMBER(AA1321)),IF(Z1321=AA1321,0,1),0)</f>
        <v>0</v>
      </c>
      <c r="AC1321" s="80">
        <f>IF(AB1321=1,IF(AA1321&lt;Z1321,1,0),0)</f>
        <v>0</v>
      </c>
      <c r="AD1321" s="80">
        <f>IF(AB1321=1,IF(AC1321=1,1440-Z1321+AA1321,AA1321-Z1321),0)</f>
        <v>0</v>
      </c>
      <c r="AE1321" s="80">
        <f>IF(J1321="",0,IF(ISNUMBER(J1321),J1321,-1))</f>
        <v>0</v>
      </c>
      <c r="AF1321" s="80">
        <f>MIN(MAX(0,AE1321),AD1321)</f>
        <v>0</v>
      </c>
      <c r="AG1321" s="80">
        <f>MAX(0,AD1321-MAX(0,AE1321))</f>
        <v>0</v>
      </c>
      <c r="AH1321" s="80">
        <f>IF(ISNUMBER(B1321),IF(AND(INDEX(CFG_WDAYS,WEEKDAY(INT(B1321),2))="Sí",IF(D1321="proMX",COUNTIFS(FER_F,INT(B1321),FER_NLP,"Sí"),COUNTIFS(FER_F,INT(B1321),FER_NLM,"Sí"))=0),1,0),0)</f>
        <v>0</v>
      </c>
      <c r="AI1321" s="80">
        <f>IF(AC1321=1,IF(AND(INDEX(CFG_WDAYS,WEEKDAY(INT(B1321)+1,2))="Sí",IF(D1321="proMX",COUNTIFS(FER_F,INT(B1321)+1,FER_NLP,"Sí"),COUNTIFS(FER_F,INT(B1321)+1,FER_NLM,"Sí"))=0),1,0),0)</f>
        <v>0</v>
      </c>
      <c r="AJ1321" s="80">
        <f>IF(AC1321=1,1440-Z1321,AD1321)</f>
        <v>0</v>
      </c>
      <c r="AK1321" s="80">
        <f>IF(AND(AB1321=1,AH1321=1),MAX(0,MIN(IF(AC1321=1,1440,AA1321),CFG_WEM)-MAX(Z1321,CFG_WSM)),0)</f>
        <v>0</v>
      </c>
      <c r="AL1321" s="80">
        <f>IF(AND(AC1321=1,AI1321=1),MAX(0,MIN(AA1321,CFG_WEM)-CFG_WSM),0)</f>
        <v>0</v>
      </c>
      <c r="AM1321" s="80">
        <f>AK1321+AL1321</f>
        <v>0</v>
      </c>
      <c r="AN1321" s="80">
        <f>IF(CFG_BRK="Proporcional",IF(AD1321=0,0,AF1321*AM1321/AD1321),IF(CFG_BRK="Extras primero",MIN(AM1321,MAX(0,AF1321-(AD1321-AM1321))),MIN(AF1321,AM1321)))</f>
        <v>0</v>
      </c>
      <c r="AO1321" s="80">
        <f>AF1321-AN1321</f>
        <v>0</v>
      </c>
      <c r="AP1321" s="80">
        <f>AM1321-AN1321</f>
        <v>0</v>
      </c>
      <c r="AQ1321" s="80">
        <f>AD1321-AM1321-AO1321</f>
        <v>0</v>
      </c>
      <c r="AR1321" s="80">
        <f>IF(AM1321=0,0,AK1321-AN1321*AK1321/AM1321)</f>
        <v>0</v>
      </c>
      <c r="AS1321" s="80">
        <f>IF(AD1321-AM1321=0,0,(AJ1321-AK1321)-AO1321*(AJ1321-AK1321)/(AD1321-AM1321))</f>
        <v>0</v>
      </c>
      <c r="AT1321" s="80" t="str">
        <f>IF(AC1321=1,INT(B1321)+1,"")</f>
        <v/>
      </c>
      <c r="AU1321" s="80">
        <f>IF(AND(D1321="proMX",R1321="Cancelled"),0,1)</f>
        <v>1</v>
      </c>
      <c r="AV1321" s="80">
        <f>IF(AND(AB1321=1,AU1321=1),IF(COUNTIFS($D$5:D1320,D1321,$B$5:B1320,B1321,$Z$5:Z1320,Z1321,$AA$5:AA1320,AA1321,$F$5:F1320,F1321&amp;"",$AU$5:AU1320,1)&gt;0,1,0),0)</f>
        <v>0</v>
      </c>
      <c r="AW1321" s="80" t="str">
        <f>IF(AB1321=1,INT(B1321)*1440+Z1321,"")</f>
        <v/>
      </c>
      <c r="AX1321" s="80" t="str">
        <f>IF(AB1321=1,AW1321+AD1321,"")</f>
        <v/>
      </c>
      <c r="AY1321" s="80">
        <f>IF(AND(AB1321=1,AV1321=0,AU1321=1),1,0)</f>
        <v>0</v>
      </c>
      <c r="AZ1321" s="80">
        <f>IF(AY1321=1,COUNTIFS(R_Emp,D1321,R_SAbs,"&lt;"&amp;AX1321,R_EAbs,"&gt;"&amp;AW1321,R_OKey,1)-1,0)</f>
        <v>0</v>
      </c>
      <c r="BA1321" s="80">
        <f>IF(AY1321=1,COUNTIFS(R_Emp,"&lt;&gt;"&amp;D1321,R_SAbs,"&lt;"&amp;AX1321,R_EAbs,"&gt;"&amp;AW1321,R_OKey,1),0)</f>
        <v>0</v>
      </c>
      <c r="BB1321" s="80">
        <f>IF(AND(AB1321=1,D1321="proMX"),IF(AND(MOD(Z1321,CFG_BLK)=0,MOD(AA1321,CFG_BLK)=0,MOD(AG1321,CFG_BLK)=0,AG1321&gt;0),1,0),1)</f>
        <v>1</v>
      </c>
      <c r="BC1321" s="80" t="str">
        <f>IF(Y1321=0,"",IF(NOT(ISNUMBER(B1321)),"Falta fecha o fecha inválida",IF(D1321="","Falta empresa",IF(AND(D1321&lt;&gt;"Malcolm",D1321&lt;&gt;"proMX"),"Empresa inválida",IF(OR(INT(B1321)&lt;CFG_PSTART,INT(B1321)&gt;CFG_PEND),"Fecha fuera del período",IF(OR(NOT(ISNUMBER(Z1321)),NOT(ISNUMBER(AA1321))),"Falta hora inicio/fin o formato inválido",IF(AB1321=0,"Hora inicio = hora fin",IF(AE1321&lt;0,"Descanso inválido",IF(AE1321&gt;=AD1321,"Descanso ≥ duración",IF(AV1321=1,"Registro duplicado",IF(AZ1321&gt;0,"Se superpone con otro registro "&amp;D1321,IF(BB1321=0,"inicio, fin y duración neta deben ser múltiplos de "&amp;CFG_BLK&amp;" min",""))))))))))))</f>
        <v/>
      </c>
      <c r="BD1321" s="80">
        <f>IF(AND(Y1321=1,BC1321=""),1,0)</f>
        <v>0</v>
      </c>
      <c r="BE1321" s="80">
        <f>IF(AND(BD1321=1,AU1321=1),1,0)</f>
        <v>0</v>
      </c>
      <c r="BF1321" s="80" t="str">
        <f>IF(AND(D1321="proMX",BD1321=1),IF(R1321="","Draft",R1321),"")</f>
        <v/>
      </c>
      <c r="BG1321" s="80">
        <f>IF(BD1321=1,ROUND(AG1321/60,6),0)</f>
        <v>0</v>
      </c>
      <c r="BH1321" s="80">
        <f>IF(BE1321=1,ROUND(AG1321/60,6),0)</f>
        <v>0</v>
      </c>
      <c r="BI1321" s="80">
        <f>IF(BE1321=1,ROUND(AP1321/60,6),0)</f>
        <v>0</v>
      </c>
      <c r="BJ1321" s="80">
        <f>IF(BE1321=1,ROUND(AQ1321/60,6),0)</f>
        <v>0</v>
      </c>
      <c r="BK1321" s="80">
        <f>IF(BE1321=1,ROUND((AR1321+AS1321)/60,6),0)</f>
        <v>0</v>
      </c>
      <c r="BL1321" s="80">
        <f>ROUND(BH1321-BK1321,6)</f>
        <v>0</v>
      </c>
      <c r="BM1321" s="80">
        <f>IF(BE1321=1,ROUND(AR1321/60,6),0)</f>
        <v>0</v>
      </c>
      <c r="BN1321" s="80">
        <f>ROUND(BI1321-BM1321,6)</f>
        <v>0</v>
      </c>
      <c r="BO1321" s="80">
        <f>IF(BE1321=1,ROUND(AS1321/60,6),0)</f>
        <v>0</v>
      </c>
      <c r="BP1321" s="80">
        <f>ROUND(BJ1321-BO1321,6)</f>
        <v>0</v>
      </c>
      <c r="BQ1321" s="80">
        <f>IF(BE1321=1,AW1321,0)</f>
        <v>0</v>
      </c>
      <c r="BR1321" s="80">
        <f>IF(BE1321=1,AX1321,0)</f>
        <v>0</v>
      </c>
      <c r="BS1321" s="80">
        <f>IF(AND(BE1321=1,D1321="Malcolm",BA1321&gt;0),MIN(BH1321,SUMPRODUCT((R_Emp="proMX")*(R_EN&gt;0)*((R_EN-(R_EN&gt;BR1321)*(R_EN-BR1321))&gt;(R_SN+(R_SN&lt;BQ1321)*(BQ1321-R_SN)))*((R_EN-(R_EN&gt;BR1321)*(R_EN-BR1321))-(R_SN+(R_SN&lt;BQ1321)*(BQ1321-R_SN))))/60),0)</f>
        <v>0</v>
      </c>
      <c r="BT1321" s="80">
        <f>IF(AND(BE1321=1,D1321="proMX"),ROUND(BI1321*CFG_RATE+BJ1321*CFG_OTRATE,6),0)</f>
        <v>0</v>
      </c>
      <c r="BU1321" s="80">
        <f>IF(AND(BD1321=1,D1321="proMX"),ROUND(AG1321/CFG_BLK,6),0)</f>
        <v>0</v>
      </c>
      <c r="BV1321" s="80" t="str">
        <f>IF(BF1321="Approved",IF(ISNUMBER(T1321),INT(T1321),INT(B1321)),"")</f>
        <v/>
      </c>
      <c r="BW1321" s="80">
        <f>IF(ISNUMBER(B1321),IF(DB_MON="Todos",1,IF(AND(INT(B1321)&gt;=DB_MS,INT(B1321)&lt;=DB_ME),1,0)),0)</f>
        <v>0</v>
      </c>
      <c r="BX1321" s="80">
        <f>IF(DB_PROJ="Todos",1,IF(E1321&amp;""=DB_PROJ&amp;"",1,0))</f>
        <v>1</v>
      </c>
      <c r="BY1321" s="80">
        <f>BW1321*BX1321</f>
        <v>0</v>
      </c>
      <c r="BZ1321" s="80" t="str">
        <f>IF(Y1321=1,F1321&amp;IF(AND(F1321&amp;""&lt;&gt;"",E1321&amp;""&lt;&gt;"")," · ","")&amp;E1321,"")</f>
        <v/>
      </c>
      <c r="CA1321" s="80" t="str">
        <f>IF(AND(BD1321=1,E1321&amp;""&lt;&gt;""),IF(COUNTIFS($E$5:E1320,E1321,$BD$5:BD1320,1)=0,MAX($CA$5:CA1320)+1,""),"")</f>
        <v/>
      </c>
      <c r="CB1321" s="80" t="str">
        <f>IF(AND(BE1321=1,D1321="Malcolm",E1321&amp;""&lt;&gt;""),IF(COUNTIFS($D$5:D1320,"Malcolm",$E$5:E1320,E1321,$BE$5:BE1320,1)=0,MAX($CB$5:CB1320)+1,""),"")</f>
        <v/>
      </c>
      <c r="CC1321" s="80" t="str">
        <f>IF(AND(BD1321=1,D1321="proMX",E1321&amp;""&lt;&gt;""),IF(COUNTIFS($D$5:D1320,"proMX",$E$5:E1320,E1321,$BD$5:BD1320,1)=0,MAX($CC$5:CC1320)+1,""),"")</f>
        <v/>
      </c>
      <c r="CD1321" s="80" t="str">
        <f>IF(AND(BE1321=1,D1321="Malcolm",F1321&amp;""&lt;&gt;""),IF(COUNTIFS($D$5:D1320,"Malcolm",$F$5:F1320,F1321,$BE$5:BE1320,1)=0,MAX($CD$5:CD1320)+1,""),"")</f>
        <v/>
      </c>
      <c r="CE1321" s="80" t="str">
        <f>IF(AND(BD1321=1,D1321="proMX",F1321&amp;""&lt;&gt;""),IF(COUNTIFS($D$5:D1320,"proMX",$F$5:F1320,F1321,$BD$5:BD1320,1)=0,MAX($CE$5:CE1320)+1,""),"")</f>
        <v/>
      </c>
      <c r="CF1321" s="80" t="str">
        <f>IF(AND(D1321="proMX",BD1321=1),IF(OR(BF1321="Draft",BF1321="Submitted",BF1321="Returned",BF1321="Recall Requested"),MAX($CF$5:CF1320)+1,""),"")</f>
        <v/>
      </c>
      <c r="CG1321" s="80">
        <f>IF(BD1321=0,0,IF(D1321="Malcolm",1,MATCH(BF1321,{"Draft","Submitted","Approved","Returned","Recall Requested","Cancelled"},0)+1))</f>
        <v>0</v>
      </c>
      <c r="CH1321" s="80">
        <f>IF(AND(BF1321="Submitted",ISNUMBER(V1321)),IF(V1321&gt;CFG_MAXD,1,0),0)</f>
        <v>0</v>
      </c>
    </row>
    <row r="1322">
      <c r="A1322" s="71" t="str">
        <f>IF(Y1322=1,ROW()-5,"")</f>
        <v/>
      </c>
      <c r="B1322" s="72" t="n"/>
      <c r="C1322" s="71" t="str">
        <f>IF(ISNUMBER(B1322),CHOOSE(WEEKDAY(B1322,2),"Lun","Mar","Mié","Jue","Vie","Sáb","Dom"),"")</f>
        <v/>
      </c>
      <c r="D1322" s="73" t="n"/>
      <c r="E1322" s="74" t="n"/>
      <c r="F1322" s="74" t="n"/>
      <c r="G1322" s="74" t="n"/>
      <c r="H1322" s="75" t="n"/>
      <c r="I1322" s="75" t="n"/>
      <c r="J1322" s="76" t="n"/>
      <c r="K1322" s="77" t="str">
        <f>IF(AB1322=1,ROUND(AG1322/60,4),"")</f>
        <v/>
      </c>
      <c r="L1322" s="77" t="str">
        <f>IF(BD1322=1,ROUND(AP1322/60,4),"")</f>
        <v/>
      </c>
      <c r="M1322" s="77" t="str">
        <f>IF(BD1322=1,ROUND(AQ1322/60,4),"")</f>
        <v/>
      </c>
      <c r="N1322" s="71" t="str">
        <f>IF(AND(D1322="proMX",AB1322=1),ROUND(AG1322/CFG_BLK,2),"")</f>
        <v/>
      </c>
      <c r="O1322" s="77" t="str">
        <f>IF(D1322="proMX",IF(BD1322=1,ROUND(AG1322/60,4),0),"")</f>
        <v/>
      </c>
      <c r="P1322" s="78" t="str">
        <f>IF(Y1322=0,"",IF(BD1322=1,"OK",IF(D1322="proMX","Revisar bloques: ","Revisar: ")&amp;BC1322))</f>
        <v/>
      </c>
      <c r="Q1322" s="78" t="str">
        <f>IF(NOT(ISNUMBER(B1322)),"",IF(COUNTIFS(FER_F,INT(B1322))&gt;0,"Feriado"&amp;IF(AH1322=1," (laborable)"," (no laborable)"),IF(AH1322=1,"Laborable",IF(WEEKDAY(B1322,2)&gt;5,"Fin de semana","No laborable"))))</f>
        <v/>
      </c>
      <c r="R1322" s="73" t="n"/>
      <c r="S1322" s="72" t="n"/>
      <c r="T1322" s="72" t="n"/>
      <c r="U1322" s="74" t="n"/>
      <c r="V1322" s="79" t="str">
        <f>IF(AND(D1322="proMX",OR(R1322="Submitted",R1322="Recall Requested"),ISNUMBER(S1322)),CFG_TODAY-INT(S1322),"")</f>
        <v/>
      </c>
      <c r="W1322" s="78" t="str">
        <f>IF(BD1322=0,"",IF(BA1322&gt;0,"⚠ Se superpone con un registro de la otra empresa",IF(D1322="Malcolm",IF(COUNTA(R1322,S1322,T1322)&gt;0,"Estado/fechas proMX se ignoran en Malcolm",""),IF(BF1322="Cancelled","Cancelado: excluido de totales",IF(R1322="","Sin estado: se trata como Draft",IF(BF1322="Submitted",IF(ISNUMBER(V1322),IF(V1322&gt;CFG_MAXD,"⚠ "&amp;V1322&amp;" días en Submitted (máx. "&amp;CFG_MAXD&amp;")",""),"Falta fecha de envío"),IF(BF1322="Returned","⚠ Devuelto: corregir y reenviar",IF(BF1322="Recall Requested","Retirada solicitada: pendiente",IF(AND(BF1322="Approved",NOT(ISNUMBER(T1322))),"Falta fecha de aprobación",IF(AND(ISNUMBER(S1322),ISNUMBER(T1322),T1322&lt;S1322),"Aprobación anterior al envío","")))))))))</f>
        <v/>
      </c>
      <c r="Y1322" s="80">
        <f>IF(COUNTA(B1322,D1322,E1322,F1322,G1322,H1322,I1322,J1322,R1322,S1322,T1322)&gt;0,1,0)</f>
        <v>0</v>
      </c>
      <c r="Z1322" s="80" t="str">
        <f>IF(AND(ISNUMBER(H1322),H1322&gt;=0,H1322&lt;1),ROUND(H1322*1440,0),"")</f>
        <v/>
      </c>
      <c r="AA1322" s="80" t="str">
        <f>IF(AND(ISNUMBER(I1322),I1322&gt;=0,I1322&lt;1),ROUND(I1322*1440,0),"")</f>
        <v/>
      </c>
      <c r="AB1322" s="80">
        <f>IF(AND(ISNUMBER(B1322),D1322&lt;&gt;"",ISNUMBER(Z1322),ISNUMBER(AA1322)),IF(Z1322=AA1322,0,1),0)</f>
        <v>0</v>
      </c>
      <c r="AC1322" s="80">
        <f>IF(AB1322=1,IF(AA1322&lt;Z1322,1,0),0)</f>
        <v>0</v>
      </c>
      <c r="AD1322" s="80">
        <f>IF(AB1322=1,IF(AC1322=1,1440-Z1322+AA1322,AA1322-Z1322),0)</f>
        <v>0</v>
      </c>
      <c r="AE1322" s="80">
        <f>IF(J1322="",0,IF(ISNUMBER(J1322),J1322,-1))</f>
        <v>0</v>
      </c>
      <c r="AF1322" s="80">
        <f>MIN(MAX(0,AE1322),AD1322)</f>
        <v>0</v>
      </c>
      <c r="AG1322" s="80">
        <f>MAX(0,AD1322-MAX(0,AE1322))</f>
        <v>0</v>
      </c>
      <c r="AH1322" s="80">
        <f>IF(ISNUMBER(B1322),IF(AND(INDEX(CFG_WDAYS,WEEKDAY(INT(B1322),2))="Sí",IF(D1322="proMX",COUNTIFS(FER_F,INT(B1322),FER_NLP,"Sí"),COUNTIFS(FER_F,INT(B1322),FER_NLM,"Sí"))=0),1,0),0)</f>
        <v>0</v>
      </c>
      <c r="AI1322" s="80">
        <f>IF(AC1322=1,IF(AND(INDEX(CFG_WDAYS,WEEKDAY(INT(B1322)+1,2))="Sí",IF(D1322="proMX",COUNTIFS(FER_F,INT(B1322)+1,FER_NLP,"Sí"),COUNTIFS(FER_F,INT(B1322)+1,FER_NLM,"Sí"))=0),1,0),0)</f>
        <v>0</v>
      </c>
      <c r="AJ1322" s="80">
        <f>IF(AC1322=1,1440-Z1322,AD1322)</f>
        <v>0</v>
      </c>
      <c r="AK1322" s="80">
        <f>IF(AND(AB1322=1,AH1322=1),MAX(0,MIN(IF(AC1322=1,1440,AA1322),CFG_WEM)-MAX(Z1322,CFG_WSM)),0)</f>
        <v>0</v>
      </c>
      <c r="AL1322" s="80">
        <f>IF(AND(AC1322=1,AI1322=1),MAX(0,MIN(AA1322,CFG_WEM)-CFG_WSM),0)</f>
        <v>0</v>
      </c>
      <c r="AM1322" s="80">
        <f>AK1322+AL1322</f>
        <v>0</v>
      </c>
      <c r="AN1322" s="80">
        <f>IF(CFG_BRK="Proporcional",IF(AD1322=0,0,AF1322*AM1322/AD1322),IF(CFG_BRK="Extras primero",MIN(AM1322,MAX(0,AF1322-(AD1322-AM1322))),MIN(AF1322,AM1322)))</f>
        <v>0</v>
      </c>
      <c r="AO1322" s="80">
        <f>AF1322-AN1322</f>
        <v>0</v>
      </c>
      <c r="AP1322" s="80">
        <f>AM1322-AN1322</f>
        <v>0</v>
      </c>
      <c r="AQ1322" s="80">
        <f>AD1322-AM1322-AO1322</f>
        <v>0</v>
      </c>
      <c r="AR1322" s="80">
        <f>IF(AM1322=0,0,AK1322-AN1322*AK1322/AM1322)</f>
        <v>0</v>
      </c>
      <c r="AS1322" s="80">
        <f>IF(AD1322-AM1322=0,0,(AJ1322-AK1322)-AO1322*(AJ1322-AK1322)/(AD1322-AM1322))</f>
        <v>0</v>
      </c>
      <c r="AT1322" s="80" t="str">
        <f>IF(AC1322=1,INT(B1322)+1,"")</f>
        <v/>
      </c>
      <c r="AU1322" s="80">
        <f>IF(AND(D1322="proMX",R1322="Cancelled"),0,1)</f>
        <v>1</v>
      </c>
      <c r="AV1322" s="80">
        <f>IF(AND(AB1322=1,AU1322=1),IF(COUNTIFS($D$5:D1321,D1322,$B$5:B1321,B1322,$Z$5:Z1321,Z1322,$AA$5:AA1321,AA1322,$F$5:F1321,F1322&amp;"",$AU$5:AU1321,1)&gt;0,1,0),0)</f>
        <v>0</v>
      </c>
      <c r="AW1322" s="80" t="str">
        <f>IF(AB1322=1,INT(B1322)*1440+Z1322,"")</f>
        <v/>
      </c>
      <c r="AX1322" s="80" t="str">
        <f>IF(AB1322=1,AW1322+AD1322,"")</f>
        <v/>
      </c>
      <c r="AY1322" s="80">
        <f>IF(AND(AB1322=1,AV1322=0,AU1322=1),1,0)</f>
        <v>0</v>
      </c>
      <c r="AZ1322" s="80">
        <f>IF(AY1322=1,COUNTIFS(R_Emp,D1322,R_SAbs,"&lt;"&amp;AX1322,R_EAbs,"&gt;"&amp;AW1322,R_OKey,1)-1,0)</f>
        <v>0</v>
      </c>
      <c r="BA1322" s="80">
        <f>IF(AY1322=1,COUNTIFS(R_Emp,"&lt;&gt;"&amp;D1322,R_SAbs,"&lt;"&amp;AX1322,R_EAbs,"&gt;"&amp;AW1322,R_OKey,1),0)</f>
        <v>0</v>
      </c>
      <c r="BB1322" s="80">
        <f>IF(AND(AB1322=1,D1322="proMX"),IF(AND(MOD(Z1322,CFG_BLK)=0,MOD(AA1322,CFG_BLK)=0,MOD(AG1322,CFG_BLK)=0,AG1322&gt;0),1,0),1)</f>
        <v>1</v>
      </c>
      <c r="BC1322" s="80" t="str">
        <f>IF(Y1322=0,"",IF(NOT(ISNUMBER(B1322)),"Falta fecha o fecha inválida",IF(D1322="","Falta empresa",IF(AND(D1322&lt;&gt;"Malcolm",D1322&lt;&gt;"proMX"),"Empresa inválida",IF(OR(INT(B1322)&lt;CFG_PSTART,INT(B1322)&gt;CFG_PEND),"Fecha fuera del período",IF(OR(NOT(ISNUMBER(Z1322)),NOT(ISNUMBER(AA1322))),"Falta hora inicio/fin o formato inválido",IF(AB1322=0,"Hora inicio = hora fin",IF(AE1322&lt;0,"Descanso inválido",IF(AE1322&gt;=AD1322,"Descanso ≥ duración",IF(AV1322=1,"Registro duplicado",IF(AZ1322&gt;0,"Se superpone con otro registro "&amp;D1322,IF(BB1322=0,"inicio, fin y duración neta deben ser múltiplos de "&amp;CFG_BLK&amp;" min",""))))))))))))</f>
        <v/>
      </c>
      <c r="BD1322" s="80">
        <f>IF(AND(Y1322=1,BC1322=""),1,0)</f>
        <v>0</v>
      </c>
      <c r="BE1322" s="80">
        <f>IF(AND(BD1322=1,AU1322=1),1,0)</f>
        <v>0</v>
      </c>
      <c r="BF1322" s="80" t="str">
        <f>IF(AND(D1322="proMX",BD1322=1),IF(R1322="","Draft",R1322),"")</f>
        <v/>
      </c>
      <c r="BG1322" s="80">
        <f>IF(BD1322=1,ROUND(AG1322/60,6),0)</f>
        <v>0</v>
      </c>
      <c r="BH1322" s="80">
        <f>IF(BE1322=1,ROUND(AG1322/60,6),0)</f>
        <v>0</v>
      </c>
      <c r="BI1322" s="80">
        <f>IF(BE1322=1,ROUND(AP1322/60,6),0)</f>
        <v>0</v>
      </c>
      <c r="BJ1322" s="80">
        <f>IF(BE1322=1,ROUND(AQ1322/60,6),0)</f>
        <v>0</v>
      </c>
      <c r="BK1322" s="80">
        <f>IF(BE1322=1,ROUND((AR1322+AS1322)/60,6),0)</f>
        <v>0</v>
      </c>
      <c r="BL1322" s="80">
        <f>ROUND(BH1322-BK1322,6)</f>
        <v>0</v>
      </c>
      <c r="BM1322" s="80">
        <f>IF(BE1322=1,ROUND(AR1322/60,6),0)</f>
        <v>0</v>
      </c>
      <c r="BN1322" s="80">
        <f>ROUND(BI1322-BM1322,6)</f>
        <v>0</v>
      </c>
      <c r="BO1322" s="80">
        <f>IF(BE1322=1,ROUND(AS1322/60,6),0)</f>
        <v>0</v>
      </c>
      <c r="BP1322" s="80">
        <f>ROUND(BJ1322-BO1322,6)</f>
        <v>0</v>
      </c>
      <c r="BQ1322" s="80">
        <f>IF(BE1322=1,AW1322,0)</f>
        <v>0</v>
      </c>
      <c r="BR1322" s="80">
        <f>IF(BE1322=1,AX1322,0)</f>
        <v>0</v>
      </c>
      <c r="BS1322" s="80">
        <f>IF(AND(BE1322=1,D1322="Malcolm",BA1322&gt;0),MIN(BH1322,SUMPRODUCT((R_Emp="proMX")*(R_EN&gt;0)*((R_EN-(R_EN&gt;BR1322)*(R_EN-BR1322))&gt;(R_SN+(R_SN&lt;BQ1322)*(BQ1322-R_SN)))*((R_EN-(R_EN&gt;BR1322)*(R_EN-BR1322))-(R_SN+(R_SN&lt;BQ1322)*(BQ1322-R_SN))))/60),0)</f>
        <v>0</v>
      </c>
      <c r="BT1322" s="80">
        <f>IF(AND(BE1322=1,D1322="proMX"),ROUND(BI1322*CFG_RATE+BJ1322*CFG_OTRATE,6),0)</f>
        <v>0</v>
      </c>
      <c r="BU1322" s="80">
        <f>IF(AND(BD1322=1,D1322="proMX"),ROUND(AG1322/CFG_BLK,6),0)</f>
        <v>0</v>
      </c>
      <c r="BV1322" s="80" t="str">
        <f>IF(BF1322="Approved",IF(ISNUMBER(T1322),INT(T1322),INT(B1322)),"")</f>
        <v/>
      </c>
      <c r="BW1322" s="80">
        <f>IF(ISNUMBER(B1322),IF(DB_MON="Todos",1,IF(AND(INT(B1322)&gt;=DB_MS,INT(B1322)&lt;=DB_ME),1,0)),0)</f>
        <v>0</v>
      </c>
      <c r="BX1322" s="80">
        <f>IF(DB_PROJ="Todos",1,IF(E1322&amp;""=DB_PROJ&amp;"",1,0))</f>
        <v>1</v>
      </c>
      <c r="BY1322" s="80">
        <f>BW1322*BX1322</f>
        <v>0</v>
      </c>
      <c r="BZ1322" s="80" t="str">
        <f>IF(Y1322=1,F1322&amp;IF(AND(F1322&amp;""&lt;&gt;"",E1322&amp;""&lt;&gt;"")," · ","")&amp;E1322,"")</f>
        <v/>
      </c>
      <c r="CA1322" s="80" t="str">
        <f>IF(AND(BD1322=1,E1322&amp;""&lt;&gt;""),IF(COUNTIFS($E$5:E1321,E1322,$BD$5:BD1321,1)=0,MAX($CA$5:CA1321)+1,""),"")</f>
        <v/>
      </c>
      <c r="CB1322" s="80" t="str">
        <f>IF(AND(BE1322=1,D1322="Malcolm",E1322&amp;""&lt;&gt;""),IF(COUNTIFS($D$5:D1321,"Malcolm",$E$5:E1321,E1322,$BE$5:BE1321,1)=0,MAX($CB$5:CB1321)+1,""),"")</f>
        <v/>
      </c>
      <c r="CC1322" s="80" t="str">
        <f>IF(AND(BD1322=1,D1322="proMX",E1322&amp;""&lt;&gt;""),IF(COUNTIFS($D$5:D1321,"proMX",$E$5:E1321,E1322,$BD$5:BD1321,1)=0,MAX($CC$5:CC1321)+1,""),"")</f>
        <v/>
      </c>
      <c r="CD1322" s="80" t="str">
        <f>IF(AND(BE1322=1,D1322="Malcolm",F1322&amp;""&lt;&gt;""),IF(COUNTIFS($D$5:D1321,"Malcolm",$F$5:F1321,F1322,$BE$5:BE1321,1)=0,MAX($CD$5:CD1321)+1,""),"")</f>
        <v/>
      </c>
      <c r="CE1322" s="80" t="str">
        <f>IF(AND(BD1322=1,D1322="proMX",F1322&amp;""&lt;&gt;""),IF(COUNTIFS($D$5:D1321,"proMX",$F$5:F1321,F1322,$BD$5:BD1321,1)=0,MAX($CE$5:CE1321)+1,""),"")</f>
        <v/>
      </c>
      <c r="CF1322" s="80" t="str">
        <f>IF(AND(D1322="proMX",BD1322=1),IF(OR(BF1322="Draft",BF1322="Submitted",BF1322="Returned",BF1322="Recall Requested"),MAX($CF$5:CF1321)+1,""),"")</f>
        <v/>
      </c>
      <c r="CG1322" s="80">
        <f>IF(BD1322=0,0,IF(D1322="Malcolm",1,MATCH(BF1322,{"Draft","Submitted","Approved","Returned","Recall Requested","Cancelled"},0)+1))</f>
        <v>0</v>
      </c>
      <c r="CH1322" s="80">
        <f>IF(AND(BF1322="Submitted",ISNUMBER(V1322)),IF(V1322&gt;CFG_MAXD,1,0),0)</f>
        <v>0</v>
      </c>
    </row>
    <row r="1323">
      <c r="A1323" s="71" t="str">
        <f>IF(Y1323=1,ROW()-5,"")</f>
        <v/>
      </c>
      <c r="B1323" s="72" t="n"/>
      <c r="C1323" s="71" t="str">
        <f>IF(ISNUMBER(B1323),CHOOSE(WEEKDAY(B1323,2),"Lun","Mar","Mié","Jue","Vie","Sáb","Dom"),"")</f>
        <v/>
      </c>
      <c r="D1323" s="73" t="n"/>
      <c r="E1323" s="74" t="n"/>
      <c r="F1323" s="74" t="n"/>
      <c r="G1323" s="74" t="n"/>
      <c r="H1323" s="75" t="n"/>
      <c r="I1323" s="75" t="n"/>
      <c r="J1323" s="76" t="n"/>
      <c r="K1323" s="77" t="str">
        <f>IF(AB1323=1,ROUND(AG1323/60,4),"")</f>
        <v/>
      </c>
      <c r="L1323" s="77" t="str">
        <f>IF(BD1323=1,ROUND(AP1323/60,4),"")</f>
        <v/>
      </c>
      <c r="M1323" s="77" t="str">
        <f>IF(BD1323=1,ROUND(AQ1323/60,4),"")</f>
        <v/>
      </c>
      <c r="N1323" s="71" t="str">
        <f>IF(AND(D1323="proMX",AB1323=1),ROUND(AG1323/CFG_BLK,2),"")</f>
        <v/>
      </c>
      <c r="O1323" s="77" t="str">
        <f>IF(D1323="proMX",IF(BD1323=1,ROUND(AG1323/60,4),0),"")</f>
        <v/>
      </c>
      <c r="P1323" s="78" t="str">
        <f>IF(Y1323=0,"",IF(BD1323=1,"OK",IF(D1323="proMX","Revisar bloques: ","Revisar: ")&amp;BC1323))</f>
        <v/>
      </c>
      <c r="Q1323" s="78" t="str">
        <f>IF(NOT(ISNUMBER(B1323)),"",IF(COUNTIFS(FER_F,INT(B1323))&gt;0,"Feriado"&amp;IF(AH1323=1," (laborable)"," (no laborable)"),IF(AH1323=1,"Laborable",IF(WEEKDAY(B1323,2)&gt;5,"Fin de semana","No laborable"))))</f>
        <v/>
      </c>
      <c r="R1323" s="73" t="n"/>
      <c r="S1323" s="72" t="n"/>
      <c r="T1323" s="72" t="n"/>
      <c r="U1323" s="74" t="n"/>
      <c r="V1323" s="79" t="str">
        <f>IF(AND(D1323="proMX",OR(R1323="Submitted",R1323="Recall Requested"),ISNUMBER(S1323)),CFG_TODAY-INT(S1323),"")</f>
        <v/>
      </c>
      <c r="W1323" s="78" t="str">
        <f>IF(BD1323=0,"",IF(BA1323&gt;0,"⚠ Se superpone con un registro de la otra empresa",IF(D1323="Malcolm",IF(COUNTA(R1323,S1323,T1323)&gt;0,"Estado/fechas proMX se ignoran en Malcolm",""),IF(BF1323="Cancelled","Cancelado: excluido de totales",IF(R1323="","Sin estado: se trata como Draft",IF(BF1323="Submitted",IF(ISNUMBER(V1323),IF(V1323&gt;CFG_MAXD,"⚠ "&amp;V1323&amp;" días en Submitted (máx. "&amp;CFG_MAXD&amp;")",""),"Falta fecha de envío"),IF(BF1323="Returned","⚠ Devuelto: corregir y reenviar",IF(BF1323="Recall Requested","Retirada solicitada: pendiente",IF(AND(BF1323="Approved",NOT(ISNUMBER(T1323))),"Falta fecha de aprobación",IF(AND(ISNUMBER(S1323),ISNUMBER(T1323),T1323&lt;S1323),"Aprobación anterior al envío","")))))))))</f>
        <v/>
      </c>
      <c r="Y1323" s="80">
        <f>IF(COUNTA(B1323,D1323,E1323,F1323,G1323,H1323,I1323,J1323,R1323,S1323,T1323)&gt;0,1,0)</f>
        <v>0</v>
      </c>
      <c r="Z1323" s="80" t="str">
        <f>IF(AND(ISNUMBER(H1323),H1323&gt;=0,H1323&lt;1),ROUND(H1323*1440,0),"")</f>
        <v/>
      </c>
      <c r="AA1323" s="80" t="str">
        <f>IF(AND(ISNUMBER(I1323),I1323&gt;=0,I1323&lt;1),ROUND(I1323*1440,0),"")</f>
        <v/>
      </c>
      <c r="AB1323" s="80">
        <f>IF(AND(ISNUMBER(B1323),D1323&lt;&gt;"",ISNUMBER(Z1323),ISNUMBER(AA1323)),IF(Z1323=AA1323,0,1),0)</f>
        <v>0</v>
      </c>
      <c r="AC1323" s="80">
        <f>IF(AB1323=1,IF(AA1323&lt;Z1323,1,0),0)</f>
        <v>0</v>
      </c>
      <c r="AD1323" s="80">
        <f>IF(AB1323=1,IF(AC1323=1,1440-Z1323+AA1323,AA1323-Z1323),0)</f>
        <v>0</v>
      </c>
      <c r="AE1323" s="80">
        <f>IF(J1323="",0,IF(ISNUMBER(J1323),J1323,-1))</f>
        <v>0</v>
      </c>
      <c r="AF1323" s="80">
        <f>MIN(MAX(0,AE1323),AD1323)</f>
        <v>0</v>
      </c>
      <c r="AG1323" s="80">
        <f>MAX(0,AD1323-MAX(0,AE1323))</f>
        <v>0</v>
      </c>
      <c r="AH1323" s="80">
        <f>IF(ISNUMBER(B1323),IF(AND(INDEX(CFG_WDAYS,WEEKDAY(INT(B1323),2))="Sí",IF(D1323="proMX",COUNTIFS(FER_F,INT(B1323),FER_NLP,"Sí"),COUNTIFS(FER_F,INT(B1323),FER_NLM,"Sí"))=0),1,0),0)</f>
        <v>0</v>
      </c>
      <c r="AI1323" s="80">
        <f>IF(AC1323=1,IF(AND(INDEX(CFG_WDAYS,WEEKDAY(INT(B1323)+1,2))="Sí",IF(D1323="proMX",COUNTIFS(FER_F,INT(B1323)+1,FER_NLP,"Sí"),COUNTIFS(FER_F,INT(B1323)+1,FER_NLM,"Sí"))=0),1,0),0)</f>
        <v>0</v>
      </c>
      <c r="AJ1323" s="80">
        <f>IF(AC1323=1,1440-Z1323,AD1323)</f>
        <v>0</v>
      </c>
      <c r="AK1323" s="80">
        <f>IF(AND(AB1323=1,AH1323=1),MAX(0,MIN(IF(AC1323=1,1440,AA1323),CFG_WEM)-MAX(Z1323,CFG_WSM)),0)</f>
        <v>0</v>
      </c>
      <c r="AL1323" s="80">
        <f>IF(AND(AC1323=1,AI1323=1),MAX(0,MIN(AA1323,CFG_WEM)-CFG_WSM),0)</f>
        <v>0</v>
      </c>
      <c r="AM1323" s="80">
        <f>AK1323+AL1323</f>
        <v>0</v>
      </c>
      <c r="AN1323" s="80">
        <f>IF(CFG_BRK="Proporcional",IF(AD1323=0,0,AF1323*AM1323/AD1323),IF(CFG_BRK="Extras primero",MIN(AM1323,MAX(0,AF1323-(AD1323-AM1323))),MIN(AF1323,AM1323)))</f>
        <v>0</v>
      </c>
      <c r="AO1323" s="80">
        <f>AF1323-AN1323</f>
        <v>0</v>
      </c>
      <c r="AP1323" s="80">
        <f>AM1323-AN1323</f>
        <v>0</v>
      </c>
      <c r="AQ1323" s="80">
        <f>AD1323-AM1323-AO1323</f>
        <v>0</v>
      </c>
      <c r="AR1323" s="80">
        <f>IF(AM1323=0,0,AK1323-AN1323*AK1323/AM1323)</f>
        <v>0</v>
      </c>
      <c r="AS1323" s="80">
        <f>IF(AD1323-AM1323=0,0,(AJ1323-AK1323)-AO1323*(AJ1323-AK1323)/(AD1323-AM1323))</f>
        <v>0</v>
      </c>
      <c r="AT1323" s="80" t="str">
        <f>IF(AC1323=1,INT(B1323)+1,"")</f>
        <v/>
      </c>
      <c r="AU1323" s="80">
        <f>IF(AND(D1323="proMX",R1323="Cancelled"),0,1)</f>
        <v>1</v>
      </c>
      <c r="AV1323" s="80">
        <f>IF(AND(AB1323=1,AU1323=1),IF(COUNTIFS($D$5:D1322,D1323,$B$5:B1322,B1323,$Z$5:Z1322,Z1323,$AA$5:AA1322,AA1323,$F$5:F1322,F1323&amp;"",$AU$5:AU1322,1)&gt;0,1,0),0)</f>
        <v>0</v>
      </c>
      <c r="AW1323" s="80" t="str">
        <f>IF(AB1323=1,INT(B1323)*1440+Z1323,"")</f>
        <v/>
      </c>
      <c r="AX1323" s="80" t="str">
        <f>IF(AB1323=1,AW1323+AD1323,"")</f>
        <v/>
      </c>
      <c r="AY1323" s="80">
        <f>IF(AND(AB1323=1,AV1323=0,AU1323=1),1,0)</f>
        <v>0</v>
      </c>
      <c r="AZ1323" s="80">
        <f>IF(AY1323=1,COUNTIFS(R_Emp,D1323,R_SAbs,"&lt;"&amp;AX1323,R_EAbs,"&gt;"&amp;AW1323,R_OKey,1)-1,0)</f>
        <v>0</v>
      </c>
      <c r="BA1323" s="80">
        <f>IF(AY1323=1,COUNTIFS(R_Emp,"&lt;&gt;"&amp;D1323,R_SAbs,"&lt;"&amp;AX1323,R_EAbs,"&gt;"&amp;AW1323,R_OKey,1),0)</f>
        <v>0</v>
      </c>
      <c r="BB1323" s="80">
        <f>IF(AND(AB1323=1,D1323="proMX"),IF(AND(MOD(Z1323,CFG_BLK)=0,MOD(AA1323,CFG_BLK)=0,MOD(AG1323,CFG_BLK)=0,AG1323&gt;0),1,0),1)</f>
        <v>1</v>
      </c>
      <c r="BC1323" s="80" t="str">
        <f>IF(Y1323=0,"",IF(NOT(ISNUMBER(B1323)),"Falta fecha o fecha inválida",IF(D1323="","Falta empresa",IF(AND(D1323&lt;&gt;"Malcolm",D1323&lt;&gt;"proMX"),"Empresa inválida",IF(OR(INT(B1323)&lt;CFG_PSTART,INT(B1323)&gt;CFG_PEND),"Fecha fuera del período",IF(OR(NOT(ISNUMBER(Z1323)),NOT(ISNUMBER(AA1323))),"Falta hora inicio/fin o formato inválido",IF(AB1323=0,"Hora inicio = hora fin",IF(AE1323&lt;0,"Descanso inválido",IF(AE1323&gt;=AD1323,"Descanso ≥ duración",IF(AV1323=1,"Registro duplicado",IF(AZ1323&gt;0,"Se superpone con otro registro "&amp;D1323,IF(BB1323=0,"inicio, fin y duración neta deben ser múltiplos de "&amp;CFG_BLK&amp;" min",""))))))))))))</f>
        <v/>
      </c>
      <c r="BD1323" s="80">
        <f>IF(AND(Y1323=1,BC1323=""),1,0)</f>
        <v>0</v>
      </c>
      <c r="BE1323" s="80">
        <f>IF(AND(BD1323=1,AU1323=1),1,0)</f>
        <v>0</v>
      </c>
      <c r="BF1323" s="80" t="str">
        <f>IF(AND(D1323="proMX",BD1323=1),IF(R1323="","Draft",R1323),"")</f>
        <v/>
      </c>
      <c r="BG1323" s="80">
        <f>IF(BD1323=1,ROUND(AG1323/60,6),0)</f>
        <v>0</v>
      </c>
      <c r="BH1323" s="80">
        <f>IF(BE1323=1,ROUND(AG1323/60,6),0)</f>
        <v>0</v>
      </c>
      <c r="BI1323" s="80">
        <f>IF(BE1323=1,ROUND(AP1323/60,6),0)</f>
        <v>0</v>
      </c>
      <c r="BJ1323" s="80">
        <f>IF(BE1323=1,ROUND(AQ1323/60,6),0)</f>
        <v>0</v>
      </c>
      <c r="BK1323" s="80">
        <f>IF(BE1323=1,ROUND((AR1323+AS1323)/60,6),0)</f>
        <v>0</v>
      </c>
      <c r="BL1323" s="80">
        <f>ROUND(BH1323-BK1323,6)</f>
        <v>0</v>
      </c>
      <c r="BM1323" s="80">
        <f>IF(BE1323=1,ROUND(AR1323/60,6),0)</f>
        <v>0</v>
      </c>
      <c r="BN1323" s="80">
        <f>ROUND(BI1323-BM1323,6)</f>
        <v>0</v>
      </c>
      <c r="BO1323" s="80">
        <f>IF(BE1323=1,ROUND(AS1323/60,6),0)</f>
        <v>0</v>
      </c>
      <c r="BP1323" s="80">
        <f>ROUND(BJ1323-BO1323,6)</f>
        <v>0</v>
      </c>
      <c r="BQ1323" s="80">
        <f>IF(BE1323=1,AW1323,0)</f>
        <v>0</v>
      </c>
      <c r="BR1323" s="80">
        <f>IF(BE1323=1,AX1323,0)</f>
        <v>0</v>
      </c>
      <c r="BS1323" s="80">
        <f>IF(AND(BE1323=1,D1323="Malcolm",BA1323&gt;0),MIN(BH1323,SUMPRODUCT((R_Emp="proMX")*(R_EN&gt;0)*((R_EN-(R_EN&gt;BR1323)*(R_EN-BR1323))&gt;(R_SN+(R_SN&lt;BQ1323)*(BQ1323-R_SN)))*((R_EN-(R_EN&gt;BR1323)*(R_EN-BR1323))-(R_SN+(R_SN&lt;BQ1323)*(BQ1323-R_SN))))/60),0)</f>
        <v>0</v>
      </c>
      <c r="BT1323" s="80">
        <f>IF(AND(BE1323=1,D1323="proMX"),ROUND(BI1323*CFG_RATE+BJ1323*CFG_OTRATE,6),0)</f>
        <v>0</v>
      </c>
      <c r="BU1323" s="80">
        <f>IF(AND(BD1323=1,D1323="proMX"),ROUND(AG1323/CFG_BLK,6),0)</f>
        <v>0</v>
      </c>
      <c r="BV1323" s="80" t="str">
        <f>IF(BF1323="Approved",IF(ISNUMBER(T1323),INT(T1323),INT(B1323)),"")</f>
        <v/>
      </c>
      <c r="BW1323" s="80">
        <f>IF(ISNUMBER(B1323),IF(DB_MON="Todos",1,IF(AND(INT(B1323)&gt;=DB_MS,INT(B1323)&lt;=DB_ME),1,0)),0)</f>
        <v>0</v>
      </c>
      <c r="BX1323" s="80">
        <f>IF(DB_PROJ="Todos",1,IF(E1323&amp;""=DB_PROJ&amp;"",1,0))</f>
        <v>1</v>
      </c>
      <c r="BY1323" s="80">
        <f>BW1323*BX1323</f>
        <v>0</v>
      </c>
      <c r="BZ1323" s="80" t="str">
        <f>IF(Y1323=1,F1323&amp;IF(AND(F1323&amp;""&lt;&gt;"",E1323&amp;""&lt;&gt;"")," · ","")&amp;E1323,"")</f>
        <v/>
      </c>
      <c r="CA1323" s="80" t="str">
        <f>IF(AND(BD1323=1,E1323&amp;""&lt;&gt;""),IF(COUNTIFS($E$5:E1322,E1323,$BD$5:BD1322,1)=0,MAX($CA$5:CA1322)+1,""),"")</f>
        <v/>
      </c>
      <c r="CB1323" s="80" t="str">
        <f>IF(AND(BE1323=1,D1323="Malcolm",E1323&amp;""&lt;&gt;""),IF(COUNTIFS($D$5:D1322,"Malcolm",$E$5:E1322,E1323,$BE$5:BE1322,1)=0,MAX($CB$5:CB1322)+1,""),"")</f>
        <v/>
      </c>
      <c r="CC1323" s="80" t="str">
        <f>IF(AND(BD1323=1,D1323="proMX",E1323&amp;""&lt;&gt;""),IF(COUNTIFS($D$5:D1322,"proMX",$E$5:E1322,E1323,$BD$5:BD1322,1)=0,MAX($CC$5:CC1322)+1,""),"")</f>
        <v/>
      </c>
      <c r="CD1323" s="80" t="str">
        <f>IF(AND(BE1323=1,D1323="Malcolm",F1323&amp;""&lt;&gt;""),IF(COUNTIFS($D$5:D1322,"Malcolm",$F$5:F1322,F1323,$BE$5:BE1322,1)=0,MAX($CD$5:CD1322)+1,""),"")</f>
        <v/>
      </c>
      <c r="CE1323" s="80" t="str">
        <f>IF(AND(BD1323=1,D1323="proMX",F1323&amp;""&lt;&gt;""),IF(COUNTIFS($D$5:D1322,"proMX",$F$5:F1322,F1323,$BD$5:BD1322,1)=0,MAX($CE$5:CE1322)+1,""),"")</f>
        <v/>
      </c>
      <c r="CF1323" s="80" t="str">
        <f>IF(AND(D1323="proMX",BD1323=1),IF(OR(BF1323="Draft",BF1323="Submitted",BF1323="Returned",BF1323="Recall Requested"),MAX($CF$5:CF1322)+1,""),"")</f>
        <v/>
      </c>
      <c r="CG1323" s="80">
        <f>IF(BD1323=0,0,IF(D1323="Malcolm",1,MATCH(BF1323,{"Draft","Submitted","Approved","Returned","Recall Requested","Cancelled"},0)+1))</f>
        <v>0</v>
      </c>
      <c r="CH1323" s="80">
        <f>IF(AND(BF1323="Submitted",ISNUMBER(V1323)),IF(V1323&gt;CFG_MAXD,1,0),0)</f>
        <v>0</v>
      </c>
    </row>
    <row r="1324">
      <c r="A1324" s="71" t="str">
        <f>IF(Y1324=1,ROW()-5,"")</f>
        <v/>
      </c>
      <c r="B1324" s="72" t="n"/>
      <c r="C1324" s="71" t="str">
        <f>IF(ISNUMBER(B1324),CHOOSE(WEEKDAY(B1324,2),"Lun","Mar","Mié","Jue","Vie","Sáb","Dom"),"")</f>
        <v/>
      </c>
      <c r="D1324" s="73" t="n"/>
      <c r="E1324" s="74" t="n"/>
      <c r="F1324" s="74" t="n"/>
      <c r="G1324" s="74" t="n"/>
      <c r="H1324" s="75" t="n"/>
      <c r="I1324" s="75" t="n"/>
      <c r="J1324" s="76" t="n"/>
      <c r="K1324" s="77" t="str">
        <f>IF(AB1324=1,ROUND(AG1324/60,4),"")</f>
        <v/>
      </c>
      <c r="L1324" s="77" t="str">
        <f>IF(BD1324=1,ROUND(AP1324/60,4),"")</f>
        <v/>
      </c>
      <c r="M1324" s="77" t="str">
        <f>IF(BD1324=1,ROUND(AQ1324/60,4),"")</f>
        <v/>
      </c>
      <c r="N1324" s="71" t="str">
        <f>IF(AND(D1324="proMX",AB1324=1),ROUND(AG1324/CFG_BLK,2),"")</f>
        <v/>
      </c>
      <c r="O1324" s="77" t="str">
        <f>IF(D1324="proMX",IF(BD1324=1,ROUND(AG1324/60,4),0),"")</f>
        <v/>
      </c>
      <c r="P1324" s="78" t="str">
        <f>IF(Y1324=0,"",IF(BD1324=1,"OK",IF(D1324="proMX","Revisar bloques: ","Revisar: ")&amp;BC1324))</f>
        <v/>
      </c>
      <c r="Q1324" s="78" t="str">
        <f>IF(NOT(ISNUMBER(B1324)),"",IF(COUNTIFS(FER_F,INT(B1324))&gt;0,"Feriado"&amp;IF(AH1324=1," (laborable)"," (no laborable)"),IF(AH1324=1,"Laborable",IF(WEEKDAY(B1324,2)&gt;5,"Fin de semana","No laborable"))))</f>
        <v/>
      </c>
      <c r="R1324" s="73" t="n"/>
      <c r="S1324" s="72" t="n"/>
      <c r="T1324" s="72" t="n"/>
      <c r="U1324" s="74" t="n"/>
      <c r="V1324" s="79" t="str">
        <f>IF(AND(D1324="proMX",OR(R1324="Submitted",R1324="Recall Requested"),ISNUMBER(S1324)),CFG_TODAY-INT(S1324),"")</f>
        <v/>
      </c>
      <c r="W1324" s="78" t="str">
        <f>IF(BD1324=0,"",IF(BA1324&gt;0,"⚠ Se superpone con un registro de la otra empresa",IF(D1324="Malcolm",IF(COUNTA(R1324,S1324,T1324)&gt;0,"Estado/fechas proMX se ignoran en Malcolm",""),IF(BF1324="Cancelled","Cancelado: excluido de totales",IF(R1324="","Sin estado: se trata como Draft",IF(BF1324="Submitted",IF(ISNUMBER(V1324),IF(V1324&gt;CFG_MAXD,"⚠ "&amp;V1324&amp;" días en Submitted (máx. "&amp;CFG_MAXD&amp;")",""),"Falta fecha de envío"),IF(BF1324="Returned","⚠ Devuelto: corregir y reenviar",IF(BF1324="Recall Requested","Retirada solicitada: pendiente",IF(AND(BF1324="Approved",NOT(ISNUMBER(T1324))),"Falta fecha de aprobación",IF(AND(ISNUMBER(S1324),ISNUMBER(T1324),T1324&lt;S1324),"Aprobación anterior al envío","")))))))))</f>
        <v/>
      </c>
      <c r="Y1324" s="80">
        <f>IF(COUNTA(B1324,D1324,E1324,F1324,G1324,H1324,I1324,J1324,R1324,S1324,T1324)&gt;0,1,0)</f>
        <v>0</v>
      </c>
      <c r="Z1324" s="80" t="str">
        <f>IF(AND(ISNUMBER(H1324),H1324&gt;=0,H1324&lt;1),ROUND(H1324*1440,0),"")</f>
        <v/>
      </c>
      <c r="AA1324" s="80" t="str">
        <f>IF(AND(ISNUMBER(I1324),I1324&gt;=0,I1324&lt;1),ROUND(I1324*1440,0),"")</f>
        <v/>
      </c>
      <c r="AB1324" s="80">
        <f>IF(AND(ISNUMBER(B1324),D1324&lt;&gt;"",ISNUMBER(Z1324),ISNUMBER(AA1324)),IF(Z1324=AA1324,0,1),0)</f>
        <v>0</v>
      </c>
      <c r="AC1324" s="80">
        <f>IF(AB1324=1,IF(AA1324&lt;Z1324,1,0),0)</f>
        <v>0</v>
      </c>
      <c r="AD1324" s="80">
        <f>IF(AB1324=1,IF(AC1324=1,1440-Z1324+AA1324,AA1324-Z1324),0)</f>
        <v>0</v>
      </c>
      <c r="AE1324" s="80">
        <f>IF(J1324="",0,IF(ISNUMBER(J1324),J1324,-1))</f>
        <v>0</v>
      </c>
      <c r="AF1324" s="80">
        <f>MIN(MAX(0,AE1324),AD1324)</f>
        <v>0</v>
      </c>
      <c r="AG1324" s="80">
        <f>MAX(0,AD1324-MAX(0,AE1324))</f>
        <v>0</v>
      </c>
      <c r="AH1324" s="80">
        <f>IF(ISNUMBER(B1324),IF(AND(INDEX(CFG_WDAYS,WEEKDAY(INT(B1324),2))="Sí",IF(D1324="proMX",COUNTIFS(FER_F,INT(B1324),FER_NLP,"Sí"),COUNTIFS(FER_F,INT(B1324),FER_NLM,"Sí"))=0),1,0),0)</f>
        <v>0</v>
      </c>
      <c r="AI1324" s="80">
        <f>IF(AC1324=1,IF(AND(INDEX(CFG_WDAYS,WEEKDAY(INT(B1324)+1,2))="Sí",IF(D1324="proMX",COUNTIFS(FER_F,INT(B1324)+1,FER_NLP,"Sí"),COUNTIFS(FER_F,INT(B1324)+1,FER_NLM,"Sí"))=0),1,0),0)</f>
        <v>0</v>
      </c>
      <c r="AJ1324" s="80">
        <f>IF(AC1324=1,1440-Z1324,AD1324)</f>
        <v>0</v>
      </c>
      <c r="AK1324" s="80">
        <f>IF(AND(AB1324=1,AH1324=1),MAX(0,MIN(IF(AC1324=1,1440,AA1324),CFG_WEM)-MAX(Z1324,CFG_WSM)),0)</f>
        <v>0</v>
      </c>
      <c r="AL1324" s="80">
        <f>IF(AND(AC1324=1,AI1324=1),MAX(0,MIN(AA1324,CFG_WEM)-CFG_WSM),0)</f>
        <v>0</v>
      </c>
      <c r="AM1324" s="80">
        <f>AK1324+AL1324</f>
        <v>0</v>
      </c>
      <c r="AN1324" s="80">
        <f>IF(CFG_BRK="Proporcional",IF(AD1324=0,0,AF1324*AM1324/AD1324),IF(CFG_BRK="Extras primero",MIN(AM1324,MAX(0,AF1324-(AD1324-AM1324))),MIN(AF1324,AM1324)))</f>
        <v>0</v>
      </c>
      <c r="AO1324" s="80">
        <f>AF1324-AN1324</f>
        <v>0</v>
      </c>
      <c r="AP1324" s="80">
        <f>AM1324-AN1324</f>
        <v>0</v>
      </c>
      <c r="AQ1324" s="80">
        <f>AD1324-AM1324-AO1324</f>
        <v>0</v>
      </c>
      <c r="AR1324" s="80">
        <f>IF(AM1324=0,0,AK1324-AN1324*AK1324/AM1324)</f>
        <v>0</v>
      </c>
      <c r="AS1324" s="80">
        <f>IF(AD1324-AM1324=0,0,(AJ1324-AK1324)-AO1324*(AJ1324-AK1324)/(AD1324-AM1324))</f>
        <v>0</v>
      </c>
      <c r="AT1324" s="80" t="str">
        <f>IF(AC1324=1,INT(B1324)+1,"")</f>
        <v/>
      </c>
      <c r="AU1324" s="80">
        <f>IF(AND(D1324="proMX",R1324="Cancelled"),0,1)</f>
        <v>1</v>
      </c>
      <c r="AV1324" s="80">
        <f>IF(AND(AB1324=1,AU1324=1),IF(COUNTIFS($D$5:D1323,D1324,$B$5:B1323,B1324,$Z$5:Z1323,Z1324,$AA$5:AA1323,AA1324,$F$5:F1323,F1324&amp;"",$AU$5:AU1323,1)&gt;0,1,0),0)</f>
        <v>0</v>
      </c>
      <c r="AW1324" s="80" t="str">
        <f>IF(AB1324=1,INT(B1324)*1440+Z1324,"")</f>
        <v/>
      </c>
      <c r="AX1324" s="80" t="str">
        <f>IF(AB1324=1,AW1324+AD1324,"")</f>
        <v/>
      </c>
      <c r="AY1324" s="80">
        <f>IF(AND(AB1324=1,AV1324=0,AU1324=1),1,0)</f>
        <v>0</v>
      </c>
      <c r="AZ1324" s="80">
        <f>IF(AY1324=1,COUNTIFS(R_Emp,D1324,R_SAbs,"&lt;"&amp;AX1324,R_EAbs,"&gt;"&amp;AW1324,R_OKey,1)-1,0)</f>
        <v>0</v>
      </c>
      <c r="BA1324" s="80">
        <f>IF(AY1324=1,COUNTIFS(R_Emp,"&lt;&gt;"&amp;D1324,R_SAbs,"&lt;"&amp;AX1324,R_EAbs,"&gt;"&amp;AW1324,R_OKey,1),0)</f>
        <v>0</v>
      </c>
      <c r="BB1324" s="80">
        <f>IF(AND(AB1324=1,D1324="proMX"),IF(AND(MOD(Z1324,CFG_BLK)=0,MOD(AA1324,CFG_BLK)=0,MOD(AG1324,CFG_BLK)=0,AG1324&gt;0),1,0),1)</f>
        <v>1</v>
      </c>
      <c r="BC1324" s="80" t="str">
        <f>IF(Y1324=0,"",IF(NOT(ISNUMBER(B1324)),"Falta fecha o fecha inválida",IF(D1324="","Falta empresa",IF(AND(D1324&lt;&gt;"Malcolm",D1324&lt;&gt;"proMX"),"Empresa inválida",IF(OR(INT(B1324)&lt;CFG_PSTART,INT(B1324)&gt;CFG_PEND),"Fecha fuera del período",IF(OR(NOT(ISNUMBER(Z1324)),NOT(ISNUMBER(AA1324))),"Falta hora inicio/fin o formato inválido",IF(AB1324=0,"Hora inicio = hora fin",IF(AE1324&lt;0,"Descanso inválido",IF(AE1324&gt;=AD1324,"Descanso ≥ duración",IF(AV1324=1,"Registro duplicado",IF(AZ1324&gt;0,"Se superpone con otro registro "&amp;D1324,IF(BB1324=0,"inicio, fin y duración neta deben ser múltiplos de "&amp;CFG_BLK&amp;" min",""))))))))))))</f>
        <v/>
      </c>
      <c r="BD1324" s="80">
        <f>IF(AND(Y1324=1,BC1324=""),1,0)</f>
        <v>0</v>
      </c>
      <c r="BE1324" s="80">
        <f>IF(AND(BD1324=1,AU1324=1),1,0)</f>
        <v>0</v>
      </c>
      <c r="BF1324" s="80" t="str">
        <f>IF(AND(D1324="proMX",BD1324=1),IF(R1324="","Draft",R1324),"")</f>
        <v/>
      </c>
      <c r="BG1324" s="80">
        <f>IF(BD1324=1,ROUND(AG1324/60,6),0)</f>
        <v>0</v>
      </c>
      <c r="BH1324" s="80">
        <f>IF(BE1324=1,ROUND(AG1324/60,6),0)</f>
        <v>0</v>
      </c>
      <c r="BI1324" s="80">
        <f>IF(BE1324=1,ROUND(AP1324/60,6),0)</f>
        <v>0</v>
      </c>
      <c r="BJ1324" s="80">
        <f>IF(BE1324=1,ROUND(AQ1324/60,6),0)</f>
        <v>0</v>
      </c>
      <c r="BK1324" s="80">
        <f>IF(BE1324=1,ROUND((AR1324+AS1324)/60,6),0)</f>
        <v>0</v>
      </c>
      <c r="BL1324" s="80">
        <f>ROUND(BH1324-BK1324,6)</f>
        <v>0</v>
      </c>
      <c r="BM1324" s="80">
        <f>IF(BE1324=1,ROUND(AR1324/60,6),0)</f>
        <v>0</v>
      </c>
      <c r="BN1324" s="80">
        <f>ROUND(BI1324-BM1324,6)</f>
        <v>0</v>
      </c>
      <c r="BO1324" s="80">
        <f>IF(BE1324=1,ROUND(AS1324/60,6),0)</f>
        <v>0</v>
      </c>
      <c r="BP1324" s="80">
        <f>ROUND(BJ1324-BO1324,6)</f>
        <v>0</v>
      </c>
      <c r="BQ1324" s="80">
        <f>IF(BE1324=1,AW1324,0)</f>
        <v>0</v>
      </c>
      <c r="BR1324" s="80">
        <f>IF(BE1324=1,AX1324,0)</f>
        <v>0</v>
      </c>
      <c r="BS1324" s="80">
        <f>IF(AND(BE1324=1,D1324="Malcolm",BA1324&gt;0),MIN(BH1324,SUMPRODUCT((R_Emp="proMX")*(R_EN&gt;0)*((R_EN-(R_EN&gt;BR1324)*(R_EN-BR1324))&gt;(R_SN+(R_SN&lt;BQ1324)*(BQ1324-R_SN)))*((R_EN-(R_EN&gt;BR1324)*(R_EN-BR1324))-(R_SN+(R_SN&lt;BQ1324)*(BQ1324-R_SN))))/60),0)</f>
        <v>0</v>
      </c>
      <c r="BT1324" s="80">
        <f>IF(AND(BE1324=1,D1324="proMX"),ROUND(BI1324*CFG_RATE+BJ1324*CFG_OTRATE,6),0)</f>
        <v>0</v>
      </c>
      <c r="BU1324" s="80">
        <f>IF(AND(BD1324=1,D1324="proMX"),ROUND(AG1324/CFG_BLK,6),0)</f>
        <v>0</v>
      </c>
      <c r="BV1324" s="80" t="str">
        <f>IF(BF1324="Approved",IF(ISNUMBER(T1324),INT(T1324),INT(B1324)),"")</f>
        <v/>
      </c>
      <c r="BW1324" s="80">
        <f>IF(ISNUMBER(B1324),IF(DB_MON="Todos",1,IF(AND(INT(B1324)&gt;=DB_MS,INT(B1324)&lt;=DB_ME),1,0)),0)</f>
        <v>0</v>
      </c>
      <c r="BX1324" s="80">
        <f>IF(DB_PROJ="Todos",1,IF(E1324&amp;""=DB_PROJ&amp;"",1,0))</f>
        <v>1</v>
      </c>
      <c r="BY1324" s="80">
        <f>BW1324*BX1324</f>
        <v>0</v>
      </c>
      <c r="BZ1324" s="80" t="str">
        <f>IF(Y1324=1,F1324&amp;IF(AND(F1324&amp;""&lt;&gt;"",E1324&amp;""&lt;&gt;"")," · ","")&amp;E1324,"")</f>
        <v/>
      </c>
      <c r="CA1324" s="80" t="str">
        <f>IF(AND(BD1324=1,E1324&amp;""&lt;&gt;""),IF(COUNTIFS($E$5:E1323,E1324,$BD$5:BD1323,1)=0,MAX($CA$5:CA1323)+1,""),"")</f>
        <v/>
      </c>
      <c r="CB1324" s="80" t="str">
        <f>IF(AND(BE1324=1,D1324="Malcolm",E1324&amp;""&lt;&gt;""),IF(COUNTIFS($D$5:D1323,"Malcolm",$E$5:E1323,E1324,$BE$5:BE1323,1)=0,MAX($CB$5:CB1323)+1,""),"")</f>
        <v/>
      </c>
      <c r="CC1324" s="80" t="str">
        <f>IF(AND(BD1324=1,D1324="proMX",E1324&amp;""&lt;&gt;""),IF(COUNTIFS($D$5:D1323,"proMX",$E$5:E1323,E1324,$BD$5:BD1323,1)=0,MAX($CC$5:CC1323)+1,""),"")</f>
        <v/>
      </c>
      <c r="CD1324" s="80" t="str">
        <f>IF(AND(BE1324=1,D1324="Malcolm",F1324&amp;""&lt;&gt;""),IF(COUNTIFS($D$5:D1323,"Malcolm",$F$5:F1323,F1324,$BE$5:BE1323,1)=0,MAX($CD$5:CD1323)+1,""),"")</f>
        <v/>
      </c>
      <c r="CE1324" s="80" t="str">
        <f>IF(AND(BD1324=1,D1324="proMX",F1324&amp;""&lt;&gt;""),IF(COUNTIFS($D$5:D1323,"proMX",$F$5:F1323,F1324,$BD$5:BD1323,1)=0,MAX($CE$5:CE1323)+1,""),"")</f>
        <v/>
      </c>
      <c r="CF1324" s="80" t="str">
        <f>IF(AND(D1324="proMX",BD1324=1),IF(OR(BF1324="Draft",BF1324="Submitted",BF1324="Returned",BF1324="Recall Requested"),MAX($CF$5:CF1323)+1,""),"")</f>
        <v/>
      </c>
      <c r="CG1324" s="80">
        <f>IF(BD1324=0,0,IF(D1324="Malcolm",1,MATCH(BF1324,{"Draft","Submitted","Approved","Returned","Recall Requested","Cancelled"},0)+1))</f>
        <v>0</v>
      </c>
      <c r="CH1324" s="80">
        <f>IF(AND(BF1324="Submitted",ISNUMBER(V1324)),IF(V1324&gt;CFG_MAXD,1,0),0)</f>
        <v>0</v>
      </c>
    </row>
    <row r="1325">
      <c r="A1325" s="71" t="str">
        <f>IF(Y1325=1,ROW()-5,"")</f>
        <v/>
      </c>
      <c r="B1325" s="72" t="n"/>
      <c r="C1325" s="71" t="str">
        <f>IF(ISNUMBER(B1325),CHOOSE(WEEKDAY(B1325,2),"Lun","Mar","Mié","Jue","Vie","Sáb","Dom"),"")</f>
        <v/>
      </c>
      <c r="D1325" s="73" t="n"/>
      <c r="E1325" s="74" t="n"/>
      <c r="F1325" s="74" t="n"/>
      <c r="G1325" s="74" t="n"/>
      <c r="H1325" s="75" t="n"/>
      <c r="I1325" s="75" t="n"/>
      <c r="J1325" s="76" t="n"/>
      <c r="K1325" s="77" t="str">
        <f>IF(AB1325=1,ROUND(AG1325/60,4),"")</f>
        <v/>
      </c>
      <c r="L1325" s="77" t="str">
        <f>IF(BD1325=1,ROUND(AP1325/60,4),"")</f>
        <v/>
      </c>
      <c r="M1325" s="77" t="str">
        <f>IF(BD1325=1,ROUND(AQ1325/60,4),"")</f>
        <v/>
      </c>
      <c r="N1325" s="71" t="str">
        <f>IF(AND(D1325="proMX",AB1325=1),ROUND(AG1325/CFG_BLK,2),"")</f>
        <v/>
      </c>
      <c r="O1325" s="77" t="str">
        <f>IF(D1325="proMX",IF(BD1325=1,ROUND(AG1325/60,4),0),"")</f>
        <v/>
      </c>
      <c r="P1325" s="78" t="str">
        <f>IF(Y1325=0,"",IF(BD1325=1,"OK",IF(D1325="proMX","Revisar bloques: ","Revisar: ")&amp;BC1325))</f>
        <v/>
      </c>
      <c r="Q1325" s="78" t="str">
        <f>IF(NOT(ISNUMBER(B1325)),"",IF(COUNTIFS(FER_F,INT(B1325))&gt;0,"Feriado"&amp;IF(AH1325=1," (laborable)"," (no laborable)"),IF(AH1325=1,"Laborable",IF(WEEKDAY(B1325,2)&gt;5,"Fin de semana","No laborable"))))</f>
        <v/>
      </c>
      <c r="R1325" s="73" t="n"/>
      <c r="S1325" s="72" t="n"/>
      <c r="T1325" s="72" t="n"/>
      <c r="U1325" s="74" t="n"/>
      <c r="V1325" s="79" t="str">
        <f>IF(AND(D1325="proMX",OR(R1325="Submitted",R1325="Recall Requested"),ISNUMBER(S1325)),CFG_TODAY-INT(S1325),"")</f>
        <v/>
      </c>
      <c r="W1325" s="78" t="str">
        <f>IF(BD1325=0,"",IF(BA1325&gt;0,"⚠ Se superpone con un registro de la otra empresa",IF(D1325="Malcolm",IF(COUNTA(R1325,S1325,T1325)&gt;0,"Estado/fechas proMX se ignoran en Malcolm",""),IF(BF1325="Cancelled","Cancelado: excluido de totales",IF(R1325="","Sin estado: se trata como Draft",IF(BF1325="Submitted",IF(ISNUMBER(V1325),IF(V1325&gt;CFG_MAXD,"⚠ "&amp;V1325&amp;" días en Submitted (máx. "&amp;CFG_MAXD&amp;")",""),"Falta fecha de envío"),IF(BF1325="Returned","⚠ Devuelto: corregir y reenviar",IF(BF1325="Recall Requested","Retirada solicitada: pendiente",IF(AND(BF1325="Approved",NOT(ISNUMBER(T1325))),"Falta fecha de aprobación",IF(AND(ISNUMBER(S1325),ISNUMBER(T1325),T1325&lt;S1325),"Aprobación anterior al envío","")))))))))</f>
        <v/>
      </c>
      <c r="Y1325" s="80">
        <f>IF(COUNTA(B1325,D1325,E1325,F1325,G1325,H1325,I1325,J1325,R1325,S1325,T1325)&gt;0,1,0)</f>
        <v>0</v>
      </c>
      <c r="Z1325" s="80" t="str">
        <f>IF(AND(ISNUMBER(H1325),H1325&gt;=0,H1325&lt;1),ROUND(H1325*1440,0),"")</f>
        <v/>
      </c>
      <c r="AA1325" s="80" t="str">
        <f>IF(AND(ISNUMBER(I1325),I1325&gt;=0,I1325&lt;1),ROUND(I1325*1440,0),"")</f>
        <v/>
      </c>
      <c r="AB1325" s="80">
        <f>IF(AND(ISNUMBER(B1325),D1325&lt;&gt;"",ISNUMBER(Z1325),ISNUMBER(AA1325)),IF(Z1325=AA1325,0,1),0)</f>
        <v>0</v>
      </c>
      <c r="AC1325" s="80">
        <f>IF(AB1325=1,IF(AA1325&lt;Z1325,1,0),0)</f>
        <v>0</v>
      </c>
      <c r="AD1325" s="80">
        <f>IF(AB1325=1,IF(AC1325=1,1440-Z1325+AA1325,AA1325-Z1325),0)</f>
        <v>0</v>
      </c>
      <c r="AE1325" s="80">
        <f>IF(J1325="",0,IF(ISNUMBER(J1325),J1325,-1))</f>
        <v>0</v>
      </c>
      <c r="AF1325" s="80">
        <f>MIN(MAX(0,AE1325),AD1325)</f>
        <v>0</v>
      </c>
      <c r="AG1325" s="80">
        <f>MAX(0,AD1325-MAX(0,AE1325))</f>
        <v>0</v>
      </c>
      <c r="AH1325" s="80">
        <f>IF(ISNUMBER(B1325),IF(AND(INDEX(CFG_WDAYS,WEEKDAY(INT(B1325),2))="Sí",IF(D1325="proMX",COUNTIFS(FER_F,INT(B1325),FER_NLP,"Sí"),COUNTIFS(FER_F,INT(B1325),FER_NLM,"Sí"))=0),1,0),0)</f>
        <v>0</v>
      </c>
      <c r="AI1325" s="80">
        <f>IF(AC1325=1,IF(AND(INDEX(CFG_WDAYS,WEEKDAY(INT(B1325)+1,2))="Sí",IF(D1325="proMX",COUNTIFS(FER_F,INT(B1325)+1,FER_NLP,"Sí"),COUNTIFS(FER_F,INT(B1325)+1,FER_NLM,"Sí"))=0),1,0),0)</f>
        <v>0</v>
      </c>
      <c r="AJ1325" s="80">
        <f>IF(AC1325=1,1440-Z1325,AD1325)</f>
        <v>0</v>
      </c>
      <c r="AK1325" s="80">
        <f>IF(AND(AB1325=1,AH1325=1),MAX(0,MIN(IF(AC1325=1,1440,AA1325),CFG_WEM)-MAX(Z1325,CFG_WSM)),0)</f>
        <v>0</v>
      </c>
      <c r="AL1325" s="80">
        <f>IF(AND(AC1325=1,AI1325=1),MAX(0,MIN(AA1325,CFG_WEM)-CFG_WSM),0)</f>
        <v>0</v>
      </c>
      <c r="AM1325" s="80">
        <f>AK1325+AL1325</f>
        <v>0</v>
      </c>
      <c r="AN1325" s="80">
        <f>IF(CFG_BRK="Proporcional",IF(AD1325=0,0,AF1325*AM1325/AD1325),IF(CFG_BRK="Extras primero",MIN(AM1325,MAX(0,AF1325-(AD1325-AM1325))),MIN(AF1325,AM1325)))</f>
        <v>0</v>
      </c>
      <c r="AO1325" s="80">
        <f>AF1325-AN1325</f>
        <v>0</v>
      </c>
      <c r="AP1325" s="80">
        <f>AM1325-AN1325</f>
        <v>0</v>
      </c>
      <c r="AQ1325" s="80">
        <f>AD1325-AM1325-AO1325</f>
        <v>0</v>
      </c>
      <c r="AR1325" s="80">
        <f>IF(AM1325=0,0,AK1325-AN1325*AK1325/AM1325)</f>
        <v>0</v>
      </c>
      <c r="AS1325" s="80">
        <f>IF(AD1325-AM1325=0,0,(AJ1325-AK1325)-AO1325*(AJ1325-AK1325)/(AD1325-AM1325))</f>
        <v>0</v>
      </c>
      <c r="AT1325" s="80" t="str">
        <f>IF(AC1325=1,INT(B1325)+1,"")</f>
        <v/>
      </c>
      <c r="AU1325" s="80">
        <f>IF(AND(D1325="proMX",R1325="Cancelled"),0,1)</f>
        <v>1</v>
      </c>
      <c r="AV1325" s="80">
        <f>IF(AND(AB1325=1,AU1325=1),IF(COUNTIFS($D$5:D1324,D1325,$B$5:B1324,B1325,$Z$5:Z1324,Z1325,$AA$5:AA1324,AA1325,$F$5:F1324,F1325&amp;"",$AU$5:AU1324,1)&gt;0,1,0),0)</f>
        <v>0</v>
      </c>
      <c r="AW1325" s="80" t="str">
        <f>IF(AB1325=1,INT(B1325)*1440+Z1325,"")</f>
        <v/>
      </c>
      <c r="AX1325" s="80" t="str">
        <f>IF(AB1325=1,AW1325+AD1325,"")</f>
        <v/>
      </c>
      <c r="AY1325" s="80">
        <f>IF(AND(AB1325=1,AV1325=0,AU1325=1),1,0)</f>
        <v>0</v>
      </c>
      <c r="AZ1325" s="80">
        <f>IF(AY1325=1,COUNTIFS(R_Emp,D1325,R_SAbs,"&lt;"&amp;AX1325,R_EAbs,"&gt;"&amp;AW1325,R_OKey,1)-1,0)</f>
        <v>0</v>
      </c>
      <c r="BA1325" s="80">
        <f>IF(AY1325=1,COUNTIFS(R_Emp,"&lt;&gt;"&amp;D1325,R_SAbs,"&lt;"&amp;AX1325,R_EAbs,"&gt;"&amp;AW1325,R_OKey,1),0)</f>
        <v>0</v>
      </c>
      <c r="BB1325" s="80">
        <f>IF(AND(AB1325=1,D1325="proMX"),IF(AND(MOD(Z1325,CFG_BLK)=0,MOD(AA1325,CFG_BLK)=0,MOD(AG1325,CFG_BLK)=0,AG1325&gt;0),1,0),1)</f>
        <v>1</v>
      </c>
      <c r="BC1325" s="80" t="str">
        <f>IF(Y1325=0,"",IF(NOT(ISNUMBER(B1325)),"Falta fecha o fecha inválida",IF(D1325="","Falta empresa",IF(AND(D1325&lt;&gt;"Malcolm",D1325&lt;&gt;"proMX"),"Empresa inválida",IF(OR(INT(B1325)&lt;CFG_PSTART,INT(B1325)&gt;CFG_PEND),"Fecha fuera del período",IF(OR(NOT(ISNUMBER(Z1325)),NOT(ISNUMBER(AA1325))),"Falta hora inicio/fin o formato inválido",IF(AB1325=0,"Hora inicio = hora fin",IF(AE1325&lt;0,"Descanso inválido",IF(AE1325&gt;=AD1325,"Descanso ≥ duración",IF(AV1325=1,"Registro duplicado",IF(AZ1325&gt;0,"Se superpone con otro registro "&amp;D1325,IF(BB1325=0,"inicio, fin y duración neta deben ser múltiplos de "&amp;CFG_BLK&amp;" min",""))))))))))))</f>
        <v/>
      </c>
      <c r="BD1325" s="80">
        <f>IF(AND(Y1325=1,BC1325=""),1,0)</f>
        <v>0</v>
      </c>
      <c r="BE1325" s="80">
        <f>IF(AND(BD1325=1,AU1325=1),1,0)</f>
        <v>0</v>
      </c>
      <c r="BF1325" s="80" t="str">
        <f>IF(AND(D1325="proMX",BD1325=1),IF(R1325="","Draft",R1325),"")</f>
        <v/>
      </c>
      <c r="BG1325" s="80">
        <f>IF(BD1325=1,ROUND(AG1325/60,6),0)</f>
        <v>0</v>
      </c>
      <c r="BH1325" s="80">
        <f>IF(BE1325=1,ROUND(AG1325/60,6),0)</f>
        <v>0</v>
      </c>
      <c r="BI1325" s="80">
        <f>IF(BE1325=1,ROUND(AP1325/60,6),0)</f>
        <v>0</v>
      </c>
      <c r="BJ1325" s="80">
        <f>IF(BE1325=1,ROUND(AQ1325/60,6),0)</f>
        <v>0</v>
      </c>
      <c r="BK1325" s="80">
        <f>IF(BE1325=1,ROUND((AR1325+AS1325)/60,6),0)</f>
        <v>0</v>
      </c>
      <c r="BL1325" s="80">
        <f>ROUND(BH1325-BK1325,6)</f>
        <v>0</v>
      </c>
      <c r="BM1325" s="80">
        <f>IF(BE1325=1,ROUND(AR1325/60,6),0)</f>
        <v>0</v>
      </c>
      <c r="BN1325" s="80">
        <f>ROUND(BI1325-BM1325,6)</f>
        <v>0</v>
      </c>
      <c r="BO1325" s="80">
        <f>IF(BE1325=1,ROUND(AS1325/60,6),0)</f>
        <v>0</v>
      </c>
      <c r="BP1325" s="80">
        <f>ROUND(BJ1325-BO1325,6)</f>
        <v>0</v>
      </c>
      <c r="BQ1325" s="80">
        <f>IF(BE1325=1,AW1325,0)</f>
        <v>0</v>
      </c>
      <c r="BR1325" s="80">
        <f>IF(BE1325=1,AX1325,0)</f>
        <v>0</v>
      </c>
      <c r="BS1325" s="80">
        <f>IF(AND(BE1325=1,D1325="Malcolm",BA1325&gt;0),MIN(BH1325,SUMPRODUCT((R_Emp="proMX")*(R_EN&gt;0)*((R_EN-(R_EN&gt;BR1325)*(R_EN-BR1325))&gt;(R_SN+(R_SN&lt;BQ1325)*(BQ1325-R_SN)))*((R_EN-(R_EN&gt;BR1325)*(R_EN-BR1325))-(R_SN+(R_SN&lt;BQ1325)*(BQ1325-R_SN))))/60),0)</f>
        <v>0</v>
      </c>
      <c r="BT1325" s="80">
        <f>IF(AND(BE1325=1,D1325="proMX"),ROUND(BI1325*CFG_RATE+BJ1325*CFG_OTRATE,6),0)</f>
        <v>0</v>
      </c>
      <c r="BU1325" s="80">
        <f>IF(AND(BD1325=1,D1325="proMX"),ROUND(AG1325/CFG_BLK,6),0)</f>
        <v>0</v>
      </c>
      <c r="BV1325" s="80" t="str">
        <f>IF(BF1325="Approved",IF(ISNUMBER(T1325),INT(T1325),INT(B1325)),"")</f>
        <v/>
      </c>
      <c r="BW1325" s="80">
        <f>IF(ISNUMBER(B1325),IF(DB_MON="Todos",1,IF(AND(INT(B1325)&gt;=DB_MS,INT(B1325)&lt;=DB_ME),1,0)),0)</f>
        <v>0</v>
      </c>
      <c r="BX1325" s="80">
        <f>IF(DB_PROJ="Todos",1,IF(E1325&amp;""=DB_PROJ&amp;"",1,0))</f>
        <v>1</v>
      </c>
      <c r="BY1325" s="80">
        <f>BW1325*BX1325</f>
        <v>0</v>
      </c>
      <c r="BZ1325" s="80" t="str">
        <f>IF(Y1325=1,F1325&amp;IF(AND(F1325&amp;""&lt;&gt;"",E1325&amp;""&lt;&gt;"")," · ","")&amp;E1325,"")</f>
        <v/>
      </c>
      <c r="CA1325" s="80" t="str">
        <f>IF(AND(BD1325=1,E1325&amp;""&lt;&gt;""),IF(COUNTIFS($E$5:E1324,E1325,$BD$5:BD1324,1)=0,MAX($CA$5:CA1324)+1,""),"")</f>
        <v/>
      </c>
      <c r="CB1325" s="80" t="str">
        <f>IF(AND(BE1325=1,D1325="Malcolm",E1325&amp;""&lt;&gt;""),IF(COUNTIFS($D$5:D1324,"Malcolm",$E$5:E1324,E1325,$BE$5:BE1324,1)=0,MAX($CB$5:CB1324)+1,""),"")</f>
        <v/>
      </c>
      <c r="CC1325" s="80" t="str">
        <f>IF(AND(BD1325=1,D1325="proMX",E1325&amp;""&lt;&gt;""),IF(COUNTIFS($D$5:D1324,"proMX",$E$5:E1324,E1325,$BD$5:BD1324,1)=0,MAX($CC$5:CC1324)+1,""),"")</f>
        <v/>
      </c>
      <c r="CD1325" s="80" t="str">
        <f>IF(AND(BE1325=1,D1325="Malcolm",F1325&amp;""&lt;&gt;""),IF(COUNTIFS($D$5:D1324,"Malcolm",$F$5:F1324,F1325,$BE$5:BE1324,1)=0,MAX($CD$5:CD1324)+1,""),"")</f>
        <v/>
      </c>
      <c r="CE1325" s="80" t="str">
        <f>IF(AND(BD1325=1,D1325="proMX",F1325&amp;""&lt;&gt;""),IF(COUNTIFS($D$5:D1324,"proMX",$F$5:F1324,F1325,$BD$5:BD1324,1)=0,MAX($CE$5:CE1324)+1,""),"")</f>
        <v/>
      </c>
      <c r="CF1325" s="80" t="str">
        <f>IF(AND(D1325="proMX",BD1325=1),IF(OR(BF1325="Draft",BF1325="Submitted",BF1325="Returned",BF1325="Recall Requested"),MAX($CF$5:CF1324)+1,""),"")</f>
        <v/>
      </c>
      <c r="CG1325" s="80">
        <f>IF(BD1325=0,0,IF(D1325="Malcolm",1,MATCH(BF1325,{"Draft","Submitted","Approved","Returned","Recall Requested","Cancelled"},0)+1))</f>
        <v>0</v>
      </c>
      <c r="CH1325" s="80">
        <f>IF(AND(BF1325="Submitted",ISNUMBER(V1325)),IF(V1325&gt;CFG_MAXD,1,0),0)</f>
        <v>0</v>
      </c>
    </row>
    <row r="1326">
      <c r="A1326" s="71" t="str">
        <f>IF(Y1326=1,ROW()-5,"")</f>
        <v/>
      </c>
      <c r="B1326" s="72" t="n"/>
      <c r="C1326" s="71" t="str">
        <f>IF(ISNUMBER(B1326),CHOOSE(WEEKDAY(B1326,2),"Lun","Mar","Mié","Jue","Vie","Sáb","Dom"),"")</f>
        <v/>
      </c>
      <c r="D1326" s="73" t="n"/>
      <c r="E1326" s="74" t="n"/>
      <c r="F1326" s="74" t="n"/>
      <c r="G1326" s="74" t="n"/>
      <c r="H1326" s="75" t="n"/>
      <c r="I1326" s="75" t="n"/>
      <c r="J1326" s="76" t="n"/>
      <c r="K1326" s="77" t="str">
        <f>IF(AB1326=1,ROUND(AG1326/60,4),"")</f>
        <v/>
      </c>
      <c r="L1326" s="77" t="str">
        <f>IF(BD1326=1,ROUND(AP1326/60,4),"")</f>
        <v/>
      </c>
      <c r="M1326" s="77" t="str">
        <f>IF(BD1326=1,ROUND(AQ1326/60,4),"")</f>
        <v/>
      </c>
      <c r="N1326" s="71" t="str">
        <f>IF(AND(D1326="proMX",AB1326=1),ROUND(AG1326/CFG_BLK,2),"")</f>
        <v/>
      </c>
      <c r="O1326" s="77" t="str">
        <f>IF(D1326="proMX",IF(BD1326=1,ROUND(AG1326/60,4),0),"")</f>
        <v/>
      </c>
      <c r="P1326" s="78" t="str">
        <f>IF(Y1326=0,"",IF(BD1326=1,"OK",IF(D1326="proMX","Revisar bloques: ","Revisar: ")&amp;BC1326))</f>
        <v/>
      </c>
      <c r="Q1326" s="78" t="str">
        <f>IF(NOT(ISNUMBER(B1326)),"",IF(COUNTIFS(FER_F,INT(B1326))&gt;0,"Feriado"&amp;IF(AH1326=1," (laborable)"," (no laborable)"),IF(AH1326=1,"Laborable",IF(WEEKDAY(B1326,2)&gt;5,"Fin de semana","No laborable"))))</f>
        <v/>
      </c>
      <c r="R1326" s="73" t="n"/>
      <c r="S1326" s="72" t="n"/>
      <c r="T1326" s="72" t="n"/>
      <c r="U1326" s="74" t="n"/>
      <c r="V1326" s="79" t="str">
        <f>IF(AND(D1326="proMX",OR(R1326="Submitted",R1326="Recall Requested"),ISNUMBER(S1326)),CFG_TODAY-INT(S1326),"")</f>
        <v/>
      </c>
      <c r="W1326" s="78" t="str">
        <f>IF(BD1326=0,"",IF(BA1326&gt;0,"⚠ Se superpone con un registro de la otra empresa",IF(D1326="Malcolm",IF(COUNTA(R1326,S1326,T1326)&gt;0,"Estado/fechas proMX se ignoran en Malcolm",""),IF(BF1326="Cancelled","Cancelado: excluido de totales",IF(R1326="","Sin estado: se trata como Draft",IF(BF1326="Submitted",IF(ISNUMBER(V1326),IF(V1326&gt;CFG_MAXD,"⚠ "&amp;V1326&amp;" días en Submitted (máx. "&amp;CFG_MAXD&amp;")",""),"Falta fecha de envío"),IF(BF1326="Returned","⚠ Devuelto: corregir y reenviar",IF(BF1326="Recall Requested","Retirada solicitada: pendiente",IF(AND(BF1326="Approved",NOT(ISNUMBER(T1326))),"Falta fecha de aprobación",IF(AND(ISNUMBER(S1326),ISNUMBER(T1326),T1326&lt;S1326),"Aprobación anterior al envío","")))))))))</f>
        <v/>
      </c>
      <c r="Y1326" s="80">
        <f>IF(COUNTA(B1326,D1326,E1326,F1326,G1326,H1326,I1326,J1326,R1326,S1326,T1326)&gt;0,1,0)</f>
        <v>0</v>
      </c>
      <c r="Z1326" s="80" t="str">
        <f>IF(AND(ISNUMBER(H1326),H1326&gt;=0,H1326&lt;1),ROUND(H1326*1440,0),"")</f>
        <v/>
      </c>
      <c r="AA1326" s="80" t="str">
        <f>IF(AND(ISNUMBER(I1326),I1326&gt;=0,I1326&lt;1),ROUND(I1326*1440,0),"")</f>
        <v/>
      </c>
      <c r="AB1326" s="80">
        <f>IF(AND(ISNUMBER(B1326),D1326&lt;&gt;"",ISNUMBER(Z1326),ISNUMBER(AA1326)),IF(Z1326=AA1326,0,1),0)</f>
        <v>0</v>
      </c>
      <c r="AC1326" s="80">
        <f>IF(AB1326=1,IF(AA1326&lt;Z1326,1,0),0)</f>
        <v>0</v>
      </c>
      <c r="AD1326" s="80">
        <f>IF(AB1326=1,IF(AC1326=1,1440-Z1326+AA1326,AA1326-Z1326),0)</f>
        <v>0</v>
      </c>
      <c r="AE1326" s="80">
        <f>IF(J1326="",0,IF(ISNUMBER(J1326),J1326,-1))</f>
        <v>0</v>
      </c>
      <c r="AF1326" s="80">
        <f>MIN(MAX(0,AE1326),AD1326)</f>
        <v>0</v>
      </c>
      <c r="AG1326" s="80">
        <f>MAX(0,AD1326-MAX(0,AE1326))</f>
        <v>0</v>
      </c>
      <c r="AH1326" s="80">
        <f>IF(ISNUMBER(B1326),IF(AND(INDEX(CFG_WDAYS,WEEKDAY(INT(B1326),2))="Sí",IF(D1326="proMX",COUNTIFS(FER_F,INT(B1326),FER_NLP,"Sí"),COUNTIFS(FER_F,INT(B1326),FER_NLM,"Sí"))=0),1,0),0)</f>
        <v>0</v>
      </c>
      <c r="AI1326" s="80">
        <f>IF(AC1326=1,IF(AND(INDEX(CFG_WDAYS,WEEKDAY(INT(B1326)+1,2))="Sí",IF(D1326="proMX",COUNTIFS(FER_F,INT(B1326)+1,FER_NLP,"Sí"),COUNTIFS(FER_F,INT(B1326)+1,FER_NLM,"Sí"))=0),1,0),0)</f>
        <v>0</v>
      </c>
      <c r="AJ1326" s="80">
        <f>IF(AC1326=1,1440-Z1326,AD1326)</f>
        <v>0</v>
      </c>
      <c r="AK1326" s="80">
        <f>IF(AND(AB1326=1,AH1326=1),MAX(0,MIN(IF(AC1326=1,1440,AA1326),CFG_WEM)-MAX(Z1326,CFG_WSM)),0)</f>
        <v>0</v>
      </c>
      <c r="AL1326" s="80">
        <f>IF(AND(AC1326=1,AI1326=1),MAX(0,MIN(AA1326,CFG_WEM)-CFG_WSM),0)</f>
        <v>0</v>
      </c>
      <c r="AM1326" s="80">
        <f>AK1326+AL1326</f>
        <v>0</v>
      </c>
      <c r="AN1326" s="80">
        <f>IF(CFG_BRK="Proporcional",IF(AD1326=0,0,AF1326*AM1326/AD1326),IF(CFG_BRK="Extras primero",MIN(AM1326,MAX(0,AF1326-(AD1326-AM1326))),MIN(AF1326,AM1326)))</f>
        <v>0</v>
      </c>
      <c r="AO1326" s="80">
        <f>AF1326-AN1326</f>
        <v>0</v>
      </c>
      <c r="AP1326" s="80">
        <f>AM1326-AN1326</f>
        <v>0</v>
      </c>
      <c r="AQ1326" s="80">
        <f>AD1326-AM1326-AO1326</f>
        <v>0</v>
      </c>
      <c r="AR1326" s="80">
        <f>IF(AM1326=0,0,AK1326-AN1326*AK1326/AM1326)</f>
        <v>0</v>
      </c>
      <c r="AS1326" s="80">
        <f>IF(AD1326-AM1326=0,0,(AJ1326-AK1326)-AO1326*(AJ1326-AK1326)/(AD1326-AM1326))</f>
        <v>0</v>
      </c>
      <c r="AT1326" s="80" t="str">
        <f>IF(AC1326=1,INT(B1326)+1,"")</f>
        <v/>
      </c>
      <c r="AU1326" s="80">
        <f>IF(AND(D1326="proMX",R1326="Cancelled"),0,1)</f>
        <v>1</v>
      </c>
      <c r="AV1326" s="80">
        <f>IF(AND(AB1326=1,AU1326=1),IF(COUNTIFS($D$5:D1325,D1326,$B$5:B1325,B1326,$Z$5:Z1325,Z1326,$AA$5:AA1325,AA1326,$F$5:F1325,F1326&amp;"",$AU$5:AU1325,1)&gt;0,1,0),0)</f>
        <v>0</v>
      </c>
      <c r="AW1326" s="80" t="str">
        <f>IF(AB1326=1,INT(B1326)*1440+Z1326,"")</f>
        <v/>
      </c>
      <c r="AX1326" s="80" t="str">
        <f>IF(AB1326=1,AW1326+AD1326,"")</f>
        <v/>
      </c>
      <c r="AY1326" s="80">
        <f>IF(AND(AB1326=1,AV1326=0,AU1326=1),1,0)</f>
        <v>0</v>
      </c>
      <c r="AZ1326" s="80">
        <f>IF(AY1326=1,COUNTIFS(R_Emp,D1326,R_SAbs,"&lt;"&amp;AX1326,R_EAbs,"&gt;"&amp;AW1326,R_OKey,1)-1,0)</f>
        <v>0</v>
      </c>
      <c r="BA1326" s="80">
        <f>IF(AY1326=1,COUNTIFS(R_Emp,"&lt;&gt;"&amp;D1326,R_SAbs,"&lt;"&amp;AX1326,R_EAbs,"&gt;"&amp;AW1326,R_OKey,1),0)</f>
        <v>0</v>
      </c>
      <c r="BB1326" s="80">
        <f>IF(AND(AB1326=1,D1326="proMX"),IF(AND(MOD(Z1326,CFG_BLK)=0,MOD(AA1326,CFG_BLK)=0,MOD(AG1326,CFG_BLK)=0,AG1326&gt;0),1,0),1)</f>
        <v>1</v>
      </c>
      <c r="BC1326" s="80" t="str">
        <f>IF(Y1326=0,"",IF(NOT(ISNUMBER(B1326)),"Falta fecha o fecha inválida",IF(D1326="","Falta empresa",IF(AND(D1326&lt;&gt;"Malcolm",D1326&lt;&gt;"proMX"),"Empresa inválida",IF(OR(INT(B1326)&lt;CFG_PSTART,INT(B1326)&gt;CFG_PEND),"Fecha fuera del período",IF(OR(NOT(ISNUMBER(Z1326)),NOT(ISNUMBER(AA1326))),"Falta hora inicio/fin o formato inválido",IF(AB1326=0,"Hora inicio = hora fin",IF(AE1326&lt;0,"Descanso inválido",IF(AE1326&gt;=AD1326,"Descanso ≥ duración",IF(AV1326=1,"Registro duplicado",IF(AZ1326&gt;0,"Se superpone con otro registro "&amp;D1326,IF(BB1326=0,"inicio, fin y duración neta deben ser múltiplos de "&amp;CFG_BLK&amp;" min",""))))))))))))</f>
        <v/>
      </c>
      <c r="BD1326" s="80">
        <f>IF(AND(Y1326=1,BC1326=""),1,0)</f>
        <v>0</v>
      </c>
      <c r="BE1326" s="80">
        <f>IF(AND(BD1326=1,AU1326=1),1,0)</f>
        <v>0</v>
      </c>
      <c r="BF1326" s="80" t="str">
        <f>IF(AND(D1326="proMX",BD1326=1),IF(R1326="","Draft",R1326),"")</f>
        <v/>
      </c>
      <c r="BG1326" s="80">
        <f>IF(BD1326=1,ROUND(AG1326/60,6),0)</f>
        <v>0</v>
      </c>
      <c r="BH1326" s="80">
        <f>IF(BE1326=1,ROUND(AG1326/60,6),0)</f>
        <v>0</v>
      </c>
      <c r="BI1326" s="80">
        <f>IF(BE1326=1,ROUND(AP1326/60,6),0)</f>
        <v>0</v>
      </c>
      <c r="BJ1326" s="80">
        <f>IF(BE1326=1,ROUND(AQ1326/60,6),0)</f>
        <v>0</v>
      </c>
      <c r="BK1326" s="80">
        <f>IF(BE1326=1,ROUND((AR1326+AS1326)/60,6),0)</f>
        <v>0</v>
      </c>
      <c r="BL1326" s="80">
        <f>ROUND(BH1326-BK1326,6)</f>
        <v>0</v>
      </c>
      <c r="BM1326" s="80">
        <f>IF(BE1326=1,ROUND(AR1326/60,6),0)</f>
        <v>0</v>
      </c>
      <c r="BN1326" s="80">
        <f>ROUND(BI1326-BM1326,6)</f>
        <v>0</v>
      </c>
      <c r="BO1326" s="80">
        <f>IF(BE1326=1,ROUND(AS1326/60,6),0)</f>
        <v>0</v>
      </c>
      <c r="BP1326" s="80">
        <f>ROUND(BJ1326-BO1326,6)</f>
        <v>0</v>
      </c>
      <c r="BQ1326" s="80">
        <f>IF(BE1326=1,AW1326,0)</f>
        <v>0</v>
      </c>
      <c r="BR1326" s="80">
        <f>IF(BE1326=1,AX1326,0)</f>
        <v>0</v>
      </c>
      <c r="BS1326" s="80">
        <f>IF(AND(BE1326=1,D1326="Malcolm",BA1326&gt;0),MIN(BH1326,SUMPRODUCT((R_Emp="proMX")*(R_EN&gt;0)*((R_EN-(R_EN&gt;BR1326)*(R_EN-BR1326))&gt;(R_SN+(R_SN&lt;BQ1326)*(BQ1326-R_SN)))*((R_EN-(R_EN&gt;BR1326)*(R_EN-BR1326))-(R_SN+(R_SN&lt;BQ1326)*(BQ1326-R_SN))))/60),0)</f>
        <v>0</v>
      </c>
      <c r="BT1326" s="80">
        <f>IF(AND(BE1326=1,D1326="proMX"),ROUND(BI1326*CFG_RATE+BJ1326*CFG_OTRATE,6),0)</f>
        <v>0</v>
      </c>
      <c r="BU1326" s="80">
        <f>IF(AND(BD1326=1,D1326="proMX"),ROUND(AG1326/CFG_BLK,6),0)</f>
        <v>0</v>
      </c>
      <c r="BV1326" s="80" t="str">
        <f>IF(BF1326="Approved",IF(ISNUMBER(T1326),INT(T1326),INT(B1326)),"")</f>
        <v/>
      </c>
      <c r="BW1326" s="80">
        <f>IF(ISNUMBER(B1326),IF(DB_MON="Todos",1,IF(AND(INT(B1326)&gt;=DB_MS,INT(B1326)&lt;=DB_ME),1,0)),0)</f>
        <v>0</v>
      </c>
      <c r="BX1326" s="80">
        <f>IF(DB_PROJ="Todos",1,IF(E1326&amp;""=DB_PROJ&amp;"",1,0))</f>
        <v>1</v>
      </c>
      <c r="BY1326" s="80">
        <f>BW1326*BX1326</f>
        <v>0</v>
      </c>
      <c r="BZ1326" s="80" t="str">
        <f>IF(Y1326=1,F1326&amp;IF(AND(F1326&amp;""&lt;&gt;"",E1326&amp;""&lt;&gt;"")," · ","")&amp;E1326,"")</f>
        <v/>
      </c>
      <c r="CA1326" s="80" t="str">
        <f>IF(AND(BD1326=1,E1326&amp;""&lt;&gt;""),IF(COUNTIFS($E$5:E1325,E1326,$BD$5:BD1325,1)=0,MAX($CA$5:CA1325)+1,""),"")</f>
        <v/>
      </c>
      <c r="CB1326" s="80" t="str">
        <f>IF(AND(BE1326=1,D1326="Malcolm",E1326&amp;""&lt;&gt;""),IF(COUNTIFS($D$5:D1325,"Malcolm",$E$5:E1325,E1326,$BE$5:BE1325,1)=0,MAX($CB$5:CB1325)+1,""),"")</f>
        <v/>
      </c>
      <c r="CC1326" s="80" t="str">
        <f>IF(AND(BD1326=1,D1326="proMX",E1326&amp;""&lt;&gt;""),IF(COUNTIFS($D$5:D1325,"proMX",$E$5:E1325,E1326,$BD$5:BD1325,1)=0,MAX($CC$5:CC1325)+1,""),"")</f>
        <v/>
      </c>
      <c r="CD1326" s="80" t="str">
        <f>IF(AND(BE1326=1,D1326="Malcolm",F1326&amp;""&lt;&gt;""),IF(COUNTIFS($D$5:D1325,"Malcolm",$F$5:F1325,F1326,$BE$5:BE1325,1)=0,MAX($CD$5:CD1325)+1,""),"")</f>
        <v/>
      </c>
      <c r="CE1326" s="80" t="str">
        <f>IF(AND(BD1326=1,D1326="proMX",F1326&amp;""&lt;&gt;""),IF(COUNTIFS($D$5:D1325,"proMX",$F$5:F1325,F1326,$BD$5:BD1325,1)=0,MAX($CE$5:CE1325)+1,""),"")</f>
        <v/>
      </c>
      <c r="CF1326" s="80" t="str">
        <f>IF(AND(D1326="proMX",BD1326=1),IF(OR(BF1326="Draft",BF1326="Submitted",BF1326="Returned",BF1326="Recall Requested"),MAX($CF$5:CF1325)+1,""),"")</f>
        <v/>
      </c>
      <c r="CG1326" s="80">
        <f>IF(BD1326=0,0,IF(D1326="Malcolm",1,MATCH(BF1326,{"Draft","Submitted","Approved","Returned","Recall Requested","Cancelled"},0)+1))</f>
        <v>0</v>
      </c>
      <c r="CH1326" s="80">
        <f>IF(AND(BF1326="Submitted",ISNUMBER(V1326)),IF(V1326&gt;CFG_MAXD,1,0),0)</f>
        <v>0</v>
      </c>
    </row>
    <row r="1327">
      <c r="A1327" s="71" t="str">
        <f>IF(Y1327=1,ROW()-5,"")</f>
        <v/>
      </c>
      <c r="B1327" s="72" t="n"/>
      <c r="C1327" s="71" t="str">
        <f>IF(ISNUMBER(B1327),CHOOSE(WEEKDAY(B1327,2),"Lun","Mar","Mié","Jue","Vie","Sáb","Dom"),"")</f>
        <v/>
      </c>
      <c r="D1327" s="73" t="n"/>
      <c r="E1327" s="74" t="n"/>
      <c r="F1327" s="74" t="n"/>
      <c r="G1327" s="74" t="n"/>
      <c r="H1327" s="75" t="n"/>
      <c r="I1327" s="75" t="n"/>
      <c r="J1327" s="76" t="n"/>
      <c r="K1327" s="77" t="str">
        <f>IF(AB1327=1,ROUND(AG1327/60,4),"")</f>
        <v/>
      </c>
      <c r="L1327" s="77" t="str">
        <f>IF(BD1327=1,ROUND(AP1327/60,4),"")</f>
        <v/>
      </c>
      <c r="M1327" s="77" t="str">
        <f>IF(BD1327=1,ROUND(AQ1327/60,4),"")</f>
        <v/>
      </c>
      <c r="N1327" s="71" t="str">
        <f>IF(AND(D1327="proMX",AB1327=1),ROUND(AG1327/CFG_BLK,2),"")</f>
        <v/>
      </c>
      <c r="O1327" s="77" t="str">
        <f>IF(D1327="proMX",IF(BD1327=1,ROUND(AG1327/60,4),0),"")</f>
        <v/>
      </c>
      <c r="P1327" s="78" t="str">
        <f>IF(Y1327=0,"",IF(BD1327=1,"OK",IF(D1327="proMX","Revisar bloques: ","Revisar: ")&amp;BC1327))</f>
        <v/>
      </c>
      <c r="Q1327" s="78" t="str">
        <f>IF(NOT(ISNUMBER(B1327)),"",IF(COUNTIFS(FER_F,INT(B1327))&gt;0,"Feriado"&amp;IF(AH1327=1," (laborable)"," (no laborable)"),IF(AH1327=1,"Laborable",IF(WEEKDAY(B1327,2)&gt;5,"Fin de semana","No laborable"))))</f>
        <v/>
      </c>
      <c r="R1327" s="73" t="n"/>
      <c r="S1327" s="72" t="n"/>
      <c r="T1327" s="72" t="n"/>
      <c r="U1327" s="74" t="n"/>
      <c r="V1327" s="79" t="str">
        <f>IF(AND(D1327="proMX",OR(R1327="Submitted",R1327="Recall Requested"),ISNUMBER(S1327)),CFG_TODAY-INT(S1327),"")</f>
        <v/>
      </c>
      <c r="W1327" s="78" t="str">
        <f>IF(BD1327=0,"",IF(BA1327&gt;0,"⚠ Se superpone con un registro de la otra empresa",IF(D1327="Malcolm",IF(COUNTA(R1327,S1327,T1327)&gt;0,"Estado/fechas proMX se ignoran en Malcolm",""),IF(BF1327="Cancelled","Cancelado: excluido de totales",IF(R1327="","Sin estado: se trata como Draft",IF(BF1327="Submitted",IF(ISNUMBER(V1327),IF(V1327&gt;CFG_MAXD,"⚠ "&amp;V1327&amp;" días en Submitted (máx. "&amp;CFG_MAXD&amp;")",""),"Falta fecha de envío"),IF(BF1327="Returned","⚠ Devuelto: corregir y reenviar",IF(BF1327="Recall Requested","Retirada solicitada: pendiente",IF(AND(BF1327="Approved",NOT(ISNUMBER(T1327))),"Falta fecha de aprobación",IF(AND(ISNUMBER(S1327),ISNUMBER(T1327),T1327&lt;S1327),"Aprobación anterior al envío","")))))))))</f>
        <v/>
      </c>
      <c r="Y1327" s="80">
        <f>IF(COUNTA(B1327,D1327,E1327,F1327,G1327,H1327,I1327,J1327,R1327,S1327,T1327)&gt;0,1,0)</f>
        <v>0</v>
      </c>
      <c r="Z1327" s="80" t="str">
        <f>IF(AND(ISNUMBER(H1327),H1327&gt;=0,H1327&lt;1),ROUND(H1327*1440,0),"")</f>
        <v/>
      </c>
      <c r="AA1327" s="80" t="str">
        <f>IF(AND(ISNUMBER(I1327),I1327&gt;=0,I1327&lt;1),ROUND(I1327*1440,0),"")</f>
        <v/>
      </c>
      <c r="AB1327" s="80">
        <f>IF(AND(ISNUMBER(B1327),D1327&lt;&gt;"",ISNUMBER(Z1327),ISNUMBER(AA1327)),IF(Z1327=AA1327,0,1),0)</f>
        <v>0</v>
      </c>
      <c r="AC1327" s="80">
        <f>IF(AB1327=1,IF(AA1327&lt;Z1327,1,0),0)</f>
        <v>0</v>
      </c>
      <c r="AD1327" s="80">
        <f>IF(AB1327=1,IF(AC1327=1,1440-Z1327+AA1327,AA1327-Z1327),0)</f>
        <v>0</v>
      </c>
      <c r="AE1327" s="80">
        <f>IF(J1327="",0,IF(ISNUMBER(J1327),J1327,-1))</f>
        <v>0</v>
      </c>
      <c r="AF1327" s="80">
        <f>MIN(MAX(0,AE1327),AD1327)</f>
        <v>0</v>
      </c>
      <c r="AG1327" s="80">
        <f>MAX(0,AD1327-MAX(0,AE1327))</f>
        <v>0</v>
      </c>
      <c r="AH1327" s="80">
        <f>IF(ISNUMBER(B1327),IF(AND(INDEX(CFG_WDAYS,WEEKDAY(INT(B1327),2))="Sí",IF(D1327="proMX",COUNTIFS(FER_F,INT(B1327),FER_NLP,"Sí"),COUNTIFS(FER_F,INT(B1327),FER_NLM,"Sí"))=0),1,0),0)</f>
        <v>0</v>
      </c>
      <c r="AI1327" s="80">
        <f>IF(AC1327=1,IF(AND(INDEX(CFG_WDAYS,WEEKDAY(INT(B1327)+1,2))="Sí",IF(D1327="proMX",COUNTIFS(FER_F,INT(B1327)+1,FER_NLP,"Sí"),COUNTIFS(FER_F,INT(B1327)+1,FER_NLM,"Sí"))=0),1,0),0)</f>
        <v>0</v>
      </c>
      <c r="AJ1327" s="80">
        <f>IF(AC1327=1,1440-Z1327,AD1327)</f>
        <v>0</v>
      </c>
      <c r="AK1327" s="80">
        <f>IF(AND(AB1327=1,AH1327=1),MAX(0,MIN(IF(AC1327=1,1440,AA1327),CFG_WEM)-MAX(Z1327,CFG_WSM)),0)</f>
        <v>0</v>
      </c>
      <c r="AL1327" s="80">
        <f>IF(AND(AC1327=1,AI1327=1),MAX(0,MIN(AA1327,CFG_WEM)-CFG_WSM),0)</f>
        <v>0</v>
      </c>
      <c r="AM1327" s="80">
        <f>AK1327+AL1327</f>
        <v>0</v>
      </c>
      <c r="AN1327" s="80">
        <f>IF(CFG_BRK="Proporcional",IF(AD1327=0,0,AF1327*AM1327/AD1327),IF(CFG_BRK="Extras primero",MIN(AM1327,MAX(0,AF1327-(AD1327-AM1327))),MIN(AF1327,AM1327)))</f>
        <v>0</v>
      </c>
      <c r="AO1327" s="80">
        <f>AF1327-AN1327</f>
        <v>0</v>
      </c>
      <c r="AP1327" s="80">
        <f>AM1327-AN1327</f>
        <v>0</v>
      </c>
      <c r="AQ1327" s="80">
        <f>AD1327-AM1327-AO1327</f>
        <v>0</v>
      </c>
      <c r="AR1327" s="80">
        <f>IF(AM1327=0,0,AK1327-AN1327*AK1327/AM1327)</f>
        <v>0</v>
      </c>
      <c r="AS1327" s="80">
        <f>IF(AD1327-AM1327=0,0,(AJ1327-AK1327)-AO1327*(AJ1327-AK1327)/(AD1327-AM1327))</f>
        <v>0</v>
      </c>
      <c r="AT1327" s="80" t="str">
        <f>IF(AC1327=1,INT(B1327)+1,"")</f>
        <v/>
      </c>
      <c r="AU1327" s="80">
        <f>IF(AND(D1327="proMX",R1327="Cancelled"),0,1)</f>
        <v>1</v>
      </c>
      <c r="AV1327" s="80">
        <f>IF(AND(AB1327=1,AU1327=1),IF(COUNTIFS($D$5:D1326,D1327,$B$5:B1326,B1327,$Z$5:Z1326,Z1327,$AA$5:AA1326,AA1327,$F$5:F1326,F1327&amp;"",$AU$5:AU1326,1)&gt;0,1,0),0)</f>
        <v>0</v>
      </c>
      <c r="AW1327" s="80" t="str">
        <f>IF(AB1327=1,INT(B1327)*1440+Z1327,"")</f>
        <v/>
      </c>
      <c r="AX1327" s="80" t="str">
        <f>IF(AB1327=1,AW1327+AD1327,"")</f>
        <v/>
      </c>
      <c r="AY1327" s="80">
        <f>IF(AND(AB1327=1,AV1327=0,AU1327=1),1,0)</f>
        <v>0</v>
      </c>
      <c r="AZ1327" s="80">
        <f>IF(AY1327=1,COUNTIFS(R_Emp,D1327,R_SAbs,"&lt;"&amp;AX1327,R_EAbs,"&gt;"&amp;AW1327,R_OKey,1)-1,0)</f>
        <v>0</v>
      </c>
      <c r="BA1327" s="80">
        <f>IF(AY1327=1,COUNTIFS(R_Emp,"&lt;&gt;"&amp;D1327,R_SAbs,"&lt;"&amp;AX1327,R_EAbs,"&gt;"&amp;AW1327,R_OKey,1),0)</f>
        <v>0</v>
      </c>
      <c r="BB1327" s="80">
        <f>IF(AND(AB1327=1,D1327="proMX"),IF(AND(MOD(Z1327,CFG_BLK)=0,MOD(AA1327,CFG_BLK)=0,MOD(AG1327,CFG_BLK)=0,AG1327&gt;0),1,0),1)</f>
        <v>1</v>
      </c>
      <c r="BC1327" s="80" t="str">
        <f>IF(Y1327=0,"",IF(NOT(ISNUMBER(B1327)),"Falta fecha o fecha inválida",IF(D1327="","Falta empresa",IF(AND(D1327&lt;&gt;"Malcolm",D1327&lt;&gt;"proMX"),"Empresa inválida",IF(OR(INT(B1327)&lt;CFG_PSTART,INT(B1327)&gt;CFG_PEND),"Fecha fuera del período",IF(OR(NOT(ISNUMBER(Z1327)),NOT(ISNUMBER(AA1327))),"Falta hora inicio/fin o formato inválido",IF(AB1327=0,"Hora inicio = hora fin",IF(AE1327&lt;0,"Descanso inválido",IF(AE1327&gt;=AD1327,"Descanso ≥ duración",IF(AV1327=1,"Registro duplicado",IF(AZ1327&gt;0,"Se superpone con otro registro "&amp;D1327,IF(BB1327=0,"inicio, fin y duración neta deben ser múltiplos de "&amp;CFG_BLK&amp;" min",""))))))))))))</f>
        <v/>
      </c>
      <c r="BD1327" s="80">
        <f>IF(AND(Y1327=1,BC1327=""),1,0)</f>
        <v>0</v>
      </c>
      <c r="BE1327" s="80">
        <f>IF(AND(BD1327=1,AU1327=1),1,0)</f>
        <v>0</v>
      </c>
      <c r="BF1327" s="80" t="str">
        <f>IF(AND(D1327="proMX",BD1327=1),IF(R1327="","Draft",R1327),"")</f>
        <v/>
      </c>
      <c r="BG1327" s="80">
        <f>IF(BD1327=1,ROUND(AG1327/60,6),0)</f>
        <v>0</v>
      </c>
      <c r="BH1327" s="80">
        <f>IF(BE1327=1,ROUND(AG1327/60,6),0)</f>
        <v>0</v>
      </c>
      <c r="BI1327" s="80">
        <f>IF(BE1327=1,ROUND(AP1327/60,6),0)</f>
        <v>0</v>
      </c>
      <c r="BJ1327" s="80">
        <f>IF(BE1327=1,ROUND(AQ1327/60,6),0)</f>
        <v>0</v>
      </c>
      <c r="BK1327" s="80">
        <f>IF(BE1327=1,ROUND((AR1327+AS1327)/60,6),0)</f>
        <v>0</v>
      </c>
      <c r="BL1327" s="80">
        <f>ROUND(BH1327-BK1327,6)</f>
        <v>0</v>
      </c>
      <c r="BM1327" s="80">
        <f>IF(BE1327=1,ROUND(AR1327/60,6),0)</f>
        <v>0</v>
      </c>
      <c r="BN1327" s="80">
        <f>ROUND(BI1327-BM1327,6)</f>
        <v>0</v>
      </c>
      <c r="BO1327" s="80">
        <f>IF(BE1327=1,ROUND(AS1327/60,6),0)</f>
        <v>0</v>
      </c>
      <c r="BP1327" s="80">
        <f>ROUND(BJ1327-BO1327,6)</f>
        <v>0</v>
      </c>
      <c r="BQ1327" s="80">
        <f>IF(BE1327=1,AW1327,0)</f>
        <v>0</v>
      </c>
      <c r="BR1327" s="80">
        <f>IF(BE1327=1,AX1327,0)</f>
        <v>0</v>
      </c>
      <c r="BS1327" s="80">
        <f>IF(AND(BE1327=1,D1327="Malcolm",BA1327&gt;0),MIN(BH1327,SUMPRODUCT((R_Emp="proMX")*(R_EN&gt;0)*((R_EN-(R_EN&gt;BR1327)*(R_EN-BR1327))&gt;(R_SN+(R_SN&lt;BQ1327)*(BQ1327-R_SN)))*((R_EN-(R_EN&gt;BR1327)*(R_EN-BR1327))-(R_SN+(R_SN&lt;BQ1327)*(BQ1327-R_SN))))/60),0)</f>
        <v>0</v>
      </c>
      <c r="BT1327" s="80">
        <f>IF(AND(BE1327=1,D1327="proMX"),ROUND(BI1327*CFG_RATE+BJ1327*CFG_OTRATE,6),0)</f>
        <v>0</v>
      </c>
      <c r="BU1327" s="80">
        <f>IF(AND(BD1327=1,D1327="proMX"),ROUND(AG1327/CFG_BLK,6),0)</f>
        <v>0</v>
      </c>
      <c r="BV1327" s="80" t="str">
        <f>IF(BF1327="Approved",IF(ISNUMBER(T1327),INT(T1327),INT(B1327)),"")</f>
        <v/>
      </c>
      <c r="BW1327" s="80">
        <f>IF(ISNUMBER(B1327),IF(DB_MON="Todos",1,IF(AND(INT(B1327)&gt;=DB_MS,INT(B1327)&lt;=DB_ME),1,0)),0)</f>
        <v>0</v>
      </c>
      <c r="BX1327" s="80">
        <f>IF(DB_PROJ="Todos",1,IF(E1327&amp;""=DB_PROJ&amp;"",1,0))</f>
        <v>1</v>
      </c>
      <c r="BY1327" s="80">
        <f>BW1327*BX1327</f>
        <v>0</v>
      </c>
      <c r="BZ1327" s="80" t="str">
        <f>IF(Y1327=1,F1327&amp;IF(AND(F1327&amp;""&lt;&gt;"",E1327&amp;""&lt;&gt;"")," · ","")&amp;E1327,"")</f>
        <v/>
      </c>
      <c r="CA1327" s="80" t="str">
        <f>IF(AND(BD1327=1,E1327&amp;""&lt;&gt;""),IF(COUNTIFS($E$5:E1326,E1327,$BD$5:BD1326,1)=0,MAX($CA$5:CA1326)+1,""),"")</f>
        <v/>
      </c>
      <c r="CB1327" s="80" t="str">
        <f>IF(AND(BE1327=1,D1327="Malcolm",E1327&amp;""&lt;&gt;""),IF(COUNTIFS($D$5:D1326,"Malcolm",$E$5:E1326,E1327,$BE$5:BE1326,1)=0,MAX($CB$5:CB1326)+1,""),"")</f>
        <v/>
      </c>
      <c r="CC1327" s="80" t="str">
        <f>IF(AND(BD1327=1,D1327="proMX",E1327&amp;""&lt;&gt;""),IF(COUNTIFS($D$5:D1326,"proMX",$E$5:E1326,E1327,$BD$5:BD1326,1)=0,MAX($CC$5:CC1326)+1,""),"")</f>
        <v/>
      </c>
      <c r="CD1327" s="80" t="str">
        <f>IF(AND(BE1327=1,D1327="Malcolm",F1327&amp;""&lt;&gt;""),IF(COUNTIFS($D$5:D1326,"Malcolm",$F$5:F1326,F1327,$BE$5:BE1326,1)=0,MAX($CD$5:CD1326)+1,""),"")</f>
        <v/>
      </c>
      <c r="CE1327" s="80" t="str">
        <f>IF(AND(BD1327=1,D1327="proMX",F1327&amp;""&lt;&gt;""),IF(COUNTIFS($D$5:D1326,"proMX",$F$5:F1326,F1327,$BD$5:BD1326,1)=0,MAX($CE$5:CE1326)+1,""),"")</f>
        <v/>
      </c>
      <c r="CF1327" s="80" t="str">
        <f>IF(AND(D1327="proMX",BD1327=1),IF(OR(BF1327="Draft",BF1327="Submitted",BF1327="Returned",BF1327="Recall Requested"),MAX($CF$5:CF1326)+1,""),"")</f>
        <v/>
      </c>
      <c r="CG1327" s="80">
        <f>IF(BD1327=0,0,IF(D1327="Malcolm",1,MATCH(BF1327,{"Draft","Submitted","Approved","Returned","Recall Requested","Cancelled"},0)+1))</f>
        <v>0</v>
      </c>
      <c r="CH1327" s="80">
        <f>IF(AND(BF1327="Submitted",ISNUMBER(V1327)),IF(V1327&gt;CFG_MAXD,1,0),0)</f>
        <v>0</v>
      </c>
    </row>
    <row r="1328">
      <c r="A1328" s="71" t="str">
        <f>IF(Y1328=1,ROW()-5,"")</f>
        <v/>
      </c>
      <c r="B1328" s="72" t="n"/>
      <c r="C1328" s="71" t="str">
        <f>IF(ISNUMBER(B1328),CHOOSE(WEEKDAY(B1328,2),"Lun","Mar","Mié","Jue","Vie","Sáb","Dom"),"")</f>
        <v/>
      </c>
      <c r="D1328" s="73" t="n"/>
      <c r="E1328" s="74" t="n"/>
      <c r="F1328" s="74" t="n"/>
      <c r="G1328" s="74" t="n"/>
      <c r="H1328" s="75" t="n"/>
      <c r="I1328" s="75" t="n"/>
      <c r="J1328" s="76" t="n"/>
      <c r="K1328" s="77" t="str">
        <f>IF(AB1328=1,ROUND(AG1328/60,4),"")</f>
        <v/>
      </c>
      <c r="L1328" s="77" t="str">
        <f>IF(BD1328=1,ROUND(AP1328/60,4),"")</f>
        <v/>
      </c>
      <c r="M1328" s="77" t="str">
        <f>IF(BD1328=1,ROUND(AQ1328/60,4),"")</f>
        <v/>
      </c>
      <c r="N1328" s="71" t="str">
        <f>IF(AND(D1328="proMX",AB1328=1),ROUND(AG1328/CFG_BLK,2),"")</f>
        <v/>
      </c>
      <c r="O1328" s="77" t="str">
        <f>IF(D1328="proMX",IF(BD1328=1,ROUND(AG1328/60,4),0),"")</f>
        <v/>
      </c>
      <c r="P1328" s="78" t="str">
        <f>IF(Y1328=0,"",IF(BD1328=1,"OK",IF(D1328="proMX","Revisar bloques: ","Revisar: ")&amp;BC1328))</f>
        <v/>
      </c>
      <c r="Q1328" s="78" t="str">
        <f>IF(NOT(ISNUMBER(B1328)),"",IF(COUNTIFS(FER_F,INT(B1328))&gt;0,"Feriado"&amp;IF(AH1328=1," (laborable)"," (no laborable)"),IF(AH1328=1,"Laborable",IF(WEEKDAY(B1328,2)&gt;5,"Fin de semana","No laborable"))))</f>
        <v/>
      </c>
      <c r="R1328" s="73" t="n"/>
      <c r="S1328" s="72" t="n"/>
      <c r="T1328" s="72" t="n"/>
      <c r="U1328" s="74" t="n"/>
      <c r="V1328" s="79" t="str">
        <f>IF(AND(D1328="proMX",OR(R1328="Submitted",R1328="Recall Requested"),ISNUMBER(S1328)),CFG_TODAY-INT(S1328),"")</f>
        <v/>
      </c>
      <c r="W1328" s="78" t="str">
        <f>IF(BD1328=0,"",IF(BA1328&gt;0,"⚠ Se superpone con un registro de la otra empresa",IF(D1328="Malcolm",IF(COUNTA(R1328,S1328,T1328)&gt;0,"Estado/fechas proMX se ignoran en Malcolm",""),IF(BF1328="Cancelled","Cancelado: excluido de totales",IF(R1328="","Sin estado: se trata como Draft",IF(BF1328="Submitted",IF(ISNUMBER(V1328),IF(V1328&gt;CFG_MAXD,"⚠ "&amp;V1328&amp;" días en Submitted (máx. "&amp;CFG_MAXD&amp;")",""),"Falta fecha de envío"),IF(BF1328="Returned","⚠ Devuelto: corregir y reenviar",IF(BF1328="Recall Requested","Retirada solicitada: pendiente",IF(AND(BF1328="Approved",NOT(ISNUMBER(T1328))),"Falta fecha de aprobación",IF(AND(ISNUMBER(S1328),ISNUMBER(T1328),T1328&lt;S1328),"Aprobación anterior al envío","")))))))))</f>
        <v/>
      </c>
      <c r="Y1328" s="80">
        <f>IF(COUNTA(B1328,D1328,E1328,F1328,G1328,H1328,I1328,J1328,R1328,S1328,T1328)&gt;0,1,0)</f>
        <v>0</v>
      </c>
      <c r="Z1328" s="80" t="str">
        <f>IF(AND(ISNUMBER(H1328),H1328&gt;=0,H1328&lt;1),ROUND(H1328*1440,0),"")</f>
        <v/>
      </c>
      <c r="AA1328" s="80" t="str">
        <f>IF(AND(ISNUMBER(I1328),I1328&gt;=0,I1328&lt;1),ROUND(I1328*1440,0),"")</f>
        <v/>
      </c>
      <c r="AB1328" s="80">
        <f>IF(AND(ISNUMBER(B1328),D1328&lt;&gt;"",ISNUMBER(Z1328),ISNUMBER(AA1328)),IF(Z1328=AA1328,0,1),0)</f>
        <v>0</v>
      </c>
      <c r="AC1328" s="80">
        <f>IF(AB1328=1,IF(AA1328&lt;Z1328,1,0),0)</f>
        <v>0</v>
      </c>
      <c r="AD1328" s="80">
        <f>IF(AB1328=1,IF(AC1328=1,1440-Z1328+AA1328,AA1328-Z1328),0)</f>
        <v>0</v>
      </c>
      <c r="AE1328" s="80">
        <f>IF(J1328="",0,IF(ISNUMBER(J1328),J1328,-1))</f>
        <v>0</v>
      </c>
      <c r="AF1328" s="80">
        <f>MIN(MAX(0,AE1328),AD1328)</f>
        <v>0</v>
      </c>
      <c r="AG1328" s="80">
        <f>MAX(0,AD1328-MAX(0,AE1328))</f>
        <v>0</v>
      </c>
      <c r="AH1328" s="80">
        <f>IF(ISNUMBER(B1328),IF(AND(INDEX(CFG_WDAYS,WEEKDAY(INT(B1328),2))="Sí",IF(D1328="proMX",COUNTIFS(FER_F,INT(B1328),FER_NLP,"Sí"),COUNTIFS(FER_F,INT(B1328),FER_NLM,"Sí"))=0),1,0),0)</f>
        <v>0</v>
      </c>
      <c r="AI1328" s="80">
        <f>IF(AC1328=1,IF(AND(INDEX(CFG_WDAYS,WEEKDAY(INT(B1328)+1,2))="Sí",IF(D1328="proMX",COUNTIFS(FER_F,INT(B1328)+1,FER_NLP,"Sí"),COUNTIFS(FER_F,INT(B1328)+1,FER_NLM,"Sí"))=0),1,0),0)</f>
        <v>0</v>
      </c>
      <c r="AJ1328" s="80">
        <f>IF(AC1328=1,1440-Z1328,AD1328)</f>
        <v>0</v>
      </c>
      <c r="AK1328" s="80">
        <f>IF(AND(AB1328=1,AH1328=1),MAX(0,MIN(IF(AC1328=1,1440,AA1328),CFG_WEM)-MAX(Z1328,CFG_WSM)),0)</f>
        <v>0</v>
      </c>
      <c r="AL1328" s="80">
        <f>IF(AND(AC1328=1,AI1328=1),MAX(0,MIN(AA1328,CFG_WEM)-CFG_WSM),0)</f>
        <v>0</v>
      </c>
      <c r="AM1328" s="80">
        <f>AK1328+AL1328</f>
        <v>0</v>
      </c>
      <c r="AN1328" s="80">
        <f>IF(CFG_BRK="Proporcional",IF(AD1328=0,0,AF1328*AM1328/AD1328),IF(CFG_BRK="Extras primero",MIN(AM1328,MAX(0,AF1328-(AD1328-AM1328))),MIN(AF1328,AM1328)))</f>
        <v>0</v>
      </c>
      <c r="AO1328" s="80">
        <f>AF1328-AN1328</f>
        <v>0</v>
      </c>
      <c r="AP1328" s="80">
        <f>AM1328-AN1328</f>
        <v>0</v>
      </c>
      <c r="AQ1328" s="80">
        <f>AD1328-AM1328-AO1328</f>
        <v>0</v>
      </c>
      <c r="AR1328" s="80">
        <f>IF(AM1328=0,0,AK1328-AN1328*AK1328/AM1328)</f>
        <v>0</v>
      </c>
      <c r="AS1328" s="80">
        <f>IF(AD1328-AM1328=0,0,(AJ1328-AK1328)-AO1328*(AJ1328-AK1328)/(AD1328-AM1328))</f>
        <v>0</v>
      </c>
      <c r="AT1328" s="80" t="str">
        <f>IF(AC1328=1,INT(B1328)+1,"")</f>
        <v/>
      </c>
      <c r="AU1328" s="80">
        <f>IF(AND(D1328="proMX",R1328="Cancelled"),0,1)</f>
        <v>1</v>
      </c>
      <c r="AV1328" s="80">
        <f>IF(AND(AB1328=1,AU1328=1),IF(COUNTIFS($D$5:D1327,D1328,$B$5:B1327,B1328,$Z$5:Z1327,Z1328,$AA$5:AA1327,AA1328,$F$5:F1327,F1328&amp;"",$AU$5:AU1327,1)&gt;0,1,0),0)</f>
        <v>0</v>
      </c>
      <c r="AW1328" s="80" t="str">
        <f>IF(AB1328=1,INT(B1328)*1440+Z1328,"")</f>
        <v/>
      </c>
      <c r="AX1328" s="80" t="str">
        <f>IF(AB1328=1,AW1328+AD1328,"")</f>
        <v/>
      </c>
      <c r="AY1328" s="80">
        <f>IF(AND(AB1328=1,AV1328=0,AU1328=1),1,0)</f>
        <v>0</v>
      </c>
      <c r="AZ1328" s="80">
        <f>IF(AY1328=1,COUNTIFS(R_Emp,D1328,R_SAbs,"&lt;"&amp;AX1328,R_EAbs,"&gt;"&amp;AW1328,R_OKey,1)-1,0)</f>
        <v>0</v>
      </c>
      <c r="BA1328" s="80">
        <f>IF(AY1328=1,COUNTIFS(R_Emp,"&lt;&gt;"&amp;D1328,R_SAbs,"&lt;"&amp;AX1328,R_EAbs,"&gt;"&amp;AW1328,R_OKey,1),0)</f>
        <v>0</v>
      </c>
      <c r="BB1328" s="80">
        <f>IF(AND(AB1328=1,D1328="proMX"),IF(AND(MOD(Z1328,CFG_BLK)=0,MOD(AA1328,CFG_BLK)=0,MOD(AG1328,CFG_BLK)=0,AG1328&gt;0),1,0),1)</f>
        <v>1</v>
      </c>
      <c r="BC1328" s="80" t="str">
        <f>IF(Y1328=0,"",IF(NOT(ISNUMBER(B1328)),"Falta fecha o fecha inválida",IF(D1328="","Falta empresa",IF(AND(D1328&lt;&gt;"Malcolm",D1328&lt;&gt;"proMX"),"Empresa inválida",IF(OR(INT(B1328)&lt;CFG_PSTART,INT(B1328)&gt;CFG_PEND),"Fecha fuera del período",IF(OR(NOT(ISNUMBER(Z1328)),NOT(ISNUMBER(AA1328))),"Falta hora inicio/fin o formato inválido",IF(AB1328=0,"Hora inicio = hora fin",IF(AE1328&lt;0,"Descanso inválido",IF(AE1328&gt;=AD1328,"Descanso ≥ duración",IF(AV1328=1,"Registro duplicado",IF(AZ1328&gt;0,"Se superpone con otro registro "&amp;D1328,IF(BB1328=0,"inicio, fin y duración neta deben ser múltiplos de "&amp;CFG_BLK&amp;" min",""))))))))))))</f>
        <v/>
      </c>
      <c r="BD1328" s="80">
        <f>IF(AND(Y1328=1,BC1328=""),1,0)</f>
        <v>0</v>
      </c>
      <c r="BE1328" s="80">
        <f>IF(AND(BD1328=1,AU1328=1),1,0)</f>
        <v>0</v>
      </c>
      <c r="BF1328" s="80" t="str">
        <f>IF(AND(D1328="proMX",BD1328=1),IF(R1328="","Draft",R1328),"")</f>
        <v/>
      </c>
      <c r="BG1328" s="80">
        <f>IF(BD1328=1,ROUND(AG1328/60,6),0)</f>
        <v>0</v>
      </c>
      <c r="BH1328" s="80">
        <f>IF(BE1328=1,ROUND(AG1328/60,6),0)</f>
        <v>0</v>
      </c>
      <c r="BI1328" s="80">
        <f>IF(BE1328=1,ROUND(AP1328/60,6),0)</f>
        <v>0</v>
      </c>
      <c r="BJ1328" s="80">
        <f>IF(BE1328=1,ROUND(AQ1328/60,6),0)</f>
        <v>0</v>
      </c>
      <c r="BK1328" s="80">
        <f>IF(BE1328=1,ROUND((AR1328+AS1328)/60,6),0)</f>
        <v>0</v>
      </c>
      <c r="BL1328" s="80">
        <f>ROUND(BH1328-BK1328,6)</f>
        <v>0</v>
      </c>
      <c r="BM1328" s="80">
        <f>IF(BE1328=1,ROUND(AR1328/60,6),0)</f>
        <v>0</v>
      </c>
      <c r="BN1328" s="80">
        <f>ROUND(BI1328-BM1328,6)</f>
        <v>0</v>
      </c>
      <c r="BO1328" s="80">
        <f>IF(BE1328=1,ROUND(AS1328/60,6),0)</f>
        <v>0</v>
      </c>
      <c r="BP1328" s="80">
        <f>ROUND(BJ1328-BO1328,6)</f>
        <v>0</v>
      </c>
      <c r="BQ1328" s="80">
        <f>IF(BE1328=1,AW1328,0)</f>
        <v>0</v>
      </c>
      <c r="BR1328" s="80">
        <f>IF(BE1328=1,AX1328,0)</f>
        <v>0</v>
      </c>
      <c r="BS1328" s="80">
        <f>IF(AND(BE1328=1,D1328="Malcolm",BA1328&gt;0),MIN(BH1328,SUMPRODUCT((R_Emp="proMX")*(R_EN&gt;0)*((R_EN-(R_EN&gt;BR1328)*(R_EN-BR1328))&gt;(R_SN+(R_SN&lt;BQ1328)*(BQ1328-R_SN)))*((R_EN-(R_EN&gt;BR1328)*(R_EN-BR1328))-(R_SN+(R_SN&lt;BQ1328)*(BQ1328-R_SN))))/60),0)</f>
        <v>0</v>
      </c>
      <c r="BT1328" s="80">
        <f>IF(AND(BE1328=1,D1328="proMX"),ROUND(BI1328*CFG_RATE+BJ1328*CFG_OTRATE,6),0)</f>
        <v>0</v>
      </c>
      <c r="BU1328" s="80">
        <f>IF(AND(BD1328=1,D1328="proMX"),ROUND(AG1328/CFG_BLK,6),0)</f>
        <v>0</v>
      </c>
      <c r="BV1328" s="80" t="str">
        <f>IF(BF1328="Approved",IF(ISNUMBER(T1328),INT(T1328),INT(B1328)),"")</f>
        <v/>
      </c>
      <c r="BW1328" s="80">
        <f>IF(ISNUMBER(B1328),IF(DB_MON="Todos",1,IF(AND(INT(B1328)&gt;=DB_MS,INT(B1328)&lt;=DB_ME),1,0)),0)</f>
        <v>0</v>
      </c>
      <c r="BX1328" s="80">
        <f>IF(DB_PROJ="Todos",1,IF(E1328&amp;""=DB_PROJ&amp;"",1,0))</f>
        <v>1</v>
      </c>
      <c r="BY1328" s="80">
        <f>BW1328*BX1328</f>
        <v>0</v>
      </c>
      <c r="BZ1328" s="80" t="str">
        <f>IF(Y1328=1,F1328&amp;IF(AND(F1328&amp;""&lt;&gt;"",E1328&amp;""&lt;&gt;"")," · ","")&amp;E1328,"")</f>
        <v/>
      </c>
      <c r="CA1328" s="80" t="str">
        <f>IF(AND(BD1328=1,E1328&amp;""&lt;&gt;""),IF(COUNTIFS($E$5:E1327,E1328,$BD$5:BD1327,1)=0,MAX($CA$5:CA1327)+1,""),"")</f>
        <v/>
      </c>
      <c r="CB1328" s="80" t="str">
        <f>IF(AND(BE1328=1,D1328="Malcolm",E1328&amp;""&lt;&gt;""),IF(COUNTIFS($D$5:D1327,"Malcolm",$E$5:E1327,E1328,$BE$5:BE1327,1)=0,MAX($CB$5:CB1327)+1,""),"")</f>
        <v/>
      </c>
      <c r="CC1328" s="80" t="str">
        <f>IF(AND(BD1328=1,D1328="proMX",E1328&amp;""&lt;&gt;""),IF(COUNTIFS($D$5:D1327,"proMX",$E$5:E1327,E1328,$BD$5:BD1327,1)=0,MAX($CC$5:CC1327)+1,""),"")</f>
        <v/>
      </c>
      <c r="CD1328" s="80" t="str">
        <f>IF(AND(BE1328=1,D1328="Malcolm",F1328&amp;""&lt;&gt;""),IF(COUNTIFS($D$5:D1327,"Malcolm",$F$5:F1327,F1328,$BE$5:BE1327,1)=0,MAX($CD$5:CD1327)+1,""),"")</f>
        <v/>
      </c>
      <c r="CE1328" s="80" t="str">
        <f>IF(AND(BD1328=1,D1328="proMX",F1328&amp;""&lt;&gt;""),IF(COUNTIFS($D$5:D1327,"proMX",$F$5:F1327,F1328,$BD$5:BD1327,1)=0,MAX($CE$5:CE1327)+1,""),"")</f>
        <v/>
      </c>
      <c r="CF1328" s="80" t="str">
        <f>IF(AND(D1328="proMX",BD1328=1),IF(OR(BF1328="Draft",BF1328="Submitted",BF1328="Returned",BF1328="Recall Requested"),MAX($CF$5:CF1327)+1,""),"")</f>
        <v/>
      </c>
      <c r="CG1328" s="80">
        <f>IF(BD1328=0,0,IF(D1328="Malcolm",1,MATCH(BF1328,{"Draft","Submitted","Approved","Returned","Recall Requested","Cancelled"},0)+1))</f>
        <v>0</v>
      </c>
      <c r="CH1328" s="80">
        <f>IF(AND(BF1328="Submitted",ISNUMBER(V1328)),IF(V1328&gt;CFG_MAXD,1,0),0)</f>
        <v>0</v>
      </c>
    </row>
    <row r="1329">
      <c r="A1329" s="71" t="str">
        <f>IF(Y1329=1,ROW()-5,"")</f>
        <v/>
      </c>
      <c r="B1329" s="72" t="n"/>
      <c r="C1329" s="71" t="str">
        <f>IF(ISNUMBER(B1329),CHOOSE(WEEKDAY(B1329,2),"Lun","Mar","Mié","Jue","Vie","Sáb","Dom"),"")</f>
        <v/>
      </c>
      <c r="D1329" s="73" t="n"/>
      <c r="E1329" s="74" t="n"/>
      <c r="F1329" s="74" t="n"/>
      <c r="G1329" s="74" t="n"/>
      <c r="H1329" s="75" t="n"/>
      <c r="I1329" s="75" t="n"/>
      <c r="J1329" s="76" t="n"/>
      <c r="K1329" s="77" t="str">
        <f>IF(AB1329=1,ROUND(AG1329/60,4),"")</f>
        <v/>
      </c>
      <c r="L1329" s="77" t="str">
        <f>IF(BD1329=1,ROUND(AP1329/60,4),"")</f>
        <v/>
      </c>
      <c r="M1329" s="77" t="str">
        <f>IF(BD1329=1,ROUND(AQ1329/60,4),"")</f>
        <v/>
      </c>
      <c r="N1329" s="71" t="str">
        <f>IF(AND(D1329="proMX",AB1329=1),ROUND(AG1329/CFG_BLK,2),"")</f>
        <v/>
      </c>
      <c r="O1329" s="77" t="str">
        <f>IF(D1329="proMX",IF(BD1329=1,ROUND(AG1329/60,4),0),"")</f>
        <v/>
      </c>
      <c r="P1329" s="78" t="str">
        <f>IF(Y1329=0,"",IF(BD1329=1,"OK",IF(D1329="proMX","Revisar bloques: ","Revisar: ")&amp;BC1329))</f>
        <v/>
      </c>
      <c r="Q1329" s="78" t="str">
        <f>IF(NOT(ISNUMBER(B1329)),"",IF(COUNTIFS(FER_F,INT(B1329))&gt;0,"Feriado"&amp;IF(AH1329=1," (laborable)"," (no laborable)"),IF(AH1329=1,"Laborable",IF(WEEKDAY(B1329,2)&gt;5,"Fin de semana","No laborable"))))</f>
        <v/>
      </c>
      <c r="R1329" s="73" t="n"/>
      <c r="S1329" s="72" t="n"/>
      <c r="T1329" s="72" t="n"/>
      <c r="U1329" s="74" t="n"/>
      <c r="V1329" s="79" t="str">
        <f>IF(AND(D1329="proMX",OR(R1329="Submitted",R1329="Recall Requested"),ISNUMBER(S1329)),CFG_TODAY-INT(S1329),"")</f>
        <v/>
      </c>
      <c r="W1329" s="78" t="str">
        <f>IF(BD1329=0,"",IF(BA1329&gt;0,"⚠ Se superpone con un registro de la otra empresa",IF(D1329="Malcolm",IF(COUNTA(R1329,S1329,T1329)&gt;0,"Estado/fechas proMX se ignoran en Malcolm",""),IF(BF1329="Cancelled","Cancelado: excluido de totales",IF(R1329="","Sin estado: se trata como Draft",IF(BF1329="Submitted",IF(ISNUMBER(V1329),IF(V1329&gt;CFG_MAXD,"⚠ "&amp;V1329&amp;" días en Submitted (máx. "&amp;CFG_MAXD&amp;")",""),"Falta fecha de envío"),IF(BF1329="Returned","⚠ Devuelto: corregir y reenviar",IF(BF1329="Recall Requested","Retirada solicitada: pendiente",IF(AND(BF1329="Approved",NOT(ISNUMBER(T1329))),"Falta fecha de aprobación",IF(AND(ISNUMBER(S1329),ISNUMBER(T1329),T1329&lt;S1329),"Aprobación anterior al envío","")))))))))</f>
        <v/>
      </c>
      <c r="Y1329" s="80">
        <f>IF(COUNTA(B1329,D1329,E1329,F1329,G1329,H1329,I1329,J1329,R1329,S1329,T1329)&gt;0,1,0)</f>
        <v>0</v>
      </c>
      <c r="Z1329" s="80" t="str">
        <f>IF(AND(ISNUMBER(H1329),H1329&gt;=0,H1329&lt;1),ROUND(H1329*1440,0),"")</f>
        <v/>
      </c>
      <c r="AA1329" s="80" t="str">
        <f>IF(AND(ISNUMBER(I1329),I1329&gt;=0,I1329&lt;1),ROUND(I1329*1440,0),"")</f>
        <v/>
      </c>
      <c r="AB1329" s="80">
        <f>IF(AND(ISNUMBER(B1329),D1329&lt;&gt;"",ISNUMBER(Z1329),ISNUMBER(AA1329)),IF(Z1329=AA1329,0,1),0)</f>
        <v>0</v>
      </c>
      <c r="AC1329" s="80">
        <f>IF(AB1329=1,IF(AA1329&lt;Z1329,1,0),0)</f>
        <v>0</v>
      </c>
      <c r="AD1329" s="80">
        <f>IF(AB1329=1,IF(AC1329=1,1440-Z1329+AA1329,AA1329-Z1329),0)</f>
        <v>0</v>
      </c>
      <c r="AE1329" s="80">
        <f>IF(J1329="",0,IF(ISNUMBER(J1329),J1329,-1))</f>
        <v>0</v>
      </c>
      <c r="AF1329" s="80">
        <f>MIN(MAX(0,AE1329),AD1329)</f>
        <v>0</v>
      </c>
      <c r="AG1329" s="80">
        <f>MAX(0,AD1329-MAX(0,AE1329))</f>
        <v>0</v>
      </c>
      <c r="AH1329" s="80">
        <f>IF(ISNUMBER(B1329),IF(AND(INDEX(CFG_WDAYS,WEEKDAY(INT(B1329),2))="Sí",IF(D1329="proMX",COUNTIFS(FER_F,INT(B1329),FER_NLP,"Sí"),COUNTIFS(FER_F,INT(B1329),FER_NLM,"Sí"))=0),1,0),0)</f>
        <v>0</v>
      </c>
      <c r="AI1329" s="80">
        <f>IF(AC1329=1,IF(AND(INDEX(CFG_WDAYS,WEEKDAY(INT(B1329)+1,2))="Sí",IF(D1329="proMX",COUNTIFS(FER_F,INT(B1329)+1,FER_NLP,"Sí"),COUNTIFS(FER_F,INT(B1329)+1,FER_NLM,"Sí"))=0),1,0),0)</f>
        <v>0</v>
      </c>
      <c r="AJ1329" s="80">
        <f>IF(AC1329=1,1440-Z1329,AD1329)</f>
        <v>0</v>
      </c>
      <c r="AK1329" s="80">
        <f>IF(AND(AB1329=1,AH1329=1),MAX(0,MIN(IF(AC1329=1,1440,AA1329),CFG_WEM)-MAX(Z1329,CFG_WSM)),0)</f>
        <v>0</v>
      </c>
      <c r="AL1329" s="80">
        <f>IF(AND(AC1329=1,AI1329=1),MAX(0,MIN(AA1329,CFG_WEM)-CFG_WSM),0)</f>
        <v>0</v>
      </c>
      <c r="AM1329" s="80">
        <f>AK1329+AL1329</f>
        <v>0</v>
      </c>
      <c r="AN1329" s="80">
        <f>IF(CFG_BRK="Proporcional",IF(AD1329=0,0,AF1329*AM1329/AD1329),IF(CFG_BRK="Extras primero",MIN(AM1329,MAX(0,AF1329-(AD1329-AM1329))),MIN(AF1329,AM1329)))</f>
        <v>0</v>
      </c>
      <c r="AO1329" s="80">
        <f>AF1329-AN1329</f>
        <v>0</v>
      </c>
      <c r="AP1329" s="80">
        <f>AM1329-AN1329</f>
        <v>0</v>
      </c>
      <c r="AQ1329" s="80">
        <f>AD1329-AM1329-AO1329</f>
        <v>0</v>
      </c>
      <c r="AR1329" s="80">
        <f>IF(AM1329=0,0,AK1329-AN1329*AK1329/AM1329)</f>
        <v>0</v>
      </c>
      <c r="AS1329" s="80">
        <f>IF(AD1329-AM1329=0,0,(AJ1329-AK1329)-AO1329*(AJ1329-AK1329)/(AD1329-AM1329))</f>
        <v>0</v>
      </c>
      <c r="AT1329" s="80" t="str">
        <f>IF(AC1329=1,INT(B1329)+1,"")</f>
        <v/>
      </c>
      <c r="AU1329" s="80">
        <f>IF(AND(D1329="proMX",R1329="Cancelled"),0,1)</f>
        <v>1</v>
      </c>
      <c r="AV1329" s="80">
        <f>IF(AND(AB1329=1,AU1329=1),IF(COUNTIFS($D$5:D1328,D1329,$B$5:B1328,B1329,$Z$5:Z1328,Z1329,$AA$5:AA1328,AA1329,$F$5:F1328,F1329&amp;"",$AU$5:AU1328,1)&gt;0,1,0),0)</f>
        <v>0</v>
      </c>
      <c r="AW1329" s="80" t="str">
        <f>IF(AB1329=1,INT(B1329)*1440+Z1329,"")</f>
        <v/>
      </c>
      <c r="AX1329" s="80" t="str">
        <f>IF(AB1329=1,AW1329+AD1329,"")</f>
        <v/>
      </c>
      <c r="AY1329" s="80">
        <f>IF(AND(AB1329=1,AV1329=0,AU1329=1),1,0)</f>
        <v>0</v>
      </c>
      <c r="AZ1329" s="80">
        <f>IF(AY1329=1,COUNTIFS(R_Emp,D1329,R_SAbs,"&lt;"&amp;AX1329,R_EAbs,"&gt;"&amp;AW1329,R_OKey,1)-1,0)</f>
        <v>0</v>
      </c>
      <c r="BA1329" s="80">
        <f>IF(AY1329=1,COUNTIFS(R_Emp,"&lt;&gt;"&amp;D1329,R_SAbs,"&lt;"&amp;AX1329,R_EAbs,"&gt;"&amp;AW1329,R_OKey,1),0)</f>
        <v>0</v>
      </c>
      <c r="BB1329" s="80">
        <f>IF(AND(AB1329=1,D1329="proMX"),IF(AND(MOD(Z1329,CFG_BLK)=0,MOD(AA1329,CFG_BLK)=0,MOD(AG1329,CFG_BLK)=0,AG1329&gt;0),1,0),1)</f>
        <v>1</v>
      </c>
      <c r="BC1329" s="80" t="str">
        <f>IF(Y1329=0,"",IF(NOT(ISNUMBER(B1329)),"Falta fecha o fecha inválida",IF(D1329="","Falta empresa",IF(AND(D1329&lt;&gt;"Malcolm",D1329&lt;&gt;"proMX"),"Empresa inválida",IF(OR(INT(B1329)&lt;CFG_PSTART,INT(B1329)&gt;CFG_PEND),"Fecha fuera del período",IF(OR(NOT(ISNUMBER(Z1329)),NOT(ISNUMBER(AA1329))),"Falta hora inicio/fin o formato inválido",IF(AB1329=0,"Hora inicio = hora fin",IF(AE1329&lt;0,"Descanso inválido",IF(AE1329&gt;=AD1329,"Descanso ≥ duración",IF(AV1329=1,"Registro duplicado",IF(AZ1329&gt;0,"Se superpone con otro registro "&amp;D1329,IF(BB1329=0,"inicio, fin y duración neta deben ser múltiplos de "&amp;CFG_BLK&amp;" min",""))))))))))))</f>
        <v/>
      </c>
      <c r="BD1329" s="80">
        <f>IF(AND(Y1329=1,BC1329=""),1,0)</f>
        <v>0</v>
      </c>
      <c r="BE1329" s="80">
        <f>IF(AND(BD1329=1,AU1329=1),1,0)</f>
        <v>0</v>
      </c>
      <c r="BF1329" s="80" t="str">
        <f>IF(AND(D1329="proMX",BD1329=1),IF(R1329="","Draft",R1329),"")</f>
        <v/>
      </c>
      <c r="BG1329" s="80">
        <f>IF(BD1329=1,ROUND(AG1329/60,6),0)</f>
        <v>0</v>
      </c>
      <c r="BH1329" s="80">
        <f>IF(BE1329=1,ROUND(AG1329/60,6),0)</f>
        <v>0</v>
      </c>
      <c r="BI1329" s="80">
        <f>IF(BE1329=1,ROUND(AP1329/60,6),0)</f>
        <v>0</v>
      </c>
      <c r="BJ1329" s="80">
        <f>IF(BE1329=1,ROUND(AQ1329/60,6),0)</f>
        <v>0</v>
      </c>
      <c r="BK1329" s="80">
        <f>IF(BE1329=1,ROUND((AR1329+AS1329)/60,6),0)</f>
        <v>0</v>
      </c>
      <c r="BL1329" s="80">
        <f>ROUND(BH1329-BK1329,6)</f>
        <v>0</v>
      </c>
      <c r="BM1329" s="80">
        <f>IF(BE1329=1,ROUND(AR1329/60,6),0)</f>
        <v>0</v>
      </c>
      <c r="BN1329" s="80">
        <f>ROUND(BI1329-BM1329,6)</f>
        <v>0</v>
      </c>
      <c r="BO1329" s="80">
        <f>IF(BE1329=1,ROUND(AS1329/60,6),0)</f>
        <v>0</v>
      </c>
      <c r="BP1329" s="80">
        <f>ROUND(BJ1329-BO1329,6)</f>
        <v>0</v>
      </c>
      <c r="BQ1329" s="80">
        <f>IF(BE1329=1,AW1329,0)</f>
        <v>0</v>
      </c>
      <c r="BR1329" s="80">
        <f>IF(BE1329=1,AX1329,0)</f>
        <v>0</v>
      </c>
      <c r="BS1329" s="80">
        <f>IF(AND(BE1329=1,D1329="Malcolm",BA1329&gt;0),MIN(BH1329,SUMPRODUCT((R_Emp="proMX")*(R_EN&gt;0)*((R_EN-(R_EN&gt;BR1329)*(R_EN-BR1329))&gt;(R_SN+(R_SN&lt;BQ1329)*(BQ1329-R_SN)))*((R_EN-(R_EN&gt;BR1329)*(R_EN-BR1329))-(R_SN+(R_SN&lt;BQ1329)*(BQ1329-R_SN))))/60),0)</f>
        <v>0</v>
      </c>
      <c r="BT1329" s="80">
        <f>IF(AND(BE1329=1,D1329="proMX"),ROUND(BI1329*CFG_RATE+BJ1329*CFG_OTRATE,6),0)</f>
        <v>0</v>
      </c>
      <c r="BU1329" s="80">
        <f>IF(AND(BD1329=1,D1329="proMX"),ROUND(AG1329/CFG_BLK,6),0)</f>
        <v>0</v>
      </c>
      <c r="BV1329" s="80" t="str">
        <f>IF(BF1329="Approved",IF(ISNUMBER(T1329),INT(T1329),INT(B1329)),"")</f>
        <v/>
      </c>
      <c r="BW1329" s="80">
        <f>IF(ISNUMBER(B1329),IF(DB_MON="Todos",1,IF(AND(INT(B1329)&gt;=DB_MS,INT(B1329)&lt;=DB_ME),1,0)),0)</f>
        <v>0</v>
      </c>
      <c r="BX1329" s="80">
        <f>IF(DB_PROJ="Todos",1,IF(E1329&amp;""=DB_PROJ&amp;"",1,0))</f>
        <v>1</v>
      </c>
      <c r="BY1329" s="80">
        <f>BW1329*BX1329</f>
        <v>0</v>
      </c>
      <c r="BZ1329" s="80" t="str">
        <f>IF(Y1329=1,F1329&amp;IF(AND(F1329&amp;""&lt;&gt;"",E1329&amp;""&lt;&gt;"")," · ","")&amp;E1329,"")</f>
        <v/>
      </c>
      <c r="CA1329" s="80" t="str">
        <f>IF(AND(BD1329=1,E1329&amp;""&lt;&gt;""),IF(COUNTIFS($E$5:E1328,E1329,$BD$5:BD1328,1)=0,MAX($CA$5:CA1328)+1,""),"")</f>
        <v/>
      </c>
      <c r="CB1329" s="80" t="str">
        <f>IF(AND(BE1329=1,D1329="Malcolm",E1329&amp;""&lt;&gt;""),IF(COUNTIFS($D$5:D1328,"Malcolm",$E$5:E1328,E1329,$BE$5:BE1328,1)=0,MAX($CB$5:CB1328)+1,""),"")</f>
        <v/>
      </c>
      <c r="CC1329" s="80" t="str">
        <f>IF(AND(BD1329=1,D1329="proMX",E1329&amp;""&lt;&gt;""),IF(COUNTIFS($D$5:D1328,"proMX",$E$5:E1328,E1329,$BD$5:BD1328,1)=0,MAX($CC$5:CC1328)+1,""),"")</f>
        <v/>
      </c>
      <c r="CD1329" s="80" t="str">
        <f>IF(AND(BE1329=1,D1329="Malcolm",F1329&amp;""&lt;&gt;""),IF(COUNTIFS($D$5:D1328,"Malcolm",$F$5:F1328,F1329,$BE$5:BE1328,1)=0,MAX($CD$5:CD1328)+1,""),"")</f>
        <v/>
      </c>
      <c r="CE1329" s="80" t="str">
        <f>IF(AND(BD1329=1,D1329="proMX",F1329&amp;""&lt;&gt;""),IF(COUNTIFS($D$5:D1328,"proMX",$F$5:F1328,F1329,$BD$5:BD1328,1)=0,MAX($CE$5:CE1328)+1,""),"")</f>
        <v/>
      </c>
      <c r="CF1329" s="80" t="str">
        <f>IF(AND(D1329="proMX",BD1329=1),IF(OR(BF1329="Draft",BF1329="Submitted",BF1329="Returned",BF1329="Recall Requested"),MAX($CF$5:CF1328)+1,""),"")</f>
        <v/>
      </c>
      <c r="CG1329" s="80">
        <f>IF(BD1329=0,0,IF(D1329="Malcolm",1,MATCH(BF1329,{"Draft","Submitted","Approved","Returned","Recall Requested","Cancelled"},0)+1))</f>
        <v>0</v>
      </c>
      <c r="CH1329" s="80">
        <f>IF(AND(BF1329="Submitted",ISNUMBER(V1329)),IF(V1329&gt;CFG_MAXD,1,0),0)</f>
        <v>0</v>
      </c>
    </row>
    <row r="1330">
      <c r="A1330" s="71" t="str">
        <f>IF(Y1330=1,ROW()-5,"")</f>
        <v/>
      </c>
      <c r="B1330" s="72" t="n"/>
      <c r="C1330" s="71" t="str">
        <f>IF(ISNUMBER(B1330),CHOOSE(WEEKDAY(B1330,2),"Lun","Mar","Mié","Jue","Vie","Sáb","Dom"),"")</f>
        <v/>
      </c>
      <c r="D1330" s="73" t="n"/>
      <c r="E1330" s="74" t="n"/>
      <c r="F1330" s="74" t="n"/>
      <c r="G1330" s="74" t="n"/>
      <c r="H1330" s="75" t="n"/>
      <c r="I1330" s="75" t="n"/>
      <c r="J1330" s="76" t="n"/>
      <c r="K1330" s="77" t="str">
        <f>IF(AB1330=1,ROUND(AG1330/60,4),"")</f>
        <v/>
      </c>
      <c r="L1330" s="77" t="str">
        <f>IF(BD1330=1,ROUND(AP1330/60,4),"")</f>
        <v/>
      </c>
      <c r="M1330" s="77" t="str">
        <f>IF(BD1330=1,ROUND(AQ1330/60,4),"")</f>
        <v/>
      </c>
      <c r="N1330" s="71" t="str">
        <f>IF(AND(D1330="proMX",AB1330=1),ROUND(AG1330/CFG_BLK,2),"")</f>
        <v/>
      </c>
      <c r="O1330" s="77" t="str">
        <f>IF(D1330="proMX",IF(BD1330=1,ROUND(AG1330/60,4),0),"")</f>
        <v/>
      </c>
      <c r="P1330" s="78" t="str">
        <f>IF(Y1330=0,"",IF(BD1330=1,"OK",IF(D1330="proMX","Revisar bloques: ","Revisar: ")&amp;BC1330))</f>
        <v/>
      </c>
      <c r="Q1330" s="78" t="str">
        <f>IF(NOT(ISNUMBER(B1330)),"",IF(COUNTIFS(FER_F,INT(B1330))&gt;0,"Feriado"&amp;IF(AH1330=1," (laborable)"," (no laborable)"),IF(AH1330=1,"Laborable",IF(WEEKDAY(B1330,2)&gt;5,"Fin de semana","No laborable"))))</f>
        <v/>
      </c>
      <c r="R1330" s="73" t="n"/>
      <c r="S1330" s="72" t="n"/>
      <c r="T1330" s="72" t="n"/>
      <c r="U1330" s="74" t="n"/>
      <c r="V1330" s="79" t="str">
        <f>IF(AND(D1330="proMX",OR(R1330="Submitted",R1330="Recall Requested"),ISNUMBER(S1330)),CFG_TODAY-INT(S1330),"")</f>
        <v/>
      </c>
      <c r="W1330" s="78" t="str">
        <f>IF(BD1330=0,"",IF(BA1330&gt;0,"⚠ Se superpone con un registro de la otra empresa",IF(D1330="Malcolm",IF(COUNTA(R1330,S1330,T1330)&gt;0,"Estado/fechas proMX se ignoran en Malcolm",""),IF(BF1330="Cancelled","Cancelado: excluido de totales",IF(R1330="","Sin estado: se trata como Draft",IF(BF1330="Submitted",IF(ISNUMBER(V1330),IF(V1330&gt;CFG_MAXD,"⚠ "&amp;V1330&amp;" días en Submitted (máx. "&amp;CFG_MAXD&amp;")",""),"Falta fecha de envío"),IF(BF1330="Returned","⚠ Devuelto: corregir y reenviar",IF(BF1330="Recall Requested","Retirada solicitada: pendiente",IF(AND(BF1330="Approved",NOT(ISNUMBER(T1330))),"Falta fecha de aprobación",IF(AND(ISNUMBER(S1330),ISNUMBER(T1330),T1330&lt;S1330),"Aprobación anterior al envío","")))))))))</f>
        <v/>
      </c>
      <c r="Y1330" s="80">
        <f>IF(COUNTA(B1330,D1330,E1330,F1330,G1330,H1330,I1330,J1330,R1330,S1330,T1330)&gt;0,1,0)</f>
        <v>0</v>
      </c>
      <c r="Z1330" s="80" t="str">
        <f>IF(AND(ISNUMBER(H1330),H1330&gt;=0,H1330&lt;1),ROUND(H1330*1440,0),"")</f>
        <v/>
      </c>
      <c r="AA1330" s="80" t="str">
        <f>IF(AND(ISNUMBER(I1330),I1330&gt;=0,I1330&lt;1),ROUND(I1330*1440,0),"")</f>
        <v/>
      </c>
      <c r="AB1330" s="80">
        <f>IF(AND(ISNUMBER(B1330),D1330&lt;&gt;"",ISNUMBER(Z1330),ISNUMBER(AA1330)),IF(Z1330=AA1330,0,1),0)</f>
        <v>0</v>
      </c>
      <c r="AC1330" s="80">
        <f>IF(AB1330=1,IF(AA1330&lt;Z1330,1,0),0)</f>
        <v>0</v>
      </c>
      <c r="AD1330" s="80">
        <f>IF(AB1330=1,IF(AC1330=1,1440-Z1330+AA1330,AA1330-Z1330),0)</f>
        <v>0</v>
      </c>
      <c r="AE1330" s="80">
        <f>IF(J1330="",0,IF(ISNUMBER(J1330),J1330,-1))</f>
        <v>0</v>
      </c>
      <c r="AF1330" s="80">
        <f>MIN(MAX(0,AE1330),AD1330)</f>
        <v>0</v>
      </c>
      <c r="AG1330" s="80">
        <f>MAX(0,AD1330-MAX(0,AE1330))</f>
        <v>0</v>
      </c>
      <c r="AH1330" s="80">
        <f>IF(ISNUMBER(B1330),IF(AND(INDEX(CFG_WDAYS,WEEKDAY(INT(B1330),2))="Sí",IF(D1330="proMX",COUNTIFS(FER_F,INT(B1330),FER_NLP,"Sí"),COUNTIFS(FER_F,INT(B1330),FER_NLM,"Sí"))=0),1,0),0)</f>
        <v>0</v>
      </c>
      <c r="AI1330" s="80">
        <f>IF(AC1330=1,IF(AND(INDEX(CFG_WDAYS,WEEKDAY(INT(B1330)+1,2))="Sí",IF(D1330="proMX",COUNTIFS(FER_F,INT(B1330)+1,FER_NLP,"Sí"),COUNTIFS(FER_F,INT(B1330)+1,FER_NLM,"Sí"))=0),1,0),0)</f>
        <v>0</v>
      </c>
      <c r="AJ1330" s="80">
        <f>IF(AC1330=1,1440-Z1330,AD1330)</f>
        <v>0</v>
      </c>
      <c r="AK1330" s="80">
        <f>IF(AND(AB1330=1,AH1330=1),MAX(0,MIN(IF(AC1330=1,1440,AA1330),CFG_WEM)-MAX(Z1330,CFG_WSM)),0)</f>
        <v>0</v>
      </c>
      <c r="AL1330" s="80">
        <f>IF(AND(AC1330=1,AI1330=1),MAX(0,MIN(AA1330,CFG_WEM)-CFG_WSM),0)</f>
        <v>0</v>
      </c>
      <c r="AM1330" s="80">
        <f>AK1330+AL1330</f>
        <v>0</v>
      </c>
      <c r="AN1330" s="80">
        <f>IF(CFG_BRK="Proporcional",IF(AD1330=0,0,AF1330*AM1330/AD1330),IF(CFG_BRK="Extras primero",MIN(AM1330,MAX(0,AF1330-(AD1330-AM1330))),MIN(AF1330,AM1330)))</f>
        <v>0</v>
      </c>
      <c r="AO1330" s="80">
        <f>AF1330-AN1330</f>
        <v>0</v>
      </c>
      <c r="AP1330" s="80">
        <f>AM1330-AN1330</f>
        <v>0</v>
      </c>
      <c r="AQ1330" s="80">
        <f>AD1330-AM1330-AO1330</f>
        <v>0</v>
      </c>
      <c r="AR1330" s="80">
        <f>IF(AM1330=0,0,AK1330-AN1330*AK1330/AM1330)</f>
        <v>0</v>
      </c>
      <c r="AS1330" s="80">
        <f>IF(AD1330-AM1330=0,0,(AJ1330-AK1330)-AO1330*(AJ1330-AK1330)/(AD1330-AM1330))</f>
        <v>0</v>
      </c>
      <c r="AT1330" s="80" t="str">
        <f>IF(AC1330=1,INT(B1330)+1,"")</f>
        <v/>
      </c>
      <c r="AU1330" s="80">
        <f>IF(AND(D1330="proMX",R1330="Cancelled"),0,1)</f>
        <v>1</v>
      </c>
      <c r="AV1330" s="80">
        <f>IF(AND(AB1330=1,AU1330=1),IF(COUNTIFS($D$5:D1329,D1330,$B$5:B1329,B1330,$Z$5:Z1329,Z1330,$AA$5:AA1329,AA1330,$F$5:F1329,F1330&amp;"",$AU$5:AU1329,1)&gt;0,1,0),0)</f>
        <v>0</v>
      </c>
      <c r="AW1330" s="80" t="str">
        <f>IF(AB1330=1,INT(B1330)*1440+Z1330,"")</f>
        <v/>
      </c>
      <c r="AX1330" s="80" t="str">
        <f>IF(AB1330=1,AW1330+AD1330,"")</f>
        <v/>
      </c>
      <c r="AY1330" s="80">
        <f>IF(AND(AB1330=1,AV1330=0,AU1330=1),1,0)</f>
        <v>0</v>
      </c>
      <c r="AZ1330" s="80">
        <f>IF(AY1330=1,COUNTIFS(R_Emp,D1330,R_SAbs,"&lt;"&amp;AX1330,R_EAbs,"&gt;"&amp;AW1330,R_OKey,1)-1,0)</f>
        <v>0</v>
      </c>
      <c r="BA1330" s="80">
        <f>IF(AY1330=1,COUNTIFS(R_Emp,"&lt;&gt;"&amp;D1330,R_SAbs,"&lt;"&amp;AX1330,R_EAbs,"&gt;"&amp;AW1330,R_OKey,1),0)</f>
        <v>0</v>
      </c>
      <c r="BB1330" s="80">
        <f>IF(AND(AB1330=1,D1330="proMX"),IF(AND(MOD(Z1330,CFG_BLK)=0,MOD(AA1330,CFG_BLK)=0,MOD(AG1330,CFG_BLK)=0,AG1330&gt;0),1,0),1)</f>
        <v>1</v>
      </c>
      <c r="BC1330" s="80" t="str">
        <f>IF(Y1330=0,"",IF(NOT(ISNUMBER(B1330)),"Falta fecha o fecha inválida",IF(D1330="","Falta empresa",IF(AND(D1330&lt;&gt;"Malcolm",D1330&lt;&gt;"proMX"),"Empresa inválida",IF(OR(INT(B1330)&lt;CFG_PSTART,INT(B1330)&gt;CFG_PEND),"Fecha fuera del período",IF(OR(NOT(ISNUMBER(Z1330)),NOT(ISNUMBER(AA1330))),"Falta hora inicio/fin o formato inválido",IF(AB1330=0,"Hora inicio = hora fin",IF(AE1330&lt;0,"Descanso inválido",IF(AE1330&gt;=AD1330,"Descanso ≥ duración",IF(AV1330=1,"Registro duplicado",IF(AZ1330&gt;0,"Se superpone con otro registro "&amp;D1330,IF(BB1330=0,"inicio, fin y duración neta deben ser múltiplos de "&amp;CFG_BLK&amp;" min",""))))))))))))</f>
        <v/>
      </c>
      <c r="BD1330" s="80">
        <f>IF(AND(Y1330=1,BC1330=""),1,0)</f>
        <v>0</v>
      </c>
      <c r="BE1330" s="80">
        <f>IF(AND(BD1330=1,AU1330=1),1,0)</f>
        <v>0</v>
      </c>
      <c r="BF1330" s="80" t="str">
        <f>IF(AND(D1330="proMX",BD1330=1),IF(R1330="","Draft",R1330),"")</f>
        <v/>
      </c>
      <c r="BG1330" s="80">
        <f>IF(BD1330=1,ROUND(AG1330/60,6),0)</f>
        <v>0</v>
      </c>
      <c r="BH1330" s="80">
        <f>IF(BE1330=1,ROUND(AG1330/60,6),0)</f>
        <v>0</v>
      </c>
      <c r="BI1330" s="80">
        <f>IF(BE1330=1,ROUND(AP1330/60,6),0)</f>
        <v>0</v>
      </c>
      <c r="BJ1330" s="80">
        <f>IF(BE1330=1,ROUND(AQ1330/60,6),0)</f>
        <v>0</v>
      </c>
      <c r="BK1330" s="80">
        <f>IF(BE1330=1,ROUND((AR1330+AS1330)/60,6),0)</f>
        <v>0</v>
      </c>
      <c r="BL1330" s="80">
        <f>ROUND(BH1330-BK1330,6)</f>
        <v>0</v>
      </c>
      <c r="BM1330" s="80">
        <f>IF(BE1330=1,ROUND(AR1330/60,6),0)</f>
        <v>0</v>
      </c>
      <c r="BN1330" s="80">
        <f>ROUND(BI1330-BM1330,6)</f>
        <v>0</v>
      </c>
      <c r="BO1330" s="80">
        <f>IF(BE1330=1,ROUND(AS1330/60,6),0)</f>
        <v>0</v>
      </c>
      <c r="BP1330" s="80">
        <f>ROUND(BJ1330-BO1330,6)</f>
        <v>0</v>
      </c>
      <c r="BQ1330" s="80">
        <f>IF(BE1330=1,AW1330,0)</f>
        <v>0</v>
      </c>
      <c r="BR1330" s="80">
        <f>IF(BE1330=1,AX1330,0)</f>
        <v>0</v>
      </c>
      <c r="BS1330" s="80">
        <f>IF(AND(BE1330=1,D1330="Malcolm",BA1330&gt;0),MIN(BH1330,SUMPRODUCT((R_Emp="proMX")*(R_EN&gt;0)*((R_EN-(R_EN&gt;BR1330)*(R_EN-BR1330))&gt;(R_SN+(R_SN&lt;BQ1330)*(BQ1330-R_SN)))*((R_EN-(R_EN&gt;BR1330)*(R_EN-BR1330))-(R_SN+(R_SN&lt;BQ1330)*(BQ1330-R_SN))))/60),0)</f>
        <v>0</v>
      </c>
      <c r="BT1330" s="80">
        <f>IF(AND(BE1330=1,D1330="proMX"),ROUND(BI1330*CFG_RATE+BJ1330*CFG_OTRATE,6),0)</f>
        <v>0</v>
      </c>
      <c r="BU1330" s="80">
        <f>IF(AND(BD1330=1,D1330="proMX"),ROUND(AG1330/CFG_BLK,6),0)</f>
        <v>0</v>
      </c>
      <c r="BV1330" s="80" t="str">
        <f>IF(BF1330="Approved",IF(ISNUMBER(T1330),INT(T1330),INT(B1330)),"")</f>
        <v/>
      </c>
      <c r="BW1330" s="80">
        <f>IF(ISNUMBER(B1330),IF(DB_MON="Todos",1,IF(AND(INT(B1330)&gt;=DB_MS,INT(B1330)&lt;=DB_ME),1,0)),0)</f>
        <v>0</v>
      </c>
      <c r="BX1330" s="80">
        <f>IF(DB_PROJ="Todos",1,IF(E1330&amp;""=DB_PROJ&amp;"",1,0))</f>
        <v>1</v>
      </c>
      <c r="BY1330" s="80">
        <f>BW1330*BX1330</f>
        <v>0</v>
      </c>
      <c r="BZ1330" s="80" t="str">
        <f>IF(Y1330=1,F1330&amp;IF(AND(F1330&amp;""&lt;&gt;"",E1330&amp;""&lt;&gt;"")," · ","")&amp;E1330,"")</f>
        <v/>
      </c>
      <c r="CA1330" s="80" t="str">
        <f>IF(AND(BD1330=1,E1330&amp;""&lt;&gt;""),IF(COUNTIFS($E$5:E1329,E1330,$BD$5:BD1329,1)=0,MAX($CA$5:CA1329)+1,""),"")</f>
        <v/>
      </c>
      <c r="CB1330" s="80" t="str">
        <f>IF(AND(BE1330=1,D1330="Malcolm",E1330&amp;""&lt;&gt;""),IF(COUNTIFS($D$5:D1329,"Malcolm",$E$5:E1329,E1330,$BE$5:BE1329,1)=0,MAX($CB$5:CB1329)+1,""),"")</f>
        <v/>
      </c>
      <c r="CC1330" s="80" t="str">
        <f>IF(AND(BD1330=1,D1330="proMX",E1330&amp;""&lt;&gt;""),IF(COUNTIFS($D$5:D1329,"proMX",$E$5:E1329,E1330,$BD$5:BD1329,1)=0,MAX($CC$5:CC1329)+1,""),"")</f>
        <v/>
      </c>
      <c r="CD1330" s="80" t="str">
        <f>IF(AND(BE1330=1,D1330="Malcolm",F1330&amp;""&lt;&gt;""),IF(COUNTIFS($D$5:D1329,"Malcolm",$F$5:F1329,F1330,$BE$5:BE1329,1)=0,MAX($CD$5:CD1329)+1,""),"")</f>
        <v/>
      </c>
      <c r="CE1330" s="80" t="str">
        <f>IF(AND(BD1330=1,D1330="proMX",F1330&amp;""&lt;&gt;""),IF(COUNTIFS($D$5:D1329,"proMX",$F$5:F1329,F1330,$BD$5:BD1329,1)=0,MAX($CE$5:CE1329)+1,""),"")</f>
        <v/>
      </c>
      <c r="CF1330" s="80" t="str">
        <f>IF(AND(D1330="proMX",BD1330=1),IF(OR(BF1330="Draft",BF1330="Submitted",BF1330="Returned",BF1330="Recall Requested"),MAX($CF$5:CF1329)+1,""),"")</f>
        <v/>
      </c>
      <c r="CG1330" s="80">
        <f>IF(BD1330=0,0,IF(D1330="Malcolm",1,MATCH(BF1330,{"Draft","Submitted","Approved","Returned","Recall Requested","Cancelled"},0)+1))</f>
        <v>0</v>
      </c>
      <c r="CH1330" s="80">
        <f>IF(AND(BF1330="Submitted",ISNUMBER(V1330)),IF(V1330&gt;CFG_MAXD,1,0),0)</f>
        <v>0</v>
      </c>
    </row>
    <row r="1331">
      <c r="A1331" s="71" t="str">
        <f>IF(Y1331=1,ROW()-5,"")</f>
        <v/>
      </c>
      <c r="B1331" s="72" t="n"/>
      <c r="C1331" s="71" t="str">
        <f>IF(ISNUMBER(B1331),CHOOSE(WEEKDAY(B1331,2),"Lun","Mar","Mié","Jue","Vie","Sáb","Dom"),"")</f>
        <v/>
      </c>
      <c r="D1331" s="73" t="n"/>
      <c r="E1331" s="74" t="n"/>
      <c r="F1331" s="74" t="n"/>
      <c r="G1331" s="74" t="n"/>
      <c r="H1331" s="75" t="n"/>
      <c r="I1331" s="75" t="n"/>
      <c r="J1331" s="76" t="n"/>
      <c r="K1331" s="77" t="str">
        <f>IF(AB1331=1,ROUND(AG1331/60,4),"")</f>
        <v/>
      </c>
      <c r="L1331" s="77" t="str">
        <f>IF(BD1331=1,ROUND(AP1331/60,4),"")</f>
        <v/>
      </c>
      <c r="M1331" s="77" t="str">
        <f>IF(BD1331=1,ROUND(AQ1331/60,4),"")</f>
        <v/>
      </c>
      <c r="N1331" s="71" t="str">
        <f>IF(AND(D1331="proMX",AB1331=1),ROUND(AG1331/CFG_BLK,2),"")</f>
        <v/>
      </c>
      <c r="O1331" s="77" t="str">
        <f>IF(D1331="proMX",IF(BD1331=1,ROUND(AG1331/60,4),0),"")</f>
        <v/>
      </c>
      <c r="P1331" s="78" t="str">
        <f>IF(Y1331=0,"",IF(BD1331=1,"OK",IF(D1331="proMX","Revisar bloques: ","Revisar: ")&amp;BC1331))</f>
        <v/>
      </c>
      <c r="Q1331" s="78" t="str">
        <f>IF(NOT(ISNUMBER(B1331)),"",IF(COUNTIFS(FER_F,INT(B1331))&gt;0,"Feriado"&amp;IF(AH1331=1," (laborable)"," (no laborable)"),IF(AH1331=1,"Laborable",IF(WEEKDAY(B1331,2)&gt;5,"Fin de semana","No laborable"))))</f>
        <v/>
      </c>
      <c r="R1331" s="73" t="n"/>
      <c r="S1331" s="72" t="n"/>
      <c r="T1331" s="72" t="n"/>
      <c r="U1331" s="74" t="n"/>
      <c r="V1331" s="79" t="str">
        <f>IF(AND(D1331="proMX",OR(R1331="Submitted",R1331="Recall Requested"),ISNUMBER(S1331)),CFG_TODAY-INT(S1331),"")</f>
        <v/>
      </c>
      <c r="W1331" s="78" t="str">
        <f>IF(BD1331=0,"",IF(BA1331&gt;0,"⚠ Se superpone con un registro de la otra empresa",IF(D1331="Malcolm",IF(COUNTA(R1331,S1331,T1331)&gt;0,"Estado/fechas proMX se ignoran en Malcolm",""),IF(BF1331="Cancelled","Cancelado: excluido de totales",IF(R1331="","Sin estado: se trata como Draft",IF(BF1331="Submitted",IF(ISNUMBER(V1331),IF(V1331&gt;CFG_MAXD,"⚠ "&amp;V1331&amp;" días en Submitted (máx. "&amp;CFG_MAXD&amp;")",""),"Falta fecha de envío"),IF(BF1331="Returned","⚠ Devuelto: corregir y reenviar",IF(BF1331="Recall Requested","Retirada solicitada: pendiente",IF(AND(BF1331="Approved",NOT(ISNUMBER(T1331))),"Falta fecha de aprobación",IF(AND(ISNUMBER(S1331),ISNUMBER(T1331),T1331&lt;S1331),"Aprobación anterior al envío","")))))))))</f>
        <v/>
      </c>
      <c r="Y1331" s="80">
        <f>IF(COUNTA(B1331,D1331,E1331,F1331,G1331,H1331,I1331,J1331,R1331,S1331,T1331)&gt;0,1,0)</f>
        <v>0</v>
      </c>
      <c r="Z1331" s="80" t="str">
        <f>IF(AND(ISNUMBER(H1331),H1331&gt;=0,H1331&lt;1),ROUND(H1331*1440,0),"")</f>
        <v/>
      </c>
      <c r="AA1331" s="80" t="str">
        <f>IF(AND(ISNUMBER(I1331),I1331&gt;=0,I1331&lt;1),ROUND(I1331*1440,0),"")</f>
        <v/>
      </c>
      <c r="AB1331" s="80">
        <f>IF(AND(ISNUMBER(B1331),D1331&lt;&gt;"",ISNUMBER(Z1331),ISNUMBER(AA1331)),IF(Z1331=AA1331,0,1),0)</f>
        <v>0</v>
      </c>
      <c r="AC1331" s="80">
        <f>IF(AB1331=1,IF(AA1331&lt;Z1331,1,0),0)</f>
        <v>0</v>
      </c>
      <c r="AD1331" s="80">
        <f>IF(AB1331=1,IF(AC1331=1,1440-Z1331+AA1331,AA1331-Z1331),0)</f>
        <v>0</v>
      </c>
      <c r="AE1331" s="80">
        <f>IF(J1331="",0,IF(ISNUMBER(J1331),J1331,-1))</f>
        <v>0</v>
      </c>
      <c r="AF1331" s="80">
        <f>MIN(MAX(0,AE1331),AD1331)</f>
        <v>0</v>
      </c>
      <c r="AG1331" s="80">
        <f>MAX(0,AD1331-MAX(0,AE1331))</f>
        <v>0</v>
      </c>
      <c r="AH1331" s="80">
        <f>IF(ISNUMBER(B1331),IF(AND(INDEX(CFG_WDAYS,WEEKDAY(INT(B1331),2))="Sí",IF(D1331="proMX",COUNTIFS(FER_F,INT(B1331),FER_NLP,"Sí"),COUNTIFS(FER_F,INT(B1331),FER_NLM,"Sí"))=0),1,0),0)</f>
        <v>0</v>
      </c>
      <c r="AI1331" s="80">
        <f>IF(AC1331=1,IF(AND(INDEX(CFG_WDAYS,WEEKDAY(INT(B1331)+1,2))="Sí",IF(D1331="proMX",COUNTIFS(FER_F,INT(B1331)+1,FER_NLP,"Sí"),COUNTIFS(FER_F,INT(B1331)+1,FER_NLM,"Sí"))=0),1,0),0)</f>
        <v>0</v>
      </c>
      <c r="AJ1331" s="80">
        <f>IF(AC1331=1,1440-Z1331,AD1331)</f>
        <v>0</v>
      </c>
      <c r="AK1331" s="80">
        <f>IF(AND(AB1331=1,AH1331=1),MAX(0,MIN(IF(AC1331=1,1440,AA1331),CFG_WEM)-MAX(Z1331,CFG_WSM)),0)</f>
        <v>0</v>
      </c>
      <c r="AL1331" s="80">
        <f>IF(AND(AC1331=1,AI1331=1),MAX(0,MIN(AA1331,CFG_WEM)-CFG_WSM),0)</f>
        <v>0</v>
      </c>
      <c r="AM1331" s="80">
        <f>AK1331+AL1331</f>
        <v>0</v>
      </c>
      <c r="AN1331" s="80">
        <f>IF(CFG_BRK="Proporcional",IF(AD1331=0,0,AF1331*AM1331/AD1331),IF(CFG_BRK="Extras primero",MIN(AM1331,MAX(0,AF1331-(AD1331-AM1331))),MIN(AF1331,AM1331)))</f>
        <v>0</v>
      </c>
      <c r="AO1331" s="80">
        <f>AF1331-AN1331</f>
        <v>0</v>
      </c>
      <c r="AP1331" s="80">
        <f>AM1331-AN1331</f>
        <v>0</v>
      </c>
      <c r="AQ1331" s="80">
        <f>AD1331-AM1331-AO1331</f>
        <v>0</v>
      </c>
      <c r="AR1331" s="80">
        <f>IF(AM1331=0,0,AK1331-AN1331*AK1331/AM1331)</f>
        <v>0</v>
      </c>
      <c r="AS1331" s="80">
        <f>IF(AD1331-AM1331=0,0,(AJ1331-AK1331)-AO1331*(AJ1331-AK1331)/(AD1331-AM1331))</f>
        <v>0</v>
      </c>
      <c r="AT1331" s="80" t="str">
        <f>IF(AC1331=1,INT(B1331)+1,"")</f>
        <v/>
      </c>
      <c r="AU1331" s="80">
        <f>IF(AND(D1331="proMX",R1331="Cancelled"),0,1)</f>
        <v>1</v>
      </c>
      <c r="AV1331" s="80">
        <f>IF(AND(AB1331=1,AU1331=1),IF(COUNTIFS($D$5:D1330,D1331,$B$5:B1330,B1331,$Z$5:Z1330,Z1331,$AA$5:AA1330,AA1331,$F$5:F1330,F1331&amp;"",$AU$5:AU1330,1)&gt;0,1,0),0)</f>
        <v>0</v>
      </c>
      <c r="AW1331" s="80" t="str">
        <f>IF(AB1331=1,INT(B1331)*1440+Z1331,"")</f>
        <v/>
      </c>
      <c r="AX1331" s="80" t="str">
        <f>IF(AB1331=1,AW1331+AD1331,"")</f>
        <v/>
      </c>
      <c r="AY1331" s="80">
        <f>IF(AND(AB1331=1,AV1331=0,AU1331=1),1,0)</f>
        <v>0</v>
      </c>
      <c r="AZ1331" s="80">
        <f>IF(AY1331=1,COUNTIFS(R_Emp,D1331,R_SAbs,"&lt;"&amp;AX1331,R_EAbs,"&gt;"&amp;AW1331,R_OKey,1)-1,0)</f>
        <v>0</v>
      </c>
      <c r="BA1331" s="80">
        <f>IF(AY1331=1,COUNTIFS(R_Emp,"&lt;&gt;"&amp;D1331,R_SAbs,"&lt;"&amp;AX1331,R_EAbs,"&gt;"&amp;AW1331,R_OKey,1),0)</f>
        <v>0</v>
      </c>
      <c r="BB1331" s="80">
        <f>IF(AND(AB1331=1,D1331="proMX"),IF(AND(MOD(Z1331,CFG_BLK)=0,MOD(AA1331,CFG_BLK)=0,MOD(AG1331,CFG_BLK)=0,AG1331&gt;0),1,0),1)</f>
        <v>1</v>
      </c>
      <c r="BC1331" s="80" t="str">
        <f>IF(Y1331=0,"",IF(NOT(ISNUMBER(B1331)),"Falta fecha o fecha inválida",IF(D1331="","Falta empresa",IF(AND(D1331&lt;&gt;"Malcolm",D1331&lt;&gt;"proMX"),"Empresa inválida",IF(OR(INT(B1331)&lt;CFG_PSTART,INT(B1331)&gt;CFG_PEND),"Fecha fuera del período",IF(OR(NOT(ISNUMBER(Z1331)),NOT(ISNUMBER(AA1331))),"Falta hora inicio/fin o formato inválido",IF(AB1331=0,"Hora inicio = hora fin",IF(AE1331&lt;0,"Descanso inválido",IF(AE1331&gt;=AD1331,"Descanso ≥ duración",IF(AV1331=1,"Registro duplicado",IF(AZ1331&gt;0,"Se superpone con otro registro "&amp;D1331,IF(BB1331=0,"inicio, fin y duración neta deben ser múltiplos de "&amp;CFG_BLK&amp;" min",""))))))))))))</f>
        <v/>
      </c>
      <c r="BD1331" s="80">
        <f>IF(AND(Y1331=1,BC1331=""),1,0)</f>
        <v>0</v>
      </c>
      <c r="BE1331" s="80">
        <f>IF(AND(BD1331=1,AU1331=1),1,0)</f>
        <v>0</v>
      </c>
      <c r="BF1331" s="80" t="str">
        <f>IF(AND(D1331="proMX",BD1331=1),IF(R1331="","Draft",R1331),"")</f>
        <v/>
      </c>
      <c r="BG1331" s="80">
        <f>IF(BD1331=1,ROUND(AG1331/60,6),0)</f>
        <v>0</v>
      </c>
      <c r="BH1331" s="80">
        <f>IF(BE1331=1,ROUND(AG1331/60,6),0)</f>
        <v>0</v>
      </c>
      <c r="BI1331" s="80">
        <f>IF(BE1331=1,ROUND(AP1331/60,6),0)</f>
        <v>0</v>
      </c>
      <c r="BJ1331" s="80">
        <f>IF(BE1331=1,ROUND(AQ1331/60,6),0)</f>
        <v>0</v>
      </c>
      <c r="BK1331" s="80">
        <f>IF(BE1331=1,ROUND((AR1331+AS1331)/60,6),0)</f>
        <v>0</v>
      </c>
      <c r="BL1331" s="80">
        <f>ROUND(BH1331-BK1331,6)</f>
        <v>0</v>
      </c>
      <c r="BM1331" s="80">
        <f>IF(BE1331=1,ROUND(AR1331/60,6),0)</f>
        <v>0</v>
      </c>
      <c r="BN1331" s="80">
        <f>ROUND(BI1331-BM1331,6)</f>
        <v>0</v>
      </c>
      <c r="BO1331" s="80">
        <f>IF(BE1331=1,ROUND(AS1331/60,6),0)</f>
        <v>0</v>
      </c>
      <c r="BP1331" s="80">
        <f>ROUND(BJ1331-BO1331,6)</f>
        <v>0</v>
      </c>
      <c r="BQ1331" s="80">
        <f>IF(BE1331=1,AW1331,0)</f>
        <v>0</v>
      </c>
      <c r="BR1331" s="80">
        <f>IF(BE1331=1,AX1331,0)</f>
        <v>0</v>
      </c>
      <c r="BS1331" s="80">
        <f>IF(AND(BE1331=1,D1331="Malcolm",BA1331&gt;0),MIN(BH1331,SUMPRODUCT((R_Emp="proMX")*(R_EN&gt;0)*((R_EN-(R_EN&gt;BR1331)*(R_EN-BR1331))&gt;(R_SN+(R_SN&lt;BQ1331)*(BQ1331-R_SN)))*((R_EN-(R_EN&gt;BR1331)*(R_EN-BR1331))-(R_SN+(R_SN&lt;BQ1331)*(BQ1331-R_SN))))/60),0)</f>
        <v>0</v>
      </c>
      <c r="BT1331" s="80">
        <f>IF(AND(BE1331=1,D1331="proMX"),ROUND(BI1331*CFG_RATE+BJ1331*CFG_OTRATE,6),0)</f>
        <v>0</v>
      </c>
      <c r="BU1331" s="80">
        <f>IF(AND(BD1331=1,D1331="proMX"),ROUND(AG1331/CFG_BLK,6),0)</f>
        <v>0</v>
      </c>
      <c r="BV1331" s="80" t="str">
        <f>IF(BF1331="Approved",IF(ISNUMBER(T1331),INT(T1331),INT(B1331)),"")</f>
        <v/>
      </c>
      <c r="BW1331" s="80">
        <f>IF(ISNUMBER(B1331),IF(DB_MON="Todos",1,IF(AND(INT(B1331)&gt;=DB_MS,INT(B1331)&lt;=DB_ME),1,0)),0)</f>
        <v>0</v>
      </c>
      <c r="BX1331" s="80">
        <f>IF(DB_PROJ="Todos",1,IF(E1331&amp;""=DB_PROJ&amp;"",1,0))</f>
        <v>1</v>
      </c>
      <c r="BY1331" s="80">
        <f>BW1331*BX1331</f>
        <v>0</v>
      </c>
      <c r="BZ1331" s="80" t="str">
        <f>IF(Y1331=1,F1331&amp;IF(AND(F1331&amp;""&lt;&gt;"",E1331&amp;""&lt;&gt;"")," · ","")&amp;E1331,"")</f>
        <v/>
      </c>
      <c r="CA1331" s="80" t="str">
        <f>IF(AND(BD1331=1,E1331&amp;""&lt;&gt;""),IF(COUNTIFS($E$5:E1330,E1331,$BD$5:BD1330,1)=0,MAX($CA$5:CA1330)+1,""),"")</f>
        <v/>
      </c>
      <c r="CB1331" s="80" t="str">
        <f>IF(AND(BE1331=1,D1331="Malcolm",E1331&amp;""&lt;&gt;""),IF(COUNTIFS($D$5:D1330,"Malcolm",$E$5:E1330,E1331,$BE$5:BE1330,1)=0,MAX($CB$5:CB1330)+1,""),"")</f>
        <v/>
      </c>
      <c r="CC1331" s="80" t="str">
        <f>IF(AND(BD1331=1,D1331="proMX",E1331&amp;""&lt;&gt;""),IF(COUNTIFS($D$5:D1330,"proMX",$E$5:E1330,E1331,$BD$5:BD1330,1)=0,MAX($CC$5:CC1330)+1,""),"")</f>
        <v/>
      </c>
      <c r="CD1331" s="80" t="str">
        <f>IF(AND(BE1331=1,D1331="Malcolm",F1331&amp;""&lt;&gt;""),IF(COUNTIFS($D$5:D1330,"Malcolm",$F$5:F1330,F1331,$BE$5:BE1330,1)=0,MAX($CD$5:CD1330)+1,""),"")</f>
        <v/>
      </c>
      <c r="CE1331" s="80" t="str">
        <f>IF(AND(BD1331=1,D1331="proMX",F1331&amp;""&lt;&gt;""),IF(COUNTIFS($D$5:D1330,"proMX",$F$5:F1330,F1331,$BD$5:BD1330,1)=0,MAX($CE$5:CE1330)+1,""),"")</f>
        <v/>
      </c>
      <c r="CF1331" s="80" t="str">
        <f>IF(AND(D1331="proMX",BD1331=1),IF(OR(BF1331="Draft",BF1331="Submitted",BF1331="Returned",BF1331="Recall Requested"),MAX($CF$5:CF1330)+1,""),"")</f>
        <v/>
      </c>
      <c r="CG1331" s="80">
        <f>IF(BD1331=0,0,IF(D1331="Malcolm",1,MATCH(BF1331,{"Draft","Submitted","Approved","Returned","Recall Requested","Cancelled"},0)+1))</f>
        <v>0</v>
      </c>
      <c r="CH1331" s="80">
        <f>IF(AND(BF1331="Submitted",ISNUMBER(V1331)),IF(V1331&gt;CFG_MAXD,1,0),0)</f>
        <v>0</v>
      </c>
    </row>
    <row r="1332">
      <c r="A1332" s="71" t="str">
        <f>IF(Y1332=1,ROW()-5,"")</f>
        <v/>
      </c>
      <c r="B1332" s="72" t="n"/>
      <c r="C1332" s="71" t="str">
        <f>IF(ISNUMBER(B1332),CHOOSE(WEEKDAY(B1332,2),"Lun","Mar","Mié","Jue","Vie","Sáb","Dom"),"")</f>
        <v/>
      </c>
      <c r="D1332" s="73" t="n"/>
      <c r="E1332" s="74" t="n"/>
      <c r="F1332" s="74" t="n"/>
      <c r="G1332" s="74" t="n"/>
      <c r="H1332" s="75" t="n"/>
      <c r="I1332" s="75" t="n"/>
      <c r="J1332" s="76" t="n"/>
      <c r="K1332" s="77" t="str">
        <f>IF(AB1332=1,ROUND(AG1332/60,4),"")</f>
        <v/>
      </c>
      <c r="L1332" s="77" t="str">
        <f>IF(BD1332=1,ROUND(AP1332/60,4),"")</f>
        <v/>
      </c>
      <c r="M1332" s="77" t="str">
        <f>IF(BD1332=1,ROUND(AQ1332/60,4),"")</f>
        <v/>
      </c>
      <c r="N1332" s="71" t="str">
        <f>IF(AND(D1332="proMX",AB1332=1),ROUND(AG1332/CFG_BLK,2),"")</f>
        <v/>
      </c>
      <c r="O1332" s="77" t="str">
        <f>IF(D1332="proMX",IF(BD1332=1,ROUND(AG1332/60,4),0),"")</f>
        <v/>
      </c>
      <c r="P1332" s="78" t="str">
        <f>IF(Y1332=0,"",IF(BD1332=1,"OK",IF(D1332="proMX","Revisar bloques: ","Revisar: ")&amp;BC1332))</f>
        <v/>
      </c>
      <c r="Q1332" s="78" t="str">
        <f>IF(NOT(ISNUMBER(B1332)),"",IF(COUNTIFS(FER_F,INT(B1332))&gt;0,"Feriado"&amp;IF(AH1332=1," (laborable)"," (no laborable)"),IF(AH1332=1,"Laborable",IF(WEEKDAY(B1332,2)&gt;5,"Fin de semana","No laborable"))))</f>
        <v/>
      </c>
      <c r="R1332" s="73" t="n"/>
      <c r="S1332" s="72" t="n"/>
      <c r="T1332" s="72" t="n"/>
      <c r="U1332" s="74" t="n"/>
      <c r="V1332" s="79" t="str">
        <f>IF(AND(D1332="proMX",OR(R1332="Submitted",R1332="Recall Requested"),ISNUMBER(S1332)),CFG_TODAY-INT(S1332),"")</f>
        <v/>
      </c>
      <c r="W1332" s="78" t="str">
        <f>IF(BD1332=0,"",IF(BA1332&gt;0,"⚠ Se superpone con un registro de la otra empresa",IF(D1332="Malcolm",IF(COUNTA(R1332,S1332,T1332)&gt;0,"Estado/fechas proMX se ignoran en Malcolm",""),IF(BF1332="Cancelled","Cancelado: excluido de totales",IF(R1332="","Sin estado: se trata como Draft",IF(BF1332="Submitted",IF(ISNUMBER(V1332),IF(V1332&gt;CFG_MAXD,"⚠ "&amp;V1332&amp;" días en Submitted (máx. "&amp;CFG_MAXD&amp;")",""),"Falta fecha de envío"),IF(BF1332="Returned","⚠ Devuelto: corregir y reenviar",IF(BF1332="Recall Requested","Retirada solicitada: pendiente",IF(AND(BF1332="Approved",NOT(ISNUMBER(T1332))),"Falta fecha de aprobación",IF(AND(ISNUMBER(S1332),ISNUMBER(T1332),T1332&lt;S1332),"Aprobación anterior al envío","")))))))))</f>
        <v/>
      </c>
      <c r="Y1332" s="80">
        <f>IF(COUNTA(B1332,D1332,E1332,F1332,G1332,H1332,I1332,J1332,R1332,S1332,T1332)&gt;0,1,0)</f>
        <v>0</v>
      </c>
      <c r="Z1332" s="80" t="str">
        <f>IF(AND(ISNUMBER(H1332),H1332&gt;=0,H1332&lt;1),ROUND(H1332*1440,0),"")</f>
        <v/>
      </c>
      <c r="AA1332" s="80" t="str">
        <f>IF(AND(ISNUMBER(I1332),I1332&gt;=0,I1332&lt;1),ROUND(I1332*1440,0),"")</f>
        <v/>
      </c>
      <c r="AB1332" s="80">
        <f>IF(AND(ISNUMBER(B1332),D1332&lt;&gt;"",ISNUMBER(Z1332),ISNUMBER(AA1332)),IF(Z1332=AA1332,0,1),0)</f>
        <v>0</v>
      </c>
      <c r="AC1332" s="80">
        <f>IF(AB1332=1,IF(AA1332&lt;Z1332,1,0),0)</f>
        <v>0</v>
      </c>
      <c r="AD1332" s="80">
        <f>IF(AB1332=1,IF(AC1332=1,1440-Z1332+AA1332,AA1332-Z1332),0)</f>
        <v>0</v>
      </c>
      <c r="AE1332" s="80">
        <f>IF(J1332="",0,IF(ISNUMBER(J1332),J1332,-1))</f>
        <v>0</v>
      </c>
      <c r="AF1332" s="80">
        <f>MIN(MAX(0,AE1332),AD1332)</f>
        <v>0</v>
      </c>
      <c r="AG1332" s="80">
        <f>MAX(0,AD1332-MAX(0,AE1332))</f>
        <v>0</v>
      </c>
      <c r="AH1332" s="80">
        <f>IF(ISNUMBER(B1332),IF(AND(INDEX(CFG_WDAYS,WEEKDAY(INT(B1332),2))="Sí",IF(D1332="proMX",COUNTIFS(FER_F,INT(B1332),FER_NLP,"Sí"),COUNTIFS(FER_F,INT(B1332),FER_NLM,"Sí"))=0),1,0),0)</f>
        <v>0</v>
      </c>
      <c r="AI1332" s="80">
        <f>IF(AC1332=1,IF(AND(INDEX(CFG_WDAYS,WEEKDAY(INT(B1332)+1,2))="Sí",IF(D1332="proMX",COUNTIFS(FER_F,INT(B1332)+1,FER_NLP,"Sí"),COUNTIFS(FER_F,INT(B1332)+1,FER_NLM,"Sí"))=0),1,0),0)</f>
        <v>0</v>
      </c>
      <c r="AJ1332" s="80">
        <f>IF(AC1332=1,1440-Z1332,AD1332)</f>
        <v>0</v>
      </c>
      <c r="AK1332" s="80">
        <f>IF(AND(AB1332=1,AH1332=1),MAX(0,MIN(IF(AC1332=1,1440,AA1332),CFG_WEM)-MAX(Z1332,CFG_WSM)),0)</f>
        <v>0</v>
      </c>
      <c r="AL1332" s="80">
        <f>IF(AND(AC1332=1,AI1332=1),MAX(0,MIN(AA1332,CFG_WEM)-CFG_WSM),0)</f>
        <v>0</v>
      </c>
      <c r="AM1332" s="80">
        <f>AK1332+AL1332</f>
        <v>0</v>
      </c>
      <c r="AN1332" s="80">
        <f>IF(CFG_BRK="Proporcional",IF(AD1332=0,0,AF1332*AM1332/AD1332),IF(CFG_BRK="Extras primero",MIN(AM1332,MAX(0,AF1332-(AD1332-AM1332))),MIN(AF1332,AM1332)))</f>
        <v>0</v>
      </c>
      <c r="AO1332" s="80">
        <f>AF1332-AN1332</f>
        <v>0</v>
      </c>
      <c r="AP1332" s="80">
        <f>AM1332-AN1332</f>
        <v>0</v>
      </c>
      <c r="AQ1332" s="80">
        <f>AD1332-AM1332-AO1332</f>
        <v>0</v>
      </c>
      <c r="AR1332" s="80">
        <f>IF(AM1332=0,0,AK1332-AN1332*AK1332/AM1332)</f>
        <v>0</v>
      </c>
      <c r="AS1332" s="80">
        <f>IF(AD1332-AM1332=0,0,(AJ1332-AK1332)-AO1332*(AJ1332-AK1332)/(AD1332-AM1332))</f>
        <v>0</v>
      </c>
      <c r="AT1332" s="80" t="str">
        <f>IF(AC1332=1,INT(B1332)+1,"")</f>
        <v/>
      </c>
      <c r="AU1332" s="80">
        <f>IF(AND(D1332="proMX",R1332="Cancelled"),0,1)</f>
        <v>1</v>
      </c>
      <c r="AV1332" s="80">
        <f>IF(AND(AB1332=1,AU1332=1),IF(COUNTIFS($D$5:D1331,D1332,$B$5:B1331,B1332,$Z$5:Z1331,Z1332,$AA$5:AA1331,AA1332,$F$5:F1331,F1332&amp;"",$AU$5:AU1331,1)&gt;0,1,0),0)</f>
        <v>0</v>
      </c>
      <c r="AW1332" s="80" t="str">
        <f>IF(AB1332=1,INT(B1332)*1440+Z1332,"")</f>
        <v/>
      </c>
      <c r="AX1332" s="80" t="str">
        <f>IF(AB1332=1,AW1332+AD1332,"")</f>
        <v/>
      </c>
      <c r="AY1332" s="80">
        <f>IF(AND(AB1332=1,AV1332=0,AU1332=1),1,0)</f>
        <v>0</v>
      </c>
      <c r="AZ1332" s="80">
        <f>IF(AY1332=1,COUNTIFS(R_Emp,D1332,R_SAbs,"&lt;"&amp;AX1332,R_EAbs,"&gt;"&amp;AW1332,R_OKey,1)-1,0)</f>
        <v>0</v>
      </c>
      <c r="BA1332" s="80">
        <f>IF(AY1332=1,COUNTIFS(R_Emp,"&lt;&gt;"&amp;D1332,R_SAbs,"&lt;"&amp;AX1332,R_EAbs,"&gt;"&amp;AW1332,R_OKey,1),0)</f>
        <v>0</v>
      </c>
      <c r="BB1332" s="80">
        <f>IF(AND(AB1332=1,D1332="proMX"),IF(AND(MOD(Z1332,CFG_BLK)=0,MOD(AA1332,CFG_BLK)=0,MOD(AG1332,CFG_BLK)=0,AG1332&gt;0),1,0),1)</f>
        <v>1</v>
      </c>
      <c r="BC1332" s="80" t="str">
        <f>IF(Y1332=0,"",IF(NOT(ISNUMBER(B1332)),"Falta fecha o fecha inválida",IF(D1332="","Falta empresa",IF(AND(D1332&lt;&gt;"Malcolm",D1332&lt;&gt;"proMX"),"Empresa inválida",IF(OR(INT(B1332)&lt;CFG_PSTART,INT(B1332)&gt;CFG_PEND),"Fecha fuera del período",IF(OR(NOT(ISNUMBER(Z1332)),NOT(ISNUMBER(AA1332))),"Falta hora inicio/fin o formato inválido",IF(AB1332=0,"Hora inicio = hora fin",IF(AE1332&lt;0,"Descanso inválido",IF(AE1332&gt;=AD1332,"Descanso ≥ duración",IF(AV1332=1,"Registro duplicado",IF(AZ1332&gt;0,"Se superpone con otro registro "&amp;D1332,IF(BB1332=0,"inicio, fin y duración neta deben ser múltiplos de "&amp;CFG_BLK&amp;" min",""))))))))))))</f>
        <v/>
      </c>
      <c r="BD1332" s="80">
        <f>IF(AND(Y1332=1,BC1332=""),1,0)</f>
        <v>0</v>
      </c>
      <c r="BE1332" s="80">
        <f>IF(AND(BD1332=1,AU1332=1),1,0)</f>
        <v>0</v>
      </c>
      <c r="BF1332" s="80" t="str">
        <f>IF(AND(D1332="proMX",BD1332=1),IF(R1332="","Draft",R1332),"")</f>
        <v/>
      </c>
      <c r="BG1332" s="80">
        <f>IF(BD1332=1,ROUND(AG1332/60,6),0)</f>
        <v>0</v>
      </c>
      <c r="BH1332" s="80">
        <f>IF(BE1332=1,ROUND(AG1332/60,6),0)</f>
        <v>0</v>
      </c>
      <c r="BI1332" s="80">
        <f>IF(BE1332=1,ROUND(AP1332/60,6),0)</f>
        <v>0</v>
      </c>
      <c r="BJ1332" s="80">
        <f>IF(BE1332=1,ROUND(AQ1332/60,6),0)</f>
        <v>0</v>
      </c>
      <c r="BK1332" s="80">
        <f>IF(BE1332=1,ROUND((AR1332+AS1332)/60,6),0)</f>
        <v>0</v>
      </c>
      <c r="BL1332" s="80">
        <f>ROUND(BH1332-BK1332,6)</f>
        <v>0</v>
      </c>
      <c r="BM1332" s="80">
        <f>IF(BE1332=1,ROUND(AR1332/60,6),0)</f>
        <v>0</v>
      </c>
      <c r="BN1332" s="80">
        <f>ROUND(BI1332-BM1332,6)</f>
        <v>0</v>
      </c>
      <c r="BO1332" s="80">
        <f>IF(BE1332=1,ROUND(AS1332/60,6),0)</f>
        <v>0</v>
      </c>
      <c r="BP1332" s="80">
        <f>ROUND(BJ1332-BO1332,6)</f>
        <v>0</v>
      </c>
      <c r="BQ1332" s="80">
        <f>IF(BE1332=1,AW1332,0)</f>
        <v>0</v>
      </c>
      <c r="BR1332" s="80">
        <f>IF(BE1332=1,AX1332,0)</f>
        <v>0</v>
      </c>
      <c r="BS1332" s="80">
        <f>IF(AND(BE1332=1,D1332="Malcolm",BA1332&gt;0),MIN(BH1332,SUMPRODUCT((R_Emp="proMX")*(R_EN&gt;0)*((R_EN-(R_EN&gt;BR1332)*(R_EN-BR1332))&gt;(R_SN+(R_SN&lt;BQ1332)*(BQ1332-R_SN)))*((R_EN-(R_EN&gt;BR1332)*(R_EN-BR1332))-(R_SN+(R_SN&lt;BQ1332)*(BQ1332-R_SN))))/60),0)</f>
        <v>0</v>
      </c>
      <c r="BT1332" s="80">
        <f>IF(AND(BE1332=1,D1332="proMX"),ROUND(BI1332*CFG_RATE+BJ1332*CFG_OTRATE,6),0)</f>
        <v>0</v>
      </c>
      <c r="BU1332" s="80">
        <f>IF(AND(BD1332=1,D1332="proMX"),ROUND(AG1332/CFG_BLK,6),0)</f>
        <v>0</v>
      </c>
      <c r="BV1332" s="80" t="str">
        <f>IF(BF1332="Approved",IF(ISNUMBER(T1332),INT(T1332),INT(B1332)),"")</f>
        <v/>
      </c>
      <c r="BW1332" s="80">
        <f>IF(ISNUMBER(B1332),IF(DB_MON="Todos",1,IF(AND(INT(B1332)&gt;=DB_MS,INT(B1332)&lt;=DB_ME),1,0)),0)</f>
        <v>0</v>
      </c>
      <c r="BX1332" s="80">
        <f>IF(DB_PROJ="Todos",1,IF(E1332&amp;""=DB_PROJ&amp;"",1,0))</f>
        <v>1</v>
      </c>
      <c r="BY1332" s="80">
        <f>BW1332*BX1332</f>
        <v>0</v>
      </c>
      <c r="BZ1332" s="80" t="str">
        <f>IF(Y1332=1,F1332&amp;IF(AND(F1332&amp;""&lt;&gt;"",E1332&amp;""&lt;&gt;"")," · ","")&amp;E1332,"")</f>
        <v/>
      </c>
      <c r="CA1332" s="80" t="str">
        <f>IF(AND(BD1332=1,E1332&amp;""&lt;&gt;""),IF(COUNTIFS($E$5:E1331,E1332,$BD$5:BD1331,1)=0,MAX($CA$5:CA1331)+1,""),"")</f>
        <v/>
      </c>
      <c r="CB1332" s="80" t="str">
        <f>IF(AND(BE1332=1,D1332="Malcolm",E1332&amp;""&lt;&gt;""),IF(COUNTIFS($D$5:D1331,"Malcolm",$E$5:E1331,E1332,$BE$5:BE1331,1)=0,MAX($CB$5:CB1331)+1,""),"")</f>
        <v/>
      </c>
      <c r="CC1332" s="80" t="str">
        <f>IF(AND(BD1332=1,D1332="proMX",E1332&amp;""&lt;&gt;""),IF(COUNTIFS($D$5:D1331,"proMX",$E$5:E1331,E1332,$BD$5:BD1331,1)=0,MAX($CC$5:CC1331)+1,""),"")</f>
        <v/>
      </c>
      <c r="CD1332" s="80" t="str">
        <f>IF(AND(BE1332=1,D1332="Malcolm",F1332&amp;""&lt;&gt;""),IF(COUNTIFS($D$5:D1331,"Malcolm",$F$5:F1331,F1332,$BE$5:BE1331,1)=0,MAX($CD$5:CD1331)+1,""),"")</f>
        <v/>
      </c>
      <c r="CE1332" s="80" t="str">
        <f>IF(AND(BD1332=1,D1332="proMX",F1332&amp;""&lt;&gt;""),IF(COUNTIFS($D$5:D1331,"proMX",$F$5:F1331,F1332,$BD$5:BD1331,1)=0,MAX($CE$5:CE1331)+1,""),"")</f>
        <v/>
      </c>
      <c r="CF1332" s="80" t="str">
        <f>IF(AND(D1332="proMX",BD1332=1),IF(OR(BF1332="Draft",BF1332="Submitted",BF1332="Returned",BF1332="Recall Requested"),MAX($CF$5:CF1331)+1,""),"")</f>
        <v/>
      </c>
      <c r="CG1332" s="80">
        <f>IF(BD1332=0,0,IF(D1332="Malcolm",1,MATCH(BF1332,{"Draft","Submitted","Approved","Returned","Recall Requested","Cancelled"},0)+1))</f>
        <v>0</v>
      </c>
      <c r="CH1332" s="80">
        <f>IF(AND(BF1332="Submitted",ISNUMBER(V1332)),IF(V1332&gt;CFG_MAXD,1,0),0)</f>
        <v>0</v>
      </c>
    </row>
    <row r="1333">
      <c r="A1333" s="71" t="str">
        <f>IF(Y1333=1,ROW()-5,"")</f>
        <v/>
      </c>
      <c r="B1333" s="72" t="n"/>
      <c r="C1333" s="71" t="str">
        <f>IF(ISNUMBER(B1333),CHOOSE(WEEKDAY(B1333,2),"Lun","Mar","Mié","Jue","Vie","Sáb","Dom"),"")</f>
        <v/>
      </c>
      <c r="D1333" s="73" t="n"/>
      <c r="E1333" s="74" t="n"/>
      <c r="F1333" s="74" t="n"/>
      <c r="G1333" s="74" t="n"/>
      <c r="H1333" s="75" t="n"/>
      <c r="I1333" s="75" t="n"/>
      <c r="J1333" s="76" t="n"/>
      <c r="K1333" s="77" t="str">
        <f>IF(AB1333=1,ROUND(AG1333/60,4),"")</f>
        <v/>
      </c>
      <c r="L1333" s="77" t="str">
        <f>IF(BD1333=1,ROUND(AP1333/60,4),"")</f>
        <v/>
      </c>
      <c r="M1333" s="77" t="str">
        <f>IF(BD1333=1,ROUND(AQ1333/60,4),"")</f>
        <v/>
      </c>
      <c r="N1333" s="71" t="str">
        <f>IF(AND(D1333="proMX",AB1333=1),ROUND(AG1333/CFG_BLK,2),"")</f>
        <v/>
      </c>
      <c r="O1333" s="77" t="str">
        <f>IF(D1333="proMX",IF(BD1333=1,ROUND(AG1333/60,4),0),"")</f>
        <v/>
      </c>
      <c r="P1333" s="78" t="str">
        <f>IF(Y1333=0,"",IF(BD1333=1,"OK",IF(D1333="proMX","Revisar bloques: ","Revisar: ")&amp;BC1333))</f>
        <v/>
      </c>
      <c r="Q1333" s="78" t="str">
        <f>IF(NOT(ISNUMBER(B1333)),"",IF(COUNTIFS(FER_F,INT(B1333))&gt;0,"Feriado"&amp;IF(AH1333=1," (laborable)"," (no laborable)"),IF(AH1333=1,"Laborable",IF(WEEKDAY(B1333,2)&gt;5,"Fin de semana","No laborable"))))</f>
        <v/>
      </c>
      <c r="R1333" s="73" t="n"/>
      <c r="S1333" s="72" t="n"/>
      <c r="T1333" s="72" t="n"/>
      <c r="U1333" s="74" t="n"/>
      <c r="V1333" s="79" t="str">
        <f>IF(AND(D1333="proMX",OR(R1333="Submitted",R1333="Recall Requested"),ISNUMBER(S1333)),CFG_TODAY-INT(S1333),"")</f>
        <v/>
      </c>
      <c r="W1333" s="78" t="str">
        <f>IF(BD1333=0,"",IF(BA1333&gt;0,"⚠ Se superpone con un registro de la otra empresa",IF(D1333="Malcolm",IF(COUNTA(R1333,S1333,T1333)&gt;0,"Estado/fechas proMX se ignoran en Malcolm",""),IF(BF1333="Cancelled","Cancelado: excluido de totales",IF(R1333="","Sin estado: se trata como Draft",IF(BF1333="Submitted",IF(ISNUMBER(V1333),IF(V1333&gt;CFG_MAXD,"⚠ "&amp;V1333&amp;" días en Submitted (máx. "&amp;CFG_MAXD&amp;")",""),"Falta fecha de envío"),IF(BF1333="Returned","⚠ Devuelto: corregir y reenviar",IF(BF1333="Recall Requested","Retirada solicitada: pendiente",IF(AND(BF1333="Approved",NOT(ISNUMBER(T1333))),"Falta fecha de aprobación",IF(AND(ISNUMBER(S1333),ISNUMBER(T1333),T1333&lt;S1333),"Aprobación anterior al envío","")))))))))</f>
        <v/>
      </c>
      <c r="Y1333" s="80">
        <f>IF(COUNTA(B1333,D1333,E1333,F1333,G1333,H1333,I1333,J1333,R1333,S1333,T1333)&gt;0,1,0)</f>
        <v>0</v>
      </c>
      <c r="Z1333" s="80" t="str">
        <f>IF(AND(ISNUMBER(H1333),H1333&gt;=0,H1333&lt;1),ROUND(H1333*1440,0),"")</f>
        <v/>
      </c>
      <c r="AA1333" s="80" t="str">
        <f>IF(AND(ISNUMBER(I1333),I1333&gt;=0,I1333&lt;1),ROUND(I1333*1440,0),"")</f>
        <v/>
      </c>
      <c r="AB1333" s="80">
        <f>IF(AND(ISNUMBER(B1333),D1333&lt;&gt;"",ISNUMBER(Z1333),ISNUMBER(AA1333)),IF(Z1333=AA1333,0,1),0)</f>
        <v>0</v>
      </c>
      <c r="AC1333" s="80">
        <f>IF(AB1333=1,IF(AA1333&lt;Z1333,1,0),0)</f>
        <v>0</v>
      </c>
      <c r="AD1333" s="80">
        <f>IF(AB1333=1,IF(AC1333=1,1440-Z1333+AA1333,AA1333-Z1333),0)</f>
        <v>0</v>
      </c>
      <c r="AE1333" s="80">
        <f>IF(J1333="",0,IF(ISNUMBER(J1333),J1333,-1))</f>
        <v>0</v>
      </c>
      <c r="AF1333" s="80">
        <f>MIN(MAX(0,AE1333),AD1333)</f>
        <v>0</v>
      </c>
      <c r="AG1333" s="80">
        <f>MAX(0,AD1333-MAX(0,AE1333))</f>
        <v>0</v>
      </c>
      <c r="AH1333" s="80">
        <f>IF(ISNUMBER(B1333),IF(AND(INDEX(CFG_WDAYS,WEEKDAY(INT(B1333),2))="Sí",IF(D1333="proMX",COUNTIFS(FER_F,INT(B1333),FER_NLP,"Sí"),COUNTIFS(FER_F,INT(B1333),FER_NLM,"Sí"))=0),1,0),0)</f>
        <v>0</v>
      </c>
      <c r="AI1333" s="80">
        <f>IF(AC1333=1,IF(AND(INDEX(CFG_WDAYS,WEEKDAY(INT(B1333)+1,2))="Sí",IF(D1333="proMX",COUNTIFS(FER_F,INT(B1333)+1,FER_NLP,"Sí"),COUNTIFS(FER_F,INT(B1333)+1,FER_NLM,"Sí"))=0),1,0),0)</f>
        <v>0</v>
      </c>
      <c r="AJ1333" s="80">
        <f>IF(AC1333=1,1440-Z1333,AD1333)</f>
        <v>0</v>
      </c>
      <c r="AK1333" s="80">
        <f>IF(AND(AB1333=1,AH1333=1),MAX(0,MIN(IF(AC1333=1,1440,AA1333),CFG_WEM)-MAX(Z1333,CFG_WSM)),0)</f>
        <v>0</v>
      </c>
      <c r="AL1333" s="80">
        <f>IF(AND(AC1333=1,AI1333=1),MAX(0,MIN(AA1333,CFG_WEM)-CFG_WSM),0)</f>
        <v>0</v>
      </c>
      <c r="AM1333" s="80">
        <f>AK1333+AL1333</f>
        <v>0</v>
      </c>
      <c r="AN1333" s="80">
        <f>IF(CFG_BRK="Proporcional",IF(AD1333=0,0,AF1333*AM1333/AD1333),IF(CFG_BRK="Extras primero",MIN(AM1333,MAX(0,AF1333-(AD1333-AM1333))),MIN(AF1333,AM1333)))</f>
        <v>0</v>
      </c>
      <c r="AO1333" s="80">
        <f>AF1333-AN1333</f>
        <v>0</v>
      </c>
      <c r="AP1333" s="80">
        <f>AM1333-AN1333</f>
        <v>0</v>
      </c>
      <c r="AQ1333" s="80">
        <f>AD1333-AM1333-AO1333</f>
        <v>0</v>
      </c>
      <c r="AR1333" s="80">
        <f>IF(AM1333=0,0,AK1333-AN1333*AK1333/AM1333)</f>
        <v>0</v>
      </c>
      <c r="AS1333" s="80">
        <f>IF(AD1333-AM1333=0,0,(AJ1333-AK1333)-AO1333*(AJ1333-AK1333)/(AD1333-AM1333))</f>
        <v>0</v>
      </c>
      <c r="AT1333" s="80" t="str">
        <f>IF(AC1333=1,INT(B1333)+1,"")</f>
        <v/>
      </c>
      <c r="AU1333" s="80">
        <f>IF(AND(D1333="proMX",R1333="Cancelled"),0,1)</f>
        <v>1</v>
      </c>
      <c r="AV1333" s="80">
        <f>IF(AND(AB1333=1,AU1333=1),IF(COUNTIFS($D$5:D1332,D1333,$B$5:B1332,B1333,$Z$5:Z1332,Z1333,$AA$5:AA1332,AA1333,$F$5:F1332,F1333&amp;"",$AU$5:AU1332,1)&gt;0,1,0),0)</f>
        <v>0</v>
      </c>
      <c r="AW1333" s="80" t="str">
        <f>IF(AB1333=1,INT(B1333)*1440+Z1333,"")</f>
        <v/>
      </c>
      <c r="AX1333" s="80" t="str">
        <f>IF(AB1333=1,AW1333+AD1333,"")</f>
        <v/>
      </c>
      <c r="AY1333" s="80">
        <f>IF(AND(AB1333=1,AV1333=0,AU1333=1),1,0)</f>
        <v>0</v>
      </c>
      <c r="AZ1333" s="80">
        <f>IF(AY1333=1,COUNTIFS(R_Emp,D1333,R_SAbs,"&lt;"&amp;AX1333,R_EAbs,"&gt;"&amp;AW1333,R_OKey,1)-1,0)</f>
        <v>0</v>
      </c>
      <c r="BA1333" s="80">
        <f>IF(AY1333=1,COUNTIFS(R_Emp,"&lt;&gt;"&amp;D1333,R_SAbs,"&lt;"&amp;AX1333,R_EAbs,"&gt;"&amp;AW1333,R_OKey,1),0)</f>
        <v>0</v>
      </c>
      <c r="BB1333" s="80">
        <f>IF(AND(AB1333=1,D1333="proMX"),IF(AND(MOD(Z1333,CFG_BLK)=0,MOD(AA1333,CFG_BLK)=0,MOD(AG1333,CFG_BLK)=0,AG1333&gt;0),1,0),1)</f>
        <v>1</v>
      </c>
      <c r="BC1333" s="80" t="str">
        <f>IF(Y1333=0,"",IF(NOT(ISNUMBER(B1333)),"Falta fecha o fecha inválida",IF(D1333="","Falta empresa",IF(AND(D1333&lt;&gt;"Malcolm",D1333&lt;&gt;"proMX"),"Empresa inválida",IF(OR(INT(B1333)&lt;CFG_PSTART,INT(B1333)&gt;CFG_PEND),"Fecha fuera del período",IF(OR(NOT(ISNUMBER(Z1333)),NOT(ISNUMBER(AA1333))),"Falta hora inicio/fin o formato inválido",IF(AB1333=0,"Hora inicio = hora fin",IF(AE1333&lt;0,"Descanso inválido",IF(AE1333&gt;=AD1333,"Descanso ≥ duración",IF(AV1333=1,"Registro duplicado",IF(AZ1333&gt;0,"Se superpone con otro registro "&amp;D1333,IF(BB1333=0,"inicio, fin y duración neta deben ser múltiplos de "&amp;CFG_BLK&amp;" min",""))))))))))))</f>
        <v/>
      </c>
      <c r="BD1333" s="80">
        <f>IF(AND(Y1333=1,BC1333=""),1,0)</f>
        <v>0</v>
      </c>
      <c r="BE1333" s="80">
        <f>IF(AND(BD1333=1,AU1333=1),1,0)</f>
        <v>0</v>
      </c>
      <c r="BF1333" s="80" t="str">
        <f>IF(AND(D1333="proMX",BD1333=1),IF(R1333="","Draft",R1333),"")</f>
        <v/>
      </c>
      <c r="BG1333" s="80">
        <f>IF(BD1333=1,ROUND(AG1333/60,6),0)</f>
        <v>0</v>
      </c>
      <c r="BH1333" s="80">
        <f>IF(BE1333=1,ROUND(AG1333/60,6),0)</f>
        <v>0</v>
      </c>
      <c r="BI1333" s="80">
        <f>IF(BE1333=1,ROUND(AP1333/60,6),0)</f>
        <v>0</v>
      </c>
      <c r="BJ1333" s="80">
        <f>IF(BE1333=1,ROUND(AQ1333/60,6),0)</f>
        <v>0</v>
      </c>
      <c r="BK1333" s="80">
        <f>IF(BE1333=1,ROUND((AR1333+AS1333)/60,6),0)</f>
        <v>0</v>
      </c>
      <c r="BL1333" s="80">
        <f>ROUND(BH1333-BK1333,6)</f>
        <v>0</v>
      </c>
      <c r="BM1333" s="80">
        <f>IF(BE1333=1,ROUND(AR1333/60,6),0)</f>
        <v>0</v>
      </c>
      <c r="BN1333" s="80">
        <f>ROUND(BI1333-BM1333,6)</f>
        <v>0</v>
      </c>
      <c r="BO1333" s="80">
        <f>IF(BE1333=1,ROUND(AS1333/60,6),0)</f>
        <v>0</v>
      </c>
      <c r="BP1333" s="80">
        <f>ROUND(BJ1333-BO1333,6)</f>
        <v>0</v>
      </c>
      <c r="BQ1333" s="80">
        <f>IF(BE1333=1,AW1333,0)</f>
        <v>0</v>
      </c>
      <c r="BR1333" s="80">
        <f>IF(BE1333=1,AX1333,0)</f>
        <v>0</v>
      </c>
      <c r="BS1333" s="80">
        <f>IF(AND(BE1333=1,D1333="Malcolm",BA1333&gt;0),MIN(BH1333,SUMPRODUCT((R_Emp="proMX")*(R_EN&gt;0)*((R_EN-(R_EN&gt;BR1333)*(R_EN-BR1333))&gt;(R_SN+(R_SN&lt;BQ1333)*(BQ1333-R_SN)))*((R_EN-(R_EN&gt;BR1333)*(R_EN-BR1333))-(R_SN+(R_SN&lt;BQ1333)*(BQ1333-R_SN))))/60),0)</f>
        <v>0</v>
      </c>
      <c r="BT1333" s="80">
        <f>IF(AND(BE1333=1,D1333="proMX"),ROUND(BI1333*CFG_RATE+BJ1333*CFG_OTRATE,6),0)</f>
        <v>0</v>
      </c>
      <c r="BU1333" s="80">
        <f>IF(AND(BD1333=1,D1333="proMX"),ROUND(AG1333/CFG_BLK,6),0)</f>
        <v>0</v>
      </c>
      <c r="BV1333" s="80" t="str">
        <f>IF(BF1333="Approved",IF(ISNUMBER(T1333),INT(T1333),INT(B1333)),"")</f>
        <v/>
      </c>
      <c r="BW1333" s="80">
        <f>IF(ISNUMBER(B1333),IF(DB_MON="Todos",1,IF(AND(INT(B1333)&gt;=DB_MS,INT(B1333)&lt;=DB_ME),1,0)),0)</f>
        <v>0</v>
      </c>
      <c r="BX1333" s="80">
        <f>IF(DB_PROJ="Todos",1,IF(E1333&amp;""=DB_PROJ&amp;"",1,0))</f>
        <v>1</v>
      </c>
      <c r="BY1333" s="80">
        <f>BW1333*BX1333</f>
        <v>0</v>
      </c>
      <c r="BZ1333" s="80" t="str">
        <f>IF(Y1333=1,F1333&amp;IF(AND(F1333&amp;""&lt;&gt;"",E1333&amp;""&lt;&gt;"")," · ","")&amp;E1333,"")</f>
        <v/>
      </c>
      <c r="CA1333" s="80" t="str">
        <f>IF(AND(BD1333=1,E1333&amp;""&lt;&gt;""),IF(COUNTIFS($E$5:E1332,E1333,$BD$5:BD1332,1)=0,MAX($CA$5:CA1332)+1,""),"")</f>
        <v/>
      </c>
      <c r="CB1333" s="80" t="str">
        <f>IF(AND(BE1333=1,D1333="Malcolm",E1333&amp;""&lt;&gt;""),IF(COUNTIFS($D$5:D1332,"Malcolm",$E$5:E1332,E1333,$BE$5:BE1332,1)=0,MAX($CB$5:CB1332)+1,""),"")</f>
        <v/>
      </c>
      <c r="CC1333" s="80" t="str">
        <f>IF(AND(BD1333=1,D1333="proMX",E1333&amp;""&lt;&gt;""),IF(COUNTIFS($D$5:D1332,"proMX",$E$5:E1332,E1333,$BD$5:BD1332,1)=0,MAX($CC$5:CC1332)+1,""),"")</f>
        <v/>
      </c>
      <c r="CD1333" s="80" t="str">
        <f>IF(AND(BE1333=1,D1333="Malcolm",F1333&amp;""&lt;&gt;""),IF(COUNTIFS($D$5:D1332,"Malcolm",$F$5:F1332,F1333,$BE$5:BE1332,1)=0,MAX($CD$5:CD1332)+1,""),"")</f>
        <v/>
      </c>
      <c r="CE1333" s="80" t="str">
        <f>IF(AND(BD1333=1,D1333="proMX",F1333&amp;""&lt;&gt;""),IF(COUNTIFS($D$5:D1332,"proMX",$F$5:F1332,F1333,$BD$5:BD1332,1)=0,MAX($CE$5:CE1332)+1,""),"")</f>
        <v/>
      </c>
      <c r="CF1333" s="80" t="str">
        <f>IF(AND(D1333="proMX",BD1333=1),IF(OR(BF1333="Draft",BF1333="Submitted",BF1333="Returned",BF1333="Recall Requested"),MAX($CF$5:CF1332)+1,""),"")</f>
        <v/>
      </c>
      <c r="CG1333" s="80">
        <f>IF(BD1333=0,0,IF(D1333="Malcolm",1,MATCH(BF1333,{"Draft","Submitted","Approved","Returned","Recall Requested","Cancelled"},0)+1))</f>
        <v>0</v>
      </c>
      <c r="CH1333" s="80">
        <f>IF(AND(BF1333="Submitted",ISNUMBER(V1333)),IF(V1333&gt;CFG_MAXD,1,0),0)</f>
        <v>0</v>
      </c>
    </row>
    <row r="1334">
      <c r="A1334" s="71" t="str">
        <f>IF(Y1334=1,ROW()-5,"")</f>
        <v/>
      </c>
      <c r="B1334" s="72" t="n"/>
      <c r="C1334" s="71" t="str">
        <f>IF(ISNUMBER(B1334),CHOOSE(WEEKDAY(B1334,2),"Lun","Mar","Mié","Jue","Vie","Sáb","Dom"),"")</f>
        <v/>
      </c>
      <c r="D1334" s="73" t="n"/>
      <c r="E1334" s="74" t="n"/>
      <c r="F1334" s="74" t="n"/>
      <c r="G1334" s="74" t="n"/>
      <c r="H1334" s="75" t="n"/>
      <c r="I1334" s="75" t="n"/>
      <c r="J1334" s="76" t="n"/>
      <c r="K1334" s="77" t="str">
        <f>IF(AB1334=1,ROUND(AG1334/60,4),"")</f>
        <v/>
      </c>
      <c r="L1334" s="77" t="str">
        <f>IF(BD1334=1,ROUND(AP1334/60,4),"")</f>
        <v/>
      </c>
      <c r="M1334" s="77" t="str">
        <f>IF(BD1334=1,ROUND(AQ1334/60,4),"")</f>
        <v/>
      </c>
      <c r="N1334" s="71" t="str">
        <f>IF(AND(D1334="proMX",AB1334=1),ROUND(AG1334/CFG_BLK,2),"")</f>
        <v/>
      </c>
      <c r="O1334" s="77" t="str">
        <f>IF(D1334="proMX",IF(BD1334=1,ROUND(AG1334/60,4),0),"")</f>
        <v/>
      </c>
      <c r="P1334" s="78" t="str">
        <f>IF(Y1334=0,"",IF(BD1334=1,"OK",IF(D1334="proMX","Revisar bloques: ","Revisar: ")&amp;BC1334))</f>
        <v/>
      </c>
      <c r="Q1334" s="78" t="str">
        <f>IF(NOT(ISNUMBER(B1334)),"",IF(COUNTIFS(FER_F,INT(B1334))&gt;0,"Feriado"&amp;IF(AH1334=1," (laborable)"," (no laborable)"),IF(AH1334=1,"Laborable",IF(WEEKDAY(B1334,2)&gt;5,"Fin de semana","No laborable"))))</f>
        <v/>
      </c>
      <c r="R1334" s="73" t="n"/>
      <c r="S1334" s="72" t="n"/>
      <c r="T1334" s="72" t="n"/>
      <c r="U1334" s="74" t="n"/>
      <c r="V1334" s="79" t="str">
        <f>IF(AND(D1334="proMX",OR(R1334="Submitted",R1334="Recall Requested"),ISNUMBER(S1334)),CFG_TODAY-INT(S1334),"")</f>
        <v/>
      </c>
      <c r="W1334" s="78" t="str">
        <f>IF(BD1334=0,"",IF(BA1334&gt;0,"⚠ Se superpone con un registro de la otra empresa",IF(D1334="Malcolm",IF(COUNTA(R1334,S1334,T1334)&gt;0,"Estado/fechas proMX se ignoran en Malcolm",""),IF(BF1334="Cancelled","Cancelado: excluido de totales",IF(R1334="","Sin estado: se trata como Draft",IF(BF1334="Submitted",IF(ISNUMBER(V1334),IF(V1334&gt;CFG_MAXD,"⚠ "&amp;V1334&amp;" días en Submitted (máx. "&amp;CFG_MAXD&amp;")",""),"Falta fecha de envío"),IF(BF1334="Returned","⚠ Devuelto: corregir y reenviar",IF(BF1334="Recall Requested","Retirada solicitada: pendiente",IF(AND(BF1334="Approved",NOT(ISNUMBER(T1334))),"Falta fecha de aprobación",IF(AND(ISNUMBER(S1334),ISNUMBER(T1334),T1334&lt;S1334),"Aprobación anterior al envío","")))))))))</f>
        <v/>
      </c>
      <c r="Y1334" s="80">
        <f>IF(COUNTA(B1334,D1334,E1334,F1334,G1334,H1334,I1334,J1334,R1334,S1334,T1334)&gt;0,1,0)</f>
        <v>0</v>
      </c>
      <c r="Z1334" s="80" t="str">
        <f>IF(AND(ISNUMBER(H1334),H1334&gt;=0,H1334&lt;1),ROUND(H1334*1440,0),"")</f>
        <v/>
      </c>
      <c r="AA1334" s="80" t="str">
        <f>IF(AND(ISNUMBER(I1334),I1334&gt;=0,I1334&lt;1),ROUND(I1334*1440,0),"")</f>
        <v/>
      </c>
      <c r="AB1334" s="80">
        <f>IF(AND(ISNUMBER(B1334),D1334&lt;&gt;"",ISNUMBER(Z1334),ISNUMBER(AA1334)),IF(Z1334=AA1334,0,1),0)</f>
        <v>0</v>
      </c>
      <c r="AC1334" s="80">
        <f>IF(AB1334=1,IF(AA1334&lt;Z1334,1,0),0)</f>
        <v>0</v>
      </c>
      <c r="AD1334" s="80">
        <f>IF(AB1334=1,IF(AC1334=1,1440-Z1334+AA1334,AA1334-Z1334),0)</f>
        <v>0</v>
      </c>
      <c r="AE1334" s="80">
        <f>IF(J1334="",0,IF(ISNUMBER(J1334),J1334,-1))</f>
        <v>0</v>
      </c>
      <c r="AF1334" s="80">
        <f>MIN(MAX(0,AE1334),AD1334)</f>
        <v>0</v>
      </c>
      <c r="AG1334" s="80">
        <f>MAX(0,AD1334-MAX(0,AE1334))</f>
        <v>0</v>
      </c>
      <c r="AH1334" s="80">
        <f>IF(ISNUMBER(B1334),IF(AND(INDEX(CFG_WDAYS,WEEKDAY(INT(B1334),2))="Sí",IF(D1334="proMX",COUNTIFS(FER_F,INT(B1334),FER_NLP,"Sí"),COUNTIFS(FER_F,INT(B1334),FER_NLM,"Sí"))=0),1,0),0)</f>
        <v>0</v>
      </c>
      <c r="AI1334" s="80">
        <f>IF(AC1334=1,IF(AND(INDEX(CFG_WDAYS,WEEKDAY(INT(B1334)+1,2))="Sí",IF(D1334="proMX",COUNTIFS(FER_F,INT(B1334)+1,FER_NLP,"Sí"),COUNTIFS(FER_F,INT(B1334)+1,FER_NLM,"Sí"))=0),1,0),0)</f>
        <v>0</v>
      </c>
      <c r="AJ1334" s="80">
        <f>IF(AC1334=1,1440-Z1334,AD1334)</f>
        <v>0</v>
      </c>
      <c r="AK1334" s="80">
        <f>IF(AND(AB1334=1,AH1334=1),MAX(0,MIN(IF(AC1334=1,1440,AA1334),CFG_WEM)-MAX(Z1334,CFG_WSM)),0)</f>
        <v>0</v>
      </c>
      <c r="AL1334" s="80">
        <f>IF(AND(AC1334=1,AI1334=1),MAX(0,MIN(AA1334,CFG_WEM)-CFG_WSM),0)</f>
        <v>0</v>
      </c>
      <c r="AM1334" s="80">
        <f>AK1334+AL1334</f>
        <v>0</v>
      </c>
      <c r="AN1334" s="80">
        <f>IF(CFG_BRK="Proporcional",IF(AD1334=0,0,AF1334*AM1334/AD1334),IF(CFG_BRK="Extras primero",MIN(AM1334,MAX(0,AF1334-(AD1334-AM1334))),MIN(AF1334,AM1334)))</f>
        <v>0</v>
      </c>
      <c r="AO1334" s="80">
        <f>AF1334-AN1334</f>
        <v>0</v>
      </c>
      <c r="AP1334" s="80">
        <f>AM1334-AN1334</f>
        <v>0</v>
      </c>
      <c r="AQ1334" s="80">
        <f>AD1334-AM1334-AO1334</f>
        <v>0</v>
      </c>
      <c r="AR1334" s="80">
        <f>IF(AM1334=0,0,AK1334-AN1334*AK1334/AM1334)</f>
        <v>0</v>
      </c>
      <c r="AS1334" s="80">
        <f>IF(AD1334-AM1334=0,0,(AJ1334-AK1334)-AO1334*(AJ1334-AK1334)/(AD1334-AM1334))</f>
        <v>0</v>
      </c>
      <c r="AT1334" s="80" t="str">
        <f>IF(AC1334=1,INT(B1334)+1,"")</f>
        <v/>
      </c>
      <c r="AU1334" s="80">
        <f>IF(AND(D1334="proMX",R1334="Cancelled"),0,1)</f>
        <v>1</v>
      </c>
      <c r="AV1334" s="80">
        <f>IF(AND(AB1334=1,AU1334=1),IF(COUNTIFS($D$5:D1333,D1334,$B$5:B1333,B1334,$Z$5:Z1333,Z1334,$AA$5:AA1333,AA1334,$F$5:F1333,F1334&amp;"",$AU$5:AU1333,1)&gt;0,1,0),0)</f>
        <v>0</v>
      </c>
      <c r="AW1334" s="80" t="str">
        <f>IF(AB1334=1,INT(B1334)*1440+Z1334,"")</f>
        <v/>
      </c>
      <c r="AX1334" s="80" t="str">
        <f>IF(AB1334=1,AW1334+AD1334,"")</f>
        <v/>
      </c>
      <c r="AY1334" s="80">
        <f>IF(AND(AB1334=1,AV1334=0,AU1334=1),1,0)</f>
        <v>0</v>
      </c>
      <c r="AZ1334" s="80">
        <f>IF(AY1334=1,COUNTIFS(R_Emp,D1334,R_SAbs,"&lt;"&amp;AX1334,R_EAbs,"&gt;"&amp;AW1334,R_OKey,1)-1,0)</f>
        <v>0</v>
      </c>
      <c r="BA1334" s="80">
        <f>IF(AY1334=1,COUNTIFS(R_Emp,"&lt;&gt;"&amp;D1334,R_SAbs,"&lt;"&amp;AX1334,R_EAbs,"&gt;"&amp;AW1334,R_OKey,1),0)</f>
        <v>0</v>
      </c>
      <c r="BB1334" s="80">
        <f>IF(AND(AB1334=1,D1334="proMX"),IF(AND(MOD(Z1334,CFG_BLK)=0,MOD(AA1334,CFG_BLK)=0,MOD(AG1334,CFG_BLK)=0,AG1334&gt;0),1,0),1)</f>
        <v>1</v>
      </c>
      <c r="BC1334" s="80" t="str">
        <f>IF(Y1334=0,"",IF(NOT(ISNUMBER(B1334)),"Falta fecha o fecha inválida",IF(D1334="","Falta empresa",IF(AND(D1334&lt;&gt;"Malcolm",D1334&lt;&gt;"proMX"),"Empresa inválida",IF(OR(INT(B1334)&lt;CFG_PSTART,INT(B1334)&gt;CFG_PEND),"Fecha fuera del período",IF(OR(NOT(ISNUMBER(Z1334)),NOT(ISNUMBER(AA1334))),"Falta hora inicio/fin o formato inválido",IF(AB1334=0,"Hora inicio = hora fin",IF(AE1334&lt;0,"Descanso inválido",IF(AE1334&gt;=AD1334,"Descanso ≥ duración",IF(AV1334=1,"Registro duplicado",IF(AZ1334&gt;0,"Se superpone con otro registro "&amp;D1334,IF(BB1334=0,"inicio, fin y duración neta deben ser múltiplos de "&amp;CFG_BLK&amp;" min",""))))))))))))</f>
        <v/>
      </c>
      <c r="BD1334" s="80">
        <f>IF(AND(Y1334=1,BC1334=""),1,0)</f>
        <v>0</v>
      </c>
      <c r="BE1334" s="80">
        <f>IF(AND(BD1334=1,AU1334=1),1,0)</f>
        <v>0</v>
      </c>
      <c r="BF1334" s="80" t="str">
        <f>IF(AND(D1334="proMX",BD1334=1),IF(R1334="","Draft",R1334),"")</f>
        <v/>
      </c>
      <c r="BG1334" s="80">
        <f>IF(BD1334=1,ROUND(AG1334/60,6),0)</f>
        <v>0</v>
      </c>
      <c r="BH1334" s="80">
        <f>IF(BE1334=1,ROUND(AG1334/60,6),0)</f>
        <v>0</v>
      </c>
      <c r="BI1334" s="80">
        <f>IF(BE1334=1,ROUND(AP1334/60,6),0)</f>
        <v>0</v>
      </c>
      <c r="BJ1334" s="80">
        <f>IF(BE1334=1,ROUND(AQ1334/60,6),0)</f>
        <v>0</v>
      </c>
      <c r="BK1334" s="80">
        <f>IF(BE1334=1,ROUND((AR1334+AS1334)/60,6),0)</f>
        <v>0</v>
      </c>
      <c r="BL1334" s="80">
        <f>ROUND(BH1334-BK1334,6)</f>
        <v>0</v>
      </c>
      <c r="BM1334" s="80">
        <f>IF(BE1334=1,ROUND(AR1334/60,6),0)</f>
        <v>0</v>
      </c>
      <c r="BN1334" s="80">
        <f>ROUND(BI1334-BM1334,6)</f>
        <v>0</v>
      </c>
      <c r="BO1334" s="80">
        <f>IF(BE1334=1,ROUND(AS1334/60,6),0)</f>
        <v>0</v>
      </c>
      <c r="BP1334" s="80">
        <f>ROUND(BJ1334-BO1334,6)</f>
        <v>0</v>
      </c>
      <c r="BQ1334" s="80">
        <f>IF(BE1334=1,AW1334,0)</f>
        <v>0</v>
      </c>
      <c r="BR1334" s="80">
        <f>IF(BE1334=1,AX1334,0)</f>
        <v>0</v>
      </c>
      <c r="BS1334" s="80">
        <f>IF(AND(BE1334=1,D1334="Malcolm",BA1334&gt;0),MIN(BH1334,SUMPRODUCT((R_Emp="proMX")*(R_EN&gt;0)*((R_EN-(R_EN&gt;BR1334)*(R_EN-BR1334))&gt;(R_SN+(R_SN&lt;BQ1334)*(BQ1334-R_SN)))*((R_EN-(R_EN&gt;BR1334)*(R_EN-BR1334))-(R_SN+(R_SN&lt;BQ1334)*(BQ1334-R_SN))))/60),0)</f>
        <v>0</v>
      </c>
      <c r="BT1334" s="80">
        <f>IF(AND(BE1334=1,D1334="proMX"),ROUND(BI1334*CFG_RATE+BJ1334*CFG_OTRATE,6),0)</f>
        <v>0</v>
      </c>
      <c r="BU1334" s="80">
        <f>IF(AND(BD1334=1,D1334="proMX"),ROUND(AG1334/CFG_BLK,6),0)</f>
        <v>0</v>
      </c>
      <c r="BV1334" s="80" t="str">
        <f>IF(BF1334="Approved",IF(ISNUMBER(T1334),INT(T1334),INT(B1334)),"")</f>
        <v/>
      </c>
      <c r="BW1334" s="80">
        <f>IF(ISNUMBER(B1334),IF(DB_MON="Todos",1,IF(AND(INT(B1334)&gt;=DB_MS,INT(B1334)&lt;=DB_ME),1,0)),0)</f>
        <v>0</v>
      </c>
      <c r="BX1334" s="80">
        <f>IF(DB_PROJ="Todos",1,IF(E1334&amp;""=DB_PROJ&amp;"",1,0))</f>
        <v>1</v>
      </c>
      <c r="BY1334" s="80">
        <f>BW1334*BX1334</f>
        <v>0</v>
      </c>
      <c r="BZ1334" s="80" t="str">
        <f>IF(Y1334=1,F1334&amp;IF(AND(F1334&amp;""&lt;&gt;"",E1334&amp;""&lt;&gt;"")," · ","")&amp;E1334,"")</f>
        <v/>
      </c>
      <c r="CA1334" s="80" t="str">
        <f>IF(AND(BD1334=1,E1334&amp;""&lt;&gt;""),IF(COUNTIFS($E$5:E1333,E1334,$BD$5:BD1333,1)=0,MAX($CA$5:CA1333)+1,""),"")</f>
        <v/>
      </c>
      <c r="CB1334" s="80" t="str">
        <f>IF(AND(BE1334=1,D1334="Malcolm",E1334&amp;""&lt;&gt;""),IF(COUNTIFS($D$5:D1333,"Malcolm",$E$5:E1333,E1334,$BE$5:BE1333,1)=0,MAX($CB$5:CB1333)+1,""),"")</f>
        <v/>
      </c>
      <c r="CC1334" s="80" t="str">
        <f>IF(AND(BD1334=1,D1334="proMX",E1334&amp;""&lt;&gt;""),IF(COUNTIFS($D$5:D1333,"proMX",$E$5:E1333,E1334,$BD$5:BD1333,1)=0,MAX($CC$5:CC1333)+1,""),"")</f>
        <v/>
      </c>
      <c r="CD1334" s="80" t="str">
        <f>IF(AND(BE1334=1,D1334="Malcolm",F1334&amp;""&lt;&gt;""),IF(COUNTIFS($D$5:D1333,"Malcolm",$F$5:F1333,F1334,$BE$5:BE1333,1)=0,MAX($CD$5:CD1333)+1,""),"")</f>
        <v/>
      </c>
      <c r="CE1334" s="80" t="str">
        <f>IF(AND(BD1334=1,D1334="proMX",F1334&amp;""&lt;&gt;""),IF(COUNTIFS($D$5:D1333,"proMX",$F$5:F1333,F1334,$BD$5:BD1333,1)=0,MAX($CE$5:CE1333)+1,""),"")</f>
        <v/>
      </c>
      <c r="CF1334" s="80" t="str">
        <f>IF(AND(D1334="proMX",BD1334=1),IF(OR(BF1334="Draft",BF1334="Submitted",BF1334="Returned",BF1334="Recall Requested"),MAX($CF$5:CF1333)+1,""),"")</f>
        <v/>
      </c>
      <c r="CG1334" s="80">
        <f>IF(BD1334=0,0,IF(D1334="Malcolm",1,MATCH(BF1334,{"Draft","Submitted","Approved","Returned","Recall Requested","Cancelled"},0)+1))</f>
        <v>0</v>
      </c>
      <c r="CH1334" s="80">
        <f>IF(AND(BF1334="Submitted",ISNUMBER(V1334)),IF(V1334&gt;CFG_MAXD,1,0),0)</f>
        <v>0</v>
      </c>
    </row>
    <row r="1335">
      <c r="A1335" s="71" t="str">
        <f>IF(Y1335=1,ROW()-5,"")</f>
        <v/>
      </c>
      <c r="B1335" s="72" t="n"/>
      <c r="C1335" s="71" t="str">
        <f>IF(ISNUMBER(B1335),CHOOSE(WEEKDAY(B1335,2),"Lun","Mar","Mié","Jue","Vie","Sáb","Dom"),"")</f>
        <v/>
      </c>
      <c r="D1335" s="73" t="n"/>
      <c r="E1335" s="74" t="n"/>
      <c r="F1335" s="74" t="n"/>
      <c r="G1335" s="74" t="n"/>
      <c r="H1335" s="75" t="n"/>
      <c r="I1335" s="75" t="n"/>
      <c r="J1335" s="76" t="n"/>
      <c r="K1335" s="77" t="str">
        <f>IF(AB1335=1,ROUND(AG1335/60,4),"")</f>
        <v/>
      </c>
      <c r="L1335" s="77" t="str">
        <f>IF(BD1335=1,ROUND(AP1335/60,4),"")</f>
        <v/>
      </c>
      <c r="M1335" s="77" t="str">
        <f>IF(BD1335=1,ROUND(AQ1335/60,4),"")</f>
        <v/>
      </c>
      <c r="N1335" s="71" t="str">
        <f>IF(AND(D1335="proMX",AB1335=1),ROUND(AG1335/CFG_BLK,2),"")</f>
        <v/>
      </c>
      <c r="O1335" s="77" t="str">
        <f>IF(D1335="proMX",IF(BD1335=1,ROUND(AG1335/60,4),0),"")</f>
        <v/>
      </c>
      <c r="P1335" s="78" t="str">
        <f>IF(Y1335=0,"",IF(BD1335=1,"OK",IF(D1335="proMX","Revisar bloques: ","Revisar: ")&amp;BC1335))</f>
        <v/>
      </c>
      <c r="Q1335" s="78" t="str">
        <f>IF(NOT(ISNUMBER(B1335)),"",IF(COUNTIFS(FER_F,INT(B1335))&gt;0,"Feriado"&amp;IF(AH1335=1," (laborable)"," (no laborable)"),IF(AH1335=1,"Laborable",IF(WEEKDAY(B1335,2)&gt;5,"Fin de semana","No laborable"))))</f>
        <v/>
      </c>
      <c r="R1335" s="73" t="n"/>
      <c r="S1335" s="72" t="n"/>
      <c r="T1335" s="72" t="n"/>
      <c r="U1335" s="74" t="n"/>
      <c r="V1335" s="79" t="str">
        <f>IF(AND(D1335="proMX",OR(R1335="Submitted",R1335="Recall Requested"),ISNUMBER(S1335)),CFG_TODAY-INT(S1335),"")</f>
        <v/>
      </c>
      <c r="W1335" s="78" t="str">
        <f>IF(BD1335=0,"",IF(BA1335&gt;0,"⚠ Se superpone con un registro de la otra empresa",IF(D1335="Malcolm",IF(COUNTA(R1335,S1335,T1335)&gt;0,"Estado/fechas proMX se ignoran en Malcolm",""),IF(BF1335="Cancelled","Cancelado: excluido de totales",IF(R1335="","Sin estado: se trata como Draft",IF(BF1335="Submitted",IF(ISNUMBER(V1335),IF(V1335&gt;CFG_MAXD,"⚠ "&amp;V1335&amp;" días en Submitted (máx. "&amp;CFG_MAXD&amp;")",""),"Falta fecha de envío"),IF(BF1335="Returned","⚠ Devuelto: corregir y reenviar",IF(BF1335="Recall Requested","Retirada solicitada: pendiente",IF(AND(BF1335="Approved",NOT(ISNUMBER(T1335))),"Falta fecha de aprobación",IF(AND(ISNUMBER(S1335),ISNUMBER(T1335),T1335&lt;S1335),"Aprobación anterior al envío","")))))))))</f>
        <v/>
      </c>
      <c r="Y1335" s="80">
        <f>IF(COUNTA(B1335,D1335,E1335,F1335,G1335,H1335,I1335,J1335,R1335,S1335,T1335)&gt;0,1,0)</f>
        <v>0</v>
      </c>
      <c r="Z1335" s="80" t="str">
        <f>IF(AND(ISNUMBER(H1335),H1335&gt;=0,H1335&lt;1),ROUND(H1335*1440,0),"")</f>
        <v/>
      </c>
      <c r="AA1335" s="80" t="str">
        <f>IF(AND(ISNUMBER(I1335),I1335&gt;=0,I1335&lt;1),ROUND(I1335*1440,0),"")</f>
        <v/>
      </c>
      <c r="AB1335" s="80">
        <f>IF(AND(ISNUMBER(B1335),D1335&lt;&gt;"",ISNUMBER(Z1335),ISNUMBER(AA1335)),IF(Z1335=AA1335,0,1),0)</f>
        <v>0</v>
      </c>
      <c r="AC1335" s="80">
        <f>IF(AB1335=1,IF(AA1335&lt;Z1335,1,0),0)</f>
        <v>0</v>
      </c>
      <c r="AD1335" s="80">
        <f>IF(AB1335=1,IF(AC1335=1,1440-Z1335+AA1335,AA1335-Z1335),0)</f>
        <v>0</v>
      </c>
      <c r="AE1335" s="80">
        <f>IF(J1335="",0,IF(ISNUMBER(J1335),J1335,-1))</f>
        <v>0</v>
      </c>
      <c r="AF1335" s="80">
        <f>MIN(MAX(0,AE1335),AD1335)</f>
        <v>0</v>
      </c>
      <c r="AG1335" s="80">
        <f>MAX(0,AD1335-MAX(0,AE1335))</f>
        <v>0</v>
      </c>
      <c r="AH1335" s="80">
        <f>IF(ISNUMBER(B1335),IF(AND(INDEX(CFG_WDAYS,WEEKDAY(INT(B1335),2))="Sí",IF(D1335="proMX",COUNTIFS(FER_F,INT(B1335),FER_NLP,"Sí"),COUNTIFS(FER_F,INT(B1335),FER_NLM,"Sí"))=0),1,0),0)</f>
        <v>0</v>
      </c>
      <c r="AI1335" s="80">
        <f>IF(AC1335=1,IF(AND(INDEX(CFG_WDAYS,WEEKDAY(INT(B1335)+1,2))="Sí",IF(D1335="proMX",COUNTIFS(FER_F,INT(B1335)+1,FER_NLP,"Sí"),COUNTIFS(FER_F,INT(B1335)+1,FER_NLM,"Sí"))=0),1,0),0)</f>
        <v>0</v>
      </c>
      <c r="AJ1335" s="80">
        <f>IF(AC1335=1,1440-Z1335,AD1335)</f>
        <v>0</v>
      </c>
      <c r="AK1335" s="80">
        <f>IF(AND(AB1335=1,AH1335=1),MAX(0,MIN(IF(AC1335=1,1440,AA1335),CFG_WEM)-MAX(Z1335,CFG_WSM)),0)</f>
        <v>0</v>
      </c>
      <c r="AL1335" s="80">
        <f>IF(AND(AC1335=1,AI1335=1),MAX(0,MIN(AA1335,CFG_WEM)-CFG_WSM),0)</f>
        <v>0</v>
      </c>
      <c r="AM1335" s="80">
        <f>AK1335+AL1335</f>
        <v>0</v>
      </c>
      <c r="AN1335" s="80">
        <f>IF(CFG_BRK="Proporcional",IF(AD1335=0,0,AF1335*AM1335/AD1335),IF(CFG_BRK="Extras primero",MIN(AM1335,MAX(0,AF1335-(AD1335-AM1335))),MIN(AF1335,AM1335)))</f>
        <v>0</v>
      </c>
      <c r="AO1335" s="80">
        <f>AF1335-AN1335</f>
        <v>0</v>
      </c>
      <c r="AP1335" s="80">
        <f>AM1335-AN1335</f>
        <v>0</v>
      </c>
      <c r="AQ1335" s="80">
        <f>AD1335-AM1335-AO1335</f>
        <v>0</v>
      </c>
      <c r="AR1335" s="80">
        <f>IF(AM1335=0,0,AK1335-AN1335*AK1335/AM1335)</f>
        <v>0</v>
      </c>
      <c r="AS1335" s="80">
        <f>IF(AD1335-AM1335=0,0,(AJ1335-AK1335)-AO1335*(AJ1335-AK1335)/(AD1335-AM1335))</f>
        <v>0</v>
      </c>
      <c r="AT1335" s="80" t="str">
        <f>IF(AC1335=1,INT(B1335)+1,"")</f>
        <v/>
      </c>
      <c r="AU1335" s="80">
        <f>IF(AND(D1335="proMX",R1335="Cancelled"),0,1)</f>
        <v>1</v>
      </c>
      <c r="AV1335" s="80">
        <f>IF(AND(AB1335=1,AU1335=1),IF(COUNTIFS($D$5:D1334,D1335,$B$5:B1334,B1335,$Z$5:Z1334,Z1335,$AA$5:AA1334,AA1335,$F$5:F1334,F1335&amp;"",$AU$5:AU1334,1)&gt;0,1,0),0)</f>
        <v>0</v>
      </c>
      <c r="AW1335" s="80" t="str">
        <f>IF(AB1335=1,INT(B1335)*1440+Z1335,"")</f>
        <v/>
      </c>
      <c r="AX1335" s="80" t="str">
        <f>IF(AB1335=1,AW1335+AD1335,"")</f>
        <v/>
      </c>
      <c r="AY1335" s="80">
        <f>IF(AND(AB1335=1,AV1335=0,AU1335=1),1,0)</f>
        <v>0</v>
      </c>
      <c r="AZ1335" s="80">
        <f>IF(AY1335=1,COUNTIFS(R_Emp,D1335,R_SAbs,"&lt;"&amp;AX1335,R_EAbs,"&gt;"&amp;AW1335,R_OKey,1)-1,0)</f>
        <v>0</v>
      </c>
      <c r="BA1335" s="80">
        <f>IF(AY1335=1,COUNTIFS(R_Emp,"&lt;&gt;"&amp;D1335,R_SAbs,"&lt;"&amp;AX1335,R_EAbs,"&gt;"&amp;AW1335,R_OKey,1),0)</f>
        <v>0</v>
      </c>
      <c r="BB1335" s="80">
        <f>IF(AND(AB1335=1,D1335="proMX"),IF(AND(MOD(Z1335,CFG_BLK)=0,MOD(AA1335,CFG_BLK)=0,MOD(AG1335,CFG_BLK)=0,AG1335&gt;0),1,0),1)</f>
        <v>1</v>
      </c>
      <c r="BC1335" s="80" t="str">
        <f>IF(Y1335=0,"",IF(NOT(ISNUMBER(B1335)),"Falta fecha o fecha inválida",IF(D1335="","Falta empresa",IF(AND(D1335&lt;&gt;"Malcolm",D1335&lt;&gt;"proMX"),"Empresa inválida",IF(OR(INT(B1335)&lt;CFG_PSTART,INT(B1335)&gt;CFG_PEND),"Fecha fuera del período",IF(OR(NOT(ISNUMBER(Z1335)),NOT(ISNUMBER(AA1335))),"Falta hora inicio/fin o formato inválido",IF(AB1335=0,"Hora inicio = hora fin",IF(AE1335&lt;0,"Descanso inválido",IF(AE1335&gt;=AD1335,"Descanso ≥ duración",IF(AV1335=1,"Registro duplicado",IF(AZ1335&gt;0,"Se superpone con otro registro "&amp;D1335,IF(BB1335=0,"inicio, fin y duración neta deben ser múltiplos de "&amp;CFG_BLK&amp;" min",""))))))))))))</f>
        <v/>
      </c>
      <c r="BD1335" s="80">
        <f>IF(AND(Y1335=1,BC1335=""),1,0)</f>
        <v>0</v>
      </c>
      <c r="BE1335" s="80">
        <f>IF(AND(BD1335=1,AU1335=1),1,0)</f>
        <v>0</v>
      </c>
      <c r="BF1335" s="80" t="str">
        <f>IF(AND(D1335="proMX",BD1335=1),IF(R1335="","Draft",R1335),"")</f>
        <v/>
      </c>
      <c r="BG1335" s="80">
        <f>IF(BD1335=1,ROUND(AG1335/60,6),0)</f>
        <v>0</v>
      </c>
      <c r="BH1335" s="80">
        <f>IF(BE1335=1,ROUND(AG1335/60,6),0)</f>
        <v>0</v>
      </c>
      <c r="BI1335" s="80">
        <f>IF(BE1335=1,ROUND(AP1335/60,6),0)</f>
        <v>0</v>
      </c>
      <c r="BJ1335" s="80">
        <f>IF(BE1335=1,ROUND(AQ1335/60,6),0)</f>
        <v>0</v>
      </c>
      <c r="BK1335" s="80">
        <f>IF(BE1335=1,ROUND((AR1335+AS1335)/60,6),0)</f>
        <v>0</v>
      </c>
      <c r="BL1335" s="80">
        <f>ROUND(BH1335-BK1335,6)</f>
        <v>0</v>
      </c>
      <c r="BM1335" s="80">
        <f>IF(BE1335=1,ROUND(AR1335/60,6),0)</f>
        <v>0</v>
      </c>
      <c r="BN1335" s="80">
        <f>ROUND(BI1335-BM1335,6)</f>
        <v>0</v>
      </c>
      <c r="BO1335" s="80">
        <f>IF(BE1335=1,ROUND(AS1335/60,6),0)</f>
        <v>0</v>
      </c>
      <c r="BP1335" s="80">
        <f>ROUND(BJ1335-BO1335,6)</f>
        <v>0</v>
      </c>
      <c r="BQ1335" s="80">
        <f>IF(BE1335=1,AW1335,0)</f>
        <v>0</v>
      </c>
      <c r="BR1335" s="80">
        <f>IF(BE1335=1,AX1335,0)</f>
        <v>0</v>
      </c>
      <c r="BS1335" s="80">
        <f>IF(AND(BE1335=1,D1335="Malcolm",BA1335&gt;0),MIN(BH1335,SUMPRODUCT((R_Emp="proMX")*(R_EN&gt;0)*((R_EN-(R_EN&gt;BR1335)*(R_EN-BR1335))&gt;(R_SN+(R_SN&lt;BQ1335)*(BQ1335-R_SN)))*((R_EN-(R_EN&gt;BR1335)*(R_EN-BR1335))-(R_SN+(R_SN&lt;BQ1335)*(BQ1335-R_SN))))/60),0)</f>
        <v>0</v>
      </c>
      <c r="BT1335" s="80">
        <f>IF(AND(BE1335=1,D1335="proMX"),ROUND(BI1335*CFG_RATE+BJ1335*CFG_OTRATE,6),0)</f>
        <v>0</v>
      </c>
      <c r="BU1335" s="80">
        <f>IF(AND(BD1335=1,D1335="proMX"),ROUND(AG1335/CFG_BLK,6),0)</f>
        <v>0</v>
      </c>
      <c r="BV1335" s="80" t="str">
        <f>IF(BF1335="Approved",IF(ISNUMBER(T1335),INT(T1335),INT(B1335)),"")</f>
        <v/>
      </c>
      <c r="BW1335" s="80">
        <f>IF(ISNUMBER(B1335),IF(DB_MON="Todos",1,IF(AND(INT(B1335)&gt;=DB_MS,INT(B1335)&lt;=DB_ME),1,0)),0)</f>
        <v>0</v>
      </c>
      <c r="BX1335" s="80">
        <f>IF(DB_PROJ="Todos",1,IF(E1335&amp;""=DB_PROJ&amp;"",1,0))</f>
        <v>1</v>
      </c>
      <c r="BY1335" s="80">
        <f>BW1335*BX1335</f>
        <v>0</v>
      </c>
      <c r="BZ1335" s="80" t="str">
        <f>IF(Y1335=1,F1335&amp;IF(AND(F1335&amp;""&lt;&gt;"",E1335&amp;""&lt;&gt;"")," · ","")&amp;E1335,"")</f>
        <v/>
      </c>
      <c r="CA1335" s="80" t="str">
        <f>IF(AND(BD1335=1,E1335&amp;""&lt;&gt;""),IF(COUNTIFS($E$5:E1334,E1335,$BD$5:BD1334,1)=0,MAX($CA$5:CA1334)+1,""),"")</f>
        <v/>
      </c>
      <c r="CB1335" s="80" t="str">
        <f>IF(AND(BE1335=1,D1335="Malcolm",E1335&amp;""&lt;&gt;""),IF(COUNTIFS($D$5:D1334,"Malcolm",$E$5:E1334,E1335,$BE$5:BE1334,1)=0,MAX($CB$5:CB1334)+1,""),"")</f>
        <v/>
      </c>
      <c r="CC1335" s="80" t="str">
        <f>IF(AND(BD1335=1,D1335="proMX",E1335&amp;""&lt;&gt;""),IF(COUNTIFS($D$5:D1334,"proMX",$E$5:E1334,E1335,$BD$5:BD1334,1)=0,MAX($CC$5:CC1334)+1,""),"")</f>
        <v/>
      </c>
      <c r="CD1335" s="80" t="str">
        <f>IF(AND(BE1335=1,D1335="Malcolm",F1335&amp;""&lt;&gt;""),IF(COUNTIFS($D$5:D1334,"Malcolm",$F$5:F1334,F1335,$BE$5:BE1334,1)=0,MAX($CD$5:CD1334)+1,""),"")</f>
        <v/>
      </c>
      <c r="CE1335" s="80" t="str">
        <f>IF(AND(BD1335=1,D1335="proMX",F1335&amp;""&lt;&gt;""),IF(COUNTIFS($D$5:D1334,"proMX",$F$5:F1334,F1335,$BD$5:BD1334,1)=0,MAX($CE$5:CE1334)+1,""),"")</f>
        <v/>
      </c>
      <c r="CF1335" s="80" t="str">
        <f>IF(AND(D1335="proMX",BD1335=1),IF(OR(BF1335="Draft",BF1335="Submitted",BF1335="Returned",BF1335="Recall Requested"),MAX($CF$5:CF1334)+1,""),"")</f>
        <v/>
      </c>
      <c r="CG1335" s="80">
        <f>IF(BD1335=0,0,IF(D1335="Malcolm",1,MATCH(BF1335,{"Draft","Submitted","Approved","Returned","Recall Requested","Cancelled"},0)+1))</f>
        <v>0</v>
      </c>
      <c r="CH1335" s="80">
        <f>IF(AND(BF1335="Submitted",ISNUMBER(V1335)),IF(V1335&gt;CFG_MAXD,1,0),0)</f>
        <v>0</v>
      </c>
    </row>
    <row r="1336">
      <c r="A1336" s="71" t="str">
        <f>IF(Y1336=1,ROW()-5,"")</f>
        <v/>
      </c>
      <c r="B1336" s="72" t="n"/>
      <c r="C1336" s="71" t="str">
        <f>IF(ISNUMBER(B1336),CHOOSE(WEEKDAY(B1336,2),"Lun","Mar","Mié","Jue","Vie","Sáb","Dom"),"")</f>
        <v/>
      </c>
      <c r="D1336" s="73" t="n"/>
      <c r="E1336" s="74" t="n"/>
      <c r="F1336" s="74" t="n"/>
      <c r="G1336" s="74" t="n"/>
      <c r="H1336" s="75" t="n"/>
      <c r="I1336" s="75" t="n"/>
      <c r="J1336" s="76" t="n"/>
      <c r="K1336" s="77" t="str">
        <f>IF(AB1336=1,ROUND(AG1336/60,4),"")</f>
        <v/>
      </c>
      <c r="L1336" s="77" t="str">
        <f>IF(BD1336=1,ROUND(AP1336/60,4),"")</f>
        <v/>
      </c>
      <c r="M1336" s="77" t="str">
        <f>IF(BD1336=1,ROUND(AQ1336/60,4),"")</f>
        <v/>
      </c>
      <c r="N1336" s="71" t="str">
        <f>IF(AND(D1336="proMX",AB1336=1),ROUND(AG1336/CFG_BLK,2),"")</f>
        <v/>
      </c>
      <c r="O1336" s="77" t="str">
        <f>IF(D1336="proMX",IF(BD1336=1,ROUND(AG1336/60,4),0),"")</f>
        <v/>
      </c>
      <c r="P1336" s="78" t="str">
        <f>IF(Y1336=0,"",IF(BD1336=1,"OK",IF(D1336="proMX","Revisar bloques: ","Revisar: ")&amp;BC1336))</f>
        <v/>
      </c>
      <c r="Q1336" s="78" t="str">
        <f>IF(NOT(ISNUMBER(B1336)),"",IF(COUNTIFS(FER_F,INT(B1336))&gt;0,"Feriado"&amp;IF(AH1336=1," (laborable)"," (no laborable)"),IF(AH1336=1,"Laborable",IF(WEEKDAY(B1336,2)&gt;5,"Fin de semana","No laborable"))))</f>
        <v/>
      </c>
      <c r="R1336" s="73" t="n"/>
      <c r="S1336" s="72" t="n"/>
      <c r="T1336" s="72" t="n"/>
      <c r="U1336" s="74" t="n"/>
      <c r="V1336" s="79" t="str">
        <f>IF(AND(D1336="proMX",OR(R1336="Submitted",R1336="Recall Requested"),ISNUMBER(S1336)),CFG_TODAY-INT(S1336),"")</f>
        <v/>
      </c>
      <c r="W1336" s="78" t="str">
        <f>IF(BD1336=0,"",IF(BA1336&gt;0,"⚠ Se superpone con un registro de la otra empresa",IF(D1336="Malcolm",IF(COUNTA(R1336,S1336,T1336)&gt;0,"Estado/fechas proMX se ignoran en Malcolm",""),IF(BF1336="Cancelled","Cancelado: excluido de totales",IF(R1336="","Sin estado: se trata como Draft",IF(BF1336="Submitted",IF(ISNUMBER(V1336),IF(V1336&gt;CFG_MAXD,"⚠ "&amp;V1336&amp;" días en Submitted (máx. "&amp;CFG_MAXD&amp;")",""),"Falta fecha de envío"),IF(BF1336="Returned","⚠ Devuelto: corregir y reenviar",IF(BF1336="Recall Requested","Retirada solicitada: pendiente",IF(AND(BF1336="Approved",NOT(ISNUMBER(T1336))),"Falta fecha de aprobación",IF(AND(ISNUMBER(S1336),ISNUMBER(T1336),T1336&lt;S1336),"Aprobación anterior al envío","")))))))))</f>
        <v/>
      </c>
      <c r="Y1336" s="80">
        <f>IF(COUNTA(B1336,D1336,E1336,F1336,G1336,H1336,I1336,J1336,R1336,S1336,T1336)&gt;0,1,0)</f>
        <v>0</v>
      </c>
      <c r="Z1336" s="80" t="str">
        <f>IF(AND(ISNUMBER(H1336),H1336&gt;=0,H1336&lt;1),ROUND(H1336*1440,0),"")</f>
        <v/>
      </c>
      <c r="AA1336" s="80" t="str">
        <f>IF(AND(ISNUMBER(I1336),I1336&gt;=0,I1336&lt;1),ROUND(I1336*1440,0),"")</f>
        <v/>
      </c>
      <c r="AB1336" s="80">
        <f>IF(AND(ISNUMBER(B1336),D1336&lt;&gt;"",ISNUMBER(Z1336),ISNUMBER(AA1336)),IF(Z1336=AA1336,0,1),0)</f>
        <v>0</v>
      </c>
      <c r="AC1336" s="80">
        <f>IF(AB1336=1,IF(AA1336&lt;Z1336,1,0),0)</f>
        <v>0</v>
      </c>
      <c r="AD1336" s="80">
        <f>IF(AB1336=1,IF(AC1336=1,1440-Z1336+AA1336,AA1336-Z1336),0)</f>
        <v>0</v>
      </c>
      <c r="AE1336" s="80">
        <f>IF(J1336="",0,IF(ISNUMBER(J1336),J1336,-1))</f>
        <v>0</v>
      </c>
      <c r="AF1336" s="80">
        <f>MIN(MAX(0,AE1336),AD1336)</f>
        <v>0</v>
      </c>
      <c r="AG1336" s="80">
        <f>MAX(0,AD1336-MAX(0,AE1336))</f>
        <v>0</v>
      </c>
      <c r="AH1336" s="80">
        <f>IF(ISNUMBER(B1336),IF(AND(INDEX(CFG_WDAYS,WEEKDAY(INT(B1336),2))="Sí",IF(D1336="proMX",COUNTIFS(FER_F,INT(B1336),FER_NLP,"Sí"),COUNTIFS(FER_F,INT(B1336),FER_NLM,"Sí"))=0),1,0),0)</f>
        <v>0</v>
      </c>
      <c r="AI1336" s="80">
        <f>IF(AC1336=1,IF(AND(INDEX(CFG_WDAYS,WEEKDAY(INT(B1336)+1,2))="Sí",IF(D1336="proMX",COUNTIFS(FER_F,INT(B1336)+1,FER_NLP,"Sí"),COUNTIFS(FER_F,INT(B1336)+1,FER_NLM,"Sí"))=0),1,0),0)</f>
        <v>0</v>
      </c>
      <c r="AJ1336" s="80">
        <f>IF(AC1336=1,1440-Z1336,AD1336)</f>
        <v>0</v>
      </c>
      <c r="AK1336" s="80">
        <f>IF(AND(AB1336=1,AH1336=1),MAX(0,MIN(IF(AC1336=1,1440,AA1336),CFG_WEM)-MAX(Z1336,CFG_WSM)),0)</f>
        <v>0</v>
      </c>
      <c r="AL1336" s="80">
        <f>IF(AND(AC1336=1,AI1336=1),MAX(0,MIN(AA1336,CFG_WEM)-CFG_WSM),0)</f>
        <v>0</v>
      </c>
      <c r="AM1336" s="80">
        <f>AK1336+AL1336</f>
        <v>0</v>
      </c>
      <c r="AN1336" s="80">
        <f>IF(CFG_BRK="Proporcional",IF(AD1336=0,0,AF1336*AM1336/AD1336),IF(CFG_BRK="Extras primero",MIN(AM1336,MAX(0,AF1336-(AD1336-AM1336))),MIN(AF1336,AM1336)))</f>
        <v>0</v>
      </c>
      <c r="AO1336" s="80">
        <f>AF1336-AN1336</f>
        <v>0</v>
      </c>
      <c r="AP1336" s="80">
        <f>AM1336-AN1336</f>
        <v>0</v>
      </c>
      <c r="AQ1336" s="80">
        <f>AD1336-AM1336-AO1336</f>
        <v>0</v>
      </c>
      <c r="AR1336" s="80">
        <f>IF(AM1336=0,0,AK1336-AN1336*AK1336/AM1336)</f>
        <v>0</v>
      </c>
      <c r="AS1336" s="80">
        <f>IF(AD1336-AM1336=0,0,(AJ1336-AK1336)-AO1336*(AJ1336-AK1336)/(AD1336-AM1336))</f>
        <v>0</v>
      </c>
      <c r="AT1336" s="80" t="str">
        <f>IF(AC1336=1,INT(B1336)+1,"")</f>
        <v/>
      </c>
      <c r="AU1336" s="80">
        <f>IF(AND(D1336="proMX",R1336="Cancelled"),0,1)</f>
        <v>1</v>
      </c>
      <c r="AV1336" s="80">
        <f>IF(AND(AB1336=1,AU1336=1),IF(COUNTIFS($D$5:D1335,D1336,$B$5:B1335,B1336,$Z$5:Z1335,Z1336,$AA$5:AA1335,AA1336,$F$5:F1335,F1336&amp;"",$AU$5:AU1335,1)&gt;0,1,0),0)</f>
        <v>0</v>
      </c>
      <c r="AW1336" s="80" t="str">
        <f>IF(AB1336=1,INT(B1336)*1440+Z1336,"")</f>
        <v/>
      </c>
      <c r="AX1336" s="80" t="str">
        <f>IF(AB1336=1,AW1336+AD1336,"")</f>
        <v/>
      </c>
      <c r="AY1336" s="80">
        <f>IF(AND(AB1336=1,AV1336=0,AU1336=1),1,0)</f>
        <v>0</v>
      </c>
      <c r="AZ1336" s="80">
        <f>IF(AY1336=1,COUNTIFS(R_Emp,D1336,R_SAbs,"&lt;"&amp;AX1336,R_EAbs,"&gt;"&amp;AW1336,R_OKey,1)-1,0)</f>
        <v>0</v>
      </c>
      <c r="BA1336" s="80">
        <f>IF(AY1336=1,COUNTIFS(R_Emp,"&lt;&gt;"&amp;D1336,R_SAbs,"&lt;"&amp;AX1336,R_EAbs,"&gt;"&amp;AW1336,R_OKey,1),0)</f>
        <v>0</v>
      </c>
      <c r="BB1336" s="80">
        <f>IF(AND(AB1336=1,D1336="proMX"),IF(AND(MOD(Z1336,CFG_BLK)=0,MOD(AA1336,CFG_BLK)=0,MOD(AG1336,CFG_BLK)=0,AG1336&gt;0),1,0),1)</f>
        <v>1</v>
      </c>
      <c r="BC1336" s="80" t="str">
        <f>IF(Y1336=0,"",IF(NOT(ISNUMBER(B1336)),"Falta fecha o fecha inválida",IF(D1336="","Falta empresa",IF(AND(D1336&lt;&gt;"Malcolm",D1336&lt;&gt;"proMX"),"Empresa inválida",IF(OR(INT(B1336)&lt;CFG_PSTART,INT(B1336)&gt;CFG_PEND),"Fecha fuera del período",IF(OR(NOT(ISNUMBER(Z1336)),NOT(ISNUMBER(AA1336))),"Falta hora inicio/fin o formato inválido",IF(AB1336=0,"Hora inicio = hora fin",IF(AE1336&lt;0,"Descanso inválido",IF(AE1336&gt;=AD1336,"Descanso ≥ duración",IF(AV1336=1,"Registro duplicado",IF(AZ1336&gt;0,"Se superpone con otro registro "&amp;D1336,IF(BB1336=0,"inicio, fin y duración neta deben ser múltiplos de "&amp;CFG_BLK&amp;" min",""))))))))))))</f>
        <v/>
      </c>
      <c r="BD1336" s="80">
        <f>IF(AND(Y1336=1,BC1336=""),1,0)</f>
        <v>0</v>
      </c>
      <c r="BE1336" s="80">
        <f>IF(AND(BD1336=1,AU1336=1),1,0)</f>
        <v>0</v>
      </c>
      <c r="BF1336" s="80" t="str">
        <f>IF(AND(D1336="proMX",BD1336=1),IF(R1336="","Draft",R1336),"")</f>
        <v/>
      </c>
      <c r="BG1336" s="80">
        <f>IF(BD1336=1,ROUND(AG1336/60,6),0)</f>
        <v>0</v>
      </c>
      <c r="BH1336" s="80">
        <f>IF(BE1336=1,ROUND(AG1336/60,6),0)</f>
        <v>0</v>
      </c>
      <c r="BI1336" s="80">
        <f>IF(BE1336=1,ROUND(AP1336/60,6),0)</f>
        <v>0</v>
      </c>
      <c r="BJ1336" s="80">
        <f>IF(BE1336=1,ROUND(AQ1336/60,6),0)</f>
        <v>0</v>
      </c>
      <c r="BK1336" s="80">
        <f>IF(BE1336=1,ROUND((AR1336+AS1336)/60,6),0)</f>
        <v>0</v>
      </c>
      <c r="BL1336" s="80">
        <f>ROUND(BH1336-BK1336,6)</f>
        <v>0</v>
      </c>
      <c r="BM1336" s="80">
        <f>IF(BE1336=1,ROUND(AR1336/60,6),0)</f>
        <v>0</v>
      </c>
      <c r="BN1336" s="80">
        <f>ROUND(BI1336-BM1336,6)</f>
        <v>0</v>
      </c>
      <c r="BO1336" s="80">
        <f>IF(BE1336=1,ROUND(AS1336/60,6),0)</f>
        <v>0</v>
      </c>
      <c r="BP1336" s="80">
        <f>ROUND(BJ1336-BO1336,6)</f>
        <v>0</v>
      </c>
      <c r="BQ1336" s="80">
        <f>IF(BE1336=1,AW1336,0)</f>
        <v>0</v>
      </c>
      <c r="BR1336" s="80">
        <f>IF(BE1336=1,AX1336,0)</f>
        <v>0</v>
      </c>
      <c r="BS1336" s="80">
        <f>IF(AND(BE1336=1,D1336="Malcolm",BA1336&gt;0),MIN(BH1336,SUMPRODUCT((R_Emp="proMX")*(R_EN&gt;0)*((R_EN-(R_EN&gt;BR1336)*(R_EN-BR1336))&gt;(R_SN+(R_SN&lt;BQ1336)*(BQ1336-R_SN)))*((R_EN-(R_EN&gt;BR1336)*(R_EN-BR1336))-(R_SN+(R_SN&lt;BQ1336)*(BQ1336-R_SN))))/60),0)</f>
        <v>0</v>
      </c>
      <c r="BT1336" s="80">
        <f>IF(AND(BE1336=1,D1336="proMX"),ROUND(BI1336*CFG_RATE+BJ1336*CFG_OTRATE,6),0)</f>
        <v>0</v>
      </c>
      <c r="BU1336" s="80">
        <f>IF(AND(BD1336=1,D1336="proMX"),ROUND(AG1336/CFG_BLK,6),0)</f>
        <v>0</v>
      </c>
      <c r="BV1336" s="80" t="str">
        <f>IF(BF1336="Approved",IF(ISNUMBER(T1336),INT(T1336),INT(B1336)),"")</f>
        <v/>
      </c>
      <c r="BW1336" s="80">
        <f>IF(ISNUMBER(B1336),IF(DB_MON="Todos",1,IF(AND(INT(B1336)&gt;=DB_MS,INT(B1336)&lt;=DB_ME),1,0)),0)</f>
        <v>0</v>
      </c>
      <c r="BX1336" s="80">
        <f>IF(DB_PROJ="Todos",1,IF(E1336&amp;""=DB_PROJ&amp;"",1,0))</f>
        <v>1</v>
      </c>
      <c r="BY1336" s="80">
        <f>BW1336*BX1336</f>
        <v>0</v>
      </c>
      <c r="BZ1336" s="80" t="str">
        <f>IF(Y1336=1,F1336&amp;IF(AND(F1336&amp;""&lt;&gt;"",E1336&amp;""&lt;&gt;"")," · ","")&amp;E1336,"")</f>
        <v/>
      </c>
      <c r="CA1336" s="80" t="str">
        <f>IF(AND(BD1336=1,E1336&amp;""&lt;&gt;""),IF(COUNTIFS($E$5:E1335,E1336,$BD$5:BD1335,1)=0,MAX($CA$5:CA1335)+1,""),"")</f>
        <v/>
      </c>
      <c r="CB1336" s="80" t="str">
        <f>IF(AND(BE1336=1,D1336="Malcolm",E1336&amp;""&lt;&gt;""),IF(COUNTIFS($D$5:D1335,"Malcolm",$E$5:E1335,E1336,$BE$5:BE1335,1)=0,MAX($CB$5:CB1335)+1,""),"")</f>
        <v/>
      </c>
      <c r="CC1336" s="80" t="str">
        <f>IF(AND(BD1336=1,D1336="proMX",E1336&amp;""&lt;&gt;""),IF(COUNTIFS($D$5:D1335,"proMX",$E$5:E1335,E1336,$BD$5:BD1335,1)=0,MAX($CC$5:CC1335)+1,""),"")</f>
        <v/>
      </c>
      <c r="CD1336" s="80" t="str">
        <f>IF(AND(BE1336=1,D1336="Malcolm",F1336&amp;""&lt;&gt;""),IF(COUNTIFS($D$5:D1335,"Malcolm",$F$5:F1335,F1336,$BE$5:BE1335,1)=0,MAX($CD$5:CD1335)+1,""),"")</f>
        <v/>
      </c>
      <c r="CE1336" s="80" t="str">
        <f>IF(AND(BD1336=1,D1336="proMX",F1336&amp;""&lt;&gt;""),IF(COUNTIFS($D$5:D1335,"proMX",$F$5:F1335,F1336,$BD$5:BD1335,1)=0,MAX($CE$5:CE1335)+1,""),"")</f>
        <v/>
      </c>
      <c r="CF1336" s="80" t="str">
        <f>IF(AND(D1336="proMX",BD1336=1),IF(OR(BF1336="Draft",BF1336="Submitted",BF1336="Returned",BF1336="Recall Requested"),MAX($CF$5:CF1335)+1,""),"")</f>
        <v/>
      </c>
      <c r="CG1336" s="80">
        <f>IF(BD1336=0,0,IF(D1336="Malcolm",1,MATCH(BF1336,{"Draft","Submitted","Approved","Returned","Recall Requested","Cancelled"},0)+1))</f>
        <v>0</v>
      </c>
      <c r="CH1336" s="80">
        <f>IF(AND(BF1336="Submitted",ISNUMBER(V1336)),IF(V1336&gt;CFG_MAXD,1,0),0)</f>
        <v>0</v>
      </c>
    </row>
    <row r="1337">
      <c r="A1337" s="71" t="str">
        <f>IF(Y1337=1,ROW()-5,"")</f>
        <v/>
      </c>
      <c r="B1337" s="72" t="n"/>
      <c r="C1337" s="71" t="str">
        <f>IF(ISNUMBER(B1337),CHOOSE(WEEKDAY(B1337,2),"Lun","Mar","Mié","Jue","Vie","Sáb","Dom"),"")</f>
        <v/>
      </c>
      <c r="D1337" s="73" t="n"/>
      <c r="E1337" s="74" t="n"/>
      <c r="F1337" s="74" t="n"/>
      <c r="G1337" s="74" t="n"/>
      <c r="H1337" s="75" t="n"/>
      <c r="I1337" s="75" t="n"/>
      <c r="J1337" s="76" t="n"/>
      <c r="K1337" s="77" t="str">
        <f>IF(AB1337=1,ROUND(AG1337/60,4),"")</f>
        <v/>
      </c>
      <c r="L1337" s="77" t="str">
        <f>IF(BD1337=1,ROUND(AP1337/60,4),"")</f>
        <v/>
      </c>
      <c r="M1337" s="77" t="str">
        <f>IF(BD1337=1,ROUND(AQ1337/60,4),"")</f>
        <v/>
      </c>
      <c r="N1337" s="71" t="str">
        <f>IF(AND(D1337="proMX",AB1337=1),ROUND(AG1337/CFG_BLK,2),"")</f>
        <v/>
      </c>
      <c r="O1337" s="77" t="str">
        <f>IF(D1337="proMX",IF(BD1337=1,ROUND(AG1337/60,4),0),"")</f>
        <v/>
      </c>
      <c r="P1337" s="78" t="str">
        <f>IF(Y1337=0,"",IF(BD1337=1,"OK",IF(D1337="proMX","Revisar bloques: ","Revisar: ")&amp;BC1337))</f>
        <v/>
      </c>
      <c r="Q1337" s="78" t="str">
        <f>IF(NOT(ISNUMBER(B1337)),"",IF(COUNTIFS(FER_F,INT(B1337))&gt;0,"Feriado"&amp;IF(AH1337=1," (laborable)"," (no laborable)"),IF(AH1337=1,"Laborable",IF(WEEKDAY(B1337,2)&gt;5,"Fin de semana","No laborable"))))</f>
        <v/>
      </c>
      <c r="R1337" s="73" t="n"/>
      <c r="S1337" s="72" t="n"/>
      <c r="T1337" s="72" t="n"/>
      <c r="U1337" s="74" t="n"/>
      <c r="V1337" s="79" t="str">
        <f>IF(AND(D1337="proMX",OR(R1337="Submitted",R1337="Recall Requested"),ISNUMBER(S1337)),CFG_TODAY-INT(S1337),"")</f>
        <v/>
      </c>
      <c r="W1337" s="78" t="str">
        <f>IF(BD1337=0,"",IF(BA1337&gt;0,"⚠ Se superpone con un registro de la otra empresa",IF(D1337="Malcolm",IF(COUNTA(R1337,S1337,T1337)&gt;0,"Estado/fechas proMX se ignoran en Malcolm",""),IF(BF1337="Cancelled","Cancelado: excluido de totales",IF(R1337="","Sin estado: se trata como Draft",IF(BF1337="Submitted",IF(ISNUMBER(V1337),IF(V1337&gt;CFG_MAXD,"⚠ "&amp;V1337&amp;" días en Submitted (máx. "&amp;CFG_MAXD&amp;")",""),"Falta fecha de envío"),IF(BF1337="Returned","⚠ Devuelto: corregir y reenviar",IF(BF1337="Recall Requested","Retirada solicitada: pendiente",IF(AND(BF1337="Approved",NOT(ISNUMBER(T1337))),"Falta fecha de aprobación",IF(AND(ISNUMBER(S1337),ISNUMBER(T1337),T1337&lt;S1337),"Aprobación anterior al envío","")))))))))</f>
        <v/>
      </c>
      <c r="Y1337" s="80">
        <f>IF(COUNTA(B1337,D1337,E1337,F1337,G1337,H1337,I1337,J1337,R1337,S1337,T1337)&gt;0,1,0)</f>
        <v>0</v>
      </c>
      <c r="Z1337" s="80" t="str">
        <f>IF(AND(ISNUMBER(H1337),H1337&gt;=0,H1337&lt;1),ROUND(H1337*1440,0),"")</f>
        <v/>
      </c>
      <c r="AA1337" s="80" t="str">
        <f>IF(AND(ISNUMBER(I1337),I1337&gt;=0,I1337&lt;1),ROUND(I1337*1440,0),"")</f>
        <v/>
      </c>
      <c r="AB1337" s="80">
        <f>IF(AND(ISNUMBER(B1337),D1337&lt;&gt;"",ISNUMBER(Z1337),ISNUMBER(AA1337)),IF(Z1337=AA1337,0,1),0)</f>
        <v>0</v>
      </c>
      <c r="AC1337" s="80">
        <f>IF(AB1337=1,IF(AA1337&lt;Z1337,1,0),0)</f>
        <v>0</v>
      </c>
      <c r="AD1337" s="80">
        <f>IF(AB1337=1,IF(AC1337=1,1440-Z1337+AA1337,AA1337-Z1337),0)</f>
        <v>0</v>
      </c>
      <c r="AE1337" s="80">
        <f>IF(J1337="",0,IF(ISNUMBER(J1337),J1337,-1))</f>
        <v>0</v>
      </c>
      <c r="AF1337" s="80">
        <f>MIN(MAX(0,AE1337),AD1337)</f>
        <v>0</v>
      </c>
      <c r="AG1337" s="80">
        <f>MAX(0,AD1337-MAX(0,AE1337))</f>
        <v>0</v>
      </c>
      <c r="AH1337" s="80">
        <f>IF(ISNUMBER(B1337),IF(AND(INDEX(CFG_WDAYS,WEEKDAY(INT(B1337),2))="Sí",IF(D1337="proMX",COUNTIFS(FER_F,INT(B1337),FER_NLP,"Sí"),COUNTIFS(FER_F,INT(B1337),FER_NLM,"Sí"))=0),1,0),0)</f>
        <v>0</v>
      </c>
      <c r="AI1337" s="80">
        <f>IF(AC1337=1,IF(AND(INDEX(CFG_WDAYS,WEEKDAY(INT(B1337)+1,2))="Sí",IF(D1337="proMX",COUNTIFS(FER_F,INT(B1337)+1,FER_NLP,"Sí"),COUNTIFS(FER_F,INT(B1337)+1,FER_NLM,"Sí"))=0),1,0),0)</f>
        <v>0</v>
      </c>
      <c r="AJ1337" s="80">
        <f>IF(AC1337=1,1440-Z1337,AD1337)</f>
        <v>0</v>
      </c>
      <c r="AK1337" s="80">
        <f>IF(AND(AB1337=1,AH1337=1),MAX(0,MIN(IF(AC1337=1,1440,AA1337),CFG_WEM)-MAX(Z1337,CFG_WSM)),0)</f>
        <v>0</v>
      </c>
      <c r="AL1337" s="80">
        <f>IF(AND(AC1337=1,AI1337=1),MAX(0,MIN(AA1337,CFG_WEM)-CFG_WSM),0)</f>
        <v>0</v>
      </c>
      <c r="AM1337" s="80">
        <f>AK1337+AL1337</f>
        <v>0</v>
      </c>
      <c r="AN1337" s="80">
        <f>IF(CFG_BRK="Proporcional",IF(AD1337=0,0,AF1337*AM1337/AD1337),IF(CFG_BRK="Extras primero",MIN(AM1337,MAX(0,AF1337-(AD1337-AM1337))),MIN(AF1337,AM1337)))</f>
        <v>0</v>
      </c>
      <c r="AO1337" s="80">
        <f>AF1337-AN1337</f>
        <v>0</v>
      </c>
      <c r="AP1337" s="80">
        <f>AM1337-AN1337</f>
        <v>0</v>
      </c>
      <c r="AQ1337" s="80">
        <f>AD1337-AM1337-AO1337</f>
        <v>0</v>
      </c>
      <c r="AR1337" s="80">
        <f>IF(AM1337=0,0,AK1337-AN1337*AK1337/AM1337)</f>
        <v>0</v>
      </c>
      <c r="AS1337" s="80">
        <f>IF(AD1337-AM1337=0,0,(AJ1337-AK1337)-AO1337*(AJ1337-AK1337)/(AD1337-AM1337))</f>
        <v>0</v>
      </c>
      <c r="AT1337" s="80" t="str">
        <f>IF(AC1337=1,INT(B1337)+1,"")</f>
        <v/>
      </c>
      <c r="AU1337" s="80">
        <f>IF(AND(D1337="proMX",R1337="Cancelled"),0,1)</f>
        <v>1</v>
      </c>
      <c r="AV1337" s="80">
        <f>IF(AND(AB1337=1,AU1337=1),IF(COUNTIFS($D$5:D1336,D1337,$B$5:B1336,B1337,$Z$5:Z1336,Z1337,$AA$5:AA1336,AA1337,$F$5:F1336,F1337&amp;"",$AU$5:AU1336,1)&gt;0,1,0),0)</f>
        <v>0</v>
      </c>
      <c r="AW1337" s="80" t="str">
        <f>IF(AB1337=1,INT(B1337)*1440+Z1337,"")</f>
        <v/>
      </c>
      <c r="AX1337" s="80" t="str">
        <f>IF(AB1337=1,AW1337+AD1337,"")</f>
        <v/>
      </c>
      <c r="AY1337" s="80">
        <f>IF(AND(AB1337=1,AV1337=0,AU1337=1),1,0)</f>
        <v>0</v>
      </c>
      <c r="AZ1337" s="80">
        <f>IF(AY1337=1,COUNTIFS(R_Emp,D1337,R_SAbs,"&lt;"&amp;AX1337,R_EAbs,"&gt;"&amp;AW1337,R_OKey,1)-1,0)</f>
        <v>0</v>
      </c>
      <c r="BA1337" s="80">
        <f>IF(AY1337=1,COUNTIFS(R_Emp,"&lt;&gt;"&amp;D1337,R_SAbs,"&lt;"&amp;AX1337,R_EAbs,"&gt;"&amp;AW1337,R_OKey,1),0)</f>
        <v>0</v>
      </c>
      <c r="BB1337" s="80">
        <f>IF(AND(AB1337=1,D1337="proMX"),IF(AND(MOD(Z1337,CFG_BLK)=0,MOD(AA1337,CFG_BLK)=0,MOD(AG1337,CFG_BLK)=0,AG1337&gt;0),1,0),1)</f>
        <v>1</v>
      </c>
      <c r="BC1337" s="80" t="str">
        <f>IF(Y1337=0,"",IF(NOT(ISNUMBER(B1337)),"Falta fecha o fecha inválida",IF(D1337="","Falta empresa",IF(AND(D1337&lt;&gt;"Malcolm",D1337&lt;&gt;"proMX"),"Empresa inválida",IF(OR(INT(B1337)&lt;CFG_PSTART,INT(B1337)&gt;CFG_PEND),"Fecha fuera del período",IF(OR(NOT(ISNUMBER(Z1337)),NOT(ISNUMBER(AA1337))),"Falta hora inicio/fin o formato inválido",IF(AB1337=0,"Hora inicio = hora fin",IF(AE1337&lt;0,"Descanso inválido",IF(AE1337&gt;=AD1337,"Descanso ≥ duración",IF(AV1337=1,"Registro duplicado",IF(AZ1337&gt;0,"Se superpone con otro registro "&amp;D1337,IF(BB1337=0,"inicio, fin y duración neta deben ser múltiplos de "&amp;CFG_BLK&amp;" min",""))))))))))))</f>
        <v/>
      </c>
      <c r="BD1337" s="80">
        <f>IF(AND(Y1337=1,BC1337=""),1,0)</f>
        <v>0</v>
      </c>
      <c r="BE1337" s="80">
        <f>IF(AND(BD1337=1,AU1337=1),1,0)</f>
        <v>0</v>
      </c>
      <c r="BF1337" s="80" t="str">
        <f>IF(AND(D1337="proMX",BD1337=1),IF(R1337="","Draft",R1337),"")</f>
        <v/>
      </c>
      <c r="BG1337" s="80">
        <f>IF(BD1337=1,ROUND(AG1337/60,6),0)</f>
        <v>0</v>
      </c>
      <c r="BH1337" s="80">
        <f>IF(BE1337=1,ROUND(AG1337/60,6),0)</f>
        <v>0</v>
      </c>
      <c r="BI1337" s="80">
        <f>IF(BE1337=1,ROUND(AP1337/60,6),0)</f>
        <v>0</v>
      </c>
      <c r="BJ1337" s="80">
        <f>IF(BE1337=1,ROUND(AQ1337/60,6),0)</f>
        <v>0</v>
      </c>
      <c r="BK1337" s="80">
        <f>IF(BE1337=1,ROUND((AR1337+AS1337)/60,6),0)</f>
        <v>0</v>
      </c>
      <c r="BL1337" s="80">
        <f>ROUND(BH1337-BK1337,6)</f>
        <v>0</v>
      </c>
      <c r="BM1337" s="80">
        <f>IF(BE1337=1,ROUND(AR1337/60,6),0)</f>
        <v>0</v>
      </c>
      <c r="BN1337" s="80">
        <f>ROUND(BI1337-BM1337,6)</f>
        <v>0</v>
      </c>
      <c r="BO1337" s="80">
        <f>IF(BE1337=1,ROUND(AS1337/60,6),0)</f>
        <v>0</v>
      </c>
      <c r="BP1337" s="80">
        <f>ROUND(BJ1337-BO1337,6)</f>
        <v>0</v>
      </c>
      <c r="BQ1337" s="80">
        <f>IF(BE1337=1,AW1337,0)</f>
        <v>0</v>
      </c>
      <c r="BR1337" s="80">
        <f>IF(BE1337=1,AX1337,0)</f>
        <v>0</v>
      </c>
      <c r="BS1337" s="80">
        <f>IF(AND(BE1337=1,D1337="Malcolm",BA1337&gt;0),MIN(BH1337,SUMPRODUCT((R_Emp="proMX")*(R_EN&gt;0)*((R_EN-(R_EN&gt;BR1337)*(R_EN-BR1337))&gt;(R_SN+(R_SN&lt;BQ1337)*(BQ1337-R_SN)))*((R_EN-(R_EN&gt;BR1337)*(R_EN-BR1337))-(R_SN+(R_SN&lt;BQ1337)*(BQ1337-R_SN))))/60),0)</f>
        <v>0</v>
      </c>
      <c r="BT1337" s="80">
        <f>IF(AND(BE1337=1,D1337="proMX"),ROUND(BI1337*CFG_RATE+BJ1337*CFG_OTRATE,6),0)</f>
        <v>0</v>
      </c>
      <c r="BU1337" s="80">
        <f>IF(AND(BD1337=1,D1337="proMX"),ROUND(AG1337/CFG_BLK,6),0)</f>
        <v>0</v>
      </c>
      <c r="BV1337" s="80" t="str">
        <f>IF(BF1337="Approved",IF(ISNUMBER(T1337),INT(T1337),INT(B1337)),"")</f>
        <v/>
      </c>
      <c r="BW1337" s="80">
        <f>IF(ISNUMBER(B1337),IF(DB_MON="Todos",1,IF(AND(INT(B1337)&gt;=DB_MS,INT(B1337)&lt;=DB_ME),1,0)),0)</f>
        <v>0</v>
      </c>
      <c r="BX1337" s="80">
        <f>IF(DB_PROJ="Todos",1,IF(E1337&amp;""=DB_PROJ&amp;"",1,0))</f>
        <v>1</v>
      </c>
      <c r="BY1337" s="80">
        <f>BW1337*BX1337</f>
        <v>0</v>
      </c>
      <c r="BZ1337" s="80" t="str">
        <f>IF(Y1337=1,F1337&amp;IF(AND(F1337&amp;""&lt;&gt;"",E1337&amp;""&lt;&gt;"")," · ","")&amp;E1337,"")</f>
        <v/>
      </c>
      <c r="CA1337" s="80" t="str">
        <f>IF(AND(BD1337=1,E1337&amp;""&lt;&gt;""),IF(COUNTIFS($E$5:E1336,E1337,$BD$5:BD1336,1)=0,MAX($CA$5:CA1336)+1,""),"")</f>
        <v/>
      </c>
      <c r="CB1337" s="80" t="str">
        <f>IF(AND(BE1337=1,D1337="Malcolm",E1337&amp;""&lt;&gt;""),IF(COUNTIFS($D$5:D1336,"Malcolm",$E$5:E1336,E1337,$BE$5:BE1336,1)=0,MAX($CB$5:CB1336)+1,""),"")</f>
        <v/>
      </c>
      <c r="CC1337" s="80" t="str">
        <f>IF(AND(BD1337=1,D1337="proMX",E1337&amp;""&lt;&gt;""),IF(COUNTIFS($D$5:D1336,"proMX",$E$5:E1336,E1337,$BD$5:BD1336,1)=0,MAX($CC$5:CC1336)+1,""),"")</f>
        <v/>
      </c>
      <c r="CD1337" s="80" t="str">
        <f>IF(AND(BE1337=1,D1337="Malcolm",F1337&amp;""&lt;&gt;""),IF(COUNTIFS($D$5:D1336,"Malcolm",$F$5:F1336,F1337,$BE$5:BE1336,1)=0,MAX($CD$5:CD1336)+1,""),"")</f>
        <v/>
      </c>
      <c r="CE1337" s="80" t="str">
        <f>IF(AND(BD1337=1,D1337="proMX",F1337&amp;""&lt;&gt;""),IF(COUNTIFS($D$5:D1336,"proMX",$F$5:F1336,F1337,$BD$5:BD1336,1)=0,MAX($CE$5:CE1336)+1,""),"")</f>
        <v/>
      </c>
      <c r="CF1337" s="80" t="str">
        <f>IF(AND(D1337="proMX",BD1337=1),IF(OR(BF1337="Draft",BF1337="Submitted",BF1337="Returned",BF1337="Recall Requested"),MAX($CF$5:CF1336)+1,""),"")</f>
        <v/>
      </c>
      <c r="CG1337" s="80">
        <f>IF(BD1337=0,0,IF(D1337="Malcolm",1,MATCH(BF1337,{"Draft","Submitted","Approved","Returned","Recall Requested","Cancelled"},0)+1))</f>
        <v>0</v>
      </c>
      <c r="CH1337" s="80">
        <f>IF(AND(BF1337="Submitted",ISNUMBER(V1337)),IF(V1337&gt;CFG_MAXD,1,0),0)</f>
        <v>0</v>
      </c>
    </row>
    <row r="1338">
      <c r="A1338" s="71" t="str">
        <f>IF(Y1338=1,ROW()-5,"")</f>
        <v/>
      </c>
      <c r="B1338" s="72" t="n"/>
      <c r="C1338" s="71" t="str">
        <f>IF(ISNUMBER(B1338),CHOOSE(WEEKDAY(B1338,2),"Lun","Mar","Mié","Jue","Vie","Sáb","Dom"),"")</f>
        <v/>
      </c>
      <c r="D1338" s="73" t="n"/>
      <c r="E1338" s="74" t="n"/>
      <c r="F1338" s="74" t="n"/>
      <c r="G1338" s="74" t="n"/>
      <c r="H1338" s="75" t="n"/>
      <c r="I1338" s="75" t="n"/>
      <c r="J1338" s="76" t="n"/>
      <c r="K1338" s="77" t="str">
        <f>IF(AB1338=1,ROUND(AG1338/60,4),"")</f>
        <v/>
      </c>
      <c r="L1338" s="77" t="str">
        <f>IF(BD1338=1,ROUND(AP1338/60,4),"")</f>
        <v/>
      </c>
      <c r="M1338" s="77" t="str">
        <f>IF(BD1338=1,ROUND(AQ1338/60,4),"")</f>
        <v/>
      </c>
      <c r="N1338" s="71" t="str">
        <f>IF(AND(D1338="proMX",AB1338=1),ROUND(AG1338/CFG_BLK,2),"")</f>
        <v/>
      </c>
      <c r="O1338" s="77" t="str">
        <f>IF(D1338="proMX",IF(BD1338=1,ROUND(AG1338/60,4),0),"")</f>
        <v/>
      </c>
      <c r="P1338" s="78" t="str">
        <f>IF(Y1338=0,"",IF(BD1338=1,"OK",IF(D1338="proMX","Revisar bloques: ","Revisar: ")&amp;BC1338))</f>
        <v/>
      </c>
      <c r="Q1338" s="78" t="str">
        <f>IF(NOT(ISNUMBER(B1338)),"",IF(COUNTIFS(FER_F,INT(B1338))&gt;0,"Feriado"&amp;IF(AH1338=1," (laborable)"," (no laborable)"),IF(AH1338=1,"Laborable",IF(WEEKDAY(B1338,2)&gt;5,"Fin de semana","No laborable"))))</f>
        <v/>
      </c>
      <c r="R1338" s="73" t="n"/>
      <c r="S1338" s="72" t="n"/>
      <c r="T1338" s="72" t="n"/>
      <c r="U1338" s="74" t="n"/>
      <c r="V1338" s="79" t="str">
        <f>IF(AND(D1338="proMX",OR(R1338="Submitted",R1338="Recall Requested"),ISNUMBER(S1338)),CFG_TODAY-INT(S1338),"")</f>
        <v/>
      </c>
      <c r="W1338" s="78" t="str">
        <f>IF(BD1338=0,"",IF(BA1338&gt;0,"⚠ Se superpone con un registro de la otra empresa",IF(D1338="Malcolm",IF(COUNTA(R1338,S1338,T1338)&gt;0,"Estado/fechas proMX se ignoran en Malcolm",""),IF(BF1338="Cancelled","Cancelado: excluido de totales",IF(R1338="","Sin estado: se trata como Draft",IF(BF1338="Submitted",IF(ISNUMBER(V1338),IF(V1338&gt;CFG_MAXD,"⚠ "&amp;V1338&amp;" días en Submitted (máx. "&amp;CFG_MAXD&amp;")",""),"Falta fecha de envío"),IF(BF1338="Returned","⚠ Devuelto: corregir y reenviar",IF(BF1338="Recall Requested","Retirada solicitada: pendiente",IF(AND(BF1338="Approved",NOT(ISNUMBER(T1338))),"Falta fecha de aprobación",IF(AND(ISNUMBER(S1338),ISNUMBER(T1338),T1338&lt;S1338),"Aprobación anterior al envío","")))))))))</f>
        <v/>
      </c>
      <c r="Y1338" s="80">
        <f>IF(COUNTA(B1338,D1338,E1338,F1338,G1338,H1338,I1338,J1338,R1338,S1338,T1338)&gt;0,1,0)</f>
        <v>0</v>
      </c>
      <c r="Z1338" s="80" t="str">
        <f>IF(AND(ISNUMBER(H1338),H1338&gt;=0,H1338&lt;1),ROUND(H1338*1440,0),"")</f>
        <v/>
      </c>
      <c r="AA1338" s="80" t="str">
        <f>IF(AND(ISNUMBER(I1338),I1338&gt;=0,I1338&lt;1),ROUND(I1338*1440,0),"")</f>
        <v/>
      </c>
      <c r="AB1338" s="80">
        <f>IF(AND(ISNUMBER(B1338),D1338&lt;&gt;"",ISNUMBER(Z1338),ISNUMBER(AA1338)),IF(Z1338=AA1338,0,1),0)</f>
        <v>0</v>
      </c>
      <c r="AC1338" s="80">
        <f>IF(AB1338=1,IF(AA1338&lt;Z1338,1,0),0)</f>
        <v>0</v>
      </c>
      <c r="AD1338" s="80">
        <f>IF(AB1338=1,IF(AC1338=1,1440-Z1338+AA1338,AA1338-Z1338),0)</f>
        <v>0</v>
      </c>
      <c r="AE1338" s="80">
        <f>IF(J1338="",0,IF(ISNUMBER(J1338),J1338,-1))</f>
        <v>0</v>
      </c>
      <c r="AF1338" s="80">
        <f>MIN(MAX(0,AE1338),AD1338)</f>
        <v>0</v>
      </c>
      <c r="AG1338" s="80">
        <f>MAX(0,AD1338-MAX(0,AE1338))</f>
        <v>0</v>
      </c>
      <c r="AH1338" s="80">
        <f>IF(ISNUMBER(B1338),IF(AND(INDEX(CFG_WDAYS,WEEKDAY(INT(B1338),2))="Sí",IF(D1338="proMX",COUNTIFS(FER_F,INT(B1338),FER_NLP,"Sí"),COUNTIFS(FER_F,INT(B1338),FER_NLM,"Sí"))=0),1,0),0)</f>
        <v>0</v>
      </c>
      <c r="AI1338" s="80">
        <f>IF(AC1338=1,IF(AND(INDEX(CFG_WDAYS,WEEKDAY(INT(B1338)+1,2))="Sí",IF(D1338="proMX",COUNTIFS(FER_F,INT(B1338)+1,FER_NLP,"Sí"),COUNTIFS(FER_F,INT(B1338)+1,FER_NLM,"Sí"))=0),1,0),0)</f>
        <v>0</v>
      </c>
      <c r="AJ1338" s="80">
        <f>IF(AC1338=1,1440-Z1338,AD1338)</f>
        <v>0</v>
      </c>
      <c r="AK1338" s="80">
        <f>IF(AND(AB1338=1,AH1338=1),MAX(0,MIN(IF(AC1338=1,1440,AA1338),CFG_WEM)-MAX(Z1338,CFG_WSM)),0)</f>
        <v>0</v>
      </c>
      <c r="AL1338" s="80">
        <f>IF(AND(AC1338=1,AI1338=1),MAX(0,MIN(AA1338,CFG_WEM)-CFG_WSM),0)</f>
        <v>0</v>
      </c>
      <c r="AM1338" s="80">
        <f>AK1338+AL1338</f>
        <v>0</v>
      </c>
      <c r="AN1338" s="80">
        <f>IF(CFG_BRK="Proporcional",IF(AD1338=0,0,AF1338*AM1338/AD1338),IF(CFG_BRK="Extras primero",MIN(AM1338,MAX(0,AF1338-(AD1338-AM1338))),MIN(AF1338,AM1338)))</f>
        <v>0</v>
      </c>
      <c r="AO1338" s="80">
        <f>AF1338-AN1338</f>
        <v>0</v>
      </c>
      <c r="AP1338" s="80">
        <f>AM1338-AN1338</f>
        <v>0</v>
      </c>
      <c r="AQ1338" s="80">
        <f>AD1338-AM1338-AO1338</f>
        <v>0</v>
      </c>
      <c r="AR1338" s="80">
        <f>IF(AM1338=0,0,AK1338-AN1338*AK1338/AM1338)</f>
        <v>0</v>
      </c>
      <c r="AS1338" s="80">
        <f>IF(AD1338-AM1338=0,0,(AJ1338-AK1338)-AO1338*(AJ1338-AK1338)/(AD1338-AM1338))</f>
        <v>0</v>
      </c>
      <c r="AT1338" s="80" t="str">
        <f>IF(AC1338=1,INT(B1338)+1,"")</f>
        <v/>
      </c>
      <c r="AU1338" s="80">
        <f>IF(AND(D1338="proMX",R1338="Cancelled"),0,1)</f>
        <v>1</v>
      </c>
      <c r="AV1338" s="80">
        <f>IF(AND(AB1338=1,AU1338=1),IF(COUNTIFS($D$5:D1337,D1338,$B$5:B1337,B1338,$Z$5:Z1337,Z1338,$AA$5:AA1337,AA1338,$F$5:F1337,F1338&amp;"",$AU$5:AU1337,1)&gt;0,1,0),0)</f>
        <v>0</v>
      </c>
      <c r="AW1338" s="80" t="str">
        <f>IF(AB1338=1,INT(B1338)*1440+Z1338,"")</f>
        <v/>
      </c>
      <c r="AX1338" s="80" t="str">
        <f>IF(AB1338=1,AW1338+AD1338,"")</f>
        <v/>
      </c>
      <c r="AY1338" s="80">
        <f>IF(AND(AB1338=1,AV1338=0,AU1338=1),1,0)</f>
        <v>0</v>
      </c>
      <c r="AZ1338" s="80">
        <f>IF(AY1338=1,COUNTIFS(R_Emp,D1338,R_SAbs,"&lt;"&amp;AX1338,R_EAbs,"&gt;"&amp;AW1338,R_OKey,1)-1,0)</f>
        <v>0</v>
      </c>
      <c r="BA1338" s="80">
        <f>IF(AY1338=1,COUNTIFS(R_Emp,"&lt;&gt;"&amp;D1338,R_SAbs,"&lt;"&amp;AX1338,R_EAbs,"&gt;"&amp;AW1338,R_OKey,1),0)</f>
        <v>0</v>
      </c>
      <c r="BB1338" s="80">
        <f>IF(AND(AB1338=1,D1338="proMX"),IF(AND(MOD(Z1338,CFG_BLK)=0,MOD(AA1338,CFG_BLK)=0,MOD(AG1338,CFG_BLK)=0,AG1338&gt;0),1,0),1)</f>
        <v>1</v>
      </c>
      <c r="BC1338" s="80" t="str">
        <f>IF(Y1338=0,"",IF(NOT(ISNUMBER(B1338)),"Falta fecha o fecha inválida",IF(D1338="","Falta empresa",IF(AND(D1338&lt;&gt;"Malcolm",D1338&lt;&gt;"proMX"),"Empresa inválida",IF(OR(INT(B1338)&lt;CFG_PSTART,INT(B1338)&gt;CFG_PEND),"Fecha fuera del período",IF(OR(NOT(ISNUMBER(Z1338)),NOT(ISNUMBER(AA1338))),"Falta hora inicio/fin o formato inválido",IF(AB1338=0,"Hora inicio = hora fin",IF(AE1338&lt;0,"Descanso inválido",IF(AE1338&gt;=AD1338,"Descanso ≥ duración",IF(AV1338=1,"Registro duplicado",IF(AZ1338&gt;0,"Se superpone con otro registro "&amp;D1338,IF(BB1338=0,"inicio, fin y duración neta deben ser múltiplos de "&amp;CFG_BLK&amp;" min",""))))))))))))</f>
        <v/>
      </c>
      <c r="BD1338" s="80">
        <f>IF(AND(Y1338=1,BC1338=""),1,0)</f>
        <v>0</v>
      </c>
      <c r="BE1338" s="80">
        <f>IF(AND(BD1338=1,AU1338=1),1,0)</f>
        <v>0</v>
      </c>
      <c r="BF1338" s="80" t="str">
        <f>IF(AND(D1338="proMX",BD1338=1),IF(R1338="","Draft",R1338),"")</f>
        <v/>
      </c>
      <c r="BG1338" s="80">
        <f>IF(BD1338=1,ROUND(AG1338/60,6),0)</f>
        <v>0</v>
      </c>
      <c r="BH1338" s="80">
        <f>IF(BE1338=1,ROUND(AG1338/60,6),0)</f>
        <v>0</v>
      </c>
      <c r="BI1338" s="80">
        <f>IF(BE1338=1,ROUND(AP1338/60,6),0)</f>
        <v>0</v>
      </c>
      <c r="BJ1338" s="80">
        <f>IF(BE1338=1,ROUND(AQ1338/60,6),0)</f>
        <v>0</v>
      </c>
      <c r="BK1338" s="80">
        <f>IF(BE1338=1,ROUND((AR1338+AS1338)/60,6),0)</f>
        <v>0</v>
      </c>
      <c r="BL1338" s="80">
        <f>ROUND(BH1338-BK1338,6)</f>
        <v>0</v>
      </c>
      <c r="BM1338" s="80">
        <f>IF(BE1338=1,ROUND(AR1338/60,6),0)</f>
        <v>0</v>
      </c>
      <c r="BN1338" s="80">
        <f>ROUND(BI1338-BM1338,6)</f>
        <v>0</v>
      </c>
      <c r="BO1338" s="80">
        <f>IF(BE1338=1,ROUND(AS1338/60,6),0)</f>
        <v>0</v>
      </c>
      <c r="BP1338" s="80">
        <f>ROUND(BJ1338-BO1338,6)</f>
        <v>0</v>
      </c>
      <c r="BQ1338" s="80">
        <f>IF(BE1338=1,AW1338,0)</f>
        <v>0</v>
      </c>
      <c r="BR1338" s="80">
        <f>IF(BE1338=1,AX1338,0)</f>
        <v>0</v>
      </c>
      <c r="BS1338" s="80">
        <f>IF(AND(BE1338=1,D1338="Malcolm",BA1338&gt;0),MIN(BH1338,SUMPRODUCT((R_Emp="proMX")*(R_EN&gt;0)*((R_EN-(R_EN&gt;BR1338)*(R_EN-BR1338))&gt;(R_SN+(R_SN&lt;BQ1338)*(BQ1338-R_SN)))*((R_EN-(R_EN&gt;BR1338)*(R_EN-BR1338))-(R_SN+(R_SN&lt;BQ1338)*(BQ1338-R_SN))))/60),0)</f>
        <v>0</v>
      </c>
      <c r="BT1338" s="80">
        <f>IF(AND(BE1338=1,D1338="proMX"),ROUND(BI1338*CFG_RATE+BJ1338*CFG_OTRATE,6),0)</f>
        <v>0</v>
      </c>
      <c r="BU1338" s="80">
        <f>IF(AND(BD1338=1,D1338="proMX"),ROUND(AG1338/CFG_BLK,6),0)</f>
        <v>0</v>
      </c>
      <c r="BV1338" s="80" t="str">
        <f>IF(BF1338="Approved",IF(ISNUMBER(T1338),INT(T1338),INT(B1338)),"")</f>
        <v/>
      </c>
      <c r="BW1338" s="80">
        <f>IF(ISNUMBER(B1338),IF(DB_MON="Todos",1,IF(AND(INT(B1338)&gt;=DB_MS,INT(B1338)&lt;=DB_ME),1,0)),0)</f>
        <v>0</v>
      </c>
      <c r="BX1338" s="80">
        <f>IF(DB_PROJ="Todos",1,IF(E1338&amp;""=DB_PROJ&amp;"",1,0))</f>
        <v>1</v>
      </c>
      <c r="BY1338" s="80">
        <f>BW1338*BX1338</f>
        <v>0</v>
      </c>
      <c r="BZ1338" s="80" t="str">
        <f>IF(Y1338=1,F1338&amp;IF(AND(F1338&amp;""&lt;&gt;"",E1338&amp;""&lt;&gt;"")," · ","")&amp;E1338,"")</f>
        <v/>
      </c>
      <c r="CA1338" s="80" t="str">
        <f>IF(AND(BD1338=1,E1338&amp;""&lt;&gt;""),IF(COUNTIFS($E$5:E1337,E1338,$BD$5:BD1337,1)=0,MAX($CA$5:CA1337)+1,""),"")</f>
        <v/>
      </c>
      <c r="CB1338" s="80" t="str">
        <f>IF(AND(BE1338=1,D1338="Malcolm",E1338&amp;""&lt;&gt;""),IF(COUNTIFS($D$5:D1337,"Malcolm",$E$5:E1337,E1338,$BE$5:BE1337,1)=0,MAX($CB$5:CB1337)+1,""),"")</f>
        <v/>
      </c>
      <c r="CC1338" s="80" t="str">
        <f>IF(AND(BD1338=1,D1338="proMX",E1338&amp;""&lt;&gt;""),IF(COUNTIFS($D$5:D1337,"proMX",$E$5:E1337,E1338,$BD$5:BD1337,1)=0,MAX($CC$5:CC1337)+1,""),"")</f>
        <v/>
      </c>
      <c r="CD1338" s="80" t="str">
        <f>IF(AND(BE1338=1,D1338="Malcolm",F1338&amp;""&lt;&gt;""),IF(COUNTIFS($D$5:D1337,"Malcolm",$F$5:F1337,F1338,$BE$5:BE1337,1)=0,MAX($CD$5:CD1337)+1,""),"")</f>
        <v/>
      </c>
      <c r="CE1338" s="80" t="str">
        <f>IF(AND(BD1338=1,D1338="proMX",F1338&amp;""&lt;&gt;""),IF(COUNTIFS($D$5:D1337,"proMX",$F$5:F1337,F1338,$BD$5:BD1337,1)=0,MAX($CE$5:CE1337)+1,""),"")</f>
        <v/>
      </c>
      <c r="CF1338" s="80" t="str">
        <f>IF(AND(D1338="proMX",BD1338=1),IF(OR(BF1338="Draft",BF1338="Submitted",BF1338="Returned",BF1338="Recall Requested"),MAX($CF$5:CF1337)+1,""),"")</f>
        <v/>
      </c>
      <c r="CG1338" s="80">
        <f>IF(BD1338=0,0,IF(D1338="Malcolm",1,MATCH(BF1338,{"Draft","Submitted","Approved","Returned","Recall Requested","Cancelled"},0)+1))</f>
        <v>0</v>
      </c>
      <c r="CH1338" s="80">
        <f>IF(AND(BF1338="Submitted",ISNUMBER(V1338)),IF(V1338&gt;CFG_MAXD,1,0),0)</f>
        <v>0</v>
      </c>
    </row>
    <row r="1339">
      <c r="A1339" s="71" t="str">
        <f>IF(Y1339=1,ROW()-5,"")</f>
        <v/>
      </c>
      <c r="B1339" s="72" t="n"/>
      <c r="C1339" s="71" t="str">
        <f>IF(ISNUMBER(B1339),CHOOSE(WEEKDAY(B1339,2),"Lun","Mar","Mié","Jue","Vie","Sáb","Dom"),"")</f>
        <v/>
      </c>
      <c r="D1339" s="73" t="n"/>
      <c r="E1339" s="74" t="n"/>
      <c r="F1339" s="74" t="n"/>
      <c r="G1339" s="74" t="n"/>
      <c r="H1339" s="75" t="n"/>
      <c r="I1339" s="75" t="n"/>
      <c r="J1339" s="76" t="n"/>
      <c r="K1339" s="77" t="str">
        <f>IF(AB1339=1,ROUND(AG1339/60,4),"")</f>
        <v/>
      </c>
      <c r="L1339" s="77" t="str">
        <f>IF(BD1339=1,ROUND(AP1339/60,4),"")</f>
        <v/>
      </c>
      <c r="M1339" s="77" t="str">
        <f>IF(BD1339=1,ROUND(AQ1339/60,4),"")</f>
        <v/>
      </c>
      <c r="N1339" s="71" t="str">
        <f>IF(AND(D1339="proMX",AB1339=1),ROUND(AG1339/CFG_BLK,2),"")</f>
        <v/>
      </c>
      <c r="O1339" s="77" t="str">
        <f>IF(D1339="proMX",IF(BD1339=1,ROUND(AG1339/60,4),0),"")</f>
        <v/>
      </c>
      <c r="P1339" s="78" t="str">
        <f>IF(Y1339=0,"",IF(BD1339=1,"OK",IF(D1339="proMX","Revisar bloques: ","Revisar: ")&amp;BC1339))</f>
        <v/>
      </c>
      <c r="Q1339" s="78" t="str">
        <f>IF(NOT(ISNUMBER(B1339)),"",IF(COUNTIFS(FER_F,INT(B1339))&gt;0,"Feriado"&amp;IF(AH1339=1," (laborable)"," (no laborable)"),IF(AH1339=1,"Laborable",IF(WEEKDAY(B1339,2)&gt;5,"Fin de semana","No laborable"))))</f>
        <v/>
      </c>
      <c r="R1339" s="73" t="n"/>
      <c r="S1339" s="72" t="n"/>
      <c r="T1339" s="72" t="n"/>
      <c r="U1339" s="74" t="n"/>
      <c r="V1339" s="79" t="str">
        <f>IF(AND(D1339="proMX",OR(R1339="Submitted",R1339="Recall Requested"),ISNUMBER(S1339)),CFG_TODAY-INT(S1339),"")</f>
        <v/>
      </c>
      <c r="W1339" s="78" t="str">
        <f>IF(BD1339=0,"",IF(BA1339&gt;0,"⚠ Se superpone con un registro de la otra empresa",IF(D1339="Malcolm",IF(COUNTA(R1339,S1339,T1339)&gt;0,"Estado/fechas proMX se ignoran en Malcolm",""),IF(BF1339="Cancelled","Cancelado: excluido de totales",IF(R1339="","Sin estado: se trata como Draft",IF(BF1339="Submitted",IF(ISNUMBER(V1339),IF(V1339&gt;CFG_MAXD,"⚠ "&amp;V1339&amp;" días en Submitted (máx. "&amp;CFG_MAXD&amp;")",""),"Falta fecha de envío"),IF(BF1339="Returned","⚠ Devuelto: corregir y reenviar",IF(BF1339="Recall Requested","Retirada solicitada: pendiente",IF(AND(BF1339="Approved",NOT(ISNUMBER(T1339))),"Falta fecha de aprobación",IF(AND(ISNUMBER(S1339),ISNUMBER(T1339),T1339&lt;S1339),"Aprobación anterior al envío","")))))))))</f>
        <v/>
      </c>
      <c r="Y1339" s="80">
        <f>IF(COUNTA(B1339,D1339,E1339,F1339,G1339,H1339,I1339,J1339,R1339,S1339,T1339)&gt;0,1,0)</f>
        <v>0</v>
      </c>
      <c r="Z1339" s="80" t="str">
        <f>IF(AND(ISNUMBER(H1339),H1339&gt;=0,H1339&lt;1),ROUND(H1339*1440,0),"")</f>
        <v/>
      </c>
      <c r="AA1339" s="80" t="str">
        <f>IF(AND(ISNUMBER(I1339),I1339&gt;=0,I1339&lt;1),ROUND(I1339*1440,0),"")</f>
        <v/>
      </c>
      <c r="AB1339" s="80">
        <f>IF(AND(ISNUMBER(B1339),D1339&lt;&gt;"",ISNUMBER(Z1339),ISNUMBER(AA1339)),IF(Z1339=AA1339,0,1),0)</f>
        <v>0</v>
      </c>
      <c r="AC1339" s="80">
        <f>IF(AB1339=1,IF(AA1339&lt;Z1339,1,0),0)</f>
        <v>0</v>
      </c>
      <c r="AD1339" s="80">
        <f>IF(AB1339=1,IF(AC1339=1,1440-Z1339+AA1339,AA1339-Z1339),0)</f>
        <v>0</v>
      </c>
      <c r="AE1339" s="80">
        <f>IF(J1339="",0,IF(ISNUMBER(J1339),J1339,-1))</f>
        <v>0</v>
      </c>
      <c r="AF1339" s="80">
        <f>MIN(MAX(0,AE1339),AD1339)</f>
        <v>0</v>
      </c>
      <c r="AG1339" s="80">
        <f>MAX(0,AD1339-MAX(0,AE1339))</f>
        <v>0</v>
      </c>
      <c r="AH1339" s="80">
        <f>IF(ISNUMBER(B1339),IF(AND(INDEX(CFG_WDAYS,WEEKDAY(INT(B1339),2))="Sí",IF(D1339="proMX",COUNTIFS(FER_F,INT(B1339),FER_NLP,"Sí"),COUNTIFS(FER_F,INT(B1339),FER_NLM,"Sí"))=0),1,0),0)</f>
        <v>0</v>
      </c>
      <c r="AI1339" s="80">
        <f>IF(AC1339=1,IF(AND(INDEX(CFG_WDAYS,WEEKDAY(INT(B1339)+1,2))="Sí",IF(D1339="proMX",COUNTIFS(FER_F,INT(B1339)+1,FER_NLP,"Sí"),COUNTIFS(FER_F,INT(B1339)+1,FER_NLM,"Sí"))=0),1,0),0)</f>
        <v>0</v>
      </c>
      <c r="AJ1339" s="80">
        <f>IF(AC1339=1,1440-Z1339,AD1339)</f>
        <v>0</v>
      </c>
      <c r="AK1339" s="80">
        <f>IF(AND(AB1339=1,AH1339=1),MAX(0,MIN(IF(AC1339=1,1440,AA1339),CFG_WEM)-MAX(Z1339,CFG_WSM)),0)</f>
        <v>0</v>
      </c>
      <c r="AL1339" s="80">
        <f>IF(AND(AC1339=1,AI1339=1),MAX(0,MIN(AA1339,CFG_WEM)-CFG_WSM),0)</f>
        <v>0</v>
      </c>
      <c r="AM1339" s="80">
        <f>AK1339+AL1339</f>
        <v>0</v>
      </c>
      <c r="AN1339" s="80">
        <f>IF(CFG_BRK="Proporcional",IF(AD1339=0,0,AF1339*AM1339/AD1339),IF(CFG_BRK="Extras primero",MIN(AM1339,MAX(0,AF1339-(AD1339-AM1339))),MIN(AF1339,AM1339)))</f>
        <v>0</v>
      </c>
      <c r="AO1339" s="80">
        <f>AF1339-AN1339</f>
        <v>0</v>
      </c>
      <c r="AP1339" s="80">
        <f>AM1339-AN1339</f>
        <v>0</v>
      </c>
      <c r="AQ1339" s="80">
        <f>AD1339-AM1339-AO1339</f>
        <v>0</v>
      </c>
      <c r="AR1339" s="80">
        <f>IF(AM1339=0,0,AK1339-AN1339*AK1339/AM1339)</f>
        <v>0</v>
      </c>
      <c r="AS1339" s="80">
        <f>IF(AD1339-AM1339=0,0,(AJ1339-AK1339)-AO1339*(AJ1339-AK1339)/(AD1339-AM1339))</f>
        <v>0</v>
      </c>
      <c r="AT1339" s="80" t="str">
        <f>IF(AC1339=1,INT(B1339)+1,"")</f>
        <v/>
      </c>
      <c r="AU1339" s="80">
        <f>IF(AND(D1339="proMX",R1339="Cancelled"),0,1)</f>
        <v>1</v>
      </c>
      <c r="AV1339" s="80">
        <f>IF(AND(AB1339=1,AU1339=1),IF(COUNTIFS($D$5:D1338,D1339,$B$5:B1338,B1339,$Z$5:Z1338,Z1339,$AA$5:AA1338,AA1339,$F$5:F1338,F1339&amp;"",$AU$5:AU1338,1)&gt;0,1,0),0)</f>
        <v>0</v>
      </c>
      <c r="AW1339" s="80" t="str">
        <f>IF(AB1339=1,INT(B1339)*1440+Z1339,"")</f>
        <v/>
      </c>
      <c r="AX1339" s="80" t="str">
        <f>IF(AB1339=1,AW1339+AD1339,"")</f>
        <v/>
      </c>
      <c r="AY1339" s="80">
        <f>IF(AND(AB1339=1,AV1339=0,AU1339=1),1,0)</f>
        <v>0</v>
      </c>
      <c r="AZ1339" s="80">
        <f>IF(AY1339=1,COUNTIFS(R_Emp,D1339,R_SAbs,"&lt;"&amp;AX1339,R_EAbs,"&gt;"&amp;AW1339,R_OKey,1)-1,0)</f>
        <v>0</v>
      </c>
      <c r="BA1339" s="80">
        <f>IF(AY1339=1,COUNTIFS(R_Emp,"&lt;&gt;"&amp;D1339,R_SAbs,"&lt;"&amp;AX1339,R_EAbs,"&gt;"&amp;AW1339,R_OKey,1),0)</f>
        <v>0</v>
      </c>
      <c r="BB1339" s="80">
        <f>IF(AND(AB1339=1,D1339="proMX"),IF(AND(MOD(Z1339,CFG_BLK)=0,MOD(AA1339,CFG_BLK)=0,MOD(AG1339,CFG_BLK)=0,AG1339&gt;0),1,0),1)</f>
        <v>1</v>
      </c>
      <c r="BC1339" s="80" t="str">
        <f>IF(Y1339=0,"",IF(NOT(ISNUMBER(B1339)),"Falta fecha o fecha inválida",IF(D1339="","Falta empresa",IF(AND(D1339&lt;&gt;"Malcolm",D1339&lt;&gt;"proMX"),"Empresa inválida",IF(OR(INT(B1339)&lt;CFG_PSTART,INT(B1339)&gt;CFG_PEND),"Fecha fuera del período",IF(OR(NOT(ISNUMBER(Z1339)),NOT(ISNUMBER(AA1339))),"Falta hora inicio/fin o formato inválido",IF(AB1339=0,"Hora inicio = hora fin",IF(AE1339&lt;0,"Descanso inválido",IF(AE1339&gt;=AD1339,"Descanso ≥ duración",IF(AV1339=1,"Registro duplicado",IF(AZ1339&gt;0,"Se superpone con otro registro "&amp;D1339,IF(BB1339=0,"inicio, fin y duración neta deben ser múltiplos de "&amp;CFG_BLK&amp;" min",""))))))))))))</f>
        <v/>
      </c>
      <c r="BD1339" s="80">
        <f>IF(AND(Y1339=1,BC1339=""),1,0)</f>
        <v>0</v>
      </c>
      <c r="BE1339" s="80">
        <f>IF(AND(BD1339=1,AU1339=1),1,0)</f>
        <v>0</v>
      </c>
      <c r="BF1339" s="80" t="str">
        <f>IF(AND(D1339="proMX",BD1339=1),IF(R1339="","Draft",R1339),"")</f>
        <v/>
      </c>
      <c r="BG1339" s="80">
        <f>IF(BD1339=1,ROUND(AG1339/60,6),0)</f>
        <v>0</v>
      </c>
      <c r="BH1339" s="80">
        <f>IF(BE1339=1,ROUND(AG1339/60,6),0)</f>
        <v>0</v>
      </c>
      <c r="BI1339" s="80">
        <f>IF(BE1339=1,ROUND(AP1339/60,6),0)</f>
        <v>0</v>
      </c>
      <c r="BJ1339" s="80">
        <f>IF(BE1339=1,ROUND(AQ1339/60,6),0)</f>
        <v>0</v>
      </c>
      <c r="BK1339" s="80">
        <f>IF(BE1339=1,ROUND((AR1339+AS1339)/60,6),0)</f>
        <v>0</v>
      </c>
      <c r="BL1339" s="80">
        <f>ROUND(BH1339-BK1339,6)</f>
        <v>0</v>
      </c>
      <c r="BM1339" s="80">
        <f>IF(BE1339=1,ROUND(AR1339/60,6),0)</f>
        <v>0</v>
      </c>
      <c r="BN1339" s="80">
        <f>ROUND(BI1339-BM1339,6)</f>
        <v>0</v>
      </c>
      <c r="BO1339" s="80">
        <f>IF(BE1339=1,ROUND(AS1339/60,6),0)</f>
        <v>0</v>
      </c>
      <c r="BP1339" s="80">
        <f>ROUND(BJ1339-BO1339,6)</f>
        <v>0</v>
      </c>
      <c r="BQ1339" s="80">
        <f>IF(BE1339=1,AW1339,0)</f>
        <v>0</v>
      </c>
      <c r="BR1339" s="80">
        <f>IF(BE1339=1,AX1339,0)</f>
        <v>0</v>
      </c>
      <c r="BS1339" s="80">
        <f>IF(AND(BE1339=1,D1339="Malcolm",BA1339&gt;0),MIN(BH1339,SUMPRODUCT((R_Emp="proMX")*(R_EN&gt;0)*((R_EN-(R_EN&gt;BR1339)*(R_EN-BR1339))&gt;(R_SN+(R_SN&lt;BQ1339)*(BQ1339-R_SN)))*((R_EN-(R_EN&gt;BR1339)*(R_EN-BR1339))-(R_SN+(R_SN&lt;BQ1339)*(BQ1339-R_SN))))/60),0)</f>
        <v>0</v>
      </c>
      <c r="BT1339" s="80">
        <f>IF(AND(BE1339=1,D1339="proMX"),ROUND(BI1339*CFG_RATE+BJ1339*CFG_OTRATE,6),0)</f>
        <v>0</v>
      </c>
      <c r="BU1339" s="80">
        <f>IF(AND(BD1339=1,D1339="proMX"),ROUND(AG1339/CFG_BLK,6),0)</f>
        <v>0</v>
      </c>
      <c r="BV1339" s="80" t="str">
        <f>IF(BF1339="Approved",IF(ISNUMBER(T1339),INT(T1339),INT(B1339)),"")</f>
        <v/>
      </c>
      <c r="BW1339" s="80">
        <f>IF(ISNUMBER(B1339),IF(DB_MON="Todos",1,IF(AND(INT(B1339)&gt;=DB_MS,INT(B1339)&lt;=DB_ME),1,0)),0)</f>
        <v>0</v>
      </c>
      <c r="BX1339" s="80">
        <f>IF(DB_PROJ="Todos",1,IF(E1339&amp;""=DB_PROJ&amp;"",1,0))</f>
        <v>1</v>
      </c>
      <c r="BY1339" s="80">
        <f>BW1339*BX1339</f>
        <v>0</v>
      </c>
      <c r="BZ1339" s="80" t="str">
        <f>IF(Y1339=1,F1339&amp;IF(AND(F1339&amp;""&lt;&gt;"",E1339&amp;""&lt;&gt;"")," · ","")&amp;E1339,"")</f>
        <v/>
      </c>
      <c r="CA1339" s="80" t="str">
        <f>IF(AND(BD1339=1,E1339&amp;""&lt;&gt;""),IF(COUNTIFS($E$5:E1338,E1339,$BD$5:BD1338,1)=0,MAX($CA$5:CA1338)+1,""),"")</f>
        <v/>
      </c>
      <c r="CB1339" s="80" t="str">
        <f>IF(AND(BE1339=1,D1339="Malcolm",E1339&amp;""&lt;&gt;""),IF(COUNTIFS($D$5:D1338,"Malcolm",$E$5:E1338,E1339,$BE$5:BE1338,1)=0,MAX($CB$5:CB1338)+1,""),"")</f>
        <v/>
      </c>
      <c r="CC1339" s="80" t="str">
        <f>IF(AND(BD1339=1,D1339="proMX",E1339&amp;""&lt;&gt;""),IF(COUNTIFS($D$5:D1338,"proMX",$E$5:E1338,E1339,$BD$5:BD1338,1)=0,MAX($CC$5:CC1338)+1,""),"")</f>
        <v/>
      </c>
      <c r="CD1339" s="80" t="str">
        <f>IF(AND(BE1339=1,D1339="Malcolm",F1339&amp;""&lt;&gt;""),IF(COUNTIFS($D$5:D1338,"Malcolm",$F$5:F1338,F1339,$BE$5:BE1338,1)=0,MAX($CD$5:CD1338)+1,""),"")</f>
        <v/>
      </c>
      <c r="CE1339" s="80" t="str">
        <f>IF(AND(BD1339=1,D1339="proMX",F1339&amp;""&lt;&gt;""),IF(COUNTIFS($D$5:D1338,"proMX",$F$5:F1338,F1339,$BD$5:BD1338,1)=0,MAX($CE$5:CE1338)+1,""),"")</f>
        <v/>
      </c>
      <c r="CF1339" s="80" t="str">
        <f>IF(AND(D1339="proMX",BD1339=1),IF(OR(BF1339="Draft",BF1339="Submitted",BF1339="Returned",BF1339="Recall Requested"),MAX($CF$5:CF1338)+1,""),"")</f>
        <v/>
      </c>
      <c r="CG1339" s="80">
        <f>IF(BD1339=0,0,IF(D1339="Malcolm",1,MATCH(BF1339,{"Draft","Submitted","Approved","Returned","Recall Requested","Cancelled"},0)+1))</f>
        <v>0</v>
      </c>
      <c r="CH1339" s="80">
        <f>IF(AND(BF1339="Submitted",ISNUMBER(V1339)),IF(V1339&gt;CFG_MAXD,1,0),0)</f>
        <v>0</v>
      </c>
    </row>
    <row r="1340">
      <c r="A1340" s="71" t="str">
        <f>IF(Y1340=1,ROW()-5,"")</f>
        <v/>
      </c>
      <c r="B1340" s="72" t="n"/>
      <c r="C1340" s="71" t="str">
        <f>IF(ISNUMBER(B1340),CHOOSE(WEEKDAY(B1340,2),"Lun","Mar","Mié","Jue","Vie","Sáb","Dom"),"")</f>
        <v/>
      </c>
      <c r="D1340" s="73" t="n"/>
      <c r="E1340" s="74" t="n"/>
      <c r="F1340" s="74" t="n"/>
      <c r="G1340" s="74" t="n"/>
      <c r="H1340" s="75" t="n"/>
      <c r="I1340" s="75" t="n"/>
      <c r="J1340" s="76" t="n"/>
      <c r="K1340" s="77" t="str">
        <f>IF(AB1340=1,ROUND(AG1340/60,4),"")</f>
        <v/>
      </c>
      <c r="L1340" s="77" t="str">
        <f>IF(BD1340=1,ROUND(AP1340/60,4),"")</f>
        <v/>
      </c>
      <c r="M1340" s="77" t="str">
        <f>IF(BD1340=1,ROUND(AQ1340/60,4),"")</f>
        <v/>
      </c>
      <c r="N1340" s="71" t="str">
        <f>IF(AND(D1340="proMX",AB1340=1),ROUND(AG1340/CFG_BLK,2),"")</f>
        <v/>
      </c>
      <c r="O1340" s="77" t="str">
        <f>IF(D1340="proMX",IF(BD1340=1,ROUND(AG1340/60,4),0),"")</f>
        <v/>
      </c>
      <c r="P1340" s="78" t="str">
        <f>IF(Y1340=0,"",IF(BD1340=1,"OK",IF(D1340="proMX","Revisar bloques: ","Revisar: ")&amp;BC1340))</f>
        <v/>
      </c>
      <c r="Q1340" s="78" t="str">
        <f>IF(NOT(ISNUMBER(B1340)),"",IF(COUNTIFS(FER_F,INT(B1340))&gt;0,"Feriado"&amp;IF(AH1340=1," (laborable)"," (no laborable)"),IF(AH1340=1,"Laborable",IF(WEEKDAY(B1340,2)&gt;5,"Fin de semana","No laborable"))))</f>
        <v/>
      </c>
      <c r="R1340" s="73" t="n"/>
      <c r="S1340" s="72" t="n"/>
      <c r="T1340" s="72" t="n"/>
      <c r="U1340" s="74" t="n"/>
      <c r="V1340" s="79" t="str">
        <f>IF(AND(D1340="proMX",OR(R1340="Submitted",R1340="Recall Requested"),ISNUMBER(S1340)),CFG_TODAY-INT(S1340),"")</f>
        <v/>
      </c>
      <c r="W1340" s="78" t="str">
        <f>IF(BD1340=0,"",IF(BA1340&gt;0,"⚠ Se superpone con un registro de la otra empresa",IF(D1340="Malcolm",IF(COUNTA(R1340,S1340,T1340)&gt;0,"Estado/fechas proMX se ignoran en Malcolm",""),IF(BF1340="Cancelled","Cancelado: excluido de totales",IF(R1340="","Sin estado: se trata como Draft",IF(BF1340="Submitted",IF(ISNUMBER(V1340),IF(V1340&gt;CFG_MAXD,"⚠ "&amp;V1340&amp;" días en Submitted (máx. "&amp;CFG_MAXD&amp;")",""),"Falta fecha de envío"),IF(BF1340="Returned","⚠ Devuelto: corregir y reenviar",IF(BF1340="Recall Requested","Retirada solicitada: pendiente",IF(AND(BF1340="Approved",NOT(ISNUMBER(T1340))),"Falta fecha de aprobación",IF(AND(ISNUMBER(S1340),ISNUMBER(T1340),T1340&lt;S1340),"Aprobación anterior al envío","")))))))))</f>
        <v/>
      </c>
      <c r="Y1340" s="80">
        <f>IF(COUNTA(B1340,D1340,E1340,F1340,G1340,H1340,I1340,J1340,R1340,S1340,T1340)&gt;0,1,0)</f>
        <v>0</v>
      </c>
      <c r="Z1340" s="80" t="str">
        <f>IF(AND(ISNUMBER(H1340),H1340&gt;=0,H1340&lt;1),ROUND(H1340*1440,0),"")</f>
        <v/>
      </c>
      <c r="AA1340" s="80" t="str">
        <f>IF(AND(ISNUMBER(I1340),I1340&gt;=0,I1340&lt;1),ROUND(I1340*1440,0),"")</f>
        <v/>
      </c>
      <c r="AB1340" s="80">
        <f>IF(AND(ISNUMBER(B1340),D1340&lt;&gt;"",ISNUMBER(Z1340),ISNUMBER(AA1340)),IF(Z1340=AA1340,0,1),0)</f>
        <v>0</v>
      </c>
      <c r="AC1340" s="80">
        <f>IF(AB1340=1,IF(AA1340&lt;Z1340,1,0),0)</f>
        <v>0</v>
      </c>
      <c r="AD1340" s="80">
        <f>IF(AB1340=1,IF(AC1340=1,1440-Z1340+AA1340,AA1340-Z1340),0)</f>
        <v>0</v>
      </c>
      <c r="AE1340" s="80">
        <f>IF(J1340="",0,IF(ISNUMBER(J1340),J1340,-1))</f>
        <v>0</v>
      </c>
      <c r="AF1340" s="80">
        <f>MIN(MAX(0,AE1340),AD1340)</f>
        <v>0</v>
      </c>
      <c r="AG1340" s="80">
        <f>MAX(0,AD1340-MAX(0,AE1340))</f>
        <v>0</v>
      </c>
      <c r="AH1340" s="80">
        <f>IF(ISNUMBER(B1340),IF(AND(INDEX(CFG_WDAYS,WEEKDAY(INT(B1340),2))="Sí",IF(D1340="proMX",COUNTIFS(FER_F,INT(B1340),FER_NLP,"Sí"),COUNTIFS(FER_F,INT(B1340),FER_NLM,"Sí"))=0),1,0),0)</f>
        <v>0</v>
      </c>
      <c r="AI1340" s="80">
        <f>IF(AC1340=1,IF(AND(INDEX(CFG_WDAYS,WEEKDAY(INT(B1340)+1,2))="Sí",IF(D1340="proMX",COUNTIFS(FER_F,INT(B1340)+1,FER_NLP,"Sí"),COUNTIFS(FER_F,INT(B1340)+1,FER_NLM,"Sí"))=0),1,0),0)</f>
        <v>0</v>
      </c>
      <c r="AJ1340" s="80">
        <f>IF(AC1340=1,1440-Z1340,AD1340)</f>
        <v>0</v>
      </c>
      <c r="AK1340" s="80">
        <f>IF(AND(AB1340=1,AH1340=1),MAX(0,MIN(IF(AC1340=1,1440,AA1340),CFG_WEM)-MAX(Z1340,CFG_WSM)),0)</f>
        <v>0</v>
      </c>
      <c r="AL1340" s="80">
        <f>IF(AND(AC1340=1,AI1340=1),MAX(0,MIN(AA1340,CFG_WEM)-CFG_WSM),0)</f>
        <v>0</v>
      </c>
      <c r="AM1340" s="80">
        <f>AK1340+AL1340</f>
        <v>0</v>
      </c>
      <c r="AN1340" s="80">
        <f>IF(CFG_BRK="Proporcional",IF(AD1340=0,0,AF1340*AM1340/AD1340),IF(CFG_BRK="Extras primero",MIN(AM1340,MAX(0,AF1340-(AD1340-AM1340))),MIN(AF1340,AM1340)))</f>
        <v>0</v>
      </c>
      <c r="AO1340" s="80">
        <f>AF1340-AN1340</f>
        <v>0</v>
      </c>
      <c r="AP1340" s="80">
        <f>AM1340-AN1340</f>
        <v>0</v>
      </c>
      <c r="AQ1340" s="80">
        <f>AD1340-AM1340-AO1340</f>
        <v>0</v>
      </c>
      <c r="AR1340" s="80">
        <f>IF(AM1340=0,0,AK1340-AN1340*AK1340/AM1340)</f>
        <v>0</v>
      </c>
      <c r="AS1340" s="80">
        <f>IF(AD1340-AM1340=0,0,(AJ1340-AK1340)-AO1340*(AJ1340-AK1340)/(AD1340-AM1340))</f>
        <v>0</v>
      </c>
      <c r="AT1340" s="80" t="str">
        <f>IF(AC1340=1,INT(B1340)+1,"")</f>
        <v/>
      </c>
      <c r="AU1340" s="80">
        <f>IF(AND(D1340="proMX",R1340="Cancelled"),0,1)</f>
        <v>1</v>
      </c>
      <c r="AV1340" s="80">
        <f>IF(AND(AB1340=1,AU1340=1),IF(COUNTIFS($D$5:D1339,D1340,$B$5:B1339,B1340,$Z$5:Z1339,Z1340,$AA$5:AA1339,AA1340,$F$5:F1339,F1340&amp;"",$AU$5:AU1339,1)&gt;0,1,0),0)</f>
        <v>0</v>
      </c>
      <c r="AW1340" s="80" t="str">
        <f>IF(AB1340=1,INT(B1340)*1440+Z1340,"")</f>
        <v/>
      </c>
      <c r="AX1340" s="80" t="str">
        <f>IF(AB1340=1,AW1340+AD1340,"")</f>
        <v/>
      </c>
      <c r="AY1340" s="80">
        <f>IF(AND(AB1340=1,AV1340=0,AU1340=1),1,0)</f>
        <v>0</v>
      </c>
      <c r="AZ1340" s="80">
        <f>IF(AY1340=1,COUNTIFS(R_Emp,D1340,R_SAbs,"&lt;"&amp;AX1340,R_EAbs,"&gt;"&amp;AW1340,R_OKey,1)-1,0)</f>
        <v>0</v>
      </c>
      <c r="BA1340" s="80">
        <f>IF(AY1340=1,COUNTIFS(R_Emp,"&lt;&gt;"&amp;D1340,R_SAbs,"&lt;"&amp;AX1340,R_EAbs,"&gt;"&amp;AW1340,R_OKey,1),0)</f>
        <v>0</v>
      </c>
      <c r="BB1340" s="80">
        <f>IF(AND(AB1340=1,D1340="proMX"),IF(AND(MOD(Z1340,CFG_BLK)=0,MOD(AA1340,CFG_BLK)=0,MOD(AG1340,CFG_BLK)=0,AG1340&gt;0),1,0),1)</f>
        <v>1</v>
      </c>
      <c r="BC1340" s="80" t="str">
        <f>IF(Y1340=0,"",IF(NOT(ISNUMBER(B1340)),"Falta fecha o fecha inválida",IF(D1340="","Falta empresa",IF(AND(D1340&lt;&gt;"Malcolm",D1340&lt;&gt;"proMX"),"Empresa inválida",IF(OR(INT(B1340)&lt;CFG_PSTART,INT(B1340)&gt;CFG_PEND),"Fecha fuera del período",IF(OR(NOT(ISNUMBER(Z1340)),NOT(ISNUMBER(AA1340))),"Falta hora inicio/fin o formato inválido",IF(AB1340=0,"Hora inicio = hora fin",IF(AE1340&lt;0,"Descanso inválido",IF(AE1340&gt;=AD1340,"Descanso ≥ duración",IF(AV1340=1,"Registro duplicado",IF(AZ1340&gt;0,"Se superpone con otro registro "&amp;D1340,IF(BB1340=0,"inicio, fin y duración neta deben ser múltiplos de "&amp;CFG_BLK&amp;" min",""))))))))))))</f>
        <v/>
      </c>
      <c r="BD1340" s="80">
        <f>IF(AND(Y1340=1,BC1340=""),1,0)</f>
        <v>0</v>
      </c>
      <c r="BE1340" s="80">
        <f>IF(AND(BD1340=1,AU1340=1),1,0)</f>
        <v>0</v>
      </c>
      <c r="BF1340" s="80" t="str">
        <f>IF(AND(D1340="proMX",BD1340=1),IF(R1340="","Draft",R1340),"")</f>
        <v/>
      </c>
      <c r="BG1340" s="80">
        <f>IF(BD1340=1,ROUND(AG1340/60,6),0)</f>
        <v>0</v>
      </c>
      <c r="BH1340" s="80">
        <f>IF(BE1340=1,ROUND(AG1340/60,6),0)</f>
        <v>0</v>
      </c>
      <c r="BI1340" s="80">
        <f>IF(BE1340=1,ROUND(AP1340/60,6),0)</f>
        <v>0</v>
      </c>
      <c r="BJ1340" s="80">
        <f>IF(BE1340=1,ROUND(AQ1340/60,6),0)</f>
        <v>0</v>
      </c>
      <c r="BK1340" s="80">
        <f>IF(BE1340=1,ROUND((AR1340+AS1340)/60,6),0)</f>
        <v>0</v>
      </c>
      <c r="BL1340" s="80">
        <f>ROUND(BH1340-BK1340,6)</f>
        <v>0</v>
      </c>
      <c r="BM1340" s="80">
        <f>IF(BE1340=1,ROUND(AR1340/60,6),0)</f>
        <v>0</v>
      </c>
      <c r="BN1340" s="80">
        <f>ROUND(BI1340-BM1340,6)</f>
        <v>0</v>
      </c>
      <c r="BO1340" s="80">
        <f>IF(BE1340=1,ROUND(AS1340/60,6),0)</f>
        <v>0</v>
      </c>
      <c r="BP1340" s="80">
        <f>ROUND(BJ1340-BO1340,6)</f>
        <v>0</v>
      </c>
      <c r="BQ1340" s="80">
        <f>IF(BE1340=1,AW1340,0)</f>
        <v>0</v>
      </c>
      <c r="BR1340" s="80">
        <f>IF(BE1340=1,AX1340,0)</f>
        <v>0</v>
      </c>
      <c r="BS1340" s="80">
        <f>IF(AND(BE1340=1,D1340="Malcolm",BA1340&gt;0),MIN(BH1340,SUMPRODUCT((R_Emp="proMX")*(R_EN&gt;0)*((R_EN-(R_EN&gt;BR1340)*(R_EN-BR1340))&gt;(R_SN+(R_SN&lt;BQ1340)*(BQ1340-R_SN)))*((R_EN-(R_EN&gt;BR1340)*(R_EN-BR1340))-(R_SN+(R_SN&lt;BQ1340)*(BQ1340-R_SN))))/60),0)</f>
        <v>0</v>
      </c>
      <c r="BT1340" s="80">
        <f>IF(AND(BE1340=1,D1340="proMX"),ROUND(BI1340*CFG_RATE+BJ1340*CFG_OTRATE,6),0)</f>
        <v>0</v>
      </c>
      <c r="BU1340" s="80">
        <f>IF(AND(BD1340=1,D1340="proMX"),ROUND(AG1340/CFG_BLK,6),0)</f>
        <v>0</v>
      </c>
      <c r="BV1340" s="80" t="str">
        <f>IF(BF1340="Approved",IF(ISNUMBER(T1340),INT(T1340),INT(B1340)),"")</f>
        <v/>
      </c>
      <c r="BW1340" s="80">
        <f>IF(ISNUMBER(B1340),IF(DB_MON="Todos",1,IF(AND(INT(B1340)&gt;=DB_MS,INT(B1340)&lt;=DB_ME),1,0)),0)</f>
        <v>0</v>
      </c>
      <c r="BX1340" s="80">
        <f>IF(DB_PROJ="Todos",1,IF(E1340&amp;""=DB_PROJ&amp;"",1,0))</f>
        <v>1</v>
      </c>
      <c r="BY1340" s="80">
        <f>BW1340*BX1340</f>
        <v>0</v>
      </c>
      <c r="BZ1340" s="80" t="str">
        <f>IF(Y1340=1,F1340&amp;IF(AND(F1340&amp;""&lt;&gt;"",E1340&amp;""&lt;&gt;"")," · ","")&amp;E1340,"")</f>
        <v/>
      </c>
      <c r="CA1340" s="80" t="str">
        <f>IF(AND(BD1340=1,E1340&amp;""&lt;&gt;""),IF(COUNTIFS($E$5:E1339,E1340,$BD$5:BD1339,1)=0,MAX($CA$5:CA1339)+1,""),"")</f>
        <v/>
      </c>
      <c r="CB1340" s="80" t="str">
        <f>IF(AND(BE1340=1,D1340="Malcolm",E1340&amp;""&lt;&gt;""),IF(COUNTIFS($D$5:D1339,"Malcolm",$E$5:E1339,E1340,$BE$5:BE1339,1)=0,MAX($CB$5:CB1339)+1,""),"")</f>
        <v/>
      </c>
      <c r="CC1340" s="80" t="str">
        <f>IF(AND(BD1340=1,D1340="proMX",E1340&amp;""&lt;&gt;""),IF(COUNTIFS($D$5:D1339,"proMX",$E$5:E1339,E1340,$BD$5:BD1339,1)=0,MAX($CC$5:CC1339)+1,""),"")</f>
        <v/>
      </c>
      <c r="CD1340" s="80" t="str">
        <f>IF(AND(BE1340=1,D1340="Malcolm",F1340&amp;""&lt;&gt;""),IF(COUNTIFS($D$5:D1339,"Malcolm",$F$5:F1339,F1340,$BE$5:BE1339,1)=0,MAX($CD$5:CD1339)+1,""),"")</f>
        <v/>
      </c>
      <c r="CE1340" s="80" t="str">
        <f>IF(AND(BD1340=1,D1340="proMX",F1340&amp;""&lt;&gt;""),IF(COUNTIFS($D$5:D1339,"proMX",$F$5:F1339,F1340,$BD$5:BD1339,1)=0,MAX($CE$5:CE1339)+1,""),"")</f>
        <v/>
      </c>
      <c r="CF1340" s="80" t="str">
        <f>IF(AND(D1340="proMX",BD1340=1),IF(OR(BF1340="Draft",BF1340="Submitted",BF1340="Returned",BF1340="Recall Requested"),MAX($CF$5:CF1339)+1,""),"")</f>
        <v/>
      </c>
      <c r="CG1340" s="80">
        <f>IF(BD1340=0,0,IF(D1340="Malcolm",1,MATCH(BF1340,{"Draft","Submitted","Approved","Returned","Recall Requested","Cancelled"},0)+1))</f>
        <v>0</v>
      </c>
      <c r="CH1340" s="80">
        <f>IF(AND(BF1340="Submitted",ISNUMBER(V1340)),IF(V1340&gt;CFG_MAXD,1,0),0)</f>
        <v>0</v>
      </c>
    </row>
    <row r="1341">
      <c r="A1341" s="71" t="str">
        <f>IF(Y1341=1,ROW()-5,"")</f>
        <v/>
      </c>
      <c r="B1341" s="72" t="n"/>
      <c r="C1341" s="71" t="str">
        <f>IF(ISNUMBER(B1341),CHOOSE(WEEKDAY(B1341,2),"Lun","Mar","Mié","Jue","Vie","Sáb","Dom"),"")</f>
        <v/>
      </c>
      <c r="D1341" s="73" t="n"/>
      <c r="E1341" s="74" t="n"/>
      <c r="F1341" s="74" t="n"/>
      <c r="G1341" s="74" t="n"/>
      <c r="H1341" s="75" t="n"/>
      <c r="I1341" s="75" t="n"/>
      <c r="J1341" s="76" t="n"/>
      <c r="K1341" s="77" t="str">
        <f>IF(AB1341=1,ROUND(AG1341/60,4),"")</f>
        <v/>
      </c>
      <c r="L1341" s="77" t="str">
        <f>IF(BD1341=1,ROUND(AP1341/60,4),"")</f>
        <v/>
      </c>
      <c r="M1341" s="77" t="str">
        <f>IF(BD1341=1,ROUND(AQ1341/60,4),"")</f>
        <v/>
      </c>
      <c r="N1341" s="71" t="str">
        <f>IF(AND(D1341="proMX",AB1341=1),ROUND(AG1341/CFG_BLK,2),"")</f>
        <v/>
      </c>
      <c r="O1341" s="77" t="str">
        <f>IF(D1341="proMX",IF(BD1341=1,ROUND(AG1341/60,4),0),"")</f>
        <v/>
      </c>
      <c r="P1341" s="78" t="str">
        <f>IF(Y1341=0,"",IF(BD1341=1,"OK",IF(D1341="proMX","Revisar bloques: ","Revisar: ")&amp;BC1341))</f>
        <v/>
      </c>
      <c r="Q1341" s="78" t="str">
        <f>IF(NOT(ISNUMBER(B1341)),"",IF(COUNTIFS(FER_F,INT(B1341))&gt;0,"Feriado"&amp;IF(AH1341=1," (laborable)"," (no laborable)"),IF(AH1341=1,"Laborable",IF(WEEKDAY(B1341,2)&gt;5,"Fin de semana","No laborable"))))</f>
        <v/>
      </c>
      <c r="R1341" s="73" t="n"/>
      <c r="S1341" s="72" t="n"/>
      <c r="T1341" s="72" t="n"/>
      <c r="U1341" s="74" t="n"/>
      <c r="V1341" s="79" t="str">
        <f>IF(AND(D1341="proMX",OR(R1341="Submitted",R1341="Recall Requested"),ISNUMBER(S1341)),CFG_TODAY-INT(S1341),"")</f>
        <v/>
      </c>
      <c r="W1341" s="78" t="str">
        <f>IF(BD1341=0,"",IF(BA1341&gt;0,"⚠ Se superpone con un registro de la otra empresa",IF(D1341="Malcolm",IF(COUNTA(R1341,S1341,T1341)&gt;0,"Estado/fechas proMX se ignoran en Malcolm",""),IF(BF1341="Cancelled","Cancelado: excluido de totales",IF(R1341="","Sin estado: se trata como Draft",IF(BF1341="Submitted",IF(ISNUMBER(V1341),IF(V1341&gt;CFG_MAXD,"⚠ "&amp;V1341&amp;" días en Submitted (máx. "&amp;CFG_MAXD&amp;")",""),"Falta fecha de envío"),IF(BF1341="Returned","⚠ Devuelto: corregir y reenviar",IF(BF1341="Recall Requested","Retirada solicitada: pendiente",IF(AND(BF1341="Approved",NOT(ISNUMBER(T1341))),"Falta fecha de aprobación",IF(AND(ISNUMBER(S1341),ISNUMBER(T1341),T1341&lt;S1341),"Aprobación anterior al envío","")))))))))</f>
        <v/>
      </c>
      <c r="Y1341" s="80">
        <f>IF(COUNTA(B1341,D1341,E1341,F1341,G1341,H1341,I1341,J1341,R1341,S1341,T1341)&gt;0,1,0)</f>
        <v>0</v>
      </c>
      <c r="Z1341" s="80" t="str">
        <f>IF(AND(ISNUMBER(H1341),H1341&gt;=0,H1341&lt;1),ROUND(H1341*1440,0),"")</f>
        <v/>
      </c>
      <c r="AA1341" s="80" t="str">
        <f>IF(AND(ISNUMBER(I1341),I1341&gt;=0,I1341&lt;1),ROUND(I1341*1440,0),"")</f>
        <v/>
      </c>
      <c r="AB1341" s="80">
        <f>IF(AND(ISNUMBER(B1341),D1341&lt;&gt;"",ISNUMBER(Z1341),ISNUMBER(AA1341)),IF(Z1341=AA1341,0,1),0)</f>
        <v>0</v>
      </c>
      <c r="AC1341" s="80">
        <f>IF(AB1341=1,IF(AA1341&lt;Z1341,1,0),0)</f>
        <v>0</v>
      </c>
      <c r="AD1341" s="80">
        <f>IF(AB1341=1,IF(AC1341=1,1440-Z1341+AA1341,AA1341-Z1341),0)</f>
        <v>0</v>
      </c>
      <c r="AE1341" s="80">
        <f>IF(J1341="",0,IF(ISNUMBER(J1341),J1341,-1))</f>
        <v>0</v>
      </c>
      <c r="AF1341" s="80">
        <f>MIN(MAX(0,AE1341),AD1341)</f>
        <v>0</v>
      </c>
      <c r="AG1341" s="80">
        <f>MAX(0,AD1341-MAX(0,AE1341))</f>
        <v>0</v>
      </c>
      <c r="AH1341" s="80">
        <f>IF(ISNUMBER(B1341),IF(AND(INDEX(CFG_WDAYS,WEEKDAY(INT(B1341),2))="Sí",IF(D1341="proMX",COUNTIFS(FER_F,INT(B1341),FER_NLP,"Sí"),COUNTIFS(FER_F,INT(B1341),FER_NLM,"Sí"))=0),1,0),0)</f>
        <v>0</v>
      </c>
      <c r="AI1341" s="80">
        <f>IF(AC1341=1,IF(AND(INDEX(CFG_WDAYS,WEEKDAY(INT(B1341)+1,2))="Sí",IF(D1341="proMX",COUNTIFS(FER_F,INT(B1341)+1,FER_NLP,"Sí"),COUNTIFS(FER_F,INT(B1341)+1,FER_NLM,"Sí"))=0),1,0),0)</f>
        <v>0</v>
      </c>
      <c r="AJ1341" s="80">
        <f>IF(AC1341=1,1440-Z1341,AD1341)</f>
        <v>0</v>
      </c>
      <c r="AK1341" s="80">
        <f>IF(AND(AB1341=1,AH1341=1),MAX(0,MIN(IF(AC1341=1,1440,AA1341),CFG_WEM)-MAX(Z1341,CFG_WSM)),0)</f>
        <v>0</v>
      </c>
      <c r="AL1341" s="80">
        <f>IF(AND(AC1341=1,AI1341=1),MAX(0,MIN(AA1341,CFG_WEM)-CFG_WSM),0)</f>
        <v>0</v>
      </c>
      <c r="AM1341" s="80">
        <f>AK1341+AL1341</f>
        <v>0</v>
      </c>
      <c r="AN1341" s="80">
        <f>IF(CFG_BRK="Proporcional",IF(AD1341=0,0,AF1341*AM1341/AD1341),IF(CFG_BRK="Extras primero",MIN(AM1341,MAX(0,AF1341-(AD1341-AM1341))),MIN(AF1341,AM1341)))</f>
        <v>0</v>
      </c>
      <c r="AO1341" s="80">
        <f>AF1341-AN1341</f>
        <v>0</v>
      </c>
      <c r="AP1341" s="80">
        <f>AM1341-AN1341</f>
        <v>0</v>
      </c>
      <c r="AQ1341" s="80">
        <f>AD1341-AM1341-AO1341</f>
        <v>0</v>
      </c>
      <c r="AR1341" s="80">
        <f>IF(AM1341=0,0,AK1341-AN1341*AK1341/AM1341)</f>
        <v>0</v>
      </c>
      <c r="AS1341" s="80">
        <f>IF(AD1341-AM1341=0,0,(AJ1341-AK1341)-AO1341*(AJ1341-AK1341)/(AD1341-AM1341))</f>
        <v>0</v>
      </c>
      <c r="AT1341" s="80" t="str">
        <f>IF(AC1341=1,INT(B1341)+1,"")</f>
        <v/>
      </c>
      <c r="AU1341" s="80">
        <f>IF(AND(D1341="proMX",R1341="Cancelled"),0,1)</f>
        <v>1</v>
      </c>
      <c r="AV1341" s="80">
        <f>IF(AND(AB1341=1,AU1341=1),IF(COUNTIFS($D$5:D1340,D1341,$B$5:B1340,B1341,$Z$5:Z1340,Z1341,$AA$5:AA1340,AA1341,$F$5:F1340,F1341&amp;"",$AU$5:AU1340,1)&gt;0,1,0),0)</f>
        <v>0</v>
      </c>
      <c r="AW1341" s="80" t="str">
        <f>IF(AB1341=1,INT(B1341)*1440+Z1341,"")</f>
        <v/>
      </c>
      <c r="AX1341" s="80" t="str">
        <f>IF(AB1341=1,AW1341+AD1341,"")</f>
        <v/>
      </c>
      <c r="AY1341" s="80">
        <f>IF(AND(AB1341=1,AV1341=0,AU1341=1),1,0)</f>
        <v>0</v>
      </c>
      <c r="AZ1341" s="80">
        <f>IF(AY1341=1,COUNTIFS(R_Emp,D1341,R_SAbs,"&lt;"&amp;AX1341,R_EAbs,"&gt;"&amp;AW1341,R_OKey,1)-1,0)</f>
        <v>0</v>
      </c>
      <c r="BA1341" s="80">
        <f>IF(AY1341=1,COUNTIFS(R_Emp,"&lt;&gt;"&amp;D1341,R_SAbs,"&lt;"&amp;AX1341,R_EAbs,"&gt;"&amp;AW1341,R_OKey,1),0)</f>
        <v>0</v>
      </c>
      <c r="BB1341" s="80">
        <f>IF(AND(AB1341=1,D1341="proMX"),IF(AND(MOD(Z1341,CFG_BLK)=0,MOD(AA1341,CFG_BLK)=0,MOD(AG1341,CFG_BLK)=0,AG1341&gt;0),1,0),1)</f>
        <v>1</v>
      </c>
      <c r="BC1341" s="80" t="str">
        <f>IF(Y1341=0,"",IF(NOT(ISNUMBER(B1341)),"Falta fecha o fecha inválida",IF(D1341="","Falta empresa",IF(AND(D1341&lt;&gt;"Malcolm",D1341&lt;&gt;"proMX"),"Empresa inválida",IF(OR(INT(B1341)&lt;CFG_PSTART,INT(B1341)&gt;CFG_PEND),"Fecha fuera del período",IF(OR(NOT(ISNUMBER(Z1341)),NOT(ISNUMBER(AA1341))),"Falta hora inicio/fin o formato inválido",IF(AB1341=0,"Hora inicio = hora fin",IF(AE1341&lt;0,"Descanso inválido",IF(AE1341&gt;=AD1341,"Descanso ≥ duración",IF(AV1341=1,"Registro duplicado",IF(AZ1341&gt;0,"Se superpone con otro registro "&amp;D1341,IF(BB1341=0,"inicio, fin y duración neta deben ser múltiplos de "&amp;CFG_BLK&amp;" min",""))))))))))))</f>
        <v/>
      </c>
      <c r="BD1341" s="80">
        <f>IF(AND(Y1341=1,BC1341=""),1,0)</f>
        <v>0</v>
      </c>
      <c r="BE1341" s="80">
        <f>IF(AND(BD1341=1,AU1341=1),1,0)</f>
        <v>0</v>
      </c>
      <c r="BF1341" s="80" t="str">
        <f>IF(AND(D1341="proMX",BD1341=1),IF(R1341="","Draft",R1341),"")</f>
        <v/>
      </c>
      <c r="BG1341" s="80">
        <f>IF(BD1341=1,ROUND(AG1341/60,6),0)</f>
        <v>0</v>
      </c>
      <c r="BH1341" s="80">
        <f>IF(BE1341=1,ROUND(AG1341/60,6),0)</f>
        <v>0</v>
      </c>
      <c r="BI1341" s="80">
        <f>IF(BE1341=1,ROUND(AP1341/60,6),0)</f>
        <v>0</v>
      </c>
      <c r="BJ1341" s="80">
        <f>IF(BE1341=1,ROUND(AQ1341/60,6),0)</f>
        <v>0</v>
      </c>
      <c r="BK1341" s="80">
        <f>IF(BE1341=1,ROUND((AR1341+AS1341)/60,6),0)</f>
        <v>0</v>
      </c>
      <c r="BL1341" s="80">
        <f>ROUND(BH1341-BK1341,6)</f>
        <v>0</v>
      </c>
      <c r="BM1341" s="80">
        <f>IF(BE1341=1,ROUND(AR1341/60,6),0)</f>
        <v>0</v>
      </c>
      <c r="BN1341" s="80">
        <f>ROUND(BI1341-BM1341,6)</f>
        <v>0</v>
      </c>
      <c r="BO1341" s="80">
        <f>IF(BE1341=1,ROUND(AS1341/60,6),0)</f>
        <v>0</v>
      </c>
      <c r="BP1341" s="80">
        <f>ROUND(BJ1341-BO1341,6)</f>
        <v>0</v>
      </c>
      <c r="BQ1341" s="80">
        <f>IF(BE1341=1,AW1341,0)</f>
        <v>0</v>
      </c>
      <c r="BR1341" s="80">
        <f>IF(BE1341=1,AX1341,0)</f>
        <v>0</v>
      </c>
      <c r="BS1341" s="80">
        <f>IF(AND(BE1341=1,D1341="Malcolm",BA1341&gt;0),MIN(BH1341,SUMPRODUCT((R_Emp="proMX")*(R_EN&gt;0)*((R_EN-(R_EN&gt;BR1341)*(R_EN-BR1341))&gt;(R_SN+(R_SN&lt;BQ1341)*(BQ1341-R_SN)))*((R_EN-(R_EN&gt;BR1341)*(R_EN-BR1341))-(R_SN+(R_SN&lt;BQ1341)*(BQ1341-R_SN))))/60),0)</f>
        <v>0</v>
      </c>
      <c r="BT1341" s="80">
        <f>IF(AND(BE1341=1,D1341="proMX"),ROUND(BI1341*CFG_RATE+BJ1341*CFG_OTRATE,6),0)</f>
        <v>0</v>
      </c>
      <c r="BU1341" s="80">
        <f>IF(AND(BD1341=1,D1341="proMX"),ROUND(AG1341/CFG_BLK,6),0)</f>
        <v>0</v>
      </c>
      <c r="BV1341" s="80" t="str">
        <f>IF(BF1341="Approved",IF(ISNUMBER(T1341),INT(T1341),INT(B1341)),"")</f>
        <v/>
      </c>
      <c r="BW1341" s="80">
        <f>IF(ISNUMBER(B1341),IF(DB_MON="Todos",1,IF(AND(INT(B1341)&gt;=DB_MS,INT(B1341)&lt;=DB_ME),1,0)),0)</f>
        <v>0</v>
      </c>
      <c r="BX1341" s="80">
        <f>IF(DB_PROJ="Todos",1,IF(E1341&amp;""=DB_PROJ&amp;"",1,0))</f>
        <v>1</v>
      </c>
      <c r="BY1341" s="80">
        <f>BW1341*BX1341</f>
        <v>0</v>
      </c>
      <c r="BZ1341" s="80" t="str">
        <f>IF(Y1341=1,F1341&amp;IF(AND(F1341&amp;""&lt;&gt;"",E1341&amp;""&lt;&gt;"")," · ","")&amp;E1341,"")</f>
        <v/>
      </c>
      <c r="CA1341" s="80" t="str">
        <f>IF(AND(BD1341=1,E1341&amp;""&lt;&gt;""),IF(COUNTIFS($E$5:E1340,E1341,$BD$5:BD1340,1)=0,MAX($CA$5:CA1340)+1,""),"")</f>
        <v/>
      </c>
      <c r="CB1341" s="80" t="str">
        <f>IF(AND(BE1341=1,D1341="Malcolm",E1341&amp;""&lt;&gt;""),IF(COUNTIFS($D$5:D1340,"Malcolm",$E$5:E1340,E1341,$BE$5:BE1340,1)=0,MAX($CB$5:CB1340)+1,""),"")</f>
        <v/>
      </c>
      <c r="CC1341" s="80" t="str">
        <f>IF(AND(BD1341=1,D1341="proMX",E1341&amp;""&lt;&gt;""),IF(COUNTIFS($D$5:D1340,"proMX",$E$5:E1340,E1341,$BD$5:BD1340,1)=0,MAX($CC$5:CC1340)+1,""),"")</f>
        <v/>
      </c>
      <c r="CD1341" s="80" t="str">
        <f>IF(AND(BE1341=1,D1341="Malcolm",F1341&amp;""&lt;&gt;""),IF(COUNTIFS($D$5:D1340,"Malcolm",$F$5:F1340,F1341,$BE$5:BE1340,1)=0,MAX($CD$5:CD1340)+1,""),"")</f>
        <v/>
      </c>
      <c r="CE1341" s="80" t="str">
        <f>IF(AND(BD1341=1,D1341="proMX",F1341&amp;""&lt;&gt;""),IF(COUNTIFS($D$5:D1340,"proMX",$F$5:F1340,F1341,$BD$5:BD1340,1)=0,MAX($CE$5:CE1340)+1,""),"")</f>
        <v/>
      </c>
      <c r="CF1341" s="80" t="str">
        <f>IF(AND(D1341="proMX",BD1341=1),IF(OR(BF1341="Draft",BF1341="Submitted",BF1341="Returned",BF1341="Recall Requested"),MAX($CF$5:CF1340)+1,""),"")</f>
        <v/>
      </c>
      <c r="CG1341" s="80">
        <f>IF(BD1341=0,0,IF(D1341="Malcolm",1,MATCH(BF1341,{"Draft","Submitted","Approved","Returned","Recall Requested","Cancelled"},0)+1))</f>
        <v>0</v>
      </c>
      <c r="CH1341" s="80">
        <f>IF(AND(BF1341="Submitted",ISNUMBER(V1341)),IF(V1341&gt;CFG_MAXD,1,0),0)</f>
        <v>0</v>
      </c>
    </row>
    <row r="1342">
      <c r="A1342" s="71" t="str">
        <f>IF(Y1342=1,ROW()-5,"")</f>
        <v/>
      </c>
      <c r="B1342" s="72" t="n"/>
      <c r="C1342" s="71" t="str">
        <f>IF(ISNUMBER(B1342),CHOOSE(WEEKDAY(B1342,2),"Lun","Mar","Mié","Jue","Vie","Sáb","Dom"),"")</f>
        <v/>
      </c>
      <c r="D1342" s="73" t="n"/>
      <c r="E1342" s="74" t="n"/>
      <c r="F1342" s="74" t="n"/>
      <c r="G1342" s="74" t="n"/>
      <c r="H1342" s="75" t="n"/>
      <c r="I1342" s="75" t="n"/>
      <c r="J1342" s="76" t="n"/>
      <c r="K1342" s="77" t="str">
        <f>IF(AB1342=1,ROUND(AG1342/60,4),"")</f>
        <v/>
      </c>
      <c r="L1342" s="77" t="str">
        <f>IF(BD1342=1,ROUND(AP1342/60,4),"")</f>
        <v/>
      </c>
      <c r="M1342" s="77" t="str">
        <f>IF(BD1342=1,ROUND(AQ1342/60,4),"")</f>
        <v/>
      </c>
      <c r="N1342" s="71" t="str">
        <f>IF(AND(D1342="proMX",AB1342=1),ROUND(AG1342/CFG_BLK,2),"")</f>
        <v/>
      </c>
      <c r="O1342" s="77" t="str">
        <f>IF(D1342="proMX",IF(BD1342=1,ROUND(AG1342/60,4),0),"")</f>
        <v/>
      </c>
      <c r="P1342" s="78" t="str">
        <f>IF(Y1342=0,"",IF(BD1342=1,"OK",IF(D1342="proMX","Revisar bloques: ","Revisar: ")&amp;BC1342))</f>
        <v/>
      </c>
      <c r="Q1342" s="78" t="str">
        <f>IF(NOT(ISNUMBER(B1342)),"",IF(COUNTIFS(FER_F,INT(B1342))&gt;0,"Feriado"&amp;IF(AH1342=1," (laborable)"," (no laborable)"),IF(AH1342=1,"Laborable",IF(WEEKDAY(B1342,2)&gt;5,"Fin de semana","No laborable"))))</f>
        <v/>
      </c>
      <c r="R1342" s="73" t="n"/>
      <c r="S1342" s="72" t="n"/>
      <c r="T1342" s="72" t="n"/>
      <c r="U1342" s="74" t="n"/>
      <c r="V1342" s="79" t="str">
        <f>IF(AND(D1342="proMX",OR(R1342="Submitted",R1342="Recall Requested"),ISNUMBER(S1342)),CFG_TODAY-INT(S1342),"")</f>
        <v/>
      </c>
      <c r="W1342" s="78" t="str">
        <f>IF(BD1342=0,"",IF(BA1342&gt;0,"⚠ Se superpone con un registro de la otra empresa",IF(D1342="Malcolm",IF(COUNTA(R1342,S1342,T1342)&gt;0,"Estado/fechas proMX se ignoran en Malcolm",""),IF(BF1342="Cancelled","Cancelado: excluido de totales",IF(R1342="","Sin estado: se trata como Draft",IF(BF1342="Submitted",IF(ISNUMBER(V1342),IF(V1342&gt;CFG_MAXD,"⚠ "&amp;V1342&amp;" días en Submitted (máx. "&amp;CFG_MAXD&amp;")",""),"Falta fecha de envío"),IF(BF1342="Returned","⚠ Devuelto: corregir y reenviar",IF(BF1342="Recall Requested","Retirada solicitada: pendiente",IF(AND(BF1342="Approved",NOT(ISNUMBER(T1342))),"Falta fecha de aprobación",IF(AND(ISNUMBER(S1342),ISNUMBER(T1342),T1342&lt;S1342),"Aprobación anterior al envío","")))))))))</f>
        <v/>
      </c>
      <c r="Y1342" s="80">
        <f>IF(COUNTA(B1342,D1342,E1342,F1342,G1342,H1342,I1342,J1342,R1342,S1342,T1342)&gt;0,1,0)</f>
        <v>0</v>
      </c>
      <c r="Z1342" s="80" t="str">
        <f>IF(AND(ISNUMBER(H1342),H1342&gt;=0,H1342&lt;1),ROUND(H1342*1440,0),"")</f>
        <v/>
      </c>
      <c r="AA1342" s="80" t="str">
        <f>IF(AND(ISNUMBER(I1342),I1342&gt;=0,I1342&lt;1),ROUND(I1342*1440,0),"")</f>
        <v/>
      </c>
      <c r="AB1342" s="80">
        <f>IF(AND(ISNUMBER(B1342),D1342&lt;&gt;"",ISNUMBER(Z1342),ISNUMBER(AA1342)),IF(Z1342=AA1342,0,1),0)</f>
        <v>0</v>
      </c>
      <c r="AC1342" s="80">
        <f>IF(AB1342=1,IF(AA1342&lt;Z1342,1,0),0)</f>
        <v>0</v>
      </c>
      <c r="AD1342" s="80">
        <f>IF(AB1342=1,IF(AC1342=1,1440-Z1342+AA1342,AA1342-Z1342),0)</f>
        <v>0</v>
      </c>
      <c r="AE1342" s="80">
        <f>IF(J1342="",0,IF(ISNUMBER(J1342),J1342,-1))</f>
        <v>0</v>
      </c>
      <c r="AF1342" s="80">
        <f>MIN(MAX(0,AE1342),AD1342)</f>
        <v>0</v>
      </c>
      <c r="AG1342" s="80">
        <f>MAX(0,AD1342-MAX(0,AE1342))</f>
        <v>0</v>
      </c>
      <c r="AH1342" s="80">
        <f>IF(ISNUMBER(B1342),IF(AND(INDEX(CFG_WDAYS,WEEKDAY(INT(B1342),2))="Sí",IF(D1342="proMX",COUNTIFS(FER_F,INT(B1342),FER_NLP,"Sí"),COUNTIFS(FER_F,INT(B1342),FER_NLM,"Sí"))=0),1,0),0)</f>
        <v>0</v>
      </c>
      <c r="AI1342" s="80">
        <f>IF(AC1342=1,IF(AND(INDEX(CFG_WDAYS,WEEKDAY(INT(B1342)+1,2))="Sí",IF(D1342="proMX",COUNTIFS(FER_F,INT(B1342)+1,FER_NLP,"Sí"),COUNTIFS(FER_F,INT(B1342)+1,FER_NLM,"Sí"))=0),1,0),0)</f>
        <v>0</v>
      </c>
      <c r="AJ1342" s="80">
        <f>IF(AC1342=1,1440-Z1342,AD1342)</f>
        <v>0</v>
      </c>
      <c r="AK1342" s="80">
        <f>IF(AND(AB1342=1,AH1342=1),MAX(0,MIN(IF(AC1342=1,1440,AA1342),CFG_WEM)-MAX(Z1342,CFG_WSM)),0)</f>
        <v>0</v>
      </c>
      <c r="AL1342" s="80">
        <f>IF(AND(AC1342=1,AI1342=1),MAX(0,MIN(AA1342,CFG_WEM)-CFG_WSM),0)</f>
        <v>0</v>
      </c>
      <c r="AM1342" s="80">
        <f>AK1342+AL1342</f>
        <v>0</v>
      </c>
      <c r="AN1342" s="80">
        <f>IF(CFG_BRK="Proporcional",IF(AD1342=0,0,AF1342*AM1342/AD1342),IF(CFG_BRK="Extras primero",MIN(AM1342,MAX(0,AF1342-(AD1342-AM1342))),MIN(AF1342,AM1342)))</f>
        <v>0</v>
      </c>
      <c r="AO1342" s="80">
        <f>AF1342-AN1342</f>
        <v>0</v>
      </c>
      <c r="AP1342" s="80">
        <f>AM1342-AN1342</f>
        <v>0</v>
      </c>
      <c r="AQ1342" s="80">
        <f>AD1342-AM1342-AO1342</f>
        <v>0</v>
      </c>
      <c r="AR1342" s="80">
        <f>IF(AM1342=0,0,AK1342-AN1342*AK1342/AM1342)</f>
        <v>0</v>
      </c>
      <c r="AS1342" s="80">
        <f>IF(AD1342-AM1342=0,0,(AJ1342-AK1342)-AO1342*(AJ1342-AK1342)/(AD1342-AM1342))</f>
        <v>0</v>
      </c>
      <c r="AT1342" s="80" t="str">
        <f>IF(AC1342=1,INT(B1342)+1,"")</f>
        <v/>
      </c>
      <c r="AU1342" s="80">
        <f>IF(AND(D1342="proMX",R1342="Cancelled"),0,1)</f>
        <v>1</v>
      </c>
      <c r="AV1342" s="80">
        <f>IF(AND(AB1342=1,AU1342=1),IF(COUNTIFS($D$5:D1341,D1342,$B$5:B1341,B1342,$Z$5:Z1341,Z1342,$AA$5:AA1341,AA1342,$F$5:F1341,F1342&amp;"",$AU$5:AU1341,1)&gt;0,1,0),0)</f>
        <v>0</v>
      </c>
      <c r="AW1342" s="80" t="str">
        <f>IF(AB1342=1,INT(B1342)*1440+Z1342,"")</f>
        <v/>
      </c>
      <c r="AX1342" s="80" t="str">
        <f>IF(AB1342=1,AW1342+AD1342,"")</f>
        <v/>
      </c>
      <c r="AY1342" s="80">
        <f>IF(AND(AB1342=1,AV1342=0,AU1342=1),1,0)</f>
        <v>0</v>
      </c>
      <c r="AZ1342" s="80">
        <f>IF(AY1342=1,COUNTIFS(R_Emp,D1342,R_SAbs,"&lt;"&amp;AX1342,R_EAbs,"&gt;"&amp;AW1342,R_OKey,1)-1,0)</f>
        <v>0</v>
      </c>
      <c r="BA1342" s="80">
        <f>IF(AY1342=1,COUNTIFS(R_Emp,"&lt;&gt;"&amp;D1342,R_SAbs,"&lt;"&amp;AX1342,R_EAbs,"&gt;"&amp;AW1342,R_OKey,1),0)</f>
        <v>0</v>
      </c>
      <c r="BB1342" s="80">
        <f>IF(AND(AB1342=1,D1342="proMX"),IF(AND(MOD(Z1342,CFG_BLK)=0,MOD(AA1342,CFG_BLK)=0,MOD(AG1342,CFG_BLK)=0,AG1342&gt;0),1,0),1)</f>
        <v>1</v>
      </c>
      <c r="BC1342" s="80" t="str">
        <f>IF(Y1342=0,"",IF(NOT(ISNUMBER(B1342)),"Falta fecha o fecha inválida",IF(D1342="","Falta empresa",IF(AND(D1342&lt;&gt;"Malcolm",D1342&lt;&gt;"proMX"),"Empresa inválida",IF(OR(INT(B1342)&lt;CFG_PSTART,INT(B1342)&gt;CFG_PEND),"Fecha fuera del período",IF(OR(NOT(ISNUMBER(Z1342)),NOT(ISNUMBER(AA1342))),"Falta hora inicio/fin o formato inválido",IF(AB1342=0,"Hora inicio = hora fin",IF(AE1342&lt;0,"Descanso inválido",IF(AE1342&gt;=AD1342,"Descanso ≥ duración",IF(AV1342=1,"Registro duplicado",IF(AZ1342&gt;0,"Se superpone con otro registro "&amp;D1342,IF(BB1342=0,"inicio, fin y duración neta deben ser múltiplos de "&amp;CFG_BLK&amp;" min",""))))))))))))</f>
        <v/>
      </c>
      <c r="BD1342" s="80">
        <f>IF(AND(Y1342=1,BC1342=""),1,0)</f>
        <v>0</v>
      </c>
      <c r="BE1342" s="80">
        <f>IF(AND(BD1342=1,AU1342=1),1,0)</f>
        <v>0</v>
      </c>
      <c r="BF1342" s="80" t="str">
        <f>IF(AND(D1342="proMX",BD1342=1),IF(R1342="","Draft",R1342),"")</f>
        <v/>
      </c>
      <c r="BG1342" s="80">
        <f>IF(BD1342=1,ROUND(AG1342/60,6),0)</f>
        <v>0</v>
      </c>
      <c r="BH1342" s="80">
        <f>IF(BE1342=1,ROUND(AG1342/60,6),0)</f>
        <v>0</v>
      </c>
      <c r="BI1342" s="80">
        <f>IF(BE1342=1,ROUND(AP1342/60,6),0)</f>
        <v>0</v>
      </c>
      <c r="BJ1342" s="80">
        <f>IF(BE1342=1,ROUND(AQ1342/60,6),0)</f>
        <v>0</v>
      </c>
      <c r="BK1342" s="80">
        <f>IF(BE1342=1,ROUND((AR1342+AS1342)/60,6),0)</f>
        <v>0</v>
      </c>
      <c r="BL1342" s="80">
        <f>ROUND(BH1342-BK1342,6)</f>
        <v>0</v>
      </c>
      <c r="BM1342" s="80">
        <f>IF(BE1342=1,ROUND(AR1342/60,6),0)</f>
        <v>0</v>
      </c>
      <c r="BN1342" s="80">
        <f>ROUND(BI1342-BM1342,6)</f>
        <v>0</v>
      </c>
      <c r="BO1342" s="80">
        <f>IF(BE1342=1,ROUND(AS1342/60,6),0)</f>
        <v>0</v>
      </c>
      <c r="BP1342" s="80">
        <f>ROUND(BJ1342-BO1342,6)</f>
        <v>0</v>
      </c>
      <c r="BQ1342" s="80">
        <f>IF(BE1342=1,AW1342,0)</f>
        <v>0</v>
      </c>
      <c r="BR1342" s="80">
        <f>IF(BE1342=1,AX1342,0)</f>
        <v>0</v>
      </c>
      <c r="BS1342" s="80">
        <f>IF(AND(BE1342=1,D1342="Malcolm",BA1342&gt;0),MIN(BH1342,SUMPRODUCT((R_Emp="proMX")*(R_EN&gt;0)*((R_EN-(R_EN&gt;BR1342)*(R_EN-BR1342))&gt;(R_SN+(R_SN&lt;BQ1342)*(BQ1342-R_SN)))*((R_EN-(R_EN&gt;BR1342)*(R_EN-BR1342))-(R_SN+(R_SN&lt;BQ1342)*(BQ1342-R_SN))))/60),0)</f>
        <v>0</v>
      </c>
      <c r="BT1342" s="80">
        <f>IF(AND(BE1342=1,D1342="proMX"),ROUND(BI1342*CFG_RATE+BJ1342*CFG_OTRATE,6),0)</f>
        <v>0</v>
      </c>
      <c r="BU1342" s="80">
        <f>IF(AND(BD1342=1,D1342="proMX"),ROUND(AG1342/CFG_BLK,6),0)</f>
        <v>0</v>
      </c>
      <c r="BV1342" s="80" t="str">
        <f>IF(BF1342="Approved",IF(ISNUMBER(T1342),INT(T1342),INT(B1342)),"")</f>
        <v/>
      </c>
      <c r="BW1342" s="80">
        <f>IF(ISNUMBER(B1342),IF(DB_MON="Todos",1,IF(AND(INT(B1342)&gt;=DB_MS,INT(B1342)&lt;=DB_ME),1,0)),0)</f>
        <v>0</v>
      </c>
      <c r="BX1342" s="80">
        <f>IF(DB_PROJ="Todos",1,IF(E1342&amp;""=DB_PROJ&amp;"",1,0))</f>
        <v>1</v>
      </c>
      <c r="BY1342" s="80">
        <f>BW1342*BX1342</f>
        <v>0</v>
      </c>
      <c r="BZ1342" s="80" t="str">
        <f>IF(Y1342=1,F1342&amp;IF(AND(F1342&amp;""&lt;&gt;"",E1342&amp;""&lt;&gt;"")," · ","")&amp;E1342,"")</f>
        <v/>
      </c>
      <c r="CA1342" s="80" t="str">
        <f>IF(AND(BD1342=1,E1342&amp;""&lt;&gt;""),IF(COUNTIFS($E$5:E1341,E1342,$BD$5:BD1341,1)=0,MAX($CA$5:CA1341)+1,""),"")</f>
        <v/>
      </c>
      <c r="CB1342" s="80" t="str">
        <f>IF(AND(BE1342=1,D1342="Malcolm",E1342&amp;""&lt;&gt;""),IF(COUNTIFS($D$5:D1341,"Malcolm",$E$5:E1341,E1342,$BE$5:BE1341,1)=0,MAX($CB$5:CB1341)+1,""),"")</f>
        <v/>
      </c>
      <c r="CC1342" s="80" t="str">
        <f>IF(AND(BD1342=1,D1342="proMX",E1342&amp;""&lt;&gt;""),IF(COUNTIFS($D$5:D1341,"proMX",$E$5:E1341,E1342,$BD$5:BD1341,1)=0,MAX($CC$5:CC1341)+1,""),"")</f>
        <v/>
      </c>
      <c r="CD1342" s="80" t="str">
        <f>IF(AND(BE1342=1,D1342="Malcolm",F1342&amp;""&lt;&gt;""),IF(COUNTIFS($D$5:D1341,"Malcolm",$F$5:F1341,F1342,$BE$5:BE1341,1)=0,MAX($CD$5:CD1341)+1,""),"")</f>
        <v/>
      </c>
      <c r="CE1342" s="80" t="str">
        <f>IF(AND(BD1342=1,D1342="proMX",F1342&amp;""&lt;&gt;""),IF(COUNTIFS($D$5:D1341,"proMX",$F$5:F1341,F1342,$BD$5:BD1341,1)=0,MAX($CE$5:CE1341)+1,""),"")</f>
        <v/>
      </c>
      <c r="CF1342" s="80" t="str">
        <f>IF(AND(D1342="proMX",BD1342=1),IF(OR(BF1342="Draft",BF1342="Submitted",BF1342="Returned",BF1342="Recall Requested"),MAX($CF$5:CF1341)+1,""),"")</f>
        <v/>
      </c>
      <c r="CG1342" s="80">
        <f>IF(BD1342=0,0,IF(D1342="Malcolm",1,MATCH(BF1342,{"Draft","Submitted","Approved","Returned","Recall Requested","Cancelled"},0)+1))</f>
        <v>0</v>
      </c>
      <c r="CH1342" s="80">
        <f>IF(AND(BF1342="Submitted",ISNUMBER(V1342)),IF(V1342&gt;CFG_MAXD,1,0),0)</f>
        <v>0</v>
      </c>
    </row>
    <row r="1343">
      <c r="A1343" s="71" t="str">
        <f>IF(Y1343=1,ROW()-5,"")</f>
        <v/>
      </c>
      <c r="B1343" s="72" t="n"/>
      <c r="C1343" s="71" t="str">
        <f>IF(ISNUMBER(B1343),CHOOSE(WEEKDAY(B1343,2),"Lun","Mar","Mié","Jue","Vie","Sáb","Dom"),"")</f>
        <v/>
      </c>
      <c r="D1343" s="73" t="n"/>
      <c r="E1343" s="74" t="n"/>
      <c r="F1343" s="74" t="n"/>
      <c r="G1343" s="74" t="n"/>
      <c r="H1343" s="75" t="n"/>
      <c r="I1343" s="75" t="n"/>
      <c r="J1343" s="76" t="n"/>
      <c r="K1343" s="77" t="str">
        <f>IF(AB1343=1,ROUND(AG1343/60,4),"")</f>
        <v/>
      </c>
      <c r="L1343" s="77" t="str">
        <f>IF(BD1343=1,ROUND(AP1343/60,4),"")</f>
        <v/>
      </c>
      <c r="M1343" s="77" t="str">
        <f>IF(BD1343=1,ROUND(AQ1343/60,4),"")</f>
        <v/>
      </c>
      <c r="N1343" s="71" t="str">
        <f>IF(AND(D1343="proMX",AB1343=1),ROUND(AG1343/CFG_BLK,2),"")</f>
        <v/>
      </c>
      <c r="O1343" s="77" t="str">
        <f>IF(D1343="proMX",IF(BD1343=1,ROUND(AG1343/60,4),0),"")</f>
        <v/>
      </c>
      <c r="P1343" s="78" t="str">
        <f>IF(Y1343=0,"",IF(BD1343=1,"OK",IF(D1343="proMX","Revisar bloques: ","Revisar: ")&amp;BC1343))</f>
        <v/>
      </c>
      <c r="Q1343" s="78" t="str">
        <f>IF(NOT(ISNUMBER(B1343)),"",IF(COUNTIFS(FER_F,INT(B1343))&gt;0,"Feriado"&amp;IF(AH1343=1," (laborable)"," (no laborable)"),IF(AH1343=1,"Laborable",IF(WEEKDAY(B1343,2)&gt;5,"Fin de semana","No laborable"))))</f>
        <v/>
      </c>
      <c r="R1343" s="73" t="n"/>
      <c r="S1343" s="72" t="n"/>
      <c r="T1343" s="72" t="n"/>
      <c r="U1343" s="74" t="n"/>
      <c r="V1343" s="79" t="str">
        <f>IF(AND(D1343="proMX",OR(R1343="Submitted",R1343="Recall Requested"),ISNUMBER(S1343)),CFG_TODAY-INT(S1343),"")</f>
        <v/>
      </c>
      <c r="W1343" s="78" t="str">
        <f>IF(BD1343=0,"",IF(BA1343&gt;0,"⚠ Se superpone con un registro de la otra empresa",IF(D1343="Malcolm",IF(COUNTA(R1343,S1343,T1343)&gt;0,"Estado/fechas proMX se ignoran en Malcolm",""),IF(BF1343="Cancelled","Cancelado: excluido de totales",IF(R1343="","Sin estado: se trata como Draft",IF(BF1343="Submitted",IF(ISNUMBER(V1343),IF(V1343&gt;CFG_MAXD,"⚠ "&amp;V1343&amp;" días en Submitted (máx. "&amp;CFG_MAXD&amp;")",""),"Falta fecha de envío"),IF(BF1343="Returned","⚠ Devuelto: corregir y reenviar",IF(BF1343="Recall Requested","Retirada solicitada: pendiente",IF(AND(BF1343="Approved",NOT(ISNUMBER(T1343))),"Falta fecha de aprobación",IF(AND(ISNUMBER(S1343),ISNUMBER(T1343),T1343&lt;S1343),"Aprobación anterior al envío","")))))))))</f>
        <v/>
      </c>
      <c r="Y1343" s="80">
        <f>IF(COUNTA(B1343,D1343,E1343,F1343,G1343,H1343,I1343,J1343,R1343,S1343,T1343)&gt;0,1,0)</f>
        <v>0</v>
      </c>
      <c r="Z1343" s="80" t="str">
        <f>IF(AND(ISNUMBER(H1343),H1343&gt;=0,H1343&lt;1),ROUND(H1343*1440,0),"")</f>
        <v/>
      </c>
      <c r="AA1343" s="80" t="str">
        <f>IF(AND(ISNUMBER(I1343),I1343&gt;=0,I1343&lt;1),ROUND(I1343*1440,0),"")</f>
        <v/>
      </c>
      <c r="AB1343" s="80">
        <f>IF(AND(ISNUMBER(B1343),D1343&lt;&gt;"",ISNUMBER(Z1343),ISNUMBER(AA1343)),IF(Z1343=AA1343,0,1),0)</f>
        <v>0</v>
      </c>
      <c r="AC1343" s="80">
        <f>IF(AB1343=1,IF(AA1343&lt;Z1343,1,0),0)</f>
        <v>0</v>
      </c>
      <c r="AD1343" s="80">
        <f>IF(AB1343=1,IF(AC1343=1,1440-Z1343+AA1343,AA1343-Z1343),0)</f>
        <v>0</v>
      </c>
      <c r="AE1343" s="80">
        <f>IF(J1343="",0,IF(ISNUMBER(J1343),J1343,-1))</f>
        <v>0</v>
      </c>
      <c r="AF1343" s="80">
        <f>MIN(MAX(0,AE1343),AD1343)</f>
        <v>0</v>
      </c>
      <c r="AG1343" s="80">
        <f>MAX(0,AD1343-MAX(0,AE1343))</f>
        <v>0</v>
      </c>
      <c r="AH1343" s="80">
        <f>IF(ISNUMBER(B1343),IF(AND(INDEX(CFG_WDAYS,WEEKDAY(INT(B1343),2))="Sí",IF(D1343="proMX",COUNTIFS(FER_F,INT(B1343),FER_NLP,"Sí"),COUNTIFS(FER_F,INT(B1343),FER_NLM,"Sí"))=0),1,0),0)</f>
        <v>0</v>
      </c>
      <c r="AI1343" s="80">
        <f>IF(AC1343=1,IF(AND(INDEX(CFG_WDAYS,WEEKDAY(INT(B1343)+1,2))="Sí",IF(D1343="proMX",COUNTIFS(FER_F,INT(B1343)+1,FER_NLP,"Sí"),COUNTIFS(FER_F,INT(B1343)+1,FER_NLM,"Sí"))=0),1,0),0)</f>
        <v>0</v>
      </c>
      <c r="AJ1343" s="80">
        <f>IF(AC1343=1,1440-Z1343,AD1343)</f>
        <v>0</v>
      </c>
      <c r="AK1343" s="80">
        <f>IF(AND(AB1343=1,AH1343=1),MAX(0,MIN(IF(AC1343=1,1440,AA1343),CFG_WEM)-MAX(Z1343,CFG_WSM)),0)</f>
        <v>0</v>
      </c>
      <c r="AL1343" s="80">
        <f>IF(AND(AC1343=1,AI1343=1),MAX(0,MIN(AA1343,CFG_WEM)-CFG_WSM),0)</f>
        <v>0</v>
      </c>
      <c r="AM1343" s="80">
        <f>AK1343+AL1343</f>
        <v>0</v>
      </c>
      <c r="AN1343" s="80">
        <f>IF(CFG_BRK="Proporcional",IF(AD1343=0,0,AF1343*AM1343/AD1343),IF(CFG_BRK="Extras primero",MIN(AM1343,MAX(0,AF1343-(AD1343-AM1343))),MIN(AF1343,AM1343)))</f>
        <v>0</v>
      </c>
      <c r="AO1343" s="80">
        <f>AF1343-AN1343</f>
        <v>0</v>
      </c>
      <c r="AP1343" s="80">
        <f>AM1343-AN1343</f>
        <v>0</v>
      </c>
      <c r="AQ1343" s="80">
        <f>AD1343-AM1343-AO1343</f>
        <v>0</v>
      </c>
      <c r="AR1343" s="80">
        <f>IF(AM1343=0,0,AK1343-AN1343*AK1343/AM1343)</f>
        <v>0</v>
      </c>
      <c r="AS1343" s="80">
        <f>IF(AD1343-AM1343=0,0,(AJ1343-AK1343)-AO1343*(AJ1343-AK1343)/(AD1343-AM1343))</f>
        <v>0</v>
      </c>
      <c r="AT1343" s="80" t="str">
        <f>IF(AC1343=1,INT(B1343)+1,"")</f>
        <v/>
      </c>
      <c r="AU1343" s="80">
        <f>IF(AND(D1343="proMX",R1343="Cancelled"),0,1)</f>
        <v>1</v>
      </c>
      <c r="AV1343" s="80">
        <f>IF(AND(AB1343=1,AU1343=1),IF(COUNTIFS($D$5:D1342,D1343,$B$5:B1342,B1343,$Z$5:Z1342,Z1343,$AA$5:AA1342,AA1343,$F$5:F1342,F1343&amp;"",$AU$5:AU1342,1)&gt;0,1,0),0)</f>
        <v>0</v>
      </c>
      <c r="AW1343" s="80" t="str">
        <f>IF(AB1343=1,INT(B1343)*1440+Z1343,"")</f>
        <v/>
      </c>
      <c r="AX1343" s="80" t="str">
        <f>IF(AB1343=1,AW1343+AD1343,"")</f>
        <v/>
      </c>
      <c r="AY1343" s="80">
        <f>IF(AND(AB1343=1,AV1343=0,AU1343=1),1,0)</f>
        <v>0</v>
      </c>
      <c r="AZ1343" s="80">
        <f>IF(AY1343=1,COUNTIFS(R_Emp,D1343,R_SAbs,"&lt;"&amp;AX1343,R_EAbs,"&gt;"&amp;AW1343,R_OKey,1)-1,0)</f>
        <v>0</v>
      </c>
      <c r="BA1343" s="80">
        <f>IF(AY1343=1,COUNTIFS(R_Emp,"&lt;&gt;"&amp;D1343,R_SAbs,"&lt;"&amp;AX1343,R_EAbs,"&gt;"&amp;AW1343,R_OKey,1),0)</f>
        <v>0</v>
      </c>
      <c r="BB1343" s="80">
        <f>IF(AND(AB1343=1,D1343="proMX"),IF(AND(MOD(Z1343,CFG_BLK)=0,MOD(AA1343,CFG_BLK)=0,MOD(AG1343,CFG_BLK)=0,AG1343&gt;0),1,0),1)</f>
        <v>1</v>
      </c>
      <c r="BC1343" s="80" t="str">
        <f>IF(Y1343=0,"",IF(NOT(ISNUMBER(B1343)),"Falta fecha o fecha inválida",IF(D1343="","Falta empresa",IF(AND(D1343&lt;&gt;"Malcolm",D1343&lt;&gt;"proMX"),"Empresa inválida",IF(OR(INT(B1343)&lt;CFG_PSTART,INT(B1343)&gt;CFG_PEND),"Fecha fuera del período",IF(OR(NOT(ISNUMBER(Z1343)),NOT(ISNUMBER(AA1343))),"Falta hora inicio/fin o formato inválido",IF(AB1343=0,"Hora inicio = hora fin",IF(AE1343&lt;0,"Descanso inválido",IF(AE1343&gt;=AD1343,"Descanso ≥ duración",IF(AV1343=1,"Registro duplicado",IF(AZ1343&gt;0,"Se superpone con otro registro "&amp;D1343,IF(BB1343=0,"inicio, fin y duración neta deben ser múltiplos de "&amp;CFG_BLK&amp;" min",""))))))))))))</f>
        <v/>
      </c>
      <c r="BD1343" s="80">
        <f>IF(AND(Y1343=1,BC1343=""),1,0)</f>
        <v>0</v>
      </c>
      <c r="BE1343" s="80">
        <f>IF(AND(BD1343=1,AU1343=1),1,0)</f>
        <v>0</v>
      </c>
      <c r="BF1343" s="80" t="str">
        <f>IF(AND(D1343="proMX",BD1343=1),IF(R1343="","Draft",R1343),"")</f>
        <v/>
      </c>
      <c r="BG1343" s="80">
        <f>IF(BD1343=1,ROUND(AG1343/60,6),0)</f>
        <v>0</v>
      </c>
      <c r="BH1343" s="80">
        <f>IF(BE1343=1,ROUND(AG1343/60,6),0)</f>
        <v>0</v>
      </c>
      <c r="BI1343" s="80">
        <f>IF(BE1343=1,ROUND(AP1343/60,6),0)</f>
        <v>0</v>
      </c>
      <c r="BJ1343" s="80">
        <f>IF(BE1343=1,ROUND(AQ1343/60,6),0)</f>
        <v>0</v>
      </c>
      <c r="BK1343" s="80">
        <f>IF(BE1343=1,ROUND((AR1343+AS1343)/60,6),0)</f>
        <v>0</v>
      </c>
      <c r="BL1343" s="80">
        <f>ROUND(BH1343-BK1343,6)</f>
        <v>0</v>
      </c>
      <c r="BM1343" s="80">
        <f>IF(BE1343=1,ROUND(AR1343/60,6),0)</f>
        <v>0</v>
      </c>
      <c r="BN1343" s="80">
        <f>ROUND(BI1343-BM1343,6)</f>
        <v>0</v>
      </c>
      <c r="BO1343" s="80">
        <f>IF(BE1343=1,ROUND(AS1343/60,6),0)</f>
        <v>0</v>
      </c>
      <c r="BP1343" s="80">
        <f>ROUND(BJ1343-BO1343,6)</f>
        <v>0</v>
      </c>
      <c r="BQ1343" s="80">
        <f>IF(BE1343=1,AW1343,0)</f>
        <v>0</v>
      </c>
      <c r="BR1343" s="80">
        <f>IF(BE1343=1,AX1343,0)</f>
        <v>0</v>
      </c>
      <c r="BS1343" s="80">
        <f>IF(AND(BE1343=1,D1343="Malcolm",BA1343&gt;0),MIN(BH1343,SUMPRODUCT((R_Emp="proMX")*(R_EN&gt;0)*((R_EN-(R_EN&gt;BR1343)*(R_EN-BR1343))&gt;(R_SN+(R_SN&lt;BQ1343)*(BQ1343-R_SN)))*((R_EN-(R_EN&gt;BR1343)*(R_EN-BR1343))-(R_SN+(R_SN&lt;BQ1343)*(BQ1343-R_SN))))/60),0)</f>
        <v>0</v>
      </c>
      <c r="BT1343" s="80">
        <f>IF(AND(BE1343=1,D1343="proMX"),ROUND(BI1343*CFG_RATE+BJ1343*CFG_OTRATE,6),0)</f>
        <v>0</v>
      </c>
      <c r="BU1343" s="80">
        <f>IF(AND(BD1343=1,D1343="proMX"),ROUND(AG1343/CFG_BLK,6),0)</f>
        <v>0</v>
      </c>
      <c r="BV1343" s="80" t="str">
        <f>IF(BF1343="Approved",IF(ISNUMBER(T1343),INT(T1343),INT(B1343)),"")</f>
        <v/>
      </c>
      <c r="BW1343" s="80">
        <f>IF(ISNUMBER(B1343),IF(DB_MON="Todos",1,IF(AND(INT(B1343)&gt;=DB_MS,INT(B1343)&lt;=DB_ME),1,0)),0)</f>
        <v>0</v>
      </c>
      <c r="BX1343" s="80">
        <f>IF(DB_PROJ="Todos",1,IF(E1343&amp;""=DB_PROJ&amp;"",1,0))</f>
        <v>1</v>
      </c>
      <c r="BY1343" s="80">
        <f>BW1343*BX1343</f>
        <v>0</v>
      </c>
      <c r="BZ1343" s="80" t="str">
        <f>IF(Y1343=1,F1343&amp;IF(AND(F1343&amp;""&lt;&gt;"",E1343&amp;""&lt;&gt;"")," · ","")&amp;E1343,"")</f>
        <v/>
      </c>
      <c r="CA1343" s="80" t="str">
        <f>IF(AND(BD1343=1,E1343&amp;""&lt;&gt;""),IF(COUNTIFS($E$5:E1342,E1343,$BD$5:BD1342,1)=0,MAX($CA$5:CA1342)+1,""),"")</f>
        <v/>
      </c>
      <c r="CB1343" s="80" t="str">
        <f>IF(AND(BE1343=1,D1343="Malcolm",E1343&amp;""&lt;&gt;""),IF(COUNTIFS($D$5:D1342,"Malcolm",$E$5:E1342,E1343,$BE$5:BE1342,1)=0,MAX($CB$5:CB1342)+1,""),"")</f>
        <v/>
      </c>
      <c r="CC1343" s="80" t="str">
        <f>IF(AND(BD1343=1,D1343="proMX",E1343&amp;""&lt;&gt;""),IF(COUNTIFS($D$5:D1342,"proMX",$E$5:E1342,E1343,$BD$5:BD1342,1)=0,MAX($CC$5:CC1342)+1,""),"")</f>
        <v/>
      </c>
      <c r="CD1343" s="80" t="str">
        <f>IF(AND(BE1343=1,D1343="Malcolm",F1343&amp;""&lt;&gt;""),IF(COUNTIFS($D$5:D1342,"Malcolm",$F$5:F1342,F1343,$BE$5:BE1342,1)=0,MAX($CD$5:CD1342)+1,""),"")</f>
        <v/>
      </c>
      <c r="CE1343" s="80" t="str">
        <f>IF(AND(BD1343=1,D1343="proMX",F1343&amp;""&lt;&gt;""),IF(COUNTIFS($D$5:D1342,"proMX",$F$5:F1342,F1343,$BD$5:BD1342,1)=0,MAX($CE$5:CE1342)+1,""),"")</f>
        <v/>
      </c>
      <c r="CF1343" s="80" t="str">
        <f>IF(AND(D1343="proMX",BD1343=1),IF(OR(BF1343="Draft",BF1343="Submitted",BF1343="Returned",BF1343="Recall Requested"),MAX($CF$5:CF1342)+1,""),"")</f>
        <v/>
      </c>
      <c r="CG1343" s="80">
        <f>IF(BD1343=0,0,IF(D1343="Malcolm",1,MATCH(BF1343,{"Draft","Submitted","Approved","Returned","Recall Requested","Cancelled"},0)+1))</f>
        <v>0</v>
      </c>
      <c r="CH1343" s="80">
        <f>IF(AND(BF1343="Submitted",ISNUMBER(V1343)),IF(V1343&gt;CFG_MAXD,1,0),0)</f>
        <v>0</v>
      </c>
    </row>
    <row r="1344">
      <c r="A1344" s="71" t="str">
        <f>IF(Y1344=1,ROW()-5,"")</f>
        <v/>
      </c>
      <c r="B1344" s="72" t="n"/>
      <c r="C1344" s="71" t="str">
        <f>IF(ISNUMBER(B1344),CHOOSE(WEEKDAY(B1344,2),"Lun","Mar","Mié","Jue","Vie","Sáb","Dom"),"")</f>
        <v/>
      </c>
      <c r="D1344" s="73" t="n"/>
      <c r="E1344" s="74" t="n"/>
      <c r="F1344" s="74" t="n"/>
      <c r="G1344" s="74" t="n"/>
      <c r="H1344" s="75" t="n"/>
      <c r="I1344" s="75" t="n"/>
      <c r="J1344" s="76" t="n"/>
      <c r="K1344" s="77" t="str">
        <f>IF(AB1344=1,ROUND(AG1344/60,4),"")</f>
        <v/>
      </c>
      <c r="L1344" s="77" t="str">
        <f>IF(BD1344=1,ROUND(AP1344/60,4),"")</f>
        <v/>
      </c>
      <c r="M1344" s="77" t="str">
        <f>IF(BD1344=1,ROUND(AQ1344/60,4),"")</f>
        <v/>
      </c>
      <c r="N1344" s="71" t="str">
        <f>IF(AND(D1344="proMX",AB1344=1),ROUND(AG1344/CFG_BLK,2),"")</f>
        <v/>
      </c>
      <c r="O1344" s="77" t="str">
        <f>IF(D1344="proMX",IF(BD1344=1,ROUND(AG1344/60,4),0),"")</f>
        <v/>
      </c>
      <c r="P1344" s="78" t="str">
        <f>IF(Y1344=0,"",IF(BD1344=1,"OK",IF(D1344="proMX","Revisar bloques: ","Revisar: ")&amp;BC1344))</f>
        <v/>
      </c>
      <c r="Q1344" s="78" t="str">
        <f>IF(NOT(ISNUMBER(B1344)),"",IF(COUNTIFS(FER_F,INT(B1344))&gt;0,"Feriado"&amp;IF(AH1344=1," (laborable)"," (no laborable)"),IF(AH1344=1,"Laborable",IF(WEEKDAY(B1344,2)&gt;5,"Fin de semana","No laborable"))))</f>
        <v/>
      </c>
      <c r="R1344" s="73" t="n"/>
      <c r="S1344" s="72" t="n"/>
      <c r="T1344" s="72" t="n"/>
      <c r="U1344" s="74" t="n"/>
      <c r="V1344" s="79" t="str">
        <f>IF(AND(D1344="proMX",OR(R1344="Submitted",R1344="Recall Requested"),ISNUMBER(S1344)),CFG_TODAY-INT(S1344),"")</f>
        <v/>
      </c>
      <c r="W1344" s="78" t="str">
        <f>IF(BD1344=0,"",IF(BA1344&gt;0,"⚠ Se superpone con un registro de la otra empresa",IF(D1344="Malcolm",IF(COUNTA(R1344,S1344,T1344)&gt;0,"Estado/fechas proMX se ignoran en Malcolm",""),IF(BF1344="Cancelled","Cancelado: excluido de totales",IF(R1344="","Sin estado: se trata como Draft",IF(BF1344="Submitted",IF(ISNUMBER(V1344),IF(V1344&gt;CFG_MAXD,"⚠ "&amp;V1344&amp;" días en Submitted (máx. "&amp;CFG_MAXD&amp;")",""),"Falta fecha de envío"),IF(BF1344="Returned","⚠ Devuelto: corregir y reenviar",IF(BF1344="Recall Requested","Retirada solicitada: pendiente",IF(AND(BF1344="Approved",NOT(ISNUMBER(T1344))),"Falta fecha de aprobación",IF(AND(ISNUMBER(S1344),ISNUMBER(T1344),T1344&lt;S1344),"Aprobación anterior al envío","")))))))))</f>
        <v/>
      </c>
      <c r="Y1344" s="80">
        <f>IF(COUNTA(B1344,D1344,E1344,F1344,G1344,H1344,I1344,J1344,R1344,S1344,T1344)&gt;0,1,0)</f>
        <v>0</v>
      </c>
      <c r="Z1344" s="80" t="str">
        <f>IF(AND(ISNUMBER(H1344),H1344&gt;=0,H1344&lt;1),ROUND(H1344*1440,0),"")</f>
        <v/>
      </c>
      <c r="AA1344" s="80" t="str">
        <f>IF(AND(ISNUMBER(I1344),I1344&gt;=0,I1344&lt;1),ROUND(I1344*1440,0),"")</f>
        <v/>
      </c>
      <c r="AB1344" s="80">
        <f>IF(AND(ISNUMBER(B1344),D1344&lt;&gt;"",ISNUMBER(Z1344),ISNUMBER(AA1344)),IF(Z1344=AA1344,0,1),0)</f>
        <v>0</v>
      </c>
      <c r="AC1344" s="80">
        <f>IF(AB1344=1,IF(AA1344&lt;Z1344,1,0),0)</f>
        <v>0</v>
      </c>
      <c r="AD1344" s="80">
        <f>IF(AB1344=1,IF(AC1344=1,1440-Z1344+AA1344,AA1344-Z1344),0)</f>
        <v>0</v>
      </c>
      <c r="AE1344" s="80">
        <f>IF(J1344="",0,IF(ISNUMBER(J1344),J1344,-1))</f>
        <v>0</v>
      </c>
      <c r="AF1344" s="80">
        <f>MIN(MAX(0,AE1344),AD1344)</f>
        <v>0</v>
      </c>
      <c r="AG1344" s="80">
        <f>MAX(0,AD1344-MAX(0,AE1344))</f>
        <v>0</v>
      </c>
      <c r="AH1344" s="80">
        <f>IF(ISNUMBER(B1344),IF(AND(INDEX(CFG_WDAYS,WEEKDAY(INT(B1344),2))="Sí",IF(D1344="proMX",COUNTIFS(FER_F,INT(B1344),FER_NLP,"Sí"),COUNTIFS(FER_F,INT(B1344),FER_NLM,"Sí"))=0),1,0),0)</f>
        <v>0</v>
      </c>
      <c r="AI1344" s="80">
        <f>IF(AC1344=1,IF(AND(INDEX(CFG_WDAYS,WEEKDAY(INT(B1344)+1,2))="Sí",IF(D1344="proMX",COUNTIFS(FER_F,INT(B1344)+1,FER_NLP,"Sí"),COUNTIFS(FER_F,INT(B1344)+1,FER_NLM,"Sí"))=0),1,0),0)</f>
        <v>0</v>
      </c>
      <c r="AJ1344" s="80">
        <f>IF(AC1344=1,1440-Z1344,AD1344)</f>
        <v>0</v>
      </c>
      <c r="AK1344" s="80">
        <f>IF(AND(AB1344=1,AH1344=1),MAX(0,MIN(IF(AC1344=1,1440,AA1344),CFG_WEM)-MAX(Z1344,CFG_WSM)),0)</f>
        <v>0</v>
      </c>
      <c r="AL1344" s="80">
        <f>IF(AND(AC1344=1,AI1344=1),MAX(0,MIN(AA1344,CFG_WEM)-CFG_WSM),0)</f>
        <v>0</v>
      </c>
      <c r="AM1344" s="80">
        <f>AK1344+AL1344</f>
        <v>0</v>
      </c>
      <c r="AN1344" s="80">
        <f>IF(CFG_BRK="Proporcional",IF(AD1344=0,0,AF1344*AM1344/AD1344),IF(CFG_BRK="Extras primero",MIN(AM1344,MAX(0,AF1344-(AD1344-AM1344))),MIN(AF1344,AM1344)))</f>
        <v>0</v>
      </c>
      <c r="AO1344" s="80">
        <f>AF1344-AN1344</f>
        <v>0</v>
      </c>
      <c r="AP1344" s="80">
        <f>AM1344-AN1344</f>
        <v>0</v>
      </c>
      <c r="AQ1344" s="80">
        <f>AD1344-AM1344-AO1344</f>
        <v>0</v>
      </c>
      <c r="AR1344" s="80">
        <f>IF(AM1344=0,0,AK1344-AN1344*AK1344/AM1344)</f>
        <v>0</v>
      </c>
      <c r="AS1344" s="80">
        <f>IF(AD1344-AM1344=0,0,(AJ1344-AK1344)-AO1344*(AJ1344-AK1344)/(AD1344-AM1344))</f>
        <v>0</v>
      </c>
      <c r="AT1344" s="80" t="str">
        <f>IF(AC1344=1,INT(B1344)+1,"")</f>
        <v/>
      </c>
      <c r="AU1344" s="80">
        <f>IF(AND(D1344="proMX",R1344="Cancelled"),0,1)</f>
        <v>1</v>
      </c>
      <c r="AV1344" s="80">
        <f>IF(AND(AB1344=1,AU1344=1),IF(COUNTIFS($D$5:D1343,D1344,$B$5:B1343,B1344,$Z$5:Z1343,Z1344,$AA$5:AA1343,AA1344,$F$5:F1343,F1344&amp;"",$AU$5:AU1343,1)&gt;0,1,0),0)</f>
        <v>0</v>
      </c>
      <c r="AW1344" s="80" t="str">
        <f>IF(AB1344=1,INT(B1344)*1440+Z1344,"")</f>
        <v/>
      </c>
      <c r="AX1344" s="80" t="str">
        <f>IF(AB1344=1,AW1344+AD1344,"")</f>
        <v/>
      </c>
      <c r="AY1344" s="80">
        <f>IF(AND(AB1344=1,AV1344=0,AU1344=1),1,0)</f>
        <v>0</v>
      </c>
      <c r="AZ1344" s="80">
        <f>IF(AY1344=1,COUNTIFS(R_Emp,D1344,R_SAbs,"&lt;"&amp;AX1344,R_EAbs,"&gt;"&amp;AW1344,R_OKey,1)-1,0)</f>
        <v>0</v>
      </c>
      <c r="BA1344" s="80">
        <f>IF(AY1344=1,COUNTIFS(R_Emp,"&lt;&gt;"&amp;D1344,R_SAbs,"&lt;"&amp;AX1344,R_EAbs,"&gt;"&amp;AW1344,R_OKey,1),0)</f>
        <v>0</v>
      </c>
      <c r="BB1344" s="80">
        <f>IF(AND(AB1344=1,D1344="proMX"),IF(AND(MOD(Z1344,CFG_BLK)=0,MOD(AA1344,CFG_BLK)=0,MOD(AG1344,CFG_BLK)=0,AG1344&gt;0),1,0),1)</f>
        <v>1</v>
      </c>
      <c r="BC1344" s="80" t="str">
        <f>IF(Y1344=0,"",IF(NOT(ISNUMBER(B1344)),"Falta fecha o fecha inválida",IF(D1344="","Falta empresa",IF(AND(D1344&lt;&gt;"Malcolm",D1344&lt;&gt;"proMX"),"Empresa inválida",IF(OR(INT(B1344)&lt;CFG_PSTART,INT(B1344)&gt;CFG_PEND),"Fecha fuera del período",IF(OR(NOT(ISNUMBER(Z1344)),NOT(ISNUMBER(AA1344))),"Falta hora inicio/fin o formato inválido",IF(AB1344=0,"Hora inicio = hora fin",IF(AE1344&lt;0,"Descanso inválido",IF(AE1344&gt;=AD1344,"Descanso ≥ duración",IF(AV1344=1,"Registro duplicado",IF(AZ1344&gt;0,"Se superpone con otro registro "&amp;D1344,IF(BB1344=0,"inicio, fin y duración neta deben ser múltiplos de "&amp;CFG_BLK&amp;" min",""))))))))))))</f>
        <v/>
      </c>
      <c r="BD1344" s="80">
        <f>IF(AND(Y1344=1,BC1344=""),1,0)</f>
        <v>0</v>
      </c>
      <c r="BE1344" s="80">
        <f>IF(AND(BD1344=1,AU1344=1),1,0)</f>
        <v>0</v>
      </c>
      <c r="BF1344" s="80" t="str">
        <f>IF(AND(D1344="proMX",BD1344=1),IF(R1344="","Draft",R1344),"")</f>
        <v/>
      </c>
      <c r="BG1344" s="80">
        <f>IF(BD1344=1,ROUND(AG1344/60,6),0)</f>
        <v>0</v>
      </c>
      <c r="BH1344" s="80">
        <f>IF(BE1344=1,ROUND(AG1344/60,6),0)</f>
        <v>0</v>
      </c>
      <c r="BI1344" s="80">
        <f>IF(BE1344=1,ROUND(AP1344/60,6),0)</f>
        <v>0</v>
      </c>
      <c r="BJ1344" s="80">
        <f>IF(BE1344=1,ROUND(AQ1344/60,6),0)</f>
        <v>0</v>
      </c>
      <c r="BK1344" s="80">
        <f>IF(BE1344=1,ROUND((AR1344+AS1344)/60,6),0)</f>
        <v>0</v>
      </c>
      <c r="BL1344" s="80">
        <f>ROUND(BH1344-BK1344,6)</f>
        <v>0</v>
      </c>
      <c r="BM1344" s="80">
        <f>IF(BE1344=1,ROUND(AR1344/60,6),0)</f>
        <v>0</v>
      </c>
      <c r="BN1344" s="80">
        <f>ROUND(BI1344-BM1344,6)</f>
        <v>0</v>
      </c>
      <c r="BO1344" s="80">
        <f>IF(BE1344=1,ROUND(AS1344/60,6),0)</f>
        <v>0</v>
      </c>
      <c r="BP1344" s="80">
        <f>ROUND(BJ1344-BO1344,6)</f>
        <v>0</v>
      </c>
      <c r="BQ1344" s="80">
        <f>IF(BE1344=1,AW1344,0)</f>
        <v>0</v>
      </c>
      <c r="BR1344" s="80">
        <f>IF(BE1344=1,AX1344,0)</f>
        <v>0</v>
      </c>
      <c r="BS1344" s="80">
        <f>IF(AND(BE1344=1,D1344="Malcolm",BA1344&gt;0),MIN(BH1344,SUMPRODUCT((R_Emp="proMX")*(R_EN&gt;0)*((R_EN-(R_EN&gt;BR1344)*(R_EN-BR1344))&gt;(R_SN+(R_SN&lt;BQ1344)*(BQ1344-R_SN)))*((R_EN-(R_EN&gt;BR1344)*(R_EN-BR1344))-(R_SN+(R_SN&lt;BQ1344)*(BQ1344-R_SN))))/60),0)</f>
        <v>0</v>
      </c>
      <c r="BT1344" s="80">
        <f>IF(AND(BE1344=1,D1344="proMX"),ROUND(BI1344*CFG_RATE+BJ1344*CFG_OTRATE,6),0)</f>
        <v>0</v>
      </c>
      <c r="BU1344" s="80">
        <f>IF(AND(BD1344=1,D1344="proMX"),ROUND(AG1344/CFG_BLK,6),0)</f>
        <v>0</v>
      </c>
      <c r="BV1344" s="80" t="str">
        <f>IF(BF1344="Approved",IF(ISNUMBER(T1344),INT(T1344),INT(B1344)),"")</f>
        <v/>
      </c>
      <c r="BW1344" s="80">
        <f>IF(ISNUMBER(B1344),IF(DB_MON="Todos",1,IF(AND(INT(B1344)&gt;=DB_MS,INT(B1344)&lt;=DB_ME),1,0)),0)</f>
        <v>0</v>
      </c>
      <c r="BX1344" s="80">
        <f>IF(DB_PROJ="Todos",1,IF(E1344&amp;""=DB_PROJ&amp;"",1,0))</f>
        <v>1</v>
      </c>
      <c r="BY1344" s="80">
        <f>BW1344*BX1344</f>
        <v>0</v>
      </c>
      <c r="BZ1344" s="80" t="str">
        <f>IF(Y1344=1,F1344&amp;IF(AND(F1344&amp;""&lt;&gt;"",E1344&amp;""&lt;&gt;"")," · ","")&amp;E1344,"")</f>
        <v/>
      </c>
      <c r="CA1344" s="80" t="str">
        <f>IF(AND(BD1344=1,E1344&amp;""&lt;&gt;""),IF(COUNTIFS($E$5:E1343,E1344,$BD$5:BD1343,1)=0,MAX($CA$5:CA1343)+1,""),"")</f>
        <v/>
      </c>
      <c r="CB1344" s="80" t="str">
        <f>IF(AND(BE1344=1,D1344="Malcolm",E1344&amp;""&lt;&gt;""),IF(COUNTIFS($D$5:D1343,"Malcolm",$E$5:E1343,E1344,$BE$5:BE1343,1)=0,MAX($CB$5:CB1343)+1,""),"")</f>
        <v/>
      </c>
      <c r="CC1344" s="80" t="str">
        <f>IF(AND(BD1344=1,D1344="proMX",E1344&amp;""&lt;&gt;""),IF(COUNTIFS($D$5:D1343,"proMX",$E$5:E1343,E1344,$BD$5:BD1343,1)=0,MAX($CC$5:CC1343)+1,""),"")</f>
        <v/>
      </c>
      <c r="CD1344" s="80" t="str">
        <f>IF(AND(BE1344=1,D1344="Malcolm",F1344&amp;""&lt;&gt;""),IF(COUNTIFS($D$5:D1343,"Malcolm",$F$5:F1343,F1344,$BE$5:BE1343,1)=0,MAX($CD$5:CD1343)+1,""),"")</f>
        <v/>
      </c>
      <c r="CE1344" s="80" t="str">
        <f>IF(AND(BD1344=1,D1344="proMX",F1344&amp;""&lt;&gt;""),IF(COUNTIFS($D$5:D1343,"proMX",$F$5:F1343,F1344,$BD$5:BD1343,1)=0,MAX($CE$5:CE1343)+1,""),"")</f>
        <v/>
      </c>
      <c r="CF1344" s="80" t="str">
        <f>IF(AND(D1344="proMX",BD1344=1),IF(OR(BF1344="Draft",BF1344="Submitted",BF1344="Returned",BF1344="Recall Requested"),MAX($CF$5:CF1343)+1,""),"")</f>
        <v/>
      </c>
      <c r="CG1344" s="80">
        <f>IF(BD1344=0,0,IF(D1344="Malcolm",1,MATCH(BF1344,{"Draft","Submitted","Approved","Returned","Recall Requested","Cancelled"},0)+1))</f>
        <v>0</v>
      </c>
      <c r="CH1344" s="80">
        <f>IF(AND(BF1344="Submitted",ISNUMBER(V1344)),IF(V1344&gt;CFG_MAXD,1,0),0)</f>
        <v>0</v>
      </c>
    </row>
    <row r="1345">
      <c r="A1345" s="71" t="str">
        <f>IF(Y1345=1,ROW()-5,"")</f>
        <v/>
      </c>
      <c r="B1345" s="72" t="n"/>
      <c r="C1345" s="71" t="str">
        <f>IF(ISNUMBER(B1345),CHOOSE(WEEKDAY(B1345,2),"Lun","Mar","Mié","Jue","Vie","Sáb","Dom"),"")</f>
        <v/>
      </c>
      <c r="D1345" s="73" t="n"/>
      <c r="E1345" s="74" t="n"/>
      <c r="F1345" s="74" t="n"/>
      <c r="G1345" s="74" t="n"/>
      <c r="H1345" s="75" t="n"/>
      <c r="I1345" s="75" t="n"/>
      <c r="J1345" s="76" t="n"/>
      <c r="K1345" s="77" t="str">
        <f>IF(AB1345=1,ROUND(AG1345/60,4),"")</f>
        <v/>
      </c>
      <c r="L1345" s="77" t="str">
        <f>IF(BD1345=1,ROUND(AP1345/60,4),"")</f>
        <v/>
      </c>
      <c r="M1345" s="77" t="str">
        <f>IF(BD1345=1,ROUND(AQ1345/60,4),"")</f>
        <v/>
      </c>
      <c r="N1345" s="71" t="str">
        <f>IF(AND(D1345="proMX",AB1345=1),ROUND(AG1345/CFG_BLK,2),"")</f>
        <v/>
      </c>
      <c r="O1345" s="77" t="str">
        <f>IF(D1345="proMX",IF(BD1345=1,ROUND(AG1345/60,4),0),"")</f>
        <v/>
      </c>
      <c r="P1345" s="78" t="str">
        <f>IF(Y1345=0,"",IF(BD1345=1,"OK",IF(D1345="proMX","Revisar bloques: ","Revisar: ")&amp;BC1345))</f>
        <v/>
      </c>
      <c r="Q1345" s="78" t="str">
        <f>IF(NOT(ISNUMBER(B1345)),"",IF(COUNTIFS(FER_F,INT(B1345))&gt;0,"Feriado"&amp;IF(AH1345=1," (laborable)"," (no laborable)"),IF(AH1345=1,"Laborable",IF(WEEKDAY(B1345,2)&gt;5,"Fin de semana","No laborable"))))</f>
        <v/>
      </c>
      <c r="R1345" s="73" t="n"/>
      <c r="S1345" s="72" t="n"/>
      <c r="T1345" s="72" t="n"/>
      <c r="U1345" s="74" t="n"/>
      <c r="V1345" s="79" t="str">
        <f>IF(AND(D1345="proMX",OR(R1345="Submitted",R1345="Recall Requested"),ISNUMBER(S1345)),CFG_TODAY-INT(S1345),"")</f>
        <v/>
      </c>
      <c r="W1345" s="78" t="str">
        <f>IF(BD1345=0,"",IF(BA1345&gt;0,"⚠ Se superpone con un registro de la otra empresa",IF(D1345="Malcolm",IF(COUNTA(R1345,S1345,T1345)&gt;0,"Estado/fechas proMX se ignoran en Malcolm",""),IF(BF1345="Cancelled","Cancelado: excluido de totales",IF(R1345="","Sin estado: se trata como Draft",IF(BF1345="Submitted",IF(ISNUMBER(V1345),IF(V1345&gt;CFG_MAXD,"⚠ "&amp;V1345&amp;" días en Submitted (máx. "&amp;CFG_MAXD&amp;")",""),"Falta fecha de envío"),IF(BF1345="Returned","⚠ Devuelto: corregir y reenviar",IF(BF1345="Recall Requested","Retirada solicitada: pendiente",IF(AND(BF1345="Approved",NOT(ISNUMBER(T1345))),"Falta fecha de aprobación",IF(AND(ISNUMBER(S1345),ISNUMBER(T1345),T1345&lt;S1345),"Aprobación anterior al envío","")))))))))</f>
        <v/>
      </c>
      <c r="Y1345" s="80">
        <f>IF(COUNTA(B1345,D1345,E1345,F1345,G1345,H1345,I1345,J1345,R1345,S1345,T1345)&gt;0,1,0)</f>
        <v>0</v>
      </c>
      <c r="Z1345" s="80" t="str">
        <f>IF(AND(ISNUMBER(H1345),H1345&gt;=0,H1345&lt;1),ROUND(H1345*1440,0),"")</f>
        <v/>
      </c>
      <c r="AA1345" s="80" t="str">
        <f>IF(AND(ISNUMBER(I1345),I1345&gt;=0,I1345&lt;1),ROUND(I1345*1440,0),"")</f>
        <v/>
      </c>
      <c r="AB1345" s="80">
        <f>IF(AND(ISNUMBER(B1345),D1345&lt;&gt;"",ISNUMBER(Z1345),ISNUMBER(AA1345)),IF(Z1345=AA1345,0,1),0)</f>
        <v>0</v>
      </c>
      <c r="AC1345" s="80">
        <f>IF(AB1345=1,IF(AA1345&lt;Z1345,1,0),0)</f>
        <v>0</v>
      </c>
      <c r="AD1345" s="80">
        <f>IF(AB1345=1,IF(AC1345=1,1440-Z1345+AA1345,AA1345-Z1345),0)</f>
        <v>0</v>
      </c>
      <c r="AE1345" s="80">
        <f>IF(J1345="",0,IF(ISNUMBER(J1345),J1345,-1))</f>
        <v>0</v>
      </c>
      <c r="AF1345" s="80">
        <f>MIN(MAX(0,AE1345),AD1345)</f>
        <v>0</v>
      </c>
      <c r="AG1345" s="80">
        <f>MAX(0,AD1345-MAX(0,AE1345))</f>
        <v>0</v>
      </c>
      <c r="AH1345" s="80">
        <f>IF(ISNUMBER(B1345),IF(AND(INDEX(CFG_WDAYS,WEEKDAY(INT(B1345),2))="Sí",IF(D1345="proMX",COUNTIFS(FER_F,INT(B1345),FER_NLP,"Sí"),COUNTIFS(FER_F,INT(B1345),FER_NLM,"Sí"))=0),1,0),0)</f>
        <v>0</v>
      </c>
      <c r="AI1345" s="80">
        <f>IF(AC1345=1,IF(AND(INDEX(CFG_WDAYS,WEEKDAY(INT(B1345)+1,2))="Sí",IF(D1345="proMX",COUNTIFS(FER_F,INT(B1345)+1,FER_NLP,"Sí"),COUNTIFS(FER_F,INT(B1345)+1,FER_NLM,"Sí"))=0),1,0),0)</f>
        <v>0</v>
      </c>
      <c r="AJ1345" s="80">
        <f>IF(AC1345=1,1440-Z1345,AD1345)</f>
        <v>0</v>
      </c>
      <c r="AK1345" s="80">
        <f>IF(AND(AB1345=1,AH1345=1),MAX(0,MIN(IF(AC1345=1,1440,AA1345),CFG_WEM)-MAX(Z1345,CFG_WSM)),0)</f>
        <v>0</v>
      </c>
      <c r="AL1345" s="80">
        <f>IF(AND(AC1345=1,AI1345=1),MAX(0,MIN(AA1345,CFG_WEM)-CFG_WSM),0)</f>
        <v>0</v>
      </c>
      <c r="AM1345" s="80">
        <f>AK1345+AL1345</f>
        <v>0</v>
      </c>
      <c r="AN1345" s="80">
        <f>IF(CFG_BRK="Proporcional",IF(AD1345=0,0,AF1345*AM1345/AD1345),IF(CFG_BRK="Extras primero",MIN(AM1345,MAX(0,AF1345-(AD1345-AM1345))),MIN(AF1345,AM1345)))</f>
        <v>0</v>
      </c>
      <c r="AO1345" s="80">
        <f>AF1345-AN1345</f>
        <v>0</v>
      </c>
      <c r="AP1345" s="80">
        <f>AM1345-AN1345</f>
        <v>0</v>
      </c>
      <c r="AQ1345" s="80">
        <f>AD1345-AM1345-AO1345</f>
        <v>0</v>
      </c>
      <c r="AR1345" s="80">
        <f>IF(AM1345=0,0,AK1345-AN1345*AK1345/AM1345)</f>
        <v>0</v>
      </c>
      <c r="AS1345" s="80">
        <f>IF(AD1345-AM1345=0,0,(AJ1345-AK1345)-AO1345*(AJ1345-AK1345)/(AD1345-AM1345))</f>
        <v>0</v>
      </c>
      <c r="AT1345" s="80" t="str">
        <f>IF(AC1345=1,INT(B1345)+1,"")</f>
        <v/>
      </c>
      <c r="AU1345" s="80">
        <f>IF(AND(D1345="proMX",R1345="Cancelled"),0,1)</f>
        <v>1</v>
      </c>
      <c r="AV1345" s="80">
        <f>IF(AND(AB1345=1,AU1345=1),IF(COUNTIFS($D$5:D1344,D1345,$B$5:B1344,B1345,$Z$5:Z1344,Z1345,$AA$5:AA1344,AA1345,$F$5:F1344,F1345&amp;"",$AU$5:AU1344,1)&gt;0,1,0),0)</f>
        <v>0</v>
      </c>
      <c r="AW1345" s="80" t="str">
        <f>IF(AB1345=1,INT(B1345)*1440+Z1345,"")</f>
        <v/>
      </c>
      <c r="AX1345" s="80" t="str">
        <f>IF(AB1345=1,AW1345+AD1345,"")</f>
        <v/>
      </c>
      <c r="AY1345" s="80">
        <f>IF(AND(AB1345=1,AV1345=0,AU1345=1),1,0)</f>
        <v>0</v>
      </c>
      <c r="AZ1345" s="80">
        <f>IF(AY1345=1,COUNTIFS(R_Emp,D1345,R_SAbs,"&lt;"&amp;AX1345,R_EAbs,"&gt;"&amp;AW1345,R_OKey,1)-1,0)</f>
        <v>0</v>
      </c>
      <c r="BA1345" s="80">
        <f>IF(AY1345=1,COUNTIFS(R_Emp,"&lt;&gt;"&amp;D1345,R_SAbs,"&lt;"&amp;AX1345,R_EAbs,"&gt;"&amp;AW1345,R_OKey,1),0)</f>
        <v>0</v>
      </c>
      <c r="BB1345" s="80">
        <f>IF(AND(AB1345=1,D1345="proMX"),IF(AND(MOD(Z1345,CFG_BLK)=0,MOD(AA1345,CFG_BLK)=0,MOD(AG1345,CFG_BLK)=0,AG1345&gt;0),1,0),1)</f>
        <v>1</v>
      </c>
      <c r="BC1345" s="80" t="str">
        <f>IF(Y1345=0,"",IF(NOT(ISNUMBER(B1345)),"Falta fecha o fecha inválida",IF(D1345="","Falta empresa",IF(AND(D1345&lt;&gt;"Malcolm",D1345&lt;&gt;"proMX"),"Empresa inválida",IF(OR(INT(B1345)&lt;CFG_PSTART,INT(B1345)&gt;CFG_PEND),"Fecha fuera del período",IF(OR(NOT(ISNUMBER(Z1345)),NOT(ISNUMBER(AA1345))),"Falta hora inicio/fin o formato inválido",IF(AB1345=0,"Hora inicio = hora fin",IF(AE1345&lt;0,"Descanso inválido",IF(AE1345&gt;=AD1345,"Descanso ≥ duración",IF(AV1345=1,"Registro duplicado",IF(AZ1345&gt;0,"Se superpone con otro registro "&amp;D1345,IF(BB1345=0,"inicio, fin y duración neta deben ser múltiplos de "&amp;CFG_BLK&amp;" min",""))))))))))))</f>
        <v/>
      </c>
      <c r="BD1345" s="80">
        <f>IF(AND(Y1345=1,BC1345=""),1,0)</f>
        <v>0</v>
      </c>
      <c r="BE1345" s="80">
        <f>IF(AND(BD1345=1,AU1345=1),1,0)</f>
        <v>0</v>
      </c>
      <c r="BF1345" s="80" t="str">
        <f>IF(AND(D1345="proMX",BD1345=1),IF(R1345="","Draft",R1345),"")</f>
        <v/>
      </c>
      <c r="BG1345" s="80">
        <f>IF(BD1345=1,ROUND(AG1345/60,6),0)</f>
        <v>0</v>
      </c>
      <c r="BH1345" s="80">
        <f>IF(BE1345=1,ROUND(AG1345/60,6),0)</f>
        <v>0</v>
      </c>
      <c r="BI1345" s="80">
        <f>IF(BE1345=1,ROUND(AP1345/60,6),0)</f>
        <v>0</v>
      </c>
      <c r="BJ1345" s="80">
        <f>IF(BE1345=1,ROUND(AQ1345/60,6),0)</f>
        <v>0</v>
      </c>
      <c r="BK1345" s="80">
        <f>IF(BE1345=1,ROUND((AR1345+AS1345)/60,6),0)</f>
        <v>0</v>
      </c>
      <c r="BL1345" s="80">
        <f>ROUND(BH1345-BK1345,6)</f>
        <v>0</v>
      </c>
      <c r="BM1345" s="80">
        <f>IF(BE1345=1,ROUND(AR1345/60,6),0)</f>
        <v>0</v>
      </c>
      <c r="BN1345" s="80">
        <f>ROUND(BI1345-BM1345,6)</f>
        <v>0</v>
      </c>
      <c r="BO1345" s="80">
        <f>IF(BE1345=1,ROUND(AS1345/60,6),0)</f>
        <v>0</v>
      </c>
      <c r="BP1345" s="80">
        <f>ROUND(BJ1345-BO1345,6)</f>
        <v>0</v>
      </c>
      <c r="BQ1345" s="80">
        <f>IF(BE1345=1,AW1345,0)</f>
        <v>0</v>
      </c>
      <c r="BR1345" s="80">
        <f>IF(BE1345=1,AX1345,0)</f>
        <v>0</v>
      </c>
      <c r="BS1345" s="80">
        <f>IF(AND(BE1345=1,D1345="Malcolm",BA1345&gt;0),MIN(BH1345,SUMPRODUCT((R_Emp="proMX")*(R_EN&gt;0)*((R_EN-(R_EN&gt;BR1345)*(R_EN-BR1345))&gt;(R_SN+(R_SN&lt;BQ1345)*(BQ1345-R_SN)))*((R_EN-(R_EN&gt;BR1345)*(R_EN-BR1345))-(R_SN+(R_SN&lt;BQ1345)*(BQ1345-R_SN))))/60),0)</f>
        <v>0</v>
      </c>
      <c r="BT1345" s="80">
        <f>IF(AND(BE1345=1,D1345="proMX"),ROUND(BI1345*CFG_RATE+BJ1345*CFG_OTRATE,6),0)</f>
        <v>0</v>
      </c>
      <c r="BU1345" s="80">
        <f>IF(AND(BD1345=1,D1345="proMX"),ROUND(AG1345/CFG_BLK,6),0)</f>
        <v>0</v>
      </c>
      <c r="BV1345" s="80" t="str">
        <f>IF(BF1345="Approved",IF(ISNUMBER(T1345),INT(T1345),INT(B1345)),"")</f>
        <v/>
      </c>
      <c r="BW1345" s="80">
        <f>IF(ISNUMBER(B1345),IF(DB_MON="Todos",1,IF(AND(INT(B1345)&gt;=DB_MS,INT(B1345)&lt;=DB_ME),1,0)),0)</f>
        <v>0</v>
      </c>
      <c r="BX1345" s="80">
        <f>IF(DB_PROJ="Todos",1,IF(E1345&amp;""=DB_PROJ&amp;"",1,0))</f>
        <v>1</v>
      </c>
      <c r="BY1345" s="80">
        <f>BW1345*BX1345</f>
        <v>0</v>
      </c>
      <c r="BZ1345" s="80" t="str">
        <f>IF(Y1345=1,F1345&amp;IF(AND(F1345&amp;""&lt;&gt;"",E1345&amp;""&lt;&gt;"")," · ","")&amp;E1345,"")</f>
        <v/>
      </c>
      <c r="CA1345" s="80" t="str">
        <f>IF(AND(BD1345=1,E1345&amp;""&lt;&gt;""),IF(COUNTIFS($E$5:E1344,E1345,$BD$5:BD1344,1)=0,MAX($CA$5:CA1344)+1,""),"")</f>
        <v/>
      </c>
      <c r="CB1345" s="80" t="str">
        <f>IF(AND(BE1345=1,D1345="Malcolm",E1345&amp;""&lt;&gt;""),IF(COUNTIFS($D$5:D1344,"Malcolm",$E$5:E1344,E1345,$BE$5:BE1344,1)=0,MAX($CB$5:CB1344)+1,""),"")</f>
        <v/>
      </c>
      <c r="CC1345" s="80" t="str">
        <f>IF(AND(BD1345=1,D1345="proMX",E1345&amp;""&lt;&gt;""),IF(COUNTIFS($D$5:D1344,"proMX",$E$5:E1344,E1345,$BD$5:BD1344,1)=0,MAX($CC$5:CC1344)+1,""),"")</f>
        <v/>
      </c>
      <c r="CD1345" s="80" t="str">
        <f>IF(AND(BE1345=1,D1345="Malcolm",F1345&amp;""&lt;&gt;""),IF(COUNTIFS($D$5:D1344,"Malcolm",$F$5:F1344,F1345,$BE$5:BE1344,1)=0,MAX($CD$5:CD1344)+1,""),"")</f>
        <v/>
      </c>
      <c r="CE1345" s="80" t="str">
        <f>IF(AND(BD1345=1,D1345="proMX",F1345&amp;""&lt;&gt;""),IF(COUNTIFS($D$5:D1344,"proMX",$F$5:F1344,F1345,$BD$5:BD1344,1)=0,MAX($CE$5:CE1344)+1,""),"")</f>
        <v/>
      </c>
      <c r="CF1345" s="80" t="str">
        <f>IF(AND(D1345="proMX",BD1345=1),IF(OR(BF1345="Draft",BF1345="Submitted",BF1345="Returned",BF1345="Recall Requested"),MAX($CF$5:CF1344)+1,""),"")</f>
        <v/>
      </c>
      <c r="CG1345" s="80">
        <f>IF(BD1345=0,0,IF(D1345="Malcolm",1,MATCH(BF1345,{"Draft","Submitted","Approved","Returned","Recall Requested","Cancelled"},0)+1))</f>
        <v>0</v>
      </c>
      <c r="CH1345" s="80">
        <f>IF(AND(BF1345="Submitted",ISNUMBER(V1345)),IF(V1345&gt;CFG_MAXD,1,0),0)</f>
        <v>0</v>
      </c>
    </row>
    <row r="1346">
      <c r="A1346" s="71" t="str">
        <f>IF(Y1346=1,ROW()-5,"")</f>
        <v/>
      </c>
      <c r="B1346" s="72" t="n"/>
      <c r="C1346" s="71" t="str">
        <f>IF(ISNUMBER(B1346),CHOOSE(WEEKDAY(B1346,2),"Lun","Mar","Mié","Jue","Vie","Sáb","Dom"),"")</f>
        <v/>
      </c>
      <c r="D1346" s="73" t="n"/>
      <c r="E1346" s="74" t="n"/>
      <c r="F1346" s="74" t="n"/>
      <c r="G1346" s="74" t="n"/>
      <c r="H1346" s="75" t="n"/>
      <c r="I1346" s="75" t="n"/>
      <c r="J1346" s="76" t="n"/>
      <c r="K1346" s="77" t="str">
        <f>IF(AB1346=1,ROUND(AG1346/60,4),"")</f>
        <v/>
      </c>
      <c r="L1346" s="77" t="str">
        <f>IF(BD1346=1,ROUND(AP1346/60,4),"")</f>
        <v/>
      </c>
      <c r="M1346" s="77" t="str">
        <f>IF(BD1346=1,ROUND(AQ1346/60,4),"")</f>
        <v/>
      </c>
      <c r="N1346" s="71" t="str">
        <f>IF(AND(D1346="proMX",AB1346=1),ROUND(AG1346/CFG_BLK,2),"")</f>
        <v/>
      </c>
      <c r="O1346" s="77" t="str">
        <f>IF(D1346="proMX",IF(BD1346=1,ROUND(AG1346/60,4),0),"")</f>
        <v/>
      </c>
      <c r="P1346" s="78" t="str">
        <f>IF(Y1346=0,"",IF(BD1346=1,"OK",IF(D1346="proMX","Revisar bloques: ","Revisar: ")&amp;BC1346))</f>
        <v/>
      </c>
      <c r="Q1346" s="78" t="str">
        <f>IF(NOT(ISNUMBER(B1346)),"",IF(COUNTIFS(FER_F,INT(B1346))&gt;0,"Feriado"&amp;IF(AH1346=1," (laborable)"," (no laborable)"),IF(AH1346=1,"Laborable",IF(WEEKDAY(B1346,2)&gt;5,"Fin de semana","No laborable"))))</f>
        <v/>
      </c>
      <c r="R1346" s="73" t="n"/>
      <c r="S1346" s="72" t="n"/>
      <c r="T1346" s="72" t="n"/>
      <c r="U1346" s="74" t="n"/>
      <c r="V1346" s="79" t="str">
        <f>IF(AND(D1346="proMX",OR(R1346="Submitted",R1346="Recall Requested"),ISNUMBER(S1346)),CFG_TODAY-INT(S1346),"")</f>
        <v/>
      </c>
      <c r="W1346" s="78" t="str">
        <f>IF(BD1346=0,"",IF(BA1346&gt;0,"⚠ Se superpone con un registro de la otra empresa",IF(D1346="Malcolm",IF(COUNTA(R1346,S1346,T1346)&gt;0,"Estado/fechas proMX se ignoran en Malcolm",""),IF(BF1346="Cancelled","Cancelado: excluido de totales",IF(R1346="","Sin estado: se trata como Draft",IF(BF1346="Submitted",IF(ISNUMBER(V1346),IF(V1346&gt;CFG_MAXD,"⚠ "&amp;V1346&amp;" días en Submitted (máx. "&amp;CFG_MAXD&amp;")",""),"Falta fecha de envío"),IF(BF1346="Returned","⚠ Devuelto: corregir y reenviar",IF(BF1346="Recall Requested","Retirada solicitada: pendiente",IF(AND(BF1346="Approved",NOT(ISNUMBER(T1346))),"Falta fecha de aprobación",IF(AND(ISNUMBER(S1346),ISNUMBER(T1346),T1346&lt;S1346),"Aprobación anterior al envío","")))))))))</f>
        <v/>
      </c>
      <c r="Y1346" s="80">
        <f>IF(COUNTA(B1346,D1346,E1346,F1346,G1346,H1346,I1346,J1346,R1346,S1346,T1346)&gt;0,1,0)</f>
        <v>0</v>
      </c>
      <c r="Z1346" s="80" t="str">
        <f>IF(AND(ISNUMBER(H1346),H1346&gt;=0,H1346&lt;1),ROUND(H1346*1440,0),"")</f>
        <v/>
      </c>
      <c r="AA1346" s="80" t="str">
        <f>IF(AND(ISNUMBER(I1346),I1346&gt;=0,I1346&lt;1),ROUND(I1346*1440,0),"")</f>
        <v/>
      </c>
      <c r="AB1346" s="80">
        <f>IF(AND(ISNUMBER(B1346),D1346&lt;&gt;"",ISNUMBER(Z1346),ISNUMBER(AA1346)),IF(Z1346=AA1346,0,1),0)</f>
        <v>0</v>
      </c>
      <c r="AC1346" s="80">
        <f>IF(AB1346=1,IF(AA1346&lt;Z1346,1,0),0)</f>
        <v>0</v>
      </c>
      <c r="AD1346" s="80">
        <f>IF(AB1346=1,IF(AC1346=1,1440-Z1346+AA1346,AA1346-Z1346),0)</f>
        <v>0</v>
      </c>
      <c r="AE1346" s="80">
        <f>IF(J1346="",0,IF(ISNUMBER(J1346),J1346,-1))</f>
        <v>0</v>
      </c>
      <c r="AF1346" s="80">
        <f>MIN(MAX(0,AE1346),AD1346)</f>
        <v>0</v>
      </c>
      <c r="AG1346" s="80">
        <f>MAX(0,AD1346-MAX(0,AE1346))</f>
        <v>0</v>
      </c>
      <c r="AH1346" s="80">
        <f>IF(ISNUMBER(B1346),IF(AND(INDEX(CFG_WDAYS,WEEKDAY(INT(B1346),2))="Sí",IF(D1346="proMX",COUNTIFS(FER_F,INT(B1346),FER_NLP,"Sí"),COUNTIFS(FER_F,INT(B1346),FER_NLM,"Sí"))=0),1,0),0)</f>
        <v>0</v>
      </c>
      <c r="AI1346" s="80">
        <f>IF(AC1346=1,IF(AND(INDEX(CFG_WDAYS,WEEKDAY(INT(B1346)+1,2))="Sí",IF(D1346="proMX",COUNTIFS(FER_F,INT(B1346)+1,FER_NLP,"Sí"),COUNTIFS(FER_F,INT(B1346)+1,FER_NLM,"Sí"))=0),1,0),0)</f>
        <v>0</v>
      </c>
      <c r="AJ1346" s="80">
        <f>IF(AC1346=1,1440-Z1346,AD1346)</f>
        <v>0</v>
      </c>
      <c r="AK1346" s="80">
        <f>IF(AND(AB1346=1,AH1346=1),MAX(0,MIN(IF(AC1346=1,1440,AA1346),CFG_WEM)-MAX(Z1346,CFG_WSM)),0)</f>
        <v>0</v>
      </c>
      <c r="AL1346" s="80">
        <f>IF(AND(AC1346=1,AI1346=1),MAX(0,MIN(AA1346,CFG_WEM)-CFG_WSM),0)</f>
        <v>0</v>
      </c>
      <c r="AM1346" s="80">
        <f>AK1346+AL1346</f>
        <v>0</v>
      </c>
      <c r="AN1346" s="80">
        <f>IF(CFG_BRK="Proporcional",IF(AD1346=0,0,AF1346*AM1346/AD1346),IF(CFG_BRK="Extras primero",MIN(AM1346,MAX(0,AF1346-(AD1346-AM1346))),MIN(AF1346,AM1346)))</f>
        <v>0</v>
      </c>
      <c r="AO1346" s="80">
        <f>AF1346-AN1346</f>
        <v>0</v>
      </c>
      <c r="AP1346" s="80">
        <f>AM1346-AN1346</f>
        <v>0</v>
      </c>
      <c r="AQ1346" s="80">
        <f>AD1346-AM1346-AO1346</f>
        <v>0</v>
      </c>
      <c r="AR1346" s="80">
        <f>IF(AM1346=0,0,AK1346-AN1346*AK1346/AM1346)</f>
        <v>0</v>
      </c>
      <c r="AS1346" s="80">
        <f>IF(AD1346-AM1346=0,0,(AJ1346-AK1346)-AO1346*(AJ1346-AK1346)/(AD1346-AM1346))</f>
        <v>0</v>
      </c>
      <c r="AT1346" s="80" t="str">
        <f>IF(AC1346=1,INT(B1346)+1,"")</f>
        <v/>
      </c>
      <c r="AU1346" s="80">
        <f>IF(AND(D1346="proMX",R1346="Cancelled"),0,1)</f>
        <v>1</v>
      </c>
      <c r="AV1346" s="80">
        <f>IF(AND(AB1346=1,AU1346=1),IF(COUNTIFS($D$5:D1345,D1346,$B$5:B1345,B1346,$Z$5:Z1345,Z1346,$AA$5:AA1345,AA1346,$F$5:F1345,F1346&amp;"",$AU$5:AU1345,1)&gt;0,1,0),0)</f>
        <v>0</v>
      </c>
      <c r="AW1346" s="80" t="str">
        <f>IF(AB1346=1,INT(B1346)*1440+Z1346,"")</f>
        <v/>
      </c>
      <c r="AX1346" s="80" t="str">
        <f>IF(AB1346=1,AW1346+AD1346,"")</f>
        <v/>
      </c>
      <c r="AY1346" s="80">
        <f>IF(AND(AB1346=1,AV1346=0,AU1346=1),1,0)</f>
        <v>0</v>
      </c>
      <c r="AZ1346" s="80">
        <f>IF(AY1346=1,COUNTIFS(R_Emp,D1346,R_SAbs,"&lt;"&amp;AX1346,R_EAbs,"&gt;"&amp;AW1346,R_OKey,1)-1,0)</f>
        <v>0</v>
      </c>
      <c r="BA1346" s="80">
        <f>IF(AY1346=1,COUNTIFS(R_Emp,"&lt;&gt;"&amp;D1346,R_SAbs,"&lt;"&amp;AX1346,R_EAbs,"&gt;"&amp;AW1346,R_OKey,1),0)</f>
        <v>0</v>
      </c>
      <c r="BB1346" s="80">
        <f>IF(AND(AB1346=1,D1346="proMX"),IF(AND(MOD(Z1346,CFG_BLK)=0,MOD(AA1346,CFG_BLK)=0,MOD(AG1346,CFG_BLK)=0,AG1346&gt;0),1,0),1)</f>
        <v>1</v>
      </c>
      <c r="BC1346" s="80" t="str">
        <f>IF(Y1346=0,"",IF(NOT(ISNUMBER(B1346)),"Falta fecha o fecha inválida",IF(D1346="","Falta empresa",IF(AND(D1346&lt;&gt;"Malcolm",D1346&lt;&gt;"proMX"),"Empresa inválida",IF(OR(INT(B1346)&lt;CFG_PSTART,INT(B1346)&gt;CFG_PEND),"Fecha fuera del período",IF(OR(NOT(ISNUMBER(Z1346)),NOT(ISNUMBER(AA1346))),"Falta hora inicio/fin o formato inválido",IF(AB1346=0,"Hora inicio = hora fin",IF(AE1346&lt;0,"Descanso inválido",IF(AE1346&gt;=AD1346,"Descanso ≥ duración",IF(AV1346=1,"Registro duplicado",IF(AZ1346&gt;0,"Se superpone con otro registro "&amp;D1346,IF(BB1346=0,"inicio, fin y duración neta deben ser múltiplos de "&amp;CFG_BLK&amp;" min",""))))))))))))</f>
        <v/>
      </c>
      <c r="BD1346" s="80">
        <f>IF(AND(Y1346=1,BC1346=""),1,0)</f>
        <v>0</v>
      </c>
      <c r="BE1346" s="80">
        <f>IF(AND(BD1346=1,AU1346=1),1,0)</f>
        <v>0</v>
      </c>
      <c r="BF1346" s="80" t="str">
        <f>IF(AND(D1346="proMX",BD1346=1),IF(R1346="","Draft",R1346),"")</f>
        <v/>
      </c>
      <c r="BG1346" s="80">
        <f>IF(BD1346=1,ROUND(AG1346/60,6),0)</f>
        <v>0</v>
      </c>
      <c r="BH1346" s="80">
        <f>IF(BE1346=1,ROUND(AG1346/60,6),0)</f>
        <v>0</v>
      </c>
      <c r="BI1346" s="80">
        <f>IF(BE1346=1,ROUND(AP1346/60,6),0)</f>
        <v>0</v>
      </c>
      <c r="BJ1346" s="80">
        <f>IF(BE1346=1,ROUND(AQ1346/60,6),0)</f>
        <v>0</v>
      </c>
      <c r="BK1346" s="80">
        <f>IF(BE1346=1,ROUND((AR1346+AS1346)/60,6),0)</f>
        <v>0</v>
      </c>
      <c r="BL1346" s="80">
        <f>ROUND(BH1346-BK1346,6)</f>
        <v>0</v>
      </c>
      <c r="BM1346" s="80">
        <f>IF(BE1346=1,ROUND(AR1346/60,6),0)</f>
        <v>0</v>
      </c>
      <c r="BN1346" s="80">
        <f>ROUND(BI1346-BM1346,6)</f>
        <v>0</v>
      </c>
      <c r="BO1346" s="80">
        <f>IF(BE1346=1,ROUND(AS1346/60,6),0)</f>
        <v>0</v>
      </c>
      <c r="BP1346" s="80">
        <f>ROUND(BJ1346-BO1346,6)</f>
        <v>0</v>
      </c>
      <c r="BQ1346" s="80">
        <f>IF(BE1346=1,AW1346,0)</f>
        <v>0</v>
      </c>
      <c r="BR1346" s="80">
        <f>IF(BE1346=1,AX1346,0)</f>
        <v>0</v>
      </c>
      <c r="BS1346" s="80">
        <f>IF(AND(BE1346=1,D1346="Malcolm",BA1346&gt;0),MIN(BH1346,SUMPRODUCT((R_Emp="proMX")*(R_EN&gt;0)*((R_EN-(R_EN&gt;BR1346)*(R_EN-BR1346))&gt;(R_SN+(R_SN&lt;BQ1346)*(BQ1346-R_SN)))*((R_EN-(R_EN&gt;BR1346)*(R_EN-BR1346))-(R_SN+(R_SN&lt;BQ1346)*(BQ1346-R_SN))))/60),0)</f>
        <v>0</v>
      </c>
      <c r="BT1346" s="80">
        <f>IF(AND(BE1346=1,D1346="proMX"),ROUND(BI1346*CFG_RATE+BJ1346*CFG_OTRATE,6),0)</f>
        <v>0</v>
      </c>
      <c r="BU1346" s="80">
        <f>IF(AND(BD1346=1,D1346="proMX"),ROUND(AG1346/CFG_BLK,6),0)</f>
        <v>0</v>
      </c>
      <c r="BV1346" s="80" t="str">
        <f>IF(BF1346="Approved",IF(ISNUMBER(T1346),INT(T1346),INT(B1346)),"")</f>
        <v/>
      </c>
      <c r="BW1346" s="80">
        <f>IF(ISNUMBER(B1346),IF(DB_MON="Todos",1,IF(AND(INT(B1346)&gt;=DB_MS,INT(B1346)&lt;=DB_ME),1,0)),0)</f>
        <v>0</v>
      </c>
      <c r="BX1346" s="80">
        <f>IF(DB_PROJ="Todos",1,IF(E1346&amp;""=DB_PROJ&amp;"",1,0))</f>
        <v>1</v>
      </c>
      <c r="BY1346" s="80">
        <f>BW1346*BX1346</f>
        <v>0</v>
      </c>
      <c r="BZ1346" s="80" t="str">
        <f>IF(Y1346=1,F1346&amp;IF(AND(F1346&amp;""&lt;&gt;"",E1346&amp;""&lt;&gt;"")," · ","")&amp;E1346,"")</f>
        <v/>
      </c>
      <c r="CA1346" s="80" t="str">
        <f>IF(AND(BD1346=1,E1346&amp;""&lt;&gt;""),IF(COUNTIFS($E$5:E1345,E1346,$BD$5:BD1345,1)=0,MAX($CA$5:CA1345)+1,""),"")</f>
        <v/>
      </c>
      <c r="CB1346" s="80" t="str">
        <f>IF(AND(BE1346=1,D1346="Malcolm",E1346&amp;""&lt;&gt;""),IF(COUNTIFS($D$5:D1345,"Malcolm",$E$5:E1345,E1346,$BE$5:BE1345,1)=0,MAX($CB$5:CB1345)+1,""),"")</f>
        <v/>
      </c>
      <c r="CC1346" s="80" t="str">
        <f>IF(AND(BD1346=1,D1346="proMX",E1346&amp;""&lt;&gt;""),IF(COUNTIFS($D$5:D1345,"proMX",$E$5:E1345,E1346,$BD$5:BD1345,1)=0,MAX($CC$5:CC1345)+1,""),"")</f>
        <v/>
      </c>
      <c r="CD1346" s="80" t="str">
        <f>IF(AND(BE1346=1,D1346="Malcolm",F1346&amp;""&lt;&gt;""),IF(COUNTIFS($D$5:D1345,"Malcolm",$F$5:F1345,F1346,$BE$5:BE1345,1)=0,MAX($CD$5:CD1345)+1,""),"")</f>
        <v/>
      </c>
      <c r="CE1346" s="80" t="str">
        <f>IF(AND(BD1346=1,D1346="proMX",F1346&amp;""&lt;&gt;""),IF(COUNTIFS($D$5:D1345,"proMX",$F$5:F1345,F1346,$BD$5:BD1345,1)=0,MAX($CE$5:CE1345)+1,""),"")</f>
        <v/>
      </c>
      <c r="CF1346" s="80" t="str">
        <f>IF(AND(D1346="proMX",BD1346=1),IF(OR(BF1346="Draft",BF1346="Submitted",BF1346="Returned",BF1346="Recall Requested"),MAX($CF$5:CF1345)+1,""),"")</f>
        <v/>
      </c>
      <c r="CG1346" s="80">
        <f>IF(BD1346=0,0,IF(D1346="Malcolm",1,MATCH(BF1346,{"Draft","Submitted","Approved","Returned","Recall Requested","Cancelled"},0)+1))</f>
        <v>0</v>
      </c>
      <c r="CH1346" s="80">
        <f>IF(AND(BF1346="Submitted",ISNUMBER(V1346)),IF(V1346&gt;CFG_MAXD,1,0),0)</f>
        <v>0</v>
      </c>
    </row>
    <row r="1347">
      <c r="A1347" s="71" t="str">
        <f>IF(Y1347=1,ROW()-5,"")</f>
        <v/>
      </c>
      <c r="B1347" s="72" t="n"/>
      <c r="C1347" s="71" t="str">
        <f>IF(ISNUMBER(B1347),CHOOSE(WEEKDAY(B1347,2),"Lun","Mar","Mié","Jue","Vie","Sáb","Dom"),"")</f>
        <v/>
      </c>
      <c r="D1347" s="73" t="n"/>
      <c r="E1347" s="74" t="n"/>
      <c r="F1347" s="74" t="n"/>
      <c r="G1347" s="74" t="n"/>
      <c r="H1347" s="75" t="n"/>
      <c r="I1347" s="75" t="n"/>
      <c r="J1347" s="76" t="n"/>
      <c r="K1347" s="77" t="str">
        <f>IF(AB1347=1,ROUND(AG1347/60,4),"")</f>
        <v/>
      </c>
      <c r="L1347" s="77" t="str">
        <f>IF(BD1347=1,ROUND(AP1347/60,4),"")</f>
        <v/>
      </c>
      <c r="M1347" s="77" t="str">
        <f>IF(BD1347=1,ROUND(AQ1347/60,4),"")</f>
        <v/>
      </c>
      <c r="N1347" s="71" t="str">
        <f>IF(AND(D1347="proMX",AB1347=1),ROUND(AG1347/CFG_BLK,2),"")</f>
        <v/>
      </c>
      <c r="O1347" s="77" t="str">
        <f>IF(D1347="proMX",IF(BD1347=1,ROUND(AG1347/60,4),0),"")</f>
        <v/>
      </c>
      <c r="P1347" s="78" t="str">
        <f>IF(Y1347=0,"",IF(BD1347=1,"OK",IF(D1347="proMX","Revisar bloques: ","Revisar: ")&amp;BC1347))</f>
        <v/>
      </c>
      <c r="Q1347" s="78" t="str">
        <f>IF(NOT(ISNUMBER(B1347)),"",IF(COUNTIFS(FER_F,INT(B1347))&gt;0,"Feriado"&amp;IF(AH1347=1," (laborable)"," (no laborable)"),IF(AH1347=1,"Laborable",IF(WEEKDAY(B1347,2)&gt;5,"Fin de semana","No laborable"))))</f>
        <v/>
      </c>
      <c r="R1347" s="73" t="n"/>
      <c r="S1347" s="72" t="n"/>
      <c r="T1347" s="72" t="n"/>
      <c r="U1347" s="74" t="n"/>
      <c r="V1347" s="79" t="str">
        <f>IF(AND(D1347="proMX",OR(R1347="Submitted",R1347="Recall Requested"),ISNUMBER(S1347)),CFG_TODAY-INT(S1347),"")</f>
        <v/>
      </c>
      <c r="W1347" s="78" t="str">
        <f>IF(BD1347=0,"",IF(BA1347&gt;0,"⚠ Se superpone con un registro de la otra empresa",IF(D1347="Malcolm",IF(COUNTA(R1347,S1347,T1347)&gt;0,"Estado/fechas proMX se ignoran en Malcolm",""),IF(BF1347="Cancelled","Cancelado: excluido de totales",IF(R1347="","Sin estado: se trata como Draft",IF(BF1347="Submitted",IF(ISNUMBER(V1347),IF(V1347&gt;CFG_MAXD,"⚠ "&amp;V1347&amp;" días en Submitted (máx. "&amp;CFG_MAXD&amp;")",""),"Falta fecha de envío"),IF(BF1347="Returned","⚠ Devuelto: corregir y reenviar",IF(BF1347="Recall Requested","Retirada solicitada: pendiente",IF(AND(BF1347="Approved",NOT(ISNUMBER(T1347))),"Falta fecha de aprobación",IF(AND(ISNUMBER(S1347),ISNUMBER(T1347),T1347&lt;S1347),"Aprobación anterior al envío","")))))))))</f>
        <v/>
      </c>
      <c r="Y1347" s="80">
        <f>IF(COUNTA(B1347,D1347,E1347,F1347,G1347,H1347,I1347,J1347,R1347,S1347,T1347)&gt;0,1,0)</f>
        <v>0</v>
      </c>
      <c r="Z1347" s="80" t="str">
        <f>IF(AND(ISNUMBER(H1347),H1347&gt;=0,H1347&lt;1),ROUND(H1347*1440,0),"")</f>
        <v/>
      </c>
      <c r="AA1347" s="80" t="str">
        <f>IF(AND(ISNUMBER(I1347),I1347&gt;=0,I1347&lt;1),ROUND(I1347*1440,0),"")</f>
        <v/>
      </c>
      <c r="AB1347" s="80">
        <f>IF(AND(ISNUMBER(B1347),D1347&lt;&gt;"",ISNUMBER(Z1347),ISNUMBER(AA1347)),IF(Z1347=AA1347,0,1),0)</f>
        <v>0</v>
      </c>
      <c r="AC1347" s="80">
        <f>IF(AB1347=1,IF(AA1347&lt;Z1347,1,0),0)</f>
        <v>0</v>
      </c>
      <c r="AD1347" s="80">
        <f>IF(AB1347=1,IF(AC1347=1,1440-Z1347+AA1347,AA1347-Z1347),0)</f>
        <v>0</v>
      </c>
      <c r="AE1347" s="80">
        <f>IF(J1347="",0,IF(ISNUMBER(J1347),J1347,-1))</f>
        <v>0</v>
      </c>
      <c r="AF1347" s="80">
        <f>MIN(MAX(0,AE1347),AD1347)</f>
        <v>0</v>
      </c>
      <c r="AG1347" s="80">
        <f>MAX(0,AD1347-MAX(0,AE1347))</f>
        <v>0</v>
      </c>
      <c r="AH1347" s="80">
        <f>IF(ISNUMBER(B1347),IF(AND(INDEX(CFG_WDAYS,WEEKDAY(INT(B1347),2))="Sí",IF(D1347="proMX",COUNTIFS(FER_F,INT(B1347),FER_NLP,"Sí"),COUNTIFS(FER_F,INT(B1347),FER_NLM,"Sí"))=0),1,0),0)</f>
        <v>0</v>
      </c>
      <c r="AI1347" s="80">
        <f>IF(AC1347=1,IF(AND(INDEX(CFG_WDAYS,WEEKDAY(INT(B1347)+1,2))="Sí",IF(D1347="proMX",COUNTIFS(FER_F,INT(B1347)+1,FER_NLP,"Sí"),COUNTIFS(FER_F,INT(B1347)+1,FER_NLM,"Sí"))=0),1,0),0)</f>
        <v>0</v>
      </c>
      <c r="AJ1347" s="80">
        <f>IF(AC1347=1,1440-Z1347,AD1347)</f>
        <v>0</v>
      </c>
      <c r="AK1347" s="80">
        <f>IF(AND(AB1347=1,AH1347=1),MAX(0,MIN(IF(AC1347=1,1440,AA1347),CFG_WEM)-MAX(Z1347,CFG_WSM)),0)</f>
        <v>0</v>
      </c>
      <c r="AL1347" s="80">
        <f>IF(AND(AC1347=1,AI1347=1),MAX(0,MIN(AA1347,CFG_WEM)-CFG_WSM),0)</f>
        <v>0</v>
      </c>
      <c r="AM1347" s="80">
        <f>AK1347+AL1347</f>
        <v>0</v>
      </c>
      <c r="AN1347" s="80">
        <f>IF(CFG_BRK="Proporcional",IF(AD1347=0,0,AF1347*AM1347/AD1347),IF(CFG_BRK="Extras primero",MIN(AM1347,MAX(0,AF1347-(AD1347-AM1347))),MIN(AF1347,AM1347)))</f>
        <v>0</v>
      </c>
      <c r="AO1347" s="80">
        <f>AF1347-AN1347</f>
        <v>0</v>
      </c>
      <c r="AP1347" s="80">
        <f>AM1347-AN1347</f>
        <v>0</v>
      </c>
      <c r="AQ1347" s="80">
        <f>AD1347-AM1347-AO1347</f>
        <v>0</v>
      </c>
      <c r="AR1347" s="80">
        <f>IF(AM1347=0,0,AK1347-AN1347*AK1347/AM1347)</f>
        <v>0</v>
      </c>
      <c r="AS1347" s="80">
        <f>IF(AD1347-AM1347=0,0,(AJ1347-AK1347)-AO1347*(AJ1347-AK1347)/(AD1347-AM1347))</f>
        <v>0</v>
      </c>
      <c r="AT1347" s="80" t="str">
        <f>IF(AC1347=1,INT(B1347)+1,"")</f>
        <v/>
      </c>
      <c r="AU1347" s="80">
        <f>IF(AND(D1347="proMX",R1347="Cancelled"),0,1)</f>
        <v>1</v>
      </c>
      <c r="AV1347" s="80">
        <f>IF(AND(AB1347=1,AU1347=1),IF(COUNTIFS($D$5:D1346,D1347,$B$5:B1346,B1347,$Z$5:Z1346,Z1347,$AA$5:AA1346,AA1347,$F$5:F1346,F1347&amp;"",$AU$5:AU1346,1)&gt;0,1,0),0)</f>
        <v>0</v>
      </c>
      <c r="AW1347" s="80" t="str">
        <f>IF(AB1347=1,INT(B1347)*1440+Z1347,"")</f>
        <v/>
      </c>
      <c r="AX1347" s="80" t="str">
        <f>IF(AB1347=1,AW1347+AD1347,"")</f>
        <v/>
      </c>
      <c r="AY1347" s="80">
        <f>IF(AND(AB1347=1,AV1347=0,AU1347=1),1,0)</f>
        <v>0</v>
      </c>
      <c r="AZ1347" s="80">
        <f>IF(AY1347=1,COUNTIFS(R_Emp,D1347,R_SAbs,"&lt;"&amp;AX1347,R_EAbs,"&gt;"&amp;AW1347,R_OKey,1)-1,0)</f>
        <v>0</v>
      </c>
      <c r="BA1347" s="80">
        <f>IF(AY1347=1,COUNTIFS(R_Emp,"&lt;&gt;"&amp;D1347,R_SAbs,"&lt;"&amp;AX1347,R_EAbs,"&gt;"&amp;AW1347,R_OKey,1),0)</f>
        <v>0</v>
      </c>
      <c r="BB1347" s="80">
        <f>IF(AND(AB1347=1,D1347="proMX"),IF(AND(MOD(Z1347,CFG_BLK)=0,MOD(AA1347,CFG_BLK)=0,MOD(AG1347,CFG_BLK)=0,AG1347&gt;0),1,0),1)</f>
        <v>1</v>
      </c>
      <c r="BC1347" s="80" t="str">
        <f>IF(Y1347=0,"",IF(NOT(ISNUMBER(B1347)),"Falta fecha o fecha inválida",IF(D1347="","Falta empresa",IF(AND(D1347&lt;&gt;"Malcolm",D1347&lt;&gt;"proMX"),"Empresa inválida",IF(OR(INT(B1347)&lt;CFG_PSTART,INT(B1347)&gt;CFG_PEND),"Fecha fuera del período",IF(OR(NOT(ISNUMBER(Z1347)),NOT(ISNUMBER(AA1347))),"Falta hora inicio/fin o formato inválido",IF(AB1347=0,"Hora inicio = hora fin",IF(AE1347&lt;0,"Descanso inválido",IF(AE1347&gt;=AD1347,"Descanso ≥ duración",IF(AV1347=1,"Registro duplicado",IF(AZ1347&gt;0,"Se superpone con otro registro "&amp;D1347,IF(BB1347=0,"inicio, fin y duración neta deben ser múltiplos de "&amp;CFG_BLK&amp;" min",""))))))))))))</f>
        <v/>
      </c>
      <c r="BD1347" s="80">
        <f>IF(AND(Y1347=1,BC1347=""),1,0)</f>
        <v>0</v>
      </c>
      <c r="BE1347" s="80">
        <f>IF(AND(BD1347=1,AU1347=1),1,0)</f>
        <v>0</v>
      </c>
      <c r="BF1347" s="80" t="str">
        <f>IF(AND(D1347="proMX",BD1347=1),IF(R1347="","Draft",R1347),"")</f>
        <v/>
      </c>
      <c r="BG1347" s="80">
        <f>IF(BD1347=1,ROUND(AG1347/60,6),0)</f>
        <v>0</v>
      </c>
      <c r="BH1347" s="80">
        <f>IF(BE1347=1,ROUND(AG1347/60,6),0)</f>
        <v>0</v>
      </c>
      <c r="BI1347" s="80">
        <f>IF(BE1347=1,ROUND(AP1347/60,6),0)</f>
        <v>0</v>
      </c>
      <c r="BJ1347" s="80">
        <f>IF(BE1347=1,ROUND(AQ1347/60,6),0)</f>
        <v>0</v>
      </c>
      <c r="BK1347" s="80">
        <f>IF(BE1347=1,ROUND((AR1347+AS1347)/60,6),0)</f>
        <v>0</v>
      </c>
      <c r="BL1347" s="80">
        <f>ROUND(BH1347-BK1347,6)</f>
        <v>0</v>
      </c>
      <c r="BM1347" s="80">
        <f>IF(BE1347=1,ROUND(AR1347/60,6),0)</f>
        <v>0</v>
      </c>
      <c r="BN1347" s="80">
        <f>ROUND(BI1347-BM1347,6)</f>
        <v>0</v>
      </c>
      <c r="BO1347" s="80">
        <f>IF(BE1347=1,ROUND(AS1347/60,6),0)</f>
        <v>0</v>
      </c>
      <c r="BP1347" s="80">
        <f>ROUND(BJ1347-BO1347,6)</f>
        <v>0</v>
      </c>
      <c r="BQ1347" s="80">
        <f>IF(BE1347=1,AW1347,0)</f>
        <v>0</v>
      </c>
      <c r="BR1347" s="80">
        <f>IF(BE1347=1,AX1347,0)</f>
        <v>0</v>
      </c>
      <c r="BS1347" s="80">
        <f>IF(AND(BE1347=1,D1347="Malcolm",BA1347&gt;0),MIN(BH1347,SUMPRODUCT((R_Emp="proMX")*(R_EN&gt;0)*((R_EN-(R_EN&gt;BR1347)*(R_EN-BR1347))&gt;(R_SN+(R_SN&lt;BQ1347)*(BQ1347-R_SN)))*((R_EN-(R_EN&gt;BR1347)*(R_EN-BR1347))-(R_SN+(R_SN&lt;BQ1347)*(BQ1347-R_SN))))/60),0)</f>
        <v>0</v>
      </c>
      <c r="BT1347" s="80">
        <f>IF(AND(BE1347=1,D1347="proMX"),ROUND(BI1347*CFG_RATE+BJ1347*CFG_OTRATE,6),0)</f>
        <v>0</v>
      </c>
      <c r="BU1347" s="80">
        <f>IF(AND(BD1347=1,D1347="proMX"),ROUND(AG1347/CFG_BLK,6),0)</f>
        <v>0</v>
      </c>
      <c r="BV1347" s="80" t="str">
        <f>IF(BF1347="Approved",IF(ISNUMBER(T1347),INT(T1347),INT(B1347)),"")</f>
        <v/>
      </c>
      <c r="BW1347" s="80">
        <f>IF(ISNUMBER(B1347),IF(DB_MON="Todos",1,IF(AND(INT(B1347)&gt;=DB_MS,INT(B1347)&lt;=DB_ME),1,0)),0)</f>
        <v>0</v>
      </c>
      <c r="BX1347" s="80">
        <f>IF(DB_PROJ="Todos",1,IF(E1347&amp;""=DB_PROJ&amp;"",1,0))</f>
        <v>1</v>
      </c>
      <c r="BY1347" s="80">
        <f>BW1347*BX1347</f>
        <v>0</v>
      </c>
      <c r="BZ1347" s="80" t="str">
        <f>IF(Y1347=1,F1347&amp;IF(AND(F1347&amp;""&lt;&gt;"",E1347&amp;""&lt;&gt;"")," · ","")&amp;E1347,"")</f>
        <v/>
      </c>
      <c r="CA1347" s="80" t="str">
        <f>IF(AND(BD1347=1,E1347&amp;""&lt;&gt;""),IF(COUNTIFS($E$5:E1346,E1347,$BD$5:BD1346,1)=0,MAX($CA$5:CA1346)+1,""),"")</f>
        <v/>
      </c>
      <c r="CB1347" s="80" t="str">
        <f>IF(AND(BE1347=1,D1347="Malcolm",E1347&amp;""&lt;&gt;""),IF(COUNTIFS($D$5:D1346,"Malcolm",$E$5:E1346,E1347,$BE$5:BE1346,1)=0,MAX($CB$5:CB1346)+1,""),"")</f>
        <v/>
      </c>
      <c r="CC1347" s="80" t="str">
        <f>IF(AND(BD1347=1,D1347="proMX",E1347&amp;""&lt;&gt;""),IF(COUNTIFS($D$5:D1346,"proMX",$E$5:E1346,E1347,$BD$5:BD1346,1)=0,MAX($CC$5:CC1346)+1,""),"")</f>
        <v/>
      </c>
      <c r="CD1347" s="80" t="str">
        <f>IF(AND(BE1347=1,D1347="Malcolm",F1347&amp;""&lt;&gt;""),IF(COUNTIFS($D$5:D1346,"Malcolm",$F$5:F1346,F1347,$BE$5:BE1346,1)=0,MAX($CD$5:CD1346)+1,""),"")</f>
        <v/>
      </c>
      <c r="CE1347" s="80" t="str">
        <f>IF(AND(BD1347=1,D1347="proMX",F1347&amp;""&lt;&gt;""),IF(COUNTIFS($D$5:D1346,"proMX",$F$5:F1346,F1347,$BD$5:BD1346,1)=0,MAX($CE$5:CE1346)+1,""),"")</f>
        <v/>
      </c>
      <c r="CF1347" s="80" t="str">
        <f>IF(AND(D1347="proMX",BD1347=1),IF(OR(BF1347="Draft",BF1347="Submitted",BF1347="Returned",BF1347="Recall Requested"),MAX($CF$5:CF1346)+1,""),"")</f>
        <v/>
      </c>
      <c r="CG1347" s="80">
        <f>IF(BD1347=0,0,IF(D1347="Malcolm",1,MATCH(BF1347,{"Draft","Submitted","Approved","Returned","Recall Requested","Cancelled"},0)+1))</f>
        <v>0</v>
      </c>
      <c r="CH1347" s="80">
        <f>IF(AND(BF1347="Submitted",ISNUMBER(V1347)),IF(V1347&gt;CFG_MAXD,1,0),0)</f>
        <v>0</v>
      </c>
    </row>
    <row r="1348">
      <c r="A1348" s="71" t="str">
        <f>IF(Y1348=1,ROW()-5,"")</f>
        <v/>
      </c>
      <c r="B1348" s="72" t="n"/>
      <c r="C1348" s="71" t="str">
        <f>IF(ISNUMBER(B1348),CHOOSE(WEEKDAY(B1348,2),"Lun","Mar","Mié","Jue","Vie","Sáb","Dom"),"")</f>
        <v/>
      </c>
      <c r="D1348" s="73" t="n"/>
      <c r="E1348" s="74" t="n"/>
      <c r="F1348" s="74" t="n"/>
      <c r="G1348" s="74" t="n"/>
      <c r="H1348" s="75" t="n"/>
      <c r="I1348" s="75" t="n"/>
      <c r="J1348" s="76" t="n"/>
      <c r="K1348" s="77" t="str">
        <f>IF(AB1348=1,ROUND(AG1348/60,4),"")</f>
        <v/>
      </c>
      <c r="L1348" s="77" t="str">
        <f>IF(BD1348=1,ROUND(AP1348/60,4),"")</f>
        <v/>
      </c>
      <c r="M1348" s="77" t="str">
        <f>IF(BD1348=1,ROUND(AQ1348/60,4),"")</f>
        <v/>
      </c>
      <c r="N1348" s="71" t="str">
        <f>IF(AND(D1348="proMX",AB1348=1),ROUND(AG1348/CFG_BLK,2),"")</f>
        <v/>
      </c>
      <c r="O1348" s="77" t="str">
        <f>IF(D1348="proMX",IF(BD1348=1,ROUND(AG1348/60,4),0),"")</f>
        <v/>
      </c>
      <c r="P1348" s="78" t="str">
        <f>IF(Y1348=0,"",IF(BD1348=1,"OK",IF(D1348="proMX","Revisar bloques: ","Revisar: ")&amp;BC1348))</f>
        <v/>
      </c>
      <c r="Q1348" s="78" t="str">
        <f>IF(NOT(ISNUMBER(B1348)),"",IF(COUNTIFS(FER_F,INT(B1348))&gt;0,"Feriado"&amp;IF(AH1348=1," (laborable)"," (no laborable)"),IF(AH1348=1,"Laborable",IF(WEEKDAY(B1348,2)&gt;5,"Fin de semana","No laborable"))))</f>
        <v/>
      </c>
      <c r="R1348" s="73" t="n"/>
      <c r="S1348" s="72" t="n"/>
      <c r="T1348" s="72" t="n"/>
      <c r="U1348" s="74" t="n"/>
      <c r="V1348" s="79" t="str">
        <f>IF(AND(D1348="proMX",OR(R1348="Submitted",R1348="Recall Requested"),ISNUMBER(S1348)),CFG_TODAY-INT(S1348),"")</f>
        <v/>
      </c>
      <c r="W1348" s="78" t="str">
        <f>IF(BD1348=0,"",IF(BA1348&gt;0,"⚠ Se superpone con un registro de la otra empresa",IF(D1348="Malcolm",IF(COUNTA(R1348,S1348,T1348)&gt;0,"Estado/fechas proMX se ignoran en Malcolm",""),IF(BF1348="Cancelled","Cancelado: excluido de totales",IF(R1348="","Sin estado: se trata como Draft",IF(BF1348="Submitted",IF(ISNUMBER(V1348),IF(V1348&gt;CFG_MAXD,"⚠ "&amp;V1348&amp;" días en Submitted (máx. "&amp;CFG_MAXD&amp;")",""),"Falta fecha de envío"),IF(BF1348="Returned","⚠ Devuelto: corregir y reenviar",IF(BF1348="Recall Requested","Retirada solicitada: pendiente",IF(AND(BF1348="Approved",NOT(ISNUMBER(T1348))),"Falta fecha de aprobación",IF(AND(ISNUMBER(S1348),ISNUMBER(T1348),T1348&lt;S1348),"Aprobación anterior al envío","")))))))))</f>
        <v/>
      </c>
      <c r="Y1348" s="80">
        <f>IF(COUNTA(B1348,D1348,E1348,F1348,G1348,H1348,I1348,J1348,R1348,S1348,T1348)&gt;0,1,0)</f>
        <v>0</v>
      </c>
      <c r="Z1348" s="80" t="str">
        <f>IF(AND(ISNUMBER(H1348),H1348&gt;=0,H1348&lt;1),ROUND(H1348*1440,0),"")</f>
        <v/>
      </c>
      <c r="AA1348" s="80" t="str">
        <f>IF(AND(ISNUMBER(I1348),I1348&gt;=0,I1348&lt;1),ROUND(I1348*1440,0),"")</f>
        <v/>
      </c>
      <c r="AB1348" s="80">
        <f>IF(AND(ISNUMBER(B1348),D1348&lt;&gt;"",ISNUMBER(Z1348),ISNUMBER(AA1348)),IF(Z1348=AA1348,0,1),0)</f>
        <v>0</v>
      </c>
      <c r="AC1348" s="80">
        <f>IF(AB1348=1,IF(AA1348&lt;Z1348,1,0),0)</f>
        <v>0</v>
      </c>
      <c r="AD1348" s="80">
        <f>IF(AB1348=1,IF(AC1348=1,1440-Z1348+AA1348,AA1348-Z1348),0)</f>
        <v>0</v>
      </c>
      <c r="AE1348" s="80">
        <f>IF(J1348="",0,IF(ISNUMBER(J1348),J1348,-1))</f>
        <v>0</v>
      </c>
      <c r="AF1348" s="80">
        <f>MIN(MAX(0,AE1348),AD1348)</f>
        <v>0</v>
      </c>
      <c r="AG1348" s="80">
        <f>MAX(0,AD1348-MAX(0,AE1348))</f>
        <v>0</v>
      </c>
      <c r="AH1348" s="80">
        <f>IF(ISNUMBER(B1348),IF(AND(INDEX(CFG_WDAYS,WEEKDAY(INT(B1348),2))="Sí",IF(D1348="proMX",COUNTIFS(FER_F,INT(B1348),FER_NLP,"Sí"),COUNTIFS(FER_F,INT(B1348),FER_NLM,"Sí"))=0),1,0),0)</f>
        <v>0</v>
      </c>
      <c r="AI1348" s="80">
        <f>IF(AC1348=1,IF(AND(INDEX(CFG_WDAYS,WEEKDAY(INT(B1348)+1,2))="Sí",IF(D1348="proMX",COUNTIFS(FER_F,INT(B1348)+1,FER_NLP,"Sí"),COUNTIFS(FER_F,INT(B1348)+1,FER_NLM,"Sí"))=0),1,0),0)</f>
        <v>0</v>
      </c>
      <c r="AJ1348" s="80">
        <f>IF(AC1348=1,1440-Z1348,AD1348)</f>
        <v>0</v>
      </c>
      <c r="AK1348" s="80">
        <f>IF(AND(AB1348=1,AH1348=1),MAX(0,MIN(IF(AC1348=1,1440,AA1348),CFG_WEM)-MAX(Z1348,CFG_WSM)),0)</f>
        <v>0</v>
      </c>
      <c r="AL1348" s="80">
        <f>IF(AND(AC1348=1,AI1348=1),MAX(0,MIN(AA1348,CFG_WEM)-CFG_WSM),0)</f>
        <v>0</v>
      </c>
      <c r="AM1348" s="80">
        <f>AK1348+AL1348</f>
        <v>0</v>
      </c>
      <c r="AN1348" s="80">
        <f>IF(CFG_BRK="Proporcional",IF(AD1348=0,0,AF1348*AM1348/AD1348),IF(CFG_BRK="Extras primero",MIN(AM1348,MAX(0,AF1348-(AD1348-AM1348))),MIN(AF1348,AM1348)))</f>
        <v>0</v>
      </c>
      <c r="AO1348" s="80">
        <f>AF1348-AN1348</f>
        <v>0</v>
      </c>
      <c r="AP1348" s="80">
        <f>AM1348-AN1348</f>
        <v>0</v>
      </c>
      <c r="AQ1348" s="80">
        <f>AD1348-AM1348-AO1348</f>
        <v>0</v>
      </c>
      <c r="AR1348" s="80">
        <f>IF(AM1348=0,0,AK1348-AN1348*AK1348/AM1348)</f>
        <v>0</v>
      </c>
      <c r="AS1348" s="80">
        <f>IF(AD1348-AM1348=0,0,(AJ1348-AK1348)-AO1348*(AJ1348-AK1348)/(AD1348-AM1348))</f>
        <v>0</v>
      </c>
      <c r="AT1348" s="80" t="str">
        <f>IF(AC1348=1,INT(B1348)+1,"")</f>
        <v/>
      </c>
      <c r="AU1348" s="80">
        <f>IF(AND(D1348="proMX",R1348="Cancelled"),0,1)</f>
        <v>1</v>
      </c>
      <c r="AV1348" s="80">
        <f>IF(AND(AB1348=1,AU1348=1),IF(COUNTIFS($D$5:D1347,D1348,$B$5:B1347,B1348,$Z$5:Z1347,Z1348,$AA$5:AA1347,AA1348,$F$5:F1347,F1348&amp;"",$AU$5:AU1347,1)&gt;0,1,0),0)</f>
        <v>0</v>
      </c>
      <c r="AW1348" s="80" t="str">
        <f>IF(AB1348=1,INT(B1348)*1440+Z1348,"")</f>
        <v/>
      </c>
      <c r="AX1348" s="80" t="str">
        <f>IF(AB1348=1,AW1348+AD1348,"")</f>
        <v/>
      </c>
      <c r="AY1348" s="80">
        <f>IF(AND(AB1348=1,AV1348=0,AU1348=1),1,0)</f>
        <v>0</v>
      </c>
      <c r="AZ1348" s="80">
        <f>IF(AY1348=1,COUNTIFS(R_Emp,D1348,R_SAbs,"&lt;"&amp;AX1348,R_EAbs,"&gt;"&amp;AW1348,R_OKey,1)-1,0)</f>
        <v>0</v>
      </c>
      <c r="BA1348" s="80">
        <f>IF(AY1348=1,COUNTIFS(R_Emp,"&lt;&gt;"&amp;D1348,R_SAbs,"&lt;"&amp;AX1348,R_EAbs,"&gt;"&amp;AW1348,R_OKey,1),0)</f>
        <v>0</v>
      </c>
      <c r="BB1348" s="80">
        <f>IF(AND(AB1348=1,D1348="proMX"),IF(AND(MOD(Z1348,CFG_BLK)=0,MOD(AA1348,CFG_BLK)=0,MOD(AG1348,CFG_BLK)=0,AG1348&gt;0),1,0),1)</f>
        <v>1</v>
      </c>
      <c r="BC1348" s="80" t="str">
        <f>IF(Y1348=0,"",IF(NOT(ISNUMBER(B1348)),"Falta fecha o fecha inválida",IF(D1348="","Falta empresa",IF(AND(D1348&lt;&gt;"Malcolm",D1348&lt;&gt;"proMX"),"Empresa inválida",IF(OR(INT(B1348)&lt;CFG_PSTART,INT(B1348)&gt;CFG_PEND),"Fecha fuera del período",IF(OR(NOT(ISNUMBER(Z1348)),NOT(ISNUMBER(AA1348))),"Falta hora inicio/fin o formato inválido",IF(AB1348=0,"Hora inicio = hora fin",IF(AE1348&lt;0,"Descanso inválido",IF(AE1348&gt;=AD1348,"Descanso ≥ duración",IF(AV1348=1,"Registro duplicado",IF(AZ1348&gt;0,"Se superpone con otro registro "&amp;D1348,IF(BB1348=0,"inicio, fin y duración neta deben ser múltiplos de "&amp;CFG_BLK&amp;" min",""))))))))))))</f>
        <v/>
      </c>
      <c r="BD1348" s="80">
        <f>IF(AND(Y1348=1,BC1348=""),1,0)</f>
        <v>0</v>
      </c>
      <c r="BE1348" s="80">
        <f>IF(AND(BD1348=1,AU1348=1),1,0)</f>
        <v>0</v>
      </c>
      <c r="BF1348" s="80" t="str">
        <f>IF(AND(D1348="proMX",BD1348=1),IF(R1348="","Draft",R1348),"")</f>
        <v/>
      </c>
      <c r="BG1348" s="80">
        <f>IF(BD1348=1,ROUND(AG1348/60,6),0)</f>
        <v>0</v>
      </c>
      <c r="BH1348" s="80">
        <f>IF(BE1348=1,ROUND(AG1348/60,6),0)</f>
        <v>0</v>
      </c>
      <c r="BI1348" s="80">
        <f>IF(BE1348=1,ROUND(AP1348/60,6),0)</f>
        <v>0</v>
      </c>
      <c r="BJ1348" s="80">
        <f>IF(BE1348=1,ROUND(AQ1348/60,6),0)</f>
        <v>0</v>
      </c>
      <c r="BK1348" s="80">
        <f>IF(BE1348=1,ROUND((AR1348+AS1348)/60,6),0)</f>
        <v>0</v>
      </c>
      <c r="BL1348" s="80">
        <f>ROUND(BH1348-BK1348,6)</f>
        <v>0</v>
      </c>
      <c r="BM1348" s="80">
        <f>IF(BE1348=1,ROUND(AR1348/60,6),0)</f>
        <v>0</v>
      </c>
      <c r="BN1348" s="80">
        <f>ROUND(BI1348-BM1348,6)</f>
        <v>0</v>
      </c>
      <c r="BO1348" s="80">
        <f>IF(BE1348=1,ROUND(AS1348/60,6),0)</f>
        <v>0</v>
      </c>
      <c r="BP1348" s="80">
        <f>ROUND(BJ1348-BO1348,6)</f>
        <v>0</v>
      </c>
      <c r="BQ1348" s="80">
        <f>IF(BE1348=1,AW1348,0)</f>
        <v>0</v>
      </c>
      <c r="BR1348" s="80">
        <f>IF(BE1348=1,AX1348,0)</f>
        <v>0</v>
      </c>
      <c r="BS1348" s="80">
        <f>IF(AND(BE1348=1,D1348="Malcolm",BA1348&gt;0),MIN(BH1348,SUMPRODUCT((R_Emp="proMX")*(R_EN&gt;0)*((R_EN-(R_EN&gt;BR1348)*(R_EN-BR1348))&gt;(R_SN+(R_SN&lt;BQ1348)*(BQ1348-R_SN)))*((R_EN-(R_EN&gt;BR1348)*(R_EN-BR1348))-(R_SN+(R_SN&lt;BQ1348)*(BQ1348-R_SN))))/60),0)</f>
        <v>0</v>
      </c>
      <c r="BT1348" s="80">
        <f>IF(AND(BE1348=1,D1348="proMX"),ROUND(BI1348*CFG_RATE+BJ1348*CFG_OTRATE,6),0)</f>
        <v>0</v>
      </c>
      <c r="BU1348" s="80">
        <f>IF(AND(BD1348=1,D1348="proMX"),ROUND(AG1348/CFG_BLK,6),0)</f>
        <v>0</v>
      </c>
      <c r="BV1348" s="80" t="str">
        <f>IF(BF1348="Approved",IF(ISNUMBER(T1348),INT(T1348),INT(B1348)),"")</f>
        <v/>
      </c>
      <c r="BW1348" s="80">
        <f>IF(ISNUMBER(B1348),IF(DB_MON="Todos",1,IF(AND(INT(B1348)&gt;=DB_MS,INT(B1348)&lt;=DB_ME),1,0)),0)</f>
        <v>0</v>
      </c>
      <c r="BX1348" s="80">
        <f>IF(DB_PROJ="Todos",1,IF(E1348&amp;""=DB_PROJ&amp;"",1,0))</f>
        <v>1</v>
      </c>
      <c r="BY1348" s="80">
        <f>BW1348*BX1348</f>
        <v>0</v>
      </c>
      <c r="BZ1348" s="80" t="str">
        <f>IF(Y1348=1,F1348&amp;IF(AND(F1348&amp;""&lt;&gt;"",E1348&amp;""&lt;&gt;"")," · ","")&amp;E1348,"")</f>
        <v/>
      </c>
      <c r="CA1348" s="80" t="str">
        <f>IF(AND(BD1348=1,E1348&amp;""&lt;&gt;""),IF(COUNTIFS($E$5:E1347,E1348,$BD$5:BD1347,1)=0,MAX($CA$5:CA1347)+1,""),"")</f>
        <v/>
      </c>
      <c r="CB1348" s="80" t="str">
        <f>IF(AND(BE1348=1,D1348="Malcolm",E1348&amp;""&lt;&gt;""),IF(COUNTIFS($D$5:D1347,"Malcolm",$E$5:E1347,E1348,$BE$5:BE1347,1)=0,MAX($CB$5:CB1347)+1,""),"")</f>
        <v/>
      </c>
      <c r="CC1348" s="80" t="str">
        <f>IF(AND(BD1348=1,D1348="proMX",E1348&amp;""&lt;&gt;""),IF(COUNTIFS($D$5:D1347,"proMX",$E$5:E1347,E1348,$BD$5:BD1347,1)=0,MAX($CC$5:CC1347)+1,""),"")</f>
        <v/>
      </c>
      <c r="CD1348" s="80" t="str">
        <f>IF(AND(BE1348=1,D1348="Malcolm",F1348&amp;""&lt;&gt;""),IF(COUNTIFS($D$5:D1347,"Malcolm",$F$5:F1347,F1348,$BE$5:BE1347,1)=0,MAX($CD$5:CD1347)+1,""),"")</f>
        <v/>
      </c>
      <c r="CE1348" s="80" t="str">
        <f>IF(AND(BD1348=1,D1348="proMX",F1348&amp;""&lt;&gt;""),IF(COUNTIFS($D$5:D1347,"proMX",$F$5:F1347,F1348,$BD$5:BD1347,1)=0,MAX($CE$5:CE1347)+1,""),"")</f>
        <v/>
      </c>
      <c r="CF1348" s="80" t="str">
        <f>IF(AND(D1348="proMX",BD1348=1),IF(OR(BF1348="Draft",BF1348="Submitted",BF1348="Returned",BF1348="Recall Requested"),MAX($CF$5:CF1347)+1,""),"")</f>
        <v/>
      </c>
      <c r="CG1348" s="80">
        <f>IF(BD1348=0,0,IF(D1348="Malcolm",1,MATCH(BF1348,{"Draft","Submitted","Approved","Returned","Recall Requested","Cancelled"},0)+1))</f>
        <v>0</v>
      </c>
      <c r="CH1348" s="80">
        <f>IF(AND(BF1348="Submitted",ISNUMBER(V1348)),IF(V1348&gt;CFG_MAXD,1,0),0)</f>
        <v>0</v>
      </c>
    </row>
    <row r="1349">
      <c r="A1349" s="71" t="str">
        <f>IF(Y1349=1,ROW()-5,"")</f>
        <v/>
      </c>
      <c r="B1349" s="72" t="n"/>
      <c r="C1349" s="71" t="str">
        <f>IF(ISNUMBER(B1349),CHOOSE(WEEKDAY(B1349,2),"Lun","Mar","Mié","Jue","Vie","Sáb","Dom"),"")</f>
        <v/>
      </c>
      <c r="D1349" s="73" t="n"/>
      <c r="E1349" s="74" t="n"/>
      <c r="F1349" s="74" t="n"/>
      <c r="G1349" s="74" t="n"/>
      <c r="H1349" s="75" t="n"/>
      <c r="I1349" s="75" t="n"/>
      <c r="J1349" s="76" t="n"/>
      <c r="K1349" s="77" t="str">
        <f>IF(AB1349=1,ROUND(AG1349/60,4),"")</f>
        <v/>
      </c>
      <c r="L1349" s="77" t="str">
        <f>IF(BD1349=1,ROUND(AP1349/60,4),"")</f>
        <v/>
      </c>
      <c r="M1349" s="77" t="str">
        <f>IF(BD1349=1,ROUND(AQ1349/60,4),"")</f>
        <v/>
      </c>
      <c r="N1349" s="71" t="str">
        <f>IF(AND(D1349="proMX",AB1349=1),ROUND(AG1349/CFG_BLK,2),"")</f>
        <v/>
      </c>
      <c r="O1349" s="77" t="str">
        <f>IF(D1349="proMX",IF(BD1349=1,ROUND(AG1349/60,4),0),"")</f>
        <v/>
      </c>
      <c r="P1349" s="78" t="str">
        <f>IF(Y1349=0,"",IF(BD1349=1,"OK",IF(D1349="proMX","Revisar bloques: ","Revisar: ")&amp;BC1349))</f>
        <v/>
      </c>
      <c r="Q1349" s="78" t="str">
        <f>IF(NOT(ISNUMBER(B1349)),"",IF(COUNTIFS(FER_F,INT(B1349))&gt;0,"Feriado"&amp;IF(AH1349=1," (laborable)"," (no laborable)"),IF(AH1349=1,"Laborable",IF(WEEKDAY(B1349,2)&gt;5,"Fin de semana","No laborable"))))</f>
        <v/>
      </c>
      <c r="R1349" s="73" t="n"/>
      <c r="S1349" s="72" t="n"/>
      <c r="T1349" s="72" t="n"/>
      <c r="U1349" s="74" t="n"/>
      <c r="V1349" s="79" t="str">
        <f>IF(AND(D1349="proMX",OR(R1349="Submitted",R1349="Recall Requested"),ISNUMBER(S1349)),CFG_TODAY-INT(S1349),"")</f>
        <v/>
      </c>
      <c r="W1349" s="78" t="str">
        <f>IF(BD1349=0,"",IF(BA1349&gt;0,"⚠ Se superpone con un registro de la otra empresa",IF(D1349="Malcolm",IF(COUNTA(R1349,S1349,T1349)&gt;0,"Estado/fechas proMX se ignoran en Malcolm",""),IF(BF1349="Cancelled","Cancelado: excluido de totales",IF(R1349="","Sin estado: se trata como Draft",IF(BF1349="Submitted",IF(ISNUMBER(V1349),IF(V1349&gt;CFG_MAXD,"⚠ "&amp;V1349&amp;" días en Submitted (máx. "&amp;CFG_MAXD&amp;")",""),"Falta fecha de envío"),IF(BF1349="Returned","⚠ Devuelto: corregir y reenviar",IF(BF1349="Recall Requested","Retirada solicitada: pendiente",IF(AND(BF1349="Approved",NOT(ISNUMBER(T1349))),"Falta fecha de aprobación",IF(AND(ISNUMBER(S1349),ISNUMBER(T1349),T1349&lt;S1349),"Aprobación anterior al envío","")))))))))</f>
        <v/>
      </c>
      <c r="Y1349" s="80">
        <f>IF(COUNTA(B1349,D1349,E1349,F1349,G1349,H1349,I1349,J1349,R1349,S1349,T1349)&gt;0,1,0)</f>
        <v>0</v>
      </c>
      <c r="Z1349" s="80" t="str">
        <f>IF(AND(ISNUMBER(H1349),H1349&gt;=0,H1349&lt;1),ROUND(H1349*1440,0),"")</f>
        <v/>
      </c>
      <c r="AA1349" s="80" t="str">
        <f>IF(AND(ISNUMBER(I1349),I1349&gt;=0,I1349&lt;1),ROUND(I1349*1440,0),"")</f>
        <v/>
      </c>
      <c r="AB1349" s="80">
        <f>IF(AND(ISNUMBER(B1349),D1349&lt;&gt;"",ISNUMBER(Z1349),ISNUMBER(AA1349)),IF(Z1349=AA1349,0,1),0)</f>
        <v>0</v>
      </c>
      <c r="AC1349" s="80">
        <f>IF(AB1349=1,IF(AA1349&lt;Z1349,1,0),0)</f>
        <v>0</v>
      </c>
      <c r="AD1349" s="80">
        <f>IF(AB1349=1,IF(AC1349=1,1440-Z1349+AA1349,AA1349-Z1349),0)</f>
        <v>0</v>
      </c>
      <c r="AE1349" s="80">
        <f>IF(J1349="",0,IF(ISNUMBER(J1349),J1349,-1))</f>
        <v>0</v>
      </c>
      <c r="AF1349" s="80">
        <f>MIN(MAX(0,AE1349),AD1349)</f>
        <v>0</v>
      </c>
      <c r="AG1349" s="80">
        <f>MAX(0,AD1349-MAX(0,AE1349))</f>
        <v>0</v>
      </c>
      <c r="AH1349" s="80">
        <f>IF(ISNUMBER(B1349),IF(AND(INDEX(CFG_WDAYS,WEEKDAY(INT(B1349),2))="Sí",IF(D1349="proMX",COUNTIFS(FER_F,INT(B1349),FER_NLP,"Sí"),COUNTIFS(FER_F,INT(B1349),FER_NLM,"Sí"))=0),1,0),0)</f>
        <v>0</v>
      </c>
      <c r="AI1349" s="80">
        <f>IF(AC1349=1,IF(AND(INDEX(CFG_WDAYS,WEEKDAY(INT(B1349)+1,2))="Sí",IF(D1349="proMX",COUNTIFS(FER_F,INT(B1349)+1,FER_NLP,"Sí"),COUNTIFS(FER_F,INT(B1349)+1,FER_NLM,"Sí"))=0),1,0),0)</f>
        <v>0</v>
      </c>
      <c r="AJ1349" s="80">
        <f>IF(AC1349=1,1440-Z1349,AD1349)</f>
        <v>0</v>
      </c>
      <c r="AK1349" s="80">
        <f>IF(AND(AB1349=1,AH1349=1),MAX(0,MIN(IF(AC1349=1,1440,AA1349),CFG_WEM)-MAX(Z1349,CFG_WSM)),0)</f>
        <v>0</v>
      </c>
      <c r="AL1349" s="80">
        <f>IF(AND(AC1349=1,AI1349=1),MAX(0,MIN(AA1349,CFG_WEM)-CFG_WSM),0)</f>
        <v>0</v>
      </c>
      <c r="AM1349" s="80">
        <f>AK1349+AL1349</f>
        <v>0</v>
      </c>
      <c r="AN1349" s="80">
        <f>IF(CFG_BRK="Proporcional",IF(AD1349=0,0,AF1349*AM1349/AD1349),IF(CFG_BRK="Extras primero",MIN(AM1349,MAX(0,AF1349-(AD1349-AM1349))),MIN(AF1349,AM1349)))</f>
        <v>0</v>
      </c>
      <c r="AO1349" s="80">
        <f>AF1349-AN1349</f>
        <v>0</v>
      </c>
      <c r="AP1349" s="80">
        <f>AM1349-AN1349</f>
        <v>0</v>
      </c>
      <c r="AQ1349" s="80">
        <f>AD1349-AM1349-AO1349</f>
        <v>0</v>
      </c>
      <c r="AR1349" s="80">
        <f>IF(AM1349=0,0,AK1349-AN1349*AK1349/AM1349)</f>
        <v>0</v>
      </c>
      <c r="AS1349" s="80">
        <f>IF(AD1349-AM1349=0,0,(AJ1349-AK1349)-AO1349*(AJ1349-AK1349)/(AD1349-AM1349))</f>
        <v>0</v>
      </c>
      <c r="AT1349" s="80" t="str">
        <f>IF(AC1349=1,INT(B1349)+1,"")</f>
        <v/>
      </c>
      <c r="AU1349" s="80">
        <f>IF(AND(D1349="proMX",R1349="Cancelled"),0,1)</f>
        <v>1</v>
      </c>
      <c r="AV1349" s="80">
        <f>IF(AND(AB1349=1,AU1349=1),IF(COUNTIFS($D$5:D1348,D1349,$B$5:B1348,B1349,$Z$5:Z1348,Z1349,$AA$5:AA1348,AA1349,$F$5:F1348,F1349&amp;"",$AU$5:AU1348,1)&gt;0,1,0),0)</f>
        <v>0</v>
      </c>
      <c r="AW1349" s="80" t="str">
        <f>IF(AB1349=1,INT(B1349)*1440+Z1349,"")</f>
        <v/>
      </c>
      <c r="AX1349" s="80" t="str">
        <f>IF(AB1349=1,AW1349+AD1349,"")</f>
        <v/>
      </c>
      <c r="AY1349" s="80">
        <f>IF(AND(AB1349=1,AV1349=0,AU1349=1),1,0)</f>
        <v>0</v>
      </c>
      <c r="AZ1349" s="80">
        <f>IF(AY1349=1,COUNTIFS(R_Emp,D1349,R_SAbs,"&lt;"&amp;AX1349,R_EAbs,"&gt;"&amp;AW1349,R_OKey,1)-1,0)</f>
        <v>0</v>
      </c>
      <c r="BA1349" s="80">
        <f>IF(AY1349=1,COUNTIFS(R_Emp,"&lt;&gt;"&amp;D1349,R_SAbs,"&lt;"&amp;AX1349,R_EAbs,"&gt;"&amp;AW1349,R_OKey,1),0)</f>
        <v>0</v>
      </c>
      <c r="BB1349" s="80">
        <f>IF(AND(AB1349=1,D1349="proMX"),IF(AND(MOD(Z1349,CFG_BLK)=0,MOD(AA1349,CFG_BLK)=0,MOD(AG1349,CFG_BLK)=0,AG1349&gt;0),1,0),1)</f>
        <v>1</v>
      </c>
      <c r="BC1349" s="80" t="str">
        <f>IF(Y1349=0,"",IF(NOT(ISNUMBER(B1349)),"Falta fecha o fecha inválida",IF(D1349="","Falta empresa",IF(AND(D1349&lt;&gt;"Malcolm",D1349&lt;&gt;"proMX"),"Empresa inválida",IF(OR(INT(B1349)&lt;CFG_PSTART,INT(B1349)&gt;CFG_PEND),"Fecha fuera del período",IF(OR(NOT(ISNUMBER(Z1349)),NOT(ISNUMBER(AA1349))),"Falta hora inicio/fin o formato inválido",IF(AB1349=0,"Hora inicio = hora fin",IF(AE1349&lt;0,"Descanso inválido",IF(AE1349&gt;=AD1349,"Descanso ≥ duración",IF(AV1349=1,"Registro duplicado",IF(AZ1349&gt;0,"Se superpone con otro registro "&amp;D1349,IF(BB1349=0,"inicio, fin y duración neta deben ser múltiplos de "&amp;CFG_BLK&amp;" min",""))))))))))))</f>
        <v/>
      </c>
      <c r="BD1349" s="80">
        <f>IF(AND(Y1349=1,BC1349=""),1,0)</f>
        <v>0</v>
      </c>
      <c r="BE1349" s="80">
        <f>IF(AND(BD1349=1,AU1349=1),1,0)</f>
        <v>0</v>
      </c>
      <c r="BF1349" s="80" t="str">
        <f>IF(AND(D1349="proMX",BD1349=1),IF(R1349="","Draft",R1349),"")</f>
        <v/>
      </c>
      <c r="BG1349" s="80">
        <f>IF(BD1349=1,ROUND(AG1349/60,6),0)</f>
        <v>0</v>
      </c>
      <c r="BH1349" s="80">
        <f>IF(BE1349=1,ROUND(AG1349/60,6),0)</f>
        <v>0</v>
      </c>
      <c r="BI1349" s="80">
        <f>IF(BE1349=1,ROUND(AP1349/60,6),0)</f>
        <v>0</v>
      </c>
      <c r="BJ1349" s="80">
        <f>IF(BE1349=1,ROUND(AQ1349/60,6),0)</f>
        <v>0</v>
      </c>
      <c r="BK1349" s="80">
        <f>IF(BE1349=1,ROUND((AR1349+AS1349)/60,6),0)</f>
        <v>0</v>
      </c>
      <c r="BL1349" s="80">
        <f>ROUND(BH1349-BK1349,6)</f>
        <v>0</v>
      </c>
      <c r="BM1349" s="80">
        <f>IF(BE1349=1,ROUND(AR1349/60,6),0)</f>
        <v>0</v>
      </c>
      <c r="BN1349" s="80">
        <f>ROUND(BI1349-BM1349,6)</f>
        <v>0</v>
      </c>
      <c r="BO1349" s="80">
        <f>IF(BE1349=1,ROUND(AS1349/60,6),0)</f>
        <v>0</v>
      </c>
      <c r="BP1349" s="80">
        <f>ROUND(BJ1349-BO1349,6)</f>
        <v>0</v>
      </c>
      <c r="BQ1349" s="80">
        <f>IF(BE1349=1,AW1349,0)</f>
        <v>0</v>
      </c>
      <c r="BR1349" s="80">
        <f>IF(BE1349=1,AX1349,0)</f>
        <v>0</v>
      </c>
      <c r="BS1349" s="80">
        <f>IF(AND(BE1349=1,D1349="Malcolm",BA1349&gt;0),MIN(BH1349,SUMPRODUCT((R_Emp="proMX")*(R_EN&gt;0)*((R_EN-(R_EN&gt;BR1349)*(R_EN-BR1349))&gt;(R_SN+(R_SN&lt;BQ1349)*(BQ1349-R_SN)))*((R_EN-(R_EN&gt;BR1349)*(R_EN-BR1349))-(R_SN+(R_SN&lt;BQ1349)*(BQ1349-R_SN))))/60),0)</f>
        <v>0</v>
      </c>
      <c r="BT1349" s="80">
        <f>IF(AND(BE1349=1,D1349="proMX"),ROUND(BI1349*CFG_RATE+BJ1349*CFG_OTRATE,6),0)</f>
        <v>0</v>
      </c>
      <c r="BU1349" s="80">
        <f>IF(AND(BD1349=1,D1349="proMX"),ROUND(AG1349/CFG_BLK,6),0)</f>
        <v>0</v>
      </c>
      <c r="BV1349" s="80" t="str">
        <f>IF(BF1349="Approved",IF(ISNUMBER(T1349),INT(T1349),INT(B1349)),"")</f>
        <v/>
      </c>
      <c r="BW1349" s="80">
        <f>IF(ISNUMBER(B1349),IF(DB_MON="Todos",1,IF(AND(INT(B1349)&gt;=DB_MS,INT(B1349)&lt;=DB_ME),1,0)),0)</f>
        <v>0</v>
      </c>
      <c r="BX1349" s="80">
        <f>IF(DB_PROJ="Todos",1,IF(E1349&amp;""=DB_PROJ&amp;"",1,0))</f>
        <v>1</v>
      </c>
      <c r="BY1349" s="80">
        <f>BW1349*BX1349</f>
        <v>0</v>
      </c>
      <c r="BZ1349" s="80" t="str">
        <f>IF(Y1349=1,F1349&amp;IF(AND(F1349&amp;""&lt;&gt;"",E1349&amp;""&lt;&gt;"")," · ","")&amp;E1349,"")</f>
        <v/>
      </c>
      <c r="CA1349" s="80" t="str">
        <f>IF(AND(BD1349=1,E1349&amp;""&lt;&gt;""),IF(COUNTIFS($E$5:E1348,E1349,$BD$5:BD1348,1)=0,MAX($CA$5:CA1348)+1,""),"")</f>
        <v/>
      </c>
      <c r="CB1349" s="80" t="str">
        <f>IF(AND(BE1349=1,D1349="Malcolm",E1349&amp;""&lt;&gt;""),IF(COUNTIFS($D$5:D1348,"Malcolm",$E$5:E1348,E1349,$BE$5:BE1348,1)=0,MAX($CB$5:CB1348)+1,""),"")</f>
        <v/>
      </c>
      <c r="CC1349" s="80" t="str">
        <f>IF(AND(BD1349=1,D1349="proMX",E1349&amp;""&lt;&gt;""),IF(COUNTIFS($D$5:D1348,"proMX",$E$5:E1348,E1349,$BD$5:BD1348,1)=0,MAX($CC$5:CC1348)+1,""),"")</f>
        <v/>
      </c>
      <c r="CD1349" s="80" t="str">
        <f>IF(AND(BE1349=1,D1349="Malcolm",F1349&amp;""&lt;&gt;""),IF(COUNTIFS($D$5:D1348,"Malcolm",$F$5:F1348,F1349,$BE$5:BE1348,1)=0,MAX($CD$5:CD1348)+1,""),"")</f>
        <v/>
      </c>
      <c r="CE1349" s="80" t="str">
        <f>IF(AND(BD1349=1,D1349="proMX",F1349&amp;""&lt;&gt;""),IF(COUNTIFS($D$5:D1348,"proMX",$F$5:F1348,F1349,$BD$5:BD1348,1)=0,MAX($CE$5:CE1348)+1,""),"")</f>
        <v/>
      </c>
      <c r="CF1349" s="80" t="str">
        <f>IF(AND(D1349="proMX",BD1349=1),IF(OR(BF1349="Draft",BF1349="Submitted",BF1349="Returned",BF1349="Recall Requested"),MAX($CF$5:CF1348)+1,""),"")</f>
        <v/>
      </c>
      <c r="CG1349" s="80">
        <f>IF(BD1349=0,0,IF(D1349="Malcolm",1,MATCH(BF1349,{"Draft","Submitted","Approved","Returned","Recall Requested","Cancelled"},0)+1))</f>
        <v>0</v>
      </c>
      <c r="CH1349" s="80">
        <f>IF(AND(BF1349="Submitted",ISNUMBER(V1349)),IF(V1349&gt;CFG_MAXD,1,0),0)</f>
        <v>0</v>
      </c>
    </row>
    <row r="1350">
      <c r="A1350" s="71" t="str">
        <f>IF(Y1350=1,ROW()-5,"")</f>
        <v/>
      </c>
      <c r="B1350" s="72" t="n"/>
      <c r="C1350" s="71" t="str">
        <f>IF(ISNUMBER(B1350),CHOOSE(WEEKDAY(B1350,2),"Lun","Mar","Mié","Jue","Vie","Sáb","Dom"),"")</f>
        <v/>
      </c>
      <c r="D1350" s="73" t="n"/>
      <c r="E1350" s="74" t="n"/>
      <c r="F1350" s="74" t="n"/>
      <c r="G1350" s="74" t="n"/>
      <c r="H1350" s="75" t="n"/>
      <c r="I1350" s="75" t="n"/>
      <c r="J1350" s="76" t="n"/>
      <c r="K1350" s="77" t="str">
        <f>IF(AB1350=1,ROUND(AG1350/60,4),"")</f>
        <v/>
      </c>
      <c r="L1350" s="77" t="str">
        <f>IF(BD1350=1,ROUND(AP1350/60,4),"")</f>
        <v/>
      </c>
      <c r="M1350" s="77" t="str">
        <f>IF(BD1350=1,ROUND(AQ1350/60,4),"")</f>
        <v/>
      </c>
      <c r="N1350" s="71" t="str">
        <f>IF(AND(D1350="proMX",AB1350=1),ROUND(AG1350/CFG_BLK,2),"")</f>
        <v/>
      </c>
      <c r="O1350" s="77" t="str">
        <f>IF(D1350="proMX",IF(BD1350=1,ROUND(AG1350/60,4),0),"")</f>
        <v/>
      </c>
      <c r="P1350" s="78" t="str">
        <f>IF(Y1350=0,"",IF(BD1350=1,"OK",IF(D1350="proMX","Revisar bloques: ","Revisar: ")&amp;BC1350))</f>
        <v/>
      </c>
      <c r="Q1350" s="78" t="str">
        <f>IF(NOT(ISNUMBER(B1350)),"",IF(COUNTIFS(FER_F,INT(B1350))&gt;0,"Feriado"&amp;IF(AH1350=1," (laborable)"," (no laborable)"),IF(AH1350=1,"Laborable",IF(WEEKDAY(B1350,2)&gt;5,"Fin de semana","No laborable"))))</f>
        <v/>
      </c>
      <c r="R1350" s="73" t="n"/>
      <c r="S1350" s="72" t="n"/>
      <c r="T1350" s="72" t="n"/>
      <c r="U1350" s="74" t="n"/>
      <c r="V1350" s="79" t="str">
        <f>IF(AND(D1350="proMX",OR(R1350="Submitted",R1350="Recall Requested"),ISNUMBER(S1350)),CFG_TODAY-INT(S1350),"")</f>
        <v/>
      </c>
      <c r="W1350" s="78" t="str">
        <f>IF(BD1350=0,"",IF(BA1350&gt;0,"⚠ Se superpone con un registro de la otra empresa",IF(D1350="Malcolm",IF(COUNTA(R1350,S1350,T1350)&gt;0,"Estado/fechas proMX se ignoran en Malcolm",""),IF(BF1350="Cancelled","Cancelado: excluido de totales",IF(R1350="","Sin estado: se trata como Draft",IF(BF1350="Submitted",IF(ISNUMBER(V1350),IF(V1350&gt;CFG_MAXD,"⚠ "&amp;V1350&amp;" días en Submitted (máx. "&amp;CFG_MAXD&amp;")",""),"Falta fecha de envío"),IF(BF1350="Returned","⚠ Devuelto: corregir y reenviar",IF(BF1350="Recall Requested","Retirada solicitada: pendiente",IF(AND(BF1350="Approved",NOT(ISNUMBER(T1350))),"Falta fecha de aprobación",IF(AND(ISNUMBER(S1350),ISNUMBER(T1350),T1350&lt;S1350),"Aprobación anterior al envío","")))))))))</f>
        <v/>
      </c>
      <c r="Y1350" s="80">
        <f>IF(COUNTA(B1350,D1350,E1350,F1350,G1350,H1350,I1350,J1350,R1350,S1350,T1350)&gt;0,1,0)</f>
        <v>0</v>
      </c>
      <c r="Z1350" s="80" t="str">
        <f>IF(AND(ISNUMBER(H1350),H1350&gt;=0,H1350&lt;1),ROUND(H1350*1440,0),"")</f>
        <v/>
      </c>
      <c r="AA1350" s="80" t="str">
        <f>IF(AND(ISNUMBER(I1350),I1350&gt;=0,I1350&lt;1),ROUND(I1350*1440,0),"")</f>
        <v/>
      </c>
      <c r="AB1350" s="80">
        <f>IF(AND(ISNUMBER(B1350),D1350&lt;&gt;"",ISNUMBER(Z1350),ISNUMBER(AA1350)),IF(Z1350=AA1350,0,1),0)</f>
        <v>0</v>
      </c>
      <c r="AC1350" s="80">
        <f>IF(AB1350=1,IF(AA1350&lt;Z1350,1,0),0)</f>
        <v>0</v>
      </c>
      <c r="AD1350" s="80">
        <f>IF(AB1350=1,IF(AC1350=1,1440-Z1350+AA1350,AA1350-Z1350),0)</f>
        <v>0</v>
      </c>
      <c r="AE1350" s="80">
        <f>IF(J1350="",0,IF(ISNUMBER(J1350),J1350,-1))</f>
        <v>0</v>
      </c>
      <c r="AF1350" s="80">
        <f>MIN(MAX(0,AE1350),AD1350)</f>
        <v>0</v>
      </c>
      <c r="AG1350" s="80">
        <f>MAX(0,AD1350-MAX(0,AE1350))</f>
        <v>0</v>
      </c>
      <c r="AH1350" s="80">
        <f>IF(ISNUMBER(B1350),IF(AND(INDEX(CFG_WDAYS,WEEKDAY(INT(B1350),2))="Sí",IF(D1350="proMX",COUNTIFS(FER_F,INT(B1350),FER_NLP,"Sí"),COUNTIFS(FER_F,INT(B1350),FER_NLM,"Sí"))=0),1,0),0)</f>
        <v>0</v>
      </c>
      <c r="AI1350" s="80">
        <f>IF(AC1350=1,IF(AND(INDEX(CFG_WDAYS,WEEKDAY(INT(B1350)+1,2))="Sí",IF(D1350="proMX",COUNTIFS(FER_F,INT(B1350)+1,FER_NLP,"Sí"),COUNTIFS(FER_F,INT(B1350)+1,FER_NLM,"Sí"))=0),1,0),0)</f>
        <v>0</v>
      </c>
      <c r="AJ1350" s="80">
        <f>IF(AC1350=1,1440-Z1350,AD1350)</f>
        <v>0</v>
      </c>
      <c r="AK1350" s="80">
        <f>IF(AND(AB1350=1,AH1350=1),MAX(0,MIN(IF(AC1350=1,1440,AA1350),CFG_WEM)-MAX(Z1350,CFG_WSM)),0)</f>
        <v>0</v>
      </c>
      <c r="AL1350" s="80">
        <f>IF(AND(AC1350=1,AI1350=1),MAX(0,MIN(AA1350,CFG_WEM)-CFG_WSM),0)</f>
        <v>0</v>
      </c>
      <c r="AM1350" s="80">
        <f>AK1350+AL1350</f>
        <v>0</v>
      </c>
      <c r="AN1350" s="80">
        <f>IF(CFG_BRK="Proporcional",IF(AD1350=0,0,AF1350*AM1350/AD1350),IF(CFG_BRK="Extras primero",MIN(AM1350,MAX(0,AF1350-(AD1350-AM1350))),MIN(AF1350,AM1350)))</f>
        <v>0</v>
      </c>
      <c r="AO1350" s="80">
        <f>AF1350-AN1350</f>
        <v>0</v>
      </c>
      <c r="AP1350" s="80">
        <f>AM1350-AN1350</f>
        <v>0</v>
      </c>
      <c r="AQ1350" s="80">
        <f>AD1350-AM1350-AO1350</f>
        <v>0</v>
      </c>
      <c r="AR1350" s="80">
        <f>IF(AM1350=0,0,AK1350-AN1350*AK1350/AM1350)</f>
        <v>0</v>
      </c>
      <c r="AS1350" s="80">
        <f>IF(AD1350-AM1350=0,0,(AJ1350-AK1350)-AO1350*(AJ1350-AK1350)/(AD1350-AM1350))</f>
        <v>0</v>
      </c>
      <c r="AT1350" s="80" t="str">
        <f>IF(AC1350=1,INT(B1350)+1,"")</f>
        <v/>
      </c>
      <c r="AU1350" s="80">
        <f>IF(AND(D1350="proMX",R1350="Cancelled"),0,1)</f>
        <v>1</v>
      </c>
      <c r="AV1350" s="80">
        <f>IF(AND(AB1350=1,AU1350=1),IF(COUNTIFS($D$5:D1349,D1350,$B$5:B1349,B1350,$Z$5:Z1349,Z1350,$AA$5:AA1349,AA1350,$F$5:F1349,F1350&amp;"",$AU$5:AU1349,1)&gt;0,1,0),0)</f>
        <v>0</v>
      </c>
      <c r="AW1350" s="80" t="str">
        <f>IF(AB1350=1,INT(B1350)*1440+Z1350,"")</f>
        <v/>
      </c>
      <c r="AX1350" s="80" t="str">
        <f>IF(AB1350=1,AW1350+AD1350,"")</f>
        <v/>
      </c>
      <c r="AY1350" s="80">
        <f>IF(AND(AB1350=1,AV1350=0,AU1350=1),1,0)</f>
        <v>0</v>
      </c>
      <c r="AZ1350" s="80">
        <f>IF(AY1350=1,COUNTIFS(R_Emp,D1350,R_SAbs,"&lt;"&amp;AX1350,R_EAbs,"&gt;"&amp;AW1350,R_OKey,1)-1,0)</f>
        <v>0</v>
      </c>
      <c r="BA1350" s="80">
        <f>IF(AY1350=1,COUNTIFS(R_Emp,"&lt;&gt;"&amp;D1350,R_SAbs,"&lt;"&amp;AX1350,R_EAbs,"&gt;"&amp;AW1350,R_OKey,1),0)</f>
        <v>0</v>
      </c>
      <c r="BB1350" s="80">
        <f>IF(AND(AB1350=1,D1350="proMX"),IF(AND(MOD(Z1350,CFG_BLK)=0,MOD(AA1350,CFG_BLK)=0,MOD(AG1350,CFG_BLK)=0,AG1350&gt;0),1,0),1)</f>
        <v>1</v>
      </c>
      <c r="BC1350" s="80" t="str">
        <f>IF(Y1350=0,"",IF(NOT(ISNUMBER(B1350)),"Falta fecha o fecha inválida",IF(D1350="","Falta empresa",IF(AND(D1350&lt;&gt;"Malcolm",D1350&lt;&gt;"proMX"),"Empresa inválida",IF(OR(INT(B1350)&lt;CFG_PSTART,INT(B1350)&gt;CFG_PEND),"Fecha fuera del período",IF(OR(NOT(ISNUMBER(Z1350)),NOT(ISNUMBER(AA1350))),"Falta hora inicio/fin o formato inválido",IF(AB1350=0,"Hora inicio = hora fin",IF(AE1350&lt;0,"Descanso inválido",IF(AE1350&gt;=AD1350,"Descanso ≥ duración",IF(AV1350=1,"Registro duplicado",IF(AZ1350&gt;0,"Se superpone con otro registro "&amp;D1350,IF(BB1350=0,"inicio, fin y duración neta deben ser múltiplos de "&amp;CFG_BLK&amp;" min",""))))))))))))</f>
        <v/>
      </c>
      <c r="BD1350" s="80">
        <f>IF(AND(Y1350=1,BC1350=""),1,0)</f>
        <v>0</v>
      </c>
      <c r="BE1350" s="80">
        <f>IF(AND(BD1350=1,AU1350=1),1,0)</f>
        <v>0</v>
      </c>
      <c r="BF1350" s="80" t="str">
        <f>IF(AND(D1350="proMX",BD1350=1),IF(R1350="","Draft",R1350),"")</f>
        <v/>
      </c>
      <c r="BG1350" s="80">
        <f>IF(BD1350=1,ROUND(AG1350/60,6),0)</f>
        <v>0</v>
      </c>
      <c r="BH1350" s="80">
        <f>IF(BE1350=1,ROUND(AG1350/60,6),0)</f>
        <v>0</v>
      </c>
      <c r="BI1350" s="80">
        <f>IF(BE1350=1,ROUND(AP1350/60,6),0)</f>
        <v>0</v>
      </c>
      <c r="BJ1350" s="80">
        <f>IF(BE1350=1,ROUND(AQ1350/60,6),0)</f>
        <v>0</v>
      </c>
      <c r="BK1350" s="80">
        <f>IF(BE1350=1,ROUND((AR1350+AS1350)/60,6),0)</f>
        <v>0</v>
      </c>
      <c r="BL1350" s="80">
        <f>ROUND(BH1350-BK1350,6)</f>
        <v>0</v>
      </c>
      <c r="BM1350" s="80">
        <f>IF(BE1350=1,ROUND(AR1350/60,6),0)</f>
        <v>0</v>
      </c>
      <c r="BN1350" s="80">
        <f>ROUND(BI1350-BM1350,6)</f>
        <v>0</v>
      </c>
      <c r="BO1350" s="80">
        <f>IF(BE1350=1,ROUND(AS1350/60,6),0)</f>
        <v>0</v>
      </c>
      <c r="BP1350" s="80">
        <f>ROUND(BJ1350-BO1350,6)</f>
        <v>0</v>
      </c>
      <c r="BQ1350" s="80">
        <f>IF(BE1350=1,AW1350,0)</f>
        <v>0</v>
      </c>
      <c r="BR1350" s="80">
        <f>IF(BE1350=1,AX1350,0)</f>
        <v>0</v>
      </c>
      <c r="BS1350" s="80">
        <f>IF(AND(BE1350=1,D1350="Malcolm",BA1350&gt;0),MIN(BH1350,SUMPRODUCT((R_Emp="proMX")*(R_EN&gt;0)*((R_EN-(R_EN&gt;BR1350)*(R_EN-BR1350))&gt;(R_SN+(R_SN&lt;BQ1350)*(BQ1350-R_SN)))*((R_EN-(R_EN&gt;BR1350)*(R_EN-BR1350))-(R_SN+(R_SN&lt;BQ1350)*(BQ1350-R_SN))))/60),0)</f>
        <v>0</v>
      </c>
      <c r="BT1350" s="80">
        <f>IF(AND(BE1350=1,D1350="proMX"),ROUND(BI1350*CFG_RATE+BJ1350*CFG_OTRATE,6),0)</f>
        <v>0</v>
      </c>
      <c r="BU1350" s="80">
        <f>IF(AND(BD1350=1,D1350="proMX"),ROUND(AG1350/CFG_BLK,6),0)</f>
        <v>0</v>
      </c>
      <c r="BV1350" s="80" t="str">
        <f>IF(BF1350="Approved",IF(ISNUMBER(T1350),INT(T1350),INT(B1350)),"")</f>
        <v/>
      </c>
      <c r="BW1350" s="80">
        <f>IF(ISNUMBER(B1350),IF(DB_MON="Todos",1,IF(AND(INT(B1350)&gt;=DB_MS,INT(B1350)&lt;=DB_ME),1,0)),0)</f>
        <v>0</v>
      </c>
      <c r="BX1350" s="80">
        <f>IF(DB_PROJ="Todos",1,IF(E1350&amp;""=DB_PROJ&amp;"",1,0))</f>
        <v>1</v>
      </c>
      <c r="BY1350" s="80">
        <f>BW1350*BX1350</f>
        <v>0</v>
      </c>
      <c r="BZ1350" s="80" t="str">
        <f>IF(Y1350=1,F1350&amp;IF(AND(F1350&amp;""&lt;&gt;"",E1350&amp;""&lt;&gt;"")," · ","")&amp;E1350,"")</f>
        <v/>
      </c>
      <c r="CA1350" s="80" t="str">
        <f>IF(AND(BD1350=1,E1350&amp;""&lt;&gt;""),IF(COUNTIFS($E$5:E1349,E1350,$BD$5:BD1349,1)=0,MAX($CA$5:CA1349)+1,""),"")</f>
        <v/>
      </c>
      <c r="CB1350" s="80" t="str">
        <f>IF(AND(BE1350=1,D1350="Malcolm",E1350&amp;""&lt;&gt;""),IF(COUNTIFS($D$5:D1349,"Malcolm",$E$5:E1349,E1350,$BE$5:BE1349,1)=0,MAX($CB$5:CB1349)+1,""),"")</f>
        <v/>
      </c>
      <c r="CC1350" s="80" t="str">
        <f>IF(AND(BD1350=1,D1350="proMX",E1350&amp;""&lt;&gt;""),IF(COUNTIFS($D$5:D1349,"proMX",$E$5:E1349,E1350,$BD$5:BD1349,1)=0,MAX($CC$5:CC1349)+1,""),"")</f>
        <v/>
      </c>
      <c r="CD1350" s="80" t="str">
        <f>IF(AND(BE1350=1,D1350="Malcolm",F1350&amp;""&lt;&gt;""),IF(COUNTIFS($D$5:D1349,"Malcolm",$F$5:F1349,F1350,$BE$5:BE1349,1)=0,MAX($CD$5:CD1349)+1,""),"")</f>
        <v/>
      </c>
      <c r="CE1350" s="80" t="str">
        <f>IF(AND(BD1350=1,D1350="proMX",F1350&amp;""&lt;&gt;""),IF(COUNTIFS($D$5:D1349,"proMX",$F$5:F1349,F1350,$BD$5:BD1349,1)=0,MAX($CE$5:CE1349)+1,""),"")</f>
        <v/>
      </c>
      <c r="CF1350" s="80" t="str">
        <f>IF(AND(D1350="proMX",BD1350=1),IF(OR(BF1350="Draft",BF1350="Submitted",BF1350="Returned",BF1350="Recall Requested"),MAX($CF$5:CF1349)+1,""),"")</f>
        <v/>
      </c>
      <c r="CG1350" s="80">
        <f>IF(BD1350=0,0,IF(D1350="Malcolm",1,MATCH(BF1350,{"Draft","Submitted","Approved","Returned","Recall Requested","Cancelled"},0)+1))</f>
        <v>0</v>
      </c>
      <c r="CH1350" s="80">
        <f>IF(AND(BF1350="Submitted",ISNUMBER(V1350)),IF(V1350&gt;CFG_MAXD,1,0),0)</f>
        <v>0</v>
      </c>
    </row>
    <row r="1351">
      <c r="A1351" s="71" t="str">
        <f>IF(Y1351=1,ROW()-5,"")</f>
        <v/>
      </c>
      <c r="B1351" s="72" t="n"/>
      <c r="C1351" s="71" t="str">
        <f>IF(ISNUMBER(B1351),CHOOSE(WEEKDAY(B1351,2),"Lun","Mar","Mié","Jue","Vie","Sáb","Dom"),"")</f>
        <v/>
      </c>
      <c r="D1351" s="73" t="n"/>
      <c r="E1351" s="74" t="n"/>
      <c r="F1351" s="74" t="n"/>
      <c r="G1351" s="74" t="n"/>
      <c r="H1351" s="75" t="n"/>
      <c r="I1351" s="75" t="n"/>
      <c r="J1351" s="76" t="n"/>
      <c r="K1351" s="77" t="str">
        <f>IF(AB1351=1,ROUND(AG1351/60,4),"")</f>
        <v/>
      </c>
      <c r="L1351" s="77" t="str">
        <f>IF(BD1351=1,ROUND(AP1351/60,4),"")</f>
        <v/>
      </c>
      <c r="M1351" s="77" t="str">
        <f>IF(BD1351=1,ROUND(AQ1351/60,4),"")</f>
        <v/>
      </c>
      <c r="N1351" s="71" t="str">
        <f>IF(AND(D1351="proMX",AB1351=1),ROUND(AG1351/CFG_BLK,2),"")</f>
        <v/>
      </c>
      <c r="O1351" s="77" t="str">
        <f>IF(D1351="proMX",IF(BD1351=1,ROUND(AG1351/60,4),0),"")</f>
        <v/>
      </c>
      <c r="P1351" s="78" t="str">
        <f>IF(Y1351=0,"",IF(BD1351=1,"OK",IF(D1351="proMX","Revisar bloques: ","Revisar: ")&amp;BC1351))</f>
        <v/>
      </c>
      <c r="Q1351" s="78" t="str">
        <f>IF(NOT(ISNUMBER(B1351)),"",IF(COUNTIFS(FER_F,INT(B1351))&gt;0,"Feriado"&amp;IF(AH1351=1," (laborable)"," (no laborable)"),IF(AH1351=1,"Laborable",IF(WEEKDAY(B1351,2)&gt;5,"Fin de semana","No laborable"))))</f>
        <v/>
      </c>
      <c r="R1351" s="73" t="n"/>
      <c r="S1351" s="72" t="n"/>
      <c r="T1351" s="72" t="n"/>
      <c r="U1351" s="74" t="n"/>
      <c r="V1351" s="79" t="str">
        <f>IF(AND(D1351="proMX",OR(R1351="Submitted",R1351="Recall Requested"),ISNUMBER(S1351)),CFG_TODAY-INT(S1351),"")</f>
        <v/>
      </c>
      <c r="W1351" s="78" t="str">
        <f>IF(BD1351=0,"",IF(BA1351&gt;0,"⚠ Se superpone con un registro de la otra empresa",IF(D1351="Malcolm",IF(COUNTA(R1351,S1351,T1351)&gt;0,"Estado/fechas proMX se ignoran en Malcolm",""),IF(BF1351="Cancelled","Cancelado: excluido de totales",IF(R1351="","Sin estado: se trata como Draft",IF(BF1351="Submitted",IF(ISNUMBER(V1351),IF(V1351&gt;CFG_MAXD,"⚠ "&amp;V1351&amp;" días en Submitted (máx. "&amp;CFG_MAXD&amp;")",""),"Falta fecha de envío"),IF(BF1351="Returned","⚠ Devuelto: corregir y reenviar",IF(BF1351="Recall Requested","Retirada solicitada: pendiente",IF(AND(BF1351="Approved",NOT(ISNUMBER(T1351))),"Falta fecha de aprobación",IF(AND(ISNUMBER(S1351),ISNUMBER(T1351),T1351&lt;S1351),"Aprobación anterior al envío","")))))))))</f>
        <v/>
      </c>
      <c r="Y1351" s="80">
        <f>IF(COUNTA(B1351,D1351,E1351,F1351,G1351,H1351,I1351,J1351,R1351,S1351,T1351)&gt;0,1,0)</f>
        <v>0</v>
      </c>
      <c r="Z1351" s="80" t="str">
        <f>IF(AND(ISNUMBER(H1351),H1351&gt;=0,H1351&lt;1),ROUND(H1351*1440,0),"")</f>
        <v/>
      </c>
      <c r="AA1351" s="80" t="str">
        <f>IF(AND(ISNUMBER(I1351),I1351&gt;=0,I1351&lt;1),ROUND(I1351*1440,0),"")</f>
        <v/>
      </c>
      <c r="AB1351" s="80">
        <f>IF(AND(ISNUMBER(B1351),D1351&lt;&gt;"",ISNUMBER(Z1351),ISNUMBER(AA1351)),IF(Z1351=AA1351,0,1),0)</f>
        <v>0</v>
      </c>
      <c r="AC1351" s="80">
        <f>IF(AB1351=1,IF(AA1351&lt;Z1351,1,0),0)</f>
        <v>0</v>
      </c>
      <c r="AD1351" s="80">
        <f>IF(AB1351=1,IF(AC1351=1,1440-Z1351+AA1351,AA1351-Z1351),0)</f>
        <v>0</v>
      </c>
      <c r="AE1351" s="80">
        <f>IF(J1351="",0,IF(ISNUMBER(J1351),J1351,-1))</f>
        <v>0</v>
      </c>
      <c r="AF1351" s="80">
        <f>MIN(MAX(0,AE1351),AD1351)</f>
        <v>0</v>
      </c>
      <c r="AG1351" s="80">
        <f>MAX(0,AD1351-MAX(0,AE1351))</f>
        <v>0</v>
      </c>
      <c r="AH1351" s="80">
        <f>IF(ISNUMBER(B1351),IF(AND(INDEX(CFG_WDAYS,WEEKDAY(INT(B1351),2))="Sí",IF(D1351="proMX",COUNTIFS(FER_F,INT(B1351),FER_NLP,"Sí"),COUNTIFS(FER_F,INT(B1351),FER_NLM,"Sí"))=0),1,0),0)</f>
        <v>0</v>
      </c>
      <c r="AI1351" s="80">
        <f>IF(AC1351=1,IF(AND(INDEX(CFG_WDAYS,WEEKDAY(INT(B1351)+1,2))="Sí",IF(D1351="proMX",COUNTIFS(FER_F,INT(B1351)+1,FER_NLP,"Sí"),COUNTIFS(FER_F,INT(B1351)+1,FER_NLM,"Sí"))=0),1,0),0)</f>
        <v>0</v>
      </c>
      <c r="AJ1351" s="80">
        <f>IF(AC1351=1,1440-Z1351,AD1351)</f>
        <v>0</v>
      </c>
      <c r="AK1351" s="80">
        <f>IF(AND(AB1351=1,AH1351=1),MAX(0,MIN(IF(AC1351=1,1440,AA1351),CFG_WEM)-MAX(Z1351,CFG_WSM)),0)</f>
        <v>0</v>
      </c>
      <c r="AL1351" s="80">
        <f>IF(AND(AC1351=1,AI1351=1),MAX(0,MIN(AA1351,CFG_WEM)-CFG_WSM),0)</f>
        <v>0</v>
      </c>
      <c r="AM1351" s="80">
        <f>AK1351+AL1351</f>
        <v>0</v>
      </c>
      <c r="AN1351" s="80">
        <f>IF(CFG_BRK="Proporcional",IF(AD1351=0,0,AF1351*AM1351/AD1351),IF(CFG_BRK="Extras primero",MIN(AM1351,MAX(0,AF1351-(AD1351-AM1351))),MIN(AF1351,AM1351)))</f>
        <v>0</v>
      </c>
      <c r="AO1351" s="80">
        <f>AF1351-AN1351</f>
        <v>0</v>
      </c>
      <c r="AP1351" s="80">
        <f>AM1351-AN1351</f>
        <v>0</v>
      </c>
      <c r="AQ1351" s="80">
        <f>AD1351-AM1351-AO1351</f>
        <v>0</v>
      </c>
      <c r="AR1351" s="80">
        <f>IF(AM1351=0,0,AK1351-AN1351*AK1351/AM1351)</f>
        <v>0</v>
      </c>
      <c r="AS1351" s="80">
        <f>IF(AD1351-AM1351=0,0,(AJ1351-AK1351)-AO1351*(AJ1351-AK1351)/(AD1351-AM1351))</f>
        <v>0</v>
      </c>
      <c r="AT1351" s="80" t="str">
        <f>IF(AC1351=1,INT(B1351)+1,"")</f>
        <v/>
      </c>
      <c r="AU1351" s="80">
        <f>IF(AND(D1351="proMX",R1351="Cancelled"),0,1)</f>
        <v>1</v>
      </c>
      <c r="AV1351" s="80">
        <f>IF(AND(AB1351=1,AU1351=1),IF(COUNTIFS($D$5:D1350,D1351,$B$5:B1350,B1351,$Z$5:Z1350,Z1351,$AA$5:AA1350,AA1351,$F$5:F1350,F1351&amp;"",$AU$5:AU1350,1)&gt;0,1,0),0)</f>
        <v>0</v>
      </c>
      <c r="AW1351" s="80" t="str">
        <f>IF(AB1351=1,INT(B1351)*1440+Z1351,"")</f>
        <v/>
      </c>
      <c r="AX1351" s="80" t="str">
        <f>IF(AB1351=1,AW1351+AD1351,"")</f>
        <v/>
      </c>
      <c r="AY1351" s="80">
        <f>IF(AND(AB1351=1,AV1351=0,AU1351=1),1,0)</f>
        <v>0</v>
      </c>
      <c r="AZ1351" s="80">
        <f>IF(AY1351=1,COUNTIFS(R_Emp,D1351,R_SAbs,"&lt;"&amp;AX1351,R_EAbs,"&gt;"&amp;AW1351,R_OKey,1)-1,0)</f>
        <v>0</v>
      </c>
      <c r="BA1351" s="80">
        <f>IF(AY1351=1,COUNTIFS(R_Emp,"&lt;&gt;"&amp;D1351,R_SAbs,"&lt;"&amp;AX1351,R_EAbs,"&gt;"&amp;AW1351,R_OKey,1),0)</f>
        <v>0</v>
      </c>
      <c r="BB1351" s="80">
        <f>IF(AND(AB1351=1,D1351="proMX"),IF(AND(MOD(Z1351,CFG_BLK)=0,MOD(AA1351,CFG_BLK)=0,MOD(AG1351,CFG_BLK)=0,AG1351&gt;0),1,0),1)</f>
        <v>1</v>
      </c>
      <c r="BC1351" s="80" t="str">
        <f>IF(Y1351=0,"",IF(NOT(ISNUMBER(B1351)),"Falta fecha o fecha inválida",IF(D1351="","Falta empresa",IF(AND(D1351&lt;&gt;"Malcolm",D1351&lt;&gt;"proMX"),"Empresa inválida",IF(OR(INT(B1351)&lt;CFG_PSTART,INT(B1351)&gt;CFG_PEND),"Fecha fuera del período",IF(OR(NOT(ISNUMBER(Z1351)),NOT(ISNUMBER(AA1351))),"Falta hora inicio/fin o formato inválido",IF(AB1351=0,"Hora inicio = hora fin",IF(AE1351&lt;0,"Descanso inválido",IF(AE1351&gt;=AD1351,"Descanso ≥ duración",IF(AV1351=1,"Registro duplicado",IF(AZ1351&gt;0,"Se superpone con otro registro "&amp;D1351,IF(BB1351=0,"inicio, fin y duración neta deben ser múltiplos de "&amp;CFG_BLK&amp;" min",""))))))))))))</f>
        <v/>
      </c>
      <c r="BD1351" s="80">
        <f>IF(AND(Y1351=1,BC1351=""),1,0)</f>
        <v>0</v>
      </c>
      <c r="BE1351" s="80">
        <f>IF(AND(BD1351=1,AU1351=1),1,0)</f>
        <v>0</v>
      </c>
      <c r="BF1351" s="80" t="str">
        <f>IF(AND(D1351="proMX",BD1351=1),IF(R1351="","Draft",R1351),"")</f>
        <v/>
      </c>
      <c r="BG1351" s="80">
        <f>IF(BD1351=1,ROUND(AG1351/60,6),0)</f>
        <v>0</v>
      </c>
      <c r="BH1351" s="80">
        <f>IF(BE1351=1,ROUND(AG1351/60,6),0)</f>
        <v>0</v>
      </c>
      <c r="BI1351" s="80">
        <f>IF(BE1351=1,ROUND(AP1351/60,6),0)</f>
        <v>0</v>
      </c>
      <c r="BJ1351" s="80">
        <f>IF(BE1351=1,ROUND(AQ1351/60,6),0)</f>
        <v>0</v>
      </c>
      <c r="BK1351" s="80">
        <f>IF(BE1351=1,ROUND((AR1351+AS1351)/60,6),0)</f>
        <v>0</v>
      </c>
      <c r="BL1351" s="80">
        <f>ROUND(BH1351-BK1351,6)</f>
        <v>0</v>
      </c>
      <c r="BM1351" s="80">
        <f>IF(BE1351=1,ROUND(AR1351/60,6),0)</f>
        <v>0</v>
      </c>
      <c r="BN1351" s="80">
        <f>ROUND(BI1351-BM1351,6)</f>
        <v>0</v>
      </c>
      <c r="BO1351" s="80">
        <f>IF(BE1351=1,ROUND(AS1351/60,6),0)</f>
        <v>0</v>
      </c>
      <c r="BP1351" s="80">
        <f>ROUND(BJ1351-BO1351,6)</f>
        <v>0</v>
      </c>
      <c r="BQ1351" s="80">
        <f>IF(BE1351=1,AW1351,0)</f>
        <v>0</v>
      </c>
      <c r="BR1351" s="80">
        <f>IF(BE1351=1,AX1351,0)</f>
        <v>0</v>
      </c>
      <c r="BS1351" s="80">
        <f>IF(AND(BE1351=1,D1351="Malcolm",BA1351&gt;0),MIN(BH1351,SUMPRODUCT((R_Emp="proMX")*(R_EN&gt;0)*((R_EN-(R_EN&gt;BR1351)*(R_EN-BR1351))&gt;(R_SN+(R_SN&lt;BQ1351)*(BQ1351-R_SN)))*((R_EN-(R_EN&gt;BR1351)*(R_EN-BR1351))-(R_SN+(R_SN&lt;BQ1351)*(BQ1351-R_SN))))/60),0)</f>
        <v>0</v>
      </c>
      <c r="BT1351" s="80">
        <f>IF(AND(BE1351=1,D1351="proMX"),ROUND(BI1351*CFG_RATE+BJ1351*CFG_OTRATE,6),0)</f>
        <v>0</v>
      </c>
      <c r="BU1351" s="80">
        <f>IF(AND(BD1351=1,D1351="proMX"),ROUND(AG1351/CFG_BLK,6),0)</f>
        <v>0</v>
      </c>
      <c r="BV1351" s="80" t="str">
        <f>IF(BF1351="Approved",IF(ISNUMBER(T1351),INT(T1351),INT(B1351)),"")</f>
        <v/>
      </c>
      <c r="BW1351" s="80">
        <f>IF(ISNUMBER(B1351),IF(DB_MON="Todos",1,IF(AND(INT(B1351)&gt;=DB_MS,INT(B1351)&lt;=DB_ME),1,0)),0)</f>
        <v>0</v>
      </c>
      <c r="BX1351" s="80">
        <f>IF(DB_PROJ="Todos",1,IF(E1351&amp;""=DB_PROJ&amp;"",1,0))</f>
        <v>1</v>
      </c>
      <c r="BY1351" s="80">
        <f>BW1351*BX1351</f>
        <v>0</v>
      </c>
      <c r="BZ1351" s="80" t="str">
        <f>IF(Y1351=1,F1351&amp;IF(AND(F1351&amp;""&lt;&gt;"",E1351&amp;""&lt;&gt;"")," · ","")&amp;E1351,"")</f>
        <v/>
      </c>
      <c r="CA1351" s="80" t="str">
        <f>IF(AND(BD1351=1,E1351&amp;""&lt;&gt;""),IF(COUNTIFS($E$5:E1350,E1351,$BD$5:BD1350,1)=0,MAX($CA$5:CA1350)+1,""),"")</f>
        <v/>
      </c>
      <c r="CB1351" s="80" t="str">
        <f>IF(AND(BE1351=1,D1351="Malcolm",E1351&amp;""&lt;&gt;""),IF(COUNTIFS($D$5:D1350,"Malcolm",$E$5:E1350,E1351,$BE$5:BE1350,1)=0,MAX($CB$5:CB1350)+1,""),"")</f>
        <v/>
      </c>
      <c r="CC1351" s="80" t="str">
        <f>IF(AND(BD1351=1,D1351="proMX",E1351&amp;""&lt;&gt;""),IF(COUNTIFS($D$5:D1350,"proMX",$E$5:E1350,E1351,$BD$5:BD1350,1)=0,MAX($CC$5:CC1350)+1,""),"")</f>
        <v/>
      </c>
      <c r="CD1351" s="80" t="str">
        <f>IF(AND(BE1351=1,D1351="Malcolm",F1351&amp;""&lt;&gt;""),IF(COUNTIFS($D$5:D1350,"Malcolm",$F$5:F1350,F1351,$BE$5:BE1350,1)=0,MAX($CD$5:CD1350)+1,""),"")</f>
        <v/>
      </c>
      <c r="CE1351" s="80" t="str">
        <f>IF(AND(BD1351=1,D1351="proMX",F1351&amp;""&lt;&gt;""),IF(COUNTIFS($D$5:D1350,"proMX",$F$5:F1350,F1351,$BD$5:BD1350,1)=0,MAX($CE$5:CE1350)+1,""),"")</f>
        <v/>
      </c>
      <c r="CF1351" s="80" t="str">
        <f>IF(AND(D1351="proMX",BD1351=1),IF(OR(BF1351="Draft",BF1351="Submitted",BF1351="Returned",BF1351="Recall Requested"),MAX($CF$5:CF1350)+1,""),"")</f>
        <v/>
      </c>
      <c r="CG1351" s="80">
        <f>IF(BD1351=0,0,IF(D1351="Malcolm",1,MATCH(BF1351,{"Draft","Submitted","Approved","Returned","Recall Requested","Cancelled"},0)+1))</f>
        <v>0</v>
      </c>
      <c r="CH1351" s="80">
        <f>IF(AND(BF1351="Submitted",ISNUMBER(V1351)),IF(V1351&gt;CFG_MAXD,1,0),0)</f>
        <v>0</v>
      </c>
    </row>
    <row r="1352">
      <c r="A1352" s="71" t="str">
        <f>IF(Y1352=1,ROW()-5,"")</f>
        <v/>
      </c>
      <c r="B1352" s="72" t="n"/>
      <c r="C1352" s="71" t="str">
        <f>IF(ISNUMBER(B1352),CHOOSE(WEEKDAY(B1352,2),"Lun","Mar","Mié","Jue","Vie","Sáb","Dom"),"")</f>
        <v/>
      </c>
      <c r="D1352" s="73" t="n"/>
      <c r="E1352" s="74" t="n"/>
      <c r="F1352" s="74" t="n"/>
      <c r="G1352" s="74" t="n"/>
      <c r="H1352" s="75" t="n"/>
      <c r="I1352" s="75" t="n"/>
      <c r="J1352" s="76" t="n"/>
      <c r="K1352" s="77" t="str">
        <f>IF(AB1352=1,ROUND(AG1352/60,4),"")</f>
        <v/>
      </c>
      <c r="L1352" s="77" t="str">
        <f>IF(BD1352=1,ROUND(AP1352/60,4),"")</f>
        <v/>
      </c>
      <c r="M1352" s="77" t="str">
        <f>IF(BD1352=1,ROUND(AQ1352/60,4),"")</f>
        <v/>
      </c>
      <c r="N1352" s="71" t="str">
        <f>IF(AND(D1352="proMX",AB1352=1),ROUND(AG1352/CFG_BLK,2),"")</f>
        <v/>
      </c>
      <c r="O1352" s="77" t="str">
        <f>IF(D1352="proMX",IF(BD1352=1,ROUND(AG1352/60,4),0),"")</f>
        <v/>
      </c>
      <c r="P1352" s="78" t="str">
        <f>IF(Y1352=0,"",IF(BD1352=1,"OK",IF(D1352="proMX","Revisar bloques: ","Revisar: ")&amp;BC1352))</f>
        <v/>
      </c>
      <c r="Q1352" s="78" t="str">
        <f>IF(NOT(ISNUMBER(B1352)),"",IF(COUNTIFS(FER_F,INT(B1352))&gt;0,"Feriado"&amp;IF(AH1352=1," (laborable)"," (no laborable)"),IF(AH1352=1,"Laborable",IF(WEEKDAY(B1352,2)&gt;5,"Fin de semana","No laborable"))))</f>
        <v/>
      </c>
      <c r="R1352" s="73" t="n"/>
      <c r="S1352" s="72" t="n"/>
      <c r="T1352" s="72" t="n"/>
      <c r="U1352" s="74" t="n"/>
      <c r="V1352" s="79" t="str">
        <f>IF(AND(D1352="proMX",OR(R1352="Submitted",R1352="Recall Requested"),ISNUMBER(S1352)),CFG_TODAY-INT(S1352),"")</f>
        <v/>
      </c>
      <c r="W1352" s="78" t="str">
        <f>IF(BD1352=0,"",IF(BA1352&gt;0,"⚠ Se superpone con un registro de la otra empresa",IF(D1352="Malcolm",IF(COUNTA(R1352,S1352,T1352)&gt;0,"Estado/fechas proMX se ignoran en Malcolm",""),IF(BF1352="Cancelled","Cancelado: excluido de totales",IF(R1352="","Sin estado: se trata como Draft",IF(BF1352="Submitted",IF(ISNUMBER(V1352),IF(V1352&gt;CFG_MAXD,"⚠ "&amp;V1352&amp;" días en Submitted (máx. "&amp;CFG_MAXD&amp;")",""),"Falta fecha de envío"),IF(BF1352="Returned","⚠ Devuelto: corregir y reenviar",IF(BF1352="Recall Requested","Retirada solicitada: pendiente",IF(AND(BF1352="Approved",NOT(ISNUMBER(T1352))),"Falta fecha de aprobación",IF(AND(ISNUMBER(S1352),ISNUMBER(T1352),T1352&lt;S1352),"Aprobación anterior al envío","")))))))))</f>
        <v/>
      </c>
      <c r="Y1352" s="80">
        <f>IF(COUNTA(B1352,D1352,E1352,F1352,G1352,H1352,I1352,J1352,R1352,S1352,T1352)&gt;0,1,0)</f>
        <v>0</v>
      </c>
      <c r="Z1352" s="80" t="str">
        <f>IF(AND(ISNUMBER(H1352),H1352&gt;=0,H1352&lt;1),ROUND(H1352*1440,0),"")</f>
        <v/>
      </c>
      <c r="AA1352" s="80" t="str">
        <f>IF(AND(ISNUMBER(I1352),I1352&gt;=0,I1352&lt;1),ROUND(I1352*1440,0),"")</f>
        <v/>
      </c>
      <c r="AB1352" s="80">
        <f>IF(AND(ISNUMBER(B1352),D1352&lt;&gt;"",ISNUMBER(Z1352),ISNUMBER(AA1352)),IF(Z1352=AA1352,0,1),0)</f>
        <v>0</v>
      </c>
      <c r="AC1352" s="80">
        <f>IF(AB1352=1,IF(AA1352&lt;Z1352,1,0),0)</f>
        <v>0</v>
      </c>
      <c r="AD1352" s="80">
        <f>IF(AB1352=1,IF(AC1352=1,1440-Z1352+AA1352,AA1352-Z1352),0)</f>
        <v>0</v>
      </c>
      <c r="AE1352" s="80">
        <f>IF(J1352="",0,IF(ISNUMBER(J1352),J1352,-1))</f>
        <v>0</v>
      </c>
      <c r="AF1352" s="80">
        <f>MIN(MAX(0,AE1352),AD1352)</f>
        <v>0</v>
      </c>
      <c r="AG1352" s="80">
        <f>MAX(0,AD1352-MAX(0,AE1352))</f>
        <v>0</v>
      </c>
      <c r="AH1352" s="80">
        <f>IF(ISNUMBER(B1352),IF(AND(INDEX(CFG_WDAYS,WEEKDAY(INT(B1352),2))="Sí",IF(D1352="proMX",COUNTIFS(FER_F,INT(B1352),FER_NLP,"Sí"),COUNTIFS(FER_F,INT(B1352),FER_NLM,"Sí"))=0),1,0),0)</f>
        <v>0</v>
      </c>
      <c r="AI1352" s="80">
        <f>IF(AC1352=1,IF(AND(INDEX(CFG_WDAYS,WEEKDAY(INT(B1352)+1,2))="Sí",IF(D1352="proMX",COUNTIFS(FER_F,INT(B1352)+1,FER_NLP,"Sí"),COUNTIFS(FER_F,INT(B1352)+1,FER_NLM,"Sí"))=0),1,0),0)</f>
        <v>0</v>
      </c>
      <c r="AJ1352" s="80">
        <f>IF(AC1352=1,1440-Z1352,AD1352)</f>
        <v>0</v>
      </c>
      <c r="AK1352" s="80">
        <f>IF(AND(AB1352=1,AH1352=1),MAX(0,MIN(IF(AC1352=1,1440,AA1352),CFG_WEM)-MAX(Z1352,CFG_WSM)),0)</f>
        <v>0</v>
      </c>
      <c r="AL1352" s="80">
        <f>IF(AND(AC1352=1,AI1352=1),MAX(0,MIN(AA1352,CFG_WEM)-CFG_WSM),0)</f>
        <v>0</v>
      </c>
      <c r="AM1352" s="80">
        <f>AK1352+AL1352</f>
        <v>0</v>
      </c>
      <c r="AN1352" s="80">
        <f>IF(CFG_BRK="Proporcional",IF(AD1352=0,0,AF1352*AM1352/AD1352),IF(CFG_BRK="Extras primero",MIN(AM1352,MAX(0,AF1352-(AD1352-AM1352))),MIN(AF1352,AM1352)))</f>
        <v>0</v>
      </c>
      <c r="AO1352" s="80">
        <f>AF1352-AN1352</f>
        <v>0</v>
      </c>
      <c r="AP1352" s="80">
        <f>AM1352-AN1352</f>
        <v>0</v>
      </c>
      <c r="AQ1352" s="80">
        <f>AD1352-AM1352-AO1352</f>
        <v>0</v>
      </c>
      <c r="AR1352" s="80">
        <f>IF(AM1352=0,0,AK1352-AN1352*AK1352/AM1352)</f>
        <v>0</v>
      </c>
      <c r="AS1352" s="80">
        <f>IF(AD1352-AM1352=0,0,(AJ1352-AK1352)-AO1352*(AJ1352-AK1352)/(AD1352-AM1352))</f>
        <v>0</v>
      </c>
      <c r="AT1352" s="80" t="str">
        <f>IF(AC1352=1,INT(B1352)+1,"")</f>
        <v/>
      </c>
      <c r="AU1352" s="80">
        <f>IF(AND(D1352="proMX",R1352="Cancelled"),0,1)</f>
        <v>1</v>
      </c>
      <c r="AV1352" s="80">
        <f>IF(AND(AB1352=1,AU1352=1),IF(COUNTIFS($D$5:D1351,D1352,$B$5:B1351,B1352,$Z$5:Z1351,Z1352,$AA$5:AA1351,AA1352,$F$5:F1351,F1352&amp;"",$AU$5:AU1351,1)&gt;0,1,0),0)</f>
        <v>0</v>
      </c>
      <c r="AW1352" s="80" t="str">
        <f>IF(AB1352=1,INT(B1352)*1440+Z1352,"")</f>
        <v/>
      </c>
      <c r="AX1352" s="80" t="str">
        <f>IF(AB1352=1,AW1352+AD1352,"")</f>
        <v/>
      </c>
      <c r="AY1352" s="80">
        <f>IF(AND(AB1352=1,AV1352=0,AU1352=1),1,0)</f>
        <v>0</v>
      </c>
      <c r="AZ1352" s="80">
        <f>IF(AY1352=1,COUNTIFS(R_Emp,D1352,R_SAbs,"&lt;"&amp;AX1352,R_EAbs,"&gt;"&amp;AW1352,R_OKey,1)-1,0)</f>
        <v>0</v>
      </c>
      <c r="BA1352" s="80">
        <f>IF(AY1352=1,COUNTIFS(R_Emp,"&lt;&gt;"&amp;D1352,R_SAbs,"&lt;"&amp;AX1352,R_EAbs,"&gt;"&amp;AW1352,R_OKey,1),0)</f>
        <v>0</v>
      </c>
      <c r="BB1352" s="80">
        <f>IF(AND(AB1352=1,D1352="proMX"),IF(AND(MOD(Z1352,CFG_BLK)=0,MOD(AA1352,CFG_BLK)=0,MOD(AG1352,CFG_BLK)=0,AG1352&gt;0),1,0),1)</f>
        <v>1</v>
      </c>
      <c r="BC1352" s="80" t="str">
        <f>IF(Y1352=0,"",IF(NOT(ISNUMBER(B1352)),"Falta fecha o fecha inválida",IF(D1352="","Falta empresa",IF(AND(D1352&lt;&gt;"Malcolm",D1352&lt;&gt;"proMX"),"Empresa inválida",IF(OR(INT(B1352)&lt;CFG_PSTART,INT(B1352)&gt;CFG_PEND),"Fecha fuera del período",IF(OR(NOT(ISNUMBER(Z1352)),NOT(ISNUMBER(AA1352))),"Falta hora inicio/fin o formato inválido",IF(AB1352=0,"Hora inicio = hora fin",IF(AE1352&lt;0,"Descanso inválido",IF(AE1352&gt;=AD1352,"Descanso ≥ duración",IF(AV1352=1,"Registro duplicado",IF(AZ1352&gt;0,"Se superpone con otro registro "&amp;D1352,IF(BB1352=0,"inicio, fin y duración neta deben ser múltiplos de "&amp;CFG_BLK&amp;" min",""))))))))))))</f>
        <v/>
      </c>
      <c r="BD1352" s="80">
        <f>IF(AND(Y1352=1,BC1352=""),1,0)</f>
        <v>0</v>
      </c>
      <c r="BE1352" s="80">
        <f>IF(AND(BD1352=1,AU1352=1),1,0)</f>
        <v>0</v>
      </c>
      <c r="BF1352" s="80" t="str">
        <f>IF(AND(D1352="proMX",BD1352=1),IF(R1352="","Draft",R1352),"")</f>
        <v/>
      </c>
      <c r="BG1352" s="80">
        <f>IF(BD1352=1,ROUND(AG1352/60,6),0)</f>
        <v>0</v>
      </c>
      <c r="BH1352" s="80">
        <f>IF(BE1352=1,ROUND(AG1352/60,6),0)</f>
        <v>0</v>
      </c>
      <c r="BI1352" s="80">
        <f>IF(BE1352=1,ROUND(AP1352/60,6),0)</f>
        <v>0</v>
      </c>
      <c r="BJ1352" s="80">
        <f>IF(BE1352=1,ROUND(AQ1352/60,6),0)</f>
        <v>0</v>
      </c>
      <c r="BK1352" s="80">
        <f>IF(BE1352=1,ROUND((AR1352+AS1352)/60,6),0)</f>
        <v>0</v>
      </c>
      <c r="BL1352" s="80">
        <f>ROUND(BH1352-BK1352,6)</f>
        <v>0</v>
      </c>
      <c r="BM1352" s="80">
        <f>IF(BE1352=1,ROUND(AR1352/60,6),0)</f>
        <v>0</v>
      </c>
      <c r="BN1352" s="80">
        <f>ROUND(BI1352-BM1352,6)</f>
        <v>0</v>
      </c>
      <c r="BO1352" s="80">
        <f>IF(BE1352=1,ROUND(AS1352/60,6),0)</f>
        <v>0</v>
      </c>
      <c r="BP1352" s="80">
        <f>ROUND(BJ1352-BO1352,6)</f>
        <v>0</v>
      </c>
      <c r="BQ1352" s="80">
        <f>IF(BE1352=1,AW1352,0)</f>
        <v>0</v>
      </c>
      <c r="BR1352" s="80">
        <f>IF(BE1352=1,AX1352,0)</f>
        <v>0</v>
      </c>
      <c r="BS1352" s="80">
        <f>IF(AND(BE1352=1,D1352="Malcolm",BA1352&gt;0),MIN(BH1352,SUMPRODUCT((R_Emp="proMX")*(R_EN&gt;0)*((R_EN-(R_EN&gt;BR1352)*(R_EN-BR1352))&gt;(R_SN+(R_SN&lt;BQ1352)*(BQ1352-R_SN)))*((R_EN-(R_EN&gt;BR1352)*(R_EN-BR1352))-(R_SN+(R_SN&lt;BQ1352)*(BQ1352-R_SN))))/60),0)</f>
        <v>0</v>
      </c>
      <c r="BT1352" s="80">
        <f>IF(AND(BE1352=1,D1352="proMX"),ROUND(BI1352*CFG_RATE+BJ1352*CFG_OTRATE,6),0)</f>
        <v>0</v>
      </c>
      <c r="BU1352" s="80">
        <f>IF(AND(BD1352=1,D1352="proMX"),ROUND(AG1352/CFG_BLK,6),0)</f>
        <v>0</v>
      </c>
      <c r="BV1352" s="80" t="str">
        <f>IF(BF1352="Approved",IF(ISNUMBER(T1352),INT(T1352),INT(B1352)),"")</f>
        <v/>
      </c>
      <c r="BW1352" s="80">
        <f>IF(ISNUMBER(B1352),IF(DB_MON="Todos",1,IF(AND(INT(B1352)&gt;=DB_MS,INT(B1352)&lt;=DB_ME),1,0)),0)</f>
        <v>0</v>
      </c>
      <c r="BX1352" s="80">
        <f>IF(DB_PROJ="Todos",1,IF(E1352&amp;""=DB_PROJ&amp;"",1,0))</f>
        <v>1</v>
      </c>
      <c r="BY1352" s="80">
        <f>BW1352*BX1352</f>
        <v>0</v>
      </c>
      <c r="BZ1352" s="80" t="str">
        <f>IF(Y1352=1,F1352&amp;IF(AND(F1352&amp;""&lt;&gt;"",E1352&amp;""&lt;&gt;"")," · ","")&amp;E1352,"")</f>
        <v/>
      </c>
      <c r="CA1352" s="80" t="str">
        <f>IF(AND(BD1352=1,E1352&amp;""&lt;&gt;""),IF(COUNTIFS($E$5:E1351,E1352,$BD$5:BD1351,1)=0,MAX($CA$5:CA1351)+1,""),"")</f>
        <v/>
      </c>
      <c r="CB1352" s="80" t="str">
        <f>IF(AND(BE1352=1,D1352="Malcolm",E1352&amp;""&lt;&gt;""),IF(COUNTIFS($D$5:D1351,"Malcolm",$E$5:E1351,E1352,$BE$5:BE1351,1)=0,MAX($CB$5:CB1351)+1,""),"")</f>
        <v/>
      </c>
      <c r="CC1352" s="80" t="str">
        <f>IF(AND(BD1352=1,D1352="proMX",E1352&amp;""&lt;&gt;""),IF(COUNTIFS($D$5:D1351,"proMX",$E$5:E1351,E1352,$BD$5:BD1351,1)=0,MAX($CC$5:CC1351)+1,""),"")</f>
        <v/>
      </c>
      <c r="CD1352" s="80" t="str">
        <f>IF(AND(BE1352=1,D1352="Malcolm",F1352&amp;""&lt;&gt;""),IF(COUNTIFS($D$5:D1351,"Malcolm",$F$5:F1351,F1352,$BE$5:BE1351,1)=0,MAX($CD$5:CD1351)+1,""),"")</f>
        <v/>
      </c>
      <c r="CE1352" s="80" t="str">
        <f>IF(AND(BD1352=1,D1352="proMX",F1352&amp;""&lt;&gt;""),IF(COUNTIFS($D$5:D1351,"proMX",$F$5:F1351,F1352,$BD$5:BD1351,1)=0,MAX($CE$5:CE1351)+1,""),"")</f>
        <v/>
      </c>
      <c r="CF1352" s="80" t="str">
        <f>IF(AND(D1352="proMX",BD1352=1),IF(OR(BF1352="Draft",BF1352="Submitted",BF1352="Returned",BF1352="Recall Requested"),MAX($CF$5:CF1351)+1,""),"")</f>
        <v/>
      </c>
      <c r="CG1352" s="80">
        <f>IF(BD1352=0,0,IF(D1352="Malcolm",1,MATCH(BF1352,{"Draft","Submitted","Approved","Returned","Recall Requested","Cancelled"},0)+1))</f>
        <v>0</v>
      </c>
      <c r="CH1352" s="80">
        <f>IF(AND(BF1352="Submitted",ISNUMBER(V1352)),IF(V1352&gt;CFG_MAXD,1,0),0)</f>
        <v>0</v>
      </c>
    </row>
    <row r="1353">
      <c r="A1353" s="71" t="str">
        <f>IF(Y1353=1,ROW()-5,"")</f>
        <v/>
      </c>
      <c r="B1353" s="72" t="n"/>
      <c r="C1353" s="71" t="str">
        <f>IF(ISNUMBER(B1353),CHOOSE(WEEKDAY(B1353,2),"Lun","Mar","Mié","Jue","Vie","Sáb","Dom"),"")</f>
        <v/>
      </c>
      <c r="D1353" s="73" t="n"/>
      <c r="E1353" s="74" t="n"/>
      <c r="F1353" s="74" t="n"/>
      <c r="G1353" s="74" t="n"/>
      <c r="H1353" s="75" t="n"/>
      <c r="I1353" s="75" t="n"/>
      <c r="J1353" s="76" t="n"/>
      <c r="K1353" s="77" t="str">
        <f>IF(AB1353=1,ROUND(AG1353/60,4),"")</f>
        <v/>
      </c>
      <c r="L1353" s="77" t="str">
        <f>IF(BD1353=1,ROUND(AP1353/60,4),"")</f>
        <v/>
      </c>
      <c r="M1353" s="77" t="str">
        <f>IF(BD1353=1,ROUND(AQ1353/60,4),"")</f>
        <v/>
      </c>
      <c r="N1353" s="71" t="str">
        <f>IF(AND(D1353="proMX",AB1353=1),ROUND(AG1353/CFG_BLK,2),"")</f>
        <v/>
      </c>
      <c r="O1353" s="77" t="str">
        <f>IF(D1353="proMX",IF(BD1353=1,ROUND(AG1353/60,4),0),"")</f>
        <v/>
      </c>
      <c r="P1353" s="78" t="str">
        <f>IF(Y1353=0,"",IF(BD1353=1,"OK",IF(D1353="proMX","Revisar bloques: ","Revisar: ")&amp;BC1353))</f>
        <v/>
      </c>
      <c r="Q1353" s="78" t="str">
        <f>IF(NOT(ISNUMBER(B1353)),"",IF(COUNTIFS(FER_F,INT(B1353))&gt;0,"Feriado"&amp;IF(AH1353=1," (laborable)"," (no laborable)"),IF(AH1353=1,"Laborable",IF(WEEKDAY(B1353,2)&gt;5,"Fin de semana","No laborable"))))</f>
        <v/>
      </c>
      <c r="R1353" s="73" t="n"/>
      <c r="S1353" s="72" t="n"/>
      <c r="T1353" s="72" t="n"/>
      <c r="U1353" s="74" t="n"/>
      <c r="V1353" s="79" t="str">
        <f>IF(AND(D1353="proMX",OR(R1353="Submitted",R1353="Recall Requested"),ISNUMBER(S1353)),CFG_TODAY-INT(S1353),"")</f>
        <v/>
      </c>
      <c r="W1353" s="78" t="str">
        <f>IF(BD1353=0,"",IF(BA1353&gt;0,"⚠ Se superpone con un registro de la otra empresa",IF(D1353="Malcolm",IF(COUNTA(R1353,S1353,T1353)&gt;0,"Estado/fechas proMX se ignoran en Malcolm",""),IF(BF1353="Cancelled","Cancelado: excluido de totales",IF(R1353="","Sin estado: se trata como Draft",IF(BF1353="Submitted",IF(ISNUMBER(V1353),IF(V1353&gt;CFG_MAXD,"⚠ "&amp;V1353&amp;" días en Submitted (máx. "&amp;CFG_MAXD&amp;")",""),"Falta fecha de envío"),IF(BF1353="Returned","⚠ Devuelto: corregir y reenviar",IF(BF1353="Recall Requested","Retirada solicitada: pendiente",IF(AND(BF1353="Approved",NOT(ISNUMBER(T1353))),"Falta fecha de aprobación",IF(AND(ISNUMBER(S1353),ISNUMBER(T1353),T1353&lt;S1353),"Aprobación anterior al envío","")))))))))</f>
        <v/>
      </c>
      <c r="Y1353" s="80">
        <f>IF(COUNTA(B1353,D1353,E1353,F1353,G1353,H1353,I1353,J1353,R1353,S1353,T1353)&gt;0,1,0)</f>
        <v>0</v>
      </c>
      <c r="Z1353" s="80" t="str">
        <f>IF(AND(ISNUMBER(H1353),H1353&gt;=0,H1353&lt;1),ROUND(H1353*1440,0),"")</f>
        <v/>
      </c>
      <c r="AA1353" s="80" t="str">
        <f>IF(AND(ISNUMBER(I1353),I1353&gt;=0,I1353&lt;1),ROUND(I1353*1440,0),"")</f>
        <v/>
      </c>
      <c r="AB1353" s="80">
        <f>IF(AND(ISNUMBER(B1353),D1353&lt;&gt;"",ISNUMBER(Z1353),ISNUMBER(AA1353)),IF(Z1353=AA1353,0,1),0)</f>
        <v>0</v>
      </c>
      <c r="AC1353" s="80">
        <f>IF(AB1353=1,IF(AA1353&lt;Z1353,1,0),0)</f>
        <v>0</v>
      </c>
      <c r="AD1353" s="80">
        <f>IF(AB1353=1,IF(AC1353=1,1440-Z1353+AA1353,AA1353-Z1353),0)</f>
        <v>0</v>
      </c>
      <c r="AE1353" s="80">
        <f>IF(J1353="",0,IF(ISNUMBER(J1353),J1353,-1))</f>
        <v>0</v>
      </c>
      <c r="AF1353" s="80">
        <f>MIN(MAX(0,AE1353),AD1353)</f>
        <v>0</v>
      </c>
      <c r="AG1353" s="80">
        <f>MAX(0,AD1353-MAX(0,AE1353))</f>
        <v>0</v>
      </c>
      <c r="AH1353" s="80">
        <f>IF(ISNUMBER(B1353),IF(AND(INDEX(CFG_WDAYS,WEEKDAY(INT(B1353),2))="Sí",IF(D1353="proMX",COUNTIFS(FER_F,INT(B1353),FER_NLP,"Sí"),COUNTIFS(FER_F,INT(B1353),FER_NLM,"Sí"))=0),1,0),0)</f>
        <v>0</v>
      </c>
      <c r="AI1353" s="80">
        <f>IF(AC1353=1,IF(AND(INDEX(CFG_WDAYS,WEEKDAY(INT(B1353)+1,2))="Sí",IF(D1353="proMX",COUNTIFS(FER_F,INT(B1353)+1,FER_NLP,"Sí"),COUNTIFS(FER_F,INT(B1353)+1,FER_NLM,"Sí"))=0),1,0),0)</f>
        <v>0</v>
      </c>
      <c r="AJ1353" s="80">
        <f>IF(AC1353=1,1440-Z1353,AD1353)</f>
        <v>0</v>
      </c>
      <c r="AK1353" s="80">
        <f>IF(AND(AB1353=1,AH1353=1),MAX(0,MIN(IF(AC1353=1,1440,AA1353),CFG_WEM)-MAX(Z1353,CFG_WSM)),0)</f>
        <v>0</v>
      </c>
      <c r="AL1353" s="80">
        <f>IF(AND(AC1353=1,AI1353=1),MAX(0,MIN(AA1353,CFG_WEM)-CFG_WSM),0)</f>
        <v>0</v>
      </c>
      <c r="AM1353" s="80">
        <f>AK1353+AL1353</f>
        <v>0</v>
      </c>
      <c r="AN1353" s="80">
        <f>IF(CFG_BRK="Proporcional",IF(AD1353=0,0,AF1353*AM1353/AD1353),IF(CFG_BRK="Extras primero",MIN(AM1353,MAX(0,AF1353-(AD1353-AM1353))),MIN(AF1353,AM1353)))</f>
        <v>0</v>
      </c>
      <c r="AO1353" s="80">
        <f>AF1353-AN1353</f>
        <v>0</v>
      </c>
      <c r="AP1353" s="80">
        <f>AM1353-AN1353</f>
        <v>0</v>
      </c>
      <c r="AQ1353" s="80">
        <f>AD1353-AM1353-AO1353</f>
        <v>0</v>
      </c>
      <c r="AR1353" s="80">
        <f>IF(AM1353=0,0,AK1353-AN1353*AK1353/AM1353)</f>
        <v>0</v>
      </c>
      <c r="AS1353" s="80">
        <f>IF(AD1353-AM1353=0,0,(AJ1353-AK1353)-AO1353*(AJ1353-AK1353)/(AD1353-AM1353))</f>
        <v>0</v>
      </c>
      <c r="AT1353" s="80" t="str">
        <f>IF(AC1353=1,INT(B1353)+1,"")</f>
        <v/>
      </c>
      <c r="AU1353" s="80">
        <f>IF(AND(D1353="proMX",R1353="Cancelled"),0,1)</f>
        <v>1</v>
      </c>
      <c r="AV1353" s="80">
        <f>IF(AND(AB1353=1,AU1353=1),IF(COUNTIFS($D$5:D1352,D1353,$B$5:B1352,B1353,$Z$5:Z1352,Z1353,$AA$5:AA1352,AA1353,$F$5:F1352,F1353&amp;"",$AU$5:AU1352,1)&gt;0,1,0),0)</f>
        <v>0</v>
      </c>
      <c r="AW1353" s="80" t="str">
        <f>IF(AB1353=1,INT(B1353)*1440+Z1353,"")</f>
        <v/>
      </c>
      <c r="AX1353" s="80" t="str">
        <f>IF(AB1353=1,AW1353+AD1353,"")</f>
        <v/>
      </c>
      <c r="AY1353" s="80">
        <f>IF(AND(AB1353=1,AV1353=0,AU1353=1),1,0)</f>
        <v>0</v>
      </c>
      <c r="AZ1353" s="80">
        <f>IF(AY1353=1,COUNTIFS(R_Emp,D1353,R_SAbs,"&lt;"&amp;AX1353,R_EAbs,"&gt;"&amp;AW1353,R_OKey,1)-1,0)</f>
        <v>0</v>
      </c>
      <c r="BA1353" s="80">
        <f>IF(AY1353=1,COUNTIFS(R_Emp,"&lt;&gt;"&amp;D1353,R_SAbs,"&lt;"&amp;AX1353,R_EAbs,"&gt;"&amp;AW1353,R_OKey,1),0)</f>
        <v>0</v>
      </c>
      <c r="BB1353" s="80">
        <f>IF(AND(AB1353=1,D1353="proMX"),IF(AND(MOD(Z1353,CFG_BLK)=0,MOD(AA1353,CFG_BLK)=0,MOD(AG1353,CFG_BLK)=0,AG1353&gt;0),1,0),1)</f>
        <v>1</v>
      </c>
      <c r="BC1353" s="80" t="str">
        <f>IF(Y1353=0,"",IF(NOT(ISNUMBER(B1353)),"Falta fecha o fecha inválida",IF(D1353="","Falta empresa",IF(AND(D1353&lt;&gt;"Malcolm",D1353&lt;&gt;"proMX"),"Empresa inválida",IF(OR(INT(B1353)&lt;CFG_PSTART,INT(B1353)&gt;CFG_PEND),"Fecha fuera del período",IF(OR(NOT(ISNUMBER(Z1353)),NOT(ISNUMBER(AA1353))),"Falta hora inicio/fin o formato inválido",IF(AB1353=0,"Hora inicio = hora fin",IF(AE1353&lt;0,"Descanso inválido",IF(AE1353&gt;=AD1353,"Descanso ≥ duración",IF(AV1353=1,"Registro duplicado",IF(AZ1353&gt;0,"Se superpone con otro registro "&amp;D1353,IF(BB1353=0,"inicio, fin y duración neta deben ser múltiplos de "&amp;CFG_BLK&amp;" min",""))))))))))))</f>
        <v/>
      </c>
      <c r="BD1353" s="80">
        <f>IF(AND(Y1353=1,BC1353=""),1,0)</f>
        <v>0</v>
      </c>
      <c r="BE1353" s="80">
        <f>IF(AND(BD1353=1,AU1353=1),1,0)</f>
        <v>0</v>
      </c>
      <c r="BF1353" s="80" t="str">
        <f>IF(AND(D1353="proMX",BD1353=1),IF(R1353="","Draft",R1353),"")</f>
        <v/>
      </c>
      <c r="BG1353" s="80">
        <f>IF(BD1353=1,ROUND(AG1353/60,6),0)</f>
        <v>0</v>
      </c>
      <c r="BH1353" s="80">
        <f>IF(BE1353=1,ROUND(AG1353/60,6),0)</f>
        <v>0</v>
      </c>
      <c r="BI1353" s="80">
        <f>IF(BE1353=1,ROUND(AP1353/60,6),0)</f>
        <v>0</v>
      </c>
      <c r="BJ1353" s="80">
        <f>IF(BE1353=1,ROUND(AQ1353/60,6),0)</f>
        <v>0</v>
      </c>
      <c r="BK1353" s="80">
        <f>IF(BE1353=1,ROUND((AR1353+AS1353)/60,6),0)</f>
        <v>0</v>
      </c>
      <c r="BL1353" s="80">
        <f>ROUND(BH1353-BK1353,6)</f>
        <v>0</v>
      </c>
      <c r="BM1353" s="80">
        <f>IF(BE1353=1,ROUND(AR1353/60,6),0)</f>
        <v>0</v>
      </c>
      <c r="BN1353" s="80">
        <f>ROUND(BI1353-BM1353,6)</f>
        <v>0</v>
      </c>
      <c r="BO1353" s="80">
        <f>IF(BE1353=1,ROUND(AS1353/60,6),0)</f>
        <v>0</v>
      </c>
      <c r="BP1353" s="80">
        <f>ROUND(BJ1353-BO1353,6)</f>
        <v>0</v>
      </c>
      <c r="BQ1353" s="80">
        <f>IF(BE1353=1,AW1353,0)</f>
        <v>0</v>
      </c>
      <c r="BR1353" s="80">
        <f>IF(BE1353=1,AX1353,0)</f>
        <v>0</v>
      </c>
      <c r="BS1353" s="80">
        <f>IF(AND(BE1353=1,D1353="Malcolm",BA1353&gt;0),MIN(BH1353,SUMPRODUCT((R_Emp="proMX")*(R_EN&gt;0)*((R_EN-(R_EN&gt;BR1353)*(R_EN-BR1353))&gt;(R_SN+(R_SN&lt;BQ1353)*(BQ1353-R_SN)))*((R_EN-(R_EN&gt;BR1353)*(R_EN-BR1353))-(R_SN+(R_SN&lt;BQ1353)*(BQ1353-R_SN))))/60),0)</f>
        <v>0</v>
      </c>
      <c r="BT1353" s="80">
        <f>IF(AND(BE1353=1,D1353="proMX"),ROUND(BI1353*CFG_RATE+BJ1353*CFG_OTRATE,6),0)</f>
        <v>0</v>
      </c>
      <c r="BU1353" s="80">
        <f>IF(AND(BD1353=1,D1353="proMX"),ROUND(AG1353/CFG_BLK,6),0)</f>
        <v>0</v>
      </c>
      <c r="BV1353" s="80" t="str">
        <f>IF(BF1353="Approved",IF(ISNUMBER(T1353),INT(T1353),INT(B1353)),"")</f>
        <v/>
      </c>
      <c r="BW1353" s="80">
        <f>IF(ISNUMBER(B1353),IF(DB_MON="Todos",1,IF(AND(INT(B1353)&gt;=DB_MS,INT(B1353)&lt;=DB_ME),1,0)),0)</f>
        <v>0</v>
      </c>
      <c r="BX1353" s="80">
        <f>IF(DB_PROJ="Todos",1,IF(E1353&amp;""=DB_PROJ&amp;"",1,0))</f>
        <v>1</v>
      </c>
      <c r="BY1353" s="80">
        <f>BW1353*BX1353</f>
        <v>0</v>
      </c>
      <c r="BZ1353" s="80" t="str">
        <f>IF(Y1353=1,F1353&amp;IF(AND(F1353&amp;""&lt;&gt;"",E1353&amp;""&lt;&gt;"")," · ","")&amp;E1353,"")</f>
        <v/>
      </c>
      <c r="CA1353" s="80" t="str">
        <f>IF(AND(BD1353=1,E1353&amp;""&lt;&gt;""),IF(COUNTIFS($E$5:E1352,E1353,$BD$5:BD1352,1)=0,MAX($CA$5:CA1352)+1,""),"")</f>
        <v/>
      </c>
      <c r="CB1353" s="80" t="str">
        <f>IF(AND(BE1353=1,D1353="Malcolm",E1353&amp;""&lt;&gt;""),IF(COUNTIFS($D$5:D1352,"Malcolm",$E$5:E1352,E1353,$BE$5:BE1352,1)=0,MAX($CB$5:CB1352)+1,""),"")</f>
        <v/>
      </c>
      <c r="CC1353" s="80" t="str">
        <f>IF(AND(BD1353=1,D1353="proMX",E1353&amp;""&lt;&gt;""),IF(COUNTIFS($D$5:D1352,"proMX",$E$5:E1352,E1353,$BD$5:BD1352,1)=0,MAX($CC$5:CC1352)+1,""),"")</f>
        <v/>
      </c>
      <c r="CD1353" s="80" t="str">
        <f>IF(AND(BE1353=1,D1353="Malcolm",F1353&amp;""&lt;&gt;""),IF(COUNTIFS($D$5:D1352,"Malcolm",$F$5:F1352,F1353,$BE$5:BE1352,1)=0,MAX($CD$5:CD1352)+1,""),"")</f>
        <v/>
      </c>
      <c r="CE1353" s="80" t="str">
        <f>IF(AND(BD1353=1,D1353="proMX",F1353&amp;""&lt;&gt;""),IF(COUNTIFS($D$5:D1352,"proMX",$F$5:F1352,F1353,$BD$5:BD1352,1)=0,MAX($CE$5:CE1352)+1,""),"")</f>
        <v/>
      </c>
      <c r="CF1353" s="80" t="str">
        <f>IF(AND(D1353="proMX",BD1353=1),IF(OR(BF1353="Draft",BF1353="Submitted",BF1353="Returned",BF1353="Recall Requested"),MAX($CF$5:CF1352)+1,""),"")</f>
        <v/>
      </c>
      <c r="CG1353" s="80">
        <f>IF(BD1353=0,0,IF(D1353="Malcolm",1,MATCH(BF1353,{"Draft","Submitted","Approved","Returned","Recall Requested","Cancelled"},0)+1))</f>
        <v>0</v>
      </c>
      <c r="CH1353" s="80">
        <f>IF(AND(BF1353="Submitted",ISNUMBER(V1353)),IF(V1353&gt;CFG_MAXD,1,0),0)</f>
        <v>0</v>
      </c>
    </row>
    <row r="1354">
      <c r="A1354" s="71" t="str">
        <f>IF(Y1354=1,ROW()-5,"")</f>
        <v/>
      </c>
      <c r="B1354" s="72" t="n"/>
      <c r="C1354" s="71" t="str">
        <f>IF(ISNUMBER(B1354),CHOOSE(WEEKDAY(B1354,2),"Lun","Mar","Mié","Jue","Vie","Sáb","Dom"),"")</f>
        <v/>
      </c>
      <c r="D1354" s="73" t="n"/>
      <c r="E1354" s="74" t="n"/>
      <c r="F1354" s="74" t="n"/>
      <c r="G1354" s="74" t="n"/>
      <c r="H1354" s="75" t="n"/>
      <c r="I1354" s="75" t="n"/>
      <c r="J1354" s="76" t="n"/>
      <c r="K1354" s="77" t="str">
        <f>IF(AB1354=1,ROUND(AG1354/60,4),"")</f>
        <v/>
      </c>
      <c r="L1354" s="77" t="str">
        <f>IF(BD1354=1,ROUND(AP1354/60,4),"")</f>
        <v/>
      </c>
      <c r="M1354" s="77" t="str">
        <f>IF(BD1354=1,ROUND(AQ1354/60,4),"")</f>
        <v/>
      </c>
      <c r="N1354" s="71" t="str">
        <f>IF(AND(D1354="proMX",AB1354=1),ROUND(AG1354/CFG_BLK,2),"")</f>
        <v/>
      </c>
      <c r="O1354" s="77" t="str">
        <f>IF(D1354="proMX",IF(BD1354=1,ROUND(AG1354/60,4),0),"")</f>
        <v/>
      </c>
      <c r="P1354" s="78" t="str">
        <f>IF(Y1354=0,"",IF(BD1354=1,"OK",IF(D1354="proMX","Revisar bloques: ","Revisar: ")&amp;BC1354))</f>
        <v/>
      </c>
      <c r="Q1354" s="78" t="str">
        <f>IF(NOT(ISNUMBER(B1354)),"",IF(COUNTIFS(FER_F,INT(B1354))&gt;0,"Feriado"&amp;IF(AH1354=1," (laborable)"," (no laborable)"),IF(AH1354=1,"Laborable",IF(WEEKDAY(B1354,2)&gt;5,"Fin de semana","No laborable"))))</f>
        <v/>
      </c>
      <c r="R1354" s="73" t="n"/>
      <c r="S1354" s="72" t="n"/>
      <c r="T1354" s="72" t="n"/>
      <c r="U1354" s="74" t="n"/>
      <c r="V1354" s="79" t="str">
        <f>IF(AND(D1354="proMX",OR(R1354="Submitted",R1354="Recall Requested"),ISNUMBER(S1354)),CFG_TODAY-INT(S1354),"")</f>
        <v/>
      </c>
      <c r="W1354" s="78" t="str">
        <f>IF(BD1354=0,"",IF(BA1354&gt;0,"⚠ Se superpone con un registro de la otra empresa",IF(D1354="Malcolm",IF(COUNTA(R1354,S1354,T1354)&gt;0,"Estado/fechas proMX se ignoran en Malcolm",""),IF(BF1354="Cancelled","Cancelado: excluido de totales",IF(R1354="","Sin estado: se trata como Draft",IF(BF1354="Submitted",IF(ISNUMBER(V1354),IF(V1354&gt;CFG_MAXD,"⚠ "&amp;V1354&amp;" días en Submitted (máx. "&amp;CFG_MAXD&amp;")",""),"Falta fecha de envío"),IF(BF1354="Returned","⚠ Devuelto: corregir y reenviar",IF(BF1354="Recall Requested","Retirada solicitada: pendiente",IF(AND(BF1354="Approved",NOT(ISNUMBER(T1354))),"Falta fecha de aprobación",IF(AND(ISNUMBER(S1354),ISNUMBER(T1354),T1354&lt;S1354),"Aprobación anterior al envío","")))))))))</f>
        <v/>
      </c>
      <c r="Y1354" s="80">
        <f>IF(COUNTA(B1354,D1354,E1354,F1354,G1354,H1354,I1354,J1354,R1354,S1354,T1354)&gt;0,1,0)</f>
        <v>0</v>
      </c>
      <c r="Z1354" s="80" t="str">
        <f>IF(AND(ISNUMBER(H1354),H1354&gt;=0,H1354&lt;1),ROUND(H1354*1440,0),"")</f>
        <v/>
      </c>
      <c r="AA1354" s="80" t="str">
        <f>IF(AND(ISNUMBER(I1354),I1354&gt;=0,I1354&lt;1),ROUND(I1354*1440,0),"")</f>
        <v/>
      </c>
      <c r="AB1354" s="80">
        <f>IF(AND(ISNUMBER(B1354),D1354&lt;&gt;"",ISNUMBER(Z1354),ISNUMBER(AA1354)),IF(Z1354=AA1354,0,1),0)</f>
        <v>0</v>
      </c>
      <c r="AC1354" s="80">
        <f>IF(AB1354=1,IF(AA1354&lt;Z1354,1,0),0)</f>
        <v>0</v>
      </c>
      <c r="AD1354" s="80">
        <f>IF(AB1354=1,IF(AC1354=1,1440-Z1354+AA1354,AA1354-Z1354),0)</f>
        <v>0</v>
      </c>
      <c r="AE1354" s="80">
        <f>IF(J1354="",0,IF(ISNUMBER(J1354),J1354,-1))</f>
        <v>0</v>
      </c>
      <c r="AF1354" s="80">
        <f>MIN(MAX(0,AE1354),AD1354)</f>
        <v>0</v>
      </c>
      <c r="AG1354" s="80">
        <f>MAX(0,AD1354-MAX(0,AE1354))</f>
        <v>0</v>
      </c>
      <c r="AH1354" s="80">
        <f>IF(ISNUMBER(B1354),IF(AND(INDEX(CFG_WDAYS,WEEKDAY(INT(B1354),2))="Sí",IF(D1354="proMX",COUNTIFS(FER_F,INT(B1354),FER_NLP,"Sí"),COUNTIFS(FER_F,INT(B1354),FER_NLM,"Sí"))=0),1,0),0)</f>
        <v>0</v>
      </c>
      <c r="AI1354" s="80">
        <f>IF(AC1354=1,IF(AND(INDEX(CFG_WDAYS,WEEKDAY(INT(B1354)+1,2))="Sí",IF(D1354="proMX",COUNTIFS(FER_F,INT(B1354)+1,FER_NLP,"Sí"),COUNTIFS(FER_F,INT(B1354)+1,FER_NLM,"Sí"))=0),1,0),0)</f>
        <v>0</v>
      </c>
      <c r="AJ1354" s="80">
        <f>IF(AC1354=1,1440-Z1354,AD1354)</f>
        <v>0</v>
      </c>
      <c r="AK1354" s="80">
        <f>IF(AND(AB1354=1,AH1354=1),MAX(0,MIN(IF(AC1354=1,1440,AA1354),CFG_WEM)-MAX(Z1354,CFG_WSM)),0)</f>
        <v>0</v>
      </c>
      <c r="AL1354" s="80">
        <f>IF(AND(AC1354=1,AI1354=1),MAX(0,MIN(AA1354,CFG_WEM)-CFG_WSM),0)</f>
        <v>0</v>
      </c>
      <c r="AM1354" s="80">
        <f>AK1354+AL1354</f>
        <v>0</v>
      </c>
      <c r="AN1354" s="80">
        <f>IF(CFG_BRK="Proporcional",IF(AD1354=0,0,AF1354*AM1354/AD1354),IF(CFG_BRK="Extras primero",MIN(AM1354,MAX(0,AF1354-(AD1354-AM1354))),MIN(AF1354,AM1354)))</f>
        <v>0</v>
      </c>
      <c r="AO1354" s="80">
        <f>AF1354-AN1354</f>
        <v>0</v>
      </c>
      <c r="AP1354" s="80">
        <f>AM1354-AN1354</f>
        <v>0</v>
      </c>
      <c r="AQ1354" s="80">
        <f>AD1354-AM1354-AO1354</f>
        <v>0</v>
      </c>
      <c r="AR1354" s="80">
        <f>IF(AM1354=0,0,AK1354-AN1354*AK1354/AM1354)</f>
        <v>0</v>
      </c>
      <c r="AS1354" s="80">
        <f>IF(AD1354-AM1354=0,0,(AJ1354-AK1354)-AO1354*(AJ1354-AK1354)/(AD1354-AM1354))</f>
        <v>0</v>
      </c>
      <c r="AT1354" s="80" t="str">
        <f>IF(AC1354=1,INT(B1354)+1,"")</f>
        <v/>
      </c>
      <c r="AU1354" s="80">
        <f>IF(AND(D1354="proMX",R1354="Cancelled"),0,1)</f>
        <v>1</v>
      </c>
      <c r="AV1354" s="80">
        <f>IF(AND(AB1354=1,AU1354=1),IF(COUNTIFS($D$5:D1353,D1354,$B$5:B1353,B1354,$Z$5:Z1353,Z1354,$AA$5:AA1353,AA1354,$F$5:F1353,F1354&amp;"",$AU$5:AU1353,1)&gt;0,1,0),0)</f>
        <v>0</v>
      </c>
      <c r="AW1354" s="80" t="str">
        <f>IF(AB1354=1,INT(B1354)*1440+Z1354,"")</f>
        <v/>
      </c>
      <c r="AX1354" s="80" t="str">
        <f>IF(AB1354=1,AW1354+AD1354,"")</f>
        <v/>
      </c>
      <c r="AY1354" s="80">
        <f>IF(AND(AB1354=1,AV1354=0,AU1354=1),1,0)</f>
        <v>0</v>
      </c>
      <c r="AZ1354" s="80">
        <f>IF(AY1354=1,COUNTIFS(R_Emp,D1354,R_SAbs,"&lt;"&amp;AX1354,R_EAbs,"&gt;"&amp;AW1354,R_OKey,1)-1,0)</f>
        <v>0</v>
      </c>
      <c r="BA1354" s="80">
        <f>IF(AY1354=1,COUNTIFS(R_Emp,"&lt;&gt;"&amp;D1354,R_SAbs,"&lt;"&amp;AX1354,R_EAbs,"&gt;"&amp;AW1354,R_OKey,1),0)</f>
        <v>0</v>
      </c>
      <c r="BB1354" s="80">
        <f>IF(AND(AB1354=1,D1354="proMX"),IF(AND(MOD(Z1354,CFG_BLK)=0,MOD(AA1354,CFG_BLK)=0,MOD(AG1354,CFG_BLK)=0,AG1354&gt;0),1,0),1)</f>
        <v>1</v>
      </c>
      <c r="BC1354" s="80" t="str">
        <f>IF(Y1354=0,"",IF(NOT(ISNUMBER(B1354)),"Falta fecha o fecha inválida",IF(D1354="","Falta empresa",IF(AND(D1354&lt;&gt;"Malcolm",D1354&lt;&gt;"proMX"),"Empresa inválida",IF(OR(INT(B1354)&lt;CFG_PSTART,INT(B1354)&gt;CFG_PEND),"Fecha fuera del período",IF(OR(NOT(ISNUMBER(Z1354)),NOT(ISNUMBER(AA1354))),"Falta hora inicio/fin o formato inválido",IF(AB1354=0,"Hora inicio = hora fin",IF(AE1354&lt;0,"Descanso inválido",IF(AE1354&gt;=AD1354,"Descanso ≥ duración",IF(AV1354=1,"Registro duplicado",IF(AZ1354&gt;0,"Se superpone con otro registro "&amp;D1354,IF(BB1354=0,"inicio, fin y duración neta deben ser múltiplos de "&amp;CFG_BLK&amp;" min",""))))))))))))</f>
        <v/>
      </c>
      <c r="BD1354" s="80">
        <f>IF(AND(Y1354=1,BC1354=""),1,0)</f>
        <v>0</v>
      </c>
      <c r="BE1354" s="80">
        <f>IF(AND(BD1354=1,AU1354=1),1,0)</f>
        <v>0</v>
      </c>
      <c r="BF1354" s="80" t="str">
        <f>IF(AND(D1354="proMX",BD1354=1),IF(R1354="","Draft",R1354),"")</f>
        <v/>
      </c>
      <c r="BG1354" s="80">
        <f>IF(BD1354=1,ROUND(AG1354/60,6),0)</f>
        <v>0</v>
      </c>
      <c r="BH1354" s="80">
        <f>IF(BE1354=1,ROUND(AG1354/60,6),0)</f>
        <v>0</v>
      </c>
      <c r="BI1354" s="80">
        <f>IF(BE1354=1,ROUND(AP1354/60,6),0)</f>
        <v>0</v>
      </c>
      <c r="BJ1354" s="80">
        <f>IF(BE1354=1,ROUND(AQ1354/60,6),0)</f>
        <v>0</v>
      </c>
      <c r="BK1354" s="80">
        <f>IF(BE1354=1,ROUND((AR1354+AS1354)/60,6),0)</f>
        <v>0</v>
      </c>
      <c r="BL1354" s="80">
        <f>ROUND(BH1354-BK1354,6)</f>
        <v>0</v>
      </c>
      <c r="BM1354" s="80">
        <f>IF(BE1354=1,ROUND(AR1354/60,6),0)</f>
        <v>0</v>
      </c>
      <c r="BN1354" s="80">
        <f>ROUND(BI1354-BM1354,6)</f>
        <v>0</v>
      </c>
      <c r="BO1354" s="80">
        <f>IF(BE1354=1,ROUND(AS1354/60,6),0)</f>
        <v>0</v>
      </c>
      <c r="BP1354" s="80">
        <f>ROUND(BJ1354-BO1354,6)</f>
        <v>0</v>
      </c>
      <c r="BQ1354" s="80">
        <f>IF(BE1354=1,AW1354,0)</f>
        <v>0</v>
      </c>
      <c r="BR1354" s="80">
        <f>IF(BE1354=1,AX1354,0)</f>
        <v>0</v>
      </c>
      <c r="BS1354" s="80">
        <f>IF(AND(BE1354=1,D1354="Malcolm",BA1354&gt;0),MIN(BH1354,SUMPRODUCT((R_Emp="proMX")*(R_EN&gt;0)*((R_EN-(R_EN&gt;BR1354)*(R_EN-BR1354))&gt;(R_SN+(R_SN&lt;BQ1354)*(BQ1354-R_SN)))*((R_EN-(R_EN&gt;BR1354)*(R_EN-BR1354))-(R_SN+(R_SN&lt;BQ1354)*(BQ1354-R_SN))))/60),0)</f>
        <v>0</v>
      </c>
      <c r="BT1354" s="80">
        <f>IF(AND(BE1354=1,D1354="proMX"),ROUND(BI1354*CFG_RATE+BJ1354*CFG_OTRATE,6),0)</f>
        <v>0</v>
      </c>
      <c r="BU1354" s="80">
        <f>IF(AND(BD1354=1,D1354="proMX"),ROUND(AG1354/CFG_BLK,6),0)</f>
        <v>0</v>
      </c>
      <c r="BV1354" s="80" t="str">
        <f>IF(BF1354="Approved",IF(ISNUMBER(T1354),INT(T1354),INT(B1354)),"")</f>
        <v/>
      </c>
      <c r="BW1354" s="80">
        <f>IF(ISNUMBER(B1354),IF(DB_MON="Todos",1,IF(AND(INT(B1354)&gt;=DB_MS,INT(B1354)&lt;=DB_ME),1,0)),0)</f>
        <v>0</v>
      </c>
      <c r="BX1354" s="80">
        <f>IF(DB_PROJ="Todos",1,IF(E1354&amp;""=DB_PROJ&amp;"",1,0))</f>
        <v>1</v>
      </c>
      <c r="BY1354" s="80">
        <f>BW1354*BX1354</f>
        <v>0</v>
      </c>
      <c r="BZ1354" s="80" t="str">
        <f>IF(Y1354=1,F1354&amp;IF(AND(F1354&amp;""&lt;&gt;"",E1354&amp;""&lt;&gt;"")," · ","")&amp;E1354,"")</f>
        <v/>
      </c>
      <c r="CA1354" s="80" t="str">
        <f>IF(AND(BD1354=1,E1354&amp;""&lt;&gt;""),IF(COUNTIFS($E$5:E1353,E1354,$BD$5:BD1353,1)=0,MAX($CA$5:CA1353)+1,""),"")</f>
        <v/>
      </c>
      <c r="CB1354" s="80" t="str">
        <f>IF(AND(BE1354=1,D1354="Malcolm",E1354&amp;""&lt;&gt;""),IF(COUNTIFS($D$5:D1353,"Malcolm",$E$5:E1353,E1354,$BE$5:BE1353,1)=0,MAX($CB$5:CB1353)+1,""),"")</f>
        <v/>
      </c>
      <c r="CC1354" s="80" t="str">
        <f>IF(AND(BD1354=1,D1354="proMX",E1354&amp;""&lt;&gt;""),IF(COUNTIFS($D$5:D1353,"proMX",$E$5:E1353,E1354,$BD$5:BD1353,1)=0,MAX($CC$5:CC1353)+1,""),"")</f>
        <v/>
      </c>
      <c r="CD1354" s="80" t="str">
        <f>IF(AND(BE1354=1,D1354="Malcolm",F1354&amp;""&lt;&gt;""),IF(COUNTIFS($D$5:D1353,"Malcolm",$F$5:F1353,F1354,$BE$5:BE1353,1)=0,MAX($CD$5:CD1353)+1,""),"")</f>
        <v/>
      </c>
      <c r="CE1354" s="80" t="str">
        <f>IF(AND(BD1354=1,D1354="proMX",F1354&amp;""&lt;&gt;""),IF(COUNTIFS($D$5:D1353,"proMX",$F$5:F1353,F1354,$BD$5:BD1353,1)=0,MAX($CE$5:CE1353)+1,""),"")</f>
        <v/>
      </c>
      <c r="CF1354" s="80" t="str">
        <f>IF(AND(D1354="proMX",BD1354=1),IF(OR(BF1354="Draft",BF1354="Submitted",BF1354="Returned",BF1354="Recall Requested"),MAX($CF$5:CF1353)+1,""),"")</f>
        <v/>
      </c>
      <c r="CG1354" s="80">
        <f>IF(BD1354=0,0,IF(D1354="Malcolm",1,MATCH(BF1354,{"Draft","Submitted","Approved","Returned","Recall Requested","Cancelled"},0)+1))</f>
        <v>0</v>
      </c>
      <c r="CH1354" s="80">
        <f>IF(AND(BF1354="Submitted",ISNUMBER(V1354)),IF(V1354&gt;CFG_MAXD,1,0),0)</f>
        <v>0</v>
      </c>
    </row>
    <row r="1355">
      <c r="A1355" s="71" t="str">
        <f>IF(Y1355=1,ROW()-5,"")</f>
        <v/>
      </c>
      <c r="B1355" s="72" t="n"/>
      <c r="C1355" s="71" t="str">
        <f>IF(ISNUMBER(B1355),CHOOSE(WEEKDAY(B1355,2),"Lun","Mar","Mié","Jue","Vie","Sáb","Dom"),"")</f>
        <v/>
      </c>
      <c r="D1355" s="73" t="n"/>
      <c r="E1355" s="74" t="n"/>
      <c r="F1355" s="74" t="n"/>
      <c r="G1355" s="74" t="n"/>
      <c r="H1355" s="75" t="n"/>
      <c r="I1355" s="75" t="n"/>
      <c r="J1355" s="76" t="n"/>
      <c r="K1355" s="77" t="str">
        <f>IF(AB1355=1,ROUND(AG1355/60,4),"")</f>
        <v/>
      </c>
      <c r="L1355" s="77" t="str">
        <f>IF(BD1355=1,ROUND(AP1355/60,4),"")</f>
        <v/>
      </c>
      <c r="M1355" s="77" t="str">
        <f>IF(BD1355=1,ROUND(AQ1355/60,4),"")</f>
        <v/>
      </c>
      <c r="N1355" s="71" t="str">
        <f>IF(AND(D1355="proMX",AB1355=1),ROUND(AG1355/CFG_BLK,2),"")</f>
        <v/>
      </c>
      <c r="O1355" s="77" t="str">
        <f>IF(D1355="proMX",IF(BD1355=1,ROUND(AG1355/60,4),0),"")</f>
        <v/>
      </c>
      <c r="P1355" s="78" t="str">
        <f>IF(Y1355=0,"",IF(BD1355=1,"OK",IF(D1355="proMX","Revisar bloques: ","Revisar: ")&amp;BC1355))</f>
        <v/>
      </c>
      <c r="Q1355" s="78" t="str">
        <f>IF(NOT(ISNUMBER(B1355)),"",IF(COUNTIFS(FER_F,INT(B1355))&gt;0,"Feriado"&amp;IF(AH1355=1," (laborable)"," (no laborable)"),IF(AH1355=1,"Laborable",IF(WEEKDAY(B1355,2)&gt;5,"Fin de semana","No laborable"))))</f>
        <v/>
      </c>
      <c r="R1355" s="73" t="n"/>
      <c r="S1355" s="72" t="n"/>
      <c r="T1355" s="72" t="n"/>
      <c r="U1355" s="74" t="n"/>
      <c r="V1355" s="79" t="str">
        <f>IF(AND(D1355="proMX",OR(R1355="Submitted",R1355="Recall Requested"),ISNUMBER(S1355)),CFG_TODAY-INT(S1355),"")</f>
        <v/>
      </c>
      <c r="W1355" s="78" t="str">
        <f>IF(BD1355=0,"",IF(BA1355&gt;0,"⚠ Se superpone con un registro de la otra empresa",IF(D1355="Malcolm",IF(COUNTA(R1355,S1355,T1355)&gt;0,"Estado/fechas proMX se ignoran en Malcolm",""),IF(BF1355="Cancelled","Cancelado: excluido de totales",IF(R1355="","Sin estado: se trata como Draft",IF(BF1355="Submitted",IF(ISNUMBER(V1355),IF(V1355&gt;CFG_MAXD,"⚠ "&amp;V1355&amp;" días en Submitted (máx. "&amp;CFG_MAXD&amp;")",""),"Falta fecha de envío"),IF(BF1355="Returned","⚠ Devuelto: corregir y reenviar",IF(BF1355="Recall Requested","Retirada solicitada: pendiente",IF(AND(BF1355="Approved",NOT(ISNUMBER(T1355))),"Falta fecha de aprobación",IF(AND(ISNUMBER(S1355),ISNUMBER(T1355),T1355&lt;S1355),"Aprobación anterior al envío","")))))))))</f>
        <v/>
      </c>
      <c r="Y1355" s="80">
        <f>IF(COUNTA(B1355,D1355,E1355,F1355,G1355,H1355,I1355,J1355,R1355,S1355,T1355)&gt;0,1,0)</f>
        <v>0</v>
      </c>
      <c r="Z1355" s="80" t="str">
        <f>IF(AND(ISNUMBER(H1355),H1355&gt;=0,H1355&lt;1),ROUND(H1355*1440,0),"")</f>
        <v/>
      </c>
      <c r="AA1355" s="80" t="str">
        <f>IF(AND(ISNUMBER(I1355),I1355&gt;=0,I1355&lt;1),ROUND(I1355*1440,0),"")</f>
        <v/>
      </c>
      <c r="AB1355" s="80">
        <f>IF(AND(ISNUMBER(B1355),D1355&lt;&gt;"",ISNUMBER(Z1355),ISNUMBER(AA1355)),IF(Z1355=AA1355,0,1),0)</f>
        <v>0</v>
      </c>
      <c r="AC1355" s="80">
        <f>IF(AB1355=1,IF(AA1355&lt;Z1355,1,0),0)</f>
        <v>0</v>
      </c>
      <c r="AD1355" s="80">
        <f>IF(AB1355=1,IF(AC1355=1,1440-Z1355+AA1355,AA1355-Z1355),0)</f>
        <v>0</v>
      </c>
      <c r="AE1355" s="80">
        <f>IF(J1355="",0,IF(ISNUMBER(J1355),J1355,-1))</f>
        <v>0</v>
      </c>
      <c r="AF1355" s="80">
        <f>MIN(MAX(0,AE1355),AD1355)</f>
        <v>0</v>
      </c>
      <c r="AG1355" s="80">
        <f>MAX(0,AD1355-MAX(0,AE1355))</f>
        <v>0</v>
      </c>
      <c r="AH1355" s="80">
        <f>IF(ISNUMBER(B1355),IF(AND(INDEX(CFG_WDAYS,WEEKDAY(INT(B1355),2))="Sí",IF(D1355="proMX",COUNTIFS(FER_F,INT(B1355),FER_NLP,"Sí"),COUNTIFS(FER_F,INT(B1355),FER_NLM,"Sí"))=0),1,0),0)</f>
        <v>0</v>
      </c>
      <c r="AI1355" s="80">
        <f>IF(AC1355=1,IF(AND(INDEX(CFG_WDAYS,WEEKDAY(INT(B1355)+1,2))="Sí",IF(D1355="proMX",COUNTIFS(FER_F,INT(B1355)+1,FER_NLP,"Sí"),COUNTIFS(FER_F,INT(B1355)+1,FER_NLM,"Sí"))=0),1,0),0)</f>
        <v>0</v>
      </c>
      <c r="AJ1355" s="80">
        <f>IF(AC1355=1,1440-Z1355,AD1355)</f>
        <v>0</v>
      </c>
      <c r="AK1355" s="80">
        <f>IF(AND(AB1355=1,AH1355=1),MAX(0,MIN(IF(AC1355=1,1440,AA1355),CFG_WEM)-MAX(Z1355,CFG_WSM)),0)</f>
        <v>0</v>
      </c>
      <c r="AL1355" s="80">
        <f>IF(AND(AC1355=1,AI1355=1),MAX(0,MIN(AA1355,CFG_WEM)-CFG_WSM),0)</f>
        <v>0</v>
      </c>
      <c r="AM1355" s="80">
        <f>AK1355+AL1355</f>
        <v>0</v>
      </c>
      <c r="AN1355" s="80">
        <f>IF(CFG_BRK="Proporcional",IF(AD1355=0,0,AF1355*AM1355/AD1355),IF(CFG_BRK="Extras primero",MIN(AM1355,MAX(0,AF1355-(AD1355-AM1355))),MIN(AF1355,AM1355)))</f>
        <v>0</v>
      </c>
      <c r="AO1355" s="80">
        <f>AF1355-AN1355</f>
        <v>0</v>
      </c>
      <c r="AP1355" s="80">
        <f>AM1355-AN1355</f>
        <v>0</v>
      </c>
      <c r="AQ1355" s="80">
        <f>AD1355-AM1355-AO1355</f>
        <v>0</v>
      </c>
      <c r="AR1355" s="80">
        <f>IF(AM1355=0,0,AK1355-AN1355*AK1355/AM1355)</f>
        <v>0</v>
      </c>
      <c r="AS1355" s="80">
        <f>IF(AD1355-AM1355=0,0,(AJ1355-AK1355)-AO1355*(AJ1355-AK1355)/(AD1355-AM1355))</f>
        <v>0</v>
      </c>
      <c r="AT1355" s="80" t="str">
        <f>IF(AC1355=1,INT(B1355)+1,"")</f>
        <v/>
      </c>
      <c r="AU1355" s="80">
        <f>IF(AND(D1355="proMX",R1355="Cancelled"),0,1)</f>
        <v>1</v>
      </c>
      <c r="AV1355" s="80">
        <f>IF(AND(AB1355=1,AU1355=1),IF(COUNTIFS($D$5:D1354,D1355,$B$5:B1354,B1355,$Z$5:Z1354,Z1355,$AA$5:AA1354,AA1355,$F$5:F1354,F1355&amp;"",$AU$5:AU1354,1)&gt;0,1,0),0)</f>
        <v>0</v>
      </c>
      <c r="AW1355" s="80" t="str">
        <f>IF(AB1355=1,INT(B1355)*1440+Z1355,"")</f>
        <v/>
      </c>
      <c r="AX1355" s="80" t="str">
        <f>IF(AB1355=1,AW1355+AD1355,"")</f>
        <v/>
      </c>
      <c r="AY1355" s="80">
        <f>IF(AND(AB1355=1,AV1355=0,AU1355=1),1,0)</f>
        <v>0</v>
      </c>
      <c r="AZ1355" s="80">
        <f>IF(AY1355=1,COUNTIFS(R_Emp,D1355,R_SAbs,"&lt;"&amp;AX1355,R_EAbs,"&gt;"&amp;AW1355,R_OKey,1)-1,0)</f>
        <v>0</v>
      </c>
      <c r="BA1355" s="80">
        <f>IF(AY1355=1,COUNTIFS(R_Emp,"&lt;&gt;"&amp;D1355,R_SAbs,"&lt;"&amp;AX1355,R_EAbs,"&gt;"&amp;AW1355,R_OKey,1),0)</f>
        <v>0</v>
      </c>
      <c r="BB1355" s="80">
        <f>IF(AND(AB1355=1,D1355="proMX"),IF(AND(MOD(Z1355,CFG_BLK)=0,MOD(AA1355,CFG_BLK)=0,MOD(AG1355,CFG_BLK)=0,AG1355&gt;0),1,0),1)</f>
        <v>1</v>
      </c>
      <c r="BC1355" s="80" t="str">
        <f>IF(Y1355=0,"",IF(NOT(ISNUMBER(B1355)),"Falta fecha o fecha inválida",IF(D1355="","Falta empresa",IF(AND(D1355&lt;&gt;"Malcolm",D1355&lt;&gt;"proMX"),"Empresa inválida",IF(OR(INT(B1355)&lt;CFG_PSTART,INT(B1355)&gt;CFG_PEND),"Fecha fuera del período",IF(OR(NOT(ISNUMBER(Z1355)),NOT(ISNUMBER(AA1355))),"Falta hora inicio/fin o formato inválido",IF(AB1355=0,"Hora inicio = hora fin",IF(AE1355&lt;0,"Descanso inválido",IF(AE1355&gt;=AD1355,"Descanso ≥ duración",IF(AV1355=1,"Registro duplicado",IF(AZ1355&gt;0,"Se superpone con otro registro "&amp;D1355,IF(BB1355=0,"inicio, fin y duración neta deben ser múltiplos de "&amp;CFG_BLK&amp;" min",""))))))))))))</f>
        <v/>
      </c>
      <c r="BD1355" s="80">
        <f>IF(AND(Y1355=1,BC1355=""),1,0)</f>
        <v>0</v>
      </c>
      <c r="BE1355" s="80">
        <f>IF(AND(BD1355=1,AU1355=1),1,0)</f>
        <v>0</v>
      </c>
      <c r="BF1355" s="80" t="str">
        <f>IF(AND(D1355="proMX",BD1355=1),IF(R1355="","Draft",R1355),"")</f>
        <v/>
      </c>
      <c r="BG1355" s="80">
        <f>IF(BD1355=1,ROUND(AG1355/60,6),0)</f>
        <v>0</v>
      </c>
      <c r="BH1355" s="80">
        <f>IF(BE1355=1,ROUND(AG1355/60,6),0)</f>
        <v>0</v>
      </c>
      <c r="BI1355" s="80">
        <f>IF(BE1355=1,ROUND(AP1355/60,6),0)</f>
        <v>0</v>
      </c>
      <c r="BJ1355" s="80">
        <f>IF(BE1355=1,ROUND(AQ1355/60,6),0)</f>
        <v>0</v>
      </c>
      <c r="BK1355" s="80">
        <f>IF(BE1355=1,ROUND((AR1355+AS1355)/60,6),0)</f>
        <v>0</v>
      </c>
      <c r="BL1355" s="80">
        <f>ROUND(BH1355-BK1355,6)</f>
        <v>0</v>
      </c>
      <c r="BM1355" s="80">
        <f>IF(BE1355=1,ROUND(AR1355/60,6),0)</f>
        <v>0</v>
      </c>
      <c r="BN1355" s="80">
        <f>ROUND(BI1355-BM1355,6)</f>
        <v>0</v>
      </c>
      <c r="BO1355" s="80">
        <f>IF(BE1355=1,ROUND(AS1355/60,6),0)</f>
        <v>0</v>
      </c>
      <c r="BP1355" s="80">
        <f>ROUND(BJ1355-BO1355,6)</f>
        <v>0</v>
      </c>
      <c r="BQ1355" s="80">
        <f>IF(BE1355=1,AW1355,0)</f>
        <v>0</v>
      </c>
      <c r="BR1355" s="80">
        <f>IF(BE1355=1,AX1355,0)</f>
        <v>0</v>
      </c>
      <c r="BS1355" s="80">
        <f>IF(AND(BE1355=1,D1355="Malcolm",BA1355&gt;0),MIN(BH1355,SUMPRODUCT((R_Emp="proMX")*(R_EN&gt;0)*((R_EN-(R_EN&gt;BR1355)*(R_EN-BR1355))&gt;(R_SN+(R_SN&lt;BQ1355)*(BQ1355-R_SN)))*((R_EN-(R_EN&gt;BR1355)*(R_EN-BR1355))-(R_SN+(R_SN&lt;BQ1355)*(BQ1355-R_SN))))/60),0)</f>
        <v>0</v>
      </c>
      <c r="BT1355" s="80">
        <f>IF(AND(BE1355=1,D1355="proMX"),ROUND(BI1355*CFG_RATE+BJ1355*CFG_OTRATE,6),0)</f>
        <v>0</v>
      </c>
      <c r="BU1355" s="80">
        <f>IF(AND(BD1355=1,D1355="proMX"),ROUND(AG1355/CFG_BLK,6),0)</f>
        <v>0</v>
      </c>
      <c r="BV1355" s="80" t="str">
        <f>IF(BF1355="Approved",IF(ISNUMBER(T1355),INT(T1355),INT(B1355)),"")</f>
        <v/>
      </c>
      <c r="BW1355" s="80">
        <f>IF(ISNUMBER(B1355),IF(DB_MON="Todos",1,IF(AND(INT(B1355)&gt;=DB_MS,INT(B1355)&lt;=DB_ME),1,0)),0)</f>
        <v>0</v>
      </c>
      <c r="BX1355" s="80">
        <f>IF(DB_PROJ="Todos",1,IF(E1355&amp;""=DB_PROJ&amp;"",1,0))</f>
        <v>1</v>
      </c>
      <c r="BY1355" s="80">
        <f>BW1355*BX1355</f>
        <v>0</v>
      </c>
      <c r="BZ1355" s="80" t="str">
        <f>IF(Y1355=1,F1355&amp;IF(AND(F1355&amp;""&lt;&gt;"",E1355&amp;""&lt;&gt;"")," · ","")&amp;E1355,"")</f>
        <v/>
      </c>
      <c r="CA1355" s="80" t="str">
        <f>IF(AND(BD1355=1,E1355&amp;""&lt;&gt;""),IF(COUNTIFS($E$5:E1354,E1355,$BD$5:BD1354,1)=0,MAX($CA$5:CA1354)+1,""),"")</f>
        <v/>
      </c>
      <c r="CB1355" s="80" t="str">
        <f>IF(AND(BE1355=1,D1355="Malcolm",E1355&amp;""&lt;&gt;""),IF(COUNTIFS($D$5:D1354,"Malcolm",$E$5:E1354,E1355,$BE$5:BE1354,1)=0,MAX($CB$5:CB1354)+1,""),"")</f>
        <v/>
      </c>
      <c r="CC1355" s="80" t="str">
        <f>IF(AND(BD1355=1,D1355="proMX",E1355&amp;""&lt;&gt;""),IF(COUNTIFS($D$5:D1354,"proMX",$E$5:E1354,E1355,$BD$5:BD1354,1)=0,MAX($CC$5:CC1354)+1,""),"")</f>
        <v/>
      </c>
      <c r="CD1355" s="80" t="str">
        <f>IF(AND(BE1355=1,D1355="Malcolm",F1355&amp;""&lt;&gt;""),IF(COUNTIFS($D$5:D1354,"Malcolm",$F$5:F1354,F1355,$BE$5:BE1354,1)=0,MAX($CD$5:CD1354)+1,""),"")</f>
        <v/>
      </c>
      <c r="CE1355" s="80" t="str">
        <f>IF(AND(BD1355=1,D1355="proMX",F1355&amp;""&lt;&gt;""),IF(COUNTIFS($D$5:D1354,"proMX",$F$5:F1354,F1355,$BD$5:BD1354,1)=0,MAX($CE$5:CE1354)+1,""),"")</f>
        <v/>
      </c>
      <c r="CF1355" s="80" t="str">
        <f>IF(AND(D1355="proMX",BD1355=1),IF(OR(BF1355="Draft",BF1355="Submitted",BF1355="Returned",BF1355="Recall Requested"),MAX($CF$5:CF1354)+1,""),"")</f>
        <v/>
      </c>
      <c r="CG1355" s="80">
        <f>IF(BD1355=0,0,IF(D1355="Malcolm",1,MATCH(BF1355,{"Draft","Submitted","Approved","Returned","Recall Requested","Cancelled"},0)+1))</f>
        <v>0</v>
      </c>
      <c r="CH1355" s="80">
        <f>IF(AND(BF1355="Submitted",ISNUMBER(V1355)),IF(V1355&gt;CFG_MAXD,1,0),0)</f>
        <v>0</v>
      </c>
    </row>
    <row r="1356">
      <c r="A1356" s="71" t="str">
        <f>IF(Y1356=1,ROW()-5,"")</f>
        <v/>
      </c>
      <c r="B1356" s="72" t="n"/>
      <c r="C1356" s="71" t="str">
        <f>IF(ISNUMBER(B1356),CHOOSE(WEEKDAY(B1356,2),"Lun","Mar","Mié","Jue","Vie","Sáb","Dom"),"")</f>
        <v/>
      </c>
      <c r="D1356" s="73" t="n"/>
      <c r="E1356" s="74" t="n"/>
      <c r="F1356" s="74" t="n"/>
      <c r="G1356" s="74" t="n"/>
      <c r="H1356" s="75" t="n"/>
      <c r="I1356" s="75" t="n"/>
      <c r="J1356" s="76" t="n"/>
      <c r="K1356" s="77" t="str">
        <f>IF(AB1356=1,ROUND(AG1356/60,4),"")</f>
        <v/>
      </c>
      <c r="L1356" s="77" t="str">
        <f>IF(BD1356=1,ROUND(AP1356/60,4),"")</f>
        <v/>
      </c>
      <c r="M1356" s="77" t="str">
        <f>IF(BD1356=1,ROUND(AQ1356/60,4),"")</f>
        <v/>
      </c>
      <c r="N1356" s="71" t="str">
        <f>IF(AND(D1356="proMX",AB1356=1),ROUND(AG1356/CFG_BLK,2),"")</f>
        <v/>
      </c>
      <c r="O1356" s="77" t="str">
        <f>IF(D1356="proMX",IF(BD1356=1,ROUND(AG1356/60,4),0),"")</f>
        <v/>
      </c>
      <c r="P1356" s="78" t="str">
        <f>IF(Y1356=0,"",IF(BD1356=1,"OK",IF(D1356="proMX","Revisar bloques: ","Revisar: ")&amp;BC1356))</f>
        <v/>
      </c>
      <c r="Q1356" s="78" t="str">
        <f>IF(NOT(ISNUMBER(B1356)),"",IF(COUNTIFS(FER_F,INT(B1356))&gt;0,"Feriado"&amp;IF(AH1356=1," (laborable)"," (no laborable)"),IF(AH1356=1,"Laborable",IF(WEEKDAY(B1356,2)&gt;5,"Fin de semana","No laborable"))))</f>
        <v/>
      </c>
      <c r="R1356" s="73" t="n"/>
      <c r="S1356" s="72" t="n"/>
      <c r="T1356" s="72" t="n"/>
      <c r="U1356" s="74" t="n"/>
      <c r="V1356" s="79" t="str">
        <f>IF(AND(D1356="proMX",OR(R1356="Submitted",R1356="Recall Requested"),ISNUMBER(S1356)),CFG_TODAY-INT(S1356),"")</f>
        <v/>
      </c>
      <c r="W1356" s="78" t="str">
        <f>IF(BD1356=0,"",IF(BA1356&gt;0,"⚠ Se superpone con un registro de la otra empresa",IF(D1356="Malcolm",IF(COUNTA(R1356,S1356,T1356)&gt;0,"Estado/fechas proMX se ignoran en Malcolm",""),IF(BF1356="Cancelled","Cancelado: excluido de totales",IF(R1356="","Sin estado: se trata como Draft",IF(BF1356="Submitted",IF(ISNUMBER(V1356),IF(V1356&gt;CFG_MAXD,"⚠ "&amp;V1356&amp;" días en Submitted (máx. "&amp;CFG_MAXD&amp;")",""),"Falta fecha de envío"),IF(BF1356="Returned","⚠ Devuelto: corregir y reenviar",IF(BF1356="Recall Requested","Retirada solicitada: pendiente",IF(AND(BF1356="Approved",NOT(ISNUMBER(T1356))),"Falta fecha de aprobación",IF(AND(ISNUMBER(S1356),ISNUMBER(T1356),T1356&lt;S1356),"Aprobación anterior al envío","")))))))))</f>
        <v/>
      </c>
      <c r="Y1356" s="80">
        <f>IF(COUNTA(B1356,D1356,E1356,F1356,G1356,H1356,I1356,J1356,R1356,S1356,T1356)&gt;0,1,0)</f>
        <v>0</v>
      </c>
      <c r="Z1356" s="80" t="str">
        <f>IF(AND(ISNUMBER(H1356),H1356&gt;=0,H1356&lt;1),ROUND(H1356*1440,0),"")</f>
        <v/>
      </c>
      <c r="AA1356" s="80" t="str">
        <f>IF(AND(ISNUMBER(I1356),I1356&gt;=0,I1356&lt;1),ROUND(I1356*1440,0),"")</f>
        <v/>
      </c>
      <c r="AB1356" s="80">
        <f>IF(AND(ISNUMBER(B1356),D1356&lt;&gt;"",ISNUMBER(Z1356),ISNUMBER(AA1356)),IF(Z1356=AA1356,0,1),0)</f>
        <v>0</v>
      </c>
      <c r="AC1356" s="80">
        <f>IF(AB1356=1,IF(AA1356&lt;Z1356,1,0),0)</f>
        <v>0</v>
      </c>
      <c r="AD1356" s="80">
        <f>IF(AB1356=1,IF(AC1356=1,1440-Z1356+AA1356,AA1356-Z1356),0)</f>
        <v>0</v>
      </c>
      <c r="AE1356" s="80">
        <f>IF(J1356="",0,IF(ISNUMBER(J1356),J1356,-1))</f>
        <v>0</v>
      </c>
      <c r="AF1356" s="80">
        <f>MIN(MAX(0,AE1356),AD1356)</f>
        <v>0</v>
      </c>
      <c r="AG1356" s="80">
        <f>MAX(0,AD1356-MAX(0,AE1356))</f>
        <v>0</v>
      </c>
      <c r="AH1356" s="80">
        <f>IF(ISNUMBER(B1356),IF(AND(INDEX(CFG_WDAYS,WEEKDAY(INT(B1356),2))="Sí",IF(D1356="proMX",COUNTIFS(FER_F,INT(B1356),FER_NLP,"Sí"),COUNTIFS(FER_F,INT(B1356),FER_NLM,"Sí"))=0),1,0),0)</f>
        <v>0</v>
      </c>
      <c r="AI1356" s="80">
        <f>IF(AC1356=1,IF(AND(INDEX(CFG_WDAYS,WEEKDAY(INT(B1356)+1,2))="Sí",IF(D1356="proMX",COUNTIFS(FER_F,INT(B1356)+1,FER_NLP,"Sí"),COUNTIFS(FER_F,INT(B1356)+1,FER_NLM,"Sí"))=0),1,0),0)</f>
        <v>0</v>
      </c>
      <c r="AJ1356" s="80">
        <f>IF(AC1356=1,1440-Z1356,AD1356)</f>
        <v>0</v>
      </c>
      <c r="AK1356" s="80">
        <f>IF(AND(AB1356=1,AH1356=1),MAX(0,MIN(IF(AC1356=1,1440,AA1356),CFG_WEM)-MAX(Z1356,CFG_WSM)),0)</f>
        <v>0</v>
      </c>
      <c r="AL1356" s="80">
        <f>IF(AND(AC1356=1,AI1356=1),MAX(0,MIN(AA1356,CFG_WEM)-CFG_WSM),0)</f>
        <v>0</v>
      </c>
      <c r="AM1356" s="80">
        <f>AK1356+AL1356</f>
        <v>0</v>
      </c>
      <c r="AN1356" s="80">
        <f>IF(CFG_BRK="Proporcional",IF(AD1356=0,0,AF1356*AM1356/AD1356),IF(CFG_BRK="Extras primero",MIN(AM1356,MAX(0,AF1356-(AD1356-AM1356))),MIN(AF1356,AM1356)))</f>
        <v>0</v>
      </c>
      <c r="AO1356" s="80">
        <f>AF1356-AN1356</f>
        <v>0</v>
      </c>
      <c r="AP1356" s="80">
        <f>AM1356-AN1356</f>
        <v>0</v>
      </c>
      <c r="AQ1356" s="80">
        <f>AD1356-AM1356-AO1356</f>
        <v>0</v>
      </c>
      <c r="AR1356" s="80">
        <f>IF(AM1356=0,0,AK1356-AN1356*AK1356/AM1356)</f>
        <v>0</v>
      </c>
      <c r="AS1356" s="80">
        <f>IF(AD1356-AM1356=0,0,(AJ1356-AK1356)-AO1356*(AJ1356-AK1356)/(AD1356-AM1356))</f>
        <v>0</v>
      </c>
      <c r="AT1356" s="80" t="str">
        <f>IF(AC1356=1,INT(B1356)+1,"")</f>
        <v/>
      </c>
      <c r="AU1356" s="80">
        <f>IF(AND(D1356="proMX",R1356="Cancelled"),0,1)</f>
        <v>1</v>
      </c>
      <c r="AV1356" s="80">
        <f>IF(AND(AB1356=1,AU1356=1),IF(COUNTIFS($D$5:D1355,D1356,$B$5:B1355,B1356,$Z$5:Z1355,Z1356,$AA$5:AA1355,AA1356,$F$5:F1355,F1356&amp;"",$AU$5:AU1355,1)&gt;0,1,0),0)</f>
        <v>0</v>
      </c>
      <c r="AW1356" s="80" t="str">
        <f>IF(AB1356=1,INT(B1356)*1440+Z1356,"")</f>
        <v/>
      </c>
      <c r="AX1356" s="80" t="str">
        <f>IF(AB1356=1,AW1356+AD1356,"")</f>
        <v/>
      </c>
      <c r="AY1356" s="80">
        <f>IF(AND(AB1356=1,AV1356=0,AU1356=1),1,0)</f>
        <v>0</v>
      </c>
      <c r="AZ1356" s="80">
        <f>IF(AY1356=1,COUNTIFS(R_Emp,D1356,R_SAbs,"&lt;"&amp;AX1356,R_EAbs,"&gt;"&amp;AW1356,R_OKey,1)-1,0)</f>
        <v>0</v>
      </c>
      <c r="BA1356" s="80">
        <f>IF(AY1356=1,COUNTIFS(R_Emp,"&lt;&gt;"&amp;D1356,R_SAbs,"&lt;"&amp;AX1356,R_EAbs,"&gt;"&amp;AW1356,R_OKey,1),0)</f>
        <v>0</v>
      </c>
      <c r="BB1356" s="80">
        <f>IF(AND(AB1356=1,D1356="proMX"),IF(AND(MOD(Z1356,CFG_BLK)=0,MOD(AA1356,CFG_BLK)=0,MOD(AG1356,CFG_BLK)=0,AG1356&gt;0),1,0),1)</f>
        <v>1</v>
      </c>
      <c r="BC1356" s="80" t="str">
        <f>IF(Y1356=0,"",IF(NOT(ISNUMBER(B1356)),"Falta fecha o fecha inválida",IF(D1356="","Falta empresa",IF(AND(D1356&lt;&gt;"Malcolm",D1356&lt;&gt;"proMX"),"Empresa inválida",IF(OR(INT(B1356)&lt;CFG_PSTART,INT(B1356)&gt;CFG_PEND),"Fecha fuera del período",IF(OR(NOT(ISNUMBER(Z1356)),NOT(ISNUMBER(AA1356))),"Falta hora inicio/fin o formato inválido",IF(AB1356=0,"Hora inicio = hora fin",IF(AE1356&lt;0,"Descanso inválido",IF(AE1356&gt;=AD1356,"Descanso ≥ duración",IF(AV1356=1,"Registro duplicado",IF(AZ1356&gt;0,"Se superpone con otro registro "&amp;D1356,IF(BB1356=0,"inicio, fin y duración neta deben ser múltiplos de "&amp;CFG_BLK&amp;" min",""))))))))))))</f>
        <v/>
      </c>
      <c r="BD1356" s="80">
        <f>IF(AND(Y1356=1,BC1356=""),1,0)</f>
        <v>0</v>
      </c>
      <c r="BE1356" s="80">
        <f>IF(AND(BD1356=1,AU1356=1),1,0)</f>
        <v>0</v>
      </c>
      <c r="BF1356" s="80" t="str">
        <f>IF(AND(D1356="proMX",BD1356=1),IF(R1356="","Draft",R1356),"")</f>
        <v/>
      </c>
      <c r="BG1356" s="80">
        <f>IF(BD1356=1,ROUND(AG1356/60,6),0)</f>
        <v>0</v>
      </c>
      <c r="BH1356" s="80">
        <f>IF(BE1356=1,ROUND(AG1356/60,6),0)</f>
        <v>0</v>
      </c>
      <c r="BI1356" s="80">
        <f>IF(BE1356=1,ROUND(AP1356/60,6),0)</f>
        <v>0</v>
      </c>
      <c r="BJ1356" s="80">
        <f>IF(BE1356=1,ROUND(AQ1356/60,6),0)</f>
        <v>0</v>
      </c>
      <c r="BK1356" s="80">
        <f>IF(BE1356=1,ROUND((AR1356+AS1356)/60,6),0)</f>
        <v>0</v>
      </c>
      <c r="BL1356" s="80">
        <f>ROUND(BH1356-BK1356,6)</f>
        <v>0</v>
      </c>
      <c r="BM1356" s="80">
        <f>IF(BE1356=1,ROUND(AR1356/60,6),0)</f>
        <v>0</v>
      </c>
      <c r="BN1356" s="80">
        <f>ROUND(BI1356-BM1356,6)</f>
        <v>0</v>
      </c>
      <c r="BO1356" s="80">
        <f>IF(BE1356=1,ROUND(AS1356/60,6),0)</f>
        <v>0</v>
      </c>
      <c r="BP1356" s="80">
        <f>ROUND(BJ1356-BO1356,6)</f>
        <v>0</v>
      </c>
      <c r="BQ1356" s="80">
        <f>IF(BE1356=1,AW1356,0)</f>
        <v>0</v>
      </c>
      <c r="BR1356" s="80">
        <f>IF(BE1356=1,AX1356,0)</f>
        <v>0</v>
      </c>
      <c r="BS1356" s="80">
        <f>IF(AND(BE1356=1,D1356="Malcolm",BA1356&gt;0),MIN(BH1356,SUMPRODUCT((R_Emp="proMX")*(R_EN&gt;0)*((R_EN-(R_EN&gt;BR1356)*(R_EN-BR1356))&gt;(R_SN+(R_SN&lt;BQ1356)*(BQ1356-R_SN)))*((R_EN-(R_EN&gt;BR1356)*(R_EN-BR1356))-(R_SN+(R_SN&lt;BQ1356)*(BQ1356-R_SN))))/60),0)</f>
        <v>0</v>
      </c>
      <c r="BT1356" s="80">
        <f>IF(AND(BE1356=1,D1356="proMX"),ROUND(BI1356*CFG_RATE+BJ1356*CFG_OTRATE,6),0)</f>
        <v>0</v>
      </c>
      <c r="BU1356" s="80">
        <f>IF(AND(BD1356=1,D1356="proMX"),ROUND(AG1356/CFG_BLK,6),0)</f>
        <v>0</v>
      </c>
      <c r="BV1356" s="80" t="str">
        <f>IF(BF1356="Approved",IF(ISNUMBER(T1356),INT(T1356),INT(B1356)),"")</f>
        <v/>
      </c>
      <c r="BW1356" s="80">
        <f>IF(ISNUMBER(B1356),IF(DB_MON="Todos",1,IF(AND(INT(B1356)&gt;=DB_MS,INT(B1356)&lt;=DB_ME),1,0)),0)</f>
        <v>0</v>
      </c>
      <c r="BX1356" s="80">
        <f>IF(DB_PROJ="Todos",1,IF(E1356&amp;""=DB_PROJ&amp;"",1,0))</f>
        <v>1</v>
      </c>
      <c r="BY1356" s="80">
        <f>BW1356*BX1356</f>
        <v>0</v>
      </c>
      <c r="BZ1356" s="80" t="str">
        <f>IF(Y1356=1,F1356&amp;IF(AND(F1356&amp;""&lt;&gt;"",E1356&amp;""&lt;&gt;"")," · ","")&amp;E1356,"")</f>
        <v/>
      </c>
      <c r="CA1356" s="80" t="str">
        <f>IF(AND(BD1356=1,E1356&amp;""&lt;&gt;""),IF(COUNTIFS($E$5:E1355,E1356,$BD$5:BD1355,1)=0,MAX($CA$5:CA1355)+1,""),"")</f>
        <v/>
      </c>
      <c r="CB1356" s="80" t="str">
        <f>IF(AND(BE1356=1,D1356="Malcolm",E1356&amp;""&lt;&gt;""),IF(COUNTIFS($D$5:D1355,"Malcolm",$E$5:E1355,E1356,$BE$5:BE1355,1)=0,MAX($CB$5:CB1355)+1,""),"")</f>
        <v/>
      </c>
      <c r="CC1356" s="80" t="str">
        <f>IF(AND(BD1356=1,D1356="proMX",E1356&amp;""&lt;&gt;""),IF(COUNTIFS($D$5:D1355,"proMX",$E$5:E1355,E1356,$BD$5:BD1355,1)=0,MAX($CC$5:CC1355)+1,""),"")</f>
        <v/>
      </c>
      <c r="CD1356" s="80" t="str">
        <f>IF(AND(BE1356=1,D1356="Malcolm",F1356&amp;""&lt;&gt;""),IF(COUNTIFS($D$5:D1355,"Malcolm",$F$5:F1355,F1356,$BE$5:BE1355,1)=0,MAX($CD$5:CD1355)+1,""),"")</f>
        <v/>
      </c>
      <c r="CE1356" s="80" t="str">
        <f>IF(AND(BD1356=1,D1356="proMX",F1356&amp;""&lt;&gt;""),IF(COUNTIFS($D$5:D1355,"proMX",$F$5:F1355,F1356,$BD$5:BD1355,1)=0,MAX($CE$5:CE1355)+1,""),"")</f>
        <v/>
      </c>
      <c r="CF1356" s="80" t="str">
        <f>IF(AND(D1356="proMX",BD1356=1),IF(OR(BF1356="Draft",BF1356="Submitted",BF1356="Returned",BF1356="Recall Requested"),MAX($CF$5:CF1355)+1,""),"")</f>
        <v/>
      </c>
      <c r="CG1356" s="80">
        <f>IF(BD1356=0,0,IF(D1356="Malcolm",1,MATCH(BF1356,{"Draft","Submitted","Approved","Returned","Recall Requested","Cancelled"},0)+1))</f>
        <v>0</v>
      </c>
      <c r="CH1356" s="80">
        <f>IF(AND(BF1356="Submitted",ISNUMBER(V1356)),IF(V1356&gt;CFG_MAXD,1,0),0)</f>
        <v>0</v>
      </c>
    </row>
    <row r="1357">
      <c r="A1357" s="71" t="str">
        <f>IF(Y1357=1,ROW()-5,"")</f>
        <v/>
      </c>
      <c r="B1357" s="72" t="n"/>
      <c r="C1357" s="71" t="str">
        <f>IF(ISNUMBER(B1357),CHOOSE(WEEKDAY(B1357,2),"Lun","Mar","Mié","Jue","Vie","Sáb","Dom"),"")</f>
        <v/>
      </c>
      <c r="D1357" s="73" t="n"/>
      <c r="E1357" s="74" t="n"/>
      <c r="F1357" s="74" t="n"/>
      <c r="G1357" s="74" t="n"/>
      <c r="H1357" s="75" t="n"/>
      <c r="I1357" s="75" t="n"/>
      <c r="J1357" s="76" t="n"/>
      <c r="K1357" s="77" t="str">
        <f>IF(AB1357=1,ROUND(AG1357/60,4),"")</f>
        <v/>
      </c>
      <c r="L1357" s="77" t="str">
        <f>IF(BD1357=1,ROUND(AP1357/60,4),"")</f>
        <v/>
      </c>
      <c r="M1357" s="77" t="str">
        <f>IF(BD1357=1,ROUND(AQ1357/60,4),"")</f>
        <v/>
      </c>
      <c r="N1357" s="71" t="str">
        <f>IF(AND(D1357="proMX",AB1357=1),ROUND(AG1357/CFG_BLK,2),"")</f>
        <v/>
      </c>
      <c r="O1357" s="77" t="str">
        <f>IF(D1357="proMX",IF(BD1357=1,ROUND(AG1357/60,4),0),"")</f>
        <v/>
      </c>
      <c r="P1357" s="78" t="str">
        <f>IF(Y1357=0,"",IF(BD1357=1,"OK",IF(D1357="proMX","Revisar bloques: ","Revisar: ")&amp;BC1357))</f>
        <v/>
      </c>
      <c r="Q1357" s="78" t="str">
        <f>IF(NOT(ISNUMBER(B1357)),"",IF(COUNTIFS(FER_F,INT(B1357))&gt;0,"Feriado"&amp;IF(AH1357=1," (laborable)"," (no laborable)"),IF(AH1357=1,"Laborable",IF(WEEKDAY(B1357,2)&gt;5,"Fin de semana","No laborable"))))</f>
        <v/>
      </c>
      <c r="R1357" s="73" t="n"/>
      <c r="S1357" s="72" t="n"/>
      <c r="T1357" s="72" t="n"/>
      <c r="U1357" s="74" t="n"/>
      <c r="V1357" s="79" t="str">
        <f>IF(AND(D1357="proMX",OR(R1357="Submitted",R1357="Recall Requested"),ISNUMBER(S1357)),CFG_TODAY-INT(S1357),"")</f>
        <v/>
      </c>
      <c r="W1357" s="78" t="str">
        <f>IF(BD1357=0,"",IF(BA1357&gt;0,"⚠ Se superpone con un registro de la otra empresa",IF(D1357="Malcolm",IF(COUNTA(R1357,S1357,T1357)&gt;0,"Estado/fechas proMX se ignoran en Malcolm",""),IF(BF1357="Cancelled","Cancelado: excluido de totales",IF(R1357="","Sin estado: se trata como Draft",IF(BF1357="Submitted",IF(ISNUMBER(V1357),IF(V1357&gt;CFG_MAXD,"⚠ "&amp;V1357&amp;" días en Submitted (máx. "&amp;CFG_MAXD&amp;")",""),"Falta fecha de envío"),IF(BF1357="Returned","⚠ Devuelto: corregir y reenviar",IF(BF1357="Recall Requested","Retirada solicitada: pendiente",IF(AND(BF1357="Approved",NOT(ISNUMBER(T1357))),"Falta fecha de aprobación",IF(AND(ISNUMBER(S1357),ISNUMBER(T1357),T1357&lt;S1357),"Aprobación anterior al envío","")))))))))</f>
        <v/>
      </c>
      <c r="Y1357" s="80">
        <f>IF(COUNTA(B1357,D1357,E1357,F1357,G1357,H1357,I1357,J1357,R1357,S1357,T1357)&gt;0,1,0)</f>
        <v>0</v>
      </c>
      <c r="Z1357" s="80" t="str">
        <f>IF(AND(ISNUMBER(H1357),H1357&gt;=0,H1357&lt;1),ROUND(H1357*1440,0),"")</f>
        <v/>
      </c>
      <c r="AA1357" s="80" t="str">
        <f>IF(AND(ISNUMBER(I1357),I1357&gt;=0,I1357&lt;1),ROUND(I1357*1440,0),"")</f>
        <v/>
      </c>
      <c r="AB1357" s="80">
        <f>IF(AND(ISNUMBER(B1357),D1357&lt;&gt;"",ISNUMBER(Z1357),ISNUMBER(AA1357)),IF(Z1357=AA1357,0,1),0)</f>
        <v>0</v>
      </c>
      <c r="AC1357" s="80">
        <f>IF(AB1357=1,IF(AA1357&lt;Z1357,1,0),0)</f>
        <v>0</v>
      </c>
      <c r="AD1357" s="80">
        <f>IF(AB1357=1,IF(AC1357=1,1440-Z1357+AA1357,AA1357-Z1357),0)</f>
        <v>0</v>
      </c>
      <c r="AE1357" s="80">
        <f>IF(J1357="",0,IF(ISNUMBER(J1357),J1357,-1))</f>
        <v>0</v>
      </c>
      <c r="AF1357" s="80">
        <f>MIN(MAX(0,AE1357),AD1357)</f>
        <v>0</v>
      </c>
      <c r="AG1357" s="80">
        <f>MAX(0,AD1357-MAX(0,AE1357))</f>
        <v>0</v>
      </c>
      <c r="AH1357" s="80">
        <f>IF(ISNUMBER(B1357),IF(AND(INDEX(CFG_WDAYS,WEEKDAY(INT(B1357),2))="Sí",IF(D1357="proMX",COUNTIFS(FER_F,INT(B1357),FER_NLP,"Sí"),COUNTIFS(FER_F,INT(B1357),FER_NLM,"Sí"))=0),1,0),0)</f>
        <v>0</v>
      </c>
      <c r="AI1357" s="80">
        <f>IF(AC1357=1,IF(AND(INDEX(CFG_WDAYS,WEEKDAY(INT(B1357)+1,2))="Sí",IF(D1357="proMX",COUNTIFS(FER_F,INT(B1357)+1,FER_NLP,"Sí"),COUNTIFS(FER_F,INT(B1357)+1,FER_NLM,"Sí"))=0),1,0),0)</f>
        <v>0</v>
      </c>
      <c r="AJ1357" s="80">
        <f>IF(AC1357=1,1440-Z1357,AD1357)</f>
        <v>0</v>
      </c>
      <c r="AK1357" s="80">
        <f>IF(AND(AB1357=1,AH1357=1),MAX(0,MIN(IF(AC1357=1,1440,AA1357),CFG_WEM)-MAX(Z1357,CFG_WSM)),0)</f>
        <v>0</v>
      </c>
      <c r="AL1357" s="80">
        <f>IF(AND(AC1357=1,AI1357=1),MAX(0,MIN(AA1357,CFG_WEM)-CFG_WSM),0)</f>
        <v>0</v>
      </c>
      <c r="AM1357" s="80">
        <f>AK1357+AL1357</f>
        <v>0</v>
      </c>
      <c r="AN1357" s="80">
        <f>IF(CFG_BRK="Proporcional",IF(AD1357=0,0,AF1357*AM1357/AD1357),IF(CFG_BRK="Extras primero",MIN(AM1357,MAX(0,AF1357-(AD1357-AM1357))),MIN(AF1357,AM1357)))</f>
        <v>0</v>
      </c>
      <c r="AO1357" s="80">
        <f>AF1357-AN1357</f>
        <v>0</v>
      </c>
      <c r="AP1357" s="80">
        <f>AM1357-AN1357</f>
        <v>0</v>
      </c>
      <c r="AQ1357" s="80">
        <f>AD1357-AM1357-AO1357</f>
        <v>0</v>
      </c>
      <c r="AR1357" s="80">
        <f>IF(AM1357=0,0,AK1357-AN1357*AK1357/AM1357)</f>
        <v>0</v>
      </c>
      <c r="AS1357" s="80">
        <f>IF(AD1357-AM1357=0,0,(AJ1357-AK1357)-AO1357*(AJ1357-AK1357)/(AD1357-AM1357))</f>
        <v>0</v>
      </c>
      <c r="AT1357" s="80" t="str">
        <f>IF(AC1357=1,INT(B1357)+1,"")</f>
        <v/>
      </c>
      <c r="AU1357" s="80">
        <f>IF(AND(D1357="proMX",R1357="Cancelled"),0,1)</f>
        <v>1</v>
      </c>
      <c r="AV1357" s="80">
        <f>IF(AND(AB1357=1,AU1357=1),IF(COUNTIFS($D$5:D1356,D1357,$B$5:B1356,B1357,$Z$5:Z1356,Z1357,$AA$5:AA1356,AA1357,$F$5:F1356,F1357&amp;"",$AU$5:AU1356,1)&gt;0,1,0),0)</f>
        <v>0</v>
      </c>
      <c r="AW1357" s="80" t="str">
        <f>IF(AB1357=1,INT(B1357)*1440+Z1357,"")</f>
        <v/>
      </c>
      <c r="AX1357" s="80" t="str">
        <f>IF(AB1357=1,AW1357+AD1357,"")</f>
        <v/>
      </c>
      <c r="AY1357" s="80">
        <f>IF(AND(AB1357=1,AV1357=0,AU1357=1),1,0)</f>
        <v>0</v>
      </c>
      <c r="AZ1357" s="80">
        <f>IF(AY1357=1,COUNTIFS(R_Emp,D1357,R_SAbs,"&lt;"&amp;AX1357,R_EAbs,"&gt;"&amp;AW1357,R_OKey,1)-1,0)</f>
        <v>0</v>
      </c>
      <c r="BA1357" s="80">
        <f>IF(AY1357=1,COUNTIFS(R_Emp,"&lt;&gt;"&amp;D1357,R_SAbs,"&lt;"&amp;AX1357,R_EAbs,"&gt;"&amp;AW1357,R_OKey,1),0)</f>
        <v>0</v>
      </c>
      <c r="BB1357" s="80">
        <f>IF(AND(AB1357=1,D1357="proMX"),IF(AND(MOD(Z1357,CFG_BLK)=0,MOD(AA1357,CFG_BLK)=0,MOD(AG1357,CFG_BLK)=0,AG1357&gt;0),1,0),1)</f>
        <v>1</v>
      </c>
      <c r="BC1357" s="80" t="str">
        <f>IF(Y1357=0,"",IF(NOT(ISNUMBER(B1357)),"Falta fecha o fecha inválida",IF(D1357="","Falta empresa",IF(AND(D1357&lt;&gt;"Malcolm",D1357&lt;&gt;"proMX"),"Empresa inválida",IF(OR(INT(B1357)&lt;CFG_PSTART,INT(B1357)&gt;CFG_PEND),"Fecha fuera del período",IF(OR(NOT(ISNUMBER(Z1357)),NOT(ISNUMBER(AA1357))),"Falta hora inicio/fin o formato inválido",IF(AB1357=0,"Hora inicio = hora fin",IF(AE1357&lt;0,"Descanso inválido",IF(AE1357&gt;=AD1357,"Descanso ≥ duración",IF(AV1357=1,"Registro duplicado",IF(AZ1357&gt;0,"Se superpone con otro registro "&amp;D1357,IF(BB1357=0,"inicio, fin y duración neta deben ser múltiplos de "&amp;CFG_BLK&amp;" min",""))))))))))))</f>
        <v/>
      </c>
      <c r="BD1357" s="80">
        <f>IF(AND(Y1357=1,BC1357=""),1,0)</f>
        <v>0</v>
      </c>
      <c r="BE1357" s="80">
        <f>IF(AND(BD1357=1,AU1357=1),1,0)</f>
        <v>0</v>
      </c>
      <c r="BF1357" s="80" t="str">
        <f>IF(AND(D1357="proMX",BD1357=1),IF(R1357="","Draft",R1357),"")</f>
        <v/>
      </c>
      <c r="BG1357" s="80">
        <f>IF(BD1357=1,ROUND(AG1357/60,6),0)</f>
        <v>0</v>
      </c>
      <c r="BH1357" s="80">
        <f>IF(BE1357=1,ROUND(AG1357/60,6),0)</f>
        <v>0</v>
      </c>
      <c r="BI1357" s="80">
        <f>IF(BE1357=1,ROUND(AP1357/60,6),0)</f>
        <v>0</v>
      </c>
      <c r="BJ1357" s="80">
        <f>IF(BE1357=1,ROUND(AQ1357/60,6),0)</f>
        <v>0</v>
      </c>
      <c r="BK1357" s="80">
        <f>IF(BE1357=1,ROUND((AR1357+AS1357)/60,6),0)</f>
        <v>0</v>
      </c>
      <c r="BL1357" s="80">
        <f>ROUND(BH1357-BK1357,6)</f>
        <v>0</v>
      </c>
      <c r="BM1357" s="80">
        <f>IF(BE1357=1,ROUND(AR1357/60,6),0)</f>
        <v>0</v>
      </c>
      <c r="BN1357" s="80">
        <f>ROUND(BI1357-BM1357,6)</f>
        <v>0</v>
      </c>
      <c r="BO1357" s="80">
        <f>IF(BE1357=1,ROUND(AS1357/60,6),0)</f>
        <v>0</v>
      </c>
      <c r="BP1357" s="80">
        <f>ROUND(BJ1357-BO1357,6)</f>
        <v>0</v>
      </c>
      <c r="BQ1357" s="80">
        <f>IF(BE1357=1,AW1357,0)</f>
        <v>0</v>
      </c>
      <c r="BR1357" s="80">
        <f>IF(BE1357=1,AX1357,0)</f>
        <v>0</v>
      </c>
      <c r="BS1357" s="80">
        <f>IF(AND(BE1357=1,D1357="Malcolm",BA1357&gt;0),MIN(BH1357,SUMPRODUCT((R_Emp="proMX")*(R_EN&gt;0)*((R_EN-(R_EN&gt;BR1357)*(R_EN-BR1357))&gt;(R_SN+(R_SN&lt;BQ1357)*(BQ1357-R_SN)))*((R_EN-(R_EN&gt;BR1357)*(R_EN-BR1357))-(R_SN+(R_SN&lt;BQ1357)*(BQ1357-R_SN))))/60),0)</f>
        <v>0</v>
      </c>
      <c r="BT1357" s="80">
        <f>IF(AND(BE1357=1,D1357="proMX"),ROUND(BI1357*CFG_RATE+BJ1357*CFG_OTRATE,6),0)</f>
        <v>0</v>
      </c>
      <c r="BU1357" s="80">
        <f>IF(AND(BD1357=1,D1357="proMX"),ROUND(AG1357/CFG_BLK,6),0)</f>
        <v>0</v>
      </c>
      <c r="BV1357" s="80" t="str">
        <f>IF(BF1357="Approved",IF(ISNUMBER(T1357),INT(T1357),INT(B1357)),"")</f>
        <v/>
      </c>
      <c r="BW1357" s="80">
        <f>IF(ISNUMBER(B1357),IF(DB_MON="Todos",1,IF(AND(INT(B1357)&gt;=DB_MS,INT(B1357)&lt;=DB_ME),1,0)),0)</f>
        <v>0</v>
      </c>
      <c r="BX1357" s="80">
        <f>IF(DB_PROJ="Todos",1,IF(E1357&amp;""=DB_PROJ&amp;"",1,0))</f>
        <v>1</v>
      </c>
      <c r="BY1357" s="80">
        <f>BW1357*BX1357</f>
        <v>0</v>
      </c>
      <c r="BZ1357" s="80" t="str">
        <f>IF(Y1357=1,F1357&amp;IF(AND(F1357&amp;""&lt;&gt;"",E1357&amp;""&lt;&gt;"")," · ","")&amp;E1357,"")</f>
        <v/>
      </c>
      <c r="CA1357" s="80" t="str">
        <f>IF(AND(BD1357=1,E1357&amp;""&lt;&gt;""),IF(COUNTIFS($E$5:E1356,E1357,$BD$5:BD1356,1)=0,MAX($CA$5:CA1356)+1,""),"")</f>
        <v/>
      </c>
      <c r="CB1357" s="80" t="str">
        <f>IF(AND(BE1357=1,D1357="Malcolm",E1357&amp;""&lt;&gt;""),IF(COUNTIFS($D$5:D1356,"Malcolm",$E$5:E1356,E1357,$BE$5:BE1356,1)=0,MAX($CB$5:CB1356)+1,""),"")</f>
        <v/>
      </c>
      <c r="CC1357" s="80" t="str">
        <f>IF(AND(BD1357=1,D1357="proMX",E1357&amp;""&lt;&gt;""),IF(COUNTIFS($D$5:D1356,"proMX",$E$5:E1356,E1357,$BD$5:BD1356,1)=0,MAX($CC$5:CC1356)+1,""),"")</f>
        <v/>
      </c>
      <c r="CD1357" s="80" t="str">
        <f>IF(AND(BE1357=1,D1357="Malcolm",F1357&amp;""&lt;&gt;""),IF(COUNTIFS($D$5:D1356,"Malcolm",$F$5:F1356,F1357,$BE$5:BE1356,1)=0,MAX($CD$5:CD1356)+1,""),"")</f>
        <v/>
      </c>
      <c r="CE1357" s="80" t="str">
        <f>IF(AND(BD1357=1,D1357="proMX",F1357&amp;""&lt;&gt;""),IF(COUNTIFS($D$5:D1356,"proMX",$F$5:F1356,F1357,$BD$5:BD1356,1)=0,MAX($CE$5:CE1356)+1,""),"")</f>
        <v/>
      </c>
      <c r="CF1357" s="80" t="str">
        <f>IF(AND(D1357="proMX",BD1357=1),IF(OR(BF1357="Draft",BF1357="Submitted",BF1357="Returned",BF1357="Recall Requested"),MAX($CF$5:CF1356)+1,""),"")</f>
        <v/>
      </c>
      <c r="CG1357" s="80">
        <f>IF(BD1357=0,0,IF(D1357="Malcolm",1,MATCH(BF1357,{"Draft","Submitted","Approved","Returned","Recall Requested","Cancelled"},0)+1))</f>
        <v>0</v>
      </c>
      <c r="CH1357" s="80">
        <f>IF(AND(BF1357="Submitted",ISNUMBER(V1357)),IF(V1357&gt;CFG_MAXD,1,0),0)</f>
        <v>0</v>
      </c>
    </row>
    <row r="1358">
      <c r="A1358" s="71" t="str">
        <f>IF(Y1358=1,ROW()-5,"")</f>
        <v/>
      </c>
      <c r="B1358" s="72" t="n"/>
      <c r="C1358" s="71" t="str">
        <f>IF(ISNUMBER(B1358),CHOOSE(WEEKDAY(B1358,2),"Lun","Mar","Mié","Jue","Vie","Sáb","Dom"),"")</f>
        <v/>
      </c>
      <c r="D1358" s="73" t="n"/>
      <c r="E1358" s="74" t="n"/>
      <c r="F1358" s="74" t="n"/>
      <c r="G1358" s="74" t="n"/>
      <c r="H1358" s="75" t="n"/>
      <c r="I1358" s="75" t="n"/>
      <c r="J1358" s="76" t="n"/>
      <c r="K1358" s="77" t="str">
        <f>IF(AB1358=1,ROUND(AG1358/60,4),"")</f>
        <v/>
      </c>
      <c r="L1358" s="77" t="str">
        <f>IF(BD1358=1,ROUND(AP1358/60,4),"")</f>
        <v/>
      </c>
      <c r="M1358" s="77" t="str">
        <f>IF(BD1358=1,ROUND(AQ1358/60,4),"")</f>
        <v/>
      </c>
      <c r="N1358" s="71" t="str">
        <f>IF(AND(D1358="proMX",AB1358=1),ROUND(AG1358/CFG_BLK,2),"")</f>
        <v/>
      </c>
      <c r="O1358" s="77" t="str">
        <f>IF(D1358="proMX",IF(BD1358=1,ROUND(AG1358/60,4),0),"")</f>
        <v/>
      </c>
      <c r="P1358" s="78" t="str">
        <f>IF(Y1358=0,"",IF(BD1358=1,"OK",IF(D1358="proMX","Revisar bloques: ","Revisar: ")&amp;BC1358))</f>
        <v/>
      </c>
      <c r="Q1358" s="78" t="str">
        <f>IF(NOT(ISNUMBER(B1358)),"",IF(COUNTIFS(FER_F,INT(B1358))&gt;0,"Feriado"&amp;IF(AH1358=1," (laborable)"," (no laborable)"),IF(AH1358=1,"Laborable",IF(WEEKDAY(B1358,2)&gt;5,"Fin de semana","No laborable"))))</f>
        <v/>
      </c>
      <c r="R1358" s="73" t="n"/>
      <c r="S1358" s="72" t="n"/>
      <c r="T1358" s="72" t="n"/>
      <c r="U1358" s="74" t="n"/>
      <c r="V1358" s="79" t="str">
        <f>IF(AND(D1358="proMX",OR(R1358="Submitted",R1358="Recall Requested"),ISNUMBER(S1358)),CFG_TODAY-INT(S1358),"")</f>
        <v/>
      </c>
      <c r="W1358" s="78" t="str">
        <f>IF(BD1358=0,"",IF(BA1358&gt;0,"⚠ Se superpone con un registro de la otra empresa",IF(D1358="Malcolm",IF(COUNTA(R1358,S1358,T1358)&gt;0,"Estado/fechas proMX se ignoran en Malcolm",""),IF(BF1358="Cancelled","Cancelado: excluido de totales",IF(R1358="","Sin estado: se trata como Draft",IF(BF1358="Submitted",IF(ISNUMBER(V1358),IF(V1358&gt;CFG_MAXD,"⚠ "&amp;V1358&amp;" días en Submitted (máx. "&amp;CFG_MAXD&amp;")",""),"Falta fecha de envío"),IF(BF1358="Returned","⚠ Devuelto: corregir y reenviar",IF(BF1358="Recall Requested","Retirada solicitada: pendiente",IF(AND(BF1358="Approved",NOT(ISNUMBER(T1358))),"Falta fecha de aprobación",IF(AND(ISNUMBER(S1358),ISNUMBER(T1358),T1358&lt;S1358),"Aprobación anterior al envío","")))))))))</f>
        <v/>
      </c>
      <c r="Y1358" s="80">
        <f>IF(COUNTA(B1358,D1358,E1358,F1358,G1358,H1358,I1358,J1358,R1358,S1358,T1358)&gt;0,1,0)</f>
        <v>0</v>
      </c>
      <c r="Z1358" s="80" t="str">
        <f>IF(AND(ISNUMBER(H1358),H1358&gt;=0,H1358&lt;1),ROUND(H1358*1440,0),"")</f>
        <v/>
      </c>
      <c r="AA1358" s="80" t="str">
        <f>IF(AND(ISNUMBER(I1358),I1358&gt;=0,I1358&lt;1),ROUND(I1358*1440,0),"")</f>
        <v/>
      </c>
      <c r="AB1358" s="80">
        <f>IF(AND(ISNUMBER(B1358),D1358&lt;&gt;"",ISNUMBER(Z1358),ISNUMBER(AA1358)),IF(Z1358=AA1358,0,1),0)</f>
        <v>0</v>
      </c>
      <c r="AC1358" s="80">
        <f>IF(AB1358=1,IF(AA1358&lt;Z1358,1,0),0)</f>
        <v>0</v>
      </c>
      <c r="AD1358" s="80">
        <f>IF(AB1358=1,IF(AC1358=1,1440-Z1358+AA1358,AA1358-Z1358),0)</f>
        <v>0</v>
      </c>
      <c r="AE1358" s="80">
        <f>IF(J1358="",0,IF(ISNUMBER(J1358),J1358,-1))</f>
        <v>0</v>
      </c>
      <c r="AF1358" s="80">
        <f>MIN(MAX(0,AE1358),AD1358)</f>
        <v>0</v>
      </c>
      <c r="AG1358" s="80">
        <f>MAX(0,AD1358-MAX(0,AE1358))</f>
        <v>0</v>
      </c>
      <c r="AH1358" s="80">
        <f>IF(ISNUMBER(B1358),IF(AND(INDEX(CFG_WDAYS,WEEKDAY(INT(B1358),2))="Sí",IF(D1358="proMX",COUNTIFS(FER_F,INT(B1358),FER_NLP,"Sí"),COUNTIFS(FER_F,INT(B1358),FER_NLM,"Sí"))=0),1,0),0)</f>
        <v>0</v>
      </c>
      <c r="AI1358" s="80">
        <f>IF(AC1358=1,IF(AND(INDEX(CFG_WDAYS,WEEKDAY(INT(B1358)+1,2))="Sí",IF(D1358="proMX",COUNTIFS(FER_F,INT(B1358)+1,FER_NLP,"Sí"),COUNTIFS(FER_F,INT(B1358)+1,FER_NLM,"Sí"))=0),1,0),0)</f>
        <v>0</v>
      </c>
      <c r="AJ1358" s="80">
        <f>IF(AC1358=1,1440-Z1358,AD1358)</f>
        <v>0</v>
      </c>
      <c r="AK1358" s="80">
        <f>IF(AND(AB1358=1,AH1358=1),MAX(0,MIN(IF(AC1358=1,1440,AA1358),CFG_WEM)-MAX(Z1358,CFG_WSM)),0)</f>
        <v>0</v>
      </c>
      <c r="AL1358" s="80">
        <f>IF(AND(AC1358=1,AI1358=1),MAX(0,MIN(AA1358,CFG_WEM)-CFG_WSM),0)</f>
        <v>0</v>
      </c>
      <c r="AM1358" s="80">
        <f>AK1358+AL1358</f>
        <v>0</v>
      </c>
      <c r="AN1358" s="80">
        <f>IF(CFG_BRK="Proporcional",IF(AD1358=0,0,AF1358*AM1358/AD1358),IF(CFG_BRK="Extras primero",MIN(AM1358,MAX(0,AF1358-(AD1358-AM1358))),MIN(AF1358,AM1358)))</f>
        <v>0</v>
      </c>
      <c r="AO1358" s="80">
        <f>AF1358-AN1358</f>
        <v>0</v>
      </c>
      <c r="AP1358" s="80">
        <f>AM1358-AN1358</f>
        <v>0</v>
      </c>
      <c r="AQ1358" s="80">
        <f>AD1358-AM1358-AO1358</f>
        <v>0</v>
      </c>
      <c r="AR1358" s="80">
        <f>IF(AM1358=0,0,AK1358-AN1358*AK1358/AM1358)</f>
        <v>0</v>
      </c>
      <c r="AS1358" s="80">
        <f>IF(AD1358-AM1358=0,0,(AJ1358-AK1358)-AO1358*(AJ1358-AK1358)/(AD1358-AM1358))</f>
        <v>0</v>
      </c>
      <c r="AT1358" s="80" t="str">
        <f>IF(AC1358=1,INT(B1358)+1,"")</f>
        <v/>
      </c>
      <c r="AU1358" s="80">
        <f>IF(AND(D1358="proMX",R1358="Cancelled"),0,1)</f>
        <v>1</v>
      </c>
      <c r="AV1358" s="80">
        <f>IF(AND(AB1358=1,AU1358=1),IF(COUNTIFS($D$5:D1357,D1358,$B$5:B1357,B1358,$Z$5:Z1357,Z1358,$AA$5:AA1357,AA1358,$F$5:F1357,F1358&amp;"",$AU$5:AU1357,1)&gt;0,1,0),0)</f>
        <v>0</v>
      </c>
      <c r="AW1358" s="80" t="str">
        <f>IF(AB1358=1,INT(B1358)*1440+Z1358,"")</f>
        <v/>
      </c>
      <c r="AX1358" s="80" t="str">
        <f>IF(AB1358=1,AW1358+AD1358,"")</f>
        <v/>
      </c>
      <c r="AY1358" s="80">
        <f>IF(AND(AB1358=1,AV1358=0,AU1358=1),1,0)</f>
        <v>0</v>
      </c>
      <c r="AZ1358" s="80">
        <f>IF(AY1358=1,COUNTIFS(R_Emp,D1358,R_SAbs,"&lt;"&amp;AX1358,R_EAbs,"&gt;"&amp;AW1358,R_OKey,1)-1,0)</f>
        <v>0</v>
      </c>
      <c r="BA1358" s="80">
        <f>IF(AY1358=1,COUNTIFS(R_Emp,"&lt;&gt;"&amp;D1358,R_SAbs,"&lt;"&amp;AX1358,R_EAbs,"&gt;"&amp;AW1358,R_OKey,1),0)</f>
        <v>0</v>
      </c>
      <c r="BB1358" s="80">
        <f>IF(AND(AB1358=1,D1358="proMX"),IF(AND(MOD(Z1358,CFG_BLK)=0,MOD(AA1358,CFG_BLK)=0,MOD(AG1358,CFG_BLK)=0,AG1358&gt;0),1,0),1)</f>
        <v>1</v>
      </c>
      <c r="BC1358" s="80" t="str">
        <f>IF(Y1358=0,"",IF(NOT(ISNUMBER(B1358)),"Falta fecha o fecha inválida",IF(D1358="","Falta empresa",IF(AND(D1358&lt;&gt;"Malcolm",D1358&lt;&gt;"proMX"),"Empresa inválida",IF(OR(INT(B1358)&lt;CFG_PSTART,INT(B1358)&gt;CFG_PEND),"Fecha fuera del período",IF(OR(NOT(ISNUMBER(Z1358)),NOT(ISNUMBER(AA1358))),"Falta hora inicio/fin o formato inválido",IF(AB1358=0,"Hora inicio = hora fin",IF(AE1358&lt;0,"Descanso inválido",IF(AE1358&gt;=AD1358,"Descanso ≥ duración",IF(AV1358=1,"Registro duplicado",IF(AZ1358&gt;0,"Se superpone con otro registro "&amp;D1358,IF(BB1358=0,"inicio, fin y duración neta deben ser múltiplos de "&amp;CFG_BLK&amp;" min",""))))))))))))</f>
        <v/>
      </c>
      <c r="BD1358" s="80">
        <f>IF(AND(Y1358=1,BC1358=""),1,0)</f>
        <v>0</v>
      </c>
      <c r="BE1358" s="80">
        <f>IF(AND(BD1358=1,AU1358=1),1,0)</f>
        <v>0</v>
      </c>
      <c r="BF1358" s="80" t="str">
        <f>IF(AND(D1358="proMX",BD1358=1),IF(R1358="","Draft",R1358),"")</f>
        <v/>
      </c>
      <c r="BG1358" s="80">
        <f>IF(BD1358=1,ROUND(AG1358/60,6),0)</f>
        <v>0</v>
      </c>
      <c r="BH1358" s="80">
        <f>IF(BE1358=1,ROUND(AG1358/60,6),0)</f>
        <v>0</v>
      </c>
      <c r="BI1358" s="80">
        <f>IF(BE1358=1,ROUND(AP1358/60,6),0)</f>
        <v>0</v>
      </c>
      <c r="BJ1358" s="80">
        <f>IF(BE1358=1,ROUND(AQ1358/60,6),0)</f>
        <v>0</v>
      </c>
      <c r="BK1358" s="80">
        <f>IF(BE1358=1,ROUND((AR1358+AS1358)/60,6),0)</f>
        <v>0</v>
      </c>
      <c r="BL1358" s="80">
        <f>ROUND(BH1358-BK1358,6)</f>
        <v>0</v>
      </c>
      <c r="BM1358" s="80">
        <f>IF(BE1358=1,ROUND(AR1358/60,6),0)</f>
        <v>0</v>
      </c>
      <c r="BN1358" s="80">
        <f>ROUND(BI1358-BM1358,6)</f>
        <v>0</v>
      </c>
      <c r="BO1358" s="80">
        <f>IF(BE1358=1,ROUND(AS1358/60,6),0)</f>
        <v>0</v>
      </c>
      <c r="BP1358" s="80">
        <f>ROUND(BJ1358-BO1358,6)</f>
        <v>0</v>
      </c>
      <c r="BQ1358" s="80">
        <f>IF(BE1358=1,AW1358,0)</f>
        <v>0</v>
      </c>
      <c r="BR1358" s="80">
        <f>IF(BE1358=1,AX1358,0)</f>
        <v>0</v>
      </c>
      <c r="BS1358" s="80">
        <f>IF(AND(BE1358=1,D1358="Malcolm",BA1358&gt;0),MIN(BH1358,SUMPRODUCT((R_Emp="proMX")*(R_EN&gt;0)*((R_EN-(R_EN&gt;BR1358)*(R_EN-BR1358))&gt;(R_SN+(R_SN&lt;BQ1358)*(BQ1358-R_SN)))*((R_EN-(R_EN&gt;BR1358)*(R_EN-BR1358))-(R_SN+(R_SN&lt;BQ1358)*(BQ1358-R_SN))))/60),0)</f>
        <v>0</v>
      </c>
      <c r="BT1358" s="80">
        <f>IF(AND(BE1358=1,D1358="proMX"),ROUND(BI1358*CFG_RATE+BJ1358*CFG_OTRATE,6),0)</f>
        <v>0</v>
      </c>
      <c r="BU1358" s="80">
        <f>IF(AND(BD1358=1,D1358="proMX"),ROUND(AG1358/CFG_BLK,6),0)</f>
        <v>0</v>
      </c>
      <c r="BV1358" s="80" t="str">
        <f>IF(BF1358="Approved",IF(ISNUMBER(T1358),INT(T1358),INT(B1358)),"")</f>
        <v/>
      </c>
      <c r="BW1358" s="80">
        <f>IF(ISNUMBER(B1358),IF(DB_MON="Todos",1,IF(AND(INT(B1358)&gt;=DB_MS,INT(B1358)&lt;=DB_ME),1,0)),0)</f>
        <v>0</v>
      </c>
      <c r="BX1358" s="80">
        <f>IF(DB_PROJ="Todos",1,IF(E1358&amp;""=DB_PROJ&amp;"",1,0))</f>
        <v>1</v>
      </c>
      <c r="BY1358" s="80">
        <f>BW1358*BX1358</f>
        <v>0</v>
      </c>
      <c r="BZ1358" s="80" t="str">
        <f>IF(Y1358=1,F1358&amp;IF(AND(F1358&amp;""&lt;&gt;"",E1358&amp;""&lt;&gt;"")," · ","")&amp;E1358,"")</f>
        <v/>
      </c>
      <c r="CA1358" s="80" t="str">
        <f>IF(AND(BD1358=1,E1358&amp;""&lt;&gt;""),IF(COUNTIFS($E$5:E1357,E1358,$BD$5:BD1357,1)=0,MAX($CA$5:CA1357)+1,""),"")</f>
        <v/>
      </c>
      <c r="CB1358" s="80" t="str">
        <f>IF(AND(BE1358=1,D1358="Malcolm",E1358&amp;""&lt;&gt;""),IF(COUNTIFS($D$5:D1357,"Malcolm",$E$5:E1357,E1358,$BE$5:BE1357,1)=0,MAX($CB$5:CB1357)+1,""),"")</f>
        <v/>
      </c>
      <c r="CC1358" s="80" t="str">
        <f>IF(AND(BD1358=1,D1358="proMX",E1358&amp;""&lt;&gt;""),IF(COUNTIFS($D$5:D1357,"proMX",$E$5:E1357,E1358,$BD$5:BD1357,1)=0,MAX($CC$5:CC1357)+1,""),"")</f>
        <v/>
      </c>
      <c r="CD1358" s="80" t="str">
        <f>IF(AND(BE1358=1,D1358="Malcolm",F1358&amp;""&lt;&gt;""),IF(COUNTIFS($D$5:D1357,"Malcolm",$F$5:F1357,F1358,$BE$5:BE1357,1)=0,MAX($CD$5:CD1357)+1,""),"")</f>
        <v/>
      </c>
      <c r="CE1358" s="80" t="str">
        <f>IF(AND(BD1358=1,D1358="proMX",F1358&amp;""&lt;&gt;""),IF(COUNTIFS($D$5:D1357,"proMX",$F$5:F1357,F1358,$BD$5:BD1357,1)=0,MAX($CE$5:CE1357)+1,""),"")</f>
        <v/>
      </c>
      <c r="CF1358" s="80" t="str">
        <f>IF(AND(D1358="proMX",BD1358=1),IF(OR(BF1358="Draft",BF1358="Submitted",BF1358="Returned",BF1358="Recall Requested"),MAX($CF$5:CF1357)+1,""),"")</f>
        <v/>
      </c>
      <c r="CG1358" s="80">
        <f>IF(BD1358=0,0,IF(D1358="Malcolm",1,MATCH(BF1358,{"Draft","Submitted","Approved","Returned","Recall Requested","Cancelled"},0)+1))</f>
        <v>0</v>
      </c>
      <c r="CH1358" s="80">
        <f>IF(AND(BF1358="Submitted",ISNUMBER(V1358)),IF(V1358&gt;CFG_MAXD,1,0),0)</f>
        <v>0</v>
      </c>
    </row>
    <row r="1359">
      <c r="A1359" s="71" t="str">
        <f>IF(Y1359=1,ROW()-5,"")</f>
        <v/>
      </c>
      <c r="B1359" s="72" t="n"/>
      <c r="C1359" s="71" t="str">
        <f>IF(ISNUMBER(B1359),CHOOSE(WEEKDAY(B1359,2),"Lun","Mar","Mié","Jue","Vie","Sáb","Dom"),"")</f>
        <v/>
      </c>
      <c r="D1359" s="73" t="n"/>
      <c r="E1359" s="74" t="n"/>
      <c r="F1359" s="74" t="n"/>
      <c r="G1359" s="74" t="n"/>
      <c r="H1359" s="75" t="n"/>
      <c r="I1359" s="75" t="n"/>
      <c r="J1359" s="76" t="n"/>
      <c r="K1359" s="77" t="str">
        <f>IF(AB1359=1,ROUND(AG1359/60,4),"")</f>
        <v/>
      </c>
      <c r="L1359" s="77" t="str">
        <f>IF(BD1359=1,ROUND(AP1359/60,4),"")</f>
        <v/>
      </c>
      <c r="M1359" s="77" t="str">
        <f>IF(BD1359=1,ROUND(AQ1359/60,4),"")</f>
        <v/>
      </c>
      <c r="N1359" s="71" t="str">
        <f>IF(AND(D1359="proMX",AB1359=1),ROUND(AG1359/CFG_BLK,2),"")</f>
        <v/>
      </c>
      <c r="O1359" s="77" t="str">
        <f>IF(D1359="proMX",IF(BD1359=1,ROUND(AG1359/60,4),0),"")</f>
        <v/>
      </c>
      <c r="P1359" s="78" t="str">
        <f>IF(Y1359=0,"",IF(BD1359=1,"OK",IF(D1359="proMX","Revisar bloques: ","Revisar: ")&amp;BC1359))</f>
        <v/>
      </c>
      <c r="Q1359" s="78" t="str">
        <f>IF(NOT(ISNUMBER(B1359)),"",IF(COUNTIFS(FER_F,INT(B1359))&gt;0,"Feriado"&amp;IF(AH1359=1," (laborable)"," (no laborable)"),IF(AH1359=1,"Laborable",IF(WEEKDAY(B1359,2)&gt;5,"Fin de semana","No laborable"))))</f>
        <v/>
      </c>
      <c r="R1359" s="73" t="n"/>
      <c r="S1359" s="72" t="n"/>
      <c r="T1359" s="72" t="n"/>
      <c r="U1359" s="74" t="n"/>
      <c r="V1359" s="79" t="str">
        <f>IF(AND(D1359="proMX",OR(R1359="Submitted",R1359="Recall Requested"),ISNUMBER(S1359)),CFG_TODAY-INT(S1359),"")</f>
        <v/>
      </c>
      <c r="W1359" s="78" t="str">
        <f>IF(BD1359=0,"",IF(BA1359&gt;0,"⚠ Se superpone con un registro de la otra empresa",IF(D1359="Malcolm",IF(COUNTA(R1359,S1359,T1359)&gt;0,"Estado/fechas proMX se ignoran en Malcolm",""),IF(BF1359="Cancelled","Cancelado: excluido de totales",IF(R1359="","Sin estado: se trata como Draft",IF(BF1359="Submitted",IF(ISNUMBER(V1359),IF(V1359&gt;CFG_MAXD,"⚠ "&amp;V1359&amp;" días en Submitted (máx. "&amp;CFG_MAXD&amp;")",""),"Falta fecha de envío"),IF(BF1359="Returned","⚠ Devuelto: corregir y reenviar",IF(BF1359="Recall Requested","Retirada solicitada: pendiente",IF(AND(BF1359="Approved",NOT(ISNUMBER(T1359))),"Falta fecha de aprobación",IF(AND(ISNUMBER(S1359),ISNUMBER(T1359),T1359&lt;S1359),"Aprobación anterior al envío","")))))))))</f>
        <v/>
      </c>
      <c r="Y1359" s="80">
        <f>IF(COUNTA(B1359,D1359,E1359,F1359,G1359,H1359,I1359,J1359,R1359,S1359,T1359)&gt;0,1,0)</f>
        <v>0</v>
      </c>
      <c r="Z1359" s="80" t="str">
        <f>IF(AND(ISNUMBER(H1359),H1359&gt;=0,H1359&lt;1),ROUND(H1359*1440,0),"")</f>
        <v/>
      </c>
      <c r="AA1359" s="80" t="str">
        <f>IF(AND(ISNUMBER(I1359),I1359&gt;=0,I1359&lt;1),ROUND(I1359*1440,0),"")</f>
        <v/>
      </c>
      <c r="AB1359" s="80">
        <f>IF(AND(ISNUMBER(B1359),D1359&lt;&gt;"",ISNUMBER(Z1359),ISNUMBER(AA1359)),IF(Z1359=AA1359,0,1),0)</f>
        <v>0</v>
      </c>
      <c r="AC1359" s="80">
        <f>IF(AB1359=1,IF(AA1359&lt;Z1359,1,0),0)</f>
        <v>0</v>
      </c>
      <c r="AD1359" s="80">
        <f>IF(AB1359=1,IF(AC1359=1,1440-Z1359+AA1359,AA1359-Z1359),0)</f>
        <v>0</v>
      </c>
      <c r="AE1359" s="80">
        <f>IF(J1359="",0,IF(ISNUMBER(J1359),J1359,-1))</f>
        <v>0</v>
      </c>
      <c r="AF1359" s="80">
        <f>MIN(MAX(0,AE1359),AD1359)</f>
        <v>0</v>
      </c>
      <c r="AG1359" s="80">
        <f>MAX(0,AD1359-MAX(0,AE1359))</f>
        <v>0</v>
      </c>
      <c r="AH1359" s="80">
        <f>IF(ISNUMBER(B1359),IF(AND(INDEX(CFG_WDAYS,WEEKDAY(INT(B1359),2))="Sí",IF(D1359="proMX",COUNTIFS(FER_F,INT(B1359),FER_NLP,"Sí"),COUNTIFS(FER_F,INT(B1359),FER_NLM,"Sí"))=0),1,0),0)</f>
        <v>0</v>
      </c>
      <c r="AI1359" s="80">
        <f>IF(AC1359=1,IF(AND(INDEX(CFG_WDAYS,WEEKDAY(INT(B1359)+1,2))="Sí",IF(D1359="proMX",COUNTIFS(FER_F,INT(B1359)+1,FER_NLP,"Sí"),COUNTIFS(FER_F,INT(B1359)+1,FER_NLM,"Sí"))=0),1,0),0)</f>
        <v>0</v>
      </c>
      <c r="AJ1359" s="80">
        <f>IF(AC1359=1,1440-Z1359,AD1359)</f>
        <v>0</v>
      </c>
      <c r="AK1359" s="80">
        <f>IF(AND(AB1359=1,AH1359=1),MAX(0,MIN(IF(AC1359=1,1440,AA1359),CFG_WEM)-MAX(Z1359,CFG_WSM)),0)</f>
        <v>0</v>
      </c>
      <c r="AL1359" s="80">
        <f>IF(AND(AC1359=1,AI1359=1),MAX(0,MIN(AA1359,CFG_WEM)-CFG_WSM),0)</f>
        <v>0</v>
      </c>
      <c r="AM1359" s="80">
        <f>AK1359+AL1359</f>
        <v>0</v>
      </c>
      <c r="AN1359" s="80">
        <f>IF(CFG_BRK="Proporcional",IF(AD1359=0,0,AF1359*AM1359/AD1359),IF(CFG_BRK="Extras primero",MIN(AM1359,MAX(0,AF1359-(AD1359-AM1359))),MIN(AF1359,AM1359)))</f>
        <v>0</v>
      </c>
      <c r="AO1359" s="80">
        <f>AF1359-AN1359</f>
        <v>0</v>
      </c>
      <c r="AP1359" s="80">
        <f>AM1359-AN1359</f>
        <v>0</v>
      </c>
      <c r="AQ1359" s="80">
        <f>AD1359-AM1359-AO1359</f>
        <v>0</v>
      </c>
      <c r="AR1359" s="80">
        <f>IF(AM1359=0,0,AK1359-AN1359*AK1359/AM1359)</f>
        <v>0</v>
      </c>
      <c r="AS1359" s="80">
        <f>IF(AD1359-AM1359=0,0,(AJ1359-AK1359)-AO1359*(AJ1359-AK1359)/(AD1359-AM1359))</f>
        <v>0</v>
      </c>
      <c r="AT1359" s="80" t="str">
        <f>IF(AC1359=1,INT(B1359)+1,"")</f>
        <v/>
      </c>
      <c r="AU1359" s="80">
        <f>IF(AND(D1359="proMX",R1359="Cancelled"),0,1)</f>
        <v>1</v>
      </c>
      <c r="AV1359" s="80">
        <f>IF(AND(AB1359=1,AU1359=1),IF(COUNTIFS($D$5:D1358,D1359,$B$5:B1358,B1359,$Z$5:Z1358,Z1359,$AA$5:AA1358,AA1359,$F$5:F1358,F1359&amp;"",$AU$5:AU1358,1)&gt;0,1,0),0)</f>
        <v>0</v>
      </c>
      <c r="AW1359" s="80" t="str">
        <f>IF(AB1359=1,INT(B1359)*1440+Z1359,"")</f>
        <v/>
      </c>
      <c r="AX1359" s="80" t="str">
        <f>IF(AB1359=1,AW1359+AD1359,"")</f>
        <v/>
      </c>
      <c r="AY1359" s="80">
        <f>IF(AND(AB1359=1,AV1359=0,AU1359=1),1,0)</f>
        <v>0</v>
      </c>
      <c r="AZ1359" s="80">
        <f>IF(AY1359=1,COUNTIFS(R_Emp,D1359,R_SAbs,"&lt;"&amp;AX1359,R_EAbs,"&gt;"&amp;AW1359,R_OKey,1)-1,0)</f>
        <v>0</v>
      </c>
      <c r="BA1359" s="80">
        <f>IF(AY1359=1,COUNTIFS(R_Emp,"&lt;&gt;"&amp;D1359,R_SAbs,"&lt;"&amp;AX1359,R_EAbs,"&gt;"&amp;AW1359,R_OKey,1),0)</f>
        <v>0</v>
      </c>
      <c r="BB1359" s="80">
        <f>IF(AND(AB1359=1,D1359="proMX"),IF(AND(MOD(Z1359,CFG_BLK)=0,MOD(AA1359,CFG_BLK)=0,MOD(AG1359,CFG_BLK)=0,AG1359&gt;0),1,0),1)</f>
        <v>1</v>
      </c>
      <c r="BC1359" s="80" t="str">
        <f>IF(Y1359=0,"",IF(NOT(ISNUMBER(B1359)),"Falta fecha o fecha inválida",IF(D1359="","Falta empresa",IF(AND(D1359&lt;&gt;"Malcolm",D1359&lt;&gt;"proMX"),"Empresa inválida",IF(OR(INT(B1359)&lt;CFG_PSTART,INT(B1359)&gt;CFG_PEND),"Fecha fuera del período",IF(OR(NOT(ISNUMBER(Z1359)),NOT(ISNUMBER(AA1359))),"Falta hora inicio/fin o formato inválido",IF(AB1359=0,"Hora inicio = hora fin",IF(AE1359&lt;0,"Descanso inválido",IF(AE1359&gt;=AD1359,"Descanso ≥ duración",IF(AV1359=1,"Registro duplicado",IF(AZ1359&gt;0,"Se superpone con otro registro "&amp;D1359,IF(BB1359=0,"inicio, fin y duración neta deben ser múltiplos de "&amp;CFG_BLK&amp;" min",""))))))))))))</f>
        <v/>
      </c>
      <c r="BD1359" s="80">
        <f>IF(AND(Y1359=1,BC1359=""),1,0)</f>
        <v>0</v>
      </c>
      <c r="BE1359" s="80">
        <f>IF(AND(BD1359=1,AU1359=1),1,0)</f>
        <v>0</v>
      </c>
      <c r="BF1359" s="80" t="str">
        <f>IF(AND(D1359="proMX",BD1359=1),IF(R1359="","Draft",R1359),"")</f>
        <v/>
      </c>
      <c r="BG1359" s="80">
        <f>IF(BD1359=1,ROUND(AG1359/60,6),0)</f>
        <v>0</v>
      </c>
      <c r="BH1359" s="80">
        <f>IF(BE1359=1,ROUND(AG1359/60,6),0)</f>
        <v>0</v>
      </c>
      <c r="BI1359" s="80">
        <f>IF(BE1359=1,ROUND(AP1359/60,6),0)</f>
        <v>0</v>
      </c>
      <c r="BJ1359" s="80">
        <f>IF(BE1359=1,ROUND(AQ1359/60,6),0)</f>
        <v>0</v>
      </c>
      <c r="BK1359" s="80">
        <f>IF(BE1359=1,ROUND((AR1359+AS1359)/60,6),0)</f>
        <v>0</v>
      </c>
      <c r="BL1359" s="80">
        <f>ROUND(BH1359-BK1359,6)</f>
        <v>0</v>
      </c>
      <c r="BM1359" s="80">
        <f>IF(BE1359=1,ROUND(AR1359/60,6),0)</f>
        <v>0</v>
      </c>
      <c r="BN1359" s="80">
        <f>ROUND(BI1359-BM1359,6)</f>
        <v>0</v>
      </c>
      <c r="BO1359" s="80">
        <f>IF(BE1359=1,ROUND(AS1359/60,6),0)</f>
        <v>0</v>
      </c>
      <c r="BP1359" s="80">
        <f>ROUND(BJ1359-BO1359,6)</f>
        <v>0</v>
      </c>
      <c r="BQ1359" s="80">
        <f>IF(BE1359=1,AW1359,0)</f>
        <v>0</v>
      </c>
      <c r="BR1359" s="80">
        <f>IF(BE1359=1,AX1359,0)</f>
        <v>0</v>
      </c>
      <c r="BS1359" s="80">
        <f>IF(AND(BE1359=1,D1359="Malcolm",BA1359&gt;0),MIN(BH1359,SUMPRODUCT((R_Emp="proMX")*(R_EN&gt;0)*((R_EN-(R_EN&gt;BR1359)*(R_EN-BR1359))&gt;(R_SN+(R_SN&lt;BQ1359)*(BQ1359-R_SN)))*((R_EN-(R_EN&gt;BR1359)*(R_EN-BR1359))-(R_SN+(R_SN&lt;BQ1359)*(BQ1359-R_SN))))/60),0)</f>
        <v>0</v>
      </c>
      <c r="BT1359" s="80">
        <f>IF(AND(BE1359=1,D1359="proMX"),ROUND(BI1359*CFG_RATE+BJ1359*CFG_OTRATE,6),0)</f>
        <v>0</v>
      </c>
      <c r="BU1359" s="80">
        <f>IF(AND(BD1359=1,D1359="proMX"),ROUND(AG1359/CFG_BLK,6),0)</f>
        <v>0</v>
      </c>
      <c r="BV1359" s="80" t="str">
        <f>IF(BF1359="Approved",IF(ISNUMBER(T1359),INT(T1359),INT(B1359)),"")</f>
        <v/>
      </c>
      <c r="BW1359" s="80">
        <f>IF(ISNUMBER(B1359),IF(DB_MON="Todos",1,IF(AND(INT(B1359)&gt;=DB_MS,INT(B1359)&lt;=DB_ME),1,0)),0)</f>
        <v>0</v>
      </c>
      <c r="BX1359" s="80">
        <f>IF(DB_PROJ="Todos",1,IF(E1359&amp;""=DB_PROJ&amp;"",1,0))</f>
        <v>1</v>
      </c>
      <c r="BY1359" s="80">
        <f>BW1359*BX1359</f>
        <v>0</v>
      </c>
      <c r="BZ1359" s="80" t="str">
        <f>IF(Y1359=1,F1359&amp;IF(AND(F1359&amp;""&lt;&gt;"",E1359&amp;""&lt;&gt;"")," · ","")&amp;E1359,"")</f>
        <v/>
      </c>
      <c r="CA1359" s="80" t="str">
        <f>IF(AND(BD1359=1,E1359&amp;""&lt;&gt;""),IF(COUNTIFS($E$5:E1358,E1359,$BD$5:BD1358,1)=0,MAX($CA$5:CA1358)+1,""),"")</f>
        <v/>
      </c>
      <c r="CB1359" s="80" t="str">
        <f>IF(AND(BE1359=1,D1359="Malcolm",E1359&amp;""&lt;&gt;""),IF(COUNTIFS($D$5:D1358,"Malcolm",$E$5:E1358,E1359,$BE$5:BE1358,1)=0,MAX($CB$5:CB1358)+1,""),"")</f>
        <v/>
      </c>
      <c r="CC1359" s="80" t="str">
        <f>IF(AND(BD1359=1,D1359="proMX",E1359&amp;""&lt;&gt;""),IF(COUNTIFS($D$5:D1358,"proMX",$E$5:E1358,E1359,$BD$5:BD1358,1)=0,MAX($CC$5:CC1358)+1,""),"")</f>
        <v/>
      </c>
      <c r="CD1359" s="80" t="str">
        <f>IF(AND(BE1359=1,D1359="Malcolm",F1359&amp;""&lt;&gt;""),IF(COUNTIFS($D$5:D1358,"Malcolm",$F$5:F1358,F1359,$BE$5:BE1358,1)=0,MAX($CD$5:CD1358)+1,""),"")</f>
        <v/>
      </c>
      <c r="CE1359" s="80" t="str">
        <f>IF(AND(BD1359=1,D1359="proMX",F1359&amp;""&lt;&gt;""),IF(COUNTIFS($D$5:D1358,"proMX",$F$5:F1358,F1359,$BD$5:BD1358,1)=0,MAX($CE$5:CE1358)+1,""),"")</f>
        <v/>
      </c>
      <c r="CF1359" s="80" t="str">
        <f>IF(AND(D1359="proMX",BD1359=1),IF(OR(BF1359="Draft",BF1359="Submitted",BF1359="Returned",BF1359="Recall Requested"),MAX($CF$5:CF1358)+1,""),"")</f>
        <v/>
      </c>
      <c r="CG1359" s="80">
        <f>IF(BD1359=0,0,IF(D1359="Malcolm",1,MATCH(BF1359,{"Draft","Submitted","Approved","Returned","Recall Requested","Cancelled"},0)+1))</f>
        <v>0</v>
      </c>
      <c r="CH1359" s="80">
        <f>IF(AND(BF1359="Submitted",ISNUMBER(V1359)),IF(V1359&gt;CFG_MAXD,1,0),0)</f>
        <v>0</v>
      </c>
    </row>
    <row r="1360">
      <c r="A1360" s="71" t="str">
        <f>IF(Y1360=1,ROW()-5,"")</f>
        <v/>
      </c>
      <c r="B1360" s="72" t="n"/>
      <c r="C1360" s="71" t="str">
        <f>IF(ISNUMBER(B1360),CHOOSE(WEEKDAY(B1360,2),"Lun","Mar","Mié","Jue","Vie","Sáb","Dom"),"")</f>
        <v/>
      </c>
      <c r="D1360" s="73" t="n"/>
      <c r="E1360" s="74" t="n"/>
      <c r="F1360" s="74" t="n"/>
      <c r="G1360" s="74" t="n"/>
      <c r="H1360" s="75" t="n"/>
      <c r="I1360" s="75" t="n"/>
      <c r="J1360" s="76" t="n"/>
      <c r="K1360" s="77" t="str">
        <f>IF(AB1360=1,ROUND(AG1360/60,4),"")</f>
        <v/>
      </c>
      <c r="L1360" s="77" t="str">
        <f>IF(BD1360=1,ROUND(AP1360/60,4),"")</f>
        <v/>
      </c>
      <c r="M1360" s="77" t="str">
        <f>IF(BD1360=1,ROUND(AQ1360/60,4),"")</f>
        <v/>
      </c>
      <c r="N1360" s="71" t="str">
        <f>IF(AND(D1360="proMX",AB1360=1),ROUND(AG1360/CFG_BLK,2),"")</f>
        <v/>
      </c>
      <c r="O1360" s="77" t="str">
        <f>IF(D1360="proMX",IF(BD1360=1,ROUND(AG1360/60,4),0),"")</f>
        <v/>
      </c>
      <c r="P1360" s="78" t="str">
        <f>IF(Y1360=0,"",IF(BD1360=1,"OK",IF(D1360="proMX","Revisar bloques: ","Revisar: ")&amp;BC1360))</f>
        <v/>
      </c>
      <c r="Q1360" s="78" t="str">
        <f>IF(NOT(ISNUMBER(B1360)),"",IF(COUNTIFS(FER_F,INT(B1360))&gt;0,"Feriado"&amp;IF(AH1360=1," (laborable)"," (no laborable)"),IF(AH1360=1,"Laborable",IF(WEEKDAY(B1360,2)&gt;5,"Fin de semana","No laborable"))))</f>
        <v/>
      </c>
      <c r="R1360" s="73" t="n"/>
      <c r="S1360" s="72" t="n"/>
      <c r="T1360" s="72" t="n"/>
      <c r="U1360" s="74" t="n"/>
      <c r="V1360" s="79" t="str">
        <f>IF(AND(D1360="proMX",OR(R1360="Submitted",R1360="Recall Requested"),ISNUMBER(S1360)),CFG_TODAY-INT(S1360),"")</f>
        <v/>
      </c>
      <c r="W1360" s="78" t="str">
        <f>IF(BD1360=0,"",IF(BA1360&gt;0,"⚠ Se superpone con un registro de la otra empresa",IF(D1360="Malcolm",IF(COUNTA(R1360,S1360,T1360)&gt;0,"Estado/fechas proMX se ignoran en Malcolm",""),IF(BF1360="Cancelled","Cancelado: excluido de totales",IF(R1360="","Sin estado: se trata como Draft",IF(BF1360="Submitted",IF(ISNUMBER(V1360),IF(V1360&gt;CFG_MAXD,"⚠ "&amp;V1360&amp;" días en Submitted (máx. "&amp;CFG_MAXD&amp;")",""),"Falta fecha de envío"),IF(BF1360="Returned","⚠ Devuelto: corregir y reenviar",IF(BF1360="Recall Requested","Retirada solicitada: pendiente",IF(AND(BF1360="Approved",NOT(ISNUMBER(T1360))),"Falta fecha de aprobación",IF(AND(ISNUMBER(S1360),ISNUMBER(T1360),T1360&lt;S1360),"Aprobación anterior al envío","")))))))))</f>
        <v/>
      </c>
      <c r="Y1360" s="80">
        <f>IF(COUNTA(B1360,D1360,E1360,F1360,G1360,H1360,I1360,J1360,R1360,S1360,T1360)&gt;0,1,0)</f>
        <v>0</v>
      </c>
      <c r="Z1360" s="80" t="str">
        <f>IF(AND(ISNUMBER(H1360),H1360&gt;=0,H1360&lt;1),ROUND(H1360*1440,0),"")</f>
        <v/>
      </c>
      <c r="AA1360" s="80" t="str">
        <f>IF(AND(ISNUMBER(I1360),I1360&gt;=0,I1360&lt;1),ROUND(I1360*1440,0),"")</f>
        <v/>
      </c>
      <c r="AB1360" s="80">
        <f>IF(AND(ISNUMBER(B1360),D1360&lt;&gt;"",ISNUMBER(Z1360),ISNUMBER(AA1360)),IF(Z1360=AA1360,0,1),0)</f>
        <v>0</v>
      </c>
      <c r="AC1360" s="80">
        <f>IF(AB1360=1,IF(AA1360&lt;Z1360,1,0),0)</f>
        <v>0</v>
      </c>
      <c r="AD1360" s="80">
        <f>IF(AB1360=1,IF(AC1360=1,1440-Z1360+AA1360,AA1360-Z1360),0)</f>
        <v>0</v>
      </c>
      <c r="AE1360" s="80">
        <f>IF(J1360="",0,IF(ISNUMBER(J1360),J1360,-1))</f>
        <v>0</v>
      </c>
      <c r="AF1360" s="80">
        <f>MIN(MAX(0,AE1360),AD1360)</f>
        <v>0</v>
      </c>
      <c r="AG1360" s="80">
        <f>MAX(0,AD1360-MAX(0,AE1360))</f>
        <v>0</v>
      </c>
      <c r="AH1360" s="80">
        <f>IF(ISNUMBER(B1360),IF(AND(INDEX(CFG_WDAYS,WEEKDAY(INT(B1360),2))="Sí",IF(D1360="proMX",COUNTIFS(FER_F,INT(B1360),FER_NLP,"Sí"),COUNTIFS(FER_F,INT(B1360),FER_NLM,"Sí"))=0),1,0),0)</f>
        <v>0</v>
      </c>
      <c r="AI1360" s="80">
        <f>IF(AC1360=1,IF(AND(INDEX(CFG_WDAYS,WEEKDAY(INT(B1360)+1,2))="Sí",IF(D1360="proMX",COUNTIFS(FER_F,INT(B1360)+1,FER_NLP,"Sí"),COUNTIFS(FER_F,INT(B1360)+1,FER_NLM,"Sí"))=0),1,0),0)</f>
        <v>0</v>
      </c>
      <c r="AJ1360" s="80">
        <f>IF(AC1360=1,1440-Z1360,AD1360)</f>
        <v>0</v>
      </c>
      <c r="AK1360" s="80">
        <f>IF(AND(AB1360=1,AH1360=1),MAX(0,MIN(IF(AC1360=1,1440,AA1360),CFG_WEM)-MAX(Z1360,CFG_WSM)),0)</f>
        <v>0</v>
      </c>
      <c r="AL1360" s="80">
        <f>IF(AND(AC1360=1,AI1360=1),MAX(0,MIN(AA1360,CFG_WEM)-CFG_WSM),0)</f>
        <v>0</v>
      </c>
      <c r="AM1360" s="80">
        <f>AK1360+AL1360</f>
        <v>0</v>
      </c>
      <c r="AN1360" s="80">
        <f>IF(CFG_BRK="Proporcional",IF(AD1360=0,0,AF1360*AM1360/AD1360),IF(CFG_BRK="Extras primero",MIN(AM1360,MAX(0,AF1360-(AD1360-AM1360))),MIN(AF1360,AM1360)))</f>
        <v>0</v>
      </c>
      <c r="AO1360" s="80">
        <f>AF1360-AN1360</f>
        <v>0</v>
      </c>
      <c r="AP1360" s="80">
        <f>AM1360-AN1360</f>
        <v>0</v>
      </c>
      <c r="AQ1360" s="80">
        <f>AD1360-AM1360-AO1360</f>
        <v>0</v>
      </c>
      <c r="AR1360" s="80">
        <f>IF(AM1360=0,0,AK1360-AN1360*AK1360/AM1360)</f>
        <v>0</v>
      </c>
      <c r="AS1360" s="80">
        <f>IF(AD1360-AM1360=0,0,(AJ1360-AK1360)-AO1360*(AJ1360-AK1360)/(AD1360-AM1360))</f>
        <v>0</v>
      </c>
      <c r="AT1360" s="80" t="str">
        <f>IF(AC1360=1,INT(B1360)+1,"")</f>
        <v/>
      </c>
      <c r="AU1360" s="80">
        <f>IF(AND(D1360="proMX",R1360="Cancelled"),0,1)</f>
        <v>1</v>
      </c>
      <c r="AV1360" s="80">
        <f>IF(AND(AB1360=1,AU1360=1),IF(COUNTIFS($D$5:D1359,D1360,$B$5:B1359,B1360,$Z$5:Z1359,Z1360,$AA$5:AA1359,AA1360,$F$5:F1359,F1360&amp;"",$AU$5:AU1359,1)&gt;0,1,0),0)</f>
        <v>0</v>
      </c>
      <c r="AW1360" s="80" t="str">
        <f>IF(AB1360=1,INT(B1360)*1440+Z1360,"")</f>
        <v/>
      </c>
      <c r="AX1360" s="80" t="str">
        <f>IF(AB1360=1,AW1360+AD1360,"")</f>
        <v/>
      </c>
      <c r="AY1360" s="80">
        <f>IF(AND(AB1360=1,AV1360=0,AU1360=1),1,0)</f>
        <v>0</v>
      </c>
      <c r="AZ1360" s="80">
        <f>IF(AY1360=1,COUNTIFS(R_Emp,D1360,R_SAbs,"&lt;"&amp;AX1360,R_EAbs,"&gt;"&amp;AW1360,R_OKey,1)-1,0)</f>
        <v>0</v>
      </c>
      <c r="BA1360" s="80">
        <f>IF(AY1360=1,COUNTIFS(R_Emp,"&lt;&gt;"&amp;D1360,R_SAbs,"&lt;"&amp;AX1360,R_EAbs,"&gt;"&amp;AW1360,R_OKey,1),0)</f>
        <v>0</v>
      </c>
      <c r="BB1360" s="80">
        <f>IF(AND(AB1360=1,D1360="proMX"),IF(AND(MOD(Z1360,CFG_BLK)=0,MOD(AA1360,CFG_BLK)=0,MOD(AG1360,CFG_BLK)=0,AG1360&gt;0),1,0),1)</f>
        <v>1</v>
      </c>
      <c r="BC1360" s="80" t="str">
        <f>IF(Y1360=0,"",IF(NOT(ISNUMBER(B1360)),"Falta fecha o fecha inválida",IF(D1360="","Falta empresa",IF(AND(D1360&lt;&gt;"Malcolm",D1360&lt;&gt;"proMX"),"Empresa inválida",IF(OR(INT(B1360)&lt;CFG_PSTART,INT(B1360)&gt;CFG_PEND),"Fecha fuera del período",IF(OR(NOT(ISNUMBER(Z1360)),NOT(ISNUMBER(AA1360))),"Falta hora inicio/fin o formato inválido",IF(AB1360=0,"Hora inicio = hora fin",IF(AE1360&lt;0,"Descanso inválido",IF(AE1360&gt;=AD1360,"Descanso ≥ duración",IF(AV1360=1,"Registro duplicado",IF(AZ1360&gt;0,"Se superpone con otro registro "&amp;D1360,IF(BB1360=0,"inicio, fin y duración neta deben ser múltiplos de "&amp;CFG_BLK&amp;" min",""))))))))))))</f>
        <v/>
      </c>
      <c r="BD1360" s="80">
        <f>IF(AND(Y1360=1,BC1360=""),1,0)</f>
        <v>0</v>
      </c>
      <c r="BE1360" s="80">
        <f>IF(AND(BD1360=1,AU1360=1),1,0)</f>
        <v>0</v>
      </c>
      <c r="BF1360" s="80" t="str">
        <f>IF(AND(D1360="proMX",BD1360=1),IF(R1360="","Draft",R1360),"")</f>
        <v/>
      </c>
      <c r="BG1360" s="80">
        <f>IF(BD1360=1,ROUND(AG1360/60,6),0)</f>
        <v>0</v>
      </c>
      <c r="BH1360" s="80">
        <f>IF(BE1360=1,ROUND(AG1360/60,6),0)</f>
        <v>0</v>
      </c>
      <c r="BI1360" s="80">
        <f>IF(BE1360=1,ROUND(AP1360/60,6),0)</f>
        <v>0</v>
      </c>
      <c r="BJ1360" s="80">
        <f>IF(BE1360=1,ROUND(AQ1360/60,6),0)</f>
        <v>0</v>
      </c>
      <c r="BK1360" s="80">
        <f>IF(BE1360=1,ROUND((AR1360+AS1360)/60,6),0)</f>
        <v>0</v>
      </c>
      <c r="BL1360" s="80">
        <f>ROUND(BH1360-BK1360,6)</f>
        <v>0</v>
      </c>
      <c r="BM1360" s="80">
        <f>IF(BE1360=1,ROUND(AR1360/60,6),0)</f>
        <v>0</v>
      </c>
      <c r="BN1360" s="80">
        <f>ROUND(BI1360-BM1360,6)</f>
        <v>0</v>
      </c>
      <c r="BO1360" s="80">
        <f>IF(BE1360=1,ROUND(AS1360/60,6),0)</f>
        <v>0</v>
      </c>
      <c r="BP1360" s="80">
        <f>ROUND(BJ1360-BO1360,6)</f>
        <v>0</v>
      </c>
      <c r="BQ1360" s="80">
        <f>IF(BE1360=1,AW1360,0)</f>
        <v>0</v>
      </c>
      <c r="BR1360" s="80">
        <f>IF(BE1360=1,AX1360,0)</f>
        <v>0</v>
      </c>
      <c r="BS1360" s="80">
        <f>IF(AND(BE1360=1,D1360="Malcolm",BA1360&gt;0),MIN(BH1360,SUMPRODUCT((R_Emp="proMX")*(R_EN&gt;0)*((R_EN-(R_EN&gt;BR1360)*(R_EN-BR1360))&gt;(R_SN+(R_SN&lt;BQ1360)*(BQ1360-R_SN)))*((R_EN-(R_EN&gt;BR1360)*(R_EN-BR1360))-(R_SN+(R_SN&lt;BQ1360)*(BQ1360-R_SN))))/60),0)</f>
        <v>0</v>
      </c>
      <c r="BT1360" s="80">
        <f>IF(AND(BE1360=1,D1360="proMX"),ROUND(BI1360*CFG_RATE+BJ1360*CFG_OTRATE,6),0)</f>
        <v>0</v>
      </c>
      <c r="BU1360" s="80">
        <f>IF(AND(BD1360=1,D1360="proMX"),ROUND(AG1360/CFG_BLK,6),0)</f>
        <v>0</v>
      </c>
      <c r="BV1360" s="80" t="str">
        <f>IF(BF1360="Approved",IF(ISNUMBER(T1360),INT(T1360),INT(B1360)),"")</f>
        <v/>
      </c>
      <c r="BW1360" s="80">
        <f>IF(ISNUMBER(B1360),IF(DB_MON="Todos",1,IF(AND(INT(B1360)&gt;=DB_MS,INT(B1360)&lt;=DB_ME),1,0)),0)</f>
        <v>0</v>
      </c>
      <c r="BX1360" s="80">
        <f>IF(DB_PROJ="Todos",1,IF(E1360&amp;""=DB_PROJ&amp;"",1,0))</f>
        <v>1</v>
      </c>
      <c r="BY1360" s="80">
        <f>BW1360*BX1360</f>
        <v>0</v>
      </c>
      <c r="BZ1360" s="80" t="str">
        <f>IF(Y1360=1,F1360&amp;IF(AND(F1360&amp;""&lt;&gt;"",E1360&amp;""&lt;&gt;"")," · ","")&amp;E1360,"")</f>
        <v/>
      </c>
      <c r="CA1360" s="80" t="str">
        <f>IF(AND(BD1360=1,E1360&amp;""&lt;&gt;""),IF(COUNTIFS($E$5:E1359,E1360,$BD$5:BD1359,1)=0,MAX($CA$5:CA1359)+1,""),"")</f>
        <v/>
      </c>
      <c r="CB1360" s="80" t="str">
        <f>IF(AND(BE1360=1,D1360="Malcolm",E1360&amp;""&lt;&gt;""),IF(COUNTIFS($D$5:D1359,"Malcolm",$E$5:E1359,E1360,$BE$5:BE1359,1)=0,MAX($CB$5:CB1359)+1,""),"")</f>
        <v/>
      </c>
      <c r="CC1360" s="80" t="str">
        <f>IF(AND(BD1360=1,D1360="proMX",E1360&amp;""&lt;&gt;""),IF(COUNTIFS($D$5:D1359,"proMX",$E$5:E1359,E1360,$BD$5:BD1359,1)=0,MAX($CC$5:CC1359)+1,""),"")</f>
        <v/>
      </c>
      <c r="CD1360" s="80" t="str">
        <f>IF(AND(BE1360=1,D1360="Malcolm",F1360&amp;""&lt;&gt;""),IF(COUNTIFS($D$5:D1359,"Malcolm",$F$5:F1359,F1360,$BE$5:BE1359,1)=0,MAX($CD$5:CD1359)+1,""),"")</f>
        <v/>
      </c>
      <c r="CE1360" s="80" t="str">
        <f>IF(AND(BD1360=1,D1360="proMX",F1360&amp;""&lt;&gt;""),IF(COUNTIFS($D$5:D1359,"proMX",$F$5:F1359,F1360,$BD$5:BD1359,1)=0,MAX($CE$5:CE1359)+1,""),"")</f>
        <v/>
      </c>
      <c r="CF1360" s="80" t="str">
        <f>IF(AND(D1360="proMX",BD1360=1),IF(OR(BF1360="Draft",BF1360="Submitted",BF1360="Returned",BF1360="Recall Requested"),MAX($CF$5:CF1359)+1,""),"")</f>
        <v/>
      </c>
      <c r="CG1360" s="80">
        <f>IF(BD1360=0,0,IF(D1360="Malcolm",1,MATCH(BF1360,{"Draft","Submitted","Approved","Returned","Recall Requested","Cancelled"},0)+1))</f>
        <v>0</v>
      </c>
      <c r="CH1360" s="80">
        <f>IF(AND(BF1360="Submitted",ISNUMBER(V1360)),IF(V1360&gt;CFG_MAXD,1,0),0)</f>
        <v>0</v>
      </c>
    </row>
    <row r="1361">
      <c r="A1361" s="71" t="str">
        <f>IF(Y1361=1,ROW()-5,"")</f>
        <v/>
      </c>
      <c r="B1361" s="72" t="n"/>
      <c r="C1361" s="71" t="str">
        <f>IF(ISNUMBER(B1361),CHOOSE(WEEKDAY(B1361,2),"Lun","Mar","Mié","Jue","Vie","Sáb","Dom"),"")</f>
        <v/>
      </c>
      <c r="D1361" s="73" t="n"/>
      <c r="E1361" s="74" t="n"/>
      <c r="F1361" s="74" t="n"/>
      <c r="G1361" s="74" t="n"/>
      <c r="H1361" s="75" t="n"/>
      <c r="I1361" s="75" t="n"/>
      <c r="J1361" s="76" t="n"/>
      <c r="K1361" s="77" t="str">
        <f>IF(AB1361=1,ROUND(AG1361/60,4),"")</f>
        <v/>
      </c>
      <c r="L1361" s="77" t="str">
        <f>IF(BD1361=1,ROUND(AP1361/60,4),"")</f>
        <v/>
      </c>
      <c r="M1361" s="77" t="str">
        <f>IF(BD1361=1,ROUND(AQ1361/60,4),"")</f>
        <v/>
      </c>
      <c r="N1361" s="71" t="str">
        <f>IF(AND(D1361="proMX",AB1361=1),ROUND(AG1361/CFG_BLK,2),"")</f>
        <v/>
      </c>
      <c r="O1361" s="77" t="str">
        <f>IF(D1361="proMX",IF(BD1361=1,ROUND(AG1361/60,4),0),"")</f>
        <v/>
      </c>
      <c r="P1361" s="78" t="str">
        <f>IF(Y1361=0,"",IF(BD1361=1,"OK",IF(D1361="proMX","Revisar bloques: ","Revisar: ")&amp;BC1361))</f>
        <v/>
      </c>
      <c r="Q1361" s="78" t="str">
        <f>IF(NOT(ISNUMBER(B1361)),"",IF(COUNTIFS(FER_F,INT(B1361))&gt;0,"Feriado"&amp;IF(AH1361=1," (laborable)"," (no laborable)"),IF(AH1361=1,"Laborable",IF(WEEKDAY(B1361,2)&gt;5,"Fin de semana","No laborable"))))</f>
        <v/>
      </c>
      <c r="R1361" s="73" t="n"/>
      <c r="S1361" s="72" t="n"/>
      <c r="T1361" s="72" t="n"/>
      <c r="U1361" s="74" t="n"/>
      <c r="V1361" s="79" t="str">
        <f>IF(AND(D1361="proMX",OR(R1361="Submitted",R1361="Recall Requested"),ISNUMBER(S1361)),CFG_TODAY-INT(S1361),"")</f>
        <v/>
      </c>
      <c r="W1361" s="78" t="str">
        <f>IF(BD1361=0,"",IF(BA1361&gt;0,"⚠ Se superpone con un registro de la otra empresa",IF(D1361="Malcolm",IF(COUNTA(R1361,S1361,T1361)&gt;0,"Estado/fechas proMX se ignoran en Malcolm",""),IF(BF1361="Cancelled","Cancelado: excluido de totales",IF(R1361="","Sin estado: se trata como Draft",IF(BF1361="Submitted",IF(ISNUMBER(V1361),IF(V1361&gt;CFG_MAXD,"⚠ "&amp;V1361&amp;" días en Submitted (máx. "&amp;CFG_MAXD&amp;")",""),"Falta fecha de envío"),IF(BF1361="Returned","⚠ Devuelto: corregir y reenviar",IF(BF1361="Recall Requested","Retirada solicitada: pendiente",IF(AND(BF1361="Approved",NOT(ISNUMBER(T1361))),"Falta fecha de aprobación",IF(AND(ISNUMBER(S1361),ISNUMBER(T1361),T1361&lt;S1361),"Aprobación anterior al envío","")))))))))</f>
        <v/>
      </c>
      <c r="Y1361" s="80">
        <f>IF(COUNTA(B1361,D1361,E1361,F1361,G1361,H1361,I1361,J1361,R1361,S1361,T1361)&gt;0,1,0)</f>
        <v>0</v>
      </c>
      <c r="Z1361" s="80" t="str">
        <f>IF(AND(ISNUMBER(H1361),H1361&gt;=0,H1361&lt;1),ROUND(H1361*1440,0),"")</f>
        <v/>
      </c>
      <c r="AA1361" s="80" t="str">
        <f>IF(AND(ISNUMBER(I1361),I1361&gt;=0,I1361&lt;1),ROUND(I1361*1440,0),"")</f>
        <v/>
      </c>
      <c r="AB1361" s="80">
        <f>IF(AND(ISNUMBER(B1361),D1361&lt;&gt;"",ISNUMBER(Z1361),ISNUMBER(AA1361)),IF(Z1361=AA1361,0,1),0)</f>
        <v>0</v>
      </c>
      <c r="AC1361" s="80">
        <f>IF(AB1361=1,IF(AA1361&lt;Z1361,1,0),0)</f>
        <v>0</v>
      </c>
      <c r="AD1361" s="80">
        <f>IF(AB1361=1,IF(AC1361=1,1440-Z1361+AA1361,AA1361-Z1361),0)</f>
        <v>0</v>
      </c>
      <c r="AE1361" s="80">
        <f>IF(J1361="",0,IF(ISNUMBER(J1361),J1361,-1))</f>
        <v>0</v>
      </c>
      <c r="AF1361" s="80">
        <f>MIN(MAX(0,AE1361),AD1361)</f>
        <v>0</v>
      </c>
      <c r="AG1361" s="80">
        <f>MAX(0,AD1361-MAX(0,AE1361))</f>
        <v>0</v>
      </c>
      <c r="AH1361" s="80">
        <f>IF(ISNUMBER(B1361),IF(AND(INDEX(CFG_WDAYS,WEEKDAY(INT(B1361),2))="Sí",IF(D1361="proMX",COUNTIFS(FER_F,INT(B1361),FER_NLP,"Sí"),COUNTIFS(FER_F,INT(B1361),FER_NLM,"Sí"))=0),1,0),0)</f>
        <v>0</v>
      </c>
      <c r="AI1361" s="80">
        <f>IF(AC1361=1,IF(AND(INDEX(CFG_WDAYS,WEEKDAY(INT(B1361)+1,2))="Sí",IF(D1361="proMX",COUNTIFS(FER_F,INT(B1361)+1,FER_NLP,"Sí"),COUNTIFS(FER_F,INT(B1361)+1,FER_NLM,"Sí"))=0),1,0),0)</f>
        <v>0</v>
      </c>
      <c r="AJ1361" s="80">
        <f>IF(AC1361=1,1440-Z1361,AD1361)</f>
        <v>0</v>
      </c>
      <c r="AK1361" s="80">
        <f>IF(AND(AB1361=1,AH1361=1),MAX(0,MIN(IF(AC1361=1,1440,AA1361),CFG_WEM)-MAX(Z1361,CFG_WSM)),0)</f>
        <v>0</v>
      </c>
      <c r="AL1361" s="80">
        <f>IF(AND(AC1361=1,AI1361=1),MAX(0,MIN(AA1361,CFG_WEM)-CFG_WSM),0)</f>
        <v>0</v>
      </c>
      <c r="AM1361" s="80">
        <f>AK1361+AL1361</f>
        <v>0</v>
      </c>
      <c r="AN1361" s="80">
        <f>IF(CFG_BRK="Proporcional",IF(AD1361=0,0,AF1361*AM1361/AD1361),IF(CFG_BRK="Extras primero",MIN(AM1361,MAX(0,AF1361-(AD1361-AM1361))),MIN(AF1361,AM1361)))</f>
        <v>0</v>
      </c>
      <c r="AO1361" s="80">
        <f>AF1361-AN1361</f>
        <v>0</v>
      </c>
      <c r="AP1361" s="80">
        <f>AM1361-AN1361</f>
        <v>0</v>
      </c>
      <c r="AQ1361" s="80">
        <f>AD1361-AM1361-AO1361</f>
        <v>0</v>
      </c>
      <c r="AR1361" s="80">
        <f>IF(AM1361=0,0,AK1361-AN1361*AK1361/AM1361)</f>
        <v>0</v>
      </c>
      <c r="AS1361" s="80">
        <f>IF(AD1361-AM1361=0,0,(AJ1361-AK1361)-AO1361*(AJ1361-AK1361)/(AD1361-AM1361))</f>
        <v>0</v>
      </c>
      <c r="AT1361" s="80" t="str">
        <f>IF(AC1361=1,INT(B1361)+1,"")</f>
        <v/>
      </c>
      <c r="AU1361" s="80">
        <f>IF(AND(D1361="proMX",R1361="Cancelled"),0,1)</f>
        <v>1</v>
      </c>
      <c r="AV1361" s="80">
        <f>IF(AND(AB1361=1,AU1361=1),IF(COUNTIFS($D$5:D1360,D1361,$B$5:B1360,B1361,$Z$5:Z1360,Z1361,$AA$5:AA1360,AA1361,$F$5:F1360,F1361&amp;"",$AU$5:AU1360,1)&gt;0,1,0),0)</f>
        <v>0</v>
      </c>
      <c r="AW1361" s="80" t="str">
        <f>IF(AB1361=1,INT(B1361)*1440+Z1361,"")</f>
        <v/>
      </c>
      <c r="AX1361" s="80" t="str">
        <f>IF(AB1361=1,AW1361+AD1361,"")</f>
        <v/>
      </c>
      <c r="AY1361" s="80">
        <f>IF(AND(AB1361=1,AV1361=0,AU1361=1),1,0)</f>
        <v>0</v>
      </c>
      <c r="AZ1361" s="80">
        <f>IF(AY1361=1,COUNTIFS(R_Emp,D1361,R_SAbs,"&lt;"&amp;AX1361,R_EAbs,"&gt;"&amp;AW1361,R_OKey,1)-1,0)</f>
        <v>0</v>
      </c>
      <c r="BA1361" s="80">
        <f>IF(AY1361=1,COUNTIFS(R_Emp,"&lt;&gt;"&amp;D1361,R_SAbs,"&lt;"&amp;AX1361,R_EAbs,"&gt;"&amp;AW1361,R_OKey,1),0)</f>
        <v>0</v>
      </c>
      <c r="BB1361" s="80">
        <f>IF(AND(AB1361=1,D1361="proMX"),IF(AND(MOD(Z1361,CFG_BLK)=0,MOD(AA1361,CFG_BLK)=0,MOD(AG1361,CFG_BLK)=0,AG1361&gt;0),1,0),1)</f>
        <v>1</v>
      </c>
      <c r="BC1361" s="80" t="str">
        <f>IF(Y1361=0,"",IF(NOT(ISNUMBER(B1361)),"Falta fecha o fecha inválida",IF(D1361="","Falta empresa",IF(AND(D1361&lt;&gt;"Malcolm",D1361&lt;&gt;"proMX"),"Empresa inválida",IF(OR(INT(B1361)&lt;CFG_PSTART,INT(B1361)&gt;CFG_PEND),"Fecha fuera del período",IF(OR(NOT(ISNUMBER(Z1361)),NOT(ISNUMBER(AA1361))),"Falta hora inicio/fin o formato inválido",IF(AB1361=0,"Hora inicio = hora fin",IF(AE1361&lt;0,"Descanso inválido",IF(AE1361&gt;=AD1361,"Descanso ≥ duración",IF(AV1361=1,"Registro duplicado",IF(AZ1361&gt;0,"Se superpone con otro registro "&amp;D1361,IF(BB1361=0,"inicio, fin y duración neta deben ser múltiplos de "&amp;CFG_BLK&amp;" min",""))))))))))))</f>
        <v/>
      </c>
      <c r="BD1361" s="80">
        <f>IF(AND(Y1361=1,BC1361=""),1,0)</f>
        <v>0</v>
      </c>
      <c r="BE1361" s="80">
        <f>IF(AND(BD1361=1,AU1361=1),1,0)</f>
        <v>0</v>
      </c>
      <c r="BF1361" s="80" t="str">
        <f>IF(AND(D1361="proMX",BD1361=1),IF(R1361="","Draft",R1361),"")</f>
        <v/>
      </c>
      <c r="BG1361" s="80">
        <f>IF(BD1361=1,ROUND(AG1361/60,6),0)</f>
        <v>0</v>
      </c>
      <c r="BH1361" s="80">
        <f>IF(BE1361=1,ROUND(AG1361/60,6),0)</f>
        <v>0</v>
      </c>
      <c r="BI1361" s="80">
        <f>IF(BE1361=1,ROUND(AP1361/60,6),0)</f>
        <v>0</v>
      </c>
      <c r="BJ1361" s="80">
        <f>IF(BE1361=1,ROUND(AQ1361/60,6),0)</f>
        <v>0</v>
      </c>
      <c r="BK1361" s="80">
        <f>IF(BE1361=1,ROUND((AR1361+AS1361)/60,6),0)</f>
        <v>0</v>
      </c>
      <c r="BL1361" s="80">
        <f>ROUND(BH1361-BK1361,6)</f>
        <v>0</v>
      </c>
      <c r="BM1361" s="80">
        <f>IF(BE1361=1,ROUND(AR1361/60,6),0)</f>
        <v>0</v>
      </c>
      <c r="BN1361" s="80">
        <f>ROUND(BI1361-BM1361,6)</f>
        <v>0</v>
      </c>
      <c r="BO1361" s="80">
        <f>IF(BE1361=1,ROUND(AS1361/60,6),0)</f>
        <v>0</v>
      </c>
      <c r="BP1361" s="80">
        <f>ROUND(BJ1361-BO1361,6)</f>
        <v>0</v>
      </c>
      <c r="BQ1361" s="80">
        <f>IF(BE1361=1,AW1361,0)</f>
        <v>0</v>
      </c>
      <c r="BR1361" s="80">
        <f>IF(BE1361=1,AX1361,0)</f>
        <v>0</v>
      </c>
      <c r="BS1361" s="80">
        <f>IF(AND(BE1361=1,D1361="Malcolm",BA1361&gt;0),MIN(BH1361,SUMPRODUCT((R_Emp="proMX")*(R_EN&gt;0)*((R_EN-(R_EN&gt;BR1361)*(R_EN-BR1361))&gt;(R_SN+(R_SN&lt;BQ1361)*(BQ1361-R_SN)))*((R_EN-(R_EN&gt;BR1361)*(R_EN-BR1361))-(R_SN+(R_SN&lt;BQ1361)*(BQ1361-R_SN))))/60),0)</f>
        <v>0</v>
      </c>
      <c r="BT1361" s="80">
        <f>IF(AND(BE1361=1,D1361="proMX"),ROUND(BI1361*CFG_RATE+BJ1361*CFG_OTRATE,6),0)</f>
        <v>0</v>
      </c>
      <c r="BU1361" s="80">
        <f>IF(AND(BD1361=1,D1361="proMX"),ROUND(AG1361/CFG_BLK,6),0)</f>
        <v>0</v>
      </c>
      <c r="BV1361" s="80" t="str">
        <f>IF(BF1361="Approved",IF(ISNUMBER(T1361),INT(T1361),INT(B1361)),"")</f>
        <v/>
      </c>
      <c r="BW1361" s="80">
        <f>IF(ISNUMBER(B1361),IF(DB_MON="Todos",1,IF(AND(INT(B1361)&gt;=DB_MS,INT(B1361)&lt;=DB_ME),1,0)),0)</f>
        <v>0</v>
      </c>
      <c r="BX1361" s="80">
        <f>IF(DB_PROJ="Todos",1,IF(E1361&amp;""=DB_PROJ&amp;"",1,0))</f>
        <v>1</v>
      </c>
      <c r="BY1361" s="80">
        <f>BW1361*BX1361</f>
        <v>0</v>
      </c>
      <c r="BZ1361" s="80" t="str">
        <f>IF(Y1361=1,F1361&amp;IF(AND(F1361&amp;""&lt;&gt;"",E1361&amp;""&lt;&gt;"")," · ","")&amp;E1361,"")</f>
        <v/>
      </c>
      <c r="CA1361" s="80" t="str">
        <f>IF(AND(BD1361=1,E1361&amp;""&lt;&gt;""),IF(COUNTIFS($E$5:E1360,E1361,$BD$5:BD1360,1)=0,MAX($CA$5:CA1360)+1,""),"")</f>
        <v/>
      </c>
      <c r="CB1361" s="80" t="str">
        <f>IF(AND(BE1361=1,D1361="Malcolm",E1361&amp;""&lt;&gt;""),IF(COUNTIFS($D$5:D1360,"Malcolm",$E$5:E1360,E1361,$BE$5:BE1360,1)=0,MAX($CB$5:CB1360)+1,""),"")</f>
        <v/>
      </c>
      <c r="CC1361" s="80" t="str">
        <f>IF(AND(BD1361=1,D1361="proMX",E1361&amp;""&lt;&gt;""),IF(COUNTIFS($D$5:D1360,"proMX",$E$5:E1360,E1361,$BD$5:BD1360,1)=0,MAX($CC$5:CC1360)+1,""),"")</f>
        <v/>
      </c>
      <c r="CD1361" s="80" t="str">
        <f>IF(AND(BE1361=1,D1361="Malcolm",F1361&amp;""&lt;&gt;""),IF(COUNTIFS($D$5:D1360,"Malcolm",$F$5:F1360,F1361,$BE$5:BE1360,1)=0,MAX($CD$5:CD1360)+1,""),"")</f>
        <v/>
      </c>
      <c r="CE1361" s="80" t="str">
        <f>IF(AND(BD1361=1,D1361="proMX",F1361&amp;""&lt;&gt;""),IF(COUNTIFS($D$5:D1360,"proMX",$F$5:F1360,F1361,$BD$5:BD1360,1)=0,MAX($CE$5:CE1360)+1,""),"")</f>
        <v/>
      </c>
      <c r="CF1361" s="80" t="str">
        <f>IF(AND(D1361="proMX",BD1361=1),IF(OR(BF1361="Draft",BF1361="Submitted",BF1361="Returned",BF1361="Recall Requested"),MAX($CF$5:CF1360)+1,""),"")</f>
        <v/>
      </c>
      <c r="CG1361" s="80">
        <f>IF(BD1361=0,0,IF(D1361="Malcolm",1,MATCH(BF1361,{"Draft","Submitted","Approved","Returned","Recall Requested","Cancelled"},0)+1))</f>
        <v>0</v>
      </c>
      <c r="CH1361" s="80">
        <f>IF(AND(BF1361="Submitted",ISNUMBER(V1361)),IF(V1361&gt;CFG_MAXD,1,0),0)</f>
        <v>0</v>
      </c>
    </row>
    <row r="1362">
      <c r="A1362" s="71" t="str">
        <f>IF(Y1362=1,ROW()-5,"")</f>
        <v/>
      </c>
      <c r="B1362" s="72" t="n"/>
      <c r="C1362" s="71" t="str">
        <f>IF(ISNUMBER(B1362),CHOOSE(WEEKDAY(B1362,2),"Lun","Mar","Mié","Jue","Vie","Sáb","Dom"),"")</f>
        <v/>
      </c>
      <c r="D1362" s="73" t="n"/>
      <c r="E1362" s="74" t="n"/>
      <c r="F1362" s="74" t="n"/>
      <c r="G1362" s="74" t="n"/>
      <c r="H1362" s="75" t="n"/>
      <c r="I1362" s="75" t="n"/>
      <c r="J1362" s="76" t="n"/>
      <c r="K1362" s="77" t="str">
        <f>IF(AB1362=1,ROUND(AG1362/60,4),"")</f>
        <v/>
      </c>
      <c r="L1362" s="77" t="str">
        <f>IF(BD1362=1,ROUND(AP1362/60,4),"")</f>
        <v/>
      </c>
      <c r="M1362" s="77" t="str">
        <f>IF(BD1362=1,ROUND(AQ1362/60,4),"")</f>
        <v/>
      </c>
      <c r="N1362" s="71" t="str">
        <f>IF(AND(D1362="proMX",AB1362=1),ROUND(AG1362/CFG_BLK,2),"")</f>
        <v/>
      </c>
      <c r="O1362" s="77" t="str">
        <f>IF(D1362="proMX",IF(BD1362=1,ROUND(AG1362/60,4),0),"")</f>
        <v/>
      </c>
      <c r="P1362" s="78" t="str">
        <f>IF(Y1362=0,"",IF(BD1362=1,"OK",IF(D1362="proMX","Revisar bloques: ","Revisar: ")&amp;BC1362))</f>
        <v/>
      </c>
      <c r="Q1362" s="78" t="str">
        <f>IF(NOT(ISNUMBER(B1362)),"",IF(COUNTIFS(FER_F,INT(B1362))&gt;0,"Feriado"&amp;IF(AH1362=1," (laborable)"," (no laborable)"),IF(AH1362=1,"Laborable",IF(WEEKDAY(B1362,2)&gt;5,"Fin de semana","No laborable"))))</f>
        <v/>
      </c>
      <c r="R1362" s="73" t="n"/>
      <c r="S1362" s="72" t="n"/>
      <c r="T1362" s="72" t="n"/>
      <c r="U1362" s="74" t="n"/>
      <c r="V1362" s="79" t="str">
        <f>IF(AND(D1362="proMX",OR(R1362="Submitted",R1362="Recall Requested"),ISNUMBER(S1362)),CFG_TODAY-INT(S1362),"")</f>
        <v/>
      </c>
      <c r="W1362" s="78" t="str">
        <f>IF(BD1362=0,"",IF(BA1362&gt;0,"⚠ Se superpone con un registro de la otra empresa",IF(D1362="Malcolm",IF(COUNTA(R1362,S1362,T1362)&gt;0,"Estado/fechas proMX se ignoran en Malcolm",""),IF(BF1362="Cancelled","Cancelado: excluido de totales",IF(R1362="","Sin estado: se trata como Draft",IF(BF1362="Submitted",IF(ISNUMBER(V1362),IF(V1362&gt;CFG_MAXD,"⚠ "&amp;V1362&amp;" días en Submitted (máx. "&amp;CFG_MAXD&amp;")",""),"Falta fecha de envío"),IF(BF1362="Returned","⚠ Devuelto: corregir y reenviar",IF(BF1362="Recall Requested","Retirada solicitada: pendiente",IF(AND(BF1362="Approved",NOT(ISNUMBER(T1362))),"Falta fecha de aprobación",IF(AND(ISNUMBER(S1362),ISNUMBER(T1362),T1362&lt;S1362),"Aprobación anterior al envío","")))))))))</f>
        <v/>
      </c>
      <c r="Y1362" s="80">
        <f>IF(COUNTA(B1362,D1362,E1362,F1362,G1362,H1362,I1362,J1362,R1362,S1362,T1362)&gt;0,1,0)</f>
        <v>0</v>
      </c>
      <c r="Z1362" s="80" t="str">
        <f>IF(AND(ISNUMBER(H1362),H1362&gt;=0,H1362&lt;1),ROUND(H1362*1440,0),"")</f>
        <v/>
      </c>
      <c r="AA1362" s="80" t="str">
        <f>IF(AND(ISNUMBER(I1362),I1362&gt;=0,I1362&lt;1),ROUND(I1362*1440,0),"")</f>
        <v/>
      </c>
      <c r="AB1362" s="80">
        <f>IF(AND(ISNUMBER(B1362),D1362&lt;&gt;"",ISNUMBER(Z1362),ISNUMBER(AA1362)),IF(Z1362=AA1362,0,1),0)</f>
        <v>0</v>
      </c>
      <c r="AC1362" s="80">
        <f>IF(AB1362=1,IF(AA1362&lt;Z1362,1,0),0)</f>
        <v>0</v>
      </c>
      <c r="AD1362" s="80">
        <f>IF(AB1362=1,IF(AC1362=1,1440-Z1362+AA1362,AA1362-Z1362),0)</f>
        <v>0</v>
      </c>
      <c r="AE1362" s="80">
        <f>IF(J1362="",0,IF(ISNUMBER(J1362),J1362,-1))</f>
        <v>0</v>
      </c>
      <c r="AF1362" s="80">
        <f>MIN(MAX(0,AE1362),AD1362)</f>
        <v>0</v>
      </c>
      <c r="AG1362" s="80">
        <f>MAX(0,AD1362-MAX(0,AE1362))</f>
        <v>0</v>
      </c>
      <c r="AH1362" s="80">
        <f>IF(ISNUMBER(B1362),IF(AND(INDEX(CFG_WDAYS,WEEKDAY(INT(B1362),2))="Sí",IF(D1362="proMX",COUNTIFS(FER_F,INT(B1362),FER_NLP,"Sí"),COUNTIFS(FER_F,INT(B1362),FER_NLM,"Sí"))=0),1,0),0)</f>
        <v>0</v>
      </c>
      <c r="AI1362" s="80">
        <f>IF(AC1362=1,IF(AND(INDEX(CFG_WDAYS,WEEKDAY(INT(B1362)+1,2))="Sí",IF(D1362="proMX",COUNTIFS(FER_F,INT(B1362)+1,FER_NLP,"Sí"),COUNTIFS(FER_F,INT(B1362)+1,FER_NLM,"Sí"))=0),1,0),0)</f>
        <v>0</v>
      </c>
      <c r="AJ1362" s="80">
        <f>IF(AC1362=1,1440-Z1362,AD1362)</f>
        <v>0</v>
      </c>
      <c r="AK1362" s="80">
        <f>IF(AND(AB1362=1,AH1362=1),MAX(0,MIN(IF(AC1362=1,1440,AA1362),CFG_WEM)-MAX(Z1362,CFG_WSM)),0)</f>
        <v>0</v>
      </c>
      <c r="AL1362" s="80">
        <f>IF(AND(AC1362=1,AI1362=1),MAX(0,MIN(AA1362,CFG_WEM)-CFG_WSM),0)</f>
        <v>0</v>
      </c>
      <c r="AM1362" s="80">
        <f>AK1362+AL1362</f>
        <v>0</v>
      </c>
      <c r="AN1362" s="80">
        <f>IF(CFG_BRK="Proporcional",IF(AD1362=0,0,AF1362*AM1362/AD1362),IF(CFG_BRK="Extras primero",MIN(AM1362,MAX(0,AF1362-(AD1362-AM1362))),MIN(AF1362,AM1362)))</f>
        <v>0</v>
      </c>
      <c r="AO1362" s="80">
        <f>AF1362-AN1362</f>
        <v>0</v>
      </c>
      <c r="AP1362" s="80">
        <f>AM1362-AN1362</f>
        <v>0</v>
      </c>
      <c r="AQ1362" s="80">
        <f>AD1362-AM1362-AO1362</f>
        <v>0</v>
      </c>
      <c r="AR1362" s="80">
        <f>IF(AM1362=0,0,AK1362-AN1362*AK1362/AM1362)</f>
        <v>0</v>
      </c>
      <c r="AS1362" s="80">
        <f>IF(AD1362-AM1362=0,0,(AJ1362-AK1362)-AO1362*(AJ1362-AK1362)/(AD1362-AM1362))</f>
        <v>0</v>
      </c>
      <c r="AT1362" s="80" t="str">
        <f>IF(AC1362=1,INT(B1362)+1,"")</f>
        <v/>
      </c>
      <c r="AU1362" s="80">
        <f>IF(AND(D1362="proMX",R1362="Cancelled"),0,1)</f>
        <v>1</v>
      </c>
      <c r="AV1362" s="80">
        <f>IF(AND(AB1362=1,AU1362=1),IF(COUNTIFS($D$5:D1361,D1362,$B$5:B1361,B1362,$Z$5:Z1361,Z1362,$AA$5:AA1361,AA1362,$F$5:F1361,F1362&amp;"",$AU$5:AU1361,1)&gt;0,1,0),0)</f>
        <v>0</v>
      </c>
      <c r="AW1362" s="80" t="str">
        <f>IF(AB1362=1,INT(B1362)*1440+Z1362,"")</f>
        <v/>
      </c>
      <c r="AX1362" s="80" t="str">
        <f>IF(AB1362=1,AW1362+AD1362,"")</f>
        <v/>
      </c>
      <c r="AY1362" s="80">
        <f>IF(AND(AB1362=1,AV1362=0,AU1362=1),1,0)</f>
        <v>0</v>
      </c>
      <c r="AZ1362" s="80">
        <f>IF(AY1362=1,COUNTIFS(R_Emp,D1362,R_SAbs,"&lt;"&amp;AX1362,R_EAbs,"&gt;"&amp;AW1362,R_OKey,1)-1,0)</f>
        <v>0</v>
      </c>
      <c r="BA1362" s="80">
        <f>IF(AY1362=1,COUNTIFS(R_Emp,"&lt;&gt;"&amp;D1362,R_SAbs,"&lt;"&amp;AX1362,R_EAbs,"&gt;"&amp;AW1362,R_OKey,1),0)</f>
        <v>0</v>
      </c>
      <c r="BB1362" s="80">
        <f>IF(AND(AB1362=1,D1362="proMX"),IF(AND(MOD(Z1362,CFG_BLK)=0,MOD(AA1362,CFG_BLK)=0,MOD(AG1362,CFG_BLK)=0,AG1362&gt;0),1,0),1)</f>
        <v>1</v>
      </c>
      <c r="BC1362" s="80" t="str">
        <f>IF(Y1362=0,"",IF(NOT(ISNUMBER(B1362)),"Falta fecha o fecha inválida",IF(D1362="","Falta empresa",IF(AND(D1362&lt;&gt;"Malcolm",D1362&lt;&gt;"proMX"),"Empresa inválida",IF(OR(INT(B1362)&lt;CFG_PSTART,INT(B1362)&gt;CFG_PEND),"Fecha fuera del período",IF(OR(NOT(ISNUMBER(Z1362)),NOT(ISNUMBER(AA1362))),"Falta hora inicio/fin o formato inválido",IF(AB1362=0,"Hora inicio = hora fin",IF(AE1362&lt;0,"Descanso inválido",IF(AE1362&gt;=AD1362,"Descanso ≥ duración",IF(AV1362=1,"Registro duplicado",IF(AZ1362&gt;0,"Se superpone con otro registro "&amp;D1362,IF(BB1362=0,"inicio, fin y duración neta deben ser múltiplos de "&amp;CFG_BLK&amp;" min",""))))))))))))</f>
        <v/>
      </c>
      <c r="BD1362" s="80">
        <f>IF(AND(Y1362=1,BC1362=""),1,0)</f>
        <v>0</v>
      </c>
      <c r="BE1362" s="80">
        <f>IF(AND(BD1362=1,AU1362=1),1,0)</f>
        <v>0</v>
      </c>
      <c r="BF1362" s="80" t="str">
        <f>IF(AND(D1362="proMX",BD1362=1),IF(R1362="","Draft",R1362),"")</f>
        <v/>
      </c>
      <c r="BG1362" s="80">
        <f>IF(BD1362=1,ROUND(AG1362/60,6),0)</f>
        <v>0</v>
      </c>
      <c r="BH1362" s="80">
        <f>IF(BE1362=1,ROUND(AG1362/60,6),0)</f>
        <v>0</v>
      </c>
      <c r="BI1362" s="80">
        <f>IF(BE1362=1,ROUND(AP1362/60,6),0)</f>
        <v>0</v>
      </c>
      <c r="BJ1362" s="80">
        <f>IF(BE1362=1,ROUND(AQ1362/60,6),0)</f>
        <v>0</v>
      </c>
      <c r="BK1362" s="80">
        <f>IF(BE1362=1,ROUND((AR1362+AS1362)/60,6),0)</f>
        <v>0</v>
      </c>
      <c r="BL1362" s="80">
        <f>ROUND(BH1362-BK1362,6)</f>
        <v>0</v>
      </c>
      <c r="BM1362" s="80">
        <f>IF(BE1362=1,ROUND(AR1362/60,6),0)</f>
        <v>0</v>
      </c>
      <c r="BN1362" s="80">
        <f>ROUND(BI1362-BM1362,6)</f>
        <v>0</v>
      </c>
      <c r="BO1362" s="80">
        <f>IF(BE1362=1,ROUND(AS1362/60,6),0)</f>
        <v>0</v>
      </c>
      <c r="BP1362" s="80">
        <f>ROUND(BJ1362-BO1362,6)</f>
        <v>0</v>
      </c>
      <c r="BQ1362" s="80">
        <f>IF(BE1362=1,AW1362,0)</f>
        <v>0</v>
      </c>
      <c r="BR1362" s="80">
        <f>IF(BE1362=1,AX1362,0)</f>
        <v>0</v>
      </c>
      <c r="BS1362" s="80">
        <f>IF(AND(BE1362=1,D1362="Malcolm",BA1362&gt;0),MIN(BH1362,SUMPRODUCT((R_Emp="proMX")*(R_EN&gt;0)*((R_EN-(R_EN&gt;BR1362)*(R_EN-BR1362))&gt;(R_SN+(R_SN&lt;BQ1362)*(BQ1362-R_SN)))*((R_EN-(R_EN&gt;BR1362)*(R_EN-BR1362))-(R_SN+(R_SN&lt;BQ1362)*(BQ1362-R_SN))))/60),0)</f>
        <v>0</v>
      </c>
      <c r="BT1362" s="80">
        <f>IF(AND(BE1362=1,D1362="proMX"),ROUND(BI1362*CFG_RATE+BJ1362*CFG_OTRATE,6),0)</f>
        <v>0</v>
      </c>
      <c r="BU1362" s="80">
        <f>IF(AND(BD1362=1,D1362="proMX"),ROUND(AG1362/CFG_BLK,6),0)</f>
        <v>0</v>
      </c>
      <c r="BV1362" s="80" t="str">
        <f>IF(BF1362="Approved",IF(ISNUMBER(T1362),INT(T1362),INT(B1362)),"")</f>
        <v/>
      </c>
      <c r="BW1362" s="80">
        <f>IF(ISNUMBER(B1362),IF(DB_MON="Todos",1,IF(AND(INT(B1362)&gt;=DB_MS,INT(B1362)&lt;=DB_ME),1,0)),0)</f>
        <v>0</v>
      </c>
      <c r="BX1362" s="80">
        <f>IF(DB_PROJ="Todos",1,IF(E1362&amp;""=DB_PROJ&amp;"",1,0))</f>
        <v>1</v>
      </c>
      <c r="BY1362" s="80">
        <f>BW1362*BX1362</f>
        <v>0</v>
      </c>
      <c r="BZ1362" s="80" t="str">
        <f>IF(Y1362=1,F1362&amp;IF(AND(F1362&amp;""&lt;&gt;"",E1362&amp;""&lt;&gt;"")," · ","")&amp;E1362,"")</f>
        <v/>
      </c>
      <c r="CA1362" s="80" t="str">
        <f>IF(AND(BD1362=1,E1362&amp;""&lt;&gt;""),IF(COUNTIFS($E$5:E1361,E1362,$BD$5:BD1361,1)=0,MAX($CA$5:CA1361)+1,""),"")</f>
        <v/>
      </c>
      <c r="CB1362" s="80" t="str">
        <f>IF(AND(BE1362=1,D1362="Malcolm",E1362&amp;""&lt;&gt;""),IF(COUNTIFS($D$5:D1361,"Malcolm",$E$5:E1361,E1362,$BE$5:BE1361,1)=0,MAX($CB$5:CB1361)+1,""),"")</f>
        <v/>
      </c>
      <c r="CC1362" s="80" t="str">
        <f>IF(AND(BD1362=1,D1362="proMX",E1362&amp;""&lt;&gt;""),IF(COUNTIFS($D$5:D1361,"proMX",$E$5:E1361,E1362,$BD$5:BD1361,1)=0,MAX($CC$5:CC1361)+1,""),"")</f>
        <v/>
      </c>
      <c r="CD1362" s="80" t="str">
        <f>IF(AND(BE1362=1,D1362="Malcolm",F1362&amp;""&lt;&gt;""),IF(COUNTIFS($D$5:D1361,"Malcolm",$F$5:F1361,F1362,$BE$5:BE1361,1)=0,MAX($CD$5:CD1361)+1,""),"")</f>
        <v/>
      </c>
      <c r="CE1362" s="80" t="str">
        <f>IF(AND(BD1362=1,D1362="proMX",F1362&amp;""&lt;&gt;""),IF(COUNTIFS($D$5:D1361,"proMX",$F$5:F1361,F1362,$BD$5:BD1361,1)=0,MAX($CE$5:CE1361)+1,""),"")</f>
        <v/>
      </c>
      <c r="CF1362" s="80" t="str">
        <f>IF(AND(D1362="proMX",BD1362=1),IF(OR(BF1362="Draft",BF1362="Submitted",BF1362="Returned",BF1362="Recall Requested"),MAX($CF$5:CF1361)+1,""),"")</f>
        <v/>
      </c>
      <c r="CG1362" s="80">
        <f>IF(BD1362=0,0,IF(D1362="Malcolm",1,MATCH(BF1362,{"Draft","Submitted","Approved","Returned","Recall Requested","Cancelled"},0)+1))</f>
        <v>0</v>
      </c>
      <c r="CH1362" s="80">
        <f>IF(AND(BF1362="Submitted",ISNUMBER(V1362)),IF(V1362&gt;CFG_MAXD,1,0),0)</f>
        <v>0</v>
      </c>
    </row>
    <row r="1363">
      <c r="A1363" s="71" t="str">
        <f>IF(Y1363=1,ROW()-5,"")</f>
        <v/>
      </c>
      <c r="B1363" s="72" t="n"/>
      <c r="C1363" s="71" t="str">
        <f>IF(ISNUMBER(B1363),CHOOSE(WEEKDAY(B1363,2),"Lun","Mar","Mié","Jue","Vie","Sáb","Dom"),"")</f>
        <v/>
      </c>
      <c r="D1363" s="73" t="n"/>
      <c r="E1363" s="74" t="n"/>
      <c r="F1363" s="74" t="n"/>
      <c r="G1363" s="74" t="n"/>
      <c r="H1363" s="75" t="n"/>
      <c r="I1363" s="75" t="n"/>
      <c r="J1363" s="76" t="n"/>
      <c r="K1363" s="77" t="str">
        <f>IF(AB1363=1,ROUND(AG1363/60,4),"")</f>
        <v/>
      </c>
      <c r="L1363" s="77" t="str">
        <f>IF(BD1363=1,ROUND(AP1363/60,4),"")</f>
        <v/>
      </c>
      <c r="M1363" s="77" t="str">
        <f>IF(BD1363=1,ROUND(AQ1363/60,4),"")</f>
        <v/>
      </c>
      <c r="N1363" s="71" t="str">
        <f>IF(AND(D1363="proMX",AB1363=1),ROUND(AG1363/CFG_BLK,2),"")</f>
        <v/>
      </c>
      <c r="O1363" s="77" t="str">
        <f>IF(D1363="proMX",IF(BD1363=1,ROUND(AG1363/60,4),0),"")</f>
        <v/>
      </c>
      <c r="P1363" s="78" t="str">
        <f>IF(Y1363=0,"",IF(BD1363=1,"OK",IF(D1363="proMX","Revisar bloques: ","Revisar: ")&amp;BC1363))</f>
        <v/>
      </c>
      <c r="Q1363" s="78" t="str">
        <f>IF(NOT(ISNUMBER(B1363)),"",IF(COUNTIFS(FER_F,INT(B1363))&gt;0,"Feriado"&amp;IF(AH1363=1," (laborable)"," (no laborable)"),IF(AH1363=1,"Laborable",IF(WEEKDAY(B1363,2)&gt;5,"Fin de semana","No laborable"))))</f>
        <v/>
      </c>
      <c r="R1363" s="73" t="n"/>
      <c r="S1363" s="72" t="n"/>
      <c r="T1363" s="72" t="n"/>
      <c r="U1363" s="74" t="n"/>
      <c r="V1363" s="79" t="str">
        <f>IF(AND(D1363="proMX",OR(R1363="Submitted",R1363="Recall Requested"),ISNUMBER(S1363)),CFG_TODAY-INT(S1363),"")</f>
        <v/>
      </c>
      <c r="W1363" s="78" t="str">
        <f>IF(BD1363=0,"",IF(BA1363&gt;0,"⚠ Se superpone con un registro de la otra empresa",IF(D1363="Malcolm",IF(COUNTA(R1363,S1363,T1363)&gt;0,"Estado/fechas proMX se ignoran en Malcolm",""),IF(BF1363="Cancelled","Cancelado: excluido de totales",IF(R1363="","Sin estado: se trata como Draft",IF(BF1363="Submitted",IF(ISNUMBER(V1363),IF(V1363&gt;CFG_MAXD,"⚠ "&amp;V1363&amp;" días en Submitted (máx. "&amp;CFG_MAXD&amp;")",""),"Falta fecha de envío"),IF(BF1363="Returned","⚠ Devuelto: corregir y reenviar",IF(BF1363="Recall Requested","Retirada solicitada: pendiente",IF(AND(BF1363="Approved",NOT(ISNUMBER(T1363))),"Falta fecha de aprobación",IF(AND(ISNUMBER(S1363),ISNUMBER(T1363),T1363&lt;S1363),"Aprobación anterior al envío","")))))))))</f>
        <v/>
      </c>
      <c r="Y1363" s="80">
        <f>IF(COUNTA(B1363,D1363,E1363,F1363,G1363,H1363,I1363,J1363,R1363,S1363,T1363)&gt;0,1,0)</f>
        <v>0</v>
      </c>
      <c r="Z1363" s="80" t="str">
        <f>IF(AND(ISNUMBER(H1363),H1363&gt;=0,H1363&lt;1),ROUND(H1363*1440,0),"")</f>
        <v/>
      </c>
      <c r="AA1363" s="80" t="str">
        <f>IF(AND(ISNUMBER(I1363),I1363&gt;=0,I1363&lt;1),ROUND(I1363*1440,0),"")</f>
        <v/>
      </c>
      <c r="AB1363" s="80">
        <f>IF(AND(ISNUMBER(B1363),D1363&lt;&gt;"",ISNUMBER(Z1363),ISNUMBER(AA1363)),IF(Z1363=AA1363,0,1),0)</f>
        <v>0</v>
      </c>
      <c r="AC1363" s="80">
        <f>IF(AB1363=1,IF(AA1363&lt;Z1363,1,0),0)</f>
        <v>0</v>
      </c>
      <c r="AD1363" s="80">
        <f>IF(AB1363=1,IF(AC1363=1,1440-Z1363+AA1363,AA1363-Z1363),0)</f>
        <v>0</v>
      </c>
      <c r="AE1363" s="80">
        <f>IF(J1363="",0,IF(ISNUMBER(J1363),J1363,-1))</f>
        <v>0</v>
      </c>
      <c r="AF1363" s="80">
        <f>MIN(MAX(0,AE1363),AD1363)</f>
        <v>0</v>
      </c>
      <c r="AG1363" s="80">
        <f>MAX(0,AD1363-MAX(0,AE1363))</f>
        <v>0</v>
      </c>
      <c r="AH1363" s="80">
        <f>IF(ISNUMBER(B1363),IF(AND(INDEX(CFG_WDAYS,WEEKDAY(INT(B1363),2))="Sí",IF(D1363="proMX",COUNTIFS(FER_F,INT(B1363),FER_NLP,"Sí"),COUNTIFS(FER_F,INT(B1363),FER_NLM,"Sí"))=0),1,0),0)</f>
        <v>0</v>
      </c>
      <c r="AI1363" s="80">
        <f>IF(AC1363=1,IF(AND(INDEX(CFG_WDAYS,WEEKDAY(INT(B1363)+1,2))="Sí",IF(D1363="proMX",COUNTIFS(FER_F,INT(B1363)+1,FER_NLP,"Sí"),COUNTIFS(FER_F,INT(B1363)+1,FER_NLM,"Sí"))=0),1,0),0)</f>
        <v>0</v>
      </c>
      <c r="AJ1363" s="80">
        <f>IF(AC1363=1,1440-Z1363,AD1363)</f>
        <v>0</v>
      </c>
      <c r="AK1363" s="80">
        <f>IF(AND(AB1363=1,AH1363=1),MAX(0,MIN(IF(AC1363=1,1440,AA1363),CFG_WEM)-MAX(Z1363,CFG_WSM)),0)</f>
        <v>0</v>
      </c>
      <c r="AL1363" s="80">
        <f>IF(AND(AC1363=1,AI1363=1),MAX(0,MIN(AA1363,CFG_WEM)-CFG_WSM),0)</f>
        <v>0</v>
      </c>
      <c r="AM1363" s="80">
        <f>AK1363+AL1363</f>
        <v>0</v>
      </c>
      <c r="AN1363" s="80">
        <f>IF(CFG_BRK="Proporcional",IF(AD1363=0,0,AF1363*AM1363/AD1363),IF(CFG_BRK="Extras primero",MIN(AM1363,MAX(0,AF1363-(AD1363-AM1363))),MIN(AF1363,AM1363)))</f>
        <v>0</v>
      </c>
      <c r="AO1363" s="80">
        <f>AF1363-AN1363</f>
        <v>0</v>
      </c>
      <c r="AP1363" s="80">
        <f>AM1363-AN1363</f>
        <v>0</v>
      </c>
      <c r="AQ1363" s="80">
        <f>AD1363-AM1363-AO1363</f>
        <v>0</v>
      </c>
      <c r="AR1363" s="80">
        <f>IF(AM1363=0,0,AK1363-AN1363*AK1363/AM1363)</f>
        <v>0</v>
      </c>
      <c r="AS1363" s="80">
        <f>IF(AD1363-AM1363=0,0,(AJ1363-AK1363)-AO1363*(AJ1363-AK1363)/(AD1363-AM1363))</f>
        <v>0</v>
      </c>
      <c r="AT1363" s="80" t="str">
        <f>IF(AC1363=1,INT(B1363)+1,"")</f>
        <v/>
      </c>
      <c r="AU1363" s="80">
        <f>IF(AND(D1363="proMX",R1363="Cancelled"),0,1)</f>
        <v>1</v>
      </c>
      <c r="AV1363" s="80">
        <f>IF(AND(AB1363=1,AU1363=1),IF(COUNTIFS($D$5:D1362,D1363,$B$5:B1362,B1363,$Z$5:Z1362,Z1363,$AA$5:AA1362,AA1363,$F$5:F1362,F1363&amp;"",$AU$5:AU1362,1)&gt;0,1,0),0)</f>
        <v>0</v>
      </c>
      <c r="AW1363" s="80" t="str">
        <f>IF(AB1363=1,INT(B1363)*1440+Z1363,"")</f>
        <v/>
      </c>
      <c r="AX1363" s="80" t="str">
        <f>IF(AB1363=1,AW1363+AD1363,"")</f>
        <v/>
      </c>
      <c r="AY1363" s="80">
        <f>IF(AND(AB1363=1,AV1363=0,AU1363=1),1,0)</f>
        <v>0</v>
      </c>
      <c r="AZ1363" s="80">
        <f>IF(AY1363=1,COUNTIFS(R_Emp,D1363,R_SAbs,"&lt;"&amp;AX1363,R_EAbs,"&gt;"&amp;AW1363,R_OKey,1)-1,0)</f>
        <v>0</v>
      </c>
      <c r="BA1363" s="80">
        <f>IF(AY1363=1,COUNTIFS(R_Emp,"&lt;&gt;"&amp;D1363,R_SAbs,"&lt;"&amp;AX1363,R_EAbs,"&gt;"&amp;AW1363,R_OKey,1),0)</f>
        <v>0</v>
      </c>
      <c r="BB1363" s="80">
        <f>IF(AND(AB1363=1,D1363="proMX"),IF(AND(MOD(Z1363,CFG_BLK)=0,MOD(AA1363,CFG_BLK)=0,MOD(AG1363,CFG_BLK)=0,AG1363&gt;0),1,0),1)</f>
        <v>1</v>
      </c>
      <c r="BC1363" s="80" t="str">
        <f>IF(Y1363=0,"",IF(NOT(ISNUMBER(B1363)),"Falta fecha o fecha inválida",IF(D1363="","Falta empresa",IF(AND(D1363&lt;&gt;"Malcolm",D1363&lt;&gt;"proMX"),"Empresa inválida",IF(OR(INT(B1363)&lt;CFG_PSTART,INT(B1363)&gt;CFG_PEND),"Fecha fuera del período",IF(OR(NOT(ISNUMBER(Z1363)),NOT(ISNUMBER(AA1363))),"Falta hora inicio/fin o formato inválido",IF(AB1363=0,"Hora inicio = hora fin",IF(AE1363&lt;0,"Descanso inválido",IF(AE1363&gt;=AD1363,"Descanso ≥ duración",IF(AV1363=1,"Registro duplicado",IF(AZ1363&gt;0,"Se superpone con otro registro "&amp;D1363,IF(BB1363=0,"inicio, fin y duración neta deben ser múltiplos de "&amp;CFG_BLK&amp;" min",""))))))))))))</f>
        <v/>
      </c>
      <c r="BD1363" s="80">
        <f>IF(AND(Y1363=1,BC1363=""),1,0)</f>
        <v>0</v>
      </c>
      <c r="BE1363" s="80">
        <f>IF(AND(BD1363=1,AU1363=1),1,0)</f>
        <v>0</v>
      </c>
      <c r="BF1363" s="80" t="str">
        <f>IF(AND(D1363="proMX",BD1363=1),IF(R1363="","Draft",R1363),"")</f>
        <v/>
      </c>
      <c r="BG1363" s="80">
        <f>IF(BD1363=1,ROUND(AG1363/60,6),0)</f>
        <v>0</v>
      </c>
      <c r="BH1363" s="80">
        <f>IF(BE1363=1,ROUND(AG1363/60,6),0)</f>
        <v>0</v>
      </c>
      <c r="BI1363" s="80">
        <f>IF(BE1363=1,ROUND(AP1363/60,6),0)</f>
        <v>0</v>
      </c>
      <c r="BJ1363" s="80">
        <f>IF(BE1363=1,ROUND(AQ1363/60,6),0)</f>
        <v>0</v>
      </c>
      <c r="BK1363" s="80">
        <f>IF(BE1363=1,ROUND((AR1363+AS1363)/60,6),0)</f>
        <v>0</v>
      </c>
      <c r="BL1363" s="80">
        <f>ROUND(BH1363-BK1363,6)</f>
        <v>0</v>
      </c>
      <c r="BM1363" s="80">
        <f>IF(BE1363=1,ROUND(AR1363/60,6),0)</f>
        <v>0</v>
      </c>
      <c r="BN1363" s="80">
        <f>ROUND(BI1363-BM1363,6)</f>
        <v>0</v>
      </c>
      <c r="BO1363" s="80">
        <f>IF(BE1363=1,ROUND(AS1363/60,6),0)</f>
        <v>0</v>
      </c>
      <c r="BP1363" s="80">
        <f>ROUND(BJ1363-BO1363,6)</f>
        <v>0</v>
      </c>
      <c r="BQ1363" s="80">
        <f>IF(BE1363=1,AW1363,0)</f>
        <v>0</v>
      </c>
      <c r="BR1363" s="80">
        <f>IF(BE1363=1,AX1363,0)</f>
        <v>0</v>
      </c>
      <c r="BS1363" s="80">
        <f>IF(AND(BE1363=1,D1363="Malcolm",BA1363&gt;0),MIN(BH1363,SUMPRODUCT((R_Emp="proMX")*(R_EN&gt;0)*((R_EN-(R_EN&gt;BR1363)*(R_EN-BR1363))&gt;(R_SN+(R_SN&lt;BQ1363)*(BQ1363-R_SN)))*((R_EN-(R_EN&gt;BR1363)*(R_EN-BR1363))-(R_SN+(R_SN&lt;BQ1363)*(BQ1363-R_SN))))/60),0)</f>
        <v>0</v>
      </c>
      <c r="BT1363" s="80">
        <f>IF(AND(BE1363=1,D1363="proMX"),ROUND(BI1363*CFG_RATE+BJ1363*CFG_OTRATE,6),0)</f>
        <v>0</v>
      </c>
      <c r="BU1363" s="80">
        <f>IF(AND(BD1363=1,D1363="proMX"),ROUND(AG1363/CFG_BLK,6),0)</f>
        <v>0</v>
      </c>
      <c r="BV1363" s="80" t="str">
        <f>IF(BF1363="Approved",IF(ISNUMBER(T1363),INT(T1363),INT(B1363)),"")</f>
        <v/>
      </c>
      <c r="BW1363" s="80">
        <f>IF(ISNUMBER(B1363),IF(DB_MON="Todos",1,IF(AND(INT(B1363)&gt;=DB_MS,INT(B1363)&lt;=DB_ME),1,0)),0)</f>
        <v>0</v>
      </c>
      <c r="BX1363" s="80">
        <f>IF(DB_PROJ="Todos",1,IF(E1363&amp;""=DB_PROJ&amp;"",1,0))</f>
        <v>1</v>
      </c>
      <c r="BY1363" s="80">
        <f>BW1363*BX1363</f>
        <v>0</v>
      </c>
      <c r="BZ1363" s="80" t="str">
        <f>IF(Y1363=1,F1363&amp;IF(AND(F1363&amp;""&lt;&gt;"",E1363&amp;""&lt;&gt;"")," · ","")&amp;E1363,"")</f>
        <v/>
      </c>
      <c r="CA1363" s="80" t="str">
        <f>IF(AND(BD1363=1,E1363&amp;""&lt;&gt;""),IF(COUNTIFS($E$5:E1362,E1363,$BD$5:BD1362,1)=0,MAX($CA$5:CA1362)+1,""),"")</f>
        <v/>
      </c>
      <c r="CB1363" s="80" t="str">
        <f>IF(AND(BE1363=1,D1363="Malcolm",E1363&amp;""&lt;&gt;""),IF(COUNTIFS($D$5:D1362,"Malcolm",$E$5:E1362,E1363,$BE$5:BE1362,1)=0,MAX($CB$5:CB1362)+1,""),"")</f>
        <v/>
      </c>
      <c r="CC1363" s="80" t="str">
        <f>IF(AND(BD1363=1,D1363="proMX",E1363&amp;""&lt;&gt;""),IF(COUNTIFS($D$5:D1362,"proMX",$E$5:E1362,E1363,$BD$5:BD1362,1)=0,MAX($CC$5:CC1362)+1,""),"")</f>
        <v/>
      </c>
      <c r="CD1363" s="80" t="str">
        <f>IF(AND(BE1363=1,D1363="Malcolm",F1363&amp;""&lt;&gt;""),IF(COUNTIFS($D$5:D1362,"Malcolm",$F$5:F1362,F1363,$BE$5:BE1362,1)=0,MAX($CD$5:CD1362)+1,""),"")</f>
        <v/>
      </c>
      <c r="CE1363" s="80" t="str">
        <f>IF(AND(BD1363=1,D1363="proMX",F1363&amp;""&lt;&gt;""),IF(COUNTIFS($D$5:D1362,"proMX",$F$5:F1362,F1363,$BD$5:BD1362,1)=0,MAX($CE$5:CE1362)+1,""),"")</f>
        <v/>
      </c>
      <c r="CF1363" s="80" t="str">
        <f>IF(AND(D1363="proMX",BD1363=1),IF(OR(BF1363="Draft",BF1363="Submitted",BF1363="Returned",BF1363="Recall Requested"),MAX($CF$5:CF1362)+1,""),"")</f>
        <v/>
      </c>
      <c r="CG1363" s="80">
        <f>IF(BD1363=0,0,IF(D1363="Malcolm",1,MATCH(BF1363,{"Draft","Submitted","Approved","Returned","Recall Requested","Cancelled"},0)+1))</f>
        <v>0</v>
      </c>
      <c r="CH1363" s="80">
        <f>IF(AND(BF1363="Submitted",ISNUMBER(V1363)),IF(V1363&gt;CFG_MAXD,1,0),0)</f>
        <v>0</v>
      </c>
    </row>
    <row r="1364">
      <c r="A1364" s="71" t="str">
        <f>IF(Y1364=1,ROW()-5,"")</f>
        <v/>
      </c>
      <c r="B1364" s="72" t="n"/>
      <c r="C1364" s="71" t="str">
        <f>IF(ISNUMBER(B1364),CHOOSE(WEEKDAY(B1364,2),"Lun","Mar","Mié","Jue","Vie","Sáb","Dom"),"")</f>
        <v/>
      </c>
      <c r="D1364" s="73" t="n"/>
      <c r="E1364" s="74" t="n"/>
      <c r="F1364" s="74" t="n"/>
      <c r="G1364" s="74" t="n"/>
      <c r="H1364" s="75" t="n"/>
      <c r="I1364" s="75" t="n"/>
      <c r="J1364" s="76" t="n"/>
      <c r="K1364" s="77" t="str">
        <f>IF(AB1364=1,ROUND(AG1364/60,4),"")</f>
        <v/>
      </c>
      <c r="L1364" s="77" t="str">
        <f>IF(BD1364=1,ROUND(AP1364/60,4),"")</f>
        <v/>
      </c>
      <c r="M1364" s="77" t="str">
        <f>IF(BD1364=1,ROUND(AQ1364/60,4),"")</f>
        <v/>
      </c>
      <c r="N1364" s="71" t="str">
        <f>IF(AND(D1364="proMX",AB1364=1),ROUND(AG1364/CFG_BLK,2),"")</f>
        <v/>
      </c>
      <c r="O1364" s="77" t="str">
        <f>IF(D1364="proMX",IF(BD1364=1,ROUND(AG1364/60,4),0),"")</f>
        <v/>
      </c>
      <c r="P1364" s="78" t="str">
        <f>IF(Y1364=0,"",IF(BD1364=1,"OK",IF(D1364="proMX","Revisar bloques: ","Revisar: ")&amp;BC1364))</f>
        <v/>
      </c>
      <c r="Q1364" s="78" t="str">
        <f>IF(NOT(ISNUMBER(B1364)),"",IF(COUNTIFS(FER_F,INT(B1364))&gt;0,"Feriado"&amp;IF(AH1364=1," (laborable)"," (no laborable)"),IF(AH1364=1,"Laborable",IF(WEEKDAY(B1364,2)&gt;5,"Fin de semana","No laborable"))))</f>
        <v/>
      </c>
      <c r="R1364" s="73" t="n"/>
      <c r="S1364" s="72" t="n"/>
      <c r="T1364" s="72" t="n"/>
      <c r="U1364" s="74" t="n"/>
      <c r="V1364" s="79" t="str">
        <f>IF(AND(D1364="proMX",OR(R1364="Submitted",R1364="Recall Requested"),ISNUMBER(S1364)),CFG_TODAY-INT(S1364),"")</f>
        <v/>
      </c>
      <c r="W1364" s="78" t="str">
        <f>IF(BD1364=0,"",IF(BA1364&gt;0,"⚠ Se superpone con un registro de la otra empresa",IF(D1364="Malcolm",IF(COUNTA(R1364,S1364,T1364)&gt;0,"Estado/fechas proMX se ignoran en Malcolm",""),IF(BF1364="Cancelled","Cancelado: excluido de totales",IF(R1364="","Sin estado: se trata como Draft",IF(BF1364="Submitted",IF(ISNUMBER(V1364),IF(V1364&gt;CFG_MAXD,"⚠ "&amp;V1364&amp;" días en Submitted (máx. "&amp;CFG_MAXD&amp;")",""),"Falta fecha de envío"),IF(BF1364="Returned","⚠ Devuelto: corregir y reenviar",IF(BF1364="Recall Requested","Retirada solicitada: pendiente",IF(AND(BF1364="Approved",NOT(ISNUMBER(T1364))),"Falta fecha de aprobación",IF(AND(ISNUMBER(S1364),ISNUMBER(T1364),T1364&lt;S1364),"Aprobación anterior al envío","")))))))))</f>
        <v/>
      </c>
      <c r="Y1364" s="80">
        <f>IF(COUNTA(B1364,D1364,E1364,F1364,G1364,H1364,I1364,J1364,R1364,S1364,T1364)&gt;0,1,0)</f>
        <v>0</v>
      </c>
      <c r="Z1364" s="80" t="str">
        <f>IF(AND(ISNUMBER(H1364),H1364&gt;=0,H1364&lt;1),ROUND(H1364*1440,0),"")</f>
        <v/>
      </c>
      <c r="AA1364" s="80" t="str">
        <f>IF(AND(ISNUMBER(I1364),I1364&gt;=0,I1364&lt;1),ROUND(I1364*1440,0),"")</f>
        <v/>
      </c>
      <c r="AB1364" s="80">
        <f>IF(AND(ISNUMBER(B1364),D1364&lt;&gt;"",ISNUMBER(Z1364),ISNUMBER(AA1364)),IF(Z1364=AA1364,0,1),0)</f>
        <v>0</v>
      </c>
      <c r="AC1364" s="80">
        <f>IF(AB1364=1,IF(AA1364&lt;Z1364,1,0),0)</f>
        <v>0</v>
      </c>
      <c r="AD1364" s="80">
        <f>IF(AB1364=1,IF(AC1364=1,1440-Z1364+AA1364,AA1364-Z1364),0)</f>
        <v>0</v>
      </c>
      <c r="AE1364" s="80">
        <f>IF(J1364="",0,IF(ISNUMBER(J1364),J1364,-1))</f>
        <v>0</v>
      </c>
      <c r="AF1364" s="80">
        <f>MIN(MAX(0,AE1364),AD1364)</f>
        <v>0</v>
      </c>
      <c r="AG1364" s="80">
        <f>MAX(0,AD1364-MAX(0,AE1364))</f>
        <v>0</v>
      </c>
      <c r="AH1364" s="80">
        <f>IF(ISNUMBER(B1364),IF(AND(INDEX(CFG_WDAYS,WEEKDAY(INT(B1364),2))="Sí",IF(D1364="proMX",COUNTIFS(FER_F,INT(B1364),FER_NLP,"Sí"),COUNTIFS(FER_F,INT(B1364),FER_NLM,"Sí"))=0),1,0),0)</f>
        <v>0</v>
      </c>
      <c r="AI1364" s="80">
        <f>IF(AC1364=1,IF(AND(INDEX(CFG_WDAYS,WEEKDAY(INT(B1364)+1,2))="Sí",IF(D1364="proMX",COUNTIFS(FER_F,INT(B1364)+1,FER_NLP,"Sí"),COUNTIFS(FER_F,INT(B1364)+1,FER_NLM,"Sí"))=0),1,0),0)</f>
        <v>0</v>
      </c>
      <c r="AJ1364" s="80">
        <f>IF(AC1364=1,1440-Z1364,AD1364)</f>
        <v>0</v>
      </c>
      <c r="AK1364" s="80">
        <f>IF(AND(AB1364=1,AH1364=1),MAX(0,MIN(IF(AC1364=1,1440,AA1364),CFG_WEM)-MAX(Z1364,CFG_WSM)),0)</f>
        <v>0</v>
      </c>
      <c r="AL1364" s="80">
        <f>IF(AND(AC1364=1,AI1364=1),MAX(0,MIN(AA1364,CFG_WEM)-CFG_WSM),0)</f>
        <v>0</v>
      </c>
      <c r="AM1364" s="80">
        <f>AK1364+AL1364</f>
        <v>0</v>
      </c>
      <c r="AN1364" s="80">
        <f>IF(CFG_BRK="Proporcional",IF(AD1364=0,0,AF1364*AM1364/AD1364),IF(CFG_BRK="Extras primero",MIN(AM1364,MAX(0,AF1364-(AD1364-AM1364))),MIN(AF1364,AM1364)))</f>
        <v>0</v>
      </c>
      <c r="AO1364" s="80">
        <f>AF1364-AN1364</f>
        <v>0</v>
      </c>
      <c r="AP1364" s="80">
        <f>AM1364-AN1364</f>
        <v>0</v>
      </c>
      <c r="AQ1364" s="80">
        <f>AD1364-AM1364-AO1364</f>
        <v>0</v>
      </c>
      <c r="AR1364" s="80">
        <f>IF(AM1364=0,0,AK1364-AN1364*AK1364/AM1364)</f>
        <v>0</v>
      </c>
      <c r="AS1364" s="80">
        <f>IF(AD1364-AM1364=0,0,(AJ1364-AK1364)-AO1364*(AJ1364-AK1364)/(AD1364-AM1364))</f>
        <v>0</v>
      </c>
      <c r="AT1364" s="80" t="str">
        <f>IF(AC1364=1,INT(B1364)+1,"")</f>
        <v/>
      </c>
      <c r="AU1364" s="80">
        <f>IF(AND(D1364="proMX",R1364="Cancelled"),0,1)</f>
        <v>1</v>
      </c>
      <c r="AV1364" s="80">
        <f>IF(AND(AB1364=1,AU1364=1),IF(COUNTIFS($D$5:D1363,D1364,$B$5:B1363,B1364,$Z$5:Z1363,Z1364,$AA$5:AA1363,AA1364,$F$5:F1363,F1364&amp;"",$AU$5:AU1363,1)&gt;0,1,0),0)</f>
        <v>0</v>
      </c>
      <c r="AW1364" s="80" t="str">
        <f>IF(AB1364=1,INT(B1364)*1440+Z1364,"")</f>
        <v/>
      </c>
      <c r="AX1364" s="80" t="str">
        <f>IF(AB1364=1,AW1364+AD1364,"")</f>
        <v/>
      </c>
      <c r="AY1364" s="80">
        <f>IF(AND(AB1364=1,AV1364=0,AU1364=1),1,0)</f>
        <v>0</v>
      </c>
      <c r="AZ1364" s="80">
        <f>IF(AY1364=1,COUNTIFS(R_Emp,D1364,R_SAbs,"&lt;"&amp;AX1364,R_EAbs,"&gt;"&amp;AW1364,R_OKey,1)-1,0)</f>
        <v>0</v>
      </c>
      <c r="BA1364" s="80">
        <f>IF(AY1364=1,COUNTIFS(R_Emp,"&lt;&gt;"&amp;D1364,R_SAbs,"&lt;"&amp;AX1364,R_EAbs,"&gt;"&amp;AW1364,R_OKey,1),0)</f>
        <v>0</v>
      </c>
      <c r="BB1364" s="80">
        <f>IF(AND(AB1364=1,D1364="proMX"),IF(AND(MOD(Z1364,CFG_BLK)=0,MOD(AA1364,CFG_BLK)=0,MOD(AG1364,CFG_BLK)=0,AG1364&gt;0),1,0),1)</f>
        <v>1</v>
      </c>
      <c r="BC1364" s="80" t="str">
        <f>IF(Y1364=0,"",IF(NOT(ISNUMBER(B1364)),"Falta fecha o fecha inválida",IF(D1364="","Falta empresa",IF(AND(D1364&lt;&gt;"Malcolm",D1364&lt;&gt;"proMX"),"Empresa inválida",IF(OR(INT(B1364)&lt;CFG_PSTART,INT(B1364)&gt;CFG_PEND),"Fecha fuera del período",IF(OR(NOT(ISNUMBER(Z1364)),NOT(ISNUMBER(AA1364))),"Falta hora inicio/fin o formato inválido",IF(AB1364=0,"Hora inicio = hora fin",IF(AE1364&lt;0,"Descanso inválido",IF(AE1364&gt;=AD1364,"Descanso ≥ duración",IF(AV1364=1,"Registro duplicado",IF(AZ1364&gt;0,"Se superpone con otro registro "&amp;D1364,IF(BB1364=0,"inicio, fin y duración neta deben ser múltiplos de "&amp;CFG_BLK&amp;" min",""))))))))))))</f>
        <v/>
      </c>
      <c r="BD1364" s="80">
        <f>IF(AND(Y1364=1,BC1364=""),1,0)</f>
        <v>0</v>
      </c>
      <c r="BE1364" s="80">
        <f>IF(AND(BD1364=1,AU1364=1),1,0)</f>
        <v>0</v>
      </c>
      <c r="BF1364" s="80" t="str">
        <f>IF(AND(D1364="proMX",BD1364=1),IF(R1364="","Draft",R1364),"")</f>
        <v/>
      </c>
      <c r="BG1364" s="80">
        <f>IF(BD1364=1,ROUND(AG1364/60,6),0)</f>
        <v>0</v>
      </c>
      <c r="BH1364" s="80">
        <f>IF(BE1364=1,ROUND(AG1364/60,6),0)</f>
        <v>0</v>
      </c>
      <c r="BI1364" s="80">
        <f>IF(BE1364=1,ROUND(AP1364/60,6),0)</f>
        <v>0</v>
      </c>
      <c r="BJ1364" s="80">
        <f>IF(BE1364=1,ROUND(AQ1364/60,6),0)</f>
        <v>0</v>
      </c>
      <c r="BK1364" s="80">
        <f>IF(BE1364=1,ROUND((AR1364+AS1364)/60,6),0)</f>
        <v>0</v>
      </c>
      <c r="BL1364" s="80">
        <f>ROUND(BH1364-BK1364,6)</f>
        <v>0</v>
      </c>
      <c r="BM1364" s="80">
        <f>IF(BE1364=1,ROUND(AR1364/60,6),0)</f>
        <v>0</v>
      </c>
      <c r="BN1364" s="80">
        <f>ROUND(BI1364-BM1364,6)</f>
        <v>0</v>
      </c>
      <c r="BO1364" s="80">
        <f>IF(BE1364=1,ROUND(AS1364/60,6),0)</f>
        <v>0</v>
      </c>
      <c r="BP1364" s="80">
        <f>ROUND(BJ1364-BO1364,6)</f>
        <v>0</v>
      </c>
      <c r="BQ1364" s="80">
        <f>IF(BE1364=1,AW1364,0)</f>
        <v>0</v>
      </c>
      <c r="BR1364" s="80">
        <f>IF(BE1364=1,AX1364,0)</f>
        <v>0</v>
      </c>
      <c r="BS1364" s="80">
        <f>IF(AND(BE1364=1,D1364="Malcolm",BA1364&gt;0),MIN(BH1364,SUMPRODUCT((R_Emp="proMX")*(R_EN&gt;0)*((R_EN-(R_EN&gt;BR1364)*(R_EN-BR1364))&gt;(R_SN+(R_SN&lt;BQ1364)*(BQ1364-R_SN)))*((R_EN-(R_EN&gt;BR1364)*(R_EN-BR1364))-(R_SN+(R_SN&lt;BQ1364)*(BQ1364-R_SN))))/60),0)</f>
        <v>0</v>
      </c>
      <c r="BT1364" s="80">
        <f>IF(AND(BE1364=1,D1364="proMX"),ROUND(BI1364*CFG_RATE+BJ1364*CFG_OTRATE,6),0)</f>
        <v>0</v>
      </c>
      <c r="BU1364" s="80">
        <f>IF(AND(BD1364=1,D1364="proMX"),ROUND(AG1364/CFG_BLK,6),0)</f>
        <v>0</v>
      </c>
      <c r="BV1364" s="80" t="str">
        <f>IF(BF1364="Approved",IF(ISNUMBER(T1364),INT(T1364),INT(B1364)),"")</f>
        <v/>
      </c>
      <c r="BW1364" s="80">
        <f>IF(ISNUMBER(B1364),IF(DB_MON="Todos",1,IF(AND(INT(B1364)&gt;=DB_MS,INT(B1364)&lt;=DB_ME),1,0)),0)</f>
        <v>0</v>
      </c>
      <c r="BX1364" s="80">
        <f>IF(DB_PROJ="Todos",1,IF(E1364&amp;""=DB_PROJ&amp;"",1,0))</f>
        <v>1</v>
      </c>
      <c r="BY1364" s="80">
        <f>BW1364*BX1364</f>
        <v>0</v>
      </c>
      <c r="BZ1364" s="80" t="str">
        <f>IF(Y1364=1,F1364&amp;IF(AND(F1364&amp;""&lt;&gt;"",E1364&amp;""&lt;&gt;"")," · ","")&amp;E1364,"")</f>
        <v/>
      </c>
      <c r="CA1364" s="80" t="str">
        <f>IF(AND(BD1364=1,E1364&amp;""&lt;&gt;""),IF(COUNTIFS($E$5:E1363,E1364,$BD$5:BD1363,1)=0,MAX($CA$5:CA1363)+1,""),"")</f>
        <v/>
      </c>
      <c r="CB1364" s="80" t="str">
        <f>IF(AND(BE1364=1,D1364="Malcolm",E1364&amp;""&lt;&gt;""),IF(COUNTIFS($D$5:D1363,"Malcolm",$E$5:E1363,E1364,$BE$5:BE1363,1)=0,MAX($CB$5:CB1363)+1,""),"")</f>
        <v/>
      </c>
      <c r="CC1364" s="80" t="str">
        <f>IF(AND(BD1364=1,D1364="proMX",E1364&amp;""&lt;&gt;""),IF(COUNTIFS($D$5:D1363,"proMX",$E$5:E1363,E1364,$BD$5:BD1363,1)=0,MAX($CC$5:CC1363)+1,""),"")</f>
        <v/>
      </c>
      <c r="CD1364" s="80" t="str">
        <f>IF(AND(BE1364=1,D1364="Malcolm",F1364&amp;""&lt;&gt;""),IF(COUNTIFS($D$5:D1363,"Malcolm",$F$5:F1363,F1364,$BE$5:BE1363,1)=0,MAX($CD$5:CD1363)+1,""),"")</f>
        <v/>
      </c>
      <c r="CE1364" s="80" t="str">
        <f>IF(AND(BD1364=1,D1364="proMX",F1364&amp;""&lt;&gt;""),IF(COUNTIFS($D$5:D1363,"proMX",$F$5:F1363,F1364,$BD$5:BD1363,1)=0,MAX($CE$5:CE1363)+1,""),"")</f>
        <v/>
      </c>
      <c r="CF1364" s="80" t="str">
        <f>IF(AND(D1364="proMX",BD1364=1),IF(OR(BF1364="Draft",BF1364="Submitted",BF1364="Returned",BF1364="Recall Requested"),MAX($CF$5:CF1363)+1,""),"")</f>
        <v/>
      </c>
      <c r="CG1364" s="80">
        <f>IF(BD1364=0,0,IF(D1364="Malcolm",1,MATCH(BF1364,{"Draft","Submitted","Approved","Returned","Recall Requested","Cancelled"},0)+1))</f>
        <v>0</v>
      </c>
      <c r="CH1364" s="80">
        <f>IF(AND(BF1364="Submitted",ISNUMBER(V1364)),IF(V1364&gt;CFG_MAXD,1,0),0)</f>
        <v>0</v>
      </c>
    </row>
    <row r="1365">
      <c r="A1365" s="71" t="str">
        <f>IF(Y1365=1,ROW()-5,"")</f>
        <v/>
      </c>
      <c r="B1365" s="72" t="n"/>
      <c r="C1365" s="71" t="str">
        <f>IF(ISNUMBER(B1365),CHOOSE(WEEKDAY(B1365,2),"Lun","Mar","Mié","Jue","Vie","Sáb","Dom"),"")</f>
        <v/>
      </c>
      <c r="D1365" s="73" t="n"/>
      <c r="E1365" s="74" t="n"/>
      <c r="F1365" s="74" t="n"/>
      <c r="G1365" s="74" t="n"/>
      <c r="H1365" s="75" t="n"/>
      <c r="I1365" s="75" t="n"/>
      <c r="J1365" s="76" t="n"/>
      <c r="K1365" s="77" t="str">
        <f>IF(AB1365=1,ROUND(AG1365/60,4),"")</f>
        <v/>
      </c>
      <c r="L1365" s="77" t="str">
        <f>IF(BD1365=1,ROUND(AP1365/60,4),"")</f>
        <v/>
      </c>
      <c r="M1365" s="77" t="str">
        <f>IF(BD1365=1,ROUND(AQ1365/60,4),"")</f>
        <v/>
      </c>
      <c r="N1365" s="71" t="str">
        <f>IF(AND(D1365="proMX",AB1365=1),ROUND(AG1365/CFG_BLK,2),"")</f>
        <v/>
      </c>
      <c r="O1365" s="77" t="str">
        <f>IF(D1365="proMX",IF(BD1365=1,ROUND(AG1365/60,4),0),"")</f>
        <v/>
      </c>
      <c r="P1365" s="78" t="str">
        <f>IF(Y1365=0,"",IF(BD1365=1,"OK",IF(D1365="proMX","Revisar bloques: ","Revisar: ")&amp;BC1365))</f>
        <v/>
      </c>
      <c r="Q1365" s="78" t="str">
        <f>IF(NOT(ISNUMBER(B1365)),"",IF(COUNTIFS(FER_F,INT(B1365))&gt;0,"Feriado"&amp;IF(AH1365=1," (laborable)"," (no laborable)"),IF(AH1365=1,"Laborable",IF(WEEKDAY(B1365,2)&gt;5,"Fin de semana","No laborable"))))</f>
        <v/>
      </c>
      <c r="R1365" s="73" t="n"/>
      <c r="S1365" s="72" t="n"/>
      <c r="T1365" s="72" t="n"/>
      <c r="U1365" s="74" t="n"/>
      <c r="V1365" s="79" t="str">
        <f>IF(AND(D1365="proMX",OR(R1365="Submitted",R1365="Recall Requested"),ISNUMBER(S1365)),CFG_TODAY-INT(S1365),"")</f>
        <v/>
      </c>
      <c r="W1365" s="78" t="str">
        <f>IF(BD1365=0,"",IF(BA1365&gt;0,"⚠ Se superpone con un registro de la otra empresa",IF(D1365="Malcolm",IF(COUNTA(R1365,S1365,T1365)&gt;0,"Estado/fechas proMX se ignoran en Malcolm",""),IF(BF1365="Cancelled","Cancelado: excluido de totales",IF(R1365="","Sin estado: se trata como Draft",IF(BF1365="Submitted",IF(ISNUMBER(V1365),IF(V1365&gt;CFG_MAXD,"⚠ "&amp;V1365&amp;" días en Submitted (máx. "&amp;CFG_MAXD&amp;")",""),"Falta fecha de envío"),IF(BF1365="Returned","⚠ Devuelto: corregir y reenviar",IF(BF1365="Recall Requested","Retirada solicitada: pendiente",IF(AND(BF1365="Approved",NOT(ISNUMBER(T1365))),"Falta fecha de aprobación",IF(AND(ISNUMBER(S1365),ISNUMBER(T1365),T1365&lt;S1365),"Aprobación anterior al envío","")))))))))</f>
        <v/>
      </c>
      <c r="Y1365" s="80">
        <f>IF(COUNTA(B1365,D1365,E1365,F1365,G1365,H1365,I1365,J1365,R1365,S1365,T1365)&gt;0,1,0)</f>
        <v>0</v>
      </c>
      <c r="Z1365" s="80" t="str">
        <f>IF(AND(ISNUMBER(H1365),H1365&gt;=0,H1365&lt;1),ROUND(H1365*1440,0),"")</f>
        <v/>
      </c>
      <c r="AA1365" s="80" t="str">
        <f>IF(AND(ISNUMBER(I1365),I1365&gt;=0,I1365&lt;1),ROUND(I1365*1440,0),"")</f>
        <v/>
      </c>
      <c r="AB1365" s="80">
        <f>IF(AND(ISNUMBER(B1365),D1365&lt;&gt;"",ISNUMBER(Z1365),ISNUMBER(AA1365)),IF(Z1365=AA1365,0,1),0)</f>
        <v>0</v>
      </c>
      <c r="AC1365" s="80">
        <f>IF(AB1365=1,IF(AA1365&lt;Z1365,1,0),0)</f>
        <v>0</v>
      </c>
      <c r="AD1365" s="80">
        <f>IF(AB1365=1,IF(AC1365=1,1440-Z1365+AA1365,AA1365-Z1365),0)</f>
        <v>0</v>
      </c>
      <c r="AE1365" s="80">
        <f>IF(J1365="",0,IF(ISNUMBER(J1365),J1365,-1))</f>
        <v>0</v>
      </c>
      <c r="AF1365" s="80">
        <f>MIN(MAX(0,AE1365),AD1365)</f>
        <v>0</v>
      </c>
      <c r="AG1365" s="80">
        <f>MAX(0,AD1365-MAX(0,AE1365))</f>
        <v>0</v>
      </c>
      <c r="AH1365" s="80">
        <f>IF(ISNUMBER(B1365),IF(AND(INDEX(CFG_WDAYS,WEEKDAY(INT(B1365),2))="Sí",IF(D1365="proMX",COUNTIFS(FER_F,INT(B1365),FER_NLP,"Sí"),COUNTIFS(FER_F,INT(B1365),FER_NLM,"Sí"))=0),1,0),0)</f>
        <v>0</v>
      </c>
      <c r="AI1365" s="80">
        <f>IF(AC1365=1,IF(AND(INDEX(CFG_WDAYS,WEEKDAY(INT(B1365)+1,2))="Sí",IF(D1365="proMX",COUNTIFS(FER_F,INT(B1365)+1,FER_NLP,"Sí"),COUNTIFS(FER_F,INT(B1365)+1,FER_NLM,"Sí"))=0),1,0),0)</f>
        <v>0</v>
      </c>
      <c r="AJ1365" s="80">
        <f>IF(AC1365=1,1440-Z1365,AD1365)</f>
        <v>0</v>
      </c>
      <c r="AK1365" s="80">
        <f>IF(AND(AB1365=1,AH1365=1),MAX(0,MIN(IF(AC1365=1,1440,AA1365),CFG_WEM)-MAX(Z1365,CFG_WSM)),0)</f>
        <v>0</v>
      </c>
      <c r="AL1365" s="80">
        <f>IF(AND(AC1365=1,AI1365=1),MAX(0,MIN(AA1365,CFG_WEM)-CFG_WSM),0)</f>
        <v>0</v>
      </c>
      <c r="AM1365" s="80">
        <f>AK1365+AL1365</f>
        <v>0</v>
      </c>
      <c r="AN1365" s="80">
        <f>IF(CFG_BRK="Proporcional",IF(AD1365=0,0,AF1365*AM1365/AD1365),IF(CFG_BRK="Extras primero",MIN(AM1365,MAX(0,AF1365-(AD1365-AM1365))),MIN(AF1365,AM1365)))</f>
        <v>0</v>
      </c>
      <c r="AO1365" s="80">
        <f>AF1365-AN1365</f>
        <v>0</v>
      </c>
      <c r="AP1365" s="80">
        <f>AM1365-AN1365</f>
        <v>0</v>
      </c>
      <c r="AQ1365" s="80">
        <f>AD1365-AM1365-AO1365</f>
        <v>0</v>
      </c>
      <c r="AR1365" s="80">
        <f>IF(AM1365=0,0,AK1365-AN1365*AK1365/AM1365)</f>
        <v>0</v>
      </c>
      <c r="AS1365" s="80">
        <f>IF(AD1365-AM1365=0,0,(AJ1365-AK1365)-AO1365*(AJ1365-AK1365)/(AD1365-AM1365))</f>
        <v>0</v>
      </c>
      <c r="AT1365" s="80" t="str">
        <f>IF(AC1365=1,INT(B1365)+1,"")</f>
        <v/>
      </c>
      <c r="AU1365" s="80">
        <f>IF(AND(D1365="proMX",R1365="Cancelled"),0,1)</f>
        <v>1</v>
      </c>
      <c r="AV1365" s="80">
        <f>IF(AND(AB1365=1,AU1365=1),IF(COUNTIFS($D$5:D1364,D1365,$B$5:B1364,B1365,$Z$5:Z1364,Z1365,$AA$5:AA1364,AA1365,$F$5:F1364,F1365&amp;"",$AU$5:AU1364,1)&gt;0,1,0),0)</f>
        <v>0</v>
      </c>
      <c r="AW1365" s="80" t="str">
        <f>IF(AB1365=1,INT(B1365)*1440+Z1365,"")</f>
        <v/>
      </c>
      <c r="AX1365" s="80" t="str">
        <f>IF(AB1365=1,AW1365+AD1365,"")</f>
        <v/>
      </c>
      <c r="AY1365" s="80">
        <f>IF(AND(AB1365=1,AV1365=0,AU1365=1),1,0)</f>
        <v>0</v>
      </c>
      <c r="AZ1365" s="80">
        <f>IF(AY1365=1,COUNTIFS(R_Emp,D1365,R_SAbs,"&lt;"&amp;AX1365,R_EAbs,"&gt;"&amp;AW1365,R_OKey,1)-1,0)</f>
        <v>0</v>
      </c>
      <c r="BA1365" s="80">
        <f>IF(AY1365=1,COUNTIFS(R_Emp,"&lt;&gt;"&amp;D1365,R_SAbs,"&lt;"&amp;AX1365,R_EAbs,"&gt;"&amp;AW1365,R_OKey,1),0)</f>
        <v>0</v>
      </c>
      <c r="BB1365" s="80">
        <f>IF(AND(AB1365=1,D1365="proMX"),IF(AND(MOD(Z1365,CFG_BLK)=0,MOD(AA1365,CFG_BLK)=0,MOD(AG1365,CFG_BLK)=0,AG1365&gt;0),1,0),1)</f>
        <v>1</v>
      </c>
      <c r="BC1365" s="80" t="str">
        <f>IF(Y1365=0,"",IF(NOT(ISNUMBER(B1365)),"Falta fecha o fecha inválida",IF(D1365="","Falta empresa",IF(AND(D1365&lt;&gt;"Malcolm",D1365&lt;&gt;"proMX"),"Empresa inválida",IF(OR(INT(B1365)&lt;CFG_PSTART,INT(B1365)&gt;CFG_PEND),"Fecha fuera del período",IF(OR(NOT(ISNUMBER(Z1365)),NOT(ISNUMBER(AA1365))),"Falta hora inicio/fin o formato inválido",IF(AB1365=0,"Hora inicio = hora fin",IF(AE1365&lt;0,"Descanso inválido",IF(AE1365&gt;=AD1365,"Descanso ≥ duración",IF(AV1365=1,"Registro duplicado",IF(AZ1365&gt;0,"Se superpone con otro registro "&amp;D1365,IF(BB1365=0,"inicio, fin y duración neta deben ser múltiplos de "&amp;CFG_BLK&amp;" min",""))))))))))))</f>
        <v/>
      </c>
      <c r="BD1365" s="80">
        <f>IF(AND(Y1365=1,BC1365=""),1,0)</f>
        <v>0</v>
      </c>
      <c r="BE1365" s="80">
        <f>IF(AND(BD1365=1,AU1365=1),1,0)</f>
        <v>0</v>
      </c>
      <c r="BF1365" s="80" t="str">
        <f>IF(AND(D1365="proMX",BD1365=1),IF(R1365="","Draft",R1365),"")</f>
        <v/>
      </c>
      <c r="BG1365" s="80">
        <f>IF(BD1365=1,ROUND(AG1365/60,6),0)</f>
        <v>0</v>
      </c>
      <c r="BH1365" s="80">
        <f>IF(BE1365=1,ROUND(AG1365/60,6),0)</f>
        <v>0</v>
      </c>
      <c r="BI1365" s="80">
        <f>IF(BE1365=1,ROUND(AP1365/60,6),0)</f>
        <v>0</v>
      </c>
      <c r="BJ1365" s="80">
        <f>IF(BE1365=1,ROUND(AQ1365/60,6),0)</f>
        <v>0</v>
      </c>
      <c r="BK1365" s="80">
        <f>IF(BE1365=1,ROUND((AR1365+AS1365)/60,6),0)</f>
        <v>0</v>
      </c>
      <c r="BL1365" s="80">
        <f>ROUND(BH1365-BK1365,6)</f>
        <v>0</v>
      </c>
      <c r="BM1365" s="80">
        <f>IF(BE1365=1,ROUND(AR1365/60,6),0)</f>
        <v>0</v>
      </c>
      <c r="BN1365" s="80">
        <f>ROUND(BI1365-BM1365,6)</f>
        <v>0</v>
      </c>
      <c r="BO1365" s="80">
        <f>IF(BE1365=1,ROUND(AS1365/60,6),0)</f>
        <v>0</v>
      </c>
      <c r="BP1365" s="80">
        <f>ROUND(BJ1365-BO1365,6)</f>
        <v>0</v>
      </c>
      <c r="BQ1365" s="80">
        <f>IF(BE1365=1,AW1365,0)</f>
        <v>0</v>
      </c>
      <c r="BR1365" s="80">
        <f>IF(BE1365=1,AX1365,0)</f>
        <v>0</v>
      </c>
      <c r="BS1365" s="80">
        <f>IF(AND(BE1365=1,D1365="Malcolm",BA1365&gt;0),MIN(BH1365,SUMPRODUCT((R_Emp="proMX")*(R_EN&gt;0)*((R_EN-(R_EN&gt;BR1365)*(R_EN-BR1365))&gt;(R_SN+(R_SN&lt;BQ1365)*(BQ1365-R_SN)))*((R_EN-(R_EN&gt;BR1365)*(R_EN-BR1365))-(R_SN+(R_SN&lt;BQ1365)*(BQ1365-R_SN))))/60),0)</f>
        <v>0</v>
      </c>
      <c r="BT1365" s="80">
        <f>IF(AND(BE1365=1,D1365="proMX"),ROUND(BI1365*CFG_RATE+BJ1365*CFG_OTRATE,6),0)</f>
        <v>0</v>
      </c>
      <c r="BU1365" s="80">
        <f>IF(AND(BD1365=1,D1365="proMX"),ROUND(AG1365/CFG_BLK,6),0)</f>
        <v>0</v>
      </c>
      <c r="BV1365" s="80" t="str">
        <f>IF(BF1365="Approved",IF(ISNUMBER(T1365),INT(T1365),INT(B1365)),"")</f>
        <v/>
      </c>
      <c r="BW1365" s="80">
        <f>IF(ISNUMBER(B1365),IF(DB_MON="Todos",1,IF(AND(INT(B1365)&gt;=DB_MS,INT(B1365)&lt;=DB_ME),1,0)),0)</f>
        <v>0</v>
      </c>
      <c r="BX1365" s="80">
        <f>IF(DB_PROJ="Todos",1,IF(E1365&amp;""=DB_PROJ&amp;"",1,0))</f>
        <v>1</v>
      </c>
      <c r="BY1365" s="80">
        <f>BW1365*BX1365</f>
        <v>0</v>
      </c>
      <c r="BZ1365" s="80" t="str">
        <f>IF(Y1365=1,F1365&amp;IF(AND(F1365&amp;""&lt;&gt;"",E1365&amp;""&lt;&gt;"")," · ","")&amp;E1365,"")</f>
        <v/>
      </c>
      <c r="CA1365" s="80" t="str">
        <f>IF(AND(BD1365=1,E1365&amp;""&lt;&gt;""),IF(COUNTIFS($E$5:E1364,E1365,$BD$5:BD1364,1)=0,MAX($CA$5:CA1364)+1,""),"")</f>
        <v/>
      </c>
      <c r="CB1365" s="80" t="str">
        <f>IF(AND(BE1365=1,D1365="Malcolm",E1365&amp;""&lt;&gt;""),IF(COUNTIFS($D$5:D1364,"Malcolm",$E$5:E1364,E1365,$BE$5:BE1364,1)=0,MAX($CB$5:CB1364)+1,""),"")</f>
        <v/>
      </c>
      <c r="CC1365" s="80" t="str">
        <f>IF(AND(BD1365=1,D1365="proMX",E1365&amp;""&lt;&gt;""),IF(COUNTIFS($D$5:D1364,"proMX",$E$5:E1364,E1365,$BD$5:BD1364,1)=0,MAX($CC$5:CC1364)+1,""),"")</f>
        <v/>
      </c>
      <c r="CD1365" s="80" t="str">
        <f>IF(AND(BE1365=1,D1365="Malcolm",F1365&amp;""&lt;&gt;""),IF(COUNTIFS($D$5:D1364,"Malcolm",$F$5:F1364,F1365,$BE$5:BE1364,1)=0,MAX($CD$5:CD1364)+1,""),"")</f>
        <v/>
      </c>
      <c r="CE1365" s="80" t="str">
        <f>IF(AND(BD1365=1,D1365="proMX",F1365&amp;""&lt;&gt;""),IF(COUNTIFS($D$5:D1364,"proMX",$F$5:F1364,F1365,$BD$5:BD1364,1)=0,MAX($CE$5:CE1364)+1,""),"")</f>
        <v/>
      </c>
      <c r="CF1365" s="80" t="str">
        <f>IF(AND(D1365="proMX",BD1365=1),IF(OR(BF1365="Draft",BF1365="Submitted",BF1365="Returned",BF1365="Recall Requested"),MAX($CF$5:CF1364)+1,""),"")</f>
        <v/>
      </c>
      <c r="CG1365" s="80">
        <f>IF(BD1365=0,0,IF(D1365="Malcolm",1,MATCH(BF1365,{"Draft","Submitted","Approved","Returned","Recall Requested","Cancelled"},0)+1))</f>
        <v>0</v>
      </c>
      <c r="CH1365" s="80">
        <f>IF(AND(BF1365="Submitted",ISNUMBER(V1365)),IF(V1365&gt;CFG_MAXD,1,0),0)</f>
        <v>0</v>
      </c>
    </row>
    <row r="1366">
      <c r="A1366" s="71" t="str">
        <f>IF(Y1366=1,ROW()-5,"")</f>
        <v/>
      </c>
      <c r="B1366" s="72" t="n"/>
      <c r="C1366" s="71" t="str">
        <f>IF(ISNUMBER(B1366),CHOOSE(WEEKDAY(B1366,2),"Lun","Mar","Mié","Jue","Vie","Sáb","Dom"),"")</f>
        <v/>
      </c>
      <c r="D1366" s="73" t="n"/>
      <c r="E1366" s="74" t="n"/>
      <c r="F1366" s="74" t="n"/>
      <c r="G1366" s="74" t="n"/>
      <c r="H1366" s="75" t="n"/>
      <c r="I1366" s="75" t="n"/>
      <c r="J1366" s="76" t="n"/>
      <c r="K1366" s="77" t="str">
        <f>IF(AB1366=1,ROUND(AG1366/60,4),"")</f>
        <v/>
      </c>
      <c r="L1366" s="77" t="str">
        <f>IF(BD1366=1,ROUND(AP1366/60,4),"")</f>
        <v/>
      </c>
      <c r="M1366" s="77" t="str">
        <f>IF(BD1366=1,ROUND(AQ1366/60,4),"")</f>
        <v/>
      </c>
      <c r="N1366" s="71" t="str">
        <f>IF(AND(D1366="proMX",AB1366=1),ROUND(AG1366/CFG_BLK,2),"")</f>
        <v/>
      </c>
      <c r="O1366" s="77" t="str">
        <f>IF(D1366="proMX",IF(BD1366=1,ROUND(AG1366/60,4),0),"")</f>
        <v/>
      </c>
      <c r="P1366" s="78" t="str">
        <f>IF(Y1366=0,"",IF(BD1366=1,"OK",IF(D1366="proMX","Revisar bloques: ","Revisar: ")&amp;BC1366))</f>
        <v/>
      </c>
      <c r="Q1366" s="78" t="str">
        <f>IF(NOT(ISNUMBER(B1366)),"",IF(COUNTIFS(FER_F,INT(B1366))&gt;0,"Feriado"&amp;IF(AH1366=1," (laborable)"," (no laborable)"),IF(AH1366=1,"Laborable",IF(WEEKDAY(B1366,2)&gt;5,"Fin de semana","No laborable"))))</f>
        <v/>
      </c>
      <c r="R1366" s="73" t="n"/>
      <c r="S1366" s="72" t="n"/>
      <c r="T1366" s="72" t="n"/>
      <c r="U1366" s="74" t="n"/>
      <c r="V1366" s="79" t="str">
        <f>IF(AND(D1366="proMX",OR(R1366="Submitted",R1366="Recall Requested"),ISNUMBER(S1366)),CFG_TODAY-INT(S1366),"")</f>
        <v/>
      </c>
      <c r="W1366" s="78" t="str">
        <f>IF(BD1366=0,"",IF(BA1366&gt;0,"⚠ Se superpone con un registro de la otra empresa",IF(D1366="Malcolm",IF(COUNTA(R1366,S1366,T1366)&gt;0,"Estado/fechas proMX se ignoran en Malcolm",""),IF(BF1366="Cancelled","Cancelado: excluido de totales",IF(R1366="","Sin estado: se trata como Draft",IF(BF1366="Submitted",IF(ISNUMBER(V1366),IF(V1366&gt;CFG_MAXD,"⚠ "&amp;V1366&amp;" días en Submitted (máx. "&amp;CFG_MAXD&amp;")",""),"Falta fecha de envío"),IF(BF1366="Returned","⚠ Devuelto: corregir y reenviar",IF(BF1366="Recall Requested","Retirada solicitada: pendiente",IF(AND(BF1366="Approved",NOT(ISNUMBER(T1366))),"Falta fecha de aprobación",IF(AND(ISNUMBER(S1366),ISNUMBER(T1366),T1366&lt;S1366),"Aprobación anterior al envío","")))))))))</f>
        <v/>
      </c>
      <c r="Y1366" s="80">
        <f>IF(COUNTA(B1366,D1366,E1366,F1366,G1366,H1366,I1366,J1366,R1366,S1366,T1366)&gt;0,1,0)</f>
        <v>0</v>
      </c>
      <c r="Z1366" s="80" t="str">
        <f>IF(AND(ISNUMBER(H1366),H1366&gt;=0,H1366&lt;1),ROUND(H1366*1440,0),"")</f>
        <v/>
      </c>
      <c r="AA1366" s="80" t="str">
        <f>IF(AND(ISNUMBER(I1366),I1366&gt;=0,I1366&lt;1),ROUND(I1366*1440,0),"")</f>
        <v/>
      </c>
      <c r="AB1366" s="80">
        <f>IF(AND(ISNUMBER(B1366),D1366&lt;&gt;"",ISNUMBER(Z1366),ISNUMBER(AA1366)),IF(Z1366=AA1366,0,1),0)</f>
        <v>0</v>
      </c>
      <c r="AC1366" s="80">
        <f>IF(AB1366=1,IF(AA1366&lt;Z1366,1,0),0)</f>
        <v>0</v>
      </c>
      <c r="AD1366" s="80">
        <f>IF(AB1366=1,IF(AC1366=1,1440-Z1366+AA1366,AA1366-Z1366),0)</f>
        <v>0</v>
      </c>
      <c r="AE1366" s="80">
        <f>IF(J1366="",0,IF(ISNUMBER(J1366),J1366,-1))</f>
        <v>0</v>
      </c>
      <c r="AF1366" s="80">
        <f>MIN(MAX(0,AE1366),AD1366)</f>
        <v>0</v>
      </c>
      <c r="AG1366" s="80">
        <f>MAX(0,AD1366-MAX(0,AE1366))</f>
        <v>0</v>
      </c>
      <c r="AH1366" s="80">
        <f>IF(ISNUMBER(B1366),IF(AND(INDEX(CFG_WDAYS,WEEKDAY(INT(B1366),2))="Sí",IF(D1366="proMX",COUNTIFS(FER_F,INT(B1366),FER_NLP,"Sí"),COUNTIFS(FER_F,INT(B1366),FER_NLM,"Sí"))=0),1,0),0)</f>
        <v>0</v>
      </c>
      <c r="AI1366" s="80">
        <f>IF(AC1366=1,IF(AND(INDEX(CFG_WDAYS,WEEKDAY(INT(B1366)+1,2))="Sí",IF(D1366="proMX",COUNTIFS(FER_F,INT(B1366)+1,FER_NLP,"Sí"),COUNTIFS(FER_F,INT(B1366)+1,FER_NLM,"Sí"))=0),1,0),0)</f>
        <v>0</v>
      </c>
      <c r="AJ1366" s="80">
        <f>IF(AC1366=1,1440-Z1366,AD1366)</f>
        <v>0</v>
      </c>
      <c r="AK1366" s="80">
        <f>IF(AND(AB1366=1,AH1366=1),MAX(0,MIN(IF(AC1366=1,1440,AA1366),CFG_WEM)-MAX(Z1366,CFG_WSM)),0)</f>
        <v>0</v>
      </c>
      <c r="AL1366" s="80">
        <f>IF(AND(AC1366=1,AI1366=1),MAX(0,MIN(AA1366,CFG_WEM)-CFG_WSM),0)</f>
        <v>0</v>
      </c>
      <c r="AM1366" s="80">
        <f>AK1366+AL1366</f>
        <v>0</v>
      </c>
      <c r="AN1366" s="80">
        <f>IF(CFG_BRK="Proporcional",IF(AD1366=0,0,AF1366*AM1366/AD1366),IF(CFG_BRK="Extras primero",MIN(AM1366,MAX(0,AF1366-(AD1366-AM1366))),MIN(AF1366,AM1366)))</f>
        <v>0</v>
      </c>
      <c r="AO1366" s="80">
        <f>AF1366-AN1366</f>
        <v>0</v>
      </c>
      <c r="AP1366" s="80">
        <f>AM1366-AN1366</f>
        <v>0</v>
      </c>
      <c r="AQ1366" s="80">
        <f>AD1366-AM1366-AO1366</f>
        <v>0</v>
      </c>
      <c r="AR1366" s="80">
        <f>IF(AM1366=0,0,AK1366-AN1366*AK1366/AM1366)</f>
        <v>0</v>
      </c>
      <c r="AS1366" s="80">
        <f>IF(AD1366-AM1366=0,0,(AJ1366-AK1366)-AO1366*(AJ1366-AK1366)/(AD1366-AM1366))</f>
        <v>0</v>
      </c>
      <c r="AT1366" s="80" t="str">
        <f>IF(AC1366=1,INT(B1366)+1,"")</f>
        <v/>
      </c>
      <c r="AU1366" s="80">
        <f>IF(AND(D1366="proMX",R1366="Cancelled"),0,1)</f>
        <v>1</v>
      </c>
      <c r="AV1366" s="80">
        <f>IF(AND(AB1366=1,AU1366=1),IF(COUNTIFS($D$5:D1365,D1366,$B$5:B1365,B1366,$Z$5:Z1365,Z1366,$AA$5:AA1365,AA1366,$F$5:F1365,F1366&amp;"",$AU$5:AU1365,1)&gt;0,1,0),0)</f>
        <v>0</v>
      </c>
      <c r="AW1366" s="80" t="str">
        <f>IF(AB1366=1,INT(B1366)*1440+Z1366,"")</f>
        <v/>
      </c>
      <c r="AX1366" s="80" t="str">
        <f>IF(AB1366=1,AW1366+AD1366,"")</f>
        <v/>
      </c>
      <c r="AY1366" s="80">
        <f>IF(AND(AB1366=1,AV1366=0,AU1366=1),1,0)</f>
        <v>0</v>
      </c>
      <c r="AZ1366" s="80">
        <f>IF(AY1366=1,COUNTIFS(R_Emp,D1366,R_SAbs,"&lt;"&amp;AX1366,R_EAbs,"&gt;"&amp;AW1366,R_OKey,1)-1,0)</f>
        <v>0</v>
      </c>
      <c r="BA1366" s="80">
        <f>IF(AY1366=1,COUNTIFS(R_Emp,"&lt;&gt;"&amp;D1366,R_SAbs,"&lt;"&amp;AX1366,R_EAbs,"&gt;"&amp;AW1366,R_OKey,1),0)</f>
        <v>0</v>
      </c>
      <c r="BB1366" s="80">
        <f>IF(AND(AB1366=1,D1366="proMX"),IF(AND(MOD(Z1366,CFG_BLK)=0,MOD(AA1366,CFG_BLK)=0,MOD(AG1366,CFG_BLK)=0,AG1366&gt;0),1,0),1)</f>
        <v>1</v>
      </c>
      <c r="BC1366" s="80" t="str">
        <f>IF(Y1366=0,"",IF(NOT(ISNUMBER(B1366)),"Falta fecha o fecha inválida",IF(D1366="","Falta empresa",IF(AND(D1366&lt;&gt;"Malcolm",D1366&lt;&gt;"proMX"),"Empresa inválida",IF(OR(INT(B1366)&lt;CFG_PSTART,INT(B1366)&gt;CFG_PEND),"Fecha fuera del período",IF(OR(NOT(ISNUMBER(Z1366)),NOT(ISNUMBER(AA1366))),"Falta hora inicio/fin o formato inválido",IF(AB1366=0,"Hora inicio = hora fin",IF(AE1366&lt;0,"Descanso inválido",IF(AE1366&gt;=AD1366,"Descanso ≥ duración",IF(AV1366=1,"Registro duplicado",IF(AZ1366&gt;0,"Se superpone con otro registro "&amp;D1366,IF(BB1366=0,"inicio, fin y duración neta deben ser múltiplos de "&amp;CFG_BLK&amp;" min",""))))))))))))</f>
        <v/>
      </c>
      <c r="BD1366" s="80">
        <f>IF(AND(Y1366=1,BC1366=""),1,0)</f>
        <v>0</v>
      </c>
      <c r="BE1366" s="80">
        <f>IF(AND(BD1366=1,AU1366=1),1,0)</f>
        <v>0</v>
      </c>
      <c r="BF1366" s="80" t="str">
        <f>IF(AND(D1366="proMX",BD1366=1),IF(R1366="","Draft",R1366),"")</f>
        <v/>
      </c>
      <c r="BG1366" s="80">
        <f>IF(BD1366=1,ROUND(AG1366/60,6),0)</f>
        <v>0</v>
      </c>
      <c r="BH1366" s="80">
        <f>IF(BE1366=1,ROUND(AG1366/60,6),0)</f>
        <v>0</v>
      </c>
      <c r="BI1366" s="80">
        <f>IF(BE1366=1,ROUND(AP1366/60,6),0)</f>
        <v>0</v>
      </c>
      <c r="BJ1366" s="80">
        <f>IF(BE1366=1,ROUND(AQ1366/60,6),0)</f>
        <v>0</v>
      </c>
      <c r="BK1366" s="80">
        <f>IF(BE1366=1,ROUND((AR1366+AS1366)/60,6),0)</f>
        <v>0</v>
      </c>
      <c r="BL1366" s="80">
        <f>ROUND(BH1366-BK1366,6)</f>
        <v>0</v>
      </c>
      <c r="BM1366" s="80">
        <f>IF(BE1366=1,ROUND(AR1366/60,6),0)</f>
        <v>0</v>
      </c>
      <c r="BN1366" s="80">
        <f>ROUND(BI1366-BM1366,6)</f>
        <v>0</v>
      </c>
      <c r="BO1366" s="80">
        <f>IF(BE1366=1,ROUND(AS1366/60,6),0)</f>
        <v>0</v>
      </c>
      <c r="BP1366" s="80">
        <f>ROUND(BJ1366-BO1366,6)</f>
        <v>0</v>
      </c>
      <c r="BQ1366" s="80">
        <f>IF(BE1366=1,AW1366,0)</f>
        <v>0</v>
      </c>
      <c r="BR1366" s="80">
        <f>IF(BE1366=1,AX1366,0)</f>
        <v>0</v>
      </c>
      <c r="BS1366" s="80">
        <f>IF(AND(BE1366=1,D1366="Malcolm",BA1366&gt;0),MIN(BH1366,SUMPRODUCT((R_Emp="proMX")*(R_EN&gt;0)*((R_EN-(R_EN&gt;BR1366)*(R_EN-BR1366))&gt;(R_SN+(R_SN&lt;BQ1366)*(BQ1366-R_SN)))*((R_EN-(R_EN&gt;BR1366)*(R_EN-BR1366))-(R_SN+(R_SN&lt;BQ1366)*(BQ1366-R_SN))))/60),0)</f>
        <v>0</v>
      </c>
      <c r="BT1366" s="80">
        <f>IF(AND(BE1366=1,D1366="proMX"),ROUND(BI1366*CFG_RATE+BJ1366*CFG_OTRATE,6),0)</f>
        <v>0</v>
      </c>
      <c r="BU1366" s="80">
        <f>IF(AND(BD1366=1,D1366="proMX"),ROUND(AG1366/CFG_BLK,6),0)</f>
        <v>0</v>
      </c>
      <c r="BV1366" s="80" t="str">
        <f>IF(BF1366="Approved",IF(ISNUMBER(T1366),INT(T1366),INT(B1366)),"")</f>
        <v/>
      </c>
      <c r="BW1366" s="80">
        <f>IF(ISNUMBER(B1366),IF(DB_MON="Todos",1,IF(AND(INT(B1366)&gt;=DB_MS,INT(B1366)&lt;=DB_ME),1,0)),0)</f>
        <v>0</v>
      </c>
      <c r="BX1366" s="80">
        <f>IF(DB_PROJ="Todos",1,IF(E1366&amp;""=DB_PROJ&amp;"",1,0))</f>
        <v>1</v>
      </c>
      <c r="BY1366" s="80">
        <f>BW1366*BX1366</f>
        <v>0</v>
      </c>
      <c r="BZ1366" s="80" t="str">
        <f>IF(Y1366=1,F1366&amp;IF(AND(F1366&amp;""&lt;&gt;"",E1366&amp;""&lt;&gt;"")," · ","")&amp;E1366,"")</f>
        <v/>
      </c>
      <c r="CA1366" s="80" t="str">
        <f>IF(AND(BD1366=1,E1366&amp;""&lt;&gt;""),IF(COUNTIFS($E$5:E1365,E1366,$BD$5:BD1365,1)=0,MAX($CA$5:CA1365)+1,""),"")</f>
        <v/>
      </c>
      <c r="CB1366" s="80" t="str">
        <f>IF(AND(BE1366=1,D1366="Malcolm",E1366&amp;""&lt;&gt;""),IF(COUNTIFS($D$5:D1365,"Malcolm",$E$5:E1365,E1366,$BE$5:BE1365,1)=0,MAX($CB$5:CB1365)+1,""),"")</f>
        <v/>
      </c>
      <c r="CC1366" s="80" t="str">
        <f>IF(AND(BD1366=1,D1366="proMX",E1366&amp;""&lt;&gt;""),IF(COUNTIFS($D$5:D1365,"proMX",$E$5:E1365,E1366,$BD$5:BD1365,1)=0,MAX($CC$5:CC1365)+1,""),"")</f>
        <v/>
      </c>
      <c r="CD1366" s="80" t="str">
        <f>IF(AND(BE1366=1,D1366="Malcolm",F1366&amp;""&lt;&gt;""),IF(COUNTIFS($D$5:D1365,"Malcolm",$F$5:F1365,F1366,$BE$5:BE1365,1)=0,MAX($CD$5:CD1365)+1,""),"")</f>
        <v/>
      </c>
      <c r="CE1366" s="80" t="str">
        <f>IF(AND(BD1366=1,D1366="proMX",F1366&amp;""&lt;&gt;""),IF(COUNTIFS($D$5:D1365,"proMX",$F$5:F1365,F1366,$BD$5:BD1365,1)=0,MAX($CE$5:CE1365)+1,""),"")</f>
        <v/>
      </c>
      <c r="CF1366" s="80" t="str">
        <f>IF(AND(D1366="proMX",BD1366=1),IF(OR(BF1366="Draft",BF1366="Submitted",BF1366="Returned",BF1366="Recall Requested"),MAX($CF$5:CF1365)+1,""),"")</f>
        <v/>
      </c>
      <c r="CG1366" s="80">
        <f>IF(BD1366=0,0,IF(D1366="Malcolm",1,MATCH(BF1366,{"Draft","Submitted","Approved","Returned","Recall Requested","Cancelled"},0)+1))</f>
        <v>0</v>
      </c>
      <c r="CH1366" s="80">
        <f>IF(AND(BF1366="Submitted",ISNUMBER(V1366)),IF(V1366&gt;CFG_MAXD,1,0),0)</f>
        <v>0</v>
      </c>
    </row>
    <row r="1367">
      <c r="A1367" s="71" t="str">
        <f>IF(Y1367=1,ROW()-5,"")</f>
        <v/>
      </c>
      <c r="B1367" s="72" t="n"/>
      <c r="C1367" s="71" t="str">
        <f>IF(ISNUMBER(B1367),CHOOSE(WEEKDAY(B1367,2),"Lun","Mar","Mié","Jue","Vie","Sáb","Dom"),"")</f>
        <v/>
      </c>
      <c r="D1367" s="73" t="n"/>
      <c r="E1367" s="74" t="n"/>
      <c r="F1367" s="74" t="n"/>
      <c r="G1367" s="74" t="n"/>
      <c r="H1367" s="75" t="n"/>
      <c r="I1367" s="75" t="n"/>
      <c r="J1367" s="76" t="n"/>
      <c r="K1367" s="77" t="str">
        <f>IF(AB1367=1,ROUND(AG1367/60,4),"")</f>
        <v/>
      </c>
      <c r="L1367" s="77" t="str">
        <f>IF(BD1367=1,ROUND(AP1367/60,4),"")</f>
        <v/>
      </c>
      <c r="M1367" s="77" t="str">
        <f>IF(BD1367=1,ROUND(AQ1367/60,4),"")</f>
        <v/>
      </c>
      <c r="N1367" s="71" t="str">
        <f>IF(AND(D1367="proMX",AB1367=1),ROUND(AG1367/CFG_BLK,2),"")</f>
        <v/>
      </c>
      <c r="O1367" s="77" t="str">
        <f>IF(D1367="proMX",IF(BD1367=1,ROUND(AG1367/60,4),0),"")</f>
        <v/>
      </c>
      <c r="P1367" s="78" t="str">
        <f>IF(Y1367=0,"",IF(BD1367=1,"OK",IF(D1367="proMX","Revisar bloques: ","Revisar: ")&amp;BC1367))</f>
        <v/>
      </c>
      <c r="Q1367" s="78" t="str">
        <f>IF(NOT(ISNUMBER(B1367)),"",IF(COUNTIFS(FER_F,INT(B1367))&gt;0,"Feriado"&amp;IF(AH1367=1," (laborable)"," (no laborable)"),IF(AH1367=1,"Laborable",IF(WEEKDAY(B1367,2)&gt;5,"Fin de semana","No laborable"))))</f>
        <v/>
      </c>
      <c r="R1367" s="73" t="n"/>
      <c r="S1367" s="72" t="n"/>
      <c r="T1367" s="72" t="n"/>
      <c r="U1367" s="74" t="n"/>
      <c r="V1367" s="79" t="str">
        <f>IF(AND(D1367="proMX",OR(R1367="Submitted",R1367="Recall Requested"),ISNUMBER(S1367)),CFG_TODAY-INT(S1367),"")</f>
        <v/>
      </c>
      <c r="W1367" s="78" t="str">
        <f>IF(BD1367=0,"",IF(BA1367&gt;0,"⚠ Se superpone con un registro de la otra empresa",IF(D1367="Malcolm",IF(COUNTA(R1367,S1367,T1367)&gt;0,"Estado/fechas proMX se ignoran en Malcolm",""),IF(BF1367="Cancelled","Cancelado: excluido de totales",IF(R1367="","Sin estado: se trata como Draft",IF(BF1367="Submitted",IF(ISNUMBER(V1367),IF(V1367&gt;CFG_MAXD,"⚠ "&amp;V1367&amp;" días en Submitted (máx. "&amp;CFG_MAXD&amp;")",""),"Falta fecha de envío"),IF(BF1367="Returned","⚠ Devuelto: corregir y reenviar",IF(BF1367="Recall Requested","Retirada solicitada: pendiente",IF(AND(BF1367="Approved",NOT(ISNUMBER(T1367))),"Falta fecha de aprobación",IF(AND(ISNUMBER(S1367),ISNUMBER(T1367),T1367&lt;S1367),"Aprobación anterior al envío","")))))))))</f>
        <v/>
      </c>
      <c r="Y1367" s="80">
        <f>IF(COUNTA(B1367,D1367,E1367,F1367,G1367,H1367,I1367,J1367,R1367,S1367,T1367)&gt;0,1,0)</f>
        <v>0</v>
      </c>
      <c r="Z1367" s="80" t="str">
        <f>IF(AND(ISNUMBER(H1367),H1367&gt;=0,H1367&lt;1),ROUND(H1367*1440,0),"")</f>
        <v/>
      </c>
      <c r="AA1367" s="80" t="str">
        <f>IF(AND(ISNUMBER(I1367),I1367&gt;=0,I1367&lt;1),ROUND(I1367*1440,0),"")</f>
        <v/>
      </c>
      <c r="AB1367" s="80">
        <f>IF(AND(ISNUMBER(B1367),D1367&lt;&gt;"",ISNUMBER(Z1367),ISNUMBER(AA1367)),IF(Z1367=AA1367,0,1),0)</f>
        <v>0</v>
      </c>
      <c r="AC1367" s="80">
        <f>IF(AB1367=1,IF(AA1367&lt;Z1367,1,0),0)</f>
        <v>0</v>
      </c>
      <c r="AD1367" s="80">
        <f>IF(AB1367=1,IF(AC1367=1,1440-Z1367+AA1367,AA1367-Z1367),0)</f>
        <v>0</v>
      </c>
      <c r="AE1367" s="80">
        <f>IF(J1367="",0,IF(ISNUMBER(J1367),J1367,-1))</f>
        <v>0</v>
      </c>
      <c r="AF1367" s="80">
        <f>MIN(MAX(0,AE1367),AD1367)</f>
        <v>0</v>
      </c>
      <c r="AG1367" s="80">
        <f>MAX(0,AD1367-MAX(0,AE1367))</f>
        <v>0</v>
      </c>
      <c r="AH1367" s="80">
        <f>IF(ISNUMBER(B1367),IF(AND(INDEX(CFG_WDAYS,WEEKDAY(INT(B1367),2))="Sí",IF(D1367="proMX",COUNTIFS(FER_F,INT(B1367),FER_NLP,"Sí"),COUNTIFS(FER_F,INT(B1367),FER_NLM,"Sí"))=0),1,0),0)</f>
        <v>0</v>
      </c>
      <c r="AI1367" s="80">
        <f>IF(AC1367=1,IF(AND(INDEX(CFG_WDAYS,WEEKDAY(INT(B1367)+1,2))="Sí",IF(D1367="proMX",COUNTIFS(FER_F,INT(B1367)+1,FER_NLP,"Sí"),COUNTIFS(FER_F,INT(B1367)+1,FER_NLM,"Sí"))=0),1,0),0)</f>
        <v>0</v>
      </c>
      <c r="AJ1367" s="80">
        <f>IF(AC1367=1,1440-Z1367,AD1367)</f>
        <v>0</v>
      </c>
      <c r="AK1367" s="80">
        <f>IF(AND(AB1367=1,AH1367=1),MAX(0,MIN(IF(AC1367=1,1440,AA1367),CFG_WEM)-MAX(Z1367,CFG_WSM)),0)</f>
        <v>0</v>
      </c>
      <c r="AL1367" s="80">
        <f>IF(AND(AC1367=1,AI1367=1),MAX(0,MIN(AA1367,CFG_WEM)-CFG_WSM),0)</f>
        <v>0</v>
      </c>
      <c r="AM1367" s="80">
        <f>AK1367+AL1367</f>
        <v>0</v>
      </c>
      <c r="AN1367" s="80">
        <f>IF(CFG_BRK="Proporcional",IF(AD1367=0,0,AF1367*AM1367/AD1367),IF(CFG_BRK="Extras primero",MIN(AM1367,MAX(0,AF1367-(AD1367-AM1367))),MIN(AF1367,AM1367)))</f>
        <v>0</v>
      </c>
      <c r="AO1367" s="80">
        <f>AF1367-AN1367</f>
        <v>0</v>
      </c>
      <c r="AP1367" s="80">
        <f>AM1367-AN1367</f>
        <v>0</v>
      </c>
      <c r="AQ1367" s="80">
        <f>AD1367-AM1367-AO1367</f>
        <v>0</v>
      </c>
      <c r="AR1367" s="80">
        <f>IF(AM1367=0,0,AK1367-AN1367*AK1367/AM1367)</f>
        <v>0</v>
      </c>
      <c r="AS1367" s="80">
        <f>IF(AD1367-AM1367=0,0,(AJ1367-AK1367)-AO1367*(AJ1367-AK1367)/(AD1367-AM1367))</f>
        <v>0</v>
      </c>
      <c r="AT1367" s="80" t="str">
        <f>IF(AC1367=1,INT(B1367)+1,"")</f>
        <v/>
      </c>
      <c r="AU1367" s="80">
        <f>IF(AND(D1367="proMX",R1367="Cancelled"),0,1)</f>
        <v>1</v>
      </c>
      <c r="AV1367" s="80">
        <f>IF(AND(AB1367=1,AU1367=1),IF(COUNTIFS($D$5:D1366,D1367,$B$5:B1366,B1367,$Z$5:Z1366,Z1367,$AA$5:AA1366,AA1367,$F$5:F1366,F1367&amp;"",$AU$5:AU1366,1)&gt;0,1,0),0)</f>
        <v>0</v>
      </c>
      <c r="AW1367" s="80" t="str">
        <f>IF(AB1367=1,INT(B1367)*1440+Z1367,"")</f>
        <v/>
      </c>
      <c r="AX1367" s="80" t="str">
        <f>IF(AB1367=1,AW1367+AD1367,"")</f>
        <v/>
      </c>
      <c r="AY1367" s="80">
        <f>IF(AND(AB1367=1,AV1367=0,AU1367=1),1,0)</f>
        <v>0</v>
      </c>
      <c r="AZ1367" s="80">
        <f>IF(AY1367=1,COUNTIFS(R_Emp,D1367,R_SAbs,"&lt;"&amp;AX1367,R_EAbs,"&gt;"&amp;AW1367,R_OKey,1)-1,0)</f>
        <v>0</v>
      </c>
      <c r="BA1367" s="80">
        <f>IF(AY1367=1,COUNTIFS(R_Emp,"&lt;&gt;"&amp;D1367,R_SAbs,"&lt;"&amp;AX1367,R_EAbs,"&gt;"&amp;AW1367,R_OKey,1),0)</f>
        <v>0</v>
      </c>
      <c r="BB1367" s="80">
        <f>IF(AND(AB1367=1,D1367="proMX"),IF(AND(MOD(Z1367,CFG_BLK)=0,MOD(AA1367,CFG_BLK)=0,MOD(AG1367,CFG_BLK)=0,AG1367&gt;0),1,0),1)</f>
        <v>1</v>
      </c>
      <c r="BC1367" s="80" t="str">
        <f>IF(Y1367=0,"",IF(NOT(ISNUMBER(B1367)),"Falta fecha o fecha inválida",IF(D1367="","Falta empresa",IF(AND(D1367&lt;&gt;"Malcolm",D1367&lt;&gt;"proMX"),"Empresa inválida",IF(OR(INT(B1367)&lt;CFG_PSTART,INT(B1367)&gt;CFG_PEND),"Fecha fuera del período",IF(OR(NOT(ISNUMBER(Z1367)),NOT(ISNUMBER(AA1367))),"Falta hora inicio/fin o formato inválido",IF(AB1367=0,"Hora inicio = hora fin",IF(AE1367&lt;0,"Descanso inválido",IF(AE1367&gt;=AD1367,"Descanso ≥ duración",IF(AV1367=1,"Registro duplicado",IF(AZ1367&gt;0,"Se superpone con otro registro "&amp;D1367,IF(BB1367=0,"inicio, fin y duración neta deben ser múltiplos de "&amp;CFG_BLK&amp;" min",""))))))))))))</f>
        <v/>
      </c>
      <c r="BD1367" s="80">
        <f>IF(AND(Y1367=1,BC1367=""),1,0)</f>
        <v>0</v>
      </c>
      <c r="BE1367" s="80">
        <f>IF(AND(BD1367=1,AU1367=1),1,0)</f>
        <v>0</v>
      </c>
      <c r="BF1367" s="80" t="str">
        <f>IF(AND(D1367="proMX",BD1367=1),IF(R1367="","Draft",R1367),"")</f>
        <v/>
      </c>
      <c r="BG1367" s="80">
        <f>IF(BD1367=1,ROUND(AG1367/60,6),0)</f>
        <v>0</v>
      </c>
      <c r="BH1367" s="80">
        <f>IF(BE1367=1,ROUND(AG1367/60,6),0)</f>
        <v>0</v>
      </c>
      <c r="BI1367" s="80">
        <f>IF(BE1367=1,ROUND(AP1367/60,6),0)</f>
        <v>0</v>
      </c>
      <c r="BJ1367" s="80">
        <f>IF(BE1367=1,ROUND(AQ1367/60,6),0)</f>
        <v>0</v>
      </c>
      <c r="BK1367" s="80">
        <f>IF(BE1367=1,ROUND((AR1367+AS1367)/60,6),0)</f>
        <v>0</v>
      </c>
      <c r="BL1367" s="80">
        <f>ROUND(BH1367-BK1367,6)</f>
        <v>0</v>
      </c>
      <c r="BM1367" s="80">
        <f>IF(BE1367=1,ROUND(AR1367/60,6),0)</f>
        <v>0</v>
      </c>
      <c r="BN1367" s="80">
        <f>ROUND(BI1367-BM1367,6)</f>
        <v>0</v>
      </c>
      <c r="BO1367" s="80">
        <f>IF(BE1367=1,ROUND(AS1367/60,6),0)</f>
        <v>0</v>
      </c>
      <c r="BP1367" s="80">
        <f>ROUND(BJ1367-BO1367,6)</f>
        <v>0</v>
      </c>
      <c r="BQ1367" s="80">
        <f>IF(BE1367=1,AW1367,0)</f>
        <v>0</v>
      </c>
      <c r="BR1367" s="80">
        <f>IF(BE1367=1,AX1367,0)</f>
        <v>0</v>
      </c>
      <c r="BS1367" s="80">
        <f>IF(AND(BE1367=1,D1367="Malcolm",BA1367&gt;0),MIN(BH1367,SUMPRODUCT((R_Emp="proMX")*(R_EN&gt;0)*((R_EN-(R_EN&gt;BR1367)*(R_EN-BR1367))&gt;(R_SN+(R_SN&lt;BQ1367)*(BQ1367-R_SN)))*((R_EN-(R_EN&gt;BR1367)*(R_EN-BR1367))-(R_SN+(R_SN&lt;BQ1367)*(BQ1367-R_SN))))/60),0)</f>
        <v>0</v>
      </c>
      <c r="BT1367" s="80">
        <f>IF(AND(BE1367=1,D1367="proMX"),ROUND(BI1367*CFG_RATE+BJ1367*CFG_OTRATE,6),0)</f>
        <v>0</v>
      </c>
      <c r="BU1367" s="80">
        <f>IF(AND(BD1367=1,D1367="proMX"),ROUND(AG1367/CFG_BLK,6),0)</f>
        <v>0</v>
      </c>
      <c r="BV1367" s="80" t="str">
        <f>IF(BF1367="Approved",IF(ISNUMBER(T1367),INT(T1367),INT(B1367)),"")</f>
        <v/>
      </c>
      <c r="BW1367" s="80">
        <f>IF(ISNUMBER(B1367),IF(DB_MON="Todos",1,IF(AND(INT(B1367)&gt;=DB_MS,INT(B1367)&lt;=DB_ME),1,0)),0)</f>
        <v>0</v>
      </c>
      <c r="BX1367" s="80">
        <f>IF(DB_PROJ="Todos",1,IF(E1367&amp;""=DB_PROJ&amp;"",1,0))</f>
        <v>1</v>
      </c>
      <c r="BY1367" s="80">
        <f>BW1367*BX1367</f>
        <v>0</v>
      </c>
      <c r="BZ1367" s="80" t="str">
        <f>IF(Y1367=1,F1367&amp;IF(AND(F1367&amp;""&lt;&gt;"",E1367&amp;""&lt;&gt;"")," · ","")&amp;E1367,"")</f>
        <v/>
      </c>
      <c r="CA1367" s="80" t="str">
        <f>IF(AND(BD1367=1,E1367&amp;""&lt;&gt;""),IF(COUNTIFS($E$5:E1366,E1367,$BD$5:BD1366,1)=0,MAX($CA$5:CA1366)+1,""),"")</f>
        <v/>
      </c>
      <c r="CB1367" s="80" t="str">
        <f>IF(AND(BE1367=1,D1367="Malcolm",E1367&amp;""&lt;&gt;""),IF(COUNTIFS($D$5:D1366,"Malcolm",$E$5:E1366,E1367,$BE$5:BE1366,1)=0,MAX($CB$5:CB1366)+1,""),"")</f>
        <v/>
      </c>
      <c r="CC1367" s="80" t="str">
        <f>IF(AND(BD1367=1,D1367="proMX",E1367&amp;""&lt;&gt;""),IF(COUNTIFS($D$5:D1366,"proMX",$E$5:E1366,E1367,$BD$5:BD1366,1)=0,MAX($CC$5:CC1366)+1,""),"")</f>
        <v/>
      </c>
      <c r="CD1367" s="80" t="str">
        <f>IF(AND(BE1367=1,D1367="Malcolm",F1367&amp;""&lt;&gt;""),IF(COUNTIFS($D$5:D1366,"Malcolm",$F$5:F1366,F1367,$BE$5:BE1366,1)=0,MAX($CD$5:CD1366)+1,""),"")</f>
        <v/>
      </c>
      <c r="CE1367" s="80" t="str">
        <f>IF(AND(BD1367=1,D1367="proMX",F1367&amp;""&lt;&gt;""),IF(COUNTIFS($D$5:D1366,"proMX",$F$5:F1366,F1367,$BD$5:BD1366,1)=0,MAX($CE$5:CE1366)+1,""),"")</f>
        <v/>
      </c>
      <c r="CF1367" s="80" t="str">
        <f>IF(AND(D1367="proMX",BD1367=1),IF(OR(BF1367="Draft",BF1367="Submitted",BF1367="Returned",BF1367="Recall Requested"),MAX($CF$5:CF1366)+1,""),"")</f>
        <v/>
      </c>
      <c r="CG1367" s="80">
        <f>IF(BD1367=0,0,IF(D1367="Malcolm",1,MATCH(BF1367,{"Draft","Submitted","Approved","Returned","Recall Requested","Cancelled"},0)+1))</f>
        <v>0</v>
      </c>
      <c r="CH1367" s="80">
        <f>IF(AND(BF1367="Submitted",ISNUMBER(V1367)),IF(V1367&gt;CFG_MAXD,1,0),0)</f>
        <v>0</v>
      </c>
    </row>
    <row r="1368">
      <c r="A1368" s="71" t="str">
        <f>IF(Y1368=1,ROW()-5,"")</f>
        <v/>
      </c>
      <c r="B1368" s="72" t="n"/>
      <c r="C1368" s="71" t="str">
        <f>IF(ISNUMBER(B1368),CHOOSE(WEEKDAY(B1368,2),"Lun","Mar","Mié","Jue","Vie","Sáb","Dom"),"")</f>
        <v/>
      </c>
      <c r="D1368" s="73" t="n"/>
      <c r="E1368" s="74" t="n"/>
      <c r="F1368" s="74" t="n"/>
      <c r="G1368" s="74" t="n"/>
      <c r="H1368" s="75" t="n"/>
      <c r="I1368" s="75" t="n"/>
      <c r="J1368" s="76" t="n"/>
      <c r="K1368" s="77" t="str">
        <f>IF(AB1368=1,ROUND(AG1368/60,4),"")</f>
        <v/>
      </c>
      <c r="L1368" s="77" t="str">
        <f>IF(BD1368=1,ROUND(AP1368/60,4),"")</f>
        <v/>
      </c>
      <c r="M1368" s="77" t="str">
        <f>IF(BD1368=1,ROUND(AQ1368/60,4),"")</f>
        <v/>
      </c>
      <c r="N1368" s="71" t="str">
        <f>IF(AND(D1368="proMX",AB1368=1),ROUND(AG1368/CFG_BLK,2),"")</f>
        <v/>
      </c>
      <c r="O1368" s="77" t="str">
        <f>IF(D1368="proMX",IF(BD1368=1,ROUND(AG1368/60,4),0),"")</f>
        <v/>
      </c>
      <c r="P1368" s="78" t="str">
        <f>IF(Y1368=0,"",IF(BD1368=1,"OK",IF(D1368="proMX","Revisar bloques: ","Revisar: ")&amp;BC1368))</f>
        <v/>
      </c>
      <c r="Q1368" s="78" t="str">
        <f>IF(NOT(ISNUMBER(B1368)),"",IF(COUNTIFS(FER_F,INT(B1368))&gt;0,"Feriado"&amp;IF(AH1368=1," (laborable)"," (no laborable)"),IF(AH1368=1,"Laborable",IF(WEEKDAY(B1368,2)&gt;5,"Fin de semana","No laborable"))))</f>
        <v/>
      </c>
      <c r="R1368" s="73" t="n"/>
      <c r="S1368" s="72" t="n"/>
      <c r="T1368" s="72" t="n"/>
      <c r="U1368" s="74" t="n"/>
      <c r="V1368" s="79" t="str">
        <f>IF(AND(D1368="proMX",OR(R1368="Submitted",R1368="Recall Requested"),ISNUMBER(S1368)),CFG_TODAY-INT(S1368),"")</f>
        <v/>
      </c>
      <c r="W1368" s="78" t="str">
        <f>IF(BD1368=0,"",IF(BA1368&gt;0,"⚠ Se superpone con un registro de la otra empresa",IF(D1368="Malcolm",IF(COUNTA(R1368,S1368,T1368)&gt;0,"Estado/fechas proMX se ignoran en Malcolm",""),IF(BF1368="Cancelled","Cancelado: excluido de totales",IF(R1368="","Sin estado: se trata como Draft",IF(BF1368="Submitted",IF(ISNUMBER(V1368),IF(V1368&gt;CFG_MAXD,"⚠ "&amp;V1368&amp;" días en Submitted (máx. "&amp;CFG_MAXD&amp;")",""),"Falta fecha de envío"),IF(BF1368="Returned","⚠ Devuelto: corregir y reenviar",IF(BF1368="Recall Requested","Retirada solicitada: pendiente",IF(AND(BF1368="Approved",NOT(ISNUMBER(T1368))),"Falta fecha de aprobación",IF(AND(ISNUMBER(S1368),ISNUMBER(T1368),T1368&lt;S1368),"Aprobación anterior al envío","")))))))))</f>
        <v/>
      </c>
      <c r="Y1368" s="80">
        <f>IF(COUNTA(B1368,D1368,E1368,F1368,G1368,H1368,I1368,J1368,R1368,S1368,T1368)&gt;0,1,0)</f>
        <v>0</v>
      </c>
      <c r="Z1368" s="80" t="str">
        <f>IF(AND(ISNUMBER(H1368),H1368&gt;=0,H1368&lt;1),ROUND(H1368*1440,0),"")</f>
        <v/>
      </c>
      <c r="AA1368" s="80" t="str">
        <f>IF(AND(ISNUMBER(I1368),I1368&gt;=0,I1368&lt;1),ROUND(I1368*1440,0),"")</f>
        <v/>
      </c>
      <c r="AB1368" s="80">
        <f>IF(AND(ISNUMBER(B1368),D1368&lt;&gt;"",ISNUMBER(Z1368),ISNUMBER(AA1368)),IF(Z1368=AA1368,0,1),0)</f>
        <v>0</v>
      </c>
      <c r="AC1368" s="80">
        <f>IF(AB1368=1,IF(AA1368&lt;Z1368,1,0),0)</f>
        <v>0</v>
      </c>
      <c r="AD1368" s="80">
        <f>IF(AB1368=1,IF(AC1368=1,1440-Z1368+AA1368,AA1368-Z1368),0)</f>
        <v>0</v>
      </c>
      <c r="AE1368" s="80">
        <f>IF(J1368="",0,IF(ISNUMBER(J1368),J1368,-1))</f>
        <v>0</v>
      </c>
      <c r="AF1368" s="80">
        <f>MIN(MAX(0,AE1368),AD1368)</f>
        <v>0</v>
      </c>
      <c r="AG1368" s="80">
        <f>MAX(0,AD1368-MAX(0,AE1368))</f>
        <v>0</v>
      </c>
      <c r="AH1368" s="80">
        <f>IF(ISNUMBER(B1368),IF(AND(INDEX(CFG_WDAYS,WEEKDAY(INT(B1368),2))="Sí",IF(D1368="proMX",COUNTIFS(FER_F,INT(B1368),FER_NLP,"Sí"),COUNTIFS(FER_F,INT(B1368),FER_NLM,"Sí"))=0),1,0),0)</f>
        <v>0</v>
      </c>
      <c r="AI1368" s="80">
        <f>IF(AC1368=1,IF(AND(INDEX(CFG_WDAYS,WEEKDAY(INT(B1368)+1,2))="Sí",IF(D1368="proMX",COUNTIFS(FER_F,INT(B1368)+1,FER_NLP,"Sí"),COUNTIFS(FER_F,INT(B1368)+1,FER_NLM,"Sí"))=0),1,0),0)</f>
        <v>0</v>
      </c>
      <c r="AJ1368" s="80">
        <f>IF(AC1368=1,1440-Z1368,AD1368)</f>
        <v>0</v>
      </c>
      <c r="AK1368" s="80">
        <f>IF(AND(AB1368=1,AH1368=1),MAX(0,MIN(IF(AC1368=1,1440,AA1368),CFG_WEM)-MAX(Z1368,CFG_WSM)),0)</f>
        <v>0</v>
      </c>
      <c r="AL1368" s="80">
        <f>IF(AND(AC1368=1,AI1368=1),MAX(0,MIN(AA1368,CFG_WEM)-CFG_WSM),0)</f>
        <v>0</v>
      </c>
      <c r="AM1368" s="80">
        <f>AK1368+AL1368</f>
        <v>0</v>
      </c>
      <c r="AN1368" s="80">
        <f>IF(CFG_BRK="Proporcional",IF(AD1368=0,0,AF1368*AM1368/AD1368),IF(CFG_BRK="Extras primero",MIN(AM1368,MAX(0,AF1368-(AD1368-AM1368))),MIN(AF1368,AM1368)))</f>
        <v>0</v>
      </c>
      <c r="AO1368" s="80">
        <f>AF1368-AN1368</f>
        <v>0</v>
      </c>
      <c r="AP1368" s="80">
        <f>AM1368-AN1368</f>
        <v>0</v>
      </c>
      <c r="AQ1368" s="80">
        <f>AD1368-AM1368-AO1368</f>
        <v>0</v>
      </c>
      <c r="AR1368" s="80">
        <f>IF(AM1368=0,0,AK1368-AN1368*AK1368/AM1368)</f>
        <v>0</v>
      </c>
      <c r="AS1368" s="80">
        <f>IF(AD1368-AM1368=0,0,(AJ1368-AK1368)-AO1368*(AJ1368-AK1368)/(AD1368-AM1368))</f>
        <v>0</v>
      </c>
      <c r="AT1368" s="80" t="str">
        <f>IF(AC1368=1,INT(B1368)+1,"")</f>
        <v/>
      </c>
      <c r="AU1368" s="80">
        <f>IF(AND(D1368="proMX",R1368="Cancelled"),0,1)</f>
        <v>1</v>
      </c>
      <c r="AV1368" s="80">
        <f>IF(AND(AB1368=1,AU1368=1),IF(COUNTIFS($D$5:D1367,D1368,$B$5:B1367,B1368,$Z$5:Z1367,Z1368,$AA$5:AA1367,AA1368,$F$5:F1367,F1368&amp;"",$AU$5:AU1367,1)&gt;0,1,0),0)</f>
        <v>0</v>
      </c>
      <c r="AW1368" s="80" t="str">
        <f>IF(AB1368=1,INT(B1368)*1440+Z1368,"")</f>
        <v/>
      </c>
      <c r="AX1368" s="80" t="str">
        <f>IF(AB1368=1,AW1368+AD1368,"")</f>
        <v/>
      </c>
      <c r="AY1368" s="80">
        <f>IF(AND(AB1368=1,AV1368=0,AU1368=1),1,0)</f>
        <v>0</v>
      </c>
      <c r="AZ1368" s="80">
        <f>IF(AY1368=1,COUNTIFS(R_Emp,D1368,R_SAbs,"&lt;"&amp;AX1368,R_EAbs,"&gt;"&amp;AW1368,R_OKey,1)-1,0)</f>
        <v>0</v>
      </c>
      <c r="BA1368" s="80">
        <f>IF(AY1368=1,COUNTIFS(R_Emp,"&lt;&gt;"&amp;D1368,R_SAbs,"&lt;"&amp;AX1368,R_EAbs,"&gt;"&amp;AW1368,R_OKey,1),0)</f>
        <v>0</v>
      </c>
      <c r="BB1368" s="80">
        <f>IF(AND(AB1368=1,D1368="proMX"),IF(AND(MOD(Z1368,CFG_BLK)=0,MOD(AA1368,CFG_BLK)=0,MOD(AG1368,CFG_BLK)=0,AG1368&gt;0),1,0),1)</f>
        <v>1</v>
      </c>
      <c r="BC1368" s="80" t="str">
        <f>IF(Y1368=0,"",IF(NOT(ISNUMBER(B1368)),"Falta fecha o fecha inválida",IF(D1368="","Falta empresa",IF(AND(D1368&lt;&gt;"Malcolm",D1368&lt;&gt;"proMX"),"Empresa inválida",IF(OR(INT(B1368)&lt;CFG_PSTART,INT(B1368)&gt;CFG_PEND),"Fecha fuera del período",IF(OR(NOT(ISNUMBER(Z1368)),NOT(ISNUMBER(AA1368))),"Falta hora inicio/fin o formato inválido",IF(AB1368=0,"Hora inicio = hora fin",IF(AE1368&lt;0,"Descanso inválido",IF(AE1368&gt;=AD1368,"Descanso ≥ duración",IF(AV1368=1,"Registro duplicado",IF(AZ1368&gt;0,"Se superpone con otro registro "&amp;D1368,IF(BB1368=0,"inicio, fin y duración neta deben ser múltiplos de "&amp;CFG_BLK&amp;" min",""))))))))))))</f>
        <v/>
      </c>
      <c r="BD1368" s="80">
        <f>IF(AND(Y1368=1,BC1368=""),1,0)</f>
        <v>0</v>
      </c>
      <c r="BE1368" s="80">
        <f>IF(AND(BD1368=1,AU1368=1),1,0)</f>
        <v>0</v>
      </c>
      <c r="BF1368" s="80" t="str">
        <f>IF(AND(D1368="proMX",BD1368=1),IF(R1368="","Draft",R1368),"")</f>
        <v/>
      </c>
      <c r="BG1368" s="80">
        <f>IF(BD1368=1,ROUND(AG1368/60,6),0)</f>
        <v>0</v>
      </c>
      <c r="BH1368" s="80">
        <f>IF(BE1368=1,ROUND(AG1368/60,6),0)</f>
        <v>0</v>
      </c>
      <c r="BI1368" s="80">
        <f>IF(BE1368=1,ROUND(AP1368/60,6),0)</f>
        <v>0</v>
      </c>
      <c r="BJ1368" s="80">
        <f>IF(BE1368=1,ROUND(AQ1368/60,6),0)</f>
        <v>0</v>
      </c>
      <c r="BK1368" s="80">
        <f>IF(BE1368=1,ROUND((AR1368+AS1368)/60,6),0)</f>
        <v>0</v>
      </c>
      <c r="BL1368" s="80">
        <f>ROUND(BH1368-BK1368,6)</f>
        <v>0</v>
      </c>
      <c r="BM1368" s="80">
        <f>IF(BE1368=1,ROUND(AR1368/60,6),0)</f>
        <v>0</v>
      </c>
      <c r="BN1368" s="80">
        <f>ROUND(BI1368-BM1368,6)</f>
        <v>0</v>
      </c>
      <c r="BO1368" s="80">
        <f>IF(BE1368=1,ROUND(AS1368/60,6),0)</f>
        <v>0</v>
      </c>
      <c r="BP1368" s="80">
        <f>ROUND(BJ1368-BO1368,6)</f>
        <v>0</v>
      </c>
      <c r="BQ1368" s="80">
        <f>IF(BE1368=1,AW1368,0)</f>
        <v>0</v>
      </c>
      <c r="BR1368" s="80">
        <f>IF(BE1368=1,AX1368,0)</f>
        <v>0</v>
      </c>
      <c r="BS1368" s="80">
        <f>IF(AND(BE1368=1,D1368="Malcolm",BA1368&gt;0),MIN(BH1368,SUMPRODUCT((R_Emp="proMX")*(R_EN&gt;0)*((R_EN-(R_EN&gt;BR1368)*(R_EN-BR1368))&gt;(R_SN+(R_SN&lt;BQ1368)*(BQ1368-R_SN)))*((R_EN-(R_EN&gt;BR1368)*(R_EN-BR1368))-(R_SN+(R_SN&lt;BQ1368)*(BQ1368-R_SN))))/60),0)</f>
        <v>0</v>
      </c>
      <c r="BT1368" s="80">
        <f>IF(AND(BE1368=1,D1368="proMX"),ROUND(BI1368*CFG_RATE+BJ1368*CFG_OTRATE,6),0)</f>
        <v>0</v>
      </c>
      <c r="BU1368" s="80">
        <f>IF(AND(BD1368=1,D1368="proMX"),ROUND(AG1368/CFG_BLK,6),0)</f>
        <v>0</v>
      </c>
      <c r="BV1368" s="80" t="str">
        <f>IF(BF1368="Approved",IF(ISNUMBER(T1368),INT(T1368),INT(B1368)),"")</f>
        <v/>
      </c>
      <c r="BW1368" s="80">
        <f>IF(ISNUMBER(B1368),IF(DB_MON="Todos",1,IF(AND(INT(B1368)&gt;=DB_MS,INT(B1368)&lt;=DB_ME),1,0)),0)</f>
        <v>0</v>
      </c>
      <c r="BX1368" s="80">
        <f>IF(DB_PROJ="Todos",1,IF(E1368&amp;""=DB_PROJ&amp;"",1,0))</f>
        <v>1</v>
      </c>
      <c r="BY1368" s="80">
        <f>BW1368*BX1368</f>
        <v>0</v>
      </c>
      <c r="BZ1368" s="80" t="str">
        <f>IF(Y1368=1,F1368&amp;IF(AND(F1368&amp;""&lt;&gt;"",E1368&amp;""&lt;&gt;"")," · ","")&amp;E1368,"")</f>
        <v/>
      </c>
      <c r="CA1368" s="80" t="str">
        <f>IF(AND(BD1368=1,E1368&amp;""&lt;&gt;""),IF(COUNTIFS($E$5:E1367,E1368,$BD$5:BD1367,1)=0,MAX($CA$5:CA1367)+1,""),"")</f>
        <v/>
      </c>
      <c r="CB1368" s="80" t="str">
        <f>IF(AND(BE1368=1,D1368="Malcolm",E1368&amp;""&lt;&gt;""),IF(COUNTIFS($D$5:D1367,"Malcolm",$E$5:E1367,E1368,$BE$5:BE1367,1)=0,MAX($CB$5:CB1367)+1,""),"")</f>
        <v/>
      </c>
      <c r="CC1368" s="80" t="str">
        <f>IF(AND(BD1368=1,D1368="proMX",E1368&amp;""&lt;&gt;""),IF(COUNTIFS($D$5:D1367,"proMX",$E$5:E1367,E1368,$BD$5:BD1367,1)=0,MAX($CC$5:CC1367)+1,""),"")</f>
        <v/>
      </c>
      <c r="CD1368" s="80" t="str">
        <f>IF(AND(BE1368=1,D1368="Malcolm",F1368&amp;""&lt;&gt;""),IF(COUNTIFS($D$5:D1367,"Malcolm",$F$5:F1367,F1368,$BE$5:BE1367,1)=0,MAX($CD$5:CD1367)+1,""),"")</f>
        <v/>
      </c>
      <c r="CE1368" s="80" t="str">
        <f>IF(AND(BD1368=1,D1368="proMX",F1368&amp;""&lt;&gt;""),IF(COUNTIFS($D$5:D1367,"proMX",$F$5:F1367,F1368,$BD$5:BD1367,1)=0,MAX($CE$5:CE1367)+1,""),"")</f>
        <v/>
      </c>
      <c r="CF1368" s="80" t="str">
        <f>IF(AND(D1368="proMX",BD1368=1),IF(OR(BF1368="Draft",BF1368="Submitted",BF1368="Returned",BF1368="Recall Requested"),MAX($CF$5:CF1367)+1,""),"")</f>
        <v/>
      </c>
      <c r="CG1368" s="80">
        <f>IF(BD1368=0,0,IF(D1368="Malcolm",1,MATCH(BF1368,{"Draft","Submitted","Approved","Returned","Recall Requested","Cancelled"},0)+1))</f>
        <v>0</v>
      </c>
      <c r="CH1368" s="80">
        <f>IF(AND(BF1368="Submitted",ISNUMBER(V1368)),IF(V1368&gt;CFG_MAXD,1,0),0)</f>
        <v>0</v>
      </c>
    </row>
    <row r="1369">
      <c r="A1369" s="71" t="str">
        <f>IF(Y1369=1,ROW()-5,"")</f>
        <v/>
      </c>
      <c r="B1369" s="72" t="n"/>
      <c r="C1369" s="71" t="str">
        <f>IF(ISNUMBER(B1369),CHOOSE(WEEKDAY(B1369,2),"Lun","Mar","Mié","Jue","Vie","Sáb","Dom"),"")</f>
        <v/>
      </c>
      <c r="D1369" s="73" t="n"/>
      <c r="E1369" s="74" t="n"/>
      <c r="F1369" s="74" t="n"/>
      <c r="G1369" s="74" t="n"/>
      <c r="H1369" s="75" t="n"/>
      <c r="I1369" s="75" t="n"/>
      <c r="J1369" s="76" t="n"/>
      <c r="K1369" s="77" t="str">
        <f>IF(AB1369=1,ROUND(AG1369/60,4),"")</f>
        <v/>
      </c>
      <c r="L1369" s="77" t="str">
        <f>IF(BD1369=1,ROUND(AP1369/60,4),"")</f>
        <v/>
      </c>
      <c r="M1369" s="77" t="str">
        <f>IF(BD1369=1,ROUND(AQ1369/60,4),"")</f>
        <v/>
      </c>
      <c r="N1369" s="71" t="str">
        <f>IF(AND(D1369="proMX",AB1369=1),ROUND(AG1369/CFG_BLK,2),"")</f>
        <v/>
      </c>
      <c r="O1369" s="77" t="str">
        <f>IF(D1369="proMX",IF(BD1369=1,ROUND(AG1369/60,4),0),"")</f>
        <v/>
      </c>
      <c r="P1369" s="78" t="str">
        <f>IF(Y1369=0,"",IF(BD1369=1,"OK",IF(D1369="proMX","Revisar bloques: ","Revisar: ")&amp;BC1369))</f>
        <v/>
      </c>
      <c r="Q1369" s="78" t="str">
        <f>IF(NOT(ISNUMBER(B1369)),"",IF(COUNTIFS(FER_F,INT(B1369))&gt;0,"Feriado"&amp;IF(AH1369=1," (laborable)"," (no laborable)"),IF(AH1369=1,"Laborable",IF(WEEKDAY(B1369,2)&gt;5,"Fin de semana","No laborable"))))</f>
        <v/>
      </c>
      <c r="R1369" s="73" t="n"/>
      <c r="S1369" s="72" t="n"/>
      <c r="T1369" s="72" t="n"/>
      <c r="U1369" s="74" t="n"/>
      <c r="V1369" s="79" t="str">
        <f>IF(AND(D1369="proMX",OR(R1369="Submitted",R1369="Recall Requested"),ISNUMBER(S1369)),CFG_TODAY-INT(S1369),"")</f>
        <v/>
      </c>
      <c r="W1369" s="78" t="str">
        <f>IF(BD1369=0,"",IF(BA1369&gt;0,"⚠ Se superpone con un registro de la otra empresa",IF(D1369="Malcolm",IF(COUNTA(R1369,S1369,T1369)&gt;0,"Estado/fechas proMX se ignoran en Malcolm",""),IF(BF1369="Cancelled","Cancelado: excluido de totales",IF(R1369="","Sin estado: se trata como Draft",IF(BF1369="Submitted",IF(ISNUMBER(V1369),IF(V1369&gt;CFG_MAXD,"⚠ "&amp;V1369&amp;" días en Submitted (máx. "&amp;CFG_MAXD&amp;")",""),"Falta fecha de envío"),IF(BF1369="Returned","⚠ Devuelto: corregir y reenviar",IF(BF1369="Recall Requested","Retirada solicitada: pendiente",IF(AND(BF1369="Approved",NOT(ISNUMBER(T1369))),"Falta fecha de aprobación",IF(AND(ISNUMBER(S1369),ISNUMBER(T1369),T1369&lt;S1369),"Aprobación anterior al envío","")))))))))</f>
        <v/>
      </c>
      <c r="Y1369" s="80">
        <f>IF(COUNTA(B1369,D1369,E1369,F1369,G1369,H1369,I1369,J1369,R1369,S1369,T1369)&gt;0,1,0)</f>
        <v>0</v>
      </c>
      <c r="Z1369" s="80" t="str">
        <f>IF(AND(ISNUMBER(H1369),H1369&gt;=0,H1369&lt;1),ROUND(H1369*1440,0),"")</f>
        <v/>
      </c>
      <c r="AA1369" s="80" t="str">
        <f>IF(AND(ISNUMBER(I1369),I1369&gt;=0,I1369&lt;1),ROUND(I1369*1440,0),"")</f>
        <v/>
      </c>
      <c r="AB1369" s="80">
        <f>IF(AND(ISNUMBER(B1369),D1369&lt;&gt;"",ISNUMBER(Z1369),ISNUMBER(AA1369)),IF(Z1369=AA1369,0,1),0)</f>
        <v>0</v>
      </c>
      <c r="AC1369" s="80">
        <f>IF(AB1369=1,IF(AA1369&lt;Z1369,1,0),0)</f>
        <v>0</v>
      </c>
      <c r="AD1369" s="80">
        <f>IF(AB1369=1,IF(AC1369=1,1440-Z1369+AA1369,AA1369-Z1369),0)</f>
        <v>0</v>
      </c>
      <c r="AE1369" s="80">
        <f>IF(J1369="",0,IF(ISNUMBER(J1369),J1369,-1))</f>
        <v>0</v>
      </c>
      <c r="AF1369" s="80">
        <f>MIN(MAX(0,AE1369),AD1369)</f>
        <v>0</v>
      </c>
      <c r="AG1369" s="80">
        <f>MAX(0,AD1369-MAX(0,AE1369))</f>
        <v>0</v>
      </c>
      <c r="AH1369" s="80">
        <f>IF(ISNUMBER(B1369),IF(AND(INDEX(CFG_WDAYS,WEEKDAY(INT(B1369),2))="Sí",IF(D1369="proMX",COUNTIFS(FER_F,INT(B1369),FER_NLP,"Sí"),COUNTIFS(FER_F,INT(B1369),FER_NLM,"Sí"))=0),1,0),0)</f>
        <v>0</v>
      </c>
      <c r="AI1369" s="80">
        <f>IF(AC1369=1,IF(AND(INDEX(CFG_WDAYS,WEEKDAY(INT(B1369)+1,2))="Sí",IF(D1369="proMX",COUNTIFS(FER_F,INT(B1369)+1,FER_NLP,"Sí"),COUNTIFS(FER_F,INT(B1369)+1,FER_NLM,"Sí"))=0),1,0),0)</f>
        <v>0</v>
      </c>
      <c r="AJ1369" s="80">
        <f>IF(AC1369=1,1440-Z1369,AD1369)</f>
        <v>0</v>
      </c>
      <c r="AK1369" s="80">
        <f>IF(AND(AB1369=1,AH1369=1),MAX(0,MIN(IF(AC1369=1,1440,AA1369),CFG_WEM)-MAX(Z1369,CFG_WSM)),0)</f>
        <v>0</v>
      </c>
      <c r="AL1369" s="80">
        <f>IF(AND(AC1369=1,AI1369=1),MAX(0,MIN(AA1369,CFG_WEM)-CFG_WSM),0)</f>
        <v>0</v>
      </c>
      <c r="AM1369" s="80">
        <f>AK1369+AL1369</f>
        <v>0</v>
      </c>
      <c r="AN1369" s="80">
        <f>IF(CFG_BRK="Proporcional",IF(AD1369=0,0,AF1369*AM1369/AD1369),IF(CFG_BRK="Extras primero",MIN(AM1369,MAX(0,AF1369-(AD1369-AM1369))),MIN(AF1369,AM1369)))</f>
        <v>0</v>
      </c>
      <c r="AO1369" s="80">
        <f>AF1369-AN1369</f>
        <v>0</v>
      </c>
      <c r="AP1369" s="80">
        <f>AM1369-AN1369</f>
        <v>0</v>
      </c>
      <c r="AQ1369" s="80">
        <f>AD1369-AM1369-AO1369</f>
        <v>0</v>
      </c>
      <c r="AR1369" s="80">
        <f>IF(AM1369=0,0,AK1369-AN1369*AK1369/AM1369)</f>
        <v>0</v>
      </c>
      <c r="AS1369" s="80">
        <f>IF(AD1369-AM1369=0,0,(AJ1369-AK1369)-AO1369*(AJ1369-AK1369)/(AD1369-AM1369))</f>
        <v>0</v>
      </c>
      <c r="AT1369" s="80" t="str">
        <f>IF(AC1369=1,INT(B1369)+1,"")</f>
        <v/>
      </c>
      <c r="AU1369" s="80">
        <f>IF(AND(D1369="proMX",R1369="Cancelled"),0,1)</f>
        <v>1</v>
      </c>
      <c r="AV1369" s="80">
        <f>IF(AND(AB1369=1,AU1369=1),IF(COUNTIFS($D$5:D1368,D1369,$B$5:B1368,B1369,$Z$5:Z1368,Z1369,$AA$5:AA1368,AA1369,$F$5:F1368,F1369&amp;"",$AU$5:AU1368,1)&gt;0,1,0),0)</f>
        <v>0</v>
      </c>
      <c r="AW1369" s="80" t="str">
        <f>IF(AB1369=1,INT(B1369)*1440+Z1369,"")</f>
        <v/>
      </c>
      <c r="AX1369" s="80" t="str">
        <f>IF(AB1369=1,AW1369+AD1369,"")</f>
        <v/>
      </c>
      <c r="AY1369" s="80">
        <f>IF(AND(AB1369=1,AV1369=0,AU1369=1),1,0)</f>
        <v>0</v>
      </c>
      <c r="AZ1369" s="80">
        <f>IF(AY1369=1,COUNTIFS(R_Emp,D1369,R_SAbs,"&lt;"&amp;AX1369,R_EAbs,"&gt;"&amp;AW1369,R_OKey,1)-1,0)</f>
        <v>0</v>
      </c>
      <c r="BA1369" s="80">
        <f>IF(AY1369=1,COUNTIFS(R_Emp,"&lt;&gt;"&amp;D1369,R_SAbs,"&lt;"&amp;AX1369,R_EAbs,"&gt;"&amp;AW1369,R_OKey,1),0)</f>
        <v>0</v>
      </c>
      <c r="BB1369" s="80">
        <f>IF(AND(AB1369=1,D1369="proMX"),IF(AND(MOD(Z1369,CFG_BLK)=0,MOD(AA1369,CFG_BLK)=0,MOD(AG1369,CFG_BLK)=0,AG1369&gt;0),1,0),1)</f>
        <v>1</v>
      </c>
      <c r="BC1369" s="80" t="str">
        <f>IF(Y1369=0,"",IF(NOT(ISNUMBER(B1369)),"Falta fecha o fecha inválida",IF(D1369="","Falta empresa",IF(AND(D1369&lt;&gt;"Malcolm",D1369&lt;&gt;"proMX"),"Empresa inválida",IF(OR(INT(B1369)&lt;CFG_PSTART,INT(B1369)&gt;CFG_PEND),"Fecha fuera del período",IF(OR(NOT(ISNUMBER(Z1369)),NOT(ISNUMBER(AA1369))),"Falta hora inicio/fin o formato inválido",IF(AB1369=0,"Hora inicio = hora fin",IF(AE1369&lt;0,"Descanso inválido",IF(AE1369&gt;=AD1369,"Descanso ≥ duración",IF(AV1369=1,"Registro duplicado",IF(AZ1369&gt;0,"Se superpone con otro registro "&amp;D1369,IF(BB1369=0,"inicio, fin y duración neta deben ser múltiplos de "&amp;CFG_BLK&amp;" min",""))))))))))))</f>
        <v/>
      </c>
      <c r="BD1369" s="80">
        <f>IF(AND(Y1369=1,BC1369=""),1,0)</f>
        <v>0</v>
      </c>
      <c r="BE1369" s="80">
        <f>IF(AND(BD1369=1,AU1369=1),1,0)</f>
        <v>0</v>
      </c>
      <c r="BF1369" s="80" t="str">
        <f>IF(AND(D1369="proMX",BD1369=1),IF(R1369="","Draft",R1369),"")</f>
        <v/>
      </c>
      <c r="BG1369" s="80">
        <f>IF(BD1369=1,ROUND(AG1369/60,6),0)</f>
        <v>0</v>
      </c>
      <c r="BH1369" s="80">
        <f>IF(BE1369=1,ROUND(AG1369/60,6),0)</f>
        <v>0</v>
      </c>
      <c r="BI1369" s="80">
        <f>IF(BE1369=1,ROUND(AP1369/60,6),0)</f>
        <v>0</v>
      </c>
      <c r="BJ1369" s="80">
        <f>IF(BE1369=1,ROUND(AQ1369/60,6),0)</f>
        <v>0</v>
      </c>
      <c r="BK1369" s="80">
        <f>IF(BE1369=1,ROUND((AR1369+AS1369)/60,6),0)</f>
        <v>0</v>
      </c>
      <c r="BL1369" s="80">
        <f>ROUND(BH1369-BK1369,6)</f>
        <v>0</v>
      </c>
      <c r="BM1369" s="80">
        <f>IF(BE1369=1,ROUND(AR1369/60,6),0)</f>
        <v>0</v>
      </c>
      <c r="BN1369" s="80">
        <f>ROUND(BI1369-BM1369,6)</f>
        <v>0</v>
      </c>
      <c r="BO1369" s="80">
        <f>IF(BE1369=1,ROUND(AS1369/60,6),0)</f>
        <v>0</v>
      </c>
      <c r="BP1369" s="80">
        <f>ROUND(BJ1369-BO1369,6)</f>
        <v>0</v>
      </c>
      <c r="BQ1369" s="80">
        <f>IF(BE1369=1,AW1369,0)</f>
        <v>0</v>
      </c>
      <c r="BR1369" s="80">
        <f>IF(BE1369=1,AX1369,0)</f>
        <v>0</v>
      </c>
      <c r="BS1369" s="80">
        <f>IF(AND(BE1369=1,D1369="Malcolm",BA1369&gt;0),MIN(BH1369,SUMPRODUCT((R_Emp="proMX")*(R_EN&gt;0)*((R_EN-(R_EN&gt;BR1369)*(R_EN-BR1369))&gt;(R_SN+(R_SN&lt;BQ1369)*(BQ1369-R_SN)))*((R_EN-(R_EN&gt;BR1369)*(R_EN-BR1369))-(R_SN+(R_SN&lt;BQ1369)*(BQ1369-R_SN))))/60),0)</f>
        <v>0</v>
      </c>
      <c r="BT1369" s="80">
        <f>IF(AND(BE1369=1,D1369="proMX"),ROUND(BI1369*CFG_RATE+BJ1369*CFG_OTRATE,6),0)</f>
        <v>0</v>
      </c>
      <c r="BU1369" s="80">
        <f>IF(AND(BD1369=1,D1369="proMX"),ROUND(AG1369/CFG_BLK,6),0)</f>
        <v>0</v>
      </c>
      <c r="BV1369" s="80" t="str">
        <f>IF(BF1369="Approved",IF(ISNUMBER(T1369),INT(T1369),INT(B1369)),"")</f>
        <v/>
      </c>
      <c r="BW1369" s="80">
        <f>IF(ISNUMBER(B1369),IF(DB_MON="Todos",1,IF(AND(INT(B1369)&gt;=DB_MS,INT(B1369)&lt;=DB_ME),1,0)),0)</f>
        <v>0</v>
      </c>
      <c r="BX1369" s="80">
        <f>IF(DB_PROJ="Todos",1,IF(E1369&amp;""=DB_PROJ&amp;"",1,0))</f>
        <v>1</v>
      </c>
      <c r="BY1369" s="80">
        <f>BW1369*BX1369</f>
        <v>0</v>
      </c>
      <c r="BZ1369" s="80" t="str">
        <f>IF(Y1369=1,F1369&amp;IF(AND(F1369&amp;""&lt;&gt;"",E1369&amp;""&lt;&gt;"")," · ","")&amp;E1369,"")</f>
        <v/>
      </c>
      <c r="CA1369" s="80" t="str">
        <f>IF(AND(BD1369=1,E1369&amp;""&lt;&gt;""),IF(COUNTIFS($E$5:E1368,E1369,$BD$5:BD1368,1)=0,MAX($CA$5:CA1368)+1,""),"")</f>
        <v/>
      </c>
      <c r="CB1369" s="80" t="str">
        <f>IF(AND(BE1369=1,D1369="Malcolm",E1369&amp;""&lt;&gt;""),IF(COUNTIFS($D$5:D1368,"Malcolm",$E$5:E1368,E1369,$BE$5:BE1368,1)=0,MAX($CB$5:CB1368)+1,""),"")</f>
        <v/>
      </c>
      <c r="CC1369" s="80" t="str">
        <f>IF(AND(BD1369=1,D1369="proMX",E1369&amp;""&lt;&gt;""),IF(COUNTIFS($D$5:D1368,"proMX",$E$5:E1368,E1369,$BD$5:BD1368,1)=0,MAX($CC$5:CC1368)+1,""),"")</f>
        <v/>
      </c>
      <c r="CD1369" s="80" t="str">
        <f>IF(AND(BE1369=1,D1369="Malcolm",F1369&amp;""&lt;&gt;""),IF(COUNTIFS($D$5:D1368,"Malcolm",$F$5:F1368,F1369,$BE$5:BE1368,1)=0,MAX($CD$5:CD1368)+1,""),"")</f>
        <v/>
      </c>
      <c r="CE1369" s="80" t="str">
        <f>IF(AND(BD1369=1,D1369="proMX",F1369&amp;""&lt;&gt;""),IF(COUNTIFS($D$5:D1368,"proMX",$F$5:F1368,F1369,$BD$5:BD1368,1)=0,MAX($CE$5:CE1368)+1,""),"")</f>
        <v/>
      </c>
      <c r="CF1369" s="80" t="str">
        <f>IF(AND(D1369="proMX",BD1369=1),IF(OR(BF1369="Draft",BF1369="Submitted",BF1369="Returned",BF1369="Recall Requested"),MAX($CF$5:CF1368)+1,""),"")</f>
        <v/>
      </c>
      <c r="CG1369" s="80">
        <f>IF(BD1369=0,0,IF(D1369="Malcolm",1,MATCH(BF1369,{"Draft","Submitted","Approved","Returned","Recall Requested","Cancelled"},0)+1))</f>
        <v>0</v>
      </c>
      <c r="CH1369" s="80">
        <f>IF(AND(BF1369="Submitted",ISNUMBER(V1369)),IF(V1369&gt;CFG_MAXD,1,0),0)</f>
        <v>0</v>
      </c>
    </row>
    <row r="1370">
      <c r="A1370" s="71" t="str">
        <f>IF(Y1370=1,ROW()-5,"")</f>
        <v/>
      </c>
      <c r="B1370" s="72" t="n"/>
      <c r="C1370" s="71" t="str">
        <f>IF(ISNUMBER(B1370),CHOOSE(WEEKDAY(B1370,2),"Lun","Mar","Mié","Jue","Vie","Sáb","Dom"),"")</f>
        <v/>
      </c>
      <c r="D1370" s="73" t="n"/>
      <c r="E1370" s="74" t="n"/>
      <c r="F1370" s="74" t="n"/>
      <c r="G1370" s="74" t="n"/>
      <c r="H1370" s="75" t="n"/>
      <c r="I1370" s="75" t="n"/>
      <c r="J1370" s="76" t="n"/>
      <c r="K1370" s="77" t="str">
        <f>IF(AB1370=1,ROUND(AG1370/60,4),"")</f>
        <v/>
      </c>
      <c r="L1370" s="77" t="str">
        <f>IF(BD1370=1,ROUND(AP1370/60,4),"")</f>
        <v/>
      </c>
      <c r="M1370" s="77" t="str">
        <f>IF(BD1370=1,ROUND(AQ1370/60,4),"")</f>
        <v/>
      </c>
      <c r="N1370" s="71" t="str">
        <f>IF(AND(D1370="proMX",AB1370=1),ROUND(AG1370/CFG_BLK,2),"")</f>
        <v/>
      </c>
      <c r="O1370" s="77" t="str">
        <f>IF(D1370="proMX",IF(BD1370=1,ROUND(AG1370/60,4),0),"")</f>
        <v/>
      </c>
      <c r="P1370" s="78" t="str">
        <f>IF(Y1370=0,"",IF(BD1370=1,"OK",IF(D1370="proMX","Revisar bloques: ","Revisar: ")&amp;BC1370))</f>
        <v/>
      </c>
      <c r="Q1370" s="78" t="str">
        <f>IF(NOT(ISNUMBER(B1370)),"",IF(COUNTIFS(FER_F,INT(B1370))&gt;0,"Feriado"&amp;IF(AH1370=1," (laborable)"," (no laborable)"),IF(AH1370=1,"Laborable",IF(WEEKDAY(B1370,2)&gt;5,"Fin de semana","No laborable"))))</f>
        <v/>
      </c>
      <c r="R1370" s="73" t="n"/>
      <c r="S1370" s="72" t="n"/>
      <c r="T1370" s="72" t="n"/>
      <c r="U1370" s="74" t="n"/>
      <c r="V1370" s="79" t="str">
        <f>IF(AND(D1370="proMX",OR(R1370="Submitted",R1370="Recall Requested"),ISNUMBER(S1370)),CFG_TODAY-INT(S1370),"")</f>
        <v/>
      </c>
      <c r="W1370" s="78" t="str">
        <f>IF(BD1370=0,"",IF(BA1370&gt;0,"⚠ Se superpone con un registro de la otra empresa",IF(D1370="Malcolm",IF(COUNTA(R1370,S1370,T1370)&gt;0,"Estado/fechas proMX se ignoran en Malcolm",""),IF(BF1370="Cancelled","Cancelado: excluido de totales",IF(R1370="","Sin estado: se trata como Draft",IF(BF1370="Submitted",IF(ISNUMBER(V1370),IF(V1370&gt;CFG_MAXD,"⚠ "&amp;V1370&amp;" días en Submitted (máx. "&amp;CFG_MAXD&amp;")",""),"Falta fecha de envío"),IF(BF1370="Returned","⚠ Devuelto: corregir y reenviar",IF(BF1370="Recall Requested","Retirada solicitada: pendiente",IF(AND(BF1370="Approved",NOT(ISNUMBER(T1370))),"Falta fecha de aprobación",IF(AND(ISNUMBER(S1370),ISNUMBER(T1370),T1370&lt;S1370),"Aprobación anterior al envío","")))))))))</f>
        <v/>
      </c>
      <c r="Y1370" s="80">
        <f>IF(COUNTA(B1370,D1370,E1370,F1370,G1370,H1370,I1370,J1370,R1370,S1370,T1370)&gt;0,1,0)</f>
        <v>0</v>
      </c>
      <c r="Z1370" s="80" t="str">
        <f>IF(AND(ISNUMBER(H1370),H1370&gt;=0,H1370&lt;1),ROUND(H1370*1440,0),"")</f>
        <v/>
      </c>
      <c r="AA1370" s="80" t="str">
        <f>IF(AND(ISNUMBER(I1370),I1370&gt;=0,I1370&lt;1),ROUND(I1370*1440,0),"")</f>
        <v/>
      </c>
      <c r="AB1370" s="80">
        <f>IF(AND(ISNUMBER(B1370),D1370&lt;&gt;"",ISNUMBER(Z1370),ISNUMBER(AA1370)),IF(Z1370=AA1370,0,1),0)</f>
        <v>0</v>
      </c>
      <c r="AC1370" s="80">
        <f>IF(AB1370=1,IF(AA1370&lt;Z1370,1,0),0)</f>
        <v>0</v>
      </c>
      <c r="AD1370" s="80">
        <f>IF(AB1370=1,IF(AC1370=1,1440-Z1370+AA1370,AA1370-Z1370),0)</f>
        <v>0</v>
      </c>
      <c r="AE1370" s="80">
        <f>IF(J1370="",0,IF(ISNUMBER(J1370),J1370,-1))</f>
        <v>0</v>
      </c>
      <c r="AF1370" s="80">
        <f>MIN(MAX(0,AE1370),AD1370)</f>
        <v>0</v>
      </c>
      <c r="AG1370" s="80">
        <f>MAX(0,AD1370-MAX(0,AE1370))</f>
        <v>0</v>
      </c>
      <c r="AH1370" s="80">
        <f>IF(ISNUMBER(B1370),IF(AND(INDEX(CFG_WDAYS,WEEKDAY(INT(B1370),2))="Sí",IF(D1370="proMX",COUNTIFS(FER_F,INT(B1370),FER_NLP,"Sí"),COUNTIFS(FER_F,INT(B1370),FER_NLM,"Sí"))=0),1,0),0)</f>
        <v>0</v>
      </c>
      <c r="AI1370" s="80">
        <f>IF(AC1370=1,IF(AND(INDEX(CFG_WDAYS,WEEKDAY(INT(B1370)+1,2))="Sí",IF(D1370="proMX",COUNTIFS(FER_F,INT(B1370)+1,FER_NLP,"Sí"),COUNTIFS(FER_F,INT(B1370)+1,FER_NLM,"Sí"))=0),1,0),0)</f>
        <v>0</v>
      </c>
      <c r="AJ1370" s="80">
        <f>IF(AC1370=1,1440-Z1370,AD1370)</f>
        <v>0</v>
      </c>
      <c r="AK1370" s="80">
        <f>IF(AND(AB1370=1,AH1370=1),MAX(0,MIN(IF(AC1370=1,1440,AA1370),CFG_WEM)-MAX(Z1370,CFG_WSM)),0)</f>
        <v>0</v>
      </c>
      <c r="AL1370" s="80">
        <f>IF(AND(AC1370=1,AI1370=1),MAX(0,MIN(AA1370,CFG_WEM)-CFG_WSM),0)</f>
        <v>0</v>
      </c>
      <c r="AM1370" s="80">
        <f>AK1370+AL1370</f>
        <v>0</v>
      </c>
      <c r="AN1370" s="80">
        <f>IF(CFG_BRK="Proporcional",IF(AD1370=0,0,AF1370*AM1370/AD1370),IF(CFG_BRK="Extras primero",MIN(AM1370,MAX(0,AF1370-(AD1370-AM1370))),MIN(AF1370,AM1370)))</f>
        <v>0</v>
      </c>
      <c r="AO1370" s="80">
        <f>AF1370-AN1370</f>
        <v>0</v>
      </c>
      <c r="AP1370" s="80">
        <f>AM1370-AN1370</f>
        <v>0</v>
      </c>
      <c r="AQ1370" s="80">
        <f>AD1370-AM1370-AO1370</f>
        <v>0</v>
      </c>
      <c r="AR1370" s="80">
        <f>IF(AM1370=0,0,AK1370-AN1370*AK1370/AM1370)</f>
        <v>0</v>
      </c>
      <c r="AS1370" s="80">
        <f>IF(AD1370-AM1370=0,0,(AJ1370-AK1370)-AO1370*(AJ1370-AK1370)/(AD1370-AM1370))</f>
        <v>0</v>
      </c>
      <c r="AT1370" s="80" t="str">
        <f>IF(AC1370=1,INT(B1370)+1,"")</f>
        <v/>
      </c>
      <c r="AU1370" s="80">
        <f>IF(AND(D1370="proMX",R1370="Cancelled"),0,1)</f>
        <v>1</v>
      </c>
      <c r="AV1370" s="80">
        <f>IF(AND(AB1370=1,AU1370=1),IF(COUNTIFS($D$5:D1369,D1370,$B$5:B1369,B1370,$Z$5:Z1369,Z1370,$AA$5:AA1369,AA1370,$F$5:F1369,F1370&amp;"",$AU$5:AU1369,1)&gt;0,1,0),0)</f>
        <v>0</v>
      </c>
      <c r="AW1370" s="80" t="str">
        <f>IF(AB1370=1,INT(B1370)*1440+Z1370,"")</f>
        <v/>
      </c>
      <c r="AX1370" s="80" t="str">
        <f>IF(AB1370=1,AW1370+AD1370,"")</f>
        <v/>
      </c>
      <c r="AY1370" s="80">
        <f>IF(AND(AB1370=1,AV1370=0,AU1370=1),1,0)</f>
        <v>0</v>
      </c>
      <c r="AZ1370" s="80">
        <f>IF(AY1370=1,COUNTIFS(R_Emp,D1370,R_SAbs,"&lt;"&amp;AX1370,R_EAbs,"&gt;"&amp;AW1370,R_OKey,1)-1,0)</f>
        <v>0</v>
      </c>
      <c r="BA1370" s="80">
        <f>IF(AY1370=1,COUNTIFS(R_Emp,"&lt;&gt;"&amp;D1370,R_SAbs,"&lt;"&amp;AX1370,R_EAbs,"&gt;"&amp;AW1370,R_OKey,1),0)</f>
        <v>0</v>
      </c>
      <c r="BB1370" s="80">
        <f>IF(AND(AB1370=1,D1370="proMX"),IF(AND(MOD(Z1370,CFG_BLK)=0,MOD(AA1370,CFG_BLK)=0,MOD(AG1370,CFG_BLK)=0,AG1370&gt;0),1,0),1)</f>
        <v>1</v>
      </c>
      <c r="BC1370" s="80" t="str">
        <f>IF(Y1370=0,"",IF(NOT(ISNUMBER(B1370)),"Falta fecha o fecha inválida",IF(D1370="","Falta empresa",IF(AND(D1370&lt;&gt;"Malcolm",D1370&lt;&gt;"proMX"),"Empresa inválida",IF(OR(INT(B1370)&lt;CFG_PSTART,INT(B1370)&gt;CFG_PEND),"Fecha fuera del período",IF(OR(NOT(ISNUMBER(Z1370)),NOT(ISNUMBER(AA1370))),"Falta hora inicio/fin o formato inválido",IF(AB1370=0,"Hora inicio = hora fin",IF(AE1370&lt;0,"Descanso inválido",IF(AE1370&gt;=AD1370,"Descanso ≥ duración",IF(AV1370=1,"Registro duplicado",IF(AZ1370&gt;0,"Se superpone con otro registro "&amp;D1370,IF(BB1370=0,"inicio, fin y duración neta deben ser múltiplos de "&amp;CFG_BLK&amp;" min",""))))))))))))</f>
        <v/>
      </c>
      <c r="BD1370" s="80">
        <f>IF(AND(Y1370=1,BC1370=""),1,0)</f>
        <v>0</v>
      </c>
      <c r="BE1370" s="80">
        <f>IF(AND(BD1370=1,AU1370=1),1,0)</f>
        <v>0</v>
      </c>
      <c r="BF1370" s="80" t="str">
        <f>IF(AND(D1370="proMX",BD1370=1),IF(R1370="","Draft",R1370),"")</f>
        <v/>
      </c>
      <c r="BG1370" s="80">
        <f>IF(BD1370=1,ROUND(AG1370/60,6),0)</f>
        <v>0</v>
      </c>
      <c r="BH1370" s="80">
        <f>IF(BE1370=1,ROUND(AG1370/60,6),0)</f>
        <v>0</v>
      </c>
      <c r="BI1370" s="80">
        <f>IF(BE1370=1,ROUND(AP1370/60,6),0)</f>
        <v>0</v>
      </c>
      <c r="BJ1370" s="80">
        <f>IF(BE1370=1,ROUND(AQ1370/60,6),0)</f>
        <v>0</v>
      </c>
      <c r="BK1370" s="80">
        <f>IF(BE1370=1,ROUND((AR1370+AS1370)/60,6),0)</f>
        <v>0</v>
      </c>
      <c r="BL1370" s="80">
        <f>ROUND(BH1370-BK1370,6)</f>
        <v>0</v>
      </c>
      <c r="BM1370" s="80">
        <f>IF(BE1370=1,ROUND(AR1370/60,6),0)</f>
        <v>0</v>
      </c>
      <c r="BN1370" s="80">
        <f>ROUND(BI1370-BM1370,6)</f>
        <v>0</v>
      </c>
      <c r="BO1370" s="80">
        <f>IF(BE1370=1,ROUND(AS1370/60,6),0)</f>
        <v>0</v>
      </c>
      <c r="BP1370" s="80">
        <f>ROUND(BJ1370-BO1370,6)</f>
        <v>0</v>
      </c>
      <c r="BQ1370" s="80">
        <f>IF(BE1370=1,AW1370,0)</f>
        <v>0</v>
      </c>
      <c r="BR1370" s="80">
        <f>IF(BE1370=1,AX1370,0)</f>
        <v>0</v>
      </c>
      <c r="BS1370" s="80">
        <f>IF(AND(BE1370=1,D1370="Malcolm",BA1370&gt;0),MIN(BH1370,SUMPRODUCT((R_Emp="proMX")*(R_EN&gt;0)*((R_EN-(R_EN&gt;BR1370)*(R_EN-BR1370))&gt;(R_SN+(R_SN&lt;BQ1370)*(BQ1370-R_SN)))*((R_EN-(R_EN&gt;BR1370)*(R_EN-BR1370))-(R_SN+(R_SN&lt;BQ1370)*(BQ1370-R_SN))))/60),0)</f>
        <v>0</v>
      </c>
      <c r="BT1370" s="80">
        <f>IF(AND(BE1370=1,D1370="proMX"),ROUND(BI1370*CFG_RATE+BJ1370*CFG_OTRATE,6),0)</f>
        <v>0</v>
      </c>
      <c r="BU1370" s="80">
        <f>IF(AND(BD1370=1,D1370="proMX"),ROUND(AG1370/CFG_BLK,6),0)</f>
        <v>0</v>
      </c>
      <c r="BV1370" s="80" t="str">
        <f>IF(BF1370="Approved",IF(ISNUMBER(T1370),INT(T1370),INT(B1370)),"")</f>
        <v/>
      </c>
      <c r="BW1370" s="80">
        <f>IF(ISNUMBER(B1370),IF(DB_MON="Todos",1,IF(AND(INT(B1370)&gt;=DB_MS,INT(B1370)&lt;=DB_ME),1,0)),0)</f>
        <v>0</v>
      </c>
      <c r="BX1370" s="80">
        <f>IF(DB_PROJ="Todos",1,IF(E1370&amp;""=DB_PROJ&amp;"",1,0))</f>
        <v>1</v>
      </c>
      <c r="BY1370" s="80">
        <f>BW1370*BX1370</f>
        <v>0</v>
      </c>
      <c r="BZ1370" s="80" t="str">
        <f>IF(Y1370=1,F1370&amp;IF(AND(F1370&amp;""&lt;&gt;"",E1370&amp;""&lt;&gt;"")," · ","")&amp;E1370,"")</f>
        <v/>
      </c>
      <c r="CA1370" s="80" t="str">
        <f>IF(AND(BD1370=1,E1370&amp;""&lt;&gt;""),IF(COUNTIFS($E$5:E1369,E1370,$BD$5:BD1369,1)=0,MAX($CA$5:CA1369)+1,""),"")</f>
        <v/>
      </c>
      <c r="CB1370" s="80" t="str">
        <f>IF(AND(BE1370=1,D1370="Malcolm",E1370&amp;""&lt;&gt;""),IF(COUNTIFS($D$5:D1369,"Malcolm",$E$5:E1369,E1370,$BE$5:BE1369,1)=0,MAX($CB$5:CB1369)+1,""),"")</f>
        <v/>
      </c>
      <c r="CC1370" s="80" t="str">
        <f>IF(AND(BD1370=1,D1370="proMX",E1370&amp;""&lt;&gt;""),IF(COUNTIFS($D$5:D1369,"proMX",$E$5:E1369,E1370,$BD$5:BD1369,1)=0,MAX($CC$5:CC1369)+1,""),"")</f>
        <v/>
      </c>
      <c r="CD1370" s="80" t="str">
        <f>IF(AND(BE1370=1,D1370="Malcolm",F1370&amp;""&lt;&gt;""),IF(COUNTIFS($D$5:D1369,"Malcolm",$F$5:F1369,F1370,$BE$5:BE1369,1)=0,MAX($CD$5:CD1369)+1,""),"")</f>
        <v/>
      </c>
      <c r="CE1370" s="80" t="str">
        <f>IF(AND(BD1370=1,D1370="proMX",F1370&amp;""&lt;&gt;""),IF(COUNTIFS($D$5:D1369,"proMX",$F$5:F1369,F1370,$BD$5:BD1369,1)=0,MAX($CE$5:CE1369)+1,""),"")</f>
        <v/>
      </c>
      <c r="CF1370" s="80" t="str">
        <f>IF(AND(D1370="proMX",BD1370=1),IF(OR(BF1370="Draft",BF1370="Submitted",BF1370="Returned",BF1370="Recall Requested"),MAX($CF$5:CF1369)+1,""),"")</f>
        <v/>
      </c>
      <c r="CG1370" s="80">
        <f>IF(BD1370=0,0,IF(D1370="Malcolm",1,MATCH(BF1370,{"Draft","Submitted","Approved","Returned","Recall Requested","Cancelled"},0)+1))</f>
        <v>0</v>
      </c>
      <c r="CH1370" s="80">
        <f>IF(AND(BF1370="Submitted",ISNUMBER(V1370)),IF(V1370&gt;CFG_MAXD,1,0),0)</f>
        <v>0</v>
      </c>
    </row>
    <row r="1371">
      <c r="A1371" s="71" t="str">
        <f>IF(Y1371=1,ROW()-5,"")</f>
        <v/>
      </c>
      <c r="B1371" s="72" t="n"/>
      <c r="C1371" s="71" t="str">
        <f>IF(ISNUMBER(B1371),CHOOSE(WEEKDAY(B1371,2),"Lun","Mar","Mié","Jue","Vie","Sáb","Dom"),"")</f>
        <v/>
      </c>
      <c r="D1371" s="73" t="n"/>
      <c r="E1371" s="74" t="n"/>
      <c r="F1371" s="74" t="n"/>
      <c r="G1371" s="74" t="n"/>
      <c r="H1371" s="75" t="n"/>
      <c r="I1371" s="75" t="n"/>
      <c r="J1371" s="76" t="n"/>
      <c r="K1371" s="77" t="str">
        <f>IF(AB1371=1,ROUND(AG1371/60,4),"")</f>
        <v/>
      </c>
      <c r="L1371" s="77" t="str">
        <f>IF(BD1371=1,ROUND(AP1371/60,4),"")</f>
        <v/>
      </c>
      <c r="M1371" s="77" t="str">
        <f>IF(BD1371=1,ROUND(AQ1371/60,4),"")</f>
        <v/>
      </c>
      <c r="N1371" s="71" t="str">
        <f>IF(AND(D1371="proMX",AB1371=1),ROUND(AG1371/CFG_BLK,2),"")</f>
        <v/>
      </c>
      <c r="O1371" s="77" t="str">
        <f>IF(D1371="proMX",IF(BD1371=1,ROUND(AG1371/60,4),0),"")</f>
        <v/>
      </c>
      <c r="P1371" s="78" t="str">
        <f>IF(Y1371=0,"",IF(BD1371=1,"OK",IF(D1371="proMX","Revisar bloques: ","Revisar: ")&amp;BC1371))</f>
        <v/>
      </c>
      <c r="Q1371" s="78" t="str">
        <f>IF(NOT(ISNUMBER(B1371)),"",IF(COUNTIFS(FER_F,INT(B1371))&gt;0,"Feriado"&amp;IF(AH1371=1," (laborable)"," (no laborable)"),IF(AH1371=1,"Laborable",IF(WEEKDAY(B1371,2)&gt;5,"Fin de semana","No laborable"))))</f>
        <v/>
      </c>
      <c r="R1371" s="73" t="n"/>
      <c r="S1371" s="72" t="n"/>
      <c r="T1371" s="72" t="n"/>
      <c r="U1371" s="74" t="n"/>
      <c r="V1371" s="79" t="str">
        <f>IF(AND(D1371="proMX",OR(R1371="Submitted",R1371="Recall Requested"),ISNUMBER(S1371)),CFG_TODAY-INT(S1371),"")</f>
        <v/>
      </c>
      <c r="W1371" s="78" t="str">
        <f>IF(BD1371=0,"",IF(BA1371&gt;0,"⚠ Se superpone con un registro de la otra empresa",IF(D1371="Malcolm",IF(COUNTA(R1371,S1371,T1371)&gt;0,"Estado/fechas proMX se ignoran en Malcolm",""),IF(BF1371="Cancelled","Cancelado: excluido de totales",IF(R1371="","Sin estado: se trata como Draft",IF(BF1371="Submitted",IF(ISNUMBER(V1371),IF(V1371&gt;CFG_MAXD,"⚠ "&amp;V1371&amp;" días en Submitted (máx. "&amp;CFG_MAXD&amp;")",""),"Falta fecha de envío"),IF(BF1371="Returned","⚠ Devuelto: corregir y reenviar",IF(BF1371="Recall Requested","Retirada solicitada: pendiente",IF(AND(BF1371="Approved",NOT(ISNUMBER(T1371))),"Falta fecha de aprobación",IF(AND(ISNUMBER(S1371),ISNUMBER(T1371),T1371&lt;S1371),"Aprobación anterior al envío","")))))))))</f>
        <v/>
      </c>
      <c r="Y1371" s="80">
        <f>IF(COUNTA(B1371,D1371,E1371,F1371,G1371,H1371,I1371,J1371,R1371,S1371,T1371)&gt;0,1,0)</f>
        <v>0</v>
      </c>
      <c r="Z1371" s="80" t="str">
        <f>IF(AND(ISNUMBER(H1371),H1371&gt;=0,H1371&lt;1),ROUND(H1371*1440,0),"")</f>
        <v/>
      </c>
      <c r="AA1371" s="80" t="str">
        <f>IF(AND(ISNUMBER(I1371),I1371&gt;=0,I1371&lt;1),ROUND(I1371*1440,0),"")</f>
        <v/>
      </c>
      <c r="AB1371" s="80">
        <f>IF(AND(ISNUMBER(B1371),D1371&lt;&gt;"",ISNUMBER(Z1371),ISNUMBER(AA1371)),IF(Z1371=AA1371,0,1),0)</f>
        <v>0</v>
      </c>
      <c r="AC1371" s="80">
        <f>IF(AB1371=1,IF(AA1371&lt;Z1371,1,0),0)</f>
        <v>0</v>
      </c>
      <c r="AD1371" s="80">
        <f>IF(AB1371=1,IF(AC1371=1,1440-Z1371+AA1371,AA1371-Z1371),0)</f>
        <v>0</v>
      </c>
      <c r="AE1371" s="80">
        <f>IF(J1371="",0,IF(ISNUMBER(J1371),J1371,-1))</f>
        <v>0</v>
      </c>
      <c r="AF1371" s="80">
        <f>MIN(MAX(0,AE1371),AD1371)</f>
        <v>0</v>
      </c>
      <c r="AG1371" s="80">
        <f>MAX(0,AD1371-MAX(0,AE1371))</f>
        <v>0</v>
      </c>
      <c r="AH1371" s="80">
        <f>IF(ISNUMBER(B1371),IF(AND(INDEX(CFG_WDAYS,WEEKDAY(INT(B1371),2))="Sí",IF(D1371="proMX",COUNTIFS(FER_F,INT(B1371),FER_NLP,"Sí"),COUNTIFS(FER_F,INT(B1371),FER_NLM,"Sí"))=0),1,0),0)</f>
        <v>0</v>
      </c>
      <c r="AI1371" s="80">
        <f>IF(AC1371=1,IF(AND(INDEX(CFG_WDAYS,WEEKDAY(INT(B1371)+1,2))="Sí",IF(D1371="proMX",COUNTIFS(FER_F,INT(B1371)+1,FER_NLP,"Sí"),COUNTIFS(FER_F,INT(B1371)+1,FER_NLM,"Sí"))=0),1,0),0)</f>
        <v>0</v>
      </c>
      <c r="AJ1371" s="80">
        <f>IF(AC1371=1,1440-Z1371,AD1371)</f>
        <v>0</v>
      </c>
      <c r="AK1371" s="80">
        <f>IF(AND(AB1371=1,AH1371=1),MAX(0,MIN(IF(AC1371=1,1440,AA1371),CFG_WEM)-MAX(Z1371,CFG_WSM)),0)</f>
        <v>0</v>
      </c>
      <c r="AL1371" s="80">
        <f>IF(AND(AC1371=1,AI1371=1),MAX(0,MIN(AA1371,CFG_WEM)-CFG_WSM),0)</f>
        <v>0</v>
      </c>
      <c r="AM1371" s="80">
        <f>AK1371+AL1371</f>
        <v>0</v>
      </c>
      <c r="AN1371" s="80">
        <f>IF(CFG_BRK="Proporcional",IF(AD1371=0,0,AF1371*AM1371/AD1371),IF(CFG_BRK="Extras primero",MIN(AM1371,MAX(0,AF1371-(AD1371-AM1371))),MIN(AF1371,AM1371)))</f>
        <v>0</v>
      </c>
      <c r="AO1371" s="80">
        <f>AF1371-AN1371</f>
        <v>0</v>
      </c>
      <c r="AP1371" s="80">
        <f>AM1371-AN1371</f>
        <v>0</v>
      </c>
      <c r="AQ1371" s="80">
        <f>AD1371-AM1371-AO1371</f>
        <v>0</v>
      </c>
      <c r="AR1371" s="80">
        <f>IF(AM1371=0,0,AK1371-AN1371*AK1371/AM1371)</f>
        <v>0</v>
      </c>
      <c r="AS1371" s="80">
        <f>IF(AD1371-AM1371=0,0,(AJ1371-AK1371)-AO1371*(AJ1371-AK1371)/(AD1371-AM1371))</f>
        <v>0</v>
      </c>
      <c r="AT1371" s="80" t="str">
        <f>IF(AC1371=1,INT(B1371)+1,"")</f>
        <v/>
      </c>
      <c r="AU1371" s="80">
        <f>IF(AND(D1371="proMX",R1371="Cancelled"),0,1)</f>
        <v>1</v>
      </c>
      <c r="AV1371" s="80">
        <f>IF(AND(AB1371=1,AU1371=1),IF(COUNTIFS($D$5:D1370,D1371,$B$5:B1370,B1371,$Z$5:Z1370,Z1371,$AA$5:AA1370,AA1371,$F$5:F1370,F1371&amp;"",$AU$5:AU1370,1)&gt;0,1,0),0)</f>
        <v>0</v>
      </c>
      <c r="AW1371" s="80" t="str">
        <f>IF(AB1371=1,INT(B1371)*1440+Z1371,"")</f>
        <v/>
      </c>
      <c r="AX1371" s="80" t="str">
        <f>IF(AB1371=1,AW1371+AD1371,"")</f>
        <v/>
      </c>
      <c r="AY1371" s="80">
        <f>IF(AND(AB1371=1,AV1371=0,AU1371=1),1,0)</f>
        <v>0</v>
      </c>
      <c r="AZ1371" s="80">
        <f>IF(AY1371=1,COUNTIFS(R_Emp,D1371,R_SAbs,"&lt;"&amp;AX1371,R_EAbs,"&gt;"&amp;AW1371,R_OKey,1)-1,0)</f>
        <v>0</v>
      </c>
      <c r="BA1371" s="80">
        <f>IF(AY1371=1,COUNTIFS(R_Emp,"&lt;&gt;"&amp;D1371,R_SAbs,"&lt;"&amp;AX1371,R_EAbs,"&gt;"&amp;AW1371,R_OKey,1),0)</f>
        <v>0</v>
      </c>
      <c r="BB1371" s="80">
        <f>IF(AND(AB1371=1,D1371="proMX"),IF(AND(MOD(Z1371,CFG_BLK)=0,MOD(AA1371,CFG_BLK)=0,MOD(AG1371,CFG_BLK)=0,AG1371&gt;0),1,0),1)</f>
        <v>1</v>
      </c>
      <c r="BC1371" s="80" t="str">
        <f>IF(Y1371=0,"",IF(NOT(ISNUMBER(B1371)),"Falta fecha o fecha inválida",IF(D1371="","Falta empresa",IF(AND(D1371&lt;&gt;"Malcolm",D1371&lt;&gt;"proMX"),"Empresa inválida",IF(OR(INT(B1371)&lt;CFG_PSTART,INT(B1371)&gt;CFG_PEND),"Fecha fuera del período",IF(OR(NOT(ISNUMBER(Z1371)),NOT(ISNUMBER(AA1371))),"Falta hora inicio/fin o formato inválido",IF(AB1371=0,"Hora inicio = hora fin",IF(AE1371&lt;0,"Descanso inválido",IF(AE1371&gt;=AD1371,"Descanso ≥ duración",IF(AV1371=1,"Registro duplicado",IF(AZ1371&gt;0,"Se superpone con otro registro "&amp;D1371,IF(BB1371=0,"inicio, fin y duración neta deben ser múltiplos de "&amp;CFG_BLK&amp;" min",""))))))))))))</f>
        <v/>
      </c>
      <c r="BD1371" s="80">
        <f>IF(AND(Y1371=1,BC1371=""),1,0)</f>
        <v>0</v>
      </c>
      <c r="BE1371" s="80">
        <f>IF(AND(BD1371=1,AU1371=1),1,0)</f>
        <v>0</v>
      </c>
      <c r="BF1371" s="80" t="str">
        <f>IF(AND(D1371="proMX",BD1371=1),IF(R1371="","Draft",R1371),"")</f>
        <v/>
      </c>
      <c r="BG1371" s="80">
        <f>IF(BD1371=1,ROUND(AG1371/60,6),0)</f>
        <v>0</v>
      </c>
      <c r="BH1371" s="80">
        <f>IF(BE1371=1,ROUND(AG1371/60,6),0)</f>
        <v>0</v>
      </c>
      <c r="BI1371" s="80">
        <f>IF(BE1371=1,ROUND(AP1371/60,6),0)</f>
        <v>0</v>
      </c>
      <c r="BJ1371" s="80">
        <f>IF(BE1371=1,ROUND(AQ1371/60,6),0)</f>
        <v>0</v>
      </c>
      <c r="BK1371" s="80">
        <f>IF(BE1371=1,ROUND((AR1371+AS1371)/60,6),0)</f>
        <v>0</v>
      </c>
      <c r="BL1371" s="80">
        <f>ROUND(BH1371-BK1371,6)</f>
        <v>0</v>
      </c>
      <c r="BM1371" s="80">
        <f>IF(BE1371=1,ROUND(AR1371/60,6),0)</f>
        <v>0</v>
      </c>
      <c r="BN1371" s="80">
        <f>ROUND(BI1371-BM1371,6)</f>
        <v>0</v>
      </c>
      <c r="BO1371" s="80">
        <f>IF(BE1371=1,ROUND(AS1371/60,6),0)</f>
        <v>0</v>
      </c>
      <c r="BP1371" s="80">
        <f>ROUND(BJ1371-BO1371,6)</f>
        <v>0</v>
      </c>
      <c r="BQ1371" s="80">
        <f>IF(BE1371=1,AW1371,0)</f>
        <v>0</v>
      </c>
      <c r="BR1371" s="80">
        <f>IF(BE1371=1,AX1371,0)</f>
        <v>0</v>
      </c>
      <c r="BS1371" s="80">
        <f>IF(AND(BE1371=1,D1371="Malcolm",BA1371&gt;0),MIN(BH1371,SUMPRODUCT((R_Emp="proMX")*(R_EN&gt;0)*((R_EN-(R_EN&gt;BR1371)*(R_EN-BR1371))&gt;(R_SN+(R_SN&lt;BQ1371)*(BQ1371-R_SN)))*((R_EN-(R_EN&gt;BR1371)*(R_EN-BR1371))-(R_SN+(R_SN&lt;BQ1371)*(BQ1371-R_SN))))/60),0)</f>
        <v>0</v>
      </c>
      <c r="BT1371" s="80">
        <f>IF(AND(BE1371=1,D1371="proMX"),ROUND(BI1371*CFG_RATE+BJ1371*CFG_OTRATE,6),0)</f>
        <v>0</v>
      </c>
      <c r="BU1371" s="80">
        <f>IF(AND(BD1371=1,D1371="proMX"),ROUND(AG1371/CFG_BLK,6),0)</f>
        <v>0</v>
      </c>
      <c r="BV1371" s="80" t="str">
        <f>IF(BF1371="Approved",IF(ISNUMBER(T1371),INT(T1371),INT(B1371)),"")</f>
        <v/>
      </c>
      <c r="BW1371" s="80">
        <f>IF(ISNUMBER(B1371),IF(DB_MON="Todos",1,IF(AND(INT(B1371)&gt;=DB_MS,INT(B1371)&lt;=DB_ME),1,0)),0)</f>
        <v>0</v>
      </c>
      <c r="BX1371" s="80">
        <f>IF(DB_PROJ="Todos",1,IF(E1371&amp;""=DB_PROJ&amp;"",1,0))</f>
        <v>1</v>
      </c>
      <c r="BY1371" s="80">
        <f>BW1371*BX1371</f>
        <v>0</v>
      </c>
      <c r="BZ1371" s="80" t="str">
        <f>IF(Y1371=1,F1371&amp;IF(AND(F1371&amp;""&lt;&gt;"",E1371&amp;""&lt;&gt;"")," · ","")&amp;E1371,"")</f>
        <v/>
      </c>
      <c r="CA1371" s="80" t="str">
        <f>IF(AND(BD1371=1,E1371&amp;""&lt;&gt;""),IF(COUNTIFS($E$5:E1370,E1371,$BD$5:BD1370,1)=0,MAX($CA$5:CA1370)+1,""),"")</f>
        <v/>
      </c>
      <c r="CB1371" s="80" t="str">
        <f>IF(AND(BE1371=1,D1371="Malcolm",E1371&amp;""&lt;&gt;""),IF(COUNTIFS($D$5:D1370,"Malcolm",$E$5:E1370,E1371,$BE$5:BE1370,1)=0,MAX($CB$5:CB1370)+1,""),"")</f>
        <v/>
      </c>
      <c r="CC1371" s="80" t="str">
        <f>IF(AND(BD1371=1,D1371="proMX",E1371&amp;""&lt;&gt;""),IF(COUNTIFS($D$5:D1370,"proMX",$E$5:E1370,E1371,$BD$5:BD1370,1)=0,MAX($CC$5:CC1370)+1,""),"")</f>
        <v/>
      </c>
      <c r="CD1371" s="80" t="str">
        <f>IF(AND(BE1371=1,D1371="Malcolm",F1371&amp;""&lt;&gt;""),IF(COUNTIFS($D$5:D1370,"Malcolm",$F$5:F1370,F1371,$BE$5:BE1370,1)=0,MAX($CD$5:CD1370)+1,""),"")</f>
        <v/>
      </c>
      <c r="CE1371" s="80" t="str">
        <f>IF(AND(BD1371=1,D1371="proMX",F1371&amp;""&lt;&gt;""),IF(COUNTIFS($D$5:D1370,"proMX",$F$5:F1370,F1371,$BD$5:BD1370,1)=0,MAX($CE$5:CE1370)+1,""),"")</f>
        <v/>
      </c>
      <c r="CF1371" s="80" t="str">
        <f>IF(AND(D1371="proMX",BD1371=1),IF(OR(BF1371="Draft",BF1371="Submitted",BF1371="Returned",BF1371="Recall Requested"),MAX($CF$5:CF1370)+1,""),"")</f>
        <v/>
      </c>
      <c r="CG1371" s="80">
        <f>IF(BD1371=0,0,IF(D1371="Malcolm",1,MATCH(BF1371,{"Draft","Submitted","Approved","Returned","Recall Requested","Cancelled"},0)+1))</f>
        <v>0</v>
      </c>
      <c r="CH1371" s="80">
        <f>IF(AND(BF1371="Submitted",ISNUMBER(V1371)),IF(V1371&gt;CFG_MAXD,1,0),0)</f>
        <v>0</v>
      </c>
    </row>
    <row r="1372">
      <c r="A1372" s="71" t="str">
        <f>IF(Y1372=1,ROW()-5,"")</f>
        <v/>
      </c>
      <c r="B1372" s="72" t="n"/>
      <c r="C1372" s="71" t="str">
        <f>IF(ISNUMBER(B1372),CHOOSE(WEEKDAY(B1372,2),"Lun","Mar","Mié","Jue","Vie","Sáb","Dom"),"")</f>
        <v/>
      </c>
      <c r="D1372" s="73" t="n"/>
      <c r="E1372" s="74" t="n"/>
      <c r="F1372" s="74" t="n"/>
      <c r="G1372" s="74" t="n"/>
      <c r="H1372" s="75" t="n"/>
      <c r="I1372" s="75" t="n"/>
      <c r="J1372" s="76" t="n"/>
      <c r="K1372" s="77" t="str">
        <f>IF(AB1372=1,ROUND(AG1372/60,4),"")</f>
        <v/>
      </c>
      <c r="L1372" s="77" t="str">
        <f>IF(BD1372=1,ROUND(AP1372/60,4),"")</f>
        <v/>
      </c>
      <c r="M1372" s="77" t="str">
        <f>IF(BD1372=1,ROUND(AQ1372/60,4),"")</f>
        <v/>
      </c>
      <c r="N1372" s="71" t="str">
        <f>IF(AND(D1372="proMX",AB1372=1),ROUND(AG1372/CFG_BLK,2),"")</f>
        <v/>
      </c>
      <c r="O1372" s="77" t="str">
        <f>IF(D1372="proMX",IF(BD1372=1,ROUND(AG1372/60,4),0),"")</f>
        <v/>
      </c>
      <c r="P1372" s="78" t="str">
        <f>IF(Y1372=0,"",IF(BD1372=1,"OK",IF(D1372="proMX","Revisar bloques: ","Revisar: ")&amp;BC1372))</f>
        <v/>
      </c>
      <c r="Q1372" s="78" t="str">
        <f>IF(NOT(ISNUMBER(B1372)),"",IF(COUNTIFS(FER_F,INT(B1372))&gt;0,"Feriado"&amp;IF(AH1372=1," (laborable)"," (no laborable)"),IF(AH1372=1,"Laborable",IF(WEEKDAY(B1372,2)&gt;5,"Fin de semana","No laborable"))))</f>
        <v/>
      </c>
      <c r="R1372" s="73" t="n"/>
      <c r="S1372" s="72" t="n"/>
      <c r="T1372" s="72" t="n"/>
      <c r="U1372" s="74" t="n"/>
      <c r="V1372" s="79" t="str">
        <f>IF(AND(D1372="proMX",OR(R1372="Submitted",R1372="Recall Requested"),ISNUMBER(S1372)),CFG_TODAY-INT(S1372),"")</f>
        <v/>
      </c>
      <c r="W1372" s="78" t="str">
        <f>IF(BD1372=0,"",IF(BA1372&gt;0,"⚠ Se superpone con un registro de la otra empresa",IF(D1372="Malcolm",IF(COUNTA(R1372,S1372,T1372)&gt;0,"Estado/fechas proMX se ignoran en Malcolm",""),IF(BF1372="Cancelled","Cancelado: excluido de totales",IF(R1372="","Sin estado: se trata como Draft",IF(BF1372="Submitted",IF(ISNUMBER(V1372),IF(V1372&gt;CFG_MAXD,"⚠ "&amp;V1372&amp;" días en Submitted (máx. "&amp;CFG_MAXD&amp;")",""),"Falta fecha de envío"),IF(BF1372="Returned","⚠ Devuelto: corregir y reenviar",IF(BF1372="Recall Requested","Retirada solicitada: pendiente",IF(AND(BF1372="Approved",NOT(ISNUMBER(T1372))),"Falta fecha de aprobación",IF(AND(ISNUMBER(S1372),ISNUMBER(T1372),T1372&lt;S1372),"Aprobación anterior al envío","")))))))))</f>
        <v/>
      </c>
      <c r="Y1372" s="80">
        <f>IF(COUNTA(B1372,D1372,E1372,F1372,G1372,H1372,I1372,J1372,R1372,S1372,T1372)&gt;0,1,0)</f>
        <v>0</v>
      </c>
      <c r="Z1372" s="80" t="str">
        <f>IF(AND(ISNUMBER(H1372),H1372&gt;=0,H1372&lt;1),ROUND(H1372*1440,0),"")</f>
        <v/>
      </c>
      <c r="AA1372" s="80" t="str">
        <f>IF(AND(ISNUMBER(I1372),I1372&gt;=0,I1372&lt;1),ROUND(I1372*1440,0),"")</f>
        <v/>
      </c>
      <c r="AB1372" s="80">
        <f>IF(AND(ISNUMBER(B1372),D1372&lt;&gt;"",ISNUMBER(Z1372),ISNUMBER(AA1372)),IF(Z1372=AA1372,0,1),0)</f>
        <v>0</v>
      </c>
      <c r="AC1372" s="80">
        <f>IF(AB1372=1,IF(AA1372&lt;Z1372,1,0),0)</f>
        <v>0</v>
      </c>
      <c r="AD1372" s="80">
        <f>IF(AB1372=1,IF(AC1372=1,1440-Z1372+AA1372,AA1372-Z1372),0)</f>
        <v>0</v>
      </c>
      <c r="AE1372" s="80">
        <f>IF(J1372="",0,IF(ISNUMBER(J1372),J1372,-1))</f>
        <v>0</v>
      </c>
      <c r="AF1372" s="80">
        <f>MIN(MAX(0,AE1372),AD1372)</f>
        <v>0</v>
      </c>
      <c r="AG1372" s="80">
        <f>MAX(0,AD1372-MAX(0,AE1372))</f>
        <v>0</v>
      </c>
      <c r="AH1372" s="80">
        <f>IF(ISNUMBER(B1372),IF(AND(INDEX(CFG_WDAYS,WEEKDAY(INT(B1372),2))="Sí",IF(D1372="proMX",COUNTIFS(FER_F,INT(B1372),FER_NLP,"Sí"),COUNTIFS(FER_F,INT(B1372),FER_NLM,"Sí"))=0),1,0),0)</f>
        <v>0</v>
      </c>
      <c r="AI1372" s="80">
        <f>IF(AC1372=1,IF(AND(INDEX(CFG_WDAYS,WEEKDAY(INT(B1372)+1,2))="Sí",IF(D1372="proMX",COUNTIFS(FER_F,INT(B1372)+1,FER_NLP,"Sí"),COUNTIFS(FER_F,INT(B1372)+1,FER_NLM,"Sí"))=0),1,0),0)</f>
        <v>0</v>
      </c>
      <c r="AJ1372" s="80">
        <f>IF(AC1372=1,1440-Z1372,AD1372)</f>
        <v>0</v>
      </c>
      <c r="AK1372" s="80">
        <f>IF(AND(AB1372=1,AH1372=1),MAX(0,MIN(IF(AC1372=1,1440,AA1372),CFG_WEM)-MAX(Z1372,CFG_WSM)),0)</f>
        <v>0</v>
      </c>
      <c r="AL1372" s="80">
        <f>IF(AND(AC1372=1,AI1372=1),MAX(0,MIN(AA1372,CFG_WEM)-CFG_WSM),0)</f>
        <v>0</v>
      </c>
      <c r="AM1372" s="80">
        <f>AK1372+AL1372</f>
        <v>0</v>
      </c>
      <c r="AN1372" s="80">
        <f>IF(CFG_BRK="Proporcional",IF(AD1372=0,0,AF1372*AM1372/AD1372),IF(CFG_BRK="Extras primero",MIN(AM1372,MAX(0,AF1372-(AD1372-AM1372))),MIN(AF1372,AM1372)))</f>
        <v>0</v>
      </c>
      <c r="AO1372" s="80">
        <f>AF1372-AN1372</f>
        <v>0</v>
      </c>
      <c r="AP1372" s="80">
        <f>AM1372-AN1372</f>
        <v>0</v>
      </c>
      <c r="AQ1372" s="80">
        <f>AD1372-AM1372-AO1372</f>
        <v>0</v>
      </c>
      <c r="AR1372" s="80">
        <f>IF(AM1372=0,0,AK1372-AN1372*AK1372/AM1372)</f>
        <v>0</v>
      </c>
      <c r="AS1372" s="80">
        <f>IF(AD1372-AM1372=0,0,(AJ1372-AK1372)-AO1372*(AJ1372-AK1372)/(AD1372-AM1372))</f>
        <v>0</v>
      </c>
      <c r="AT1372" s="80" t="str">
        <f>IF(AC1372=1,INT(B1372)+1,"")</f>
        <v/>
      </c>
      <c r="AU1372" s="80">
        <f>IF(AND(D1372="proMX",R1372="Cancelled"),0,1)</f>
        <v>1</v>
      </c>
      <c r="AV1372" s="80">
        <f>IF(AND(AB1372=1,AU1372=1),IF(COUNTIFS($D$5:D1371,D1372,$B$5:B1371,B1372,$Z$5:Z1371,Z1372,$AA$5:AA1371,AA1372,$F$5:F1371,F1372&amp;"",$AU$5:AU1371,1)&gt;0,1,0),0)</f>
        <v>0</v>
      </c>
      <c r="AW1372" s="80" t="str">
        <f>IF(AB1372=1,INT(B1372)*1440+Z1372,"")</f>
        <v/>
      </c>
      <c r="AX1372" s="80" t="str">
        <f>IF(AB1372=1,AW1372+AD1372,"")</f>
        <v/>
      </c>
      <c r="AY1372" s="80">
        <f>IF(AND(AB1372=1,AV1372=0,AU1372=1),1,0)</f>
        <v>0</v>
      </c>
      <c r="AZ1372" s="80">
        <f>IF(AY1372=1,COUNTIFS(R_Emp,D1372,R_SAbs,"&lt;"&amp;AX1372,R_EAbs,"&gt;"&amp;AW1372,R_OKey,1)-1,0)</f>
        <v>0</v>
      </c>
      <c r="BA1372" s="80">
        <f>IF(AY1372=1,COUNTIFS(R_Emp,"&lt;&gt;"&amp;D1372,R_SAbs,"&lt;"&amp;AX1372,R_EAbs,"&gt;"&amp;AW1372,R_OKey,1),0)</f>
        <v>0</v>
      </c>
      <c r="BB1372" s="80">
        <f>IF(AND(AB1372=1,D1372="proMX"),IF(AND(MOD(Z1372,CFG_BLK)=0,MOD(AA1372,CFG_BLK)=0,MOD(AG1372,CFG_BLK)=0,AG1372&gt;0),1,0),1)</f>
        <v>1</v>
      </c>
      <c r="BC1372" s="80" t="str">
        <f>IF(Y1372=0,"",IF(NOT(ISNUMBER(B1372)),"Falta fecha o fecha inválida",IF(D1372="","Falta empresa",IF(AND(D1372&lt;&gt;"Malcolm",D1372&lt;&gt;"proMX"),"Empresa inválida",IF(OR(INT(B1372)&lt;CFG_PSTART,INT(B1372)&gt;CFG_PEND),"Fecha fuera del período",IF(OR(NOT(ISNUMBER(Z1372)),NOT(ISNUMBER(AA1372))),"Falta hora inicio/fin o formato inválido",IF(AB1372=0,"Hora inicio = hora fin",IF(AE1372&lt;0,"Descanso inválido",IF(AE1372&gt;=AD1372,"Descanso ≥ duración",IF(AV1372=1,"Registro duplicado",IF(AZ1372&gt;0,"Se superpone con otro registro "&amp;D1372,IF(BB1372=0,"inicio, fin y duración neta deben ser múltiplos de "&amp;CFG_BLK&amp;" min",""))))))))))))</f>
        <v/>
      </c>
      <c r="BD1372" s="80">
        <f>IF(AND(Y1372=1,BC1372=""),1,0)</f>
        <v>0</v>
      </c>
      <c r="BE1372" s="80">
        <f>IF(AND(BD1372=1,AU1372=1),1,0)</f>
        <v>0</v>
      </c>
      <c r="BF1372" s="80" t="str">
        <f>IF(AND(D1372="proMX",BD1372=1),IF(R1372="","Draft",R1372),"")</f>
        <v/>
      </c>
      <c r="BG1372" s="80">
        <f>IF(BD1372=1,ROUND(AG1372/60,6),0)</f>
        <v>0</v>
      </c>
      <c r="BH1372" s="80">
        <f>IF(BE1372=1,ROUND(AG1372/60,6),0)</f>
        <v>0</v>
      </c>
      <c r="BI1372" s="80">
        <f>IF(BE1372=1,ROUND(AP1372/60,6),0)</f>
        <v>0</v>
      </c>
      <c r="BJ1372" s="80">
        <f>IF(BE1372=1,ROUND(AQ1372/60,6),0)</f>
        <v>0</v>
      </c>
      <c r="BK1372" s="80">
        <f>IF(BE1372=1,ROUND((AR1372+AS1372)/60,6),0)</f>
        <v>0</v>
      </c>
      <c r="BL1372" s="80">
        <f>ROUND(BH1372-BK1372,6)</f>
        <v>0</v>
      </c>
      <c r="BM1372" s="80">
        <f>IF(BE1372=1,ROUND(AR1372/60,6),0)</f>
        <v>0</v>
      </c>
      <c r="BN1372" s="80">
        <f>ROUND(BI1372-BM1372,6)</f>
        <v>0</v>
      </c>
      <c r="BO1372" s="80">
        <f>IF(BE1372=1,ROUND(AS1372/60,6),0)</f>
        <v>0</v>
      </c>
      <c r="BP1372" s="80">
        <f>ROUND(BJ1372-BO1372,6)</f>
        <v>0</v>
      </c>
      <c r="BQ1372" s="80">
        <f>IF(BE1372=1,AW1372,0)</f>
        <v>0</v>
      </c>
      <c r="BR1372" s="80">
        <f>IF(BE1372=1,AX1372,0)</f>
        <v>0</v>
      </c>
      <c r="BS1372" s="80">
        <f>IF(AND(BE1372=1,D1372="Malcolm",BA1372&gt;0),MIN(BH1372,SUMPRODUCT((R_Emp="proMX")*(R_EN&gt;0)*((R_EN-(R_EN&gt;BR1372)*(R_EN-BR1372))&gt;(R_SN+(R_SN&lt;BQ1372)*(BQ1372-R_SN)))*((R_EN-(R_EN&gt;BR1372)*(R_EN-BR1372))-(R_SN+(R_SN&lt;BQ1372)*(BQ1372-R_SN))))/60),0)</f>
        <v>0</v>
      </c>
      <c r="BT1372" s="80">
        <f>IF(AND(BE1372=1,D1372="proMX"),ROUND(BI1372*CFG_RATE+BJ1372*CFG_OTRATE,6),0)</f>
        <v>0</v>
      </c>
      <c r="BU1372" s="80">
        <f>IF(AND(BD1372=1,D1372="proMX"),ROUND(AG1372/CFG_BLK,6),0)</f>
        <v>0</v>
      </c>
      <c r="BV1372" s="80" t="str">
        <f>IF(BF1372="Approved",IF(ISNUMBER(T1372),INT(T1372),INT(B1372)),"")</f>
        <v/>
      </c>
      <c r="BW1372" s="80">
        <f>IF(ISNUMBER(B1372),IF(DB_MON="Todos",1,IF(AND(INT(B1372)&gt;=DB_MS,INT(B1372)&lt;=DB_ME),1,0)),0)</f>
        <v>0</v>
      </c>
      <c r="BX1372" s="80">
        <f>IF(DB_PROJ="Todos",1,IF(E1372&amp;""=DB_PROJ&amp;"",1,0))</f>
        <v>1</v>
      </c>
      <c r="BY1372" s="80">
        <f>BW1372*BX1372</f>
        <v>0</v>
      </c>
      <c r="BZ1372" s="80" t="str">
        <f>IF(Y1372=1,F1372&amp;IF(AND(F1372&amp;""&lt;&gt;"",E1372&amp;""&lt;&gt;"")," · ","")&amp;E1372,"")</f>
        <v/>
      </c>
      <c r="CA1372" s="80" t="str">
        <f>IF(AND(BD1372=1,E1372&amp;""&lt;&gt;""),IF(COUNTIFS($E$5:E1371,E1372,$BD$5:BD1371,1)=0,MAX($CA$5:CA1371)+1,""),"")</f>
        <v/>
      </c>
      <c r="CB1372" s="80" t="str">
        <f>IF(AND(BE1372=1,D1372="Malcolm",E1372&amp;""&lt;&gt;""),IF(COUNTIFS($D$5:D1371,"Malcolm",$E$5:E1371,E1372,$BE$5:BE1371,1)=0,MAX($CB$5:CB1371)+1,""),"")</f>
        <v/>
      </c>
      <c r="CC1372" s="80" t="str">
        <f>IF(AND(BD1372=1,D1372="proMX",E1372&amp;""&lt;&gt;""),IF(COUNTIFS($D$5:D1371,"proMX",$E$5:E1371,E1372,$BD$5:BD1371,1)=0,MAX($CC$5:CC1371)+1,""),"")</f>
        <v/>
      </c>
      <c r="CD1372" s="80" t="str">
        <f>IF(AND(BE1372=1,D1372="Malcolm",F1372&amp;""&lt;&gt;""),IF(COUNTIFS($D$5:D1371,"Malcolm",$F$5:F1371,F1372,$BE$5:BE1371,1)=0,MAX($CD$5:CD1371)+1,""),"")</f>
        <v/>
      </c>
      <c r="CE1372" s="80" t="str">
        <f>IF(AND(BD1372=1,D1372="proMX",F1372&amp;""&lt;&gt;""),IF(COUNTIFS($D$5:D1371,"proMX",$F$5:F1371,F1372,$BD$5:BD1371,1)=0,MAX($CE$5:CE1371)+1,""),"")</f>
        <v/>
      </c>
      <c r="CF1372" s="80" t="str">
        <f>IF(AND(D1372="proMX",BD1372=1),IF(OR(BF1372="Draft",BF1372="Submitted",BF1372="Returned",BF1372="Recall Requested"),MAX($CF$5:CF1371)+1,""),"")</f>
        <v/>
      </c>
      <c r="CG1372" s="80">
        <f>IF(BD1372=0,0,IF(D1372="Malcolm",1,MATCH(BF1372,{"Draft","Submitted","Approved","Returned","Recall Requested","Cancelled"},0)+1))</f>
        <v>0</v>
      </c>
      <c r="CH1372" s="80">
        <f>IF(AND(BF1372="Submitted",ISNUMBER(V1372)),IF(V1372&gt;CFG_MAXD,1,0),0)</f>
        <v>0</v>
      </c>
    </row>
    <row r="1373">
      <c r="A1373" s="71" t="str">
        <f>IF(Y1373=1,ROW()-5,"")</f>
        <v/>
      </c>
      <c r="B1373" s="72" t="n"/>
      <c r="C1373" s="71" t="str">
        <f>IF(ISNUMBER(B1373),CHOOSE(WEEKDAY(B1373,2),"Lun","Mar","Mié","Jue","Vie","Sáb","Dom"),"")</f>
        <v/>
      </c>
      <c r="D1373" s="73" t="n"/>
      <c r="E1373" s="74" t="n"/>
      <c r="F1373" s="74" t="n"/>
      <c r="G1373" s="74" t="n"/>
      <c r="H1373" s="75" t="n"/>
      <c r="I1373" s="75" t="n"/>
      <c r="J1373" s="76" t="n"/>
      <c r="K1373" s="77" t="str">
        <f>IF(AB1373=1,ROUND(AG1373/60,4),"")</f>
        <v/>
      </c>
      <c r="L1373" s="77" t="str">
        <f>IF(BD1373=1,ROUND(AP1373/60,4),"")</f>
        <v/>
      </c>
      <c r="M1373" s="77" t="str">
        <f>IF(BD1373=1,ROUND(AQ1373/60,4),"")</f>
        <v/>
      </c>
      <c r="N1373" s="71" t="str">
        <f>IF(AND(D1373="proMX",AB1373=1),ROUND(AG1373/CFG_BLK,2),"")</f>
        <v/>
      </c>
      <c r="O1373" s="77" t="str">
        <f>IF(D1373="proMX",IF(BD1373=1,ROUND(AG1373/60,4),0),"")</f>
        <v/>
      </c>
      <c r="P1373" s="78" t="str">
        <f>IF(Y1373=0,"",IF(BD1373=1,"OK",IF(D1373="proMX","Revisar bloques: ","Revisar: ")&amp;BC1373))</f>
        <v/>
      </c>
      <c r="Q1373" s="78" t="str">
        <f>IF(NOT(ISNUMBER(B1373)),"",IF(COUNTIFS(FER_F,INT(B1373))&gt;0,"Feriado"&amp;IF(AH1373=1," (laborable)"," (no laborable)"),IF(AH1373=1,"Laborable",IF(WEEKDAY(B1373,2)&gt;5,"Fin de semana","No laborable"))))</f>
        <v/>
      </c>
      <c r="R1373" s="73" t="n"/>
      <c r="S1373" s="72" t="n"/>
      <c r="T1373" s="72" t="n"/>
      <c r="U1373" s="74" t="n"/>
      <c r="V1373" s="79" t="str">
        <f>IF(AND(D1373="proMX",OR(R1373="Submitted",R1373="Recall Requested"),ISNUMBER(S1373)),CFG_TODAY-INT(S1373),"")</f>
        <v/>
      </c>
      <c r="W1373" s="78" t="str">
        <f>IF(BD1373=0,"",IF(BA1373&gt;0,"⚠ Se superpone con un registro de la otra empresa",IF(D1373="Malcolm",IF(COUNTA(R1373,S1373,T1373)&gt;0,"Estado/fechas proMX se ignoran en Malcolm",""),IF(BF1373="Cancelled","Cancelado: excluido de totales",IF(R1373="","Sin estado: se trata como Draft",IF(BF1373="Submitted",IF(ISNUMBER(V1373),IF(V1373&gt;CFG_MAXD,"⚠ "&amp;V1373&amp;" días en Submitted (máx. "&amp;CFG_MAXD&amp;")",""),"Falta fecha de envío"),IF(BF1373="Returned","⚠ Devuelto: corregir y reenviar",IF(BF1373="Recall Requested","Retirada solicitada: pendiente",IF(AND(BF1373="Approved",NOT(ISNUMBER(T1373))),"Falta fecha de aprobación",IF(AND(ISNUMBER(S1373),ISNUMBER(T1373),T1373&lt;S1373),"Aprobación anterior al envío","")))))))))</f>
        <v/>
      </c>
      <c r="Y1373" s="80">
        <f>IF(COUNTA(B1373,D1373,E1373,F1373,G1373,H1373,I1373,J1373,R1373,S1373,T1373)&gt;0,1,0)</f>
        <v>0</v>
      </c>
      <c r="Z1373" s="80" t="str">
        <f>IF(AND(ISNUMBER(H1373),H1373&gt;=0,H1373&lt;1),ROUND(H1373*1440,0),"")</f>
        <v/>
      </c>
      <c r="AA1373" s="80" t="str">
        <f>IF(AND(ISNUMBER(I1373),I1373&gt;=0,I1373&lt;1),ROUND(I1373*1440,0),"")</f>
        <v/>
      </c>
      <c r="AB1373" s="80">
        <f>IF(AND(ISNUMBER(B1373),D1373&lt;&gt;"",ISNUMBER(Z1373),ISNUMBER(AA1373)),IF(Z1373=AA1373,0,1),0)</f>
        <v>0</v>
      </c>
      <c r="AC1373" s="80">
        <f>IF(AB1373=1,IF(AA1373&lt;Z1373,1,0),0)</f>
        <v>0</v>
      </c>
      <c r="AD1373" s="80">
        <f>IF(AB1373=1,IF(AC1373=1,1440-Z1373+AA1373,AA1373-Z1373),0)</f>
        <v>0</v>
      </c>
      <c r="AE1373" s="80">
        <f>IF(J1373="",0,IF(ISNUMBER(J1373),J1373,-1))</f>
        <v>0</v>
      </c>
      <c r="AF1373" s="80">
        <f>MIN(MAX(0,AE1373),AD1373)</f>
        <v>0</v>
      </c>
      <c r="AG1373" s="80">
        <f>MAX(0,AD1373-MAX(0,AE1373))</f>
        <v>0</v>
      </c>
      <c r="AH1373" s="80">
        <f>IF(ISNUMBER(B1373),IF(AND(INDEX(CFG_WDAYS,WEEKDAY(INT(B1373),2))="Sí",IF(D1373="proMX",COUNTIFS(FER_F,INT(B1373),FER_NLP,"Sí"),COUNTIFS(FER_F,INT(B1373),FER_NLM,"Sí"))=0),1,0),0)</f>
        <v>0</v>
      </c>
      <c r="AI1373" s="80">
        <f>IF(AC1373=1,IF(AND(INDEX(CFG_WDAYS,WEEKDAY(INT(B1373)+1,2))="Sí",IF(D1373="proMX",COUNTIFS(FER_F,INT(B1373)+1,FER_NLP,"Sí"),COUNTIFS(FER_F,INT(B1373)+1,FER_NLM,"Sí"))=0),1,0),0)</f>
        <v>0</v>
      </c>
      <c r="AJ1373" s="80">
        <f>IF(AC1373=1,1440-Z1373,AD1373)</f>
        <v>0</v>
      </c>
      <c r="AK1373" s="80">
        <f>IF(AND(AB1373=1,AH1373=1),MAX(0,MIN(IF(AC1373=1,1440,AA1373),CFG_WEM)-MAX(Z1373,CFG_WSM)),0)</f>
        <v>0</v>
      </c>
      <c r="AL1373" s="80">
        <f>IF(AND(AC1373=1,AI1373=1),MAX(0,MIN(AA1373,CFG_WEM)-CFG_WSM),0)</f>
        <v>0</v>
      </c>
      <c r="AM1373" s="80">
        <f>AK1373+AL1373</f>
        <v>0</v>
      </c>
      <c r="AN1373" s="80">
        <f>IF(CFG_BRK="Proporcional",IF(AD1373=0,0,AF1373*AM1373/AD1373),IF(CFG_BRK="Extras primero",MIN(AM1373,MAX(0,AF1373-(AD1373-AM1373))),MIN(AF1373,AM1373)))</f>
        <v>0</v>
      </c>
      <c r="AO1373" s="80">
        <f>AF1373-AN1373</f>
        <v>0</v>
      </c>
      <c r="AP1373" s="80">
        <f>AM1373-AN1373</f>
        <v>0</v>
      </c>
      <c r="AQ1373" s="80">
        <f>AD1373-AM1373-AO1373</f>
        <v>0</v>
      </c>
      <c r="AR1373" s="80">
        <f>IF(AM1373=0,0,AK1373-AN1373*AK1373/AM1373)</f>
        <v>0</v>
      </c>
      <c r="AS1373" s="80">
        <f>IF(AD1373-AM1373=0,0,(AJ1373-AK1373)-AO1373*(AJ1373-AK1373)/(AD1373-AM1373))</f>
        <v>0</v>
      </c>
      <c r="AT1373" s="80" t="str">
        <f>IF(AC1373=1,INT(B1373)+1,"")</f>
        <v/>
      </c>
      <c r="AU1373" s="80">
        <f>IF(AND(D1373="proMX",R1373="Cancelled"),0,1)</f>
        <v>1</v>
      </c>
      <c r="AV1373" s="80">
        <f>IF(AND(AB1373=1,AU1373=1),IF(COUNTIFS($D$5:D1372,D1373,$B$5:B1372,B1373,$Z$5:Z1372,Z1373,$AA$5:AA1372,AA1373,$F$5:F1372,F1373&amp;"",$AU$5:AU1372,1)&gt;0,1,0),0)</f>
        <v>0</v>
      </c>
      <c r="AW1373" s="80" t="str">
        <f>IF(AB1373=1,INT(B1373)*1440+Z1373,"")</f>
        <v/>
      </c>
      <c r="AX1373" s="80" t="str">
        <f>IF(AB1373=1,AW1373+AD1373,"")</f>
        <v/>
      </c>
      <c r="AY1373" s="80">
        <f>IF(AND(AB1373=1,AV1373=0,AU1373=1),1,0)</f>
        <v>0</v>
      </c>
      <c r="AZ1373" s="80">
        <f>IF(AY1373=1,COUNTIFS(R_Emp,D1373,R_SAbs,"&lt;"&amp;AX1373,R_EAbs,"&gt;"&amp;AW1373,R_OKey,1)-1,0)</f>
        <v>0</v>
      </c>
      <c r="BA1373" s="80">
        <f>IF(AY1373=1,COUNTIFS(R_Emp,"&lt;&gt;"&amp;D1373,R_SAbs,"&lt;"&amp;AX1373,R_EAbs,"&gt;"&amp;AW1373,R_OKey,1),0)</f>
        <v>0</v>
      </c>
      <c r="BB1373" s="80">
        <f>IF(AND(AB1373=1,D1373="proMX"),IF(AND(MOD(Z1373,CFG_BLK)=0,MOD(AA1373,CFG_BLK)=0,MOD(AG1373,CFG_BLK)=0,AG1373&gt;0),1,0),1)</f>
        <v>1</v>
      </c>
      <c r="BC1373" s="80" t="str">
        <f>IF(Y1373=0,"",IF(NOT(ISNUMBER(B1373)),"Falta fecha o fecha inválida",IF(D1373="","Falta empresa",IF(AND(D1373&lt;&gt;"Malcolm",D1373&lt;&gt;"proMX"),"Empresa inválida",IF(OR(INT(B1373)&lt;CFG_PSTART,INT(B1373)&gt;CFG_PEND),"Fecha fuera del período",IF(OR(NOT(ISNUMBER(Z1373)),NOT(ISNUMBER(AA1373))),"Falta hora inicio/fin o formato inválido",IF(AB1373=0,"Hora inicio = hora fin",IF(AE1373&lt;0,"Descanso inválido",IF(AE1373&gt;=AD1373,"Descanso ≥ duración",IF(AV1373=1,"Registro duplicado",IF(AZ1373&gt;0,"Se superpone con otro registro "&amp;D1373,IF(BB1373=0,"inicio, fin y duración neta deben ser múltiplos de "&amp;CFG_BLK&amp;" min",""))))))))))))</f>
        <v/>
      </c>
      <c r="BD1373" s="80">
        <f>IF(AND(Y1373=1,BC1373=""),1,0)</f>
        <v>0</v>
      </c>
      <c r="BE1373" s="80">
        <f>IF(AND(BD1373=1,AU1373=1),1,0)</f>
        <v>0</v>
      </c>
      <c r="BF1373" s="80" t="str">
        <f>IF(AND(D1373="proMX",BD1373=1),IF(R1373="","Draft",R1373),"")</f>
        <v/>
      </c>
      <c r="BG1373" s="80">
        <f>IF(BD1373=1,ROUND(AG1373/60,6),0)</f>
        <v>0</v>
      </c>
      <c r="BH1373" s="80">
        <f>IF(BE1373=1,ROUND(AG1373/60,6),0)</f>
        <v>0</v>
      </c>
      <c r="BI1373" s="80">
        <f>IF(BE1373=1,ROUND(AP1373/60,6),0)</f>
        <v>0</v>
      </c>
      <c r="BJ1373" s="80">
        <f>IF(BE1373=1,ROUND(AQ1373/60,6),0)</f>
        <v>0</v>
      </c>
      <c r="BK1373" s="80">
        <f>IF(BE1373=1,ROUND((AR1373+AS1373)/60,6),0)</f>
        <v>0</v>
      </c>
      <c r="BL1373" s="80">
        <f>ROUND(BH1373-BK1373,6)</f>
        <v>0</v>
      </c>
      <c r="BM1373" s="80">
        <f>IF(BE1373=1,ROUND(AR1373/60,6),0)</f>
        <v>0</v>
      </c>
      <c r="BN1373" s="80">
        <f>ROUND(BI1373-BM1373,6)</f>
        <v>0</v>
      </c>
      <c r="BO1373" s="80">
        <f>IF(BE1373=1,ROUND(AS1373/60,6),0)</f>
        <v>0</v>
      </c>
      <c r="BP1373" s="80">
        <f>ROUND(BJ1373-BO1373,6)</f>
        <v>0</v>
      </c>
      <c r="BQ1373" s="80">
        <f>IF(BE1373=1,AW1373,0)</f>
        <v>0</v>
      </c>
      <c r="BR1373" s="80">
        <f>IF(BE1373=1,AX1373,0)</f>
        <v>0</v>
      </c>
      <c r="BS1373" s="80">
        <f>IF(AND(BE1373=1,D1373="Malcolm",BA1373&gt;0),MIN(BH1373,SUMPRODUCT((R_Emp="proMX")*(R_EN&gt;0)*((R_EN-(R_EN&gt;BR1373)*(R_EN-BR1373))&gt;(R_SN+(R_SN&lt;BQ1373)*(BQ1373-R_SN)))*((R_EN-(R_EN&gt;BR1373)*(R_EN-BR1373))-(R_SN+(R_SN&lt;BQ1373)*(BQ1373-R_SN))))/60),0)</f>
        <v>0</v>
      </c>
      <c r="BT1373" s="80">
        <f>IF(AND(BE1373=1,D1373="proMX"),ROUND(BI1373*CFG_RATE+BJ1373*CFG_OTRATE,6),0)</f>
        <v>0</v>
      </c>
      <c r="BU1373" s="80">
        <f>IF(AND(BD1373=1,D1373="proMX"),ROUND(AG1373/CFG_BLK,6),0)</f>
        <v>0</v>
      </c>
      <c r="BV1373" s="80" t="str">
        <f>IF(BF1373="Approved",IF(ISNUMBER(T1373),INT(T1373),INT(B1373)),"")</f>
        <v/>
      </c>
      <c r="BW1373" s="80">
        <f>IF(ISNUMBER(B1373),IF(DB_MON="Todos",1,IF(AND(INT(B1373)&gt;=DB_MS,INT(B1373)&lt;=DB_ME),1,0)),0)</f>
        <v>0</v>
      </c>
      <c r="BX1373" s="80">
        <f>IF(DB_PROJ="Todos",1,IF(E1373&amp;""=DB_PROJ&amp;"",1,0))</f>
        <v>1</v>
      </c>
      <c r="BY1373" s="80">
        <f>BW1373*BX1373</f>
        <v>0</v>
      </c>
      <c r="BZ1373" s="80" t="str">
        <f>IF(Y1373=1,F1373&amp;IF(AND(F1373&amp;""&lt;&gt;"",E1373&amp;""&lt;&gt;"")," · ","")&amp;E1373,"")</f>
        <v/>
      </c>
      <c r="CA1373" s="80" t="str">
        <f>IF(AND(BD1373=1,E1373&amp;""&lt;&gt;""),IF(COUNTIFS($E$5:E1372,E1373,$BD$5:BD1372,1)=0,MAX($CA$5:CA1372)+1,""),"")</f>
        <v/>
      </c>
      <c r="CB1373" s="80" t="str">
        <f>IF(AND(BE1373=1,D1373="Malcolm",E1373&amp;""&lt;&gt;""),IF(COUNTIFS($D$5:D1372,"Malcolm",$E$5:E1372,E1373,$BE$5:BE1372,1)=0,MAX($CB$5:CB1372)+1,""),"")</f>
        <v/>
      </c>
      <c r="CC1373" s="80" t="str">
        <f>IF(AND(BD1373=1,D1373="proMX",E1373&amp;""&lt;&gt;""),IF(COUNTIFS($D$5:D1372,"proMX",$E$5:E1372,E1373,$BD$5:BD1372,1)=0,MAX($CC$5:CC1372)+1,""),"")</f>
        <v/>
      </c>
      <c r="CD1373" s="80" t="str">
        <f>IF(AND(BE1373=1,D1373="Malcolm",F1373&amp;""&lt;&gt;""),IF(COUNTIFS($D$5:D1372,"Malcolm",$F$5:F1372,F1373,$BE$5:BE1372,1)=0,MAX($CD$5:CD1372)+1,""),"")</f>
        <v/>
      </c>
      <c r="CE1373" s="80" t="str">
        <f>IF(AND(BD1373=1,D1373="proMX",F1373&amp;""&lt;&gt;""),IF(COUNTIFS($D$5:D1372,"proMX",$F$5:F1372,F1373,$BD$5:BD1372,1)=0,MAX($CE$5:CE1372)+1,""),"")</f>
        <v/>
      </c>
      <c r="CF1373" s="80" t="str">
        <f>IF(AND(D1373="proMX",BD1373=1),IF(OR(BF1373="Draft",BF1373="Submitted",BF1373="Returned",BF1373="Recall Requested"),MAX($CF$5:CF1372)+1,""),"")</f>
        <v/>
      </c>
      <c r="CG1373" s="80">
        <f>IF(BD1373=0,0,IF(D1373="Malcolm",1,MATCH(BF1373,{"Draft","Submitted","Approved","Returned","Recall Requested","Cancelled"},0)+1))</f>
        <v>0</v>
      </c>
      <c r="CH1373" s="80">
        <f>IF(AND(BF1373="Submitted",ISNUMBER(V1373)),IF(V1373&gt;CFG_MAXD,1,0),0)</f>
        <v>0</v>
      </c>
    </row>
    <row r="1374">
      <c r="A1374" s="71" t="str">
        <f>IF(Y1374=1,ROW()-5,"")</f>
        <v/>
      </c>
      <c r="B1374" s="72" t="n"/>
      <c r="C1374" s="71" t="str">
        <f>IF(ISNUMBER(B1374),CHOOSE(WEEKDAY(B1374,2),"Lun","Mar","Mié","Jue","Vie","Sáb","Dom"),"")</f>
        <v/>
      </c>
      <c r="D1374" s="73" t="n"/>
      <c r="E1374" s="74" t="n"/>
      <c r="F1374" s="74" t="n"/>
      <c r="G1374" s="74" t="n"/>
      <c r="H1374" s="75" t="n"/>
      <c r="I1374" s="75" t="n"/>
      <c r="J1374" s="76" t="n"/>
      <c r="K1374" s="77" t="str">
        <f>IF(AB1374=1,ROUND(AG1374/60,4),"")</f>
        <v/>
      </c>
      <c r="L1374" s="77" t="str">
        <f>IF(BD1374=1,ROUND(AP1374/60,4),"")</f>
        <v/>
      </c>
      <c r="M1374" s="77" t="str">
        <f>IF(BD1374=1,ROUND(AQ1374/60,4),"")</f>
        <v/>
      </c>
      <c r="N1374" s="71" t="str">
        <f>IF(AND(D1374="proMX",AB1374=1),ROUND(AG1374/CFG_BLK,2),"")</f>
        <v/>
      </c>
      <c r="O1374" s="77" t="str">
        <f>IF(D1374="proMX",IF(BD1374=1,ROUND(AG1374/60,4),0),"")</f>
        <v/>
      </c>
      <c r="P1374" s="78" t="str">
        <f>IF(Y1374=0,"",IF(BD1374=1,"OK",IF(D1374="proMX","Revisar bloques: ","Revisar: ")&amp;BC1374))</f>
        <v/>
      </c>
      <c r="Q1374" s="78" t="str">
        <f>IF(NOT(ISNUMBER(B1374)),"",IF(COUNTIFS(FER_F,INT(B1374))&gt;0,"Feriado"&amp;IF(AH1374=1," (laborable)"," (no laborable)"),IF(AH1374=1,"Laborable",IF(WEEKDAY(B1374,2)&gt;5,"Fin de semana","No laborable"))))</f>
        <v/>
      </c>
      <c r="R1374" s="73" t="n"/>
      <c r="S1374" s="72" t="n"/>
      <c r="T1374" s="72" t="n"/>
      <c r="U1374" s="74" t="n"/>
      <c r="V1374" s="79" t="str">
        <f>IF(AND(D1374="proMX",OR(R1374="Submitted",R1374="Recall Requested"),ISNUMBER(S1374)),CFG_TODAY-INT(S1374),"")</f>
        <v/>
      </c>
      <c r="W1374" s="78" t="str">
        <f>IF(BD1374=0,"",IF(BA1374&gt;0,"⚠ Se superpone con un registro de la otra empresa",IF(D1374="Malcolm",IF(COUNTA(R1374,S1374,T1374)&gt;0,"Estado/fechas proMX se ignoran en Malcolm",""),IF(BF1374="Cancelled","Cancelado: excluido de totales",IF(R1374="","Sin estado: se trata como Draft",IF(BF1374="Submitted",IF(ISNUMBER(V1374),IF(V1374&gt;CFG_MAXD,"⚠ "&amp;V1374&amp;" días en Submitted (máx. "&amp;CFG_MAXD&amp;")",""),"Falta fecha de envío"),IF(BF1374="Returned","⚠ Devuelto: corregir y reenviar",IF(BF1374="Recall Requested","Retirada solicitada: pendiente",IF(AND(BF1374="Approved",NOT(ISNUMBER(T1374))),"Falta fecha de aprobación",IF(AND(ISNUMBER(S1374),ISNUMBER(T1374),T1374&lt;S1374),"Aprobación anterior al envío","")))))))))</f>
        <v/>
      </c>
      <c r="Y1374" s="80">
        <f>IF(COUNTA(B1374,D1374,E1374,F1374,G1374,H1374,I1374,J1374,R1374,S1374,T1374)&gt;0,1,0)</f>
        <v>0</v>
      </c>
      <c r="Z1374" s="80" t="str">
        <f>IF(AND(ISNUMBER(H1374),H1374&gt;=0,H1374&lt;1),ROUND(H1374*1440,0),"")</f>
        <v/>
      </c>
      <c r="AA1374" s="80" t="str">
        <f>IF(AND(ISNUMBER(I1374),I1374&gt;=0,I1374&lt;1),ROUND(I1374*1440,0),"")</f>
        <v/>
      </c>
      <c r="AB1374" s="80">
        <f>IF(AND(ISNUMBER(B1374),D1374&lt;&gt;"",ISNUMBER(Z1374),ISNUMBER(AA1374)),IF(Z1374=AA1374,0,1),0)</f>
        <v>0</v>
      </c>
      <c r="AC1374" s="80">
        <f>IF(AB1374=1,IF(AA1374&lt;Z1374,1,0),0)</f>
        <v>0</v>
      </c>
      <c r="AD1374" s="80">
        <f>IF(AB1374=1,IF(AC1374=1,1440-Z1374+AA1374,AA1374-Z1374),0)</f>
        <v>0</v>
      </c>
      <c r="AE1374" s="80">
        <f>IF(J1374="",0,IF(ISNUMBER(J1374),J1374,-1))</f>
        <v>0</v>
      </c>
      <c r="AF1374" s="80">
        <f>MIN(MAX(0,AE1374),AD1374)</f>
        <v>0</v>
      </c>
      <c r="AG1374" s="80">
        <f>MAX(0,AD1374-MAX(0,AE1374))</f>
        <v>0</v>
      </c>
      <c r="AH1374" s="80">
        <f>IF(ISNUMBER(B1374),IF(AND(INDEX(CFG_WDAYS,WEEKDAY(INT(B1374),2))="Sí",IF(D1374="proMX",COUNTIFS(FER_F,INT(B1374),FER_NLP,"Sí"),COUNTIFS(FER_F,INT(B1374),FER_NLM,"Sí"))=0),1,0),0)</f>
        <v>0</v>
      </c>
      <c r="AI1374" s="80">
        <f>IF(AC1374=1,IF(AND(INDEX(CFG_WDAYS,WEEKDAY(INT(B1374)+1,2))="Sí",IF(D1374="proMX",COUNTIFS(FER_F,INT(B1374)+1,FER_NLP,"Sí"),COUNTIFS(FER_F,INT(B1374)+1,FER_NLM,"Sí"))=0),1,0),0)</f>
        <v>0</v>
      </c>
      <c r="AJ1374" s="80">
        <f>IF(AC1374=1,1440-Z1374,AD1374)</f>
        <v>0</v>
      </c>
      <c r="AK1374" s="80">
        <f>IF(AND(AB1374=1,AH1374=1),MAX(0,MIN(IF(AC1374=1,1440,AA1374),CFG_WEM)-MAX(Z1374,CFG_WSM)),0)</f>
        <v>0</v>
      </c>
      <c r="AL1374" s="80">
        <f>IF(AND(AC1374=1,AI1374=1),MAX(0,MIN(AA1374,CFG_WEM)-CFG_WSM),0)</f>
        <v>0</v>
      </c>
      <c r="AM1374" s="80">
        <f>AK1374+AL1374</f>
        <v>0</v>
      </c>
      <c r="AN1374" s="80">
        <f>IF(CFG_BRK="Proporcional",IF(AD1374=0,0,AF1374*AM1374/AD1374),IF(CFG_BRK="Extras primero",MIN(AM1374,MAX(0,AF1374-(AD1374-AM1374))),MIN(AF1374,AM1374)))</f>
        <v>0</v>
      </c>
      <c r="AO1374" s="80">
        <f>AF1374-AN1374</f>
        <v>0</v>
      </c>
      <c r="AP1374" s="80">
        <f>AM1374-AN1374</f>
        <v>0</v>
      </c>
      <c r="AQ1374" s="80">
        <f>AD1374-AM1374-AO1374</f>
        <v>0</v>
      </c>
      <c r="AR1374" s="80">
        <f>IF(AM1374=0,0,AK1374-AN1374*AK1374/AM1374)</f>
        <v>0</v>
      </c>
      <c r="AS1374" s="80">
        <f>IF(AD1374-AM1374=0,0,(AJ1374-AK1374)-AO1374*(AJ1374-AK1374)/(AD1374-AM1374))</f>
        <v>0</v>
      </c>
      <c r="AT1374" s="80" t="str">
        <f>IF(AC1374=1,INT(B1374)+1,"")</f>
        <v/>
      </c>
      <c r="AU1374" s="80">
        <f>IF(AND(D1374="proMX",R1374="Cancelled"),0,1)</f>
        <v>1</v>
      </c>
      <c r="AV1374" s="80">
        <f>IF(AND(AB1374=1,AU1374=1),IF(COUNTIFS($D$5:D1373,D1374,$B$5:B1373,B1374,$Z$5:Z1373,Z1374,$AA$5:AA1373,AA1374,$F$5:F1373,F1374&amp;"",$AU$5:AU1373,1)&gt;0,1,0),0)</f>
        <v>0</v>
      </c>
      <c r="AW1374" s="80" t="str">
        <f>IF(AB1374=1,INT(B1374)*1440+Z1374,"")</f>
        <v/>
      </c>
      <c r="AX1374" s="80" t="str">
        <f>IF(AB1374=1,AW1374+AD1374,"")</f>
        <v/>
      </c>
      <c r="AY1374" s="80">
        <f>IF(AND(AB1374=1,AV1374=0,AU1374=1),1,0)</f>
        <v>0</v>
      </c>
      <c r="AZ1374" s="80">
        <f>IF(AY1374=1,COUNTIFS(R_Emp,D1374,R_SAbs,"&lt;"&amp;AX1374,R_EAbs,"&gt;"&amp;AW1374,R_OKey,1)-1,0)</f>
        <v>0</v>
      </c>
      <c r="BA1374" s="80">
        <f>IF(AY1374=1,COUNTIFS(R_Emp,"&lt;&gt;"&amp;D1374,R_SAbs,"&lt;"&amp;AX1374,R_EAbs,"&gt;"&amp;AW1374,R_OKey,1),0)</f>
        <v>0</v>
      </c>
      <c r="BB1374" s="80">
        <f>IF(AND(AB1374=1,D1374="proMX"),IF(AND(MOD(Z1374,CFG_BLK)=0,MOD(AA1374,CFG_BLK)=0,MOD(AG1374,CFG_BLK)=0,AG1374&gt;0),1,0),1)</f>
        <v>1</v>
      </c>
      <c r="BC1374" s="80" t="str">
        <f>IF(Y1374=0,"",IF(NOT(ISNUMBER(B1374)),"Falta fecha o fecha inválida",IF(D1374="","Falta empresa",IF(AND(D1374&lt;&gt;"Malcolm",D1374&lt;&gt;"proMX"),"Empresa inválida",IF(OR(INT(B1374)&lt;CFG_PSTART,INT(B1374)&gt;CFG_PEND),"Fecha fuera del período",IF(OR(NOT(ISNUMBER(Z1374)),NOT(ISNUMBER(AA1374))),"Falta hora inicio/fin o formato inválido",IF(AB1374=0,"Hora inicio = hora fin",IF(AE1374&lt;0,"Descanso inválido",IF(AE1374&gt;=AD1374,"Descanso ≥ duración",IF(AV1374=1,"Registro duplicado",IF(AZ1374&gt;0,"Se superpone con otro registro "&amp;D1374,IF(BB1374=0,"inicio, fin y duración neta deben ser múltiplos de "&amp;CFG_BLK&amp;" min",""))))))))))))</f>
        <v/>
      </c>
      <c r="BD1374" s="80">
        <f>IF(AND(Y1374=1,BC1374=""),1,0)</f>
        <v>0</v>
      </c>
      <c r="BE1374" s="80">
        <f>IF(AND(BD1374=1,AU1374=1),1,0)</f>
        <v>0</v>
      </c>
      <c r="BF1374" s="80" t="str">
        <f>IF(AND(D1374="proMX",BD1374=1),IF(R1374="","Draft",R1374),"")</f>
        <v/>
      </c>
      <c r="BG1374" s="80">
        <f>IF(BD1374=1,ROUND(AG1374/60,6),0)</f>
        <v>0</v>
      </c>
      <c r="BH1374" s="80">
        <f>IF(BE1374=1,ROUND(AG1374/60,6),0)</f>
        <v>0</v>
      </c>
      <c r="BI1374" s="80">
        <f>IF(BE1374=1,ROUND(AP1374/60,6),0)</f>
        <v>0</v>
      </c>
      <c r="BJ1374" s="80">
        <f>IF(BE1374=1,ROUND(AQ1374/60,6),0)</f>
        <v>0</v>
      </c>
      <c r="BK1374" s="80">
        <f>IF(BE1374=1,ROUND((AR1374+AS1374)/60,6),0)</f>
        <v>0</v>
      </c>
      <c r="BL1374" s="80">
        <f>ROUND(BH1374-BK1374,6)</f>
        <v>0</v>
      </c>
      <c r="BM1374" s="80">
        <f>IF(BE1374=1,ROUND(AR1374/60,6),0)</f>
        <v>0</v>
      </c>
      <c r="BN1374" s="80">
        <f>ROUND(BI1374-BM1374,6)</f>
        <v>0</v>
      </c>
      <c r="BO1374" s="80">
        <f>IF(BE1374=1,ROUND(AS1374/60,6),0)</f>
        <v>0</v>
      </c>
      <c r="BP1374" s="80">
        <f>ROUND(BJ1374-BO1374,6)</f>
        <v>0</v>
      </c>
      <c r="BQ1374" s="80">
        <f>IF(BE1374=1,AW1374,0)</f>
        <v>0</v>
      </c>
      <c r="BR1374" s="80">
        <f>IF(BE1374=1,AX1374,0)</f>
        <v>0</v>
      </c>
      <c r="BS1374" s="80">
        <f>IF(AND(BE1374=1,D1374="Malcolm",BA1374&gt;0),MIN(BH1374,SUMPRODUCT((R_Emp="proMX")*(R_EN&gt;0)*((R_EN-(R_EN&gt;BR1374)*(R_EN-BR1374))&gt;(R_SN+(R_SN&lt;BQ1374)*(BQ1374-R_SN)))*((R_EN-(R_EN&gt;BR1374)*(R_EN-BR1374))-(R_SN+(R_SN&lt;BQ1374)*(BQ1374-R_SN))))/60),0)</f>
        <v>0</v>
      </c>
      <c r="BT1374" s="80">
        <f>IF(AND(BE1374=1,D1374="proMX"),ROUND(BI1374*CFG_RATE+BJ1374*CFG_OTRATE,6),0)</f>
        <v>0</v>
      </c>
      <c r="BU1374" s="80">
        <f>IF(AND(BD1374=1,D1374="proMX"),ROUND(AG1374/CFG_BLK,6),0)</f>
        <v>0</v>
      </c>
      <c r="BV1374" s="80" t="str">
        <f>IF(BF1374="Approved",IF(ISNUMBER(T1374),INT(T1374),INT(B1374)),"")</f>
        <v/>
      </c>
      <c r="BW1374" s="80">
        <f>IF(ISNUMBER(B1374),IF(DB_MON="Todos",1,IF(AND(INT(B1374)&gt;=DB_MS,INT(B1374)&lt;=DB_ME),1,0)),0)</f>
        <v>0</v>
      </c>
      <c r="BX1374" s="80">
        <f>IF(DB_PROJ="Todos",1,IF(E1374&amp;""=DB_PROJ&amp;"",1,0))</f>
        <v>1</v>
      </c>
      <c r="BY1374" s="80">
        <f>BW1374*BX1374</f>
        <v>0</v>
      </c>
      <c r="BZ1374" s="80" t="str">
        <f>IF(Y1374=1,F1374&amp;IF(AND(F1374&amp;""&lt;&gt;"",E1374&amp;""&lt;&gt;"")," · ","")&amp;E1374,"")</f>
        <v/>
      </c>
      <c r="CA1374" s="80" t="str">
        <f>IF(AND(BD1374=1,E1374&amp;""&lt;&gt;""),IF(COUNTIFS($E$5:E1373,E1374,$BD$5:BD1373,1)=0,MAX($CA$5:CA1373)+1,""),"")</f>
        <v/>
      </c>
      <c r="CB1374" s="80" t="str">
        <f>IF(AND(BE1374=1,D1374="Malcolm",E1374&amp;""&lt;&gt;""),IF(COUNTIFS($D$5:D1373,"Malcolm",$E$5:E1373,E1374,$BE$5:BE1373,1)=0,MAX($CB$5:CB1373)+1,""),"")</f>
        <v/>
      </c>
      <c r="CC1374" s="80" t="str">
        <f>IF(AND(BD1374=1,D1374="proMX",E1374&amp;""&lt;&gt;""),IF(COUNTIFS($D$5:D1373,"proMX",$E$5:E1373,E1374,$BD$5:BD1373,1)=0,MAX($CC$5:CC1373)+1,""),"")</f>
        <v/>
      </c>
      <c r="CD1374" s="80" t="str">
        <f>IF(AND(BE1374=1,D1374="Malcolm",F1374&amp;""&lt;&gt;""),IF(COUNTIFS($D$5:D1373,"Malcolm",$F$5:F1373,F1374,$BE$5:BE1373,1)=0,MAX($CD$5:CD1373)+1,""),"")</f>
        <v/>
      </c>
      <c r="CE1374" s="80" t="str">
        <f>IF(AND(BD1374=1,D1374="proMX",F1374&amp;""&lt;&gt;""),IF(COUNTIFS($D$5:D1373,"proMX",$F$5:F1373,F1374,$BD$5:BD1373,1)=0,MAX($CE$5:CE1373)+1,""),"")</f>
        <v/>
      </c>
      <c r="CF1374" s="80" t="str">
        <f>IF(AND(D1374="proMX",BD1374=1),IF(OR(BF1374="Draft",BF1374="Submitted",BF1374="Returned",BF1374="Recall Requested"),MAX($CF$5:CF1373)+1,""),"")</f>
        <v/>
      </c>
      <c r="CG1374" s="80">
        <f>IF(BD1374=0,0,IF(D1374="Malcolm",1,MATCH(BF1374,{"Draft","Submitted","Approved","Returned","Recall Requested","Cancelled"},0)+1))</f>
        <v>0</v>
      </c>
      <c r="CH1374" s="80">
        <f>IF(AND(BF1374="Submitted",ISNUMBER(V1374)),IF(V1374&gt;CFG_MAXD,1,0),0)</f>
        <v>0</v>
      </c>
    </row>
    <row r="1375">
      <c r="A1375" s="71" t="str">
        <f>IF(Y1375=1,ROW()-5,"")</f>
        <v/>
      </c>
      <c r="B1375" s="72" t="n"/>
      <c r="C1375" s="71" t="str">
        <f>IF(ISNUMBER(B1375),CHOOSE(WEEKDAY(B1375,2),"Lun","Mar","Mié","Jue","Vie","Sáb","Dom"),"")</f>
        <v/>
      </c>
      <c r="D1375" s="73" t="n"/>
      <c r="E1375" s="74" t="n"/>
      <c r="F1375" s="74" t="n"/>
      <c r="G1375" s="74" t="n"/>
      <c r="H1375" s="75" t="n"/>
      <c r="I1375" s="75" t="n"/>
      <c r="J1375" s="76" t="n"/>
      <c r="K1375" s="77" t="str">
        <f>IF(AB1375=1,ROUND(AG1375/60,4),"")</f>
        <v/>
      </c>
      <c r="L1375" s="77" t="str">
        <f>IF(BD1375=1,ROUND(AP1375/60,4),"")</f>
        <v/>
      </c>
      <c r="M1375" s="77" t="str">
        <f>IF(BD1375=1,ROUND(AQ1375/60,4),"")</f>
        <v/>
      </c>
      <c r="N1375" s="71" t="str">
        <f>IF(AND(D1375="proMX",AB1375=1),ROUND(AG1375/CFG_BLK,2),"")</f>
        <v/>
      </c>
      <c r="O1375" s="77" t="str">
        <f>IF(D1375="proMX",IF(BD1375=1,ROUND(AG1375/60,4),0),"")</f>
        <v/>
      </c>
      <c r="P1375" s="78" t="str">
        <f>IF(Y1375=0,"",IF(BD1375=1,"OK",IF(D1375="proMX","Revisar bloques: ","Revisar: ")&amp;BC1375))</f>
        <v/>
      </c>
      <c r="Q1375" s="78" t="str">
        <f>IF(NOT(ISNUMBER(B1375)),"",IF(COUNTIFS(FER_F,INT(B1375))&gt;0,"Feriado"&amp;IF(AH1375=1," (laborable)"," (no laborable)"),IF(AH1375=1,"Laborable",IF(WEEKDAY(B1375,2)&gt;5,"Fin de semana","No laborable"))))</f>
        <v/>
      </c>
      <c r="R1375" s="73" t="n"/>
      <c r="S1375" s="72" t="n"/>
      <c r="T1375" s="72" t="n"/>
      <c r="U1375" s="74" t="n"/>
      <c r="V1375" s="79" t="str">
        <f>IF(AND(D1375="proMX",OR(R1375="Submitted",R1375="Recall Requested"),ISNUMBER(S1375)),CFG_TODAY-INT(S1375),"")</f>
        <v/>
      </c>
      <c r="W1375" s="78" t="str">
        <f>IF(BD1375=0,"",IF(BA1375&gt;0,"⚠ Se superpone con un registro de la otra empresa",IF(D1375="Malcolm",IF(COUNTA(R1375,S1375,T1375)&gt;0,"Estado/fechas proMX se ignoran en Malcolm",""),IF(BF1375="Cancelled","Cancelado: excluido de totales",IF(R1375="","Sin estado: se trata como Draft",IF(BF1375="Submitted",IF(ISNUMBER(V1375),IF(V1375&gt;CFG_MAXD,"⚠ "&amp;V1375&amp;" días en Submitted (máx. "&amp;CFG_MAXD&amp;")",""),"Falta fecha de envío"),IF(BF1375="Returned","⚠ Devuelto: corregir y reenviar",IF(BF1375="Recall Requested","Retirada solicitada: pendiente",IF(AND(BF1375="Approved",NOT(ISNUMBER(T1375))),"Falta fecha de aprobación",IF(AND(ISNUMBER(S1375),ISNUMBER(T1375),T1375&lt;S1375),"Aprobación anterior al envío","")))))))))</f>
        <v/>
      </c>
      <c r="Y1375" s="80">
        <f>IF(COUNTA(B1375,D1375,E1375,F1375,G1375,H1375,I1375,J1375,R1375,S1375,T1375)&gt;0,1,0)</f>
        <v>0</v>
      </c>
      <c r="Z1375" s="80" t="str">
        <f>IF(AND(ISNUMBER(H1375),H1375&gt;=0,H1375&lt;1),ROUND(H1375*1440,0),"")</f>
        <v/>
      </c>
      <c r="AA1375" s="80" t="str">
        <f>IF(AND(ISNUMBER(I1375),I1375&gt;=0,I1375&lt;1),ROUND(I1375*1440,0),"")</f>
        <v/>
      </c>
      <c r="AB1375" s="80">
        <f>IF(AND(ISNUMBER(B1375),D1375&lt;&gt;"",ISNUMBER(Z1375),ISNUMBER(AA1375)),IF(Z1375=AA1375,0,1),0)</f>
        <v>0</v>
      </c>
      <c r="AC1375" s="80">
        <f>IF(AB1375=1,IF(AA1375&lt;Z1375,1,0),0)</f>
        <v>0</v>
      </c>
      <c r="AD1375" s="80">
        <f>IF(AB1375=1,IF(AC1375=1,1440-Z1375+AA1375,AA1375-Z1375),0)</f>
        <v>0</v>
      </c>
      <c r="AE1375" s="80">
        <f>IF(J1375="",0,IF(ISNUMBER(J1375),J1375,-1))</f>
        <v>0</v>
      </c>
      <c r="AF1375" s="80">
        <f>MIN(MAX(0,AE1375),AD1375)</f>
        <v>0</v>
      </c>
      <c r="AG1375" s="80">
        <f>MAX(0,AD1375-MAX(0,AE1375))</f>
        <v>0</v>
      </c>
      <c r="AH1375" s="80">
        <f>IF(ISNUMBER(B1375),IF(AND(INDEX(CFG_WDAYS,WEEKDAY(INT(B1375),2))="Sí",IF(D1375="proMX",COUNTIFS(FER_F,INT(B1375),FER_NLP,"Sí"),COUNTIFS(FER_F,INT(B1375),FER_NLM,"Sí"))=0),1,0),0)</f>
        <v>0</v>
      </c>
      <c r="AI1375" s="80">
        <f>IF(AC1375=1,IF(AND(INDEX(CFG_WDAYS,WEEKDAY(INT(B1375)+1,2))="Sí",IF(D1375="proMX",COUNTIFS(FER_F,INT(B1375)+1,FER_NLP,"Sí"),COUNTIFS(FER_F,INT(B1375)+1,FER_NLM,"Sí"))=0),1,0),0)</f>
        <v>0</v>
      </c>
      <c r="AJ1375" s="80">
        <f>IF(AC1375=1,1440-Z1375,AD1375)</f>
        <v>0</v>
      </c>
      <c r="AK1375" s="80">
        <f>IF(AND(AB1375=1,AH1375=1),MAX(0,MIN(IF(AC1375=1,1440,AA1375),CFG_WEM)-MAX(Z1375,CFG_WSM)),0)</f>
        <v>0</v>
      </c>
      <c r="AL1375" s="80">
        <f>IF(AND(AC1375=1,AI1375=1),MAX(0,MIN(AA1375,CFG_WEM)-CFG_WSM),0)</f>
        <v>0</v>
      </c>
      <c r="AM1375" s="80">
        <f>AK1375+AL1375</f>
        <v>0</v>
      </c>
      <c r="AN1375" s="80">
        <f>IF(CFG_BRK="Proporcional",IF(AD1375=0,0,AF1375*AM1375/AD1375),IF(CFG_BRK="Extras primero",MIN(AM1375,MAX(0,AF1375-(AD1375-AM1375))),MIN(AF1375,AM1375)))</f>
        <v>0</v>
      </c>
      <c r="AO1375" s="80">
        <f>AF1375-AN1375</f>
        <v>0</v>
      </c>
      <c r="AP1375" s="80">
        <f>AM1375-AN1375</f>
        <v>0</v>
      </c>
      <c r="AQ1375" s="80">
        <f>AD1375-AM1375-AO1375</f>
        <v>0</v>
      </c>
      <c r="AR1375" s="80">
        <f>IF(AM1375=0,0,AK1375-AN1375*AK1375/AM1375)</f>
        <v>0</v>
      </c>
      <c r="AS1375" s="80">
        <f>IF(AD1375-AM1375=0,0,(AJ1375-AK1375)-AO1375*(AJ1375-AK1375)/(AD1375-AM1375))</f>
        <v>0</v>
      </c>
      <c r="AT1375" s="80" t="str">
        <f>IF(AC1375=1,INT(B1375)+1,"")</f>
        <v/>
      </c>
      <c r="AU1375" s="80">
        <f>IF(AND(D1375="proMX",R1375="Cancelled"),0,1)</f>
        <v>1</v>
      </c>
      <c r="AV1375" s="80">
        <f>IF(AND(AB1375=1,AU1375=1),IF(COUNTIFS($D$5:D1374,D1375,$B$5:B1374,B1375,$Z$5:Z1374,Z1375,$AA$5:AA1374,AA1375,$F$5:F1374,F1375&amp;"",$AU$5:AU1374,1)&gt;0,1,0),0)</f>
        <v>0</v>
      </c>
      <c r="AW1375" s="80" t="str">
        <f>IF(AB1375=1,INT(B1375)*1440+Z1375,"")</f>
        <v/>
      </c>
      <c r="AX1375" s="80" t="str">
        <f>IF(AB1375=1,AW1375+AD1375,"")</f>
        <v/>
      </c>
      <c r="AY1375" s="80">
        <f>IF(AND(AB1375=1,AV1375=0,AU1375=1),1,0)</f>
        <v>0</v>
      </c>
      <c r="AZ1375" s="80">
        <f>IF(AY1375=1,COUNTIFS(R_Emp,D1375,R_SAbs,"&lt;"&amp;AX1375,R_EAbs,"&gt;"&amp;AW1375,R_OKey,1)-1,0)</f>
        <v>0</v>
      </c>
      <c r="BA1375" s="80">
        <f>IF(AY1375=1,COUNTIFS(R_Emp,"&lt;&gt;"&amp;D1375,R_SAbs,"&lt;"&amp;AX1375,R_EAbs,"&gt;"&amp;AW1375,R_OKey,1),0)</f>
        <v>0</v>
      </c>
      <c r="BB1375" s="80">
        <f>IF(AND(AB1375=1,D1375="proMX"),IF(AND(MOD(Z1375,CFG_BLK)=0,MOD(AA1375,CFG_BLK)=0,MOD(AG1375,CFG_BLK)=0,AG1375&gt;0),1,0),1)</f>
        <v>1</v>
      </c>
      <c r="BC1375" s="80" t="str">
        <f>IF(Y1375=0,"",IF(NOT(ISNUMBER(B1375)),"Falta fecha o fecha inválida",IF(D1375="","Falta empresa",IF(AND(D1375&lt;&gt;"Malcolm",D1375&lt;&gt;"proMX"),"Empresa inválida",IF(OR(INT(B1375)&lt;CFG_PSTART,INT(B1375)&gt;CFG_PEND),"Fecha fuera del período",IF(OR(NOT(ISNUMBER(Z1375)),NOT(ISNUMBER(AA1375))),"Falta hora inicio/fin o formato inválido",IF(AB1375=0,"Hora inicio = hora fin",IF(AE1375&lt;0,"Descanso inválido",IF(AE1375&gt;=AD1375,"Descanso ≥ duración",IF(AV1375=1,"Registro duplicado",IF(AZ1375&gt;0,"Se superpone con otro registro "&amp;D1375,IF(BB1375=0,"inicio, fin y duración neta deben ser múltiplos de "&amp;CFG_BLK&amp;" min",""))))))))))))</f>
        <v/>
      </c>
      <c r="BD1375" s="80">
        <f>IF(AND(Y1375=1,BC1375=""),1,0)</f>
        <v>0</v>
      </c>
      <c r="BE1375" s="80">
        <f>IF(AND(BD1375=1,AU1375=1),1,0)</f>
        <v>0</v>
      </c>
      <c r="BF1375" s="80" t="str">
        <f>IF(AND(D1375="proMX",BD1375=1),IF(R1375="","Draft",R1375),"")</f>
        <v/>
      </c>
      <c r="BG1375" s="80">
        <f>IF(BD1375=1,ROUND(AG1375/60,6),0)</f>
        <v>0</v>
      </c>
      <c r="BH1375" s="80">
        <f>IF(BE1375=1,ROUND(AG1375/60,6),0)</f>
        <v>0</v>
      </c>
      <c r="BI1375" s="80">
        <f>IF(BE1375=1,ROUND(AP1375/60,6),0)</f>
        <v>0</v>
      </c>
      <c r="BJ1375" s="80">
        <f>IF(BE1375=1,ROUND(AQ1375/60,6),0)</f>
        <v>0</v>
      </c>
      <c r="BK1375" s="80">
        <f>IF(BE1375=1,ROUND((AR1375+AS1375)/60,6),0)</f>
        <v>0</v>
      </c>
      <c r="BL1375" s="80">
        <f>ROUND(BH1375-BK1375,6)</f>
        <v>0</v>
      </c>
      <c r="BM1375" s="80">
        <f>IF(BE1375=1,ROUND(AR1375/60,6),0)</f>
        <v>0</v>
      </c>
      <c r="BN1375" s="80">
        <f>ROUND(BI1375-BM1375,6)</f>
        <v>0</v>
      </c>
      <c r="BO1375" s="80">
        <f>IF(BE1375=1,ROUND(AS1375/60,6),0)</f>
        <v>0</v>
      </c>
      <c r="BP1375" s="80">
        <f>ROUND(BJ1375-BO1375,6)</f>
        <v>0</v>
      </c>
      <c r="BQ1375" s="80">
        <f>IF(BE1375=1,AW1375,0)</f>
        <v>0</v>
      </c>
      <c r="BR1375" s="80">
        <f>IF(BE1375=1,AX1375,0)</f>
        <v>0</v>
      </c>
      <c r="BS1375" s="80">
        <f>IF(AND(BE1375=1,D1375="Malcolm",BA1375&gt;0),MIN(BH1375,SUMPRODUCT((R_Emp="proMX")*(R_EN&gt;0)*((R_EN-(R_EN&gt;BR1375)*(R_EN-BR1375))&gt;(R_SN+(R_SN&lt;BQ1375)*(BQ1375-R_SN)))*((R_EN-(R_EN&gt;BR1375)*(R_EN-BR1375))-(R_SN+(R_SN&lt;BQ1375)*(BQ1375-R_SN))))/60),0)</f>
        <v>0</v>
      </c>
      <c r="BT1375" s="80">
        <f>IF(AND(BE1375=1,D1375="proMX"),ROUND(BI1375*CFG_RATE+BJ1375*CFG_OTRATE,6),0)</f>
        <v>0</v>
      </c>
      <c r="BU1375" s="80">
        <f>IF(AND(BD1375=1,D1375="proMX"),ROUND(AG1375/CFG_BLK,6),0)</f>
        <v>0</v>
      </c>
      <c r="BV1375" s="80" t="str">
        <f>IF(BF1375="Approved",IF(ISNUMBER(T1375),INT(T1375),INT(B1375)),"")</f>
        <v/>
      </c>
      <c r="BW1375" s="80">
        <f>IF(ISNUMBER(B1375),IF(DB_MON="Todos",1,IF(AND(INT(B1375)&gt;=DB_MS,INT(B1375)&lt;=DB_ME),1,0)),0)</f>
        <v>0</v>
      </c>
      <c r="BX1375" s="80">
        <f>IF(DB_PROJ="Todos",1,IF(E1375&amp;""=DB_PROJ&amp;"",1,0))</f>
        <v>1</v>
      </c>
      <c r="BY1375" s="80">
        <f>BW1375*BX1375</f>
        <v>0</v>
      </c>
      <c r="BZ1375" s="80" t="str">
        <f>IF(Y1375=1,F1375&amp;IF(AND(F1375&amp;""&lt;&gt;"",E1375&amp;""&lt;&gt;"")," · ","")&amp;E1375,"")</f>
        <v/>
      </c>
      <c r="CA1375" s="80" t="str">
        <f>IF(AND(BD1375=1,E1375&amp;""&lt;&gt;""),IF(COUNTIFS($E$5:E1374,E1375,$BD$5:BD1374,1)=0,MAX($CA$5:CA1374)+1,""),"")</f>
        <v/>
      </c>
      <c r="CB1375" s="80" t="str">
        <f>IF(AND(BE1375=1,D1375="Malcolm",E1375&amp;""&lt;&gt;""),IF(COUNTIFS($D$5:D1374,"Malcolm",$E$5:E1374,E1375,$BE$5:BE1374,1)=0,MAX($CB$5:CB1374)+1,""),"")</f>
        <v/>
      </c>
      <c r="CC1375" s="80" t="str">
        <f>IF(AND(BD1375=1,D1375="proMX",E1375&amp;""&lt;&gt;""),IF(COUNTIFS($D$5:D1374,"proMX",$E$5:E1374,E1375,$BD$5:BD1374,1)=0,MAX($CC$5:CC1374)+1,""),"")</f>
        <v/>
      </c>
      <c r="CD1375" s="80" t="str">
        <f>IF(AND(BE1375=1,D1375="Malcolm",F1375&amp;""&lt;&gt;""),IF(COUNTIFS($D$5:D1374,"Malcolm",$F$5:F1374,F1375,$BE$5:BE1374,1)=0,MAX($CD$5:CD1374)+1,""),"")</f>
        <v/>
      </c>
      <c r="CE1375" s="80" t="str">
        <f>IF(AND(BD1375=1,D1375="proMX",F1375&amp;""&lt;&gt;""),IF(COUNTIFS($D$5:D1374,"proMX",$F$5:F1374,F1375,$BD$5:BD1374,1)=0,MAX($CE$5:CE1374)+1,""),"")</f>
        <v/>
      </c>
      <c r="CF1375" s="80" t="str">
        <f>IF(AND(D1375="proMX",BD1375=1),IF(OR(BF1375="Draft",BF1375="Submitted",BF1375="Returned",BF1375="Recall Requested"),MAX($CF$5:CF1374)+1,""),"")</f>
        <v/>
      </c>
      <c r="CG1375" s="80">
        <f>IF(BD1375=0,0,IF(D1375="Malcolm",1,MATCH(BF1375,{"Draft","Submitted","Approved","Returned","Recall Requested","Cancelled"},0)+1))</f>
        <v>0</v>
      </c>
      <c r="CH1375" s="80">
        <f>IF(AND(BF1375="Submitted",ISNUMBER(V1375)),IF(V1375&gt;CFG_MAXD,1,0),0)</f>
        <v>0</v>
      </c>
    </row>
    <row r="1376">
      <c r="A1376" s="71" t="str">
        <f>IF(Y1376=1,ROW()-5,"")</f>
        <v/>
      </c>
      <c r="B1376" s="72" t="n"/>
      <c r="C1376" s="71" t="str">
        <f>IF(ISNUMBER(B1376),CHOOSE(WEEKDAY(B1376,2),"Lun","Mar","Mié","Jue","Vie","Sáb","Dom"),"")</f>
        <v/>
      </c>
      <c r="D1376" s="73" t="n"/>
      <c r="E1376" s="74" t="n"/>
      <c r="F1376" s="74" t="n"/>
      <c r="G1376" s="74" t="n"/>
      <c r="H1376" s="75" t="n"/>
      <c r="I1376" s="75" t="n"/>
      <c r="J1376" s="76" t="n"/>
      <c r="K1376" s="77" t="str">
        <f>IF(AB1376=1,ROUND(AG1376/60,4),"")</f>
        <v/>
      </c>
      <c r="L1376" s="77" t="str">
        <f>IF(BD1376=1,ROUND(AP1376/60,4),"")</f>
        <v/>
      </c>
      <c r="M1376" s="77" t="str">
        <f>IF(BD1376=1,ROUND(AQ1376/60,4),"")</f>
        <v/>
      </c>
      <c r="N1376" s="71" t="str">
        <f>IF(AND(D1376="proMX",AB1376=1),ROUND(AG1376/CFG_BLK,2),"")</f>
        <v/>
      </c>
      <c r="O1376" s="77" t="str">
        <f>IF(D1376="proMX",IF(BD1376=1,ROUND(AG1376/60,4),0),"")</f>
        <v/>
      </c>
      <c r="P1376" s="78" t="str">
        <f>IF(Y1376=0,"",IF(BD1376=1,"OK",IF(D1376="proMX","Revisar bloques: ","Revisar: ")&amp;BC1376))</f>
        <v/>
      </c>
      <c r="Q1376" s="78" t="str">
        <f>IF(NOT(ISNUMBER(B1376)),"",IF(COUNTIFS(FER_F,INT(B1376))&gt;0,"Feriado"&amp;IF(AH1376=1," (laborable)"," (no laborable)"),IF(AH1376=1,"Laborable",IF(WEEKDAY(B1376,2)&gt;5,"Fin de semana","No laborable"))))</f>
        <v/>
      </c>
      <c r="R1376" s="73" t="n"/>
      <c r="S1376" s="72" t="n"/>
      <c r="T1376" s="72" t="n"/>
      <c r="U1376" s="74" t="n"/>
      <c r="V1376" s="79" t="str">
        <f>IF(AND(D1376="proMX",OR(R1376="Submitted",R1376="Recall Requested"),ISNUMBER(S1376)),CFG_TODAY-INT(S1376),"")</f>
        <v/>
      </c>
      <c r="W1376" s="78" t="str">
        <f>IF(BD1376=0,"",IF(BA1376&gt;0,"⚠ Se superpone con un registro de la otra empresa",IF(D1376="Malcolm",IF(COUNTA(R1376,S1376,T1376)&gt;0,"Estado/fechas proMX se ignoran en Malcolm",""),IF(BF1376="Cancelled","Cancelado: excluido de totales",IF(R1376="","Sin estado: se trata como Draft",IF(BF1376="Submitted",IF(ISNUMBER(V1376),IF(V1376&gt;CFG_MAXD,"⚠ "&amp;V1376&amp;" días en Submitted (máx. "&amp;CFG_MAXD&amp;")",""),"Falta fecha de envío"),IF(BF1376="Returned","⚠ Devuelto: corregir y reenviar",IF(BF1376="Recall Requested","Retirada solicitada: pendiente",IF(AND(BF1376="Approved",NOT(ISNUMBER(T1376))),"Falta fecha de aprobación",IF(AND(ISNUMBER(S1376),ISNUMBER(T1376),T1376&lt;S1376),"Aprobación anterior al envío","")))))))))</f>
        <v/>
      </c>
      <c r="Y1376" s="80">
        <f>IF(COUNTA(B1376,D1376,E1376,F1376,G1376,H1376,I1376,J1376,R1376,S1376,T1376)&gt;0,1,0)</f>
        <v>0</v>
      </c>
      <c r="Z1376" s="80" t="str">
        <f>IF(AND(ISNUMBER(H1376),H1376&gt;=0,H1376&lt;1),ROUND(H1376*1440,0),"")</f>
        <v/>
      </c>
      <c r="AA1376" s="80" t="str">
        <f>IF(AND(ISNUMBER(I1376),I1376&gt;=0,I1376&lt;1),ROUND(I1376*1440,0),"")</f>
        <v/>
      </c>
      <c r="AB1376" s="80">
        <f>IF(AND(ISNUMBER(B1376),D1376&lt;&gt;"",ISNUMBER(Z1376),ISNUMBER(AA1376)),IF(Z1376=AA1376,0,1),0)</f>
        <v>0</v>
      </c>
      <c r="AC1376" s="80">
        <f>IF(AB1376=1,IF(AA1376&lt;Z1376,1,0),0)</f>
        <v>0</v>
      </c>
      <c r="AD1376" s="80">
        <f>IF(AB1376=1,IF(AC1376=1,1440-Z1376+AA1376,AA1376-Z1376),0)</f>
        <v>0</v>
      </c>
      <c r="AE1376" s="80">
        <f>IF(J1376="",0,IF(ISNUMBER(J1376),J1376,-1))</f>
        <v>0</v>
      </c>
      <c r="AF1376" s="80">
        <f>MIN(MAX(0,AE1376),AD1376)</f>
        <v>0</v>
      </c>
      <c r="AG1376" s="80">
        <f>MAX(0,AD1376-MAX(0,AE1376))</f>
        <v>0</v>
      </c>
      <c r="AH1376" s="80">
        <f>IF(ISNUMBER(B1376),IF(AND(INDEX(CFG_WDAYS,WEEKDAY(INT(B1376),2))="Sí",IF(D1376="proMX",COUNTIFS(FER_F,INT(B1376),FER_NLP,"Sí"),COUNTIFS(FER_F,INT(B1376),FER_NLM,"Sí"))=0),1,0),0)</f>
        <v>0</v>
      </c>
      <c r="AI1376" s="80">
        <f>IF(AC1376=1,IF(AND(INDEX(CFG_WDAYS,WEEKDAY(INT(B1376)+1,2))="Sí",IF(D1376="proMX",COUNTIFS(FER_F,INT(B1376)+1,FER_NLP,"Sí"),COUNTIFS(FER_F,INT(B1376)+1,FER_NLM,"Sí"))=0),1,0),0)</f>
        <v>0</v>
      </c>
      <c r="AJ1376" s="80">
        <f>IF(AC1376=1,1440-Z1376,AD1376)</f>
        <v>0</v>
      </c>
      <c r="AK1376" s="80">
        <f>IF(AND(AB1376=1,AH1376=1),MAX(0,MIN(IF(AC1376=1,1440,AA1376),CFG_WEM)-MAX(Z1376,CFG_WSM)),0)</f>
        <v>0</v>
      </c>
      <c r="AL1376" s="80">
        <f>IF(AND(AC1376=1,AI1376=1),MAX(0,MIN(AA1376,CFG_WEM)-CFG_WSM),0)</f>
        <v>0</v>
      </c>
      <c r="AM1376" s="80">
        <f>AK1376+AL1376</f>
        <v>0</v>
      </c>
      <c r="AN1376" s="80">
        <f>IF(CFG_BRK="Proporcional",IF(AD1376=0,0,AF1376*AM1376/AD1376),IF(CFG_BRK="Extras primero",MIN(AM1376,MAX(0,AF1376-(AD1376-AM1376))),MIN(AF1376,AM1376)))</f>
        <v>0</v>
      </c>
      <c r="AO1376" s="80">
        <f>AF1376-AN1376</f>
        <v>0</v>
      </c>
      <c r="AP1376" s="80">
        <f>AM1376-AN1376</f>
        <v>0</v>
      </c>
      <c r="AQ1376" s="80">
        <f>AD1376-AM1376-AO1376</f>
        <v>0</v>
      </c>
      <c r="AR1376" s="80">
        <f>IF(AM1376=0,0,AK1376-AN1376*AK1376/AM1376)</f>
        <v>0</v>
      </c>
      <c r="AS1376" s="80">
        <f>IF(AD1376-AM1376=0,0,(AJ1376-AK1376)-AO1376*(AJ1376-AK1376)/(AD1376-AM1376))</f>
        <v>0</v>
      </c>
      <c r="AT1376" s="80" t="str">
        <f>IF(AC1376=1,INT(B1376)+1,"")</f>
        <v/>
      </c>
      <c r="AU1376" s="80">
        <f>IF(AND(D1376="proMX",R1376="Cancelled"),0,1)</f>
        <v>1</v>
      </c>
      <c r="AV1376" s="80">
        <f>IF(AND(AB1376=1,AU1376=1),IF(COUNTIFS($D$5:D1375,D1376,$B$5:B1375,B1376,$Z$5:Z1375,Z1376,$AA$5:AA1375,AA1376,$F$5:F1375,F1376&amp;"",$AU$5:AU1375,1)&gt;0,1,0),0)</f>
        <v>0</v>
      </c>
      <c r="AW1376" s="80" t="str">
        <f>IF(AB1376=1,INT(B1376)*1440+Z1376,"")</f>
        <v/>
      </c>
      <c r="AX1376" s="80" t="str">
        <f>IF(AB1376=1,AW1376+AD1376,"")</f>
        <v/>
      </c>
      <c r="AY1376" s="80">
        <f>IF(AND(AB1376=1,AV1376=0,AU1376=1),1,0)</f>
        <v>0</v>
      </c>
      <c r="AZ1376" s="80">
        <f>IF(AY1376=1,COUNTIFS(R_Emp,D1376,R_SAbs,"&lt;"&amp;AX1376,R_EAbs,"&gt;"&amp;AW1376,R_OKey,1)-1,0)</f>
        <v>0</v>
      </c>
      <c r="BA1376" s="80">
        <f>IF(AY1376=1,COUNTIFS(R_Emp,"&lt;&gt;"&amp;D1376,R_SAbs,"&lt;"&amp;AX1376,R_EAbs,"&gt;"&amp;AW1376,R_OKey,1),0)</f>
        <v>0</v>
      </c>
      <c r="BB1376" s="80">
        <f>IF(AND(AB1376=1,D1376="proMX"),IF(AND(MOD(Z1376,CFG_BLK)=0,MOD(AA1376,CFG_BLK)=0,MOD(AG1376,CFG_BLK)=0,AG1376&gt;0),1,0),1)</f>
        <v>1</v>
      </c>
      <c r="BC1376" s="80" t="str">
        <f>IF(Y1376=0,"",IF(NOT(ISNUMBER(B1376)),"Falta fecha o fecha inválida",IF(D1376="","Falta empresa",IF(AND(D1376&lt;&gt;"Malcolm",D1376&lt;&gt;"proMX"),"Empresa inválida",IF(OR(INT(B1376)&lt;CFG_PSTART,INT(B1376)&gt;CFG_PEND),"Fecha fuera del período",IF(OR(NOT(ISNUMBER(Z1376)),NOT(ISNUMBER(AA1376))),"Falta hora inicio/fin o formato inválido",IF(AB1376=0,"Hora inicio = hora fin",IF(AE1376&lt;0,"Descanso inválido",IF(AE1376&gt;=AD1376,"Descanso ≥ duración",IF(AV1376=1,"Registro duplicado",IF(AZ1376&gt;0,"Se superpone con otro registro "&amp;D1376,IF(BB1376=0,"inicio, fin y duración neta deben ser múltiplos de "&amp;CFG_BLK&amp;" min",""))))))))))))</f>
        <v/>
      </c>
      <c r="BD1376" s="80">
        <f>IF(AND(Y1376=1,BC1376=""),1,0)</f>
        <v>0</v>
      </c>
      <c r="BE1376" s="80">
        <f>IF(AND(BD1376=1,AU1376=1),1,0)</f>
        <v>0</v>
      </c>
      <c r="BF1376" s="80" t="str">
        <f>IF(AND(D1376="proMX",BD1376=1),IF(R1376="","Draft",R1376),"")</f>
        <v/>
      </c>
      <c r="BG1376" s="80">
        <f>IF(BD1376=1,ROUND(AG1376/60,6),0)</f>
        <v>0</v>
      </c>
      <c r="BH1376" s="80">
        <f>IF(BE1376=1,ROUND(AG1376/60,6),0)</f>
        <v>0</v>
      </c>
      <c r="BI1376" s="80">
        <f>IF(BE1376=1,ROUND(AP1376/60,6),0)</f>
        <v>0</v>
      </c>
      <c r="BJ1376" s="80">
        <f>IF(BE1376=1,ROUND(AQ1376/60,6),0)</f>
        <v>0</v>
      </c>
      <c r="BK1376" s="80">
        <f>IF(BE1376=1,ROUND((AR1376+AS1376)/60,6),0)</f>
        <v>0</v>
      </c>
      <c r="BL1376" s="80">
        <f>ROUND(BH1376-BK1376,6)</f>
        <v>0</v>
      </c>
      <c r="BM1376" s="80">
        <f>IF(BE1376=1,ROUND(AR1376/60,6),0)</f>
        <v>0</v>
      </c>
      <c r="BN1376" s="80">
        <f>ROUND(BI1376-BM1376,6)</f>
        <v>0</v>
      </c>
      <c r="BO1376" s="80">
        <f>IF(BE1376=1,ROUND(AS1376/60,6),0)</f>
        <v>0</v>
      </c>
      <c r="BP1376" s="80">
        <f>ROUND(BJ1376-BO1376,6)</f>
        <v>0</v>
      </c>
      <c r="BQ1376" s="80">
        <f>IF(BE1376=1,AW1376,0)</f>
        <v>0</v>
      </c>
      <c r="BR1376" s="80">
        <f>IF(BE1376=1,AX1376,0)</f>
        <v>0</v>
      </c>
      <c r="BS1376" s="80">
        <f>IF(AND(BE1376=1,D1376="Malcolm",BA1376&gt;0),MIN(BH1376,SUMPRODUCT((R_Emp="proMX")*(R_EN&gt;0)*((R_EN-(R_EN&gt;BR1376)*(R_EN-BR1376))&gt;(R_SN+(R_SN&lt;BQ1376)*(BQ1376-R_SN)))*((R_EN-(R_EN&gt;BR1376)*(R_EN-BR1376))-(R_SN+(R_SN&lt;BQ1376)*(BQ1376-R_SN))))/60),0)</f>
        <v>0</v>
      </c>
      <c r="BT1376" s="80">
        <f>IF(AND(BE1376=1,D1376="proMX"),ROUND(BI1376*CFG_RATE+BJ1376*CFG_OTRATE,6),0)</f>
        <v>0</v>
      </c>
      <c r="BU1376" s="80">
        <f>IF(AND(BD1376=1,D1376="proMX"),ROUND(AG1376/CFG_BLK,6),0)</f>
        <v>0</v>
      </c>
      <c r="BV1376" s="80" t="str">
        <f>IF(BF1376="Approved",IF(ISNUMBER(T1376),INT(T1376),INT(B1376)),"")</f>
        <v/>
      </c>
      <c r="BW1376" s="80">
        <f>IF(ISNUMBER(B1376),IF(DB_MON="Todos",1,IF(AND(INT(B1376)&gt;=DB_MS,INT(B1376)&lt;=DB_ME),1,0)),0)</f>
        <v>0</v>
      </c>
      <c r="BX1376" s="80">
        <f>IF(DB_PROJ="Todos",1,IF(E1376&amp;""=DB_PROJ&amp;"",1,0))</f>
        <v>1</v>
      </c>
      <c r="BY1376" s="80">
        <f>BW1376*BX1376</f>
        <v>0</v>
      </c>
      <c r="BZ1376" s="80" t="str">
        <f>IF(Y1376=1,F1376&amp;IF(AND(F1376&amp;""&lt;&gt;"",E1376&amp;""&lt;&gt;"")," · ","")&amp;E1376,"")</f>
        <v/>
      </c>
      <c r="CA1376" s="80" t="str">
        <f>IF(AND(BD1376=1,E1376&amp;""&lt;&gt;""),IF(COUNTIFS($E$5:E1375,E1376,$BD$5:BD1375,1)=0,MAX($CA$5:CA1375)+1,""),"")</f>
        <v/>
      </c>
      <c r="CB1376" s="80" t="str">
        <f>IF(AND(BE1376=1,D1376="Malcolm",E1376&amp;""&lt;&gt;""),IF(COUNTIFS($D$5:D1375,"Malcolm",$E$5:E1375,E1376,$BE$5:BE1375,1)=0,MAX($CB$5:CB1375)+1,""),"")</f>
        <v/>
      </c>
      <c r="CC1376" s="80" t="str">
        <f>IF(AND(BD1376=1,D1376="proMX",E1376&amp;""&lt;&gt;""),IF(COUNTIFS($D$5:D1375,"proMX",$E$5:E1375,E1376,$BD$5:BD1375,1)=0,MAX($CC$5:CC1375)+1,""),"")</f>
        <v/>
      </c>
      <c r="CD1376" s="80" t="str">
        <f>IF(AND(BE1376=1,D1376="Malcolm",F1376&amp;""&lt;&gt;""),IF(COUNTIFS($D$5:D1375,"Malcolm",$F$5:F1375,F1376,$BE$5:BE1375,1)=0,MAX($CD$5:CD1375)+1,""),"")</f>
        <v/>
      </c>
      <c r="CE1376" s="80" t="str">
        <f>IF(AND(BD1376=1,D1376="proMX",F1376&amp;""&lt;&gt;""),IF(COUNTIFS($D$5:D1375,"proMX",$F$5:F1375,F1376,$BD$5:BD1375,1)=0,MAX($CE$5:CE1375)+1,""),"")</f>
        <v/>
      </c>
      <c r="CF1376" s="80" t="str">
        <f>IF(AND(D1376="proMX",BD1376=1),IF(OR(BF1376="Draft",BF1376="Submitted",BF1376="Returned",BF1376="Recall Requested"),MAX($CF$5:CF1375)+1,""),"")</f>
        <v/>
      </c>
      <c r="CG1376" s="80">
        <f>IF(BD1376=0,0,IF(D1376="Malcolm",1,MATCH(BF1376,{"Draft","Submitted","Approved","Returned","Recall Requested","Cancelled"},0)+1))</f>
        <v>0</v>
      </c>
      <c r="CH1376" s="80">
        <f>IF(AND(BF1376="Submitted",ISNUMBER(V1376)),IF(V1376&gt;CFG_MAXD,1,0),0)</f>
        <v>0</v>
      </c>
    </row>
    <row r="1377">
      <c r="A1377" s="71" t="str">
        <f>IF(Y1377=1,ROW()-5,"")</f>
        <v/>
      </c>
      <c r="B1377" s="72" t="n"/>
      <c r="C1377" s="71" t="str">
        <f>IF(ISNUMBER(B1377),CHOOSE(WEEKDAY(B1377,2),"Lun","Mar","Mié","Jue","Vie","Sáb","Dom"),"")</f>
        <v/>
      </c>
      <c r="D1377" s="73" t="n"/>
      <c r="E1377" s="74" t="n"/>
      <c r="F1377" s="74" t="n"/>
      <c r="G1377" s="74" t="n"/>
      <c r="H1377" s="75" t="n"/>
      <c r="I1377" s="75" t="n"/>
      <c r="J1377" s="76" t="n"/>
      <c r="K1377" s="77" t="str">
        <f>IF(AB1377=1,ROUND(AG1377/60,4),"")</f>
        <v/>
      </c>
      <c r="L1377" s="77" t="str">
        <f>IF(BD1377=1,ROUND(AP1377/60,4),"")</f>
        <v/>
      </c>
      <c r="M1377" s="77" t="str">
        <f>IF(BD1377=1,ROUND(AQ1377/60,4),"")</f>
        <v/>
      </c>
      <c r="N1377" s="71" t="str">
        <f>IF(AND(D1377="proMX",AB1377=1),ROUND(AG1377/CFG_BLK,2),"")</f>
        <v/>
      </c>
      <c r="O1377" s="77" t="str">
        <f>IF(D1377="proMX",IF(BD1377=1,ROUND(AG1377/60,4),0),"")</f>
        <v/>
      </c>
      <c r="P1377" s="78" t="str">
        <f>IF(Y1377=0,"",IF(BD1377=1,"OK",IF(D1377="proMX","Revisar bloques: ","Revisar: ")&amp;BC1377))</f>
        <v/>
      </c>
      <c r="Q1377" s="78" t="str">
        <f>IF(NOT(ISNUMBER(B1377)),"",IF(COUNTIFS(FER_F,INT(B1377))&gt;0,"Feriado"&amp;IF(AH1377=1," (laborable)"," (no laborable)"),IF(AH1377=1,"Laborable",IF(WEEKDAY(B1377,2)&gt;5,"Fin de semana","No laborable"))))</f>
        <v/>
      </c>
      <c r="R1377" s="73" t="n"/>
      <c r="S1377" s="72" t="n"/>
      <c r="T1377" s="72" t="n"/>
      <c r="U1377" s="74" t="n"/>
      <c r="V1377" s="79" t="str">
        <f>IF(AND(D1377="proMX",OR(R1377="Submitted",R1377="Recall Requested"),ISNUMBER(S1377)),CFG_TODAY-INT(S1377),"")</f>
        <v/>
      </c>
      <c r="W1377" s="78" t="str">
        <f>IF(BD1377=0,"",IF(BA1377&gt;0,"⚠ Se superpone con un registro de la otra empresa",IF(D1377="Malcolm",IF(COUNTA(R1377,S1377,T1377)&gt;0,"Estado/fechas proMX se ignoran en Malcolm",""),IF(BF1377="Cancelled","Cancelado: excluido de totales",IF(R1377="","Sin estado: se trata como Draft",IF(BF1377="Submitted",IF(ISNUMBER(V1377),IF(V1377&gt;CFG_MAXD,"⚠ "&amp;V1377&amp;" días en Submitted (máx. "&amp;CFG_MAXD&amp;")",""),"Falta fecha de envío"),IF(BF1377="Returned","⚠ Devuelto: corregir y reenviar",IF(BF1377="Recall Requested","Retirada solicitada: pendiente",IF(AND(BF1377="Approved",NOT(ISNUMBER(T1377))),"Falta fecha de aprobación",IF(AND(ISNUMBER(S1377),ISNUMBER(T1377),T1377&lt;S1377),"Aprobación anterior al envío","")))))))))</f>
        <v/>
      </c>
      <c r="Y1377" s="80">
        <f>IF(COUNTA(B1377,D1377,E1377,F1377,G1377,H1377,I1377,J1377,R1377,S1377,T1377)&gt;0,1,0)</f>
        <v>0</v>
      </c>
      <c r="Z1377" s="80" t="str">
        <f>IF(AND(ISNUMBER(H1377),H1377&gt;=0,H1377&lt;1),ROUND(H1377*1440,0),"")</f>
        <v/>
      </c>
      <c r="AA1377" s="80" t="str">
        <f>IF(AND(ISNUMBER(I1377),I1377&gt;=0,I1377&lt;1),ROUND(I1377*1440,0),"")</f>
        <v/>
      </c>
      <c r="AB1377" s="80">
        <f>IF(AND(ISNUMBER(B1377),D1377&lt;&gt;"",ISNUMBER(Z1377),ISNUMBER(AA1377)),IF(Z1377=AA1377,0,1),0)</f>
        <v>0</v>
      </c>
      <c r="AC1377" s="80">
        <f>IF(AB1377=1,IF(AA1377&lt;Z1377,1,0),0)</f>
        <v>0</v>
      </c>
      <c r="AD1377" s="80">
        <f>IF(AB1377=1,IF(AC1377=1,1440-Z1377+AA1377,AA1377-Z1377),0)</f>
        <v>0</v>
      </c>
      <c r="AE1377" s="80">
        <f>IF(J1377="",0,IF(ISNUMBER(J1377),J1377,-1))</f>
        <v>0</v>
      </c>
      <c r="AF1377" s="80">
        <f>MIN(MAX(0,AE1377),AD1377)</f>
        <v>0</v>
      </c>
      <c r="AG1377" s="80">
        <f>MAX(0,AD1377-MAX(0,AE1377))</f>
        <v>0</v>
      </c>
      <c r="AH1377" s="80">
        <f>IF(ISNUMBER(B1377),IF(AND(INDEX(CFG_WDAYS,WEEKDAY(INT(B1377),2))="Sí",IF(D1377="proMX",COUNTIFS(FER_F,INT(B1377),FER_NLP,"Sí"),COUNTIFS(FER_F,INT(B1377),FER_NLM,"Sí"))=0),1,0),0)</f>
        <v>0</v>
      </c>
      <c r="AI1377" s="80">
        <f>IF(AC1377=1,IF(AND(INDEX(CFG_WDAYS,WEEKDAY(INT(B1377)+1,2))="Sí",IF(D1377="proMX",COUNTIFS(FER_F,INT(B1377)+1,FER_NLP,"Sí"),COUNTIFS(FER_F,INT(B1377)+1,FER_NLM,"Sí"))=0),1,0),0)</f>
        <v>0</v>
      </c>
      <c r="AJ1377" s="80">
        <f>IF(AC1377=1,1440-Z1377,AD1377)</f>
        <v>0</v>
      </c>
      <c r="AK1377" s="80">
        <f>IF(AND(AB1377=1,AH1377=1),MAX(0,MIN(IF(AC1377=1,1440,AA1377),CFG_WEM)-MAX(Z1377,CFG_WSM)),0)</f>
        <v>0</v>
      </c>
      <c r="AL1377" s="80">
        <f>IF(AND(AC1377=1,AI1377=1),MAX(0,MIN(AA1377,CFG_WEM)-CFG_WSM),0)</f>
        <v>0</v>
      </c>
      <c r="AM1377" s="80">
        <f>AK1377+AL1377</f>
        <v>0</v>
      </c>
      <c r="AN1377" s="80">
        <f>IF(CFG_BRK="Proporcional",IF(AD1377=0,0,AF1377*AM1377/AD1377),IF(CFG_BRK="Extras primero",MIN(AM1377,MAX(0,AF1377-(AD1377-AM1377))),MIN(AF1377,AM1377)))</f>
        <v>0</v>
      </c>
      <c r="AO1377" s="80">
        <f>AF1377-AN1377</f>
        <v>0</v>
      </c>
      <c r="AP1377" s="80">
        <f>AM1377-AN1377</f>
        <v>0</v>
      </c>
      <c r="AQ1377" s="80">
        <f>AD1377-AM1377-AO1377</f>
        <v>0</v>
      </c>
      <c r="AR1377" s="80">
        <f>IF(AM1377=0,0,AK1377-AN1377*AK1377/AM1377)</f>
        <v>0</v>
      </c>
      <c r="AS1377" s="80">
        <f>IF(AD1377-AM1377=0,0,(AJ1377-AK1377)-AO1377*(AJ1377-AK1377)/(AD1377-AM1377))</f>
        <v>0</v>
      </c>
      <c r="AT1377" s="80" t="str">
        <f>IF(AC1377=1,INT(B1377)+1,"")</f>
        <v/>
      </c>
      <c r="AU1377" s="80">
        <f>IF(AND(D1377="proMX",R1377="Cancelled"),0,1)</f>
        <v>1</v>
      </c>
      <c r="AV1377" s="80">
        <f>IF(AND(AB1377=1,AU1377=1),IF(COUNTIFS($D$5:D1376,D1377,$B$5:B1376,B1377,$Z$5:Z1376,Z1377,$AA$5:AA1376,AA1377,$F$5:F1376,F1377&amp;"",$AU$5:AU1376,1)&gt;0,1,0),0)</f>
        <v>0</v>
      </c>
      <c r="AW1377" s="80" t="str">
        <f>IF(AB1377=1,INT(B1377)*1440+Z1377,"")</f>
        <v/>
      </c>
      <c r="AX1377" s="80" t="str">
        <f>IF(AB1377=1,AW1377+AD1377,"")</f>
        <v/>
      </c>
      <c r="AY1377" s="80">
        <f>IF(AND(AB1377=1,AV1377=0,AU1377=1),1,0)</f>
        <v>0</v>
      </c>
      <c r="AZ1377" s="80">
        <f>IF(AY1377=1,COUNTIFS(R_Emp,D1377,R_SAbs,"&lt;"&amp;AX1377,R_EAbs,"&gt;"&amp;AW1377,R_OKey,1)-1,0)</f>
        <v>0</v>
      </c>
      <c r="BA1377" s="80">
        <f>IF(AY1377=1,COUNTIFS(R_Emp,"&lt;&gt;"&amp;D1377,R_SAbs,"&lt;"&amp;AX1377,R_EAbs,"&gt;"&amp;AW1377,R_OKey,1),0)</f>
        <v>0</v>
      </c>
      <c r="BB1377" s="80">
        <f>IF(AND(AB1377=1,D1377="proMX"),IF(AND(MOD(Z1377,CFG_BLK)=0,MOD(AA1377,CFG_BLK)=0,MOD(AG1377,CFG_BLK)=0,AG1377&gt;0),1,0),1)</f>
        <v>1</v>
      </c>
      <c r="BC1377" s="80" t="str">
        <f>IF(Y1377=0,"",IF(NOT(ISNUMBER(B1377)),"Falta fecha o fecha inválida",IF(D1377="","Falta empresa",IF(AND(D1377&lt;&gt;"Malcolm",D1377&lt;&gt;"proMX"),"Empresa inválida",IF(OR(INT(B1377)&lt;CFG_PSTART,INT(B1377)&gt;CFG_PEND),"Fecha fuera del período",IF(OR(NOT(ISNUMBER(Z1377)),NOT(ISNUMBER(AA1377))),"Falta hora inicio/fin o formato inválido",IF(AB1377=0,"Hora inicio = hora fin",IF(AE1377&lt;0,"Descanso inválido",IF(AE1377&gt;=AD1377,"Descanso ≥ duración",IF(AV1377=1,"Registro duplicado",IF(AZ1377&gt;0,"Se superpone con otro registro "&amp;D1377,IF(BB1377=0,"inicio, fin y duración neta deben ser múltiplos de "&amp;CFG_BLK&amp;" min",""))))))))))))</f>
        <v/>
      </c>
      <c r="BD1377" s="80">
        <f>IF(AND(Y1377=1,BC1377=""),1,0)</f>
        <v>0</v>
      </c>
      <c r="BE1377" s="80">
        <f>IF(AND(BD1377=1,AU1377=1),1,0)</f>
        <v>0</v>
      </c>
      <c r="BF1377" s="80" t="str">
        <f>IF(AND(D1377="proMX",BD1377=1),IF(R1377="","Draft",R1377),"")</f>
        <v/>
      </c>
      <c r="BG1377" s="80">
        <f>IF(BD1377=1,ROUND(AG1377/60,6),0)</f>
        <v>0</v>
      </c>
      <c r="BH1377" s="80">
        <f>IF(BE1377=1,ROUND(AG1377/60,6),0)</f>
        <v>0</v>
      </c>
      <c r="BI1377" s="80">
        <f>IF(BE1377=1,ROUND(AP1377/60,6),0)</f>
        <v>0</v>
      </c>
      <c r="BJ1377" s="80">
        <f>IF(BE1377=1,ROUND(AQ1377/60,6),0)</f>
        <v>0</v>
      </c>
      <c r="BK1377" s="80">
        <f>IF(BE1377=1,ROUND((AR1377+AS1377)/60,6),0)</f>
        <v>0</v>
      </c>
      <c r="BL1377" s="80">
        <f>ROUND(BH1377-BK1377,6)</f>
        <v>0</v>
      </c>
      <c r="BM1377" s="80">
        <f>IF(BE1377=1,ROUND(AR1377/60,6),0)</f>
        <v>0</v>
      </c>
      <c r="BN1377" s="80">
        <f>ROUND(BI1377-BM1377,6)</f>
        <v>0</v>
      </c>
      <c r="BO1377" s="80">
        <f>IF(BE1377=1,ROUND(AS1377/60,6),0)</f>
        <v>0</v>
      </c>
      <c r="BP1377" s="80">
        <f>ROUND(BJ1377-BO1377,6)</f>
        <v>0</v>
      </c>
      <c r="BQ1377" s="80">
        <f>IF(BE1377=1,AW1377,0)</f>
        <v>0</v>
      </c>
      <c r="BR1377" s="80">
        <f>IF(BE1377=1,AX1377,0)</f>
        <v>0</v>
      </c>
      <c r="BS1377" s="80">
        <f>IF(AND(BE1377=1,D1377="Malcolm",BA1377&gt;0),MIN(BH1377,SUMPRODUCT((R_Emp="proMX")*(R_EN&gt;0)*((R_EN-(R_EN&gt;BR1377)*(R_EN-BR1377))&gt;(R_SN+(R_SN&lt;BQ1377)*(BQ1377-R_SN)))*((R_EN-(R_EN&gt;BR1377)*(R_EN-BR1377))-(R_SN+(R_SN&lt;BQ1377)*(BQ1377-R_SN))))/60),0)</f>
        <v>0</v>
      </c>
      <c r="BT1377" s="80">
        <f>IF(AND(BE1377=1,D1377="proMX"),ROUND(BI1377*CFG_RATE+BJ1377*CFG_OTRATE,6),0)</f>
        <v>0</v>
      </c>
      <c r="BU1377" s="80">
        <f>IF(AND(BD1377=1,D1377="proMX"),ROUND(AG1377/CFG_BLK,6),0)</f>
        <v>0</v>
      </c>
      <c r="BV1377" s="80" t="str">
        <f>IF(BF1377="Approved",IF(ISNUMBER(T1377),INT(T1377),INT(B1377)),"")</f>
        <v/>
      </c>
      <c r="BW1377" s="80">
        <f>IF(ISNUMBER(B1377),IF(DB_MON="Todos",1,IF(AND(INT(B1377)&gt;=DB_MS,INT(B1377)&lt;=DB_ME),1,0)),0)</f>
        <v>0</v>
      </c>
      <c r="BX1377" s="80">
        <f>IF(DB_PROJ="Todos",1,IF(E1377&amp;""=DB_PROJ&amp;"",1,0))</f>
        <v>1</v>
      </c>
      <c r="BY1377" s="80">
        <f>BW1377*BX1377</f>
        <v>0</v>
      </c>
      <c r="BZ1377" s="80" t="str">
        <f>IF(Y1377=1,F1377&amp;IF(AND(F1377&amp;""&lt;&gt;"",E1377&amp;""&lt;&gt;"")," · ","")&amp;E1377,"")</f>
        <v/>
      </c>
      <c r="CA1377" s="80" t="str">
        <f>IF(AND(BD1377=1,E1377&amp;""&lt;&gt;""),IF(COUNTIFS($E$5:E1376,E1377,$BD$5:BD1376,1)=0,MAX($CA$5:CA1376)+1,""),"")</f>
        <v/>
      </c>
      <c r="CB1377" s="80" t="str">
        <f>IF(AND(BE1377=1,D1377="Malcolm",E1377&amp;""&lt;&gt;""),IF(COUNTIFS($D$5:D1376,"Malcolm",$E$5:E1376,E1377,$BE$5:BE1376,1)=0,MAX($CB$5:CB1376)+1,""),"")</f>
        <v/>
      </c>
      <c r="CC1377" s="80" t="str">
        <f>IF(AND(BD1377=1,D1377="proMX",E1377&amp;""&lt;&gt;""),IF(COUNTIFS($D$5:D1376,"proMX",$E$5:E1376,E1377,$BD$5:BD1376,1)=0,MAX($CC$5:CC1376)+1,""),"")</f>
        <v/>
      </c>
      <c r="CD1377" s="80" t="str">
        <f>IF(AND(BE1377=1,D1377="Malcolm",F1377&amp;""&lt;&gt;""),IF(COUNTIFS($D$5:D1376,"Malcolm",$F$5:F1376,F1377,$BE$5:BE1376,1)=0,MAX($CD$5:CD1376)+1,""),"")</f>
        <v/>
      </c>
      <c r="CE1377" s="80" t="str">
        <f>IF(AND(BD1377=1,D1377="proMX",F1377&amp;""&lt;&gt;""),IF(COUNTIFS($D$5:D1376,"proMX",$F$5:F1376,F1377,$BD$5:BD1376,1)=0,MAX($CE$5:CE1376)+1,""),"")</f>
        <v/>
      </c>
      <c r="CF1377" s="80" t="str">
        <f>IF(AND(D1377="proMX",BD1377=1),IF(OR(BF1377="Draft",BF1377="Submitted",BF1377="Returned",BF1377="Recall Requested"),MAX($CF$5:CF1376)+1,""),"")</f>
        <v/>
      </c>
      <c r="CG1377" s="80">
        <f>IF(BD1377=0,0,IF(D1377="Malcolm",1,MATCH(BF1377,{"Draft","Submitted","Approved","Returned","Recall Requested","Cancelled"},0)+1))</f>
        <v>0</v>
      </c>
      <c r="CH1377" s="80">
        <f>IF(AND(BF1377="Submitted",ISNUMBER(V1377)),IF(V1377&gt;CFG_MAXD,1,0),0)</f>
        <v>0</v>
      </c>
    </row>
    <row r="1378">
      <c r="A1378" s="71" t="str">
        <f>IF(Y1378=1,ROW()-5,"")</f>
        <v/>
      </c>
      <c r="B1378" s="72" t="n"/>
      <c r="C1378" s="71" t="str">
        <f>IF(ISNUMBER(B1378),CHOOSE(WEEKDAY(B1378,2),"Lun","Mar","Mié","Jue","Vie","Sáb","Dom"),"")</f>
        <v/>
      </c>
      <c r="D1378" s="73" t="n"/>
      <c r="E1378" s="74" t="n"/>
      <c r="F1378" s="74" t="n"/>
      <c r="G1378" s="74" t="n"/>
      <c r="H1378" s="75" t="n"/>
      <c r="I1378" s="75" t="n"/>
      <c r="J1378" s="76" t="n"/>
      <c r="K1378" s="77" t="str">
        <f>IF(AB1378=1,ROUND(AG1378/60,4),"")</f>
        <v/>
      </c>
      <c r="L1378" s="77" t="str">
        <f>IF(BD1378=1,ROUND(AP1378/60,4),"")</f>
        <v/>
      </c>
      <c r="M1378" s="77" t="str">
        <f>IF(BD1378=1,ROUND(AQ1378/60,4),"")</f>
        <v/>
      </c>
      <c r="N1378" s="71" t="str">
        <f>IF(AND(D1378="proMX",AB1378=1),ROUND(AG1378/CFG_BLK,2),"")</f>
        <v/>
      </c>
      <c r="O1378" s="77" t="str">
        <f>IF(D1378="proMX",IF(BD1378=1,ROUND(AG1378/60,4),0),"")</f>
        <v/>
      </c>
      <c r="P1378" s="78" t="str">
        <f>IF(Y1378=0,"",IF(BD1378=1,"OK",IF(D1378="proMX","Revisar bloques: ","Revisar: ")&amp;BC1378))</f>
        <v/>
      </c>
      <c r="Q1378" s="78" t="str">
        <f>IF(NOT(ISNUMBER(B1378)),"",IF(COUNTIFS(FER_F,INT(B1378))&gt;0,"Feriado"&amp;IF(AH1378=1," (laborable)"," (no laborable)"),IF(AH1378=1,"Laborable",IF(WEEKDAY(B1378,2)&gt;5,"Fin de semana","No laborable"))))</f>
        <v/>
      </c>
      <c r="R1378" s="73" t="n"/>
      <c r="S1378" s="72" t="n"/>
      <c r="T1378" s="72" t="n"/>
      <c r="U1378" s="74" t="n"/>
      <c r="V1378" s="79" t="str">
        <f>IF(AND(D1378="proMX",OR(R1378="Submitted",R1378="Recall Requested"),ISNUMBER(S1378)),CFG_TODAY-INT(S1378),"")</f>
        <v/>
      </c>
      <c r="W1378" s="78" t="str">
        <f>IF(BD1378=0,"",IF(BA1378&gt;0,"⚠ Se superpone con un registro de la otra empresa",IF(D1378="Malcolm",IF(COUNTA(R1378,S1378,T1378)&gt;0,"Estado/fechas proMX se ignoran en Malcolm",""),IF(BF1378="Cancelled","Cancelado: excluido de totales",IF(R1378="","Sin estado: se trata como Draft",IF(BF1378="Submitted",IF(ISNUMBER(V1378),IF(V1378&gt;CFG_MAXD,"⚠ "&amp;V1378&amp;" días en Submitted (máx. "&amp;CFG_MAXD&amp;")",""),"Falta fecha de envío"),IF(BF1378="Returned","⚠ Devuelto: corregir y reenviar",IF(BF1378="Recall Requested","Retirada solicitada: pendiente",IF(AND(BF1378="Approved",NOT(ISNUMBER(T1378))),"Falta fecha de aprobación",IF(AND(ISNUMBER(S1378),ISNUMBER(T1378),T1378&lt;S1378),"Aprobación anterior al envío","")))))))))</f>
        <v/>
      </c>
      <c r="Y1378" s="80">
        <f>IF(COUNTA(B1378,D1378,E1378,F1378,G1378,H1378,I1378,J1378,R1378,S1378,T1378)&gt;0,1,0)</f>
        <v>0</v>
      </c>
      <c r="Z1378" s="80" t="str">
        <f>IF(AND(ISNUMBER(H1378),H1378&gt;=0,H1378&lt;1),ROUND(H1378*1440,0),"")</f>
        <v/>
      </c>
      <c r="AA1378" s="80" t="str">
        <f>IF(AND(ISNUMBER(I1378),I1378&gt;=0,I1378&lt;1),ROUND(I1378*1440,0),"")</f>
        <v/>
      </c>
      <c r="AB1378" s="80">
        <f>IF(AND(ISNUMBER(B1378),D1378&lt;&gt;"",ISNUMBER(Z1378),ISNUMBER(AA1378)),IF(Z1378=AA1378,0,1),0)</f>
        <v>0</v>
      </c>
      <c r="AC1378" s="80">
        <f>IF(AB1378=1,IF(AA1378&lt;Z1378,1,0),0)</f>
        <v>0</v>
      </c>
      <c r="AD1378" s="80">
        <f>IF(AB1378=1,IF(AC1378=1,1440-Z1378+AA1378,AA1378-Z1378),0)</f>
        <v>0</v>
      </c>
      <c r="AE1378" s="80">
        <f>IF(J1378="",0,IF(ISNUMBER(J1378),J1378,-1))</f>
        <v>0</v>
      </c>
      <c r="AF1378" s="80">
        <f>MIN(MAX(0,AE1378),AD1378)</f>
        <v>0</v>
      </c>
      <c r="AG1378" s="80">
        <f>MAX(0,AD1378-MAX(0,AE1378))</f>
        <v>0</v>
      </c>
      <c r="AH1378" s="80">
        <f>IF(ISNUMBER(B1378),IF(AND(INDEX(CFG_WDAYS,WEEKDAY(INT(B1378),2))="Sí",IF(D1378="proMX",COUNTIFS(FER_F,INT(B1378),FER_NLP,"Sí"),COUNTIFS(FER_F,INT(B1378),FER_NLM,"Sí"))=0),1,0),0)</f>
        <v>0</v>
      </c>
      <c r="AI1378" s="80">
        <f>IF(AC1378=1,IF(AND(INDEX(CFG_WDAYS,WEEKDAY(INT(B1378)+1,2))="Sí",IF(D1378="proMX",COUNTIFS(FER_F,INT(B1378)+1,FER_NLP,"Sí"),COUNTIFS(FER_F,INT(B1378)+1,FER_NLM,"Sí"))=0),1,0),0)</f>
        <v>0</v>
      </c>
      <c r="AJ1378" s="80">
        <f>IF(AC1378=1,1440-Z1378,AD1378)</f>
        <v>0</v>
      </c>
      <c r="AK1378" s="80">
        <f>IF(AND(AB1378=1,AH1378=1),MAX(0,MIN(IF(AC1378=1,1440,AA1378),CFG_WEM)-MAX(Z1378,CFG_WSM)),0)</f>
        <v>0</v>
      </c>
      <c r="AL1378" s="80">
        <f>IF(AND(AC1378=1,AI1378=1),MAX(0,MIN(AA1378,CFG_WEM)-CFG_WSM),0)</f>
        <v>0</v>
      </c>
      <c r="AM1378" s="80">
        <f>AK1378+AL1378</f>
        <v>0</v>
      </c>
      <c r="AN1378" s="80">
        <f>IF(CFG_BRK="Proporcional",IF(AD1378=0,0,AF1378*AM1378/AD1378),IF(CFG_BRK="Extras primero",MIN(AM1378,MAX(0,AF1378-(AD1378-AM1378))),MIN(AF1378,AM1378)))</f>
        <v>0</v>
      </c>
      <c r="AO1378" s="80">
        <f>AF1378-AN1378</f>
        <v>0</v>
      </c>
      <c r="AP1378" s="80">
        <f>AM1378-AN1378</f>
        <v>0</v>
      </c>
      <c r="AQ1378" s="80">
        <f>AD1378-AM1378-AO1378</f>
        <v>0</v>
      </c>
      <c r="AR1378" s="80">
        <f>IF(AM1378=0,0,AK1378-AN1378*AK1378/AM1378)</f>
        <v>0</v>
      </c>
      <c r="AS1378" s="80">
        <f>IF(AD1378-AM1378=0,0,(AJ1378-AK1378)-AO1378*(AJ1378-AK1378)/(AD1378-AM1378))</f>
        <v>0</v>
      </c>
      <c r="AT1378" s="80" t="str">
        <f>IF(AC1378=1,INT(B1378)+1,"")</f>
        <v/>
      </c>
      <c r="AU1378" s="80">
        <f>IF(AND(D1378="proMX",R1378="Cancelled"),0,1)</f>
        <v>1</v>
      </c>
      <c r="AV1378" s="80">
        <f>IF(AND(AB1378=1,AU1378=1),IF(COUNTIFS($D$5:D1377,D1378,$B$5:B1377,B1378,$Z$5:Z1377,Z1378,$AA$5:AA1377,AA1378,$F$5:F1377,F1378&amp;"",$AU$5:AU1377,1)&gt;0,1,0),0)</f>
        <v>0</v>
      </c>
      <c r="AW1378" s="80" t="str">
        <f>IF(AB1378=1,INT(B1378)*1440+Z1378,"")</f>
        <v/>
      </c>
      <c r="AX1378" s="80" t="str">
        <f>IF(AB1378=1,AW1378+AD1378,"")</f>
        <v/>
      </c>
      <c r="AY1378" s="80">
        <f>IF(AND(AB1378=1,AV1378=0,AU1378=1),1,0)</f>
        <v>0</v>
      </c>
      <c r="AZ1378" s="80">
        <f>IF(AY1378=1,COUNTIFS(R_Emp,D1378,R_SAbs,"&lt;"&amp;AX1378,R_EAbs,"&gt;"&amp;AW1378,R_OKey,1)-1,0)</f>
        <v>0</v>
      </c>
      <c r="BA1378" s="80">
        <f>IF(AY1378=1,COUNTIFS(R_Emp,"&lt;&gt;"&amp;D1378,R_SAbs,"&lt;"&amp;AX1378,R_EAbs,"&gt;"&amp;AW1378,R_OKey,1),0)</f>
        <v>0</v>
      </c>
      <c r="BB1378" s="80">
        <f>IF(AND(AB1378=1,D1378="proMX"),IF(AND(MOD(Z1378,CFG_BLK)=0,MOD(AA1378,CFG_BLK)=0,MOD(AG1378,CFG_BLK)=0,AG1378&gt;0),1,0),1)</f>
        <v>1</v>
      </c>
      <c r="BC1378" s="80" t="str">
        <f>IF(Y1378=0,"",IF(NOT(ISNUMBER(B1378)),"Falta fecha o fecha inválida",IF(D1378="","Falta empresa",IF(AND(D1378&lt;&gt;"Malcolm",D1378&lt;&gt;"proMX"),"Empresa inválida",IF(OR(INT(B1378)&lt;CFG_PSTART,INT(B1378)&gt;CFG_PEND),"Fecha fuera del período",IF(OR(NOT(ISNUMBER(Z1378)),NOT(ISNUMBER(AA1378))),"Falta hora inicio/fin o formato inválido",IF(AB1378=0,"Hora inicio = hora fin",IF(AE1378&lt;0,"Descanso inválido",IF(AE1378&gt;=AD1378,"Descanso ≥ duración",IF(AV1378=1,"Registro duplicado",IF(AZ1378&gt;0,"Se superpone con otro registro "&amp;D1378,IF(BB1378=0,"inicio, fin y duración neta deben ser múltiplos de "&amp;CFG_BLK&amp;" min",""))))))))))))</f>
        <v/>
      </c>
      <c r="BD1378" s="80">
        <f>IF(AND(Y1378=1,BC1378=""),1,0)</f>
        <v>0</v>
      </c>
      <c r="BE1378" s="80">
        <f>IF(AND(BD1378=1,AU1378=1),1,0)</f>
        <v>0</v>
      </c>
      <c r="BF1378" s="80" t="str">
        <f>IF(AND(D1378="proMX",BD1378=1),IF(R1378="","Draft",R1378),"")</f>
        <v/>
      </c>
      <c r="BG1378" s="80">
        <f>IF(BD1378=1,ROUND(AG1378/60,6),0)</f>
        <v>0</v>
      </c>
      <c r="BH1378" s="80">
        <f>IF(BE1378=1,ROUND(AG1378/60,6),0)</f>
        <v>0</v>
      </c>
      <c r="BI1378" s="80">
        <f>IF(BE1378=1,ROUND(AP1378/60,6),0)</f>
        <v>0</v>
      </c>
      <c r="BJ1378" s="80">
        <f>IF(BE1378=1,ROUND(AQ1378/60,6),0)</f>
        <v>0</v>
      </c>
      <c r="BK1378" s="80">
        <f>IF(BE1378=1,ROUND((AR1378+AS1378)/60,6),0)</f>
        <v>0</v>
      </c>
      <c r="BL1378" s="80">
        <f>ROUND(BH1378-BK1378,6)</f>
        <v>0</v>
      </c>
      <c r="BM1378" s="80">
        <f>IF(BE1378=1,ROUND(AR1378/60,6),0)</f>
        <v>0</v>
      </c>
      <c r="BN1378" s="80">
        <f>ROUND(BI1378-BM1378,6)</f>
        <v>0</v>
      </c>
      <c r="BO1378" s="80">
        <f>IF(BE1378=1,ROUND(AS1378/60,6),0)</f>
        <v>0</v>
      </c>
      <c r="BP1378" s="80">
        <f>ROUND(BJ1378-BO1378,6)</f>
        <v>0</v>
      </c>
      <c r="BQ1378" s="80">
        <f>IF(BE1378=1,AW1378,0)</f>
        <v>0</v>
      </c>
      <c r="BR1378" s="80">
        <f>IF(BE1378=1,AX1378,0)</f>
        <v>0</v>
      </c>
      <c r="BS1378" s="80">
        <f>IF(AND(BE1378=1,D1378="Malcolm",BA1378&gt;0),MIN(BH1378,SUMPRODUCT((R_Emp="proMX")*(R_EN&gt;0)*((R_EN-(R_EN&gt;BR1378)*(R_EN-BR1378))&gt;(R_SN+(R_SN&lt;BQ1378)*(BQ1378-R_SN)))*((R_EN-(R_EN&gt;BR1378)*(R_EN-BR1378))-(R_SN+(R_SN&lt;BQ1378)*(BQ1378-R_SN))))/60),0)</f>
        <v>0</v>
      </c>
      <c r="BT1378" s="80">
        <f>IF(AND(BE1378=1,D1378="proMX"),ROUND(BI1378*CFG_RATE+BJ1378*CFG_OTRATE,6),0)</f>
        <v>0</v>
      </c>
      <c r="BU1378" s="80">
        <f>IF(AND(BD1378=1,D1378="proMX"),ROUND(AG1378/CFG_BLK,6),0)</f>
        <v>0</v>
      </c>
      <c r="BV1378" s="80" t="str">
        <f>IF(BF1378="Approved",IF(ISNUMBER(T1378),INT(T1378),INT(B1378)),"")</f>
        <v/>
      </c>
      <c r="BW1378" s="80">
        <f>IF(ISNUMBER(B1378),IF(DB_MON="Todos",1,IF(AND(INT(B1378)&gt;=DB_MS,INT(B1378)&lt;=DB_ME),1,0)),0)</f>
        <v>0</v>
      </c>
      <c r="BX1378" s="80">
        <f>IF(DB_PROJ="Todos",1,IF(E1378&amp;""=DB_PROJ&amp;"",1,0))</f>
        <v>1</v>
      </c>
      <c r="BY1378" s="80">
        <f>BW1378*BX1378</f>
        <v>0</v>
      </c>
      <c r="BZ1378" s="80" t="str">
        <f>IF(Y1378=1,F1378&amp;IF(AND(F1378&amp;""&lt;&gt;"",E1378&amp;""&lt;&gt;"")," · ","")&amp;E1378,"")</f>
        <v/>
      </c>
      <c r="CA1378" s="80" t="str">
        <f>IF(AND(BD1378=1,E1378&amp;""&lt;&gt;""),IF(COUNTIFS($E$5:E1377,E1378,$BD$5:BD1377,1)=0,MAX($CA$5:CA1377)+1,""),"")</f>
        <v/>
      </c>
      <c r="CB1378" s="80" t="str">
        <f>IF(AND(BE1378=1,D1378="Malcolm",E1378&amp;""&lt;&gt;""),IF(COUNTIFS($D$5:D1377,"Malcolm",$E$5:E1377,E1378,$BE$5:BE1377,1)=0,MAX($CB$5:CB1377)+1,""),"")</f>
        <v/>
      </c>
      <c r="CC1378" s="80" t="str">
        <f>IF(AND(BD1378=1,D1378="proMX",E1378&amp;""&lt;&gt;""),IF(COUNTIFS($D$5:D1377,"proMX",$E$5:E1377,E1378,$BD$5:BD1377,1)=0,MAX($CC$5:CC1377)+1,""),"")</f>
        <v/>
      </c>
      <c r="CD1378" s="80" t="str">
        <f>IF(AND(BE1378=1,D1378="Malcolm",F1378&amp;""&lt;&gt;""),IF(COUNTIFS($D$5:D1377,"Malcolm",$F$5:F1377,F1378,$BE$5:BE1377,1)=0,MAX($CD$5:CD1377)+1,""),"")</f>
        <v/>
      </c>
      <c r="CE1378" s="80" t="str">
        <f>IF(AND(BD1378=1,D1378="proMX",F1378&amp;""&lt;&gt;""),IF(COUNTIFS($D$5:D1377,"proMX",$F$5:F1377,F1378,$BD$5:BD1377,1)=0,MAX($CE$5:CE1377)+1,""),"")</f>
        <v/>
      </c>
      <c r="CF1378" s="80" t="str">
        <f>IF(AND(D1378="proMX",BD1378=1),IF(OR(BF1378="Draft",BF1378="Submitted",BF1378="Returned",BF1378="Recall Requested"),MAX($CF$5:CF1377)+1,""),"")</f>
        <v/>
      </c>
      <c r="CG1378" s="80">
        <f>IF(BD1378=0,0,IF(D1378="Malcolm",1,MATCH(BF1378,{"Draft","Submitted","Approved","Returned","Recall Requested","Cancelled"},0)+1))</f>
        <v>0</v>
      </c>
      <c r="CH1378" s="80">
        <f>IF(AND(BF1378="Submitted",ISNUMBER(V1378)),IF(V1378&gt;CFG_MAXD,1,0),0)</f>
        <v>0</v>
      </c>
    </row>
    <row r="1379">
      <c r="A1379" s="71" t="str">
        <f>IF(Y1379=1,ROW()-5,"")</f>
        <v/>
      </c>
      <c r="B1379" s="72" t="n"/>
      <c r="C1379" s="71" t="str">
        <f>IF(ISNUMBER(B1379),CHOOSE(WEEKDAY(B1379,2),"Lun","Mar","Mié","Jue","Vie","Sáb","Dom"),"")</f>
        <v/>
      </c>
      <c r="D1379" s="73" t="n"/>
      <c r="E1379" s="74" t="n"/>
      <c r="F1379" s="74" t="n"/>
      <c r="G1379" s="74" t="n"/>
      <c r="H1379" s="75" t="n"/>
      <c r="I1379" s="75" t="n"/>
      <c r="J1379" s="76" t="n"/>
      <c r="K1379" s="77" t="str">
        <f>IF(AB1379=1,ROUND(AG1379/60,4),"")</f>
        <v/>
      </c>
      <c r="L1379" s="77" t="str">
        <f>IF(BD1379=1,ROUND(AP1379/60,4),"")</f>
        <v/>
      </c>
      <c r="M1379" s="77" t="str">
        <f>IF(BD1379=1,ROUND(AQ1379/60,4),"")</f>
        <v/>
      </c>
      <c r="N1379" s="71" t="str">
        <f>IF(AND(D1379="proMX",AB1379=1),ROUND(AG1379/CFG_BLK,2),"")</f>
        <v/>
      </c>
      <c r="O1379" s="77" t="str">
        <f>IF(D1379="proMX",IF(BD1379=1,ROUND(AG1379/60,4),0),"")</f>
        <v/>
      </c>
      <c r="P1379" s="78" t="str">
        <f>IF(Y1379=0,"",IF(BD1379=1,"OK",IF(D1379="proMX","Revisar bloques: ","Revisar: ")&amp;BC1379))</f>
        <v/>
      </c>
      <c r="Q1379" s="78" t="str">
        <f>IF(NOT(ISNUMBER(B1379)),"",IF(COUNTIFS(FER_F,INT(B1379))&gt;0,"Feriado"&amp;IF(AH1379=1," (laborable)"," (no laborable)"),IF(AH1379=1,"Laborable",IF(WEEKDAY(B1379,2)&gt;5,"Fin de semana","No laborable"))))</f>
        <v/>
      </c>
      <c r="R1379" s="73" t="n"/>
      <c r="S1379" s="72" t="n"/>
      <c r="T1379" s="72" t="n"/>
      <c r="U1379" s="74" t="n"/>
      <c r="V1379" s="79" t="str">
        <f>IF(AND(D1379="proMX",OR(R1379="Submitted",R1379="Recall Requested"),ISNUMBER(S1379)),CFG_TODAY-INT(S1379),"")</f>
        <v/>
      </c>
      <c r="W1379" s="78" t="str">
        <f>IF(BD1379=0,"",IF(BA1379&gt;0,"⚠ Se superpone con un registro de la otra empresa",IF(D1379="Malcolm",IF(COUNTA(R1379,S1379,T1379)&gt;0,"Estado/fechas proMX se ignoran en Malcolm",""),IF(BF1379="Cancelled","Cancelado: excluido de totales",IF(R1379="","Sin estado: se trata como Draft",IF(BF1379="Submitted",IF(ISNUMBER(V1379),IF(V1379&gt;CFG_MAXD,"⚠ "&amp;V1379&amp;" días en Submitted (máx. "&amp;CFG_MAXD&amp;")",""),"Falta fecha de envío"),IF(BF1379="Returned","⚠ Devuelto: corregir y reenviar",IF(BF1379="Recall Requested","Retirada solicitada: pendiente",IF(AND(BF1379="Approved",NOT(ISNUMBER(T1379))),"Falta fecha de aprobación",IF(AND(ISNUMBER(S1379),ISNUMBER(T1379),T1379&lt;S1379),"Aprobación anterior al envío","")))))))))</f>
        <v/>
      </c>
      <c r="Y1379" s="80">
        <f>IF(COUNTA(B1379,D1379,E1379,F1379,G1379,H1379,I1379,J1379,R1379,S1379,T1379)&gt;0,1,0)</f>
        <v>0</v>
      </c>
      <c r="Z1379" s="80" t="str">
        <f>IF(AND(ISNUMBER(H1379),H1379&gt;=0,H1379&lt;1),ROUND(H1379*1440,0),"")</f>
        <v/>
      </c>
      <c r="AA1379" s="80" t="str">
        <f>IF(AND(ISNUMBER(I1379),I1379&gt;=0,I1379&lt;1),ROUND(I1379*1440,0),"")</f>
        <v/>
      </c>
      <c r="AB1379" s="80">
        <f>IF(AND(ISNUMBER(B1379),D1379&lt;&gt;"",ISNUMBER(Z1379),ISNUMBER(AA1379)),IF(Z1379=AA1379,0,1),0)</f>
        <v>0</v>
      </c>
      <c r="AC1379" s="80">
        <f>IF(AB1379=1,IF(AA1379&lt;Z1379,1,0),0)</f>
        <v>0</v>
      </c>
      <c r="AD1379" s="80">
        <f>IF(AB1379=1,IF(AC1379=1,1440-Z1379+AA1379,AA1379-Z1379),0)</f>
        <v>0</v>
      </c>
      <c r="AE1379" s="80">
        <f>IF(J1379="",0,IF(ISNUMBER(J1379),J1379,-1))</f>
        <v>0</v>
      </c>
      <c r="AF1379" s="80">
        <f>MIN(MAX(0,AE1379),AD1379)</f>
        <v>0</v>
      </c>
      <c r="AG1379" s="80">
        <f>MAX(0,AD1379-MAX(0,AE1379))</f>
        <v>0</v>
      </c>
      <c r="AH1379" s="80">
        <f>IF(ISNUMBER(B1379),IF(AND(INDEX(CFG_WDAYS,WEEKDAY(INT(B1379),2))="Sí",IF(D1379="proMX",COUNTIFS(FER_F,INT(B1379),FER_NLP,"Sí"),COUNTIFS(FER_F,INT(B1379),FER_NLM,"Sí"))=0),1,0),0)</f>
        <v>0</v>
      </c>
      <c r="AI1379" s="80">
        <f>IF(AC1379=1,IF(AND(INDEX(CFG_WDAYS,WEEKDAY(INT(B1379)+1,2))="Sí",IF(D1379="proMX",COUNTIFS(FER_F,INT(B1379)+1,FER_NLP,"Sí"),COUNTIFS(FER_F,INT(B1379)+1,FER_NLM,"Sí"))=0),1,0),0)</f>
        <v>0</v>
      </c>
      <c r="AJ1379" s="80">
        <f>IF(AC1379=1,1440-Z1379,AD1379)</f>
        <v>0</v>
      </c>
      <c r="AK1379" s="80">
        <f>IF(AND(AB1379=1,AH1379=1),MAX(0,MIN(IF(AC1379=1,1440,AA1379),CFG_WEM)-MAX(Z1379,CFG_WSM)),0)</f>
        <v>0</v>
      </c>
      <c r="AL1379" s="80">
        <f>IF(AND(AC1379=1,AI1379=1),MAX(0,MIN(AA1379,CFG_WEM)-CFG_WSM),0)</f>
        <v>0</v>
      </c>
      <c r="AM1379" s="80">
        <f>AK1379+AL1379</f>
        <v>0</v>
      </c>
      <c r="AN1379" s="80">
        <f>IF(CFG_BRK="Proporcional",IF(AD1379=0,0,AF1379*AM1379/AD1379),IF(CFG_BRK="Extras primero",MIN(AM1379,MAX(0,AF1379-(AD1379-AM1379))),MIN(AF1379,AM1379)))</f>
        <v>0</v>
      </c>
      <c r="AO1379" s="80">
        <f>AF1379-AN1379</f>
        <v>0</v>
      </c>
      <c r="AP1379" s="80">
        <f>AM1379-AN1379</f>
        <v>0</v>
      </c>
      <c r="AQ1379" s="80">
        <f>AD1379-AM1379-AO1379</f>
        <v>0</v>
      </c>
      <c r="AR1379" s="80">
        <f>IF(AM1379=0,0,AK1379-AN1379*AK1379/AM1379)</f>
        <v>0</v>
      </c>
      <c r="AS1379" s="80">
        <f>IF(AD1379-AM1379=0,0,(AJ1379-AK1379)-AO1379*(AJ1379-AK1379)/(AD1379-AM1379))</f>
        <v>0</v>
      </c>
      <c r="AT1379" s="80" t="str">
        <f>IF(AC1379=1,INT(B1379)+1,"")</f>
        <v/>
      </c>
      <c r="AU1379" s="80">
        <f>IF(AND(D1379="proMX",R1379="Cancelled"),0,1)</f>
        <v>1</v>
      </c>
      <c r="AV1379" s="80">
        <f>IF(AND(AB1379=1,AU1379=1),IF(COUNTIFS($D$5:D1378,D1379,$B$5:B1378,B1379,$Z$5:Z1378,Z1379,$AA$5:AA1378,AA1379,$F$5:F1378,F1379&amp;"",$AU$5:AU1378,1)&gt;0,1,0),0)</f>
        <v>0</v>
      </c>
      <c r="AW1379" s="80" t="str">
        <f>IF(AB1379=1,INT(B1379)*1440+Z1379,"")</f>
        <v/>
      </c>
      <c r="AX1379" s="80" t="str">
        <f>IF(AB1379=1,AW1379+AD1379,"")</f>
        <v/>
      </c>
      <c r="AY1379" s="80">
        <f>IF(AND(AB1379=1,AV1379=0,AU1379=1),1,0)</f>
        <v>0</v>
      </c>
      <c r="AZ1379" s="80">
        <f>IF(AY1379=1,COUNTIFS(R_Emp,D1379,R_SAbs,"&lt;"&amp;AX1379,R_EAbs,"&gt;"&amp;AW1379,R_OKey,1)-1,0)</f>
        <v>0</v>
      </c>
      <c r="BA1379" s="80">
        <f>IF(AY1379=1,COUNTIFS(R_Emp,"&lt;&gt;"&amp;D1379,R_SAbs,"&lt;"&amp;AX1379,R_EAbs,"&gt;"&amp;AW1379,R_OKey,1),0)</f>
        <v>0</v>
      </c>
      <c r="BB1379" s="80">
        <f>IF(AND(AB1379=1,D1379="proMX"),IF(AND(MOD(Z1379,CFG_BLK)=0,MOD(AA1379,CFG_BLK)=0,MOD(AG1379,CFG_BLK)=0,AG1379&gt;0),1,0),1)</f>
        <v>1</v>
      </c>
      <c r="BC1379" s="80" t="str">
        <f>IF(Y1379=0,"",IF(NOT(ISNUMBER(B1379)),"Falta fecha o fecha inválida",IF(D1379="","Falta empresa",IF(AND(D1379&lt;&gt;"Malcolm",D1379&lt;&gt;"proMX"),"Empresa inválida",IF(OR(INT(B1379)&lt;CFG_PSTART,INT(B1379)&gt;CFG_PEND),"Fecha fuera del período",IF(OR(NOT(ISNUMBER(Z1379)),NOT(ISNUMBER(AA1379))),"Falta hora inicio/fin o formato inválido",IF(AB1379=0,"Hora inicio = hora fin",IF(AE1379&lt;0,"Descanso inválido",IF(AE1379&gt;=AD1379,"Descanso ≥ duración",IF(AV1379=1,"Registro duplicado",IF(AZ1379&gt;0,"Se superpone con otro registro "&amp;D1379,IF(BB1379=0,"inicio, fin y duración neta deben ser múltiplos de "&amp;CFG_BLK&amp;" min",""))))))))))))</f>
        <v/>
      </c>
      <c r="BD1379" s="80">
        <f>IF(AND(Y1379=1,BC1379=""),1,0)</f>
        <v>0</v>
      </c>
      <c r="BE1379" s="80">
        <f>IF(AND(BD1379=1,AU1379=1),1,0)</f>
        <v>0</v>
      </c>
      <c r="BF1379" s="80" t="str">
        <f>IF(AND(D1379="proMX",BD1379=1),IF(R1379="","Draft",R1379),"")</f>
        <v/>
      </c>
      <c r="BG1379" s="80">
        <f>IF(BD1379=1,ROUND(AG1379/60,6),0)</f>
        <v>0</v>
      </c>
      <c r="BH1379" s="80">
        <f>IF(BE1379=1,ROUND(AG1379/60,6),0)</f>
        <v>0</v>
      </c>
      <c r="BI1379" s="80">
        <f>IF(BE1379=1,ROUND(AP1379/60,6),0)</f>
        <v>0</v>
      </c>
      <c r="BJ1379" s="80">
        <f>IF(BE1379=1,ROUND(AQ1379/60,6),0)</f>
        <v>0</v>
      </c>
      <c r="BK1379" s="80">
        <f>IF(BE1379=1,ROUND((AR1379+AS1379)/60,6),0)</f>
        <v>0</v>
      </c>
      <c r="BL1379" s="80">
        <f>ROUND(BH1379-BK1379,6)</f>
        <v>0</v>
      </c>
      <c r="BM1379" s="80">
        <f>IF(BE1379=1,ROUND(AR1379/60,6),0)</f>
        <v>0</v>
      </c>
      <c r="BN1379" s="80">
        <f>ROUND(BI1379-BM1379,6)</f>
        <v>0</v>
      </c>
      <c r="BO1379" s="80">
        <f>IF(BE1379=1,ROUND(AS1379/60,6),0)</f>
        <v>0</v>
      </c>
      <c r="BP1379" s="80">
        <f>ROUND(BJ1379-BO1379,6)</f>
        <v>0</v>
      </c>
      <c r="BQ1379" s="80">
        <f>IF(BE1379=1,AW1379,0)</f>
        <v>0</v>
      </c>
      <c r="BR1379" s="80">
        <f>IF(BE1379=1,AX1379,0)</f>
        <v>0</v>
      </c>
      <c r="BS1379" s="80">
        <f>IF(AND(BE1379=1,D1379="Malcolm",BA1379&gt;0),MIN(BH1379,SUMPRODUCT((R_Emp="proMX")*(R_EN&gt;0)*((R_EN-(R_EN&gt;BR1379)*(R_EN-BR1379))&gt;(R_SN+(R_SN&lt;BQ1379)*(BQ1379-R_SN)))*((R_EN-(R_EN&gt;BR1379)*(R_EN-BR1379))-(R_SN+(R_SN&lt;BQ1379)*(BQ1379-R_SN))))/60),0)</f>
        <v>0</v>
      </c>
      <c r="BT1379" s="80">
        <f>IF(AND(BE1379=1,D1379="proMX"),ROUND(BI1379*CFG_RATE+BJ1379*CFG_OTRATE,6),0)</f>
        <v>0</v>
      </c>
      <c r="BU1379" s="80">
        <f>IF(AND(BD1379=1,D1379="proMX"),ROUND(AG1379/CFG_BLK,6),0)</f>
        <v>0</v>
      </c>
      <c r="BV1379" s="80" t="str">
        <f>IF(BF1379="Approved",IF(ISNUMBER(T1379),INT(T1379),INT(B1379)),"")</f>
        <v/>
      </c>
      <c r="BW1379" s="80">
        <f>IF(ISNUMBER(B1379),IF(DB_MON="Todos",1,IF(AND(INT(B1379)&gt;=DB_MS,INT(B1379)&lt;=DB_ME),1,0)),0)</f>
        <v>0</v>
      </c>
      <c r="BX1379" s="80">
        <f>IF(DB_PROJ="Todos",1,IF(E1379&amp;""=DB_PROJ&amp;"",1,0))</f>
        <v>1</v>
      </c>
      <c r="BY1379" s="80">
        <f>BW1379*BX1379</f>
        <v>0</v>
      </c>
      <c r="BZ1379" s="80" t="str">
        <f>IF(Y1379=1,F1379&amp;IF(AND(F1379&amp;""&lt;&gt;"",E1379&amp;""&lt;&gt;"")," · ","")&amp;E1379,"")</f>
        <v/>
      </c>
      <c r="CA1379" s="80" t="str">
        <f>IF(AND(BD1379=1,E1379&amp;""&lt;&gt;""),IF(COUNTIFS($E$5:E1378,E1379,$BD$5:BD1378,1)=0,MAX($CA$5:CA1378)+1,""),"")</f>
        <v/>
      </c>
      <c r="CB1379" s="80" t="str">
        <f>IF(AND(BE1379=1,D1379="Malcolm",E1379&amp;""&lt;&gt;""),IF(COUNTIFS($D$5:D1378,"Malcolm",$E$5:E1378,E1379,$BE$5:BE1378,1)=0,MAX($CB$5:CB1378)+1,""),"")</f>
        <v/>
      </c>
      <c r="CC1379" s="80" t="str">
        <f>IF(AND(BD1379=1,D1379="proMX",E1379&amp;""&lt;&gt;""),IF(COUNTIFS($D$5:D1378,"proMX",$E$5:E1378,E1379,$BD$5:BD1378,1)=0,MAX($CC$5:CC1378)+1,""),"")</f>
        <v/>
      </c>
      <c r="CD1379" s="80" t="str">
        <f>IF(AND(BE1379=1,D1379="Malcolm",F1379&amp;""&lt;&gt;""),IF(COUNTIFS($D$5:D1378,"Malcolm",$F$5:F1378,F1379,$BE$5:BE1378,1)=0,MAX($CD$5:CD1378)+1,""),"")</f>
        <v/>
      </c>
      <c r="CE1379" s="80" t="str">
        <f>IF(AND(BD1379=1,D1379="proMX",F1379&amp;""&lt;&gt;""),IF(COUNTIFS($D$5:D1378,"proMX",$F$5:F1378,F1379,$BD$5:BD1378,1)=0,MAX($CE$5:CE1378)+1,""),"")</f>
        <v/>
      </c>
      <c r="CF1379" s="80" t="str">
        <f>IF(AND(D1379="proMX",BD1379=1),IF(OR(BF1379="Draft",BF1379="Submitted",BF1379="Returned",BF1379="Recall Requested"),MAX($CF$5:CF1378)+1,""),"")</f>
        <v/>
      </c>
      <c r="CG1379" s="80">
        <f>IF(BD1379=0,0,IF(D1379="Malcolm",1,MATCH(BF1379,{"Draft","Submitted","Approved","Returned","Recall Requested","Cancelled"},0)+1))</f>
        <v>0</v>
      </c>
      <c r="CH1379" s="80">
        <f>IF(AND(BF1379="Submitted",ISNUMBER(V1379)),IF(V1379&gt;CFG_MAXD,1,0),0)</f>
        <v>0</v>
      </c>
    </row>
    <row r="1380">
      <c r="A1380" s="71" t="str">
        <f>IF(Y1380=1,ROW()-5,"")</f>
        <v/>
      </c>
      <c r="B1380" s="72" t="n"/>
      <c r="C1380" s="71" t="str">
        <f>IF(ISNUMBER(B1380),CHOOSE(WEEKDAY(B1380,2),"Lun","Mar","Mié","Jue","Vie","Sáb","Dom"),"")</f>
        <v/>
      </c>
      <c r="D1380" s="73" t="n"/>
      <c r="E1380" s="74" t="n"/>
      <c r="F1380" s="74" t="n"/>
      <c r="G1380" s="74" t="n"/>
      <c r="H1380" s="75" t="n"/>
      <c r="I1380" s="75" t="n"/>
      <c r="J1380" s="76" t="n"/>
      <c r="K1380" s="77" t="str">
        <f>IF(AB1380=1,ROUND(AG1380/60,4),"")</f>
        <v/>
      </c>
      <c r="L1380" s="77" t="str">
        <f>IF(BD1380=1,ROUND(AP1380/60,4),"")</f>
        <v/>
      </c>
      <c r="M1380" s="77" t="str">
        <f>IF(BD1380=1,ROUND(AQ1380/60,4),"")</f>
        <v/>
      </c>
      <c r="N1380" s="71" t="str">
        <f>IF(AND(D1380="proMX",AB1380=1),ROUND(AG1380/CFG_BLK,2),"")</f>
        <v/>
      </c>
      <c r="O1380" s="77" t="str">
        <f>IF(D1380="proMX",IF(BD1380=1,ROUND(AG1380/60,4),0),"")</f>
        <v/>
      </c>
      <c r="P1380" s="78" t="str">
        <f>IF(Y1380=0,"",IF(BD1380=1,"OK",IF(D1380="proMX","Revisar bloques: ","Revisar: ")&amp;BC1380))</f>
        <v/>
      </c>
      <c r="Q1380" s="78" t="str">
        <f>IF(NOT(ISNUMBER(B1380)),"",IF(COUNTIFS(FER_F,INT(B1380))&gt;0,"Feriado"&amp;IF(AH1380=1," (laborable)"," (no laborable)"),IF(AH1380=1,"Laborable",IF(WEEKDAY(B1380,2)&gt;5,"Fin de semana","No laborable"))))</f>
        <v/>
      </c>
      <c r="R1380" s="73" t="n"/>
      <c r="S1380" s="72" t="n"/>
      <c r="T1380" s="72" t="n"/>
      <c r="U1380" s="74" t="n"/>
      <c r="V1380" s="79" t="str">
        <f>IF(AND(D1380="proMX",OR(R1380="Submitted",R1380="Recall Requested"),ISNUMBER(S1380)),CFG_TODAY-INT(S1380),"")</f>
        <v/>
      </c>
      <c r="W1380" s="78" t="str">
        <f>IF(BD1380=0,"",IF(BA1380&gt;0,"⚠ Se superpone con un registro de la otra empresa",IF(D1380="Malcolm",IF(COUNTA(R1380,S1380,T1380)&gt;0,"Estado/fechas proMX se ignoran en Malcolm",""),IF(BF1380="Cancelled","Cancelado: excluido de totales",IF(R1380="","Sin estado: se trata como Draft",IF(BF1380="Submitted",IF(ISNUMBER(V1380),IF(V1380&gt;CFG_MAXD,"⚠ "&amp;V1380&amp;" días en Submitted (máx. "&amp;CFG_MAXD&amp;")",""),"Falta fecha de envío"),IF(BF1380="Returned","⚠ Devuelto: corregir y reenviar",IF(BF1380="Recall Requested","Retirada solicitada: pendiente",IF(AND(BF1380="Approved",NOT(ISNUMBER(T1380))),"Falta fecha de aprobación",IF(AND(ISNUMBER(S1380),ISNUMBER(T1380),T1380&lt;S1380),"Aprobación anterior al envío","")))))))))</f>
        <v/>
      </c>
      <c r="Y1380" s="80">
        <f>IF(COUNTA(B1380,D1380,E1380,F1380,G1380,H1380,I1380,J1380,R1380,S1380,T1380)&gt;0,1,0)</f>
        <v>0</v>
      </c>
      <c r="Z1380" s="80" t="str">
        <f>IF(AND(ISNUMBER(H1380),H1380&gt;=0,H1380&lt;1),ROUND(H1380*1440,0),"")</f>
        <v/>
      </c>
      <c r="AA1380" s="80" t="str">
        <f>IF(AND(ISNUMBER(I1380),I1380&gt;=0,I1380&lt;1),ROUND(I1380*1440,0),"")</f>
        <v/>
      </c>
      <c r="AB1380" s="80">
        <f>IF(AND(ISNUMBER(B1380),D1380&lt;&gt;"",ISNUMBER(Z1380),ISNUMBER(AA1380)),IF(Z1380=AA1380,0,1),0)</f>
        <v>0</v>
      </c>
      <c r="AC1380" s="80">
        <f>IF(AB1380=1,IF(AA1380&lt;Z1380,1,0),0)</f>
        <v>0</v>
      </c>
      <c r="AD1380" s="80">
        <f>IF(AB1380=1,IF(AC1380=1,1440-Z1380+AA1380,AA1380-Z1380),0)</f>
        <v>0</v>
      </c>
      <c r="AE1380" s="80">
        <f>IF(J1380="",0,IF(ISNUMBER(J1380),J1380,-1))</f>
        <v>0</v>
      </c>
      <c r="AF1380" s="80">
        <f>MIN(MAX(0,AE1380),AD1380)</f>
        <v>0</v>
      </c>
      <c r="AG1380" s="80">
        <f>MAX(0,AD1380-MAX(0,AE1380))</f>
        <v>0</v>
      </c>
      <c r="AH1380" s="80">
        <f>IF(ISNUMBER(B1380),IF(AND(INDEX(CFG_WDAYS,WEEKDAY(INT(B1380),2))="Sí",IF(D1380="proMX",COUNTIFS(FER_F,INT(B1380),FER_NLP,"Sí"),COUNTIFS(FER_F,INT(B1380),FER_NLM,"Sí"))=0),1,0),0)</f>
        <v>0</v>
      </c>
      <c r="AI1380" s="80">
        <f>IF(AC1380=1,IF(AND(INDEX(CFG_WDAYS,WEEKDAY(INT(B1380)+1,2))="Sí",IF(D1380="proMX",COUNTIFS(FER_F,INT(B1380)+1,FER_NLP,"Sí"),COUNTIFS(FER_F,INT(B1380)+1,FER_NLM,"Sí"))=0),1,0),0)</f>
        <v>0</v>
      </c>
      <c r="AJ1380" s="80">
        <f>IF(AC1380=1,1440-Z1380,AD1380)</f>
        <v>0</v>
      </c>
      <c r="AK1380" s="80">
        <f>IF(AND(AB1380=1,AH1380=1),MAX(0,MIN(IF(AC1380=1,1440,AA1380),CFG_WEM)-MAX(Z1380,CFG_WSM)),0)</f>
        <v>0</v>
      </c>
      <c r="AL1380" s="80">
        <f>IF(AND(AC1380=1,AI1380=1),MAX(0,MIN(AA1380,CFG_WEM)-CFG_WSM),0)</f>
        <v>0</v>
      </c>
      <c r="AM1380" s="80">
        <f>AK1380+AL1380</f>
        <v>0</v>
      </c>
      <c r="AN1380" s="80">
        <f>IF(CFG_BRK="Proporcional",IF(AD1380=0,0,AF1380*AM1380/AD1380),IF(CFG_BRK="Extras primero",MIN(AM1380,MAX(0,AF1380-(AD1380-AM1380))),MIN(AF1380,AM1380)))</f>
        <v>0</v>
      </c>
      <c r="AO1380" s="80">
        <f>AF1380-AN1380</f>
        <v>0</v>
      </c>
      <c r="AP1380" s="80">
        <f>AM1380-AN1380</f>
        <v>0</v>
      </c>
      <c r="AQ1380" s="80">
        <f>AD1380-AM1380-AO1380</f>
        <v>0</v>
      </c>
      <c r="AR1380" s="80">
        <f>IF(AM1380=0,0,AK1380-AN1380*AK1380/AM1380)</f>
        <v>0</v>
      </c>
      <c r="AS1380" s="80">
        <f>IF(AD1380-AM1380=0,0,(AJ1380-AK1380)-AO1380*(AJ1380-AK1380)/(AD1380-AM1380))</f>
        <v>0</v>
      </c>
      <c r="AT1380" s="80" t="str">
        <f>IF(AC1380=1,INT(B1380)+1,"")</f>
        <v/>
      </c>
      <c r="AU1380" s="80">
        <f>IF(AND(D1380="proMX",R1380="Cancelled"),0,1)</f>
        <v>1</v>
      </c>
      <c r="AV1380" s="80">
        <f>IF(AND(AB1380=1,AU1380=1),IF(COUNTIFS($D$5:D1379,D1380,$B$5:B1379,B1380,$Z$5:Z1379,Z1380,$AA$5:AA1379,AA1380,$F$5:F1379,F1380&amp;"",$AU$5:AU1379,1)&gt;0,1,0),0)</f>
        <v>0</v>
      </c>
      <c r="AW1380" s="80" t="str">
        <f>IF(AB1380=1,INT(B1380)*1440+Z1380,"")</f>
        <v/>
      </c>
      <c r="AX1380" s="80" t="str">
        <f>IF(AB1380=1,AW1380+AD1380,"")</f>
        <v/>
      </c>
      <c r="AY1380" s="80">
        <f>IF(AND(AB1380=1,AV1380=0,AU1380=1),1,0)</f>
        <v>0</v>
      </c>
      <c r="AZ1380" s="80">
        <f>IF(AY1380=1,COUNTIFS(R_Emp,D1380,R_SAbs,"&lt;"&amp;AX1380,R_EAbs,"&gt;"&amp;AW1380,R_OKey,1)-1,0)</f>
        <v>0</v>
      </c>
      <c r="BA1380" s="80">
        <f>IF(AY1380=1,COUNTIFS(R_Emp,"&lt;&gt;"&amp;D1380,R_SAbs,"&lt;"&amp;AX1380,R_EAbs,"&gt;"&amp;AW1380,R_OKey,1),0)</f>
        <v>0</v>
      </c>
      <c r="BB1380" s="80">
        <f>IF(AND(AB1380=1,D1380="proMX"),IF(AND(MOD(Z1380,CFG_BLK)=0,MOD(AA1380,CFG_BLK)=0,MOD(AG1380,CFG_BLK)=0,AG1380&gt;0),1,0),1)</f>
        <v>1</v>
      </c>
      <c r="BC1380" s="80" t="str">
        <f>IF(Y1380=0,"",IF(NOT(ISNUMBER(B1380)),"Falta fecha o fecha inválida",IF(D1380="","Falta empresa",IF(AND(D1380&lt;&gt;"Malcolm",D1380&lt;&gt;"proMX"),"Empresa inválida",IF(OR(INT(B1380)&lt;CFG_PSTART,INT(B1380)&gt;CFG_PEND),"Fecha fuera del período",IF(OR(NOT(ISNUMBER(Z1380)),NOT(ISNUMBER(AA1380))),"Falta hora inicio/fin o formato inválido",IF(AB1380=0,"Hora inicio = hora fin",IF(AE1380&lt;0,"Descanso inválido",IF(AE1380&gt;=AD1380,"Descanso ≥ duración",IF(AV1380=1,"Registro duplicado",IF(AZ1380&gt;0,"Se superpone con otro registro "&amp;D1380,IF(BB1380=0,"inicio, fin y duración neta deben ser múltiplos de "&amp;CFG_BLK&amp;" min",""))))))))))))</f>
        <v/>
      </c>
      <c r="BD1380" s="80">
        <f>IF(AND(Y1380=1,BC1380=""),1,0)</f>
        <v>0</v>
      </c>
      <c r="BE1380" s="80">
        <f>IF(AND(BD1380=1,AU1380=1),1,0)</f>
        <v>0</v>
      </c>
      <c r="BF1380" s="80" t="str">
        <f>IF(AND(D1380="proMX",BD1380=1),IF(R1380="","Draft",R1380),"")</f>
        <v/>
      </c>
      <c r="BG1380" s="80">
        <f>IF(BD1380=1,ROUND(AG1380/60,6),0)</f>
        <v>0</v>
      </c>
      <c r="BH1380" s="80">
        <f>IF(BE1380=1,ROUND(AG1380/60,6),0)</f>
        <v>0</v>
      </c>
      <c r="BI1380" s="80">
        <f>IF(BE1380=1,ROUND(AP1380/60,6),0)</f>
        <v>0</v>
      </c>
      <c r="BJ1380" s="80">
        <f>IF(BE1380=1,ROUND(AQ1380/60,6),0)</f>
        <v>0</v>
      </c>
      <c r="BK1380" s="80">
        <f>IF(BE1380=1,ROUND((AR1380+AS1380)/60,6),0)</f>
        <v>0</v>
      </c>
      <c r="BL1380" s="80">
        <f>ROUND(BH1380-BK1380,6)</f>
        <v>0</v>
      </c>
      <c r="BM1380" s="80">
        <f>IF(BE1380=1,ROUND(AR1380/60,6),0)</f>
        <v>0</v>
      </c>
      <c r="BN1380" s="80">
        <f>ROUND(BI1380-BM1380,6)</f>
        <v>0</v>
      </c>
      <c r="BO1380" s="80">
        <f>IF(BE1380=1,ROUND(AS1380/60,6),0)</f>
        <v>0</v>
      </c>
      <c r="BP1380" s="80">
        <f>ROUND(BJ1380-BO1380,6)</f>
        <v>0</v>
      </c>
      <c r="BQ1380" s="80">
        <f>IF(BE1380=1,AW1380,0)</f>
        <v>0</v>
      </c>
      <c r="BR1380" s="80">
        <f>IF(BE1380=1,AX1380,0)</f>
        <v>0</v>
      </c>
      <c r="BS1380" s="80">
        <f>IF(AND(BE1380=1,D1380="Malcolm",BA1380&gt;0),MIN(BH1380,SUMPRODUCT((R_Emp="proMX")*(R_EN&gt;0)*((R_EN-(R_EN&gt;BR1380)*(R_EN-BR1380))&gt;(R_SN+(R_SN&lt;BQ1380)*(BQ1380-R_SN)))*((R_EN-(R_EN&gt;BR1380)*(R_EN-BR1380))-(R_SN+(R_SN&lt;BQ1380)*(BQ1380-R_SN))))/60),0)</f>
        <v>0</v>
      </c>
      <c r="BT1380" s="80">
        <f>IF(AND(BE1380=1,D1380="proMX"),ROUND(BI1380*CFG_RATE+BJ1380*CFG_OTRATE,6),0)</f>
        <v>0</v>
      </c>
      <c r="BU1380" s="80">
        <f>IF(AND(BD1380=1,D1380="proMX"),ROUND(AG1380/CFG_BLK,6),0)</f>
        <v>0</v>
      </c>
      <c r="BV1380" s="80" t="str">
        <f>IF(BF1380="Approved",IF(ISNUMBER(T1380),INT(T1380),INT(B1380)),"")</f>
        <v/>
      </c>
      <c r="BW1380" s="80">
        <f>IF(ISNUMBER(B1380),IF(DB_MON="Todos",1,IF(AND(INT(B1380)&gt;=DB_MS,INT(B1380)&lt;=DB_ME),1,0)),0)</f>
        <v>0</v>
      </c>
      <c r="BX1380" s="80">
        <f>IF(DB_PROJ="Todos",1,IF(E1380&amp;""=DB_PROJ&amp;"",1,0))</f>
        <v>1</v>
      </c>
      <c r="BY1380" s="80">
        <f>BW1380*BX1380</f>
        <v>0</v>
      </c>
      <c r="BZ1380" s="80" t="str">
        <f>IF(Y1380=1,F1380&amp;IF(AND(F1380&amp;""&lt;&gt;"",E1380&amp;""&lt;&gt;"")," · ","")&amp;E1380,"")</f>
        <v/>
      </c>
      <c r="CA1380" s="80" t="str">
        <f>IF(AND(BD1380=1,E1380&amp;""&lt;&gt;""),IF(COUNTIFS($E$5:E1379,E1380,$BD$5:BD1379,1)=0,MAX($CA$5:CA1379)+1,""),"")</f>
        <v/>
      </c>
      <c r="CB1380" s="80" t="str">
        <f>IF(AND(BE1380=1,D1380="Malcolm",E1380&amp;""&lt;&gt;""),IF(COUNTIFS($D$5:D1379,"Malcolm",$E$5:E1379,E1380,$BE$5:BE1379,1)=0,MAX($CB$5:CB1379)+1,""),"")</f>
        <v/>
      </c>
      <c r="CC1380" s="80" t="str">
        <f>IF(AND(BD1380=1,D1380="proMX",E1380&amp;""&lt;&gt;""),IF(COUNTIFS($D$5:D1379,"proMX",$E$5:E1379,E1380,$BD$5:BD1379,1)=0,MAX($CC$5:CC1379)+1,""),"")</f>
        <v/>
      </c>
      <c r="CD1380" s="80" t="str">
        <f>IF(AND(BE1380=1,D1380="Malcolm",F1380&amp;""&lt;&gt;""),IF(COUNTIFS($D$5:D1379,"Malcolm",$F$5:F1379,F1380,$BE$5:BE1379,1)=0,MAX($CD$5:CD1379)+1,""),"")</f>
        <v/>
      </c>
      <c r="CE1380" s="80" t="str">
        <f>IF(AND(BD1380=1,D1380="proMX",F1380&amp;""&lt;&gt;""),IF(COUNTIFS($D$5:D1379,"proMX",$F$5:F1379,F1380,$BD$5:BD1379,1)=0,MAX($CE$5:CE1379)+1,""),"")</f>
        <v/>
      </c>
      <c r="CF1380" s="80" t="str">
        <f>IF(AND(D1380="proMX",BD1380=1),IF(OR(BF1380="Draft",BF1380="Submitted",BF1380="Returned",BF1380="Recall Requested"),MAX($CF$5:CF1379)+1,""),"")</f>
        <v/>
      </c>
      <c r="CG1380" s="80">
        <f>IF(BD1380=0,0,IF(D1380="Malcolm",1,MATCH(BF1380,{"Draft","Submitted","Approved","Returned","Recall Requested","Cancelled"},0)+1))</f>
        <v>0</v>
      </c>
      <c r="CH1380" s="80">
        <f>IF(AND(BF1380="Submitted",ISNUMBER(V1380)),IF(V1380&gt;CFG_MAXD,1,0),0)</f>
        <v>0</v>
      </c>
    </row>
    <row r="1381">
      <c r="A1381" s="71" t="str">
        <f>IF(Y1381=1,ROW()-5,"")</f>
        <v/>
      </c>
      <c r="B1381" s="72" t="n"/>
      <c r="C1381" s="71" t="str">
        <f>IF(ISNUMBER(B1381),CHOOSE(WEEKDAY(B1381,2),"Lun","Mar","Mié","Jue","Vie","Sáb","Dom"),"")</f>
        <v/>
      </c>
      <c r="D1381" s="73" t="n"/>
      <c r="E1381" s="74" t="n"/>
      <c r="F1381" s="74" t="n"/>
      <c r="G1381" s="74" t="n"/>
      <c r="H1381" s="75" t="n"/>
      <c r="I1381" s="75" t="n"/>
      <c r="J1381" s="76" t="n"/>
      <c r="K1381" s="77" t="str">
        <f>IF(AB1381=1,ROUND(AG1381/60,4),"")</f>
        <v/>
      </c>
      <c r="L1381" s="77" t="str">
        <f>IF(BD1381=1,ROUND(AP1381/60,4),"")</f>
        <v/>
      </c>
      <c r="M1381" s="77" t="str">
        <f>IF(BD1381=1,ROUND(AQ1381/60,4),"")</f>
        <v/>
      </c>
      <c r="N1381" s="71" t="str">
        <f>IF(AND(D1381="proMX",AB1381=1),ROUND(AG1381/CFG_BLK,2),"")</f>
        <v/>
      </c>
      <c r="O1381" s="77" t="str">
        <f>IF(D1381="proMX",IF(BD1381=1,ROUND(AG1381/60,4),0),"")</f>
        <v/>
      </c>
      <c r="P1381" s="78" t="str">
        <f>IF(Y1381=0,"",IF(BD1381=1,"OK",IF(D1381="proMX","Revisar bloques: ","Revisar: ")&amp;BC1381))</f>
        <v/>
      </c>
      <c r="Q1381" s="78" t="str">
        <f>IF(NOT(ISNUMBER(B1381)),"",IF(COUNTIFS(FER_F,INT(B1381))&gt;0,"Feriado"&amp;IF(AH1381=1," (laborable)"," (no laborable)"),IF(AH1381=1,"Laborable",IF(WEEKDAY(B1381,2)&gt;5,"Fin de semana","No laborable"))))</f>
        <v/>
      </c>
      <c r="R1381" s="73" t="n"/>
      <c r="S1381" s="72" t="n"/>
      <c r="T1381" s="72" t="n"/>
      <c r="U1381" s="74" t="n"/>
      <c r="V1381" s="79" t="str">
        <f>IF(AND(D1381="proMX",OR(R1381="Submitted",R1381="Recall Requested"),ISNUMBER(S1381)),CFG_TODAY-INT(S1381),"")</f>
        <v/>
      </c>
      <c r="W1381" s="78" t="str">
        <f>IF(BD1381=0,"",IF(BA1381&gt;0,"⚠ Se superpone con un registro de la otra empresa",IF(D1381="Malcolm",IF(COUNTA(R1381,S1381,T1381)&gt;0,"Estado/fechas proMX se ignoran en Malcolm",""),IF(BF1381="Cancelled","Cancelado: excluido de totales",IF(R1381="","Sin estado: se trata como Draft",IF(BF1381="Submitted",IF(ISNUMBER(V1381),IF(V1381&gt;CFG_MAXD,"⚠ "&amp;V1381&amp;" días en Submitted (máx. "&amp;CFG_MAXD&amp;")",""),"Falta fecha de envío"),IF(BF1381="Returned","⚠ Devuelto: corregir y reenviar",IF(BF1381="Recall Requested","Retirada solicitada: pendiente",IF(AND(BF1381="Approved",NOT(ISNUMBER(T1381))),"Falta fecha de aprobación",IF(AND(ISNUMBER(S1381),ISNUMBER(T1381),T1381&lt;S1381),"Aprobación anterior al envío","")))))))))</f>
        <v/>
      </c>
      <c r="Y1381" s="80">
        <f>IF(COUNTA(B1381,D1381,E1381,F1381,G1381,H1381,I1381,J1381,R1381,S1381,T1381)&gt;0,1,0)</f>
        <v>0</v>
      </c>
      <c r="Z1381" s="80" t="str">
        <f>IF(AND(ISNUMBER(H1381),H1381&gt;=0,H1381&lt;1),ROUND(H1381*1440,0),"")</f>
        <v/>
      </c>
      <c r="AA1381" s="80" t="str">
        <f>IF(AND(ISNUMBER(I1381),I1381&gt;=0,I1381&lt;1),ROUND(I1381*1440,0),"")</f>
        <v/>
      </c>
      <c r="AB1381" s="80">
        <f>IF(AND(ISNUMBER(B1381),D1381&lt;&gt;"",ISNUMBER(Z1381),ISNUMBER(AA1381)),IF(Z1381=AA1381,0,1),0)</f>
        <v>0</v>
      </c>
      <c r="AC1381" s="80">
        <f>IF(AB1381=1,IF(AA1381&lt;Z1381,1,0),0)</f>
        <v>0</v>
      </c>
      <c r="AD1381" s="80">
        <f>IF(AB1381=1,IF(AC1381=1,1440-Z1381+AA1381,AA1381-Z1381),0)</f>
        <v>0</v>
      </c>
      <c r="AE1381" s="80">
        <f>IF(J1381="",0,IF(ISNUMBER(J1381),J1381,-1))</f>
        <v>0</v>
      </c>
      <c r="AF1381" s="80">
        <f>MIN(MAX(0,AE1381),AD1381)</f>
        <v>0</v>
      </c>
      <c r="AG1381" s="80">
        <f>MAX(0,AD1381-MAX(0,AE1381))</f>
        <v>0</v>
      </c>
      <c r="AH1381" s="80">
        <f>IF(ISNUMBER(B1381),IF(AND(INDEX(CFG_WDAYS,WEEKDAY(INT(B1381),2))="Sí",IF(D1381="proMX",COUNTIFS(FER_F,INT(B1381),FER_NLP,"Sí"),COUNTIFS(FER_F,INT(B1381),FER_NLM,"Sí"))=0),1,0),0)</f>
        <v>0</v>
      </c>
      <c r="AI1381" s="80">
        <f>IF(AC1381=1,IF(AND(INDEX(CFG_WDAYS,WEEKDAY(INT(B1381)+1,2))="Sí",IF(D1381="proMX",COUNTIFS(FER_F,INT(B1381)+1,FER_NLP,"Sí"),COUNTIFS(FER_F,INT(B1381)+1,FER_NLM,"Sí"))=0),1,0),0)</f>
        <v>0</v>
      </c>
      <c r="AJ1381" s="80">
        <f>IF(AC1381=1,1440-Z1381,AD1381)</f>
        <v>0</v>
      </c>
      <c r="AK1381" s="80">
        <f>IF(AND(AB1381=1,AH1381=1),MAX(0,MIN(IF(AC1381=1,1440,AA1381),CFG_WEM)-MAX(Z1381,CFG_WSM)),0)</f>
        <v>0</v>
      </c>
      <c r="AL1381" s="80">
        <f>IF(AND(AC1381=1,AI1381=1),MAX(0,MIN(AA1381,CFG_WEM)-CFG_WSM),0)</f>
        <v>0</v>
      </c>
      <c r="AM1381" s="80">
        <f>AK1381+AL1381</f>
        <v>0</v>
      </c>
      <c r="AN1381" s="80">
        <f>IF(CFG_BRK="Proporcional",IF(AD1381=0,0,AF1381*AM1381/AD1381),IF(CFG_BRK="Extras primero",MIN(AM1381,MAX(0,AF1381-(AD1381-AM1381))),MIN(AF1381,AM1381)))</f>
        <v>0</v>
      </c>
      <c r="AO1381" s="80">
        <f>AF1381-AN1381</f>
        <v>0</v>
      </c>
      <c r="AP1381" s="80">
        <f>AM1381-AN1381</f>
        <v>0</v>
      </c>
      <c r="AQ1381" s="80">
        <f>AD1381-AM1381-AO1381</f>
        <v>0</v>
      </c>
      <c r="AR1381" s="80">
        <f>IF(AM1381=0,0,AK1381-AN1381*AK1381/AM1381)</f>
        <v>0</v>
      </c>
      <c r="AS1381" s="80">
        <f>IF(AD1381-AM1381=0,0,(AJ1381-AK1381)-AO1381*(AJ1381-AK1381)/(AD1381-AM1381))</f>
        <v>0</v>
      </c>
      <c r="AT1381" s="80" t="str">
        <f>IF(AC1381=1,INT(B1381)+1,"")</f>
        <v/>
      </c>
      <c r="AU1381" s="80">
        <f>IF(AND(D1381="proMX",R1381="Cancelled"),0,1)</f>
        <v>1</v>
      </c>
      <c r="AV1381" s="80">
        <f>IF(AND(AB1381=1,AU1381=1),IF(COUNTIFS($D$5:D1380,D1381,$B$5:B1380,B1381,$Z$5:Z1380,Z1381,$AA$5:AA1380,AA1381,$F$5:F1380,F1381&amp;"",$AU$5:AU1380,1)&gt;0,1,0),0)</f>
        <v>0</v>
      </c>
      <c r="AW1381" s="80" t="str">
        <f>IF(AB1381=1,INT(B1381)*1440+Z1381,"")</f>
        <v/>
      </c>
      <c r="AX1381" s="80" t="str">
        <f>IF(AB1381=1,AW1381+AD1381,"")</f>
        <v/>
      </c>
      <c r="AY1381" s="80">
        <f>IF(AND(AB1381=1,AV1381=0,AU1381=1),1,0)</f>
        <v>0</v>
      </c>
      <c r="AZ1381" s="80">
        <f>IF(AY1381=1,COUNTIFS(R_Emp,D1381,R_SAbs,"&lt;"&amp;AX1381,R_EAbs,"&gt;"&amp;AW1381,R_OKey,1)-1,0)</f>
        <v>0</v>
      </c>
      <c r="BA1381" s="80">
        <f>IF(AY1381=1,COUNTIFS(R_Emp,"&lt;&gt;"&amp;D1381,R_SAbs,"&lt;"&amp;AX1381,R_EAbs,"&gt;"&amp;AW1381,R_OKey,1),0)</f>
        <v>0</v>
      </c>
      <c r="BB1381" s="80">
        <f>IF(AND(AB1381=1,D1381="proMX"),IF(AND(MOD(Z1381,CFG_BLK)=0,MOD(AA1381,CFG_BLK)=0,MOD(AG1381,CFG_BLK)=0,AG1381&gt;0),1,0),1)</f>
        <v>1</v>
      </c>
      <c r="BC1381" s="80" t="str">
        <f>IF(Y1381=0,"",IF(NOT(ISNUMBER(B1381)),"Falta fecha o fecha inválida",IF(D1381="","Falta empresa",IF(AND(D1381&lt;&gt;"Malcolm",D1381&lt;&gt;"proMX"),"Empresa inválida",IF(OR(INT(B1381)&lt;CFG_PSTART,INT(B1381)&gt;CFG_PEND),"Fecha fuera del período",IF(OR(NOT(ISNUMBER(Z1381)),NOT(ISNUMBER(AA1381))),"Falta hora inicio/fin o formato inválido",IF(AB1381=0,"Hora inicio = hora fin",IF(AE1381&lt;0,"Descanso inválido",IF(AE1381&gt;=AD1381,"Descanso ≥ duración",IF(AV1381=1,"Registro duplicado",IF(AZ1381&gt;0,"Se superpone con otro registro "&amp;D1381,IF(BB1381=0,"inicio, fin y duración neta deben ser múltiplos de "&amp;CFG_BLK&amp;" min",""))))))))))))</f>
        <v/>
      </c>
      <c r="BD1381" s="80">
        <f>IF(AND(Y1381=1,BC1381=""),1,0)</f>
        <v>0</v>
      </c>
      <c r="BE1381" s="80">
        <f>IF(AND(BD1381=1,AU1381=1),1,0)</f>
        <v>0</v>
      </c>
      <c r="BF1381" s="80" t="str">
        <f>IF(AND(D1381="proMX",BD1381=1),IF(R1381="","Draft",R1381),"")</f>
        <v/>
      </c>
      <c r="BG1381" s="80">
        <f>IF(BD1381=1,ROUND(AG1381/60,6),0)</f>
        <v>0</v>
      </c>
      <c r="BH1381" s="80">
        <f>IF(BE1381=1,ROUND(AG1381/60,6),0)</f>
        <v>0</v>
      </c>
      <c r="BI1381" s="80">
        <f>IF(BE1381=1,ROUND(AP1381/60,6),0)</f>
        <v>0</v>
      </c>
      <c r="BJ1381" s="80">
        <f>IF(BE1381=1,ROUND(AQ1381/60,6),0)</f>
        <v>0</v>
      </c>
      <c r="BK1381" s="80">
        <f>IF(BE1381=1,ROUND((AR1381+AS1381)/60,6),0)</f>
        <v>0</v>
      </c>
      <c r="BL1381" s="80">
        <f>ROUND(BH1381-BK1381,6)</f>
        <v>0</v>
      </c>
      <c r="BM1381" s="80">
        <f>IF(BE1381=1,ROUND(AR1381/60,6),0)</f>
        <v>0</v>
      </c>
      <c r="BN1381" s="80">
        <f>ROUND(BI1381-BM1381,6)</f>
        <v>0</v>
      </c>
      <c r="BO1381" s="80">
        <f>IF(BE1381=1,ROUND(AS1381/60,6),0)</f>
        <v>0</v>
      </c>
      <c r="BP1381" s="80">
        <f>ROUND(BJ1381-BO1381,6)</f>
        <v>0</v>
      </c>
      <c r="BQ1381" s="80">
        <f>IF(BE1381=1,AW1381,0)</f>
        <v>0</v>
      </c>
      <c r="BR1381" s="80">
        <f>IF(BE1381=1,AX1381,0)</f>
        <v>0</v>
      </c>
      <c r="BS1381" s="80">
        <f>IF(AND(BE1381=1,D1381="Malcolm",BA1381&gt;0),MIN(BH1381,SUMPRODUCT((R_Emp="proMX")*(R_EN&gt;0)*((R_EN-(R_EN&gt;BR1381)*(R_EN-BR1381))&gt;(R_SN+(R_SN&lt;BQ1381)*(BQ1381-R_SN)))*((R_EN-(R_EN&gt;BR1381)*(R_EN-BR1381))-(R_SN+(R_SN&lt;BQ1381)*(BQ1381-R_SN))))/60),0)</f>
        <v>0</v>
      </c>
      <c r="BT1381" s="80">
        <f>IF(AND(BE1381=1,D1381="proMX"),ROUND(BI1381*CFG_RATE+BJ1381*CFG_OTRATE,6),0)</f>
        <v>0</v>
      </c>
      <c r="BU1381" s="80">
        <f>IF(AND(BD1381=1,D1381="proMX"),ROUND(AG1381/CFG_BLK,6),0)</f>
        <v>0</v>
      </c>
      <c r="BV1381" s="80" t="str">
        <f>IF(BF1381="Approved",IF(ISNUMBER(T1381),INT(T1381),INT(B1381)),"")</f>
        <v/>
      </c>
      <c r="BW1381" s="80">
        <f>IF(ISNUMBER(B1381),IF(DB_MON="Todos",1,IF(AND(INT(B1381)&gt;=DB_MS,INT(B1381)&lt;=DB_ME),1,0)),0)</f>
        <v>0</v>
      </c>
      <c r="BX1381" s="80">
        <f>IF(DB_PROJ="Todos",1,IF(E1381&amp;""=DB_PROJ&amp;"",1,0))</f>
        <v>1</v>
      </c>
      <c r="BY1381" s="80">
        <f>BW1381*BX1381</f>
        <v>0</v>
      </c>
      <c r="BZ1381" s="80" t="str">
        <f>IF(Y1381=1,F1381&amp;IF(AND(F1381&amp;""&lt;&gt;"",E1381&amp;""&lt;&gt;"")," · ","")&amp;E1381,"")</f>
        <v/>
      </c>
      <c r="CA1381" s="80" t="str">
        <f>IF(AND(BD1381=1,E1381&amp;""&lt;&gt;""),IF(COUNTIFS($E$5:E1380,E1381,$BD$5:BD1380,1)=0,MAX($CA$5:CA1380)+1,""),"")</f>
        <v/>
      </c>
      <c r="CB1381" s="80" t="str">
        <f>IF(AND(BE1381=1,D1381="Malcolm",E1381&amp;""&lt;&gt;""),IF(COUNTIFS($D$5:D1380,"Malcolm",$E$5:E1380,E1381,$BE$5:BE1380,1)=0,MAX($CB$5:CB1380)+1,""),"")</f>
        <v/>
      </c>
      <c r="CC1381" s="80" t="str">
        <f>IF(AND(BD1381=1,D1381="proMX",E1381&amp;""&lt;&gt;""),IF(COUNTIFS($D$5:D1380,"proMX",$E$5:E1380,E1381,$BD$5:BD1380,1)=0,MAX($CC$5:CC1380)+1,""),"")</f>
        <v/>
      </c>
      <c r="CD1381" s="80" t="str">
        <f>IF(AND(BE1381=1,D1381="Malcolm",F1381&amp;""&lt;&gt;""),IF(COUNTIFS($D$5:D1380,"Malcolm",$F$5:F1380,F1381,$BE$5:BE1380,1)=0,MAX($CD$5:CD1380)+1,""),"")</f>
        <v/>
      </c>
      <c r="CE1381" s="80" t="str">
        <f>IF(AND(BD1381=1,D1381="proMX",F1381&amp;""&lt;&gt;""),IF(COUNTIFS($D$5:D1380,"proMX",$F$5:F1380,F1381,$BD$5:BD1380,1)=0,MAX($CE$5:CE1380)+1,""),"")</f>
        <v/>
      </c>
      <c r="CF1381" s="80" t="str">
        <f>IF(AND(D1381="proMX",BD1381=1),IF(OR(BF1381="Draft",BF1381="Submitted",BF1381="Returned",BF1381="Recall Requested"),MAX($CF$5:CF1380)+1,""),"")</f>
        <v/>
      </c>
      <c r="CG1381" s="80">
        <f>IF(BD1381=0,0,IF(D1381="Malcolm",1,MATCH(BF1381,{"Draft","Submitted","Approved","Returned","Recall Requested","Cancelled"},0)+1))</f>
        <v>0</v>
      </c>
      <c r="CH1381" s="80">
        <f>IF(AND(BF1381="Submitted",ISNUMBER(V1381)),IF(V1381&gt;CFG_MAXD,1,0),0)</f>
        <v>0</v>
      </c>
    </row>
    <row r="1382">
      <c r="A1382" s="71" t="str">
        <f>IF(Y1382=1,ROW()-5,"")</f>
        <v/>
      </c>
      <c r="B1382" s="72" t="n"/>
      <c r="C1382" s="71" t="str">
        <f>IF(ISNUMBER(B1382),CHOOSE(WEEKDAY(B1382,2),"Lun","Mar","Mié","Jue","Vie","Sáb","Dom"),"")</f>
        <v/>
      </c>
      <c r="D1382" s="73" t="n"/>
      <c r="E1382" s="74" t="n"/>
      <c r="F1382" s="74" t="n"/>
      <c r="G1382" s="74" t="n"/>
      <c r="H1382" s="75" t="n"/>
      <c r="I1382" s="75" t="n"/>
      <c r="J1382" s="76" t="n"/>
      <c r="K1382" s="77" t="str">
        <f>IF(AB1382=1,ROUND(AG1382/60,4),"")</f>
        <v/>
      </c>
      <c r="L1382" s="77" t="str">
        <f>IF(BD1382=1,ROUND(AP1382/60,4),"")</f>
        <v/>
      </c>
      <c r="M1382" s="77" t="str">
        <f>IF(BD1382=1,ROUND(AQ1382/60,4),"")</f>
        <v/>
      </c>
      <c r="N1382" s="71" t="str">
        <f>IF(AND(D1382="proMX",AB1382=1),ROUND(AG1382/CFG_BLK,2),"")</f>
        <v/>
      </c>
      <c r="O1382" s="77" t="str">
        <f>IF(D1382="proMX",IF(BD1382=1,ROUND(AG1382/60,4),0),"")</f>
        <v/>
      </c>
      <c r="P1382" s="78" t="str">
        <f>IF(Y1382=0,"",IF(BD1382=1,"OK",IF(D1382="proMX","Revisar bloques: ","Revisar: ")&amp;BC1382))</f>
        <v/>
      </c>
      <c r="Q1382" s="78" t="str">
        <f>IF(NOT(ISNUMBER(B1382)),"",IF(COUNTIFS(FER_F,INT(B1382))&gt;0,"Feriado"&amp;IF(AH1382=1," (laborable)"," (no laborable)"),IF(AH1382=1,"Laborable",IF(WEEKDAY(B1382,2)&gt;5,"Fin de semana","No laborable"))))</f>
        <v/>
      </c>
      <c r="R1382" s="73" t="n"/>
      <c r="S1382" s="72" t="n"/>
      <c r="T1382" s="72" t="n"/>
      <c r="U1382" s="74" t="n"/>
      <c r="V1382" s="79" t="str">
        <f>IF(AND(D1382="proMX",OR(R1382="Submitted",R1382="Recall Requested"),ISNUMBER(S1382)),CFG_TODAY-INT(S1382),"")</f>
        <v/>
      </c>
      <c r="W1382" s="78" t="str">
        <f>IF(BD1382=0,"",IF(BA1382&gt;0,"⚠ Se superpone con un registro de la otra empresa",IF(D1382="Malcolm",IF(COUNTA(R1382,S1382,T1382)&gt;0,"Estado/fechas proMX se ignoran en Malcolm",""),IF(BF1382="Cancelled","Cancelado: excluido de totales",IF(R1382="","Sin estado: se trata como Draft",IF(BF1382="Submitted",IF(ISNUMBER(V1382),IF(V1382&gt;CFG_MAXD,"⚠ "&amp;V1382&amp;" días en Submitted (máx. "&amp;CFG_MAXD&amp;")",""),"Falta fecha de envío"),IF(BF1382="Returned","⚠ Devuelto: corregir y reenviar",IF(BF1382="Recall Requested","Retirada solicitada: pendiente",IF(AND(BF1382="Approved",NOT(ISNUMBER(T1382))),"Falta fecha de aprobación",IF(AND(ISNUMBER(S1382),ISNUMBER(T1382),T1382&lt;S1382),"Aprobación anterior al envío","")))))))))</f>
        <v/>
      </c>
      <c r="Y1382" s="80">
        <f>IF(COUNTA(B1382,D1382,E1382,F1382,G1382,H1382,I1382,J1382,R1382,S1382,T1382)&gt;0,1,0)</f>
        <v>0</v>
      </c>
      <c r="Z1382" s="80" t="str">
        <f>IF(AND(ISNUMBER(H1382),H1382&gt;=0,H1382&lt;1),ROUND(H1382*1440,0),"")</f>
        <v/>
      </c>
      <c r="AA1382" s="80" t="str">
        <f>IF(AND(ISNUMBER(I1382),I1382&gt;=0,I1382&lt;1),ROUND(I1382*1440,0),"")</f>
        <v/>
      </c>
      <c r="AB1382" s="80">
        <f>IF(AND(ISNUMBER(B1382),D1382&lt;&gt;"",ISNUMBER(Z1382),ISNUMBER(AA1382)),IF(Z1382=AA1382,0,1),0)</f>
        <v>0</v>
      </c>
      <c r="AC1382" s="80">
        <f>IF(AB1382=1,IF(AA1382&lt;Z1382,1,0),0)</f>
        <v>0</v>
      </c>
      <c r="AD1382" s="80">
        <f>IF(AB1382=1,IF(AC1382=1,1440-Z1382+AA1382,AA1382-Z1382),0)</f>
        <v>0</v>
      </c>
      <c r="AE1382" s="80">
        <f>IF(J1382="",0,IF(ISNUMBER(J1382),J1382,-1))</f>
        <v>0</v>
      </c>
      <c r="AF1382" s="80">
        <f>MIN(MAX(0,AE1382),AD1382)</f>
        <v>0</v>
      </c>
      <c r="AG1382" s="80">
        <f>MAX(0,AD1382-MAX(0,AE1382))</f>
        <v>0</v>
      </c>
      <c r="AH1382" s="80">
        <f>IF(ISNUMBER(B1382),IF(AND(INDEX(CFG_WDAYS,WEEKDAY(INT(B1382),2))="Sí",IF(D1382="proMX",COUNTIFS(FER_F,INT(B1382),FER_NLP,"Sí"),COUNTIFS(FER_F,INT(B1382),FER_NLM,"Sí"))=0),1,0),0)</f>
        <v>0</v>
      </c>
      <c r="AI1382" s="80">
        <f>IF(AC1382=1,IF(AND(INDEX(CFG_WDAYS,WEEKDAY(INT(B1382)+1,2))="Sí",IF(D1382="proMX",COUNTIFS(FER_F,INT(B1382)+1,FER_NLP,"Sí"),COUNTIFS(FER_F,INT(B1382)+1,FER_NLM,"Sí"))=0),1,0),0)</f>
        <v>0</v>
      </c>
      <c r="AJ1382" s="80">
        <f>IF(AC1382=1,1440-Z1382,AD1382)</f>
        <v>0</v>
      </c>
      <c r="AK1382" s="80">
        <f>IF(AND(AB1382=1,AH1382=1),MAX(0,MIN(IF(AC1382=1,1440,AA1382),CFG_WEM)-MAX(Z1382,CFG_WSM)),0)</f>
        <v>0</v>
      </c>
      <c r="AL1382" s="80">
        <f>IF(AND(AC1382=1,AI1382=1),MAX(0,MIN(AA1382,CFG_WEM)-CFG_WSM),0)</f>
        <v>0</v>
      </c>
      <c r="AM1382" s="80">
        <f>AK1382+AL1382</f>
        <v>0</v>
      </c>
      <c r="AN1382" s="80">
        <f>IF(CFG_BRK="Proporcional",IF(AD1382=0,0,AF1382*AM1382/AD1382),IF(CFG_BRK="Extras primero",MIN(AM1382,MAX(0,AF1382-(AD1382-AM1382))),MIN(AF1382,AM1382)))</f>
        <v>0</v>
      </c>
      <c r="AO1382" s="80">
        <f>AF1382-AN1382</f>
        <v>0</v>
      </c>
      <c r="AP1382" s="80">
        <f>AM1382-AN1382</f>
        <v>0</v>
      </c>
      <c r="AQ1382" s="80">
        <f>AD1382-AM1382-AO1382</f>
        <v>0</v>
      </c>
      <c r="AR1382" s="80">
        <f>IF(AM1382=0,0,AK1382-AN1382*AK1382/AM1382)</f>
        <v>0</v>
      </c>
      <c r="AS1382" s="80">
        <f>IF(AD1382-AM1382=0,0,(AJ1382-AK1382)-AO1382*(AJ1382-AK1382)/(AD1382-AM1382))</f>
        <v>0</v>
      </c>
      <c r="AT1382" s="80" t="str">
        <f>IF(AC1382=1,INT(B1382)+1,"")</f>
        <v/>
      </c>
      <c r="AU1382" s="80">
        <f>IF(AND(D1382="proMX",R1382="Cancelled"),0,1)</f>
        <v>1</v>
      </c>
      <c r="AV1382" s="80">
        <f>IF(AND(AB1382=1,AU1382=1),IF(COUNTIFS($D$5:D1381,D1382,$B$5:B1381,B1382,$Z$5:Z1381,Z1382,$AA$5:AA1381,AA1382,$F$5:F1381,F1382&amp;"",$AU$5:AU1381,1)&gt;0,1,0),0)</f>
        <v>0</v>
      </c>
      <c r="AW1382" s="80" t="str">
        <f>IF(AB1382=1,INT(B1382)*1440+Z1382,"")</f>
        <v/>
      </c>
      <c r="AX1382" s="80" t="str">
        <f>IF(AB1382=1,AW1382+AD1382,"")</f>
        <v/>
      </c>
      <c r="AY1382" s="80">
        <f>IF(AND(AB1382=1,AV1382=0,AU1382=1),1,0)</f>
        <v>0</v>
      </c>
      <c r="AZ1382" s="80">
        <f>IF(AY1382=1,COUNTIFS(R_Emp,D1382,R_SAbs,"&lt;"&amp;AX1382,R_EAbs,"&gt;"&amp;AW1382,R_OKey,1)-1,0)</f>
        <v>0</v>
      </c>
      <c r="BA1382" s="80">
        <f>IF(AY1382=1,COUNTIFS(R_Emp,"&lt;&gt;"&amp;D1382,R_SAbs,"&lt;"&amp;AX1382,R_EAbs,"&gt;"&amp;AW1382,R_OKey,1),0)</f>
        <v>0</v>
      </c>
      <c r="BB1382" s="80">
        <f>IF(AND(AB1382=1,D1382="proMX"),IF(AND(MOD(Z1382,CFG_BLK)=0,MOD(AA1382,CFG_BLK)=0,MOD(AG1382,CFG_BLK)=0,AG1382&gt;0),1,0),1)</f>
        <v>1</v>
      </c>
      <c r="BC1382" s="80" t="str">
        <f>IF(Y1382=0,"",IF(NOT(ISNUMBER(B1382)),"Falta fecha o fecha inválida",IF(D1382="","Falta empresa",IF(AND(D1382&lt;&gt;"Malcolm",D1382&lt;&gt;"proMX"),"Empresa inválida",IF(OR(INT(B1382)&lt;CFG_PSTART,INT(B1382)&gt;CFG_PEND),"Fecha fuera del período",IF(OR(NOT(ISNUMBER(Z1382)),NOT(ISNUMBER(AA1382))),"Falta hora inicio/fin o formato inválido",IF(AB1382=0,"Hora inicio = hora fin",IF(AE1382&lt;0,"Descanso inválido",IF(AE1382&gt;=AD1382,"Descanso ≥ duración",IF(AV1382=1,"Registro duplicado",IF(AZ1382&gt;0,"Se superpone con otro registro "&amp;D1382,IF(BB1382=0,"inicio, fin y duración neta deben ser múltiplos de "&amp;CFG_BLK&amp;" min",""))))))))))))</f>
        <v/>
      </c>
      <c r="BD1382" s="80">
        <f>IF(AND(Y1382=1,BC1382=""),1,0)</f>
        <v>0</v>
      </c>
      <c r="BE1382" s="80">
        <f>IF(AND(BD1382=1,AU1382=1),1,0)</f>
        <v>0</v>
      </c>
      <c r="BF1382" s="80" t="str">
        <f>IF(AND(D1382="proMX",BD1382=1),IF(R1382="","Draft",R1382),"")</f>
        <v/>
      </c>
      <c r="BG1382" s="80">
        <f>IF(BD1382=1,ROUND(AG1382/60,6),0)</f>
        <v>0</v>
      </c>
      <c r="BH1382" s="80">
        <f>IF(BE1382=1,ROUND(AG1382/60,6),0)</f>
        <v>0</v>
      </c>
      <c r="BI1382" s="80">
        <f>IF(BE1382=1,ROUND(AP1382/60,6),0)</f>
        <v>0</v>
      </c>
      <c r="BJ1382" s="80">
        <f>IF(BE1382=1,ROUND(AQ1382/60,6),0)</f>
        <v>0</v>
      </c>
      <c r="BK1382" s="80">
        <f>IF(BE1382=1,ROUND((AR1382+AS1382)/60,6),0)</f>
        <v>0</v>
      </c>
      <c r="BL1382" s="80">
        <f>ROUND(BH1382-BK1382,6)</f>
        <v>0</v>
      </c>
      <c r="BM1382" s="80">
        <f>IF(BE1382=1,ROUND(AR1382/60,6),0)</f>
        <v>0</v>
      </c>
      <c r="BN1382" s="80">
        <f>ROUND(BI1382-BM1382,6)</f>
        <v>0</v>
      </c>
      <c r="BO1382" s="80">
        <f>IF(BE1382=1,ROUND(AS1382/60,6),0)</f>
        <v>0</v>
      </c>
      <c r="BP1382" s="80">
        <f>ROUND(BJ1382-BO1382,6)</f>
        <v>0</v>
      </c>
      <c r="BQ1382" s="80">
        <f>IF(BE1382=1,AW1382,0)</f>
        <v>0</v>
      </c>
      <c r="BR1382" s="80">
        <f>IF(BE1382=1,AX1382,0)</f>
        <v>0</v>
      </c>
      <c r="BS1382" s="80">
        <f>IF(AND(BE1382=1,D1382="Malcolm",BA1382&gt;0),MIN(BH1382,SUMPRODUCT((R_Emp="proMX")*(R_EN&gt;0)*((R_EN-(R_EN&gt;BR1382)*(R_EN-BR1382))&gt;(R_SN+(R_SN&lt;BQ1382)*(BQ1382-R_SN)))*((R_EN-(R_EN&gt;BR1382)*(R_EN-BR1382))-(R_SN+(R_SN&lt;BQ1382)*(BQ1382-R_SN))))/60),0)</f>
        <v>0</v>
      </c>
      <c r="BT1382" s="80">
        <f>IF(AND(BE1382=1,D1382="proMX"),ROUND(BI1382*CFG_RATE+BJ1382*CFG_OTRATE,6),0)</f>
        <v>0</v>
      </c>
      <c r="BU1382" s="80">
        <f>IF(AND(BD1382=1,D1382="proMX"),ROUND(AG1382/CFG_BLK,6),0)</f>
        <v>0</v>
      </c>
      <c r="BV1382" s="80" t="str">
        <f>IF(BF1382="Approved",IF(ISNUMBER(T1382),INT(T1382),INT(B1382)),"")</f>
        <v/>
      </c>
      <c r="BW1382" s="80">
        <f>IF(ISNUMBER(B1382),IF(DB_MON="Todos",1,IF(AND(INT(B1382)&gt;=DB_MS,INT(B1382)&lt;=DB_ME),1,0)),0)</f>
        <v>0</v>
      </c>
      <c r="BX1382" s="80">
        <f>IF(DB_PROJ="Todos",1,IF(E1382&amp;""=DB_PROJ&amp;"",1,0))</f>
        <v>1</v>
      </c>
      <c r="BY1382" s="80">
        <f>BW1382*BX1382</f>
        <v>0</v>
      </c>
      <c r="BZ1382" s="80" t="str">
        <f>IF(Y1382=1,F1382&amp;IF(AND(F1382&amp;""&lt;&gt;"",E1382&amp;""&lt;&gt;"")," · ","")&amp;E1382,"")</f>
        <v/>
      </c>
      <c r="CA1382" s="80" t="str">
        <f>IF(AND(BD1382=1,E1382&amp;""&lt;&gt;""),IF(COUNTIFS($E$5:E1381,E1382,$BD$5:BD1381,1)=0,MAX($CA$5:CA1381)+1,""),"")</f>
        <v/>
      </c>
      <c r="CB1382" s="80" t="str">
        <f>IF(AND(BE1382=1,D1382="Malcolm",E1382&amp;""&lt;&gt;""),IF(COUNTIFS($D$5:D1381,"Malcolm",$E$5:E1381,E1382,$BE$5:BE1381,1)=0,MAX($CB$5:CB1381)+1,""),"")</f>
        <v/>
      </c>
      <c r="CC1382" s="80" t="str">
        <f>IF(AND(BD1382=1,D1382="proMX",E1382&amp;""&lt;&gt;""),IF(COUNTIFS($D$5:D1381,"proMX",$E$5:E1381,E1382,$BD$5:BD1381,1)=0,MAX($CC$5:CC1381)+1,""),"")</f>
        <v/>
      </c>
      <c r="CD1382" s="80" t="str">
        <f>IF(AND(BE1382=1,D1382="Malcolm",F1382&amp;""&lt;&gt;""),IF(COUNTIFS($D$5:D1381,"Malcolm",$F$5:F1381,F1382,$BE$5:BE1381,1)=0,MAX($CD$5:CD1381)+1,""),"")</f>
        <v/>
      </c>
      <c r="CE1382" s="80" t="str">
        <f>IF(AND(BD1382=1,D1382="proMX",F1382&amp;""&lt;&gt;""),IF(COUNTIFS($D$5:D1381,"proMX",$F$5:F1381,F1382,$BD$5:BD1381,1)=0,MAX($CE$5:CE1381)+1,""),"")</f>
        <v/>
      </c>
      <c r="CF1382" s="80" t="str">
        <f>IF(AND(D1382="proMX",BD1382=1),IF(OR(BF1382="Draft",BF1382="Submitted",BF1382="Returned",BF1382="Recall Requested"),MAX($CF$5:CF1381)+1,""),"")</f>
        <v/>
      </c>
      <c r="CG1382" s="80">
        <f>IF(BD1382=0,0,IF(D1382="Malcolm",1,MATCH(BF1382,{"Draft","Submitted","Approved","Returned","Recall Requested","Cancelled"},0)+1))</f>
        <v>0</v>
      </c>
      <c r="CH1382" s="80">
        <f>IF(AND(BF1382="Submitted",ISNUMBER(V1382)),IF(V1382&gt;CFG_MAXD,1,0),0)</f>
        <v>0</v>
      </c>
    </row>
    <row r="1383">
      <c r="A1383" s="71" t="str">
        <f>IF(Y1383=1,ROW()-5,"")</f>
        <v/>
      </c>
      <c r="B1383" s="72" t="n"/>
      <c r="C1383" s="71" t="str">
        <f>IF(ISNUMBER(B1383),CHOOSE(WEEKDAY(B1383,2),"Lun","Mar","Mié","Jue","Vie","Sáb","Dom"),"")</f>
        <v/>
      </c>
      <c r="D1383" s="73" t="n"/>
      <c r="E1383" s="74" t="n"/>
      <c r="F1383" s="74" t="n"/>
      <c r="G1383" s="74" t="n"/>
      <c r="H1383" s="75" t="n"/>
      <c r="I1383" s="75" t="n"/>
      <c r="J1383" s="76" t="n"/>
      <c r="K1383" s="77" t="str">
        <f>IF(AB1383=1,ROUND(AG1383/60,4),"")</f>
        <v/>
      </c>
      <c r="L1383" s="77" t="str">
        <f>IF(BD1383=1,ROUND(AP1383/60,4),"")</f>
        <v/>
      </c>
      <c r="M1383" s="77" t="str">
        <f>IF(BD1383=1,ROUND(AQ1383/60,4),"")</f>
        <v/>
      </c>
      <c r="N1383" s="71" t="str">
        <f>IF(AND(D1383="proMX",AB1383=1),ROUND(AG1383/CFG_BLK,2),"")</f>
        <v/>
      </c>
      <c r="O1383" s="77" t="str">
        <f>IF(D1383="proMX",IF(BD1383=1,ROUND(AG1383/60,4),0),"")</f>
        <v/>
      </c>
      <c r="P1383" s="78" t="str">
        <f>IF(Y1383=0,"",IF(BD1383=1,"OK",IF(D1383="proMX","Revisar bloques: ","Revisar: ")&amp;BC1383))</f>
        <v/>
      </c>
      <c r="Q1383" s="78" t="str">
        <f>IF(NOT(ISNUMBER(B1383)),"",IF(COUNTIFS(FER_F,INT(B1383))&gt;0,"Feriado"&amp;IF(AH1383=1," (laborable)"," (no laborable)"),IF(AH1383=1,"Laborable",IF(WEEKDAY(B1383,2)&gt;5,"Fin de semana","No laborable"))))</f>
        <v/>
      </c>
      <c r="R1383" s="73" t="n"/>
      <c r="S1383" s="72" t="n"/>
      <c r="T1383" s="72" t="n"/>
      <c r="U1383" s="74" t="n"/>
      <c r="V1383" s="79" t="str">
        <f>IF(AND(D1383="proMX",OR(R1383="Submitted",R1383="Recall Requested"),ISNUMBER(S1383)),CFG_TODAY-INT(S1383),"")</f>
        <v/>
      </c>
      <c r="W1383" s="78" t="str">
        <f>IF(BD1383=0,"",IF(BA1383&gt;0,"⚠ Se superpone con un registro de la otra empresa",IF(D1383="Malcolm",IF(COUNTA(R1383,S1383,T1383)&gt;0,"Estado/fechas proMX se ignoran en Malcolm",""),IF(BF1383="Cancelled","Cancelado: excluido de totales",IF(R1383="","Sin estado: se trata como Draft",IF(BF1383="Submitted",IF(ISNUMBER(V1383),IF(V1383&gt;CFG_MAXD,"⚠ "&amp;V1383&amp;" días en Submitted (máx. "&amp;CFG_MAXD&amp;")",""),"Falta fecha de envío"),IF(BF1383="Returned","⚠ Devuelto: corregir y reenviar",IF(BF1383="Recall Requested","Retirada solicitada: pendiente",IF(AND(BF1383="Approved",NOT(ISNUMBER(T1383))),"Falta fecha de aprobación",IF(AND(ISNUMBER(S1383),ISNUMBER(T1383),T1383&lt;S1383),"Aprobación anterior al envío","")))))))))</f>
        <v/>
      </c>
      <c r="Y1383" s="80">
        <f>IF(COUNTA(B1383,D1383,E1383,F1383,G1383,H1383,I1383,J1383,R1383,S1383,T1383)&gt;0,1,0)</f>
        <v>0</v>
      </c>
      <c r="Z1383" s="80" t="str">
        <f>IF(AND(ISNUMBER(H1383),H1383&gt;=0,H1383&lt;1),ROUND(H1383*1440,0),"")</f>
        <v/>
      </c>
      <c r="AA1383" s="80" t="str">
        <f>IF(AND(ISNUMBER(I1383),I1383&gt;=0,I1383&lt;1),ROUND(I1383*1440,0),"")</f>
        <v/>
      </c>
      <c r="AB1383" s="80">
        <f>IF(AND(ISNUMBER(B1383),D1383&lt;&gt;"",ISNUMBER(Z1383),ISNUMBER(AA1383)),IF(Z1383=AA1383,0,1),0)</f>
        <v>0</v>
      </c>
      <c r="AC1383" s="80">
        <f>IF(AB1383=1,IF(AA1383&lt;Z1383,1,0),0)</f>
        <v>0</v>
      </c>
      <c r="AD1383" s="80">
        <f>IF(AB1383=1,IF(AC1383=1,1440-Z1383+AA1383,AA1383-Z1383),0)</f>
        <v>0</v>
      </c>
      <c r="AE1383" s="80">
        <f>IF(J1383="",0,IF(ISNUMBER(J1383),J1383,-1))</f>
        <v>0</v>
      </c>
      <c r="AF1383" s="80">
        <f>MIN(MAX(0,AE1383),AD1383)</f>
        <v>0</v>
      </c>
      <c r="AG1383" s="80">
        <f>MAX(0,AD1383-MAX(0,AE1383))</f>
        <v>0</v>
      </c>
      <c r="AH1383" s="80">
        <f>IF(ISNUMBER(B1383),IF(AND(INDEX(CFG_WDAYS,WEEKDAY(INT(B1383),2))="Sí",IF(D1383="proMX",COUNTIFS(FER_F,INT(B1383),FER_NLP,"Sí"),COUNTIFS(FER_F,INT(B1383),FER_NLM,"Sí"))=0),1,0),0)</f>
        <v>0</v>
      </c>
      <c r="AI1383" s="80">
        <f>IF(AC1383=1,IF(AND(INDEX(CFG_WDAYS,WEEKDAY(INT(B1383)+1,2))="Sí",IF(D1383="proMX",COUNTIFS(FER_F,INT(B1383)+1,FER_NLP,"Sí"),COUNTIFS(FER_F,INT(B1383)+1,FER_NLM,"Sí"))=0),1,0),0)</f>
        <v>0</v>
      </c>
      <c r="AJ1383" s="80">
        <f>IF(AC1383=1,1440-Z1383,AD1383)</f>
        <v>0</v>
      </c>
      <c r="AK1383" s="80">
        <f>IF(AND(AB1383=1,AH1383=1),MAX(0,MIN(IF(AC1383=1,1440,AA1383),CFG_WEM)-MAX(Z1383,CFG_WSM)),0)</f>
        <v>0</v>
      </c>
      <c r="AL1383" s="80">
        <f>IF(AND(AC1383=1,AI1383=1),MAX(0,MIN(AA1383,CFG_WEM)-CFG_WSM),0)</f>
        <v>0</v>
      </c>
      <c r="AM1383" s="80">
        <f>AK1383+AL1383</f>
        <v>0</v>
      </c>
      <c r="AN1383" s="80">
        <f>IF(CFG_BRK="Proporcional",IF(AD1383=0,0,AF1383*AM1383/AD1383),IF(CFG_BRK="Extras primero",MIN(AM1383,MAX(0,AF1383-(AD1383-AM1383))),MIN(AF1383,AM1383)))</f>
        <v>0</v>
      </c>
      <c r="AO1383" s="80">
        <f>AF1383-AN1383</f>
        <v>0</v>
      </c>
      <c r="AP1383" s="80">
        <f>AM1383-AN1383</f>
        <v>0</v>
      </c>
      <c r="AQ1383" s="80">
        <f>AD1383-AM1383-AO1383</f>
        <v>0</v>
      </c>
      <c r="AR1383" s="80">
        <f>IF(AM1383=0,0,AK1383-AN1383*AK1383/AM1383)</f>
        <v>0</v>
      </c>
      <c r="AS1383" s="80">
        <f>IF(AD1383-AM1383=0,0,(AJ1383-AK1383)-AO1383*(AJ1383-AK1383)/(AD1383-AM1383))</f>
        <v>0</v>
      </c>
      <c r="AT1383" s="80" t="str">
        <f>IF(AC1383=1,INT(B1383)+1,"")</f>
        <v/>
      </c>
      <c r="AU1383" s="80">
        <f>IF(AND(D1383="proMX",R1383="Cancelled"),0,1)</f>
        <v>1</v>
      </c>
      <c r="AV1383" s="80">
        <f>IF(AND(AB1383=1,AU1383=1),IF(COUNTIFS($D$5:D1382,D1383,$B$5:B1382,B1383,$Z$5:Z1382,Z1383,$AA$5:AA1382,AA1383,$F$5:F1382,F1383&amp;"",$AU$5:AU1382,1)&gt;0,1,0),0)</f>
        <v>0</v>
      </c>
      <c r="AW1383" s="80" t="str">
        <f>IF(AB1383=1,INT(B1383)*1440+Z1383,"")</f>
        <v/>
      </c>
      <c r="AX1383" s="80" t="str">
        <f>IF(AB1383=1,AW1383+AD1383,"")</f>
        <v/>
      </c>
      <c r="AY1383" s="80">
        <f>IF(AND(AB1383=1,AV1383=0,AU1383=1),1,0)</f>
        <v>0</v>
      </c>
      <c r="AZ1383" s="80">
        <f>IF(AY1383=1,COUNTIFS(R_Emp,D1383,R_SAbs,"&lt;"&amp;AX1383,R_EAbs,"&gt;"&amp;AW1383,R_OKey,1)-1,0)</f>
        <v>0</v>
      </c>
      <c r="BA1383" s="80">
        <f>IF(AY1383=1,COUNTIFS(R_Emp,"&lt;&gt;"&amp;D1383,R_SAbs,"&lt;"&amp;AX1383,R_EAbs,"&gt;"&amp;AW1383,R_OKey,1),0)</f>
        <v>0</v>
      </c>
      <c r="BB1383" s="80">
        <f>IF(AND(AB1383=1,D1383="proMX"),IF(AND(MOD(Z1383,CFG_BLK)=0,MOD(AA1383,CFG_BLK)=0,MOD(AG1383,CFG_BLK)=0,AG1383&gt;0),1,0),1)</f>
        <v>1</v>
      </c>
      <c r="BC1383" s="80" t="str">
        <f>IF(Y1383=0,"",IF(NOT(ISNUMBER(B1383)),"Falta fecha o fecha inválida",IF(D1383="","Falta empresa",IF(AND(D1383&lt;&gt;"Malcolm",D1383&lt;&gt;"proMX"),"Empresa inválida",IF(OR(INT(B1383)&lt;CFG_PSTART,INT(B1383)&gt;CFG_PEND),"Fecha fuera del período",IF(OR(NOT(ISNUMBER(Z1383)),NOT(ISNUMBER(AA1383))),"Falta hora inicio/fin o formato inválido",IF(AB1383=0,"Hora inicio = hora fin",IF(AE1383&lt;0,"Descanso inválido",IF(AE1383&gt;=AD1383,"Descanso ≥ duración",IF(AV1383=1,"Registro duplicado",IF(AZ1383&gt;0,"Se superpone con otro registro "&amp;D1383,IF(BB1383=0,"inicio, fin y duración neta deben ser múltiplos de "&amp;CFG_BLK&amp;" min",""))))))))))))</f>
        <v/>
      </c>
      <c r="BD1383" s="80">
        <f>IF(AND(Y1383=1,BC1383=""),1,0)</f>
        <v>0</v>
      </c>
      <c r="BE1383" s="80">
        <f>IF(AND(BD1383=1,AU1383=1),1,0)</f>
        <v>0</v>
      </c>
      <c r="BF1383" s="80" t="str">
        <f>IF(AND(D1383="proMX",BD1383=1),IF(R1383="","Draft",R1383),"")</f>
        <v/>
      </c>
      <c r="BG1383" s="80">
        <f>IF(BD1383=1,ROUND(AG1383/60,6),0)</f>
        <v>0</v>
      </c>
      <c r="BH1383" s="80">
        <f>IF(BE1383=1,ROUND(AG1383/60,6),0)</f>
        <v>0</v>
      </c>
      <c r="BI1383" s="80">
        <f>IF(BE1383=1,ROUND(AP1383/60,6),0)</f>
        <v>0</v>
      </c>
      <c r="BJ1383" s="80">
        <f>IF(BE1383=1,ROUND(AQ1383/60,6),0)</f>
        <v>0</v>
      </c>
      <c r="BK1383" s="80">
        <f>IF(BE1383=1,ROUND((AR1383+AS1383)/60,6),0)</f>
        <v>0</v>
      </c>
      <c r="BL1383" s="80">
        <f>ROUND(BH1383-BK1383,6)</f>
        <v>0</v>
      </c>
      <c r="BM1383" s="80">
        <f>IF(BE1383=1,ROUND(AR1383/60,6),0)</f>
        <v>0</v>
      </c>
      <c r="BN1383" s="80">
        <f>ROUND(BI1383-BM1383,6)</f>
        <v>0</v>
      </c>
      <c r="BO1383" s="80">
        <f>IF(BE1383=1,ROUND(AS1383/60,6),0)</f>
        <v>0</v>
      </c>
      <c r="BP1383" s="80">
        <f>ROUND(BJ1383-BO1383,6)</f>
        <v>0</v>
      </c>
      <c r="BQ1383" s="80">
        <f>IF(BE1383=1,AW1383,0)</f>
        <v>0</v>
      </c>
      <c r="BR1383" s="80">
        <f>IF(BE1383=1,AX1383,0)</f>
        <v>0</v>
      </c>
      <c r="BS1383" s="80">
        <f>IF(AND(BE1383=1,D1383="Malcolm",BA1383&gt;0),MIN(BH1383,SUMPRODUCT((R_Emp="proMX")*(R_EN&gt;0)*((R_EN-(R_EN&gt;BR1383)*(R_EN-BR1383))&gt;(R_SN+(R_SN&lt;BQ1383)*(BQ1383-R_SN)))*((R_EN-(R_EN&gt;BR1383)*(R_EN-BR1383))-(R_SN+(R_SN&lt;BQ1383)*(BQ1383-R_SN))))/60),0)</f>
        <v>0</v>
      </c>
      <c r="BT1383" s="80">
        <f>IF(AND(BE1383=1,D1383="proMX"),ROUND(BI1383*CFG_RATE+BJ1383*CFG_OTRATE,6),0)</f>
        <v>0</v>
      </c>
      <c r="BU1383" s="80">
        <f>IF(AND(BD1383=1,D1383="proMX"),ROUND(AG1383/CFG_BLK,6),0)</f>
        <v>0</v>
      </c>
      <c r="BV1383" s="80" t="str">
        <f>IF(BF1383="Approved",IF(ISNUMBER(T1383),INT(T1383),INT(B1383)),"")</f>
        <v/>
      </c>
      <c r="BW1383" s="80">
        <f>IF(ISNUMBER(B1383),IF(DB_MON="Todos",1,IF(AND(INT(B1383)&gt;=DB_MS,INT(B1383)&lt;=DB_ME),1,0)),0)</f>
        <v>0</v>
      </c>
      <c r="BX1383" s="80">
        <f>IF(DB_PROJ="Todos",1,IF(E1383&amp;""=DB_PROJ&amp;"",1,0))</f>
        <v>1</v>
      </c>
      <c r="BY1383" s="80">
        <f>BW1383*BX1383</f>
        <v>0</v>
      </c>
      <c r="BZ1383" s="80" t="str">
        <f>IF(Y1383=1,F1383&amp;IF(AND(F1383&amp;""&lt;&gt;"",E1383&amp;""&lt;&gt;"")," · ","")&amp;E1383,"")</f>
        <v/>
      </c>
      <c r="CA1383" s="80" t="str">
        <f>IF(AND(BD1383=1,E1383&amp;""&lt;&gt;""),IF(COUNTIFS($E$5:E1382,E1383,$BD$5:BD1382,1)=0,MAX($CA$5:CA1382)+1,""),"")</f>
        <v/>
      </c>
      <c r="CB1383" s="80" t="str">
        <f>IF(AND(BE1383=1,D1383="Malcolm",E1383&amp;""&lt;&gt;""),IF(COUNTIFS($D$5:D1382,"Malcolm",$E$5:E1382,E1383,$BE$5:BE1382,1)=0,MAX($CB$5:CB1382)+1,""),"")</f>
        <v/>
      </c>
      <c r="CC1383" s="80" t="str">
        <f>IF(AND(BD1383=1,D1383="proMX",E1383&amp;""&lt;&gt;""),IF(COUNTIFS($D$5:D1382,"proMX",$E$5:E1382,E1383,$BD$5:BD1382,1)=0,MAX($CC$5:CC1382)+1,""),"")</f>
        <v/>
      </c>
      <c r="CD1383" s="80" t="str">
        <f>IF(AND(BE1383=1,D1383="Malcolm",F1383&amp;""&lt;&gt;""),IF(COUNTIFS($D$5:D1382,"Malcolm",$F$5:F1382,F1383,$BE$5:BE1382,1)=0,MAX($CD$5:CD1382)+1,""),"")</f>
        <v/>
      </c>
      <c r="CE1383" s="80" t="str">
        <f>IF(AND(BD1383=1,D1383="proMX",F1383&amp;""&lt;&gt;""),IF(COUNTIFS($D$5:D1382,"proMX",$F$5:F1382,F1383,$BD$5:BD1382,1)=0,MAX($CE$5:CE1382)+1,""),"")</f>
        <v/>
      </c>
      <c r="CF1383" s="80" t="str">
        <f>IF(AND(D1383="proMX",BD1383=1),IF(OR(BF1383="Draft",BF1383="Submitted",BF1383="Returned",BF1383="Recall Requested"),MAX($CF$5:CF1382)+1,""),"")</f>
        <v/>
      </c>
      <c r="CG1383" s="80">
        <f>IF(BD1383=0,0,IF(D1383="Malcolm",1,MATCH(BF1383,{"Draft","Submitted","Approved","Returned","Recall Requested","Cancelled"},0)+1))</f>
        <v>0</v>
      </c>
      <c r="CH1383" s="80">
        <f>IF(AND(BF1383="Submitted",ISNUMBER(V1383)),IF(V1383&gt;CFG_MAXD,1,0),0)</f>
        <v>0</v>
      </c>
    </row>
    <row r="1384">
      <c r="A1384" s="71" t="str">
        <f>IF(Y1384=1,ROW()-5,"")</f>
        <v/>
      </c>
      <c r="B1384" s="72" t="n"/>
      <c r="C1384" s="71" t="str">
        <f>IF(ISNUMBER(B1384),CHOOSE(WEEKDAY(B1384,2),"Lun","Mar","Mié","Jue","Vie","Sáb","Dom"),"")</f>
        <v/>
      </c>
      <c r="D1384" s="73" t="n"/>
      <c r="E1384" s="74" t="n"/>
      <c r="F1384" s="74" t="n"/>
      <c r="G1384" s="74" t="n"/>
      <c r="H1384" s="75" t="n"/>
      <c r="I1384" s="75" t="n"/>
      <c r="J1384" s="76" t="n"/>
      <c r="K1384" s="77" t="str">
        <f>IF(AB1384=1,ROUND(AG1384/60,4),"")</f>
        <v/>
      </c>
      <c r="L1384" s="77" t="str">
        <f>IF(BD1384=1,ROUND(AP1384/60,4),"")</f>
        <v/>
      </c>
      <c r="M1384" s="77" t="str">
        <f>IF(BD1384=1,ROUND(AQ1384/60,4),"")</f>
        <v/>
      </c>
      <c r="N1384" s="71" t="str">
        <f>IF(AND(D1384="proMX",AB1384=1),ROUND(AG1384/CFG_BLK,2),"")</f>
        <v/>
      </c>
      <c r="O1384" s="77" t="str">
        <f>IF(D1384="proMX",IF(BD1384=1,ROUND(AG1384/60,4),0),"")</f>
        <v/>
      </c>
      <c r="P1384" s="78" t="str">
        <f>IF(Y1384=0,"",IF(BD1384=1,"OK",IF(D1384="proMX","Revisar bloques: ","Revisar: ")&amp;BC1384))</f>
        <v/>
      </c>
      <c r="Q1384" s="78" t="str">
        <f>IF(NOT(ISNUMBER(B1384)),"",IF(COUNTIFS(FER_F,INT(B1384))&gt;0,"Feriado"&amp;IF(AH1384=1," (laborable)"," (no laborable)"),IF(AH1384=1,"Laborable",IF(WEEKDAY(B1384,2)&gt;5,"Fin de semana","No laborable"))))</f>
        <v/>
      </c>
      <c r="R1384" s="73" t="n"/>
      <c r="S1384" s="72" t="n"/>
      <c r="T1384" s="72" t="n"/>
      <c r="U1384" s="74" t="n"/>
      <c r="V1384" s="79" t="str">
        <f>IF(AND(D1384="proMX",OR(R1384="Submitted",R1384="Recall Requested"),ISNUMBER(S1384)),CFG_TODAY-INT(S1384),"")</f>
        <v/>
      </c>
      <c r="W1384" s="78" t="str">
        <f>IF(BD1384=0,"",IF(BA1384&gt;0,"⚠ Se superpone con un registro de la otra empresa",IF(D1384="Malcolm",IF(COUNTA(R1384,S1384,T1384)&gt;0,"Estado/fechas proMX se ignoran en Malcolm",""),IF(BF1384="Cancelled","Cancelado: excluido de totales",IF(R1384="","Sin estado: se trata como Draft",IF(BF1384="Submitted",IF(ISNUMBER(V1384),IF(V1384&gt;CFG_MAXD,"⚠ "&amp;V1384&amp;" días en Submitted (máx. "&amp;CFG_MAXD&amp;")",""),"Falta fecha de envío"),IF(BF1384="Returned","⚠ Devuelto: corregir y reenviar",IF(BF1384="Recall Requested","Retirada solicitada: pendiente",IF(AND(BF1384="Approved",NOT(ISNUMBER(T1384))),"Falta fecha de aprobación",IF(AND(ISNUMBER(S1384),ISNUMBER(T1384),T1384&lt;S1384),"Aprobación anterior al envío","")))))))))</f>
        <v/>
      </c>
      <c r="Y1384" s="80">
        <f>IF(COUNTA(B1384,D1384,E1384,F1384,G1384,H1384,I1384,J1384,R1384,S1384,T1384)&gt;0,1,0)</f>
        <v>0</v>
      </c>
      <c r="Z1384" s="80" t="str">
        <f>IF(AND(ISNUMBER(H1384),H1384&gt;=0,H1384&lt;1),ROUND(H1384*1440,0),"")</f>
        <v/>
      </c>
      <c r="AA1384" s="80" t="str">
        <f>IF(AND(ISNUMBER(I1384),I1384&gt;=0,I1384&lt;1),ROUND(I1384*1440,0),"")</f>
        <v/>
      </c>
      <c r="AB1384" s="80">
        <f>IF(AND(ISNUMBER(B1384),D1384&lt;&gt;"",ISNUMBER(Z1384),ISNUMBER(AA1384)),IF(Z1384=AA1384,0,1),0)</f>
        <v>0</v>
      </c>
      <c r="AC1384" s="80">
        <f>IF(AB1384=1,IF(AA1384&lt;Z1384,1,0),0)</f>
        <v>0</v>
      </c>
      <c r="AD1384" s="80">
        <f>IF(AB1384=1,IF(AC1384=1,1440-Z1384+AA1384,AA1384-Z1384),0)</f>
        <v>0</v>
      </c>
      <c r="AE1384" s="80">
        <f>IF(J1384="",0,IF(ISNUMBER(J1384),J1384,-1))</f>
        <v>0</v>
      </c>
      <c r="AF1384" s="80">
        <f>MIN(MAX(0,AE1384),AD1384)</f>
        <v>0</v>
      </c>
      <c r="AG1384" s="80">
        <f>MAX(0,AD1384-MAX(0,AE1384))</f>
        <v>0</v>
      </c>
      <c r="AH1384" s="80">
        <f>IF(ISNUMBER(B1384),IF(AND(INDEX(CFG_WDAYS,WEEKDAY(INT(B1384),2))="Sí",IF(D1384="proMX",COUNTIFS(FER_F,INT(B1384),FER_NLP,"Sí"),COUNTIFS(FER_F,INT(B1384),FER_NLM,"Sí"))=0),1,0),0)</f>
        <v>0</v>
      </c>
      <c r="AI1384" s="80">
        <f>IF(AC1384=1,IF(AND(INDEX(CFG_WDAYS,WEEKDAY(INT(B1384)+1,2))="Sí",IF(D1384="proMX",COUNTIFS(FER_F,INT(B1384)+1,FER_NLP,"Sí"),COUNTIFS(FER_F,INT(B1384)+1,FER_NLM,"Sí"))=0),1,0),0)</f>
        <v>0</v>
      </c>
      <c r="AJ1384" s="80">
        <f>IF(AC1384=1,1440-Z1384,AD1384)</f>
        <v>0</v>
      </c>
      <c r="AK1384" s="80">
        <f>IF(AND(AB1384=1,AH1384=1),MAX(0,MIN(IF(AC1384=1,1440,AA1384),CFG_WEM)-MAX(Z1384,CFG_WSM)),0)</f>
        <v>0</v>
      </c>
      <c r="AL1384" s="80">
        <f>IF(AND(AC1384=1,AI1384=1),MAX(0,MIN(AA1384,CFG_WEM)-CFG_WSM),0)</f>
        <v>0</v>
      </c>
      <c r="AM1384" s="80">
        <f>AK1384+AL1384</f>
        <v>0</v>
      </c>
      <c r="AN1384" s="80">
        <f>IF(CFG_BRK="Proporcional",IF(AD1384=0,0,AF1384*AM1384/AD1384),IF(CFG_BRK="Extras primero",MIN(AM1384,MAX(0,AF1384-(AD1384-AM1384))),MIN(AF1384,AM1384)))</f>
        <v>0</v>
      </c>
      <c r="AO1384" s="80">
        <f>AF1384-AN1384</f>
        <v>0</v>
      </c>
      <c r="AP1384" s="80">
        <f>AM1384-AN1384</f>
        <v>0</v>
      </c>
      <c r="AQ1384" s="80">
        <f>AD1384-AM1384-AO1384</f>
        <v>0</v>
      </c>
      <c r="AR1384" s="80">
        <f>IF(AM1384=0,0,AK1384-AN1384*AK1384/AM1384)</f>
        <v>0</v>
      </c>
      <c r="AS1384" s="80">
        <f>IF(AD1384-AM1384=0,0,(AJ1384-AK1384)-AO1384*(AJ1384-AK1384)/(AD1384-AM1384))</f>
        <v>0</v>
      </c>
      <c r="AT1384" s="80" t="str">
        <f>IF(AC1384=1,INT(B1384)+1,"")</f>
        <v/>
      </c>
      <c r="AU1384" s="80">
        <f>IF(AND(D1384="proMX",R1384="Cancelled"),0,1)</f>
        <v>1</v>
      </c>
      <c r="AV1384" s="80">
        <f>IF(AND(AB1384=1,AU1384=1),IF(COUNTIFS($D$5:D1383,D1384,$B$5:B1383,B1384,$Z$5:Z1383,Z1384,$AA$5:AA1383,AA1384,$F$5:F1383,F1384&amp;"",$AU$5:AU1383,1)&gt;0,1,0),0)</f>
        <v>0</v>
      </c>
      <c r="AW1384" s="80" t="str">
        <f>IF(AB1384=1,INT(B1384)*1440+Z1384,"")</f>
        <v/>
      </c>
      <c r="AX1384" s="80" t="str">
        <f>IF(AB1384=1,AW1384+AD1384,"")</f>
        <v/>
      </c>
      <c r="AY1384" s="80">
        <f>IF(AND(AB1384=1,AV1384=0,AU1384=1),1,0)</f>
        <v>0</v>
      </c>
      <c r="AZ1384" s="80">
        <f>IF(AY1384=1,COUNTIFS(R_Emp,D1384,R_SAbs,"&lt;"&amp;AX1384,R_EAbs,"&gt;"&amp;AW1384,R_OKey,1)-1,0)</f>
        <v>0</v>
      </c>
      <c r="BA1384" s="80">
        <f>IF(AY1384=1,COUNTIFS(R_Emp,"&lt;&gt;"&amp;D1384,R_SAbs,"&lt;"&amp;AX1384,R_EAbs,"&gt;"&amp;AW1384,R_OKey,1),0)</f>
        <v>0</v>
      </c>
      <c r="BB1384" s="80">
        <f>IF(AND(AB1384=1,D1384="proMX"),IF(AND(MOD(Z1384,CFG_BLK)=0,MOD(AA1384,CFG_BLK)=0,MOD(AG1384,CFG_BLK)=0,AG1384&gt;0),1,0),1)</f>
        <v>1</v>
      </c>
      <c r="BC1384" s="80" t="str">
        <f>IF(Y1384=0,"",IF(NOT(ISNUMBER(B1384)),"Falta fecha o fecha inválida",IF(D1384="","Falta empresa",IF(AND(D1384&lt;&gt;"Malcolm",D1384&lt;&gt;"proMX"),"Empresa inválida",IF(OR(INT(B1384)&lt;CFG_PSTART,INT(B1384)&gt;CFG_PEND),"Fecha fuera del período",IF(OR(NOT(ISNUMBER(Z1384)),NOT(ISNUMBER(AA1384))),"Falta hora inicio/fin o formato inválido",IF(AB1384=0,"Hora inicio = hora fin",IF(AE1384&lt;0,"Descanso inválido",IF(AE1384&gt;=AD1384,"Descanso ≥ duración",IF(AV1384=1,"Registro duplicado",IF(AZ1384&gt;0,"Se superpone con otro registro "&amp;D1384,IF(BB1384=0,"inicio, fin y duración neta deben ser múltiplos de "&amp;CFG_BLK&amp;" min",""))))))))))))</f>
        <v/>
      </c>
      <c r="BD1384" s="80">
        <f>IF(AND(Y1384=1,BC1384=""),1,0)</f>
        <v>0</v>
      </c>
      <c r="BE1384" s="80">
        <f>IF(AND(BD1384=1,AU1384=1),1,0)</f>
        <v>0</v>
      </c>
      <c r="BF1384" s="80" t="str">
        <f>IF(AND(D1384="proMX",BD1384=1),IF(R1384="","Draft",R1384),"")</f>
        <v/>
      </c>
      <c r="BG1384" s="80">
        <f>IF(BD1384=1,ROUND(AG1384/60,6),0)</f>
        <v>0</v>
      </c>
      <c r="BH1384" s="80">
        <f>IF(BE1384=1,ROUND(AG1384/60,6),0)</f>
        <v>0</v>
      </c>
      <c r="BI1384" s="80">
        <f>IF(BE1384=1,ROUND(AP1384/60,6),0)</f>
        <v>0</v>
      </c>
      <c r="BJ1384" s="80">
        <f>IF(BE1384=1,ROUND(AQ1384/60,6),0)</f>
        <v>0</v>
      </c>
      <c r="BK1384" s="80">
        <f>IF(BE1384=1,ROUND((AR1384+AS1384)/60,6),0)</f>
        <v>0</v>
      </c>
      <c r="BL1384" s="80">
        <f>ROUND(BH1384-BK1384,6)</f>
        <v>0</v>
      </c>
      <c r="BM1384" s="80">
        <f>IF(BE1384=1,ROUND(AR1384/60,6),0)</f>
        <v>0</v>
      </c>
      <c r="BN1384" s="80">
        <f>ROUND(BI1384-BM1384,6)</f>
        <v>0</v>
      </c>
      <c r="BO1384" s="80">
        <f>IF(BE1384=1,ROUND(AS1384/60,6),0)</f>
        <v>0</v>
      </c>
      <c r="BP1384" s="80">
        <f>ROUND(BJ1384-BO1384,6)</f>
        <v>0</v>
      </c>
      <c r="BQ1384" s="80">
        <f>IF(BE1384=1,AW1384,0)</f>
        <v>0</v>
      </c>
      <c r="BR1384" s="80">
        <f>IF(BE1384=1,AX1384,0)</f>
        <v>0</v>
      </c>
      <c r="BS1384" s="80">
        <f>IF(AND(BE1384=1,D1384="Malcolm",BA1384&gt;0),MIN(BH1384,SUMPRODUCT((R_Emp="proMX")*(R_EN&gt;0)*((R_EN-(R_EN&gt;BR1384)*(R_EN-BR1384))&gt;(R_SN+(R_SN&lt;BQ1384)*(BQ1384-R_SN)))*((R_EN-(R_EN&gt;BR1384)*(R_EN-BR1384))-(R_SN+(R_SN&lt;BQ1384)*(BQ1384-R_SN))))/60),0)</f>
        <v>0</v>
      </c>
      <c r="BT1384" s="80">
        <f>IF(AND(BE1384=1,D1384="proMX"),ROUND(BI1384*CFG_RATE+BJ1384*CFG_OTRATE,6),0)</f>
        <v>0</v>
      </c>
      <c r="BU1384" s="80">
        <f>IF(AND(BD1384=1,D1384="proMX"),ROUND(AG1384/CFG_BLK,6),0)</f>
        <v>0</v>
      </c>
      <c r="BV1384" s="80" t="str">
        <f>IF(BF1384="Approved",IF(ISNUMBER(T1384),INT(T1384),INT(B1384)),"")</f>
        <v/>
      </c>
      <c r="BW1384" s="80">
        <f>IF(ISNUMBER(B1384),IF(DB_MON="Todos",1,IF(AND(INT(B1384)&gt;=DB_MS,INT(B1384)&lt;=DB_ME),1,0)),0)</f>
        <v>0</v>
      </c>
      <c r="BX1384" s="80">
        <f>IF(DB_PROJ="Todos",1,IF(E1384&amp;""=DB_PROJ&amp;"",1,0))</f>
        <v>1</v>
      </c>
      <c r="BY1384" s="80">
        <f>BW1384*BX1384</f>
        <v>0</v>
      </c>
      <c r="BZ1384" s="80" t="str">
        <f>IF(Y1384=1,F1384&amp;IF(AND(F1384&amp;""&lt;&gt;"",E1384&amp;""&lt;&gt;"")," · ","")&amp;E1384,"")</f>
        <v/>
      </c>
      <c r="CA1384" s="80" t="str">
        <f>IF(AND(BD1384=1,E1384&amp;""&lt;&gt;""),IF(COUNTIFS($E$5:E1383,E1384,$BD$5:BD1383,1)=0,MAX($CA$5:CA1383)+1,""),"")</f>
        <v/>
      </c>
      <c r="CB1384" s="80" t="str">
        <f>IF(AND(BE1384=1,D1384="Malcolm",E1384&amp;""&lt;&gt;""),IF(COUNTIFS($D$5:D1383,"Malcolm",$E$5:E1383,E1384,$BE$5:BE1383,1)=0,MAX($CB$5:CB1383)+1,""),"")</f>
        <v/>
      </c>
      <c r="CC1384" s="80" t="str">
        <f>IF(AND(BD1384=1,D1384="proMX",E1384&amp;""&lt;&gt;""),IF(COUNTIFS($D$5:D1383,"proMX",$E$5:E1383,E1384,$BD$5:BD1383,1)=0,MAX($CC$5:CC1383)+1,""),"")</f>
        <v/>
      </c>
      <c r="CD1384" s="80" t="str">
        <f>IF(AND(BE1384=1,D1384="Malcolm",F1384&amp;""&lt;&gt;""),IF(COUNTIFS($D$5:D1383,"Malcolm",$F$5:F1383,F1384,$BE$5:BE1383,1)=0,MAX($CD$5:CD1383)+1,""),"")</f>
        <v/>
      </c>
      <c r="CE1384" s="80" t="str">
        <f>IF(AND(BD1384=1,D1384="proMX",F1384&amp;""&lt;&gt;""),IF(COUNTIFS($D$5:D1383,"proMX",$F$5:F1383,F1384,$BD$5:BD1383,1)=0,MAX($CE$5:CE1383)+1,""),"")</f>
        <v/>
      </c>
      <c r="CF1384" s="80" t="str">
        <f>IF(AND(D1384="proMX",BD1384=1),IF(OR(BF1384="Draft",BF1384="Submitted",BF1384="Returned",BF1384="Recall Requested"),MAX($CF$5:CF1383)+1,""),"")</f>
        <v/>
      </c>
      <c r="CG1384" s="80">
        <f>IF(BD1384=0,0,IF(D1384="Malcolm",1,MATCH(BF1384,{"Draft","Submitted","Approved","Returned","Recall Requested","Cancelled"},0)+1))</f>
        <v>0</v>
      </c>
      <c r="CH1384" s="80">
        <f>IF(AND(BF1384="Submitted",ISNUMBER(V1384)),IF(V1384&gt;CFG_MAXD,1,0),0)</f>
        <v>0</v>
      </c>
    </row>
    <row r="1385">
      <c r="A1385" s="71" t="str">
        <f>IF(Y1385=1,ROW()-5,"")</f>
        <v/>
      </c>
      <c r="B1385" s="72" t="n"/>
      <c r="C1385" s="71" t="str">
        <f>IF(ISNUMBER(B1385),CHOOSE(WEEKDAY(B1385,2),"Lun","Mar","Mié","Jue","Vie","Sáb","Dom"),"")</f>
        <v/>
      </c>
      <c r="D1385" s="73" t="n"/>
      <c r="E1385" s="74" t="n"/>
      <c r="F1385" s="74" t="n"/>
      <c r="G1385" s="74" t="n"/>
      <c r="H1385" s="75" t="n"/>
      <c r="I1385" s="75" t="n"/>
      <c r="J1385" s="76" t="n"/>
      <c r="K1385" s="77" t="str">
        <f>IF(AB1385=1,ROUND(AG1385/60,4),"")</f>
        <v/>
      </c>
      <c r="L1385" s="77" t="str">
        <f>IF(BD1385=1,ROUND(AP1385/60,4),"")</f>
        <v/>
      </c>
      <c r="M1385" s="77" t="str">
        <f>IF(BD1385=1,ROUND(AQ1385/60,4),"")</f>
        <v/>
      </c>
      <c r="N1385" s="71" t="str">
        <f>IF(AND(D1385="proMX",AB1385=1),ROUND(AG1385/CFG_BLK,2),"")</f>
        <v/>
      </c>
      <c r="O1385" s="77" t="str">
        <f>IF(D1385="proMX",IF(BD1385=1,ROUND(AG1385/60,4),0),"")</f>
        <v/>
      </c>
      <c r="P1385" s="78" t="str">
        <f>IF(Y1385=0,"",IF(BD1385=1,"OK",IF(D1385="proMX","Revisar bloques: ","Revisar: ")&amp;BC1385))</f>
        <v/>
      </c>
      <c r="Q1385" s="78" t="str">
        <f>IF(NOT(ISNUMBER(B1385)),"",IF(COUNTIFS(FER_F,INT(B1385))&gt;0,"Feriado"&amp;IF(AH1385=1," (laborable)"," (no laborable)"),IF(AH1385=1,"Laborable",IF(WEEKDAY(B1385,2)&gt;5,"Fin de semana","No laborable"))))</f>
        <v/>
      </c>
      <c r="R1385" s="73" t="n"/>
      <c r="S1385" s="72" t="n"/>
      <c r="T1385" s="72" t="n"/>
      <c r="U1385" s="74" t="n"/>
      <c r="V1385" s="79" t="str">
        <f>IF(AND(D1385="proMX",OR(R1385="Submitted",R1385="Recall Requested"),ISNUMBER(S1385)),CFG_TODAY-INT(S1385),"")</f>
        <v/>
      </c>
      <c r="W1385" s="78" t="str">
        <f>IF(BD1385=0,"",IF(BA1385&gt;0,"⚠ Se superpone con un registro de la otra empresa",IF(D1385="Malcolm",IF(COUNTA(R1385,S1385,T1385)&gt;0,"Estado/fechas proMX se ignoran en Malcolm",""),IF(BF1385="Cancelled","Cancelado: excluido de totales",IF(R1385="","Sin estado: se trata como Draft",IF(BF1385="Submitted",IF(ISNUMBER(V1385),IF(V1385&gt;CFG_MAXD,"⚠ "&amp;V1385&amp;" días en Submitted (máx. "&amp;CFG_MAXD&amp;")",""),"Falta fecha de envío"),IF(BF1385="Returned","⚠ Devuelto: corregir y reenviar",IF(BF1385="Recall Requested","Retirada solicitada: pendiente",IF(AND(BF1385="Approved",NOT(ISNUMBER(T1385))),"Falta fecha de aprobación",IF(AND(ISNUMBER(S1385),ISNUMBER(T1385),T1385&lt;S1385),"Aprobación anterior al envío","")))))))))</f>
        <v/>
      </c>
      <c r="Y1385" s="80">
        <f>IF(COUNTA(B1385,D1385,E1385,F1385,G1385,H1385,I1385,J1385,R1385,S1385,T1385)&gt;0,1,0)</f>
        <v>0</v>
      </c>
      <c r="Z1385" s="80" t="str">
        <f>IF(AND(ISNUMBER(H1385),H1385&gt;=0,H1385&lt;1),ROUND(H1385*1440,0),"")</f>
        <v/>
      </c>
      <c r="AA1385" s="80" t="str">
        <f>IF(AND(ISNUMBER(I1385),I1385&gt;=0,I1385&lt;1),ROUND(I1385*1440,0),"")</f>
        <v/>
      </c>
      <c r="AB1385" s="80">
        <f>IF(AND(ISNUMBER(B1385),D1385&lt;&gt;"",ISNUMBER(Z1385),ISNUMBER(AA1385)),IF(Z1385=AA1385,0,1),0)</f>
        <v>0</v>
      </c>
      <c r="AC1385" s="80">
        <f>IF(AB1385=1,IF(AA1385&lt;Z1385,1,0),0)</f>
        <v>0</v>
      </c>
      <c r="AD1385" s="80">
        <f>IF(AB1385=1,IF(AC1385=1,1440-Z1385+AA1385,AA1385-Z1385),0)</f>
        <v>0</v>
      </c>
      <c r="AE1385" s="80">
        <f>IF(J1385="",0,IF(ISNUMBER(J1385),J1385,-1))</f>
        <v>0</v>
      </c>
      <c r="AF1385" s="80">
        <f>MIN(MAX(0,AE1385),AD1385)</f>
        <v>0</v>
      </c>
      <c r="AG1385" s="80">
        <f>MAX(0,AD1385-MAX(0,AE1385))</f>
        <v>0</v>
      </c>
      <c r="AH1385" s="80">
        <f>IF(ISNUMBER(B1385),IF(AND(INDEX(CFG_WDAYS,WEEKDAY(INT(B1385),2))="Sí",IF(D1385="proMX",COUNTIFS(FER_F,INT(B1385),FER_NLP,"Sí"),COUNTIFS(FER_F,INT(B1385),FER_NLM,"Sí"))=0),1,0),0)</f>
        <v>0</v>
      </c>
      <c r="AI1385" s="80">
        <f>IF(AC1385=1,IF(AND(INDEX(CFG_WDAYS,WEEKDAY(INT(B1385)+1,2))="Sí",IF(D1385="proMX",COUNTIFS(FER_F,INT(B1385)+1,FER_NLP,"Sí"),COUNTIFS(FER_F,INT(B1385)+1,FER_NLM,"Sí"))=0),1,0),0)</f>
        <v>0</v>
      </c>
      <c r="AJ1385" s="80">
        <f>IF(AC1385=1,1440-Z1385,AD1385)</f>
        <v>0</v>
      </c>
      <c r="AK1385" s="80">
        <f>IF(AND(AB1385=1,AH1385=1),MAX(0,MIN(IF(AC1385=1,1440,AA1385),CFG_WEM)-MAX(Z1385,CFG_WSM)),0)</f>
        <v>0</v>
      </c>
      <c r="AL1385" s="80">
        <f>IF(AND(AC1385=1,AI1385=1),MAX(0,MIN(AA1385,CFG_WEM)-CFG_WSM),0)</f>
        <v>0</v>
      </c>
      <c r="AM1385" s="80">
        <f>AK1385+AL1385</f>
        <v>0</v>
      </c>
      <c r="AN1385" s="80">
        <f>IF(CFG_BRK="Proporcional",IF(AD1385=0,0,AF1385*AM1385/AD1385),IF(CFG_BRK="Extras primero",MIN(AM1385,MAX(0,AF1385-(AD1385-AM1385))),MIN(AF1385,AM1385)))</f>
        <v>0</v>
      </c>
      <c r="AO1385" s="80">
        <f>AF1385-AN1385</f>
        <v>0</v>
      </c>
      <c r="AP1385" s="80">
        <f>AM1385-AN1385</f>
        <v>0</v>
      </c>
      <c r="AQ1385" s="80">
        <f>AD1385-AM1385-AO1385</f>
        <v>0</v>
      </c>
      <c r="AR1385" s="80">
        <f>IF(AM1385=0,0,AK1385-AN1385*AK1385/AM1385)</f>
        <v>0</v>
      </c>
      <c r="AS1385" s="80">
        <f>IF(AD1385-AM1385=0,0,(AJ1385-AK1385)-AO1385*(AJ1385-AK1385)/(AD1385-AM1385))</f>
        <v>0</v>
      </c>
      <c r="AT1385" s="80" t="str">
        <f>IF(AC1385=1,INT(B1385)+1,"")</f>
        <v/>
      </c>
      <c r="AU1385" s="80">
        <f>IF(AND(D1385="proMX",R1385="Cancelled"),0,1)</f>
        <v>1</v>
      </c>
      <c r="AV1385" s="80">
        <f>IF(AND(AB1385=1,AU1385=1),IF(COUNTIFS($D$5:D1384,D1385,$B$5:B1384,B1385,$Z$5:Z1384,Z1385,$AA$5:AA1384,AA1385,$F$5:F1384,F1385&amp;"",$AU$5:AU1384,1)&gt;0,1,0),0)</f>
        <v>0</v>
      </c>
      <c r="AW1385" s="80" t="str">
        <f>IF(AB1385=1,INT(B1385)*1440+Z1385,"")</f>
        <v/>
      </c>
      <c r="AX1385" s="80" t="str">
        <f>IF(AB1385=1,AW1385+AD1385,"")</f>
        <v/>
      </c>
      <c r="AY1385" s="80">
        <f>IF(AND(AB1385=1,AV1385=0,AU1385=1),1,0)</f>
        <v>0</v>
      </c>
      <c r="AZ1385" s="80">
        <f>IF(AY1385=1,COUNTIFS(R_Emp,D1385,R_SAbs,"&lt;"&amp;AX1385,R_EAbs,"&gt;"&amp;AW1385,R_OKey,1)-1,0)</f>
        <v>0</v>
      </c>
      <c r="BA1385" s="80">
        <f>IF(AY1385=1,COUNTIFS(R_Emp,"&lt;&gt;"&amp;D1385,R_SAbs,"&lt;"&amp;AX1385,R_EAbs,"&gt;"&amp;AW1385,R_OKey,1),0)</f>
        <v>0</v>
      </c>
      <c r="BB1385" s="80">
        <f>IF(AND(AB1385=1,D1385="proMX"),IF(AND(MOD(Z1385,CFG_BLK)=0,MOD(AA1385,CFG_BLK)=0,MOD(AG1385,CFG_BLK)=0,AG1385&gt;0),1,0),1)</f>
        <v>1</v>
      </c>
      <c r="BC1385" s="80" t="str">
        <f>IF(Y1385=0,"",IF(NOT(ISNUMBER(B1385)),"Falta fecha o fecha inválida",IF(D1385="","Falta empresa",IF(AND(D1385&lt;&gt;"Malcolm",D1385&lt;&gt;"proMX"),"Empresa inválida",IF(OR(INT(B1385)&lt;CFG_PSTART,INT(B1385)&gt;CFG_PEND),"Fecha fuera del período",IF(OR(NOT(ISNUMBER(Z1385)),NOT(ISNUMBER(AA1385))),"Falta hora inicio/fin o formato inválido",IF(AB1385=0,"Hora inicio = hora fin",IF(AE1385&lt;0,"Descanso inválido",IF(AE1385&gt;=AD1385,"Descanso ≥ duración",IF(AV1385=1,"Registro duplicado",IF(AZ1385&gt;0,"Se superpone con otro registro "&amp;D1385,IF(BB1385=0,"inicio, fin y duración neta deben ser múltiplos de "&amp;CFG_BLK&amp;" min",""))))))))))))</f>
        <v/>
      </c>
      <c r="BD1385" s="80">
        <f>IF(AND(Y1385=1,BC1385=""),1,0)</f>
        <v>0</v>
      </c>
      <c r="BE1385" s="80">
        <f>IF(AND(BD1385=1,AU1385=1),1,0)</f>
        <v>0</v>
      </c>
      <c r="BF1385" s="80" t="str">
        <f>IF(AND(D1385="proMX",BD1385=1),IF(R1385="","Draft",R1385),"")</f>
        <v/>
      </c>
      <c r="BG1385" s="80">
        <f>IF(BD1385=1,ROUND(AG1385/60,6),0)</f>
        <v>0</v>
      </c>
      <c r="BH1385" s="80">
        <f>IF(BE1385=1,ROUND(AG1385/60,6),0)</f>
        <v>0</v>
      </c>
      <c r="BI1385" s="80">
        <f>IF(BE1385=1,ROUND(AP1385/60,6),0)</f>
        <v>0</v>
      </c>
      <c r="BJ1385" s="80">
        <f>IF(BE1385=1,ROUND(AQ1385/60,6),0)</f>
        <v>0</v>
      </c>
      <c r="BK1385" s="80">
        <f>IF(BE1385=1,ROUND((AR1385+AS1385)/60,6),0)</f>
        <v>0</v>
      </c>
      <c r="BL1385" s="80">
        <f>ROUND(BH1385-BK1385,6)</f>
        <v>0</v>
      </c>
      <c r="BM1385" s="80">
        <f>IF(BE1385=1,ROUND(AR1385/60,6),0)</f>
        <v>0</v>
      </c>
      <c r="BN1385" s="80">
        <f>ROUND(BI1385-BM1385,6)</f>
        <v>0</v>
      </c>
      <c r="BO1385" s="80">
        <f>IF(BE1385=1,ROUND(AS1385/60,6),0)</f>
        <v>0</v>
      </c>
      <c r="BP1385" s="80">
        <f>ROUND(BJ1385-BO1385,6)</f>
        <v>0</v>
      </c>
      <c r="BQ1385" s="80">
        <f>IF(BE1385=1,AW1385,0)</f>
        <v>0</v>
      </c>
      <c r="BR1385" s="80">
        <f>IF(BE1385=1,AX1385,0)</f>
        <v>0</v>
      </c>
      <c r="BS1385" s="80">
        <f>IF(AND(BE1385=1,D1385="Malcolm",BA1385&gt;0),MIN(BH1385,SUMPRODUCT((R_Emp="proMX")*(R_EN&gt;0)*((R_EN-(R_EN&gt;BR1385)*(R_EN-BR1385))&gt;(R_SN+(R_SN&lt;BQ1385)*(BQ1385-R_SN)))*((R_EN-(R_EN&gt;BR1385)*(R_EN-BR1385))-(R_SN+(R_SN&lt;BQ1385)*(BQ1385-R_SN))))/60),0)</f>
        <v>0</v>
      </c>
      <c r="BT1385" s="80">
        <f>IF(AND(BE1385=1,D1385="proMX"),ROUND(BI1385*CFG_RATE+BJ1385*CFG_OTRATE,6),0)</f>
        <v>0</v>
      </c>
      <c r="BU1385" s="80">
        <f>IF(AND(BD1385=1,D1385="proMX"),ROUND(AG1385/CFG_BLK,6),0)</f>
        <v>0</v>
      </c>
      <c r="BV1385" s="80" t="str">
        <f>IF(BF1385="Approved",IF(ISNUMBER(T1385),INT(T1385),INT(B1385)),"")</f>
        <v/>
      </c>
      <c r="BW1385" s="80">
        <f>IF(ISNUMBER(B1385),IF(DB_MON="Todos",1,IF(AND(INT(B1385)&gt;=DB_MS,INT(B1385)&lt;=DB_ME),1,0)),0)</f>
        <v>0</v>
      </c>
      <c r="BX1385" s="80">
        <f>IF(DB_PROJ="Todos",1,IF(E1385&amp;""=DB_PROJ&amp;"",1,0))</f>
        <v>1</v>
      </c>
      <c r="BY1385" s="80">
        <f>BW1385*BX1385</f>
        <v>0</v>
      </c>
      <c r="BZ1385" s="80" t="str">
        <f>IF(Y1385=1,F1385&amp;IF(AND(F1385&amp;""&lt;&gt;"",E1385&amp;""&lt;&gt;"")," · ","")&amp;E1385,"")</f>
        <v/>
      </c>
      <c r="CA1385" s="80" t="str">
        <f>IF(AND(BD1385=1,E1385&amp;""&lt;&gt;""),IF(COUNTIFS($E$5:E1384,E1385,$BD$5:BD1384,1)=0,MAX($CA$5:CA1384)+1,""),"")</f>
        <v/>
      </c>
      <c r="CB1385" s="80" t="str">
        <f>IF(AND(BE1385=1,D1385="Malcolm",E1385&amp;""&lt;&gt;""),IF(COUNTIFS($D$5:D1384,"Malcolm",$E$5:E1384,E1385,$BE$5:BE1384,1)=0,MAX($CB$5:CB1384)+1,""),"")</f>
        <v/>
      </c>
      <c r="CC1385" s="80" t="str">
        <f>IF(AND(BD1385=1,D1385="proMX",E1385&amp;""&lt;&gt;""),IF(COUNTIFS($D$5:D1384,"proMX",$E$5:E1384,E1385,$BD$5:BD1384,1)=0,MAX($CC$5:CC1384)+1,""),"")</f>
        <v/>
      </c>
      <c r="CD1385" s="80" t="str">
        <f>IF(AND(BE1385=1,D1385="Malcolm",F1385&amp;""&lt;&gt;""),IF(COUNTIFS($D$5:D1384,"Malcolm",$F$5:F1384,F1385,$BE$5:BE1384,1)=0,MAX($CD$5:CD1384)+1,""),"")</f>
        <v/>
      </c>
      <c r="CE1385" s="80" t="str">
        <f>IF(AND(BD1385=1,D1385="proMX",F1385&amp;""&lt;&gt;""),IF(COUNTIFS($D$5:D1384,"proMX",$F$5:F1384,F1385,$BD$5:BD1384,1)=0,MAX($CE$5:CE1384)+1,""),"")</f>
        <v/>
      </c>
      <c r="CF1385" s="80" t="str">
        <f>IF(AND(D1385="proMX",BD1385=1),IF(OR(BF1385="Draft",BF1385="Submitted",BF1385="Returned",BF1385="Recall Requested"),MAX($CF$5:CF1384)+1,""),"")</f>
        <v/>
      </c>
      <c r="CG1385" s="80">
        <f>IF(BD1385=0,0,IF(D1385="Malcolm",1,MATCH(BF1385,{"Draft","Submitted","Approved","Returned","Recall Requested","Cancelled"},0)+1))</f>
        <v>0</v>
      </c>
      <c r="CH1385" s="80">
        <f>IF(AND(BF1385="Submitted",ISNUMBER(V1385)),IF(V1385&gt;CFG_MAXD,1,0),0)</f>
        <v>0</v>
      </c>
    </row>
    <row r="1386">
      <c r="A1386" s="71" t="str">
        <f>IF(Y1386=1,ROW()-5,"")</f>
        <v/>
      </c>
      <c r="B1386" s="72" t="n"/>
      <c r="C1386" s="71" t="str">
        <f>IF(ISNUMBER(B1386),CHOOSE(WEEKDAY(B1386,2),"Lun","Mar","Mié","Jue","Vie","Sáb","Dom"),"")</f>
        <v/>
      </c>
      <c r="D1386" s="73" t="n"/>
      <c r="E1386" s="74" t="n"/>
      <c r="F1386" s="74" t="n"/>
      <c r="G1386" s="74" t="n"/>
      <c r="H1386" s="75" t="n"/>
      <c r="I1386" s="75" t="n"/>
      <c r="J1386" s="76" t="n"/>
      <c r="K1386" s="77" t="str">
        <f>IF(AB1386=1,ROUND(AG1386/60,4),"")</f>
        <v/>
      </c>
      <c r="L1386" s="77" t="str">
        <f>IF(BD1386=1,ROUND(AP1386/60,4),"")</f>
        <v/>
      </c>
      <c r="M1386" s="77" t="str">
        <f>IF(BD1386=1,ROUND(AQ1386/60,4),"")</f>
        <v/>
      </c>
      <c r="N1386" s="71" t="str">
        <f>IF(AND(D1386="proMX",AB1386=1),ROUND(AG1386/CFG_BLK,2),"")</f>
        <v/>
      </c>
      <c r="O1386" s="77" t="str">
        <f>IF(D1386="proMX",IF(BD1386=1,ROUND(AG1386/60,4),0),"")</f>
        <v/>
      </c>
      <c r="P1386" s="78" t="str">
        <f>IF(Y1386=0,"",IF(BD1386=1,"OK",IF(D1386="proMX","Revisar bloques: ","Revisar: ")&amp;BC1386))</f>
        <v/>
      </c>
      <c r="Q1386" s="78" t="str">
        <f>IF(NOT(ISNUMBER(B1386)),"",IF(COUNTIFS(FER_F,INT(B1386))&gt;0,"Feriado"&amp;IF(AH1386=1," (laborable)"," (no laborable)"),IF(AH1386=1,"Laborable",IF(WEEKDAY(B1386,2)&gt;5,"Fin de semana","No laborable"))))</f>
        <v/>
      </c>
      <c r="R1386" s="73" t="n"/>
      <c r="S1386" s="72" t="n"/>
      <c r="T1386" s="72" t="n"/>
      <c r="U1386" s="74" t="n"/>
      <c r="V1386" s="79" t="str">
        <f>IF(AND(D1386="proMX",OR(R1386="Submitted",R1386="Recall Requested"),ISNUMBER(S1386)),CFG_TODAY-INT(S1386),"")</f>
        <v/>
      </c>
      <c r="W1386" s="78" t="str">
        <f>IF(BD1386=0,"",IF(BA1386&gt;0,"⚠ Se superpone con un registro de la otra empresa",IF(D1386="Malcolm",IF(COUNTA(R1386,S1386,T1386)&gt;0,"Estado/fechas proMX se ignoran en Malcolm",""),IF(BF1386="Cancelled","Cancelado: excluido de totales",IF(R1386="","Sin estado: se trata como Draft",IF(BF1386="Submitted",IF(ISNUMBER(V1386),IF(V1386&gt;CFG_MAXD,"⚠ "&amp;V1386&amp;" días en Submitted (máx. "&amp;CFG_MAXD&amp;")",""),"Falta fecha de envío"),IF(BF1386="Returned","⚠ Devuelto: corregir y reenviar",IF(BF1386="Recall Requested","Retirada solicitada: pendiente",IF(AND(BF1386="Approved",NOT(ISNUMBER(T1386))),"Falta fecha de aprobación",IF(AND(ISNUMBER(S1386),ISNUMBER(T1386),T1386&lt;S1386),"Aprobación anterior al envío","")))))))))</f>
        <v/>
      </c>
      <c r="Y1386" s="80">
        <f>IF(COUNTA(B1386,D1386,E1386,F1386,G1386,H1386,I1386,J1386,R1386,S1386,T1386)&gt;0,1,0)</f>
        <v>0</v>
      </c>
      <c r="Z1386" s="80" t="str">
        <f>IF(AND(ISNUMBER(H1386),H1386&gt;=0,H1386&lt;1),ROUND(H1386*1440,0),"")</f>
        <v/>
      </c>
      <c r="AA1386" s="80" t="str">
        <f>IF(AND(ISNUMBER(I1386),I1386&gt;=0,I1386&lt;1),ROUND(I1386*1440,0),"")</f>
        <v/>
      </c>
      <c r="AB1386" s="80">
        <f>IF(AND(ISNUMBER(B1386),D1386&lt;&gt;"",ISNUMBER(Z1386),ISNUMBER(AA1386)),IF(Z1386=AA1386,0,1),0)</f>
        <v>0</v>
      </c>
      <c r="AC1386" s="80">
        <f>IF(AB1386=1,IF(AA1386&lt;Z1386,1,0),0)</f>
        <v>0</v>
      </c>
      <c r="AD1386" s="80">
        <f>IF(AB1386=1,IF(AC1386=1,1440-Z1386+AA1386,AA1386-Z1386),0)</f>
        <v>0</v>
      </c>
      <c r="AE1386" s="80">
        <f>IF(J1386="",0,IF(ISNUMBER(J1386),J1386,-1))</f>
        <v>0</v>
      </c>
      <c r="AF1386" s="80">
        <f>MIN(MAX(0,AE1386),AD1386)</f>
        <v>0</v>
      </c>
      <c r="AG1386" s="80">
        <f>MAX(0,AD1386-MAX(0,AE1386))</f>
        <v>0</v>
      </c>
      <c r="AH1386" s="80">
        <f>IF(ISNUMBER(B1386),IF(AND(INDEX(CFG_WDAYS,WEEKDAY(INT(B1386),2))="Sí",IF(D1386="proMX",COUNTIFS(FER_F,INT(B1386),FER_NLP,"Sí"),COUNTIFS(FER_F,INT(B1386),FER_NLM,"Sí"))=0),1,0),0)</f>
        <v>0</v>
      </c>
      <c r="AI1386" s="80">
        <f>IF(AC1386=1,IF(AND(INDEX(CFG_WDAYS,WEEKDAY(INT(B1386)+1,2))="Sí",IF(D1386="proMX",COUNTIFS(FER_F,INT(B1386)+1,FER_NLP,"Sí"),COUNTIFS(FER_F,INT(B1386)+1,FER_NLM,"Sí"))=0),1,0),0)</f>
        <v>0</v>
      </c>
      <c r="AJ1386" s="80">
        <f>IF(AC1386=1,1440-Z1386,AD1386)</f>
        <v>0</v>
      </c>
      <c r="AK1386" s="80">
        <f>IF(AND(AB1386=1,AH1386=1),MAX(0,MIN(IF(AC1386=1,1440,AA1386),CFG_WEM)-MAX(Z1386,CFG_WSM)),0)</f>
        <v>0</v>
      </c>
      <c r="AL1386" s="80">
        <f>IF(AND(AC1386=1,AI1386=1),MAX(0,MIN(AA1386,CFG_WEM)-CFG_WSM),0)</f>
        <v>0</v>
      </c>
      <c r="AM1386" s="80">
        <f>AK1386+AL1386</f>
        <v>0</v>
      </c>
      <c r="AN1386" s="80">
        <f>IF(CFG_BRK="Proporcional",IF(AD1386=0,0,AF1386*AM1386/AD1386),IF(CFG_BRK="Extras primero",MIN(AM1386,MAX(0,AF1386-(AD1386-AM1386))),MIN(AF1386,AM1386)))</f>
        <v>0</v>
      </c>
      <c r="AO1386" s="80">
        <f>AF1386-AN1386</f>
        <v>0</v>
      </c>
      <c r="AP1386" s="80">
        <f>AM1386-AN1386</f>
        <v>0</v>
      </c>
      <c r="AQ1386" s="80">
        <f>AD1386-AM1386-AO1386</f>
        <v>0</v>
      </c>
      <c r="AR1386" s="80">
        <f>IF(AM1386=0,0,AK1386-AN1386*AK1386/AM1386)</f>
        <v>0</v>
      </c>
      <c r="AS1386" s="80">
        <f>IF(AD1386-AM1386=0,0,(AJ1386-AK1386)-AO1386*(AJ1386-AK1386)/(AD1386-AM1386))</f>
        <v>0</v>
      </c>
      <c r="AT1386" s="80" t="str">
        <f>IF(AC1386=1,INT(B1386)+1,"")</f>
        <v/>
      </c>
      <c r="AU1386" s="80">
        <f>IF(AND(D1386="proMX",R1386="Cancelled"),0,1)</f>
        <v>1</v>
      </c>
      <c r="AV1386" s="80">
        <f>IF(AND(AB1386=1,AU1386=1),IF(COUNTIFS($D$5:D1385,D1386,$B$5:B1385,B1386,$Z$5:Z1385,Z1386,$AA$5:AA1385,AA1386,$F$5:F1385,F1386&amp;"",$AU$5:AU1385,1)&gt;0,1,0),0)</f>
        <v>0</v>
      </c>
      <c r="AW1386" s="80" t="str">
        <f>IF(AB1386=1,INT(B1386)*1440+Z1386,"")</f>
        <v/>
      </c>
      <c r="AX1386" s="80" t="str">
        <f>IF(AB1386=1,AW1386+AD1386,"")</f>
        <v/>
      </c>
      <c r="AY1386" s="80">
        <f>IF(AND(AB1386=1,AV1386=0,AU1386=1),1,0)</f>
        <v>0</v>
      </c>
      <c r="AZ1386" s="80">
        <f>IF(AY1386=1,COUNTIFS(R_Emp,D1386,R_SAbs,"&lt;"&amp;AX1386,R_EAbs,"&gt;"&amp;AW1386,R_OKey,1)-1,0)</f>
        <v>0</v>
      </c>
      <c r="BA1386" s="80">
        <f>IF(AY1386=1,COUNTIFS(R_Emp,"&lt;&gt;"&amp;D1386,R_SAbs,"&lt;"&amp;AX1386,R_EAbs,"&gt;"&amp;AW1386,R_OKey,1),0)</f>
        <v>0</v>
      </c>
      <c r="BB1386" s="80">
        <f>IF(AND(AB1386=1,D1386="proMX"),IF(AND(MOD(Z1386,CFG_BLK)=0,MOD(AA1386,CFG_BLK)=0,MOD(AG1386,CFG_BLK)=0,AG1386&gt;0),1,0),1)</f>
        <v>1</v>
      </c>
      <c r="BC1386" s="80" t="str">
        <f>IF(Y1386=0,"",IF(NOT(ISNUMBER(B1386)),"Falta fecha o fecha inválida",IF(D1386="","Falta empresa",IF(AND(D1386&lt;&gt;"Malcolm",D1386&lt;&gt;"proMX"),"Empresa inválida",IF(OR(INT(B1386)&lt;CFG_PSTART,INT(B1386)&gt;CFG_PEND),"Fecha fuera del período",IF(OR(NOT(ISNUMBER(Z1386)),NOT(ISNUMBER(AA1386))),"Falta hora inicio/fin o formato inválido",IF(AB1386=0,"Hora inicio = hora fin",IF(AE1386&lt;0,"Descanso inválido",IF(AE1386&gt;=AD1386,"Descanso ≥ duración",IF(AV1386=1,"Registro duplicado",IF(AZ1386&gt;0,"Se superpone con otro registro "&amp;D1386,IF(BB1386=0,"inicio, fin y duración neta deben ser múltiplos de "&amp;CFG_BLK&amp;" min",""))))))))))))</f>
        <v/>
      </c>
      <c r="BD1386" s="80">
        <f>IF(AND(Y1386=1,BC1386=""),1,0)</f>
        <v>0</v>
      </c>
      <c r="BE1386" s="80">
        <f>IF(AND(BD1386=1,AU1386=1),1,0)</f>
        <v>0</v>
      </c>
      <c r="BF1386" s="80" t="str">
        <f>IF(AND(D1386="proMX",BD1386=1),IF(R1386="","Draft",R1386),"")</f>
        <v/>
      </c>
      <c r="BG1386" s="80">
        <f>IF(BD1386=1,ROUND(AG1386/60,6),0)</f>
        <v>0</v>
      </c>
      <c r="BH1386" s="80">
        <f>IF(BE1386=1,ROUND(AG1386/60,6),0)</f>
        <v>0</v>
      </c>
      <c r="BI1386" s="80">
        <f>IF(BE1386=1,ROUND(AP1386/60,6),0)</f>
        <v>0</v>
      </c>
      <c r="BJ1386" s="80">
        <f>IF(BE1386=1,ROUND(AQ1386/60,6),0)</f>
        <v>0</v>
      </c>
      <c r="BK1386" s="80">
        <f>IF(BE1386=1,ROUND((AR1386+AS1386)/60,6),0)</f>
        <v>0</v>
      </c>
      <c r="BL1386" s="80">
        <f>ROUND(BH1386-BK1386,6)</f>
        <v>0</v>
      </c>
      <c r="BM1386" s="80">
        <f>IF(BE1386=1,ROUND(AR1386/60,6),0)</f>
        <v>0</v>
      </c>
      <c r="BN1386" s="80">
        <f>ROUND(BI1386-BM1386,6)</f>
        <v>0</v>
      </c>
      <c r="BO1386" s="80">
        <f>IF(BE1386=1,ROUND(AS1386/60,6),0)</f>
        <v>0</v>
      </c>
      <c r="BP1386" s="80">
        <f>ROUND(BJ1386-BO1386,6)</f>
        <v>0</v>
      </c>
      <c r="BQ1386" s="80">
        <f>IF(BE1386=1,AW1386,0)</f>
        <v>0</v>
      </c>
      <c r="BR1386" s="80">
        <f>IF(BE1386=1,AX1386,0)</f>
        <v>0</v>
      </c>
      <c r="BS1386" s="80">
        <f>IF(AND(BE1386=1,D1386="Malcolm",BA1386&gt;0),MIN(BH1386,SUMPRODUCT((R_Emp="proMX")*(R_EN&gt;0)*((R_EN-(R_EN&gt;BR1386)*(R_EN-BR1386))&gt;(R_SN+(R_SN&lt;BQ1386)*(BQ1386-R_SN)))*((R_EN-(R_EN&gt;BR1386)*(R_EN-BR1386))-(R_SN+(R_SN&lt;BQ1386)*(BQ1386-R_SN))))/60),0)</f>
        <v>0</v>
      </c>
      <c r="BT1386" s="80">
        <f>IF(AND(BE1386=1,D1386="proMX"),ROUND(BI1386*CFG_RATE+BJ1386*CFG_OTRATE,6),0)</f>
        <v>0</v>
      </c>
      <c r="BU1386" s="80">
        <f>IF(AND(BD1386=1,D1386="proMX"),ROUND(AG1386/CFG_BLK,6),0)</f>
        <v>0</v>
      </c>
      <c r="BV1386" s="80" t="str">
        <f>IF(BF1386="Approved",IF(ISNUMBER(T1386),INT(T1386),INT(B1386)),"")</f>
        <v/>
      </c>
      <c r="BW1386" s="80">
        <f>IF(ISNUMBER(B1386),IF(DB_MON="Todos",1,IF(AND(INT(B1386)&gt;=DB_MS,INT(B1386)&lt;=DB_ME),1,0)),0)</f>
        <v>0</v>
      </c>
      <c r="BX1386" s="80">
        <f>IF(DB_PROJ="Todos",1,IF(E1386&amp;""=DB_PROJ&amp;"",1,0))</f>
        <v>1</v>
      </c>
      <c r="BY1386" s="80">
        <f>BW1386*BX1386</f>
        <v>0</v>
      </c>
      <c r="BZ1386" s="80" t="str">
        <f>IF(Y1386=1,F1386&amp;IF(AND(F1386&amp;""&lt;&gt;"",E1386&amp;""&lt;&gt;"")," · ","")&amp;E1386,"")</f>
        <v/>
      </c>
      <c r="CA1386" s="80" t="str">
        <f>IF(AND(BD1386=1,E1386&amp;""&lt;&gt;""),IF(COUNTIFS($E$5:E1385,E1386,$BD$5:BD1385,1)=0,MAX($CA$5:CA1385)+1,""),"")</f>
        <v/>
      </c>
      <c r="CB1386" s="80" t="str">
        <f>IF(AND(BE1386=1,D1386="Malcolm",E1386&amp;""&lt;&gt;""),IF(COUNTIFS($D$5:D1385,"Malcolm",$E$5:E1385,E1386,$BE$5:BE1385,1)=0,MAX($CB$5:CB1385)+1,""),"")</f>
        <v/>
      </c>
      <c r="CC1386" s="80" t="str">
        <f>IF(AND(BD1386=1,D1386="proMX",E1386&amp;""&lt;&gt;""),IF(COUNTIFS($D$5:D1385,"proMX",$E$5:E1385,E1386,$BD$5:BD1385,1)=0,MAX($CC$5:CC1385)+1,""),"")</f>
        <v/>
      </c>
      <c r="CD1386" s="80" t="str">
        <f>IF(AND(BE1386=1,D1386="Malcolm",F1386&amp;""&lt;&gt;""),IF(COUNTIFS($D$5:D1385,"Malcolm",$F$5:F1385,F1386,$BE$5:BE1385,1)=0,MAX($CD$5:CD1385)+1,""),"")</f>
        <v/>
      </c>
      <c r="CE1386" s="80" t="str">
        <f>IF(AND(BD1386=1,D1386="proMX",F1386&amp;""&lt;&gt;""),IF(COUNTIFS($D$5:D1385,"proMX",$F$5:F1385,F1386,$BD$5:BD1385,1)=0,MAX($CE$5:CE1385)+1,""),"")</f>
        <v/>
      </c>
      <c r="CF1386" s="80" t="str">
        <f>IF(AND(D1386="proMX",BD1386=1),IF(OR(BF1386="Draft",BF1386="Submitted",BF1386="Returned",BF1386="Recall Requested"),MAX($CF$5:CF1385)+1,""),"")</f>
        <v/>
      </c>
      <c r="CG1386" s="80">
        <f>IF(BD1386=0,0,IF(D1386="Malcolm",1,MATCH(BF1386,{"Draft","Submitted","Approved","Returned","Recall Requested","Cancelled"},0)+1))</f>
        <v>0</v>
      </c>
      <c r="CH1386" s="80">
        <f>IF(AND(BF1386="Submitted",ISNUMBER(V1386)),IF(V1386&gt;CFG_MAXD,1,0),0)</f>
        <v>0</v>
      </c>
    </row>
    <row r="1387">
      <c r="A1387" s="71" t="str">
        <f>IF(Y1387=1,ROW()-5,"")</f>
        <v/>
      </c>
      <c r="B1387" s="72" t="n"/>
      <c r="C1387" s="71" t="str">
        <f>IF(ISNUMBER(B1387),CHOOSE(WEEKDAY(B1387,2),"Lun","Mar","Mié","Jue","Vie","Sáb","Dom"),"")</f>
        <v/>
      </c>
      <c r="D1387" s="73" t="n"/>
      <c r="E1387" s="74" t="n"/>
      <c r="F1387" s="74" t="n"/>
      <c r="G1387" s="74" t="n"/>
      <c r="H1387" s="75" t="n"/>
      <c r="I1387" s="75" t="n"/>
      <c r="J1387" s="76" t="n"/>
      <c r="K1387" s="77" t="str">
        <f>IF(AB1387=1,ROUND(AG1387/60,4),"")</f>
        <v/>
      </c>
      <c r="L1387" s="77" t="str">
        <f>IF(BD1387=1,ROUND(AP1387/60,4),"")</f>
        <v/>
      </c>
      <c r="M1387" s="77" t="str">
        <f>IF(BD1387=1,ROUND(AQ1387/60,4),"")</f>
        <v/>
      </c>
      <c r="N1387" s="71" t="str">
        <f>IF(AND(D1387="proMX",AB1387=1),ROUND(AG1387/CFG_BLK,2),"")</f>
        <v/>
      </c>
      <c r="O1387" s="77" t="str">
        <f>IF(D1387="proMX",IF(BD1387=1,ROUND(AG1387/60,4),0),"")</f>
        <v/>
      </c>
      <c r="P1387" s="78" t="str">
        <f>IF(Y1387=0,"",IF(BD1387=1,"OK",IF(D1387="proMX","Revisar bloques: ","Revisar: ")&amp;BC1387))</f>
        <v/>
      </c>
      <c r="Q1387" s="78" t="str">
        <f>IF(NOT(ISNUMBER(B1387)),"",IF(COUNTIFS(FER_F,INT(B1387))&gt;0,"Feriado"&amp;IF(AH1387=1," (laborable)"," (no laborable)"),IF(AH1387=1,"Laborable",IF(WEEKDAY(B1387,2)&gt;5,"Fin de semana","No laborable"))))</f>
        <v/>
      </c>
      <c r="R1387" s="73" t="n"/>
      <c r="S1387" s="72" t="n"/>
      <c r="T1387" s="72" t="n"/>
      <c r="U1387" s="74" t="n"/>
      <c r="V1387" s="79" t="str">
        <f>IF(AND(D1387="proMX",OR(R1387="Submitted",R1387="Recall Requested"),ISNUMBER(S1387)),CFG_TODAY-INT(S1387),"")</f>
        <v/>
      </c>
      <c r="W1387" s="78" t="str">
        <f>IF(BD1387=0,"",IF(BA1387&gt;0,"⚠ Se superpone con un registro de la otra empresa",IF(D1387="Malcolm",IF(COUNTA(R1387,S1387,T1387)&gt;0,"Estado/fechas proMX se ignoran en Malcolm",""),IF(BF1387="Cancelled","Cancelado: excluido de totales",IF(R1387="","Sin estado: se trata como Draft",IF(BF1387="Submitted",IF(ISNUMBER(V1387),IF(V1387&gt;CFG_MAXD,"⚠ "&amp;V1387&amp;" días en Submitted (máx. "&amp;CFG_MAXD&amp;")",""),"Falta fecha de envío"),IF(BF1387="Returned","⚠ Devuelto: corregir y reenviar",IF(BF1387="Recall Requested","Retirada solicitada: pendiente",IF(AND(BF1387="Approved",NOT(ISNUMBER(T1387))),"Falta fecha de aprobación",IF(AND(ISNUMBER(S1387),ISNUMBER(T1387),T1387&lt;S1387),"Aprobación anterior al envío","")))))))))</f>
        <v/>
      </c>
      <c r="Y1387" s="80">
        <f>IF(COUNTA(B1387,D1387,E1387,F1387,G1387,H1387,I1387,J1387,R1387,S1387,T1387)&gt;0,1,0)</f>
        <v>0</v>
      </c>
      <c r="Z1387" s="80" t="str">
        <f>IF(AND(ISNUMBER(H1387),H1387&gt;=0,H1387&lt;1),ROUND(H1387*1440,0),"")</f>
        <v/>
      </c>
      <c r="AA1387" s="80" t="str">
        <f>IF(AND(ISNUMBER(I1387),I1387&gt;=0,I1387&lt;1),ROUND(I1387*1440,0),"")</f>
        <v/>
      </c>
      <c r="AB1387" s="80">
        <f>IF(AND(ISNUMBER(B1387),D1387&lt;&gt;"",ISNUMBER(Z1387),ISNUMBER(AA1387)),IF(Z1387=AA1387,0,1),0)</f>
        <v>0</v>
      </c>
      <c r="AC1387" s="80">
        <f>IF(AB1387=1,IF(AA1387&lt;Z1387,1,0),0)</f>
        <v>0</v>
      </c>
      <c r="AD1387" s="80">
        <f>IF(AB1387=1,IF(AC1387=1,1440-Z1387+AA1387,AA1387-Z1387),0)</f>
        <v>0</v>
      </c>
      <c r="AE1387" s="80">
        <f>IF(J1387="",0,IF(ISNUMBER(J1387),J1387,-1))</f>
        <v>0</v>
      </c>
      <c r="AF1387" s="80">
        <f>MIN(MAX(0,AE1387),AD1387)</f>
        <v>0</v>
      </c>
      <c r="AG1387" s="80">
        <f>MAX(0,AD1387-MAX(0,AE1387))</f>
        <v>0</v>
      </c>
      <c r="AH1387" s="80">
        <f>IF(ISNUMBER(B1387),IF(AND(INDEX(CFG_WDAYS,WEEKDAY(INT(B1387),2))="Sí",IF(D1387="proMX",COUNTIFS(FER_F,INT(B1387),FER_NLP,"Sí"),COUNTIFS(FER_F,INT(B1387),FER_NLM,"Sí"))=0),1,0),0)</f>
        <v>0</v>
      </c>
      <c r="AI1387" s="80">
        <f>IF(AC1387=1,IF(AND(INDEX(CFG_WDAYS,WEEKDAY(INT(B1387)+1,2))="Sí",IF(D1387="proMX",COUNTIFS(FER_F,INT(B1387)+1,FER_NLP,"Sí"),COUNTIFS(FER_F,INT(B1387)+1,FER_NLM,"Sí"))=0),1,0),0)</f>
        <v>0</v>
      </c>
      <c r="AJ1387" s="80">
        <f>IF(AC1387=1,1440-Z1387,AD1387)</f>
        <v>0</v>
      </c>
      <c r="AK1387" s="80">
        <f>IF(AND(AB1387=1,AH1387=1),MAX(0,MIN(IF(AC1387=1,1440,AA1387),CFG_WEM)-MAX(Z1387,CFG_WSM)),0)</f>
        <v>0</v>
      </c>
      <c r="AL1387" s="80">
        <f>IF(AND(AC1387=1,AI1387=1),MAX(0,MIN(AA1387,CFG_WEM)-CFG_WSM),0)</f>
        <v>0</v>
      </c>
      <c r="AM1387" s="80">
        <f>AK1387+AL1387</f>
        <v>0</v>
      </c>
      <c r="AN1387" s="80">
        <f>IF(CFG_BRK="Proporcional",IF(AD1387=0,0,AF1387*AM1387/AD1387),IF(CFG_BRK="Extras primero",MIN(AM1387,MAX(0,AF1387-(AD1387-AM1387))),MIN(AF1387,AM1387)))</f>
        <v>0</v>
      </c>
      <c r="AO1387" s="80">
        <f>AF1387-AN1387</f>
        <v>0</v>
      </c>
      <c r="AP1387" s="80">
        <f>AM1387-AN1387</f>
        <v>0</v>
      </c>
      <c r="AQ1387" s="80">
        <f>AD1387-AM1387-AO1387</f>
        <v>0</v>
      </c>
      <c r="AR1387" s="80">
        <f>IF(AM1387=0,0,AK1387-AN1387*AK1387/AM1387)</f>
        <v>0</v>
      </c>
      <c r="AS1387" s="80">
        <f>IF(AD1387-AM1387=0,0,(AJ1387-AK1387)-AO1387*(AJ1387-AK1387)/(AD1387-AM1387))</f>
        <v>0</v>
      </c>
      <c r="AT1387" s="80" t="str">
        <f>IF(AC1387=1,INT(B1387)+1,"")</f>
        <v/>
      </c>
      <c r="AU1387" s="80">
        <f>IF(AND(D1387="proMX",R1387="Cancelled"),0,1)</f>
        <v>1</v>
      </c>
      <c r="AV1387" s="80">
        <f>IF(AND(AB1387=1,AU1387=1),IF(COUNTIFS($D$5:D1386,D1387,$B$5:B1386,B1387,$Z$5:Z1386,Z1387,$AA$5:AA1386,AA1387,$F$5:F1386,F1387&amp;"",$AU$5:AU1386,1)&gt;0,1,0),0)</f>
        <v>0</v>
      </c>
      <c r="AW1387" s="80" t="str">
        <f>IF(AB1387=1,INT(B1387)*1440+Z1387,"")</f>
        <v/>
      </c>
      <c r="AX1387" s="80" t="str">
        <f>IF(AB1387=1,AW1387+AD1387,"")</f>
        <v/>
      </c>
      <c r="AY1387" s="80">
        <f>IF(AND(AB1387=1,AV1387=0,AU1387=1),1,0)</f>
        <v>0</v>
      </c>
      <c r="AZ1387" s="80">
        <f>IF(AY1387=1,COUNTIFS(R_Emp,D1387,R_SAbs,"&lt;"&amp;AX1387,R_EAbs,"&gt;"&amp;AW1387,R_OKey,1)-1,0)</f>
        <v>0</v>
      </c>
      <c r="BA1387" s="80">
        <f>IF(AY1387=1,COUNTIFS(R_Emp,"&lt;&gt;"&amp;D1387,R_SAbs,"&lt;"&amp;AX1387,R_EAbs,"&gt;"&amp;AW1387,R_OKey,1),0)</f>
        <v>0</v>
      </c>
      <c r="BB1387" s="80">
        <f>IF(AND(AB1387=1,D1387="proMX"),IF(AND(MOD(Z1387,CFG_BLK)=0,MOD(AA1387,CFG_BLK)=0,MOD(AG1387,CFG_BLK)=0,AG1387&gt;0),1,0),1)</f>
        <v>1</v>
      </c>
      <c r="BC1387" s="80" t="str">
        <f>IF(Y1387=0,"",IF(NOT(ISNUMBER(B1387)),"Falta fecha o fecha inválida",IF(D1387="","Falta empresa",IF(AND(D1387&lt;&gt;"Malcolm",D1387&lt;&gt;"proMX"),"Empresa inválida",IF(OR(INT(B1387)&lt;CFG_PSTART,INT(B1387)&gt;CFG_PEND),"Fecha fuera del período",IF(OR(NOT(ISNUMBER(Z1387)),NOT(ISNUMBER(AA1387))),"Falta hora inicio/fin o formato inválido",IF(AB1387=0,"Hora inicio = hora fin",IF(AE1387&lt;0,"Descanso inválido",IF(AE1387&gt;=AD1387,"Descanso ≥ duración",IF(AV1387=1,"Registro duplicado",IF(AZ1387&gt;0,"Se superpone con otro registro "&amp;D1387,IF(BB1387=0,"inicio, fin y duración neta deben ser múltiplos de "&amp;CFG_BLK&amp;" min",""))))))))))))</f>
        <v/>
      </c>
      <c r="BD1387" s="80">
        <f>IF(AND(Y1387=1,BC1387=""),1,0)</f>
        <v>0</v>
      </c>
      <c r="BE1387" s="80">
        <f>IF(AND(BD1387=1,AU1387=1),1,0)</f>
        <v>0</v>
      </c>
      <c r="BF1387" s="80" t="str">
        <f>IF(AND(D1387="proMX",BD1387=1),IF(R1387="","Draft",R1387),"")</f>
        <v/>
      </c>
      <c r="BG1387" s="80">
        <f>IF(BD1387=1,ROUND(AG1387/60,6),0)</f>
        <v>0</v>
      </c>
      <c r="BH1387" s="80">
        <f>IF(BE1387=1,ROUND(AG1387/60,6),0)</f>
        <v>0</v>
      </c>
      <c r="BI1387" s="80">
        <f>IF(BE1387=1,ROUND(AP1387/60,6),0)</f>
        <v>0</v>
      </c>
      <c r="BJ1387" s="80">
        <f>IF(BE1387=1,ROUND(AQ1387/60,6),0)</f>
        <v>0</v>
      </c>
      <c r="BK1387" s="80">
        <f>IF(BE1387=1,ROUND((AR1387+AS1387)/60,6),0)</f>
        <v>0</v>
      </c>
      <c r="BL1387" s="80">
        <f>ROUND(BH1387-BK1387,6)</f>
        <v>0</v>
      </c>
      <c r="BM1387" s="80">
        <f>IF(BE1387=1,ROUND(AR1387/60,6),0)</f>
        <v>0</v>
      </c>
      <c r="BN1387" s="80">
        <f>ROUND(BI1387-BM1387,6)</f>
        <v>0</v>
      </c>
      <c r="BO1387" s="80">
        <f>IF(BE1387=1,ROUND(AS1387/60,6),0)</f>
        <v>0</v>
      </c>
      <c r="BP1387" s="80">
        <f>ROUND(BJ1387-BO1387,6)</f>
        <v>0</v>
      </c>
      <c r="BQ1387" s="80">
        <f>IF(BE1387=1,AW1387,0)</f>
        <v>0</v>
      </c>
      <c r="BR1387" s="80">
        <f>IF(BE1387=1,AX1387,0)</f>
        <v>0</v>
      </c>
      <c r="BS1387" s="80">
        <f>IF(AND(BE1387=1,D1387="Malcolm",BA1387&gt;0),MIN(BH1387,SUMPRODUCT((R_Emp="proMX")*(R_EN&gt;0)*((R_EN-(R_EN&gt;BR1387)*(R_EN-BR1387))&gt;(R_SN+(R_SN&lt;BQ1387)*(BQ1387-R_SN)))*((R_EN-(R_EN&gt;BR1387)*(R_EN-BR1387))-(R_SN+(R_SN&lt;BQ1387)*(BQ1387-R_SN))))/60),0)</f>
        <v>0</v>
      </c>
      <c r="BT1387" s="80">
        <f>IF(AND(BE1387=1,D1387="proMX"),ROUND(BI1387*CFG_RATE+BJ1387*CFG_OTRATE,6),0)</f>
        <v>0</v>
      </c>
      <c r="BU1387" s="80">
        <f>IF(AND(BD1387=1,D1387="proMX"),ROUND(AG1387/CFG_BLK,6),0)</f>
        <v>0</v>
      </c>
      <c r="BV1387" s="80" t="str">
        <f>IF(BF1387="Approved",IF(ISNUMBER(T1387),INT(T1387),INT(B1387)),"")</f>
        <v/>
      </c>
      <c r="BW1387" s="80">
        <f>IF(ISNUMBER(B1387),IF(DB_MON="Todos",1,IF(AND(INT(B1387)&gt;=DB_MS,INT(B1387)&lt;=DB_ME),1,0)),0)</f>
        <v>0</v>
      </c>
      <c r="BX1387" s="80">
        <f>IF(DB_PROJ="Todos",1,IF(E1387&amp;""=DB_PROJ&amp;"",1,0))</f>
        <v>1</v>
      </c>
      <c r="BY1387" s="80">
        <f>BW1387*BX1387</f>
        <v>0</v>
      </c>
      <c r="BZ1387" s="80" t="str">
        <f>IF(Y1387=1,F1387&amp;IF(AND(F1387&amp;""&lt;&gt;"",E1387&amp;""&lt;&gt;"")," · ","")&amp;E1387,"")</f>
        <v/>
      </c>
      <c r="CA1387" s="80" t="str">
        <f>IF(AND(BD1387=1,E1387&amp;""&lt;&gt;""),IF(COUNTIFS($E$5:E1386,E1387,$BD$5:BD1386,1)=0,MAX($CA$5:CA1386)+1,""),"")</f>
        <v/>
      </c>
      <c r="CB1387" s="80" t="str">
        <f>IF(AND(BE1387=1,D1387="Malcolm",E1387&amp;""&lt;&gt;""),IF(COUNTIFS($D$5:D1386,"Malcolm",$E$5:E1386,E1387,$BE$5:BE1386,1)=0,MAX($CB$5:CB1386)+1,""),"")</f>
        <v/>
      </c>
      <c r="CC1387" s="80" t="str">
        <f>IF(AND(BD1387=1,D1387="proMX",E1387&amp;""&lt;&gt;""),IF(COUNTIFS($D$5:D1386,"proMX",$E$5:E1386,E1387,$BD$5:BD1386,1)=0,MAX($CC$5:CC1386)+1,""),"")</f>
        <v/>
      </c>
      <c r="CD1387" s="80" t="str">
        <f>IF(AND(BE1387=1,D1387="Malcolm",F1387&amp;""&lt;&gt;""),IF(COUNTIFS($D$5:D1386,"Malcolm",$F$5:F1386,F1387,$BE$5:BE1386,1)=0,MAX($CD$5:CD1386)+1,""),"")</f>
        <v/>
      </c>
      <c r="CE1387" s="80" t="str">
        <f>IF(AND(BD1387=1,D1387="proMX",F1387&amp;""&lt;&gt;""),IF(COUNTIFS($D$5:D1386,"proMX",$F$5:F1386,F1387,$BD$5:BD1386,1)=0,MAX($CE$5:CE1386)+1,""),"")</f>
        <v/>
      </c>
      <c r="CF1387" s="80" t="str">
        <f>IF(AND(D1387="proMX",BD1387=1),IF(OR(BF1387="Draft",BF1387="Submitted",BF1387="Returned",BF1387="Recall Requested"),MAX($CF$5:CF1386)+1,""),"")</f>
        <v/>
      </c>
      <c r="CG1387" s="80">
        <f>IF(BD1387=0,0,IF(D1387="Malcolm",1,MATCH(BF1387,{"Draft","Submitted","Approved","Returned","Recall Requested","Cancelled"},0)+1))</f>
        <v>0</v>
      </c>
      <c r="CH1387" s="80">
        <f>IF(AND(BF1387="Submitted",ISNUMBER(V1387)),IF(V1387&gt;CFG_MAXD,1,0),0)</f>
        <v>0</v>
      </c>
    </row>
    <row r="1388">
      <c r="A1388" s="71" t="str">
        <f>IF(Y1388=1,ROW()-5,"")</f>
        <v/>
      </c>
      <c r="B1388" s="72" t="n"/>
      <c r="C1388" s="71" t="str">
        <f>IF(ISNUMBER(B1388),CHOOSE(WEEKDAY(B1388,2),"Lun","Mar","Mié","Jue","Vie","Sáb","Dom"),"")</f>
        <v/>
      </c>
      <c r="D1388" s="73" t="n"/>
      <c r="E1388" s="74" t="n"/>
      <c r="F1388" s="74" t="n"/>
      <c r="G1388" s="74" t="n"/>
      <c r="H1388" s="75" t="n"/>
      <c r="I1388" s="75" t="n"/>
      <c r="J1388" s="76" t="n"/>
      <c r="K1388" s="77" t="str">
        <f>IF(AB1388=1,ROUND(AG1388/60,4),"")</f>
        <v/>
      </c>
      <c r="L1388" s="77" t="str">
        <f>IF(BD1388=1,ROUND(AP1388/60,4),"")</f>
        <v/>
      </c>
      <c r="M1388" s="77" t="str">
        <f>IF(BD1388=1,ROUND(AQ1388/60,4),"")</f>
        <v/>
      </c>
      <c r="N1388" s="71" t="str">
        <f>IF(AND(D1388="proMX",AB1388=1),ROUND(AG1388/CFG_BLK,2),"")</f>
        <v/>
      </c>
      <c r="O1388" s="77" t="str">
        <f>IF(D1388="proMX",IF(BD1388=1,ROUND(AG1388/60,4),0),"")</f>
        <v/>
      </c>
      <c r="P1388" s="78" t="str">
        <f>IF(Y1388=0,"",IF(BD1388=1,"OK",IF(D1388="proMX","Revisar bloques: ","Revisar: ")&amp;BC1388))</f>
        <v/>
      </c>
      <c r="Q1388" s="78" t="str">
        <f>IF(NOT(ISNUMBER(B1388)),"",IF(COUNTIFS(FER_F,INT(B1388))&gt;0,"Feriado"&amp;IF(AH1388=1," (laborable)"," (no laborable)"),IF(AH1388=1,"Laborable",IF(WEEKDAY(B1388,2)&gt;5,"Fin de semana","No laborable"))))</f>
        <v/>
      </c>
      <c r="R1388" s="73" t="n"/>
      <c r="S1388" s="72" t="n"/>
      <c r="T1388" s="72" t="n"/>
      <c r="U1388" s="74" t="n"/>
      <c r="V1388" s="79" t="str">
        <f>IF(AND(D1388="proMX",OR(R1388="Submitted",R1388="Recall Requested"),ISNUMBER(S1388)),CFG_TODAY-INT(S1388),"")</f>
        <v/>
      </c>
      <c r="W1388" s="78" t="str">
        <f>IF(BD1388=0,"",IF(BA1388&gt;0,"⚠ Se superpone con un registro de la otra empresa",IF(D1388="Malcolm",IF(COUNTA(R1388,S1388,T1388)&gt;0,"Estado/fechas proMX se ignoran en Malcolm",""),IF(BF1388="Cancelled","Cancelado: excluido de totales",IF(R1388="","Sin estado: se trata como Draft",IF(BF1388="Submitted",IF(ISNUMBER(V1388),IF(V1388&gt;CFG_MAXD,"⚠ "&amp;V1388&amp;" días en Submitted (máx. "&amp;CFG_MAXD&amp;")",""),"Falta fecha de envío"),IF(BF1388="Returned","⚠ Devuelto: corregir y reenviar",IF(BF1388="Recall Requested","Retirada solicitada: pendiente",IF(AND(BF1388="Approved",NOT(ISNUMBER(T1388))),"Falta fecha de aprobación",IF(AND(ISNUMBER(S1388),ISNUMBER(T1388),T1388&lt;S1388),"Aprobación anterior al envío","")))))))))</f>
        <v/>
      </c>
      <c r="Y1388" s="80">
        <f>IF(COUNTA(B1388,D1388,E1388,F1388,G1388,H1388,I1388,J1388,R1388,S1388,T1388)&gt;0,1,0)</f>
        <v>0</v>
      </c>
      <c r="Z1388" s="80" t="str">
        <f>IF(AND(ISNUMBER(H1388),H1388&gt;=0,H1388&lt;1),ROUND(H1388*1440,0),"")</f>
        <v/>
      </c>
      <c r="AA1388" s="80" t="str">
        <f>IF(AND(ISNUMBER(I1388),I1388&gt;=0,I1388&lt;1),ROUND(I1388*1440,0),"")</f>
        <v/>
      </c>
      <c r="AB1388" s="80">
        <f>IF(AND(ISNUMBER(B1388),D1388&lt;&gt;"",ISNUMBER(Z1388),ISNUMBER(AA1388)),IF(Z1388=AA1388,0,1),0)</f>
        <v>0</v>
      </c>
      <c r="AC1388" s="80">
        <f>IF(AB1388=1,IF(AA1388&lt;Z1388,1,0),0)</f>
        <v>0</v>
      </c>
      <c r="AD1388" s="80">
        <f>IF(AB1388=1,IF(AC1388=1,1440-Z1388+AA1388,AA1388-Z1388),0)</f>
        <v>0</v>
      </c>
      <c r="AE1388" s="80">
        <f>IF(J1388="",0,IF(ISNUMBER(J1388),J1388,-1))</f>
        <v>0</v>
      </c>
      <c r="AF1388" s="80">
        <f>MIN(MAX(0,AE1388),AD1388)</f>
        <v>0</v>
      </c>
      <c r="AG1388" s="80">
        <f>MAX(0,AD1388-MAX(0,AE1388))</f>
        <v>0</v>
      </c>
      <c r="AH1388" s="80">
        <f>IF(ISNUMBER(B1388),IF(AND(INDEX(CFG_WDAYS,WEEKDAY(INT(B1388),2))="Sí",IF(D1388="proMX",COUNTIFS(FER_F,INT(B1388),FER_NLP,"Sí"),COUNTIFS(FER_F,INT(B1388),FER_NLM,"Sí"))=0),1,0),0)</f>
        <v>0</v>
      </c>
      <c r="AI1388" s="80">
        <f>IF(AC1388=1,IF(AND(INDEX(CFG_WDAYS,WEEKDAY(INT(B1388)+1,2))="Sí",IF(D1388="proMX",COUNTIFS(FER_F,INT(B1388)+1,FER_NLP,"Sí"),COUNTIFS(FER_F,INT(B1388)+1,FER_NLM,"Sí"))=0),1,0),0)</f>
        <v>0</v>
      </c>
      <c r="AJ1388" s="80">
        <f>IF(AC1388=1,1440-Z1388,AD1388)</f>
        <v>0</v>
      </c>
      <c r="AK1388" s="80">
        <f>IF(AND(AB1388=1,AH1388=1),MAX(0,MIN(IF(AC1388=1,1440,AA1388),CFG_WEM)-MAX(Z1388,CFG_WSM)),0)</f>
        <v>0</v>
      </c>
      <c r="AL1388" s="80">
        <f>IF(AND(AC1388=1,AI1388=1),MAX(0,MIN(AA1388,CFG_WEM)-CFG_WSM),0)</f>
        <v>0</v>
      </c>
      <c r="AM1388" s="80">
        <f>AK1388+AL1388</f>
        <v>0</v>
      </c>
      <c r="AN1388" s="80">
        <f>IF(CFG_BRK="Proporcional",IF(AD1388=0,0,AF1388*AM1388/AD1388),IF(CFG_BRK="Extras primero",MIN(AM1388,MAX(0,AF1388-(AD1388-AM1388))),MIN(AF1388,AM1388)))</f>
        <v>0</v>
      </c>
      <c r="AO1388" s="80">
        <f>AF1388-AN1388</f>
        <v>0</v>
      </c>
      <c r="AP1388" s="80">
        <f>AM1388-AN1388</f>
        <v>0</v>
      </c>
      <c r="AQ1388" s="80">
        <f>AD1388-AM1388-AO1388</f>
        <v>0</v>
      </c>
      <c r="AR1388" s="80">
        <f>IF(AM1388=0,0,AK1388-AN1388*AK1388/AM1388)</f>
        <v>0</v>
      </c>
      <c r="AS1388" s="80">
        <f>IF(AD1388-AM1388=0,0,(AJ1388-AK1388)-AO1388*(AJ1388-AK1388)/(AD1388-AM1388))</f>
        <v>0</v>
      </c>
      <c r="AT1388" s="80" t="str">
        <f>IF(AC1388=1,INT(B1388)+1,"")</f>
        <v/>
      </c>
      <c r="AU1388" s="80">
        <f>IF(AND(D1388="proMX",R1388="Cancelled"),0,1)</f>
        <v>1</v>
      </c>
      <c r="AV1388" s="80">
        <f>IF(AND(AB1388=1,AU1388=1),IF(COUNTIFS($D$5:D1387,D1388,$B$5:B1387,B1388,$Z$5:Z1387,Z1388,$AA$5:AA1387,AA1388,$F$5:F1387,F1388&amp;"",$AU$5:AU1387,1)&gt;0,1,0),0)</f>
        <v>0</v>
      </c>
      <c r="AW1388" s="80" t="str">
        <f>IF(AB1388=1,INT(B1388)*1440+Z1388,"")</f>
        <v/>
      </c>
      <c r="AX1388" s="80" t="str">
        <f>IF(AB1388=1,AW1388+AD1388,"")</f>
        <v/>
      </c>
      <c r="AY1388" s="80">
        <f>IF(AND(AB1388=1,AV1388=0,AU1388=1),1,0)</f>
        <v>0</v>
      </c>
      <c r="AZ1388" s="80">
        <f>IF(AY1388=1,COUNTIFS(R_Emp,D1388,R_SAbs,"&lt;"&amp;AX1388,R_EAbs,"&gt;"&amp;AW1388,R_OKey,1)-1,0)</f>
        <v>0</v>
      </c>
      <c r="BA1388" s="80">
        <f>IF(AY1388=1,COUNTIFS(R_Emp,"&lt;&gt;"&amp;D1388,R_SAbs,"&lt;"&amp;AX1388,R_EAbs,"&gt;"&amp;AW1388,R_OKey,1),0)</f>
        <v>0</v>
      </c>
      <c r="BB1388" s="80">
        <f>IF(AND(AB1388=1,D1388="proMX"),IF(AND(MOD(Z1388,CFG_BLK)=0,MOD(AA1388,CFG_BLK)=0,MOD(AG1388,CFG_BLK)=0,AG1388&gt;0),1,0),1)</f>
        <v>1</v>
      </c>
      <c r="BC1388" s="80" t="str">
        <f>IF(Y1388=0,"",IF(NOT(ISNUMBER(B1388)),"Falta fecha o fecha inválida",IF(D1388="","Falta empresa",IF(AND(D1388&lt;&gt;"Malcolm",D1388&lt;&gt;"proMX"),"Empresa inválida",IF(OR(INT(B1388)&lt;CFG_PSTART,INT(B1388)&gt;CFG_PEND),"Fecha fuera del período",IF(OR(NOT(ISNUMBER(Z1388)),NOT(ISNUMBER(AA1388))),"Falta hora inicio/fin o formato inválido",IF(AB1388=0,"Hora inicio = hora fin",IF(AE1388&lt;0,"Descanso inválido",IF(AE1388&gt;=AD1388,"Descanso ≥ duración",IF(AV1388=1,"Registro duplicado",IF(AZ1388&gt;0,"Se superpone con otro registro "&amp;D1388,IF(BB1388=0,"inicio, fin y duración neta deben ser múltiplos de "&amp;CFG_BLK&amp;" min",""))))))))))))</f>
        <v/>
      </c>
      <c r="BD1388" s="80">
        <f>IF(AND(Y1388=1,BC1388=""),1,0)</f>
        <v>0</v>
      </c>
      <c r="BE1388" s="80">
        <f>IF(AND(BD1388=1,AU1388=1),1,0)</f>
        <v>0</v>
      </c>
      <c r="BF1388" s="80" t="str">
        <f>IF(AND(D1388="proMX",BD1388=1),IF(R1388="","Draft",R1388),"")</f>
        <v/>
      </c>
      <c r="BG1388" s="80">
        <f>IF(BD1388=1,ROUND(AG1388/60,6),0)</f>
        <v>0</v>
      </c>
      <c r="BH1388" s="80">
        <f>IF(BE1388=1,ROUND(AG1388/60,6),0)</f>
        <v>0</v>
      </c>
      <c r="BI1388" s="80">
        <f>IF(BE1388=1,ROUND(AP1388/60,6),0)</f>
        <v>0</v>
      </c>
      <c r="BJ1388" s="80">
        <f>IF(BE1388=1,ROUND(AQ1388/60,6),0)</f>
        <v>0</v>
      </c>
      <c r="BK1388" s="80">
        <f>IF(BE1388=1,ROUND((AR1388+AS1388)/60,6),0)</f>
        <v>0</v>
      </c>
      <c r="BL1388" s="80">
        <f>ROUND(BH1388-BK1388,6)</f>
        <v>0</v>
      </c>
      <c r="BM1388" s="80">
        <f>IF(BE1388=1,ROUND(AR1388/60,6),0)</f>
        <v>0</v>
      </c>
      <c r="BN1388" s="80">
        <f>ROUND(BI1388-BM1388,6)</f>
        <v>0</v>
      </c>
      <c r="BO1388" s="80">
        <f>IF(BE1388=1,ROUND(AS1388/60,6),0)</f>
        <v>0</v>
      </c>
      <c r="BP1388" s="80">
        <f>ROUND(BJ1388-BO1388,6)</f>
        <v>0</v>
      </c>
      <c r="BQ1388" s="80">
        <f>IF(BE1388=1,AW1388,0)</f>
        <v>0</v>
      </c>
      <c r="BR1388" s="80">
        <f>IF(BE1388=1,AX1388,0)</f>
        <v>0</v>
      </c>
      <c r="BS1388" s="80">
        <f>IF(AND(BE1388=1,D1388="Malcolm",BA1388&gt;0),MIN(BH1388,SUMPRODUCT((R_Emp="proMX")*(R_EN&gt;0)*((R_EN-(R_EN&gt;BR1388)*(R_EN-BR1388))&gt;(R_SN+(R_SN&lt;BQ1388)*(BQ1388-R_SN)))*((R_EN-(R_EN&gt;BR1388)*(R_EN-BR1388))-(R_SN+(R_SN&lt;BQ1388)*(BQ1388-R_SN))))/60),0)</f>
        <v>0</v>
      </c>
      <c r="BT1388" s="80">
        <f>IF(AND(BE1388=1,D1388="proMX"),ROUND(BI1388*CFG_RATE+BJ1388*CFG_OTRATE,6),0)</f>
        <v>0</v>
      </c>
      <c r="BU1388" s="80">
        <f>IF(AND(BD1388=1,D1388="proMX"),ROUND(AG1388/CFG_BLK,6),0)</f>
        <v>0</v>
      </c>
      <c r="BV1388" s="80" t="str">
        <f>IF(BF1388="Approved",IF(ISNUMBER(T1388),INT(T1388),INT(B1388)),"")</f>
        <v/>
      </c>
      <c r="BW1388" s="80">
        <f>IF(ISNUMBER(B1388),IF(DB_MON="Todos",1,IF(AND(INT(B1388)&gt;=DB_MS,INT(B1388)&lt;=DB_ME),1,0)),0)</f>
        <v>0</v>
      </c>
      <c r="BX1388" s="80">
        <f>IF(DB_PROJ="Todos",1,IF(E1388&amp;""=DB_PROJ&amp;"",1,0))</f>
        <v>1</v>
      </c>
      <c r="BY1388" s="80">
        <f>BW1388*BX1388</f>
        <v>0</v>
      </c>
      <c r="BZ1388" s="80" t="str">
        <f>IF(Y1388=1,F1388&amp;IF(AND(F1388&amp;""&lt;&gt;"",E1388&amp;""&lt;&gt;"")," · ","")&amp;E1388,"")</f>
        <v/>
      </c>
      <c r="CA1388" s="80" t="str">
        <f>IF(AND(BD1388=1,E1388&amp;""&lt;&gt;""),IF(COUNTIFS($E$5:E1387,E1388,$BD$5:BD1387,1)=0,MAX($CA$5:CA1387)+1,""),"")</f>
        <v/>
      </c>
      <c r="CB1388" s="80" t="str">
        <f>IF(AND(BE1388=1,D1388="Malcolm",E1388&amp;""&lt;&gt;""),IF(COUNTIFS($D$5:D1387,"Malcolm",$E$5:E1387,E1388,$BE$5:BE1387,1)=0,MAX($CB$5:CB1387)+1,""),"")</f>
        <v/>
      </c>
      <c r="CC1388" s="80" t="str">
        <f>IF(AND(BD1388=1,D1388="proMX",E1388&amp;""&lt;&gt;""),IF(COUNTIFS($D$5:D1387,"proMX",$E$5:E1387,E1388,$BD$5:BD1387,1)=0,MAX($CC$5:CC1387)+1,""),"")</f>
        <v/>
      </c>
      <c r="CD1388" s="80" t="str">
        <f>IF(AND(BE1388=1,D1388="Malcolm",F1388&amp;""&lt;&gt;""),IF(COUNTIFS($D$5:D1387,"Malcolm",$F$5:F1387,F1388,$BE$5:BE1387,1)=0,MAX($CD$5:CD1387)+1,""),"")</f>
        <v/>
      </c>
      <c r="CE1388" s="80" t="str">
        <f>IF(AND(BD1388=1,D1388="proMX",F1388&amp;""&lt;&gt;""),IF(COUNTIFS($D$5:D1387,"proMX",$F$5:F1387,F1388,$BD$5:BD1387,1)=0,MAX($CE$5:CE1387)+1,""),"")</f>
        <v/>
      </c>
      <c r="CF1388" s="80" t="str">
        <f>IF(AND(D1388="proMX",BD1388=1),IF(OR(BF1388="Draft",BF1388="Submitted",BF1388="Returned",BF1388="Recall Requested"),MAX($CF$5:CF1387)+1,""),"")</f>
        <v/>
      </c>
      <c r="CG1388" s="80">
        <f>IF(BD1388=0,0,IF(D1388="Malcolm",1,MATCH(BF1388,{"Draft","Submitted","Approved","Returned","Recall Requested","Cancelled"},0)+1))</f>
        <v>0</v>
      </c>
      <c r="CH1388" s="80">
        <f>IF(AND(BF1388="Submitted",ISNUMBER(V1388)),IF(V1388&gt;CFG_MAXD,1,0),0)</f>
        <v>0</v>
      </c>
    </row>
    <row r="1389">
      <c r="A1389" s="71" t="str">
        <f>IF(Y1389=1,ROW()-5,"")</f>
        <v/>
      </c>
      <c r="B1389" s="72" t="n"/>
      <c r="C1389" s="71" t="str">
        <f>IF(ISNUMBER(B1389),CHOOSE(WEEKDAY(B1389,2),"Lun","Mar","Mié","Jue","Vie","Sáb","Dom"),"")</f>
        <v/>
      </c>
      <c r="D1389" s="73" t="n"/>
      <c r="E1389" s="74" t="n"/>
      <c r="F1389" s="74" t="n"/>
      <c r="G1389" s="74" t="n"/>
      <c r="H1389" s="75" t="n"/>
      <c r="I1389" s="75" t="n"/>
      <c r="J1389" s="76" t="n"/>
      <c r="K1389" s="77" t="str">
        <f>IF(AB1389=1,ROUND(AG1389/60,4),"")</f>
        <v/>
      </c>
      <c r="L1389" s="77" t="str">
        <f>IF(BD1389=1,ROUND(AP1389/60,4),"")</f>
        <v/>
      </c>
      <c r="M1389" s="77" t="str">
        <f>IF(BD1389=1,ROUND(AQ1389/60,4),"")</f>
        <v/>
      </c>
      <c r="N1389" s="71" t="str">
        <f>IF(AND(D1389="proMX",AB1389=1),ROUND(AG1389/CFG_BLK,2),"")</f>
        <v/>
      </c>
      <c r="O1389" s="77" t="str">
        <f>IF(D1389="proMX",IF(BD1389=1,ROUND(AG1389/60,4),0),"")</f>
        <v/>
      </c>
      <c r="P1389" s="78" t="str">
        <f>IF(Y1389=0,"",IF(BD1389=1,"OK",IF(D1389="proMX","Revisar bloques: ","Revisar: ")&amp;BC1389))</f>
        <v/>
      </c>
      <c r="Q1389" s="78" t="str">
        <f>IF(NOT(ISNUMBER(B1389)),"",IF(COUNTIFS(FER_F,INT(B1389))&gt;0,"Feriado"&amp;IF(AH1389=1," (laborable)"," (no laborable)"),IF(AH1389=1,"Laborable",IF(WEEKDAY(B1389,2)&gt;5,"Fin de semana","No laborable"))))</f>
        <v/>
      </c>
      <c r="R1389" s="73" t="n"/>
      <c r="S1389" s="72" t="n"/>
      <c r="T1389" s="72" t="n"/>
      <c r="U1389" s="74" t="n"/>
      <c r="V1389" s="79" t="str">
        <f>IF(AND(D1389="proMX",OR(R1389="Submitted",R1389="Recall Requested"),ISNUMBER(S1389)),CFG_TODAY-INT(S1389),"")</f>
        <v/>
      </c>
      <c r="W1389" s="78" t="str">
        <f>IF(BD1389=0,"",IF(BA1389&gt;0,"⚠ Se superpone con un registro de la otra empresa",IF(D1389="Malcolm",IF(COUNTA(R1389,S1389,T1389)&gt;0,"Estado/fechas proMX se ignoran en Malcolm",""),IF(BF1389="Cancelled","Cancelado: excluido de totales",IF(R1389="","Sin estado: se trata como Draft",IF(BF1389="Submitted",IF(ISNUMBER(V1389),IF(V1389&gt;CFG_MAXD,"⚠ "&amp;V1389&amp;" días en Submitted (máx. "&amp;CFG_MAXD&amp;")",""),"Falta fecha de envío"),IF(BF1389="Returned","⚠ Devuelto: corregir y reenviar",IF(BF1389="Recall Requested","Retirada solicitada: pendiente",IF(AND(BF1389="Approved",NOT(ISNUMBER(T1389))),"Falta fecha de aprobación",IF(AND(ISNUMBER(S1389),ISNUMBER(T1389),T1389&lt;S1389),"Aprobación anterior al envío","")))))))))</f>
        <v/>
      </c>
      <c r="Y1389" s="80">
        <f>IF(COUNTA(B1389,D1389,E1389,F1389,G1389,H1389,I1389,J1389,R1389,S1389,T1389)&gt;0,1,0)</f>
        <v>0</v>
      </c>
      <c r="Z1389" s="80" t="str">
        <f>IF(AND(ISNUMBER(H1389),H1389&gt;=0,H1389&lt;1),ROUND(H1389*1440,0),"")</f>
        <v/>
      </c>
      <c r="AA1389" s="80" t="str">
        <f>IF(AND(ISNUMBER(I1389),I1389&gt;=0,I1389&lt;1),ROUND(I1389*1440,0),"")</f>
        <v/>
      </c>
      <c r="AB1389" s="80">
        <f>IF(AND(ISNUMBER(B1389),D1389&lt;&gt;"",ISNUMBER(Z1389),ISNUMBER(AA1389)),IF(Z1389=AA1389,0,1),0)</f>
        <v>0</v>
      </c>
      <c r="AC1389" s="80">
        <f>IF(AB1389=1,IF(AA1389&lt;Z1389,1,0),0)</f>
        <v>0</v>
      </c>
      <c r="AD1389" s="80">
        <f>IF(AB1389=1,IF(AC1389=1,1440-Z1389+AA1389,AA1389-Z1389),0)</f>
        <v>0</v>
      </c>
      <c r="AE1389" s="80">
        <f>IF(J1389="",0,IF(ISNUMBER(J1389),J1389,-1))</f>
        <v>0</v>
      </c>
      <c r="AF1389" s="80">
        <f>MIN(MAX(0,AE1389),AD1389)</f>
        <v>0</v>
      </c>
      <c r="AG1389" s="80">
        <f>MAX(0,AD1389-MAX(0,AE1389))</f>
        <v>0</v>
      </c>
      <c r="AH1389" s="80">
        <f>IF(ISNUMBER(B1389),IF(AND(INDEX(CFG_WDAYS,WEEKDAY(INT(B1389),2))="Sí",IF(D1389="proMX",COUNTIFS(FER_F,INT(B1389),FER_NLP,"Sí"),COUNTIFS(FER_F,INT(B1389),FER_NLM,"Sí"))=0),1,0),0)</f>
        <v>0</v>
      </c>
      <c r="AI1389" s="80">
        <f>IF(AC1389=1,IF(AND(INDEX(CFG_WDAYS,WEEKDAY(INT(B1389)+1,2))="Sí",IF(D1389="proMX",COUNTIFS(FER_F,INT(B1389)+1,FER_NLP,"Sí"),COUNTIFS(FER_F,INT(B1389)+1,FER_NLM,"Sí"))=0),1,0),0)</f>
        <v>0</v>
      </c>
      <c r="AJ1389" s="80">
        <f>IF(AC1389=1,1440-Z1389,AD1389)</f>
        <v>0</v>
      </c>
      <c r="AK1389" s="80">
        <f>IF(AND(AB1389=1,AH1389=1),MAX(0,MIN(IF(AC1389=1,1440,AA1389),CFG_WEM)-MAX(Z1389,CFG_WSM)),0)</f>
        <v>0</v>
      </c>
      <c r="AL1389" s="80">
        <f>IF(AND(AC1389=1,AI1389=1),MAX(0,MIN(AA1389,CFG_WEM)-CFG_WSM),0)</f>
        <v>0</v>
      </c>
      <c r="AM1389" s="80">
        <f>AK1389+AL1389</f>
        <v>0</v>
      </c>
      <c r="AN1389" s="80">
        <f>IF(CFG_BRK="Proporcional",IF(AD1389=0,0,AF1389*AM1389/AD1389),IF(CFG_BRK="Extras primero",MIN(AM1389,MAX(0,AF1389-(AD1389-AM1389))),MIN(AF1389,AM1389)))</f>
        <v>0</v>
      </c>
      <c r="AO1389" s="80">
        <f>AF1389-AN1389</f>
        <v>0</v>
      </c>
      <c r="AP1389" s="80">
        <f>AM1389-AN1389</f>
        <v>0</v>
      </c>
      <c r="AQ1389" s="80">
        <f>AD1389-AM1389-AO1389</f>
        <v>0</v>
      </c>
      <c r="AR1389" s="80">
        <f>IF(AM1389=0,0,AK1389-AN1389*AK1389/AM1389)</f>
        <v>0</v>
      </c>
      <c r="AS1389" s="80">
        <f>IF(AD1389-AM1389=0,0,(AJ1389-AK1389)-AO1389*(AJ1389-AK1389)/(AD1389-AM1389))</f>
        <v>0</v>
      </c>
      <c r="AT1389" s="80" t="str">
        <f>IF(AC1389=1,INT(B1389)+1,"")</f>
        <v/>
      </c>
      <c r="AU1389" s="80">
        <f>IF(AND(D1389="proMX",R1389="Cancelled"),0,1)</f>
        <v>1</v>
      </c>
      <c r="AV1389" s="80">
        <f>IF(AND(AB1389=1,AU1389=1),IF(COUNTIFS($D$5:D1388,D1389,$B$5:B1388,B1389,$Z$5:Z1388,Z1389,$AA$5:AA1388,AA1389,$F$5:F1388,F1389&amp;"",$AU$5:AU1388,1)&gt;0,1,0),0)</f>
        <v>0</v>
      </c>
      <c r="AW1389" s="80" t="str">
        <f>IF(AB1389=1,INT(B1389)*1440+Z1389,"")</f>
        <v/>
      </c>
      <c r="AX1389" s="80" t="str">
        <f>IF(AB1389=1,AW1389+AD1389,"")</f>
        <v/>
      </c>
      <c r="AY1389" s="80">
        <f>IF(AND(AB1389=1,AV1389=0,AU1389=1),1,0)</f>
        <v>0</v>
      </c>
      <c r="AZ1389" s="80">
        <f>IF(AY1389=1,COUNTIFS(R_Emp,D1389,R_SAbs,"&lt;"&amp;AX1389,R_EAbs,"&gt;"&amp;AW1389,R_OKey,1)-1,0)</f>
        <v>0</v>
      </c>
      <c r="BA1389" s="80">
        <f>IF(AY1389=1,COUNTIFS(R_Emp,"&lt;&gt;"&amp;D1389,R_SAbs,"&lt;"&amp;AX1389,R_EAbs,"&gt;"&amp;AW1389,R_OKey,1),0)</f>
        <v>0</v>
      </c>
      <c r="BB1389" s="80">
        <f>IF(AND(AB1389=1,D1389="proMX"),IF(AND(MOD(Z1389,CFG_BLK)=0,MOD(AA1389,CFG_BLK)=0,MOD(AG1389,CFG_BLK)=0,AG1389&gt;0),1,0),1)</f>
        <v>1</v>
      </c>
      <c r="BC1389" s="80" t="str">
        <f>IF(Y1389=0,"",IF(NOT(ISNUMBER(B1389)),"Falta fecha o fecha inválida",IF(D1389="","Falta empresa",IF(AND(D1389&lt;&gt;"Malcolm",D1389&lt;&gt;"proMX"),"Empresa inválida",IF(OR(INT(B1389)&lt;CFG_PSTART,INT(B1389)&gt;CFG_PEND),"Fecha fuera del período",IF(OR(NOT(ISNUMBER(Z1389)),NOT(ISNUMBER(AA1389))),"Falta hora inicio/fin o formato inválido",IF(AB1389=0,"Hora inicio = hora fin",IF(AE1389&lt;0,"Descanso inválido",IF(AE1389&gt;=AD1389,"Descanso ≥ duración",IF(AV1389=1,"Registro duplicado",IF(AZ1389&gt;0,"Se superpone con otro registro "&amp;D1389,IF(BB1389=0,"inicio, fin y duración neta deben ser múltiplos de "&amp;CFG_BLK&amp;" min",""))))))))))))</f>
        <v/>
      </c>
      <c r="BD1389" s="80">
        <f>IF(AND(Y1389=1,BC1389=""),1,0)</f>
        <v>0</v>
      </c>
      <c r="BE1389" s="80">
        <f>IF(AND(BD1389=1,AU1389=1),1,0)</f>
        <v>0</v>
      </c>
      <c r="BF1389" s="80" t="str">
        <f>IF(AND(D1389="proMX",BD1389=1),IF(R1389="","Draft",R1389),"")</f>
        <v/>
      </c>
      <c r="BG1389" s="80">
        <f>IF(BD1389=1,ROUND(AG1389/60,6),0)</f>
        <v>0</v>
      </c>
      <c r="BH1389" s="80">
        <f>IF(BE1389=1,ROUND(AG1389/60,6),0)</f>
        <v>0</v>
      </c>
      <c r="BI1389" s="80">
        <f>IF(BE1389=1,ROUND(AP1389/60,6),0)</f>
        <v>0</v>
      </c>
      <c r="BJ1389" s="80">
        <f>IF(BE1389=1,ROUND(AQ1389/60,6),0)</f>
        <v>0</v>
      </c>
      <c r="BK1389" s="80">
        <f>IF(BE1389=1,ROUND((AR1389+AS1389)/60,6),0)</f>
        <v>0</v>
      </c>
      <c r="BL1389" s="80">
        <f>ROUND(BH1389-BK1389,6)</f>
        <v>0</v>
      </c>
      <c r="BM1389" s="80">
        <f>IF(BE1389=1,ROUND(AR1389/60,6),0)</f>
        <v>0</v>
      </c>
      <c r="BN1389" s="80">
        <f>ROUND(BI1389-BM1389,6)</f>
        <v>0</v>
      </c>
      <c r="BO1389" s="80">
        <f>IF(BE1389=1,ROUND(AS1389/60,6),0)</f>
        <v>0</v>
      </c>
      <c r="BP1389" s="80">
        <f>ROUND(BJ1389-BO1389,6)</f>
        <v>0</v>
      </c>
      <c r="BQ1389" s="80">
        <f>IF(BE1389=1,AW1389,0)</f>
        <v>0</v>
      </c>
      <c r="BR1389" s="80">
        <f>IF(BE1389=1,AX1389,0)</f>
        <v>0</v>
      </c>
      <c r="BS1389" s="80">
        <f>IF(AND(BE1389=1,D1389="Malcolm",BA1389&gt;0),MIN(BH1389,SUMPRODUCT((R_Emp="proMX")*(R_EN&gt;0)*((R_EN-(R_EN&gt;BR1389)*(R_EN-BR1389))&gt;(R_SN+(R_SN&lt;BQ1389)*(BQ1389-R_SN)))*((R_EN-(R_EN&gt;BR1389)*(R_EN-BR1389))-(R_SN+(R_SN&lt;BQ1389)*(BQ1389-R_SN))))/60),0)</f>
        <v>0</v>
      </c>
      <c r="BT1389" s="80">
        <f>IF(AND(BE1389=1,D1389="proMX"),ROUND(BI1389*CFG_RATE+BJ1389*CFG_OTRATE,6),0)</f>
        <v>0</v>
      </c>
      <c r="BU1389" s="80">
        <f>IF(AND(BD1389=1,D1389="proMX"),ROUND(AG1389/CFG_BLK,6),0)</f>
        <v>0</v>
      </c>
      <c r="BV1389" s="80" t="str">
        <f>IF(BF1389="Approved",IF(ISNUMBER(T1389),INT(T1389),INT(B1389)),"")</f>
        <v/>
      </c>
      <c r="BW1389" s="80">
        <f>IF(ISNUMBER(B1389),IF(DB_MON="Todos",1,IF(AND(INT(B1389)&gt;=DB_MS,INT(B1389)&lt;=DB_ME),1,0)),0)</f>
        <v>0</v>
      </c>
      <c r="BX1389" s="80">
        <f>IF(DB_PROJ="Todos",1,IF(E1389&amp;""=DB_PROJ&amp;"",1,0))</f>
        <v>1</v>
      </c>
      <c r="BY1389" s="80">
        <f>BW1389*BX1389</f>
        <v>0</v>
      </c>
      <c r="BZ1389" s="80" t="str">
        <f>IF(Y1389=1,F1389&amp;IF(AND(F1389&amp;""&lt;&gt;"",E1389&amp;""&lt;&gt;"")," · ","")&amp;E1389,"")</f>
        <v/>
      </c>
      <c r="CA1389" s="80" t="str">
        <f>IF(AND(BD1389=1,E1389&amp;""&lt;&gt;""),IF(COUNTIFS($E$5:E1388,E1389,$BD$5:BD1388,1)=0,MAX($CA$5:CA1388)+1,""),"")</f>
        <v/>
      </c>
      <c r="CB1389" s="80" t="str">
        <f>IF(AND(BE1389=1,D1389="Malcolm",E1389&amp;""&lt;&gt;""),IF(COUNTIFS($D$5:D1388,"Malcolm",$E$5:E1388,E1389,$BE$5:BE1388,1)=0,MAX($CB$5:CB1388)+1,""),"")</f>
        <v/>
      </c>
      <c r="CC1389" s="80" t="str">
        <f>IF(AND(BD1389=1,D1389="proMX",E1389&amp;""&lt;&gt;""),IF(COUNTIFS($D$5:D1388,"proMX",$E$5:E1388,E1389,$BD$5:BD1388,1)=0,MAX($CC$5:CC1388)+1,""),"")</f>
        <v/>
      </c>
      <c r="CD1389" s="80" t="str">
        <f>IF(AND(BE1389=1,D1389="Malcolm",F1389&amp;""&lt;&gt;""),IF(COUNTIFS($D$5:D1388,"Malcolm",$F$5:F1388,F1389,$BE$5:BE1388,1)=0,MAX($CD$5:CD1388)+1,""),"")</f>
        <v/>
      </c>
      <c r="CE1389" s="80" t="str">
        <f>IF(AND(BD1389=1,D1389="proMX",F1389&amp;""&lt;&gt;""),IF(COUNTIFS($D$5:D1388,"proMX",$F$5:F1388,F1389,$BD$5:BD1388,1)=0,MAX($CE$5:CE1388)+1,""),"")</f>
        <v/>
      </c>
      <c r="CF1389" s="80" t="str">
        <f>IF(AND(D1389="proMX",BD1389=1),IF(OR(BF1389="Draft",BF1389="Submitted",BF1389="Returned",BF1389="Recall Requested"),MAX($CF$5:CF1388)+1,""),"")</f>
        <v/>
      </c>
      <c r="CG1389" s="80">
        <f>IF(BD1389=0,0,IF(D1389="Malcolm",1,MATCH(BF1389,{"Draft","Submitted","Approved","Returned","Recall Requested","Cancelled"},0)+1))</f>
        <v>0</v>
      </c>
      <c r="CH1389" s="80">
        <f>IF(AND(BF1389="Submitted",ISNUMBER(V1389)),IF(V1389&gt;CFG_MAXD,1,0),0)</f>
        <v>0</v>
      </c>
    </row>
    <row r="1390">
      <c r="A1390" s="71" t="str">
        <f>IF(Y1390=1,ROW()-5,"")</f>
        <v/>
      </c>
      <c r="B1390" s="72" t="n"/>
      <c r="C1390" s="71" t="str">
        <f>IF(ISNUMBER(B1390),CHOOSE(WEEKDAY(B1390,2),"Lun","Mar","Mié","Jue","Vie","Sáb","Dom"),"")</f>
        <v/>
      </c>
      <c r="D1390" s="73" t="n"/>
      <c r="E1390" s="74" t="n"/>
      <c r="F1390" s="74" t="n"/>
      <c r="G1390" s="74" t="n"/>
      <c r="H1390" s="75" t="n"/>
      <c r="I1390" s="75" t="n"/>
      <c r="J1390" s="76" t="n"/>
      <c r="K1390" s="77" t="str">
        <f>IF(AB1390=1,ROUND(AG1390/60,4),"")</f>
        <v/>
      </c>
      <c r="L1390" s="77" t="str">
        <f>IF(BD1390=1,ROUND(AP1390/60,4),"")</f>
        <v/>
      </c>
      <c r="M1390" s="77" t="str">
        <f>IF(BD1390=1,ROUND(AQ1390/60,4),"")</f>
        <v/>
      </c>
      <c r="N1390" s="71" t="str">
        <f>IF(AND(D1390="proMX",AB1390=1),ROUND(AG1390/CFG_BLK,2),"")</f>
        <v/>
      </c>
      <c r="O1390" s="77" t="str">
        <f>IF(D1390="proMX",IF(BD1390=1,ROUND(AG1390/60,4),0),"")</f>
        <v/>
      </c>
      <c r="P1390" s="78" t="str">
        <f>IF(Y1390=0,"",IF(BD1390=1,"OK",IF(D1390="proMX","Revisar bloques: ","Revisar: ")&amp;BC1390))</f>
        <v/>
      </c>
      <c r="Q1390" s="78" t="str">
        <f>IF(NOT(ISNUMBER(B1390)),"",IF(COUNTIFS(FER_F,INT(B1390))&gt;0,"Feriado"&amp;IF(AH1390=1," (laborable)"," (no laborable)"),IF(AH1390=1,"Laborable",IF(WEEKDAY(B1390,2)&gt;5,"Fin de semana","No laborable"))))</f>
        <v/>
      </c>
      <c r="R1390" s="73" t="n"/>
      <c r="S1390" s="72" t="n"/>
      <c r="T1390" s="72" t="n"/>
      <c r="U1390" s="74" t="n"/>
      <c r="V1390" s="79" t="str">
        <f>IF(AND(D1390="proMX",OR(R1390="Submitted",R1390="Recall Requested"),ISNUMBER(S1390)),CFG_TODAY-INT(S1390),"")</f>
        <v/>
      </c>
      <c r="W1390" s="78" t="str">
        <f>IF(BD1390=0,"",IF(BA1390&gt;0,"⚠ Se superpone con un registro de la otra empresa",IF(D1390="Malcolm",IF(COUNTA(R1390,S1390,T1390)&gt;0,"Estado/fechas proMX se ignoran en Malcolm",""),IF(BF1390="Cancelled","Cancelado: excluido de totales",IF(R1390="","Sin estado: se trata como Draft",IF(BF1390="Submitted",IF(ISNUMBER(V1390),IF(V1390&gt;CFG_MAXD,"⚠ "&amp;V1390&amp;" días en Submitted (máx. "&amp;CFG_MAXD&amp;")",""),"Falta fecha de envío"),IF(BF1390="Returned","⚠ Devuelto: corregir y reenviar",IF(BF1390="Recall Requested","Retirada solicitada: pendiente",IF(AND(BF1390="Approved",NOT(ISNUMBER(T1390))),"Falta fecha de aprobación",IF(AND(ISNUMBER(S1390),ISNUMBER(T1390),T1390&lt;S1390),"Aprobación anterior al envío","")))))))))</f>
        <v/>
      </c>
      <c r="Y1390" s="80">
        <f>IF(COUNTA(B1390,D1390,E1390,F1390,G1390,H1390,I1390,J1390,R1390,S1390,T1390)&gt;0,1,0)</f>
        <v>0</v>
      </c>
      <c r="Z1390" s="80" t="str">
        <f>IF(AND(ISNUMBER(H1390),H1390&gt;=0,H1390&lt;1),ROUND(H1390*1440,0),"")</f>
        <v/>
      </c>
      <c r="AA1390" s="80" t="str">
        <f>IF(AND(ISNUMBER(I1390),I1390&gt;=0,I1390&lt;1),ROUND(I1390*1440,0),"")</f>
        <v/>
      </c>
      <c r="AB1390" s="80">
        <f>IF(AND(ISNUMBER(B1390),D1390&lt;&gt;"",ISNUMBER(Z1390),ISNUMBER(AA1390)),IF(Z1390=AA1390,0,1),0)</f>
        <v>0</v>
      </c>
      <c r="AC1390" s="80">
        <f>IF(AB1390=1,IF(AA1390&lt;Z1390,1,0),0)</f>
        <v>0</v>
      </c>
      <c r="AD1390" s="80">
        <f>IF(AB1390=1,IF(AC1390=1,1440-Z1390+AA1390,AA1390-Z1390),0)</f>
        <v>0</v>
      </c>
      <c r="AE1390" s="80">
        <f>IF(J1390="",0,IF(ISNUMBER(J1390),J1390,-1))</f>
        <v>0</v>
      </c>
      <c r="AF1390" s="80">
        <f>MIN(MAX(0,AE1390),AD1390)</f>
        <v>0</v>
      </c>
      <c r="AG1390" s="80">
        <f>MAX(0,AD1390-MAX(0,AE1390))</f>
        <v>0</v>
      </c>
      <c r="AH1390" s="80">
        <f>IF(ISNUMBER(B1390),IF(AND(INDEX(CFG_WDAYS,WEEKDAY(INT(B1390),2))="Sí",IF(D1390="proMX",COUNTIFS(FER_F,INT(B1390),FER_NLP,"Sí"),COUNTIFS(FER_F,INT(B1390),FER_NLM,"Sí"))=0),1,0),0)</f>
        <v>0</v>
      </c>
      <c r="AI1390" s="80">
        <f>IF(AC1390=1,IF(AND(INDEX(CFG_WDAYS,WEEKDAY(INT(B1390)+1,2))="Sí",IF(D1390="proMX",COUNTIFS(FER_F,INT(B1390)+1,FER_NLP,"Sí"),COUNTIFS(FER_F,INT(B1390)+1,FER_NLM,"Sí"))=0),1,0),0)</f>
        <v>0</v>
      </c>
      <c r="AJ1390" s="80">
        <f>IF(AC1390=1,1440-Z1390,AD1390)</f>
        <v>0</v>
      </c>
      <c r="AK1390" s="80">
        <f>IF(AND(AB1390=1,AH1390=1),MAX(0,MIN(IF(AC1390=1,1440,AA1390),CFG_WEM)-MAX(Z1390,CFG_WSM)),0)</f>
        <v>0</v>
      </c>
      <c r="AL1390" s="80">
        <f>IF(AND(AC1390=1,AI1390=1),MAX(0,MIN(AA1390,CFG_WEM)-CFG_WSM),0)</f>
        <v>0</v>
      </c>
      <c r="AM1390" s="80">
        <f>AK1390+AL1390</f>
        <v>0</v>
      </c>
      <c r="AN1390" s="80">
        <f>IF(CFG_BRK="Proporcional",IF(AD1390=0,0,AF1390*AM1390/AD1390),IF(CFG_BRK="Extras primero",MIN(AM1390,MAX(0,AF1390-(AD1390-AM1390))),MIN(AF1390,AM1390)))</f>
        <v>0</v>
      </c>
      <c r="AO1390" s="80">
        <f>AF1390-AN1390</f>
        <v>0</v>
      </c>
      <c r="AP1390" s="80">
        <f>AM1390-AN1390</f>
        <v>0</v>
      </c>
      <c r="AQ1390" s="80">
        <f>AD1390-AM1390-AO1390</f>
        <v>0</v>
      </c>
      <c r="AR1390" s="80">
        <f>IF(AM1390=0,0,AK1390-AN1390*AK1390/AM1390)</f>
        <v>0</v>
      </c>
      <c r="AS1390" s="80">
        <f>IF(AD1390-AM1390=0,0,(AJ1390-AK1390)-AO1390*(AJ1390-AK1390)/(AD1390-AM1390))</f>
        <v>0</v>
      </c>
      <c r="AT1390" s="80" t="str">
        <f>IF(AC1390=1,INT(B1390)+1,"")</f>
        <v/>
      </c>
      <c r="AU1390" s="80">
        <f>IF(AND(D1390="proMX",R1390="Cancelled"),0,1)</f>
        <v>1</v>
      </c>
      <c r="AV1390" s="80">
        <f>IF(AND(AB1390=1,AU1390=1),IF(COUNTIFS($D$5:D1389,D1390,$B$5:B1389,B1390,$Z$5:Z1389,Z1390,$AA$5:AA1389,AA1390,$F$5:F1389,F1390&amp;"",$AU$5:AU1389,1)&gt;0,1,0),0)</f>
        <v>0</v>
      </c>
      <c r="AW1390" s="80" t="str">
        <f>IF(AB1390=1,INT(B1390)*1440+Z1390,"")</f>
        <v/>
      </c>
      <c r="AX1390" s="80" t="str">
        <f>IF(AB1390=1,AW1390+AD1390,"")</f>
        <v/>
      </c>
      <c r="AY1390" s="80">
        <f>IF(AND(AB1390=1,AV1390=0,AU1390=1),1,0)</f>
        <v>0</v>
      </c>
      <c r="AZ1390" s="80">
        <f>IF(AY1390=1,COUNTIFS(R_Emp,D1390,R_SAbs,"&lt;"&amp;AX1390,R_EAbs,"&gt;"&amp;AW1390,R_OKey,1)-1,0)</f>
        <v>0</v>
      </c>
      <c r="BA1390" s="80">
        <f>IF(AY1390=1,COUNTIFS(R_Emp,"&lt;&gt;"&amp;D1390,R_SAbs,"&lt;"&amp;AX1390,R_EAbs,"&gt;"&amp;AW1390,R_OKey,1),0)</f>
        <v>0</v>
      </c>
      <c r="BB1390" s="80">
        <f>IF(AND(AB1390=1,D1390="proMX"),IF(AND(MOD(Z1390,CFG_BLK)=0,MOD(AA1390,CFG_BLK)=0,MOD(AG1390,CFG_BLK)=0,AG1390&gt;0),1,0),1)</f>
        <v>1</v>
      </c>
      <c r="BC1390" s="80" t="str">
        <f>IF(Y1390=0,"",IF(NOT(ISNUMBER(B1390)),"Falta fecha o fecha inválida",IF(D1390="","Falta empresa",IF(AND(D1390&lt;&gt;"Malcolm",D1390&lt;&gt;"proMX"),"Empresa inválida",IF(OR(INT(B1390)&lt;CFG_PSTART,INT(B1390)&gt;CFG_PEND),"Fecha fuera del período",IF(OR(NOT(ISNUMBER(Z1390)),NOT(ISNUMBER(AA1390))),"Falta hora inicio/fin o formato inválido",IF(AB1390=0,"Hora inicio = hora fin",IF(AE1390&lt;0,"Descanso inválido",IF(AE1390&gt;=AD1390,"Descanso ≥ duración",IF(AV1390=1,"Registro duplicado",IF(AZ1390&gt;0,"Se superpone con otro registro "&amp;D1390,IF(BB1390=0,"inicio, fin y duración neta deben ser múltiplos de "&amp;CFG_BLK&amp;" min",""))))))))))))</f>
        <v/>
      </c>
      <c r="BD1390" s="80">
        <f>IF(AND(Y1390=1,BC1390=""),1,0)</f>
        <v>0</v>
      </c>
      <c r="BE1390" s="80">
        <f>IF(AND(BD1390=1,AU1390=1),1,0)</f>
        <v>0</v>
      </c>
      <c r="BF1390" s="80" t="str">
        <f>IF(AND(D1390="proMX",BD1390=1),IF(R1390="","Draft",R1390),"")</f>
        <v/>
      </c>
      <c r="BG1390" s="80">
        <f>IF(BD1390=1,ROUND(AG1390/60,6),0)</f>
        <v>0</v>
      </c>
      <c r="BH1390" s="80">
        <f>IF(BE1390=1,ROUND(AG1390/60,6),0)</f>
        <v>0</v>
      </c>
      <c r="BI1390" s="80">
        <f>IF(BE1390=1,ROUND(AP1390/60,6),0)</f>
        <v>0</v>
      </c>
      <c r="BJ1390" s="80">
        <f>IF(BE1390=1,ROUND(AQ1390/60,6),0)</f>
        <v>0</v>
      </c>
      <c r="BK1390" s="80">
        <f>IF(BE1390=1,ROUND((AR1390+AS1390)/60,6),0)</f>
        <v>0</v>
      </c>
      <c r="BL1390" s="80">
        <f>ROUND(BH1390-BK1390,6)</f>
        <v>0</v>
      </c>
      <c r="BM1390" s="80">
        <f>IF(BE1390=1,ROUND(AR1390/60,6),0)</f>
        <v>0</v>
      </c>
      <c r="BN1390" s="80">
        <f>ROUND(BI1390-BM1390,6)</f>
        <v>0</v>
      </c>
      <c r="BO1390" s="80">
        <f>IF(BE1390=1,ROUND(AS1390/60,6),0)</f>
        <v>0</v>
      </c>
      <c r="BP1390" s="80">
        <f>ROUND(BJ1390-BO1390,6)</f>
        <v>0</v>
      </c>
      <c r="BQ1390" s="80">
        <f>IF(BE1390=1,AW1390,0)</f>
        <v>0</v>
      </c>
      <c r="BR1390" s="80">
        <f>IF(BE1390=1,AX1390,0)</f>
        <v>0</v>
      </c>
      <c r="BS1390" s="80">
        <f>IF(AND(BE1390=1,D1390="Malcolm",BA1390&gt;0),MIN(BH1390,SUMPRODUCT((R_Emp="proMX")*(R_EN&gt;0)*((R_EN-(R_EN&gt;BR1390)*(R_EN-BR1390))&gt;(R_SN+(R_SN&lt;BQ1390)*(BQ1390-R_SN)))*((R_EN-(R_EN&gt;BR1390)*(R_EN-BR1390))-(R_SN+(R_SN&lt;BQ1390)*(BQ1390-R_SN))))/60),0)</f>
        <v>0</v>
      </c>
      <c r="BT1390" s="80">
        <f>IF(AND(BE1390=1,D1390="proMX"),ROUND(BI1390*CFG_RATE+BJ1390*CFG_OTRATE,6),0)</f>
        <v>0</v>
      </c>
      <c r="BU1390" s="80">
        <f>IF(AND(BD1390=1,D1390="proMX"),ROUND(AG1390/CFG_BLK,6),0)</f>
        <v>0</v>
      </c>
      <c r="BV1390" s="80" t="str">
        <f>IF(BF1390="Approved",IF(ISNUMBER(T1390),INT(T1390),INT(B1390)),"")</f>
        <v/>
      </c>
      <c r="BW1390" s="80">
        <f>IF(ISNUMBER(B1390),IF(DB_MON="Todos",1,IF(AND(INT(B1390)&gt;=DB_MS,INT(B1390)&lt;=DB_ME),1,0)),0)</f>
        <v>0</v>
      </c>
      <c r="BX1390" s="80">
        <f>IF(DB_PROJ="Todos",1,IF(E1390&amp;""=DB_PROJ&amp;"",1,0))</f>
        <v>1</v>
      </c>
      <c r="BY1390" s="80">
        <f>BW1390*BX1390</f>
        <v>0</v>
      </c>
      <c r="BZ1390" s="80" t="str">
        <f>IF(Y1390=1,F1390&amp;IF(AND(F1390&amp;""&lt;&gt;"",E1390&amp;""&lt;&gt;"")," · ","")&amp;E1390,"")</f>
        <v/>
      </c>
      <c r="CA1390" s="80" t="str">
        <f>IF(AND(BD1390=1,E1390&amp;""&lt;&gt;""),IF(COUNTIFS($E$5:E1389,E1390,$BD$5:BD1389,1)=0,MAX($CA$5:CA1389)+1,""),"")</f>
        <v/>
      </c>
      <c r="CB1390" s="80" t="str">
        <f>IF(AND(BE1390=1,D1390="Malcolm",E1390&amp;""&lt;&gt;""),IF(COUNTIFS($D$5:D1389,"Malcolm",$E$5:E1389,E1390,$BE$5:BE1389,1)=0,MAX($CB$5:CB1389)+1,""),"")</f>
        <v/>
      </c>
      <c r="CC1390" s="80" t="str">
        <f>IF(AND(BD1390=1,D1390="proMX",E1390&amp;""&lt;&gt;""),IF(COUNTIFS($D$5:D1389,"proMX",$E$5:E1389,E1390,$BD$5:BD1389,1)=0,MAX($CC$5:CC1389)+1,""),"")</f>
        <v/>
      </c>
      <c r="CD1390" s="80" t="str">
        <f>IF(AND(BE1390=1,D1390="Malcolm",F1390&amp;""&lt;&gt;""),IF(COUNTIFS($D$5:D1389,"Malcolm",$F$5:F1389,F1390,$BE$5:BE1389,1)=0,MAX($CD$5:CD1389)+1,""),"")</f>
        <v/>
      </c>
      <c r="CE1390" s="80" t="str">
        <f>IF(AND(BD1390=1,D1390="proMX",F1390&amp;""&lt;&gt;""),IF(COUNTIFS($D$5:D1389,"proMX",$F$5:F1389,F1390,$BD$5:BD1389,1)=0,MAX($CE$5:CE1389)+1,""),"")</f>
        <v/>
      </c>
      <c r="CF1390" s="80" t="str">
        <f>IF(AND(D1390="proMX",BD1390=1),IF(OR(BF1390="Draft",BF1390="Submitted",BF1390="Returned",BF1390="Recall Requested"),MAX($CF$5:CF1389)+1,""),"")</f>
        <v/>
      </c>
      <c r="CG1390" s="80">
        <f>IF(BD1390=0,0,IF(D1390="Malcolm",1,MATCH(BF1390,{"Draft","Submitted","Approved","Returned","Recall Requested","Cancelled"},0)+1))</f>
        <v>0</v>
      </c>
      <c r="CH1390" s="80">
        <f>IF(AND(BF1390="Submitted",ISNUMBER(V1390)),IF(V1390&gt;CFG_MAXD,1,0),0)</f>
        <v>0</v>
      </c>
    </row>
    <row r="1391">
      <c r="A1391" s="71" t="str">
        <f>IF(Y1391=1,ROW()-5,"")</f>
        <v/>
      </c>
      <c r="B1391" s="72" t="n"/>
      <c r="C1391" s="71" t="str">
        <f>IF(ISNUMBER(B1391),CHOOSE(WEEKDAY(B1391,2),"Lun","Mar","Mié","Jue","Vie","Sáb","Dom"),"")</f>
        <v/>
      </c>
      <c r="D1391" s="73" t="n"/>
      <c r="E1391" s="74" t="n"/>
      <c r="F1391" s="74" t="n"/>
      <c r="G1391" s="74" t="n"/>
      <c r="H1391" s="75" t="n"/>
      <c r="I1391" s="75" t="n"/>
      <c r="J1391" s="76" t="n"/>
      <c r="K1391" s="77" t="str">
        <f>IF(AB1391=1,ROUND(AG1391/60,4),"")</f>
        <v/>
      </c>
      <c r="L1391" s="77" t="str">
        <f>IF(BD1391=1,ROUND(AP1391/60,4),"")</f>
        <v/>
      </c>
      <c r="M1391" s="77" t="str">
        <f>IF(BD1391=1,ROUND(AQ1391/60,4),"")</f>
        <v/>
      </c>
      <c r="N1391" s="71" t="str">
        <f>IF(AND(D1391="proMX",AB1391=1),ROUND(AG1391/CFG_BLK,2),"")</f>
        <v/>
      </c>
      <c r="O1391" s="77" t="str">
        <f>IF(D1391="proMX",IF(BD1391=1,ROUND(AG1391/60,4),0),"")</f>
        <v/>
      </c>
      <c r="P1391" s="78" t="str">
        <f>IF(Y1391=0,"",IF(BD1391=1,"OK",IF(D1391="proMX","Revisar bloques: ","Revisar: ")&amp;BC1391))</f>
        <v/>
      </c>
      <c r="Q1391" s="78" t="str">
        <f>IF(NOT(ISNUMBER(B1391)),"",IF(COUNTIFS(FER_F,INT(B1391))&gt;0,"Feriado"&amp;IF(AH1391=1," (laborable)"," (no laborable)"),IF(AH1391=1,"Laborable",IF(WEEKDAY(B1391,2)&gt;5,"Fin de semana","No laborable"))))</f>
        <v/>
      </c>
      <c r="R1391" s="73" t="n"/>
      <c r="S1391" s="72" t="n"/>
      <c r="T1391" s="72" t="n"/>
      <c r="U1391" s="74" t="n"/>
      <c r="V1391" s="79" t="str">
        <f>IF(AND(D1391="proMX",OR(R1391="Submitted",R1391="Recall Requested"),ISNUMBER(S1391)),CFG_TODAY-INT(S1391),"")</f>
        <v/>
      </c>
      <c r="W1391" s="78" t="str">
        <f>IF(BD1391=0,"",IF(BA1391&gt;0,"⚠ Se superpone con un registro de la otra empresa",IF(D1391="Malcolm",IF(COUNTA(R1391,S1391,T1391)&gt;0,"Estado/fechas proMX se ignoran en Malcolm",""),IF(BF1391="Cancelled","Cancelado: excluido de totales",IF(R1391="","Sin estado: se trata como Draft",IF(BF1391="Submitted",IF(ISNUMBER(V1391),IF(V1391&gt;CFG_MAXD,"⚠ "&amp;V1391&amp;" días en Submitted (máx. "&amp;CFG_MAXD&amp;")",""),"Falta fecha de envío"),IF(BF1391="Returned","⚠ Devuelto: corregir y reenviar",IF(BF1391="Recall Requested","Retirada solicitada: pendiente",IF(AND(BF1391="Approved",NOT(ISNUMBER(T1391))),"Falta fecha de aprobación",IF(AND(ISNUMBER(S1391),ISNUMBER(T1391),T1391&lt;S1391),"Aprobación anterior al envío","")))))))))</f>
        <v/>
      </c>
      <c r="Y1391" s="80">
        <f>IF(COUNTA(B1391,D1391,E1391,F1391,G1391,H1391,I1391,J1391,R1391,S1391,T1391)&gt;0,1,0)</f>
        <v>0</v>
      </c>
      <c r="Z1391" s="80" t="str">
        <f>IF(AND(ISNUMBER(H1391),H1391&gt;=0,H1391&lt;1),ROUND(H1391*1440,0),"")</f>
        <v/>
      </c>
      <c r="AA1391" s="80" t="str">
        <f>IF(AND(ISNUMBER(I1391),I1391&gt;=0,I1391&lt;1),ROUND(I1391*1440,0),"")</f>
        <v/>
      </c>
      <c r="AB1391" s="80">
        <f>IF(AND(ISNUMBER(B1391),D1391&lt;&gt;"",ISNUMBER(Z1391),ISNUMBER(AA1391)),IF(Z1391=AA1391,0,1),0)</f>
        <v>0</v>
      </c>
      <c r="AC1391" s="80">
        <f>IF(AB1391=1,IF(AA1391&lt;Z1391,1,0),0)</f>
        <v>0</v>
      </c>
      <c r="AD1391" s="80">
        <f>IF(AB1391=1,IF(AC1391=1,1440-Z1391+AA1391,AA1391-Z1391),0)</f>
        <v>0</v>
      </c>
      <c r="AE1391" s="80">
        <f>IF(J1391="",0,IF(ISNUMBER(J1391),J1391,-1))</f>
        <v>0</v>
      </c>
      <c r="AF1391" s="80">
        <f>MIN(MAX(0,AE1391),AD1391)</f>
        <v>0</v>
      </c>
      <c r="AG1391" s="80">
        <f>MAX(0,AD1391-MAX(0,AE1391))</f>
        <v>0</v>
      </c>
      <c r="AH1391" s="80">
        <f>IF(ISNUMBER(B1391),IF(AND(INDEX(CFG_WDAYS,WEEKDAY(INT(B1391),2))="Sí",IF(D1391="proMX",COUNTIFS(FER_F,INT(B1391),FER_NLP,"Sí"),COUNTIFS(FER_F,INT(B1391),FER_NLM,"Sí"))=0),1,0),0)</f>
        <v>0</v>
      </c>
      <c r="AI1391" s="80">
        <f>IF(AC1391=1,IF(AND(INDEX(CFG_WDAYS,WEEKDAY(INT(B1391)+1,2))="Sí",IF(D1391="proMX",COUNTIFS(FER_F,INT(B1391)+1,FER_NLP,"Sí"),COUNTIFS(FER_F,INT(B1391)+1,FER_NLM,"Sí"))=0),1,0),0)</f>
        <v>0</v>
      </c>
      <c r="AJ1391" s="80">
        <f>IF(AC1391=1,1440-Z1391,AD1391)</f>
        <v>0</v>
      </c>
      <c r="AK1391" s="80">
        <f>IF(AND(AB1391=1,AH1391=1),MAX(0,MIN(IF(AC1391=1,1440,AA1391),CFG_WEM)-MAX(Z1391,CFG_WSM)),0)</f>
        <v>0</v>
      </c>
      <c r="AL1391" s="80">
        <f>IF(AND(AC1391=1,AI1391=1),MAX(0,MIN(AA1391,CFG_WEM)-CFG_WSM),0)</f>
        <v>0</v>
      </c>
      <c r="AM1391" s="80">
        <f>AK1391+AL1391</f>
        <v>0</v>
      </c>
      <c r="AN1391" s="80">
        <f>IF(CFG_BRK="Proporcional",IF(AD1391=0,0,AF1391*AM1391/AD1391),IF(CFG_BRK="Extras primero",MIN(AM1391,MAX(0,AF1391-(AD1391-AM1391))),MIN(AF1391,AM1391)))</f>
        <v>0</v>
      </c>
      <c r="AO1391" s="80">
        <f>AF1391-AN1391</f>
        <v>0</v>
      </c>
      <c r="AP1391" s="80">
        <f>AM1391-AN1391</f>
        <v>0</v>
      </c>
      <c r="AQ1391" s="80">
        <f>AD1391-AM1391-AO1391</f>
        <v>0</v>
      </c>
      <c r="AR1391" s="80">
        <f>IF(AM1391=0,0,AK1391-AN1391*AK1391/AM1391)</f>
        <v>0</v>
      </c>
      <c r="AS1391" s="80">
        <f>IF(AD1391-AM1391=0,0,(AJ1391-AK1391)-AO1391*(AJ1391-AK1391)/(AD1391-AM1391))</f>
        <v>0</v>
      </c>
      <c r="AT1391" s="80" t="str">
        <f>IF(AC1391=1,INT(B1391)+1,"")</f>
        <v/>
      </c>
      <c r="AU1391" s="80">
        <f>IF(AND(D1391="proMX",R1391="Cancelled"),0,1)</f>
        <v>1</v>
      </c>
      <c r="AV1391" s="80">
        <f>IF(AND(AB1391=1,AU1391=1),IF(COUNTIFS($D$5:D1390,D1391,$B$5:B1390,B1391,$Z$5:Z1390,Z1391,$AA$5:AA1390,AA1391,$F$5:F1390,F1391&amp;"",$AU$5:AU1390,1)&gt;0,1,0),0)</f>
        <v>0</v>
      </c>
      <c r="AW1391" s="80" t="str">
        <f>IF(AB1391=1,INT(B1391)*1440+Z1391,"")</f>
        <v/>
      </c>
      <c r="AX1391" s="80" t="str">
        <f>IF(AB1391=1,AW1391+AD1391,"")</f>
        <v/>
      </c>
      <c r="AY1391" s="80">
        <f>IF(AND(AB1391=1,AV1391=0,AU1391=1),1,0)</f>
        <v>0</v>
      </c>
      <c r="AZ1391" s="80">
        <f>IF(AY1391=1,COUNTIFS(R_Emp,D1391,R_SAbs,"&lt;"&amp;AX1391,R_EAbs,"&gt;"&amp;AW1391,R_OKey,1)-1,0)</f>
        <v>0</v>
      </c>
      <c r="BA1391" s="80">
        <f>IF(AY1391=1,COUNTIFS(R_Emp,"&lt;&gt;"&amp;D1391,R_SAbs,"&lt;"&amp;AX1391,R_EAbs,"&gt;"&amp;AW1391,R_OKey,1),0)</f>
        <v>0</v>
      </c>
      <c r="BB1391" s="80">
        <f>IF(AND(AB1391=1,D1391="proMX"),IF(AND(MOD(Z1391,CFG_BLK)=0,MOD(AA1391,CFG_BLK)=0,MOD(AG1391,CFG_BLK)=0,AG1391&gt;0),1,0),1)</f>
        <v>1</v>
      </c>
      <c r="BC1391" s="80" t="str">
        <f>IF(Y1391=0,"",IF(NOT(ISNUMBER(B1391)),"Falta fecha o fecha inválida",IF(D1391="","Falta empresa",IF(AND(D1391&lt;&gt;"Malcolm",D1391&lt;&gt;"proMX"),"Empresa inválida",IF(OR(INT(B1391)&lt;CFG_PSTART,INT(B1391)&gt;CFG_PEND),"Fecha fuera del período",IF(OR(NOT(ISNUMBER(Z1391)),NOT(ISNUMBER(AA1391))),"Falta hora inicio/fin o formato inválido",IF(AB1391=0,"Hora inicio = hora fin",IF(AE1391&lt;0,"Descanso inválido",IF(AE1391&gt;=AD1391,"Descanso ≥ duración",IF(AV1391=1,"Registro duplicado",IF(AZ1391&gt;0,"Se superpone con otro registro "&amp;D1391,IF(BB1391=0,"inicio, fin y duración neta deben ser múltiplos de "&amp;CFG_BLK&amp;" min",""))))))))))))</f>
        <v/>
      </c>
      <c r="BD1391" s="80">
        <f>IF(AND(Y1391=1,BC1391=""),1,0)</f>
        <v>0</v>
      </c>
      <c r="BE1391" s="80">
        <f>IF(AND(BD1391=1,AU1391=1),1,0)</f>
        <v>0</v>
      </c>
      <c r="BF1391" s="80" t="str">
        <f>IF(AND(D1391="proMX",BD1391=1),IF(R1391="","Draft",R1391),"")</f>
        <v/>
      </c>
      <c r="BG1391" s="80">
        <f>IF(BD1391=1,ROUND(AG1391/60,6),0)</f>
        <v>0</v>
      </c>
      <c r="BH1391" s="80">
        <f>IF(BE1391=1,ROUND(AG1391/60,6),0)</f>
        <v>0</v>
      </c>
      <c r="BI1391" s="80">
        <f>IF(BE1391=1,ROUND(AP1391/60,6),0)</f>
        <v>0</v>
      </c>
      <c r="BJ1391" s="80">
        <f>IF(BE1391=1,ROUND(AQ1391/60,6),0)</f>
        <v>0</v>
      </c>
      <c r="BK1391" s="80">
        <f>IF(BE1391=1,ROUND((AR1391+AS1391)/60,6),0)</f>
        <v>0</v>
      </c>
      <c r="BL1391" s="80">
        <f>ROUND(BH1391-BK1391,6)</f>
        <v>0</v>
      </c>
      <c r="BM1391" s="80">
        <f>IF(BE1391=1,ROUND(AR1391/60,6),0)</f>
        <v>0</v>
      </c>
      <c r="BN1391" s="80">
        <f>ROUND(BI1391-BM1391,6)</f>
        <v>0</v>
      </c>
      <c r="BO1391" s="80">
        <f>IF(BE1391=1,ROUND(AS1391/60,6),0)</f>
        <v>0</v>
      </c>
      <c r="BP1391" s="80">
        <f>ROUND(BJ1391-BO1391,6)</f>
        <v>0</v>
      </c>
      <c r="BQ1391" s="80">
        <f>IF(BE1391=1,AW1391,0)</f>
        <v>0</v>
      </c>
      <c r="BR1391" s="80">
        <f>IF(BE1391=1,AX1391,0)</f>
        <v>0</v>
      </c>
      <c r="BS1391" s="80">
        <f>IF(AND(BE1391=1,D1391="Malcolm",BA1391&gt;0),MIN(BH1391,SUMPRODUCT((R_Emp="proMX")*(R_EN&gt;0)*((R_EN-(R_EN&gt;BR1391)*(R_EN-BR1391))&gt;(R_SN+(R_SN&lt;BQ1391)*(BQ1391-R_SN)))*((R_EN-(R_EN&gt;BR1391)*(R_EN-BR1391))-(R_SN+(R_SN&lt;BQ1391)*(BQ1391-R_SN))))/60),0)</f>
        <v>0</v>
      </c>
      <c r="BT1391" s="80">
        <f>IF(AND(BE1391=1,D1391="proMX"),ROUND(BI1391*CFG_RATE+BJ1391*CFG_OTRATE,6),0)</f>
        <v>0</v>
      </c>
      <c r="BU1391" s="80">
        <f>IF(AND(BD1391=1,D1391="proMX"),ROUND(AG1391/CFG_BLK,6),0)</f>
        <v>0</v>
      </c>
      <c r="BV1391" s="80" t="str">
        <f>IF(BF1391="Approved",IF(ISNUMBER(T1391),INT(T1391),INT(B1391)),"")</f>
        <v/>
      </c>
      <c r="BW1391" s="80">
        <f>IF(ISNUMBER(B1391),IF(DB_MON="Todos",1,IF(AND(INT(B1391)&gt;=DB_MS,INT(B1391)&lt;=DB_ME),1,0)),0)</f>
        <v>0</v>
      </c>
      <c r="BX1391" s="80">
        <f>IF(DB_PROJ="Todos",1,IF(E1391&amp;""=DB_PROJ&amp;"",1,0))</f>
        <v>1</v>
      </c>
      <c r="BY1391" s="80">
        <f>BW1391*BX1391</f>
        <v>0</v>
      </c>
      <c r="BZ1391" s="80" t="str">
        <f>IF(Y1391=1,F1391&amp;IF(AND(F1391&amp;""&lt;&gt;"",E1391&amp;""&lt;&gt;"")," · ","")&amp;E1391,"")</f>
        <v/>
      </c>
      <c r="CA1391" s="80" t="str">
        <f>IF(AND(BD1391=1,E1391&amp;""&lt;&gt;""),IF(COUNTIFS($E$5:E1390,E1391,$BD$5:BD1390,1)=0,MAX($CA$5:CA1390)+1,""),"")</f>
        <v/>
      </c>
      <c r="CB1391" s="80" t="str">
        <f>IF(AND(BE1391=1,D1391="Malcolm",E1391&amp;""&lt;&gt;""),IF(COUNTIFS($D$5:D1390,"Malcolm",$E$5:E1390,E1391,$BE$5:BE1390,1)=0,MAX($CB$5:CB1390)+1,""),"")</f>
        <v/>
      </c>
      <c r="CC1391" s="80" t="str">
        <f>IF(AND(BD1391=1,D1391="proMX",E1391&amp;""&lt;&gt;""),IF(COUNTIFS($D$5:D1390,"proMX",$E$5:E1390,E1391,$BD$5:BD1390,1)=0,MAX($CC$5:CC1390)+1,""),"")</f>
        <v/>
      </c>
      <c r="CD1391" s="80" t="str">
        <f>IF(AND(BE1391=1,D1391="Malcolm",F1391&amp;""&lt;&gt;""),IF(COUNTIFS($D$5:D1390,"Malcolm",$F$5:F1390,F1391,$BE$5:BE1390,1)=0,MAX($CD$5:CD1390)+1,""),"")</f>
        <v/>
      </c>
      <c r="CE1391" s="80" t="str">
        <f>IF(AND(BD1391=1,D1391="proMX",F1391&amp;""&lt;&gt;""),IF(COUNTIFS($D$5:D1390,"proMX",$F$5:F1390,F1391,$BD$5:BD1390,1)=0,MAX($CE$5:CE1390)+1,""),"")</f>
        <v/>
      </c>
      <c r="CF1391" s="80" t="str">
        <f>IF(AND(D1391="proMX",BD1391=1),IF(OR(BF1391="Draft",BF1391="Submitted",BF1391="Returned",BF1391="Recall Requested"),MAX($CF$5:CF1390)+1,""),"")</f>
        <v/>
      </c>
      <c r="CG1391" s="80">
        <f>IF(BD1391=0,0,IF(D1391="Malcolm",1,MATCH(BF1391,{"Draft","Submitted","Approved","Returned","Recall Requested","Cancelled"},0)+1))</f>
        <v>0</v>
      </c>
      <c r="CH1391" s="80">
        <f>IF(AND(BF1391="Submitted",ISNUMBER(V1391)),IF(V1391&gt;CFG_MAXD,1,0),0)</f>
        <v>0</v>
      </c>
    </row>
    <row r="1392">
      <c r="A1392" s="71" t="str">
        <f>IF(Y1392=1,ROW()-5,"")</f>
        <v/>
      </c>
      <c r="B1392" s="72" t="n"/>
      <c r="C1392" s="71" t="str">
        <f>IF(ISNUMBER(B1392),CHOOSE(WEEKDAY(B1392,2),"Lun","Mar","Mié","Jue","Vie","Sáb","Dom"),"")</f>
        <v/>
      </c>
      <c r="D1392" s="73" t="n"/>
      <c r="E1392" s="74" t="n"/>
      <c r="F1392" s="74" t="n"/>
      <c r="G1392" s="74" t="n"/>
      <c r="H1392" s="75" t="n"/>
      <c r="I1392" s="75" t="n"/>
      <c r="J1392" s="76" t="n"/>
      <c r="K1392" s="77" t="str">
        <f>IF(AB1392=1,ROUND(AG1392/60,4),"")</f>
        <v/>
      </c>
      <c r="L1392" s="77" t="str">
        <f>IF(BD1392=1,ROUND(AP1392/60,4),"")</f>
        <v/>
      </c>
      <c r="M1392" s="77" t="str">
        <f>IF(BD1392=1,ROUND(AQ1392/60,4),"")</f>
        <v/>
      </c>
      <c r="N1392" s="71" t="str">
        <f>IF(AND(D1392="proMX",AB1392=1),ROUND(AG1392/CFG_BLK,2),"")</f>
        <v/>
      </c>
      <c r="O1392" s="77" t="str">
        <f>IF(D1392="proMX",IF(BD1392=1,ROUND(AG1392/60,4),0),"")</f>
        <v/>
      </c>
      <c r="P1392" s="78" t="str">
        <f>IF(Y1392=0,"",IF(BD1392=1,"OK",IF(D1392="proMX","Revisar bloques: ","Revisar: ")&amp;BC1392))</f>
        <v/>
      </c>
      <c r="Q1392" s="78" t="str">
        <f>IF(NOT(ISNUMBER(B1392)),"",IF(COUNTIFS(FER_F,INT(B1392))&gt;0,"Feriado"&amp;IF(AH1392=1," (laborable)"," (no laborable)"),IF(AH1392=1,"Laborable",IF(WEEKDAY(B1392,2)&gt;5,"Fin de semana","No laborable"))))</f>
        <v/>
      </c>
      <c r="R1392" s="73" t="n"/>
      <c r="S1392" s="72" t="n"/>
      <c r="T1392" s="72" t="n"/>
      <c r="U1392" s="74" t="n"/>
      <c r="V1392" s="79" t="str">
        <f>IF(AND(D1392="proMX",OR(R1392="Submitted",R1392="Recall Requested"),ISNUMBER(S1392)),CFG_TODAY-INT(S1392),"")</f>
        <v/>
      </c>
      <c r="W1392" s="78" t="str">
        <f>IF(BD1392=0,"",IF(BA1392&gt;0,"⚠ Se superpone con un registro de la otra empresa",IF(D1392="Malcolm",IF(COUNTA(R1392,S1392,T1392)&gt;0,"Estado/fechas proMX se ignoran en Malcolm",""),IF(BF1392="Cancelled","Cancelado: excluido de totales",IF(R1392="","Sin estado: se trata como Draft",IF(BF1392="Submitted",IF(ISNUMBER(V1392),IF(V1392&gt;CFG_MAXD,"⚠ "&amp;V1392&amp;" días en Submitted (máx. "&amp;CFG_MAXD&amp;")",""),"Falta fecha de envío"),IF(BF1392="Returned","⚠ Devuelto: corregir y reenviar",IF(BF1392="Recall Requested","Retirada solicitada: pendiente",IF(AND(BF1392="Approved",NOT(ISNUMBER(T1392))),"Falta fecha de aprobación",IF(AND(ISNUMBER(S1392),ISNUMBER(T1392),T1392&lt;S1392),"Aprobación anterior al envío","")))))))))</f>
        <v/>
      </c>
      <c r="Y1392" s="80">
        <f>IF(COUNTA(B1392,D1392,E1392,F1392,G1392,H1392,I1392,J1392,R1392,S1392,T1392)&gt;0,1,0)</f>
        <v>0</v>
      </c>
      <c r="Z1392" s="80" t="str">
        <f>IF(AND(ISNUMBER(H1392),H1392&gt;=0,H1392&lt;1),ROUND(H1392*1440,0),"")</f>
        <v/>
      </c>
      <c r="AA1392" s="80" t="str">
        <f>IF(AND(ISNUMBER(I1392),I1392&gt;=0,I1392&lt;1),ROUND(I1392*1440,0),"")</f>
        <v/>
      </c>
      <c r="AB1392" s="80">
        <f>IF(AND(ISNUMBER(B1392),D1392&lt;&gt;"",ISNUMBER(Z1392),ISNUMBER(AA1392)),IF(Z1392=AA1392,0,1),0)</f>
        <v>0</v>
      </c>
      <c r="AC1392" s="80">
        <f>IF(AB1392=1,IF(AA1392&lt;Z1392,1,0),0)</f>
        <v>0</v>
      </c>
      <c r="AD1392" s="80">
        <f>IF(AB1392=1,IF(AC1392=1,1440-Z1392+AA1392,AA1392-Z1392),0)</f>
        <v>0</v>
      </c>
      <c r="AE1392" s="80">
        <f>IF(J1392="",0,IF(ISNUMBER(J1392),J1392,-1))</f>
        <v>0</v>
      </c>
      <c r="AF1392" s="80">
        <f>MIN(MAX(0,AE1392),AD1392)</f>
        <v>0</v>
      </c>
      <c r="AG1392" s="80">
        <f>MAX(0,AD1392-MAX(0,AE1392))</f>
        <v>0</v>
      </c>
      <c r="AH1392" s="80">
        <f>IF(ISNUMBER(B1392),IF(AND(INDEX(CFG_WDAYS,WEEKDAY(INT(B1392),2))="Sí",IF(D1392="proMX",COUNTIFS(FER_F,INT(B1392),FER_NLP,"Sí"),COUNTIFS(FER_F,INT(B1392),FER_NLM,"Sí"))=0),1,0),0)</f>
        <v>0</v>
      </c>
      <c r="AI1392" s="80">
        <f>IF(AC1392=1,IF(AND(INDEX(CFG_WDAYS,WEEKDAY(INT(B1392)+1,2))="Sí",IF(D1392="proMX",COUNTIFS(FER_F,INT(B1392)+1,FER_NLP,"Sí"),COUNTIFS(FER_F,INT(B1392)+1,FER_NLM,"Sí"))=0),1,0),0)</f>
        <v>0</v>
      </c>
      <c r="AJ1392" s="80">
        <f>IF(AC1392=1,1440-Z1392,AD1392)</f>
        <v>0</v>
      </c>
      <c r="AK1392" s="80">
        <f>IF(AND(AB1392=1,AH1392=1),MAX(0,MIN(IF(AC1392=1,1440,AA1392),CFG_WEM)-MAX(Z1392,CFG_WSM)),0)</f>
        <v>0</v>
      </c>
      <c r="AL1392" s="80">
        <f>IF(AND(AC1392=1,AI1392=1),MAX(0,MIN(AA1392,CFG_WEM)-CFG_WSM),0)</f>
        <v>0</v>
      </c>
      <c r="AM1392" s="80">
        <f>AK1392+AL1392</f>
        <v>0</v>
      </c>
      <c r="AN1392" s="80">
        <f>IF(CFG_BRK="Proporcional",IF(AD1392=0,0,AF1392*AM1392/AD1392),IF(CFG_BRK="Extras primero",MIN(AM1392,MAX(0,AF1392-(AD1392-AM1392))),MIN(AF1392,AM1392)))</f>
        <v>0</v>
      </c>
      <c r="AO1392" s="80">
        <f>AF1392-AN1392</f>
        <v>0</v>
      </c>
      <c r="AP1392" s="80">
        <f>AM1392-AN1392</f>
        <v>0</v>
      </c>
      <c r="AQ1392" s="80">
        <f>AD1392-AM1392-AO1392</f>
        <v>0</v>
      </c>
      <c r="AR1392" s="80">
        <f>IF(AM1392=0,0,AK1392-AN1392*AK1392/AM1392)</f>
        <v>0</v>
      </c>
      <c r="AS1392" s="80">
        <f>IF(AD1392-AM1392=0,0,(AJ1392-AK1392)-AO1392*(AJ1392-AK1392)/(AD1392-AM1392))</f>
        <v>0</v>
      </c>
      <c r="AT1392" s="80" t="str">
        <f>IF(AC1392=1,INT(B1392)+1,"")</f>
        <v/>
      </c>
      <c r="AU1392" s="80">
        <f>IF(AND(D1392="proMX",R1392="Cancelled"),0,1)</f>
        <v>1</v>
      </c>
      <c r="AV1392" s="80">
        <f>IF(AND(AB1392=1,AU1392=1),IF(COUNTIFS($D$5:D1391,D1392,$B$5:B1391,B1392,$Z$5:Z1391,Z1392,$AA$5:AA1391,AA1392,$F$5:F1391,F1392&amp;"",$AU$5:AU1391,1)&gt;0,1,0),0)</f>
        <v>0</v>
      </c>
      <c r="AW1392" s="80" t="str">
        <f>IF(AB1392=1,INT(B1392)*1440+Z1392,"")</f>
        <v/>
      </c>
      <c r="AX1392" s="80" t="str">
        <f>IF(AB1392=1,AW1392+AD1392,"")</f>
        <v/>
      </c>
      <c r="AY1392" s="80">
        <f>IF(AND(AB1392=1,AV1392=0,AU1392=1),1,0)</f>
        <v>0</v>
      </c>
      <c r="AZ1392" s="80">
        <f>IF(AY1392=1,COUNTIFS(R_Emp,D1392,R_SAbs,"&lt;"&amp;AX1392,R_EAbs,"&gt;"&amp;AW1392,R_OKey,1)-1,0)</f>
        <v>0</v>
      </c>
      <c r="BA1392" s="80">
        <f>IF(AY1392=1,COUNTIFS(R_Emp,"&lt;&gt;"&amp;D1392,R_SAbs,"&lt;"&amp;AX1392,R_EAbs,"&gt;"&amp;AW1392,R_OKey,1),0)</f>
        <v>0</v>
      </c>
      <c r="BB1392" s="80">
        <f>IF(AND(AB1392=1,D1392="proMX"),IF(AND(MOD(Z1392,CFG_BLK)=0,MOD(AA1392,CFG_BLK)=0,MOD(AG1392,CFG_BLK)=0,AG1392&gt;0),1,0),1)</f>
        <v>1</v>
      </c>
      <c r="BC1392" s="80" t="str">
        <f>IF(Y1392=0,"",IF(NOT(ISNUMBER(B1392)),"Falta fecha o fecha inválida",IF(D1392="","Falta empresa",IF(AND(D1392&lt;&gt;"Malcolm",D1392&lt;&gt;"proMX"),"Empresa inválida",IF(OR(INT(B1392)&lt;CFG_PSTART,INT(B1392)&gt;CFG_PEND),"Fecha fuera del período",IF(OR(NOT(ISNUMBER(Z1392)),NOT(ISNUMBER(AA1392))),"Falta hora inicio/fin o formato inválido",IF(AB1392=0,"Hora inicio = hora fin",IF(AE1392&lt;0,"Descanso inválido",IF(AE1392&gt;=AD1392,"Descanso ≥ duración",IF(AV1392=1,"Registro duplicado",IF(AZ1392&gt;0,"Se superpone con otro registro "&amp;D1392,IF(BB1392=0,"inicio, fin y duración neta deben ser múltiplos de "&amp;CFG_BLK&amp;" min",""))))))))))))</f>
        <v/>
      </c>
      <c r="BD1392" s="80">
        <f>IF(AND(Y1392=1,BC1392=""),1,0)</f>
        <v>0</v>
      </c>
      <c r="BE1392" s="80">
        <f>IF(AND(BD1392=1,AU1392=1),1,0)</f>
        <v>0</v>
      </c>
      <c r="BF1392" s="80" t="str">
        <f>IF(AND(D1392="proMX",BD1392=1),IF(R1392="","Draft",R1392),"")</f>
        <v/>
      </c>
      <c r="BG1392" s="80">
        <f>IF(BD1392=1,ROUND(AG1392/60,6),0)</f>
        <v>0</v>
      </c>
      <c r="BH1392" s="80">
        <f>IF(BE1392=1,ROUND(AG1392/60,6),0)</f>
        <v>0</v>
      </c>
      <c r="BI1392" s="80">
        <f>IF(BE1392=1,ROUND(AP1392/60,6),0)</f>
        <v>0</v>
      </c>
      <c r="BJ1392" s="80">
        <f>IF(BE1392=1,ROUND(AQ1392/60,6),0)</f>
        <v>0</v>
      </c>
      <c r="BK1392" s="80">
        <f>IF(BE1392=1,ROUND((AR1392+AS1392)/60,6),0)</f>
        <v>0</v>
      </c>
      <c r="BL1392" s="80">
        <f>ROUND(BH1392-BK1392,6)</f>
        <v>0</v>
      </c>
      <c r="BM1392" s="80">
        <f>IF(BE1392=1,ROUND(AR1392/60,6),0)</f>
        <v>0</v>
      </c>
      <c r="BN1392" s="80">
        <f>ROUND(BI1392-BM1392,6)</f>
        <v>0</v>
      </c>
      <c r="BO1392" s="80">
        <f>IF(BE1392=1,ROUND(AS1392/60,6),0)</f>
        <v>0</v>
      </c>
      <c r="BP1392" s="80">
        <f>ROUND(BJ1392-BO1392,6)</f>
        <v>0</v>
      </c>
      <c r="BQ1392" s="80">
        <f>IF(BE1392=1,AW1392,0)</f>
        <v>0</v>
      </c>
      <c r="BR1392" s="80">
        <f>IF(BE1392=1,AX1392,0)</f>
        <v>0</v>
      </c>
      <c r="BS1392" s="80">
        <f>IF(AND(BE1392=1,D1392="Malcolm",BA1392&gt;0),MIN(BH1392,SUMPRODUCT((R_Emp="proMX")*(R_EN&gt;0)*((R_EN-(R_EN&gt;BR1392)*(R_EN-BR1392))&gt;(R_SN+(R_SN&lt;BQ1392)*(BQ1392-R_SN)))*((R_EN-(R_EN&gt;BR1392)*(R_EN-BR1392))-(R_SN+(R_SN&lt;BQ1392)*(BQ1392-R_SN))))/60),0)</f>
        <v>0</v>
      </c>
      <c r="BT1392" s="80">
        <f>IF(AND(BE1392=1,D1392="proMX"),ROUND(BI1392*CFG_RATE+BJ1392*CFG_OTRATE,6),0)</f>
        <v>0</v>
      </c>
      <c r="BU1392" s="80">
        <f>IF(AND(BD1392=1,D1392="proMX"),ROUND(AG1392/CFG_BLK,6),0)</f>
        <v>0</v>
      </c>
      <c r="BV1392" s="80" t="str">
        <f>IF(BF1392="Approved",IF(ISNUMBER(T1392),INT(T1392),INT(B1392)),"")</f>
        <v/>
      </c>
      <c r="BW1392" s="80">
        <f>IF(ISNUMBER(B1392),IF(DB_MON="Todos",1,IF(AND(INT(B1392)&gt;=DB_MS,INT(B1392)&lt;=DB_ME),1,0)),0)</f>
        <v>0</v>
      </c>
      <c r="BX1392" s="80">
        <f>IF(DB_PROJ="Todos",1,IF(E1392&amp;""=DB_PROJ&amp;"",1,0))</f>
        <v>1</v>
      </c>
      <c r="BY1392" s="80">
        <f>BW1392*BX1392</f>
        <v>0</v>
      </c>
      <c r="BZ1392" s="80" t="str">
        <f>IF(Y1392=1,F1392&amp;IF(AND(F1392&amp;""&lt;&gt;"",E1392&amp;""&lt;&gt;"")," · ","")&amp;E1392,"")</f>
        <v/>
      </c>
      <c r="CA1392" s="80" t="str">
        <f>IF(AND(BD1392=1,E1392&amp;""&lt;&gt;""),IF(COUNTIFS($E$5:E1391,E1392,$BD$5:BD1391,1)=0,MAX($CA$5:CA1391)+1,""),"")</f>
        <v/>
      </c>
      <c r="CB1392" s="80" t="str">
        <f>IF(AND(BE1392=1,D1392="Malcolm",E1392&amp;""&lt;&gt;""),IF(COUNTIFS($D$5:D1391,"Malcolm",$E$5:E1391,E1392,$BE$5:BE1391,1)=0,MAX($CB$5:CB1391)+1,""),"")</f>
        <v/>
      </c>
      <c r="CC1392" s="80" t="str">
        <f>IF(AND(BD1392=1,D1392="proMX",E1392&amp;""&lt;&gt;""),IF(COUNTIFS($D$5:D1391,"proMX",$E$5:E1391,E1392,$BD$5:BD1391,1)=0,MAX($CC$5:CC1391)+1,""),"")</f>
        <v/>
      </c>
      <c r="CD1392" s="80" t="str">
        <f>IF(AND(BE1392=1,D1392="Malcolm",F1392&amp;""&lt;&gt;""),IF(COUNTIFS($D$5:D1391,"Malcolm",$F$5:F1391,F1392,$BE$5:BE1391,1)=0,MAX($CD$5:CD1391)+1,""),"")</f>
        <v/>
      </c>
      <c r="CE1392" s="80" t="str">
        <f>IF(AND(BD1392=1,D1392="proMX",F1392&amp;""&lt;&gt;""),IF(COUNTIFS($D$5:D1391,"proMX",$F$5:F1391,F1392,$BD$5:BD1391,1)=0,MAX($CE$5:CE1391)+1,""),"")</f>
        <v/>
      </c>
      <c r="CF1392" s="80" t="str">
        <f>IF(AND(D1392="proMX",BD1392=1),IF(OR(BF1392="Draft",BF1392="Submitted",BF1392="Returned",BF1392="Recall Requested"),MAX($CF$5:CF1391)+1,""),"")</f>
        <v/>
      </c>
      <c r="CG1392" s="80">
        <f>IF(BD1392=0,0,IF(D1392="Malcolm",1,MATCH(BF1392,{"Draft","Submitted","Approved","Returned","Recall Requested","Cancelled"},0)+1))</f>
        <v>0</v>
      </c>
      <c r="CH1392" s="80">
        <f>IF(AND(BF1392="Submitted",ISNUMBER(V1392)),IF(V1392&gt;CFG_MAXD,1,0),0)</f>
        <v>0</v>
      </c>
    </row>
    <row r="1393">
      <c r="A1393" s="71" t="str">
        <f>IF(Y1393=1,ROW()-5,"")</f>
        <v/>
      </c>
      <c r="B1393" s="72" t="n"/>
      <c r="C1393" s="71" t="str">
        <f>IF(ISNUMBER(B1393),CHOOSE(WEEKDAY(B1393,2),"Lun","Mar","Mié","Jue","Vie","Sáb","Dom"),"")</f>
        <v/>
      </c>
      <c r="D1393" s="73" t="n"/>
      <c r="E1393" s="74" t="n"/>
      <c r="F1393" s="74" t="n"/>
      <c r="G1393" s="74" t="n"/>
      <c r="H1393" s="75" t="n"/>
      <c r="I1393" s="75" t="n"/>
      <c r="J1393" s="76" t="n"/>
      <c r="K1393" s="77" t="str">
        <f>IF(AB1393=1,ROUND(AG1393/60,4),"")</f>
        <v/>
      </c>
      <c r="L1393" s="77" t="str">
        <f>IF(BD1393=1,ROUND(AP1393/60,4),"")</f>
        <v/>
      </c>
      <c r="M1393" s="77" t="str">
        <f>IF(BD1393=1,ROUND(AQ1393/60,4),"")</f>
        <v/>
      </c>
      <c r="N1393" s="71" t="str">
        <f>IF(AND(D1393="proMX",AB1393=1),ROUND(AG1393/CFG_BLK,2),"")</f>
        <v/>
      </c>
      <c r="O1393" s="77" t="str">
        <f>IF(D1393="proMX",IF(BD1393=1,ROUND(AG1393/60,4),0),"")</f>
        <v/>
      </c>
      <c r="P1393" s="78" t="str">
        <f>IF(Y1393=0,"",IF(BD1393=1,"OK",IF(D1393="proMX","Revisar bloques: ","Revisar: ")&amp;BC1393))</f>
        <v/>
      </c>
      <c r="Q1393" s="78" t="str">
        <f>IF(NOT(ISNUMBER(B1393)),"",IF(COUNTIFS(FER_F,INT(B1393))&gt;0,"Feriado"&amp;IF(AH1393=1," (laborable)"," (no laborable)"),IF(AH1393=1,"Laborable",IF(WEEKDAY(B1393,2)&gt;5,"Fin de semana","No laborable"))))</f>
        <v/>
      </c>
      <c r="R1393" s="73" t="n"/>
      <c r="S1393" s="72" t="n"/>
      <c r="T1393" s="72" t="n"/>
      <c r="U1393" s="74" t="n"/>
      <c r="V1393" s="79" t="str">
        <f>IF(AND(D1393="proMX",OR(R1393="Submitted",R1393="Recall Requested"),ISNUMBER(S1393)),CFG_TODAY-INT(S1393),"")</f>
        <v/>
      </c>
      <c r="W1393" s="78" t="str">
        <f>IF(BD1393=0,"",IF(BA1393&gt;0,"⚠ Se superpone con un registro de la otra empresa",IF(D1393="Malcolm",IF(COUNTA(R1393,S1393,T1393)&gt;0,"Estado/fechas proMX se ignoran en Malcolm",""),IF(BF1393="Cancelled","Cancelado: excluido de totales",IF(R1393="","Sin estado: se trata como Draft",IF(BF1393="Submitted",IF(ISNUMBER(V1393),IF(V1393&gt;CFG_MAXD,"⚠ "&amp;V1393&amp;" días en Submitted (máx. "&amp;CFG_MAXD&amp;")",""),"Falta fecha de envío"),IF(BF1393="Returned","⚠ Devuelto: corregir y reenviar",IF(BF1393="Recall Requested","Retirada solicitada: pendiente",IF(AND(BF1393="Approved",NOT(ISNUMBER(T1393))),"Falta fecha de aprobación",IF(AND(ISNUMBER(S1393),ISNUMBER(T1393),T1393&lt;S1393),"Aprobación anterior al envío","")))))))))</f>
        <v/>
      </c>
      <c r="Y1393" s="80">
        <f>IF(COUNTA(B1393,D1393,E1393,F1393,G1393,H1393,I1393,J1393,R1393,S1393,T1393)&gt;0,1,0)</f>
        <v>0</v>
      </c>
      <c r="Z1393" s="80" t="str">
        <f>IF(AND(ISNUMBER(H1393),H1393&gt;=0,H1393&lt;1),ROUND(H1393*1440,0),"")</f>
        <v/>
      </c>
      <c r="AA1393" s="80" t="str">
        <f>IF(AND(ISNUMBER(I1393),I1393&gt;=0,I1393&lt;1),ROUND(I1393*1440,0),"")</f>
        <v/>
      </c>
      <c r="AB1393" s="80">
        <f>IF(AND(ISNUMBER(B1393),D1393&lt;&gt;"",ISNUMBER(Z1393),ISNUMBER(AA1393)),IF(Z1393=AA1393,0,1),0)</f>
        <v>0</v>
      </c>
      <c r="AC1393" s="80">
        <f>IF(AB1393=1,IF(AA1393&lt;Z1393,1,0),0)</f>
        <v>0</v>
      </c>
      <c r="AD1393" s="80">
        <f>IF(AB1393=1,IF(AC1393=1,1440-Z1393+AA1393,AA1393-Z1393),0)</f>
        <v>0</v>
      </c>
      <c r="AE1393" s="80">
        <f>IF(J1393="",0,IF(ISNUMBER(J1393),J1393,-1))</f>
        <v>0</v>
      </c>
      <c r="AF1393" s="80">
        <f>MIN(MAX(0,AE1393),AD1393)</f>
        <v>0</v>
      </c>
      <c r="AG1393" s="80">
        <f>MAX(0,AD1393-MAX(0,AE1393))</f>
        <v>0</v>
      </c>
      <c r="AH1393" s="80">
        <f>IF(ISNUMBER(B1393),IF(AND(INDEX(CFG_WDAYS,WEEKDAY(INT(B1393),2))="Sí",IF(D1393="proMX",COUNTIFS(FER_F,INT(B1393),FER_NLP,"Sí"),COUNTIFS(FER_F,INT(B1393),FER_NLM,"Sí"))=0),1,0),0)</f>
        <v>0</v>
      </c>
      <c r="AI1393" s="80">
        <f>IF(AC1393=1,IF(AND(INDEX(CFG_WDAYS,WEEKDAY(INT(B1393)+1,2))="Sí",IF(D1393="proMX",COUNTIFS(FER_F,INT(B1393)+1,FER_NLP,"Sí"),COUNTIFS(FER_F,INT(B1393)+1,FER_NLM,"Sí"))=0),1,0),0)</f>
        <v>0</v>
      </c>
      <c r="AJ1393" s="80">
        <f>IF(AC1393=1,1440-Z1393,AD1393)</f>
        <v>0</v>
      </c>
      <c r="AK1393" s="80">
        <f>IF(AND(AB1393=1,AH1393=1),MAX(0,MIN(IF(AC1393=1,1440,AA1393),CFG_WEM)-MAX(Z1393,CFG_WSM)),0)</f>
        <v>0</v>
      </c>
      <c r="AL1393" s="80">
        <f>IF(AND(AC1393=1,AI1393=1),MAX(0,MIN(AA1393,CFG_WEM)-CFG_WSM),0)</f>
        <v>0</v>
      </c>
      <c r="AM1393" s="80">
        <f>AK1393+AL1393</f>
        <v>0</v>
      </c>
      <c r="AN1393" s="80">
        <f>IF(CFG_BRK="Proporcional",IF(AD1393=0,0,AF1393*AM1393/AD1393),IF(CFG_BRK="Extras primero",MIN(AM1393,MAX(0,AF1393-(AD1393-AM1393))),MIN(AF1393,AM1393)))</f>
        <v>0</v>
      </c>
      <c r="AO1393" s="80">
        <f>AF1393-AN1393</f>
        <v>0</v>
      </c>
      <c r="AP1393" s="80">
        <f>AM1393-AN1393</f>
        <v>0</v>
      </c>
      <c r="AQ1393" s="80">
        <f>AD1393-AM1393-AO1393</f>
        <v>0</v>
      </c>
      <c r="AR1393" s="80">
        <f>IF(AM1393=0,0,AK1393-AN1393*AK1393/AM1393)</f>
        <v>0</v>
      </c>
      <c r="AS1393" s="80">
        <f>IF(AD1393-AM1393=0,0,(AJ1393-AK1393)-AO1393*(AJ1393-AK1393)/(AD1393-AM1393))</f>
        <v>0</v>
      </c>
      <c r="AT1393" s="80" t="str">
        <f>IF(AC1393=1,INT(B1393)+1,"")</f>
        <v/>
      </c>
      <c r="AU1393" s="80">
        <f>IF(AND(D1393="proMX",R1393="Cancelled"),0,1)</f>
        <v>1</v>
      </c>
      <c r="AV1393" s="80">
        <f>IF(AND(AB1393=1,AU1393=1),IF(COUNTIFS($D$5:D1392,D1393,$B$5:B1392,B1393,$Z$5:Z1392,Z1393,$AA$5:AA1392,AA1393,$F$5:F1392,F1393&amp;"",$AU$5:AU1392,1)&gt;0,1,0),0)</f>
        <v>0</v>
      </c>
      <c r="AW1393" s="80" t="str">
        <f>IF(AB1393=1,INT(B1393)*1440+Z1393,"")</f>
        <v/>
      </c>
      <c r="AX1393" s="80" t="str">
        <f>IF(AB1393=1,AW1393+AD1393,"")</f>
        <v/>
      </c>
      <c r="AY1393" s="80">
        <f>IF(AND(AB1393=1,AV1393=0,AU1393=1),1,0)</f>
        <v>0</v>
      </c>
      <c r="AZ1393" s="80">
        <f>IF(AY1393=1,COUNTIFS(R_Emp,D1393,R_SAbs,"&lt;"&amp;AX1393,R_EAbs,"&gt;"&amp;AW1393,R_OKey,1)-1,0)</f>
        <v>0</v>
      </c>
      <c r="BA1393" s="80">
        <f>IF(AY1393=1,COUNTIFS(R_Emp,"&lt;&gt;"&amp;D1393,R_SAbs,"&lt;"&amp;AX1393,R_EAbs,"&gt;"&amp;AW1393,R_OKey,1),0)</f>
        <v>0</v>
      </c>
      <c r="BB1393" s="80">
        <f>IF(AND(AB1393=1,D1393="proMX"),IF(AND(MOD(Z1393,CFG_BLK)=0,MOD(AA1393,CFG_BLK)=0,MOD(AG1393,CFG_BLK)=0,AG1393&gt;0),1,0),1)</f>
        <v>1</v>
      </c>
      <c r="BC1393" s="80" t="str">
        <f>IF(Y1393=0,"",IF(NOT(ISNUMBER(B1393)),"Falta fecha o fecha inválida",IF(D1393="","Falta empresa",IF(AND(D1393&lt;&gt;"Malcolm",D1393&lt;&gt;"proMX"),"Empresa inválida",IF(OR(INT(B1393)&lt;CFG_PSTART,INT(B1393)&gt;CFG_PEND),"Fecha fuera del período",IF(OR(NOT(ISNUMBER(Z1393)),NOT(ISNUMBER(AA1393))),"Falta hora inicio/fin o formato inválido",IF(AB1393=0,"Hora inicio = hora fin",IF(AE1393&lt;0,"Descanso inválido",IF(AE1393&gt;=AD1393,"Descanso ≥ duración",IF(AV1393=1,"Registro duplicado",IF(AZ1393&gt;0,"Se superpone con otro registro "&amp;D1393,IF(BB1393=0,"inicio, fin y duración neta deben ser múltiplos de "&amp;CFG_BLK&amp;" min",""))))))))))))</f>
        <v/>
      </c>
      <c r="BD1393" s="80">
        <f>IF(AND(Y1393=1,BC1393=""),1,0)</f>
        <v>0</v>
      </c>
      <c r="BE1393" s="80">
        <f>IF(AND(BD1393=1,AU1393=1),1,0)</f>
        <v>0</v>
      </c>
      <c r="BF1393" s="80" t="str">
        <f>IF(AND(D1393="proMX",BD1393=1),IF(R1393="","Draft",R1393),"")</f>
        <v/>
      </c>
      <c r="BG1393" s="80">
        <f>IF(BD1393=1,ROUND(AG1393/60,6),0)</f>
        <v>0</v>
      </c>
      <c r="BH1393" s="80">
        <f>IF(BE1393=1,ROUND(AG1393/60,6),0)</f>
        <v>0</v>
      </c>
      <c r="BI1393" s="80">
        <f>IF(BE1393=1,ROUND(AP1393/60,6),0)</f>
        <v>0</v>
      </c>
      <c r="BJ1393" s="80">
        <f>IF(BE1393=1,ROUND(AQ1393/60,6),0)</f>
        <v>0</v>
      </c>
      <c r="BK1393" s="80">
        <f>IF(BE1393=1,ROUND((AR1393+AS1393)/60,6),0)</f>
        <v>0</v>
      </c>
      <c r="BL1393" s="80">
        <f>ROUND(BH1393-BK1393,6)</f>
        <v>0</v>
      </c>
      <c r="BM1393" s="80">
        <f>IF(BE1393=1,ROUND(AR1393/60,6),0)</f>
        <v>0</v>
      </c>
      <c r="BN1393" s="80">
        <f>ROUND(BI1393-BM1393,6)</f>
        <v>0</v>
      </c>
      <c r="BO1393" s="80">
        <f>IF(BE1393=1,ROUND(AS1393/60,6),0)</f>
        <v>0</v>
      </c>
      <c r="BP1393" s="80">
        <f>ROUND(BJ1393-BO1393,6)</f>
        <v>0</v>
      </c>
      <c r="BQ1393" s="80">
        <f>IF(BE1393=1,AW1393,0)</f>
        <v>0</v>
      </c>
      <c r="BR1393" s="80">
        <f>IF(BE1393=1,AX1393,0)</f>
        <v>0</v>
      </c>
      <c r="BS1393" s="80">
        <f>IF(AND(BE1393=1,D1393="Malcolm",BA1393&gt;0),MIN(BH1393,SUMPRODUCT((R_Emp="proMX")*(R_EN&gt;0)*((R_EN-(R_EN&gt;BR1393)*(R_EN-BR1393))&gt;(R_SN+(R_SN&lt;BQ1393)*(BQ1393-R_SN)))*((R_EN-(R_EN&gt;BR1393)*(R_EN-BR1393))-(R_SN+(R_SN&lt;BQ1393)*(BQ1393-R_SN))))/60),0)</f>
        <v>0</v>
      </c>
      <c r="BT1393" s="80">
        <f>IF(AND(BE1393=1,D1393="proMX"),ROUND(BI1393*CFG_RATE+BJ1393*CFG_OTRATE,6),0)</f>
        <v>0</v>
      </c>
      <c r="BU1393" s="80">
        <f>IF(AND(BD1393=1,D1393="proMX"),ROUND(AG1393/CFG_BLK,6),0)</f>
        <v>0</v>
      </c>
      <c r="BV1393" s="80" t="str">
        <f>IF(BF1393="Approved",IF(ISNUMBER(T1393),INT(T1393),INT(B1393)),"")</f>
        <v/>
      </c>
      <c r="BW1393" s="80">
        <f>IF(ISNUMBER(B1393),IF(DB_MON="Todos",1,IF(AND(INT(B1393)&gt;=DB_MS,INT(B1393)&lt;=DB_ME),1,0)),0)</f>
        <v>0</v>
      </c>
      <c r="BX1393" s="80">
        <f>IF(DB_PROJ="Todos",1,IF(E1393&amp;""=DB_PROJ&amp;"",1,0))</f>
        <v>1</v>
      </c>
      <c r="BY1393" s="80">
        <f>BW1393*BX1393</f>
        <v>0</v>
      </c>
      <c r="BZ1393" s="80" t="str">
        <f>IF(Y1393=1,F1393&amp;IF(AND(F1393&amp;""&lt;&gt;"",E1393&amp;""&lt;&gt;"")," · ","")&amp;E1393,"")</f>
        <v/>
      </c>
      <c r="CA1393" s="80" t="str">
        <f>IF(AND(BD1393=1,E1393&amp;""&lt;&gt;""),IF(COUNTIFS($E$5:E1392,E1393,$BD$5:BD1392,1)=0,MAX($CA$5:CA1392)+1,""),"")</f>
        <v/>
      </c>
      <c r="CB1393" s="80" t="str">
        <f>IF(AND(BE1393=1,D1393="Malcolm",E1393&amp;""&lt;&gt;""),IF(COUNTIFS($D$5:D1392,"Malcolm",$E$5:E1392,E1393,$BE$5:BE1392,1)=0,MAX($CB$5:CB1392)+1,""),"")</f>
        <v/>
      </c>
      <c r="CC1393" s="80" t="str">
        <f>IF(AND(BD1393=1,D1393="proMX",E1393&amp;""&lt;&gt;""),IF(COUNTIFS($D$5:D1392,"proMX",$E$5:E1392,E1393,$BD$5:BD1392,1)=0,MAX($CC$5:CC1392)+1,""),"")</f>
        <v/>
      </c>
      <c r="CD1393" s="80" t="str">
        <f>IF(AND(BE1393=1,D1393="Malcolm",F1393&amp;""&lt;&gt;""),IF(COUNTIFS($D$5:D1392,"Malcolm",$F$5:F1392,F1393,$BE$5:BE1392,1)=0,MAX($CD$5:CD1392)+1,""),"")</f>
        <v/>
      </c>
      <c r="CE1393" s="80" t="str">
        <f>IF(AND(BD1393=1,D1393="proMX",F1393&amp;""&lt;&gt;""),IF(COUNTIFS($D$5:D1392,"proMX",$F$5:F1392,F1393,$BD$5:BD1392,1)=0,MAX($CE$5:CE1392)+1,""),"")</f>
        <v/>
      </c>
      <c r="CF1393" s="80" t="str">
        <f>IF(AND(D1393="proMX",BD1393=1),IF(OR(BF1393="Draft",BF1393="Submitted",BF1393="Returned",BF1393="Recall Requested"),MAX($CF$5:CF1392)+1,""),"")</f>
        <v/>
      </c>
      <c r="CG1393" s="80">
        <f>IF(BD1393=0,0,IF(D1393="Malcolm",1,MATCH(BF1393,{"Draft","Submitted","Approved","Returned","Recall Requested","Cancelled"},0)+1))</f>
        <v>0</v>
      </c>
      <c r="CH1393" s="80">
        <f>IF(AND(BF1393="Submitted",ISNUMBER(V1393)),IF(V1393&gt;CFG_MAXD,1,0),0)</f>
        <v>0</v>
      </c>
    </row>
    <row r="1394">
      <c r="A1394" s="71" t="str">
        <f>IF(Y1394=1,ROW()-5,"")</f>
        <v/>
      </c>
      <c r="B1394" s="72" t="n"/>
      <c r="C1394" s="71" t="str">
        <f>IF(ISNUMBER(B1394),CHOOSE(WEEKDAY(B1394,2),"Lun","Mar","Mié","Jue","Vie","Sáb","Dom"),"")</f>
        <v/>
      </c>
      <c r="D1394" s="73" t="n"/>
      <c r="E1394" s="74" t="n"/>
      <c r="F1394" s="74" t="n"/>
      <c r="G1394" s="74" t="n"/>
      <c r="H1394" s="75" t="n"/>
      <c r="I1394" s="75" t="n"/>
      <c r="J1394" s="76" t="n"/>
      <c r="K1394" s="77" t="str">
        <f>IF(AB1394=1,ROUND(AG1394/60,4),"")</f>
        <v/>
      </c>
      <c r="L1394" s="77" t="str">
        <f>IF(BD1394=1,ROUND(AP1394/60,4),"")</f>
        <v/>
      </c>
      <c r="M1394" s="77" t="str">
        <f>IF(BD1394=1,ROUND(AQ1394/60,4),"")</f>
        <v/>
      </c>
      <c r="N1394" s="71" t="str">
        <f>IF(AND(D1394="proMX",AB1394=1),ROUND(AG1394/CFG_BLK,2),"")</f>
        <v/>
      </c>
      <c r="O1394" s="77" t="str">
        <f>IF(D1394="proMX",IF(BD1394=1,ROUND(AG1394/60,4),0),"")</f>
        <v/>
      </c>
      <c r="P1394" s="78" t="str">
        <f>IF(Y1394=0,"",IF(BD1394=1,"OK",IF(D1394="proMX","Revisar bloques: ","Revisar: ")&amp;BC1394))</f>
        <v/>
      </c>
      <c r="Q1394" s="78" t="str">
        <f>IF(NOT(ISNUMBER(B1394)),"",IF(COUNTIFS(FER_F,INT(B1394))&gt;0,"Feriado"&amp;IF(AH1394=1," (laborable)"," (no laborable)"),IF(AH1394=1,"Laborable",IF(WEEKDAY(B1394,2)&gt;5,"Fin de semana","No laborable"))))</f>
        <v/>
      </c>
      <c r="R1394" s="73" t="n"/>
      <c r="S1394" s="72" t="n"/>
      <c r="T1394" s="72" t="n"/>
      <c r="U1394" s="74" t="n"/>
      <c r="V1394" s="79" t="str">
        <f>IF(AND(D1394="proMX",OR(R1394="Submitted",R1394="Recall Requested"),ISNUMBER(S1394)),CFG_TODAY-INT(S1394),"")</f>
        <v/>
      </c>
      <c r="W1394" s="78" t="str">
        <f>IF(BD1394=0,"",IF(BA1394&gt;0,"⚠ Se superpone con un registro de la otra empresa",IF(D1394="Malcolm",IF(COUNTA(R1394,S1394,T1394)&gt;0,"Estado/fechas proMX se ignoran en Malcolm",""),IF(BF1394="Cancelled","Cancelado: excluido de totales",IF(R1394="","Sin estado: se trata como Draft",IF(BF1394="Submitted",IF(ISNUMBER(V1394),IF(V1394&gt;CFG_MAXD,"⚠ "&amp;V1394&amp;" días en Submitted (máx. "&amp;CFG_MAXD&amp;")",""),"Falta fecha de envío"),IF(BF1394="Returned","⚠ Devuelto: corregir y reenviar",IF(BF1394="Recall Requested","Retirada solicitada: pendiente",IF(AND(BF1394="Approved",NOT(ISNUMBER(T1394))),"Falta fecha de aprobación",IF(AND(ISNUMBER(S1394),ISNUMBER(T1394),T1394&lt;S1394),"Aprobación anterior al envío","")))))))))</f>
        <v/>
      </c>
      <c r="Y1394" s="80">
        <f>IF(COUNTA(B1394,D1394,E1394,F1394,G1394,H1394,I1394,J1394,R1394,S1394,T1394)&gt;0,1,0)</f>
        <v>0</v>
      </c>
      <c r="Z1394" s="80" t="str">
        <f>IF(AND(ISNUMBER(H1394),H1394&gt;=0,H1394&lt;1),ROUND(H1394*1440,0),"")</f>
        <v/>
      </c>
      <c r="AA1394" s="80" t="str">
        <f>IF(AND(ISNUMBER(I1394),I1394&gt;=0,I1394&lt;1),ROUND(I1394*1440,0),"")</f>
        <v/>
      </c>
      <c r="AB1394" s="80">
        <f>IF(AND(ISNUMBER(B1394),D1394&lt;&gt;"",ISNUMBER(Z1394),ISNUMBER(AA1394)),IF(Z1394=AA1394,0,1),0)</f>
        <v>0</v>
      </c>
      <c r="AC1394" s="80">
        <f>IF(AB1394=1,IF(AA1394&lt;Z1394,1,0),0)</f>
        <v>0</v>
      </c>
      <c r="AD1394" s="80">
        <f>IF(AB1394=1,IF(AC1394=1,1440-Z1394+AA1394,AA1394-Z1394),0)</f>
        <v>0</v>
      </c>
      <c r="AE1394" s="80">
        <f>IF(J1394="",0,IF(ISNUMBER(J1394),J1394,-1))</f>
        <v>0</v>
      </c>
      <c r="AF1394" s="80">
        <f>MIN(MAX(0,AE1394),AD1394)</f>
        <v>0</v>
      </c>
      <c r="AG1394" s="80">
        <f>MAX(0,AD1394-MAX(0,AE1394))</f>
        <v>0</v>
      </c>
      <c r="AH1394" s="80">
        <f>IF(ISNUMBER(B1394),IF(AND(INDEX(CFG_WDAYS,WEEKDAY(INT(B1394),2))="Sí",IF(D1394="proMX",COUNTIFS(FER_F,INT(B1394),FER_NLP,"Sí"),COUNTIFS(FER_F,INT(B1394),FER_NLM,"Sí"))=0),1,0),0)</f>
        <v>0</v>
      </c>
      <c r="AI1394" s="80">
        <f>IF(AC1394=1,IF(AND(INDEX(CFG_WDAYS,WEEKDAY(INT(B1394)+1,2))="Sí",IF(D1394="proMX",COUNTIFS(FER_F,INT(B1394)+1,FER_NLP,"Sí"),COUNTIFS(FER_F,INT(B1394)+1,FER_NLM,"Sí"))=0),1,0),0)</f>
        <v>0</v>
      </c>
      <c r="AJ1394" s="80">
        <f>IF(AC1394=1,1440-Z1394,AD1394)</f>
        <v>0</v>
      </c>
      <c r="AK1394" s="80">
        <f>IF(AND(AB1394=1,AH1394=1),MAX(0,MIN(IF(AC1394=1,1440,AA1394),CFG_WEM)-MAX(Z1394,CFG_WSM)),0)</f>
        <v>0</v>
      </c>
      <c r="AL1394" s="80">
        <f>IF(AND(AC1394=1,AI1394=1),MAX(0,MIN(AA1394,CFG_WEM)-CFG_WSM),0)</f>
        <v>0</v>
      </c>
      <c r="AM1394" s="80">
        <f>AK1394+AL1394</f>
        <v>0</v>
      </c>
      <c r="AN1394" s="80">
        <f>IF(CFG_BRK="Proporcional",IF(AD1394=0,0,AF1394*AM1394/AD1394),IF(CFG_BRK="Extras primero",MIN(AM1394,MAX(0,AF1394-(AD1394-AM1394))),MIN(AF1394,AM1394)))</f>
        <v>0</v>
      </c>
      <c r="AO1394" s="80">
        <f>AF1394-AN1394</f>
        <v>0</v>
      </c>
      <c r="AP1394" s="80">
        <f>AM1394-AN1394</f>
        <v>0</v>
      </c>
      <c r="AQ1394" s="80">
        <f>AD1394-AM1394-AO1394</f>
        <v>0</v>
      </c>
      <c r="AR1394" s="80">
        <f>IF(AM1394=0,0,AK1394-AN1394*AK1394/AM1394)</f>
        <v>0</v>
      </c>
      <c r="AS1394" s="80">
        <f>IF(AD1394-AM1394=0,0,(AJ1394-AK1394)-AO1394*(AJ1394-AK1394)/(AD1394-AM1394))</f>
        <v>0</v>
      </c>
      <c r="AT1394" s="80" t="str">
        <f>IF(AC1394=1,INT(B1394)+1,"")</f>
        <v/>
      </c>
      <c r="AU1394" s="80">
        <f>IF(AND(D1394="proMX",R1394="Cancelled"),0,1)</f>
        <v>1</v>
      </c>
      <c r="AV1394" s="80">
        <f>IF(AND(AB1394=1,AU1394=1),IF(COUNTIFS($D$5:D1393,D1394,$B$5:B1393,B1394,$Z$5:Z1393,Z1394,$AA$5:AA1393,AA1394,$F$5:F1393,F1394&amp;"",$AU$5:AU1393,1)&gt;0,1,0),0)</f>
        <v>0</v>
      </c>
      <c r="AW1394" s="80" t="str">
        <f>IF(AB1394=1,INT(B1394)*1440+Z1394,"")</f>
        <v/>
      </c>
      <c r="AX1394" s="80" t="str">
        <f>IF(AB1394=1,AW1394+AD1394,"")</f>
        <v/>
      </c>
      <c r="AY1394" s="80">
        <f>IF(AND(AB1394=1,AV1394=0,AU1394=1),1,0)</f>
        <v>0</v>
      </c>
      <c r="AZ1394" s="80">
        <f>IF(AY1394=1,COUNTIFS(R_Emp,D1394,R_SAbs,"&lt;"&amp;AX1394,R_EAbs,"&gt;"&amp;AW1394,R_OKey,1)-1,0)</f>
        <v>0</v>
      </c>
      <c r="BA1394" s="80">
        <f>IF(AY1394=1,COUNTIFS(R_Emp,"&lt;&gt;"&amp;D1394,R_SAbs,"&lt;"&amp;AX1394,R_EAbs,"&gt;"&amp;AW1394,R_OKey,1),0)</f>
        <v>0</v>
      </c>
      <c r="BB1394" s="80">
        <f>IF(AND(AB1394=1,D1394="proMX"),IF(AND(MOD(Z1394,CFG_BLK)=0,MOD(AA1394,CFG_BLK)=0,MOD(AG1394,CFG_BLK)=0,AG1394&gt;0),1,0),1)</f>
        <v>1</v>
      </c>
      <c r="BC1394" s="80" t="str">
        <f>IF(Y1394=0,"",IF(NOT(ISNUMBER(B1394)),"Falta fecha o fecha inválida",IF(D1394="","Falta empresa",IF(AND(D1394&lt;&gt;"Malcolm",D1394&lt;&gt;"proMX"),"Empresa inválida",IF(OR(INT(B1394)&lt;CFG_PSTART,INT(B1394)&gt;CFG_PEND),"Fecha fuera del período",IF(OR(NOT(ISNUMBER(Z1394)),NOT(ISNUMBER(AA1394))),"Falta hora inicio/fin o formato inválido",IF(AB1394=0,"Hora inicio = hora fin",IF(AE1394&lt;0,"Descanso inválido",IF(AE1394&gt;=AD1394,"Descanso ≥ duración",IF(AV1394=1,"Registro duplicado",IF(AZ1394&gt;0,"Se superpone con otro registro "&amp;D1394,IF(BB1394=0,"inicio, fin y duración neta deben ser múltiplos de "&amp;CFG_BLK&amp;" min",""))))))))))))</f>
        <v/>
      </c>
      <c r="BD1394" s="80">
        <f>IF(AND(Y1394=1,BC1394=""),1,0)</f>
        <v>0</v>
      </c>
      <c r="BE1394" s="80">
        <f>IF(AND(BD1394=1,AU1394=1),1,0)</f>
        <v>0</v>
      </c>
      <c r="BF1394" s="80" t="str">
        <f>IF(AND(D1394="proMX",BD1394=1),IF(R1394="","Draft",R1394),"")</f>
        <v/>
      </c>
      <c r="BG1394" s="80">
        <f>IF(BD1394=1,ROUND(AG1394/60,6),0)</f>
        <v>0</v>
      </c>
      <c r="BH1394" s="80">
        <f>IF(BE1394=1,ROUND(AG1394/60,6),0)</f>
        <v>0</v>
      </c>
      <c r="BI1394" s="80">
        <f>IF(BE1394=1,ROUND(AP1394/60,6),0)</f>
        <v>0</v>
      </c>
      <c r="BJ1394" s="80">
        <f>IF(BE1394=1,ROUND(AQ1394/60,6),0)</f>
        <v>0</v>
      </c>
      <c r="BK1394" s="80">
        <f>IF(BE1394=1,ROUND((AR1394+AS1394)/60,6),0)</f>
        <v>0</v>
      </c>
      <c r="BL1394" s="80">
        <f>ROUND(BH1394-BK1394,6)</f>
        <v>0</v>
      </c>
      <c r="BM1394" s="80">
        <f>IF(BE1394=1,ROUND(AR1394/60,6),0)</f>
        <v>0</v>
      </c>
      <c r="BN1394" s="80">
        <f>ROUND(BI1394-BM1394,6)</f>
        <v>0</v>
      </c>
      <c r="BO1394" s="80">
        <f>IF(BE1394=1,ROUND(AS1394/60,6),0)</f>
        <v>0</v>
      </c>
      <c r="BP1394" s="80">
        <f>ROUND(BJ1394-BO1394,6)</f>
        <v>0</v>
      </c>
      <c r="BQ1394" s="80">
        <f>IF(BE1394=1,AW1394,0)</f>
        <v>0</v>
      </c>
      <c r="BR1394" s="80">
        <f>IF(BE1394=1,AX1394,0)</f>
        <v>0</v>
      </c>
      <c r="BS1394" s="80">
        <f>IF(AND(BE1394=1,D1394="Malcolm",BA1394&gt;0),MIN(BH1394,SUMPRODUCT((R_Emp="proMX")*(R_EN&gt;0)*((R_EN-(R_EN&gt;BR1394)*(R_EN-BR1394))&gt;(R_SN+(R_SN&lt;BQ1394)*(BQ1394-R_SN)))*((R_EN-(R_EN&gt;BR1394)*(R_EN-BR1394))-(R_SN+(R_SN&lt;BQ1394)*(BQ1394-R_SN))))/60),0)</f>
        <v>0</v>
      </c>
      <c r="BT1394" s="80">
        <f>IF(AND(BE1394=1,D1394="proMX"),ROUND(BI1394*CFG_RATE+BJ1394*CFG_OTRATE,6),0)</f>
        <v>0</v>
      </c>
      <c r="BU1394" s="80">
        <f>IF(AND(BD1394=1,D1394="proMX"),ROUND(AG1394/CFG_BLK,6),0)</f>
        <v>0</v>
      </c>
      <c r="BV1394" s="80" t="str">
        <f>IF(BF1394="Approved",IF(ISNUMBER(T1394),INT(T1394),INT(B1394)),"")</f>
        <v/>
      </c>
      <c r="BW1394" s="80">
        <f>IF(ISNUMBER(B1394),IF(DB_MON="Todos",1,IF(AND(INT(B1394)&gt;=DB_MS,INT(B1394)&lt;=DB_ME),1,0)),0)</f>
        <v>0</v>
      </c>
      <c r="BX1394" s="80">
        <f>IF(DB_PROJ="Todos",1,IF(E1394&amp;""=DB_PROJ&amp;"",1,0))</f>
        <v>1</v>
      </c>
      <c r="BY1394" s="80">
        <f>BW1394*BX1394</f>
        <v>0</v>
      </c>
      <c r="BZ1394" s="80" t="str">
        <f>IF(Y1394=1,F1394&amp;IF(AND(F1394&amp;""&lt;&gt;"",E1394&amp;""&lt;&gt;"")," · ","")&amp;E1394,"")</f>
        <v/>
      </c>
      <c r="CA1394" s="80" t="str">
        <f>IF(AND(BD1394=1,E1394&amp;""&lt;&gt;""),IF(COUNTIFS($E$5:E1393,E1394,$BD$5:BD1393,1)=0,MAX($CA$5:CA1393)+1,""),"")</f>
        <v/>
      </c>
      <c r="CB1394" s="80" t="str">
        <f>IF(AND(BE1394=1,D1394="Malcolm",E1394&amp;""&lt;&gt;""),IF(COUNTIFS($D$5:D1393,"Malcolm",$E$5:E1393,E1394,$BE$5:BE1393,1)=0,MAX($CB$5:CB1393)+1,""),"")</f>
        <v/>
      </c>
      <c r="CC1394" s="80" t="str">
        <f>IF(AND(BD1394=1,D1394="proMX",E1394&amp;""&lt;&gt;""),IF(COUNTIFS($D$5:D1393,"proMX",$E$5:E1393,E1394,$BD$5:BD1393,1)=0,MAX($CC$5:CC1393)+1,""),"")</f>
        <v/>
      </c>
      <c r="CD1394" s="80" t="str">
        <f>IF(AND(BE1394=1,D1394="Malcolm",F1394&amp;""&lt;&gt;""),IF(COUNTIFS($D$5:D1393,"Malcolm",$F$5:F1393,F1394,$BE$5:BE1393,1)=0,MAX($CD$5:CD1393)+1,""),"")</f>
        <v/>
      </c>
      <c r="CE1394" s="80" t="str">
        <f>IF(AND(BD1394=1,D1394="proMX",F1394&amp;""&lt;&gt;""),IF(COUNTIFS($D$5:D1393,"proMX",$F$5:F1393,F1394,$BD$5:BD1393,1)=0,MAX($CE$5:CE1393)+1,""),"")</f>
        <v/>
      </c>
      <c r="CF1394" s="80" t="str">
        <f>IF(AND(D1394="proMX",BD1394=1),IF(OR(BF1394="Draft",BF1394="Submitted",BF1394="Returned",BF1394="Recall Requested"),MAX($CF$5:CF1393)+1,""),"")</f>
        <v/>
      </c>
      <c r="CG1394" s="80">
        <f>IF(BD1394=0,0,IF(D1394="Malcolm",1,MATCH(BF1394,{"Draft","Submitted","Approved","Returned","Recall Requested","Cancelled"},0)+1))</f>
        <v>0</v>
      </c>
      <c r="CH1394" s="80">
        <f>IF(AND(BF1394="Submitted",ISNUMBER(V1394)),IF(V1394&gt;CFG_MAXD,1,0),0)</f>
        <v>0</v>
      </c>
    </row>
    <row r="1395">
      <c r="A1395" s="71" t="str">
        <f>IF(Y1395=1,ROW()-5,"")</f>
        <v/>
      </c>
      <c r="B1395" s="72" t="n"/>
      <c r="C1395" s="71" t="str">
        <f>IF(ISNUMBER(B1395),CHOOSE(WEEKDAY(B1395,2),"Lun","Mar","Mié","Jue","Vie","Sáb","Dom"),"")</f>
        <v/>
      </c>
      <c r="D1395" s="73" t="n"/>
      <c r="E1395" s="74" t="n"/>
      <c r="F1395" s="74" t="n"/>
      <c r="G1395" s="74" t="n"/>
      <c r="H1395" s="75" t="n"/>
      <c r="I1395" s="75" t="n"/>
      <c r="J1395" s="76" t="n"/>
      <c r="K1395" s="77" t="str">
        <f>IF(AB1395=1,ROUND(AG1395/60,4),"")</f>
        <v/>
      </c>
      <c r="L1395" s="77" t="str">
        <f>IF(BD1395=1,ROUND(AP1395/60,4),"")</f>
        <v/>
      </c>
      <c r="M1395" s="77" t="str">
        <f>IF(BD1395=1,ROUND(AQ1395/60,4),"")</f>
        <v/>
      </c>
      <c r="N1395" s="71" t="str">
        <f>IF(AND(D1395="proMX",AB1395=1),ROUND(AG1395/CFG_BLK,2),"")</f>
        <v/>
      </c>
      <c r="O1395" s="77" t="str">
        <f>IF(D1395="proMX",IF(BD1395=1,ROUND(AG1395/60,4),0),"")</f>
        <v/>
      </c>
      <c r="P1395" s="78" t="str">
        <f>IF(Y1395=0,"",IF(BD1395=1,"OK",IF(D1395="proMX","Revisar bloques: ","Revisar: ")&amp;BC1395))</f>
        <v/>
      </c>
      <c r="Q1395" s="78" t="str">
        <f>IF(NOT(ISNUMBER(B1395)),"",IF(COUNTIFS(FER_F,INT(B1395))&gt;0,"Feriado"&amp;IF(AH1395=1," (laborable)"," (no laborable)"),IF(AH1395=1,"Laborable",IF(WEEKDAY(B1395,2)&gt;5,"Fin de semana","No laborable"))))</f>
        <v/>
      </c>
      <c r="R1395" s="73" t="n"/>
      <c r="S1395" s="72" t="n"/>
      <c r="T1395" s="72" t="n"/>
      <c r="U1395" s="74" t="n"/>
      <c r="V1395" s="79" t="str">
        <f>IF(AND(D1395="proMX",OR(R1395="Submitted",R1395="Recall Requested"),ISNUMBER(S1395)),CFG_TODAY-INT(S1395),"")</f>
        <v/>
      </c>
      <c r="W1395" s="78" t="str">
        <f>IF(BD1395=0,"",IF(BA1395&gt;0,"⚠ Se superpone con un registro de la otra empresa",IF(D1395="Malcolm",IF(COUNTA(R1395,S1395,T1395)&gt;0,"Estado/fechas proMX se ignoran en Malcolm",""),IF(BF1395="Cancelled","Cancelado: excluido de totales",IF(R1395="","Sin estado: se trata como Draft",IF(BF1395="Submitted",IF(ISNUMBER(V1395),IF(V1395&gt;CFG_MAXD,"⚠ "&amp;V1395&amp;" días en Submitted (máx. "&amp;CFG_MAXD&amp;")",""),"Falta fecha de envío"),IF(BF1395="Returned","⚠ Devuelto: corregir y reenviar",IF(BF1395="Recall Requested","Retirada solicitada: pendiente",IF(AND(BF1395="Approved",NOT(ISNUMBER(T1395))),"Falta fecha de aprobación",IF(AND(ISNUMBER(S1395),ISNUMBER(T1395),T1395&lt;S1395),"Aprobación anterior al envío","")))))))))</f>
        <v/>
      </c>
      <c r="Y1395" s="80">
        <f>IF(COUNTA(B1395,D1395,E1395,F1395,G1395,H1395,I1395,J1395,R1395,S1395,T1395)&gt;0,1,0)</f>
        <v>0</v>
      </c>
      <c r="Z1395" s="80" t="str">
        <f>IF(AND(ISNUMBER(H1395),H1395&gt;=0,H1395&lt;1),ROUND(H1395*1440,0),"")</f>
        <v/>
      </c>
      <c r="AA1395" s="80" t="str">
        <f>IF(AND(ISNUMBER(I1395),I1395&gt;=0,I1395&lt;1),ROUND(I1395*1440,0),"")</f>
        <v/>
      </c>
      <c r="AB1395" s="80">
        <f>IF(AND(ISNUMBER(B1395),D1395&lt;&gt;"",ISNUMBER(Z1395),ISNUMBER(AA1395)),IF(Z1395=AA1395,0,1),0)</f>
        <v>0</v>
      </c>
      <c r="AC1395" s="80">
        <f>IF(AB1395=1,IF(AA1395&lt;Z1395,1,0),0)</f>
        <v>0</v>
      </c>
      <c r="AD1395" s="80">
        <f>IF(AB1395=1,IF(AC1395=1,1440-Z1395+AA1395,AA1395-Z1395),0)</f>
        <v>0</v>
      </c>
      <c r="AE1395" s="80">
        <f>IF(J1395="",0,IF(ISNUMBER(J1395),J1395,-1))</f>
        <v>0</v>
      </c>
      <c r="AF1395" s="80">
        <f>MIN(MAX(0,AE1395),AD1395)</f>
        <v>0</v>
      </c>
      <c r="AG1395" s="80">
        <f>MAX(0,AD1395-MAX(0,AE1395))</f>
        <v>0</v>
      </c>
      <c r="AH1395" s="80">
        <f>IF(ISNUMBER(B1395),IF(AND(INDEX(CFG_WDAYS,WEEKDAY(INT(B1395),2))="Sí",IF(D1395="proMX",COUNTIFS(FER_F,INT(B1395),FER_NLP,"Sí"),COUNTIFS(FER_F,INT(B1395),FER_NLM,"Sí"))=0),1,0),0)</f>
        <v>0</v>
      </c>
      <c r="AI1395" s="80">
        <f>IF(AC1395=1,IF(AND(INDEX(CFG_WDAYS,WEEKDAY(INT(B1395)+1,2))="Sí",IF(D1395="proMX",COUNTIFS(FER_F,INT(B1395)+1,FER_NLP,"Sí"),COUNTIFS(FER_F,INT(B1395)+1,FER_NLM,"Sí"))=0),1,0),0)</f>
        <v>0</v>
      </c>
      <c r="AJ1395" s="80">
        <f>IF(AC1395=1,1440-Z1395,AD1395)</f>
        <v>0</v>
      </c>
      <c r="AK1395" s="80">
        <f>IF(AND(AB1395=1,AH1395=1),MAX(0,MIN(IF(AC1395=1,1440,AA1395),CFG_WEM)-MAX(Z1395,CFG_WSM)),0)</f>
        <v>0</v>
      </c>
      <c r="AL1395" s="80">
        <f>IF(AND(AC1395=1,AI1395=1),MAX(0,MIN(AA1395,CFG_WEM)-CFG_WSM),0)</f>
        <v>0</v>
      </c>
      <c r="AM1395" s="80">
        <f>AK1395+AL1395</f>
        <v>0</v>
      </c>
      <c r="AN1395" s="80">
        <f>IF(CFG_BRK="Proporcional",IF(AD1395=0,0,AF1395*AM1395/AD1395),IF(CFG_BRK="Extras primero",MIN(AM1395,MAX(0,AF1395-(AD1395-AM1395))),MIN(AF1395,AM1395)))</f>
        <v>0</v>
      </c>
      <c r="AO1395" s="80">
        <f>AF1395-AN1395</f>
        <v>0</v>
      </c>
      <c r="AP1395" s="80">
        <f>AM1395-AN1395</f>
        <v>0</v>
      </c>
      <c r="AQ1395" s="80">
        <f>AD1395-AM1395-AO1395</f>
        <v>0</v>
      </c>
      <c r="AR1395" s="80">
        <f>IF(AM1395=0,0,AK1395-AN1395*AK1395/AM1395)</f>
        <v>0</v>
      </c>
      <c r="AS1395" s="80">
        <f>IF(AD1395-AM1395=0,0,(AJ1395-AK1395)-AO1395*(AJ1395-AK1395)/(AD1395-AM1395))</f>
        <v>0</v>
      </c>
      <c r="AT1395" s="80" t="str">
        <f>IF(AC1395=1,INT(B1395)+1,"")</f>
        <v/>
      </c>
      <c r="AU1395" s="80">
        <f>IF(AND(D1395="proMX",R1395="Cancelled"),0,1)</f>
        <v>1</v>
      </c>
      <c r="AV1395" s="80">
        <f>IF(AND(AB1395=1,AU1395=1),IF(COUNTIFS($D$5:D1394,D1395,$B$5:B1394,B1395,$Z$5:Z1394,Z1395,$AA$5:AA1394,AA1395,$F$5:F1394,F1395&amp;"",$AU$5:AU1394,1)&gt;0,1,0),0)</f>
        <v>0</v>
      </c>
      <c r="AW1395" s="80" t="str">
        <f>IF(AB1395=1,INT(B1395)*1440+Z1395,"")</f>
        <v/>
      </c>
      <c r="AX1395" s="80" t="str">
        <f>IF(AB1395=1,AW1395+AD1395,"")</f>
        <v/>
      </c>
      <c r="AY1395" s="80">
        <f>IF(AND(AB1395=1,AV1395=0,AU1395=1),1,0)</f>
        <v>0</v>
      </c>
      <c r="AZ1395" s="80">
        <f>IF(AY1395=1,COUNTIFS(R_Emp,D1395,R_SAbs,"&lt;"&amp;AX1395,R_EAbs,"&gt;"&amp;AW1395,R_OKey,1)-1,0)</f>
        <v>0</v>
      </c>
      <c r="BA1395" s="80">
        <f>IF(AY1395=1,COUNTIFS(R_Emp,"&lt;&gt;"&amp;D1395,R_SAbs,"&lt;"&amp;AX1395,R_EAbs,"&gt;"&amp;AW1395,R_OKey,1),0)</f>
        <v>0</v>
      </c>
      <c r="BB1395" s="80">
        <f>IF(AND(AB1395=1,D1395="proMX"),IF(AND(MOD(Z1395,CFG_BLK)=0,MOD(AA1395,CFG_BLK)=0,MOD(AG1395,CFG_BLK)=0,AG1395&gt;0),1,0),1)</f>
        <v>1</v>
      </c>
      <c r="BC1395" s="80" t="str">
        <f>IF(Y1395=0,"",IF(NOT(ISNUMBER(B1395)),"Falta fecha o fecha inválida",IF(D1395="","Falta empresa",IF(AND(D1395&lt;&gt;"Malcolm",D1395&lt;&gt;"proMX"),"Empresa inválida",IF(OR(INT(B1395)&lt;CFG_PSTART,INT(B1395)&gt;CFG_PEND),"Fecha fuera del período",IF(OR(NOT(ISNUMBER(Z1395)),NOT(ISNUMBER(AA1395))),"Falta hora inicio/fin o formato inválido",IF(AB1395=0,"Hora inicio = hora fin",IF(AE1395&lt;0,"Descanso inválido",IF(AE1395&gt;=AD1395,"Descanso ≥ duración",IF(AV1395=1,"Registro duplicado",IF(AZ1395&gt;0,"Se superpone con otro registro "&amp;D1395,IF(BB1395=0,"inicio, fin y duración neta deben ser múltiplos de "&amp;CFG_BLK&amp;" min",""))))))))))))</f>
        <v/>
      </c>
      <c r="BD1395" s="80">
        <f>IF(AND(Y1395=1,BC1395=""),1,0)</f>
        <v>0</v>
      </c>
      <c r="BE1395" s="80">
        <f>IF(AND(BD1395=1,AU1395=1),1,0)</f>
        <v>0</v>
      </c>
      <c r="BF1395" s="80" t="str">
        <f>IF(AND(D1395="proMX",BD1395=1),IF(R1395="","Draft",R1395),"")</f>
        <v/>
      </c>
      <c r="BG1395" s="80">
        <f>IF(BD1395=1,ROUND(AG1395/60,6),0)</f>
        <v>0</v>
      </c>
      <c r="BH1395" s="80">
        <f>IF(BE1395=1,ROUND(AG1395/60,6),0)</f>
        <v>0</v>
      </c>
      <c r="BI1395" s="80">
        <f>IF(BE1395=1,ROUND(AP1395/60,6),0)</f>
        <v>0</v>
      </c>
      <c r="BJ1395" s="80">
        <f>IF(BE1395=1,ROUND(AQ1395/60,6),0)</f>
        <v>0</v>
      </c>
      <c r="BK1395" s="80">
        <f>IF(BE1395=1,ROUND((AR1395+AS1395)/60,6),0)</f>
        <v>0</v>
      </c>
      <c r="BL1395" s="80">
        <f>ROUND(BH1395-BK1395,6)</f>
        <v>0</v>
      </c>
      <c r="BM1395" s="80">
        <f>IF(BE1395=1,ROUND(AR1395/60,6),0)</f>
        <v>0</v>
      </c>
      <c r="BN1395" s="80">
        <f>ROUND(BI1395-BM1395,6)</f>
        <v>0</v>
      </c>
      <c r="BO1395" s="80">
        <f>IF(BE1395=1,ROUND(AS1395/60,6),0)</f>
        <v>0</v>
      </c>
      <c r="BP1395" s="80">
        <f>ROUND(BJ1395-BO1395,6)</f>
        <v>0</v>
      </c>
      <c r="BQ1395" s="80">
        <f>IF(BE1395=1,AW1395,0)</f>
        <v>0</v>
      </c>
      <c r="BR1395" s="80">
        <f>IF(BE1395=1,AX1395,0)</f>
        <v>0</v>
      </c>
      <c r="BS1395" s="80">
        <f>IF(AND(BE1395=1,D1395="Malcolm",BA1395&gt;0),MIN(BH1395,SUMPRODUCT((R_Emp="proMX")*(R_EN&gt;0)*((R_EN-(R_EN&gt;BR1395)*(R_EN-BR1395))&gt;(R_SN+(R_SN&lt;BQ1395)*(BQ1395-R_SN)))*((R_EN-(R_EN&gt;BR1395)*(R_EN-BR1395))-(R_SN+(R_SN&lt;BQ1395)*(BQ1395-R_SN))))/60),0)</f>
        <v>0</v>
      </c>
      <c r="BT1395" s="80">
        <f>IF(AND(BE1395=1,D1395="proMX"),ROUND(BI1395*CFG_RATE+BJ1395*CFG_OTRATE,6),0)</f>
        <v>0</v>
      </c>
      <c r="BU1395" s="80">
        <f>IF(AND(BD1395=1,D1395="proMX"),ROUND(AG1395/CFG_BLK,6),0)</f>
        <v>0</v>
      </c>
      <c r="BV1395" s="80" t="str">
        <f>IF(BF1395="Approved",IF(ISNUMBER(T1395),INT(T1395),INT(B1395)),"")</f>
        <v/>
      </c>
      <c r="BW1395" s="80">
        <f>IF(ISNUMBER(B1395),IF(DB_MON="Todos",1,IF(AND(INT(B1395)&gt;=DB_MS,INT(B1395)&lt;=DB_ME),1,0)),0)</f>
        <v>0</v>
      </c>
      <c r="BX1395" s="80">
        <f>IF(DB_PROJ="Todos",1,IF(E1395&amp;""=DB_PROJ&amp;"",1,0))</f>
        <v>1</v>
      </c>
      <c r="BY1395" s="80">
        <f>BW1395*BX1395</f>
        <v>0</v>
      </c>
      <c r="BZ1395" s="80" t="str">
        <f>IF(Y1395=1,F1395&amp;IF(AND(F1395&amp;""&lt;&gt;"",E1395&amp;""&lt;&gt;"")," · ","")&amp;E1395,"")</f>
        <v/>
      </c>
      <c r="CA1395" s="80" t="str">
        <f>IF(AND(BD1395=1,E1395&amp;""&lt;&gt;""),IF(COUNTIFS($E$5:E1394,E1395,$BD$5:BD1394,1)=0,MAX($CA$5:CA1394)+1,""),"")</f>
        <v/>
      </c>
      <c r="CB1395" s="80" t="str">
        <f>IF(AND(BE1395=1,D1395="Malcolm",E1395&amp;""&lt;&gt;""),IF(COUNTIFS($D$5:D1394,"Malcolm",$E$5:E1394,E1395,$BE$5:BE1394,1)=0,MAX($CB$5:CB1394)+1,""),"")</f>
        <v/>
      </c>
      <c r="CC1395" s="80" t="str">
        <f>IF(AND(BD1395=1,D1395="proMX",E1395&amp;""&lt;&gt;""),IF(COUNTIFS($D$5:D1394,"proMX",$E$5:E1394,E1395,$BD$5:BD1394,1)=0,MAX($CC$5:CC1394)+1,""),"")</f>
        <v/>
      </c>
      <c r="CD1395" s="80" t="str">
        <f>IF(AND(BE1395=1,D1395="Malcolm",F1395&amp;""&lt;&gt;""),IF(COUNTIFS($D$5:D1394,"Malcolm",$F$5:F1394,F1395,$BE$5:BE1394,1)=0,MAX($CD$5:CD1394)+1,""),"")</f>
        <v/>
      </c>
      <c r="CE1395" s="80" t="str">
        <f>IF(AND(BD1395=1,D1395="proMX",F1395&amp;""&lt;&gt;""),IF(COUNTIFS($D$5:D1394,"proMX",$F$5:F1394,F1395,$BD$5:BD1394,1)=0,MAX($CE$5:CE1394)+1,""),"")</f>
        <v/>
      </c>
      <c r="CF1395" s="80" t="str">
        <f>IF(AND(D1395="proMX",BD1395=1),IF(OR(BF1395="Draft",BF1395="Submitted",BF1395="Returned",BF1395="Recall Requested"),MAX($CF$5:CF1394)+1,""),"")</f>
        <v/>
      </c>
      <c r="CG1395" s="80">
        <f>IF(BD1395=0,0,IF(D1395="Malcolm",1,MATCH(BF1395,{"Draft","Submitted","Approved","Returned","Recall Requested","Cancelled"},0)+1))</f>
        <v>0</v>
      </c>
      <c r="CH1395" s="80">
        <f>IF(AND(BF1395="Submitted",ISNUMBER(V1395)),IF(V1395&gt;CFG_MAXD,1,0),0)</f>
        <v>0</v>
      </c>
    </row>
    <row r="1396">
      <c r="A1396" s="71" t="str">
        <f>IF(Y1396=1,ROW()-5,"")</f>
        <v/>
      </c>
      <c r="B1396" s="72" t="n"/>
      <c r="C1396" s="71" t="str">
        <f>IF(ISNUMBER(B1396),CHOOSE(WEEKDAY(B1396,2),"Lun","Mar","Mié","Jue","Vie","Sáb","Dom"),"")</f>
        <v/>
      </c>
      <c r="D1396" s="73" t="n"/>
      <c r="E1396" s="74" t="n"/>
      <c r="F1396" s="74" t="n"/>
      <c r="G1396" s="74" t="n"/>
      <c r="H1396" s="75" t="n"/>
      <c r="I1396" s="75" t="n"/>
      <c r="J1396" s="76" t="n"/>
      <c r="K1396" s="77" t="str">
        <f>IF(AB1396=1,ROUND(AG1396/60,4),"")</f>
        <v/>
      </c>
      <c r="L1396" s="77" t="str">
        <f>IF(BD1396=1,ROUND(AP1396/60,4),"")</f>
        <v/>
      </c>
      <c r="M1396" s="77" t="str">
        <f>IF(BD1396=1,ROUND(AQ1396/60,4),"")</f>
        <v/>
      </c>
      <c r="N1396" s="71" t="str">
        <f>IF(AND(D1396="proMX",AB1396=1),ROUND(AG1396/CFG_BLK,2),"")</f>
        <v/>
      </c>
      <c r="O1396" s="77" t="str">
        <f>IF(D1396="proMX",IF(BD1396=1,ROUND(AG1396/60,4),0),"")</f>
        <v/>
      </c>
      <c r="P1396" s="78" t="str">
        <f>IF(Y1396=0,"",IF(BD1396=1,"OK",IF(D1396="proMX","Revisar bloques: ","Revisar: ")&amp;BC1396))</f>
        <v/>
      </c>
      <c r="Q1396" s="78" t="str">
        <f>IF(NOT(ISNUMBER(B1396)),"",IF(COUNTIFS(FER_F,INT(B1396))&gt;0,"Feriado"&amp;IF(AH1396=1," (laborable)"," (no laborable)"),IF(AH1396=1,"Laborable",IF(WEEKDAY(B1396,2)&gt;5,"Fin de semana","No laborable"))))</f>
        <v/>
      </c>
      <c r="R1396" s="73" t="n"/>
      <c r="S1396" s="72" t="n"/>
      <c r="T1396" s="72" t="n"/>
      <c r="U1396" s="74" t="n"/>
      <c r="V1396" s="79" t="str">
        <f>IF(AND(D1396="proMX",OR(R1396="Submitted",R1396="Recall Requested"),ISNUMBER(S1396)),CFG_TODAY-INT(S1396),"")</f>
        <v/>
      </c>
      <c r="W1396" s="78" t="str">
        <f>IF(BD1396=0,"",IF(BA1396&gt;0,"⚠ Se superpone con un registro de la otra empresa",IF(D1396="Malcolm",IF(COUNTA(R1396,S1396,T1396)&gt;0,"Estado/fechas proMX se ignoran en Malcolm",""),IF(BF1396="Cancelled","Cancelado: excluido de totales",IF(R1396="","Sin estado: se trata como Draft",IF(BF1396="Submitted",IF(ISNUMBER(V1396),IF(V1396&gt;CFG_MAXD,"⚠ "&amp;V1396&amp;" días en Submitted (máx. "&amp;CFG_MAXD&amp;")",""),"Falta fecha de envío"),IF(BF1396="Returned","⚠ Devuelto: corregir y reenviar",IF(BF1396="Recall Requested","Retirada solicitada: pendiente",IF(AND(BF1396="Approved",NOT(ISNUMBER(T1396))),"Falta fecha de aprobación",IF(AND(ISNUMBER(S1396),ISNUMBER(T1396),T1396&lt;S1396),"Aprobación anterior al envío","")))))))))</f>
        <v/>
      </c>
      <c r="Y1396" s="80">
        <f>IF(COUNTA(B1396,D1396,E1396,F1396,G1396,H1396,I1396,J1396,R1396,S1396,T1396)&gt;0,1,0)</f>
        <v>0</v>
      </c>
      <c r="Z1396" s="80" t="str">
        <f>IF(AND(ISNUMBER(H1396),H1396&gt;=0,H1396&lt;1),ROUND(H1396*1440,0),"")</f>
        <v/>
      </c>
      <c r="AA1396" s="80" t="str">
        <f>IF(AND(ISNUMBER(I1396),I1396&gt;=0,I1396&lt;1),ROUND(I1396*1440,0),"")</f>
        <v/>
      </c>
      <c r="AB1396" s="80">
        <f>IF(AND(ISNUMBER(B1396),D1396&lt;&gt;"",ISNUMBER(Z1396),ISNUMBER(AA1396)),IF(Z1396=AA1396,0,1),0)</f>
        <v>0</v>
      </c>
      <c r="AC1396" s="80">
        <f>IF(AB1396=1,IF(AA1396&lt;Z1396,1,0),0)</f>
        <v>0</v>
      </c>
      <c r="AD1396" s="80">
        <f>IF(AB1396=1,IF(AC1396=1,1440-Z1396+AA1396,AA1396-Z1396),0)</f>
        <v>0</v>
      </c>
      <c r="AE1396" s="80">
        <f>IF(J1396="",0,IF(ISNUMBER(J1396),J1396,-1))</f>
        <v>0</v>
      </c>
      <c r="AF1396" s="80">
        <f>MIN(MAX(0,AE1396),AD1396)</f>
        <v>0</v>
      </c>
      <c r="AG1396" s="80">
        <f>MAX(0,AD1396-MAX(0,AE1396))</f>
        <v>0</v>
      </c>
      <c r="AH1396" s="80">
        <f>IF(ISNUMBER(B1396),IF(AND(INDEX(CFG_WDAYS,WEEKDAY(INT(B1396),2))="Sí",IF(D1396="proMX",COUNTIFS(FER_F,INT(B1396),FER_NLP,"Sí"),COUNTIFS(FER_F,INT(B1396),FER_NLM,"Sí"))=0),1,0),0)</f>
        <v>0</v>
      </c>
      <c r="AI1396" s="80">
        <f>IF(AC1396=1,IF(AND(INDEX(CFG_WDAYS,WEEKDAY(INT(B1396)+1,2))="Sí",IF(D1396="proMX",COUNTIFS(FER_F,INT(B1396)+1,FER_NLP,"Sí"),COUNTIFS(FER_F,INT(B1396)+1,FER_NLM,"Sí"))=0),1,0),0)</f>
        <v>0</v>
      </c>
      <c r="AJ1396" s="80">
        <f>IF(AC1396=1,1440-Z1396,AD1396)</f>
        <v>0</v>
      </c>
      <c r="AK1396" s="80">
        <f>IF(AND(AB1396=1,AH1396=1),MAX(0,MIN(IF(AC1396=1,1440,AA1396),CFG_WEM)-MAX(Z1396,CFG_WSM)),0)</f>
        <v>0</v>
      </c>
      <c r="AL1396" s="80">
        <f>IF(AND(AC1396=1,AI1396=1),MAX(0,MIN(AA1396,CFG_WEM)-CFG_WSM),0)</f>
        <v>0</v>
      </c>
      <c r="AM1396" s="80">
        <f>AK1396+AL1396</f>
        <v>0</v>
      </c>
      <c r="AN1396" s="80">
        <f>IF(CFG_BRK="Proporcional",IF(AD1396=0,0,AF1396*AM1396/AD1396),IF(CFG_BRK="Extras primero",MIN(AM1396,MAX(0,AF1396-(AD1396-AM1396))),MIN(AF1396,AM1396)))</f>
        <v>0</v>
      </c>
      <c r="AO1396" s="80">
        <f>AF1396-AN1396</f>
        <v>0</v>
      </c>
      <c r="AP1396" s="80">
        <f>AM1396-AN1396</f>
        <v>0</v>
      </c>
      <c r="AQ1396" s="80">
        <f>AD1396-AM1396-AO1396</f>
        <v>0</v>
      </c>
      <c r="AR1396" s="80">
        <f>IF(AM1396=0,0,AK1396-AN1396*AK1396/AM1396)</f>
        <v>0</v>
      </c>
      <c r="AS1396" s="80">
        <f>IF(AD1396-AM1396=0,0,(AJ1396-AK1396)-AO1396*(AJ1396-AK1396)/(AD1396-AM1396))</f>
        <v>0</v>
      </c>
      <c r="AT1396" s="80" t="str">
        <f>IF(AC1396=1,INT(B1396)+1,"")</f>
        <v/>
      </c>
      <c r="AU1396" s="80">
        <f>IF(AND(D1396="proMX",R1396="Cancelled"),0,1)</f>
        <v>1</v>
      </c>
      <c r="AV1396" s="80">
        <f>IF(AND(AB1396=1,AU1396=1),IF(COUNTIFS($D$5:D1395,D1396,$B$5:B1395,B1396,$Z$5:Z1395,Z1396,$AA$5:AA1395,AA1396,$F$5:F1395,F1396&amp;"",$AU$5:AU1395,1)&gt;0,1,0),0)</f>
        <v>0</v>
      </c>
      <c r="AW1396" s="80" t="str">
        <f>IF(AB1396=1,INT(B1396)*1440+Z1396,"")</f>
        <v/>
      </c>
      <c r="AX1396" s="80" t="str">
        <f>IF(AB1396=1,AW1396+AD1396,"")</f>
        <v/>
      </c>
      <c r="AY1396" s="80">
        <f>IF(AND(AB1396=1,AV1396=0,AU1396=1),1,0)</f>
        <v>0</v>
      </c>
      <c r="AZ1396" s="80">
        <f>IF(AY1396=1,COUNTIFS(R_Emp,D1396,R_SAbs,"&lt;"&amp;AX1396,R_EAbs,"&gt;"&amp;AW1396,R_OKey,1)-1,0)</f>
        <v>0</v>
      </c>
      <c r="BA1396" s="80">
        <f>IF(AY1396=1,COUNTIFS(R_Emp,"&lt;&gt;"&amp;D1396,R_SAbs,"&lt;"&amp;AX1396,R_EAbs,"&gt;"&amp;AW1396,R_OKey,1),0)</f>
        <v>0</v>
      </c>
      <c r="BB1396" s="80">
        <f>IF(AND(AB1396=1,D1396="proMX"),IF(AND(MOD(Z1396,CFG_BLK)=0,MOD(AA1396,CFG_BLK)=0,MOD(AG1396,CFG_BLK)=0,AG1396&gt;0),1,0),1)</f>
        <v>1</v>
      </c>
      <c r="BC1396" s="80" t="str">
        <f>IF(Y1396=0,"",IF(NOT(ISNUMBER(B1396)),"Falta fecha o fecha inválida",IF(D1396="","Falta empresa",IF(AND(D1396&lt;&gt;"Malcolm",D1396&lt;&gt;"proMX"),"Empresa inválida",IF(OR(INT(B1396)&lt;CFG_PSTART,INT(B1396)&gt;CFG_PEND),"Fecha fuera del período",IF(OR(NOT(ISNUMBER(Z1396)),NOT(ISNUMBER(AA1396))),"Falta hora inicio/fin o formato inválido",IF(AB1396=0,"Hora inicio = hora fin",IF(AE1396&lt;0,"Descanso inválido",IF(AE1396&gt;=AD1396,"Descanso ≥ duración",IF(AV1396=1,"Registro duplicado",IF(AZ1396&gt;0,"Se superpone con otro registro "&amp;D1396,IF(BB1396=0,"inicio, fin y duración neta deben ser múltiplos de "&amp;CFG_BLK&amp;" min",""))))))))))))</f>
        <v/>
      </c>
      <c r="BD1396" s="80">
        <f>IF(AND(Y1396=1,BC1396=""),1,0)</f>
        <v>0</v>
      </c>
      <c r="BE1396" s="80">
        <f>IF(AND(BD1396=1,AU1396=1),1,0)</f>
        <v>0</v>
      </c>
      <c r="BF1396" s="80" t="str">
        <f>IF(AND(D1396="proMX",BD1396=1),IF(R1396="","Draft",R1396),"")</f>
        <v/>
      </c>
      <c r="BG1396" s="80">
        <f>IF(BD1396=1,ROUND(AG1396/60,6),0)</f>
        <v>0</v>
      </c>
      <c r="BH1396" s="80">
        <f>IF(BE1396=1,ROUND(AG1396/60,6),0)</f>
        <v>0</v>
      </c>
      <c r="BI1396" s="80">
        <f>IF(BE1396=1,ROUND(AP1396/60,6),0)</f>
        <v>0</v>
      </c>
      <c r="BJ1396" s="80">
        <f>IF(BE1396=1,ROUND(AQ1396/60,6),0)</f>
        <v>0</v>
      </c>
      <c r="BK1396" s="80">
        <f>IF(BE1396=1,ROUND((AR1396+AS1396)/60,6),0)</f>
        <v>0</v>
      </c>
      <c r="BL1396" s="80">
        <f>ROUND(BH1396-BK1396,6)</f>
        <v>0</v>
      </c>
      <c r="BM1396" s="80">
        <f>IF(BE1396=1,ROUND(AR1396/60,6),0)</f>
        <v>0</v>
      </c>
      <c r="BN1396" s="80">
        <f>ROUND(BI1396-BM1396,6)</f>
        <v>0</v>
      </c>
      <c r="BO1396" s="80">
        <f>IF(BE1396=1,ROUND(AS1396/60,6),0)</f>
        <v>0</v>
      </c>
      <c r="BP1396" s="80">
        <f>ROUND(BJ1396-BO1396,6)</f>
        <v>0</v>
      </c>
      <c r="BQ1396" s="80">
        <f>IF(BE1396=1,AW1396,0)</f>
        <v>0</v>
      </c>
      <c r="BR1396" s="80">
        <f>IF(BE1396=1,AX1396,0)</f>
        <v>0</v>
      </c>
      <c r="BS1396" s="80">
        <f>IF(AND(BE1396=1,D1396="Malcolm",BA1396&gt;0),MIN(BH1396,SUMPRODUCT((R_Emp="proMX")*(R_EN&gt;0)*((R_EN-(R_EN&gt;BR1396)*(R_EN-BR1396))&gt;(R_SN+(R_SN&lt;BQ1396)*(BQ1396-R_SN)))*((R_EN-(R_EN&gt;BR1396)*(R_EN-BR1396))-(R_SN+(R_SN&lt;BQ1396)*(BQ1396-R_SN))))/60),0)</f>
        <v>0</v>
      </c>
      <c r="BT1396" s="80">
        <f>IF(AND(BE1396=1,D1396="proMX"),ROUND(BI1396*CFG_RATE+BJ1396*CFG_OTRATE,6),0)</f>
        <v>0</v>
      </c>
      <c r="BU1396" s="80">
        <f>IF(AND(BD1396=1,D1396="proMX"),ROUND(AG1396/CFG_BLK,6),0)</f>
        <v>0</v>
      </c>
      <c r="BV1396" s="80" t="str">
        <f>IF(BF1396="Approved",IF(ISNUMBER(T1396),INT(T1396),INT(B1396)),"")</f>
        <v/>
      </c>
      <c r="BW1396" s="80">
        <f>IF(ISNUMBER(B1396),IF(DB_MON="Todos",1,IF(AND(INT(B1396)&gt;=DB_MS,INT(B1396)&lt;=DB_ME),1,0)),0)</f>
        <v>0</v>
      </c>
      <c r="BX1396" s="80">
        <f>IF(DB_PROJ="Todos",1,IF(E1396&amp;""=DB_PROJ&amp;"",1,0))</f>
        <v>1</v>
      </c>
      <c r="BY1396" s="80">
        <f>BW1396*BX1396</f>
        <v>0</v>
      </c>
      <c r="BZ1396" s="80" t="str">
        <f>IF(Y1396=1,F1396&amp;IF(AND(F1396&amp;""&lt;&gt;"",E1396&amp;""&lt;&gt;"")," · ","")&amp;E1396,"")</f>
        <v/>
      </c>
      <c r="CA1396" s="80" t="str">
        <f>IF(AND(BD1396=1,E1396&amp;""&lt;&gt;""),IF(COUNTIFS($E$5:E1395,E1396,$BD$5:BD1395,1)=0,MAX($CA$5:CA1395)+1,""),"")</f>
        <v/>
      </c>
      <c r="CB1396" s="80" t="str">
        <f>IF(AND(BE1396=1,D1396="Malcolm",E1396&amp;""&lt;&gt;""),IF(COUNTIFS($D$5:D1395,"Malcolm",$E$5:E1395,E1396,$BE$5:BE1395,1)=0,MAX($CB$5:CB1395)+1,""),"")</f>
        <v/>
      </c>
      <c r="CC1396" s="80" t="str">
        <f>IF(AND(BD1396=1,D1396="proMX",E1396&amp;""&lt;&gt;""),IF(COUNTIFS($D$5:D1395,"proMX",$E$5:E1395,E1396,$BD$5:BD1395,1)=0,MAX($CC$5:CC1395)+1,""),"")</f>
        <v/>
      </c>
      <c r="CD1396" s="80" t="str">
        <f>IF(AND(BE1396=1,D1396="Malcolm",F1396&amp;""&lt;&gt;""),IF(COUNTIFS($D$5:D1395,"Malcolm",$F$5:F1395,F1396,$BE$5:BE1395,1)=0,MAX($CD$5:CD1395)+1,""),"")</f>
        <v/>
      </c>
      <c r="CE1396" s="80" t="str">
        <f>IF(AND(BD1396=1,D1396="proMX",F1396&amp;""&lt;&gt;""),IF(COUNTIFS($D$5:D1395,"proMX",$F$5:F1395,F1396,$BD$5:BD1395,1)=0,MAX($CE$5:CE1395)+1,""),"")</f>
        <v/>
      </c>
      <c r="CF1396" s="80" t="str">
        <f>IF(AND(D1396="proMX",BD1396=1),IF(OR(BF1396="Draft",BF1396="Submitted",BF1396="Returned",BF1396="Recall Requested"),MAX($CF$5:CF1395)+1,""),"")</f>
        <v/>
      </c>
      <c r="CG1396" s="80">
        <f>IF(BD1396=0,0,IF(D1396="Malcolm",1,MATCH(BF1396,{"Draft","Submitted","Approved","Returned","Recall Requested","Cancelled"},0)+1))</f>
        <v>0</v>
      </c>
      <c r="CH1396" s="80">
        <f>IF(AND(BF1396="Submitted",ISNUMBER(V1396)),IF(V1396&gt;CFG_MAXD,1,0),0)</f>
        <v>0</v>
      </c>
    </row>
    <row r="1397">
      <c r="A1397" s="71" t="str">
        <f>IF(Y1397=1,ROW()-5,"")</f>
        <v/>
      </c>
      <c r="B1397" s="72" t="n"/>
      <c r="C1397" s="71" t="str">
        <f>IF(ISNUMBER(B1397),CHOOSE(WEEKDAY(B1397,2),"Lun","Mar","Mié","Jue","Vie","Sáb","Dom"),"")</f>
        <v/>
      </c>
      <c r="D1397" s="73" t="n"/>
      <c r="E1397" s="74" t="n"/>
      <c r="F1397" s="74" t="n"/>
      <c r="G1397" s="74" t="n"/>
      <c r="H1397" s="75" t="n"/>
      <c r="I1397" s="75" t="n"/>
      <c r="J1397" s="76" t="n"/>
      <c r="K1397" s="77" t="str">
        <f>IF(AB1397=1,ROUND(AG1397/60,4),"")</f>
        <v/>
      </c>
      <c r="L1397" s="77" t="str">
        <f>IF(BD1397=1,ROUND(AP1397/60,4),"")</f>
        <v/>
      </c>
      <c r="M1397" s="77" t="str">
        <f>IF(BD1397=1,ROUND(AQ1397/60,4),"")</f>
        <v/>
      </c>
      <c r="N1397" s="71" t="str">
        <f>IF(AND(D1397="proMX",AB1397=1),ROUND(AG1397/CFG_BLK,2),"")</f>
        <v/>
      </c>
      <c r="O1397" s="77" t="str">
        <f>IF(D1397="proMX",IF(BD1397=1,ROUND(AG1397/60,4),0),"")</f>
        <v/>
      </c>
      <c r="P1397" s="78" t="str">
        <f>IF(Y1397=0,"",IF(BD1397=1,"OK",IF(D1397="proMX","Revisar bloques: ","Revisar: ")&amp;BC1397))</f>
        <v/>
      </c>
      <c r="Q1397" s="78" t="str">
        <f>IF(NOT(ISNUMBER(B1397)),"",IF(COUNTIFS(FER_F,INT(B1397))&gt;0,"Feriado"&amp;IF(AH1397=1," (laborable)"," (no laborable)"),IF(AH1397=1,"Laborable",IF(WEEKDAY(B1397,2)&gt;5,"Fin de semana","No laborable"))))</f>
        <v/>
      </c>
      <c r="R1397" s="73" t="n"/>
      <c r="S1397" s="72" t="n"/>
      <c r="T1397" s="72" t="n"/>
      <c r="U1397" s="74" t="n"/>
      <c r="V1397" s="79" t="str">
        <f>IF(AND(D1397="proMX",OR(R1397="Submitted",R1397="Recall Requested"),ISNUMBER(S1397)),CFG_TODAY-INT(S1397),"")</f>
        <v/>
      </c>
      <c r="W1397" s="78" t="str">
        <f>IF(BD1397=0,"",IF(BA1397&gt;0,"⚠ Se superpone con un registro de la otra empresa",IF(D1397="Malcolm",IF(COUNTA(R1397,S1397,T1397)&gt;0,"Estado/fechas proMX se ignoran en Malcolm",""),IF(BF1397="Cancelled","Cancelado: excluido de totales",IF(R1397="","Sin estado: se trata como Draft",IF(BF1397="Submitted",IF(ISNUMBER(V1397),IF(V1397&gt;CFG_MAXD,"⚠ "&amp;V1397&amp;" días en Submitted (máx. "&amp;CFG_MAXD&amp;")",""),"Falta fecha de envío"),IF(BF1397="Returned","⚠ Devuelto: corregir y reenviar",IF(BF1397="Recall Requested","Retirada solicitada: pendiente",IF(AND(BF1397="Approved",NOT(ISNUMBER(T1397))),"Falta fecha de aprobación",IF(AND(ISNUMBER(S1397),ISNUMBER(T1397),T1397&lt;S1397),"Aprobación anterior al envío","")))))))))</f>
        <v/>
      </c>
      <c r="Y1397" s="80">
        <f>IF(COUNTA(B1397,D1397,E1397,F1397,G1397,H1397,I1397,J1397,R1397,S1397,T1397)&gt;0,1,0)</f>
        <v>0</v>
      </c>
      <c r="Z1397" s="80" t="str">
        <f>IF(AND(ISNUMBER(H1397),H1397&gt;=0,H1397&lt;1),ROUND(H1397*1440,0),"")</f>
        <v/>
      </c>
      <c r="AA1397" s="80" t="str">
        <f>IF(AND(ISNUMBER(I1397),I1397&gt;=0,I1397&lt;1),ROUND(I1397*1440,0),"")</f>
        <v/>
      </c>
      <c r="AB1397" s="80">
        <f>IF(AND(ISNUMBER(B1397),D1397&lt;&gt;"",ISNUMBER(Z1397),ISNUMBER(AA1397)),IF(Z1397=AA1397,0,1),0)</f>
        <v>0</v>
      </c>
      <c r="AC1397" s="80">
        <f>IF(AB1397=1,IF(AA1397&lt;Z1397,1,0),0)</f>
        <v>0</v>
      </c>
      <c r="AD1397" s="80">
        <f>IF(AB1397=1,IF(AC1397=1,1440-Z1397+AA1397,AA1397-Z1397),0)</f>
        <v>0</v>
      </c>
      <c r="AE1397" s="80">
        <f>IF(J1397="",0,IF(ISNUMBER(J1397),J1397,-1))</f>
        <v>0</v>
      </c>
      <c r="AF1397" s="80">
        <f>MIN(MAX(0,AE1397),AD1397)</f>
        <v>0</v>
      </c>
      <c r="AG1397" s="80">
        <f>MAX(0,AD1397-MAX(0,AE1397))</f>
        <v>0</v>
      </c>
      <c r="AH1397" s="80">
        <f>IF(ISNUMBER(B1397),IF(AND(INDEX(CFG_WDAYS,WEEKDAY(INT(B1397),2))="Sí",IF(D1397="proMX",COUNTIFS(FER_F,INT(B1397),FER_NLP,"Sí"),COUNTIFS(FER_F,INT(B1397),FER_NLM,"Sí"))=0),1,0),0)</f>
        <v>0</v>
      </c>
      <c r="AI1397" s="80">
        <f>IF(AC1397=1,IF(AND(INDEX(CFG_WDAYS,WEEKDAY(INT(B1397)+1,2))="Sí",IF(D1397="proMX",COUNTIFS(FER_F,INT(B1397)+1,FER_NLP,"Sí"),COUNTIFS(FER_F,INT(B1397)+1,FER_NLM,"Sí"))=0),1,0),0)</f>
        <v>0</v>
      </c>
      <c r="AJ1397" s="80">
        <f>IF(AC1397=1,1440-Z1397,AD1397)</f>
        <v>0</v>
      </c>
      <c r="AK1397" s="80">
        <f>IF(AND(AB1397=1,AH1397=1),MAX(0,MIN(IF(AC1397=1,1440,AA1397),CFG_WEM)-MAX(Z1397,CFG_WSM)),0)</f>
        <v>0</v>
      </c>
      <c r="AL1397" s="80">
        <f>IF(AND(AC1397=1,AI1397=1),MAX(0,MIN(AA1397,CFG_WEM)-CFG_WSM),0)</f>
        <v>0</v>
      </c>
      <c r="AM1397" s="80">
        <f>AK1397+AL1397</f>
        <v>0</v>
      </c>
      <c r="AN1397" s="80">
        <f>IF(CFG_BRK="Proporcional",IF(AD1397=0,0,AF1397*AM1397/AD1397),IF(CFG_BRK="Extras primero",MIN(AM1397,MAX(0,AF1397-(AD1397-AM1397))),MIN(AF1397,AM1397)))</f>
        <v>0</v>
      </c>
      <c r="AO1397" s="80">
        <f>AF1397-AN1397</f>
        <v>0</v>
      </c>
      <c r="AP1397" s="80">
        <f>AM1397-AN1397</f>
        <v>0</v>
      </c>
      <c r="AQ1397" s="80">
        <f>AD1397-AM1397-AO1397</f>
        <v>0</v>
      </c>
      <c r="AR1397" s="80">
        <f>IF(AM1397=0,0,AK1397-AN1397*AK1397/AM1397)</f>
        <v>0</v>
      </c>
      <c r="AS1397" s="80">
        <f>IF(AD1397-AM1397=0,0,(AJ1397-AK1397)-AO1397*(AJ1397-AK1397)/(AD1397-AM1397))</f>
        <v>0</v>
      </c>
      <c r="AT1397" s="80" t="str">
        <f>IF(AC1397=1,INT(B1397)+1,"")</f>
        <v/>
      </c>
      <c r="AU1397" s="80">
        <f>IF(AND(D1397="proMX",R1397="Cancelled"),0,1)</f>
        <v>1</v>
      </c>
      <c r="AV1397" s="80">
        <f>IF(AND(AB1397=1,AU1397=1),IF(COUNTIFS($D$5:D1396,D1397,$B$5:B1396,B1397,$Z$5:Z1396,Z1397,$AA$5:AA1396,AA1397,$F$5:F1396,F1397&amp;"",$AU$5:AU1396,1)&gt;0,1,0),0)</f>
        <v>0</v>
      </c>
      <c r="AW1397" s="80" t="str">
        <f>IF(AB1397=1,INT(B1397)*1440+Z1397,"")</f>
        <v/>
      </c>
      <c r="AX1397" s="80" t="str">
        <f>IF(AB1397=1,AW1397+AD1397,"")</f>
        <v/>
      </c>
      <c r="AY1397" s="80">
        <f>IF(AND(AB1397=1,AV1397=0,AU1397=1),1,0)</f>
        <v>0</v>
      </c>
      <c r="AZ1397" s="80">
        <f>IF(AY1397=1,COUNTIFS(R_Emp,D1397,R_SAbs,"&lt;"&amp;AX1397,R_EAbs,"&gt;"&amp;AW1397,R_OKey,1)-1,0)</f>
        <v>0</v>
      </c>
      <c r="BA1397" s="80">
        <f>IF(AY1397=1,COUNTIFS(R_Emp,"&lt;&gt;"&amp;D1397,R_SAbs,"&lt;"&amp;AX1397,R_EAbs,"&gt;"&amp;AW1397,R_OKey,1),0)</f>
        <v>0</v>
      </c>
      <c r="BB1397" s="80">
        <f>IF(AND(AB1397=1,D1397="proMX"),IF(AND(MOD(Z1397,CFG_BLK)=0,MOD(AA1397,CFG_BLK)=0,MOD(AG1397,CFG_BLK)=0,AG1397&gt;0),1,0),1)</f>
        <v>1</v>
      </c>
      <c r="BC1397" s="80" t="str">
        <f>IF(Y1397=0,"",IF(NOT(ISNUMBER(B1397)),"Falta fecha o fecha inválida",IF(D1397="","Falta empresa",IF(AND(D1397&lt;&gt;"Malcolm",D1397&lt;&gt;"proMX"),"Empresa inválida",IF(OR(INT(B1397)&lt;CFG_PSTART,INT(B1397)&gt;CFG_PEND),"Fecha fuera del período",IF(OR(NOT(ISNUMBER(Z1397)),NOT(ISNUMBER(AA1397))),"Falta hora inicio/fin o formato inválido",IF(AB1397=0,"Hora inicio = hora fin",IF(AE1397&lt;0,"Descanso inválido",IF(AE1397&gt;=AD1397,"Descanso ≥ duración",IF(AV1397=1,"Registro duplicado",IF(AZ1397&gt;0,"Se superpone con otro registro "&amp;D1397,IF(BB1397=0,"inicio, fin y duración neta deben ser múltiplos de "&amp;CFG_BLK&amp;" min",""))))))))))))</f>
        <v/>
      </c>
      <c r="BD1397" s="80">
        <f>IF(AND(Y1397=1,BC1397=""),1,0)</f>
        <v>0</v>
      </c>
      <c r="BE1397" s="80">
        <f>IF(AND(BD1397=1,AU1397=1),1,0)</f>
        <v>0</v>
      </c>
      <c r="BF1397" s="80" t="str">
        <f>IF(AND(D1397="proMX",BD1397=1),IF(R1397="","Draft",R1397),"")</f>
        <v/>
      </c>
      <c r="BG1397" s="80">
        <f>IF(BD1397=1,ROUND(AG1397/60,6),0)</f>
        <v>0</v>
      </c>
      <c r="BH1397" s="80">
        <f>IF(BE1397=1,ROUND(AG1397/60,6),0)</f>
        <v>0</v>
      </c>
      <c r="BI1397" s="80">
        <f>IF(BE1397=1,ROUND(AP1397/60,6),0)</f>
        <v>0</v>
      </c>
      <c r="BJ1397" s="80">
        <f>IF(BE1397=1,ROUND(AQ1397/60,6),0)</f>
        <v>0</v>
      </c>
      <c r="BK1397" s="80">
        <f>IF(BE1397=1,ROUND((AR1397+AS1397)/60,6),0)</f>
        <v>0</v>
      </c>
      <c r="BL1397" s="80">
        <f>ROUND(BH1397-BK1397,6)</f>
        <v>0</v>
      </c>
      <c r="BM1397" s="80">
        <f>IF(BE1397=1,ROUND(AR1397/60,6),0)</f>
        <v>0</v>
      </c>
      <c r="BN1397" s="80">
        <f>ROUND(BI1397-BM1397,6)</f>
        <v>0</v>
      </c>
      <c r="BO1397" s="80">
        <f>IF(BE1397=1,ROUND(AS1397/60,6),0)</f>
        <v>0</v>
      </c>
      <c r="BP1397" s="80">
        <f>ROUND(BJ1397-BO1397,6)</f>
        <v>0</v>
      </c>
      <c r="BQ1397" s="80">
        <f>IF(BE1397=1,AW1397,0)</f>
        <v>0</v>
      </c>
      <c r="BR1397" s="80">
        <f>IF(BE1397=1,AX1397,0)</f>
        <v>0</v>
      </c>
      <c r="BS1397" s="80">
        <f>IF(AND(BE1397=1,D1397="Malcolm",BA1397&gt;0),MIN(BH1397,SUMPRODUCT((R_Emp="proMX")*(R_EN&gt;0)*((R_EN-(R_EN&gt;BR1397)*(R_EN-BR1397))&gt;(R_SN+(R_SN&lt;BQ1397)*(BQ1397-R_SN)))*((R_EN-(R_EN&gt;BR1397)*(R_EN-BR1397))-(R_SN+(R_SN&lt;BQ1397)*(BQ1397-R_SN))))/60),0)</f>
        <v>0</v>
      </c>
      <c r="BT1397" s="80">
        <f>IF(AND(BE1397=1,D1397="proMX"),ROUND(BI1397*CFG_RATE+BJ1397*CFG_OTRATE,6),0)</f>
        <v>0</v>
      </c>
      <c r="BU1397" s="80">
        <f>IF(AND(BD1397=1,D1397="proMX"),ROUND(AG1397/CFG_BLK,6),0)</f>
        <v>0</v>
      </c>
      <c r="BV1397" s="80" t="str">
        <f>IF(BF1397="Approved",IF(ISNUMBER(T1397),INT(T1397),INT(B1397)),"")</f>
        <v/>
      </c>
      <c r="BW1397" s="80">
        <f>IF(ISNUMBER(B1397),IF(DB_MON="Todos",1,IF(AND(INT(B1397)&gt;=DB_MS,INT(B1397)&lt;=DB_ME),1,0)),0)</f>
        <v>0</v>
      </c>
      <c r="BX1397" s="80">
        <f>IF(DB_PROJ="Todos",1,IF(E1397&amp;""=DB_PROJ&amp;"",1,0))</f>
        <v>1</v>
      </c>
      <c r="BY1397" s="80">
        <f>BW1397*BX1397</f>
        <v>0</v>
      </c>
      <c r="BZ1397" s="80" t="str">
        <f>IF(Y1397=1,F1397&amp;IF(AND(F1397&amp;""&lt;&gt;"",E1397&amp;""&lt;&gt;"")," · ","")&amp;E1397,"")</f>
        <v/>
      </c>
      <c r="CA1397" s="80" t="str">
        <f>IF(AND(BD1397=1,E1397&amp;""&lt;&gt;""),IF(COUNTIFS($E$5:E1396,E1397,$BD$5:BD1396,1)=0,MAX($CA$5:CA1396)+1,""),"")</f>
        <v/>
      </c>
      <c r="CB1397" s="80" t="str">
        <f>IF(AND(BE1397=1,D1397="Malcolm",E1397&amp;""&lt;&gt;""),IF(COUNTIFS($D$5:D1396,"Malcolm",$E$5:E1396,E1397,$BE$5:BE1396,1)=0,MAX($CB$5:CB1396)+1,""),"")</f>
        <v/>
      </c>
      <c r="CC1397" s="80" t="str">
        <f>IF(AND(BD1397=1,D1397="proMX",E1397&amp;""&lt;&gt;""),IF(COUNTIFS($D$5:D1396,"proMX",$E$5:E1396,E1397,$BD$5:BD1396,1)=0,MAX($CC$5:CC1396)+1,""),"")</f>
        <v/>
      </c>
      <c r="CD1397" s="80" t="str">
        <f>IF(AND(BE1397=1,D1397="Malcolm",F1397&amp;""&lt;&gt;""),IF(COUNTIFS($D$5:D1396,"Malcolm",$F$5:F1396,F1397,$BE$5:BE1396,1)=0,MAX($CD$5:CD1396)+1,""),"")</f>
        <v/>
      </c>
      <c r="CE1397" s="80" t="str">
        <f>IF(AND(BD1397=1,D1397="proMX",F1397&amp;""&lt;&gt;""),IF(COUNTIFS($D$5:D1396,"proMX",$F$5:F1396,F1397,$BD$5:BD1396,1)=0,MAX($CE$5:CE1396)+1,""),"")</f>
        <v/>
      </c>
      <c r="CF1397" s="80" t="str">
        <f>IF(AND(D1397="proMX",BD1397=1),IF(OR(BF1397="Draft",BF1397="Submitted",BF1397="Returned",BF1397="Recall Requested"),MAX($CF$5:CF1396)+1,""),"")</f>
        <v/>
      </c>
      <c r="CG1397" s="80">
        <f>IF(BD1397=0,0,IF(D1397="Malcolm",1,MATCH(BF1397,{"Draft","Submitted","Approved","Returned","Recall Requested","Cancelled"},0)+1))</f>
        <v>0</v>
      </c>
      <c r="CH1397" s="80">
        <f>IF(AND(BF1397="Submitted",ISNUMBER(V1397)),IF(V1397&gt;CFG_MAXD,1,0),0)</f>
        <v>0</v>
      </c>
    </row>
    <row r="1398">
      <c r="A1398" s="71" t="str">
        <f>IF(Y1398=1,ROW()-5,"")</f>
        <v/>
      </c>
      <c r="B1398" s="72" t="n"/>
      <c r="C1398" s="71" t="str">
        <f>IF(ISNUMBER(B1398),CHOOSE(WEEKDAY(B1398,2),"Lun","Mar","Mié","Jue","Vie","Sáb","Dom"),"")</f>
        <v/>
      </c>
      <c r="D1398" s="73" t="n"/>
      <c r="E1398" s="74" t="n"/>
      <c r="F1398" s="74" t="n"/>
      <c r="G1398" s="74" t="n"/>
      <c r="H1398" s="75" t="n"/>
      <c r="I1398" s="75" t="n"/>
      <c r="J1398" s="76" t="n"/>
      <c r="K1398" s="77" t="str">
        <f>IF(AB1398=1,ROUND(AG1398/60,4),"")</f>
        <v/>
      </c>
      <c r="L1398" s="77" t="str">
        <f>IF(BD1398=1,ROUND(AP1398/60,4),"")</f>
        <v/>
      </c>
      <c r="M1398" s="77" t="str">
        <f>IF(BD1398=1,ROUND(AQ1398/60,4),"")</f>
        <v/>
      </c>
      <c r="N1398" s="71" t="str">
        <f>IF(AND(D1398="proMX",AB1398=1),ROUND(AG1398/CFG_BLK,2),"")</f>
        <v/>
      </c>
      <c r="O1398" s="77" t="str">
        <f>IF(D1398="proMX",IF(BD1398=1,ROUND(AG1398/60,4),0),"")</f>
        <v/>
      </c>
      <c r="P1398" s="78" t="str">
        <f>IF(Y1398=0,"",IF(BD1398=1,"OK",IF(D1398="proMX","Revisar bloques: ","Revisar: ")&amp;BC1398))</f>
        <v/>
      </c>
      <c r="Q1398" s="78" t="str">
        <f>IF(NOT(ISNUMBER(B1398)),"",IF(COUNTIFS(FER_F,INT(B1398))&gt;0,"Feriado"&amp;IF(AH1398=1," (laborable)"," (no laborable)"),IF(AH1398=1,"Laborable",IF(WEEKDAY(B1398,2)&gt;5,"Fin de semana","No laborable"))))</f>
        <v/>
      </c>
      <c r="R1398" s="73" t="n"/>
      <c r="S1398" s="72" t="n"/>
      <c r="T1398" s="72" t="n"/>
      <c r="U1398" s="74" t="n"/>
      <c r="V1398" s="79" t="str">
        <f>IF(AND(D1398="proMX",OR(R1398="Submitted",R1398="Recall Requested"),ISNUMBER(S1398)),CFG_TODAY-INT(S1398),"")</f>
        <v/>
      </c>
      <c r="W1398" s="78" t="str">
        <f>IF(BD1398=0,"",IF(BA1398&gt;0,"⚠ Se superpone con un registro de la otra empresa",IF(D1398="Malcolm",IF(COUNTA(R1398,S1398,T1398)&gt;0,"Estado/fechas proMX se ignoran en Malcolm",""),IF(BF1398="Cancelled","Cancelado: excluido de totales",IF(R1398="","Sin estado: se trata como Draft",IF(BF1398="Submitted",IF(ISNUMBER(V1398),IF(V1398&gt;CFG_MAXD,"⚠ "&amp;V1398&amp;" días en Submitted (máx. "&amp;CFG_MAXD&amp;")",""),"Falta fecha de envío"),IF(BF1398="Returned","⚠ Devuelto: corregir y reenviar",IF(BF1398="Recall Requested","Retirada solicitada: pendiente",IF(AND(BF1398="Approved",NOT(ISNUMBER(T1398))),"Falta fecha de aprobación",IF(AND(ISNUMBER(S1398),ISNUMBER(T1398),T1398&lt;S1398),"Aprobación anterior al envío","")))))))))</f>
        <v/>
      </c>
      <c r="Y1398" s="80">
        <f>IF(COUNTA(B1398,D1398,E1398,F1398,G1398,H1398,I1398,J1398,R1398,S1398,T1398)&gt;0,1,0)</f>
        <v>0</v>
      </c>
      <c r="Z1398" s="80" t="str">
        <f>IF(AND(ISNUMBER(H1398),H1398&gt;=0,H1398&lt;1),ROUND(H1398*1440,0),"")</f>
        <v/>
      </c>
      <c r="AA1398" s="80" t="str">
        <f>IF(AND(ISNUMBER(I1398),I1398&gt;=0,I1398&lt;1),ROUND(I1398*1440,0),"")</f>
        <v/>
      </c>
      <c r="AB1398" s="80">
        <f>IF(AND(ISNUMBER(B1398),D1398&lt;&gt;"",ISNUMBER(Z1398),ISNUMBER(AA1398)),IF(Z1398=AA1398,0,1),0)</f>
        <v>0</v>
      </c>
      <c r="AC1398" s="80">
        <f>IF(AB1398=1,IF(AA1398&lt;Z1398,1,0),0)</f>
        <v>0</v>
      </c>
      <c r="AD1398" s="80">
        <f>IF(AB1398=1,IF(AC1398=1,1440-Z1398+AA1398,AA1398-Z1398),0)</f>
        <v>0</v>
      </c>
      <c r="AE1398" s="80">
        <f>IF(J1398="",0,IF(ISNUMBER(J1398),J1398,-1))</f>
        <v>0</v>
      </c>
      <c r="AF1398" s="80">
        <f>MIN(MAX(0,AE1398),AD1398)</f>
        <v>0</v>
      </c>
      <c r="AG1398" s="80">
        <f>MAX(0,AD1398-MAX(0,AE1398))</f>
        <v>0</v>
      </c>
      <c r="AH1398" s="80">
        <f>IF(ISNUMBER(B1398),IF(AND(INDEX(CFG_WDAYS,WEEKDAY(INT(B1398),2))="Sí",IF(D1398="proMX",COUNTIFS(FER_F,INT(B1398),FER_NLP,"Sí"),COUNTIFS(FER_F,INT(B1398),FER_NLM,"Sí"))=0),1,0),0)</f>
        <v>0</v>
      </c>
      <c r="AI1398" s="80">
        <f>IF(AC1398=1,IF(AND(INDEX(CFG_WDAYS,WEEKDAY(INT(B1398)+1,2))="Sí",IF(D1398="proMX",COUNTIFS(FER_F,INT(B1398)+1,FER_NLP,"Sí"),COUNTIFS(FER_F,INT(B1398)+1,FER_NLM,"Sí"))=0),1,0),0)</f>
        <v>0</v>
      </c>
      <c r="AJ1398" s="80">
        <f>IF(AC1398=1,1440-Z1398,AD1398)</f>
        <v>0</v>
      </c>
      <c r="AK1398" s="80">
        <f>IF(AND(AB1398=1,AH1398=1),MAX(0,MIN(IF(AC1398=1,1440,AA1398),CFG_WEM)-MAX(Z1398,CFG_WSM)),0)</f>
        <v>0</v>
      </c>
      <c r="AL1398" s="80">
        <f>IF(AND(AC1398=1,AI1398=1),MAX(0,MIN(AA1398,CFG_WEM)-CFG_WSM),0)</f>
        <v>0</v>
      </c>
      <c r="AM1398" s="80">
        <f>AK1398+AL1398</f>
        <v>0</v>
      </c>
      <c r="AN1398" s="80">
        <f>IF(CFG_BRK="Proporcional",IF(AD1398=0,0,AF1398*AM1398/AD1398),IF(CFG_BRK="Extras primero",MIN(AM1398,MAX(0,AF1398-(AD1398-AM1398))),MIN(AF1398,AM1398)))</f>
        <v>0</v>
      </c>
      <c r="AO1398" s="80">
        <f>AF1398-AN1398</f>
        <v>0</v>
      </c>
      <c r="AP1398" s="80">
        <f>AM1398-AN1398</f>
        <v>0</v>
      </c>
      <c r="AQ1398" s="80">
        <f>AD1398-AM1398-AO1398</f>
        <v>0</v>
      </c>
      <c r="AR1398" s="80">
        <f>IF(AM1398=0,0,AK1398-AN1398*AK1398/AM1398)</f>
        <v>0</v>
      </c>
      <c r="AS1398" s="80">
        <f>IF(AD1398-AM1398=0,0,(AJ1398-AK1398)-AO1398*(AJ1398-AK1398)/(AD1398-AM1398))</f>
        <v>0</v>
      </c>
      <c r="AT1398" s="80" t="str">
        <f>IF(AC1398=1,INT(B1398)+1,"")</f>
        <v/>
      </c>
      <c r="AU1398" s="80">
        <f>IF(AND(D1398="proMX",R1398="Cancelled"),0,1)</f>
        <v>1</v>
      </c>
      <c r="AV1398" s="80">
        <f>IF(AND(AB1398=1,AU1398=1),IF(COUNTIFS($D$5:D1397,D1398,$B$5:B1397,B1398,$Z$5:Z1397,Z1398,$AA$5:AA1397,AA1398,$F$5:F1397,F1398&amp;"",$AU$5:AU1397,1)&gt;0,1,0),0)</f>
        <v>0</v>
      </c>
      <c r="AW1398" s="80" t="str">
        <f>IF(AB1398=1,INT(B1398)*1440+Z1398,"")</f>
        <v/>
      </c>
      <c r="AX1398" s="80" t="str">
        <f>IF(AB1398=1,AW1398+AD1398,"")</f>
        <v/>
      </c>
      <c r="AY1398" s="80">
        <f>IF(AND(AB1398=1,AV1398=0,AU1398=1),1,0)</f>
        <v>0</v>
      </c>
      <c r="AZ1398" s="80">
        <f>IF(AY1398=1,COUNTIFS(R_Emp,D1398,R_SAbs,"&lt;"&amp;AX1398,R_EAbs,"&gt;"&amp;AW1398,R_OKey,1)-1,0)</f>
        <v>0</v>
      </c>
      <c r="BA1398" s="80">
        <f>IF(AY1398=1,COUNTIFS(R_Emp,"&lt;&gt;"&amp;D1398,R_SAbs,"&lt;"&amp;AX1398,R_EAbs,"&gt;"&amp;AW1398,R_OKey,1),0)</f>
        <v>0</v>
      </c>
      <c r="BB1398" s="80">
        <f>IF(AND(AB1398=1,D1398="proMX"),IF(AND(MOD(Z1398,CFG_BLK)=0,MOD(AA1398,CFG_BLK)=0,MOD(AG1398,CFG_BLK)=0,AG1398&gt;0),1,0),1)</f>
        <v>1</v>
      </c>
      <c r="BC1398" s="80" t="str">
        <f>IF(Y1398=0,"",IF(NOT(ISNUMBER(B1398)),"Falta fecha o fecha inválida",IF(D1398="","Falta empresa",IF(AND(D1398&lt;&gt;"Malcolm",D1398&lt;&gt;"proMX"),"Empresa inválida",IF(OR(INT(B1398)&lt;CFG_PSTART,INT(B1398)&gt;CFG_PEND),"Fecha fuera del período",IF(OR(NOT(ISNUMBER(Z1398)),NOT(ISNUMBER(AA1398))),"Falta hora inicio/fin o formato inválido",IF(AB1398=0,"Hora inicio = hora fin",IF(AE1398&lt;0,"Descanso inválido",IF(AE1398&gt;=AD1398,"Descanso ≥ duración",IF(AV1398=1,"Registro duplicado",IF(AZ1398&gt;0,"Se superpone con otro registro "&amp;D1398,IF(BB1398=0,"inicio, fin y duración neta deben ser múltiplos de "&amp;CFG_BLK&amp;" min",""))))))))))))</f>
        <v/>
      </c>
      <c r="BD1398" s="80">
        <f>IF(AND(Y1398=1,BC1398=""),1,0)</f>
        <v>0</v>
      </c>
      <c r="BE1398" s="80">
        <f>IF(AND(BD1398=1,AU1398=1),1,0)</f>
        <v>0</v>
      </c>
      <c r="BF1398" s="80" t="str">
        <f>IF(AND(D1398="proMX",BD1398=1),IF(R1398="","Draft",R1398),"")</f>
        <v/>
      </c>
      <c r="BG1398" s="80">
        <f>IF(BD1398=1,ROUND(AG1398/60,6),0)</f>
        <v>0</v>
      </c>
      <c r="BH1398" s="80">
        <f>IF(BE1398=1,ROUND(AG1398/60,6),0)</f>
        <v>0</v>
      </c>
      <c r="BI1398" s="80">
        <f>IF(BE1398=1,ROUND(AP1398/60,6),0)</f>
        <v>0</v>
      </c>
      <c r="BJ1398" s="80">
        <f>IF(BE1398=1,ROUND(AQ1398/60,6),0)</f>
        <v>0</v>
      </c>
      <c r="BK1398" s="80">
        <f>IF(BE1398=1,ROUND((AR1398+AS1398)/60,6),0)</f>
        <v>0</v>
      </c>
      <c r="BL1398" s="80">
        <f>ROUND(BH1398-BK1398,6)</f>
        <v>0</v>
      </c>
      <c r="BM1398" s="80">
        <f>IF(BE1398=1,ROUND(AR1398/60,6),0)</f>
        <v>0</v>
      </c>
      <c r="BN1398" s="80">
        <f>ROUND(BI1398-BM1398,6)</f>
        <v>0</v>
      </c>
      <c r="BO1398" s="80">
        <f>IF(BE1398=1,ROUND(AS1398/60,6),0)</f>
        <v>0</v>
      </c>
      <c r="BP1398" s="80">
        <f>ROUND(BJ1398-BO1398,6)</f>
        <v>0</v>
      </c>
      <c r="BQ1398" s="80">
        <f>IF(BE1398=1,AW1398,0)</f>
        <v>0</v>
      </c>
      <c r="BR1398" s="80">
        <f>IF(BE1398=1,AX1398,0)</f>
        <v>0</v>
      </c>
      <c r="BS1398" s="80">
        <f>IF(AND(BE1398=1,D1398="Malcolm",BA1398&gt;0),MIN(BH1398,SUMPRODUCT((R_Emp="proMX")*(R_EN&gt;0)*((R_EN-(R_EN&gt;BR1398)*(R_EN-BR1398))&gt;(R_SN+(R_SN&lt;BQ1398)*(BQ1398-R_SN)))*((R_EN-(R_EN&gt;BR1398)*(R_EN-BR1398))-(R_SN+(R_SN&lt;BQ1398)*(BQ1398-R_SN))))/60),0)</f>
        <v>0</v>
      </c>
      <c r="BT1398" s="80">
        <f>IF(AND(BE1398=1,D1398="proMX"),ROUND(BI1398*CFG_RATE+BJ1398*CFG_OTRATE,6),0)</f>
        <v>0</v>
      </c>
      <c r="BU1398" s="80">
        <f>IF(AND(BD1398=1,D1398="proMX"),ROUND(AG1398/CFG_BLK,6),0)</f>
        <v>0</v>
      </c>
      <c r="BV1398" s="80" t="str">
        <f>IF(BF1398="Approved",IF(ISNUMBER(T1398),INT(T1398),INT(B1398)),"")</f>
        <v/>
      </c>
      <c r="BW1398" s="80">
        <f>IF(ISNUMBER(B1398),IF(DB_MON="Todos",1,IF(AND(INT(B1398)&gt;=DB_MS,INT(B1398)&lt;=DB_ME),1,0)),0)</f>
        <v>0</v>
      </c>
      <c r="BX1398" s="80">
        <f>IF(DB_PROJ="Todos",1,IF(E1398&amp;""=DB_PROJ&amp;"",1,0))</f>
        <v>1</v>
      </c>
      <c r="BY1398" s="80">
        <f>BW1398*BX1398</f>
        <v>0</v>
      </c>
      <c r="BZ1398" s="80" t="str">
        <f>IF(Y1398=1,F1398&amp;IF(AND(F1398&amp;""&lt;&gt;"",E1398&amp;""&lt;&gt;"")," · ","")&amp;E1398,"")</f>
        <v/>
      </c>
      <c r="CA1398" s="80" t="str">
        <f>IF(AND(BD1398=1,E1398&amp;""&lt;&gt;""),IF(COUNTIFS($E$5:E1397,E1398,$BD$5:BD1397,1)=0,MAX($CA$5:CA1397)+1,""),"")</f>
        <v/>
      </c>
      <c r="CB1398" s="80" t="str">
        <f>IF(AND(BE1398=1,D1398="Malcolm",E1398&amp;""&lt;&gt;""),IF(COUNTIFS($D$5:D1397,"Malcolm",$E$5:E1397,E1398,$BE$5:BE1397,1)=0,MAX($CB$5:CB1397)+1,""),"")</f>
        <v/>
      </c>
      <c r="CC1398" s="80" t="str">
        <f>IF(AND(BD1398=1,D1398="proMX",E1398&amp;""&lt;&gt;""),IF(COUNTIFS($D$5:D1397,"proMX",$E$5:E1397,E1398,$BD$5:BD1397,1)=0,MAX($CC$5:CC1397)+1,""),"")</f>
        <v/>
      </c>
      <c r="CD1398" s="80" t="str">
        <f>IF(AND(BE1398=1,D1398="Malcolm",F1398&amp;""&lt;&gt;""),IF(COUNTIFS($D$5:D1397,"Malcolm",$F$5:F1397,F1398,$BE$5:BE1397,1)=0,MAX($CD$5:CD1397)+1,""),"")</f>
        <v/>
      </c>
      <c r="CE1398" s="80" t="str">
        <f>IF(AND(BD1398=1,D1398="proMX",F1398&amp;""&lt;&gt;""),IF(COUNTIFS($D$5:D1397,"proMX",$F$5:F1397,F1398,$BD$5:BD1397,1)=0,MAX($CE$5:CE1397)+1,""),"")</f>
        <v/>
      </c>
      <c r="CF1398" s="80" t="str">
        <f>IF(AND(D1398="proMX",BD1398=1),IF(OR(BF1398="Draft",BF1398="Submitted",BF1398="Returned",BF1398="Recall Requested"),MAX($CF$5:CF1397)+1,""),"")</f>
        <v/>
      </c>
      <c r="CG1398" s="80">
        <f>IF(BD1398=0,0,IF(D1398="Malcolm",1,MATCH(BF1398,{"Draft","Submitted","Approved","Returned","Recall Requested","Cancelled"},0)+1))</f>
        <v>0</v>
      </c>
      <c r="CH1398" s="80">
        <f>IF(AND(BF1398="Submitted",ISNUMBER(V1398)),IF(V1398&gt;CFG_MAXD,1,0),0)</f>
        <v>0</v>
      </c>
    </row>
    <row r="1399">
      <c r="A1399" s="71" t="str">
        <f>IF(Y1399=1,ROW()-5,"")</f>
        <v/>
      </c>
      <c r="B1399" s="72" t="n"/>
      <c r="C1399" s="71" t="str">
        <f>IF(ISNUMBER(B1399),CHOOSE(WEEKDAY(B1399,2),"Lun","Mar","Mié","Jue","Vie","Sáb","Dom"),"")</f>
        <v/>
      </c>
      <c r="D1399" s="73" t="n"/>
      <c r="E1399" s="74" t="n"/>
      <c r="F1399" s="74" t="n"/>
      <c r="G1399" s="74" t="n"/>
      <c r="H1399" s="75" t="n"/>
      <c r="I1399" s="75" t="n"/>
      <c r="J1399" s="76" t="n"/>
      <c r="K1399" s="77" t="str">
        <f>IF(AB1399=1,ROUND(AG1399/60,4),"")</f>
        <v/>
      </c>
      <c r="L1399" s="77" t="str">
        <f>IF(BD1399=1,ROUND(AP1399/60,4),"")</f>
        <v/>
      </c>
      <c r="M1399" s="77" t="str">
        <f>IF(BD1399=1,ROUND(AQ1399/60,4),"")</f>
        <v/>
      </c>
      <c r="N1399" s="71" t="str">
        <f>IF(AND(D1399="proMX",AB1399=1),ROUND(AG1399/CFG_BLK,2),"")</f>
        <v/>
      </c>
      <c r="O1399" s="77" t="str">
        <f>IF(D1399="proMX",IF(BD1399=1,ROUND(AG1399/60,4),0),"")</f>
        <v/>
      </c>
      <c r="P1399" s="78" t="str">
        <f>IF(Y1399=0,"",IF(BD1399=1,"OK",IF(D1399="proMX","Revisar bloques: ","Revisar: ")&amp;BC1399))</f>
        <v/>
      </c>
      <c r="Q1399" s="78" t="str">
        <f>IF(NOT(ISNUMBER(B1399)),"",IF(COUNTIFS(FER_F,INT(B1399))&gt;0,"Feriado"&amp;IF(AH1399=1," (laborable)"," (no laborable)"),IF(AH1399=1,"Laborable",IF(WEEKDAY(B1399,2)&gt;5,"Fin de semana","No laborable"))))</f>
        <v/>
      </c>
      <c r="R1399" s="73" t="n"/>
      <c r="S1399" s="72" t="n"/>
      <c r="T1399" s="72" t="n"/>
      <c r="U1399" s="74" t="n"/>
      <c r="V1399" s="79" t="str">
        <f>IF(AND(D1399="proMX",OR(R1399="Submitted",R1399="Recall Requested"),ISNUMBER(S1399)),CFG_TODAY-INT(S1399),"")</f>
        <v/>
      </c>
      <c r="W1399" s="78" t="str">
        <f>IF(BD1399=0,"",IF(BA1399&gt;0,"⚠ Se superpone con un registro de la otra empresa",IF(D1399="Malcolm",IF(COUNTA(R1399,S1399,T1399)&gt;0,"Estado/fechas proMX se ignoran en Malcolm",""),IF(BF1399="Cancelled","Cancelado: excluido de totales",IF(R1399="","Sin estado: se trata como Draft",IF(BF1399="Submitted",IF(ISNUMBER(V1399),IF(V1399&gt;CFG_MAXD,"⚠ "&amp;V1399&amp;" días en Submitted (máx. "&amp;CFG_MAXD&amp;")",""),"Falta fecha de envío"),IF(BF1399="Returned","⚠ Devuelto: corregir y reenviar",IF(BF1399="Recall Requested","Retirada solicitada: pendiente",IF(AND(BF1399="Approved",NOT(ISNUMBER(T1399))),"Falta fecha de aprobación",IF(AND(ISNUMBER(S1399),ISNUMBER(T1399),T1399&lt;S1399),"Aprobación anterior al envío","")))))))))</f>
        <v/>
      </c>
      <c r="Y1399" s="80">
        <f>IF(COUNTA(B1399,D1399,E1399,F1399,G1399,H1399,I1399,J1399,R1399,S1399,T1399)&gt;0,1,0)</f>
        <v>0</v>
      </c>
      <c r="Z1399" s="80" t="str">
        <f>IF(AND(ISNUMBER(H1399),H1399&gt;=0,H1399&lt;1),ROUND(H1399*1440,0),"")</f>
        <v/>
      </c>
      <c r="AA1399" s="80" t="str">
        <f>IF(AND(ISNUMBER(I1399),I1399&gt;=0,I1399&lt;1),ROUND(I1399*1440,0),"")</f>
        <v/>
      </c>
      <c r="AB1399" s="80">
        <f>IF(AND(ISNUMBER(B1399),D1399&lt;&gt;"",ISNUMBER(Z1399),ISNUMBER(AA1399)),IF(Z1399=AA1399,0,1),0)</f>
        <v>0</v>
      </c>
      <c r="AC1399" s="80">
        <f>IF(AB1399=1,IF(AA1399&lt;Z1399,1,0),0)</f>
        <v>0</v>
      </c>
      <c r="AD1399" s="80">
        <f>IF(AB1399=1,IF(AC1399=1,1440-Z1399+AA1399,AA1399-Z1399),0)</f>
        <v>0</v>
      </c>
      <c r="AE1399" s="80">
        <f>IF(J1399="",0,IF(ISNUMBER(J1399),J1399,-1))</f>
        <v>0</v>
      </c>
      <c r="AF1399" s="80">
        <f>MIN(MAX(0,AE1399),AD1399)</f>
        <v>0</v>
      </c>
      <c r="AG1399" s="80">
        <f>MAX(0,AD1399-MAX(0,AE1399))</f>
        <v>0</v>
      </c>
      <c r="AH1399" s="80">
        <f>IF(ISNUMBER(B1399),IF(AND(INDEX(CFG_WDAYS,WEEKDAY(INT(B1399),2))="Sí",IF(D1399="proMX",COUNTIFS(FER_F,INT(B1399),FER_NLP,"Sí"),COUNTIFS(FER_F,INT(B1399),FER_NLM,"Sí"))=0),1,0),0)</f>
        <v>0</v>
      </c>
      <c r="AI1399" s="80">
        <f>IF(AC1399=1,IF(AND(INDEX(CFG_WDAYS,WEEKDAY(INT(B1399)+1,2))="Sí",IF(D1399="proMX",COUNTIFS(FER_F,INT(B1399)+1,FER_NLP,"Sí"),COUNTIFS(FER_F,INT(B1399)+1,FER_NLM,"Sí"))=0),1,0),0)</f>
        <v>0</v>
      </c>
      <c r="AJ1399" s="80">
        <f>IF(AC1399=1,1440-Z1399,AD1399)</f>
        <v>0</v>
      </c>
      <c r="AK1399" s="80">
        <f>IF(AND(AB1399=1,AH1399=1),MAX(0,MIN(IF(AC1399=1,1440,AA1399),CFG_WEM)-MAX(Z1399,CFG_WSM)),0)</f>
        <v>0</v>
      </c>
      <c r="AL1399" s="80">
        <f>IF(AND(AC1399=1,AI1399=1),MAX(0,MIN(AA1399,CFG_WEM)-CFG_WSM),0)</f>
        <v>0</v>
      </c>
      <c r="AM1399" s="80">
        <f>AK1399+AL1399</f>
        <v>0</v>
      </c>
      <c r="AN1399" s="80">
        <f>IF(CFG_BRK="Proporcional",IF(AD1399=0,0,AF1399*AM1399/AD1399),IF(CFG_BRK="Extras primero",MIN(AM1399,MAX(0,AF1399-(AD1399-AM1399))),MIN(AF1399,AM1399)))</f>
        <v>0</v>
      </c>
      <c r="AO1399" s="80">
        <f>AF1399-AN1399</f>
        <v>0</v>
      </c>
      <c r="AP1399" s="80">
        <f>AM1399-AN1399</f>
        <v>0</v>
      </c>
      <c r="AQ1399" s="80">
        <f>AD1399-AM1399-AO1399</f>
        <v>0</v>
      </c>
      <c r="AR1399" s="80">
        <f>IF(AM1399=0,0,AK1399-AN1399*AK1399/AM1399)</f>
        <v>0</v>
      </c>
      <c r="AS1399" s="80">
        <f>IF(AD1399-AM1399=0,0,(AJ1399-AK1399)-AO1399*(AJ1399-AK1399)/(AD1399-AM1399))</f>
        <v>0</v>
      </c>
      <c r="AT1399" s="80" t="str">
        <f>IF(AC1399=1,INT(B1399)+1,"")</f>
        <v/>
      </c>
      <c r="AU1399" s="80">
        <f>IF(AND(D1399="proMX",R1399="Cancelled"),0,1)</f>
        <v>1</v>
      </c>
      <c r="AV1399" s="80">
        <f>IF(AND(AB1399=1,AU1399=1),IF(COUNTIFS($D$5:D1398,D1399,$B$5:B1398,B1399,$Z$5:Z1398,Z1399,$AA$5:AA1398,AA1399,$F$5:F1398,F1399&amp;"",$AU$5:AU1398,1)&gt;0,1,0),0)</f>
        <v>0</v>
      </c>
      <c r="AW1399" s="80" t="str">
        <f>IF(AB1399=1,INT(B1399)*1440+Z1399,"")</f>
        <v/>
      </c>
      <c r="AX1399" s="80" t="str">
        <f>IF(AB1399=1,AW1399+AD1399,"")</f>
        <v/>
      </c>
      <c r="AY1399" s="80">
        <f>IF(AND(AB1399=1,AV1399=0,AU1399=1),1,0)</f>
        <v>0</v>
      </c>
      <c r="AZ1399" s="80">
        <f>IF(AY1399=1,COUNTIFS(R_Emp,D1399,R_SAbs,"&lt;"&amp;AX1399,R_EAbs,"&gt;"&amp;AW1399,R_OKey,1)-1,0)</f>
        <v>0</v>
      </c>
      <c r="BA1399" s="80">
        <f>IF(AY1399=1,COUNTIFS(R_Emp,"&lt;&gt;"&amp;D1399,R_SAbs,"&lt;"&amp;AX1399,R_EAbs,"&gt;"&amp;AW1399,R_OKey,1),0)</f>
        <v>0</v>
      </c>
      <c r="BB1399" s="80">
        <f>IF(AND(AB1399=1,D1399="proMX"),IF(AND(MOD(Z1399,CFG_BLK)=0,MOD(AA1399,CFG_BLK)=0,MOD(AG1399,CFG_BLK)=0,AG1399&gt;0),1,0),1)</f>
        <v>1</v>
      </c>
      <c r="BC1399" s="80" t="str">
        <f>IF(Y1399=0,"",IF(NOT(ISNUMBER(B1399)),"Falta fecha o fecha inválida",IF(D1399="","Falta empresa",IF(AND(D1399&lt;&gt;"Malcolm",D1399&lt;&gt;"proMX"),"Empresa inválida",IF(OR(INT(B1399)&lt;CFG_PSTART,INT(B1399)&gt;CFG_PEND),"Fecha fuera del período",IF(OR(NOT(ISNUMBER(Z1399)),NOT(ISNUMBER(AA1399))),"Falta hora inicio/fin o formato inválido",IF(AB1399=0,"Hora inicio = hora fin",IF(AE1399&lt;0,"Descanso inválido",IF(AE1399&gt;=AD1399,"Descanso ≥ duración",IF(AV1399=1,"Registro duplicado",IF(AZ1399&gt;0,"Se superpone con otro registro "&amp;D1399,IF(BB1399=0,"inicio, fin y duración neta deben ser múltiplos de "&amp;CFG_BLK&amp;" min",""))))))))))))</f>
        <v/>
      </c>
      <c r="BD1399" s="80">
        <f>IF(AND(Y1399=1,BC1399=""),1,0)</f>
        <v>0</v>
      </c>
      <c r="BE1399" s="80">
        <f>IF(AND(BD1399=1,AU1399=1),1,0)</f>
        <v>0</v>
      </c>
      <c r="BF1399" s="80" t="str">
        <f>IF(AND(D1399="proMX",BD1399=1),IF(R1399="","Draft",R1399),"")</f>
        <v/>
      </c>
      <c r="BG1399" s="80">
        <f>IF(BD1399=1,ROUND(AG1399/60,6),0)</f>
        <v>0</v>
      </c>
      <c r="BH1399" s="80">
        <f>IF(BE1399=1,ROUND(AG1399/60,6),0)</f>
        <v>0</v>
      </c>
      <c r="BI1399" s="80">
        <f>IF(BE1399=1,ROUND(AP1399/60,6),0)</f>
        <v>0</v>
      </c>
      <c r="BJ1399" s="80">
        <f>IF(BE1399=1,ROUND(AQ1399/60,6),0)</f>
        <v>0</v>
      </c>
      <c r="BK1399" s="80">
        <f>IF(BE1399=1,ROUND((AR1399+AS1399)/60,6),0)</f>
        <v>0</v>
      </c>
      <c r="BL1399" s="80">
        <f>ROUND(BH1399-BK1399,6)</f>
        <v>0</v>
      </c>
      <c r="BM1399" s="80">
        <f>IF(BE1399=1,ROUND(AR1399/60,6),0)</f>
        <v>0</v>
      </c>
      <c r="BN1399" s="80">
        <f>ROUND(BI1399-BM1399,6)</f>
        <v>0</v>
      </c>
      <c r="BO1399" s="80">
        <f>IF(BE1399=1,ROUND(AS1399/60,6),0)</f>
        <v>0</v>
      </c>
      <c r="BP1399" s="80">
        <f>ROUND(BJ1399-BO1399,6)</f>
        <v>0</v>
      </c>
      <c r="BQ1399" s="80">
        <f>IF(BE1399=1,AW1399,0)</f>
        <v>0</v>
      </c>
      <c r="BR1399" s="80">
        <f>IF(BE1399=1,AX1399,0)</f>
        <v>0</v>
      </c>
      <c r="BS1399" s="80">
        <f>IF(AND(BE1399=1,D1399="Malcolm",BA1399&gt;0),MIN(BH1399,SUMPRODUCT((R_Emp="proMX")*(R_EN&gt;0)*((R_EN-(R_EN&gt;BR1399)*(R_EN-BR1399))&gt;(R_SN+(R_SN&lt;BQ1399)*(BQ1399-R_SN)))*((R_EN-(R_EN&gt;BR1399)*(R_EN-BR1399))-(R_SN+(R_SN&lt;BQ1399)*(BQ1399-R_SN))))/60),0)</f>
        <v>0</v>
      </c>
      <c r="BT1399" s="80">
        <f>IF(AND(BE1399=1,D1399="proMX"),ROUND(BI1399*CFG_RATE+BJ1399*CFG_OTRATE,6),0)</f>
        <v>0</v>
      </c>
      <c r="BU1399" s="80">
        <f>IF(AND(BD1399=1,D1399="proMX"),ROUND(AG1399/CFG_BLK,6),0)</f>
        <v>0</v>
      </c>
      <c r="BV1399" s="80" t="str">
        <f>IF(BF1399="Approved",IF(ISNUMBER(T1399),INT(T1399),INT(B1399)),"")</f>
        <v/>
      </c>
      <c r="BW1399" s="80">
        <f>IF(ISNUMBER(B1399),IF(DB_MON="Todos",1,IF(AND(INT(B1399)&gt;=DB_MS,INT(B1399)&lt;=DB_ME),1,0)),0)</f>
        <v>0</v>
      </c>
      <c r="BX1399" s="80">
        <f>IF(DB_PROJ="Todos",1,IF(E1399&amp;""=DB_PROJ&amp;"",1,0))</f>
        <v>1</v>
      </c>
      <c r="BY1399" s="80">
        <f>BW1399*BX1399</f>
        <v>0</v>
      </c>
      <c r="BZ1399" s="80" t="str">
        <f>IF(Y1399=1,F1399&amp;IF(AND(F1399&amp;""&lt;&gt;"",E1399&amp;""&lt;&gt;"")," · ","")&amp;E1399,"")</f>
        <v/>
      </c>
      <c r="CA1399" s="80" t="str">
        <f>IF(AND(BD1399=1,E1399&amp;""&lt;&gt;""),IF(COUNTIFS($E$5:E1398,E1399,$BD$5:BD1398,1)=0,MAX($CA$5:CA1398)+1,""),"")</f>
        <v/>
      </c>
      <c r="CB1399" s="80" t="str">
        <f>IF(AND(BE1399=1,D1399="Malcolm",E1399&amp;""&lt;&gt;""),IF(COUNTIFS($D$5:D1398,"Malcolm",$E$5:E1398,E1399,$BE$5:BE1398,1)=0,MAX($CB$5:CB1398)+1,""),"")</f>
        <v/>
      </c>
      <c r="CC1399" s="80" t="str">
        <f>IF(AND(BD1399=1,D1399="proMX",E1399&amp;""&lt;&gt;""),IF(COUNTIFS($D$5:D1398,"proMX",$E$5:E1398,E1399,$BD$5:BD1398,1)=0,MAX($CC$5:CC1398)+1,""),"")</f>
        <v/>
      </c>
      <c r="CD1399" s="80" t="str">
        <f>IF(AND(BE1399=1,D1399="Malcolm",F1399&amp;""&lt;&gt;""),IF(COUNTIFS($D$5:D1398,"Malcolm",$F$5:F1398,F1399,$BE$5:BE1398,1)=0,MAX($CD$5:CD1398)+1,""),"")</f>
        <v/>
      </c>
      <c r="CE1399" s="80" t="str">
        <f>IF(AND(BD1399=1,D1399="proMX",F1399&amp;""&lt;&gt;""),IF(COUNTIFS($D$5:D1398,"proMX",$F$5:F1398,F1399,$BD$5:BD1398,1)=0,MAX($CE$5:CE1398)+1,""),"")</f>
        <v/>
      </c>
      <c r="CF1399" s="80" t="str">
        <f>IF(AND(D1399="proMX",BD1399=1),IF(OR(BF1399="Draft",BF1399="Submitted",BF1399="Returned",BF1399="Recall Requested"),MAX($CF$5:CF1398)+1,""),"")</f>
        <v/>
      </c>
      <c r="CG1399" s="80">
        <f>IF(BD1399=0,0,IF(D1399="Malcolm",1,MATCH(BF1399,{"Draft","Submitted","Approved","Returned","Recall Requested","Cancelled"},0)+1))</f>
        <v>0</v>
      </c>
      <c r="CH1399" s="80">
        <f>IF(AND(BF1399="Submitted",ISNUMBER(V1399)),IF(V1399&gt;CFG_MAXD,1,0),0)</f>
        <v>0</v>
      </c>
    </row>
    <row r="1400">
      <c r="A1400" s="71" t="str">
        <f>IF(Y1400=1,ROW()-5,"")</f>
        <v/>
      </c>
      <c r="B1400" s="72" t="n"/>
      <c r="C1400" s="71" t="str">
        <f>IF(ISNUMBER(B1400),CHOOSE(WEEKDAY(B1400,2),"Lun","Mar","Mié","Jue","Vie","Sáb","Dom"),"")</f>
        <v/>
      </c>
      <c r="D1400" s="73" t="n"/>
      <c r="E1400" s="74" t="n"/>
      <c r="F1400" s="74" t="n"/>
      <c r="G1400" s="74" t="n"/>
      <c r="H1400" s="75" t="n"/>
      <c r="I1400" s="75" t="n"/>
      <c r="J1400" s="76" t="n"/>
      <c r="K1400" s="77" t="str">
        <f>IF(AB1400=1,ROUND(AG1400/60,4),"")</f>
        <v/>
      </c>
      <c r="L1400" s="77" t="str">
        <f>IF(BD1400=1,ROUND(AP1400/60,4),"")</f>
        <v/>
      </c>
      <c r="M1400" s="77" t="str">
        <f>IF(BD1400=1,ROUND(AQ1400/60,4),"")</f>
        <v/>
      </c>
      <c r="N1400" s="71" t="str">
        <f>IF(AND(D1400="proMX",AB1400=1),ROUND(AG1400/CFG_BLK,2),"")</f>
        <v/>
      </c>
      <c r="O1400" s="77" t="str">
        <f>IF(D1400="proMX",IF(BD1400=1,ROUND(AG1400/60,4),0),"")</f>
        <v/>
      </c>
      <c r="P1400" s="78" t="str">
        <f>IF(Y1400=0,"",IF(BD1400=1,"OK",IF(D1400="proMX","Revisar bloques: ","Revisar: ")&amp;BC1400))</f>
        <v/>
      </c>
      <c r="Q1400" s="78" t="str">
        <f>IF(NOT(ISNUMBER(B1400)),"",IF(COUNTIFS(FER_F,INT(B1400))&gt;0,"Feriado"&amp;IF(AH1400=1," (laborable)"," (no laborable)"),IF(AH1400=1,"Laborable",IF(WEEKDAY(B1400,2)&gt;5,"Fin de semana","No laborable"))))</f>
        <v/>
      </c>
      <c r="R1400" s="73" t="n"/>
      <c r="S1400" s="72" t="n"/>
      <c r="T1400" s="72" t="n"/>
      <c r="U1400" s="74" t="n"/>
      <c r="V1400" s="79" t="str">
        <f>IF(AND(D1400="proMX",OR(R1400="Submitted",R1400="Recall Requested"),ISNUMBER(S1400)),CFG_TODAY-INT(S1400),"")</f>
        <v/>
      </c>
      <c r="W1400" s="78" t="str">
        <f>IF(BD1400=0,"",IF(BA1400&gt;0,"⚠ Se superpone con un registro de la otra empresa",IF(D1400="Malcolm",IF(COUNTA(R1400,S1400,T1400)&gt;0,"Estado/fechas proMX se ignoran en Malcolm",""),IF(BF1400="Cancelled","Cancelado: excluido de totales",IF(R1400="","Sin estado: se trata como Draft",IF(BF1400="Submitted",IF(ISNUMBER(V1400),IF(V1400&gt;CFG_MAXD,"⚠ "&amp;V1400&amp;" días en Submitted (máx. "&amp;CFG_MAXD&amp;")",""),"Falta fecha de envío"),IF(BF1400="Returned","⚠ Devuelto: corregir y reenviar",IF(BF1400="Recall Requested","Retirada solicitada: pendiente",IF(AND(BF1400="Approved",NOT(ISNUMBER(T1400))),"Falta fecha de aprobación",IF(AND(ISNUMBER(S1400),ISNUMBER(T1400),T1400&lt;S1400),"Aprobación anterior al envío","")))))))))</f>
        <v/>
      </c>
      <c r="Y1400" s="80">
        <f>IF(COUNTA(B1400,D1400,E1400,F1400,G1400,H1400,I1400,J1400,R1400,S1400,T1400)&gt;0,1,0)</f>
        <v>0</v>
      </c>
      <c r="Z1400" s="80" t="str">
        <f>IF(AND(ISNUMBER(H1400),H1400&gt;=0,H1400&lt;1),ROUND(H1400*1440,0),"")</f>
        <v/>
      </c>
      <c r="AA1400" s="80" t="str">
        <f>IF(AND(ISNUMBER(I1400),I1400&gt;=0,I1400&lt;1),ROUND(I1400*1440,0),"")</f>
        <v/>
      </c>
      <c r="AB1400" s="80">
        <f>IF(AND(ISNUMBER(B1400),D1400&lt;&gt;"",ISNUMBER(Z1400),ISNUMBER(AA1400)),IF(Z1400=AA1400,0,1),0)</f>
        <v>0</v>
      </c>
      <c r="AC1400" s="80">
        <f>IF(AB1400=1,IF(AA1400&lt;Z1400,1,0),0)</f>
        <v>0</v>
      </c>
      <c r="AD1400" s="80">
        <f>IF(AB1400=1,IF(AC1400=1,1440-Z1400+AA1400,AA1400-Z1400),0)</f>
        <v>0</v>
      </c>
      <c r="AE1400" s="80">
        <f>IF(J1400="",0,IF(ISNUMBER(J1400),J1400,-1))</f>
        <v>0</v>
      </c>
      <c r="AF1400" s="80">
        <f>MIN(MAX(0,AE1400),AD1400)</f>
        <v>0</v>
      </c>
      <c r="AG1400" s="80">
        <f>MAX(0,AD1400-MAX(0,AE1400))</f>
        <v>0</v>
      </c>
      <c r="AH1400" s="80">
        <f>IF(ISNUMBER(B1400),IF(AND(INDEX(CFG_WDAYS,WEEKDAY(INT(B1400),2))="Sí",IF(D1400="proMX",COUNTIFS(FER_F,INT(B1400),FER_NLP,"Sí"),COUNTIFS(FER_F,INT(B1400),FER_NLM,"Sí"))=0),1,0),0)</f>
        <v>0</v>
      </c>
      <c r="AI1400" s="80">
        <f>IF(AC1400=1,IF(AND(INDEX(CFG_WDAYS,WEEKDAY(INT(B1400)+1,2))="Sí",IF(D1400="proMX",COUNTIFS(FER_F,INT(B1400)+1,FER_NLP,"Sí"),COUNTIFS(FER_F,INT(B1400)+1,FER_NLM,"Sí"))=0),1,0),0)</f>
        <v>0</v>
      </c>
      <c r="AJ1400" s="80">
        <f>IF(AC1400=1,1440-Z1400,AD1400)</f>
        <v>0</v>
      </c>
      <c r="AK1400" s="80">
        <f>IF(AND(AB1400=1,AH1400=1),MAX(0,MIN(IF(AC1400=1,1440,AA1400),CFG_WEM)-MAX(Z1400,CFG_WSM)),0)</f>
        <v>0</v>
      </c>
      <c r="AL1400" s="80">
        <f>IF(AND(AC1400=1,AI1400=1),MAX(0,MIN(AA1400,CFG_WEM)-CFG_WSM),0)</f>
        <v>0</v>
      </c>
      <c r="AM1400" s="80">
        <f>AK1400+AL1400</f>
        <v>0</v>
      </c>
      <c r="AN1400" s="80">
        <f>IF(CFG_BRK="Proporcional",IF(AD1400=0,0,AF1400*AM1400/AD1400),IF(CFG_BRK="Extras primero",MIN(AM1400,MAX(0,AF1400-(AD1400-AM1400))),MIN(AF1400,AM1400)))</f>
        <v>0</v>
      </c>
      <c r="AO1400" s="80">
        <f>AF1400-AN1400</f>
        <v>0</v>
      </c>
      <c r="AP1400" s="80">
        <f>AM1400-AN1400</f>
        <v>0</v>
      </c>
      <c r="AQ1400" s="80">
        <f>AD1400-AM1400-AO1400</f>
        <v>0</v>
      </c>
      <c r="AR1400" s="80">
        <f>IF(AM1400=0,0,AK1400-AN1400*AK1400/AM1400)</f>
        <v>0</v>
      </c>
      <c r="AS1400" s="80">
        <f>IF(AD1400-AM1400=0,0,(AJ1400-AK1400)-AO1400*(AJ1400-AK1400)/(AD1400-AM1400))</f>
        <v>0</v>
      </c>
      <c r="AT1400" s="80" t="str">
        <f>IF(AC1400=1,INT(B1400)+1,"")</f>
        <v/>
      </c>
      <c r="AU1400" s="80">
        <f>IF(AND(D1400="proMX",R1400="Cancelled"),0,1)</f>
        <v>1</v>
      </c>
      <c r="AV1400" s="80">
        <f>IF(AND(AB1400=1,AU1400=1),IF(COUNTIFS($D$5:D1399,D1400,$B$5:B1399,B1400,$Z$5:Z1399,Z1400,$AA$5:AA1399,AA1400,$F$5:F1399,F1400&amp;"",$AU$5:AU1399,1)&gt;0,1,0),0)</f>
        <v>0</v>
      </c>
      <c r="AW1400" s="80" t="str">
        <f>IF(AB1400=1,INT(B1400)*1440+Z1400,"")</f>
        <v/>
      </c>
      <c r="AX1400" s="80" t="str">
        <f>IF(AB1400=1,AW1400+AD1400,"")</f>
        <v/>
      </c>
      <c r="AY1400" s="80">
        <f>IF(AND(AB1400=1,AV1400=0,AU1400=1),1,0)</f>
        <v>0</v>
      </c>
      <c r="AZ1400" s="80">
        <f>IF(AY1400=1,COUNTIFS(R_Emp,D1400,R_SAbs,"&lt;"&amp;AX1400,R_EAbs,"&gt;"&amp;AW1400,R_OKey,1)-1,0)</f>
        <v>0</v>
      </c>
      <c r="BA1400" s="80">
        <f>IF(AY1400=1,COUNTIFS(R_Emp,"&lt;&gt;"&amp;D1400,R_SAbs,"&lt;"&amp;AX1400,R_EAbs,"&gt;"&amp;AW1400,R_OKey,1),0)</f>
        <v>0</v>
      </c>
      <c r="BB1400" s="80">
        <f>IF(AND(AB1400=1,D1400="proMX"),IF(AND(MOD(Z1400,CFG_BLK)=0,MOD(AA1400,CFG_BLK)=0,MOD(AG1400,CFG_BLK)=0,AG1400&gt;0),1,0),1)</f>
        <v>1</v>
      </c>
      <c r="BC1400" s="80" t="str">
        <f>IF(Y1400=0,"",IF(NOT(ISNUMBER(B1400)),"Falta fecha o fecha inválida",IF(D1400="","Falta empresa",IF(AND(D1400&lt;&gt;"Malcolm",D1400&lt;&gt;"proMX"),"Empresa inválida",IF(OR(INT(B1400)&lt;CFG_PSTART,INT(B1400)&gt;CFG_PEND),"Fecha fuera del período",IF(OR(NOT(ISNUMBER(Z1400)),NOT(ISNUMBER(AA1400))),"Falta hora inicio/fin o formato inválido",IF(AB1400=0,"Hora inicio = hora fin",IF(AE1400&lt;0,"Descanso inválido",IF(AE1400&gt;=AD1400,"Descanso ≥ duración",IF(AV1400=1,"Registro duplicado",IF(AZ1400&gt;0,"Se superpone con otro registro "&amp;D1400,IF(BB1400=0,"inicio, fin y duración neta deben ser múltiplos de "&amp;CFG_BLK&amp;" min",""))))))))))))</f>
        <v/>
      </c>
      <c r="BD1400" s="80">
        <f>IF(AND(Y1400=1,BC1400=""),1,0)</f>
        <v>0</v>
      </c>
      <c r="BE1400" s="80">
        <f>IF(AND(BD1400=1,AU1400=1),1,0)</f>
        <v>0</v>
      </c>
      <c r="BF1400" s="80" t="str">
        <f>IF(AND(D1400="proMX",BD1400=1),IF(R1400="","Draft",R1400),"")</f>
        <v/>
      </c>
      <c r="BG1400" s="80">
        <f>IF(BD1400=1,ROUND(AG1400/60,6),0)</f>
        <v>0</v>
      </c>
      <c r="BH1400" s="80">
        <f>IF(BE1400=1,ROUND(AG1400/60,6),0)</f>
        <v>0</v>
      </c>
      <c r="BI1400" s="80">
        <f>IF(BE1400=1,ROUND(AP1400/60,6),0)</f>
        <v>0</v>
      </c>
      <c r="BJ1400" s="80">
        <f>IF(BE1400=1,ROUND(AQ1400/60,6),0)</f>
        <v>0</v>
      </c>
      <c r="BK1400" s="80">
        <f>IF(BE1400=1,ROUND((AR1400+AS1400)/60,6),0)</f>
        <v>0</v>
      </c>
      <c r="BL1400" s="80">
        <f>ROUND(BH1400-BK1400,6)</f>
        <v>0</v>
      </c>
      <c r="BM1400" s="80">
        <f>IF(BE1400=1,ROUND(AR1400/60,6),0)</f>
        <v>0</v>
      </c>
      <c r="BN1400" s="80">
        <f>ROUND(BI1400-BM1400,6)</f>
        <v>0</v>
      </c>
      <c r="BO1400" s="80">
        <f>IF(BE1400=1,ROUND(AS1400/60,6),0)</f>
        <v>0</v>
      </c>
      <c r="BP1400" s="80">
        <f>ROUND(BJ1400-BO1400,6)</f>
        <v>0</v>
      </c>
      <c r="BQ1400" s="80">
        <f>IF(BE1400=1,AW1400,0)</f>
        <v>0</v>
      </c>
      <c r="BR1400" s="80">
        <f>IF(BE1400=1,AX1400,0)</f>
        <v>0</v>
      </c>
      <c r="BS1400" s="80">
        <f>IF(AND(BE1400=1,D1400="Malcolm",BA1400&gt;0),MIN(BH1400,SUMPRODUCT((R_Emp="proMX")*(R_EN&gt;0)*((R_EN-(R_EN&gt;BR1400)*(R_EN-BR1400))&gt;(R_SN+(R_SN&lt;BQ1400)*(BQ1400-R_SN)))*((R_EN-(R_EN&gt;BR1400)*(R_EN-BR1400))-(R_SN+(R_SN&lt;BQ1400)*(BQ1400-R_SN))))/60),0)</f>
        <v>0</v>
      </c>
      <c r="BT1400" s="80">
        <f>IF(AND(BE1400=1,D1400="proMX"),ROUND(BI1400*CFG_RATE+BJ1400*CFG_OTRATE,6),0)</f>
        <v>0</v>
      </c>
      <c r="BU1400" s="80">
        <f>IF(AND(BD1400=1,D1400="proMX"),ROUND(AG1400/CFG_BLK,6),0)</f>
        <v>0</v>
      </c>
      <c r="BV1400" s="80" t="str">
        <f>IF(BF1400="Approved",IF(ISNUMBER(T1400),INT(T1400),INT(B1400)),"")</f>
        <v/>
      </c>
      <c r="BW1400" s="80">
        <f>IF(ISNUMBER(B1400),IF(DB_MON="Todos",1,IF(AND(INT(B1400)&gt;=DB_MS,INT(B1400)&lt;=DB_ME),1,0)),0)</f>
        <v>0</v>
      </c>
      <c r="BX1400" s="80">
        <f>IF(DB_PROJ="Todos",1,IF(E1400&amp;""=DB_PROJ&amp;"",1,0))</f>
        <v>1</v>
      </c>
      <c r="BY1400" s="80">
        <f>BW1400*BX1400</f>
        <v>0</v>
      </c>
      <c r="BZ1400" s="80" t="str">
        <f>IF(Y1400=1,F1400&amp;IF(AND(F1400&amp;""&lt;&gt;"",E1400&amp;""&lt;&gt;"")," · ","")&amp;E1400,"")</f>
        <v/>
      </c>
      <c r="CA1400" s="80" t="str">
        <f>IF(AND(BD1400=1,E1400&amp;""&lt;&gt;""),IF(COUNTIFS($E$5:E1399,E1400,$BD$5:BD1399,1)=0,MAX($CA$5:CA1399)+1,""),"")</f>
        <v/>
      </c>
      <c r="CB1400" s="80" t="str">
        <f>IF(AND(BE1400=1,D1400="Malcolm",E1400&amp;""&lt;&gt;""),IF(COUNTIFS($D$5:D1399,"Malcolm",$E$5:E1399,E1400,$BE$5:BE1399,1)=0,MAX($CB$5:CB1399)+1,""),"")</f>
        <v/>
      </c>
      <c r="CC1400" s="80" t="str">
        <f>IF(AND(BD1400=1,D1400="proMX",E1400&amp;""&lt;&gt;""),IF(COUNTIFS($D$5:D1399,"proMX",$E$5:E1399,E1400,$BD$5:BD1399,1)=0,MAX($CC$5:CC1399)+1,""),"")</f>
        <v/>
      </c>
      <c r="CD1400" s="80" t="str">
        <f>IF(AND(BE1400=1,D1400="Malcolm",F1400&amp;""&lt;&gt;""),IF(COUNTIFS($D$5:D1399,"Malcolm",$F$5:F1399,F1400,$BE$5:BE1399,1)=0,MAX($CD$5:CD1399)+1,""),"")</f>
        <v/>
      </c>
      <c r="CE1400" s="80" t="str">
        <f>IF(AND(BD1400=1,D1400="proMX",F1400&amp;""&lt;&gt;""),IF(COUNTIFS($D$5:D1399,"proMX",$F$5:F1399,F1400,$BD$5:BD1399,1)=0,MAX($CE$5:CE1399)+1,""),"")</f>
        <v/>
      </c>
      <c r="CF1400" s="80" t="str">
        <f>IF(AND(D1400="proMX",BD1400=1),IF(OR(BF1400="Draft",BF1400="Submitted",BF1400="Returned",BF1400="Recall Requested"),MAX($CF$5:CF1399)+1,""),"")</f>
        <v/>
      </c>
      <c r="CG1400" s="80">
        <f>IF(BD1400=0,0,IF(D1400="Malcolm",1,MATCH(BF1400,{"Draft","Submitted","Approved","Returned","Recall Requested","Cancelled"},0)+1))</f>
        <v>0</v>
      </c>
      <c r="CH1400" s="80">
        <f>IF(AND(BF1400="Submitted",ISNUMBER(V1400)),IF(V1400&gt;CFG_MAXD,1,0),0)</f>
        <v>0</v>
      </c>
    </row>
    <row r="1401">
      <c r="A1401" s="71" t="str">
        <f>IF(Y1401=1,ROW()-5,"")</f>
        <v/>
      </c>
      <c r="B1401" s="72" t="n"/>
      <c r="C1401" s="71" t="str">
        <f>IF(ISNUMBER(B1401),CHOOSE(WEEKDAY(B1401,2),"Lun","Mar","Mié","Jue","Vie","Sáb","Dom"),"")</f>
        <v/>
      </c>
      <c r="D1401" s="73" t="n"/>
      <c r="E1401" s="74" t="n"/>
      <c r="F1401" s="74" t="n"/>
      <c r="G1401" s="74" t="n"/>
      <c r="H1401" s="75" t="n"/>
      <c r="I1401" s="75" t="n"/>
      <c r="J1401" s="76" t="n"/>
      <c r="K1401" s="77" t="str">
        <f>IF(AB1401=1,ROUND(AG1401/60,4),"")</f>
        <v/>
      </c>
      <c r="L1401" s="77" t="str">
        <f>IF(BD1401=1,ROUND(AP1401/60,4),"")</f>
        <v/>
      </c>
      <c r="M1401" s="77" t="str">
        <f>IF(BD1401=1,ROUND(AQ1401/60,4),"")</f>
        <v/>
      </c>
      <c r="N1401" s="71" t="str">
        <f>IF(AND(D1401="proMX",AB1401=1),ROUND(AG1401/CFG_BLK,2),"")</f>
        <v/>
      </c>
      <c r="O1401" s="77" t="str">
        <f>IF(D1401="proMX",IF(BD1401=1,ROUND(AG1401/60,4),0),"")</f>
        <v/>
      </c>
      <c r="P1401" s="78" t="str">
        <f>IF(Y1401=0,"",IF(BD1401=1,"OK",IF(D1401="proMX","Revisar bloques: ","Revisar: ")&amp;BC1401))</f>
        <v/>
      </c>
      <c r="Q1401" s="78" t="str">
        <f>IF(NOT(ISNUMBER(B1401)),"",IF(COUNTIFS(FER_F,INT(B1401))&gt;0,"Feriado"&amp;IF(AH1401=1," (laborable)"," (no laborable)"),IF(AH1401=1,"Laborable",IF(WEEKDAY(B1401,2)&gt;5,"Fin de semana","No laborable"))))</f>
        <v/>
      </c>
      <c r="R1401" s="73" t="n"/>
      <c r="S1401" s="72" t="n"/>
      <c r="T1401" s="72" t="n"/>
      <c r="U1401" s="74" t="n"/>
      <c r="V1401" s="79" t="str">
        <f>IF(AND(D1401="proMX",OR(R1401="Submitted",R1401="Recall Requested"),ISNUMBER(S1401)),CFG_TODAY-INT(S1401),"")</f>
        <v/>
      </c>
      <c r="W1401" s="78" t="str">
        <f>IF(BD1401=0,"",IF(BA1401&gt;0,"⚠ Se superpone con un registro de la otra empresa",IF(D1401="Malcolm",IF(COUNTA(R1401,S1401,T1401)&gt;0,"Estado/fechas proMX se ignoran en Malcolm",""),IF(BF1401="Cancelled","Cancelado: excluido de totales",IF(R1401="","Sin estado: se trata como Draft",IF(BF1401="Submitted",IF(ISNUMBER(V1401),IF(V1401&gt;CFG_MAXD,"⚠ "&amp;V1401&amp;" días en Submitted (máx. "&amp;CFG_MAXD&amp;")",""),"Falta fecha de envío"),IF(BF1401="Returned","⚠ Devuelto: corregir y reenviar",IF(BF1401="Recall Requested","Retirada solicitada: pendiente",IF(AND(BF1401="Approved",NOT(ISNUMBER(T1401))),"Falta fecha de aprobación",IF(AND(ISNUMBER(S1401),ISNUMBER(T1401),T1401&lt;S1401),"Aprobación anterior al envío","")))))))))</f>
        <v/>
      </c>
      <c r="Y1401" s="80">
        <f>IF(COUNTA(B1401,D1401,E1401,F1401,G1401,H1401,I1401,J1401,R1401,S1401,T1401)&gt;0,1,0)</f>
        <v>0</v>
      </c>
      <c r="Z1401" s="80" t="str">
        <f>IF(AND(ISNUMBER(H1401),H1401&gt;=0,H1401&lt;1),ROUND(H1401*1440,0),"")</f>
        <v/>
      </c>
      <c r="AA1401" s="80" t="str">
        <f>IF(AND(ISNUMBER(I1401),I1401&gt;=0,I1401&lt;1),ROUND(I1401*1440,0),"")</f>
        <v/>
      </c>
      <c r="AB1401" s="80">
        <f>IF(AND(ISNUMBER(B1401),D1401&lt;&gt;"",ISNUMBER(Z1401),ISNUMBER(AA1401)),IF(Z1401=AA1401,0,1),0)</f>
        <v>0</v>
      </c>
      <c r="AC1401" s="80">
        <f>IF(AB1401=1,IF(AA1401&lt;Z1401,1,0),0)</f>
        <v>0</v>
      </c>
      <c r="AD1401" s="80">
        <f>IF(AB1401=1,IF(AC1401=1,1440-Z1401+AA1401,AA1401-Z1401),0)</f>
        <v>0</v>
      </c>
      <c r="AE1401" s="80">
        <f>IF(J1401="",0,IF(ISNUMBER(J1401),J1401,-1))</f>
        <v>0</v>
      </c>
      <c r="AF1401" s="80">
        <f>MIN(MAX(0,AE1401),AD1401)</f>
        <v>0</v>
      </c>
      <c r="AG1401" s="80">
        <f>MAX(0,AD1401-MAX(0,AE1401))</f>
        <v>0</v>
      </c>
      <c r="AH1401" s="80">
        <f>IF(ISNUMBER(B1401),IF(AND(INDEX(CFG_WDAYS,WEEKDAY(INT(B1401),2))="Sí",IF(D1401="proMX",COUNTIFS(FER_F,INT(B1401),FER_NLP,"Sí"),COUNTIFS(FER_F,INT(B1401),FER_NLM,"Sí"))=0),1,0),0)</f>
        <v>0</v>
      </c>
      <c r="AI1401" s="80">
        <f>IF(AC1401=1,IF(AND(INDEX(CFG_WDAYS,WEEKDAY(INT(B1401)+1,2))="Sí",IF(D1401="proMX",COUNTIFS(FER_F,INT(B1401)+1,FER_NLP,"Sí"),COUNTIFS(FER_F,INT(B1401)+1,FER_NLM,"Sí"))=0),1,0),0)</f>
        <v>0</v>
      </c>
      <c r="AJ1401" s="80">
        <f>IF(AC1401=1,1440-Z1401,AD1401)</f>
        <v>0</v>
      </c>
      <c r="AK1401" s="80">
        <f>IF(AND(AB1401=1,AH1401=1),MAX(0,MIN(IF(AC1401=1,1440,AA1401),CFG_WEM)-MAX(Z1401,CFG_WSM)),0)</f>
        <v>0</v>
      </c>
      <c r="AL1401" s="80">
        <f>IF(AND(AC1401=1,AI1401=1),MAX(0,MIN(AA1401,CFG_WEM)-CFG_WSM),0)</f>
        <v>0</v>
      </c>
      <c r="AM1401" s="80">
        <f>AK1401+AL1401</f>
        <v>0</v>
      </c>
      <c r="AN1401" s="80">
        <f>IF(CFG_BRK="Proporcional",IF(AD1401=0,0,AF1401*AM1401/AD1401),IF(CFG_BRK="Extras primero",MIN(AM1401,MAX(0,AF1401-(AD1401-AM1401))),MIN(AF1401,AM1401)))</f>
        <v>0</v>
      </c>
      <c r="AO1401" s="80">
        <f>AF1401-AN1401</f>
        <v>0</v>
      </c>
      <c r="AP1401" s="80">
        <f>AM1401-AN1401</f>
        <v>0</v>
      </c>
      <c r="AQ1401" s="80">
        <f>AD1401-AM1401-AO1401</f>
        <v>0</v>
      </c>
      <c r="AR1401" s="80">
        <f>IF(AM1401=0,0,AK1401-AN1401*AK1401/AM1401)</f>
        <v>0</v>
      </c>
      <c r="AS1401" s="80">
        <f>IF(AD1401-AM1401=0,0,(AJ1401-AK1401)-AO1401*(AJ1401-AK1401)/(AD1401-AM1401))</f>
        <v>0</v>
      </c>
      <c r="AT1401" s="80" t="str">
        <f>IF(AC1401=1,INT(B1401)+1,"")</f>
        <v/>
      </c>
      <c r="AU1401" s="80">
        <f>IF(AND(D1401="proMX",R1401="Cancelled"),0,1)</f>
        <v>1</v>
      </c>
      <c r="AV1401" s="80">
        <f>IF(AND(AB1401=1,AU1401=1),IF(COUNTIFS($D$5:D1400,D1401,$B$5:B1400,B1401,$Z$5:Z1400,Z1401,$AA$5:AA1400,AA1401,$F$5:F1400,F1401&amp;"",$AU$5:AU1400,1)&gt;0,1,0),0)</f>
        <v>0</v>
      </c>
      <c r="AW1401" s="80" t="str">
        <f>IF(AB1401=1,INT(B1401)*1440+Z1401,"")</f>
        <v/>
      </c>
      <c r="AX1401" s="80" t="str">
        <f>IF(AB1401=1,AW1401+AD1401,"")</f>
        <v/>
      </c>
      <c r="AY1401" s="80">
        <f>IF(AND(AB1401=1,AV1401=0,AU1401=1),1,0)</f>
        <v>0</v>
      </c>
      <c r="AZ1401" s="80">
        <f>IF(AY1401=1,COUNTIFS(R_Emp,D1401,R_SAbs,"&lt;"&amp;AX1401,R_EAbs,"&gt;"&amp;AW1401,R_OKey,1)-1,0)</f>
        <v>0</v>
      </c>
      <c r="BA1401" s="80">
        <f>IF(AY1401=1,COUNTIFS(R_Emp,"&lt;&gt;"&amp;D1401,R_SAbs,"&lt;"&amp;AX1401,R_EAbs,"&gt;"&amp;AW1401,R_OKey,1),0)</f>
        <v>0</v>
      </c>
      <c r="BB1401" s="80">
        <f>IF(AND(AB1401=1,D1401="proMX"),IF(AND(MOD(Z1401,CFG_BLK)=0,MOD(AA1401,CFG_BLK)=0,MOD(AG1401,CFG_BLK)=0,AG1401&gt;0),1,0),1)</f>
        <v>1</v>
      </c>
      <c r="BC1401" s="80" t="str">
        <f>IF(Y1401=0,"",IF(NOT(ISNUMBER(B1401)),"Falta fecha o fecha inválida",IF(D1401="","Falta empresa",IF(AND(D1401&lt;&gt;"Malcolm",D1401&lt;&gt;"proMX"),"Empresa inválida",IF(OR(INT(B1401)&lt;CFG_PSTART,INT(B1401)&gt;CFG_PEND),"Fecha fuera del período",IF(OR(NOT(ISNUMBER(Z1401)),NOT(ISNUMBER(AA1401))),"Falta hora inicio/fin o formato inválido",IF(AB1401=0,"Hora inicio = hora fin",IF(AE1401&lt;0,"Descanso inválido",IF(AE1401&gt;=AD1401,"Descanso ≥ duración",IF(AV1401=1,"Registro duplicado",IF(AZ1401&gt;0,"Se superpone con otro registro "&amp;D1401,IF(BB1401=0,"inicio, fin y duración neta deben ser múltiplos de "&amp;CFG_BLK&amp;" min",""))))))))))))</f>
        <v/>
      </c>
      <c r="BD1401" s="80">
        <f>IF(AND(Y1401=1,BC1401=""),1,0)</f>
        <v>0</v>
      </c>
      <c r="BE1401" s="80">
        <f>IF(AND(BD1401=1,AU1401=1),1,0)</f>
        <v>0</v>
      </c>
      <c r="BF1401" s="80" t="str">
        <f>IF(AND(D1401="proMX",BD1401=1),IF(R1401="","Draft",R1401),"")</f>
        <v/>
      </c>
      <c r="BG1401" s="80">
        <f>IF(BD1401=1,ROUND(AG1401/60,6),0)</f>
        <v>0</v>
      </c>
      <c r="BH1401" s="80">
        <f>IF(BE1401=1,ROUND(AG1401/60,6),0)</f>
        <v>0</v>
      </c>
      <c r="BI1401" s="80">
        <f>IF(BE1401=1,ROUND(AP1401/60,6),0)</f>
        <v>0</v>
      </c>
      <c r="BJ1401" s="80">
        <f>IF(BE1401=1,ROUND(AQ1401/60,6),0)</f>
        <v>0</v>
      </c>
      <c r="BK1401" s="80">
        <f>IF(BE1401=1,ROUND((AR1401+AS1401)/60,6),0)</f>
        <v>0</v>
      </c>
      <c r="BL1401" s="80">
        <f>ROUND(BH1401-BK1401,6)</f>
        <v>0</v>
      </c>
      <c r="BM1401" s="80">
        <f>IF(BE1401=1,ROUND(AR1401/60,6),0)</f>
        <v>0</v>
      </c>
      <c r="BN1401" s="80">
        <f>ROUND(BI1401-BM1401,6)</f>
        <v>0</v>
      </c>
      <c r="BO1401" s="80">
        <f>IF(BE1401=1,ROUND(AS1401/60,6),0)</f>
        <v>0</v>
      </c>
      <c r="BP1401" s="80">
        <f>ROUND(BJ1401-BO1401,6)</f>
        <v>0</v>
      </c>
      <c r="BQ1401" s="80">
        <f>IF(BE1401=1,AW1401,0)</f>
        <v>0</v>
      </c>
      <c r="BR1401" s="80">
        <f>IF(BE1401=1,AX1401,0)</f>
        <v>0</v>
      </c>
      <c r="BS1401" s="80">
        <f>IF(AND(BE1401=1,D1401="Malcolm",BA1401&gt;0),MIN(BH1401,SUMPRODUCT((R_Emp="proMX")*(R_EN&gt;0)*((R_EN-(R_EN&gt;BR1401)*(R_EN-BR1401))&gt;(R_SN+(R_SN&lt;BQ1401)*(BQ1401-R_SN)))*((R_EN-(R_EN&gt;BR1401)*(R_EN-BR1401))-(R_SN+(R_SN&lt;BQ1401)*(BQ1401-R_SN))))/60),0)</f>
        <v>0</v>
      </c>
      <c r="BT1401" s="80">
        <f>IF(AND(BE1401=1,D1401="proMX"),ROUND(BI1401*CFG_RATE+BJ1401*CFG_OTRATE,6),0)</f>
        <v>0</v>
      </c>
      <c r="BU1401" s="80">
        <f>IF(AND(BD1401=1,D1401="proMX"),ROUND(AG1401/CFG_BLK,6),0)</f>
        <v>0</v>
      </c>
      <c r="BV1401" s="80" t="str">
        <f>IF(BF1401="Approved",IF(ISNUMBER(T1401),INT(T1401),INT(B1401)),"")</f>
        <v/>
      </c>
      <c r="BW1401" s="80">
        <f>IF(ISNUMBER(B1401),IF(DB_MON="Todos",1,IF(AND(INT(B1401)&gt;=DB_MS,INT(B1401)&lt;=DB_ME),1,0)),0)</f>
        <v>0</v>
      </c>
      <c r="BX1401" s="80">
        <f>IF(DB_PROJ="Todos",1,IF(E1401&amp;""=DB_PROJ&amp;"",1,0))</f>
        <v>1</v>
      </c>
      <c r="BY1401" s="80">
        <f>BW1401*BX1401</f>
        <v>0</v>
      </c>
      <c r="BZ1401" s="80" t="str">
        <f>IF(Y1401=1,F1401&amp;IF(AND(F1401&amp;""&lt;&gt;"",E1401&amp;""&lt;&gt;"")," · ","")&amp;E1401,"")</f>
        <v/>
      </c>
      <c r="CA1401" s="80" t="str">
        <f>IF(AND(BD1401=1,E1401&amp;""&lt;&gt;""),IF(COUNTIFS($E$5:E1400,E1401,$BD$5:BD1400,1)=0,MAX($CA$5:CA1400)+1,""),"")</f>
        <v/>
      </c>
      <c r="CB1401" s="80" t="str">
        <f>IF(AND(BE1401=1,D1401="Malcolm",E1401&amp;""&lt;&gt;""),IF(COUNTIFS($D$5:D1400,"Malcolm",$E$5:E1400,E1401,$BE$5:BE1400,1)=0,MAX($CB$5:CB1400)+1,""),"")</f>
        <v/>
      </c>
      <c r="CC1401" s="80" t="str">
        <f>IF(AND(BD1401=1,D1401="proMX",E1401&amp;""&lt;&gt;""),IF(COUNTIFS($D$5:D1400,"proMX",$E$5:E1400,E1401,$BD$5:BD1400,1)=0,MAX($CC$5:CC1400)+1,""),"")</f>
        <v/>
      </c>
      <c r="CD1401" s="80" t="str">
        <f>IF(AND(BE1401=1,D1401="Malcolm",F1401&amp;""&lt;&gt;""),IF(COUNTIFS($D$5:D1400,"Malcolm",$F$5:F1400,F1401,$BE$5:BE1400,1)=0,MAX($CD$5:CD1400)+1,""),"")</f>
        <v/>
      </c>
      <c r="CE1401" s="80" t="str">
        <f>IF(AND(BD1401=1,D1401="proMX",F1401&amp;""&lt;&gt;""),IF(COUNTIFS($D$5:D1400,"proMX",$F$5:F1400,F1401,$BD$5:BD1400,1)=0,MAX($CE$5:CE1400)+1,""),"")</f>
        <v/>
      </c>
      <c r="CF1401" s="80" t="str">
        <f>IF(AND(D1401="proMX",BD1401=1),IF(OR(BF1401="Draft",BF1401="Submitted",BF1401="Returned",BF1401="Recall Requested"),MAX($CF$5:CF1400)+1,""),"")</f>
        <v/>
      </c>
      <c r="CG1401" s="80">
        <f>IF(BD1401=0,0,IF(D1401="Malcolm",1,MATCH(BF1401,{"Draft","Submitted","Approved","Returned","Recall Requested","Cancelled"},0)+1))</f>
        <v>0</v>
      </c>
      <c r="CH1401" s="80">
        <f>IF(AND(BF1401="Submitted",ISNUMBER(V1401)),IF(V1401&gt;CFG_MAXD,1,0),0)</f>
        <v>0</v>
      </c>
    </row>
    <row r="1402">
      <c r="A1402" s="71" t="str">
        <f>IF(Y1402=1,ROW()-5,"")</f>
        <v/>
      </c>
      <c r="B1402" s="72" t="n"/>
      <c r="C1402" s="71" t="str">
        <f>IF(ISNUMBER(B1402),CHOOSE(WEEKDAY(B1402,2),"Lun","Mar","Mié","Jue","Vie","Sáb","Dom"),"")</f>
        <v/>
      </c>
      <c r="D1402" s="73" t="n"/>
      <c r="E1402" s="74" t="n"/>
      <c r="F1402" s="74" t="n"/>
      <c r="G1402" s="74" t="n"/>
      <c r="H1402" s="75" t="n"/>
      <c r="I1402" s="75" t="n"/>
      <c r="J1402" s="76" t="n"/>
      <c r="K1402" s="77" t="str">
        <f>IF(AB1402=1,ROUND(AG1402/60,4),"")</f>
        <v/>
      </c>
      <c r="L1402" s="77" t="str">
        <f>IF(BD1402=1,ROUND(AP1402/60,4),"")</f>
        <v/>
      </c>
      <c r="M1402" s="77" t="str">
        <f>IF(BD1402=1,ROUND(AQ1402/60,4),"")</f>
        <v/>
      </c>
      <c r="N1402" s="71" t="str">
        <f>IF(AND(D1402="proMX",AB1402=1),ROUND(AG1402/CFG_BLK,2),"")</f>
        <v/>
      </c>
      <c r="O1402" s="77" t="str">
        <f>IF(D1402="proMX",IF(BD1402=1,ROUND(AG1402/60,4),0),"")</f>
        <v/>
      </c>
      <c r="P1402" s="78" t="str">
        <f>IF(Y1402=0,"",IF(BD1402=1,"OK",IF(D1402="proMX","Revisar bloques: ","Revisar: ")&amp;BC1402))</f>
        <v/>
      </c>
      <c r="Q1402" s="78" t="str">
        <f>IF(NOT(ISNUMBER(B1402)),"",IF(COUNTIFS(FER_F,INT(B1402))&gt;0,"Feriado"&amp;IF(AH1402=1," (laborable)"," (no laborable)"),IF(AH1402=1,"Laborable",IF(WEEKDAY(B1402,2)&gt;5,"Fin de semana","No laborable"))))</f>
        <v/>
      </c>
      <c r="R1402" s="73" t="n"/>
      <c r="S1402" s="72" t="n"/>
      <c r="T1402" s="72" t="n"/>
      <c r="U1402" s="74" t="n"/>
      <c r="V1402" s="79" t="str">
        <f>IF(AND(D1402="proMX",OR(R1402="Submitted",R1402="Recall Requested"),ISNUMBER(S1402)),CFG_TODAY-INT(S1402),"")</f>
        <v/>
      </c>
      <c r="W1402" s="78" t="str">
        <f>IF(BD1402=0,"",IF(BA1402&gt;0,"⚠ Se superpone con un registro de la otra empresa",IF(D1402="Malcolm",IF(COUNTA(R1402,S1402,T1402)&gt;0,"Estado/fechas proMX se ignoran en Malcolm",""),IF(BF1402="Cancelled","Cancelado: excluido de totales",IF(R1402="","Sin estado: se trata como Draft",IF(BF1402="Submitted",IF(ISNUMBER(V1402),IF(V1402&gt;CFG_MAXD,"⚠ "&amp;V1402&amp;" días en Submitted (máx. "&amp;CFG_MAXD&amp;")",""),"Falta fecha de envío"),IF(BF1402="Returned","⚠ Devuelto: corregir y reenviar",IF(BF1402="Recall Requested","Retirada solicitada: pendiente",IF(AND(BF1402="Approved",NOT(ISNUMBER(T1402))),"Falta fecha de aprobación",IF(AND(ISNUMBER(S1402),ISNUMBER(T1402),T1402&lt;S1402),"Aprobación anterior al envío","")))))))))</f>
        <v/>
      </c>
      <c r="Y1402" s="80">
        <f>IF(COUNTA(B1402,D1402,E1402,F1402,G1402,H1402,I1402,J1402,R1402,S1402,T1402)&gt;0,1,0)</f>
        <v>0</v>
      </c>
      <c r="Z1402" s="80" t="str">
        <f>IF(AND(ISNUMBER(H1402),H1402&gt;=0,H1402&lt;1),ROUND(H1402*1440,0),"")</f>
        <v/>
      </c>
      <c r="AA1402" s="80" t="str">
        <f>IF(AND(ISNUMBER(I1402),I1402&gt;=0,I1402&lt;1),ROUND(I1402*1440,0),"")</f>
        <v/>
      </c>
      <c r="AB1402" s="80">
        <f>IF(AND(ISNUMBER(B1402),D1402&lt;&gt;"",ISNUMBER(Z1402),ISNUMBER(AA1402)),IF(Z1402=AA1402,0,1),0)</f>
        <v>0</v>
      </c>
      <c r="AC1402" s="80">
        <f>IF(AB1402=1,IF(AA1402&lt;Z1402,1,0),0)</f>
        <v>0</v>
      </c>
      <c r="AD1402" s="80">
        <f>IF(AB1402=1,IF(AC1402=1,1440-Z1402+AA1402,AA1402-Z1402),0)</f>
        <v>0</v>
      </c>
      <c r="AE1402" s="80">
        <f>IF(J1402="",0,IF(ISNUMBER(J1402),J1402,-1))</f>
        <v>0</v>
      </c>
      <c r="AF1402" s="80">
        <f>MIN(MAX(0,AE1402),AD1402)</f>
        <v>0</v>
      </c>
      <c r="AG1402" s="80">
        <f>MAX(0,AD1402-MAX(0,AE1402))</f>
        <v>0</v>
      </c>
      <c r="AH1402" s="80">
        <f>IF(ISNUMBER(B1402),IF(AND(INDEX(CFG_WDAYS,WEEKDAY(INT(B1402),2))="Sí",IF(D1402="proMX",COUNTIFS(FER_F,INT(B1402),FER_NLP,"Sí"),COUNTIFS(FER_F,INT(B1402),FER_NLM,"Sí"))=0),1,0),0)</f>
        <v>0</v>
      </c>
      <c r="AI1402" s="80">
        <f>IF(AC1402=1,IF(AND(INDEX(CFG_WDAYS,WEEKDAY(INT(B1402)+1,2))="Sí",IF(D1402="proMX",COUNTIFS(FER_F,INT(B1402)+1,FER_NLP,"Sí"),COUNTIFS(FER_F,INT(B1402)+1,FER_NLM,"Sí"))=0),1,0),0)</f>
        <v>0</v>
      </c>
      <c r="AJ1402" s="80">
        <f>IF(AC1402=1,1440-Z1402,AD1402)</f>
        <v>0</v>
      </c>
      <c r="AK1402" s="80">
        <f>IF(AND(AB1402=1,AH1402=1),MAX(0,MIN(IF(AC1402=1,1440,AA1402),CFG_WEM)-MAX(Z1402,CFG_WSM)),0)</f>
        <v>0</v>
      </c>
      <c r="AL1402" s="80">
        <f>IF(AND(AC1402=1,AI1402=1),MAX(0,MIN(AA1402,CFG_WEM)-CFG_WSM),0)</f>
        <v>0</v>
      </c>
      <c r="AM1402" s="80">
        <f>AK1402+AL1402</f>
        <v>0</v>
      </c>
      <c r="AN1402" s="80">
        <f>IF(CFG_BRK="Proporcional",IF(AD1402=0,0,AF1402*AM1402/AD1402),IF(CFG_BRK="Extras primero",MIN(AM1402,MAX(0,AF1402-(AD1402-AM1402))),MIN(AF1402,AM1402)))</f>
        <v>0</v>
      </c>
      <c r="AO1402" s="80">
        <f>AF1402-AN1402</f>
        <v>0</v>
      </c>
      <c r="AP1402" s="80">
        <f>AM1402-AN1402</f>
        <v>0</v>
      </c>
      <c r="AQ1402" s="80">
        <f>AD1402-AM1402-AO1402</f>
        <v>0</v>
      </c>
      <c r="AR1402" s="80">
        <f>IF(AM1402=0,0,AK1402-AN1402*AK1402/AM1402)</f>
        <v>0</v>
      </c>
      <c r="AS1402" s="80">
        <f>IF(AD1402-AM1402=0,0,(AJ1402-AK1402)-AO1402*(AJ1402-AK1402)/(AD1402-AM1402))</f>
        <v>0</v>
      </c>
      <c r="AT1402" s="80" t="str">
        <f>IF(AC1402=1,INT(B1402)+1,"")</f>
        <v/>
      </c>
      <c r="AU1402" s="80">
        <f>IF(AND(D1402="proMX",R1402="Cancelled"),0,1)</f>
        <v>1</v>
      </c>
      <c r="AV1402" s="80">
        <f>IF(AND(AB1402=1,AU1402=1),IF(COUNTIFS($D$5:D1401,D1402,$B$5:B1401,B1402,$Z$5:Z1401,Z1402,$AA$5:AA1401,AA1402,$F$5:F1401,F1402&amp;"",$AU$5:AU1401,1)&gt;0,1,0),0)</f>
        <v>0</v>
      </c>
      <c r="AW1402" s="80" t="str">
        <f>IF(AB1402=1,INT(B1402)*1440+Z1402,"")</f>
        <v/>
      </c>
      <c r="AX1402" s="80" t="str">
        <f>IF(AB1402=1,AW1402+AD1402,"")</f>
        <v/>
      </c>
      <c r="AY1402" s="80">
        <f>IF(AND(AB1402=1,AV1402=0,AU1402=1),1,0)</f>
        <v>0</v>
      </c>
      <c r="AZ1402" s="80">
        <f>IF(AY1402=1,COUNTIFS(R_Emp,D1402,R_SAbs,"&lt;"&amp;AX1402,R_EAbs,"&gt;"&amp;AW1402,R_OKey,1)-1,0)</f>
        <v>0</v>
      </c>
      <c r="BA1402" s="80">
        <f>IF(AY1402=1,COUNTIFS(R_Emp,"&lt;&gt;"&amp;D1402,R_SAbs,"&lt;"&amp;AX1402,R_EAbs,"&gt;"&amp;AW1402,R_OKey,1),0)</f>
        <v>0</v>
      </c>
      <c r="BB1402" s="80">
        <f>IF(AND(AB1402=1,D1402="proMX"),IF(AND(MOD(Z1402,CFG_BLK)=0,MOD(AA1402,CFG_BLK)=0,MOD(AG1402,CFG_BLK)=0,AG1402&gt;0),1,0),1)</f>
        <v>1</v>
      </c>
      <c r="BC1402" s="80" t="str">
        <f>IF(Y1402=0,"",IF(NOT(ISNUMBER(B1402)),"Falta fecha o fecha inválida",IF(D1402="","Falta empresa",IF(AND(D1402&lt;&gt;"Malcolm",D1402&lt;&gt;"proMX"),"Empresa inválida",IF(OR(INT(B1402)&lt;CFG_PSTART,INT(B1402)&gt;CFG_PEND),"Fecha fuera del período",IF(OR(NOT(ISNUMBER(Z1402)),NOT(ISNUMBER(AA1402))),"Falta hora inicio/fin o formato inválido",IF(AB1402=0,"Hora inicio = hora fin",IF(AE1402&lt;0,"Descanso inválido",IF(AE1402&gt;=AD1402,"Descanso ≥ duración",IF(AV1402=1,"Registro duplicado",IF(AZ1402&gt;0,"Se superpone con otro registro "&amp;D1402,IF(BB1402=0,"inicio, fin y duración neta deben ser múltiplos de "&amp;CFG_BLK&amp;" min",""))))))))))))</f>
        <v/>
      </c>
      <c r="BD1402" s="80">
        <f>IF(AND(Y1402=1,BC1402=""),1,0)</f>
        <v>0</v>
      </c>
      <c r="BE1402" s="80">
        <f>IF(AND(BD1402=1,AU1402=1),1,0)</f>
        <v>0</v>
      </c>
      <c r="BF1402" s="80" t="str">
        <f>IF(AND(D1402="proMX",BD1402=1),IF(R1402="","Draft",R1402),"")</f>
        <v/>
      </c>
      <c r="BG1402" s="80">
        <f>IF(BD1402=1,ROUND(AG1402/60,6),0)</f>
        <v>0</v>
      </c>
      <c r="BH1402" s="80">
        <f>IF(BE1402=1,ROUND(AG1402/60,6),0)</f>
        <v>0</v>
      </c>
      <c r="BI1402" s="80">
        <f>IF(BE1402=1,ROUND(AP1402/60,6),0)</f>
        <v>0</v>
      </c>
      <c r="BJ1402" s="80">
        <f>IF(BE1402=1,ROUND(AQ1402/60,6),0)</f>
        <v>0</v>
      </c>
      <c r="BK1402" s="80">
        <f>IF(BE1402=1,ROUND((AR1402+AS1402)/60,6),0)</f>
        <v>0</v>
      </c>
      <c r="BL1402" s="80">
        <f>ROUND(BH1402-BK1402,6)</f>
        <v>0</v>
      </c>
      <c r="BM1402" s="80">
        <f>IF(BE1402=1,ROUND(AR1402/60,6),0)</f>
        <v>0</v>
      </c>
      <c r="BN1402" s="80">
        <f>ROUND(BI1402-BM1402,6)</f>
        <v>0</v>
      </c>
      <c r="BO1402" s="80">
        <f>IF(BE1402=1,ROUND(AS1402/60,6),0)</f>
        <v>0</v>
      </c>
      <c r="BP1402" s="80">
        <f>ROUND(BJ1402-BO1402,6)</f>
        <v>0</v>
      </c>
      <c r="BQ1402" s="80">
        <f>IF(BE1402=1,AW1402,0)</f>
        <v>0</v>
      </c>
      <c r="BR1402" s="80">
        <f>IF(BE1402=1,AX1402,0)</f>
        <v>0</v>
      </c>
      <c r="BS1402" s="80">
        <f>IF(AND(BE1402=1,D1402="Malcolm",BA1402&gt;0),MIN(BH1402,SUMPRODUCT((R_Emp="proMX")*(R_EN&gt;0)*((R_EN-(R_EN&gt;BR1402)*(R_EN-BR1402))&gt;(R_SN+(R_SN&lt;BQ1402)*(BQ1402-R_SN)))*((R_EN-(R_EN&gt;BR1402)*(R_EN-BR1402))-(R_SN+(R_SN&lt;BQ1402)*(BQ1402-R_SN))))/60),0)</f>
        <v>0</v>
      </c>
      <c r="BT1402" s="80">
        <f>IF(AND(BE1402=1,D1402="proMX"),ROUND(BI1402*CFG_RATE+BJ1402*CFG_OTRATE,6),0)</f>
        <v>0</v>
      </c>
      <c r="BU1402" s="80">
        <f>IF(AND(BD1402=1,D1402="proMX"),ROUND(AG1402/CFG_BLK,6),0)</f>
        <v>0</v>
      </c>
      <c r="BV1402" s="80" t="str">
        <f>IF(BF1402="Approved",IF(ISNUMBER(T1402),INT(T1402),INT(B1402)),"")</f>
        <v/>
      </c>
      <c r="BW1402" s="80">
        <f>IF(ISNUMBER(B1402),IF(DB_MON="Todos",1,IF(AND(INT(B1402)&gt;=DB_MS,INT(B1402)&lt;=DB_ME),1,0)),0)</f>
        <v>0</v>
      </c>
      <c r="BX1402" s="80">
        <f>IF(DB_PROJ="Todos",1,IF(E1402&amp;""=DB_PROJ&amp;"",1,0))</f>
        <v>1</v>
      </c>
      <c r="BY1402" s="80">
        <f>BW1402*BX1402</f>
        <v>0</v>
      </c>
      <c r="BZ1402" s="80" t="str">
        <f>IF(Y1402=1,F1402&amp;IF(AND(F1402&amp;""&lt;&gt;"",E1402&amp;""&lt;&gt;"")," · ","")&amp;E1402,"")</f>
        <v/>
      </c>
      <c r="CA1402" s="80" t="str">
        <f>IF(AND(BD1402=1,E1402&amp;""&lt;&gt;""),IF(COUNTIFS($E$5:E1401,E1402,$BD$5:BD1401,1)=0,MAX($CA$5:CA1401)+1,""),"")</f>
        <v/>
      </c>
      <c r="CB1402" s="80" t="str">
        <f>IF(AND(BE1402=1,D1402="Malcolm",E1402&amp;""&lt;&gt;""),IF(COUNTIFS($D$5:D1401,"Malcolm",$E$5:E1401,E1402,$BE$5:BE1401,1)=0,MAX($CB$5:CB1401)+1,""),"")</f>
        <v/>
      </c>
      <c r="CC1402" s="80" t="str">
        <f>IF(AND(BD1402=1,D1402="proMX",E1402&amp;""&lt;&gt;""),IF(COUNTIFS($D$5:D1401,"proMX",$E$5:E1401,E1402,$BD$5:BD1401,1)=0,MAX($CC$5:CC1401)+1,""),"")</f>
        <v/>
      </c>
      <c r="CD1402" s="80" t="str">
        <f>IF(AND(BE1402=1,D1402="Malcolm",F1402&amp;""&lt;&gt;""),IF(COUNTIFS($D$5:D1401,"Malcolm",$F$5:F1401,F1402,$BE$5:BE1401,1)=0,MAX($CD$5:CD1401)+1,""),"")</f>
        <v/>
      </c>
      <c r="CE1402" s="80" t="str">
        <f>IF(AND(BD1402=1,D1402="proMX",F1402&amp;""&lt;&gt;""),IF(COUNTIFS($D$5:D1401,"proMX",$F$5:F1401,F1402,$BD$5:BD1401,1)=0,MAX($CE$5:CE1401)+1,""),"")</f>
        <v/>
      </c>
      <c r="CF1402" s="80" t="str">
        <f>IF(AND(D1402="proMX",BD1402=1),IF(OR(BF1402="Draft",BF1402="Submitted",BF1402="Returned",BF1402="Recall Requested"),MAX($CF$5:CF1401)+1,""),"")</f>
        <v/>
      </c>
      <c r="CG1402" s="80">
        <f>IF(BD1402=0,0,IF(D1402="Malcolm",1,MATCH(BF1402,{"Draft","Submitted","Approved","Returned","Recall Requested","Cancelled"},0)+1))</f>
        <v>0</v>
      </c>
      <c r="CH1402" s="80">
        <f>IF(AND(BF1402="Submitted",ISNUMBER(V1402)),IF(V1402&gt;CFG_MAXD,1,0),0)</f>
        <v>0</v>
      </c>
    </row>
    <row r="1403">
      <c r="A1403" s="71" t="str">
        <f>IF(Y1403=1,ROW()-5,"")</f>
        <v/>
      </c>
      <c r="B1403" s="72" t="n"/>
      <c r="C1403" s="71" t="str">
        <f>IF(ISNUMBER(B1403),CHOOSE(WEEKDAY(B1403,2),"Lun","Mar","Mié","Jue","Vie","Sáb","Dom"),"")</f>
        <v/>
      </c>
      <c r="D1403" s="73" t="n"/>
      <c r="E1403" s="74" t="n"/>
      <c r="F1403" s="74" t="n"/>
      <c r="G1403" s="74" t="n"/>
      <c r="H1403" s="75" t="n"/>
      <c r="I1403" s="75" t="n"/>
      <c r="J1403" s="76" t="n"/>
      <c r="K1403" s="77" t="str">
        <f>IF(AB1403=1,ROUND(AG1403/60,4),"")</f>
        <v/>
      </c>
      <c r="L1403" s="77" t="str">
        <f>IF(BD1403=1,ROUND(AP1403/60,4),"")</f>
        <v/>
      </c>
      <c r="M1403" s="77" t="str">
        <f>IF(BD1403=1,ROUND(AQ1403/60,4),"")</f>
        <v/>
      </c>
      <c r="N1403" s="71" t="str">
        <f>IF(AND(D1403="proMX",AB1403=1),ROUND(AG1403/CFG_BLK,2),"")</f>
        <v/>
      </c>
      <c r="O1403" s="77" t="str">
        <f>IF(D1403="proMX",IF(BD1403=1,ROUND(AG1403/60,4),0),"")</f>
        <v/>
      </c>
      <c r="P1403" s="78" t="str">
        <f>IF(Y1403=0,"",IF(BD1403=1,"OK",IF(D1403="proMX","Revisar bloques: ","Revisar: ")&amp;BC1403))</f>
        <v/>
      </c>
      <c r="Q1403" s="78" t="str">
        <f>IF(NOT(ISNUMBER(B1403)),"",IF(COUNTIFS(FER_F,INT(B1403))&gt;0,"Feriado"&amp;IF(AH1403=1," (laborable)"," (no laborable)"),IF(AH1403=1,"Laborable",IF(WEEKDAY(B1403,2)&gt;5,"Fin de semana","No laborable"))))</f>
        <v/>
      </c>
      <c r="R1403" s="73" t="n"/>
      <c r="S1403" s="72" t="n"/>
      <c r="T1403" s="72" t="n"/>
      <c r="U1403" s="74" t="n"/>
      <c r="V1403" s="79" t="str">
        <f>IF(AND(D1403="proMX",OR(R1403="Submitted",R1403="Recall Requested"),ISNUMBER(S1403)),CFG_TODAY-INT(S1403),"")</f>
        <v/>
      </c>
      <c r="W1403" s="78" t="str">
        <f>IF(BD1403=0,"",IF(BA1403&gt;0,"⚠ Se superpone con un registro de la otra empresa",IF(D1403="Malcolm",IF(COUNTA(R1403,S1403,T1403)&gt;0,"Estado/fechas proMX se ignoran en Malcolm",""),IF(BF1403="Cancelled","Cancelado: excluido de totales",IF(R1403="","Sin estado: se trata como Draft",IF(BF1403="Submitted",IF(ISNUMBER(V1403),IF(V1403&gt;CFG_MAXD,"⚠ "&amp;V1403&amp;" días en Submitted (máx. "&amp;CFG_MAXD&amp;")",""),"Falta fecha de envío"),IF(BF1403="Returned","⚠ Devuelto: corregir y reenviar",IF(BF1403="Recall Requested","Retirada solicitada: pendiente",IF(AND(BF1403="Approved",NOT(ISNUMBER(T1403))),"Falta fecha de aprobación",IF(AND(ISNUMBER(S1403),ISNUMBER(T1403),T1403&lt;S1403),"Aprobación anterior al envío","")))))))))</f>
        <v/>
      </c>
      <c r="Y1403" s="80">
        <f>IF(COUNTA(B1403,D1403,E1403,F1403,G1403,H1403,I1403,J1403,R1403,S1403,T1403)&gt;0,1,0)</f>
        <v>0</v>
      </c>
      <c r="Z1403" s="80" t="str">
        <f>IF(AND(ISNUMBER(H1403),H1403&gt;=0,H1403&lt;1),ROUND(H1403*1440,0),"")</f>
        <v/>
      </c>
      <c r="AA1403" s="80" t="str">
        <f>IF(AND(ISNUMBER(I1403),I1403&gt;=0,I1403&lt;1),ROUND(I1403*1440,0),"")</f>
        <v/>
      </c>
      <c r="AB1403" s="80">
        <f>IF(AND(ISNUMBER(B1403),D1403&lt;&gt;"",ISNUMBER(Z1403),ISNUMBER(AA1403)),IF(Z1403=AA1403,0,1),0)</f>
        <v>0</v>
      </c>
      <c r="AC1403" s="80">
        <f>IF(AB1403=1,IF(AA1403&lt;Z1403,1,0),0)</f>
        <v>0</v>
      </c>
      <c r="AD1403" s="80">
        <f>IF(AB1403=1,IF(AC1403=1,1440-Z1403+AA1403,AA1403-Z1403),0)</f>
        <v>0</v>
      </c>
      <c r="AE1403" s="80">
        <f>IF(J1403="",0,IF(ISNUMBER(J1403),J1403,-1))</f>
        <v>0</v>
      </c>
      <c r="AF1403" s="80">
        <f>MIN(MAX(0,AE1403),AD1403)</f>
        <v>0</v>
      </c>
      <c r="AG1403" s="80">
        <f>MAX(0,AD1403-MAX(0,AE1403))</f>
        <v>0</v>
      </c>
      <c r="AH1403" s="80">
        <f>IF(ISNUMBER(B1403),IF(AND(INDEX(CFG_WDAYS,WEEKDAY(INT(B1403),2))="Sí",IF(D1403="proMX",COUNTIFS(FER_F,INT(B1403),FER_NLP,"Sí"),COUNTIFS(FER_F,INT(B1403),FER_NLM,"Sí"))=0),1,0),0)</f>
        <v>0</v>
      </c>
      <c r="AI1403" s="80">
        <f>IF(AC1403=1,IF(AND(INDEX(CFG_WDAYS,WEEKDAY(INT(B1403)+1,2))="Sí",IF(D1403="proMX",COUNTIFS(FER_F,INT(B1403)+1,FER_NLP,"Sí"),COUNTIFS(FER_F,INT(B1403)+1,FER_NLM,"Sí"))=0),1,0),0)</f>
        <v>0</v>
      </c>
      <c r="AJ1403" s="80">
        <f>IF(AC1403=1,1440-Z1403,AD1403)</f>
        <v>0</v>
      </c>
      <c r="AK1403" s="80">
        <f>IF(AND(AB1403=1,AH1403=1),MAX(0,MIN(IF(AC1403=1,1440,AA1403),CFG_WEM)-MAX(Z1403,CFG_WSM)),0)</f>
        <v>0</v>
      </c>
      <c r="AL1403" s="80">
        <f>IF(AND(AC1403=1,AI1403=1),MAX(0,MIN(AA1403,CFG_WEM)-CFG_WSM),0)</f>
        <v>0</v>
      </c>
      <c r="AM1403" s="80">
        <f>AK1403+AL1403</f>
        <v>0</v>
      </c>
      <c r="AN1403" s="80">
        <f>IF(CFG_BRK="Proporcional",IF(AD1403=0,0,AF1403*AM1403/AD1403),IF(CFG_BRK="Extras primero",MIN(AM1403,MAX(0,AF1403-(AD1403-AM1403))),MIN(AF1403,AM1403)))</f>
        <v>0</v>
      </c>
      <c r="AO1403" s="80">
        <f>AF1403-AN1403</f>
        <v>0</v>
      </c>
      <c r="AP1403" s="80">
        <f>AM1403-AN1403</f>
        <v>0</v>
      </c>
      <c r="AQ1403" s="80">
        <f>AD1403-AM1403-AO1403</f>
        <v>0</v>
      </c>
      <c r="AR1403" s="80">
        <f>IF(AM1403=0,0,AK1403-AN1403*AK1403/AM1403)</f>
        <v>0</v>
      </c>
      <c r="AS1403" s="80">
        <f>IF(AD1403-AM1403=0,0,(AJ1403-AK1403)-AO1403*(AJ1403-AK1403)/(AD1403-AM1403))</f>
        <v>0</v>
      </c>
      <c r="AT1403" s="80" t="str">
        <f>IF(AC1403=1,INT(B1403)+1,"")</f>
        <v/>
      </c>
      <c r="AU1403" s="80">
        <f>IF(AND(D1403="proMX",R1403="Cancelled"),0,1)</f>
        <v>1</v>
      </c>
      <c r="AV1403" s="80">
        <f>IF(AND(AB1403=1,AU1403=1),IF(COUNTIFS($D$5:D1402,D1403,$B$5:B1402,B1403,$Z$5:Z1402,Z1403,$AA$5:AA1402,AA1403,$F$5:F1402,F1403&amp;"",$AU$5:AU1402,1)&gt;0,1,0),0)</f>
        <v>0</v>
      </c>
      <c r="AW1403" s="80" t="str">
        <f>IF(AB1403=1,INT(B1403)*1440+Z1403,"")</f>
        <v/>
      </c>
      <c r="AX1403" s="80" t="str">
        <f>IF(AB1403=1,AW1403+AD1403,"")</f>
        <v/>
      </c>
      <c r="AY1403" s="80">
        <f>IF(AND(AB1403=1,AV1403=0,AU1403=1),1,0)</f>
        <v>0</v>
      </c>
      <c r="AZ1403" s="80">
        <f>IF(AY1403=1,COUNTIFS(R_Emp,D1403,R_SAbs,"&lt;"&amp;AX1403,R_EAbs,"&gt;"&amp;AW1403,R_OKey,1)-1,0)</f>
        <v>0</v>
      </c>
      <c r="BA1403" s="80">
        <f>IF(AY1403=1,COUNTIFS(R_Emp,"&lt;&gt;"&amp;D1403,R_SAbs,"&lt;"&amp;AX1403,R_EAbs,"&gt;"&amp;AW1403,R_OKey,1),0)</f>
        <v>0</v>
      </c>
      <c r="BB1403" s="80">
        <f>IF(AND(AB1403=1,D1403="proMX"),IF(AND(MOD(Z1403,CFG_BLK)=0,MOD(AA1403,CFG_BLK)=0,MOD(AG1403,CFG_BLK)=0,AG1403&gt;0),1,0),1)</f>
        <v>1</v>
      </c>
      <c r="BC1403" s="80" t="str">
        <f>IF(Y1403=0,"",IF(NOT(ISNUMBER(B1403)),"Falta fecha o fecha inválida",IF(D1403="","Falta empresa",IF(AND(D1403&lt;&gt;"Malcolm",D1403&lt;&gt;"proMX"),"Empresa inválida",IF(OR(INT(B1403)&lt;CFG_PSTART,INT(B1403)&gt;CFG_PEND),"Fecha fuera del período",IF(OR(NOT(ISNUMBER(Z1403)),NOT(ISNUMBER(AA1403))),"Falta hora inicio/fin o formato inválido",IF(AB1403=0,"Hora inicio = hora fin",IF(AE1403&lt;0,"Descanso inválido",IF(AE1403&gt;=AD1403,"Descanso ≥ duración",IF(AV1403=1,"Registro duplicado",IF(AZ1403&gt;0,"Se superpone con otro registro "&amp;D1403,IF(BB1403=0,"inicio, fin y duración neta deben ser múltiplos de "&amp;CFG_BLK&amp;" min",""))))))))))))</f>
        <v/>
      </c>
      <c r="BD1403" s="80">
        <f>IF(AND(Y1403=1,BC1403=""),1,0)</f>
        <v>0</v>
      </c>
      <c r="BE1403" s="80">
        <f>IF(AND(BD1403=1,AU1403=1),1,0)</f>
        <v>0</v>
      </c>
      <c r="BF1403" s="80" t="str">
        <f>IF(AND(D1403="proMX",BD1403=1),IF(R1403="","Draft",R1403),"")</f>
        <v/>
      </c>
      <c r="BG1403" s="80">
        <f>IF(BD1403=1,ROUND(AG1403/60,6),0)</f>
        <v>0</v>
      </c>
      <c r="BH1403" s="80">
        <f>IF(BE1403=1,ROUND(AG1403/60,6),0)</f>
        <v>0</v>
      </c>
      <c r="BI1403" s="80">
        <f>IF(BE1403=1,ROUND(AP1403/60,6),0)</f>
        <v>0</v>
      </c>
      <c r="BJ1403" s="80">
        <f>IF(BE1403=1,ROUND(AQ1403/60,6),0)</f>
        <v>0</v>
      </c>
      <c r="BK1403" s="80">
        <f>IF(BE1403=1,ROUND((AR1403+AS1403)/60,6),0)</f>
        <v>0</v>
      </c>
      <c r="BL1403" s="80">
        <f>ROUND(BH1403-BK1403,6)</f>
        <v>0</v>
      </c>
      <c r="BM1403" s="80">
        <f>IF(BE1403=1,ROUND(AR1403/60,6),0)</f>
        <v>0</v>
      </c>
      <c r="BN1403" s="80">
        <f>ROUND(BI1403-BM1403,6)</f>
        <v>0</v>
      </c>
      <c r="BO1403" s="80">
        <f>IF(BE1403=1,ROUND(AS1403/60,6),0)</f>
        <v>0</v>
      </c>
      <c r="BP1403" s="80">
        <f>ROUND(BJ1403-BO1403,6)</f>
        <v>0</v>
      </c>
      <c r="BQ1403" s="80">
        <f>IF(BE1403=1,AW1403,0)</f>
        <v>0</v>
      </c>
      <c r="BR1403" s="80">
        <f>IF(BE1403=1,AX1403,0)</f>
        <v>0</v>
      </c>
      <c r="BS1403" s="80">
        <f>IF(AND(BE1403=1,D1403="Malcolm",BA1403&gt;0),MIN(BH1403,SUMPRODUCT((R_Emp="proMX")*(R_EN&gt;0)*((R_EN-(R_EN&gt;BR1403)*(R_EN-BR1403))&gt;(R_SN+(R_SN&lt;BQ1403)*(BQ1403-R_SN)))*((R_EN-(R_EN&gt;BR1403)*(R_EN-BR1403))-(R_SN+(R_SN&lt;BQ1403)*(BQ1403-R_SN))))/60),0)</f>
        <v>0</v>
      </c>
      <c r="BT1403" s="80">
        <f>IF(AND(BE1403=1,D1403="proMX"),ROUND(BI1403*CFG_RATE+BJ1403*CFG_OTRATE,6),0)</f>
        <v>0</v>
      </c>
      <c r="BU1403" s="80">
        <f>IF(AND(BD1403=1,D1403="proMX"),ROUND(AG1403/CFG_BLK,6),0)</f>
        <v>0</v>
      </c>
      <c r="BV1403" s="80" t="str">
        <f>IF(BF1403="Approved",IF(ISNUMBER(T1403),INT(T1403),INT(B1403)),"")</f>
        <v/>
      </c>
      <c r="BW1403" s="80">
        <f>IF(ISNUMBER(B1403),IF(DB_MON="Todos",1,IF(AND(INT(B1403)&gt;=DB_MS,INT(B1403)&lt;=DB_ME),1,0)),0)</f>
        <v>0</v>
      </c>
      <c r="BX1403" s="80">
        <f>IF(DB_PROJ="Todos",1,IF(E1403&amp;""=DB_PROJ&amp;"",1,0))</f>
        <v>1</v>
      </c>
      <c r="BY1403" s="80">
        <f>BW1403*BX1403</f>
        <v>0</v>
      </c>
      <c r="BZ1403" s="80" t="str">
        <f>IF(Y1403=1,F1403&amp;IF(AND(F1403&amp;""&lt;&gt;"",E1403&amp;""&lt;&gt;"")," · ","")&amp;E1403,"")</f>
        <v/>
      </c>
      <c r="CA1403" s="80" t="str">
        <f>IF(AND(BD1403=1,E1403&amp;""&lt;&gt;""),IF(COUNTIFS($E$5:E1402,E1403,$BD$5:BD1402,1)=0,MAX($CA$5:CA1402)+1,""),"")</f>
        <v/>
      </c>
      <c r="CB1403" s="80" t="str">
        <f>IF(AND(BE1403=1,D1403="Malcolm",E1403&amp;""&lt;&gt;""),IF(COUNTIFS($D$5:D1402,"Malcolm",$E$5:E1402,E1403,$BE$5:BE1402,1)=0,MAX($CB$5:CB1402)+1,""),"")</f>
        <v/>
      </c>
      <c r="CC1403" s="80" t="str">
        <f>IF(AND(BD1403=1,D1403="proMX",E1403&amp;""&lt;&gt;""),IF(COUNTIFS($D$5:D1402,"proMX",$E$5:E1402,E1403,$BD$5:BD1402,1)=0,MAX($CC$5:CC1402)+1,""),"")</f>
        <v/>
      </c>
      <c r="CD1403" s="80" t="str">
        <f>IF(AND(BE1403=1,D1403="Malcolm",F1403&amp;""&lt;&gt;""),IF(COUNTIFS($D$5:D1402,"Malcolm",$F$5:F1402,F1403,$BE$5:BE1402,1)=0,MAX($CD$5:CD1402)+1,""),"")</f>
        <v/>
      </c>
      <c r="CE1403" s="80" t="str">
        <f>IF(AND(BD1403=1,D1403="proMX",F1403&amp;""&lt;&gt;""),IF(COUNTIFS($D$5:D1402,"proMX",$F$5:F1402,F1403,$BD$5:BD1402,1)=0,MAX($CE$5:CE1402)+1,""),"")</f>
        <v/>
      </c>
      <c r="CF1403" s="80" t="str">
        <f>IF(AND(D1403="proMX",BD1403=1),IF(OR(BF1403="Draft",BF1403="Submitted",BF1403="Returned",BF1403="Recall Requested"),MAX($CF$5:CF1402)+1,""),"")</f>
        <v/>
      </c>
      <c r="CG1403" s="80">
        <f>IF(BD1403=0,0,IF(D1403="Malcolm",1,MATCH(BF1403,{"Draft","Submitted","Approved","Returned","Recall Requested","Cancelled"},0)+1))</f>
        <v>0</v>
      </c>
      <c r="CH1403" s="80">
        <f>IF(AND(BF1403="Submitted",ISNUMBER(V1403)),IF(V1403&gt;CFG_MAXD,1,0),0)</f>
        <v>0</v>
      </c>
    </row>
    <row r="1404">
      <c r="A1404" s="71" t="str">
        <f>IF(Y1404=1,ROW()-5,"")</f>
        <v/>
      </c>
      <c r="B1404" s="72" t="n"/>
      <c r="C1404" s="71" t="str">
        <f>IF(ISNUMBER(B1404),CHOOSE(WEEKDAY(B1404,2),"Lun","Mar","Mié","Jue","Vie","Sáb","Dom"),"")</f>
        <v/>
      </c>
      <c r="D1404" s="73" t="n"/>
      <c r="E1404" s="74" t="n"/>
      <c r="F1404" s="74" t="n"/>
      <c r="G1404" s="74" t="n"/>
      <c r="H1404" s="75" t="n"/>
      <c r="I1404" s="75" t="n"/>
      <c r="J1404" s="76" t="n"/>
      <c r="K1404" s="77" t="str">
        <f>IF(AB1404=1,ROUND(AG1404/60,4),"")</f>
        <v/>
      </c>
      <c r="L1404" s="77" t="str">
        <f>IF(BD1404=1,ROUND(AP1404/60,4),"")</f>
        <v/>
      </c>
      <c r="M1404" s="77" t="str">
        <f>IF(BD1404=1,ROUND(AQ1404/60,4),"")</f>
        <v/>
      </c>
      <c r="N1404" s="71" t="str">
        <f>IF(AND(D1404="proMX",AB1404=1),ROUND(AG1404/CFG_BLK,2),"")</f>
        <v/>
      </c>
      <c r="O1404" s="77" t="str">
        <f>IF(D1404="proMX",IF(BD1404=1,ROUND(AG1404/60,4),0),"")</f>
        <v/>
      </c>
      <c r="P1404" s="78" t="str">
        <f>IF(Y1404=0,"",IF(BD1404=1,"OK",IF(D1404="proMX","Revisar bloques: ","Revisar: ")&amp;BC1404))</f>
        <v/>
      </c>
      <c r="Q1404" s="78" t="str">
        <f>IF(NOT(ISNUMBER(B1404)),"",IF(COUNTIFS(FER_F,INT(B1404))&gt;0,"Feriado"&amp;IF(AH1404=1," (laborable)"," (no laborable)"),IF(AH1404=1,"Laborable",IF(WEEKDAY(B1404,2)&gt;5,"Fin de semana","No laborable"))))</f>
        <v/>
      </c>
      <c r="R1404" s="73" t="n"/>
      <c r="S1404" s="72" t="n"/>
      <c r="T1404" s="72" t="n"/>
      <c r="U1404" s="74" t="n"/>
      <c r="V1404" s="79" t="str">
        <f>IF(AND(D1404="proMX",OR(R1404="Submitted",R1404="Recall Requested"),ISNUMBER(S1404)),CFG_TODAY-INT(S1404),"")</f>
        <v/>
      </c>
      <c r="W1404" s="78" t="str">
        <f>IF(BD1404=0,"",IF(BA1404&gt;0,"⚠ Se superpone con un registro de la otra empresa",IF(D1404="Malcolm",IF(COUNTA(R1404,S1404,T1404)&gt;0,"Estado/fechas proMX se ignoran en Malcolm",""),IF(BF1404="Cancelled","Cancelado: excluido de totales",IF(R1404="","Sin estado: se trata como Draft",IF(BF1404="Submitted",IF(ISNUMBER(V1404),IF(V1404&gt;CFG_MAXD,"⚠ "&amp;V1404&amp;" días en Submitted (máx. "&amp;CFG_MAXD&amp;")",""),"Falta fecha de envío"),IF(BF1404="Returned","⚠ Devuelto: corregir y reenviar",IF(BF1404="Recall Requested","Retirada solicitada: pendiente",IF(AND(BF1404="Approved",NOT(ISNUMBER(T1404))),"Falta fecha de aprobación",IF(AND(ISNUMBER(S1404),ISNUMBER(T1404),T1404&lt;S1404),"Aprobación anterior al envío","")))))))))</f>
        <v/>
      </c>
      <c r="Y1404" s="80">
        <f>IF(COUNTA(B1404,D1404,E1404,F1404,G1404,H1404,I1404,J1404,R1404,S1404,T1404)&gt;0,1,0)</f>
        <v>0</v>
      </c>
      <c r="Z1404" s="80" t="str">
        <f>IF(AND(ISNUMBER(H1404),H1404&gt;=0,H1404&lt;1),ROUND(H1404*1440,0),"")</f>
        <v/>
      </c>
      <c r="AA1404" s="80" t="str">
        <f>IF(AND(ISNUMBER(I1404),I1404&gt;=0,I1404&lt;1),ROUND(I1404*1440,0),"")</f>
        <v/>
      </c>
      <c r="AB1404" s="80">
        <f>IF(AND(ISNUMBER(B1404),D1404&lt;&gt;"",ISNUMBER(Z1404),ISNUMBER(AA1404)),IF(Z1404=AA1404,0,1),0)</f>
        <v>0</v>
      </c>
      <c r="AC1404" s="80">
        <f>IF(AB1404=1,IF(AA1404&lt;Z1404,1,0),0)</f>
        <v>0</v>
      </c>
      <c r="AD1404" s="80">
        <f>IF(AB1404=1,IF(AC1404=1,1440-Z1404+AA1404,AA1404-Z1404),0)</f>
        <v>0</v>
      </c>
      <c r="AE1404" s="80">
        <f>IF(J1404="",0,IF(ISNUMBER(J1404),J1404,-1))</f>
        <v>0</v>
      </c>
      <c r="AF1404" s="80">
        <f>MIN(MAX(0,AE1404),AD1404)</f>
        <v>0</v>
      </c>
      <c r="AG1404" s="80">
        <f>MAX(0,AD1404-MAX(0,AE1404))</f>
        <v>0</v>
      </c>
      <c r="AH1404" s="80">
        <f>IF(ISNUMBER(B1404),IF(AND(INDEX(CFG_WDAYS,WEEKDAY(INT(B1404),2))="Sí",IF(D1404="proMX",COUNTIFS(FER_F,INT(B1404),FER_NLP,"Sí"),COUNTIFS(FER_F,INT(B1404),FER_NLM,"Sí"))=0),1,0),0)</f>
        <v>0</v>
      </c>
      <c r="AI1404" s="80">
        <f>IF(AC1404=1,IF(AND(INDEX(CFG_WDAYS,WEEKDAY(INT(B1404)+1,2))="Sí",IF(D1404="proMX",COUNTIFS(FER_F,INT(B1404)+1,FER_NLP,"Sí"),COUNTIFS(FER_F,INT(B1404)+1,FER_NLM,"Sí"))=0),1,0),0)</f>
        <v>0</v>
      </c>
      <c r="AJ1404" s="80">
        <f>IF(AC1404=1,1440-Z1404,AD1404)</f>
        <v>0</v>
      </c>
      <c r="AK1404" s="80">
        <f>IF(AND(AB1404=1,AH1404=1),MAX(0,MIN(IF(AC1404=1,1440,AA1404),CFG_WEM)-MAX(Z1404,CFG_WSM)),0)</f>
        <v>0</v>
      </c>
      <c r="AL1404" s="80">
        <f>IF(AND(AC1404=1,AI1404=1),MAX(0,MIN(AA1404,CFG_WEM)-CFG_WSM),0)</f>
        <v>0</v>
      </c>
      <c r="AM1404" s="80">
        <f>AK1404+AL1404</f>
        <v>0</v>
      </c>
      <c r="AN1404" s="80">
        <f>IF(CFG_BRK="Proporcional",IF(AD1404=0,0,AF1404*AM1404/AD1404),IF(CFG_BRK="Extras primero",MIN(AM1404,MAX(0,AF1404-(AD1404-AM1404))),MIN(AF1404,AM1404)))</f>
        <v>0</v>
      </c>
      <c r="AO1404" s="80">
        <f>AF1404-AN1404</f>
        <v>0</v>
      </c>
      <c r="AP1404" s="80">
        <f>AM1404-AN1404</f>
        <v>0</v>
      </c>
      <c r="AQ1404" s="80">
        <f>AD1404-AM1404-AO1404</f>
        <v>0</v>
      </c>
      <c r="AR1404" s="80">
        <f>IF(AM1404=0,0,AK1404-AN1404*AK1404/AM1404)</f>
        <v>0</v>
      </c>
      <c r="AS1404" s="80">
        <f>IF(AD1404-AM1404=0,0,(AJ1404-AK1404)-AO1404*(AJ1404-AK1404)/(AD1404-AM1404))</f>
        <v>0</v>
      </c>
      <c r="AT1404" s="80" t="str">
        <f>IF(AC1404=1,INT(B1404)+1,"")</f>
        <v/>
      </c>
      <c r="AU1404" s="80">
        <f>IF(AND(D1404="proMX",R1404="Cancelled"),0,1)</f>
        <v>1</v>
      </c>
      <c r="AV1404" s="80">
        <f>IF(AND(AB1404=1,AU1404=1),IF(COUNTIFS($D$5:D1403,D1404,$B$5:B1403,B1404,$Z$5:Z1403,Z1404,$AA$5:AA1403,AA1404,$F$5:F1403,F1404&amp;"",$AU$5:AU1403,1)&gt;0,1,0),0)</f>
        <v>0</v>
      </c>
      <c r="AW1404" s="80" t="str">
        <f>IF(AB1404=1,INT(B1404)*1440+Z1404,"")</f>
        <v/>
      </c>
      <c r="AX1404" s="80" t="str">
        <f>IF(AB1404=1,AW1404+AD1404,"")</f>
        <v/>
      </c>
      <c r="AY1404" s="80">
        <f>IF(AND(AB1404=1,AV1404=0,AU1404=1),1,0)</f>
        <v>0</v>
      </c>
      <c r="AZ1404" s="80">
        <f>IF(AY1404=1,COUNTIFS(R_Emp,D1404,R_SAbs,"&lt;"&amp;AX1404,R_EAbs,"&gt;"&amp;AW1404,R_OKey,1)-1,0)</f>
        <v>0</v>
      </c>
      <c r="BA1404" s="80">
        <f>IF(AY1404=1,COUNTIFS(R_Emp,"&lt;&gt;"&amp;D1404,R_SAbs,"&lt;"&amp;AX1404,R_EAbs,"&gt;"&amp;AW1404,R_OKey,1),0)</f>
        <v>0</v>
      </c>
      <c r="BB1404" s="80">
        <f>IF(AND(AB1404=1,D1404="proMX"),IF(AND(MOD(Z1404,CFG_BLK)=0,MOD(AA1404,CFG_BLK)=0,MOD(AG1404,CFG_BLK)=0,AG1404&gt;0),1,0),1)</f>
        <v>1</v>
      </c>
      <c r="BC1404" s="80" t="str">
        <f>IF(Y1404=0,"",IF(NOT(ISNUMBER(B1404)),"Falta fecha o fecha inválida",IF(D1404="","Falta empresa",IF(AND(D1404&lt;&gt;"Malcolm",D1404&lt;&gt;"proMX"),"Empresa inválida",IF(OR(INT(B1404)&lt;CFG_PSTART,INT(B1404)&gt;CFG_PEND),"Fecha fuera del período",IF(OR(NOT(ISNUMBER(Z1404)),NOT(ISNUMBER(AA1404))),"Falta hora inicio/fin o formato inválido",IF(AB1404=0,"Hora inicio = hora fin",IF(AE1404&lt;0,"Descanso inválido",IF(AE1404&gt;=AD1404,"Descanso ≥ duración",IF(AV1404=1,"Registro duplicado",IF(AZ1404&gt;0,"Se superpone con otro registro "&amp;D1404,IF(BB1404=0,"inicio, fin y duración neta deben ser múltiplos de "&amp;CFG_BLK&amp;" min",""))))))))))))</f>
        <v/>
      </c>
      <c r="BD1404" s="80">
        <f>IF(AND(Y1404=1,BC1404=""),1,0)</f>
        <v>0</v>
      </c>
      <c r="BE1404" s="80">
        <f>IF(AND(BD1404=1,AU1404=1),1,0)</f>
        <v>0</v>
      </c>
      <c r="BF1404" s="80" t="str">
        <f>IF(AND(D1404="proMX",BD1404=1),IF(R1404="","Draft",R1404),"")</f>
        <v/>
      </c>
      <c r="BG1404" s="80">
        <f>IF(BD1404=1,ROUND(AG1404/60,6),0)</f>
        <v>0</v>
      </c>
      <c r="BH1404" s="80">
        <f>IF(BE1404=1,ROUND(AG1404/60,6),0)</f>
        <v>0</v>
      </c>
      <c r="BI1404" s="80">
        <f>IF(BE1404=1,ROUND(AP1404/60,6),0)</f>
        <v>0</v>
      </c>
      <c r="BJ1404" s="80">
        <f>IF(BE1404=1,ROUND(AQ1404/60,6),0)</f>
        <v>0</v>
      </c>
      <c r="BK1404" s="80">
        <f>IF(BE1404=1,ROUND((AR1404+AS1404)/60,6),0)</f>
        <v>0</v>
      </c>
      <c r="BL1404" s="80">
        <f>ROUND(BH1404-BK1404,6)</f>
        <v>0</v>
      </c>
      <c r="BM1404" s="80">
        <f>IF(BE1404=1,ROUND(AR1404/60,6),0)</f>
        <v>0</v>
      </c>
      <c r="BN1404" s="80">
        <f>ROUND(BI1404-BM1404,6)</f>
        <v>0</v>
      </c>
      <c r="BO1404" s="80">
        <f>IF(BE1404=1,ROUND(AS1404/60,6),0)</f>
        <v>0</v>
      </c>
      <c r="BP1404" s="80">
        <f>ROUND(BJ1404-BO1404,6)</f>
        <v>0</v>
      </c>
      <c r="BQ1404" s="80">
        <f>IF(BE1404=1,AW1404,0)</f>
        <v>0</v>
      </c>
      <c r="BR1404" s="80">
        <f>IF(BE1404=1,AX1404,0)</f>
        <v>0</v>
      </c>
      <c r="BS1404" s="80">
        <f>IF(AND(BE1404=1,D1404="Malcolm",BA1404&gt;0),MIN(BH1404,SUMPRODUCT((R_Emp="proMX")*(R_EN&gt;0)*((R_EN-(R_EN&gt;BR1404)*(R_EN-BR1404))&gt;(R_SN+(R_SN&lt;BQ1404)*(BQ1404-R_SN)))*((R_EN-(R_EN&gt;BR1404)*(R_EN-BR1404))-(R_SN+(R_SN&lt;BQ1404)*(BQ1404-R_SN))))/60),0)</f>
        <v>0</v>
      </c>
      <c r="BT1404" s="80">
        <f>IF(AND(BE1404=1,D1404="proMX"),ROUND(BI1404*CFG_RATE+BJ1404*CFG_OTRATE,6),0)</f>
        <v>0</v>
      </c>
      <c r="BU1404" s="80">
        <f>IF(AND(BD1404=1,D1404="proMX"),ROUND(AG1404/CFG_BLK,6),0)</f>
        <v>0</v>
      </c>
      <c r="BV1404" s="80" t="str">
        <f>IF(BF1404="Approved",IF(ISNUMBER(T1404),INT(T1404),INT(B1404)),"")</f>
        <v/>
      </c>
      <c r="BW1404" s="80">
        <f>IF(ISNUMBER(B1404),IF(DB_MON="Todos",1,IF(AND(INT(B1404)&gt;=DB_MS,INT(B1404)&lt;=DB_ME),1,0)),0)</f>
        <v>0</v>
      </c>
      <c r="BX1404" s="80">
        <f>IF(DB_PROJ="Todos",1,IF(E1404&amp;""=DB_PROJ&amp;"",1,0))</f>
        <v>1</v>
      </c>
      <c r="BY1404" s="80">
        <f>BW1404*BX1404</f>
        <v>0</v>
      </c>
      <c r="BZ1404" s="80" t="str">
        <f>IF(Y1404=1,F1404&amp;IF(AND(F1404&amp;""&lt;&gt;"",E1404&amp;""&lt;&gt;"")," · ","")&amp;E1404,"")</f>
        <v/>
      </c>
      <c r="CA1404" s="80" t="str">
        <f>IF(AND(BD1404=1,E1404&amp;""&lt;&gt;""),IF(COUNTIFS($E$5:E1403,E1404,$BD$5:BD1403,1)=0,MAX($CA$5:CA1403)+1,""),"")</f>
        <v/>
      </c>
      <c r="CB1404" s="80" t="str">
        <f>IF(AND(BE1404=1,D1404="Malcolm",E1404&amp;""&lt;&gt;""),IF(COUNTIFS($D$5:D1403,"Malcolm",$E$5:E1403,E1404,$BE$5:BE1403,1)=0,MAX($CB$5:CB1403)+1,""),"")</f>
        <v/>
      </c>
      <c r="CC1404" s="80" t="str">
        <f>IF(AND(BD1404=1,D1404="proMX",E1404&amp;""&lt;&gt;""),IF(COUNTIFS($D$5:D1403,"proMX",$E$5:E1403,E1404,$BD$5:BD1403,1)=0,MAX($CC$5:CC1403)+1,""),"")</f>
        <v/>
      </c>
      <c r="CD1404" s="80" t="str">
        <f>IF(AND(BE1404=1,D1404="Malcolm",F1404&amp;""&lt;&gt;""),IF(COUNTIFS($D$5:D1403,"Malcolm",$F$5:F1403,F1404,$BE$5:BE1403,1)=0,MAX($CD$5:CD1403)+1,""),"")</f>
        <v/>
      </c>
      <c r="CE1404" s="80" t="str">
        <f>IF(AND(BD1404=1,D1404="proMX",F1404&amp;""&lt;&gt;""),IF(COUNTIFS($D$5:D1403,"proMX",$F$5:F1403,F1404,$BD$5:BD1403,1)=0,MAX($CE$5:CE1403)+1,""),"")</f>
        <v/>
      </c>
      <c r="CF1404" s="80" t="str">
        <f>IF(AND(D1404="proMX",BD1404=1),IF(OR(BF1404="Draft",BF1404="Submitted",BF1404="Returned",BF1404="Recall Requested"),MAX($CF$5:CF1403)+1,""),"")</f>
        <v/>
      </c>
      <c r="CG1404" s="80">
        <f>IF(BD1404=0,0,IF(D1404="Malcolm",1,MATCH(BF1404,{"Draft","Submitted","Approved","Returned","Recall Requested","Cancelled"},0)+1))</f>
        <v>0</v>
      </c>
      <c r="CH1404" s="80">
        <f>IF(AND(BF1404="Submitted",ISNUMBER(V1404)),IF(V1404&gt;CFG_MAXD,1,0),0)</f>
        <v>0</v>
      </c>
    </row>
    <row r="1405">
      <c r="A1405" s="71" t="str">
        <f>IF(Y1405=1,ROW()-5,"")</f>
        <v/>
      </c>
      <c r="B1405" s="72" t="n"/>
      <c r="C1405" s="71" t="str">
        <f>IF(ISNUMBER(B1405),CHOOSE(WEEKDAY(B1405,2),"Lun","Mar","Mié","Jue","Vie","Sáb","Dom"),"")</f>
        <v/>
      </c>
      <c r="D1405" s="73" t="n"/>
      <c r="E1405" s="74" t="n"/>
      <c r="F1405" s="74" t="n"/>
      <c r="G1405" s="74" t="n"/>
      <c r="H1405" s="75" t="n"/>
      <c r="I1405" s="75" t="n"/>
      <c r="J1405" s="76" t="n"/>
      <c r="K1405" s="77" t="str">
        <f>IF(AB1405=1,ROUND(AG1405/60,4),"")</f>
        <v/>
      </c>
      <c r="L1405" s="77" t="str">
        <f>IF(BD1405=1,ROUND(AP1405/60,4),"")</f>
        <v/>
      </c>
      <c r="M1405" s="77" t="str">
        <f>IF(BD1405=1,ROUND(AQ1405/60,4),"")</f>
        <v/>
      </c>
      <c r="N1405" s="71" t="str">
        <f>IF(AND(D1405="proMX",AB1405=1),ROUND(AG1405/CFG_BLK,2),"")</f>
        <v/>
      </c>
      <c r="O1405" s="77" t="str">
        <f>IF(D1405="proMX",IF(BD1405=1,ROUND(AG1405/60,4),0),"")</f>
        <v/>
      </c>
      <c r="P1405" s="78" t="str">
        <f>IF(Y1405=0,"",IF(BD1405=1,"OK",IF(D1405="proMX","Revisar bloques: ","Revisar: ")&amp;BC1405))</f>
        <v/>
      </c>
      <c r="Q1405" s="78" t="str">
        <f>IF(NOT(ISNUMBER(B1405)),"",IF(COUNTIFS(FER_F,INT(B1405))&gt;0,"Feriado"&amp;IF(AH1405=1," (laborable)"," (no laborable)"),IF(AH1405=1,"Laborable",IF(WEEKDAY(B1405,2)&gt;5,"Fin de semana","No laborable"))))</f>
        <v/>
      </c>
      <c r="R1405" s="73" t="n"/>
      <c r="S1405" s="72" t="n"/>
      <c r="T1405" s="72" t="n"/>
      <c r="U1405" s="74" t="n"/>
      <c r="V1405" s="79" t="str">
        <f>IF(AND(D1405="proMX",OR(R1405="Submitted",R1405="Recall Requested"),ISNUMBER(S1405)),CFG_TODAY-INT(S1405),"")</f>
        <v/>
      </c>
      <c r="W1405" s="78" t="str">
        <f>IF(BD1405=0,"",IF(BA1405&gt;0,"⚠ Se superpone con un registro de la otra empresa",IF(D1405="Malcolm",IF(COUNTA(R1405,S1405,T1405)&gt;0,"Estado/fechas proMX se ignoran en Malcolm",""),IF(BF1405="Cancelled","Cancelado: excluido de totales",IF(R1405="","Sin estado: se trata como Draft",IF(BF1405="Submitted",IF(ISNUMBER(V1405),IF(V1405&gt;CFG_MAXD,"⚠ "&amp;V1405&amp;" días en Submitted (máx. "&amp;CFG_MAXD&amp;")",""),"Falta fecha de envío"),IF(BF1405="Returned","⚠ Devuelto: corregir y reenviar",IF(BF1405="Recall Requested","Retirada solicitada: pendiente",IF(AND(BF1405="Approved",NOT(ISNUMBER(T1405))),"Falta fecha de aprobación",IF(AND(ISNUMBER(S1405),ISNUMBER(T1405),T1405&lt;S1405),"Aprobación anterior al envío","")))))))))</f>
        <v/>
      </c>
      <c r="Y1405" s="80">
        <f>IF(COUNTA(B1405,D1405,E1405,F1405,G1405,H1405,I1405,J1405,R1405,S1405,T1405)&gt;0,1,0)</f>
        <v>0</v>
      </c>
      <c r="Z1405" s="80" t="str">
        <f>IF(AND(ISNUMBER(H1405),H1405&gt;=0,H1405&lt;1),ROUND(H1405*1440,0),"")</f>
        <v/>
      </c>
      <c r="AA1405" s="80" t="str">
        <f>IF(AND(ISNUMBER(I1405),I1405&gt;=0,I1405&lt;1),ROUND(I1405*1440,0),"")</f>
        <v/>
      </c>
      <c r="AB1405" s="80">
        <f>IF(AND(ISNUMBER(B1405),D1405&lt;&gt;"",ISNUMBER(Z1405),ISNUMBER(AA1405)),IF(Z1405=AA1405,0,1),0)</f>
        <v>0</v>
      </c>
      <c r="AC1405" s="80">
        <f>IF(AB1405=1,IF(AA1405&lt;Z1405,1,0),0)</f>
        <v>0</v>
      </c>
      <c r="AD1405" s="80">
        <f>IF(AB1405=1,IF(AC1405=1,1440-Z1405+AA1405,AA1405-Z1405),0)</f>
        <v>0</v>
      </c>
      <c r="AE1405" s="80">
        <f>IF(J1405="",0,IF(ISNUMBER(J1405),J1405,-1))</f>
        <v>0</v>
      </c>
      <c r="AF1405" s="80">
        <f>MIN(MAX(0,AE1405),AD1405)</f>
        <v>0</v>
      </c>
      <c r="AG1405" s="80">
        <f>MAX(0,AD1405-MAX(0,AE1405))</f>
        <v>0</v>
      </c>
      <c r="AH1405" s="80">
        <f>IF(ISNUMBER(B1405),IF(AND(INDEX(CFG_WDAYS,WEEKDAY(INT(B1405),2))="Sí",IF(D1405="proMX",COUNTIFS(FER_F,INT(B1405),FER_NLP,"Sí"),COUNTIFS(FER_F,INT(B1405),FER_NLM,"Sí"))=0),1,0),0)</f>
        <v>0</v>
      </c>
      <c r="AI1405" s="80">
        <f>IF(AC1405=1,IF(AND(INDEX(CFG_WDAYS,WEEKDAY(INT(B1405)+1,2))="Sí",IF(D1405="proMX",COUNTIFS(FER_F,INT(B1405)+1,FER_NLP,"Sí"),COUNTIFS(FER_F,INT(B1405)+1,FER_NLM,"Sí"))=0),1,0),0)</f>
        <v>0</v>
      </c>
      <c r="AJ1405" s="80">
        <f>IF(AC1405=1,1440-Z1405,AD1405)</f>
        <v>0</v>
      </c>
      <c r="AK1405" s="80">
        <f>IF(AND(AB1405=1,AH1405=1),MAX(0,MIN(IF(AC1405=1,1440,AA1405),CFG_WEM)-MAX(Z1405,CFG_WSM)),0)</f>
        <v>0</v>
      </c>
      <c r="AL1405" s="80">
        <f>IF(AND(AC1405=1,AI1405=1),MAX(0,MIN(AA1405,CFG_WEM)-CFG_WSM),0)</f>
        <v>0</v>
      </c>
      <c r="AM1405" s="80">
        <f>AK1405+AL1405</f>
        <v>0</v>
      </c>
      <c r="AN1405" s="80">
        <f>IF(CFG_BRK="Proporcional",IF(AD1405=0,0,AF1405*AM1405/AD1405),IF(CFG_BRK="Extras primero",MIN(AM1405,MAX(0,AF1405-(AD1405-AM1405))),MIN(AF1405,AM1405)))</f>
        <v>0</v>
      </c>
      <c r="AO1405" s="80">
        <f>AF1405-AN1405</f>
        <v>0</v>
      </c>
      <c r="AP1405" s="80">
        <f>AM1405-AN1405</f>
        <v>0</v>
      </c>
      <c r="AQ1405" s="80">
        <f>AD1405-AM1405-AO1405</f>
        <v>0</v>
      </c>
      <c r="AR1405" s="80">
        <f>IF(AM1405=0,0,AK1405-AN1405*AK1405/AM1405)</f>
        <v>0</v>
      </c>
      <c r="AS1405" s="80">
        <f>IF(AD1405-AM1405=0,0,(AJ1405-AK1405)-AO1405*(AJ1405-AK1405)/(AD1405-AM1405))</f>
        <v>0</v>
      </c>
      <c r="AT1405" s="80" t="str">
        <f>IF(AC1405=1,INT(B1405)+1,"")</f>
        <v/>
      </c>
      <c r="AU1405" s="80">
        <f>IF(AND(D1405="proMX",R1405="Cancelled"),0,1)</f>
        <v>1</v>
      </c>
      <c r="AV1405" s="80">
        <f>IF(AND(AB1405=1,AU1405=1),IF(COUNTIFS($D$5:D1404,D1405,$B$5:B1404,B1405,$Z$5:Z1404,Z1405,$AA$5:AA1404,AA1405,$F$5:F1404,F1405&amp;"",$AU$5:AU1404,1)&gt;0,1,0),0)</f>
        <v>0</v>
      </c>
      <c r="AW1405" s="80" t="str">
        <f>IF(AB1405=1,INT(B1405)*1440+Z1405,"")</f>
        <v/>
      </c>
      <c r="AX1405" s="80" t="str">
        <f>IF(AB1405=1,AW1405+AD1405,"")</f>
        <v/>
      </c>
      <c r="AY1405" s="80">
        <f>IF(AND(AB1405=1,AV1405=0,AU1405=1),1,0)</f>
        <v>0</v>
      </c>
      <c r="AZ1405" s="80">
        <f>IF(AY1405=1,COUNTIFS(R_Emp,D1405,R_SAbs,"&lt;"&amp;AX1405,R_EAbs,"&gt;"&amp;AW1405,R_OKey,1)-1,0)</f>
        <v>0</v>
      </c>
      <c r="BA1405" s="80">
        <f>IF(AY1405=1,COUNTIFS(R_Emp,"&lt;&gt;"&amp;D1405,R_SAbs,"&lt;"&amp;AX1405,R_EAbs,"&gt;"&amp;AW1405,R_OKey,1),0)</f>
        <v>0</v>
      </c>
      <c r="BB1405" s="80">
        <f>IF(AND(AB1405=1,D1405="proMX"),IF(AND(MOD(Z1405,CFG_BLK)=0,MOD(AA1405,CFG_BLK)=0,MOD(AG1405,CFG_BLK)=0,AG1405&gt;0),1,0),1)</f>
        <v>1</v>
      </c>
      <c r="BC1405" s="80" t="str">
        <f>IF(Y1405=0,"",IF(NOT(ISNUMBER(B1405)),"Falta fecha o fecha inválida",IF(D1405="","Falta empresa",IF(AND(D1405&lt;&gt;"Malcolm",D1405&lt;&gt;"proMX"),"Empresa inválida",IF(OR(INT(B1405)&lt;CFG_PSTART,INT(B1405)&gt;CFG_PEND),"Fecha fuera del período",IF(OR(NOT(ISNUMBER(Z1405)),NOT(ISNUMBER(AA1405))),"Falta hora inicio/fin o formato inválido",IF(AB1405=0,"Hora inicio = hora fin",IF(AE1405&lt;0,"Descanso inválido",IF(AE1405&gt;=AD1405,"Descanso ≥ duración",IF(AV1405=1,"Registro duplicado",IF(AZ1405&gt;0,"Se superpone con otro registro "&amp;D1405,IF(BB1405=0,"inicio, fin y duración neta deben ser múltiplos de "&amp;CFG_BLK&amp;" min",""))))))))))))</f>
        <v/>
      </c>
      <c r="BD1405" s="80">
        <f>IF(AND(Y1405=1,BC1405=""),1,0)</f>
        <v>0</v>
      </c>
      <c r="BE1405" s="80">
        <f>IF(AND(BD1405=1,AU1405=1),1,0)</f>
        <v>0</v>
      </c>
      <c r="BF1405" s="80" t="str">
        <f>IF(AND(D1405="proMX",BD1405=1),IF(R1405="","Draft",R1405),"")</f>
        <v/>
      </c>
      <c r="BG1405" s="80">
        <f>IF(BD1405=1,ROUND(AG1405/60,6),0)</f>
        <v>0</v>
      </c>
      <c r="BH1405" s="80">
        <f>IF(BE1405=1,ROUND(AG1405/60,6),0)</f>
        <v>0</v>
      </c>
      <c r="BI1405" s="80">
        <f>IF(BE1405=1,ROUND(AP1405/60,6),0)</f>
        <v>0</v>
      </c>
      <c r="BJ1405" s="80">
        <f>IF(BE1405=1,ROUND(AQ1405/60,6),0)</f>
        <v>0</v>
      </c>
      <c r="BK1405" s="80">
        <f>IF(BE1405=1,ROUND((AR1405+AS1405)/60,6),0)</f>
        <v>0</v>
      </c>
      <c r="BL1405" s="80">
        <f>ROUND(BH1405-BK1405,6)</f>
        <v>0</v>
      </c>
      <c r="BM1405" s="80">
        <f>IF(BE1405=1,ROUND(AR1405/60,6),0)</f>
        <v>0</v>
      </c>
      <c r="BN1405" s="80">
        <f>ROUND(BI1405-BM1405,6)</f>
        <v>0</v>
      </c>
      <c r="BO1405" s="80">
        <f>IF(BE1405=1,ROUND(AS1405/60,6),0)</f>
        <v>0</v>
      </c>
      <c r="BP1405" s="80">
        <f>ROUND(BJ1405-BO1405,6)</f>
        <v>0</v>
      </c>
      <c r="BQ1405" s="80">
        <f>IF(BE1405=1,AW1405,0)</f>
        <v>0</v>
      </c>
      <c r="BR1405" s="80">
        <f>IF(BE1405=1,AX1405,0)</f>
        <v>0</v>
      </c>
      <c r="BS1405" s="80">
        <f>IF(AND(BE1405=1,D1405="Malcolm",BA1405&gt;0),MIN(BH1405,SUMPRODUCT((R_Emp="proMX")*(R_EN&gt;0)*((R_EN-(R_EN&gt;BR1405)*(R_EN-BR1405))&gt;(R_SN+(R_SN&lt;BQ1405)*(BQ1405-R_SN)))*((R_EN-(R_EN&gt;BR1405)*(R_EN-BR1405))-(R_SN+(R_SN&lt;BQ1405)*(BQ1405-R_SN))))/60),0)</f>
        <v>0</v>
      </c>
      <c r="BT1405" s="80">
        <f>IF(AND(BE1405=1,D1405="proMX"),ROUND(BI1405*CFG_RATE+BJ1405*CFG_OTRATE,6),0)</f>
        <v>0</v>
      </c>
      <c r="BU1405" s="80">
        <f>IF(AND(BD1405=1,D1405="proMX"),ROUND(AG1405/CFG_BLK,6),0)</f>
        <v>0</v>
      </c>
      <c r="BV1405" s="80" t="str">
        <f>IF(BF1405="Approved",IF(ISNUMBER(T1405),INT(T1405),INT(B1405)),"")</f>
        <v/>
      </c>
      <c r="BW1405" s="80">
        <f>IF(ISNUMBER(B1405),IF(DB_MON="Todos",1,IF(AND(INT(B1405)&gt;=DB_MS,INT(B1405)&lt;=DB_ME),1,0)),0)</f>
        <v>0</v>
      </c>
      <c r="BX1405" s="80">
        <f>IF(DB_PROJ="Todos",1,IF(E1405&amp;""=DB_PROJ&amp;"",1,0))</f>
        <v>1</v>
      </c>
      <c r="BY1405" s="80">
        <f>BW1405*BX1405</f>
        <v>0</v>
      </c>
      <c r="BZ1405" s="80" t="str">
        <f>IF(Y1405=1,F1405&amp;IF(AND(F1405&amp;""&lt;&gt;"",E1405&amp;""&lt;&gt;"")," · ","")&amp;E1405,"")</f>
        <v/>
      </c>
      <c r="CA1405" s="80" t="str">
        <f>IF(AND(BD1405=1,E1405&amp;""&lt;&gt;""),IF(COUNTIFS($E$5:E1404,E1405,$BD$5:BD1404,1)=0,MAX($CA$5:CA1404)+1,""),"")</f>
        <v/>
      </c>
      <c r="CB1405" s="80" t="str">
        <f>IF(AND(BE1405=1,D1405="Malcolm",E1405&amp;""&lt;&gt;""),IF(COUNTIFS($D$5:D1404,"Malcolm",$E$5:E1404,E1405,$BE$5:BE1404,1)=0,MAX($CB$5:CB1404)+1,""),"")</f>
        <v/>
      </c>
      <c r="CC1405" s="80" t="str">
        <f>IF(AND(BD1405=1,D1405="proMX",E1405&amp;""&lt;&gt;""),IF(COUNTIFS($D$5:D1404,"proMX",$E$5:E1404,E1405,$BD$5:BD1404,1)=0,MAX($CC$5:CC1404)+1,""),"")</f>
        <v/>
      </c>
      <c r="CD1405" s="80" t="str">
        <f>IF(AND(BE1405=1,D1405="Malcolm",F1405&amp;""&lt;&gt;""),IF(COUNTIFS($D$5:D1404,"Malcolm",$F$5:F1404,F1405,$BE$5:BE1404,1)=0,MAX($CD$5:CD1404)+1,""),"")</f>
        <v/>
      </c>
      <c r="CE1405" s="80" t="str">
        <f>IF(AND(BD1405=1,D1405="proMX",F1405&amp;""&lt;&gt;""),IF(COUNTIFS($D$5:D1404,"proMX",$F$5:F1404,F1405,$BD$5:BD1404,1)=0,MAX($CE$5:CE1404)+1,""),"")</f>
        <v/>
      </c>
      <c r="CF1405" s="80" t="str">
        <f>IF(AND(D1405="proMX",BD1405=1),IF(OR(BF1405="Draft",BF1405="Submitted",BF1405="Returned",BF1405="Recall Requested"),MAX($CF$5:CF1404)+1,""),"")</f>
        <v/>
      </c>
      <c r="CG1405" s="80">
        <f>IF(BD1405=0,0,IF(D1405="Malcolm",1,MATCH(BF1405,{"Draft","Submitted","Approved","Returned","Recall Requested","Cancelled"},0)+1))</f>
        <v>0</v>
      </c>
      <c r="CH1405" s="80">
        <f>IF(AND(BF1405="Submitted",ISNUMBER(V1405)),IF(V1405&gt;CFG_MAXD,1,0),0)</f>
        <v>0</v>
      </c>
    </row>
    <row r="1406">
      <c r="A1406" s="71" t="str">
        <f>IF(Y1406=1,ROW()-5,"")</f>
        <v/>
      </c>
      <c r="B1406" s="72" t="n"/>
      <c r="C1406" s="71" t="str">
        <f>IF(ISNUMBER(B1406),CHOOSE(WEEKDAY(B1406,2),"Lun","Mar","Mié","Jue","Vie","Sáb","Dom"),"")</f>
        <v/>
      </c>
      <c r="D1406" s="73" t="n"/>
      <c r="E1406" s="74" t="n"/>
      <c r="F1406" s="74" t="n"/>
      <c r="G1406" s="74" t="n"/>
      <c r="H1406" s="75" t="n"/>
      <c r="I1406" s="75" t="n"/>
      <c r="J1406" s="76" t="n"/>
      <c r="K1406" s="77" t="str">
        <f>IF(AB1406=1,ROUND(AG1406/60,4),"")</f>
        <v/>
      </c>
      <c r="L1406" s="77" t="str">
        <f>IF(BD1406=1,ROUND(AP1406/60,4),"")</f>
        <v/>
      </c>
      <c r="M1406" s="77" t="str">
        <f>IF(BD1406=1,ROUND(AQ1406/60,4),"")</f>
        <v/>
      </c>
      <c r="N1406" s="71" t="str">
        <f>IF(AND(D1406="proMX",AB1406=1),ROUND(AG1406/CFG_BLK,2),"")</f>
        <v/>
      </c>
      <c r="O1406" s="77" t="str">
        <f>IF(D1406="proMX",IF(BD1406=1,ROUND(AG1406/60,4),0),"")</f>
        <v/>
      </c>
      <c r="P1406" s="78" t="str">
        <f>IF(Y1406=0,"",IF(BD1406=1,"OK",IF(D1406="proMX","Revisar bloques: ","Revisar: ")&amp;BC1406))</f>
        <v/>
      </c>
      <c r="Q1406" s="78" t="str">
        <f>IF(NOT(ISNUMBER(B1406)),"",IF(COUNTIFS(FER_F,INT(B1406))&gt;0,"Feriado"&amp;IF(AH1406=1," (laborable)"," (no laborable)"),IF(AH1406=1,"Laborable",IF(WEEKDAY(B1406,2)&gt;5,"Fin de semana","No laborable"))))</f>
        <v/>
      </c>
      <c r="R1406" s="73" t="n"/>
      <c r="S1406" s="72" t="n"/>
      <c r="T1406" s="72" t="n"/>
      <c r="U1406" s="74" t="n"/>
      <c r="V1406" s="79" t="str">
        <f>IF(AND(D1406="proMX",OR(R1406="Submitted",R1406="Recall Requested"),ISNUMBER(S1406)),CFG_TODAY-INT(S1406),"")</f>
        <v/>
      </c>
      <c r="W1406" s="78" t="str">
        <f>IF(BD1406=0,"",IF(BA1406&gt;0,"⚠ Se superpone con un registro de la otra empresa",IF(D1406="Malcolm",IF(COUNTA(R1406,S1406,T1406)&gt;0,"Estado/fechas proMX se ignoran en Malcolm",""),IF(BF1406="Cancelled","Cancelado: excluido de totales",IF(R1406="","Sin estado: se trata como Draft",IF(BF1406="Submitted",IF(ISNUMBER(V1406),IF(V1406&gt;CFG_MAXD,"⚠ "&amp;V1406&amp;" días en Submitted (máx. "&amp;CFG_MAXD&amp;")",""),"Falta fecha de envío"),IF(BF1406="Returned","⚠ Devuelto: corregir y reenviar",IF(BF1406="Recall Requested","Retirada solicitada: pendiente",IF(AND(BF1406="Approved",NOT(ISNUMBER(T1406))),"Falta fecha de aprobación",IF(AND(ISNUMBER(S1406),ISNUMBER(T1406),T1406&lt;S1406),"Aprobación anterior al envío","")))))))))</f>
        <v/>
      </c>
      <c r="Y1406" s="80">
        <f>IF(COUNTA(B1406,D1406,E1406,F1406,G1406,H1406,I1406,J1406,R1406,S1406,T1406)&gt;0,1,0)</f>
        <v>0</v>
      </c>
      <c r="Z1406" s="80" t="str">
        <f>IF(AND(ISNUMBER(H1406),H1406&gt;=0,H1406&lt;1),ROUND(H1406*1440,0),"")</f>
        <v/>
      </c>
      <c r="AA1406" s="80" t="str">
        <f>IF(AND(ISNUMBER(I1406),I1406&gt;=0,I1406&lt;1),ROUND(I1406*1440,0),"")</f>
        <v/>
      </c>
      <c r="AB1406" s="80">
        <f>IF(AND(ISNUMBER(B1406),D1406&lt;&gt;"",ISNUMBER(Z1406),ISNUMBER(AA1406)),IF(Z1406=AA1406,0,1),0)</f>
        <v>0</v>
      </c>
      <c r="AC1406" s="80">
        <f>IF(AB1406=1,IF(AA1406&lt;Z1406,1,0),0)</f>
        <v>0</v>
      </c>
      <c r="AD1406" s="80">
        <f>IF(AB1406=1,IF(AC1406=1,1440-Z1406+AA1406,AA1406-Z1406),0)</f>
        <v>0</v>
      </c>
      <c r="AE1406" s="80">
        <f>IF(J1406="",0,IF(ISNUMBER(J1406),J1406,-1))</f>
        <v>0</v>
      </c>
      <c r="AF1406" s="80">
        <f>MIN(MAX(0,AE1406),AD1406)</f>
        <v>0</v>
      </c>
      <c r="AG1406" s="80">
        <f>MAX(0,AD1406-MAX(0,AE1406))</f>
        <v>0</v>
      </c>
      <c r="AH1406" s="80">
        <f>IF(ISNUMBER(B1406),IF(AND(INDEX(CFG_WDAYS,WEEKDAY(INT(B1406),2))="Sí",IF(D1406="proMX",COUNTIFS(FER_F,INT(B1406),FER_NLP,"Sí"),COUNTIFS(FER_F,INT(B1406),FER_NLM,"Sí"))=0),1,0),0)</f>
        <v>0</v>
      </c>
      <c r="AI1406" s="80">
        <f>IF(AC1406=1,IF(AND(INDEX(CFG_WDAYS,WEEKDAY(INT(B1406)+1,2))="Sí",IF(D1406="proMX",COUNTIFS(FER_F,INT(B1406)+1,FER_NLP,"Sí"),COUNTIFS(FER_F,INT(B1406)+1,FER_NLM,"Sí"))=0),1,0),0)</f>
        <v>0</v>
      </c>
      <c r="AJ1406" s="80">
        <f>IF(AC1406=1,1440-Z1406,AD1406)</f>
        <v>0</v>
      </c>
      <c r="AK1406" s="80">
        <f>IF(AND(AB1406=1,AH1406=1),MAX(0,MIN(IF(AC1406=1,1440,AA1406),CFG_WEM)-MAX(Z1406,CFG_WSM)),0)</f>
        <v>0</v>
      </c>
      <c r="AL1406" s="80">
        <f>IF(AND(AC1406=1,AI1406=1),MAX(0,MIN(AA1406,CFG_WEM)-CFG_WSM),0)</f>
        <v>0</v>
      </c>
      <c r="AM1406" s="80">
        <f>AK1406+AL1406</f>
        <v>0</v>
      </c>
      <c r="AN1406" s="80">
        <f>IF(CFG_BRK="Proporcional",IF(AD1406=0,0,AF1406*AM1406/AD1406),IF(CFG_BRK="Extras primero",MIN(AM1406,MAX(0,AF1406-(AD1406-AM1406))),MIN(AF1406,AM1406)))</f>
        <v>0</v>
      </c>
      <c r="AO1406" s="80">
        <f>AF1406-AN1406</f>
        <v>0</v>
      </c>
      <c r="AP1406" s="80">
        <f>AM1406-AN1406</f>
        <v>0</v>
      </c>
      <c r="AQ1406" s="80">
        <f>AD1406-AM1406-AO1406</f>
        <v>0</v>
      </c>
      <c r="AR1406" s="80">
        <f>IF(AM1406=0,0,AK1406-AN1406*AK1406/AM1406)</f>
        <v>0</v>
      </c>
      <c r="AS1406" s="80">
        <f>IF(AD1406-AM1406=0,0,(AJ1406-AK1406)-AO1406*(AJ1406-AK1406)/(AD1406-AM1406))</f>
        <v>0</v>
      </c>
      <c r="AT1406" s="80" t="str">
        <f>IF(AC1406=1,INT(B1406)+1,"")</f>
        <v/>
      </c>
      <c r="AU1406" s="80">
        <f>IF(AND(D1406="proMX",R1406="Cancelled"),0,1)</f>
        <v>1</v>
      </c>
      <c r="AV1406" s="80">
        <f>IF(AND(AB1406=1,AU1406=1),IF(COUNTIFS($D$5:D1405,D1406,$B$5:B1405,B1406,$Z$5:Z1405,Z1406,$AA$5:AA1405,AA1406,$F$5:F1405,F1406&amp;"",$AU$5:AU1405,1)&gt;0,1,0),0)</f>
        <v>0</v>
      </c>
      <c r="AW1406" s="80" t="str">
        <f>IF(AB1406=1,INT(B1406)*1440+Z1406,"")</f>
        <v/>
      </c>
      <c r="AX1406" s="80" t="str">
        <f>IF(AB1406=1,AW1406+AD1406,"")</f>
        <v/>
      </c>
      <c r="AY1406" s="80">
        <f>IF(AND(AB1406=1,AV1406=0,AU1406=1),1,0)</f>
        <v>0</v>
      </c>
      <c r="AZ1406" s="80">
        <f>IF(AY1406=1,COUNTIFS(R_Emp,D1406,R_SAbs,"&lt;"&amp;AX1406,R_EAbs,"&gt;"&amp;AW1406,R_OKey,1)-1,0)</f>
        <v>0</v>
      </c>
      <c r="BA1406" s="80">
        <f>IF(AY1406=1,COUNTIFS(R_Emp,"&lt;&gt;"&amp;D1406,R_SAbs,"&lt;"&amp;AX1406,R_EAbs,"&gt;"&amp;AW1406,R_OKey,1),0)</f>
        <v>0</v>
      </c>
      <c r="BB1406" s="80">
        <f>IF(AND(AB1406=1,D1406="proMX"),IF(AND(MOD(Z1406,CFG_BLK)=0,MOD(AA1406,CFG_BLK)=0,MOD(AG1406,CFG_BLK)=0,AG1406&gt;0),1,0),1)</f>
        <v>1</v>
      </c>
      <c r="BC1406" s="80" t="str">
        <f>IF(Y1406=0,"",IF(NOT(ISNUMBER(B1406)),"Falta fecha o fecha inválida",IF(D1406="","Falta empresa",IF(AND(D1406&lt;&gt;"Malcolm",D1406&lt;&gt;"proMX"),"Empresa inválida",IF(OR(INT(B1406)&lt;CFG_PSTART,INT(B1406)&gt;CFG_PEND),"Fecha fuera del período",IF(OR(NOT(ISNUMBER(Z1406)),NOT(ISNUMBER(AA1406))),"Falta hora inicio/fin o formato inválido",IF(AB1406=0,"Hora inicio = hora fin",IF(AE1406&lt;0,"Descanso inválido",IF(AE1406&gt;=AD1406,"Descanso ≥ duración",IF(AV1406=1,"Registro duplicado",IF(AZ1406&gt;0,"Se superpone con otro registro "&amp;D1406,IF(BB1406=0,"inicio, fin y duración neta deben ser múltiplos de "&amp;CFG_BLK&amp;" min",""))))))))))))</f>
        <v/>
      </c>
      <c r="BD1406" s="80">
        <f>IF(AND(Y1406=1,BC1406=""),1,0)</f>
        <v>0</v>
      </c>
      <c r="BE1406" s="80">
        <f>IF(AND(BD1406=1,AU1406=1),1,0)</f>
        <v>0</v>
      </c>
      <c r="BF1406" s="80" t="str">
        <f>IF(AND(D1406="proMX",BD1406=1),IF(R1406="","Draft",R1406),"")</f>
        <v/>
      </c>
      <c r="BG1406" s="80">
        <f>IF(BD1406=1,ROUND(AG1406/60,6),0)</f>
        <v>0</v>
      </c>
      <c r="BH1406" s="80">
        <f>IF(BE1406=1,ROUND(AG1406/60,6),0)</f>
        <v>0</v>
      </c>
      <c r="BI1406" s="80">
        <f>IF(BE1406=1,ROUND(AP1406/60,6),0)</f>
        <v>0</v>
      </c>
      <c r="BJ1406" s="80">
        <f>IF(BE1406=1,ROUND(AQ1406/60,6),0)</f>
        <v>0</v>
      </c>
      <c r="BK1406" s="80">
        <f>IF(BE1406=1,ROUND((AR1406+AS1406)/60,6),0)</f>
        <v>0</v>
      </c>
      <c r="BL1406" s="80">
        <f>ROUND(BH1406-BK1406,6)</f>
        <v>0</v>
      </c>
      <c r="BM1406" s="80">
        <f>IF(BE1406=1,ROUND(AR1406/60,6),0)</f>
        <v>0</v>
      </c>
      <c r="BN1406" s="80">
        <f>ROUND(BI1406-BM1406,6)</f>
        <v>0</v>
      </c>
      <c r="BO1406" s="80">
        <f>IF(BE1406=1,ROUND(AS1406/60,6),0)</f>
        <v>0</v>
      </c>
      <c r="BP1406" s="80">
        <f>ROUND(BJ1406-BO1406,6)</f>
        <v>0</v>
      </c>
      <c r="BQ1406" s="80">
        <f>IF(BE1406=1,AW1406,0)</f>
        <v>0</v>
      </c>
      <c r="BR1406" s="80">
        <f>IF(BE1406=1,AX1406,0)</f>
        <v>0</v>
      </c>
      <c r="BS1406" s="80">
        <f>IF(AND(BE1406=1,D1406="Malcolm",BA1406&gt;0),MIN(BH1406,SUMPRODUCT((R_Emp="proMX")*(R_EN&gt;0)*((R_EN-(R_EN&gt;BR1406)*(R_EN-BR1406))&gt;(R_SN+(R_SN&lt;BQ1406)*(BQ1406-R_SN)))*((R_EN-(R_EN&gt;BR1406)*(R_EN-BR1406))-(R_SN+(R_SN&lt;BQ1406)*(BQ1406-R_SN))))/60),0)</f>
        <v>0</v>
      </c>
      <c r="BT1406" s="80">
        <f>IF(AND(BE1406=1,D1406="proMX"),ROUND(BI1406*CFG_RATE+BJ1406*CFG_OTRATE,6),0)</f>
        <v>0</v>
      </c>
      <c r="BU1406" s="80">
        <f>IF(AND(BD1406=1,D1406="proMX"),ROUND(AG1406/CFG_BLK,6),0)</f>
        <v>0</v>
      </c>
      <c r="BV1406" s="80" t="str">
        <f>IF(BF1406="Approved",IF(ISNUMBER(T1406),INT(T1406),INT(B1406)),"")</f>
        <v/>
      </c>
      <c r="BW1406" s="80">
        <f>IF(ISNUMBER(B1406),IF(DB_MON="Todos",1,IF(AND(INT(B1406)&gt;=DB_MS,INT(B1406)&lt;=DB_ME),1,0)),0)</f>
        <v>0</v>
      </c>
      <c r="BX1406" s="80">
        <f>IF(DB_PROJ="Todos",1,IF(E1406&amp;""=DB_PROJ&amp;"",1,0))</f>
        <v>1</v>
      </c>
      <c r="BY1406" s="80">
        <f>BW1406*BX1406</f>
        <v>0</v>
      </c>
      <c r="BZ1406" s="80" t="str">
        <f>IF(Y1406=1,F1406&amp;IF(AND(F1406&amp;""&lt;&gt;"",E1406&amp;""&lt;&gt;"")," · ","")&amp;E1406,"")</f>
        <v/>
      </c>
      <c r="CA1406" s="80" t="str">
        <f>IF(AND(BD1406=1,E1406&amp;""&lt;&gt;""),IF(COUNTIFS($E$5:E1405,E1406,$BD$5:BD1405,1)=0,MAX($CA$5:CA1405)+1,""),"")</f>
        <v/>
      </c>
      <c r="CB1406" s="80" t="str">
        <f>IF(AND(BE1406=1,D1406="Malcolm",E1406&amp;""&lt;&gt;""),IF(COUNTIFS($D$5:D1405,"Malcolm",$E$5:E1405,E1406,$BE$5:BE1405,1)=0,MAX($CB$5:CB1405)+1,""),"")</f>
        <v/>
      </c>
      <c r="CC1406" s="80" t="str">
        <f>IF(AND(BD1406=1,D1406="proMX",E1406&amp;""&lt;&gt;""),IF(COUNTIFS($D$5:D1405,"proMX",$E$5:E1405,E1406,$BD$5:BD1405,1)=0,MAX($CC$5:CC1405)+1,""),"")</f>
        <v/>
      </c>
      <c r="CD1406" s="80" t="str">
        <f>IF(AND(BE1406=1,D1406="Malcolm",F1406&amp;""&lt;&gt;""),IF(COUNTIFS($D$5:D1405,"Malcolm",$F$5:F1405,F1406,$BE$5:BE1405,1)=0,MAX($CD$5:CD1405)+1,""),"")</f>
        <v/>
      </c>
      <c r="CE1406" s="80" t="str">
        <f>IF(AND(BD1406=1,D1406="proMX",F1406&amp;""&lt;&gt;""),IF(COUNTIFS($D$5:D1405,"proMX",$F$5:F1405,F1406,$BD$5:BD1405,1)=0,MAX($CE$5:CE1405)+1,""),"")</f>
        <v/>
      </c>
      <c r="CF1406" s="80" t="str">
        <f>IF(AND(D1406="proMX",BD1406=1),IF(OR(BF1406="Draft",BF1406="Submitted",BF1406="Returned",BF1406="Recall Requested"),MAX($CF$5:CF1405)+1,""),"")</f>
        <v/>
      </c>
      <c r="CG1406" s="80">
        <f>IF(BD1406=0,0,IF(D1406="Malcolm",1,MATCH(BF1406,{"Draft","Submitted","Approved","Returned","Recall Requested","Cancelled"},0)+1))</f>
        <v>0</v>
      </c>
      <c r="CH1406" s="80">
        <f>IF(AND(BF1406="Submitted",ISNUMBER(V1406)),IF(V1406&gt;CFG_MAXD,1,0),0)</f>
        <v>0</v>
      </c>
    </row>
    <row r="1407">
      <c r="A1407" s="71" t="str">
        <f>IF(Y1407=1,ROW()-5,"")</f>
        <v/>
      </c>
      <c r="B1407" s="72" t="n"/>
      <c r="C1407" s="71" t="str">
        <f>IF(ISNUMBER(B1407),CHOOSE(WEEKDAY(B1407,2),"Lun","Mar","Mié","Jue","Vie","Sáb","Dom"),"")</f>
        <v/>
      </c>
      <c r="D1407" s="73" t="n"/>
      <c r="E1407" s="74" t="n"/>
      <c r="F1407" s="74" t="n"/>
      <c r="G1407" s="74" t="n"/>
      <c r="H1407" s="75" t="n"/>
      <c r="I1407" s="75" t="n"/>
      <c r="J1407" s="76" t="n"/>
      <c r="K1407" s="77" t="str">
        <f>IF(AB1407=1,ROUND(AG1407/60,4),"")</f>
        <v/>
      </c>
      <c r="L1407" s="77" t="str">
        <f>IF(BD1407=1,ROUND(AP1407/60,4),"")</f>
        <v/>
      </c>
      <c r="M1407" s="77" t="str">
        <f>IF(BD1407=1,ROUND(AQ1407/60,4),"")</f>
        <v/>
      </c>
      <c r="N1407" s="71" t="str">
        <f>IF(AND(D1407="proMX",AB1407=1),ROUND(AG1407/CFG_BLK,2),"")</f>
        <v/>
      </c>
      <c r="O1407" s="77" t="str">
        <f>IF(D1407="proMX",IF(BD1407=1,ROUND(AG1407/60,4),0),"")</f>
        <v/>
      </c>
      <c r="P1407" s="78" t="str">
        <f>IF(Y1407=0,"",IF(BD1407=1,"OK",IF(D1407="proMX","Revisar bloques: ","Revisar: ")&amp;BC1407))</f>
        <v/>
      </c>
      <c r="Q1407" s="78" t="str">
        <f>IF(NOT(ISNUMBER(B1407)),"",IF(COUNTIFS(FER_F,INT(B1407))&gt;0,"Feriado"&amp;IF(AH1407=1," (laborable)"," (no laborable)"),IF(AH1407=1,"Laborable",IF(WEEKDAY(B1407,2)&gt;5,"Fin de semana","No laborable"))))</f>
        <v/>
      </c>
      <c r="R1407" s="73" t="n"/>
      <c r="S1407" s="72" t="n"/>
      <c r="T1407" s="72" t="n"/>
      <c r="U1407" s="74" t="n"/>
      <c r="V1407" s="79" t="str">
        <f>IF(AND(D1407="proMX",OR(R1407="Submitted",R1407="Recall Requested"),ISNUMBER(S1407)),CFG_TODAY-INT(S1407),"")</f>
        <v/>
      </c>
      <c r="W1407" s="78" t="str">
        <f>IF(BD1407=0,"",IF(BA1407&gt;0,"⚠ Se superpone con un registro de la otra empresa",IF(D1407="Malcolm",IF(COUNTA(R1407,S1407,T1407)&gt;0,"Estado/fechas proMX se ignoran en Malcolm",""),IF(BF1407="Cancelled","Cancelado: excluido de totales",IF(R1407="","Sin estado: se trata como Draft",IF(BF1407="Submitted",IF(ISNUMBER(V1407),IF(V1407&gt;CFG_MAXD,"⚠ "&amp;V1407&amp;" días en Submitted (máx. "&amp;CFG_MAXD&amp;")",""),"Falta fecha de envío"),IF(BF1407="Returned","⚠ Devuelto: corregir y reenviar",IF(BF1407="Recall Requested","Retirada solicitada: pendiente",IF(AND(BF1407="Approved",NOT(ISNUMBER(T1407))),"Falta fecha de aprobación",IF(AND(ISNUMBER(S1407),ISNUMBER(T1407),T1407&lt;S1407),"Aprobación anterior al envío","")))))))))</f>
        <v/>
      </c>
      <c r="Y1407" s="80">
        <f>IF(COUNTA(B1407,D1407,E1407,F1407,G1407,H1407,I1407,J1407,R1407,S1407,T1407)&gt;0,1,0)</f>
        <v>0</v>
      </c>
      <c r="Z1407" s="80" t="str">
        <f>IF(AND(ISNUMBER(H1407),H1407&gt;=0,H1407&lt;1),ROUND(H1407*1440,0),"")</f>
        <v/>
      </c>
      <c r="AA1407" s="80" t="str">
        <f>IF(AND(ISNUMBER(I1407),I1407&gt;=0,I1407&lt;1),ROUND(I1407*1440,0),"")</f>
        <v/>
      </c>
      <c r="AB1407" s="80">
        <f>IF(AND(ISNUMBER(B1407),D1407&lt;&gt;"",ISNUMBER(Z1407),ISNUMBER(AA1407)),IF(Z1407=AA1407,0,1),0)</f>
        <v>0</v>
      </c>
      <c r="AC1407" s="80">
        <f>IF(AB1407=1,IF(AA1407&lt;Z1407,1,0),0)</f>
        <v>0</v>
      </c>
      <c r="AD1407" s="80">
        <f>IF(AB1407=1,IF(AC1407=1,1440-Z1407+AA1407,AA1407-Z1407),0)</f>
        <v>0</v>
      </c>
      <c r="AE1407" s="80">
        <f>IF(J1407="",0,IF(ISNUMBER(J1407),J1407,-1))</f>
        <v>0</v>
      </c>
      <c r="AF1407" s="80">
        <f>MIN(MAX(0,AE1407),AD1407)</f>
        <v>0</v>
      </c>
      <c r="AG1407" s="80">
        <f>MAX(0,AD1407-MAX(0,AE1407))</f>
        <v>0</v>
      </c>
      <c r="AH1407" s="80">
        <f>IF(ISNUMBER(B1407),IF(AND(INDEX(CFG_WDAYS,WEEKDAY(INT(B1407),2))="Sí",IF(D1407="proMX",COUNTIFS(FER_F,INT(B1407),FER_NLP,"Sí"),COUNTIFS(FER_F,INT(B1407),FER_NLM,"Sí"))=0),1,0),0)</f>
        <v>0</v>
      </c>
      <c r="AI1407" s="80">
        <f>IF(AC1407=1,IF(AND(INDEX(CFG_WDAYS,WEEKDAY(INT(B1407)+1,2))="Sí",IF(D1407="proMX",COUNTIFS(FER_F,INT(B1407)+1,FER_NLP,"Sí"),COUNTIFS(FER_F,INT(B1407)+1,FER_NLM,"Sí"))=0),1,0),0)</f>
        <v>0</v>
      </c>
      <c r="AJ1407" s="80">
        <f>IF(AC1407=1,1440-Z1407,AD1407)</f>
        <v>0</v>
      </c>
      <c r="AK1407" s="80">
        <f>IF(AND(AB1407=1,AH1407=1),MAX(0,MIN(IF(AC1407=1,1440,AA1407),CFG_WEM)-MAX(Z1407,CFG_WSM)),0)</f>
        <v>0</v>
      </c>
      <c r="AL1407" s="80">
        <f>IF(AND(AC1407=1,AI1407=1),MAX(0,MIN(AA1407,CFG_WEM)-CFG_WSM),0)</f>
        <v>0</v>
      </c>
      <c r="AM1407" s="80">
        <f>AK1407+AL1407</f>
        <v>0</v>
      </c>
      <c r="AN1407" s="80">
        <f>IF(CFG_BRK="Proporcional",IF(AD1407=0,0,AF1407*AM1407/AD1407),IF(CFG_BRK="Extras primero",MIN(AM1407,MAX(0,AF1407-(AD1407-AM1407))),MIN(AF1407,AM1407)))</f>
        <v>0</v>
      </c>
      <c r="AO1407" s="80">
        <f>AF1407-AN1407</f>
        <v>0</v>
      </c>
      <c r="AP1407" s="80">
        <f>AM1407-AN1407</f>
        <v>0</v>
      </c>
      <c r="AQ1407" s="80">
        <f>AD1407-AM1407-AO1407</f>
        <v>0</v>
      </c>
      <c r="AR1407" s="80">
        <f>IF(AM1407=0,0,AK1407-AN1407*AK1407/AM1407)</f>
        <v>0</v>
      </c>
      <c r="AS1407" s="80">
        <f>IF(AD1407-AM1407=0,0,(AJ1407-AK1407)-AO1407*(AJ1407-AK1407)/(AD1407-AM1407))</f>
        <v>0</v>
      </c>
      <c r="AT1407" s="80" t="str">
        <f>IF(AC1407=1,INT(B1407)+1,"")</f>
        <v/>
      </c>
      <c r="AU1407" s="80">
        <f>IF(AND(D1407="proMX",R1407="Cancelled"),0,1)</f>
        <v>1</v>
      </c>
      <c r="AV1407" s="80">
        <f>IF(AND(AB1407=1,AU1407=1),IF(COUNTIFS($D$5:D1406,D1407,$B$5:B1406,B1407,$Z$5:Z1406,Z1407,$AA$5:AA1406,AA1407,$F$5:F1406,F1407&amp;"",$AU$5:AU1406,1)&gt;0,1,0),0)</f>
        <v>0</v>
      </c>
      <c r="AW1407" s="80" t="str">
        <f>IF(AB1407=1,INT(B1407)*1440+Z1407,"")</f>
        <v/>
      </c>
      <c r="AX1407" s="80" t="str">
        <f>IF(AB1407=1,AW1407+AD1407,"")</f>
        <v/>
      </c>
      <c r="AY1407" s="80">
        <f>IF(AND(AB1407=1,AV1407=0,AU1407=1),1,0)</f>
        <v>0</v>
      </c>
      <c r="AZ1407" s="80">
        <f>IF(AY1407=1,COUNTIFS(R_Emp,D1407,R_SAbs,"&lt;"&amp;AX1407,R_EAbs,"&gt;"&amp;AW1407,R_OKey,1)-1,0)</f>
        <v>0</v>
      </c>
      <c r="BA1407" s="80">
        <f>IF(AY1407=1,COUNTIFS(R_Emp,"&lt;&gt;"&amp;D1407,R_SAbs,"&lt;"&amp;AX1407,R_EAbs,"&gt;"&amp;AW1407,R_OKey,1),0)</f>
        <v>0</v>
      </c>
      <c r="BB1407" s="80">
        <f>IF(AND(AB1407=1,D1407="proMX"),IF(AND(MOD(Z1407,CFG_BLK)=0,MOD(AA1407,CFG_BLK)=0,MOD(AG1407,CFG_BLK)=0,AG1407&gt;0),1,0),1)</f>
        <v>1</v>
      </c>
      <c r="BC1407" s="80" t="str">
        <f>IF(Y1407=0,"",IF(NOT(ISNUMBER(B1407)),"Falta fecha o fecha inválida",IF(D1407="","Falta empresa",IF(AND(D1407&lt;&gt;"Malcolm",D1407&lt;&gt;"proMX"),"Empresa inválida",IF(OR(INT(B1407)&lt;CFG_PSTART,INT(B1407)&gt;CFG_PEND),"Fecha fuera del período",IF(OR(NOT(ISNUMBER(Z1407)),NOT(ISNUMBER(AA1407))),"Falta hora inicio/fin o formato inválido",IF(AB1407=0,"Hora inicio = hora fin",IF(AE1407&lt;0,"Descanso inválido",IF(AE1407&gt;=AD1407,"Descanso ≥ duración",IF(AV1407=1,"Registro duplicado",IF(AZ1407&gt;0,"Se superpone con otro registro "&amp;D1407,IF(BB1407=0,"inicio, fin y duración neta deben ser múltiplos de "&amp;CFG_BLK&amp;" min",""))))))))))))</f>
        <v/>
      </c>
      <c r="BD1407" s="80">
        <f>IF(AND(Y1407=1,BC1407=""),1,0)</f>
        <v>0</v>
      </c>
      <c r="BE1407" s="80">
        <f>IF(AND(BD1407=1,AU1407=1),1,0)</f>
        <v>0</v>
      </c>
      <c r="BF1407" s="80" t="str">
        <f>IF(AND(D1407="proMX",BD1407=1),IF(R1407="","Draft",R1407),"")</f>
        <v/>
      </c>
      <c r="BG1407" s="80">
        <f>IF(BD1407=1,ROUND(AG1407/60,6),0)</f>
        <v>0</v>
      </c>
      <c r="BH1407" s="80">
        <f>IF(BE1407=1,ROUND(AG1407/60,6),0)</f>
        <v>0</v>
      </c>
      <c r="BI1407" s="80">
        <f>IF(BE1407=1,ROUND(AP1407/60,6),0)</f>
        <v>0</v>
      </c>
      <c r="BJ1407" s="80">
        <f>IF(BE1407=1,ROUND(AQ1407/60,6),0)</f>
        <v>0</v>
      </c>
      <c r="BK1407" s="80">
        <f>IF(BE1407=1,ROUND((AR1407+AS1407)/60,6),0)</f>
        <v>0</v>
      </c>
      <c r="BL1407" s="80">
        <f>ROUND(BH1407-BK1407,6)</f>
        <v>0</v>
      </c>
      <c r="BM1407" s="80">
        <f>IF(BE1407=1,ROUND(AR1407/60,6),0)</f>
        <v>0</v>
      </c>
      <c r="BN1407" s="80">
        <f>ROUND(BI1407-BM1407,6)</f>
        <v>0</v>
      </c>
      <c r="BO1407" s="80">
        <f>IF(BE1407=1,ROUND(AS1407/60,6),0)</f>
        <v>0</v>
      </c>
      <c r="BP1407" s="80">
        <f>ROUND(BJ1407-BO1407,6)</f>
        <v>0</v>
      </c>
      <c r="BQ1407" s="80">
        <f>IF(BE1407=1,AW1407,0)</f>
        <v>0</v>
      </c>
      <c r="BR1407" s="80">
        <f>IF(BE1407=1,AX1407,0)</f>
        <v>0</v>
      </c>
      <c r="BS1407" s="80">
        <f>IF(AND(BE1407=1,D1407="Malcolm",BA1407&gt;0),MIN(BH1407,SUMPRODUCT((R_Emp="proMX")*(R_EN&gt;0)*((R_EN-(R_EN&gt;BR1407)*(R_EN-BR1407))&gt;(R_SN+(R_SN&lt;BQ1407)*(BQ1407-R_SN)))*((R_EN-(R_EN&gt;BR1407)*(R_EN-BR1407))-(R_SN+(R_SN&lt;BQ1407)*(BQ1407-R_SN))))/60),0)</f>
        <v>0</v>
      </c>
      <c r="BT1407" s="80">
        <f>IF(AND(BE1407=1,D1407="proMX"),ROUND(BI1407*CFG_RATE+BJ1407*CFG_OTRATE,6),0)</f>
        <v>0</v>
      </c>
      <c r="BU1407" s="80">
        <f>IF(AND(BD1407=1,D1407="proMX"),ROUND(AG1407/CFG_BLK,6),0)</f>
        <v>0</v>
      </c>
      <c r="BV1407" s="80" t="str">
        <f>IF(BF1407="Approved",IF(ISNUMBER(T1407),INT(T1407),INT(B1407)),"")</f>
        <v/>
      </c>
      <c r="BW1407" s="80">
        <f>IF(ISNUMBER(B1407),IF(DB_MON="Todos",1,IF(AND(INT(B1407)&gt;=DB_MS,INT(B1407)&lt;=DB_ME),1,0)),0)</f>
        <v>0</v>
      </c>
      <c r="BX1407" s="80">
        <f>IF(DB_PROJ="Todos",1,IF(E1407&amp;""=DB_PROJ&amp;"",1,0))</f>
        <v>1</v>
      </c>
      <c r="BY1407" s="80">
        <f>BW1407*BX1407</f>
        <v>0</v>
      </c>
      <c r="BZ1407" s="80" t="str">
        <f>IF(Y1407=1,F1407&amp;IF(AND(F1407&amp;""&lt;&gt;"",E1407&amp;""&lt;&gt;"")," · ","")&amp;E1407,"")</f>
        <v/>
      </c>
      <c r="CA1407" s="80" t="str">
        <f>IF(AND(BD1407=1,E1407&amp;""&lt;&gt;""),IF(COUNTIFS($E$5:E1406,E1407,$BD$5:BD1406,1)=0,MAX($CA$5:CA1406)+1,""),"")</f>
        <v/>
      </c>
      <c r="CB1407" s="80" t="str">
        <f>IF(AND(BE1407=1,D1407="Malcolm",E1407&amp;""&lt;&gt;""),IF(COUNTIFS($D$5:D1406,"Malcolm",$E$5:E1406,E1407,$BE$5:BE1406,1)=0,MAX($CB$5:CB1406)+1,""),"")</f>
        <v/>
      </c>
      <c r="CC1407" s="80" t="str">
        <f>IF(AND(BD1407=1,D1407="proMX",E1407&amp;""&lt;&gt;""),IF(COUNTIFS($D$5:D1406,"proMX",$E$5:E1406,E1407,$BD$5:BD1406,1)=0,MAX($CC$5:CC1406)+1,""),"")</f>
        <v/>
      </c>
      <c r="CD1407" s="80" t="str">
        <f>IF(AND(BE1407=1,D1407="Malcolm",F1407&amp;""&lt;&gt;""),IF(COUNTIFS($D$5:D1406,"Malcolm",$F$5:F1406,F1407,$BE$5:BE1406,1)=0,MAX($CD$5:CD1406)+1,""),"")</f>
        <v/>
      </c>
      <c r="CE1407" s="80" t="str">
        <f>IF(AND(BD1407=1,D1407="proMX",F1407&amp;""&lt;&gt;""),IF(COUNTIFS($D$5:D1406,"proMX",$F$5:F1406,F1407,$BD$5:BD1406,1)=0,MAX($CE$5:CE1406)+1,""),"")</f>
        <v/>
      </c>
      <c r="CF1407" s="80" t="str">
        <f>IF(AND(D1407="proMX",BD1407=1),IF(OR(BF1407="Draft",BF1407="Submitted",BF1407="Returned",BF1407="Recall Requested"),MAX($CF$5:CF1406)+1,""),"")</f>
        <v/>
      </c>
      <c r="CG1407" s="80">
        <f>IF(BD1407=0,0,IF(D1407="Malcolm",1,MATCH(BF1407,{"Draft","Submitted","Approved","Returned","Recall Requested","Cancelled"},0)+1))</f>
        <v>0</v>
      </c>
      <c r="CH1407" s="80">
        <f>IF(AND(BF1407="Submitted",ISNUMBER(V1407)),IF(V1407&gt;CFG_MAXD,1,0),0)</f>
        <v>0</v>
      </c>
    </row>
    <row r="1408">
      <c r="A1408" s="71" t="str">
        <f>IF(Y1408=1,ROW()-5,"")</f>
        <v/>
      </c>
      <c r="B1408" s="72" t="n"/>
      <c r="C1408" s="71" t="str">
        <f>IF(ISNUMBER(B1408),CHOOSE(WEEKDAY(B1408,2),"Lun","Mar","Mié","Jue","Vie","Sáb","Dom"),"")</f>
        <v/>
      </c>
      <c r="D1408" s="73" t="n"/>
      <c r="E1408" s="74" t="n"/>
      <c r="F1408" s="74" t="n"/>
      <c r="G1408" s="74" t="n"/>
      <c r="H1408" s="75" t="n"/>
      <c r="I1408" s="75" t="n"/>
      <c r="J1408" s="76" t="n"/>
      <c r="K1408" s="77" t="str">
        <f>IF(AB1408=1,ROUND(AG1408/60,4),"")</f>
        <v/>
      </c>
      <c r="L1408" s="77" t="str">
        <f>IF(BD1408=1,ROUND(AP1408/60,4),"")</f>
        <v/>
      </c>
      <c r="M1408" s="77" t="str">
        <f>IF(BD1408=1,ROUND(AQ1408/60,4),"")</f>
        <v/>
      </c>
      <c r="N1408" s="71" t="str">
        <f>IF(AND(D1408="proMX",AB1408=1),ROUND(AG1408/CFG_BLK,2),"")</f>
        <v/>
      </c>
      <c r="O1408" s="77" t="str">
        <f>IF(D1408="proMX",IF(BD1408=1,ROUND(AG1408/60,4),0),"")</f>
        <v/>
      </c>
      <c r="P1408" s="78" t="str">
        <f>IF(Y1408=0,"",IF(BD1408=1,"OK",IF(D1408="proMX","Revisar bloques: ","Revisar: ")&amp;BC1408))</f>
        <v/>
      </c>
      <c r="Q1408" s="78" t="str">
        <f>IF(NOT(ISNUMBER(B1408)),"",IF(COUNTIFS(FER_F,INT(B1408))&gt;0,"Feriado"&amp;IF(AH1408=1," (laborable)"," (no laborable)"),IF(AH1408=1,"Laborable",IF(WEEKDAY(B1408,2)&gt;5,"Fin de semana","No laborable"))))</f>
        <v/>
      </c>
      <c r="R1408" s="73" t="n"/>
      <c r="S1408" s="72" t="n"/>
      <c r="T1408" s="72" t="n"/>
      <c r="U1408" s="74" t="n"/>
      <c r="V1408" s="79" t="str">
        <f>IF(AND(D1408="proMX",OR(R1408="Submitted",R1408="Recall Requested"),ISNUMBER(S1408)),CFG_TODAY-INT(S1408),"")</f>
        <v/>
      </c>
      <c r="W1408" s="78" t="str">
        <f>IF(BD1408=0,"",IF(BA1408&gt;0,"⚠ Se superpone con un registro de la otra empresa",IF(D1408="Malcolm",IF(COUNTA(R1408,S1408,T1408)&gt;0,"Estado/fechas proMX se ignoran en Malcolm",""),IF(BF1408="Cancelled","Cancelado: excluido de totales",IF(R1408="","Sin estado: se trata como Draft",IF(BF1408="Submitted",IF(ISNUMBER(V1408),IF(V1408&gt;CFG_MAXD,"⚠ "&amp;V1408&amp;" días en Submitted (máx. "&amp;CFG_MAXD&amp;")",""),"Falta fecha de envío"),IF(BF1408="Returned","⚠ Devuelto: corregir y reenviar",IF(BF1408="Recall Requested","Retirada solicitada: pendiente",IF(AND(BF1408="Approved",NOT(ISNUMBER(T1408))),"Falta fecha de aprobación",IF(AND(ISNUMBER(S1408),ISNUMBER(T1408),T1408&lt;S1408),"Aprobación anterior al envío","")))))))))</f>
        <v/>
      </c>
      <c r="Y1408" s="80">
        <f>IF(COUNTA(B1408,D1408,E1408,F1408,G1408,H1408,I1408,J1408,R1408,S1408,T1408)&gt;0,1,0)</f>
        <v>0</v>
      </c>
      <c r="Z1408" s="80" t="str">
        <f>IF(AND(ISNUMBER(H1408),H1408&gt;=0,H1408&lt;1),ROUND(H1408*1440,0),"")</f>
        <v/>
      </c>
      <c r="AA1408" s="80" t="str">
        <f>IF(AND(ISNUMBER(I1408),I1408&gt;=0,I1408&lt;1),ROUND(I1408*1440,0),"")</f>
        <v/>
      </c>
      <c r="AB1408" s="80">
        <f>IF(AND(ISNUMBER(B1408),D1408&lt;&gt;"",ISNUMBER(Z1408),ISNUMBER(AA1408)),IF(Z1408=AA1408,0,1),0)</f>
        <v>0</v>
      </c>
      <c r="AC1408" s="80">
        <f>IF(AB1408=1,IF(AA1408&lt;Z1408,1,0),0)</f>
        <v>0</v>
      </c>
      <c r="AD1408" s="80">
        <f>IF(AB1408=1,IF(AC1408=1,1440-Z1408+AA1408,AA1408-Z1408),0)</f>
        <v>0</v>
      </c>
      <c r="AE1408" s="80">
        <f>IF(J1408="",0,IF(ISNUMBER(J1408),J1408,-1))</f>
        <v>0</v>
      </c>
      <c r="AF1408" s="80">
        <f>MIN(MAX(0,AE1408),AD1408)</f>
        <v>0</v>
      </c>
      <c r="AG1408" s="80">
        <f>MAX(0,AD1408-MAX(0,AE1408))</f>
        <v>0</v>
      </c>
      <c r="AH1408" s="80">
        <f>IF(ISNUMBER(B1408),IF(AND(INDEX(CFG_WDAYS,WEEKDAY(INT(B1408),2))="Sí",IF(D1408="proMX",COUNTIFS(FER_F,INT(B1408),FER_NLP,"Sí"),COUNTIFS(FER_F,INT(B1408),FER_NLM,"Sí"))=0),1,0),0)</f>
        <v>0</v>
      </c>
      <c r="AI1408" s="80">
        <f>IF(AC1408=1,IF(AND(INDEX(CFG_WDAYS,WEEKDAY(INT(B1408)+1,2))="Sí",IF(D1408="proMX",COUNTIFS(FER_F,INT(B1408)+1,FER_NLP,"Sí"),COUNTIFS(FER_F,INT(B1408)+1,FER_NLM,"Sí"))=0),1,0),0)</f>
        <v>0</v>
      </c>
      <c r="AJ1408" s="80">
        <f>IF(AC1408=1,1440-Z1408,AD1408)</f>
        <v>0</v>
      </c>
      <c r="AK1408" s="80">
        <f>IF(AND(AB1408=1,AH1408=1),MAX(0,MIN(IF(AC1408=1,1440,AA1408),CFG_WEM)-MAX(Z1408,CFG_WSM)),0)</f>
        <v>0</v>
      </c>
      <c r="AL1408" s="80">
        <f>IF(AND(AC1408=1,AI1408=1),MAX(0,MIN(AA1408,CFG_WEM)-CFG_WSM),0)</f>
        <v>0</v>
      </c>
      <c r="AM1408" s="80">
        <f>AK1408+AL1408</f>
        <v>0</v>
      </c>
      <c r="AN1408" s="80">
        <f>IF(CFG_BRK="Proporcional",IF(AD1408=0,0,AF1408*AM1408/AD1408),IF(CFG_BRK="Extras primero",MIN(AM1408,MAX(0,AF1408-(AD1408-AM1408))),MIN(AF1408,AM1408)))</f>
        <v>0</v>
      </c>
      <c r="AO1408" s="80">
        <f>AF1408-AN1408</f>
        <v>0</v>
      </c>
      <c r="AP1408" s="80">
        <f>AM1408-AN1408</f>
        <v>0</v>
      </c>
      <c r="AQ1408" s="80">
        <f>AD1408-AM1408-AO1408</f>
        <v>0</v>
      </c>
      <c r="AR1408" s="80">
        <f>IF(AM1408=0,0,AK1408-AN1408*AK1408/AM1408)</f>
        <v>0</v>
      </c>
      <c r="AS1408" s="80">
        <f>IF(AD1408-AM1408=0,0,(AJ1408-AK1408)-AO1408*(AJ1408-AK1408)/(AD1408-AM1408))</f>
        <v>0</v>
      </c>
      <c r="AT1408" s="80" t="str">
        <f>IF(AC1408=1,INT(B1408)+1,"")</f>
        <v/>
      </c>
      <c r="AU1408" s="80">
        <f>IF(AND(D1408="proMX",R1408="Cancelled"),0,1)</f>
        <v>1</v>
      </c>
      <c r="AV1408" s="80">
        <f>IF(AND(AB1408=1,AU1408=1),IF(COUNTIFS($D$5:D1407,D1408,$B$5:B1407,B1408,$Z$5:Z1407,Z1408,$AA$5:AA1407,AA1408,$F$5:F1407,F1408&amp;"",$AU$5:AU1407,1)&gt;0,1,0),0)</f>
        <v>0</v>
      </c>
      <c r="AW1408" s="80" t="str">
        <f>IF(AB1408=1,INT(B1408)*1440+Z1408,"")</f>
        <v/>
      </c>
      <c r="AX1408" s="80" t="str">
        <f>IF(AB1408=1,AW1408+AD1408,"")</f>
        <v/>
      </c>
      <c r="AY1408" s="80">
        <f>IF(AND(AB1408=1,AV1408=0,AU1408=1),1,0)</f>
        <v>0</v>
      </c>
      <c r="AZ1408" s="80">
        <f>IF(AY1408=1,COUNTIFS(R_Emp,D1408,R_SAbs,"&lt;"&amp;AX1408,R_EAbs,"&gt;"&amp;AW1408,R_OKey,1)-1,0)</f>
        <v>0</v>
      </c>
      <c r="BA1408" s="80">
        <f>IF(AY1408=1,COUNTIFS(R_Emp,"&lt;&gt;"&amp;D1408,R_SAbs,"&lt;"&amp;AX1408,R_EAbs,"&gt;"&amp;AW1408,R_OKey,1),0)</f>
        <v>0</v>
      </c>
      <c r="BB1408" s="80">
        <f>IF(AND(AB1408=1,D1408="proMX"),IF(AND(MOD(Z1408,CFG_BLK)=0,MOD(AA1408,CFG_BLK)=0,MOD(AG1408,CFG_BLK)=0,AG1408&gt;0),1,0),1)</f>
        <v>1</v>
      </c>
      <c r="BC1408" s="80" t="str">
        <f>IF(Y1408=0,"",IF(NOT(ISNUMBER(B1408)),"Falta fecha o fecha inválida",IF(D1408="","Falta empresa",IF(AND(D1408&lt;&gt;"Malcolm",D1408&lt;&gt;"proMX"),"Empresa inválida",IF(OR(INT(B1408)&lt;CFG_PSTART,INT(B1408)&gt;CFG_PEND),"Fecha fuera del período",IF(OR(NOT(ISNUMBER(Z1408)),NOT(ISNUMBER(AA1408))),"Falta hora inicio/fin o formato inválido",IF(AB1408=0,"Hora inicio = hora fin",IF(AE1408&lt;0,"Descanso inválido",IF(AE1408&gt;=AD1408,"Descanso ≥ duración",IF(AV1408=1,"Registro duplicado",IF(AZ1408&gt;0,"Se superpone con otro registro "&amp;D1408,IF(BB1408=0,"inicio, fin y duración neta deben ser múltiplos de "&amp;CFG_BLK&amp;" min",""))))))))))))</f>
        <v/>
      </c>
      <c r="BD1408" s="80">
        <f>IF(AND(Y1408=1,BC1408=""),1,0)</f>
        <v>0</v>
      </c>
      <c r="BE1408" s="80">
        <f>IF(AND(BD1408=1,AU1408=1),1,0)</f>
        <v>0</v>
      </c>
      <c r="BF1408" s="80" t="str">
        <f>IF(AND(D1408="proMX",BD1408=1),IF(R1408="","Draft",R1408),"")</f>
        <v/>
      </c>
      <c r="BG1408" s="80">
        <f>IF(BD1408=1,ROUND(AG1408/60,6),0)</f>
        <v>0</v>
      </c>
      <c r="BH1408" s="80">
        <f>IF(BE1408=1,ROUND(AG1408/60,6),0)</f>
        <v>0</v>
      </c>
      <c r="BI1408" s="80">
        <f>IF(BE1408=1,ROUND(AP1408/60,6),0)</f>
        <v>0</v>
      </c>
      <c r="BJ1408" s="80">
        <f>IF(BE1408=1,ROUND(AQ1408/60,6),0)</f>
        <v>0</v>
      </c>
      <c r="BK1408" s="80">
        <f>IF(BE1408=1,ROUND((AR1408+AS1408)/60,6),0)</f>
        <v>0</v>
      </c>
      <c r="BL1408" s="80">
        <f>ROUND(BH1408-BK1408,6)</f>
        <v>0</v>
      </c>
      <c r="BM1408" s="80">
        <f>IF(BE1408=1,ROUND(AR1408/60,6),0)</f>
        <v>0</v>
      </c>
      <c r="BN1408" s="80">
        <f>ROUND(BI1408-BM1408,6)</f>
        <v>0</v>
      </c>
      <c r="BO1408" s="80">
        <f>IF(BE1408=1,ROUND(AS1408/60,6),0)</f>
        <v>0</v>
      </c>
      <c r="BP1408" s="80">
        <f>ROUND(BJ1408-BO1408,6)</f>
        <v>0</v>
      </c>
      <c r="BQ1408" s="80">
        <f>IF(BE1408=1,AW1408,0)</f>
        <v>0</v>
      </c>
      <c r="BR1408" s="80">
        <f>IF(BE1408=1,AX1408,0)</f>
        <v>0</v>
      </c>
      <c r="BS1408" s="80">
        <f>IF(AND(BE1408=1,D1408="Malcolm",BA1408&gt;0),MIN(BH1408,SUMPRODUCT((R_Emp="proMX")*(R_EN&gt;0)*((R_EN-(R_EN&gt;BR1408)*(R_EN-BR1408))&gt;(R_SN+(R_SN&lt;BQ1408)*(BQ1408-R_SN)))*((R_EN-(R_EN&gt;BR1408)*(R_EN-BR1408))-(R_SN+(R_SN&lt;BQ1408)*(BQ1408-R_SN))))/60),0)</f>
        <v>0</v>
      </c>
      <c r="BT1408" s="80">
        <f>IF(AND(BE1408=1,D1408="proMX"),ROUND(BI1408*CFG_RATE+BJ1408*CFG_OTRATE,6),0)</f>
        <v>0</v>
      </c>
      <c r="BU1408" s="80">
        <f>IF(AND(BD1408=1,D1408="proMX"),ROUND(AG1408/CFG_BLK,6),0)</f>
        <v>0</v>
      </c>
      <c r="BV1408" s="80" t="str">
        <f>IF(BF1408="Approved",IF(ISNUMBER(T1408),INT(T1408),INT(B1408)),"")</f>
        <v/>
      </c>
      <c r="BW1408" s="80">
        <f>IF(ISNUMBER(B1408),IF(DB_MON="Todos",1,IF(AND(INT(B1408)&gt;=DB_MS,INT(B1408)&lt;=DB_ME),1,0)),0)</f>
        <v>0</v>
      </c>
      <c r="BX1408" s="80">
        <f>IF(DB_PROJ="Todos",1,IF(E1408&amp;""=DB_PROJ&amp;"",1,0))</f>
        <v>1</v>
      </c>
      <c r="BY1408" s="80">
        <f>BW1408*BX1408</f>
        <v>0</v>
      </c>
      <c r="BZ1408" s="80" t="str">
        <f>IF(Y1408=1,F1408&amp;IF(AND(F1408&amp;""&lt;&gt;"",E1408&amp;""&lt;&gt;"")," · ","")&amp;E1408,"")</f>
        <v/>
      </c>
      <c r="CA1408" s="80" t="str">
        <f>IF(AND(BD1408=1,E1408&amp;""&lt;&gt;""),IF(COUNTIFS($E$5:E1407,E1408,$BD$5:BD1407,1)=0,MAX($CA$5:CA1407)+1,""),"")</f>
        <v/>
      </c>
      <c r="CB1408" s="80" t="str">
        <f>IF(AND(BE1408=1,D1408="Malcolm",E1408&amp;""&lt;&gt;""),IF(COUNTIFS($D$5:D1407,"Malcolm",$E$5:E1407,E1408,$BE$5:BE1407,1)=0,MAX($CB$5:CB1407)+1,""),"")</f>
        <v/>
      </c>
      <c r="CC1408" s="80" t="str">
        <f>IF(AND(BD1408=1,D1408="proMX",E1408&amp;""&lt;&gt;""),IF(COUNTIFS($D$5:D1407,"proMX",$E$5:E1407,E1408,$BD$5:BD1407,1)=0,MAX($CC$5:CC1407)+1,""),"")</f>
        <v/>
      </c>
      <c r="CD1408" s="80" t="str">
        <f>IF(AND(BE1408=1,D1408="Malcolm",F1408&amp;""&lt;&gt;""),IF(COUNTIFS($D$5:D1407,"Malcolm",$F$5:F1407,F1408,$BE$5:BE1407,1)=0,MAX($CD$5:CD1407)+1,""),"")</f>
        <v/>
      </c>
      <c r="CE1408" s="80" t="str">
        <f>IF(AND(BD1408=1,D1408="proMX",F1408&amp;""&lt;&gt;""),IF(COUNTIFS($D$5:D1407,"proMX",$F$5:F1407,F1408,$BD$5:BD1407,1)=0,MAX($CE$5:CE1407)+1,""),"")</f>
        <v/>
      </c>
      <c r="CF1408" s="80" t="str">
        <f>IF(AND(D1408="proMX",BD1408=1),IF(OR(BF1408="Draft",BF1408="Submitted",BF1408="Returned",BF1408="Recall Requested"),MAX($CF$5:CF1407)+1,""),"")</f>
        <v/>
      </c>
      <c r="CG1408" s="80">
        <f>IF(BD1408=0,0,IF(D1408="Malcolm",1,MATCH(BF1408,{"Draft","Submitted","Approved","Returned","Recall Requested","Cancelled"},0)+1))</f>
        <v>0</v>
      </c>
      <c r="CH1408" s="80">
        <f>IF(AND(BF1408="Submitted",ISNUMBER(V1408)),IF(V1408&gt;CFG_MAXD,1,0),0)</f>
        <v>0</v>
      </c>
    </row>
    <row r="1409">
      <c r="A1409" s="71" t="str">
        <f>IF(Y1409=1,ROW()-5,"")</f>
        <v/>
      </c>
      <c r="B1409" s="72" t="n"/>
      <c r="C1409" s="71" t="str">
        <f>IF(ISNUMBER(B1409),CHOOSE(WEEKDAY(B1409,2),"Lun","Mar","Mié","Jue","Vie","Sáb","Dom"),"")</f>
        <v/>
      </c>
      <c r="D1409" s="73" t="n"/>
      <c r="E1409" s="74" t="n"/>
      <c r="F1409" s="74" t="n"/>
      <c r="G1409" s="74" t="n"/>
      <c r="H1409" s="75" t="n"/>
      <c r="I1409" s="75" t="n"/>
      <c r="J1409" s="76" t="n"/>
      <c r="K1409" s="77" t="str">
        <f>IF(AB1409=1,ROUND(AG1409/60,4),"")</f>
        <v/>
      </c>
      <c r="L1409" s="77" t="str">
        <f>IF(BD1409=1,ROUND(AP1409/60,4),"")</f>
        <v/>
      </c>
      <c r="M1409" s="77" t="str">
        <f>IF(BD1409=1,ROUND(AQ1409/60,4),"")</f>
        <v/>
      </c>
      <c r="N1409" s="71" t="str">
        <f>IF(AND(D1409="proMX",AB1409=1),ROUND(AG1409/CFG_BLK,2),"")</f>
        <v/>
      </c>
      <c r="O1409" s="77" t="str">
        <f>IF(D1409="proMX",IF(BD1409=1,ROUND(AG1409/60,4),0),"")</f>
        <v/>
      </c>
      <c r="P1409" s="78" t="str">
        <f>IF(Y1409=0,"",IF(BD1409=1,"OK",IF(D1409="proMX","Revisar bloques: ","Revisar: ")&amp;BC1409))</f>
        <v/>
      </c>
      <c r="Q1409" s="78" t="str">
        <f>IF(NOT(ISNUMBER(B1409)),"",IF(COUNTIFS(FER_F,INT(B1409))&gt;0,"Feriado"&amp;IF(AH1409=1," (laborable)"," (no laborable)"),IF(AH1409=1,"Laborable",IF(WEEKDAY(B1409,2)&gt;5,"Fin de semana","No laborable"))))</f>
        <v/>
      </c>
      <c r="R1409" s="73" t="n"/>
      <c r="S1409" s="72" t="n"/>
      <c r="T1409" s="72" t="n"/>
      <c r="U1409" s="74" t="n"/>
      <c r="V1409" s="79" t="str">
        <f>IF(AND(D1409="proMX",OR(R1409="Submitted",R1409="Recall Requested"),ISNUMBER(S1409)),CFG_TODAY-INT(S1409),"")</f>
        <v/>
      </c>
      <c r="W1409" s="78" t="str">
        <f>IF(BD1409=0,"",IF(BA1409&gt;0,"⚠ Se superpone con un registro de la otra empresa",IF(D1409="Malcolm",IF(COUNTA(R1409,S1409,T1409)&gt;0,"Estado/fechas proMX se ignoran en Malcolm",""),IF(BF1409="Cancelled","Cancelado: excluido de totales",IF(R1409="","Sin estado: se trata como Draft",IF(BF1409="Submitted",IF(ISNUMBER(V1409),IF(V1409&gt;CFG_MAXD,"⚠ "&amp;V1409&amp;" días en Submitted (máx. "&amp;CFG_MAXD&amp;")",""),"Falta fecha de envío"),IF(BF1409="Returned","⚠ Devuelto: corregir y reenviar",IF(BF1409="Recall Requested","Retirada solicitada: pendiente",IF(AND(BF1409="Approved",NOT(ISNUMBER(T1409))),"Falta fecha de aprobación",IF(AND(ISNUMBER(S1409),ISNUMBER(T1409),T1409&lt;S1409),"Aprobación anterior al envío","")))))))))</f>
        <v/>
      </c>
      <c r="Y1409" s="80">
        <f>IF(COUNTA(B1409,D1409,E1409,F1409,G1409,H1409,I1409,J1409,R1409,S1409,T1409)&gt;0,1,0)</f>
        <v>0</v>
      </c>
      <c r="Z1409" s="80" t="str">
        <f>IF(AND(ISNUMBER(H1409),H1409&gt;=0,H1409&lt;1),ROUND(H1409*1440,0),"")</f>
        <v/>
      </c>
      <c r="AA1409" s="80" t="str">
        <f>IF(AND(ISNUMBER(I1409),I1409&gt;=0,I1409&lt;1),ROUND(I1409*1440,0),"")</f>
        <v/>
      </c>
      <c r="AB1409" s="80">
        <f>IF(AND(ISNUMBER(B1409),D1409&lt;&gt;"",ISNUMBER(Z1409),ISNUMBER(AA1409)),IF(Z1409=AA1409,0,1),0)</f>
        <v>0</v>
      </c>
      <c r="AC1409" s="80">
        <f>IF(AB1409=1,IF(AA1409&lt;Z1409,1,0),0)</f>
        <v>0</v>
      </c>
      <c r="AD1409" s="80">
        <f>IF(AB1409=1,IF(AC1409=1,1440-Z1409+AA1409,AA1409-Z1409),0)</f>
        <v>0</v>
      </c>
      <c r="AE1409" s="80">
        <f>IF(J1409="",0,IF(ISNUMBER(J1409),J1409,-1))</f>
        <v>0</v>
      </c>
      <c r="AF1409" s="80">
        <f>MIN(MAX(0,AE1409),AD1409)</f>
        <v>0</v>
      </c>
      <c r="AG1409" s="80">
        <f>MAX(0,AD1409-MAX(0,AE1409))</f>
        <v>0</v>
      </c>
      <c r="AH1409" s="80">
        <f>IF(ISNUMBER(B1409),IF(AND(INDEX(CFG_WDAYS,WEEKDAY(INT(B1409),2))="Sí",IF(D1409="proMX",COUNTIFS(FER_F,INT(B1409),FER_NLP,"Sí"),COUNTIFS(FER_F,INT(B1409),FER_NLM,"Sí"))=0),1,0),0)</f>
        <v>0</v>
      </c>
      <c r="AI1409" s="80">
        <f>IF(AC1409=1,IF(AND(INDEX(CFG_WDAYS,WEEKDAY(INT(B1409)+1,2))="Sí",IF(D1409="proMX",COUNTIFS(FER_F,INT(B1409)+1,FER_NLP,"Sí"),COUNTIFS(FER_F,INT(B1409)+1,FER_NLM,"Sí"))=0),1,0),0)</f>
        <v>0</v>
      </c>
      <c r="AJ1409" s="80">
        <f>IF(AC1409=1,1440-Z1409,AD1409)</f>
        <v>0</v>
      </c>
      <c r="AK1409" s="80">
        <f>IF(AND(AB1409=1,AH1409=1),MAX(0,MIN(IF(AC1409=1,1440,AA1409),CFG_WEM)-MAX(Z1409,CFG_WSM)),0)</f>
        <v>0</v>
      </c>
      <c r="AL1409" s="80">
        <f>IF(AND(AC1409=1,AI1409=1),MAX(0,MIN(AA1409,CFG_WEM)-CFG_WSM),0)</f>
        <v>0</v>
      </c>
      <c r="AM1409" s="80">
        <f>AK1409+AL1409</f>
        <v>0</v>
      </c>
      <c r="AN1409" s="80">
        <f>IF(CFG_BRK="Proporcional",IF(AD1409=0,0,AF1409*AM1409/AD1409),IF(CFG_BRK="Extras primero",MIN(AM1409,MAX(0,AF1409-(AD1409-AM1409))),MIN(AF1409,AM1409)))</f>
        <v>0</v>
      </c>
      <c r="AO1409" s="80">
        <f>AF1409-AN1409</f>
        <v>0</v>
      </c>
      <c r="AP1409" s="80">
        <f>AM1409-AN1409</f>
        <v>0</v>
      </c>
      <c r="AQ1409" s="80">
        <f>AD1409-AM1409-AO1409</f>
        <v>0</v>
      </c>
      <c r="AR1409" s="80">
        <f>IF(AM1409=0,0,AK1409-AN1409*AK1409/AM1409)</f>
        <v>0</v>
      </c>
      <c r="AS1409" s="80">
        <f>IF(AD1409-AM1409=0,0,(AJ1409-AK1409)-AO1409*(AJ1409-AK1409)/(AD1409-AM1409))</f>
        <v>0</v>
      </c>
      <c r="AT1409" s="80" t="str">
        <f>IF(AC1409=1,INT(B1409)+1,"")</f>
        <v/>
      </c>
      <c r="AU1409" s="80">
        <f>IF(AND(D1409="proMX",R1409="Cancelled"),0,1)</f>
        <v>1</v>
      </c>
      <c r="AV1409" s="80">
        <f>IF(AND(AB1409=1,AU1409=1),IF(COUNTIFS($D$5:D1408,D1409,$B$5:B1408,B1409,$Z$5:Z1408,Z1409,$AA$5:AA1408,AA1409,$F$5:F1408,F1409&amp;"",$AU$5:AU1408,1)&gt;0,1,0),0)</f>
        <v>0</v>
      </c>
      <c r="AW1409" s="80" t="str">
        <f>IF(AB1409=1,INT(B1409)*1440+Z1409,"")</f>
        <v/>
      </c>
      <c r="AX1409" s="80" t="str">
        <f>IF(AB1409=1,AW1409+AD1409,"")</f>
        <v/>
      </c>
      <c r="AY1409" s="80">
        <f>IF(AND(AB1409=1,AV1409=0,AU1409=1),1,0)</f>
        <v>0</v>
      </c>
      <c r="AZ1409" s="80">
        <f>IF(AY1409=1,COUNTIFS(R_Emp,D1409,R_SAbs,"&lt;"&amp;AX1409,R_EAbs,"&gt;"&amp;AW1409,R_OKey,1)-1,0)</f>
        <v>0</v>
      </c>
      <c r="BA1409" s="80">
        <f>IF(AY1409=1,COUNTIFS(R_Emp,"&lt;&gt;"&amp;D1409,R_SAbs,"&lt;"&amp;AX1409,R_EAbs,"&gt;"&amp;AW1409,R_OKey,1),0)</f>
        <v>0</v>
      </c>
      <c r="BB1409" s="80">
        <f>IF(AND(AB1409=1,D1409="proMX"),IF(AND(MOD(Z1409,CFG_BLK)=0,MOD(AA1409,CFG_BLK)=0,MOD(AG1409,CFG_BLK)=0,AG1409&gt;0),1,0),1)</f>
        <v>1</v>
      </c>
      <c r="BC1409" s="80" t="str">
        <f>IF(Y1409=0,"",IF(NOT(ISNUMBER(B1409)),"Falta fecha o fecha inválida",IF(D1409="","Falta empresa",IF(AND(D1409&lt;&gt;"Malcolm",D1409&lt;&gt;"proMX"),"Empresa inválida",IF(OR(INT(B1409)&lt;CFG_PSTART,INT(B1409)&gt;CFG_PEND),"Fecha fuera del período",IF(OR(NOT(ISNUMBER(Z1409)),NOT(ISNUMBER(AA1409))),"Falta hora inicio/fin o formato inválido",IF(AB1409=0,"Hora inicio = hora fin",IF(AE1409&lt;0,"Descanso inválido",IF(AE1409&gt;=AD1409,"Descanso ≥ duración",IF(AV1409=1,"Registro duplicado",IF(AZ1409&gt;0,"Se superpone con otro registro "&amp;D1409,IF(BB1409=0,"inicio, fin y duración neta deben ser múltiplos de "&amp;CFG_BLK&amp;" min",""))))))))))))</f>
        <v/>
      </c>
      <c r="BD1409" s="80">
        <f>IF(AND(Y1409=1,BC1409=""),1,0)</f>
        <v>0</v>
      </c>
      <c r="BE1409" s="80">
        <f>IF(AND(BD1409=1,AU1409=1),1,0)</f>
        <v>0</v>
      </c>
      <c r="BF1409" s="80" t="str">
        <f>IF(AND(D1409="proMX",BD1409=1),IF(R1409="","Draft",R1409),"")</f>
        <v/>
      </c>
      <c r="BG1409" s="80">
        <f>IF(BD1409=1,ROUND(AG1409/60,6),0)</f>
        <v>0</v>
      </c>
      <c r="BH1409" s="80">
        <f>IF(BE1409=1,ROUND(AG1409/60,6),0)</f>
        <v>0</v>
      </c>
      <c r="BI1409" s="80">
        <f>IF(BE1409=1,ROUND(AP1409/60,6),0)</f>
        <v>0</v>
      </c>
      <c r="BJ1409" s="80">
        <f>IF(BE1409=1,ROUND(AQ1409/60,6),0)</f>
        <v>0</v>
      </c>
      <c r="BK1409" s="80">
        <f>IF(BE1409=1,ROUND((AR1409+AS1409)/60,6),0)</f>
        <v>0</v>
      </c>
      <c r="BL1409" s="80">
        <f>ROUND(BH1409-BK1409,6)</f>
        <v>0</v>
      </c>
      <c r="BM1409" s="80">
        <f>IF(BE1409=1,ROUND(AR1409/60,6),0)</f>
        <v>0</v>
      </c>
      <c r="BN1409" s="80">
        <f>ROUND(BI1409-BM1409,6)</f>
        <v>0</v>
      </c>
      <c r="BO1409" s="80">
        <f>IF(BE1409=1,ROUND(AS1409/60,6),0)</f>
        <v>0</v>
      </c>
      <c r="BP1409" s="80">
        <f>ROUND(BJ1409-BO1409,6)</f>
        <v>0</v>
      </c>
      <c r="BQ1409" s="80">
        <f>IF(BE1409=1,AW1409,0)</f>
        <v>0</v>
      </c>
      <c r="BR1409" s="80">
        <f>IF(BE1409=1,AX1409,0)</f>
        <v>0</v>
      </c>
      <c r="BS1409" s="80">
        <f>IF(AND(BE1409=1,D1409="Malcolm",BA1409&gt;0),MIN(BH1409,SUMPRODUCT((R_Emp="proMX")*(R_EN&gt;0)*((R_EN-(R_EN&gt;BR1409)*(R_EN-BR1409))&gt;(R_SN+(R_SN&lt;BQ1409)*(BQ1409-R_SN)))*((R_EN-(R_EN&gt;BR1409)*(R_EN-BR1409))-(R_SN+(R_SN&lt;BQ1409)*(BQ1409-R_SN))))/60),0)</f>
        <v>0</v>
      </c>
      <c r="BT1409" s="80">
        <f>IF(AND(BE1409=1,D1409="proMX"),ROUND(BI1409*CFG_RATE+BJ1409*CFG_OTRATE,6),0)</f>
        <v>0</v>
      </c>
      <c r="BU1409" s="80">
        <f>IF(AND(BD1409=1,D1409="proMX"),ROUND(AG1409/CFG_BLK,6),0)</f>
        <v>0</v>
      </c>
      <c r="BV1409" s="80" t="str">
        <f>IF(BF1409="Approved",IF(ISNUMBER(T1409),INT(T1409),INT(B1409)),"")</f>
        <v/>
      </c>
      <c r="BW1409" s="80">
        <f>IF(ISNUMBER(B1409),IF(DB_MON="Todos",1,IF(AND(INT(B1409)&gt;=DB_MS,INT(B1409)&lt;=DB_ME),1,0)),0)</f>
        <v>0</v>
      </c>
      <c r="BX1409" s="80">
        <f>IF(DB_PROJ="Todos",1,IF(E1409&amp;""=DB_PROJ&amp;"",1,0))</f>
        <v>1</v>
      </c>
      <c r="BY1409" s="80">
        <f>BW1409*BX1409</f>
        <v>0</v>
      </c>
      <c r="BZ1409" s="80" t="str">
        <f>IF(Y1409=1,F1409&amp;IF(AND(F1409&amp;""&lt;&gt;"",E1409&amp;""&lt;&gt;"")," · ","")&amp;E1409,"")</f>
        <v/>
      </c>
      <c r="CA1409" s="80" t="str">
        <f>IF(AND(BD1409=1,E1409&amp;""&lt;&gt;""),IF(COUNTIFS($E$5:E1408,E1409,$BD$5:BD1408,1)=0,MAX($CA$5:CA1408)+1,""),"")</f>
        <v/>
      </c>
      <c r="CB1409" s="80" t="str">
        <f>IF(AND(BE1409=1,D1409="Malcolm",E1409&amp;""&lt;&gt;""),IF(COUNTIFS($D$5:D1408,"Malcolm",$E$5:E1408,E1409,$BE$5:BE1408,1)=0,MAX($CB$5:CB1408)+1,""),"")</f>
        <v/>
      </c>
      <c r="CC1409" s="80" t="str">
        <f>IF(AND(BD1409=1,D1409="proMX",E1409&amp;""&lt;&gt;""),IF(COUNTIFS($D$5:D1408,"proMX",$E$5:E1408,E1409,$BD$5:BD1408,1)=0,MAX($CC$5:CC1408)+1,""),"")</f>
        <v/>
      </c>
      <c r="CD1409" s="80" t="str">
        <f>IF(AND(BE1409=1,D1409="Malcolm",F1409&amp;""&lt;&gt;""),IF(COUNTIFS($D$5:D1408,"Malcolm",$F$5:F1408,F1409,$BE$5:BE1408,1)=0,MAX($CD$5:CD1408)+1,""),"")</f>
        <v/>
      </c>
      <c r="CE1409" s="80" t="str">
        <f>IF(AND(BD1409=1,D1409="proMX",F1409&amp;""&lt;&gt;""),IF(COUNTIFS($D$5:D1408,"proMX",$F$5:F1408,F1409,$BD$5:BD1408,1)=0,MAX($CE$5:CE1408)+1,""),"")</f>
        <v/>
      </c>
      <c r="CF1409" s="80" t="str">
        <f>IF(AND(D1409="proMX",BD1409=1),IF(OR(BF1409="Draft",BF1409="Submitted",BF1409="Returned",BF1409="Recall Requested"),MAX($CF$5:CF1408)+1,""),"")</f>
        <v/>
      </c>
      <c r="CG1409" s="80">
        <f>IF(BD1409=0,0,IF(D1409="Malcolm",1,MATCH(BF1409,{"Draft","Submitted","Approved","Returned","Recall Requested","Cancelled"},0)+1))</f>
        <v>0</v>
      </c>
      <c r="CH1409" s="80">
        <f>IF(AND(BF1409="Submitted",ISNUMBER(V1409)),IF(V1409&gt;CFG_MAXD,1,0),0)</f>
        <v>0</v>
      </c>
    </row>
    <row r="1410">
      <c r="A1410" s="71" t="str">
        <f>IF(Y1410=1,ROW()-5,"")</f>
        <v/>
      </c>
      <c r="B1410" s="72" t="n"/>
      <c r="C1410" s="71" t="str">
        <f>IF(ISNUMBER(B1410),CHOOSE(WEEKDAY(B1410,2),"Lun","Mar","Mié","Jue","Vie","Sáb","Dom"),"")</f>
        <v/>
      </c>
      <c r="D1410" s="73" t="n"/>
      <c r="E1410" s="74" t="n"/>
      <c r="F1410" s="74" t="n"/>
      <c r="G1410" s="74" t="n"/>
      <c r="H1410" s="75" t="n"/>
      <c r="I1410" s="75" t="n"/>
      <c r="J1410" s="76" t="n"/>
      <c r="K1410" s="77" t="str">
        <f>IF(AB1410=1,ROUND(AG1410/60,4),"")</f>
        <v/>
      </c>
      <c r="L1410" s="77" t="str">
        <f>IF(BD1410=1,ROUND(AP1410/60,4),"")</f>
        <v/>
      </c>
      <c r="M1410" s="77" t="str">
        <f>IF(BD1410=1,ROUND(AQ1410/60,4),"")</f>
        <v/>
      </c>
      <c r="N1410" s="71" t="str">
        <f>IF(AND(D1410="proMX",AB1410=1),ROUND(AG1410/CFG_BLK,2),"")</f>
        <v/>
      </c>
      <c r="O1410" s="77" t="str">
        <f>IF(D1410="proMX",IF(BD1410=1,ROUND(AG1410/60,4),0),"")</f>
        <v/>
      </c>
      <c r="P1410" s="78" t="str">
        <f>IF(Y1410=0,"",IF(BD1410=1,"OK",IF(D1410="proMX","Revisar bloques: ","Revisar: ")&amp;BC1410))</f>
        <v/>
      </c>
      <c r="Q1410" s="78" t="str">
        <f>IF(NOT(ISNUMBER(B1410)),"",IF(COUNTIFS(FER_F,INT(B1410))&gt;0,"Feriado"&amp;IF(AH1410=1," (laborable)"," (no laborable)"),IF(AH1410=1,"Laborable",IF(WEEKDAY(B1410,2)&gt;5,"Fin de semana","No laborable"))))</f>
        <v/>
      </c>
      <c r="R1410" s="73" t="n"/>
      <c r="S1410" s="72" t="n"/>
      <c r="T1410" s="72" t="n"/>
      <c r="U1410" s="74" t="n"/>
      <c r="V1410" s="79" t="str">
        <f>IF(AND(D1410="proMX",OR(R1410="Submitted",R1410="Recall Requested"),ISNUMBER(S1410)),CFG_TODAY-INT(S1410),"")</f>
        <v/>
      </c>
      <c r="W1410" s="78" t="str">
        <f>IF(BD1410=0,"",IF(BA1410&gt;0,"⚠ Se superpone con un registro de la otra empresa",IF(D1410="Malcolm",IF(COUNTA(R1410,S1410,T1410)&gt;0,"Estado/fechas proMX se ignoran en Malcolm",""),IF(BF1410="Cancelled","Cancelado: excluido de totales",IF(R1410="","Sin estado: se trata como Draft",IF(BF1410="Submitted",IF(ISNUMBER(V1410),IF(V1410&gt;CFG_MAXD,"⚠ "&amp;V1410&amp;" días en Submitted (máx. "&amp;CFG_MAXD&amp;")",""),"Falta fecha de envío"),IF(BF1410="Returned","⚠ Devuelto: corregir y reenviar",IF(BF1410="Recall Requested","Retirada solicitada: pendiente",IF(AND(BF1410="Approved",NOT(ISNUMBER(T1410))),"Falta fecha de aprobación",IF(AND(ISNUMBER(S1410),ISNUMBER(T1410),T1410&lt;S1410),"Aprobación anterior al envío","")))))))))</f>
        <v/>
      </c>
      <c r="Y1410" s="80">
        <f>IF(COUNTA(B1410,D1410,E1410,F1410,G1410,H1410,I1410,J1410,R1410,S1410,T1410)&gt;0,1,0)</f>
        <v>0</v>
      </c>
      <c r="Z1410" s="80" t="str">
        <f>IF(AND(ISNUMBER(H1410),H1410&gt;=0,H1410&lt;1),ROUND(H1410*1440,0),"")</f>
        <v/>
      </c>
      <c r="AA1410" s="80" t="str">
        <f>IF(AND(ISNUMBER(I1410),I1410&gt;=0,I1410&lt;1),ROUND(I1410*1440,0),"")</f>
        <v/>
      </c>
      <c r="AB1410" s="80">
        <f>IF(AND(ISNUMBER(B1410),D1410&lt;&gt;"",ISNUMBER(Z1410),ISNUMBER(AA1410)),IF(Z1410=AA1410,0,1),0)</f>
        <v>0</v>
      </c>
      <c r="AC1410" s="80">
        <f>IF(AB1410=1,IF(AA1410&lt;Z1410,1,0),0)</f>
        <v>0</v>
      </c>
      <c r="AD1410" s="80">
        <f>IF(AB1410=1,IF(AC1410=1,1440-Z1410+AA1410,AA1410-Z1410),0)</f>
        <v>0</v>
      </c>
      <c r="AE1410" s="80">
        <f>IF(J1410="",0,IF(ISNUMBER(J1410),J1410,-1))</f>
        <v>0</v>
      </c>
      <c r="AF1410" s="80">
        <f>MIN(MAX(0,AE1410),AD1410)</f>
        <v>0</v>
      </c>
      <c r="AG1410" s="80">
        <f>MAX(0,AD1410-MAX(0,AE1410))</f>
        <v>0</v>
      </c>
      <c r="AH1410" s="80">
        <f>IF(ISNUMBER(B1410),IF(AND(INDEX(CFG_WDAYS,WEEKDAY(INT(B1410),2))="Sí",IF(D1410="proMX",COUNTIFS(FER_F,INT(B1410),FER_NLP,"Sí"),COUNTIFS(FER_F,INT(B1410),FER_NLM,"Sí"))=0),1,0),0)</f>
        <v>0</v>
      </c>
      <c r="AI1410" s="80">
        <f>IF(AC1410=1,IF(AND(INDEX(CFG_WDAYS,WEEKDAY(INT(B1410)+1,2))="Sí",IF(D1410="proMX",COUNTIFS(FER_F,INT(B1410)+1,FER_NLP,"Sí"),COUNTIFS(FER_F,INT(B1410)+1,FER_NLM,"Sí"))=0),1,0),0)</f>
        <v>0</v>
      </c>
      <c r="AJ1410" s="80">
        <f>IF(AC1410=1,1440-Z1410,AD1410)</f>
        <v>0</v>
      </c>
      <c r="AK1410" s="80">
        <f>IF(AND(AB1410=1,AH1410=1),MAX(0,MIN(IF(AC1410=1,1440,AA1410),CFG_WEM)-MAX(Z1410,CFG_WSM)),0)</f>
        <v>0</v>
      </c>
      <c r="AL1410" s="80">
        <f>IF(AND(AC1410=1,AI1410=1),MAX(0,MIN(AA1410,CFG_WEM)-CFG_WSM),0)</f>
        <v>0</v>
      </c>
      <c r="AM1410" s="80">
        <f>AK1410+AL1410</f>
        <v>0</v>
      </c>
      <c r="AN1410" s="80">
        <f>IF(CFG_BRK="Proporcional",IF(AD1410=0,0,AF1410*AM1410/AD1410),IF(CFG_BRK="Extras primero",MIN(AM1410,MAX(0,AF1410-(AD1410-AM1410))),MIN(AF1410,AM1410)))</f>
        <v>0</v>
      </c>
      <c r="AO1410" s="80">
        <f>AF1410-AN1410</f>
        <v>0</v>
      </c>
      <c r="AP1410" s="80">
        <f>AM1410-AN1410</f>
        <v>0</v>
      </c>
      <c r="AQ1410" s="80">
        <f>AD1410-AM1410-AO1410</f>
        <v>0</v>
      </c>
      <c r="AR1410" s="80">
        <f>IF(AM1410=0,0,AK1410-AN1410*AK1410/AM1410)</f>
        <v>0</v>
      </c>
      <c r="AS1410" s="80">
        <f>IF(AD1410-AM1410=0,0,(AJ1410-AK1410)-AO1410*(AJ1410-AK1410)/(AD1410-AM1410))</f>
        <v>0</v>
      </c>
      <c r="AT1410" s="80" t="str">
        <f>IF(AC1410=1,INT(B1410)+1,"")</f>
        <v/>
      </c>
      <c r="AU1410" s="80">
        <f>IF(AND(D1410="proMX",R1410="Cancelled"),0,1)</f>
        <v>1</v>
      </c>
      <c r="AV1410" s="80">
        <f>IF(AND(AB1410=1,AU1410=1),IF(COUNTIFS($D$5:D1409,D1410,$B$5:B1409,B1410,$Z$5:Z1409,Z1410,$AA$5:AA1409,AA1410,$F$5:F1409,F1410&amp;"",$AU$5:AU1409,1)&gt;0,1,0),0)</f>
        <v>0</v>
      </c>
      <c r="AW1410" s="80" t="str">
        <f>IF(AB1410=1,INT(B1410)*1440+Z1410,"")</f>
        <v/>
      </c>
      <c r="AX1410" s="80" t="str">
        <f>IF(AB1410=1,AW1410+AD1410,"")</f>
        <v/>
      </c>
      <c r="AY1410" s="80">
        <f>IF(AND(AB1410=1,AV1410=0,AU1410=1),1,0)</f>
        <v>0</v>
      </c>
      <c r="AZ1410" s="80">
        <f>IF(AY1410=1,COUNTIFS(R_Emp,D1410,R_SAbs,"&lt;"&amp;AX1410,R_EAbs,"&gt;"&amp;AW1410,R_OKey,1)-1,0)</f>
        <v>0</v>
      </c>
      <c r="BA1410" s="80">
        <f>IF(AY1410=1,COUNTIFS(R_Emp,"&lt;&gt;"&amp;D1410,R_SAbs,"&lt;"&amp;AX1410,R_EAbs,"&gt;"&amp;AW1410,R_OKey,1),0)</f>
        <v>0</v>
      </c>
      <c r="BB1410" s="80">
        <f>IF(AND(AB1410=1,D1410="proMX"),IF(AND(MOD(Z1410,CFG_BLK)=0,MOD(AA1410,CFG_BLK)=0,MOD(AG1410,CFG_BLK)=0,AG1410&gt;0),1,0),1)</f>
        <v>1</v>
      </c>
      <c r="BC1410" s="80" t="str">
        <f>IF(Y1410=0,"",IF(NOT(ISNUMBER(B1410)),"Falta fecha o fecha inválida",IF(D1410="","Falta empresa",IF(AND(D1410&lt;&gt;"Malcolm",D1410&lt;&gt;"proMX"),"Empresa inválida",IF(OR(INT(B1410)&lt;CFG_PSTART,INT(B1410)&gt;CFG_PEND),"Fecha fuera del período",IF(OR(NOT(ISNUMBER(Z1410)),NOT(ISNUMBER(AA1410))),"Falta hora inicio/fin o formato inválido",IF(AB1410=0,"Hora inicio = hora fin",IF(AE1410&lt;0,"Descanso inválido",IF(AE1410&gt;=AD1410,"Descanso ≥ duración",IF(AV1410=1,"Registro duplicado",IF(AZ1410&gt;0,"Se superpone con otro registro "&amp;D1410,IF(BB1410=0,"inicio, fin y duración neta deben ser múltiplos de "&amp;CFG_BLK&amp;" min",""))))))))))))</f>
        <v/>
      </c>
      <c r="BD1410" s="80">
        <f>IF(AND(Y1410=1,BC1410=""),1,0)</f>
        <v>0</v>
      </c>
      <c r="BE1410" s="80">
        <f>IF(AND(BD1410=1,AU1410=1),1,0)</f>
        <v>0</v>
      </c>
      <c r="BF1410" s="80" t="str">
        <f>IF(AND(D1410="proMX",BD1410=1),IF(R1410="","Draft",R1410),"")</f>
        <v/>
      </c>
      <c r="BG1410" s="80">
        <f>IF(BD1410=1,ROUND(AG1410/60,6),0)</f>
        <v>0</v>
      </c>
      <c r="BH1410" s="80">
        <f>IF(BE1410=1,ROUND(AG1410/60,6),0)</f>
        <v>0</v>
      </c>
      <c r="BI1410" s="80">
        <f>IF(BE1410=1,ROUND(AP1410/60,6),0)</f>
        <v>0</v>
      </c>
      <c r="BJ1410" s="80">
        <f>IF(BE1410=1,ROUND(AQ1410/60,6),0)</f>
        <v>0</v>
      </c>
      <c r="BK1410" s="80">
        <f>IF(BE1410=1,ROUND((AR1410+AS1410)/60,6),0)</f>
        <v>0</v>
      </c>
      <c r="BL1410" s="80">
        <f>ROUND(BH1410-BK1410,6)</f>
        <v>0</v>
      </c>
      <c r="BM1410" s="80">
        <f>IF(BE1410=1,ROUND(AR1410/60,6),0)</f>
        <v>0</v>
      </c>
      <c r="BN1410" s="80">
        <f>ROUND(BI1410-BM1410,6)</f>
        <v>0</v>
      </c>
      <c r="BO1410" s="80">
        <f>IF(BE1410=1,ROUND(AS1410/60,6),0)</f>
        <v>0</v>
      </c>
      <c r="BP1410" s="80">
        <f>ROUND(BJ1410-BO1410,6)</f>
        <v>0</v>
      </c>
      <c r="BQ1410" s="80">
        <f>IF(BE1410=1,AW1410,0)</f>
        <v>0</v>
      </c>
      <c r="BR1410" s="80">
        <f>IF(BE1410=1,AX1410,0)</f>
        <v>0</v>
      </c>
      <c r="BS1410" s="80">
        <f>IF(AND(BE1410=1,D1410="Malcolm",BA1410&gt;0),MIN(BH1410,SUMPRODUCT((R_Emp="proMX")*(R_EN&gt;0)*((R_EN-(R_EN&gt;BR1410)*(R_EN-BR1410))&gt;(R_SN+(R_SN&lt;BQ1410)*(BQ1410-R_SN)))*((R_EN-(R_EN&gt;BR1410)*(R_EN-BR1410))-(R_SN+(R_SN&lt;BQ1410)*(BQ1410-R_SN))))/60),0)</f>
        <v>0</v>
      </c>
      <c r="BT1410" s="80">
        <f>IF(AND(BE1410=1,D1410="proMX"),ROUND(BI1410*CFG_RATE+BJ1410*CFG_OTRATE,6),0)</f>
        <v>0</v>
      </c>
      <c r="BU1410" s="80">
        <f>IF(AND(BD1410=1,D1410="proMX"),ROUND(AG1410/CFG_BLK,6),0)</f>
        <v>0</v>
      </c>
      <c r="BV1410" s="80" t="str">
        <f>IF(BF1410="Approved",IF(ISNUMBER(T1410),INT(T1410),INT(B1410)),"")</f>
        <v/>
      </c>
      <c r="BW1410" s="80">
        <f>IF(ISNUMBER(B1410),IF(DB_MON="Todos",1,IF(AND(INT(B1410)&gt;=DB_MS,INT(B1410)&lt;=DB_ME),1,0)),0)</f>
        <v>0</v>
      </c>
      <c r="BX1410" s="80">
        <f>IF(DB_PROJ="Todos",1,IF(E1410&amp;""=DB_PROJ&amp;"",1,0))</f>
        <v>1</v>
      </c>
      <c r="BY1410" s="80">
        <f>BW1410*BX1410</f>
        <v>0</v>
      </c>
      <c r="BZ1410" s="80" t="str">
        <f>IF(Y1410=1,F1410&amp;IF(AND(F1410&amp;""&lt;&gt;"",E1410&amp;""&lt;&gt;"")," · ","")&amp;E1410,"")</f>
        <v/>
      </c>
      <c r="CA1410" s="80" t="str">
        <f>IF(AND(BD1410=1,E1410&amp;""&lt;&gt;""),IF(COUNTIFS($E$5:E1409,E1410,$BD$5:BD1409,1)=0,MAX($CA$5:CA1409)+1,""),"")</f>
        <v/>
      </c>
      <c r="CB1410" s="80" t="str">
        <f>IF(AND(BE1410=1,D1410="Malcolm",E1410&amp;""&lt;&gt;""),IF(COUNTIFS($D$5:D1409,"Malcolm",$E$5:E1409,E1410,$BE$5:BE1409,1)=0,MAX($CB$5:CB1409)+1,""),"")</f>
        <v/>
      </c>
      <c r="CC1410" s="80" t="str">
        <f>IF(AND(BD1410=1,D1410="proMX",E1410&amp;""&lt;&gt;""),IF(COUNTIFS($D$5:D1409,"proMX",$E$5:E1409,E1410,$BD$5:BD1409,1)=0,MAX($CC$5:CC1409)+1,""),"")</f>
        <v/>
      </c>
      <c r="CD1410" s="80" t="str">
        <f>IF(AND(BE1410=1,D1410="Malcolm",F1410&amp;""&lt;&gt;""),IF(COUNTIFS($D$5:D1409,"Malcolm",$F$5:F1409,F1410,$BE$5:BE1409,1)=0,MAX($CD$5:CD1409)+1,""),"")</f>
        <v/>
      </c>
      <c r="CE1410" s="80" t="str">
        <f>IF(AND(BD1410=1,D1410="proMX",F1410&amp;""&lt;&gt;""),IF(COUNTIFS($D$5:D1409,"proMX",$F$5:F1409,F1410,$BD$5:BD1409,1)=0,MAX($CE$5:CE1409)+1,""),"")</f>
        <v/>
      </c>
      <c r="CF1410" s="80" t="str">
        <f>IF(AND(D1410="proMX",BD1410=1),IF(OR(BF1410="Draft",BF1410="Submitted",BF1410="Returned",BF1410="Recall Requested"),MAX($CF$5:CF1409)+1,""),"")</f>
        <v/>
      </c>
      <c r="CG1410" s="80">
        <f>IF(BD1410=0,0,IF(D1410="Malcolm",1,MATCH(BF1410,{"Draft","Submitted","Approved","Returned","Recall Requested","Cancelled"},0)+1))</f>
        <v>0</v>
      </c>
      <c r="CH1410" s="80">
        <f>IF(AND(BF1410="Submitted",ISNUMBER(V1410)),IF(V1410&gt;CFG_MAXD,1,0),0)</f>
        <v>0</v>
      </c>
    </row>
    <row r="1411">
      <c r="A1411" s="71" t="str">
        <f>IF(Y1411=1,ROW()-5,"")</f>
        <v/>
      </c>
      <c r="B1411" s="72" t="n"/>
      <c r="C1411" s="71" t="str">
        <f>IF(ISNUMBER(B1411),CHOOSE(WEEKDAY(B1411,2),"Lun","Mar","Mié","Jue","Vie","Sáb","Dom"),"")</f>
        <v/>
      </c>
      <c r="D1411" s="73" t="n"/>
      <c r="E1411" s="74" t="n"/>
      <c r="F1411" s="74" t="n"/>
      <c r="G1411" s="74" t="n"/>
      <c r="H1411" s="75" t="n"/>
      <c r="I1411" s="75" t="n"/>
      <c r="J1411" s="76" t="n"/>
      <c r="K1411" s="77" t="str">
        <f>IF(AB1411=1,ROUND(AG1411/60,4),"")</f>
        <v/>
      </c>
      <c r="L1411" s="77" t="str">
        <f>IF(BD1411=1,ROUND(AP1411/60,4),"")</f>
        <v/>
      </c>
      <c r="M1411" s="77" t="str">
        <f>IF(BD1411=1,ROUND(AQ1411/60,4),"")</f>
        <v/>
      </c>
      <c r="N1411" s="71" t="str">
        <f>IF(AND(D1411="proMX",AB1411=1),ROUND(AG1411/CFG_BLK,2),"")</f>
        <v/>
      </c>
      <c r="O1411" s="77" t="str">
        <f>IF(D1411="proMX",IF(BD1411=1,ROUND(AG1411/60,4),0),"")</f>
        <v/>
      </c>
      <c r="P1411" s="78" t="str">
        <f>IF(Y1411=0,"",IF(BD1411=1,"OK",IF(D1411="proMX","Revisar bloques: ","Revisar: ")&amp;BC1411))</f>
        <v/>
      </c>
      <c r="Q1411" s="78" t="str">
        <f>IF(NOT(ISNUMBER(B1411)),"",IF(COUNTIFS(FER_F,INT(B1411))&gt;0,"Feriado"&amp;IF(AH1411=1," (laborable)"," (no laborable)"),IF(AH1411=1,"Laborable",IF(WEEKDAY(B1411,2)&gt;5,"Fin de semana","No laborable"))))</f>
        <v/>
      </c>
      <c r="R1411" s="73" t="n"/>
      <c r="S1411" s="72" t="n"/>
      <c r="T1411" s="72" t="n"/>
      <c r="U1411" s="74" t="n"/>
      <c r="V1411" s="79" t="str">
        <f>IF(AND(D1411="proMX",OR(R1411="Submitted",R1411="Recall Requested"),ISNUMBER(S1411)),CFG_TODAY-INT(S1411),"")</f>
        <v/>
      </c>
      <c r="W1411" s="78" t="str">
        <f>IF(BD1411=0,"",IF(BA1411&gt;0,"⚠ Se superpone con un registro de la otra empresa",IF(D1411="Malcolm",IF(COUNTA(R1411,S1411,T1411)&gt;0,"Estado/fechas proMX se ignoran en Malcolm",""),IF(BF1411="Cancelled","Cancelado: excluido de totales",IF(R1411="","Sin estado: se trata como Draft",IF(BF1411="Submitted",IF(ISNUMBER(V1411),IF(V1411&gt;CFG_MAXD,"⚠ "&amp;V1411&amp;" días en Submitted (máx. "&amp;CFG_MAXD&amp;")",""),"Falta fecha de envío"),IF(BF1411="Returned","⚠ Devuelto: corregir y reenviar",IF(BF1411="Recall Requested","Retirada solicitada: pendiente",IF(AND(BF1411="Approved",NOT(ISNUMBER(T1411))),"Falta fecha de aprobación",IF(AND(ISNUMBER(S1411),ISNUMBER(T1411),T1411&lt;S1411),"Aprobación anterior al envío","")))))))))</f>
        <v/>
      </c>
      <c r="Y1411" s="80">
        <f>IF(COUNTA(B1411,D1411,E1411,F1411,G1411,H1411,I1411,J1411,R1411,S1411,T1411)&gt;0,1,0)</f>
        <v>0</v>
      </c>
      <c r="Z1411" s="80" t="str">
        <f>IF(AND(ISNUMBER(H1411),H1411&gt;=0,H1411&lt;1),ROUND(H1411*1440,0),"")</f>
        <v/>
      </c>
      <c r="AA1411" s="80" t="str">
        <f>IF(AND(ISNUMBER(I1411),I1411&gt;=0,I1411&lt;1),ROUND(I1411*1440,0),"")</f>
        <v/>
      </c>
      <c r="AB1411" s="80">
        <f>IF(AND(ISNUMBER(B1411),D1411&lt;&gt;"",ISNUMBER(Z1411),ISNUMBER(AA1411)),IF(Z1411=AA1411,0,1),0)</f>
        <v>0</v>
      </c>
      <c r="AC1411" s="80">
        <f>IF(AB1411=1,IF(AA1411&lt;Z1411,1,0),0)</f>
        <v>0</v>
      </c>
      <c r="AD1411" s="80">
        <f>IF(AB1411=1,IF(AC1411=1,1440-Z1411+AA1411,AA1411-Z1411),0)</f>
        <v>0</v>
      </c>
      <c r="AE1411" s="80">
        <f>IF(J1411="",0,IF(ISNUMBER(J1411),J1411,-1))</f>
        <v>0</v>
      </c>
      <c r="AF1411" s="80">
        <f>MIN(MAX(0,AE1411),AD1411)</f>
        <v>0</v>
      </c>
      <c r="AG1411" s="80">
        <f>MAX(0,AD1411-MAX(0,AE1411))</f>
        <v>0</v>
      </c>
      <c r="AH1411" s="80">
        <f>IF(ISNUMBER(B1411),IF(AND(INDEX(CFG_WDAYS,WEEKDAY(INT(B1411),2))="Sí",IF(D1411="proMX",COUNTIFS(FER_F,INT(B1411),FER_NLP,"Sí"),COUNTIFS(FER_F,INT(B1411),FER_NLM,"Sí"))=0),1,0),0)</f>
        <v>0</v>
      </c>
      <c r="AI1411" s="80">
        <f>IF(AC1411=1,IF(AND(INDEX(CFG_WDAYS,WEEKDAY(INT(B1411)+1,2))="Sí",IF(D1411="proMX",COUNTIFS(FER_F,INT(B1411)+1,FER_NLP,"Sí"),COUNTIFS(FER_F,INT(B1411)+1,FER_NLM,"Sí"))=0),1,0),0)</f>
        <v>0</v>
      </c>
      <c r="AJ1411" s="80">
        <f>IF(AC1411=1,1440-Z1411,AD1411)</f>
        <v>0</v>
      </c>
      <c r="AK1411" s="80">
        <f>IF(AND(AB1411=1,AH1411=1),MAX(0,MIN(IF(AC1411=1,1440,AA1411),CFG_WEM)-MAX(Z1411,CFG_WSM)),0)</f>
        <v>0</v>
      </c>
      <c r="AL1411" s="80">
        <f>IF(AND(AC1411=1,AI1411=1),MAX(0,MIN(AA1411,CFG_WEM)-CFG_WSM),0)</f>
        <v>0</v>
      </c>
      <c r="AM1411" s="80">
        <f>AK1411+AL1411</f>
        <v>0</v>
      </c>
      <c r="AN1411" s="80">
        <f>IF(CFG_BRK="Proporcional",IF(AD1411=0,0,AF1411*AM1411/AD1411),IF(CFG_BRK="Extras primero",MIN(AM1411,MAX(0,AF1411-(AD1411-AM1411))),MIN(AF1411,AM1411)))</f>
        <v>0</v>
      </c>
      <c r="AO1411" s="80">
        <f>AF1411-AN1411</f>
        <v>0</v>
      </c>
      <c r="AP1411" s="80">
        <f>AM1411-AN1411</f>
        <v>0</v>
      </c>
      <c r="AQ1411" s="80">
        <f>AD1411-AM1411-AO1411</f>
        <v>0</v>
      </c>
      <c r="AR1411" s="80">
        <f>IF(AM1411=0,0,AK1411-AN1411*AK1411/AM1411)</f>
        <v>0</v>
      </c>
      <c r="AS1411" s="80">
        <f>IF(AD1411-AM1411=0,0,(AJ1411-AK1411)-AO1411*(AJ1411-AK1411)/(AD1411-AM1411))</f>
        <v>0</v>
      </c>
      <c r="AT1411" s="80" t="str">
        <f>IF(AC1411=1,INT(B1411)+1,"")</f>
        <v/>
      </c>
      <c r="AU1411" s="80">
        <f>IF(AND(D1411="proMX",R1411="Cancelled"),0,1)</f>
        <v>1</v>
      </c>
      <c r="AV1411" s="80">
        <f>IF(AND(AB1411=1,AU1411=1),IF(COUNTIFS($D$5:D1410,D1411,$B$5:B1410,B1411,$Z$5:Z1410,Z1411,$AA$5:AA1410,AA1411,$F$5:F1410,F1411&amp;"",$AU$5:AU1410,1)&gt;0,1,0),0)</f>
        <v>0</v>
      </c>
      <c r="AW1411" s="80" t="str">
        <f>IF(AB1411=1,INT(B1411)*1440+Z1411,"")</f>
        <v/>
      </c>
      <c r="AX1411" s="80" t="str">
        <f>IF(AB1411=1,AW1411+AD1411,"")</f>
        <v/>
      </c>
      <c r="AY1411" s="80">
        <f>IF(AND(AB1411=1,AV1411=0,AU1411=1),1,0)</f>
        <v>0</v>
      </c>
      <c r="AZ1411" s="80">
        <f>IF(AY1411=1,COUNTIFS(R_Emp,D1411,R_SAbs,"&lt;"&amp;AX1411,R_EAbs,"&gt;"&amp;AW1411,R_OKey,1)-1,0)</f>
        <v>0</v>
      </c>
      <c r="BA1411" s="80">
        <f>IF(AY1411=1,COUNTIFS(R_Emp,"&lt;&gt;"&amp;D1411,R_SAbs,"&lt;"&amp;AX1411,R_EAbs,"&gt;"&amp;AW1411,R_OKey,1),0)</f>
        <v>0</v>
      </c>
      <c r="BB1411" s="80">
        <f>IF(AND(AB1411=1,D1411="proMX"),IF(AND(MOD(Z1411,CFG_BLK)=0,MOD(AA1411,CFG_BLK)=0,MOD(AG1411,CFG_BLK)=0,AG1411&gt;0),1,0),1)</f>
        <v>1</v>
      </c>
      <c r="BC1411" s="80" t="str">
        <f>IF(Y1411=0,"",IF(NOT(ISNUMBER(B1411)),"Falta fecha o fecha inválida",IF(D1411="","Falta empresa",IF(AND(D1411&lt;&gt;"Malcolm",D1411&lt;&gt;"proMX"),"Empresa inválida",IF(OR(INT(B1411)&lt;CFG_PSTART,INT(B1411)&gt;CFG_PEND),"Fecha fuera del período",IF(OR(NOT(ISNUMBER(Z1411)),NOT(ISNUMBER(AA1411))),"Falta hora inicio/fin o formato inválido",IF(AB1411=0,"Hora inicio = hora fin",IF(AE1411&lt;0,"Descanso inválido",IF(AE1411&gt;=AD1411,"Descanso ≥ duración",IF(AV1411=1,"Registro duplicado",IF(AZ1411&gt;0,"Se superpone con otro registro "&amp;D1411,IF(BB1411=0,"inicio, fin y duración neta deben ser múltiplos de "&amp;CFG_BLK&amp;" min",""))))))))))))</f>
        <v/>
      </c>
      <c r="BD1411" s="80">
        <f>IF(AND(Y1411=1,BC1411=""),1,0)</f>
        <v>0</v>
      </c>
      <c r="BE1411" s="80">
        <f>IF(AND(BD1411=1,AU1411=1),1,0)</f>
        <v>0</v>
      </c>
      <c r="BF1411" s="80" t="str">
        <f>IF(AND(D1411="proMX",BD1411=1),IF(R1411="","Draft",R1411),"")</f>
        <v/>
      </c>
      <c r="BG1411" s="80">
        <f>IF(BD1411=1,ROUND(AG1411/60,6),0)</f>
        <v>0</v>
      </c>
      <c r="BH1411" s="80">
        <f>IF(BE1411=1,ROUND(AG1411/60,6),0)</f>
        <v>0</v>
      </c>
      <c r="BI1411" s="80">
        <f>IF(BE1411=1,ROUND(AP1411/60,6),0)</f>
        <v>0</v>
      </c>
      <c r="BJ1411" s="80">
        <f>IF(BE1411=1,ROUND(AQ1411/60,6),0)</f>
        <v>0</v>
      </c>
      <c r="BK1411" s="80">
        <f>IF(BE1411=1,ROUND((AR1411+AS1411)/60,6),0)</f>
        <v>0</v>
      </c>
      <c r="BL1411" s="80">
        <f>ROUND(BH1411-BK1411,6)</f>
        <v>0</v>
      </c>
      <c r="BM1411" s="80">
        <f>IF(BE1411=1,ROUND(AR1411/60,6),0)</f>
        <v>0</v>
      </c>
      <c r="BN1411" s="80">
        <f>ROUND(BI1411-BM1411,6)</f>
        <v>0</v>
      </c>
      <c r="BO1411" s="80">
        <f>IF(BE1411=1,ROUND(AS1411/60,6),0)</f>
        <v>0</v>
      </c>
      <c r="BP1411" s="80">
        <f>ROUND(BJ1411-BO1411,6)</f>
        <v>0</v>
      </c>
      <c r="BQ1411" s="80">
        <f>IF(BE1411=1,AW1411,0)</f>
        <v>0</v>
      </c>
      <c r="BR1411" s="80">
        <f>IF(BE1411=1,AX1411,0)</f>
        <v>0</v>
      </c>
      <c r="BS1411" s="80">
        <f>IF(AND(BE1411=1,D1411="Malcolm",BA1411&gt;0),MIN(BH1411,SUMPRODUCT((R_Emp="proMX")*(R_EN&gt;0)*((R_EN-(R_EN&gt;BR1411)*(R_EN-BR1411))&gt;(R_SN+(R_SN&lt;BQ1411)*(BQ1411-R_SN)))*((R_EN-(R_EN&gt;BR1411)*(R_EN-BR1411))-(R_SN+(R_SN&lt;BQ1411)*(BQ1411-R_SN))))/60),0)</f>
        <v>0</v>
      </c>
      <c r="BT1411" s="80">
        <f>IF(AND(BE1411=1,D1411="proMX"),ROUND(BI1411*CFG_RATE+BJ1411*CFG_OTRATE,6),0)</f>
        <v>0</v>
      </c>
      <c r="BU1411" s="80">
        <f>IF(AND(BD1411=1,D1411="proMX"),ROUND(AG1411/CFG_BLK,6),0)</f>
        <v>0</v>
      </c>
      <c r="BV1411" s="80" t="str">
        <f>IF(BF1411="Approved",IF(ISNUMBER(T1411),INT(T1411),INT(B1411)),"")</f>
        <v/>
      </c>
      <c r="BW1411" s="80">
        <f>IF(ISNUMBER(B1411),IF(DB_MON="Todos",1,IF(AND(INT(B1411)&gt;=DB_MS,INT(B1411)&lt;=DB_ME),1,0)),0)</f>
        <v>0</v>
      </c>
      <c r="BX1411" s="80">
        <f>IF(DB_PROJ="Todos",1,IF(E1411&amp;""=DB_PROJ&amp;"",1,0))</f>
        <v>1</v>
      </c>
      <c r="BY1411" s="80">
        <f>BW1411*BX1411</f>
        <v>0</v>
      </c>
      <c r="BZ1411" s="80" t="str">
        <f>IF(Y1411=1,F1411&amp;IF(AND(F1411&amp;""&lt;&gt;"",E1411&amp;""&lt;&gt;"")," · ","")&amp;E1411,"")</f>
        <v/>
      </c>
      <c r="CA1411" s="80" t="str">
        <f>IF(AND(BD1411=1,E1411&amp;""&lt;&gt;""),IF(COUNTIFS($E$5:E1410,E1411,$BD$5:BD1410,1)=0,MAX($CA$5:CA1410)+1,""),"")</f>
        <v/>
      </c>
      <c r="CB1411" s="80" t="str">
        <f>IF(AND(BE1411=1,D1411="Malcolm",E1411&amp;""&lt;&gt;""),IF(COUNTIFS($D$5:D1410,"Malcolm",$E$5:E1410,E1411,$BE$5:BE1410,1)=0,MAX($CB$5:CB1410)+1,""),"")</f>
        <v/>
      </c>
      <c r="CC1411" s="80" t="str">
        <f>IF(AND(BD1411=1,D1411="proMX",E1411&amp;""&lt;&gt;""),IF(COUNTIFS($D$5:D1410,"proMX",$E$5:E1410,E1411,$BD$5:BD1410,1)=0,MAX($CC$5:CC1410)+1,""),"")</f>
        <v/>
      </c>
      <c r="CD1411" s="80" t="str">
        <f>IF(AND(BE1411=1,D1411="Malcolm",F1411&amp;""&lt;&gt;""),IF(COUNTIFS($D$5:D1410,"Malcolm",$F$5:F1410,F1411,$BE$5:BE1410,1)=0,MAX($CD$5:CD1410)+1,""),"")</f>
        <v/>
      </c>
      <c r="CE1411" s="80" t="str">
        <f>IF(AND(BD1411=1,D1411="proMX",F1411&amp;""&lt;&gt;""),IF(COUNTIFS($D$5:D1410,"proMX",$F$5:F1410,F1411,$BD$5:BD1410,1)=0,MAX($CE$5:CE1410)+1,""),"")</f>
        <v/>
      </c>
      <c r="CF1411" s="80" t="str">
        <f>IF(AND(D1411="proMX",BD1411=1),IF(OR(BF1411="Draft",BF1411="Submitted",BF1411="Returned",BF1411="Recall Requested"),MAX($CF$5:CF1410)+1,""),"")</f>
        <v/>
      </c>
      <c r="CG1411" s="80">
        <f>IF(BD1411=0,0,IF(D1411="Malcolm",1,MATCH(BF1411,{"Draft","Submitted","Approved","Returned","Recall Requested","Cancelled"},0)+1))</f>
        <v>0</v>
      </c>
      <c r="CH1411" s="80">
        <f>IF(AND(BF1411="Submitted",ISNUMBER(V1411)),IF(V1411&gt;CFG_MAXD,1,0),0)</f>
        <v>0</v>
      </c>
    </row>
    <row r="1412">
      <c r="A1412" s="71" t="str">
        <f>IF(Y1412=1,ROW()-5,"")</f>
        <v/>
      </c>
      <c r="B1412" s="72" t="n"/>
      <c r="C1412" s="71" t="str">
        <f>IF(ISNUMBER(B1412),CHOOSE(WEEKDAY(B1412,2),"Lun","Mar","Mié","Jue","Vie","Sáb","Dom"),"")</f>
        <v/>
      </c>
      <c r="D1412" s="73" t="n"/>
      <c r="E1412" s="74" t="n"/>
      <c r="F1412" s="74" t="n"/>
      <c r="G1412" s="74" t="n"/>
      <c r="H1412" s="75" t="n"/>
      <c r="I1412" s="75" t="n"/>
      <c r="J1412" s="76" t="n"/>
      <c r="K1412" s="77" t="str">
        <f>IF(AB1412=1,ROUND(AG1412/60,4),"")</f>
        <v/>
      </c>
      <c r="L1412" s="77" t="str">
        <f>IF(BD1412=1,ROUND(AP1412/60,4),"")</f>
        <v/>
      </c>
      <c r="M1412" s="77" t="str">
        <f>IF(BD1412=1,ROUND(AQ1412/60,4),"")</f>
        <v/>
      </c>
      <c r="N1412" s="71" t="str">
        <f>IF(AND(D1412="proMX",AB1412=1),ROUND(AG1412/CFG_BLK,2),"")</f>
        <v/>
      </c>
      <c r="O1412" s="77" t="str">
        <f>IF(D1412="proMX",IF(BD1412=1,ROUND(AG1412/60,4),0),"")</f>
        <v/>
      </c>
      <c r="P1412" s="78" t="str">
        <f>IF(Y1412=0,"",IF(BD1412=1,"OK",IF(D1412="proMX","Revisar bloques: ","Revisar: ")&amp;BC1412))</f>
        <v/>
      </c>
      <c r="Q1412" s="78" t="str">
        <f>IF(NOT(ISNUMBER(B1412)),"",IF(COUNTIFS(FER_F,INT(B1412))&gt;0,"Feriado"&amp;IF(AH1412=1," (laborable)"," (no laborable)"),IF(AH1412=1,"Laborable",IF(WEEKDAY(B1412,2)&gt;5,"Fin de semana","No laborable"))))</f>
        <v/>
      </c>
      <c r="R1412" s="73" t="n"/>
      <c r="S1412" s="72" t="n"/>
      <c r="T1412" s="72" t="n"/>
      <c r="U1412" s="74" t="n"/>
      <c r="V1412" s="79" t="str">
        <f>IF(AND(D1412="proMX",OR(R1412="Submitted",R1412="Recall Requested"),ISNUMBER(S1412)),CFG_TODAY-INT(S1412),"")</f>
        <v/>
      </c>
      <c r="W1412" s="78" t="str">
        <f>IF(BD1412=0,"",IF(BA1412&gt;0,"⚠ Se superpone con un registro de la otra empresa",IF(D1412="Malcolm",IF(COUNTA(R1412,S1412,T1412)&gt;0,"Estado/fechas proMX se ignoran en Malcolm",""),IF(BF1412="Cancelled","Cancelado: excluido de totales",IF(R1412="","Sin estado: se trata como Draft",IF(BF1412="Submitted",IF(ISNUMBER(V1412),IF(V1412&gt;CFG_MAXD,"⚠ "&amp;V1412&amp;" días en Submitted (máx. "&amp;CFG_MAXD&amp;")",""),"Falta fecha de envío"),IF(BF1412="Returned","⚠ Devuelto: corregir y reenviar",IF(BF1412="Recall Requested","Retirada solicitada: pendiente",IF(AND(BF1412="Approved",NOT(ISNUMBER(T1412))),"Falta fecha de aprobación",IF(AND(ISNUMBER(S1412),ISNUMBER(T1412),T1412&lt;S1412),"Aprobación anterior al envío","")))))))))</f>
        <v/>
      </c>
      <c r="Y1412" s="80">
        <f>IF(COUNTA(B1412,D1412,E1412,F1412,G1412,H1412,I1412,J1412,R1412,S1412,T1412)&gt;0,1,0)</f>
        <v>0</v>
      </c>
      <c r="Z1412" s="80" t="str">
        <f>IF(AND(ISNUMBER(H1412),H1412&gt;=0,H1412&lt;1),ROUND(H1412*1440,0),"")</f>
        <v/>
      </c>
      <c r="AA1412" s="80" t="str">
        <f>IF(AND(ISNUMBER(I1412),I1412&gt;=0,I1412&lt;1),ROUND(I1412*1440,0),"")</f>
        <v/>
      </c>
      <c r="AB1412" s="80">
        <f>IF(AND(ISNUMBER(B1412),D1412&lt;&gt;"",ISNUMBER(Z1412),ISNUMBER(AA1412)),IF(Z1412=AA1412,0,1),0)</f>
        <v>0</v>
      </c>
      <c r="AC1412" s="80">
        <f>IF(AB1412=1,IF(AA1412&lt;Z1412,1,0),0)</f>
        <v>0</v>
      </c>
      <c r="AD1412" s="80">
        <f>IF(AB1412=1,IF(AC1412=1,1440-Z1412+AA1412,AA1412-Z1412),0)</f>
        <v>0</v>
      </c>
      <c r="AE1412" s="80">
        <f>IF(J1412="",0,IF(ISNUMBER(J1412),J1412,-1))</f>
        <v>0</v>
      </c>
      <c r="AF1412" s="80">
        <f>MIN(MAX(0,AE1412),AD1412)</f>
        <v>0</v>
      </c>
      <c r="AG1412" s="80">
        <f>MAX(0,AD1412-MAX(0,AE1412))</f>
        <v>0</v>
      </c>
      <c r="AH1412" s="80">
        <f>IF(ISNUMBER(B1412),IF(AND(INDEX(CFG_WDAYS,WEEKDAY(INT(B1412),2))="Sí",IF(D1412="proMX",COUNTIFS(FER_F,INT(B1412),FER_NLP,"Sí"),COUNTIFS(FER_F,INT(B1412),FER_NLM,"Sí"))=0),1,0),0)</f>
        <v>0</v>
      </c>
      <c r="AI1412" s="80">
        <f>IF(AC1412=1,IF(AND(INDEX(CFG_WDAYS,WEEKDAY(INT(B1412)+1,2))="Sí",IF(D1412="proMX",COUNTIFS(FER_F,INT(B1412)+1,FER_NLP,"Sí"),COUNTIFS(FER_F,INT(B1412)+1,FER_NLM,"Sí"))=0),1,0),0)</f>
        <v>0</v>
      </c>
      <c r="AJ1412" s="80">
        <f>IF(AC1412=1,1440-Z1412,AD1412)</f>
        <v>0</v>
      </c>
      <c r="AK1412" s="80">
        <f>IF(AND(AB1412=1,AH1412=1),MAX(0,MIN(IF(AC1412=1,1440,AA1412),CFG_WEM)-MAX(Z1412,CFG_WSM)),0)</f>
        <v>0</v>
      </c>
      <c r="AL1412" s="80">
        <f>IF(AND(AC1412=1,AI1412=1),MAX(0,MIN(AA1412,CFG_WEM)-CFG_WSM),0)</f>
        <v>0</v>
      </c>
      <c r="AM1412" s="80">
        <f>AK1412+AL1412</f>
        <v>0</v>
      </c>
      <c r="AN1412" s="80">
        <f>IF(CFG_BRK="Proporcional",IF(AD1412=0,0,AF1412*AM1412/AD1412),IF(CFG_BRK="Extras primero",MIN(AM1412,MAX(0,AF1412-(AD1412-AM1412))),MIN(AF1412,AM1412)))</f>
        <v>0</v>
      </c>
      <c r="AO1412" s="80">
        <f>AF1412-AN1412</f>
        <v>0</v>
      </c>
      <c r="AP1412" s="80">
        <f>AM1412-AN1412</f>
        <v>0</v>
      </c>
      <c r="AQ1412" s="80">
        <f>AD1412-AM1412-AO1412</f>
        <v>0</v>
      </c>
      <c r="AR1412" s="80">
        <f>IF(AM1412=0,0,AK1412-AN1412*AK1412/AM1412)</f>
        <v>0</v>
      </c>
      <c r="AS1412" s="80">
        <f>IF(AD1412-AM1412=0,0,(AJ1412-AK1412)-AO1412*(AJ1412-AK1412)/(AD1412-AM1412))</f>
        <v>0</v>
      </c>
      <c r="AT1412" s="80" t="str">
        <f>IF(AC1412=1,INT(B1412)+1,"")</f>
        <v/>
      </c>
      <c r="AU1412" s="80">
        <f>IF(AND(D1412="proMX",R1412="Cancelled"),0,1)</f>
        <v>1</v>
      </c>
      <c r="AV1412" s="80">
        <f>IF(AND(AB1412=1,AU1412=1),IF(COUNTIFS($D$5:D1411,D1412,$B$5:B1411,B1412,$Z$5:Z1411,Z1412,$AA$5:AA1411,AA1412,$F$5:F1411,F1412&amp;"",$AU$5:AU1411,1)&gt;0,1,0),0)</f>
        <v>0</v>
      </c>
      <c r="AW1412" s="80" t="str">
        <f>IF(AB1412=1,INT(B1412)*1440+Z1412,"")</f>
        <v/>
      </c>
      <c r="AX1412" s="80" t="str">
        <f>IF(AB1412=1,AW1412+AD1412,"")</f>
        <v/>
      </c>
      <c r="AY1412" s="80">
        <f>IF(AND(AB1412=1,AV1412=0,AU1412=1),1,0)</f>
        <v>0</v>
      </c>
      <c r="AZ1412" s="80">
        <f>IF(AY1412=1,COUNTIFS(R_Emp,D1412,R_SAbs,"&lt;"&amp;AX1412,R_EAbs,"&gt;"&amp;AW1412,R_OKey,1)-1,0)</f>
        <v>0</v>
      </c>
      <c r="BA1412" s="80">
        <f>IF(AY1412=1,COUNTIFS(R_Emp,"&lt;&gt;"&amp;D1412,R_SAbs,"&lt;"&amp;AX1412,R_EAbs,"&gt;"&amp;AW1412,R_OKey,1),0)</f>
        <v>0</v>
      </c>
      <c r="BB1412" s="80">
        <f>IF(AND(AB1412=1,D1412="proMX"),IF(AND(MOD(Z1412,CFG_BLK)=0,MOD(AA1412,CFG_BLK)=0,MOD(AG1412,CFG_BLK)=0,AG1412&gt;0),1,0),1)</f>
        <v>1</v>
      </c>
      <c r="BC1412" s="80" t="str">
        <f>IF(Y1412=0,"",IF(NOT(ISNUMBER(B1412)),"Falta fecha o fecha inválida",IF(D1412="","Falta empresa",IF(AND(D1412&lt;&gt;"Malcolm",D1412&lt;&gt;"proMX"),"Empresa inválida",IF(OR(INT(B1412)&lt;CFG_PSTART,INT(B1412)&gt;CFG_PEND),"Fecha fuera del período",IF(OR(NOT(ISNUMBER(Z1412)),NOT(ISNUMBER(AA1412))),"Falta hora inicio/fin o formato inválido",IF(AB1412=0,"Hora inicio = hora fin",IF(AE1412&lt;0,"Descanso inválido",IF(AE1412&gt;=AD1412,"Descanso ≥ duración",IF(AV1412=1,"Registro duplicado",IF(AZ1412&gt;0,"Se superpone con otro registro "&amp;D1412,IF(BB1412=0,"inicio, fin y duración neta deben ser múltiplos de "&amp;CFG_BLK&amp;" min",""))))))))))))</f>
        <v/>
      </c>
      <c r="BD1412" s="80">
        <f>IF(AND(Y1412=1,BC1412=""),1,0)</f>
        <v>0</v>
      </c>
      <c r="BE1412" s="80">
        <f>IF(AND(BD1412=1,AU1412=1),1,0)</f>
        <v>0</v>
      </c>
      <c r="BF1412" s="80" t="str">
        <f>IF(AND(D1412="proMX",BD1412=1),IF(R1412="","Draft",R1412),"")</f>
        <v/>
      </c>
      <c r="BG1412" s="80">
        <f>IF(BD1412=1,ROUND(AG1412/60,6),0)</f>
        <v>0</v>
      </c>
      <c r="BH1412" s="80">
        <f>IF(BE1412=1,ROUND(AG1412/60,6),0)</f>
        <v>0</v>
      </c>
      <c r="BI1412" s="80">
        <f>IF(BE1412=1,ROUND(AP1412/60,6),0)</f>
        <v>0</v>
      </c>
      <c r="BJ1412" s="80">
        <f>IF(BE1412=1,ROUND(AQ1412/60,6),0)</f>
        <v>0</v>
      </c>
      <c r="BK1412" s="80">
        <f>IF(BE1412=1,ROUND((AR1412+AS1412)/60,6),0)</f>
        <v>0</v>
      </c>
      <c r="BL1412" s="80">
        <f>ROUND(BH1412-BK1412,6)</f>
        <v>0</v>
      </c>
      <c r="BM1412" s="80">
        <f>IF(BE1412=1,ROUND(AR1412/60,6),0)</f>
        <v>0</v>
      </c>
      <c r="BN1412" s="80">
        <f>ROUND(BI1412-BM1412,6)</f>
        <v>0</v>
      </c>
      <c r="BO1412" s="80">
        <f>IF(BE1412=1,ROUND(AS1412/60,6),0)</f>
        <v>0</v>
      </c>
      <c r="BP1412" s="80">
        <f>ROUND(BJ1412-BO1412,6)</f>
        <v>0</v>
      </c>
      <c r="BQ1412" s="80">
        <f>IF(BE1412=1,AW1412,0)</f>
        <v>0</v>
      </c>
      <c r="BR1412" s="80">
        <f>IF(BE1412=1,AX1412,0)</f>
        <v>0</v>
      </c>
      <c r="BS1412" s="80">
        <f>IF(AND(BE1412=1,D1412="Malcolm",BA1412&gt;0),MIN(BH1412,SUMPRODUCT((R_Emp="proMX")*(R_EN&gt;0)*((R_EN-(R_EN&gt;BR1412)*(R_EN-BR1412))&gt;(R_SN+(R_SN&lt;BQ1412)*(BQ1412-R_SN)))*((R_EN-(R_EN&gt;BR1412)*(R_EN-BR1412))-(R_SN+(R_SN&lt;BQ1412)*(BQ1412-R_SN))))/60),0)</f>
        <v>0</v>
      </c>
      <c r="BT1412" s="80">
        <f>IF(AND(BE1412=1,D1412="proMX"),ROUND(BI1412*CFG_RATE+BJ1412*CFG_OTRATE,6),0)</f>
        <v>0</v>
      </c>
      <c r="BU1412" s="80">
        <f>IF(AND(BD1412=1,D1412="proMX"),ROUND(AG1412/CFG_BLK,6),0)</f>
        <v>0</v>
      </c>
      <c r="BV1412" s="80" t="str">
        <f>IF(BF1412="Approved",IF(ISNUMBER(T1412),INT(T1412),INT(B1412)),"")</f>
        <v/>
      </c>
      <c r="BW1412" s="80">
        <f>IF(ISNUMBER(B1412),IF(DB_MON="Todos",1,IF(AND(INT(B1412)&gt;=DB_MS,INT(B1412)&lt;=DB_ME),1,0)),0)</f>
        <v>0</v>
      </c>
      <c r="BX1412" s="80">
        <f>IF(DB_PROJ="Todos",1,IF(E1412&amp;""=DB_PROJ&amp;"",1,0))</f>
        <v>1</v>
      </c>
      <c r="BY1412" s="80">
        <f>BW1412*BX1412</f>
        <v>0</v>
      </c>
      <c r="BZ1412" s="80" t="str">
        <f>IF(Y1412=1,F1412&amp;IF(AND(F1412&amp;""&lt;&gt;"",E1412&amp;""&lt;&gt;"")," · ","")&amp;E1412,"")</f>
        <v/>
      </c>
      <c r="CA1412" s="80" t="str">
        <f>IF(AND(BD1412=1,E1412&amp;""&lt;&gt;""),IF(COUNTIFS($E$5:E1411,E1412,$BD$5:BD1411,1)=0,MAX($CA$5:CA1411)+1,""),"")</f>
        <v/>
      </c>
      <c r="CB1412" s="80" t="str">
        <f>IF(AND(BE1412=1,D1412="Malcolm",E1412&amp;""&lt;&gt;""),IF(COUNTIFS($D$5:D1411,"Malcolm",$E$5:E1411,E1412,$BE$5:BE1411,1)=0,MAX($CB$5:CB1411)+1,""),"")</f>
        <v/>
      </c>
      <c r="CC1412" s="80" t="str">
        <f>IF(AND(BD1412=1,D1412="proMX",E1412&amp;""&lt;&gt;""),IF(COUNTIFS($D$5:D1411,"proMX",$E$5:E1411,E1412,$BD$5:BD1411,1)=0,MAX($CC$5:CC1411)+1,""),"")</f>
        <v/>
      </c>
      <c r="CD1412" s="80" t="str">
        <f>IF(AND(BE1412=1,D1412="Malcolm",F1412&amp;""&lt;&gt;""),IF(COUNTIFS($D$5:D1411,"Malcolm",$F$5:F1411,F1412,$BE$5:BE1411,1)=0,MAX($CD$5:CD1411)+1,""),"")</f>
        <v/>
      </c>
      <c r="CE1412" s="80" t="str">
        <f>IF(AND(BD1412=1,D1412="proMX",F1412&amp;""&lt;&gt;""),IF(COUNTIFS($D$5:D1411,"proMX",$F$5:F1411,F1412,$BD$5:BD1411,1)=0,MAX($CE$5:CE1411)+1,""),"")</f>
        <v/>
      </c>
      <c r="CF1412" s="80" t="str">
        <f>IF(AND(D1412="proMX",BD1412=1),IF(OR(BF1412="Draft",BF1412="Submitted",BF1412="Returned",BF1412="Recall Requested"),MAX($CF$5:CF1411)+1,""),"")</f>
        <v/>
      </c>
      <c r="CG1412" s="80">
        <f>IF(BD1412=0,0,IF(D1412="Malcolm",1,MATCH(BF1412,{"Draft","Submitted","Approved","Returned","Recall Requested","Cancelled"},0)+1))</f>
        <v>0</v>
      </c>
      <c r="CH1412" s="80">
        <f>IF(AND(BF1412="Submitted",ISNUMBER(V1412)),IF(V1412&gt;CFG_MAXD,1,0),0)</f>
        <v>0</v>
      </c>
    </row>
    <row r="1413">
      <c r="A1413" s="71" t="str">
        <f>IF(Y1413=1,ROW()-5,"")</f>
        <v/>
      </c>
      <c r="B1413" s="72" t="n"/>
      <c r="C1413" s="71" t="str">
        <f>IF(ISNUMBER(B1413),CHOOSE(WEEKDAY(B1413,2),"Lun","Mar","Mié","Jue","Vie","Sáb","Dom"),"")</f>
        <v/>
      </c>
      <c r="D1413" s="73" t="n"/>
      <c r="E1413" s="74" t="n"/>
      <c r="F1413" s="74" t="n"/>
      <c r="G1413" s="74" t="n"/>
      <c r="H1413" s="75" t="n"/>
      <c r="I1413" s="75" t="n"/>
      <c r="J1413" s="76" t="n"/>
      <c r="K1413" s="77" t="str">
        <f>IF(AB1413=1,ROUND(AG1413/60,4),"")</f>
        <v/>
      </c>
      <c r="L1413" s="77" t="str">
        <f>IF(BD1413=1,ROUND(AP1413/60,4),"")</f>
        <v/>
      </c>
      <c r="M1413" s="77" t="str">
        <f>IF(BD1413=1,ROUND(AQ1413/60,4),"")</f>
        <v/>
      </c>
      <c r="N1413" s="71" t="str">
        <f>IF(AND(D1413="proMX",AB1413=1),ROUND(AG1413/CFG_BLK,2),"")</f>
        <v/>
      </c>
      <c r="O1413" s="77" t="str">
        <f>IF(D1413="proMX",IF(BD1413=1,ROUND(AG1413/60,4),0),"")</f>
        <v/>
      </c>
      <c r="P1413" s="78" t="str">
        <f>IF(Y1413=0,"",IF(BD1413=1,"OK",IF(D1413="proMX","Revisar bloques: ","Revisar: ")&amp;BC1413))</f>
        <v/>
      </c>
      <c r="Q1413" s="78" t="str">
        <f>IF(NOT(ISNUMBER(B1413)),"",IF(COUNTIFS(FER_F,INT(B1413))&gt;0,"Feriado"&amp;IF(AH1413=1," (laborable)"," (no laborable)"),IF(AH1413=1,"Laborable",IF(WEEKDAY(B1413,2)&gt;5,"Fin de semana","No laborable"))))</f>
        <v/>
      </c>
      <c r="R1413" s="73" t="n"/>
      <c r="S1413" s="72" t="n"/>
      <c r="T1413" s="72" t="n"/>
      <c r="U1413" s="74" t="n"/>
      <c r="V1413" s="79" t="str">
        <f>IF(AND(D1413="proMX",OR(R1413="Submitted",R1413="Recall Requested"),ISNUMBER(S1413)),CFG_TODAY-INT(S1413),"")</f>
        <v/>
      </c>
      <c r="W1413" s="78" t="str">
        <f>IF(BD1413=0,"",IF(BA1413&gt;0,"⚠ Se superpone con un registro de la otra empresa",IF(D1413="Malcolm",IF(COUNTA(R1413,S1413,T1413)&gt;0,"Estado/fechas proMX se ignoran en Malcolm",""),IF(BF1413="Cancelled","Cancelado: excluido de totales",IF(R1413="","Sin estado: se trata como Draft",IF(BF1413="Submitted",IF(ISNUMBER(V1413),IF(V1413&gt;CFG_MAXD,"⚠ "&amp;V1413&amp;" días en Submitted (máx. "&amp;CFG_MAXD&amp;")",""),"Falta fecha de envío"),IF(BF1413="Returned","⚠ Devuelto: corregir y reenviar",IF(BF1413="Recall Requested","Retirada solicitada: pendiente",IF(AND(BF1413="Approved",NOT(ISNUMBER(T1413))),"Falta fecha de aprobación",IF(AND(ISNUMBER(S1413),ISNUMBER(T1413),T1413&lt;S1413),"Aprobación anterior al envío","")))))))))</f>
        <v/>
      </c>
      <c r="Y1413" s="80">
        <f>IF(COUNTA(B1413,D1413,E1413,F1413,G1413,H1413,I1413,J1413,R1413,S1413,T1413)&gt;0,1,0)</f>
        <v>0</v>
      </c>
      <c r="Z1413" s="80" t="str">
        <f>IF(AND(ISNUMBER(H1413),H1413&gt;=0,H1413&lt;1),ROUND(H1413*1440,0),"")</f>
        <v/>
      </c>
      <c r="AA1413" s="80" t="str">
        <f>IF(AND(ISNUMBER(I1413),I1413&gt;=0,I1413&lt;1),ROUND(I1413*1440,0),"")</f>
        <v/>
      </c>
      <c r="AB1413" s="80">
        <f>IF(AND(ISNUMBER(B1413),D1413&lt;&gt;"",ISNUMBER(Z1413),ISNUMBER(AA1413)),IF(Z1413=AA1413,0,1),0)</f>
        <v>0</v>
      </c>
      <c r="AC1413" s="80">
        <f>IF(AB1413=1,IF(AA1413&lt;Z1413,1,0),0)</f>
        <v>0</v>
      </c>
      <c r="AD1413" s="80">
        <f>IF(AB1413=1,IF(AC1413=1,1440-Z1413+AA1413,AA1413-Z1413),0)</f>
        <v>0</v>
      </c>
      <c r="AE1413" s="80">
        <f>IF(J1413="",0,IF(ISNUMBER(J1413),J1413,-1))</f>
        <v>0</v>
      </c>
      <c r="AF1413" s="80">
        <f>MIN(MAX(0,AE1413),AD1413)</f>
        <v>0</v>
      </c>
      <c r="AG1413" s="80">
        <f>MAX(0,AD1413-MAX(0,AE1413))</f>
        <v>0</v>
      </c>
      <c r="AH1413" s="80">
        <f>IF(ISNUMBER(B1413),IF(AND(INDEX(CFG_WDAYS,WEEKDAY(INT(B1413),2))="Sí",IF(D1413="proMX",COUNTIFS(FER_F,INT(B1413),FER_NLP,"Sí"),COUNTIFS(FER_F,INT(B1413),FER_NLM,"Sí"))=0),1,0),0)</f>
        <v>0</v>
      </c>
      <c r="AI1413" s="80">
        <f>IF(AC1413=1,IF(AND(INDEX(CFG_WDAYS,WEEKDAY(INT(B1413)+1,2))="Sí",IF(D1413="proMX",COUNTIFS(FER_F,INT(B1413)+1,FER_NLP,"Sí"),COUNTIFS(FER_F,INT(B1413)+1,FER_NLM,"Sí"))=0),1,0),0)</f>
        <v>0</v>
      </c>
      <c r="AJ1413" s="80">
        <f>IF(AC1413=1,1440-Z1413,AD1413)</f>
        <v>0</v>
      </c>
      <c r="AK1413" s="80">
        <f>IF(AND(AB1413=1,AH1413=1),MAX(0,MIN(IF(AC1413=1,1440,AA1413),CFG_WEM)-MAX(Z1413,CFG_WSM)),0)</f>
        <v>0</v>
      </c>
      <c r="AL1413" s="80">
        <f>IF(AND(AC1413=1,AI1413=1),MAX(0,MIN(AA1413,CFG_WEM)-CFG_WSM),0)</f>
        <v>0</v>
      </c>
      <c r="AM1413" s="80">
        <f>AK1413+AL1413</f>
        <v>0</v>
      </c>
      <c r="AN1413" s="80">
        <f>IF(CFG_BRK="Proporcional",IF(AD1413=0,0,AF1413*AM1413/AD1413),IF(CFG_BRK="Extras primero",MIN(AM1413,MAX(0,AF1413-(AD1413-AM1413))),MIN(AF1413,AM1413)))</f>
        <v>0</v>
      </c>
      <c r="AO1413" s="80">
        <f>AF1413-AN1413</f>
        <v>0</v>
      </c>
      <c r="AP1413" s="80">
        <f>AM1413-AN1413</f>
        <v>0</v>
      </c>
      <c r="AQ1413" s="80">
        <f>AD1413-AM1413-AO1413</f>
        <v>0</v>
      </c>
      <c r="AR1413" s="80">
        <f>IF(AM1413=0,0,AK1413-AN1413*AK1413/AM1413)</f>
        <v>0</v>
      </c>
      <c r="AS1413" s="80">
        <f>IF(AD1413-AM1413=0,0,(AJ1413-AK1413)-AO1413*(AJ1413-AK1413)/(AD1413-AM1413))</f>
        <v>0</v>
      </c>
      <c r="AT1413" s="80" t="str">
        <f>IF(AC1413=1,INT(B1413)+1,"")</f>
        <v/>
      </c>
      <c r="AU1413" s="80">
        <f>IF(AND(D1413="proMX",R1413="Cancelled"),0,1)</f>
        <v>1</v>
      </c>
      <c r="AV1413" s="80">
        <f>IF(AND(AB1413=1,AU1413=1),IF(COUNTIFS($D$5:D1412,D1413,$B$5:B1412,B1413,$Z$5:Z1412,Z1413,$AA$5:AA1412,AA1413,$F$5:F1412,F1413&amp;"",$AU$5:AU1412,1)&gt;0,1,0),0)</f>
        <v>0</v>
      </c>
      <c r="AW1413" s="80" t="str">
        <f>IF(AB1413=1,INT(B1413)*1440+Z1413,"")</f>
        <v/>
      </c>
      <c r="AX1413" s="80" t="str">
        <f>IF(AB1413=1,AW1413+AD1413,"")</f>
        <v/>
      </c>
      <c r="AY1413" s="80">
        <f>IF(AND(AB1413=1,AV1413=0,AU1413=1),1,0)</f>
        <v>0</v>
      </c>
      <c r="AZ1413" s="80">
        <f>IF(AY1413=1,COUNTIFS(R_Emp,D1413,R_SAbs,"&lt;"&amp;AX1413,R_EAbs,"&gt;"&amp;AW1413,R_OKey,1)-1,0)</f>
        <v>0</v>
      </c>
      <c r="BA1413" s="80">
        <f>IF(AY1413=1,COUNTIFS(R_Emp,"&lt;&gt;"&amp;D1413,R_SAbs,"&lt;"&amp;AX1413,R_EAbs,"&gt;"&amp;AW1413,R_OKey,1),0)</f>
        <v>0</v>
      </c>
      <c r="BB1413" s="80">
        <f>IF(AND(AB1413=1,D1413="proMX"),IF(AND(MOD(Z1413,CFG_BLK)=0,MOD(AA1413,CFG_BLK)=0,MOD(AG1413,CFG_BLK)=0,AG1413&gt;0),1,0),1)</f>
        <v>1</v>
      </c>
      <c r="BC1413" s="80" t="str">
        <f>IF(Y1413=0,"",IF(NOT(ISNUMBER(B1413)),"Falta fecha o fecha inválida",IF(D1413="","Falta empresa",IF(AND(D1413&lt;&gt;"Malcolm",D1413&lt;&gt;"proMX"),"Empresa inválida",IF(OR(INT(B1413)&lt;CFG_PSTART,INT(B1413)&gt;CFG_PEND),"Fecha fuera del período",IF(OR(NOT(ISNUMBER(Z1413)),NOT(ISNUMBER(AA1413))),"Falta hora inicio/fin o formato inválido",IF(AB1413=0,"Hora inicio = hora fin",IF(AE1413&lt;0,"Descanso inválido",IF(AE1413&gt;=AD1413,"Descanso ≥ duración",IF(AV1413=1,"Registro duplicado",IF(AZ1413&gt;0,"Se superpone con otro registro "&amp;D1413,IF(BB1413=0,"inicio, fin y duración neta deben ser múltiplos de "&amp;CFG_BLK&amp;" min",""))))))))))))</f>
        <v/>
      </c>
      <c r="BD1413" s="80">
        <f>IF(AND(Y1413=1,BC1413=""),1,0)</f>
        <v>0</v>
      </c>
      <c r="BE1413" s="80">
        <f>IF(AND(BD1413=1,AU1413=1),1,0)</f>
        <v>0</v>
      </c>
      <c r="BF1413" s="80" t="str">
        <f>IF(AND(D1413="proMX",BD1413=1),IF(R1413="","Draft",R1413),"")</f>
        <v/>
      </c>
      <c r="BG1413" s="80">
        <f>IF(BD1413=1,ROUND(AG1413/60,6),0)</f>
        <v>0</v>
      </c>
      <c r="BH1413" s="80">
        <f>IF(BE1413=1,ROUND(AG1413/60,6),0)</f>
        <v>0</v>
      </c>
      <c r="BI1413" s="80">
        <f>IF(BE1413=1,ROUND(AP1413/60,6),0)</f>
        <v>0</v>
      </c>
      <c r="BJ1413" s="80">
        <f>IF(BE1413=1,ROUND(AQ1413/60,6),0)</f>
        <v>0</v>
      </c>
      <c r="BK1413" s="80">
        <f>IF(BE1413=1,ROUND((AR1413+AS1413)/60,6),0)</f>
        <v>0</v>
      </c>
      <c r="BL1413" s="80">
        <f>ROUND(BH1413-BK1413,6)</f>
        <v>0</v>
      </c>
      <c r="BM1413" s="80">
        <f>IF(BE1413=1,ROUND(AR1413/60,6),0)</f>
        <v>0</v>
      </c>
      <c r="BN1413" s="80">
        <f>ROUND(BI1413-BM1413,6)</f>
        <v>0</v>
      </c>
      <c r="BO1413" s="80">
        <f>IF(BE1413=1,ROUND(AS1413/60,6),0)</f>
        <v>0</v>
      </c>
      <c r="BP1413" s="80">
        <f>ROUND(BJ1413-BO1413,6)</f>
        <v>0</v>
      </c>
      <c r="BQ1413" s="80">
        <f>IF(BE1413=1,AW1413,0)</f>
        <v>0</v>
      </c>
      <c r="BR1413" s="80">
        <f>IF(BE1413=1,AX1413,0)</f>
        <v>0</v>
      </c>
      <c r="BS1413" s="80">
        <f>IF(AND(BE1413=1,D1413="Malcolm",BA1413&gt;0),MIN(BH1413,SUMPRODUCT((R_Emp="proMX")*(R_EN&gt;0)*((R_EN-(R_EN&gt;BR1413)*(R_EN-BR1413))&gt;(R_SN+(R_SN&lt;BQ1413)*(BQ1413-R_SN)))*((R_EN-(R_EN&gt;BR1413)*(R_EN-BR1413))-(R_SN+(R_SN&lt;BQ1413)*(BQ1413-R_SN))))/60),0)</f>
        <v>0</v>
      </c>
      <c r="BT1413" s="80">
        <f>IF(AND(BE1413=1,D1413="proMX"),ROUND(BI1413*CFG_RATE+BJ1413*CFG_OTRATE,6),0)</f>
        <v>0</v>
      </c>
      <c r="BU1413" s="80">
        <f>IF(AND(BD1413=1,D1413="proMX"),ROUND(AG1413/CFG_BLK,6),0)</f>
        <v>0</v>
      </c>
      <c r="BV1413" s="80" t="str">
        <f>IF(BF1413="Approved",IF(ISNUMBER(T1413),INT(T1413),INT(B1413)),"")</f>
        <v/>
      </c>
      <c r="BW1413" s="80">
        <f>IF(ISNUMBER(B1413),IF(DB_MON="Todos",1,IF(AND(INT(B1413)&gt;=DB_MS,INT(B1413)&lt;=DB_ME),1,0)),0)</f>
        <v>0</v>
      </c>
      <c r="BX1413" s="80">
        <f>IF(DB_PROJ="Todos",1,IF(E1413&amp;""=DB_PROJ&amp;"",1,0))</f>
        <v>1</v>
      </c>
      <c r="BY1413" s="80">
        <f>BW1413*BX1413</f>
        <v>0</v>
      </c>
      <c r="BZ1413" s="80" t="str">
        <f>IF(Y1413=1,F1413&amp;IF(AND(F1413&amp;""&lt;&gt;"",E1413&amp;""&lt;&gt;"")," · ","")&amp;E1413,"")</f>
        <v/>
      </c>
      <c r="CA1413" s="80" t="str">
        <f>IF(AND(BD1413=1,E1413&amp;""&lt;&gt;""),IF(COUNTIFS($E$5:E1412,E1413,$BD$5:BD1412,1)=0,MAX($CA$5:CA1412)+1,""),"")</f>
        <v/>
      </c>
      <c r="CB1413" s="80" t="str">
        <f>IF(AND(BE1413=1,D1413="Malcolm",E1413&amp;""&lt;&gt;""),IF(COUNTIFS($D$5:D1412,"Malcolm",$E$5:E1412,E1413,$BE$5:BE1412,1)=0,MAX($CB$5:CB1412)+1,""),"")</f>
        <v/>
      </c>
      <c r="CC1413" s="80" t="str">
        <f>IF(AND(BD1413=1,D1413="proMX",E1413&amp;""&lt;&gt;""),IF(COUNTIFS($D$5:D1412,"proMX",$E$5:E1412,E1413,$BD$5:BD1412,1)=0,MAX($CC$5:CC1412)+1,""),"")</f>
        <v/>
      </c>
      <c r="CD1413" s="80" t="str">
        <f>IF(AND(BE1413=1,D1413="Malcolm",F1413&amp;""&lt;&gt;""),IF(COUNTIFS($D$5:D1412,"Malcolm",$F$5:F1412,F1413,$BE$5:BE1412,1)=0,MAX($CD$5:CD1412)+1,""),"")</f>
        <v/>
      </c>
      <c r="CE1413" s="80" t="str">
        <f>IF(AND(BD1413=1,D1413="proMX",F1413&amp;""&lt;&gt;""),IF(COUNTIFS($D$5:D1412,"proMX",$F$5:F1412,F1413,$BD$5:BD1412,1)=0,MAX($CE$5:CE1412)+1,""),"")</f>
        <v/>
      </c>
      <c r="CF1413" s="80" t="str">
        <f>IF(AND(D1413="proMX",BD1413=1),IF(OR(BF1413="Draft",BF1413="Submitted",BF1413="Returned",BF1413="Recall Requested"),MAX($CF$5:CF1412)+1,""),"")</f>
        <v/>
      </c>
      <c r="CG1413" s="80">
        <f>IF(BD1413=0,0,IF(D1413="Malcolm",1,MATCH(BF1413,{"Draft","Submitted","Approved","Returned","Recall Requested","Cancelled"},0)+1))</f>
        <v>0</v>
      </c>
      <c r="CH1413" s="80">
        <f>IF(AND(BF1413="Submitted",ISNUMBER(V1413)),IF(V1413&gt;CFG_MAXD,1,0),0)</f>
        <v>0</v>
      </c>
    </row>
    <row r="1414">
      <c r="A1414" s="71" t="str">
        <f>IF(Y1414=1,ROW()-5,"")</f>
        <v/>
      </c>
      <c r="B1414" s="72" t="n"/>
      <c r="C1414" s="71" t="str">
        <f>IF(ISNUMBER(B1414),CHOOSE(WEEKDAY(B1414,2),"Lun","Mar","Mié","Jue","Vie","Sáb","Dom"),"")</f>
        <v/>
      </c>
      <c r="D1414" s="73" t="n"/>
      <c r="E1414" s="74" t="n"/>
      <c r="F1414" s="74" t="n"/>
      <c r="G1414" s="74" t="n"/>
      <c r="H1414" s="75" t="n"/>
      <c r="I1414" s="75" t="n"/>
      <c r="J1414" s="76" t="n"/>
      <c r="K1414" s="77" t="str">
        <f>IF(AB1414=1,ROUND(AG1414/60,4),"")</f>
        <v/>
      </c>
      <c r="L1414" s="77" t="str">
        <f>IF(BD1414=1,ROUND(AP1414/60,4),"")</f>
        <v/>
      </c>
      <c r="M1414" s="77" t="str">
        <f>IF(BD1414=1,ROUND(AQ1414/60,4),"")</f>
        <v/>
      </c>
      <c r="N1414" s="71" t="str">
        <f>IF(AND(D1414="proMX",AB1414=1),ROUND(AG1414/CFG_BLK,2),"")</f>
        <v/>
      </c>
      <c r="O1414" s="77" t="str">
        <f>IF(D1414="proMX",IF(BD1414=1,ROUND(AG1414/60,4),0),"")</f>
        <v/>
      </c>
      <c r="P1414" s="78" t="str">
        <f>IF(Y1414=0,"",IF(BD1414=1,"OK",IF(D1414="proMX","Revisar bloques: ","Revisar: ")&amp;BC1414))</f>
        <v/>
      </c>
      <c r="Q1414" s="78" t="str">
        <f>IF(NOT(ISNUMBER(B1414)),"",IF(COUNTIFS(FER_F,INT(B1414))&gt;0,"Feriado"&amp;IF(AH1414=1," (laborable)"," (no laborable)"),IF(AH1414=1,"Laborable",IF(WEEKDAY(B1414,2)&gt;5,"Fin de semana","No laborable"))))</f>
        <v/>
      </c>
      <c r="R1414" s="73" t="n"/>
      <c r="S1414" s="72" t="n"/>
      <c r="T1414" s="72" t="n"/>
      <c r="U1414" s="74" t="n"/>
      <c r="V1414" s="79" t="str">
        <f>IF(AND(D1414="proMX",OR(R1414="Submitted",R1414="Recall Requested"),ISNUMBER(S1414)),CFG_TODAY-INT(S1414),"")</f>
        <v/>
      </c>
      <c r="W1414" s="78" t="str">
        <f>IF(BD1414=0,"",IF(BA1414&gt;0,"⚠ Se superpone con un registro de la otra empresa",IF(D1414="Malcolm",IF(COUNTA(R1414,S1414,T1414)&gt;0,"Estado/fechas proMX se ignoran en Malcolm",""),IF(BF1414="Cancelled","Cancelado: excluido de totales",IF(R1414="","Sin estado: se trata como Draft",IF(BF1414="Submitted",IF(ISNUMBER(V1414),IF(V1414&gt;CFG_MAXD,"⚠ "&amp;V1414&amp;" días en Submitted (máx. "&amp;CFG_MAXD&amp;")",""),"Falta fecha de envío"),IF(BF1414="Returned","⚠ Devuelto: corregir y reenviar",IF(BF1414="Recall Requested","Retirada solicitada: pendiente",IF(AND(BF1414="Approved",NOT(ISNUMBER(T1414))),"Falta fecha de aprobación",IF(AND(ISNUMBER(S1414),ISNUMBER(T1414),T1414&lt;S1414),"Aprobación anterior al envío","")))))))))</f>
        <v/>
      </c>
      <c r="Y1414" s="80">
        <f>IF(COUNTA(B1414,D1414,E1414,F1414,G1414,H1414,I1414,J1414,R1414,S1414,T1414)&gt;0,1,0)</f>
        <v>0</v>
      </c>
      <c r="Z1414" s="80" t="str">
        <f>IF(AND(ISNUMBER(H1414),H1414&gt;=0,H1414&lt;1),ROUND(H1414*1440,0),"")</f>
        <v/>
      </c>
      <c r="AA1414" s="80" t="str">
        <f>IF(AND(ISNUMBER(I1414),I1414&gt;=0,I1414&lt;1),ROUND(I1414*1440,0),"")</f>
        <v/>
      </c>
      <c r="AB1414" s="80">
        <f>IF(AND(ISNUMBER(B1414),D1414&lt;&gt;"",ISNUMBER(Z1414),ISNUMBER(AA1414)),IF(Z1414=AA1414,0,1),0)</f>
        <v>0</v>
      </c>
      <c r="AC1414" s="80">
        <f>IF(AB1414=1,IF(AA1414&lt;Z1414,1,0),0)</f>
        <v>0</v>
      </c>
      <c r="AD1414" s="80">
        <f>IF(AB1414=1,IF(AC1414=1,1440-Z1414+AA1414,AA1414-Z1414),0)</f>
        <v>0</v>
      </c>
      <c r="AE1414" s="80">
        <f>IF(J1414="",0,IF(ISNUMBER(J1414),J1414,-1))</f>
        <v>0</v>
      </c>
      <c r="AF1414" s="80">
        <f>MIN(MAX(0,AE1414),AD1414)</f>
        <v>0</v>
      </c>
      <c r="AG1414" s="80">
        <f>MAX(0,AD1414-MAX(0,AE1414))</f>
        <v>0</v>
      </c>
      <c r="AH1414" s="80">
        <f>IF(ISNUMBER(B1414),IF(AND(INDEX(CFG_WDAYS,WEEKDAY(INT(B1414),2))="Sí",IF(D1414="proMX",COUNTIFS(FER_F,INT(B1414),FER_NLP,"Sí"),COUNTIFS(FER_F,INT(B1414),FER_NLM,"Sí"))=0),1,0),0)</f>
        <v>0</v>
      </c>
      <c r="AI1414" s="80">
        <f>IF(AC1414=1,IF(AND(INDEX(CFG_WDAYS,WEEKDAY(INT(B1414)+1,2))="Sí",IF(D1414="proMX",COUNTIFS(FER_F,INT(B1414)+1,FER_NLP,"Sí"),COUNTIFS(FER_F,INT(B1414)+1,FER_NLM,"Sí"))=0),1,0),0)</f>
        <v>0</v>
      </c>
      <c r="AJ1414" s="80">
        <f>IF(AC1414=1,1440-Z1414,AD1414)</f>
        <v>0</v>
      </c>
      <c r="AK1414" s="80">
        <f>IF(AND(AB1414=1,AH1414=1),MAX(0,MIN(IF(AC1414=1,1440,AA1414),CFG_WEM)-MAX(Z1414,CFG_WSM)),0)</f>
        <v>0</v>
      </c>
      <c r="AL1414" s="80">
        <f>IF(AND(AC1414=1,AI1414=1),MAX(0,MIN(AA1414,CFG_WEM)-CFG_WSM),0)</f>
        <v>0</v>
      </c>
      <c r="AM1414" s="80">
        <f>AK1414+AL1414</f>
        <v>0</v>
      </c>
      <c r="AN1414" s="80">
        <f>IF(CFG_BRK="Proporcional",IF(AD1414=0,0,AF1414*AM1414/AD1414),IF(CFG_BRK="Extras primero",MIN(AM1414,MAX(0,AF1414-(AD1414-AM1414))),MIN(AF1414,AM1414)))</f>
        <v>0</v>
      </c>
      <c r="AO1414" s="80">
        <f>AF1414-AN1414</f>
        <v>0</v>
      </c>
      <c r="AP1414" s="80">
        <f>AM1414-AN1414</f>
        <v>0</v>
      </c>
      <c r="AQ1414" s="80">
        <f>AD1414-AM1414-AO1414</f>
        <v>0</v>
      </c>
      <c r="AR1414" s="80">
        <f>IF(AM1414=0,0,AK1414-AN1414*AK1414/AM1414)</f>
        <v>0</v>
      </c>
      <c r="AS1414" s="80">
        <f>IF(AD1414-AM1414=0,0,(AJ1414-AK1414)-AO1414*(AJ1414-AK1414)/(AD1414-AM1414))</f>
        <v>0</v>
      </c>
      <c r="AT1414" s="80" t="str">
        <f>IF(AC1414=1,INT(B1414)+1,"")</f>
        <v/>
      </c>
      <c r="AU1414" s="80">
        <f>IF(AND(D1414="proMX",R1414="Cancelled"),0,1)</f>
        <v>1</v>
      </c>
      <c r="AV1414" s="80">
        <f>IF(AND(AB1414=1,AU1414=1),IF(COUNTIFS($D$5:D1413,D1414,$B$5:B1413,B1414,$Z$5:Z1413,Z1414,$AA$5:AA1413,AA1414,$F$5:F1413,F1414&amp;"",$AU$5:AU1413,1)&gt;0,1,0),0)</f>
        <v>0</v>
      </c>
      <c r="AW1414" s="80" t="str">
        <f>IF(AB1414=1,INT(B1414)*1440+Z1414,"")</f>
        <v/>
      </c>
      <c r="AX1414" s="80" t="str">
        <f>IF(AB1414=1,AW1414+AD1414,"")</f>
        <v/>
      </c>
      <c r="AY1414" s="80">
        <f>IF(AND(AB1414=1,AV1414=0,AU1414=1),1,0)</f>
        <v>0</v>
      </c>
      <c r="AZ1414" s="80">
        <f>IF(AY1414=1,COUNTIFS(R_Emp,D1414,R_SAbs,"&lt;"&amp;AX1414,R_EAbs,"&gt;"&amp;AW1414,R_OKey,1)-1,0)</f>
        <v>0</v>
      </c>
      <c r="BA1414" s="80">
        <f>IF(AY1414=1,COUNTIFS(R_Emp,"&lt;&gt;"&amp;D1414,R_SAbs,"&lt;"&amp;AX1414,R_EAbs,"&gt;"&amp;AW1414,R_OKey,1),0)</f>
        <v>0</v>
      </c>
      <c r="BB1414" s="80">
        <f>IF(AND(AB1414=1,D1414="proMX"),IF(AND(MOD(Z1414,CFG_BLK)=0,MOD(AA1414,CFG_BLK)=0,MOD(AG1414,CFG_BLK)=0,AG1414&gt;0),1,0),1)</f>
        <v>1</v>
      </c>
      <c r="BC1414" s="80" t="str">
        <f>IF(Y1414=0,"",IF(NOT(ISNUMBER(B1414)),"Falta fecha o fecha inválida",IF(D1414="","Falta empresa",IF(AND(D1414&lt;&gt;"Malcolm",D1414&lt;&gt;"proMX"),"Empresa inválida",IF(OR(INT(B1414)&lt;CFG_PSTART,INT(B1414)&gt;CFG_PEND),"Fecha fuera del período",IF(OR(NOT(ISNUMBER(Z1414)),NOT(ISNUMBER(AA1414))),"Falta hora inicio/fin o formato inválido",IF(AB1414=0,"Hora inicio = hora fin",IF(AE1414&lt;0,"Descanso inválido",IF(AE1414&gt;=AD1414,"Descanso ≥ duración",IF(AV1414=1,"Registro duplicado",IF(AZ1414&gt;0,"Se superpone con otro registro "&amp;D1414,IF(BB1414=0,"inicio, fin y duración neta deben ser múltiplos de "&amp;CFG_BLK&amp;" min",""))))))))))))</f>
        <v/>
      </c>
      <c r="BD1414" s="80">
        <f>IF(AND(Y1414=1,BC1414=""),1,0)</f>
        <v>0</v>
      </c>
      <c r="BE1414" s="80">
        <f>IF(AND(BD1414=1,AU1414=1),1,0)</f>
        <v>0</v>
      </c>
      <c r="BF1414" s="80" t="str">
        <f>IF(AND(D1414="proMX",BD1414=1),IF(R1414="","Draft",R1414),"")</f>
        <v/>
      </c>
      <c r="BG1414" s="80">
        <f>IF(BD1414=1,ROUND(AG1414/60,6),0)</f>
        <v>0</v>
      </c>
      <c r="BH1414" s="80">
        <f>IF(BE1414=1,ROUND(AG1414/60,6),0)</f>
        <v>0</v>
      </c>
      <c r="BI1414" s="80">
        <f>IF(BE1414=1,ROUND(AP1414/60,6),0)</f>
        <v>0</v>
      </c>
      <c r="BJ1414" s="80">
        <f>IF(BE1414=1,ROUND(AQ1414/60,6),0)</f>
        <v>0</v>
      </c>
      <c r="BK1414" s="80">
        <f>IF(BE1414=1,ROUND((AR1414+AS1414)/60,6),0)</f>
        <v>0</v>
      </c>
      <c r="BL1414" s="80">
        <f>ROUND(BH1414-BK1414,6)</f>
        <v>0</v>
      </c>
      <c r="BM1414" s="80">
        <f>IF(BE1414=1,ROUND(AR1414/60,6),0)</f>
        <v>0</v>
      </c>
      <c r="BN1414" s="80">
        <f>ROUND(BI1414-BM1414,6)</f>
        <v>0</v>
      </c>
      <c r="BO1414" s="80">
        <f>IF(BE1414=1,ROUND(AS1414/60,6),0)</f>
        <v>0</v>
      </c>
      <c r="BP1414" s="80">
        <f>ROUND(BJ1414-BO1414,6)</f>
        <v>0</v>
      </c>
      <c r="BQ1414" s="80">
        <f>IF(BE1414=1,AW1414,0)</f>
        <v>0</v>
      </c>
      <c r="BR1414" s="80">
        <f>IF(BE1414=1,AX1414,0)</f>
        <v>0</v>
      </c>
      <c r="BS1414" s="80">
        <f>IF(AND(BE1414=1,D1414="Malcolm",BA1414&gt;0),MIN(BH1414,SUMPRODUCT((R_Emp="proMX")*(R_EN&gt;0)*((R_EN-(R_EN&gt;BR1414)*(R_EN-BR1414))&gt;(R_SN+(R_SN&lt;BQ1414)*(BQ1414-R_SN)))*((R_EN-(R_EN&gt;BR1414)*(R_EN-BR1414))-(R_SN+(R_SN&lt;BQ1414)*(BQ1414-R_SN))))/60),0)</f>
        <v>0</v>
      </c>
      <c r="BT1414" s="80">
        <f>IF(AND(BE1414=1,D1414="proMX"),ROUND(BI1414*CFG_RATE+BJ1414*CFG_OTRATE,6),0)</f>
        <v>0</v>
      </c>
      <c r="BU1414" s="80">
        <f>IF(AND(BD1414=1,D1414="proMX"),ROUND(AG1414/CFG_BLK,6),0)</f>
        <v>0</v>
      </c>
      <c r="BV1414" s="80" t="str">
        <f>IF(BF1414="Approved",IF(ISNUMBER(T1414),INT(T1414),INT(B1414)),"")</f>
        <v/>
      </c>
      <c r="BW1414" s="80">
        <f>IF(ISNUMBER(B1414),IF(DB_MON="Todos",1,IF(AND(INT(B1414)&gt;=DB_MS,INT(B1414)&lt;=DB_ME),1,0)),0)</f>
        <v>0</v>
      </c>
      <c r="BX1414" s="80">
        <f>IF(DB_PROJ="Todos",1,IF(E1414&amp;""=DB_PROJ&amp;"",1,0))</f>
        <v>1</v>
      </c>
      <c r="BY1414" s="80">
        <f>BW1414*BX1414</f>
        <v>0</v>
      </c>
      <c r="BZ1414" s="80" t="str">
        <f>IF(Y1414=1,F1414&amp;IF(AND(F1414&amp;""&lt;&gt;"",E1414&amp;""&lt;&gt;"")," · ","")&amp;E1414,"")</f>
        <v/>
      </c>
      <c r="CA1414" s="80" t="str">
        <f>IF(AND(BD1414=1,E1414&amp;""&lt;&gt;""),IF(COUNTIFS($E$5:E1413,E1414,$BD$5:BD1413,1)=0,MAX($CA$5:CA1413)+1,""),"")</f>
        <v/>
      </c>
      <c r="CB1414" s="80" t="str">
        <f>IF(AND(BE1414=1,D1414="Malcolm",E1414&amp;""&lt;&gt;""),IF(COUNTIFS($D$5:D1413,"Malcolm",$E$5:E1413,E1414,$BE$5:BE1413,1)=0,MAX($CB$5:CB1413)+1,""),"")</f>
        <v/>
      </c>
      <c r="CC1414" s="80" t="str">
        <f>IF(AND(BD1414=1,D1414="proMX",E1414&amp;""&lt;&gt;""),IF(COUNTIFS($D$5:D1413,"proMX",$E$5:E1413,E1414,$BD$5:BD1413,1)=0,MAX($CC$5:CC1413)+1,""),"")</f>
        <v/>
      </c>
      <c r="CD1414" s="80" t="str">
        <f>IF(AND(BE1414=1,D1414="Malcolm",F1414&amp;""&lt;&gt;""),IF(COUNTIFS($D$5:D1413,"Malcolm",$F$5:F1413,F1414,$BE$5:BE1413,1)=0,MAX($CD$5:CD1413)+1,""),"")</f>
        <v/>
      </c>
      <c r="CE1414" s="80" t="str">
        <f>IF(AND(BD1414=1,D1414="proMX",F1414&amp;""&lt;&gt;""),IF(COUNTIFS($D$5:D1413,"proMX",$F$5:F1413,F1414,$BD$5:BD1413,1)=0,MAX($CE$5:CE1413)+1,""),"")</f>
        <v/>
      </c>
      <c r="CF1414" s="80" t="str">
        <f>IF(AND(D1414="proMX",BD1414=1),IF(OR(BF1414="Draft",BF1414="Submitted",BF1414="Returned",BF1414="Recall Requested"),MAX($CF$5:CF1413)+1,""),"")</f>
        <v/>
      </c>
      <c r="CG1414" s="80">
        <f>IF(BD1414=0,0,IF(D1414="Malcolm",1,MATCH(BF1414,{"Draft","Submitted","Approved","Returned","Recall Requested","Cancelled"},0)+1))</f>
        <v>0</v>
      </c>
      <c r="CH1414" s="80">
        <f>IF(AND(BF1414="Submitted",ISNUMBER(V1414)),IF(V1414&gt;CFG_MAXD,1,0),0)</f>
        <v>0</v>
      </c>
    </row>
    <row r="1415">
      <c r="A1415" s="71" t="str">
        <f>IF(Y1415=1,ROW()-5,"")</f>
        <v/>
      </c>
      <c r="B1415" s="72" t="n"/>
      <c r="C1415" s="71" t="str">
        <f>IF(ISNUMBER(B1415),CHOOSE(WEEKDAY(B1415,2),"Lun","Mar","Mié","Jue","Vie","Sáb","Dom"),"")</f>
        <v/>
      </c>
      <c r="D1415" s="73" t="n"/>
      <c r="E1415" s="74" t="n"/>
      <c r="F1415" s="74" t="n"/>
      <c r="G1415" s="74" t="n"/>
      <c r="H1415" s="75" t="n"/>
      <c r="I1415" s="75" t="n"/>
      <c r="J1415" s="76" t="n"/>
      <c r="K1415" s="77" t="str">
        <f>IF(AB1415=1,ROUND(AG1415/60,4),"")</f>
        <v/>
      </c>
      <c r="L1415" s="77" t="str">
        <f>IF(BD1415=1,ROUND(AP1415/60,4),"")</f>
        <v/>
      </c>
      <c r="M1415" s="77" t="str">
        <f>IF(BD1415=1,ROUND(AQ1415/60,4),"")</f>
        <v/>
      </c>
      <c r="N1415" s="71" t="str">
        <f>IF(AND(D1415="proMX",AB1415=1),ROUND(AG1415/CFG_BLK,2),"")</f>
        <v/>
      </c>
      <c r="O1415" s="77" t="str">
        <f>IF(D1415="proMX",IF(BD1415=1,ROUND(AG1415/60,4),0),"")</f>
        <v/>
      </c>
      <c r="P1415" s="78" t="str">
        <f>IF(Y1415=0,"",IF(BD1415=1,"OK",IF(D1415="proMX","Revisar bloques: ","Revisar: ")&amp;BC1415))</f>
        <v/>
      </c>
      <c r="Q1415" s="78" t="str">
        <f>IF(NOT(ISNUMBER(B1415)),"",IF(COUNTIFS(FER_F,INT(B1415))&gt;0,"Feriado"&amp;IF(AH1415=1," (laborable)"," (no laborable)"),IF(AH1415=1,"Laborable",IF(WEEKDAY(B1415,2)&gt;5,"Fin de semana","No laborable"))))</f>
        <v/>
      </c>
      <c r="R1415" s="73" t="n"/>
      <c r="S1415" s="72" t="n"/>
      <c r="T1415" s="72" t="n"/>
      <c r="U1415" s="74" t="n"/>
      <c r="V1415" s="79" t="str">
        <f>IF(AND(D1415="proMX",OR(R1415="Submitted",R1415="Recall Requested"),ISNUMBER(S1415)),CFG_TODAY-INT(S1415),"")</f>
        <v/>
      </c>
      <c r="W1415" s="78" t="str">
        <f>IF(BD1415=0,"",IF(BA1415&gt;0,"⚠ Se superpone con un registro de la otra empresa",IF(D1415="Malcolm",IF(COUNTA(R1415,S1415,T1415)&gt;0,"Estado/fechas proMX se ignoran en Malcolm",""),IF(BF1415="Cancelled","Cancelado: excluido de totales",IF(R1415="","Sin estado: se trata como Draft",IF(BF1415="Submitted",IF(ISNUMBER(V1415),IF(V1415&gt;CFG_MAXD,"⚠ "&amp;V1415&amp;" días en Submitted (máx. "&amp;CFG_MAXD&amp;")",""),"Falta fecha de envío"),IF(BF1415="Returned","⚠ Devuelto: corregir y reenviar",IF(BF1415="Recall Requested","Retirada solicitada: pendiente",IF(AND(BF1415="Approved",NOT(ISNUMBER(T1415))),"Falta fecha de aprobación",IF(AND(ISNUMBER(S1415),ISNUMBER(T1415),T1415&lt;S1415),"Aprobación anterior al envío","")))))))))</f>
        <v/>
      </c>
      <c r="Y1415" s="80">
        <f>IF(COUNTA(B1415,D1415,E1415,F1415,G1415,H1415,I1415,J1415,R1415,S1415,T1415)&gt;0,1,0)</f>
        <v>0</v>
      </c>
      <c r="Z1415" s="80" t="str">
        <f>IF(AND(ISNUMBER(H1415),H1415&gt;=0,H1415&lt;1),ROUND(H1415*1440,0),"")</f>
        <v/>
      </c>
      <c r="AA1415" s="80" t="str">
        <f>IF(AND(ISNUMBER(I1415),I1415&gt;=0,I1415&lt;1),ROUND(I1415*1440,0),"")</f>
        <v/>
      </c>
      <c r="AB1415" s="80">
        <f>IF(AND(ISNUMBER(B1415),D1415&lt;&gt;"",ISNUMBER(Z1415),ISNUMBER(AA1415)),IF(Z1415=AA1415,0,1),0)</f>
        <v>0</v>
      </c>
      <c r="AC1415" s="80">
        <f>IF(AB1415=1,IF(AA1415&lt;Z1415,1,0),0)</f>
        <v>0</v>
      </c>
      <c r="AD1415" s="80">
        <f>IF(AB1415=1,IF(AC1415=1,1440-Z1415+AA1415,AA1415-Z1415),0)</f>
        <v>0</v>
      </c>
      <c r="AE1415" s="80">
        <f>IF(J1415="",0,IF(ISNUMBER(J1415),J1415,-1))</f>
        <v>0</v>
      </c>
      <c r="AF1415" s="80">
        <f>MIN(MAX(0,AE1415),AD1415)</f>
        <v>0</v>
      </c>
      <c r="AG1415" s="80">
        <f>MAX(0,AD1415-MAX(0,AE1415))</f>
        <v>0</v>
      </c>
      <c r="AH1415" s="80">
        <f>IF(ISNUMBER(B1415),IF(AND(INDEX(CFG_WDAYS,WEEKDAY(INT(B1415),2))="Sí",IF(D1415="proMX",COUNTIFS(FER_F,INT(B1415),FER_NLP,"Sí"),COUNTIFS(FER_F,INT(B1415),FER_NLM,"Sí"))=0),1,0),0)</f>
        <v>0</v>
      </c>
      <c r="AI1415" s="80">
        <f>IF(AC1415=1,IF(AND(INDEX(CFG_WDAYS,WEEKDAY(INT(B1415)+1,2))="Sí",IF(D1415="proMX",COUNTIFS(FER_F,INT(B1415)+1,FER_NLP,"Sí"),COUNTIFS(FER_F,INT(B1415)+1,FER_NLM,"Sí"))=0),1,0),0)</f>
        <v>0</v>
      </c>
      <c r="AJ1415" s="80">
        <f>IF(AC1415=1,1440-Z1415,AD1415)</f>
        <v>0</v>
      </c>
      <c r="AK1415" s="80">
        <f>IF(AND(AB1415=1,AH1415=1),MAX(0,MIN(IF(AC1415=1,1440,AA1415),CFG_WEM)-MAX(Z1415,CFG_WSM)),0)</f>
        <v>0</v>
      </c>
      <c r="AL1415" s="80">
        <f>IF(AND(AC1415=1,AI1415=1),MAX(0,MIN(AA1415,CFG_WEM)-CFG_WSM),0)</f>
        <v>0</v>
      </c>
      <c r="AM1415" s="80">
        <f>AK1415+AL1415</f>
        <v>0</v>
      </c>
      <c r="AN1415" s="80">
        <f>IF(CFG_BRK="Proporcional",IF(AD1415=0,0,AF1415*AM1415/AD1415),IF(CFG_BRK="Extras primero",MIN(AM1415,MAX(0,AF1415-(AD1415-AM1415))),MIN(AF1415,AM1415)))</f>
        <v>0</v>
      </c>
      <c r="AO1415" s="80">
        <f>AF1415-AN1415</f>
        <v>0</v>
      </c>
      <c r="AP1415" s="80">
        <f>AM1415-AN1415</f>
        <v>0</v>
      </c>
      <c r="AQ1415" s="80">
        <f>AD1415-AM1415-AO1415</f>
        <v>0</v>
      </c>
      <c r="AR1415" s="80">
        <f>IF(AM1415=0,0,AK1415-AN1415*AK1415/AM1415)</f>
        <v>0</v>
      </c>
      <c r="AS1415" s="80">
        <f>IF(AD1415-AM1415=0,0,(AJ1415-AK1415)-AO1415*(AJ1415-AK1415)/(AD1415-AM1415))</f>
        <v>0</v>
      </c>
      <c r="AT1415" s="80" t="str">
        <f>IF(AC1415=1,INT(B1415)+1,"")</f>
        <v/>
      </c>
      <c r="AU1415" s="80">
        <f>IF(AND(D1415="proMX",R1415="Cancelled"),0,1)</f>
        <v>1</v>
      </c>
      <c r="AV1415" s="80">
        <f>IF(AND(AB1415=1,AU1415=1),IF(COUNTIFS($D$5:D1414,D1415,$B$5:B1414,B1415,$Z$5:Z1414,Z1415,$AA$5:AA1414,AA1415,$F$5:F1414,F1415&amp;"",$AU$5:AU1414,1)&gt;0,1,0),0)</f>
        <v>0</v>
      </c>
      <c r="AW1415" s="80" t="str">
        <f>IF(AB1415=1,INT(B1415)*1440+Z1415,"")</f>
        <v/>
      </c>
      <c r="AX1415" s="80" t="str">
        <f>IF(AB1415=1,AW1415+AD1415,"")</f>
        <v/>
      </c>
      <c r="AY1415" s="80">
        <f>IF(AND(AB1415=1,AV1415=0,AU1415=1),1,0)</f>
        <v>0</v>
      </c>
      <c r="AZ1415" s="80">
        <f>IF(AY1415=1,COUNTIFS(R_Emp,D1415,R_SAbs,"&lt;"&amp;AX1415,R_EAbs,"&gt;"&amp;AW1415,R_OKey,1)-1,0)</f>
        <v>0</v>
      </c>
      <c r="BA1415" s="80">
        <f>IF(AY1415=1,COUNTIFS(R_Emp,"&lt;&gt;"&amp;D1415,R_SAbs,"&lt;"&amp;AX1415,R_EAbs,"&gt;"&amp;AW1415,R_OKey,1),0)</f>
        <v>0</v>
      </c>
      <c r="BB1415" s="80">
        <f>IF(AND(AB1415=1,D1415="proMX"),IF(AND(MOD(Z1415,CFG_BLK)=0,MOD(AA1415,CFG_BLK)=0,MOD(AG1415,CFG_BLK)=0,AG1415&gt;0),1,0),1)</f>
        <v>1</v>
      </c>
      <c r="BC1415" s="80" t="str">
        <f>IF(Y1415=0,"",IF(NOT(ISNUMBER(B1415)),"Falta fecha o fecha inválida",IF(D1415="","Falta empresa",IF(AND(D1415&lt;&gt;"Malcolm",D1415&lt;&gt;"proMX"),"Empresa inválida",IF(OR(INT(B1415)&lt;CFG_PSTART,INT(B1415)&gt;CFG_PEND),"Fecha fuera del período",IF(OR(NOT(ISNUMBER(Z1415)),NOT(ISNUMBER(AA1415))),"Falta hora inicio/fin o formato inválido",IF(AB1415=0,"Hora inicio = hora fin",IF(AE1415&lt;0,"Descanso inválido",IF(AE1415&gt;=AD1415,"Descanso ≥ duración",IF(AV1415=1,"Registro duplicado",IF(AZ1415&gt;0,"Se superpone con otro registro "&amp;D1415,IF(BB1415=0,"inicio, fin y duración neta deben ser múltiplos de "&amp;CFG_BLK&amp;" min",""))))))))))))</f>
        <v/>
      </c>
      <c r="BD1415" s="80">
        <f>IF(AND(Y1415=1,BC1415=""),1,0)</f>
        <v>0</v>
      </c>
      <c r="BE1415" s="80">
        <f>IF(AND(BD1415=1,AU1415=1),1,0)</f>
        <v>0</v>
      </c>
      <c r="BF1415" s="80" t="str">
        <f>IF(AND(D1415="proMX",BD1415=1),IF(R1415="","Draft",R1415),"")</f>
        <v/>
      </c>
      <c r="BG1415" s="80">
        <f>IF(BD1415=1,ROUND(AG1415/60,6),0)</f>
        <v>0</v>
      </c>
      <c r="BH1415" s="80">
        <f>IF(BE1415=1,ROUND(AG1415/60,6),0)</f>
        <v>0</v>
      </c>
      <c r="BI1415" s="80">
        <f>IF(BE1415=1,ROUND(AP1415/60,6),0)</f>
        <v>0</v>
      </c>
      <c r="BJ1415" s="80">
        <f>IF(BE1415=1,ROUND(AQ1415/60,6),0)</f>
        <v>0</v>
      </c>
      <c r="BK1415" s="80">
        <f>IF(BE1415=1,ROUND((AR1415+AS1415)/60,6),0)</f>
        <v>0</v>
      </c>
      <c r="BL1415" s="80">
        <f>ROUND(BH1415-BK1415,6)</f>
        <v>0</v>
      </c>
      <c r="BM1415" s="80">
        <f>IF(BE1415=1,ROUND(AR1415/60,6),0)</f>
        <v>0</v>
      </c>
      <c r="BN1415" s="80">
        <f>ROUND(BI1415-BM1415,6)</f>
        <v>0</v>
      </c>
      <c r="BO1415" s="80">
        <f>IF(BE1415=1,ROUND(AS1415/60,6),0)</f>
        <v>0</v>
      </c>
      <c r="BP1415" s="80">
        <f>ROUND(BJ1415-BO1415,6)</f>
        <v>0</v>
      </c>
      <c r="BQ1415" s="80">
        <f>IF(BE1415=1,AW1415,0)</f>
        <v>0</v>
      </c>
      <c r="BR1415" s="80">
        <f>IF(BE1415=1,AX1415,0)</f>
        <v>0</v>
      </c>
      <c r="BS1415" s="80">
        <f>IF(AND(BE1415=1,D1415="Malcolm",BA1415&gt;0),MIN(BH1415,SUMPRODUCT((R_Emp="proMX")*(R_EN&gt;0)*((R_EN-(R_EN&gt;BR1415)*(R_EN-BR1415))&gt;(R_SN+(R_SN&lt;BQ1415)*(BQ1415-R_SN)))*((R_EN-(R_EN&gt;BR1415)*(R_EN-BR1415))-(R_SN+(R_SN&lt;BQ1415)*(BQ1415-R_SN))))/60),0)</f>
        <v>0</v>
      </c>
      <c r="BT1415" s="80">
        <f>IF(AND(BE1415=1,D1415="proMX"),ROUND(BI1415*CFG_RATE+BJ1415*CFG_OTRATE,6),0)</f>
        <v>0</v>
      </c>
      <c r="BU1415" s="80">
        <f>IF(AND(BD1415=1,D1415="proMX"),ROUND(AG1415/CFG_BLK,6),0)</f>
        <v>0</v>
      </c>
      <c r="BV1415" s="80" t="str">
        <f>IF(BF1415="Approved",IF(ISNUMBER(T1415),INT(T1415),INT(B1415)),"")</f>
        <v/>
      </c>
      <c r="BW1415" s="80">
        <f>IF(ISNUMBER(B1415),IF(DB_MON="Todos",1,IF(AND(INT(B1415)&gt;=DB_MS,INT(B1415)&lt;=DB_ME),1,0)),0)</f>
        <v>0</v>
      </c>
      <c r="BX1415" s="80">
        <f>IF(DB_PROJ="Todos",1,IF(E1415&amp;""=DB_PROJ&amp;"",1,0))</f>
        <v>1</v>
      </c>
      <c r="BY1415" s="80">
        <f>BW1415*BX1415</f>
        <v>0</v>
      </c>
      <c r="BZ1415" s="80" t="str">
        <f>IF(Y1415=1,F1415&amp;IF(AND(F1415&amp;""&lt;&gt;"",E1415&amp;""&lt;&gt;"")," · ","")&amp;E1415,"")</f>
        <v/>
      </c>
      <c r="CA1415" s="80" t="str">
        <f>IF(AND(BD1415=1,E1415&amp;""&lt;&gt;""),IF(COUNTIFS($E$5:E1414,E1415,$BD$5:BD1414,1)=0,MAX($CA$5:CA1414)+1,""),"")</f>
        <v/>
      </c>
      <c r="CB1415" s="80" t="str">
        <f>IF(AND(BE1415=1,D1415="Malcolm",E1415&amp;""&lt;&gt;""),IF(COUNTIFS($D$5:D1414,"Malcolm",$E$5:E1414,E1415,$BE$5:BE1414,1)=0,MAX($CB$5:CB1414)+1,""),"")</f>
        <v/>
      </c>
      <c r="CC1415" s="80" t="str">
        <f>IF(AND(BD1415=1,D1415="proMX",E1415&amp;""&lt;&gt;""),IF(COUNTIFS($D$5:D1414,"proMX",$E$5:E1414,E1415,$BD$5:BD1414,1)=0,MAX($CC$5:CC1414)+1,""),"")</f>
        <v/>
      </c>
      <c r="CD1415" s="80" t="str">
        <f>IF(AND(BE1415=1,D1415="Malcolm",F1415&amp;""&lt;&gt;""),IF(COUNTIFS($D$5:D1414,"Malcolm",$F$5:F1414,F1415,$BE$5:BE1414,1)=0,MAX($CD$5:CD1414)+1,""),"")</f>
        <v/>
      </c>
      <c r="CE1415" s="80" t="str">
        <f>IF(AND(BD1415=1,D1415="proMX",F1415&amp;""&lt;&gt;""),IF(COUNTIFS($D$5:D1414,"proMX",$F$5:F1414,F1415,$BD$5:BD1414,1)=0,MAX($CE$5:CE1414)+1,""),"")</f>
        <v/>
      </c>
      <c r="CF1415" s="80" t="str">
        <f>IF(AND(D1415="proMX",BD1415=1),IF(OR(BF1415="Draft",BF1415="Submitted",BF1415="Returned",BF1415="Recall Requested"),MAX($CF$5:CF1414)+1,""),"")</f>
        <v/>
      </c>
      <c r="CG1415" s="80">
        <f>IF(BD1415=0,0,IF(D1415="Malcolm",1,MATCH(BF1415,{"Draft","Submitted","Approved","Returned","Recall Requested","Cancelled"},0)+1))</f>
        <v>0</v>
      </c>
      <c r="CH1415" s="80">
        <f>IF(AND(BF1415="Submitted",ISNUMBER(V1415)),IF(V1415&gt;CFG_MAXD,1,0),0)</f>
        <v>0</v>
      </c>
    </row>
    <row r="1416">
      <c r="A1416" s="71" t="str">
        <f>IF(Y1416=1,ROW()-5,"")</f>
        <v/>
      </c>
      <c r="B1416" s="72" t="n"/>
      <c r="C1416" s="71" t="str">
        <f>IF(ISNUMBER(B1416),CHOOSE(WEEKDAY(B1416,2),"Lun","Mar","Mié","Jue","Vie","Sáb","Dom"),"")</f>
        <v/>
      </c>
      <c r="D1416" s="73" t="n"/>
      <c r="E1416" s="74" t="n"/>
      <c r="F1416" s="74" t="n"/>
      <c r="G1416" s="74" t="n"/>
      <c r="H1416" s="75" t="n"/>
      <c r="I1416" s="75" t="n"/>
      <c r="J1416" s="76" t="n"/>
      <c r="K1416" s="77" t="str">
        <f>IF(AB1416=1,ROUND(AG1416/60,4),"")</f>
        <v/>
      </c>
      <c r="L1416" s="77" t="str">
        <f>IF(BD1416=1,ROUND(AP1416/60,4),"")</f>
        <v/>
      </c>
      <c r="M1416" s="77" t="str">
        <f>IF(BD1416=1,ROUND(AQ1416/60,4),"")</f>
        <v/>
      </c>
      <c r="N1416" s="71" t="str">
        <f>IF(AND(D1416="proMX",AB1416=1),ROUND(AG1416/CFG_BLK,2),"")</f>
        <v/>
      </c>
      <c r="O1416" s="77" t="str">
        <f>IF(D1416="proMX",IF(BD1416=1,ROUND(AG1416/60,4),0),"")</f>
        <v/>
      </c>
      <c r="P1416" s="78" t="str">
        <f>IF(Y1416=0,"",IF(BD1416=1,"OK",IF(D1416="proMX","Revisar bloques: ","Revisar: ")&amp;BC1416))</f>
        <v/>
      </c>
      <c r="Q1416" s="78" t="str">
        <f>IF(NOT(ISNUMBER(B1416)),"",IF(COUNTIFS(FER_F,INT(B1416))&gt;0,"Feriado"&amp;IF(AH1416=1," (laborable)"," (no laborable)"),IF(AH1416=1,"Laborable",IF(WEEKDAY(B1416,2)&gt;5,"Fin de semana","No laborable"))))</f>
        <v/>
      </c>
      <c r="R1416" s="73" t="n"/>
      <c r="S1416" s="72" t="n"/>
      <c r="T1416" s="72" t="n"/>
      <c r="U1416" s="74" t="n"/>
      <c r="V1416" s="79" t="str">
        <f>IF(AND(D1416="proMX",OR(R1416="Submitted",R1416="Recall Requested"),ISNUMBER(S1416)),CFG_TODAY-INT(S1416),"")</f>
        <v/>
      </c>
      <c r="W1416" s="78" t="str">
        <f>IF(BD1416=0,"",IF(BA1416&gt;0,"⚠ Se superpone con un registro de la otra empresa",IF(D1416="Malcolm",IF(COUNTA(R1416,S1416,T1416)&gt;0,"Estado/fechas proMX se ignoran en Malcolm",""),IF(BF1416="Cancelled","Cancelado: excluido de totales",IF(R1416="","Sin estado: se trata como Draft",IF(BF1416="Submitted",IF(ISNUMBER(V1416),IF(V1416&gt;CFG_MAXD,"⚠ "&amp;V1416&amp;" días en Submitted (máx. "&amp;CFG_MAXD&amp;")",""),"Falta fecha de envío"),IF(BF1416="Returned","⚠ Devuelto: corregir y reenviar",IF(BF1416="Recall Requested","Retirada solicitada: pendiente",IF(AND(BF1416="Approved",NOT(ISNUMBER(T1416))),"Falta fecha de aprobación",IF(AND(ISNUMBER(S1416),ISNUMBER(T1416),T1416&lt;S1416),"Aprobación anterior al envío","")))))))))</f>
        <v/>
      </c>
      <c r="Y1416" s="80">
        <f>IF(COUNTA(B1416,D1416,E1416,F1416,G1416,H1416,I1416,J1416,R1416,S1416,T1416)&gt;0,1,0)</f>
        <v>0</v>
      </c>
      <c r="Z1416" s="80" t="str">
        <f>IF(AND(ISNUMBER(H1416),H1416&gt;=0,H1416&lt;1),ROUND(H1416*1440,0),"")</f>
        <v/>
      </c>
      <c r="AA1416" s="80" t="str">
        <f>IF(AND(ISNUMBER(I1416),I1416&gt;=0,I1416&lt;1),ROUND(I1416*1440,0),"")</f>
        <v/>
      </c>
      <c r="AB1416" s="80">
        <f>IF(AND(ISNUMBER(B1416),D1416&lt;&gt;"",ISNUMBER(Z1416),ISNUMBER(AA1416)),IF(Z1416=AA1416,0,1),0)</f>
        <v>0</v>
      </c>
      <c r="AC1416" s="80">
        <f>IF(AB1416=1,IF(AA1416&lt;Z1416,1,0),0)</f>
        <v>0</v>
      </c>
      <c r="AD1416" s="80">
        <f>IF(AB1416=1,IF(AC1416=1,1440-Z1416+AA1416,AA1416-Z1416),0)</f>
        <v>0</v>
      </c>
      <c r="AE1416" s="80">
        <f>IF(J1416="",0,IF(ISNUMBER(J1416),J1416,-1))</f>
        <v>0</v>
      </c>
      <c r="AF1416" s="80">
        <f>MIN(MAX(0,AE1416),AD1416)</f>
        <v>0</v>
      </c>
      <c r="AG1416" s="80">
        <f>MAX(0,AD1416-MAX(0,AE1416))</f>
        <v>0</v>
      </c>
      <c r="AH1416" s="80">
        <f>IF(ISNUMBER(B1416),IF(AND(INDEX(CFG_WDAYS,WEEKDAY(INT(B1416),2))="Sí",IF(D1416="proMX",COUNTIFS(FER_F,INT(B1416),FER_NLP,"Sí"),COUNTIFS(FER_F,INT(B1416),FER_NLM,"Sí"))=0),1,0),0)</f>
        <v>0</v>
      </c>
      <c r="AI1416" s="80">
        <f>IF(AC1416=1,IF(AND(INDEX(CFG_WDAYS,WEEKDAY(INT(B1416)+1,2))="Sí",IF(D1416="proMX",COUNTIFS(FER_F,INT(B1416)+1,FER_NLP,"Sí"),COUNTIFS(FER_F,INT(B1416)+1,FER_NLM,"Sí"))=0),1,0),0)</f>
        <v>0</v>
      </c>
      <c r="AJ1416" s="80">
        <f>IF(AC1416=1,1440-Z1416,AD1416)</f>
        <v>0</v>
      </c>
      <c r="AK1416" s="80">
        <f>IF(AND(AB1416=1,AH1416=1),MAX(0,MIN(IF(AC1416=1,1440,AA1416),CFG_WEM)-MAX(Z1416,CFG_WSM)),0)</f>
        <v>0</v>
      </c>
      <c r="AL1416" s="80">
        <f>IF(AND(AC1416=1,AI1416=1),MAX(0,MIN(AA1416,CFG_WEM)-CFG_WSM),0)</f>
        <v>0</v>
      </c>
      <c r="AM1416" s="80">
        <f>AK1416+AL1416</f>
        <v>0</v>
      </c>
      <c r="AN1416" s="80">
        <f>IF(CFG_BRK="Proporcional",IF(AD1416=0,0,AF1416*AM1416/AD1416),IF(CFG_BRK="Extras primero",MIN(AM1416,MAX(0,AF1416-(AD1416-AM1416))),MIN(AF1416,AM1416)))</f>
        <v>0</v>
      </c>
      <c r="AO1416" s="80">
        <f>AF1416-AN1416</f>
        <v>0</v>
      </c>
      <c r="AP1416" s="80">
        <f>AM1416-AN1416</f>
        <v>0</v>
      </c>
      <c r="AQ1416" s="80">
        <f>AD1416-AM1416-AO1416</f>
        <v>0</v>
      </c>
      <c r="AR1416" s="80">
        <f>IF(AM1416=0,0,AK1416-AN1416*AK1416/AM1416)</f>
        <v>0</v>
      </c>
      <c r="AS1416" s="80">
        <f>IF(AD1416-AM1416=0,0,(AJ1416-AK1416)-AO1416*(AJ1416-AK1416)/(AD1416-AM1416))</f>
        <v>0</v>
      </c>
      <c r="AT1416" s="80" t="str">
        <f>IF(AC1416=1,INT(B1416)+1,"")</f>
        <v/>
      </c>
      <c r="AU1416" s="80">
        <f>IF(AND(D1416="proMX",R1416="Cancelled"),0,1)</f>
        <v>1</v>
      </c>
      <c r="AV1416" s="80">
        <f>IF(AND(AB1416=1,AU1416=1),IF(COUNTIFS($D$5:D1415,D1416,$B$5:B1415,B1416,$Z$5:Z1415,Z1416,$AA$5:AA1415,AA1416,$F$5:F1415,F1416&amp;"",$AU$5:AU1415,1)&gt;0,1,0),0)</f>
        <v>0</v>
      </c>
      <c r="AW1416" s="80" t="str">
        <f>IF(AB1416=1,INT(B1416)*1440+Z1416,"")</f>
        <v/>
      </c>
      <c r="AX1416" s="80" t="str">
        <f>IF(AB1416=1,AW1416+AD1416,"")</f>
        <v/>
      </c>
      <c r="AY1416" s="80">
        <f>IF(AND(AB1416=1,AV1416=0,AU1416=1),1,0)</f>
        <v>0</v>
      </c>
      <c r="AZ1416" s="80">
        <f>IF(AY1416=1,COUNTIFS(R_Emp,D1416,R_SAbs,"&lt;"&amp;AX1416,R_EAbs,"&gt;"&amp;AW1416,R_OKey,1)-1,0)</f>
        <v>0</v>
      </c>
      <c r="BA1416" s="80">
        <f>IF(AY1416=1,COUNTIFS(R_Emp,"&lt;&gt;"&amp;D1416,R_SAbs,"&lt;"&amp;AX1416,R_EAbs,"&gt;"&amp;AW1416,R_OKey,1),0)</f>
        <v>0</v>
      </c>
      <c r="BB1416" s="80">
        <f>IF(AND(AB1416=1,D1416="proMX"),IF(AND(MOD(Z1416,CFG_BLK)=0,MOD(AA1416,CFG_BLK)=0,MOD(AG1416,CFG_BLK)=0,AG1416&gt;0),1,0),1)</f>
        <v>1</v>
      </c>
      <c r="BC1416" s="80" t="str">
        <f>IF(Y1416=0,"",IF(NOT(ISNUMBER(B1416)),"Falta fecha o fecha inválida",IF(D1416="","Falta empresa",IF(AND(D1416&lt;&gt;"Malcolm",D1416&lt;&gt;"proMX"),"Empresa inválida",IF(OR(INT(B1416)&lt;CFG_PSTART,INT(B1416)&gt;CFG_PEND),"Fecha fuera del período",IF(OR(NOT(ISNUMBER(Z1416)),NOT(ISNUMBER(AA1416))),"Falta hora inicio/fin o formato inválido",IF(AB1416=0,"Hora inicio = hora fin",IF(AE1416&lt;0,"Descanso inválido",IF(AE1416&gt;=AD1416,"Descanso ≥ duración",IF(AV1416=1,"Registro duplicado",IF(AZ1416&gt;0,"Se superpone con otro registro "&amp;D1416,IF(BB1416=0,"inicio, fin y duración neta deben ser múltiplos de "&amp;CFG_BLK&amp;" min",""))))))))))))</f>
        <v/>
      </c>
      <c r="BD1416" s="80">
        <f>IF(AND(Y1416=1,BC1416=""),1,0)</f>
        <v>0</v>
      </c>
      <c r="BE1416" s="80">
        <f>IF(AND(BD1416=1,AU1416=1),1,0)</f>
        <v>0</v>
      </c>
      <c r="BF1416" s="80" t="str">
        <f>IF(AND(D1416="proMX",BD1416=1),IF(R1416="","Draft",R1416),"")</f>
        <v/>
      </c>
      <c r="BG1416" s="80">
        <f>IF(BD1416=1,ROUND(AG1416/60,6),0)</f>
        <v>0</v>
      </c>
      <c r="BH1416" s="80">
        <f>IF(BE1416=1,ROUND(AG1416/60,6),0)</f>
        <v>0</v>
      </c>
      <c r="BI1416" s="80">
        <f>IF(BE1416=1,ROUND(AP1416/60,6),0)</f>
        <v>0</v>
      </c>
      <c r="BJ1416" s="80">
        <f>IF(BE1416=1,ROUND(AQ1416/60,6),0)</f>
        <v>0</v>
      </c>
      <c r="BK1416" s="80">
        <f>IF(BE1416=1,ROUND((AR1416+AS1416)/60,6),0)</f>
        <v>0</v>
      </c>
      <c r="BL1416" s="80">
        <f>ROUND(BH1416-BK1416,6)</f>
        <v>0</v>
      </c>
      <c r="BM1416" s="80">
        <f>IF(BE1416=1,ROUND(AR1416/60,6),0)</f>
        <v>0</v>
      </c>
      <c r="BN1416" s="80">
        <f>ROUND(BI1416-BM1416,6)</f>
        <v>0</v>
      </c>
      <c r="BO1416" s="80">
        <f>IF(BE1416=1,ROUND(AS1416/60,6),0)</f>
        <v>0</v>
      </c>
      <c r="BP1416" s="80">
        <f>ROUND(BJ1416-BO1416,6)</f>
        <v>0</v>
      </c>
      <c r="BQ1416" s="80">
        <f>IF(BE1416=1,AW1416,0)</f>
        <v>0</v>
      </c>
      <c r="BR1416" s="80">
        <f>IF(BE1416=1,AX1416,0)</f>
        <v>0</v>
      </c>
      <c r="BS1416" s="80">
        <f>IF(AND(BE1416=1,D1416="Malcolm",BA1416&gt;0),MIN(BH1416,SUMPRODUCT((R_Emp="proMX")*(R_EN&gt;0)*((R_EN-(R_EN&gt;BR1416)*(R_EN-BR1416))&gt;(R_SN+(R_SN&lt;BQ1416)*(BQ1416-R_SN)))*((R_EN-(R_EN&gt;BR1416)*(R_EN-BR1416))-(R_SN+(R_SN&lt;BQ1416)*(BQ1416-R_SN))))/60),0)</f>
        <v>0</v>
      </c>
      <c r="BT1416" s="80">
        <f>IF(AND(BE1416=1,D1416="proMX"),ROUND(BI1416*CFG_RATE+BJ1416*CFG_OTRATE,6),0)</f>
        <v>0</v>
      </c>
      <c r="BU1416" s="80">
        <f>IF(AND(BD1416=1,D1416="proMX"),ROUND(AG1416/CFG_BLK,6),0)</f>
        <v>0</v>
      </c>
      <c r="BV1416" s="80" t="str">
        <f>IF(BF1416="Approved",IF(ISNUMBER(T1416),INT(T1416),INT(B1416)),"")</f>
        <v/>
      </c>
      <c r="BW1416" s="80">
        <f>IF(ISNUMBER(B1416),IF(DB_MON="Todos",1,IF(AND(INT(B1416)&gt;=DB_MS,INT(B1416)&lt;=DB_ME),1,0)),0)</f>
        <v>0</v>
      </c>
      <c r="BX1416" s="80">
        <f>IF(DB_PROJ="Todos",1,IF(E1416&amp;""=DB_PROJ&amp;"",1,0))</f>
        <v>1</v>
      </c>
      <c r="BY1416" s="80">
        <f>BW1416*BX1416</f>
        <v>0</v>
      </c>
      <c r="BZ1416" s="80" t="str">
        <f>IF(Y1416=1,F1416&amp;IF(AND(F1416&amp;""&lt;&gt;"",E1416&amp;""&lt;&gt;"")," · ","")&amp;E1416,"")</f>
        <v/>
      </c>
      <c r="CA1416" s="80" t="str">
        <f>IF(AND(BD1416=1,E1416&amp;""&lt;&gt;""),IF(COUNTIFS($E$5:E1415,E1416,$BD$5:BD1415,1)=0,MAX($CA$5:CA1415)+1,""),"")</f>
        <v/>
      </c>
      <c r="CB1416" s="80" t="str">
        <f>IF(AND(BE1416=1,D1416="Malcolm",E1416&amp;""&lt;&gt;""),IF(COUNTIFS($D$5:D1415,"Malcolm",$E$5:E1415,E1416,$BE$5:BE1415,1)=0,MAX($CB$5:CB1415)+1,""),"")</f>
        <v/>
      </c>
      <c r="CC1416" s="80" t="str">
        <f>IF(AND(BD1416=1,D1416="proMX",E1416&amp;""&lt;&gt;""),IF(COUNTIFS($D$5:D1415,"proMX",$E$5:E1415,E1416,$BD$5:BD1415,1)=0,MAX($CC$5:CC1415)+1,""),"")</f>
        <v/>
      </c>
      <c r="CD1416" s="80" t="str">
        <f>IF(AND(BE1416=1,D1416="Malcolm",F1416&amp;""&lt;&gt;""),IF(COUNTIFS($D$5:D1415,"Malcolm",$F$5:F1415,F1416,$BE$5:BE1415,1)=0,MAX($CD$5:CD1415)+1,""),"")</f>
        <v/>
      </c>
      <c r="CE1416" s="80" t="str">
        <f>IF(AND(BD1416=1,D1416="proMX",F1416&amp;""&lt;&gt;""),IF(COUNTIFS($D$5:D1415,"proMX",$F$5:F1415,F1416,$BD$5:BD1415,1)=0,MAX($CE$5:CE1415)+1,""),"")</f>
        <v/>
      </c>
      <c r="CF1416" s="80" t="str">
        <f>IF(AND(D1416="proMX",BD1416=1),IF(OR(BF1416="Draft",BF1416="Submitted",BF1416="Returned",BF1416="Recall Requested"),MAX($CF$5:CF1415)+1,""),"")</f>
        <v/>
      </c>
      <c r="CG1416" s="80">
        <f>IF(BD1416=0,0,IF(D1416="Malcolm",1,MATCH(BF1416,{"Draft","Submitted","Approved","Returned","Recall Requested","Cancelled"},0)+1))</f>
        <v>0</v>
      </c>
      <c r="CH1416" s="80">
        <f>IF(AND(BF1416="Submitted",ISNUMBER(V1416)),IF(V1416&gt;CFG_MAXD,1,0),0)</f>
        <v>0</v>
      </c>
    </row>
    <row r="1417">
      <c r="A1417" s="71" t="str">
        <f>IF(Y1417=1,ROW()-5,"")</f>
        <v/>
      </c>
      <c r="B1417" s="72" t="n"/>
      <c r="C1417" s="71" t="str">
        <f>IF(ISNUMBER(B1417),CHOOSE(WEEKDAY(B1417,2),"Lun","Mar","Mié","Jue","Vie","Sáb","Dom"),"")</f>
        <v/>
      </c>
      <c r="D1417" s="73" t="n"/>
      <c r="E1417" s="74" t="n"/>
      <c r="F1417" s="74" t="n"/>
      <c r="G1417" s="74" t="n"/>
      <c r="H1417" s="75" t="n"/>
      <c r="I1417" s="75" t="n"/>
      <c r="J1417" s="76" t="n"/>
      <c r="K1417" s="77" t="str">
        <f>IF(AB1417=1,ROUND(AG1417/60,4),"")</f>
        <v/>
      </c>
      <c r="L1417" s="77" t="str">
        <f>IF(BD1417=1,ROUND(AP1417/60,4),"")</f>
        <v/>
      </c>
      <c r="M1417" s="77" t="str">
        <f>IF(BD1417=1,ROUND(AQ1417/60,4),"")</f>
        <v/>
      </c>
      <c r="N1417" s="71" t="str">
        <f>IF(AND(D1417="proMX",AB1417=1),ROUND(AG1417/CFG_BLK,2),"")</f>
        <v/>
      </c>
      <c r="O1417" s="77" t="str">
        <f>IF(D1417="proMX",IF(BD1417=1,ROUND(AG1417/60,4),0),"")</f>
        <v/>
      </c>
      <c r="P1417" s="78" t="str">
        <f>IF(Y1417=0,"",IF(BD1417=1,"OK",IF(D1417="proMX","Revisar bloques: ","Revisar: ")&amp;BC1417))</f>
        <v/>
      </c>
      <c r="Q1417" s="78" t="str">
        <f>IF(NOT(ISNUMBER(B1417)),"",IF(COUNTIFS(FER_F,INT(B1417))&gt;0,"Feriado"&amp;IF(AH1417=1," (laborable)"," (no laborable)"),IF(AH1417=1,"Laborable",IF(WEEKDAY(B1417,2)&gt;5,"Fin de semana","No laborable"))))</f>
        <v/>
      </c>
      <c r="R1417" s="73" t="n"/>
      <c r="S1417" s="72" t="n"/>
      <c r="T1417" s="72" t="n"/>
      <c r="U1417" s="74" t="n"/>
      <c r="V1417" s="79" t="str">
        <f>IF(AND(D1417="proMX",OR(R1417="Submitted",R1417="Recall Requested"),ISNUMBER(S1417)),CFG_TODAY-INT(S1417),"")</f>
        <v/>
      </c>
      <c r="W1417" s="78" t="str">
        <f>IF(BD1417=0,"",IF(BA1417&gt;0,"⚠ Se superpone con un registro de la otra empresa",IF(D1417="Malcolm",IF(COUNTA(R1417,S1417,T1417)&gt;0,"Estado/fechas proMX se ignoran en Malcolm",""),IF(BF1417="Cancelled","Cancelado: excluido de totales",IF(R1417="","Sin estado: se trata como Draft",IF(BF1417="Submitted",IF(ISNUMBER(V1417),IF(V1417&gt;CFG_MAXD,"⚠ "&amp;V1417&amp;" días en Submitted (máx. "&amp;CFG_MAXD&amp;")",""),"Falta fecha de envío"),IF(BF1417="Returned","⚠ Devuelto: corregir y reenviar",IF(BF1417="Recall Requested","Retirada solicitada: pendiente",IF(AND(BF1417="Approved",NOT(ISNUMBER(T1417))),"Falta fecha de aprobación",IF(AND(ISNUMBER(S1417),ISNUMBER(T1417),T1417&lt;S1417),"Aprobación anterior al envío","")))))))))</f>
        <v/>
      </c>
      <c r="Y1417" s="80">
        <f>IF(COUNTA(B1417,D1417,E1417,F1417,G1417,H1417,I1417,J1417,R1417,S1417,T1417)&gt;0,1,0)</f>
        <v>0</v>
      </c>
      <c r="Z1417" s="80" t="str">
        <f>IF(AND(ISNUMBER(H1417),H1417&gt;=0,H1417&lt;1),ROUND(H1417*1440,0),"")</f>
        <v/>
      </c>
      <c r="AA1417" s="80" t="str">
        <f>IF(AND(ISNUMBER(I1417),I1417&gt;=0,I1417&lt;1),ROUND(I1417*1440,0),"")</f>
        <v/>
      </c>
      <c r="AB1417" s="80">
        <f>IF(AND(ISNUMBER(B1417),D1417&lt;&gt;"",ISNUMBER(Z1417),ISNUMBER(AA1417)),IF(Z1417=AA1417,0,1),0)</f>
        <v>0</v>
      </c>
      <c r="AC1417" s="80">
        <f>IF(AB1417=1,IF(AA1417&lt;Z1417,1,0),0)</f>
        <v>0</v>
      </c>
      <c r="AD1417" s="80">
        <f>IF(AB1417=1,IF(AC1417=1,1440-Z1417+AA1417,AA1417-Z1417),0)</f>
        <v>0</v>
      </c>
      <c r="AE1417" s="80">
        <f>IF(J1417="",0,IF(ISNUMBER(J1417),J1417,-1))</f>
        <v>0</v>
      </c>
      <c r="AF1417" s="80">
        <f>MIN(MAX(0,AE1417),AD1417)</f>
        <v>0</v>
      </c>
      <c r="AG1417" s="80">
        <f>MAX(0,AD1417-MAX(0,AE1417))</f>
        <v>0</v>
      </c>
      <c r="AH1417" s="80">
        <f>IF(ISNUMBER(B1417),IF(AND(INDEX(CFG_WDAYS,WEEKDAY(INT(B1417),2))="Sí",IF(D1417="proMX",COUNTIFS(FER_F,INT(B1417),FER_NLP,"Sí"),COUNTIFS(FER_F,INT(B1417),FER_NLM,"Sí"))=0),1,0),0)</f>
        <v>0</v>
      </c>
      <c r="AI1417" s="80">
        <f>IF(AC1417=1,IF(AND(INDEX(CFG_WDAYS,WEEKDAY(INT(B1417)+1,2))="Sí",IF(D1417="proMX",COUNTIFS(FER_F,INT(B1417)+1,FER_NLP,"Sí"),COUNTIFS(FER_F,INT(B1417)+1,FER_NLM,"Sí"))=0),1,0),0)</f>
        <v>0</v>
      </c>
      <c r="AJ1417" s="80">
        <f>IF(AC1417=1,1440-Z1417,AD1417)</f>
        <v>0</v>
      </c>
      <c r="AK1417" s="80">
        <f>IF(AND(AB1417=1,AH1417=1),MAX(0,MIN(IF(AC1417=1,1440,AA1417),CFG_WEM)-MAX(Z1417,CFG_WSM)),0)</f>
        <v>0</v>
      </c>
      <c r="AL1417" s="80">
        <f>IF(AND(AC1417=1,AI1417=1),MAX(0,MIN(AA1417,CFG_WEM)-CFG_WSM),0)</f>
        <v>0</v>
      </c>
      <c r="AM1417" s="80">
        <f>AK1417+AL1417</f>
        <v>0</v>
      </c>
      <c r="AN1417" s="80">
        <f>IF(CFG_BRK="Proporcional",IF(AD1417=0,0,AF1417*AM1417/AD1417),IF(CFG_BRK="Extras primero",MIN(AM1417,MAX(0,AF1417-(AD1417-AM1417))),MIN(AF1417,AM1417)))</f>
        <v>0</v>
      </c>
      <c r="AO1417" s="80">
        <f>AF1417-AN1417</f>
        <v>0</v>
      </c>
      <c r="AP1417" s="80">
        <f>AM1417-AN1417</f>
        <v>0</v>
      </c>
      <c r="AQ1417" s="80">
        <f>AD1417-AM1417-AO1417</f>
        <v>0</v>
      </c>
      <c r="AR1417" s="80">
        <f>IF(AM1417=0,0,AK1417-AN1417*AK1417/AM1417)</f>
        <v>0</v>
      </c>
      <c r="AS1417" s="80">
        <f>IF(AD1417-AM1417=0,0,(AJ1417-AK1417)-AO1417*(AJ1417-AK1417)/(AD1417-AM1417))</f>
        <v>0</v>
      </c>
      <c r="AT1417" s="80" t="str">
        <f>IF(AC1417=1,INT(B1417)+1,"")</f>
        <v/>
      </c>
      <c r="AU1417" s="80">
        <f>IF(AND(D1417="proMX",R1417="Cancelled"),0,1)</f>
        <v>1</v>
      </c>
      <c r="AV1417" s="80">
        <f>IF(AND(AB1417=1,AU1417=1),IF(COUNTIFS($D$5:D1416,D1417,$B$5:B1416,B1417,$Z$5:Z1416,Z1417,$AA$5:AA1416,AA1417,$F$5:F1416,F1417&amp;"",$AU$5:AU1416,1)&gt;0,1,0),0)</f>
        <v>0</v>
      </c>
      <c r="AW1417" s="80" t="str">
        <f>IF(AB1417=1,INT(B1417)*1440+Z1417,"")</f>
        <v/>
      </c>
      <c r="AX1417" s="80" t="str">
        <f>IF(AB1417=1,AW1417+AD1417,"")</f>
        <v/>
      </c>
      <c r="AY1417" s="80">
        <f>IF(AND(AB1417=1,AV1417=0,AU1417=1),1,0)</f>
        <v>0</v>
      </c>
      <c r="AZ1417" s="80">
        <f>IF(AY1417=1,COUNTIFS(R_Emp,D1417,R_SAbs,"&lt;"&amp;AX1417,R_EAbs,"&gt;"&amp;AW1417,R_OKey,1)-1,0)</f>
        <v>0</v>
      </c>
      <c r="BA1417" s="80">
        <f>IF(AY1417=1,COUNTIFS(R_Emp,"&lt;&gt;"&amp;D1417,R_SAbs,"&lt;"&amp;AX1417,R_EAbs,"&gt;"&amp;AW1417,R_OKey,1),0)</f>
        <v>0</v>
      </c>
      <c r="BB1417" s="80">
        <f>IF(AND(AB1417=1,D1417="proMX"),IF(AND(MOD(Z1417,CFG_BLK)=0,MOD(AA1417,CFG_BLK)=0,MOD(AG1417,CFG_BLK)=0,AG1417&gt;0),1,0),1)</f>
        <v>1</v>
      </c>
      <c r="BC1417" s="80" t="str">
        <f>IF(Y1417=0,"",IF(NOT(ISNUMBER(B1417)),"Falta fecha o fecha inválida",IF(D1417="","Falta empresa",IF(AND(D1417&lt;&gt;"Malcolm",D1417&lt;&gt;"proMX"),"Empresa inválida",IF(OR(INT(B1417)&lt;CFG_PSTART,INT(B1417)&gt;CFG_PEND),"Fecha fuera del período",IF(OR(NOT(ISNUMBER(Z1417)),NOT(ISNUMBER(AA1417))),"Falta hora inicio/fin o formato inválido",IF(AB1417=0,"Hora inicio = hora fin",IF(AE1417&lt;0,"Descanso inválido",IF(AE1417&gt;=AD1417,"Descanso ≥ duración",IF(AV1417=1,"Registro duplicado",IF(AZ1417&gt;0,"Se superpone con otro registro "&amp;D1417,IF(BB1417=0,"inicio, fin y duración neta deben ser múltiplos de "&amp;CFG_BLK&amp;" min",""))))))))))))</f>
        <v/>
      </c>
      <c r="BD1417" s="80">
        <f>IF(AND(Y1417=1,BC1417=""),1,0)</f>
        <v>0</v>
      </c>
      <c r="BE1417" s="80">
        <f>IF(AND(BD1417=1,AU1417=1),1,0)</f>
        <v>0</v>
      </c>
      <c r="BF1417" s="80" t="str">
        <f>IF(AND(D1417="proMX",BD1417=1),IF(R1417="","Draft",R1417),"")</f>
        <v/>
      </c>
      <c r="BG1417" s="80">
        <f>IF(BD1417=1,ROUND(AG1417/60,6),0)</f>
        <v>0</v>
      </c>
      <c r="BH1417" s="80">
        <f>IF(BE1417=1,ROUND(AG1417/60,6),0)</f>
        <v>0</v>
      </c>
      <c r="BI1417" s="80">
        <f>IF(BE1417=1,ROUND(AP1417/60,6),0)</f>
        <v>0</v>
      </c>
      <c r="BJ1417" s="80">
        <f>IF(BE1417=1,ROUND(AQ1417/60,6),0)</f>
        <v>0</v>
      </c>
      <c r="BK1417" s="80">
        <f>IF(BE1417=1,ROUND((AR1417+AS1417)/60,6),0)</f>
        <v>0</v>
      </c>
      <c r="BL1417" s="80">
        <f>ROUND(BH1417-BK1417,6)</f>
        <v>0</v>
      </c>
      <c r="BM1417" s="80">
        <f>IF(BE1417=1,ROUND(AR1417/60,6),0)</f>
        <v>0</v>
      </c>
      <c r="BN1417" s="80">
        <f>ROUND(BI1417-BM1417,6)</f>
        <v>0</v>
      </c>
      <c r="BO1417" s="80">
        <f>IF(BE1417=1,ROUND(AS1417/60,6),0)</f>
        <v>0</v>
      </c>
      <c r="BP1417" s="80">
        <f>ROUND(BJ1417-BO1417,6)</f>
        <v>0</v>
      </c>
      <c r="BQ1417" s="80">
        <f>IF(BE1417=1,AW1417,0)</f>
        <v>0</v>
      </c>
      <c r="BR1417" s="80">
        <f>IF(BE1417=1,AX1417,0)</f>
        <v>0</v>
      </c>
      <c r="BS1417" s="80">
        <f>IF(AND(BE1417=1,D1417="Malcolm",BA1417&gt;0),MIN(BH1417,SUMPRODUCT((R_Emp="proMX")*(R_EN&gt;0)*((R_EN-(R_EN&gt;BR1417)*(R_EN-BR1417))&gt;(R_SN+(R_SN&lt;BQ1417)*(BQ1417-R_SN)))*((R_EN-(R_EN&gt;BR1417)*(R_EN-BR1417))-(R_SN+(R_SN&lt;BQ1417)*(BQ1417-R_SN))))/60),0)</f>
        <v>0</v>
      </c>
      <c r="BT1417" s="80">
        <f>IF(AND(BE1417=1,D1417="proMX"),ROUND(BI1417*CFG_RATE+BJ1417*CFG_OTRATE,6),0)</f>
        <v>0</v>
      </c>
      <c r="BU1417" s="80">
        <f>IF(AND(BD1417=1,D1417="proMX"),ROUND(AG1417/CFG_BLK,6),0)</f>
        <v>0</v>
      </c>
      <c r="BV1417" s="80" t="str">
        <f>IF(BF1417="Approved",IF(ISNUMBER(T1417),INT(T1417),INT(B1417)),"")</f>
        <v/>
      </c>
      <c r="BW1417" s="80">
        <f>IF(ISNUMBER(B1417),IF(DB_MON="Todos",1,IF(AND(INT(B1417)&gt;=DB_MS,INT(B1417)&lt;=DB_ME),1,0)),0)</f>
        <v>0</v>
      </c>
      <c r="BX1417" s="80">
        <f>IF(DB_PROJ="Todos",1,IF(E1417&amp;""=DB_PROJ&amp;"",1,0))</f>
        <v>1</v>
      </c>
      <c r="BY1417" s="80">
        <f>BW1417*BX1417</f>
        <v>0</v>
      </c>
      <c r="BZ1417" s="80" t="str">
        <f>IF(Y1417=1,F1417&amp;IF(AND(F1417&amp;""&lt;&gt;"",E1417&amp;""&lt;&gt;"")," · ","")&amp;E1417,"")</f>
        <v/>
      </c>
      <c r="CA1417" s="80" t="str">
        <f>IF(AND(BD1417=1,E1417&amp;""&lt;&gt;""),IF(COUNTIFS($E$5:E1416,E1417,$BD$5:BD1416,1)=0,MAX($CA$5:CA1416)+1,""),"")</f>
        <v/>
      </c>
      <c r="CB1417" s="80" t="str">
        <f>IF(AND(BE1417=1,D1417="Malcolm",E1417&amp;""&lt;&gt;""),IF(COUNTIFS($D$5:D1416,"Malcolm",$E$5:E1416,E1417,$BE$5:BE1416,1)=0,MAX($CB$5:CB1416)+1,""),"")</f>
        <v/>
      </c>
      <c r="CC1417" s="80" t="str">
        <f>IF(AND(BD1417=1,D1417="proMX",E1417&amp;""&lt;&gt;""),IF(COUNTIFS($D$5:D1416,"proMX",$E$5:E1416,E1417,$BD$5:BD1416,1)=0,MAX($CC$5:CC1416)+1,""),"")</f>
        <v/>
      </c>
      <c r="CD1417" s="80" t="str">
        <f>IF(AND(BE1417=1,D1417="Malcolm",F1417&amp;""&lt;&gt;""),IF(COUNTIFS($D$5:D1416,"Malcolm",$F$5:F1416,F1417,$BE$5:BE1416,1)=0,MAX($CD$5:CD1416)+1,""),"")</f>
        <v/>
      </c>
      <c r="CE1417" s="80" t="str">
        <f>IF(AND(BD1417=1,D1417="proMX",F1417&amp;""&lt;&gt;""),IF(COUNTIFS($D$5:D1416,"proMX",$F$5:F1416,F1417,$BD$5:BD1416,1)=0,MAX($CE$5:CE1416)+1,""),"")</f>
        <v/>
      </c>
      <c r="CF1417" s="80" t="str">
        <f>IF(AND(D1417="proMX",BD1417=1),IF(OR(BF1417="Draft",BF1417="Submitted",BF1417="Returned",BF1417="Recall Requested"),MAX($CF$5:CF1416)+1,""),"")</f>
        <v/>
      </c>
      <c r="CG1417" s="80">
        <f>IF(BD1417=0,0,IF(D1417="Malcolm",1,MATCH(BF1417,{"Draft","Submitted","Approved","Returned","Recall Requested","Cancelled"},0)+1))</f>
        <v>0</v>
      </c>
      <c r="CH1417" s="80">
        <f>IF(AND(BF1417="Submitted",ISNUMBER(V1417)),IF(V1417&gt;CFG_MAXD,1,0),0)</f>
        <v>0</v>
      </c>
    </row>
    <row r="1418">
      <c r="A1418" s="71" t="str">
        <f>IF(Y1418=1,ROW()-5,"")</f>
        <v/>
      </c>
      <c r="B1418" s="72" t="n"/>
      <c r="C1418" s="71" t="str">
        <f>IF(ISNUMBER(B1418),CHOOSE(WEEKDAY(B1418,2),"Lun","Mar","Mié","Jue","Vie","Sáb","Dom"),"")</f>
        <v/>
      </c>
      <c r="D1418" s="73" t="n"/>
      <c r="E1418" s="74" t="n"/>
      <c r="F1418" s="74" t="n"/>
      <c r="G1418" s="74" t="n"/>
      <c r="H1418" s="75" t="n"/>
      <c r="I1418" s="75" t="n"/>
      <c r="J1418" s="76" t="n"/>
      <c r="K1418" s="77" t="str">
        <f>IF(AB1418=1,ROUND(AG1418/60,4),"")</f>
        <v/>
      </c>
      <c r="L1418" s="77" t="str">
        <f>IF(BD1418=1,ROUND(AP1418/60,4),"")</f>
        <v/>
      </c>
      <c r="M1418" s="77" t="str">
        <f>IF(BD1418=1,ROUND(AQ1418/60,4),"")</f>
        <v/>
      </c>
      <c r="N1418" s="71" t="str">
        <f>IF(AND(D1418="proMX",AB1418=1),ROUND(AG1418/CFG_BLK,2),"")</f>
        <v/>
      </c>
      <c r="O1418" s="77" t="str">
        <f>IF(D1418="proMX",IF(BD1418=1,ROUND(AG1418/60,4),0),"")</f>
        <v/>
      </c>
      <c r="P1418" s="78" t="str">
        <f>IF(Y1418=0,"",IF(BD1418=1,"OK",IF(D1418="proMX","Revisar bloques: ","Revisar: ")&amp;BC1418))</f>
        <v/>
      </c>
      <c r="Q1418" s="78" t="str">
        <f>IF(NOT(ISNUMBER(B1418)),"",IF(COUNTIFS(FER_F,INT(B1418))&gt;0,"Feriado"&amp;IF(AH1418=1," (laborable)"," (no laborable)"),IF(AH1418=1,"Laborable",IF(WEEKDAY(B1418,2)&gt;5,"Fin de semana","No laborable"))))</f>
        <v/>
      </c>
      <c r="R1418" s="73" t="n"/>
      <c r="S1418" s="72" t="n"/>
      <c r="T1418" s="72" t="n"/>
      <c r="U1418" s="74" t="n"/>
      <c r="V1418" s="79" t="str">
        <f>IF(AND(D1418="proMX",OR(R1418="Submitted",R1418="Recall Requested"),ISNUMBER(S1418)),CFG_TODAY-INT(S1418),"")</f>
        <v/>
      </c>
      <c r="W1418" s="78" t="str">
        <f>IF(BD1418=0,"",IF(BA1418&gt;0,"⚠ Se superpone con un registro de la otra empresa",IF(D1418="Malcolm",IF(COUNTA(R1418,S1418,T1418)&gt;0,"Estado/fechas proMX se ignoran en Malcolm",""),IF(BF1418="Cancelled","Cancelado: excluido de totales",IF(R1418="","Sin estado: se trata como Draft",IF(BF1418="Submitted",IF(ISNUMBER(V1418),IF(V1418&gt;CFG_MAXD,"⚠ "&amp;V1418&amp;" días en Submitted (máx. "&amp;CFG_MAXD&amp;")",""),"Falta fecha de envío"),IF(BF1418="Returned","⚠ Devuelto: corregir y reenviar",IF(BF1418="Recall Requested","Retirada solicitada: pendiente",IF(AND(BF1418="Approved",NOT(ISNUMBER(T1418))),"Falta fecha de aprobación",IF(AND(ISNUMBER(S1418),ISNUMBER(T1418),T1418&lt;S1418),"Aprobación anterior al envío","")))))))))</f>
        <v/>
      </c>
      <c r="Y1418" s="80">
        <f>IF(COUNTA(B1418,D1418,E1418,F1418,G1418,H1418,I1418,J1418,R1418,S1418,T1418)&gt;0,1,0)</f>
        <v>0</v>
      </c>
      <c r="Z1418" s="80" t="str">
        <f>IF(AND(ISNUMBER(H1418),H1418&gt;=0,H1418&lt;1),ROUND(H1418*1440,0),"")</f>
        <v/>
      </c>
      <c r="AA1418" s="80" t="str">
        <f>IF(AND(ISNUMBER(I1418),I1418&gt;=0,I1418&lt;1),ROUND(I1418*1440,0),"")</f>
        <v/>
      </c>
      <c r="AB1418" s="80">
        <f>IF(AND(ISNUMBER(B1418),D1418&lt;&gt;"",ISNUMBER(Z1418),ISNUMBER(AA1418)),IF(Z1418=AA1418,0,1),0)</f>
        <v>0</v>
      </c>
      <c r="AC1418" s="80">
        <f>IF(AB1418=1,IF(AA1418&lt;Z1418,1,0),0)</f>
        <v>0</v>
      </c>
      <c r="AD1418" s="80">
        <f>IF(AB1418=1,IF(AC1418=1,1440-Z1418+AA1418,AA1418-Z1418),0)</f>
        <v>0</v>
      </c>
      <c r="AE1418" s="80">
        <f>IF(J1418="",0,IF(ISNUMBER(J1418),J1418,-1))</f>
        <v>0</v>
      </c>
      <c r="AF1418" s="80">
        <f>MIN(MAX(0,AE1418),AD1418)</f>
        <v>0</v>
      </c>
      <c r="AG1418" s="80">
        <f>MAX(0,AD1418-MAX(0,AE1418))</f>
        <v>0</v>
      </c>
      <c r="AH1418" s="80">
        <f>IF(ISNUMBER(B1418),IF(AND(INDEX(CFG_WDAYS,WEEKDAY(INT(B1418),2))="Sí",IF(D1418="proMX",COUNTIFS(FER_F,INT(B1418),FER_NLP,"Sí"),COUNTIFS(FER_F,INT(B1418),FER_NLM,"Sí"))=0),1,0),0)</f>
        <v>0</v>
      </c>
      <c r="AI1418" s="80">
        <f>IF(AC1418=1,IF(AND(INDEX(CFG_WDAYS,WEEKDAY(INT(B1418)+1,2))="Sí",IF(D1418="proMX",COUNTIFS(FER_F,INT(B1418)+1,FER_NLP,"Sí"),COUNTIFS(FER_F,INT(B1418)+1,FER_NLM,"Sí"))=0),1,0),0)</f>
        <v>0</v>
      </c>
      <c r="AJ1418" s="80">
        <f>IF(AC1418=1,1440-Z1418,AD1418)</f>
        <v>0</v>
      </c>
      <c r="AK1418" s="80">
        <f>IF(AND(AB1418=1,AH1418=1),MAX(0,MIN(IF(AC1418=1,1440,AA1418),CFG_WEM)-MAX(Z1418,CFG_WSM)),0)</f>
        <v>0</v>
      </c>
      <c r="AL1418" s="80">
        <f>IF(AND(AC1418=1,AI1418=1),MAX(0,MIN(AA1418,CFG_WEM)-CFG_WSM),0)</f>
        <v>0</v>
      </c>
      <c r="AM1418" s="80">
        <f>AK1418+AL1418</f>
        <v>0</v>
      </c>
      <c r="AN1418" s="80">
        <f>IF(CFG_BRK="Proporcional",IF(AD1418=0,0,AF1418*AM1418/AD1418),IF(CFG_BRK="Extras primero",MIN(AM1418,MAX(0,AF1418-(AD1418-AM1418))),MIN(AF1418,AM1418)))</f>
        <v>0</v>
      </c>
      <c r="AO1418" s="80">
        <f>AF1418-AN1418</f>
        <v>0</v>
      </c>
      <c r="AP1418" s="80">
        <f>AM1418-AN1418</f>
        <v>0</v>
      </c>
      <c r="AQ1418" s="80">
        <f>AD1418-AM1418-AO1418</f>
        <v>0</v>
      </c>
      <c r="AR1418" s="80">
        <f>IF(AM1418=0,0,AK1418-AN1418*AK1418/AM1418)</f>
        <v>0</v>
      </c>
      <c r="AS1418" s="80">
        <f>IF(AD1418-AM1418=0,0,(AJ1418-AK1418)-AO1418*(AJ1418-AK1418)/(AD1418-AM1418))</f>
        <v>0</v>
      </c>
      <c r="AT1418" s="80" t="str">
        <f>IF(AC1418=1,INT(B1418)+1,"")</f>
        <v/>
      </c>
      <c r="AU1418" s="80">
        <f>IF(AND(D1418="proMX",R1418="Cancelled"),0,1)</f>
        <v>1</v>
      </c>
      <c r="AV1418" s="80">
        <f>IF(AND(AB1418=1,AU1418=1),IF(COUNTIFS($D$5:D1417,D1418,$B$5:B1417,B1418,$Z$5:Z1417,Z1418,$AA$5:AA1417,AA1418,$F$5:F1417,F1418&amp;"",$AU$5:AU1417,1)&gt;0,1,0),0)</f>
        <v>0</v>
      </c>
      <c r="AW1418" s="80" t="str">
        <f>IF(AB1418=1,INT(B1418)*1440+Z1418,"")</f>
        <v/>
      </c>
      <c r="AX1418" s="80" t="str">
        <f>IF(AB1418=1,AW1418+AD1418,"")</f>
        <v/>
      </c>
      <c r="AY1418" s="80">
        <f>IF(AND(AB1418=1,AV1418=0,AU1418=1),1,0)</f>
        <v>0</v>
      </c>
      <c r="AZ1418" s="80">
        <f>IF(AY1418=1,COUNTIFS(R_Emp,D1418,R_SAbs,"&lt;"&amp;AX1418,R_EAbs,"&gt;"&amp;AW1418,R_OKey,1)-1,0)</f>
        <v>0</v>
      </c>
      <c r="BA1418" s="80">
        <f>IF(AY1418=1,COUNTIFS(R_Emp,"&lt;&gt;"&amp;D1418,R_SAbs,"&lt;"&amp;AX1418,R_EAbs,"&gt;"&amp;AW1418,R_OKey,1),0)</f>
        <v>0</v>
      </c>
      <c r="BB1418" s="80">
        <f>IF(AND(AB1418=1,D1418="proMX"),IF(AND(MOD(Z1418,CFG_BLK)=0,MOD(AA1418,CFG_BLK)=0,MOD(AG1418,CFG_BLK)=0,AG1418&gt;0),1,0),1)</f>
        <v>1</v>
      </c>
      <c r="BC1418" s="80" t="str">
        <f>IF(Y1418=0,"",IF(NOT(ISNUMBER(B1418)),"Falta fecha o fecha inválida",IF(D1418="","Falta empresa",IF(AND(D1418&lt;&gt;"Malcolm",D1418&lt;&gt;"proMX"),"Empresa inválida",IF(OR(INT(B1418)&lt;CFG_PSTART,INT(B1418)&gt;CFG_PEND),"Fecha fuera del período",IF(OR(NOT(ISNUMBER(Z1418)),NOT(ISNUMBER(AA1418))),"Falta hora inicio/fin o formato inválido",IF(AB1418=0,"Hora inicio = hora fin",IF(AE1418&lt;0,"Descanso inválido",IF(AE1418&gt;=AD1418,"Descanso ≥ duración",IF(AV1418=1,"Registro duplicado",IF(AZ1418&gt;0,"Se superpone con otro registro "&amp;D1418,IF(BB1418=0,"inicio, fin y duración neta deben ser múltiplos de "&amp;CFG_BLK&amp;" min",""))))))))))))</f>
        <v/>
      </c>
      <c r="BD1418" s="80">
        <f>IF(AND(Y1418=1,BC1418=""),1,0)</f>
        <v>0</v>
      </c>
      <c r="BE1418" s="80">
        <f>IF(AND(BD1418=1,AU1418=1),1,0)</f>
        <v>0</v>
      </c>
      <c r="BF1418" s="80" t="str">
        <f>IF(AND(D1418="proMX",BD1418=1),IF(R1418="","Draft",R1418),"")</f>
        <v/>
      </c>
      <c r="BG1418" s="80">
        <f>IF(BD1418=1,ROUND(AG1418/60,6),0)</f>
        <v>0</v>
      </c>
      <c r="BH1418" s="80">
        <f>IF(BE1418=1,ROUND(AG1418/60,6),0)</f>
        <v>0</v>
      </c>
      <c r="BI1418" s="80">
        <f>IF(BE1418=1,ROUND(AP1418/60,6),0)</f>
        <v>0</v>
      </c>
      <c r="BJ1418" s="80">
        <f>IF(BE1418=1,ROUND(AQ1418/60,6),0)</f>
        <v>0</v>
      </c>
      <c r="BK1418" s="80">
        <f>IF(BE1418=1,ROUND((AR1418+AS1418)/60,6),0)</f>
        <v>0</v>
      </c>
      <c r="BL1418" s="80">
        <f>ROUND(BH1418-BK1418,6)</f>
        <v>0</v>
      </c>
      <c r="BM1418" s="80">
        <f>IF(BE1418=1,ROUND(AR1418/60,6),0)</f>
        <v>0</v>
      </c>
      <c r="BN1418" s="80">
        <f>ROUND(BI1418-BM1418,6)</f>
        <v>0</v>
      </c>
      <c r="BO1418" s="80">
        <f>IF(BE1418=1,ROUND(AS1418/60,6),0)</f>
        <v>0</v>
      </c>
      <c r="BP1418" s="80">
        <f>ROUND(BJ1418-BO1418,6)</f>
        <v>0</v>
      </c>
      <c r="BQ1418" s="80">
        <f>IF(BE1418=1,AW1418,0)</f>
        <v>0</v>
      </c>
      <c r="BR1418" s="80">
        <f>IF(BE1418=1,AX1418,0)</f>
        <v>0</v>
      </c>
      <c r="BS1418" s="80">
        <f>IF(AND(BE1418=1,D1418="Malcolm",BA1418&gt;0),MIN(BH1418,SUMPRODUCT((R_Emp="proMX")*(R_EN&gt;0)*((R_EN-(R_EN&gt;BR1418)*(R_EN-BR1418))&gt;(R_SN+(R_SN&lt;BQ1418)*(BQ1418-R_SN)))*((R_EN-(R_EN&gt;BR1418)*(R_EN-BR1418))-(R_SN+(R_SN&lt;BQ1418)*(BQ1418-R_SN))))/60),0)</f>
        <v>0</v>
      </c>
      <c r="BT1418" s="80">
        <f>IF(AND(BE1418=1,D1418="proMX"),ROUND(BI1418*CFG_RATE+BJ1418*CFG_OTRATE,6),0)</f>
        <v>0</v>
      </c>
      <c r="BU1418" s="80">
        <f>IF(AND(BD1418=1,D1418="proMX"),ROUND(AG1418/CFG_BLK,6),0)</f>
        <v>0</v>
      </c>
      <c r="BV1418" s="80" t="str">
        <f>IF(BF1418="Approved",IF(ISNUMBER(T1418),INT(T1418),INT(B1418)),"")</f>
        <v/>
      </c>
      <c r="BW1418" s="80">
        <f>IF(ISNUMBER(B1418),IF(DB_MON="Todos",1,IF(AND(INT(B1418)&gt;=DB_MS,INT(B1418)&lt;=DB_ME),1,0)),0)</f>
        <v>0</v>
      </c>
      <c r="BX1418" s="80">
        <f>IF(DB_PROJ="Todos",1,IF(E1418&amp;""=DB_PROJ&amp;"",1,0))</f>
        <v>1</v>
      </c>
      <c r="BY1418" s="80">
        <f>BW1418*BX1418</f>
        <v>0</v>
      </c>
      <c r="BZ1418" s="80" t="str">
        <f>IF(Y1418=1,F1418&amp;IF(AND(F1418&amp;""&lt;&gt;"",E1418&amp;""&lt;&gt;"")," · ","")&amp;E1418,"")</f>
        <v/>
      </c>
      <c r="CA1418" s="80" t="str">
        <f>IF(AND(BD1418=1,E1418&amp;""&lt;&gt;""),IF(COUNTIFS($E$5:E1417,E1418,$BD$5:BD1417,1)=0,MAX($CA$5:CA1417)+1,""),"")</f>
        <v/>
      </c>
      <c r="CB1418" s="80" t="str">
        <f>IF(AND(BE1418=1,D1418="Malcolm",E1418&amp;""&lt;&gt;""),IF(COUNTIFS($D$5:D1417,"Malcolm",$E$5:E1417,E1418,$BE$5:BE1417,1)=0,MAX($CB$5:CB1417)+1,""),"")</f>
        <v/>
      </c>
      <c r="CC1418" s="80" t="str">
        <f>IF(AND(BD1418=1,D1418="proMX",E1418&amp;""&lt;&gt;""),IF(COUNTIFS($D$5:D1417,"proMX",$E$5:E1417,E1418,$BD$5:BD1417,1)=0,MAX($CC$5:CC1417)+1,""),"")</f>
        <v/>
      </c>
      <c r="CD1418" s="80" t="str">
        <f>IF(AND(BE1418=1,D1418="Malcolm",F1418&amp;""&lt;&gt;""),IF(COUNTIFS($D$5:D1417,"Malcolm",$F$5:F1417,F1418,$BE$5:BE1417,1)=0,MAX($CD$5:CD1417)+1,""),"")</f>
        <v/>
      </c>
      <c r="CE1418" s="80" t="str">
        <f>IF(AND(BD1418=1,D1418="proMX",F1418&amp;""&lt;&gt;""),IF(COUNTIFS($D$5:D1417,"proMX",$F$5:F1417,F1418,$BD$5:BD1417,1)=0,MAX($CE$5:CE1417)+1,""),"")</f>
        <v/>
      </c>
      <c r="CF1418" s="80" t="str">
        <f>IF(AND(D1418="proMX",BD1418=1),IF(OR(BF1418="Draft",BF1418="Submitted",BF1418="Returned",BF1418="Recall Requested"),MAX($CF$5:CF1417)+1,""),"")</f>
        <v/>
      </c>
      <c r="CG1418" s="80">
        <f>IF(BD1418=0,0,IF(D1418="Malcolm",1,MATCH(BF1418,{"Draft","Submitted","Approved","Returned","Recall Requested","Cancelled"},0)+1))</f>
        <v>0</v>
      </c>
      <c r="CH1418" s="80">
        <f>IF(AND(BF1418="Submitted",ISNUMBER(V1418)),IF(V1418&gt;CFG_MAXD,1,0),0)</f>
        <v>0</v>
      </c>
    </row>
    <row r="1419">
      <c r="A1419" s="71" t="str">
        <f>IF(Y1419=1,ROW()-5,"")</f>
        <v/>
      </c>
      <c r="B1419" s="72" t="n"/>
      <c r="C1419" s="71" t="str">
        <f>IF(ISNUMBER(B1419),CHOOSE(WEEKDAY(B1419,2),"Lun","Mar","Mié","Jue","Vie","Sáb","Dom"),"")</f>
        <v/>
      </c>
      <c r="D1419" s="73" t="n"/>
      <c r="E1419" s="74" t="n"/>
      <c r="F1419" s="74" t="n"/>
      <c r="G1419" s="74" t="n"/>
      <c r="H1419" s="75" t="n"/>
      <c r="I1419" s="75" t="n"/>
      <c r="J1419" s="76" t="n"/>
      <c r="K1419" s="77" t="str">
        <f>IF(AB1419=1,ROUND(AG1419/60,4),"")</f>
        <v/>
      </c>
      <c r="L1419" s="77" t="str">
        <f>IF(BD1419=1,ROUND(AP1419/60,4),"")</f>
        <v/>
      </c>
      <c r="M1419" s="77" t="str">
        <f>IF(BD1419=1,ROUND(AQ1419/60,4),"")</f>
        <v/>
      </c>
      <c r="N1419" s="71" t="str">
        <f>IF(AND(D1419="proMX",AB1419=1),ROUND(AG1419/CFG_BLK,2),"")</f>
        <v/>
      </c>
      <c r="O1419" s="77" t="str">
        <f>IF(D1419="proMX",IF(BD1419=1,ROUND(AG1419/60,4),0),"")</f>
        <v/>
      </c>
      <c r="P1419" s="78" t="str">
        <f>IF(Y1419=0,"",IF(BD1419=1,"OK",IF(D1419="proMX","Revisar bloques: ","Revisar: ")&amp;BC1419))</f>
        <v/>
      </c>
      <c r="Q1419" s="78" t="str">
        <f>IF(NOT(ISNUMBER(B1419)),"",IF(COUNTIFS(FER_F,INT(B1419))&gt;0,"Feriado"&amp;IF(AH1419=1," (laborable)"," (no laborable)"),IF(AH1419=1,"Laborable",IF(WEEKDAY(B1419,2)&gt;5,"Fin de semana","No laborable"))))</f>
        <v/>
      </c>
      <c r="R1419" s="73" t="n"/>
      <c r="S1419" s="72" t="n"/>
      <c r="T1419" s="72" t="n"/>
      <c r="U1419" s="74" t="n"/>
      <c r="V1419" s="79" t="str">
        <f>IF(AND(D1419="proMX",OR(R1419="Submitted",R1419="Recall Requested"),ISNUMBER(S1419)),CFG_TODAY-INT(S1419),"")</f>
        <v/>
      </c>
      <c r="W1419" s="78" t="str">
        <f>IF(BD1419=0,"",IF(BA1419&gt;0,"⚠ Se superpone con un registro de la otra empresa",IF(D1419="Malcolm",IF(COUNTA(R1419,S1419,T1419)&gt;0,"Estado/fechas proMX se ignoran en Malcolm",""),IF(BF1419="Cancelled","Cancelado: excluido de totales",IF(R1419="","Sin estado: se trata como Draft",IF(BF1419="Submitted",IF(ISNUMBER(V1419),IF(V1419&gt;CFG_MAXD,"⚠ "&amp;V1419&amp;" días en Submitted (máx. "&amp;CFG_MAXD&amp;")",""),"Falta fecha de envío"),IF(BF1419="Returned","⚠ Devuelto: corregir y reenviar",IF(BF1419="Recall Requested","Retirada solicitada: pendiente",IF(AND(BF1419="Approved",NOT(ISNUMBER(T1419))),"Falta fecha de aprobación",IF(AND(ISNUMBER(S1419),ISNUMBER(T1419),T1419&lt;S1419),"Aprobación anterior al envío","")))))))))</f>
        <v/>
      </c>
      <c r="Y1419" s="80">
        <f>IF(COUNTA(B1419,D1419,E1419,F1419,G1419,H1419,I1419,J1419,R1419,S1419,T1419)&gt;0,1,0)</f>
        <v>0</v>
      </c>
      <c r="Z1419" s="80" t="str">
        <f>IF(AND(ISNUMBER(H1419),H1419&gt;=0,H1419&lt;1),ROUND(H1419*1440,0),"")</f>
        <v/>
      </c>
      <c r="AA1419" s="80" t="str">
        <f>IF(AND(ISNUMBER(I1419),I1419&gt;=0,I1419&lt;1),ROUND(I1419*1440,0),"")</f>
        <v/>
      </c>
      <c r="AB1419" s="80">
        <f>IF(AND(ISNUMBER(B1419),D1419&lt;&gt;"",ISNUMBER(Z1419),ISNUMBER(AA1419)),IF(Z1419=AA1419,0,1),0)</f>
        <v>0</v>
      </c>
      <c r="AC1419" s="80">
        <f>IF(AB1419=1,IF(AA1419&lt;Z1419,1,0),0)</f>
        <v>0</v>
      </c>
      <c r="AD1419" s="80">
        <f>IF(AB1419=1,IF(AC1419=1,1440-Z1419+AA1419,AA1419-Z1419),0)</f>
        <v>0</v>
      </c>
      <c r="AE1419" s="80">
        <f>IF(J1419="",0,IF(ISNUMBER(J1419),J1419,-1))</f>
        <v>0</v>
      </c>
      <c r="AF1419" s="80">
        <f>MIN(MAX(0,AE1419),AD1419)</f>
        <v>0</v>
      </c>
      <c r="AG1419" s="80">
        <f>MAX(0,AD1419-MAX(0,AE1419))</f>
        <v>0</v>
      </c>
      <c r="AH1419" s="80">
        <f>IF(ISNUMBER(B1419),IF(AND(INDEX(CFG_WDAYS,WEEKDAY(INT(B1419),2))="Sí",IF(D1419="proMX",COUNTIFS(FER_F,INT(B1419),FER_NLP,"Sí"),COUNTIFS(FER_F,INT(B1419),FER_NLM,"Sí"))=0),1,0),0)</f>
        <v>0</v>
      </c>
      <c r="AI1419" s="80">
        <f>IF(AC1419=1,IF(AND(INDEX(CFG_WDAYS,WEEKDAY(INT(B1419)+1,2))="Sí",IF(D1419="proMX",COUNTIFS(FER_F,INT(B1419)+1,FER_NLP,"Sí"),COUNTIFS(FER_F,INT(B1419)+1,FER_NLM,"Sí"))=0),1,0),0)</f>
        <v>0</v>
      </c>
      <c r="AJ1419" s="80">
        <f>IF(AC1419=1,1440-Z1419,AD1419)</f>
        <v>0</v>
      </c>
      <c r="AK1419" s="80">
        <f>IF(AND(AB1419=1,AH1419=1),MAX(0,MIN(IF(AC1419=1,1440,AA1419),CFG_WEM)-MAX(Z1419,CFG_WSM)),0)</f>
        <v>0</v>
      </c>
      <c r="AL1419" s="80">
        <f>IF(AND(AC1419=1,AI1419=1),MAX(0,MIN(AA1419,CFG_WEM)-CFG_WSM),0)</f>
        <v>0</v>
      </c>
      <c r="AM1419" s="80">
        <f>AK1419+AL1419</f>
        <v>0</v>
      </c>
      <c r="AN1419" s="80">
        <f>IF(CFG_BRK="Proporcional",IF(AD1419=0,0,AF1419*AM1419/AD1419),IF(CFG_BRK="Extras primero",MIN(AM1419,MAX(0,AF1419-(AD1419-AM1419))),MIN(AF1419,AM1419)))</f>
        <v>0</v>
      </c>
      <c r="AO1419" s="80">
        <f>AF1419-AN1419</f>
        <v>0</v>
      </c>
      <c r="AP1419" s="80">
        <f>AM1419-AN1419</f>
        <v>0</v>
      </c>
      <c r="AQ1419" s="80">
        <f>AD1419-AM1419-AO1419</f>
        <v>0</v>
      </c>
      <c r="AR1419" s="80">
        <f>IF(AM1419=0,0,AK1419-AN1419*AK1419/AM1419)</f>
        <v>0</v>
      </c>
      <c r="AS1419" s="80">
        <f>IF(AD1419-AM1419=0,0,(AJ1419-AK1419)-AO1419*(AJ1419-AK1419)/(AD1419-AM1419))</f>
        <v>0</v>
      </c>
      <c r="AT1419" s="80" t="str">
        <f>IF(AC1419=1,INT(B1419)+1,"")</f>
        <v/>
      </c>
      <c r="AU1419" s="80">
        <f>IF(AND(D1419="proMX",R1419="Cancelled"),0,1)</f>
        <v>1</v>
      </c>
      <c r="AV1419" s="80">
        <f>IF(AND(AB1419=1,AU1419=1),IF(COUNTIFS($D$5:D1418,D1419,$B$5:B1418,B1419,$Z$5:Z1418,Z1419,$AA$5:AA1418,AA1419,$F$5:F1418,F1419&amp;"",$AU$5:AU1418,1)&gt;0,1,0),0)</f>
        <v>0</v>
      </c>
      <c r="AW1419" s="80" t="str">
        <f>IF(AB1419=1,INT(B1419)*1440+Z1419,"")</f>
        <v/>
      </c>
      <c r="AX1419" s="80" t="str">
        <f>IF(AB1419=1,AW1419+AD1419,"")</f>
        <v/>
      </c>
      <c r="AY1419" s="80">
        <f>IF(AND(AB1419=1,AV1419=0,AU1419=1),1,0)</f>
        <v>0</v>
      </c>
      <c r="AZ1419" s="80">
        <f>IF(AY1419=1,COUNTIFS(R_Emp,D1419,R_SAbs,"&lt;"&amp;AX1419,R_EAbs,"&gt;"&amp;AW1419,R_OKey,1)-1,0)</f>
        <v>0</v>
      </c>
      <c r="BA1419" s="80">
        <f>IF(AY1419=1,COUNTIFS(R_Emp,"&lt;&gt;"&amp;D1419,R_SAbs,"&lt;"&amp;AX1419,R_EAbs,"&gt;"&amp;AW1419,R_OKey,1),0)</f>
        <v>0</v>
      </c>
      <c r="BB1419" s="80">
        <f>IF(AND(AB1419=1,D1419="proMX"),IF(AND(MOD(Z1419,CFG_BLK)=0,MOD(AA1419,CFG_BLK)=0,MOD(AG1419,CFG_BLK)=0,AG1419&gt;0),1,0),1)</f>
        <v>1</v>
      </c>
      <c r="BC1419" s="80" t="str">
        <f>IF(Y1419=0,"",IF(NOT(ISNUMBER(B1419)),"Falta fecha o fecha inválida",IF(D1419="","Falta empresa",IF(AND(D1419&lt;&gt;"Malcolm",D1419&lt;&gt;"proMX"),"Empresa inválida",IF(OR(INT(B1419)&lt;CFG_PSTART,INT(B1419)&gt;CFG_PEND),"Fecha fuera del período",IF(OR(NOT(ISNUMBER(Z1419)),NOT(ISNUMBER(AA1419))),"Falta hora inicio/fin o formato inválido",IF(AB1419=0,"Hora inicio = hora fin",IF(AE1419&lt;0,"Descanso inválido",IF(AE1419&gt;=AD1419,"Descanso ≥ duración",IF(AV1419=1,"Registro duplicado",IF(AZ1419&gt;0,"Se superpone con otro registro "&amp;D1419,IF(BB1419=0,"inicio, fin y duración neta deben ser múltiplos de "&amp;CFG_BLK&amp;" min",""))))))))))))</f>
        <v/>
      </c>
      <c r="BD1419" s="80">
        <f>IF(AND(Y1419=1,BC1419=""),1,0)</f>
        <v>0</v>
      </c>
      <c r="BE1419" s="80">
        <f>IF(AND(BD1419=1,AU1419=1),1,0)</f>
        <v>0</v>
      </c>
      <c r="BF1419" s="80" t="str">
        <f>IF(AND(D1419="proMX",BD1419=1),IF(R1419="","Draft",R1419),"")</f>
        <v/>
      </c>
      <c r="BG1419" s="80">
        <f>IF(BD1419=1,ROUND(AG1419/60,6),0)</f>
        <v>0</v>
      </c>
      <c r="BH1419" s="80">
        <f>IF(BE1419=1,ROUND(AG1419/60,6),0)</f>
        <v>0</v>
      </c>
      <c r="BI1419" s="80">
        <f>IF(BE1419=1,ROUND(AP1419/60,6),0)</f>
        <v>0</v>
      </c>
      <c r="BJ1419" s="80">
        <f>IF(BE1419=1,ROUND(AQ1419/60,6),0)</f>
        <v>0</v>
      </c>
      <c r="BK1419" s="80">
        <f>IF(BE1419=1,ROUND((AR1419+AS1419)/60,6),0)</f>
        <v>0</v>
      </c>
      <c r="BL1419" s="80">
        <f>ROUND(BH1419-BK1419,6)</f>
        <v>0</v>
      </c>
      <c r="BM1419" s="80">
        <f>IF(BE1419=1,ROUND(AR1419/60,6),0)</f>
        <v>0</v>
      </c>
      <c r="BN1419" s="80">
        <f>ROUND(BI1419-BM1419,6)</f>
        <v>0</v>
      </c>
      <c r="BO1419" s="80">
        <f>IF(BE1419=1,ROUND(AS1419/60,6),0)</f>
        <v>0</v>
      </c>
      <c r="BP1419" s="80">
        <f>ROUND(BJ1419-BO1419,6)</f>
        <v>0</v>
      </c>
      <c r="BQ1419" s="80">
        <f>IF(BE1419=1,AW1419,0)</f>
        <v>0</v>
      </c>
      <c r="BR1419" s="80">
        <f>IF(BE1419=1,AX1419,0)</f>
        <v>0</v>
      </c>
      <c r="BS1419" s="80">
        <f>IF(AND(BE1419=1,D1419="Malcolm",BA1419&gt;0),MIN(BH1419,SUMPRODUCT((R_Emp="proMX")*(R_EN&gt;0)*((R_EN-(R_EN&gt;BR1419)*(R_EN-BR1419))&gt;(R_SN+(R_SN&lt;BQ1419)*(BQ1419-R_SN)))*((R_EN-(R_EN&gt;BR1419)*(R_EN-BR1419))-(R_SN+(R_SN&lt;BQ1419)*(BQ1419-R_SN))))/60),0)</f>
        <v>0</v>
      </c>
      <c r="BT1419" s="80">
        <f>IF(AND(BE1419=1,D1419="proMX"),ROUND(BI1419*CFG_RATE+BJ1419*CFG_OTRATE,6),0)</f>
        <v>0</v>
      </c>
      <c r="BU1419" s="80">
        <f>IF(AND(BD1419=1,D1419="proMX"),ROUND(AG1419/CFG_BLK,6),0)</f>
        <v>0</v>
      </c>
      <c r="BV1419" s="80" t="str">
        <f>IF(BF1419="Approved",IF(ISNUMBER(T1419),INT(T1419),INT(B1419)),"")</f>
        <v/>
      </c>
      <c r="BW1419" s="80">
        <f>IF(ISNUMBER(B1419),IF(DB_MON="Todos",1,IF(AND(INT(B1419)&gt;=DB_MS,INT(B1419)&lt;=DB_ME),1,0)),0)</f>
        <v>0</v>
      </c>
      <c r="BX1419" s="80">
        <f>IF(DB_PROJ="Todos",1,IF(E1419&amp;""=DB_PROJ&amp;"",1,0))</f>
        <v>1</v>
      </c>
      <c r="BY1419" s="80">
        <f>BW1419*BX1419</f>
        <v>0</v>
      </c>
      <c r="BZ1419" s="80" t="str">
        <f>IF(Y1419=1,F1419&amp;IF(AND(F1419&amp;""&lt;&gt;"",E1419&amp;""&lt;&gt;"")," · ","")&amp;E1419,"")</f>
        <v/>
      </c>
      <c r="CA1419" s="80" t="str">
        <f>IF(AND(BD1419=1,E1419&amp;""&lt;&gt;""),IF(COUNTIFS($E$5:E1418,E1419,$BD$5:BD1418,1)=0,MAX($CA$5:CA1418)+1,""),"")</f>
        <v/>
      </c>
      <c r="CB1419" s="80" t="str">
        <f>IF(AND(BE1419=1,D1419="Malcolm",E1419&amp;""&lt;&gt;""),IF(COUNTIFS($D$5:D1418,"Malcolm",$E$5:E1418,E1419,$BE$5:BE1418,1)=0,MAX($CB$5:CB1418)+1,""),"")</f>
        <v/>
      </c>
      <c r="CC1419" s="80" t="str">
        <f>IF(AND(BD1419=1,D1419="proMX",E1419&amp;""&lt;&gt;""),IF(COUNTIFS($D$5:D1418,"proMX",$E$5:E1418,E1419,$BD$5:BD1418,1)=0,MAX($CC$5:CC1418)+1,""),"")</f>
        <v/>
      </c>
      <c r="CD1419" s="80" t="str">
        <f>IF(AND(BE1419=1,D1419="Malcolm",F1419&amp;""&lt;&gt;""),IF(COUNTIFS($D$5:D1418,"Malcolm",$F$5:F1418,F1419,$BE$5:BE1418,1)=0,MAX($CD$5:CD1418)+1,""),"")</f>
        <v/>
      </c>
      <c r="CE1419" s="80" t="str">
        <f>IF(AND(BD1419=1,D1419="proMX",F1419&amp;""&lt;&gt;""),IF(COUNTIFS($D$5:D1418,"proMX",$F$5:F1418,F1419,$BD$5:BD1418,1)=0,MAX($CE$5:CE1418)+1,""),"")</f>
        <v/>
      </c>
      <c r="CF1419" s="80" t="str">
        <f>IF(AND(D1419="proMX",BD1419=1),IF(OR(BF1419="Draft",BF1419="Submitted",BF1419="Returned",BF1419="Recall Requested"),MAX($CF$5:CF1418)+1,""),"")</f>
        <v/>
      </c>
      <c r="CG1419" s="80">
        <f>IF(BD1419=0,0,IF(D1419="Malcolm",1,MATCH(BF1419,{"Draft","Submitted","Approved","Returned","Recall Requested","Cancelled"},0)+1))</f>
        <v>0</v>
      </c>
      <c r="CH1419" s="80">
        <f>IF(AND(BF1419="Submitted",ISNUMBER(V1419)),IF(V1419&gt;CFG_MAXD,1,0),0)</f>
        <v>0</v>
      </c>
    </row>
    <row r="1420">
      <c r="A1420" s="71" t="str">
        <f>IF(Y1420=1,ROW()-5,"")</f>
        <v/>
      </c>
      <c r="B1420" s="72" t="n"/>
      <c r="C1420" s="71" t="str">
        <f>IF(ISNUMBER(B1420),CHOOSE(WEEKDAY(B1420,2),"Lun","Mar","Mié","Jue","Vie","Sáb","Dom"),"")</f>
        <v/>
      </c>
      <c r="D1420" s="73" t="n"/>
      <c r="E1420" s="74" t="n"/>
      <c r="F1420" s="74" t="n"/>
      <c r="G1420" s="74" t="n"/>
      <c r="H1420" s="75" t="n"/>
      <c r="I1420" s="75" t="n"/>
      <c r="J1420" s="76" t="n"/>
      <c r="K1420" s="77" t="str">
        <f>IF(AB1420=1,ROUND(AG1420/60,4),"")</f>
        <v/>
      </c>
      <c r="L1420" s="77" t="str">
        <f>IF(BD1420=1,ROUND(AP1420/60,4),"")</f>
        <v/>
      </c>
      <c r="M1420" s="77" t="str">
        <f>IF(BD1420=1,ROUND(AQ1420/60,4),"")</f>
        <v/>
      </c>
      <c r="N1420" s="71" t="str">
        <f>IF(AND(D1420="proMX",AB1420=1),ROUND(AG1420/CFG_BLK,2),"")</f>
        <v/>
      </c>
      <c r="O1420" s="77" t="str">
        <f>IF(D1420="proMX",IF(BD1420=1,ROUND(AG1420/60,4),0),"")</f>
        <v/>
      </c>
      <c r="P1420" s="78" t="str">
        <f>IF(Y1420=0,"",IF(BD1420=1,"OK",IF(D1420="proMX","Revisar bloques: ","Revisar: ")&amp;BC1420))</f>
        <v/>
      </c>
      <c r="Q1420" s="78" t="str">
        <f>IF(NOT(ISNUMBER(B1420)),"",IF(COUNTIFS(FER_F,INT(B1420))&gt;0,"Feriado"&amp;IF(AH1420=1," (laborable)"," (no laborable)"),IF(AH1420=1,"Laborable",IF(WEEKDAY(B1420,2)&gt;5,"Fin de semana","No laborable"))))</f>
        <v/>
      </c>
      <c r="R1420" s="73" t="n"/>
      <c r="S1420" s="72" t="n"/>
      <c r="T1420" s="72" t="n"/>
      <c r="U1420" s="74" t="n"/>
      <c r="V1420" s="79" t="str">
        <f>IF(AND(D1420="proMX",OR(R1420="Submitted",R1420="Recall Requested"),ISNUMBER(S1420)),CFG_TODAY-INT(S1420),"")</f>
        <v/>
      </c>
      <c r="W1420" s="78" t="str">
        <f>IF(BD1420=0,"",IF(BA1420&gt;0,"⚠ Se superpone con un registro de la otra empresa",IF(D1420="Malcolm",IF(COUNTA(R1420,S1420,T1420)&gt;0,"Estado/fechas proMX se ignoran en Malcolm",""),IF(BF1420="Cancelled","Cancelado: excluido de totales",IF(R1420="","Sin estado: se trata como Draft",IF(BF1420="Submitted",IF(ISNUMBER(V1420),IF(V1420&gt;CFG_MAXD,"⚠ "&amp;V1420&amp;" días en Submitted (máx. "&amp;CFG_MAXD&amp;")",""),"Falta fecha de envío"),IF(BF1420="Returned","⚠ Devuelto: corregir y reenviar",IF(BF1420="Recall Requested","Retirada solicitada: pendiente",IF(AND(BF1420="Approved",NOT(ISNUMBER(T1420))),"Falta fecha de aprobación",IF(AND(ISNUMBER(S1420),ISNUMBER(T1420),T1420&lt;S1420),"Aprobación anterior al envío","")))))))))</f>
        <v/>
      </c>
      <c r="Y1420" s="80">
        <f>IF(COUNTA(B1420,D1420,E1420,F1420,G1420,H1420,I1420,J1420,R1420,S1420,T1420)&gt;0,1,0)</f>
        <v>0</v>
      </c>
      <c r="Z1420" s="80" t="str">
        <f>IF(AND(ISNUMBER(H1420),H1420&gt;=0,H1420&lt;1),ROUND(H1420*1440,0),"")</f>
        <v/>
      </c>
      <c r="AA1420" s="80" t="str">
        <f>IF(AND(ISNUMBER(I1420),I1420&gt;=0,I1420&lt;1),ROUND(I1420*1440,0),"")</f>
        <v/>
      </c>
      <c r="AB1420" s="80">
        <f>IF(AND(ISNUMBER(B1420),D1420&lt;&gt;"",ISNUMBER(Z1420),ISNUMBER(AA1420)),IF(Z1420=AA1420,0,1),0)</f>
        <v>0</v>
      </c>
      <c r="AC1420" s="80">
        <f>IF(AB1420=1,IF(AA1420&lt;Z1420,1,0),0)</f>
        <v>0</v>
      </c>
      <c r="AD1420" s="80">
        <f>IF(AB1420=1,IF(AC1420=1,1440-Z1420+AA1420,AA1420-Z1420),0)</f>
        <v>0</v>
      </c>
      <c r="AE1420" s="80">
        <f>IF(J1420="",0,IF(ISNUMBER(J1420),J1420,-1))</f>
        <v>0</v>
      </c>
      <c r="AF1420" s="80">
        <f>MIN(MAX(0,AE1420),AD1420)</f>
        <v>0</v>
      </c>
      <c r="AG1420" s="80">
        <f>MAX(0,AD1420-MAX(0,AE1420))</f>
        <v>0</v>
      </c>
      <c r="AH1420" s="80">
        <f>IF(ISNUMBER(B1420),IF(AND(INDEX(CFG_WDAYS,WEEKDAY(INT(B1420),2))="Sí",IF(D1420="proMX",COUNTIFS(FER_F,INT(B1420),FER_NLP,"Sí"),COUNTIFS(FER_F,INT(B1420),FER_NLM,"Sí"))=0),1,0),0)</f>
        <v>0</v>
      </c>
      <c r="AI1420" s="80">
        <f>IF(AC1420=1,IF(AND(INDEX(CFG_WDAYS,WEEKDAY(INT(B1420)+1,2))="Sí",IF(D1420="proMX",COUNTIFS(FER_F,INT(B1420)+1,FER_NLP,"Sí"),COUNTIFS(FER_F,INT(B1420)+1,FER_NLM,"Sí"))=0),1,0),0)</f>
        <v>0</v>
      </c>
      <c r="AJ1420" s="80">
        <f>IF(AC1420=1,1440-Z1420,AD1420)</f>
        <v>0</v>
      </c>
      <c r="AK1420" s="80">
        <f>IF(AND(AB1420=1,AH1420=1),MAX(0,MIN(IF(AC1420=1,1440,AA1420),CFG_WEM)-MAX(Z1420,CFG_WSM)),0)</f>
        <v>0</v>
      </c>
      <c r="AL1420" s="80">
        <f>IF(AND(AC1420=1,AI1420=1),MAX(0,MIN(AA1420,CFG_WEM)-CFG_WSM),0)</f>
        <v>0</v>
      </c>
      <c r="AM1420" s="80">
        <f>AK1420+AL1420</f>
        <v>0</v>
      </c>
      <c r="AN1420" s="80">
        <f>IF(CFG_BRK="Proporcional",IF(AD1420=0,0,AF1420*AM1420/AD1420),IF(CFG_BRK="Extras primero",MIN(AM1420,MAX(0,AF1420-(AD1420-AM1420))),MIN(AF1420,AM1420)))</f>
        <v>0</v>
      </c>
      <c r="AO1420" s="80">
        <f>AF1420-AN1420</f>
        <v>0</v>
      </c>
      <c r="AP1420" s="80">
        <f>AM1420-AN1420</f>
        <v>0</v>
      </c>
      <c r="AQ1420" s="80">
        <f>AD1420-AM1420-AO1420</f>
        <v>0</v>
      </c>
      <c r="AR1420" s="80">
        <f>IF(AM1420=0,0,AK1420-AN1420*AK1420/AM1420)</f>
        <v>0</v>
      </c>
      <c r="AS1420" s="80">
        <f>IF(AD1420-AM1420=0,0,(AJ1420-AK1420)-AO1420*(AJ1420-AK1420)/(AD1420-AM1420))</f>
        <v>0</v>
      </c>
      <c r="AT1420" s="80" t="str">
        <f>IF(AC1420=1,INT(B1420)+1,"")</f>
        <v/>
      </c>
      <c r="AU1420" s="80">
        <f>IF(AND(D1420="proMX",R1420="Cancelled"),0,1)</f>
        <v>1</v>
      </c>
      <c r="AV1420" s="80">
        <f>IF(AND(AB1420=1,AU1420=1),IF(COUNTIFS($D$5:D1419,D1420,$B$5:B1419,B1420,$Z$5:Z1419,Z1420,$AA$5:AA1419,AA1420,$F$5:F1419,F1420&amp;"",$AU$5:AU1419,1)&gt;0,1,0),0)</f>
        <v>0</v>
      </c>
      <c r="AW1420" s="80" t="str">
        <f>IF(AB1420=1,INT(B1420)*1440+Z1420,"")</f>
        <v/>
      </c>
      <c r="AX1420" s="80" t="str">
        <f>IF(AB1420=1,AW1420+AD1420,"")</f>
        <v/>
      </c>
      <c r="AY1420" s="80">
        <f>IF(AND(AB1420=1,AV1420=0,AU1420=1),1,0)</f>
        <v>0</v>
      </c>
      <c r="AZ1420" s="80">
        <f>IF(AY1420=1,COUNTIFS(R_Emp,D1420,R_SAbs,"&lt;"&amp;AX1420,R_EAbs,"&gt;"&amp;AW1420,R_OKey,1)-1,0)</f>
        <v>0</v>
      </c>
      <c r="BA1420" s="80">
        <f>IF(AY1420=1,COUNTIFS(R_Emp,"&lt;&gt;"&amp;D1420,R_SAbs,"&lt;"&amp;AX1420,R_EAbs,"&gt;"&amp;AW1420,R_OKey,1),0)</f>
        <v>0</v>
      </c>
      <c r="BB1420" s="80">
        <f>IF(AND(AB1420=1,D1420="proMX"),IF(AND(MOD(Z1420,CFG_BLK)=0,MOD(AA1420,CFG_BLK)=0,MOD(AG1420,CFG_BLK)=0,AG1420&gt;0),1,0),1)</f>
        <v>1</v>
      </c>
      <c r="BC1420" s="80" t="str">
        <f>IF(Y1420=0,"",IF(NOT(ISNUMBER(B1420)),"Falta fecha o fecha inválida",IF(D1420="","Falta empresa",IF(AND(D1420&lt;&gt;"Malcolm",D1420&lt;&gt;"proMX"),"Empresa inválida",IF(OR(INT(B1420)&lt;CFG_PSTART,INT(B1420)&gt;CFG_PEND),"Fecha fuera del período",IF(OR(NOT(ISNUMBER(Z1420)),NOT(ISNUMBER(AA1420))),"Falta hora inicio/fin o formato inválido",IF(AB1420=0,"Hora inicio = hora fin",IF(AE1420&lt;0,"Descanso inválido",IF(AE1420&gt;=AD1420,"Descanso ≥ duración",IF(AV1420=1,"Registro duplicado",IF(AZ1420&gt;0,"Se superpone con otro registro "&amp;D1420,IF(BB1420=0,"inicio, fin y duración neta deben ser múltiplos de "&amp;CFG_BLK&amp;" min",""))))))))))))</f>
        <v/>
      </c>
      <c r="BD1420" s="80">
        <f>IF(AND(Y1420=1,BC1420=""),1,0)</f>
        <v>0</v>
      </c>
      <c r="BE1420" s="80">
        <f>IF(AND(BD1420=1,AU1420=1),1,0)</f>
        <v>0</v>
      </c>
      <c r="BF1420" s="80" t="str">
        <f>IF(AND(D1420="proMX",BD1420=1),IF(R1420="","Draft",R1420),"")</f>
        <v/>
      </c>
      <c r="BG1420" s="80">
        <f>IF(BD1420=1,ROUND(AG1420/60,6),0)</f>
        <v>0</v>
      </c>
      <c r="BH1420" s="80">
        <f>IF(BE1420=1,ROUND(AG1420/60,6),0)</f>
        <v>0</v>
      </c>
      <c r="BI1420" s="80">
        <f>IF(BE1420=1,ROUND(AP1420/60,6),0)</f>
        <v>0</v>
      </c>
      <c r="BJ1420" s="80">
        <f>IF(BE1420=1,ROUND(AQ1420/60,6),0)</f>
        <v>0</v>
      </c>
      <c r="BK1420" s="80">
        <f>IF(BE1420=1,ROUND((AR1420+AS1420)/60,6),0)</f>
        <v>0</v>
      </c>
      <c r="BL1420" s="80">
        <f>ROUND(BH1420-BK1420,6)</f>
        <v>0</v>
      </c>
      <c r="BM1420" s="80">
        <f>IF(BE1420=1,ROUND(AR1420/60,6),0)</f>
        <v>0</v>
      </c>
      <c r="BN1420" s="80">
        <f>ROUND(BI1420-BM1420,6)</f>
        <v>0</v>
      </c>
      <c r="BO1420" s="80">
        <f>IF(BE1420=1,ROUND(AS1420/60,6),0)</f>
        <v>0</v>
      </c>
      <c r="BP1420" s="80">
        <f>ROUND(BJ1420-BO1420,6)</f>
        <v>0</v>
      </c>
      <c r="BQ1420" s="80">
        <f>IF(BE1420=1,AW1420,0)</f>
        <v>0</v>
      </c>
      <c r="BR1420" s="80">
        <f>IF(BE1420=1,AX1420,0)</f>
        <v>0</v>
      </c>
      <c r="BS1420" s="80">
        <f>IF(AND(BE1420=1,D1420="Malcolm",BA1420&gt;0),MIN(BH1420,SUMPRODUCT((R_Emp="proMX")*(R_EN&gt;0)*((R_EN-(R_EN&gt;BR1420)*(R_EN-BR1420))&gt;(R_SN+(R_SN&lt;BQ1420)*(BQ1420-R_SN)))*((R_EN-(R_EN&gt;BR1420)*(R_EN-BR1420))-(R_SN+(R_SN&lt;BQ1420)*(BQ1420-R_SN))))/60),0)</f>
        <v>0</v>
      </c>
      <c r="BT1420" s="80">
        <f>IF(AND(BE1420=1,D1420="proMX"),ROUND(BI1420*CFG_RATE+BJ1420*CFG_OTRATE,6),0)</f>
        <v>0</v>
      </c>
      <c r="BU1420" s="80">
        <f>IF(AND(BD1420=1,D1420="proMX"),ROUND(AG1420/CFG_BLK,6),0)</f>
        <v>0</v>
      </c>
      <c r="BV1420" s="80" t="str">
        <f>IF(BF1420="Approved",IF(ISNUMBER(T1420),INT(T1420),INT(B1420)),"")</f>
        <v/>
      </c>
      <c r="BW1420" s="80">
        <f>IF(ISNUMBER(B1420),IF(DB_MON="Todos",1,IF(AND(INT(B1420)&gt;=DB_MS,INT(B1420)&lt;=DB_ME),1,0)),0)</f>
        <v>0</v>
      </c>
      <c r="BX1420" s="80">
        <f>IF(DB_PROJ="Todos",1,IF(E1420&amp;""=DB_PROJ&amp;"",1,0))</f>
        <v>1</v>
      </c>
      <c r="BY1420" s="80">
        <f>BW1420*BX1420</f>
        <v>0</v>
      </c>
      <c r="BZ1420" s="80" t="str">
        <f>IF(Y1420=1,F1420&amp;IF(AND(F1420&amp;""&lt;&gt;"",E1420&amp;""&lt;&gt;"")," · ","")&amp;E1420,"")</f>
        <v/>
      </c>
      <c r="CA1420" s="80" t="str">
        <f>IF(AND(BD1420=1,E1420&amp;""&lt;&gt;""),IF(COUNTIFS($E$5:E1419,E1420,$BD$5:BD1419,1)=0,MAX($CA$5:CA1419)+1,""),"")</f>
        <v/>
      </c>
      <c r="CB1420" s="80" t="str">
        <f>IF(AND(BE1420=1,D1420="Malcolm",E1420&amp;""&lt;&gt;""),IF(COUNTIFS($D$5:D1419,"Malcolm",$E$5:E1419,E1420,$BE$5:BE1419,1)=0,MAX($CB$5:CB1419)+1,""),"")</f>
        <v/>
      </c>
      <c r="CC1420" s="80" t="str">
        <f>IF(AND(BD1420=1,D1420="proMX",E1420&amp;""&lt;&gt;""),IF(COUNTIFS($D$5:D1419,"proMX",$E$5:E1419,E1420,$BD$5:BD1419,1)=0,MAX($CC$5:CC1419)+1,""),"")</f>
        <v/>
      </c>
      <c r="CD1420" s="80" t="str">
        <f>IF(AND(BE1420=1,D1420="Malcolm",F1420&amp;""&lt;&gt;""),IF(COUNTIFS($D$5:D1419,"Malcolm",$F$5:F1419,F1420,$BE$5:BE1419,1)=0,MAX($CD$5:CD1419)+1,""),"")</f>
        <v/>
      </c>
      <c r="CE1420" s="80" t="str">
        <f>IF(AND(BD1420=1,D1420="proMX",F1420&amp;""&lt;&gt;""),IF(COUNTIFS($D$5:D1419,"proMX",$F$5:F1419,F1420,$BD$5:BD1419,1)=0,MAX($CE$5:CE1419)+1,""),"")</f>
        <v/>
      </c>
      <c r="CF1420" s="80" t="str">
        <f>IF(AND(D1420="proMX",BD1420=1),IF(OR(BF1420="Draft",BF1420="Submitted",BF1420="Returned",BF1420="Recall Requested"),MAX($CF$5:CF1419)+1,""),"")</f>
        <v/>
      </c>
      <c r="CG1420" s="80">
        <f>IF(BD1420=0,0,IF(D1420="Malcolm",1,MATCH(BF1420,{"Draft","Submitted","Approved","Returned","Recall Requested","Cancelled"},0)+1))</f>
        <v>0</v>
      </c>
      <c r="CH1420" s="80">
        <f>IF(AND(BF1420="Submitted",ISNUMBER(V1420)),IF(V1420&gt;CFG_MAXD,1,0),0)</f>
        <v>0</v>
      </c>
    </row>
    <row r="1421">
      <c r="A1421" s="71" t="str">
        <f>IF(Y1421=1,ROW()-5,"")</f>
        <v/>
      </c>
      <c r="B1421" s="72" t="n"/>
      <c r="C1421" s="71" t="str">
        <f>IF(ISNUMBER(B1421),CHOOSE(WEEKDAY(B1421,2),"Lun","Mar","Mié","Jue","Vie","Sáb","Dom"),"")</f>
        <v/>
      </c>
      <c r="D1421" s="73" t="n"/>
      <c r="E1421" s="74" t="n"/>
      <c r="F1421" s="74" t="n"/>
      <c r="G1421" s="74" t="n"/>
      <c r="H1421" s="75" t="n"/>
      <c r="I1421" s="75" t="n"/>
      <c r="J1421" s="76" t="n"/>
      <c r="K1421" s="77" t="str">
        <f>IF(AB1421=1,ROUND(AG1421/60,4),"")</f>
        <v/>
      </c>
      <c r="L1421" s="77" t="str">
        <f>IF(BD1421=1,ROUND(AP1421/60,4),"")</f>
        <v/>
      </c>
      <c r="M1421" s="77" t="str">
        <f>IF(BD1421=1,ROUND(AQ1421/60,4),"")</f>
        <v/>
      </c>
      <c r="N1421" s="71" t="str">
        <f>IF(AND(D1421="proMX",AB1421=1),ROUND(AG1421/CFG_BLK,2),"")</f>
        <v/>
      </c>
      <c r="O1421" s="77" t="str">
        <f>IF(D1421="proMX",IF(BD1421=1,ROUND(AG1421/60,4),0),"")</f>
        <v/>
      </c>
      <c r="P1421" s="78" t="str">
        <f>IF(Y1421=0,"",IF(BD1421=1,"OK",IF(D1421="proMX","Revisar bloques: ","Revisar: ")&amp;BC1421))</f>
        <v/>
      </c>
      <c r="Q1421" s="78" t="str">
        <f>IF(NOT(ISNUMBER(B1421)),"",IF(COUNTIFS(FER_F,INT(B1421))&gt;0,"Feriado"&amp;IF(AH1421=1," (laborable)"," (no laborable)"),IF(AH1421=1,"Laborable",IF(WEEKDAY(B1421,2)&gt;5,"Fin de semana","No laborable"))))</f>
        <v/>
      </c>
      <c r="R1421" s="73" t="n"/>
      <c r="S1421" s="72" t="n"/>
      <c r="T1421" s="72" t="n"/>
      <c r="U1421" s="74" t="n"/>
      <c r="V1421" s="79" t="str">
        <f>IF(AND(D1421="proMX",OR(R1421="Submitted",R1421="Recall Requested"),ISNUMBER(S1421)),CFG_TODAY-INT(S1421),"")</f>
        <v/>
      </c>
      <c r="W1421" s="78" t="str">
        <f>IF(BD1421=0,"",IF(BA1421&gt;0,"⚠ Se superpone con un registro de la otra empresa",IF(D1421="Malcolm",IF(COUNTA(R1421,S1421,T1421)&gt;0,"Estado/fechas proMX se ignoran en Malcolm",""),IF(BF1421="Cancelled","Cancelado: excluido de totales",IF(R1421="","Sin estado: se trata como Draft",IF(BF1421="Submitted",IF(ISNUMBER(V1421),IF(V1421&gt;CFG_MAXD,"⚠ "&amp;V1421&amp;" días en Submitted (máx. "&amp;CFG_MAXD&amp;")",""),"Falta fecha de envío"),IF(BF1421="Returned","⚠ Devuelto: corregir y reenviar",IF(BF1421="Recall Requested","Retirada solicitada: pendiente",IF(AND(BF1421="Approved",NOT(ISNUMBER(T1421))),"Falta fecha de aprobación",IF(AND(ISNUMBER(S1421),ISNUMBER(T1421),T1421&lt;S1421),"Aprobación anterior al envío","")))))))))</f>
        <v/>
      </c>
      <c r="Y1421" s="80">
        <f>IF(COUNTA(B1421,D1421,E1421,F1421,G1421,H1421,I1421,J1421,R1421,S1421,T1421)&gt;0,1,0)</f>
        <v>0</v>
      </c>
      <c r="Z1421" s="80" t="str">
        <f>IF(AND(ISNUMBER(H1421),H1421&gt;=0,H1421&lt;1),ROUND(H1421*1440,0),"")</f>
        <v/>
      </c>
      <c r="AA1421" s="80" t="str">
        <f>IF(AND(ISNUMBER(I1421),I1421&gt;=0,I1421&lt;1),ROUND(I1421*1440,0),"")</f>
        <v/>
      </c>
      <c r="AB1421" s="80">
        <f>IF(AND(ISNUMBER(B1421),D1421&lt;&gt;"",ISNUMBER(Z1421),ISNUMBER(AA1421)),IF(Z1421=AA1421,0,1),0)</f>
        <v>0</v>
      </c>
      <c r="AC1421" s="80">
        <f>IF(AB1421=1,IF(AA1421&lt;Z1421,1,0),0)</f>
        <v>0</v>
      </c>
      <c r="AD1421" s="80">
        <f>IF(AB1421=1,IF(AC1421=1,1440-Z1421+AA1421,AA1421-Z1421),0)</f>
        <v>0</v>
      </c>
      <c r="AE1421" s="80">
        <f>IF(J1421="",0,IF(ISNUMBER(J1421),J1421,-1))</f>
        <v>0</v>
      </c>
      <c r="AF1421" s="80">
        <f>MIN(MAX(0,AE1421),AD1421)</f>
        <v>0</v>
      </c>
      <c r="AG1421" s="80">
        <f>MAX(0,AD1421-MAX(0,AE1421))</f>
        <v>0</v>
      </c>
      <c r="AH1421" s="80">
        <f>IF(ISNUMBER(B1421),IF(AND(INDEX(CFG_WDAYS,WEEKDAY(INT(B1421),2))="Sí",IF(D1421="proMX",COUNTIFS(FER_F,INT(B1421),FER_NLP,"Sí"),COUNTIFS(FER_F,INT(B1421),FER_NLM,"Sí"))=0),1,0),0)</f>
        <v>0</v>
      </c>
      <c r="AI1421" s="80">
        <f>IF(AC1421=1,IF(AND(INDEX(CFG_WDAYS,WEEKDAY(INT(B1421)+1,2))="Sí",IF(D1421="proMX",COUNTIFS(FER_F,INT(B1421)+1,FER_NLP,"Sí"),COUNTIFS(FER_F,INT(B1421)+1,FER_NLM,"Sí"))=0),1,0),0)</f>
        <v>0</v>
      </c>
      <c r="AJ1421" s="80">
        <f>IF(AC1421=1,1440-Z1421,AD1421)</f>
        <v>0</v>
      </c>
      <c r="AK1421" s="80">
        <f>IF(AND(AB1421=1,AH1421=1),MAX(0,MIN(IF(AC1421=1,1440,AA1421),CFG_WEM)-MAX(Z1421,CFG_WSM)),0)</f>
        <v>0</v>
      </c>
      <c r="AL1421" s="80">
        <f>IF(AND(AC1421=1,AI1421=1),MAX(0,MIN(AA1421,CFG_WEM)-CFG_WSM),0)</f>
        <v>0</v>
      </c>
      <c r="AM1421" s="80">
        <f>AK1421+AL1421</f>
        <v>0</v>
      </c>
      <c r="AN1421" s="80">
        <f>IF(CFG_BRK="Proporcional",IF(AD1421=0,0,AF1421*AM1421/AD1421),IF(CFG_BRK="Extras primero",MIN(AM1421,MAX(0,AF1421-(AD1421-AM1421))),MIN(AF1421,AM1421)))</f>
        <v>0</v>
      </c>
      <c r="AO1421" s="80">
        <f>AF1421-AN1421</f>
        <v>0</v>
      </c>
      <c r="AP1421" s="80">
        <f>AM1421-AN1421</f>
        <v>0</v>
      </c>
      <c r="AQ1421" s="80">
        <f>AD1421-AM1421-AO1421</f>
        <v>0</v>
      </c>
      <c r="AR1421" s="80">
        <f>IF(AM1421=0,0,AK1421-AN1421*AK1421/AM1421)</f>
        <v>0</v>
      </c>
      <c r="AS1421" s="80">
        <f>IF(AD1421-AM1421=0,0,(AJ1421-AK1421)-AO1421*(AJ1421-AK1421)/(AD1421-AM1421))</f>
        <v>0</v>
      </c>
      <c r="AT1421" s="80" t="str">
        <f>IF(AC1421=1,INT(B1421)+1,"")</f>
        <v/>
      </c>
      <c r="AU1421" s="80">
        <f>IF(AND(D1421="proMX",R1421="Cancelled"),0,1)</f>
        <v>1</v>
      </c>
      <c r="AV1421" s="80">
        <f>IF(AND(AB1421=1,AU1421=1),IF(COUNTIFS($D$5:D1420,D1421,$B$5:B1420,B1421,$Z$5:Z1420,Z1421,$AA$5:AA1420,AA1421,$F$5:F1420,F1421&amp;"",$AU$5:AU1420,1)&gt;0,1,0),0)</f>
        <v>0</v>
      </c>
      <c r="AW1421" s="80" t="str">
        <f>IF(AB1421=1,INT(B1421)*1440+Z1421,"")</f>
        <v/>
      </c>
      <c r="AX1421" s="80" t="str">
        <f>IF(AB1421=1,AW1421+AD1421,"")</f>
        <v/>
      </c>
      <c r="AY1421" s="80">
        <f>IF(AND(AB1421=1,AV1421=0,AU1421=1),1,0)</f>
        <v>0</v>
      </c>
      <c r="AZ1421" s="80">
        <f>IF(AY1421=1,COUNTIFS(R_Emp,D1421,R_SAbs,"&lt;"&amp;AX1421,R_EAbs,"&gt;"&amp;AW1421,R_OKey,1)-1,0)</f>
        <v>0</v>
      </c>
      <c r="BA1421" s="80">
        <f>IF(AY1421=1,COUNTIFS(R_Emp,"&lt;&gt;"&amp;D1421,R_SAbs,"&lt;"&amp;AX1421,R_EAbs,"&gt;"&amp;AW1421,R_OKey,1),0)</f>
        <v>0</v>
      </c>
      <c r="BB1421" s="80">
        <f>IF(AND(AB1421=1,D1421="proMX"),IF(AND(MOD(Z1421,CFG_BLK)=0,MOD(AA1421,CFG_BLK)=0,MOD(AG1421,CFG_BLK)=0,AG1421&gt;0),1,0),1)</f>
        <v>1</v>
      </c>
      <c r="BC1421" s="80" t="str">
        <f>IF(Y1421=0,"",IF(NOT(ISNUMBER(B1421)),"Falta fecha o fecha inválida",IF(D1421="","Falta empresa",IF(AND(D1421&lt;&gt;"Malcolm",D1421&lt;&gt;"proMX"),"Empresa inválida",IF(OR(INT(B1421)&lt;CFG_PSTART,INT(B1421)&gt;CFG_PEND),"Fecha fuera del período",IF(OR(NOT(ISNUMBER(Z1421)),NOT(ISNUMBER(AA1421))),"Falta hora inicio/fin o formato inválido",IF(AB1421=0,"Hora inicio = hora fin",IF(AE1421&lt;0,"Descanso inválido",IF(AE1421&gt;=AD1421,"Descanso ≥ duración",IF(AV1421=1,"Registro duplicado",IF(AZ1421&gt;0,"Se superpone con otro registro "&amp;D1421,IF(BB1421=0,"inicio, fin y duración neta deben ser múltiplos de "&amp;CFG_BLK&amp;" min",""))))))))))))</f>
        <v/>
      </c>
      <c r="BD1421" s="80">
        <f>IF(AND(Y1421=1,BC1421=""),1,0)</f>
        <v>0</v>
      </c>
      <c r="BE1421" s="80">
        <f>IF(AND(BD1421=1,AU1421=1),1,0)</f>
        <v>0</v>
      </c>
      <c r="BF1421" s="80" t="str">
        <f>IF(AND(D1421="proMX",BD1421=1),IF(R1421="","Draft",R1421),"")</f>
        <v/>
      </c>
      <c r="BG1421" s="80">
        <f>IF(BD1421=1,ROUND(AG1421/60,6),0)</f>
        <v>0</v>
      </c>
      <c r="BH1421" s="80">
        <f>IF(BE1421=1,ROUND(AG1421/60,6),0)</f>
        <v>0</v>
      </c>
      <c r="BI1421" s="80">
        <f>IF(BE1421=1,ROUND(AP1421/60,6),0)</f>
        <v>0</v>
      </c>
      <c r="BJ1421" s="80">
        <f>IF(BE1421=1,ROUND(AQ1421/60,6),0)</f>
        <v>0</v>
      </c>
      <c r="BK1421" s="80">
        <f>IF(BE1421=1,ROUND((AR1421+AS1421)/60,6),0)</f>
        <v>0</v>
      </c>
      <c r="BL1421" s="80">
        <f>ROUND(BH1421-BK1421,6)</f>
        <v>0</v>
      </c>
      <c r="BM1421" s="80">
        <f>IF(BE1421=1,ROUND(AR1421/60,6),0)</f>
        <v>0</v>
      </c>
      <c r="BN1421" s="80">
        <f>ROUND(BI1421-BM1421,6)</f>
        <v>0</v>
      </c>
      <c r="BO1421" s="80">
        <f>IF(BE1421=1,ROUND(AS1421/60,6),0)</f>
        <v>0</v>
      </c>
      <c r="BP1421" s="80">
        <f>ROUND(BJ1421-BO1421,6)</f>
        <v>0</v>
      </c>
      <c r="BQ1421" s="80">
        <f>IF(BE1421=1,AW1421,0)</f>
        <v>0</v>
      </c>
      <c r="BR1421" s="80">
        <f>IF(BE1421=1,AX1421,0)</f>
        <v>0</v>
      </c>
      <c r="BS1421" s="80">
        <f>IF(AND(BE1421=1,D1421="Malcolm",BA1421&gt;0),MIN(BH1421,SUMPRODUCT((R_Emp="proMX")*(R_EN&gt;0)*((R_EN-(R_EN&gt;BR1421)*(R_EN-BR1421))&gt;(R_SN+(R_SN&lt;BQ1421)*(BQ1421-R_SN)))*((R_EN-(R_EN&gt;BR1421)*(R_EN-BR1421))-(R_SN+(R_SN&lt;BQ1421)*(BQ1421-R_SN))))/60),0)</f>
        <v>0</v>
      </c>
      <c r="BT1421" s="80">
        <f>IF(AND(BE1421=1,D1421="proMX"),ROUND(BI1421*CFG_RATE+BJ1421*CFG_OTRATE,6),0)</f>
        <v>0</v>
      </c>
      <c r="BU1421" s="80">
        <f>IF(AND(BD1421=1,D1421="proMX"),ROUND(AG1421/CFG_BLK,6),0)</f>
        <v>0</v>
      </c>
      <c r="BV1421" s="80" t="str">
        <f>IF(BF1421="Approved",IF(ISNUMBER(T1421),INT(T1421),INT(B1421)),"")</f>
        <v/>
      </c>
      <c r="BW1421" s="80">
        <f>IF(ISNUMBER(B1421),IF(DB_MON="Todos",1,IF(AND(INT(B1421)&gt;=DB_MS,INT(B1421)&lt;=DB_ME),1,0)),0)</f>
        <v>0</v>
      </c>
      <c r="BX1421" s="80">
        <f>IF(DB_PROJ="Todos",1,IF(E1421&amp;""=DB_PROJ&amp;"",1,0))</f>
        <v>1</v>
      </c>
      <c r="BY1421" s="80">
        <f>BW1421*BX1421</f>
        <v>0</v>
      </c>
      <c r="BZ1421" s="80" t="str">
        <f>IF(Y1421=1,F1421&amp;IF(AND(F1421&amp;""&lt;&gt;"",E1421&amp;""&lt;&gt;"")," · ","")&amp;E1421,"")</f>
        <v/>
      </c>
      <c r="CA1421" s="80" t="str">
        <f>IF(AND(BD1421=1,E1421&amp;""&lt;&gt;""),IF(COUNTIFS($E$5:E1420,E1421,$BD$5:BD1420,1)=0,MAX($CA$5:CA1420)+1,""),"")</f>
        <v/>
      </c>
      <c r="CB1421" s="80" t="str">
        <f>IF(AND(BE1421=1,D1421="Malcolm",E1421&amp;""&lt;&gt;""),IF(COUNTIFS($D$5:D1420,"Malcolm",$E$5:E1420,E1421,$BE$5:BE1420,1)=0,MAX($CB$5:CB1420)+1,""),"")</f>
        <v/>
      </c>
      <c r="CC1421" s="80" t="str">
        <f>IF(AND(BD1421=1,D1421="proMX",E1421&amp;""&lt;&gt;""),IF(COUNTIFS($D$5:D1420,"proMX",$E$5:E1420,E1421,$BD$5:BD1420,1)=0,MAX($CC$5:CC1420)+1,""),"")</f>
        <v/>
      </c>
      <c r="CD1421" s="80" t="str">
        <f>IF(AND(BE1421=1,D1421="Malcolm",F1421&amp;""&lt;&gt;""),IF(COUNTIFS($D$5:D1420,"Malcolm",$F$5:F1420,F1421,$BE$5:BE1420,1)=0,MAX($CD$5:CD1420)+1,""),"")</f>
        <v/>
      </c>
      <c r="CE1421" s="80" t="str">
        <f>IF(AND(BD1421=1,D1421="proMX",F1421&amp;""&lt;&gt;""),IF(COUNTIFS($D$5:D1420,"proMX",$F$5:F1420,F1421,$BD$5:BD1420,1)=0,MAX($CE$5:CE1420)+1,""),"")</f>
        <v/>
      </c>
      <c r="CF1421" s="80" t="str">
        <f>IF(AND(D1421="proMX",BD1421=1),IF(OR(BF1421="Draft",BF1421="Submitted",BF1421="Returned",BF1421="Recall Requested"),MAX($CF$5:CF1420)+1,""),"")</f>
        <v/>
      </c>
      <c r="CG1421" s="80">
        <f>IF(BD1421=0,0,IF(D1421="Malcolm",1,MATCH(BF1421,{"Draft","Submitted","Approved","Returned","Recall Requested","Cancelled"},0)+1))</f>
        <v>0</v>
      </c>
      <c r="CH1421" s="80">
        <f>IF(AND(BF1421="Submitted",ISNUMBER(V1421)),IF(V1421&gt;CFG_MAXD,1,0),0)</f>
        <v>0</v>
      </c>
    </row>
    <row r="1422">
      <c r="A1422" s="71" t="str">
        <f>IF(Y1422=1,ROW()-5,"")</f>
        <v/>
      </c>
      <c r="B1422" s="72" t="n"/>
      <c r="C1422" s="71" t="str">
        <f>IF(ISNUMBER(B1422),CHOOSE(WEEKDAY(B1422,2),"Lun","Mar","Mié","Jue","Vie","Sáb","Dom"),"")</f>
        <v/>
      </c>
      <c r="D1422" s="73" t="n"/>
      <c r="E1422" s="74" t="n"/>
      <c r="F1422" s="74" t="n"/>
      <c r="G1422" s="74" t="n"/>
      <c r="H1422" s="75" t="n"/>
      <c r="I1422" s="75" t="n"/>
      <c r="J1422" s="76" t="n"/>
      <c r="K1422" s="77" t="str">
        <f>IF(AB1422=1,ROUND(AG1422/60,4),"")</f>
        <v/>
      </c>
      <c r="L1422" s="77" t="str">
        <f>IF(BD1422=1,ROUND(AP1422/60,4),"")</f>
        <v/>
      </c>
      <c r="M1422" s="77" t="str">
        <f>IF(BD1422=1,ROUND(AQ1422/60,4),"")</f>
        <v/>
      </c>
      <c r="N1422" s="71" t="str">
        <f>IF(AND(D1422="proMX",AB1422=1),ROUND(AG1422/CFG_BLK,2),"")</f>
        <v/>
      </c>
      <c r="O1422" s="77" t="str">
        <f>IF(D1422="proMX",IF(BD1422=1,ROUND(AG1422/60,4),0),"")</f>
        <v/>
      </c>
      <c r="P1422" s="78" t="str">
        <f>IF(Y1422=0,"",IF(BD1422=1,"OK",IF(D1422="proMX","Revisar bloques: ","Revisar: ")&amp;BC1422))</f>
        <v/>
      </c>
      <c r="Q1422" s="78" t="str">
        <f>IF(NOT(ISNUMBER(B1422)),"",IF(COUNTIFS(FER_F,INT(B1422))&gt;0,"Feriado"&amp;IF(AH1422=1," (laborable)"," (no laborable)"),IF(AH1422=1,"Laborable",IF(WEEKDAY(B1422,2)&gt;5,"Fin de semana","No laborable"))))</f>
        <v/>
      </c>
      <c r="R1422" s="73" t="n"/>
      <c r="S1422" s="72" t="n"/>
      <c r="T1422" s="72" t="n"/>
      <c r="U1422" s="74" t="n"/>
      <c r="V1422" s="79" t="str">
        <f>IF(AND(D1422="proMX",OR(R1422="Submitted",R1422="Recall Requested"),ISNUMBER(S1422)),CFG_TODAY-INT(S1422),"")</f>
        <v/>
      </c>
      <c r="W1422" s="78" t="str">
        <f>IF(BD1422=0,"",IF(BA1422&gt;0,"⚠ Se superpone con un registro de la otra empresa",IF(D1422="Malcolm",IF(COUNTA(R1422,S1422,T1422)&gt;0,"Estado/fechas proMX se ignoran en Malcolm",""),IF(BF1422="Cancelled","Cancelado: excluido de totales",IF(R1422="","Sin estado: se trata como Draft",IF(BF1422="Submitted",IF(ISNUMBER(V1422),IF(V1422&gt;CFG_MAXD,"⚠ "&amp;V1422&amp;" días en Submitted (máx. "&amp;CFG_MAXD&amp;")",""),"Falta fecha de envío"),IF(BF1422="Returned","⚠ Devuelto: corregir y reenviar",IF(BF1422="Recall Requested","Retirada solicitada: pendiente",IF(AND(BF1422="Approved",NOT(ISNUMBER(T1422))),"Falta fecha de aprobación",IF(AND(ISNUMBER(S1422),ISNUMBER(T1422),T1422&lt;S1422),"Aprobación anterior al envío","")))))))))</f>
        <v/>
      </c>
      <c r="Y1422" s="80">
        <f>IF(COUNTA(B1422,D1422,E1422,F1422,G1422,H1422,I1422,J1422,R1422,S1422,T1422)&gt;0,1,0)</f>
        <v>0</v>
      </c>
      <c r="Z1422" s="80" t="str">
        <f>IF(AND(ISNUMBER(H1422),H1422&gt;=0,H1422&lt;1),ROUND(H1422*1440,0),"")</f>
        <v/>
      </c>
      <c r="AA1422" s="80" t="str">
        <f>IF(AND(ISNUMBER(I1422),I1422&gt;=0,I1422&lt;1),ROUND(I1422*1440,0),"")</f>
        <v/>
      </c>
      <c r="AB1422" s="80">
        <f>IF(AND(ISNUMBER(B1422),D1422&lt;&gt;"",ISNUMBER(Z1422),ISNUMBER(AA1422)),IF(Z1422=AA1422,0,1),0)</f>
        <v>0</v>
      </c>
      <c r="AC1422" s="80">
        <f>IF(AB1422=1,IF(AA1422&lt;Z1422,1,0),0)</f>
        <v>0</v>
      </c>
      <c r="AD1422" s="80">
        <f>IF(AB1422=1,IF(AC1422=1,1440-Z1422+AA1422,AA1422-Z1422),0)</f>
        <v>0</v>
      </c>
      <c r="AE1422" s="80">
        <f>IF(J1422="",0,IF(ISNUMBER(J1422),J1422,-1))</f>
        <v>0</v>
      </c>
      <c r="AF1422" s="80">
        <f>MIN(MAX(0,AE1422),AD1422)</f>
        <v>0</v>
      </c>
      <c r="AG1422" s="80">
        <f>MAX(0,AD1422-MAX(0,AE1422))</f>
        <v>0</v>
      </c>
      <c r="AH1422" s="80">
        <f>IF(ISNUMBER(B1422),IF(AND(INDEX(CFG_WDAYS,WEEKDAY(INT(B1422),2))="Sí",IF(D1422="proMX",COUNTIFS(FER_F,INT(B1422),FER_NLP,"Sí"),COUNTIFS(FER_F,INT(B1422),FER_NLM,"Sí"))=0),1,0),0)</f>
        <v>0</v>
      </c>
      <c r="AI1422" s="80">
        <f>IF(AC1422=1,IF(AND(INDEX(CFG_WDAYS,WEEKDAY(INT(B1422)+1,2))="Sí",IF(D1422="proMX",COUNTIFS(FER_F,INT(B1422)+1,FER_NLP,"Sí"),COUNTIFS(FER_F,INT(B1422)+1,FER_NLM,"Sí"))=0),1,0),0)</f>
        <v>0</v>
      </c>
      <c r="AJ1422" s="80">
        <f>IF(AC1422=1,1440-Z1422,AD1422)</f>
        <v>0</v>
      </c>
      <c r="AK1422" s="80">
        <f>IF(AND(AB1422=1,AH1422=1),MAX(0,MIN(IF(AC1422=1,1440,AA1422),CFG_WEM)-MAX(Z1422,CFG_WSM)),0)</f>
        <v>0</v>
      </c>
      <c r="AL1422" s="80">
        <f>IF(AND(AC1422=1,AI1422=1),MAX(0,MIN(AA1422,CFG_WEM)-CFG_WSM),0)</f>
        <v>0</v>
      </c>
      <c r="AM1422" s="80">
        <f>AK1422+AL1422</f>
        <v>0</v>
      </c>
      <c r="AN1422" s="80">
        <f>IF(CFG_BRK="Proporcional",IF(AD1422=0,0,AF1422*AM1422/AD1422),IF(CFG_BRK="Extras primero",MIN(AM1422,MAX(0,AF1422-(AD1422-AM1422))),MIN(AF1422,AM1422)))</f>
        <v>0</v>
      </c>
      <c r="AO1422" s="80">
        <f>AF1422-AN1422</f>
        <v>0</v>
      </c>
      <c r="AP1422" s="80">
        <f>AM1422-AN1422</f>
        <v>0</v>
      </c>
      <c r="AQ1422" s="80">
        <f>AD1422-AM1422-AO1422</f>
        <v>0</v>
      </c>
      <c r="AR1422" s="80">
        <f>IF(AM1422=0,0,AK1422-AN1422*AK1422/AM1422)</f>
        <v>0</v>
      </c>
      <c r="AS1422" s="80">
        <f>IF(AD1422-AM1422=0,0,(AJ1422-AK1422)-AO1422*(AJ1422-AK1422)/(AD1422-AM1422))</f>
        <v>0</v>
      </c>
      <c r="AT1422" s="80" t="str">
        <f>IF(AC1422=1,INT(B1422)+1,"")</f>
        <v/>
      </c>
      <c r="AU1422" s="80">
        <f>IF(AND(D1422="proMX",R1422="Cancelled"),0,1)</f>
        <v>1</v>
      </c>
      <c r="AV1422" s="80">
        <f>IF(AND(AB1422=1,AU1422=1),IF(COUNTIFS($D$5:D1421,D1422,$B$5:B1421,B1422,$Z$5:Z1421,Z1422,$AA$5:AA1421,AA1422,$F$5:F1421,F1422&amp;"",$AU$5:AU1421,1)&gt;0,1,0),0)</f>
        <v>0</v>
      </c>
      <c r="AW1422" s="80" t="str">
        <f>IF(AB1422=1,INT(B1422)*1440+Z1422,"")</f>
        <v/>
      </c>
      <c r="AX1422" s="80" t="str">
        <f>IF(AB1422=1,AW1422+AD1422,"")</f>
        <v/>
      </c>
      <c r="AY1422" s="80">
        <f>IF(AND(AB1422=1,AV1422=0,AU1422=1),1,0)</f>
        <v>0</v>
      </c>
      <c r="AZ1422" s="80">
        <f>IF(AY1422=1,COUNTIFS(R_Emp,D1422,R_SAbs,"&lt;"&amp;AX1422,R_EAbs,"&gt;"&amp;AW1422,R_OKey,1)-1,0)</f>
        <v>0</v>
      </c>
      <c r="BA1422" s="80">
        <f>IF(AY1422=1,COUNTIFS(R_Emp,"&lt;&gt;"&amp;D1422,R_SAbs,"&lt;"&amp;AX1422,R_EAbs,"&gt;"&amp;AW1422,R_OKey,1),0)</f>
        <v>0</v>
      </c>
      <c r="BB1422" s="80">
        <f>IF(AND(AB1422=1,D1422="proMX"),IF(AND(MOD(Z1422,CFG_BLK)=0,MOD(AA1422,CFG_BLK)=0,MOD(AG1422,CFG_BLK)=0,AG1422&gt;0),1,0),1)</f>
        <v>1</v>
      </c>
      <c r="BC1422" s="80" t="str">
        <f>IF(Y1422=0,"",IF(NOT(ISNUMBER(B1422)),"Falta fecha o fecha inválida",IF(D1422="","Falta empresa",IF(AND(D1422&lt;&gt;"Malcolm",D1422&lt;&gt;"proMX"),"Empresa inválida",IF(OR(INT(B1422)&lt;CFG_PSTART,INT(B1422)&gt;CFG_PEND),"Fecha fuera del período",IF(OR(NOT(ISNUMBER(Z1422)),NOT(ISNUMBER(AA1422))),"Falta hora inicio/fin o formato inválido",IF(AB1422=0,"Hora inicio = hora fin",IF(AE1422&lt;0,"Descanso inválido",IF(AE1422&gt;=AD1422,"Descanso ≥ duración",IF(AV1422=1,"Registro duplicado",IF(AZ1422&gt;0,"Se superpone con otro registro "&amp;D1422,IF(BB1422=0,"inicio, fin y duración neta deben ser múltiplos de "&amp;CFG_BLK&amp;" min",""))))))))))))</f>
        <v/>
      </c>
      <c r="BD1422" s="80">
        <f>IF(AND(Y1422=1,BC1422=""),1,0)</f>
        <v>0</v>
      </c>
      <c r="BE1422" s="80">
        <f>IF(AND(BD1422=1,AU1422=1),1,0)</f>
        <v>0</v>
      </c>
      <c r="BF1422" s="80" t="str">
        <f>IF(AND(D1422="proMX",BD1422=1),IF(R1422="","Draft",R1422),"")</f>
        <v/>
      </c>
      <c r="BG1422" s="80">
        <f>IF(BD1422=1,ROUND(AG1422/60,6),0)</f>
        <v>0</v>
      </c>
      <c r="BH1422" s="80">
        <f>IF(BE1422=1,ROUND(AG1422/60,6),0)</f>
        <v>0</v>
      </c>
      <c r="BI1422" s="80">
        <f>IF(BE1422=1,ROUND(AP1422/60,6),0)</f>
        <v>0</v>
      </c>
      <c r="BJ1422" s="80">
        <f>IF(BE1422=1,ROUND(AQ1422/60,6),0)</f>
        <v>0</v>
      </c>
      <c r="BK1422" s="80">
        <f>IF(BE1422=1,ROUND((AR1422+AS1422)/60,6),0)</f>
        <v>0</v>
      </c>
      <c r="BL1422" s="80">
        <f>ROUND(BH1422-BK1422,6)</f>
        <v>0</v>
      </c>
      <c r="BM1422" s="80">
        <f>IF(BE1422=1,ROUND(AR1422/60,6),0)</f>
        <v>0</v>
      </c>
      <c r="BN1422" s="80">
        <f>ROUND(BI1422-BM1422,6)</f>
        <v>0</v>
      </c>
      <c r="BO1422" s="80">
        <f>IF(BE1422=1,ROUND(AS1422/60,6),0)</f>
        <v>0</v>
      </c>
      <c r="BP1422" s="80">
        <f>ROUND(BJ1422-BO1422,6)</f>
        <v>0</v>
      </c>
      <c r="BQ1422" s="80">
        <f>IF(BE1422=1,AW1422,0)</f>
        <v>0</v>
      </c>
      <c r="BR1422" s="80">
        <f>IF(BE1422=1,AX1422,0)</f>
        <v>0</v>
      </c>
      <c r="BS1422" s="80">
        <f>IF(AND(BE1422=1,D1422="Malcolm",BA1422&gt;0),MIN(BH1422,SUMPRODUCT((R_Emp="proMX")*(R_EN&gt;0)*((R_EN-(R_EN&gt;BR1422)*(R_EN-BR1422))&gt;(R_SN+(R_SN&lt;BQ1422)*(BQ1422-R_SN)))*((R_EN-(R_EN&gt;BR1422)*(R_EN-BR1422))-(R_SN+(R_SN&lt;BQ1422)*(BQ1422-R_SN))))/60),0)</f>
        <v>0</v>
      </c>
      <c r="BT1422" s="80">
        <f>IF(AND(BE1422=1,D1422="proMX"),ROUND(BI1422*CFG_RATE+BJ1422*CFG_OTRATE,6),0)</f>
        <v>0</v>
      </c>
      <c r="BU1422" s="80">
        <f>IF(AND(BD1422=1,D1422="proMX"),ROUND(AG1422/CFG_BLK,6),0)</f>
        <v>0</v>
      </c>
      <c r="BV1422" s="80" t="str">
        <f>IF(BF1422="Approved",IF(ISNUMBER(T1422),INT(T1422),INT(B1422)),"")</f>
        <v/>
      </c>
      <c r="BW1422" s="80">
        <f>IF(ISNUMBER(B1422),IF(DB_MON="Todos",1,IF(AND(INT(B1422)&gt;=DB_MS,INT(B1422)&lt;=DB_ME),1,0)),0)</f>
        <v>0</v>
      </c>
      <c r="BX1422" s="80">
        <f>IF(DB_PROJ="Todos",1,IF(E1422&amp;""=DB_PROJ&amp;"",1,0))</f>
        <v>1</v>
      </c>
      <c r="BY1422" s="80">
        <f>BW1422*BX1422</f>
        <v>0</v>
      </c>
      <c r="BZ1422" s="80" t="str">
        <f>IF(Y1422=1,F1422&amp;IF(AND(F1422&amp;""&lt;&gt;"",E1422&amp;""&lt;&gt;"")," · ","")&amp;E1422,"")</f>
        <v/>
      </c>
      <c r="CA1422" s="80" t="str">
        <f>IF(AND(BD1422=1,E1422&amp;""&lt;&gt;""),IF(COUNTIFS($E$5:E1421,E1422,$BD$5:BD1421,1)=0,MAX($CA$5:CA1421)+1,""),"")</f>
        <v/>
      </c>
      <c r="CB1422" s="80" t="str">
        <f>IF(AND(BE1422=1,D1422="Malcolm",E1422&amp;""&lt;&gt;""),IF(COUNTIFS($D$5:D1421,"Malcolm",$E$5:E1421,E1422,$BE$5:BE1421,1)=0,MAX($CB$5:CB1421)+1,""),"")</f>
        <v/>
      </c>
      <c r="CC1422" s="80" t="str">
        <f>IF(AND(BD1422=1,D1422="proMX",E1422&amp;""&lt;&gt;""),IF(COUNTIFS($D$5:D1421,"proMX",$E$5:E1421,E1422,$BD$5:BD1421,1)=0,MAX($CC$5:CC1421)+1,""),"")</f>
        <v/>
      </c>
      <c r="CD1422" s="80" t="str">
        <f>IF(AND(BE1422=1,D1422="Malcolm",F1422&amp;""&lt;&gt;""),IF(COUNTIFS($D$5:D1421,"Malcolm",$F$5:F1421,F1422,$BE$5:BE1421,1)=0,MAX($CD$5:CD1421)+1,""),"")</f>
        <v/>
      </c>
      <c r="CE1422" s="80" t="str">
        <f>IF(AND(BD1422=1,D1422="proMX",F1422&amp;""&lt;&gt;""),IF(COUNTIFS($D$5:D1421,"proMX",$F$5:F1421,F1422,$BD$5:BD1421,1)=0,MAX($CE$5:CE1421)+1,""),"")</f>
        <v/>
      </c>
      <c r="CF1422" s="80" t="str">
        <f>IF(AND(D1422="proMX",BD1422=1),IF(OR(BF1422="Draft",BF1422="Submitted",BF1422="Returned",BF1422="Recall Requested"),MAX($CF$5:CF1421)+1,""),"")</f>
        <v/>
      </c>
      <c r="CG1422" s="80">
        <f>IF(BD1422=0,0,IF(D1422="Malcolm",1,MATCH(BF1422,{"Draft","Submitted","Approved","Returned","Recall Requested","Cancelled"},0)+1))</f>
        <v>0</v>
      </c>
      <c r="CH1422" s="80">
        <f>IF(AND(BF1422="Submitted",ISNUMBER(V1422)),IF(V1422&gt;CFG_MAXD,1,0),0)</f>
        <v>0</v>
      </c>
    </row>
    <row r="1423">
      <c r="A1423" s="71" t="str">
        <f>IF(Y1423=1,ROW()-5,"")</f>
        <v/>
      </c>
      <c r="B1423" s="72" t="n"/>
      <c r="C1423" s="71" t="str">
        <f>IF(ISNUMBER(B1423),CHOOSE(WEEKDAY(B1423,2),"Lun","Mar","Mié","Jue","Vie","Sáb","Dom"),"")</f>
        <v/>
      </c>
      <c r="D1423" s="73" t="n"/>
      <c r="E1423" s="74" t="n"/>
      <c r="F1423" s="74" t="n"/>
      <c r="G1423" s="74" t="n"/>
      <c r="H1423" s="75" t="n"/>
      <c r="I1423" s="75" t="n"/>
      <c r="J1423" s="76" t="n"/>
      <c r="K1423" s="77" t="str">
        <f>IF(AB1423=1,ROUND(AG1423/60,4),"")</f>
        <v/>
      </c>
      <c r="L1423" s="77" t="str">
        <f>IF(BD1423=1,ROUND(AP1423/60,4),"")</f>
        <v/>
      </c>
      <c r="M1423" s="77" t="str">
        <f>IF(BD1423=1,ROUND(AQ1423/60,4),"")</f>
        <v/>
      </c>
      <c r="N1423" s="71" t="str">
        <f>IF(AND(D1423="proMX",AB1423=1),ROUND(AG1423/CFG_BLK,2),"")</f>
        <v/>
      </c>
      <c r="O1423" s="77" t="str">
        <f>IF(D1423="proMX",IF(BD1423=1,ROUND(AG1423/60,4),0),"")</f>
        <v/>
      </c>
      <c r="P1423" s="78" t="str">
        <f>IF(Y1423=0,"",IF(BD1423=1,"OK",IF(D1423="proMX","Revisar bloques: ","Revisar: ")&amp;BC1423))</f>
        <v/>
      </c>
      <c r="Q1423" s="78" t="str">
        <f>IF(NOT(ISNUMBER(B1423)),"",IF(COUNTIFS(FER_F,INT(B1423))&gt;0,"Feriado"&amp;IF(AH1423=1," (laborable)"," (no laborable)"),IF(AH1423=1,"Laborable",IF(WEEKDAY(B1423,2)&gt;5,"Fin de semana","No laborable"))))</f>
        <v/>
      </c>
      <c r="R1423" s="73" t="n"/>
      <c r="S1423" s="72" t="n"/>
      <c r="T1423" s="72" t="n"/>
      <c r="U1423" s="74" t="n"/>
      <c r="V1423" s="79" t="str">
        <f>IF(AND(D1423="proMX",OR(R1423="Submitted",R1423="Recall Requested"),ISNUMBER(S1423)),CFG_TODAY-INT(S1423),"")</f>
        <v/>
      </c>
      <c r="W1423" s="78" t="str">
        <f>IF(BD1423=0,"",IF(BA1423&gt;0,"⚠ Se superpone con un registro de la otra empresa",IF(D1423="Malcolm",IF(COUNTA(R1423,S1423,T1423)&gt;0,"Estado/fechas proMX se ignoran en Malcolm",""),IF(BF1423="Cancelled","Cancelado: excluido de totales",IF(R1423="","Sin estado: se trata como Draft",IF(BF1423="Submitted",IF(ISNUMBER(V1423),IF(V1423&gt;CFG_MAXD,"⚠ "&amp;V1423&amp;" días en Submitted (máx. "&amp;CFG_MAXD&amp;")",""),"Falta fecha de envío"),IF(BF1423="Returned","⚠ Devuelto: corregir y reenviar",IF(BF1423="Recall Requested","Retirada solicitada: pendiente",IF(AND(BF1423="Approved",NOT(ISNUMBER(T1423))),"Falta fecha de aprobación",IF(AND(ISNUMBER(S1423),ISNUMBER(T1423),T1423&lt;S1423),"Aprobación anterior al envío","")))))))))</f>
        <v/>
      </c>
      <c r="Y1423" s="80">
        <f>IF(COUNTA(B1423,D1423,E1423,F1423,G1423,H1423,I1423,J1423,R1423,S1423,T1423)&gt;0,1,0)</f>
        <v>0</v>
      </c>
      <c r="Z1423" s="80" t="str">
        <f>IF(AND(ISNUMBER(H1423),H1423&gt;=0,H1423&lt;1),ROUND(H1423*1440,0),"")</f>
        <v/>
      </c>
      <c r="AA1423" s="80" t="str">
        <f>IF(AND(ISNUMBER(I1423),I1423&gt;=0,I1423&lt;1),ROUND(I1423*1440,0),"")</f>
        <v/>
      </c>
      <c r="AB1423" s="80">
        <f>IF(AND(ISNUMBER(B1423),D1423&lt;&gt;"",ISNUMBER(Z1423),ISNUMBER(AA1423)),IF(Z1423=AA1423,0,1),0)</f>
        <v>0</v>
      </c>
      <c r="AC1423" s="80">
        <f>IF(AB1423=1,IF(AA1423&lt;Z1423,1,0),0)</f>
        <v>0</v>
      </c>
      <c r="AD1423" s="80">
        <f>IF(AB1423=1,IF(AC1423=1,1440-Z1423+AA1423,AA1423-Z1423),0)</f>
        <v>0</v>
      </c>
      <c r="AE1423" s="80">
        <f>IF(J1423="",0,IF(ISNUMBER(J1423),J1423,-1))</f>
        <v>0</v>
      </c>
      <c r="AF1423" s="80">
        <f>MIN(MAX(0,AE1423),AD1423)</f>
        <v>0</v>
      </c>
      <c r="AG1423" s="80">
        <f>MAX(0,AD1423-MAX(0,AE1423))</f>
        <v>0</v>
      </c>
      <c r="AH1423" s="80">
        <f>IF(ISNUMBER(B1423),IF(AND(INDEX(CFG_WDAYS,WEEKDAY(INT(B1423),2))="Sí",IF(D1423="proMX",COUNTIFS(FER_F,INT(B1423),FER_NLP,"Sí"),COUNTIFS(FER_F,INT(B1423),FER_NLM,"Sí"))=0),1,0),0)</f>
        <v>0</v>
      </c>
      <c r="AI1423" s="80">
        <f>IF(AC1423=1,IF(AND(INDEX(CFG_WDAYS,WEEKDAY(INT(B1423)+1,2))="Sí",IF(D1423="proMX",COUNTIFS(FER_F,INT(B1423)+1,FER_NLP,"Sí"),COUNTIFS(FER_F,INT(B1423)+1,FER_NLM,"Sí"))=0),1,0),0)</f>
        <v>0</v>
      </c>
      <c r="AJ1423" s="80">
        <f>IF(AC1423=1,1440-Z1423,AD1423)</f>
        <v>0</v>
      </c>
      <c r="AK1423" s="80">
        <f>IF(AND(AB1423=1,AH1423=1),MAX(0,MIN(IF(AC1423=1,1440,AA1423),CFG_WEM)-MAX(Z1423,CFG_WSM)),0)</f>
        <v>0</v>
      </c>
      <c r="AL1423" s="80">
        <f>IF(AND(AC1423=1,AI1423=1),MAX(0,MIN(AA1423,CFG_WEM)-CFG_WSM),0)</f>
        <v>0</v>
      </c>
      <c r="AM1423" s="80">
        <f>AK1423+AL1423</f>
        <v>0</v>
      </c>
      <c r="AN1423" s="80">
        <f>IF(CFG_BRK="Proporcional",IF(AD1423=0,0,AF1423*AM1423/AD1423),IF(CFG_BRK="Extras primero",MIN(AM1423,MAX(0,AF1423-(AD1423-AM1423))),MIN(AF1423,AM1423)))</f>
        <v>0</v>
      </c>
      <c r="AO1423" s="80">
        <f>AF1423-AN1423</f>
        <v>0</v>
      </c>
      <c r="AP1423" s="80">
        <f>AM1423-AN1423</f>
        <v>0</v>
      </c>
      <c r="AQ1423" s="80">
        <f>AD1423-AM1423-AO1423</f>
        <v>0</v>
      </c>
      <c r="AR1423" s="80">
        <f>IF(AM1423=0,0,AK1423-AN1423*AK1423/AM1423)</f>
        <v>0</v>
      </c>
      <c r="AS1423" s="80">
        <f>IF(AD1423-AM1423=0,0,(AJ1423-AK1423)-AO1423*(AJ1423-AK1423)/(AD1423-AM1423))</f>
        <v>0</v>
      </c>
      <c r="AT1423" s="80" t="str">
        <f>IF(AC1423=1,INT(B1423)+1,"")</f>
        <v/>
      </c>
      <c r="AU1423" s="80">
        <f>IF(AND(D1423="proMX",R1423="Cancelled"),0,1)</f>
        <v>1</v>
      </c>
      <c r="AV1423" s="80">
        <f>IF(AND(AB1423=1,AU1423=1),IF(COUNTIFS($D$5:D1422,D1423,$B$5:B1422,B1423,$Z$5:Z1422,Z1423,$AA$5:AA1422,AA1423,$F$5:F1422,F1423&amp;"",$AU$5:AU1422,1)&gt;0,1,0),0)</f>
        <v>0</v>
      </c>
      <c r="AW1423" s="80" t="str">
        <f>IF(AB1423=1,INT(B1423)*1440+Z1423,"")</f>
        <v/>
      </c>
      <c r="AX1423" s="80" t="str">
        <f>IF(AB1423=1,AW1423+AD1423,"")</f>
        <v/>
      </c>
      <c r="AY1423" s="80">
        <f>IF(AND(AB1423=1,AV1423=0,AU1423=1),1,0)</f>
        <v>0</v>
      </c>
      <c r="AZ1423" s="80">
        <f>IF(AY1423=1,COUNTIFS(R_Emp,D1423,R_SAbs,"&lt;"&amp;AX1423,R_EAbs,"&gt;"&amp;AW1423,R_OKey,1)-1,0)</f>
        <v>0</v>
      </c>
      <c r="BA1423" s="80">
        <f>IF(AY1423=1,COUNTIFS(R_Emp,"&lt;&gt;"&amp;D1423,R_SAbs,"&lt;"&amp;AX1423,R_EAbs,"&gt;"&amp;AW1423,R_OKey,1),0)</f>
        <v>0</v>
      </c>
      <c r="BB1423" s="80">
        <f>IF(AND(AB1423=1,D1423="proMX"),IF(AND(MOD(Z1423,CFG_BLK)=0,MOD(AA1423,CFG_BLK)=0,MOD(AG1423,CFG_BLK)=0,AG1423&gt;0),1,0),1)</f>
        <v>1</v>
      </c>
      <c r="BC1423" s="80" t="str">
        <f>IF(Y1423=0,"",IF(NOT(ISNUMBER(B1423)),"Falta fecha o fecha inválida",IF(D1423="","Falta empresa",IF(AND(D1423&lt;&gt;"Malcolm",D1423&lt;&gt;"proMX"),"Empresa inválida",IF(OR(INT(B1423)&lt;CFG_PSTART,INT(B1423)&gt;CFG_PEND),"Fecha fuera del período",IF(OR(NOT(ISNUMBER(Z1423)),NOT(ISNUMBER(AA1423))),"Falta hora inicio/fin o formato inválido",IF(AB1423=0,"Hora inicio = hora fin",IF(AE1423&lt;0,"Descanso inválido",IF(AE1423&gt;=AD1423,"Descanso ≥ duración",IF(AV1423=1,"Registro duplicado",IF(AZ1423&gt;0,"Se superpone con otro registro "&amp;D1423,IF(BB1423=0,"inicio, fin y duración neta deben ser múltiplos de "&amp;CFG_BLK&amp;" min",""))))))))))))</f>
        <v/>
      </c>
      <c r="BD1423" s="80">
        <f>IF(AND(Y1423=1,BC1423=""),1,0)</f>
        <v>0</v>
      </c>
      <c r="BE1423" s="80">
        <f>IF(AND(BD1423=1,AU1423=1),1,0)</f>
        <v>0</v>
      </c>
      <c r="BF1423" s="80" t="str">
        <f>IF(AND(D1423="proMX",BD1423=1),IF(R1423="","Draft",R1423),"")</f>
        <v/>
      </c>
      <c r="BG1423" s="80">
        <f>IF(BD1423=1,ROUND(AG1423/60,6),0)</f>
        <v>0</v>
      </c>
      <c r="BH1423" s="80">
        <f>IF(BE1423=1,ROUND(AG1423/60,6),0)</f>
        <v>0</v>
      </c>
      <c r="BI1423" s="80">
        <f>IF(BE1423=1,ROUND(AP1423/60,6),0)</f>
        <v>0</v>
      </c>
      <c r="BJ1423" s="80">
        <f>IF(BE1423=1,ROUND(AQ1423/60,6),0)</f>
        <v>0</v>
      </c>
      <c r="BK1423" s="80">
        <f>IF(BE1423=1,ROUND((AR1423+AS1423)/60,6),0)</f>
        <v>0</v>
      </c>
      <c r="BL1423" s="80">
        <f>ROUND(BH1423-BK1423,6)</f>
        <v>0</v>
      </c>
      <c r="BM1423" s="80">
        <f>IF(BE1423=1,ROUND(AR1423/60,6),0)</f>
        <v>0</v>
      </c>
      <c r="BN1423" s="80">
        <f>ROUND(BI1423-BM1423,6)</f>
        <v>0</v>
      </c>
      <c r="BO1423" s="80">
        <f>IF(BE1423=1,ROUND(AS1423/60,6),0)</f>
        <v>0</v>
      </c>
      <c r="BP1423" s="80">
        <f>ROUND(BJ1423-BO1423,6)</f>
        <v>0</v>
      </c>
      <c r="BQ1423" s="80">
        <f>IF(BE1423=1,AW1423,0)</f>
        <v>0</v>
      </c>
      <c r="BR1423" s="80">
        <f>IF(BE1423=1,AX1423,0)</f>
        <v>0</v>
      </c>
      <c r="BS1423" s="80">
        <f>IF(AND(BE1423=1,D1423="Malcolm",BA1423&gt;0),MIN(BH1423,SUMPRODUCT((R_Emp="proMX")*(R_EN&gt;0)*((R_EN-(R_EN&gt;BR1423)*(R_EN-BR1423))&gt;(R_SN+(R_SN&lt;BQ1423)*(BQ1423-R_SN)))*((R_EN-(R_EN&gt;BR1423)*(R_EN-BR1423))-(R_SN+(R_SN&lt;BQ1423)*(BQ1423-R_SN))))/60),0)</f>
        <v>0</v>
      </c>
      <c r="BT1423" s="80">
        <f>IF(AND(BE1423=1,D1423="proMX"),ROUND(BI1423*CFG_RATE+BJ1423*CFG_OTRATE,6),0)</f>
        <v>0</v>
      </c>
      <c r="BU1423" s="80">
        <f>IF(AND(BD1423=1,D1423="proMX"),ROUND(AG1423/CFG_BLK,6),0)</f>
        <v>0</v>
      </c>
      <c r="BV1423" s="80" t="str">
        <f>IF(BF1423="Approved",IF(ISNUMBER(T1423),INT(T1423),INT(B1423)),"")</f>
        <v/>
      </c>
      <c r="BW1423" s="80">
        <f>IF(ISNUMBER(B1423),IF(DB_MON="Todos",1,IF(AND(INT(B1423)&gt;=DB_MS,INT(B1423)&lt;=DB_ME),1,0)),0)</f>
        <v>0</v>
      </c>
      <c r="BX1423" s="80">
        <f>IF(DB_PROJ="Todos",1,IF(E1423&amp;""=DB_PROJ&amp;"",1,0))</f>
        <v>1</v>
      </c>
      <c r="BY1423" s="80">
        <f>BW1423*BX1423</f>
        <v>0</v>
      </c>
      <c r="BZ1423" s="80" t="str">
        <f>IF(Y1423=1,F1423&amp;IF(AND(F1423&amp;""&lt;&gt;"",E1423&amp;""&lt;&gt;"")," · ","")&amp;E1423,"")</f>
        <v/>
      </c>
      <c r="CA1423" s="80" t="str">
        <f>IF(AND(BD1423=1,E1423&amp;""&lt;&gt;""),IF(COUNTIFS($E$5:E1422,E1423,$BD$5:BD1422,1)=0,MAX($CA$5:CA1422)+1,""),"")</f>
        <v/>
      </c>
      <c r="CB1423" s="80" t="str">
        <f>IF(AND(BE1423=1,D1423="Malcolm",E1423&amp;""&lt;&gt;""),IF(COUNTIFS($D$5:D1422,"Malcolm",$E$5:E1422,E1423,$BE$5:BE1422,1)=0,MAX($CB$5:CB1422)+1,""),"")</f>
        <v/>
      </c>
      <c r="CC1423" s="80" t="str">
        <f>IF(AND(BD1423=1,D1423="proMX",E1423&amp;""&lt;&gt;""),IF(COUNTIFS($D$5:D1422,"proMX",$E$5:E1422,E1423,$BD$5:BD1422,1)=0,MAX($CC$5:CC1422)+1,""),"")</f>
        <v/>
      </c>
      <c r="CD1423" s="80" t="str">
        <f>IF(AND(BE1423=1,D1423="Malcolm",F1423&amp;""&lt;&gt;""),IF(COUNTIFS($D$5:D1422,"Malcolm",$F$5:F1422,F1423,$BE$5:BE1422,1)=0,MAX($CD$5:CD1422)+1,""),"")</f>
        <v/>
      </c>
      <c r="CE1423" s="80" t="str">
        <f>IF(AND(BD1423=1,D1423="proMX",F1423&amp;""&lt;&gt;""),IF(COUNTIFS($D$5:D1422,"proMX",$F$5:F1422,F1423,$BD$5:BD1422,1)=0,MAX($CE$5:CE1422)+1,""),"")</f>
        <v/>
      </c>
      <c r="CF1423" s="80" t="str">
        <f>IF(AND(D1423="proMX",BD1423=1),IF(OR(BF1423="Draft",BF1423="Submitted",BF1423="Returned",BF1423="Recall Requested"),MAX($CF$5:CF1422)+1,""),"")</f>
        <v/>
      </c>
      <c r="CG1423" s="80">
        <f>IF(BD1423=0,0,IF(D1423="Malcolm",1,MATCH(BF1423,{"Draft","Submitted","Approved","Returned","Recall Requested","Cancelled"},0)+1))</f>
        <v>0</v>
      </c>
      <c r="CH1423" s="80">
        <f>IF(AND(BF1423="Submitted",ISNUMBER(V1423)),IF(V1423&gt;CFG_MAXD,1,0),0)</f>
        <v>0</v>
      </c>
    </row>
    <row r="1424">
      <c r="A1424" s="71" t="str">
        <f>IF(Y1424=1,ROW()-5,"")</f>
        <v/>
      </c>
      <c r="B1424" s="72" t="n"/>
      <c r="C1424" s="71" t="str">
        <f>IF(ISNUMBER(B1424),CHOOSE(WEEKDAY(B1424,2),"Lun","Mar","Mié","Jue","Vie","Sáb","Dom"),"")</f>
        <v/>
      </c>
      <c r="D1424" s="73" t="n"/>
      <c r="E1424" s="74" t="n"/>
      <c r="F1424" s="74" t="n"/>
      <c r="G1424" s="74" t="n"/>
      <c r="H1424" s="75" t="n"/>
      <c r="I1424" s="75" t="n"/>
      <c r="J1424" s="76" t="n"/>
      <c r="K1424" s="77" t="str">
        <f>IF(AB1424=1,ROUND(AG1424/60,4),"")</f>
        <v/>
      </c>
      <c r="L1424" s="77" t="str">
        <f>IF(BD1424=1,ROUND(AP1424/60,4),"")</f>
        <v/>
      </c>
      <c r="M1424" s="77" t="str">
        <f>IF(BD1424=1,ROUND(AQ1424/60,4),"")</f>
        <v/>
      </c>
      <c r="N1424" s="71" t="str">
        <f>IF(AND(D1424="proMX",AB1424=1),ROUND(AG1424/CFG_BLK,2),"")</f>
        <v/>
      </c>
      <c r="O1424" s="77" t="str">
        <f>IF(D1424="proMX",IF(BD1424=1,ROUND(AG1424/60,4),0),"")</f>
        <v/>
      </c>
      <c r="P1424" s="78" t="str">
        <f>IF(Y1424=0,"",IF(BD1424=1,"OK",IF(D1424="proMX","Revisar bloques: ","Revisar: ")&amp;BC1424))</f>
        <v/>
      </c>
      <c r="Q1424" s="78" t="str">
        <f>IF(NOT(ISNUMBER(B1424)),"",IF(COUNTIFS(FER_F,INT(B1424))&gt;0,"Feriado"&amp;IF(AH1424=1," (laborable)"," (no laborable)"),IF(AH1424=1,"Laborable",IF(WEEKDAY(B1424,2)&gt;5,"Fin de semana","No laborable"))))</f>
        <v/>
      </c>
      <c r="R1424" s="73" t="n"/>
      <c r="S1424" s="72" t="n"/>
      <c r="T1424" s="72" t="n"/>
      <c r="U1424" s="74" t="n"/>
      <c r="V1424" s="79" t="str">
        <f>IF(AND(D1424="proMX",OR(R1424="Submitted",R1424="Recall Requested"),ISNUMBER(S1424)),CFG_TODAY-INT(S1424),"")</f>
        <v/>
      </c>
      <c r="W1424" s="78" t="str">
        <f>IF(BD1424=0,"",IF(BA1424&gt;0,"⚠ Se superpone con un registro de la otra empresa",IF(D1424="Malcolm",IF(COUNTA(R1424,S1424,T1424)&gt;0,"Estado/fechas proMX se ignoran en Malcolm",""),IF(BF1424="Cancelled","Cancelado: excluido de totales",IF(R1424="","Sin estado: se trata como Draft",IF(BF1424="Submitted",IF(ISNUMBER(V1424),IF(V1424&gt;CFG_MAXD,"⚠ "&amp;V1424&amp;" días en Submitted (máx. "&amp;CFG_MAXD&amp;")",""),"Falta fecha de envío"),IF(BF1424="Returned","⚠ Devuelto: corregir y reenviar",IF(BF1424="Recall Requested","Retirada solicitada: pendiente",IF(AND(BF1424="Approved",NOT(ISNUMBER(T1424))),"Falta fecha de aprobación",IF(AND(ISNUMBER(S1424),ISNUMBER(T1424),T1424&lt;S1424),"Aprobación anterior al envío","")))))))))</f>
        <v/>
      </c>
      <c r="Y1424" s="80">
        <f>IF(COUNTA(B1424,D1424,E1424,F1424,G1424,H1424,I1424,J1424,R1424,S1424,T1424)&gt;0,1,0)</f>
        <v>0</v>
      </c>
      <c r="Z1424" s="80" t="str">
        <f>IF(AND(ISNUMBER(H1424),H1424&gt;=0,H1424&lt;1),ROUND(H1424*1440,0),"")</f>
        <v/>
      </c>
      <c r="AA1424" s="80" t="str">
        <f>IF(AND(ISNUMBER(I1424),I1424&gt;=0,I1424&lt;1),ROUND(I1424*1440,0),"")</f>
        <v/>
      </c>
      <c r="AB1424" s="80">
        <f>IF(AND(ISNUMBER(B1424),D1424&lt;&gt;"",ISNUMBER(Z1424),ISNUMBER(AA1424)),IF(Z1424=AA1424,0,1),0)</f>
        <v>0</v>
      </c>
      <c r="AC1424" s="80">
        <f>IF(AB1424=1,IF(AA1424&lt;Z1424,1,0),0)</f>
        <v>0</v>
      </c>
      <c r="AD1424" s="80">
        <f>IF(AB1424=1,IF(AC1424=1,1440-Z1424+AA1424,AA1424-Z1424),0)</f>
        <v>0</v>
      </c>
      <c r="AE1424" s="80">
        <f>IF(J1424="",0,IF(ISNUMBER(J1424),J1424,-1))</f>
        <v>0</v>
      </c>
      <c r="AF1424" s="80">
        <f>MIN(MAX(0,AE1424),AD1424)</f>
        <v>0</v>
      </c>
      <c r="AG1424" s="80">
        <f>MAX(0,AD1424-MAX(0,AE1424))</f>
        <v>0</v>
      </c>
      <c r="AH1424" s="80">
        <f>IF(ISNUMBER(B1424),IF(AND(INDEX(CFG_WDAYS,WEEKDAY(INT(B1424),2))="Sí",IF(D1424="proMX",COUNTIFS(FER_F,INT(B1424),FER_NLP,"Sí"),COUNTIFS(FER_F,INT(B1424),FER_NLM,"Sí"))=0),1,0),0)</f>
        <v>0</v>
      </c>
      <c r="AI1424" s="80">
        <f>IF(AC1424=1,IF(AND(INDEX(CFG_WDAYS,WEEKDAY(INT(B1424)+1,2))="Sí",IF(D1424="proMX",COUNTIFS(FER_F,INT(B1424)+1,FER_NLP,"Sí"),COUNTIFS(FER_F,INT(B1424)+1,FER_NLM,"Sí"))=0),1,0),0)</f>
        <v>0</v>
      </c>
      <c r="AJ1424" s="80">
        <f>IF(AC1424=1,1440-Z1424,AD1424)</f>
        <v>0</v>
      </c>
      <c r="AK1424" s="80">
        <f>IF(AND(AB1424=1,AH1424=1),MAX(0,MIN(IF(AC1424=1,1440,AA1424),CFG_WEM)-MAX(Z1424,CFG_WSM)),0)</f>
        <v>0</v>
      </c>
      <c r="AL1424" s="80">
        <f>IF(AND(AC1424=1,AI1424=1),MAX(0,MIN(AA1424,CFG_WEM)-CFG_WSM),0)</f>
        <v>0</v>
      </c>
      <c r="AM1424" s="80">
        <f>AK1424+AL1424</f>
        <v>0</v>
      </c>
      <c r="AN1424" s="80">
        <f>IF(CFG_BRK="Proporcional",IF(AD1424=0,0,AF1424*AM1424/AD1424),IF(CFG_BRK="Extras primero",MIN(AM1424,MAX(0,AF1424-(AD1424-AM1424))),MIN(AF1424,AM1424)))</f>
        <v>0</v>
      </c>
      <c r="AO1424" s="80">
        <f>AF1424-AN1424</f>
        <v>0</v>
      </c>
      <c r="AP1424" s="80">
        <f>AM1424-AN1424</f>
        <v>0</v>
      </c>
      <c r="AQ1424" s="80">
        <f>AD1424-AM1424-AO1424</f>
        <v>0</v>
      </c>
      <c r="AR1424" s="80">
        <f>IF(AM1424=0,0,AK1424-AN1424*AK1424/AM1424)</f>
        <v>0</v>
      </c>
      <c r="AS1424" s="80">
        <f>IF(AD1424-AM1424=0,0,(AJ1424-AK1424)-AO1424*(AJ1424-AK1424)/(AD1424-AM1424))</f>
        <v>0</v>
      </c>
      <c r="AT1424" s="80" t="str">
        <f>IF(AC1424=1,INT(B1424)+1,"")</f>
        <v/>
      </c>
      <c r="AU1424" s="80">
        <f>IF(AND(D1424="proMX",R1424="Cancelled"),0,1)</f>
        <v>1</v>
      </c>
      <c r="AV1424" s="80">
        <f>IF(AND(AB1424=1,AU1424=1),IF(COUNTIFS($D$5:D1423,D1424,$B$5:B1423,B1424,$Z$5:Z1423,Z1424,$AA$5:AA1423,AA1424,$F$5:F1423,F1424&amp;"",$AU$5:AU1423,1)&gt;0,1,0),0)</f>
        <v>0</v>
      </c>
      <c r="AW1424" s="80" t="str">
        <f>IF(AB1424=1,INT(B1424)*1440+Z1424,"")</f>
        <v/>
      </c>
      <c r="AX1424" s="80" t="str">
        <f>IF(AB1424=1,AW1424+AD1424,"")</f>
        <v/>
      </c>
      <c r="AY1424" s="80">
        <f>IF(AND(AB1424=1,AV1424=0,AU1424=1),1,0)</f>
        <v>0</v>
      </c>
      <c r="AZ1424" s="80">
        <f>IF(AY1424=1,COUNTIFS(R_Emp,D1424,R_SAbs,"&lt;"&amp;AX1424,R_EAbs,"&gt;"&amp;AW1424,R_OKey,1)-1,0)</f>
        <v>0</v>
      </c>
      <c r="BA1424" s="80">
        <f>IF(AY1424=1,COUNTIFS(R_Emp,"&lt;&gt;"&amp;D1424,R_SAbs,"&lt;"&amp;AX1424,R_EAbs,"&gt;"&amp;AW1424,R_OKey,1),0)</f>
        <v>0</v>
      </c>
      <c r="BB1424" s="80">
        <f>IF(AND(AB1424=1,D1424="proMX"),IF(AND(MOD(Z1424,CFG_BLK)=0,MOD(AA1424,CFG_BLK)=0,MOD(AG1424,CFG_BLK)=0,AG1424&gt;0),1,0),1)</f>
        <v>1</v>
      </c>
      <c r="BC1424" s="80" t="str">
        <f>IF(Y1424=0,"",IF(NOT(ISNUMBER(B1424)),"Falta fecha o fecha inválida",IF(D1424="","Falta empresa",IF(AND(D1424&lt;&gt;"Malcolm",D1424&lt;&gt;"proMX"),"Empresa inválida",IF(OR(INT(B1424)&lt;CFG_PSTART,INT(B1424)&gt;CFG_PEND),"Fecha fuera del período",IF(OR(NOT(ISNUMBER(Z1424)),NOT(ISNUMBER(AA1424))),"Falta hora inicio/fin o formato inválido",IF(AB1424=0,"Hora inicio = hora fin",IF(AE1424&lt;0,"Descanso inválido",IF(AE1424&gt;=AD1424,"Descanso ≥ duración",IF(AV1424=1,"Registro duplicado",IF(AZ1424&gt;0,"Se superpone con otro registro "&amp;D1424,IF(BB1424=0,"inicio, fin y duración neta deben ser múltiplos de "&amp;CFG_BLK&amp;" min",""))))))))))))</f>
        <v/>
      </c>
      <c r="BD1424" s="80">
        <f>IF(AND(Y1424=1,BC1424=""),1,0)</f>
        <v>0</v>
      </c>
      <c r="BE1424" s="80">
        <f>IF(AND(BD1424=1,AU1424=1),1,0)</f>
        <v>0</v>
      </c>
      <c r="BF1424" s="80" t="str">
        <f>IF(AND(D1424="proMX",BD1424=1),IF(R1424="","Draft",R1424),"")</f>
        <v/>
      </c>
      <c r="BG1424" s="80">
        <f>IF(BD1424=1,ROUND(AG1424/60,6),0)</f>
        <v>0</v>
      </c>
      <c r="BH1424" s="80">
        <f>IF(BE1424=1,ROUND(AG1424/60,6),0)</f>
        <v>0</v>
      </c>
      <c r="BI1424" s="80">
        <f>IF(BE1424=1,ROUND(AP1424/60,6),0)</f>
        <v>0</v>
      </c>
      <c r="BJ1424" s="80">
        <f>IF(BE1424=1,ROUND(AQ1424/60,6),0)</f>
        <v>0</v>
      </c>
      <c r="BK1424" s="80">
        <f>IF(BE1424=1,ROUND((AR1424+AS1424)/60,6),0)</f>
        <v>0</v>
      </c>
      <c r="BL1424" s="80">
        <f>ROUND(BH1424-BK1424,6)</f>
        <v>0</v>
      </c>
      <c r="BM1424" s="80">
        <f>IF(BE1424=1,ROUND(AR1424/60,6),0)</f>
        <v>0</v>
      </c>
      <c r="BN1424" s="80">
        <f>ROUND(BI1424-BM1424,6)</f>
        <v>0</v>
      </c>
      <c r="BO1424" s="80">
        <f>IF(BE1424=1,ROUND(AS1424/60,6),0)</f>
        <v>0</v>
      </c>
      <c r="BP1424" s="80">
        <f>ROUND(BJ1424-BO1424,6)</f>
        <v>0</v>
      </c>
      <c r="BQ1424" s="80">
        <f>IF(BE1424=1,AW1424,0)</f>
        <v>0</v>
      </c>
      <c r="BR1424" s="80">
        <f>IF(BE1424=1,AX1424,0)</f>
        <v>0</v>
      </c>
      <c r="BS1424" s="80">
        <f>IF(AND(BE1424=1,D1424="Malcolm",BA1424&gt;0),MIN(BH1424,SUMPRODUCT((R_Emp="proMX")*(R_EN&gt;0)*((R_EN-(R_EN&gt;BR1424)*(R_EN-BR1424))&gt;(R_SN+(R_SN&lt;BQ1424)*(BQ1424-R_SN)))*((R_EN-(R_EN&gt;BR1424)*(R_EN-BR1424))-(R_SN+(R_SN&lt;BQ1424)*(BQ1424-R_SN))))/60),0)</f>
        <v>0</v>
      </c>
      <c r="BT1424" s="80">
        <f>IF(AND(BE1424=1,D1424="proMX"),ROUND(BI1424*CFG_RATE+BJ1424*CFG_OTRATE,6),0)</f>
        <v>0</v>
      </c>
      <c r="BU1424" s="80">
        <f>IF(AND(BD1424=1,D1424="proMX"),ROUND(AG1424/CFG_BLK,6),0)</f>
        <v>0</v>
      </c>
      <c r="BV1424" s="80" t="str">
        <f>IF(BF1424="Approved",IF(ISNUMBER(T1424),INT(T1424),INT(B1424)),"")</f>
        <v/>
      </c>
      <c r="BW1424" s="80">
        <f>IF(ISNUMBER(B1424),IF(DB_MON="Todos",1,IF(AND(INT(B1424)&gt;=DB_MS,INT(B1424)&lt;=DB_ME),1,0)),0)</f>
        <v>0</v>
      </c>
      <c r="BX1424" s="80">
        <f>IF(DB_PROJ="Todos",1,IF(E1424&amp;""=DB_PROJ&amp;"",1,0))</f>
        <v>1</v>
      </c>
      <c r="BY1424" s="80">
        <f>BW1424*BX1424</f>
        <v>0</v>
      </c>
      <c r="BZ1424" s="80" t="str">
        <f>IF(Y1424=1,F1424&amp;IF(AND(F1424&amp;""&lt;&gt;"",E1424&amp;""&lt;&gt;"")," · ","")&amp;E1424,"")</f>
        <v/>
      </c>
      <c r="CA1424" s="80" t="str">
        <f>IF(AND(BD1424=1,E1424&amp;""&lt;&gt;""),IF(COUNTIFS($E$5:E1423,E1424,$BD$5:BD1423,1)=0,MAX($CA$5:CA1423)+1,""),"")</f>
        <v/>
      </c>
      <c r="CB1424" s="80" t="str">
        <f>IF(AND(BE1424=1,D1424="Malcolm",E1424&amp;""&lt;&gt;""),IF(COUNTIFS($D$5:D1423,"Malcolm",$E$5:E1423,E1424,$BE$5:BE1423,1)=0,MAX($CB$5:CB1423)+1,""),"")</f>
        <v/>
      </c>
      <c r="CC1424" s="80" t="str">
        <f>IF(AND(BD1424=1,D1424="proMX",E1424&amp;""&lt;&gt;""),IF(COUNTIFS($D$5:D1423,"proMX",$E$5:E1423,E1424,$BD$5:BD1423,1)=0,MAX($CC$5:CC1423)+1,""),"")</f>
        <v/>
      </c>
      <c r="CD1424" s="80" t="str">
        <f>IF(AND(BE1424=1,D1424="Malcolm",F1424&amp;""&lt;&gt;""),IF(COUNTIFS($D$5:D1423,"Malcolm",$F$5:F1423,F1424,$BE$5:BE1423,1)=0,MAX($CD$5:CD1423)+1,""),"")</f>
        <v/>
      </c>
      <c r="CE1424" s="80" t="str">
        <f>IF(AND(BD1424=1,D1424="proMX",F1424&amp;""&lt;&gt;""),IF(COUNTIFS($D$5:D1423,"proMX",$F$5:F1423,F1424,$BD$5:BD1423,1)=0,MAX($CE$5:CE1423)+1,""),"")</f>
        <v/>
      </c>
      <c r="CF1424" s="80" t="str">
        <f>IF(AND(D1424="proMX",BD1424=1),IF(OR(BF1424="Draft",BF1424="Submitted",BF1424="Returned",BF1424="Recall Requested"),MAX($CF$5:CF1423)+1,""),"")</f>
        <v/>
      </c>
      <c r="CG1424" s="80">
        <f>IF(BD1424=0,0,IF(D1424="Malcolm",1,MATCH(BF1424,{"Draft","Submitted","Approved","Returned","Recall Requested","Cancelled"},0)+1))</f>
        <v>0</v>
      </c>
      <c r="CH1424" s="80">
        <f>IF(AND(BF1424="Submitted",ISNUMBER(V1424)),IF(V1424&gt;CFG_MAXD,1,0),0)</f>
        <v>0</v>
      </c>
    </row>
    <row r="1425">
      <c r="A1425" s="71" t="str">
        <f>IF(Y1425=1,ROW()-5,"")</f>
        <v/>
      </c>
      <c r="B1425" s="72" t="n"/>
      <c r="C1425" s="71" t="str">
        <f>IF(ISNUMBER(B1425),CHOOSE(WEEKDAY(B1425,2),"Lun","Mar","Mié","Jue","Vie","Sáb","Dom"),"")</f>
        <v/>
      </c>
      <c r="D1425" s="73" t="n"/>
      <c r="E1425" s="74" t="n"/>
      <c r="F1425" s="74" t="n"/>
      <c r="G1425" s="74" t="n"/>
      <c r="H1425" s="75" t="n"/>
      <c r="I1425" s="75" t="n"/>
      <c r="J1425" s="76" t="n"/>
      <c r="K1425" s="77" t="str">
        <f>IF(AB1425=1,ROUND(AG1425/60,4),"")</f>
        <v/>
      </c>
      <c r="L1425" s="77" t="str">
        <f>IF(BD1425=1,ROUND(AP1425/60,4),"")</f>
        <v/>
      </c>
      <c r="M1425" s="77" t="str">
        <f>IF(BD1425=1,ROUND(AQ1425/60,4),"")</f>
        <v/>
      </c>
      <c r="N1425" s="71" t="str">
        <f>IF(AND(D1425="proMX",AB1425=1),ROUND(AG1425/CFG_BLK,2),"")</f>
        <v/>
      </c>
      <c r="O1425" s="77" t="str">
        <f>IF(D1425="proMX",IF(BD1425=1,ROUND(AG1425/60,4),0),"")</f>
        <v/>
      </c>
      <c r="P1425" s="78" t="str">
        <f>IF(Y1425=0,"",IF(BD1425=1,"OK",IF(D1425="proMX","Revisar bloques: ","Revisar: ")&amp;BC1425))</f>
        <v/>
      </c>
      <c r="Q1425" s="78" t="str">
        <f>IF(NOT(ISNUMBER(B1425)),"",IF(COUNTIFS(FER_F,INT(B1425))&gt;0,"Feriado"&amp;IF(AH1425=1," (laborable)"," (no laborable)"),IF(AH1425=1,"Laborable",IF(WEEKDAY(B1425,2)&gt;5,"Fin de semana","No laborable"))))</f>
        <v/>
      </c>
      <c r="R1425" s="73" t="n"/>
      <c r="S1425" s="72" t="n"/>
      <c r="T1425" s="72" t="n"/>
      <c r="U1425" s="74" t="n"/>
      <c r="V1425" s="79" t="str">
        <f>IF(AND(D1425="proMX",OR(R1425="Submitted",R1425="Recall Requested"),ISNUMBER(S1425)),CFG_TODAY-INT(S1425),"")</f>
        <v/>
      </c>
      <c r="W1425" s="78" t="str">
        <f>IF(BD1425=0,"",IF(BA1425&gt;0,"⚠ Se superpone con un registro de la otra empresa",IF(D1425="Malcolm",IF(COUNTA(R1425,S1425,T1425)&gt;0,"Estado/fechas proMX se ignoran en Malcolm",""),IF(BF1425="Cancelled","Cancelado: excluido de totales",IF(R1425="","Sin estado: se trata como Draft",IF(BF1425="Submitted",IF(ISNUMBER(V1425),IF(V1425&gt;CFG_MAXD,"⚠ "&amp;V1425&amp;" días en Submitted (máx. "&amp;CFG_MAXD&amp;")",""),"Falta fecha de envío"),IF(BF1425="Returned","⚠ Devuelto: corregir y reenviar",IF(BF1425="Recall Requested","Retirada solicitada: pendiente",IF(AND(BF1425="Approved",NOT(ISNUMBER(T1425))),"Falta fecha de aprobación",IF(AND(ISNUMBER(S1425),ISNUMBER(T1425),T1425&lt;S1425),"Aprobación anterior al envío","")))))))))</f>
        <v/>
      </c>
      <c r="Y1425" s="80">
        <f>IF(COUNTA(B1425,D1425,E1425,F1425,G1425,H1425,I1425,J1425,R1425,S1425,T1425)&gt;0,1,0)</f>
        <v>0</v>
      </c>
      <c r="Z1425" s="80" t="str">
        <f>IF(AND(ISNUMBER(H1425),H1425&gt;=0,H1425&lt;1),ROUND(H1425*1440,0),"")</f>
        <v/>
      </c>
      <c r="AA1425" s="80" t="str">
        <f>IF(AND(ISNUMBER(I1425),I1425&gt;=0,I1425&lt;1),ROUND(I1425*1440,0),"")</f>
        <v/>
      </c>
      <c r="AB1425" s="80">
        <f>IF(AND(ISNUMBER(B1425),D1425&lt;&gt;"",ISNUMBER(Z1425),ISNUMBER(AA1425)),IF(Z1425=AA1425,0,1),0)</f>
        <v>0</v>
      </c>
      <c r="AC1425" s="80">
        <f>IF(AB1425=1,IF(AA1425&lt;Z1425,1,0),0)</f>
        <v>0</v>
      </c>
      <c r="AD1425" s="80">
        <f>IF(AB1425=1,IF(AC1425=1,1440-Z1425+AA1425,AA1425-Z1425),0)</f>
        <v>0</v>
      </c>
      <c r="AE1425" s="80">
        <f>IF(J1425="",0,IF(ISNUMBER(J1425),J1425,-1))</f>
        <v>0</v>
      </c>
      <c r="AF1425" s="80">
        <f>MIN(MAX(0,AE1425),AD1425)</f>
        <v>0</v>
      </c>
      <c r="AG1425" s="80">
        <f>MAX(0,AD1425-MAX(0,AE1425))</f>
        <v>0</v>
      </c>
      <c r="AH1425" s="80">
        <f>IF(ISNUMBER(B1425),IF(AND(INDEX(CFG_WDAYS,WEEKDAY(INT(B1425),2))="Sí",IF(D1425="proMX",COUNTIFS(FER_F,INT(B1425),FER_NLP,"Sí"),COUNTIFS(FER_F,INT(B1425),FER_NLM,"Sí"))=0),1,0),0)</f>
        <v>0</v>
      </c>
      <c r="AI1425" s="80">
        <f>IF(AC1425=1,IF(AND(INDEX(CFG_WDAYS,WEEKDAY(INT(B1425)+1,2))="Sí",IF(D1425="proMX",COUNTIFS(FER_F,INT(B1425)+1,FER_NLP,"Sí"),COUNTIFS(FER_F,INT(B1425)+1,FER_NLM,"Sí"))=0),1,0),0)</f>
        <v>0</v>
      </c>
      <c r="AJ1425" s="80">
        <f>IF(AC1425=1,1440-Z1425,AD1425)</f>
        <v>0</v>
      </c>
      <c r="AK1425" s="80">
        <f>IF(AND(AB1425=1,AH1425=1),MAX(0,MIN(IF(AC1425=1,1440,AA1425),CFG_WEM)-MAX(Z1425,CFG_WSM)),0)</f>
        <v>0</v>
      </c>
      <c r="AL1425" s="80">
        <f>IF(AND(AC1425=1,AI1425=1),MAX(0,MIN(AA1425,CFG_WEM)-CFG_WSM),0)</f>
        <v>0</v>
      </c>
      <c r="AM1425" s="80">
        <f>AK1425+AL1425</f>
        <v>0</v>
      </c>
      <c r="AN1425" s="80">
        <f>IF(CFG_BRK="Proporcional",IF(AD1425=0,0,AF1425*AM1425/AD1425),IF(CFG_BRK="Extras primero",MIN(AM1425,MAX(0,AF1425-(AD1425-AM1425))),MIN(AF1425,AM1425)))</f>
        <v>0</v>
      </c>
      <c r="AO1425" s="80">
        <f>AF1425-AN1425</f>
        <v>0</v>
      </c>
      <c r="AP1425" s="80">
        <f>AM1425-AN1425</f>
        <v>0</v>
      </c>
      <c r="AQ1425" s="80">
        <f>AD1425-AM1425-AO1425</f>
        <v>0</v>
      </c>
      <c r="AR1425" s="80">
        <f>IF(AM1425=0,0,AK1425-AN1425*AK1425/AM1425)</f>
        <v>0</v>
      </c>
      <c r="AS1425" s="80">
        <f>IF(AD1425-AM1425=0,0,(AJ1425-AK1425)-AO1425*(AJ1425-AK1425)/(AD1425-AM1425))</f>
        <v>0</v>
      </c>
      <c r="AT1425" s="80" t="str">
        <f>IF(AC1425=1,INT(B1425)+1,"")</f>
        <v/>
      </c>
      <c r="AU1425" s="80">
        <f>IF(AND(D1425="proMX",R1425="Cancelled"),0,1)</f>
        <v>1</v>
      </c>
      <c r="AV1425" s="80">
        <f>IF(AND(AB1425=1,AU1425=1),IF(COUNTIFS($D$5:D1424,D1425,$B$5:B1424,B1425,$Z$5:Z1424,Z1425,$AA$5:AA1424,AA1425,$F$5:F1424,F1425&amp;"",$AU$5:AU1424,1)&gt;0,1,0),0)</f>
        <v>0</v>
      </c>
      <c r="AW1425" s="80" t="str">
        <f>IF(AB1425=1,INT(B1425)*1440+Z1425,"")</f>
        <v/>
      </c>
      <c r="AX1425" s="80" t="str">
        <f>IF(AB1425=1,AW1425+AD1425,"")</f>
        <v/>
      </c>
      <c r="AY1425" s="80">
        <f>IF(AND(AB1425=1,AV1425=0,AU1425=1),1,0)</f>
        <v>0</v>
      </c>
      <c r="AZ1425" s="80">
        <f>IF(AY1425=1,COUNTIFS(R_Emp,D1425,R_SAbs,"&lt;"&amp;AX1425,R_EAbs,"&gt;"&amp;AW1425,R_OKey,1)-1,0)</f>
        <v>0</v>
      </c>
      <c r="BA1425" s="80">
        <f>IF(AY1425=1,COUNTIFS(R_Emp,"&lt;&gt;"&amp;D1425,R_SAbs,"&lt;"&amp;AX1425,R_EAbs,"&gt;"&amp;AW1425,R_OKey,1),0)</f>
        <v>0</v>
      </c>
      <c r="BB1425" s="80">
        <f>IF(AND(AB1425=1,D1425="proMX"),IF(AND(MOD(Z1425,CFG_BLK)=0,MOD(AA1425,CFG_BLK)=0,MOD(AG1425,CFG_BLK)=0,AG1425&gt;0),1,0),1)</f>
        <v>1</v>
      </c>
      <c r="BC1425" s="80" t="str">
        <f>IF(Y1425=0,"",IF(NOT(ISNUMBER(B1425)),"Falta fecha o fecha inválida",IF(D1425="","Falta empresa",IF(AND(D1425&lt;&gt;"Malcolm",D1425&lt;&gt;"proMX"),"Empresa inválida",IF(OR(INT(B1425)&lt;CFG_PSTART,INT(B1425)&gt;CFG_PEND),"Fecha fuera del período",IF(OR(NOT(ISNUMBER(Z1425)),NOT(ISNUMBER(AA1425))),"Falta hora inicio/fin o formato inválido",IF(AB1425=0,"Hora inicio = hora fin",IF(AE1425&lt;0,"Descanso inválido",IF(AE1425&gt;=AD1425,"Descanso ≥ duración",IF(AV1425=1,"Registro duplicado",IF(AZ1425&gt;0,"Se superpone con otro registro "&amp;D1425,IF(BB1425=0,"inicio, fin y duración neta deben ser múltiplos de "&amp;CFG_BLK&amp;" min",""))))))))))))</f>
        <v/>
      </c>
      <c r="BD1425" s="80">
        <f>IF(AND(Y1425=1,BC1425=""),1,0)</f>
        <v>0</v>
      </c>
      <c r="BE1425" s="80">
        <f>IF(AND(BD1425=1,AU1425=1),1,0)</f>
        <v>0</v>
      </c>
      <c r="BF1425" s="80" t="str">
        <f>IF(AND(D1425="proMX",BD1425=1),IF(R1425="","Draft",R1425),"")</f>
        <v/>
      </c>
      <c r="BG1425" s="80">
        <f>IF(BD1425=1,ROUND(AG1425/60,6),0)</f>
        <v>0</v>
      </c>
      <c r="BH1425" s="80">
        <f>IF(BE1425=1,ROUND(AG1425/60,6),0)</f>
        <v>0</v>
      </c>
      <c r="BI1425" s="80">
        <f>IF(BE1425=1,ROUND(AP1425/60,6),0)</f>
        <v>0</v>
      </c>
      <c r="BJ1425" s="80">
        <f>IF(BE1425=1,ROUND(AQ1425/60,6),0)</f>
        <v>0</v>
      </c>
      <c r="BK1425" s="80">
        <f>IF(BE1425=1,ROUND((AR1425+AS1425)/60,6),0)</f>
        <v>0</v>
      </c>
      <c r="BL1425" s="80">
        <f>ROUND(BH1425-BK1425,6)</f>
        <v>0</v>
      </c>
      <c r="BM1425" s="80">
        <f>IF(BE1425=1,ROUND(AR1425/60,6),0)</f>
        <v>0</v>
      </c>
      <c r="BN1425" s="80">
        <f>ROUND(BI1425-BM1425,6)</f>
        <v>0</v>
      </c>
      <c r="BO1425" s="80">
        <f>IF(BE1425=1,ROUND(AS1425/60,6),0)</f>
        <v>0</v>
      </c>
      <c r="BP1425" s="80">
        <f>ROUND(BJ1425-BO1425,6)</f>
        <v>0</v>
      </c>
      <c r="BQ1425" s="80">
        <f>IF(BE1425=1,AW1425,0)</f>
        <v>0</v>
      </c>
      <c r="BR1425" s="80">
        <f>IF(BE1425=1,AX1425,0)</f>
        <v>0</v>
      </c>
      <c r="BS1425" s="80">
        <f>IF(AND(BE1425=1,D1425="Malcolm",BA1425&gt;0),MIN(BH1425,SUMPRODUCT((R_Emp="proMX")*(R_EN&gt;0)*((R_EN-(R_EN&gt;BR1425)*(R_EN-BR1425))&gt;(R_SN+(R_SN&lt;BQ1425)*(BQ1425-R_SN)))*((R_EN-(R_EN&gt;BR1425)*(R_EN-BR1425))-(R_SN+(R_SN&lt;BQ1425)*(BQ1425-R_SN))))/60),0)</f>
        <v>0</v>
      </c>
      <c r="BT1425" s="80">
        <f>IF(AND(BE1425=1,D1425="proMX"),ROUND(BI1425*CFG_RATE+BJ1425*CFG_OTRATE,6),0)</f>
        <v>0</v>
      </c>
      <c r="BU1425" s="80">
        <f>IF(AND(BD1425=1,D1425="proMX"),ROUND(AG1425/CFG_BLK,6),0)</f>
        <v>0</v>
      </c>
      <c r="BV1425" s="80" t="str">
        <f>IF(BF1425="Approved",IF(ISNUMBER(T1425),INT(T1425),INT(B1425)),"")</f>
        <v/>
      </c>
      <c r="BW1425" s="80">
        <f>IF(ISNUMBER(B1425),IF(DB_MON="Todos",1,IF(AND(INT(B1425)&gt;=DB_MS,INT(B1425)&lt;=DB_ME),1,0)),0)</f>
        <v>0</v>
      </c>
      <c r="BX1425" s="80">
        <f>IF(DB_PROJ="Todos",1,IF(E1425&amp;""=DB_PROJ&amp;"",1,0))</f>
        <v>1</v>
      </c>
      <c r="BY1425" s="80">
        <f>BW1425*BX1425</f>
        <v>0</v>
      </c>
      <c r="BZ1425" s="80" t="str">
        <f>IF(Y1425=1,F1425&amp;IF(AND(F1425&amp;""&lt;&gt;"",E1425&amp;""&lt;&gt;"")," · ","")&amp;E1425,"")</f>
        <v/>
      </c>
      <c r="CA1425" s="80" t="str">
        <f>IF(AND(BD1425=1,E1425&amp;""&lt;&gt;""),IF(COUNTIFS($E$5:E1424,E1425,$BD$5:BD1424,1)=0,MAX($CA$5:CA1424)+1,""),"")</f>
        <v/>
      </c>
      <c r="CB1425" s="80" t="str">
        <f>IF(AND(BE1425=1,D1425="Malcolm",E1425&amp;""&lt;&gt;""),IF(COUNTIFS($D$5:D1424,"Malcolm",$E$5:E1424,E1425,$BE$5:BE1424,1)=0,MAX($CB$5:CB1424)+1,""),"")</f>
        <v/>
      </c>
      <c r="CC1425" s="80" t="str">
        <f>IF(AND(BD1425=1,D1425="proMX",E1425&amp;""&lt;&gt;""),IF(COUNTIFS($D$5:D1424,"proMX",$E$5:E1424,E1425,$BD$5:BD1424,1)=0,MAX($CC$5:CC1424)+1,""),"")</f>
        <v/>
      </c>
      <c r="CD1425" s="80" t="str">
        <f>IF(AND(BE1425=1,D1425="Malcolm",F1425&amp;""&lt;&gt;""),IF(COUNTIFS($D$5:D1424,"Malcolm",$F$5:F1424,F1425,$BE$5:BE1424,1)=0,MAX($CD$5:CD1424)+1,""),"")</f>
        <v/>
      </c>
      <c r="CE1425" s="80" t="str">
        <f>IF(AND(BD1425=1,D1425="proMX",F1425&amp;""&lt;&gt;""),IF(COUNTIFS($D$5:D1424,"proMX",$F$5:F1424,F1425,$BD$5:BD1424,1)=0,MAX($CE$5:CE1424)+1,""),"")</f>
        <v/>
      </c>
      <c r="CF1425" s="80" t="str">
        <f>IF(AND(D1425="proMX",BD1425=1),IF(OR(BF1425="Draft",BF1425="Submitted",BF1425="Returned",BF1425="Recall Requested"),MAX($CF$5:CF1424)+1,""),"")</f>
        <v/>
      </c>
      <c r="CG1425" s="80">
        <f>IF(BD1425=0,0,IF(D1425="Malcolm",1,MATCH(BF1425,{"Draft","Submitted","Approved","Returned","Recall Requested","Cancelled"},0)+1))</f>
        <v>0</v>
      </c>
      <c r="CH1425" s="80">
        <f>IF(AND(BF1425="Submitted",ISNUMBER(V1425)),IF(V1425&gt;CFG_MAXD,1,0),0)</f>
        <v>0</v>
      </c>
    </row>
    <row r="1426">
      <c r="A1426" s="71" t="str">
        <f>IF(Y1426=1,ROW()-5,"")</f>
        <v/>
      </c>
      <c r="B1426" s="72" t="n"/>
      <c r="C1426" s="71" t="str">
        <f>IF(ISNUMBER(B1426),CHOOSE(WEEKDAY(B1426,2),"Lun","Mar","Mié","Jue","Vie","Sáb","Dom"),"")</f>
        <v/>
      </c>
      <c r="D1426" s="73" t="n"/>
      <c r="E1426" s="74" t="n"/>
      <c r="F1426" s="74" t="n"/>
      <c r="G1426" s="74" t="n"/>
      <c r="H1426" s="75" t="n"/>
      <c r="I1426" s="75" t="n"/>
      <c r="J1426" s="76" t="n"/>
      <c r="K1426" s="77" t="str">
        <f>IF(AB1426=1,ROUND(AG1426/60,4),"")</f>
        <v/>
      </c>
      <c r="L1426" s="77" t="str">
        <f>IF(BD1426=1,ROUND(AP1426/60,4),"")</f>
        <v/>
      </c>
      <c r="M1426" s="77" t="str">
        <f>IF(BD1426=1,ROUND(AQ1426/60,4),"")</f>
        <v/>
      </c>
      <c r="N1426" s="71" t="str">
        <f>IF(AND(D1426="proMX",AB1426=1),ROUND(AG1426/CFG_BLK,2),"")</f>
        <v/>
      </c>
      <c r="O1426" s="77" t="str">
        <f>IF(D1426="proMX",IF(BD1426=1,ROUND(AG1426/60,4),0),"")</f>
        <v/>
      </c>
      <c r="P1426" s="78" t="str">
        <f>IF(Y1426=0,"",IF(BD1426=1,"OK",IF(D1426="proMX","Revisar bloques: ","Revisar: ")&amp;BC1426))</f>
        <v/>
      </c>
      <c r="Q1426" s="78" t="str">
        <f>IF(NOT(ISNUMBER(B1426)),"",IF(COUNTIFS(FER_F,INT(B1426))&gt;0,"Feriado"&amp;IF(AH1426=1," (laborable)"," (no laborable)"),IF(AH1426=1,"Laborable",IF(WEEKDAY(B1426,2)&gt;5,"Fin de semana","No laborable"))))</f>
        <v/>
      </c>
      <c r="R1426" s="73" t="n"/>
      <c r="S1426" s="72" t="n"/>
      <c r="T1426" s="72" t="n"/>
      <c r="U1426" s="74" t="n"/>
      <c r="V1426" s="79" t="str">
        <f>IF(AND(D1426="proMX",OR(R1426="Submitted",R1426="Recall Requested"),ISNUMBER(S1426)),CFG_TODAY-INT(S1426),"")</f>
        <v/>
      </c>
      <c r="W1426" s="78" t="str">
        <f>IF(BD1426=0,"",IF(BA1426&gt;0,"⚠ Se superpone con un registro de la otra empresa",IF(D1426="Malcolm",IF(COUNTA(R1426,S1426,T1426)&gt;0,"Estado/fechas proMX se ignoran en Malcolm",""),IF(BF1426="Cancelled","Cancelado: excluido de totales",IF(R1426="","Sin estado: se trata como Draft",IF(BF1426="Submitted",IF(ISNUMBER(V1426),IF(V1426&gt;CFG_MAXD,"⚠ "&amp;V1426&amp;" días en Submitted (máx. "&amp;CFG_MAXD&amp;")",""),"Falta fecha de envío"),IF(BF1426="Returned","⚠ Devuelto: corregir y reenviar",IF(BF1426="Recall Requested","Retirada solicitada: pendiente",IF(AND(BF1426="Approved",NOT(ISNUMBER(T1426))),"Falta fecha de aprobación",IF(AND(ISNUMBER(S1426),ISNUMBER(T1426),T1426&lt;S1426),"Aprobación anterior al envío","")))))))))</f>
        <v/>
      </c>
      <c r="Y1426" s="80">
        <f>IF(COUNTA(B1426,D1426,E1426,F1426,G1426,H1426,I1426,J1426,R1426,S1426,T1426)&gt;0,1,0)</f>
        <v>0</v>
      </c>
      <c r="Z1426" s="80" t="str">
        <f>IF(AND(ISNUMBER(H1426),H1426&gt;=0,H1426&lt;1),ROUND(H1426*1440,0),"")</f>
        <v/>
      </c>
      <c r="AA1426" s="80" t="str">
        <f>IF(AND(ISNUMBER(I1426),I1426&gt;=0,I1426&lt;1),ROUND(I1426*1440,0),"")</f>
        <v/>
      </c>
      <c r="AB1426" s="80">
        <f>IF(AND(ISNUMBER(B1426),D1426&lt;&gt;"",ISNUMBER(Z1426),ISNUMBER(AA1426)),IF(Z1426=AA1426,0,1),0)</f>
        <v>0</v>
      </c>
      <c r="AC1426" s="80">
        <f>IF(AB1426=1,IF(AA1426&lt;Z1426,1,0),0)</f>
        <v>0</v>
      </c>
      <c r="AD1426" s="80">
        <f>IF(AB1426=1,IF(AC1426=1,1440-Z1426+AA1426,AA1426-Z1426),0)</f>
        <v>0</v>
      </c>
      <c r="AE1426" s="80">
        <f>IF(J1426="",0,IF(ISNUMBER(J1426),J1426,-1))</f>
        <v>0</v>
      </c>
      <c r="AF1426" s="80">
        <f>MIN(MAX(0,AE1426),AD1426)</f>
        <v>0</v>
      </c>
      <c r="AG1426" s="80">
        <f>MAX(0,AD1426-MAX(0,AE1426))</f>
        <v>0</v>
      </c>
      <c r="AH1426" s="80">
        <f>IF(ISNUMBER(B1426),IF(AND(INDEX(CFG_WDAYS,WEEKDAY(INT(B1426),2))="Sí",IF(D1426="proMX",COUNTIFS(FER_F,INT(B1426),FER_NLP,"Sí"),COUNTIFS(FER_F,INT(B1426),FER_NLM,"Sí"))=0),1,0),0)</f>
        <v>0</v>
      </c>
      <c r="AI1426" s="80">
        <f>IF(AC1426=1,IF(AND(INDEX(CFG_WDAYS,WEEKDAY(INT(B1426)+1,2))="Sí",IF(D1426="proMX",COUNTIFS(FER_F,INT(B1426)+1,FER_NLP,"Sí"),COUNTIFS(FER_F,INT(B1426)+1,FER_NLM,"Sí"))=0),1,0),0)</f>
        <v>0</v>
      </c>
      <c r="AJ1426" s="80">
        <f>IF(AC1426=1,1440-Z1426,AD1426)</f>
        <v>0</v>
      </c>
      <c r="AK1426" s="80">
        <f>IF(AND(AB1426=1,AH1426=1),MAX(0,MIN(IF(AC1426=1,1440,AA1426),CFG_WEM)-MAX(Z1426,CFG_WSM)),0)</f>
        <v>0</v>
      </c>
      <c r="AL1426" s="80">
        <f>IF(AND(AC1426=1,AI1426=1),MAX(0,MIN(AA1426,CFG_WEM)-CFG_WSM),0)</f>
        <v>0</v>
      </c>
      <c r="AM1426" s="80">
        <f>AK1426+AL1426</f>
        <v>0</v>
      </c>
      <c r="AN1426" s="80">
        <f>IF(CFG_BRK="Proporcional",IF(AD1426=0,0,AF1426*AM1426/AD1426),IF(CFG_BRK="Extras primero",MIN(AM1426,MAX(0,AF1426-(AD1426-AM1426))),MIN(AF1426,AM1426)))</f>
        <v>0</v>
      </c>
      <c r="AO1426" s="80">
        <f>AF1426-AN1426</f>
        <v>0</v>
      </c>
      <c r="AP1426" s="80">
        <f>AM1426-AN1426</f>
        <v>0</v>
      </c>
      <c r="AQ1426" s="80">
        <f>AD1426-AM1426-AO1426</f>
        <v>0</v>
      </c>
      <c r="AR1426" s="80">
        <f>IF(AM1426=0,0,AK1426-AN1426*AK1426/AM1426)</f>
        <v>0</v>
      </c>
      <c r="AS1426" s="80">
        <f>IF(AD1426-AM1426=0,0,(AJ1426-AK1426)-AO1426*(AJ1426-AK1426)/(AD1426-AM1426))</f>
        <v>0</v>
      </c>
      <c r="AT1426" s="80" t="str">
        <f>IF(AC1426=1,INT(B1426)+1,"")</f>
        <v/>
      </c>
      <c r="AU1426" s="80">
        <f>IF(AND(D1426="proMX",R1426="Cancelled"),0,1)</f>
        <v>1</v>
      </c>
      <c r="AV1426" s="80">
        <f>IF(AND(AB1426=1,AU1426=1),IF(COUNTIFS($D$5:D1425,D1426,$B$5:B1425,B1426,$Z$5:Z1425,Z1426,$AA$5:AA1425,AA1426,$F$5:F1425,F1426&amp;"",$AU$5:AU1425,1)&gt;0,1,0),0)</f>
        <v>0</v>
      </c>
      <c r="AW1426" s="80" t="str">
        <f>IF(AB1426=1,INT(B1426)*1440+Z1426,"")</f>
        <v/>
      </c>
      <c r="AX1426" s="80" t="str">
        <f>IF(AB1426=1,AW1426+AD1426,"")</f>
        <v/>
      </c>
      <c r="AY1426" s="80">
        <f>IF(AND(AB1426=1,AV1426=0,AU1426=1),1,0)</f>
        <v>0</v>
      </c>
      <c r="AZ1426" s="80">
        <f>IF(AY1426=1,COUNTIFS(R_Emp,D1426,R_SAbs,"&lt;"&amp;AX1426,R_EAbs,"&gt;"&amp;AW1426,R_OKey,1)-1,0)</f>
        <v>0</v>
      </c>
      <c r="BA1426" s="80">
        <f>IF(AY1426=1,COUNTIFS(R_Emp,"&lt;&gt;"&amp;D1426,R_SAbs,"&lt;"&amp;AX1426,R_EAbs,"&gt;"&amp;AW1426,R_OKey,1),0)</f>
        <v>0</v>
      </c>
      <c r="BB1426" s="80">
        <f>IF(AND(AB1426=1,D1426="proMX"),IF(AND(MOD(Z1426,CFG_BLK)=0,MOD(AA1426,CFG_BLK)=0,MOD(AG1426,CFG_BLK)=0,AG1426&gt;0),1,0),1)</f>
        <v>1</v>
      </c>
      <c r="BC1426" s="80" t="str">
        <f>IF(Y1426=0,"",IF(NOT(ISNUMBER(B1426)),"Falta fecha o fecha inválida",IF(D1426="","Falta empresa",IF(AND(D1426&lt;&gt;"Malcolm",D1426&lt;&gt;"proMX"),"Empresa inválida",IF(OR(INT(B1426)&lt;CFG_PSTART,INT(B1426)&gt;CFG_PEND),"Fecha fuera del período",IF(OR(NOT(ISNUMBER(Z1426)),NOT(ISNUMBER(AA1426))),"Falta hora inicio/fin o formato inválido",IF(AB1426=0,"Hora inicio = hora fin",IF(AE1426&lt;0,"Descanso inválido",IF(AE1426&gt;=AD1426,"Descanso ≥ duración",IF(AV1426=1,"Registro duplicado",IF(AZ1426&gt;0,"Se superpone con otro registro "&amp;D1426,IF(BB1426=0,"inicio, fin y duración neta deben ser múltiplos de "&amp;CFG_BLK&amp;" min",""))))))))))))</f>
        <v/>
      </c>
      <c r="BD1426" s="80">
        <f>IF(AND(Y1426=1,BC1426=""),1,0)</f>
        <v>0</v>
      </c>
      <c r="BE1426" s="80">
        <f>IF(AND(BD1426=1,AU1426=1),1,0)</f>
        <v>0</v>
      </c>
      <c r="BF1426" s="80" t="str">
        <f>IF(AND(D1426="proMX",BD1426=1),IF(R1426="","Draft",R1426),"")</f>
        <v/>
      </c>
      <c r="BG1426" s="80">
        <f>IF(BD1426=1,ROUND(AG1426/60,6),0)</f>
        <v>0</v>
      </c>
      <c r="BH1426" s="80">
        <f>IF(BE1426=1,ROUND(AG1426/60,6),0)</f>
        <v>0</v>
      </c>
      <c r="BI1426" s="80">
        <f>IF(BE1426=1,ROUND(AP1426/60,6),0)</f>
        <v>0</v>
      </c>
      <c r="BJ1426" s="80">
        <f>IF(BE1426=1,ROUND(AQ1426/60,6),0)</f>
        <v>0</v>
      </c>
      <c r="BK1426" s="80">
        <f>IF(BE1426=1,ROUND((AR1426+AS1426)/60,6),0)</f>
        <v>0</v>
      </c>
      <c r="BL1426" s="80">
        <f>ROUND(BH1426-BK1426,6)</f>
        <v>0</v>
      </c>
      <c r="BM1426" s="80">
        <f>IF(BE1426=1,ROUND(AR1426/60,6),0)</f>
        <v>0</v>
      </c>
      <c r="BN1426" s="80">
        <f>ROUND(BI1426-BM1426,6)</f>
        <v>0</v>
      </c>
      <c r="BO1426" s="80">
        <f>IF(BE1426=1,ROUND(AS1426/60,6),0)</f>
        <v>0</v>
      </c>
      <c r="BP1426" s="80">
        <f>ROUND(BJ1426-BO1426,6)</f>
        <v>0</v>
      </c>
      <c r="BQ1426" s="80">
        <f>IF(BE1426=1,AW1426,0)</f>
        <v>0</v>
      </c>
      <c r="BR1426" s="80">
        <f>IF(BE1426=1,AX1426,0)</f>
        <v>0</v>
      </c>
      <c r="BS1426" s="80">
        <f>IF(AND(BE1426=1,D1426="Malcolm",BA1426&gt;0),MIN(BH1426,SUMPRODUCT((R_Emp="proMX")*(R_EN&gt;0)*((R_EN-(R_EN&gt;BR1426)*(R_EN-BR1426))&gt;(R_SN+(R_SN&lt;BQ1426)*(BQ1426-R_SN)))*((R_EN-(R_EN&gt;BR1426)*(R_EN-BR1426))-(R_SN+(R_SN&lt;BQ1426)*(BQ1426-R_SN))))/60),0)</f>
        <v>0</v>
      </c>
      <c r="BT1426" s="80">
        <f>IF(AND(BE1426=1,D1426="proMX"),ROUND(BI1426*CFG_RATE+BJ1426*CFG_OTRATE,6),0)</f>
        <v>0</v>
      </c>
      <c r="BU1426" s="80">
        <f>IF(AND(BD1426=1,D1426="proMX"),ROUND(AG1426/CFG_BLK,6),0)</f>
        <v>0</v>
      </c>
      <c r="BV1426" s="80" t="str">
        <f>IF(BF1426="Approved",IF(ISNUMBER(T1426),INT(T1426),INT(B1426)),"")</f>
        <v/>
      </c>
      <c r="BW1426" s="80">
        <f>IF(ISNUMBER(B1426),IF(DB_MON="Todos",1,IF(AND(INT(B1426)&gt;=DB_MS,INT(B1426)&lt;=DB_ME),1,0)),0)</f>
        <v>0</v>
      </c>
      <c r="BX1426" s="80">
        <f>IF(DB_PROJ="Todos",1,IF(E1426&amp;""=DB_PROJ&amp;"",1,0))</f>
        <v>1</v>
      </c>
      <c r="BY1426" s="80">
        <f>BW1426*BX1426</f>
        <v>0</v>
      </c>
      <c r="BZ1426" s="80" t="str">
        <f>IF(Y1426=1,F1426&amp;IF(AND(F1426&amp;""&lt;&gt;"",E1426&amp;""&lt;&gt;"")," · ","")&amp;E1426,"")</f>
        <v/>
      </c>
      <c r="CA1426" s="80" t="str">
        <f>IF(AND(BD1426=1,E1426&amp;""&lt;&gt;""),IF(COUNTIFS($E$5:E1425,E1426,$BD$5:BD1425,1)=0,MAX($CA$5:CA1425)+1,""),"")</f>
        <v/>
      </c>
      <c r="CB1426" s="80" t="str">
        <f>IF(AND(BE1426=1,D1426="Malcolm",E1426&amp;""&lt;&gt;""),IF(COUNTIFS($D$5:D1425,"Malcolm",$E$5:E1425,E1426,$BE$5:BE1425,1)=0,MAX($CB$5:CB1425)+1,""),"")</f>
        <v/>
      </c>
      <c r="CC1426" s="80" t="str">
        <f>IF(AND(BD1426=1,D1426="proMX",E1426&amp;""&lt;&gt;""),IF(COUNTIFS($D$5:D1425,"proMX",$E$5:E1425,E1426,$BD$5:BD1425,1)=0,MAX($CC$5:CC1425)+1,""),"")</f>
        <v/>
      </c>
      <c r="CD1426" s="80" t="str">
        <f>IF(AND(BE1426=1,D1426="Malcolm",F1426&amp;""&lt;&gt;""),IF(COUNTIFS($D$5:D1425,"Malcolm",$F$5:F1425,F1426,$BE$5:BE1425,1)=0,MAX($CD$5:CD1425)+1,""),"")</f>
        <v/>
      </c>
      <c r="CE1426" s="80" t="str">
        <f>IF(AND(BD1426=1,D1426="proMX",F1426&amp;""&lt;&gt;""),IF(COUNTIFS($D$5:D1425,"proMX",$F$5:F1425,F1426,$BD$5:BD1425,1)=0,MAX($CE$5:CE1425)+1,""),"")</f>
        <v/>
      </c>
      <c r="CF1426" s="80" t="str">
        <f>IF(AND(D1426="proMX",BD1426=1),IF(OR(BF1426="Draft",BF1426="Submitted",BF1426="Returned",BF1426="Recall Requested"),MAX($CF$5:CF1425)+1,""),"")</f>
        <v/>
      </c>
      <c r="CG1426" s="80">
        <f>IF(BD1426=0,0,IF(D1426="Malcolm",1,MATCH(BF1426,{"Draft","Submitted","Approved","Returned","Recall Requested","Cancelled"},0)+1))</f>
        <v>0</v>
      </c>
      <c r="CH1426" s="80">
        <f>IF(AND(BF1426="Submitted",ISNUMBER(V1426)),IF(V1426&gt;CFG_MAXD,1,0),0)</f>
        <v>0</v>
      </c>
    </row>
    <row r="1427">
      <c r="A1427" s="71" t="str">
        <f>IF(Y1427=1,ROW()-5,"")</f>
        <v/>
      </c>
      <c r="B1427" s="72" t="n"/>
      <c r="C1427" s="71" t="str">
        <f>IF(ISNUMBER(B1427),CHOOSE(WEEKDAY(B1427,2),"Lun","Mar","Mié","Jue","Vie","Sáb","Dom"),"")</f>
        <v/>
      </c>
      <c r="D1427" s="73" t="n"/>
      <c r="E1427" s="74" t="n"/>
      <c r="F1427" s="74" t="n"/>
      <c r="G1427" s="74" t="n"/>
      <c r="H1427" s="75" t="n"/>
      <c r="I1427" s="75" t="n"/>
      <c r="J1427" s="76" t="n"/>
      <c r="K1427" s="77" t="str">
        <f>IF(AB1427=1,ROUND(AG1427/60,4),"")</f>
        <v/>
      </c>
      <c r="L1427" s="77" t="str">
        <f>IF(BD1427=1,ROUND(AP1427/60,4),"")</f>
        <v/>
      </c>
      <c r="M1427" s="77" t="str">
        <f>IF(BD1427=1,ROUND(AQ1427/60,4),"")</f>
        <v/>
      </c>
      <c r="N1427" s="71" t="str">
        <f>IF(AND(D1427="proMX",AB1427=1),ROUND(AG1427/CFG_BLK,2),"")</f>
        <v/>
      </c>
      <c r="O1427" s="77" t="str">
        <f>IF(D1427="proMX",IF(BD1427=1,ROUND(AG1427/60,4),0),"")</f>
        <v/>
      </c>
      <c r="P1427" s="78" t="str">
        <f>IF(Y1427=0,"",IF(BD1427=1,"OK",IF(D1427="proMX","Revisar bloques: ","Revisar: ")&amp;BC1427))</f>
        <v/>
      </c>
      <c r="Q1427" s="78" t="str">
        <f>IF(NOT(ISNUMBER(B1427)),"",IF(COUNTIFS(FER_F,INT(B1427))&gt;0,"Feriado"&amp;IF(AH1427=1," (laborable)"," (no laborable)"),IF(AH1427=1,"Laborable",IF(WEEKDAY(B1427,2)&gt;5,"Fin de semana","No laborable"))))</f>
        <v/>
      </c>
      <c r="R1427" s="73" t="n"/>
      <c r="S1427" s="72" t="n"/>
      <c r="T1427" s="72" t="n"/>
      <c r="U1427" s="74" t="n"/>
      <c r="V1427" s="79" t="str">
        <f>IF(AND(D1427="proMX",OR(R1427="Submitted",R1427="Recall Requested"),ISNUMBER(S1427)),CFG_TODAY-INT(S1427),"")</f>
        <v/>
      </c>
      <c r="W1427" s="78" t="str">
        <f>IF(BD1427=0,"",IF(BA1427&gt;0,"⚠ Se superpone con un registro de la otra empresa",IF(D1427="Malcolm",IF(COUNTA(R1427,S1427,T1427)&gt;0,"Estado/fechas proMX se ignoran en Malcolm",""),IF(BF1427="Cancelled","Cancelado: excluido de totales",IF(R1427="","Sin estado: se trata como Draft",IF(BF1427="Submitted",IF(ISNUMBER(V1427),IF(V1427&gt;CFG_MAXD,"⚠ "&amp;V1427&amp;" días en Submitted (máx. "&amp;CFG_MAXD&amp;")",""),"Falta fecha de envío"),IF(BF1427="Returned","⚠ Devuelto: corregir y reenviar",IF(BF1427="Recall Requested","Retirada solicitada: pendiente",IF(AND(BF1427="Approved",NOT(ISNUMBER(T1427))),"Falta fecha de aprobación",IF(AND(ISNUMBER(S1427),ISNUMBER(T1427),T1427&lt;S1427),"Aprobación anterior al envío","")))))))))</f>
        <v/>
      </c>
      <c r="Y1427" s="80">
        <f>IF(COUNTA(B1427,D1427,E1427,F1427,G1427,H1427,I1427,J1427,R1427,S1427,T1427)&gt;0,1,0)</f>
        <v>0</v>
      </c>
      <c r="Z1427" s="80" t="str">
        <f>IF(AND(ISNUMBER(H1427),H1427&gt;=0,H1427&lt;1),ROUND(H1427*1440,0),"")</f>
        <v/>
      </c>
      <c r="AA1427" s="80" t="str">
        <f>IF(AND(ISNUMBER(I1427),I1427&gt;=0,I1427&lt;1),ROUND(I1427*1440,0),"")</f>
        <v/>
      </c>
      <c r="AB1427" s="80">
        <f>IF(AND(ISNUMBER(B1427),D1427&lt;&gt;"",ISNUMBER(Z1427),ISNUMBER(AA1427)),IF(Z1427=AA1427,0,1),0)</f>
        <v>0</v>
      </c>
      <c r="AC1427" s="80">
        <f>IF(AB1427=1,IF(AA1427&lt;Z1427,1,0),0)</f>
        <v>0</v>
      </c>
      <c r="AD1427" s="80">
        <f>IF(AB1427=1,IF(AC1427=1,1440-Z1427+AA1427,AA1427-Z1427),0)</f>
        <v>0</v>
      </c>
      <c r="AE1427" s="80">
        <f>IF(J1427="",0,IF(ISNUMBER(J1427),J1427,-1))</f>
        <v>0</v>
      </c>
      <c r="AF1427" s="80">
        <f>MIN(MAX(0,AE1427),AD1427)</f>
        <v>0</v>
      </c>
      <c r="AG1427" s="80">
        <f>MAX(0,AD1427-MAX(0,AE1427))</f>
        <v>0</v>
      </c>
      <c r="AH1427" s="80">
        <f>IF(ISNUMBER(B1427),IF(AND(INDEX(CFG_WDAYS,WEEKDAY(INT(B1427),2))="Sí",IF(D1427="proMX",COUNTIFS(FER_F,INT(B1427),FER_NLP,"Sí"),COUNTIFS(FER_F,INT(B1427),FER_NLM,"Sí"))=0),1,0),0)</f>
        <v>0</v>
      </c>
      <c r="AI1427" s="80">
        <f>IF(AC1427=1,IF(AND(INDEX(CFG_WDAYS,WEEKDAY(INT(B1427)+1,2))="Sí",IF(D1427="proMX",COUNTIFS(FER_F,INT(B1427)+1,FER_NLP,"Sí"),COUNTIFS(FER_F,INT(B1427)+1,FER_NLM,"Sí"))=0),1,0),0)</f>
        <v>0</v>
      </c>
      <c r="AJ1427" s="80">
        <f>IF(AC1427=1,1440-Z1427,AD1427)</f>
        <v>0</v>
      </c>
      <c r="AK1427" s="80">
        <f>IF(AND(AB1427=1,AH1427=1),MAX(0,MIN(IF(AC1427=1,1440,AA1427),CFG_WEM)-MAX(Z1427,CFG_WSM)),0)</f>
        <v>0</v>
      </c>
      <c r="AL1427" s="80">
        <f>IF(AND(AC1427=1,AI1427=1),MAX(0,MIN(AA1427,CFG_WEM)-CFG_WSM),0)</f>
        <v>0</v>
      </c>
      <c r="AM1427" s="80">
        <f>AK1427+AL1427</f>
        <v>0</v>
      </c>
      <c r="AN1427" s="80">
        <f>IF(CFG_BRK="Proporcional",IF(AD1427=0,0,AF1427*AM1427/AD1427),IF(CFG_BRK="Extras primero",MIN(AM1427,MAX(0,AF1427-(AD1427-AM1427))),MIN(AF1427,AM1427)))</f>
        <v>0</v>
      </c>
      <c r="AO1427" s="80">
        <f>AF1427-AN1427</f>
        <v>0</v>
      </c>
      <c r="AP1427" s="80">
        <f>AM1427-AN1427</f>
        <v>0</v>
      </c>
      <c r="AQ1427" s="80">
        <f>AD1427-AM1427-AO1427</f>
        <v>0</v>
      </c>
      <c r="AR1427" s="80">
        <f>IF(AM1427=0,0,AK1427-AN1427*AK1427/AM1427)</f>
        <v>0</v>
      </c>
      <c r="AS1427" s="80">
        <f>IF(AD1427-AM1427=0,0,(AJ1427-AK1427)-AO1427*(AJ1427-AK1427)/(AD1427-AM1427))</f>
        <v>0</v>
      </c>
      <c r="AT1427" s="80" t="str">
        <f>IF(AC1427=1,INT(B1427)+1,"")</f>
        <v/>
      </c>
      <c r="AU1427" s="80">
        <f>IF(AND(D1427="proMX",R1427="Cancelled"),0,1)</f>
        <v>1</v>
      </c>
      <c r="AV1427" s="80">
        <f>IF(AND(AB1427=1,AU1427=1),IF(COUNTIFS($D$5:D1426,D1427,$B$5:B1426,B1427,$Z$5:Z1426,Z1427,$AA$5:AA1426,AA1427,$F$5:F1426,F1427&amp;"",$AU$5:AU1426,1)&gt;0,1,0),0)</f>
        <v>0</v>
      </c>
      <c r="AW1427" s="80" t="str">
        <f>IF(AB1427=1,INT(B1427)*1440+Z1427,"")</f>
        <v/>
      </c>
      <c r="AX1427" s="80" t="str">
        <f>IF(AB1427=1,AW1427+AD1427,"")</f>
        <v/>
      </c>
      <c r="AY1427" s="80">
        <f>IF(AND(AB1427=1,AV1427=0,AU1427=1),1,0)</f>
        <v>0</v>
      </c>
      <c r="AZ1427" s="80">
        <f>IF(AY1427=1,COUNTIFS(R_Emp,D1427,R_SAbs,"&lt;"&amp;AX1427,R_EAbs,"&gt;"&amp;AW1427,R_OKey,1)-1,0)</f>
        <v>0</v>
      </c>
      <c r="BA1427" s="80">
        <f>IF(AY1427=1,COUNTIFS(R_Emp,"&lt;&gt;"&amp;D1427,R_SAbs,"&lt;"&amp;AX1427,R_EAbs,"&gt;"&amp;AW1427,R_OKey,1),0)</f>
        <v>0</v>
      </c>
      <c r="BB1427" s="80">
        <f>IF(AND(AB1427=1,D1427="proMX"),IF(AND(MOD(Z1427,CFG_BLK)=0,MOD(AA1427,CFG_BLK)=0,MOD(AG1427,CFG_BLK)=0,AG1427&gt;0),1,0),1)</f>
        <v>1</v>
      </c>
      <c r="BC1427" s="80" t="str">
        <f>IF(Y1427=0,"",IF(NOT(ISNUMBER(B1427)),"Falta fecha o fecha inválida",IF(D1427="","Falta empresa",IF(AND(D1427&lt;&gt;"Malcolm",D1427&lt;&gt;"proMX"),"Empresa inválida",IF(OR(INT(B1427)&lt;CFG_PSTART,INT(B1427)&gt;CFG_PEND),"Fecha fuera del período",IF(OR(NOT(ISNUMBER(Z1427)),NOT(ISNUMBER(AA1427))),"Falta hora inicio/fin o formato inválido",IF(AB1427=0,"Hora inicio = hora fin",IF(AE1427&lt;0,"Descanso inválido",IF(AE1427&gt;=AD1427,"Descanso ≥ duración",IF(AV1427=1,"Registro duplicado",IF(AZ1427&gt;0,"Se superpone con otro registro "&amp;D1427,IF(BB1427=0,"inicio, fin y duración neta deben ser múltiplos de "&amp;CFG_BLK&amp;" min",""))))))))))))</f>
        <v/>
      </c>
      <c r="BD1427" s="80">
        <f>IF(AND(Y1427=1,BC1427=""),1,0)</f>
        <v>0</v>
      </c>
      <c r="BE1427" s="80">
        <f>IF(AND(BD1427=1,AU1427=1),1,0)</f>
        <v>0</v>
      </c>
      <c r="BF1427" s="80" t="str">
        <f>IF(AND(D1427="proMX",BD1427=1),IF(R1427="","Draft",R1427),"")</f>
        <v/>
      </c>
      <c r="BG1427" s="80">
        <f>IF(BD1427=1,ROUND(AG1427/60,6),0)</f>
        <v>0</v>
      </c>
      <c r="BH1427" s="80">
        <f>IF(BE1427=1,ROUND(AG1427/60,6),0)</f>
        <v>0</v>
      </c>
      <c r="BI1427" s="80">
        <f>IF(BE1427=1,ROUND(AP1427/60,6),0)</f>
        <v>0</v>
      </c>
      <c r="BJ1427" s="80">
        <f>IF(BE1427=1,ROUND(AQ1427/60,6),0)</f>
        <v>0</v>
      </c>
      <c r="BK1427" s="80">
        <f>IF(BE1427=1,ROUND((AR1427+AS1427)/60,6),0)</f>
        <v>0</v>
      </c>
      <c r="BL1427" s="80">
        <f>ROUND(BH1427-BK1427,6)</f>
        <v>0</v>
      </c>
      <c r="BM1427" s="80">
        <f>IF(BE1427=1,ROUND(AR1427/60,6),0)</f>
        <v>0</v>
      </c>
      <c r="BN1427" s="80">
        <f>ROUND(BI1427-BM1427,6)</f>
        <v>0</v>
      </c>
      <c r="BO1427" s="80">
        <f>IF(BE1427=1,ROUND(AS1427/60,6),0)</f>
        <v>0</v>
      </c>
      <c r="BP1427" s="80">
        <f>ROUND(BJ1427-BO1427,6)</f>
        <v>0</v>
      </c>
      <c r="BQ1427" s="80">
        <f>IF(BE1427=1,AW1427,0)</f>
        <v>0</v>
      </c>
      <c r="BR1427" s="80">
        <f>IF(BE1427=1,AX1427,0)</f>
        <v>0</v>
      </c>
      <c r="BS1427" s="80">
        <f>IF(AND(BE1427=1,D1427="Malcolm",BA1427&gt;0),MIN(BH1427,SUMPRODUCT((R_Emp="proMX")*(R_EN&gt;0)*((R_EN-(R_EN&gt;BR1427)*(R_EN-BR1427))&gt;(R_SN+(R_SN&lt;BQ1427)*(BQ1427-R_SN)))*((R_EN-(R_EN&gt;BR1427)*(R_EN-BR1427))-(R_SN+(R_SN&lt;BQ1427)*(BQ1427-R_SN))))/60),0)</f>
        <v>0</v>
      </c>
      <c r="BT1427" s="80">
        <f>IF(AND(BE1427=1,D1427="proMX"),ROUND(BI1427*CFG_RATE+BJ1427*CFG_OTRATE,6),0)</f>
        <v>0</v>
      </c>
      <c r="BU1427" s="80">
        <f>IF(AND(BD1427=1,D1427="proMX"),ROUND(AG1427/CFG_BLK,6),0)</f>
        <v>0</v>
      </c>
      <c r="BV1427" s="80" t="str">
        <f>IF(BF1427="Approved",IF(ISNUMBER(T1427),INT(T1427),INT(B1427)),"")</f>
        <v/>
      </c>
      <c r="BW1427" s="80">
        <f>IF(ISNUMBER(B1427),IF(DB_MON="Todos",1,IF(AND(INT(B1427)&gt;=DB_MS,INT(B1427)&lt;=DB_ME),1,0)),0)</f>
        <v>0</v>
      </c>
      <c r="BX1427" s="80">
        <f>IF(DB_PROJ="Todos",1,IF(E1427&amp;""=DB_PROJ&amp;"",1,0))</f>
        <v>1</v>
      </c>
      <c r="BY1427" s="80">
        <f>BW1427*BX1427</f>
        <v>0</v>
      </c>
      <c r="BZ1427" s="80" t="str">
        <f>IF(Y1427=1,F1427&amp;IF(AND(F1427&amp;""&lt;&gt;"",E1427&amp;""&lt;&gt;"")," · ","")&amp;E1427,"")</f>
        <v/>
      </c>
      <c r="CA1427" s="80" t="str">
        <f>IF(AND(BD1427=1,E1427&amp;""&lt;&gt;""),IF(COUNTIFS($E$5:E1426,E1427,$BD$5:BD1426,1)=0,MAX($CA$5:CA1426)+1,""),"")</f>
        <v/>
      </c>
      <c r="CB1427" s="80" t="str">
        <f>IF(AND(BE1427=1,D1427="Malcolm",E1427&amp;""&lt;&gt;""),IF(COUNTIFS($D$5:D1426,"Malcolm",$E$5:E1426,E1427,$BE$5:BE1426,1)=0,MAX($CB$5:CB1426)+1,""),"")</f>
        <v/>
      </c>
      <c r="CC1427" s="80" t="str">
        <f>IF(AND(BD1427=1,D1427="proMX",E1427&amp;""&lt;&gt;""),IF(COUNTIFS($D$5:D1426,"proMX",$E$5:E1426,E1427,$BD$5:BD1426,1)=0,MAX($CC$5:CC1426)+1,""),"")</f>
        <v/>
      </c>
      <c r="CD1427" s="80" t="str">
        <f>IF(AND(BE1427=1,D1427="Malcolm",F1427&amp;""&lt;&gt;""),IF(COUNTIFS($D$5:D1426,"Malcolm",$F$5:F1426,F1427,$BE$5:BE1426,1)=0,MAX($CD$5:CD1426)+1,""),"")</f>
        <v/>
      </c>
      <c r="CE1427" s="80" t="str">
        <f>IF(AND(BD1427=1,D1427="proMX",F1427&amp;""&lt;&gt;""),IF(COUNTIFS($D$5:D1426,"proMX",$F$5:F1426,F1427,$BD$5:BD1426,1)=0,MAX($CE$5:CE1426)+1,""),"")</f>
        <v/>
      </c>
      <c r="CF1427" s="80" t="str">
        <f>IF(AND(D1427="proMX",BD1427=1),IF(OR(BF1427="Draft",BF1427="Submitted",BF1427="Returned",BF1427="Recall Requested"),MAX($CF$5:CF1426)+1,""),"")</f>
        <v/>
      </c>
      <c r="CG1427" s="80">
        <f>IF(BD1427=0,0,IF(D1427="Malcolm",1,MATCH(BF1427,{"Draft","Submitted","Approved","Returned","Recall Requested","Cancelled"},0)+1))</f>
        <v>0</v>
      </c>
      <c r="CH1427" s="80">
        <f>IF(AND(BF1427="Submitted",ISNUMBER(V1427)),IF(V1427&gt;CFG_MAXD,1,0),0)</f>
        <v>0</v>
      </c>
    </row>
    <row r="1428">
      <c r="A1428" s="71" t="str">
        <f>IF(Y1428=1,ROW()-5,"")</f>
        <v/>
      </c>
      <c r="B1428" s="72" t="n"/>
      <c r="C1428" s="71" t="str">
        <f>IF(ISNUMBER(B1428),CHOOSE(WEEKDAY(B1428,2),"Lun","Mar","Mié","Jue","Vie","Sáb","Dom"),"")</f>
        <v/>
      </c>
      <c r="D1428" s="73" t="n"/>
      <c r="E1428" s="74" t="n"/>
      <c r="F1428" s="74" t="n"/>
      <c r="G1428" s="74" t="n"/>
      <c r="H1428" s="75" t="n"/>
      <c r="I1428" s="75" t="n"/>
      <c r="J1428" s="76" t="n"/>
      <c r="K1428" s="77" t="str">
        <f>IF(AB1428=1,ROUND(AG1428/60,4),"")</f>
        <v/>
      </c>
      <c r="L1428" s="77" t="str">
        <f>IF(BD1428=1,ROUND(AP1428/60,4),"")</f>
        <v/>
      </c>
      <c r="M1428" s="77" t="str">
        <f>IF(BD1428=1,ROUND(AQ1428/60,4),"")</f>
        <v/>
      </c>
      <c r="N1428" s="71" t="str">
        <f>IF(AND(D1428="proMX",AB1428=1),ROUND(AG1428/CFG_BLK,2),"")</f>
        <v/>
      </c>
      <c r="O1428" s="77" t="str">
        <f>IF(D1428="proMX",IF(BD1428=1,ROUND(AG1428/60,4),0),"")</f>
        <v/>
      </c>
      <c r="P1428" s="78" t="str">
        <f>IF(Y1428=0,"",IF(BD1428=1,"OK",IF(D1428="proMX","Revisar bloques: ","Revisar: ")&amp;BC1428))</f>
        <v/>
      </c>
      <c r="Q1428" s="78" t="str">
        <f>IF(NOT(ISNUMBER(B1428)),"",IF(COUNTIFS(FER_F,INT(B1428))&gt;0,"Feriado"&amp;IF(AH1428=1," (laborable)"," (no laborable)"),IF(AH1428=1,"Laborable",IF(WEEKDAY(B1428,2)&gt;5,"Fin de semana","No laborable"))))</f>
        <v/>
      </c>
      <c r="R1428" s="73" t="n"/>
      <c r="S1428" s="72" t="n"/>
      <c r="T1428" s="72" t="n"/>
      <c r="U1428" s="74" t="n"/>
      <c r="V1428" s="79" t="str">
        <f>IF(AND(D1428="proMX",OR(R1428="Submitted",R1428="Recall Requested"),ISNUMBER(S1428)),CFG_TODAY-INT(S1428),"")</f>
        <v/>
      </c>
      <c r="W1428" s="78" t="str">
        <f>IF(BD1428=0,"",IF(BA1428&gt;0,"⚠ Se superpone con un registro de la otra empresa",IF(D1428="Malcolm",IF(COUNTA(R1428,S1428,T1428)&gt;0,"Estado/fechas proMX se ignoran en Malcolm",""),IF(BF1428="Cancelled","Cancelado: excluido de totales",IF(R1428="","Sin estado: se trata como Draft",IF(BF1428="Submitted",IF(ISNUMBER(V1428),IF(V1428&gt;CFG_MAXD,"⚠ "&amp;V1428&amp;" días en Submitted (máx. "&amp;CFG_MAXD&amp;")",""),"Falta fecha de envío"),IF(BF1428="Returned","⚠ Devuelto: corregir y reenviar",IF(BF1428="Recall Requested","Retirada solicitada: pendiente",IF(AND(BF1428="Approved",NOT(ISNUMBER(T1428))),"Falta fecha de aprobación",IF(AND(ISNUMBER(S1428),ISNUMBER(T1428),T1428&lt;S1428),"Aprobación anterior al envío","")))))))))</f>
        <v/>
      </c>
      <c r="Y1428" s="80">
        <f>IF(COUNTA(B1428,D1428,E1428,F1428,G1428,H1428,I1428,J1428,R1428,S1428,T1428)&gt;0,1,0)</f>
        <v>0</v>
      </c>
      <c r="Z1428" s="80" t="str">
        <f>IF(AND(ISNUMBER(H1428),H1428&gt;=0,H1428&lt;1),ROUND(H1428*1440,0),"")</f>
        <v/>
      </c>
      <c r="AA1428" s="80" t="str">
        <f>IF(AND(ISNUMBER(I1428),I1428&gt;=0,I1428&lt;1),ROUND(I1428*1440,0),"")</f>
        <v/>
      </c>
      <c r="AB1428" s="80">
        <f>IF(AND(ISNUMBER(B1428),D1428&lt;&gt;"",ISNUMBER(Z1428),ISNUMBER(AA1428)),IF(Z1428=AA1428,0,1),0)</f>
        <v>0</v>
      </c>
      <c r="AC1428" s="80">
        <f>IF(AB1428=1,IF(AA1428&lt;Z1428,1,0),0)</f>
        <v>0</v>
      </c>
      <c r="AD1428" s="80">
        <f>IF(AB1428=1,IF(AC1428=1,1440-Z1428+AA1428,AA1428-Z1428),0)</f>
        <v>0</v>
      </c>
      <c r="AE1428" s="80">
        <f>IF(J1428="",0,IF(ISNUMBER(J1428),J1428,-1))</f>
        <v>0</v>
      </c>
      <c r="AF1428" s="80">
        <f>MIN(MAX(0,AE1428),AD1428)</f>
        <v>0</v>
      </c>
      <c r="AG1428" s="80">
        <f>MAX(0,AD1428-MAX(0,AE1428))</f>
        <v>0</v>
      </c>
      <c r="AH1428" s="80">
        <f>IF(ISNUMBER(B1428),IF(AND(INDEX(CFG_WDAYS,WEEKDAY(INT(B1428),2))="Sí",IF(D1428="proMX",COUNTIFS(FER_F,INT(B1428),FER_NLP,"Sí"),COUNTIFS(FER_F,INT(B1428),FER_NLM,"Sí"))=0),1,0),0)</f>
        <v>0</v>
      </c>
      <c r="AI1428" s="80">
        <f>IF(AC1428=1,IF(AND(INDEX(CFG_WDAYS,WEEKDAY(INT(B1428)+1,2))="Sí",IF(D1428="proMX",COUNTIFS(FER_F,INT(B1428)+1,FER_NLP,"Sí"),COUNTIFS(FER_F,INT(B1428)+1,FER_NLM,"Sí"))=0),1,0),0)</f>
        <v>0</v>
      </c>
      <c r="AJ1428" s="80">
        <f>IF(AC1428=1,1440-Z1428,AD1428)</f>
        <v>0</v>
      </c>
      <c r="AK1428" s="80">
        <f>IF(AND(AB1428=1,AH1428=1),MAX(0,MIN(IF(AC1428=1,1440,AA1428),CFG_WEM)-MAX(Z1428,CFG_WSM)),0)</f>
        <v>0</v>
      </c>
      <c r="AL1428" s="80">
        <f>IF(AND(AC1428=1,AI1428=1),MAX(0,MIN(AA1428,CFG_WEM)-CFG_WSM),0)</f>
        <v>0</v>
      </c>
      <c r="AM1428" s="80">
        <f>AK1428+AL1428</f>
        <v>0</v>
      </c>
      <c r="AN1428" s="80">
        <f>IF(CFG_BRK="Proporcional",IF(AD1428=0,0,AF1428*AM1428/AD1428),IF(CFG_BRK="Extras primero",MIN(AM1428,MAX(0,AF1428-(AD1428-AM1428))),MIN(AF1428,AM1428)))</f>
        <v>0</v>
      </c>
      <c r="AO1428" s="80">
        <f>AF1428-AN1428</f>
        <v>0</v>
      </c>
      <c r="AP1428" s="80">
        <f>AM1428-AN1428</f>
        <v>0</v>
      </c>
      <c r="AQ1428" s="80">
        <f>AD1428-AM1428-AO1428</f>
        <v>0</v>
      </c>
      <c r="AR1428" s="80">
        <f>IF(AM1428=0,0,AK1428-AN1428*AK1428/AM1428)</f>
        <v>0</v>
      </c>
      <c r="AS1428" s="80">
        <f>IF(AD1428-AM1428=0,0,(AJ1428-AK1428)-AO1428*(AJ1428-AK1428)/(AD1428-AM1428))</f>
        <v>0</v>
      </c>
      <c r="AT1428" s="80" t="str">
        <f>IF(AC1428=1,INT(B1428)+1,"")</f>
        <v/>
      </c>
      <c r="AU1428" s="80">
        <f>IF(AND(D1428="proMX",R1428="Cancelled"),0,1)</f>
        <v>1</v>
      </c>
      <c r="AV1428" s="80">
        <f>IF(AND(AB1428=1,AU1428=1),IF(COUNTIFS($D$5:D1427,D1428,$B$5:B1427,B1428,$Z$5:Z1427,Z1428,$AA$5:AA1427,AA1428,$F$5:F1427,F1428&amp;"",$AU$5:AU1427,1)&gt;0,1,0),0)</f>
        <v>0</v>
      </c>
      <c r="AW1428" s="80" t="str">
        <f>IF(AB1428=1,INT(B1428)*1440+Z1428,"")</f>
        <v/>
      </c>
      <c r="AX1428" s="80" t="str">
        <f>IF(AB1428=1,AW1428+AD1428,"")</f>
        <v/>
      </c>
      <c r="AY1428" s="80">
        <f>IF(AND(AB1428=1,AV1428=0,AU1428=1),1,0)</f>
        <v>0</v>
      </c>
      <c r="AZ1428" s="80">
        <f>IF(AY1428=1,COUNTIFS(R_Emp,D1428,R_SAbs,"&lt;"&amp;AX1428,R_EAbs,"&gt;"&amp;AW1428,R_OKey,1)-1,0)</f>
        <v>0</v>
      </c>
      <c r="BA1428" s="80">
        <f>IF(AY1428=1,COUNTIFS(R_Emp,"&lt;&gt;"&amp;D1428,R_SAbs,"&lt;"&amp;AX1428,R_EAbs,"&gt;"&amp;AW1428,R_OKey,1),0)</f>
        <v>0</v>
      </c>
      <c r="BB1428" s="80">
        <f>IF(AND(AB1428=1,D1428="proMX"),IF(AND(MOD(Z1428,CFG_BLK)=0,MOD(AA1428,CFG_BLK)=0,MOD(AG1428,CFG_BLK)=0,AG1428&gt;0),1,0),1)</f>
        <v>1</v>
      </c>
      <c r="BC1428" s="80" t="str">
        <f>IF(Y1428=0,"",IF(NOT(ISNUMBER(B1428)),"Falta fecha o fecha inválida",IF(D1428="","Falta empresa",IF(AND(D1428&lt;&gt;"Malcolm",D1428&lt;&gt;"proMX"),"Empresa inválida",IF(OR(INT(B1428)&lt;CFG_PSTART,INT(B1428)&gt;CFG_PEND),"Fecha fuera del período",IF(OR(NOT(ISNUMBER(Z1428)),NOT(ISNUMBER(AA1428))),"Falta hora inicio/fin o formato inválido",IF(AB1428=0,"Hora inicio = hora fin",IF(AE1428&lt;0,"Descanso inválido",IF(AE1428&gt;=AD1428,"Descanso ≥ duración",IF(AV1428=1,"Registro duplicado",IF(AZ1428&gt;0,"Se superpone con otro registro "&amp;D1428,IF(BB1428=0,"inicio, fin y duración neta deben ser múltiplos de "&amp;CFG_BLK&amp;" min",""))))))))))))</f>
        <v/>
      </c>
      <c r="BD1428" s="80">
        <f>IF(AND(Y1428=1,BC1428=""),1,0)</f>
        <v>0</v>
      </c>
      <c r="BE1428" s="80">
        <f>IF(AND(BD1428=1,AU1428=1),1,0)</f>
        <v>0</v>
      </c>
      <c r="BF1428" s="80" t="str">
        <f>IF(AND(D1428="proMX",BD1428=1),IF(R1428="","Draft",R1428),"")</f>
        <v/>
      </c>
      <c r="BG1428" s="80">
        <f>IF(BD1428=1,ROUND(AG1428/60,6),0)</f>
        <v>0</v>
      </c>
      <c r="BH1428" s="80">
        <f>IF(BE1428=1,ROUND(AG1428/60,6),0)</f>
        <v>0</v>
      </c>
      <c r="BI1428" s="80">
        <f>IF(BE1428=1,ROUND(AP1428/60,6),0)</f>
        <v>0</v>
      </c>
      <c r="BJ1428" s="80">
        <f>IF(BE1428=1,ROUND(AQ1428/60,6),0)</f>
        <v>0</v>
      </c>
      <c r="BK1428" s="80">
        <f>IF(BE1428=1,ROUND((AR1428+AS1428)/60,6),0)</f>
        <v>0</v>
      </c>
      <c r="BL1428" s="80">
        <f>ROUND(BH1428-BK1428,6)</f>
        <v>0</v>
      </c>
      <c r="BM1428" s="80">
        <f>IF(BE1428=1,ROUND(AR1428/60,6),0)</f>
        <v>0</v>
      </c>
      <c r="BN1428" s="80">
        <f>ROUND(BI1428-BM1428,6)</f>
        <v>0</v>
      </c>
      <c r="BO1428" s="80">
        <f>IF(BE1428=1,ROUND(AS1428/60,6),0)</f>
        <v>0</v>
      </c>
      <c r="BP1428" s="80">
        <f>ROUND(BJ1428-BO1428,6)</f>
        <v>0</v>
      </c>
      <c r="BQ1428" s="80">
        <f>IF(BE1428=1,AW1428,0)</f>
        <v>0</v>
      </c>
      <c r="BR1428" s="80">
        <f>IF(BE1428=1,AX1428,0)</f>
        <v>0</v>
      </c>
      <c r="BS1428" s="80">
        <f>IF(AND(BE1428=1,D1428="Malcolm",BA1428&gt;0),MIN(BH1428,SUMPRODUCT((R_Emp="proMX")*(R_EN&gt;0)*((R_EN-(R_EN&gt;BR1428)*(R_EN-BR1428))&gt;(R_SN+(R_SN&lt;BQ1428)*(BQ1428-R_SN)))*((R_EN-(R_EN&gt;BR1428)*(R_EN-BR1428))-(R_SN+(R_SN&lt;BQ1428)*(BQ1428-R_SN))))/60),0)</f>
        <v>0</v>
      </c>
      <c r="BT1428" s="80">
        <f>IF(AND(BE1428=1,D1428="proMX"),ROUND(BI1428*CFG_RATE+BJ1428*CFG_OTRATE,6),0)</f>
        <v>0</v>
      </c>
      <c r="BU1428" s="80">
        <f>IF(AND(BD1428=1,D1428="proMX"),ROUND(AG1428/CFG_BLK,6),0)</f>
        <v>0</v>
      </c>
      <c r="BV1428" s="80" t="str">
        <f>IF(BF1428="Approved",IF(ISNUMBER(T1428),INT(T1428),INT(B1428)),"")</f>
        <v/>
      </c>
      <c r="BW1428" s="80">
        <f>IF(ISNUMBER(B1428),IF(DB_MON="Todos",1,IF(AND(INT(B1428)&gt;=DB_MS,INT(B1428)&lt;=DB_ME),1,0)),0)</f>
        <v>0</v>
      </c>
      <c r="BX1428" s="80">
        <f>IF(DB_PROJ="Todos",1,IF(E1428&amp;""=DB_PROJ&amp;"",1,0))</f>
        <v>1</v>
      </c>
      <c r="BY1428" s="80">
        <f>BW1428*BX1428</f>
        <v>0</v>
      </c>
      <c r="BZ1428" s="80" t="str">
        <f>IF(Y1428=1,F1428&amp;IF(AND(F1428&amp;""&lt;&gt;"",E1428&amp;""&lt;&gt;"")," · ","")&amp;E1428,"")</f>
        <v/>
      </c>
      <c r="CA1428" s="80" t="str">
        <f>IF(AND(BD1428=1,E1428&amp;""&lt;&gt;""),IF(COUNTIFS($E$5:E1427,E1428,$BD$5:BD1427,1)=0,MAX($CA$5:CA1427)+1,""),"")</f>
        <v/>
      </c>
      <c r="CB1428" s="80" t="str">
        <f>IF(AND(BE1428=1,D1428="Malcolm",E1428&amp;""&lt;&gt;""),IF(COUNTIFS($D$5:D1427,"Malcolm",$E$5:E1427,E1428,$BE$5:BE1427,1)=0,MAX($CB$5:CB1427)+1,""),"")</f>
        <v/>
      </c>
      <c r="CC1428" s="80" t="str">
        <f>IF(AND(BD1428=1,D1428="proMX",E1428&amp;""&lt;&gt;""),IF(COUNTIFS($D$5:D1427,"proMX",$E$5:E1427,E1428,$BD$5:BD1427,1)=0,MAX($CC$5:CC1427)+1,""),"")</f>
        <v/>
      </c>
      <c r="CD1428" s="80" t="str">
        <f>IF(AND(BE1428=1,D1428="Malcolm",F1428&amp;""&lt;&gt;""),IF(COUNTIFS($D$5:D1427,"Malcolm",$F$5:F1427,F1428,$BE$5:BE1427,1)=0,MAX($CD$5:CD1427)+1,""),"")</f>
        <v/>
      </c>
      <c r="CE1428" s="80" t="str">
        <f>IF(AND(BD1428=1,D1428="proMX",F1428&amp;""&lt;&gt;""),IF(COUNTIFS($D$5:D1427,"proMX",$F$5:F1427,F1428,$BD$5:BD1427,1)=0,MAX($CE$5:CE1427)+1,""),"")</f>
        <v/>
      </c>
      <c r="CF1428" s="80" t="str">
        <f>IF(AND(D1428="proMX",BD1428=1),IF(OR(BF1428="Draft",BF1428="Submitted",BF1428="Returned",BF1428="Recall Requested"),MAX($CF$5:CF1427)+1,""),"")</f>
        <v/>
      </c>
      <c r="CG1428" s="80">
        <f>IF(BD1428=0,0,IF(D1428="Malcolm",1,MATCH(BF1428,{"Draft","Submitted","Approved","Returned","Recall Requested","Cancelled"},0)+1))</f>
        <v>0</v>
      </c>
      <c r="CH1428" s="80">
        <f>IF(AND(BF1428="Submitted",ISNUMBER(V1428)),IF(V1428&gt;CFG_MAXD,1,0),0)</f>
        <v>0</v>
      </c>
    </row>
    <row r="1429">
      <c r="A1429" s="71" t="str">
        <f>IF(Y1429=1,ROW()-5,"")</f>
        <v/>
      </c>
      <c r="B1429" s="72" t="n"/>
      <c r="C1429" s="71" t="str">
        <f>IF(ISNUMBER(B1429),CHOOSE(WEEKDAY(B1429,2),"Lun","Mar","Mié","Jue","Vie","Sáb","Dom"),"")</f>
        <v/>
      </c>
      <c r="D1429" s="73" t="n"/>
      <c r="E1429" s="74" t="n"/>
      <c r="F1429" s="74" t="n"/>
      <c r="G1429" s="74" t="n"/>
      <c r="H1429" s="75" t="n"/>
      <c r="I1429" s="75" t="n"/>
      <c r="J1429" s="76" t="n"/>
      <c r="K1429" s="77" t="str">
        <f>IF(AB1429=1,ROUND(AG1429/60,4),"")</f>
        <v/>
      </c>
      <c r="L1429" s="77" t="str">
        <f>IF(BD1429=1,ROUND(AP1429/60,4),"")</f>
        <v/>
      </c>
      <c r="M1429" s="77" t="str">
        <f>IF(BD1429=1,ROUND(AQ1429/60,4),"")</f>
        <v/>
      </c>
      <c r="N1429" s="71" t="str">
        <f>IF(AND(D1429="proMX",AB1429=1),ROUND(AG1429/CFG_BLK,2),"")</f>
        <v/>
      </c>
      <c r="O1429" s="77" t="str">
        <f>IF(D1429="proMX",IF(BD1429=1,ROUND(AG1429/60,4),0),"")</f>
        <v/>
      </c>
      <c r="P1429" s="78" t="str">
        <f>IF(Y1429=0,"",IF(BD1429=1,"OK",IF(D1429="proMX","Revisar bloques: ","Revisar: ")&amp;BC1429))</f>
        <v/>
      </c>
      <c r="Q1429" s="78" t="str">
        <f>IF(NOT(ISNUMBER(B1429)),"",IF(COUNTIFS(FER_F,INT(B1429))&gt;0,"Feriado"&amp;IF(AH1429=1," (laborable)"," (no laborable)"),IF(AH1429=1,"Laborable",IF(WEEKDAY(B1429,2)&gt;5,"Fin de semana","No laborable"))))</f>
        <v/>
      </c>
      <c r="R1429" s="73" t="n"/>
      <c r="S1429" s="72" t="n"/>
      <c r="T1429" s="72" t="n"/>
      <c r="U1429" s="74" t="n"/>
      <c r="V1429" s="79" t="str">
        <f>IF(AND(D1429="proMX",OR(R1429="Submitted",R1429="Recall Requested"),ISNUMBER(S1429)),CFG_TODAY-INT(S1429),"")</f>
        <v/>
      </c>
      <c r="W1429" s="78" t="str">
        <f>IF(BD1429=0,"",IF(BA1429&gt;0,"⚠ Se superpone con un registro de la otra empresa",IF(D1429="Malcolm",IF(COUNTA(R1429,S1429,T1429)&gt;0,"Estado/fechas proMX se ignoran en Malcolm",""),IF(BF1429="Cancelled","Cancelado: excluido de totales",IF(R1429="","Sin estado: se trata como Draft",IF(BF1429="Submitted",IF(ISNUMBER(V1429),IF(V1429&gt;CFG_MAXD,"⚠ "&amp;V1429&amp;" días en Submitted (máx. "&amp;CFG_MAXD&amp;")",""),"Falta fecha de envío"),IF(BF1429="Returned","⚠ Devuelto: corregir y reenviar",IF(BF1429="Recall Requested","Retirada solicitada: pendiente",IF(AND(BF1429="Approved",NOT(ISNUMBER(T1429))),"Falta fecha de aprobación",IF(AND(ISNUMBER(S1429),ISNUMBER(T1429),T1429&lt;S1429),"Aprobación anterior al envío","")))))))))</f>
        <v/>
      </c>
      <c r="Y1429" s="80">
        <f>IF(COUNTA(B1429,D1429,E1429,F1429,G1429,H1429,I1429,J1429,R1429,S1429,T1429)&gt;0,1,0)</f>
        <v>0</v>
      </c>
      <c r="Z1429" s="80" t="str">
        <f>IF(AND(ISNUMBER(H1429),H1429&gt;=0,H1429&lt;1),ROUND(H1429*1440,0),"")</f>
        <v/>
      </c>
      <c r="AA1429" s="80" t="str">
        <f>IF(AND(ISNUMBER(I1429),I1429&gt;=0,I1429&lt;1),ROUND(I1429*1440,0),"")</f>
        <v/>
      </c>
      <c r="AB1429" s="80">
        <f>IF(AND(ISNUMBER(B1429),D1429&lt;&gt;"",ISNUMBER(Z1429),ISNUMBER(AA1429)),IF(Z1429=AA1429,0,1),0)</f>
        <v>0</v>
      </c>
      <c r="AC1429" s="80">
        <f>IF(AB1429=1,IF(AA1429&lt;Z1429,1,0),0)</f>
        <v>0</v>
      </c>
      <c r="AD1429" s="80">
        <f>IF(AB1429=1,IF(AC1429=1,1440-Z1429+AA1429,AA1429-Z1429),0)</f>
        <v>0</v>
      </c>
      <c r="AE1429" s="80">
        <f>IF(J1429="",0,IF(ISNUMBER(J1429),J1429,-1))</f>
        <v>0</v>
      </c>
      <c r="AF1429" s="80">
        <f>MIN(MAX(0,AE1429),AD1429)</f>
        <v>0</v>
      </c>
      <c r="AG1429" s="80">
        <f>MAX(0,AD1429-MAX(0,AE1429))</f>
        <v>0</v>
      </c>
      <c r="AH1429" s="80">
        <f>IF(ISNUMBER(B1429),IF(AND(INDEX(CFG_WDAYS,WEEKDAY(INT(B1429),2))="Sí",IF(D1429="proMX",COUNTIFS(FER_F,INT(B1429),FER_NLP,"Sí"),COUNTIFS(FER_F,INT(B1429),FER_NLM,"Sí"))=0),1,0),0)</f>
        <v>0</v>
      </c>
      <c r="AI1429" s="80">
        <f>IF(AC1429=1,IF(AND(INDEX(CFG_WDAYS,WEEKDAY(INT(B1429)+1,2))="Sí",IF(D1429="proMX",COUNTIFS(FER_F,INT(B1429)+1,FER_NLP,"Sí"),COUNTIFS(FER_F,INT(B1429)+1,FER_NLM,"Sí"))=0),1,0),0)</f>
        <v>0</v>
      </c>
      <c r="AJ1429" s="80">
        <f>IF(AC1429=1,1440-Z1429,AD1429)</f>
        <v>0</v>
      </c>
      <c r="AK1429" s="80">
        <f>IF(AND(AB1429=1,AH1429=1),MAX(0,MIN(IF(AC1429=1,1440,AA1429),CFG_WEM)-MAX(Z1429,CFG_WSM)),0)</f>
        <v>0</v>
      </c>
      <c r="AL1429" s="80">
        <f>IF(AND(AC1429=1,AI1429=1),MAX(0,MIN(AA1429,CFG_WEM)-CFG_WSM),0)</f>
        <v>0</v>
      </c>
      <c r="AM1429" s="80">
        <f>AK1429+AL1429</f>
        <v>0</v>
      </c>
      <c r="AN1429" s="80">
        <f>IF(CFG_BRK="Proporcional",IF(AD1429=0,0,AF1429*AM1429/AD1429),IF(CFG_BRK="Extras primero",MIN(AM1429,MAX(0,AF1429-(AD1429-AM1429))),MIN(AF1429,AM1429)))</f>
        <v>0</v>
      </c>
      <c r="AO1429" s="80">
        <f>AF1429-AN1429</f>
        <v>0</v>
      </c>
      <c r="AP1429" s="80">
        <f>AM1429-AN1429</f>
        <v>0</v>
      </c>
      <c r="AQ1429" s="80">
        <f>AD1429-AM1429-AO1429</f>
        <v>0</v>
      </c>
      <c r="AR1429" s="80">
        <f>IF(AM1429=0,0,AK1429-AN1429*AK1429/AM1429)</f>
        <v>0</v>
      </c>
      <c r="AS1429" s="80">
        <f>IF(AD1429-AM1429=0,0,(AJ1429-AK1429)-AO1429*(AJ1429-AK1429)/(AD1429-AM1429))</f>
        <v>0</v>
      </c>
      <c r="AT1429" s="80" t="str">
        <f>IF(AC1429=1,INT(B1429)+1,"")</f>
        <v/>
      </c>
      <c r="AU1429" s="80">
        <f>IF(AND(D1429="proMX",R1429="Cancelled"),0,1)</f>
        <v>1</v>
      </c>
      <c r="AV1429" s="80">
        <f>IF(AND(AB1429=1,AU1429=1),IF(COUNTIFS($D$5:D1428,D1429,$B$5:B1428,B1429,$Z$5:Z1428,Z1429,$AA$5:AA1428,AA1429,$F$5:F1428,F1429&amp;"",$AU$5:AU1428,1)&gt;0,1,0),0)</f>
        <v>0</v>
      </c>
      <c r="AW1429" s="80" t="str">
        <f>IF(AB1429=1,INT(B1429)*1440+Z1429,"")</f>
        <v/>
      </c>
      <c r="AX1429" s="80" t="str">
        <f>IF(AB1429=1,AW1429+AD1429,"")</f>
        <v/>
      </c>
      <c r="AY1429" s="80">
        <f>IF(AND(AB1429=1,AV1429=0,AU1429=1),1,0)</f>
        <v>0</v>
      </c>
      <c r="AZ1429" s="80">
        <f>IF(AY1429=1,COUNTIFS(R_Emp,D1429,R_SAbs,"&lt;"&amp;AX1429,R_EAbs,"&gt;"&amp;AW1429,R_OKey,1)-1,0)</f>
        <v>0</v>
      </c>
      <c r="BA1429" s="80">
        <f>IF(AY1429=1,COUNTIFS(R_Emp,"&lt;&gt;"&amp;D1429,R_SAbs,"&lt;"&amp;AX1429,R_EAbs,"&gt;"&amp;AW1429,R_OKey,1),0)</f>
        <v>0</v>
      </c>
      <c r="BB1429" s="80">
        <f>IF(AND(AB1429=1,D1429="proMX"),IF(AND(MOD(Z1429,CFG_BLK)=0,MOD(AA1429,CFG_BLK)=0,MOD(AG1429,CFG_BLK)=0,AG1429&gt;0),1,0),1)</f>
        <v>1</v>
      </c>
      <c r="BC1429" s="80" t="str">
        <f>IF(Y1429=0,"",IF(NOT(ISNUMBER(B1429)),"Falta fecha o fecha inválida",IF(D1429="","Falta empresa",IF(AND(D1429&lt;&gt;"Malcolm",D1429&lt;&gt;"proMX"),"Empresa inválida",IF(OR(INT(B1429)&lt;CFG_PSTART,INT(B1429)&gt;CFG_PEND),"Fecha fuera del período",IF(OR(NOT(ISNUMBER(Z1429)),NOT(ISNUMBER(AA1429))),"Falta hora inicio/fin o formato inválido",IF(AB1429=0,"Hora inicio = hora fin",IF(AE1429&lt;0,"Descanso inválido",IF(AE1429&gt;=AD1429,"Descanso ≥ duración",IF(AV1429=1,"Registro duplicado",IF(AZ1429&gt;0,"Se superpone con otro registro "&amp;D1429,IF(BB1429=0,"inicio, fin y duración neta deben ser múltiplos de "&amp;CFG_BLK&amp;" min",""))))))))))))</f>
        <v/>
      </c>
      <c r="BD1429" s="80">
        <f>IF(AND(Y1429=1,BC1429=""),1,0)</f>
        <v>0</v>
      </c>
      <c r="BE1429" s="80">
        <f>IF(AND(BD1429=1,AU1429=1),1,0)</f>
        <v>0</v>
      </c>
      <c r="BF1429" s="80" t="str">
        <f>IF(AND(D1429="proMX",BD1429=1),IF(R1429="","Draft",R1429),"")</f>
        <v/>
      </c>
      <c r="BG1429" s="80">
        <f>IF(BD1429=1,ROUND(AG1429/60,6),0)</f>
        <v>0</v>
      </c>
      <c r="BH1429" s="80">
        <f>IF(BE1429=1,ROUND(AG1429/60,6),0)</f>
        <v>0</v>
      </c>
      <c r="BI1429" s="80">
        <f>IF(BE1429=1,ROUND(AP1429/60,6),0)</f>
        <v>0</v>
      </c>
      <c r="BJ1429" s="80">
        <f>IF(BE1429=1,ROUND(AQ1429/60,6),0)</f>
        <v>0</v>
      </c>
      <c r="BK1429" s="80">
        <f>IF(BE1429=1,ROUND((AR1429+AS1429)/60,6),0)</f>
        <v>0</v>
      </c>
      <c r="BL1429" s="80">
        <f>ROUND(BH1429-BK1429,6)</f>
        <v>0</v>
      </c>
      <c r="BM1429" s="80">
        <f>IF(BE1429=1,ROUND(AR1429/60,6),0)</f>
        <v>0</v>
      </c>
      <c r="BN1429" s="80">
        <f>ROUND(BI1429-BM1429,6)</f>
        <v>0</v>
      </c>
      <c r="BO1429" s="80">
        <f>IF(BE1429=1,ROUND(AS1429/60,6),0)</f>
        <v>0</v>
      </c>
      <c r="BP1429" s="80">
        <f>ROUND(BJ1429-BO1429,6)</f>
        <v>0</v>
      </c>
      <c r="BQ1429" s="80">
        <f>IF(BE1429=1,AW1429,0)</f>
        <v>0</v>
      </c>
      <c r="BR1429" s="80">
        <f>IF(BE1429=1,AX1429,0)</f>
        <v>0</v>
      </c>
      <c r="BS1429" s="80">
        <f>IF(AND(BE1429=1,D1429="Malcolm",BA1429&gt;0),MIN(BH1429,SUMPRODUCT((R_Emp="proMX")*(R_EN&gt;0)*((R_EN-(R_EN&gt;BR1429)*(R_EN-BR1429))&gt;(R_SN+(R_SN&lt;BQ1429)*(BQ1429-R_SN)))*((R_EN-(R_EN&gt;BR1429)*(R_EN-BR1429))-(R_SN+(R_SN&lt;BQ1429)*(BQ1429-R_SN))))/60),0)</f>
        <v>0</v>
      </c>
      <c r="BT1429" s="80">
        <f>IF(AND(BE1429=1,D1429="proMX"),ROUND(BI1429*CFG_RATE+BJ1429*CFG_OTRATE,6),0)</f>
        <v>0</v>
      </c>
      <c r="BU1429" s="80">
        <f>IF(AND(BD1429=1,D1429="proMX"),ROUND(AG1429/CFG_BLK,6),0)</f>
        <v>0</v>
      </c>
      <c r="BV1429" s="80" t="str">
        <f>IF(BF1429="Approved",IF(ISNUMBER(T1429),INT(T1429),INT(B1429)),"")</f>
        <v/>
      </c>
      <c r="BW1429" s="80">
        <f>IF(ISNUMBER(B1429),IF(DB_MON="Todos",1,IF(AND(INT(B1429)&gt;=DB_MS,INT(B1429)&lt;=DB_ME),1,0)),0)</f>
        <v>0</v>
      </c>
      <c r="BX1429" s="80">
        <f>IF(DB_PROJ="Todos",1,IF(E1429&amp;""=DB_PROJ&amp;"",1,0))</f>
        <v>1</v>
      </c>
      <c r="BY1429" s="80">
        <f>BW1429*BX1429</f>
        <v>0</v>
      </c>
      <c r="BZ1429" s="80" t="str">
        <f>IF(Y1429=1,F1429&amp;IF(AND(F1429&amp;""&lt;&gt;"",E1429&amp;""&lt;&gt;"")," · ","")&amp;E1429,"")</f>
        <v/>
      </c>
      <c r="CA1429" s="80" t="str">
        <f>IF(AND(BD1429=1,E1429&amp;""&lt;&gt;""),IF(COUNTIFS($E$5:E1428,E1429,$BD$5:BD1428,1)=0,MAX($CA$5:CA1428)+1,""),"")</f>
        <v/>
      </c>
      <c r="CB1429" s="80" t="str">
        <f>IF(AND(BE1429=1,D1429="Malcolm",E1429&amp;""&lt;&gt;""),IF(COUNTIFS($D$5:D1428,"Malcolm",$E$5:E1428,E1429,$BE$5:BE1428,1)=0,MAX($CB$5:CB1428)+1,""),"")</f>
        <v/>
      </c>
      <c r="CC1429" s="80" t="str">
        <f>IF(AND(BD1429=1,D1429="proMX",E1429&amp;""&lt;&gt;""),IF(COUNTIFS($D$5:D1428,"proMX",$E$5:E1428,E1429,$BD$5:BD1428,1)=0,MAX($CC$5:CC1428)+1,""),"")</f>
        <v/>
      </c>
      <c r="CD1429" s="80" t="str">
        <f>IF(AND(BE1429=1,D1429="Malcolm",F1429&amp;""&lt;&gt;""),IF(COUNTIFS($D$5:D1428,"Malcolm",$F$5:F1428,F1429,$BE$5:BE1428,1)=0,MAX($CD$5:CD1428)+1,""),"")</f>
        <v/>
      </c>
      <c r="CE1429" s="80" t="str">
        <f>IF(AND(BD1429=1,D1429="proMX",F1429&amp;""&lt;&gt;""),IF(COUNTIFS($D$5:D1428,"proMX",$F$5:F1428,F1429,$BD$5:BD1428,1)=0,MAX($CE$5:CE1428)+1,""),"")</f>
        <v/>
      </c>
      <c r="CF1429" s="80" t="str">
        <f>IF(AND(D1429="proMX",BD1429=1),IF(OR(BF1429="Draft",BF1429="Submitted",BF1429="Returned",BF1429="Recall Requested"),MAX($CF$5:CF1428)+1,""),"")</f>
        <v/>
      </c>
      <c r="CG1429" s="80">
        <f>IF(BD1429=0,0,IF(D1429="Malcolm",1,MATCH(BF1429,{"Draft","Submitted","Approved","Returned","Recall Requested","Cancelled"},0)+1))</f>
        <v>0</v>
      </c>
      <c r="CH1429" s="80">
        <f>IF(AND(BF1429="Submitted",ISNUMBER(V1429)),IF(V1429&gt;CFG_MAXD,1,0),0)</f>
        <v>0</v>
      </c>
    </row>
    <row r="1430">
      <c r="A1430" s="71" t="str">
        <f>IF(Y1430=1,ROW()-5,"")</f>
        <v/>
      </c>
      <c r="B1430" s="72" t="n"/>
      <c r="C1430" s="71" t="str">
        <f>IF(ISNUMBER(B1430),CHOOSE(WEEKDAY(B1430,2),"Lun","Mar","Mié","Jue","Vie","Sáb","Dom"),"")</f>
        <v/>
      </c>
      <c r="D1430" s="73" t="n"/>
      <c r="E1430" s="74" t="n"/>
      <c r="F1430" s="74" t="n"/>
      <c r="G1430" s="74" t="n"/>
      <c r="H1430" s="75" t="n"/>
      <c r="I1430" s="75" t="n"/>
      <c r="J1430" s="76" t="n"/>
      <c r="K1430" s="77" t="str">
        <f>IF(AB1430=1,ROUND(AG1430/60,4),"")</f>
        <v/>
      </c>
      <c r="L1430" s="77" t="str">
        <f>IF(BD1430=1,ROUND(AP1430/60,4),"")</f>
        <v/>
      </c>
      <c r="M1430" s="77" t="str">
        <f>IF(BD1430=1,ROUND(AQ1430/60,4),"")</f>
        <v/>
      </c>
      <c r="N1430" s="71" t="str">
        <f>IF(AND(D1430="proMX",AB1430=1),ROUND(AG1430/CFG_BLK,2),"")</f>
        <v/>
      </c>
      <c r="O1430" s="77" t="str">
        <f>IF(D1430="proMX",IF(BD1430=1,ROUND(AG1430/60,4),0),"")</f>
        <v/>
      </c>
      <c r="P1430" s="78" t="str">
        <f>IF(Y1430=0,"",IF(BD1430=1,"OK",IF(D1430="proMX","Revisar bloques: ","Revisar: ")&amp;BC1430))</f>
        <v/>
      </c>
      <c r="Q1430" s="78" t="str">
        <f>IF(NOT(ISNUMBER(B1430)),"",IF(COUNTIFS(FER_F,INT(B1430))&gt;0,"Feriado"&amp;IF(AH1430=1," (laborable)"," (no laborable)"),IF(AH1430=1,"Laborable",IF(WEEKDAY(B1430,2)&gt;5,"Fin de semana","No laborable"))))</f>
        <v/>
      </c>
      <c r="R1430" s="73" t="n"/>
      <c r="S1430" s="72" t="n"/>
      <c r="T1430" s="72" t="n"/>
      <c r="U1430" s="74" t="n"/>
      <c r="V1430" s="79" t="str">
        <f>IF(AND(D1430="proMX",OR(R1430="Submitted",R1430="Recall Requested"),ISNUMBER(S1430)),CFG_TODAY-INT(S1430),"")</f>
        <v/>
      </c>
      <c r="W1430" s="78" t="str">
        <f>IF(BD1430=0,"",IF(BA1430&gt;0,"⚠ Se superpone con un registro de la otra empresa",IF(D1430="Malcolm",IF(COUNTA(R1430,S1430,T1430)&gt;0,"Estado/fechas proMX se ignoran en Malcolm",""),IF(BF1430="Cancelled","Cancelado: excluido de totales",IF(R1430="","Sin estado: se trata como Draft",IF(BF1430="Submitted",IF(ISNUMBER(V1430),IF(V1430&gt;CFG_MAXD,"⚠ "&amp;V1430&amp;" días en Submitted (máx. "&amp;CFG_MAXD&amp;")",""),"Falta fecha de envío"),IF(BF1430="Returned","⚠ Devuelto: corregir y reenviar",IF(BF1430="Recall Requested","Retirada solicitada: pendiente",IF(AND(BF1430="Approved",NOT(ISNUMBER(T1430))),"Falta fecha de aprobación",IF(AND(ISNUMBER(S1430),ISNUMBER(T1430),T1430&lt;S1430),"Aprobación anterior al envío","")))))))))</f>
        <v/>
      </c>
      <c r="Y1430" s="80">
        <f>IF(COUNTA(B1430,D1430,E1430,F1430,G1430,H1430,I1430,J1430,R1430,S1430,T1430)&gt;0,1,0)</f>
        <v>0</v>
      </c>
      <c r="Z1430" s="80" t="str">
        <f>IF(AND(ISNUMBER(H1430),H1430&gt;=0,H1430&lt;1),ROUND(H1430*1440,0),"")</f>
        <v/>
      </c>
      <c r="AA1430" s="80" t="str">
        <f>IF(AND(ISNUMBER(I1430),I1430&gt;=0,I1430&lt;1),ROUND(I1430*1440,0),"")</f>
        <v/>
      </c>
      <c r="AB1430" s="80">
        <f>IF(AND(ISNUMBER(B1430),D1430&lt;&gt;"",ISNUMBER(Z1430),ISNUMBER(AA1430)),IF(Z1430=AA1430,0,1),0)</f>
        <v>0</v>
      </c>
      <c r="AC1430" s="80">
        <f>IF(AB1430=1,IF(AA1430&lt;Z1430,1,0),0)</f>
        <v>0</v>
      </c>
      <c r="AD1430" s="80">
        <f>IF(AB1430=1,IF(AC1430=1,1440-Z1430+AA1430,AA1430-Z1430),0)</f>
        <v>0</v>
      </c>
      <c r="AE1430" s="80">
        <f>IF(J1430="",0,IF(ISNUMBER(J1430),J1430,-1))</f>
        <v>0</v>
      </c>
      <c r="AF1430" s="80">
        <f>MIN(MAX(0,AE1430),AD1430)</f>
        <v>0</v>
      </c>
      <c r="AG1430" s="80">
        <f>MAX(0,AD1430-MAX(0,AE1430))</f>
        <v>0</v>
      </c>
      <c r="AH1430" s="80">
        <f>IF(ISNUMBER(B1430),IF(AND(INDEX(CFG_WDAYS,WEEKDAY(INT(B1430),2))="Sí",IF(D1430="proMX",COUNTIFS(FER_F,INT(B1430),FER_NLP,"Sí"),COUNTIFS(FER_F,INT(B1430),FER_NLM,"Sí"))=0),1,0),0)</f>
        <v>0</v>
      </c>
      <c r="AI1430" s="80">
        <f>IF(AC1430=1,IF(AND(INDEX(CFG_WDAYS,WEEKDAY(INT(B1430)+1,2))="Sí",IF(D1430="proMX",COUNTIFS(FER_F,INT(B1430)+1,FER_NLP,"Sí"),COUNTIFS(FER_F,INT(B1430)+1,FER_NLM,"Sí"))=0),1,0),0)</f>
        <v>0</v>
      </c>
      <c r="AJ1430" s="80">
        <f>IF(AC1430=1,1440-Z1430,AD1430)</f>
        <v>0</v>
      </c>
      <c r="AK1430" s="80">
        <f>IF(AND(AB1430=1,AH1430=1),MAX(0,MIN(IF(AC1430=1,1440,AA1430),CFG_WEM)-MAX(Z1430,CFG_WSM)),0)</f>
        <v>0</v>
      </c>
      <c r="AL1430" s="80">
        <f>IF(AND(AC1430=1,AI1430=1),MAX(0,MIN(AA1430,CFG_WEM)-CFG_WSM),0)</f>
        <v>0</v>
      </c>
      <c r="AM1430" s="80">
        <f>AK1430+AL1430</f>
        <v>0</v>
      </c>
      <c r="AN1430" s="80">
        <f>IF(CFG_BRK="Proporcional",IF(AD1430=0,0,AF1430*AM1430/AD1430),IF(CFG_BRK="Extras primero",MIN(AM1430,MAX(0,AF1430-(AD1430-AM1430))),MIN(AF1430,AM1430)))</f>
        <v>0</v>
      </c>
      <c r="AO1430" s="80">
        <f>AF1430-AN1430</f>
        <v>0</v>
      </c>
      <c r="AP1430" s="80">
        <f>AM1430-AN1430</f>
        <v>0</v>
      </c>
      <c r="AQ1430" s="80">
        <f>AD1430-AM1430-AO1430</f>
        <v>0</v>
      </c>
      <c r="AR1430" s="80">
        <f>IF(AM1430=0,0,AK1430-AN1430*AK1430/AM1430)</f>
        <v>0</v>
      </c>
      <c r="AS1430" s="80">
        <f>IF(AD1430-AM1430=0,0,(AJ1430-AK1430)-AO1430*(AJ1430-AK1430)/(AD1430-AM1430))</f>
        <v>0</v>
      </c>
      <c r="AT1430" s="80" t="str">
        <f>IF(AC1430=1,INT(B1430)+1,"")</f>
        <v/>
      </c>
      <c r="AU1430" s="80">
        <f>IF(AND(D1430="proMX",R1430="Cancelled"),0,1)</f>
        <v>1</v>
      </c>
      <c r="AV1430" s="80">
        <f>IF(AND(AB1430=1,AU1430=1),IF(COUNTIFS($D$5:D1429,D1430,$B$5:B1429,B1430,$Z$5:Z1429,Z1430,$AA$5:AA1429,AA1430,$F$5:F1429,F1430&amp;"",$AU$5:AU1429,1)&gt;0,1,0),0)</f>
        <v>0</v>
      </c>
      <c r="AW1430" s="80" t="str">
        <f>IF(AB1430=1,INT(B1430)*1440+Z1430,"")</f>
        <v/>
      </c>
      <c r="AX1430" s="80" t="str">
        <f>IF(AB1430=1,AW1430+AD1430,"")</f>
        <v/>
      </c>
      <c r="AY1430" s="80">
        <f>IF(AND(AB1430=1,AV1430=0,AU1430=1),1,0)</f>
        <v>0</v>
      </c>
      <c r="AZ1430" s="80">
        <f>IF(AY1430=1,COUNTIFS(R_Emp,D1430,R_SAbs,"&lt;"&amp;AX1430,R_EAbs,"&gt;"&amp;AW1430,R_OKey,1)-1,0)</f>
        <v>0</v>
      </c>
      <c r="BA1430" s="80">
        <f>IF(AY1430=1,COUNTIFS(R_Emp,"&lt;&gt;"&amp;D1430,R_SAbs,"&lt;"&amp;AX1430,R_EAbs,"&gt;"&amp;AW1430,R_OKey,1),0)</f>
        <v>0</v>
      </c>
      <c r="BB1430" s="80">
        <f>IF(AND(AB1430=1,D1430="proMX"),IF(AND(MOD(Z1430,CFG_BLK)=0,MOD(AA1430,CFG_BLK)=0,MOD(AG1430,CFG_BLK)=0,AG1430&gt;0),1,0),1)</f>
        <v>1</v>
      </c>
      <c r="BC1430" s="80" t="str">
        <f>IF(Y1430=0,"",IF(NOT(ISNUMBER(B1430)),"Falta fecha o fecha inválida",IF(D1430="","Falta empresa",IF(AND(D1430&lt;&gt;"Malcolm",D1430&lt;&gt;"proMX"),"Empresa inválida",IF(OR(INT(B1430)&lt;CFG_PSTART,INT(B1430)&gt;CFG_PEND),"Fecha fuera del período",IF(OR(NOT(ISNUMBER(Z1430)),NOT(ISNUMBER(AA1430))),"Falta hora inicio/fin o formato inválido",IF(AB1430=0,"Hora inicio = hora fin",IF(AE1430&lt;0,"Descanso inválido",IF(AE1430&gt;=AD1430,"Descanso ≥ duración",IF(AV1430=1,"Registro duplicado",IF(AZ1430&gt;0,"Se superpone con otro registro "&amp;D1430,IF(BB1430=0,"inicio, fin y duración neta deben ser múltiplos de "&amp;CFG_BLK&amp;" min",""))))))))))))</f>
        <v/>
      </c>
      <c r="BD1430" s="80">
        <f>IF(AND(Y1430=1,BC1430=""),1,0)</f>
        <v>0</v>
      </c>
      <c r="BE1430" s="80">
        <f>IF(AND(BD1430=1,AU1430=1),1,0)</f>
        <v>0</v>
      </c>
      <c r="BF1430" s="80" t="str">
        <f>IF(AND(D1430="proMX",BD1430=1),IF(R1430="","Draft",R1430),"")</f>
        <v/>
      </c>
      <c r="BG1430" s="80">
        <f>IF(BD1430=1,ROUND(AG1430/60,6),0)</f>
        <v>0</v>
      </c>
      <c r="BH1430" s="80">
        <f>IF(BE1430=1,ROUND(AG1430/60,6),0)</f>
        <v>0</v>
      </c>
      <c r="BI1430" s="80">
        <f>IF(BE1430=1,ROUND(AP1430/60,6),0)</f>
        <v>0</v>
      </c>
      <c r="BJ1430" s="80">
        <f>IF(BE1430=1,ROUND(AQ1430/60,6),0)</f>
        <v>0</v>
      </c>
      <c r="BK1430" s="80">
        <f>IF(BE1430=1,ROUND((AR1430+AS1430)/60,6),0)</f>
        <v>0</v>
      </c>
      <c r="BL1430" s="80">
        <f>ROUND(BH1430-BK1430,6)</f>
        <v>0</v>
      </c>
      <c r="BM1430" s="80">
        <f>IF(BE1430=1,ROUND(AR1430/60,6),0)</f>
        <v>0</v>
      </c>
      <c r="BN1430" s="80">
        <f>ROUND(BI1430-BM1430,6)</f>
        <v>0</v>
      </c>
      <c r="BO1430" s="80">
        <f>IF(BE1430=1,ROUND(AS1430/60,6),0)</f>
        <v>0</v>
      </c>
      <c r="BP1430" s="80">
        <f>ROUND(BJ1430-BO1430,6)</f>
        <v>0</v>
      </c>
      <c r="BQ1430" s="80">
        <f>IF(BE1430=1,AW1430,0)</f>
        <v>0</v>
      </c>
      <c r="BR1430" s="80">
        <f>IF(BE1430=1,AX1430,0)</f>
        <v>0</v>
      </c>
      <c r="BS1430" s="80">
        <f>IF(AND(BE1430=1,D1430="Malcolm",BA1430&gt;0),MIN(BH1430,SUMPRODUCT((R_Emp="proMX")*(R_EN&gt;0)*((R_EN-(R_EN&gt;BR1430)*(R_EN-BR1430))&gt;(R_SN+(R_SN&lt;BQ1430)*(BQ1430-R_SN)))*((R_EN-(R_EN&gt;BR1430)*(R_EN-BR1430))-(R_SN+(R_SN&lt;BQ1430)*(BQ1430-R_SN))))/60),0)</f>
        <v>0</v>
      </c>
      <c r="BT1430" s="80">
        <f>IF(AND(BE1430=1,D1430="proMX"),ROUND(BI1430*CFG_RATE+BJ1430*CFG_OTRATE,6),0)</f>
        <v>0</v>
      </c>
      <c r="BU1430" s="80">
        <f>IF(AND(BD1430=1,D1430="proMX"),ROUND(AG1430/CFG_BLK,6),0)</f>
        <v>0</v>
      </c>
      <c r="BV1430" s="80" t="str">
        <f>IF(BF1430="Approved",IF(ISNUMBER(T1430),INT(T1430),INT(B1430)),"")</f>
        <v/>
      </c>
      <c r="BW1430" s="80">
        <f>IF(ISNUMBER(B1430),IF(DB_MON="Todos",1,IF(AND(INT(B1430)&gt;=DB_MS,INT(B1430)&lt;=DB_ME),1,0)),0)</f>
        <v>0</v>
      </c>
      <c r="BX1430" s="80">
        <f>IF(DB_PROJ="Todos",1,IF(E1430&amp;""=DB_PROJ&amp;"",1,0))</f>
        <v>1</v>
      </c>
      <c r="BY1430" s="80">
        <f>BW1430*BX1430</f>
        <v>0</v>
      </c>
      <c r="BZ1430" s="80" t="str">
        <f>IF(Y1430=1,F1430&amp;IF(AND(F1430&amp;""&lt;&gt;"",E1430&amp;""&lt;&gt;"")," · ","")&amp;E1430,"")</f>
        <v/>
      </c>
      <c r="CA1430" s="80" t="str">
        <f>IF(AND(BD1430=1,E1430&amp;""&lt;&gt;""),IF(COUNTIFS($E$5:E1429,E1430,$BD$5:BD1429,1)=0,MAX($CA$5:CA1429)+1,""),"")</f>
        <v/>
      </c>
      <c r="CB1430" s="80" t="str">
        <f>IF(AND(BE1430=1,D1430="Malcolm",E1430&amp;""&lt;&gt;""),IF(COUNTIFS($D$5:D1429,"Malcolm",$E$5:E1429,E1430,$BE$5:BE1429,1)=0,MAX($CB$5:CB1429)+1,""),"")</f>
        <v/>
      </c>
      <c r="CC1430" s="80" t="str">
        <f>IF(AND(BD1430=1,D1430="proMX",E1430&amp;""&lt;&gt;""),IF(COUNTIFS($D$5:D1429,"proMX",$E$5:E1429,E1430,$BD$5:BD1429,1)=0,MAX($CC$5:CC1429)+1,""),"")</f>
        <v/>
      </c>
      <c r="CD1430" s="80" t="str">
        <f>IF(AND(BE1430=1,D1430="Malcolm",F1430&amp;""&lt;&gt;""),IF(COUNTIFS($D$5:D1429,"Malcolm",$F$5:F1429,F1430,$BE$5:BE1429,1)=0,MAX($CD$5:CD1429)+1,""),"")</f>
        <v/>
      </c>
      <c r="CE1430" s="80" t="str">
        <f>IF(AND(BD1430=1,D1430="proMX",F1430&amp;""&lt;&gt;""),IF(COUNTIFS($D$5:D1429,"proMX",$F$5:F1429,F1430,$BD$5:BD1429,1)=0,MAX($CE$5:CE1429)+1,""),"")</f>
        <v/>
      </c>
      <c r="CF1430" s="80" t="str">
        <f>IF(AND(D1430="proMX",BD1430=1),IF(OR(BF1430="Draft",BF1430="Submitted",BF1430="Returned",BF1430="Recall Requested"),MAX($CF$5:CF1429)+1,""),"")</f>
        <v/>
      </c>
      <c r="CG1430" s="80">
        <f>IF(BD1430=0,0,IF(D1430="Malcolm",1,MATCH(BF1430,{"Draft","Submitted","Approved","Returned","Recall Requested","Cancelled"},0)+1))</f>
        <v>0</v>
      </c>
      <c r="CH1430" s="80">
        <f>IF(AND(BF1430="Submitted",ISNUMBER(V1430)),IF(V1430&gt;CFG_MAXD,1,0),0)</f>
        <v>0</v>
      </c>
    </row>
    <row r="1431">
      <c r="A1431" s="71" t="str">
        <f>IF(Y1431=1,ROW()-5,"")</f>
        <v/>
      </c>
      <c r="B1431" s="72" t="n"/>
      <c r="C1431" s="71" t="str">
        <f>IF(ISNUMBER(B1431),CHOOSE(WEEKDAY(B1431,2),"Lun","Mar","Mié","Jue","Vie","Sáb","Dom"),"")</f>
        <v/>
      </c>
      <c r="D1431" s="73" t="n"/>
      <c r="E1431" s="74" t="n"/>
      <c r="F1431" s="74" t="n"/>
      <c r="G1431" s="74" t="n"/>
      <c r="H1431" s="75" t="n"/>
      <c r="I1431" s="75" t="n"/>
      <c r="J1431" s="76" t="n"/>
      <c r="K1431" s="77" t="str">
        <f>IF(AB1431=1,ROUND(AG1431/60,4),"")</f>
        <v/>
      </c>
      <c r="L1431" s="77" t="str">
        <f>IF(BD1431=1,ROUND(AP1431/60,4),"")</f>
        <v/>
      </c>
      <c r="M1431" s="77" t="str">
        <f>IF(BD1431=1,ROUND(AQ1431/60,4),"")</f>
        <v/>
      </c>
      <c r="N1431" s="71" t="str">
        <f>IF(AND(D1431="proMX",AB1431=1),ROUND(AG1431/CFG_BLK,2),"")</f>
        <v/>
      </c>
      <c r="O1431" s="77" t="str">
        <f>IF(D1431="proMX",IF(BD1431=1,ROUND(AG1431/60,4),0),"")</f>
        <v/>
      </c>
      <c r="P1431" s="78" t="str">
        <f>IF(Y1431=0,"",IF(BD1431=1,"OK",IF(D1431="proMX","Revisar bloques: ","Revisar: ")&amp;BC1431))</f>
        <v/>
      </c>
      <c r="Q1431" s="78" t="str">
        <f>IF(NOT(ISNUMBER(B1431)),"",IF(COUNTIFS(FER_F,INT(B1431))&gt;0,"Feriado"&amp;IF(AH1431=1," (laborable)"," (no laborable)"),IF(AH1431=1,"Laborable",IF(WEEKDAY(B1431,2)&gt;5,"Fin de semana","No laborable"))))</f>
        <v/>
      </c>
      <c r="R1431" s="73" t="n"/>
      <c r="S1431" s="72" t="n"/>
      <c r="T1431" s="72" t="n"/>
      <c r="U1431" s="74" t="n"/>
      <c r="V1431" s="79" t="str">
        <f>IF(AND(D1431="proMX",OR(R1431="Submitted",R1431="Recall Requested"),ISNUMBER(S1431)),CFG_TODAY-INT(S1431),"")</f>
        <v/>
      </c>
      <c r="W1431" s="78" t="str">
        <f>IF(BD1431=0,"",IF(BA1431&gt;0,"⚠ Se superpone con un registro de la otra empresa",IF(D1431="Malcolm",IF(COUNTA(R1431,S1431,T1431)&gt;0,"Estado/fechas proMX se ignoran en Malcolm",""),IF(BF1431="Cancelled","Cancelado: excluido de totales",IF(R1431="","Sin estado: se trata como Draft",IF(BF1431="Submitted",IF(ISNUMBER(V1431),IF(V1431&gt;CFG_MAXD,"⚠ "&amp;V1431&amp;" días en Submitted (máx. "&amp;CFG_MAXD&amp;")",""),"Falta fecha de envío"),IF(BF1431="Returned","⚠ Devuelto: corregir y reenviar",IF(BF1431="Recall Requested","Retirada solicitada: pendiente",IF(AND(BF1431="Approved",NOT(ISNUMBER(T1431))),"Falta fecha de aprobación",IF(AND(ISNUMBER(S1431),ISNUMBER(T1431),T1431&lt;S1431),"Aprobación anterior al envío","")))))))))</f>
        <v/>
      </c>
      <c r="Y1431" s="80">
        <f>IF(COUNTA(B1431,D1431,E1431,F1431,G1431,H1431,I1431,J1431,R1431,S1431,T1431)&gt;0,1,0)</f>
        <v>0</v>
      </c>
      <c r="Z1431" s="80" t="str">
        <f>IF(AND(ISNUMBER(H1431),H1431&gt;=0,H1431&lt;1),ROUND(H1431*1440,0),"")</f>
        <v/>
      </c>
      <c r="AA1431" s="80" t="str">
        <f>IF(AND(ISNUMBER(I1431),I1431&gt;=0,I1431&lt;1),ROUND(I1431*1440,0),"")</f>
        <v/>
      </c>
      <c r="AB1431" s="80">
        <f>IF(AND(ISNUMBER(B1431),D1431&lt;&gt;"",ISNUMBER(Z1431),ISNUMBER(AA1431)),IF(Z1431=AA1431,0,1),0)</f>
        <v>0</v>
      </c>
      <c r="AC1431" s="80">
        <f>IF(AB1431=1,IF(AA1431&lt;Z1431,1,0),0)</f>
        <v>0</v>
      </c>
      <c r="AD1431" s="80">
        <f>IF(AB1431=1,IF(AC1431=1,1440-Z1431+AA1431,AA1431-Z1431),0)</f>
        <v>0</v>
      </c>
      <c r="AE1431" s="80">
        <f>IF(J1431="",0,IF(ISNUMBER(J1431),J1431,-1))</f>
        <v>0</v>
      </c>
      <c r="AF1431" s="80">
        <f>MIN(MAX(0,AE1431),AD1431)</f>
        <v>0</v>
      </c>
      <c r="AG1431" s="80">
        <f>MAX(0,AD1431-MAX(0,AE1431))</f>
        <v>0</v>
      </c>
      <c r="AH1431" s="80">
        <f>IF(ISNUMBER(B1431),IF(AND(INDEX(CFG_WDAYS,WEEKDAY(INT(B1431),2))="Sí",IF(D1431="proMX",COUNTIFS(FER_F,INT(B1431),FER_NLP,"Sí"),COUNTIFS(FER_F,INT(B1431),FER_NLM,"Sí"))=0),1,0),0)</f>
        <v>0</v>
      </c>
      <c r="AI1431" s="80">
        <f>IF(AC1431=1,IF(AND(INDEX(CFG_WDAYS,WEEKDAY(INT(B1431)+1,2))="Sí",IF(D1431="proMX",COUNTIFS(FER_F,INT(B1431)+1,FER_NLP,"Sí"),COUNTIFS(FER_F,INT(B1431)+1,FER_NLM,"Sí"))=0),1,0),0)</f>
        <v>0</v>
      </c>
      <c r="AJ1431" s="80">
        <f>IF(AC1431=1,1440-Z1431,AD1431)</f>
        <v>0</v>
      </c>
      <c r="AK1431" s="80">
        <f>IF(AND(AB1431=1,AH1431=1),MAX(0,MIN(IF(AC1431=1,1440,AA1431),CFG_WEM)-MAX(Z1431,CFG_WSM)),0)</f>
        <v>0</v>
      </c>
      <c r="AL1431" s="80">
        <f>IF(AND(AC1431=1,AI1431=1),MAX(0,MIN(AA1431,CFG_WEM)-CFG_WSM),0)</f>
        <v>0</v>
      </c>
      <c r="AM1431" s="80">
        <f>AK1431+AL1431</f>
        <v>0</v>
      </c>
      <c r="AN1431" s="80">
        <f>IF(CFG_BRK="Proporcional",IF(AD1431=0,0,AF1431*AM1431/AD1431),IF(CFG_BRK="Extras primero",MIN(AM1431,MAX(0,AF1431-(AD1431-AM1431))),MIN(AF1431,AM1431)))</f>
        <v>0</v>
      </c>
      <c r="AO1431" s="80">
        <f>AF1431-AN1431</f>
        <v>0</v>
      </c>
      <c r="AP1431" s="80">
        <f>AM1431-AN1431</f>
        <v>0</v>
      </c>
      <c r="AQ1431" s="80">
        <f>AD1431-AM1431-AO1431</f>
        <v>0</v>
      </c>
      <c r="AR1431" s="80">
        <f>IF(AM1431=0,0,AK1431-AN1431*AK1431/AM1431)</f>
        <v>0</v>
      </c>
      <c r="AS1431" s="80">
        <f>IF(AD1431-AM1431=0,0,(AJ1431-AK1431)-AO1431*(AJ1431-AK1431)/(AD1431-AM1431))</f>
        <v>0</v>
      </c>
      <c r="AT1431" s="80" t="str">
        <f>IF(AC1431=1,INT(B1431)+1,"")</f>
        <v/>
      </c>
      <c r="AU1431" s="80">
        <f>IF(AND(D1431="proMX",R1431="Cancelled"),0,1)</f>
        <v>1</v>
      </c>
      <c r="AV1431" s="80">
        <f>IF(AND(AB1431=1,AU1431=1),IF(COUNTIFS($D$5:D1430,D1431,$B$5:B1430,B1431,$Z$5:Z1430,Z1431,$AA$5:AA1430,AA1431,$F$5:F1430,F1431&amp;"",$AU$5:AU1430,1)&gt;0,1,0),0)</f>
        <v>0</v>
      </c>
      <c r="AW1431" s="80" t="str">
        <f>IF(AB1431=1,INT(B1431)*1440+Z1431,"")</f>
        <v/>
      </c>
      <c r="AX1431" s="80" t="str">
        <f>IF(AB1431=1,AW1431+AD1431,"")</f>
        <v/>
      </c>
      <c r="AY1431" s="80">
        <f>IF(AND(AB1431=1,AV1431=0,AU1431=1),1,0)</f>
        <v>0</v>
      </c>
      <c r="AZ1431" s="80">
        <f>IF(AY1431=1,COUNTIFS(R_Emp,D1431,R_SAbs,"&lt;"&amp;AX1431,R_EAbs,"&gt;"&amp;AW1431,R_OKey,1)-1,0)</f>
        <v>0</v>
      </c>
      <c r="BA1431" s="80">
        <f>IF(AY1431=1,COUNTIFS(R_Emp,"&lt;&gt;"&amp;D1431,R_SAbs,"&lt;"&amp;AX1431,R_EAbs,"&gt;"&amp;AW1431,R_OKey,1),0)</f>
        <v>0</v>
      </c>
      <c r="BB1431" s="80">
        <f>IF(AND(AB1431=1,D1431="proMX"),IF(AND(MOD(Z1431,CFG_BLK)=0,MOD(AA1431,CFG_BLK)=0,MOD(AG1431,CFG_BLK)=0,AG1431&gt;0),1,0),1)</f>
        <v>1</v>
      </c>
      <c r="BC1431" s="80" t="str">
        <f>IF(Y1431=0,"",IF(NOT(ISNUMBER(B1431)),"Falta fecha o fecha inválida",IF(D1431="","Falta empresa",IF(AND(D1431&lt;&gt;"Malcolm",D1431&lt;&gt;"proMX"),"Empresa inválida",IF(OR(INT(B1431)&lt;CFG_PSTART,INT(B1431)&gt;CFG_PEND),"Fecha fuera del período",IF(OR(NOT(ISNUMBER(Z1431)),NOT(ISNUMBER(AA1431))),"Falta hora inicio/fin o formato inválido",IF(AB1431=0,"Hora inicio = hora fin",IF(AE1431&lt;0,"Descanso inválido",IF(AE1431&gt;=AD1431,"Descanso ≥ duración",IF(AV1431=1,"Registro duplicado",IF(AZ1431&gt;0,"Se superpone con otro registro "&amp;D1431,IF(BB1431=0,"inicio, fin y duración neta deben ser múltiplos de "&amp;CFG_BLK&amp;" min",""))))))))))))</f>
        <v/>
      </c>
      <c r="BD1431" s="80">
        <f>IF(AND(Y1431=1,BC1431=""),1,0)</f>
        <v>0</v>
      </c>
      <c r="BE1431" s="80">
        <f>IF(AND(BD1431=1,AU1431=1),1,0)</f>
        <v>0</v>
      </c>
      <c r="BF1431" s="80" t="str">
        <f>IF(AND(D1431="proMX",BD1431=1),IF(R1431="","Draft",R1431),"")</f>
        <v/>
      </c>
      <c r="BG1431" s="80">
        <f>IF(BD1431=1,ROUND(AG1431/60,6),0)</f>
        <v>0</v>
      </c>
      <c r="BH1431" s="80">
        <f>IF(BE1431=1,ROUND(AG1431/60,6),0)</f>
        <v>0</v>
      </c>
      <c r="BI1431" s="80">
        <f>IF(BE1431=1,ROUND(AP1431/60,6),0)</f>
        <v>0</v>
      </c>
      <c r="BJ1431" s="80">
        <f>IF(BE1431=1,ROUND(AQ1431/60,6),0)</f>
        <v>0</v>
      </c>
      <c r="BK1431" s="80">
        <f>IF(BE1431=1,ROUND((AR1431+AS1431)/60,6),0)</f>
        <v>0</v>
      </c>
      <c r="BL1431" s="80">
        <f>ROUND(BH1431-BK1431,6)</f>
        <v>0</v>
      </c>
      <c r="BM1431" s="80">
        <f>IF(BE1431=1,ROUND(AR1431/60,6),0)</f>
        <v>0</v>
      </c>
      <c r="BN1431" s="80">
        <f>ROUND(BI1431-BM1431,6)</f>
        <v>0</v>
      </c>
      <c r="BO1431" s="80">
        <f>IF(BE1431=1,ROUND(AS1431/60,6),0)</f>
        <v>0</v>
      </c>
      <c r="BP1431" s="80">
        <f>ROUND(BJ1431-BO1431,6)</f>
        <v>0</v>
      </c>
      <c r="BQ1431" s="80">
        <f>IF(BE1431=1,AW1431,0)</f>
        <v>0</v>
      </c>
      <c r="BR1431" s="80">
        <f>IF(BE1431=1,AX1431,0)</f>
        <v>0</v>
      </c>
      <c r="BS1431" s="80">
        <f>IF(AND(BE1431=1,D1431="Malcolm",BA1431&gt;0),MIN(BH1431,SUMPRODUCT((R_Emp="proMX")*(R_EN&gt;0)*((R_EN-(R_EN&gt;BR1431)*(R_EN-BR1431))&gt;(R_SN+(R_SN&lt;BQ1431)*(BQ1431-R_SN)))*((R_EN-(R_EN&gt;BR1431)*(R_EN-BR1431))-(R_SN+(R_SN&lt;BQ1431)*(BQ1431-R_SN))))/60),0)</f>
        <v>0</v>
      </c>
      <c r="BT1431" s="80">
        <f>IF(AND(BE1431=1,D1431="proMX"),ROUND(BI1431*CFG_RATE+BJ1431*CFG_OTRATE,6),0)</f>
        <v>0</v>
      </c>
      <c r="BU1431" s="80">
        <f>IF(AND(BD1431=1,D1431="proMX"),ROUND(AG1431/CFG_BLK,6),0)</f>
        <v>0</v>
      </c>
      <c r="BV1431" s="80" t="str">
        <f>IF(BF1431="Approved",IF(ISNUMBER(T1431),INT(T1431),INT(B1431)),"")</f>
        <v/>
      </c>
      <c r="BW1431" s="80">
        <f>IF(ISNUMBER(B1431),IF(DB_MON="Todos",1,IF(AND(INT(B1431)&gt;=DB_MS,INT(B1431)&lt;=DB_ME),1,0)),0)</f>
        <v>0</v>
      </c>
      <c r="BX1431" s="80">
        <f>IF(DB_PROJ="Todos",1,IF(E1431&amp;""=DB_PROJ&amp;"",1,0))</f>
        <v>1</v>
      </c>
      <c r="BY1431" s="80">
        <f>BW1431*BX1431</f>
        <v>0</v>
      </c>
      <c r="BZ1431" s="80" t="str">
        <f>IF(Y1431=1,F1431&amp;IF(AND(F1431&amp;""&lt;&gt;"",E1431&amp;""&lt;&gt;"")," · ","")&amp;E1431,"")</f>
        <v/>
      </c>
      <c r="CA1431" s="80" t="str">
        <f>IF(AND(BD1431=1,E1431&amp;""&lt;&gt;""),IF(COUNTIFS($E$5:E1430,E1431,$BD$5:BD1430,1)=0,MAX($CA$5:CA1430)+1,""),"")</f>
        <v/>
      </c>
      <c r="CB1431" s="80" t="str">
        <f>IF(AND(BE1431=1,D1431="Malcolm",E1431&amp;""&lt;&gt;""),IF(COUNTIFS($D$5:D1430,"Malcolm",$E$5:E1430,E1431,$BE$5:BE1430,1)=0,MAX($CB$5:CB1430)+1,""),"")</f>
        <v/>
      </c>
      <c r="CC1431" s="80" t="str">
        <f>IF(AND(BD1431=1,D1431="proMX",E1431&amp;""&lt;&gt;""),IF(COUNTIFS($D$5:D1430,"proMX",$E$5:E1430,E1431,$BD$5:BD1430,1)=0,MAX($CC$5:CC1430)+1,""),"")</f>
        <v/>
      </c>
      <c r="CD1431" s="80" t="str">
        <f>IF(AND(BE1431=1,D1431="Malcolm",F1431&amp;""&lt;&gt;""),IF(COUNTIFS($D$5:D1430,"Malcolm",$F$5:F1430,F1431,$BE$5:BE1430,1)=0,MAX($CD$5:CD1430)+1,""),"")</f>
        <v/>
      </c>
      <c r="CE1431" s="80" t="str">
        <f>IF(AND(BD1431=1,D1431="proMX",F1431&amp;""&lt;&gt;""),IF(COUNTIFS($D$5:D1430,"proMX",$F$5:F1430,F1431,$BD$5:BD1430,1)=0,MAX($CE$5:CE1430)+1,""),"")</f>
        <v/>
      </c>
      <c r="CF1431" s="80" t="str">
        <f>IF(AND(D1431="proMX",BD1431=1),IF(OR(BF1431="Draft",BF1431="Submitted",BF1431="Returned",BF1431="Recall Requested"),MAX($CF$5:CF1430)+1,""),"")</f>
        <v/>
      </c>
      <c r="CG1431" s="80">
        <f>IF(BD1431=0,0,IF(D1431="Malcolm",1,MATCH(BF1431,{"Draft","Submitted","Approved","Returned","Recall Requested","Cancelled"},0)+1))</f>
        <v>0</v>
      </c>
      <c r="CH1431" s="80">
        <f>IF(AND(BF1431="Submitted",ISNUMBER(V1431)),IF(V1431&gt;CFG_MAXD,1,0),0)</f>
        <v>0</v>
      </c>
    </row>
    <row r="1432">
      <c r="A1432" s="71" t="str">
        <f>IF(Y1432=1,ROW()-5,"")</f>
        <v/>
      </c>
      <c r="B1432" s="72" t="n"/>
      <c r="C1432" s="71" t="str">
        <f>IF(ISNUMBER(B1432),CHOOSE(WEEKDAY(B1432,2),"Lun","Mar","Mié","Jue","Vie","Sáb","Dom"),"")</f>
        <v/>
      </c>
      <c r="D1432" s="73" t="n"/>
      <c r="E1432" s="74" t="n"/>
      <c r="F1432" s="74" t="n"/>
      <c r="G1432" s="74" t="n"/>
      <c r="H1432" s="75" t="n"/>
      <c r="I1432" s="75" t="n"/>
      <c r="J1432" s="76" t="n"/>
      <c r="K1432" s="77" t="str">
        <f>IF(AB1432=1,ROUND(AG1432/60,4),"")</f>
        <v/>
      </c>
      <c r="L1432" s="77" t="str">
        <f>IF(BD1432=1,ROUND(AP1432/60,4),"")</f>
        <v/>
      </c>
      <c r="M1432" s="77" t="str">
        <f>IF(BD1432=1,ROUND(AQ1432/60,4),"")</f>
        <v/>
      </c>
      <c r="N1432" s="71" t="str">
        <f>IF(AND(D1432="proMX",AB1432=1),ROUND(AG1432/CFG_BLK,2),"")</f>
        <v/>
      </c>
      <c r="O1432" s="77" t="str">
        <f>IF(D1432="proMX",IF(BD1432=1,ROUND(AG1432/60,4),0),"")</f>
        <v/>
      </c>
      <c r="P1432" s="78" t="str">
        <f>IF(Y1432=0,"",IF(BD1432=1,"OK",IF(D1432="proMX","Revisar bloques: ","Revisar: ")&amp;BC1432))</f>
        <v/>
      </c>
      <c r="Q1432" s="78" t="str">
        <f>IF(NOT(ISNUMBER(B1432)),"",IF(COUNTIFS(FER_F,INT(B1432))&gt;0,"Feriado"&amp;IF(AH1432=1," (laborable)"," (no laborable)"),IF(AH1432=1,"Laborable",IF(WEEKDAY(B1432,2)&gt;5,"Fin de semana","No laborable"))))</f>
        <v/>
      </c>
      <c r="R1432" s="73" t="n"/>
      <c r="S1432" s="72" t="n"/>
      <c r="T1432" s="72" t="n"/>
      <c r="U1432" s="74" t="n"/>
      <c r="V1432" s="79" t="str">
        <f>IF(AND(D1432="proMX",OR(R1432="Submitted",R1432="Recall Requested"),ISNUMBER(S1432)),CFG_TODAY-INT(S1432),"")</f>
        <v/>
      </c>
      <c r="W1432" s="78" t="str">
        <f>IF(BD1432=0,"",IF(BA1432&gt;0,"⚠ Se superpone con un registro de la otra empresa",IF(D1432="Malcolm",IF(COUNTA(R1432,S1432,T1432)&gt;0,"Estado/fechas proMX se ignoran en Malcolm",""),IF(BF1432="Cancelled","Cancelado: excluido de totales",IF(R1432="","Sin estado: se trata como Draft",IF(BF1432="Submitted",IF(ISNUMBER(V1432),IF(V1432&gt;CFG_MAXD,"⚠ "&amp;V1432&amp;" días en Submitted (máx. "&amp;CFG_MAXD&amp;")",""),"Falta fecha de envío"),IF(BF1432="Returned","⚠ Devuelto: corregir y reenviar",IF(BF1432="Recall Requested","Retirada solicitada: pendiente",IF(AND(BF1432="Approved",NOT(ISNUMBER(T1432))),"Falta fecha de aprobación",IF(AND(ISNUMBER(S1432),ISNUMBER(T1432),T1432&lt;S1432),"Aprobación anterior al envío","")))))))))</f>
        <v/>
      </c>
      <c r="Y1432" s="80">
        <f>IF(COUNTA(B1432,D1432,E1432,F1432,G1432,H1432,I1432,J1432,R1432,S1432,T1432)&gt;0,1,0)</f>
        <v>0</v>
      </c>
      <c r="Z1432" s="80" t="str">
        <f>IF(AND(ISNUMBER(H1432),H1432&gt;=0,H1432&lt;1),ROUND(H1432*1440,0),"")</f>
        <v/>
      </c>
      <c r="AA1432" s="80" t="str">
        <f>IF(AND(ISNUMBER(I1432),I1432&gt;=0,I1432&lt;1),ROUND(I1432*1440,0),"")</f>
        <v/>
      </c>
      <c r="AB1432" s="80">
        <f>IF(AND(ISNUMBER(B1432),D1432&lt;&gt;"",ISNUMBER(Z1432),ISNUMBER(AA1432)),IF(Z1432=AA1432,0,1),0)</f>
        <v>0</v>
      </c>
      <c r="AC1432" s="80">
        <f>IF(AB1432=1,IF(AA1432&lt;Z1432,1,0),0)</f>
        <v>0</v>
      </c>
      <c r="AD1432" s="80">
        <f>IF(AB1432=1,IF(AC1432=1,1440-Z1432+AA1432,AA1432-Z1432),0)</f>
        <v>0</v>
      </c>
      <c r="AE1432" s="80">
        <f>IF(J1432="",0,IF(ISNUMBER(J1432),J1432,-1))</f>
        <v>0</v>
      </c>
      <c r="AF1432" s="80">
        <f>MIN(MAX(0,AE1432),AD1432)</f>
        <v>0</v>
      </c>
      <c r="AG1432" s="80">
        <f>MAX(0,AD1432-MAX(0,AE1432))</f>
        <v>0</v>
      </c>
      <c r="AH1432" s="80">
        <f>IF(ISNUMBER(B1432),IF(AND(INDEX(CFG_WDAYS,WEEKDAY(INT(B1432),2))="Sí",IF(D1432="proMX",COUNTIFS(FER_F,INT(B1432),FER_NLP,"Sí"),COUNTIFS(FER_F,INT(B1432),FER_NLM,"Sí"))=0),1,0),0)</f>
        <v>0</v>
      </c>
      <c r="AI1432" s="80">
        <f>IF(AC1432=1,IF(AND(INDEX(CFG_WDAYS,WEEKDAY(INT(B1432)+1,2))="Sí",IF(D1432="proMX",COUNTIFS(FER_F,INT(B1432)+1,FER_NLP,"Sí"),COUNTIFS(FER_F,INT(B1432)+1,FER_NLM,"Sí"))=0),1,0),0)</f>
        <v>0</v>
      </c>
      <c r="AJ1432" s="80">
        <f>IF(AC1432=1,1440-Z1432,AD1432)</f>
        <v>0</v>
      </c>
      <c r="AK1432" s="80">
        <f>IF(AND(AB1432=1,AH1432=1),MAX(0,MIN(IF(AC1432=1,1440,AA1432),CFG_WEM)-MAX(Z1432,CFG_WSM)),0)</f>
        <v>0</v>
      </c>
      <c r="AL1432" s="80">
        <f>IF(AND(AC1432=1,AI1432=1),MAX(0,MIN(AA1432,CFG_WEM)-CFG_WSM),0)</f>
        <v>0</v>
      </c>
      <c r="AM1432" s="80">
        <f>AK1432+AL1432</f>
        <v>0</v>
      </c>
      <c r="AN1432" s="80">
        <f>IF(CFG_BRK="Proporcional",IF(AD1432=0,0,AF1432*AM1432/AD1432),IF(CFG_BRK="Extras primero",MIN(AM1432,MAX(0,AF1432-(AD1432-AM1432))),MIN(AF1432,AM1432)))</f>
        <v>0</v>
      </c>
      <c r="AO1432" s="80">
        <f>AF1432-AN1432</f>
        <v>0</v>
      </c>
      <c r="AP1432" s="80">
        <f>AM1432-AN1432</f>
        <v>0</v>
      </c>
      <c r="AQ1432" s="80">
        <f>AD1432-AM1432-AO1432</f>
        <v>0</v>
      </c>
      <c r="AR1432" s="80">
        <f>IF(AM1432=0,0,AK1432-AN1432*AK1432/AM1432)</f>
        <v>0</v>
      </c>
      <c r="AS1432" s="80">
        <f>IF(AD1432-AM1432=0,0,(AJ1432-AK1432)-AO1432*(AJ1432-AK1432)/(AD1432-AM1432))</f>
        <v>0</v>
      </c>
      <c r="AT1432" s="80" t="str">
        <f>IF(AC1432=1,INT(B1432)+1,"")</f>
        <v/>
      </c>
      <c r="AU1432" s="80">
        <f>IF(AND(D1432="proMX",R1432="Cancelled"),0,1)</f>
        <v>1</v>
      </c>
      <c r="AV1432" s="80">
        <f>IF(AND(AB1432=1,AU1432=1),IF(COUNTIFS($D$5:D1431,D1432,$B$5:B1431,B1432,$Z$5:Z1431,Z1432,$AA$5:AA1431,AA1432,$F$5:F1431,F1432&amp;"",$AU$5:AU1431,1)&gt;0,1,0),0)</f>
        <v>0</v>
      </c>
      <c r="AW1432" s="80" t="str">
        <f>IF(AB1432=1,INT(B1432)*1440+Z1432,"")</f>
        <v/>
      </c>
      <c r="AX1432" s="80" t="str">
        <f>IF(AB1432=1,AW1432+AD1432,"")</f>
        <v/>
      </c>
      <c r="AY1432" s="80">
        <f>IF(AND(AB1432=1,AV1432=0,AU1432=1),1,0)</f>
        <v>0</v>
      </c>
      <c r="AZ1432" s="80">
        <f>IF(AY1432=1,COUNTIFS(R_Emp,D1432,R_SAbs,"&lt;"&amp;AX1432,R_EAbs,"&gt;"&amp;AW1432,R_OKey,1)-1,0)</f>
        <v>0</v>
      </c>
      <c r="BA1432" s="80">
        <f>IF(AY1432=1,COUNTIFS(R_Emp,"&lt;&gt;"&amp;D1432,R_SAbs,"&lt;"&amp;AX1432,R_EAbs,"&gt;"&amp;AW1432,R_OKey,1),0)</f>
        <v>0</v>
      </c>
      <c r="BB1432" s="80">
        <f>IF(AND(AB1432=1,D1432="proMX"),IF(AND(MOD(Z1432,CFG_BLK)=0,MOD(AA1432,CFG_BLK)=0,MOD(AG1432,CFG_BLK)=0,AG1432&gt;0),1,0),1)</f>
        <v>1</v>
      </c>
      <c r="BC1432" s="80" t="str">
        <f>IF(Y1432=0,"",IF(NOT(ISNUMBER(B1432)),"Falta fecha o fecha inválida",IF(D1432="","Falta empresa",IF(AND(D1432&lt;&gt;"Malcolm",D1432&lt;&gt;"proMX"),"Empresa inválida",IF(OR(INT(B1432)&lt;CFG_PSTART,INT(B1432)&gt;CFG_PEND),"Fecha fuera del período",IF(OR(NOT(ISNUMBER(Z1432)),NOT(ISNUMBER(AA1432))),"Falta hora inicio/fin o formato inválido",IF(AB1432=0,"Hora inicio = hora fin",IF(AE1432&lt;0,"Descanso inválido",IF(AE1432&gt;=AD1432,"Descanso ≥ duración",IF(AV1432=1,"Registro duplicado",IF(AZ1432&gt;0,"Se superpone con otro registro "&amp;D1432,IF(BB1432=0,"inicio, fin y duración neta deben ser múltiplos de "&amp;CFG_BLK&amp;" min",""))))))))))))</f>
        <v/>
      </c>
      <c r="BD1432" s="80">
        <f>IF(AND(Y1432=1,BC1432=""),1,0)</f>
        <v>0</v>
      </c>
      <c r="BE1432" s="80">
        <f>IF(AND(BD1432=1,AU1432=1),1,0)</f>
        <v>0</v>
      </c>
      <c r="BF1432" s="80" t="str">
        <f>IF(AND(D1432="proMX",BD1432=1),IF(R1432="","Draft",R1432),"")</f>
        <v/>
      </c>
      <c r="BG1432" s="80">
        <f>IF(BD1432=1,ROUND(AG1432/60,6),0)</f>
        <v>0</v>
      </c>
      <c r="BH1432" s="80">
        <f>IF(BE1432=1,ROUND(AG1432/60,6),0)</f>
        <v>0</v>
      </c>
      <c r="BI1432" s="80">
        <f>IF(BE1432=1,ROUND(AP1432/60,6),0)</f>
        <v>0</v>
      </c>
      <c r="BJ1432" s="80">
        <f>IF(BE1432=1,ROUND(AQ1432/60,6),0)</f>
        <v>0</v>
      </c>
      <c r="BK1432" s="80">
        <f>IF(BE1432=1,ROUND((AR1432+AS1432)/60,6),0)</f>
        <v>0</v>
      </c>
      <c r="BL1432" s="80">
        <f>ROUND(BH1432-BK1432,6)</f>
        <v>0</v>
      </c>
      <c r="BM1432" s="80">
        <f>IF(BE1432=1,ROUND(AR1432/60,6),0)</f>
        <v>0</v>
      </c>
      <c r="BN1432" s="80">
        <f>ROUND(BI1432-BM1432,6)</f>
        <v>0</v>
      </c>
      <c r="BO1432" s="80">
        <f>IF(BE1432=1,ROUND(AS1432/60,6),0)</f>
        <v>0</v>
      </c>
      <c r="BP1432" s="80">
        <f>ROUND(BJ1432-BO1432,6)</f>
        <v>0</v>
      </c>
      <c r="BQ1432" s="80">
        <f>IF(BE1432=1,AW1432,0)</f>
        <v>0</v>
      </c>
      <c r="BR1432" s="80">
        <f>IF(BE1432=1,AX1432,0)</f>
        <v>0</v>
      </c>
      <c r="BS1432" s="80">
        <f>IF(AND(BE1432=1,D1432="Malcolm",BA1432&gt;0),MIN(BH1432,SUMPRODUCT((R_Emp="proMX")*(R_EN&gt;0)*((R_EN-(R_EN&gt;BR1432)*(R_EN-BR1432))&gt;(R_SN+(R_SN&lt;BQ1432)*(BQ1432-R_SN)))*((R_EN-(R_EN&gt;BR1432)*(R_EN-BR1432))-(R_SN+(R_SN&lt;BQ1432)*(BQ1432-R_SN))))/60),0)</f>
        <v>0</v>
      </c>
      <c r="BT1432" s="80">
        <f>IF(AND(BE1432=1,D1432="proMX"),ROUND(BI1432*CFG_RATE+BJ1432*CFG_OTRATE,6),0)</f>
        <v>0</v>
      </c>
      <c r="BU1432" s="80">
        <f>IF(AND(BD1432=1,D1432="proMX"),ROUND(AG1432/CFG_BLK,6),0)</f>
        <v>0</v>
      </c>
      <c r="BV1432" s="80" t="str">
        <f>IF(BF1432="Approved",IF(ISNUMBER(T1432),INT(T1432),INT(B1432)),"")</f>
        <v/>
      </c>
      <c r="BW1432" s="80">
        <f>IF(ISNUMBER(B1432),IF(DB_MON="Todos",1,IF(AND(INT(B1432)&gt;=DB_MS,INT(B1432)&lt;=DB_ME),1,0)),0)</f>
        <v>0</v>
      </c>
      <c r="BX1432" s="80">
        <f>IF(DB_PROJ="Todos",1,IF(E1432&amp;""=DB_PROJ&amp;"",1,0))</f>
        <v>1</v>
      </c>
      <c r="BY1432" s="80">
        <f>BW1432*BX1432</f>
        <v>0</v>
      </c>
      <c r="BZ1432" s="80" t="str">
        <f>IF(Y1432=1,F1432&amp;IF(AND(F1432&amp;""&lt;&gt;"",E1432&amp;""&lt;&gt;"")," · ","")&amp;E1432,"")</f>
        <v/>
      </c>
      <c r="CA1432" s="80" t="str">
        <f>IF(AND(BD1432=1,E1432&amp;""&lt;&gt;""),IF(COUNTIFS($E$5:E1431,E1432,$BD$5:BD1431,1)=0,MAX($CA$5:CA1431)+1,""),"")</f>
        <v/>
      </c>
      <c r="CB1432" s="80" t="str">
        <f>IF(AND(BE1432=1,D1432="Malcolm",E1432&amp;""&lt;&gt;""),IF(COUNTIFS($D$5:D1431,"Malcolm",$E$5:E1431,E1432,$BE$5:BE1431,1)=0,MAX($CB$5:CB1431)+1,""),"")</f>
        <v/>
      </c>
      <c r="CC1432" s="80" t="str">
        <f>IF(AND(BD1432=1,D1432="proMX",E1432&amp;""&lt;&gt;""),IF(COUNTIFS($D$5:D1431,"proMX",$E$5:E1431,E1432,$BD$5:BD1431,1)=0,MAX($CC$5:CC1431)+1,""),"")</f>
        <v/>
      </c>
      <c r="CD1432" s="80" t="str">
        <f>IF(AND(BE1432=1,D1432="Malcolm",F1432&amp;""&lt;&gt;""),IF(COUNTIFS($D$5:D1431,"Malcolm",$F$5:F1431,F1432,$BE$5:BE1431,1)=0,MAX($CD$5:CD1431)+1,""),"")</f>
        <v/>
      </c>
      <c r="CE1432" s="80" t="str">
        <f>IF(AND(BD1432=1,D1432="proMX",F1432&amp;""&lt;&gt;""),IF(COUNTIFS($D$5:D1431,"proMX",$F$5:F1431,F1432,$BD$5:BD1431,1)=0,MAX($CE$5:CE1431)+1,""),"")</f>
        <v/>
      </c>
      <c r="CF1432" s="80" t="str">
        <f>IF(AND(D1432="proMX",BD1432=1),IF(OR(BF1432="Draft",BF1432="Submitted",BF1432="Returned",BF1432="Recall Requested"),MAX($CF$5:CF1431)+1,""),"")</f>
        <v/>
      </c>
      <c r="CG1432" s="80">
        <f>IF(BD1432=0,0,IF(D1432="Malcolm",1,MATCH(BF1432,{"Draft","Submitted","Approved","Returned","Recall Requested","Cancelled"},0)+1))</f>
        <v>0</v>
      </c>
      <c r="CH1432" s="80">
        <f>IF(AND(BF1432="Submitted",ISNUMBER(V1432)),IF(V1432&gt;CFG_MAXD,1,0),0)</f>
        <v>0</v>
      </c>
    </row>
    <row r="1433">
      <c r="A1433" s="71" t="str">
        <f>IF(Y1433=1,ROW()-5,"")</f>
        <v/>
      </c>
      <c r="B1433" s="72" t="n"/>
      <c r="C1433" s="71" t="str">
        <f>IF(ISNUMBER(B1433),CHOOSE(WEEKDAY(B1433,2),"Lun","Mar","Mié","Jue","Vie","Sáb","Dom"),"")</f>
        <v/>
      </c>
      <c r="D1433" s="73" t="n"/>
      <c r="E1433" s="74" t="n"/>
      <c r="F1433" s="74" t="n"/>
      <c r="G1433" s="74" t="n"/>
      <c r="H1433" s="75" t="n"/>
      <c r="I1433" s="75" t="n"/>
      <c r="J1433" s="76" t="n"/>
      <c r="K1433" s="77" t="str">
        <f>IF(AB1433=1,ROUND(AG1433/60,4),"")</f>
        <v/>
      </c>
      <c r="L1433" s="77" t="str">
        <f>IF(BD1433=1,ROUND(AP1433/60,4),"")</f>
        <v/>
      </c>
      <c r="M1433" s="77" t="str">
        <f>IF(BD1433=1,ROUND(AQ1433/60,4),"")</f>
        <v/>
      </c>
      <c r="N1433" s="71" t="str">
        <f>IF(AND(D1433="proMX",AB1433=1),ROUND(AG1433/CFG_BLK,2),"")</f>
        <v/>
      </c>
      <c r="O1433" s="77" t="str">
        <f>IF(D1433="proMX",IF(BD1433=1,ROUND(AG1433/60,4),0),"")</f>
        <v/>
      </c>
      <c r="P1433" s="78" t="str">
        <f>IF(Y1433=0,"",IF(BD1433=1,"OK",IF(D1433="proMX","Revisar bloques: ","Revisar: ")&amp;BC1433))</f>
        <v/>
      </c>
      <c r="Q1433" s="78" t="str">
        <f>IF(NOT(ISNUMBER(B1433)),"",IF(COUNTIFS(FER_F,INT(B1433))&gt;0,"Feriado"&amp;IF(AH1433=1," (laborable)"," (no laborable)"),IF(AH1433=1,"Laborable",IF(WEEKDAY(B1433,2)&gt;5,"Fin de semana","No laborable"))))</f>
        <v/>
      </c>
      <c r="R1433" s="73" t="n"/>
      <c r="S1433" s="72" t="n"/>
      <c r="T1433" s="72" t="n"/>
      <c r="U1433" s="74" t="n"/>
      <c r="V1433" s="79" t="str">
        <f>IF(AND(D1433="proMX",OR(R1433="Submitted",R1433="Recall Requested"),ISNUMBER(S1433)),CFG_TODAY-INT(S1433),"")</f>
        <v/>
      </c>
      <c r="W1433" s="78" t="str">
        <f>IF(BD1433=0,"",IF(BA1433&gt;0,"⚠ Se superpone con un registro de la otra empresa",IF(D1433="Malcolm",IF(COUNTA(R1433,S1433,T1433)&gt;0,"Estado/fechas proMX se ignoran en Malcolm",""),IF(BF1433="Cancelled","Cancelado: excluido de totales",IF(R1433="","Sin estado: se trata como Draft",IF(BF1433="Submitted",IF(ISNUMBER(V1433),IF(V1433&gt;CFG_MAXD,"⚠ "&amp;V1433&amp;" días en Submitted (máx. "&amp;CFG_MAXD&amp;")",""),"Falta fecha de envío"),IF(BF1433="Returned","⚠ Devuelto: corregir y reenviar",IF(BF1433="Recall Requested","Retirada solicitada: pendiente",IF(AND(BF1433="Approved",NOT(ISNUMBER(T1433))),"Falta fecha de aprobación",IF(AND(ISNUMBER(S1433),ISNUMBER(T1433),T1433&lt;S1433),"Aprobación anterior al envío","")))))))))</f>
        <v/>
      </c>
      <c r="Y1433" s="80">
        <f>IF(COUNTA(B1433,D1433,E1433,F1433,G1433,H1433,I1433,J1433,R1433,S1433,T1433)&gt;0,1,0)</f>
        <v>0</v>
      </c>
      <c r="Z1433" s="80" t="str">
        <f>IF(AND(ISNUMBER(H1433),H1433&gt;=0,H1433&lt;1),ROUND(H1433*1440,0),"")</f>
        <v/>
      </c>
      <c r="AA1433" s="80" t="str">
        <f>IF(AND(ISNUMBER(I1433),I1433&gt;=0,I1433&lt;1),ROUND(I1433*1440,0),"")</f>
        <v/>
      </c>
      <c r="AB1433" s="80">
        <f>IF(AND(ISNUMBER(B1433),D1433&lt;&gt;"",ISNUMBER(Z1433),ISNUMBER(AA1433)),IF(Z1433=AA1433,0,1),0)</f>
        <v>0</v>
      </c>
      <c r="AC1433" s="80">
        <f>IF(AB1433=1,IF(AA1433&lt;Z1433,1,0),0)</f>
        <v>0</v>
      </c>
      <c r="AD1433" s="80">
        <f>IF(AB1433=1,IF(AC1433=1,1440-Z1433+AA1433,AA1433-Z1433),0)</f>
        <v>0</v>
      </c>
      <c r="AE1433" s="80">
        <f>IF(J1433="",0,IF(ISNUMBER(J1433),J1433,-1))</f>
        <v>0</v>
      </c>
      <c r="AF1433" s="80">
        <f>MIN(MAX(0,AE1433),AD1433)</f>
        <v>0</v>
      </c>
      <c r="AG1433" s="80">
        <f>MAX(0,AD1433-MAX(0,AE1433))</f>
        <v>0</v>
      </c>
      <c r="AH1433" s="80">
        <f>IF(ISNUMBER(B1433),IF(AND(INDEX(CFG_WDAYS,WEEKDAY(INT(B1433),2))="Sí",IF(D1433="proMX",COUNTIFS(FER_F,INT(B1433),FER_NLP,"Sí"),COUNTIFS(FER_F,INT(B1433),FER_NLM,"Sí"))=0),1,0),0)</f>
        <v>0</v>
      </c>
      <c r="AI1433" s="80">
        <f>IF(AC1433=1,IF(AND(INDEX(CFG_WDAYS,WEEKDAY(INT(B1433)+1,2))="Sí",IF(D1433="proMX",COUNTIFS(FER_F,INT(B1433)+1,FER_NLP,"Sí"),COUNTIFS(FER_F,INT(B1433)+1,FER_NLM,"Sí"))=0),1,0),0)</f>
        <v>0</v>
      </c>
      <c r="AJ1433" s="80">
        <f>IF(AC1433=1,1440-Z1433,AD1433)</f>
        <v>0</v>
      </c>
      <c r="AK1433" s="80">
        <f>IF(AND(AB1433=1,AH1433=1),MAX(0,MIN(IF(AC1433=1,1440,AA1433),CFG_WEM)-MAX(Z1433,CFG_WSM)),0)</f>
        <v>0</v>
      </c>
      <c r="AL1433" s="80">
        <f>IF(AND(AC1433=1,AI1433=1),MAX(0,MIN(AA1433,CFG_WEM)-CFG_WSM),0)</f>
        <v>0</v>
      </c>
      <c r="AM1433" s="80">
        <f>AK1433+AL1433</f>
        <v>0</v>
      </c>
      <c r="AN1433" s="80">
        <f>IF(CFG_BRK="Proporcional",IF(AD1433=0,0,AF1433*AM1433/AD1433),IF(CFG_BRK="Extras primero",MIN(AM1433,MAX(0,AF1433-(AD1433-AM1433))),MIN(AF1433,AM1433)))</f>
        <v>0</v>
      </c>
      <c r="AO1433" s="80">
        <f>AF1433-AN1433</f>
        <v>0</v>
      </c>
      <c r="AP1433" s="80">
        <f>AM1433-AN1433</f>
        <v>0</v>
      </c>
      <c r="AQ1433" s="80">
        <f>AD1433-AM1433-AO1433</f>
        <v>0</v>
      </c>
      <c r="AR1433" s="80">
        <f>IF(AM1433=0,0,AK1433-AN1433*AK1433/AM1433)</f>
        <v>0</v>
      </c>
      <c r="AS1433" s="80">
        <f>IF(AD1433-AM1433=0,0,(AJ1433-AK1433)-AO1433*(AJ1433-AK1433)/(AD1433-AM1433))</f>
        <v>0</v>
      </c>
      <c r="AT1433" s="80" t="str">
        <f>IF(AC1433=1,INT(B1433)+1,"")</f>
        <v/>
      </c>
      <c r="AU1433" s="80">
        <f>IF(AND(D1433="proMX",R1433="Cancelled"),0,1)</f>
        <v>1</v>
      </c>
      <c r="AV1433" s="80">
        <f>IF(AND(AB1433=1,AU1433=1),IF(COUNTIFS($D$5:D1432,D1433,$B$5:B1432,B1433,$Z$5:Z1432,Z1433,$AA$5:AA1432,AA1433,$F$5:F1432,F1433&amp;"",$AU$5:AU1432,1)&gt;0,1,0),0)</f>
        <v>0</v>
      </c>
      <c r="AW1433" s="80" t="str">
        <f>IF(AB1433=1,INT(B1433)*1440+Z1433,"")</f>
        <v/>
      </c>
      <c r="AX1433" s="80" t="str">
        <f>IF(AB1433=1,AW1433+AD1433,"")</f>
        <v/>
      </c>
      <c r="AY1433" s="80">
        <f>IF(AND(AB1433=1,AV1433=0,AU1433=1),1,0)</f>
        <v>0</v>
      </c>
      <c r="AZ1433" s="80">
        <f>IF(AY1433=1,COUNTIFS(R_Emp,D1433,R_SAbs,"&lt;"&amp;AX1433,R_EAbs,"&gt;"&amp;AW1433,R_OKey,1)-1,0)</f>
        <v>0</v>
      </c>
      <c r="BA1433" s="80">
        <f>IF(AY1433=1,COUNTIFS(R_Emp,"&lt;&gt;"&amp;D1433,R_SAbs,"&lt;"&amp;AX1433,R_EAbs,"&gt;"&amp;AW1433,R_OKey,1),0)</f>
        <v>0</v>
      </c>
      <c r="BB1433" s="80">
        <f>IF(AND(AB1433=1,D1433="proMX"),IF(AND(MOD(Z1433,CFG_BLK)=0,MOD(AA1433,CFG_BLK)=0,MOD(AG1433,CFG_BLK)=0,AG1433&gt;0),1,0),1)</f>
        <v>1</v>
      </c>
      <c r="BC1433" s="80" t="str">
        <f>IF(Y1433=0,"",IF(NOT(ISNUMBER(B1433)),"Falta fecha o fecha inválida",IF(D1433="","Falta empresa",IF(AND(D1433&lt;&gt;"Malcolm",D1433&lt;&gt;"proMX"),"Empresa inválida",IF(OR(INT(B1433)&lt;CFG_PSTART,INT(B1433)&gt;CFG_PEND),"Fecha fuera del período",IF(OR(NOT(ISNUMBER(Z1433)),NOT(ISNUMBER(AA1433))),"Falta hora inicio/fin o formato inválido",IF(AB1433=0,"Hora inicio = hora fin",IF(AE1433&lt;0,"Descanso inválido",IF(AE1433&gt;=AD1433,"Descanso ≥ duración",IF(AV1433=1,"Registro duplicado",IF(AZ1433&gt;0,"Se superpone con otro registro "&amp;D1433,IF(BB1433=0,"inicio, fin y duración neta deben ser múltiplos de "&amp;CFG_BLK&amp;" min",""))))))))))))</f>
        <v/>
      </c>
      <c r="BD1433" s="80">
        <f>IF(AND(Y1433=1,BC1433=""),1,0)</f>
        <v>0</v>
      </c>
      <c r="BE1433" s="80">
        <f>IF(AND(BD1433=1,AU1433=1),1,0)</f>
        <v>0</v>
      </c>
      <c r="BF1433" s="80" t="str">
        <f>IF(AND(D1433="proMX",BD1433=1),IF(R1433="","Draft",R1433),"")</f>
        <v/>
      </c>
      <c r="BG1433" s="80">
        <f>IF(BD1433=1,ROUND(AG1433/60,6),0)</f>
        <v>0</v>
      </c>
      <c r="BH1433" s="80">
        <f>IF(BE1433=1,ROUND(AG1433/60,6),0)</f>
        <v>0</v>
      </c>
      <c r="BI1433" s="80">
        <f>IF(BE1433=1,ROUND(AP1433/60,6),0)</f>
        <v>0</v>
      </c>
      <c r="BJ1433" s="80">
        <f>IF(BE1433=1,ROUND(AQ1433/60,6),0)</f>
        <v>0</v>
      </c>
      <c r="BK1433" s="80">
        <f>IF(BE1433=1,ROUND((AR1433+AS1433)/60,6),0)</f>
        <v>0</v>
      </c>
      <c r="BL1433" s="80">
        <f>ROUND(BH1433-BK1433,6)</f>
        <v>0</v>
      </c>
      <c r="BM1433" s="80">
        <f>IF(BE1433=1,ROUND(AR1433/60,6),0)</f>
        <v>0</v>
      </c>
      <c r="BN1433" s="80">
        <f>ROUND(BI1433-BM1433,6)</f>
        <v>0</v>
      </c>
      <c r="BO1433" s="80">
        <f>IF(BE1433=1,ROUND(AS1433/60,6),0)</f>
        <v>0</v>
      </c>
      <c r="BP1433" s="80">
        <f>ROUND(BJ1433-BO1433,6)</f>
        <v>0</v>
      </c>
      <c r="BQ1433" s="80">
        <f>IF(BE1433=1,AW1433,0)</f>
        <v>0</v>
      </c>
      <c r="BR1433" s="80">
        <f>IF(BE1433=1,AX1433,0)</f>
        <v>0</v>
      </c>
      <c r="BS1433" s="80">
        <f>IF(AND(BE1433=1,D1433="Malcolm",BA1433&gt;0),MIN(BH1433,SUMPRODUCT((R_Emp="proMX")*(R_EN&gt;0)*((R_EN-(R_EN&gt;BR1433)*(R_EN-BR1433))&gt;(R_SN+(R_SN&lt;BQ1433)*(BQ1433-R_SN)))*((R_EN-(R_EN&gt;BR1433)*(R_EN-BR1433))-(R_SN+(R_SN&lt;BQ1433)*(BQ1433-R_SN))))/60),0)</f>
        <v>0</v>
      </c>
      <c r="BT1433" s="80">
        <f>IF(AND(BE1433=1,D1433="proMX"),ROUND(BI1433*CFG_RATE+BJ1433*CFG_OTRATE,6),0)</f>
        <v>0</v>
      </c>
      <c r="BU1433" s="80">
        <f>IF(AND(BD1433=1,D1433="proMX"),ROUND(AG1433/CFG_BLK,6),0)</f>
        <v>0</v>
      </c>
      <c r="BV1433" s="80" t="str">
        <f>IF(BF1433="Approved",IF(ISNUMBER(T1433),INT(T1433),INT(B1433)),"")</f>
        <v/>
      </c>
      <c r="BW1433" s="80">
        <f>IF(ISNUMBER(B1433),IF(DB_MON="Todos",1,IF(AND(INT(B1433)&gt;=DB_MS,INT(B1433)&lt;=DB_ME),1,0)),0)</f>
        <v>0</v>
      </c>
      <c r="BX1433" s="80">
        <f>IF(DB_PROJ="Todos",1,IF(E1433&amp;""=DB_PROJ&amp;"",1,0))</f>
        <v>1</v>
      </c>
      <c r="BY1433" s="80">
        <f>BW1433*BX1433</f>
        <v>0</v>
      </c>
      <c r="BZ1433" s="80" t="str">
        <f>IF(Y1433=1,F1433&amp;IF(AND(F1433&amp;""&lt;&gt;"",E1433&amp;""&lt;&gt;"")," · ","")&amp;E1433,"")</f>
        <v/>
      </c>
      <c r="CA1433" s="80" t="str">
        <f>IF(AND(BD1433=1,E1433&amp;""&lt;&gt;""),IF(COUNTIFS($E$5:E1432,E1433,$BD$5:BD1432,1)=0,MAX($CA$5:CA1432)+1,""),"")</f>
        <v/>
      </c>
      <c r="CB1433" s="80" t="str">
        <f>IF(AND(BE1433=1,D1433="Malcolm",E1433&amp;""&lt;&gt;""),IF(COUNTIFS($D$5:D1432,"Malcolm",$E$5:E1432,E1433,$BE$5:BE1432,1)=0,MAX($CB$5:CB1432)+1,""),"")</f>
        <v/>
      </c>
      <c r="CC1433" s="80" t="str">
        <f>IF(AND(BD1433=1,D1433="proMX",E1433&amp;""&lt;&gt;""),IF(COUNTIFS($D$5:D1432,"proMX",$E$5:E1432,E1433,$BD$5:BD1432,1)=0,MAX($CC$5:CC1432)+1,""),"")</f>
        <v/>
      </c>
      <c r="CD1433" s="80" t="str">
        <f>IF(AND(BE1433=1,D1433="Malcolm",F1433&amp;""&lt;&gt;""),IF(COUNTIFS($D$5:D1432,"Malcolm",$F$5:F1432,F1433,$BE$5:BE1432,1)=0,MAX($CD$5:CD1432)+1,""),"")</f>
        <v/>
      </c>
      <c r="CE1433" s="80" t="str">
        <f>IF(AND(BD1433=1,D1433="proMX",F1433&amp;""&lt;&gt;""),IF(COUNTIFS($D$5:D1432,"proMX",$F$5:F1432,F1433,$BD$5:BD1432,1)=0,MAX($CE$5:CE1432)+1,""),"")</f>
        <v/>
      </c>
      <c r="CF1433" s="80" t="str">
        <f>IF(AND(D1433="proMX",BD1433=1),IF(OR(BF1433="Draft",BF1433="Submitted",BF1433="Returned",BF1433="Recall Requested"),MAX($CF$5:CF1432)+1,""),"")</f>
        <v/>
      </c>
      <c r="CG1433" s="80">
        <f>IF(BD1433=0,0,IF(D1433="Malcolm",1,MATCH(BF1433,{"Draft","Submitted","Approved","Returned","Recall Requested","Cancelled"},0)+1))</f>
        <v>0</v>
      </c>
      <c r="CH1433" s="80">
        <f>IF(AND(BF1433="Submitted",ISNUMBER(V1433)),IF(V1433&gt;CFG_MAXD,1,0),0)</f>
        <v>0</v>
      </c>
    </row>
    <row r="1434">
      <c r="A1434" s="71" t="str">
        <f>IF(Y1434=1,ROW()-5,"")</f>
        <v/>
      </c>
      <c r="B1434" s="72" t="n"/>
      <c r="C1434" s="71" t="str">
        <f>IF(ISNUMBER(B1434),CHOOSE(WEEKDAY(B1434,2),"Lun","Mar","Mié","Jue","Vie","Sáb","Dom"),"")</f>
        <v/>
      </c>
      <c r="D1434" s="73" t="n"/>
      <c r="E1434" s="74" t="n"/>
      <c r="F1434" s="74" t="n"/>
      <c r="G1434" s="74" t="n"/>
      <c r="H1434" s="75" t="n"/>
      <c r="I1434" s="75" t="n"/>
      <c r="J1434" s="76" t="n"/>
      <c r="K1434" s="77" t="str">
        <f>IF(AB1434=1,ROUND(AG1434/60,4),"")</f>
        <v/>
      </c>
      <c r="L1434" s="77" t="str">
        <f>IF(BD1434=1,ROUND(AP1434/60,4),"")</f>
        <v/>
      </c>
      <c r="M1434" s="77" t="str">
        <f>IF(BD1434=1,ROUND(AQ1434/60,4),"")</f>
        <v/>
      </c>
      <c r="N1434" s="71" t="str">
        <f>IF(AND(D1434="proMX",AB1434=1),ROUND(AG1434/CFG_BLK,2),"")</f>
        <v/>
      </c>
      <c r="O1434" s="77" t="str">
        <f>IF(D1434="proMX",IF(BD1434=1,ROUND(AG1434/60,4),0),"")</f>
        <v/>
      </c>
      <c r="P1434" s="78" t="str">
        <f>IF(Y1434=0,"",IF(BD1434=1,"OK",IF(D1434="proMX","Revisar bloques: ","Revisar: ")&amp;BC1434))</f>
        <v/>
      </c>
      <c r="Q1434" s="78" t="str">
        <f>IF(NOT(ISNUMBER(B1434)),"",IF(COUNTIFS(FER_F,INT(B1434))&gt;0,"Feriado"&amp;IF(AH1434=1," (laborable)"," (no laborable)"),IF(AH1434=1,"Laborable",IF(WEEKDAY(B1434,2)&gt;5,"Fin de semana","No laborable"))))</f>
        <v/>
      </c>
      <c r="R1434" s="73" t="n"/>
      <c r="S1434" s="72" t="n"/>
      <c r="T1434" s="72" t="n"/>
      <c r="U1434" s="74" t="n"/>
      <c r="V1434" s="79" t="str">
        <f>IF(AND(D1434="proMX",OR(R1434="Submitted",R1434="Recall Requested"),ISNUMBER(S1434)),CFG_TODAY-INT(S1434),"")</f>
        <v/>
      </c>
      <c r="W1434" s="78" t="str">
        <f>IF(BD1434=0,"",IF(BA1434&gt;0,"⚠ Se superpone con un registro de la otra empresa",IF(D1434="Malcolm",IF(COUNTA(R1434,S1434,T1434)&gt;0,"Estado/fechas proMX se ignoran en Malcolm",""),IF(BF1434="Cancelled","Cancelado: excluido de totales",IF(R1434="","Sin estado: se trata como Draft",IF(BF1434="Submitted",IF(ISNUMBER(V1434),IF(V1434&gt;CFG_MAXD,"⚠ "&amp;V1434&amp;" días en Submitted (máx. "&amp;CFG_MAXD&amp;")",""),"Falta fecha de envío"),IF(BF1434="Returned","⚠ Devuelto: corregir y reenviar",IF(BF1434="Recall Requested","Retirada solicitada: pendiente",IF(AND(BF1434="Approved",NOT(ISNUMBER(T1434))),"Falta fecha de aprobación",IF(AND(ISNUMBER(S1434),ISNUMBER(T1434),T1434&lt;S1434),"Aprobación anterior al envío","")))))))))</f>
        <v/>
      </c>
      <c r="Y1434" s="80">
        <f>IF(COUNTA(B1434,D1434,E1434,F1434,G1434,H1434,I1434,J1434,R1434,S1434,T1434)&gt;0,1,0)</f>
        <v>0</v>
      </c>
      <c r="Z1434" s="80" t="str">
        <f>IF(AND(ISNUMBER(H1434),H1434&gt;=0,H1434&lt;1),ROUND(H1434*1440,0),"")</f>
        <v/>
      </c>
      <c r="AA1434" s="80" t="str">
        <f>IF(AND(ISNUMBER(I1434),I1434&gt;=0,I1434&lt;1),ROUND(I1434*1440,0),"")</f>
        <v/>
      </c>
      <c r="AB1434" s="80">
        <f>IF(AND(ISNUMBER(B1434),D1434&lt;&gt;"",ISNUMBER(Z1434),ISNUMBER(AA1434)),IF(Z1434=AA1434,0,1),0)</f>
        <v>0</v>
      </c>
      <c r="AC1434" s="80">
        <f>IF(AB1434=1,IF(AA1434&lt;Z1434,1,0),0)</f>
        <v>0</v>
      </c>
      <c r="AD1434" s="80">
        <f>IF(AB1434=1,IF(AC1434=1,1440-Z1434+AA1434,AA1434-Z1434),0)</f>
        <v>0</v>
      </c>
      <c r="AE1434" s="80">
        <f>IF(J1434="",0,IF(ISNUMBER(J1434),J1434,-1))</f>
        <v>0</v>
      </c>
      <c r="AF1434" s="80">
        <f>MIN(MAX(0,AE1434),AD1434)</f>
        <v>0</v>
      </c>
      <c r="AG1434" s="80">
        <f>MAX(0,AD1434-MAX(0,AE1434))</f>
        <v>0</v>
      </c>
      <c r="AH1434" s="80">
        <f>IF(ISNUMBER(B1434),IF(AND(INDEX(CFG_WDAYS,WEEKDAY(INT(B1434),2))="Sí",IF(D1434="proMX",COUNTIFS(FER_F,INT(B1434),FER_NLP,"Sí"),COUNTIFS(FER_F,INT(B1434),FER_NLM,"Sí"))=0),1,0),0)</f>
        <v>0</v>
      </c>
      <c r="AI1434" s="80">
        <f>IF(AC1434=1,IF(AND(INDEX(CFG_WDAYS,WEEKDAY(INT(B1434)+1,2))="Sí",IF(D1434="proMX",COUNTIFS(FER_F,INT(B1434)+1,FER_NLP,"Sí"),COUNTIFS(FER_F,INT(B1434)+1,FER_NLM,"Sí"))=0),1,0),0)</f>
        <v>0</v>
      </c>
      <c r="AJ1434" s="80">
        <f>IF(AC1434=1,1440-Z1434,AD1434)</f>
        <v>0</v>
      </c>
      <c r="AK1434" s="80">
        <f>IF(AND(AB1434=1,AH1434=1),MAX(0,MIN(IF(AC1434=1,1440,AA1434),CFG_WEM)-MAX(Z1434,CFG_WSM)),0)</f>
        <v>0</v>
      </c>
      <c r="AL1434" s="80">
        <f>IF(AND(AC1434=1,AI1434=1),MAX(0,MIN(AA1434,CFG_WEM)-CFG_WSM),0)</f>
        <v>0</v>
      </c>
      <c r="AM1434" s="80">
        <f>AK1434+AL1434</f>
        <v>0</v>
      </c>
      <c r="AN1434" s="80">
        <f>IF(CFG_BRK="Proporcional",IF(AD1434=0,0,AF1434*AM1434/AD1434),IF(CFG_BRK="Extras primero",MIN(AM1434,MAX(0,AF1434-(AD1434-AM1434))),MIN(AF1434,AM1434)))</f>
        <v>0</v>
      </c>
      <c r="AO1434" s="80">
        <f>AF1434-AN1434</f>
        <v>0</v>
      </c>
      <c r="AP1434" s="80">
        <f>AM1434-AN1434</f>
        <v>0</v>
      </c>
      <c r="AQ1434" s="80">
        <f>AD1434-AM1434-AO1434</f>
        <v>0</v>
      </c>
      <c r="AR1434" s="80">
        <f>IF(AM1434=0,0,AK1434-AN1434*AK1434/AM1434)</f>
        <v>0</v>
      </c>
      <c r="AS1434" s="80">
        <f>IF(AD1434-AM1434=0,0,(AJ1434-AK1434)-AO1434*(AJ1434-AK1434)/(AD1434-AM1434))</f>
        <v>0</v>
      </c>
      <c r="AT1434" s="80" t="str">
        <f>IF(AC1434=1,INT(B1434)+1,"")</f>
        <v/>
      </c>
      <c r="AU1434" s="80">
        <f>IF(AND(D1434="proMX",R1434="Cancelled"),0,1)</f>
        <v>1</v>
      </c>
      <c r="AV1434" s="80">
        <f>IF(AND(AB1434=1,AU1434=1),IF(COUNTIFS($D$5:D1433,D1434,$B$5:B1433,B1434,$Z$5:Z1433,Z1434,$AA$5:AA1433,AA1434,$F$5:F1433,F1434&amp;"",$AU$5:AU1433,1)&gt;0,1,0),0)</f>
        <v>0</v>
      </c>
      <c r="AW1434" s="80" t="str">
        <f>IF(AB1434=1,INT(B1434)*1440+Z1434,"")</f>
        <v/>
      </c>
      <c r="AX1434" s="80" t="str">
        <f>IF(AB1434=1,AW1434+AD1434,"")</f>
        <v/>
      </c>
      <c r="AY1434" s="80">
        <f>IF(AND(AB1434=1,AV1434=0,AU1434=1),1,0)</f>
        <v>0</v>
      </c>
      <c r="AZ1434" s="80">
        <f>IF(AY1434=1,COUNTIFS(R_Emp,D1434,R_SAbs,"&lt;"&amp;AX1434,R_EAbs,"&gt;"&amp;AW1434,R_OKey,1)-1,0)</f>
        <v>0</v>
      </c>
      <c r="BA1434" s="80">
        <f>IF(AY1434=1,COUNTIFS(R_Emp,"&lt;&gt;"&amp;D1434,R_SAbs,"&lt;"&amp;AX1434,R_EAbs,"&gt;"&amp;AW1434,R_OKey,1),0)</f>
        <v>0</v>
      </c>
      <c r="BB1434" s="80">
        <f>IF(AND(AB1434=1,D1434="proMX"),IF(AND(MOD(Z1434,CFG_BLK)=0,MOD(AA1434,CFG_BLK)=0,MOD(AG1434,CFG_BLK)=0,AG1434&gt;0),1,0),1)</f>
        <v>1</v>
      </c>
      <c r="BC1434" s="80" t="str">
        <f>IF(Y1434=0,"",IF(NOT(ISNUMBER(B1434)),"Falta fecha o fecha inválida",IF(D1434="","Falta empresa",IF(AND(D1434&lt;&gt;"Malcolm",D1434&lt;&gt;"proMX"),"Empresa inválida",IF(OR(INT(B1434)&lt;CFG_PSTART,INT(B1434)&gt;CFG_PEND),"Fecha fuera del período",IF(OR(NOT(ISNUMBER(Z1434)),NOT(ISNUMBER(AA1434))),"Falta hora inicio/fin o formato inválido",IF(AB1434=0,"Hora inicio = hora fin",IF(AE1434&lt;0,"Descanso inválido",IF(AE1434&gt;=AD1434,"Descanso ≥ duración",IF(AV1434=1,"Registro duplicado",IF(AZ1434&gt;0,"Se superpone con otro registro "&amp;D1434,IF(BB1434=0,"inicio, fin y duración neta deben ser múltiplos de "&amp;CFG_BLK&amp;" min",""))))))))))))</f>
        <v/>
      </c>
      <c r="BD1434" s="80">
        <f>IF(AND(Y1434=1,BC1434=""),1,0)</f>
        <v>0</v>
      </c>
      <c r="BE1434" s="80">
        <f>IF(AND(BD1434=1,AU1434=1),1,0)</f>
        <v>0</v>
      </c>
      <c r="BF1434" s="80" t="str">
        <f>IF(AND(D1434="proMX",BD1434=1),IF(R1434="","Draft",R1434),"")</f>
        <v/>
      </c>
      <c r="BG1434" s="80">
        <f>IF(BD1434=1,ROUND(AG1434/60,6),0)</f>
        <v>0</v>
      </c>
      <c r="BH1434" s="80">
        <f>IF(BE1434=1,ROUND(AG1434/60,6),0)</f>
        <v>0</v>
      </c>
      <c r="BI1434" s="80">
        <f>IF(BE1434=1,ROUND(AP1434/60,6),0)</f>
        <v>0</v>
      </c>
      <c r="BJ1434" s="80">
        <f>IF(BE1434=1,ROUND(AQ1434/60,6),0)</f>
        <v>0</v>
      </c>
      <c r="BK1434" s="80">
        <f>IF(BE1434=1,ROUND((AR1434+AS1434)/60,6),0)</f>
        <v>0</v>
      </c>
      <c r="BL1434" s="80">
        <f>ROUND(BH1434-BK1434,6)</f>
        <v>0</v>
      </c>
      <c r="BM1434" s="80">
        <f>IF(BE1434=1,ROUND(AR1434/60,6),0)</f>
        <v>0</v>
      </c>
      <c r="BN1434" s="80">
        <f>ROUND(BI1434-BM1434,6)</f>
        <v>0</v>
      </c>
      <c r="BO1434" s="80">
        <f>IF(BE1434=1,ROUND(AS1434/60,6),0)</f>
        <v>0</v>
      </c>
      <c r="BP1434" s="80">
        <f>ROUND(BJ1434-BO1434,6)</f>
        <v>0</v>
      </c>
      <c r="BQ1434" s="80">
        <f>IF(BE1434=1,AW1434,0)</f>
        <v>0</v>
      </c>
      <c r="BR1434" s="80">
        <f>IF(BE1434=1,AX1434,0)</f>
        <v>0</v>
      </c>
      <c r="BS1434" s="80">
        <f>IF(AND(BE1434=1,D1434="Malcolm",BA1434&gt;0),MIN(BH1434,SUMPRODUCT((R_Emp="proMX")*(R_EN&gt;0)*((R_EN-(R_EN&gt;BR1434)*(R_EN-BR1434))&gt;(R_SN+(R_SN&lt;BQ1434)*(BQ1434-R_SN)))*((R_EN-(R_EN&gt;BR1434)*(R_EN-BR1434))-(R_SN+(R_SN&lt;BQ1434)*(BQ1434-R_SN))))/60),0)</f>
        <v>0</v>
      </c>
      <c r="BT1434" s="80">
        <f>IF(AND(BE1434=1,D1434="proMX"),ROUND(BI1434*CFG_RATE+BJ1434*CFG_OTRATE,6),0)</f>
        <v>0</v>
      </c>
      <c r="BU1434" s="80">
        <f>IF(AND(BD1434=1,D1434="proMX"),ROUND(AG1434/CFG_BLK,6),0)</f>
        <v>0</v>
      </c>
      <c r="BV1434" s="80" t="str">
        <f>IF(BF1434="Approved",IF(ISNUMBER(T1434),INT(T1434),INT(B1434)),"")</f>
        <v/>
      </c>
      <c r="BW1434" s="80">
        <f>IF(ISNUMBER(B1434),IF(DB_MON="Todos",1,IF(AND(INT(B1434)&gt;=DB_MS,INT(B1434)&lt;=DB_ME),1,0)),0)</f>
        <v>0</v>
      </c>
      <c r="BX1434" s="80">
        <f>IF(DB_PROJ="Todos",1,IF(E1434&amp;""=DB_PROJ&amp;"",1,0))</f>
        <v>1</v>
      </c>
      <c r="BY1434" s="80">
        <f>BW1434*BX1434</f>
        <v>0</v>
      </c>
      <c r="BZ1434" s="80" t="str">
        <f>IF(Y1434=1,F1434&amp;IF(AND(F1434&amp;""&lt;&gt;"",E1434&amp;""&lt;&gt;"")," · ","")&amp;E1434,"")</f>
        <v/>
      </c>
      <c r="CA1434" s="80" t="str">
        <f>IF(AND(BD1434=1,E1434&amp;""&lt;&gt;""),IF(COUNTIFS($E$5:E1433,E1434,$BD$5:BD1433,1)=0,MAX($CA$5:CA1433)+1,""),"")</f>
        <v/>
      </c>
      <c r="CB1434" s="80" t="str">
        <f>IF(AND(BE1434=1,D1434="Malcolm",E1434&amp;""&lt;&gt;""),IF(COUNTIFS($D$5:D1433,"Malcolm",$E$5:E1433,E1434,$BE$5:BE1433,1)=0,MAX($CB$5:CB1433)+1,""),"")</f>
        <v/>
      </c>
      <c r="CC1434" s="80" t="str">
        <f>IF(AND(BD1434=1,D1434="proMX",E1434&amp;""&lt;&gt;""),IF(COUNTIFS($D$5:D1433,"proMX",$E$5:E1433,E1434,$BD$5:BD1433,1)=0,MAX($CC$5:CC1433)+1,""),"")</f>
        <v/>
      </c>
      <c r="CD1434" s="80" t="str">
        <f>IF(AND(BE1434=1,D1434="Malcolm",F1434&amp;""&lt;&gt;""),IF(COUNTIFS($D$5:D1433,"Malcolm",$F$5:F1433,F1434,$BE$5:BE1433,1)=0,MAX($CD$5:CD1433)+1,""),"")</f>
        <v/>
      </c>
      <c r="CE1434" s="80" t="str">
        <f>IF(AND(BD1434=1,D1434="proMX",F1434&amp;""&lt;&gt;""),IF(COUNTIFS($D$5:D1433,"proMX",$F$5:F1433,F1434,$BD$5:BD1433,1)=0,MAX($CE$5:CE1433)+1,""),"")</f>
        <v/>
      </c>
      <c r="CF1434" s="80" t="str">
        <f>IF(AND(D1434="proMX",BD1434=1),IF(OR(BF1434="Draft",BF1434="Submitted",BF1434="Returned",BF1434="Recall Requested"),MAX($CF$5:CF1433)+1,""),"")</f>
        <v/>
      </c>
      <c r="CG1434" s="80">
        <f>IF(BD1434=0,0,IF(D1434="Malcolm",1,MATCH(BF1434,{"Draft","Submitted","Approved","Returned","Recall Requested","Cancelled"},0)+1))</f>
        <v>0</v>
      </c>
      <c r="CH1434" s="80">
        <f>IF(AND(BF1434="Submitted",ISNUMBER(V1434)),IF(V1434&gt;CFG_MAXD,1,0),0)</f>
        <v>0</v>
      </c>
    </row>
    <row r="1435">
      <c r="A1435" s="71" t="str">
        <f>IF(Y1435=1,ROW()-5,"")</f>
        <v/>
      </c>
      <c r="B1435" s="72" t="n"/>
      <c r="C1435" s="71" t="str">
        <f>IF(ISNUMBER(B1435),CHOOSE(WEEKDAY(B1435,2),"Lun","Mar","Mié","Jue","Vie","Sáb","Dom"),"")</f>
        <v/>
      </c>
      <c r="D1435" s="73" t="n"/>
      <c r="E1435" s="74" t="n"/>
      <c r="F1435" s="74" t="n"/>
      <c r="G1435" s="74" t="n"/>
      <c r="H1435" s="75" t="n"/>
      <c r="I1435" s="75" t="n"/>
      <c r="J1435" s="76" t="n"/>
      <c r="K1435" s="77" t="str">
        <f>IF(AB1435=1,ROUND(AG1435/60,4),"")</f>
        <v/>
      </c>
      <c r="L1435" s="77" t="str">
        <f>IF(BD1435=1,ROUND(AP1435/60,4),"")</f>
        <v/>
      </c>
      <c r="M1435" s="77" t="str">
        <f>IF(BD1435=1,ROUND(AQ1435/60,4),"")</f>
        <v/>
      </c>
      <c r="N1435" s="71" t="str">
        <f>IF(AND(D1435="proMX",AB1435=1),ROUND(AG1435/CFG_BLK,2),"")</f>
        <v/>
      </c>
      <c r="O1435" s="77" t="str">
        <f>IF(D1435="proMX",IF(BD1435=1,ROUND(AG1435/60,4),0),"")</f>
        <v/>
      </c>
      <c r="P1435" s="78" t="str">
        <f>IF(Y1435=0,"",IF(BD1435=1,"OK",IF(D1435="proMX","Revisar bloques: ","Revisar: ")&amp;BC1435))</f>
        <v/>
      </c>
      <c r="Q1435" s="78" t="str">
        <f>IF(NOT(ISNUMBER(B1435)),"",IF(COUNTIFS(FER_F,INT(B1435))&gt;0,"Feriado"&amp;IF(AH1435=1," (laborable)"," (no laborable)"),IF(AH1435=1,"Laborable",IF(WEEKDAY(B1435,2)&gt;5,"Fin de semana","No laborable"))))</f>
        <v/>
      </c>
      <c r="R1435" s="73" t="n"/>
      <c r="S1435" s="72" t="n"/>
      <c r="T1435" s="72" t="n"/>
      <c r="U1435" s="74" t="n"/>
      <c r="V1435" s="79" t="str">
        <f>IF(AND(D1435="proMX",OR(R1435="Submitted",R1435="Recall Requested"),ISNUMBER(S1435)),CFG_TODAY-INT(S1435),"")</f>
        <v/>
      </c>
      <c r="W1435" s="78" t="str">
        <f>IF(BD1435=0,"",IF(BA1435&gt;0,"⚠ Se superpone con un registro de la otra empresa",IF(D1435="Malcolm",IF(COUNTA(R1435,S1435,T1435)&gt;0,"Estado/fechas proMX se ignoran en Malcolm",""),IF(BF1435="Cancelled","Cancelado: excluido de totales",IF(R1435="","Sin estado: se trata como Draft",IF(BF1435="Submitted",IF(ISNUMBER(V1435),IF(V1435&gt;CFG_MAXD,"⚠ "&amp;V1435&amp;" días en Submitted (máx. "&amp;CFG_MAXD&amp;")",""),"Falta fecha de envío"),IF(BF1435="Returned","⚠ Devuelto: corregir y reenviar",IF(BF1435="Recall Requested","Retirada solicitada: pendiente",IF(AND(BF1435="Approved",NOT(ISNUMBER(T1435))),"Falta fecha de aprobación",IF(AND(ISNUMBER(S1435),ISNUMBER(T1435),T1435&lt;S1435),"Aprobación anterior al envío","")))))))))</f>
        <v/>
      </c>
      <c r="Y1435" s="80">
        <f>IF(COUNTA(B1435,D1435,E1435,F1435,G1435,H1435,I1435,J1435,R1435,S1435,T1435)&gt;0,1,0)</f>
        <v>0</v>
      </c>
      <c r="Z1435" s="80" t="str">
        <f>IF(AND(ISNUMBER(H1435),H1435&gt;=0,H1435&lt;1),ROUND(H1435*1440,0),"")</f>
        <v/>
      </c>
      <c r="AA1435" s="80" t="str">
        <f>IF(AND(ISNUMBER(I1435),I1435&gt;=0,I1435&lt;1),ROUND(I1435*1440,0),"")</f>
        <v/>
      </c>
      <c r="AB1435" s="80">
        <f>IF(AND(ISNUMBER(B1435),D1435&lt;&gt;"",ISNUMBER(Z1435),ISNUMBER(AA1435)),IF(Z1435=AA1435,0,1),0)</f>
        <v>0</v>
      </c>
      <c r="AC1435" s="80">
        <f>IF(AB1435=1,IF(AA1435&lt;Z1435,1,0),0)</f>
        <v>0</v>
      </c>
      <c r="AD1435" s="80">
        <f>IF(AB1435=1,IF(AC1435=1,1440-Z1435+AA1435,AA1435-Z1435),0)</f>
        <v>0</v>
      </c>
      <c r="AE1435" s="80">
        <f>IF(J1435="",0,IF(ISNUMBER(J1435),J1435,-1))</f>
        <v>0</v>
      </c>
      <c r="AF1435" s="80">
        <f>MIN(MAX(0,AE1435),AD1435)</f>
        <v>0</v>
      </c>
      <c r="AG1435" s="80">
        <f>MAX(0,AD1435-MAX(0,AE1435))</f>
        <v>0</v>
      </c>
      <c r="AH1435" s="80">
        <f>IF(ISNUMBER(B1435),IF(AND(INDEX(CFG_WDAYS,WEEKDAY(INT(B1435),2))="Sí",IF(D1435="proMX",COUNTIFS(FER_F,INT(B1435),FER_NLP,"Sí"),COUNTIFS(FER_F,INT(B1435),FER_NLM,"Sí"))=0),1,0),0)</f>
        <v>0</v>
      </c>
      <c r="AI1435" s="80">
        <f>IF(AC1435=1,IF(AND(INDEX(CFG_WDAYS,WEEKDAY(INT(B1435)+1,2))="Sí",IF(D1435="proMX",COUNTIFS(FER_F,INT(B1435)+1,FER_NLP,"Sí"),COUNTIFS(FER_F,INT(B1435)+1,FER_NLM,"Sí"))=0),1,0),0)</f>
        <v>0</v>
      </c>
      <c r="AJ1435" s="80">
        <f>IF(AC1435=1,1440-Z1435,AD1435)</f>
        <v>0</v>
      </c>
      <c r="AK1435" s="80">
        <f>IF(AND(AB1435=1,AH1435=1),MAX(0,MIN(IF(AC1435=1,1440,AA1435),CFG_WEM)-MAX(Z1435,CFG_WSM)),0)</f>
        <v>0</v>
      </c>
      <c r="AL1435" s="80">
        <f>IF(AND(AC1435=1,AI1435=1),MAX(0,MIN(AA1435,CFG_WEM)-CFG_WSM),0)</f>
        <v>0</v>
      </c>
      <c r="AM1435" s="80">
        <f>AK1435+AL1435</f>
        <v>0</v>
      </c>
      <c r="AN1435" s="80">
        <f>IF(CFG_BRK="Proporcional",IF(AD1435=0,0,AF1435*AM1435/AD1435),IF(CFG_BRK="Extras primero",MIN(AM1435,MAX(0,AF1435-(AD1435-AM1435))),MIN(AF1435,AM1435)))</f>
        <v>0</v>
      </c>
      <c r="AO1435" s="80">
        <f>AF1435-AN1435</f>
        <v>0</v>
      </c>
      <c r="AP1435" s="80">
        <f>AM1435-AN1435</f>
        <v>0</v>
      </c>
      <c r="AQ1435" s="80">
        <f>AD1435-AM1435-AO1435</f>
        <v>0</v>
      </c>
      <c r="AR1435" s="80">
        <f>IF(AM1435=0,0,AK1435-AN1435*AK1435/AM1435)</f>
        <v>0</v>
      </c>
      <c r="AS1435" s="80">
        <f>IF(AD1435-AM1435=0,0,(AJ1435-AK1435)-AO1435*(AJ1435-AK1435)/(AD1435-AM1435))</f>
        <v>0</v>
      </c>
      <c r="AT1435" s="80" t="str">
        <f>IF(AC1435=1,INT(B1435)+1,"")</f>
        <v/>
      </c>
      <c r="AU1435" s="80">
        <f>IF(AND(D1435="proMX",R1435="Cancelled"),0,1)</f>
        <v>1</v>
      </c>
      <c r="AV1435" s="80">
        <f>IF(AND(AB1435=1,AU1435=1),IF(COUNTIFS($D$5:D1434,D1435,$B$5:B1434,B1435,$Z$5:Z1434,Z1435,$AA$5:AA1434,AA1435,$F$5:F1434,F1435&amp;"",$AU$5:AU1434,1)&gt;0,1,0),0)</f>
        <v>0</v>
      </c>
      <c r="AW1435" s="80" t="str">
        <f>IF(AB1435=1,INT(B1435)*1440+Z1435,"")</f>
        <v/>
      </c>
      <c r="AX1435" s="80" t="str">
        <f>IF(AB1435=1,AW1435+AD1435,"")</f>
        <v/>
      </c>
      <c r="AY1435" s="80">
        <f>IF(AND(AB1435=1,AV1435=0,AU1435=1),1,0)</f>
        <v>0</v>
      </c>
      <c r="AZ1435" s="80">
        <f>IF(AY1435=1,COUNTIFS(R_Emp,D1435,R_SAbs,"&lt;"&amp;AX1435,R_EAbs,"&gt;"&amp;AW1435,R_OKey,1)-1,0)</f>
        <v>0</v>
      </c>
      <c r="BA1435" s="80">
        <f>IF(AY1435=1,COUNTIFS(R_Emp,"&lt;&gt;"&amp;D1435,R_SAbs,"&lt;"&amp;AX1435,R_EAbs,"&gt;"&amp;AW1435,R_OKey,1),0)</f>
        <v>0</v>
      </c>
      <c r="BB1435" s="80">
        <f>IF(AND(AB1435=1,D1435="proMX"),IF(AND(MOD(Z1435,CFG_BLK)=0,MOD(AA1435,CFG_BLK)=0,MOD(AG1435,CFG_BLK)=0,AG1435&gt;0),1,0),1)</f>
        <v>1</v>
      </c>
      <c r="BC1435" s="80" t="str">
        <f>IF(Y1435=0,"",IF(NOT(ISNUMBER(B1435)),"Falta fecha o fecha inválida",IF(D1435="","Falta empresa",IF(AND(D1435&lt;&gt;"Malcolm",D1435&lt;&gt;"proMX"),"Empresa inválida",IF(OR(INT(B1435)&lt;CFG_PSTART,INT(B1435)&gt;CFG_PEND),"Fecha fuera del período",IF(OR(NOT(ISNUMBER(Z1435)),NOT(ISNUMBER(AA1435))),"Falta hora inicio/fin o formato inválido",IF(AB1435=0,"Hora inicio = hora fin",IF(AE1435&lt;0,"Descanso inválido",IF(AE1435&gt;=AD1435,"Descanso ≥ duración",IF(AV1435=1,"Registro duplicado",IF(AZ1435&gt;0,"Se superpone con otro registro "&amp;D1435,IF(BB1435=0,"inicio, fin y duración neta deben ser múltiplos de "&amp;CFG_BLK&amp;" min",""))))))))))))</f>
        <v/>
      </c>
      <c r="BD1435" s="80">
        <f>IF(AND(Y1435=1,BC1435=""),1,0)</f>
        <v>0</v>
      </c>
      <c r="BE1435" s="80">
        <f>IF(AND(BD1435=1,AU1435=1),1,0)</f>
        <v>0</v>
      </c>
      <c r="BF1435" s="80" t="str">
        <f>IF(AND(D1435="proMX",BD1435=1),IF(R1435="","Draft",R1435),"")</f>
        <v/>
      </c>
      <c r="BG1435" s="80">
        <f>IF(BD1435=1,ROUND(AG1435/60,6),0)</f>
        <v>0</v>
      </c>
      <c r="BH1435" s="80">
        <f>IF(BE1435=1,ROUND(AG1435/60,6),0)</f>
        <v>0</v>
      </c>
      <c r="BI1435" s="80">
        <f>IF(BE1435=1,ROUND(AP1435/60,6),0)</f>
        <v>0</v>
      </c>
      <c r="BJ1435" s="80">
        <f>IF(BE1435=1,ROUND(AQ1435/60,6),0)</f>
        <v>0</v>
      </c>
      <c r="BK1435" s="80">
        <f>IF(BE1435=1,ROUND((AR1435+AS1435)/60,6),0)</f>
        <v>0</v>
      </c>
      <c r="BL1435" s="80">
        <f>ROUND(BH1435-BK1435,6)</f>
        <v>0</v>
      </c>
      <c r="BM1435" s="80">
        <f>IF(BE1435=1,ROUND(AR1435/60,6),0)</f>
        <v>0</v>
      </c>
      <c r="BN1435" s="80">
        <f>ROUND(BI1435-BM1435,6)</f>
        <v>0</v>
      </c>
      <c r="BO1435" s="80">
        <f>IF(BE1435=1,ROUND(AS1435/60,6),0)</f>
        <v>0</v>
      </c>
      <c r="BP1435" s="80">
        <f>ROUND(BJ1435-BO1435,6)</f>
        <v>0</v>
      </c>
      <c r="BQ1435" s="80">
        <f>IF(BE1435=1,AW1435,0)</f>
        <v>0</v>
      </c>
      <c r="BR1435" s="80">
        <f>IF(BE1435=1,AX1435,0)</f>
        <v>0</v>
      </c>
      <c r="BS1435" s="80">
        <f>IF(AND(BE1435=1,D1435="Malcolm",BA1435&gt;0),MIN(BH1435,SUMPRODUCT((R_Emp="proMX")*(R_EN&gt;0)*((R_EN-(R_EN&gt;BR1435)*(R_EN-BR1435))&gt;(R_SN+(R_SN&lt;BQ1435)*(BQ1435-R_SN)))*((R_EN-(R_EN&gt;BR1435)*(R_EN-BR1435))-(R_SN+(R_SN&lt;BQ1435)*(BQ1435-R_SN))))/60),0)</f>
        <v>0</v>
      </c>
      <c r="BT1435" s="80">
        <f>IF(AND(BE1435=1,D1435="proMX"),ROUND(BI1435*CFG_RATE+BJ1435*CFG_OTRATE,6),0)</f>
        <v>0</v>
      </c>
      <c r="BU1435" s="80">
        <f>IF(AND(BD1435=1,D1435="proMX"),ROUND(AG1435/CFG_BLK,6),0)</f>
        <v>0</v>
      </c>
      <c r="BV1435" s="80" t="str">
        <f>IF(BF1435="Approved",IF(ISNUMBER(T1435),INT(T1435),INT(B1435)),"")</f>
        <v/>
      </c>
      <c r="BW1435" s="80">
        <f>IF(ISNUMBER(B1435),IF(DB_MON="Todos",1,IF(AND(INT(B1435)&gt;=DB_MS,INT(B1435)&lt;=DB_ME),1,0)),0)</f>
        <v>0</v>
      </c>
      <c r="BX1435" s="80">
        <f>IF(DB_PROJ="Todos",1,IF(E1435&amp;""=DB_PROJ&amp;"",1,0))</f>
        <v>1</v>
      </c>
      <c r="BY1435" s="80">
        <f>BW1435*BX1435</f>
        <v>0</v>
      </c>
      <c r="BZ1435" s="80" t="str">
        <f>IF(Y1435=1,F1435&amp;IF(AND(F1435&amp;""&lt;&gt;"",E1435&amp;""&lt;&gt;"")," · ","")&amp;E1435,"")</f>
        <v/>
      </c>
      <c r="CA1435" s="80" t="str">
        <f>IF(AND(BD1435=1,E1435&amp;""&lt;&gt;""),IF(COUNTIFS($E$5:E1434,E1435,$BD$5:BD1434,1)=0,MAX($CA$5:CA1434)+1,""),"")</f>
        <v/>
      </c>
      <c r="CB1435" s="80" t="str">
        <f>IF(AND(BE1435=1,D1435="Malcolm",E1435&amp;""&lt;&gt;""),IF(COUNTIFS($D$5:D1434,"Malcolm",$E$5:E1434,E1435,$BE$5:BE1434,1)=0,MAX($CB$5:CB1434)+1,""),"")</f>
        <v/>
      </c>
      <c r="CC1435" s="80" t="str">
        <f>IF(AND(BD1435=1,D1435="proMX",E1435&amp;""&lt;&gt;""),IF(COUNTIFS($D$5:D1434,"proMX",$E$5:E1434,E1435,$BD$5:BD1434,1)=0,MAX($CC$5:CC1434)+1,""),"")</f>
        <v/>
      </c>
      <c r="CD1435" s="80" t="str">
        <f>IF(AND(BE1435=1,D1435="Malcolm",F1435&amp;""&lt;&gt;""),IF(COUNTIFS($D$5:D1434,"Malcolm",$F$5:F1434,F1435,$BE$5:BE1434,1)=0,MAX($CD$5:CD1434)+1,""),"")</f>
        <v/>
      </c>
      <c r="CE1435" s="80" t="str">
        <f>IF(AND(BD1435=1,D1435="proMX",F1435&amp;""&lt;&gt;""),IF(COUNTIFS($D$5:D1434,"proMX",$F$5:F1434,F1435,$BD$5:BD1434,1)=0,MAX($CE$5:CE1434)+1,""),"")</f>
        <v/>
      </c>
      <c r="CF1435" s="80" t="str">
        <f>IF(AND(D1435="proMX",BD1435=1),IF(OR(BF1435="Draft",BF1435="Submitted",BF1435="Returned",BF1435="Recall Requested"),MAX($CF$5:CF1434)+1,""),"")</f>
        <v/>
      </c>
      <c r="CG1435" s="80">
        <f>IF(BD1435=0,0,IF(D1435="Malcolm",1,MATCH(BF1435,{"Draft","Submitted","Approved","Returned","Recall Requested","Cancelled"},0)+1))</f>
        <v>0</v>
      </c>
      <c r="CH1435" s="80">
        <f>IF(AND(BF1435="Submitted",ISNUMBER(V1435)),IF(V1435&gt;CFG_MAXD,1,0),0)</f>
        <v>0</v>
      </c>
    </row>
    <row r="1436">
      <c r="A1436" s="71" t="str">
        <f>IF(Y1436=1,ROW()-5,"")</f>
        <v/>
      </c>
      <c r="B1436" s="72" t="n"/>
      <c r="C1436" s="71" t="str">
        <f>IF(ISNUMBER(B1436),CHOOSE(WEEKDAY(B1436,2),"Lun","Mar","Mié","Jue","Vie","Sáb","Dom"),"")</f>
        <v/>
      </c>
      <c r="D1436" s="73" t="n"/>
      <c r="E1436" s="74" t="n"/>
      <c r="F1436" s="74" t="n"/>
      <c r="G1436" s="74" t="n"/>
      <c r="H1436" s="75" t="n"/>
      <c r="I1436" s="75" t="n"/>
      <c r="J1436" s="76" t="n"/>
      <c r="K1436" s="77" t="str">
        <f>IF(AB1436=1,ROUND(AG1436/60,4),"")</f>
        <v/>
      </c>
      <c r="L1436" s="77" t="str">
        <f>IF(BD1436=1,ROUND(AP1436/60,4),"")</f>
        <v/>
      </c>
      <c r="M1436" s="77" t="str">
        <f>IF(BD1436=1,ROUND(AQ1436/60,4),"")</f>
        <v/>
      </c>
      <c r="N1436" s="71" t="str">
        <f>IF(AND(D1436="proMX",AB1436=1),ROUND(AG1436/CFG_BLK,2),"")</f>
        <v/>
      </c>
      <c r="O1436" s="77" t="str">
        <f>IF(D1436="proMX",IF(BD1436=1,ROUND(AG1436/60,4),0),"")</f>
        <v/>
      </c>
      <c r="P1436" s="78" t="str">
        <f>IF(Y1436=0,"",IF(BD1436=1,"OK",IF(D1436="proMX","Revisar bloques: ","Revisar: ")&amp;BC1436))</f>
        <v/>
      </c>
      <c r="Q1436" s="78" t="str">
        <f>IF(NOT(ISNUMBER(B1436)),"",IF(COUNTIFS(FER_F,INT(B1436))&gt;0,"Feriado"&amp;IF(AH1436=1," (laborable)"," (no laborable)"),IF(AH1436=1,"Laborable",IF(WEEKDAY(B1436,2)&gt;5,"Fin de semana","No laborable"))))</f>
        <v/>
      </c>
      <c r="R1436" s="73" t="n"/>
      <c r="S1436" s="72" t="n"/>
      <c r="T1436" s="72" t="n"/>
      <c r="U1436" s="74" t="n"/>
      <c r="V1436" s="79" t="str">
        <f>IF(AND(D1436="proMX",OR(R1436="Submitted",R1436="Recall Requested"),ISNUMBER(S1436)),CFG_TODAY-INT(S1436),"")</f>
        <v/>
      </c>
      <c r="W1436" s="78" t="str">
        <f>IF(BD1436=0,"",IF(BA1436&gt;0,"⚠ Se superpone con un registro de la otra empresa",IF(D1436="Malcolm",IF(COUNTA(R1436,S1436,T1436)&gt;0,"Estado/fechas proMX se ignoran en Malcolm",""),IF(BF1436="Cancelled","Cancelado: excluido de totales",IF(R1436="","Sin estado: se trata como Draft",IF(BF1436="Submitted",IF(ISNUMBER(V1436),IF(V1436&gt;CFG_MAXD,"⚠ "&amp;V1436&amp;" días en Submitted (máx. "&amp;CFG_MAXD&amp;")",""),"Falta fecha de envío"),IF(BF1436="Returned","⚠ Devuelto: corregir y reenviar",IF(BF1436="Recall Requested","Retirada solicitada: pendiente",IF(AND(BF1436="Approved",NOT(ISNUMBER(T1436))),"Falta fecha de aprobación",IF(AND(ISNUMBER(S1436),ISNUMBER(T1436),T1436&lt;S1436),"Aprobación anterior al envío","")))))))))</f>
        <v/>
      </c>
      <c r="Y1436" s="80">
        <f>IF(COUNTA(B1436,D1436,E1436,F1436,G1436,H1436,I1436,J1436,R1436,S1436,T1436)&gt;0,1,0)</f>
        <v>0</v>
      </c>
      <c r="Z1436" s="80" t="str">
        <f>IF(AND(ISNUMBER(H1436),H1436&gt;=0,H1436&lt;1),ROUND(H1436*1440,0),"")</f>
        <v/>
      </c>
      <c r="AA1436" s="80" t="str">
        <f>IF(AND(ISNUMBER(I1436),I1436&gt;=0,I1436&lt;1),ROUND(I1436*1440,0),"")</f>
        <v/>
      </c>
      <c r="AB1436" s="80">
        <f>IF(AND(ISNUMBER(B1436),D1436&lt;&gt;"",ISNUMBER(Z1436),ISNUMBER(AA1436)),IF(Z1436=AA1436,0,1),0)</f>
        <v>0</v>
      </c>
      <c r="AC1436" s="80">
        <f>IF(AB1436=1,IF(AA1436&lt;Z1436,1,0),0)</f>
        <v>0</v>
      </c>
      <c r="AD1436" s="80">
        <f>IF(AB1436=1,IF(AC1436=1,1440-Z1436+AA1436,AA1436-Z1436),0)</f>
        <v>0</v>
      </c>
      <c r="AE1436" s="80">
        <f>IF(J1436="",0,IF(ISNUMBER(J1436),J1436,-1))</f>
        <v>0</v>
      </c>
      <c r="AF1436" s="80">
        <f>MIN(MAX(0,AE1436),AD1436)</f>
        <v>0</v>
      </c>
      <c r="AG1436" s="80">
        <f>MAX(0,AD1436-MAX(0,AE1436))</f>
        <v>0</v>
      </c>
      <c r="AH1436" s="80">
        <f>IF(ISNUMBER(B1436),IF(AND(INDEX(CFG_WDAYS,WEEKDAY(INT(B1436),2))="Sí",IF(D1436="proMX",COUNTIFS(FER_F,INT(B1436),FER_NLP,"Sí"),COUNTIFS(FER_F,INT(B1436),FER_NLM,"Sí"))=0),1,0),0)</f>
        <v>0</v>
      </c>
      <c r="AI1436" s="80">
        <f>IF(AC1436=1,IF(AND(INDEX(CFG_WDAYS,WEEKDAY(INT(B1436)+1,2))="Sí",IF(D1436="proMX",COUNTIFS(FER_F,INT(B1436)+1,FER_NLP,"Sí"),COUNTIFS(FER_F,INT(B1436)+1,FER_NLM,"Sí"))=0),1,0),0)</f>
        <v>0</v>
      </c>
      <c r="AJ1436" s="80">
        <f>IF(AC1436=1,1440-Z1436,AD1436)</f>
        <v>0</v>
      </c>
      <c r="AK1436" s="80">
        <f>IF(AND(AB1436=1,AH1436=1),MAX(0,MIN(IF(AC1436=1,1440,AA1436),CFG_WEM)-MAX(Z1436,CFG_WSM)),0)</f>
        <v>0</v>
      </c>
      <c r="AL1436" s="80">
        <f>IF(AND(AC1436=1,AI1436=1),MAX(0,MIN(AA1436,CFG_WEM)-CFG_WSM),0)</f>
        <v>0</v>
      </c>
      <c r="AM1436" s="80">
        <f>AK1436+AL1436</f>
        <v>0</v>
      </c>
      <c r="AN1436" s="80">
        <f>IF(CFG_BRK="Proporcional",IF(AD1436=0,0,AF1436*AM1436/AD1436),IF(CFG_BRK="Extras primero",MIN(AM1436,MAX(0,AF1436-(AD1436-AM1436))),MIN(AF1436,AM1436)))</f>
        <v>0</v>
      </c>
      <c r="AO1436" s="80">
        <f>AF1436-AN1436</f>
        <v>0</v>
      </c>
      <c r="AP1436" s="80">
        <f>AM1436-AN1436</f>
        <v>0</v>
      </c>
      <c r="AQ1436" s="80">
        <f>AD1436-AM1436-AO1436</f>
        <v>0</v>
      </c>
      <c r="AR1436" s="80">
        <f>IF(AM1436=0,0,AK1436-AN1436*AK1436/AM1436)</f>
        <v>0</v>
      </c>
      <c r="AS1436" s="80">
        <f>IF(AD1436-AM1436=0,0,(AJ1436-AK1436)-AO1436*(AJ1436-AK1436)/(AD1436-AM1436))</f>
        <v>0</v>
      </c>
      <c r="AT1436" s="80" t="str">
        <f>IF(AC1436=1,INT(B1436)+1,"")</f>
        <v/>
      </c>
      <c r="AU1436" s="80">
        <f>IF(AND(D1436="proMX",R1436="Cancelled"),0,1)</f>
        <v>1</v>
      </c>
      <c r="AV1436" s="80">
        <f>IF(AND(AB1436=1,AU1436=1),IF(COUNTIFS($D$5:D1435,D1436,$B$5:B1435,B1436,$Z$5:Z1435,Z1436,$AA$5:AA1435,AA1436,$F$5:F1435,F1436&amp;"",$AU$5:AU1435,1)&gt;0,1,0),0)</f>
        <v>0</v>
      </c>
      <c r="AW1436" s="80" t="str">
        <f>IF(AB1436=1,INT(B1436)*1440+Z1436,"")</f>
        <v/>
      </c>
      <c r="AX1436" s="80" t="str">
        <f>IF(AB1436=1,AW1436+AD1436,"")</f>
        <v/>
      </c>
      <c r="AY1436" s="80">
        <f>IF(AND(AB1436=1,AV1436=0,AU1436=1),1,0)</f>
        <v>0</v>
      </c>
      <c r="AZ1436" s="80">
        <f>IF(AY1436=1,COUNTIFS(R_Emp,D1436,R_SAbs,"&lt;"&amp;AX1436,R_EAbs,"&gt;"&amp;AW1436,R_OKey,1)-1,0)</f>
        <v>0</v>
      </c>
      <c r="BA1436" s="80">
        <f>IF(AY1436=1,COUNTIFS(R_Emp,"&lt;&gt;"&amp;D1436,R_SAbs,"&lt;"&amp;AX1436,R_EAbs,"&gt;"&amp;AW1436,R_OKey,1),0)</f>
        <v>0</v>
      </c>
      <c r="BB1436" s="80">
        <f>IF(AND(AB1436=1,D1436="proMX"),IF(AND(MOD(Z1436,CFG_BLK)=0,MOD(AA1436,CFG_BLK)=0,MOD(AG1436,CFG_BLK)=0,AG1436&gt;0),1,0),1)</f>
        <v>1</v>
      </c>
      <c r="BC1436" s="80" t="str">
        <f>IF(Y1436=0,"",IF(NOT(ISNUMBER(B1436)),"Falta fecha o fecha inválida",IF(D1436="","Falta empresa",IF(AND(D1436&lt;&gt;"Malcolm",D1436&lt;&gt;"proMX"),"Empresa inválida",IF(OR(INT(B1436)&lt;CFG_PSTART,INT(B1436)&gt;CFG_PEND),"Fecha fuera del período",IF(OR(NOT(ISNUMBER(Z1436)),NOT(ISNUMBER(AA1436))),"Falta hora inicio/fin o formato inválido",IF(AB1436=0,"Hora inicio = hora fin",IF(AE1436&lt;0,"Descanso inválido",IF(AE1436&gt;=AD1436,"Descanso ≥ duración",IF(AV1436=1,"Registro duplicado",IF(AZ1436&gt;0,"Se superpone con otro registro "&amp;D1436,IF(BB1436=0,"inicio, fin y duración neta deben ser múltiplos de "&amp;CFG_BLK&amp;" min",""))))))))))))</f>
        <v/>
      </c>
      <c r="BD1436" s="80">
        <f>IF(AND(Y1436=1,BC1436=""),1,0)</f>
        <v>0</v>
      </c>
      <c r="BE1436" s="80">
        <f>IF(AND(BD1436=1,AU1436=1),1,0)</f>
        <v>0</v>
      </c>
      <c r="BF1436" s="80" t="str">
        <f>IF(AND(D1436="proMX",BD1436=1),IF(R1436="","Draft",R1436),"")</f>
        <v/>
      </c>
      <c r="BG1436" s="80">
        <f>IF(BD1436=1,ROUND(AG1436/60,6),0)</f>
        <v>0</v>
      </c>
      <c r="BH1436" s="80">
        <f>IF(BE1436=1,ROUND(AG1436/60,6),0)</f>
        <v>0</v>
      </c>
      <c r="BI1436" s="80">
        <f>IF(BE1436=1,ROUND(AP1436/60,6),0)</f>
        <v>0</v>
      </c>
      <c r="BJ1436" s="80">
        <f>IF(BE1436=1,ROUND(AQ1436/60,6),0)</f>
        <v>0</v>
      </c>
      <c r="BK1436" s="80">
        <f>IF(BE1436=1,ROUND((AR1436+AS1436)/60,6),0)</f>
        <v>0</v>
      </c>
      <c r="BL1436" s="80">
        <f>ROUND(BH1436-BK1436,6)</f>
        <v>0</v>
      </c>
      <c r="BM1436" s="80">
        <f>IF(BE1436=1,ROUND(AR1436/60,6),0)</f>
        <v>0</v>
      </c>
      <c r="BN1436" s="80">
        <f>ROUND(BI1436-BM1436,6)</f>
        <v>0</v>
      </c>
      <c r="BO1436" s="80">
        <f>IF(BE1436=1,ROUND(AS1436/60,6),0)</f>
        <v>0</v>
      </c>
      <c r="BP1436" s="80">
        <f>ROUND(BJ1436-BO1436,6)</f>
        <v>0</v>
      </c>
      <c r="BQ1436" s="80">
        <f>IF(BE1436=1,AW1436,0)</f>
        <v>0</v>
      </c>
      <c r="BR1436" s="80">
        <f>IF(BE1436=1,AX1436,0)</f>
        <v>0</v>
      </c>
      <c r="BS1436" s="80">
        <f>IF(AND(BE1436=1,D1436="Malcolm",BA1436&gt;0),MIN(BH1436,SUMPRODUCT((R_Emp="proMX")*(R_EN&gt;0)*((R_EN-(R_EN&gt;BR1436)*(R_EN-BR1436))&gt;(R_SN+(R_SN&lt;BQ1436)*(BQ1436-R_SN)))*((R_EN-(R_EN&gt;BR1436)*(R_EN-BR1436))-(R_SN+(R_SN&lt;BQ1436)*(BQ1436-R_SN))))/60),0)</f>
        <v>0</v>
      </c>
      <c r="BT1436" s="80">
        <f>IF(AND(BE1436=1,D1436="proMX"),ROUND(BI1436*CFG_RATE+BJ1436*CFG_OTRATE,6),0)</f>
        <v>0</v>
      </c>
      <c r="BU1436" s="80">
        <f>IF(AND(BD1436=1,D1436="proMX"),ROUND(AG1436/CFG_BLK,6),0)</f>
        <v>0</v>
      </c>
      <c r="BV1436" s="80" t="str">
        <f>IF(BF1436="Approved",IF(ISNUMBER(T1436),INT(T1436),INT(B1436)),"")</f>
        <v/>
      </c>
      <c r="BW1436" s="80">
        <f>IF(ISNUMBER(B1436),IF(DB_MON="Todos",1,IF(AND(INT(B1436)&gt;=DB_MS,INT(B1436)&lt;=DB_ME),1,0)),0)</f>
        <v>0</v>
      </c>
      <c r="BX1436" s="80">
        <f>IF(DB_PROJ="Todos",1,IF(E1436&amp;""=DB_PROJ&amp;"",1,0))</f>
        <v>1</v>
      </c>
      <c r="BY1436" s="80">
        <f>BW1436*BX1436</f>
        <v>0</v>
      </c>
      <c r="BZ1436" s="80" t="str">
        <f>IF(Y1436=1,F1436&amp;IF(AND(F1436&amp;""&lt;&gt;"",E1436&amp;""&lt;&gt;"")," · ","")&amp;E1436,"")</f>
        <v/>
      </c>
      <c r="CA1436" s="80" t="str">
        <f>IF(AND(BD1436=1,E1436&amp;""&lt;&gt;""),IF(COUNTIFS($E$5:E1435,E1436,$BD$5:BD1435,1)=0,MAX($CA$5:CA1435)+1,""),"")</f>
        <v/>
      </c>
      <c r="CB1436" s="80" t="str">
        <f>IF(AND(BE1436=1,D1436="Malcolm",E1436&amp;""&lt;&gt;""),IF(COUNTIFS($D$5:D1435,"Malcolm",$E$5:E1435,E1436,$BE$5:BE1435,1)=0,MAX($CB$5:CB1435)+1,""),"")</f>
        <v/>
      </c>
      <c r="CC1436" s="80" t="str">
        <f>IF(AND(BD1436=1,D1436="proMX",E1436&amp;""&lt;&gt;""),IF(COUNTIFS($D$5:D1435,"proMX",$E$5:E1435,E1436,$BD$5:BD1435,1)=0,MAX($CC$5:CC1435)+1,""),"")</f>
        <v/>
      </c>
      <c r="CD1436" s="80" t="str">
        <f>IF(AND(BE1436=1,D1436="Malcolm",F1436&amp;""&lt;&gt;""),IF(COUNTIFS($D$5:D1435,"Malcolm",$F$5:F1435,F1436,$BE$5:BE1435,1)=0,MAX($CD$5:CD1435)+1,""),"")</f>
        <v/>
      </c>
      <c r="CE1436" s="80" t="str">
        <f>IF(AND(BD1436=1,D1436="proMX",F1436&amp;""&lt;&gt;""),IF(COUNTIFS($D$5:D1435,"proMX",$F$5:F1435,F1436,$BD$5:BD1435,1)=0,MAX($CE$5:CE1435)+1,""),"")</f>
        <v/>
      </c>
      <c r="CF1436" s="80" t="str">
        <f>IF(AND(D1436="proMX",BD1436=1),IF(OR(BF1436="Draft",BF1436="Submitted",BF1436="Returned",BF1436="Recall Requested"),MAX($CF$5:CF1435)+1,""),"")</f>
        <v/>
      </c>
      <c r="CG1436" s="80">
        <f>IF(BD1436=0,0,IF(D1436="Malcolm",1,MATCH(BF1436,{"Draft","Submitted","Approved","Returned","Recall Requested","Cancelled"},0)+1))</f>
        <v>0</v>
      </c>
      <c r="CH1436" s="80">
        <f>IF(AND(BF1436="Submitted",ISNUMBER(V1436)),IF(V1436&gt;CFG_MAXD,1,0),0)</f>
        <v>0</v>
      </c>
    </row>
    <row r="1437">
      <c r="A1437" s="71" t="str">
        <f>IF(Y1437=1,ROW()-5,"")</f>
        <v/>
      </c>
      <c r="B1437" s="72" t="n"/>
      <c r="C1437" s="71" t="str">
        <f>IF(ISNUMBER(B1437),CHOOSE(WEEKDAY(B1437,2),"Lun","Mar","Mié","Jue","Vie","Sáb","Dom"),"")</f>
        <v/>
      </c>
      <c r="D1437" s="73" t="n"/>
      <c r="E1437" s="74" t="n"/>
      <c r="F1437" s="74" t="n"/>
      <c r="G1437" s="74" t="n"/>
      <c r="H1437" s="75" t="n"/>
      <c r="I1437" s="75" t="n"/>
      <c r="J1437" s="76" t="n"/>
      <c r="K1437" s="77" t="str">
        <f>IF(AB1437=1,ROUND(AG1437/60,4),"")</f>
        <v/>
      </c>
      <c r="L1437" s="77" t="str">
        <f>IF(BD1437=1,ROUND(AP1437/60,4),"")</f>
        <v/>
      </c>
      <c r="M1437" s="77" t="str">
        <f>IF(BD1437=1,ROUND(AQ1437/60,4),"")</f>
        <v/>
      </c>
      <c r="N1437" s="71" t="str">
        <f>IF(AND(D1437="proMX",AB1437=1),ROUND(AG1437/CFG_BLK,2),"")</f>
        <v/>
      </c>
      <c r="O1437" s="77" t="str">
        <f>IF(D1437="proMX",IF(BD1437=1,ROUND(AG1437/60,4),0),"")</f>
        <v/>
      </c>
      <c r="P1437" s="78" t="str">
        <f>IF(Y1437=0,"",IF(BD1437=1,"OK",IF(D1437="proMX","Revisar bloques: ","Revisar: ")&amp;BC1437))</f>
        <v/>
      </c>
      <c r="Q1437" s="78" t="str">
        <f>IF(NOT(ISNUMBER(B1437)),"",IF(COUNTIFS(FER_F,INT(B1437))&gt;0,"Feriado"&amp;IF(AH1437=1," (laborable)"," (no laborable)"),IF(AH1437=1,"Laborable",IF(WEEKDAY(B1437,2)&gt;5,"Fin de semana","No laborable"))))</f>
        <v/>
      </c>
      <c r="R1437" s="73" t="n"/>
      <c r="S1437" s="72" t="n"/>
      <c r="T1437" s="72" t="n"/>
      <c r="U1437" s="74" t="n"/>
      <c r="V1437" s="79" t="str">
        <f>IF(AND(D1437="proMX",OR(R1437="Submitted",R1437="Recall Requested"),ISNUMBER(S1437)),CFG_TODAY-INT(S1437),"")</f>
        <v/>
      </c>
      <c r="W1437" s="78" t="str">
        <f>IF(BD1437=0,"",IF(BA1437&gt;0,"⚠ Se superpone con un registro de la otra empresa",IF(D1437="Malcolm",IF(COUNTA(R1437,S1437,T1437)&gt;0,"Estado/fechas proMX se ignoran en Malcolm",""),IF(BF1437="Cancelled","Cancelado: excluido de totales",IF(R1437="","Sin estado: se trata como Draft",IF(BF1437="Submitted",IF(ISNUMBER(V1437),IF(V1437&gt;CFG_MAXD,"⚠ "&amp;V1437&amp;" días en Submitted (máx. "&amp;CFG_MAXD&amp;")",""),"Falta fecha de envío"),IF(BF1437="Returned","⚠ Devuelto: corregir y reenviar",IF(BF1437="Recall Requested","Retirada solicitada: pendiente",IF(AND(BF1437="Approved",NOT(ISNUMBER(T1437))),"Falta fecha de aprobación",IF(AND(ISNUMBER(S1437),ISNUMBER(T1437),T1437&lt;S1437),"Aprobación anterior al envío","")))))))))</f>
        <v/>
      </c>
      <c r="Y1437" s="80">
        <f>IF(COUNTA(B1437,D1437,E1437,F1437,G1437,H1437,I1437,J1437,R1437,S1437,T1437)&gt;0,1,0)</f>
        <v>0</v>
      </c>
      <c r="Z1437" s="80" t="str">
        <f>IF(AND(ISNUMBER(H1437),H1437&gt;=0,H1437&lt;1),ROUND(H1437*1440,0),"")</f>
        <v/>
      </c>
      <c r="AA1437" s="80" t="str">
        <f>IF(AND(ISNUMBER(I1437),I1437&gt;=0,I1437&lt;1),ROUND(I1437*1440,0),"")</f>
        <v/>
      </c>
      <c r="AB1437" s="80">
        <f>IF(AND(ISNUMBER(B1437),D1437&lt;&gt;"",ISNUMBER(Z1437),ISNUMBER(AA1437)),IF(Z1437=AA1437,0,1),0)</f>
        <v>0</v>
      </c>
      <c r="AC1437" s="80">
        <f>IF(AB1437=1,IF(AA1437&lt;Z1437,1,0),0)</f>
        <v>0</v>
      </c>
      <c r="AD1437" s="80">
        <f>IF(AB1437=1,IF(AC1437=1,1440-Z1437+AA1437,AA1437-Z1437),0)</f>
        <v>0</v>
      </c>
      <c r="AE1437" s="80">
        <f>IF(J1437="",0,IF(ISNUMBER(J1437),J1437,-1))</f>
        <v>0</v>
      </c>
      <c r="AF1437" s="80">
        <f>MIN(MAX(0,AE1437),AD1437)</f>
        <v>0</v>
      </c>
      <c r="AG1437" s="80">
        <f>MAX(0,AD1437-MAX(0,AE1437))</f>
        <v>0</v>
      </c>
      <c r="AH1437" s="80">
        <f>IF(ISNUMBER(B1437),IF(AND(INDEX(CFG_WDAYS,WEEKDAY(INT(B1437),2))="Sí",IF(D1437="proMX",COUNTIFS(FER_F,INT(B1437),FER_NLP,"Sí"),COUNTIFS(FER_F,INT(B1437),FER_NLM,"Sí"))=0),1,0),0)</f>
        <v>0</v>
      </c>
      <c r="AI1437" s="80">
        <f>IF(AC1437=1,IF(AND(INDEX(CFG_WDAYS,WEEKDAY(INT(B1437)+1,2))="Sí",IF(D1437="proMX",COUNTIFS(FER_F,INT(B1437)+1,FER_NLP,"Sí"),COUNTIFS(FER_F,INT(B1437)+1,FER_NLM,"Sí"))=0),1,0),0)</f>
        <v>0</v>
      </c>
      <c r="AJ1437" s="80">
        <f>IF(AC1437=1,1440-Z1437,AD1437)</f>
        <v>0</v>
      </c>
      <c r="AK1437" s="80">
        <f>IF(AND(AB1437=1,AH1437=1),MAX(0,MIN(IF(AC1437=1,1440,AA1437),CFG_WEM)-MAX(Z1437,CFG_WSM)),0)</f>
        <v>0</v>
      </c>
      <c r="AL1437" s="80">
        <f>IF(AND(AC1437=1,AI1437=1),MAX(0,MIN(AA1437,CFG_WEM)-CFG_WSM),0)</f>
        <v>0</v>
      </c>
      <c r="AM1437" s="80">
        <f>AK1437+AL1437</f>
        <v>0</v>
      </c>
      <c r="AN1437" s="80">
        <f>IF(CFG_BRK="Proporcional",IF(AD1437=0,0,AF1437*AM1437/AD1437),IF(CFG_BRK="Extras primero",MIN(AM1437,MAX(0,AF1437-(AD1437-AM1437))),MIN(AF1437,AM1437)))</f>
        <v>0</v>
      </c>
      <c r="AO1437" s="80">
        <f>AF1437-AN1437</f>
        <v>0</v>
      </c>
      <c r="AP1437" s="80">
        <f>AM1437-AN1437</f>
        <v>0</v>
      </c>
      <c r="AQ1437" s="80">
        <f>AD1437-AM1437-AO1437</f>
        <v>0</v>
      </c>
      <c r="AR1437" s="80">
        <f>IF(AM1437=0,0,AK1437-AN1437*AK1437/AM1437)</f>
        <v>0</v>
      </c>
      <c r="AS1437" s="80">
        <f>IF(AD1437-AM1437=0,0,(AJ1437-AK1437)-AO1437*(AJ1437-AK1437)/(AD1437-AM1437))</f>
        <v>0</v>
      </c>
      <c r="AT1437" s="80" t="str">
        <f>IF(AC1437=1,INT(B1437)+1,"")</f>
        <v/>
      </c>
      <c r="AU1437" s="80">
        <f>IF(AND(D1437="proMX",R1437="Cancelled"),0,1)</f>
        <v>1</v>
      </c>
      <c r="AV1437" s="80">
        <f>IF(AND(AB1437=1,AU1437=1),IF(COUNTIFS($D$5:D1436,D1437,$B$5:B1436,B1437,$Z$5:Z1436,Z1437,$AA$5:AA1436,AA1437,$F$5:F1436,F1437&amp;"",$AU$5:AU1436,1)&gt;0,1,0),0)</f>
        <v>0</v>
      </c>
      <c r="AW1437" s="80" t="str">
        <f>IF(AB1437=1,INT(B1437)*1440+Z1437,"")</f>
        <v/>
      </c>
      <c r="AX1437" s="80" t="str">
        <f>IF(AB1437=1,AW1437+AD1437,"")</f>
        <v/>
      </c>
      <c r="AY1437" s="80">
        <f>IF(AND(AB1437=1,AV1437=0,AU1437=1),1,0)</f>
        <v>0</v>
      </c>
      <c r="AZ1437" s="80">
        <f>IF(AY1437=1,COUNTIFS(R_Emp,D1437,R_SAbs,"&lt;"&amp;AX1437,R_EAbs,"&gt;"&amp;AW1437,R_OKey,1)-1,0)</f>
        <v>0</v>
      </c>
      <c r="BA1437" s="80">
        <f>IF(AY1437=1,COUNTIFS(R_Emp,"&lt;&gt;"&amp;D1437,R_SAbs,"&lt;"&amp;AX1437,R_EAbs,"&gt;"&amp;AW1437,R_OKey,1),0)</f>
        <v>0</v>
      </c>
      <c r="BB1437" s="80">
        <f>IF(AND(AB1437=1,D1437="proMX"),IF(AND(MOD(Z1437,CFG_BLK)=0,MOD(AA1437,CFG_BLK)=0,MOD(AG1437,CFG_BLK)=0,AG1437&gt;0),1,0),1)</f>
        <v>1</v>
      </c>
      <c r="BC1437" s="80" t="str">
        <f>IF(Y1437=0,"",IF(NOT(ISNUMBER(B1437)),"Falta fecha o fecha inválida",IF(D1437="","Falta empresa",IF(AND(D1437&lt;&gt;"Malcolm",D1437&lt;&gt;"proMX"),"Empresa inválida",IF(OR(INT(B1437)&lt;CFG_PSTART,INT(B1437)&gt;CFG_PEND),"Fecha fuera del período",IF(OR(NOT(ISNUMBER(Z1437)),NOT(ISNUMBER(AA1437))),"Falta hora inicio/fin o formato inválido",IF(AB1437=0,"Hora inicio = hora fin",IF(AE1437&lt;0,"Descanso inválido",IF(AE1437&gt;=AD1437,"Descanso ≥ duración",IF(AV1437=1,"Registro duplicado",IF(AZ1437&gt;0,"Se superpone con otro registro "&amp;D1437,IF(BB1437=0,"inicio, fin y duración neta deben ser múltiplos de "&amp;CFG_BLK&amp;" min",""))))))))))))</f>
        <v/>
      </c>
      <c r="BD1437" s="80">
        <f>IF(AND(Y1437=1,BC1437=""),1,0)</f>
        <v>0</v>
      </c>
      <c r="BE1437" s="80">
        <f>IF(AND(BD1437=1,AU1437=1),1,0)</f>
        <v>0</v>
      </c>
      <c r="BF1437" s="80" t="str">
        <f>IF(AND(D1437="proMX",BD1437=1),IF(R1437="","Draft",R1437),"")</f>
        <v/>
      </c>
      <c r="BG1437" s="80">
        <f>IF(BD1437=1,ROUND(AG1437/60,6),0)</f>
        <v>0</v>
      </c>
      <c r="BH1437" s="80">
        <f>IF(BE1437=1,ROUND(AG1437/60,6),0)</f>
        <v>0</v>
      </c>
      <c r="BI1437" s="80">
        <f>IF(BE1437=1,ROUND(AP1437/60,6),0)</f>
        <v>0</v>
      </c>
      <c r="BJ1437" s="80">
        <f>IF(BE1437=1,ROUND(AQ1437/60,6),0)</f>
        <v>0</v>
      </c>
      <c r="BK1437" s="80">
        <f>IF(BE1437=1,ROUND((AR1437+AS1437)/60,6),0)</f>
        <v>0</v>
      </c>
      <c r="BL1437" s="80">
        <f>ROUND(BH1437-BK1437,6)</f>
        <v>0</v>
      </c>
      <c r="BM1437" s="80">
        <f>IF(BE1437=1,ROUND(AR1437/60,6),0)</f>
        <v>0</v>
      </c>
      <c r="BN1437" s="80">
        <f>ROUND(BI1437-BM1437,6)</f>
        <v>0</v>
      </c>
      <c r="BO1437" s="80">
        <f>IF(BE1437=1,ROUND(AS1437/60,6),0)</f>
        <v>0</v>
      </c>
      <c r="BP1437" s="80">
        <f>ROUND(BJ1437-BO1437,6)</f>
        <v>0</v>
      </c>
      <c r="BQ1437" s="80">
        <f>IF(BE1437=1,AW1437,0)</f>
        <v>0</v>
      </c>
      <c r="BR1437" s="80">
        <f>IF(BE1437=1,AX1437,0)</f>
        <v>0</v>
      </c>
      <c r="BS1437" s="80">
        <f>IF(AND(BE1437=1,D1437="Malcolm",BA1437&gt;0),MIN(BH1437,SUMPRODUCT((R_Emp="proMX")*(R_EN&gt;0)*((R_EN-(R_EN&gt;BR1437)*(R_EN-BR1437))&gt;(R_SN+(R_SN&lt;BQ1437)*(BQ1437-R_SN)))*((R_EN-(R_EN&gt;BR1437)*(R_EN-BR1437))-(R_SN+(R_SN&lt;BQ1437)*(BQ1437-R_SN))))/60),0)</f>
        <v>0</v>
      </c>
      <c r="BT1437" s="80">
        <f>IF(AND(BE1437=1,D1437="proMX"),ROUND(BI1437*CFG_RATE+BJ1437*CFG_OTRATE,6),0)</f>
        <v>0</v>
      </c>
      <c r="BU1437" s="80">
        <f>IF(AND(BD1437=1,D1437="proMX"),ROUND(AG1437/CFG_BLK,6),0)</f>
        <v>0</v>
      </c>
      <c r="BV1437" s="80" t="str">
        <f>IF(BF1437="Approved",IF(ISNUMBER(T1437),INT(T1437),INT(B1437)),"")</f>
        <v/>
      </c>
      <c r="BW1437" s="80">
        <f>IF(ISNUMBER(B1437),IF(DB_MON="Todos",1,IF(AND(INT(B1437)&gt;=DB_MS,INT(B1437)&lt;=DB_ME),1,0)),0)</f>
        <v>0</v>
      </c>
      <c r="BX1437" s="80">
        <f>IF(DB_PROJ="Todos",1,IF(E1437&amp;""=DB_PROJ&amp;"",1,0))</f>
        <v>1</v>
      </c>
      <c r="BY1437" s="80">
        <f>BW1437*BX1437</f>
        <v>0</v>
      </c>
      <c r="BZ1437" s="80" t="str">
        <f>IF(Y1437=1,F1437&amp;IF(AND(F1437&amp;""&lt;&gt;"",E1437&amp;""&lt;&gt;"")," · ","")&amp;E1437,"")</f>
        <v/>
      </c>
      <c r="CA1437" s="80" t="str">
        <f>IF(AND(BD1437=1,E1437&amp;""&lt;&gt;""),IF(COUNTIFS($E$5:E1436,E1437,$BD$5:BD1436,1)=0,MAX($CA$5:CA1436)+1,""),"")</f>
        <v/>
      </c>
      <c r="CB1437" s="80" t="str">
        <f>IF(AND(BE1437=1,D1437="Malcolm",E1437&amp;""&lt;&gt;""),IF(COUNTIFS($D$5:D1436,"Malcolm",$E$5:E1436,E1437,$BE$5:BE1436,1)=0,MAX($CB$5:CB1436)+1,""),"")</f>
        <v/>
      </c>
      <c r="CC1437" s="80" t="str">
        <f>IF(AND(BD1437=1,D1437="proMX",E1437&amp;""&lt;&gt;""),IF(COUNTIFS($D$5:D1436,"proMX",$E$5:E1436,E1437,$BD$5:BD1436,1)=0,MAX($CC$5:CC1436)+1,""),"")</f>
        <v/>
      </c>
      <c r="CD1437" s="80" t="str">
        <f>IF(AND(BE1437=1,D1437="Malcolm",F1437&amp;""&lt;&gt;""),IF(COUNTIFS($D$5:D1436,"Malcolm",$F$5:F1436,F1437,$BE$5:BE1436,1)=0,MAX($CD$5:CD1436)+1,""),"")</f>
        <v/>
      </c>
      <c r="CE1437" s="80" t="str">
        <f>IF(AND(BD1437=1,D1437="proMX",F1437&amp;""&lt;&gt;""),IF(COUNTIFS($D$5:D1436,"proMX",$F$5:F1436,F1437,$BD$5:BD1436,1)=0,MAX($CE$5:CE1436)+1,""),"")</f>
        <v/>
      </c>
      <c r="CF1437" s="80" t="str">
        <f>IF(AND(D1437="proMX",BD1437=1),IF(OR(BF1437="Draft",BF1437="Submitted",BF1437="Returned",BF1437="Recall Requested"),MAX($CF$5:CF1436)+1,""),"")</f>
        <v/>
      </c>
      <c r="CG1437" s="80">
        <f>IF(BD1437=0,0,IF(D1437="Malcolm",1,MATCH(BF1437,{"Draft","Submitted","Approved","Returned","Recall Requested","Cancelled"},0)+1))</f>
        <v>0</v>
      </c>
      <c r="CH1437" s="80">
        <f>IF(AND(BF1437="Submitted",ISNUMBER(V1437)),IF(V1437&gt;CFG_MAXD,1,0),0)</f>
        <v>0</v>
      </c>
    </row>
    <row r="1438">
      <c r="A1438" s="71" t="str">
        <f>IF(Y1438=1,ROW()-5,"")</f>
        <v/>
      </c>
      <c r="B1438" s="72" t="n"/>
      <c r="C1438" s="71" t="str">
        <f>IF(ISNUMBER(B1438),CHOOSE(WEEKDAY(B1438,2),"Lun","Mar","Mié","Jue","Vie","Sáb","Dom"),"")</f>
        <v/>
      </c>
      <c r="D1438" s="73" t="n"/>
      <c r="E1438" s="74" t="n"/>
      <c r="F1438" s="74" t="n"/>
      <c r="G1438" s="74" t="n"/>
      <c r="H1438" s="75" t="n"/>
      <c r="I1438" s="75" t="n"/>
      <c r="J1438" s="76" t="n"/>
      <c r="K1438" s="77" t="str">
        <f>IF(AB1438=1,ROUND(AG1438/60,4),"")</f>
        <v/>
      </c>
      <c r="L1438" s="77" t="str">
        <f>IF(BD1438=1,ROUND(AP1438/60,4),"")</f>
        <v/>
      </c>
      <c r="M1438" s="77" t="str">
        <f>IF(BD1438=1,ROUND(AQ1438/60,4),"")</f>
        <v/>
      </c>
      <c r="N1438" s="71" t="str">
        <f>IF(AND(D1438="proMX",AB1438=1),ROUND(AG1438/CFG_BLK,2),"")</f>
        <v/>
      </c>
      <c r="O1438" s="77" t="str">
        <f>IF(D1438="proMX",IF(BD1438=1,ROUND(AG1438/60,4),0),"")</f>
        <v/>
      </c>
      <c r="P1438" s="78" t="str">
        <f>IF(Y1438=0,"",IF(BD1438=1,"OK",IF(D1438="proMX","Revisar bloques: ","Revisar: ")&amp;BC1438))</f>
        <v/>
      </c>
      <c r="Q1438" s="78" t="str">
        <f>IF(NOT(ISNUMBER(B1438)),"",IF(COUNTIFS(FER_F,INT(B1438))&gt;0,"Feriado"&amp;IF(AH1438=1," (laborable)"," (no laborable)"),IF(AH1438=1,"Laborable",IF(WEEKDAY(B1438,2)&gt;5,"Fin de semana","No laborable"))))</f>
        <v/>
      </c>
      <c r="R1438" s="73" t="n"/>
      <c r="S1438" s="72" t="n"/>
      <c r="T1438" s="72" t="n"/>
      <c r="U1438" s="74" t="n"/>
      <c r="V1438" s="79" t="str">
        <f>IF(AND(D1438="proMX",OR(R1438="Submitted",R1438="Recall Requested"),ISNUMBER(S1438)),CFG_TODAY-INT(S1438),"")</f>
        <v/>
      </c>
      <c r="W1438" s="78" t="str">
        <f>IF(BD1438=0,"",IF(BA1438&gt;0,"⚠ Se superpone con un registro de la otra empresa",IF(D1438="Malcolm",IF(COUNTA(R1438,S1438,T1438)&gt;0,"Estado/fechas proMX se ignoran en Malcolm",""),IF(BF1438="Cancelled","Cancelado: excluido de totales",IF(R1438="","Sin estado: se trata como Draft",IF(BF1438="Submitted",IF(ISNUMBER(V1438),IF(V1438&gt;CFG_MAXD,"⚠ "&amp;V1438&amp;" días en Submitted (máx. "&amp;CFG_MAXD&amp;")",""),"Falta fecha de envío"),IF(BF1438="Returned","⚠ Devuelto: corregir y reenviar",IF(BF1438="Recall Requested","Retirada solicitada: pendiente",IF(AND(BF1438="Approved",NOT(ISNUMBER(T1438))),"Falta fecha de aprobación",IF(AND(ISNUMBER(S1438),ISNUMBER(T1438),T1438&lt;S1438),"Aprobación anterior al envío","")))))))))</f>
        <v/>
      </c>
      <c r="Y1438" s="80">
        <f>IF(COUNTA(B1438,D1438,E1438,F1438,G1438,H1438,I1438,J1438,R1438,S1438,T1438)&gt;0,1,0)</f>
        <v>0</v>
      </c>
      <c r="Z1438" s="80" t="str">
        <f>IF(AND(ISNUMBER(H1438),H1438&gt;=0,H1438&lt;1),ROUND(H1438*1440,0),"")</f>
        <v/>
      </c>
      <c r="AA1438" s="80" t="str">
        <f>IF(AND(ISNUMBER(I1438),I1438&gt;=0,I1438&lt;1),ROUND(I1438*1440,0),"")</f>
        <v/>
      </c>
      <c r="AB1438" s="80">
        <f>IF(AND(ISNUMBER(B1438),D1438&lt;&gt;"",ISNUMBER(Z1438),ISNUMBER(AA1438)),IF(Z1438=AA1438,0,1),0)</f>
        <v>0</v>
      </c>
      <c r="AC1438" s="80">
        <f>IF(AB1438=1,IF(AA1438&lt;Z1438,1,0),0)</f>
        <v>0</v>
      </c>
      <c r="AD1438" s="80">
        <f>IF(AB1438=1,IF(AC1438=1,1440-Z1438+AA1438,AA1438-Z1438),0)</f>
        <v>0</v>
      </c>
      <c r="AE1438" s="80">
        <f>IF(J1438="",0,IF(ISNUMBER(J1438),J1438,-1))</f>
        <v>0</v>
      </c>
      <c r="AF1438" s="80">
        <f>MIN(MAX(0,AE1438),AD1438)</f>
        <v>0</v>
      </c>
      <c r="AG1438" s="80">
        <f>MAX(0,AD1438-MAX(0,AE1438))</f>
        <v>0</v>
      </c>
      <c r="AH1438" s="80">
        <f>IF(ISNUMBER(B1438),IF(AND(INDEX(CFG_WDAYS,WEEKDAY(INT(B1438),2))="Sí",IF(D1438="proMX",COUNTIFS(FER_F,INT(B1438),FER_NLP,"Sí"),COUNTIFS(FER_F,INT(B1438),FER_NLM,"Sí"))=0),1,0),0)</f>
        <v>0</v>
      </c>
      <c r="AI1438" s="80">
        <f>IF(AC1438=1,IF(AND(INDEX(CFG_WDAYS,WEEKDAY(INT(B1438)+1,2))="Sí",IF(D1438="proMX",COUNTIFS(FER_F,INT(B1438)+1,FER_NLP,"Sí"),COUNTIFS(FER_F,INT(B1438)+1,FER_NLM,"Sí"))=0),1,0),0)</f>
        <v>0</v>
      </c>
      <c r="AJ1438" s="80">
        <f>IF(AC1438=1,1440-Z1438,AD1438)</f>
        <v>0</v>
      </c>
      <c r="AK1438" s="80">
        <f>IF(AND(AB1438=1,AH1438=1),MAX(0,MIN(IF(AC1438=1,1440,AA1438),CFG_WEM)-MAX(Z1438,CFG_WSM)),0)</f>
        <v>0</v>
      </c>
      <c r="AL1438" s="80">
        <f>IF(AND(AC1438=1,AI1438=1),MAX(0,MIN(AA1438,CFG_WEM)-CFG_WSM),0)</f>
        <v>0</v>
      </c>
      <c r="AM1438" s="80">
        <f>AK1438+AL1438</f>
        <v>0</v>
      </c>
      <c r="AN1438" s="80">
        <f>IF(CFG_BRK="Proporcional",IF(AD1438=0,0,AF1438*AM1438/AD1438),IF(CFG_BRK="Extras primero",MIN(AM1438,MAX(0,AF1438-(AD1438-AM1438))),MIN(AF1438,AM1438)))</f>
        <v>0</v>
      </c>
      <c r="AO1438" s="80">
        <f>AF1438-AN1438</f>
        <v>0</v>
      </c>
      <c r="AP1438" s="80">
        <f>AM1438-AN1438</f>
        <v>0</v>
      </c>
      <c r="AQ1438" s="80">
        <f>AD1438-AM1438-AO1438</f>
        <v>0</v>
      </c>
      <c r="AR1438" s="80">
        <f>IF(AM1438=0,0,AK1438-AN1438*AK1438/AM1438)</f>
        <v>0</v>
      </c>
      <c r="AS1438" s="80">
        <f>IF(AD1438-AM1438=0,0,(AJ1438-AK1438)-AO1438*(AJ1438-AK1438)/(AD1438-AM1438))</f>
        <v>0</v>
      </c>
      <c r="AT1438" s="80" t="str">
        <f>IF(AC1438=1,INT(B1438)+1,"")</f>
        <v/>
      </c>
      <c r="AU1438" s="80">
        <f>IF(AND(D1438="proMX",R1438="Cancelled"),0,1)</f>
        <v>1</v>
      </c>
      <c r="AV1438" s="80">
        <f>IF(AND(AB1438=1,AU1438=1),IF(COUNTIFS($D$5:D1437,D1438,$B$5:B1437,B1438,$Z$5:Z1437,Z1438,$AA$5:AA1437,AA1438,$F$5:F1437,F1438&amp;"",$AU$5:AU1437,1)&gt;0,1,0),0)</f>
        <v>0</v>
      </c>
      <c r="AW1438" s="80" t="str">
        <f>IF(AB1438=1,INT(B1438)*1440+Z1438,"")</f>
        <v/>
      </c>
      <c r="AX1438" s="80" t="str">
        <f>IF(AB1438=1,AW1438+AD1438,"")</f>
        <v/>
      </c>
      <c r="AY1438" s="80">
        <f>IF(AND(AB1438=1,AV1438=0,AU1438=1),1,0)</f>
        <v>0</v>
      </c>
      <c r="AZ1438" s="80">
        <f>IF(AY1438=1,COUNTIFS(R_Emp,D1438,R_SAbs,"&lt;"&amp;AX1438,R_EAbs,"&gt;"&amp;AW1438,R_OKey,1)-1,0)</f>
        <v>0</v>
      </c>
      <c r="BA1438" s="80">
        <f>IF(AY1438=1,COUNTIFS(R_Emp,"&lt;&gt;"&amp;D1438,R_SAbs,"&lt;"&amp;AX1438,R_EAbs,"&gt;"&amp;AW1438,R_OKey,1),0)</f>
        <v>0</v>
      </c>
      <c r="BB1438" s="80">
        <f>IF(AND(AB1438=1,D1438="proMX"),IF(AND(MOD(Z1438,CFG_BLK)=0,MOD(AA1438,CFG_BLK)=0,MOD(AG1438,CFG_BLK)=0,AG1438&gt;0),1,0),1)</f>
        <v>1</v>
      </c>
      <c r="BC1438" s="80" t="str">
        <f>IF(Y1438=0,"",IF(NOT(ISNUMBER(B1438)),"Falta fecha o fecha inválida",IF(D1438="","Falta empresa",IF(AND(D1438&lt;&gt;"Malcolm",D1438&lt;&gt;"proMX"),"Empresa inválida",IF(OR(INT(B1438)&lt;CFG_PSTART,INT(B1438)&gt;CFG_PEND),"Fecha fuera del período",IF(OR(NOT(ISNUMBER(Z1438)),NOT(ISNUMBER(AA1438))),"Falta hora inicio/fin o formato inválido",IF(AB1438=0,"Hora inicio = hora fin",IF(AE1438&lt;0,"Descanso inválido",IF(AE1438&gt;=AD1438,"Descanso ≥ duración",IF(AV1438=1,"Registro duplicado",IF(AZ1438&gt;0,"Se superpone con otro registro "&amp;D1438,IF(BB1438=0,"inicio, fin y duración neta deben ser múltiplos de "&amp;CFG_BLK&amp;" min",""))))))))))))</f>
        <v/>
      </c>
      <c r="BD1438" s="80">
        <f>IF(AND(Y1438=1,BC1438=""),1,0)</f>
        <v>0</v>
      </c>
      <c r="BE1438" s="80">
        <f>IF(AND(BD1438=1,AU1438=1),1,0)</f>
        <v>0</v>
      </c>
      <c r="BF1438" s="80" t="str">
        <f>IF(AND(D1438="proMX",BD1438=1),IF(R1438="","Draft",R1438),"")</f>
        <v/>
      </c>
      <c r="BG1438" s="80">
        <f>IF(BD1438=1,ROUND(AG1438/60,6),0)</f>
        <v>0</v>
      </c>
      <c r="BH1438" s="80">
        <f>IF(BE1438=1,ROUND(AG1438/60,6),0)</f>
        <v>0</v>
      </c>
      <c r="BI1438" s="80">
        <f>IF(BE1438=1,ROUND(AP1438/60,6),0)</f>
        <v>0</v>
      </c>
      <c r="BJ1438" s="80">
        <f>IF(BE1438=1,ROUND(AQ1438/60,6),0)</f>
        <v>0</v>
      </c>
      <c r="BK1438" s="80">
        <f>IF(BE1438=1,ROUND((AR1438+AS1438)/60,6),0)</f>
        <v>0</v>
      </c>
      <c r="BL1438" s="80">
        <f>ROUND(BH1438-BK1438,6)</f>
        <v>0</v>
      </c>
      <c r="BM1438" s="80">
        <f>IF(BE1438=1,ROUND(AR1438/60,6),0)</f>
        <v>0</v>
      </c>
      <c r="BN1438" s="80">
        <f>ROUND(BI1438-BM1438,6)</f>
        <v>0</v>
      </c>
      <c r="BO1438" s="80">
        <f>IF(BE1438=1,ROUND(AS1438/60,6),0)</f>
        <v>0</v>
      </c>
      <c r="BP1438" s="80">
        <f>ROUND(BJ1438-BO1438,6)</f>
        <v>0</v>
      </c>
      <c r="BQ1438" s="80">
        <f>IF(BE1438=1,AW1438,0)</f>
        <v>0</v>
      </c>
      <c r="BR1438" s="80">
        <f>IF(BE1438=1,AX1438,0)</f>
        <v>0</v>
      </c>
      <c r="BS1438" s="80">
        <f>IF(AND(BE1438=1,D1438="Malcolm",BA1438&gt;0),MIN(BH1438,SUMPRODUCT((R_Emp="proMX")*(R_EN&gt;0)*((R_EN-(R_EN&gt;BR1438)*(R_EN-BR1438))&gt;(R_SN+(R_SN&lt;BQ1438)*(BQ1438-R_SN)))*((R_EN-(R_EN&gt;BR1438)*(R_EN-BR1438))-(R_SN+(R_SN&lt;BQ1438)*(BQ1438-R_SN))))/60),0)</f>
        <v>0</v>
      </c>
      <c r="BT1438" s="80">
        <f>IF(AND(BE1438=1,D1438="proMX"),ROUND(BI1438*CFG_RATE+BJ1438*CFG_OTRATE,6),0)</f>
        <v>0</v>
      </c>
      <c r="BU1438" s="80">
        <f>IF(AND(BD1438=1,D1438="proMX"),ROUND(AG1438/CFG_BLK,6),0)</f>
        <v>0</v>
      </c>
      <c r="BV1438" s="80" t="str">
        <f>IF(BF1438="Approved",IF(ISNUMBER(T1438),INT(T1438),INT(B1438)),"")</f>
        <v/>
      </c>
      <c r="BW1438" s="80">
        <f>IF(ISNUMBER(B1438),IF(DB_MON="Todos",1,IF(AND(INT(B1438)&gt;=DB_MS,INT(B1438)&lt;=DB_ME),1,0)),0)</f>
        <v>0</v>
      </c>
      <c r="BX1438" s="80">
        <f>IF(DB_PROJ="Todos",1,IF(E1438&amp;""=DB_PROJ&amp;"",1,0))</f>
        <v>1</v>
      </c>
      <c r="BY1438" s="80">
        <f>BW1438*BX1438</f>
        <v>0</v>
      </c>
      <c r="BZ1438" s="80" t="str">
        <f>IF(Y1438=1,F1438&amp;IF(AND(F1438&amp;""&lt;&gt;"",E1438&amp;""&lt;&gt;"")," · ","")&amp;E1438,"")</f>
        <v/>
      </c>
      <c r="CA1438" s="80" t="str">
        <f>IF(AND(BD1438=1,E1438&amp;""&lt;&gt;""),IF(COUNTIFS($E$5:E1437,E1438,$BD$5:BD1437,1)=0,MAX($CA$5:CA1437)+1,""),"")</f>
        <v/>
      </c>
      <c r="CB1438" s="80" t="str">
        <f>IF(AND(BE1438=1,D1438="Malcolm",E1438&amp;""&lt;&gt;""),IF(COUNTIFS($D$5:D1437,"Malcolm",$E$5:E1437,E1438,$BE$5:BE1437,1)=0,MAX($CB$5:CB1437)+1,""),"")</f>
        <v/>
      </c>
      <c r="CC1438" s="80" t="str">
        <f>IF(AND(BD1438=1,D1438="proMX",E1438&amp;""&lt;&gt;""),IF(COUNTIFS($D$5:D1437,"proMX",$E$5:E1437,E1438,$BD$5:BD1437,1)=0,MAX($CC$5:CC1437)+1,""),"")</f>
        <v/>
      </c>
      <c r="CD1438" s="80" t="str">
        <f>IF(AND(BE1438=1,D1438="Malcolm",F1438&amp;""&lt;&gt;""),IF(COUNTIFS($D$5:D1437,"Malcolm",$F$5:F1437,F1438,$BE$5:BE1437,1)=0,MAX($CD$5:CD1437)+1,""),"")</f>
        <v/>
      </c>
      <c r="CE1438" s="80" t="str">
        <f>IF(AND(BD1438=1,D1438="proMX",F1438&amp;""&lt;&gt;""),IF(COUNTIFS($D$5:D1437,"proMX",$F$5:F1437,F1438,$BD$5:BD1437,1)=0,MAX($CE$5:CE1437)+1,""),"")</f>
        <v/>
      </c>
      <c r="CF1438" s="80" t="str">
        <f>IF(AND(D1438="proMX",BD1438=1),IF(OR(BF1438="Draft",BF1438="Submitted",BF1438="Returned",BF1438="Recall Requested"),MAX($CF$5:CF1437)+1,""),"")</f>
        <v/>
      </c>
      <c r="CG1438" s="80">
        <f>IF(BD1438=0,0,IF(D1438="Malcolm",1,MATCH(BF1438,{"Draft","Submitted","Approved","Returned","Recall Requested","Cancelled"},0)+1))</f>
        <v>0</v>
      </c>
      <c r="CH1438" s="80">
        <f>IF(AND(BF1438="Submitted",ISNUMBER(V1438)),IF(V1438&gt;CFG_MAXD,1,0),0)</f>
        <v>0</v>
      </c>
    </row>
    <row r="1439">
      <c r="A1439" s="71" t="str">
        <f>IF(Y1439=1,ROW()-5,"")</f>
        <v/>
      </c>
      <c r="B1439" s="72" t="n"/>
      <c r="C1439" s="71" t="str">
        <f>IF(ISNUMBER(B1439),CHOOSE(WEEKDAY(B1439,2),"Lun","Mar","Mié","Jue","Vie","Sáb","Dom"),"")</f>
        <v/>
      </c>
      <c r="D1439" s="73" t="n"/>
      <c r="E1439" s="74" t="n"/>
      <c r="F1439" s="74" t="n"/>
      <c r="G1439" s="74" t="n"/>
      <c r="H1439" s="75" t="n"/>
      <c r="I1439" s="75" t="n"/>
      <c r="J1439" s="76" t="n"/>
      <c r="K1439" s="77" t="str">
        <f>IF(AB1439=1,ROUND(AG1439/60,4),"")</f>
        <v/>
      </c>
      <c r="L1439" s="77" t="str">
        <f>IF(BD1439=1,ROUND(AP1439/60,4),"")</f>
        <v/>
      </c>
      <c r="M1439" s="77" t="str">
        <f>IF(BD1439=1,ROUND(AQ1439/60,4),"")</f>
        <v/>
      </c>
      <c r="N1439" s="71" t="str">
        <f>IF(AND(D1439="proMX",AB1439=1),ROUND(AG1439/CFG_BLK,2),"")</f>
        <v/>
      </c>
      <c r="O1439" s="77" t="str">
        <f>IF(D1439="proMX",IF(BD1439=1,ROUND(AG1439/60,4),0),"")</f>
        <v/>
      </c>
      <c r="P1439" s="78" t="str">
        <f>IF(Y1439=0,"",IF(BD1439=1,"OK",IF(D1439="proMX","Revisar bloques: ","Revisar: ")&amp;BC1439))</f>
        <v/>
      </c>
      <c r="Q1439" s="78" t="str">
        <f>IF(NOT(ISNUMBER(B1439)),"",IF(COUNTIFS(FER_F,INT(B1439))&gt;0,"Feriado"&amp;IF(AH1439=1," (laborable)"," (no laborable)"),IF(AH1439=1,"Laborable",IF(WEEKDAY(B1439,2)&gt;5,"Fin de semana","No laborable"))))</f>
        <v/>
      </c>
      <c r="R1439" s="73" t="n"/>
      <c r="S1439" s="72" t="n"/>
      <c r="T1439" s="72" t="n"/>
      <c r="U1439" s="74" t="n"/>
      <c r="V1439" s="79" t="str">
        <f>IF(AND(D1439="proMX",OR(R1439="Submitted",R1439="Recall Requested"),ISNUMBER(S1439)),CFG_TODAY-INT(S1439),"")</f>
        <v/>
      </c>
      <c r="W1439" s="78" t="str">
        <f>IF(BD1439=0,"",IF(BA1439&gt;0,"⚠ Se superpone con un registro de la otra empresa",IF(D1439="Malcolm",IF(COUNTA(R1439,S1439,T1439)&gt;0,"Estado/fechas proMX se ignoran en Malcolm",""),IF(BF1439="Cancelled","Cancelado: excluido de totales",IF(R1439="","Sin estado: se trata como Draft",IF(BF1439="Submitted",IF(ISNUMBER(V1439),IF(V1439&gt;CFG_MAXD,"⚠ "&amp;V1439&amp;" días en Submitted (máx. "&amp;CFG_MAXD&amp;")",""),"Falta fecha de envío"),IF(BF1439="Returned","⚠ Devuelto: corregir y reenviar",IF(BF1439="Recall Requested","Retirada solicitada: pendiente",IF(AND(BF1439="Approved",NOT(ISNUMBER(T1439))),"Falta fecha de aprobación",IF(AND(ISNUMBER(S1439),ISNUMBER(T1439),T1439&lt;S1439),"Aprobación anterior al envío","")))))))))</f>
        <v/>
      </c>
      <c r="Y1439" s="80">
        <f>IF(COUNTA(B1439,D1439,E1439,F1439,G1439,H1439,I1439,J1439,R1439,S1439,T1439)&gt;0,1,0)</f>
        <v>0</v>
      </c>
      <c r="Z1439" s="80" t="str">
        <f>IF(AND(ISNUMBER(H1439),H1439&gt;=0,H1439&lt;1),ROUND(H1439*1440,0),"")</f>
        <v/>
      </c>
      <c r="AA1439" s="80" t="str">
        <f>IF(AND(ISNUMBER(I1439),I1439&gt;=0,I1439&lt;1),ROUND(I1439*1440,0),"")</f>
        <v/>
      </c>
      <c r="AB1439" s="80">
        <f>IF(AND(ISNUMBER(B1439),D1439&lt;&gt;"",ISNUMBER(Z1439),ISNUMBER(AA1439)),IF(Z1439=AA1439,0,1),0)</f>
        <v>0</v>
      </c>
      <c r="AC1439" s="80">
        <f>IF(AB1439=1,IF(AA1439&lt;Z1439,1,0),0)</f>
        <v>0</v>
      </c>
      <c r="AD1439" s="80">
        <f>IF(AB1439=1,IF(AC1439=1,1440-Z1439+AA1439,AA1439-Z1439),0)</f>
        <v>0</v>
      </c>
      <c r="AE1439" s="80">
        <f>IF(J1439="",0,IF(ISNUMBER(J1439),J1439,-1))</f>
        <v>0</v>
      </c>
      <c r="AF1439" s="80">
        <f>MIN(MAX(0,AE1439),AD1439)</f>
        <v>0</v>
      </c>
      <c r="AG1439" s="80">
        <f>MAX(0,AD1439-MAX(0,AE1439))</f>
        <v>0</v>
      </c>
      <c r="AH1439" s="80">
        <f>IF(ISNUMBER(B1439),IF(AND(INDEX(CFG_WDAYS,WEEKDAY(INT(B1439),2))="Sí",IF(D1439="proMX",COUNTIFS(FER_F,INT(B1439),FER_NLP,"Sí"),COUNTIFS(FER_F,INT(B1439),FER_NLM,"Sí"))=0),1,0),0)</f>
        <v>0</v>
      </c>
      <c r="AI1439" s="80">
        <f>IF(AC1439=1,IF(AND(INDEX(CFG_WDAYS,WEEKDAY(INT(B1439)+1,2))="Sí",IF(D1439="proMX",COUNTIFS(FER_F,INT(B1439)+1,FER_NLP,"Sí"),COUNTIFS(FER_F,INT(B1439)+1,FER_NLM,"Sí"))=0),1,0),0)</f>
        <v>0</v>
      </c>
      <c r="AJ1439" s="80">
        <f>IF(AC1439=1,1440-Z1439,AD1439)</f>
        <v>0</v>
      </c>
      <c r="AK1439" s="80">
        <f>IF(AND(AB1439=1,AH1439=1),MAX(0,MIN(IF(AC1439=1,1440,AA1439),CFG_WEM)-MAX(Z1439,CFG_WSM)),0)</f>
        <v>0</v>
      </c>
      <c r="AL1439" s="80">
        <f>IF(AND(AC1439=1,AI1439=1),MAX(0,MIN(AA1439,CFG_WEM)-CFG_WSM),0)</f>
        <v>0</v>
      </c>
      <c r="AM1439" s="80">
        <f>AK1439+AL1439</f>
        <v>0</v>
      </c>
      <c r="AN1439" s="80">
        <f>IF(CFG_BRK="Proporcional",IF(AD1439=0,0,AF1439*AM1439/AD1439),IF(CFG_BRK="Extras primero",MIN(AM1439,MAX(0,AF1439-(AD1439-AM1439))),MIN(AF1439,AM1439)))</f>
        <v>0</v>
      </c>
      <c r="AO1439" s="80">
        <f>AF1439-AN1439</f>
        <v>0</v>
      </c>
      <c r="AP1439" s="80">
        <f>AM1439-AN1439</f>
        <v>0</v>
      </c>
      <c r="AQ1439" s="80">
        <f>AD1439-AM1439-AO1439</f>
        <v>0</v>
      </c>
      <c r="AR1439" s="80">
        <f>IF(AM1439=0,0,AK1439-AN1439*AK1439/AM1439)</f>
        <v>0</v>
      </c>
      <c r="AS1439" s="80">
        <f>IF(AD1439-AM1439=0,0,(AJ1439-AK1439)-AO1439*(AJ1439-AK1439)/(AD1439-AM1439))</f>
        <v>0</v>
      </c>
      <c r="AT1439" s="80" t="str">
        <f>IF(AC1439=1,INT(B1439)+1,"")</f>
        <v/>
      </c>
      <c r="AU1439" s="80">
        <f>IF(AND(D1439="proMX",R1439="Cancelled"),0,1)</f>
        <v>1</v>
      </c>
      <c r="AV1439" s="80">
        <f>IF(AND(AB1439=1,AU1439=1),IF(COUNTIFS($D$5:D1438,D1439,$B$5:B1438,B1439,$Z$5:Z1438,Z1439,$AA$5:AA1438,AA1439,$F$5:F1438,F1439&amp;"",$AU$5:AU1438,1)&gt;0,1,0),0)</f>
        <v>0</v>
      </c>
      <c r="AW1439" s="80" t="str">
        <f>IF(AB1439=1,INT(B1439)*1440+Z1439,"")</f>
        <v/>
      </c>
      <c r="AX1439" s="80" t="str">
        <f>IF(AB1439=1,AW1439+AD1439,"")</f>
        <v/>
      </c>
      <c r="AY1439" s="80">
        <f>IF(AND(AB1439=1,AV1439=0,AU1439=1),1,0)</f>
        <v>0</v>
      </c>
      <c r="AZ1439" s="80">
        <f>IF(AY1439=1,COUNTIFS(R_Emp,D1439,R_SAbs,"&lt;"&amp;AX1439,R_EAbs,"&gt;"&amp;AW1439,R_OKey,1)-1,0)</f>
        <v>0</v>
      </c>
      <c r="BA1439" s="80">
        <f>IF(AY1439=1,COUNTIFS(R_Emp,"&lt;&gt;"&amp;D1439,R_SAbs,"&lt;"&amp;AX1439,R_EAbs,"&gt;"&amp;AW1439,R_OKey,1),0)</f>
        <v>0</v>
      </c>
      <c r="BB1439" s="80">
        <f>IF(AND(AB1439=1,D1439="proMX"),IF(AND(MOD(Z1439,CFG_BLK)=0,MOD(AA1439,CFG_BLK)=0,MOD(AG1439,CFG_BLK)=0,AG1439&gt;0),1,0),1)</f>
        <v>1</v>
      </c>
      <c r="BC1439" s="80" t="str">
        <f>IF(Y1439=0,"",IF(NOT(ISNUMBER(B1439)),"Falta fecha o fecha inválida",IF(D1439="","Falta empresa",IF(AND(D1439&lt;&gt;"Malcolm",D1439&lt;&gt;"proMX"),"Empresa inválida",IF(OR(INT(B1439)&lt;CFG_PSTART,INT(B1439)&gt;CFG_PEND),"Fecha fuera del período",IF(OR(NOT(ISNUMBER(Z1439)),NOT(ISNUMBER(AA1439))),"Falta hora inicio/fin o formato inválido",IF(AB1439=0,"Hora inicio = hora fin",IF(AE1439&lt;0,"Descanso inválido",IF(AE1439&gt;=AD1439,"Descanso ≥ duración",IF(AV1439=1,"Registro duplicado",IF(AZ1439&gt;0,"Se superpone con otro registro "&amp;D1439,IF(BB1439=0,"inicio, fin y duración neta deben ser múltiplos de "&amp;CFG_BLK&amp;" min",""))))))))))))</f>
        <v/>
      </c>
      <c r="BD1439" s="80">
        <f>IF(AND(Y1439=1,BC1439=""),1,0)</f>
        <v>0</v>
      </c>
      <c r="BE1439" s="80">
        <f>IF(AND(BD1439=1,AU1439=1),1,0)</f>
        <v>0</v>
      </c>
      <c r="BF1439" s="80" t="str">
        <f>IF(AND(D1439="proMX",BD1439=1),IF(R1439="","Draft",R1439),"")</f>
        <v/>
      </c>
      <c r="BG1439" s="80">
        <f>IF(BD1439=1,ROUND(AG1439/60,6),0)</f>
        <v>0</v>
      </c>
      <c r="BH1439" s="80">
        <f>IF(BE1439=1,ROUND(AG1439/60,6),0)</f>
        <v>0</v>
      </c>
      <c r="BI1439" s="80">
        <f>IF(BE1439=1,ROUND(AP1439/60,6),0)</f>
        <v>0</v>
      </c>
      <c r="BJ1439" s="80">
        <f>IF(BE1439=1,ROUND(AQ1439/60,6),0)</f>
        <v>0</v>
      </c>
      <c r="BK1439" s="80">
        <f>IF(BE1439=1,ROUND((AR1439+AS1439)/60,6),0)</f>
        <v>0</v>
      </c>
      <c r="BL1439" s="80">
        <f>ROUND(BH1439-BK1439,6)</f>
        <v>0</v>
      </c>
      <c r="BM1439" s="80">
        <f>IF(BE1439=1,ROUND(AR1439/60,6),0)</f>
        <v>0</v>
      </c>
      <c r="BN1439" s="80">
        <f>ROUND(BI1439-BM1439,6)</f>
        <v>0</v>
      </c>
      <c r="BO1439" s="80">
        <f>IF(BE1439=1,ROUND(AS1439/60,6),0)</f>
        <v>0</v>
      </c>
      <c r="BP1439" s="80">
        <f>ROUND(BJ1439-BO1439,6)</f>
        <v>0</v>
      </c>
      <c r="BQ1439" s="80">
        <f>IF(BE1439=1,AW1439,0)</f>
        <v>0</v>
      </c>
      <c r="BR1439" s="80">
        <f>IF(BE1439=1,AX1439,0)</f>
        <v>0</v>
      </c>
      <c r="BS1439" s="80">
        <f>IF(AND(BE1439=1,D1439="Malcolm",BA1439&gt;0),MIN(BH1439,SUMPRODUCT((R_Emp="proMX")*(R_EN&gt;0)*((R_EN-(R_EN&gt;BR1439)*(R_EN-BR1439))&gt;(R_SN+(R_SN&lt;BQ1439)*(BQ1439-R_SN)))*((R_EN-(R_EN&gt;BR1439)*(R_EN-BR1439))-(R_SN+(R_SN&lt;BQ1439)*(BQ1439-R_SN))))/60),0)</f>
        <v>0</v>
      </c>
      <c r="BT1439" s="80">
        <f>IF(AND(BE1439=1,D1439="proMX"),ROUND(BI1439*CFG_RATE+BJ1439*CFG_OTRATE,6),0)</f>
        <v>0</v>
      </c>
      <c r="BU1439" s="80">
        <f>IF(AND(BD1439=1,D1439="proMX"),ROUND(AG1439/CFG_BLK,6),0)</f>
        <v>0</v>
      </c>
      <c r="BV1439" s="80" t="str">
        <f>IF(BF1439="Approved",IF(ISNUMBER(T1439),INT(T1439),INT(B1439)),"")</f>
        <v/>
      </c>
      <c r="BW1439" s="80">
        <f>IF(ISNUMBER(B1439),IF(DB_MON="Todos",1,IF(AND(INT(B1439)&gt;=DB_MS,INT(B1439)&lt;=DB_ME),1,0)),0)</f>
        <v>0</v>
      </c>
      <c r="BX1439" s="80">
        <f>IF(DB_PROJ="Todos",1,IF(E1439&amp;""=DB_PROJ&amp;"",1,0))</f>
        <v>1</v>
      </c>
      <c r="BY1439" s="80">
        <f>BW1439*BX1439</f>
        <v>0</v>
      </c>
      <c r="BZ1439" s="80" t="str">
        <f>IF(Y1439=1,F1439&amp;IF(AND(F1439&amp;""&lt;&gt;"",E1439&amp;""&lt;&gt;"")," · ","")&amp;E1439,"")</f>
        <v/>
      </c>
      <c r="CA1439" s="80" t="str">
        <f>IF(AND(BD1439=1,E1439&amp;""&lt;&gt;""),IF(COUNTIFS($E$5:E1438,E1439,$BD$5:BD1438,1)=0,MAX($CA$5:CA1438)+1,""),"")</f>
        <v/>
      </c>
      <c r="CB1439" s="80" t="str">
        <f>IF(AND(BE1439=1,D1439="Malcolm",E1439&amp;""&lt;&gt;""),IF(COUNTIFS($D$5:D1438,"Malcolm",$E$5:E1438,E1439,$BE$5:BE1438,1)=0,MAX($CB$5:CB1438)+1,""),"")</f>
        <v/>
      </c>
      <c r="CC1439" s="80" t="str">
        <f>IF(AND(BD1439=1,D1439="proMX",E1439&amp;""&lt;&gt;""),IF(COUNTIFS($D$5:D1438,"proMX",$E$5:E1438,E1439,$BD$5:BD1438,1)=0,MAX($CC$5:CC1438)+1,""),"")</f>
        <v/>
      </c>
      <c r="CD1439" s="80" t="str">
        <f>IF(AND(BE1439=1,D1439="Malcolm",F1439&amp;""&lt;&gt;""),IF(COUNTIFS($D$5:D1438,"Malcolm",$F$5:F1438,F1439,$BE$5:BE1438,1)=0,MAX($CD$5:CD1438)+1,""),"")</f>
        <v/>
      </c>
      <c r="CE1439" s="80" t="str">
        <f>IF(AND(BD1439=1,D1439="proMX",F1439&amp;""&lt;&gt;""),IF(COUNTIFS($D$5:D1438,"proMX",$F$5:F1438,F1439,$BD$5:BD1438,1)=0,MAX($CE$5:CE1438)+1,""),"")</f>
        <v/>
      </c>
      <c r="CF1439" s="80" t="str">
        <f>IF(AND(D1439="proMX",BD1439=1),IF(OR(BF1439="Draft",BF1439="Submitted",BF1439="Returned",BF1439="Recall Requested"),MAX($CF$5:CF1438)+1,""),"")</f>
        <v/>
      </c>
      <c r="CG1439" s="80">
        <f>IF(BD1439=0,0,IF(D1439="Malcolm",1,MATCH(BF1439,{"Draft","Submitted","Approved","Returned","Recall Requested","Cancelled"},0)+1))</f>
        <v>0</v>
      </c>
      <c r="CH1439" s="80">
        <f>IF(AND(BF1439="Submitted",ISNUMBER(V1439)),IF(V1439&gt;CFG_MAXD,1,0),0)</f>
        <v>0</v>
      </c>
    </row>
    <row r="1440">
      <c r="A1440" s="71" t="str">
        <f>IF(Y1440=1,ROW()-5,"")</f>
        <v/>
      </c>
      <c r="B1440" s="72" t="n"/>
      <c r="C1440" s="71" t="str">
        <f>IF(ISNUMBER(B1440),CHOOSE(WEEKDAY(B1440,2),"Lun","Mar","Mié","Jue","Vie","Sáb","Dom"),"")</f>
        <v/>
      </c>
      <c r="D1440" s="73" t="n"/>
      <c r="E1440" s="74" t="n"/>
      <c r="F1440" s="74" t="n"/>
      <c r="G1440" s="74" t="n"/>
      <c r="H1440" s="75" t="n"/>
      <c r="I1440" s="75" t="n"/>
      <c r="J1440" s="76" t="n"/>
      <c r="K1440" s="77" t="str">
        <f>IF(AB1440=1,ROUND(AG1440/60,4),"")</f>
        <v/>
      </c>
      <c r="L1440" s="77" t="str">
        <f>IF(BD1440=1,ROUND(AP1440/60,4),"")</f>
        <v/>
      </c>
      <c r="M1440" s="77" t="str">
        <f>IF(BD1440=1,ROUND(AQ1440/60,4),"")</f>
        <v/>
      </c>
      <c r="N1440" s="71" t="str">
        <f>IF(AND(D1440="proMX",AB1440=1),ROUND(AG1440/CFG_BLK,2),"")</f>
        <v/>
      </c>
      <c r="O1440" s="77" t="str">
        <f>IF(D1440="proMX",IF(BD1440=1,ROUND(AG1440/60,4),0),"")</f>
        <v/>
      </c>
      <c r="P1440" s="78" t="str">
        <f>IF(Y1440=0,"",IF(BD1440=1,"OK",IF(D1440="proMX","Revisar bloques: ","Revisar: ")&amp;BC1440))</f>
        <v/>
      </c>
      <c r="Q1440" s="78" t="str">
        <f>IF(NOT(ISNUMBER(B1440)),"",IF(COUNTIFS(FER_F,INT(B1440))&gt;0,"Feriado"&amp;IF(AH1440=1," (laborable)"," (no laborable)"),IF(AH1440=1,"Laborable",IF(WEEKDAY(B1440,2)&gt;5,"Fin de semana","No laborable"))))</f>
        <v/>
      </c>
      <c r="R1440" s="73" t="n"/>
      <c r="S1440" s="72" t="n"/>
      <c r="T1440" s="72" t="n"/>
      <c r="U1440" s="74" t="n"/>
      <c r="V1440" s="79" t="str">
        <f>IF(AND(D1440="proMX",OR(R1440="Submitted",R1440="Recall Requested"),ISNUMBER(S1440)),CFG_TODAY-INT(S1440),"")</f>
        <v/>
      </c>
      <c r="W1440" s="78" t="str">
        <f>IF(BD1440=0,"",IF(BA1440&gt;0,"⚠ Se superpone con un registro de la otra empresa",IF(D1440="Malcolm",IF(COUNTA(R1440,S1440,T1440)&gt;0,"Estado/fechas proMX se ignoran en Malcolm",""),IF(BF1440="Cancelled","Cancelado: excluido de totales",IF(R1440="","Sin estado: se trata como Draft",IF(BF1440="Submitted",IF(ISNUMBER(V1440),IF(V1440&gt;CFG_MAXD,"⚠ "&amp;V1440&amp;" días en Submitted (máx. "&amp;CFG_MAXD&amp;")",""),"Falta fecha de envío"),IF(BF1440="Returned","⚠ Devuelto: corregir y reenviar",IF(BF1440="Recall Requested","Retirada solicitada: pendiente",IF(AND(BF1440="Approved",NOT(ISNUMBER(T1440))),"Falta fecha de aprobación",IF(AND(ISNUMBER(S1440),ISNUMBER(T1440),T1440&lt;S1440),"Aprobación anterior al envío","")))))))))</f>
        <v/>
      </c>
      <c r="Y1440" s="80">
        <f>IF(COUNTA(B1440,D1440,E1440,F1440,G1440,H1440,I1440,J1440,R1440,S1440,T1440)&gt;0,1,0)</f>
        <v>0</v>
      </c>
      <c r="Z1440" s="80" t="str">
        <f>IF(AND(ISNUMBER(H1440),H1440&gt;=0,H1440&lt;1),ROUND(H1440*1440,0),"")</f>
        <v/>
      </c>
      <c r="AA1440" s="80" t="str">
        <f>IF(AND(ISNUMBER(I1440),I1440&gt;=0,I1440&lt;1),ROUND(I1440*1440,0),"")</f>
        <v/>
      </c>
      <c r="AB1440" s="80">
        <f>IF(AND(ISNUMBER(B1440),D1440&lt;&gt;"",ISNUMBER(Z1440),ISNUMBER(AA1440)),IF(Z1440=AA1440,0,1),0)</f>
        <v>0</v>
      </c>
      <c r="AC1440" s="80">
        <f>IF(AB1440=1,IF(AA1440&lt;Z1440,1,0),0)</f>
        <v>0</v>
      </c>
      <c r="AD1440" s="80">
        <f>IF(AB1440=1,IF(AC1440=1,1440-Z1440+AA1440,AA1440-Z1440),0)</f>
        <v>0</v>
      </c>
      <c r="AE1440" s="80">
        <f>IF(J1440="",0,IF(ISNUMBER(J1440),J1440,-1))</f>
        <v>0</v>
      </c>
      <c r="AF1440" s="80">
        <f>MIN(MAX(0,AE1440),AD1440)</f>
        <v>0</v>
      </c>
      <c r="AG1440" s="80">
        <f>MAX(0,AD1440-MAX(0,AE1440))</f>
        <v>0</v>
      </c>
      <c r="AH1440" s="80">
        <f>IF(ISNUMBER(B1440),IF(AND(INDEX(CFG_WDAYS,WEEKDAY(INT(B1440),2))="Sí",IF(D1440="proMX",COUNTIFS(FER_F,INT(B1440),FER_NLP,"Sí"),COUNTIFS(FER_F,INT(B1440),FER_NLM,"Sí"))=0),1,0),0)</f>
        <v>0</v>
      </c>
      <c r="AI1440" s="80">
        <f>IF(AC1440=1,IF(AND(INDEX(CFG_WDAYS,WEEKDAY(INT(B1440)+1,2))="Sí",IF(D1440="proMX",COUNTIFS(FER_F,INT(B1440)+1,FER_NLP,"Sí"),COUNTIFS(FER_F,INT(B1440)+1,FER_NLM,"Sí"))=0),1,0),0)</f>
        <v>0</v>
      </c>
      <c r="AJ1440" s="80">
        <f>IF(AC1440=1,1440-Z1440,AD1440)</f>
        <v>0</v>
      </c>
      <c r="AK1440" s="80">
        <f>IF(AND(AB1440=1,AH1440=1),MAX(0,MIN(IF(AC1440=1,1440,AA1440),CFG_WEM)-MAX(Z1440,CFG_WSM)),0)</f>
        <v>0</v>
      </c>
      <c r="AL1440" s="80">
        <f>IF(AND(AC1440=1,AI1440=1),MAX(0,MIN(AA1440,CFG_WEM)-CFG_WSM),0)</f>
        <v>0</v>
      </c>
      <c r="AM1440" s="80">
        <f>AK1440+AL1440</f>
        <v>0</v>
      </c>
      <c r="AN1440" s="80">
        <f>IF(CFG_BRK="Proporcional",IF(AD1440=0,0,AF1440*AM1440/AD1440),IF(CFG_BRK="Extras primero",MIN(AM1440,MAX(0,AF1440-(AD1440-AM1440))),MIN(AF1440,AM1440)))</f>
        <v>0</v>
      </c>
      <c r="AO1440" s="80">
        <f>AF1440-AN1440</f>
        <v>0</v>
      </c>
      <c r="AP1440" s="80">
        <f>AM1440-AN1440</f>
        <v>0</v>
      </c>
      <c r="AQ1440" s="80">
        <f>AD1440-AM1440-AO1440</f>
        <v>0</v>
      </c>
      <c r="AR1440" s="80">
        <f>IF(AM1440=0,0,AK1440-AN1440*AK1440/AM1440)</f>
        <v>0</v>
      </c>
      <c r="AS1440" s="80">
        <f>IF(AD1440-AM1440=0,0,(AJ1440-AK1440)-AO1440*(AJ1440-AK1440)/(AD1440-AM1440))</f>
        <v>0</v>
      </c>
      <c r="AT1440" s="80" t="str">
        <f>IF(AC1440=1,INT(B1440)+1,"")</f>
        <v/>
      </c>
      <c r="AU1440" s="80">
        <f>IF(AND(D1440="proMX",R1440="Cancelled"),0,1)</f>
        <v>1</v>
      </c>
      <c r="AV1440" s="80">
        <f>IF(AND(AB1440=1,AU1440=1),IF(COUNTIFS($D$5:D1439,D1440,$B$5:B1439,B1440,$Z$5:Z1439,Z1440,$AA$5:AA1439,AA1440,$F$5:F1439,F1440&amp;"",$AU$5:AU1439,1)&gt;0,1,0),0)</f>
        <v>0</v>
      </c>
      <c r="AW1440" s="80" t="str">
        <f>IF(AB1440=1,INT(B1440)*1440+Z1440,"")</f>
        <v/>
      </c>
      <c r="AX1440" s="80" t="str">
        <f>IF(AB1440=1,AW1440+AD1440,"")</f>
        <v/>
      </c>
      <c r="AY1440" s="80">
        <f>IF(AND(AB1440=1,AV1440=0,AU1440=1),1,0)</f>
        <v>0</v>
      </c>
      <c r="AZ1440" s="80">
        <f>IF(AY1440=1,COUNTIFS(R_Emp,D1440,R_SAbs,"&lt;"&amp;AX1440,R_EAbs,"&gt;"&amp;AW1440,R_OKey,1)-1,0)</f>
        <v>0</v>
      </c>
      <c r="BA1440" s="80">
        <f>IF(AY1440=1,COUNTIFS(R_Emp,"&lt;&gt;"&amp;D1440,R_SAbs,"&lt;"&amp;AX1440,R_EAbs,"&gt;"&amp;AW1440,R_OKey,1),0)</f>
        <v>0</v>
      </c>
      <c r="BB1440" s="80">
        <f>IF(AND(AB1440=1,D1440="proMX"),IF(AND(MOD(Z1440,CFG_BLK)=0,MOD(AA1440,CFG_BLK)=0,MOD(AG1440,CFG_BLK)=0,AG1440&gt;0),1,0),1)</f>
        <v>1</v>
      </c>
      <c r="BC1440" s="80" t="str">
        <f>IF(Y1440=0,"",IF(NOT(ISNUMBER(B1440)),"Falta fecha o fecha inválida",IF(D1440="","Falta empresa",IF(AND(D1440&lt;&gt;"Malcolm",D1440&lt;&gt;"proMX"),"Empresa inválida",IF(OR(INT(B1440)&lt;CFG_PSTART,INT(B1440)&gt;CFG_PEND),"Fecha fuera del período",IF(OR(NOT(ISNUMBER(Z1440)),NOT(ISNUMBER(AA1440))),"Falta hora inicio/fin o formato inválido",IF(AB1440=0,"Hora inicio = hora fin",IF(AE1440&lt;0,"Descanso inválido",IF(AE1440&gt;=AD1440,"Descanso ≥ duración",IF(AV1440=1,"Registro duplicado",IF(AZ1440&gt;0,"Se superpone con otro registro "&amp;D1440,IF(BB1440=0,"inicio, fin y duración neta deben ser múltiplos de "&amp;CFG_BLK&amp;" min",""))))))))))))</f>
        <v/>
      </c>
      <c r="BD1440" s="80">
        <f>IF(AND(Y1440=1,BC1440=""),1,0)</f>
        <v>0</v>
      </c>
      <c r="BE1440" s="80">
        <f>IF(AND(BD1440=1,AU1440=1),1,0)</f>
        <v>0</v>
      </c>
      <c r="BF1440" s="80" t="str">
        <f>IF(AND(D1440="proMX",BD1440=1),IF(R1440="","Draft",R1440),"")</f>
        <v/>
      </c>
      <c r="BG1440" s="80">
        <f>IF(BD1440=1,ROUND(AG1440/60,6),0)</f>
        <v>0</v>
      </c>
      <c r="BH1440" s="80">
        <f>IF(BE1440=1,ROUND(AG1440/60,6),0)</f>
        <v>0</v>
      </c>
      <c r="BI1440" s="80">
        <f>IF(BE1440=1,ROUND(AP1440/60,6),0)</f>
        <v>0</v>
      </c>
      <c r="BJ1440" s="80">
        <f>IF(BE1440=1,ROUND(AQ1440/60,6),0)</f>
        <v>0</v>
      </c>
      <c r="BK1440" s="80">
        <f>IF(BE1440=1,ROUND((AR1440+AS1440)/60,6),0)</f>
        <v>0</v>
      </c>
      <c r="BL1440" s="80">
        <f>ROUND(BH1440-BK1440,6)</f>
        <v>0</v>
      </c>
      <c r="BM1440" s="80">
        <f>IF(BE1440=1,ROUND(AR1440/60,6),0)</f>
        <v>0</v>
      </c>
      <c r="BN1440" s="80">
        <f>ROUND(BI1440-BM1440,6)</f>
        <v>0</v>
      </c>
      <c r="BO1440" s="80">
        <f>IF(BE1440=1,ROUND(AS1440/60,6),0)</f>
        <v>0</v>
      </c>
      <c r="BP1440" s="80">
        <f>ROUND(BJ1440-BO1440,6)</f>
        <v>0</v>
      </c>
      <c r="BQ1440" s="80">
        <f>IF(BE1440=1,AW1440,0)</f>
        <v>0</v>
      </c>
      <c r="BR1440" s="80">
        <f>IF(BE1440=1,AX1440,0)</f>
        <v>0</v>
      </c>
      <c r="BS1440" s="80">
        <f>IF(AND(BE1440=1,D1440="Malcolm",BA1440&gt;0),MIN(BH1440,SUMPRODUCT((R_Emp="proMX")*(R_EN&gt;0)*((R_EN-(R_EN&gt;BR1440)*(R_EN-BR1440))&gt;(R_SN+(R_SN&lt;BQ1440)*(BQ1440-R_SN)))*((R_EN-(R_EN&gt;BR1440)*(R_EN-BR1440))-(R_SN+(R_SN&lt;BQ1440)*(BQ1440-R_SN))))/60),0)</f>
        <v>0</v>
      </c>
      <c r="BT1440" s="80">
        <f>IF(AND(BE1440=1,D1440="proMX"),ROUND(BI1440*CFG_RATE+BJ1440*CFG_OTRATE,6),0)</f>
        <v>0</v>
      </c>
      <c r="BU1440" s="80">
        <f>IF(AND(BD1440=1,D1440="proMX"),ROUND(AG1440/CFG_BLK,6),0)</f>
        <v>0</v>
      </c>
      <c r="BV1440" s="80" t="str">
        <f>IF(BF1440="Approved",IF(ISNUMBER(T1440),INT(T1440),INT(B1440)),"")</f>
        <v/>
      </c>
      <c r="BW1440" s="80">
        <f>IF(ISNUMBER(B1440),IF(DB_MON="Todos",1,IF(AND(INT(B1440)&gt;=DB_MS,INT(B1440)&lt;=DB_ME),1,0)),0)</f>
        <v>0</v>
      </c>
      <c r="BX1440" s="80">
        <f>IF(DB_PROJ="Todos",1,IF(E1440&amp;""=DB_PROJ&amp;"",1,0))</f>
        <v>1</v>
      </c>
      <c r="BY1440" s="80">
        <f>BW1440*BX1440</f>
        <v>0</v>
      </c>
      <c r="BZ1440" s="80" t="str">
        <f>IF(Y1440=1,F1440&amp;IF(AND(F1440&amp;""&lt;&gt;"",E1440&amp;""&lt;&gt;"")," · ","")&amp;E1440,"")</f>
        <v/>
      </c>
      <c r="CA1440" s="80" t="str">
        <f>IF(AND(BD1440=1,E1440&amp;""&lt;&gt;""),IF(COUNTIFS($E$5:E1439,E1440,$BD$5:BD1439,1)=0,MAX($CA$5:CA1439)+1,""),"")</f>
        <v/>
      </c>
      <c r="CB1440" s="80" t="str">
        <f>IF(AND(BE1440=1,D1440="Malcolm",E1440&amp;""&lt;&gt;""),IF(COUNTIFS($D$5:D1439,"Malcolm",$E$5:E1439,E1440,$BE$5:BE1439,1)=0,MAX($CB$5:CB1439)+1,""),"")</f>
        <v/>
      </c>
      <c r="CC1440" s="80" t="str">
        <f>IF(AND(BD1440=1,D1440="proMX",E1440&amp;""&lt;&gt;""),IF(COUNTIFS($D$5:D1439,"proMX",$E$5:E1439,E1440,$BD$5:BD1439,1)=0,MAX($CC$5:CC1439)+1,""),"")</f>
        <v/>
      </c>
      <c r="CD1440" s="80" t="str">
        <f>IF(AND(BE1440=1,D1440="Malcolm",F1440&amp;""&lt;&gt;""),IF(COUNTIFS($D$5:D1439,"Malcolm",$F$5:F1439,F1440,$BE$5:BE1439,1)=0,MAX($CD$5:CD1439)+1,""),"")</f>
        <v/>
      </c>
      <c r="CE1440" s="80" t="str">
        <f>IF(AND(BD1440=1,D1440="proMX",F1440&amp;""&lt;&gt;""),IF(COUNTIFS($D$5:D1439,"proMX",$F$5:F1439,F1440,$BD$5:BD1439,1)=0,MAX($CE$5:CE1439)+1,""),"")</f>
        <v/>
      </c>
      <c r="CF1440" s="80" t="str">
        <f>IF(AND(D1440="proMX",BD1440=1),IF(OR(BF1440="Draft",BF1440="Submitted",BF1440="Returned",BF1440="Recall Requested"),MAX($CF$5:CF1439)+1,""),"")</f>
        <v/>
      </c>
      <c r="CG1440" s="80">
        <f>IF(BD1440=0,0,IF(D1440="Malcolm",1,MATCH(BF1440,{"Draft","Submitted","Approved","Returned","Recall Requested","Cancelled"},0)+1))</f>
        <v>0</v>
      </c>
      <c r="CH1440" s="80">
        <f>IF(AND(BF1440="Submitted",ISNUMBER(V1440)),IF(V1440&gt;CFG_MAXD,1,0),0)</f>
        <v>0</v>
      </c>
    </row>
    <row r="1441">
      <c r="A1441" s="71" t="str">
        <f>IF(Y1441=1,ROW()-5,"")</f>
        <v/>
      </c>
      <c r="B1441" s="72" t="n"/>
      <c r="C1441" s="71" t="str">
        <f>IF(ISNUMBER(B1441),CHOOSE(WEEKDAY(B1441,2),"Lun","Mar","Mié","Jue","Vie","Sáb","Dom"),"")</f>
        <v/>
      </c>
      <c r="D1441" s="73" t="n"/>
      <c r="E1441" s="74" t="n"/>
      <c r="F1441" s="74" t="n"/>
      <c r="G1441" s="74" t="n"/>
      <c r="H1441" s="75" t="n"/>
      <c r="I1441" s="75" t="n"/>
      <c r="J1441" s="76" t="n"/>
      <c r="K1441" s="77" t="str">
        <f>IF(AB1441=1,ROUND(AG1441/60,4),"")</f>
        <v/>
      </c>
      <c r="L1441" s="77" t="str">
        <f>IF(BD1441=1,ROUND(AP1441/60,4),"")</f>
        <v/>
      </c>
      <c r="M1441" s="77" t="str">
        <f>IF(BD1441=1,ROUND(AQ1441/60,4),"")</f>
        <v/>
      </c>
      <c r="N1441" s="71" t="str">
        <f>IF(AND(D1441="proMX",AB1441=1),ROUND(AG1441/CFG_BLK,2),"")</f>
        <v/>
      </c>
      <c r="O1441" s="77" t="str">
        <f>IF(D1441="proMX",IF(BD1441=1,ROUND(AG1441/60,4),0),"")</f>
        <v/>
      </c>
      <c r="P1441" s="78" t="str">
        <f>IF(Y1441=0,"",IF(BD1441=1,"OK",IF(D1441="proMX","Revisar bloques: ","Revisar: ")&amp;BC1441))</f>
        <v/>
      </c>
      <c r="Q1441" s="78" t="str">
        <f>IF(NOT(ISNUMBER(B1441)),"",IF(COUNTIFS(FER_F,INT(B1441))&gt;0,"Feriado"&amp;IF(AH1441=1," (laborable)"," (no laborable)"),IF(AH1441=1,"Laborable",IF(WEEKDAY(B1441,2)&gt;5,"Fin de semana","No laborable"))))</f>
        <v/>
      </c>
      <c r="R1441" s="73" t="n"/>
      <c r="S1441" s="72" t="n"/>
      <c r="T1441" s="72" t="n"/>
      <c r="U1441" s="74" t="n"/>
      <c r="V1441" s="79" t="str">
        <f>IF(AND(D1441="proMX",OR(R1441="Submitted",R1441="Recall Requested"),ISNUMBER(S1441)),CFG_TODAY-INT(S1441),"")</f>
        <v/>
      </c>
      <c r="W1441" s="78" t="str">
        <f>IF(BD1441=0,"",IF(BA1441&gt;0,"⚠ Se superpone con un registro de la otra empresa",IF(D1441="Malcolm",IF(COUNTA(R1441,S1441,T1441)&gt;0,"Estado/fechas proMX se ignoran en Malcolm",""),IF(BF1441="Cancelled","Cancelado: excluido de totales",IF(R1441="","Sin estado: se trata como Draft",IF(BF1441="Submitted",IF(ISNUMBER(V1441),IF(V1441&gt;CFG_MAXD,"⚠ "&amp;V1441&amp;" días en Submitted (máx. "&amp;CFG_MAXD&amp;")",""),"Falta fecha de envío"),IF(BF1441="Returned","⚠ Devuelto: corregir y reenviar",IF(BF1441="Recall Requested","Retirada solicitada: pendiente",IF(AND(BF1441="Approved",NOT(ISNUMBER(T1441))),"Falta fecha de aprobación",IF(AND(ISNUMBER(S1441),ISNUMBER(T1441),T1441&lt;S1441),"Aprobación anterior al envío","")))))))))</f>
        <v/>
      </c>
      <c r="Y1441" s="80">
        <f>IF(COUNTA(B1441,D1441,E1441,F1441,G1441,H1441,I1441,J1441,R1441,S1441,T1441)&gt;0,1,0)</f>
        <v>0</v>
      </c>
      <c r="Z1441" s="80" t="str">
        <f>IF(AND(ISNUMBER(H1441),H1441&gt;=0,H1441&lt;1),ROUND(H1441*1440,0),"")</f>
        <v/>
      </c>
      <c r="AA1441" s="80" t="str">
        <f>IF(AND(ISNUMBER(I1441),I1441&gt;=0,I1441&lt;1),ROUND(I1441*1440,0),"")</f>
        <v/>
      </c>
      <c r="AB1441" s="80">
        <f>IF(AND(ISNUMBER(B1441),D1441&lt;&gt;"",ISNUMBER(Z1441),ISNUMBER(AA1441)),IF(Z1441=AA1441,0,1),0)</f>
        <v>0</v>
      </c>
      <c r="AC1441" s="80">
        <f>IF(AB1441=1,IF(AA1441&lt;Z1441,1,0),0)</f>
        <v>0</v>
      </c>
      <c r="AD1441" s="80">
        <f>IF(AB1441=1,IF(AC1441=1,1440-Z1441+AA1441,AA1441-Z1441),0)</f>
        <v>0</v>
      </c>
      <c r="AE1441" s="80">
        <f>IF(J1441="",0,IF(ISNUMBER(J1441),J1441,-1))</f>
        <v>0</v>
      </c>
      <c r="AF1441" s="80">
        <f>MIN(MAX(0,AE1441),AD1441)</f>
        <v>0</v>
      </c>
      <c r="AG1441" s="80">
        <f>MAX(0,AD1441-MAX(0,AE1441))</f>
        <v>0</v>
      </c>
      <c r="AH1441" s="80">
        <f>IF(ISNUMBER(B1441),IF(AND(INDEX(CFG_WDAYS,WEEKDAY(INT(B1441),2))="Sí",IF(D1441="proMX",COUNTIFS(FER_F,INT(B1441),FER_NLP,"Sí"),COUNTIFS(FER_F,INT(B1441),FER_NLM,"Sí"))=0),1,0),0)</f>
        <v>0</v>
      </c>
      <c r="AI1441" s="80">
        <f>IF(AC1441=1,IF(AND(INDEX(CFG_WDAYS,WEEKDAY(INT(B1441)+1,2))="Sí",IF(D1441="proMX",COUNTIFS(FER_F,INT(B1441)+1,FER_NLP,"Sí"),COUNTIFS(FER_F,INT(B1441)+1,FER_NLM,"Sí"))=0),1,0),0)</f>
        <v>0</v>
      </c>
      <c r="AJ1441" s="80">
        <f>IF(AC1441=1,1440-Z1441,AD1441)</f>
        <v>0</v>
      </c>
      <c r="AK1441" s="80">
        <f>IF(AND(AB1441=1,AH1441=1),MAX(0,MIN(IF(AC1441=1,1440,AA1441),CFG_WEM)-MAX(Z1441,CFG_WSM)),0)</f>
        <v>0</v>
      </c>
      <c r="AL1441" s="80">
        <f>IF(AND(AC1441=1,AI1441=1),MAX(0,MIN(AA1441,CFG_WEM)-CFG_WSM),0)</f>
        <v>0</v>
      </c>
      <c r="AM1441" s="80">
        <f>AK1441+AL1441</f>
        <v>0</v>
      </c>
      <c r="AN1441" s="80">
        <f>IF(CFG_BRK="Proporcional",IF(AD1441=0,0,AF1441*AM1441/AD1441),IF(CFG_BRK="Extras primero",MIN(AM1441,MAX(0,AF1441-(AD1441-AM1441))),MIN(AF1441,AM1441)))</f>
        <v>0</v>
      </c>
      <c r="AO1441" s="80">
        <f>AF1441-AN1441</f>
        <v>0</v>
      </c>
      <c r="AP1441" s="80">
        <f>AM1441-AN1441</f>
        <v>0</v>
      </c>
      <c r="AQ1441" s="80">
        <f>AD1441-AM1441-AO1441</f>
        <v>0</v>
      </c>
      <c r="AR1441" s="80">
        <f>IF(AM1441=0,0,AK1441-AN1441*AK1441/AM1441)</f>
        <v>0</v>
      </c>
      <c r="AS1441" s="80">
        <f>IF(AD1441-AM1441=0,0,(AJ1441-AK1441)-AO1441*(AJ1441-AK1441)/(AD1441-AM1441))</f>
        <v>0</v>
      </c>
      <c r="AT1441" s="80" t="str">
        <f>IF(AC1441=1,INT(B1441)+1,"")</f>
        <v/>
      </c>
      <c r="AU1441" s="80">
        <f>IF(AND(D1441="proMX",R1441="Cancelled"),0,1)</f>
        <v>1</v>
      </c>
      <c r="AV1441" s="80">
        <f>IF(AND(AB1441=1,AU1441=1),IF(COUNTIFS($D$5:D1440,D1441,$B$5:B1440,B1441,$Z$5:Z1440,Z1441,$AA$5:AA1440,AA1441,$F$5:F1440,F1441&amp;"",$AU$5:AU1440,1)&gt;0,1,0),0)</f>
        <v>0</v>
      </c>
      <c r="AW1441" s="80" t="str">
        <f>IF(AB1441=1,INT(B1441)*1440+Z1441,"")</f>
        <v/>
      </c>
      <c r="AX1441" s="80" t="str">
        <f>IF(AB1441=1,AW1441+AD1441,"")</f>
        <v/>
      </c>
      <c r="AY1441" s="80">
        <f>IF(AND(AB1441=1,AV1441=0,AU1441=1),1,0)</f>
        <v>0</v>
      </c>
      <c r="AZ1441" s="80">
        <f>IF(AY1441=1,COUNTIFS(R_Emp,D1441,R_SAbs,"&lt;"&amp;AX1441,R_EAbs,"&gt;"&amp;AW1441,R_OKey,1)-1,0)</f>
        <v>0</v>
      </c>
      <c r="BA1441" s="80">
        <f>IF(AY1441=1,COUNTIFS(R_Emp,"&lt;&gt;"&amp;D1441,R_SAbs,"&lt;"&amp;AX1441,R_EAbs,"&gt;"&amp;AW1441,R_OKey,1),0)</f>
        <v>0</v>
      </c>
      <c r="BB1441" s="80">
        <f>IF(AND(AB1441=1,D1441="proMX"),IF(AND(MOD(Z1441,CFG_BLK)=0,MOD(AA1441,CFG_BLK)=0,MOD(AG1441,CFG_BLK)=0,AG1441&gt;0),1,0),1)</f>
        <v>1</v>
      </c>
      <c r="BC1441" s="80" t="str">
        <f>IF(Y1441=0,"",IF(NOT(ISNUMBER(B1441)),"Falta fecha o fecha inválida",IF(D1441="","Falta empresa",IF(AND(D1441&lt;&gt;"Malcolm",D1441&lt;&gt;"proMX"),"Empresa inválida",IF(OR(INT(B1441)&lt;CFG_PSTART,INT(B1441)&gt;CFG_PEND),"Fecha fuera del período",IF(OR(NOT(ISNUMBER(Z1441)),NOT(ISNUMBER(AA1441))),"Falta hora inicio/fin o formato inválido",IF(AB1441=0,"Hora inicio = hora fin",IF(AE1441&lt;0,"Descanso inválido",IF(AE1441&gt;=AD1441,"Descanso ≥ duración",IF(AV1441=1,"Registro duplicado",IF(AZ1441&gt;0,"Se superpone con otro registro "&amp;D1441,IF(BB1441=0,"inicio, fin y duración neta deben ser múltiplos de "&amp;CFG_BLK&amp;" min",""))))))))))))</f>
        <v/>
      </c>
      <c r="BD1441" s="80">
        <f>IF(AND(Y1441=1,BC1441=""),1,0)</f>
        <v>0</v>
      </c>
      <c r="BE1441" s="80">
        <f>IF(AND(BD1441=1,AU1441=1),1,0)</f>
        <v>0</v>
      </c>
      <c r="BF1441" s="80" t="str">
        <f>IF(AND(D1441="proMX",BD1441=1),IF(R1441="","Draft",R1441),"")</f>
        <v/>
      </c>
      <c r="BG1441" s="80">
        <f>IF(BD1441=1,ROUND(AG1441/60,6),0)</f>
        <v>0</v>
      </c>
      <c r="BH1441" s="80">
        <f>IF(BE1441=1,ROUND(AG1441/60,6),0)</f>
        <v>0</v>
      </c>
      <c r="BI1441" s="80">
        <f>IF(BE1441=1,ROUND(AP1441/60,6),0)</f>
        <v>0</v>
      </c>
      <c r="BJ1441" s="80">
        <f>IF(BE1441=1,ROUND(AQ1441/60,6),0)</f>
        <v>0</v>
      </c>
      <c r="BK1441" s="80">
        <f>IF(BE1441=1,ROUND((AR1441+AS1441)/60,6),0)</f>
        <v>0</v>
      </c>
      <c r="BL1441" s="80">
        <f>ROUND(BH1441-BK1441,6)</f>
        <v>0</v>
      </c>
      <c r="BM1441" s="80">
        <f>IF(BE1441=1,ROUND(AR1441/60,6),0)</f>
        <v>0</v>
      </c>
      <c r="BN1441" s="80">
        <f>ROUND(BI1441-BM1441,6)</f>
        <v>0</v>
      </c>
      <c r="BO1441" s="80">
        <f>IF(BE1441=1,ROUND(AS1441/60,6),0)</f>
        <v>0</v>
      </c>
      <c r="BP1441" s="80">
        <f>ROUND(BJ1441-BO1441,6)</f>
        <v>0</v>
      </c>
      <c r="BQ1441" s="80">
        <f>IF(BE1441=1,AW1441,0)</f>
        <v>0</v>
      </c>
      <c r="BR1441" s="80">
        <f>IF(BE1441=1,AX1441,0)</f>
        <v>0</v>
      </c>
      <c r="BS1441" s="80">
        <f>IF(AND(BE1441=1,D1441="Malcolm",BA1441&gt;0),MIN(BH1441,SUMPRODUCT((R_Emp="proMX")*(R_EN&gt;0)*((R_EN-(R_EN&gt;BR1441)*(R_EN-BR1441))&gt;(R_SN+(R_SN&lt;BQ1441)*(BQ1441-R_SN)))*((R_EN-(R_EN&gt;BR1441)*(R_EN-BR1441))-(R_SN+(R_SN&lt;BQ1441)*(BQ1441-R_SN))))/60),0)</f>
        <v>0</v>
      </c>
      <c r="BT1441" s="80">
        <f>IF(AND(BE1441=1,D1441="proMX"),ROUND(BI1441*CFG_RATE+BJ1441*CFG_OTRATE,6),0)</f>
        <v>0</v>
      </c>
      <c r="BU1441" s="80">
        <f>IF(AND(BD1441=1,D1441="proMX"),ROUND(AG1441/CFG_BLK,6),0)</f>
        <v>0</v>
      </c>
      <c r="BV1441" s="80" t="str">
        <f>IF(BF1441="Approved",IF(ISNUMBER(T1441),INT(T1441),INT(B1441)),"")</f>
        <v/>
      </c>
      <c r="BW1441" s="80">
        <f>IF(ISNUMBER(B1441),IF(DB_MON="Todos",1,IF(AND(INT(B1441)&gt;=DB_MS,INT(B1441)&lt;=DB_ME),1,0)),0)</f>
        <v>0</v>
      </c>
      <c r="BX1441" s="80">
        <f>IF(DB_PROJ="Todos",1,IF(E1441&amp;""=DB_PROJ&amp;"",1,0))</f>
        <v>1</v>
      </c>
      <c r="BY1441" s="80">
        <f>BW1441*BX1441</f>
        <v>0</v>
      </c>
      <c r="BZ1441" s="80" t="str">
        <f>IF(Y1441=1,F1441&amp;IF(AND(F1441&amp;""&lt;&gt;"",E1441&amp;""&lt;&gt;"")," · ","")&amp;E1441,"")</f>
        <v/>
      </c>
      <c r="CA1441" s="80" t="str">
        <f>IF(AND(BD1441=1,E1441&amp;""&lt;&gt;""),IF(COUNTIFS($E$5:E1440,E1441,$BD$5:BD1440,1)=0,MAX($CA$5:CA1440)+1,""),"")</f>
        <v/>
      </c>
      <c r="CB1441" s="80" t="str">
        <f>IF(AND(BE1441=1,D1441="Malcolm",E1441&amp;""&lt;&gt;""),IF(COUNTIFS($D$5:D1440,"Malcolm",$E$5:E1440,E1441,$BE$5:BE1440,1)=0,MAX($CB$5:CB1440)+1,""),"")</f>
        <v/>
      </c>
      <c r="CC1441" s="80" t="str">
        <f>IF(AND(BD1441=1,D1441="proMX",E1441&amp;""&lt;&gt;""),IF(COUNTIFS($D$5:D1440,"proMX",$E$5:E1440,E1441,$BD$5:BD1440,1)=0,MAX($CC$5:CC1440)+1,""),"")</f>
        <v/>
      </c>
      <c r="CD1441" s="80" t="str">
        <f>IF(AND(BE1441=1,D1441="Malcolm",F1441&amp;""&lt;&gt;""),IF(COUNTIFS($D$5:D1440,"Malcolm",$F$5:F1440,F1441,$BE$5:BE1440,1)=0,MAX($CD$5:CD1440)+1,""),"")</f>
        <v/>
      </c>
      <c r="CE1441" s="80" t="str">
        <f>IF(AND(BD1441=1,D1441="proMX",F1441&amp;""&lt;&gt;""),IF(COUNTIFS($D$5:D1440,"proMX",$F$5:F1440,F1441,$BD$5:BD1440,1)=0,MAX($CE$5:CE1440)+1,""),"")</f>
        <v/>
      </c>
      <c r="CF1441" s="80" t="str">
        <f>IF(AND(D1441="proMX",BD1441=1),IF(OR(BF1441="Draft",BF1441="Submitted",BF1441="Returned",BF1441="Recall Requested"),MAX($CF$5:CF1440)+1,""),"")</f>
        <v/>
      </c>
      <c r="CG1441" s="80">
        <f>IF(BD1441=0,0,IF(D1441="Malcolm",1,MATCH(BF1441,{"Draft","Submitted","Approved","Returned","Recall Requested","Cancelled"},0)+1))</f>
        <v>0</v>
      </c>
      <c r="CH1441" s="80">
        <f>IF(AND(BF1441="Submitted",ISNUMBER(V1441)),IF(V1441&gt;CFG_MAXD,1,0),0)</f>
        <v>0</v>
      </c>
    </row>
    <row r="1442">
      <c r="A1442" s="71" t="str">
        <f>IF(Y1442=1,ROW()-5,"")</f>
        <v/>
      </c>
      <c r="B1442" s="72" t="n"/>
      <c r="C1442" s="71" t="str">
        <f>IF(ISNUMBER(B1442),CHOOSE(WEEKDAY(B1442,2),"Lun","Mar","Mié","Jue","Vie","Sáb","Dom"),"")</f>
        <v/>
      </c>
      <c r="D1442" s="73" t="n"/>
      <c r="E1442" s="74" t="n"/>
      <c r="F1442" s="74" t="n"/>
      <c r="G1442" s="74" t="n"/>
      <c r="H1442" s="75" t="n"/>
      <c r="I1442" s="75" t="n"/>
      <c r="J1442" s="76" t="n"/>
      <c r="K1442" s="77" t="str">
        <f>IF(AB1442=1,ROUND(AG1442/60,4),"")</f>
        <v/>
      </c>
      <c r="L1442" s="77" t="str">
        <f>IF(BD1442=1,ROUND(AP1442/60,4),"")</f>
        <v/>
      </c>
      <c r="M1442" s="77" t="str">
        <f>IF(BD1442=1,ROUND(AQ1442/60,4),"")</f>
        <v/>
      </c>
      <c r="N1442" s="71" t="str">
        <f>IF(AND(D1442="proMX",AB1442=1),ROUND(AG1442/CFG_BLK,2),"")</f>
        <v/>
      </c>
      <c r="O1442" s="77" t="str">
        <f>IF(D1442="proMX",IF(BD1442=1,ROUND(AG1442/60,4),0),"")</f>
        <v/>
      </c>
      <c r="P1442" s="78" t="str">
        <f>IF(Y1442=0,"",IF(BD1442=1,"OK",IF(D1442="proMX","Revisar bloques: ","Revisar: ")&amp;BC1442))</f>
        <v/>
      </c>
      <c r="Q1442" s="78" t="str">
        <f>IF(NOT(ISNUMBER(B1442)),"",IF(COUNTIFS(FER_F,INT(B1442))&gt;0,"Feriado"&amp;IF(AH1442=1," (laborable)"," (no laborable)"),IF(AH1442=1,"Laborable",IF(WEEKDAY(B1442,2)&gt;5,"Fin de semana","No laborable"))))</f>
        <v/>
      </c>
      <c r="R1442" s="73" t="n"/>
      <c r="S1442" s="72" t="n"/>
      <c r="T1442" s="72" t="n"/>
      <c r="U1442" s="74" t="n"/>
      <c r="V1442" s="79" t="str">
        <f>IF(AND(D1442="proMX",OR(R1442="Submitted",R1442="Recall Requested"),ISNUMBER(S1442)),CFG_TODAY-INT(S1442),"")</f>
        <v/>
      </c>
      <c r="W1442" s="78" t="str">
        <f>IF(BD1442=0,"",IF(BA1442&gt;0,"⚠ Se superpone con un registro de la otra empresa",IF(D1442="Malcolm",IF(COUNTA(R1442,S1442,T1442)&gt;0,"Estado/fechas proMX se ignoran en Malcolm",""),IF(BF1442="Cancelled","Cancelado: excluido de totales",IF(R1442="","Sin estado: se trata como Draft",IF(BF1442="Submitted",IF(ISNUMBER(V1442),IF(V1442&gt;CFG_MAXD,"⚠ "&amp;V1442&amp;" días en Submitted (máx. "&amp;CFG_MAXD&amp;")",""),"Falta fecha de envío"),IF(BF1442="Returned","⚠ Devuelto: corregir y reenviar",IF(BF1442="Recall Requested","Retirada solicitada: pendiente",IF(AND(BF1442="Approved",NOT(ISNUMBER(T1442))),"Falta fecha de aprobación",IF(AND(ISNUMBER(S1442),ISNUMBER(T1442),T1442&lt;S1442),"Aprobación anterior al envío","")))))))))</f>
        <v/>
      </c>
      <c r="Y1442" s="80">
        <f>IF(COUNTA(B1442,D1442,E1442,F1442,G1442,H1442,I1442,J1442,R1442,S1442,T1442)&gt;0,1,0)</f>
        <v>0</v>
      </c>
      <c r="Z1442" s="80" t="str">
        <f>IF(AND(ISNUMBER(H1442),H1442&gt;=0,H1442&lt;1),ROUND(H1442*1440,0),"")</f>
        <v/>
      </c>
      <c r="AA1442" s="80" t="str">
        <f>IF(AND(ISNUMBER(I1442),I1442&gt;=0,I1442&lt;1),ROUND(I1442*1440,0),"")</f>
        <v/>
      </c>
      <c r="AB1442" s="80">
        <f>IF(AND(ISNUMBER(B1442),D1442&lt;&gt;"",ISNUMBER(Z1442),ISNUMBER(AA1442)),IF(Z1442=AA1442,0,1),0)</f>
        <v>0</v>
      </c>
      <c r="AC1442" s="80">
        <f>IF(AB1442=1,IF(AA1442&lt;Z1442,1,0),0)</f>
        <v>0</v>
      </c>
      <c r="AD1442" s="80">
        <f>IF(AB1442=1,IF(AC1442=1,1440-Z1442+AA1442,AA1442-Z1442),0)</f>
        <v>0</v>
      </c>
      <c r="AE1442" s="80">
        <f>IF(J1442="",0,IF(ISNUMBER(J1442),J1442,-1))</f>
        <v>0</v>
      </c>
      <c r="AF1442" s="80">
        <f>MIN(MAX(0,AE1442),AD1442)</f>
        <v>0</v>
      </c>
      <c r="AG1442" s="80">
        <f>MAX(0,AD1442-MAX(0,AE1442))</f>
        <v>0</v>
      </c>
      <c r="AH1442" s="80">
        <f>IF(ISNUMBER(B1442),IF(AND(INDEX(CFG_WDAYS,WEEKDAY(INT(B1442),2))="Sí",IF(D1442="proMX",COUNTIFS(FER_F,INT(B1442),FER_NLP,"Sí"),COUNTIFS(FER_F,INT(B1442),FER_NLM,"Sí"))=0),1,0),0)</f>
        <v>0</v>
      </c>
      <c r="AI1442" s="80">
        <f>IF(AC1442=1,IF(AND(INDEX(CFG_WDAYS,WEEKDAY(INT(B1442)+1,2))="Sí",IF(D1442="proMX",COUNTIFS(FER_F,INT(B1442)+1,FER_NLP,"Sí"),COUNTIFS(FER_F,INT(B1442)+1,FER_NLM,"Sí"))=0),1,0),0)</f>
        <v>0</v>
      </c>
      <c r="AJ1442" s="80">
        <f>IF(AC1442=1,1440-Z1442,AD1442)</f>
        <v>0</v>
      </c>
      <c r="AK1442" s="80">
        <f>IF(AND(AB1442=1,AH1442=1),MAX(0,MIN(IF(AC1442=1,1440,AA1442),CFG_WEM)-MAX(Z1442,CFG_WSM)),0)</f>
        <v>0</v>
      </c>
      <c r="AL1442" s="80">
        <f>IF(AND(AC1442=1,AI1442=1),MAX(0,MIN(AA1442,CFG_WEM)-CFG_WSM),0)</f>
        <v>0</v>
      </c>
      <c r="AM1442" s="80">
        <f>AK1442+AL1442</f>
        <v>0</v>
      </c>
      <c r="AN1442" s="80">
        <f>IF(CFG_BRK="Proporcional",IF(AD1442=0,0,AF1442*AM1442/AD1442),IF(CFG_BRK="Extras primero",MIN(AM1442,MAX(0,AF1442-(AD1442-AM1442))),MIN(AF1442,AM1442)))</f>
        <v>0</v>
      </c>
      <c r="AO1442" s="80">
        <f>AF1442-AN1442</f>
        <v>0</v>
      </c>
      <c r="AP1442" s="80">
        <f>AM1442-AN1442</f>
        <v>0</v>
      </c>
      <c r="AQ1442" s="80">
        <f>AD1442-AM1442-AO1442</f>
        <v>0</v>
      </c>
      <c r="AR1442" s="80">
        <f>IF(AM1442=0,0,AK1442-AN1442*AK1442/AM1442)</f>
        <v>0</v>
      </c>
      <c r="AS1442" s="80">
        <f>IF(AD1442-AM1442=0,0,(AJ1442-AK1442)-AO1442*(AJ1442-AK1442)/(AD1442-AM1442))</f>
        <v>0</v>
      </c>
      <c r="AT1442" s="80" t="str">
        <f>IF(AC1442=1,INT(B1442)+1,"")</f>
        <v/>
      </c>
      <c r="AU1442" s="80">
        <f>IF(AND(D1442="proMX",R1442="Cancelled"),0,1)</f>
        <v>1</v>
      </c>
      <c r="AV1442" s="80">
        <f>IF(AND(AB1442=1,AU1442=1),IF(COUNTIFS($D$5:D1441,D1442,$B$5:B1441,B1442,$Z$5:Z1441,Z1442,$AA$5:AA1441,AA1442,$F$5:F1441,F1442&amp;"",$AU$5:AU1441,1)&gt;0,1,0),0)</f>
        <v>0</v>
      </c>
      <c r="AW1442" s="80" t="str">
        <f>IF(AB1442=1,INT(B1442)*1440+Z1442,"")</f>
        <v/>
      </c>
      <c r="AX1442" s="80" t="str">
        <f>IF(AB1442=1,AW1442+AD1442,"")</f>
        <v/>
      </c>
      <c r="AY1442" s="80">
        <f>IF(AND(AB1442=1,AV1442=0,AU1442=1),1,0)</f>
        <v>0</v>
      </c>
      <c r="AZ1442" s="80">
        <f>IF(AY1442=1,COUNTIFS(R_Emp,D1442,R_SAbs,"&lt;"&amp;AX1442,R_EAbs,"&gt;"&amp;AW1442,R_OKey,1)-1,0)</f>
        <v>0</v>
      </c>
      <c r="BA1442" s="80">
        <f>IF(AY1442=1,COUNTIFS(R_Emp,"&lt;&gt;"&amp;D1442,R_SAbs,"&lt;"&amp;AX1442,R_EAbs,"&gt;"&amp;AW1442,R_OKey,1),0)</f>
        <v>0</v>
      </c>
      <c r="BB1442" s="80">
        <f>IF(AND(AB1442=1,D1442="proMX"),IF(AND(MOD(Z1442,CFG_BLK)=0,MOD(AA1442,CFG_BLK)=0,MOD(AG1442,CFG_BLK)=0,AG1442&gt;0),1,0),1)</f>
        <v>1</v>
      </c>
      <c r="BC1442" s="80" t="str">
        <f>IF(Y1442=0,"",IF(NOT(ISNUMBER(B1442)),"Falta fecha o fecha inválida",IF(D1442="","Falta empresa",IF(AND(D1442&lt;&gt;"Malcolm",D1442&lt;&gt;"proMX"),"Empresa inválida",IF(OR(INT(B1442)&lt;CFG_PSTART,INT(B1442)&gt;CFG_PEND),"Fecha fuera del período",IF(OR(NOT(ISNUMBER(Z1442)),NOT(ISNUMBER(AA1442))),"Falta hora inicio/fin o formato inválido",IF(AB1442=0,"Hora inicio = hora fin",IF(AE1442&lt;0,"Descanso inválido",IF(AE1442&gt;=AD1442,"Descanso ≥ duración",IF(AV1442=1,"Registro duplicado",IF(AZ1442&gt;0,"Se superpone con otro registro "&amp;D1442,IF(BB1442=0,"inicio, fin y duración neta deben ser múltiplos de "&amp;CFG_BLK&amp;" min",""))))))))))))</f>
        <v/>
      </c>
      <c r="BD1442" s="80">
        <f>IF(AND(Y1442=1,BC1442=""),1,0)</f>
        <v>0</v>
      </c>
      <c r="BE1442" s="80">
        <f>IF(AND(BD1442=1,AU1442=1),1,0)</f>
        <v>0</v>
      </c>
      <c r="BF1442" s="80" t="str">
        <f>IF(AND(D1442="proMX",BD1442=1),IF(R1442="","Draft",R1442),"")</f>
        <v/>
      </c>
      <c r="BG1442" s="80">
        <f>IF(BD1442=1,ROUND(AG1442/60,6),0)</f>
        <v>0</v>
      </c>
      <c r="BH1442" s="80">
        <f>IF(BE1442=1,ROUND(AG1442/60,6),0)</f>
        <v>0</v>
      </c>
      <c r="BI1442" s="80">
        <f>IF(BE1442=1,ROUND(AP1442/60,6),0)</f>
        <v>0</v>
      </c>
      <c r="BJ1442" s="80">
        <f>IF(BE1442=1,ROUND(AQ1442/60,6),0)</f>
        <v>0</v>
      </c>
      <c r="BK1442" s="80">
        <f>IF(BE1442=1,ROUND((AR1442+AS1442)/60,6),0)</f>
        <v>0</v>
      </c>
      <c r="BL1442" s="80">
        <f>ROUND(BH1442-BK1442,6)</f>
        <v>0</v>
      </c>
      <c r="BM1442" s="80">
        <f>IF(BE1442=1,ROUND(AR1442/60,6),0)</f>
        <v>0</v>
      </c>
      <c r="BN1442" s="80">
        <f>ROUND(BI1442-BM1442,6)</f>
        <v>0</v>
      </c>
      <c r="BO1442" s="80">
        <f>IF(BE1442=1,ROUND(AS1442/60,6),0)</f>
        <v>0</v>
      </c>
      <c r="BP1442" s="80">
        <f>ROUND(BJ1442-BO1442,6)</f>
        <v>0</v>
      </c>
      <c r="BQ1442" s="80">
        <f>IF(BE1442=1,AW1442,0)</f>
        <v>0</v>
      </c>
      <c r="BR1442" s="80">
        <f>IF(BE1442=1,AX1442,0)</f>
        <v>0</v>
      </c>
      <c r="BS1442" s="80">
        <f>IF(AND(BE1442=1,D1442="Malcolm",BA1442&gt;0),MIN(BH1442,SUMPRODUCT((R_Emp="proMX")*(R_EN&gt;0)*((R_EN-(R_EN&gt;BR1442)*(R_EN-BR1442))&gt;(R_SN+(R_SN&lt;BQ1442)*(BQ1442-R_SN)))*((R_EN-(R_EN&gt;BR1442)*(R_EN-BR1442))-(R_SN+(R_SN&lt;BQ1442)*(BQ1442-R_SN))))/60),0)</f>
        <v>0</v>
      </c>
      <c r="BT1442" s="80">
        <f>IF(AND(BE1442=1,D1442="proMX"),ROUND(BI1442*CFG_RATE+BJ1442*CFG_OTRATE,6),0)</f>
        <v>0</v>
      </c>
      <c r="BU1442" s="80">
        <f>IF(AND(BD1442=1,D1442="proMX"),ROUND(AG1442/CFG_BLK,6),0)</f>
        <v>0</v>
      </c>
      <c r="BV1442" s="80" t="str">
        <f>IF(BF1442="Approved",IF(ISNUMBER(T1442),INT(T1442),INT(B1442)),"")</f>
        <v/>
      </c>
      <c r="BW1442" s="80">
        <f>IF(ISNUMBER(B1442),IF(DB_MON="Todos",1,IF(AND(INT(B1442)&gt;=DB_MS,INT(B1442)&lt;=DB_ME),1,0)),0)</f>
        <v>0</v>
      </c>
      <c r="BX1442" s="80">
        <f>IF(DB_PROJ="Todos",1,IF(E1442&amp;""=DB_PROJ&amp;"",1,0))</f>
        <v>1</v>
      </c>
      <c r="BY1442" s="80">
        <f>BW1442*BX1442</f>
        <v>0</v>
      </c>
      <c r="BZ1442" s="80" t="str">
        <f>IF(Y1442=1,F1442&amp;IF(AND(F1442&amp;""&lt;&gt;"",E1442&amp;""&lt;&gt;"")," · ","")&amp;E1442,"")</f>
        <v/>
      </c>
      <c r="CA1442" s="80" t="str">
        <f>IF(AND(BD1442=1,E1442&amp;""&lt;&gt;""),IF(COUNTIFS($E$5:E1441,E1442,$BD$5:BD1441,1)=0,MAX($CA$5:CA1441)+1,""),"")</f>
        <v/>
      </c>
      <c r="CB1442" s="80" t="str">
        <f>IF(AND(BE1442=1,D1442="Malcolm",E1442&amp;""&lt;&gt;""),IF(COUNTIFS($D$5:D1441,"Malcolm",$E$5:E1441,E1442,$BE$5:BE1441,1)=0,MAX($CB$5:CB1441)+1,""),"")</f>
        <v/>
      </c>
      <c r="CC1442" s="80" t="str">
        <f>IF(AND(BD1442=1,D1442="proMX",E1442&amp;""&lt;&gt;""),IF(COUNTIFS($D$5:D1441,"proMX",$E$5:E1441,E1442,$BD$5:BD1441,1)=0,MAX($CC$5:CC1441)+1,""),"")</f>
        <v/>
      </c>
      <c r="CD1442" s="80" t="str">
        <f>IF(AND(BE1442=1,D1442="Malcolm",F1442&amp;""&lt;&gt;""),IF(COUNTIFS($D$5:D1441,"Malcolm",$F$5:F1441,F1442,$BE$5:BE1441,1)=0,MAX($CD$5:CD1441)+1,""),"")</f>
        <v/>
      </c>
      <c r="CE1442" s="80" t="str">
        <f>IF(AND(BD1442=1,D1442="proMX",F1442&amp;""&lt;&gt;""),IF(COUNTIFS($D$5:D1441,"proMX",$F$5:F1441,F1442,$BD$5:BD1441,1)=0,MAX($CE$5:CE1441)+1,""),"")</f>
        <v/>
      </c>
      <c r="CF1442" s="80" t="str">
        <f>IF(AND(D1442="proMX",BD1442=1),IF(OR(BF1442="Draft",BF1442="Submitted",BF1442="Returned",BF1442="Recall Requested"),MAX($CF$5:CF1441)+1,""),"")</f>
        <v/>
      </c>
      <c r="CG1442" s="80">
        <f>IF(BD1442=0,0,IF(D1442="Malcolm",1,MATCH(BF1442,{"Draft","Submitted","Approved","Returned","Recall Requested","Cancelled"},0)+1))</f>
        <v>0</v>
      </c>
      <c r="CH1442" s="80">
        <f>IF(AND(BF1442="Submitted",ISNUMBER(V1442)),IF(V1442&gt;CFG_MAXD,1,0),0)</f>
        <v>0</v>
      </c>
    </row>
    <row r="1443">
      <c r="A1443" s="71" t="str">
        <f>IF(Y1443=1,ROW()-5,"")</f>
        <v/>
      </c>
      <c r="B1443" s="72" t="n"/>
      <c r="C1443" s="71" t="str">
        <f>IF(ISNUMBER(B1443),CHOOSE(WEEKDAY(B1443,2),"Lun","Mar","Mié","Jue","Vie","Sáb","Dom"),"")</f>
        <v/>
      </c>
      <c r="D1443" s="73" t="n"/>
      <c r="E1443" s="74" t="n"/>
      <c r="F1443" s="74" t="n"/>
      <c r="G1443" s="74" t="n"/>
      <c r="H1443" s="75" t="n"/>
      <c r="I1443" s="75" t="n"/>
      <c r="J1443" s="76" t="n"/>
      <c r="K1443" s="77" t="str">
        <f>IF(AB1443=1,ROUND(AG1443/60,4),"")</f>
        <v/>
      </c>
      <c r="L1443" s="77" t="str">
        <f>IF(BD1443=1,ROUND(AP1443/60,4),"")</f>
        <v/>
      </c>
      <c r="M1443" s="77" t="str">
        <f>IF(BD1443=1,ROUND(AQ1443/60,4),"")</f>
        <v/>
      </c>
      <c r="N1443" s="71" t="str">
        <f>IF(AND(D1443="proMX",AB1443=1),ROUND(AG1443/CFG_BLK,2),"")</f>
        <v/>
      </c>
      <c r="O1443" s="77" t="str">
        <f>IF(D1443="proMX",IF(BD1443=1,ROUND(AG1443/60,4),0),"")</f>
        <v/>
      </c>
      <c r="P1443" s="78" t="str">
        <f>IF(Y1443=0,"",IF(BD1443=1,"OK",IF(D1443="proMX","Revisar bloques: ","Revisar: ")&amp;BC1443))</f>
        <v/>
      </c>
      <c r="Q1443" s="78" t="str">
        <f>IF(NOT(ISNUMBER(B1443)),"",IF(COUNTIFS(FER_F,INT(B1443))&gt;0,"Feriado"&amp;IF(AH1443=1," (laborable)"," (no laborable)"),IF(AH1443=1,"Laborable",IF(WEEKDAY(B1443,2)&gt;5,"Fin de semana","No laborable"))))</f>
        <v/>
      </c>
      <c r="R1443" s="73" t="n"/>
      <c r="S1443" s="72" t="n"/>
      <c r="T1443" s="72" t="n"/>
      <c r="U1443" s="74" t="n"/>
      <c r="V1443" s="79" t="str">
        <f>IF(AND(D1443="proMX",OR(R1443="Submitted",R1443="Recall Requested"),ISNUMBER(S1443)),CFG_TODAY-INT(S1443),"")</f>
        <v/>
      </c>
      <c r="W1443" s="78" t="str">
        <f>IF(BD1443=0,"",IF(BA1443&gt;0,"⚠ Se superpone con un registro de la otra empresa",IF(D1443="Malcolm",IF(COUNTA(R1443,S1443,T1443)&gt;0,"Estado/fechas proMX se ignoran en Malcolm",""),IF(BF1443="Cancelled","Cancelado: excluido de totales",IF(R1443="","Sin estado: se trata como Draft",IF(BF1443="Submitted",IF(ISNUMBER(V1443),IF(V1443&gt;CFG_MAXD,"⚠ "&amp;V1443&amp;" días en Submitted (máx. "&amp;CFG_MAXD&amp;")",""),"Falta fecha de envío"),IF(BF1443="Returned","⚠ Devuelto: corregir y reenviar",IF(BF1443="Recall Requested","Retirada solicitada: pendiente",IF(AND(BF1443="Approved",NOT(ISNUMBER(T1443))),"Falta fecha de aprobación",IF(AND(ISNUMBER(S1443),ISNUMBER(T1443),T1443&lt;S1443),"Aprobación anterior al envío","")))))))))</f>
        <v/>
      </c>
      <c r="Y1443" s="80">
        <f>IF(COUNTA(B1443,D1443,E1443,F1443,G1443,H1443,I1443,J1443,R1443,S1443,T1443)&gt;0,1,0)</f>
        <v>0</v>
      </c>
      <c r="Z1443" s="80" t="str">
        <f>IF(AND(ISNUMBER(H1443),H1443&gt;=0,H1443&lt;1),ROUND(H1443*1440,0),"")</f>
        <v/>
      </c>
      <c r="AA1443" s="80" t="str">
        <f>IF(AND(ISNUMBER(I1443),I1443&gt;=0,I1443&lt;1),ROUND(I1443*1440,0),"")</f>
        <v/>
      </c>
      <c r="AB1443" s="80">
        <f>IF(AND(ISNUMBER(B1443),D1443&lt;&gt;"",ISNUMBER(Z1443),ISNUMBER(AA1443)),IF(Z1443=AA1443,0,1),0)</f>
        <v>0</v>
      </c>
      <c r="AC1443" s="80">
        <f>IF(AB1443=1,IF(AA1443&lt;Z1443,1,0),0)</f>
        <v>0</v>
      </c>
      <c r="AD1443" s="80">
        <f>IF(AB1443=1,IF(AC1443=1,1440-Z1443+AA1443,AA1443-Z1443),0)</f>
        <v>0</v>
      </c>
      <c r="AE1443" s="80">
        <f>IF(J1443="",0,IF(ISNUMBER(J1443),J1443,-1))</f>
        <v>0</v>
      </c>
      <c r="AF1443" s="80">
        <f>MIN(MAX(0,AE1443),AD1443)</f>
        <v>0</v>
      </c>
      <c r="AG1443" s="80">
        <f>MAX(0,AD1443-MAX(0,AE1443))</f>
        <v>0</v>
      </c>
      <c r="AH1443" s="80">
        <f>IF(ISNUMBER(B1443),IF(AND(INDEX(CFG_WDAYS,WEEKDAY(INT(B1443),2))="Sí",IF(D1443="proMX",COUNTIFS(FER_F,INT(B1443),FER_NLP,"Sí"),COUNTIFS(FER_F,INT(B1443),FER_NLM,"Sí"))=0),1,0),0)</f>
        <v>0</v>
      </c>
      <c r="AI1443" s="80">
        <f>IF(AC1443=1,IF(AND(INDEX(CFG_WDAYS,WEEKDAY(INT(B1443)+1,2))="Sí",IF(D1443="proMX",COUNTIFS(FER_F,INT(B1443)+1,FER_NLP,"Sí"),COUNTIFS(FER_F,INT(B1443)+1,FER_NLM,"Sí"))=0),1,0),0)</f>
        <v>0</v>
      </c>
      <c r="AJ1443" s="80">
        <f>IF(AC1443=1,1440-Z1443,AD1443)</f>
        <v>0</v>
      </c>
      <c r="AK1443" s="80">
        <f>IF(AND(AB1443=1,AH1443=1),MAX(0,MIN(IF(AC1443=1,1440,AA1443),CFG_WEM)-MAX(Z1443,CFG_WSM)),0)</f>
        <v>0</v>
      </c>
      <c r="AL1443" s="80">
        <f>IF(AND(AC1443=1,AI1443=1),MAX(0,MIN(AA1443,CFG_WEM)-CFG_WSM),0)</f>
        <v>0</v>
      </c>
      <c r="AM1443" s="80">
        <f>AK1443+AL1443</f>
        <v>0</v>
      </c>
      <c r="AN1443" s="80">
        <f>IF(CFG_BRK="Proporcional",IF(AD1443=0,0,AF1443*AM1443/AD1443),IF(CFG_BRK="Extras primero",MIN(AM1443,MAX(0,AF1443-(AD1443-AM1443))),MIN(AF1443,AM1443)))</f>
        <v>0</v>
      </c>
      <c r="AO1443" s="80">
        <f>AF1443-AN1443</f>
        <v>0</v>
      </c>
      <c r="AP1443" s="80">
        <f>AM1443-AN1443</f>
        <v>0</v>
      </c>
      <c r="AQ1443" s="80">
        <f>AD1443-AM1443-AO1443</f>
        <v>0</v>
      </c>
      <c r="AR1443" s="80">
        <f>IF(AM1443=0,0,AK1443-AN1443*AK1443/AM1443)</f>
        <v>0</v>
      </c>
      <c r="AS1443" s="80">
        <f>IF(AD1443-AM1443=0,0,(AJ1443-AK1443)-AO1443*(AJ1443-AK1443)/(AD1443-AM1443))</f>
        <v>0</v>
      </c>
      <c r="AT1443" s="80" t="str">
        <f>IF(AC1443=1,INT(B1443)+1,"")</f>
        <v/>
      </c>
      <c r="AU1443" s="80">
        <f>IF(AND(D1443="proMX",R1443="Cancelled"),0,1)</f>
        <v>1</v>
      </c>
      <c r="AV1443" s="80">
        <f>IF(AND(AB1443=1,AU1443=1),IF(COUNTIFS($D$5:D1442,D1443,$B$5:B1442,B1443,$Z$5:Z1442,Z1443,$AA$5:AA1442,AA1443,$F$5:F1442,F1443&amp;"",$AU$5:AU1442,1)&gt;0,1,0),0)</f>
        <v>0</v>
      </c>
      <c r="AW1443" s="80" t="str">
        <f>IF(AB1443=1,INT(B1443)*1440+Z1443,"")</f>
        <v/>
      </c>
      <c r="AX1443" s="80" t="str">
        <f>IF(AB1443=1,AW1443+AD1443,"")</f>
        <v/>
      </c>
      <c r="AY1443" s="80">
        <f>IF(AND(AB1443=1,AV1443=0,AU1443=1),1,0)</f>
        <v>0</v>
      </c>
      <c r="AZ1443" s="80">
        <f>IF(AY1443=1,COUNTIFS(R_Emp,D1443,R_SAbs,"&lt;"&amp;AX1443,R_EAbs,"&gt;"&amp;AW1443,R_OKey,1)-1,0)</f>
        <v>0</v>
      </c>
      <c r="BA1443" s="80">
        <f>IF(AY1443=1,COUNTIFS(R_Emp,"&lt;&gt;"&amp;D1443,R_SAbs,"&lt;"&amp;AX1443,R_EAbs,"&gt;"&amp;AW1443,R_OKey,1),0)</f>
        <v>0</v>
      </c>
      <c r="BB1443" s="80">
        <f>IF(AND(AB1443=1,D1443="proMX"),IF(AND(MOD(Z1443,CFG_BLK)=0,MOD(AA1443,CFG_BLK)=0,MOD(AG1443,CFG_BLK)=0,AG1443&gt;0),1,0),1)</f>
        <v>1</v>
      </c>
      <c r="BC1443" s="80" t="str">
        <f>IF(Y1443=0,"",IF(NOT(ISNUMBER(B1443)),"Falta fecha o fecha inválida",IF(D1443="","Falta empresa",IF(AND(D1443&lt;&gt;"Malcolm",D1443&lt;&gt;"proMX"),"Empresa inválida",IF(OR(INT(B1443)&lt;CFG_PSTART,INT(B1443)&gt;CFG_PEND),"Fecha fuera del período",IF(OR(NOT(ISNUMBER(Z1443)),NOT(ISNUMBER(AA1443))),"Falta hora inicio/fin o formato inválido",IF(AB1443=0,"Hora inicio = hora fin",IF(AE1443&lt;0,"Descanso inválido",IF(AE1443&gt;=AD1443,"Descanso ≥ duración",IF(AV1443=1,"Registro duplicado",IF(AZ1443&gt;0,"Se superpone con otro registro "&amp;D1443,IF(BB1443=0,"inicio, fin y duración neta deben ser múltiplos de "&amp;CFG_BLK&amp;" min",""))))))))))))</f>
        <v/>
      </c>
      <c r="BD1443" s="80">
        <f>IF(AND(Y1443=1,BC1443=""),1,0)</f>
        <v>0</v>
      </c>
      <c r="BE1443" s="80">
        <f>IF(AND(BD1443=1,AU1443=1),1,0)</f>
        <v>0</v>
      </c>
      <c r="BF1443" s="80" t="str">
        <f>IF(AND(D1443="proMX",BD1443=1),IF(R1443="","Draft",R1443),"")</f>
        <v/>
      </c>
      <c r="BG1443" s="80">
        <f>IF(BD1443=1,ROUND(AG1443/60,6),0)</f>
        <v>0</v>
      </c>
      <c r="BH1443" s="80">
        <f>IF(BE1443=1,ROUND(AG1443/60,6),0)</f>
        <v>0</v>
      </c>
      <c r="BI1443" s="80">
        <f>IF(BE1443=1,ROUND(AP1443/60,6),0)</f>
        <v>0</v>
      </c>
      <c r="BJ1443" s="80">
        <f>IF(BE1443=1,ROUND(AQ1443/60,6),0)</f>
        <v>0</v>
      </c>
      <c r="BK1443" s="80">
        <f>IF(BE1443=1,ROUND((AR1443+AS1443)/60,6),0)</f>
        <v>0</v>
      </c>
      <c r="BL1443" s="80">
        <f>ROUND(BH1443-BK1443,6)</f>
        <v>0</v>
      </c>
      <c r="BM1443" s="80">
        <f>IF(BE1443=1,ROUND(AR1443/60,6),0)</f>
        <v>0</v>
      </c>
      <c r="BN1443" s="80">
        <f>ROUND(BI1443-BM1443,6)</f>
        <v>0</v>
      </c>
      <c r="BO1443" s="80">
        <f>IF(BE1443=1,ROUND(AS1443/60,6),0)</f>
        <v>0</v>
      </c>
      <c r="BP1443" s="80">
        <f>ROUND(BJ1443-BO1443,6)</f>
        <v>0</v>
      </c>
      <c r="BQ1443" s="80">
        <f>IF(BE1443=1,AW1443,0)</f>
        <v>0</v>
      </c>
      <c r="BR1443" s="80">
        <f>IF(BE1443=1,AX1443,0)</f>
        <v>0</v>
      </c>
      <c r="BS1443" s="80">
        <f>IF(AND(BE1443=1,D1443="Malcolm",BA1443&gt;0),MIN(BH1443,SUMPRODUCT((R_Emp="proMX")*(R_EN&gt;0)*((R_EN-(R_EN&gt;BR1443)*(R_EN-BR1443))&gt;(R_SN+(R_SN&lt;BQ1443)*(BQ1443-R_SN)))*((R_EN-(R_EN&gt;BR1443)*(R_EN-BR1443))-(R_SN+(R_SN&lt;BQ1443)*(BQ1443-R_SN))))/60),0)</f>
        <v>0</v>
      </c>
      <c r="BT1443" s="80">
        <f>IF(AND(BE1443=1,D1443="proMX"),ROUND(BI1443*CFG_RATE+BJ1443*CFG_OTRATE,6),0)</f>
        <v>0</v>
      </c>
      <c r="BU1443" s="80">
        <f>IF(AND(BD1443=1,D1443="proMX"),ROUND(AG1443/CFG_BLK,6),0)</f>
        <v>0</v>
      </c>
      <c r="BV1443" s="80" t="str">
        <f>IF(BF1443="Approved",IF(ISNUMBER(T1443),INT(T1443),INT(B1443)),"")</f>
        <v/>
      </c>
      <c r="BW1443" s="80">
        <f>IF(ISNUMBER(B1443),IF(DB_MON="Todos",1,IF(AND(INT(B1443)&gt;=DB_MS,INT(B1443)&lt;=DB_ME),1,0)),0)</f>
        <v>0</v>
      </c>
      <c r="BX1443" s="80">
        <f>IF(DB_PROJ="Todos",1,IF(E1443&amp;""=DB_PROJ&amp;"",1,0))</f>
        <v>1</v>
      </c>
      <c r="BY1443" s="80">
        <f>BW1443*BX1443</f>
        <v>0</v>
      </c>
      <c r="BZ1443" s="80" t="str">
        <f>IF(Y1443=1,F1443&amp;IF(AND(F1443&amp;""&lt;&gt;"",E1443&amp;""&lt;&gt;"")," · ","")&amp;E1443,"")</f>
        <v/>
      </c>
      <c r="CA1443" s="80" t="str">
        <f>IF(AND(BD1443=1,E1443&amp;""&lt;&gt;""),IF(COUNTIFS($E$5:E1442,E1443,$BD$5:BD1442,1)=0,MAX($CA$5:CA1442)+1,""),"")</f>
        <v/>
      </c>
      <c r="CB1443" s="80" t="str">
        <f>IF(AND(BE1443=1,D1443="Malcolm",E1443&amp;""&lt;&gt;""),IF(COUNTIFS($D$5:D1442,"Malcolm",$E$5:E1442,E1443,$BE$5:BE1442,1)=0,MAX($CB$5:CB1442)+1,""),"")</f>
        <v/>
      </c>
      <c r="CC1443" s="80" t="str">
        <f>IF(AND(BD1443=1,D1443="proMX",E1443&amp;""&lt;&gt;""),IF(COUNTIFS($D$5:D1442,"proMX",$E$5:E1442,E1443,$BD$5:BD1442,1)=0,MAX($CC$5:CC1442)+1,""),"")</f>
        <v/>
      </c>
      <c r="CD1443" s="80" t="str">
        <f>IF(AND(BE1443=1,D1443="Malcolm",F1443&amp;""&lt;&gt;""),IF(COUNTIFS($D$5:D1442,"Malcolm",$F$5:F1442,F1443,$BE$5:BE1442,1)=0,MAX($CD$5:CD1442)+1,""),"")</f>
        <v/>
      </c>
      <c r="CE1443" s="80" t="str">
        <f>IF(AND(BD1443=1,D1443="proMX",F1443&amp;""&lt;&gt;""),IF(COUNTIFS($D$5:D1442,"proMX",$F$5:F1442,F1443,$BD$5:BD1442,1)=0,MAX($CE$5:CE1442)+1,""),"")</f>
        <v/>
      </c>
      <c r="CF1443" s="80" t="str">
        <f>IF(AND(D1443="proMX",BD1443=1),IF(OR(BF1443="Draft",BF1443="Submitted",BF1443="Returned",BF1443="Recall Requested"),MAX($CF$5:CF1442)+1,""),"")</f>
        <v/>
      </c>
      <c r="CG1443" s="80">
        <f>IF(BD1443=0,0,IF(D1443="Malcolm",1,MATCH(BF1443,{"Draft","Submitted","Approved","Returned","Recall Requested","Cancelled"},0)+1))</f>
        <v>0</v>
      </c>
      <c r="CH1443" s="80">
        <f>IF(AND(BF1443="Submitted",ISNUMBER(V1443)),IF(V1443&gt;CFG_MAXD,1,0),0)</f>
        <v>0</v>
      </c>
    </row>
    <row r="1444">
      <c r="A1444" s="71" t="str">
        <f>IF(Y1444=1,ROW()-5,"")</f>
        <v/>
      </c>
      <c r="B1444" s="72" t="n"/>
      <c r="C1444" s="71" t="str">
        <f>IF(ISNUMBER(B1444),CHOOSE(WEEKDAY(B1444,2),"Lun","Mar","Mié","Jue","Vie","Sáb","Dom"),"")</f>
        <v/>
      </c>
      <c r="D1444" s="73" t="n"/>
      <c r="E1444" s="74" t="n"/>
      <c r="F1444" s="74" t="n"/>
      <c r="G1444" s="74" t="n"/>
      <c r="H1444" s="75" t="n"/>
      <c r="I1444" s="75" t="n"/>
      <c r="J1444" s="76" t="n"/>
      <c r="K1444" s="77" t="str">
        <f>IF(AB1444=1,ROUND(AG1444/60,4),"")</f>
        <v/>
      </c>
      <c r="L1444" s="77" t="str">
        <f>IF(BD1444=1,ROUND(AP1444/60,4),"")</f>
        <v/>
      </c>
      <c r="M1444" s="77" t="str">
        <f>IF(BD1444=1,ROUND(AQ1444/60,4),"")</f>
        <v/>
      </c>
      <c r="N1444" s="71" t="str">
        <f>IF(AND(D1444="proMX",AB1444=1),ROUND(AG1444/CFG_BLK,2),"")</f>
        <v/>
      </c>
      <c r="O1444" s="77" t="str">
        <f>IF(D1444="proMX",IF(BD1444=1,ROUND(AG1444/60,4),0),"")</f>
        <v/>
      </c>
      <c r="P1444" s="78" t="str">
        <f>IF(Y1444=0,"",IF(BD1444=1,"OK",IF(D1444="proMX","Revisar bloques: ","Revisar: ")&amp;BC1444))</f>
        <v/>
      </c>
      <c r="Q1444" s="78" t="str">
        <f>IF(NOT(ISNUMBER(B1444)),"",IF(COUNTIFS(FER_F,INT(B1444))&gt;0,"Feriado"&amp;IF(AH1444=1," (laborable)"," (no laborable)"),IF(AH1444=1,"Laborable",IF(WEEKDAY(B1444,2)&gt;5,"Fin de semana","No laborable"))))</f>
        <v/>
      </c>
      <c r="R1444" s="73" t="n"/>
      <c r="S1444" s="72" t="n"/>
      <c r="T1444" s="72" t="n"/>
      <c r="U1444" s="74" t="n"/>
      <c r="V1444" s="79" t="str">
        <f>IF(AND(D1444="proMX",OR(R1444="Submitted",R1444="Recall Requested"),ISNUMBER(S1444)),CFG_TODAY-INT(S1444),"")</f>
        <v/>
      </c>
      <c r="W1444" s="78" t="str">
        <f>IF(BD1444=0,"",IF(BA1444&gt;0,"⚠ Se superpone con un registro de la otra empresa",IF(D1444="Malcolm",IF(COUNTA(R1444,S1444,T1444)&gt;0,"Estado/fechas proMX se ignoran en Malcolm",""),IF(BF1444="Cancelled","Cancelado: excluido de totales",IF(R1444="","Sin estado: se trata como Draft",IF(BF1444="Submitted",IF(ISNUMBER(V1444),IF(V1444&gt;CFG_MAXD,"⚠ "&amp;V1444&amp;" días en Submitted (máx. "&amp;CFG_MAXD&amp;")",""),"Falta fecha de envío"),IF(BF1444="Returned","⚠ Devuelto: corregir y reenviar",IF(BF1444="Recall Requested","Retirada solicitada: pendiente",IF(AND(BF1444="Approved",NOT(ISNUMBER(T1444))),"Falta fecha de aprobación",IF(AND(ISNUMBER(S1444),ISNUMBER(T1444),T1444&lt;S1444),"Aprobación anterior al envío","")))))))))</f>
        <v/>
      </c>
      <c r="Y1444" s="80">
        <f>IF(COUNTA(B1444,D1444,E1444,F1444,G1444,H1444,I1444,J1444,R1444,S1444,T1444)&gt;0,1,0)</f>
        <v>0</v>
      </c>
      <c r="Z1444" s="80" t="str">
        <f>IF(AND(ISNUMBER(H1444),H1444&gt;=0,H1444&lt;1),ROUND(H1444*1440,0),"")</f>
        <v/>
      </c>
      <c r="AA1444" s="80" t="str">
        <f>IF(AND(ISNUMBER(I1444),I1444&gt;=0,I1444&lt;1),ROUND(I1444*1440,0),"")</f>
        <v/>
      </c>
      <c r="AB1444" s="80">
        <f>IF(AND(ISNUMBER(B1444),D1444&lt;&gt;"",ISNUMBER(Z1444),ISNUMBER(AA1444)),IF(Z1444=AA1444,0,1),0)</f>
        <v>0</v>
      </c>
      <c r="AC1444" s="80">
        <f>IF(AB1444=1,IF(AA1444&lt;Z1444,1,0),0)</f>
        <v>0</v>
      </c>
      <c r="AD1444" s="80">
        <f>IF(AB1444=1,IF(AC1444=1,1440-Z1444+AA1444,AA1444-Z1444),0)</f>
        <v>0</v>
      </c>
      <c r="AE1444" s="80">
        <f>IF(J1444="",0,IF(ISNUMBER(J1444),J1444,-1))</f>
        <v>0</v>
      </c>
      <c r="AF1444" s="80">
        <f>MIN(MAX(0,AE1444),AD1444)</f>
        <v>0</v>
      </c>
      <c r="AG1444" s="80">
        <f>MAX(0,AD1444-MAX(0,AE1444))</f>
        <v>0</v>
      </c>
      <c r="AH1444" s="80">
        <f>IF(ISNUMBER(B1444),IF(AND(INDEX(CFG_WDAYS,WEEKDAY(INT(B1444),2))="Sí",IF(D1444="proMX",COUNTIFS(FER_F,INT(B1444),FER_NLP,"Sí"),COUNTIFS(FER_F,INT(B1444),FER_NLM,"Sí"))=0),1,0),0)</f>
        <v>0</v>
      </c>
      <c r="AI1444" s="80">
        <f>IF(AC1444=1,IF(AND(INDEX(CFG_WDAYS,WEEKDAY(INT(B1444)+1,2))="Sí",IF(D1444="proMX",COUNTIFS(FER_F,INT(B1444)+1,FER_NLP,"Sí"),COUNTIFS(FER_F,INT(B1444)+1,FER_NLM,"Sí"))=0),1,0),0)</f>
        <v>0</v>
      </c>
      <c r="AJ1444" s="80">
        <f>IF(AC1444=1,1440-Z1444,AD1444)</f>
        <v>0</v>
      </c>
      <c r="AK1444" s="80">
        <f>IF(AND(AB1444=1,AH1444=1),MAX(0,MIN(IF(AC1444=1,1440,AA1444),CFG_WEM)-MAX(Z1444,CFG_WSM)),0)</f>
        <v>0</v>
      </c>
      <c r="AL1444" s="80">
        <f>IF(AND(AC1444=1,AI1444=1),MAX(0,MIN(AA1444,CFG_WEM)-CFG_WSM),0)</f>
        <v>0</v>
      </c>
      <c r="AM1444" s="80">
        <f>AK1444+AL1444</f>
        <v>0</v>
      </c>
      <c r="AN1444" s="80">
        <f>IF(CFG_BRK="Proporcional",IF(AD1444=0,0,AF1444*AM1444/AD1444),IF(CFG_BRK="Extras primero",MIN(AM1444,MAX(0,AF1444-(AD1444-AM1444))),MIN(AF1444,AM1444)))</f>
        <v>0</v>
      </c>
      <c r="AO1444" s="80">
        <f>AF1444-AN1444</f>
        <v>0</v>
      </c>
      <c r="AP1444" s="80">
        <f>AM1444-AN1444</f>
        <v>0</v>
      </c>
      <c r="AQ1444" s="80">
        <f>AD1444-AM1444-AO1444</f>
        <v>0</v>
      </c>
      <c r="AR1444" s="80">
        <f>IF(AM1444=0,0,AK1444-AN1444*AK1444/AM1444)</f>
        <v>0</v>
      </c>
      <c r="AS1444" s="80">
        <f>IF(AD1444-AM1444=0,0,(AJ1444-AK1444)-AO1444*(AJ1444-AK1444)/(AD1444-AM1444))</f>
        <v>0</v>
      </c>
      <c r="AT1444" s="80" t="str">
        <f>IF(AC1444=1,INT(B1444)+1,"")</f>
        <v/>
      </c>
      <c r="AU1444" s="80">
        <f>IF(AND(D1444="proMX",R1444="Cancelled"),0,1)</f>
        <v>1</v>
      </c>
      <c r="AV1444" s="80">
        <f>IF(AND(AB1444=1,AU1444=1),IF(COUNTIFS($D$5:D1443,D1444,$B$5:B1443,B1444,$Z$5:Z1443,Z1444,$AA$5:AA1443,AA1444,$F$5:F1443,F1444&amp;"",$AU$5:AU1443,1)&gt;0,1,0),0)</f>
        <v>0</v>
      </c>
      <c r="AW1444" s="80" t="str">
        <f>IF(AB1444=1,INT(B1444)*1440+Z1444,"")</f>
        <v/>
      </c>
      <c r="AX1444" s="80" t="str">
        <f>IF(AB1444=1,AW1444+AD1444,"")</f>
        <v/>
      </c>
      <c r="AY1444" s="80">
        <f>IF(AND(AB1444=1,AV1444=0,AU1444=1),1,0)</f>
        <v>0</v>
      </c>
      <c r="AZ1444" s="80">
        <f>IF(AY1444=1,COUNTIFS(R_Emp,D1444,R_SAbs,"&lt;"&amp;AX1444,R_EAbs,"&gt;"&amp;AW1444,R_OKey,1)-1,0)</f>
        <v>0</v>
      </c>
      <c r="BA1444" s="80">
        <f>IF(AY1444=1,COUNTIFS(R_Emp,"&lt;&gt;"&amp;D1444,R_SAbs,"&lt;"&amp;AX1444,R_EAbs,"&gt;"&amp;AW1444,R_OKey,1),0)</f>
        <v>0</v>
      </c>
      <c r="BB1444" s="80">
        <f>IF(AND(AB1444=1,D1444="proMX"),IF(AND(MOD(Z1444,CFG_BLK)=0,MOD(AA1444,CFG_BLK)=0,MOD(AG1444,CFG_BLK)=0,AG1444&gt;0),1,0),1)</f>
        <v>1</v>
      </c>
      <c r="BC1444" s="80" t="str">
        <f>IF(Y1444=0,"",IF(NOT(ISNUMBER(B1444)),"Falta fecha o fecha inválida",IF(D1444="","Falta empresa",IF(AND(D1444&lt;&gt;"Malcolm",D1444&lt;&gt;"proMX"),"Empresa inválida",IF(OR(INT(B1444)&lt;CFG_PSTART,INT(B1444)&gt;CFG_PEND),"Fecha fuera del período",IF(OR(NOT(ISNUMBER(Z1444)),NOT(ISNUMBER(AA1444))),"Falta hora inicio/fin o formato inválido",IF(AB1444=0,"Hora inicio = hora fin",IF(AE1444&lt;0,"Descanso inválido",IF(AE1444&gt;=AD1444,"Descanso ≥ duración",IF(AV1444=1,"Registro duplicado",IF(AZ1444&gt;0,"Se superpone con otro registro "&amp;D1444,IF(BB1444=0,"inicio, fin y duración neta deben ser múltiplos de "&amp;CFG_BLK&amp;" min",""))))))))))))</f>
        <v/>
      </c>
      <c r="BD1444" s="80">
        <f>IF(AND(Y1444=1,BC1444=""),1,0)</f>
        <v>0</v>
      </c>
      <c r="BE1444" s="80">
        <f>IF(AND(BD1444=1,AU1444=1),1,0)</f>
        <v>0</v>
      </c>
      <c r="BF1444" s="80" t="str">
        <f>IF(AND(D1444="proMX",BD1444=1),IF(R1444="","Draft",R1444),"")</f>
        <v/>
      </c>
      <c r="BG1444" s="80">
        <f>IF(BD1444=1,ROUND(AG1444/60,6),0)</f>
        <v>0</v>
      </c>
      <c r="BH1444" s="80">
        <f>IF(BE1444=1,ROUND(AG1444/60,6),0)</f>
        <v>0</v>
      </c>
      <c r="BI1444" s="80">
        <f>IF(BE1444=1,ROUND(AP1444/60,6),0)</f>
        <v>0</v>
      </c>
      <c r="BJ1444" s="80">
        <f>IF(BE1444=1,ROUND(AQ1444/60,6),0)</f>
        <v>0</v>
      </c>
      <c r="BK1444" s="80">
        <f>IF(BE1444=1,ROUND((AR1444+AS1444)/60,6),0)</f>
        <v>0</v>
      </c>
      <c r="BL1444" s="80">
        <f>ROUND(BH1444-BK1444,6)</f>
        <v>0</v>
      </c>
      <c r="BM1444" s="80">
        <f>IF(BE1444=1,ROUND(AR1444/60,6),0)</f>
        <v>0</v>
      </c>
      <c r="BN1444" s="80">
        <f>ROUND(BI1444-BM1444,6)</f>
        <v>0</v>
      </c>
      <c r="BO1444" s="80">
        <f>IF(BE1444=1,ROUND(AS1444/60,6),0)</f>
        <v>0</v>
      </c>
      <c r="BP1444" s="80">
        <f>ROUND(BJ1444-BO1444,6)</f>
        <v>0</v>
      </c>
      <c r="BQ1444" s="80">
        <f>IF(BE1444=1,AW1444,0)</f>
        <v>0</v>
      </c>
      <c r="BR1444" s="80">
        <f>IF(BE1444=1,AX1444,0)</f>
        <v>0</v>
      </c>
      <c r="BS1444" s="80">
        <f>IF(AND(BE1444=1,D1444="Malcolm",BA1444&gt;0),MIN(BH1444,SUMPRODUCT((R_Emp="proMX")*(R_EN&gt;0)*((R_EN-(R_EN&gt;BR1444)*(R_EN-BR1444))&gt;(R_SN+(R_SN&lt;BQ1444)*(BQ1444-R_SN)))*((R_EN-(R_EN&gt;BR1444)*(R_EN-BR1444))-(R_SN+(R_SN&lt;BQ1444)*(BQ1444-R_SN))))/60),0)</f>
        <v>0</v>
      </c>
      <c r="BT1444" s="80">
        <f>IF(AND(BE1444=1,D1444="proMX"),ROUND(BI1444*CFG_RATE+BJ1444*CFG_OTRATE,6),0)</f>
        <v>0</v>
      </c>
      <c r="BU1444" s="80">
        <f>IF(AND(BD1444=1,D1444="proMX"),ROUND(AG1444/CFG_BLK,6),0)</f>
        <v>0</v>
      </c>
      <c r="BV1444" s="80" t="str">
        <f>IF(BF1444="Approved",IF(ISNUMBER(T1444),INT(T1444),INT(B1444)),"")</f>
        <v/>
      </c>
      <c r="BW1444" s="80">
        <f>IF(ISNUMBER(B1444),IF(DB_MON="Todos",1,IF(AND(INT(B1444)&gt;=DB_MS,INT(B1444)&lt;=DB_ME),1,0)),0)</f>
        <v>0</v>
      </c>
      <c r="BX1444" s="80">
        <f>IF(DB_PROJ="Todos",1,IF(E1444&amp;""=DB_PROJ&amp;"",1,0))</f>
        <v>1</v>
      </c>
      <c r="BY1444" s="80">
        <f>BW1444*BX1444</f>
        <v>0</v>
      </c>
      <c r="BZ1444" s="80" t="str">
        <f>IF(Y1444=1,F1444&amp;IF(AND(F1444&amp;""&lt;&gt;"",E1444&amp;""&lt;&gt;"")," · ","")&amp;E1444,"")</f>
        <v/>
      </c>
      <c r="CA1444" s="80" t="str">
        <f>IF(AND(BD1444=1,E1444&amp;""&lt;&gt;""),IF(COUNTIFS($E$5:E1443,E1444,$BD$5:BD1443,1)=0,MAX($CA$5:CA1443)+1,""),"")</f>
        <v/>
      </c>
      <c r="CB1444" s="80" t="str">
        <f>IF(AND(BE1444=1,D1444="Malcolm",E1444&amp;""&lt;&gt;""),IF(COUNTIFS($D$5:D1443,"Malcolm",$E$5:E1443,E1444,$BE$5:BE1443,1)=0,MAX($CB$5:CB1443)+1,""),"")</f>
        <v/>
      </c>
      <c r="CC1444" s="80" t="str">
        <f>IF(AND(BD1444=1,D1444="proMX",E1444&amp;""&lt;&gt;""),IF(COUNTIFS($D$5:D1443,"proMX",$E$5:E1443,E1444,$BD$5:BD1443,1)=0,MAX($CC$5:CC1443)+1,""),"")</f>
        <v/>
      </c>
      <c r="CD1444" s="80" t="str">
        <f>IF(AND(BE1444=1,D1444="Malcolm",F1444&amp;""&lt;&gt;""),IF(COUNTIFS($D$5:D1443,"Malcolm",$F$5:F1443,F1444,$BE$5:BE1443,1)=0,MAX($CD$5:CD1443)+1,""),"")</f>
        <v/>
      </c>
      <c r="CE1444" s="80" t="str">
        <f>IF(AND(BD1444=1,D1444="proMX",F1444&amp;""&lt;&gt;""),IF(COUNTIFS($D$5:D1443,"proMX",$F$5:F1443,F1444,$BD$5:BD1443,1)=0,MAX($CE$5:CE1443)+1,""),"")</f>
        <v/>
      </c>
      <c r="CF1444" s="80" t="str">
        <f>IF(AND(D1444="proMX",BD1444=1),IF(OR(BF1444="Draft",BF1444="Submitted",BF1444="Returned",BF1444="Recall Requested"),MAX($CF$5:CF1443)+1,""),"")</f>
        <v/>
      </c>
      <c r="CG1444" s="80">
        <f>IF(BD1444=0,0,IF(D1444="Malcolm",1,MATCH(BF1444,{"Draft","Submitted","Approved","Returned","Recall Requested","Cancelled"},0)+1))</f>
        <v>0</v>
      </c>
      <c r="CH1444" s="80">
        <f>IF(AND(BF1444="Submitted",ISNUMBER(V1444)),IF(V1444&gt;CFG_MAXD,1,0),0)</f>
        <v>0</v>
      </c>
    </row>
    <row r="1445">
      <c r="A1445" s="71" t="str">
        <f>IF(Y1445=1,ROW()-5,"")</f>
        <v/>
      </c>
      <c r="B1445" s="72" t="n"/>
      <c r="C1445" s="71" t="str">
        <f>IF(ISNUMBER(B1445),CHOOSE(WEEKDAY(B1445,2),"Lun","Mar","Mié","Jue","Vie","Sáb","Dom"),"")</f>
        <v/>
      </c>
      <c r="D1445" s="73" t="n"/>
      <c r="E1445" s="74" t="n"/>
      <c r="F1445" s="74" t="n"/>
      <c r="G1445" s="74" t="n"/>
      <c r="H1445" s="75" t="n"/>
      <c r="I1445" s="75" t="n"/>
      <c r="J1445" s="76" t="n"/>
      <c r="K1445" s="77" t="str">
        <f>IF(AB1445=1,ROUND(AG1445/60,4),"")</f>
        <v/>
      </c>
      <c r="L1445" s="77" t="str">
        <f>IF(BD1445=1,ROUND(AP1445/60,4),"")</f>
        <v/>
      </c>
      <c r="M1445" s="77" t="str">
        <f>IF(BD1445=1,ROUND(AQ1445/60,4),"")</f>
        <v/>
      </c>
      <c r="N1445" s="71" t="str">
        <f>IF(AND(D1445="proMX",AB1445=1),ROUND(AG1445/CFG_BLK,2),"")</f>
        <v/>
      </c>
      <c r="O1445" s="77" t="str">
        <f>IF(D1445="proMX",IF(BD1445=1,ROUND(AG1445/60,4),0),"")</f>
        <v/>
      </c>
      <c r="P1445" s="78" t="str">
        <f>IF(Y1445=0,"",IF(BD1445=1,"OK",IF(D1445="proMX","Revisar bloques: ","Revisar: ")&amp;BC1445))</f>
        <v/>
      </c>
      <c r="Q1445" s="78" t="str">
        <f>IF(NOT(ISNUMBER(B1445)),"",IF(COUNTIFS(FER_F,INT(B1445))&gt;0,"Feriado"&amp;IF(AH1445=1," (laborable)"," (no laborable)"),IF(AH1445=1,"Laborable",IF(WEEKDAY(B1445,2)&gt;5,"Fin de semana","No laborable"))))</f>
        <v/>
      </c>
      <c r="R1445" s="73" t="n"/>
      <c r="S1445" s="72" t="n"/>
      <c r="T1445" s="72" t="n"/>
      <c r="U1445" s="74" t="n"/>
      <c r="V1445" s="79" t="str">
        <f>IF(AND(D1445="proMX",OR(R1445="Submitted",R1445="Recall Requested"),ISNUMBER(S1445)),CFG_TODAY-INT(S1445),"")</f>
        <v/>
      </c>
      <c r="W1445" s="78" t="str">
        <f>IF(BD1445=0,"",IF(BA1445&gt;0,"⚠ Se superpone con un registro de la otra empresa",IF(D1445="Malcolm",IF(COUNTA(R1445,S1445,T1445)&gt;0,"Estado/fechas proMX se ignoran en Malcolm",""),IF(BF1445="Cancelled","Cancelado: excluido de totales",IF(R1445="","Sin estado: se trata como Draft",IF(BF1445="Submitted",IF(ISNUMBER(V1445),IF(V1445&gt;CFG_MAXD,"⚠ "&amp;V1445&amp;" días en Submitted (máx. "&amp;CFG_MAXD&amp;")",""),"Falta fecha de envío"),IF(BF1445="Returned","⚠ Devuelto: corregir y reenviar",IF(BF1445="Recall Requested","Retirada solicitada: pendiente",IF(AND(BF1445="Approved",NOT(ISNUMBER(T1445))),"Falta fecha de aprobación",IF(AND(ISNUMBER(S1445),ISNUMBER(T1445),T1445&lt;S1445),"Aprobación anterior al envío","")))))))))</f>
        <v/>
      </c>
      <c r="Y1445" s="80">
        <f>IF(COUNTA(B1445,D1445,E1445,F1445,G1445,H1445,I1445,J1445,R1445,S1445,T1445)&gt;0,1,0)</f>
        <v>0</v>
      </c>
      <c r="Z1445" s="80" t="str">
        <f>IF(AND(ISNUMBER(H1445),H1445&gt;=0,H1445&lt;1),ROUND(H1445*1440,0),"")</f>
        <v/>
      </c>
      <c r="AA1445" s="80" t="str">
        <f>IF(AND(ISNUMBER(I1445),I1445&gt;=0,I1445&lt;1),ROUND(I1445*1440,0),"")</f>
        <v/>
      </c>
      <c r="AB1445" s="80">
        <f>IF(AND(ISNUMBER(B1445),D1445&lt;&gt;"",ISNUMBER(Z1445),ISNUMBER(AA1445)),IF(Z1445=AA1445,0,1),0)</f>
        <v>0</v>
      </c>
      <c r="AC1445" s="80">
        <f>IF(AB1445=1,IF(AA1445&lt;Z1445,1,0),0)</f>
        <v>0</v>
      </c>
      <c r="AD1445" s="80">
        <f>IF(AB1445=1,IF(AC1445=1,1440-Z1445+AA1445,AA1445-Z1445),0)</f>
        <v>0</v>
      </c>
      <c r="AE1445" s="80">
        <f>IF(J1445="",0,IF(ISNUMBER(J1445),J1445,-1))</f>
        <v>0</v>
      </c>
      <c r="AF1445" s="80">
        <f>MIN(MAX(0,AE1445),AD1445)</f>
        <v>0</v>
      </c>
      <c r="AG1445" s="80">
        <f>MAX(0,AD1445-MAX(0,AE1445))</f>
        <v>0</v>
      </c>
      <c r="AH1445" s="80">
        <f>IF(ISNUMBER(B1445),IF(AND(INDEX(CFG_WDAYS,WEEKDAY(INT(B1445),2))="Sí",IF(D1445="proMX",COUNTIFS(FER_F,INT(B1445),FER_NLP,"Sí"),COUNTIFS(FER_F,INT(B1445),FER_NLM,"Sí"))=0),1,0),0)</f>
        <v>0</v>
      </c>
      <c r="AI1445" s="80">
        <f>IF(AC1445=1,IF(AND(INDEX(CFG_WDAYS,WEEKDAY(INT(B1445)+1,2))="Sí",IF(D1445="proMX",COUNTIFS(FER_F,INT(B1445)+1,FER_NLP,"Sí"),COUNTIFS(FER_F,INT(B1445)+1,FER_NLM,"Sí"))=0),1,0),0)</f>
        <v>0</v>
      </c>
      <c r="AJ1445" s="80">
        <f>IF(AC1445=1,1440-Z1445,AD1445)</f>
        <v>0</v>
      </c>
      <c r="AK1445" s="80">
        <f>IF(AND(AB1445=1,AH1445=1),MAX(0,MIN(IF(AC1445=1,1440,AA1445),CFG_WEM)-MAX(Z1445,CFG_WSM)),0)</f>
        <v>0</v>
      </c>
      <c r="AL1445" s="80">
        <f>IF(AND(AC1445=1,AI1445=1),MAX(0,MIN(AA1445,CFG_WEM)-CFG_WSM),0)</f>
        <v>0</v>
      </c>
      <c r="AM1445" s="80">
        <f>AK1445+AL1445</f>
        <v>0</v>
      </c>
      <c r="AN1445" s="80">
        <f>IF(CFG_BRK="Proporcional",IF(AD1445=0,0,AF1445*AM1445/AD1445),IF(CFG_BRK="Extras primero",MIN(AM1445,MAX(0,AF1445-(AD1445-AM1445))),MIN(AF1445,AM1445)))</f>
        <v>0</v>
      </c>
      <c r="AO1445" s="80">
        <f>AF1445-AN1445</f>
        <v>0</v>
      </c>
      <c r="AP1445" s="80">
        <f>AM1445-AN1445</f>
        <v>0</v>
      </c>
      <c r="AQ1445" s="80">
        <f>AD1445-AM1445-AO1445</f>
        <v>0</v>
      </c>
      <c r="AR1445" s="80">
        <f>IF(AM1445=0,0,AK1445-AN1445*AK1445/AM1445)</f>
        <v>0</v>
      </c>
      <c r="AS1445" s="80">
        <f>IF(AD1445-AM1445=0,0,(AJ1445-AK1445)-AO1445*(AJ1445-AK1445)/(AD1445-AM1445))</f>
        <v>0</v>
      </c>
      <c r="AT1445" s="80" t="str">
        <f>IF(AC1445=1,INT(B1445)+1,"")</f>
        <v/>
      </c>
      <c r="AU1445" s="80">
        <f>IF(AND(D1445="proMX",R1445="Cancelled"),0,1)</f>
        <v>1</v>
      </c>
      <c r="AV1445" s="80">
        <f>IF(AND(AB1445=1,AU1445=1),IF(COUNTIFS($D$5:D1444,D1445,$B$5:B1444,B1445,$Z$5:Z1444,Z1445,$AA$5:AA1444,AA1445,$F$5:F1444,F1445&amp;"",$AU$5:AU1444,1)&gt;0,1,0),0)</f>
        <v>0</v>
      </c>
      <c r="AW1445" s="80" t="str">
        <f>IF(AB1445=1,INT(B1445)*1440+Z1445,"")</f>
        <v/>
      </c>
      <c r="AX1445" s="80" t="str">
        <f>IF(AB1445=1,AW1445+AD1445,"")</f>
        <v/>
      </c>
      <c r="AY1445" s="80">
        <f>IF(AND(AB1445=1,AV1445=0,AU1445=1),1,0)</f>
        <v>0</v>
      </c>
      <c r="AZ1445" s="80">
        <f>IF(AY1445=1,COUNTIFS(R_Emp,D1445,R_SAbs,"&lt;"&amp;AX1445,R_EAbs,"&gt;"&amp;AW1445,R_OKey,1)-1,0)</f>
        <v>0</v>
      </c>
      <c r="BA1445" s="80">
        <f>IF(AY1445=1,COUNTIFS(R_Emp,"&lt;&gt;"&amp;D1445,R_SAbs,"&lt;"&amp;AX1445,R_EAbs,"&gt;"&amp;AW1445,R_OKey,1),0)</f>
        <v>0</v>
      </c>
      <c r="BB1445" s="80">
        <f>IF(AND(AB1445=1,D1445="proMX"),IF(AND(MOD(Z1445,CFG_BLK)=0,MOD(AA1445,CFG_BLK)=0,MOD(AG1445,CFG_BLK)=0,AG1445&gt;0),1,0),1)</f>
        <v>1</v>
      </c>
      <c r="BC1445" s="80" t="str">
        <f>IF(Y1445=0,"",IF(NOT(ISNUMBER(B1445)),"Falta fecha o fecha inválida",IF(D1445="","Falta empresa",IF(AND(D1445&lt;&gt;"Malcolm",D1445&lt;&gt;"proMX"),"Empresa inválida",IF(OR(INT(B1445)&lt;CFG_PSTART,INT(B1445)&gt;CFG_PEND),"Fecha fuera del período",IF(OR(NOT(ISNUMBER(Z1445)),NOT(ISNUMBER(AA1445))),"Falta hora inicio/fin o formato inválido",IF(AB1445=0,"Hora inicio = hora fin",IF(AE1445&lt;0,"Descanso inválido",IF(AE1445&gt;=AD1445,"Descanso ≥ duración",IF(AV1445=1,"Registro duplicado",IF(AZ1445&gt;0,"Se superpone con otro registro "&amp;D1445,IF(BB1445=0,"inicio, fin y duración neta deben ser múltiplos de "&amp;CFG_BLK&amp;" min",""))))))))))))</f>
        <v/>
      </c>
      <c r="BD1445" s="80">
        <f>IF(AND(Y1445=1,BC1445=""),1,0)</f>
        <v>0</v>
      </c>
      <c r="BE1445" s="80">
        <f>IF(AND(BD1445=1,AU1445=1),1,0)</f>
        <v>0</v>
      </c>
      <c r="BF1445" s="80" t="str">
        <f>IF(AND(D1445="proMX",BD1445=1),IF(R1445="","Draft",R1445),"")</f>
        <v/>
      </c>
      <c r="BG1445" s="80">
        <f>IF(BD1445=1,ROUND(AG1445/60,6),0)</f>
        <v>0</v>
      </c>
      <c r="BH1445" s="80">
        <f>IF(BE1445=1,ROUND(AG1445/60,6),0)</f>
        <v>0</v>
      </c>
      <c r="BI1445" s="80">
        <f>IF(BE1445=1,ROUND(AP1445/60,6),0)</f>
        <v>0</v>
      </c>
      <c r="BJ1445" s="80">
        <f>IF(BE1445=1,ROUND(AQ1445/60,6),0)</f>
        <v>0</v>
      </c>
      <c r="BK1445" s="80">
        <f>IF(BE1445=1,ROUND((AR1445+AS1445)/60,6),0)</f>
        <v>0</v>
      </c>
      <c r="BL1445" s="80">
        <f>ROUND(BH1445-BK1445,6)</f>
        <v>0</v>
      </c>
      <c r="BM1445" s="80">
        <f>IF(BE1445=1,ROUND(AR1445/60,6),0)</f>
        <v>0</v>
      </c>
      <c r="BN1445" s="80">
        <f>ROUND(BI1445-BM1445,6)</f>
        <v>0</v>
      </c>
      <c r="BO1445" s="80">
        <f>IF(BE1445=1,ROUND(AS1445/60,6),0)</f>
        <v>0</v>
      </c>
      <c r="BP1445" s="80">
        <f>ROUND(BJ1445-BO1445,6)</f>
        <v>0</v>
      </c>
      <c r="BQ1445" s="80">
        <f>IF(BE1445=1,AW1445,0)</f>
        <v>0</v>
      </c>
      <c r="BR1445" s="80">
        <f>IF(BE1445=1,AX1445,0)</f>
        <v>0</v>
      </c>
      <c r="BS1445" s="80">
        <f>IF(AND(BE1445=1,D1445="Malcolm",BA1445&gt;0),MIN(BH1445,SUMPRODUCT((R_Emp="proMX")*(R_EN&gt;0)*((R_EN-(R_EN&gt;BR1445)*(R_EN-BR1445))&gt;(R_SN+(R_SN&lt;BQ1445)*(BQ1445-R_SN)))*((R_EN-(R_EN&gt;BR1445)*(R_EN-BR1445))-(R_SN+(R_SN&lt;BQ1445)*(BQ1445-R_SN))))/60),0)</f>
        <v>0</v>
      </c>
      <c r="BT1445" s="80">
        <f>IF(AND(BE1445=1,D1445="proMX"),ROUND(BI1445*CFG_RATE+BJ1445*CFG_OTRATE,6),0)</f>
        <v>0</v>
      </c>
      <c r="BU1445" s="80">
        <f>IF(AND(BD1445=1,D1445="proMX"),ROUND(AG1445/CFG_BLK,6),0)</f>
        <v>0</v>
      </c>
      <c r="BV1445" s="80" t="str">
        <f>IF(BF1445="Approved",IF(ISNUMBER(T1445),INT(T1445),INT(B1445)),"")</f>
        <v/>
      </c>
      <c r="BW1445" s="80">
        <f>IF(ISNUMBER(B1445),IF(DB_MON="Todos",1,IF(AND(INT(B1445)&gt;=DB_MS,INT(B1445)&lt;=DB_ME),1,0)),0)</f>
        <v>0</v>
      </c>
      <c r="BX1445" s="80">
        <f>IF(DB_PROJ="Todos",1,IF(E1445&amp;""=DB_PROJ&amp;"",1,0))</f>
        <v>1</v>
      </c>
      <c r="BY1445" s="80">
        <f>BW1445*BX1445</f>
        <v>0</v>
      </c>
      <c r="BZ1445" s="80" t="str">
        <f>IF(Y1445=1,F1445&amp;IF(AND(F1445&amp;""&lt;&gt;"",E1445&amp;""&lt;&gt;"")," · ","")&amp;E1445,"")</f>
        <v/>
      </c>
      <c r="CA1445" s="80" t="str">
        <f>IF(AND(BD1445=1,E1445&amp;""&lt;&gt;""),IF(COUNTIFS($E$5:E1444,E1445,$BD$5:BD1444,1)=0,MAX($CA$5:CA1444)+1,""),"")</f>
        <v/>
      </c>
      <c r="CB1445" s="80" t="str">
        <f>IF(AND(BE1445=1,D1445="Malcolm",E1445&amp;""&lt;&gt;""),IF(COUNTIFS($D$5:D1444,"Malcolm",$E$5:E1444,E1445,$BE$5:BE1444,1)=0,MAX($CB$5:CB1444)+1,""),"")</f>
        <v/>
      </c>
      <c r="CC1445" s="80" t="str">
        <f>IF(AND(BD1445=1,D1445="proMX",E1445&amp;""&lt;&gt;""),IF(COUNTIFS($D$5:D1444,"proMX",$E$5:E1444,E1445,$BD$5:BD1444,1)=0,MAX($CC$5:CC1444)+1,""),"")</f>
        <v/>
      </c>
      <c r="CD1445" s="80" t="str">
        <f>IF(AND(BE1445=1,D1445="Malcolm",F1445&amp;""&lt;&gt;""),IF(COUNTIFS($D$5:D1444,"Malcolm",$F$5:F1444,F1445,$BE$5:BE1444,1)=0,MAX($CD$5:CD1444)+1,""),"")</f>
        <v/>
      </c>
      <c r="CE1445" s="80" t="str">
        <f>IF(AND(BD1445=1,D1445="proMX",F1445&amp;""&lt;&gt;""),IF(COUNTIFS($D$5:D1444,"proMX",$F$5:F1444,F1445,$BD$5:BD1444,1)=0,MAX($CE$5:CE1444)+1,""),"")</f>
        <v/>
      </c>
      <c r="CF1445" s="80" t="str">
        <f>IF(AND(D1445="proMX",BD1445=1),IF(OR(BF1445="Draft",BF1445="Submitted",BF1445="Returned",BF1445="Recall Requested"),MAX($CF$5:CF1444)+1,""),"")</f>
        <v/>
      </c>
      <c r="CG1445" s="80">
        <f>IF(BD1445=0,0,IF(D1445="Malcolm",1,MATCH(BF1445,{"Draft","Submitted","Approved","Returned","Recall Requested","Cancelled"},0)+1))</f>
        <v>0</v>
      </c>
      <c r="CH1445" s="80">
        <f>IF(AND(BF1445="Submitted",ISNUMBER(V1445)),IF(V1445&gt;CFG_MAXD,1,0),0)</f>
        <v>0</v>
      </c>
    </row>
    <row r="1446">
      <c r="A1446" s="71" t="str">
        <f>IF(Y1446=1,ROW()-5,"")</f>
        <v/>
      </c>
      <c r="B1446" s="72" t="n"/>
      <c r="C1446" s="71" t="str">
        <f>IF(ISNUMBER(B1446),CHOOSE(WEEKDAY(B1446,2),"Lun","Mar","Mié","Jue","Vie","Sáb","Dom"),"")</f>
        <v/>
      </c>
      <c r="D1446" s="73" t="n"/>
      <c r="E1446" s="74" t="n"/>
      <c r="F1446" s="74" t="n"/>
      <c r="G1446" s="74" t="n"/>
      <c r="H1446" s="75" t="n"/>
      <c r="I1446" s="75" t="n"/>
      <c r="J1446" s="76" t="n"/>
      <c r="K1446" s="77" t="str">
        <f>IF(AB1446=1,ROUND(AG1446/60,4),"")</f>
        <v/>
      </c>
      <c r="L1446" s="77" t="str">
        <f>IF(BD1446=1,ROUND(AP1446/60,4),"")</f>
        <v/>
      </c>
      <c r="M1446" s="77" t="str">
        <f>IF(BD1446=1,ROUND(AQ1446/60,4),"")</f>
        <v/>
      </c>
      <c r="N1446" s="71" t="str">
        <f>IF(AND(D1446="proMX",AB1446=1),ROUND(AG1446/CFG_BLK,2),"")</f>
        <v/>
      </c>
      <c r="O1446" s="77" t="str">
        <f>IF(D1446="proMX",IF(BD1446=1,ROUND(AG1446/60,4),0),"")</f>
        <v/>
      </c>
      <c r="P1446" s="78" t="str">
        <f>IF(Y1446=0,"",IF(BD1446=1,"OK",IF(D1446="proMX","Revisar bloques: ","Revisar: ")&amp;BC1446))</f>
        <v/>
      </c>
      <c r="Q1446" s="78" t="str">
        <f>IF(NOT(ISNUMBER(B1446)),"",IF(COUNTIFS(FER_F,INT(B1446))&gt;0,"Feriado"&amp;IF(AH1446=1," (laborable)"," (no laborable)"),IF(AH1446=1,"Laborable",IF(WEEKDAY(B1446,2)&gt;5,"Fin de semana","No laborable"))))</f>
        <v/>
      </c>
      <c r="R1446" s="73" t="n"/>
      <c r="S1446" s="72" t="n"/>
      <c r="T1446" s="72" t="n"/>
      <c r="U1446" s="74" t="n"/>
      <c r="V1446" s="79" t="str">
        <f>IF(AND(D1446="proMX",OR(R1446="Submitted",R1446="Recall Requested"),ISNUMBER(S1446)),CFG_TODAY-INT(S1446),"")</f>
        <v/>
      </c>
      <c r="W1446" s="78" t="str">
        <f>IF(BD1446=0,"",IF(BA1446&gt;0,"⚠ Se superpone con un registro de la otra empresa",IF(D1446="Malcolm",IF(COUNTA(R1446,S1446,T1446)&gt;0,"Estado/fechas proMX se ignoran en Malcolm",""),IF(BF1446="Cancelled","Cancelado: excluido de totales",IF(R1446="","Sin estado: se trata como Draft",IF(BF1446="Submitted",IF(ISNUMBER(V1446),IF(V1446&gt;CFG_MAXD,"⚠ "&amp;V1446&amp;" días en Submitted (máx. "&amp;CFG_MAXD&amp;")",""),"Falta fecha de envío"),IF(BF1446="Returned","⚠ Devuelto: corregir y reenviar",IF(BF1446="Recall Requested","Retirada solicitada: pendiente",IF(AND(BF1446="Approved",NOT(ISNUMBER(T1446))),"Falta fecha de aprobación",IF(AND(ISNUMBER(S1446),ISNUMBER(T1446),T1446&lt;S1446),"Aprobación anterior al envío","")))))))))</f>
        <v/>
      </c>
      <c r="Y1446" s="80">
        <f>IF(COUNTA(B1446,D1446,E1446,F1446,G1446,H1446,I1446,J1446,R1446,S1446,T1446)&gt;0,1,0)</f>
        <v>0</v>
      </c>
      <c r="Z1446" s="80" t="str">
        <f>IF(AND(ISNUMBER(H1446),H1446&gt;=0,H1446&lt;1),ROUND(H1446*1440,0),"")</f>
        <v/>
      </c>
      <c r="AA1446" s="80" t="str">
        <f>IF(AND(ISNUMBER(I1446),I1446&gt;=0,I1446&lt;1),ROUND(I1446*1440,0),"")</f>
        <v/>
      </c>
      <c r="AB1446" s="80">
        <f>IF(AND(ISNUMBER(B1446),D1446&lt;&gt;"",ISNUMBER(Z1446),ISNUMBER(AA1446)),IF(Z1446=AA1446,0,1),0)</f>
        <v>0</v>
      </c>
      <c r="AC1446" s="80">
        <f>IF(AB1446=1,IF(AA1446&lt;Z1446,1,0),0)</f>
        <v>0</v>
      </c>
      <c r="AD1446" s="80">
        <f>IF(AB1446=1,IF(AC1446=1,1440-Z1446+AA1446,AA1446-Z1446),0)</f>
        <v>0</v>
      </c>
      <c r="AE1446" s="80">
        <f>IF(J1446="",0,IF(ISNUMBER(J1446),J1446,-1))</f>
        <v>0</v>
      </c>
      <c r="AF1446" s="80">
        <f>MIN(MAX(0,AE1446),AD1446)</f>
        <v>0</v>
      </c>
      <c r="AG1446" s="80">
        <f>MAX(0,AD1446-MAX(0,AE1446))</f>
        <v>0</v>
      </c>
      <c r="AH1446" s="80">
        <f>IF(ISNUMBER(B1446),IF(AND(INDEX(CFG_WDAYS,WEEKDAY(INT(B1446),2))="Sí",IF(D1446="proMX",COUNTIFS(FER_F,INT(B1446),FER_NLP,"Sí"),COUNTIFS(FER_F,INT(B1446),FER_NLM,"Sí"))=0),1,0),0)</f>
        <v>0</v>
      </c>
      <c r="AI1446" s="80">
        <f>IF(AC1446=1,IF(AND(INDEX(CFG_WDAYS,WEEKDAY(INT(B1446)+1,2))="Sí",IF(D1446="proMX",COUNTIFS(FER_F,INT(B1446)+1,FER_NLP,"Sí"),COUNTIFS(FER_F,INT(B1446)+1,FER_NLM,"Sí"))=0),1,0),0)</f>
        <v>0</v>
      </c>
      <c r="AJ1446" s="80">
        <f>IF(AC1446=1,1440-Z1446,AD1446)</f>
        <v>0</v>
      </c>
      <c r="AK1446" s="80">
        <f>IF(AND(AB1446=1,AH1446=1),MAX(0,MIN(IF(AC1446=1,1440,AA1446),CFG_WEM)-MAX(Z1446,CFG_WSM)),0)</f>
        <v>0</v>
      </c>
      <c r="AL1446" s="80">
        <f>IF(AND(AC1446=1,AI1446=1),MAX(0,MIN(AA1446,CFG_WEM)-CFG_WSM),0)</f>
        <v>0</v>
      </c>
      <c r="AM1446" s="80">
        <f>AK1446+AL1446</f>
        <v>0</v>
      </c>
      <c r="AN1446" s="80">
        <f>IF(CFG_BRK="Proporcional",IF(AD1446=0,0,AF1446*AM1446/AD1446),IF(CFG_BRK="Extras primero",MIN(AM1446,MAX(0,AF1446-(AD1446-AM1446))),MIN(AF1446,AM1446)))</f>
        <v>0</v>
      </c>
      <c r="AO1446" s="80">
        <f>AF1446-AN1446</f>
        <v>0</v>
      </c>
      <c r="AP1446" s="80">
        <f>AM1446-AN1446</f>
        <v>0</v>
      </c>
      <c r="AQ1446" s="80">
        <f>AD1446-AM1446-AO1446</f>
        <v>0</v>
      </c>
      <c r="AR1446" s="80">
        <f>IF(AM1446=0,0,AK1446-AN1446*AK1446/AM1446)</f>
        <v>0</v>
      </c>
      <c r="AS1446" s="80">
        <f>IF(AD1446-AM1446=0,0,(AJ1446-AK1446)-AO1446*(AJ1446-AK1446)/(AD1446-AM1446))</f>
        <v>0</v>
      </c>
      <c r="AT1446" s="80" t="str">
        <f>IF(AC1446=1,INT(B1446)+1,"")</f>
        <v/>
      </c>
      <c r="AU1446" s="80">
        <f>IF(AND(D1446="proMX",R1446="Cancelled"),0,1)</f>
        <v>1</v>
      </c>
      <c r="AV1446" s="80">
        <f>IF(AND(AB1446=1,AU1446=1),IF(COUNTIFS($D$5:D1445,D1446,$B$5:B1445,B1446,$Z$5:Z1445,Z1446,$AA$5:AA1445,AA1446,$F$5:F1445,F1446&amp;"",$AU$5:AU1445,1)&gt;0,1,0),0)</f>
        <v>0</v>
      </c>
      <c r="AW1446" s="80" t="str">
        <f>IF(AB1446=1,INT(B1446)*1440+Z1446,"")</f>
        <v/>
      </c>
      <c r="AX1446" s="80" t="str">
        <f>IF(AB1446=1,AW1446+AD1446,"")</f>
        <v/>
      </c>
      <c r="AY1446" s="80">
        <f>IF(AND(AB1446=1,AV1446=0,AU1446=1),1,0)</f>
        <v>0</v>
      </c>
      <c r="AZ1446" s="80">
        <f>IF(AY1446=1,COUNTIFS(R_Emp,D1446,R_SAbs,"&lt;"&amp;AX1446,R_EAbs,"&gt;"&amp;AW1446,R_OKey,1)-1,0)</f>
        <v>0</v>
      </c>
      <c r="BA1446" s="80">
        <f>IF(AY1446=1,COUNTIFS(R_Emp,"&lt;&gt;"&amp;D1446,R_SAbs,"&lt;"&amp;AX1446,R_EAbs,"&gt;"&amp;AW1446,R_OKey,1),0)</f>
        <v>0</v>
      </c>
      <c r="BB1446" s="80">
        <f>IF(AND(AB1446=1,D1446="proMX"),IF(AND(MOD(Z1446,CFG_BLK)=0,MOD(AA1446,CFG_BLK)=0,MOD(AG1446,CFG_BLK)=0,AG1446&gt;0),1,0),1)</f>
        <v>1</v>
      </c>
      <c r="BC1446" s="80" t="str">
        <f>IF(Y1446=0,"",IF(NOT(ISNUMBER(B1446)),"Falta fecha o fecha inválida",IF(D1446="","Falta empresa",IF(AND(D1446&lt;&gt;"Malcolm",D1446&lt;&gt;"proMX"),"Empresa inválida",IF(OR(INT(B1446)&lt;CFG_PSTART,INT(B1446)&gt;CFG_PEND),"Fecha fuera del período",IF(OR(NOT(ISNUMBER(Z1446)),NOT(ISNUMBER(AA1446))),"Falta hora inicio/fin o formato inválido",IF(AB1446=0,"Hora inicio = hora fin",IF(AE1446&lt;0,"Descanso inválido",IF(AE1446&gt;=AD1446,"Descanso ≥ duración",IF(AV1446=1,"Registro duplicado",IF(AZ1446&gt;0,"Se superpone con otro registro "&amp;D1446,IF(BB1446=0,"inicio, fin y duración neta deben ser múltiplos de "&amp;CFG_BLK&amp;" min",""))))))))))))</f>
        <v/>
      </c>
      <c r="BD1446" s="80">
        <f>IF(AND(Y1446=1,BC1446=""),1,0)</f>
        <v>0</v>
      </c>
      <c r="BE1446" s="80">
        <f>IF(AND(BD1446=1,AU1446=1),1,0)</f>
        <v>0</v>
      </c>
      <c r="BF1446" s="80" t="str">
        <f>IF(AND(D1446="proMX",BD1446=1),IF(R1446="","Draft",R1446),"")</f>
        <v/>
      </c>
      <c r="BG1446" s="80">
        <f>IF(BD1446=1,ROUND(AG1446/60,6),0)</f>
        <v>0</v>
      </c>
      <c r="BH1446" s="80">
        <f>IF(BE1446=1,ROUND(AG1446/60,6),0)</f>
        <v>0</v>
      </c>
      <c r="BI1446" s="80">
        <f>IF(BE1446=1,ROUND(AP1446/60,6),0)</f>
        <v>0</v>
      </c>
      <c r="BJ1446" s="80">
        <f>IF(BE1446=1,ROUND(AQ1446/60,6),0)</f>
        <v>0</v>
      </c>
      <c r="BK1446" s="80">
        <f>IF(BE1446=1,ROUND((AR1446+AS1446)/60,6),0)</f>
        <v>0</v>
      </c>
      <c r="BL1446" s="80">
        <f>ROUND(BH1446-BK1446,6)</f>
        <v>0</v>
      </c>
      <c r="BM1446" s="80">
        <f>IF(BE1446=1,ROUND(AR1446/60,6),0)</f>
        <v>0</v>
      </c>
      <c r="BN1446" s="80">
        <f>ROUND(BI1446-BM1446,6)</f>
        <v>0</v>
      </c>
      <c r="BO1446" s="80">
        <f>IF(BE1446=1,ROUND(AS1446/60,6),0)</f>
        <v>0</v>
      </c>
      <c r="BP1446" s="80">
        <f>ROUND(BJ1446-BO1446,6)</f>
        <v>0</v>
      </c>
      <c r="BQ1446" s="80">
        <f>IF(BE1446=1,AW1446,0)</f>
        <v>0</v>
      </c>
      <c r="BR1446" s="80">
        <f>IF(BE1446=1,AX1446,0)</f>
        <v>0</v>
      </c>
      <c r="BS1446" s="80">
        <f>IF(AND(BE1446=1,D1446="Malcolm",BA1446&gt;0),MIN(BH1446,SUMPRODUCT((R_Emp="proMX")*(R_EN&gt;0)*((R_EN-(R_EN&gt;BR1446)*(R_EN-BR1446))&gt;(R_SN+(R_SN&lt;BQ1446)*(BQ1446-R_SN)))*((R_EN-(R_EN&gt;BR1446)*(R_EN-BR1446))-(R_SN+(R_SN&lt;BQ1446)*(BQ1446-R_SN))))/60),0)</f>
        <v>0</v>
      </c>
      <c r="BT1446" s="80">
        <f>IF(AND(BE1446=1,D1446="proMX"),ROUND(BI1446*CFG_RATE+BJ1446*CFG_OTRATE,6),0)</f>
        <v>0</v>
      </c>
      <c r="BU1446" s="80">
        <f>IF(AND(BD1446=1,D1446="proMX"),ROUND(AG1446/CFG_BLK,6),0)</f>
        <v>0</v>
      </c>
      <c r="BV1446" s="80" t="str">
        <f>IF(BF1446="Approved",IF(ISNUMBER(T1446),INT(T1446),INT(B1446)),"")</f>
        <v/>
      </c>
      <c r="BW1446" s="80">
        <f>IF(ISNUMBER(B1446),IF(DB_MON="Todos",1,IF(AND(INT(B1446)&gt;=DB_MS,INT(B1446)&lt;=DB_ME),1,0)),0)</f>
        <v>0</v>
      </c>
      <c r="BX1446" s="80">
        <f>IF(DB_PROJ="Todos",1,IF(E1446&amp;""=DB_PROJ&amp;"",1,0))</f>
        <v>1</v>
      </c>
      <c r="BY1446" s="80">
        <f>BW1446*BX1446</f>
        <v>0</v>
      </c>
      <c r="BZ1446" s="80" t="str">
        <f>IF(Y1446=1,F1446&amp;IF(AND(F1446&amp;""&lt;&gt;"",E1446&amp;""&lt;&gt;"")," · ","")&amp;E1446,"")</f>
        <v/>
      </c>
      <c r="CA1446" s="80" t="str">
        <f>IF(AND(BD1446=1,E1446&amp;""&lt;&gt;""),IF(COUNTIFS($E$5:E1445,E1446,$BD$5:BD1445,1)=0,MAX($CA$5:CA1445)+1,""),"")</f>
        <v/>
      </c>
      <c r="CB1446" s="80" t="str">
        <f>IF(AND(BE1446=1,D1446="Malcolm",E1446&amp;""&lt;&gt;""),IF(COUNTIFS($D$5:D1445,"Malcolm",$E$5:E1445,E1446,$BE$5:BE1445,1)=0,MAX($CB$5:CB1445)+1,""),"")</f>
        <v/>
      </c>
      <c r="CC1446" s="80" t="str">
        <f>IF(AND(BD1446=1,D1446="proMX",E1446&amp;""&lt;&gt;""),IF(COUNTIFS($D$5:D1445,"proMX",$E$5:E1445,E1446,$BD$5:BD1445,1)=0,MAX($CC$5:CC1445)+1,""),"")</f>
        <v/>
      </c>
      <c r="CD1446" s="80" t="str">
        <f>IF(AND(BE1446=1,D1446="Malcolm",F1446&amp;""&lt;&gt;""),IF(COUNTIFS($D$5:D1445,"Malcolm",$F$5:F1445,F1446,$BE$5:BE1445,1)=0,MAX($CD$5:CD1445)+1,""),"")</f>
        <v/>
      </c>
      <c r="CE1446" s="80" t="str">
        <f>IF(AND(BD1446=1,D1446="proMX",F1446&amp;""&lt;&gt;""),IF(COUNTIFS($D$5:D1445,"proMX",$F$5:F1445,F1446,$BD$5:BD1445,1)=0,MAX($CE$5:CE1445)+1,""),"")</f>
        <v/>
      </c>
      <c r="CF1446" s="80" t="str">
        <f>IF(AND(D1446="proMX",BD1446=1),IF(OR(BF1446="Draft",BF1446="Submitted",BF1446="Returned",BF1446="Recall Requested"),MAX($CF$5:CF1445)+1,""),"")</f>
        <v/>
      </c>
      <c r="CG1446" s="80">
        <f>IF(BD1446=0,0,IF(D1446="Malcolm",1,MATCH(BF1446,{"Draft","Submitted","Approved","Returned","Recall Requested","Cancelled"},0)+1))</f>
        <v>0</v>
      </c>
      <c r="CH1446" s="80">
        <f>IF(AND(BF1446="Submitted",ISNUMBER(V1446)),IF(V1446&gt;CFG_MAXD,1,0),0)</f>
        <v>0</v>
      </c>
    </row>
    <row r="1447">
      <c r="A1447" s="71" t="str">
        <f>IF(Y1447=1,ROW()-5,"")</f>
        <v/>
      </c>
      <c r="B1447" s="72" t="n"/>
      <c r="C1447" s="71" t="str">
        <f>IF(ISNUMBER(B1447),CHOOSE(WEEKDAY(B1447,2),"Lun","Mar","Mié","Jue","Vie","Sáb","Dom"),"")</f>
        <v/>
      </c>
      <c r="D1447" s="73" t="n"/>
      <c r="E1447" s="74" t="n"/>
      <c r="F1447" s="74" t="n"/>
      <c r="G1447" s="74" t="n"/>
      <c r="H1447" s="75" t="n"/>
      <c r="I1447" s="75" t="n"/>
      <c r="J1447" s="76" t="n"/>
      <c r="K1447" s="77" t="str">
        <f>IF(AB1447=1,ROUND(AG1447/60,4),"")</f>
        <v/>
      </c>
      <c r="L1447" s="77" t="str">
        <f>IF(BD1447=1,ROUND(AP1447/60,4),"")</f>
        <v/>
      </c>
      <c r="M1447" s="77" t="str">
        <f>IF(BD1447=1,ROUND(AQ1447/60,4),"")</f>
        <v/>
      </c>
      <c r="N1447" s="71" t="str">
        <f>IF(AND(D1447="proMX",AB1447=1),ROUND(AG1447/CFG_BLK,2),"")</f>
        <v/>
      </c>
      <c r="O1447" s="77" t="str">
        <f>IF(D1447="proMX",IF(BD1447=1,ROUND(AG1447/60,4),0),"")</f>
        <v/>
      </c>
      <c r="P1447" s="78" t="str">
        <f>IF(Y1447=0,"",IF(BD1447=1,"OK",IF(D1447="proMX","Revisar bloques: ","Revisar: ")&amp;BC1447))</f>
        <v/>
      </c>
      <c r="Q1447" s="78" t="str">
        <f>IF(NOT(ISNUMBER(B1447)),"",IF(COUNTIFS(FER_F,INT(B1447))&gt;0,"Feriado"&amp;IF(AH1447=1," (laborable)"," (no laborable)"),IF(AH1447=1,"Laborable",IF(WEEKDAY(B1447,2)&gt;5,"Fin de semana","No laborable"))))</f>
        <v/>
      </c>
      <c r="R1447" s="73" t="n"/>
      <c r="S1447" s="72" t="n"/>
      <c r="T1447" s="72" t="n"/>
      <c r="U1447" s="74" t="n"/>
      <c r="V1447" s="79" t="str">
        <f>IF(AND(D1447="proMX",OR(R1447="Submitted",R1447="Recall Requested"),ISNUMBER(S1447)),CFG_TODAY-INT(S1447),"")</f>
        <v/>
      </c>
      <c r="W1447" s="78" t="str">
        <f>IF(BD1447=0,"",IF(BA1447&gt;0,"⚠ Se superpone con un registro de la otra empresa",IF(D1447="Malcolm",IF(COUNTA(R1447,S1447,T1447)&gt;0,"Estado/fechas proMX se ignoran en Malcolm",""),IF(BF1447="Cancelled","Cancelado: excluido de totales",IF(R1447="","Sin estado: se trata como Draft",IF(BF1447="Submitted",IF(ISNUMBER(V1447),IF(V1447&gt;CFG_MAXD,"⚠ "&amp;V1447&amp;" días en Submitted (máx. "&amp;CFG_MAXD&amp;")",""),"Falta fecha de envío"),IF(BF1447="Returned","⚠ Devuelto: corregir y reenviar",IF(BF1447="Recall Requested","Retirada solicitada: pendiente",IF(AND(BF1447="Approved",NOT(ISNUMBER(T1447))),"Falta fecha de aprobación",IF(AND(ISNUMBER(S1447),ISNUMBER(T1447),T1447&lt;S1447),"Aprobación anterior al envío","")))))))))</f>
        <v/>
      </c>
      <c r="Y1447" s="80">
        <f>IF(COUNTA(B1447,D1447,E1447,F1447,G1447,H1447,I1447,J1447,R1447,S1447,T1447)&gt;0,1,0)</f>
        <v>0</v>
      </c>
      <c r="Z1447" s="80" t="str">
        <f>IF(AND(ISNUMBER(H1447),H1447&gt;=0,H1447&lt;1),ROUND(H1447*1440,0),"")</f>
        <v/>
      </c>
      <c r="AA1447" s="80" t="str">
        <f>IF(AND(ISNUMBER(I1447),I1447&gt;=0,I1447&lt;1),ROUND(I1447*1440,0),"")</f>
        <v/>
      </c>
      <c r="AB1447" s="80">
        <f>IF(AND(ISNUMBER(B1447),D1447&lt;&gt;"",ISNUMBER(Z1447),ISNUMBER(AA1447)),IF(Z1447=AA1447,0,1),0)</f>
        <v>0</v>
      </c>
      <c r="AC1447" s="80">
        <f>IF(AB1447=1,IF(AA1447&lt;Z1447,1,0),0)</f>
        <v>0</v>
      </c>
      <c r="AD1447" s="80">
        <f>IF(AB1447=1,IF(AC1447=1,1440-Z1447+AA1447,AA1447-Z1447),0)</f>
        <v>0</v>
      </c>
      <c r="AE1447" s="80">
        <f>IF(J1447="",0,IF(ISNUMBER(J1447),J1447,-1))</f>
        <v>0</v>
      </c>
      <c r="AF1447" s="80">
        <f>MIN(MAX(0,AE1447),AD1447)</f>
        <v>0</v>
      </c>
      <c r="AG1447" s="80">
        <f>MAX(0,AD1447-MAX(0,AE1447))</f>
        <v>0</v>
      </c>
      <c r="AH1447" s="80">
        <f>IF(ISNUMBER(B1447),IF(AND(INDEX(CFG_WDAYS,WEEKDAY(INT(B1447),2))="Sí",IF(D1447="proMX",COUNTIFS(FER_F,INT(B1447),FER_NLP,"Sí"),COUNTIFS(FER_F,INT(B1447),FER_NLM,"Sí"))=0),1,0),0)</f>
        <v>0</v>
      </c>
      <c r="AI1447" s="80">
        <f>IF(AC1447=1,IF(AND(INDEX(CFG_WDAYS,WEEKDAY(INT(B1447)+1,2))="Sí",IF(D1447="proMX",COUNTIFS(FER_F,INT(B1447)+1,FER_NLP,"Sí"),COUNTIFS(FER_F,INT(B1447)+1,FER_NLM,"Sí"))=0),1,0),0)</f>
        <v>0</v>
      </c>
      <c r="AJ1447" s="80">
        <f>IF(AC1447=1,1440-Z1447,AD1447)</f>
        <v>0</v>
      </c>
      <c r="AK1447" s="80">
        <f>IF(AND(AB1447=1,AH1447=1),MAX(0,MIN(IF(AC1447=1,1440,AA1447),CFG_WEM)-MAX(Z1447,CFG_WSM)),0)</f>
        <v>0</v>
      </c>
      <c r="AL1447" s="80">
        <f>IF(AND(AC1447=1,AI1447=1),MAX(0,MIN(AA1447,CFG_WEM)-CFG_WSM),0)</f>
        <v>0</v>
      </c>
      <c r="AM1447" s="80">
        <f>AK1447+AL1447</f>
        <v>0</v>
      </c>
      <c r="AN1447" s="80">
        <f>IF(CFG_BRK="Proporcional",IF(AD1447=0,0,AF1447*AM1447/AD1447),IF(CFG_BRK="Extras primero",MIN(AM1447,MAX(0,AF1447-(AD1447-AM1447))),MIN(AF1447,AM1447)))</f>
        <v>0</v>
      </c>
      <c r="AO1447" s="80">
        <f>AF1447-AN1447</f>
        <v>0</v>
      </c>
      <c r="AP1447" s="80">
        <f>AM1447-AN1447</f>
        <v>0</v>
      </c>
      <c r="AQ1447" s="80">
        <f>AD1447-AM1447-AO1447</f>
        <v>0</v>
      </c>
      <c r="AR1447" s="80">
        <f>IF(AM1447=0,0,AK1447-AN1447*AK1447/AM1447)</f>
        <v>0</v>
      </c>
      <c r="AS1447" s="80">
        <f>IF(AD1447-AM1447=0,0,(AJ1447-AK1447)-AO1447*(AJ1447-AK1447)/(AD1447-AM1447))</f>
        <v>0</v>
      </c>
      <c r="AT1447" s="80" t="str">
        <f>IF(AC1447=1,INT(B1447)+1,"")</f>
        <v/>
      </c>
      <c r="AU1447" s="80">
        <f>IF(AND(D1447="proMX",R1447="Cancelled"),0,1)</f>
        <v>1</v>
      </c>
      <c r="AV1447" s="80">
        <f>IF(AND(AB1447=1,AU1447=1),IF(COUNTIFS($D$5:D1446,D1447,$B$5:B1446,B1447,$Z$5:Z1446,Z1447,$AA$5:AA1446,AA1447,$F$5:F1446,F1447&amp;"",$AU$5:AU1446,1)&gt;0,1,0),0)</f>
        <v>0</v>
      </c>
      <c r="AW1447" s="80" t="str">
        <f>IF(AB1447=1,INT(B1447)*1440+Z1447,"")</f>
        <v/>
      </c>
      <c r="AX1447" s="80" t="str">
        <f>IF(AB1447=1,AW1447+AD1447,"")</f>
        <v/>
      </c>
      <c r="AY1447" s="80">
        <f>IF(AND(AB1447=1,AV1447=0,AU1447=1),1,0)</f>
        <v>0</v>
      </c>
      <c r="AZ1447" s="80">
        <f>IF(AY1447=1,COUNTIFS(R_Emp,D1447,R_SAbs,"&lt;"&amp;AX1447,R_EAbs,"&gt;"&amp;AW1447,R_OKey,1)-1,0)</f>
        <v>0</v>
      </c>
      <c r="BA1447" s="80">
        <f>IF(AY1447=1,COUNTIFS(R_Emp,"&lt;&gt;"&amp;D1447,R_SAbs,"&lt;"&amp;AX1447,R_EAbs,"&gt;"&amp;AW1447,R_OKey,1),0)</f>
        <v>0</v>
      </c>
      <c r="BB1447" s="80">
        <f>IF(AND(AB1447=1,D1447="proMX"),IF(AND(MOD(Z1447,CFG_BLK)=0,MOD(AA1447,CFG_BLK)=0,MOD(AG1447,CFG_BLK)=0,AG1447&gt;0),1,0),1)</f>
        <v>1</v>
      </c>
      <c r="BC1447" s="80" t="str">
        <f>IF(Y1447=0,"",IF(NOT(ISNUMBER(B1447)),"Falta fecha o fecha inválida",IF(D1447="","Falta empresa",IF(AND(D1447&lt;&gt;"Malcolm",D1447&lt;&gt;"proMX"),"Empresa inválida",IF(OR(INT(B1447)&lt;CFG_PSTART,INT(B1447)&gt;CFG_PEND),"Fecha fuera del período",IF(OR(NOT(ISNUMBER(Z1447)),NOT(ISNUMBER(AA1447))),"Falta hora inicio/fin o formato inválido",IF(AB1447=0,"Hora inicio = hora fin",IF(AE1447&lt;0,"Descanso inválido",IF(AE1447&gt;=AD1447,"Descanso ≥ duración",IF(AV1447=1,"Registro duplicado",IF(AZ1447&gt;0,"Se superpone con otro registro "&amp;D1447,IF(BB1447=0,"inicio, fin y duración neta deben ser múltiplos de "&amp;CFG_BLK&amp;" min",""))))))))))))</f>
        <v/>
      </c>
      <c r="BD1447" s="80">
        <f>IF(AND(Y1447=1,BC1447=""),1,0)</f>
        <v>0</v>
      </c>
      <c r="BE1447" s="80">
        <f>IF(AND(BD1447=1,AU1447=1),1,0)</f>
        <v>0</v>
      </c>
      <c r="BF1447" s="80" t="str">
        <f>IF(AND(D1447="proMX",BD1447=1),IF(R1447="","Draft",R1447),"")</f>
        <v/>
      </c>
      <c r="BG1447" s="80">
        <f>IF(BD1447=1,ROUND(AG1447/60,6),0)</f>
        <v>0</v>
      </c>
      <c r="BH1447" s="80">
        <f>IF(BE1447=1,ROUND(AG1447/60,6),0)</f>
        <v>0</v>
      </c>
      <c r="BI1447" s="80">
        <f>IF(BE1447=1,ROUND(AP1447/60,6),0)</f>
        <v>0</v>
      </c>
      <c r="BJ1447" s="80">
        <f>IF(BE1447=1,ROUND(AQ1447/60,6),0)</f>
        <v>0</v>
      </c>
      <c r="BK1447" s="80">
        <f>IF(BE1447=1,ROUND((AR1447+AS1447)/60,6),0)</f>
        <v>0</v>
      </c>
      <c r="BL1447" s="80">
        <f>ROUND(BH1447-BK1447,6)</f>
        <v>0</v>
      </c>
      <c r="BM1447" s="80">
        <f>IF(BE1447=1,ROUND(AR1447/60,6),0)</f>
        <v>0</v>
      </c>
      <c r="BN1447" s="80">
        <f>ROUND(BI1447-BM1447,6)</f>
        <v>0</v>
      </c>
      <c r="BO1447" s="80">
        <f>IF(BE1447=1,ROUND(AS1447/60,6),0)</f>
        <v>0</v>
      </c>
      <c r="BP1447" s="80">
        <f>ROUND(BJ1447-BO1447,6)</f>
        <v>0</v>
      </c>
      <c r="BQ1447" s="80">
        <f>IF(BE1447=1,AW1447,0)</f>
        <v>0</v>
      </c>
      <c r="BR1447" s="80">
        <f>IF(BE1447=1,AX1447,0)</f>
        <v>0</v>
      </c>
      <c r="BS1447" s="80">
        <f>IF(AND(BE1447=1,D1447="Malcolm",BA1447&gt;0),MIN(BH1447,SUMPRODUCT((R_Emp="proMX")*(R_EN&gt;0)*((R_EN-(R_EN&gt;BR1447)*(R_EN-BR1447))&gt;(R_SN+(R_SN&lt;BQ1447)*(BQ1447-R_SN)))*((R_EN-(R_EN&gt;BR1447)*(R_EN-BR1447))-(R_SN+(R_SN&lt;BQ1447)*(BQ1447-R_SN))))/60),0)</f>
        <v>0</v>
      </c>
      <c r="BT1447" s="80">
        <f>IF(AND(BE1447=1,D1447="proMX"),ROUND(BI1447*CFG_RATE+BJ1447*CFG_OTRATE,6),0)</f>
        <v>0</v>
      </c>
      <c r="BU1447" s="80">
        <f>IF(AND(BD1447=1,D1447="proMX"),ROUND(AG1447/CFG_BLK,6),0)</f>
        <v>0</v>
      </c>
      <c r="BV1447" s="80" t="str">
        <f>IF(BF1447="Approved",IF(ISNUMBER(T1447),INT(T1447),INT(B1447)),"")</f>
        <v/>
      </c>
      <c r="BW1447" s="80">
        <f>IF(ISNUMBER(B1447),IF(DB_MON="Todos",1,IF(AND(INT(B1447)&gt;=DB_MS,INT(B1447)&lt;=DB_ME),1,0)),0)</f>
        <v>0</v>
      </c>
      <c r="BX1447" s="80">
        <f>IF(DB_PROJ="Todos",1,IF(E1447&amp;""=DB_PROJ&amp;"",1,0))</f>
        <v>1</v>
      </c>
      <c r="BY1447" s="80">
        <f>BW1447*BX1447</f>
        <v>0</v>
      </c>
      <c r="BZ1447" s="80" t="str">
        <f>IF(Y1447=1,F1447&amp;IF(AND(F1447&amp;""&lt;&gt;"",E1447&amp;""&lt;&gt;"")," · ","")&amp;E1447,"")</f>
        <v/>
      </c>
      <c r="CA1447" s="80" t="str">
        <f>IF(AND(BD1447=1,E1447&amp;""&lt;&gt;""),IF(COUNTIFS($E$5:E1446,E1447,$BD$5:BD1446,1)=0,MAX($CA$5:CA1446)+1,""),"")</f>
        <v/>
      </c>
      <c r="CB1447" s="80" t="str">
        <f>IF(AND(BE1447=1,D1447="Malcolm",E1447&amp;""&lt;&gt;""),IF(COUNTIFS($D$5:D1446,"Malcolm",$E$5:E1446,E1447,$BE$5:BE1446,1)=0,MAX($CB$5:CB1446)+1,""),"")</f>
        <v/>
      </c>
      <c r="CC1447" s="80" t="str">
        <f>IF(AND(BD1447=1,D1447="proMX",E1447&amp;""&lt;&gt;""),IF(COUNTIFS($D$5:D1446,"proMX",$E$5:E1446,E1447,$BD$5:BD1446,1)=0,MAX($CC$5:CC1446)+1,""),"")</f>
        <v/>
      </c>
      <c r="CD1447" s="80" t="str">
        <f>IF(AND(BE1447=1,D1447="Malcolm",F1447&amp;""&lt;&gt;""),IF(COUNTIFS($D$5:D1446,"Malcolm",$F$5:F1446,F1447,$BE$5:BE1446,1)=0,MAX($CD$5:CD1446)+1,""),"")</f>
        <v/>
      </c>
      <c r="CE1447" s="80" t="str">
        <f>IF(AND(BD1447=1,D1447="proMX",F1447&amp;""&lt;&gt;""),IF(COUNTIFS($D$5:D1446,"proMX",$F$5:F1446,F1447,$BD$5:BD1446,1)=0,MAX($CE$5:CE1446)+1,""),"")</f>
        <v/>
      </c>
      <c r="CF1447" s="80" t="str">
        <f>IF(AND(D1447="proMX",BD1447=1),IF(OR(BF1447="Draft",BF1447="Submitted",BF1447="Returned",BF1447="Recall Requested"),MAX($CF$5:CF1446)+1,""),"")</f>
        <v/>
      </c>
      <c r="CG1447" s="80">
        <f>IF(BD1447=0,0,IF(D1447="Malcolm",1,MATCH(BF1447,{"Draft","Submitted","Approved","Returned","Recall Requested","Cancelled"},0)+1))</f>
        <v>0</v>
      </c>
      <c r="CH1447" s="80">
        <f>IF(AND(BF1447="Submitted",ISNUMBER(V1447)),IF(V1447&gt;CFG_MAXD,1,0),0)</f>
        <v>0</v>
      </c>
    </row>
    <row r="1448">
      <c r="A1448" s="71" t="str">
        <f>IF(Y1448=1,ROW()-5,"")</f>
        <v/>
      </c>
      <c r="B1448" s="72" t="n"/>
      <c r="C1448" s="71" t="str">
        <f>IF(ISNUMBER(B1448),CHOOSE(WEEKDAY(B1448,2),"Lun","Mar","Mié","Jue","Vie","Sáb","Dom"),"")</f>
        <v/>
      </c>
      <c r="D1448" s="73" t="n"/>
      <c r="E1448" s="74" t="n"/>
      <c r="F1448" s="74" t="n"/>
      <c r="G1448" s="74" t="n"/>
      <c r="H1448" s="75" t="n"/>
      <c r="I1448" s="75" t="n"/>
      <c r="J1448" s="76" t="n"/>
      <c r="K1448" s="77" t="str">
        <f>IF(AB1448=1,ROUND(AG1448/60,4),"")</f>
        <v/>
      </c>
      <c r="L1448" s="77" t="str">
        <f>IF(BD1448=1,ROUND(AP1448/60,4),"")</f>
        <v/>
      </c>
      <c r="M1448" s="77" t="str">
        <f>IF(BD1448=1,ROUND(AQ1448/60,4),"")</f>
        <v/>
      </c>
      <c r="N1448" s="71" t="str">
        <f>IF(AND(D1448="proMX",AB1448=1),ROUND(AG1448/CFG_BLK,2),"")</f>
        <v/>
      </c>
      <c r="O1448" s="77" t="str">
        <f>IF(D1448="proMX",IF(BD1448=1,ROUND(AG1448/60,4),0),"")</f>
        <v/>
      </c>
      <c r="P1448" s="78" t="str">
        <f>IF(Y1448=0,"",IF(BD1448=1,"OK",IF(D1448="proMX","Revisar bloques: ","Revisar: ")&amp;BC1448))</f>
        <v/>
      </c>
      <c r="Q1448" s="78" t="str">
        <f>IF(NOT(ISNUMBER(B1448)),"",IF(COUNTIFS(FER_F,INT(B1448))&gt;0,"Feriado"&amp;IF(AH1448=1," (laborable)"," (no laborable)"),IF(AH1448=1,"Laborable",IF(WEEKDAY(B1448,2)&gt;5,"Fin de semana","No laborable"))))</f>
        <v/>
      </c>
      <c r="R1448" s="73" t="n"/>
      <c r="S1448" s="72" t="n"/>
      <c r="T1448" s="72" t="n"/>
      <c r="U1448" s="74" t="n"/>
      <c r="V1448" s="79" t="str">
        <f>IF(AND(D1448="proMX",OR(R1448="Submitted",R1448="Recall Requested"),ISNUMBER(S1448)),CFG_TODAY-INT(S1448),"")</f>
        <v/>
      </c>
      <c r="W1448" s="78" t="str">
        <f>IF(BD1448=0,"",IF(BA1448&gt;0,"⚠ Se superpone con un registro de la otra empresa",IF(D1448="Malcolm",IF(COUNTA(R1448,S1448,T1448)&gt;0,"Estado/fechas proMX se ignoran en Malcolm",""),IF(BF1448="Cancelled","Cancelado: excluido de totales",IF(R1448="","Sin estado: se trata como Draft",IF(BF1448="Submitted",IF(ISNUMBER(V1448),IF(V1448&gt;CFG_MAXD,"⚠ "&amp;V1448&amp;" días en Submitted (máx. "&amp;CFG_MAXD&amp;")",""),"Falta fecha de envío"),IF(BF1448="Returned","⚠ Devuelto: corregir y reenviar",IF(BF1448="Recall Requested","Retirada solicitada: pendiente",IF(AND(BF1448="Approved",NOT(ISNUMBER(T1448))),"Falta fecha de aprobación",IF(AND(ISNUMBER(S1448),ISNUMBER(T1448),T1448&lt;S1448),"Aprobación anterior al envío","")))))))))</f>
        <v/>
      </c>
      <c r="Y1448" s="80">
        <f>IF(COUNTA(B1448,D1448,E1448,F1448,G1448,H1448,I1448,J1448,R1448,S1448,T1448)&gt;0,1,0)</f>
        <v>0</v>
      </c>
      <c r="Z1448" s="80" t="str">
        <f>IF(AND(ISNUMBER(H1448),H1448&gt;=0,H1448&lt;1),ROUND(H1448*1440,0),"")</f>
        <v/>
      </c>
      <c r="AA1448" s="80" t="str">
        <f>IF(AND(ISNUMBER(I1448),I1448&gt;=0,I1448&lt;1),ROUND(I1448*1440,0),"")</f>
        <v/>
      </c>
      <c r="AB1448" s="80">
        <f>IF(AND(ISNUMBER(B1448),D1448&lt;&gt;"",ISNUMBER(Z1448),ISNUMBER(AA1448)),IF(Z1448=AA1448,0,1),0)</f>
        <v>0</v>
      </c>
      <c r="AC1448" s="80">
        <f>IF(AB1448=1,IF(AA1448&lt;Z1448,1,0),0)</f>
        <v>0</v>
      </c>
      <c r="AD1448" s="80">
        <f>IF(AB1448=1,IF(AC1448=1,1440-Z1448+AA1448,AA1448-Z1448),0)</f>
        <v>0</v>
      </c>
      <c r="AE1448" s="80">
        <f>IF(J1448="",0,IF(ISNUMBER(J1448),J1448,-1))</f>
        <v>0</v>
      </c>
      <c r="AF1448" s="80">
        <f>MIN(MAX(0,AE1448),AD1448)</f>
        <v>0</v>
      </c>
      <c r="AG1448" s="80">
        <f>MAX(0,AD1448-MAX(0,AE1448))</f>
        <v>0</v>
      </c>
      <c r="AH1448" s="80">
        <f>IF(ISNUMBER(B1448),IF(AND(INDEX(CFG_WDAYS,WEEKDAY(INT(B1448),2))="Sí",IF(D1448="proMX",COUNTIFS(FER_F,INT(B1448),FER_NLP,"Sí"),COUNTIFS(FER_F,INT(B1448),FER_NLM,"Sí"))=0),1,0),0)</f>
        <v>0</v>
      </c>
      <c r="AI1448" s="80">
        <f>IF(AC1448=1,IF(AND(INDEX(CFG_WDAYS,WEEKDAY(INT(B1448)+1,2))="Sí",IF(D1448="proMX",COUNTIFS(FER_F,INT(B1448)+1,FER_NLP,"Sí"),COUNTIFS(FER_F,INT(B1448)+1,FER_NLM,"Sí"))=0),1,0),0)</f>
        <v>0</v>
      </c>
      <c r="AJ1448" s="80">
        <f>IF(AC1448=1,1440-Z1448,AD1448)</f>
        <v>0</v>
      </c>
      <c r="AK1448" s="80">
        <f>IF(AND(AB1448=1,AH1448=1),MAX(0,MIN(IF(AC1448=1,1440,AA1448),CFG_WEM)-MAX(Z1448,CFG_WSM)),0)</f>
        <v>0</v>
      </c>
      <c r="AL1448" s="80">
        <f>IF(AND(AC1448=1,AI1448=1),MAX(0,MIN(AA1448,CFG_WEM)-CFG_WSM),0)</f>
        <v>0</v>
      </c>
      <c r="AM1448" s="80">
        <f>AK1448+AL1448</f>
        <v>0</v>
      </c>
      <c r="AN1448" s="80">
        <f>IF(CFG_BRK="Proporcional",IF(AD1448=0,0,AF1448*AM1448/AD1448),IF(CFG_BRK="Extras primero",MIN(AM1448,MAX(0,AF1448-(AD1448-AM1448))),MIN(AF1448,AM1448)))</f>
        <v>0</v>
      </c>
      <c r="AO1448" s="80">
        <f>AF1448-AN1448</f>
        <v>0</v>
      </c>
      <c r="AP1448" s="80">
        <f>AM1448-AN1448</f>
        <v>0</v>
      </c>
      <c r="AQ1448" s="80">
        <f>AD1448-AM1448-AO1448</f>
        <v>0</v>
      </c>
      <c r="AR1448" s="80">
        <f>IF(AM1448=0,0,AK1448-AN1448*AK1448/AM1448)</f>
        <v>0</v>
      </c>
      <c r="AS1448" s="80">
        <f>IF(AD1448-AM1448=0,0,(AJ1448-AK1448)-AO1448*(AJ1448-AK1448)/(AD1448-AM1448))</f>
        <v>0</v>
      </c>
      <c r="AT1448" s="80" t="str">
        <f>IF(AC1448=1,INT(B1448)+1,"")</f>
        <v/>
      </c>
      <c r="AU1448" s="80">
        <f>IF(AND(D1448="proMX",R1448="Cancelled"),0,1)</f>
        <v>1</v>
      </c>
      <c r="AV1448" s="80">
        <f>IF(AND(AB1448=1,AU1448=1),IF(COUNTIFS($D$5:D1447,D1448,$B$5:B1447,B1448,$Z$5:Z1447,Z1448,$AA$5:AA1447,AA1448,$F$5:F1447,F1448&amp;"",$AU$5:AU1447,1)&gt;0,1,0),0)</f>
        <v>0</v>
      </c>
      <c r="AW1448" s="80" t="str">
        <f>IF(AB1448=1,INT(B1448)*1440+Z1448,"")</f>
        <v/>
      </c>
      <c r="AX1448" s="80" t="str">
        <f>IF(AB1448=1,AW1448+AD1448,"")</f>
        <v/>
      </c>
      <c r="AY1448" s="80">
        <f>IF(AND(AB1448=1,AV1448=0,AU1448=1),1,0)</f>
        <v>0</v>
      </c>
      <c r="AZ1448" s="80">
        <f>IF(AY1448=1,COUNTIFS(R_Emp,D1448,R_SAbs,"&lt;"&amp;AX1448,R_EAbs,"&gt;"&amp;AW1448,R_OKey,1)-1,0)</f>
        <v>0</v>
      </c>
      <c r="BA1448" s="80">
        <f>IF(AY1448=1,COUNTIFS(R_Emp,"&lt;&gt;"&amp;D1448,R_SAbs,"&lt;"&amp;AX1448,R_EAbs,"&gt;"&amp;AW1448,R_OKey,1),0)</f>
        <v>0</v>
      </c>
      <c r="BB1448" s="80">
        <f>IF(AND(AB1448=1,D1448="proMX"),IF(AND(MOD(Z1448,CFG_BLK)=0,MOD(AA1448,CFG_BLK)=0,MOD(AG1448,CFG_BLK)=0,AG1448&gt;0),1,0),1)</f>
        <v>1</v>
      </c>
      <c r="BC1448" s="80" t="str">
        <f>IF(Y1448=0,"",IF(NOT(ISNUMBER(B1448)),"Falta fecha o fecha inválida",IF(D1448="","Falta empresa",IF(AND(D1448&lt;&gt;"Malcolm",D1448&lt;&gt;"proMX"),"Empresa inválida",IF(OR(INT(B1448)&lt;CFG_PSTART,INT(B1448)&gt;CFG_PEND),"Fecha fuera del período",IF(OR(NOT(ISNUMBER(Z1448)),NOT(ISNUMBER(AA1448))),"Falta hora inicio/fin o formato inválido",IF(AB1448=0,"Hora inicio = hora fin",IF(AE1448&lt;0,"Descanso inválido",IF(AE1448&gt;=AD1448,"Descanso ≥ duración",IF(AV1448=1,"Registro duplicado",IF(AZ1448&gt;0,"Se superpone con otro registro "&amp;D1448,IF(BB1448=0,"inicio, fin y duración neta deben ser múltiplos de "&amp;CFG_BLK&amp;" min",""))))))))))))</f>
        <v/>
      </c>
      <c r="BD1448" s="80">
        <f>IF(AND(Y1448=1,BC1448=""),1,0)</f>
        <v>0</v>
      </c>
      <c r="BE1448" s="80">
        <f>IF(AND(BD1448=1,AU1448=1),1,0)</f>
        <v>0</v>
      </c>
      <c r="BF1448" s="80" t="str">
        <f>IF(AND(D1448="proMX",BD1448=1),IF(R1448="","Draft",R1448),"")</f>
        <v/>
      </c>
      <c r="BG1448" s="80">
        <f>IF(BD1448=1,ROUND(AG1448/60,6),0)</f>
        <v>0</v>
      </c>
      <c r="BH1448" s="80">
        <f>IF(BE1448=1,ROUND(AG1448/60,6),0)</f>
        <v>0</v>
      </c>
      <c r="BI1448" s="80">
        <f>IF(BE1448=1,ROUND(AP1448/60,6),0)</f>
        <v>0</v>
      </c>
      <c r="BJ1448" s="80">
        <f>IF(BE1448=1,ROUND(AQ1448/60,6),0)</f>
        <v>0</v>
      </c>
      <c r="BK1448" s="80">
        <f>IF(BE1448=1,ROUND((AR1448+AS1448)/60,6),0)</f>
        <v>0</v>
      </c>
      <c r="BL1448" s="80">
        <f>ROUND(BH1448-BK1448,6)</f>
        <v>0</v>
      </c>
      <c r="BM1448" s="80">
        <f>IF(BE1448=1,ROUND(AR1448/60,6),0)</f>
        <v>0</v>
      </c>
      <c r="BN1448" s="80">
        <f>ROUND(BI1448-BM1448,6)</f>
        <v>0</v>
      </c>
      <c r="BO1448" s="80">
        <f>IF(BE1448=1,ROUND(AS1448/60,6),0)</f>
        <v>0</v>
      </c>
      <c r="BP1448" s="80">
        <f>ROUND(BJ1448-BO1448,6)</f>
        <v>0</v>
      </c>
      <c r="BQ1448" s="80">
        <f>IF(BE1448=1,AW1448,0)</f>
        <v>0</v>
      </c>
      <c r="BR1448" s="80">
        <f>IF(BE1448=1,AX1448,0)</f>
        <v>0</v>
      </c>
      <c r="BS1448" s="80">
        <f>IF(AND(BE1448=1,D1448="Malcolm",BA1448&gt;0),MIN(BH1448,SUMPRODUCT((R_Emp="proMX")*(R_EN&gt;0)*((R_EN-(R_EN&gt;BR1448)*(R_EN-BR1448))&gt;(R_SN+(R_SN&lt;BQ1448)*(BQ1448-R_SN)))*((R_EN-(R_EN&gt;BR1448)*(R_EN-BR1448))-(R_SN+(R_SN&lt;BQ1448)*(BQ1448-R_SN))))/60),0)</f>
        <v>0</v>
      </c>
      <c r="BT1448" s="80">
        <f>IF(AND(BE1448=1,D1448="proMX"),ROUND(BI1448*CFG_RATE+BJ1448*CFG_OTRATE,6),0)</f>
        <v>0</v>
      </c>
      <c r="BU1448" s="80">
        <f>IF(AND(BD1448=1,D1448="proMX"),ROUND(AG1448/CFG_BLK,6),0)</f>
        <v>0</v>
      </c>
      <c r="BV1448" s="80" t="str">
        <f>IF(BF1448="Approved",IF(ISNUMBER(T1448),INT(T1448),INT(B1448)),"")</f>
        <v/>
      </c>
      <c r="BW1448" s="80">
        <f>IF(ISNUMBER(B1448),IF(DB_MON="Todos",1,IF(AND(INT(B1448)&gt;=DB_MS,INT(B1448)&lt;=DB_ME),1,0)),0)</f>
        <v>0</v>
      </c>
      <c r="BX1448" s="80">
        <f>IF(DB_PROJ="Todos",1,IF(E1448&amp;""=DB_PROJ&amp;"",1,0))</f>
        <v>1</v>
      </c>
      <c r="BY1448" s="80">
        <f>BW1448*BX1448</f>
        <v>0</v>
      </c>
      <c r="BZ1448" s="80" t="str">
        <f>IF(Y1448=1,F1448&amp;IF(AND(F1448&amp;""&lt;&gt;"",E1448&amp;""&lt;&gt;"")," · ","")&amp;E1448,"")</f>
        <v/>
      </c>
      <c r="CA1448" s="80" t="str">
        <f>IF(AND(BD1448=1,E1448&amp;""&lt;&gt;""),IF(COUNTIFS($E$5:E1447,E1448,$BD$5:BD1447,1)=0,MAX($CA$5:CA1447)+1,""),"")</f>
        <v/>
      </c>
      <c r="CB1448" s="80" t="str">
        <f>IF(AND(BE1448=1,D1448="Malcolm",E1448&amp;""&lt;&gt;""),IF(COUNTIFS($D$5:D1447,"Malcolm",$E$5:E1447,E1448,$BE$5:BE1447,1)=0,MAX($CB$5:CB1447)+1,""),"")</f>
        <v/>
      </c>
      <c r="CC1448" s="80" t="str">
        <f>IF(AND(BD1448=1,D1448="proMX",E1448&amp;""&lt;&gt;""),IF(COUNTIFS($D$5:D1447,"proMX",$E$5:E1447,E1448,$BD$5:BD1447,1)=0,MAX($CC$5:CC1447)+1,""),"")</f>
        <v/>
      </c>
      <c r="CD1448" s="80" t="str">
        <f>IF(AND(BE1448=1,D1448="Malcolm",F1448&amp;""&lt;&gt;""),IF(COUNTIFS($D$5:D1447,"Malcolm",$F$5:F1447,F1448,$BE$5:BE1447,1)=0,MAX($CD$5:CD1447)+1,""),"")</f>
        <v/>
      </c>
      <c r="CE1448" s="80" t="str">
        <f>IF(AND(BD1448=1,D1448="proMX",F1448&amp;""&lt;&gt;""),IF(COUNTIFS($D$5:D1447,"proMX",$F$5:F1447,F1448,$BD$5:BD1447,1)=0,MAX($CE$5:CE1447)+1,""),"")</f>
        <v/>
      </c>
      <c r="CF1448" s="80" t="str">
        <f>IF(AND(D1448="proMX",BD1448=1),IF(OR(BF1448="Draft",BF1448="Submitted",BF1448="Returned",BF1448="Recall Requested"),MAX($CF$5:CF1447)+1,""),"")</f>
        <v/>
      </c>
      <c r="CG1448" s="80">
        <f>IF(BD1448=0,0,IF(D1448="Malcolm",1,MATCH(BF1448,{"Draft","Submitted","Approved","Returned","Recall Requested","Cancelled"},0)+1))</f>
        <v>0</v>
      </c>
      <c r="CH1448" s="80">
        <f>IF(AND(BF1448="Submitted",ISNUMBER(V1448)),IF(V1448&gt;CFG_MAXD,1,0),0)</f>
        <v>0</v>
      </c>
    </row>
    <row r="1449">
      <c r="A1449" s="71" t="str">
        <f>IF(Y1449=1,ROW()-5,"")</f>
        <v/>
      </c>
      <c r="B1449" s="72" t="n"/>
      <c r="C1449" s="71" t="str">
        <f>IF(ISNUMBER(B1449),CHOOSE(WEEKDAY(B1449,2),"Lun","Mar","Mié","Jue","Vie","Sáb","Dom"),"")</f>
        <v/>
      </c>
      <c r="D1449" s="73" t="n"/>
      <c r="E1449" s="74" t="n"/>
      <c r="F1449" s="74" t="n"/>
      <c r="G1449" s="74" t="n"/>
      <c r="H1449" s="75" t="n"/>
      <c r="I1449" s="75" t="n"/>
      <c r="J1449" s="76" t="n"/>
      <c r="K1449" s="77" t="str">
        <f>IF(AB1449=1,ROUND(AG1449/60,4),"")</f>
        <v/>
      </c>
      <c r="L1449" s="77" t="str">
        <f>IF(BD1449=1,ROUND(AP1449/60,4),"")</f>
        <v/>
      </c>
      <c r="M1449" s="77" t="str">
        <f>IF(BD1449=1,ROUND(AQ1449/60,4),"")</f>
        <v/>
      </c>
      <c r="N1449" s="71" t="str">
        <f>IF(AND(D1449="proMX",AB1449=1),ROUND(AG1449/CFG_BLK,2),"")</f>
        <v/>
      </c>
      <c r="O1449" s="77" t="str">
        <f>IF(D1449="proMX",IF(BD1449=1,ROUND(AG1449/60,4),0),"")</f>
        <v/>
      </c>
      <c r="P1449" s="78" t="str">
        <f>IF(Y1449=0,"",IF(BD1449=1,"OK",IF(D1449="proMX","Revisar bloques: ","Revisar: ")&amp;BC1449))</f>
        <v/>
      </c>
      <c r="Q1449" s="78" t="str">
        <f>IF(NOT(ISNUMBER(B1449)),"",IF(COUNTIFS(FER_F,INT(B1449))&gt;0,"Feriado"&amp;IF(AH1449=1," (laborable)"," (no laborable)"),IF(AH1449=1,"Laborable",IF(WEEKDAY(B1449,2)&gt;5,"Fin de semana","No laborable"))))</f>
        <v/>
      </c>
      <c r="R1449" s="73" t="n"/>
      <c r="S1449" s="72" t="n"/>
      <c r="T1449" s="72" t="n"/>
      <c r="U1449" s="74" t="n"/>
      <c r="V1449" s="79" t="str">
        <f>IF(AND(D1449="proMX",OR(R1449="Submitted",R1449="Recall Requested"),ISNUMBER(S1449)),CFG_TODAY-INT(S1449),"")</f>
        <v/>
      </c>
      <c r="W1449" s="78" t="str">
        <f>IF(BD1449=0,"",IF(BA1449&gt;0,"⚠ Se superpone con un registro de la otra empresa",IF(D1449="Malcolm",IF(COUNTA(R1449,S1449,T1449)&gt;0,"Estado/fechas proMX se ignoran en Malcolm",""),IF(BF1449="Cancelled","Cancelado: excluido de totales",IF(R1449="","Sin estado: se trata como Draft",IF(BF1449="Submitted",IF(ISNUMBER(V1449),IF(V1449&gt;CFG_MAXD,"⚠ "&amp;V1449&amp;" días en Submitted (máx. "&amp;CFG_MAXD&amp;")",""),"Falta fecha de envío"),IF(BF1449="Returned","⚠ Devuelto: corregir y reenviar",IF(BF1449="Recall Requested","Retirada solicitada: pendiente",IF(AND(BF1449="Approved",NOT(ISNUMBER(T1449))),"Falta fecha de aprobación",IF(AND(ISNUMBER(S1449),ISNUMBER(T1449),T1449&lt;S1449),"Aprobación anterior al envío","")))))))))</f>
        <v/>
      </c>
      <c r="Y1449" s="80">
        <f>IF(COUNTA(B1449,D1449,E1449,F1449,G1449,H1449,I1449,J1449,R1449,S1449,T1449)&gt;0,1,0)</f>
        <v>0</v>
      </c>
      <c r="Z1449" s="80" t="str">
        <f>IF(AND(ISNUMBER(H1449),H1449&gt;=0,H1449&lt;1),ROUND(H1449*1440,0),"")</f>
        <v/>
      </c>
      <c r="AA1449" s="80" t="str">
        <f>IF(AND(ISNUMBER(I1449),I1449&gt;=0,I1449&lt;1),ROUND(I1449*1440,0),"")</f>
        <v/>
      </c>
      <c r="AB1449" s="80">
        <f>IF(AND(ISNUMBER(B1449),D1449&lt;&gt;"",ISNUMBER(Z1449),ISNUMBER(AA1449)),IF(Z1449=AA1449,0,1),0)</f>
        <v>0</v>
      </c>
      <c r="AC1449" s="80">
        <f>IF(AB1449=1,IF(AA1449&lt;Z1449,1,0),0)</f>
        <v>0</v>
      </c>
      <c r="AD1449" s="80">
        <f>IF(AB1449=1,IF(AC1449=1,1440-Z1449+AA1449,AA1449-Z1449),0)</f>
        <v>0</v>
      </c>
      <c r="AE1449" s="80">
        <f>IF(J1449="",0,IF(ISNUMBER(J1449),J1449,-1))</f>
        <v>0</v>
      </c>
      <c r="AF1449" s="80">
        <f>MIN(MAX(0,AE1449),AD1449)</f>
        <v>0</v>
      </c>
      <c r="AG1449" s="80">
        <f>MAX(0,AD1449-MAX(0,AE1449))</f>
        <v>0</v>
      </c>
      <c r="AH1449" s="80">
        <f>IF(ISNUMBER(B1449),IF(AND(INDEX(CFG_WDAYS,WEEKDAY(INT(B1449),2))="Sí",IF(D1449="proMX",COUNTIFS(FER_F,INT(B1449),FER_NLP,"Sí"),COUNTIFS(FER_F,INT(B1449),FER_NLM,"Sí"))=0),1,0),0)</f>
        <v>0</v>
      </c>
      <c r="AI1449" s="80">
        <f>IF(AC1449=1,IF(AND(INDEX(CFG_WDAYS,WEEKDAY(INT(B1449)+1,2))="Sí",IF(D1449="proMX",COUNTIFS(FER_F,INT(B1449)+1,FER_NLP,"Sí"),COUNTIFS(FER_F,INT(B1449)+1,FER_NLM,"Sí"))=0),1,0),0)</f>
        <v>0</v>
      </c>
      <c r="AJ1449" s="80">
        <f>IF(AC1449=1,1440-Z1449,AD1449)</f>
        <v>0</v>
      </c>
      <c r="AK1449" s="80">
        <f>IF(AND(AB1449=1,AH1449=1),MAX(0,MIN(IF(AC1449=1,1440,AA1449),CFG_WEM)-MAX(Z1449,CFG_WSM)),0)</f>
        <v>0</v>
      </c>
      <c r="AL1449" s="80">
        <f>IF(AND(AC1449=1,AI1449=1),MAX(0,MIN(AA1449,CFG_WEM)-CFG_WSM),0)</f>
        <v>0</v>
      </c>
      <c r="AM1449" s="80">
        <f>AK1449+AL1449</f>
        <v>0</v>
      </c>
      <c r="AN1449" s="80">
        <f>IF(CFG_BRK="Proporcional",IF(AD1449=0,0,AF1449*AM1449/AD1449),IF(CFG_BRK="Extras primero",MIN(AM1449,MAX(0,AF1449-(AD1449-AM1449))),MIN(AF1449,AM1449)))</f>
        <v>0</v>
      </c>
      <c r="AO1449" s="80">
        <f>AF1449-AN1449</f>
        <v>0</v>
      </c>
      <c r="AP1449" s="80">
        <f>AM1449-AN1449</f>
        <v>0</v>
      </c>
      <c r="AQ1449" s="80">
        <f>AD1449-AM1449-AO1449</f>
        <v>0</v>
      </c>
      <c r="AR1449" s="80">
        <f>IF(AM1449=0,0,AK1449-AN1449*AK1449/AM1449)</f>
        <v>0</v>
      </c>
      <c r="AS1449" s="80">
        <f>IF(AD1449-AM1449=0,0,(AJ1449-AK1449)-AO1449*(AJ1449-AK1449)/(AD1449-AM1449))</f>
        <v>0</v>
      </c>
      <c r="AT1449" s="80" t="str">
        <f>IF(AC1449=1,INT(B1449)+1,"")</f>
        <v/>
      </c>
      <c r="AU1449" s="80">
        <f>IF(AND(D1449="proMX",R1449="Cancelled"),0,1)</f>
        <v>1</v>
      </c>
      <c r="AV1449" s="80">
        <f>IF(AND(AB1449=1,AU1449=1),IF(COUNTIFS($D$5:D1448,D1449,$B$5:B1448,B1449,$Z$5:Z1448,Z1449,$AA$5:AA1448,AA1449,$F$5:F1448,F1449&amp;"",$AU$5:AU1448,1)&gt;0,1,0),0)</f>
        <v>0</v>
      </c>
      <c r="AW1449" s="80" t="str">
        <f>IF(AB1449=1,INT(B1449)*1440+Z1449,"")</f>
        <v/>
      </c>
      <c r="AX1449" s="80" t="str">
        <f>IF(AB1449=1,AW1449+AD1449,"")</f>
        <v/>
      </c>
      <c r="AY1449" s="80">
        <f>IF(AND(AB1449=1,AV1449=0,AU1449=1),1,0)</f>
        <v>0</v>
      </c>
      <c r="AZ1449" s="80">
        <f>IF(AY1449=1,COUNTIFS(R_Emp,D1449,R_SAbs,"&lt;"&amp;AX1449,R_EAbs,"&gt;"&amp;AW1449,R_OKey,1)-1,0)</f>
        <v>0</v>
      </c>
      <c r="BA1449" s="80">
        <f>IF(AY1449=1,COUNTIFS(R_Emp,"&lt;&gt;"&amp;D1449,R_SAbs,"&lt;"&amp;AX1449,R_EAbs,"&gt;"&amp;AW1449,R_OKey,1),0)</f>
        <v>0</v>
      </c>
      <c r="BB1449" s="80">
        <f>IF(AND(AB1449=1,D1449="proMX"),IF(AND(MOD(Z1449,CFG_BLK)=0,MOD(AA1449,CFG_BLK)=0,MOD(AG1449,CFG_BLK)=0,AG1449&gt;0),1,0),1)</f>
        <v>1</v>
      </c>
      <c r="BC1449" s="80" t="str">
        <f>IF(Y1449=0,"",IF(NOT(ISNUMBER(B1449)),"Falta fecha o fecha inválida",IF(D1449="","Falta empresa",IF(AND(D1449&lt;&gt;"Malcolm",D1449&lt;&gt;"proMX"),"Empresa inválida",IF(OR(INT(B1449)&lt;CFG_PSTART,INT(B1449)&gt;CFG_PEND),"Fecha fuera del período",IF(OR(NOT(ISNUMBER(Z1449)),NOT(ISNUMBER(AA1449))),"Falta hora inicio/fin o formato inválido",IF(AB1449=0,"Hora inicio = hora fin",IF(AE1449&lt;0,"Descanso inválido",IF(AE1449&gt;=AD1449,"Descanso ≥ duración",IF(AV1449=1,"Registro duplicado",IF(AZ1449&gt;0,"Se superpone con otro registro "&amp;D1449,IF(BB1449=0,"inicio, fin y duración neta deben ser múltiplos de "&amp;CFG_BLK&amp;" min",""))))))))))))</f>
        <v/>
      </c>
      <c r="BD1449" s="80">
        <f>IF(AND(Y1449=1,BC1449=""),1,0)</f>
        <v>0</v>
      </c>
      <c r="BE1449" s="80">
        <f>IF(AND(BD1449=1,AU1449=1),1,0)</f>
        <v>0</v>
      </c>
      <c r="BF1449" s="80" t="str">
        <f>IF(AND(D1449="proMX",BD1449=1),IF(R1449="","Draft",R1449),"")</f>
        <v/>
      </c>
      <c r="BG1449" s="80">
        <f>IF(BD1449=1,ROUND(AG1449/60,6),0)</f>
        <v>0</v>
      </c>
      <c r="BH1449" s="80">
        <f>IF(BE1449=1,ROUND(AG1449/60,6),0)</f>
        <v>0</v>
      </c>
      <c r="BI1449" s="80">
        <f>IF(BE1449=1,ROUND(AP1449/60,6),0)</f>
        <v>0</v>
      </c>
      <c r="BJ1449" s="80">
        <f>IF(BE1449=1,ROUND(AQ1449/60,6),0)</f>
        <v>0</v>
      </c>
      <c r="BK1449" s="80">
        <f>IF(BE1449=1,ROUND((AR1449+AS1449)/60,6),0)</f>
        <v>0</v>
      </c>
      <c r="BL1449" s="80">
        <f>ROUND(BH1449-BK1449,6)</f>
        <v>0</v>
      </c>
      <c r="BM1449" s="80">
        <f>IF(BE1449=1,ROUND(AR1449/60,6),0)</f>
        <v>0</v>
      </c>
      <c r="BN1449" s="80">
        <f>ROUND(BI1449-BM1449,6)</f>
        <v>0</v>
      </c>
      <c r="BO1449" s="80">
        <f>IF(BE1449=1,ROUND(AS1449/60,6),0)</f>
        <v>0</v>
      </c>
      <c r="BP1449" s="80">
        <f>ROUND(BJ1449-BO1449,6)</f>
        <v>0</v>
      </c>
      <c r="BQ1449" s="80">
        <f>IF(BE1449=1,AW1449,0)</f>
        <v>0</v>
      </c>
      <c r="BR1449" s="80">
        <f>IF(BE1449=1,AX1449,0)</f>
        <v>0</v>
      </c>
      <c r="BS1449" s="80">
        <f>IF(AND(BE1449=1,D1449="Malcolm",BA1449&gt;0),MIN(BH1449,SUMPRODUCT((R_Emp="proMX")*(R_EN&gt;0)*((R_EN-(R_EN&gt;BR1449)*(R_EN-BR1449))&gt;(R_SN+(R_SN&lt;BQ1449)*(BQ1449-R_SN)))*((R_EN-(R_EN&gt;BR1449)*(R_EN-BR1449))-(R_SN+(R_SN&lt;BQ1449)*(BQ1449-R_SN))))/60),0)</f>
        <v>0</v>
      </c>
      <c r="BT1449" s="80">
        <f>IF(AND(BE1449=1,D1449="proMX"),ROUND(BI1449*CFG_RATE+BJ1449*CFG_OTRATE,6),0)</f>
        <v>0</v>
      </c>
      <c r="BU1449" s="80">
        <f>IF(AND(BD1449=1,D1449="proMX"),ROUND(AG1449/CFG_BLK,6),0)</f>
        <v>0</v>
      </c>
      <c r="BV1449" s="80" t="str">
        <f>IF(BF1449="Approved",IF(ISNUMBER(T1449),INT(T1449),INT(B1449)),"")</f>
        <v/>
      </c>
      <c r="BW1449" s="80">
        <f>IF(ISNUMBER(B1449),IF(DB_MON="Todos",1,IF(AND(INT(B1449)&gt;=DB_MS,INT(B1449)&lt;=DB_ME),1,0)),0)</f>
        <v>0</v>
      </c>
      <c r="BX1449" s="80">
        <f>IF(DB_PROJ="Todos",1,IF(E1449&amp;""=DB_PROJ&amp;"",1,0))</f>
        <v>1</v>
      </c>
      <c r="BY1449" s="80">
        <f>BW1449*BX1449</f>
        <v>0</v>
      </c>
      <c r="BZ1449" s="80" t="str">
        <f>IF(Y1449=1,F1449&amp;IF(AND(F1449&amp;""&lt;&gt;"",E1449&amp;""&lt;&gt;"")," · ","")&amp;E1449,"")</f>
        <v/>
      </c>
      <c r="CA1449" s="80" t="str">
        <f>IF(AND(BD1449=1,E1449&amp;""&lt;&gt;""),IF(COUNTIFS($E$5:E1448,E1449,$BD$5:BD1448,1)=0,MAX($CA$5:CA1448)+1,""),"")</f>
        <v/>
      </c>
      <c r="CB1449" s="80" t="str">
        <f>IF(AND(BE1449=1,D1449="Malcolm",E1449&amp;""&lt;&gt;""),IF(COUNTIFS($D$5:D1448,"Malcolm",$E$5:E1448,E1449,$BE$5:BE1448,1)=0,MAX($CB$5:CB1448)+1,""),"")</f>
        <v/>
      </c>
      <c r="CC1449" s="80" t="str">
        <f>IF(AND(BD1449=1,D1449="proMX",E1449&amp;""&lt;&gt;""),IF(COUNTIFS($D$5:D1448,"proMX",$E$5:E1448,E1449,$BD$5:BD1448,1)=0,MAX($CC$5:CC1448)+1,""),"")</f>
        <v/>
      </c>
      <c r="CD1449" s="80" t="str">
        <f>IF(AND(BE1449=1,D1449="Malcolm",F1449&amp;""&lt;&gt;""),IF(COUNTIFS($D$5:D1448,"Malcolm",$F$5:F1448,F1449,$BE$5:BE1448,1)=0,MAX($CD$5:CD1448)+1,""),"")</f>
        <v/>
      </c>
      <c r="CE1449" s="80" t="str">
        <f>IF(AND(BD1449=1,D1449="proMX",F1449&amp;""&lt;&gt;""),IF(COUNTIFS($D$5:D1448,"proMX",$F$5:F1448,F1449,$BD$5:BD1448,1)=0,MAX($CE$5:CE1448)+1,""),"")</f>
        <v/>
      </c>
      <c r="CF1449" s="80" t="str">
        <f>IF(AND(D1449="proMX",BD1449=1),IF(OR(BF1449="Draft",BF1449="Submitted",BF1449="Returned",BF1449="Recall Requested"),MAX($CF$5:CF1448)+1,""),"")</f>
        <v/>
      </c>
      <c r="CG1449" s="80">
        <f>IF(BD1449=0,0,IF(D1449="Malcolm",1,MATCH(BF1449,{"Draft","Submitted","Approved","Returned","Recall Requested","Cancelled"},0)+1))</f>
        <v>0</v>
      </c>
      <c r="CH1449" s="80">
        <f>IF(AND(BF1449="Submitted",ISNUMBER(V1449)),IF(V1449&gt;CFG_MAXD,1,0),0)</f>
        <v>0</v>
      </c>
    </row>
    <row r="1450">
      <c r="A1450" s="71" t="str">
        <f>IF(Y1450=1,ROW()-5,"")</f>
        <v/>
      </c>
      <c r="B1450" s="72" t="n"/>
      <c r="C1450" s="71" t="str">
        <f>IF(ISNUMBER(B1450),CHOOSE(WEEKDAY(B1450,2),"Lun","Mar","Mié","Jue","Vie","Sáb","Dom"),"")</f>
        <v/>
      </c>
      <c r="D1450" s="73" t="n"/>
      <c r="E1450" s="74" t="n"/>
      <c r="F1450" s="74" t="n"/>
      <c r="G1450" s="74" t="n"/>
      <c r="H1450" s="75" t="n"/>
      <c r="I1450" s="75" t="n"/>
      <c r="J1450" s="76" t="n"/>
      <c r="K1450" s="77" t="str">
        <f>IF(AB1450=1,ROUND(AG1450/60,4),"")</f>
        <v/>
      </c>
      <c r="L1450" s="77" t="str">
        <f>IF(BD1450=1,ROUND(AP1450/60,4),"")</f>
        <v/>
      </c>
      <c r="M1450" s="77" t="str">
        <f>IF(BD1450=1,ROUND(AQ1450/60,4),"")</f>
        <v/>
      </c>
      <c r="N1450" s="71" t="str">
        <f>IF(AND(D1450="proMX",AB1450=1),ROUND(AG1450/CFG_BLK,2),"")</f>
        <v/>
      </c>
      <c r="O1450" s="77" t="str">
        <f>IF(D1450="proMX",IF(BD1450=1,ROUND(AG1450/60,4),0),"")</f>
        <v/>
      </c>
      <c r="P1450" s="78" t="str">
        <f>IF(Y1450=0,"",IF(BD1450=1,"OK",IF(D1450="proMX","Revisar bloques: ","Revisar: ")&amp;BC1450))</f>
        <v/>
      </c>
      <c r="Q1450" s="78" t="str">
        <f>IF(NOT(ISNUMBER(B1450)),"",IF(COUNTIFS(FER_F,INT(B1450))&gt;0,"Feriado"&amp;IF(AH1450=1," (laborable)"," (no laborable)"),IF(AH1450=1,"Laborable",IF(WEEKDAY(B1450,2)&gt;5,"Fin de semana","No laborable"))))</f>
        <v/>
      </c>
      <c r="R1450" s="73" t="n"/>
      <c r="S1450" s="72" t="n"/>
      <c r="T1450" s="72" t="n"/>
      <c r="U1450" s="74" t="n"/>
      <c r="V1450" s="79" t="str">
        <f>IF(AND(D1450="proMX",OR(R1450="Submitted",R1450="Recall Requested"),ISNUMBER(S1450)),CFG_TODAY-INT(S1450),"")</f>
        <v/>
      </c>
      <c r="W1450" s="78" t="str">
        <f>IF(BD1450=0,"",IF(BA1450&gt;0,"⚠ Se superpone con un registro de la otra empresa",IF(D1450="Malcolm",IF(COUNTA(R1450,S1450,T1450)&gt;0,"Estado/fechas proMX se ignoran en Malcolm",""),IF(BF1450="Cancelled","Cancelado: excluido de totales",IF(R1450="","Sin estado: se trata como Draft",IF(BF1450="Submitted",IF(ISNUMBER(V1450),IF(V1450&gt;CFG_MAXD,"⚠ "&amp;V1450&amp;" días en Submitted (máx. "&amp;CFG_MAXD&amp;")",""),"Falta fecha de envío"),IF(BF1450="Returned","⚠ Devuelto: corregir y reenviar",IF(BF1450="Recall Requested","Retirada solicitada: pendiente",IF(AND(BF1450="Approved",NOT(ISNUMBER(T1450))),"Falta fecha de aprobación",IF(AND(ISNUMBER(S1450),ISNUMBER(T1450),T1450&lt;S1450),"Aprobación anterior al envío","")))))))))</f>
        <v/>
      </c>
      <c r="Y1450" s="80">
        <f>IF(COUNTA(B1450,D1450,E1450,F1450,G1450,H1450,I1450,J1450,R1450,S1450,T1450)&gt;0,1,0)</f>
        <v>0</v>
      </c>
      <c r="Z1450" s="80" t="str">
        <f>IF(AND(ISNUMBER(H1450),H1450&gt;=0,H1450&lt;1),ROUND(H1450*1440,0),"")</f>
        <v/>
      </c>
      <c r="AA1450" s="80" t="str">
        <f>IF(AND(ISNUMBER(I1450),I1450&gt;=0,I1450&lt;1),ROUND(I1450*1440,0),"")</f>
        <v/>
      </c>
      <c r="AB1450" s="80">
        <f>IF(AND(ISNUMBER(B1450),D1450&lt;&gt;"",ISNUMBER(Z1450),ISNUMBER(AA1450)),IF(Z1450=AA1450,0,1),0)</f>
        <v>0</v>
      </c>
      <c r="AC1450" s="80">
        <f>IF(AB1450=1,IF(AA1450&lt;Z1450,1,0),0)</f>
        <v>0</v>
      </c>
      <c r="AD1450" s="80">
        <f>IF(AB1450=1,IF(AC1450=1,1440-Z1450+AA1450,AA1450-Z1450),0)</f>
        <v>0</v>
      </c>
      <c r="AE1450" s="80">
        <f>IF(J1450="",0,IF(ISNUMBER(J1450),J1450,-1))</f>
        <v>0</v>
      </c>
      <c r="AF1450" s="80">
        <f>MIN(MAX(0,AE1450),AD1450)</f>
        <v>0</v>
      </c>
      <c r="AG1450" s="80">
        <f>MAX(0,AD1450-MAX(0,AE1450))</f>
        <v>0</v>
      </c>
      <c r="AH1450" s="80">
        <f>IF(ISNUMBER(B1450),IF(AND(INDEX(CFG_WDAYS,WEEKDAY(INT(B1450),2))="Sí",IF(D1450="proMX",COUNTIFS(FER_F,INT(B1450),FER_NLP,"Sí"),COUNTIFS(FER_F,INT(B1450),FER_NLM,"Sí"))=0),1,0),0)</f>
        <v>0</v>
      </c>
      <c r="AI1450" s="80">
        <f>IF(AC1450=1,IF(AND(INDEX(CFG_WDAYS,WEEKDAY(INT(B1450)+1,2))="Sí",IF(D1450="proMX",COUNTIFS(FER_F,INT(B1450)+1,FER_NLP,"Sí"),COUNTIFS(FER_F,INT(B1450)+1,FER_NLM,"Sí"))=0),1,0),0)</f>
        <v>0</v>
      </c>
      <c r="AJ1450" s="80">
        <f>IF(AC1450=1,1440-Z1450,AD1450)</f>
        <v>0</v>
      </c>
      <c r="AK1450" s="80">
        <f>IF(AND(AB1450=1,AH1450=1),MAX(0,MIN(IF(AC1450=1,1440,AA1450),CFG_WEM)-MAX(Z1450,CFG_WSM)),0)</f>
        <v>0</v>
      </c>
      <c r="AL1450" s="80">
        <f>IF(AND(AC1450=1,AI1450=1),MAX(0,MIN(AA1450,CFG_WEM)-CFG_WSM),0)</f>
        <v>0</v>
      </c>
      <c r="AM1450" s="80">
        <f>AK1450+AL1450</f>
        <v>0</v>
      </c>
      <c r="AN1450" s="80">
        <f>IF(CFG_BRK="Proporcional",IF(AD1450=0,0,AF1450*AM1450/AD1450),IF(CFG_BRK="Extras primero",MIN(AM1450,MAX(0,AF1450-(AD1450-AM1450))),MIN(AF1450,AM1450)))</f>
        <v>0</v>
      </c>
      <c r="AO1450" s="80">
        <f>AF1450-AN1450</f>
        <v>0</v>
      </c>
      <c r="AP1450" s="80">
        <f>AM1450-AN1450</f>
        <v>0</v>
      </c>
      <c r="AQ1450" s="80">
        <f>AD1450-AM1450-AO1450</f>
        <v>0</v>
      </c>
      <c r="AR1450" s="80">
        <f>IF(AM1450=0,0,AK1450-AN1450*AK1450/AM1450)</f>
        <v>0</v>
      </c>
      <c r="AS1450" s="80">
        <f>IF(AD1450-AM1450=0,0,(AJ1450-AK1450)-AO1450*(AJ1450-AK1450)/(AD1450-AM1450))</f>
        <v>0</v>
      </c>
      <c r="AT1450" s="80" t="str">
        <f>IF(AC1450=1,INT(B1450)+1,"")</f>
        <v/>
      </c>
      <c r="AU1450" s="80">
        <f>IF(AND(D1450="proMX",R1450="Cancelled"),0,1)</f>
        <v>1</v>
      </c>
      <c r="AV1450" s="80">
        <f>IF(AND(AB1450=1,AU1450=1),IF(COUNTIFS($D$5:D1449,D1450,$B$5:B1449,B1450,$Z$5:Z1449,Z1450,$AA$5:AA1449,AA1450,$F$5:F1449,F1450&amp;"",$AU$5:AU1449,1)&gt;0,1,0),0)</f>
        <v>0</v>
      </c>
      <c r="AW1450" s="80" t="str">
        <f>IF(AB1450=1,INT(B1450)*1440+Z1450,"")</f>
        <v/>
      </c>
      <c r="AX1450" s="80" t="str">
        <f>IF(AB1450=1,AW1450+AD1450,"")</f>
        <v/>
      </c>
      <c r="AY1450" s="80">
        <f>IF(AND(AB1450=1,AV1450=0,AU1450=1),1,0)</f>
        <v>0</v>
      </c>
      <c r="AZ1450" s="80">
        <f>IF(AY1450=1,COUNTIFS(R_Emp,D1450,R_SAbs,"&lt;"&amp;AX1450,R_EAbs,"&gt;"&amp;AW1450,R_OKey,1)-1,0)</f>
        <v>0</v>
      </c>
      <c r="BA1450" s="80">
        <f>IF(AY1450=1,COUNTIFS(R_Emp,"&lt;&gt;"&amp;D1450,R_SAbs,"&lt;"&amp;AX1450,R_EAbs,"&gt;"&amp;AW1450,R_OKey,1),0)</f>
        <v>0</v>
      </c>
      <c r="BB1450" s="80">
        <f>IF(AND(AB1450=1,D1450="proMX"),IF(AND(MOD(Z1450,CFG_BLK)=0,MOD(AA1450,CFG_BLK)=0,MOD(AG1450,CFG_BLK)=0,AG1450&gt;0),1,0),1)</f>
        <v>1</v>
      </c>
      <c r="BC1450" s="80" t="str">
        <f>IF(Y1450=0,"",IF(NOT(ISNUMBER(B1450)),"Falta fecha o fecha inválida",IF(D1450="","Falta empresa",IF(AND(D1450&lt;&gt;"Malcolm",D1450&lt;&gt;"proMX"),"Empresa inválida",IF(OR(INT(B1450)&lt;CFG_PSTART,INT(B1450)&gt;CFG_PEND),"Fecha fuera del período",IF(OR(NOT(ISNUMBER(Z1450)),NOT(ISNUMBER(AA1450))),"Falta hora inicio/fin o formato inválido",IF(AB1450=0,"Hora inicio = hora fin",IF(AE1450&lt;0,"Descanso inválido",IF(AE1450&gt;=AD1450,"Descanso ≥ duración",IF(AV1450=1,"Registro duplicado",IF(AZ1450&gt;0,"Se superpone con otro registro "&amp;D1450,IF(BB1450=0,"inicio, fin y duración neta deben ser múltiplos de "&amp;CFG_BLK&amp;" min",""))))))))))))</f>
        <v/>
      </c>
      <c r="BD1450" s="80">
        <f>IF(AND(Y1450=1,BC1450=""),1,0)</f>
        <v>0</v>
      </c>
      <c r="BE1450" s="80">
        <f>IF(AND(BD1450=1,AU1450=1),1,0)</f>
        <v>0</v>
      </c>
      <c r="BF1450" s="80" t="str">
        <f>IF(AND(D1450="proMX",BD1450=1),IF(R1450="","Draft",R1450),"")</f>
        <v/>
      </c>
      <c r="BG1450" s="80">
        <f>IF(BD1450=1,ROUND(AG1450/60,6),0)</f>
        <v>0</v>
      </c>
      <c r="BH1450" s="80">
        <f>IF(BE1450=1,ROUND(AG1450/60,6),0)</f>
        <v>0</v>
      </c>
      <c r="BI1450" s="80">
        <f>IF(BE1450=1,ROUND(AP1450/60,6),0)</f>
        <v>0</v>
      </c>
      <c r="BJ1450" s="80">
        <f>IF(BE1450=1,ROUND(AQ1450/60,6),0)</f>
        <v>0</v>
      </c>
      <c r="BK1450" s="80">
        <f>IF(BE1450=1,ROUND((AR1450+AS1450)/60,6),0)</f>
        <v>0</v>
      </c>
      <c r="BL1450" s="80">
        <f>ROUND(BH1450-BK1450,6)</f>
        <v>0</v>
      </c>
      <c r="BM1450" s="80">
        <f>IF(BE1450=1,ROUND(AR1450/60,6),0)</f>
        <v>0</v>
      </c>
      <c r="BN1450" s="80">
        <f>ROUND(BI1450-BM1450,6)</f>
        <v>0</v>
      </c>
      <c r="BO1450" s="80">
        <f>IF(BE1450=1,ROUND(AS1450/60,6),0)</f>
        <v>0</v>
      </c>
      <c r="BP1450" s="80">
        <f>ROUND(BJ1450-BO1450,6)</f>
        <v>0</v>
      </c>
      <c r="BQ1450" s="80">
        <f>IF(BE1450=1,AW1450,0)</f>
        <v>0</v>
      </c>
      <c r="BR1450" s="80">
        <f>IF(BE1450=1,AX1450,0)</f>
        <v>0</v>
      </c>
      <c r="BS1450" s="80">
        <f>IF(AND(BE1450=1,D1450="Malcolm",BA1450&gt;0),MIN(BH1450,SUMPRODUCT((R_Emp="proMX")*(R_EN&gt;0)*((R_EN-(R_EN&gt;BR1450)*(R_EN-BR1450))&gt;(R_SN+(R_SN&lt;BQ1450)*(BQ1450-R_SN)))*((R_EN-(R_EN&gt;BR1450)*(R_EN-BR1450))-(R_SN+(R_SN&lt;BQ1450)*(BQ1450-R_SN))))/60),0)</f>
        <v>0</v>
      </c>
      <c r="BT1450" s="80">
        <f>IF(AND(BE1450=1,D1450="proMX"),ROUND(BI1450*CFG_RATE+BJ1450*CFG_OTRATE,6),0)</f>
        <v>0</v>
      </c>
      <c r="BU1450" s="80">
        <f>IF(AND(BD1450=1,D1450="proMX"),ROUND(AG1450/CFG_BLK,6),0)</f>
        <v>0</v>
      </c>
      <c r="BV1450" s="80" t="str">
        <f>IF(BF1450="Approved",IF(ISNUMBER(T1450),INT(T1450),INT(B1450)),"")</f>
        <v/>
      </c>
      <c r="BW1450" s="80">
        <f>IF(ISNUMBER(B1450),IF(DB_MON="Todos",1,IF(AND(INT(B1450)&gt;=DB_MS,INT(B1450)&lt;=DB_ME),1,0)),0)</f>
        <v>0</v>
      </c>
      <c r="BX1450" s="80">
        <f>IF(DB_PROJ="Todos",1,IF(E1450&amp;""=DB_PROJ&amp;"",1,0))</f>
        <v>1</v>
      </c>
      <c r="BY1450" s="80">
        <f>BW1450*BX1450</f>
        <v>0</v>
      </c>
      <c r="BZ1450" s="80" t="str">
        <f>IF(Y1450=1,F1450&amp;IF(AND(F1450&amp;""&lt;&gt;"",E1450&amp;""&lt;&gt;"")," · ","")&amp;E1450,"")</f>
        <v/>
      </c>
      <c r="CA1450" s="80" t="str">
        <f>IF(AND(BD1450=1,E1450&amp;""&lt;&gt;""),IF(COUNTIFS($E$5:E1449,E1450,$BD$5:BD1449,1)=0,MAX($CA$5:CA1449)+1,""),"")</f>
        <v/>
      </c>
      <c r="CB1450" s="80" t="str">
        <f>IF(AND(BE1450=1,D1450="Malcolm",E1450&amp;""&lt;&gt;""),IF(COUNTIFS($D$5:D1449,"Malcolm",$E$5:E1449,E1450,$BE$5:BE1449,1)=0,MAX($CB$5:CB1449)+1,""),"")</f>
        <v/>
      </c>
      <c r="CC1450" s="80" t="str">
        <f>IF(AND(BD1450=1,D1450="proMX",E1450&amp;""&lt;&gt;""),IF(COUNTIFS($D$5:D1449,"proMX",$E$5:E1449,E1450,$BD$5:BD1449,1)=0,MAX($CC$5:CC1449)+1,""),"")</f>
        <v/>
      </c>
      <c r="CD1450" s="80" t="str">
        <f>IF(AND(BE1450=1,D1450="Malcolm",F1450&amp;""&lt;&gt;""),IF(COUNTIFS($D$5:D1449,"Malcolm",$F$5:F1449,F1450,$BE$5:BE1449,1)=0,MAX($CD$5:CD1449)+1,""),"")</f>
        <v/>
      </c>
      <c r="CE1450" s="80" t="str">
        <f>IF(AND(BD1450=1,D1450="proMX",F1450&amp;""&lt;&gt;""),IF(COUNTIFS($D$5:D1449,"proMX",$F$5:F1449,F1450,$BD$5:BD1449,1)=0,MAX($CE$5:CE1449)+1,""),"")</f>
        <v/>
      </c>
      <c r="CF1450" s="80" t="str">
        <f>IF(AND(D1450="proMX",BD1450=1),IF(OR(BF1450="Draft",BF1450="Submitted",BF1450="Returned",BF1450="Recall Requested"),MAX($CF$5:CF1449)+1,""),"")</f>
        <v/>
      </c>
      <c r="CG1450" s="80">
        <f>IF(BD1450=0,0,IF(D1450="Malcolm",1,MATCH(BF1450,{"Draft","Submitted","Approved","Returned","Recall Requested","Cancelled"},0)+1))</f>
        <v>0</v>
      </c>
      <c r="CH1450" s="80">
        <f>IF(AND(BF1450="Submitted",ISNUMBER(V1450)),IF(V1450&gt;CFG_MAXD,1,0),0)</f>
        <v>0</v>
      </c>
    </row>
    <row r="1451">
      <c r="A1451" s="71" t="str">
        <f>IF(Y1451=1,ROW()-5,"")</f>
        <v/>
      </c>
      <c r="B1451" s="72" t="n"/>
      <c r="C1451" s="71" t="str">
        <f>IF(ISNUMBER(B1451),CHOOSE(WEEKDAY(B1451,2),"Lun","Mar","Mié","Jue","Vie","Sáb","Dom"),"")</f>
        <v/>
      </c>
      <c r="D1451" s="73" t="n"/>
      <c r="E1451" s="74" t="n"/>
      <c r="F1451" s="74" t="n"/>
      <c r="G1451" s="74" t="n"/>
      <c r="H1451" s="75" t="n"/>
      <c r="I1451" s="75" t="n"/>
      <c r="J1451" s="76" t="n"/>
      <c r="K1451" s="77" t="str">
        <f>IF(AB1451=1,ROUND(AG1451/60,4),"")</f>
        <v/>
      </c>
      <c r="L1451" s="77" t="str">
        <f>IF(BD1451=1,ROUND(AP1451/60,4),"")</f>
        <v/>
      </c>
      <c r="M1451" s="77" t="str">
        <f>IF(BD1451=1,ROUND(AQ1451/60,4),"")</f>
        <v/>
      </c>
      <c r="N1451" s="71" t="str">
        <f>IF(AND(D1451="proMX",AB1451=1),ROUND(AG1451/CFG_BLK,2),"")</f>
        <v/>
      </c>
      <c r="O1451" s="77" t="str">
        <f>IF(D1451="proMX",IF(BD1451=1,ROUND(AG1451/60,4),0),"")</f>
        <v/>
      </c>
      <c r="P1451" s="78" t="str">
        <f>IF(Y1451=0,"",IF(BD1451=1,"OK",IF(D1451="proMX","Revisar bloques: ","Revisar: ")&amp;BC1451))</f>
        <v/>
      </c>
      <c r="Q1451" s="78" t="str">
        <f>IF(NOT(ISNUMBER(B1451)),"",IF(COUNTIFS(FER_F,INT(B1451))&gt;0,"Feriado"&amp;IF(AH1451=1," (laborable)"," (no laborable)"),IF(AH1451=1,"Laborable",IF(WEEKDAY(B1451,2)&gt;5,"Fin de semana","No laborable"))))</f>
        <v/>
      </c>
      <c r="R1451" s="73" t="n"/>
      <c r="S1451" s="72" t="n"/>
      <c r="T1451" s="72" t="n"/>
      <c r="U1451" s="74" t="n"/>
      <c r="V1451" s="79" t="str">
        <f>IF(AND(D1451="proMX",OR(R1451="Submitted",R1451="Recall Requested"),ISNUMBER(S1451)),CFG_TODAY-INT(S1451),"")</f>
        <v/>
      </c>
      <c r="W1451" s="78" t="str">
        <f>IF(BD1451=0,"",IF(BA1451&gt;0,"⚠ Se superpone con un registro de la otra empresa",IF(D1451="Malcolm",IF(COUNTA(R1451,S1451,T1451)&gt;0,"Estado/fechas proMX se ignoran en Malcolm",""),IF(BF1451="Cancelled","Cancelado: excluido de totales",IF(R1451="","Sin estado: se trata como Draft",IF(BF1451="Submitted",IF(ISNUMBER(V1451),IF(V1451&gt;CFG_MAXD,"⚠ "&amp;V1451&amp;" días en Submitted (máx. "&amp;CFG_MAXD&amp;")",""),"Falta fecha de envío"),IF(BF1451="Returned","⚠ Devuelto: corregir y reenviar",IF(BF1451="Recall Requested","Retirada solicitada: pendiente",IF(AND(BF1451="Approved",NOT(ISNUMBER(T1451))),"Falta fecha de aprobación",IF(AND(ISNUMBER(S1451),ISNUMBER(T1451),T1451&lt;S1451),"Aprobación anterior al envío","")))))))))</f>
        <v/>
      </c>
      <c r="Y1451" s="80">
        <f>IF(COUNTA(B1451,D1451,E1451,F1451,G1451,H1451,I1451,J1451,R1451,S1451,T1451)&gt;0,1,0)</f>
        <v>0</v>
      </c>
      <c r="Z1451" s="80" t="str">
        <f>IF(AND(ISNUMBER(H1451),H1451&gt;=0,H1451&lt;1),ROUND(H1451*1440,0),"")</f>
        <v/>
      </c>
      <c r="AA1451" s="80" t="str">
        <f>IF(AND(ISNUMBER(I1451),I1451&gt;=0,I1451&lt;1),ROUND(I1451*1440,0),"")</f>
        <v/>
      </c>
      <c r="AB1451" s="80">
        <f>IF(AND(ISNUMBER(B1451),D1451&lt;&gt;"",ISNUMBER(Z1451),ISNUMBER(AA1451)),IF(Z1451=AA1451,0,1),0)</f>
        <v>0</v>
      </c>
      <c r="AC1451" s="80">
        <f>IF(AB1451=1,IF(AA1451&lt;Z1451,1,0),0)</f>
        <v>0</v>
      </c>
      <c r="AD1451" s="80">
        <f>IF(AB1451=1,IF(AC1451=1,1440-Z1451+AA1451,AA1451-Z1451),0)</f>
        <v>0</v>
      </c>
      <c r="AE1451" s="80">
        <f>IF(J1451="",0,IF(ISNUMBER(J1451),J1451,-1))</f>
        <v>0</v>
      </c>
      <c r="AF1451" s="80">
        <f>MIN(MAX(0,AE1451),AD1451)</f>
        <v>0</v>
      </c>
      <c r="AG1451" s="80">
        <f>MAX(0,AD1451-MAX(0,AE1451))</f>
        <v>0</v>
      </c>
      <c r="AH1451" s="80">
        <f>IF(ISNUMBER(B1451),IF(AND(INDEX(CFG_WDAYS,WEEKDAY(INT(B1451),2))="Sí",IF(D1451="proMX",COUNTIFS(FER_F,INT(B1451),FER_NLP,"Sí"),COUNTIFS(FER_F,INT(B1451),FER_NLM,"Sí"))=0),1,0),0)</f>
        <v>0</v>
      </c>
      <c r="AI1451" s="80">
        <f>IF(AC1451=1,IF(AND(INDEX(CFG_WDAYS,WEEKDAY(INT(B1451)+1,2))="Sí",IF(D1451="proMX",COUNTIFS(FER_F,INT(B1451)+1,FER_NLP,"Sí"),COUNTIFS(FER_F,INT(B1451)+1,FER_NLM,"Sí"))=0),1,0),0)</f>
        <v>0</v>
      </c>
      <c r="AJ1451" s="80">
        <f>IF(AC1451=1,1440-Z1451,AD1451)</f>
        <v>0</v>
      </c>
      <c r="AK1451" s="80">
        <f>IF(AND(AB1451=1,AH1451=1),MAX(0,MIN(IF(AC1451=1,1440,AA1451),CFG_WEM)-MAX(Z1451,CFG_WSM)),0)</f>
        <v>0</v>
      </c>
      <c r="AL1451" s="80">
        <f>IF(AND(AC1451=1,AI1451=1),MAX(0,MIN(AA1451,CFG_WEM)-CFG_WSM),0)</f>
        <v>0</v>
      </c>
      <c r="AM1451" s="80">
        <f>AK1451+AL1451</f>
        <v>0</v>
      </c>
      <c r="AN1451" s="80">
        <f>IF(CFG_BRK="Proporcional",IF(AD1451=0,0,AF1451*AM1451/AD1451),IF(CFG_BRK="Extras primero",MIN(AM1451,MAX(0,AF1451-(AD1451-AM1451))),MIN(AF1451,AM1451)))</f>
        <v>0</v>
      </c>
      <c r="AO1451" s="80">
        <f>AF1451-AN1451</f>
        <v>0</v>
      </c>
      <c r="AP1451" s="80">
        <f>AM1451-AN1451</f>
        <v>0</v>
      </c>
      <c r="AQ1451" s="80">
        <f>AD1451-AM1451-AO1451</f>
        <v>0</v>
      </c>
      <c r="AR1451" s="80">
        <f>IF(AM1451=0,0,AK1451-AN1451*AK1451/AM1451)</f>
        <v>0</v>
      </c>
      <c r="AS1451" s="80">
        <f>IF(AD1451-AM1451=0,0,(AJ1451-AK1451)-AO1451*(AJ1451-AK1451)/(AD1451-AM1451))</f>
        <v>0</v>
      </c>
      <c r="AT1451" s="80" t="str">
        <f>IF(AC1451=1,INT(B1451)+1,"")</f>
        <v/>
      </c>
      <c r="AU1451" s="80">
        <f>IF(AND(D1451="proMX",R1451="Cancelled"),0,1)</f>
        <v>1</v>
      </c>
      <c r="AV1451" s="80">
        <f>IF(AND(AB1451=1,AU1451=1),IF(COUNTIFS($D$5:D1450,D1451,$B$5:B1450,B1451,$Z$5:Z1450,Z1451,$AA$5:AA1450,AA1451,$F$5:F1450,F1451&amp;"",$AU$5:AU1450,1)&gt;0,1,0),0)</f>
        <v>0</v>
      </c>
      <c r="AW1451" s="80" t="str">
        <f>IF(AB1451=1,INT(B1451)*1440+Z1451,"")</f>
        <v/>
      </c>
      <c r="AX1451" s="80" t="str">
        <f>IF(AB1451=1,AW1451+AD1451,"")</f>
        <v/>
      </c>
      <c r="AY1451" s="80">
        <f>IF(AND(AB1451=1,AV1451=0,AU1451=1),1,0)</f>
        <v>0</v>
      </c>
      <c r="AZ1451" s="80">
        <f>IF(AY1451=1,COUNTIFS(R_Emp,D1451,R_SAbs,"&lt;"&amp;AX1451,R_EAbs,"&gt;"&amp;AW1451,R_OKey,1)-1,0)</f>
        <v>0</v>
      </c>
      <c r="BA1451" s="80">
        <f>IF(AY1451=1,COUNTIFS(R_Emp,"&lt;&gt;"&amp;D1451,R_SAbs,"&lt;"&amp;AX1451,R_EAbs,"&gt;"&amp;AW1451,R_OKey,1),0)</f>
        <v>0</v>
      </c>
      <c r="BB1451" s="80">
        <f>IF(AND(AB1451=1,D1451="proMX"),IF(AND(MOD(Z1451,CFG_BLK)=0,MOD(AA1451,CFG_BLK)=0,MOD(AG1451,CFG_BLK)=0,AG1451&gt;0),1,0),1)</f>
        <v>1</v>
      </c>
      <c r="BC1451" s="80" t="str">
        <f>IF(Y1451=0,"",IF(NOT(ISNUMBER(B1451)),"Falta fecha o fecha inválida",IF(D1451="","Falta empresa",IF(AND(D1451&lt;&gt;"Malcolm",D1451&lt;&gt;"proMX"),"Empresa inválida",IF(OR(INT(B1451)&lt;CFG_PSTART,INT(B1451)&gt;CFG_PEND),"Fecha fuera del período",IF(OR(NOT(ISNUMBER(Z1451)),NOT(ISNUMBER(AA1451))),"Falta hora inicio/fin o formato inválido",IF(AB1451=0,"Hora inicio = hora fin",IF(AE1451&lt;0,"Descanso inválido",IF(AE1451&gt;=AD1451,"Descanso ≥ duración",IF(AV1451=1,"Registro duplicado",IF(AZ1451&gt;0,"Se superpone con otro registro "&amp;D1451,IF(BB1451=0,"inicio, fin y duración neta deben ser múltiplos de "&amp;CFG_BLK&amp;" min",""))))))))))))</f>
        <v/>
      </c>
      <c r="BD1451" s="80">
        <f>IF(AND(Y1451=1,BC1451=""),1,0)</f>
        <v>0</v>
      </c>
      <c r="BE1451" s="80">
        <f>IF(AND(BD1451=1,AU1451=1),1,0)</f>
        <v>0</v>
      </c>
      <c r="BF1451" s="80" t="str">
        <f>IF(AND(D1451="proMX",BD1451=1),IF(R1451="","Draft",R1451),"")</f>
        <v/>
      </c>
      <c r="BG1451" s="80">
        <f>IF(BD1451=1,ROUND(AG1451/60,6),0)</f>
        <v>0</v>
      </c>
      <c r="BH1451" s="80">
        <f>IF(BE1451=1,ROUND(AG1451/60,6),0)</f>
        <v>0</v>
      </c>
      <c r="BI1451" s="80">
        <f>IF(BE1451=1,ROUND(AP1451/60,6),0)</f>
        <v>0</v>
      </c>
      <c r="BJ1451" s="80">
        <f>IF(BE1451=1,ROUND(AQ1451/60,6),0)</f>
        <v>0</v>
      </c>
      <c r="BK1451" s="80">
        <f>IF(BE1451=1,ROUND((AR1451+AS1451)/60,6),0)</f>
        <v>0</v>
      </c>
      <c r="BL1451" s="80">
        <f>ROUND(BH1451-BK1451,6)</f>
        <v>0</v>
      </c>
      <c r="BM1451" s="80">
        <f>IF(BE1451=1,ROUND(AR1451/60,6),0)</f>
        <v>0</v>
      </c>
      <c r="BN1451" s="80">
        <f>ROUND(BI1451-BM1451,6)</f>
        <v>0</v>
      </c>
      <c r="BO1451" s="80">
        <f>IF(BE1451=1,ROUND(AS1451/60,6),0)</f>
        <v>0</v>
      </c>
      <c r="BP1451" s="80">
        <f>ROUND(BJ1451-BO1451,6)</f>
        <v>0</v>
      </c>
      <c r="BQ1451" s="80">
        <f>IF(BE1451=1,AW1451,0)</f>
        <v>0</v>
      </c>
      <c r="BR1451" s="80">
        <f>IF(BE1451=1,AX1451,0)</f>
        <v>0</v>
      </c>
      <c r="BS1451" s="80">
        <f>IF(AND(BE1451=1,D1451="Malcolm",BA1451&gt;0),MIN(BH1451,SUMPRODUCT((R_Emp="proMX")*(R_EN&gt;0)*((R_EN-(R_EN&gt;BR1451)*(R_EN-BR1451))&gt;(R_SN+(R_SN&lt;BQ1451)*(BQ1451-R_SN)))*((R_EN-(R_EN&gt;BR1451)*(R_EN-BR1451))-(R_SN+(R_SN&lt;BQ1451)*(BQ1451-R_SN))))/60),0)</f>
        <v>0</v>
      </c>
      <c r="BT1451" s="80">
        <f>IF(AND(BE1451=1,D1451="proMX"),ROUND(BI1451*CFG_RATE+BJ1451*CFG_OTRATE,6),0)</f>
        <v>0</v>
      </c>
      <c r="BU1451" s="80">
        <f>IF(AND(BD1451=1,D1451="proMX"),ROUND(AG1451/CFG_BLK,6),0)</f>
        <v>0</v>
      </c>
      <c r="BV1451" s="80" t="str">
        <f>IF(BF1451="Approved",IF(ISNUMBER(T1451),INT(T1451),INT(B1451)),"")</f>
        <v/>
      </c>
      <c r="BW1451" s="80">
        <f>IF(ISNUMBER(B1451),IF(DB_MON="Todos",1,IF(AND(INT(B1451)&gt;=DB_MS,INT(B1451)&lt;=DB_ME),1,0)),0)</f>
        <v>0</v>
      </c>
      <c r="BX1451" s="80">
        <f>IF(DB_PROJ="Todos",1,IF(E1451&amp;""=DB_PROJ&amp;"",1,0))</f>
        <v>1</v>
      </c>
      <c r="BY1451" s="80">
        <f>BW1451*BX1451</f>
        <v>0</v>
      </c>
      <c r="BZ1451" s="80" t="str">
        <f>IF(Y1451=1,F1451&amp;IF(AND(F1451&amp;""&lt;&gt;"",E1451&amp;""&lt;&gt;"")," · ","")&amp;E1451,"")</f>
        <v/>
      </c>
      <c r="CA1451" s="80" t="str">
        <f>IF(AND(BD1451=1,E1451&amp;""&lt;&gt;""),IF(COUNTIFS($E$5:E1450,E1451,$BD$5:BD1450,1)=0,MAX($CA$5:CA1450)+1,""),"")</f>
        <v/>
      </c>
      <c r="CB1451" s="80" t="str">
        <f>IF(AND(BE1451=1,D1451="Malcolm",E1451&amp;""&lt;&gt;""),IF(COUNTIFS($D$5:D1450,"Malcolm",$E$5:E1450,E1451,$BE$5:BE1450,1)=0,MAX($CB$5:CB1450)+1,""),"")</f>
        <v/>
      </c>
      <c r="CC1451" s="80" t="str">
        <f>IF(AND(BD1451=1,D1451="proMX",E1451&amp;""&lt;&gt;""),IF(COUNTIFS($D$5:D1450,"proMX",$E$5:E1450,E1451,$BD$5:BD1450,1)=0,MAX($CC$5:CC1450)+1,""),"")</f>
        <v/>
      </c>
      <c r="CD1451" s="80" t="str">
        <f>IF(AND(BE1451=1,D1451="Malcolm",F1451&amp;""&lt;&gt;""),IF(COUNTIFS($D$5:D1450,"Malcolm",$F$5:F1450,F1451,$BE$5:BE1450,1)=0,MAX($CD$5:CD1450)+1,""),"")</f>
        <v/>
      </c>
      <c r="CE1451" s="80" t="str">
        <f>IF(AND(BD1451=1,D1451="proMX",F1451&amp;""&lt;&gt;""),IF(COUNTIFS($D$5:D1450,"proMX",$F$5:F1450,F1451,$BD$5:BD1450,1)=0,MAX($CE$5:CE1450)+1,""),"")</f>
        <v/>
      </c>
      <c r="CF1451" s="80" t="str">
        <f>IF(AND(D1451="proMX",BD1451=1),IF(OR(BF1451="Draft",BF1451="Submitted",BF1451="Returned",BF1451="Recall Requested"),MAX($CF$5:CF1450)+1,""),"")</f>
        <v/>
      </c>
      <c r="CG1451" s="80">
        <f>IF(BD1451=0,0,IF(D1451="Malcolm",1,MATCH(BF1451,{"Draft","Submitted","Approved","Returned","Recall Requested","Cancelled"},0)+1))</f>
        <v>0</v>
      </c>
      <c r="CH1451" s="80">
        <f>IF(AND(BF1451="Submitted",ISNUMBER(V1451)),IF(V1451&gt;CFG_MAXD,1,0),0)</f>
        <v>0</v>
      </c>
    </row>
    <row r="1452">
      <c r="A1452" s="71" t="str">
        <f>IF(Y1452=1,ROW()-5,"")</f>
        <v/>
      </c>
      <c r="B1452" s="72" t="n"/>
      <c r="C1452" s="71" t="str">
        <f>IF(ISNUMBER(B1452),CHOOSE(WEEKDAY(B1452,2),"Lun","Mar","Mié","Jue","Vie","Sáb","Dom"),"")</f>
        <v/>
      </c>
      <c r="D1452" s="73" t="n"/>
      <c r="E1452" s="74" t="n"/>
      <c r="F1452" s="74" t="n"/>
      <c r="G1452" s="74" t="n"/>
      <c r="H1452" s="75" t="n"/>
      <c r="I1452" s="75" t="n"/>
      <c r="J1452" s="76" t="n"/>
      <c r="K1452" s="77" t="str">
        <f>IF(AB1452=1,ROUND(AG1452/60,4),"")</f>
        <v/>
      </c>
      <c r="L1452" s="77" t="str">
        <f>IF(BD1452=1,ROUND(AP1452/60,4),"")</f>
        <v/>
      </c>
      <c r="M1452" s="77" t="str">
        <f>IF(BD1452=1,ROUND(AQ1452/60,4),"")</f>
        <v/>
      </c>
      <c r="N1452" s="71" t="str">
        <f>IF(AND(D1452="proMX",AB1452=1),ROUND(AG1452/CFG_BLK,2),"")</f>
        <v/>
      </c>
      <c r="O1452" s="77" t="str">
        <f>IF(D1452="proMX",IF(BD1452=1,ROUND(AG1452/60,4),0),"")</f>
        <v/>
      </c>
      <c r="P1452" s="78" t="str">
        <f>IF(Y1452=0,"",IF(BD1452=1,"OK",IF(D1452="proMX","Revisar bloques: ","Revisar: ")&amp;BC1452))</f>
        <v/>
      </c>
      <c r="Q1452" s="78" t="str">
        <f>IF(NOT(ISNUMBER(B1452)),"",IF(COUNTIFS(FER_F,INT(B1452))&gt;0,"Feriado"&amp;IF(AH1452=1," (laborable)"," (no laborable)"),IF(AH1452=1,"Laborable",IF(WEEKDAY(B1452,2)&gt;5,"Fin de semana","No laborable"))))</f>
        <v/>
      </c>
      <c r="R1452" s="73" t="n"/>
      <c r="S1452" s="72" t="n"/>
      <c r="T1452" s="72" t="n"/>
      <c r="U1452" s="74" t="n"/>
      <c r="V1452" s="79" t="str">
        <f>IF(AND(D1452="proMX",OR(R1452="Submitted",R1452="Recall Requested"),ISNUMBER(S1452)),CFG_TODAY-INT(S1452),"")</f>
        <v/>
      </c>
      <c r="W1452" s="78" t="str">
        <f>IF(BD1452=0,"",IF(BA1452&gt;0,"⚠ Se superpone con un registro de la otra empresa",IF(D1452="Malcolm",IF(COUNTA(R1452,S1452,T1452)&gt;0,"Estado/fechas proMX se ignoran en Malcolm",""),IF(BF1452="Cancelled","Cancelado: excluido de totales",IF(R1452="","Sin estado: se trata como Draft",IF(BF1452="Submitted",IF(ISNUMBER(V1452),IF(V1452&gt;CFG_MAXD,"⚠ "&amp;V1452&amp;" días en Submitted (máx. "&amp;CFG_MAXD&amp;")",""),"Falta fecha de envío"),IF(BF1452="Returned","⚠ Devuelto: corregir y reenviar",IF(BF1452="Recall Requested","Retirada solicitada: pendiente",IF(AND(BF1452="Approved",NOT(ISNUMBER(T1452))),"Falta fecha de aprobación",IF(AND(ISNUMBER(S1452),ISNUMBER(T1452),T1452&lt;S1452),"Aprobación anterior al envío","")))))))))</f>
        <v/>
      </c>
      <c r="Y1452" s="80">
        <f>IF(COUNTA(B1452,D1452,E1452,F1452,G1452,H1452,I1452,J1452,R1452,S1452,T1452)&gt;0,1,0)</f>
        <v>0</v>
      </c>
      <c r="Z1452" s="80" t="str">
        <f>IF(AND(ISNUMBER(H1452),H1452&gt;=0,H1452&lt;1),ROUND(H1452*1440,0),"")</f>
        <v/>
      </c>
      <c r="AA1452" s="80" t="str">
        <f>IF(AND(ISNUMBER(I1452),I1452&gt;=0,I1452&lt;1),ROUND(I1452*1440,0),"")</f>
        <v/>
      </c>
      <c r="AB1452" s="80">
        <f>IF(AND(ISNUMBER(B1452),D1452&lt;&gt;"",ISNUMBER(Z1452),ISNUMBER(AA1452)),IF(Z1452=AA1452,0,1),0)</f>
        <v>0</v>
      </c>
      <c r="AC1452" s="80">
        <f>IF(AB1452=1,IF(AA1452&lt;Z1452,1,0),0)</f>
        <v>0</v>
      </c>
      <c r="AD1452" s="80">
        <f>IF(AB1452=1,IF(AC1452=1,1440-Z1452+AA1452,AA1452-Z1452),0)</f>
        <v>0</v>
      </c>
      <c r="AE1452" s="80">
        <f>IF(J1452="",0,IF(ISNUMBER(J1452),J1452,-1))</f>
        <v>0</v>
      </c>
      <c r="AF1452" s="80">
        <f>MIN(MAX(0,AE1452),AD1452)</f>
        <v>0</v>
      </c>
      <c r="AG1452" s="80">
        <f>MAX(0,AD1452-MAX(0,AE1452))</f>
        <v>0</v>
      </c>
      <c r="AH1452" s="80">
        <f>IF(ISNUMBER(B1452),IF(AND(INDEX(CFG_WDAYS,WEEKDAY(INT(B1452),2))="Sí",IF(D1452="proMX",COUNTIFS(FER_F,INT(B1452),FER_NLP,"Sí"),COUNTIFS(FER_F,INT(B1452),FER_NLM,"Sí"))=0),1,0),0)</f>
        <v>0</v>
      </c>
      <c r="AI1452" s="80">
        <f>IF(AC1452=1,IF(AND(INDEX(CFG_WDAYS,WEEKDAY(INT(B1452)+1,2))="Sí",IF(D1452="proMX",COUNTIFS(FER_F,INT(B1452)+1,FER_NLP,"Sí"),COUNTIFS(FER_F,INT(B1452)+1,FER_NLM,"Sí"))=0),1,0),0)</f>
        <v>0</v>
      </c>
      <c r="AJ1452" s="80">
        <f>IF(AC1452=1,1440-Z1452,AD1452)</f>
        <v>0</v>
      </c>
      <c r="AK1452" s="80">
        <f>IF(AND(AB1452=1,AH1452=1),MAX(0,MIN(IF(AC1452=1,1440,AA1452),CFG_WEM)-MAX(Z1452,CFG_WSM)),0)</f>
        <v>0</v>
      </c>
      <c r="AL1452" s="80">
        <f>IF(AND(AC1452=1,AI1452=1),MAX(0,MIN(AA1452,CFG_WEM)-CFG_WSM),0)</f>
        <v>0</v>
      </c>
      <c r="AM1452" s="80">
        <f>AK1452+AL1452</f>
        <v>0</v>
      </c>
      <c r="AN1452" s="80">
        <f>IF(CFG_BRK="Proporcional",IF(AD1452=0,0,AF1452*AM1452/AD1452),IF(CFG_BRK="Extras primero",MIN(AM1452,MAX(0,AF1452-(AD1452-AM1452))),MIN(AF1452,AM1452)))</f>
        <v>0</v>
      </c>
      <c r="AO1452" s="80">
        <f>AF1452-AN1452</f>
        <v>0</v>
      </c>
      <c r="AP1452" s="80">
        <f>AM1452-AN1452</f>
        <v>0</v>
      </c>
      <c r="AQ1452" s="80">
        <f>AD1452-AM1452-AO1452</f>
        <v>0</v>
      </c>
      <c r="AR1452" s="80">
        <f>IF(AM1452=0,0,AK1452-AN1452*AK1452/AM1452)</f>
        <v>0</v>
      </c>
      <c r="AS1452" s="80">
        <f>IF(AD1452-AM1452=0,0,(AJ1452-AK1452)-AO1452*(AJ1452-AK1452)/(AD1452-AM1452))</f>
        <v>0</v>
      </c>
      <c r="AT1452" s="80" t="str">
        <f>IF(AC1452=1,INT(B1452)+1,"")</f>
        <v/>
      </c>
      <c r="AU1452" s="80">
        <f>IF(AND(D1452="proMX",R1452="Cancelled"),0,1)</f>
        <v>1</v>
      </c>
      <c r="AV1452" s="80">
        <f>IF(AND(AB1452=1,AU1452=1),IF(COUNTIFS($D$5:D1451,D1452,$B$5:B1451,B1452,$Z$5:Z1451,Z1452,$AA$5:AA1451,AA1452,$F$5:F1451,F1452&amp;"",$AU$5:AU1451,1)&gt;0,1,0),0)</f>
        <v>0</v>
      </c>
      <c r="AW1452" s="80" t="str">
        <f>IF(AB1452=1,INT(B1452)*1440+Z1452,"")</f>
        <v/>
      </c>
      <c r="AX1452" s="80" t="str">
        <f>IF(AB1452=1,AW1452+AD1452,"")</f>
        <v/>
      </c>
      <c r="AY1452" s="80">
        <f>IF(AND(AB1452=1,AV1452=0,AU1452=1),1,0)</f>
        <v>0</v>
      </c>
      <c r="AZ1452" s="80">
        <f>IF(AY1452=1,COUNTIFS(R_Emp,D1452,R_SAbs,"&lt;"&amp;AX1452,R_EAbs,"&gt;"&amp;AW1452,R_OKey,1)-1,0)</f>
        <v>0</v>
      </c>
      <c r="BA1452" s="80">
        <f>IF(AY1452=1,COUNTIFS(R_Emp,"&lt;&gt;"&amp;D1452,R_SAbs,"&lt;"&amp;AX1452,R_EAbs,"&gt;"&amp;AW1452,R_OKey,1),0)</f>
        <v>0</v>
      </c>
      <c r="BB1452" s="80">
        <f>IF(AND(AB1452=1,D1452="proMX"),IF(AND(MOD(Z1452,CFG_BLK)=0,MOD(AA1452,CFG_BLK)=0,MOD(AG1452,CFG_BLK)=0,AG1452&gt;0),1,0),1)</f>
        <v>1</v>
      </c>
      <c r="BC1452" s="80" t="str">
        <f>IF(Y1452=0,"",IF(NOT(ISNUMBER(B1452)),"Falta fecha o fecha inválida",IF(D1452="","Falta empresa",IF(AND(D1452&lt;&gt;"Malcolm",D1452&lt;&gt;"proMX"),"Empresa inválida",IF(OR(INT(B1452)&lt;CFG_PSTART,INT(B1452)&gt;CFG_PEND),"Fecha fuera del período",IF(OR(NOT(ISNUMBER(Z1452)),NOT(ISNUMBER(AA1452))),"Falta hora inicio/fin o formato inválido",IF(AB1452=0,"Hora inicio = hora fin",IF(AE1452&lt;0,"Descanso inválido",IF(AE1452&gt;=AD1452,"Descanso ≥ duración",IF(AV1452=1,"Registro duplicado",IF(AZ1452&gt;0,"Se superpone con otro registro "&amp;D1452,IF(BB1452=0,"inicio, fin y duración neta deben ser múltiplos de "&amp;CFG_BLK&amp;" min",""))))))))))))</f>
        <v/>
      </c>
      <c r="BD1452" s="80">
        <f>IF(AND(Y1452=1,BC1452=""),1,0)</f>
        <v>0</v>
      </c>
      <c r="BE1452" s="80">
        <f>IF(AND(BD1452=1,AU1452=1),1,0)</f>
        <v>0</v>
      </c>
      <c r="BF1452" s="80" t="str">
        <f>IF(AND(D1452="proMX",BD1452=1),IF(R1452="","Draft",R1452),"")</f>
        <v/>
      </c>
      <c r="BG1452" s="80">
        <f>IF(BD1452=1,ROUND(AG1452/60,6),0)</f>
        <v>0</v>
      </c>
      <c r="BH1452" s="80">
        <f>IF(BE1452=1,ROUND(AG1452/60,6),0)</f>
        <v>0</v>
      </c>
      <c r="BI1452" s="80">
        <f>IF(BE1452=1,ROUND(AP1452/60,6),0)</f>
        <v>0</v>
      </c>
      <c r="BJ1452" s="80">
        <f>IF(BE1452=1,ROUND(AQ1452/60,6),0)</f>
        <v>0</v>
      </c>
      <c r="BK1452" s="80">
        <f>IF(BE1452=1,ROUND((AR1452+AS1452)/60,6),0)</f>
        <v>0</v>
      </c>
      <c r="BL1452" s="80">
        <f>ROUND(BH1452-BK1452,6)</f>
        <v>0</v>
      </c>
      <c r="BM1452" s="80">
        <f>IF(BE1452=1,ROUND(AR1452/60,6),0)</f>
        <v>0</v>
      </c>
      <c r="BN1452" s="80">
        <f>ROUND(BI1452-BM1452,6)</f>
        <v>0</v>
      </c>
      <c r="BO1452" s="80">
        <f>IF(BE1452=1,ROUND(AS1452/60,6),0)</f>
        <v>0</v>
      </c>
      <c r="BP1452" s="80">
        <f>ROUND(BJ1452-BO1452,6)</f>
        <v>0</v>
      </c>
      <c r="BQ1452" s="80">
        <f>IF(BE1452=1,AW1452,0)</f>
        <v>0</v>
      </c>
      <c r="BR1452" s="80">
        <f>IF(BE1452=1,AX1452,0)</f>
        <v>0</v>
      </c>
      <c r="BS1452" s="80">
        <f>IF(AND(BE1452=1,D1452="Malcolm",BA1452&gt;0),MIN(BH1452,SUMPRODUCT((R_Emp="proMX")*(R_EN&gt;0)*((R_EN-(R_EN&gt;BR1452)*(R_EN-BR1452))&gt;(R_SN+(R_SN&lt;BQ1452)*(BQ1452-R_SN)))*((R_EN-(R_EN&gt;BR1452)*(R_EN-BR1452))-(R_SN+(R_SN&lt;BQ1452)*(BQ1452-R_SN))))/60),0)</f>
        <v>0</v>
      </c>
      <c r="BT1452" s="80">
        <f>IF(AND(BE1452=1,D1452="proMX"),ROUND(BI1452*CFG_RATE+BJ1452*CFG_OTRATE,6),0)</f>
        <v>0</v>
      </c>
      <c r="BU1452" s="80">
        <f>IF(AND(BD1452=1,D1452="proMX"),ROUND(AG1452/CFG_BLK,6),0)</f>
        <v>0</v>
      </c>
      <c r="BV1452" s="80" t="str">
        <f>IF(BF1452="Approved",IF(ISNUMBER(T1452),INT(T1452),INT(B1452)),"")</f>
        <v/>
      </c>
      <c r="BW1452" s="80">
        <f>IF(ISNUMBER(B1452),IF(DB_MON="Todos",1,IF(AND(INT(B1452)&gt;=DB_MS,INT(B1452)&lt;=DB_ME),1,0)),0)</f>
        <v>0</v>
      </c>
      <c r="BX1452" s="80">
        <f>IF(DB_PROJ="Todos",1,IF(E1452&amp;""=DB_PROJ&amp;"",1,0))</f>
        <v>1</v>
      </c>
      <c r="BY1452" s="80">
        <f>BW1452*BX1452</f>
        <v>0</v>
      </c>
      <c r="BZ1452" s="80" t="str">
        <f>IF(Y1452=1,F1452&amp;IF(AND(F1452&amp;""&lt;&gt;"",E1452&amp;""&lt;&gt;"")," · ","")&amp;E1452,"")</f>
        <v/>
      </c>
      <c r="CA1452" s="80" t="str">
        <f>IF(AND(BD1452=1,E1452&amp;""&lt;&gt;""),IF(COUNTIFS($E$5:E1451,E1452,$BD$5:BD1451,1)=0,MAX($CA$5:CA1451)+1,""),"")</f>
        <v/>
      </c>
      <c r="CB1452" s="80" t="str">
        <f>IF(AND(BE1452=1,D1452="Malcolm",E1452&amp;""&lt;&gt;""),IF(COUNTIFS($D$5:D1451,"Malcolm",$E$5:E1451,E1452,$BE$5:BE1451,1)=0,MAX($CB$5:CB1451)+1,""),"")</f>
        <v/>
      </c>
      <c r="CC1452" s="80" t="str">
        <f>IF(AND(BD1452=1,D1452="proMX",E1452&amp;""&lt;&gt;""),IF(COUNTIFS($D$5:D1451,"proMX",$E$5:E1451,E1452,$BD$5:BD1451,1)=0,MAX($CC$5:CC1451)+1,""),"")</f>
        <v/>
      </c>
      <c r="CD1452" s="80" t="str">
        <f>IF(AND(BE1452=1,D1452="Malcolm",F1452&amp;""&lt;&gt;""),IF(COUNTIFS($D$5:D1451,"Malcolm",$F$5:F1451,F1452,$BE$5:BE1451,1)=0,MAX($CD$5:CD1451)+1,""),"")</f>
        <v/>
      </c>
      <c r="CE1452" s="80" t="str">
        <f>IF(AND(BD1452=1,D1452="proMX",F1452&amp;""&lt;&gt;""),IF(COUNTIFS($D$5:D1451,"proMX",$F$5:F1451,F1452,$BD$5:BD1451,1)=0,MAX($CE$5:CE1451)+1,""),"")</f>
        <v/>
      </c>
      <c r="CF1452" s="80" t="str">
        <f>IF(AND(D1452="proMX",BD1452=1),IF(OR(BF1452="Draft",BF1452="Submitted",BF1452="Returned",BF1452="Recall Requested"),MAX($CF$5:CF1451)+1,""),"")</f>
        <v/>
      </c>
      <c r="CG1452" s="80">
        <f>IF(BD1452=0,0,IF(D1452="Malcolm",1,MATCH(BF1452,{"Draft","Submitted","Approved","Returned","Recall Requested","Cancelled"},0)+1))</f>
        <v>0</v>
      </c>
      <c r="CH1452" s="80">
        <f>IF(AND(BF1452="Submitted",ISNUMBER(V1452)),IF(V1452&gt;CFG_MAXD,1,0),0)</f>
        <v>0</v>
      </c>
    </row>
    <row r="1453">
      <c r="A1453" s="71" t="str">
        <f>IF(Y1453=1,ROW()-5,"")</f>
        <v/>
      </c>
      <c r="B1453" s="72" t="n"/>
      <c r="C1453" s="71" t="str">
        <f>IF(ISNUMBER(B1453),CHOOSE(WEEKDAY(B1453,2),"Lun","Mar","Mié","Jue","Vie","Sáb","Dom"),"")</f>
        <v/>
      </c>
      <c r="D1453" s="73" t="n"/>
      <c r="E1453" s="74" t="n"/>
      <c r="F1453" s="74" t="n"/>
      <c r="G1453" s="74" t="n"/>
      <c r="H1453" s="75" t="n"/>
      <c r="I1453" s="75" t="n"/>
      <c r="J1453" s="76" t="n"/>
      <c r="K1453" s="77" t="str">
        <f>IF(AB1453=1,ROUND(AG1453/60,4),"")</f>
        <v/>
      </c>
      <c r="L1453" s="77" t="str">
        <f>IF(BD1453=1,ROUND(AP1453/60,4),"")</f>
        <v/>
      </c>
      <c r="M1453" s="77" t="str">
        <f>IF(BD1453=1,ROUND(AQ1453/60,4),"")</f>
        <v/>
      </c>
      <c r="N1453" s="71" t="str">
        <f>IF(AND(D1453="proMX",AB1453=1),ROUND(AG1453/CFG_BLK,2),"")</f>
        <v/>
      </c>
      <c r="O1453" s="77" t="str">
        <f>IF(D1453="proMX",IF(BD1453=1,ROUND(AG1453/60,4),0),"")</f>
        <v/>
      </c>
      <c r="P1453" s="78" t="str">
        <f>IF(Y1453=0,"",IF(BD1453=1,"OK",IF(D1453="proMX","Revisar bloques: ","Revisar: ")&amp;BC1453))</f>
        <v/>
      </c>
      <c r="Q1453" s="78" t="str">
        <f>IF(NOT(ISNUMBER(B1453)),"",IF(COUNTIFS(FER_F,INT(B1453))&gt;0,"Feriado"&amp;IF(AH1453=1," (laborable)"," (no laborable)"),IF(AH1453=1,"Laborable",IF(WEEKDAY(B1453,2)&gt;5,"Fin de semana","No laborable"))))</f>
        <v/>
      </c>
      <c r="R1453" s="73" t="n"/>
      <c r="S1453" s="72" t="n"/>
      <c r="T1453" s="72" t="n"/>
      <c r="U1453" s="74" t="n"/>
      <c r="V1453" s="79" t="str">
        <f>IF(AND(D1453="proMX",OR(R1453="Submitted",R1453="Recall Requested"),ISNUMBER(S1453)),CFG_TODAY-INT(S1453),"")</f>
        <v/>
      </c>
      <c r="W1453" s="78" t="str">
        <f>IF(BD1453=0,"",IF(BA1453&gt;0,"⚠ Se superpone con un registro de la otra empresa",IF(D1453="Malcolm",IF(COUNTA(R1453,S1453,T1453)&gt;0,"Estado/fechas proMX se ignoran en Malcolm",""),IF(BF1453="Cancelled","Cancelado: excluido de totales",IF(R1453="","Sin estado: se trata como Draft",IF(BF1453="Submitted",IF(ISNUMBER(V1453),IF(V1453&gt;CFG_MAXD,"⚠ "&amp;V1453&amp;" días en Submitted (máx. "&amp;CFG_MAXD&amp;")",""),"Falta fecha de envío"),IF(BF1453="Returned","⚠ Devuelto: corregir y reenviar",IF(BF1453="Recall Requested","Retirada solicitada: pendiente",IF(AND(BF1453="Approved",NOT(ISNUMBER(T1453))),"Falta fecha de aprobación",IF(AND(ISNUMBER(S1453),ISNUMBER(T1453),T1453&lt;S1453),"Aprobación anterior al envío","")))))))))</f>
        <v/>
      </c>
      <c r="Y1453" s="80">
        <f>IF(COUNTA(B1453,D1453,E1453,F1453,G1453,H1453,I1453,J1453,R1453,S1453,T1453)&gt;0,1,0)</f>
        <v>0</v>
      </c>
      <c r="Z1453" s="80" t="str">
        <f>IF(AND(ISNUMBER(H1453),H1453&gt;=0,H1453&lt;1),ROUND(H1453*1440,0),"")</f>
        <v/>
      </c>
      <c r="AA1453" s="80" t="str">
        <f>IF(AND(ISNUMBER(I1453),I1453&gt;=0,I1453&lt;1),ROUND(I1453*1440,0),"")</f>
        <v/>
      </c>
      <c r="AB1453" s="80">
        <f>IF(AND(ISNUMBER(B1453),D1453&lt;&gt;"",ISNUMBER(Z1453),ISNUMBER(AA1453)),IF(Z1453=AA1453,0,1),0)</f>
        <v>0</v>
      </c>
      <c r="AC1453" s="80">
        <f>IF(AB1453=1,IF(AA1453&lt;Z1453,1,0),0)</f>
        <v>0</v>
      </c>
      <c r="AD1453" s="80">
        <f>IF(AB1453=1,IF(AC1453=1,1440-Z1453+AA1453,AA1453-Z1453),0)</f>
        <v>0</v>
      </c>
      <c r="AE1453" s="80">
        <f>IF(J1453="",0,IF(ISNUMBER(J1453),J1453,-1))</f>
        <v>0</v>
      </c>
      <c r="AF1453" s="80">
        <f>MIN(MAX(0,AE1453),AD1453)</f>
        <v>0</v>
      </c>
      <c r="AG1453" s="80">
        <f>MAX(0,AD1453-MAX(0,AE1453))</f>
        <v>0</v>
      </c>
      <c r="AH1453" s="80">
        <f>IF(ISNUMBER(B1453),IF(AND(INDEX(CFG_WDAYS,WEEKDAY(INT(B1453),2))="Sí",IF(D1453="proMX",COUNTIFS(FER_F,INT(B1453),FER_NLP,"Sí"),COUNTIFS(FER_F,INT(B1453),FER_NLM,"Sí"))=0),1,0),0)</f>
        <v>0</v>
      </c>
      <c r="AI1453" s="80">
        <f>IF(AC1453=1,IF(AND(INDEX(CFG_WDAYS,WEEKDAY(INT(B1453)+1,2))="Sí",IF(D1453="proMX",COUNTIFS(FER_F,INT(B1453)+1,FER_NLP,"Sí"),COUNTIFS(FER_F,INT(B1453)+1,FER_NLM,"Sí"))=0),1,0),0)</f>
        <v>0</v>
      </c>
      <c r="AJ1453" s="80">
        <f>IF(AC1453=1,1440-Z1453,AD1453)</f>
        <v>0</v>
      </c>
      <c r="AK1453" s="80">
        <f>IF(AND(AB1453=1,AH1453=1),MAX(0,MIN(IF(AC1453=1,1440,AA1453),CFG_WEM)-MAX(Z1453,CFG_WSM)),0)</f>
        <v>0</v>
      </c>
      <c r="AL1453" s="80">
        <f>IF(AND(AC1453=1,AI1453=1),MAX(0,MIN(AA1453,CFG_WEM)-CFG_WSM),0)</f>
        <v>0</v>
      </c>
      <c r="AM1453" s="80">
        <f>AK1453+AL1453</f>
        <v>0</v>
      </c>
      <c r="AN1453" s="80">
        <f>IF(CFG_BRK="Proporcional",IF(AD1453=0,0,AF1453*AM1453/AD1453),IF(CFG_BRK="Extras primero",MIN(AM1453,MAX(0,AF1453-(AD1453-AM1453))),MIN(AF1453,AM1453)))</f>
        <v>0</v>
      </c>
      <c r="AO1453" s="80">
        <f>AF1453-AN1453</f>
        <v>0</v>
      </c>
      <c r="AP1453" s="80">
        <f>AM1453-AN1453</f>
        <v>0</v>
      </c>
      <c r="AQ1453" s="80">
        <f>AD1453-AM1453-AO1453</f>
        <v>0</v>
      </c>
      <c r="AR1453" s="80">
        <f>IF(AM1453=0,0,AK1453-AN1453*AK1453/AM1453)</f>
        <v>0</v>
      </c>
      <c r="AS1453" s="80">
        <f>IF(AD1453-AM1453=0,0,(AJ1453-AK1453)-AO1453*(AJ1453-AK1453)/(AD1453-AM1453))</f>
        <v>0</v>
      </c>
      <c r="AT1453" s="80" t="str">
        <f>IF(AC1453=1,INT(B1453)+1,"")</f>
        <v/>
      </c>
      <c r="AU1453" s="80">
        <f>IF(AND(D1453="proMX",R1453="Cancelled"),0,1)</f>
        <v>1</v>
      </c>
      <c r="AV1453" s="80">
        <f>IF(AND(AB1453=1,AU1453=1),IF(COUNTIFS($D$5:D1452,D1453,$B$5:B1452,B1453,$Z$5:Z1452,Z1453,$AA$5:AA1452,AA1453,$F$5:F1452,F1453&amp;"",$AU$5:AU1452,1)&gt;0,1,0),0)</f>
        <v>0</v>
      </c>
      <c r="AW1453" s="80" t="str">
        <f>IF(AB1453=1,INT(B1453)*1440+Z1453,"")</f>
        <v/>
      </c>
      <c r="AX1453" s="80" t="str">
        <f>IF(AB1453=1,AW1453+AD1453,"")</f>
        <v/>
      </c>
      <c r="AY1453" s="80">
        <f>IF(AND(AB1453=1,AV1453=0,AU1453=1),1,0)</f>
        <v>0</v>
      </c>
      <c r="AZ1453" s="80">
        <f>IF(AY1453=1,COUNTIFS(R_Emp,D1453,R_SAbs,"&lt;"&amp;AX1453,R_EAbs,"&gt;"&amp;AW1453,R_OKey,1)-1,0)</f>
        <v>0</v>
      </c>
      <c r="BA1453" s="80">
        <f>IF(AY1453=1,COUNTIFS(R_Emp,"&lt;&gt;"&amp;D1453,R_SAbs,"&lt;"&amp;AX1453,R_EAbs,"&gt;"&amp;AW1453,R_OKey,1),0)</f>
        <v>0</v>
      </c>
      <c r="BB1453" s="80">
        <f>IF(AND(AB1453=1,D1453="proMX"),IF(AND(MOD(Z1453,CFG_BLK)=0,MOD(AA1453,CFG_BLK)=0,MOD(AG1453,CFG_BLK)=0,AG1453&gt;0),1,0),1)</f>
        <v>1</v>
      </c>
      <c r="BC1453" s="80" t="str">
        <f>IF(Y1453=0,"",IF(NOT(ISNUMBER(B1453)),"Falta fecha o fecha inválida",IF(D1453="","Falta empresa",IF(AND(D1453&lt;&gt;"Malcolm",D1453&lt;&gt;"proMX"),"Empresa inválida",IF(OR(INT(B1453)&lt;CFG_PSTART,INT(B1453)&gt;CFG_PEND),"Fecha fuera del período",IF(OR(NOT(ISNUMBER(Z1453)),NOT(ISNUMBER(AA1453))),"Falta hora inicio/fin o formato inválido",IF(AB1453=0,"Hora inicio = hora fin",IF(AE1453&lt;0,"Descanso inválido",IF(AE1453&gt;=AD1453,"Descanso ≥ duración",IF(AV1453=1,"Registro duplicado",IF(AZ1453&gt;0,"Se superpone con otro registro "&amp;D1453,IF(BB1453=0,"inicio, fin y duración neta deben ser múltiplos de "&amp;CFG_BLK&amp;" min",""))))))))))))</f>
        <v/>
      </c>
      <c r="BD1453" s="80">
        <f>IF(AND(Y1453=1,BC1453=""),1,0)</f>
        <v>0</v>
      </c>
      <c r="BE1453" s="80">
        <f>IF(AND(BD1453=1,AU1453=1),1,0)</f>
        <v>0</v>
      </c>
      <c r="BF1453" s="80" t="str">
        <f>IF(AND(D1453="proMX",BD1453=1),IF(R1453="","Draft",R1453),"")</f>
        <v/>
      </c>
      <c r="BG1453" s="80">
        <f>IF(BD1453=1,ROUND(AG1453/60,6),0)</f>
        <v>0</v>
      </c>
      <c r="BH1453" s="80">
        <f>IF(BE1453=1,ROUND(AG1453/60,6),0)</f>
        <v>0</v>
      </c>
      <c r="BI1453" s="80">
        <f>IF(BE1453=1,ROUND(AP1453/60,6),0)</f>
        <v>0</v>
      </c>
      <c r="BJ1453" s="80">
        <f>IF(BE1453=1,ROUND(AQ1453/60,6),0)</f>
        <v>0</v>
      </c>
      <c r="BK1453" s="80">
        <f>IF(BE1453=1,ROUND((AR1453+AS1453)/60,6),0)</f>
        <v>0</v>
      </c>
      <c r="BL1453" s="80">
        <f>ROUND(BH1453-BK1453,6)</f>
        <v>0</v>
      </c>
      <c r="BM1453" s="80">
        <f>IF(BE1453=1,ROUND(AR1453/60,6),0)</f>
        <v>0</v>
      </c>
      <c r="BN1453" s="80">
        <f>ROUND(BI1453-BM1453,6)</f>
        <v>0</v>
      </c>
      <c r="BO1453" s="80">
        <f>IF(BE1453=1,ROUND(AS1453/60,6),0)</f>
        <v>0</v>
      </c>
      <c r="BP1453" s="80">
        <f>ROUND(BJ1453-BO1453,6)</f>
        <v>0</v>
      </c>
      <c r="BQ1453" s="80">
        <f>IF(BE1453=1,AW1453,0)</f>
        <v>0</v>
      </c>
      <c r="BR1453" s="80">
        <f>IF(BE1453=1,AX1453,0)</f>
        <v>0</v>
      </c>
      <c r="BS1453" s="80">
        <f>IF(AND(BE1453=1,D1453="Malcolm",BA1453&gt;0),MIN(BH1453,SUMPRODUCT((R_Emp="proMX")*(R_EN&gt;0)*((R_EN-(R_EN&gt;BR1453)*(R_EN-BR1453))&gt;(R_SN+(R_SN&lt;BQ1453)*(BQ1453-R_SN)))*((R_EN-(R_EN&gt;BR1453)*(R_EN-BR1453))-(R_SN+(R_SN&lt;BQ1453)*(BQ1453-R_SN))))/60),0)</f>
        <v>0</v>
      </c>
      <c r="BT1453" s="80">
        <f>IF(AND(BE1453=1,D1453="proMX"),ROUND(BI1453*CFG_RATE+BJ1453*CFG_OTRATE,6),0)</f>
        <v>0</v>
      </c>
      <c r="BU1453" s="80">
        <f>IF(AND(BD1453=1,D1453="proMX"),ROUND(AG1453/CFG_BLK,6),0)</f>
        <v>0</v>
      </c>
      <c r="BV1453" s="80" t="str">
        <f>IF(BF1453="Approved",IF(ISNUMBER(T1453),INT(T1453),INT(B1453)),"")</f>
        <v/>
      </c>
      <c r="BW1453" s="80">
        <f>IF(ISNUMBER(B1453),IF(DB_MON="Todos",1,IF(AND(INT(B1453)&gt;=DB_MS,INT(B1453)&lt;=DB_ME),1,0)),0)</f>
        <v>0</v>
      </c>
      <c r="BX1453" s="80">
        <f>IF(DB_PROJ="Todos",1,IF(E1453&amp;""=DB_PROJ&amp;"",1,0))</f>
        <v>1</v>
      </c>
      <c r="BY1453" s="80">
        <f>BW1453*BX1453</f>
        <v>0</v>
      </c>
      <c r="BZ1453" s="80" t="str">
        <f>IF(Y1453=1,F1453&amp;IF(AND(F1453&amp;""&lt;&gt;"",E1453&amp;""&lt;&gt;"")," · ","")&amp;E1453,"")</f>
        <v/>
      </c>
      <c r="CA1453" s="80" t="str">
        <f>IF(AND(BD1453=1,E1453&amp;""&lt;&gt;""),IF(COUNTIFS($E$5:E1452,E1453,$BD$5:BD1452,1)=0,MAX($CA$5:CA1452)+1,""),"")</f>
        <v/>
      </c>
      <c r="CB1453" s="80" t="str">
        <f>IF(AND(BE1453=1,D1453="Malcolm",E1453&amp;""&lt;&gt;""),IF(COUNTIFS($D$5:D1452,"Malcolm",$E$5:E1452,E1453,$BE$5:BE1452,1)=0,MAX($CB$5:CB1452)+1,""),"")</f>
        <v/>
      </c>
      <c r="CC1453" s="80" t="str">
        <f>IF(AND(BD1453=1,D1453="proMX",E1453&amp;""&lt;&gt;""),IF(COUNTIFS($D$5:D1452,"proMX",$E$5:E1452,E1453,$BD$5:BD1452,1)=0,MAX($CC$5:CC1452)+1,""),"")</f>
        <v/>
      </c>
      <c r="CD1453" s="80" t="str">
        <f>IF(AND(BE1453=1,D1453="Malcolm",F1453&amp;""&lt;&gt;""),IF(COUNTIFS($D$5:D1452,"Malcolm",$F$5:F1452,F1453,$BE$5:BE1452,1)=0,MAX($CD$5:CD1452)+1,""),"")</f>
        <v/>
      </c>
      <c r="CE1453" s="80" t="str">
        <f>IF(AND(BD1453=1,D1453="proMX",F1453&amp;""&lt;&gt;""),IF(COUNTIFS($D$5:D1452,"proMX",$F$5:F1452,F1453,$BD$5:BD1452,1)=0,MAX($CE$5:CE1452)+1,""),"")</f>
        <v/>
      </c>
      <c r="CF1453" s="80" t="str">
        <f>IF(AND(D1453="proMX",BD1453=1),IF(OR(BF1453="Draft",BF1453="Submitted",BF1453="Returned",BF1453="Recall Requested"),MAX($CF$5:CF1452)+1,""),"")</f>
        <v/>
      </c>
      <c r="CG1453" s="80">
        <f>IF(BD1453=0,0,IF(D1453="Malcolm",1,MATCH(BF1453,{"Draft","Submitted","Approved","Returned","Recall Requested","Cancelled"},0)+1))</f>
        <v>0</v>
      </c>
      <c r="CH1453" s="80">
        <f>IF(AND(BF1453="Submitted",ISNUMBER(V1453)),IF(V1453&gt;CFG_MAXD,1,0),0)</f>
        <v>0</v>
      </c>
    </row>
    <row r="1454">
      <c r="A1454" s="71" t="str">
        <f>IF(Y1454=1,ROW()-5,"")</f>
        <v/>
      </c>
      <c r="B1454" s="72" t="n"/>
      <c r="C1454" s="71" t="str">
        <f>IF(ISNUMBER(B1454),CHOOSE(WEEKDAY(B1454,2),"Lun","Mar","Mié","Jue","Vie","Sáb","Dom"),"")</f>
        <v/>
      </c>
      <c r="D1454" s="73" t="n"/>
      <c r="E1454" s="74" t="n"/>
      <c r="F1454" s="74" t="n"/>
      <c r="G1454" s="74" t="n"/>
      <c r="H1454" s="75" t="n"/>
      <c r="I1454" s="75" t="n"/>
      <c r="J1454" s="76" t="n"/>
      <c r="K1454" s="77" t="str">
        <f>IF(AB1454=1,ROUND(AG1454/60,4),"")</f>
        <v/>
      </c>
      <c r="L1454" s="77" t="str">
        <f>IF(BD1454=1,ROUND(AP1454/60,4),"")</f>
        <v/>
      </c>
      <c r="M1454" s="77" t="str">
        <f>IF(BD1454=1,ROUND(AQ1454/60,4),"")</f>
        <v/>
      </c>
      <c r="N1454" s="71" t="str">
        <f>IF(AND(D1454="proMX",AB1454=1),ROUND(AG1454/CFG_BLK,2),"")</f>
        <v/>
      </c>
      <c r="O1454" s="77" t="str">
        <f>IF(D1454="proMX",IF(BD1454=1,ROUND(AG1454/60,4),0),"")</f>
        <v/>
      </c>
      <c r="P1454" s="78" t="str">
        <f>IF(Y1454=0,"",IF(BD1454=1,"OK",IF(D1454="proMX","Revisar bloques: ","Revisar: ")&amp;BC1454))</f>
        <v/>
      </c>
      <c r="Q1454" s="78" t="str">
        <f>IF(NOT(ISNUMBER(B1454)),"",IF(COUNTIFS(FER_F,INT(B1454))&gt;0,"Feriado"&amp;IF(AH1454=1," (laborable)"," (no laborable)"),IF(AH1454=1,"Laborable",IF(WEEKDAY(B1454,2)&gt;5,"Fin de semana","No laborable"))))</f>
        <v/>
      </c>
      <c r="R1454" s="73" t="n"/>
      <c r="S1454" s="72" t="n"/>
      <c r="T1454" s="72" t="n"/>
      <c r="U1454" s="74" t="n"/>
      <c r="V1454" s="79" t="str">
        <f>IF(AND(D1454="proMX",OR(R1454="Submitted",R1454="Recall Requested"),ISNUMBER(S1454)),CFG_TODAY-INT(S1454),"")</f>
        <v/>
      </c>
      <c r="W1454" s="78" t="str">
        <f>IF(BD1454=0,"",IF(BA1454&gt;0,"⚠ Se superpone con un registro de la otra empresa",IF(D1454="Malcolm",IF(COUNTA(R1454,S1454,T1454)&gt;0,"Estado/fechas proMX se ignoran en Malcolm",""),IF(BF1454="Cancelled","Cancelado: excluido de totales",IF(R1454="","Sin estado: se trata como Draft",IF(BF1454="Submitted",IF(ISNUMBER(V1454),IF(V1454&gt;CFG_MAXD,"⚠ "&amp;V1454&amp;" días en Submitted (máx. "&amp;CFG_MAXD&amp;")",""),"Falta fecha de envío"),IF(BF1454="Returned","⚠ Devuelto: corregir y reenviar",IF(BF1454="Recall Requested","Retirada solicitada: pendiente",IF(AND(BF1454="Approved",NOT(ISNUMBER(T1454))),"Falta fecha de aprobación",IF(AND(ISNUMBER(S1454),ISNUMBER(T1454),T1454&lt;S1454),"Aprobación anterior al envío","")))))))))</f>
        <v/>
      </c>
      <c r="Y1454" s="80">
        <f>IF(COUNTA(B1454,D1454,E1454,F1454,G1454,H1454,I1454,J1454,R1454,S1454,T1454)&gt;0,1,0)</f>
        <v>0</v>
      </c>
      <c r="Z1454" s="80" t="str">
        <f>IF(AND(ISNUMBER(H1454),H1454&gt;=0,H1454&lt;1),ROUND(H1454*1440,0),"")</f>
        <v/>
      </c>
      <c r="AA1454" s="80" t="str">
        <f>IF(AND(ISNUMBER(I1454),I1454&gt;=0,I1454&lt;1),ROUND(I1454*1440,0),"")</f>
        <v/>
      </c>
      <c r="AB1454" s="80">
        <f>IF(AND(ISNUMBER(B1454),D1454&lt;&gt;"",ISNUMBER(Z1454),ISNUMBER(AA1454)),IF(Z1454=AA1454,0,1),0)</f>
        <v>0</v>
      </c>
      <c r="AC1454" s="80">
        <f>IF(AB1454=1,IF(AA1454&lt;Z1454,1,0),0)</f>
        <v>0</v>
      </c>
      <c r="AD1454" s="80">
        <f>IF(AB1454=1,IF(AC1454=1,1440-Z1454+AA1454,AA1454-Z1454),0)</f>
        <v>0</v>
      </c>
      <c r="AE1454" s="80">
        <f>IF(J1454="",0,IF(ISNUMBER(J1454),J1454,-1))</f>
        <v>0</v>
      </c>
      <c r="AF1454" s="80">
        <f>MIN(MAX(0,AE1454),AD1454)</f>
        <v>0</v>
      </c>
      <c r="AG1454" s="80">
        <f>MAX(0,AD1454-MAX(0,AE1454))</f>
        <v>0</v>
      </c>
      <c r="AH1454" s="80">
        <f>IF(ISNUMBER(B1454),IF(AND(INDEX(CFG_WDAYS,WEEKDAY(INT(B1454),2))="Sí",IF(D1454="proMX",COUNTIFS(FER_F,INT(B1454),FER_NLP,"Sí"),COUNTIFS(FER_F,INT(B1454),FER_NLM,"Sí"))=0),1,0),0)</f>
        <v>0</v>
      </c>
      <c r="AI1454" s="80">
        <f>IF(AC1454=1,IF(AND(INDEX(CFG_WDAYS,WEEKDAY(INT(B1454)+1,2))="Sí",IF(D1454="proMX",COUNTIFS(FER_F,INT(B1454)+1,FER_NLP,"Sí"),COUNTIFS(FER_F,INT(B1454)+1,FER_NLM,"Sí"))=0),1,0),0)</f>
        <v>0</v>
      </c>
      <c r="AJ1454" s="80">
        <f>IF(AC1454=1,1440-Z1454,AD1454)</f>
        <v>0</v>
      </c>
      <c r="AK1454" s="80">
        <f>IF(AND(AB1454=1,AH1454=1),MAX(0,MIN(IF(AC1454=1,1440,AA1454),CFG_WEM)-MAX(Z1454,CFG_WSM)),0)</f>
        <v>0</v>
      </c>
      <c r="AL1454" s="80">
        <f>IF(AND(AC1454=1,AI1454=1),MAX(0,MIN(AA1454,CFG_WEM)-CFG_WSM),0)</f>
        <v>0</v>
      </c>
      <c r="AM1454" s="80">
        <f>AK1454+AL1454</f>
        <v>0</v>
      </c>
      <c r="AN1454" s="80">
        <f>IF(CFG_BRK="Proporcional",IF(AD1454=0,0,AF1454*AM1454/AD1454),IF(CFG_BRK="Extras primero",MIN(AM1454,MAX(0,AF1454-(AD1454-AM1454))),MIN(AF1454,AM1454)))</f>
        <v>0</v>
      </c>
      <c r="AO1454" s="80">
        <f>AF1454-AN1454</f>
        <v>0</v>
      </c>
      <c r="AP1454" s="80">
        <f>AM1454-AN1454</f>
        <v>0</v>
      </c>
      <c r="AQ1454" s="80">
        <f>AD1454-AM1454-AO1454</f>
        <v>0</v>
      </c>
      <c r="AR1454" s="80">
        <f>IF(AM1454=0,0,AK1454-AN1454*AK1454/AM1454)</f>
        <v>0</v>
      </c>
      <c r="AS1454" s="80">
        <f>IF(AD1454-AM1454=0,0,(AJ1454-AK1454)-AO1454*(AJ1454-AK1454)/(AD1454-AM1454))</f>
        <v>0</v>
      </c>
      <c r="AT1454" s="80" t="str">
        <f>IF(AC1454=1,INT(B1454)+1,"")</f>
        <v/>
      </c>
      <c r="AU1454" s="80">
        <f>IF(AND(D1454="proMX",R1454="Cancelled"),0,1)</f>
        <v>1</v>
      </c>
      <c r="AV1454" s="80">
        <f>IF(AND(AB1454=1,AU1454=1),IF(COUNTIFS($D$5:D1453,D1454,$B$5:B1453,B1454,$Z$5:Z1453,Z1454,$AA$5:AA1453,AA1454,$F$5:F1453,F1454&amp;"",$AU$5:AU1453,1)&gt;0,1,0),0)</f>
        <v>0</v>
      </c>
      <c r="AW1454" s="80" t="str">
        <f>IF(AB1454=1,INT(B1454)*1440+Z1454,"")</f>
        <v/>
      </c>
      <c r="AX1454" s="80" t="str">
        <f>IF(AB1454=1,AW1454+AD1454,"")</f>
        <v/>
      </c>
      <c r="AY1454" s="80">
        <f>IF(AND(AB1454=1,AV1454=0,AU1454=1),1,0)</f>
        <v>0</v>
      </c>
      <c r="AZ1454" s="80">
        <f>IF(AY1454=1,COUNTIFS(R_Emp,D1454,R_SAbs,"&lt;"&amp;AX1454,R_EAbs,"&gt;"&amp;AW1454,R_OKey,1)-1,0)</f>
        <v>0</v>
      </c>
      <c r="BA1454" s="80">
        <f>IF(AY1454=1,COUNTIFS(R_Emp,"&lt;&gt;"&amp;D1454,R_SAbs,"&lt;"&amp;AX1454,R_EAbs,"&gt;"&amp;AW1454,R_OKey,1),0)</f>
        <v>0</v>
      </c>
      <c r="BB1454" s="80">
        <f>IF(AND(AB1454=1,D1454="proMX"),IF(AND(MOD(Z1454,CFG_BLK)=0,MOD(AA1454,CFG_BLK)=0,MOD(AG1454,CFG_BLK)=0,AG1454&gt;0),1,0),1)</f>
        <v>1</v>
      </c>
      <c r="BC1454" s="80" t="str">
        <f>IF(Y1454=0,"",IF(NOT(ISNUMBER(B1454)),"Falta fecha o fecha inválida",IF(D1454="","Falta empresa",IF(AND(D1454&lt;&gt;"Malcolm",D1454&lt;&gt;"proMX"),"Empresa inválida",IF(OR(INT(B1454)&lt;CFG_PSTART,INT(B1454)&gt;CFG_PEND),"Fecha fuera del período",IF(OR(NOT(ISNUMBER(Z1454)),NOT(ISNUMBER(AA1454))),"Falta hora inicio/fin o formato inválido",IF(AB1454=0,"Hora inicio = hora fin",IF(AE1454&lt;0,"Descanso inválido",IF(AE1454&gt;=AD1454,"Descanso ≥ duración",IF(AV1454=1,"Registro duplicado",IF(AZ1454&gt;0,"Se superpone con otro registro "&amp;D1454,IF(BB1454=0,"inicio, fin y duración neta deben ser múltiplos de "&amp;CFG_BLK&amp;" min",""))))))))))))</f>
        <v/>
      </c>
      <c r="BD1454" s="80">
        <f>IF(AND(Y1454=1,BC1454=""),1,0)</f>
        <v>0</v>
      </c>
      <c r="BE1454" s="80">
        <f>IF(AND(BD1454=1,AU1454=1),1,0)</f>
        <v>0</v>
      </c>
      <c r="BF1454" s="80" t="str">
        <f>IF(AND(D1454="proMX",BD1454=1),IF(R1454="","Draft",R1454),"")</f>
        <v/>
      </c>
      <c r="BG1454" s="80">
        <f>IF(BD1454=1,ROUND(AG1454/60,6),0)</f>
        <v>0</v>
      </c>
      <c r="BH1454" s="80">
        <f>IF(BE1454=1,ROUND(AG1454/60,6),0)</f>
        <v>0</v>
      </c>
      <c r="BI1454" s="80">
        <f>IF(BE1454=1,ROUND(AP1454/60,6),0)</f>
        <v>0</v>
      </c>
      <c r="BJ1454" s="80">
        <f>IF(BE1454=1,ROUND(AQ1454/60,6),0)</f>
        <v>0</v>
      </c>
      <c r="BK1454" s="80">
        <f>IF(BE1454=1,ROUND((AR1454+AS1454)/60,6),0)</f>
        <v>0</v>
      </c>
      <c r="BL1454" s="80">
        <f>ROUND(BH1454-BK1454,6)</f>
        <v>0</v>
      </c>
      <c r="BM1454" s="80">
        <f>IF(BE1454=1,ROUND(AR1454/60,6),0)</f>
        <v>0</v>
      </c>
      <c r="BN1454" s="80">
        <f>ROUND(BI1454-BM1454,6)</f>
        <v>0</v>
      </c>
      <c r="BO1454" s="80">
        <f>IF(BE1454=1,ROUND(AS1454/60,6),0)</f>
        <v>0</v>
      </c>
      <c r="BP1454" s="80">
        <f>ROUND(BJ1454-BO1454,6)</f>
        <v>0</v>
      </c>
      <c r="BQ1454" s="80">
        <f>IF(BE1454=1,AW1454,0)</f>
        <v>0</v>
      </c>
      <c r="BR1454" s="80">
        <f>IF(BE1454=1,AX1454,0)</f>
        <v>0</v>
      </c>
      <c r="BS1454" s="80">
        <f>IF(AND(BE1454=1,D1454="Malcolm",BA1454&gt;0),MIN(BH1454,SUMPRODUCT((R_Emp="proMX")*(R_EN&gt;0)*((R_EN-(R_EN&gt;BR1454)*(R_EN-BR1454))&gt;(R_SN+(R_SN&lt;BQ1454)*(BQ1454-R_SN)))*((R_EN-(R_EN&gt;BR1454)*(R_EN-BR1454))-(R_SN+(R_SN&lt;BQ1454)*(BQ1454-R_SN))))/60),0)</f>
        <v>0</v>
      </c>
      <c r="BT1454" s="80">
        <f>IF(AND(BE1454=1,D1454="proMX"),ROUND(BI1454*CFG_RATE+BJ1454*CFG_OTRATE,6),0)</f>
        <v>0</v>
      </c>
      <c r="BU1454" s="80">
        <f>IF(AND(BD1454=1,D1454="proMX"),ROUND(AG1454/CFG_BLK,6),0)</f>
        <v>0</v>
      </c>
      <c r="BV1454" s="80" t="str">
        <f>IF(BF1454="Approved",IF(ISNUMBER(T1454),INT(T1454),INT(B1454)),"")</f>
        <v/>
      </c>
      <c r="BW1454" s="80">
        <f>IF(ISNUMBER(B1454),IF(DB_MON="Todos",1,IF(AND(INT(B1454)&gt;=DB_MS,INT(B1454)&lt;=DB_ME),1,0)),0)</f>
        <v>0</v>
      </c>
      <c r="BX1454" s="80">
        <f>IF(DB_PROJ="Todos",1,IF(E1454&amp;""=DB_PROJ&amp;"",1,0))</f>
        <v>1</v>
      </c>
      <c r="BY1454" s="80">
        <f>BW1454*BX1454</f>
        <v>0</v>
      </c>
      <c r="BZ1454" s="80" t="str">
        <f>IF(Y1454=1,F1454&amp;IF(AND(F1454&amp;""&lt;&gt;"",E1454&amp;""&lt;&gt;"")," · ","")&amp;E1454,"")</f>
        <v/>
      </c>
      <c r="CA1454" s="80" t="str">
        <f>IF(AND(BD1454=1,E1454&amp;""&lt;&gt;""),IF(COUNTIFS($E$5:E1453,E1454,$BD$5:BD1453,1)=0,MAX($CA$5:CA1453)+1,""),"")</f>
        <v/>
      </c>
      <c r="CB1454" s="80" t="str">
        <f>IF(AND(BE1454=1,D1454="Malcolm",E1454&amp;""&lt;&gt;""),IF(COUNTIFS($D$5:D1453,"Malcolm",$E$5:E1453,E1454,$BE$5:BE1453,1)=0,MAX($CB$5:CB1453)+1,""),"")</f>
        <v/>
      </c>
      <c r="CC1454" s="80" t="str">
        <f>IF(AND(BD1454=1,D1454="proMX",E1454&amp;""&lt;&gt;""),IF(COUNTIFS($D$5:D1453,"proMX",$E$5:E1453,E1454,$BD$5:BD1453,1)=0,MAX($CC$5:CC1453)+1,""),"")</f>
        <v/>
      </c>
      <c r="CD1454" s="80" t="str">
        <f>IF(AND(BE1454=1,D1454="Malcolm",F1454&amp;""&lt;&gt;""),IF(COUNTIFS($D$5:D1453,"Malcolm",$F$5:F1453,F1454,$BE$5:BE1453,1)=0,MAX($CD$5:CD1453)+1,""),"")</f>
        <v/>
      </c>
      <c r="CE1454" s="80" t="str">
        <f>IF(AND(BD1454=1,D1454="proMX",F1454&amp;""&lt;&gt;""),IF(COUNTIFS($D$5:D1453,"proMX",$F$5:F1453,F1454,$BD$5:BD1453,1)=0,MAX($CE$5:CE1453)+1,""),"")</f>
        <v/>
      </c>
      <c r="CF1454" s="80" t="str">
        <f>IF(AND(D1454="proMX",BD1454=1),IF(OR(BF1454="Draft",BF1454="Submitted",BF1454="Returned",BF1454="Recall Requested"),MAX($CF$5:CF1453)+1,""),"")</f>
        <v/>
      </c>
      <c r="CG1454" s="80">
        <f>IF(BD1454=0,0,IF(D1454="Malcolm",1,MATCH(BF1454,{"Draft","Submitted","Approved","Returned","Recall Requested","Cancelled"},0)+1))</f>
        <v>0</v>
      </c>
      <c r="CH1454" s="80">
        <f>IF(AND(BF1454="Submitted",ISNUMBER(V1454)),IF(V1454&gt;CFG_MAXD,1,0),0)</f>
        <v>0</v>
      </c>
    </row>
    <row r="1455">
      <c r="A1455" s="71" t="str">
        <f>IF(Y1455=1,ROW()-5,"")</f>
        <v/>
      </c>
      <c r="B1455" s="72" t="n"/>
      <c r="C1455" s="71" t="str">
        <f>IF(ISNUMBER(B1455),CHOOSE(WEEKDAY(B1455,2),"Lun","Mar","Mié","Jue","Vie","Sáb","Dom"),"")</f>
        <v/>
      </c>
      <c r="D1455" s="73" t="n"/>
      <c r="E1455" s="74" t="n"/>
      <c r="F1455" s="74" t="n"/>
      <c r="G1455" s="74" t="n"/>
      <c r="H1455" s="75" t="n"/>
      <c r="I1455" s="75" t="n"/>
      <c r="J1455" s="76" t="n"/>
      <c r="K1455" s="77" t="str">
        <f>IF(AB1455=1,ROUND(AG1455/60,4),"")</f>
        <v/>
      </c>
      <c r="L1455" s="77" t="str">
        <f>IF(BD1455=1,ROUND(AP1455/60,4),"")</f>
        <v/>
      </c>
      <c r="M1455" s="77" t="str">
        <f>IF(BD1455=1,ROUND(AQ1455/60,4),"")</f>
        <v/>
      </c>
      <c r="N1455" s="71" t="str">
        <f>IF(AND(D1455="proMX",AB1455=1),ROUND(AG1455/CFG_BLK,2),"")</f>
        <v/>
      </c>
      <c r="O1455" s="77" t="str">
        <f>IF(D1455="proMX",IF(BD1455=1,ROUND(AG1455/60,4),0),"")</f>
        <v/>
      </c>
      <c r="P1455" s="78" t="str">
        <f>IF(Y1455=0,"",IF(BD1455=1,"OK",IF(D1455="proMX","Revisar bloques: ","Revisar: ")&amp;BC1455))</f>
        <v/>
      </c>
      <c r="Q1455" s="78" t="str">
        <f>IF(NOT(ISNUMBER(B1455)),"",IF(COUNTIFS(FER_F,INT(B1455))&gt;0,"Feriado"&amp;IF(AH1455=1," (laborable)"," (no laborable)"),IF(AH1455=1,"Laborable",IF(WEEKDAY(B1455,2)&gt;5,"Fin de semana","No laborable"))))</f>
        <v/>
      </c>
      <c r="R1455" s="73" t="n"/>
      <c r="S1455" s="72" t="n"/>
      <c r="T1455" s="72" t="n"/>
      <c r="U1455" s="74" t="n"/>
      <c r="V1455" s="79" t="str">
        <f>IF(AND(D1455="proMX",OR(R1455="Submitted",R1455="Recall Requested"),ISNUMBER(S1455)),CFG_TODAY-INT(S1455),"")</f>
        <v/>
      </c>
      <c r="W1455" s="78" t="str">
        <f>IF(BD1455=0,"",IF(BA1455&gt;0,"⚠ Se superpone con un registro de la otra empresa",IF(D1455="Malcolm",IF(COUNTA(R1455,S1455,T1455)&gt;0,"Estado/fechas proMX se ignoran en Malcolm",""),IF(BF1455="Cancelled","Cancelado: excluido de totales",IF(R1455="","Sin estado: se trata como Draft",IF(BF1455="Submitted",IF(ISNUMBER(V1455),IF(V1455&gt;CFG_MAXD,"⚠ "&amp;V1455&amp;" días en Submitted (máx. "&amp;CFG_MAXD&amp;")",""),"Falta fecha de envío"),IF(BF1455="Returned","⚠ Devuelto: corregir y reenviar",IF(BF1455="Recall Requested","Retirada solicitada: pendiente",IF(AND(BF1455="Approved",NOT(ISNUMBER(T1455))),"Falta fecha de aprobación",IF(AND(ISNUMBER(S1455),ISNUMBER(T1455),T1455&lt;S1455),"Aprobación anterior al envío","")))))))))</f>
        <v/>
      </c>
      <c r="Y1455" s="80">
        <f>IF(COUNTA(B1455,D1455,E1455,F1455,G1455,H1455,I1455,J1455,R1455,S1455,T1455)&gt;0,1,0)</f>
        <v>0</v>
      </c>
      <c r="Z1455" s="80" t="str">
        <f>IF(AND(ISNUMBER(H1455),H1455&gt;=0,H1455&lt;1),ROUND(H1455*1440,0),"")</f>
        <v/>
      </c>
      <c r="AA1455" s="80" t="str">
        <f>IF(AND(ISNUMBER(I1455),I1455&gt;=0,I1455&lt;1),ROUND(I1455*1440,0),"")</f>
        <v/>
      </c>
      <c r="AB1455" s="80">
        <f>IF(AND(ISNUMBER(B1455),D1455&lt;&gt;"",ISNUMBER(Z1455),ISNUMBER(AA1455)),IF(Z1455=AA1455,0,1),0)</f>
        <v>0</v>
      </c>
      <c r="AC1455" s="80">
        <f>IF(AB1455=1,IF(AA1455&lt;Z1455,1,0),0)</f>
        <v>0</v>
      </c>
      <c r="AD1455" s="80">
        <f>IF(AB1455=1,IF(AC1455=1,1440-Z1455+AA1455,AA1455-Z1455),0)</f>
        <v>0</v>
      </c>
      <c r="AE1455" s="80">
        <f>IF(J1455="",0,IF(ISNUMBER(J1455),J1455,-1))</f>
        <v>0</v>
      </c>
      <c r="AF1455" s="80">
        <f>MIN(MAX(0,AE1455),AD1455)</f>
        <v>0</v>
      </c>
      <c r="AG1455" s="80">
        <f>MAX(0,AD1455-MAX(0,AE1455))</f>
        <v>0</v>
      </c>
      <c r="AH1455" s="80">
        <f>IF(ISNUMBER(B1455),IF(AND(INDEX(CFG_WDAYS,WEEKDAY(INT(B1455),2))="Sí",IF(D1455="proMX",COUNTIFS(FER_F,INT(B1455),FER_NLP,"Sí"),COUNTIFS(FER_F,INT(B1455),FER_NLM,"Sí"))=0),1,0),0)</f>
        <v>0</v>
      </c>
      <c r="AI1455" s="80">
        <f>IF(AC1455=1,IF(AND(INDEX(CFG_WDAYS,WEEKDAY(INT(B1455)+1,2))="Sí",IF(D1455="proMX",COUNTIFS(FER_F,INT(B1455)+1,FER_NLP,"Sí"),COUNTIFS(FER_F,INT(B1455)+1,FER_NLM,"Sí"))=0),1,0),0)</f>
        <v>0</v>
      </c>
      <c r="AJ1455" s="80">
        <f>IF(AC1455=1,1440-Z1455,AD1455)</f>
        <v>0</v>
      </c>
      <c r="AK1455" s="80">
        <f>IF(AND(AB1455=1,AH1455=1),MAX(0,MIN(IF(AC1455=1,1440,AA1455),CFG_WEM)-MAX(Z1455,CFG_WSM)),0)</f>
        <v>0</v>
      </c>
      <c r="AL1455" s="80">
        <f>IF(AND(AC1455=1,AI1455=1),MAX(0,MIN(AA1455,CFG_WEM)-CFG_WSM),0)</f>
        <v>0</v>
      </c>
      <c r="AM1455" s="80">
        <f>AK1455+AL1455</f>
        <v>0</v>
      </c>
      <c r="AN1455" s="80">
        <f>IF(CFG_BRK="Proporcional",IF(AD1455=0,0,AF1455*AM1455/AD1455),IF(CFG_BRK="Extras primero",MIN(AM1455,MAX(0,AF1455-(AD1455-AM1455))),MIN(AF1455,AM1455)))</f>
        <v>0</v>
      </c>
      <c r="AO1455" s="80">
        <f>AF1455-AN1455</f>
        <v>0</v>
      </c>
      <c r="AP1455" s="80">
        <f>AM1455-AN1455</f>
        <v>0</v>
      </c>
      <c r="AQ1455" s="80">
        <f>AD1455-AM1455-AO1455</f>
        <v>0</v>
      </c>
      <c r="AR1455" s="80">
        <f>IF(AM1455=0,0,AK1455-AN1455*AK1455/AM1455)</f>
        <v>0</v>
      </c>
      <c r="AS1455" s="80">
        <f>IF(AD1455-AM1455=0,0,(AJ1455-AK1455)-AO1455*(AJ1455-AK1455)/(AD1455-AM1455))</f>
        <v>0</v>
      </c>
      <c r="AT1455" s="80" t="str">
        <f>IF(AC1455=1,INT(B1455)+1,"")</f>
        <v/>
      </c>
      <c r="AU1455" s="80">
        <f>IF(AND(D1455="proMX",R1455="Cancelled"),0,1)</f>
        <v>1</v>
      </c>
      <c r="AV1455" s="80">
        <f>IF(AND(AB1455=1,AU1455=1),IF(COUNTIFS($D$5:D1454,D1455,$B$5:B1454,B1455,$Z$5:Z1454,Z1455,$AA$5:AA1454,AA1455,$F$5:F1454,F1455&amp;"",$AU$5:AU1454,1)&gt;0,1,0),0)</f>
        <v>0</v>
      </c>
      <c r="AW1455" s="80" t="str">
        <f>IF(AB1455=1,INT(B1455)*1440+Z1455,"")</f>
        <v/>
      </c>
      <c r="AX1455" s="80" t="str">
        <f>IF(AB1455=1,AW1455+AD1455,"")</f>
        <v/>
      </c>
      <c r="AY1455" s="80">
        <f>IF(AND(AB1455=1,AV1455=0,AU1455=1),1,0)</f>
        <v>0</v>
      </c>
      <c r="AZ1455" s="80">
        <f>IF(AY1455=1,COUNTIFS(R_Emp,D1455,R_SAbs,"&lt;"&amp;AX1455,R_EAbs,"&gt;"&amp;AW1455,R_OKey,1)-1,0)</f>
        <v>0</v>
      </c>
      <c r="BA1455" s="80">
        <f>IF(AY1455=1,COUNTIFS(R_Emp,"&lt;&gt;"&amp;D1455,R_SAbs,"&lt;"&amp;AX1455,R_EAbs,"&gt;"&amp;AW1455,R_OKey,1),0)</f>
        <v>0</v>
      </c>
      <c r="BB1455" s="80">
        <f>IF(AND(AB1455=1,D1455="proMX"),IF(AND(MOD(Z1455,CFG_BLK)=0,MOD(AA1455,CFG_BLK)=0,MOD(AG1455,CFG_BLK)=0,AG1455&gt;0),1,0),1)</f>
        <v>1</v>
      </c>
      <c r="BC1455" s="80" t="str">
        <f>IF(Y1455=0,"",IF(NOT(ISNUMBER(B1455)),"Falta fecha o fecha inválida",IF(D1455="","Falta empresa",IF(AND(D1455&lt;&gt;"Malcolm",D1455&lt;&gt;"proMX"),"Empresa inválida",IF(OR(INT(B1455)&lt;CFG_PSTART,INT(B1455)&gt;CFG_PEND),"Fecha fuera del período",IF(OR(NOT(ISNUMBER(Z1455)),NOT(ISNUMBER(AA1455))),"Falta hora inicio/fin o formato inválido",IF(AB1455=0,"Hora inicio = hora fin",IF(AE1455&lt;0,"Descanso inválido",IF(AE1455&gt;=AD1455,"Descanso ≥ duración",IF(AV1455=1,"Registro duplicado",IF(AZ1455&gt;0,"Se superpone con otro registro "&amp;D1455,IF(BB1455=0,"inicio, fin y duración neta deben ser múltiplos de "&amp;CFG_BLK&amp;" min",""))))))))))))</f>
        <v/>
      </c>
      <c r="BD1455" s="80">
        <f>IF(AND(Y1455=1,BC1455=""),1,0)</f>
        <v>0</v>
      </c>
      <c r="BE1455" s="80">
        <f>IF(AND(BD1455=1,AU1455=1),1,0)</f>
        <v>0</v>
      </c>
      <c r="BF1455" s="80" t="str">
        <f>IF(AND(D1455="proMX",BD1455=1),IF(R1455="","Draft",R1455),"")</f>
        <v/>
      </c>
      <c r="BG1455" s="80">
        <f>IF(BD1455=1,ROUND(AG1455/60,6),0)</f>
        <v>0</v>
      </c>
      <c r="BH1455" s="80">
        <f>IF(BE1455=1,ROUND(AG1455/60,6),0)</f>
        <v>0</v>
      </c>
      <c r="BI1455" s="80">
        <f>IF(BE1455=1,ROUND(AP1455/60,6),0)</f>
        <v>0</v>
      </c>
      <c r="BJ1455" s="80">
        <f>IF(BE1455=1,ROUND(AQ1455/60,6),0)</f>
        <v>0</v>
      </c>
      <c r="BK1455" s="80">
        <f>IF(BE1455=1,ROUND((AR1455+AS1455)/60,6),0)</f>
        <v>0</v>
      </c>
      <c r="BL1455" s="80">
        <f>ROUND(BH1455-BK1455,6)</f>
        <v>0</v>
      </c>
      <c r="BM1455" s="80">
        <f>IF(BE1455=1,ROUND(AR1455/60,6),0)</f>
        <v>0</v>
      </c>
      <c r="BN1455" s="80">
        <f>ROUND(BI1455-BM1455,6)</f>
        <v>0</v>
      </c>
      <c r="BO1455" s="80">
        <f>IF(BE1455=1,ROUND(AS1455/60,6),0)</f>
        <v>0</v>
      </c>
      <c r="BP1455" s="80">
        <f>ROUND(BJ1455-BO1455,6)</f>
        <v>0</v>
      </c>
      <c r="BQ1455" s="80">
        <f>IF(BE1455=1,AW1455,0)</f>
        <v>0</v>
      </c>
      <c r="BR1455" s="80">
        <f>IF(BE1455=1,AX1455,0)</f>
        <v>0</v>
      </c>
      <c r="BS1455" s="80">
        <f>IF(AND(BE1455=1,D1455="Malcolm",BA1455&gt;0),MIN(BH1455,SUMPRODUCT((R_Emp="proMX")*(R_EN&gt;0)*((R_EN-(R_EN&gt;BR1455)*(R_EN-BR1455))&gt;(R_SN+(R_SN&lt;BQ1455)*(BQ1455-R_SN)))*((R_EN-(R_EN&gt;BR1455)*(R_EN-BR1455))-(R_SN+(R_SN&lt;BQ1455)*(BQ1455-R_SN))))/60),0)</f>
        <v>0</v>
      </c>
      <c r="BT1455" s="80">
        <f>IF(AND(BE1455=1,D1455="proMX"),ROUND(BI1455*CFG_RATE+BJ1455*CFG_OTRATE,6),0)</f>
        <v>0</v>
      </c>
      <c r="BU1455" s="80">
        <f>IF(AND(BD1455=1,D1455="proMX"),ROUND(AG1455/CFG_BLK,6),0)</f>
        <v>0</v>
      </c>
      <c r="BV1455" s="80" t="str">
        <f>IF(BF1455="Approved",IF(ISNUMBER(T1455),INT(T1455),INT(B1455)),"")</f>
        <v/>
      </c>
      <c r="BW1455" s="80">
        <f>IF(ISNUMBER(B1455),IF(DB_MON="Todos",1,IF(AND(INT(B1455)&gt;=DB_MS,INT(B1455)&lt;=DB_ME),1,0)),0)</f>
        <v>0</v>
      </c>
      <c r="BX1455" s="80">
        <f>IF(DB_PROJ="Todos",1,IF(E1455&amp;""=DB_PROJ&amp;"",1,0))</f>
        <v>1</v>
      </c>
      <c r="BY1455" s="80">
        <f>BW1455*BX1455</f>
        <v>0</v>
      </c>
      <c r="BZ1455" s="80" t="str">
        <f>IF(Y1455=1,F1455&amp;IF(AND(F1455&amp;""&lt;&gt;"",E1455&amp;""&lt;&gt;"")," · ","")&amp;E1455,"")</f>
        <v/>
      </c>
      <c r="CA1455" s="80" t="str">
        <f>IF(AND(BD1455=1,E1455&amp;""&lt;&gt;""),IF(COUNTIFS($E$5:E1454,E1455,$BD$5:BD1454,1)=0,MAX($CA$5:CA1454)+1,""),"")</f>
        <v/>
      </c>
      <c r="CB1455" s="80" t="str">
        <f>IF(AND(BE1455=1,D1455="Malcolm",E1455&amp;""&lt;&gt;""),IF(COUNTIFS($D$5:D1454,"Malcolm",$E$5:E1454,E1455,$BE$5:BE1454,1)=0,MAX($CB$5:CB1454)+1,""),"")</f>
        <v/>
      </c>
      <c r="CC1455" s="80" t="str">
        <f>IF(AND(BD1455=1,D1455="proMX",E1455&amp;""&lt;&gt;""),IF(COUNTIFS($D$5:D1454,"proMX",$E$5:E1454,E1455,$BD$5:BD1454,1)=0,MAX($CC$5:CC1454)+1,""),"")</f>
        <v/>
      </c>
      <c r="CD1455" s="80" t="str">
        <f>IF(AND(BE1455=1,D1455="Malcolm",F1455&amp;""&lt;&gt;""),IF(COUNTIFS($D$5:D1454,"Malcolm",$F$5:F1454,F1455,$BE$5:BE1454,1)=0,MAX($CD$5:CD1454)+1,""),"")</f>
        <v/>
      </c>
      <c r="CE1455" s="80" t="str">
        <f>IF(AND(BD1455=1,D1455="proMX",F1455&amp;""&lt;&gt;""),IF(COUNTIFS($D$5:D1454,"proMX",$F$5:F1454,F1455,$BD$5:BD1454,1)=0,MAX($CE$5:CE1454)+1,""),"")</f>
        <v/>
      </c>
      <c r="CF1455" s="80" t="str">
        <f>IF(AND(D1455="proMX",BD1455=1),IF(OR(BF1455="Draft",BF1455="Submitted",BF1455="Returned",BF1455="Recall Requested"),MAX($CF$5:CF1454)+1,""),"")</f>
        <v/>
      </c>
      <c r="CG1455" s="80">
        <f>IF(BD1455=0,0,IF(D1455="Malcolm",1,MATCH(BF1455,{"Draft","Submitted","Approved","Returned","Recall Requested","Cancelled"},0)+1))</f>
        <v>0</v>
      </c>
      <c r="CH1455" s="80">
        <f>IF(AND(BF1455="Submitted",ISNUMBER(V1455)),IF(V1455&gt;CFG_MAXD,1,0),0)</f>
        <v>0</v>
      </c>
    </row>
    <row r="1456">
      <c r="A1456" s="71" t="str">
        <f>IF(Y1456=1,ROW()-5,"")</f>
        <v/>
      </c>
      <c r="B1456" s="72" t="n"/>
      <c r="C1456" s="71" t="str">
        <f>IF(ISNUMBER(B1456),CHOOSE(WEEKDAY(B1456,2),"Lun","Mar","Mié","Jue","Vie","Sáb","Dom"),"")</f>
        <v/>
      </c>
      <c r="D1456" s="73" t="n"/>
      <c r="E1456" s="74" t="n"/>
      <c r="F1456" s="74" t="n"/>
      <c r="G1456" s="74" t="n"/>
      <c r="H1456" s="75" t="n"/>
      <c r="I1456" s="75" t="n"/>
      <c r="J1456" s="76" t="n"/>
      <c r="K1456" s="77" t="str">
        <f>IF(AB1456=1,ROUND(AG1456/60,4),"")</f>
        <v/>
      </c>
      <c r="L1456" s="77" t="str">
        <f>IF(BD1456=1,ROUND(AP1456/60,4),"")</f>
        <v/>
      </c>
      <c r="M1456" s="77" t="str">
        <f>IF(BD1456=1,ROUND(AQ1456/60,4),"")</f>
        <v/>
      </c>
      <c r="N1456" s="71" t="str">
        <f>IF(AND(D1456="proMX",AB1456=1),ROUND(AG1456/CFG_BLK,2),"")</f>
        <v/>
      </c>
      <c r="O1456" s="77" t="str">
        <f>IF(D1456="proMX",IF(BD1456=1,ROUND(AG1456/60,4),0),"")</f>
        <v/>
      </c>
      <c r="P1456" s="78" t="str">
        <f>IF(Y1456=0,"",IF(BD1456=1,"OK",IF(D1456="proMX","Revisar bloques: ","Revisar: ")&amp;BC1456))</f>
        <v/>
      </c>
      <c r="Q1456" s="78" t="str">
        <f>IF(NOT(ISNUMBER(B1456)),"",IF(COUNTIFS(FER_F,INT(B1456))&gt;0,"Feriado"&amp;IF(AH1456=1," (laborable)"," (no laborable)"),IF(AH1456=1,"Laborable",IF(WEEKDAY(B1456,2)&gt;5,"Fin de semana","No laborable"))))</f>
        <v/>
      </c>
      <c r="R1456" s="73" t="n"/>
      <c r="S1456" s="72" t="n"/>
      <c r="T1456" s="72" t="n"/>
      <c r="U1456" s="74" t="n"/>
      <c r="V1456" s="79" t="str">
        <f>IF(AND(D1456="proMX",OR(R1456="Submitted",R1456="Recall Requested"),ISNUMBER(S1456)),CFG_TODAY-INT(S1456),"")</f>
        <v/>
      </c>
      <c r="W1456" s="78" t="str">
        <f>IF(BD1456=0,"",IF(BA1456&gt;0,"⚠ Se superpone con un registro de la otra empresa",IF(D1456="Malcolm",IF(COUNTA(R1456,S1456,T1456)&gt;0,"Estado/fechas proMX se ignoran en Malcolm",""),IF(BF1456="Cancelled","Cancelado: excluido de totales",IF(R1456="","Sin estado: se trata como Draft",IF(BF1456="Submitted",IF(ISNUMBER(V1456),IF(V1456&gt;CFG_MAXD,"⚠ "&amp;V1456&amp;" días en Submitted (máx. "&amp;CFG_MAXD&amp;")",""),"Falta fecha de envío"),IF(BF1456="Returned","⚠ Devuelto: corregir y reenviar",IF(BF1456="Recall Requested","Retirada solicitada: pendiente",IF(AND(BF1456="Approved",NOT(ISNUMBER(T1456))),"Falta fecha de aprobación",IF(AND(ISNUMBER(S1456),ISNUMBER(T1456),T1456&lt;S1456),"Aprobación anterior al envío","")))))))))</f>
        <v/>
      </c>
      <c r="Y1456" s="80">
        <f>IF(COUNTA(B1456,D1456,E1456,F1456,G1456,H1456,I1456,J1456,R1456,S1456,T1456)&gt;0,1,0)</f>
        <v>0</v>
      </c>
      <c r="Z1456" s="80" t="str">
        <f>IF(AND(ISNUMBER(H1456),H1456&gt;=0,H1456&lt;1),ROUND(H1456*1440,0),"")</f>
        <v/>
      </c>
      <c r="AA1456" s="80" t="str">
        <f>IF(AND(ISNUMBER(I1456),I1456&gt;=0,I1456&lt;1),ROUND(I1456*1440,0),"")</f>
        <v/>
      </c>
      <c r="AB1456" s="80">
        <f>IF(AND(ISNUMBER(B1456),D1456&lt;&gt;"",ISNUMBER(Z1456),ISNUMBER(AA1456)),IF(Z1456=AA1456,0,1),0)</f>
        <v>0</v>
      </c>
      <c r="AC1456" s="80">
        <f>IF(AB1456=1,IF(AA1456&lt;Z1456,1,0),0)</f>
        <v>0</v>
      </c>
      <c r="AD1456" s="80">
        <f>IF(AB1456=1,IF(AC1456=1,1440-Z1456+AA1456,AA1456-Z1456),0)</f>
        <v>0</v>
      </c>
      <c r="AE1456" s="80">
        <f>IF(J1456="",0,IF(ISNUMBER(J1456),J1456,-1))</f>
        <v>0</v>
      </c>
      <c r="AF1456" s="80">
        <f>MIN(MAX(0,AE1456),AD1456)</f>
        <v>0</v>
      </c>
      <c r="AG1456" s="80">
        <f>MAX(0,AD1456-MAX(0,AE1456))</f>
        <v>0</v>
      </c>
      <c r="AH1456" s="80">
        <f>IF(ISNUMBER(B1456),IF(AND(INDEX(CFG_WDAYS,WEEKDAY(INT(B1456),2))="Sí",IF(D1456="proMX",COUNTIFS(FER_F,INT(B1456),FER_NLP,"Sí"),COUNTIFS(FER_F,INT(B1456),FER_NLM,"Sí"))=0),1,0),0)</f>
        <v>0</v>
      </c>
      <c r="AI1456" s="80">
        <f>IF(AC1456=1,IF(AND(INDEX(CFG_WDAYS,WEEKDAY(INT(B1456)+1,2))="Sí",IF(D1456="proMX",COUNTIFS(FER_F,INT(B1456)+1,FER_NLP,"Sí"),COUNTIFS(FER_F,INT(B1456)+1,FER_NLM,"Sí"))=0),1,0),0)</f>
        <v>0</v>
      </c>
      <c r="AJ1456" s="80">
        <f>IF(AC1456=1,1440-Z1456,AD1456)</f>
        <v>0</v>
      </c>
      <c r="AK1456" s="80">
        <f>IF(AND(AB1456=1,AH1456=1),MAX(0,MIN(IF(AC1456=1,1440,AA1456),CFG_WEM)-MAX(Z1456,CFG_WSM)),0)</f>
        <v>0</v>
      </c>
      <c r="AL1456" s="80">
        <f>IF(AND(AC1456=1,AI1456=1),MAX(0,MIN(AA1456,CFG_WEM)-CFG_WSM),0)</f>
        <v>0</v>
      </c>
      <c r="AM1456" s="80">
        <f>AK1456+AL1456</f>
        <v>0</v>
      </c>
      <c r="AN1456" s="80">
        <f>IF(CFG_BRK="Proporcional",IF(AD1456=0,0,AF1456*AM1456/AD1456),IF(CFG_BRK="Extras primero",MIN(AM1456,MAX(0,AF1456-(AD1456-AM1456))),MIN(AF1456,AM1456)))</f>
        <v>0</v>
      </c>
      <c r="AO1456" s="80">
        <f>AF1456-AN1456</f>
        <v>0</v>
      </c>
      <c r="AP1456" s="80">
        <f>AM1456-AN1456</f>
        <v>0</v>
      </c>
      <c r="AQ1456" s="80">
        <f>AD1456-AM1456-AO1456</f>
        <v>0</v>
      </c>
      <c r="AR1456" s="80">
        <f>IF(AM1456=0,0,AK1456-AN1456*AK1456/AM1456)</f>
        <v>0</v>
      </c>
      <c r="AS1456" s="80">
        <f>IF(AD1456-AM1456=0,0,(AJ1456-AK1456)-AO1456*(AJ1456-AK1456)/(AD1456-AM1456))</f>
        <v>0</v>
      </c>
      <c r="AT1456" s="80" t="str">
        <f>IF(AC1456=1,INT(B1456)+1,"")</f>
        <v/>
      </c>
      <c r="AU1456" s="80">
        <f>IF(AND(D1456="proMX",R1456="Cancelled"),0,1)</f>
        <v>1</v>
      </c>
      <c r="AV1456" s="80">
        <f>IF(AND(AB1456=1,AU1456=1),IF(COUNTIFS($D$5:D1455,D1456,$B$5:B1455,B1456,$Z$5:Z1455,Z1456,$AA$5:AA1455,AA1456,$F$5:F1455,F1456&amp;"",$AU$5:AU1455,1)&gt;0,1,0),0)</f>
        <v>0</v>
      </c>
      <c r="AW1456" s="80" t="str">
        <f>IF(AB1456=1,INT(B1456)*1440+Z1456,"")</f>
        <v/>
      </c>
      <c r="AX1456" s="80" t="str">
        <f>IF(AB1456=1,AW1456+AD1456,"")</f>
        <v/>
      </c>
      <c r="AY1456" s="80">
        <f>IF(AND(AB1456=1,AV1456=0,AU1456=1),1,0)</f>
        <v>0</v>
      </c>
      <c r="AZ1456" s="80">
        <f>IF(AY1456=1,COUNTIFS(R_Emp,D1456,R_SAbs,"&lt;"&amp;AX1456,R_EAbs,"&gt;"&amp;AW1456,R_OKey,1)-1,0)</f>
        <v>0</v>
      </c>
      <c r="BA1456" s="80">
        <f>IF(AY1456=1,COUNTIFS(R_Emp,"&lt;&gt;"&amp;D1456,R_SAbs,"&lt;"&amp;AX1456,R_EAbs,"&gt;"&amp;AW1456,R_OKey,1),0)</f>
        <v>0</v>
      </c>
      <c r="BB1456" s="80">
        <f>IF(AND(AB1456=1,D1456="proMX"),IF(AND(MOD(Z1456,CFG_BLK)=0,MOD(AA1456,CFG_BLK)=0,MOD(AG1456,CFG_BLK)=0,AG1456&gt;0),1,0),1)</f>
        <v>1</v>
      </c>
      <c r="BC1456" s="80" t="str">
        <f>IF(Y1456=0,"",IF(NOT(ISNUMBER(B1456)),"Falta fecha o fecha inválida",IF(D1456="","Falta empresa",IF(AND(D1456&lt;&gt;"Malcolm",D1456&lt;&gt;"proMX"),"Empresa inválida",IF(OR(INT(B1456)&lt;CFG_PSTART,INT(B1456)&gt;CFG_PEND),"Fecha fuera del período",IF(OR(NOT(ISNUMBER(Z1456)),NOT(ISNUMBER(AA1456))),"Falta hora inicio/fin o formato inválido",IF(AB1456=0,"Hora inicio = hora fin",IF(AE1456&lt;0,"Descanso inválido",IF(AE1456&gt;=AD1456,"Descanso ≥ duración",IF(AV1456=1,"Registro duplicado",IF(AZ1456&gt;0,"Se superpone con otro registro "&amp;D1456,IF(BB1456=0,"inicio, fin y duración neta deben ser múltiplos de "&amp;CFG_BLK&amp;" min",""))))))))))))</f>
        <v/>
      </c>
      <c r="BD1456" s="80">
        <f>IF(AND(Y1456=1,BC1456=""),1,0)</f>
        <v>0</v>
      </c>
      <c r="BE1456" s="80">
        <f>IF(AND(BD1456=1,AU1456=1),1,0)</f>
        <v>0</v>
      </c>
      <c r="BF1456" s="80" t="str">
        <f>IF(AND(D1456="proMX",BD1456=1),IF(R1456="","Draft",R1456),"")</f>
        <v/>
      </c>
      <c r="BG1456" s="80">
        <f>IF(BD1456=1,ROUND(AG1456/60,6),0)</f>
        <v>0</v>
      </c>
      <c r="BH1456" s="80">
        <f>IF(BE1456=1,ROUND(AG1456/60,6),0)</f>
        <v>0</v>
      </c>
      <c r="BI1456" s="80">
        <f>IF(BE1456=1,ROUND(AP1456/60,6),0)</f>
        <v>0</v>
      </c>
      <c r="BJ1456" s="80">
        <f>IF(BE1456=1,ROUND(AQ1456/60,6),0)</f>
        <v>0</v>
      </c>
      <c r="BK1456" s="80">
        <f>IF(BE1456=1,ROUND((AR1456+AS1456)/60,6),0)</f>
        <v>0</v>
      </c>
      <c r="BL1456" s="80">
        <f>ROUND(BH1456-BK1456,6)</f>
        <v>0</v>
      </c>
      <c r="BM1456" s="80">
        <f>IF(BE1456=1,ROUND(AR1456/60,6),0)</f>
        <v>0</v>
      </c>
      <c r="BN1456" s="80">
        <f>ROUND(BI1456-BM1456,6)</f>
        <v>0</v>
      </c>
      <c r="BO1456" s="80">
        <f>IF(BE1456=1,ROUND(AS1456/60,6),0)</f>
        <v>0</v>
      </c>
      <c r="BP1456" s="80">
        <f>ROUND(BJ1456-BO1456,6)</f>
        <v>0</v>
      </c>
      <c r="BQ1456" s="80">
        <f>IF(BE1456=1,AW1456,0)</f>
        <v>0</v>
      </c>
      <c r="BR1456" s="80">
        <f>IF(BE1456=1,AX1456,0)</f>
        <v>0</v>
      </c>
      <c r="BS1456" s="80">
        <f>IF(AND(BE1456=1,D1456="Malcolm",BA1456&gt;0),MIN(BH1456,SUMPRODUCT((R_Emp="proMX")*(R_EN&gt;0)*((R_EN-(R_EN&gt;BR1456)*(R_EN-BR1456))&gt;(R_SN+(R_SN&lt;BQ1456)*(BQ1456-R_SN)))*((R_EN-(R_EN&gt;BR1456)*(R_EN-BR1456))-(R_SN+(R_SN&lt;BQ1456)*(BQ1456-R_SN))))/60),0)</f>
        <v>0</v>
      </c>
      <c r="BT1456" s="80">
        <f>IF(AND(BE1456=1,D1456="proMX"),ROUND(BI1456*CFG_RATE+BJ1456*CFG_OTRATE,6),0)</f>
        <v>0</v>
      </c>
      <c r="BU1456" s="80">
        <f>IF(AND(BD1456=1,D1456="proMX"),ROUND(AG1456/CFG_BLK,6),0)</f>
        <v>0</v>
      </c>
      <c r="BV1456" s="80" t="str">
        <f>IF(BF1456="Approved",IF(ISNUMBER(T1456),INT(T1456),INT(B1456)),"")</f>
        <v/>
      </c>
      <c r="BW1456" s="80">
        <f>IF(ISNUMBER(B1456),IF(DB_MON="Todos",1,IF(AND(INT(B1456)&gt;=DB_MS,INT(B1456)&lt;=DB_ME),1,0)),0)</f>
        <v>0</v>
      </c>
      <c r="BX1456" s="80">
        <f>IF(DB_PROJ="Todos",1,IF(E1456&amp;""=DB_PROJ&amp;"",1,0))</f>
        <v>1</v>
      </c>
      <c r="BY1456" s="80">
        <f>BW1456*BX1456</f>
        <v>0</v>
      </c>
      <c r="BZ1456" s="80" t="str">
        <f>IF(Y1456=1,F1456&amp;IF(AND(F1456&amp;""&lt;&gt;"",E1456&amp;""&lt;&gt;"")," · ","")&amp;E1456,"")</f>
        <v/>
      </c>
      <c r="CA1456" s="80" t="str">
        <f>IF(AND(BD1456=1,E1456&amp;""&lt;&gt;""),IF(COUNTIFS($E$5:E1455,E1456,$BD$5:BD1455,1)=0,MAX($CA$5:CA1455)+1,""),"")</f>
        <v/>
      </c>
      <c r="CB1456" s="80" t="str">
        <f>IF(AND(BE1456=1,D1456="Malcolm",E1456&amp;""&lt;&gt;""),IF(COUNTIFS($D$5:D1455,"Malcolm",$E$5:E1455,E1456,$BE$5:BE1455,1)=0,MAX($CB$5:CB1455)+1,""),"")</f>
        <v/>
      </c>
      <c r="CC1456" s="80" t="str">
        <f>IF(AND(BD1456=1,D1456="proMX",E1456&amp;""&lt;&gt;""),IF(COUNTIFS($D$5:D1455,"proMX",$E$5:E1455,E1456,$BD$5:BD1455,1)=0,MAX($CC$5:CC1455)+1,""),"")</f>
        <v/>
      </c>
      <c r="CD1456" s="80" t="str">
        <f>IF(AND(BE1456=1,D1456="Malcolm",F1456&amp;""&lt;&gt;""),IF(COUNTIFS($D$5:D1455,"Malcolm",$F$5:F1455,F1456,$BE$5:BE1455,1)=0,MAX($CD$5:CD1455)+1,""),"")</f>
        <v/>
      </c>
      <c r="CE1456" s="80" t="str">
        <f>IF(AND(BD1456=1,D1456="proMX",F1456&amp;""&lt;&gt;""),IF(COUNTIFS($D$5:D1455,"proMX",$F$5:F1455,F1456,$BD$5:BD1455,1)=0,MAX($CE$5:CE1455)+1,""),"")</f>
        <v/>
      </c>
      <c r="CF1456" s="80" t="str">
        <f>IF(AND(D1456="proMX",BD1456=1),IF(OR(BF1456="Draft",BF1456="Submitted",BF1456="Returned",BF1456="Recall Requested"),MAX($CF$5:CF1455)+1,""),"")</f>
        <v/>
      </c>
      <c r="CG1456" s="80">
        <f>IF(BD1456=0,0,IF(D1456="Malcolm",1,MATCH(BF1456,{"Draft","Submitted","Approved","Returned","Recall Requested","Cancelled"},0)+1))</f>
        <v>0</v>
      </c>
      <c r="CH1456" s="80">
        <f>IF(AND(BF1456="Submitted",ISNUMBER(V1456)),IF(V1456&gt;CFG_MAXD,1,0),0)</f>
        <v>0</v>
      </c>
    </row>
    <row r="1457">
      <c r="A1457" s="71" t="str">
        <f>IF(Y1457=1,ROW()-5,"")</f>
        <v/>
      </c>
      <c r="B1457" s="72" t="n"/>
      <c r="C1457" s="71" t="str">
        <f>IF(ISNUMBER(B1457),CHOOSE(WEEKDAY(B1457,2),"Lun","Mar","Mié","Jue","Vie","Sáb","Dom"),"")</f>
        <v/>
      </c>
      <c r="D1457" s="73" t="n"/>
      <c r="E1457" s="74" t="n"/>
      <c r="F1457" s="74" t="n"/>
      <c r="G1457" s="74" t="n"/>
      <c r="H1457" s="75" t="n"/>
      <c r="I1457" s="75" t="n"/>
      <c r="J1457" s="76" t="n"/>
      <c r="K1457" s="77" t="str">
        <f>IF(AB1457=1,ROUND(AG1457/60,4),"")</f>
        <v/>
      </c>
      <c r="L1457" s="77" t="str">
        <f>IF(BD1457=1,ROUND(AP1457/60,4),"")</f>
        <v/>
      </c>
      <c r="M1457" s="77" t="str">
        <f>IF(BD1457=1,ROUND(AQ1457/60,4),"")</f>
        <v/>
      </c>
      <c r="N1457" s="71" t="str">
        <f>IF(AND(D1457="proMX",AB1457=1),ROUND(AG1457/CFG_BLK,2),"")</f>
        <v/>
      </c>
      <c r="O1457" s="77" t="str">
        <f>IF(D1457="proMX",IF(BD1457=1,ROUND(AG1457/60,4),0),"")</f>
        <v/>
      </c>
      <c r="P1457" s="78" t="str">
        <f>IF(Y1457=0,"",IF(BD1457=1,"OK",IF(D1457="proMX","Revisar bloques: ","Revisar: ")&amp;BC1457))</f>
        <v/>
      </c>
      <c r="Q1457" s="78" t="str">
        <f>IF(NOT(ISNUMBER(B1457)),"",IF(COUNTIFS(FER_F,INT(B1457))&gt;0,"Feriado"&amp;IF(AH1457=1," (laborable)"," (no laborable)"),IF(AH1457=1,"Laborable",IF(WEEKDAY(B1457,2)&gt;5,"Fin de semana","No laborable"))))</f>
        <v/>
      </c>
      <c r="R1457" s="73" t="n"/>
      <c r="S1457" s="72" t="n"/>
      <c r="T1457" s="72" t="n"/>
      <c r="U1457" s="74" t="n"/>
      <c r="V1457" s="79" t="str">
        <f>IF(AND(D1457="proMX",OR(R1457="Submitted",R1457="Recall Requested"),ISNUMBER(S1457)),CFG_TODAY-INT(S1457),"")</f>
        <v/>
      </c>
      <c r="W1457" s="78" t="str">
        <f>IF(BD1457=0,"",IF(BA1457&gt;0,"⚠ Se superpone con un registro de la otra empresa",IF(D1457="Malcolm",IF(COUNTA(R1457,S1457,T1457)&gt;0,"Estado/fechas proMX se ignoran en Malcolm",""),IF(BF1457="Cancelled","Cancelado: excluido de totales",IF(R1457="","Sin estado: se trata como Draft",IF(BF1457="Submitted",IF(ISNUMBER(V1457),IF(V1457&gt;CFG_MAXD,"⚠ "&amp;V1457&amp;" días en Submitted (máx. "&amp;CFG_MAXD&amp;")",""),"Falta fecha de envío"),IF(BF1457="Returned","⚠ Devuelto: corregir y reenviar",IF(BF1457="Recall Requested","Retirada solicitada: pendiente",IF(AND(BF1457="Approved",NOT(ISNUMBER(T1457))),"Falta fecha de aprobación",IF(AND(ISNUMBER(S1457),ISNUMBER(T1457),T1457&lt;S1457),"Aprobación anterior al envío","")))))))))</f>
        <v/>
      </c>
      <c r="Y1457" s="80">
        <f>IF(COUNTA(B1457,D1457,E1457,F1457,G1457,H1457,I1457,J1457,R1457,S1457,T1457)&gt;0,1,0)</f>
        <v>0</v>
      </c>
      <c r="Z1457" s="80" t="str">
        <f>IF(AND(ISNUMBER(H1457),H1457&gt;=0,H1457&lt;1),ROUND(H1457*1440,0),"")</f>
        <v/>
      </c>
      <c r="AA1457" s="80" t="str">
        <f>IF(AND(ISNUMBER(I1457),I1457&gt;=0,I1457&lt;1),ROUND(I1457*1440,0),"")</f>
        <v/>
      </c>
      <c r="AB1457" s="80">
        <f>IF(AND(ISNUMBER(B1457),D1457&lt;&gt;"",ISNUMBER(Z1457),ISNUMBER(AA1457)),IF(Z1457=AA1457,0,1),0)</f>
        <v>0</v>
      </c>
      <c r="AC1457" s="80">
        <f>IF(AB1457=1,IF(AA1457&lt;Z1457,1,0),0)</f>
        <v>0</v>
      </c>
      <c r="AD1457" s="80">
        <f>IF(AB1457=1,IF(AC1457=1,1440-Z1457+AA1457,AA1457-Z1457),0)</f>
        <v>0</v>
      </c>
      <c r="AE1457" s="80">
        <f>IF(J1457="",0,IF(ISNUMBER(J1457),J1457,-1))</f>
        <v>0</v>
      </c>
      <c r="AF1457" s="80">
        <f>MIN(MAX(0,AE1457),AD1457)</f>
        <v>0</v>
      </c>
      <c r="AG1457" s="80">
        <f>MAX(0,AD1457-MAX(0,AE1457))</f>
        <v>0</v>
      </c>
      <c r="AH1457" s="80">
        <f>IF(ISNUMBER(B1457),IF(AND(INDEX(CFG_WDAYS,WEEKDAY(INT(B1457),2))="Sí",IF(D1457="proMX",COUNTIFS(FER_F,INT(B1457),FER_NLP,"Sí"),COUNTIFS(FER_F,INT(B1457),FER_NLM,"Sí"))=0),1,0),0)</f>
        <v>0</v>
      </c>
      <c r="AI1457" s="80">
        <f>IF(AC1457=1,IF(AND(INDEX(CFG_WDAYS,WEEKDAY(INT(B1457)+1,2))="Sí",IF(D1457="proMX",COUNTIFS(FER_F,INT(B1457)+1,FER_NLP,"Sí"),COUNTIFS(FER_F,INT(B1457)+1,FER_NLM,"Sí"))=0),1,0),0)</f>
        <v>0</v>
      </c>
      <c r="AJ1457" s="80">
        <f>IF(AC1457=1,1440-Z1457,AD1457)</f>
        <v>0</v>
      </c>
      <c r="AK1457" s="80">
        <f>IF(AND(AB1457=1,AH1457=1),MAX(0,MIN(IF(AC1457=1,1440,AA1457),CFG_WEM)-MAX(Z1457,CFG_WSM)),0)</f>
        <v>0</v>
      </c>
      <c r="AL1457" s="80">
        <f>IF(AND(AC1457=1,AI1457=1),MAX(0,MIN(AA1457,CFG_WEM)-CFG_WSM),0)</f>
        <v>0</v>
      </c>
      <c r="AM1457" s="80">
        <f>AK1457+AL1457</f>
        <v>0</v>
      </c>
      <c r="AN1457" s="80">
        <f>IF(CFG_BRK="Proporcional",IF(AD1457=0,0,AF1457*AM1457/AD1457),IF(CFG_BRK="Extras primero",MIN(AM1457,MAX(0,AF1457-(AD1457-AM1457))),MIN(AF1457,AM1457)))</f>
        <v>0</v>
      </c>
      <c r="AO1457" s="80">
        <f>AF1457-AN1457</f>
        <v>0</v>
      </c>
      <c r="AP1457" s="80">
        <f>AM1457-AN1457</f>
        <v>0</v>
      </c>
      <c r="AQ1457" s="80">
        <f>AD1457-AM1457-AO1457</f>
        <v>0</v>
      </c>
      <c r="AR1457" s="80">
        <f>IF(AM1457=0,0,AK1457-AN1457*AK1457/AM1457)</f>
        <v>0</v>
      </c>
      <c r="AS1457" s="80">
        <f>IF(AD1457-AM1457=0,0,(AJ1457-AK1457)-AO1457*(AJ1457-AK1457)/(AD1457-AM1457))</f>
        <v>0</v>
      </c>
      <c r="AT1457" s="80" t="str">
        <f>IF(AC1457=1,INT(B1457)+1,"")</f>
        <v/>
      </c>
      <c r="AU1457" s="80">
        <f>IF(AND(D1457="proMX",R1457="Cancelled"),0,1)</f>
        <v>1</v>
      </c>
      <c r="AV1457" s="80">
        <f>IF(AND(AB1457=1,AU1457=1),IF(COUNTIFS($D$5:D1456,D1457,$B$5:B1456,B1457,$Z$5:Z1456,Z1457,$AA$5:AA1456,AA1457,$F$5:F1456,F1457&amp;"",$AU$5:AU1456,1)&gt;0,1,0),0)</f>
        <v>0</v>
      </c>
      <c r="AW1457" s="80" t="str">
        <f>IF(AB1457=1,INT(B1457)*1440+Z1457,"")</f>
        <v/>
      </c>
      <c r="AX1457" s="80" t="str">
        <f>IF(AB1457=1,AW1457+AD1457,"")</f>
        <v/>
      </c>
      <c r="AY1457" s="80">
        <f>IF(AND(AB1457=1,AV1457=0,AU1457=1),1,0)</f>
        <v>0</v>
      </c>
      <c r="AZ1457" s="80">
        <f>IF(AY1457=1,COUNTIFS(R_Emp,D1457,R_SAbs,"&lt;"&amp;AX1457,R_EAbs,"&gt;"&amp;AW1457,R_OKey,1)-1,0)</f>
        <v>0</v>
      </c>
      <c r="BA1457" s="80">
        <f>IF(AY1457=1,COUNTIFS(R_Emp,"&lt;&gt;"&amp;D1457,R_SAbs,"&lt;"&amp;AX1457,R_EAbs,"&gt;"&amp;AW1457,R_OKey,1),0)</f>
        <v>0</v>
      </c>
      <c r="BB1457" s="80">
        <f>IF(AND(AB1457=1,D1457="proMX"),IF(AND(MOD(Z1457,CFG_BLK)=0,MOD(AA1457,CFG_BLK)=0,MOD(AG1457,CFG_BLK)=0,AG1457&gt;0),1,0),1)</f>
        <v>1</v>
      </c>
      <c r="BC1457" s="80" t="str">
        <f>IF(Y1457=0,"",IF(NOT(ISNUMBER(B1457)),"Falta fecha o fecha inválida",IF(D1457="","Falta empresa",IF(AND(D1457&lt;&gt;"Malcolm",D1457&lt;&gt;"proMX"),"Empresa inválida",IF(OR(INT(B1457)&lt;CFG_PSTART,INT(B1457)&gt;CFG_PEND),"Fecha fuera del período",IF(OR(NOT(ISNUMBER(Z1457)),NOT(ISNUMBER(AA1457))),"Falta hora inicio/fin o formato inválido",IF(AB1457=0,"Hora inicio = hora fin",IF(AE1457&lt;0,"Descanso inválido",IF(AE1457&gt;=AD1457,"Descanso ≥ duración",IF(AV1457=1,"Registro duplicado",IF(AZ1457&gt;0,"Se superpone con otro registro "&amp;D1457,IF(BB1457=0,"inicio, fin y duración neta deben ser múltiplos de "&amp;CFG_BLK&amp;" min",""))))))))))))</f>
        <v/>
      </c>
      <c r="BD1457" s="80">
        <f>IF(AND(Y1457=1,BC1457=""),1,0)</f>
        <v>0</v>
      </c>
      <c r="BE1457" s="80">
        <f>IF(AND(BD1457=1,AU1457=1),1,0)</f>
        <v>0</v>
      </c>
      <c r="BF1457" s="80" t="str">
        <f>IF(AND(D1457="proMX",BD1457=1),IF(R1457="","Draft",R1457),"")</f>
        <v/>
      </c>
      <c r="BG1457" s="80">
        <f>IF(BD1457=1,ROUND(AG1457/60,6),0)</f>
        <v>0</v>
      </c>
      <c r="BH1457" s="80">
        <f>IF(BE1457=1,ROUND(AG1457/60,6),0)</f>
        <v>0</v>
      </c>
      <c r="BI1457" s="80">
        <f>IF(BE1457=1,ROUND(AP1457/60,6),0)</f>
        <v>0</v>
      </c>
      <c r="BJ1457" s="80">
        <f>IF(BE1457=1,ROUND(AQ1457/60,6),0)</f>
        <v>0</v>
      </c>
      <c r="BK1457" s="80">
        <f>IF(BE1457=1,ROUND((AR1457+AS1457)/60,6),0)</f>
        <v>0</v>
      </c>
      <c r="BL1457" s="80">
        <f>ROUND(BH1457-BK1457,6)</f>
        <v>0</v>
      </c>
      <c r="BM1457" s="80">
        <f>IF(BE1457=1,ROUND(AR1457/60,6),0)</f>
        <v>0</v>
      </c>
      <c r="BN1457" s="80">
        <f>ROUND(BI1457-BM1457,6)</f>
        <v>0</v>
      </c>
      <c r="BO1457" s="80">
        <f>IF(BE1457=1,ROUND(AS1457/60,6),0)</f>
        <v>0</v>
      </c>
      <c r="BP1457" s="80">
        <f>ROUND(BJ1457-BO1457,6)</f>
        <v>0</v>
      </c>
      <c r="BQ1457" s="80">
        <f>IF(BE1457=1,AW1457,0)</f>
        <v>0</v>
      </c>
      <c r="BR1457" s="80">
        <f>IF(BE1457=1,AX1457,0)</f>
        <v>0</v>
      </c>
      <c r="BS1457" s="80">
        <f>IF(AND(BE1457=1,D1457="Malcolm",BA1457&gt;0),MIN(BH1457,SUMPRODUCT((R_Emp="proMX")*(R_EN&gt;0)*((R_EN-(R_EN&gt;BR1457)*(R_EN-BR1457))&gt;(R_SN+(R_SN&lt;BQ1457)*(BQ1457-R_SN)))*((R_EN-(R_EN&gt;BR1457)*(R_EN-BR1457))-(R_SN+(R_SN&lt;BQ1457)*(BQ1457-R_SN))))/60),0)</f>
        <v>0</v>
      </c>
      <c r="BT1457" s="80">
        <f>IF(AND(BE1457=1,D1457="proMX"),ROUND(BI1457*CFG_RATE+BJ1457*CFG_OTRATE,6),0)</f>
        <v>0</v>
      </c>
      <c r="BU1457" s="80">
        <f>IF(AND(BD1457=1,D1457="proMX"),ROUND(AG1457/CFG_BLK,6),0)</f>
        <v>0</v>
      </c>
      <c r="BV1457" s="80" t="str">
        <f>IF(BF1457="Approved",IF(ISNUMBER(T1457),INT(T1457),INT(B1457)),"")</f>
        <v/>
      </c>
      <c r="BW1457" s="80">
        <f>IF(ISNUMBER(B1457),IF(DB_MON="Todos",1,IF(AND(INT(B1457)&gt;=DB_MS,INT(B1457)&lt;=DB_ME),1,0)),0)</f>
        <v>0</v>
      </c>
      <c r="BX1457" s="80">
        <f>IF(DB_PROJ="Todos",1,IF(E1457&amp;""=DB_PROJ&amp;"",1,0))</f>
        <v>1</v>
      </c>
      <c r="BY1457" s="80">
        <f>BW1457*BX1457</f>
        <v>0</v>
      </c>
      <c r="BZ1457" s="80" t="str">
        <f>IF(Y1457=1,F1457&amp;IF(AND(F1457&amp;""&lt;&gt;"",E1457&amp;""&lt;&gt;"")," · ","")&amp;E1457,"")</f>
        <v/>
      </c>
      <c r="CA1457" s="80" t="str">
        <f>IF(AND(BD1457=1,E1457&amp;""&lt;&gt;""),IF(COUNTIFS($E$5:E1456,E1457,$BD$5:BD1456,1)=0,MAX($CA$5:CA1456)+1,""),"")</f>
        <v/>
      </c>
      <c r="CB1457" s="80" t="str">
        <f>IF(AND(BE1457=1,D1457="Malcolm",E1457&amp;""&lt;&gt;""),IF(COUNTIFS($D$5:D1456,"Malcolm",$E$5:E1456,E1457,$BE$5:BE1456,1)=0,MAX($CB$5:CB1456)+1,""),"")</f>
        <v/>
      </c>
      <c r="CC1457" s="80" t="str">
        <f>IF(AND(BD1457=1,D1457="proMX",E1457&amp;""&lt;&gt;""),IF(COUNTIFS($D$5:D1456,"proMX",$E$5:E1456,E1457,$BD$5:BD1456,1)=0,MAX($CC$5:CC1456)+1,""),"")</f>
        <v/>
      </c>
      <c r="CD1457" s="80" t="str">
        <f>IF(AND(BE1457=1,D1457="Malcolm",F1457&amp;""&lt;&gt;""),IF(COUNTIFS($D$5:D1456,"Malcolm",$F$5:F1456,F1457,$BE$5:BE1456,1)=0,MAX($CD$5:CD1456)+1,""),"")</f>
        <v/>
      </c>
      <c r="CE1457" s="80" t="str">
        <f>IF(AND(BD1457=1,D1457="proMX",F1457&amp;""&lt;&gt;""),IF(COUNTIFS($D$5:D1456,"proMX",$F$5:F1456,F1457,$BD$5:BD1456,1)=0,MAX($CE$5:CE1456)+1,""),"")</f>
        <v/>
      </c>
      <c r="CF1457" s="80" t="str">
        <f>IF(AND(D1457="proMX",BD1457=1),IF(OR(BF1457="Draft",BF1457="Submitted",BF1457="Returned",BF1457="Recall Requested"),MAX($CF$5:CF1456)+1,""),"")</f>
        <v/>
      </c>
      <c r="CG1457" s="80">
        <f>IF(BD1457=0,0,IF(D1457="Malcolm",1,MATCH(BF1457,{"Draft","Submitted","Approved","Returned","Recall Requested","Cancelled"},0)+1))</f>
        <v>0</v>
      </c>
      <c r="CH1457" s="80">
        <f>IF(AND(BF1457="Submitted",ISNUMBER(V1457)),IF(V1457&gt;CFG_MAXD,1,0),0)</f>
        <v>0</v>
      </c>
    </row>
    <row r="1458">
      <c r="A1458" s="71" t="str">
        <f>IF(Y1458=1,ROW()-5,"")</f>
        <v/>
      </c>
      <c r="B1458" s="72" t="n"/>
      <c r="C1458" s="71" t="str">
        <f>IF(ISNUMBER(B1458),CHOOSE(WEEKDAY(B1458,2),"Lun","Mar","Mié","Jue","Vie","Sáb","Dom"),"")</f>
        <v/>
      </c>
      <c r="D1458" s="73" t="n"/>
      <c r="E1458" s="74" t="n"/>
      <c r="F1458" s="74" t="n"/>
      <c r="G1458" s="74" t="n"/>
      <c r="H1458" s="75" t="n"/>
      <c r="I1458" s="75" t="n"/>
      <c r="J1458" s="76" t="n"/>
      <c r="K1458" s="77" t="str">
        <f>IF(AB1458=1,ROUND(AG1458/60,4),"")</f>
        <v/>
      </c>
      <c r="L1458" s="77" t="str">
        <f>IF(BD1458=1,ROUND(AP1458/60,4),"")</f>
        <v/>
      </c>
      <c r="M1458" s="77" t="str">
        <f>IF(BD1458=1,ROUND(AQ1458/60,4),"")</f>
        <v/>
      </c>
      <c r="N1458" s="71" t="str">
        <f>IF(AND(D1458="proMX",AB1458=1),ROUND(AG1458/CFG_BLK,2),"")</f>
        <v/>
      </c>
      <c r="O1458" s="77" t="str">
        <f>IF(D1458="proMX",IF(BD1458=1,ROUND(AG1458/60,4),0),"")</f>
        <v/>
      </c>
      <c r="P1458" s="78" t="str">
        <f>IF(Y1458=0,"",IF(BD1458=1,"OK",IF(D1458="proMX","Revisar bloques: ","Revisar: ")&amp;BC1458))</f>
        <v/>
      </c>
      <c r="Q1458" s="78" t="str">
        <f>IF(NOT(ISNUMBER(B1458)),"",IF(COUNTIFS(FER_F,INT(B1458))&gt;0,"Feriado"&amp;IF(AH1458=1," (laborable)"," (no laborable)"),IF(AH1458=1,"Laborable",IF(WEEKDAY(B1458,2)&gt;5,"Fin de semana","No laborable"))))</f>
        <v/>
      </c>
      <c r="R1458" s="73" t="n"/>
      <c r="S1458" s="72" t="n"/>
      <c r="T1458" s="72" t="n"/>
      <c r="U1458" s="74" t="n"/>
      <c r="V1458" s="79" t="str">
        <f>IF(AND(D1458="proMX",OR(R1458="Submitted",R1458="Recall Requested"),ISNUMBER(S1458)),CFG_TODAY-INT(S1458),"")</f>
        <v/>
      </c>
      <c r="W1458" s="78" t="str">
        <f>IF(BD1458=0,"",IF(BA1458&gt;0,"⚠ Se superpone con un registro de la otra empresa",IF(D1458="Malcolm",IF(COUNTA(R1458,S1458,T1458)&gt;0,"Estado/fechas proMX se ignoran en Malcolm",""),IF(BF1458="Cancelled","Cancelado: excluido de totales",IF(R1458="","Sin estado: se trata como Draft",IF(BF1458="Submitted",IF(ISNUMBER(V1458),IF(V1458&gt;CFG_MAXD,"⚠ "&amp;V1458&amp;" días en Submitted (máx. "&amp;CFG_MAXD&amp;")",""),"Falta fecha de envío"),IF(BF1458="Returned","⚠ Devuelto: corregir y reenviar",IF(BF1458="Recall Requested","Retirada solicitada: pendiente",IF(AND(BF1458="Approved",NOT(ISNUMBER(T1458))),"Falta fecha de aprobación",IF(AND(ISNUMBER(S1458),ISNUMBER(T1458),T1458&lt;S1458),"Aprobación anterior al envío","")))))))))</f>
        <v/>
      </c>
      <c r="Y1458" s="80">
        <f>IF(COUNTA(B1458,D1458,E1458,F1458,G1458,H1458,I1458,J1458,R1458,S1458,T1458)&gt;0,1,0)</f>
        <v>0</v>
      </c>
      <c r="Z1458" s="80" t="str">
        <f>IF(AND(ISNUMBER(H1458),H1458&gt;=0,H1458&lt;1),ROUND(H1458*1440,0),"")</f>
        <v/>
      </c>
      <c r="AA1458" s="80" t="str">
        <f>IF(AND(ISNUMBER(I1458),I1458&gt;=0,I1458&lt;1),ROUND(I1458*1440,0),"")</f>
        <v/>
      </c>
      <c r="AB1458" s="80">
        <f>IF(AND(ISNUMBER(B1458),D1458&lt;&gt;"",ISNUMBER(Z1458),ISNUMBER(AA1458)),IF(Z1458=AA1458,0,1),0)</f>
        <v>0</v>
      </c>
      <c r="AC1458" s="80">
        <f>IF(AB1458=1,IF(AA1458&lt;Z1458,1,0),0)</f>
        <v>0</v>
      </c>
      <c r="AD1458" s="80">
        <f>IF(AB1458=1,IF(AC1458=1,1440-Z1458+AA1458,AA1458-Z1458),0)</f>
        <v>0</v>
      </c>
      <c r="AE1458" s="80">
        <f>IF(J1458="",0,IF(ISNUMBER(J1458),J1458,-1))</f>
        <v>0</v>
      </c>
      <c r="AF1458" s="80">
        <f>MIN(MAX(0,AE1458),AD1458)</f>
        <v>0</v>
      </c>
      <c r="AG1458" s="80">
        <f>MAX(0,AD1458-MAX(0,AE1458))</f>
        <v>0</v>
      </c>
      <c r="AH1458" s="80">
        <f>IF(ISNUMBER(B1458),IF(AND(INDEX(CFG_WDAYS,WEEKDAY(INT(B1458),2))="Sí",IF(D1458="proMX",COUNTIFS(FER_F,INT(B1458),FER_NLP,"Sí"),COUNTIFS(FER_F,INT(B1458),FER_NLM,"Sí"))=0),1,0),0)</f>
        <v>0</v>
      </c>
      <c r="AI1458" s="80">
        <f>IF(AC1458=1,IF(AND(INDEX(CFG_WDAYS,WEEKDAY(INT(B1458)+1,2))="Sí",IF(D1458="proMX",COUNTIFS(FER_F,INT(B1458)+1,FER_NLP,"Sí"),COUNTIFS(FER_F,INT(B1458)+1,FER_NLM,"Sí"))=0),1,0),0)</f>
        <v>0</v>
      </c>
      <c r="AJ1458" s="80">
        <f>IF(AC1458=1,1440-Z1458,AD1458)</f>
        <v>0</v>
      </c>
      <c r="AK1458" s="80">
        <f>IF(AND(AB1458=1,AH1458=1),MAX(0,MIN(IF(AC1458=1,1440,AA1458),CFG_WEM)-MAX(Z1458,CFG_WSM)),0)</f>
        <v>0</v>
      </c>
      <c r="AL1458" s="80">
        <f>IF(AND(AC1458=1,AI1458=1),MAX(0,MIN(AA1458,CFG_WEM)-CFG_WSM),0)</f>
        <v>0</v>
      </c>
      <c r="AM1458" s="80">
        <f>AK1458+AL1458</f>
        <v>0</v>
      </c>
      <c r="AN1458" s="80">
        <f>IF(CFG_BRK="Proporcional",IF(AD1458=0,0,AF1458*AM1458/AD1458),IF(CFG_BRK="Extras primero",MIN(AM1458,MAX(0,AF1458-(AD1458-AM1458))),MIN(AF1458,AM1458)))</f>
        <v>0</v>
      </c>
      <c r="AO1458" s="80">
        <f>AF1458-AN1458</f>
        <v>0</v>
      </c>
      <c r="AP1458" s="80">
        <f>AM1458-AN1458</f>
        <v>0</v>
      </c>
      <c r="AQ1458" s="80">
        <f>AD1458-AM1458-AO1458</f>
        <v>0</v>
      </c>
      <c r="AR1458" s="80">
        <f>IF(AM1458=0,0,AK1458-AN1458*AK1458/AM1458)</f>
        <v>0</v>
      </c>
      <c r="AS1458" s="80">
        <f>IF(AD1458-AM1458=0,0,(AJ1458-AK1458)-AO1458*(AJ1458-AK1458)/(AD1458-AM1458))</f>
        <v>0</v>
      </c>
      <c r="AT1458" s="80" t="str">
        <f>IF(AC1458=1,INT(B1458)+1,"")</f>
        <v/>
      </c>
      <c r="AU1458" s="80">
        <f>IF(AND(D1458="proMX",R1458="Cancelled"),0,1)</f>
        <v>1</v>
      </c>
      <c r="AV1458" s="80">
        <f>IF(AND(AB1458=1,AU1458=1),IF(COUNTIFS($D$5:D1457,D1458,$B$5:B1457,B1458,$Z$5:Z1457,Z1458,$AA$5:AA1457,AA1458,$F$5:F1457,F1458&amp;"",$AU$5:AU1457,1)&gt;0,1,0),0)</f>
        <v>0</v>
      </c>
      <c r="AW1458" s="80" t="str">
        <f>IF(AB1458=1,INT(B1458)*1440+Z1458,"")</f>
        <v/>
      </c>
      <c r="AX1458" s="80" t="str">
        <f>IF(AB1458=1,AW1458+AD1458,"")</f>
        <v/>
      </c>
      <c r="AY1458" s="80">
        <f>IF(AND(AB1458=1,AV1458=0,AU1458=1),1,0)</f>
        <v>0</v>
      </c>
      <c r="AZ1458" s="80">
        <f>IF(AY1458=1,COUNTIFS(R_Emp,D1458,R_SAbs,"&lt;"&amp;AX1458,R_EAbs,"&gt;"&amp;AW1458,R_OKey,1)-1,0)</f>
        <v>0</v>
      </c>
      <c r="BA1458" s="80">
        <f>IF(AY1458=1,COUNTIFS(R_Emp,"&lt;&gt;"&amp;D1458,R_SAbs,"&lt;"&amp;AX1458,R_EAbs,"&gt;"&amp;AW1458,R_OKey,1),0)</f>
        <v>0</v>
      </c>
      <c r="BB1458" s="80">
        <f>IF(AND(AB1458=1,D1458="proMX"),IF(AND(MOD(Z1458,CFG_BLK)=0,MOD(AA1458,CFG_BLK)=0,MOD(AG1458,CFG_BLK)=0,AG1458&gt;0),1,0),1)</f>
        <v>1</v>
      </c>
      <c r="BC1458" s="80" t="str">
        <f>IF(Y1458=0,"",IF(NOT(ISNUMBER(B1458)),"Falta fecha o fecha inválida",IF(D1458="","Falta empresa",IF(AND(D1458&lt;&gt;"Malcolm",D1458&lt;&gt;"proMX"),"Empresa inválida",IF(OR(INT(B1458)&lt;CFG_PSTART,INT(B1458)&gt;CFG_PEND),"Fecha fuera del período",IF(OR(NOT(ISNUMBER(Z1458)),NOT(ISNUMBER(AA1458))),"Falta hora inicio/fin o formato inválido",IF(AB1458=0,"Hora inicio = hora fin",IF(AE1458&lt;0,"Descanso inválido",IF(AE1458&gt;=AD1458,"Descanso ≥ duración",IF(AV1458=1,"Registro duplicado",IF(AZ1458&gt;0,"Se superpone con otro registro "&amp;D1458,IF(BB1458=0,"inicio, fin y duración neta deben ser múltiplos de "&amp;CFG_BLK&amp;" min",""))))))))))))</f>
        <v/>
      </c>
      <c r="BD1458" s="80">
        <f>IF(AND(Y1458=1,BC1458=""),1,0)</f>
        <v>0</v>
      </c>
      <c r="BE1458" s="80">
        <f>IF(AND(BD1458=1,AU1458=1),1,0)</f>
        <v>0</v>
      </c>
      <c r="BF1458" s="80" t="str">
        <f>IF(AND(D1458="proMX",BD1458=1),IF(R1458="","Draft",R1458),"")</f>
        <v/>
      </c>
      <c r="BG1458" s="80">
        <f>IF(BD1458=1,ROUND(AG1458/60,6),0)</f>
        <v>0</v>
      </c>
      <c r="BH1458" s="80">
        <f>IF(BE1458=1,ROUND(AG1458/60,6),0)</f>
        <v>0</v>
      </c>
      <c r="BI1458" s="80">
        <f>IF(BE1458=1,ROUND(AP1458/60,6),0)</f>
        <v>0</v>
      </c>
      <c r="BJ1458" s="80">
        <f>IF(BE1458=1,ROUND(AQ1458/60,6),0)</f>
        <v>0</v>
      </c>
      <c r="BK1458" s="80">
        <f>IF(BE1458=1,ROUND((AR1458+AS1458)/60,6),0)</f>
        <v>0</v>
      </c>
      <c r="BL1458" s="80">
        <f>ROUND(BH1458-BK1458,6)</f>
        <v>0</v>
      </c>
      <c r="BM1458" s="80">
        <f>IF(BE1458=1,ROUND(AR1458/60,6),0)</f>
        <v>0</v>
      </c>
      <c r="BN1458" s="80">
        <f>ROUND(BI1458-BM1458,6)</f>
        <v>0</v>
      </c>
      <c r="BO1458" s="80">
        <f>IF(BE1458=1,ROUND(AS1458/60,6),0)</f>
        <v>0</v>
      </c>
      <c r="BP1458" s="80">
        <f>ROUND(BJ1458-BO1458,6)</f>
        <v>0</v>
      </c>
      <c r="BQ1458" s="80">
        <f>IF(BE1458=1,AW1458,0)</f>
        <v>0</v>
      </c>
      <c r="BR1458" s="80">
        <f>IF(BE1458=1,AX1458,0)</f>
        <v>0</v>
      </c>
      <c r="BS1458" s="80">
        <f>IF(AND(BE1458=1,D1458="Malcolm",BA1458&gt;0),MIN(BH1458,SUMPRODUCT((R_Emp="proMX")*(R_EN&gt;0)*((R_EN-(R_EN&gt;BR1458)*(R_EN-BR1458))&gt;(R_SN+(R_SN&lt;BQ1458)*(BQ1458-R_SN)))*((R_EN-(R_EN&gt;BR1458)*(R_EN-BR1458))-(R_SN+(R_SN&lt;BQ1458)*(BQ1458-R_SN))))/60),0)</f>
        <v>0</v>
      </c>
      <c r="BT1458" s="80">
        <f>IF(AND(BE1458=1,D1458="proMX"),ROUND(BI1458*CFG_RATE+BJ1458*CFG_OTRATE,6),0)</f>
        <v>0</v>
      </c>
      <c r="BU1458" s="80">
        <f>IF(AND(BD1458=1,D1458="proMX"),ROUND(AG1458/CFG_BLK,6),0)</f>
        <v>0</v>
      </c>
      <c r="BV1458" s="80" t="str">
        <f>IF(BF1458="Approved",IF(ISNUMBER(T1458),INT(T1458),INT(B1458)),"")</f>
        <v/>
      </c>
      <c r="BW1458" s="80">
        <f>IF(ISNUMBER(B1458),IF(DB_MON="Todos",1,IF(AND(INT(B1458)&gt;=DB_MS,INT(B1458)&lt;=DB_ME),1,0)),0)</f>
        <v>0</v>
      </c>
      <c r="BX1458" s="80">
        <f>IF(DB_PROJ="Todos",1,IF(E1458&amp;""=DB_PROJ&amp;"",1,0))</f>
        <v>1</v>
      </c>
      <c r="BY1458" s="80">
        <f>BW1458*BX1458</f>
        <v>0</v>
      </c>
      <c r="BZ1458" s="80" t="str">
        <f>IF(Y1458=1,F1458&amp;IF(AND(F1458&amp;""&lt;&gt;"",E1458&amp;""&lt;&gt;"")," · ","")&amp;E1458,"")</f>
        <v/>
      </c>
      <c r="CA1458" s="80" t="str">
        <f>IF(AND(BD1458=1,E1458&amp;""&lt;&gt;""),IF(COUNTIFS($E$5:E1457,E1458,$BD$5:BD1457,1)=0,MAX($CA$5:CA1457)+1,""),"")</f>
        <v/>
      </c>
      <c r="CB1458" s="80" t="str">
        <f>IF(AND(BE1458=1,D1458="Malcolm",E1458&amp;""&lt;&gt;""),IF(COUNTIFS($D$5:D1457,"Malcolm",$E$5:E1457,E1458,$BE$5:BE1457,1)=0,MAX($CB$5:CB1457)+1,""),"")</f>
        <v/>
      </c>
      <c r="CC1458" s="80" t="str">
        <f>IF(AND(BD1458=1,D1458="proMX",E1458&amp;""&lt;&gt;""),IF(COUNTIFS($D$5:D1457,"proMX",$E$5:E1457,E1458,$BD$5:BD1457,1)=0,MAX($CC$5:CC1457)+1,""),"")</f>
        <v/>
      </c>
      <c r="CD1458" s="80" t="str">
        <f>IF(AND(BE1458=1,D1458="Malcolm",F1458&amp;""&lt;&gt;""),IF(COUNTIFS($D$5:D1457,"Malcolm",$F$5:F1457,F1458,$BE$5:BE1457,1)=0,MAX($CD$5:CD1457)+1,""),"")</f>
        <v/>
      </c>
      <c r="CE1458" s="80" t="str">
        <f>IF(AND(BD1458=1,D1458="proMX",F1458&amp;""&lt;&gt;""),IF(COUNTIFS($D$5:D1457,"proMX",$F$5:F1457,F1458,$BD$5:BD1457,1)=0,MAX($CE$5:CE1457)+1,""),"")</f>
        <v/>
      </c>
      <c r="CF1458" s="80" t="str">
        <f>IF(AND(D1458="proMX",BD1458=1),IF(OR(BF1458="Draft",BF1458="Submitted",BF1458="Returned",BF1458="Recall Requested"),MAX($CF$5:CF1457)+1,""),"")</f>
        <v/>
      </c>
      <c r="CG1458" s="80">
        <f>IF(BD1458=0,0,IF(D1458="Malcolm",1,MATCH(BF1458,{"Draft","Submitted","Approved","Returned","Recall Requested","Cancelled"},0)+1))</f>
        <v>0</v>
      </c>
      <c r="CH1458" s="80">
        <f>IF(AND(BF1458="Submitted",ISNUMBER(V1458)),IF(V1458&gt;CFG_MAXD,1,0),0)</f>
        <v>0</v>
      </c>
    </row>
    <row r="1459">
      <c r="A1459" s="71" t="str">
        <f>IF(Y1459=1,ROW()-5,"")</f>
        <v/>
      </c>
      <c r="B1459" s="72" t="n"/>
      <c r="C1459" s="71" t="str">
        <f>IF(ISNUMBER(B1459),CHOOSE(WEEKDAY(B1459,2),"Lun","Mar","Mié","Jue","Vie","Sáb","Dom"),"")</f>
        <v/>
      </c>
      <c r="D1459" s="73" t="n"/>
      <c r="E1459" s="74" t="n"/>
      <c r="F1459" s="74" t="n"/>
      <c r="G1459" s="74" t="n"/>
      <c r="H1459" s="75" t="n"/>
      <c r="I1459" s="75" t="n"/>
      <c r="J1459" s="76" t="n"/>
      <c r="K1459" s="77" t="str">
        <f>IF(AB1459=1,ROUND(AG1459/60,4),"")</f>
        <v/>
      </c>
      <c r="L1459" s="77" t="str">
        <f>IF(BD1459=1,ROUND(AP1459/60,4),"")</f>
        <v/>
      </c>
      <c r="M1459" s="77" t="str">
        <f>IF(BD1459=1,ROUND(AQ1459/60,4),"")</f>
        <v/>
      </c>
      <c r="N1459" s="71" t="str">
        <f>IF(AND(D1459="proMX",AB1459=1),ROUND(AG1459/CFG_BLK,2),"")</f>
        <v/>
      </c>
      <c r="O1459" s="77" t="str">
        <f>IF(D1459="proMX",IF(BD1459=1,ROUND(AG1459/60,4),0),"")</f>
        <v/>
      </c>
      <c r="P1459" s="78" t="str">
        <f>IF(Y1459=0,"",IF(BD1459=1,"OK",IF(D1459="proMX","Revisar bloques: ","Revisar: ")&amp;BC1459))</f>
        <v/>
      </c>
      <c r="Q1459" s="78" t="str">
        <f>IF(NOT(ISNUMBER(B1459)),"",IF(COUNTIFS(FER_F,INT(B1459))&gt;0,"Feriado"&amp;IF(AH1459=1," (laborable)"," (no laborable)"),IF(AH1459=1,"Laborable",IF(WEEKDAY(B1459,2)&gt;5,"Fin de semana","No laborable"))))</f>
        <v/>
      </c>
      <c r="R1459" s="73" t="n"/>
      <c r="S1459" s="72" t="n"/>
      <c r="T1459" s="72" t="n"/>
      <c r="U1459" s="74" t="n"/>
      <c r="V1459" s="79" t="str">
        <f>IF(AND(D1459="proMX",OR(R1459="Submitted",R1459="Recall Requested"),ISNUMBER(S1459)),CFG_TODAY-INT(S1459),"")</f>
        <v/>
      </c>
      <c r="W1459" s="78" t="str">
        <f>IF(BD1459=0,"",IF(BA1459&gt;0,"⚠ Se superpone con un registro de la otra empresa",IF(D1459="Malcolm",IF(COUNTA(R1459,S1459,T1459)&gt;0,"Estado/fechas proMX se ignoran en Malcolm",""),IF(BF1459="Cancelled","Cancelado: excluido de totales",IF(R1459="","Sin estado: se trata como Draft",IF(BF1459="Submitted",IF(ISNUMBER(V1459),IF(V1459&gt;CFG_MAXD,"⚠ "&amp;V1459&amp;" días en Submitted (máx. "&amp;CFG_MAXD&amp;")",""),"Falta fecha de envío"),IF(BF1459="Returned","⚠ Devuelto: corregir y reenviar",IF(BF1459="Recall Requested","Retirada solicitada: pendiente",IF(AND(BF1459="Approved",NOT(ISNUMBER(T1459))),"Falta fecha de aprobación",IF(AND(ISNUMBER(S1459),ISNUMBER(T1459),T1459&lt;S1459),"Aprobación anterior al envío","")))))))))</f>
        <v/>
      </c>
      <c r="Y1459" s="80">
        <f>IF(COUNTA(B1459,D1459,E1459,F1459,G1459,H1459,I1459,J1459,R1459,S1459,T1459)&gt;0,1,0)</f>
        <v>0</v>
      </c>
      <c r="Z1459" s="80" t="str">
        <f>IF(AND(ISNUMBER(H1459),H1459&gt;=0,H1459&lt;1),ROUND(H1459*1440,0),"")</f>
        <v/>
      </c>
      <c r="AA1459" s="80" t="str">
        <f>IF(AND(ISNUMBER(I1459),I1459&gt;=0,I1459&lt;1),ROUND(I1459*1440,0),"")</f>
        <v/>
      </c>
      <c r="AB1459" s="80">
        <f>IF(AND(ISNUMBER(B1459),D1459&lt;&gt;"",ISNUMBER(Z1459),ISNUMBER(AA1459)),IF(Z1459=AA1459,0,1),0)</f>
        <v>0</v>
      </c>
      <c r="AC1459" s="80">
        <f>IF(AB1459=1,IF(AA1459&lt;Z1459,1,0),0)</f>
        <v>0</v>
      </c>
      <c r="AD1459" s="80">
        <f>IF(AB1459=1,IF(AC1459=1,1440-Z1459+AA1459,AA1459-Z1459),0)</f>
        <v>0</v>
      </c>
      <c r="AE1459" s="80">
        <f>IF(J1459="",0,IF(ISNUMBER(J1459),J1459,-1))</f>
        <v>0</v>
      </c>
      <c r="AF1459" s="80">
        <f>MIN(MAX(0,AE1459),AD1459)</f>
        <v>0</v>
      </c>
      <c r="AG1459" s="80">
        <f>MAX(0,AD1459-MAX(0,AE1459))</f>
        <v>0</v>
      </c>
      <c r="AH1459" s="80">
        <f>IF(ISNUMBER(B1459),IF(AND(INDEX(CFG_WDAYS,WEEKDAY(INT(B1459),2))="Sí",IF(D1459="proMX",COUNTIFS(FER_F,INT(B1459),FER_NLP,"Sí"),COUNTIFS(FER_F,INT(B1459),FER_NLM,"Sí"))=0),1,0),0)</f>
        <v>0</v>
      </c>
      <c r="AI1459" s="80">
        <f>IF(AC1459=1,IF(AND(INDEX(CFG_WDAYS,WEEKDAY(INT(B1459)+1,2))="Sí",IF(D1459="proMX",COUNTIFS(FER_F,INT(B1459)+1,FER_NLP,"Sí"),COUNTIFS(FER_F,INT(B1459)+1,FER_NLM,"Sí"))=0),1,0),0)</f>
        <v>0</v>
      </c>
      <c r="AJ1459" s="80">
        <f>IF(AC1459=1,1440-Z1459,AD1459)</f>
        <v>0</v>
      </c>
      <c r="AK1459" s="80">
        <f>IF(AND(AB1459=1,AH1459=1),MAX(0,MIN(IF(AC1459=1,1440,AA1459),CFG_WEM)-MAX(Z1459,CFG_WSM)),0)</f>
        <v>0</v>
      </c>
      <c r="AL1459" s="80">
        <f>IF(AND(AC1459=1,AI1459=1),MAX(0,MIN(AA1459,CFG_WEM)-CFG_WSM),0)</f>
        <v>0</v>
      </c>
      <c r="AM1459" s="80">
        <f>AK1459+AL1459</f>
        <v>0</v>
      </c>
      <c r="AN1459" s="80">
        <f>IF(CFG_BRK="Proporcional",IF(AD1459=0,0,AF1459*AM1459/AD1459),IF(CFG_BRK="Extras primero",MIN(AM1459,MAX(0,AF1459-(AD1459-AM1459))),MIN(AF1459,AM1459)))</f>
        <v>0</v>
      </c>
      <c r="AO1459" s="80">
        <f>AF1459-AN1459</f>
        <v>0</v>
      </c>
      <c r="AP1459" s="80">
        <f>AM1459-AN1459</f>
        <v>0</v>
      </c>
      <c r="AQ1459" s="80">
        <f>AD1459-AM1459-AO1459</f>
        <v>0</v>
      </c>
      <c r="AR1459" s="80">
        <f>IF(AM1459=0,0,AK1459-AN1459*AK1459/AM1459)</f>
        <v>0</v>
      </c>
      <c r="AS1459" s="80">
        <f>IF(AD1459-AM1459=0,0,(AJ1459-AK1459)-AO1459*(AJ1459-AK1459)/(AD1459-AM1459))</f>
        <v>0</v>
      </c>
      <c r="AT1459" s="80" t="str">
        <f>IF(AC1459=1,INT(B1459)+1,"")</f>
        <v/>
      </c>
      <c r="AU1459" s="80">
        <f>IF(AND(D1459="proMX",R1459="Cancelled"),0,1)</f>
        <v>1</v>
      </c>
      <c r="AV1459" s="80">
        <f>IF(AND(AB1459=1,AU1459=1),IF(COUNTIFS($D$5:D1458,D1459,$B$5:B1458,B1459,$Z$5:Z1458,Z1459,$AA$5:AA1458,AA1459,$F$5:F1458,F1459&amp;"",$AU$5:AU1458,1)&gt;0,1,0),0)</f>
        <v>0</v>
      </c>
      <c r="AW1459" s="80" t="str">
        <f>IF(AB1459=1,INT(B1459)*1440+Z1459,"")</f>
        <v/>
      </c>
      <c r="AX1459" s="80" t="str">
        <f>IF(AB1459=1,AW1459+AD1459,"")</f>
        <v/>
      </c>
      <c r="AY1459" s="80">
        <f>IF(AND(AB1459=1,AV1459=0,AU1459=1),1,0)</f>
        <v>0</v>
      </c>
      <c r="AZ1459" s="80">
        <f>IF(AY1459=1,COUNTIFS(R_Emp,D1459,R_SAbs,"&lt;"&amp;AX1459,R_EAbs,"&gt;"&amp;AW1459,R_OKey,1)-1,0)</f>
        <v>0</v>
      </c>
      <c r="BA1459" s="80">
        <f>IF(AY1459=1,COUNTIFS(R_Emp,"&lt;&gt;"&amp;D1459,R_SAbs,"&lt;"&amp;AX1459,R_EAbs,"&gt;"&amp;AW1459,R_OKey,1),0)</f>
        <v>0</v>
      </c>
      <c r="BB1459" s="80">
        <f>IF(AND(AB1459=1,D1459="proMX"),IF(AND(MOD(Z1459,CFG_BLK)=0,MOD(AA1459,CFG_BLK)=0,MOD(AG1459,CFG_BLK)=0,AG1459&gt;0),1,0),1)</f>
        <v>1</v>
      </c>
      <c r="BC1459" s="80" t="str">
        <f>IF(Y1459=0,"",IF(NOT(ISNUMBER(B1459)),"Falta fecha o fecha inválida",IF(D1459="","Falta empresa",IF(AND(D1459&lt;&gt;"Malcolm",D1459&lt;&gt;"proMX"),"Empresa inválida",IF(OR(INT(B1459)&lt;CFG_PSTART,INT(B1459)&gt;CFG_PEND),"Fecha fuera del período",IF(OR(NOT(ISNUMBER(Z1459)),NOT(ISNUMBER(AA1459))),"Falta hora inicio/fin o formato inválido",IF(AB1459=0,"Hora inicio = hora fin",IF(AE1459&lt;0,"Descanso inválido",IF(AE1459&gt;=AD1459,"Descanso ≥ duración",IF(AV1459=1,"Registro duplicado",IF(AZ1459&gt;0,"Se superpone con otro registro "&amp;D1459,IF(BB1459=0,"inicio, fin y duración neta deben ser múltiplos de "&amp;CFG_BLK&amp;" min",""))))))))))))</f>
        <v/>
      </c>
      <c r="BD1459" s="80">
        <f>IF(AND(Y1459=1,BC1459=""),1,0)</f>
        <v>0</v>
      </c>
      <c r="BE1459" s="80">
        <f>IF(AND(BD1459=1,AU1459=1),1,0)</f>
        <v>0</v>
      </c>
      <c r="BF1459" s="80" t="str">
        <f>IF(AND(D1459="proMX",BD1459=1),IF(R1459="","Draft",R1459),"")</f>
        <v/>
      </c>
      <c r="BG1459" s="80">
        <f>IF(BD1459=1,ROUND(AG1459/60,6),0)</f>
        <v>0</v>
      </c>
      <c r="BH1459" s="80">
        <f>IF(BE1459=1,ROUND(AG1459/60,6),0)</f>
        <v>0</v>
      </c>
      <c r="BI1459" s="80">
        <f>IF(BE1459=1,ROUND(AP1459/60,6),0)</f>
        <v>0</v>
      </c>
      <c r="BJ1459" s="80">
        <f>IF(BE1459=1,ROUND(AQ1459/60,6),0)</f>
        <v>0</v>
      </c>
      <c r="BK1459" s="80">
        <f>IF(BE1459=1,ROUND((AR1459+AS1459)/60,6),0)</f>
        <v>0</v>
      </c>
      <c r="BL1459" s="80">
        <f>ROUND(BH1459-BK1459,6)</f>
        <v>0</v>
      </c>
      <c r="BM1459" s="80">
        <f>IF(BE1459=1,ROUND(AR1459/60,6),0)</f>
        <v>0</v>
      </c>
      <c r="BN1459" s="80">
        <f>ROUND(BI1459-BM1459,6)</f>
        <v>0</v>
      </c>
      <c r="BO1459" s="80">
        <f>IF(BE1459=1,ROUND(AS1459/60,6),0)</f>
        <v>0</v>
      </c>
      <c r="BP1459" s="80">
        <f>ROUND(BJ1459-BO1459,6)</f>
        <v>0</v>
      </c>
      <c r="BQ1459" s="80">
        <f>IF(BE1459=1,AW1459,0)</f>
        <v>0</v>
      </c>
      <c r="BR1459" s="80">
        <f>IF(BE1459=1,AX1459,0)</f>
        <v>0</v>
      </c>
      <c r="BS1459" s="80">
        <f>IF(AND(BE1459=1,D1459="Malcolm",BA1459&gt;0),MIN(BH1459,SUMPRODUCT((R_Emp="proMX")*(R_EN&gt;0)*((R_EN-(R_EN&gt;BR1459)*(R_EN-BR1459))&gt;(R_SN+(R_SN&lt;BQ1459)*(BQ1459-R_SN)))*((R_EN-(R_EN&gt;BR1459)*(R_EN-BR1459))-(R_SN+(R_SN&lt;BQ1459)*(BQ1459-R_SN))))/60),0)</f>
        <v>0</v>
      </c>
      <c r="BT1459" s="80">
        <f>IF(AND(BE1459=1,D1459="proMX"),ROUND(BI1459*CFG_RATE+BJ1459*CFG_OTRATE,6),0)</f>
        <v>0</v>
      </c>
      <c r="BU1459" s="80">
        <f>IF(AND(BD1459=1,D1459="proMX"),ROUND(AG1459/CFG_BLK,6),0)</f>
        <v>0</v>
      </c>
      <c r="BV1459" s="80" t="str">
        <f>IF(BF1459="Approved",IF(ISNUMBER(T1459),INT(T1459),INT(B1459)),"")</f>
        <v/>
      </c>
      <c r="BW1459" s="80">
        <f>IF(ISNUMBER(B1459),IF(DB_MON="Todos",1,IF(AND(INT(B1459)&gt;=DB_MS,INT(B1459)&lt;=DB_ME),1,0)),0)</f>
        <v>0</v>
      </c>
      <c r="BX1459" s="80">
        <f>IF(DB_PROJ="Todos",1,IF(E1459&amp;""=DB_PROJ&amp;"",1,0))</f>
        <v>1</v>
      </c>
      <c r="BY1459" s="80">
        <f>BW1459*BX1459</f>
        <v>0</v>
      </c>
      <c r="BZ1459" s="80" t="str">
        <f>IF(Y1459=1,F1459&amp;IF(AND(F1459&amp;""&lt;&gt;"",E1459&amp;""&lt;&gt;"")," · ","")&amp;E1459,"")</f>
        <v/>
      </c>
      <c r="CA1459" s="80" t="str">
        <f>IF(AND(BD1459=1,E1459&amp;""&lt;&gt;""),IF(COUNTIFS($E$5:E1458,E1459,$BD$5:BD1458,1)=0,MAX($CA$5:CA1458)+1,""),"")</f>
        <v/>
      </c>
      <c r="CB1459" s="80" t="str">
        <f>IF(AND(BE1459=1,D1459="Malcolm",E1459&amp;""&lt;&gt;""),IF(COUNTIFS($D$5:D1458,"Malcolm",$E$5:E1458,E1459,$BE$5:BE1458,1)=0,MAX($CB$5:CB1458)+1,""),"")</f>
        <v/>
      </c>
      <c r="CC1459" s="80" t="str">
        <f>IF(AND(BD1459=1,D1459="proMX",E1459&amp;""&lt;&gt;""),IF(COUNTIFS($D$5:D1458,"proMX",$E$5:E1458,E1459,$BD$5:BD1458,1)=0,MAX($CC$5:CC1458)+1,""),"")</f>
        <v/>
      </c>
      <c r="CD1459" s="80" t="str">
        <f>IF(AND(BE1459=1,D1459="Malcolm",F1459&amp;""&lt;&gt;""),IF(COUNTIFS($D$5:D1458,"Malcolm",$F$5:F1458,F1459,$BE$5:BE1458,1)=0,MAX($CD$5:CD1458)+1,""),"")</f>
        <v/>
      </c>
      <c r="CE1459" s="80" t="str">
        <f>IF(AND(BD1459=1,D1459="proMX",F1459&amp;""&lt;&gt;""),IF(COUNTIFS($D$5:D1458,"proMX",$F$5:F1458,F1459,$BD$5:BD1458,1)=0,MAX($CE$5:CE1458)+1,""),"")</f>
        <v/>
      </c>
      <c r="CF1459" s="80" t="str">
        <f>IF(AND(D1459="proMX",BD1459=1),IF(OR(BF1459="Draft",BF1459="Submitted",BF1459="Returned",BF1459="Recall Requested"),MAX($CF$5:CF1458)+1,""),"")</f>
        <v/>
      </c>
      <c r="CG1459" s="80">
        <f>IF(BD1459=0,0,IF(D1459="Malcolm",1,MATCH(BF1459,{"Draft","Submitted","Approved","Returned","Recall Requested","Cancelled"},0)+1))</f>
        <v>0</v>
      </c>
      <c r="CH1459" s="80">
        <f>IF(AND(BF1459="Submitted",ISNUMBER(V1459)),IF(V1459&gt;CFG_MAXD,1,0),0)</f>
        <v>0</v>
      </c>
    </row>
    <row r="1460">
      <c r="A1460" s="71" t="str">
        <f>IF(Y1460=1,ROW()-5,"")</f>
        <v/>
      </c>
      <c r="B1460" s="72" t="n"/>
      <c r="C1460" s="71" t="str">
        <f>IF(ISNUMBER(B1460),CHOOSE(WEEKDAY(B1460,2),"Lun","Mar","Mié","Jue","Vie","Sáb","Dom"),"")</f>
        <v/>
      </c>
      <c r="D1460" s="73" t="n"/>
      <c r="E1460" s="74" t="n"/>
      <c r="F1460" s="74" t="n"/>
      <c r="G1460" s="74" t="n"/>
      <c r="H1460" s="75" t="n"/>
      <c r="I1460" s="75" t="n"/>
      <c r="J1460" s="76" t="n"/>
      <c r="K1460" s="77" t="str">
        <f>IF(AB1460=1,ROUND(AG1460/60,4),"")</f>
        <v/>
      </c>
      <c r="L1460" s="77" t="str">
        <f>IF(BD1460=1,ROUND(AP1460/60,4),"")</f>
        <v/>
      </c>
      <c r="M1460" s="77" t="str">
        <f>IF(BD1460=1,ROUND(AQ1460/60,4),"")</f>
        <v/>
      </c>
      <c r="N1460" s="71" t="str">
        <f>IF(AND(D1460="proMX",AB1460=1),ROUND(AG1460/CFG_BLK,2),"")</f>
        <v/>
      </c>
      <c r="O1460" s="77" t="str">
        <f>IF(D1460="proMX",IF(BD1460=1,ROUND(AG1460/60,4),0),"")</f>
        <v/>
      </c>
      <c r="P1460" s="78" t="str">
        <f>IF(Y1460=0,"",IF(BD1460=1,"OK",IF(D1460="proMX","Revisar bloques: ","Revisar: ")&amp;BC1460))</f>
        <v/>
      </c>
      <c r="Q1460" s="78" t="str">
        <f>IF(NOT(ISNUMBER(B1460)),"",IF(COUNTIFS(FER_F,INT(B1460))&gt;0,"Feriado"&amp;IF(AH1460=1," (laborable)"," (no laborable)"),IF(AH1460=1,"Laborable",IF(WEEKDAY(B1460,2)&gt;5,"Fin de semana","No laborable"))))</f>
        <v/>
      </c>
      <c r="R1460" s="73" t="n"/>
      <c r="S1460" s="72" t="n"/>
      <c r="T1460" s="72" t="n"/>
      <c r="U1460" s="74" t="n"/>
      <c r="V1460" s="79" t="str">
        <f>IF(AND(D1460="proMX",OR(R1460="Submitted",R1460="Recall Requested"),ISNUMBER(S1460)),CFG_TODAY-INT(S1460),"")</f>
        <v/>
      </c>
      <c r="W1460" s="78" t="str">
        <f>IF(BD1460=0,"",IF(BA1460&gt;0,"⚠ Se superpone con un registro de la otra empresa",IF(D1460="Malcolm",IF(COUNTA(R1460,S1460,T1460)&gt;0,"Estado/fechas proMX se ignoran en Malcolm",""),IF(BF1460="Cancelled","Cancelado: excluido de totales",IF(R1460="","Sin estado: se trata como Draft",IF(BF1460="Submitted",IF(ISNUMBER(V1460),IF(V1460&gt;CFG_MAXD,"⚠ "&amp;V1460&amp;" días en Submitted (máx. "&amp;CFG_MAXD&amp;")",""),"Falta fecha de envío"),IF(BF1460="Returned","⚠ Devuelto: corregir y reenviar",IF(BF1460="Recall Requested","Retirada solicitada: pendiente",IF(AND(BF1460="Approved",NOT(ISNUMBER(T1460))),"Falta fecha de aprobación",IF(AND(ISNUMBER(S1460),ISNUMBER(T1460),T1460&lt;S1460),"Aprobación anterior al envío","")))))))))</f>
        <v/>
      </c>
      <c r="Y1460" s="80">
        <f>IF(COUNTA(B1460,D1460,E1460,F1460,G1460,H1460,I1460,J1460,R1460,S1460,T1460)&gt;0,1,0)</f>
        <v>0</v>
      </c>
      <c r="Z1460" s="80" t="str">
        <f>IF(AND(ISNUMBER(H1460),H1460&gt;=0,H1460&lt;1),ROUND(H1460*1440,0),"")</f>
        <v/>
      </c>
      <c r="AA1460" s="80" t="str">
        <f>IF(AND(ISNUMBER(I1460),I1460&gt;=0,I1460&lt;1),ROUND(I1460*1440,0),"")</f>
        <v/>
      </c>
      <c r="AB1460" s="80">
        <f>IF(AND(ISNUMBER(B1460),D1460&lt;&gt;"",ISNUMBER(Z1460),ISNUMBER(AA1460)),IF(Z1460=AA1460,0,1),0)</f>
        <v>0</v>
      </c>
      <c r="AC1460" s="80">
        <f>IF(AB1460=1,IF(AA1460&lt;Z1460,1,0),0)</f>
        <v>0</v>
      </c>
      <c r="AD1460" s="80">
        <f>IF(AB1460=1,IF(AC1460=1,1440-Z1460+AA1460,AA1460-Z1460),0)</f>
        <v>0</v>
      </c>
      <c r="AE1460" s="80">
        <f>IF(J1460="",0,IF(ISNUMBER(J1460),J1460,-1))</f>
        <v>0</v>
      </c>
      <c r="AF1460" s="80">
        <f>MIN(MAX(0,AE1460),AD1460)</f>
        <v>0</v>
      </c>
      <c r="AG1460" s="80">
        <f>MAX(0,AD1460-MAX(0,AE1460))</f>
        <v>0</v>
      </c>
      <c r="AH1460" s="80">
        <f>IF(ISNUMBER(B1460),IF(AND(INDEX(CFG_WDAYS,WEEKDAY(INT(B1460),2))="Sí",IF(D1460="proMX",COUNTIFS(FER_F,INT(B1460),FER_NLP,"Sí"),COUNTIFS(FER_F,INT(B1460),FER_NLM,"Sí"))=0),1,0),0)</f>
        <v>0</v>
      </c>
      <c r="AI1460" s="80">
        <f>IF(AC1460=1,IF(AND(INDEX(CFG_WDAYS,WEEKDAY(INT(B1460)+1,2))="Sí",IF(D1460="proMX",COUNTIFS(FER_F,INT(B1460)+1,FER_NLP,"Sí"),COUNTIFS(FER_F,INT(B1460)+1,FER_NLM,"Sí"))=0),1,0),0)</f>
        <v>0</v>
      </c>
      <c r="AJ1460" s="80">
        <f>IF(AC1460=1,1440-Z1460,AD1460)</f>
        <v>0</v>
      </c>
      <c r="AK1460" s="80">
        <f>IF(AND(AB1460=1,AH1460=1),MAX(0,MIN(IF(AC1460=1,1440,AA1460),CFG_WEM)-MAX(Z1460,CFG_WSM)),0)</f>
        <v>0</v>
      </c>
      <c r="AL1460" s="80">
        <f>IF(AND(AC1460=1,AI1460=1),MAX(0,MIN(AA1460,CFG_WEM)-CFG_WSM),0)</f>
        <v>0</v>
      </c>
      <c r="AM1460" s="80">
        <f>AK1460+AL1460</f>
        <v>0</v>
      </c>
      <c r="AN1460" s="80">
        <f>IF(CFG_BRK="Proporcional",IF(AD1460=0,0,AF1460*AM1460/AD1460),IF(CFG_BRK="Extras primero",MIN(AM1460,MAX(0,AF1460-(AD1460-AM1460))),MIN(AF1460,AM1460)))</f>
        <v>0</v>
      </c>
      <c r="AO1460" s="80">
        <f>AF1460-AN1460</f>
        <v>0</v>
      </c>
      <c r="AP1460" s="80">
        <f>AM1460-AN1460</f>
        <v>0</v>
      </c>
      <c r="AQ1460" s="80">
        <f>AD1460-AM1460-AO1460</f>
        <v>0</v>
      </c>
      <c r="AR1460" s="80">
        <f>IF(AM1460=0,0,AK1460-AN1460*AK1460/AM1460)</f>
        <v>0</v>
      </c>
      <c r="AS1460" s="80">
        <f>IF(AD1460-AM1460=0,0,(AJ1460-AK1460)-AO1460*(AJ1460-AK1460)/(AD1460-AM1460))</f>
        <v>0</v>
      </c>
      <c r="AT1460" s="80" t="str">
        <f>IF(AC1460=1,INT(B1460)+1,"")</f>
        <v/>
      </c>
      <c r="AU1460" s="80">
        <f>IF(AND(D1460="proMX",R1460="Cancelled"),0,1)</f>
        <v>1</v>
      </c>
      <c r="AV1460" s="80">
        <f>IF(AND(AB1460=1,AU1460=1),IF(COUNTIFS($D$5:D1459,D1460,$B$5:B1459,B1460,$Z$5:Z1459,Z1460,$AA$5:AA1459,AA1460,$F$5:F1459,F1460&amp;"",$AU$5:AU1459,1)&gt;0,1,0),0)</f>
        <v>0</v>
      </c>
      <c r="AW1460" s="80" t="str">
        <f>IF(AB1460=1,INT(B1460)*1440+Z1460,"")</f>
        <v/>
      </c>
      <c r="AX1460" s="80" t="str">
        <f>IF(AB1460=1,AW1460+AD1460,"")</f>
        <v/>
      </c>
      <c r="AY1460" s="80">
        <f>IF(AND(AB1460=1,AV1460=0,AU1460=1),1,0)</f>
        <v>0</v>
      </c>
      <c r="AZ1460" s="80">
        <f>IF(AY1460=1,COUNTIFS(R_Emp,D1460,R_SAbs,"&lt;"&amp;AX1460,R_EAbs,"&gt;"&amp;AW1460,R_OKey,1)-1,0)</f>
        <v>0</v>
      </c>
      <c r="BA1460" s="80">
        <f>IF(AY1460=1,COUNTIFS(R_Emp,"&lt;&gt;"&amp;D1460,R_SAbs,"&lt;"&amp;AX1460,R_EAbs,"&gt;"&amp;AW1460,R_OKey,1),0)</f>
        <v>0</v>
      </c>
      <c r="BB1460" s="80">
        <f>IF(AND(AB1460=1,D1460="proMX"),IF(AND(MOD(Z1460,CFG_BLK)=0,MOD(AA1460,CFG_BLK)=0,MOD(AG1460,CFG_BLK)=0,AG1460&gt;0),1,0),1)</f>
        <v>1</v>
      </c>
      <c r="BC1460" s="80" t="str">
        <f>IF(Y1460=0,"",IF(NOT(ISNUMBER(B1460)),"Falta fecha o fecha inválida",IF(D1460="","Falta empresa",IF(AND(D1460&lt;&gt;"Malcolm",D1460&lt;&gt;"proMX"),"Empresa inválida",IF(OR(INT(B1460)&lt;CFG_PSTART,INT(B1460)&gt;CFG_PEND),"Fecha fuera del período",IF(OR(NOT(ISNUMBER(Z1460)),NOT(ISNUMBER(AA1460))),"Falta hora inicio/fin o formato inválido",IF(AB1460=0,"Hora inicio = hora fin",IF(AE1460&lt;0,"Descanso inválido",IF(AE1460&gt;=AD1460,"Descanso ≥ duración",IF(AV1460=1,"Registro duplicado",IF(AZ1460&gt;0,"Se superpone con otro registro "&amp;D1460,IF(BB1460=0,"inicio, fin y duración neta deben ser múltiplos de "&amp;CFG_BLK&amp;" min",""))))))))))))</f>
        <v/>
      </c>
      <c r="BD1460" s="80">
        <f>IF(AND(Y1460=1,BC1460=""),1,0)</f>
        <v>0</v>
      </c>
      <c r="BE1460" s="80">
        <f>IF(AND(BD1460=1,AU1460=1),1,0)</f>
        <v>0</v>
      </c>
      <c r="BF1460" s="80" t="str">
        <f>IF(AND(D1460="proMX",BD1460=1),IF(R1460="","Draft",R1460),"")</f>
        <v/>
      </c>
      <c r="BG1460" s="80">
        <f>IF(BD1460=1,ROUND(AG1460/60,6),0)</f>
        <v>0</v>
      </c>
      <c r="BH1460" s="80">
        <f>IF(BE1460=1,ROUND(AG1460/60,6),0)</f>
        <v>0</v>
      </c>
      <c r="BI1460" s="80">
        <f>IF(BE1460=1,ROUND(AP1460/60,6),0)</f>
        <v>0</v>
      </c>
      <c r="BJ1460" s="80">
        <f>IF(BE1460=1,ROUND(AQ1460/60,6),0)</f>
        <v>0</v>
      </c>
      <c r="BK1460" s="80">
        <f>IF(BE1460=1,ROUND((AR1460+AS1460)/60,6),0)</f>
        <v>0</v>
      </c>
      <c r="BL1460" s="80">
        <f>ROUND(BH1460-BK1460,6)</f>
        <v>0</v>
      </c>
      <c r="BM1460" s="80">
        <f>IF(BE1460=1,ROUND(AR1460/60,6),0)</f>
        <v>0</v>
      </c>
      <c r="BN1460" s="80">
        <f>ROUND(BI1460-BM1460,6)</f>
        <v>0</v>
      </c>
      <c r="BO1460" s="80">
        <f>IF(BE1460=1,ROUND(AS1460/60,6),0)</f>
        <v>0</v>
      </c>
      <c r="BP1460" s="80">
        <f>ROUND(BJ1460-BO1460,6)</f>
        <v>0</v>
      </c>
      <c r="BQ1460" s="80">
        <f>IF(BE1460=1,AW1460,0)</f>
        <v>0</v>
      </c>
      <c r="BR1460" s="80">
        <f>IF(BE1460=1,AX1460,0)</f>
        <v>0</v>
      </c>
      <c r="BS1460" s="80">
        <f>IF(AND(BE1460=1,D1460="Malcolm",BA1460&gt;0),MIN(BH1460,SUMPRODUCT((R_Emp="proMX")*(R_EN&gt;0)*((R_EN-(R_EN&gt;BR1460)*(R_EN-BR1460))&gt;(R_SN+(R_SN&lt;BQ1460)*(BQ1460-R_SN)))*((R_EN-(R_EN&gt;BR1460)*(R_EN-BR1460))-(R_SN+(R_SN&lt;BQ1460)*(BQ1460-R_SN))))/60),0)</f>
        <v>0</v>
      </c>
      <c r="BT1460" s="80">
        <f>IF(AND(BE1460=1,D1460="proMX"),ROUND(BI1460*CFG_RATE+BJ1460*CFG_OTRATE,6),0)</f>
        <v>0</v>
      </c>
      <c r="BU1460" s="80">
        <f>IF(AND(BD1460=1,D1460="proMX"),ROUND(AG1460/CFG_BLK,6),0)</f>
        <v>0</v>
      </c>
      <c r="BV1460" s="80" t="str">
        <f>IF(BF1460="Approved",IF(ISNUMBER(T1460),INT(T1460),INT(B1460)),"")</f>
        <v/>
      </c>
      <c r="BW1460" s="80">
        <f>IF(ISNUMBER(B1460),IF(DB_MON="Todos",1,IF(AND(INT(B1460)&gt;=DB_MS,INT(B1460)&lt;=DB_ME),1,0)),0)</f>
        <v>0</v>
      </c>
      <c r="BX1460" s="80">
        <f>IF(DB_PROJ="Todos",1,IF(E1460&amp;""=DB_PROJ&amp;"",1,0))</f>
        <v>1</v>
      </c>
      <c r="BY1460" s="80">
        <f>BW1460*BX1460</f>
        <v>0</v>
      </c>
      <c r="BZ1460" s="80" t="str">
        <f>IF(Y1460=1,F1460&amp;IF(AND(F1460&amp;""&lt;&gt;"",E1460&amp;""&lt;&gt;"")," · ","")&amp;E1460,"")</f>
        <v/>
      </c>
      <c r="CA1460" s="80" t="str">
        <f>IF(AND(BD1460=1,E1460&amp;""&lt;&gt;""),IF(COUNTIFS($E$5:E1459,E1460,$BD$5:BD1459,1)=0,MAX($CA$5:CA1459)+1,""),"")</f>
        <v/>
      </c>
      <c r="CB1460" s="80" t="str">
        <f>IF(AND(BE1460=1,D1460="Malcolm",E1460&amp;""&lt;&gt;""),IF(COUNTIFS($D$5:D1459,"Malcolm",$E$5:E1459,E1460,$BE$5:BE1459,1)=0,MAX($CB$5:CB1459)+1,""),"")</f>
        <v/>
      </c>
      <c r="CC1460" s="80" t="str">
        <f>IF(AND(BD1460=1,D1460="proMX",E1460&amp;""&lt;&gt;""),IF(COUNTIFS($D$5:D1459,"proMX",$E$5:E1459,E1460,$BD$5:BD1459,1)=0,MAX($CC$5:CC1459)+1,""),"")</f>
        <v/>
      </c>
      <c r="CD1460" s="80" t="str">
        <f>IF(AND(BE1460=1,D1460="Malcolm",F1460&amp;""&lt;&gt;""),IF(COUNTIFS($D$5:D1459,"Malcolm",$F$5:F1459,F1460,$BE$5:BE1459,1)=0,MAX($CD$5:CD1459)+1,""),"")</f>
        <v/>
      </c>
      <c r="CE1460" s="80" t="str">
        <f>IF(AND(BD1460=1,D1460="proMX",F1460&amp;""&lt;&gt;""),IF(COUNTIFS($D$5:D1459,"proMX",$F$5:F1459,F1460,$BD$5:BD1459,1)=0,MAX($CE$5:CE1459)+1,""),"")</f>
        <v/>
      </c>
      <c r="CF1460" s="80" t="str">
        <f>IF(AND(D1460="proMX",BD1460=1),IF(OR(BF1460="Draft",BF1460="Submitted",BF1460="Returned",BF1460="Recall Requested"),MAX($CF$5:CF1459)+1,""),"")</f>
        <v/>
      </c>
      <c r="CG1460" s="80">
        <f>IF(BD1460=0,0,IF(D1460="Malcolm",1,MATCH(BF1460,{"Draft","Submitted","Approved","Returned","Recall Requested","Cancelled"},0)+1))</f>
        <v>0</v>
      </c>
      <c r="CH1460" s="80">
        <f>IF(AND(BF1460="Submitted",ISNUMBER(V1460)),IF(V1460&gt;CFG_MAXD,1,0),0)</f>
        <v>0</v>
      </c>
    </row>
    <row r="1461">
      <c r="A1461" s="71" t="str">
        <f>IF(Y1461=1,ROW()-5,"")</f>
        <v/>
      </c>
      <c r="B1461" s="72" t="n"/>
      <c r="C1461" s="71" t="str">
        <f>IF(ISNUMBER(B1461),CHOOSE(WEEKDAY(B1461,2),"Lun","Mar","Mié","Jue","Vie","Sáb","Dom"),"")</f>
        <v/>
      </c>
      <c r="D1461" s="73" t="n"/>
      <c r="E1461" s="74" t="n"/>
      <c r="F1461" s="74" t="n"/>
      <c r="G1461" s="74" t="n"/>
      <c r="H1461" s="75" t="n"/>
      <c r="I1461" s="75" t="n"/>
      <c r="J1461" s="76" t="n"/>
      <c r="K1461" s="77" t="str">
        <f>IF(AB1461=1,ROUND(AG1461/60,4),"")</f>
        <v/>
      </c>
      <c r="L1461" s="77" t="str">
        <f>IF(BD1461=1,ROUND(AP1461/60,4),"")</f>
        <v/>
      </c>
      <c r="M1461" s="77" t="str">
        <f>IF(BD1461=1,ROUND(AQ1461/60,4),"")</f>
        <v/>
      </c>
      <c r="N1461" s="71" t="str">
        <f>IF(AND(D1461="proMX",AB1461=1),ROUND(AG1461/CFG_BLK,2),"")</f>
        <v/>
      </c>
      <c r="O1461" s="77" t="str">
        <f>IF(D1461="proMX",IF(BD1461=1,ROUND(AG1461/60,4),0),"")</f>
        <v/>
      </c>
      <c r="P1461" s="78" t="str">
        <f>IF(Y1461=0,"",IF(BD1461=1,"OK",IF(D1461="proMX","Revisar bloques: ","Revisar: ")&amp;BC1461))</f>
        <v/>
      </c>
      <c r="Q1461" s="78" t="str">
        <f>IF(NOT(ISNUMBER(B1461)),"",IF(COUNTIFS(FER_F,INT(B1461))&gt;0,"Feriado"&amp;IF(AH1461=1," (laborable)"," (no laborable)"),IF(AH1461=1,"Laborable",IF(WEEKDAY(B1461,2)&gt;5,"Fin de semana","No laborable"))))</f>
        <v/>
      </c>
      <c r="R1461" s="73" t="n"/>
      <c r="S1461" s="72" t="n"/>
      <c r="T1461" s="72" t="n"/>
      <c r="U1461" s="74" t="n"/>
      <c r="V1461" s="79" t="str">
        <f>IF(AND(D1461="proMX",OR(R1461="Submitted",R1461="Recall Requested"),ISNUMBER(S1461)),CFG_TODAY-INT(S1461),"")</f>
        <v/>
      </c>
      <c r="W1461" s="78" t="str">
        <f>IF(BD1461=0,"",IF(BA1461&gt;0,"⚠ Se superpone con un registro de la otra empresa",IF(D1461="Malcolm",IF(COUNTA(R1461,S1461,T1461)&gt;0,"Estado/fechas proMX se ignoran en Malcolm",""),IF(BF1461="Cancelled","Cancelado: excluido de totales",IF(R1461="","Sin estado: se trata como Draft",IF(BF1461="Submitted",IF(ISNUMBER(V1461),IF(V1461&gt;CFG_MAXD,"⚠ "&amp;V1461&amp;" días en Submitted (máx. "&amp;CFG_MAXD&amp;")",""),"Falta fecha de envío"),IF(BF1461="Returned","⚠ Devuelto: corregir y reenviar",IF(BF1461="Recall Requested","Retirada solicitada: pendiente",IF(AND(BF1461="Approved",NOT(ISNUMBER(T1461))),"Falta fecha de aprobación",IF(AND(ISNUMBER(S1461),ISNUMBER(T1461),T1461&lt;S1461),"Aprobación anterior al envío","")))))))))</f>
        <v/>
      </c>
      <c r="Y1461" s="80">
        <f>IF(COUNTA(B1461,D1461,E1461,F1461,G1461,H1461,I1461,J1461,R1461,S1461,T1461)&gt;0,1,0)</f>
        <v>0</v>
      </c>
      <c r="Z1461" s="80" t="str">
        <f>IF(AND(ISNUMBER(H1461),H1461&gt;=0,H1461&lt;1),ROUND(H1461*1440,0),"")</f>
        <v/>
      </c>
      <c r="AA1461" s="80" t="str">
        <f>IF(AND(ISNUMBER(I1461),I1461&gt;=0,I1461&lt;1),ROUND(I1461*1440,0),"")</f>
        <v/>
      </c>
      <c r="AB1461" s="80">
        <f>IF(AND(ISNUMBER(B1461),D1461&lt;&gt;"",ISNUMBER(Z1461),ISNUMBER(AA1461)),IF(Z1461=AA1461,0,1),0)</f>
        <v>0</v>
      </c>
      <c r="AC1461" s="80">
        <f>IF(AB1461=1,IF(AA1461&lt;Z1461,1,0),0)</f>
        <v>0</v>
      </c>
      <c r="AD1461" s="80">
        <f>IF(AB1461=1,IF(AC1461=1,1440-Z1461+AA1461,AA1461-Z1461),0)</f>
        <v>0</v>
      </c>
      <c r="AE1461" s="80">
        <f>IF(J1461="",0,IF(ISNUMBER(J1461),J1461,-1))</f>
        <v>0</v>
      </c>
      <c r="AF1461" s="80">
        <f>MIN(MAX(0,AE1461),AD1461)</f>
        <v>0</v>
      </c>
      <c r="AG1461" s="80">
        <f>MAX(0,AD1461-MAX(0,AE1461))</f>
        <v>0</v>
      </c>
      <c r="AH1461" s="80">
        <f>IF(ISNUMBER(B1461),IF(AND(INDEX(CFG_WDAYS,WEEKDAY(INT(B1461),2))="Sí",IF(D1461="proMX",COUNTIFS(FER_F,INT(B1461),FER_NLP,"Sí"),COUNTIFS(FER_F,INT(B1461),FER_NLM,"Sí"))=0),1,0),0)</f>
        <v>0</v>
      </c>
      <c r="AI1461" s="80">
        <f>IF(AC1461=1,IF(AND(INDEX(CFG_WDAYS,WEEKDAY(INT(B1461)+1,2))="Sí",IF(D1461="proMX",COUNTIFS(FER_F,INT(B1461)+1,FER_NLP,"Sí"),COUNTIFS(FER_F,INT(B1461)+1,FER_NLM,"Sí"))=0),1,0),0)</f>
        <v>0</v>
      </c>
      <c r="AJ1461" s="80">
        <f>IF(AC1461=1,1440-Z1461,AD1461)</f>
        <v>0</v>
      </c>
      <c r="AK1461" s="80">
        <f>IF(AND(AB1461=1,AH1461=1),MAX(0,MIN(IF(AC1461=1,1440,AA1461),CFG_WEM)-MAX(Z1461,CFG_WSM)),0)</f>
        <v>0</v>
      </c>
      <c r="AL1461" s="80">
        <f>IF(AND(AC1461=1,AI1461=1),MAX(0,MIN(AA1461,CFG_WEM)-CFG_WSM),0)</f>
        <v>0</v>
      </c>
      <c r="AM1461" s="80">
        <f>AK1461+AL1461</f>
        <v>0</v>
      </c>
      <c r="AN1461" s="80">
        <f>IF(CFG_BRK="Proporcional",IF(AD1461=0,0,AF1461*AM1461/AD1461),IF(CFG_BRK="Extras primero",MIN(AM1461,MAX(0,AF1461-(AD1461-AM1461))),MIN(AF1461,AM1461)))</f>
        <v>0</v>
      </c>
      <c r="AO1461" s="80">
        <f>AF1461-AN1461</f>
        <v>0</v>
      </c>
      <c r="AP1461" s="80">
        <f>AM1461-AN1461</f>
        <v>0</v>
      </c>
      <c r="AQ1461" s="80">
        <f>AD1461-AM1461-AO1461</f>
        <v>0</v>
      </c>
      <c r="AR1461" s="80">
        <f>IF(AM1461=0,0,AK1461-AN1461*AK1461/AM1461)</f>
        <v>0</v>
      </c>
      <c r="AS1461" s="80">
        <f>IF(AD1461-AM1461=0,0,(AJ1461-AK1461)-AO1461*(AJ1461-AK1461)/(AD1461-AM1461))</f>
        <v>0</v>
      </c>
      <c r="AT1461" s="80" t="str">
        <f>IF(AC1461=1,INT(B1461)+1,"")</f>
        <v/>
      </c>
      <c r="AU1461" s="80">
        <f>IF(AND(D1461="proMX",R1461="Cancelled"),0,1)</f>
        <v>1</v>
      </c>
      <c r="AV1461" s="80">
        <f>IF(AND(AB1461=1,AU1461=1),IF(COUNTIFS($D$5:D1460,D1461,$B$5:B1460,B1461,$Z$5:Z1460,Z1461,$AA$5:AA1460,AA1461,$F$5:F1460,F1461&amp;"",$AU$5:AU1460,1)&gt;0,1,0),0)</f>
        <v>0</v>
      </c>
      <c r="AW1461" s="80" t="str">
        <f>IF(AB1461=1,INT(B1461)*1440+Z1461,"")</f>
        <v/>
      </c>
      <c r="AX1461" s="80" t="str">
        <f>IF(AB1461=1,AW1461+AD1461,"")</f>
        <v/>
      </c>
      <c r="AY1461" s="80">
        <f>IF(AND(AB1461=1,AV1461=0,AU1461=1),1,0)</f>
        <v>0</v>
      </c>
      <c r="AZ1461" s="80">
        <f>IF(AY1461=1,COUNTIFS(R_Emp,D1461,R_SAbs,"&lt;"&amp;AX1461,R_EAbs,"&gt;"&amp;AW1461,R_OKey,1)-1,0)</f>
        <v>0</v>
      </c>
      <c r="BA1461" s="80">
        <f>IF(AY1461=1,COUNTIFS(R_Emp,"&lt;&gt;"&amp;D1461,R_SAbs,"&lt;"&amp;AX1461,R_EAbs,"&gt;"&amp;AW1461,R_OKey,1),0)</f>
        <v>0</v>
      </c>
      <c r="BB1461" s="80">
        <f>IF(AND(AB1461=1,D1461="proMX"),IF(AND(MOD(Z1461,CFG_BLK)=0,MOD(AA1461,CFG_BLK)=0,MOD(AG1461,CFG_BLK)=0,AG1461&gt;0),1,0),1)</f>
        <v>1</v>
      </c>
      <c r="BC1461" s="80" t="str">
        <f>IF(Y1461=0,"",IF(NOT(ISNUMBER(B1461)),"Falta fecha o fecha inválida",IF(D1461="","Falta empresa",IF(AND(D1461&lt;&gt;"Malcolm",D1461&lt;&gt;"proMX"),"Empresa inválida",IF(OR(INT(B1461)&lt;CFG_PSTART,INT(B1461)&gt;CFG_PEND),"Fecha fuera del período",IF(OR(NOT(ISNUMBER(Z1461)),NOT(ISNUMBER(AA1461))),"Falta hora inicio/fin o formato inválido",IF(AB1461=0,"Hora inicio = hora fin",IF(AE1461&lt;0,"Descanso inválido",IF(AE1461&gt;=AD1461,"Descanso ≥ duración",IF(AV1461=1,"Registro duplicado",IF(AZ1461&gt;0,"Se superpone con otro registro "&amp;D1461,IF(BB1461=0,"inicio, fin y duración neta deben ser múltiplos de "&amp;CFG_BLK&amp;" min",""))))))))))))</f>
        <v/>
      </c>
      <c r="BD1461" s="80">
        <f>IF(AND(Y1461=1,BC1461=""),1,0)</f>
        <v>0</v>
      </c>
      <c r="BE1461" s="80">
        <f>IF(AND(BD1461=1,AU1461=1),1,0)</f>
        <v>0</v>
      </c>
      <c r="BF1461" s="80" t="str">
        <f>IF(AND(D1461="proMX",BD1461=1),IF(R1461="","Draft",R1461),"")</f>
        <v/>
      </c>
      <c r="BG1461" s="80">
        <f>IF(BD1461=1,ROUND(AG1461/60,6),0)</f>
        <v>0</v>
      </c>
      <c r="BH1461" s="80">
        <f>IF(BE1461=1,ROUND(AG1461/60,6),0)</f>
        <v>0</v>
      </c>
      <c r="BI1461" s="80">
        <f>IF(BE1461=1,ROUND(AP1461/60,6),0)</f>
        <v>0</v>
      </c>
      <c r="BJ1461" s="80">
        <f>IF(BE1461=1,ROUND(AQ1461/60,6),0)</f>
        <v>0</v>
      </c>
      <c r="BK1461" s="80">
        <f>IF(BE1461=1,ROUND((AR1461+AS1461)/60,6),0)</f>
        <v>0</v>
      </c>
      <c r="BL1461" s="80">
        <f>ROUND(BH1461-BK1461,6)</f>
        <v>0</v>
      </c>
      <c r="BM1461" s="80">
        <f>IF(BE1461=1,ROUND(AR1461/60,6),0)</f>
        <v>0</v>
      </c>
      <c r="BN1461" s="80">
        <f>ROUND(BI1461-BM1461,6)</f>
        <v>0</v>
      </c>
      <c r="BO1461" s="80">
        <f>IF(BE1461=1,ROUND(AS1461/60,6),0)</f>
        <v>0</v>
      </c>
      <c r="BP1461" s="80">
        <f>ROUND(BJ1461-BO1461,6)</f>
        <v>0</v>
      </c>
      <c r="BQ1461" s="80">
        <f>IF(BE1461=1,AW1461,0)</f>
        <v>0</v>
      </c>
      <c r="BR1461" s="80">
        <f>IF(BE1461=1,AX1461,0)</f>
        <v>0</v>
      </c>
      <c r="BS1461" s="80">
        <f>IF(AND(BE1461=1,D1461="Malcolm",BA1461&gt;0),MIN(BH1461,SUMPRODUCT((R_Emp="proMX")*(R_EN&gt;0)*((R_EN-(R_EN&gt;BR1461)*(R_EN-BR1461))&gt;(R_SN+(R_SN&lt;BQ1461)*(BQ1461-R_SN)))*((R_EN-(R_EN&gt;BR1461)*(R_EN-BR1461))-(R_SN+(R_SN&lt;BQ1461)*(BQ1461-R_SN))))/60),0)</f>
        <v>0</v>
      </c>
      <c r="BT1461" s="80">
        <f>IF(AND(BE1461=1,D1461="proMX"),ROUND(BI1461*CFG_RATE+BJ1461*CFG_OTRATE,6),0)</f>
        <v>0</v>
      </c>
      <c r="BU1461" s="80">
        <f>IF(AND(BD1461=1,D1461="proMX"),ROUND(AG1461/CFG_BLK,6),0)</f>
        <v>0</v>
      </c>
      <c r="BV1461" s="80" t="str">
        <f>IF(BF1461="Approved",IF(ISNUMBER(T1461),INT(T1461),INT(B1461)),"")</f>
        <v/>
      </c>
      <c r="BW1461" s="80">
        <f>IF(ISNUMBER(B1461),IF(DB_MON="Todos",1,IF(AND(INT(B1461)&gt;=DB_MS,INT(B1461)&lt;=DB_ME),1,0)),0)</f>
        <v>0</v>
      </c>
      <c r="BX1461" s="80">
        <f>IF(DB_PROJ="Todos",1,IF(E1461&amp;""=DB_PROJ&amp;"",1,0))</f>
        <v>1</v>
      </c>
      <c r="BY1461" s="80">
        <f>BW1461*BX1461</f>
        <v>0</v>
      </c>
      <c r="BZ1461" s="80" t="str">
        <f>IF(Y1461=1,F1461&amp;IF(AND(F1461&amp;""&lt;&gt;"",E1461&amp;""&lt;&gt;"")," · ","")&amp;E1461,"")</f>
        <v/>
      </c>
      <c r="CA1461" s="80" t="str">
        <f>IF(AND(BD1461=1,E1461&amp;""&lt;&gt;""),IF(COUNTIFS($E$5:E1460,E1461,$BD$5:BD1460,1)=0,MAX($CA$5:CA1460)+1,""),"")</f>
        <v/>
      </c>
      <c r="CB1461" s="80" t="str">
        <f>IF(AND(BE1461=1,D1461="Malcolm",E1461&amp;""&lt;&gt;""),IF(COUNTIFS($D$5:D1460,"Malcolm",$E$5:E1460,E1461,$BE$5:BE1460,1)=0,MAX($CB$5:CB1460)+1,""),"")</f>
        <v/>
      </c>
      <c r="CC1461" s="80" t="str">
        <f>IF(AND(BD1461=1,D1461="proMX",E1461&amp;""&lt;&gt;""),IF(COUNTIFS($D$5:D1460,"proMX",$E$5:E1460,E1461,$BD$5:BD1460,1)=0,MAX($CC$5:CC1460)+1,""),"")</f>
        <v/>
      </c>
      <c r="CD1461" s="80" t="str">
        <f>IF(AND(BE1461=1,D1461="Malcolm",F1461&amp;""&lt;&gt;""),IF(COUNTIFS($D$5:D1460,"Malcolm",$F$5:F1460,F1461,$BE$5:BE1460,1)=0,MAX($CD$5:CD1460)+1,""),"")</f>
        <v/>
      </c>
      <c r="CE1461" s="80" t="str">
        <f>IF(AND(BD1461=1,D1461="proMX",F1461&amp;""&lt;&gt;""),IF(COUNTIFS($D$5:D1460,"proMX",$F$5:F1460,F1461,$BD$5:BD1460,1)=0,MAX($CE$5:CE1460)+1,""),"")</f>
        <v/>
      </c>
      <c r="CF1461" s="80" t="str">
        <f>IF(AND(D1461="proMX",BD1461=1),IF(OR(BF1461="Draft",BF1461="Submitted",BF1461="Returned",BF1461="Recall Requested"),MAX($CF$5:CF1460)+1,""),"")</f>
        <v/>
      </c>
      <c r="CG1461" s="80">
        <f>IF(BD1461=0,0,IF(D1461="Malcolm",1,MATCH(BF1461,{"Draft","Submitted","Approved","Returned","Recall Requested","Cancelled"},0)+1))</f>
        <v>0</v>
      </c>
      <c r="CH1461" s="80">
        <f>IF(AND(BF1461="Submitted",ISNUMBER(V1461)),IF(V1461&gt;CFG_MAXD,1,0),0)</f>
        <v>0</v>
      </c>
    </row>
    <row r="1462">
      <c r="A1462" s="71" t="str">
        <f>IF(Y1462=1,ROW()-5,"")</f>
        <v/>
      </c>
      <c r="B1462" s="72" t="n"/>
      <c r="C1462" s="71" t="str">
        <f>IF(ISNUMBER(B1462),CHOOSE(WEEKDAY(B1462,2),"Lun","Mar","Mié","Jue","Vie","Sáb","Dom"),"")</f>
        <v/>
      </c>
      <c r="D1462" s="73" t="n"/>
      <c r="E1462" s="74" t="n"/>
      <c r="F1462" s="74" t="n"/>
      <c r="G1462" s="74" t="n"/>
      <c r="H1462" s="75" t="n"/>
      <c r="I1462" s="75" t="n"/>
      <c r="J1462" s="76" t="n"/>
      <c r="K1462" s="77" t="str">
        <f>IF(AB1462=1,ROUND(AG1462/60,4),"")</f>
        <v/>
      </c>
      <c r="L1462" s="77" t="str">
        <f>IF(BD1462=1,ROUND(AP1462/60,4),"")</f>
        <v/>
      </c>
      <c r="M1462" s="77" t="str">
        <f>IF(BD1462=1,ROUND(AQ1462/60,4),"")</f>
        <v/>
      </c>
      <c r="N1462" s="71" t="str">
        <f>IF(AND(D1462="proMX",AB1462=1),ROUND(AG1462/CFG_BLK,2),"")</f>
        <v/>
      </c>
      <c r="O1462" s="77" t="str">
        <f>IF(D1462="proMX",IF(BD1462=1,ROUND(AG1462/60,4),0),"")</f>
        <v/>
      </c>
      <c r="P1462" s="78" t="str">
        <f>IF(Y1462=0,"",IF(BD1462=1,"OK",IF(D1462="proMX","Revisar bloques: ","Revisar: ")&amp;BC1462))</f>
        <v/>
      </c>
      <c r="Q1462" s="78" t="str">
        <f>IF(NOT(ISNUMBER(B1462)),"",IF(COUNTIFS(FER_F,INT(B1462))&gt;0,"Feriado"&amp;IF(AH1462=1," (laborable)"," (no laborable)"),IF(AH1462=1,"Laborable",IF(WEEKDAY(B1462,2)&gt;5,"Fin de semana","No laborable"))))</f>
        <v/>
      </c>
      <c r="R1462" s="73" t="n"/>
      <c r="S1462" s="72" t="n"/>
      <c r="T1462" s="72" t="n"/>
      <c r="U1462" s="74" t="n"/>
      <c r="V1462" s="79" t="str">
        <f>IF(AND(D1462="proMX",OR(R1462="Submitted",R1462="Recall Requested"),ISNUMBER(S1462)),CFG_TODAY-INT(S1462),"")</f>
        <v/>
      </c>
      <c r="W1462" s="78" t="str">
        <f>IF(BD1462=0,"",IF(BA1462&gt;0,"⚠ Se superpone con un registro de la otra empresa",IF(D1462="Malcolm",IF(COUNTA(R1462,S1462,T1462)&gt;0,"Estado/fechas proMX se ignoran en Malcolm",""),IF(BF1462="Cancelled","Cancelado: excluido de totales",IF(R1462="","Sin estado: se trata como Draft",IF(BF1462="Submitted",IF(ISNUMBER(V1462),IF(V1462&gt;CFG_MAXD,"⚠ "&amp;V1462&amp;" días en Submitted (máx. "&amp;CFG_MAXD&amp;")",""),"Falta fecha de envío"),IF(BF1462="Returned","⚠ Devuelto: corregir y reenviar",IF(BF1462="Recall Requested","Retirada solicitada: pendiente",IF(AND(BF1462="Approved",NOT(ISNUMBER(T1462))),"Falta fecha de aprobación",IF(AND(ISNUMBER(S1462),ISNUMBER(T1462),T1462&lt;S1462),"Aprobación anterior al envío","")))))))))</f>
        <v/>
      </c>
      <c r="Y1462" s="80">
        <f>IF(COUNTA(B1462,D1462,E1462,F1462,G1462,H1462,I1462,J1462,R1462,S1462,T1462)&gt;0,1,0)</f>
        <v>0</v>
      </c>
      <c r="Z1462" s="80" t="str">
        <f>IF(AND(ISNUMBER(H1462),H1462&gt;=0,H1462&lt;1),ROUND(H1462*1440,0),"")</f>
        <v/>
      </c>
      <c r="AA1462" s="80" t="str">
        <f>IF(AND(ISNUMBER(I1462),I1462&gt;=0,I1462&lt;1),ROUND(I1462*1440,0),"")</f>
        <v/>
      </c>
      <c r="AB1462" s="80">
        <f>IF(AND(ISNUMBER(B1462),D1462&lt;&gt;"",ISNUMBER(Z1462),ISNUMBER(AA1462)),IF(Z1462=AA1462,0,1),0)</f>
        <v>0</v>
      </c>
      <c r="AC1462" s="80">
        <f>IF(AB1462=1,IF(AA1462&lt;Z1462,1,0),0)</f>
        <v>0</v>
      </c>
      <c r="AD1462" s="80">
        <f>IF(AB1462=1,IF(AC1462=1,1440-Z1462+AA1462,AA1462-Z1462),0)</f>
        <v>0</v>
      </c>
      <c r="AE1462" s="80">
        <f>IF(J1462="",0,IF(ISNUMBER(J1462),J1462,-1))</f>
        <v>0</v>
      </c>
      <c r="AF1462" s="80">
        <f>MIN(MAX(0,AE1462),AD1462)</f>
        <v>0</v>
      </c>
      <c r="AG1462" s="80">
        <f>MAX(0,AD1462-MAX(0,AE1462))</f>
        <v>0</v>
      </c>
      <c r="AH1462" s="80">
        <f>IF(ISNUMBER(B1462),IF(AND(INDEX(CFG_WDAYS,WEEKDAY(INT(B1462),2))="Sí",IF(D1462="proMX",COUNTIFS(FER_F,INT(B1462),FER_NLP,"Sí"),COUNTIFS(FER_F,INT(B1462),FER_NLM,"Sí"))=0),1,0),0)</f>
        <v>0</v>
      </c>
      <c r="AI1462" s="80">
        <f>IF(AC1462=1,IF(AND(INDEX(CFG_WDAYS,WEEKDAY(INT(B1462)+1,2))="Sí",IF(D1462="proMX",COUNTIFS(FER_F,INT(B1462)+1,FER_NLP,"Sí"),COUNTIFS(FER_F,INT(B1462)+1,FER_NLM,"Sí"))=0),1,0),0)</f>
        <v>0</v>
      </c>
      <c r="AJ1462" s="80">
        <f>IF(AC1462=1,1440-Z1462,AD1462)</f>
        <v>0</v>
      </c>
      <c r="AK1462" s="80">
        <f>IF(AND(AB1462=1,AH1462=1),MAX(0,MIN(IF(AC1462=1,1440,AA1462),CFG_WEM)-MAX(Z1462,CFG_WSM)),0)</f>
        <v>0</v>
      </c>
      <c r="AL1462" s="80">
        <f>IF(AND(AC1462=1,AI1462=1),MAX(0,MIN(AA1462,CFG_WEM)-CFG_WSM),0)</f>
        <v>0</v>
      </c>
      <c r="AM1462" s="80">
        <f>AK1462+AL1462</f>
        <v>0</v>
      </c>
      <c r="AN1462" s="80">
        <f>IF(CFG_BRK="Proporcional",IF(AD1462=0,0,AF1462*AM1462/AD1462),IF(CFG_BRK="Extras primero",MIN(AM1462,MAX(0,AF1462-(AD1462-AM1462))),MIN(AF1462,AM1462)))</f>
        <v>0</v>
      </c>
      <c r="AO1462" s="80">
        <f>AF1462-AN1462</f>
        <v>0</v>
      </c>
      <c r="AP1462" s="80">
        <f>AM1462-AN1462</f>
        <v>0</v>
      </c>
      <c r="AQ1462" s="80">
        <f>AD1462-AM1462-AO1462</f>
        <v>0</v>
      </c>
      <c r="AR1462" s="80">
        <f>IF(AM1462=0,0,AK1462-AN1462*AK1462/AM1462)</f>
        <v>0</v>
      </c>
      <c r="AS1462" s="80">
        <f>IF(AD1462-AM1462=0,0,(AJ1462-AK1462)-AO1462*(AJ1462-AK1462)/(AD1462-AM1462))</f>
        <v>0</v>
      </c>
      <c r="AT1462" s="80" t="str">
        <f>IF(AC1462=1,INT(B1462)+1,"")</f>
        <v/>
      </c>
      <c r="AU1462" s="80">
        <f>IF(AND(D1462="proMX",R1462="Cancelled"),0,1)</f>
        <v>1</v>
      </c>
      <c r="AV1462" s="80">
        <f>IF(AND(AB1462=1,AU1462=1),IF(COUNTIFS($D$5:D1461,D1462,$B$5:B1461,B1462,$Z$5:Z1461,Z1462,$AA$5:AA1461,AA1462,$F$5:F1461,F1462&amp;"",$AU$5:AU1461,1)&gt;0,1,0),0)</f>
        <v>0</v>
      </c>
      <c r="AW1462" s="80" t="str">
        <f>IF(AB1462=1,INT(B1462)*1440+Z1462,"")</f>
        <v/>
      </c>
      <c r="AX1462" s="80" t="str">
        <f>IF(AB1462=1,AW1462+AD1462,"")</f>
        <v/>
      </c>
      <c r="AY1462" s="80">
        <f>IF(AND(AB1462=1,AV1462=0,AU1462=1),1,0)</f>
        <v>0</v>
      </c>
      <c r="AZ1462" s="80">
        <f>IF(AY1462=1,COUNTIFS(R_Emp,D1462,R_SAbs,"&lt;"&amp;AX1462,R_EAbs,"&gt;"&amp;AW1462,R_OKey,1)-1,0)</f>
        <v>0</v>
      </c>
      <c r="BA1462" s="80">
        <f>IF(AY1462=1,COUNTIFS(R_Emp,"&lt;&gt;"&amp;D1462,R_SAbs,"&lt;"&amp;AX1462,R_EAbs,"&gt;"&amp;AW1462,R_OKey,1),0)</f>
        <v>0</v>
      </c>
      <c r="BB1462" s="80">
        <f>IF(AND(AB1462=1,D1462="proMX"),IF(AND(MOD(Z1462,CFG_BLK)=0,MOD(AA1462,CFG_BLK)=0,MOD(AG1462,CFG_BLK)=0,AG1462&gt;0),1,0),1)</f>
        <v>1</v>
      </c>
      <c r="BC1462" s="80" t="str">
        <f>IF(Y1462=0,"",IF(NOT(ISNUMBER(B1462)),"Falta fecha o fecha inválida",IF(D1462="","Falta empresa",IF(AND(D1462&lt;&gt;"Malcolm",D1462&lt;&gt;"proMX"),"Empresa inválida",IF(OR(INT(B1462)&lt;CFG_PSTART,INT(B1462)&gt;CFG_PEND),"Fecha fuera del período",IF(OR(NOT(ISNUMBER(Z1462)),NOT(ISNUMBER(AA1462))),"Falta hora inicio/fin o formato inválido",IF(AB1462=0,"Hora inicio = hora fin",IF(AE1462&lt;0,"Descanso inválido",IF(AE1462&gt;=AD1462,"Descanso ≥ duración",IF(AV1462=1,"Registro duplicado",IF(AZ1462&gt;0,"Se superpone con otro registro "&amp;D1462,IF(BB1462=0,"inicio, fin y duración neta deben ser múltiplos de "&amp;CFG_BLK&amp;" min",""))))))))))))</f>
        <v/>
      </c>
      <c r="BD1462" s="80">
        <f>IF(AND(Y1462=1,BC1462=""),1,0)</f>
        <v>0</v>
      </c>
      <c r="BE1462" s="80">
        <f>IF(AND(BD1462=1,AU1462=1),1,0)</f>
        <v>0</v>
      </c>
      <c r="BF1462" s="80" t="str">
        <f>IF(AND(D1462="proMX",BD1462=1),IF(R1462="","Draft",R1462),"")</f>
        <v/>
      </c>
      <c r="BG1462" s="80">
        <f>IF(BD1462=1,ROUND(AG1462/60,6),0)</f>
        <v>0</v>
      </c>
      <c r="BH1462" s="80">
        <f>IF(BE1462=1,ROUND(AG1462/60,6),0)</f>
        <v>0</v>
      </c>
      <c r="BI1462" s="80">
        <f>IF(BE1462=1,ROUND(AP1462/60,6),0)</f>
        <v>0</v>
      </c>
      <c r="BJ1462" s="80">
        <f>IF(BE1462=1,ROUND(AQ1462/60,6),0)</f>
        <v>0</v>
      </c>
      <c r="BK1462" s="80">
        <f>IF(BE1462=1,ROUND((AR1462+AS1462)/60,6),0)</f>
        <v>0</v>
      </c>
      <c r="BL1462" s="80">
        <f>ROUND(BH1462-BK1462,6)</f>
        <v>0</v>
      </c>
      <c r="BM1462" s="80">
        <f>IF(BE1462=1,ROUND(AR1462/60,6),0)</f>
        <v>0</v>
      </c>
      <c r="BN1462" s="80">
        <f>ROUND(BI1462-BM1462,6)</f>
        <v>0</v>
      </c>
      <c r="BO1462" s="80">
        <f>IF(BE1462=1,ROUND(AS1462/60,6),0)</f>
        <v>0</v>
      </c>
      <c r="BP1462" s="80">
        <f>ROUND(BJ1462-BO1462,6)</f>
        <v>0</v>
      </c>
      <c r="BQ1462" s="80">
        <f>IF(BE1462=1,AW1462,0)</f>
        <v>0</v>
      </c>
      <c r="BR1462" s="80">
        <f>IF(BE1462=1,AX1462,0)</f>
        <v>0</v>
      </c>
      <c r="BS1462" s="80">
        <f>IF(AND(BE1462=1,D1462="Malcolm",BA1462&gt;0),MIN(BH1462,SUMPRODUCT((R_Emp="proMX")*(R_EN&gt;0)*((R_EN-(R_EN&gt;BR1462)*(R_EN-BR1462))&gt;(R_SN+(R_SN&lt;BQ1462)*(BQ1462-R_SN)))*((R_EN-(R_EN&gt;BR1462)*(R_EN-BR1462))-(R_SN+(R_SN&lt;BQ1462)*(BQ1462-R_SN))))/60),0)</f>
        <v>0</v>
      </c>
      <c r="BT1462" s="80">
        <f>IF(AND(BE1462=1,D1462="proMX"),ROUND(BI1462*CFG_RATE+BJ1462*CFG_OTRATE,6),0)</f>
        <v>0</v>
      </c>
      <c r="BU1462" s="80">
        <f>IF(AND(BD1462=1,D1462="proMX"),ROUND(AG1462/CFG_BLK,6),0)</f>
        <v>0</v>
      </c>
      <c r="BV1462" s="80" t="str">
        <f>IF(BF1462="Approved",IF(ISNUMBER(T1462),INT(T1462),INT(B1462)),"")</f>
        <v/>
      </c>
      <c r="BW1462" s="80">
        <f>IF(ISNUMBER(B1462),IF(DB_MON="Todos",1,IF(AND(INT(B1462)&gt;=DB_MS,INT(B1462)&lt;=DB_ME),1,0)),0)</f>
        <v>0</v>
      </c>
      <c r="BX1462" s="80">
        <f>IF(DB_PROJ="Todos",1,IF(E1462&amp;""=DB_PROJ&amp;"",1,0))</f>
        <v>1</v>
      </c>
      <c r="BY1462" s="80">
        <f>BW1462*BX1462</f>
        <v>0</v>
      </c>
      <c r="BZ1462" s="80" t="str">
        <f>IF(Y1462=1,F1462&amp;IF(AND(F1462&amp;""&lt;&gt;"",E1462&amp;""&lt;&gt;"")," · ","")&amp;E1462,"")</f>
        <v/>
      </c>
      <c r="CA1462" s="80" t="str">
        <f>IF(AND(BD1462=1,E1462&amp;""&lt;&gt;""),IF(COUNTIFS($E$5:E1461,E1462,$BD$5:BD1461,1)=0,MAX($CA$5:CA1461)+1,""),"")</f>
        <v/>
      </c>
      <c r="CB1462" s="80" t="str">
        <f>IF(AND(BE1462=1,D1462="Malcolm",E1462&amp;""&lt;&gt;""),IF(COUNTIFS($D$5:D1461,"Malcolm",$E$5:E1461,E1462,$BE$5:BE1461,1)=0,MAX($CB$5:CB1461)+1,""),"")</f>
        <v/>
      </c>
      <c r="CC1462" s="80" t="str">
        <f>IF(AND(BD1462=1,D1462="proMX",E1462&amp;""&lt;&gt;""),IF(COUNTIFS($D$5:D1461,"proMX",$E$5:E1461,E1462,$BD$5:BD1461,1)=0,MAX($CC$5:CC1461)+1,""),"")</f>
        <v/>
      </c>
      <c r="CD1462" s="80" t="str">
        <f>IF(AND(BE1462=1,D1462="Malcolm",F1462&amp;""&lt;&gt;""),IF(COUNTIFS($D$5:D1461,"Malcolm",$F$5:F1461,F1462,$BE$5:BE1461,1)=0,MAX($CD$5:CD1461)+1,""),"")</f>
        <v/>
      </c>
      <c r="CE1462" s="80" t="str">
        <f>IF(AND(BD1462=1,D1462="proMX",F1462&amp;""&lt;&gt;""),IF(COUNTIFS($D$5:D1461,"proMX",$F$5:F1461,F1462,$BD$5:BD1461,1)=0,MAX($CE$5:CE1461)+1,""),"")</f>
        <v/>
      </c>
      <c r="CF1462" s="80" t="str">
        <f>IF(AND(D1462="proMX",BD1462=1),IF(OR(BF1462="Draft",BF1462="Submitted",BF1462="Returned",BF1462="Recall Requested"),MAX($CF$5:CF1461)+1,""),"")</f>
        <v/>
      </c>
      <c r="CG1462" s="80">
        <f>IF(BD1462=0,0,IF(D1462="Malcolm",1,MATCH(BF1462,{"Draft","Submitted","Approved","Returned","Recall Requested","Cancelled"},0)+1))</f>
        <v>0</v>
      </c>
      <c r="CH1462" s="80">
        <f>IF(AND(BF1462="Submitted",ISNUMBER(V1462)),IF(V1462&gt;CFG_MAXD,1,0),0)</f>
        <v>0</v>
      </c>
    </row>
    <row r="1463">
      <c r="A1463" s="71" t="str">
        <f>IF(Y1463=1,ROW()-5,"")</f>
        <v/>
      </c>
      <c r="B1463" s="72" t="n"/>
      <c r="C1463" s="71" t="str">
        <f>IF(ISNUMBER(B1463),CHOOSE(WEEKDAY(B1463,2),"Lun","Mar","Mié","Jue","Vie","Sáb","Dom"),"")</f>
        <v/>
      </c>
      <c r="D1463" s="73" t="n"/>
      <c r="E1463" s="74" t="n"/>
      <c r="F1463" s="74" t="n"/>
      <c r="G1463" s="74" t="n"/>
      <c r="H1463" s="75" t="n"/>
      <c r="I1463" s="75" t="n"/>
      <c r="J1463" s="76" t="n"/>
      <c r="K1463" s="77" t="str">
        <f>IF(AB1463=1,ROUND(AG1463/60,4),"")</f>
        <v/>
      </c>
      <c r="L1463" s="77" t="str">
        <f>IF(BD1463=1,ROUND(AP1463/60,4),"")</f>
        <v/>
      </c>
      <c r="M1463" s="77" t="str">
        <f>IF(BD1463=1,ROUND(AQ1463/60,4),"")</f>
        <v/>
      </c>
      <c r="N1463" s="71" t="str">
        <f>IF(AND(D1463="proMX",AB1463=1),ROUND(AG1463/CFG_BLK,2),"")</f>
        <v/>
      </c>
      <c r="O1463" s="77" t="str">
        <f>IF(D1463="proMX",IF(BD1463=1,ROUND(AG1463/60,4),0),"")</f>
        <v/>
      </c>
      <c r="P1463" s="78" t="str">
        <f>IF(Y1463=0,"",IF(BD1463=1,"OK",IF(D1463="proMX","Revisar bloques: ","Revisar: ")&amp;BC1463))</f>
        <v/>
      </c>
      <c r="Q1463" s="78" t="str">
        <f>IF(NOT(ISNUMBER(B1463)),"",IF(COUNTIFS(FER_F,INT(B1463))&gt;0,"Feriado"&amp;IF(AH1463=1," (laborable)"," (no laborable)"),IF(AH1463=1,"Laborable",IF(WEEKDAY(B1463,2)&gt;5,"Fin de semana","No laborable"))))</f>
        <v/>
      </c>
      <c r="R1463" s="73" t="n"/>
      <c r="S1463" s="72" t="n"/>
      <c r="T1463" s="72" t="n"/>
      <c r="U1463" s="74" t="n"/>
      <c r="V1463" s="79" t="str">
        <f>IF(AND(D1463="proMX",OR(R1463="Submitted",R1463="Recall Requested"),ISNUMBER(S1463)),CFG_TODAY-INT(S1463),"")</f>
        <v/>
      </c>
      <c r="W1463" s="78" t="str">
        <f>IF(BD1463=0,"",IF(BA1463&gt;0,"⚠ Se superpone con un registro de la otra empresa",IF(D1463="Malcolm",IF(COUNTA(R1463,S1463,T1463)&gt;0,"Estado/fechas proMX se ignoran en Malcolm",""),IF(BF1463="Cancelled","Cancelado: excluido de totales",IF(R1463="","Sin estado: se trata como Draft",IF(BF1463="Submitted",IF(ISNUMBER(V1463),IF(V1463&gt;CFG_MAXD,"⚠ "&amp;V1463&amp;" días en Submitted (máx. "&amp;CFG_MAXD&amp;")",""),"Falta fecha de envío"),IF(BF1463="Returned","⚠ Devuelto: corregir y reenviar",IF(BF1463="Recall Requested","Retirada solicitada: pendiente",IF(AND(BF1463="Approved",NOT(ISNUMBER(T1463))),"Falta fecha de aprobación",IF(AND(ISNUMBER(S1463),ISNUMBER(T1463),T1463&lt;S1463),"Aprobación anterior al envío","")))))))))</f>
        <v/>
      </c>
      <c r="Y1463" s="80">
        <f>IF(COUNTA(B1463,D1463,E1463,F1463,G1463,H1463,I1463,J1463,R1463,S1463,T1463)&gt;0,1,0)</f>
        <v>0</v>
      </c>
      <c r="Z1463" s="80" t="str">
        <f>IF(AND(ISNUMBER(H1463),H1463&gt;=0,H1463&lt;1),ROUND(H1463*1440,0),"")</f>
        <v/>
      </c>
      <c r="AA1463" s="80" t="str">
        <f>IF(AND(ISNUMBER(I1463),I1463&gt;=0,I1463&lt;1),ROUND(I1463*1440,0),"")</f>
        <v/>
      </c>
      <c r="AB1463" s="80">
        <f>IF(AND(ISNUMBER(B1463),D1463&lt;&gt;"",ISNUMBER(Z1463),ISNUMBER(AA1463)),IF(Z1463=AA1463,0,1),0)</f>
        <v>0</v>
      </c>
      <c r="AC1463" s="80">
        <f>IF(AB1463=1,IF(AA1463&lt;Z1463,1,0),0)</f>
        <v>0</v>
      </c>
      <c r="AD1463" s="80">
        <f>IF(AB1463=1,IF(AC1463=1,1440-Z1463+AA1463,AA1463-Z1463),0)</f>
        <v>0</v>
      </c>
      <c r="AE1463" s="80">
        <f>IF(J1463="",0,IF(ISNUMBER(J1463),J1463,-1))</f>
        <v>0</v>
      </c>
      <c r="AF1463" s="80">
        <f>MIN(MAX(0,AE1463),AD1463)</f>
        <v>0</v>
      </c>
      <c r="AG1463" s="80">
        <f>MAX(0,AD1463-MAX(0,AE1463))</f>
        <v>0</v>
      </c>
      <c r="AH1463" s="80">
        <f>IF(ISNUMBER(B1463),IF(AND(INDEX(CFG_WDAYS,WEEKDAY(INT(B1463),2))="Sí",IF(D1463="proMX",COUNTIFS(FER_F,INT(B1463),FER_NLP,"Sí"),COUNTIFS(FER_F,INT(B1463),FER_NLM,"Sí"))=0),1,0),0)</f>
        <v>0</v>
      </c>
      <c r="AI1463" s="80">
        <f>IF(AC1463=1,IF(AND(INDEX(CFG_WDAYS,WEEKDAY(INT(B1463)+1,2))="Sí",IF(D1463="proMX",COUNTIFS(FER_F,INT(B1463)+1,FER_NLP,"Sí"),COUNTIFS(FER_F,INT(B1463)+1,FER_NLM,"Sí"))=0),1,0),0)</f>
        <v>0</v>
      </c>
      <c r="AJ1463" s="80">
        <f>IF(AC1463=1,1440-Z1463,AD1463)</f>
        <v>0</v>
      </c>
      <c r="AK1463" s="80">
        <f>IF(AND(AB1463=1,AH1463=1),MAX(0,MIN(IF(AC1463=1,1440,AA1463),CFG_WEM)-MAX(Z1463,CFG_WSM)),0)</f>
        <v>0</v>
      </c>
      <c r="AL1463" s="80">
        <f>IF(AND(AC1463=1,AI1463=1),MAX(0,MIN(AA1463,CFG_WEM)-CFG_WSM),0)</f>
        <v>0</v>
      </c>
      <c r="AM1463" s="80">
        <f>AK1463+AL1463</f>
        <v>0</v>
      </c>
      <c r="AN1463" s="80">
        <f>IF(CFG_BRK="Proporcional",IF(AD1463=0,0,AF1463*AM1463/AD1463),IF(CFG_BRK="Extras primero",MIN(AM1463,MAX(0,AF1463-(AD1463-AM1463))),MIN(AF1463,AM1463)))</f>
        <v>0</v>
      </c>
      <c r="AO1463" s="80">
        <f>AF1463-AN1463</f>
        <v>0</v>
      </c>
      <c r="AP1463" s="80">
        <f>AM1463-AN1463</f>
        <v>0</v>
      </c>
      <c r="AQ1463" s="80">
        <f>AD1463-AM1463-AO1463</f>
        <v>0</v>
      </c>
      <c r="AR1463" s="80">
        <f>IF(AM1463=0,0,AK1463-AN1463*AK1463/AM1463)</f>
        <v>0</v>
      </c>
      <c r="AS1463" s="80">
        <f>IF(AD1463-AM1463=0,0,(AJ1463-AK1463)-AO1463*(AJ1463-AK1463)/(AD1463-AM1463))</f>
        <v>0</v>
      </c>
      <c r="AT1463" s="80" t="str">
        <f>IF(AC1463=1,INT(B1463)+1,"")</f>
        <v/>
      </c>
      <c r="AU1463" s="80">
        <f>IF(AND(D1463="proMX",R1463="Cancelled"),0,1)</f>
        <v>1</v>
      </c>
      <c r="AV1463" s="80">
        <f>IF(AND(AB1463=1,AU1463=1),IF(COUNTIFS($D$5:D1462,D1463,$B$5:B1462,B1463,$Z$5:Z1462,Z1463,$AA$5:AA1462,AA1463,$F$5:F1462,F1463&amp;"",$AU$5:AU1462,1)&gt;0,1,0),0)</f>
        <v>0</v>
      </c>
      <c r="AW1463" s="80" t="str">
        <f>IF(AB1463=1,INT(B1463)*1440+Z1463,"")</f>
        <v/>
      </c>
      <c r="AX1463" s="80" t="str">
        <f>IF(AB1463=1,AW1463+AD1463,"")</f>
        <v/>
      </c>
      <c r="AY1463" s="80">
        <f>IF(AND(AB1463=1,AV1463=0,AU1463=1),1,0)</f>
        <v>0</v>
      </c>
      <c r="AZ1463" s="80">
        <f>IF(AY1463=1,COUNTIFS(R_Emp,D1463,R_SAbs,"&lt;"&amp;AX1463,R_EAbs,"&gt;"&amp;AW1463,R_OKey,1)-1,0)</f>
        <v>0</v>
      </c>
      <c r="BA1463" s="80">
        <f>IF(AY1463=1,COUNTIFS(R_Emp,"&lt;&gt;"&amp;D1463,R_SAbs,"&lt;"&amp;AX1463,R_EAbs,"&gt;"&amp;AW1463,R_OKey,1),0)</f>
        <v>0</v>
      </c>
      <c r="BB1463" s="80">
        <f>IF(AND(AB1463=1,D1463="proMX"),IF(AND(MOD(Z1463,CFG_BLK)=0,MOD(AA1463,CFG_BLK)=0,MOD(AG1463,CFG_BLK)=0,AG1463&gt;0),1,0),1)</f>
        <v>1</v>
      </c>
      <c r="BC1463" s="80" t="str">
        <f>IF(Y1463=0,"",IF(NOT(ISNUMBER(B1463)),"Falta fecha o fecha inválida",IF(D1463="","Falta empresa",IF(AND(D1463&lt;&gt;"Malcolm",D1463&lt;&gt;"proMX"),"Empresa inválida",IF(OR(INT(B1463)&lt;CFG_PSTART,INT(B1463)&gt;CFG_PEND),"Fecha fuera del período",IF(OR(NOT(ISNUMBER(Z1463)),NOT(ISNUMBER(AA1463))),"Falta hora inicio/fin o formato inválido",IF(AB1463=0,"Hora inicio = hora fin",IF(AE1463&lt;0,"Descanso inválido",IF(AE1463&gt;=AD1463,"Descanso ≥ duración",IF(AV1463=1,"Registro duplicado",IF(AZ1463&gt;0,"Se superpone con otro registro "&amp;D1463,IF(BB1463=0,"inicio, fin y duración neta deben ser múltiplos de "&amp;CFG_BLK&amp;" min",""))))))))))))</f>
        <v/>
      </c>
      <c r="BD1463" s="80">
        <f>IF(AND(Y1463=1,BC1463=""),1,0)</f>
        <v>0</v>
      </c>
      <c r="BE1463" s="80">
        <f>IF(AND(BD1463=1,AU1463=1),1,0)</f>
        <v>0</v>
      </c>
      <c r="BF1463" s="80" t="str">
        <f>IF(AND(D1463="proMX",BD1463=1),IF(R1463="","Draft",R1463),"")</f>
        <v/>
      </c>
      <c r="BG1463" s="80">
        <f>IF(BD1463=1,ROUND(AG1463/60,6),0)</f>
        <v>0</v>
      </c>
      <c r="BH1463" s="80">
        <f>IF(BE1463=1,ROUND(AG1463/60,6),0)</f>
        <v>0</v>
      </c>
      <c r="BI1463" s="80">
        <f>IF(BE1463=1,ROUND(AP1463/60,6),0)</f>
        <v>0</v>
      </c>
      <c r="BJ1463" s="80">
        <f>IF(BE1463=1,ROUND(AQ1463/60,6),0)</f>
        <v>0</v>
      </c>
      <c r="BK1463" s="80">
        <f>IF(BE1463=1,ROUND((AR1463+AS1463)/60,6),0)</f>
        <v>0</v>
      </c>
      <c r="BL1463" s="80">
        <f>ROUND(BH1463-BK1463,6)</f>
        <v>0</v>
      </c>
      <c r="BM1463" s="80">
        <f>IF(BE1463=1,ROUND(AR1463/60,6),0)</f>
        <v>0</v>
      </c>
      <c r="BN1463" s="80">
        <f>ROUND(BI1463-BM1463,6)</f>
        <v>0</v>
      </c>
      <c r="BO1463" s="80">
        <f>IF(BE1463=1,ROUND(AS1463/60,6),0)</f>
        <v>0</v>
      </c>
      <c r="BP1463" s="80">
        <f>ROUND(BJ1463-BO1463,6)</f>
        <v>0</v>
      </c>
      <c r="BQ1463" s="80">
        <f>IF(BE1463=1,AW1463,0)</f>
        <v>0</v>
      </c>
      <c r="BR1463" s="80">
        <f>IF(BE1463=1,AX1463,0)</f>
        <v>0</v>
      </c>
      <c r="BS1463" s="80">
        <f>IF(AND(BE1463=1,D1463="Malcolm",BA1463&gt;0),MIN(BH1463,SUMPRODUCT((R_Emp="proMX")*(R_EN&gt;0)*((R_EN-(R_EN&gt;BR1463)*(R_EN-BR1463))&gt;(R_SN+(R_SN&lt;BQ1463)*(BQ1463-R_SN)))*((R_EN-(R_EN&gt;BR1463)*(R_EN-BR1463))-(R_SN+(R_SN&lt;BQ1463)*(BQ1463-R_SN))))/60),0)</f>
        <v>0</v>
      </c>
      <c r="BT1463" s="80">
        <f>IF(AND(BE1463=1,D1463="proMX"),ROUND(BI1463*CFG_RATE+BJ1463*CFG_OTRATE,6),0)</f>
        <v>0</v>
      </c>
      <c r="BU1463" s="80">
        <f>IF(AND(BD1463=1,D1463="proMX"),ROUND(AG1463/CFG_BLK,6),0)</f>
        <v>0</v>
      </c>
      <c r="BV1463" s="80" t="str">
        <f>IF(BF1463="Approved",IF(ISNUMBER(T1463),INT(T1463),INT(B1463)),"")</f>
        <v/>
      </c>
      <c r="BW1463" s="80">
        <f>IF(ISNUMBER(B1463),IF(DB_MON="Todos",1,IF(AND(INT(B1463)&gt;=DB_MS,INT(B1463)&lt;=DB_ME),1,0)),0)</f>
        <v>0</v>
      </c>
      <c r="BX1463" s="80">
        <f>IF(DB_PROJ="Todos",1,IF(E1463&amp;""=DB_PROJ&amp;"",1,0))</f>
        <v>1</v>
      </c>
      <c r="BY1463" s="80">
        <f>BW1463*BX1463</f>
        <v>0</v>
      </c>
      <c r="BZ1463" s="80" t="str">
        <f>IF(Y1463=1,F1463&amp;IF(AND(F1463&amp;""&lt;&gt;"",E1463&amp;""&lt;&gt;"")," · ","")&amp;E1463,"")</f>
        <v/>
      </c>
      <c r="CA1463" s="80" t="str">
        <f>IF(AND(BD1463=1,E1463&amp;""&lt;&gt;""),IF(COUNTIFS($E$5:E1462,E1463,$BD$5:BD1462,1)=0,MAX($CA$5:CA1462)+1,""),"")</f>
        <v/>
      </c>
      <c r="CB1463" s="80" t="str">
        <f>IF(AND(BE1463=1,D1463="Malcolm",E1463&amp;""&lt;&gt;""),IF(COUNTIFS($D$5:D1462,"Malcolm",$E$5:E1462,E1463,$BE$5:BE1462,1)=0,MAX($CB$5:CB1462)+1,""),"")</f>
        <v/>
      </c>
      <c r="CC1463" s="80" t="str">
        <f>IF(AND(BD1463=1,D1463="proMX",E1463&amp;""&lt;&gt;""),IF(COUNTIFS($D$5:D1462,"proMX",$E$5:E1462,E1463,$BD$5:BD1462,1)=0,MAX($CC$5:CC1462)+1,""),"")</f>
        <v/>
      </c>
      <c r="CD1463" s="80" t="str">
        <f>IF(AND(BE1463=1,D1463="Malcolm",F1463&amp;""&lt;&gt;""),IF(COUNTIFS($D$5:D1462,"Malcolm",$F$5:F1462,F1463,$BE$5:BE1462,1)=0,MAX($CD$5:CD1462)+1,""),"")</f>
        <v/>
      </c>
      <c r="CE1463" s="80" t="str">
        <f>IF(AND(BD1463=1,D1463="proMX",F1463&amp;""&lt;&gt;""),IF(COUNTIFS($D$5:D1462,"proMX",$F$5:F1462,F1463,$BD$5:BD1462,1)=0,MAX($CE$5:CE1462)+1,""),"")</f>
        <v/>
      </c>
      <c r="CF1463" s="80" t="str">
        <f>IF(AND(D1463="proMX",BD1463=1),IF(OR(BF1463="Draft",BF1463="Submitted",BF1463="Returned",BF1463="Recall Requested"),MAX($CF$5:CF1462)+1,""),"")</f>
        <v/>
      </c>
      <c r="CG1463" s="80">
        <f>IF(BD1463=0,0,IF(D1463="Malcolm",1,MATCH(BF1463,{"Draft","Submitted","Approved","Returned","Recall Requested","Cancelled"},0)+1))</f>
        <v>0</v>
      </c>
      <c r="CH1463" s="80">
        <f>IF(AND(BF1463="Submitted",ISNUMBER(V1463)),IF(V1463&gt;CFG_MAXD,1,0),0)</f>
        <v>0</v>
      </c>
    </row>
    <row r="1464">
      <c r="A1464" s="71" t="str">
        <f>IF(Y1464=1,ROW()-5,"")</f>
        <v/>
      </c>
      <c r="B1464" s="72" t="n"/>
      <c r="C1464" s="71" t="str">
        <f>IF(ISNUMBER(B1464),CHOOSE(WEEKDAY(B1464,2),"Lun","Mar","Mié","Jue","Vie","Sáb","Dom"),"")</f>
        <v/>
      </c>
      <c r="D1464" s="73" t="n"/>
      <c r="E1464" s="74" t="n"/>
      <c r="F1464" s="74" t="n"/>
      <c r="G1464" s="74" t="n"/>
      <c r="H1464" s="75" t="n"/>
      <c r="I1464" s="75" t="n"/>
      <c r="J1464" s="76" t="n"/>
      <c r="K1464" s="77" t="str">
        <f>IF(AB1464=1,ROUND(AG1464/60,4),"")</f>
        <v/>
      </c>
      <c r="L1464" s="77" t="str">
        <f>IF(BD1464=1,ROUND(AP1464/60,4),"")</f>
        <v/>
      </c>
      <c r="M1464" s="77" t="str">
        <f>IF(BD1464=1,ROUND(AQ1464/60,4),"")</f>
        <v/>
      </c>
      <c r="N1464" s="71" t="str">
        <f>IF(AND(D1464="proMX",AB1464=1),ROUND(AG1464/CFG_BLK,2),"")</f>
        <v/>
      </c>
      <c r="O1464" s="77" t="str">
        <f>IF(D1464="proMX",IF(BD1464=1,ROUND(AG1464/60,4),0),"")</f>
        <v/>
      </c>
      <c r="P1464" s="78" t="str">
        <f>IF(Y1464=0,"",IF(BD1464=1,"OK",IF(D1464="proMX","Revisar bloques: ","Revisar: ")&amp;BC1464))</f>
        <v/>
      </c>
      <c r="Q1464" s="78" t="str">
        <f>IF(NOT(ISNUMBER(B1464)),"",IF(COUNTIFS(FER_F,INT(B1464))&gt;0,"Feriado"&amp;IF(AH1464=1," (laborable)"," (no laborable)"),IF(AH1464=1,"Laborable",IF(WEEKDAY(B1464,2)&gt;5,"Fin de semana","No laborable"))))</f>
        <v/>
      </c>
      <c r="R1464" s="73" t="n"/>
      <c r="S1464" s="72" t="n"/>
      <c r="T1464" s="72" t="n"/>
      <c r="U1464" s="74" t="n"/>
      <c r="V1464" s="79" t="str">
        <f>IF(AND(D1464="proMX",OR(R1464="Submitted",R1464="Recall Requested"),ISNUMBER(S1464)),CFG_TODAY-INT(S1464),"")</f>
        <v/>
      </c>
      <c r="W1464" s="78" t="str">
        <f>IF(BD1464=0,"",IF(BA1464&gt;0,"⚠ Se superpone con un registro de la otra empresa",IF(D1464="Malcolm",IF(COUNTA(R1464,S1464,T1464)&gt;0,"Estado/fechas proMX se ignoran en Malcolm",""),IF(BF1464="Cancelled","Cancelado: excluido de totales",IF(R1464="","Sin estado: se trata como Draft",IF(BF1464="Submitted",IF(ISNUMBER(V1464),IF(V1464&gt;CFG_MAXD,"⚠ "&amp;V1464&amp;" días en Submitted (máx. "&amp;CFG_MAXD&amp;")",""),"Falta fecha de envío"),IF(BF1464="Returned","⚠ Devuelto: corregir y reenviar",IF(BF1464="Recall Requested","Retirada solicitada: pendiente",IF(AND(BF1464="Approved",NOT(ISNUMBER(T1464))),"Falta fecha de aprobación",IF(AND(ISNUMBER(S1464),ISNUMBER(T1464),T1464&lt;S1464),"Aprobación anterior al envío","")))))))))</f>
        <v/>
      </c>
      <c r="Y1464" s="80">
        <f>IF(COUNTA(B1464,D1464,E1464,F1464,G1464,H1464,I1464,J1464,R1464,S1464,T1464)&gt;0,1,0)</f>
        <v>0</v>
      </c>
      <c r="Z1464" s="80" t="str">
        <f>IF(AND(ISNUMBER(H1464),H1464&gt;=0,H1464&lt;1),ROUND(H1464*1440,0),"")</f>
        <v/>
      </c>
      <c r="AA1464" s="80" t="str">
        <f>IF(AND(ISNUMBER(I1464),I1464&gt;=0,I1464&lt;1),ROUND(I1464*1440,0),"")</f>
        <v/>
      </c>
      <c r="AB1464" s="80">
        <f>IF(AND(ISNUMBER(B1464),D1464&lt;&gt;"",ISNUMBER(Z1464),ISNUMBER(AA1464)),IF(Z1464=AA1464,0,1),0)</f>
        <v>0</v>
      </c>
      <c r="AC1464" s="80">
        <f>IF(AB1464=1,IF(AA1464&lt;Z1464,1,0),0)</f>
        <v>0</v>
      </c>
      <c r="AD1464" s="80">
        <f>IF(AB1464=1,IF(AC1464=1,1440-Z1464+AA1464,AA1464-Z1464),0)</f>
        <v>0</v>
      </c>
      <c r="AE1464" s="80">
        <f>IF(J1464="",0,IF(ISNUMBER(J1464),J1464,-1))</f>
        <v>0</v>
      </c>
      <c r="AF1464" s="80">
        <f>MIN(MAX(0,AE1464),AD1464)</f>
        <v>0</v>
      </c>
      <c r="AG1464" s="80">
        <f>MAX(0,AD1464-MAX(0,AE1464))</f>
        <v>0</v>
      </c>
      <c r="AH1464" s="80">
        <f>IF(ISNUMBER(B1464),IF(AND(INDEX(CFG_WDAYS,WEEKDAY(INT(B1464),2))="Sí",IF(D1464="proMX",COUNTIFS(FER_F,INT(B1464),FER_NLP,"Sí"),COUNTIFS(FER_F,INT(B1464),FER_NLM,"Sí"))=0),1,0),0)</f>
        <v>0</v>
      </c>
      <c r="AI1464" s="80">
        <f>IF(AC1464=1,IF(AND(INDEX(CFG_WDAYS,WEEKDAY(INT(B1464)+1,2))="Sí",IF(D1464="proMX",COUNTIFS(FER_F,INT(B1464)+1,FER_NLP,"Sí"),COUNTIFS(FER_F,INT(B1464)+1,FER_NLM,"Sí"))=0),1,0),0)</f>
        <v>0</v>
      </c>
      <c r="AJ1464" s="80">
        <f>IF(AC1464=1,1440-Z1464,AD1464)</f>
        <v>0</v>
      </c>
      <c r="AK1464" s="80">
        <f>IF(AND(AB1464=1,AH1464=1),MAX(0,MIN(IF(AC1464=1,1440,AA1464),CFG_WEM)-MAX(Z1464,CFG_WSM)),0)</f>
        <v>0</v>
      </c>
      <c r="AL1464" s="80">
        <f>IF(AND(AC1464=1,AI1464=1),MAX(0,MIN(AA1464,CFG_WEM)-CFG_WSM),0)</f>
        <v>0</v>
      </c>
      <c r="AM1464" s="80">
        <f>AK1464+AL1464</f>
        <v>0</v>
      </c>
      <c r="AN1464" s="80">
        <f>IF(CFG_BRK="Proporcional",IF(AD1464=0,0,AF1464*AM1464/AD1464),IF(CFG_BRK="Extras primero",MIN(AM1464,MAX(0,AF1464-(AD1464-AM1464))),MIN(AF1464,AM1464)))</f>
        <v>0</v>
      </c>
      <c r="AO1464" s="80">
        <f>AF1464-AN1464</f>
        <v>0</v>
      </c>
      <c r="AP1464" s="80">
        <f>AM1464-AN1464</f>
        <v>0</v>
      </c>
      <c r="AQ1464" s="80">
        <f>AD1464-AM1464-AO1464</f>
        <v>0</v>
      </c>
      <c r="AR1464" s="80">
        <f>IF(AM1464=0,0,AK1464-AN1464*AK1464/AM1464)</f>
        <v>0</v>
      </c>
      <c r="AS1464" s="80">
        <f>IF(AD1464-AM1464=0,0,(AJ1464-AK1464)-AO1464*(AJ1464-AK1464)/(AD1464-AM1464))</f>
        <v>0</v>
      </c>
      <c r="AT1464" s="80" t="str">
        <f>IF(AC1464=1,INT(B1464)+1,"")</f>
        <v/>
      </c>
      <c r="AU1464" s="80">
        <f>IF(AND(D1464="proMX",R1464="Cancelled"),0,1)</f>
        <v>1</v>
      </c>
      <c r="AV1464" s="80">
        <f>IF(AND(AB1464=1,AU1464=1),IF(COUNTIFS($D$5:D1463,D1464,$B$5:B1463,B1464,$Z$5:Z1463,Z1464,$AA$5:AA1463,AA1464,$F$5:F1463,F1464&amp;"",$AU$5:AU1463,1)&gt;0,1,0),0)</f>
        <v>0</v>
      </c>
      <c r="AW1464" s="80" t="str">
        <f>IF(AB1464=1,INT(B1464)*1440+Z1464,"")</f>
        <v/>
      </c>
      <c r="AX1464" s="80" t="str">
        <f>IF(AB1464=1,AW1464+AD1464,"")</f>
        <v/>
      </c>
      <c r="AY1464" s="80">
        <f>IF(AND(AB1464=1,AV1464=0,AU1464=1),1,0)</f>
        <v>0</v>
      </c>
      <c r="AZ1464" s="80">
        <f>IF(AY1464=1,COUNTIFS(R_Emp,D1464,R_SAbs,"&lt;"&amp;AX1464,R_EAbs,"&gt;"&amp;AW1464,R_OKey,1)-1,0)</f>
        <v>0</v>
      </c>
      <c r="BA1464" s="80">
        <f>IF(AY1464=1,COUNTIFS(R_Emp,"&lt;&gt;"&amp;D1464,R_SAbs,"&lt;"&amp;AX1464,R_EAbs,"&gt;"&amp;AW1464,R_OKey,1),0)</f>
        <v>0</v>
      </c>
      <c r="BB1464" s="80">
        <f>IF(AND(AB1464=1,D1464="proMX"),IF(AND(MOD(Z1464,CFG_BLK)=0,MOD(AA1464,CFG_BLK)=0,MOD(AG1464,CFG_BLK)=0,AG1464&gt;0),1,0),1)</f>
        <v>1</v>
      </c>
      <c r="BC1464" s="80" t="str">
        <f>IF(Y1464=0,"",IF(NOT(ISNUMBER(B1464)),"Falta fecha o fecha inválida",IF(D1464="","Falta empresa",IF(AND(D1464&lt;&gt;"Malcolm",D1464&lt;&gt;"proMX"),"Empresa inválida",IF(OR(INT(B1464)&lt;CFG_PSTART,INT(B1464)&gt;CFG_PEND),"Fecha fuera del período",IF(OR(NOT(ISNUMBER(Z1464)),NOT(ISNUMBER(AA1464))),"Falta hora inicio/fin o formato inválido",IF(AB1464=0,"Hora inicio = hora fin",IF(AE1464&lt;0,"Descanso inválido",IF(AE1464&gt;=AD1464,"Descanso ≥ duración",IF(AV1464=1,"Registro duplicado",IF(AZ1464&gt;0,"Se superpone con otro registro "&amp;D1464,IF(BB1464=0,"inicio, fin y duración neta deben ser múltiplos de "&amp;CFG_BLK&amp;" min",""))))))))))))</f>
        <v/>
      </c>
      <c r="BD1464" s="80">
        <f>IF(AND(Y1464=1,BC1464=""),1,0)</f>
        <v>0</v>
      </c>
      <c r="BE1464" s="80">
        <f>IF(AND(BD1464=1,AU1464=1),1,0)</f>
        <v>0</v>
      </c>
      <c r="BF1464" s="80" t="str">
        <f>IF(AND(D1464="proMX",BD1464=1),IF(R1464="","Draft",R1464),"")</f>
        <v/>
      </c>
      <c r="BG1464" s="80">
        <f>IF(BD1464=1,ROUND(AG1464/60,6),0)</f>
        <v>0</v>
      </c>
      <c r="BH1464" s="80">
        <f>IF(BE1464=1,ROUND(AG1464/60,6),0)</f>
        <v>0</v>
      </c>
      <c r="BI1464" s="80">
        <f>IF(BE1464=1,ROUND(AP1464/60,6),0)</f>
        <v>0</v>
      </c>
      <c r="BJ1464" s="80">
        <f>IF(BE1464=1,ROUND(AQ1464/60,6),0)</f>
        <v>0</v>
      </c>
      <c r="BK1464" s="80">
        <f>IF(BE1464=1,ROUND((AR1464+AS1464)/60,6),0)</f>
        <v>0</v>
      </c>
      <c r="BL1464" s="80">
        <f>ROUND(BH1464-BK1464,6)</f>
        <v>0</v>
      </c>
      <c r="BM1464" s="80">
        <f>IF(BE1464=1,ROUND(AR1464/60,6),0)</f>
        <v>0</v>
      </c>
      <c r="BN1464" s="80">
        <f>ROUND(BI1464-BM1464,6)</f>
        <v>0</v>
      </c>
      <c r="BO1464" s="80">
        <f>IF(BE1464=1,ROUND(AS1464/60,6),0)</f>
        <v>0</v>
      </c>
      <c r="BP1464" s="80">
        <f>ROUND(BJ1464-BO1464,6)</f>
        <v>0</v>
      </c>
      <c r="BQ1464" s="80">
        <f>IF(BE1464=1,AW1464,0)</f>
        <v>0</v>
      </c>
      <c r="BR1464" s="80">
        <f>IF(BE1464=1,AX1464,0)</f>
        <v>0</v>
      </c>
      <c r="BS1464" s="80">
        <f>IF(AND(BE1464=1,D1464="Malcolm",BA1464&gt;0),MIN(BH1464,SUMPRODUCT((R_Emp="proMX")*(R_EN&gt;0)*((R_EN-(R_EN&gt;BR1464)*(R_EN-BR1464))&gt;(R_SN+(R_SN&lt;BQ1464)*(BQ1464-R_SN)))*((R_EN-(R_EN&gt;BR1464)*(R_EN-BR1464))-(R_SN+(R_SN&lt;BQ1464)*(BQ1464-R_SN))))/60),0)</f>
        <v>0</v>
      </c>
      <c r="BT1464" s="80">
        <f>IF(AND(BE1464=1,D1464="proMX"),ROUND(BI1464*CFG_RATE+BJ1464*CFG_OTRATE,6),0)</f>
        <v>0</v>
      </c>
      <c r="BU1464" s="80">
        <f>IF(AND(BD1464=1,D1464="proMX"),ROUND(AG1464/CFG_BLK,6),0)</f>
        <v>0</v>
      </c>
      <c r="BV1464" s="80" t="str">
        <f>IF(BF1464="Approved",IF(ISNUMBER(T1464),INT(T1464),INT(B1464)),"")</f>
        <v/>
      </c>
      <c r="BW1464" s="80">
        <f>IF(ISNUMBER(B1464),IF(DB_MON="Todos",1,IF(AND(INT(B1464)&gt;=DB_MS,INT(B1464)&lt;=DB_ME),1,0)),0)</f>
        <v>0</v>
      </c>
      <c r="BX1464" s="80">
        <f>IF(DB_PROJ="Todos",1,IF(E1464&amp;""=DB_PROJ&amp;"",1,0))</f>
        <v>1</v>
      </c>
      <c r="BY1464" s="80">
        <f>BW1464*BX1464</f>
        <v>0</v>
      </c>
      <c r="BZ1464" s="80" t="str">
        <f>IF(Y1464=1,F1464&amp;IF(AND(F1464&amp;""&lt;&gt;"",E1464&amp;""&lt;&gt;"")," · ","")&amp;E1464,"")</f>
        <v/>
      </c>
      <c r="CA1464" s="80" t="str">
        <f>IF(AND(BD1464=1,E1464&amp;""&lt;&gt;""),IF(COUNTIFS($E$5:E1463,E1464,$BD$5:BD1463,1)=0,MAX($CA$5:CA1463)+1,""),"")</f>
        <v/>
      </c>
      <c r="CB1464" s="80" t="str">
        <f>IF(AND(BE1464=1,D1464="Malcolm",E1464&amp;""&lt;&gt;""),IF(COUNTIFS($D$5:D1463,"Malcolm",$E$5:E1463,E1464,$BE$5:BE1463,1)=0,MAX($CB$5:CB1463)+1,""),"")</f>
        <v/>
      </c>
      <c r="CC1464" s="80" t="str">
        <f>IF(AND(BD1464=1,D1464="proMX",E1464&amp;""&lt;&gt;""),IF(COUNTIFS($D$5:D1463,"proMX",$E$5:E1463,E1464,$BD$5:BD1463,1)=0,MAX($CC$5:CC1463)+1,""),"")</f>
        <v/>
      </c>
      <c r="CD1464" s="80" t="str">
        <f>IF(AND(BE1464=1,D1464="Malcolm",F1464&amp;""&lt;&gt;""),IF(COUNTIFS($D$5:D1463,"Malcolm",$F$5:F1463,F1464,$BE$5:BE1463,1)=0,MAX($CD$5:CD1463)+1,""),"")</f>
        <v/>
      </c>
      <c r="CE1464" s="80" t="str">
        <f>IF(AND(BD1464=1,D1464="proMX",F1464&amp;""&lt;&gt;""),IF(COUNTIFS($D$5:D1463,"proMX",$F$5:F1463,F1464,$BD$5:BD1463,1)=0,MAX($CE$5:CE1463)+1,""),"")</f>
        <v/>
      </c>
      <c r="CF1464" s="80" t="str">
        <f>IF(AND(D1464="proMX",BD1464=1),IF(OR(BF1464="Draft",BF1464="Submitted",BF1464="Returned",BF1464="Recall Requested"),MAX($CF$5:CF1463)+1,""),"")</f>
        <v/>
      </c>
      <c r="CG1464" s="80">
        <f>IF(BD1464=0,0,IF(D1464="Malcolm",1,MATCH(BF1464,{"Draft","Submitted","Approved","Returned","Recall Requested","Cancelled"},0)+1))</f>
        <v>0</v>
      </c>
      <c r="CH1464" s="80">
        <f>IF(AND(BF1464="Submitted",ISNUMBER(V1464)),IF(V1464&gt;CFG_MAXD,1,0),0)</f>
        <v>0</v>
      </c>
    </row>
    <row r="1465">
      <c r="A1465" s="71" t="str">
        <f>IF(Y1465=1,ROW()-5,"")</f>
        <v/>
      </c>
      <c r="B1465" s="72" t="n"/>
      <c r="C1465" s="71" t="str">
        <f>IF(ISNUMBER(B1465),CHOOSE(WEEKDAY(B1465,2),"Lun","Mar","Mié","Jue","Vie","Sáb","Dom"),"")</f>
        <v/>
      </c>
      <c r="D1465" s="73" t="n"/>
      <c r="E1465" s="74" t="n"/>
      <c r="F1465" s="74" t="n"/>
      <c r="G1465" s="74" t="n"/>
      <c r="H1465" s="75" t="n"/>
      <c r="I1465" s="75" t="n"/>
      <c r="J1465" s="76" t="n"/>
      <c r="K1465" s="77" t="str">
        <f>IF(AB1465=1,ROUND(AG1465/60,4),"")</f>
        <v/>
      </c>
      <c r="L1465" s="77" t="str">
        <f>IF(BD1465=1,ROUND(AP1465/60,4),"")</f>
        <v/>
      </c>
      <c r="M1465" s="77" t="str">
        <f>IF(BD1465=1,ROUND(AQ1465/60,4),"")</f>
        <v/>
      </c>
      <c r="N1465" s="71" t="str">
        <f>IF(AND(D1465="proMX",AB1465=1),ROUND(AG1465/CFG_BLK,2),"")</f>
        <v/>
      </c>
      <c r="O1465" s="77" t="str">
        <f>IF(D1465="proMX",IF(BD1465=1,ROUND(AG1465/60,4),0),"")</f>
        <v/>
      </c>
      <c r="P1465" s="78" t="str">
        <f>IF(Y1465=0,"",IF(BD1465=1,"OK",IF(D1465="proMX","Revisar bloques: ","Revisar: ")&amp;BC1465))</f>
        <v/>
      </c>
      <c r="Q1465" s="78" t="str">
        <f>IF(NOT(ISNUMBER(B1465)),"",IF(COUNTIFS(FER_F,INT(B1465))&gt;0,"Feriado"&amp;IF(AH1465=1," (laborable)"," (no laborable)"),IF(AH1465=1,"Laborable",IF(WEEKDAY(B1465,2)&gt;5,"Fin de semana","No laborable"))))</f>
        <v/>
      </c>
      <c r="R1465" s="73" t="n"/>
      <c r="S1465" s="72" t="n"/>
      <c r="T1465" s="72" t="n"/>
      <c r="U1465" s="74" t="n"/>
      <c r="V1465" s="79" t="str">
        <f>IF(AND(D1465="proMX",OR(R1465="Submitted",R1465="Recall Requested"),ISNUMBER(S1465)),CFG_TODAY-INT(S1465),"")</f>
        <v/>
      </c>
      <c r="W1465" s="78" t="str">
        <f>IF(BD1465=0,"",IF(BA1465&gt;0,"⚠ Se superpone con un registro de la otra empresa",IF(D1465="Malcolm",IF(COUNTA(R1465,S1465,T1465)&gt;0,"Estado/fechas proMX se ignoran en Malcolm",""),IF(BF1465="Cancelled","Cancelado: excluido de totales",IF(R1465="","Sin estado: se trata como Draft",IF(BF1465="Submitted",IF(ISNUMBER(V1465),IF(V1465&gt;CFG_MAXD,"⚠ "&amp;V1465&amp;" días en Submitted (máx. "&amp;CFG_MAXD&amp;")",""),"Falta fecha de envío"),IF(BF1465="Returned","⚠ Devuelto: corregir y reenviar",IF(BF1465="Recall Requested","Retirada solicitada: pendiente",IF(AND(BF1465="Approved",NOT(ISNUMBER(T1465))),"Falta fecha de aprobación",IF(AND(ISNUMBER(S1465),ISNUMBER(T1465),T1465&lt;S1465),"Aprobación anterior al envío","")))))))))</f>
        <v/>
      </c>
      <c r="Y1465" s="80">
        <f>IF(COUNTA(B1465,D1465,E1465,F1465,G1465,H1465,I1465,J1465,R1465,S1465,T1465)&gt;0,1,0)</f>
        <v>0</v>
      </c>
      <c r="Z1465" s="80" t="str">
        <f>IF(AND(ISNUMBER(H1465),H1465&gt;=0,H1465&lt;1),ROUND(H1465*1440,0),"")</f>
        <v/>
      </c>
      <c r="AA1465" s="80" t="str">
        <f>IF(AND(ISNUMBER(I1465),I1465&gt;=0,I1465&lt;1),ROUND(I1465*1440,0),"")</f>
        <v/>
      </c>
      <c r="AB1465" s="80">
        <f>IF(AND(ISNUMBER(B1465),D1465&lt;&gt;"",ISNUMBER(Z1465),ISNUMBER(AA1465)),IF(Z1465=AA1465,0,1),0)</f>
        <v>0</v>
      </c>
      <c r="AC1465" s="80">
        <f>IF(AB1465=1,IF(AA1465&lt;Z1465,1,0),0)</f>
        <v>0</v>
      </c>
      <c r="AD1465" s="80">
        <f>IF(AB1465=1,IF(AC1465=1,1440-Z1465+AA1465,AA1465-Z1465),0)</f>
        <v>0</v>
      </c>
      <c r="AE1465" s="80">
        <f>IF(J1465="",0,IF(ISNUMBER(J1465),J1465,-1))</f>
        <v>0</v>
      </c>
      <c r="AF1465" s="80">
        <f>MIN(MAX(0,AE1465),AD1465)</f>
        <v>0</v>
      </c>
      <c r="AG1465" s="80">
        <f>MAX(0,AD1465-MAX(0,AE1465))</f>
        <v>0</v>
      </c>
      <c r="AH1465" s="80">
        <f>IF(ISNUMBER(B1465),IF(AND(INDEX(CFG_WDAYS,WEEKDAY(INT(B1465),2))="Sí",IF(D1465="proMX",COUNTIFS(FER_F,INT(B1465),FER_NLP,"Sí"),COUNTIFS(FER_F,INT(B1465),FER_NLM,"Sí"))=0),1,0),0)</f>
        <v>0</v>
      </c>
      <c r="AI1465" s="80">
        <f>IF(AC1465=1,IF(AND(INDEX(CFG_WDAYS,WEEKDAY(INT(B1465)+1,2))="Sí",IF(D1465="proMX",COUNTIFS(FER_F,INT(B1465)+1,FER_NLP,"Sí"),COUNTIFS(FER_F,INT(B1465)+1,FER_NLM,"Sí"))=0),1,0),0)</f>
        <v>0</v>
      </c>
      <c r="AJ1465" s="80">
        <f>IF(AC1465=1,1440-Z1465,AD1465)</f>
        <v>0</v>
      </c>
      <c r="AK1465" s="80">
        <f>IF(AND(AB1465=1,AH1465=1),MAX(0,MIN(IF(AC1465=1,1440,AA1465),CFG_WEM)-MAX(Z1465,CFG_WSM)),0)</f>
        <v>0</v>
      </c>
      <c r="AL1465" s="80">
        <f>IF(AND(AC1465=1,AI1465=1),MAX(0,MIN(AA1465,CFG_WEM)-CFG_WSM),0)</f>
        <v>0</v>
      </c>
      <c r="AM1465" s="80">
        <f>AK1465+AL1465</f>
        <v>0</v>
      </c>
      <c r="AN1465" s="80">
        <f>IF(CFG_BRK="Proporcional",IF(AD1465=0,0,AF1465*AM1465/AD1465),IF(CFG_BRK="Extras primero",MIN(AM1465,MAX(0,AF1465-(AD1465-AM1465))),MIN(AF1465,AM1465)))</f>
        <v>0</v>
      </c>
      <c r="AO1465" s="80">
        <f>AF1465-AN1465</f>
        <v>0</v>
      </c>
      <c r="AP1465" s="80">
        <f>AM1465-AN1465</f>
        <v>0</v>
      </c>
      <c r="AQ1465" s="80">
        <f>AD1465-AM1465-AO1465</f>
        <v>0</v>
      </c>
      <c r="AR1465" s="80">
        <f>IF(AM1465=0,0,AK1465-AN1465*AK1465/AM1465)</f>
        <v>0</v>
      </c>
      <c r="AS1465" s="80">
        <f>IF(AD1465-AM1465=0,0,(AJ1465-AK1465)-AO1465*(AJ1465-AK1465)/(AD1465-AM1465))</f>
        <v>0</v>
      </c>
      <c r="AT1465" s="80" t="str">
        <f>IF(AC1465=1,INT(B1465)+1,"")</f>
        <v/>
      </c>
      <c r="AU1465" s="80">
        <f>IF(AND(D1465="proMX",R1465="Cancelled"),0,1)</f>
        <v>1</v>
      </c>
      <c r="AV1465" s="80">
        <f>IF(AND(AB1465=1,AU1465=1),IF(COUNTIFS($D$5:D1464,D1465,$B$5:B1464,B1465,$Z$5:Z1464,Z1465,$AA$5:AA1464,AA1465,$F$5:F1464,F1465&amp;"",$AU$5:AU1464,1)&gt;0,1,0),0)</f>
        <v>0</v>
      </c>
      <c r="AW1465" s="80" t="str">
        <f>IF(AB1465=1,INT(B1465)*1440+Z1465,"")</f>
        <v/>
      </c>
      <c r="AX1465" s="80" t="str">
        <f>IF(AB1465=1,AW1465+AD1465,"")</f>
        <v/>
      </c>
      <c r="AY1465" s="80">
        <f>IF(AND(AB1465=1,AV1465=0,AU1465=1),1,0)</f>
        <v>0</v>
      </c>
      <c r="AZ1465" s="80">
        <f>IF(AY1465=1,COUNTIFS(R_Emp,D1465,R_SAbs,"&lt;"&amp;AX1465,R_EAbs,"&gt;"&amp;AW1465,R_OKey,1)-1,0)</f>
        <v>0</v>
      </c>
      <c r="BA1465" s="80">
        <f>IF(AY1465=1,COUNTIFS(R_Emp,"&lt;&gt;"&amp;D1465,R_SAbs,"&lt;"&amp;AX1465,R_EAbs,"&gt;"&amp;AW1465,R_OKey,1),0)</f>
        <v>0</v>
      </c>
      <c r="BB1465" s="80">
        <f>IF(AND(AB1465=1,D1465="proMX"),IF(AND(MOD(Z1465,CFG_BLK)=0,MOD(AA1465,CFG_BLK)=0,MOD(AG1465,CFG_BLK)=0,AG1465&gt;0),1,0),1)</f>
        <v>1</v>
      </c>
      <c r="BC1465" s="80" t="str">
        <f>IF(Y1465=0,"",IF(NOT(ISNUMBER(B1465)),"Falta fecha o fecha inválida",IF(D1465="","Falta empresa",IF(AND(D1465&lt;&gt;"Malcolm",D1465&lt;&gt;"proMX"),"Empresa inválida",IF(OR(INT(B1465)&lt;CFG_PSTART,INT(B1465)&gt;CFG_PEND),"Fecha fuera del período",IF(OR(NOT(ISNUMBER(Z1465)),NOT(ISNUMBER(AA1465))),"Falta hora inicio/fin o formato inválido",IF(AB1465=0,"Hora inicio = hora fin",IF(AE1465&lt;0,"Descanso inválido",IF(AE1465&gt;=AD1465,"Descanso ≥ duración",IF(AV1465=1,"Registro duplicado",IF(AZ1465&gt;0,"Se superpone con otro registro "&amp;D1465,IF(BB1465=0,"inicio, fin y duración neta deben ser múltiplos de "&amp;CFG_BLK&amp;" min",""))))))))))))</f>
        <v/>
      </c>
      <c r="BD1465" s="80">
        <f>IF(AND(Y1465=1,BC1465=""),1,0)</f>
        <v>0</v>
      </c>
      <c r="BE1465" s="80">
        <f>IF(AND(BD1465=1,AU1465=1),1,0)</f>
        <v>0</v>
      </c>
      <c r="BF1465" s="80" t="str">
        <f>IF(AND(D1465="proMX",BD1465=1),IF(R1465="","Draft",R1465),"")</f>
        <v/>
      </c>
      <c r="BG1465" s="80">
        <f>IF(BD1465=1,ROUND(AG1465/60,6),0)</f>
        <v>0</v>
      </c>
      <c r="BH1465" s="80">
        <f>IF(BE1465=1,ROUND(AG1465/60,6),0)</f>
        <v>0</v>
      </c>
      <c r="BI1465" s="80">
        <f>IF(BE1465=1,ROUND(AP1465/60,6),0)</f>
        <v>0</v>
      </c>
      <c r="BJ1465" s="80">
        <f>IF(BE1465=1,ROUND(AQ1465/60,6),0)</f>
        <v>0</v>
      </c>
      <c r="BK1465" s="80">
        <f>IF(BE1465=1,ROUND((AR1465+AS1465)/60,6),0)</f>
        <v>0</v>
      </c>
      <c r="BL1465" s="80">
        <f>ROUND(BH1465-BK1465,6)</f>
        <v>0</v>
      </c>
      <c r="BM1465" s="80">
        <f>IF(BE1465=1,ROUND(AR1465/60,6),0)</f>
        <v>0</v>
      </c>
      <c r="BN1465" s="80">
        <f>ROUND(BI1465-BM1465,6)</f>
        <v>0</v>
      </c>
      <c r="BO1465" s="80">
        <f>IF(BE1465=1,ROUND(AS1465/60,6),0)</f>
        <v>0</v>
      </c>
      <c r="BP1465" s="80">
        <f>ROUND(BJ1465-BO1465,6)</f>
        <v>0</v>
      </c>
      <c r="BQ1465" s="80">
        <f>IF(BE1465=1,AW1465,0)</f>
        <v>0</v>
      </c>
      <c r="BR1465" s="80">
        <f>IF(BE1465=1,AX1465,0)</f>
        <v>0</v>
      </c>
      <c r="BS1465" s="80">
        <f>IF(AND(BE1465=1,D1465="Malcolm",BA1465&gt;0),MIN(BH1465,SUMPRODUCT((R_Emp="proMX")*(R_EN&gt;0)*((R_EN-(R_EN&gt;BR1465)*(R_EN-BR1465))&gt;(R_SN+(R_SN&lt;BQ1465)*(BQ1465-R_SN)))*((R_EN-(R_EN&gt;BR1465)*(R_EN-BR1465))-(R_SN+(R_SN&lt;BQ1465)*(BQ1465-R_SN))))/60),0)</f>
        <v>0</v>
      </c>
      <c r="BT1465" s="80">
        <f>IF(AND(BE1465=1,D1465="proMX"),ROUND(BI1465*CFG_RATE+BJ1465*CFG_OTRATE,6),0)</f>
        <v>0</v>
      </c>
      <c r="BU1465" s="80">
        <f>IF(AND(BD1465=1,D1465="proMX"),ROUND(AG1465/CFG_BLK,6),0)</f>
        <v>0</v>
      </c>
      <c r="BV1465" s="80" t="str">
        <f>IF(BF1465="Approved",IF(ISNUMBER(T1465),INT(T1465),INT(B1465)),"")</f>
        <v/>
      </c>
      <c r="BW1465" s="80">
        <f>IF(ISNUMBER(B1465),IF(DB_MON="Todos",1,IF(AND(INT(B1465)&gt;=DB_MS,INT(B1465)&lt;=DB_ME),1,0)),0)</f>
        <v>0</v>
      </c>
      <c r="BX1465" s="80">
        <f>IF(DB_PROJ="Todos",1,IF(E1465&amp;""=DB_PROJ&amp;"",1,0))</f>
        <v>1</v>
      </c>
      <c r="BY1465" s="80">
        <f>BW1465*BX1465</f>
        <v>0</v>
      </c>
      <c r="BZ1465" s="80" t="str">
        <f>IF(Y1465=1,F1465&amp;IF(AND(F1465&amp;""&lt;&gt;"",E1465&amp;""&lt;&gt;"")," · ","")&amp;E1465,"")</f>
        <v/>
      </c>
      <c r="CA1465" s="80" t="str">
        <f>IF(AND(BD1465=1,E1465&amp;""&lt;&gt;""),IF(COUNTIFS($E$5:E1464,E1465,$BD$5:BD1464,1)=0,MAX($CA$5:CA1464)+1,""),"")</f>
        <v/>
      </c>
      <c r="CB1465" s="80" t="str">
        <f>IF(AND(BE1465=1,D1465="Malcolm",E1465&amp;""&lt;&gt;""),IF(COUNTIFS($D$5:D1464,"Malcolm",$E$5:E1464,E1465,$BE$5:BE1464,1)=0,MAX($CB$5:CB1464)+1,""),"")</f>
        <v/>
      </c>
      <c r="CC1465" s="80" t="str">
        <f>IF(AND(BD1465=1,D1465="proMX",E1465&amp;""&lt;&gt;""),IF(COUNTIFS($D$5:D1464,"proMX",$E$5:E1464,E1465,$BD$5:BD1464,1)=0,MAX($CC$5:CC1464)+1,""),"")</f>
        <v/>
      </c>
      <c r="CD1465" s="80" t="str">
        <f>IF(AND(BE1465=1,D1465="Malcolm",F1465&amp;""&lt;&gt;""),IF(COUNTIFS($D$5:D1464,"Malcolm",$F$5:F1464,F1465,$BE$5:BE1464,1)=0,MAX($CD$5:CD1464)+1,""),"")</f>
        <v/>
      </c>
      <c r="CE1465" s="80" t="str">
        <f>IF(AND(BD1465=1,D1465="proMX",F1465&amp;""&lt;&gt;""),IF(COUNTIFS($D$5:D1464,"proMX",$F$5:F1464,F1465,$BD$5:BD1464,1)=0,MAX($CE$5:CE1464)+1,""),"")</f>
        <v/>
      </c>
      <c r="CF1465" s="80" t="str">
        <f>IF(AND(D1465="proMX",BD1465=1),IF(OR(BF1465="Draft",BF1465="Submitted",BF1465="Returned",BF1465="Recall Requested"),MAX($CF$5:CF1464)+1,""),"")</f>
        <v/>
      </c>
      <c r="CG1465" s="80">
        <f>IF(BD1465=0,0,IF(D1465="Malcolm",1,MATCH(BF1465,{"Draft","Submitted","Approved","Returned","Recall Requested","Cancelled"},0)+1))</f>
        <v>0</v>
      </c>
      <c r="CH1465" s="80">
        <f>IF(AND(BF1465="Submitted",ISNUMBER(V1465)),IF(V1465&gt;CFG_MAXD,1,0),0)</f>
        <v>0</v>
      </c>
    </row>
    <row r="1466">
      <c r="A1466" s="71" t="str">
        <f>IF(Y1466=1,ROW()-5,"")</f>
        <v/>
      </c>
      <c r="B1466" s="72" t="n"/>
      <c r="C1466" s="71" t="str">
        <f>IF(ISNUMBER(B1466),CHOOSE(WEEKDAY(B1466,2),"Lun","Mar","Mié","Jue","Vie","Sáb","Dom"),"")</f>
        <v/>
      </c>
      <c r="D1466" s="73" t="n"/>
      <c r="E1466" s="74" t="n"/>
      <c r="F1466" s="74" t="n"/>
      <c r="G1466" s="74" t="n"/>
      <c r="H1466" s="75" t="n"/>
      <c r="I1466" s="75" t="n"/>
      <c r="J1466" s="76" t="n"/>
      <c r="K1466" s="77" t="str">
        <f>IF(AB1466=1,ROUND(AG1466/60,4),"")</f>
        <v/>
      </c>
      <c r="L1466" s="77" t="str">
        <f>IF(BD1466=1,ROUND(AP1466/60,4),"")</f>
        <v/>
      </c>
      <c r="M1466" s="77" t="str">
        <f>IF(BD1466=1,ROUND(AQ1466/60,4),"")</f>
        <v/>
      </c>
      <c r="N1466" s="71" t="str">
        <f>IF(AND(D1466="proMX",AB1466=1),ROUND(AG1466/CFG_BLK,2),"")</f>
        <v/>
      </c>
      <c r="O1466" s="77" t="str">
        <f>IF(D1466="proMX",IF(BD1466=1,ROUND(AG1466/60,4),0),"")</f>
        <v/>
      </c>
      <c r="P1466" s="78" t="str">
        <f>IF(Y1466=0,"",IF(BD1466=1,"OK",IF(D1466="proMX","Revisar bloques: ","Revisar: ")&amp;BC1466))</f>
        <v/>
      </c>
      <c r="Q1466" s="78" t="str">
        <f>IF(NOT(ISNUMBER(B1466)),"",IF(COUNTIFS(FER_F,INT(B1466))&gt;0,"Feriado"&amp;IF(AH1466=1," (laborable)"," (no laborable)"),IF(AH1466=1,"Laborable",IF(WEEKDAY(B1466,2)&gt;5,"Fin de semana","No laborable"))))</f>
        <v/>
      </c>
      <c r="R1466" s="73" t="n"/>
      <c r="S1466" s="72" t="n"/>
      <c r="T1466" s="72" t="n"/>
      <c r="U1466" s="74" t="n"/>
      <c r="V1466" s="79" t="str">
        <f>IF(AND(D1466="proMX",OR(R1466="Submitted",R1466="Recall Requested"),ISNUMBER(S1466)),CFG_TODAY-INT(S1466),"")</f>
        <v/>
      </c>
      <c r="W1466" s="78" t="str">
        <f>IF(BD1466=0,"",IF(BA1466&gt;0,"⚠ Se superpone con un registro de la otra empresa",IF(D1466="Malcolm",IF(COUNTA(R1466,S1466,T1466)&gt;0,"Estado/fechas proMX se ignoran en Malcolm",""),IF(BF1466="Cancelled","Cancelado: excluido de totales",IF(R1466="","Sin estado: se trata como Draft",IF(BF1466="Submitted",IF(ISNUMBER(V1466),IF(V1466&gt;CFG_MAXD,"⚠ "&amp;V1466&amp;" días en Submitted (máx. "&amp;CFG_MAXD&amp;")",""),"Falta fecha de envío"),IF(BF1466="Returned","⚠ Devuelto: corregir y reenviar",IF(BF1466="Recall Requested","Retirada solicitada: pendiente",IF(AND(BF1466="Approved",NOT(ISNUMBER(T1466))),"Falta fecha de aprobación",IF(AND(ISNUMBER(S1466),ISNUMBER(T1466),T1466&lt;S1466),"Aprobación anterior al envío","")))))))))</f>
        <v/>
      </c>
      <c r="Y1466" s="80">
        <f>IF(COUNTA(B1466,D1466,E1466,F1466,G1466,H1466,I1466,J1466,R1466,S1466,T1466)&gt;0,1,0)</f>
        <v>0</v>
      </c>
      <c r="Z1466" s="80" t="str">
        <f>IF(AND(ISNUMBER(H1466),H1466&gt;=0,H1466&lt;1),ROUND(H1466*1440,0),"")</f>
        <v/>
      </c>
      <c r="AA1466" s="80" t="str">
        <f>IF(AND(ISNUMBER(I1466),I1466&gt;=0,I1466&lt;1),ROUND(I1466*1440,0),"")</f>
        <v/>
      </c>
      <c r="AB1466" s="80">
        <f>IF(AND(ISNUMBER(B1466),D1466&lt;&gt;"",ISNUMBER(Z1466),ISNUMBER(AA1466)),IF(Z1466=AA1466,0,1),0)</f>
        <v>0</v>
      </c>
      <c r="AC1466" s="80">
        <f>IF(AB1466=1,IF(AA1466&lt;Z1466,1,0),0)</f>
        <v>0</v>
      </c>
      <c r="AD1466" s="80">
        <f>IF(AB1466=1,IF(AC1466=1,1440-Z1466+AA1466,AA1466-Z1466),0)</f>
        <v>0</v>
      </c>
      <c r="AE1466" s="80">
        <f>IF(J1466="",0,IF(ISNUMBER(J1466),J1466,-1))</f>
        <v>0</v>
      </c>
      <c r="AF1466" s="80">
        <f>MIN(MAX(0,AE1466),AD1466)</f>
        <v>0</v>
      </c>
      <c r="AG1466" s="80">
        <f>MAX(0,AD1466-MAX(0,AE1466))</f>
        <v>0</v>
      </c>
      <c r="AH1466" s="80">
        <f>IF(ISNUMBER(B1466),IF(AND(INDEX(CFG_WDAYS,WEEKDAY(INT(B1466),2))="Sí",IF(D1466="proMX",COUNTIFS(FER_F,INT(B1466),FER_NLP,"Sí"),COUNTIFS(FER_F,INT(B1466),FER_NLM,"Sí"))=0),1,0),0)</f>
        <v>0</v>
      </c>
      <c r="AI1466" s="80">
        <f>IF(AC1466=1,IF(AND(INDEX(CFG_WDAYS,WEEKDAY(INT(B1466)+1,2))="Sí",IF(D1466="proMX",COUNTIFS(FER_F,INT(B1466)+1,FER_NLP,"Sí"),COUNTIFS(FER_F,INT(B1466)+1,FER_NLM,"Sí"))=0),1,0),0)</f>
        <v>0</v>
      </c>
      <c r="AJ1466" s="80">
        <f>IF(AC1466=1,1440-Z1466,AD1466)</f>
        <v>0</v>
      </c>
      <c r="AK1466" s="80">
        <f>IF(AND(AB1466=1,AH1466=1),MAX(0,MIN(IF(AC1466=1,1440,AA1466),CFG_WEM)-MAX(Z1466,CFG_WSM)),0)</f>
        <v>0</v>
      </c>
      <c r="AL1466" s="80">
        <f>IF(AND(AC1466=1,AI1466=1),MAX(0,MIN(AA1466,CFG_WEM)-CFG_WSM),0)</f>
        <v>0</v>
      </c>
      <c r="AM1466" s="80">
        <f>AK1466+AL1466</f>
        <v>0</v>
      </c>
      <c r="AN1466" s="80">
        <f>IF(CFG_BRK="Proporcional",IF(AD1466=0,0,AF1466*AM1466/AD1466),IF(CFG_BRK="Extras primero",MIN(AM1466,MAX(0,AF1466-(AD1466-AM1466))),MIN(AF1466,AM1466)))</f>
        <v>0</v>
      </c>
      <c r="AO1466" s="80">
        <f>AF1466-AN1466</f>
        <v>0</v>
      </c>
      <c r="AP1466" s="80">
        <f>AM1466-AN1466</f>
        <v>0</v>
      </c>
      <c r="AQ1466" s="80">
        <f>AD1466-AM1466-AO1466</f>
        <v>0</v>
      </c>
      <c r="AR1466" s="80">
        <f>IF(AM1466=0,0,AK1466-AN1466*AK1466/AM1466)</f>
        <v>0</v>
      </c>
      <c r="AS1466" s="80">
        <f>IF(AD1466-AM1466=0,0,(AJ1466-AK1466)-AO1466*(AJ1466-AK1466)/(AD1466-AM1466))</f>
        <v>0</v>
      </c>
      <c r="AT1466" s="80" t="str">
        <f>IF(AC1466=1,INT(B1466)+1,"")</f>
        <v/>
      </c>
      <c r="AU1466" s="80">
        <f>IF(AND(D1466="proMX",R1466="Cancelled"),0,1)</f>
        <v>1</v>
      </c>
      <c r="AV1466" s="80">
        <f>IF(AND(AB1466=1,AU1466=1),IF(COUNTIFS($D$5:D1465,D1466,$B$5:B1465,B1466,$Z$5:Z1465,Z1466,$AA$5:AA1465,AA1466,$F$5:F1465,F1466&amp;"",$AU$5:AU1465,1)&gt;0,1,0),0)</f>
        <v>0</v>
      </c>
      <c r="AW1466" s="80" t="str">
        <f>IF(AB1466=1,INT(B1466)*1440+Z1466,"")</f>
        <v/>
      </c>
      <c r="AX1466" s="80" t="str">
        <f>IF(AB1466=1,AW1466+AD1466,"")</f>
        <v/>
      </c>
      <c r="AY1466" s="80">
        <f>IF(AND(AB1466=1,AV1466=0,AU1466=1),1,0)</f>
        <v>0</v>
      </c>
      <c r="AZ1466" s="80">
        <f>IF(AY1466=1,COUNTIFS(R_Emp,D1466,R_SAbs,"&lt;"&amp;AX1466,R_EAbs,"&gt;"&amp;AW1466,R_OKey,1)-1,0)</f>
        <v>0</v>
      </c>
      <c r="BA1466" s="80">
        <f>IF(AY1466=1,COUNTIFS(R_Emp,"&lt;&gt;"&amp;D1466,R_SAbs,"&lt;"&amp;AX1466,R_EAbs,"&gt;"&amp;AW1466,R_OKey,1),0)</f>
        <v>0</v>
      </c>
      <c r="BB1466" s="80">
        <f>IF(AND(AB1466=1,D1466="proMX"),IF(AND(MOD(Z1466,CFG_BLK)=0,MOD(AA1466,CFG_BLK)=0,MOD(AG1466,CFG_BLK)=0,AG1466&gt;0),1,0),1)</f>
        <v>1</v>
      </c>
      <c r="BC1466" s="80" t="str">
        <f>IF(Y1466=0,"",IF(NOT(ISNUMBER(B1466)),"Falta fecha o fecha inválida",IF(D1466="","Falta empresa",IF(AND(D1466&lt;&gt;"Malcolm",D1466&lt;&gt;"proMX"),"Empresa inválida",IF(OR(INT(B1466)&lt;CFG_PSTART,INT(B1466)&gt;CFG_PEND),"Fecha fuera del período",IF(OR(NOT(ISNUMBER(Z1466)),NOT(ISNUMBER(AA1466))),"Falta hora inicio/fin o formato inválido",IF(AB1466=0,"Hora inicio = hora fin",IF(AE1466&lt;0,"Descanso inválido",IF(AE1466&gt;=AD1466,"Descanso ≥ duración",IF(AV1466=1,"Registro duplicado",IF(AZ1466&gt;0,"Se superpone con otro registro "&amp;D1466,IF(BB1466=0,"inicio, fin y duración neta deben ser múltiplos de "&amp;CFG_BLK&amp;" min",""))))))))))))</f>
        <v/>
      </c>
      <c r="BD1466" s="80">
        <f>IF(AND(Y1466=1,BC1466=""),1,0)</f>
        <v>0</v>
      </c>
      <c r="BE1466" s="80">
        <f>IF(AND(BD1466=1,AU1466=1),1,0)</f>
        <v>0</v>
      </c>
      <c r="BF1466" s="80" t="str">
        <f>IF(AND(D1466="proMX",BD1466=1),IF(R1466="","Draft",R1466),"")</f>
        <v/>
      </c>
      <c r="BG1466" s="80">
        <f>IF(BD1466=1,ROUND(AG1466/60,6),0)</f>
        <v>0</v>
      </c>
      <c r="BH1466" s="80">
        <f>IF(BE1466=1,ROUND(AG1466/60,6),0)</f>
        <v>0</v>
      </c>
      <c r="BI1466" s="80">
        <f>IF(BE1466=1,ROUND(AP1466/60,6),0)</f>
        <v>0</v>
      </c>
      <c r="BJ1466" s="80">
        <f>IF(BE1466=1,ROUND(AQ1466/60,6),0)</f>
        <v>0</v>
      </c>
      <c r="BK1466" s="80">
        <f>IF(BE1466=1,ROUND((AR1466+AS1466)/60,6),0)</f>
        <v>0</v>
      </c>
      <c r="BL1466" s="80">
        <f>ROUND(BH1466-BK1466,6)</f>
        <v>0</v>
      </c>
      <c r="BM1466" s="80">
        <f>IF(BE1466=1,ROUND(AR1466/60,6),0)</f>
        <v>0</v>
      </c>
      <c r="BN1466" s="80">
        <f>ROUND(BI1466-BM1466,6)</f>
        <v>0</v>
      </c>
      <c r="BO1466" s="80">
        <f>IF(BE1466=1,ROUND(AS1466/60,6),0)</f>
        <v>0</v>
      </c>
      <c r="BP1466" s="80">
        <f>ROUND(BJ1466-BO1466,6)</f>
        <v>0</v>
      </c>
      <c r="BQ1466" s="80">
        <f>IF(BE1466=1,AW1466,0)</f>
        <v>0</v>
      </c>
      <c r="BR1466" s="80">
        <f>IF(BE1466=1,AX1466,0)</f>
        <v>0</v>
      </c>
      <c r="BS1466" s="80">
        <f>IF(AND(BE1466=1,D1466="Malcolm",BA1466&gt;0),MIN(BH1466,SUMPRODUCT((R_Emp="proMX")*(R_EN&gt;0)*((R_EN-(R_EN&gt;BR1466)*(R_EN-BR1466))&gt;(R_SN+(R_SN&lt;BQ1466)*(BQ1466-R_SN)))*((R_EN-(R_EN&gt;BR1466)*(R_EN-BR1466))-(R_SN+(R_SN&lt;BQ1466)*(BQ1466-R_SN))))/60),0)</f>
        <v>0</v>
      </c>
      <c r="BT1466" s="80">
        <f>IF(AND(BE1466=1,D1466="proMX"),ROUND(BI1466*CFG_RATE+BJ1466*CFG_OTRATE,6),0)</f>
        <v>0</v>
      </c>
      <c r="BU1466" s="80">
        <f>IF(AND(BD1466=1,D1466="proMX"),ROUND(AG1466/CFG_BLK,6),0)</f>
        <v>0</v>
      </c>
      <c r="BV1466" s="80" t="str">
        <f>IF(BF1466="Approved",IF(ISNUMBER(T1466),INT(T1466),INT(B1466)),"")</f>
        <v/>
      </c>
      <c r="BW1466" s="80">
        <f>IF(ISNUMBER(B1466),IF(DB_MON="Todos",1,IF(AND(INT(B1466)&gt;=DB_MS,INT(B1466)&lt;=DB_ME),1,0)),0)</f>
        <v>0</v>
      </c>
      <c r="BX1466" s="80">
        <f>IF(DB_PROJ="Todos",1,IF(E1466&amp;""=DB_PROJ&amp;"",1,0))</f>
        <v>1</v>
      </c>
      <c r="BY1466" s="80">
        <f>BW1466*BX1466</f>
        <v>0</v>
      </c>
      <c r="BZ1466" s="80" t="str">
        <f>IF(Y1466=1,F1466&amp;IF(AND(F1466&amp;""&lt;&gt;"",E1466&amp;""&lt;&gt;"")," · ","")&amp;E1466,"")</f>
        <v/>
      </c>
      <c r="CA1466" s="80" t="str">
        <f>IF(AND(BD1466=1,E1466&amp;""&lt;&gt;""),IF(COUNTIFS($E$5:E1465,E1466,$BD$5:BD1465,1)=0,MAX($CA$5:CA1465)+1,""),"")</f>
        <v/>
      </c>
      <c r="CB1466" s="80" t="str">
        <f>IF(AND(BE1466=1,D1466="Malcolm",E1466&amp;""&lt;&gt;""),IF(COUNTIFS($D$5:D1465,"Malcolm",$E$5:E1465,E1466,$BE$5:BE1465,1)=0,MAX($CB$5:CB1465)+1,""),"")</f>
        <v/>
      </c>
      <c r="CC1466" s="80" t="str">
        <f>IF(AND(BD1466=1,D1466="proMX",E1466&amp;""&lt;&gt;""),IF(COUNTIFS($D$5:D1465,"proMX",$E$5:E1465,E1466,$BD$5:BD1465,1)=0,MAX($CC$5:CC1465)+1,""),"")</f>
        <v/>
      </c>
      <c r="CD1466" s="80" t="str">
        <f>IF(AND(BE1466=1,D1466="Malcolm",F1466&amp;""&lt;&gt;""),IF(COUNTIFS($D$5:D1465,"Malcolm",$F$5:F1465,F1466,$BE$5:BE1465,1)=0,MAX($CD$5:CD1465)+1,""),"")</f>
        <v/>
      </c>
      <c r="CE1466" s="80" t="str">
        <f>IF(AND(BD1466=1,D1466="proMX",F1466&amp;""&lt;&gt;""),IF(COUNTIFS($D$5:D1465,"proMX",$F$5:F1465,F1466,$BD$5:BD1465,1)=0,MAX($CE$5:CE1465)+1,""),"")</f>
        <v/>
      </c>
      <c r="CF1466" s="80" t="str">
        <f>IF(AND(D1466="proMX",BD1466=1),IF(OR(BF1466="Draft",BF1466="Submitted",BF1466="Returned",BF1466="Recall Requested"),MAX($CF$5:CF1465)+1,""),"")</f>
        <v/>
      </c>
      <c r="CG1466" s="80">
        <f>IF(BD1466=0,0,IF(D1466="Malcolm",1,MATCH(BF1466,{"Draft","Submitted","Approved","Returned","Recall Requested","Cancelled"},0)+1))</f>
        <v>0</v>
      </c>
      <c r="CH1466" s="80">
        <f>IF(AND(BF1466="Submitted",ISNUMBER(V1466)),IF(V1466&gt;CFG_MAXD,1,0),0)</f>
        <v>0</v>
      </c>
    </row>
    <row r="1467">
      <c r="A1467" s="71" t="str">
        <f>IF(Y1467=1,ROW()-5,"")</f>
        <v/>
      </c>
      <c r="B1467" s="72" t="n"/>
      <c r="C1467" s="71" t="str">
        <f>IF(ISNUMBER(B1467),CHOOSE(WEEKDAY(B1467,2),"Lun","Mar","Mié","Jue","Vie","Sáb","Dom"),"")</f>
        <v/>
      </c>
      <c r="D1467" s="73" t="n"/>
      <c r="E1467" s="74" t="n"/>
      <c r="F1467" s="74" t="n"/>
      <c r="G1467" s="74" t="n"/>
      <c r="H1467" s="75" t="n"/>
      <c r="I1467" s="75" t="n"/>
      <c r="J1467" s="76" t="n"/>
      <c r="K1467" s="77" t="str">
        <f>IF(AB1467=1,ROUND(AG1467/60,4),"")</f>
        <v/>
      </c>
      <c r="L1467" s="77" t="str">
        <f>IF(BD1467=1,ROUND(AP1467/60,4),"")</f>
        <v/>
      </c>
      <c r="M1467" s="77" t="str">
        <f>IF(BD1467=1,ROUND(AQ1467/60,4),"")</f>
        <v/>
      </c>
      <c r="N1467" s="71" t="str">
        <f>IF(AND(D1467="proMX",AB1467=1),ROUND(AG1467/CFG_BLK,2),"")</f>
        <v/>
      </c>
      <c r="O1467" s="77" t="str">
        <f>IF(D1467="proMX",IF(BD1467=1,ROUND(AG1467/60,4),0),"")</f>
        <v/>
      </c>
      <c r="P1467" s="78" t="str">
        <f>IF(Y1467=0,"",IF(BD1467=1,"OK",IF(D1467="proMX","Revisar bloques: ","Revisar: ")&amp;BC1467))</f>
        <v/>
      </c>
      <c r="Q1467" s="78" t="str">
        <f>IF(NOT(ISNUMBER(B1467)),"",IF(COUNTIFS(FER_F,INT(B1467))&gt;0,"Feriado"&amp;IF(AH1467=1," (laborable)"," (no laborable)"),IF(AH1467=1,"Laborable",IF(WEEKDAY(B1467,2)&gt;5,"Fin de semana","No laborable"))))</f>
        <v/>
      </c>
      <c r="R1467" s="73" t="n"/>
      <c r="S1467" s="72" t="n"/>
      <c r="T1467" s="72" t="n"/>
      <c r="U1467" s="74" t="n"/>
      <c r="V1467" s="79" t="str">
        <f>IF(AND(D1467="proMX",OR(R1467="Submitted",R1467="Recall Requested"),ISNUMBER(S1467)),CFG_TODAY-INT(S1467),"")</f>
        <v/>
      </c>
      <c r="W1467" s="78" t="str">
        <f>IF(BD1467=0,"",IF(BA1467&gt;0,"⚠ Se superpone con un registro de la otra empresa",IF(D1467="Malcolm",IF(COUNTA(R1467,S1467,T1467)&gt;0,"Estado/fechas proMX se ignoran en Malcolm",""),IF(BF1467="Cancelled","Cancelado: excluido de totales",IF(R1467="","Sin estado: se trata como Draft",IF(BF1467="Submitted",IF(ISNUMBER(V1467),IF(V1467&gt;CFG_MAXD,"⚠ "&amp;V1467&amp;" días en Submitted (máx. "&amp;CFG_MAXD&amp;")",""),"Falta fecha de envío"),IF(BF1467="Returned","⚠ Devuelto: corregir y reenviar",IF(BF1467="Recall Requested","Retirada solicitada: pendiente",IF(AND(BF1467="Approved",NOT(ISNUMBER(T1467))),"Falta fecha de aprobación",IF(AND(ISNUMBER(S1467),ISNUMBER(T1467),T1467&lt;S1467),"Aprobación anterior al envío","")))))))))</f>
        <v/>
      </c>
      <c r="Y1467" s="80">
        <f>IF(COUNTA(B1467,D1467,E1467,F1467,G1467,H1467,I1467,J1467,R1467,S1467,T1467)&gt;0,1,0)</f>
        <v>0</v>
      </c>
      <c r="Z1467" s="80" t="str">
        <f>IF(AND(ISNUMBER(H1467),H1467&gt;=0,H1467&lt;1),ROUND(H1467*1440,0),"")</f>
        <v/>
      </c>
      <c r="AA1467" s="80" t="str">
        <f>IF(AND(ISNUMBER(I1467),I1467&gt;=0,I1467&lt;1),ROUND(I1467*1440,0),"")</f>
        <v/>
      </c>
      <c r="AB1467" s="80">
        <f>IF(AND(ISNUMBER(B1467),D1467&lt;&gt;"",ISNUMBER(Z1467),ISNUMBER(AA1467)),IF(Z1467=AA1467,0,1),0)</f>
        <v>0</v>
      </c>
      <c r="AC1467" s="80">
        <f>IF(AB1467=1,IF(AA1467&lt;Z1467,1,0),0)</f>
        <v>0</v>
      </c>
      <c r="AD1467" s="80">
        <f>IF(AB1467=1,IF(AC1467=1,1440-Z1467+AA1467,AA1467-Z1467),0)</f>
        <v>0</v>
      </c>
      <c r="AE1467" s="80">
        <f>IF(J1467="",0,IF(ISNUMBER(J1467),J1467,-1))</f>
        <v>0</v>
      </c>
      <c r="AF1467" s="80">
        <f>MIN(MAX(0,AE1467),AD1467)</f>
        <v>0</v>
      </c>
      <c r="AG1467" s="80">
        <f>MAX(0,AD1467-MAX(0,AE1467))</f>
        <v>0</v>
      </c>
      <c r="AH1467" s="80">
        <f>IF(ISNUMBER(B1467),IF(AND(INDEX(CFG_WDAYS,WEEKDAY(INT(B1467),2))="Sí",IF(D1467="proMX",COUNTIFS(FER_F,INT(B1467),FER_NLP,"Sí"),COUNTIFS(FER_F,INT(B1467),FER_NLM,"Sí"))=0),1,0),0)</f>
        <v>0</v>
      </c>
      <c r="AI1467" s="80">
        <f>IF(AC1467=1,IF(AND(INDEX(CFG_WDAYS,WEEKDAY(INT(B1467)+1,2))="Sí",IF(D1467="proMX",COUNTIFS(FER_F,INT(B1467)+1,FER_NLP,"Sí"),COUNTIFS(FER_F,INT(B1467)+1,FER_NLM,"Sí"))=0),1,0),0)</f>
        <v>0</v>
      </c>
      <c r="AJ1467" s="80">
        <f>IF(AC1467=1,1440-Z1467,AD1467)</f>
        <v>0</v>
      </c>
      <c r="AK1467" s="80">
        <f>IF(AND(AB1467=1,AH1467=1),MAX(0,MIN(IF(AC1467=1,1440,AA1467),CFG_WEM)-MAX(Z1467,CFG_WSM)),0)</f>
        <v>0</v>
      </c>
      <c r="AL1467" s="80">
        <f>IF(AND(AC1467=1,AI1467=1),MAX(0,MIN(AA1467,CFG_WEM)-CFG_WSM),0)</f>
        <v>0</v>
      </c>
      <c r="AM1467" s="80">
        <f>AK1467+AL1467</f>
        <v>0</v>
      </c>
      <c r="AN1467" s="80">
        <f>IF(CFG_BRK="Proporcional",IF(AD1467=0,0,AF1467*AM1467/AD1467),IF(CFG_BRK="Extras primero",MIN(AM1467,MAX(0,AF1467-(AD1467-AM1467))),MIN(AF1467,AM1467)))</f>
        <v>0</v>
      </c>
      <c r="AO1467" s="80">
        <f>AF1467-AN1467</f>
        <v>0</v>
      </c>
      <c r="AP1467" s="80">
        <f>AM1467-AN1467</f>
        <v>0</v>
      </c>
      <c r="AQ1467" s="80">
        <f>AD1467-AM1467-AO1467</f>
        <v>0</v>
      </c>
      <c r="AR1467" s="80">
        <f>IF(AM1467=0,0,AK1467-AN1467*AK1467/AM1467)</f>
        <v>0</v>
      </c>
      <c r="AS1467" s="80">
        <f>IF(AD1467-AM1467=0,0,(AJ1467-AK1467)-AO1467*(AJ1467-AK1467)/(AD1467-AM1467))</f>
        <v>0</v>
      </c>
      <c r="AT1467" s="80" t="str">
        <f>IF(AC1467=1,INT(B1467)+1,"")</f>
        <v/>
      </c>
      <c r="AU1467" s="80">
        <f>IF(AND(D1467="proMX",R1467="Cancelled"),0,1)</f>
        <v>1</v>
      </c>
      <c r="AV1467" s="80">
        <f>IF(AND(AB1467=1,AU1467=1),IF(COUNTIFS($D$5:D1466,D1467,$B$5:B1466,B1467,$Z$5:Z1466,Z1467,$AA$5:AA1466,AA1467,$F$5:F1466,F1467&amp;"",$AU$5:AU1466,1)&gt;0,1,0),0)</f>
        <v>0</v>
      </c>
      <c r="AW1467" s="80" t="str">
        <f>IF(AB1467=1,INT(B1467)*1440+Z1467,"")</f>
        <v/>
      </c>
      <c r="AX1467" s="80" t="str">
        <f>IF(AB1467=1,AW1467+AD1467,"")</f>
        <v/>
      </c>
      <c r="AY1467" s="80">
        <f>IF(AND(AB1467=1,AV1467=0,AU1467=1),1,0)</f>
        <v>0</v>
      </c>
      <c r="AZ1467" s="80">
        <f>IF(AY1467=1,COUNTIFS(R_Emp,D1467,R_SAbs,"&lt;"&amp;AX1467,R_EAbs,"&gt;"&amp;AW1467,R_OKey,1)-1,0)</f>
        <v>0</v>
      </c>
      <c r="BA1467" s="80">
        <f>IF(AY1467=1,COUNTIFS(R_Emp,"&lt;&gt;"&amp;D1467,R_SAbs,"&lt;"&amp;AX1467,R_EAbs,"&gt;"&amp;AW1467,R_OKey,1),0)</f>
        <v>0</v>
      </c>
      <c r="BB1467" s="80">
        <f>IF(AND(AB1467=1,D1467="proMX"),IF(AND(MOD(Z1467,CFG_BLK)=0,MOD(AA1467,CFG_BLK)=0,MOD(AG1467,CFG_BLK)=0,AG1467&gt;0),1,0),1)</f>
        <v>1</v>
      </c>
      <c r="BC1467" s="80" t="str">
        <f>IF(Y1467=0,"",IF(NOT(ISNUMBER(B1467)),"Falta fecha o fecha inválida",IF(D1467="","Falta empresa",IF(AND(D1467&lt;&gt;"Malcolm",D1467&lt;&gt;"proMX"),"Empresa inválida",IF(OR(INT(B1467)&lt;CFG_PSTART,INT(B1467)&gt;CFG_PEND),"Fecha fuera del período",IF(OR(NOT(ISNUMBER(Z1467)),NOT(ISNUMBER(AA1467))),"Falta hora inicio/fin o formato inválido",IF(AB1467=0,"Hora inicio = hora fin",IF(AE1467&lt;0,"Descanso inválido",IF(AE1467&gt;=AD1467,"Descanso ≥ duración",IF(AV1467=1,"Registro duplicado",IF(AZ1467&gt;0,"Se superpone con otro registro "&amp;D1467,IF(BB1467=0,"inicio, fin y duración neta deben ser múltiplos de "&amp;CFG_BLK&amp;" min",""))))))))))))</f>
        <v/>
      </c>
      <c r="BD1467" s="80">
        <f>IF(AND(Y1467=1,BC1467=""),1,0)</f>
        <v>0</v>
      </c>
      <c r="BE1467" s="80">
        <f>IF(AND(BD1467=1,AU1467=1),1,0)</f>
        <v>0</v>
      </c>
      <c r="BF1467" s="80" t="str">
        <f>IF(AND(D1467="proMX",BD1467=1),IF(R1467="","Draft",R1467),"")</f>
        <v/>
      </c>
      <c r="BG1467" s="80">
        <f>IF(BD1467=1,ROUND(AG1467/60,6),0)</f>
        <v>0</v>
      </c>
      <c r="BH1467" s="80">
        <f>IF(BE1467=1,ROUND(AG1467/60,6),0)</f>
        <v>0</v>
      </c>
      <c r="BI1467" s="80">
        <f>IF(BE1467=1,ROUND(AP1467/60,6),0)</f>
        <v>0</v>
      </c>
      <c r="BJ1467" s="80">
        <f>IF(BE1467=1,ROUND(AQ1467/60,6),0)</f>
        <v>0</v>
      </c>
      <c r="BK1467" s="80">
        <f>IF(BE1467=1,ROUND((AR1467+AS1467)/60,6),0)</f>
        <v>0</v>
      </c>
      <c r="BL1467" s="80">
        <f>ROUND(BH1467-BK1467,6)</f>
        <v>0</v>
      </c>
      <c r="BM1467" s="80">
        <f>IF(BE1467=1,ROUND(AR1467/60,6),0)</f>
        <v>0</v>
      </c>
      <c r="BN1467" s="80">
        <f>ROUND(BI1467-BM1467,6)</f>
        <v>0</v>
      </c>
      <c r="BO1467" s="80">
        <f>IF(BE1467=1,ROUND(AS1467/60,6),0)</f>
        <v>0</v>
      </c>
      <c r="BP1467" s="80">
        <f>ROUND(BJ1467-BO1467,6)</f>
        <v>0</v>
      </c>
      <c r="BQ1467" s="80">
        <f>IF(BE1467=1,AW1467,0)</f>
        <v>0</v>
      </c>
      <c r="BR1467" s="80">
        <f>IF(BE1467=1,AX1467,0)</f>
        <v>0</v>
      </c>
      <c r="BS1467" s="80">
        <f>IF(AND(BE1467=1,D1467="Malcolm",BA1467&gt;0),MIN(BH1467,SUMPRODUCT((R_Emp="proMX")*(R_EN&gt;0)*((R_EN-(R_EN&gt;BR1467)*(R_EN-BR1467))&gt;(R_SN+(R_SN&lt;BQ1467)*(BQ1467-R_SN)))*((R_EN-(R_EN&gt;BR1467)*(R_EN-BR1467))-(R_SN+(R_SN&lt;BQ1467)*(BQ1467-R_SN))))/60),0)</f>
        <v>0</v>
      </c>
      <c r="BT1467" s="80">
        <f>IF(AND(BE1467=1,D1467="proMX"),ROUND(BI1467*CFG_RATE+BJ1467*CFG_OTRATE,6),0)</f>
        <v>0</v>
      </c>
      <c r="BU1467" s="80">
        <f>IF(AND(BD1467=1,D1467="proMX"),ROUND(AG1467/CFG_BLK,6),0)</f>
        <v>0</v>
      </c>
      <c r="BV1467" s="80" t="str">
        <f>IF(BF1467="Approved",IF(ISNUMBER(T1467),INT(T1467),INT(B1467)),"")</f>
        <v/>
      </c>
      <c r="BW1467" s="80">
        <f>IF(ISNUMBER(B1467),IF(DB_MON="Todos",1,IF(AND(INT(B1467)&gt;=DB_MS,INT(B1467)&lt;=DB_ME),1,0)),0)</f>
        <v>0</v>
      </c>
      <c r="BX1467" s="80">
        <f>IF(DB_PROJ="Todos",1,IF(E1467&amp;""=DB_PROJ&amp;"",1,0))</f>
        <v>1</v>
      </c>
      <c r="BY1467" s="80">
        <f>BW1467*BX1467</f>
        <v>0</v>
      </c>
      <c r="BZ1467" s="80" t="str">
        <f>IF(Y1467=1,F1467&amp;IF(AND(F1467&amp;""&lt;&gt;"",E1467&amp;""&lt;&gt;"")," · ","")&amp;E1467,"")</f>
        <v/>
      </c>
      <c r="CA1467" s="80" t="str">
        <f>IF(AND(BD1467=1,E1467&amp;""&lt;&gt;""),IF(COUNTIFS($E$5:E1466,E1467,$BD$5:BD1466,1)=0,MAX($CA$5:CA1466)+1,""),"")</f>
        <v/>
      </c>
      <c r="CB1467" s="80" t="str">
        <f>IF(AND(BE1467=1,D1467="Malcolm",E1467&amp;""&lt;&gt;""),IF(COUNTIFS($D$5:D1466,"Malcolm",$E$5:E1466,E1467,$BE$5:BE1466,1)=0,MAX($CB$5:CB1466)+1,""),"")</f>
        <v/>
      </c>
      <c r="CC1467" s="80" t="str">
        <f>IF(AND(BD1467=1,D1467="proMX",E1467&amp;""&lt;&gt;""),IF(COUNTIFS($D$5:D1466,"proMX",$E$5:E1466,E1467,$BD$5:BD1466,1)=0,MAX($CC$5:CC1466)+1,""),"")</f>
        <v/>
      </c>
      <c r="CD1467" s="80" t="str">
        <f>IF(AND(BE1467=1,D1467="Malcolm",F1467&amp;""&lt;&gt;""),IF(COUNTIFS($D$5:D1466,"Malcolm",$F$5:F1466,F1467,$BE$5:BE1466,1)=0,MAX($CD$5:CD1466)+1,""),"")</f>
        <v/>
      </c>
      <c r="CE1467" s="80" t="str">
        <f>IF(AND(BD1467=1,D1467="proMX",F1467&amp;""&lt;&gt;""),IF(COUNTIFS($D$5:D1466,"proMX",$F$5:F1466,F1467,$BD$5:BD1466,1)=0,MAX($CE$5:CE1466)+1,""),"")</f>
        <v/>
      </c>
      <c r="CF1467" s="80" t="str">
        <f>IF(AND(D1467="proMX",BD1467=1),IF(OR(BF1467="Draft",BF1467="Submitted",BF1467="Returned",BF1467="Recall Requested"),MAX($CF$5:CF1466)+1,""),"")</f>
        <v/>
      </c>
      <c r="CG1467" s="80">
        <f>IF(BD1467=0,0,IF(D1467="Malcolm",1,MATCH(BF1467,{"Draft","Submitted","Approved","Returned","Recall Requested","Cancelled"},0)+1))</f>
        <v>0</v>
      </c>
      <c r="CH1467" s="80">
        <f>IF(AND(BF1467="Submitted",ISNUMBER(V1467)),IF(V1467&gt;CFG_MAXD,1,0),0)</f>
        <v>0</v>
      </c>
    </row>
    <row r="1468">
      <c r="A1468" s="71" t="str">
        <f>IF(Y1468=1,ROW()-5,"")</f>
        <v/>
      </c>
      <c r="B1468" s="72" t="n"/>
      <c r="C1468" s="71" t="str">
        <f>IF(ISNUMBER(B1468),CHOOSE(WEEKDAY(B1468,2),"Lun","Mar","Mié","Jue","Vie","Sáb","Dom"),"")</f>
        <v/>
      </c>
      <c r="D1468" s="73" t="n"/>
      <c r="E1468" s="74" t="n"/>
      <c r="F1468" s="74" t="n"/>
      <c r="G1468" s="74" t="n"/>
      <c r="H1468" s="75" t="n"/>
      <c r="I1468" s="75" t="n"/>
      <c r="J1468" s="76" t="n"/>
      <c r="K1468" s="77" t="str">
        <f>IF(AB1468=1,ROUND(AG1468/60,4),"")</f>
        <v/>
      </c>
      <c r="L1468" s="77" t="str">
        <f>IF(BD1468=1,ROUND(AP1468/60,4),"")</f>
        <v/>
      </c>
      <c r="M1468" s="77" t="str">
        <f>IF(BD1468=1,ROUND(AQ1468/60,4),"")</f>
        <v/>
      </c>
      <c r="N1468" s="71" t="str">
        <f>IF(AND(D1468="proMX",AB1468=1),ROUND(AG1468/CFG_BLK,2),"")</f>
        <v/>
      </c>
      <c r="O1468" s="77" t="str">
        <f>IF(D1468="proMX",IF(BD1468=1,ROUND(AG1468/60,4),0),"")</f>
        <v/>
      </c>
      <c r="P1468" s="78" t="str">
        <f>IF(Y1468=0,"",IF(BD1468=1,"OK",IF(D1468="proMX","Revisar bloques: ","Revisar: ")&amp;BC1468))</f>
        <v/>
      </c>
      <c r="Q1468" s="78" t="str">
        <f>IF(NOT(ISNUMBER(B1468)),"",IF(COUNTIFS(FER_F,INT(B1468))&gt;0,"Feriado"&amp;IF(AH1468=1," (laborable)"," (no laborable)"),IF(AH1468=1,"Laborable",IF(WEEKDAY(B1468,2)&gt;5,"Fin de semana","No laborable"))))</f>
        <v/>
      </c>
      <c r="R1468" s="73" t="n"/>
      <c r="S1468" s="72" t="n"/>
      <c r="T1468" s="72" t="n"/>
      <c r="U1468" s="74" t="n"/>
      <c r="V1468" s="79" t="str">
        <f>IF(AND(D1468="proMX",OR(R1468="Submitted",R1468="Recall Requested"),ISNUMBER(S1468)),CFG_TODAY-INT(S1468),"")</f>
        <v/>
      </c>
      <c r="W1468" s="78" t="str">
        <f>IF(BD1468=0,"",IF(BA1468&gt;0,"⚠ Se superpone con un registro de la otra empresa",IF(D1468="Malcolm",IF(COUNTA(R1468,S1468,T1468)&gt;0,"Estado/fechas proMX se ignoran en Malcolm",""),IF(BF1468="Cancelled","Cancelado: excluido de totales",IF(R1468="","Sin estado: se trata como Draft",IF(BF1468="Submitted",IF(ISNUMBER(V1468),IF(V1468&gt;CFG_MAXD,"⚠ "&amp;V1468&amp;" días en Submitted (máx. "&amp;CFG_MAXD&amp;")",""),"Falta fecha de envío"),IF(BF1468="Returned","⚠ Devuelto: corregir y reenviar",IF(BF1468="Recall Requested","Retirada solicitada: pendiente",IF(AND(BF1468="Approved",NOT(ISNUMBER(T1468))),"Falta fecha de aprobación",IF(AND(ISNUMBER(S1468),ISNUMBER(T1468),T1468&lt;S1468),"Aprobación anterior al envío","")))))))))</f>
        <v/>
      </c>
      <c r="Y1468" s="80">
        <f>IF(COUNTA(B1468,D1468,E1468,F1468,G1468,H1468,I1468,J1468,R1468,S1468,T1468)&gt;0,1,0)</f>
        <v>0</v>
      </c>
      <c r="Z1468" s="80" t="str">
        <f>IF(AND(ISNUMBER(H1468),H1468&gt;=0,H1468&lt;1),ROUND(H1468*1440,0),"")</f>
        <v/>
      </c>
      <c r="AA1468" s="80" t="str">
        <f>IF(AND(ISNUMBER(I1468),I1468&gt;=0,I1468&lt;1),ROUND(I1468*1440,0),"")</f>
        <v/>
      </c>
      <c r="AB1468" s="80">
        <f>IF(AND(ISNUMBER(B1468),D1468&lt;&gt;"",ISNUMBER(Z1468),ISNUMBER(AA1468)),IF(Z1468=AA1468,0,1),0)</f>
        <v>0</v>
      </c>
      <c r="AC1468" s="80">
        <f>IF(AB1468=1,IF(AA1468&lt;Z1468,1,0),0)</f>
        <v>0</v>
      </c>
      <c r="AD1468" s="80">
        <f>IF(AB1468=1,IF(AC1468=1,1440-Z1468+AA1468,AA1468-Z1468),0)</f>
        <v>0</v>
      </c>
      <c r="AE1468" s="80">
        <f>IF(J1468="",0,IF(ISNUMBER(J1468),J1468,-1))</f>
        <v>0</v>
      </c>
      <c r="AF1468" s="80">
        <f>MIN(MAX(0,AE1468),AD1468)</f>
        <v>0</v>
      </c>
      <c r="AG1468" s="80">
        <f>MAX(0,AD1468-MAX(0,AE1468))</f>
        <v>0</v>
      </c>
      <c r="AH1468" s="80">
        <f>IF(ISNUMBER(B1468),IF(AND(INDEX(CFG_WDAYS,WEEKDAY(INT(B1468),2))="Sí",IF(D1468="proMX",COUNTIFS(FER_F,INT(B1468),FER_NLP,"Sí"),COUNTIFS(FER_F,INT(B1468),FER_NLM,"Sí"))=0),1,0),0)</f>
        <v>0</v>
      </c>
      <c r="AI1468" s="80">
        <f>IF(AC1468=1,IF(AND(INDEX(CFG_WDAYS,WEEKDAY(INT(B1468)+1,2))="Sí",IF(D1468="proMX",COUNTIFS(FER_F,INT(B1468)+1,FER_NLP,"Sí"),COUNTIFS(FER_F,INT(B1468)+1,FER_NLM,"Sí"))=0),1,0),0)</f>
        <v>0</v>
      </c>
      <c r="AJ1468" s="80">
        <f>IF(AC1468=1,1440-Z1468,AD1468)</f>
        <v>0</v>
      </c>
      <c r="AK1468" s="80">
        <f>IF(AND(AB1468=1,AH1468=1),MAX(0,MIN(IF(AC1468=1,1440,AA1468),CFG_WEM)-MAX(Z1468,CFG_WSM)),0)</f>
        <v>0</v>
      </c>
      <c r="AL1468" s="80">
        <f>IF(AND(AC1468=1,AI1468=1),MAX(0,MIN(AA1468,CFG_WEM)-CFG_WSM),0)</f>
        <v>0</v>
      </c>
      <c r="AM1468" s="80">
        <f>AK1468+AL1468</f>
        <v>0</v>
      </c>
      <c r="AN1468" s="80">
        <f>IF(CFG_BRK="Proporcional",IF(AD1468=0,0,AF1468*AM1468/AD1468),IF(CFG_BRK="Extras primero",MIN(AM1468,MAX(0,AF1468-(AD1468-AM1468))),MIN(AF1468,AM1468)))</f>
        <v>0</v>
      </c>
      <c r="AO1468" s="80">
        <f>AF1468-AN1468</f>
        <v>0</v>
      </c>
      <c r="AP1468" s="80">
        <f>AM1468-AN1468</f>
        <v>0</v>
      </c>
      <c r="AQ1468" s="80">
        <f>AD1468-AM1468-AO1468</f>
        <v>0</v>
      </c>
      <c r="AR1468" s="80">
        <f>IF(AM1468=0,0,AK1468-AN1468*AK1468/AM1468)</f>
        <v>0</v>
      </c>
      <c r="AS1468" s="80">
        <f>IF(AD1468-AM1468=0,0,(AJ1468-AK1468)-AO1468*(AJ1468-AK1468)/(AD1468-AM1468))</f>
        <v>0</v>
      </c>
      <c r="AT1468" s="80" t="str">
        <f>IF(AC1468=1,INT(B1468)+1,"")</f>
        <v/>
      </c>
      <c r="AU1468" s="80">
        <f>IF(AND(D1468="proMX",R1468="Cancelled"),0,1)</f>
        <v>1</v>
      </c>
      <c r="AV1468" s="80">
        <f>IF(AND(AB1468=1,AU1468=1),IF(COUNTIFS($D$5:D1467,D1468,$B$5:B1467,B1468,$Z$5:Z1467,Z1468,$AA$5:AA1467,AA1468,$F$5:F1467,F1468&amp;"",$AU$5:AU1467,1)&gt;0,1,0),0)</f>
        <v>0</v>
      </c>
      <c r="AW1468" s="80" t="str">
        <f>IF(AB1468=1,INT(B1468)*1440+Z1468,"")</f>
        <v/>
      </c>
      <c r="AX1468" s="80" t="str">
        <f>IF(AB1468=1,AW1468+AD1468,"")</f>
        <v/>
      </c>
      <c r="AY1468" s="80">
        <f>IF(AND(AB1468=1,AV1468=0,AU1468=1),1,0)</f>
        <v>0</v>
      </c>
      <c r="AZ1468" s="80">
        <f>IF(AY1468=1,COUNTIFS(R_Emp,D1468,R_SAbs,"&lt;"&amp;AX1468,R_EAbs,"&gt;"&amp;AW1468,R_OKey,1)-1,0)</f>
        <v>0</v>
      </c>
      <c r="BA1468" s="80">
        <f>IF(AY1468=1,COUNTIFS(R_Emp,"&lt;&gt;"&amp;D1468,R_SAbs,"&lt;"&amp;AX1468,R_EAbs,"&gt;"&amp;AW1468,R_OKey,1),0)</f>
        <v>0</v>
      </c>
      <c r="BB1468" s="80">
        <f>IF(AND(AB1468=1,D1468="proMX"),IF(AND(MOD(Z1468,CFG_BLK)=0,MOD(AA1468,CFG_BLK)=0,MOD(AG1468,CFG_BLK)=0,AG1468&gt;0),1,0),1)</f>
        <v>1</v>
      </c>
      <c r="BC1468" s="80" t="str">
        <f>IF(Y1468=0,"",IF(NOT(ISNUMBER(B1468)),"Falta fecha o fecha inválida",IF(D1468="","Falta empresa",IF(AND(D1468&lt;&gt;"Malcolm",D1468&lt;&gt;"proMX"),"Empresa inválida",IF(OR(INT(B1468)&lt;CFG_PSTART,INT(B1468)&gt;CFG_PEND),"Fecha fuera del período",IF(OR(NOT(ISNUMBER(Z1468)),NOT(ISNUMBER(AA1468))),"Falta hora inicio/fin o formato inválido",IF(AB1468=0,"Hora inicio = hora fin",IF(AE1468&lt;0,"Descanso inválido",IF(AE1468&gt;=AD1468,"Descanso ≥ duración",IF(AV1468=1,"Registro duplicado",IF(AZ1468&gt;0,"Se superpone con otro registro "&amp;D1468,IF(BB1468=0,"inicio, fin y duración neta deben ser múltiplos de "&amp;CFG_BLK&amp;" min",""))))))))))))</f>
        <v/>
      </c>
      <c r="BD1468" s="80">
        <f>IF(AND(Y1468=1,BC1468=""),1,0)</f>
        <v>0</v>
      </c>
      <c r="BE1468" s="80">
        <f>IF(AND(BD1468=1,AU1468=1),1,0)</f>
        <v>0</v>
      </c>
      <c r="BF1468" s="80" t="str">
        <f>IF(AND(D1468="proMX",BD1468=1),IF(R1468="","Draft",R1468),"")</f>
        <v/>
      </c>
      <c r="BG1468" s="80">
        <f>IF(BD1468=1,ROUND(AG1468/60,6),0)</f>
        <v>0</v>
      </c>
      <c r="BH1468" s="80">
        <f>IF(BE1468=1,ROUND(AG1468/60,6),0)</f>
        <v>0</v>
      </c>
      <c r="BI1468" s="80">
        <f>IF(BE1468=1,ROUND(AP1468/60,6),0)</f>
        <v>0</v>
      </c>
      <c r="BJ1468" s="80">
        <f>IF(BE1468=1,ROUND(AQ1468/60,6),0)</f>
        <v>0</v>
      </c>
      <c r="BK1468" s="80">
        <f>IF(BE1468=1,ROUND((AR1468+AS1468)/60,6),0)</f>
        <v>0</v>
      </c>
      <c r="BL1468" s="80">
        <f>ROUND(BH1468-BK1468,6)</f>
        <v>0</v>
      </c>
      <c r="BM1468" s="80">
        <f>IF(BE1468=1,ROUND(AR1468/60,6),0)</f>
        <v>0</v>
      </c>
      <c r="BN1468" s="80">
        <f>ROUND(BI1468-BM1468,6)</f>
        <v>0</v>
      </c>
      <c r="BO1468" s="80">
        <f>IF(BE1468=1,ROUND(AS1468/60,6),0)</f>
        <v>0</v>
      </c>
      <c r="BP1468" s="80">
        <f>ROUND(BJ1468-BO1468,6)</f>
        <v>0</v>
      </c>
      <c r="BQ1468" s="80">
        <f>IF(BE1468=1,AW1468,0)</f>
        <v>0</v>
      </c>
      <c r="BR1468" s="80">
        <f>IF(BE1468=1,AX1468,0)</f>
        <v>0</v>
      </c>
      <c r="BS1468" s="80">
        <f>IF(AND(BE1468=1,D1468="Malcolm",BA1468&gt;0),MIN(BH1468,SUMPRODUCT((R_Emp="proMX")*(R_EN&gt;0)*((R_EN-(R_EN&gt;BR1468)*(R_EN-BR1468))&gt;(R_SN+(R_SN&lt;BQ1468)*(BQ1468-R_SN)))*((R_EN-(R_EN&gt;BR1468)*(R_EN-BR1468))-(R_SN+(R_SN&lt;BQ1468)*(BQ1468-R_SN))))/60),0)</f>
        <v>0</v>
      </c>
      <c r="BT1468" s="80">
        <f>IF(AND(BE1468=1,D1468="proMX"),ROUND(BI1468*CFG_RATE+BJ1468*CFG_OTRATE,6),0)</f>
        <v>0</v>
      </c>
      <c r="BU1468" s="80">
        <f>IF(AND(BD1468=1,D1468="proMX"),ROUND(AG1468/CFG_BLK,6),0)</f>
        <v>0</v>
      </c>
      <c r="BV1468" s="80" t="str">
        <f>IF(BF1468="Approved",IF(ISNUMBER(T1468),INT(T1468),INT(B1468)),"")</f>
        <v/>
      </c>
      <c r="BW1468" s="80">
        <f>IF(ISNUMBER(B1468),IF(DB_MON="Todos",1,IF(AND(INT(B1468)&gt;=DB_MS,INT(B1468)&lt;=DB_ME),1,0)),0)</f>
        <v>0</v>
      </c>
      <c r="BX1468" s="80">
        <f>IF(DB_PROJ="Todos",1,IF(E1468&amp;""=DB_PROJ&amp;"",1,0))</f>
        <v>1</v>
      </c>
      <c r="BY1468" s="80">
        <f>BW1468*BX1468</f>
        <v>0</v>
      </c>
      <c r="BZ1468" s="80" t="str">
        <f>IF(Y1468=1,F1468&amp;IF(AND(F1468&amp;""&lt;&gt;"",E1468&amp;""&lt;&gt;"")," · ","")&amp;E1468,"")</f>
        <v/>
      </c>
      <c r="CA1468" s="80" t="str">
        <f>IF(AND(BD1468=1,E1468&amp;""&lt;&gt;""),IF(COUNTIFS($E$5:E1467,E1468,$BD$5:BD1467,1)=0,MAX($CA$5:CA1467)+1,""),"")</f>
        <v/>
      </c>
      <c r="CB1468" s="80" t="str">
        <f>IF(AND(BE1468=1,D1468="Malcolm",E1468&amp;""&lt;&gt;""),IF(COUNTIFS($D$5:D1467,"Malcolm",$E$5:E1467,E1468,$BE$5:BE1467,1)=0,MAX($CB$5:CB1467)+1,""),"")</f>
        <v/>
      </c>
      <c r="CC1468" s="80" t="str">
        <f>IF(AND(BD1468=1,D1468="proMX",E1468&amp;""&lt;&gt;""),IF(COUNTIFS($D$5:D1467,"proMX",$E$5:E1467,E1468,$BD$5:BD1467,1)=0,MAX($CC$5:CC1467)+1,""),"")</f>
        <v/>
      </c>
      <c r="CD1468" s="80" t="str">
        <f>IF(AND(BE1468=1,D1468="Malcolm",F1468&amp;""&lt;&gt;""),IF(COUNTIFS($D$5:D1467,"Malcolm",$F$5:F1467,F1468,$BE$5:BE1467,1)=0,MAX($CD$5:CD1467)+1,""),"")</f>
        <v/>
      </c>
      <c r="CE1468" s="80" t="str">
        <f>IF(AND(BD1468=1,D1468="proMX",F1468&amp;""&lt;&gt;""),IF(COUNTIFS($D$5:D1467,"proMX",$F$5:F1467,F1468,$BD$5:BD1467,1)=0,MAX($CE$5:CE1467)+1,""),"")</f>
        <v/>
      </c>
      <c r="CF1468" s="80" t="str">
        <f>IF(AND(D1468="proMX",BD1468=1),IF(OR(BF1468="Draft",BF1468="Submitted",BF1468="Returned",BF1468="Recall Requested"),MAX($CF$5:CF1467)+1,""),"")</f>
        <v/>
      </c>
      <c r="CG1468" s="80">
        <f>IF(BD1468=0,0,IF(D1468="Malcolm",1,MATCH(BF1468,{"Draft","Submitted","Approved","Returned","Recall Requested","Cancelled"},0)+1))</f>
        <v>0</v>
      </c>
      <c r="CH1468" s="80">
        <f>IF(AND(BF1468="Submitted",ISNUMBER(V1468)),IF(V1468&gt;CFG_MAXD,1,0),0)</f>
        <v>0</v>
      </c>
    </row>
    <row r="1469">
      <c r="A1469" s="71" t="str">
        <f>IF(Y1469=1,ROW()-5,"")</f>
        <v/>
      </c>
      <c r="B1469" s="72" t="n"/>
      <c r="C1469" s="71" t="str">
        <f>IF(ISNUMBER(B1469),CHOOSE(WEEKDAY(B1469,2),"Lun","Mar","Mié","Jue","Vie","Sáb","Dom"),"")</f>
        <v/>
      </c>
      <c r="D1469" s="73" t="n"/>
      <c r="E1469" s="74" t="n"/>
      <c r="F1469" s="74" t="n"/>
      <c r="G1469" s="74" t="n"/>
      <c r="H1469" s="75" t="n"/>
      <c r="I1469" s="75" t="n"/>
      <c r="J1469" s="76" t="n"/>
      <c r="K1469" s="77" t="str">
        <f>IF(AB1469=1,ROUND(AG1469/60,4),"")</f>
        <v/>
      </c>
      <c r="L1469" s="77" t="str">
        <f>IF(BD1469=1,ROUND(AP1469/60,4),"")</f>
        <v/>
      </c>
      <c r="M1469" s="77" t="str">
        <f>IF(BD1469=1,ROUND(AQ1469/60,4),"")</f>
        <v/>
      </c>
      <c r="N1469" s="71" t="str">
        <f>IF(AND(D1469="proMX",AB1469=1),ROUND(AG1469/CFG_BLK,2),"")</f>
        <v/>
      </c>
      <c r="O1469" s="77" t="str">
        <f>IF(D1469="proMX",IF(BD1469=1,ROUND(AG1469/60,4),0),"")</f>
        <v/>
      </c>
      <c r="P1469" s="78" t="str">
        <f>IF(Y1469=0,"",IF(BD1469=1,"OK",IF(D1469="proMX","Revisar bloques: ","Revisar: ")&amp;BC1469))</f>
        <v/>
      </c>
      <c r="Q1469" s="78" t="str">
        <f>IF(NOT(ISNUMBER(B1469)),"",IF(COUNTIFS(FER_F,INT(B1469))&gt;0,"Feriado"&amp;IF(AH1469=1," (laborable)"," (no laborable)"),IF(AH1469=1,"Laborable",IF(WEEKDAY(B1469,2)&gt;5,"Fin de semana","No laborable"))))</f>
        <v/>
      </c>
      <c r="R1469" s="73" t="n"/>
      <c r="S1469" s="72" t="n"/>
      <c r="T1469" s="72" t="n"/>
      <c r="U1469" s="74" t="n"/>
      <c r="V1469" s="79" t="str">
        <f>IF(AND(D1469="proMX",OR(R1469="Submitted",R1469="Recall Requested"),ISNUMBER(S1469)),CFG_TODAY-INT(S1469),"")</f>
        <v/>
      </c>
      <c r="W1469" s="78" t="str">
        <f>IF(BD1469=0,"",IF(BA1469&gt;0,"⚠ Se superpone con un registro de la otra empresa",IF(D1469="Malcolm",IF(COUNTA(R1469,S1469,T1469)&gt;0,"Estado/fechas proMX se ignoran en Malcolm",""),IF(BF1469="Cancelled","Cancelado: excluido de totales",IF(R1469="","Sin estado: se trata como Draft",IF(BF1469="Submitted",IF(ISNUMBER(V1469),IF(V1469&gt;CFG_MAXD,"⚠ "&amp;V1469&amp;" días en Submitted (máx. "&amp;CFG_MAXD&amp;")",""),"Falta fecha de envío"),IF(BF1469="Returned","⚠ Devuelto: corregir y reenviar",IF(BF1469="Recall Requested","Retirada solicitada: pendiente",IF(AND(BF1469="Approved",NOT(ISNUMBER(T1469))),"Falta fecha de aprobación",IF(AND(ISNUMBER(S1469),ISNUMBER(T1469),T1469&lt;S1469),"Aprobación anterior al envío","")))))))))</f>
        <v/>
      </c>
      <c r="Y1469" s="80">
        <f>IF(COUNTA(B1469,D1469,E1469,F1469,G1469,H1469,I1469,J1469,R1469,S1469,T1469)&gt;0,1,0)</f>
        <v>0</v>
      </c>
      <c r="Z1469" s="80" t="str">
        <f>IF(AND(ISNUMBER(H1469),H1469&gt;=0,H1469&lt;1),ROUND(H1469*1440,0),"")</f>
        <v/>
      </c>
      <c r="AA1469" s="80" t="str">
        <f>IF(AND(ISNUMBER(I1469),I1469&gt;=0,I1469&lt;1),ROUND(I1469*1440,0),"")</f>
        <v/>
      </c>
      <c r="AB1469" s="80">
        <f>IF(AND(ISNUMBER(B1469),D1469&lt;&gt;"",ISNUMBER(Z1469),ISNUMBER(AA1469)),IF(Z1469=AA1469,0,1),0)</f>
        <v>0</v>
      </c>
      <c r="AC1469" s="80">
        <f>IF(AB1469=1,IF(AA1469&lt;Z1469,1,0),0)</f>
        <v>0</v>
      </c>
      <c r="AD1469" s="80">
        <f>IF(AB1469=1,IF(AC1469=1,1440-Z1469+AA1469,AA1469-Z1469),0)</f>
        <v>0</v>
      </c>
      <c r="AE1469" s="80">
        <f>IF(J1469="",0,IF(ISNUMBER(J1469),J1469,-1))</f>
        <v>0</v>
      </c>
      <c r="AF1469" s="80">
        <f>MIN(MAX(0,AE1469),AD1469)</f>
        <v>0</v>
      </c>
      <c r="AG1469" s="80">
        <f>MAX(0,AD1469-MAX(0,AE1469))</f>
        <v>0</v>
      </c>
      <c r="AH1469" s="80">
        <f>IF(ISNUMBER(B1469),IF(AND(INDEX(CFG_WDAYS,WEEKDAY(INT(B1469),2))="Sí",IF(D1469="proMX",COUNTIFS(FER_F,INT(B1469),FER_NLP,"Sí"),COUNTIFS(FER_F,INT(B1469),FER_NLM,"Sí"))=0),1,0),0)</f>
        <v>0</v>
      </c>
      <c r="AI1469" s="80">
        <f>IF(AC1469=1,IF(AND(INDEX(CFG_WDAYS,WEEKDAY(INT(B1469)+1,2))="Sí",IF(D1469="proMX",COUNTIFS(FER_F,INT(B1469)+1,FER_NLP,"Sí"),COUNTIFS(FER_F,INT(B1469)+1,FER_NLM,"Sí"))=0),1,0),0)</f>
        <v>0</v>
      </c>
      <c r="AJ1469" s="80">
        <f>IF(AC1469=1,1440-Z1469,AD1469)</f>
        <v>0</v>
      </c>
      <c r="AK1469" s="80">
        <f>IF(AND(AB1469=1,AH1469=1),MAX(0,MIN(IF(AC1469=1,1440,AA1469),CFG_WEM)-MAX(Z1469,CFG_WSM)),0)</f>
        <v>0</v>
      </c>
      <c r="AL1469" s="80">
        <f>IF(AND(AC1469=1,AI1469=1),MAX(0,MIN(AA1469,CFG_WEM)-CFG_WSM),0)</f>
        <v>0</v>
      </c>
      <c r="AM1469" s="80">
        <f>AK1469+AL1469</f>
        <v>0</v>
      </c>
      <c r="AN1469" s="80">
        <f>IF(CFG_BRK="Proporcional",IF(AD1469=0,0,AF1469*AM1469/AD1469),IF(CFG_BRK="Extras primero",MIN(AM1469,MAX(0,AF1469-(AD1469-AM1469))),MIN(AF1469,AM1469)))</f>
        <v>0</v>
      </c>
      <c r="AO1469" s="80">
        <f>AF1469-AN1469</f>
        <v>0</v>
      </c>
      <c r="AP1469" s="80">
        <f>AM1469-AN1469</f>
        <v>0</v>
      </c>
      <c r="AQ1469" s="80">
        <f>AD1469-AM1469-AO1469</f>
        <v>0</v>
      </c>
      <c r="AR1469" s="80">
        <f>IF(AM1469=0,0,AK1469-AN1469*AK1469/AM1469)</f>
        <v>0</v>
      </c>
      <c r="AS1469" s="80">
        <f>IF(AD1469-AM1469=0,0,(AJ1469-AK1469)-AO1469*(AJ1469-AK1469)/(AD1469-AM1469))</f>
        <v>0</v>
      </c>
      <c r="AT1469" s="80" t="str">
        <f>IF(AC1469=1,INT(B1469)+1,"")</f>
        <v/>
      </c>
      <c r="AU1469" s="80">
        <f>IF(AND(D1469="proMX",R1469="Cancelled"),0,1)</f>
        <v>1</v>
      </c>
      <c r="AV1469" s="80">
        <f>IF(AND(AB1469=1,AU1469=1),IF(COUNTIFS($D$5:D1468,D1469,$B$5:B1468,B1469,$Z$5:Z1468,Z1469,$AA$5:AA1468,AA1469,$F$5:F1468,F1469&amp;"",$AU$5:AU1468,1)&gt;0,1,0),0)</f>
        <v>0</v>
      </c>
      <c r="AW1469" s="80" t="str">
        <f>IF(AB1469=1,INT(B1469)*1440+Z1469,"")</f>
        <v/>
      </c>
      <c r="AX1469" s="80" t="str">
        <f>IF(AB1469=1,AW1469+AD1469,"")</f>
        <v/>
      </c>
      <c r="AY1469" s="80">
        <f>IF(AND(AB1469=1,AV1469=0,AU1469=1),1,0)</f>
        <v>0</v>
      </c>
      <c r="AZ1469" s="80">
        <f>IF(AY1469=1,COUNTIFS(R_Emp,D1469,R_SAbs,"&lt;"&amp;AX1469,R_EAbs,"&gt;"&amp;AW1469,R_OKey,1)-1,0)</f>
        <v>0</v>
      </c>
      <c r="BA1469" s="80">
        <f>IF(AY1469=1,COUNTIFS(R_Emp,"&lt;&gt;"&amp;D1469,R_SAbs,"&lt;"&amp;AX1469,R_EAbs,"&gt;"&amp;AW1469,R_OKey,1),0)</f>
        <v>0</v>
      </c>
      <c r="BB1469" s="80">
        <f>IF(AND(AB1469=1,D1469="proMX"),IF(AND(MOD(Z1469,CFG_BLK)=0,MOD(AA1469,CFG_BLK)=0,MOD(AG1469,CFG_BLK)=0,AG1469&gt;0),1,0),1)</f>
        <v>1</v>
      </c>
      <c r="BC1469" s="80" t="str">
        <f>IF(Y1469=0,"",IF(NOT(ISNUMBER(B1469)),"Falta fecha o fecha inválida",IF(D1469="","Falta empresa",IF(AND(D1469&lt;&gt;"Malcolm",D1469&lt;&gt;"proMX"),"Empresa inválida",IF(OR(INT(B1469)&lt;CFG_PSTART,INT(B1469)&gt;CFG_PEND),"Fecha fuera del período",IF(OR(NOT(ISNUMBER(Z1469)),NOT(ISNUMBER(AA1469))),"Falta hora inicio/fin o formato inválido",IF(AB1469=0,"Hora inicio = hora fin",IF(AE1469&lt;0,"Descanso inválido",IF(AE1469&gt;=AD1469,"Descanso ≥ duración",IF(AV1469=1,"Registro duplicado",IF(AZ1469&gt;0,"Se superpone con otro registro "&amp;D1469,IF(BB1469=0,"inicio, fin y duración neta deben ser múltiplos de "&amp;CFG_BLK&amp;" min",""))))))))))))</f>
        <v/>
      </c>
      <c r="BD1469" s="80">
        <f>IF(AND(Y1469=1,BC1469=""),1,0)</f>
        <v>0</v>
      </c>
      <c r="BE1469" s="80">
        <f>IF(AND(BD1469=1,AU1469=1),1,0)</f>
        <v>0</v>
      </c>
      <c r="BF1469" s="80" t="str">
        <f>IF(AND(D1469="proMX",BD1469=1),IF(R1469="","Draft",R1469),"")</f>
        <v/>
      </c>
      <c r="BG1469" s="80">
        <f>IF(BD1469=1,ROUND(AG1469/60,6),0)</f>
        <v>0</v>
      </c>
      <c r="BH1469" s="80">
        <f>IF(BE1469=1,ROUND(AG1469/60,6),0)</f>
        <v>0</v>
      </c>
      <c r="BI1469" s="80">
        <f>IF(BE1469=1,ROUND(AP1469/60,6),0)</f>
        <v>0</v>
      </c>
      <c r="BJ1469" s="80">
        <f>IF(BE1469=1,ROUND(AQ1469/60,6),0)</f>
        <v>0</v>
      </c>
      <c r="BK1469" s="80">
        <f>IF(BE1469=1,ROUND((AR1469+AS1469)/60,6),0)</f>
        <v>0</v>
      </c>
      <c r="BL1469" s="80">
        <f>ROUND(BH1469-BK1469,6)</f>
        <v>0</v>
      </c>
      <c r="BM1469" s="80">
        <f>IF(BE1469=1,ROUND(AR1469/60,6),0)</f>
        <v>0</v>
      </c>
      <c r="BN1469" s="80">
        <f>ROUND(BI1469-BM1469,6)</f>
        <v>0</v>
      </c>
      <c r="BO1469" s="80">
        <f>IF(BE1469=1,ROUND(AS1469/60,6),0)</f>
        <v>0</v>
      </c>
      <c r="BP1469" s="80">
        <f>ROUND(BJ1469-BO1469,6)</f>
        <v>0</v>
      </c>
      <c r="BQ1469" s="80">
        <f>IF(BE1469=1,AW1469,0)</f>
        <v>0</v>
      </c>
      <c r="BR1469" s="80">
        <f>IF(BE1469=1,AX1469,0)</f>
        <v>0</v>
      </c>
      <c r="BS1469" s="80">
        <f>IF(AND(BE1469=1,D1469="Malcolm",BA1469&gt;0),MIN(BH1469,SUMPRODUCT((R_Emp="proMX")*(R_EN&gt;0)*((R_EN-(R_EN&gt;BR1469)*(R_EN-BR1469))&gt;(R_SN+(R_SN&lt;BQ1469)*(BQ1469-R_SN)))*((R_EN-(R_EN&gt;BR1469)*(R_EN-BR1469))-(R_SN+(R_SN&lt;BQ1469)*(BQ1469-R_SN))))/60),0)</f>
        <v>0</v>
      </c>
      <c r="BT1469" s="80">
        <f>IF(AND(BE1469=1,D1469="proMX"),ROUND(BI1469*CFG_RATE+BJ1469*CFG_OTRATE,6),0)</f>
        <v>0</v>
      </c>
      <c r="BU1469" s="80">
        <f>IF(AND(BD1469=1,D1469="proMX"),ROUND(AG1469/CFG_BLK,6),0)</f>
        <v>0</v>
      </c>
      <c r="BV1469" s="80" t="str">
        <f>IF(BF1469="Approved",IF(ISNUMBER(T1469),INT(T1469),INT(B1469)),"")</f>
        <v/>
      </c>
      <c r="BW1469" s="80">
        <f>IF(ISNUMBER(B1469),IF(DB_MON="Todos",1,IF(AND(INT(B1469)&gt;=DB_MS,INT(B1469)&lt;=DB_ME),1,0)),0)</f>
        <v>0</v>
      </c>
      <c r="BX1469" s="80">
        <f>IF(DB_PROJ="Todos",1,IF(E1469&amp;""=DB_PROJ&amp;"",1,0))</f>
        <v>1</v>
      </c>
      <c r="BY1469" s="80">
        <f>BW1469*BX1469</f>
        <v>0</v>
      </c>
      <c r="BZ1469" s="80" t="str">
        <f>IF(Y1469=1,F1469&amp;IF(AND(F1469&amp;""&lt;&gt;"",E1469&amp;""&lt;&gt;"")," · ","")&amp;E1469,"")</f>
        <v/>
      </c>
      <c r="CA1469" s="80" t="str">
        <f>IF(AND(BD1469=1,E1469&amp;""&lt;&gt;""),IF(COUNTIFS($E$5:E1468,E1469,$BD$5:BD1468,1)=0,MAX($CA$5:CA1468)+1,""),"")</f>
        <v/>
      </c>
      <c r="CB1469" s="80" t="str">
        <f>IF(AND(BE1469=1,D1469="Malcolm",E1469&amp;""&lt;&gt;""),IF(COUNTIFS($D$5:D1468,"Malcolm",$E$5:E1468,E1469,$BE$5:BE1468,1)=0,MAX($CB$5:CB1468)+1,""),"")</f>
        <v/>
      </c>
      <c r="CC1469" s="80" t="str">
        <f>IF(AND(BD1469=1,D1469="proMX",E1469&amp;""&lt;&gt;""),IF(COUNTIFS($D$5:D1468,"proMX",$E$5:E1468,E1469,$BD$5:BD1468,1)=0,MAX($CC$5:CC1468)+1,""),"")</f>
        <v/>
      </c>
      <c r="CD1469" s="80" t="str">
        <f>IF(AND(BE1469=1,D1469="Malcolm",F1469&amp;""&lt;&gt;""),IF(COUNTIFS($D$5:D1468,"Malcolm",$F$5:F1468,F1469,$BE$5:BE1468,1)=0,MAX($CD$5:CD1468)+1,""),"")</f>
        <v/>
      </c>
      <c r="CE1469" s="80" t="str">
        <f>IF(AND(BD1469=1,D1469="proMX",F1469&amp;""&lt;&gt;""),IF(COUNTIFS($D$5:D1468,"proMX",$F$5:F1468,F1469,$BD$5:BD1468,1)=0,MAX($CE$5:CE1468)+1,""),"")</f>
        <v/>
      </c>
      <c r="CF1469" s="80" t="str">
        <f>IF(AND(D1469="proMX",BD1469=1),IF(OR(BF1469="Draft",BF1469="Submitted",BF1469="Returned",BF1469="Recall Requested"),MAX($CF$5:CF1468)+1,""),"")</f>
        <v/>
      </c>
      <c r="CG1469" s="80">
        <f>IF(BD1469=0,0,IF(D1469="Malcolm",1,MATCH(BF1469,{"Draft","Submitted","Approved","Returned","Recall Requested","Cancelled"},0)+1))</f>
        <v>0</v>
      </c>
      <c r="CH1469" s="80">
        <f>IF(AND(BF1469="Submitted",ISNUMBER(V1469)),IF(V1469&gt;CFG_MAXD,1,0),0)</f>
        <v>0</v>
      </c>
    </row>
    <row r="1470">
      <c r="A1470" s="71" t="str">
        <f>IF(Y1470=1,ROW()-5,"")</f>
        <v/>
      </c>
      <c r="B1470" s="72" t="n"/>
      <c r="C1470" s="71" t="str">
        <f>IF(ISNUMBER(B1470),CHOOSE(WEEKDAY(B1470,2),"Lun","Mar","Mié","Jue","Vie","Sáb","Dom"),"")</f>
        <v/>
      </c>
      <c r="D1470" s="73" t="n"/>
      <c r="E1470" s="74" t="n"/>
      <c r="F1470" s="74" t="n"/>
      <c r="G1470" s="74" t="n"/>
      <c r="H1470" s="75" t="n"/>
      <c r="I1470" s="75" t="n"/>
      <c r="J1470" s="76" t="n"/>
      <c r="K1470" s="77" t="str">
        <f>IF(AB1470=1,ROUND(AG1470/60,4),"")</f>
        <v/>
      </c>
      <c r="L1470" s="77" t="str">
        <f>IF(BD1470=1,ROUND(AP1470/60,4),"")</f>
        <v/>
      </c>
      <c r="M1470" s="77" t="str">
        <f>IF(BD1470=1,ROUND(AQ1470/60,4),"")</f>
        <v/>
      </c>
      <c r="N1470" s="71" t="str">
        <f>IF(AND(D1470="proMX",AB1470=1),ROUND(AG1470/CFG_BLK,2),"")</f>
        <v/>
      </c>
      <c r="O1470" s="77" t="str">
        <f>IF(D1470="proMX",IF(BD1470=1,ROUND(AG1470/60,4),0),"")</f>
        <v/>
      </c>
      <c r="P1470" s="78" t="str">
        <f>IF(Y1470=0,"",IF(BD1470=1,"OK",IF(D1470="proMX","Revisar bloques: ","Revisar: ")&amp;BC1470))</f>
        <v/>
      </c>
      <c r="Q1470" s="78" t="str">
        <f>IF(NOT(ISNUMBER(B1470)),"",IF(COUNTIFS(FER_F,INT(B1470))&gt;0,"Feriado"&amp;IF(AH1470=1," (laborable)"," (no laborable)"),IF(AH1470=1,"Laborable",IF(WEEKDAY(B1470,2)&gt;5,"Fin de semana","No laborable"))))</f>
        <v/>
      </c>
      <c r="R1470" s="73" t="n"/>
      <c r="S1470" s="72" t="n"/>
      <c r="T1470" s="72" t="n"/>
      <c r="U1470" s="74" t="n"/>
      <c r="V1470" s="79" t="str">
        <f>IF(AND(D1470="proMX",OR(R1470="Submitted",R1470="Recall Requested"),ISNUMBER(S1470)),CFG_TODAY-INT(S1470),"")</f>
        <v/>
      </c>
      <c r="W1470" s="78" t="str">
        <f>IF(BD1470=0,"",IF(BA1470&gt;0,"⚠ Se superpone con un registro de la otra empresa",IF(D1470="Malcolm",IF(COUNTA(R1470,S1470,T1470)&gt;0,"Estado/fechas proMX se ignoran en Malcolm",""),IF(BF1470="Cancelled","Cancelado: excluido de totales",IF(R1470="","Sin estado: se trata como Draft",IF(BF1470="Submitted",IF(ISNUMBER(V1470),IF(V1470&gt;CFG_MAXD,"⚠ "&amp;V1470&amp;" días en Submitted (máx. "&amp;CFG_MAXD&amp;")",""),"Falta fecha de envío"),IF(BF1470="Returned","⚠ Devuelto: corregir y reenviar",IF(BF1470="Recall Requested","Retirada solicitada: pendiente",IF(AND(BF1470="Approved",NOT(ISNUMBER(T1470))),"Falta fecha de aprobación",IF(AND(ISNUMBER(S1470),ISNUMBER(T1470),T1470&lt;S1470),"Aprobación anterior al envío","")))))))))</f>
        <v/>
      </c>
      <c r="Y1470" s="80">
        <f>IF(COUNTA(B1470,D1470,E1470,F1470,G1470,H1470,I1470,J1470,R1470,S1470,T1470)&gt;0,1,0)</f>
        <v>0</v>
      </c>
      <c r="Z1470" s="80" t="str">
        <f>IF(AND(ISNUMBER(H1470),H1470&gt;=0,H1470&lt;1),ROUND(H1470*1440,0),"")</f>
        <v/>
      </c>
      <c r="AA1470" s="80" t="str">
        <f>IF(AND(ISNUMBER(I1470),I1470&gt;=0,I1470&lt;1),ROUND(I1470*1440,0),"")</f>
        <v/>
      </c>
      <c r="AB1470" s="80">
        <f>IF(AND(ISNUMBER(B1470),D1470&lt;&gt;"",ISNUMBER(Z1470),ISNUMBER(AA1470)),IF(Z1470=AA1470,0,1),0)</f>
        <v>0</v>
      </c>
      <c r="AC1470" s="80">
        <f>IF(AB1470=1,IF(AA1470&lt;Z1470,1,0),0)</f>
        <v>0</v>
      </c>
      <c r="AD1470" s="80">
        <f>IF(AB1470=1,IF(AC1470=1,1440-Z1470+AA1470,AA1470-Z1470),0)</f>
        <v>0</v>
      </c>
      <c r="AE1470" s="80">
        <f>IF(J1470="",0,IF(ISNUMBER(J1470),J1470,-1))</f>
        <v>0</v>
      </c>
      <c r="AF1470" s="80">
        <f>MIN(MAX(0,AE1470),AD1470)</f>
        <v>0</v>
      </c>
      <c r="AG1470" s="80">
        <f>MAX(0,AD1470-MAX(0,AE1470))</f>
        <v>0</v>
      </c>
      <c r="AH1470" s="80">
        <f>IF(ISNUMBER(B1470),IF(AND(INDEX(CFG_WDAYS,WEEKDAY(INT(B1470),2))="Sí",IF(D1470="proMX",COUNTIFS(FER_F,INT(B1470),FER_NLP,"Sí"),COUNTIFS(FER_F,INT(B1470),FER_NLM,"Sí"))=0),1,0),0)</f>
        <v>0</v>
      </c>
      <c r="AI1470" s="80">
        <f>IF(AC1470=1,IF(AND(INDEX(CFG_WDAYS,WEEKDAY(INT(B1470)+1,2))="Sí",IF(D1470="proMX",COUNTIFS(FER_F,INT(B1470)+1,FER_NLP,"Sí"),COUNTIFS(FER_F,INT(B1470)+1,FER_NLM,"Sí"))=0),1,0),0)</f>
        <v>0</v>
      </c>
      <c r="AJ1470" s="80">
        <f>IF(AC1470=1,1440-Z1470,AD1470)</f>
        <v>0</v>
      </c>
      <c r="AK1470" s="80">
        <f>IF(AND(AB1470=1,AH1470=1),MAX(0,MIN(IF(AC1470=1,1440,AA1470),CFG_WEM)-MAX(Z1470,CFG_WSM)),0)</f>
        <v>0</v>
      </c>
      <c r="AL1470" s="80">
        <f>IF(AND(AC1470=1,AI1470=1),MAX(0,MIN(AA1470,CFG_WEM)-CFG_WSM),0)</f>
        <v>0</v>
      </c>
      <c r="AM1470" s="80">
        <f>AK1470+AL1470</f>
        <v>0</v>
      </c>
      <c r="AN1470" s="80">
        <f>IF(CFG_BRK="Proporcional",IF(AD1470=0,0,AF1470*AM1470/AD1470),IF(CFG_BRK="Extras primero",MIN(AM1470,MAX(0,AF1470-(AD1470-AM1470))),MIN(AF1470,AM1470)))</f>
        <v>0</v>
      </c>
      <c r="AO1470" s="80">
        <f>AF1470-AN1470</f>
        <v>0</v>
      </c>
      <c r="AP1470" s="80">
        <f>AM1470-AN1470</f>
        <v>0</v>
      </c>
      <c r="AQ1470" s="80">
        <f>AD1470-AM1470-AO1470</f>
        <v>0</v>
      </c>
      <c r="AR1470" s="80">
        <f>IF(AM1470=0,0,AK1470-AN1470*AK1470/AM1470)</f>
        <v>0</v>
      </c>
      <c r="AS1470" s="80">
        <f>IF(AD1470-AM1470=0,0,(AJ1470-AK1470)-AO1470*(AJ1470-AK1470)/(AD1470-AM1470))</f>
        <v>0</v>
      </c>
      <c r="AT1470" s="80" t="str">
        <f>IF(AC1470=1,INT(B1470)+1,"")</f>
        <v/>
      </c>
      <c r="AU1470" s="80">
        <f>IF(AND(D1470="proMX",R1470="Cancelled"),0,1)</f>
        <v>1</v>
      </c>
      <c r="AV1470" s="80">
        <f>IF(AND(AB1470=1,AU1470=1),IF(COUNTIFS($D$5:D1469,D1470,$B$5:B1469,B1470,$Z$5:Z1469,Z1470,$AA$5:AA1469,AA1470,$F$5:F1469,F1470&amp;"",$AU$5:AU1469,1)&gt;0,1,0),0)</f>
        <v>0</v>
      </c>
      <c r="AW1470" s="80" t="str">
        <f>IF(AB1470=1,INT(B1470)*1440+Z1470,"")</f>
        <v/>
      </c>
      <c r="AX1470" s="80" t="str">
        <f>IF(AB1470=1,AW1470+AD1470,"")</f>
        <v/>
      </c>
      <c r="AY1470" s="80">
        <f>IF(AND(AB1470=1,AV1470=0,AU1470=1),1,0)</f>
        <v>0</v>
      </c>
      <c r="AZ1470" s="80">
        <f>IF(AY1470=1,COUNTIFS(R_Emp,D1470,R_SAbs,"&lt;"&amp;AX1470,R_EAbs,"&gt;"&amp;AW1470,R_OKey,1)-1,0)</f>
        <v>0</v>
      </c>
      <c r="BA1470" s="80">
        <f>IF(AY1470=1,COUNTIFS(R_Emp,"&lt;&gt;"&amp;D1470,R_SAbs,"&lt;"&amp;AX1470,R_EAbs,"&gt;"&amp;AW1470,R_OKey,1),0)</f>
        <v>0</v>
      </c>
      <c r="BB1470" s="80">
        <f>IF(AND(AB1470=1,D1470="proMX"),IF(AND(MOD(Z1470,CFG_BLK)=0,MOD(AA1470,CFG_BLK)=0,MOD(AG1470,CFG_BLK)=0,AG1470&gt;0),1,0),1)</f>
        <v>1</v>
      </c>
      <c r="BC1470" s="80" t="str">
        <f>IF(Y1470=0,"",IF(NOT(ISNUMBER(B1470)),"Falta fecha o fecha inválida",IF(D1470="","Falta empresa",IF(AND(D1470&lt;&gt;"Malcolm",D1470&lt;&gt;"proMX"),"Empresa inválida",IF(OR(INT(B1470)&lt;CFG_PSTART,INT(B1470)&gt;CFG_PEND),"Fecha fuera del período",IF(OR(NOT(ISNUMBER(Z1470)),NOT(ISNUMBER(AA1470))),"Falta hora inicio/fin o formato inválido",IF(AB1470=0,"Hora inicio = hora fin",IF(AE1470&lt;0,"Descanso inválido",IF(AE1470&gt;=AD1470,"Descanso ≥ duración",IF(AV1470=1,"Registro duplicado",IF(AZ1470&gt;0,"Se superpone con otro registro "&amp;D1470,IF(BB1470=0,"inicio, fin y duración neta deben ser múltiplos de "&amp;CFG_BLK&amp;" min",""))))))))))))</f>
        <v/>
      </c>
      <c r="BD1470" s="80">
        <f>IF(AND(Y1470=1,BC1470=""),1,0)</f>
        <v>0</v>
      </c>
      <c r="BE1470" s="80">
        <f>IF(AND(BD1470=1,AU1470=1),1,0)</f>
        <v>0</v>
      </c>
      <c r="BF1470" s="80" t="str">
        <f>IF(AND(D1470="proMX",BD1470=1),IF(R1470="","Draft",R1470),"")</f>
        <v/>
      </c>
      <c r="BG1470" s="80">
        <f>IF(BD1470=1,ROUND(AG1470/60,6),0)</f>
        <v>0</v>
      </c>
      <c r="BH1470" s="80">
        <f>IF(BE1470=1,ROUND(AG1470/60,6),0)</f>
        <v>0</v>
      </c>
      <c r="BI1470" s="80">
        <f>IF(BE1470=1,ROUND(AP1470/60,6),0)</f>
        <v>0</v>
      </c>
      <c r="BJ1470" s="80">
        <f>IF(BE1470=1,ROUND(AQ1470/60,6),0)</f>
        <v>0</v>
      </c>
      <c r="BK1470" s="80">
        <f>IF(BE1470=1,ROUND((AR1470+AS1470)/60,6),0)</f>
        <v>0</v>
      </c>
      <c r="BL1470" s="80">
        <f>ROUND(BH1470-BK1470,6)</f>
        <v>0</v>
      </c>
      <c r="BM1470" s="80">
        <f>IF(BE1470=1,ROUND(AR1470/60,6),0)</f>
        <v>0</v>
      </c>
      <c r="BN1470" s="80">
        <f>ROUND(BI1470-BM1470,6)</f>
        <v>0</v>
      </c>
      <c r="BO1470" s="80">
        <f>IF(BE1470=1,ROUND(AS1470/60,6),0)</f>
        <v>0</v>
      </c>
      <c r="BP1470" s="80">
        <f>ROUND(BJ1470-BO1470,6)</f>
        <v>0</v>
      </c>
      <c r="BQ1470" s="80">
        <f>IF(BE1470=1,AW1470,0)</f>
        <v>0</v>
      </c>
      <c r="BR1470" s="80">
        <f>IF(BE1470=1,AX1470,0)</f>
        <v>0</v>
      </c>
      <c r="BS1470" s="80">
        <f>IF(AND(BE1470=1,D1470="Malcolm",BA1470&gt;0),MIN(BH1470,SUMPRODUCT((R_Emp="proMX")*(R_EN&gt;0)*((R_EN-(R_EN&gt;BR1470)*(R_EN-BR1470))&gt;(R_SN+(R_SN&lt;BQ1470)*(BQ1470-R_SN)))*((R_EN-(R_EN&gt;BR1470)*(R_EN-BR1470))-(R_SN+(R_SN&lt;BQ1470)*(BQ1470-R_SN))))/60),0)</f>
        <v>0</v>
      </c>
      <c r="BT1470" s="80">
        <f>IF(AND(BE1470=1,D1470="proMX"),ROUND(BI1470*CFG_RATE+BJ1470*CFG_OTRATE,6),0)</f>
        <v>0</v>
      </c>
      <c r="BU1470" s="80">
        <f>IF(AND(BD1470=1,D1470="proMX"),ROUND(AG1470/CFG_BLK,6),0)</f>
        <v>0</v>
      </c>
      <c r="BV1470" s="80" t="str">
        <f>IF(BF1470="Approved",IF(ISNUMBER(T1470),INT(T1470),INT(B1470)),"")</f>
        <v/>
      </c>
      <c r="BW1470" s="80">
        <f>IF(ISNUMBER(B1470),IF(DB_MON="Todos",1,IF(AND(INT(B1470)&gt;=DB_MS,INT(B1470)&lt;=DB_ME),1,0)),0)</f>
        <v>0</v>
      </c>
      <c r="BX1470" s="80">
        <f>IF(DB_PROJ="Todos",1,IF(E1470&amp;""=DB_PROJ&amp;"",1,0))</f>
        <v>1</v>
      </c>
      <c r="BY1470" s="80">
        <f>BW1470*BX1470</f>
        <v>0</v>
      </c>
      <c r="BZ1470" s="80" t="str">
        <f>IF(Y1470=1,F1470&amp;IF(AND(F1470&amp;""&lt;&gt;"",E1470&amp;""&lt;&gt;"")," · ","")&amp;E1470,"")</f>
        <v/>
      </c>
      <c r="CA1470" s="80" t="str">
        <f>IF(AND(BD1470=1,E1470&amp;""&lt;&gt;""),IF(COUNTIFS($E$5:E1469,E1470,$BD$5:BD1469,1)=0,MAX($CA$5:CA1469)+1,""),"")</f>
        <v/>
      </c>
      <c r="CB1470" s="80" t="str">
        <f>IF(AND(BE1470=1,D1470="Malcolm",E1470&amp;""&lt;&gt;""),IF(COUNTIFS($D$5:D1469,"Malcolm",$E$5:E1469,E1470,$BE$5:BE1469,1)=0,MAX($CB$5:CB1469)+1,""),"")</f>
        <v/>
      </c>
      <c r="CC1470" s="80" t="str">
        <f>IF(AND(BD1470=1,D1470="proMX",E1470&amp;""&lt;&gt;""),IF(COUNTIFS($D$5:D1469,"proMX",$E$5:E1469,E1470,$BD$5:BD1469,1)=0,MAX($CC$5:CC1469)+1,""),"")</f>
        <v/>
      </c>
      <c r="CD1470" s="80" t="str">
        <f>IF(AND(BE1470=1,D1470="Malcolm",F1470&amp;""&lt;&gt;""),IF(COUNTIFS($D$5:D1469,"Malcolm",$F$5:F1469,F1470,$BE$5:BE1469,1)=0,MAX($CD$5:CD1469)+1,""),"")</f>
        <v/>
      </c>
      <c r="CE1470" s="80" t="str">
        <f>IF(AND(BD1470=1,D1470="proMX",F1470&amp;""&lt;&gt;""),IF(COUNTIFS($D$5:D1469,"proMX",$F$5:F1469,F1470,$BD$5:BD1469,1)=0,MAX($CE$5:CE1469)+1,""),"")</f>
        <v/>
      </c>
      <c r="CF1470" s="80" t="str">
        <f>IF(AND(D1470="proMX",BD1470=1),IF(OR(BF1470="Draft",BF1470="Submitted",BF1470="Returned",BF1470="Recall Requested"),MAX($CF$5:CF1469)+1,""),"")</f>
        <v/>
      </c>
      <c r="CG1470" s="80">
        <f>IF(BD1470=0,0,IF(D1470="Malcolm",1,MATCH(BF1470,{"Draft","Submitted","Approved","Returned","Recall Requested","Cancelled"},0)+1))</f>
        <v>0</v>
      </c>
      <c r="CH1470" s="80">
        <f>IF(AND(BF1470="Submitted",ISNUMBER(V1470)),IF(V1470&gt;CFG_MAXD,1,0),0)</f>
        <v>0</v>
      </c>
    </row>
    <row r="1471">
      <c r="A1471" s="71" t="str">
        <f>IF(Y1471=1,ROW()-5,"")</f>
        <v/>
      </c>
      <c r="B1471" s="72" t="n"/>
      <c r="C1471" s="71" t="str">
        <f>IF(ISNUMBER(B1471),CHOOSE(WEEKDAY(B1471,2),"Lun","Mar","Mié","Jue","Vie","Sáb","Dom"),"")</f>
        <v/>
      </c>
      <c r="D1471" s="73" t="n"/>
      <c r="E1471" s="74" t="n"/>
      <c r="F1471" s="74" t="n"/>
      <c r="G1471" s="74" t="n"/>
      <c r="H1471" s="75" t="n"/>
      <c r="I1471" s="75" t="n"/>
      <c r="J1471" s="76" t="n"/>
      <c r="K1471" s="77" t="str">
        <f>IF(AB1471=1,ROUND(AG1471/60,4),"")</f>
        <v/>
      </c>
      <c r="L1471" s="77" t="str">
        <f>IF(BD1471=1,ROUND(AP1471/60,4),"")</f>
        <v/>
      </c>
      <c r="M1471" s="77" t="str">
        <f>IF(BD1471=1,ROUND(AQ1471/60,4),"")</f>
        <v/>
      </c>
      <c r="N1471" s="71" t="str">
        <f>IF(AND(D1471="proMX",AB1471=1),ROUND(AG1471/CFG_BLK,2),"")</f>
        <v/>
      </c>
      <c r="O1471" s="77" t="str">
        <f>IF(D1471="proMX",IF(BD1471=1,ROUND(AG1471/60,4),0),"")</f>
        <v/>
      </c>
      <c r="P1471" s="78" t="str">
        <f>IF(Y1471=0,"",IF(BD1471=1,"OK",IF(D1471="proMX","Revisar bloques: ","Revisar: ")&amp;BC1471))</f>
        <v/>
      </c>
      <c r="Q1471" s="78" t="str">
        <f>IF(NOT(ISNUMBER(B1471)),"",IF(COUNTIFS(FER_F,INT(B1471))&gt;0,"Feriado"&amp;IF(AH1471=1," (laborable)"," (no laborable)"),IF(AH1471=1,"Laborable",IF(WEEKDAY(B1471,2)&gt;5,"Fin de semana","No laborable"))))</f>
        <v/>
      </c>
      <c r="R1471" s="73" t="n"/>
      <c r="S1471" s="72" t="n"/>
      <c r="T1471" s="72" t="n"/>
      <c r="U1471" s="74" t="n"/>
      <c r="V1471" s="79" t="str">
        <f>IF(AND(D1471="proMX",OR(R1471="Submitted",R1471="Recall Requested"),ISNUMBER(S1471)),CFG_TODAY-INT(S1471),"")</f>
        <v/>
      </c>
      <c r="W1471" s="78" t="str">
        <f>IF(BD1471=0,"",IF(BA1471&gt;0,"⚠ Se superpone con un registro de la otra empresa",IF(D1471="Malcolm",IF(COUNTA(R1471,S1471,T1471)&gt;0,"Estado/fechas proMX se ignoran en Malcolm",""),IF(BF1471="Cancelled","Cancelado: excluido de totales",IF(R1471="","Sin estado: se trata como Draft",IF(BF1471="Submitted",IF(ISNUMBER(V1471),IF(V1471&gt;CFG_MAXD,"⚠ "&amp;V1471&amp;" días en Submitted (máx. "&amp;CFG_MAXD&amp;")",""),"Falta fecha de envío"),IF(BF1471="Returned","⚠ Devuelto: corregir y reenviar",IF(BF1471="Recall Requested","Retirada solicitada: pendiente",IF(AND(BF1471="Approved",NOT(ISNUMBER(T1471))),"Falta fecha de aprobación",IF(AND(ISNUMBER(S1471),ISNUMBER(T1471),T1471&lt;S1471),"Aprobación anterior al envío","")))))))))</f>
        <v/>
      </c>
      <c r="Y1471" s="80">
        <f>IF(COUNTA(B1471,D1471,E1471,F1471,G1471,H1471,I1471,J1471,R1471,S1471,T1471)&gt;0,1,0)</f>
        <v>0</v>
      </c>
      <c r="Z1471" s="80" t="str">
        <f>IF(AND(ISNUMBER(H1471),H1471&gt;=0,H1471&lt;1),ROUND(H1471*1440,0),"")</f>
        <v/>
      </c>
      <c r="AA1471" s="80" t="str">
        <f>IF(AND(ISNUMBER(I1471),I1471&gt;=0,I1471&lt;1),ROUND(I1471*1440,0),"")</f>
        <v/>
      </c>
      <c r="AB1471" s="80">
        <f>IF(AND(ISNUMBER(B1471),D1471&lt;&gt;"",ISNUMBER(Z1471),ISNUMBER(AA1471)),IF(Z1471=AA1471,0,1),0)</f>
        <v>0</v>
      </c>
      <c r="AC1471" s="80">
        <f>IF(AB1471=1,IF(AA1471&lt;Z1471,1,0),0)</f>
        <v>0</v>
      </c>
      <c r="AD1471" s="80">
        <f>IF(AB1471=1,IF(AC1471=1,1440-Z1471+AA1471,AA1471-Z1471),0)</f>
        <v>0</v>
      </c>
      <c r="AE1471" s="80">
        <f>IF(J1471="",0,IF(ISNUMBER(J1471),J1471,-1))</f>
        <v>0</v>
      </c>
      <c r="AF1471" s="80">
        <f>MIN(MAX(0,AE1471),AD1471)</f>
        <v>0</v>
      </c>
      <c r="AG1471" s="80">
        <f>MAX(0,AD1471-MAX(0,AE1471))</f>
        <v>0</v>
      </c>
      <c r="AH1471" s="80">
        <f>IF(ISNUMBER(B1471),IF(AND(INDEX(CFG_WDAYS,WEEKDAY(INT(B1471),2))="Sí",IF(D1471="proMX",COUNTIFS(FER_F,INT(B1471),FER_NLP,"Sí"),COUNTIFS(FER_F,INT(B1471),FER_NLM,"Sí"))=0),1,0),0)</f>
        <v>0</v>
      </c>
      <c r="AI1471" s="80">
        <f>IF(AC1471=1,IF(AND(INDEX(CFG_WDAYS,WEEKDAY(INT(B1471)+1,2))="Sí",IF(D1471="proMX",COUNTIFS(FER_F,INT(B1471)+1,FER_NLP,"Sí"),COUNTIFS(FER_F,INT(B1471)+1,FER_NLM,"Sí"))=0),1,0),0)</f>
        <v>0</v>
      </c>
      <c r="AJ1471" s="80">
        <f>IF(AC1471=1,1440-Z1471,AD1471)</f>
        <v>0</v>
      </c>
      <c r="AK1471" s="80">
        <f>IF(AND(AB1471=1,AH1471=1),MAX(0,MIN(IF(AC1471=1,1440,AA1471),CFG_WEM)-MAX(Z1471,CFG_WSM)),0)</f>
        <v>0</v>
      </c>
      <c r="AL1471" s="80">
        <f>IF(AND(AC1471=1,AI1471=1),MAX(0,MIN(AA1471,CFG_WEM)-CFG_WSM),0)</f>
        <v>0</v>
      </c>
      <c r="AM1471" s="80">
        <f>AK1471+AL1471</f>
        <v>0</v>
      </c>
      <c r="AN1471" s="80">
        <f>IF(CFG_BRK="Proporcional",IF(AD1471=0,0,AF1471*AM1471/AD1471),IF(CFG_BRK="Extras primero",MIN(AM1471,MAX(0,AF1471-(AD1471-AM1471))),MIN(AF1471,AM1471)))</f>
        <v>0</v>
      </c>
      <c r="AO1471" s="80">
        <f>AF1471-AN1471</f>
        <v>0</v>
      </c>
      <c r="AP1471" s="80">
        <f>AM1471-AN1471</f>
        <v>0</v>
      </c>
      <c r="AQ1471" s="80">
        <f>AD1471-AM1471-AO1471</f>
        <v>0</v>
      </c>
      <c r="AR1471" s="80">
        <f>IF(AM1471=0,0,AK1471-AN1471*AK1471/AM1471)</f>
        <v>0</v>
      </c>
      <c r="AS1471" s="80">
        <f>IF(AD1471-AM1471=0,0,(AJ1471-AK1471)-AO1471*(AJ1471-AK1471)/(AD1471-AM1471))</f>
        <v>0</v>
      </c>
      <c r="AT1471" s="80" t="str">
        <f>IF(AC1471=1,INT(B1471)+1,"")</f>
        <v/>
      </c>
      <c r="AU1471" s="80">
        <f>IF(AND(D1471="proMX",R1471="Cancelled"),0,1)</f>
        <v>1</v>
      </c>
      <c r="AV1471" s="80">
        <f>IF(AND(AB1471=1,AU1471=1),IF(COUNTIFS($D$5:D1470,D1471,$B$5:B1470,B1471,$Z$5:Z1470,Z1471,$AA$5:AA1470,AA1471,$F$5:F1470,F1471&amp;"",$AU$5:AU1470,1)&gt;0,1,0),0)</f>
        <v>0</v>
      </c>
      <c r="AW1471" s="80" t="str">
        <f>IF(AB1471=1,INT(B1471)*1440+Z1471,"")</f>
        <v/>
      </c>
      <c r="AX1471" s="80" t="str">
        <f>IF(AB1471=1,AW1471+AD1471,"")</f>
        <v/>
      </c>
      <c r="AY1471" s="80">
        <f>IF(AND(AB1471=1,AV1471=0,AU1471=1),1,0)</f>
        <v>0</v>
      </c>
      <c r="AZ1471" s="80">
        <f>IF(AY1471=1,COUNTIFS(R_Emp,D1471,R_SAbs,"&lt;"&amp;AX1471,R_EAbs,"&gt;"&amp;AW1471,R_OKey,1)-1,0)</f>
        <v>0</v>
      </c>
      <c r="BA1471" s="80">
        <f>IF(AY1471=1,COUNTIFS(R_Emp,"&lt;&gt;"&amp;D1471,R_SAbs,"&lt;"&amp;AX1471,R_EAbs,"&gt;"&amp;AW1471,R_OKey,1),0)</f>
        <v>0</v>
      </c>
      <c r="BB1471" s="80">
        <f>IF(AND(AB1471=1,D1471="proMX"),IF(AND(MOD(Z1471,CFG_BLK)=0,MOD(AA1471,CFG_BLK)=0,MOD(AG1471,CFG_BLK)=0,AG1471&gt;0),1,0),1)</f>
        <v>1</v>
      </c>
      <c r="BC1471" s="80" t="str">
        <f>IF(Y1471=0,"",IF(NOT(ISNUMBER(B1471)),"Falta fecha o fecha inválida",IF(D1471="","Falta empresa",IF(AND(D1471&lt;&gt;"Malcolm",D1471&lt;&gt;"proMX"),"Empresa inválida",IF(OR(INT(B1471)&lt;CFG_PSTART,INT(B1471)&gt;CFG_PEND),"Fecha fuera del período",IF(OR(NOT(ISNUMBER(Z1471)),NOT(ISNUMBER(AA1471))),"Falta hora inicio/fin o formato inválido",IF(AB1471=0,"Hora inicio = hora fin",IF(AE1471&lt;0,"Descanso inválido",IF(AE1471&gt;=AD1471,"Descanso ≥ duración",IF(AV1471=1,"Registro duplicado",IF(AZ1471&gt;0,"Se superpone con otro registro "&amp;D1471,IF(BB1471=0,"inicio, fin y duración neta deben ser múltiplos de "&amp;CFG_BLK&amp;" min",""))))))))))))</f>
        <v/>
      </c>
      <c r="BD1471" s="80">
        <f>IF(AND(Y1471=1,BC1471=""),1,0)</f>
        <v>0</v>
      </c>
      <c r="BE1471" s="80">
        <f>IF(AND(BD1471=1,AU1471=1),1,0)</f>
        <v>0</v>
      </c>
      <c r="BF1471" s="80" t="str">
        <f>IF(AND(D1471="proMX",BD1471=1),IF(R1471="","Draft",R1471),"")</f>
        <v/>
      </c>
      <c r="BG1471" s="80">
        <f>IF(BD1471=1,ROUND(AG1471/60,6),0)</f>
        <v>0</v>
      </c>
      <c r="BH1471" s="80">
        <f>IF(BE1471=1,ROUND(AG1471/60,6),0)</f>
        <v>0</v>
      </c>
      <c r="BI1471" s="80">
        <f>IF(BE1471=1,ROUND(AP1471/60,6),0)</f>
        <v>0</v>
      </c>
      <c r="BJ1471" s="80">
        <f>IF(BE1471=1,ROUND(AQ1471/60,6),0)</f>
        <v>0</v>
      </c>
      <c r="BK1471" s="80">
        <f>IF(BE1471=1,ROUND((AR1471+AS1471)/60,6),0)</f>
        <v>0</v>
      </c>
      <c r="BL1471" s="80">
        <f>ROUND(BH1471-BK1471,6)</f>
        <v>0</v>
      </c>
      <c r="BM1471" s="80">
        <f>IF(BE1471=1,ROUND(AR1471/60,6),0)</f>
        <v>0</v>
      </c>
      <c r="BN1471" s="80">
        <f>ROUND(BI1471-BM1471,6)</f>
        <v>0</v>
      </c>
      <c r="BO1471" s="80">
        <f>IF(BE1471=1,ROUND(AS1471/60,6),0)</f>
        <v>0</v>
      </c>
      <c r="BP1471" s="80">
        <f>ROUND(BJ1471-BO1471,6)</f>
        <v>0</v>
      </c>
      <c r="BQ1471" s="80">
        <f>IF(BE1471=1,AW1471,0)</f>
        <v>0</v>
      </c>
      <c r="BR1471" s="80">
        <f>IF(BE1471=1,AX1471,0)</f>
        <v>0</v>
      </c>
      <c r="BS1471" s="80">
        <f>IF(AND(BE1471=1,D1471="Malcolm",BA1471&gt;0),MIN(BH1471,SUMPRODUCT((R_Emp="proMX")*(R_EN&gt;0)*((R_EN-(R_EN&gt;BR1471)*(R_EN-BR1471))&gt;(R_SN+(R_SN&lt;BQ1471)*(BQ1471-R_SN)))*((R_EN-(R_EN&gt;BR1471)*(R_EN-BR1471))-(R_SN+(R_SN&lt;BQ1471)*(BQ1471-R_SN))))/60),0)</f>
        <v>0</v>
      </c>
      <c r="BT1471" s="80">
        <f>IF(AND(BE1471=1,D1471="proMX"),ROUND(BI1471*CFG_RATE+BJ1471*CFG_OTRATE,6),0)</f>
        <v>0</v>
      </c>
      <c r="BU1471" s="80">
        <f>IF(AND(BD1471=1,D1471="proMX"),ROUND(AG1471/CFG_BLK,6),0)</f>
        <v>0</v>
      </c>
      <c r="BV1471" s="80" t="str">
        <f>IF(BF1471="Approved",IF(ISNUMBER(T1471),INT(T1471),INT(B1471)),"")</f>
        <v/>
      </c>
      <c r="BW1471" s="80">
        <f>IF(ISNUMBER(B1471),IF(DB_MON="Todos",1,IF(AND(INT(B1471)&gt;=DB_MS,INT(B1471)&lt;=DB_ME),1,0)),0)</f>
        <v>0</v>
      </c>
      <c r="BX1471" s="80">
        <f>IF(DB_PROJ="Todos",1,IF(E1471&amp;""=DB_PROJ&amp;"",1,0))</f>
        <v>1</v>
      </c>
      <c r="BY1471" s="80">
        <f>BW1471*BX1471</f>
        <v>0</v>
      </c>
      <c r="BZ1471" s="80" t="str">
        <f>IF(Y1471=1,F1471&amp;IF(AND(F1471&amp;""&lt;&gt;"",E1471&amp;""&lt;&gt;"")," · ","")&amp;E1471,"")</f>
        <v/>
      </c>
      <c r="CA1471" s="80" t="str">
        <f>IF(AND(BD1471=1,E1471&amp;""&lt;&gt;""),IF(COUNTIFS($E$5:E1470,E1471,$BD$5:BD1470,1)=0,MAX($CA$5:CA1470)+1,""),"")</f>
        <v/>
      </c>
      <c r="CB1471" s="80" t="str">
        <f>IF(AND(BE1471=1,D1471="Malcolm",E1471&amp;""&lt;&gt;""),IF(COUNTIFS($D$5:D1470,"Malcolm",$E$5:E1470,E1471,$BE$5:BE1470,1)=0,MAX($CB$5:CB1470)+1,""),"")</f>
        <v/>
      </c>
      <c r="CC1471" s="80" t="str">
        <f>IF(AND(BD1471=1,D1471="proMX",E1471&amp;""&lt;&gt;""),IF(COUNTIFS($D$5:D1470,"proMX",$E$5:E1470,E1471,$BD$5:BD1470,1)=0,MAX($CC$5:CC1470)+1,""),"")</f>
        <v/>
      </c>
      <c r="CD1471" s="80" t="str">
        <f>IF(AND(BE1471=1,D1471="Malcolm",F1471&amp;""&lt;&gt;""),IF(COUNTIFS($D$5:D1470,"Malcolm",$F$5:F1470,F1471,$BE$5:BE1470,1)=0,MAX($CD$5:CD1470)+1,""),"")</f>
        <v/>
      </c>
      <c r="CE1471" s="80" t="str">
        <f>IF(AND(BD1471=1,D1471="proMX",F1471&amp;""&lt;&gt;""),IF(COUNTIFS($D$5:D1470,"proMX",$F$5:F1470,F1471,$BD$5:BD1470,1)=0,MAX($CE$5:CE1470)+1,""),"")</f>
        <v/>
      </c>
      <c r="CF1471" s="80" t="str">
        <f>IF(AND(D1471="proMX",BD1471=1),IF(OR(BF1471="Draft",BF1471="Submitted",BF1471="Returned",BF1471="Recall Requested"),MAX($CF$5:CF1470)+1,""),"")</f>
        <v/>
      </c>
      <c r="CG1471" s="80">
        <f>IF(BD1471=0,0,IF(D1471="Malcolm",1,MATCH(BF1471,{"Draft","Submitted","Approved","Returned","Recall Requested","Cancelled"},0)+1))</f>
        <v>0</v>
      </c>
      <c r="CH1471" s="80">
        <f>IF(AND(BF1471="Submitted",ISNUMBER(V1471)),IF(V1471&gt;CFG_MAXD,1,0),0)</f>
        <v>0</v>
      </c>
    </row>
    <row r="1472">
      <c r="A1472" s="71" t="str">
        <f>IF(Y1472=1,ROW()-5,"")</f>
        <v/>
      </c>
      <c r="B1472" s="72" t="n"/>
      <c r="C1472" s="71" t="str">
        <f>IF(ISNUMBER(B1472),CHOOSE(WEEKDAY(B1472,2),"Lun","Mar","Mié","Jue","Vie","Sáb","Dom"),"")</f>
        <v/>
      </c>
      <c r="D1472" s="73" t="n"/>
      <c r="E1472" s="74" t="n"/>
      <c r="F1472" s="74" t="n"/>
      <c r="G1472" s="74" t="n"/>
      <c r="H1472" s="75" t="n"/>
      <c r="I1472" s="75" t="n"/>
      <c r="J1472" s="76" t="n"/>
      <c r="K1472" s="77" t="str">
        <f>IF(AB1472=1,ROUND(AG1472/60,4),"")</f>
        <v/>
      </c>
      <c r="L1472" s="77" t="str">
        <f>IF(BD1472=1,ROUND(AP1472/60,4),"")</f>
        <v/>
      </c>
      <c r="M1472" s="77" t="str">
        <f>IF(BD1472=1,ROUND(AQ1472/60,4),"")</f>
        <v/>
      </c>
      <c r="N1472" s="71" t="str">
        <f>IF(AND(D1472="proMX",AB1472=1),ROUND(AG1472/CFG_BLK,2),"")</f>
        <v/>
      </c>
      <c r="O1472" s="77" t="str">
        <f>IF(D1472="proMX",IF(BD1472=1,ROUND(AG1472/60,4),0),"")</f>
        <v/>
      </c>
      <c r="P1472" s="78" t="str">
        <f>IF(Y1472=0,"",IF(BD1472=1,"OK",IF(D1472="proMX","Revisar bloques: ","Revisar: ")&amp;BC1472))</f>
        <v/>
      </c>
      <c r="Q1472" s="78" t="str">
        <f>IF(NOT(ISNUMBER(B1472)),"",IF(COUNTIFS(FER_F,INT(B1472))&gt;0,"Feriado"&amp;IF(AH1472=1," (laborable)"," (no laborable)"),IF(AH1472=1,"Laborable",IF(WEEKDAY(B1472,2)&gt;5,"Fin de semana","No laborable"))))</f>
        <v/>
      </c>
      <c r="R1472" s="73" t="n"/>
      <c r="S1472" s="72" t="n"/>
      <c r="T1472" s="72" t="n"/>
      <c r="U1472" s="74" t="n"/>
      <c r="V1472" s="79" t="str">
        <f>IF(AND(D1472="proMX",OR(R1472="Submitted",R1472="Recall Requested"),ISNUMBER(S1472)),CFG_TODAY-INT(S1472),"")</f>
        <v/>
      </c>
      <c r="W1472" s="78" t="str">
        <f>IF(BD1472=0,"",IF(BA1472&gt;0,"⚠ Se superpone con un registro de la otra empresa",IF(D1472="Malcolm",IF(COUNTA(R1472,S1472,T1472)&gt;0,"Estado/fechas proMX se ignoran en Malcolm",""),IF(BF1472="Cancelled","Cancelado: excluido de totales",IF(R1472="","Sin estado: se trata como Draft",IF(BF1472="Submitted",IF(ISNUMBER(V1472),IF(V1472&gt;CFG_MAXD,"⚠ "&amp;V1472&amp;" días en Submitted (máx. "&amp;CFG_MAXD&amp;")",""),"Falta fecha de envío"),IF(BF1472="Returned","⚠ Devuelto: corregir y reenviar",IF(BF1472="Recall Requested","Retirada solicitada: pendiente",IF(AND(BF1472="Approved",NOT(ISNUMBER(T1472))),"Falta fecha de aprobación",IF(AND(ISNUMBER(S1472),ISNUMBER(T1472),T1472&lt;S1472),"Aprobación anterior al envío","")))))))))</f>
        <v/>
      </c>
      <c r="Y1472" s="80">
        <f>IF(COUNTA(B1472,D1472,E1472,F1472,G1472,H1472,I1472,J1472,R1472,S1472,T1472)&gt;0,1,0)</f>
        <v>0</v>
      </c>
      <c r="Z1472" s="80" t="str">
        <f>IF(AND(ISNUMBER(H1472),H1472&gt;=0,H1472&lt;1),ROUND(H1472*1440,0),"")</f>
        <v/>
      </c>
      <c r="AA1472" s="80" t="str">
        <f>IF(AND(ISNUMBER(I1472),I1472&gt;=0,I1472&lt;1),ROUND(I1472*1440,0),"")</f>
        <v/>
      </c>
      <c r="AB1472" s="80">
        <f>IF(AND(ISNUMBER(B1472),D1472&lt;&gt;"",ISNUMBER(Z1472),ISNUMBER(AA1472)),IF(Z1472=AA1472,0,1),0)</f>
        <v>0</v>
      </c>
      <c r="AC1472" s="80">
        <f>IF(AB1472=1,IF(AA1472&lt;Z1472,1,0),0)</f>
        <v>0</v>
      </c>
      <c r="AD1472" s="80">
        <f>IF(AB1472=1,IF(AC1472=1,1440-Z1472+AA1472,AA1472-Z1472),0)</f>
        <v>0</v>
      </c>
      <c r="AE1472" s="80">
        <f>IF(J1472="",0,IF(ISNUMBER(J1472),J1472,-1))</f>
        <v>0</v>
      </c>
      <c r="AF1472" s="80">
        <f>MIN(MAX(0,AE1472),AD1472)</f>
        <v>0</v>
      </c>
      <c r="AG1472" s="80">
        <f>MAX(0,AD1472-MAX(0,AE1472))</f>
        <v>0</v>
      </c>
      <c r="AH1472" s="80">
        <f>IF(ISNUMBER(B1472),IF(AND(INDEX(CFG_WDAYS,WEEKDAY(INT(B1472),2))="Sí",IF(D1472="proMX",COUNTIFS(FER_F,INT(B1472),FER_NLP,"Sí"),COUNTIFS(FER_F,INT(B1472),FER_NLM,"Sí"))=0),1,0),0)</f>
        <v>0</v>
      </c>
      <c r="AI1472" s="80">
        <f>IF(AC1472=1,IF(AND(INDEX(CFG_WDAYS,WEEKDAY(INT(B1472)+1,2))="Sí",IF(D1472="proMX",COUNTIFS(FER_F,INT(B1472)+1,FER_NLP,"Sí"),COUNTIFS(FER_F,INT(B1472)+1,FER_NLM,"Sí"))=0),1,0),0)</f>
        <v>0</v>
      </c>
      <c r="AJ1472" s="80">
        <f>IF(AC1472=1,1440-Z1472,AD1472)</f>
        <v>0</v>
      </c>
      <c r="AK1472" s="80">
        <f>IF(AND(AB1472=1,AH1472=1),MAX(0,MIN(IF(AC1472=1,1440,AA1472),CFG_WEM)-MAX(Z1472,CFG_WSM)),0)</f>
        <v>0</v>
      </c>
      <c r="AL1472" s="80">
        <f>IF(AND(AC1472=1,AI1472=1),MAX(0,MIN(AA1472,CFG_WEM)-CFG_WSM),0)</f>
        <v>0</v>
      </c>
      <c r="AM1472" s="80">
        <f>AK1472+AL1472</f>
        <v>0</v>
      </c>
      <c r="AN1472" s="80">
        <f>IF(CFG_BRK="Proporcional",IF(AD1472=0,0,AF1472*AM1472/AD1472),IF(CFG_BRK="Extras primero",MIN(AM1472,MAX(0,AF1472-(AD1472-AM1472))),MIN(AF1472,AM1472)))</f>
        <v>0</v>
      </c>
      <c r="AO1472" s="80">
        <f>AF1472-AN1472</f>
        <v>0</v>
      </c>
      <c r="AP1472" s="80">
        <f>AM1472-AN1472</f>
        <v>0</v>
      </c>
      <c r="AQ1472" s="80">
        <f>AD1472-AM1472-AO1472</f>
        <v>0</v>
      </c>
      <c r="AR1472" s="80">
        <f>IF(AM1472=0,0,AK1472-AN1472*AK1472/AM1472)</f>
        <v>0</v>
      </c>
      <c r="AS1472" s="80">
        <f>IF(AD1472-AM1472=0,0,(AJ1472-AK1472)-AO1472*(AJ1472-AK1472)/(AD1472-AM1472))</f>
        <v>0</v>
      </c>
      <c r="AT1472" s="80" t="str">
        <f>IF(AC1472=1,INT(B1472)+1,"")</f>
        <v/>
      </c>
      <c r="AU1472" s="80">
        <f>IF(AND(D1472="proMX",R1472="Cancelled"),0,1)</f>
        <v>1</v>
      </c>
      <c r="AV1472" s="80">
        <f>IF(AND(AB1472=1,AU1472=1),IF(COUNTIFS($D$5:D1471,D1472,$B$5:B1471,B1472,$Z$5:Z1471,Z1472,$AA$5:AA1471,AA1472,$F$5:F1471,F1472&amp;"",$AU$5:AU1471,1)&gt;0,1,0),0)</f>
        <v>0</v>
      </c>
      <c r="AW1472" s="80" t="str">
        <f>IF(AB1472=1,INT(B1472)*1440+Z1472,"")</f>
        <v/>
      </c>
      <c r="AX1472" s="80" t="str">
        <f>IF(AB1472=1,AW1472+AD1472,"")</f>
        <v/>
      </c>
      <c r="AY1472" s="80">
        <f>IF(AND(AB1472=1,AV1472=0,AU1472=1),1,0)</f>
        <v>0</v>
      </c>
      <c r="AZ1472" s="80">
        <f>IF(AY1472=1,COUNTIFS(R_Emp,D1472,R_SAbs,"&lt;"&amp;AX1472,R_EAbs,"&gt;"&amp;AW1472,R_OKey,1)-1,0)</f>
        <v>0</v>
      </c>
      <c r="BA1472" s="80">
        <f>IF(AY1472=1,COUNTIFS(R_Emp,"&lt;&gt;"&amp;D1472,R_SAbs,"&lt;"&amp;AX1472,R_EAbs,"&gt;"&amp;AW1472,R_OKey,1),0)</f>
        <v>0</v>
      </c>
      <c r="BB1472" s="80">
        <f>IF(AND(AB1472=1,D1472="proMX"),IF(AND(MOD(Z1472,CFG_BLK)=0,MOD(AA1472,CFG_BLK)=0,MOD(AG1472,CFG_BLK)=0,AG1472&gt;0),1,0),1)</f>
        <v>1</v>
      </c>
      <c r="BC1472" s="80" t="str">
        <f>IF(Y1472=0,"",IF(NOT(ISNUMBER(B1472)),"Falta fecha o fecha inválida",IF(D1472="","Falta empresa",IF(AND(D1472&lt;&gt;"Malcolm",D1472&lt;&gt;"proMX"),"Empresa inválida",IF(OR(INT(B1472)&lt;CFG_PSTART,INT(B1472)&gt;CFG_PEND),"Fecha fuera del período",IF(OR(NOT(ISNUMBER(Z1472)),NOT(ISNUMBER(AA1472))),"Falta hora inicio/fin o formato inválido",IF(AB1472=0,"Hora inicio = hora fin",IF(AE1472&lt;0,"Descanso inválido",IF(AE1472&gt;=AD1472,"Descanso ≥ duración",IF(AV1472=1,"Registro duplicado",IF(AZ1472&gt;0,"Se superpone con otro registro "&amp;D1472,IF(BB1472=0,"inicio, fin y duración neta deben ser múltiplos de "&amp;CFG_BLK&amp;" min",""))))))))))))</f>
        <v/>
      </c>
      <c r="BD1472" s="80">
        <f>IF(AND(Y1472=1,BC1472=""),1,0)</f>
        <v>0</v>
      </c>
      <c r="BE1472" s="80">
        <f>IF(AND(BD1472=1,AU1472=1),1,0)</f>
        <v>0</v>
      </c>
      <c r="BF1472" s="80" t="str">
        <f>IF(AND(D1472="proMX",BD1472=1),IF(R1472="","Draft",R1472),"")</f>
        <v/>
      </c>
      <c r="BG1472" s="80">
        <f>IF(BD1472=1,ROUND(AG1472/60,6),0)</f>
        <v>0</v>
      </c>
      <c r="BH1472" s="80">
        <f>IF(BE1472=1,ROUND(AG1472/60,6),0)</f>
        <v>0</v>
      </c>
      <c r="BI1472" s="80">
        <f>IF(BE1472=1,ROUND(AP1472/60,6),0)</f>
        <v>0</v>
      </c>
      <c r="BJ1472" s="80">
        <f>IF(BE1472=1,ROUND(AQ1472/60,6),0)</f>
        <v>0</v>
      </c>
      <c r="BK1472" s="80">
        <f>IF(BE1472=1,ROUND((AR1472+AS1472)/60,6),0)</f>
        <v>0</v>
      </c>
      <c r="BL1472" s="80">
        <f>ROUND(BH1472-BK1472,6)</f>
        <v>0</v>
      </c>
      <c r="BM1472" s="80">
        <f>IF(BE1472=1,ROUND(AR1472/60,6),0)</f>
        <v>0</v>
      </c>
      <c r="BN1472" s="80">
        <f>ROUND(BI1472-BM1472,6)</f>
        <v>0</v>
      </c>
      <c r="BO1472" s="80">
        <f>IF(BE1472=1,ROUND(AS1472/60,6),0)</f>
        <v>0</v>
      </c>
      <c r="BP1472" s="80">
        <f>ROUND(BJ1472-BO1472,6)</f>
        <v>0</v>
      </c>
      <c r="BQ1472" s="80">
        <f>IF(BE1472=1,AW1472,0)</f>
        <v>0</v>
      </c>
      <c r="BR1472" s="80">
        <f>IF(BE1472=1,AX1472,0)</f>
        <v>0</v>
      </c>
      <c r="BS1472" s="80">
        <f>IF(AND(BE1472=1,D1472="Malcolm",BA1472&gt;0),MIN(BH1472,SUMPRODUCT((R_Emp="proMX")*(R_EN&gt;0)*((R_EN-(R_EN&gt;BR1472)*(R_EN-BR1472))&gt;(R_SN+(R_SN&lt;BQ1472)*(BQ1472-R_SN)))*((R_EN-(R_EN&gt;BR1472)*(R_EN-BR1472))-(R_SN+(R_SN&lt;BQ1472)*(BQ1472-R_SN))))/60),0)</f>
        <v>0</v>
      </c>
      <c r="BT1472" s="80">
        <f>IF(AND(BE1472=1,D1472="proMX"),ROUND(BI1472*CFG_RATE+BJ1472*CFG_OTRATE,6),0)</f>
        <v>0</v>
      </c>
      <c r="BU1472" s="80">
        <f>IF(AND(BD1472=1,D1472="proMX"),ROUND(AG1472/CFG_BLK,6),0)</f>
        <v>0</v>
      </c>
      <c r="BV1472" s="80" t="str">
        <f>IF(BF1472="Approved",IF(ISNUMBER(T1472),INT(T1472),INT(B1472)),"")</f>
        <v/>
      </c>
      <c r="BW1472" s="80">
        <f>IF(ISNUMBER(B1472),IF(DB_MON="Todos",1,IF(AND(INT(B1472)&gt;=DB_MS,INT(B1472)&lt;=DB_ME),1,0)),0)</f>
        <v>0</v>
      </c>
      <c r="BX1472" s="80">
        <f>IF(DB_PROJ="Todos",1,IF(E1472&amp;""=DB_PROJ&amp;"",1,0))</f>
        <v>1</v>
      </c>
      <c r="BY1472" s="80">
        <f>BW1472*BX1472</f>
        <v>0</v>
      </c>
      <c r="BZ1472" s="80" t="str">
        <f>IF(Y1472=1,F1472&amp;IF(AND(F1472&amp;""&lt;&gt;"",E1472&amp;""&lt;&gt;"")," · ","")&amp;E1472,"")</f>
        <v/>
      </c>
      <c r="CA1472" s="80" t="str">
        <f>IF(AND(BD1472=1,E1472&amp;""&lt;&gt;""),IF(COUNTIFS($E$5:E1471,E1472,$BD$5:BD1471,1)=0,MAX($CA$5:CA1471)+1,""),"")</f>
        <v/>
      </c>
      <c r="CB1472" s="80" t="str">
        <f>IF(AND(BE1472=1,D1472="Malcolm",E1472&amp;""&lt;&gt;""),IF(COUNTIFS($D$5:D1471,"Malcolm",$E$5:E1471,E1472,$BE$5:BE1471,1)=0,MAX($CB$5:CB1471)+1,""),"")</f>
        <v/>
      </c>
      <c r="CC1472" s="80" t="str">
        <f>IF(AND(BD1472=1,D1472="proMX",E1472&amp;""&lt;&gt;""),IF(COUNTIFS($D$5:D1471,"proMX",$E$5:E1471,E1472,$BD$5:BD1471,1)=0,MAX($CC$5:CC1471)+1,""),"")</f>
        <v/>
      </c>
      <c r="CD1472" s="80" t="str">
        <f>IF(AND(BE1472=1,D1472="Malcolm",F1472&amp;""&lt;&gt;""),IF(COUNTIFS($D$5:D1471,"Malcolm",$F$5:F1471,F1472,$BE$5:BE1471,1)=0,MAX($CD$5:CD1471)+1,""),"")</f>
        <v/>
      </c>
      <c r="CE1472" s="80" t="str">
        <f>IF(AND(BD1472=1,D1472="proMX",F1472&amp;""&lt;&gt;""),IF(COUNTIFS($D$5:D1471,"proMX",$F$5:F1471,F1472,$BD$5:BD1471,1)=0,MAX($CE$5:CE1471)+1,""),"")</f>
        <v/>
      </c>
      <c r="CF1472" s="80" t="str">
        <f>IF(AND(D1472="proMX",BD1472=1),IF(OR(BF1472="Draft",BF1472="Submitted",BF1472="Returned",BF1472="Recall Requested"),MAX($CF$5:CF1471)+1,""),"")</f>
        <v/>
      </c>
      <c r="CG1472" s="80">
        <f>IF(BD1472=0,0,IF(D1472="Malcolm",1,MATCH(BF1472,{"Draft","Submitted","Approved","Returned","Recall Requested","Cancelled"},0)+1))</f>
        <v>0</v>
      </c>
      <c r="CH1472" s="80">
        <f>IF(AND(BF1472="Submitted",ISNUMBER(V1472)),IF(V1472&gt;CFG_MAXD,1,0),0)</f>
        <v>0</v>
      </c>
    </row>
    <row r="1473">
      <c r="A1473" s="71" t="str">
        <f>IF(Y1473=1,ROW()-5,"")</f>
        <v/>
      </c>
      <c r="B1473" s="72" t="n"/>
      <c r="C1473" s="71" t="str">
        <f>IF(ISNUMBER(B1473),CHOOSE(WEEKDAY(B1473,2),"Lun","Mar","Mié","Jue","Vie","Sáb","Dom"),"")</f>
        <v/>
      </c>
      <c r="D1473" s="73" t="n"/>
      <c r="E1473" s="74" t="n"/>
      <c r="F1473" s="74" t="n"/>
      <c r="G1473" s="74" t="n"/>
      <c r="H1473" s="75" t="n"/>
      <c r="I1473" s="75" t="n"/>
      <c r="J1473" s="76" t="n"/>
      <c r="K1473" s="77" t="str">
        <f>IF(AB1473=1,ROUND(AG1473/60,4),"")</f>
        <v/>
      </c>
      <c r="L1473" s="77" t="str">
        <f>IF(BD1473=1,ROUND(AP1473/60,4),"")</f>
        <v/>
      </c>
      <c r="M1473" s="77" t="str">
        <f>IF(BD1473=1,ROUND(AQ1473/60,4),"")</f>
        <v/>
      </c>
      <c r="N1473" s="71" t="str">
        <f>IF(AND(D1473="proMX",AB1473=1),ROUND(AG1473/CFG_BLK,2),"")</f>
        <v/>
      </c>
      <c r="O1473" s="77" t="str">
        <f>IF(D1473="proMX",IF(BD1473=1,ROUND(AG1473/60,4),0),"")</f>
        <v/>
      </c>
      <c r="P1473" s="78" t="str">
        <f>IF(Y1473=0,"",IF(BD1473=1,"OK",IF(D1473="proMX","Revisar bloques: ","Revisar: ")&amp;BC1473))</f>
        <v/>
      </c>
      <c r="Q1473" s="78" t="str">
        <f>IF(NOT(ISNUMBER(B1473)),"",IF(COUNTIFS(FER_F,INT(B1473))&gt;0,"Feriado"&amp;IF(AH1473=1," (laborable)"," (no laborable)"),IF(AH1473=1,"Laborable",IF(WEEKDAY(B1473,2)&gt;5,"Fin de semana","No laborable"))))</f>
        <v/>
      </c>
      <c r="R1473" s="73" t="n"/>
      <c r="S1473" s="72" t="n"/>
      <c r="T1473" s="72" t="n"/>
      <c r="U1473" s="74" t="n"/>
      <c r="V1473" s="79" t="str">
        <f>IF(AND(D1473="proMX",OR(R1473="Submitted",R1473="Recall Requested"),ISNUMBER(S1473)),CFG_TODAY-INT(S1473),"")</f>
        <v/>
      </c>
      <c r="W1473" s="78" t="str">
        <f>IF(BD1473=0,"",IF(BA1473&gt;0,"⚠ Se superpone con un registro de la otra empresa",IF(D1473="Malcolm",IF(COUNTA(R1473,S1473,T1473)&gt;0,"Estado/fechas proMX se ignoran en Malcolm",""),IF(BF1473="Cancelled","Cancelado: excluido de totales",IF(R1473="","Sin estado: se trata como Draft",IF(BF1473="Submitted",IF(ISNUMBER(V1473),IF(V1473&gt;CFG_MAXD,"⚠ "&amp;V1473&amp;" días en Submitted (máx. "&amp;CFG_MAXD&amp;")",""),"Falta fecha de envío"),IF(BF1473="Returned","⚠ Devuelto: corregir y reenviar",IF(BF1473="Recall Requested","Retirada solicitada: pendiente",IF(AND(BF1473="Approved",NOT(ISNUMBER(T1473))),"Falta fecha de aprobación",IF(AND(ISNUMBER(S1473),ISNUMBER(T1473),T1473&lt;S1473),"Aprobación anterior al envío","")))))))))</f>
        <v/>
      </c>
      <c r="Y1473" s="80">
        <f>IF(COUNTA(B1473,D1473,E1473,F1473,G1473,H1473,I1473,J1473,R1473,S1473,T1473)&gt;0,1,0)</f>
        <v>0</v>
      </c>
      <c r="Z1473" s="80" t="str">
        <f>IF(AND(ISNUMBER(H1473),H1473&gt;=0,H1473&lt;1),ROUND(H1473*1440,0),"")</f>
        <v/>
      </c>
      <c r="AA1473" s="80" t="str">
        <f>IF(AND(ISNUMBER(I1473),I1473&gt;=0,I1473&lt;1),ROUND(I1473*1440,0),"")</f>
        <v/>
      </c>
      <c r="AB1473" s="80">
        <f>IF(AND(ISNUMBER(B1473),D1473&lt;&gt;"",ISNUMBER(Z1473),ISNUMBER(AA1473)),IF(Z1473=AA1473,0,1),0)</f>
        <v>0</v>
      </c>
      <c r="AC1473" s="80">
        <f>IF(AB1473=1,IF(AA1473&lt;Z1473,1,0),0)</f>
        <v>0</v>
      </c>
      <c r="AD1473" s="80">
        <f>IF(AB1473=1,IF(AC1473=1,1440-Z1473+AA1473,AA1473-Z1473),0)</f>
        <v>0</v>
      </c>
      <c r="AE1473" s="80">
        <f>IF(J1473="",0,IF(ISNUMBER(J1473),J1473,-1))</f>
        <v>0</v>
      </c>
      <c r="AF1473" s="80">
        <f>MIN(MAX(0,AE1473),AD1473)</f>
        <v>0</v>
      </c>
      <c r="AG1473" s="80">
        <f>MAX(0,AD1473-MAX(0,AE1473))</f>
        <v>0</v>
      </c>
      <c r="AH1473" s="80">
        <f>IF(ISNUMBER(B1473),IF(AND(INDEX(CFG_WDAYS,WEEKDAY(INT(B1473),2))="Sí",IF(D1473="proMX",COUNTIFS(FER_F,INT(B1473),FER_NLP,"Sí"),COUNTIFS(FER_F,INT(B1473),FER_NLM,"Sí"))=0),1,0),0)</f>
        <v>0</v>
      </c>
      <c r="AI1473" s="80">
        <f>IF(AC1473=1,IF(AND(INDEX(CFG_WDAYS,WEEKDAY(INT(B1473)+1,2))="Sí",IF(D1473="proMX",COUNTIFS(FER_F,INT(B1473)+1,FER_NLP,"Sí"),COUNTIFS(FER_F,INT(B1473)+1,FER_NLM,"Sí"))=0),1,0),0)</f>
        <v>0</v>
      </c>
      <c r="AJ1473" s="80">
        <f>IF(AC1473=1,1440-Z1473,AD1473)</f>
        <v>0</v>
      </c>
      <c r="AK1473" s="80">
        <f>IF(AND(AB1473=1,AH1473=1),MAX(0,MIN(IF(AC1473=1,1440,AA1473),CFG_WEM)-MAX(Z1473,CFG_WSM)),0)</f>
        <v>0</v>
      </c>
      <c r="AL1473" s="80">
        <f>IF(AND(AC1473=1,AI1473=1),MAX(0,MIN(AA1473,CFG_WEM)-CFG_WSM),0)</f>
        <v>0</v>
      </c>
      <c r="AM1473" s="80">
        <f>AK1473+AL1473</f>
        <v>0</v>
      </c>
      <c r="AN1473" s="80">
        <f>IF(CFG_BRK="Proporcional",IF(AD1473=0,0,AF1473*AM1473/AD1473),IF(CFG_BRK="Extras primero",MIN(AM1473,MAX(0,AF1473-(AD1473-AM1473))),MIN(AF1473,AM1473)))</f>
        <v>0</v>
      </c>
      <c r="AO1473" s="80">
        <f>AF1473-AN1473</f>
        <v>0</v>
      </c>
      <c r="AP1473" s="80">
        <f>AM1473-AN1473</f>
        <v>0</v>
      </c>
      <c r="AQ1473" s="80">
        <f>AD1473-AM1473-AO1473</f>
        <v>0</v>
      </c>
      <c r="AR1473" s="80">
        <f>IF(AM1473=0,0,AK1473-AN1473*AK1473/AM1473)</f>
        <v>0</v>
      </c>
      <c r="AS1473" s="80">
        <f>IF(AD1473-AM1473=0,0,(AJ1473-AK1473)-AO1473*(AJ1473-AK1473)/(AD1473-AM1473))</f>
        <v>0</v>
      </c>
      <c r="AT1473" s="80" t="str">
        <f>IF(AC1473=1,INT(B1473)+1,"")</f>
        <v/>
      </c>
      <c r="AU1473" s="80">
        <f>IF(AND(D1473="proMX",R1473="Cancelled"),0,1)</f>
        <v>1</v>
      </c>
      <c r="AV1473" s="80">
        <f>IF(AND(AB1473=1,AU1473=1),IF(COUNTIFS($D$5:D1472,D1473,$B$5:B1472,B1473,$Z$5:Z1472,Z1473,$AA$5:AA1472,AA1473,$F$5:F1472,F1473&amp;"",$AU$5:AU1472,1)&gt;0,1,0),0)</f>
        <v>0</v>
      </c>
      <c r="AW1473" s="80" t="str">
        <f>IF(AB1473=1,INT(B1473)*1440+Z1473,"")</f>
        <v/>
      </c>
      <c r="AX1473" s="80" t="str">
        <f>IF(AB1473=1,AW1473+AD1473,"")</f>
        <v/>
      </c>
      <c r="AY1473" s="80">
        <f>IF(AND(AB1473=1,AV1473=0,AU1473=1),1,0)</f>
        <v>0</v>
      </c>
      <c r="AZ1473" s="80">
        <f>IF(AY1473=1,COUNTIFS(R_Emp,D1473,R_SAbs,"&lt;"&amp;AX1473,R_EAbs,"&gt;"&amp;AW1473,R_OKey,1)-1,0)</f>
        <v>0</v>
      </c>
      <c r="BA1473" s="80">
        <f>IF(AY1473=1,COUNTIFS(R_Emp,"&lt;&gt;"&amp;D1473,R_SAbs,"&lt;"&amp;AX1473,R_EAbs,"&gt;"&amp;AW1473,R_OKey,1),0)</f>
        <v>0</v>
      </c>
      <c r="BB1473" s="80">
        <f>IF(AND(AB1473=1,D1473="proMX"),IF(AND(MOD(Z1473,CFG_BLK)=0,MOD(AA1473,CFG_BLK)=0,MOD(AG1473,CFG_BLK)=0,AG1473&gt;0),1,0),1)</f>
        <v>1</v>
      </c>
      <c r="BC1473" s="80" t="str">
        <f>IF(Y1473=0,"",IF(NOT(ISNUMBER(B1473)),"Falta fecha o fecha inválida",IF(D1473="","Falta empresa",IF(AND(D1473&lt;&gt;"Malcolm",D1473&lt;&gt;"proMX"),"Empresa inválida",IF(OR(INT(B1473)&lt;CFG_PSTART,INT(B1473)&gt;CFG_PEND),"Fecha fuera del período",IF(OR(NOT(ISNUMBER(Z1473)),NOT(ISNUMBER(AA1473))),"Falta hora inicio/fin o formato inválido",IF(AB1473=0,"Hora inicio = hora fin",IF(AE1473&lt;0,"Descanso inválido",IF(AE1473&gt;=AD1473,"Descanso ≥ duración",IF(AV1473=1,"Registro duplicado",IF(AZ1473&gt;0,"Se superpone con otro registro "&amp;D1473,IF(BB1473=0,"inicio, fin y duración neta deben ser múltiplos de "&amp;CFG_BLK&amp;" min",""))))))))))))</f>
        <v/>
      </c>
      <c r="BD1473" s="80">
        <f>IF(AND(Y1473=1,BC1473=""),1,0)</f>
        <v>0</v>
      </c>
      <c r="BE1473" s="80">
        <f>IF(AND(BD1473=1,AU1473=1),1,0)</f>
        <v>0</v>
      </c>
      <c r="BF1473" s="80" t="str">
        <f>IF(AND(D1473="proMX",BD1473=1),IF(R1473="","Draft",R1473),"")</f>
        <v/>
      </c>
      <c r="BG1473" s="80">
        <f>IF(BD1473=1,ROUND(AG1473/60,6),0)</f>
        <v>0</v>
      </c>
      <c r="BH1473" s="80">
        <f>IF(BE1473=1,ROUND(AG1473/60,6),0)</f>
        <v>0</v>
      </c>
      <c r="BI1473" s="80">
        <f>IF(BE1473=1,ROUND(AP1473/60,6),0)</f>
        <v>0</v>
      </c>
      <c r="BJ1473" s="80">
        <f>IF(BE1473=1,ROUND(AQ1473/60,6),0)</f>
        <v>0</v>
      </c>
      <c r="BK1473" s="80">
        <f>IF(BE1473=1,ROUND((AR1473+AS1473)/60,6),0)</f>
        <v>0</v>
      </c>
      <c r="BL1473" s="80">
        <f>ROUND(BH1473-BK1473,6)</f>
        <v>0</v>
      </c>
      <c r="BM1473" s="80">
        <f>IF(BE1473=1,ROUND(AR1473/60,6),0)</f>
        <v>0</v>
      </c>
      <c r="BN1473" s="80">
        <f>ROUND(BI1473-BM1473,6)</f>
        <v>0</v>
      </c>
      <c r="BO1473" s="80">
        <f>IF(BE1473=1,ROUND(AS1473/60,6),0)</f>
        <v>0</v>
      </c>
      <c r="BP1473" s="80">
        <f>ROUND(BJ1473-BO1473,6)</f>
        <v>0</v>
      </c>
      <c r="BQ1473" s="80">
        <f>IF(BE1473=1,AW1473,0)</f>
        <v>0</v>
      </c>
      <c r="BR1473" s="80">
        <f>IF(BE1473=1,AX1473,0)</f>
        <v>0</v>
      </c>
      <c r="BS1473" s="80">
        <f>IF(AND(BE1473=1,D1473="Malcolm",BA1473&gt;0),MIN(BH1473,SUMPRODUCT((R_Emp="proMX")*(R_EN&gt;0)*((R_EN-(R_EN&gt;BR1473)*(R_EN-BR1473))&gt;(R_SN+(R_SN&lt;BQ1473)*(BQ1473-R_SN)))*((R_EN-(R_EN&gt;BR1473)*(R_EN-BR1473))-(R_SN+(R_SN&lt;BQ1473)*(BQ1473-R_SN))))/60),0)</f>
        <v>0</v>
      </c>
      <c r="BT1473" s="80">
        <f>IF(AND(BE1473=1,D1473="proMX"),ROUND(BI1473*CFG_RATE+BJ1473*CFG_OTRATE,6),0)</f>
        <v>0</v>
      </c>
      <c r="BU1473" s="80">
        <f>IF(AND(BD1473=1,D1473="proMX"),ROUND(AG1473/CFG_BLK,6),0)</f>
        <v>0</v>
      </c>
      <c r="BV1473" s="80" t="str">
        <f>IF(BF1473="Approved",IF(ISNUMBER(T1473),INT(T1473),INT(B1473)),"")</f>
        <v/>
      </c>
      <c r="BW1473" s="80">
        <f>IF(ISNUMBER(B1473),IF(DB_MON="Todos",1,IF(AND(INT(B1473)&gt;=DB_MS,INT(B1473)&lt;=DB_ME),1,0)),0)</f>
        <v>0</v>
      </c>
      <c r="BX1473" s="80">
        <f>IF(DB_PROJ="Todos",1,IF(E1473&amp;""=DB_PROJ&amp;"",1,0))</f>
        <v>1</v>
      </c>
      <c r="BY1473" s="80">
        <f>BW1473*BX1473</f>
        <v>0</v>
      </c>
      <c r="BZ1473" s="80" t="str">
        <f>IF(Y1473=1,F1473&amp;IF(AND(F1473&amp;""&lt;&gt;"",E1473&amp;""&lt;&gt;"")," · ","")&amp;E1473,"")</f>
        <v/>
      </c>
      <c r="CA1473" s="80" t="str">
        <f>IF(AND(BD1473=1,E1473&amp;""&lt;&gt;""),IF(COUNTIFS($E$5:E1472,E1473,$BD$5:BD1472,1)=0,MAX($CA$5:CA1472)+1,""),"")</f>
        <v/>
      </c>
      <c r="CB1473" s="80" t="str">
        <f>IF(AND(BE1473=1,D1473="Malcolm",E1473&amp;""&lt;&gt;""),IF(COUNTIFS($D$5:D1472,"Malcolm",$E$5:E1472,E1473,$BE$5:BE1472,1)=0,MAX($CB$5:CB1472)+1,""),"")</f>
        <v/>
      </c>
      <c r="CC1473" s="80" t="str">
        <f>IF(AND(BD1473=1,D1473="proMX",E1473&amp;""&lt;&gt;""),IF(COUNTIFS($D$5:D1472,"proMX",$E$5:E1472,E1473,$BD$5:BD1472,1)=0,MAX($CC$5:CC1472)+1,""),"")</f>
        <v/>
      </c>
      <c r="CD1473" s="80" t="str">
        <f>IF(AND(BE1473=1,D1473="Malcolm",F1473&amp;""&lt;&gt;""),IF(COUNTIFS($D$5:D1472,"Malcolm",$F$5:F1472,F1473,$BE$5:BE1472,1)=0,MAX($CD$5:CD1472)+1,""),"")</f>
        <v/>
      </c>
      <c r="CE1473" s="80" t="str">
        <f>IF(AND(BD1473=1,D1473="proMX",F1473&amp;""&lt;&gt;""),IF(COUNTIFS($D$5:D1472,"proMX",$F$5:F1472,F1473,$BD$5:BD1472,1)=0,MAX($CE$5:CE1472)+1,""),"")</f>
        <v/>
      </c>
      <c r="CF1473" s="80" t="str">
        <f>IF(AND(D1473="proMX",BD1473=1),IF(OR(BF1473="Draft",BF1473="Submitted",BF1473="Returned",BF1473="Recall Requested"),MAX($CF$5:CF1472)+1,""),"")</f>
        <v/>
      </c>
      <c r="CG1473" s="80">
        <f>IF(BD1473=0,0,IF(D1473="Malcolm",1,MATCH(BF1473,{"Draft","Submitted","Approved","Returned","Recall Requested","Cancelled"},0)+1))</f>
        <v>0</v>
      </c>
      <c r="CH1473" s="80">
        <f>IF(AND(BF1473="Submitted",ISNUMBER(V1473)),IF(V1473&gt;CFG_MAXD,1,0),0)</f>
        <v>0</v>
      </c>
    </row>
    <row r="1474">
      <c r="A1474" s="71" t="str">
        <f>IF(Y1474=1,ROW()-5,"")</f>
        <v/>
      </c>
      <c r="B1474" s="72" t="n"/>
      <c r="C1474" s="71" t="str">
        <f>IF(ISNUMBER(B1474),CHOOSE(WEEKDAY(B1474,2),"Lun","Mar","Mié","Jue","Vie","Sáb","Dom"),"")</f>
        <v/>
      </c>
      <c r="D1474" s="73" t="n"/>
      <c r="E1474" s="74" t="n"/>
      <c r="F1474" s="74" t="n"/>
      <c r="G1474" s="74" t="n"/>
      <c r="H1474" s="75" t="n"/>
      <c r="I1474" s="75" t="n"/>
      <c r="J1474" s="76" t="n"/>
      <c r="K1474" s="77" t="str">
        <f>IF(AB1474=1,ROUND(AG1474/60,4),"")</f>
        <v/>
      </c>
      <c r="L1474" s="77" t="str">
        <f>IF(BD1474=1,ROUND(AP1474/60,4),"")</f>
        <v/>
      </c>
      <c r="M1474" s="77" t="str">
        <f>IF(BD1474=1,ROUND(AQ1474/60,4),"")</f>
        <v/>
      </c>
      <c r="N1474" s="71" t="str">
        <f>IF(AND(D1474="proMX",AB1474=1),ROUND(AG1474/CFG_BLK,2),"")</f>
        <v/>
      </c>
      <c r="O1474" s="77" t="str">
        <f>IF(D1474="proMX",IF(BD1474=1,ROUND(AG1474/60,4),0),"")</f>
        <v/>
      </c>
      <c r="P1474" s="78" t="str">
        <f>IF(Y1474=0,"",IF(BD1474=1,"OK",IF(D1474="proMX","Revisar bloques: ","Revisar: ")&amp;BC1474))</f>
        <v/>
      </c>
      <c r="Q1474" s="78" t="str">
        <f>IF(NOT(ISNUMBER(B1474)),"",IF(COUNTIFS(FER_F,INT(B1474))&gt;0,"Feriado"&amp;IF(AH1474=1," (laborable)"," (no laborable)"),IF(AH1474=1,"Laborable",IF(WEEKDAY(B1474,2)&gt;5,"Fin de semana","No laborable"))))</f>
        <v/>
      </c>
      <c r="R1474" s="73" t="n"/>
      <c r="S1474" s="72" t="n"/>
      <c r="T1474" s="72" t="n"/>
      <c r="U1474" s="74" t="n"/>
      <c r="V1474" s="79" t="str">
        <f>IF(AND(D1474="proMX",OR(R1474="Submitted",R1474="Recall Requested"),ISNUMBER(S1474)),CFG_TODAY-INT(S1474),"")</f>
        <v/>
      </c>
      <c r="W1474" s="78" t="str">
        <f>IF(BD1474=0,"",IF(BA1474&gt;0,"⚠ Se superpone con un registro de la otra empresa",IF(D1474="Malcolm",IF(COUNTA(R1474,S1474,T1474)&gt;0,"Estado/fechas proMX se ignoran en Malcolm",""),IF(BF1474="Cancelled","Cancelado: excluido de totales",IF(R1474="","Sin estado: se trata como Draft",IF(BF1474="Submitted",IF(ISNUMBER(V1474),IF(V1474&gt;CFG_MAXD,"⚠ "&amp;V1474&amp;" días en Submitted (máx. "&amp;CFG_MAXD&amp;")",""),"Falta fecha de envío"),IF(BF1474="Returned","⚠ Devuelto: corregir y reenviar",IF(BF1474="Recall Requested","Retirada solicitada: pendiente",IF(AND(BF1474="Approved",NOT(ISNUMBER(T1474))),"Falta fecha de aprobación",IF(AND(ISNUMBER(S1474),ISNUMBER(T1474),T1474&lt;S1474),"Aprobación anterior al envío","")))))))))</f>
        <v/>
      </c>
      <c r="Y1474" s="80">
        <f>IF(COUNTA(B1474,D1474,E1474,F1474,G1474,H1474,I1474,J1474,R1474,S1474,T1474)&gt;0,1,0)</f>
        <v>0</v>
      </c>
      <c r="Z1474" s="80" t="str">
        <f>IF(AND(ISNUMBER(H1474),H1474&gt;=0,H1474&lt;1),ROUND(H1474*1440,0),"")</f>
        <v/>
      </c>
      <c r="AA1474" s="80" t="str">
        <f>IF(AND(ISNUMBER(I1474),I1474&gt;=0,I1474&lt;1),ROUND(I1474*1440,0),"")</f>
        <v/>
      </c>
      <c r="AB1474" s="80">
        <f>IF(AND(ISNUMBER(B1474),D1474&lt;&gt;"",ISNUMBER(Z1474),ISNUMBER(AA1474)),IF(Z1474=AA1474,0,1),0)</f>
        <v>0</v>
      </c>
      <c r="AC1474" s="80">
        <f>IF(AB1474=1,IF(AA1474&lt;Z1474,1,0),0)</f>
        <v>0</v>
      </c>
      <c r="AD1474" s="80">
        <f>IF(AB1474=1,IF(AC1474=1,1440-Z1474+AA1474,AA1474-Z1474),0)</f>
        <v>0</v>
      </c>
      <c r="AE1474" s="80">
        <f>IF(J1474="",0,IF(ISNUMBER(J1474),J1474,-1))</f>
        <v>0</v>
      </c>
      <c r="AF1474" s="80">
        <f>MIN(MAX(0,AE1474),AD1474)</f>
        <v>0</v>
      </c>
      <c r="AG1474" s="80">
        <f>MAX(0,AD1474-MAX(0,AE1474))</f>
        <v>0</v>
      </c>
      <c r="AH1474" s="80">
        <f>IF(ISNUMBER(B1474),IF(AND(INDEX(CFG_WDAYS,WEEKDAY(INT(B1474),2))="Sí",IF(D1474="proMX",COUNTIFS(FER_F,INT(B1474),FER_NLP,"Sí"),COUNTIFS(FER_F,INT(B1474),FER_NLM,"Sí"))=0),1,0),0)</f>
        <v>0</v>
      </c>
      <c r="AI1474" s="80">
        <f>IF(AC1474=1,IF(AND(INDEX(CFG_WDAYS,WEEKDAY(INT(B1474)+1,2))="Sí",IF(D1474="proMX",COUNTIFS(FER_F,INT(B1474)+1,FER_NLP,"Sí"),COUNTIFS(FER_F,INT(B1474)+1,FER_NLM,"Sí"))=0),1,0),0)</f>
        <v>0</v>
      </c>
      <c r="AJ1474" s="80">
        <f>IF(AC1474=1,1440-Z1474,AD1474)</f>
        <v>0</v>
      </c>
      <c r="AK1474" s="80">
        <f>IF(AND(AB1474=1,AH1474=1),MAX(0,MIN(IF(AC1474=1,1440,AA1474),CFG_WEM)-MAX(Z1474,CFG_WSM)),0)</f>
        <v>0</v>
      </c>
      <c r="AL1474" s="80">
        <f>IF(AND(AC1474=1,AI1474=1),MAX(0,MIN(AA1474,CFG_WEM)-CFG_WSM),0)</f>
        <v>0</v>
      </c>
      <c r="AM1474" s="80">
        <f>AK1474+AL1474</f>
        <v>0</v>
      </c>
      <c r="AN1474" s="80">
        <f>IF(CFG_BRK="Proporcional",IF(AD1474=0,0,AF1474*AM1474/AD1474),IF(CFG_BRK="Extras primero",MIN(AM1474,MAX(0,AF1474-(AD1474-AM1474))),MIN(AF1474,AM1474)))</f>
        <v>0</v>
      </c>
      <c r="AO1474" s="80">
        <f>AF1474-AN1474</f>
        <v>0</v>
      </c>
      <c r="AP1474" s="80">
        <f>AM1474-AN1474</f>
        <v>0</v>
      </c>
      <c r="AQ1474" s="80">
        <f>AD1474-AM1474-AO1474</f>
        <v>0</v>
      </c>
      <c r="AR1474" s="80">
        <f>IF(AM1474=0,0,AK1474-AN1474*AK1474/AM1474)</f>
        <v>0</v>
      </c>
      <c r="AS1474" s="80">
        <f>IF(AD1474-AM1474=0,0,(AJ1474-AK1474)-AO1474*(AJ1474-AK1474)/(AD1474-AM1474))</f>
        <v>0</v>
      </c>
      <c r="AT1474" s="80" t="str">
        <f>IF(AC1474=1,INT(B1474)+1,"")</f>
        <v/>
      </c>
      <c r="AU1474" s="80">
        <f>IF(AND(D1474="proMX",R1474="Cancelled"),0,1)</f>
        <v>1</v>
      </c>
      <c r="AV1474" s="80">
        <f>IF(AND(AB1474=1,AU1474=1),IF(COUNTIFS($D$5:D1473,D1474,$B$5:B1473,B1474,$Z$5:Z1473,Z1474,$AA$5:AA1473,AA1474,$F$5:F1473,F1474&amp;"",$AU$5:AU1473,1)&gt;0,1,0),0)</f>
        <v>0</v>
      </c>
      <c r="AW1474" s="80" t="str">
        <f>IF(AB1474=1,INT(B1474)*1440+Z1474,"")</f>
        <v/>
      </c>
      <c r="AX1474" s="80" t="str">
        <f>IF(AB1474=1,AW1474+AD1474,"")</f>
        <v/>
      </c>
      <c r="AY1474" s="80">
        <f>IF(AND(AB1474=1,AV1474=0,AU1474=1),1,0)</f>
        <v>0</v>
      </c>
      <c r="AZ1474" s="80">
        <f>IF(AY1474=1,COUNTIFS(R_Emp,D1474,R_SAbs,"&lt;"&amp;AX1474,R_EAbs,"&gt;"&amp;AW1474,R_OKey,1)-1,0)</f>
        <v>0</v>
      </c>
      <c r="BA1474" s="80">
        <f>IF(AY1474=1,COUNTIFS(R_Emp,"&lt;&gt;"&amp;D1474,R_SAbs,"&lt;"&amp;AX1474,R_EAbs,"&gt;"&amp;AW1474,R_OKey,1),0)</f>
        <v>0</v>
      </c>
      <c r="BB1474" s="80">
        <f>IF(AND(AB1474=1,D1474="proMX"),IF(AND(MOD(Z1474,CFG_BLK)=0,MOD(AA1474,CFG_BLK)=0,MOD(AG1474,CFG_BLK)=0,AG1474&gt;0),1,0),1)</f>
        <v>1</v>
      </c>
      <c r="BC1474" s="80" t="str">
        <f>IF(Y1474=0,"",IF(NOT(ISNUMBER(B1474)),"Falta fecha o fecha inválida",IF(D1474="","Falta empresa",IF(AND(D1474&lt;&gt;"Malcolm",D1474&lt;&gt;"proMX"),"Empresa inválida",IF(OR(INT(B1474)&lt;CFG_PSTART,INT(B1474)&gt;CFG_PEND),"Fecha fuera del período",IF(OR(NOT(ISNUMBER(Z1474)),NOT(ISNUMBER(AA1474))),"Falta hora inicio/fin o formato inválido",IF(AB1474=0,"Hora inicio = hora fin",IF(AE1474&lt;0,"Descanso inválido",IF(AE1474&gt;=AD1474,"Descanso ≥ duración",IF(AV1474=1,"Registro duplicado",IF(AZ1474&gt;0,"Se superpone con otro registro "&amp;D1474,IF(BB1474=0,"inicio, fin y duración neta deben ser múltiplos de "&amp;CFG_BLK&amp;" min",""))))))))))))</f>
        <v/>
      </c>
      <c r="BD1474" s="80">
        <f>IF(AND(Y1474=1,BC1474=""),1,0)</f>
        <v>0</v>
      </c>
      <c r="BE1474" s="80">
        <f>IF(AND(BD1474=1,AU1474=1),1,0)</f>
        <v>0</v>
      </c>
      <c r="BF1474" s="80" t="str">
        <f>IF(AND(D1474="proMX",BD1474=1),IF(R1474="","Draft",R1474),"")</f>
        <v/>
      </c>
      <c r="BG1474" s="80">
        <f>IF(BD1474=1,ROUND(AG1474/60,6),0)</f>
        <v>0</v>
      </c>
      <c r="BH1474" s="80">
        <f>IF(BE1474=1,ROUND(AG1474/60,6),0)</f>
        <v>0</v>
      </c>
      <c r="BI1474" s="80">
        <f>IF(BE1474=1,ROUND(AP1474/60,6),0)</f>
        <v>0</v>
      </c>
      <c r="BJ1474" s="80">
        <f>IF(BE1474=1,ROUND(AQ1474/60,6),0)</f>
        <v>0</v>
      </c>
      <c r="BK1474" s="80">
        <f>IF(BE1474=1,ROUND((AR1474+AS1474)/60,6),0)</f>
        <v>0</v>
      </c>
      <c r="BL1474" s="80">
        <f>ROUND(BH1474-BK1474,6)</f>
        <v>0</v>
      </c>
      <c r="BM1474" s="80">
        <f>IF(BE1474=1,ROUND(AR1474/60,6),0)</f>
        <v>0</v>
      </c>
      <c r="BN1474" s="80">
        <f>ROUND(BI1474-BM1474,6)</f>
        <v>0</v>
      </c>
      <c r="BO1474" s="80">
        <f>IF(BE1474=1,ROUND(AS1474/60,6),0)</f>
        <v>0</v>
      </c>
      <c r="BP1474" s="80">
        <f>ROUND(BJ1474-BO1474,6)</f>
        <v>0</v>
      </c>
      <c r="BQ1474" s="80">
        <f>IF(BE1474=1,AW1474,0)</f>
        <v>0</v>
      </c>
      <c r="BR1474" s="80">
        <f>IF(BE1474=1,AX1474,0)</f>
        <v>0</v>
      </c>
      <c r="BS1474" s="80">
        <f>IF(AND(BE1474=1,D1474="Malcolm",BA1474&gt;0),MIN(BH1474,SUMPRODUCT((R_Emp="proMX")*(R_EN&gt;0)*((R_EN-(R_EN&gt;BR1474)*(R_EN-BR1474))&gt;(R_SN+(R_SN&lt;BQ1474)*(BQ1474-R_SN)))*((R_EN-(R_EN&gt;BR1474)*(R_EN-BR1474))-(R_SN+(R_SN&lt;BQ1474)*(BQ1474-R_SN))))/60),0)</f>
        <v>0</v>
      </c>
      <c r="BT1474" s="80">
        <f>IF(AND(BE1474=1,D1474="proMX"),ROUND(BI1474*CFG_RATE+BJ1474*CFG_OTRATE,6),0)</f>
        <v>0</v>
      </c>
      <c r="BU1474" s="80">
        <f>IF(AND(BD1474=1,D1474="proMX"),ROUND(AG1474/CFG_BLK,6),0)</f>
        <v>0</v>
      </c>
      <c r="BV1474" s="80" t="str">
        <f>IF(BF1474="Approved",IF(ISNUMBER(T1474),INT(T1474),INT(B1474)),"")</f>
        <v/>
      </c>
      <c r="BW1474" s="80">
        <f>IF(ISNUMBER(B1474),IF(DB_MON="Todos",1,IF(AND(INT(B1474)&gt;=DB_MS,INT(B1474)&lt;=DB_ME),1,0)),0)</f>
        <v>0</v>
      </c>
      <c r="BX1474" s="80">
        <f>IF(DB_PROJ="Todos",1,IF(E1474&amp;""=DB_PROJ&amp;"",1,0))</f>
        <v>1</v>
      </c>
      <c r="BY1474" s="80">
        <f>BW1474*BX1474</f>
        <v>0</v>
      </c>
      <c r="BZ1474" s="80" t="str">
        <f>IF(Y1474=1,F1474&amp;IF(AND(F1474&amp;""&lt;&gt;"",E1474&amp;""&lt;&gt;"")," · ","")&amp;E1474,"")</f>
        <v/>
      </c>
      <c r="CA1474" s="80" t="str">
        <f>IF(AND(BD1474=1,E1474&amp;""&lt;&gt;""),IF(COUNTIFS($E$5:E1473,E1474,$BD$5:BD1473,1)=0,MAX($CA$5:CA1473)+1,""),"")</f>
        <v/>
      </c>
      <c r="CB1474" s="80" t="str">
        <f>IF(AND(BE1474=1,D1474="Malcolm",E1474&amp;""&lt;&gt;""),IF(COUNTIFS($D$5:D1473,"Malcolm",$E$5:E1473,E1474,$BE$5:BE1473,1)=0,MAX($CB$5:CB1473)+1,""),"")</f>
        <v/>
      </c>
      <c r="CC1474" s="80" t="str">
        <f>IF(AND(BD1474=1,D1474="proMX",E1474&amp;""&lt;&gt;""),IF(COUNTIFS($D$5:D1473,"proMX",$E$5:E1473,E1474,$BD$5:BD1473,1)=0,MAX($CC$5:CC1473)+1,""),"")</f>
        <v/>
      </c>
      <c r="CD1474" s="80" t="str">
        <f>IF(AND(BE1474=1,D1474="Malcolm",F1474&amp;""&lt;&gt;""),IF(COUNTIFS($D$5:D1473,"Malcolm",$F$5:F1473,F1474,$BE$5:BE1473,1)=0,MAX($CD$5:CD1473)+1,""),"")</f>
        <v/>
      </c>
      <c r="CE1474" s="80" t="str">
        <f>IF(AND(BD1474=1,D1474="proMX",F1474&amp;""&lt;&gt;""),IF(COUNTIFS($D$5:D1473,"proMX",$F$5:F1473,F1474,$BD$5:BD1473,1)=0,MAX($CE$5:CE1473)+1,""),"")</f>
        <v/>
      </c>
      <c r="CF1474" s="80" t="str">
        <f>IF(AND(D1474="proMX",BD1474=1),IF(OR(BF1474="Draft",BF1474="Submitted",BF1474="Returned",BF1474="Recall Requested"),MAX($CF$5:CF1473)+1,""),"")</f>
        <v/>
      </c>
      <c r="CG1474" s="80">
        <f>IF(BD1474=0,0,IF(D1474="Malcolm",1,MATCH(BF1474,{"Draft","Submitted","Approved","Returned","Recall Requested","Cancelled"},0)+1))</f>
        <v>0</v>
      </c>
      <c r="CH1474" s="80">
        <f>IF(AND(BF1474="Submitted",ISNUMBER(V1474)),IF(V1474&gt;CFG_MAXD,1,0),0)</f>
        <v>0</v>
      </c>
    </row>
    <row r="1475">
      <c r="A1475" s="71" t="str">
        <f>IF(Y1475=1,ROW()-5,"")</f>
        <v/>
      </c>
      <c r="B1475" s="72" t="n"/>
      <c r="C1475" s="71" t="str">
        <f>IF(ISNUMBER(B1475),CHOOSE(WEEKDAY(B1475,2),"Lun","Mar","Mié","Jue","Vie","Sáb","Dom"),"")</f>
        <v/>
      </c>
      <c r="D1475" s="73" t="n"/>
      <c r="E1475" s="74" t="n"/>
      <c r="F1475" s="74" t="n"/>
      <c r="G1475" s="74" t="n"/>
      <c r="H1475" s="75" t="n"/>
      <c r="I1475" s="75" t="n"/>
      <c r="J1475" s="76" t="n"/>
      <c r="K1475" s="77" t="str">
        <f>IF(AB1475=1,ROUND(AG1475/60,4),"")</f>
        <v/>
      </c>
      <c r="L1475" s="77" t="str">
        <f>IF(BD1475=1,ROUND(AP1475/60,4),"")</f>
        <v/>
      </c>
      <c r="M1475" s="77" t="str">
        <f>IF(BD1475=1,ROUND(AQ1475/60,4),"")</f>
        <v/>
      </c>
      <c r="N1475" s="71" t="str">
        <f>IF(AND(D1475="proMX",AB1475=1),ROUND(AG1475/CFG_BLK,2),"")</f>
        <v/>
      </c>
      <c r="O1475" s="77" t="str">
        <f>IF(D1475="proMX",IF(BD1475=1,ROUND(AG1475/60,4),0),"")</f>
        <v/>
      </c>
      <c r="P1475" s="78" t="str">
        <f>IF(Y1475=0,"",IF(BD1475=1,"OK",IF(D1475="proMX","Revisar bloques: ","Revisar: ")&amp;BC1475))</f>
        <v/>
      </c>
      <c r="Q1475" s="78" t="str">
        <f>IF(NOT(ISNUMBER(B1475)),"",IF(COUNTIFS(FER_F,INT(B1475))&gt;0,"Feriado"&amp;IF(AH1475=1," (laborable)"," (no laborable)"),IF(AH1475=1,"Laborable",IF(WEEKDAY(B1475,2)&gt;5,"Fin de semana","No laborable"))))</f>
        <v/>
      </c>
      <c r="R1475" s="73" t="n"/>
      <c r="S1475" s="72" t="n"/>
      <c r="T1475" s="72" t="n"/>
      <c r="U1475" s="74" t="n"/>
      <c r="V1475" s="79" t="str">
        <f>IF(AND(D1475="proMX",OR(R1475="Submitted",R1475="Recall Requested"),ISNUMBER(S1475)),CFG_TODAY-INT(S1475),"")</f>
        <v/>
      </c>
      <c r="W1475" s="78" t="str">
        <f>IF(BD1475=0,"",IF(BA1475&gt;0,"⚠ Se superpone con un registro de la otra empresa",IF(D1475="Malcolm",IF(COUNTA(R1475,S1475,T1475)&gt;0,"Estado/fechas proMX se ignoran en Malcolm",""),IF(BF1475="Cancelled","Cancelado: excluido de totales",IF(R1475="","Sin estado: se trata como Draft",IF(BF1475="Submitted",IF(ISNUMBER(V1475),IF(V1475&gt;CFG_MAXD,"⚠ "&amp;V1475&amp;" días en Submitted (máx. "&amp;CFG_MAXD&amp;")",""),"Falta fecha de envío"),IF(BF1475="Returned","⚠ Devuelto: corregir y reenviar",IF(BF1475="Recall Requested","Retirada solicitada: pendiente",IF(AND(BF1475="Approved",NOT(ISNUMBER(T1475))),"Falta fecha de aprobación",IF(AND(ISNUMBER(S1475),ISNUMBER(T1475),T1475&lt;S1475),"Aprobación anterior al envío","")))))))))</f>
        <v/>
      </c>
      <c r="Y1475" s="80">
        <f>IF(COUNTA(B1475,D1475,E1475,F1475,G1475,H1475,I1475,J1475,R1475,S1475,T1475)&gt;0,1,0)</f>
        <v>0</v>
      </c>
      <c r="Z1475" s="80" t="str">
        <f>IF(AND(ISNUMBER(H1475),H1475&gt;=0,H1475&lt;1),ROUND(H1475*1440,0),"")</f>
        <v/>
      </c>
      <c r="AA1475" s="80" t="str">
        <f>IF(AND(ISNUMBER(I1475),I1475&gt;=0,I1475&lt;1),ROUND(I1475*1440,0),"")</f>
        <v/>
      </c>
      <c r="AB1475" s="80">
        <f>IF(AND(ISNUMBER(B1475),D1475&lt;&gt;"",ISNUMBER(Z1475),ISNUMBER(AA1475)),IF(Z1475=AA1475,0,1),0)</f>
        <v>0</v>
      </c>
      <c r="AC1475" s="80">
        <f>IF(AB1475=1,IF(AA1475&lt;Z1475,1,0),0)</f>
        <v>0</v>
      </c>
      <c r="AD1475" s="80">
        <f>IF(AB1475=1,IF(AC1475=1,1440-Z1475+AA1475,AA1475-Z1475),0)</f>
        <v>0</v>
      </c>
      <c r="AE1475" s="80">
        <f>IF(J1475="",0,IF(ISNUMBER(J1475),J1475,-1))</f>
        <v>0</v>
      </c>
      <c r="AF1475" s="80">
        <f>MIN(MAX(0,AE1475),AD1475)</f>
        <v>0</v>
      </c>
      <c r="AG1475" s="80">
        <f>MAX(0,AD1475-MAX(0,AE1475))</f>
        <v>0</v>
      </c>
      <c r="AH1475" s="80">
        <f>IF(ISNUMBER(B1475),IF(AND(INDEX(CFG_WDAYS,WEEKDAY(INT(B1475),2))="Sí",IF(D1475="proMX",COUNTIFS(FER_F,INT(B1475),FER_NLP,"Sí"),COUNTIFS(FER_F,INT(B1475),FER_NLM,"Sí"))=0),1,0),0)</f>
        <v>0</v>
      </c>
      <c r="AI1475" s="80">
        <f>IF(AC1475=1,IF(AND(INDEX(CFG_WDAYS,WEEKDAY(INT(B1475)+1,2))="Sí",IF(D1475="proMX",COUNTIFS(FER_F,INT(B1475)+1,FER_NLP,"Sí"),COUNTIFS(FER_F,INT(B1475)+1,FER_NLM,"Sí"))=0),1,0),0)</f>
        <v>0</v>
      </c>
      <c r="AJ1475" s="80">
        <f>IF(AC1475=1,1440-Z1475,AD1475)</f>
        <v>0</v>
      </c>
      <c r="AK1475" s="80">
        <f>IF(AND(AB1475=1,AH1475=1),MAX(0,MIN(IF(AC1475=1,1440,AA1475),CFG_WEM)-MAX(Z1475,CFG_WSM)),0)</f>
        <v>0</v>
      </c>
      <c r="AL1475" s="80">
        <f>IF(AND(AC1475=1,AI1475=1),MAX(0,MIN(AA1475,CFG_WEM)-CFG_WSM),0)</f>
        <v>0</v>
      </c>
      <c r="AM1475" s="80">
        <f>AK1475+AL1475</f>
        <v>0</v>
      </c>
      <c r="AN1475" s="80">
        <f>IF(CFG_BRK="Proporcional",IF(AD1475=0,0,AF1475*AM1475/AD1475),IF(CFG_BRK="Extras primero",MIN(AM1475,MAX(0,AF1475-(AD1475-AM1475))),MIN(AF1475,AM1475)))</f>
        <v>0</v>
      </c>
      <c r="AO1475" s="80">
        <f>AF1475-AN1475</f>
        <v>0</v>
      </c>
      <c r="AP1475" s="80">
        <f>AM1475-AN1475</f>
        <v>0</v>
      </c>
      <c r="AQ1475" s="80">
        <f>AD1475-AM1475-AO1475</f>
        <v>0</v>
      </c>
      <c r="AR1475" s="80">
        <f>IF(AM1475=0,0,AK1475-AN1475*AK1475/AM1475)</f>
        <v>0</v>
      </c>
      <c r="AS1475" s="80">
        <f>IF(AD1475-AM1475=0,0,(AJ1475-AK1475)-AO1475*(AJ1475-AK1475)/(AD1475-AM1475))</f>
        <v>0</v>
      </c>
      <c r="AT1475" s="80" t="str">
        <f>IF(AC1475=1,INT(B1475)+1,"")</f>
        <v/>
      </c>
      <c r="AU1475" s="80">
        <f>IF(AND(D1475="proMX",R1475="Cancelled"),0,1)</f>
        <v>1</v>
      </c>
      <c r="AV1475" s="80">
        <f>IF(AND(AB1475=1,AU1475=1),IF(COUNTIFS($D$5:D1474,D1475,$B$5:B1474,B1475,$Z$5:Z1474,Z1475,$AA$5:AA1474,AA1475,$F$5:F1474,F1475&amp;"",$AU$5:AU1474,1)&gt;0,1,0),0)</f>
        <v>0</v>
      </c>
      <c r="AW1475" s="80" t="str">
        <f>IF(AB1475=1,INT(B1475)*1440+Z1475,"")</f>
        <v/>
      </c>
      <c r="AX1475" s="80" t="str">
        <f>IF(AB1475=1,AW1475+AD1475,"")</f>
        <v/>
      </c>
      <c r="AY1475" s="80">
        <f>IF(AND(AB1475=1,AV1475=0,AU1475=1),1,0)</f>
        <v>0</v>
      </c>
      <c r="AZ1475" s="80">
        <f>IF(AY1475=1,COUNTIFS(R_Emp,D1475,R_SAbs,"&lt;"&amp;AX1475,R_EAbs,"&gt;"&amp;AW1475,R_OKey,1)-1,0)</f>
        <v>0</v>
      </c>
      <c r="BA1475" s="80">
        <f>IF(AY1475=1,COUNTIFS(R_Emp,"&lt;&gt;"&amp;D1475,R_SAbs,"&lt;"&amp;AX1475,R_EAbs,"&gt;"&amp;AW1475,R_OKey,1),0)</f>
        <v>0</v>
      </c>
      <c r="BB1475" s="80">
        <f>IF(AND(AB1475=1,D1475="proMX"),IF(AND(MOD(Z1475,CFG_BLK)=0,MOD(AA1475,CFG_BLK)=0,MOD(AG1475,CFG_BLK)=0,AG1475&gt;0),1,0),1)</f>
        <v>1</v>
      </c>
      <c r="BC1475" s="80" t="str">
        <f>IF(Y1475=0,"",IF(NOT(ISNUMBER(B1475)),"Falta fecha o fecha inválida",IF(D1475="","Falta empresa",IF(AND(D1475&lt;&gt;"Malcolm",D1475&lt;&gt;"proMX"),"Empresa inválida",IF(OR(INT(B1475)&lt;CFG_PSTART,INT(B1475)&gt;CFG_PEND),"Fecha fuera del período",IF(OR(NOT(ISNUMBER(Z1475)),NOT(ISNUMBER(AA1475))),"Falta hora inicio/fin o formato inválido",IF(AB1475=0,"Hora inicio = hora fin",IF(AE1475&lt;0,"Descanso inválido",IF(AE1475&gt;=AD1475,"Descanso ≥ duración",IF(AV1475=1,"Registro duplicado",IF(AZ1475&gt;0,"Se superpone con otro registro "&amp;D1475,IF(BB1475=0,"inicio, fin y duración neta deben ser múltiplos de "&amp;CFG_BLK&amp;" min",""))))))))))))</f>
        <v/>
      </c>
      <c r="BD1475" s="80">
        <f>IF(AND(Y1475=1,BC1475=""),1,0)</f>
        <v>0</v>
      </c>
      <c r="BE1475" s="80">
        <f>IF(AND(BD1475=1,AU1475=1),1,0)</f>
        <v>0</v>
      </c>
      <c r="BF1475" s="80" t="str">
        <f>IF(AND(D1475="proMX",BD1475=1),IF(R1475="","Draft",R1475),"")</f>
        <v/>
      </c>
      <c r="BG1475" s="80">
        <f>IF(BD1475=1,ROUND(AG1475/60,6),0)</f>
        <v>0</v>
      </c>
      <c r="BH1475" s="80">
        <f>IF(BE1475=1,ROUND(AG1475/60,6),0)</f>
        <v>0</v>
      </c>
      <c r="BI1475" s="80">
        <f>IF(BE1475=1,ROUND(AP1475/60,6),0)</f>
        <v>0</v>
      </c>
      <c r="BJ1475" s="80">
        <f>IF(BE1475=1,ROUND(AQ1475/60,6),0)</f>
        <v>0</v>
      </c>
      <c r="BK1475" s="80">
        <f>IF(BE1475=1,ROUND((AR1475+AS1475)/60,6),0)</f>
        <v>0</v>
      </c>
      <c r="BL1475" s="80">
        <f>ROUND(BH1475-BK1475,6)</f>
        <v>0</v>
      </c>
      <c r="BM1475" s="80">
        <f>IF(BE1475=1,ROUND(AR1475/60,6),0)</f>
        <v>0</v>
      </c>
      <c r="BN1475" s="80">
        <f>ROUND(BI1475-BM1475,6)</f>
        <v>0</v>
      </c>
      <c r="BO1475" s="80">
        <f>IF(BE1475=1,ROUND(AS1475/60,6),0)</f>
        <v>0</v>
      </c>
      <c r="BP1475" s="80">
        <f>ROUND(BJ1475-BO1475,6)</f>
        <v>0</v>
      </c>
      <c r="BQ1475" s="80">
        <f>IF(BE1475=1,AW1475,0)</f>
        <v>0</v>
      </c>
      <c r="BR1475" s="80">
        <f>IF(BE1475=1,AX1475,0)</f>
        <v>0</v>
      </c>
      <c r="BS1475" s="80">
        <f>IF(AND(BE1475=1,D1475="Malcolm",BA1475&gt;0),MIN(BH1475,SUMPRODUCT((R_Emp="proMX")*(R_EN&gt;0)*((R_EN-(R_EN&gt;BR1475)*(R_EN-BR1475))&gt;(R_SN+(R_SN&lt;BQ1475)*(BQ1475-R_SN)))*((R_EN-(R_EN&gt;BR1475)*(R_EN-BR1475))-(R_SN+(R_SN&lt;BQ1475)*(BQ1475-R_SN))))/60),0)</f>
        <v>0</v>
      </c>
      <c r="BT1475" s="80">
        <f>IF(AND(BE1475=1,D1475="proMX"),ROUND(BI1475*CFG_RATE+BJ1475*CFG_OTRATE,6),0)</f>
        <v>0</v>
      </c>
      <c r="BU1475" s="80">
        <f>IF(AND(BD1475=1,D1475="proMX"),ROUND(AG1475/CFG_BLK,6),0)</f>
        <v>0</v>
      </c>
      <c r="BV1475" s="80" t="str">
        <f>IF(BF1475="Approved",IF(ISNUMBER(T1475),INT(T1475),INT(B1475)),"")</f>
        <v/>
      </c>
      <c r="BW1475" s="80">
        <f>IF(ISNUMBER(B1475),IF(DB_MON="Todos",1,IF(AND(INT(B1475)&gt;=DB_MS,INT(B1475)&lt;=DB_ME),1,0)),0)</f>
        <v>0</v>
      </c>
      <c r="BX1475" s="80">
        <f>IF(DB_PROJ="Todos",1,IF(E1475&amp;""=DB_PROJ&amp;"",1,0))</f>
        <v>1</v>
      </c>
      <c r="BY1475" s="80">
        <f>BW1475*BX1475</f>
        <v>0</v>
      </c>
      <c r="BZ1475" s="80" t="str">
        <f>IF(Y1475=1,F1475&amp;IF(AND(F1475&amp;""&lt;&gt;"",E1475&amp;""&lt;&gt;"")," · ","")&amp;E1475,"")</f>
        <v/>
      </c>
      <c r="CA1475" s="80" t="str">
        <f>IF(AND(BD1475=1,E1475&amp;""&lt;&gt;""),IF(COUNTIFS($E$5:E1474,E1475,$BD$5:BD1474,1)=0,MAX($CA$5:CA1474)+1,""),"")</f>
        <v/>
      </c>
      <c r="CB1475" s="80" t="str">
        <f>IF(AND(BE1475=1,D1475="Malcolm",E1475&amp;""&lt;&gt;""),IF(COUNTIFS($D$5:D1474,"Malcolm",$E$5:E1474,E1475,$BE$5:BE1474,1)=0,MAX($CB$5:CB1474)+1,""),"")</f>
        <v/>
      </c>
      <c r="CC1475" s="80" t="str">
        <f>IF(AND(BD1475=1,D1475="proMX",E1475&amp;""&lt;&gt;""),IF(COUNTIFS($D$5:D1474,"proMX",$E$5:E1474,E1475,$BD$5:BD1474,1)=0,MAX($CC$5:CC1474)+1,""),"")</f>
        <v/>
      </c>
      <c r="CD1475" s="80" t="str">
        <f>IF(AND(BE1475=1,D1475="Malcolm",F1475&amp;""&lt;&gt;""),IF(COUNTIFS($D$5:D1474,"Malcolm",$F$5:F1474,F1475,$BE$5:BE1474,1)=0,MAX($CD$5:CD1474)+1,""),"")</f>
        <v/>
      </c>
      <c r="CE1475" s="80" t="str">
        <f>IF(AND(BD1475=1,D1475="proMX",F1475&amp;""&lt;&gt;""),IF(COUNTIFS($D$5:D1474,"proMX",$F$5:F1474,F1475,$BD$5:BD1474,1)=0,MAX($CE$5:CE1474)+1,""),"")</f>
        <v/>
      </c>
      <c r="CF1475" s="80" t="str">
        <f>IF(AND(D1475="proMX",BD1475=1),IF(OR(BF1475="Draft",BF1475="Submitted",BF1475="Returned",BF1475="Recall Requested"),MAX($CF$5:CF1474)+1,""),"")</f>
        <v/>
      </c>
      <c r="CG1475" s="80">
        <f>IF(BD1475=0,0,IF(D1475="Malcolm",1,MATCH(BF1475,{"Draft","Submitted","Approved","Returned","Recall Requested","Cancelled"},0)+1))</f>
        <v>0</v>
      </c>
      <c r="CH1475" s="80">
        <f>IF(AND(BF1475="Submitted",ISNUMBER(V1475)),IF(V1475&gt;CFG_MAXD,1,0),0)</f>
        <v>0</v>
      </c>
    </row>
    <row r="1476">
      <c r="A1476" s="71" t="str">
        <f>IF(Y1476=1,ROW()-5,"")</f>
        <v/>
      </c>
      <c r="B1476" s="72" t="n"/>
      <c r="C1476" s="71" t="str">
        <f>IF(ISNUMBER(B1476),CHOOSE(WEEKDAY(B1476,2),"Lun","Mar","Mié","Jue","Vie","Sáb","Dom"),"")</f>
        <v/>
      </c>
      <c r="D1476" s="73" t="n"/>
      <c r="E1476" s="74" t="n"/>
      <c r="F1476" s="74" t="n"/>
      <c r="G1476" s="74" t="n"/>
      <c r="H1476" s="75" t="n"/>
      <c r="I1476" s="75" t="n"/>
      <c r="J1476" s="76" t="n"/>
      <c r="K1476" s="77" t="str">
        <f>IF(AB1476=1,ROUND(AG1476/60,4),"")</f>
        <v/>
      </c>
      <c r="L1476" s="77" t="str">
        <f>IF(BD1476=1,ROUND(AP1476/60,4),"")</f>
        <v/>
      </c>
      <c r="M1476" s="77" t="str">
        <f>IF(BD1476=1,ROUND(AQ1476/60,4),"")</f>
        <v/>
      </c>
      <c r="N1476" s="71" t="str">
        <f>IF(AND(D1476="proMX",AB1476=1),ROUND(AG1476/CFG_BLK,2),"")</f>
        <v/>
      </c>
      <c r="O1476" s="77" t="str">
        <f>IF(D1476="proMX",IF(BD1476=1,ROUND(AG1476/60,4),0),"")</f>
        <v/>
      </c>
      <c r="P1476" s="78" t="str">
        <f>IF(Y1476=0,"",IF(BD1476=1,"OK",IF(D1476="proMX","Revisar bloques: ","Revisar: ")&amp;BC1476))</f>
        <v/>
      </c>
      <c r="Q1476" s="78" t="str">
        <f>IF(NOT(ISNUMBER(B1476)),"",IF(COUNTIFS(FER_F,INT(B1476))&gt;0,"Feriado"&amp;IF(AH1476=1," (laborable)"," (no laborable)"),IF(AH1476=1,"Laborable",IF(WEEKDAY(B1476,2)&gt;5,"Fin de semana","No laborable"))))</f>
        <v/>
      </c>
      <c r="R1476" s="73" t="n"/>
      <c r="S1476" s="72" t="n"/>
      <c r="T1476" s="72" t="n"/>
      <c r="U1476" s="74" t="n"/>
      <c r="V1476" s="79" t="str">
        <f>IF(AND(D1476="proMX",OR(R1476="Submitted",R1476="Recall Requested"),ISNUMBER(S1476)),CFG_TODAY-INT(S1476),"")</f>
        <v/>
      </c>
      <c r="W1476" s="78" t="str">
        <f>IF(BD1476=0,"",IF(BA1476&gt;0,"⚠ Se superpone con un registro de la otra empresa",IF(D1476="Malcolm",IF(COUNTA(R1476,S1476,T1476)&gt;0,"Estado/fechas proMX se ignoran en Malcolm",""),IF(BF1476="Cancelled","Cancelado: excluido de totales",IF(R1476="","Sin estado: se trata como Draft",IF(BF1476="Submitted",IF(ISNUMBER(V1476),IF(V1476&gt;CFG_MAXD,"⚠ "&amp;V1476&amp;" días en Submitted (máx. "&amp;CFG_MAXD&amp;")",""),"Falta fecha de envío"),IF(BF1476="Returned","⚠ Devuelto: corregir y reenviar",IF(BF1476="Recall Requested","Retirada solicitada: pendiente",IF(AND(BF1476="Approved",NOT(ISNUMBER(T1476))),"Falta fecha de aprobación",IF(AND(ISNUMBER(S1476),ISNUMBER(T1476),T1476&lt;S1476),"Aprobación anterior al envío","")))))))))</f>
        <v/>
      </c>
      <c r="Y1476" s="80">
        <f>IF(COUNTA(B1476,D1476,E1476,F1476,G1476,H1476,I1476,J1476,R1476,S1476,T1476)&gt;0,1,0)</f>
        <v>0</v>
      </c>
      <c r="Z1476" s="80" t="str">
        <f>IF(AND(ISNUMBER(H1476),H1476&gt;=0,H1476&lt;1),ROUND(H1476*1440,0),"")</f>
        <v/>
      </c>
      <c r="AA1476" s="80" t="str">
        <f>IF(AND(ISNUMBER(I1476),I1476&gt;=0,I1476&lt;1),ROUND(I1476*1440,0),"")</f>
        <v/>
      </c>
      <c r="AB1476" s="80">
        <f>IF(AND(ISNUMBER(B1476),D1476&lt;&gt;"",ISNUMBER(Z1476),ISNUMBER(AA1476)),IF(Z1476=AA1476,0,1),0)</f>
        <v>0</v>
      </c>
      <c r="AC1476" s="80">
        <f>IF(AB1476=1,IF(AA1476&lt;Z1476,1,0),0)</f>
        <v>0</v>
      </c>
      <c r="AD1476" s="80">
        <f>IF(AB1476=1,IF(AC1476=1,1440-Z1476+AA1476,AA1476-Z1476),0)</f>
        <v>0</v>
      </c>
      <c r="AE1476" s="80">
        <f>IF(J1476="",0,IF(ISNUMBER(J1476),J1476,-1))</f>
        <v>0</v>
      </c>
      <c r="AF1476" s="80">
        <f>MIN(MAX(0,AE1476),AD1476)</f>
        <v>0</v>
      </c>
      <c r="AG1476" s="80">
        <f>MAX(0,AD1476-MAX(0,AE1476))</f>
        <v>0</v>
      </c>
      <c r="AH1476" s="80">
        <f>IF(ISNUMBER(B1476),IF(AND(INDEX(CFG_WDAYS,WEEKDAY(INT(B1476),2))="Sí",IF(D1476="proMX",COUNTIFS(FER_F,INT(B1476),FER_NLP,"Sí"),COUNTIFS(FER_F,INT(B1476),FER_NLM,"Sí"))=0),1,0),0)</f>
        <v>0</v>
      </c>
      <c r="AI1476" s="80">
        <f>IF(AC1476=1,IF(AND(INDEX(CFG_WDAYS,WEEKDAY(INT(B1476)+1,2))="Sí",IF(D1476="proMX",COUNTIFS(FER_F,INT(B1476)+1,FER_NLP,"Sí"),COUNTIFS(FER_F,INT(B1476)+1,FER_NLM,"Sí"))=0),1,0),0)</f>
        <v>0</v>
      </c>
      <c r="AJ1476" s="80">
        <f>IF(AC1476=1,1440-Z1476,AD1476)</f>
        <v>0</v>
      </c>
      <c r="AK1476" s="80">
        <f>IF(AND(AB1476=1,AH1476=1),MAX(0,MIN(IF(AC1476=1,1440,AA1476),CFG_WEM)-MAX(Z1476,CFG_WSM)),0)</f>
        <v>0</v>
      </c>
      <c r="AL1476" s="80">
        <f>IF(AND(AC1476=1,AI1476=1),MAX(0,MIN(AA1476,CFG_WEM)-CFG_WSM),0)</f>
        <v>0</v>
      </c>
      <c r="AM1476" s="80">
        <f>AK1476+AL1476</f>
        <v>0</v>
      </c>
      <c r="AN1476" s="80">
        <f>IF(CFG_BRK="Proporcional",IF(AD1476=0,0,AF1476*AM1476/AD1476),IF(CFG_BRK="Extras primero",MIN(AM1476,MAX(0,AF1476-(AD1476-AM1476))),MIN(AF1476,AM1476)))</f>
        <v>0</v>
      </c>
      <c r="AO1476" s="80">
        <f>AF1476-AN1476</f>
        <v>0</v>
      </c>
      <c r="AP1476" s="80">
        <f>AM1476-AN1476</f>
        <v>0</v>
      </c>
      <c r="AQ1476" s="80">
        <f>AD1476-AM1476-AO1476</f>
        <v>0</v>
      </c>
      <c r="AR1476" s="80">
        <f>IF(AM1476=0,0,AK1476-AN1476*AK1476/AM1476)</f>
        <v>0</v>
      </c>
      <c r="AS1476" s="80">
        <f>IF(AD1476-AM1476=0,0,(AJ1476-AK1476)-AO1476*(AJ1476-AK1476)/(AD1476-AM1476))</f>
        <v>0</v>
      </c>
      <c r="AT1476" s="80" t="str">
        <f>IF(AC1476=1,INT(B1476)+1,"")</f>
        <v/>
      </c>
      <c r="AU1476" s="80">
        <f>IF(AND(D1476="proMX",R1476="Cancelled"),0,1)</f>
        <v>1</v>
      </c>
      <c r="AV1476" s="80">
        <f>IF(AND(AB1476=1,AU1476=1),IF(COUNTIFS($D$5:D1475,D1476,$B$5:B1475,B1476,$Z$5:Z1475,Z1476,$AA$5:AA1475,AA1476,$F$5:F1475,F1476&amp;"",$AU$5:AU1475,1)&gt;0,1,0),0)</f>
        <v>0</v>
      </c>
      <c r="AW1476" s="80" t="str">
        <f>IF(AB1476=1,INT(B1476)*1440+Z1476,"")</f>
        <v/>
      </c>
      <c r="AX1476" s="80" t="str">
        <f>IF(AB1476=1,AW1476+AD1476,"")</f>
        <v/>
      </c>
      <c r="AY1476" s="80">
        <f>IF(AND(AB1476=1,AV1476=0,AU1476=1),1,0)</f>
        <v>0</v>
      </c>
      <c r="AZ1476" s="80">
        <f>IF(AY1476=1,COUNTIFS(R_Emp,D1476,R_SAbs,"&lt;"&amp;AX1476,R_EAbs,"&gt;"&amp;AW1476,R_OKey,1)-1,0)</f>
        <v>0</v>
      </c>
      <c r="BA1476" s="80">
        <f>IF(AY1476=1,COUNTIFS(R_Emp,"&lt;&gt;"&amp;D1476,R_SAbs,"&lt;"&amp;AX1476,R_EAbs,"&gt;"&amp;AW1476,R_OKey,1),0)</f>
        <v>0</v>
      </c>
      <c r="BB1476" s="80">
        <f>IF(AND(AB1476=1,D1476="proMX"),IF(AND(MOD(Z1476,CFG_BLK)=0,MOD(AA1476,CFG_BLK)=0,MOD(AG1476,CFG_BLK)=0,AG1476&gt;0),1,0),1)</f>
        <v>1</v>
      </c>
      <c r="BC1476" s="80" t="str">
        <f>IF(Y1476=0,"",IF(NOT(ISNUMBER(B1476)),"Falta fecha o fecha inválida",IF(D1476="","Falta empresa",IF(AND(D1476&lt;&gt;"Malcolm",D1476&lt;&gt;"proMX"),"Empresa inválida",IF(OR(INT(B1476)&lt;CFG_PSTART,INT(B1476)&gt;CFG_PEND),"Fecha fuera del período",IF(OR(NOT(ISNUMBER(Z1476)),NOT(ISNUMBER(AA1476))),"Falta hora inicio/fin o formato inválido",IF(AB1476=0,"Hora inicio = hora fin",IF(AE1476&lt;0,"Descanso inválido",IF(AE1476&gt;=AD1476,"Descanso ≥ duración",IF(AV1476=1,"Registro duplicado",IF(AZ1476&gt;0,"Se superpone con otro registro "&amp;D1476,IF(BB1476=0,"inicio, fin y duración neta deben ser múltiplos de "&amp;CFG_BLK&amp;" min",""))))))))))))</f>
        <v/>
      </c>
      <c r="BD1476" s="80">
        <f>IF(AND(Y1476=1,BC1476=""),1,0)</f>
        <v>0</v>
      </c>
      <c r="BE1476" s="80">
        <f>IF(AND(BD1476=1,AU1476=1),1,0)</f>
        <v>0</v>
      </c>
      <c r="BF1476" s="80" t="str">
        <f>IF(AND(D1476="proMX",BD1476=1),IF(R1476="","Draft",R1476),"")</f>
        <v/>
      </c>
      <c r="BG1476" s="80">
        <f>IF(BD1476=1,ROUND(AG1476/60,6),0)</f>
        <v>0</v>
      </c>
      <c r="BH1476" s="80">
        <f>IF(BE1476=1,ROUND(AG1476/60,6),0)</f>
        <v>0</v>
      </c>
      <c r="BI1476" s="80">
        <f>IF(BE1476=1,ROUND(AP1476/60,6),0)</f>
        <v>0</v>
      </c>
      <c r="BJ1476" s="80">
        <f>IF(BE1476=1,ROUND(AQ1476/60,6),0)</f>
        <v>0</v>
      </c>
      <c r="BK1476" s="80">
        <f>IF(BE1476=1,ROUND((AR1476+AS1476)/60,6),0)</f>
        <v>0</v>
      </c>
      <c r="BL1476" s="80">
        <f>ROUND(BH1476-BK1476,6)</f>
        <v>0</v>
      </c>
      <c r="BM1476" s="80">
        <f>IF(BE1476=1,ROUND(AR1476/60,6),0)</f>
        <v>0</v>
      </c>
      <c r="BN1476" s="80">
        <f>ROUND(BI1476-BM1476,6)</f>
        <v>0</v>
      </c>
      <c r="BO1476" s="80">
        <f>IF(BE1476=1,ROUND(AS1476/60,6),0)</f>
        <v>0</v>
      </c>
      <c r="BP1476" s="80">
        <f>ROUND(BJ1476-BO1476,6)</f>
        <v>0</v>
      </c>
      <c r="BQ1476" s="80">
        <f>IF(BE1476=1,AW1476,0)</f>
        <v>0</v>
      </c>
      <c r="BR1476" s="80">
        <f>IF(BE1476=1,AX1476,0)</f>
        <v>0</v>
      </c>
      <c r="BS1476" s="80">
        <f>IF(AND(BE1476=1,D1476="Malcolm",BA1476&gt;0),MIN(BH1476,SUMPRODUCT((R_Emp="proMX")*(R_EN&gt;0)*((R_EN-(R_EN&gt;BR1476)*(R_EN-BR1476))&gt;(R_SN+(R_SN&lt;BQ1476)*(BQ1476-R_SN)))*((R_EN-(R_EN&gt;BR1476)*(R_EN-BR1476))-(R_SN+(R_SN&lt;BQ1476)*(BQ1476-R_SN))))/60),0)</f>
        <v>0</v>
      </c>
      <c r="BT1476" s="80">
        <f>IF(AND(BE1476=1,D1476="proMX"),ROUND(BI1476*CFG_RATE+BJ1476*CFG_OTRATE,6),0)</f>
        <v>0</v>
      </c>
      <c r="BU1476" s="80">
        <f>IF(AND(BD1476=1,D1476="proMX"),ROUND(AG1476/CFG_BLK,6),0)</f>
        <v>0</v>
      </c>
      <c r="BV1476" s="80" t="str">
        <f>IF(BF1476="Approved",IF(ISNUMBER(T1476),INT(T1476),INT(B1476)),"")</f>
        <v/>
      </c>
      <c r="BW1476" s="80">
        <f>IF(ISNUMBER(B1476),IF(DB_MON="Todos",1,IF(AND(INT(B1476)&gt;=DB_MS,INT(B1476)&lt;=DB_ME),1,0)),0)</f>
        <v>0</v>
      </c>
      <c r="BX1476" s="80">
        <f>IF(DB_PROJ="Todos",1,IF(E1476&amp;""=DB_PROJ&amp;"",1,0))</f>
        <v>1</v>
      </c>
      <c r="BY1476" s="80">
        <f>BW1476*BX1476</f>
        <v>0</v>
      </c>
      <c r="BZ1476" s="80" t="str">
        <f>IF(Y1476=1,F1476&amp;IF(AND(F1476&amp;""&lt;&gt;"",E1476&amp;""&lt;&gt;"")," · ","")&amp;E1476,"")</f>
        <v/>
      </c>
      <c r="CA1476" s="80" t="str">
        <f>IF(AND(BD1476=1,E1476&amp;""&lt;&gt;""),IF(COUNTIFS($E$5:E1475,E1476,$BD$5:BD1475,1)=0,MAX($CA$5:CA1475)+1,""),"")</f>
        <v/>
      </c>
      <c r="CB1476" s="80" t="str">
        <f>IF(AND(BE1476=1,D1476="Malcolm",E1476&amp;""&lt;&gt;""),IF(COUNTIFS($D$5:D1475,"Malcolm",$E$5:E1475,E1476,$BE$5:BE1475,1)=0,MAX($CB$5:CB1475)+1,""),"")</f>
        <v/>
      </c>
      <c r="CC1476" s="80" t="str">
        <f>IF(AND(BD1476=1,D1476="proMX",E1476&amp;""&lt;&gt;""),IF(COUNTIFS($D$5:D1475,"proMX",$E$5:E1475,E1476,$BD$5:BD1475,1)=0,MAX($CC$5:CC1475)+1,""),"")</f>
        <v/>
      </c>
      <c r="CD1476" s="80" t="str">
        <f>IF(AND(BE1476=1,D1476="Malcolm",F1476&amp;""&lt;&gt;""),IF(COUNTIFS($D$5:D1475,"Malcolm",$F$5:F1475,F1476,$BE$5:BE1475,1)=0,MAX($CD$5:CD1475)+1,""),"")</f>
        <v/>
      </c>
      <c r="CE1476" s="80" t="str">
        <f>IF(AND(BD1476=1,D1476="proMX",F1476&amp;""&lt;&gt;""),IF(COUNTIFS($D$5:D1475,"proMX",$F$5:F1475,F1476,$BD$5:BD1475,1)=0,MAX($CE$5:CE1475)+1,""),"")</f>
        <v/>
      </c>
      <c r="CF1476" s="80" t="str">
        <f>IF(AND(D1476="proMX",BD1476=1),IF(OR(BF1476="Draft",BF1476="Submitted",BF1476="Returned",BF1476="Recall Requested"),MAX($CF$5:CF1475)+1,""),"")</f>
        <v/>
      </c>
      <c r="CG1476" s="80">
        <f>IF(BD1476=0,0,IF(D1476="Malcolm",1,MATCH(BF1476,{"Draft","Submitted","Approved","Returned","Recall Requested","Cancelled"},0)+1))</f>
        <v>0</v>
      </c>
      <c r="CH1476" s="80">
        <f>IF(AND(BF1476="Submitted",ISNUMBER(V1476)),IF(V1476&gt;CFG_MAXD,1,0),0)</f>
        <v>0</v>
      </c>
    </row>
    <row r="1477">
      <c r="A1477" s="71" t="str">
        <f>IF(Y1477=1,ROW()-5,"")</f>
        <v/>
      </c>
      <c r="B1477" s="72" t="n"/>
      <c r="C1477" s="71" t="str">
        <f>IF(ISNUMBER(B1477),CHOOSE(WEEKDAY(B1477,2),"Lun","Mar","Mié","Jue","Vie","Sáb","Dom"),"")</f>
        <v/>
      </c>
      <c r="D1477" s="73" t="n"/>
      <c r="E1477" s="74" t="n"/>
      <c r="F1477" s="74" t="n"/>
      <c r="G1477" s="74" t="n"/>
      <c r="H1477" s="75" t="n"/>
      <c r="I1477" s="75" t="n"/>
      <c r="J1477" s="76" t="n"/>
      <c r="K1477" s="77" t="str">
        <f>IF(AB1477=1,ROUND(AG1477/60,4),"")</f>
        <v/>
      </c>
      <c r="L1477" s="77" t="str">
        <f>IF(BD1477=1,ROUND(AP1477/60,4),"")</f>
        <v/>
      </c>
      <c r="M1477" s="77" t="str">
        <f>IF(BD1477=1,ROUND(AQ1477/60,4),"")</f>
        <v/>
      </c>
      <c r="N1477" s="71" t="str">
        <f>IF(AND(D1477="proMX",AB1477=1),ROUND(AG1477/CFG_BLK,2),"")</f>
        <v/>
      </c>
      <c r="O1477" s="77" t="str">
        <f>IF(D1477="proMX",IF(BD1477=1,ROUND(AG1477/60,4),0),"")</f>
        <v/>
      </c>
      <c r="P1477" s="78" t="str">
        <f>IF(Y1477=0,"",IF(BD1477=1,"OK",IF(D1477="proMX","Revisar bloques: ","Revisar: ")&amp;BC1477))</f>
        <v/>
      </c>
      <c r="Q1477" s="78" t="str">
        <f>IF(NOT(ISNUMBER(B1477)),"",IF(COUNTIFS(FER_F,INT(B1477))&gt;0,"Feriado"&amp;IF(AH1477=1," (laborable)"," (no laborable)"),IF(AH1477=1,"Laborable",IF(WEEKDAY(B1477,2)&gt;5,"Fin de semana","No laborable"))))</f>
        <v/>
      </c>
      <c r="R1477" s="73" t="n"/>
      <c r="S1477" s="72" t="n"/>
      <c r="T1477" s="72" t="n"/>
      <c r="U1477" s="74" t="n"/>
      <c r="V1477" s="79" t="str">
        <f>IF(AND(D1477="proMX",OR(R1477="Submitted",R1477="Recall Requested"),ISNUMBER(S1477)),CFG_TODAY-INT(S1477),"")</f>
        <v/>
      </c>
      <c r="W1477" s="78" t="str">
        <f>IF(BD1477=0,"",IF(BA1477&gt;0,"⚠ Se superpone con un registro de la otra empresa",IF(D1477="Malcolm",IF(COUNTA(R1477,S1477,T1477)&gt;0,"Estado/fechas proMX se ignoran en Malcolm",""),IF(BF1477="Cancelled","Cancelado: excluido de totales",IF(R1477="","Sin estado: se trata como Draft",IF(BF1477="Submitted",IF(ISNUMBER(V1477),IF(V1477&gt;CFG_MAXD,"⚠ "&amp;V1477&amp;" días en Submitted (máx. "&amp;CFG_MAXD&amp;")",""),"Falta fecha de envío"),IF(BF1477="Returned","⚠ Devuelto: corregir y reenviar",IF(BF1477="Recall Requested","Retirada solicitada: pendiente",IF(AND(BF1477="Approved",NOT(ISNUMBER(T1477))),"Falta fecha de aprobación",IF(AND(ISNUMBER(S1477),ISNUMBER(T1477),T1477&lt;S1477),"Aprobación anterior al envío","")))))))))</f>
        <v/>
      </c>
      <c r="Y1477" s="80">
        <f>IF(COUNTA(B1477,D1477,E1477,F1477,G1477,H1477,I1477,J1477,R1477,S1477,T1477)&gt;0,1,0)</f>
        <v>0</v>
      </c>
      <c r="Z1477" s="80" t="str">
        <f>IF(AND(ISNUMBER(H1477),H1477&gt;=0,H1477&lt;1),ROUND(H1477*1440,0),"")</f>
        <v/>
      </c>
      <c r="AA1477" s="80" t="str">
        <f>IF(AND(ISNUMBER(I1477),I1477&gt;=0,I1477&lt;1),ROUND(I1477*1440,0),"")</f>
        <v/>
      </c>
      <c r="AB1477" s="80">
        <f>IF(AND(ISNUMBER(B1477),D1477&lt;&gt;"",ISNUMBER(Z1477),ISNUMBER(AA1477)),IF(Z1477=AA1477,0,1),0)</f>
        <v>0</v>
      </c>
      <c r="AC1477" s="80">
        <f>IF(AB1477=1,IF(AA1477&lt;Z1477,1,0),0)</f>
        <v>0</v>
      </c>
      <c r="AD1477" s="80">
        <f>IF(AB1477=1,IF(AC1477=1,1440-Z1477+AA1477,AA1477-Z1477),0)</f>
        <v>0</v>
      </c>
      <c r="AE1477" s="80">
        <f>IF(J1477="",0,IF(ISNUMBER(J1477),J1477,-1))</f>
        <v>0</v>
      </c>
      <c r="AF1477" s="80">
        <f>MIN(MAX(0,AE1477),AD1477)</f>
        <v>0</v>
      </c>
      <c r="AG1477" s="80">
        <f>MAX(0,AD1477-MAX(0,AE1477))</f>
        <v>0</v>
      </c>
      <c r="AH1477" s="80">
        <f>IF(ISNUMBER(B1477),IF(AND(INDEX(CFG_WDAYS,WEEKDAY(INT(B1477),2))="Sí",IF(D1477="proMX",COUNTIFS(FER_F,INT(B1477),FER_NLP,"Sí"),COUNTIFS(FER_F,INT(B1477),FER_NLM,"Sí"))=0),1,0),0)</f>
        <v>0</v>
      </c>
      <c r="AI1477" s="80">
        <f>IF(AC1477=1,IF(AND(INDEX(CFG_WDAYS,WEEKDAY(INT(B1477)+1,2))="Sí",IF(D1477="proMX",COUNTIFS(FER_F,INT(B1477)+1,FER_NLP,"Sí"),COUNTIFS(FER_F,INT(B1477)+1,FER_NLM,"Sí"))=0),1,0),0)</f>
        <v>0</v>
      </c>
      <c r="AJ1477" s="80">
        <f>IF(AC1477=1,1440-Z1477,AD1477)</f>
        <v>0</v>
      </c>
      <c r="AK1477" s="80">
        <f>IF(AND(AB1477=1,AH1477=1),MAX(0,MIN(IF(AC1477=1,1440,AA1477),CFG_WEM)-MAX(Z1477,CFG_WSM)),0)</f>
        <v>0</v>
      </c>
      <c r="AL1477" s="80">
        <f>IF(AND(AC1477=1,AI1477=1),MAX(0,MIN(AA1477,CFG_WEM)-CFG_WSM),0)</f>
        <v>0</v>
      </c>
      <c r="AM1477" s="80">
        <f>AK1477+AL1477</f>
        <v>0</v>
      </c>
      <c r="AN1477" s="80">
        <f>IF(CFG_BRK="Proporcional",IF(AD1477=0,0,AF1477*AM1477/AD1477),IF(CFG_BRK="Extras primero",MIN(AM1477,MAX(0,AF1477-(AD1477-AM1477))),MIN(AF1477,AM1477)))</f>
        <v>0</v>
      </c>
      <c r="AO1477" s="80">
        <f>AF1477-AN1477</f>
        <v>0</v>
      </c>
      <c r="AP1477" s="80">
        <f>AM1477-AN1477</f>
        <v>0</v>
      </c>
      <c r="AQ1477" s="80">
        <f>AD1477-AM1477-AO1477</f>
        <v>0</v>
      </c>
      <c r="AR1477" s="80">
        <f>IF(AM1477=0,0,AK1477-AN1477*AK1477/AM1477)</f>
        <v>0</v>
      </c>
      <c r="AS1477" s="80">
        <f>IF(AD1477-AM1477=0,0,(AJ1477-AK1477)-AO1477*(AJ1477-AK1477)/(AD1477-AM1477))</f>
        <v>0</v>
      </c>
      <c r="AT1477" s="80" t="str">
        <f>IF(AC1477=1,INT(B1477)+1,"")</f>
        <v/>
      </c>
      <c r="AU1477" s="80">
        <f>IF(AND(D1477="proMX",R1477="Cancelled"),0,1)</f>
        <v>1</v>
      </c>
      <c r="AV1477" s="80">
        <f>IF(AND(AB1477=1,AU1477=1),IF(COUNTIFS($D$5:D1476,D1477,$B$5:B1476,B1477,$Z$5:Z1476,Z1477,$AA$5:AA1476,AA1477,$F$5:F1476,F1477&amp;"",$AU$5:AU1476,1)&gt;0,1,0),0)</f>
        <v>0</v>
      </c>
      <c r="AW1477" s="80" t="str">
        <f>IF(AB1477=1,INT(B1477)*1440+Z1477,"")</f>
        <v/>
      </c>
      <c r="AX1477" s="80" t="str">
        <f>IF(AB1477=1,AW1477+AD1477,"")</f>
        <v/>
      </c>
      <c r="AY1477" s="80">
        <f>IF(AND(AB1477=1,AV1477=0,AU1477=1),1,0)</f>
        <v>0</v>
      </c>
      <c r="AZ1477" s="80">
        <f>IF(AY1477=1,COUNTIFS(R_Emp,D1477,R_SAbs,"&lt;"&amp;AX1477,R_EAbs,"&gt;"&amp;AW1477,R_OKey,1)-1,0)</f>
        <v>0</v>
      </c>
      <c r="BA1477" s="80">
        <f>IF(AY1477=1,COUNTIFS(R_Emp,"&lt;&gt;"&amp;D1477,R_SAbs,"&lt;"&amp;AX1477,R_EAbs,"&gt;"&amp;AW1477,R_OKey,1),0)</f>
        <v>0</v>
      </c>
      <c r="BB1477" s="80">
        <f>IF(AND(AB1477=1,D1477="proMX"),IF(AND(MOD(Z1477,CFG_BLK)=0,MOD(AA1477,CFG_BLK)=0,MOD(AG1477,CFG_BLK)=0,AG1477&gt;0),1,0),1)</f>
        <v>1</v>
      </c>
      <c r="BC1477" s="80" t="str">
        <f>IF(Y1477=0,"",IF(NOT(ISNUMBER(B1477)),"Falta fecha o fecha inválida",IF(D1477="","Falta empresa",IF(AND(D1477&lt;&gt;"Malcolm",D1477&lt;&gt;"proMX"),"Empresa inválida",IF(OR(INT(B1477)&lt;CFG_PSTART,INT(B1477)&gt;CFG_PEND),"Fecha fuera del período",IF(OR(NOT(ISNUMBER(Z1477)),NOT(ISNUMBER(AA1477))),"Falta hora inicio/fin o formato inválido",IF(AB1477=0,"Hora inicio = hora fin",IF(AE1477&lt;0,"Descanso inválido",IF(AE1477&gt;=AD1477,"Descanso ≥ duración",IF(AV1477=1,"Registro duplicado",IF(AZ1477&gt;0,"Se superpone con otro registro "&amp;D1477,IF(BB1477=0,"inicio, fin y duración neta deben ser múltiplos de "&amp;CFG_BLK&amp;" min",""))))))))))))</f>
        <v/>
      </c>
      <c r="BD1477" s="80">
        <f>IF(AND(Y1477=1,BC1477=""),1,0)</f>
        <v>0</v>
      </c>
      <c r="BE1477" s="80">
        <f>IF(AND(BD1477=1,AU1477=1),1,0)</f>
        <v>0</v>
      </c>
      <c r="BF1477" s="80" t="str">
        <f>IF(AND(D1477="proMX",BD1477=1),IF(R1477="","Draft",R1477),"")</f>
        <v/>
      </c>
      <c r="BG1477" s="80">
        <f>IF(BD1477=1,ROUND(AG1477/60,6),0)</f>
        <v>0</v>
      </c>
      <c r="BH1477" s="80">
        <f>IF(BE1477=1,ROUND(AG1477/60,6),0)</f>
        <v>0</v>
      </c>
      <c r="BI1477" s="80">
        <f>IF(BE1477=1,ROUND(AP1477/60,6),0)</f>
        <v>0</v>
      </c>
      <c r="BJ1477" s="80">
        <f>IF(BE1477=1,ROUND(AQ1477/60,6),0)</f>
        <v>0</v>
      </c>
      <c r="BK1477" s="80">
        <f>IF(BE1477=1,ROUND((AR1477+AS1477)/60,6),0)</f>
        <v>0</v>
      </c>
      <c r="BL1477" s="80">
        <f>ROUND(BH1477-BK1477,6)</f>
        <v>0</v>
      </c>
      <c r="BM1477" s="80">
        <f>IF(BE1477=1,ROUND(AR1477/60,6),0)</f>
        <v>0</v>
      </c>
      <c r="BN1477" s="80">
        <f>ROUND(BI1477-BM1477,6)</f>
        <v>0</v>
      </c>
      <c r="BO1477" s="80">
        <f>IF(BE1477=1,ROUND(AS1477/60,6),0)</f>
        <v>0</v>
      </c>
      <c r="BP1477" s="80">
        <f>ROUND(BJ1477-BO1477,6)</f>
        <v>0</v>
      </c>
      <c r="BQ1477" s="80">
        <f>IF(BE1477=1,AW1477,0)</f>
        <v>0</v>
      </c>
      <c r="BR1477" s="80">
        <f>IF(BE1477=1,AX1477,0)</f>
        <v>0</v>
      </c>
      <c r="BS1477" s="80">
        <f>IF(AND(BE1477=1,D1477="Malcolm",BA1477&gt;0),MIN(BH1477,SUMPRODUCT((R_Emp="proMX")*(R_EN&gt;0)*((R_EN-(R_EN&gt;BR1477)*(R_EN-BR1477))&gt;(R_SN+(R_SN&lt;BQ1477)*(BQ1477-R_SN)))*((R_EN-(R_EN&gt;BR1477)*(R_EN-BR1477))-(R_SN+(R_SN&lt;BQ1477)*(BQ1477-R_SN))))/60),0)</f>
        <v>0</v>
      </c>
      <c r="BT1477" s="80">
        <f>IF(AND(BE1477=1,D1477="proMX"),ROUND(BI1477*CFG_RATE+BJ1477*CFG_OTRATE,6),0)</f>
        <v>0</v>
      </c>
      <c r="BU1477" s="80">
        <f>IF(AND(BD1477=1,D1477="proMX"),ROUND(AG1477/CFG_BLK,6),0)</f>
        <v>0</v>
      </c>
      <c r="BV1477" s="80" t="str">
        <f>IF(BF1477="Approved",IF(ISNUMBER(T1477),INT(T1477),INT(B1477)),"")</f>
        <v/>
      </c>
      <c r="BW1477" s="80">
        <f>IF(ISNUMBER(B1477),IF(DB_MON="Todos",1,IF(AND(INT(B1477)&gt;=DB_MS,INT(B1477)&lt;=DB_ME),1,0)),0)</f>
        <v>0</v>
      </c>
      <c r="BX1477" s="80">
        <f>IF(DB_PROJ="Todos",1,IF(E1477&amp;""=DB_PROJ&amp;"",1,0))</f>
        <v>1</v>
      </c>
      <c r="BY1477" s="80">
        <f>BW1477*BX1477</f>
        <v>0</v>
      </c>
      <c r="BZ1477" s="80" t="str">
        <f>IF(Y1477=1,F1477&amp;IF(AND(F1477&amp;""&lt;&gt;"",E1477&amp;""&lt;&gt;"")," · ","")&amp;E1477,"")</f>
        <v/>
      </c>
      <c r="CA1477" s="80" t="str">
        <f>IF(AND(BD1477=1,E1477&amp;""&lt;&gt;""),IF(COUNTIFS($E$5:E1476,E1477,$BD$5:BD1476,1)=0,MAX($CA$5:CA1476)+1,""),"")</f>
        <v/>
      </c>
      <c r="CB1477" s="80" t="str">
        <f>IF(AND(BE1477=1,D1477="Malcolm",E1477&amp;""&lt;&gt;""),IF(COUNTIFS($D$5:D1476,"Malcolm",$E$5:E1476,E1477,$BE$5:BE1476,1)=0,MAX($CB$5:CB1476)+1,""),"")</f>
        <v/>
      </c>
      <c r="CC1477" s="80" t="str">
        <f>IF(AND(BD1477=1,D1477="proMX",E1477&amp;""&lt;&gt;""),IF(COUNTIFS($D$5:D1476,"proMX",$E$5:E1476,E1477,$BD$5:BD1476,1)=0,MAX($CC$5:CC1476)+1,""),"")</f>
        <v/>
      </c>
      <c r="CD1477" s="80" t="str">
        <f>IF(AND(BE1477=1,D1477="Malcolm",F1477&amp;""&lt;&gt;""),IF(COUNTIFS($D$5:D1476,"Malcolm",$F$5:F1476,F1477,$BE$5:BE1476,1)=0,MAX($CD$5:CD1476)+1,""),"")</f>
        <v/>
      </c>
      <c r="CE1477" s="80" t="str">
        <f>IF(AND(BD1477=1,D1477="proMX",F1477&amp;""&lt;&gt;""),IF(COUNTIFS($D$5:D1476,"proMX",$F$5:F1476,F1477,$BD$5:BD1476,1)=0,MAX($CE$5:CE1476)+1,""),"")</f>
        <v/>
      </c>
      <c r="CF1477" s="80" t="str">
        <f>IF(AND(D1477="proMX",BD1477=1),IF(OR(BF1477="Draft",BF1477="Submitted",BF1477="Returned",BF1477="Recall Requested"),MAX($CF$5:CF1476)+1,""),"")</f>
        <v/>
      </c>
      <c r="CG1477" s="80">
        <f>IF(BD1477=0,0,IF(D1477="Malcolm",1,MATCH(BF1477,{"Draft","Submitted","Approved","Returned","Recall Requested","Cancelled"},0)+1))</f>
        <v>0</v>
      </c>
      <c r="CH1477" s="80">
        <f>IF(AND(BF1477="Submitted",ISNUMBER(V1477)),IF(V1477&gt;CFG_MAXD,1,0),0)</f>
        <v>0</v>
      </c>
    </row>
    <row r="1478">
      <c r="A1478" s="71" t="str">
        <f>IF(Y1478=1,ROW()-5,"")</f>
        <v/>
      </c>
      <c r="B1478" s="72" t="n"/>
      <c r="C1478" s="71" t="str">
        <f>IF(ISNUMBER(B1478),CHOOSE(WEEKDAY(B1478,2),"Lun","Mar","Mié","Jue","Vie","Sáb","Dom"),"")</f>
        <v/>
      </c>
      <c r="D1478" s="73" t="n"/>
      <c r="E1478" s="74" t="n"/>
      <c r="F1478" s="74" t="n"/>
      <c r="G1478" s="74" t="n"/>
      <c r="H1478" s="75" t="n"/>
      <c r="I1478" s="75" t="n"/>
      <c r="J1478" s="76" t="n"/>
      <c r="K1478" s="77" t="str">
        <f>IF(AB1478=1,ROUND(AG1478/60,4),"")</f>
        <v/>
      </c>
      <c r="L1478" s="77" t="str">
        <f>IF(BD1478=1,ROUND(AP1478/60,4),"")</f>
        <v/>
      </c>
      <c r="M1478" s="77" t="str">
        <f>IF(BD1478=1,ROUND(AQ1478/60,4),"")</f>
        <v/>
      </c>
      <c r="N1478" s="71" t="str">
        <f>IF(AND(D1478="proMX",AB1478=1),ROUND(AG1478/CFG_BLK,2),"")</f>
        <v/>
      </c>
      <c r="O1478" s="77" t="str">
        <f>IF(D1478="proMX",IF(BD1478=1,ROUND(AG1478/60,4),0),"")</f>
        <v/>
      </c>
      <c r="P1478" s="78" t="str">
        <f>IF(Y1478=0,"",IF(BD1478=1,"OK",IF(D1478="proMX","Revisar bloques: ","Revisar: ")&amp;BC1478))</f>
        <v/>
      </c>
      <c r="Q1478" s="78" t="str">
        <f>IF(NOT(ISNUMBER(B1478)),"",IF(COUNTIFS(FER_F,INT(B1478))&gt;0,"Feriado"&amp;IF(AH1478=1," (laborable)"," (no laborable)"),IF(AH1478=1,"Laborable",IF(WEEKDAY(B1478,2)&gt;5,"Fin de semana","No laborable"))))</f>
        <v/>
      </c>
      <c r="R1478" s="73" t="n"/>
      <c r="S1478" s="72" t="n"/>
      <c r="T1478" s="72" t="n"/>
      <c r="U1478" s="74" t="n"/>
      <c r="V1478" s="79" t="str">
        <f>IF(AND(D1478="proMX",OR(R1478="Submitted",R1478="Recall Requested"),ISNUMBER(S1478)),CFG_TODAY-INT(S1478),"")</f>
        <v/>
      </c>
      <c r="W1478" s="78" t="str">
        <f>IF(BD1478=0,"",IF(BA1478&gt;0,"⚠ Se superpone con un registro de la otra empresa",IF(D1478="Malcolm",IF(COUNTA(R1478,S1478,T1478)&gt;0,"Estado/fechas proMX se ignoran en Malcolm",""),IF(BF1478="Cancelled","Cancelado: excluido de totales",IF(R1478="","Sin estado: se trata como Draft",IF(BF1478="Submitted",IF(ISNUMBER(V1478),IF(V1478&gt;CFG_MAXD,"⚠ "&amp;V1478&amp;" días en Submitted (máx. "&amp;CFG_MAXD&amp;")",""),"Falta fecha de envío"),IF(BF1478="Returned","⚠ Devuelto: corregir y reenviar",IF(BF1478="Recall Requested","Retirada solicitada: pendiente",IF(AND(BF1478="Approved",NOT(ISNUMBER(T1478))),"Falta fecha de aprobación",IF(AND(ISNUMBER(S1478),ISNUMBER(T1478),T1478&lt;S1478),"Aprobación anterior al envío","")))))))))</f>
        <v/>
      </c>
      <c r="Y1478" s="80">
        <f>IF(COUNTA(B1478,D1478,E1478,F1478,G1478,H1478,I1478,J1478,R1478,S1478,T1478)&gt;0,1,0)</f>
        <v>0</v>
      </c>
      <c r="Z1478" s="80" t="str">
        <f>IF(AND(ISNUMBER(H1478),H1478&gt;=0,H1478&lt;1),ROUND(H1478*1440,0),"")</f>
        <v/>
      </c>
      <c r="AA1478" s="80" t="str">
        <f>IF(AND(ISNUMBER(I1478),I1478&gt;=0,I1478&lt;1),ROUND(I1478*1440,0),"")</f>
        <v/>
      </c>
      <c r="AB1478" s="80">
        <f>IF(AND(ISNUMBER(B1478),D1478&lt;&gt;"",ISNUMBER(Z1478),ISNUMBER(AA1478)),IF(Z1478=AA1478,0,1),0)</f>
        <v>0</v>
      </c>
      <c r="AC1478" s="80">
        <f>IF(AB1478=1,IF(AA1478&lt;Z1478,1,0),0)</f>
        <v>0</v>
      </c>
      <c r="AD1478" s="80">
        <f>IF(AB1478=1,IF(AC1478=1,1440-Z1478+AA1478,AA1478-Z1478),0)</f>
        <v>0</v>
      </c>
      <c r="AE1478" s="80">
        <f>IF(J1478="",0,IF(ISNUMBER(J1478),J1478,-1))</f>
        <v>0</v>
      </c>
      <c r="AF1478" s="80">
        <f>MIN(MAX(0,AE1478),AD1478)</f>
        <v>0</v>
      </c>
      <c r="AG1478" s="80">
        <f>MAX(0,AD1478-MAX(0,AE1478))</f>
        <v>0</v>
      </c>
      <c r="AH1478" s="80">
        <f>IF(ISNUMBER(B1478),IF(AND(INDEX(CFG_WDAYS,WEEKDAY(INT(B1478),2))="Sí",IF(D1478="proMX",COUNTIFS(FER_F,INT(B1478),FER_NLP,"Sí"),COUNTIFS(FER_F,INT(B1478),FER_NLM,"Sí"))=0),1,0),0)</f>
        <v>0</v>
      </c>
      <c r="AI1478" s="80">
        <f>IF(AC1478=1,IF(AND(INDEX(CFG_WDAYS,WEEKDAY(INT(B1478)+1,2))="Sí",IF(D1478="proMX",COUNTIFS(FER_F,INT(B1478)+1,FER_NLP,"Sí"),COUNTIFS(FER_F,INT(B1478)+1,FER_NLM,"Sí"))=0),1,0),0)</f>
        <v>0</v>
      </c>
      <c r="AJ1478" s="80">
        <f>IF(AC1478=1,1440-Z1478,AD1478)</f>
        <v>0</v>
      </c>
      <c r="AK1478" s="80">
        <f>IF(AND(AB1478=1,AH1478=1),MAX(0,MIN(IF(AC1478=1,1440,AA1478),CFG_WEM)-MAX(Z1478,CFG_WSM)),0)</f>
        <v>0</v>
      </c>
      <c r="AL1478" s="80">
        <f>IF(AND(AC1478=1,AI1478=1),MAX(0,MIN(AA1478,CFG_WEM)-CFG_WSM),0)</f>
        <v>0</v>
      </c>
      <c r="AM1478" s="80">
        <f>AK1478+AL1478</f>
        <v>0</v>
      </c>
      <c r="AN1478" s="80">
        <f>IF(CFG_BRK="Proporcional",IF(AD1478=0,0,AF1478*AM1478/AD1478),IF(CFG_BRK="Extras primero",MIN(AM1478,MAX(0,AF1478-(AD1478-AM1478))),MIN(AF1478,AM1478)))</f>
        <v>0</v>
      </c>
      <c r="AO1478" s="80">
        <f>AF1478-AN1478</f>
        <v>0</v>
      </c>
      <c r="AP1478" s="80">
        <f>AM1478-AN1478</f>
        <v>0</v>
      </c>
      <c r="AQ1478" s="80">
        <f>AD1478-AM1478-AO1478</f>
        <v>0</v>
      </c>
      <c r="AR1478" s="80">
        <f>IF(AM1478=0,0,AK1478-AN1478*AK1478/AM1478)</f>
        <v>0</v>
      </c>
      <c r="AS1478" s="80">
        <f>IF(AD1478-AM1478=0,0,(AJ1478-AK1478)-AO1478*(AJ1478-AK1478)/(AD1478-AM1478))</f>
        <v>0</v>
      </c>
      <c r="AT1478" s="80" t="str">
        <f>IF(AC1478=1,INT(B1478)+1,"")</f>
        <v/>
      </c>
      <c r="AU1478" s="80">
        <f>IF(AND(D1478="proMX",R1478="Cancelled"),0,1)</f>
        <v>1</v>
      </c>
      <c r="AV1478" s="80">
        <f>IF(AND(AB1478=1,AU1478=1),IF(COUNTIFS($D$5:D1477,D1478,$B$5:B1477,B1478,$Z$5:Z1477,Z1478,$AA$5:AA1477,AA1478,$F$5:F1477,F1478&amp;"",$AU$5:AU1477,1)&gt;0,1,0),0)</f>
        <v>0</v>
      </c>
      <c r="AW1478" s="80" t="str">
        <f>IF(AB1478=1,INT(B1478)*1440+Z1478,"")</f>
        <v/>
      </c>
      <c r="AX1478" s="80" t="str">
        <f>IF(AB1478=1,AW1478+AD1478,"")</f>
        <v/>
      </c>
      <c r="AY1478" s="80">
        <f>IF(AND(AB1478=1,AV1478=0,AU1478=1),1,0)</f>
        <v>0</v>
      </c>
      <c r="AZ1478" s="80">
        <f>IF(AY1478=1,COUNTIFS(R_Emp,D1478,R_SAbs,"&lt;"&amp;AX1478,R_EAbs,"&gt;"&amp;AW1478,R_OKey,1)-1,0)</f>
        <v>0</v>
      </c>
      <c r="BA1478" s="80">
        <f>IF(AY1478=1,COUNTIFS(R_Emp,"&lt;&gt;"&amp;D1478,R_SAbs,"&lt;"&amp;AX1478,R_EAbs,"&gt;"&amp;AW1478,R_OKey,1),0)</f>
        <v>0</v>
      </c>
      <c r="BB1478" s="80">
        <f>IF(AND(AB1478=1,D1478="proMX"),IF(AND(MOD(Z1478,CFG_BLK)=0,MOD(AA1478,CFG_BLK)=0,MOD(AG1478,CFG_BLK)=0,AG1478&gt;0),1,0),1)</f>
        <v>1</v>
      </c>
      <c r="BC1478" s="80" t="str">
        <f>IF(Y1478=0,"",IF(NOT(ISNUMBER(B1478)),"Falta fecha o fecha inválida",IF(D1478="","Falta empresa",IF(AND(D1478&lt;&gt;"Malcolm",D1478&lt;&gt;"proMX"),"Empresa inválida",IF(OR(INT(B1478)&lt;CFG_PSTART,INT(B1478)&gt;CFG_PEND),"Fecha fuera del período",IF(OR(NOT(ISNUMBER(Z1478)),NOT(ISNUMBER(AA1478))),"Falta hora inicio/fin o formato inválido",IF(AB1478=0,"Hora inicio = hora fin",IF(AE1478&lt;0,"Descanso inválido",IF(AE1478&gt;=AD1478,"Descanso ≥ duración",IF(AV1478=1,"Registro duplicado",IF(AZ1478&gt;0,"Se superpone con otro registro "&amp;D1478,IF(BB1478=0,"inicio, fin y duración neta deben ser múltiplos de "&amp;CFG_BLK&amp;" min",""))))))))))))</f>
        <v/>
      </c>
      <c r="BD1478" s="80">
        <f>IF(AND(Y1478=1,BC1478=""),1,0)</f>
        <v>0</v>
      </c>
      <c r="BE1478" s="80">
        <f>IF(AND(BD1478=1,AU1478=1),1,0)</f>
        <v>0</v>
      </c>
      <c r="BF1478" s="80" t="str">
        <f>IF(AND(D1478="proMX",BD1478=1),IF(R1478="","Draft",R1478),"")</f>
        <v/>
      </c>
      <c r="BG1478" s="80">
        <f>IF(BD1478=1,ROUND(AG1478/60,6),0)</f>
        <v>0</v>
      </c>
      <c r="BH1478" s="80">
        <f>IF(BE1478=1,ROUND(AG1478/60,6),0)</f>
        <v>0</v>
      </c>
      <c r="BI1478" s="80">
        <f>IF(BE1478=1,ROUND(AP1478/60,6),0)</f>
        <v>0</v>
      </c>
      <c r="BJ1478" s="80">
        <f>IF(BE1478=1,ROUND(AQ1478/60,6),0)</f>
        <v>0</v>
      </c>
      <c r="BK1478" s="80">
        <f>IF(BE1478=1,ROUND((AR1478+AS1478)/60,6),0)</f>
        <v>0</v>
      </c>
      <c r="BL1478" s="80">
        <f>ROUND(BH1478-BK1478,6)</f>
        <v>0</v>
      </c>
      <c r="BM1478" s="80">
        <f>IF(BE1478=1,ROUND(AR1478/60,6),0)</f>
        <v>0</v>
      </c>
      <c r="BN1478" s="80">
        <f>ROUND(BI1478-BM1478,6)</f>
        <v>0</v>
      </c>
      <c r="BO1478" s="80">
        <f>IF(BE1478=1,ROUND(AS1478/60,6),0)</f>
        <v>0</v>
      </c>
      <c r="BP1478" s="80">
        <f>ROUND(BJ1478-BO1478,6)</f>
        <v>0</v>
      </c>
      <c r="BQ1478" s="80">
        <f>IF(BE1478=1,AW1478,0)</f>
        <v>0</v>
      </c>
      <c r="BR1478" s="80">
        <f>IF(BE1478=1,AX1478,0)</f>
        <v>0</v>
      </c>
      <c r="BS1478" s="80">
        <f>IF(AND(BE1478=1,D1478="Malcolm",BA1478&gt;0),MIN(BH1478,SUMPRODUCT((R_Emp="proMX")*(R_EN&gt;0)*((R_EN-(R_EN&gt;BR1478)*(R_EN-BR1478))&gt;(R_SN+(R_SN&lt;BQ1478)*(BQ1478-R_SN)))*((R_EN-(R_EN&gt;BR1478)*(R_EN-BR1478))-(R_SN+(R_SN&lt;BQ1478)*(BQ1478-R_SN))))/60),0)</f>
        <v>0</v>
      </c>
      <c r="BT1478" s="80">
        <f>IF(AND(BE1478=1,D1478="proMX"),ROUND(BI1478*CFG_RATE+BJ1478*CFG_OTRATE,6),0)</f>
        <v>0</v>
      </c>
      <c r="BU1478" s="80">
        <f>IF(AND(BD1478=1,D1478="proMX"),ROUND(AG1478/CFG_BLK,6),0)</f>
        <v>0</v>
      </c>
      <c r="BV1478" s="80" t="str">
        <f>IF(BF1478="Approved",IF(ISNUMBER(T1478),INT(T1478),INT(B1478)),"")</f>
        <v/>
      </c>
      <c r="BW1478" s="80">
        <f>IF(ISNUMBER(B1478),IF(DB_MON="Todos",1,IF(AND(INT(B1478)&gt;=DB_MS,INT(B1478)&lt;=DB_ME),1,0)),0)</f>
        <v>0</v>
      </c>
      <c r="BX1478" s="80">
        <f>IF(DB_PROJ="Todos",1,IF(E1478&amp;""=DB_PROJ&amp;"",1,0))</f>
        <v>1</v>
      </c>
      <c r="BY1478" s="80">
        <f>BW1478*BX1478</f>
        <v>0</v>
      </c>
      <c r="BZ1478" s="80" t="str">
        <f>IF(Y1478=1,F1478&amp;IF(AND(F1478&amp;""&lt;&gt;"",E1478&amp;""&lt;&gt;"")," · ","")&amp;E1478,"")</f>
        <v/>
      </c>
      <c r="CA1478" s="80" t="str">
        <f>IF(AND(BD1478=1,E1478&amp;""&lt;&gt;""),IF(COUNTIFS($E$5:E1477,E1478,$BD$5:BD1477,1)=0,MAX($CA$5:CA1477)+1,""),"")</f>
        <v/>
      </c>
      <c r="CB1478" s="80" t="str">
        <f>IF(AND(BE1478=1,D1478="Malcolm",E1478&amp;""&lt;&gt;""),IF(COUNTIFS($D$5:D1477,"Malcolm",$E$5:E1477,E1478,$BE$5:BE1477,1)=0,MAX($CB$5:CB1477)+1,""),"")</f>
        <v/>
      </c>
      <c r="CC1478" s="80" t="str">
        <f>IF(AND(BD1478=1,D1478="proMX",E1478&amp;""&lt;&gt;""),IF(COUNTIFS($D$5:D1477,"proMX",$E$5:E1477,E1478,$BD$5:BD1477,1)=0,MAX($CC$5:CC1477)+1,""),"")</f>
        <v/>
      </c>
      <c r="CD1478" s="80" t="str">
        <f>IF(AND(BE1478=1,D1478="Malcolm",F1478&amp;""&lt;&gt;""),IF(COUNTIFS($D$5:D1477,"Malcolm",$F$5:F1477,F1478,$BE$5:BE1477,1)=0,MAX($CD$5:CD1477)+1,""),"")</f>
        <v/>
      </c>
      <c r="CE1478" s="80" t="str">
        <f>IF(AND(BD1478=1,D1478="proMX",F1478&amp;""&lt;&gt;""),IF(COUNTIFS($D$5:D1477,"proMX",$F$5:F1477,F1478,$BD$5:BD1477,1)=0,MAX($CE$5:CE1477)+1,""),"")</f>
        <v/>
      </c>
      <c r="CF1478" s="80" t="str">
        <f>IF(AND(D1478="proMX",BD1478=1),IF(OR(BF1478="Draft",BF1478="Submitted",BF1478="Returned",BF1478="Recall Requested"),MAX($CF$5:CF1477)+1,""),"")</f>
        <v/>
      </c>
      <c r="CG1478" s="80">
        <f>IF(BD1478=0,0,IF(D1478="Malcolm",1,MATCH(BF1478,{"Draft","Submitted","Approved","Returned","Recall Requested","Cancelled"},0)+1))</f>
        <v>0</v>
      </c>
      <c r="CH1478" s="80">
        <f>IF(AND(BF1478="Submitted",ISNUMBER(V1478)),IF(V1478&gt;CFG_MAXD,1,0),0)</f>
        <v>0</v>
      </c>
    </row>
    <row r="1479">
      <c r="A1479" s="71" t="str">
        <f>IF(Y1479=1,ROW()-5,"")</f>
        <v/>
      </c>
      <c r="B1479" s="72" t="n"/>
      <c r="C1479" s="71" t="str">
        <f>IF(ISNUMBER(B1479),CHOOSE(WEEKDAY(B1479,2),"Lun","Mar","Mié","Jue","Vie","Sáb","Dom"),"")</f>
        <v/>
      </c>
      <c r="D1479" s="73" t="n"/>
      <c r="E1479" s="74" t="n"/>
      <c r="F1479" s="74" t="n"/>
      <c r="G1479" s="74" t="n"/>
      <c r="H1479" s="75" t="n"/>
      <c r="I1479" s="75" t="n"/>
      <c r="J1479" s="76" t="n"/>
      <c r="K1479" s="77" t="str">
        <f>IF(AB1479=1,ROUND(AG1479/60,4),"")</f>
        <v/>
      </c>
      <c r="L1479" s="77" t="str">
        <f>IF(BD1479=1,ROUND(AP1479/60,4),"")</f>
        <v/>
      </c>
      <c r="M1479" s="77" t="str">
        <f>IF(BD1479=1,ROUND(AQ1479/60,4),"")</f>
        <v/>
      </c>
      <c r="N1479" s="71" t="str">
        <f>IF(AND(D1479="proMX",AB1479=1),ROUND(AG1479/CFG_BLK,2),"")</f>
        <v/>
      </c>
      <c r="O1479" s="77" t="str">
        <f>IF(D1479="proMX",IF(BD1479=1,ROUND(AG1479/60,4),0),"")</f>
        <v/>
      </c>
      <c r="P1479" s="78" t="str">
        <f>IF(Y1479=0,"",IF(BD1479=1,"OK",IF(D1479="proMX","Revisar bloques: ","Revisar: ")&amp;BC1479))</f>
        <v/>
      </c>
      <c r="Q1479" s="78" t="str">
        <f>IF(NOT(ISNUMBER(B1479)),"",IF(COUNTIFS(FER_F,INT(B1479))&gt;0,"Feriado"&amp;IF(AH1479=1," (laborable)"," (no laborable)"),IF(AH1479=1,"Laborable",IF(WEEKDAY(B1479,2)&gt;5,"Fin de semana","No laborable"))))</f>
        <v/>
      </c>
      <c r="R1479" s="73" t="n"/>
      <c r="S1479" s="72" t="n"/>
      <c r="T1479" s="72" t="n"/>
      <c r="U1479" s="74" t="n"/>
      <c r="V1479" s="79" t="str">
        <f>IF(AND(D1479="proMX",OR(R1479="Submitted",R1479="Recall Requested"),ISNUMBER(S1479)),CFG_TODAY-INT(S1479),"")</f>
        <v/>
      </c>
      <c r="W1479" s="78" t="str">
        <f>IF(BD1479=0,"",IF(BA1479&gt;0,"⚠ Se superpone con un registro de la otra empresa",IF(D1479="Malcolm",IF(COUNTA(R1479,S1479,T1479)&gt;0,"Estado/fechas proMX se ignoran en Malcolm",""),IF(BF1479="Cancelled","Cancelado: excluido de totales",IF(R1479="","Sin estado: se trata como Draft",IF(BF1479="Submitted",IF(ISNUMBER(V1479),IF(V1479&gt;CFG_MAXD,"⚠ "&amp;V1479&amp;" días en Submitted (máx. "&amp;CFG_MAXD&amp;")",""),"Falta fecha de envío"),IF(BF1479="Returned","⚠ Devuelto: corregir y reenviar",IF(BF1479="Recall Requested","Retirada solicitada: pendiente",IF(AND(BF1479="Approved",NOT(ISNUMBER(T1479))),"Falta fecha de aprobación",IF(AND(ISNUMBER(S1479),ISNUMBER(T1479),T1479&lt;S1479),"Aprobación anterior al envío","")))))))))</f>
        <v/>
      </c>
      <c r="Y1479" s="80">
        <f>IF(COUNTA(B1479,D1479,E1479,F1479,G1479,H1479,I1479,J1479,R1479,S1479,T1479)&gt;0,1,0)</f>
        <v>0</v>
      </c>
      <c r="Z1479" s="80" t="str">
        <f>IF(AND(ISNUMBER(H1479),H1479&gt;=0,H1479&lt;1),ROUND(H1479*1440,0),"")</f>
        <v/>
      </c>
      <c r="AA1479" s="80" t="str">
        <f>IF(AND(ISNUMBER(I1479),I1479&gt;=0,I1479&lt;1),ROUND(I1479*1440,0),"")</f>
        <v/>
      </c>
      <c r="AB1479" s="80">
        <f>IF(AND(ISNUMBER(B1479),D1479&lt;&gt;"",ISNUMBER(Z1479),ISNUMBER(AA1479)),IF(Z1479=AA1479,0,1),0)</f>
        <v>0</v>
      </c>
      <c r="AC1479" s="80">
        <f>IF(AB1479=1,IF(AA1479&lt;Z1479,1,0),0)</f>
        <v>0</v>
      </c>
      <c r="AD1479" s="80">
        <f>IF(AB1479=1,IF(AC1479=1,1440-Z1479+AA1479,AA1479-Z1479),0)</f>
        <v>0</v>
      </c>
      <c r="AE1479" s="80">
        <f>IF(J1479="",0,IF(ISNUMBER(J1479),J1479,-1))</f>
        <v>0</v>
      </c>
      <c r="AF1479" s="80">
        <f>MIN(MAX(0,AE1479),AD1479)</f>
        <v>0</v>
      </c>
      <c r="AG1479" s="80">
        <f>MAX(0,AD1479-MAX(0,AE1479))</f>
        <v>0</v>
      </c>
      <c r="AH1479" s="80">
        <f>IF(ISNUMBER(B1479),IF(AND(INDEX(CFG_WDAYS,WEEKDAY(INT(B1479),2))="Sí",IF(D1479="proMX",COUNTIFS(FER_F,INT(B1479),FER_NLP,"Sí"),COUNTIFS(FER_F,INT(B1479),FER_NLM,"Sí"))=0),1,0),0)</f>
        <v>0</v>
      </c>
      <c r="AI1479" s="80">
        <f>IF(AC1479=1,IF(AND(INDEX(CFG_WDAYS,WEEKDAY(INT(B1479)+1,2))="Sí",IF(D1479="proMX",COUNTIFS(FER_F,INT(B1479)+1,FER_NLP,"Sí"),COUNTIFS(FER_F,INT(B1479)+1,FER_NLM,"Sí"))=0),1,0),0)</f>
        <v>0</v>
      </c>
      <c r="AJ1479" s="80">
        <f>IF(AC1479=1,1440-Z1479,AD1479)</f>
        <v>0</v>
      </c>
      <c r="AK1479" s="80">
        <f>IF(AND(AB1479=1,AH1479=1),MAX(0,MIN(IF(AC1479=1,1440,AA1479),CFG_WEM)-MAX(Z1479,CFG_WSM)),0)</f>
        <v>0</v>
      </c>
      <c r="AL1479" s="80">
        <f>IF(AND(AC1479=1,AI1479=1),MAX(0,MIN(AA1479,CFG_WEM)-CFG_WSM),0)</f>
        <v>0</v>
      </c>
      <c r="AM1479" s="80">
        <f>AK1479+AL1479</f>
        <v>0</v>
      </c>
      <c r="AN1479" s="80">
        <f>IF(CFG_BRK="Proporcional",IF(AD1479=0,0,AF1479*AM1479/AD1479),IF(CFG_BRK="Extras primero",MIN(AM1479,MAX(0,AF1479-(AD1479-AM1479))),MIN(AF1479,AM1479)))</f>
        <v>0</v>
      </c>
      <c r="AO1479" s="80">
        <f>AF1479-AN1479</f>
        <v>0</v>
      </c>
      <c r="AP1479" s="80">
        <f>AM1479-AN1479</f>
        <v>0</v>
      </c>
      <c r="AQ1479" s="80">
        <f>AD1479-AM1479-AO1479</f>
        <v>0</v>
      </c>
      <c r="AR1479" s="80">
        <f>IF(AM1479=0,0,AK1479-AN1479*AK1479/AM1479)</f>
        <v>0</v>
      </c>
      <c r="AS1479" s="80">
        <f>IF(AD1479-AM1479=0,0,(AJ1479-AK1479)-AO1479*(AJ1479-AK1479)/(AD1479-AM1479))</f>
        <v>0</v>
      </c>
      <c r="AT1479" s="80" t="str">
        <f>IF(AC1479=1,INT(B1479)+1,"")</f>
        <v/>
      </c>
      <c r="AU1479" s="80">
        <f>IF(AND(D1479="proMX",R1479="Cancelled"),0,1)</f>
        <v>1</v>
      </c>
      <c r="AV1479" s="80">
        <f>IF(AND(AB1479=1,AU1479=1),IF(COUNTIFS($D$5:D1478,D1479,$B$5:B1478,B1479,$Z$5:Z1478,Z1479,$AA$5:AA1478,AA1479,$F$5:F1478,F1479&amp;"",$AU$5:AU1478,1)&gt;0,1,0),0)</f>
        <v>0</v>
      </c>
      <c r="AW1479" s="80" t="str">
        <f>IF(AB1479=1,INT(B1479)*1440+Z1479,"")</f>
        <v/>
      </c>
      <c r="AX1479" s="80" t="str">
        <f>IF(AB1479=1,AW1479+AD1479,"")</f>
        <v/>
      </c>
      <c r="AY1479" s="80">
        <f>IF(AND(AB1479=1,AV1479=0,AU1479=1),1,0)</f>
        <v>0</v>
      </c>
      <c r="AZ1479" s="80">
        <f>IF(AY1479=1,COUNTIFS(R_Emp,D1479,R_SAbs,"&lt;"&amp;AX1479,R_EAbs,"&gt;"&amp;AW1479,R_OKey,1)-1,0)</f>
        <v>0</v>
      </c>
      <c r="BA1479" s="80">
        <f>IF(AY1479=1,COUNTIFS(R_Emp,"&lt;&gt;"&amp;D1479,R_SAbs,"&lt;"&amp;AX1479,R_EAbs,"&gt;"&amp;AW1479,R_OKey,1),0)</f>
        <v>0</v>
      </c>
      <c r="BB1479" s="80">
        <f>IF(AND(AB1479=1,D1479="proMX"),IF(AND(MOD(Z1479,CFG_BLK)=0,MOD(AA1479,CFG_BLK)=0,MOD(AG1479,CFG_BLK)=0,AG1479&gt;0),1,0),1)</f>
        <v>1</v>
      </c>
      <c r="BC1479" s="80" t="str">
        <f>IF(Y1479=0,"",IF(NOT(ISNUMBER(B1479)),"Falta fecha o fecha inválida",IF(D1479="","Falta empresa",IF(AND(D1479&lt;&gt;"Malcolm",D1479&lt;&gt;"proMX"),"Empresa inválida",IF(OR(INT(B1479)&lt;CFG_PSTART,INT(B1479)&gt;CFG_PEND),"Fecha fuera del período",IF(OR(NOT(ISNUMBER(Z1479)),NOT(ISNUMBER(AA1479))),"Falta hora inicio/fin o formato inválido",IF(AB1479=0,"Hora inicio = hora fin",IF(AE1479&lt;0,"Descanso inválido",IF(AE1479&gt;=AD1479,"Descanso ≥ duración",IF(AV1479=1,"Registro duplicado",IF(AZ1479&gt;0,"Se superpone con otro registro "&amp;D1479,IF(BB1479=0,"inicio, fin y duración neta deben ser múltiplos de "&amp;CFG_BLK&amp;" min",""))))))))))))</f>
        <v/>
      </c>
      <c r="BD1479" s="80">
        <f>IF(AND(Y1479=1,BC1479=""),1,0)</f>
        <v>0</v>
      </c>
      <c r="BE1479" s="80">
        <f>IF(AND(BD1479=1,AU1479=1),1,0)</f>
        <v>0</v>
      </c>
      <c r="BF1479" s="80" t="str">
        <f>IF(AND(D1479="proMX",BD1479=1),IF(R1479="","Draft",R1479),"")</f>
        <v/>
      </c>
      <c r="BG1479" s="80">
        <f>IF(BD1479=1,ROUND(AG1479/60,6),0)</f>
        <v>0</v>
      </c>
      <c r="BH1479" s="80">
        <f>IF(BE1479=1,ROUND(AG1479/60,6),0)</f>
        <v>0</v>
      </c>
      <c r="BI1479" s="80">
        <f>IF(BE1479=1,ROUND(AP1479/60,6),0)</f>
        <v>0</v>
      </c>
      <c r="BJ1479" s="80">
        <f>IF(BE1479=1,ROUND(AQ1479/60,6),0)</f>
        <v>0</v>
      </c>
      <c r="BK1479" s="80">
        <f>IF(BE1479=1,ROUND((AR1479+AS1479)/60,6),0)</f>
        <v>0</v>
      </c>
      <c r="BL1479" s="80">
        <f>ROUND(BH1479-BK1479,6)</f>
        <v>0</v>
      </c>
      <c r="BM1479" s="80">
        <f>IF(BE1479=1,ROUND(AR1479/60,6),0)</f>
        <v>0</v>
      </c>
      <c r="BN1479" s="80">
        <f>ROUND(BI1479-BM1479,6)</f>
        <v>0</v>
      </c>
      <c r="BO1479" s="80">
        <f>IF(BE1479=1,ROUND(AS1479/60,6),0)</f>
        <v>0</v>
      </c>
      <c r="BP1479" s="80">
        <f>ROUND(BJ1479-BO1479,6)</f>
        <v>0</v>
      </c>
      <c r="BQ1479" s="80">
        <f>IF(BE1479=1,AW1479,0)</f>
        <v>0</v>
      </c>
      <c r="BR1479" s="80">
        <f>IF(BE1479=1,AX1479,0)</f>
        <v>0</v>
      </c>
      <c r="BS1479" s="80">
        <f>IF(AND(BE1479=1,D1479="Malcolm",BA1479&gt;0),MIN(BH1479,SUMPRODUCT((R_Emp="proMX")*(R_EN&gt;0)*((R_EN-(R_EN&gt;BR1479)*(R_EN-BR1479))&gt;(R_SN+(R_SN&lt;BQ1479)*(BQ1479-R_SN)))*((R_EN-(R_EN&gt;BR1479)*(R_EN-BR1479))-(R_SN+(R_SN&lt;BQ1479)*(BQ1479-R_SN))))/60),0)</f>
        <v>0</v>
      </c>
      <c r="BT1479" s="80">
        <f>IF(AND(BE1479=1,D1479="proMX"),ROUND(BI1479*CFG_RATE+BJ1479*CFG_OTRATE,6),0)</f>
        <v>0</v>
      </c>
      <c r="BU1479" s="80">
        <f>IF(AND(BD1479=1,D1479="proMX"),ROUND(AG1479/CFG_BLK,6),0)</f>
        <v>0</v>
      </c>
      <c r="BV1479" s="80" t="str">
        <f>IF(BF1479="Approved",IF(ISNUMBER(T1479),INT(T1479),INT(B1479)),"")</f>
        <v/>
      </c>
      <c r="BW1479" s="80">
        <f>IF(ISNUMBER(B1479),IF(DB_MON="Todos",1,IF(AND(INT(B1479)&gt;=DB_MS,INT(B1479)&lt;=DB_ME),1,0)),0)</f>
        <v>0</v>
      </c>
      <c r="BX1479" s="80">
        <f>IF(DB_PROJ="Todos",1,IF(E1479&amp;""=DB_PROJ&amp;"",1,0))</f>
        <v>1</v>
      </c>
      <c r="BY1479" s="80">
        <f>BW1479*BX1479</f>
        <v>0</v>
      </c>
      <c r="BZ1479" s="80" t="str">
        <f>IF(Y1479=1,F1479&amp;IF(AND(F1479&amp;""&lt;&gt;"",E1479&amp;""&lt;&gt;"")," · ","")&amp;E1479,"")</f>
        <v/>
      </c>
      <c r="CA1479" s="80" t="str">
        <f>IF(AND(BD1479=1,E1479&amp;""&lt;&gt;""),IF(COUNTIFS($E$5:E1478,E1479,$BD$5:BD1478,1)=0,MAX($CA$5:CA1478)+1,""),"")</f>
        <v/>
      </c>
      <c r="CB1479" s="80" t="str">
        <f>IF(AND(BE1479=1,D1479="Malcolm",E1479&amp;""&lt;&gt;""),IF(COUNTIFS($D$5:D1478,"Malcolm",$E$5:E1478,E1479,$BE$5:BE1478,1)=0,MAX($CB$5:CB1478)+1,""),"")</f>
        <v/>
      </c>
      <c r="CC1479" s="80" t="str">
        <f>IF(AND(BD1479=1,D1479="proMX",E1479&amp;""&lt;&gt;""),IF(COUNTIFS($D$5:D1478,"proMX",$E$5:E1478,E1479,$BD$5:BD1478,1)=0,MAX($CC$5:CC1478)+1,""),"")</f>
        <v/>
      </c>
      <c r="CD1479" s="80" t="str">
        <f>IF(AND(BE1479=1,D1479="Malcolm",F1479&amp;""&lt;&gt;""),IF(COUNTIFS($D$5:D1478,"Malcolm",$F$5:F1478,F1479,$BE$5:BE1478,1)=0,MAX($CD$5:CD1478)+1,""),"")</f>
        <v/>
      </c>
      <c r="CE1479" s="80" t="str">
        <f>IF(AND(BD1479=1,D1479="proMX",F1479&amp;""&lt;&gt;""),IF(COUNTIFS($D$5:D1478,"proMX",$F$5:F1478,F1479,$BD$5:BD1478,1)=0,MAX($CE$5:CE1478)+1,""),"")</f>
        <v/>
      </c>
      <c r="CF1479" s="80" t="str">
        <f>IF(AND(D1479="proMX",BD1479=1),IF(OR(BF1479="Draft",BF1479="Submitted",BF1479="Returned",BF1479="Recall Requested"),MAX($CF$5:CF1478)+1,""),"")</f>
        <v/>
      </c>
      <c r="CG1479" s="80">
        <f>IF(BD1479=0,0,IF(D1479="Malcolm",1,MATCH(BF1479,{"Draft","Submitted","Approved","Returned","Recall Requested","Cancelled"},0)+1))</f>
        <v>0</v>
      </c>
      <c r="CH1479" s="80">
        <f>IF(AND(BF1479="Submitted",ISNUMBER(V1479)),IF(V1479&gt;CFG_MAXD,1,0),0)</f>
        <v>0</v>
      </c>
    </row>
    <row r="1480">
      <c r="A1480" s="71" t="str">
        <f>IF(Y1480=1,ROW()-5,"")</f>
        <v/>
      </c>
      <c r="B1480" s="72" t="n"/>
      <c r="C1480" s="71" t="str">
        <f>IF(ISNUMBER(B1480),CHOOSE(WEEKDAY(B1480,2),"Lun","Mar","Mié","Jue","Vie","Sáb","Dom"),"")</f>
        <v/>
      </c>
      <c r="D1480" s="73" t="n"/>
      <c r="E1480" s="74" t="n"/>
      <c r="F1480" s="74" t="n"/>
      <c r="G1480" s="74" t="n"/>
      <c r="H1480" s="75" t="n"/>
      <c r="I1480" s="75" t="n"/>
      <c r="J1480" s="76" t="n"/>
      <c r="K1480" s="77" t="str">
        <f>IF(AB1480=1,ROUND(AG1480/60,4),"")</f>
        <v/>
      </c>
      <c r="L1480" s="77" t="str">
        <f>IF(BD1480=1,ROUND(AP1480/60,4),"")</f>
        <v/>
      </c>
      <c r="M1480" s="77" t="str">
        <f>IF(BD1480=1,ROUND(AQ1480/60,4),"")</f>
        <v/>
      </c>
      <c r="N1480" s="71" t="str">
        <f>IF(AND(D1480="proMX",AB1480=1),ROUND(AG1480/CFG_BLK,2),"")</f>
        <v/>
      </c>
      <c r="O1480" s="77" t="str">
        <f>IF(D1480="proMX",IF(BD1480=1,ROUND(AG1480/60,4),0),"")</f>
        <v/>
      </c>
      <c r="P1480" s="78" t="str">
        <f>IF(Y1480=0,"",IF(BD1480=1,"OK",IF(D1480="proMX","Revisar bloques: ","Revisar: ")&amp;BC1480))</f>
        <v/>
      </c>
      <c r="Q1480" s="78" t="str">
        <f>IF(NOT(ISNUMBER(B1480)),"",IF(COUNTIFS(FER_F,INT(B1480))&gt;0,"Feriado"&amp;IF(AH1480=1," (laborable)"," (no laborable)"),IF(AH1480=1,"Laborable",IF(WEEKDAY(B1480,2)&gt;5,"Fin de semana","No laborable"))))</f>
        <v/>
      </c>
      <c r="R1480" s="73" t="n"/>
      <c r="S1480" s="72" t="n"/>
      <c r="T1480" s="72" t="n"/>
      <c r="U1480" s="74" t="n"/>
      <c r="V1480" s="79" t="str">
        <f>IF(AND(D1480="proMX",OR(R1480="Submitted",R1480="Recall Requested"),ISNUMBER(S1480)),CFG_TODAY-INT(S1480),"")</f>
        <v/>
      </c>
      <c r="W1480" s="78" t="str">
        <f>IF(BD1480=0,"",IF(BA1480&gt;0,"⚠ Se superpone con un registro de la otra empresa",IF(D1480="Malcolm",IF(COUNTA(R1480,S1480,T1480)&gt;0,"Estado/fechas proMX se ignoran en Malcolm",""),IF(BF1480="Cancelled","Cancelado: excluido de totales",IF(R1480="","Sin estado: se trata como Draft",IF(BF1480="Submitted",IF(ISNUMBER(V1480),IF(V1480&gt;CFG_MAXD,"⚠ "&amp;V1480&amp;" días en Submitted (máx. "&amp;CFG_MAXD&amp;")",""),"Falta fecha de envío"),IF(BF1480="Returned","⚠ Devuelto: corregir y reenviar",IF(BF1480="Recall Requested","Retirada solicitada: pendiente",IF(AND(BF1480="Approved",NOT(ISNUMBER(T1480))),"Falta fecha de aprobación",IF(AND(ISNUMBER(S1480),ISNUMBER(T1480),T1480&lt;S1480),"Aprobación anterior al envío","")))))))))</f>
        <v/>
      </c>
      <c r="Y1480" s="80">
        <f>IF(COUNTA(B1480,D1480,E1480,F1480,G1480,H1480,I1480,J1480,R1480,S1480,T1480)&gt;0,1,0)</f>
        <v>0</v>
      </c>
      <c r="Z1480" s="80" t="str">
        <f>IF(AND(ISNUMBER(H1480),H1480&gt;=0,H1480&lt;1),ROUND(H1480*1440,0),"")</f>
        <v/>
      </c>
      <c r="AA1480" s="80" t="str">
        <f>IF(AND(ISNUMBER(I1480),I1480&gt;=0,I1480&lt;1),ROUND(I1480*1440,0),"")</f>
        <v/>
      </c>
      <c r="AB1480" s="80">
        <f>IF(AND(ISNUMBER(B1480),D1480&lt;&gt;"",ISNUMBER(Z1480),ISNUMBER(AA1480)),IF(Z1480=AA1480,0,1),0)</f>
        <v>0</v>
      </c>
      <c r="AC1480" s="80">
        <f>IF(AB1480=1,IF(AA1480&lt;Z1480,1,0),0)</f>
        <v>0</v>
      </c>
      <c r="AD1480" s="80">
        <f>IF(AB1480=1,IF(AC1480=1,1440-Z1480+AA1480,AA1480-Z1480),0)</f>
        <v>0</v>
      </c>
      <c r="AE1480" s="80">
        <f>IF(J1480="",0,IF(ISNUMBER(J1480),J1480,-1))</f>
        <v>0</v>
      </c>
      <c r="AF1480" s="80">
        <f>MIN(MAX(0,AE1480),AD1480)</f>
        <v>0</v>
      </c>
      <c r="AG1480" s="80">
        <f>MAX(0,AD1480-MAX(0,AE1480))</f>
        <v>0</v>
      </c>
      <c r="AH1480" s="80">
        <f>IF(ISNUMBER(B1480),IF(AND(INDEX(CFG_WDAYS,WEEKDAY(INT(B1480),2))="Sí",IF(D1480="proMX",COUNTIFS(FER_F,INT(B1480),FER_NLP,"Sí"),COUNTIFS(FER_F,INT(B1480),FER_NLM,"Sí"))=0),1,0),0)</f>
        <v>0</v>
      </c>
      <c r="AI1480" s="80">
        <f>IF(AC1480=1,IF(AND(INDEX(CFG_WDAYS,WEEKDAY(INT(B1480)+1,2))="Sí",IF(D1480="proMX",COUNTIFS(FER_F,INT(B1480)+1,FER_NLP,"Sí"),COUNTIFS(FER_F,INT(B1480)+1,FER_NLM,"Sí"))=0),1,0),0)</f>
        <v>0</v>
      </c>
      <c r="AJ1480" s="80">
        <f>IF(AC1480=1,1440-Z1480,AD1480)</f>
        <v>0</v>
      </c>
      <c r="AK1480" s="80">
        <f>IF(AND(AB1480=1,AH1480=1),MAX(0,MIN(IF(AC1480=1,1440,AA1480),CFG_WEM)-MAX(Z1480,CFG_WSM)),0)</f>
        <v>0</v>
      </c>
      <c r="AL1480" s="80">
        <f>IF(AND(AC1480=1,AI1480=1),MAX(0,MIN(AA1480,CFG_WEM)-CFG_WSM),0)</f>
        <v>0</v>
      </c>
      <c r="AM1480" s="80">
        <f>AK1480+AL1480</f>
        <v>0</v>
      </c>
      <c r="AN1480" s="80">
        <f>IF(CFG_BRK="Proporcional",IF(AD1480=0,0,AF1480*AM1480/AD1480),IF(CFG_BRK="Extras primero",MIN(AM1480,MAX(0,AF1480-(AD1480-AM1480))),MIN(AF1480,AM1480)))</f>
        <v>0</v>
      </c>
      <c r="AO1480" s="80">
        <f>AF1480-AN1480</f>
        <v>0</v>
      </c>
      <c r="AP1480" s="80">
        <f>AM1480-AN1480</f>
        <v>0</v>
      </c>
      <c r="AQ1480" s="80">
        <f>AD1480-AM1480-AO1480</f>
        <v>0</v>
      </c>
      <c r="AR1480" s="80">
        <f>IF(AM1480=0,0,AK1480-AN1480*AK1480/AM1480)</f>
        <v>0</v>
      </c>
      <c r="AS1480" s="80">
        <f>IF(AD1480-AM1480=0,0,(AJ1480-AK1480)-AO1480*(AJ1480-AK1480)/(AD1480-AM1480))</f>
        <v>0</v>
      </c>
      <c r="AT1480" s="80" t="str">
        <f>IF(AC1480=1,INT(B1480)+1,"")</f>
        <v/>
      </c>
      <c r="AU1480" s="80">
        <f>IF(AND(D1480="proMX",R1480="Cancelled"),0,1)</f>
        <v>1</v>
      </c>
      <c r="AV1480" s="80">
        <f>IF(AND(AB1480=1,AU1480=1),IF(COUNTIFS($D$5:D1479,D1480,$B$5:B1479,B1480,$Z$5:Z1479,Z1480,$AA$5:AA1479,AA1480,$F$5:F1479,F1480&amp;"",$AU$5:AU1479,1)&gt;0,1,0),0)</f>
        <v>0</v>
      </c>
      <c r="AW1480" s="80" t="str">
        <f>IF(AB1480=1,INT(B1480)*1440+Z1480,"")</f>
        <v/>
      </c>
      <c r="AX1480" s="80" t="str">
        <f>IF(AB1480=1,AW1480+AD1480,"")</f>
        <v/>
      </c>
      <c r="AY1480" s="80">
        <f>IF(AND(AB1480=1,AV1480=0,AU1480=1),1,0)</f>
        <v>0</v>
      </c>
      <c r="AZ1480" s="80">
        <f>IF(AY1480=1,COUNTIFS(R_Emp,D1480,R_SAbs,"&lt;"&amp;AX1480,R_EAbs,"&gt;"&amp;AW1480,R_OKey,1)-1,0)</f>
        <v>0</v>
      </c>
      <c r="BA1480" s="80">
        <f>IF(AY1480=1,COUNTIFS(R_Emp,"&lt;&gt;"&amp;D1480,R_SAbs,"&lt;"&amp;AX1480,R_EAbs,"&gt;"&amp;AW1480,R_OKey,1),0)</f>
        <v>0</v>
      </c>
      <c r="BB1480" s="80">
        <f>IF(AND(AB1480=1,D1480="proMX"),IF(AND(MOD(Z1480,CFG_BLK)=0,MOD(AA1480,CFG_BLK)=0,MOD(AG1480,CFG_BLK)=0,AG1480&gt;0),1,0),1)</f>
        <v>1</v>
      </c>
      <c r="BC1480" s="80" t="str">
        <f>IF(Y1480=0,"",IF(NOT(ISNUMBER(B1480)),"Falta fecha o fecha inválida",IF(D1480="","Falta empresa",IF(AND(D1480&lt;&gt;"Malcolm",D1480&lt;&gt;"proMX"),"Empresa inválida",IF(OR(INT(B1480)&lt;CFG_PSTART,INT(B1480)&gt;CFG_PEND),"Fecha fuera del período",IF(OR(NOT(ISNUMBER(Z1480)),NOT(ISNUMBER(AA1480))),"Falta hora inicio/fin o formato inválido",IF(AB1480=0,"Hora inicio = hora fin",IF(AE1480&lt;0,"Descanso inválido",IF(AE1480&gt;=AD1480,"Descanso ≥ duración",IF(AV1480=1,"Registro duplicado",IF(AZ1480&gt;0,"Se superpone con otro registro "&amp;D1480,IF(BB1480=0,"inicio, fin y duración neta deben ser múltiplos de "&amp;CFG_BLK&amp;" min",""))))))))))))</f>
        <v/>
      </c>
      <c r="BD1480" s="80">
        <f>IF(AND(Y1480=1,BC1480=""),1,0)</f>
        <v>0</v>
      </c>
      <c r="BE1480" s="80">
        <f>IF(AND(BD1480=1,AU1480=1),1,0)</f>
        <v>0</v>
      </c>
      <c r="BF1480" s="80" t="str">
        <f>IF(AND(D1480="proMX",BD1480=1),IF(R1480="","Draft",R1480),"")</f>
        <v/>
      </c>
      <c r="BG1480" s="80">
        <f>IF(BD1480=1,ROUND(AG1480/60,6),0)</f>
        <v>0</v>
      </c>
      <c r="BH1480" s="80">
        <f>IF(BE1480=1,ROUND(AG1480/60,6),0)</f>
        <v>0</v>
      </c>
      <c r="BI1480" s="80">
        <f>IF(BE1480=1,ROUND(AP1480/60,6),0)</f>
        <v>0</v>
      </c>
      <c r="BJ1480" s="80">
        <f>IF(BE1480=1,ROUND(AQ1480/60,6),0)</f>
        <v>0</v>
      </c>
      <c r="BK1480" s="80">
        <f>IF(BE1480=1,ROUND((AR1480+AS1480)/60,6),0)</f>
        <v>0</v>
      </c>
      <c r="BL1480" s="80">
        <f>ROUND(BH1480-BK1480,6)</f>
        <v>0</v>
      </c>
      <c r="BM1480" s="80">
        <f>IF(BE1480=1,ROUND(AR1480/60,6),0)</f>
        <v>0</v>
      </c>
      <c r="BN1480" s="80">
        <f>ROUND(BI1480-BM1480,6)</f>
        <v>0</v>
      </c>
      <c r="BO1480" s="80">
        <f>IF(BE1480=1,ROUND(AS1480/60,6),0)</f>
        <v>0</v>
      </c>
      <c r="BP1480" s="80">
        <f>ROUND(BJ1480-BO1480,6)</f>
        <v>0</v>
      </c>
      <c r="BQ1480" s="80">
        <f>IF(BE1480=1,AW1480,0)</f>
        <v>0</v>
      </c>
      <c r="BR1480" s="80">
        <f>IF(BE1480=1,AX1480,0)</f>
        <v>0</v>
      </c>
      <c r="BS1480" s="80">
        <f>IF(AND(BE1480=1,D1480="Malcolm",BA1480&gt;0),MIN(BH1480,SUMPRODUCT((R_Emp="proMX")*(R_EN&gt;0)*((R_EN-(R_EN&gt;BR1480)*(R_EN-BR1480))&gt;(R_SN+(R_SN&lt;BQ1480)*(BQ1480-R_SN)))*((R_EN-(R_EN&gt;BR1480)*(R_EN-BR1480))-(R_SN+(R_SN&lt;BQ1480)*(BQ1480-R_SN))))/60),0)</f>
        <v>0</v>
      </c>
      <c r="BT1480" s="80">
        <f>IF(AND(BE1480=1,D1480="proMX"),ROUND(BI1480*CFG_RATE+BJ1480*CFG_OTRATE,6),0)</f>
        <v>0</v>
      </c>
      <c r="BU1480" s="80">
        <f>IF(AND(BD1480=1,D1480="proMX"),ROUND(AG1480/CFG_BLK,6),0)</f>
        <v>0</v>
      </c>
      <c r="BV1480" s="80" t="str">
        <f>IF(BF1480="Approved",IF(ISNUMBER(T1480),INT(T1480),INT(B1480)),"")</f>
        <v/>
      </c>
      <c r="BW1480" s="80">
        <f>IF(ISNUMBER(B1480),IF(DB_MON="Todos",1,IF(AND(INT(B1480)&gt;=DB_MS,INT(B1480)&lt;=DB_ME),1,0)),0)</f>
        <v>0</v>
      </c>
      <c r="BX1480" s="80">
        <f>IF(DB_PROJ="Todos",1,IF(E1480&amp;""=DB_PROJ&amp;"",1,0))</f>
        <v>1</v>
      </c>
      <c r="BY1480" s="80">
        <f>BW1480*BX1480</f>
        <v>0</v>
      </c>
      <c r="BZ1480" s="80" t="str">
        <f>IF(Y1480=1,F1480&amp;IF(AND(F1480&amp;""&lt;&gt;"",E1480&amp;""&lt;&gt;"")," · ","")&amp;E1480,"")</f>
        <v/>
      </c>
      <c r="CA1480" s="80" t="str">
        <f>IF(AND(BD1480=1,E1480&amp;""&lt;&gt;""),IF(COUNTIFS($E$5:E1479,E1480,$BD$5:BD1479,1)=0,MAX($CA$5:CA1479)+1,""),"")</f>
        <v/>
      </c>
      <c r="CB1480" s="80" t="str">
        <f>IF(AND(BE1480=1,D1480="Malcolm",E1480&amp;""&lt;&gt;""),IF(COUNTIFS($D$5:D1479,"Malcolm",$E$5:E1479,E1480,$BE$5:BE1479,1)=0,MAX($CB$5:CB1479)+1,""),"")</f>
        <v/>
      </c>
      <c r="CC1480" s="80" t="str">
        <f>IF(AND(BD1480=1,D1480="proMX",E1480&amp;""&lt;&gt;""),IF(COUNTIFS($D$5:D1479,"proMX",$E$5:E1479,E1480,$BD$5:BD1479,1)=0,MAX($CC$5:CC1479)+1,""),"")</f>
        <v/>
      </c>
      <c r="CD1480" s="80" t="str">
        <f>IF(AND(BE1480=1,D1480="Malcolm",F1480&amp;""&lt;&gt;""),IF(COUNTIFS($D$5:D1479,"Malcolm",$F$5:F1479,F1480,$BE$5:BE1479,1)=0,MAX($CD$5:CD1479)+1,""),"")</f>
        <v/>
      </c>
      <c r="CE1480" s="80" t="str">
        <f>IF(AND(BD1480=1,D1480="proMX",F1480&amp;""&lt;&gt;""),IF(COUNTIFS($D$5:D1479,"proMX",$F$5:F1479,F1480,$BD$5:BD1479,1)=0,MAX($CE$5:CE1479)+1,""),"")</f>
        <v/>
      </c>
      <c r="CF1480" s="80" t="str">
        <f>IF(AND(D1480="proMX",BD1480=1),IF(OR(BF1480="Draft",BF1480="Submitted",BF1480="Returned",BF1480="Recall Requested"),MAX($CF$5:CF1479)+1,""),"")</f>
        <v/>
      </c>
      <c r="CG1480" s="80">
        <f>IF(BD1480=0,0,IF(D1480="Malcolm",1,MATCH(BF1480,{"Draft","Submitted","Approved","Returned","Recall Requested","Cancelled"},0)+1))</f>
        <v>0</v>
      </c>
      <c r="CH1480" s="80">
        <f>IF(AND(BF1480="Submitted",ISNUMBER(V1480)),IF(V1480&gt;CFG_MAXD,1,0),0)</f>
        <v>0</v>
      </c>
    </row>
    <row r="1481">
      <c r="A1481" s="71" t="str">
        <f>IF(Y1481=1,ROW()-5,"")</f>
        <v/>
      </c>
      <c r="B1481" s="72" t="n"/>
      <c r="C1481" s="71" t="str">
        <f>IF(ISNUMBER(B1481),CHOOSE(WEEKDAY(B1481,2),"Lun","Mar","Mié","Jue","Vie","Sáb","Dom"),"")</f>
        <v/>
      </c>
      <c r="D1481" s="73" t="n"/>
      <c r="E1481" s="74" t="n"/>
      <c r="F1481" s="74" t="n"/>
      <c r="G1481" s="74" t="n"/>
      <c r="H1481" s="75" t="n"/>
      <c r="I1481" s="75" t="n"/>
      <c r="J1481" s="76" t="n"/>
      <c r="K1481" s="77" t="str">
        <f>IF(AB1481=1,ROUND(AG1481/60,4),"")</f>
        <v/>
      </c>
      <c r="L1481" s="77" t="str">
        <f>IF(BD1481=1,ROUND(AP1481/60,4),"")</f>
        <v/>
      </c>
      <c r="M1481" s="77" t="str">
        <f>IF(BD1481=1,ROUND(AQ1481/60,4),"")</f>
        <v/>
      </c>
      <c r="N1481" s="71" t="str">
        <f>IF(AND(D1481="proMX",AB1481=1),ROUND(AG1481/CFG_BLK,2),"")</f>
        <v/>
      </c>
      <c r="O1481" s="77" t="str">
        <f>IF(D1481="proMX",IF(BD1481=1,ROUND(AG1481/60,4),0),"")</f>
        <v/>
      </c>
      <c r="P1481" s="78" t="str">
        <f>IF(Y1481=0,"",IF(BD1481=1,"OK",IF(D1481="proMX","Revisar bloques: ","Revisar: ")&amp;BC1481))</f>
        <v/>
      </c>
      <c r="Q1481" s="78" t="str">
        <f>IF(NOT(ISNUMBER(B1481)),"",IF(COUNTIFS(FER_F,INT(B1481))&gt;0,"Feriado"&amp;IF(AH1481=1," (laborable)"," (no laborable)"),IF(AH1481=1,"Laborable",IF(WEEKDAY(B1481,2)&gt;5,"Fin de semana","No laborable"))))</f>
        <v/>
      </c>
      <c r="R1481" s="73" t="n"/>
      <c r="S1481" s="72" t="n"/>
      <c r="T1481" s="72" t="n"/>
      <c r="U1481" s="74" t="n"/>
      <c r="V1481" s="79" t="str">
        <f>IF(AND(D1481="proMX",OR(R1481="Submitted",R1481="Recall Requested"),ISNUMBER(S1481)),CFG_TODAY-INT(S1481),"")</f>
        <v/>
      </c>
      <c r="W1481" s="78" t="str">
        <f>IF(BD1481=0,"",IF(BA1481&gt;0,"⚠ Se superpone con un registro de la otra empresa",IF(D1481="Malcolm",IF(COUNTA(R1481,S1481,T1481)&gt;0,"Estado/fechas proMX se ignoran en Malcolm",""),IF(BF1481="Cancelled","Cancelado: excluido de totales",IF(R1481="","Sin estado: se trata como Draft",IF(BF1481="Submitted",IF(ISNUMBER(V1481),IF(V1481&gt;CFG_MAXD,"⚠ "&amp;V1481&amp;" días en Submitted (máx. "&amp;CFG_MAXD&amp;")",""),"Falta fecha de envío"),IF(BF1481="Returned","⚠ Devuelto: corregir y reenviar",IF(BF1481="Recall Requested","Retirada solicitada: pendiente",IF(AND(BF1481="Approved",NOT(ISNUMBER(T1481))),"Falta fecha de aprobación",IF(AND(ISNUMBER(S1481),ISNUMBER(T1481),T1481&lt;S1481),"Aprobación anterior al envío","")))))))))</f>
        <v/>
      </c>
      <c r="Y1481" s="80">
        <f>IF(COUNTA(B1481,D1481,E1481,F1481,G1481,H1481,I1481,J1481,R1481,S1481,T1481)&gt;0,1,0)</f>
        <v>0</v>
      </c>
      <c r="Z1481" s="80" t="str">
        <f>IF(AND(ISNUMBER(H1481),H1481&gt;=0,H1481&lt;1),ROUND(H1481*1440,0),"")</f>
        <v/>
      </c>
      <c r="AA1481" s="80" t="str">
        <f>IF(AND(ISNUMBER(I1481),I1481&gt;=0,I1481&lt;1),ROUND(I1481*1440,0),"")</f>
        <v/>
      </c>
      <c r="AB1481" s="80">
        <f>IF(AND(ISNUMBER(B1481),D1481&lt;&gt;"",ISNUMBER(Z1481),ISNUMBER(AA1481)),IF(Z1481=AA1481,0,1),0)</f>
        <v>0</v>
      </c>
      <c r="AC1481" s="80">
        <f>IF(AB1481=1,IF(AA1481&lt;Z1481,1,0),0)</f>
        <v>0</v>
      </c>
      <c r="AD1481" s="80">
        <f>IF(AB1481=1,IF(AC1481=1,1440-Z1481+AA1481,AA1481-Z1481),0)</f>
        <v>0</v>
      </c>
      <c r="AE1481" s="80">
        <f>IF(J1481="",0,IF(ISNUMBER(J1481),J1481,-1))</f>
        <v>0</v>
      </c>
      <c r="AF1481" s="80">
        <f>MIN(MAX(0,AE1481),AD1481)</f>
        <v>0</v>
      </c>
      <c r="AG1481" s="80">
        <f>MAX(0,AD1481-MAX(0,AE1481))</f>
        <v>0</v>
      </c>
      <c r="AH1481" s="80">
        <f>IF(ISNUMBER(B1481),IF(AND(INDEX(CFG_WDAYS,WEEKDAY(INT(B1481),2))="Sí",IF(D1481="proMX",COUNTIFS(FER_F,INT(B1481),FER_NLP,"Sí"),COUNTIFS(FER_F,INT(B1481),FER_NLM,"Sí"))=0),1,0),0)</f>
        <v>0</v>
      </c>
      <c r="AI1481" s="80">
        <f>IF(AC1481=1,IF(AND(INDEX(CFG_WDAYS,WEEKDAY(INT(B1481)+1,2))="Sí",IF(D1481="proMX",COUNTIFS(FER_F,INT(B1481)+1,FER_NLP,"Sí"),COUNTIFS(FER_F,INT(B1481)+1,FER_NLM,"Sí"))=0),1,0),0)</f>
        <v>0</v>
      </c>
      <c r="AJ1481" s="80">
        <f>IF(AC1481=1,1440-Z1481,AD1481)</f>
        <v>0</v>
      </c>
      <c r="AK1481" s="80">
        <f>IF(AND(AB1481=1,AH1481=1),MAX(0,MIN(IF(AC1481=1,1440,AA1481),CFG_WEM)-MAX(Z1481,CFG_WSM)),0)</f>
        <v>0</v>
      </c>
      <c r="AL1481" s="80">
        <f>IF(AND(AC1481=1,AI1481=1),MAX(0,MIN(AA1481,CFG_WEM)-CFG_WSM),0)</f>
        <v>0</v>
      </c>
      <c r="AM1481" s="80">
        <f>AK1481+AL1481</f>
        <v>0</v>
      </c>
      <c r="AN1481" s="80">
        <f>IF(CFG_BRK="Proporcional",IF(AD1481=0,0,AF1481*AM1481/AD1481),IF(CFG_BRK="Extras primero",MIN(AM1481,MAX(0,AF1481-(AD1481-AM1481))),MIN(AF1481,AM1481)))</f>
        <v>0</v>
      </c>
      <c r="AO1481" s="80">
        <f>AF1481-AN1481</f>
        <v>0</v>
      </c>
      <c r="AP1481" s="80">
        <f>AM1481-AN1481</f>
        <v>0</v>
      </c>
      <c r="AQ1481" s="80">
        <f>AD1481-AM1481-AO1481</f>
        <v>0</v>
      </c>
      <c r="AR1481" s="80">
        <f>IF(AM1481=0,0,AK1481-AN1481*AK1481/AM1481)</f>
        <v>0</v>
      </c>
      <c r="AS1481" s="80">
        <f>IF(AD1481-AM1481=0,0,(AJ1481-AK1481)-AO1481*(AJ1481-AK1481)/(AD1481-AM1481))</f>
        <v>0</v>
      </c>
      <c r="AT1481" s="80" t="str">
        <f>IF(AC1481=1,INT(B1481)+1,"")</f>
        <v/>
      </c>
      <c r="AU1481" s="80">
        <f>IF(AND(D1481="proMX",R1481="Cancelled"),0,1)</f>
        <v>1</v>
      </c>
      <c r="AV1481" s="80">
        <f>IF(AND(AB1481=1,AU1481=1),IF(COUNTIFS($D$5:D1480,D1481,$B$5:B1480,B1481,$Z$5:Z1480,Z1481,$AA$5:AA1480,AA1481,$F$5:F1480,F1481&amp;"",$AU$5:AU1480,1)&gt;0,1,0),0)</f>
        <v>0</v>
      </c>
      <c r="AW1481" s="80" t="str">
        <f>IF(AB1481=1,INT(B1481)*1440+Z1481,"")</f>
        <v/>
      </c>
      <c r="AX1481" s="80" t="str">
        <f>IF(AB1481=1,AW1481+AD1481,"")</f>
        <v/>
      </c>
      <c r="AY1481" s="80">
        <f>IF(AND(AB1481=1,AV1481=0,AU1481=1),1,0)</f>
        <v>0</v>
      </c>
      <c r="AZ1481" s="80">
        <f>IF(AY1481=1,COUNTIFS(R_Emp,D1481,R_SAbs,"&lt;"&amp;AX1481,R_EAbs,"&gt;"&amp;AW1481,R_OKey,1)-1,0)</f>
        <v>0</v>
      </c>
      <c r="BA1481" s="80">
        <f>IF(AY1481=1,COUNTIFS(R_Emp,"&lt;&gt;"&amp;D1481,R_SAbs,"&lt;"&amp;AX1481,R_EAbs,"&gt;"&amp;AW1481,R_OKey,1),0)</f>
        <v>0</v>
      </c>
      <c r="BB1481" s="80">
        <f>IF(AND(AB1481=1,D1481="proMX"),IF(AND(MOD(Z1481,CFG_BLK)=0,MOD(AA1481,CFG_BLK)=0,MOD(AG1481,CFG_BLK)=0,AG1481&gt;0),1,0),1)</f>
        <v>1</v>
      </c>
      <c r="BC1481" s="80" t="str">
        <f>IF(Y1481=0,"",IF(NOT(ISNUMBER(B1481)),"Falta fecha o fecha inválida",IF(D1481="","Falta empresa",IF(AND(D1481&lt;&gt;"Malcolm",D1481&lt;&gt;"proMX"),"Empresa inválida",IF(OR(INT(B1481)&lt;CFG_PSTART,INT(B1481)&gt;CFG_PEND),"Fecha fuera del período",IF(OR(NOT(ISNUMBER(Z1481)),NOT(ISNUMBER(AA1481))),"Falta hora inicio/fin o formato inválido",IF(AB1481=0,"Hora inicio = hora fin",IF(AE1481&lt;0,"Descanso inválido",IF(AE1481&gt;=AD1481,"Descanso ≥ duración",IF(AV1481=1,"Registro duplicado",IF(AZ1481&gt;0,"Se superpone con otro registro "&amp;D1481,IF(BB1481=0,"inicio, fin y duración neta deben ser múltiplos de "&amp;CFG_BLK&amp;" min",""))))))))))))</f>
        <v/>
      </c>
      <c r="BD1481" s="80">
        <f>IF(AND(Y1481=1,BC1481=""),1,0)</f>
        <v>0</v>
      </c>
      <c r="BE1481" s="80">
        <f>IF(AND(BD1481=1,AU1481=1),1,0)</f>
        <v>0</v>
      </c>
      <c r="BF1481" s="80" t="str">
        <f>IF(AND(D1481="proMX",BD1481=1),IF(R1481="","Draft",R1481),"")</f>
        <v/>
      </c>
      <c r="BG1481" s="80">
        <f>IF(BD1481=1,ROUND(AG1481/60,6),0)</f>
        <v>0</v>
      </c>
      <c r="BH1481" s="80">
        <f>IF(BE1481=1,ROUND(AG1481/60,6),0)</f>
        <v>0</v>
      </c>
      <c r="BI1481" s="80">
        <f>IF(BE1481=1,ROUND(AP1481/60,6),0)</f>
        <v>0</v>
      </c>
      <c r="BJ1481" s="80">
        <f>IF(BE1481=1,ROUND(AQ1481/60,6),0)</f>
        <v>0</v>
      </c>
      <c r="BK1481" s="80">
        <f>IF(BE1481=1,ROUND((AR1481+AS1481)/60,6),0)</f>
        <v>0</v>
      </c>
      <c r="BL1481" s="80">
        <f>ROUND(BH1481-BK1481,6)</f>
        <v>0</v>
      </c>
      <c r="BM1481" s="80">
        <f>IF(BE1481=1,ROUND(AR1481/60,6),0)</f>
        <v>0</v>
      </c>
      <c r="BN1481" s="80">
        <f>ROUND(BI1481-BM1481,6)</f>
        <v>0</v>
      </c>
      <c r="BO1481" s="80">
        <f>IF(BE1481=1,ROUND(AS1481/60,6),0)</f>
        <v>0</v>
      </c>
      <c r="BP1481" s="80">
        <f>ROUND(BJ1481-BO1481,6)</f>
        <v>0</v>
      </c>
      <c r="BQ1481" s="80">
        <f>IF(BE1481=1,AW1481,0)</f>
        <v>0</v>
      </c>
      <c r="BR1481" s="80">
        <f>IF(BE1481=1,AX1481,0)</f>
        <v>0</v>
      </c>
      <c r="BS1481" s="80">
        <f>IF(AND(BE1481=1,D1481="Malcolm",BA1481&gt;0),MIN(BH1481,SUMPRODUCT((R_Emp="proMX")*(R_EN&gt;0)*((R_EN-(R_EN&gt;BR1481)*(R_EN-BR1481))&gt;(R_SN+(R_SN&lt;BQ1481)*(BQ1481-R_SN)))*((R_EN-(R_EN&gt;BR1481)*(R_EN-BR1481))-(R_SN+(R_SN&lt;BQ1481)*(BQ1481-R_SN))))/60),0)</f>
        <v>0</v>
      </c>
      <c r="BT1481" s="80">
        <f>IF(AND(BE1481=1,D1481="proMX"),ROUND(BI1481*CFG_RATE+BJ1481*CFG_OTRATE,6),0)</f>
        <v>0</v>
      </c>
      <c r="BU1481" s="80">
        <f>IF(AND(BD1481=1,D1481="proMX"),ROUND(AG1481/CFG_BLK,6),0)</f>
        <v>0</v>
      </c>
      <c r="BV1481" s="80" t="str">
        <f>IF(BF1481="Approved",IF(ISNUMBER(T1481),INT(T1481),INT(B1481)),"")</f>
        <v/>
      </c>
      <c r="BW1481" s="80">
        <f>IF(ISNUMBER(B1481),IF(DB_MON="Todos",1,IF(AND(INT(B1481)&gt;=DB_MS,INT(B1481)&lt;=DB_ME),1,0)),0)</f>
        <v>0</v>
      </c>
      <c r="BX1481" s="80">
        <f>IF(DB_PROJ="Todos",1,IF(E1481&amp;""=DB_PROJ&amp;"",1,0))</f>
        <v>1</v>
      </c>
      <c r="BY1481" s="80">
        <f>BW1481*BX1481</f>
        <v>0</v>
      </c>
      <c r="BZ1481" s="80" t="str">
        <f>IF(Y1481=1,F1481&amp;IF(AND(F1481&amp;""&lt;&gt;"",E1481&amp;""&lt;&gt;"")," · ","")&amp;E1481,"")</f>
        <v/>
      </c>
      <c r="CA1481" s="80" t="str">
        <f>IF(AND(BD1481=1,E1481&amp;""&lt;&gt;""),IF(COUNTIFS($E$5:E1480,E1481,$BD$5:BD1480,1)=0,MAX($CA$5:CA1480)+1,""),"")</f>
        <v/>
      </c>
      <c r="CB1481" s="80" t="str">
        <f>IF(AND(BE1481=1,D1481="Malcolm",E1481&amp;""&lt;&gt;""),IF(COUNTIFS($D$5:D1480,"Malcolm",$E$5:E1480,E1481,$BE$5:BE1480,1)=0,MAX($CB$5:CB1480)+1,""),"")</f>
        <v/>
      </c>
      <c r="CC1481" s="80" t="str">
        <f>IF(AND(BD1481=1,D1481="proMX",E1481&amp;""&lt;&gt;""),IF(COUNTIFS($D$5:D1480,"proMX",$E$5:E1480,E1481,$BD$5:BD1480,1)=0,MAX($CC$5:CC1480)+1,""),"")</f>
        <v/>
      </c>
      <c r="CD1481" s="80" t="str">
        <f>IF(AND(BE1481=1,D1481="Malcolm",F1481&amp;""&lt;&gt;""),IF(COUNTIFS($D$5:D1480,"Malcolm",$F$5:F1480,F1481,$BE$5:BE1480,1)=0,MAX($CD$5:CD1480)+1,""),"")</f>
        <v/>
      </c>
      <c r="CE1481" s="80" t="str">
        <f>IF(AND(BD1481=1,D1481="proMX",F1481&amp;""&lt;&gt;""),IF(COUNTIFS($D$5:D1480,"proMX",$F$5:F1480,F1481,$BD$5:BD1480,1)=0,MAX($CE$5:CE1480)+1,""),"")</f>
        <v/>
      </c>
      <c r="CF1481" s="80" t="str">
        <f>IF(AND(D1481="proMX",BD1481=1),IF(OR(BF1481="Draft",BF1481="Submitted",BF1481="Returned",BF1481="Recall Requested"),MAX($CF$5:CF1480)+1,""),"")</f>
        <v/>
      </c>
      <c r="CG1481" s="80">
        <f>IF(BD1481=0,0,IF(D1481="Malcolm",1,MATCH(BF1481,{"Draft","Submitted","Approved","Returned","Recall Requested","Cancelled"},0)+1))</f>
        <v>0</v>
      </c>
      <c r="CH1481" s="80">
        <f>IF(AND(BF1481="Submitted",ISNUMBER(V1481)),IF(V1481&gt;CFG_MAXD,1,0),0)</f>
        <v>0</v>
      </c>
    </row>
    <row r="1482">
      <c r="A1482" s="71" t="str">
        <f>IF(Y1482=1,ROW()-5,"")</f>
        <v/>
      </c>
      <c r="B1482" s="72" t="n"/>
      <c r="C1482" s="71" t="str">
        <f>IF(ISNUMBER(B1482),CHOOSE(WEEKDAY(B1482,2),"Lun","Mar","Mié","Jue","Vie","Sáb","Dom"),"")</f>
        <v/>
      </c>
      <c r="D1482" s="73" t="n"/>
      <c r="E1482" s="74" t="n"/>
      <c r="F1482" s="74" t="n"/>
      <c r="G1482" s="74" t="n"/>
      <c r="H1482" s="75" t="n"/>
      <c r="I1482" s="75" t="n"/>
      <c r="J1482" s="76" t="n"/>
      <c r="K1482" s="77" t="str">
        <f>IF(AB1482=1,ROUND(AG1482/60,4),"")</f>
        <v/>
      </c>
      <c r="L1482" s="77" t="str">
        <f>IF(BD1482=1,ROUND(AP1482/60,4),"")</f>
        <v/>
      </c>
      <c r="M1482" s="77" t="str">
        <f>IF(BD1482=1,ROUND(AQ1482/60,4),"")</f>
        <v/>
      </c>
      <c r="N1482" s="71" t="str">
        <f>IF(AND(D1482="proMX",AB1482=1),ROUND(AG1482/CFG_BLK,2),"")</f>
        <v/>
      </c>
      <c r="O1482" s="77" t="str">
        <f>IF(D1482="proMX",IF(BD1482=1,ROUND(AG1482/60,4),0),"")</f>
        <v/>
      </c>
      <c r="P1482" s="78" t="str">
        <f>IF(Y1482=0,"",IF(BD1482=1,"OK",IF(D1482="proMX","Revisar bloques: ","Revisar: ")&amp;BC1482))</f>
        <v/>
      </c>
      <c r="Q1482" s="78" t="str">
        <f>IF(NOT(ISNUMBER(B1482)),"",IF(COUNTIFS(FER_F,INT(B1482))&gt;0,"Feriado"&amp;IF(AH1482=1," (laborable)"," (no laborable)"),IF(AH1482=1,"Laborable",IF(WEEKDAY(B1482,2)&gt;5,"Fin de semana","No laborable"))))</f>
        <v/>
      </c>
      <c r="R1482" s="73" t="n"/>
      <c r="S1482" s="72" t="n"/>
      <c r="T1482" s="72" t="n"/>
      <c r="U1482" s="74" t="n"/>
      <c r="V1482" s="79" t="str">
        <f>IF(AND(D1482="proMX",OR(R1482="Submitted",R1482="Recall Requested"),ISNUMBER(S1482)),CFG_TODAY-INT(S1482),"")</f>
        <v/>
      </c>
      <c r="W1482" s="78" t="str">
        <f>IF(BD1482=0,"",IF(BA1482&gt;0,"⚠ Se superpone con un registro de la otra empresa",IF(D1482="Malcolm",IF(COUNTA(R1482,S1482,T1482)&gt;0,"Estado/fechas proMX se ignoran en Malcolm",""),IF(BF1482="Cancelled","Cancelado: excluido de totales",IF(R1482="","Sin estado: se trata como Draft",IF(BF1482="Submitted",IF(ISNUMBER(V1482),IF(V1482&gt;CFG_MAXD,"⚠ "&amp;V1482&amp;" días en Submitted (máx. "&amp;CFG_MAXD&amp;")",""),"Falta fecha de envío"),IF(BF1482="Returned","⚠ Devuelto: corregir y reenviar",IF(BF1482="Recall Requested","Retirada solicitada: pendiente",IF(AND(BF1482="Approved",NOT(ISNUMBER(T1482))),"Falta fecha de aprobación",IF(AND(ISNUMBER(S1482),ISNUMBER(T1482),T1482&lt;S1482),"Aprobación anterior al envío","")))))))))</f>
        <v/>
      </c>
      <c r="Y1482" s="80">
        <f>IF(COUNTA(B1482,D1482,E1482,F1482,G1482,H1482,I1482,J1482,R1482,S1482,T1482)&gt;0,1,0)</f>
        <v>0</v>
      </c>
      <c r="Z1482" s="80" t="str">
        <f>IF(AND(ISNUMBER(H1482),H1482&gt;=0,H1482&lt;1),ROUND(H1482*1440,0),"")</f>
        <v/>
      </c>
      <c r="AA1482" s="80" t="str">
        <f>IF(AND(ISNUMBER(I1482),I1482&gt;=0,I1482&lt;1),ROUND(I1482*1440,0),"")</f>
        <v/>
      </c>
      <c r="AB1482" s="80">
        <f>IF(AND(ISNUMBER(B1482),D1482&lt;&gt;"",ISNUMBER(Z1482),ISNUMBER(AA1482)),IF(Z1482=AA1482,0,1),0)</f>
        <v>0</v>
      </c>
      <c r="AC1482" s="80">
        <f>IF(AB1482=1,IF(AA1482&lt;Z1482,1,0),0)</f>
        <v>0</v>
      </c>
      <c r="AD1482" s="80">
        <f>IF(AB1482=1,IF(AC1482=1,1440-Z1482+AA1482,AA1482-Z1482),0)</f>
        <v>0</v>
      </c>
      <c r="AE1482" s="80">
        <f>IF(J1482="",0,IF(ISNUMBER(J1482),J1482,-1))</f>
        <v>0</v>
      </c>
      <c r="AF1482" s="80">
        <f>MIN(MAX(0,AE1482),AD1482)</f>
        <v>0</v>
      </c>
      <c r="AG1482" s="80">
        <f>MAX(0,AD1482-MAX(0,AE1482))</f>
        <v>0</v>
      </c>
      <c r="AH1482" s="80">
        <f>IF(ISNUMBER(B1482),IF(AND(INDEX(CFG_WDAYS,WEEKDAY(INT(B1482),2))="Sí",IF(D1482="proMX",COUNTIFS(FER_F,INT(B1482),FER_NLP,"Sí"),COUNTIFS(FER_F,INT(B1482),FER_NLM,"Sí"))=0),1,0),0)</f>
        <v>0</v>
      </c>
      <c r="AI1482" s="80">
        <f>IF(AC1482=1,IF(AND(INDEX(CFG_WDAYS,WEEKDAY(INT(B1482)+1,2))="Sí",IF(D1482="proMX",COUNTIFS(FER_F,INT(B1482)+1,FER_NLP,"Sí"),COUNTIFS(FER_F,INT(B1482)+1,FER_NLM,"Sí"))=0),1,0),0)</f>
        <v>0</v>
      </c>
      <c r="AJ1482" s="80">
        <f>IF(AC1482=1,1440-Z1482,AD1482)</f>
        <v>0</v>
      </c>
      <c r="AK1482" s="80">
        <f>IF(AND(AB1482=1,AH1482=1),MAX(0,MIN(IF(AC1482=1,1440,AA1482),CFG_WEM)-MAX(Z1482,CFG_WSM)),0)</f>
        <v>0</v>
      </c>
      <c r="AL1482" s="80">
        <f>IF(AND(AC1482=1,AI1482=1),MAX(0,MIN(AA1482,CFG_WEM)-CFG_WSM),0)</f>
        <v>0</v>
      </c>
      <c r="AM1482" s="80">
        <f>AK1482+AL1482</f>
        <v>0</v>
      </c>
      <c r="AN1482" s="80">
        <f>IF(CFG_BRK="Proporcional",IF(AD1482=0,0,AF1482*AM1482/AD1482),IF(CFG_BRK="Extras primero",MIN(AM1482,MAX(0,AF1482-(AD1482-AM1482))),MIN(AF1482,AM1482)))</f>
        <v>0</v>
      </c>
      <c r="AO1482" s="80">
        <f>AF1482-AN1482</f>
        <v>0</v>
      </c>
      <c r="AP1482" s="80">
        <f>AM1482-AN1482</f>
        <v>0</v>
      </c>
      <c r="AQ1482" s="80">
        <f>AD1482-AM1482-AO1482</f>
        <v>0</v>
      </c>
      <c r="AR1482" s="80">
        <f>IF(AM1482=0,0,AK1482-AN1482*AK1482/AM1482)</f>
        <v>0</v>
      </c>
      <c r="AS1482" s="80">
        <f>IF(AD1482-AM1482=0,0,(AJ1482-AK1482)-AO1482*(AJ1482-AK1482)/(AD1482-AM1482))</f>
        <v>0</v>
      </c>
      <c r="AT1482" s="80" t="str">
        <f>IF(AC1482=1,INT(B1482)+1,"")</f>
        <v/>
      </c>
      <c r="AU1482" s="80">
        <f>IF(AND(D1482="proMX",R1482="Cancelled"),0,1)</f>
        <v>1</v>
      </c>
      <c r="AV1482" s="80">
        <f>IF(AND(AB1482=1,AU1482=1),IF(COUNTIFS($D$5:D1481,D1482,$B$5:B1481,B1482,$Z$5:Z1481,Z1482,$AA$5:AA1481,AA1482,$F$5:F1481,F1482&amp;"",$AU$5:AU1481,1)&gt;0,1,0),0)</f>
        <v>0</v>
      </c>
      <c r="AW1482" s="80" t="str">
        <f>IF(AB1482=1,INT(B1482)*1440+Z1482,"")</f>
        <v/>
      </c>
      <c r="AX1482" s="80" t="str">
        <f>IF(AB1482=1,AW1482+AD1482,"")</f>
        <v/>
      </c>
      <c r="AY1482" s="80">
        <f>IF(AND(AB1482=1,AV1482=0,AU1482=1),1,0)</f>
        <v>0</v>
      </c>
      <c r="AZ1482" s="80">
        <f>IF(AY1482=1,COUNTIFS(R_Emp,D1482,R_SAbs,"&lt;"&amp;AX1482,R_EAbs,"&gt;"&amp;AW1482,R_OKey,1)-1,0)</f>
        <v>0</v>
      </c>
      <c r="BA1482" s="80">
        <f>IF(AY1482=1,COUNTIFS(R_Emp,"&lt;&gt;"&amp;D1482,R_SAbs,"&lt;"&amp;AX1482,R_EAbs,"&gt;"&amp;AW1482,R_OKey,1),0)</f>
        <v>0</v>
      </c>
      <c r="BB1482" s="80">
        <f>IF(AND(AB1482=1,D1482="proMX"),IF(AND(MOD(Z1482,CFG_BLK)=0,MOD(AA1482,CFG_BLK)=0,MOD(AG1482,CFG_BLK)=0,AG1482&gt;0),1,0),1)</f>
        <v>1</v>
      </c>
      <c r="BC1482" s="80" t="str">
        <f>IF(Y1482=0,"",IF(NOT(ISNUMBER(B1482)),"Falta fecha o fecha inválida",IF(D1482="","Falta empresa",IF(AND(D1482&lt;&gt;"Malcolm",D1482&lt;&gt;"proMX"),"Empresa inválida",IF(OR(INT(B1482)&lt;CFG_PSTART,INT(B1482)&gt;CFG_PEND),"Fecha fuera del período",IF(OR(NOT(ISNUMBER(Z1482)),NOT(ISNUMBER(AA1482))),"Falta hora inicio/fin o formato inválido",IF(AB1482=0,"Hora inicio = hora fin",IF(AE1482&lt;0,"Descanso inválido",IF(AE1482&gt;=AD1482,"Descanso ≥ duración",IF(AV1482=1,"Registro duplicado",IF(AZ1482&gt;0,"Se superpone con otro registro "&amp;D1482,IF(BB1482=0,"inicio, fin y duración neta deben ser múltiplos de "&amp;CFG_BLK&amp;" min",""))))))))))))</f>
        <v/>
      </c>
      <c r="BD1482" s="80">
        <f>IF(AND(Y1482=1,BC1482=""),1,0)</f>
        <v>0</v>
      </c>
      <c r="BE1482" s="80">
        <f>IF(AND(BD1482=1,AU1482=1),1,0)</f>
        <v>0</v>
      </c>
      <c r="BF1482" s="80" t="str">
        <f>IF(AND(D1482="proMX",BD1482=1),IF(R1482="","Draft",R1482),"")</f>
        <v/>
      </c>
      <c r="BG1482" s="80">
        <f>IF(BD1482=1,ROUND(AG1482/60,6),0)</f>
        <v>0</v>
      </c>
      <c r="BH1482" s="80">
        <f>IF(BE1482=1,ROUND(AG1482/60,6),0)</f>
        <v>0</v>
      </c>
      <c r="BI1482" s="80">
        <f>IF(BE1482=1,ROUND(AP1482/60,6),0)</f>
        <v>0</v>
      </c>
      <c r="BJ1482" s="80">
        <f>IF(BE1482=1,ROUND(AQ1482/60,6),0)</f>
        <v>0</v>
      </c>
      <c r="BK1482" s="80">
        <f>IF(BE1482=1,ROUND((AR1482+AS1482)/60,6),0)</f>
        <v>0</v>
      </c>
      <c r="BL1482" s="80">
        <f>ROUND(BH1482-BK1482,6)</f>
        <v>0</v>
      </c>
      <c r="BM1482" s="80">
        <f>IF(BE1482=1,ROUND(AR1482/60,6),0)</f>
        <v>0</v>
      </c>
      <c r="BN1482" s="80">
        <f>ROUND(BI1482-BM1482,6)</f>
        <v>0</v>
      </c>
      <c r="BO1482" s="80">
        <f>IF(BE1482=1,ROUND(AS1482/60,6),0)</f>
        <v>0</v>
      </c>
      <c r="BP1482" s="80">
        <f>ROUND(BJ1482-BO1482,6)</f>
        <v>0</v>
      </c>
      <c r="BQ1482" s="80">
        <f>IF(BE1482=1,AW1482,0)</f>
        <v>0</v>
      </c>
      <c r="BR1482" s="80">
        <f>IF(BE1482=1,AX1482,0)</f>
        <v>0</v>
      </c>
      <c r="BS1482" s="80">
        <f>IF(AND(BE1482=1,D1482="Malcolm",BA1482&gt;0),MIN(BH1482,SUMPRODUCT((R_Emp="proMX")*(R_EN&gt;0)*((R_EN-(R_EN&gt;BR1482)*(R_EN-BR1482))&gt;(R_SN+(R_SN&lt;BQ1482)*(BQ1482-R_SN)))*((R_EN-(R_EN&gt;BR1482)*(R_EN-BR1482))-(R_SN+(R_SN&lt;BQ1482)*(BQ1482-R_SN))))/60),0)</f>
        <v>0</v>
      </c>
      <c r="BT1482" s="80">
        <f>IF(AND(BE1482=1,D1482="proMX"),ROUND(BI1482*CFG_RATE+BJ1482*CFG_OTRATE,6),0)</f>
        <v>0</v>
      </c>
      <c r="BU1482" s="80">
        <f>IF(AND(BD1482=1,D1482="proMX"),ROUND(AG1482/CFG_BLK,6),0)</f>
        <v>0</v>
      </c>
      <c r="BV1482" s="80" t="str">
        <f>IF(BF1482="Approved",IF(ISNUMBER(T1482),INT(T1482),INT(B1482)),"")</f>
        <v/>
      </c>
      <c r="BW1482" s="80">
        <f>IF(ISNUMBER(B1482),IF(DB_MON="Todos",1,IF(AND(INT(B1482)&gt;=DB_MS,INT(B1482)&lt;=DB_ME),1,0)),0)</f>
        <v>0</v>
      </c>
      <c r="BX1482" s="80">
        <f>IF(DB_PROJ="Todos",1,IF(E1482&amp;""=DB_PROJ&amp;"",1,0))</f>
        <v>1</v>
      </c>
      <c r="BY1482" s="80">
        <f>BW1482*BX1482</f>
        <v>0</v>
      </c>
      <c r="BZ1482" s="80" t="str">
        <f>IF(Y1482=1,F1482&amp;IF(AND(F1482&amp;""&lt;&gt;"",E1482&amp;""&lt;&gt;"")," · ","")&amp;E1482,"")</f>
        <v/>
      </c>
      <c r="CA1482" s="80" t="str">
        <f>IF(AND(BD1482=1,E1482&amp;""&lt;&gt;""),IF(COUNTIFS($E$5:E1481,E1482,$BD$5:BD1481,1)=0,MAX($CA$5:CA1481)+1,""),"")</f>
        <v/>
      </c>
      <c r="CB1482" s="80" t="str">
        <f>IF(AND(BE1482=1,D1482="Malcolm",E1482&amp;""&lt;&gt;""),IF(COUNTIFS($D$5:D1481,"Malcolm",$E$5:E1481,E1482,$BE$5:BE1481,1)=0,MAX($CB$5:CB1481)+1,""),"")</f>
        <v/>
      </c>
      <c r="CC1482" s="80" t="str">
        <f>IF(AND(BD1482=1,D1482="proMX",E1482&amp;""&lt;&gt;""),IF(COUNTIFS($D$5:D1481,"proMX",$E$5:E1481,E1482,$BD$5:BD1481,1)=0,MAX($CC$5:CC1481)+1,""),"")</f>
        <v/>
      </c>
      <c r="CD1482" s="80" t="str">
        <f>IF(AND(BE1482=1,D1482="Malcolm",F1482&amp;""&lt;&gt;""),IF(COUNTIFS($D$5:D1481,"Malcolm",$F$5:F1481,F1482,$BE$5:BE1481,1)=0,MAX($CD$5:CD1481)+1,""),"")</f>
        <v/>
      </c>
      <c r="CE1482" s="80" t="str">
        <f>IF(AND(BD1482=1,D1482="proMX",F1482&amp;""&lt;&gt;""),IF(COUNTIFS($D$5:D1481,"proMX",$F$5:F1481,F1482,$BD$5:BD1481,1)=0,MAX($CE$5:CE1481)+1,""),"")</f>
        <v/>
      </c>
      <c r="CF1482" s="80" t="str">
        <f>IF(AND(D1482="proMX",BD1482=1),IF(OR(BF1482="Draft",BF1482="Submitted",BF1482="Returned",BF1482="Recall Requested"),MAX($CF$5:CF1481)+1,""),"")</f>
        <v/>
      </c>
      <c r="CG1482" s="80">
        <f>IF(BD1482=0,0,IF(D1482="Malcolm",1,MATCH(BF1482,{"Draft","Submitted","Approved","Returned","Recall Requested","Cancelled"},0)+1))</f>
        <v>0</v>
      </c>
      <c r="CH1482" s="80">
        <f>IF(AND(BF1482="Submitted",ISNUMBER(V1482)),IF(V1482&gt;CFG_MAXD,1,0),0)</f>
        <v>0</v>
      </c>
    </row>
    <row r="1483">
      <c r="A1483" s="71" t="str">
        <f>IF(Y1483=1,ROW()-5,"")</f>
        <v/>
      </c>
      <c r="B1483" s="72" t="n"/>
      <c r="C1483" s="71" t="str">
        <f>IF(ISNUMBER(B1483),CHOOSE(WEEKDAY(B1483,2),"Lun","Mar","Mié","Jue","Vie","Sáb","Dom"),"")</f>
        <v/>
      </c>
      <c r="D1483" s="73" t="n"/>
      <c r="E1483" s="74" t="n"/>
      <c r="F1483" s="74" t="n"/>
      <c r="G1483" s="74" t="n"/>
      <c r="H1483" s="75" t="n"/>
      <c r="I1483" s="75" t="n"/>
      <c r="J1483" s="76" t="n"/>
      <c r="K1483" s="77" t="str">
        <f>IF(AB1483=1,ROUND(AG1483/60,4),"")</f>
        <v/>
      </c>
      <c r="L1483" s="77" t="str">
        <f>IF(BD1483=1,ROUND(AP1483/60,4),"")</f>
        <v/>
      </c>
      <c r="M1483" s="77" t="str">
        <f>IF(BD1483=1,ROUND(AQ1483/60,4),"")</f>
        <v/>
      </c>
      <c r="N1483" s="71" t="str">
        <f>IF(AND(D1483="proMX",AB1483=1),ROUND(AG1483/CFG_BLK,2),"")</f>
        <v/>
      </c>
      <c r="O1483" s="77" t="str">
        <f>IF(D1483="proMX",IF(BD1483=1,ROUND(AG1483/60,4),0),"")</f>
        <v/>
      </c>
      <c r="P1483" s="78" t="str">
        <f>IF(Y1483=0,"",IF(BD1483=1,"OK",IF(D1483="proMX","Revisar bloques: ","Revisar: ")&amp;BC1483))</f>
        <v/>
      </c>
      <c r="Q1483" s="78" t="str">
        <f>IF(NOT(ISNUMBER(B1483)),"",IF(COUNTIFS(FER_F,INT(B1483))&gt;0,"Feriado"&amp;IF(AH1483=1," (laborable)"," (no laborable)"),IF(AH1483=1,"Laborable",IF(WEEKDAY(B1483,2)&gt;5,"Fin de semana","No laborable"))))</f>
        <v/>
      </c>
      <c r="R1483" s="73" t="n"/>
      <c r="S1483" s="72" t="n"/>
      <c r="T1483" s="72" t="n"/>
      <c r="U1483" s="74" t="n"/>
      <c r="V1483" s="79" t="str">
        <f>IF(AND(D1483="proMX",OR(R1483="Submitted",R1483="Recall Requested"),ISNUMBER(S1483)),CFG_TODAY-INT(S1483),"")</f>
        <v/>
      </c>
      <c r="W1483" s="78" t="str">
        <f>IF(BD1483=0,"",IF(BA1483&gt;0,"⚠ Se superpone con un registro de la otra empresa",IF(D1483="Malcolm",IF(COUNTA(R1483,S1483,T1483)&gt;0,"Estado/fechas proMX se ignoran en Malcolm",""),IF(BF1483="Cancelled","Cancelado: excluido de totales",IF(R1483="","Sin estado: se trata como Draft",IF(BF1483="Submitted",IF(ISNUMBER(V1483),IF(V1483&gt;CFG_MAXD,"⚠ "&amp;V1483&amp;" días en Submitted (máx. "&amp;CFG_MAXD&amp;")",""),"Falta fecha de envío"),IF(BF1483="Returned","⚠ Devuelto: corregir y reenviar",IF(BF1483="Recall Requested","Retirada solicitada: pendiente",IF(AND(BF1483="Approved",NOT(ISNUMBER(T1483))),"Falta fecha de aprobación",IF(AND(ISNUMBER(S1483),ISNUMBER(T1483),T1483&lt;S1483),"Aprobación anterior al envío","")))))))))</f>
        <v/>
      </c>
      <c r="Y1483" s="80">
        <f>IF(COUNTA(B1483,D1483,E1483,F1483,G1483,H1483,I1483,J1483,R1483,S1483,T1483)&gt;0,1,0)</f>
        <v>0</v>
      </c>
      <c r="Z1483" s="80" t="str">
        <f>IF(AND(ISNUMBER(H1483),H1483&gt;=0,H1483&lt;1),ROUND(H1483*1440,0),"")</f>
        <v/>
      </c>
      <c r="AA1483" s="80" t="str">
        <f>IF(AND(ISNUMBER(I1483),I1483&gt;=0,I1483&lt;1),ROUND(I1483*1440,0),"")</f>
        <v/>
      </c>
      <c r="AB1483" s="80">
        <f>IF(AND(ISNUMBER(B1483),D1483&lt;&gt;"",ISNUMBER(Z1483),ISNUMBER(AA1483)),IF(Z1483=AA1483,0,1),0)</f>
        <v>0</v>
      </c>
      <c r="AC1483" s="80">
        <f>IF(AB1483=1,IF(AA1483&lt;Z1483,1,0),0)</f>
        <v>0</v>
      </c>
      <c r="AD1483" s="80">
        <f>IF(AB1483=1,IF(AC1483=1,1440-Z1483+AA1483,AA1483-Z1483),0)</f>
        <v>0</v>
      </c>
      <c r="AE1483" s="80">
        <f>IF(J1483="",0,IF(ISNUMBER(J1483),J1483,-1))</f>
        <v>0</v>
      </c>
      <c r="AF1483" s="80">
        <f>MIN(MAX(0,AE1483),AD1483)</f>
        <v>0</v>
      </c>
      <c r="AG1483" s="80">
        <f>MAX(0,AD1483-MAX(0,AE1483))</f>
        <v>0</v>
      </c>
      <c r="AH1483" s="80">
        <f>IF(ISNUMBER(B1483),IF(AND(INDEX(CFG_WDAYS,WEEKDAY(INT(B1483),2))="Sí",IF(D1483="proMX",COUNTIFS(FER_F,INT(B1483),FER_NLP,"Sí"),COUNTIFS(FER_F,INT(B1483),FER_NLM,"Sí"))=0),1,0),0)</f>
        <v>0</v>
      </c>
      <c r="AI1483" s="80">
        <f>IF(AC1483=1,IF(AND(INDEX(CFG_WDAYS,WEEKDAY(INT(B1483)+1,2))="Sí",IF(D1483="proMX",COUNTIFS(FER_F,INT(B1483)+1,FER_NLP,"Sí"),COUNTIFS(FER_F,INT(B1483)+1,FER_NLM,"Sí"))=0),1,0),0)</f>
        <v>0</v>
      </c>
      <c r="AJ1483" s="80">
        <f>IF(AC1483=1,1440-Z1483,AD1483)</f>
        <v>0</v>
      </c>
      <c r="AK1483" s="80">
        <f>IF(AND(AB1483=1,AH1483=1),MAX(0,MIN(IF(AC1483=1,1440,AA1483),CFG_WEM)-MAX(Z1483,CFG_WSM)),0)</f>
        <v>0</v>
      </c>
      <c r="AL1483" s="80">
        <f>IF(AND(AC1483=1,AI1483=1),MAX(0,MIN(AA1483,CFG_WEM)-CFG_WSM),0)</f>
        <v>0</v>
      </c>
      <c r="AM1483" s="80">
        <f>AK1483+AL1483</f>
        <v>0</v>
      </c>
      <c r="AN1483" s="80">
        <f>IF(CFG_BRK="Proporcional",IF(AD1483=0,0,AF1483*AM1483/AD1483),IF(CFG_BRK="Extras primero",MIN(AM1483,MAX(0,AF1483-(AD1483-AM1483))),MIN(AF1483,AM1483)))</f>
        <v>0</v>
      </c>
      <c r="AO1483" s="80">
        <f>AF1483-AN1483</f>
        <v>0</v>
      </c>
      <c r="AP1483" s="80">
        <f>AM1483-AN1483</f>
        <v>0</v>
      </c>
      <c r="AQ1483" s="80">
        <f>AD1483-AM1483-AO1483</f>
        <v>0</v>
      </c>
      <c r="AR1483" s="80">
        <f>IF(AM1483=0,0,AK1483-AN1483*AK1483/AM1483)</f>
        <v>0</v>
      </c>
      <c r="AS1483" s="80">
        <f>IF(AD1483-AM1483=0,0,(AJ1483-AK1483)-AO1483*(AJ1483-AK1483)/(AD1483-AM1483))</f>
        <v>0</v>
      </c>
      <c r="AT1483" s="80" t="str">
        <f>IF(AC1483=1,INT(B1483)+1,"")</f>
        <v/>
      </c>
      <c r="AU1483" s="80">
        <f>IF(AND(D1483="proMX",R1483="Cancelled"),0,1)</f>
        <v>1</v>
      </c>
      <c r="AV1483" s="80">
        <f>IF(AND(AB1483=1,AU1483=1),IF(COUNTIFS($D$5:D1482,D1483,$B$5:B1482,B1483,$Z$5:Z1482,Z1483,$AA$5:AA1482,AA1483,$F$5:F1482,F1483&amp;"",$AU$5:AU1482,1)&gt;0,1,0),0)</f>
        <v>0</v>
      </c>
      <c r="AW1483" s="80" t="str">
        <f>IF(AB1483=1,INT(B1483)*1440+Z1483,"")</f>
        <v/>
      </c>
      <c r="AX1483" s="80" t="str">
        <f>IF(AB1483=1,AW1483+AD1483,"")</f>
        <v/>
      </c>
      <c r="AY1483" s="80">
        <f>IF(AND(AB1483=1,AV1483=0,AU1483=1),1,0)</f>
        <v>0</v>
      </c>
      <c r="AZ1483" s="80">
        <f>IF(AY1483=1,COUNTIFS(R_Emp,D1483,R_SAbs,"&lt;"&amp;AX1483,R_EAbs,"&gt;"&amp;AW1483,R_OKey,1)-1,0)</f>
        <v>0</v>
      </c>
      <c r="BA1483" s="80">
        <f>IF(AY1483=1,COUNTIFS(R_Emp,"&lt;&gt;"&amp;D1483,R_SAbs,"&lt;"&amp;AX1483,R_EAbs,"&gt;"&amp;AW1483,R_OKey,1),0)</f>
        <v>0</v>
      </c>
      <c r="BB1483" s="80">
        <f>IF(AND(AB1483=1,D1483="proMX"),IF(AND(MOD(Z1483,CFG_BLK)=0,MOD(AA1483,CFG_BLK)=0,MOD(AG1483,CFG_BLK)=0,AG1483&gt;0),1,0),1)</f>
        <v>1</v>
      </c>
      <c r="BC1483" s="80" t="str">
        <f>IF(Y1483=0,"",IF(NOT(ISNUMBER(B1483)),"Falta fecha o fecha inválida",IF(D1483="","Falta empresa",IF(AND(D1483&lt;&gt;"Malcolm",D1483&lt;&gt;"proMX"),"Empresa inválida",IF(OR(INT(B1483)&lt;CFG_PSTART,INT(B1483)&gt;CFG_PEND),"Fecha fuera del período",IF(OR(NOT(ISNUMBER(Z1483)),NOT(ISNUMBER(AA1483))),"Falta hora inicio/fin o formato inválido",IF(AB1483=0,"Hora inicio = hora fin",IF(AE1483&lt;0,"Descanso inválido",IF(AE1483&gt;=AD1483,"Descanso ≥ duración",IF(AV1483=1,"Registro duplicado",IF(AZ1483&gt;0,"Se superpone con otro registro "&amp;D1483,IF(BB1483=0,"inicio, fin y duración neta deben ser múltiplos de "&amp;CFG_BLK&amp;" min",""))))))))))))</f>
        <v/>
      </c>
      <c r="BD1483" s="80">
        <f>IF(AND(Y1483=1,BC1483=""),1,0)</f>
        <v>0</v>
      </c>
      <c r="BE1483" s="80">
        <f>IF(AND(BD1483=1,AU1483=1),1,0)</f>
        <v>0</v>
      </c>
      <c r="BF1483" s="80" t="str">
        <f>IF(AND(D1483="proMX",BD1483=1),IF(R1483="","Draft",R1483),"")</f>
        <v/>
      </c>
      <c r="BG1483" s="80">
        <f>IF(BD1483=1,ROUND(AG1483/60,6),0)</f>
        <v>0</v>
      </c>
      <c r="BH1483" s="80">
        <f>IF(BE1483=1,ROUND(AG1483/60,6),0)</f>
        <v>0</v>
      </c>
      <c r="BI1483" s="80">
        <f>IF(BE1483=1,ROUND(AP1483/60,6),0)</f>
        <v>0</v>
      </c>
      <c r="BJ1483" s="80">
        <f>IF(BE1483=1,ROUND(AQ1483/60,6),0)</f>
        <v>0</v>
      </c>
      <c r="BK1483" s="80">
        <f>IF(BE1483=1,ROUND((AR1483+AS1483)/60,6),0)</f>
        <v>0</v>
      </c>
      <c r="BL1483" s="80">
        <f>ROUND(BH1483-BK1483,6)</f>
        <v>0</v>
      </c>
      <c r="BM1483" s="80">
        <f>IF(BE1483=1,ROUND(AR1483/60,6),0)</f>
        <v>0</v>
      </c>
      <c r="BN1483" s="80">
        <f>ROUND(BI1483-BM1483,6)</f>
        <v>0</v>
      </c>
      <c r="BO1483" s="80">
        <f>IF(BE1483=1,ROUND(AS1483/60,6),0)</f>
        <v>0</v>
      </c>
      <c r="BP1483" s="80">
        <f>ROUND(BJ1483-BO1483,6)</f>
        <v>0</v>
      </c>
      <c r="BQ1483" s="80">
        <f>IF(BE1483=1,AW1483,0)</f>
        <v>0</v>
      </c>
      <c r="BR1483" s="80">
        <f>IF(BE1483=1,AX1483,0)</f>
        <v>0</v>
      </c>
      <c r="BS1483" s="80">
        <f>IF(AND(BE1483=1,D1483="Malcolm",BA1483&gt;0),MIN(BH1483,SUMPRODUCT((R_Emp="proMX")*(R_EN&gt;0)*((R_EN-(R_EN&gt;BR1483)*(R_EN-BR1483))&gt;(R_SN+(R_SN&lt;BQ1483)*(BQ1483-R_SN)))*((R_EN-(R_EN&gt;BR1483)*(R_EN-BR1483))-(R_SN+(R_SN&lt;BQ1483)*(BQ1483-R_SN))))/60),0)</f>
        <v>0</v>
      </c>
      <c r="BT1483" s="80">
        <f>IF(AND(BE1483=1,D1483="proMX"),ROUND(BI1483*CFG_RATE+BJ1483*CFG_OTRATE,6),0)</f>
        <v>0</v>
      </c>
      <c r="BU1483" s="80">
        <f>IF(AND(BD1483=1,D1483="proMX"),ROUND(AG1483/CFG_BLK,6),0)</f>
        <v>0</v>
      </c>
      <c r="BV1483" s="80" t="str">
        <f>IF(BF1483="Approved",IF(ISNUMBER(T1483),INT(T1483),INT(B1483)),"")</f>
        <v/>
      </c>
      <c r="BW1483" s="80">
        <f>IF(ISNUMBER(B1483),IF(DB_MON="Todos",1,IF(AND(INT(B1483)&gt;=DB_MS,INT(B1483)&lt;=DB_ME),1,0)),0)</f>
        <v>0</v>
      </c>
      <c r="BX1483" s="80">
        <f>IF(DB_PROJ="Todos",1,IF(E1483&amp;""=DB_PROJ&amp;"",1,0))</f>
        <v>1</v>
      </c>
      <c r="BY1483" s="80">
        <f>BW1483*BX1483</f>
        <v>0</v>
      </c>
      <c r="BZ1483" s="80" t="str">
        <f>IF(Y1483=1,F1483&amp;IF(AND(F1483&amp;""&lt;&gt;"",E1483&amp;""&lt;&gt;"")," · ","")&amp;E1483,"")</f>
        <v/>
      </c>
      <c r="CA1483" s="80" t="str">
        <f>IF(AND(BD1483=1,E1483&amp;""&lt;&gt;""),IF(COUNTIFS($E$5:E1482,E1483,$BD$5:BD1482,1)=0,MAX($CA$5:CA1482)+1,""),"")</f>
        <v/>
      </c>
      <c r="CB1483" s="80" t="str">
        <f>IF(AND(BE1483=1,D1483="Malcolm",E1483&amp;""&lt;&gt;""),IF(COUNTIFS($D$5:D1482,"Malcolm",$E$5:E1482,E1483,$BE$5:BE1482,1)=0,MAX($CB$5:CB1482)+1,""),"")</f>
        <v/>
      </c>
      <c r="CC1483" s="80" t="str">
        <f>IF(AND(BD1483=1,D1483="proMX",E1483&amp;""&lt;&gt;""),IF(COUNTIFS($D$5:D1482,"proMX",$E$5:E1482,E1483,$BD$5:BD1482,1)=0,MAX($CC$5:CC1482)+1,""),"")</f>
        <v/>
      </c>
      <c r="CD1483" s="80" t="str">
        <f>IF(AND(BE1483=1,D1483="Malcolm",F1483&amp;""&lt;&gt;""),IF(COUNTIFS($D$5:D1482,"Malcolm",$F$5:F1482,F1483,$BE$5:BE1482,1)=0,MAX($CD$5:CD1482)+1,""),"")</f>
        <v/>
      </c>
      <c r="CE1483" s="80" t="str">
        <f>IF(AND(BD1483=1,D1483="proMX",F1483&amp;""&lt;&gt;""),IF(COUNTIFS($D$5:D1482,"proMX",$F$5:F1482,F1483,$BD$5:BD1482,1)=0,MAX($CE$5:CE1482)+1,""),"")</f>
        <v/>
      </c>
      <c r="CF1483" s="80" t="str">
        <f>IF(AND(D1483="proMX",BD1483=1),IF(OR(BF1483="Draft",BF1483="Submitted",BF1483="Returned",BF1483="Recall Requested"),MAX($CF$5:CF1482)+1,""),"")</f>
        <v/>
      </c>
      <c r="CG1483" s="80">
        <f>IF(BD1483=0,0,IF(D1483="Malcolm",1,MATCH(BF1483,{"Draft","Submitted","Approved","Returned","Recall Requested","Cancelled"},0)+1))</f>
        <v>0</v>
      </c>
      <c r="CH1483" s="80">
        <f>IF(AND(BF1483="Submitted",ISNUMBER(V1483)),IF(V1483&gt;CFG_MAXD,1,0),0)</f>
        <v>0</v>
      </c>
    </row>
    <row r="1484">
      <c r="A1484" s="71" t="str">
        <f>IF(Y1484=1,ROW()-5,"")</f>
        <v/>
      </c>
      <c r="B1484" s="72" t="n"/>
      <c r="C1484" s="71" t="str">
        <f>IF(ISNUMBER(B1484),CHOOSE(WEEKDAY(B1484,2),"Lun","Mar","Mié","Jue","Vie","Sáb","Dom"),"")</f>
        <v/>
      </c>
      <c r="D1484" s="73" t="n"/>
      <c r="E1484" s="74" t="n"/>
      <c r="F1484" s="74" t="n"/>
      <c r="G1484" s="74" t="n"/>
      <c r="H1484" s="75" t="n"/>
      <c r="I1484" s="75" t="n"/>
      <c r="J1484" s="76" t="n"/>
      <c r="K1484" s="77" t="str">
        <f>IF(AB1484=1,ROUND(AG1484/60,4),"")</f>
        <v/>
      </c>
      <c r="L1484" s="77" t="str">
        <f>IF(BD1484=1,ROUND(AP1484/60,4),"")</f>
        <v/>
      </c>
      <c r="M1484" s="77" t="str">
        <f>IF(BD1484=1,ROUND(AQ1484/60,4),"")</f>
        <v/>
      </c>
      <c r="N1484" s="71" t="str">
        <f>IF(AND(D1484="proMX",AB1484=1),ROUND(AG1484/CFG_BLK,2),"")</f>
        <v/>
      </c>
      <c r="O1484" s="77" t="str">
        <f>IF(D1484="proMX",IF(BD1484=1,ROUND(AG1484/60,4),0),"")</f>
        <v/>
      </c>
      <c r="P1484" s="78" t="str">
        <f>IF(Y1484=0,"",IF(BD1484=1,"OK",IF(D1484="proMX","Revisar bloques: ","Revisar: ")&amp;BC1484))</f>
        <v/>
      </c>
      <c r="Q1484" s="78" t="str">
        <f>IF(NOT(ISNUMBER(B1484)),"",IF(COUNTIFS(FER_F,INT(B1484))&gt;0,"Feriado"&amp;IF(AH1484=1," (laborable)"," (no laborable)"),IF(AH1484=1,"Laborable",IF(WEEKDAY(B1484,2)&gt;5,"Fin de semana","No laborable"))))</f>
        <v/>
      </c>
      <c r="R1484" s="73" t="n"/>
      <c r="S1484" s="72" t="n"/>
      <c r="T1484" s="72" t="n"/>
      <c r="U1484" s="74" t="n"/>
      <c r="V1484" s="79" t="str">
        <f>IF(AND(D1484="proMX",OR(R1484="Submitted",R1484="Recall Requested"),ISNUMBER(S1484)),CFG_TODAY-INT(S1484),"")</f>
        <v/>
      </c>
      <c r="W1484" s="78" t="str">
        <f>IF(BD1484=0,"",IF(BA1484&gt;0,"⚠ Se superpone con un registro de la otra empresa",IF(D1484="Malcolm",IF(COUNTA(R1484,S1484,T1484)&gt;0,"Estado/fechas proMX se ignoran en Malcolm",""),IF(BF1484="Cancelled","Cancelado: excluido de totales",IF(R1484="","Sin estado: se trata como Draft",IF(BF1484="Submitted",IF(ISNUMBER(V1484),IF(V1484&gt;CFG_MAXD,"⚠ "&amp;V1484&amp;" días en Submitted (máx. "&amp;CFG_MAXD&amp;")",""),"Falta fecha de envío"),IF(BF1484="Returned","⚠ Devuelto: corregir y reenviar",IF(BF1484="Recall Requested","Retirada solicitada: pendiente",IF(AND(BF1484="Approved",NOT(ISNUMBER(T1484))),"Falta fecha de aprobación",IF(AND(ISNUMBER(S1484),ISNUMBER(T1484),T1484&lt;S1484),"Aprobación anterior al envío","")))))))))</f>
        <v/>
      </c>
      <c r="Y1484" s="80">
        <f>IF(COUNTA(B1484,D1484,E1484,F1484,G1484,H1484,I1484,J1484,R1484,S1484,T1484)&gt;0,1,0)</f>
        <v>0</v>
      </c>
      <c r="Z1484" s="80" t="str">
        <f>IF(AND(ISNUMBER(H1484),H1484&gt;=0,H1484&lt;1),ROUND(H1484*1440,0),"")</f>
        <v/>
      </c>
      <c r="AA1484" s="80" t="str">
        <f>IF(AND(ISNUMBER(I1484),I1484&gt;=0,I1484&lt;1),ROUND(I1484*1440,0),"")</f>
        <v/>
      </c>
      <c r="AB1484" s="80">
        <f>IF(AND(ISNUMBER(B1484),D1484&lt;&gt;"",ISNUMBER(Z1484),ISNUMBER(AA1484)),IF(Z1484=AA1484,0,1),0)</f>
        <v>0</v>
      </c>
      <c r="AC1484" s="80">
        <f>IF(AB1484=1,IF(AA1484&lt;Z1484,1,0),0)</f>
        <v>0</v>
      </c>
      <c r="AD1484" s="80">
        <f>IF(AB1484=1,IF(AC1484=1,1440-Z1484+AA1484,AA1484-Z1484),0)</f>
        <v>0</v>
      </c>
      <c r="AE1484" s="80">
        <f>IF(J1484="",0,IF(ISNUMBER(J1484),J1484,-1))</f>
        <v>0</v>
      </c>
      <c r="AF1484" s="80">
        <f>MIN(MAX(0,AE1484),AD1484)</f>
        <v>0</v>
      </c>
      <c r="AG1484" s="80">
        <f>MAX(0,AD1484-MAX(0,AE1484))</f>
        <v>0</v>
      </c>
      <c r="AH1484" s="80">
        <f>IF(ISNUMBER(B1484),IF(AND(INDEX(CFG_WDAYS,WEEKDAY(INT(B1484),2))="Sí",IF(D1484="proMX",COUNTIFS(FER_F,INT(B1484),FER_NLP,"Sí"),COUNTIFS(FER_F,INT(B1484),FER_NLM,"Sí"))=0),1,0),0)</f>
        <v>0</v>
      </c>
      <c r="AI1484" s="80">
        <f>IF(AC1484=1,IF(AND(INDEX(CFG_WDAYS,WEEKDAY(INT(B1484)+1,2))="Sí",IF(D1484="proMX",COUNTIFS(FER_F,INT(B1484)+1,FER_NLP,"Sí"),COUNTIFS(FER_F,INT(B1484)+1,FER_NLM,"Sí"))=0),1,0),0)</f>
        <v>0</v>
      </c>
      <c r="AJ1484" s="80">
        <f>IF(AC1484=1,1440-Z1484,AD1484)</f>
        <v>0</v>
      </c>
      <c r="AK1484" s="80">
        <f>IF(AND(AB1484=1,AH1484=1),MAX(0,MIN(IF(AC1484=1,1440,AA1484),CFG_WEM)-MAX(Z1484,CFG_WSM)),0)</f>
        <v>0</v>
      </c>
      <c r="AL1484" s="80">
        <f>IF(AND(AC1484=1,AI1484=1),MAX(0,MIN(AA1484,CFG_WEM)-CFG_WSM),0)</f>
        <v>0</v>
      </c>
      <c r="AM1484" s="80">
        <f>AK1484+AL1484</f>
        <v>0</v>
      </c>
      <c r="AN1484" s="80">
        <f>IF(CFG_BRK="Proporcional",IF(AD1484=0,0,AF1484*AM1484/AD1484),IF(CFG_BRK="Extras primero",MIN(AM1484,MAX(0,AF1484-(AD1484-AM1484))),MIN(AF1484,AM1484)))</f>
        <v>0</v>
      </c>
      <c r="AO1484" s="80">
        <f>AF1484-AN1484</f>
        <v>0</v>
      </c>
      <c r="AP1484" s="80">
        <f>AM1484-AN1484</f>
        <v>0</v>
      </c>
      <c r="AQ1484" s="80">
        <f>AD1484-AM1484-AO1484</f>
        <v>0</v>
      </c>
      <c r="AR1484" s="80">
        <f>IF(AM1484=0,0,AK1484-AN1484*AK1484/AM1484)</f>
        <v>0</v>
      </c>
      <c r="AS1484" s="80">
        <f>IF(AD1484-AM1484=0,0,(AJ1484-AK1484)-AO1484*(AJ1484-AK1484)/(AD1484-AM1484))</f>
        <v>0</v>
      </c>
      <c r="AT1484" s="80" t="str">
        <f>IF(AC1484=1,INT(B1484)+1,"")</f>
        <v/>
      </c>
      <c r="AU1484" s="80">
        <f>IF(AND(D1484="proMX",R1484="Cancelled"),0,1)</f>
        <v>1</v>
      </c>
      <c r="AV1484" s="80">
        <f>IF(AND(AB1484=1,AU1484=1),IF(COUNTIFS($D$5:D1483,D1484,$B$5:B1483,B1484,$Z$5:Z1483,Z1484,$AA$5:AA1483,AA1484,$F$5:F1483,F1484&amp;"",$AU$5:AU1483,1)&gt;0,1,0),0)</f>
        <v>0</v>
      </c>
      <c r="AW1484" s="80" t="str">
        <f>IF(AB1484=1,INT(B1484)*1440+Z1484,"")</f>
        <v/>
      </c>
      <c r="AX1484" s="80" t="str">
        <f>IF(AB1484=1,AW1484+AD1484,"")</f>
        <v/>
      </c>
      <c r="AY1484" s="80">
        <f>IF(AND(AB1484=1,AV1484=0,AU1484=1),1,0)</f>
        <v>0</v>
      </c>
      <c r="AZ1484" s="80">
        <f>IF(AY1484=1,COUNTIFS(R_Emp,D1484,R_SAbs,"&lt;"&amp;AX1484,R_EAbs,"&gt;"&amp;AW1484,R_OKey,1)-1,0)</f>
        <v>0</v>
      </c>
      <c r="BA1484" s="80">
        <f>IF(AY1484=1,COUNTIFS(R_Emp,"&lt;&gt;"&amp;D1484,R_SAbs,"&lt;"&amp;AX1484,R_EAbs,"&gt;"&amp;AW1484,R_OKey,1),0)</f>
        <v>0</v>
      </c>
      <c r="BB1484" s="80">
        <f>IF(AND(AB1484=1,D1484="proMX"),IF(AND(MOD(Z1484,CFG_BLK)=0,MOD(AA1484,CFG_BLK)=0,MOD(AG1484,CFG_BLK)=0,AG1484&gt;0),1,0),1)</f>
        <v>1</v>
      </c>
      <c r="BC1484" s="80" t="str">
        <f>IF(Y1484=0,"",IF(NOT(ISNUMBER(B1484)),"Falta fecha o fecha inválida",IF(D1484="","Falta empresa",IF(AND(D1484&lt;&gt;"Malcolm",D1484&lt;&gt;"proMX"),"Empresa inválida",IF(OR(INT(B1484)&lt;CFG_PSTART,INT(B1484)&gt;CFG_PEND),"Fecha fuera del período",IF(OR(NOT(ISNUMBER(Z1484)),NOT(ISNUMBER(AA1484))),"Falta hora inicio/fin o formato inválido",IF(AB1484=0,"Hora inicio = hora fin",IF(AE1484&lt;0,"Descanso inválido",IF(AE1484&gt;=AD1484,"Descanso ≥ duración",IF(AV1484=1,"Registro duplicado",IF(AZ1484&gt;0,"Se superpone con otro registro "&amp;D1484,IF(BB1484=0,"inicio, fin y duración neta deben ser múltiplos de "&amp;CFG_BLK&amp;" min",""))))))))))))</f>
        <v/>
      </c>
      <c r="BD1484" s="80">
        <f>IF(AND(Y1484=1,BC1484=""),1,0)</f>
        <v>0</v>
      </c>
      <c r="BE1484" s="80">
        <f>IF(AND(BD1484=1,AU1484=1),1,0)</f>
        <v>0</v>
      </c>
      <c r="BF1484" s="80" t="str">
        <f>IF(AND(D1484="proMX",BD1484=1),IF(R1484="","Draft",R1484),"")</f>
        <v/>
      </c>
      <c r="BG1484" s="80">
        <f>IF(BD1484=1,ROUND(AG1484/60,6),0)</f>
        <v>0</v>
      </c>
      <c r="BH1484" s="80">
        <f>IF(BE1484=1,ROUND(AG1484/60,6),0)</f>
        <v>0</v>
      </c>
      <c r="BI1484" s="80">
        <f>IF(BE1484=1,ROUND(AP1484/60,6),0)</f>
        <v>0</v>
      </c>
      <c r="BJ1484" s="80">
        <f>IF(BE1484=1,ROUND(AQ1484/60,6),0)</f>
        <v>0</v>
      </c>
      <c r="BK1484" s="80">
        <f>IF(BE1484=1,ROUND((AR1484+AS1484)/60,6),0)</f>
        <v>0</v>
      </c>
      <c r="BL1484" s="80">
        <f>ROUND(BH1484-BK1484,6)</f>
        <v>0</v>
      </c>
      <c r="BM1484" s="80">
        <f>IF(BE1484=1,ROUND(AR1484/60,6),0)</f>
        <v>0</v>
      </c>
      <c r="BN1484" s="80">
        <f>ROUND(BI1484-BM1484,6)</f>
        <v>0</v>
      </c>
      <c r="BO1484" s="80">
        <f>IF(BE1484=1,ROUND(AS1484/60,6),0)</f>
        <v>0</v>
      </c>
      <c r="BP1484" s="80">
        <f>ROUND(BJ1484-BO1484,6)</f>
        <v>0</v>
      </c>
      <c r="BQ1484" s="80">
        <f>IF(BE1484=1,AW1484,0)</f>
        <v>0</v>
      </c>
      <c r="BR1484" s="80">
        <f>IF(BE1484=1,AX1484,0)</f>
        <v>0</v>
      </c>
      <c r="BS1484" s="80">
        <f>IF(AND(BE1484=1,D1484="Malcolm",BA1484&gt;0),MIN(BH1484,SUMPRODUCT((R_Emp="proMX")*(R_EN&gt;0)*((R_EN-(R_EN&gt;BR1484)*(R_EN-BR1484))&gt;(R_SN+(R_SN&lt;BQ1484)*(BQ1484-R_SN)))*((R_EN-(R_EN&gt;BR1484)*(R_EN-BR1484))-(R_SN+(R_SN&lt;BQ1484)*(BQ1484-R_SN))))/60),0)</f>
        <v>0</v>
      </c>
      <c r="BT1484" s="80">
        <f>IF(AND(BE1484=1,D1484="proMX"),ROUND(BI1484*CFG_RATE+BJ1484*CFG_OTRATE,6),0)</f>
        <v>0</v>
      </c>
      <c r="BU1484" s="80">
        <f>IF(AND(BD1484=1,D1484="proMX"),ROUND(AG1484/CFG_BLK,6),0)</f>
        <v>0</v>
      </c>
      <c r="BV1484" s="80" t="str">
        <f>IF(BF1484="Approved",IF(ISNUMBER(T1484),INT(T1484),INT(B1484)),"")</f>
        <v/>
      </c>
      <c r="BW1484" s="80">
        <f>IF(ISNUMBER(B1484),IF(DB_MON="Todos",1,IF(AND(INT(B1484)&gt;=DB_MS,INT(B1484)&lt;=DB_ME),1,0)),0)</f>
        <v>0</v>
      </c>
      <c r="BX1484" s="80">
        <f>IF(DB_PROJ="Todos",1,IF(E1484&amp;""=DB_PROJ&amp;"",1,0))</f>
        <v>1</v>
      </c>
      <c r="BY1484" s="80">
        <f>BW1484*BX1484</f>
        <v>0</v>
      </c>
      <c r="BZ1484" s="80" t="str">
        <f>IF(Y1484=1,F1484&amp;IF(AND(F1484&amp;""&lt;&gt;"",E1484&amp;""&lt;&gt;"")," · ","")&amp;E1484,"")</f>
        <v/>
      </c>
      <c r="CA1484" s="80" t="str">
        <f>IF(AND(BD1484=1,E1484&amp;""&lt;&gt;""),IF(COUNTIFS($E$5:E1483,E1484,$BD$5:BD1483,1)=0,MAX($CA$5:CA1483)+1,""),"")</f>
        <v/>
      </c>
      <c r="CB1484" s="80" t="str">
        <f>IF(AND(BE1484=1,D1484="Malcolm",E1484&amp;""&lt;&gt;""),IF(COUNTIFS($D$5:D1483,"Malcolm",$E$5:E1483,E1484,$BE$5:BE1483,1)=0,MAX($CB$5:CB1483)+1,""),"")</f>
        <v/>
      </c>
      <c r="CC1484" s="80" t="str">
        <f>IF(AND(BD1484=1,D1484="proMX",E1484&amp;""&lt;&gt;""),IF(COUNTIFS($D$5:D1483,"proMX",$E$5:E1483,E1484,$BD$5:BD1483,1)=0,MAX($CC$5:CC1483)+1,""),"")</f>
        <v/>
      </c>
      <c r="CD1484" s="80" t="str">
        <f>IF(AND(BE1484=1,D1484="Malcolm",F1484&amp;""&lt;&gt;""),IF(COUNTIFS($D$5:D1483,"Malcolm",$F$5:F1483,F1484,$BE$5:BE1483,1)=0,MAX($CD$5:CD1483)+1,""),"")</f>
        <v/>
      </c>
      <c r="CE1484" s="80" t="str">
        <f>IF(AND(BD1484=1,D1484="proMX",F1484&amp;""&lt;&gt;""),IF(COUNTIFS($D$5:D1483,"proMX",$F$5:F1483,F1484,$BD$5:BD1483,1)=0,MAX($CE$5:CE1483)+1,""),"")</f>
        <v/>
      </c>
      <c r="CF1484" s="80" t="str">
        <f>IF(AND(D1484="proMX",BD1484=1),IF(OR(BF1484="Draft",BF1484="Submitted",BF1484="Returned",BF1484="Recall Requested"),MAX($CF$5:CF1483)+1,""),"")</f>
        <v/>
      </c>
      <c r="CG1484" s="80">
        <f>IF(BD1484=0,0,IF(D1484="Malcolm",1,MATCH(BF1484,{"Draft","Submitted","Approved","Returned","Recall Requested","Cancelled"},0)+1))</f>
        <v>0</v>
      </c>
      <c r="CH1484" s="80">
        <f>IF(AND(BF1484="Submitted",ISNUMBER(V1484)),IF(V1484&gt;CFG_MAXD,1,0),0)</f>
        <v>0</v>
      </c>
    </row>
    <row r="1485">
      <c r="A1485" s="71" t="str">
        <f>IF(Y1485=1,ROW()-5,"")</f>
        <v/>
      </c>
      <c r="B1485" s="72" t="n"/>
      <c r="C1485" s="71" t="str">
        <f>IF(ISNUMBER(B1485),CHOOSE(WEEKDAY(B1485,2),"Lun","Mar","Mié","Jue","Vie","Sáb","Dom"),"")</f>
        <v/>
      </c>
      <c r="D1485" s="73" t="n"/>
      <c r="E1485" s="74" t="n"/>
      <c r="F1485" s="74" t="n"/>
      <c r="G1485" s="74" t="n"/>
      <c r="H1485" s="75" t="n"/>
      <c r="I1485" s="75" t="n"/>
      <c r="J1485" s="76" t="n"/>
      <c r="K1485" s="77" t="str">
        <f>IF(AB1485=1,ROUND(AG1485/60,4),"")</f>
        <v/>
      </c>
      <c r="L1485" s="77" t="str">
        <f>IF(BD1485=1,ROUND(AP1485/60,4),"")</f>
        <v/>
      </c>
      <c r="M1485" s="77" t="str">
        <f>IF(BD1485=1,ROUND(AQ1485/60,4),"")</f>
        <v/>
      </c>
      <c r="N1485" s="71" t="str">
        <f>IF(AND(D1485="proMX",AB1485=1),ROUND(AG1485/CFG_BLK,2),"")</f>
        <v/>
      </c>
      <c r="O1485" s="77" t="str">
        <f>IF(D1485="proMX",IF(BD1485=1,ROUND(AG1485/60,4),0),"")</f>
        <v/>
      </c>
      <c r="P1485" s="78" t="str">
        <f>IF(Y1485=0,"",IF(BD1485=1,"OK",IF(D1485="proMX","Revisar bloques: ","Revisar: ")&amp;BC1485))</f>
        <v/>
      </c>
      <c r="Q1485" s="78" t="str">
        <f>IF(NOT(ISNUMBER(B1485)),"",IF(COUNTIFS(FER_F,INT(B1485))&gt;0,"Feriado"&amp;IF(AH1485=1," (laborable)"," (no laborable)"),IF(AH1485=1,"Laborable",IF(WEEKDAY(B1485,2)&gt;5,"Fin de semana","No laborable"))))</f>
        <v/>
      </c>
      <c r="R1485" s="73" t="n"/>
      <c r="S1485" s="72" t="n"/>
      <c r="T1485" s="72" t="n"/>
      <c r="U1485" s="74" t="n"/>
      <c r="V1485" s="79" t="str">
        <f>IF(AND(D1485="proMX",OR(R1485="Submitted",R1485="Recall Requested"),ISNUMBER(S1485)),CFG_TODAY-INT(S1485),"")</f>
        <v/>
      </c>
      <c r="W1485" s="78" t="str">
        <f>IF(BD1485=0,"",IF(BA1485&gt;0,"⚠ Se superpone con un registro de la otra empresa",IF(D1485="Malcolm",IF(COUNTA(R1485,S1485,T1485)&gt;0,"Estado/fechas proMX se ignoran en Malcolm",""),IF(BF1485="Cancelled","Cancelado: excluido de totales",IF(R1485="","Sin estado: se trata como Draft",IF(BF1485="Submitted",IF(ISNUMBER(V1485),IF(V1485&gt;CFG_MAXD,"⚠ "&amp;V1485&amp;" días en Submitted (máx. "&amp;CFG_MAXD&amp;")",""),"Falta fecha de envío"),IF(BF1485="Returned","⚠ Devuelto: corregir y reenviar",IF(BF1485="Recall Requested","Retirada solicitada: pendiente",IF(AND(BF1485="Approved",NOT(ISNUMBER(T1485))),"Falta fecha de aprobación",IF(AND(ISNUMBER(S1485),ISNUMBER(T1485),T1485&lt;S1485),"Aprobación anterior al envío","")))))))))</f>
        <v/>
      </c>
      <c r="Y1485" s="80">
        <f>IF(COUNTA(B1485,D1485,E1485,F1485,G1485,H1485,I1485,J1485,R1485,S1485,T1485)&gt;0,1,0)</f>
        <v>0</v>
      </c>
      <c r="Z1485" s="80" t="str">
        <f>IF(AND(ISNUMBER(H1485),H1485&gt;=0,H1485&lt;1),ROUND(H1485*1440,0),"")</f>
        <v/>
      </c>
      <c r="AA1485" s="80" t="str">
        <f>IF(AND(ISNUMBER(I1485),I1485&gt;=0,I1485&lt;1),ROUND(I1485*1440,0),"")</f>
        <v/>
      </c>
      <c r="AB1485" s="80">
        <f>IF(AND(ISNUMBER(B1485),D1485&lt;&gt;"",ISNUMBER(Z1485),ISNUMBER(AA1485)),IF(Z1485=AA1485,0,1),0)</f>
        <v>0</v>
      </c>
      <c r="AC1485" s="80">
        <f>IF(AB1485=1,IF(AA1485&lt;Z1485,1,0),0)</f>
        <v>0</v>
      </c>
      <c r="AD1485" s="80">
        <f>IF(AB1485=1,IF(AC1485=1,1440-Z1485+AA1485,AA1485-Z1485),0)</f>
        <v>0</v>
      </c>
      <c r="AE1485" s="80">
        <f>IF(J1485="",0,IF(ISNUMBER(J1485),J1485,-1))</f>
        <v>0</v>
      </c>
      <c r="AF1485" s="80">
        <f>MIN(MAX(0,AE1485),AD1485)</f>
        <v>0</v>
      </c>
      <c r="AG1485" s="80">
        <f>MAX(0,AD1485-MAX(0,AE1485))</f>
        <v>0</v>
      </c>
      <c r="AH1485" s="80">
        <f>IF(ISNUMBER(B1485),IF(AND(INDEX(CFG_WDAYS,WEEKDAY(INT(B1485),2))="Sí",IF(D1485="proMX",COUNTIFS(FER_F,INT(B1485),FER_NLP,"Sí"),COUNTIFS(FER_F,INT(B1485),FER_NLM,"Sí"))=0),1,0),0)</f>
        <v>0</v>
      </c>
      <c r="AI1485" s="80">
        <f>IF(AC1485=1,IF(AND(INDEX(CFG_WDAYS,WEEKDAY(INT(B1485)+1,2))="Sí",IF(D1485="proMX",COUNTIFS(FER_F,INT(B1485)+1,FER_NLP,"Sí"),COUNTIFS(FER_F,INT(B1485)+1,FER_NLM,"Sí"))=0),1,0),0)</f>
        <v>0</v>
      </c>
      <c r="AJ1485" s="80">
        <f>IF(AC1485=1,1440-Z1485,AD1485)</f>
        <v>0</v>
      </c>
      <c r="AK1485" s="80">
        <f>IF(AND(AB1485=1,AH1485=1),MAX(0,MIN(IF(AC1485=1,1440,AA1485),CFG_WEM)-MAX(Z1485,CFG_WSM)),0)</f>
        <v>0</v>
      </c>
      <c r="AL1485" s="80">
        <f>IF(AND(AC1485=1,AI1485=1),MAX(0,MIN(AA1485,CFG_WEM)-CFG_WSM),0)</f>
        <v>0</v>
      </c>
      <c r="AM1485" s="80">
        <f>AK1485+AL1485</f>
        <v>0</v>
      </c>
      <c r="AN1485" s="80">
        <f>IF(CFG_BRK="Proporcional",IF(AD1485=0,0,AF1485*AM1485/AD1485),IF(CFG_BRK="Extras primero",MIN(AM1485,MAX(0,AF1485-(AD1485-AM1485))),MIN(AF1485,AM1485)))</f>
        <v>0</v>
      </c>
      <c r="AO1485" s="80">
        <f>AF1485-AN1485</f>
        <v>0</v>
      </c>
      <c r="AP1485" s="80">
        <f>AM1485-AN1485</f>
        <v>0</v>
      </c>
      <c r="AQ1485" s="80">
        <f>AD1485-AM1485-AO1485</f>
        <v>0</v>
      </c>
      <c r="AR1485" s="80">
        <f>IF(AM1485=0,0,AK1485-AN1485*AK1485/AM1485)</f>
        <v>0</v>
      </c>
      <c r="AS1485" s="80">
        <f>IF(AD1485-AM1485=0,0,(AJ1485-AK1485)-AO1485*(AJ1485-AK1485)/(AD1485-AM1485))</f>
        <v>0</v>
      </c>
      <c r="AT1485" s="80" t="str">
        <f>IF(AC1485=1,INT(B1485)+1,"")</f>
        <v/>
      </c>
      <c r="AU1485" s="80">
        <f>IF(AND(D1485="proMX",R1485="Cancelled"),0,1)</f>
        <v>1</v>
      </c>
      <c r="AV1485" s="80">
        <f>IF(AND(AB1485=1,AU1485=1),IF(COUNTIFS($D$5:D1484,D1485,$B$5:B1484,B1485,$Z$5:Z1484,Z1485,$AA$5:AA1484,AA1485,$F$5:F1484,F1485&amp;"",$AU$5:AU1484,1)&gt;0,1,0),0)</f>
        <v>0</v>
      </c>
      <c r="AW1485" s="80" t="str">
        <f>IF(AB1485=1,INT(B1485)*1440+Z1485,"")</f>
        <v/>
      </c>
      <c r="AX1485" s="80" t="str">
        <f>IF(AB1485=1,AW1485+AD1485,"")</f>
        <v/>
      </c>
      <c r="AY1485" s="80">
        <f>IF(AND(AB1485=1,AV1485=0,AU1485=1),1,0)</f>
        <v>0</v>
      </c>
      <c r="AZ1485" s="80">
        <f>IF(AY1485=1,COUNTIFS(R_Emp,D1485,R_SAbs,"&lt;"&amp;AX1485,R_EAbs,"&gt;"&amp;AW1485,R_OKey,1)-1,0)</f>
        <v>0</v>
      </c>
      <c r="BA1485" s="80">
        <f>IF(AY1485=1,COUNTIFS(R_Emp,"&lt;&gt;"&amp;D1485,R_SAbs,"&lt;"&amp;AX1485,R_EAbs,"&gt;"&amp;AW1485,R_OKey,1),0)</f>
        <v>0</v>
      </c>
      <c r="BB1485" s="80">
        <f>IF(AND(AB1485=1,D1485="proMX"),IF(AND(MOD(Z1485,CFG_BLK)=0,MOD(AA1485,CFG_BLK)=0,MOD(AG1485,CFG_BLK)=0,AG1485&gt;0),1,0),1)</f>
        <v>1</v>
      </c>
      <c r="BC1485" s="80" t="str">
        <f>IF(Y1485=0,"",IF(NOT(ISNUMBER(B1485)),"Falta fecha o fecha inválida",IF(D1485="","Falta empresa",IF(AND(D1485&lt;&gt;"Malcolm",D1485&lt;&gt;"proMX"),"Empresa inválida",IF(OR(INT(B1485)&lt;CFG_PSTART,INT(B1485)&gt;CFG_PEND),"Fecha fuera del período",IF(OR(NOT(ISNUMBER(Z1485)),NOT(ISNUMBER(AA1485))),"Falta hora inicio/fin o formato inválido",IF(AB1485=0,"Hora inicio = hora fin",IF(AE1485&lt;0,"Descanso inválido",IF(AE1485&gt;=AD1485,"Descanso ≥ duración",IF(AV1485=1,"Registro duplicado",IF(AZ1485&gt;0,"Se superpone con otro registro "&amp;D1485,IF(BB1485=0,"inicio, fin y duración neta deben ser múltiplos de "&amp;CFG_BLK&amp;" min",""))))))))))))</f>
        <v/>
      </c>
      <c r="BD1485" s="80">
        <f>IF(AND(Y1485=1,BC1485=""),1,0)</f>
        <v>0</v>
      </c>
      <c r="BE1485" s="80">
        <f>IF(AND(BD1485=1,AU1485=1),1,0)</f>
        <v>0</v>
      </c>
      <c r="BF1485" s="80" t="str">
        <f>IF(AND(D1485="proMX",BD1485=1),IF(R1485="","Draft",R1485),"")</f>
        <v/>
      </c>
      <c r="BG1485" s="80">
        <f>IF(BD1485=1,ROUND(AG1485/60,6),0)</f>
        <v>0</v>
      </c>
      <c r="BH1485" s="80">
        <f>IF(BE1485=1,ROUND(AG1485/60,6),0)</f>
        <v>0</v>
      </c>
      <c r="BI1485" s="80">
        <f>IF(BE1485=1,ROUND(AP1485/60,6),0)</f>
        <v>0</v>
      </c>
      <c r="BJ1485" s="80">
        <f>IF(BE1485=1,ROUND(AQ1485/60,6),0)</f>
        <v>0</v>
      </c>
      <c r="BK1485" s="80">
        <f>IF(BE1485=1,ROUND((AR1485+AS1485)/60,6),0)</f>
        <v>0</v>
      </c>
      <c r="BL1485" s="80">
        <f>ROUND(BH1485-BK1485,6)</f>
        <v>0</v>
      </c>
      <c r="BM1485" s="80">
        <f>IF(BE1485=1,ROUND(AR1485/60,6),0)</f>
        <v>0</v>
      </c>
      <c r="BN1485" s="80">
        <f>ROUND(BI1485-BM1485,6)</f>
        <v>0</v>
      </c>
      <c r="BO1485" s="80">
        <f>IF(BE1485=1,ROUND(AS1485/60,6),0)</f>
        <v>0</v>
      </c>
      <c r="BP1485" s="80">
        <f>ROUND(BJ1485-BO1485,6)</f>
        <v>0</v>
      </c>
      <c r="BQ1485" s="80">
        <f>IF(BE1485=1,AW1485,0)</f>
        <v>0</v>
      </c>
      <c r="BR1485" s="80">
        <f>IF(BE1485=1,AX1485,0)</f>
        <v>0</v>
      </c>
      <c r="BS1485" s="80">
        <f>IF(AND(BE1485=1,D1485="Malcolm",BA1485&gt;0),MIN(BH1485,SUMPRODUCT((R_Emp="proMX")*(R_EN&gt;0)*((R_EN-(R_EN&gt;BR1485)*(R_EN-BR1485))&gt;(R_SN+(R_SN&lt;BQ1485)*(BQ1485-R_SN)))*((R_EN-(R_EN&gt;BR1485)*(R_EN-BR1485))-(R_SN+(R_SN&lt;BQ1485)*(BQ1485-R_SN))))/60),0)</f>
        <v>0</v>
      </c>
      <c r="BT1485" s="80">
        <f>IF(AND(BE1485=1,D1485="proMX"),ROUND(BI1485*CFG_RATE+BJ1485*CFG_OTRATE,6),0)</f>
        <v>0</v>
      </c>
      <c r="BU1485" s="80">
        <f>IF(AND(BD1485=1,D1485="proMX"),ROUND(AG1485/CFG_BLK,6),0)</f>
        <v>0</v>
      </c>
      <c r="BV1485" s="80" t="str">
        <f>IF(BF1485="Approved",IF(ISNUMBER(T1485),INT(T1485),INT(B1485)),"")</f>
        <v/>
      </c>
      <c r="BW1485" s="80">
        <f>IF(ISNUMBER(B1485),IF(DB_MON="Todos",1,IF(AND(INT(B1485)&gt;=DB_MS,INT(B1485)&lt;=DB_ME),1,0)),0)</f>
        <v>0</v>
      </c>
      <c r="BX1485" s="80">
        <f>IF(DB_PROJ="Todos",1,IF(E1485&amp;""=DB_PROJ&amp;"",1,0))</f>
        <v>1</v>
      </c>
      <c r="BY1485" s="80">
        <f>BW1485*BX1485</f>
        <v>0</v>
      </c>
      <c r="BZ1485" s="80" t="str">
        <f>IF(Y1485=1,F1485&amp;IF(AND(F1485&amp;""&lt;&gt;"",E1485&amp;""&lt;&gt;"")," · ","")&amp;E1485,"")</f>
        <v/>
      </c>
      <c r="CA1485" s="80" t="str">
        <f>IF(AND(BD1485=1,E1485&amp;""&lt;&gt;""),IF(COUNTIFS($E$5:E1484,E1485,$BD$5:BD1484,1)=0,MAX($CA$5:CA1484)+1,""),"")</f>
        <v/>
      </c>
      <c r="CB1485" s="80" t="str">
        <f>IF(AND(BE1485=1,D1485="Malcolm",E1485&amp;""&lt;&gt;""),IF(COUNTIFS($D$5:D1484,"Malcolm",$E$5:E1484,E1485,$BE$5:BE1484,1)=0,MAX($CB$5:CB1484)+1,""),"")</f>
        <v/>
      </c>
      <c r="CC1485" s="80" t="str">
        <f>IF(AND(BD1485=1,D1485="proMX",E1485&amp;""&lt;&gt;""),IF(COUNTIFS($D$5:D1484,"proMX",$E$5:E1484,E1485,$BD$5:BD1484,1)=0,MAX($CC$5:CC1484)+1,""),"")</f>
        <v/>
      </c>
      <c r="CD1485" s="80" t="str">
        <f>IF(AND(BE1485=1,D1485="Malcolm",F1485&amp;""&lt;&gt;""),IF(COUNTIFS($D$5:D1484,"Malcolm",$F$5:F1484,F1485,$BE$5:BE1484,1)=0,MAX($CD$5:CD1484)+1,""),"")</f>
        <v/>
      </c>
      <c r="CE1485" s="80" t="str">
        <f>IF(AND(BD1485=1,D1485="proMX",F1485&amp;""&lt;&gt;""),IF(COUNTIFS($D$5:D1484,"proMX",$F$5:F1484,F1485,$BD$5:BD1484,1)=0,MAX($CE$5:CE1484)+1,""),"")</f>
        <v/>
      </c>
      <c r="CF1485" s="80" t="str">
        <f>IF(AND(D1485="proMX",BD1485=1),IF(OR(BF1485="Draft",BF1485="Submitted",BF1485="Returned",BF1485="Recall Requested"),MAX($CF$5:CF1484)+1,""),"")</f>
        <v/>
      </c>
      <c r="CG1485" s="80">
        <f>IF(BD1485=0,0,IF(D1485="Malcolm",1,MATCH(BF1485,{"Draft","Submitted","Approved","Returned","Recall Requested","Cancelled"},0)+1))</f>
        <v>0</v>
      </c>
      <c r="CH1485" s="80">
        <f>IF(AND(BF1485="Submitted",ISNUMBER(V1485)),IF(V1485&gt;CFG_MAXD,1,0),0)</f>
        <v>0</v>
      </c>
    </row>
    <row r="1486">
      <c r="A1486" s="71" t="str">
        <f>IF(Y1486=1,ROW()-5,"")</f>
        <v/>
      </c>
      <c r="B1486" s="72" t="n"/>
      <c r="C1486" s="71" t="str">
        <f>IF(ISNUMBER(B1486),CHOOSE(WEEKDAY(B1486,2),"Lun","Mar","Mié","Jue","Vie","Sáb","Dom"),"")</f>
        <v/>
      </c>
      <c r="D1486" s="73" t="n"/>
      <c r="E1486" s="74" t="n"/>
      <c r="F1486" s="74" t="n"/>
      <c r="G1486" s="74" t="n"/>
      <c r="H1486" s="75" t="n"/>
      <c r="I1486" s="75" t="n"/>
      <c r="J1486" s="76" t="n"/>
      <c r="K1486" s="77" t="str">
        <f>IF(AB1486=1,ROUND(AG1486/60,4),"")</f>
        <v/>
      </c>
      <c r="L1486" s="77" t="str">
        <f>IF(BD1486=1,ROUND(AP1486/60,4),"")</f>
        <v/>
      </c>
      <c r="M1486" s="77" t="str">
        <f>IF(BD1486=1,ROUND(AQ1486/60,4),"")</f>
        <v/>
      </c>
      <c r="N1486" s="71" t="str">
        <f>IF(AND(D1486="proMX",AB1486=1),ROUND(AG1486/CFG_BLK,2),"")</f>
        <v/>
      </c>
      <c r="O1486" s="77" t="str">
        <f>IF(D1486="proMX",IF(BD1486=1,ROUND(AG1486/60,4),0),"")</f>
        <v/>
      </c>
      <c r="P1486" s="78" t="str">
        <f>IF(Y1486=0,"",IF(BD1486=1,"OK",IF(D1486="proMX","Revisar bloques: ","Revisar: ")&amp;BC1486))</f>
        <v/>
      </c>
      <c r="Q1486" s="78" t="str">
        <f>IF(NOT(ISNUMBER(B1486)),"",IF(COUNTIFS(FER_F,INT(B1486))&gt;0,"Feriado"&amp;IF(AH1486=1," (laborable)"," (no laborable)"),IF(AH1486=1,"Laborable",IF(WEEKDAY(B1486,2)&gt;5,"Fin de semana","No laborable"))))</f>
        <v/>
      </c>
      <c r="R1486" s="73" t="n"/>
      <c r="S1486" s="72" t="n"/>
      <c r="T1486" s="72" t="n"/>
      <c r="U1486" s="74" t="n"/>
      <c r="V1486" s="79" t="str">
        <f>IF(AND(D1486="proMX",OR(R1486="Submitted",R1486="Recall Requested"),ISNUMBER(S1486)),CFG_TODAY-INT(S1486),"")</f>
        <v/>
      </c>
      <c r="W1486" s="78" t="str">
        <f>IF(BD1486=0,"",IF(BA1486&gt;0,"⚠ Se superpone con un registro de la otra empresa",IF(D1486="Malcolm",IF(COUNTA(R1486,S1486,T1486)&gt;0,"Estado/fechas proMX se ignoran en Malcolm",""),IF(BF1486="Cancelled","Cancelado: excluido de totales",IF(R1486="","Sin estado: se trata como Draft",IF(BF1486="Submitted",IF(ISNUMBER(V1486),IF(V1486&gt;CFG_MAXD,"⚠ "&amp;V1486&amp;" días en Submitted (máx. "&amp;CFG_MAXD&amp;")",""),"Falta fecha de envío"),IF(BF1486="Returned","⚠ Devuelto: corregir y reenviar",IF(BF1486="Recall Requested","Retirada solicitada: pendiente",IF(AND(BF1486="Approved",NOT(ISNUMBER(T1486))),"Falta fecha de aprobación",IF(AND(ISNUMBER(S1486),ISNUMBER(T1486),T1486&lt;S1486),"Aprobación anterior al envío","")))))))))</f>
        <v/>
      </c>
      <c r="Y1486" s="80">
        <f>IF(COUNTA(B1486,D1486,E1486,F1486,G1486,H1486,I1486,J1486,R1486,S1486,T1486)&gt;0,1,0)</f>
        <v>0</v>
      </c>
      <c r="Z1486" s="80" t="str">
        <f>IF(AND(ISNUMBER(H1486),H1486&gt;=0,H1486&lt;1),ROUND(H1486*1440,0),"")</f>
        <v/>
      </c>
      <c r="AA1486" s="80" t="str">
        <f>IF(AND(ISNUMBER(I1486),I1486&gt;=0,I1486&lt;1),ROUND(I1486*1440,0),"")</f>
        <v/>
      </c>
      <c r="AB1486" s="80">
        <f>IF(AND(ISNUMBER(B1486),D1486&lt;&gt;"",ISNUMBER(Z1486),ISNUMBER(AA1486)),IF(Z1486=AA1486,0,1),0)</f>
        <v>0</v>
      </c>
      <c r="AC1486" s="80">
        <f>IF(AB1486=1,IF(AA1486&lt;Z1486,1,0),0)</f>
        <v>0</v>
      </c>
      <c r="AD1486" s="80">
        <f>IF(AB1486=1,IF(AC1486=1,1440-Z1486+AA1486,AA1486-Z1486),0)</f>
        <v>0</v>
      </c>
      <c r="AE1486" s="80">
        <f>IF(J1486="",0,IF(ISNUMBER(J1486),J1486,-1))</f>
        <v>0</v>
      </c>
      <c r="AF1486" s="80">
        <f>MIN(MAX(0,AE1486),AD1486)</f>
        <v>0</v>
      </c>
      <c r="AG1486" s="80">
        <f>MAX(0,AD1486-MAX(0,AE1486))</f>
        <v>0</v>
      </c>
      <c r="AH1486" s="80">
        <f>IF(ISNUMBER(B1486),IF(AND(INDEX(CFG_WDAYS,WEEKDAY(INT(B1486),2))="Sí",IF(D1486="proMX",COUNTIFS(FER_F,INT(B1486),FER_NLP,"Sí"),COUNTIFS(FER_F,INT(B1486),FER_NLM,"Sí"))=0),1,0),0)</f>
        <v>0</v>
      </c>
      <c r="AI1486" s="80">
        <f>IF(AC1486=1,IF(AND(INDEX(CFG_WDAYS,WEEKDAY(INT(B1486)+1,2))="Sí",IF(D1486="proMX",COUNTIFS(FER_F,INT(B1486)+1,FER_NLP,"Sí"),COUNTIFS(FER_F,INT(B1486)+1,FER_NLM,"Sí"))=0),1,0),0)</f>
        <v>0</v>
      </c>
      <c r="AJ1486" s="80">
        <f>IF(AC1486=1,1440-Z1486,AD1486)</f>
        <v>0</v>
      </c>
      <c r="AK1486" s="80">
        <f>IF(AND(AB1486=1,AH1486=1),MAX(0,MIN(IF(AC1486=1,1440,AA1486),CFG_WEM)-MAX(Z1486,CFG_WSM)),0)</f>
        <v>0</v>
      </c>
      <c r="AL1486" s="80">
        <f>IF(AND(AC1486=1,AI1486=1),MAX(0,MIN(AA1486,CFG_WEM)-CFG_WSM),0)</f>
        <v>0</v>
      </c>
      <c r="AM1486" s="80">
        <f>AK1486+AL1486</f>
        <v>0</v>
      </c>
      <c r="AN1486" s="80">
        <f>IF(CFG_BRK="Proporcional",IF(AD1486=0,0,AF1486*AM1486/AD1486),IF(CFG_BRK="Extras primero",MIN(AM1486,MAX(0,AF1486-(AD1486-AM1486))),MIN(AF1486,AM1486)))</f>
        <v>0</v>
      </c>
      <c r="AO1486" s="80">
        <f>AF1486-AN1486</f>
        <v>0</v>
      </c>
      <c r="AP1486" s="80">
        <f>AM1486-AN1486</f>
        <v>0</v>
      </c>
      <c r="AQ1486" s="80">
        <f>AD1486-AM1486-AO1486</f>
        <v>0</v>
      </c>
      <c r="AR1486" s="80">
        <f>IF(AM1486=0,0,AK1486-AN1486*AK1486/AM1486)</f>
        <v>0</v>
      </c>
      <c r="AS1486" s="80">
        <f>IF(AD1486-AM1486=0,0,(AJ1486-AK1486)-AO1486*(AJ1486-AK1486)/(AD1486-AM1486))</f>
        <v>0</v>
      </c>
      <c r="AT1486" s="80" t="str">
        <f>IF(AC1486=1,INT(B1486)+1,"")</f>
        <v/>
      </c>
      <c r="AU1486" s="80">
        <f>IF(AND(D1486="proMX",R1486="Cancelled"),0,1)</f>
        <v>1</v>
      </c>
      <c r="AV1486" s="80">
        <f>IF(AND(AB1486=1,AU1486=1),IF(COUNTIFS($D$5:D1485,D1486,$B$5:B1485,B1486,$Z$5:Z1485,Z1486,$AA$5:AA1485,AA1486,$F$5:F1485,F1486&amp;"",$AU$5:AU1485,1)&gt;0,1,0),0)</f>
        <v>0</v>
      </c>
      <c r="AW1486" s="80" t="str">
        <f>IF(AB1486=1,INT(B1486)*1440+Z1486,"")</f>
        <v/>
      </c>
      <c r="AX1486" s="80" t="str">
        <f>IF(AB1486=1,AW1486+AD1486,"")</f>
        <v/>
      </c>
      <c r="AY1486" s="80">
        <f>IF(AND(AB1486=1,AV1486=0,AU1486=1),1,0)</f>
        <v>0</v>
      </c>
      <c r="AZ1486" s="80">
        <f>IF(AY1486=1,COUNTIFS(R_Emp,D1486,R_SAbs,"&lt;"&amp;AX1486,R_EAbs,"&gt;"&amp;AW1486,R_OKey,1)-1,0)</f>
        <v>0</v>
      </c>
      <c r="BA1486" s="80">
        <f>IF(AY1486=1,COUNTIFS(R_Emp,"&lt;&gt;"&amp;D1486,R_SAbs,"&lt;"&amp;AX1486,R_EAbs,"&gt;"&amp;AW1486,R_OKey,1),0)</f>
        <v>0</v>
      </c>
      <c r="BB1486" s="80">
        <f>IF(AND(AB1486=1,D1486="proMX"),IF(AND(MOD(Z1486,CFG_BLK)=0,MOD(AA1486,CFG_BLK)=0,MOD(AG1486,CFG_BLK)=0,AG1486&gt;0),1,0),1)</f>
        <v>1</v>
      </c>
      <c r="BC1486" s="80" t="str">
        <f>IF(Y1486=0,"",IF(NOT(ISNUMBER(B1486)),"Falta fecha o fecha inválida",IF(D1486="","Falta empresa",IF(AND(D1486&lt;&gt;"Malcolm",D1486&lt;&gt;"proMX"),"Empresa inválida",IF(OR(INT(B1486)&lt;CFG_PSTART,INT(B1486)&gt;CFG_PEND),"Fecha fuera del período",IF(OR(NOT(ISNUMBER(Z1486)),NOT(ISNUMBER(AA1486))),"Falta hora inicio/fin o formato inválido",IF(AB1486=0,"Hora inicio = hora fin",IF(AE1486&lt;0,"Descanso inválido",IF(AE1486&gt;=AD1486,"Descanso ≥ duración",IF(AV1486=1,"Registro duplicado",IF(AZ1486&gt;0,"Se superpone con otro registro "&amp;D1486,IF(BB1486=0,"inicio, fin y duración neta deben ser múltiplos de "&amp;CFG_BLK&amp;" min",""))))))))))))</f>
        <v/>
      </c>
      <c r="BD1486" s="80">
        <f>IF(AND(Y1486=1,BC1486=""),1,0)</f>
        <v>0</v>
      </c>
      <c r="BE1486" s="80">
        <f>IF(AND(BD1486=1,AU1486=1),1,0)</f>
        <v>0</v>
      </c>
      <c r="BF1486" s="80" t="str">
        <f>IF(AND(D1486="proMX",BD1486=1),IF(R1486="","Draft",R1486),"")</f>
        <v/>
      </c>
      <c r="BG1486" s="80">
        <f>IF(BD1486=1,ROUND(AG1486/60,6),0)</f>
        <v>0</v>
      </c>
      <c r="BH1486" s="80">
        <f>IF(BE1486=1,ROUND(AG1486/60,6),0)</f>
        <v>0</v>
      </c>
      <c r="BI1486" s="80">
        <f>IF(BE1486=1,ROUND(AP1486/60,6),0)</f>
        <v>0</v>
      </c>
      <c r="BJ1486" s="80">
        <f>IF(BE1486=1,ROUND(AQ1486/60,6),0)</f>
        <v>0</v>
      </c>
      <c r="BK1486" s="80">
        <f>IF(BE1486=1,ROUND((AR1486+AS1486)/60,6),0)</f>
        <v>0</v>
      </c>
      <c r="BL1486" s="80">
        <f>ROUND(BH1486-BK1486,6)</f>
        <v>0</v>
      </c>
      <c r="BM1486" s="80">
        <f>IF(BE1486=1,ROUND(AR1486/60,6),0)</f>
        <v>0</v>
      </c>
      <c r="BN1486" s="80">
        <f>ROUND(BI1486-BM1486,6)</f>
        <v>0</v>
      </c>
      <c r="BO1486" s="80">
        <f>IF(BE1486=1,ROUND(AS1486/60,6),0)</f>
        <v>0</v>
      </c>
      <c r="BP1486" s="80">
        <f>ROUND(BJ1486-BO1486,6)</f>
        <v>0</v>
      </c>
      <c r="BQ1486" s="80">
        <f>IF(BE1486=1,AW1486,0)</f>
        <v>0</v>
      </c>
      <c r="BR1486" s="80">
        <f>IF(BE1486=1,AX1486,0)</f>
        <v>0</v>
      </c>
      <c r="BS1486" s="80">
        <f>IF(AND(BE1486=1,D1486="Malcolm",BA1486&gt;0),MIN(BH1486,SUMPRODUCT((R_Emp="proMX")*(R_EN&gt;0)*((R_EN-(R_EN&gt;BR1486)*(R_EN-BR1486))&gt;(R_SN+(R_SN&lt;BQ1486)*(BQ1486-R_SN)))*((R_EN-(R_EN&gt;BR1486)*(R_EN-BR1486))-(R_SN+(R_SN&lt;BQ1486)*(BQ1486-R_SN))))/60),0)</f>
        <v>0</v>
      </c>
      <c r="BT1486" s="80">
        <f>IF(AND(BE1486=1,D1486="proMX"),ROUND(BI1486*CFG_RATE+BJ1486*CFG_OTRATE,6),0)</f>
        <v>0</v>
      </c>
      <c r="BU1486" s="80">
        <f>IF(AND(BD1486=1,D1486="proMX"),ROUND(AG1486/CFG_BLK,6),0)</f>
        <v>0</v>
      </c>
      <c r="BV1486" s="80" t="str">
        <f>IF(BF1486="Approved",IF(ISNUMBER(T1486),INT(T1486),INT(B1486)),"")</f>
        <v/>
      </c>
      <c r="BW1486" s="80">
        <f>IF(ISNUMBER(B1486),IF(DB_MON="Todos",1,IF(AND(INT(B1486)&gt;=DB_MS,INT(B1486)&lt;=DB_ME),1,0)),0)</f>
        <v>0</v>
      </c>
      <c r="BX1486" s="80">
        <f>IF(DB_PROJ="Todos",1,IF(E1486&amp;""=DB_PROJ&amp;"",1,0))</f>
        <v>1</v>
      </c>
      <c r="BY1486" s="80">
        <f>BW1486*BX1486</f>
        <v>0</v>
      </c>
      <c r="BZ1486" s="80" t="str">
        <f>IF(Y1486=1,F1486&amp;IF(AND(F1486&amp;""&lt;&gt;"",E1486&amp;""&lt;&gt;"")," · ","")&amp;E1486,"")</f>
        <v/>
      </c>
      <c r="CA1486" s="80" t="str">
        <f>IF(AND(BD1486=1,E1486&amp;""&lt;&gt;""),IF(COUNTIFS($E$5:E1485,E1486,$BD$5:BD1485,1)=0,MAX($CA$5:CA1485)+1,""),"")</f>
        <v/>
      </c>
      <c r="CB1486" s="80" t="str">
        <f>IF(AND(BE1486=1,D1486="Malcolm",E1486&amp;""&lt;&gt;""),IF(COUNTIFS($D$5:D1485,"Malcolm",$E$5:E1485,E1486,$BE$5:BE1485,1)=0,MAX($CB$5:CB1485)+1,""),"")</f>
        <v/>
      </c>
      <c r="CC1486" s="80" t="str">
        <f>IF(AND(BD1486=1,D1486="proMX",E1486&amp;""&lt;&gt;""),IF(COUNTIFS($D$5:D1485,"proMX",$E$5:E1485,E1486,$BD$5:BD1485,1)=0,MAX($CC$5:CC1485)+1,""),"")</f>
        <v/>
      </c>
      <c r="CD1486" s="80" t="str">
        <f>IF(AND(BE1486=1,D1486="Malcolm",F1486&amp;""&lt;&gt;""),IF(COUNTIFS($D$5:D1485,"Malcolm",$F$5:F1485,F1486,$BE$5:BE1485,1)=0,MAX($CD$5:CD1485)+1,""),"")</f>
        <v/>
      </c>
      <c r="CE1486" s="80" t="str">
        <f>IF(AND(BD1486=1,D1486="proMX",F1486&amp;""&lt;&gt;""),IF(COUNTIFS($D$5:D1485,"proMX",$F$5:F1485,F1486,$BD$5:BD1485,1)=0,MAX($CE$5:CE1485)+1,""),"")</f>
        <v/>
      </c>
      <c r="CF1486" s="80" t="str">
        <f>IF(AND(D1486="proMX",BD1486=1),IF(OR(BF1486="Draft",BF1486="Submitted",BF1486="Returned",BF1486="Recall Requested"),MAX($CF$5:CF1485)+1,""),"")</f>
        <v/>
      </c>
      <c r="CG1486" s="80">
        <f>IF(BD1486=0,0,IF(D1486="Malcolm",1,MATCH(BF1486,{"Draft","Submitted","Approved","Returned","Recall Requested","Cancelled"},0)+1))</f>
        <v>0</v>
      </c>
      <c r="CH1486" s="80">
        <f>IF(AND(BF1486="Submitted",ISNUMBER(V1486)),IF(V1486&gt;CFG_MAXD,1,0),0)</f>
        <v>0</v>
      </c>
    </row>
    <row r="1487">
      <c r="A1487" s="71" t="str">
        <f>IF(Y1487=1,ROW()-5,"")</f>
        <v/>
      </c>
      <c r="B1487" s="72" t="n"/>
      <c r="C1487" s="71" t="str">
        <f>IF(ISNUMBER(B1487),CHOOSE(WEEKDAY(B1487,2),"Lun","Mar","Mié","Jue","Vie","Sáb","Dom"),"")</f>
        <v/>
      </c>
      <c r="D1487" s="73" t="n"/>
      <c r="E1487" s="74" t="n"/>
      <c r="F1487" s="74" t="n"/>
      <c r="G1487" s="74" t="n"/>
      <c r="H1487" s="75" t="n"/>
      <c r="I1487" s="75" t="n"/>
      <c r="J1487" s="76" t="n"/>
      <c r="K1487" s="77" t="str">
        <f>IF(AB1487=1,ROUND(AG1487/60,4),"")</f>
        <v/>
      </c>
      <c r="L1487" s="77" t="str">
        <f>IF(BD1487=1,ROUND(AP1487/60,4),"")</f>
        <v/>
      </c>
      <c r="M1487" s="77" t="str">
        <f>IF(BD1487=1,ROUND(AQ1487/60,4),"")</f>
        <v/>
      </c>
      <c r="N1487" s="71" t="str">
        <f>IF(AND(D1487="proMX",AB1487=1),ROUND(AG1487/CFG_BLK,2),"")</f>
        <v/>
      </c>
      <c r="O1487" s="77" t="str">
        <f>IF(D1487="proMX",IF(BD1487=1,ROUND(AG1487/60,4),0),"")</f>
        <v/>
      </c>
      <c r="P1487" s="78" t="str">
        <f>IF(Y1487=0,"",IF(BD1487=1,"OK",IF(D1487="proMX","Revisar bloques: ","Revisar: ")&amp;BC1487))</f>
        <v/>
      </c>
      <c r="Q1487" s="78" t="str">
        <f>IF(NOT(ISNUMBER(B1487)),"",IF(COUNTIFS(FER_F,INT(B1487))&gt;0,"Feriado"&amp;IF(AH1487=1," (laborable)"," (no laborable)"),IF(AH1487=1,"Laborable",IF(WEEKDAY(B1487,2)&gt;5,"Fin de semana","No laborable"))))</f>
        <v/>
      </c>
      <c r="R1487" s="73" t="n"/>
      <c r="S1487" s="72" t="n"/>
      <c r="T1487" s="72" t="n"/>
      <c r="U1487" s="74" t="n"/>
      <c r="V1487" s="79" t="str">
        <f>IF(AND(D1487="proMX",OR(R1487="Submitted",R1487="Recall Requested"),ISNUMBER(S1487)),CFG_TODAY-INT(S1487),"")</f>
        <v/>
      </c>
      <c r="W1487" s="78" t="str">
        <f>IF(BD1487=0,"",IF(BA1487&gt;0,"⚠ Se superpone con un registro de la otra empresa",IF(D1487="Malcolm",IF(COUNTA(R1487,S1487,T1487)&gt;0,"Estado/fechas proMX se ignoran en Malcolm",""),IF(BF1487="Cancelled","Cancelado: excluido de totales",IF(R1487="","Sin estado: se trata como Draft",IF(BF1487="Submitted",IF(ISNUMBER(V1487),IF(V1487&gt;CFG_MAXD,"⚠ "&amp;V1487&amp;" días en Submitted (máx. "&amp;CFG_MAXD&amp;")",""),"Falta fecha de envío"),IF(BF1487="Returned","⚠ Devuelto: corregir y reenviar",IF(BF1487="Recall Requested","Retirada solicitada: pendiente",IF(AND(BF1487="Approved",NOT(ISNUMBER(T1487))),"Falta fecha de aprobación",IF(AND(ISNUMBER(S1487),ISNUMBER(T1487),T1487&lt;S1487),"Aprobación anterior al envío","")))))))))</f>
        <v/>
      </c>
      <c r="Y1487" s="80">
        <f>IF(COUNTA(B1487,D1487,E1487,F1487,G1487,H1487,I1487,J1487,R1487,S1487,T1487)&gt;0,1,0)</f>
        <v>0</v>
      </c>
      <c r="Z1487" s="80" t="str">
        <f>IF(AND(ISNUMBER(H1487),H1487&gt;=0,H1487&lt;1),ROUND(H1487*1440,0),"")</f>
        <v/>
      </c>
      <c r="AA1487" s="80" t="str">
        <f>IF(AND(ISNUMBER(I1487),I1487&gt;=0,I1487&lt;1),ROUND(I1487*1440,0),"")</f>
        <v/>
      </c>
      <c r="AB1487" s="80">
        <f>IF(AND(ISNUMBER(B1487),D1487&lt;&gt;"",ISNUMBER(Z1487),ISNUMBER(AA1487)),IF(Z1487=AA1487,0,1),0)</f>
        <v>0</v>
      </c>
      <c r="AC1487" s="80">
        <f>IF(AB1487=1,IF(AA1487&lt;Z1487,1,0),0)</f>
        <v>0</v>
      </c>
      <c r="AD1487" s="80">
        <f>IF(AB1487=1,IF(AC1487=1,1440-Z1487+AA1487,AA1487-Z1487),0)</f>
        <v>0</v>
      </c>
      <c r="AE1487" s="80">
        <f>IF(J1487="",0,IF(ISNUMBER(J1487),J1487,-1))</f>
        <v>0</v>
      </c>
      <c r="AF1487" s="80">
        <f>MIN(MAX(0,AE1487),AD1487)</f>
        <v>0</v>
      </c>
      <c r="AG1487" s="80">
        <f>MAX(0,AD1487-MAX(0,AE1487))</f>
        <v>0</v>
      </c>
      <c r="AH1487" s="80">
        <f>IF(ISNUMBER(B1487),IF(AND(INDEX(CFG_WDAYS,WEEKDAY(INT(B1487),2))="Sí",IF(D1487="proMX",COUNTIFS(FER_F,INT(B1487),FER_NLP,"Sí"),COUNTIFS(FER_F,INT(B1487),FER_NLM,"Sí"))=0),1,0),0)</f>
        <v>0</v>
      </c>
      <c r="AI1487" s="80">
        <f>IF(AC1487=1,IF(AND(INDEX(CFG_WDAYS,WEEKDAY(INT(B1487)+1,2))="Sí",IF(D1487="proMX",COUNTIFS(FER_F,INT(B1487)+1,FER_NLP,"Sí"),COUNTIFS(FER_F,INT(B1487)+1,FER_NLM,"Sí"))=0),1,0),0)</f>
        <v>0</v>
      </c>
      <c r="AJ1487" s="80">
        <f>IF(AC1487=1,1440-Z1487,AD1487)</f>
        <v>0</v>
      </c>
      <c r="AK1487" s="80">
        <f>IF(AND(AB1487=1,AH1487=1),MAX(0,MIN(IF(AC1487=1,1440,AA1487),CFG_WEM)-MAX(Z1487,CFG_WSM)),0)</f>
        <v>0</v>
      </c>
      <c r="AL1487" s="80">
        <f>IF(AND(AC1487=1,AI1487=1),MAX(0,MIN(AA1487,CFG_WEM)-CFG_WSM),0)</f>
        <v>0</v>
      </c>
      <c r="AM1487" s="80">
        <f>AK1487+AL1487</f>
        <v>0</v>
      </c>
      <c r="AN1487" s="80">
        <f>IF(CFG_BRK="Proporcional",IF(AD1487=0,0,AF1487*AM1487/AD1487),IF(CFG_BRK="Extras primero",MIN(AM1487,MAX(0,AF1487-(AD1487-AM1487))),MIN(AF1487,AM1487)))</f>
        <v>0</v>
      </c>
      <c r="AO1487" s="80">
        <f>AF1487-AN1487</f>
        <v>0</v>
      </c>
      <c r="AP1487" s="80">
        <f>AM1487-AN1487</f>
        <v>0</v>
      </c>
      <c r="AQ1487" s="80">
        <f>AD1487-AM1487-AO1487</f>
        <v>0</v>
      </c>
      <c r="AR1487" s="80">
        <f>IF(AM1487=0,0,AK1487-AN1487*AK1487/AM1487)</f>
        <v>0</v>
      </c>
      <c r="AS1487" s="80">
        <f>IF(AD1487-AM1487=0,0,(AJ1487-AK1487)-AO1487*(AJ1487-AK1487)/(AD1487-AM1487))</f>
        <v>0</v>
      </c>
      <c r="AT1487" s="80" t="str">
        <f>IF(AC1487=1,INT(B1487)+1,"")</f>
        <v/>
      </c>
      <c r="AU1487" s="80">
        <f>IF(AND(D1487="proMX",R1487="Cancelled"),0,1)</f>
        <v>1</v>
      </c>
      <c r="AV1487" s="80">
        <f>IF(AND(AB1487=1,AU1487=1),IF(COUNTIFS($D$5:D1486,D1487,$B$5:B1486,B1487,$Z$5:Z1486,Z1487,$AA$5:AA1486,AA1487,$F$5:F1486,F1487&amp;"",$AU$5:AU1486,1)&gt;0,1,0),0)</f>
        <v>0</v>
      </c>
      <c r="AW1487" s="80" t="str">
        <f>IF(AB1487=1,INT(B1487)*1440+Z1487,"")</f>
        <v/>
      </c>
      <c r="AX1487" s="80" t="str">
        <f>IF(AB1487=1,AW1487+AD1487,"")</f>
        <v/>
      </c>
      <c r="AY1487" s="80">
        <f>IF(AND(AB1487=1,AV1487=0,AU1487=1),1,0)</f>
        <v>0</v>
      </c>
      <c r="AZ1487" s="80">
        <f>IF(AY1487=1,COUNTIFS(R_Emp,D1487,R_SAbs,"&lt;"&amp;AX1487,R_EAbs,"&gt;"&amp;AW1487,R_OKey,1)-1,0)</f>
        <v>0</v>
      </c>
      <c r="BA1487" s="80">
        <f>IF(AY1487=1,COUNTIFS(R_Emp,"&lt;&gt;"&amp;D1487,R_SAbs,"&lt;"&amp;AX1487,R_EAbs,"&gt;"&amp;AW1487,R_OKey,1),0)</f>
        <v>0</v>
      </c>
      <c r="BB1487" s="80">
        <f>IF(AND(AB1487=1,D1487="proMX"),IF(AND(MOD(Z1487,CFG_BLK)=0,MOD(AA1487,CFG_BLK)=0,MOD(AG1487,CFG_BLK)=0,AG1487&gt;0),1,0),1)</f>
        <v>1</v>
      </c>
      <c r="BC1487" s="80" t="str">
        <f>IF(Y1487=0,"",IF(NOT(ISNUMBER(B1487)),"Falta fecha o fecha inválida",IF(D1487="","Falta empresa",IF(AND(D1487&lt;&gt;"Malcolm",D1487&lt;&gt;"proMX"),"Empresa inválida",IF(OR(INT(B1487)&lt;CFG_PSTART,INT(B1487)&gt;CFG_PEND),"Fecha fuera del período",IF(OR(NOT(ISNUMBER(Z1487)),NOT(ISNUMBER(AA1487))),"Falta hora inicio/fin o formato inválido",IF(AB1487=0,"Hora inicio = hora fin",IF(AE1487&lt;0,"Descanso inválido",IF(AE1487&gt;=AD1487,"Descanso ≥ duración",IF(AV1487=1,"Registro duplicado",IF(AZ1487&gt;0,"Se superpone con otro registro "&amp;D1487,IF(BB1487=0,"inicio, fin y duración neta deben ser múltiplos de "&amp;CFG_BLK&amp;" min",""))))))))))))</f>
        <v/>
      </c>
      <c r="BD1487" s="80">
        <f>IF(AND(Y1487=1,BC1487=""),1,0)</f>
        <v>0</v>
      </c>
      <c r="BE1487" s="80">
        <f>IF(AND(BD1487=1,AU1487=1),1,0)</f>
        <v>0</v>
      </c>
      <c r="BF1487" s="80" t="str">
        <f>IF(AND(D1487="proMX",BD1487=1),IF(R1487="","Draft",R1487),"")</f>
        <v/>
      </c>
      <c r="BG1487" s="80">
        <f>IF(BD1487=1,ROUND(AG1487/60,6),0)</f>
        <v>0</v>
      </c>
      <c r="BH1487" s="80">
        <f>IF(BE1487=1,ROUND(AG1487/60,6),0)</f>
        <v>0</v>
      </c>
      <c r="BI1487" s="80">
        <f>IF(BE1487=1,ROUND(AP1487/60,6),0)</f>
        <v>0</v>
      </c>
      <c r="BJ1487" s="80">
        <f>IF(BE1487=1,ROUND(AQ1487/60,6),0)</f>
        <v>0</v>
      </c>
      <c r="BK1487" s="80">
        <f>IF(BE1487=1,ROUND((AR1487+AS1487)/60,6),0)</f>
        <v>0</v>
      </c>
      <c r="BL1487" s="80">
        <f>ROUND(BH1487-BK1487,6)</f>
        <v>0</v>
      </c>
      <c r="BM1487" s="80">
        <f>IF(BE1487=1,ROUND(AR1487/60,6),0)</f>
        <v>0</v>
      </c>
      <c r="BN1487" s="80">
        <f>ROUND(BI1487-BM1487,6)</f>
        <v>0</v>
      </c>
      <c r="BO1487" s="80">
        <f>IF(BE1487=1,ROUND(AS1487/60,6),0)</f>
        <v>0</v>
      </c>
      <c r="BP1487" s="80">
        <f>ROUND(BJ1487-BO1487,6)</f>
        <v>0</v>
      </c>
      <c r="BQ1487" s="80">
        <f>IF(BE1487=1,AW1487,0)</f>
        <v>0</v>
      </c>
      <c r="BR1487" s="80">
        <f>IF(BE1487=1,AX1487,0)</f>
        <v>0</v>
      </c>
      <c r="BS1487" s="80">
        <f>IF(AND(BE1487=1,D1487="Malcolm",BA1487&gt;0),MIN(BH1487,SUMPRODUCT((R_Emp="proMX")*(R_EN&gt;0)*((R_EN-(R_EN&gt;BR1487)*(R_EN-BR1487))&gt;(R_SN+(R_SN&lt;BQ1487)*(BQ1487-R_SN)))*((R_EN-(R_EN&gt;BR1487)*(R_EN-BR1487))-(R_SN+(R_SN&lt;BQ1487)*(BQ1487-R_SN))))/60),0)</f>
        <v>0</v>
      </c>
      <c r="BT1487" s="80">
        <f>IF(AND(BE1487=1,D1487="proMX"),ROUND(BI1487*CFG_RATE+BJ1487*CFG_OTRATE,6),0)</f>
        <v>0</v>
      </c>
      <c r="BU1487" s="80">
        <f>IF(AND(BD1487=1,D1487="proMX"),ROUND(AG1487/CFG_BLK,6),0)</f>
        <v>0</v>
      </c>
      <c r="BV1487" s="80" t="str">
        <f>IF(BF1487="Approved",IF(ISNUMBER(T1487),INT(T1487),INT(B1487)),"")</f>
        <v/>
      </c>
      <c r="BW1487" s="80">
        <f>IF(ISNUMBER(B1487),IF(DB_MON="Todos",1,IF(AND(INT(B1487)&gt;=DB_MS,INT(B1487)&lt;=DB_ME),1,0)),0)</f>
        <v>0</v>
      </c>
      <c r="BX1487" s="80">
        <f>IF(DB_PROJ="Todos",1,IF(E1487&amp;""=DB_PROJ&amp;"",1,0))</f>
        <v>1</v>
      </c>
      <c r="BY1487" s="80">
        <f>BW1487*BX1487</f>
        <v>0</v>
      </c>
      <c r="BZ1487" s="80" t="str">
        <f>IF(Y1487=1,F1487&amp;IF(AND(F1487&amp;""&lt;&gt;"",E1487&amp;""&lt;&gt;"")," · ","")&amp;E1487,"")</f>
        <v/>
      </c>
      <c r="CA1487" s="80" t="str">
        <f>IF(AND(BD1487=1,E1487&amp;""&lt;&gt;""),IF(COUNTIFS($E$5:E1486,E1487,$BD$5:BD1486,1)=0,MAX($CA$5:CA1486)+1,""),"")</f>
        <v/>
      </c>
      <c r="CB1487" s="80" t="str">
        <f>IF(AND(BE1487=1,D1487="Malcolm",E1487&amp;""&lt;&gt;""),IF(COUNTIFS($D$5:D1486,"Malcolm",$E$5:E1486,E1487,$BE$5:BE1486,1)=0,MAX($CB$5:CB1486)+1,""),"")</f>
        <v/>
      </c>
      <c r="CC1487" s="80" t="str">
        <f>IF(AND(BD1487=1,D1487="proMX",E1487&amp;""&lt;&gt;""),IF(COUNTIFS($D$5:D1486,"proMX",$E$5:E1486,E1487,$BD$5:BD1486,1)=0,MAX($CC$5:CC1486)+1,""),"")</f>
        <v/>
      </c>
      <c r="CD1487" s="80" t="str">
        <f>IF(AND(BE1487=1,D1487="Malcolm",F1487&amp;""&lt;&gt;""),IF(COUNTIFS($D$5:D1486,"Malcolm",$F$5:F1486,F1487,$BE$5:BE1486,1)=0,MAX($CD$5:CD1486)+1,""),"")</f>
        <v/>
      </c>
      <c r="CE1487" s="80" t="str">
        <f>IF(AND(BD1487=1,D1487="proMX",F1487&amp;""&lt;&gt;""),IF(COUNTIFS($D$5:D1486,"proMX",$F$5:F1486,F1487,$BD$5:BD1486,1)=0,MAX($CE$5:CE1486)+1,""),"")</f>
        <v/>
      </c>
      <c r="CF1487" s="80" t="str">
        <f>IF(AND(D1487="proMX",BD1487=1),IF(OR(BF1487="Draft",BF1487="Submitted",BF1487="Returned",BF1487="Recall Requested"),MAX($CF$5:CF1486)+1,""),"")</f>
        <v/>
      </c>
      <c r="CG1487" s="80">
        <f>IF(BD1487=0,0,IF(D1487="Malcolm",1,MATCH(BF1487,{"Draft","Submitted","Approved","Returned","Recall Requested","Cancelled"},0)+1))</f>
        <v>0</v>
      </c>
      <c r="CH1487" s="80">
        <f>IF(AND(BF1487="Submitted",ISNUMBER(V1487)),IF(V1487&gt;CFG_MAXD,1,0),0)</f>
        <v>0</v>
      </c>
    </row>
    <row r="1488">
      <c r="A1488" s="71" t="str">
        <f>IF(Y1488=1,ROW()-5,"")</f>
        <v/>
      </c>
      <c r="B1488" s="72" t="n"/>
      <c r="C1488" s="71" t="str">
        <f>IF(ISNUMBER(B1488),CHOOSE(WEEKDAY(B1488,2),"Lun","Mar","Mié","Jue","Vie","Sáb","Dom"),"")</f>
        <v/>
      </c>
      <c r="D1488" s="73" t="n"/>
      <c r="E1488" s="74" t="n"/>
      <c r="F1488" s="74" t="n"/>
      <c r="G1488" s="74" t="n"/>
      <c r="H1488" s="75" t="n"/>
      <c r="I1488" s="75" t="n"/>
      <c r="J1488" s="76" t="n"/>
      <c r="K1488" s="77" t="str">
        <f>IF(AB1488=1,ROUND(AG1488/60,4),"")</f>
        <v/>
      </c>
      <c r="L1488" s="77" t="str">
        <f>IF(BD1488=1,ROUND(AP1488/60,4),"")</f>
        <v/>
      </c>
      <c r="M1488" s="77" t="str">
        <f>IF(BD1488=1,ROUND(AQ1488/60,4),"")</f>
        <v/>
      </c>
      <c r="N1488" s="71" t="str">
        <f>IF(AND(D1488="proMX",AB1488=1),ROUND(AG1488/CFG_BLK,2),"")</f>
        <v/>
      </c>
      <c r="O1488" s="77" t="str">
        <f>IF(D1488="proMX",IF(BD1488=1,ROUND(AG1488/60,4),0),"")</f>
        <v/>
      </c>
      <c r="P1488" s="78" t="str">
        <f>IF(Y1488=0,"",IF(BD1488=1,"OK",IF(D1488="proMX","Revisar bloques: ","Revisar: ")&amp;BC1488))</f>
        <v/>
      </c>
      <c r="Q1488" s="78" t="str">
        <f>IF(NOT(ISNUMBER(B1488)),"",IF(COUNTIFS(FER_F,INT(B1488))&gt;0,"Feriado"&amp;IF(AH1488=1," (laborable)"," (no laborable)"),IF(AH1488=1,"Laborable",IF(WEEKDAY(B1488,2)&gt;5,"Fin de semana","No laborable"))))</f>
        <v/>
      </c>
      <c r="R1488" s="73" t="n"/>
      <c r="S1488" s="72" t="n"/>
      <c r="T1488" s="72" t="n"/>
      <c r="U1488" s="74" t="n"/>
      <c r="V1488" s="79" t="str">
        <f>IF(AND(D1488="proMX",OR(R1488="Submitted",R1488="Recall Requested"),ISNUMBER(S1488)),CFG_TODAY-INT(S1488),"")</f>
        <v/>
      </c>
      <c r="W1488" s="78" t="str">
        <f>IF(BD1488=0,"",IF(BA1488&gt;0,"⚠ Se superpone con un registro de la otra empresa",IF(D1488="Malcolm",IF(COUNTA(R1488,S1488,T1488)&gt;0,"Estado/fechas proMX se ignoran en Malcolm",""),IF(BF1488="Cancelled","Cancelado: excluido de totales",IF(R1488="","Sin estado: se trata como Draft",IF(BF1488="Submitted",IF(ISNUMBER(V1488),IF(V1488&gt;CFG_MAXD,"⚠ "&amp;V1488&amp;" días en Submitted (máx. "&amp;CFG_MAXD&amp;")",""),"Falta fecha de envío"),IF(BF1488="Returned","⚠ Devuelto: corregir y reenviar",IF(BF1488="Recall Requested","Retirada solicitada: pendiente",IF(AND(BF1488="Approved",NOT(ISNUMBER(T1488))),"Falta fecha de aprobación",IF(AND(ISNUMBER(S1488),ISNUMBER(T1488),T1488&lt;S1488),"Aprobación anterior al envío","")))))))))</f>
        <v/>
      </c>
      <c r="Y1488" s="80">
        <f>IF(COUNTA(B1488,D1488,E1488,F1488,G1488,H1488,I1488,J1488,R1488,S1488,T1488)&gt;0,1,0)</f>
        <v>0</v>
      </c>
      <c r="Z1488" s="80" t="str">
        <f>IF(AND(ISNUMBER(H1488),H1488&gt;=0,H1488&lt;1),ROUND(H1488*1440,0),"")</f>
        <v/>
      </c>
      <c r="AA1488" s="80" t="str">
        <f>IF(AND(ISNUMBER(I1488),I1488&gt;=0,I1488&lt;1),ROUND(I1488*1440,0),"")</f>
        <v/>
      </c>
      <c r="AB1488" s="80">
        <f>IF(AND(ISNUMBER(B1488),D1488&lt;&gt;"",ISNUMBER(Z1488),ISNUMBER(AA1488)),IF(Z1488=AA1488,0,1),0)</f>
        <v>0</v>
      </c>
      <c r="AC1488" s="80">
        <f>IF(AB1488=1,IF(AA1488&lt;Z1488,1,0),0)</f>
        <v>0</v>
      </c>
      <c r="AD1488" s="80">
        <f>IF(AB1488=1,IF(AC1488=1,1440-Z1488+AA1488,AA1488-Z1488),0)</f>
        <v>0</v>
      </c>
      <c r="AE1488" s="80">
        <f>IF(J1488="",0,IF(ISNUMBER(J1488),J1488,-1))</f>
        <v>0</v>
      </c>
      <c r="AF1488" s="80">
        <f>MIN(MAX(0,AE1488),AD1488)</f>
        <v>0</v>
      </c>
      <c r="AG1488" s="80">
        <f>MAX(0,AD1488-MAX(0,AE1488))</f>
        <v>0</v>
      </c>
      <c r="AH1488" s="80">
        <f>IF(ISNUMBER(B1488),IF(AND(INDEX(CFG_WDAYS,WEEKDAY(INT(B1488),2))="Sí",IF(D1488="proMX",COUNTIFS(FER_F,INT(B1488),FER_NLP,"Sí"),COUNTIFS(FER_F,INT(B1488),FER_NLM,"Sí"))=0),1,0),0)</f>
        <v>0</v>
      </c>
      <c r="AI1488" s="80">
        <f>IF(AC1488=1,IF(AND(INDEX(CFG_WDAYS,WEEKDAY(INT(B1488)+1,2))="Sí",IF(D1488="proMX",COUNTIFS(FER_F,INT(B1488)+1,FER_NLP,"Sí"),COUNTIFS(FER_F,INT(B1488)+1,FER_NLM,"Sí"))=0),1,0),0)</f>
        <v>0</v>
      </c>
      <c r="AJ1488" s="80">
        <f>IF(AC1488=1,1440-Z1488,AD1488)</f>
        <v>0</v>
      </c>
      <c r="AK1488" s="80">
        <f>IF(AND(AB1488=1,AH1488=1),MAX(0,MIN(IF(AC1488=1,1440,AA1488),CFG_WEM)-MAX(Z1488,CFG_WSM)),0)</f>
        <v>0</v>
      </c>
      <c r="AL1488" s="80">
        <f>IF(AND(AC1488=1,AI1488=1),MAX(0,MIN(AA1488,CFG_WEM)-CFG_WSM),0)</f>
        <v>0</v>
      </c>
      <c r="AM1488" s="80">
        <f>AK1488+AL1488</f>
        <v>0</v>
      </c>
      <c r="AN1488" s="80">
        <f>IF(CFG_BRK="Proporcional",IF(AD1488=0,0,AF1488*AM1488/AD1488),IF(CFG_BRK="Extras primero",MIN(AM1488,MAX(0,AF1488-(AD1488-AM1488))),MIN(AF1488,AM1488)))</f>
        <v>0</v>
      </c>
      <c r="AO1488" s="80">
        <f>AF1488-AN1488</f>
        <v>0</v>
      </c>
      <c r="AP1488" s="80">
        <f>AM1488-AN1488</f>
        <v>0</v>
      </c>
      <c r="AQ1488" s="80">
        <f>AD1488-AM1488-AO1488</f>
        <v>0</v>
      </c>
      <c r="AR1488" s="80">
        <f>IF(AM1488=0,0,AK1488-AN1488*AK1488/AM1488)</f>
        <v>0</v>
      </c>
      <c r="AS1488" s="80">
        <f>IF(AD1488-AM1488=0,0,(AJ1488-AK1488)-AO1488*(AJ1488-AK1488)/(AD1488-AM1488))</f>
        <v>0</v>
      </c>
      <c r="AT1488" s="80" t="str">
        <f>IF(AC1488=1,INT(B1488)+1,"")</f>
        <v/>
      </c>
      <c r="AU1488" s="80">
        <f>IF(AND(D1488="proMX",R1488="Cancelled"),0,1)</f>
        <v>1</v>
      </c>
      <c r="AV1488" s="80">
        <f>IF(AND(AB1488=1,AU1488=1),IF(COUNTIFS($D$5:D1487,D1488,$B$5:B1487,B1488,$Z$5:Z1487,Z1488,$AA$5:AA1487,AA1488,$F$5:F1487,F1488&amp;"",$AU$5:AU1487,1)&gt;0,1,0),0)</f>
        <v>0</v>
      </c>
      <c r="AW1488" s="80" t="str">
        <f>IF(AB1488=1,INT(B1488)*1440+Z1488,"")</f>
        <v/>
      </c>
      <c r="AX1488" s="80" t="str">
        <f>IF(AB1488=1,AW1488+AD1488,"")</f>
        <v/>
      </c>
      <c r="AY1488" s="80">
        <f>IF(AND(AB1488=1,AV1488=0,AU1488=1),1,0)</f>
        <v>0</v>
      </c>
      <c r="AZ1488" s="80">
        <f>IF(AY1488=1,COUNTIFS(R_Emp,D1488,R_SAbs,"&lt;"&amp;AX1488,R_EAbs,"&gt;"&amp;AW1488,R_OKey,1)-1,0)</f>
        <v>0</v>
      </c>
      <c r="BA1488" s="80">
        <f>IF(AY1488=1,COUNTIFS(R_Emp,"&lt;&gt;"&amp;D1488,R_SAbs,"&lt;"&amp;AX1488,R_EAbs,"&gt;"&amp;AW1488,R_OKey,1),0)</f>
        <v>0</v>
      </c>
      <c r="BB1488" s="80">
        <f>IF(AND(AB1488=1,D1488="proMX"),IF(AND(MOD(Z1488,CFG_BLK)=0,MOD(AA1488,CFG_BLK)=0,MOD(AG1488,CFG_BLK)=0,AG1488&gt;0),1,0),1)</f>
        <v>1</v>
      </c>
      <c r="BC1488" s="80" t="str">
        <f>IF(Y1488=0,"",IF(NOT(ISNUMBER(B1488)),"Falta fecha o fecha inválida",IF(D1488="","Falta empresa",IF(AND(D1488&lt;&gt;"Malcolm",D1488&lt;&gt;"proMX"),"Empresa inválida",IF(OR(INT(B1488)&lt;CFG_PSTART,INT(B1488)&gt;CFG_PEND),"Fecha fuera del período",IF(OR(NOT(ISNUMBER(Z1488)),NOT(ISNUMBER(AA1488))),"Falta hora inicio/fin o formato inválido",IF(AB1488=0,"Hora inicio = hora fin",IF(AE1488&lt;0,"Descanso inválido",IF(AE1488&gt;=AD1488,"Descanso ≥ duración",IF(AV1488=1,"Registro duplicado",IF(AZ1488&gt;0,"Se superpone con otro registro "&amp;D1488,IF(BB1488=0,"inicio, fin y duración neta deben ser múltiplos de "&amp;CFG_BLK&amp;" min",""))))))))))))</f>
        <v/>
      </c>
      <c r="BD1488" s="80">
        <f>IF(AND(Y1488=1,BC1488=""),1,0)</f>
        <v>0</v>
      </c>
      <c r="BE1488" s="80">
        <f>IF(AND(BD1488=1,AU1488=1),1,0)</f>
        <v>0</v>
      </c>
      <c r="BF1488" s="80" t="str">
        <f>IF(AND(D1488="proMX",BD1488=1),IF(R1488="","Draft",R1488),"")</f>
        <v/>
      </c>
      <c r="BG1488" s="80">
        <f>IF(BD1488=1,ROUND(AG1488/60,6),0)</f>
        <v>0</v>
      </c>
      <c r="BH1488" s="80">
        <f>IF(BE1488=1,ROUND(AG1488/60,6),0)</f>
        <v>0</v>
      </c>
      <c r="BI1488" s="80">
        <f>IF(BE1488=1,ROUND(AP1488/60,6),0)</f>
        <v>0</v>
      </c>
      <c r="BJ1488" s="80">
        <f>IF(BE1488=1,ROUND(AQ1488/60,6),0)</f>
        <v>0</v>
      </c>
      <c r="BK1488" s="80">
        <f>IF(BE1488=1,ROUND((AR1488+AS1488)/60,6),0)</f>
        <v>0</v>
      </c>
      <c r="BL1488" s="80">
        <f>ROUND(BH1488-BK1488,6)</f>
        <v>0</v>
      </c>
      <c r="BM1488" s="80">
        <f>IF(BE1488=1,ROUND(AR1488/60,6),0)</f>
        <v>0</v>
      </c>
      <c r="BN1488" s="80">
        <f>ROUND(BI1488-BM1488,6)</f>
        <v>0</v>
      </c>
      <c r="BO1488" s="80">
        <f>IF(BE1488=1,ROUND(AS1488/60,6),0)</f>
        <v>0</v>
      </c>
      <c r="BP1488" s="80">
        <f>ROUND(BJ1488-BO1488,6)</f>
        <v>0</v>
      </c>
      <c r="BQ1488" s="80">
        <f>IF(BE1488=1,AW1488,0)</f>
        <v>0</v>
      </c>
      <c r="BR1488" s="80">
        <f>IF(BE1488=1,AX1488,0)</f>
        <v>0</v>
      </c>
      <c r="BS1488" s="80">
        <f>IF(AND(BE1488=1,D1488="Malcolm",BA1488&gt;0),MIN(BH1488,SUMPRODUCT((R_Emp="proMX")*(R_EN&gt;0)*((R_EN-(R_EN&gt;BR1488)*(R_EN-BR1488))&gt;(R_SN+(R_SN&lt;BQ1488)*(BQ1488-R_SN)))*((R_EN-(R_EN&gt;BR1488)*(R_EN-BR1488))-(R_SN+(R_SN&lt;BQ1488)*(BQ1488-R_SN))))/60),0)</f>
        <v>0</v>
      </c>
      <c r="BT1488" s="80">
        <f>IF(AND(BE1488=1,D1488="proMX"),ROUND(BI1488*CFG_RATE+BJ1488*CFG_OTRATE,6),0)</f>
        <v>0</v>
      </c>
      <c r="BU1488" s="80">
        <f>IF(AND(BD1488=1,D1488="proMX"),ROUND(AG1488/CFG_BLK,6),0)</f>
        <v>0</v>
      </c>
      <c r="BV1488" s="80" t="str">
        <f>IF(BF1488="Approved",IF(ISNUMBER(T1488),INT(T1488),INT(B1488)),"")</f>
        <v/>
      </c>
      <c r="BW1488" s="80">
        <f>IF(ISNUMBER(B1488),IF(DB_MON="Todos",1,IF(AND(INT(B1488)&gt;=DB_MS,INT(B1488)&lt;=DB_ME),1,0)),0)</f>
        <v>0</v>
      </c>
      <c r="BX1488" s="80">
        <f>IF(DB_PROJ="Todos",1,IF(E1488&amp;""=DB_PROJ&amp;"",1,0))</f>
        <v>1</v>
      </c>
      <c r="BY1488" s="80">
        <f>BW1488*BX1488</f>
        <v>0</v>
      </c>
      <c r="BZ1488" s="80" t="str">
        <f>IF(Y1488=1,F1488&amp;IF(AND(F1488&amp;""&lt;&gt;"",E1488&amp;""&lt;&gt;"")," · ","")&amp;E1488,"")</f>
        <v/>
      </c>
      <c r="CA1488" s="80" t="str">
        <f>IF(AND(BD1488=1,E1488&amp;""&lt;&gt;""),IF(COUNTIFS($E$5:E1487,E1488,$BD$5:BD1487,1)=0,MAX($CA$5:CA1487)+1,""),"")</f>
        <v/>
      </c>
      <c r="CB1488" s="80" t="str">
        <f>IF(AND(BE1488=1,D1488="Malcolm",E1488&amp;""&lt;&gt;""),IF(COUNTIFS($D$5:D1487,"Malcolm",$E$5:E1487,E1488,$BE$5:BE1487,1)=0,MAX($CB$5:CB1487)+1,""),"")</f>
        <v/>
      </c>
      <c r="CC1488" s="80" t="str">
        <f>IF(AND(BD1488=1,D1488="proMX",E1488&amp;""&lt;&gt;""),IF(COUNTIFS($D$5:D1487,"proMX",$E$5:E1487,E1488,$BD$5:BD1487,1)=0,MAX($CC$5:CC1487)+1,""),"")</f>
        <v/>
      </c>
      <c r="CD1488" s="80" t="str">
        <f>IF(AND(BE1488=1,D1488="Malcolm",F1488&amp;""&lt;&gt;""),IF(COUNTIFS($D$5:D1487,"Malcolm",$F$5:F1487,F1488,$BE$5:BE1487,1)=0,MAX($CD$5:CD1487)+1,""),"")</f>
        <v/>
      </c>
      <c r="CE1488" s="80" t="str">
        <f>IF(AND(BD1488=1,D1488="proMX",F1488&amp;""&lt;&gt;""),IF(COUNTIFS($D$5:D1487,"proMX",$F$5:F1487,F1488,$BD$5:BD1487,1)=0,MAX($CE$5:CE1487)+1,""),"")</f>
        <v/>
      </c>
      <c r="CF1488" s="80" t="str">
        <f>IF(AND(D1488="proMX",BD1488=1),IF(OR(BF1488="Draft",BF1488="Submitted",BF1488="Returned",BF1488="Recall Requested"),MAX($CF$5:CF1487)+1,""),"")</f>
        <v/>
      </c>
      <c r="CG1488" s="80">
        <f>IF(BD1488=0,0,IF(D1488="Malcolm",1,MATCH(BF1488,{"Draft","Submitted","Approved","Returned","Recall Requested","Cancelled"},0)+1))</f>
        <v>0</v>
      </c>
      <c r="CH1488" s="80">
        <f>IF(AND(BF1488="Submitted",ISNUMBER(V1488)),IF(V1488&gt;CFG_MAXD,1,0),0)</f>
        <v>0</v>
      </c>
    </row>
    <row r="1489">
      <c r="A1489" s="71" t="str">
        <f>IF(Y1489=1,ROW()-5,"")</f>
        <v/>
      </c>
      <c r="B1489" s="72" t="n"/>
      <c r="C1489" s="71" t="str">
        <f>IF(ISNUMBER(B1489),CHOOSE(WEEKDAY(B1489,2),"Lun","Mar","Mié","Jue","Vie","Sáb","Dom"),"")</f>
        <v/>
      </c>
      <c r="D1489" s="73" t="n"/>
      <c r="E1489" s="74" t="n"/>
      <c r="F1489" s="74" t="n"/>
      <c r="G1489" s="74" t="n"/>
      <c r="H1489" s="75" t="n"/>
      <c r="I1489" s="75" t="n"/>
      <c r="J1489" s="76" t="n"/>
      <c r="K1489" s="77" t="str">
        <f>IF(AB1489=1,ROUND(AG1489/60,4),"")</f>
        <v/>
      </c>
      <c r="L1489" s="77" t="str">
        <f>IF(BD1489=1,ROUND(AP1489/60,4),"")</f>
        <v/>
      </c>
      <c r="M1489" s="77" t="str">
        <f>IF(BD1489=1,ROUND(AQ1489/60,4),"")</f>
        <v/>
      </c>
      <c r="N1489" s="71" t="str">
        <f>IF(AND(D1489="proMX",AB1489=1),ROUND(AG1489/CFG_BLK,2),"")</f>
        <v/>
      </c>
      <c r="O1489" s="77" t="str">
        <f>IF(D1489="proMX",IF(BD1489=1,ROUND(AG1489/60,4),0),"")</f>
        <v/>
      </c>
      <c r="P1489" s="78" t="str">
        <f>IF(Y1489=0,"",IF(BD1489=1,"OK",IF(D1489="proMX","Revisar bloques: ","Revisar: ")&amp;BC1489))</f>
        <v/>
      </c>
      <c r="Q1489" s="78" t="str">
        <f>IF(NOT(ISNUMBER(B1489)),"",IF(COUNTIFS(FER_F,INT(B1489))&gt;0,"Feriado"&amp;IF(AH1489=1," (laborable)"," (no laborable)"),IF(AH1489=1,"Laborable",IF(WEEKDAY(B1489,2)&gt;5,"Fin de semana","No laborable"))))</f>
        <v/>
      </c>
      <c r="R1489" s="73" t="n"/>
      <c r="S1489" s="72" t="n"/>
      <c r="T1489" s="72" t="n"/>
      <c r="U1489" s="74" t="n"/>
      <c r="V1489" s="79" t="str">
        <f>IF(AND(D1489="proMX",OR(R1489="Submitted",R1489="Recall Requested"),ISNUMBER(S1489)),CFG_TODAY-INT(S1489),"")</f>
        <v/>
      </c>
      <c r="W1489" s="78" t="str">
        <f>IF(BD1489=0,"",IF(BA1489&gt;0,"⚠ Se superpone con un registro de la otra empresa",IF(D1489="Malcolm",IF(COUNTA(R1489,S1489,T1489)&gt;0,"Estado/fechas proMX se ignoran en Malcolm",""),IF(BF1489="Cancelled","Cancelado: excluido de totales",IF(R1489="","Sin estado: se trata como Draft",IF(BF1489="Submitted",IF(ISNUMBER(V1489),IF(V1489&gt;CFG_MAXD,"⚠ "&amp;V1489&amp;" días en Submitted (máx. "&amp;CFG_MAXD&amp;")",""),"Falta fecha de envío"),IF(BF1489="Returned","⚠ Devuelto: corregir y reenviar",IF(BF1489="Recall Requested","Retirada solicitada: pendiente",IF(AND(BF1489="Approved",NOT(ISNUMBER(T1489))),"Falta fecha de aprobación",IF(AND(ISNUMBER(S1489),ISNUMBER(T1489),T1489&lt;S1489),"Aprobación anterior al envío","")))))))))</f>
        <v/>
      </c>
      <c r="Y1489" s="80">
        <f>IF(COUNTA(B1489,D1489,E1489,F1489,G1489,H1489,I1489,J1489,R1489,S1489,T1489)&gt;0,1,0)</f>
        <v>0</v>
      </c>
      <c r="Z1489" s="80" t="str">
        <f>IF(AND(ISNUMBER(H1489),H1489&gt;=0,H1489&lt;1),ROUND(H1489*1440,0),"")</f>
        <v/>
      </c>
      <c r="AA1489" s="80" t="str">
        <f>IF(AND(ISNUMBER(I1489),I1489&gt;=0,I1489&lt;1),ROUND(I1489*1440,0),"")</f>
        <v/>
      </c>
      <c r="AB1489" s="80">
        <f>IF(AND(ISNUMBER(B1489),D1489&lt;&gt;"",ISNUMBER(Z1489),ISNUMBER(AA1489)),IF(Z1489=AA1489,0,1),0)</f>
        <v>0</v>
      </c>
      <c r="AC1489" s="80">
        <f>IF(AB1489=1,IF(AA1489&lt;Z1489,1,0),0)</f>
        <v>0</v>
      </c>
      <c r="AD1489" s="80">
        <f>IF(AB1489=1,IF(AC1489=1,1440-Z1489+AA1489,AA1489-Z1489),0)</f>
        <v>0</v>
      </c>
      <c r="AE1489" s="80">
        <f>IF(J1489="",0,IF(ISNUMBER(J1489),J1489,-1))</f>
        <v>0</v>
      </c>
      <c r="AF1489" s="80">
        <f>MIN(MAX(0,AE1489),AD1489)</f>
        <v>0</v>
      </c>
      <c r="AG1489" s="80">
        <f>MAX(0,AD1489-MAX(0,AE1489))</f>
        <v>0</v>
      </c>
      <c r="AH1489" s="80">
        <f>IF(ISNUMBER(B1489),IF(AND(INDEX(CFG_WDAYS,WEEKDAY(INT(B1489),2))="Sí",IF(D1489="proMX",COUNTIFS(FER_F,INT(B1489),FER_NLP,"Sí"),COUNTIFS(FER_F,INT(B1489),FER_NLM,"Sí"))=0),1,0),0)</f>
        <v>0</v>
      </c>
      <c r="AI1489" s="80">
        <f>IF(AC1489=1,IF(AND(INDEX(CFG_WDAYS,WEEKDAY(INT(B1489)+1,2))="Sí",IF(D1489="proMX",COUNTIFS(FER_F,INT(B1489)+1,FER_NLP,"Sí"),COUNTIFS(FER_F,INT(B1489)+1,FER_NLM,"Sí"))=0),1,0),0)</f>
        <v>0</v>
      </c>
      <c r="AJ1489" s="80">
        <f>IF(AC1489=1,1440-Z1489,AD1489)</f>
        <v>0</v>
      </c>
      <c r="AK1489" s="80">
        <f>IF(AND(AB1489=1,AH1489=1),MAX(0,MIN(IF(AC1489=1,1440,AA1489),CFG_WEM)-MAX(Z1489,CFG_WSM)),0)</f>
        <v>0</v>
      </c>
      <c r="AL1489" s="80">
        <f>IF(AND(AC1489=1,AI1489=1),MAX(0,MIN(AA1489,CFG_WEM)-CFG_WSM),0)</f>
        <v>0</v>
      </c>
      <c r="AM1489" s="80">
        <f>AK1489+AL1489</f>
        <v>0</v>
      </c>
      <c r="AN1489" s="80">
        <f>IF(CFG_BRK="Proporcional",IF(AD1489=0,0,AF1489*AM1489/AD1489),IF(CFG_BRK="Extras primero",MIN(AM1489,MAX(0,AF1489-(AD1489-AM1489))),MIN(AF1489,AM1489)))</f>
        <v>0</v>
      </c>
      <c r="AO1489" s="80">
        <f>AF1489-AN1489</f>
        <v>0</v>
      </c>
      <c r="AP1489" s="80">
        <f>AM1489-AN1489</f>
        <v>0</v>
      </c>
      <c r="AQ1489" s="80">
        <f>AD1489-AM1489-AO1489</f>
        <v>0</v>
      </c>
      <c r="AR1489" s="80">
        <f>IF(AM1489=0,0,AK1489-AN1489*AK1489/AM1489)</f>
        <v>0</v>
      </c>
      <c r="AS1489" s="80">
        <f>IF(AD1489-AM1489=0,0,(AJ1489-AK1489)-AO1489*(AJ1489-AK1489)/(AD1489-AM1489))</f>
        <v>0</v>
      </c>
      <c r="AT1489" s="80" t="str">
        <f>IF(AC1489=1,INT(B1489)+1,"")</f>
        <v/>
      </c>
      <c r="AU1489" s="80">
        <f>IF(AND(D1489="proMX",R1489="Cancelled"),0,1)</f>
        <v>1</v>
      </c>
      <c r="AV1489" s="80">
        <f>IF(AND(AB1489=1,AU1489=1),IF(COUNTIFS($D$5:D1488,D1489,$B$5:B1488,B1489,$Z$5:Z1488,Z1489,$AA$5:AA1488,AA1489,$F$5:F1488,F1489&amp;"",$AU$5:AU1488,1)&gt;0,1,0),0)</f>
        <v>0</v>
      </c>
      <c r="AW1489" s="80" t="str">
        <f>IF(AB1489=1,INT(B1489)*1440+Z1489,"")</f>
        <v/>
      </c>
      <c r="AX1489" s="80" t="str">
        <f>IF(AB1489=1,AW1489+AD1489,"")</f>
        <v/>
      </c>
      <c r="AY1489" s="80">
        <f>IF(AND(AB1489=1,AV1489=0,AU1489=1),1,0)</f>
        <v>0</v>
      </c>
      <c r="AZ1489" s="80">
        <f>IF(AY1489=1,COUNTIFS(R_Emp,D1489,R_SAbs,"&lt;"&amp;AX1489,R_EAbs,"&gt;"&amp;AW1489,R_OKey,1)-1,0)</f>
        <v>0</v>
      </c>
      <c r="BA1489" s="80">
        <f>IF(AY1489=1,COUNTIFS(R_Emp,"&lt;&gt;"&amp;D1489,R_SAbs,"&lt;"&amp;AX1489,R_EAbs,"&gt;"&amp;AW1489,R_OKey,1),0)</f>
        <v>0</v>
      </c>
      <c r="BB1489" s="80">
        <f>IF(AND(AB1489=1,D1489="proMX"),IF(AND(MOD(Z1489,CFG_BLK)=0,MOD(AA1489,CFG_BLK)=0,MOD(AG1489,CFG_BLK)=0,AG1489&gt;0),1,0),1)</f>
        <v>1</v>
      </c>
      <c r="BC1489" s="80" t="str">
        <f>IF(Y1489=0,"",IF(NOT(ISNUMBER(B1489)),"Falta fecha o fecha inválida",IF(D1489="","Falta empresa",IF(AND(D1489&lt;&gt;"Malcolm",D1489&lt;&gt;"proMX"),"Empresa inválida",IF(OR(INT(B1489)&lt;CFG_PSTART,INT(B1489)&gt;CFG_PEND),"Fecha fuera del período",IF(OR(NOT(ISNUMBER(Z1489)),NOT(ISNUMBER(AA1489))),"Falta hora inicio/fin o formato inválido",IF(AB1489=0,"Hora inicio = hora fin",IF(AE1489&lt;0,"Descanso inválido",IF(AE1489&gt;=AD1489,"Descanso ≥ duración",IF(AV1489=1,"Registro duplicado",IF(AZ1489&gt;0,"Se superpone con otro registro "&amp;D1489,IF(BB1489=0,"inicio, fin y duración neta deben ser múltiplos de "&amp;CFG_BLK&amp;" min",""))))))))))))</f>
        <v/>
      </c>
      <c r="BD1489" s="80">
        <f>IF(AND(Y1489=1,BC1489=""),1,0)</f>
        <v>0</v>
      </c>
      <c r="BE1489" s="80">
        <f>IF(AND(BD1489=1,AU1489=1),1,0)</f>
        <v>0</v>
      </c>
      <c r="BF1489" s="80" t="str">
        <f>IF(AND(D1489="proMX",BD1489=1),IF(R1489="","Draft",R1489),"")</f>
        <v/>
      </c>
      <c r="BG1489" s="80">
        <f>IF(BD1489=1,ROUND(AG1489/60,6),0)</f>
        <v>0</v>
      </c>
      <c r="BH1489" s="80">
        <f>IF(BE1489=1,ROUND(AG1489/60,6),0)</f>
        <v>0</v>
      </c>
      <c r="BI1489" s="80">
        <f>IF(BE1489=1,ROUND(AP1489/60,6),0)</f>
        <v>0</v>
      </c>
      <c r="BJ1489" s="80">
        <f>IF(BE1489=1,ROUND(AQ1489/60,6),0)</f>
        <v>0</v>
      </c>
      <c r="BK1489" s="80">
        <f>IF(BE1489=1,ROUND((AR1489+AS1489)/60,6),0)</f>
        <v>0</v>
      </c>
      <c r="BL1489" s="80">
        <f>ROUND(BH1489-BK1489,6)</f>
        <v>0</v>
      </c>
      <c r="BM1489" s="80">
        <f>IF(BE1489=1,ROUND(AR1489/60,6),0)</f>
        <v>0</v>
      </c>
      <c r="BN1489" s="80">
        <f>ROUND(BI1489-BM1489,6)</f>
        <v>0</v>
      </c>
      <c r="BO1489" s="80">
        <f>IF(BE1489=1,ROUND(AS1489/60,6),0)</f>
        <v>0</v>
      </c>
      <c r="BP1489" s="80">
        <f>ROUND(BJ1489-BO1489,6)</f>
        <v>0</v>
      </c>
      <c r="BQ1489" s="80">
        <f>IF(BE1489=1,AW1489,0)</f>
        <v>0</v>
      </c>
      <c r="BR1489" s="80">
        <f>IF(BE1489=1,AX1489,0)</f>
        <v>0</v>
      </c>
      <c r="BS1489" s="80">
        <f>IF(AND(BE1489=1,D1489="Malcolm",BA1489&gt;0),MIN(BH1489,SUMPRODUCT((R_Emp="proMX")*(R_EN&gt;0)*((R_EN-(R_EN&gt;BR1489)*(R_EN-BR1489))&gt;(R_SN+(R_SN&lt;BQ1489)*(BQ1489-R_SN)))*((R_EN-(R_EN&gt;BR1489)*(R_EN-BR1489))-(R_SN+(R_SN&lt;BQ1489)*(BQ1489-R_SN))))/60),0)</f>
        <v>0</v>
      </c>
      <c r="BT1489" s="80">
        <f>IF(AND(BE1489=1,D1489="proMX"),ROUND(BI1489*CFG_RATE+BJ1489*CFG_OTRATE,6),0)</f>
        <v>0</v>
      </c>
      <c r="BU1489" s="80">
        <f>IF(AND(BD1489=1,D1489="proMX"),ROUND(AG1489/CFG_BLK,6),0)</f>
        <v>0</v>
      </c>
      <c r="BV1489" s="80" t="str">
        <f>IF(BF1489="Approved",IF(ISNUMBER(T1489),INT(T1489),INT(B1489)),"")</f>
        <v/>
      </c>
      <c r="BW1489" s="80">
        <f>IF(ISNUMBER(B1489),IF(DB_MON="Todos",1,IF(AND(INT(B1489)&gt;=DB_MS,INT(B1489)&lt;=DB_ME),1,0)),0)</f>
        <v>0</v>
      </c>
      <c r="BX1489" s="80">
        <f>IF(DB_PROJ="Todos",1,IF(E1489&amp;""=DB_PROJ&amp;"",1,0))</f>
        <v>1</v>
      </c>
      <c r="BY1489" s="80">
        <f>BW1489*BX1489</f>
        <v>0</v>
      </c>
      <c r="BZ1489" s="80" t="str">
        <f>IF(Y1489=1,F1489&amp;IF(AND(F1489&amp;""&lt;&gt;"",E1489&amp;""&lt;&gt;"")," · ","")&amp;E1489,"")</f>
        <v/>
      </c>
      <c r="CA1489" s="80" t="str">
        <f>IF(AND(BD1489=1,E1489&amp;""&lt;&gt;""),IF(COUNTIFS($E$5:E1488,E1489,$BD$5:BD1488,1)=0,MAX($CA$5:CA1488)+1,""),"")</f>
        <v/>
      </c>
      <c r="CB1489" s="80" t="str">
        <f>IF(AND(BE1489=1,D1489="Malcolm",E1489&amp;""&lt;&gt;""),IF(COUNTIFS($D$5:D1488,"Malcolm",$E$5:E1488,E1489,$BE$5:BE1488,1)=0,MAX($CB$5:CB1488)+1,""),"")</f>
        <v/>
      </c>
      <c r="CC1489" s="80" t="str">
        <f>IF(AND(BD1489=1,D1489="proMX",E1489&amp;""&lt;&gt;""),IF(COUNTIFS($D$5:D1488,"proMX",$E$5:E1488,E1489,$BD$5:BD1488,1)=0,MAX($CC$5:CC1488)+1,""),"")</f>
        <v/>
      </c>
      <c r="CD1489" s="80" t="str">
        <f>IF(AND(BE1489=1,D1489="Malcolm",F1489&amp;""&lt;&gt;""),IF(COUNTIFS($D$5:D1488,"Malcolm",$F$5:F1488,F1489,$BE$5:BE1488,1)=0,MAX($CD$5:CD1488)+1,""),"")</f>
        <v/>
      </c>
      <c r="CE1489" s="80" t="str">
        <f>IF(AND(BD1489=1,D1489="proMX",F1489&amp;""&lt;&gt;""),IF(COUNTIFS($D$5:D1488,"proMX",$F$5:F1488,F1489,$BD$5:BD1488,1)=0,MAX($CE$5:CE1488)+1,""),"")</f>
        <v/>
      </c>
      <c r="CF1489" s="80" t="str">
        <f>IF(AND(D1489="proMX",BD1489=1),IF(OR(BF1489="Draft",BF1489="Submitted",BF1489="Returned",BF1489="Recall Requested"),MAX($CF$5:CF1488)+1,""),"")</f>
        <v/>
      </c>
      <c r="CG1489" s="80">
        <f>IF(BD1489=0,0,IF(D1489="Malcolm",1,MATCH(BF1489,{"Draft","Submitted","Approved","Returned","Recall Requested","Cancelled"},0)+1))</f>
        <v>0</v>
      </c>
      <c r="CH1489" s="80">
        <f>IF(AND(BF1489="Submitted",ISNUMBER(V1489)),IF(V1489&gt;CFG_MAXD,1,0),0)</f>
        <v>0</v>
      </c>
    </row>
    <row r="1490">
      <c r="A1490" s="71" t="str">
        <f>IF(Y1490=1,ROW()-5,"")</f>
        <v/>
      </c>
      <c r="B1490" s="72" t="n"/>
      <c r="C1490" s="71" t="str">
        <f>IF(ISNUMBER(B1490),CHOOSE(WEEKDAY(B1490,2),"Lun","Mar","Mié","Jue","Vie","Sáb","Dom"),"")</f>
        <v/>
      </c>
      <c r="D1490" s="73" t="n"/>
      <c r="E1490" s="74" t="n"/>
      <c r="F1490" s="74" t="n"/>
      <c r="G1490" s="74" t="n"/>
      <c r="H1490" s="75" t="n"/>
      <c r="I1490" s="75" t="n"/>
      <c r="J1490" s="76" t="n"/>
      <c r="K1490" s="77" t="str">
        <f>IF(AB1490=1,ROUND(AG1490/60,4),"")</f>
        <v/>
      </c>
      <c r="L1490" s="77" t="str">
        <f>IF(BD1490=1,ROUND(AP1490/60,4),"")</f>
        <v/>
      </c>
      <c r="M1490" s="77" t="str">
        <f>IF(BD1490=1,ROUND(AQ1490/60,4),"")</f>
        <v/>
      </c>
      <c r="N1490" s="71" t="str">
        <f>IF(AND(D1490="proMX",AB1490=1),ROUND(AG1490/CFG_BLK,2),"")</f>
        <v/>
      </c>
      <c r="O1490" s="77" t="str">
        <f>IF(D1490="proMX",IF(BD1490=1,ROUND(AG1490/60,4),0),"")</f>
        <v/>
      </c>
      <c r="P1490" s="78" t="str">
        <f>IF(Y1490=0,"",IF(BD1490=1,"OK",IF(D1490="proMX","Revisar bloques: ","Revisar: ")&amp;BC1490))</f>
        <v/>
      </c>
      <c r="Q1490" s="78" t="str">
        <f>IF(NOT(ISNUMBER(B1490)),"",IF(COUNTIFS(FER_F,INT(B1490))&gt;0,"Feriado"&amp;IF(AH1490=1," (laborable)"," (no laborable)"),IF(AH1490=1,"Laborable",IF(WEEKDAY(B1490,2)&gt;5,"Fin de semana","No laborable"))))</f>
        <v/>
      </c>
      <c r="R1490" s="73" t="n"/>
      <c r="S1490" s="72" t="n"/>
      <c r="T1490" s="72" t="n"/>
      <c r="U1490" s="74" t="n"/>
      <c r="V1490" s="79" t="str">
        <f>IF(AND(D1490="proMX",OR(R1490="Submitted",R1490="Recall Requested"),ISNUMBER(S1490)),CFG_TODAY-INT(S1490),"")</f>
        <v/>
      </c>
      <c r="W1490" s="78" t="str">
        <f>IF(BD1490=0,"",IF(BA1490&gt;0,"⚠ Se superpone con un registro de la otra empresa",IF(D1490="Malcolm",IF(COUNTA(R1490,S1490,T1490)&gt;0,"Estado/fechas proMX se ignoran en Malcolm",""),IF(BF1490="Cancelled","Cancelado: excluido de totales",IF(R1490="","Sin estado: se trata como Draft",IF(BF1490="Submitted",IF(ISNUMBER(V1490),IF(V1490&gt;CFG_MAXD,"⚠ "&amp;V1490&amp;" días en Submitted (máx. "&amp;CFG_MAXD&amp;")",""),"Falta fecha de envío"),IF(BF1490="Returned","⚠ Devuelto: corregir y reenviar",IF(BF1490="Recall Requested","Retirada solicitada: pendiente",IF(AND(BF1490="Approved",NOT(ISNUMBER(T1490))),"Falta fecha de aprobación",IF(AND(ISNUMBER(S1490),ISNUMBER(T1490),T1490&lt;S1490),"Aprobación anterior al envío","")))))))))</f>
        <v/>
      </c>
      <c r="Y1490" s="80">
        <f>IF(COUNTA(B1490,D1490,E1490,F1490,G1490,H1490,I1490,J1490,R1490,S1490,T1490)&gt;0,1,0)</f>
        <v>0</v>
      </c>
      <c r="Z1490" s="80" t="str">
        <f>IF(AND(ISNUMBER(H1490),H1490&gt;=0,H1490&lt;1),ROUND(H1490*1440,0),"")</f>
        <v/>
      </c>
      <c r="AA1490" s="80" t="str">
        <f>IF(AND(ISNUMBER(I1490),I1490&gt;=0,I1490&lt;1),ROUND(I1490*1440,0),"")</f>
        <v/>
      </c>
      <c r="AB1490" s="80">
        <f>IF(AND(ISNUMBER(B1490),D1490&lt;&gt;"",ISNUMBER(Z1490),ISNUMBER(AA1490)),IF(Z1490=AA1490,0,1),0)</f>
        <v>0</v>
      </c>
      <c r="AC1490" s="80">
        <f>IF(AB1490=1,IF(AA1490&lt;Z1490,1,0),0)</f>
        <v>0</v>
      </c>
      <c r="AD1490" s="80">
        <f>IF(AB1490=1,IF(AC1490=1,1440-Z1490+AA1490,AA1490-Z1490),0)</f>
        <v>0</v>
      </c>
      <c r="AE1490" s="80">
        <f>IF(J1490="",0,IF(ISNUMBER(J1490),J1490,-1))</f>
        <v>0</v>
      </c>
      <c r="AF1490" s="80">
        <f>MIN(MAX(0,AE1490),AD1490)</f>
        <v>0</v>
      </c>
      <c r="AG1490" s="80">
        <f>MAX(0,AD1490-MAX(0,AE1490))</f>
        <v>0</v>
      </c>
      <c r="AH1490" s="80">
        <f>IF(ISNUMBER(B1490),IF(AND(INDEX(CFG_WDAYS,WEEKDAY(INT(B1490),2))="Sí",IF(D1490="proMX",COUNTIFS(FER_F,INT(B1490),FER_NLP,"Sí"),COUNTIFS(FER_F,INT(B1490),FER_NLM,"Sí"))=0),1,0),0)</f>
        <v>0</v>
      </c>
      <c r="AI1490" s="80">
        <f>IF(AC1490=1,IF(AND(INDEX(CFG_WDAYS,WEEKDAY(INT(B1490)+1,2))="Sí",IF(D1490="proMX",COUNTIFS(FER_F,INT(B1490)+1,FER_NLP,"Sí"),COUNTIFS(FER_F,INT(B1490)+1,FER_NLM,"Sí"))=0),1,0),0)</f>
        <v>0</v>
      </c>
      <c r="AJ1490" s="80">
        <f>IF(AC1490=1,1440-Z1490,AD1490)</f>
        <v>0</v>
      </c>
      <c r="AK1490" s="80">
        <f>IF(AND(AB1490=1,AH1490=1),MAX(0,MIN(IF(AC1490=1,1440,AA1490),CFG_WEM)-MAX(Z1490,CFG_WSM)),0)</f>
        <v>0</v>
      </c>
      <c r="AL1490" s="80">
        <f>IF(AND(AC1490=1,AI1490=1),MAX(0,MIN(AA1490,CFG_WEM)-CFG_WSM),0)</f>
        <v>0</v>
      </c>
      <c r="AM1490" s="80">
        <f>AK1490+AL1490</f>
        <v>0</v>
      </c>
      <c r="AN1490" s="80">
        <f>IF(CFG_BRK="Proporcional",IF(AD1490=0,0,AF1490*AM1490/AD1490),IF(CFG_BRK="Extras primero",MIN(AM1490,MAX(0,AF1490-(AD1490-AM1490))),MIN(AF1490,AM1490)))</f>
        <v>0</v>
      </c>
      <c r="AO1490" s="80">
        <f>AF1490-AN1490</f>
        <v>0</v>
      </c>
      <c r="AP1490" s="80">
        <f>AM1490-AN1490</f>
        <v>0</v>
      </c>
      <c r="AQ1490" s="80">
        <f>AD1490-AM1490-AO1490</f>
        <v>0</v>
      </c>
      <c r="AR1490" s="80">
        <f>IF(AM1490=0,0,AK1490-AN1490*AK1490/AM1490)</f>
        <v>0</v>
      </c>
      <c r="AS1490" s="80">
        <f>IF(AD1490-AM1490=0,0,(AJ1490-AK1490)-AO1490*(AJ1490-AK1490)/(AD1490-AM1490))</f>
        <v>0</v>
      </c>
      <c r="AT1490" s="80" t="str">
        <f>IF(AC1490=1,INT(B1490)+1,"")</f>
        <v/>
      </c>
      <c r="AU1490" s="80">
        <f>IF(AND(D1490="proMX",R1490="Cancelled"),0,1)</f>
        <v>1</v>
      </c>
      <c r="AV1490" s="80">
        <f>IF(AND(AB1490=1,AU1490=1),IF(COUNTIFS($D$5:D1489,D1490,$B$5:B1489,B1490,$Z$5:Z1489,Z1490,$AA$5:AA1489,AA1490,$F$5:F1489,F1490&amp;"",$AU$5:AU1489,1)&gt;0,1,0),0)</f>
        <v>0</v>
      </c>
      <c r="AW1490" s="80" t="str">
        <f>IF(AB1490=1,INT(B1490)*1440+Z1490,"")</f>
        <v/>
      </c>
      <c r="AX1490" s="80" t="str">
        <f>IF(AB1490=1,AW1490+AD1490,"")</f>
        <v/>
      </c>
      <c r="AY1490" s="80">
        <f>IF(AND(AB1490=1,AV1490=0,AU1490=1),1,0)</f>
        <v>0</v>
      </c>
      <c r="AZ1490" s="80">
        <f>IF(AY1490=1,COUNTIFS(R_Emp,D1490,R_SAbs,"&lt;"&amp;AX1490,R_EAbs,"&gt;"&amp;AW1490,R_OKey,1)-1,0)</f>
        <v>0</v>
      </c>
      <c r="BA1490" s="80">
        <f>IF(AY1490=1,COUNTIFS(R_Emp,"&lt;&gt;"&amp;D1490,R_SAbs,"&lt;"&amp;AX1490,R_EAbs,"&gt;"&amp;AW1490,R_OKey,1),0)</f>
        <v>0</v>
      </c>
      <c r="BB1490" s="80">
        <f>IF(AND(AB1490=1,D1490="proMX"),IF(AND(MOD(Z1490,CFG_BLK)=0,MOD(AA1490,CFG_BLK)=0,MOD(AG1490,CFG_BLK)=0,AG1490&gt;0),1,0),1)</f>
        <v>1</v>
      </c>
      <c r="BC1490" s="80" t="str">
        <f>IF(Y1490=0,"",IF(NOT(ISNUMBER(B1490)),"Falta fecha o fecha inválida",IF(D1490="","Falta empresa",IF(AND(D1490&lt;&gt;"Malcolm",D1490&lt;&gt;"proMX"),"Empresa inválida",IF(OR(INT(B1490)&lt;CFG_PSTART,INT(B1490)&gt;CFG_PEND),"Fecha fuera del período",IF(OR(NOT(ISNUMBER(Z1490)),NOT(ISNUMBER(AA1490))),"Falta hora inicio/fin o formato inválido",IF(AB1490=0,"Hora inicio = hora fin",IF(AE1490&lt;0,"Descanso inválido",IF(AE1490&gt;=AD1490,"Descanso ≥ duración",IF(AV1490=1,"Registro duplicado",IF(AZ1490&gt;0,"Se superpone con otro registro "&amp;D1490,IF(BB1490=0,"inicio, fin y duración neta deben ser múltiplos de "&amp;CFG_BLK&amp;" min",""))))))))))))</f>
        <v/>
      </c>
      <c r="BD1490" s="80">
        <f>IF(AND(Y1490=1,BC1490=""),1,0)</f>
        <v>0</v>
      </c>
      <c r="BE1490" s="80">
        <f>IF(AND(BD1490=1,AU1490=1),1,0)</f>
        <v>0</v>
      </c>
      <c r="BF1490" s="80" t="str">
        <f>IF(AND(D1490="proMX",BD1490=1),IF(R1490="","Draft",R1490),"")</f>
        <v/>
      </c>
      <c r="BG1490" s="80">
        <f>IF(BD1490=1,ROUND(AG1490/60,6),0)</f>
        <v>0</v>
      </c>
      <c r="BH1490" s="80">
        <f>IF(BE1490=1,ROUND(AG1490/60,6),0)</f>
        <v>0</v>
      </c>
      <c r="BI1490" s="80">
        <f>IF(BE1490=1,ROUND(AP1490/60,6),0)</f>
        <v>0</v>
      </c>
      <c r="BJ1490" s="80">
        <f>IF(BE1490=1,ROUND(AQ1490/60,6),0)</f>
        <v>0</v>
      </c>
      <c r="BK1490" s="80">
        <f>IF(BE1490=1,ROUND((AR1490+AS1490)/60,6),0)</f>
        <v>0</v>
      </c>
      <c r="BL1490" s="80">
        <f>ROUND(BH1490-BK1490,6)</f>
        <v>0</v>
      </c>
      <c r="BM1490" s="80">
        <f>IF(BE1490=1,ROUND(AR1490/60,6),0)</f>
        <v>0</v>
      </c>
      <c r="BN1490" s="80">
        <f>ROUND(BI1490-BM1490,6)</f>
        <v>0</v>
      </c>
      <c r="BO1490" s="80">
        <f>IF(BE1490=1,ROUND(AS1490/60,6),0)</f>
        <v>0</v>
      </c>
      <c r="BP1490" s="80">
        <f>ROUND(BJ1490-BO1490,6)</f>
        <v>0</v>
      </c>
      <c r="BQ1490" s="80">
        <f>IF(BE1490=1,AW1490,0)</f>
        <v>0</v>
      </c>
      <c r="BR1490" s="80">
        <f>IF(BE1490=1,AX1490,0)</f>
        <v>0</v>
      </c>
      <c r="BS1490" s="80">
        <f>IF(AND(BE1490=1,D1490="Malcolm",BA1490&gt;0),MIN(BH1490,SUMPRODUCT((R_Emp="proMX")*(R_EN&gt;0)*((R_EN-(R_EN&gt;BR1490)*(R_EN-BR1490))&gt;(R_SN+(R_SN&lt;BQ1490)*(BQ1490-R_SN)))*((R_EN-(R_EN&gt;BR1490)*(R_EN-BR1490))-(R_SN+(R_SN&lt;BQ1490)*(BQ1490-R_SN))))/60),0)</f>
        <v>0</v>
      </c>
      <c r="BT1490" s="80">
        <f>IF(AND(BE1490=1,D1490="proMX"),ROUND(BI1490*CFG_RATE+BJ1490*CFG_OTRATE,6),0)</f>
        <v>0</v>
      </c>
      <c r="BU1490" s="80">
        <f>IF(AND(BD1490=1,D1490="proMX"),ROUND(AG1490/CFG_BLK,6),0)</f>
        <v>0</v>
      </c>
      <c r="BV1490" s="80" t="str">
        <f>IF(BF1490="Approved",IF(ISNUMBER(T1490),INT(T1490),INT(B1490)),"")</f>
        <v/>
      </c>
      <c r="BW1490" s="80">
        <f>IF(ISNUMBER(B1490),IF(DB_MON="Todos",1,IF(AND(INT(B1490)&gt;=DB_MS,INT(B1490)&lt;=DB_ME),1,0)),0)</f>
        <v>0</v>
      </c>
      <c r="BX1490" s="80">
        <f>IF(DB_PROJ="Todos",1,IF(E1490&amp;""=DB_PROJ&amp;"",1,0))</f>
        <v>1</v>
      </c>
      <c r="BY1490" s="80">
        <f>BW1490*BX1490</f>
        <v>0</v>
      </c>
      <c r="BZ1490" s="80" t="str">
        <f>IF(Y1490=1,F1490&amp;IF(AND(F1490&amp;""&lt;&gt;"",E1490&amp;""&lt;&gt;"")," · ","")&amp;E1490,"")</f>
        <v/>
      </c>
      <c r="CA1490" s="80" t="str">
        <f>IF(AND(BD1490=1,E1490&amp;""&lt;&gt;""),IF(COUNTIFS($E$5:E1489,E1490,$BD$5:BD1489,1)=0,MAX($CA$5:CA1489)+1,""),"")</f>
        <v/>
      </c>
      <c r="CB1490" s="80" t="str">
        <f>IF(AND(BE1490=1,D1490="Malcolm",E1490&amp;""&lt;&gt;""),IF(COUNTIFS($D$5:D1489,"Malcolm",$E$5:E1489,E1490,$BE$5:BE1489,1)=0,MAX($CB$5:CB1489)+1,""),"")</f>
        <v/>
      </c>
      <c r="CC1490" s="80" t="str">
        <f>IF(AND(BD1490=1,D1490="proMX",E1490&amp;""&lt;&gt;""),IF(COUNTIFS($D$5:D1489,"proMX",$E$5:E1489,E1490,$BD$5:BD1489,1)=0,MAX($CC$5:CC1489)+1,""),"")</f>
        <v/>
      </c>
      <c r="CD1490" s="80" t="str">
        <f>IF(AND(BE1490=1,D1490="Malcolm",F1490&amp;""&lt;&gt;""),IF(COUNTIFS($D$5:D1489,"Malcolm",$F$5:F1489,F1490,$BE$5:BE1489,1)=0,MAX($CD$5:CD1489)+1,""),"")</f>
        <v/>
      </c>
      <c r="CE1490" s="80" t="str">
        <f>IF(AND(BD1490=1,D1490="proMX",F1490&amp;""&lt;&gt;""),IF(COUNTIFS($D$5:D1489,"proMX",$F$5:F1489,F1490,$BD$5:BD1489,1)=0,MAX($CE$5:CE1489)+1,""),"")</f>
        <v/>
      </c>
      <c r="CF1490" s="80" t="str">
        <f>IF(AND(D1490="proMX",BD1490=1),IF(OR(BF1490="Draft",BF1490="Submitted",BF1490="Returned",BF1490="Recall Requested"),MAX($CF$5:CF1489)+1,""),"")</f>
        <v/>
      </c>
      <c r="CG1490" s="80">
        <f>IF(BD1490=0,0,IF(D1490="Malcolm",1,MATCH(BF1490,{"Draft","Submitted","Approved","Returned","Recall Requested","Cancelled"},0)+1))</f>
        <v>0</v>
      </c>
      <c r="CH1490" s="80">
        <f>IF(AND(BF1490="Submitted",ISNUMBER(V1490)),IF(V1490&gt;CFG_MAXD,1,0),0)</f>
        <v>0</v>
      </c>
    </row>
    <row r="1491">
      <c r="A1491" s="71" t="str">
        <f>IF(Y1491=1,ROW()-5,"")</f>
        <v/>
      </c>
      <c r="B1491" s="72" t="n"/>
      <c r="C1491" s="71" t="str">
        <f>IF(ISNUMBER(B1491),CHOOSE(WEEKDAY(B1491,2),"Lun","Mar","Mié","Jue","Vie","Sáb","Dom"),"")</f>
        <v/>
      </c>
      <c r="D1491" s="73" t="n"/>
      <c r="E1491" s="74" t="n"/>
      <c r="F1491" s="74" t="n"/>
      <c r="G1491" s="74" t="n"/>
      <c r="H1491" s="75" t="n"/>
      <c r="I1491" s="75" t="n"/>
      <c r="J1491" s="76" t="n"/>
      <c r="K1491" s="77" t="str">
        <f>IF(AB1491=1,ROUND(AG1491/60,4),"")</f>
        <v/>
      </c>
      <c r="L1491" s="77" t="str">
        <f>IF(BD1491=1,ROUND(AP1491/60,4),"")</f>
        <v/>
      </c>
      <c r="M1491" s="77" t="str">
        <f>IF(BD1491=1,ROUND(AQ1491/60,4),"")</f>
        <v/>
      </c>
      <c r="N1491" s="71" t="str">
        <f>IF(AND(D1491="proMX",AB1491=1),ROUND(AG1491/CFG_BLK,2),"")</f>
        <v/>
      </c>
      <c r="O1491" s="77" t="str">
        <f>IF(D1491="proMX",IF(BD1491=1,ROUND(AG1491/60,4),0),"")</f>
        <v/>
      </c>
      <c r="P1491" s="78" t="str">
        <f>IF(Y1491=0,"",IF(BD1491=1,"OK",IF(D1491="proMX","Revisar bloques: ","Revisar: ")&amp;BC1491))</f>
        <v/>
      </c>
      <c r="Q1491" s="78" t="str">
        <f>IF(NOT(ISNUMBER(B1491)),"",IF(COUNTIFS(FER_F,INT(B1491))&gt;0,"Feriado"&amp;IF(AH1491=1," (laborable)"," (no laborable)"),IF(AH1491=1,"Laborable",IF(WEEKDAY(B1491,2)&gt;5,"Fin de semana","No laborable"))))</f>
        <v/>
      </c>
      <c r="R1491" s="73" t="n"/>
      <c r="S1491" s="72" t="n"/>
      <c r="T1491" s="72" t="n"/>
      <c r="U1491" s="74" t="n"/>
      <c r="V1491" s="79" t="str">
        <f>IF(AND(D1491="proMX",OR(R1491="Submitted",R1491="Recall Requested"),ISNUMBER(S1491)),CFG_TODAY-INT(S1491),"")</f>
        <v/>
      </c>
      <c r="W1491" s="78" t="str">
        <f>IF(BD1491=0,"",IF(BA1491&gt;0,"⚠ Se superpone con un registro de la otra empresa",IF(D1491="Malcolm",IF(COUNTA(R1491,S1491,T1491)&gt;0,"Estado/fechas proMX se ignoran en Malcolm",""),IF(BF1491="Cancelled","Cancelado: excluido de totales",IF(R1491="","Sin estado: se trata como Draft",IF(BF1491="Submitted",IF(ISNUMBER(V1491),IF(V1491&gt;CFG_MAXD,"⚠ "&amp;V1491&amp;" días en Submitted (máx. "&amp;CFG_MAXD&amp;")",""),"Falta fecha de envío"),IF(BF1491="Returned","⚠ Devuelto: corregir y reenviar",IF(BF1491="Recall Requested","Retirada solicitada: pendiente",IF(AND(BF1491="Approved",NOT(ISNUMBER(T1491))),"Falta fecha de aprobación",IF(AND(ISNUMBER(S1491),ISNUMBER(T1491),T1491&lt;S1491),"Aprobación anterior al envío","")))))))))</f>
        <v/>
      </c>
      <c r="Y1491" s="80">
        <f>IF(COUNTA(B1491,D1491,E1491,F1491,G1491,H1491,I1491,J1491,R1491,S1491,T1491)&gt;0,1,0)</f>
        <v>0</v>
      </c>
      <c r="Z1491" s="80" t="str">
        <f>IF(AND(ISNUMBER(H1491),H1491&gt;=0,H1491&lt;1),ROUND(H1491*1440,0),"")</f>
        <v/>
      </c>
      <c r="AA1491" s="80" t="str">
        <f>IF(AND(ISNUMBER(I1491),I1491&gt;=0,I1491&lt;1),ROUND(I1491*1440,0),"")</f>
        <v/>
      </c>
      <c r="AB1491" s="80">
        <f>IF(AND(ISNUMBER(B1491),D1491&lt;&gt;"",ISNUMBER(Z1491),ISNUMBER(AA1491)),IF(Z1491=AA1491,0,1),0)</f>
        <v>0</v>
      </c>
      <c r="AC1491" s="80">
        <f>IF(AB1491=1,IF(AA1491&lt;Z1491,1,0),0)</f>
        <v>0</v>
      </c>
      <c r="AD1491" s="80">
        <f>IF(AB1491=1,IF(AC1491=1,1440-Z1491+AA1491,AA1491-Z1491),0)</f>
        <v>0</v>
      </c>
      <c r="AE1491" s="80">
        <f>IF(J1491="",0,IF(ISNUMBER(J1491),J1491,-1))</f>
        <v>0</v>
      </c>
      <c r="AF1491" s="80">
        <f>MIN(MAX(0,AE1491),AD1491)</f>
        <v>0</v>
      </c>
      <c r="AG1491" s="80">
        <f>MAX(0,AD1491-MAX(0,AE1491))</f>
        <v>0</v>
      </c>
      <c r="AH1491" s="80">
        <f>IF(ISNUMBER(B1491),IF(AND(INDEX(CFG_WDAYS,WEEKDAY(INT(B1491),2))="Sí",IF(D1491="proMX",COUNTIFS(FER_F,INT(B1491),FER_NLP,"Sí"),COUNTIFS(FER_F,INT(B1491),FER_NLM,"Sí"))=0),1,0),0)</f>
        <v>0</v>
      </c>
      <c r="AI1491" s="80">
        <f>IF(AC1491=1,IF(AND(INDEX(CFG_WDAYS,WEEKDAY(INT(B1491)+1,2))="Sí",IF(D1491="proMX",COUNTIFS(FER_F,INT(B1491)+1,FER_NLP,"Sí"),COUNTIFS(FER_F,INT(B1491)+1,FER_NLM,"Sí"))=0),1,0),0)</f>
        <v>0</v>
      </c>
      <c r="AJ1491" s="80">
        <f>IF(AC1491=1,1440-Z1491,AD1491)</f>
        <v>0</v>
      </c>
      <c r="AK1491" s="80">
        <f>IF(AND(AB1491=1,AH1491=1),MAX(0,MIN(IF(AC1491=1,1440,AA1491),CFG_WEM)-MAX(Z1491,CFG_WSM)),0)</f>
        <v>0</v>
      </c>
      <c r="AL1491" s="80">
        <f>IF(AND(AC1491=1,AI1491=1),MAX(0,MIN(AA1491,CFG_WEM)-CFG_WSM),0)</f>
        <v>0</v>
      </c>
      <c r="AM1491" s="80">
        <f>AK1491+AL1491</f>
        <v>0</v>
      </c>
      <c r="AN1491" s="80">
        <f>IF(CFG_BRK="Proporcional",IF(AD1491=0,0,AF1491*AM1491/AD1491),IF(CFG_BRK="Extras primero",MIN(AM1491,MAX(0,AF1491-(AD1491-AM1491))),MIN(AF1491,AM1491)))</f>
        <v>0</v>
      </c>
      <c r="AO1491" s="80">
        <f>AF1491-AN1491</f>
        <v>0</v>
      </c>
      <c r="AP1491" s="80">
        <f>AM1491-AN1491</f>
        <v>0</v>
      </c>
      <c r="AQ1491" s="80">
        <f>AD1491-AM1491-AO1491</f>
        <v>0</v>
      </c>
      <c r="AR1491" s="80">
        <f>IF(AM1491=0,0,AK1491-AN1491*AK1491/AM1491)</f>
        <v>0</v>
      </c>
      <c r="AS1491" s="80">
        <f>IF(AD1491-AM1491=0,0,(AJ1491-AK1491)-AO1491*(AJ1491-AK1491)/(AD1491-AM1491))</f>
        <v>0</v>
      </c>
      <c r="AT1491" s="80" t="str">
        <f>IF(AC1491=1,INT(B1491)+1,"")</f>
        <v/>
      </c>
      <c r="AU1491" s="80">
        <f>IF(AND(D1491="proMX",R1491="Cancelled"),0,1)</f>
        <v>1</v>
      </c>
      <c r="AV1491" s="80">
        <f>IF(AND(AB1491=1,AU1491=1),IF(COUNTIFS($D$5:D1490,D1491,$B$5:B1490,B1491,$Z$5:Z1490,Z1491,$AA$5:AA1490,AA1491,$F$5:F1490,F1491&amp;"",$AU$5:AU1490,1)&gt;0,1,0),0)</f>
        <v>0</v>
      </c>
      <c r="AW1491" s="80" t="str">
        <f>IF(AB1491=1,INT(B1491)*1440+Z1491,"")</f>
        <v/>
      </c>
      <c r="AX1491" s="80" t="str">
        <f>IF(AB1491=1,AW1491+AD1491,"")</f>
        <v/>
      </c>
      <c r="AY1491" s="80">
        <f>IF(AND(AB1491=1,AV1491=0,AU1491=1),1,0)</f>
        <v>0</v>
      </c>
      <c r="AZ1491" s="80">
        <f>IF(AY1491=1,COUNTIFS(R_Emp,D1491,R_SAbs,"&lt;"&amp;AX1491,R_EAbs,"&gt;"&amp;AW1491,R_OKey,1)-1,0)</f>
        <v>0</v>
      </c>
      <c r="BA1491" s="80">
        <f>IF(AY1491=1,COUNTIFS(R_Emp,"&lt;&gt;"&amp;D1491,R_SAbs,"&lt;"&amp;AX1491,R_EAbs,"&gt;"&amp;AW1491,R_OKey,1),0)</f>
        <v>0</v>
      </c>
      <c r="BB1491" s="80">
        <f>IF(AND(AB1491=1,D1491="proMX"),IF(AND(MOD(Z1491,CFG_BLK)=0,MOD(AA1491,CFG_BLK)=0,MOD(AG1491,CFG_BLK)=0,AG1491&gt;0),1,0),1)</f>
        <v>1</v>
      </c>
      <c r="BC1491" s="80" t="str">
        <f>IF(Y1491=0,"",IF(NOT(ISNUMBER(B1491)),"Falta fecha o fecha inválida",IF(D1491="","Falta empresa",IF(AND(D1491&lt;&gt;"Malcolm",D1491&lt;&gt;"proMX"),"Empresa inválida",IF(OR(INT(B1491)&lt;CFG_PSTART,INT(B1491)&gt;CFG_PEND),"Fecha fuera del período",IF(OR(NOT(ISNUMBER(Z1491)),NOT(ISNUMBER(AA1491))),"Falta hora inicio/fin o formato inválido",IF(AB1491=0,"Hora inicio = hora fin",IF(AE1491&lt;0,"Descanso inválido",IF(AE1491&gt;=AD1491,"Descanso ≥ duración",IF(AV1491=1,"Registro duplicado",IF(AZ1491&gt;0,"Se superpone con otro registro "&amp;D1491,IF(BB1491=0,"inicio, fin y duración neta deben ser múltiplos de "&amp;CFG_BLK&amp;" min",""))))))))))))</f>
        <v/>
      </c>
      <c r="BD1491" s="80">
        <f>IF(AND(Y1491=1,BC1491=""),1,0)</f>
        <v>0</v>
      </c>
      <c r="BE1491" s="80">
        <f>IF(AND(BD1491=1,AU1491=1),1,0)</f>
        <v>0</v>
      </c>
      <c r="BF1491" s="80" t="str">
        <f>IF(AND(D1491="proMX",BD1491=1),IF(R1491="","Draft",R1491),"")</f>
        <v/>
      </c>
      <c r="BG1491" s="80">
        <f>IF(BD1491=1,ROUND(AG1491/60,6),0)</f>
        <v>0</v>
      </c>
      <c r="BH1491" s="80">
        <f>IF(BE1491=1,ROUND(AG1491/60,6),0)</f>
        <v>0</v>
      </c>
      <c r="BI1491" s="80">
        <f>IF(BE1491=1,ROUND(AP1491/60,6),0)</f>
        <v>0</v>
      </c>
      <c r="BJ1491" s="80">
        <f>IF(BE1491=1,ROUND(AQ1491/60,6),0)</f>
        <v>0</v>
      </c>
      <c r="BK1491" s="80">
        <f>IF(BE1491=1,ROUND((AR1491+AS1491)/60,6),0)</f>
        <v>0</v>
      </c>
      <c r="BL1491" s="80">
        <f>ROUND(BH1491-BK1491,6)</f>
        <v>0</v>
      </c>
      <c r="BM1491" s="80">
        <f>IF(BE1491=1,ROUND(AR1491/60,6),0)</f>
        <v>0</v>
      </c>
      <c r="BN1491" s="80">
        <f>ROUND(BI1491-BM1491,6)</f>
        <v>0</v>
      </c>
      <c r="BO1491" s="80">
        <f>IF(BE1491=1,ROUND(AS1491/60,6),0)</f>
        <v>0</v>
      </c>
      <c r="BP1491" s="80">
        <f>ROUND(BJ1491-BO1491,6)</f>
        <v>0</v>
      </c>
      <c r="BQ1491" s="80">
        <f>IF(BE1491=1,AW1491,0)</f>
        <v>0</v>
      </c>
      <c r="BR1491" s="80">
        <f>IF(BE1491=1,AX1491,0)</f>
        <v>0</v>
      </c>
      <c r="BS1491" s="80">
        <f>IF(AND(BE1491=1,D1491="Malcolm",BA1491&gt;0),MIN(BH1491,SUMPRODUCT((R_Emp="proMX")*(R_EN&gt;0)*((R_EN-(R_EN&gt;BR1491)*(R_EN-BR1491))&gt;(R_SN+(R_SN&lt;BQ1491)*(BQ1491-R_SN)))*((R_EN-(R_EN&gt;BR1491)*(R_EN-BR1491))-(R_SN+(R_SN&lt;BQ1491)*(BQ1491-R_SN))))/60),0)</f>
        <v>0</v>
      </c>
      <c r="BT1491" s="80">
        <f>IF(AND(BE1491=1,D1491="proMX"),ROUND(BI1491*CFG_RATE+BJ1491*CFG_OTRATE,6),0)</f>
        <v>0</v>
      </c>
      <c r="BU1491" s="80">
        <f>IF(AND(BD1491=1,D1491="proMX"),ROUND(AG1491/CFG_BLK,6),0)</f>
        <v>0</v>
      </c>
      <c r="BV1491" s="80" t="str">
        <f>IF(BF1491="Approved",IF(ISNUMBER(T1491),INT(T1491),INT(B1491)),"")</f>
        <v/>
      </c>
      <c r="BW1491" s="80">
        <f>IF(ISNUMBER(B1491),IF(DB_MON="Todos",1,IF(AND(INT(B1491)&gt;=DB_MS,INT(B1491)&lt;=DB_ME),1,0)),0)</f>
        <v>0</v>
      </c>
      <c r="BX1491" s="80">
        <f>IF(DB_PROJ="Todos",1,IF(E1491&amp;""=DB_PROJ&amp;"",1,0))</f>
        <v>1</v>
      </c>
      <c r="BY1491" s="80">
        <f>BW1491*BX1491</f>
        <v>0</v>
      </c>
      <c r="BZ1491" s="80" t="str">
        <f>IF(Y1491=1,F1491&amp;IF(AND(F1491&amp;""&lt;&gt;"",E1491&amp;""&lt;&gt;"")," · ","")&amp;E1491,"")</f>
        <v/>
      </c>
      <c r="CA1491" s="80" t="str">
        <f>IF(AND(BD1491=1,E1491&amp;""&lt;&gt;""),IF(COUNTIFS($E$5:E1490,E1491,$BD$5:BD1490,1)=0,MAX($CA$5:CA1490)+1,""),"")</f>
        <v/>
      </c>
      <c r="CB1491" s="80" t="str">
        <f>IF(AND(BE1491=1,D1491="Malcolm",E1491&amp;""&lt;&gt;""),IF(COUNTIFS($D$5:D1490,"Malcolm",$E$5:E1490,E1491,$BE$5:BE1490,1)=0,MAX($CB$5:CB1490)+1,""),"")</f>
        <v/>
      </c>
      <c r="CC1491" s="80" t="str">
        <f>IF(AND(BD1491=1,D1491="proMX",E1491&amp;""&lt;&gt;""),IF(COUNTIFS($D$5:D1490,"proMX",$E$5:E1490,E1491,$BD$5:BD1490,1)=0,MAX($CC$5:CC1490)+1,""),"")</f>
        <v/>
      </c>
      <c r="CD1491" s="80" t="str">
        <f>IF(AND(BE1491=1,D1491="Malcolm",F1491&amp;""&lt;&gt;""),IF(COUNTIFS($D$5:D1490,"Malcolm",$F$5:F1490,F1491,$BE$5:BE1490,1)=0,MAX($CD$5:CD1490)+1,""),"")</f>
        <v/>
      </c>
      <c r="CE1491" s="80" t="str">
        <f>IF(AND(BD1491=1,D1491="proMX",F1491&amp;""&lt;&gt;""),IF(COUNTIFS($D$5:D1490,"proMX",$F$5:F1490,F1491,$BD$5:BD1490,1)=0,MAX($CE$5:CE1490)+1,""),"")</f>
        <v/>
      </c>
      <c r="CF1491" s="80" t="str">
        <f>IF(AND(D1491="proMX",BD1491=1),IF(OR(BF1491="Draft",BF1491="Submitted",BF1491="Returned",BF1491="Recall Requested"),MAX($CF$5:CF1490)+1,""),"")</f>
        <v/>
      </c>
      <c r="CG1491" s="80">
        <f>IF(BD1491=0,0,IF(D1491="Malcolm",1,MATCH(BF1491,{"Draft","Submitted","Approved","Returned","Recall Requested","Cancelled"},0)+1))</f>
        <v>0</v>
      </c>
      <c r="CH1491" s="80">
        <f>IF(AND(BF1491="Submitted",ISNUMBER(V1491)),IF(V1491&gt;CFG_MAXD,1,0),0)</f>
        <v>0</v>
      </c>
    </row>
    <row r="1492">
      <c r="A1492" s="71" t="str">
        <f>IF(Y1492=1,ROW()-5,"")</f>
        <v/>
      </c>
      <c r="B1492" s="72" t="n"/>
      <c r="C1492" s="71" t="str">
        <f>IF(ISNUMBER(B1492),CHOOSE(WEEKDAY(B1492,2),"Lun","Mar","Mié","Jue","Vie","Sáb","Dom"),"")</f>
        <v/>
      </c>
      <c r="D1492" s="73" t="n"/>
      <c r="E1492" s="74" t="n"/>
      <c r="F1492" s="74" t="n"/>
      <c r="G1492" s="74" t="n"/>
      <c r="H1492" s="75" t="n"/>
      <c r="I1492" s="75" t="n"/>
      <c r="J1492" s="76" t="n"/>
      <c r="K1492" s="77" t="str">
        <f>IF(AB1492=1,ROUND(AG1492/60,4),"")</f>
        <v/>
      </c>
      <c r="L1492" s="77" t="str">
        <f>IF(BD1492=1,ROUND(AP1492/60,4),"")</f>
        <v/>
      </c>
      <c r="M1492" s="77" t="str">
        <f>IF(BD1492=1,ROUND(AQ1492/60,4),"")</f>
        <v/>
      </c>
      <c r="N1492" s="71" t="str">
        <f>IF(AND(D1492="proMX",AB1492=1),ROUND(AG1492/CFG_BLK,2),"")</f>
        <v/>
      </c>
      <c r="O1492" s="77" t="str">
        <f>IF(D1492="proMX",IF(BD1492=1,ROUND(AG1492/60,4),0),"")</f>
        <v/>
      </c>
      <c r="P1492" s="78" t="str">
        <f>IF(Y1492=0,"",IF(BD1492=1,"OK",IF(D1492="proMX","Revisar bloques: ","Revisar: ")&amp;BC1492))</f>
        <v/>
      </c>
      <c r="Q1492" s="78" t="str">
        <f>IF(NOT(ISNUMBER(B1492)),"",IF(COUNTIFS(FER_F,INT(B1492))&gt;0,"Feriado"&amp;IF(AH1492=1," (laborable)"," (no laborable)"),IF(AH1492=1,"Laborable",IF(WEEKDAY(B1492,2)&gt;5,"Fin de semana","No laborable"))))</f>
        <v/>
      </c>
      <c r="R1492" s="73" t="n"/>
      <c r="S1492" s="72" t="n"/>
      <c r="T1492" s="72" t="n"/>
      <c r="U1492" s="74" t="n"/>
      <c r="V1492" s="79" t="str">
        <f>IF(AND(D1492="proMX",OR(R1492="Submitted",R1492="Recall Requested"),ISNUMBER(S1492)),CFG_TODAY-INT(S1492),"")</f>
        <v/>
      </c>
      <c r="W1492" s="78" t="str">
        <f>IF(BD1492=0,"",IF(BA1492&gt;0,"⚠ Se superpone con un registro de la otra empresa",IF(D1492="Malcolm",IF(COUNTA(R1492,S1492,T1492)&gt;0,"Estado/fechas proMX se ignoran en Malcolm",""),IF(BF1492="Cancelled","Cancelado: excluido de totales",IF(R1492="","Sin estado: se trata como Draft",IF(BF1492="Submitted",IF(ISNUMBER(V1492),IF(V1492&gt;CFG_MAXD,"⚠ "&amp;V1492&amp;" días en Submitted (máx. "&amp;CFG_MAXD&amp;")",""),"Falta fecha de envío"),IF(BF1492="Returned","⚠ Devuelto: corregir y reenviar",IF(BF1492="Recall Requested","Retirada solicitada: pendiente",IF(AND(BF1492="Approved",NOT(ISNUMBER(T1492))),"Falta fecha de aprobación",IF(AND(ISNUMBER(S1492),ISNUMBER(T1492),T1492&lt;S1492),"Aprobación anterior al envío","")))))))))</f>
        <v/>
      </c>
      <c r="Y1492" s="80">
        <f>IF(COUNTA(B1492,D1492,E1492,F1492,G1492,H1492,I1492,J1492,R1492,S1492,T1492)&gt;0,1,0)</f>
        <v>0</v>
      </c>
      <c r="Z1492" s="80" t="str">
        <f>IF(AND(ISNUMBER(H1492),H1492&gt;=0,H1492&lt;1),ROUND(H1492*1440,0),"")</f>
        <v/>
      </c>
      <c r="AA1492" s="80" t="str">
        <f>IF(AND(ISNUMBER(I1492),I1492&gt;=0,I1492&lt;1),ROUND(I1492*1440,0),"")</f>
        <v/>
      </c>
      <c r="AB1492" s="80">
        <f>IF(AND(ISNUMBER(B1492),D1492&lt;&gt;"",ISNUMBER(Z1492),ISNUMBER(AA1492)),IF(Z1492=AA1492,0,1),0)</f>
        <v>0</v>
      </c>
      <c r="AC1492" s="80">
        <f>IF(AB1492=1,IF(AA1492&lt;Z1492,1,0),0)</f>
        <v>0</v>
      </c>
      <c r="AD1492" s="80">
        <f>IF(AB1492=1,IF(AC1492=1,1440-Z1492+AA1492,AA1492-Z1492),0)</f>
        <v>0</v>
      </c>
      <c r="AE1492" s="80">
        <f>IF(J1492="",0,IF(ISNUMBER(J1492),J1492,-1))</f>
        <v>0</v>
      </c>
      <c r="AF1492" s="80">
        <f>MIN(MAX(0,AE1492),AD1492)</f>
        <v>0</v>
      </c>
      <c r="AG1492" s="80">
        <f>MAX(0,AD1492-MAX(0,AE1492))</f>
        <v>0</v>
      </c>
      <c r="AH1492" s="80">
        <f>IF(ISNUMBER(B1492),IF(AND(INDEX(CFG_WDAYS,WEEKDAY(INT(B1492),2))="Sí",IF(D1492="proMX",COUNTIFS(FER_F,INT(B1492),FER_NLP,"Sí"),COUNTIFS(FER_F,INT(B1492),FER_NLM,"Sí"))=0),1,0),0)</f>
        <v>0</v>
      </c>
      <c r="AI1492" s="80">
        <f>IF(AC1492=1,IF(AND(INDEX(CFG_WDAYS,WEEKDAY(INT(B1492)+1,2))="Sí",IF(D1492="proMX",COUNTIFS(FER_F,INT(B1492)+1,FER_NLP,"Sí"),COUNTIFS(FER_F,INT(B1492)+1,FER_NLM,"Sí"))=0),1,0),0)</f>
        <v>0</v>
      </c>
      <c r="AJ1492" s="80">
        <f>IF(AC1492=1,1440-Z1492,AD1492)</f>
        <v>0</v>
      </c>
      <c r="AK1492" s="80">
        <f>IF(AND(AB1492=1,AH1492=1),MAX(0,MIN(IF(AC1492=1,1440,AA1492),CFG_WEM)-MAX(Z1492,CFG_WSM)),0)</f>
        <v>0</v>
      </c>
      <c r="AL1492" s="80">
        <f>IF(AND(AC1492=1,AI1492=1),MAX(0,MIN(AA1492,CFG_WEM)-CFG_WSM),0)</f>
        <v>0</v>
      </c>
      <c r="AM1492" s="80">
        <f>AK1492+AL1492</f>
        <v>0</v>
      </c>
      <c r="AN1492" s="80">
        <f>IF(CFG_BRK="Proporcional",IF(AD1492=0,0,AF1492*AM1492/AD1492),IF(CFG_BRK="Extras primero",MIN(AM1492,MAX(0,AF1492-(AD1492-AM1492))),MIN(AF1492,AM1492)))</f>
        <v>0</v>
      </c>
      <c r="AO1492" s="80">
        <f>AF1492-AN1492</f>
        <v>0</v>
      </c>
      <c r="AP1492" s="80">
        <f>AM1492-AN1492</f>
        <v>0</v>
      </c>
      <c r="AQ1492" s="80">
        <f>AD1492-AM1492-AO1492</f>
        <v>0</v>
      </c>
      <c r="AR1492" s="80">
        <f>IF(AM1492=0,0,AK1492-AN1492*AK1492/AM1492)</f>
        <v>0</v>
      </c>
      <c r="AS1492" s="80">
        <f>IF(AD1492-AM1492=0,0,(AJ1492-AK1492)-AO1492*(AJ1492-AK1492)/(AD1492-AM1492))</f>
        <v>0</v>
      </c>
      <c r="AT1492" s="80" t="str">
        <f>IF(AC1492=1,INT(B1492)+1,"")</f>
        <v/>
      </c>
      <c r="AU1492" s="80">
        <f>IF(AND(D1492="proMX",R1492="Cancelled"),0,1)</f>
        <v>1</v>
      </c>
      <c r="AV1492" s="80">
        <f>IF(AND(AB1492=1,AU1492=1),IF(COUNTIFS($D$5:D1491,D1492,$B$5:B1491,B1492,$Z$5:Z1491,Z1492,$AA$5:AA1491,AA1492,$F$5:F1491,F1492&amp;"",$AU$5:AU1491,1)&gt;0,1,0),0)</f>
        <v>0</v>
      </c>
      <c r="AW1492" s="80" t="str">
        <f>IF(AB1492=1,INT(B1492)*1440+Z1492,"")</f>
        <v/>
      </c>
      <c r="AX1492" s="80" t="str">
        <f>IF(AB1492=1,AW1492+AD1492,"")</f>
        <v/>
      </c>
      <c r="AY1492" s="80">
        <f>IF(AND(AB1492=1,AV1492=0,AU1492=1),1,0)</f>
        <v>0</v>
      </c>
      <c r="AZ1492" s="80">
        <f>IF(AY1492=1,COUNTIFS(R_Emp,D1492,R_SAbs,"&lt;"&amp;AX1492,R_EAbs,"&gt;"&amp;AW1492,R_OKey,1)-1,0)</f>
        <v>0</v>
      </c>
      <c r="BA1492" s="80">
        <f>IF(AY1492=1,COUNTIFS(R_Emp,"&lt;&gt;"&amp;D1492,R_SAbs,"&lt;"&amp;AX1492,R_EAbs,"&gt;"&amp;AW1492,R_OKey,1),0)</f>
        <v>0</v>
      </c>
      <c r="BB1492" s="80">
        <f>IF(AND(AB1492=1,D1492="proMX"),IF(AND(MOD(Z1492,CFG_BLK)=0,MOD(AA1492,CFG_BLK)=0,MOD(AG1492,CFG_BLK)=0,AG1492&gt;0),1,0),1)</f>
        <v>1</v>
      </c>
      <c r="BC1492" s="80" t="str">
        <f>IF(Y1492=0,"",IF(NOT(ISNUMBER(B1492)),"Falta fecha o fecha inválida",IF(D1492="","Falta empresa",IF(AND(D1492&lt;&gt;"Malcolm",D1492&lt;&gt;"proMX"),"Empresa inválida",IF(OR(INT(B1492)&lt;CFG_PSTART,INT(B1492)&gt;CFG_PEND),"Fecha fuera del período",IF(OR(NOT(ISNUMBER(Z1492)),NOT(ISNUMBER(AA1492))),"Falta hora inicio/fin o formato inválido",IF(AB1492=0,"Hora inicio = hora fin",IF(AE1492&lt;0,"Descanso inválido",IF(AE1492&gt;=AD1492,"Descanso ≥ duración",IF(AV1492=1,"Registro duplicado",IF(AZ1492&gt;0,"Se superpone con otro registro "&amp;D1492,IF(BB1492=0,"inicio, fin y duración neta deben ser múltiplos de "&amp;CFG_BLK&amp;" min",""))))))))))))</f>
        <v/>
      </c>
      <c r="BD1492" s="80">
        <f>IF(AND(Y1492=1,BC1492=""),1,0)</f>
        <v>0</v>
      </c>
      <c r="BE1492" s="80">
        <f>IF(AND(BD1492=1,AU1492=1),1,0)</f>
        <v>0</v>
      </c>
      <c r="BF1492" s="80" t="str">
        <f>IF(AND(D1492="proMX",BD1492=1),IF(R1492="","Draft",R1492),"")</f>
        <v/>
      </c>
      <c r="BG1492" s="80">
        <f>IF(BD1492=1,ROUND(AG1492/60,6),0)</f>
        <v>0</v>
      </c>
      <c r="BH1492" s="80">
        <f>IF(BE1492=1,ROUND(AG1492/60,6),0)</f>
        <v>0</v>
      </c>
      <c r="BI1492" s="80">
        <f>IF(BE1492=1,ROUND(AP1492/60,6),0)</f>
        <v>0</v>
      </c>
      <c r="BJ1492" s="80">
        <f>IF(BE1492=1,ROUND(AQ1492/60,6),0)</f>
        <v>0</v>
      </c>
      <c r="BK1492" s="80">
        <f>IF(BE1492=1,ROUND((AR1492+AS1492)/60,6),0)</f>
        <v>0</v>
      </c>
      <c r="BL1492" s="80">
        <f>ROUND(BH1492-BK1492,6)</f>
        <v>0</v>
      </c>
      <c r="BM1492" s="80">
        <f>IF(BE1492=1,ROUND(AR1492/60,6),0)</f>
        <v>0</v>
      </c>
      <c r="BN1492" s="80">
        <f>ROUND(BI1492-BM1492,6)</f>
        <v>0</v>
      </c>
      <c r="BO1492" s="80">
        <f>IF(BE1492=1,ROUND(AS1492/60,6),0)</f>
        <v>0</v>
      </c>
      <c r="BP1492" s="80">
        <f>ROUND(BJ1492-BO1492,6)</f>
        <v>0</v>
      </c>
      <c r="BQ1492" s="80">
        <f>IF(BE1492=1,AW1492,0)</f>
        <v>0</v>
      </c>
      <c r="BR1492" s="80">
        <f>IF(BE1492=1,AX1492,0)</f>
        <v>0</v>
      </c>
      <c r="BS1492" s="80">
        <f>IF(AND(BE1492=1,D1492="Malcolm",BA1492&gt;0),MIN(BH1492,SUMPRODUCT((R_Emp="proMX")*(R_EN&gt;0)*((R_EN-(R_EN&gt;BR1492)*(R_EN-BR1492))&gt;(R_SN+(R_SN&lt;BQ1492)*(BQ1492-R_SN)))*((R_EN-(R_EN&gt;BR1492)*(R_EN-BR1492))-(R_SN+(R_SN&lt;BQ1492)*(BQ1492-R_SN))))/60),0)</f>
        <v>0</v>
      </c>
      <c r="BT1492" s="80">
        <f>IF(AND(BE1492=1,D1492="proMX"),ROUND(BI1492*CFG_RATE+BJ1492*CFG_OTRATE,6),0)</f>
        <v>0</v>
      </c>
      <c r="BU1492" s="80">
        <f>IF(AND(BD1492=1,D1492="proMX"),ROUND(AG1492/CFG_BLK,6),0)</f>
        <v>0</v>
      </c>
      <c r="BV1492" s="80" t="str">
        <f>IF(BF1492="Approved",IF(ISNUMBER(T1492),INT(T1492),INT(B1492)),"")</f>
        <v/>
      </c>
      <c r="BW1492" s="80">
        <f>IF(ISNUMBER(B1492),IF(DB_MON="Todos",1,IF(AND(INT(B1492)&gt;=DB_MS,INT(B1492)&lt;=DB_ME),1,0)),0)</f>
        <v>0</v>
      </c>
      <c r="BX1492" s="80">
        <f>IF(DB_PROJ="Todos",1,IF(E1492&amp;""=DB_PROJ&amp;"",1,0))</f>
        <v>1</v>
      </c>
      <c r="BY1492" s="80">
        <f>BW1492*BX1492</f>
        <v>0</v>
      </c>
      <c r="BZ1492" s="80" t="str">
        <f>IF(Y1492=1,F1492&amp;IF(AND(F1492&amp;""&lt;&gt;"",E1492&amp;""&lt;&gt;"")," · ","")&amp;E1492,"")</f>
        <v/>
      </c>
      <c r="CA1492" s="80" t="str">
        <f>IF(AND(BD1492=1,E1492&amp;""&lt;&gt;""),IF(COUNTIFS($E$5:E1491,E1492,$BD$5:BD1491,1)=0,MAX($CA$5:CA1491)+1,""),"")</f>
        <v/>
      </c>
      <c r="CB1492" s="80" t="str">
        <f>IF(AND(BE1492=1,D1492="Malcolm",E1492&amp;""&lt;&gt;""),IF(COUNTIFS($D$5:D1491,"Malcolm",$E$5:E1491,E1492,$BE$5:BE1491,1)=0,MAX($CB$5:CB1491)+1,""),"")</f>
        <v/>
      </c>
      <c r="CC1492" s="80" t="str">
        <f>IF(AND(BD1492=1,D1492="proMX",E1492&amp;""&lt;&gt;""),IF(COUNTIFS($D$5:D1491,"proMX",$E$5:E1491,E1492,$BD$5:BD1491,1)=0,MAX($CC$5:CC1491)+1,""),"")</f>
        <v/>
      </c>
      <c r="CD1492" s="80" t="str">
        <f>IF(AND(BE1492=1,D1492="Malcolm",F1492&amp;""&lt;&gt;""),IF(COUNTIFS($D$5:D1491,"Malcolm",$F$5:F1491,F1492,$BE$5:BE1491,1)=0,MAX($CD$5:CD1491)+1,""),"")</f>
        <v/>
      </c>
      <c r="CE1492" s="80" t="str">
        <f>IF(AND(BD1492=1,D1492="proMX",F1492&amp;""&lt;&gt;""),IF(COUNTIFS($D$5:D1491,"proMX",$F$5:F1491,F1492,$BD$5:BD1491,1)=0,MAX($CE$5:CE1491)+1,""),"")</f>
        <v/>
      </c>
      <c r="CF1492" s="80" t="str">
        <f>IF(AND(D1492="proMX",BD1492=1),IF(OR(BF1492="Draft",BF1492="Submitted",BF1492="Returned",BF1492="Recall Requested"),MAX($CF$5:CF1491)+1,""),"")</f>
        <v/>
      </c>
      <c r="CG1492" s="80">
        <f>IF(BD1492=0,0,IF(D1492="Malcolm",1,MATCH(BF1492,{"Draft","Submitted","Approved","Returned","Recall Requested","Cancelled"},0)+1))</f>
        <v>0</v>
      </c>
      <c r="CH1492" s="80">
        <f>IF(AND(BF1492="Submitted",ISNUMBER(V1492)),IF(V1492&gt;CFG_MAXD,1,0),0)</f>
        <v>0</v>
      </c>
    </row>
    <row r="1493">
      <c r="A1493" s="71" t="str">
        <f>IF(Y1493=1,ROW()-5,"")</f>
        <v/>
      </c>
      <c r="B1493" s="72" t="n"/>
      <c r="C1493" s="71" t="str">
        <f>IF(ISNUMBER(B1493),CHOOSE(WEEKDAY(B1493,2),"Lun","Mar","Mié","Jue","Vie","Sáb","Dom"),"")</f>
        <v/>
      </c>
      <c r="D1493" s="73" t="n"/>
      <c r="E1493" s="74" t="n"/>
      <c r="F1493" s="74" t="n"/>
      <c r="G1493" s="74" t="n"/>
      <c r="H1493" s="75" t="n"/>
      <c r="I1493" s="75" t="n"/>
      <c r="J1493" s="76" t="n"/>
      <c r="K1493" s="77" t="str">
        <f>IF(AB1493=1,ROUND(AG1493/60,4),"")</f>
        <v/>
      </c>
      <c r="L1493" s="77" t="str">
        <f>IF(BD1493=1,ROUND(AP1493/60,4),"")</f>
        <v/>
      </c>
      <c r="M1493" s="77" t="str">
        <f>IF(BD1493=1,ROUND(AQ1493/60,4),"")</f>
        <v/>
      </c>
      <c r="N1493" s="71" t="str">
        <f>IF(AND(D1493="proMX",AB1493=1),ROUND(AG1493/CFG_BLK,2),"")</f>
        <v/>
      </c>
      <c r="O1493" s="77" t="str">
        <f>IF(D1493="proMX",IF(BD1493=1,ROUND(AG1493/60,4),0),"")</f>
        <v/>
      </c>
      <c r="P1493" s="78" t="str">
        <f>IF(Y1493=0,"",IF(BD1493=1,"OK",IF(D1493="proMX","Revisar bloques: ","Revisar: ")&amp;BC1493))</f>
        <v/>
      </c>
      <c r="Q1493" s="78" t="str">
        <f>IF(NOT(ISNUMBER(B1493)),"",IF(COUNTIFS(FER_F,INT(B1493))&gt;0,"Feriado"&amp;IF(AH1493=1," (laborable)"," (no laborable)"),IF(AH1493=1,"Laborable",IF(WEEKDAY(B1493,2)&gt;5,"Fin de semana","No laborable"))))</f>
        <v/>
      </c>
      <c r="R1493" s="73" t="n"/>
      <c r="S1493" s="72" t="n"/>
      <c r="T1493" s="72" t="n"/>
      <c r="U1493" s="74" t="n"/>
      <c r="V1493" s="79" t="str">
        <f>IF(AND(D1493="proMX",OR(R1493="Submitted",R1493="Recall Requested"),ISNUMBER(S1493)),CFG_TODAY-INT(S1493),"")</f>
        <v/>
      </c>
      <c r="W1493" s="78" t="str">
        <f>IF(BD1493=0,"",IF(BA1493&gt;0,"⚠ Se superpone con un registro de la otra empresa",IF(D1493="Malcolm",IF(COUNTA(R1493,S1493,T1493)&gt;0,"Estado/fechas proMX se ignoran en Malcolm",""),IF(BF1493="Cancelled","Cancelado: excluido de totales",IF(R1493="","Sin estado: se trata como Draft",IF(BF1493="Submitted",IF(ISNUMBER(V1493),IF(V1493&gt;CFG_MAXD,"⚠ "&amp;V1493&amp;" días en Submitted (máx. "&amp;CFG_MAXD&amp;")",""),"Falta fecha de envío"),IF(BF1493="Returned","⚠ Devuelto: corregir y reenviar",IF(BF1493="Recall Requested","Retirada solicitada: pendiente",IF(AND(BF1493="Approved",NOT(ISNUMBER(T1493))),"Falta fecha de aprobación",IF(AND(ISNUMBER(S1493),ISNUMBER(T1493),T1493&lt;S1493),"Aprobación anterior al envío","")))))))))</f>
        <v/>
      </c>
      <c r="Y1493" s="80">
        <f>IF(COUNTA(B1493,D1493,E1493,F1493,G1493,H1493,I1493,J1493,R1493,S1493,T1493)&gt;0,1,0)</f>
        <v>0</v>
      </c>
      <c r="Z1493" s="80" t="str">
        <f>IF(AND(ISNUMBER(H1493),H1493&gt;=0,H1493&lt;1),ROUND(H1493*1440,0),"")</f>
        <v/>
      </c>
      <c r="AA1493" s="80" t="str">
        <f>IF(AND(ISNUMBER(I1493),I1493&gt;=0,I1493&lt;1),ROUND(I1493*1440,0),"")</f>
        <v/>
      </c>
      <c r="AB1493" s="80">
        <f>IF(AND(ISNUMBER(B1493),D1493&lt;&gt;"",ISNUMBER(Z1493),ISNUMBER(AA1493)),IF(Z1493=AA1493,0,1),0)</f>
        <v>0</v>
      </c>
      <c r="AC1493" s="80">
        <f>IF(AB1493=1,IF(AA1493&lt;Z1493,1,0),0)</f>
        <v>0</v>
      </c>
      <c r="AD1493" s="80">
        <f>IF(AB1493=1,IF(AC1493=1,1440-Z1493+AA1493,AA1493-Z1493),0)</f>
        <v>0</v>
      </c>
      <c r="AE1493" s="80">
        <f>IF(J1493="",0,IF(ISNUMBER(J1493),J1493,-1))</f>
        <v>0</v>
      </c>
      <c r="AF1493" s="80">
        <f>MIN(MAX(0,AE1493),AD1493)</f>
        <v>0</v>
      </c>
      <c r="AG1493" s="80">
        <f>MAX(0,AD1493-MAX(0,AE1493))</f>
        <v>0</v>
      </c>
      <c r="AH1493" s="80">
        <f>IF(ISNUMBER(B1493),IF(AND(INDEX(CFG_WDAYS,WEEKDAY(INT(B1493),2))="Sí",IF(D1493="proMX",COUNTIFS(FER_F,INT(B1493),FER_NLP,"Sí"),COUNTIFS(FER_F,INT(B1493),FER_NLM,"Sí"))=0),1,0),0)</f>
        <v>0</v>
      </c>
      <c r="AI1493" s="80">
        <f>IF(AC1493=1,IF(AND(INDEX(CFG_WDAYS,WEEKDAY(INT(B1493)+1,2))="Sí",IF(D1493="proMX",COUNTIFS(FER_F,INT(B1493)+1,FER_NLP,"Sí"),COUNTIFS(FER_F,INT(B1493)+1,FER_NLM,"Sí"))=0),1,0),0)</f>
        <v>0</v>
      </c>
      <c r="AJ1493" s="80">
        <f>IF(AC1493=1,1440-Z1493,AD1493)</f>
        <v>0</v>
      </c>
      <c r="AK1493" s="80">
        <f>IF(AND(AB1493=1,AH1493=1),MAX(0,MIN(IF(AC1493=1,1440,AA1493),CFG_WEM)-MAX(Z1493,CFG_WSM)),0)</f>
        <v>0</v>
      </c>
      <c r="AL1493" s="80">
        <f>IF(AND(AC1493=1,AI1493=1),MAX(0,MIN(AA1493,CFG_WEM)-CFG_WSM),0)</f>
        <v>0</v>
      </c>
      <c r="AM1493" s="80">
        <f>AK1493+AL1493</f>
        <v>0</v>
      </c>
      <c r="AN1493" s="80">
        <f>IF(CFG_BRK="Proporcional",IF(AD1493=0,0,AF1493*AM1493/AD1493),IF(CFG_BRK="Extras primero",MIN(AM1493,MAX(0,AF1493-(AD1493-AM1493))),MIN(AF1493,AM1493)))</f>
        <v>0</v>
      </c>
      <c r="AO1493" s="80">
        <f>AF1493-AN1493</f>
        <v>0</v>
      </c>
      <c r="AP1493" s="80">
        <f>AM1493-AN1493</f>
        <v>0</v>
      </c>
      <c r="AQ1493" s="80">
        <f>AD1493-AM1493-AO1493</f>
        <v>0</v>
      </c>
      <c r="AR1493" s="80">
        <f>IF(AM1493=0,0,AK1493-AN1493*AK1493/AM1493)</f>
        <v>0</v>
      </c>
      <c r="AS1493" s="80">
        <f>IF(AD1493-AM1493=0,0,(AJ1493-AK1493)-AO1493*(AJ1493-AK1493)/(AD1493-AM1493))</f>
        <v>0</v>
      </c>
      <c r="AT1493" s="80" t="str">
        <f>IF(AC1493=1,INT(B1493)+1,"")</f>
        <v/>
      </c>
      <c r="AU1493" s="80">
        <f>IF(AND(D1493="proMX",R1493="Cancelled"),0,1)</f>
        <v>1</v>
      </c>
      <c r="AV1493" s="80">
        <f>IF(AND(AB1493=1,AU1493=1),IF(COUNTIFS($D$5:D1492,D1493,$B$5:B1492,B1493,$Z$5:Z1492,Z1493,$AA$5:AA1492,AA1493,$F$5:F1492,F1493&amp;"",$AU$5:AU1492,1)&gt;0,1,0),0)</f>
        <v>0</v>
      </c>
      <c r="AW1493" s="80" t="str">
        <f>IF(AB1493=1,INT(B1493)*1440+Z1493,"")</f>
        <v/>
      </c>
      <c r="AX1493" s="80" t="str">
        <f>IF(AB1493=1,AW1493+AD1493,"")</f>
        <v/>
      </c>
      <c r="AY1493" s="80">
        <f>IF(AND(AB1493=1,AV1493=0,AU1493=1),1,0)</f>
        <v>0</v>
      </c>
      <c r="AZ1493" s="80">
        <f>IF(AY1493=1,COUNTIFS(R_Emp,D1493,R_SAbs,"&lt;"&amp;AX1493,R_EAbs,"&gt;"&amp;AW1493,R_OKey,1)-1,0)</f>
        <v>0</v>
      </c>
      <c r="BA1493" s="80">
        <f>IF(AY1493=1,COUNTIFS(R_Emp,"&lt;&gt;"&amp;D1493,R_SAbs,"&lt;"&amp;AX1493,R_EAbs,"&gt;"&amp;AW1493,R_OKey,1),0)</f>
        <v>0</v>
      </c>
      <c r="BB1493" s="80">
        <f>IF(AND(AB1493=1,D1493="proMX"),IF(AND(MOD(Z1493,CFG_BLK)=0,MOD(AA1493,CFG_BLK)=0,MOD(AG1493,CFG_BLK)=0,AG1493&gt;0),1,0),1)</f>
        <v>1</v>
      </c>
      <c r="BC1493" s="80" t="str">
        <f>IF(Y1493=0,"",IF(NOT(ISNUMBER(B1493)),"Falta fecha o fecha inválida",IF(D1493="","Falta empresa",IF(AND(D1493&lt;&gt;"Malcolm",D1493&lt;&gt;"proMX"),"Empresa inválida",IF(OR(INT(B1493)&lt;CFG_PSTART,INT(B1493)&gt;CFG_PEND),"Fecha fuera del período",IF(OR(NOT(ISNUMBER(Z1493)),NOT(ISNUMBER(AA1493))),"Falta hora inicio/fin o formato inválido",IF(AB1493=0,"Hora inicio = hora fin",IF(AE1493&lt;0,"Descanso inválido",IF(AE1493&gt;=AD1493,"Descanso ≥ duración",IF(AV1493=1,"Registro duplicado",IF(AZ1493&gt;0,"Se superpone con otro registro "&amp;D1493,IF(BB1493=0,"inicio, fin y duración neta deben ser múltiplos de "&amp;CFG_BLK&amp;" min",""))))))))))))</f>
        <v/>
      </c>
      <c r="BD1493" s="80">
        <f>IF(AND(Y1493=1,BC1493=""),1,0)</f>
        <v>0</v>
      </c>
      <c r="BE1493" s="80">
        <f>IF(AND(BD1493=1,AU1493=1),1,0)</f>
        <v>0</v>
      </c>
      <c r="BF1493" s="80" t="str">
        <f>IF(AND(D1493="proMX",BD1493=1),IF(R1493="","Draft",R1493),"")</f>
        <v/>
      </c>
      <c r="BG1493" s="80">
        <f>IF(BD1493=1,ROUND(AG1493/60,6),0)</f>
        <v>0</v>
      </c>
      <c r="BH1493" s="80">
        <f>IF(BE1493=1,ROUND(AG1493/60,6),0)</f>
        <v>0</v>
      </c>
      <c r="BI1493" s="80">
        <f>IF(BE1493=1,ROUND(AP1493/60,6),0)</f>
        <v>0</v>
      </c>
      <c r="BJ1493" s="80">
        <f>IF(BE1493=1,ROUND(AQ1493/60,6),0)</f>
        <v>0</v>
      </c>
      <c r="BK1493" s="80">
        <f>IF(BE1493=1,ROUND((AR1493+AS1493)/60,6),0)</f>
        <v>0</v>
      </c>
      <c r="BL1493" s="80">
        <f>ROUND(BH1493-BK1493,6)</f>
        <v>0</v>
      </c>
      <c r="BM1493" s="80">
        <f>IF(BE1493=1,ROUND(AR1493/60,6),0)</f>
        <v>0</v>
      </c>
      <c r="BN1493" s="80">
        <f>ROUND(BI1493-BM1493,6)</f>
        <v>0</v>
      </c>
      <c r="BO1493" s="80">
        <f>IF(BE1493=1,ROUND(AS1493/60,6),0)</f>
        <v>0</v>
      </c>
      <c r="BP1493" s="80">
        <f>ROUND(BJ1493-BO1493,6)</f>
        <v>0</v>
      </c>
      <c r="BQ1493" s="80">
        <f>IF(BE1493=1,AW1493,0)</f>
        <v>0</v>
      </c>
      <c r="BR1493" s="80">
        <f>IF(BE1493=1,AX1493,0)</f>
        <v>0</v>
      </c>
      <c r="BS1493" s="80">
        <f>IF(AND(BE1493=1,D1493="Malcolm",BA1493&gt;0),MIN(BH1493,SUMPRODUCT((R_Emp="proMX")*(R_EN&gt;0)*((R_EN-(R_EN&gt;BR1493)*(R_EN-BR1493))&gt;(R_SN+(R_SN&lt;BQ1493)*(BQ1493-R_SN)))*((R_EN-(R_EN&gt;BR1493)*(R_EN-BR1493))-(R_SN+(R_SN&lt;BQ1493)*(BQ1493-R_SN))))/60),0)</f>
        <v>0</v>
      </c>
      <c r="BT1493" s="80">
        <f>IF(AND(BE1493=1,D1493="proMX"),ROUND(BI1493*CFG_RATE+BJ1493*CFG_OTRATE,6),0)</f>
        <v>0</v>
      </c>
      <c r="BU1493" s="80">
        <f>IF(AND(BD1493=1,D1493="proMX"),ROUND(AG1493/CFG_BLK,6),0)</f>
        <v>0</v>
      </c>
      <c r="BV1493" s="80" t="str">
        <f>IF(BF1493="Approved",IF(ISNUMBER(T1493),INT(T1493),INT(B1493)),"")</f>
        <v/>
      </c>
      <c r="BW1493" s="80">
        <f>IF(ISNUMBER(B1493),IF(DB_MON="Todos",1,IF(AND(INT(B1493)&gt;=DB_MS,INT(B1493)&lt;=DB_ME),1,0)),0)</f>
        <v>0</v>
      </c>
      <c r="BX1493" s="80">
        <f>IF(DB_PROJ="Todos",1,IF(E1493&amp;""=DB_PROJ&amp;"",1,0))</f>
        <v>1</v>
      </c>
      <c r="BY1493" s="80">
        <f>BW1493*BX1493</f>
        <v>0</v>
      </c>
      <c r="BZ1493" s="80" t="str">
        <f>IF(Y1493=1,F1493&amp;IF(AND(F1493&amp;""&lt;&gt;"",E1493&amp;""&lt;&gt;"")," · ","")&amp;E1493,"")</f>
        <v/>
      </c>
      <c r="CA1493" s="80" t="str">
        <f>IF(AND(BD1493=1,E1493&amp;""&lt;&gt;""),IF(COUNTIFS($E$5:E1492,E1493,$BD$5:BD1492,1)=0,MAX($CA$5:CA1492)+1,""),"")</f>
        <v/>
      </c>
      <c r="CB1493" s="80" t="str">
        <f>IF(AND(BE1493=1,D1493="Malcolm",E1493&amp;""&lt;&gt;""),IF(COUNTIFS($D$5:D1492,"Malcolm",$E$5:E1492,E1493,$BE$5:BE1492,1)=0,MAX($CB$5:CB1492)+1,""),"")</f>
        <v/>
      </c>
      <c r="CC1493" s="80" t="str">
        <f>IF(AND(BD1493=1,D1493="proMX",E1493&amp;""&lt;&gt;""),IF(COUNTIFS($D$5:D1492,"proMX",$E$5:E1492,E1493,$BD$5:BD1492,1)=0,MAX($CC$5:CC1492)+1,""),"")</f>
        <v/>
      </c>
      <c r="CD1493" s="80" t="str">
        <f>IF(AND(BE1493=1,D1493="Malcolm",F1493&amp;""&lt;&gt;""),IF(COUNTIFS($D$5:D1492,"Malcolm",$F$5:F1492,F1493,$BE$5:BE1492,1)=0,MAX($CD$5:CD1492)+1,""),"")</f>
        <v/>
      </c>
      <c r="CE1493" s="80" t="str">
        <f>IF(AND(BD1493=1,D1493="proMX",F1493&amp;""&lt;&gt;""),IF(COUNTIFS($D$5:D1492,"proMX",$F$5:F1492,F1493,$BD$5:BD1492,1)=0,MAX($CE$5:CE1492)+1,""),"")</f>
        <v/>
      </c>
      <c r="CF1493" s="80" t="str">
        <f>IF(AND(D1493="proMX",BD1493=1),IF(OR(BF1493="Draft",BF1493="Submitted",BF1493="Returned",BF1493="Recall Requested"),MAX($CF$5:CF1492)+1,""),"")</f>
        <v/>
      </c>
      <c r="CG1493" s="80">
        <f>IF(BD1493=0,0,IF(D1493="Malcolm",1,MATCH(BF1493,{"Draft","Submitted","Approved","Returned","Recall Requested","Cancelled"},0)+1))</f>
        <v>0</v>
      </c>
      <c r="CH1493" s="80">
        <f>IF(AND(BF1493="Submitted",ISNUMBER(V1493)),IF(V1493&gt;CFG_MAXD,1,0),0)</f>
        <v>0</v>
      </c>
    </row>
    <row r="1494">
      <c r="A1494" s="71" t="str">
        <f>IF(Y1494=1,ROW()-5,"")</f>
        <v/>
      </c>
      <c r="B1494" s="72" t="n"/>
      <c r="C1494" s="71" t="str">
        <f>IF(ISNUMBER(B1494),CHOOSE(WEEKDAY(B1494,2),"Lun","Mar","Mié","Jue","Vie","Sáb","Dom"),"")</f>
        <v/>
      </c>
      <c r="D1494" s="73" t="n"/>
      <c r="E1494" s="74" t="n"/>
      <c r="F1494" s="74" t="n"/>
      <c r="G1494" s="74" t="n"/>
      <c r="H1494" s="75" t="n"/>
      <c r="I1494" s="75" t="n"/>
      <c r="J1494" s="76" t="n"/>
      <c r="K1494" s="77" t="str">
        <f>IF(AB1494=1,ROUND(AG1494/60,4),"")</f>
        <v/>
      </c>
      <c r="L1494" s="77" t="str">
        <f>IF(BD1494=1,ROUND(AP1494/60,4),"")</f>
        <v/>
      </c>
      <c r="M1494" s="77" t="str">
        <f>IF(BD1494=1,ROUND(AQ1494/60,4),"")</f>
        <v/>
      </c>
      <c r="N1494" s="71" t="str">
        <f>IF(AND(D1494="proMX",AB1494=1),ROUND(AG1494/CFG_BLK,2),"")</f>
        <v/>
      </c>
      <c r="O1494" s="77" t="str">
        <f>IF(D1494="proMX",IF(BD1494=1,ROUND(AG1494/60,4),0),"")</f>
        <v/>
      </c>
      <c r="P1494" s="78" t="str">
        <f>IF(Y1494=0,"",IF(BD1494=1,"OK",IF(D1494="proMX","Revisar bloques: ","Revisar: ")&amp;BC1494))</f>
        <v/>
      </c>
      <c r="Q1494" s="78" t="str">
        <f>IF(NOT(ISNUMBER(B1494)),"",IF(COUNTIFS(FER_F,INT(B1494))&gt;0,"Feriado"&amp;IF(AH1494=1," (laborable)"," (no laborable)"),IF(AH1494=1,"Laborable",IF(WEEKDAY(B1494,2)&gt;5,"Fin de semana","No laborable"))))</f>
        <v/>
      </c>
      <c r="R1494" s="73" t="n"/>
      <c r="S1494" s="72" t="n"/>
      <c r="T1494" s="72" t="n"/>
      <c r="U1494" s="74" t="n"/>
      <c r="V1494" s="79" t="str">
        <f>IF(AND(D1494="proMX",OR(R1494="Submitted",R1494="Recall Requested"),ISNUMBER(S1494)),CFG_TODAY-INT(S1494),"")</f>
        <v/>
      </c>
      <c r="W1494" s="78" t="str">
        <f>IF(BD1494=0,"",IF(BA1494&gt;0,"⚠ Se superpone con un registro de la otra empresa",IF(D1494="Malcolm",IF(COUNTA(R1494,S1494,T1494)&gt;0,"Estado/fechas proMX se ignoran en Malcolm",""),IF(BF1494="Cancelled","Cancelado: excluido de totales",IF(R1494="","Sin estado: se trata como Draft",IF(BF1494="Submitted",IF(ISNUMBER(V1494),IF(V1494&gt;CFG_MAXD,"⚠ "&amp;V1494&amp;" días en Submitted (máx. "&amp;CFG_MAXD&amp;")",""),"Falta fecha de envío"),IF(BF1494="Returned","⚠ Devuelto: corregir y reenviar",IF(BF1494="Recall Requested","Retirada solicitada: pendiente",IF(AND(BF1494="Approved",NOT(ISNUMBER(T1494))),"Falta fecha de aprobación",IF(AND(ISNUMBER(S1494),ISNUMBER(T1494),T1494&lt;S1494),"Aprobación anterior al envío","")))))))))</f>
        <v/>
      </c>
      <c r="Y1494" s="80">
        <f>IF(COUNTA(B1494,D1494,E1494,F1494,G1494,H1494,I1494,J1494,R1494,S1494,T1494)&gt;0,1,0)</f>
        <v>0</v>
      </c>
      <c r="Z1494" s="80" t="str">
        <f>IF(AND(ISNUMBER(H1494),H1494&gt;=0,H1494&lt;1),ROUND(H1494*1440,0),"")</f>
        <v/>
      </c>
      <c r="AA1494" s="80" t="str">
        <f>IF(AND(ISNUMBER(I1494),I1494&gt;=0,I1494&lt;1),ROUND(I1494*1440,0),"")</f>
        <v/>
      </c>
      <c r="AB1494" s="80">
        <f>IF(AND(ISNUMBER(B1494),D1494&lt;&gt;"",ISNUMBER(Z1494),ISNUMBER(AA1494)),IF(Z1494=AA1494,0,1),0)</f>
        <v>0</v>
      </c>
      <c r="AC1494" s="80">
        <f>IF(AB1494=1,IF(AA1494&lt;Z1494,1,0),0)</f>
        <v>0</v>
      </c>
      <c r="AD1494" s="80">
        <f>IF(AB1494=1,IF(AC1494=1,1440-Z1494+AA1494,AA1494-Z1494),0)</f>
        <v>0</v>
      </c>
      <c r="AE1494" s="80">
        <f>IF(J1494="",0,IF(ISNUMBER(J1494),J1494,-1))</f>
        <v>0</v>
      </c>
      <c r="AF1494" s="80">
        <f>MIN(MAX(0,AE1494),AD1494)</f>
        <v>0</v>
      </c>
      <c r="AG1494" s="80">
        <f>MAX(0,AD1494-MAX(0,AE1494))</f>
        <v>0</v>
      </c>
      <c r="AH1494" s="80">
        <f>IF(ISNUMBER(B1494),IF(AND(INDEX(CFG_WDAYS,WEEKDAY(INT(B1494),2))="Sí",IF(D1494="proMX",COUNTIFS(FER_F,INT(B1494),FER_NLP,"Sí"),COUNTIFS(FER_F,INT(B1494),FER_NLM,"Sí"))=0),1,0),0)</f>
        <v>0</v>
      </c>
      <c r="AI1494" s="80">
        <f>IF(AC1494=1,IF(AND(INDEX(CFG_WDAYS,WEEKDAY(INT(B1494)+1,2))="Sí",IF(D1494="proMX",COUNTIFS(FER_F,INT(B1494)+1,FER_NLP,"Sí"),COUNTIFS(FER_F,INT(B1494)+1,FER_NLM,"Sí"))=0),1,0),0)</f>
        <v>0</v>
      </c>
      <c r="AJ1494" s="80">
        <f>IF(AC1494=1,1440-Z1494,AD1494)</f>
        <v>0</v>
      </c>
      <c r="AK1494" s="80">
        <f>IF(AND(AB1494=1,AH1494=1),MAX(0,MIN(IF(AC1494=1,1440,AA1494),CFG_WEM)-MAX(Z1494,CFG_WSM)),0)</f>
        <v>0</v>
      </c>
      <c r="AL1494" s="80">
        <f>IF(AND(AC1494=1,AI1494=1),MAX(0,MIN(AA1494,CFG_WEM)-CFG_WSM),0)</f>
        <v>0</v>
      </c>
      <c r="AM1494" s="80">
        <f>AK1494+AL1494</f>
        <v>0</v>
      </c>
      <c r="AN1494" s="80">
        <f>IF(CFG_BRK="Proporcional",IF(AD1494=0,0,AF1494*AM1494/AD1494),IF(CFG_BRK="Extras primero",MIN(AM1494,MAX(0,AF1494-(AD1494-AM1494))),MIN(AF1494,AM1494)))</f>
        <v>0</v>
      </c>
      <c r="AO1494" s="80">
        <f>AF1494-AN1494</f>
        <v>0</v>
      </c>
      <c r="AP1494" s="80">
        <f>AM1494-AN1494</f>
        <v>0</v>
      </c>
      <c r="AQ1494" s="80">
        <f>AD1494-AM1494-AO1494</f>
        <v>0</v>
      </c>
      <c r="AR1494" s="80">
        <f>IF(AM1494=0,0,AK1494-AN1494*AK1494/AM1494)</f>
        <v>0</v>
      </c>
      <c r="AS1494" s="80">
        <f>IF(AD1494-AM1494=0,0,(AJ1494-AK1494)-AO1494*(AJ1494-AK1494)/(AD1494-AM1494))</f>
        <v>0</v>
      </c>
      <c r="AT1494" s="80" t="str">
        <f>IF(AC1494=1,INT(B1494)+1,"")</f>
        <v/>
      </c>
      <c r="AU1494" s="80">
        <f>IF(AND(D1494="proMX",R1494="Cancelled"),0,1)</f>
        <v>1</v>
      </c>
      <c r="AV1494" s="80">
        <f>IF(AND(AB1494=1,AU1494=1),IF(COUNTIFS($D$5:D1493,D1494,$B$5:B1493,B1494,$Z$5:Z1493,Z1494,$AA$5:AA1493,AA1494,$F$5:F1493,F1494&amp;"",$AU$5:AU1493,1)&gt;0,1,0),0)</f>
        <v>0</v>
      </c>
      <c r="AW1494" s="80" t="str">
        <f>IF(AB1494=1,INT(B1494)*1440+Z1494,"")</f>
        <v/>
      </c>
      <c r="AX1494" s="80" t="str">
        <f>IF(AB1494=1,AW1494+AD1494,"")</f>
        <v/>
      </c>
      <c r="AY1494" s="80">
        <f>IF(AND(AB1494=1,AV1494=0,AU1494=1),1,0)</f>
        <v>0</v>
      </c>
      <c r="AZ1494" s="80">
        <f>IF(AY1494=1,COUNTIFS(R_Emp,D1494,R_SAbs,"&lt;"&amp;AX1494,R_EAbs,"&gt;"&amp;AW1494,R_OKey,1)-1,0)</f>
        <v>0</v>
      </c>
      <c r="BA1494" s="80">
        <f>IF(AY1494=1,COUNTIFS(R_Emp,"&lt;&gt;"&amp;D1494,R_SAbs,"&lt;"&amp;AX1494,R_EAbs,"&gt;"&amp;AW1494,R_OKey,1),0)</f>
        <v>0</v>
      </c>
      <c r="BB1494" s="80">
        <f>IF(AND(AB1494=1,D1494="proMX"),IF(AND(MOD(Z1494,CFG_BLK)=0,MOD(AA1494,CFG_BLK)=0,MOD(AG1494,CFG_BLK)=0,AG1494&gt;0),1,0),1)</f>
        <v>1</v>
      </c>
      <c r="BC1494" s="80" t="str">
        <f>IF(Y1494=0,"",IF(NOT(ISNUMBER(B1494)),"Falta fecha o fecha inválida",IF(D1494="","Falta empresa",IF(AND(D1494&lt;&gt;"Malcolm",D1494&lt;&gt;"proMX"),"Empresa inválida",IF(OR(INT(B1494)&lt;CFG_PSTART,INT(B1494)&gt;CFG_PEND),"Fecha fuera del período",IF(OR(NOT(ISNUMBER(Z1494)),NOT(ISNUMBER(AA1494))),"Falta hora inicio/fin o formato inválido",IF(AB1494=0,"Hora inicio = hora fin",IF(AE1494&lt;0,"Descanso inválido",IF(AE1494&gt;=AD1494,"Descanso ≥ duración",IF(AV1494=1,"Registro duplicado",IF(AZ1494&gt;0,"Se superpone con otro registro "&amp;D1494,IF(BB1494=0,"inicio, fin y duración neta deben ser múltiplos de "&amp;CFG_BLK&amp;" min",""))))))))))))</f>
        <v/>
      </c>
      <c r="BD1494" s="80">
        <f>IF(AND(Y1494=1,BC1494=""),1,0)</f>
        <v>0</v>
      </c>
      <c r="BE1494" s="80">
        <f>IF(AND(BD1494=1,AU1494=1),1,0)</f>
        <v>0</v>
      </c>
      <c r="BF1494" s="80" t="str">
        <f>IF(AND(D1494="proMX",BD1494=1),IF(R1494="","Draft",R1494),"")</f>
        <v/>
      </c>
      <c r="BG1494" s="80">
        <f>IF(BD1494=1,ROUND(AG1494/60,6),0)</f>
        <v>0</v>
      </c>
      <c r="BH1494" s="80">
        <f>IF(BE1494=1,ROUND(AG1494/60,6),0)</f>
        <v>0</v>
      </c>
      <c r="BI1494" s="80">
        <f>IF(BE1494=1,ROUND(AP1494/60,6),0)</f>
        <v>0</v>
      </c>
      <c r="BJ1494" s="80">
        <f>IF(BE1494=1,ROUND(AQ1494/60,6),0)</f>
        <v>0</v>
      </c>
      <c r="BK1494" s="80">
        <f>IF(BE1494=1,ROUND((AR1494+AS1494)/60,6),0)</f>
        <v>0</v>
      </c>
      <c r="BL1494" s="80">
        <f>ROUND(BH1494-BK1494,6)</f>
        <v>0</v>
      </c>
      <c r="BM1494" s="80">
        <f>IF(BE1494=1,ROUND(AR1494/60,6),0)</f>
        <v>0</v>
      </c>
      <c r="BN1494" s="80">
        <f>ROUND(BI1494-BM1494,6)</f>
        <v>0</v>
      </c>
      <c r="BO1494" s="80">
        <f>IF(BE1494=1,ROUND(AS1494/60,6),0)</f>
        <v>0</v>
      </c>
      <c r="BP1494" s="80">
        <f>ROUND(BJ1494-BO1494,6)</f>
        <v>0</v>
      </c>
      <c r="BQ1494" s="80">
        <f>IF(BE1494=1,AW1494,0)</f>
        <v>0</v>
      </c>
      <c r="BR1494" s="80">
        <f>IF(BE1494=1,AX1494,0)</f>
        <v>0</v>
      </c>
      <c r="BS1494" s="80">
        <f>IF(AND(BE1494=1,D1494="Malcolm",BA1494&gt;0),MIN(BH1494,SUMPRODUCT((R_Emp="proMX")*(R_EN&gt;0)*((R_EN-(R_EN&gt;BR1494)*(R_EN-BR1494))&gt;(R_SN+(R_SN&lt;BQ1494)*(BQ1494-R_SN)))*((R_EN-(R_EN&gt;BR1494)*(R_EN-BR1494))-(R_SN+(R_SN&lt;BQ1494)*(BQ1494-R_SN))))/60),0)</f>
        <v>0</v>
      </c>
      <c r="BT1494" s="80">
        <f>IF(AND(BE1494=1,D1494="proMX"),ROUND(BI1494*CFG_RATE+BJ1494*CFG_OTRATE,6),0)</f>
        <v>0</v>
      </c>
      <c r="BU1494" s="80">
        <f>IF(AND(BD1494=1,D1494="proMX"),ROUND(AG1494/CFG_BLK,6),0)</f>
        <v>0</v>
      </c>
      <c r="BV1494" s="80" t="str">
        <f>IF(BF1494="Approved",IF(ISNUMBER(T1494),INT(T1494),INT(B1494)),"")</f>
        <v/>
      </c>
      <c r="BW1494" s="80">
        <f>IF(ISNUMBER(B1494),IF(DB_MON="Todos",1,IF(AND(INT(B1494)&gt;=DB_MS,INT(B1494)&lt;=DB_ME),1,0)),0)</f>
        <v>0</v>
      </c>
      <c r="BX1494" s="80">
        <f>IF(DB_PROJ="Todos",1,IF(E1494&amp;""=DB_PROJ&amp;"",1,0))</f>
        <v>1</v>
      </c>
      <c r="BY1494" s="80">
        <f>BW1494*BX1494</f>
        <v>0</v>
      </c>
      <c r="BZ1494" s="80" t="str">
        <f>IF(Y1494=1,F1494&amp;IF(AND(F1494&amp;""&lt;&gt;"",E1494&amp;""&lt;&gt;"")," · ","")&amp;E1494,"")</f>
        <v/>
      </c>
      <c r="CA1494" s="80" t="str">
        <f>IF(AND(BD1494=1,E1494&amp;""&lt;&gt;""),IF(COUNTIFS($E$5:E1493,E1494,$BD$5:BD1493,1)=0,MAX($CA$5:CA1493)+1,""),"")</f>
        <v/>
      </c>
      <c r="CB1494" s="80" t="str">
        <f>IF(AND(BE1494=1,D1494="Malcolm",E1494&amp;""&lt;&gt;""),IF(COUNTIFS($D$5:D1493,"Malcolm",$E$5:E1493,E1494,$BE$5:BE1493,1)=0,MAX($CB$5:CB1493)+1,""),"")</f>
        <v/>
      </c>
      <c r="CC1494" s="80" t="str">
        <f>IF(AND(BD1494=1,D1494="proMX",E1494&amp;""&lt;&gt;""),IF(COUNTIFS($D$5:D1493,"proMX",$E$5:E1493,E1494,$BD$5:BD1493,1)=0,MAX($CC$5:CC1493)+1,""),"")</f>
        <v/>
      </c>
      <c r="CD1494" s="80" t="str">
        <f>IF(AND(BE1494=1,D1494="Malcolm",F1494&amp;""&lt;&gt;""),IF(COUNTIFS($D$5:D1493,"Malcolm",$F$5:F1493,F1494,$BE$5:BE1493,1)=0,MAX($CD$5:CD1493)+1,""),"")</f>
        <v/>
      </c>
      <c r="CE1494" s="80" t="str">
        <f>IF(AND(BD1494=1,D1494="proMX",F1494&amp;""&lt;&gt;""),IF(COUNTIFS($D$5:D1493,"proMX",$F$5:F1493,F1494,$BD$5:BD1493,1)=0,MAX($CE$5:CE1493)+1,""),"")</f>
        <v/>
      </c>
      <c r="CF1494" s="80" t="str">
        <f>IF(AND(D1494="proMX",BD1494=1),IF(OR(BF1494="Draft",BF1494="Submitted",BF1494="Returned",BF1494="Recall Requested"),MAX($CF$5:CF1493)+1,""),"")</f>
        <v/>
      </c>
      <c r="CG1494" s="80">
        <f>IF(BD1494=0,0,IF(D1494="Malcolm",1,MATCH(BF1494,{"Draft","Submitted","Approved","Returned","Recall Requested","Cancelled"},0)+1))</f>
        <v>0</v>
      </c>
      <c r="CH1494" s="80">
        <f>IF(AND(BF1494="Submitted",ISNUMBER(V1494)),IF(V1494&gt;CFG_MAXD,1,0),0)</f>
        <v>0</v>
      </c>
    </row>
    <row r="1495">
      <c r="A1495" s="71" t="str">
        <f>IF(Y1495=1,ROW()-5,"")</f>
        <v/>
      </c>
      <c r="B1495" s="72" t="n"/>
      <c r="C1495" s="71" t="str">
        <f>IF(ISNUMBER(B1495),CHOOSE(WEEKDAY(B1495,2),"Lun","Mar","Mié","Jue","Vie","Sáb","Dom"),"")</f>
        <v/>
      </c>
      <c r="D1495" s="73" t="n"/>
      <c r="E1495" s="74" t="n"/>
      <c r="F1495" s="74" t="n"/>
      <c r="G1495" s="74" t="n"/>
      <c r="H1495" s="75" t="n"/>
      <c r="I1495" s="75" t="n"/>
      <c r="J1495" s="76" t="n"/>
      <c r="K1495" s="77" t="str">
        <f>IF(AB1495=1,ROUND(AG1495/60,4),"")</f>
        <v/>
      </c>
      <c r="L1495" s="77" t="str">
        <f>IF(BD1495=1,ROUND(AP1495/60,4),"")</f>
        <v/>
      </c>
      <c r="M1495" s="77" t="str">
        <f>IF(BD1495=1,ROUND(AQ1495/60,4),"")</f>
        <v/>
      </c>
      <c r="N1495" s="71" t="str">
        <f>IF(AND(D1495="proMX",AB1495=1),ROUND(AG1495/CFG_BLK,2),"")</f>
        <v/>
      </c>
      <c r="O1495" s="77" t="str">
        <f>IF(D1495="proMX",IF(BD1495=1,ROUND(AG1495/60,4),0),"")</f>
        <v/>
      </c>
      <c r="P1495" s="78" t="str">
        <f>IF(Y1495=0,"",IF(BD1495=1,"OK",IF(D1495="proMX","Revisar bloques: ","Revisar: ")&amp;BC1495))</f>
        <v/>
      </c>
      <c r="Q1495" s="78" t="str">
        <f>IF(NOT(ISNUMBER(B1495)),"",IF(COUNTIFS(FER_F,INT(B1495))&gt;0,"Feriado"&amp;IF(AH1495=1," (laborable)"," (no laborable)"),IF(AH1495=1,"Laborable",IF(WEEKDAY(B1495,2)&gt;5,"Fin de semana","No laborable"))))</f>
        <v/>
      </c>
      <c r="R1495" s="73" t="n"/>
      <c r="S1495" s="72" t="n"/>
      <c r="T1495" s="72" t="n"/>
      <c r="U1495" s="74" t="n"/>
      <c r="V1495" s="79" t="str">
        <f>IF(AND(D1495="proMX",OR(R1495="Submitted",R1495="Recall Requested"),ISNUMBER(S1495)),CFG_TODAY-INT(S1495),"")</f>
        <v/>
      </c>
      <c r="W1495" s="78" t="str">
        <f>IF(BD1495=0,"",IF(BA1495&gt;0,"⚠ Se superpone con un registro de la otra empresa",IF(D1495="Malcolm",IF(COUNTA(R1495,S1495,T1495)&gt;0,"Estado/fechas proMX se ignoran en Malcolm",""),IF(BF1495="Cancelled","Cancelado: excluido de totales",IF(R1495="","Sin estado: se trata como Draft",IF(BF1495="Submitted",IF(ISNUMBER(V1495),IF(V1495&gt;CFG_MAXD,"⚠ "&amp;V1495&amp;" días en Submitted (máx. "&amp;CFG_MAXD&amp;")",""),"Falta fecha de envío"),IF(BF1495="Returned","⚠ Devuelto: corregir y reenviar",IF(BF1495="Recall Requested","Retirada solicitada: pendiente",IF(AND(BF1495="Approved",NOT(ISNUMBER(T1495))),"Falta fecha de aprobación",IF(AND(ISNUMBER(S1495),ISNUMBER(T1495),T1495&lt;S1495),"Aprobación anterior al envío","")))))))))</f>
        <v/>
      </c>
      <c r="Y1495" s="80">
        <f>IF(COUNTA(B1495,D1495,E1495,F1495,G1495,H1495,I1495,J1495,R1495,S1495,T1495)&gt;0,1,0)</f>
        <v>0</v>
      </c>
      <c r="Z1495" s="80" t="str">
        <f>IF(AND(ISNUMBER(H1495),H1495&gt;=0,H1495&lt;1),ROUND(H1495*1440,0),"")</f>
        <v/>
      </c>
      <c r="AA1495" s="80" t="str">
        <f>IF(AND(ISNUMBER(I1495),I1495&gt;=0,I1495&lt;1),ROUND(I1495*1440,0),"")</f>
        <v/>
      </c>
      <c r="AB1495" s="80">
        <f>IF(AND(ISNUMBER(B1495),D1495&lt;&gt;"",ISNUMBER(Z1495),ISNUMBER(AA1495)),IF(Z1495=AA1495,0,1),0)</f>
        <v>0</v>
      </c>
      <c r="AC1495" s="80">
        <f>IF(AB1495=1,IF(AA1495&lt;Z1495,1,0),0)</f>
        <v>0</v>
      </c>
      <c r="AD1495" s="80">
        <f>IF(AB1495=1,IF(AC1495=1,1440-Z1495+AA1495,AA1495-Z1495),0)</f>
        <v>0</v>
      </c>
      <c r="AE1495" s="80">
        <f>IF(J1495="",0,IF(ISNUMBER(J1495),J1495,-1))</f>
        <v>0</v>
      </c>
      <c r="AF1495" s="80">
        <f>MIN(MAX(0,AE1495),AD1495)</f>
        <v>0</v>
      </c>
      <c r="AG1495" s="80">
        <f>MAX(0,AD1495-MAX(0,AE1495))</f>
        <v>0</v>
      </c>
      <c r="AH1495" s="80">
        <f>IF(ISNUMBER(B1495),IF(AND(INDEX(CFG_WDAYS,WEEKDAY(INT(B1495),2))="Sí",IF(D1495="proMX",COUNTIFS(FER_F,INT(B1495),FER_NLP,"Sí"),COUNTIFS(FER_F,INT(B1495),FER_NLM,"Sí"))=0),1,0),0)</f>
        <v>0</v>
      </c>
      <c r="AI1495" s="80">
        <f>IF(AC1495=1,IF(AND(INDEX(CFG_WDAYS,WEEKDAY(INT(B1495)+1,2))="Sí",IF(D1495="proMX",COUNTIFS(FER_F,INT(B1495)+1,FER_NLP,"Sí"),COUNTIFS(FER_F,INT(B1495)+1,FER_NLM,"Sí"))=0),1,0),0)</f>
        <v>0</v>
      </c>
      <c r="AJ1495" s="80">
        <f>IF(AC1495=1,1440-Z1495,AD1495)</f>
        <v>0</v>
      </c>
      <c r="AK1495" s="80">
        <f>IF(AND(AB1495=1,AH1495=1),MAX(0,MIN(IF(AC1495=1,1440,AA1495),CFG_WEM)-MAX(Z1495,CFG_WSM)),0)</f>
        <v>0</v>
      </c>
      <c r="AL1495" s="80">
        <f>IF(AND(AC1495=1,AI1495=1),MAX(0,MIN(AA1495,CFG_WEM)-CFG_WSM),0)</f>
        <v>0</v>
      </c>
      <c r="AM1495" s="80">
        <f>AK1495+AL1495</f>
        <v>0</v>
      </c>
      <c r="AN1495" s="80">
        <f>IF(CFG_BRK="Proporcional",IF(AD1495=0,0,AF1495*AM1495/AD1495),IF(CFG_BRK="Extras primero",MIN(AM1495,MAX(0,AF1495-(AD1495-AM1495))),MIN(AF1495,AM1495)))</f>
        <v>0</v>
      </c>
      <c r="AO1495" s="80">
        <f>AF1495-AN1495</f>
        <v>0</v>
      </c>
      <c r="AP1495" s="80">
        <f>AM1495-AN1495</f>
        <v>0</v>
      </c>
      <c r="AQ1495" s="80">
        <f>AD1495-AM1495-AO1495</f>
        <v>0</v>
      </c>
      <c r="AR1495" s="80">
        <f>IF(AM1495=0,0,AK1495-AN1495*AK1495/AM1495)</f>
        <v>0</v>
      </c>
      <c r="AS1495" s="80">
        <f>IF(AD1495-AM1495=0,0,(AJ1495-AK1495)-AO1495*(AJ1495-AK1495)/(AD1495-AM1495))</f>
        <v>0</v>
      </c>
      <c r="AT1495" s="80" t="str">
        <f>IF(AC1495=1,INT(B1495)+1,"")</f>
        <v/>
      </c>
      <c r="AU1495" s="80">
        <f>IF(AND(D1495="proMX",R1495="Cancelled"),0,1)</f>
        <v>1</v>
      </c>
      <c r="AV1495" s="80">
        <f>IF(AND(AB1495=1,AU1495=1),IF(COUNTIFS($D$5:D1494,D1495,$B$5:B1494,B1495,$Z$5:Z1494,Z1495,$AA$5:AA1494,AA1495,$F$5:F1494,F1495&amp;"",$AU$5:AU1494,1)&gt;0,1,0),0)</f>
        <v>0</v>
      </c>
      <c r="AW1495" s="80" t="str">
        <f>IF(AB1495=1,INT(B1495)*1440+Z1495,"")</f>
        <v/>
      </c>
      <c r="AX1495" s="80" t="str">
        <f>IF(AB1495=1,AW1495+AD1495,"")</f>
        <v/>
      </c>
      <c r="AY1495" s="80">
        <f>IF(AND(AB1495=1,AV1495=0,AU1495=1),1,0)</f>
        <v>0</v>
      </c>
      <c r="AZ1495" s="80">
        <f>IF(AY1495=1,COUNTIFS(R_Emp,D1495,R_SAbs,"&lt;"&amp;AX1495,R_EAbs,"&gt;"&amp;AW1495,R_OKey,1)-1,0)</f>
        <v>0</v>
      </c>
      <c r="BA1495" s="80">
        <f>IF(AY1495=1,COUNTIFS(R_Emp,"&lt;&gt;"&amp;D1495,R_SAbs,"&lt;"&amp;AX1495,R_EAbs,"&gt;"&amp;AW1495,R_OKey,1),0)</f>
        <v>0</v>
      </c>
      <c r="BB1495" s="80">
        <f>IF(AND(AB1495=1,D1495="proMX"),IF(AND(MOD(Z1495,CFG_BLK)=0,MOD(AA1495,CFG_BLK)=0,MOD(AG1495,CFG_BLK)=0,AG1495&gt;0),1,0),1)</f>
        <v>1</v>
      </c>
      <c r="BC1495" s="80" t="str">
        <f>IF(Y1495=0,"",IF(NOT(ISNUMBER(B1495)),"Falta fecha o fecha inválida",IF(D1495="","Falta empresa",IF(AND(D1495&lt;&gt;"Malcolm",D1495&lt;&gt;"proMX"),"Empresa inválida",IF(OR(INT(B1495)&lt;CFG_PSTART,INT(B1495)&gt;CFG_PEND),"Fecha fuera del período",IF(OR(NOT(ISNUMBER(Z1495)),NOT(ISNUMBER(AA1495))),"Falta hora inicio/fin o formato inválido",IF(AB1495=0,"Hora inicio = hora fin",IF(AE1495&lt;0,"Descanso inválido",IF(AE1495&gt;=AD1495,"Descanso ≥ duración",IF(AV1495=1,"Registro duplicado",IF(AZ1495&gt;0,"Se superpone con otro registro "&amp;D1495,IF(BB1495=0,"inicio, fin y duración neta deben ser múltiplos de "&amp;CFG_BLK&amp;" min",""))))))))))))</f>
        <v/>
      </c>
      <c r="BD1495" s="80">
        <f>IF(AND(Y1495=1,BC1495=""),1,0)</f>
        <v>0</v>
      </c>
      <c r="BE1495" s="80">
        <f>IF(AND(BD1495=1,AU1495=1),1,0)</f>
        <v>0</v>
      </c>
      <c r="BF1495" s="80" t="str">
        <f>IF(AND(D1495="proMX",BD1495=1),IF(R1495="","Draft",R1495),"")</f>
        <v/>
      </c>
      <c r="BG1495" s="80">
        <f>IF(BD1495=1,ROUND(AG1495/60,6),0)</f>
        <v>0</v>
      </c>
      <c r="BH1495" s="80">
        <f>IF(BE1495=1,ROUND(AG1495/60,6),0)</f>
        <v>0</v>
      </c>
      <c r="BI1495" s="80">
        <f>IF(BE1495=1,ROUND(AP1495/60,6),0)</f>
        <v>0</v>
      </c>
      <c r="BJ1495" s="80">
        <f>IF(BE1495=1,ROUND(AQ1495/60,6),0)</f>
        <v>0</v>
      </c>
      <c r="BK1495" s="80">
        <f>IF(BE1495=1,ROUND((AR1495+AS1495)/60,6),0)</f>
        <v>0</v>
      </c>
      <c r="BL1495" s="80">
        <f>ROUND(BH1495-BK1495,6)</f>
        <v>0</v>
      </c>
      <c r="BM1495" s="80">
        <f>IF(BE1495=1,ROUND(AR1495/60,6),0)</f>
        <v>0</v>
      </c>
      <c r="BN1495" s="80">
        <f>ROUND(BI1495-BM1495,6)</f>
        <v>0</v>
      </c>
      <c r="BO1495" s="80">
        <f>IF(BE1495=1,ROUND(AS1495/60,6),0)</f>
        <v>0</v>
      </c>
      <c r="BP1495" s="80">
        <f>ROUND(BJ1495-BO1495,6)</f>
        <v>0</v>
      </c>
      <c r="BQ1495" s="80">
        <f>IF(BE1495=1,AW1495,0)</f>
        <v>0</v>
      </c>
      <c r="BR1495" s="80">
        <f>IF(BE1495=1,AX1495,0)</f>
        <v>0</v>
      </c>
      <c r="BS1495" s="80">
        <f>IF(AND(BE1495=1,D1495="Malcolm",BA1495&gt;0),MIN(BH1495,SUMPRODUCT((R_Emp="proMX")*(R_EN&gt;0)*((R_EN-(R_EN&gt;BR1495)*(R_EN-BR1495))&gt;(R_SN+(R_SN&lt;BQ1495)*(BQ1495-R_SN)))*((R_EN-(R_EN&gt;BR1495)*(R_EN-BR1495))-(R_SN+(R_SN&lt;BQ1495)*(BQ1495-R_SN))))/60),0)</f>
        <v>0</v>
      </c>
      <c r="BT1495" s="80">
        <f>IF(AND(BE1495=1,D1495="proMX"),ROUND(BI1495*CFG_RATE+BJ1495*CFG_OTRATE,6),0)</f>
        <v>0</v>
      </c>
      <c r="BU1495" s="80">
        <f>IF(AND(BD1495=1,D1495="proMX"),ROUND(AG1495/CFG_BLK,6),0)</f>
        <v>0</v>
      </c>
      <c r="BV1495" s="80" t="str">
        <f>IF(BF1495="Approved",IF(ISNUMBER(T1495),INT(T1495),INT(B1495)),"")</f>
        <v/>
      </c>
      <c r="BW1495" s="80">
        <f>IF(ISNUMBER(B1495),IF(DB_MON="Todos",1,IF(AND(INT(B1495)&gt;=DB_MS,INT(B1495)&lt;=DB_ME),1,0)),0)</f>
        <v>0</v>
      </c>
      <c r="BX1495" s="80">
        <f>IF(DB_PROJ="Todos",1,IF(E1495&amp;""=DB_PROJ&amp;"",1,0))</f>
        <v>1</v>
      </c>
      <c r="BY1495" s="80">
        <f>BW1495*BX1495</f>
        <v>0</v>
      </c>
      <c r="BZ1495" s="80" t="str">
        <f>IF(Y1495=1,F1495&amp;IF(AND(F1495&amp;""&lt;&gt;"",E1495&amp;""&lt;&gt;"")," · ","")&amp;E1495,"")</f>
        <v/>
      </c>
      <c r="CA1495" s="80" t="str">
        <f>IF(AND(BD1495=1,E1495&amp;""&lt;&gt;""),IF(COUNTIFS($E$5:E1494,E1495,$BD$5:BD1494,1)=0,MAX($CA$5:CA1494)+1,""),"")</f>
        <v/>
      </c>
      <c r="CB1495" s="80" t="str">
        <f>IF(AND(BE1495=1,D1495="Malcolm",E1495&amp;""&lt;&gt;""),IF(COUNTIFS($D$5:D1494,"Malcolm",$E$5:E1494,E1495,$BE$5:BE1494,1)=0,MAX($CB$5:CB1494)+1,""),"")</f>
        <v/>
      </c>
      <c r="CC1495" s="80" t="str">
        <f>IF(AND(BD1495=1,D1495="proMX",E1495&amp;""&lt;&gt;""),IF(COUNTIFS($D$5:D1494,"proMX",$E$5:E1494,E1495,$BD$5:BD1494,1)=0,MAX($CC$5:CC1494)+1,""),"")</f>
        <v/>
      </c>
      <c r="CD1495" s="80" t="str">
        <f>IF(AND(BE1495=1,D1495="Malcolm",F1495&amp;""&lt;&gt;""),IF(COUNTIFS($D$5:D1494,"Malcolm",$F$5:F1494,F1495,$BE$5:BE1494,1)=0,MAX($CD$5:CD1494)+1,""),"")</f>
        <v/>
      </c>
      <c r="CE1495" s="80" t="str">
        <f>IF(AND(BD1495=1,D1495="proMX",F1495&amp;""&lt;&gt;""),IF(COUNTIFS($D$5:D1494,"proMX",$F$5:F1494,F1495,$BD$5:BD1494,1)=0,MAX($CE$5:CE1494)+1,""),"")</f>
        <v/>
      </c>
      <c r="CF1495" s="80" t="str">
        <f>IF(AND(D1495="proMX",BD1495=1),IF(OR(BF1495="Draft",BF1495="Submitted",BF1495="Returned",BF1495="Recall Requested"),MAX($CF$5:CF1494)+1,""),"")</f>
        <v/>
      </c>
      <c r="CG1495" s="80">
        <f>IF(BD1495=0,0,IF(D1495="Malcolm",1,MATCH(BF1495,{"Draft","Submitted","Approved","Returned","Recall Requested","Cancelled"},0)+1))</f>
        <v>0</v>
      </c>
      <c r="CH1495" s="80">
        <f>IF(AND(BF1495="Submitted",ISNUMBER(V1495)),IF(V1495&gt;CFG_MAXD,1,0),0)</f>
        <v>0</v>
      </c>
    </row>
    <row r="1496">
      <c r="A1496" s="71" t="str">
        <f>IF(Y1496=1,ROW()-5,"")</f>
        <v/>
      </c>
      <c r="B1496" s="72" t="n"/>
      <c r="C1496" s="71" t="str">
        <f>IF(ISNUMBER(B1496),CHOOSE(WEEKDAY(B1496,2),"Lun","Mar","Mié","Jue","Vie","Sáb","Dom"),"")</f>
        <v/>
      </c>
      <c r="D1496" s="73" t="n"/>
      <c r="E1496" s="74" t="n"/>
      <c r="F1496" s="74" t="n"/>
      <c r="G1496" s="74" t="n"/>
      <c r="H1496" s="75" t="n"/>
      <c r="I1496" s="75" t="n"/>
      <c r="J1496" s="76" t="n"/>
      <c r="K1496" s="77" t="str">
        <f>IF(AB1496=1,ROUND(AG1496/60,4),"")</f>
        <v/>
      </c>
      <c r="L1496" s="77" t="str">
        <f>IF(BD1496=1,ROUND(AP1496/60,4),"")</f>
        <v/>
      </c>
      <c r="M1496" s="77" t="str">
        <f>IF(BD1496=1,ROUND(AQ1496/60,4),"")</f>
        <v/>
      </c>
      <c r="N1496" s="71" t="str">
        <f>IF(AND(D1496="proMX",AB1496=1),ROUND(AG1496/CFG_BLK,2),"")</f>
        <v/>
      </c>
      <c r="O1496" s="77" t="str">
        <f>IF(D1496="proMX",IF(BD1496=1,ROUND(AG1496/60,4),0),"")</f>
        <v/>
      </c>
      <c r="P1496" s="78" t="str">
        <f>IF(Y1496=0,"",IF(BD1496=1,"OK",IF(D1496="proMX","Revisar bloques: ","Revisar: ")&amp;BC1496))</f>
        <v/>
      </c>
      <c r="Q1496" s="78" t="str">
        <f>IF(NOT(ISNUMBER(B1496)),"",IF(COUNTIFS(FER_F,INT(B1496))&gt;0,"Feriado"&amp;IF(AH1496=1," (laborable)"," (no laborable)"),IF(AH1496=1,"Laborable",IF(WEEKDAY(B1496,2)&gt;5,"Fin de semana","No laborable"))))</f>
        <v/>
      </c>
      <c r="R1496" s="73" t="n"/>
      <c r="S1496" s="72" t="n"/>
      <c r="T1496" s="72" t="n"/>
      <c r="U1496" s="74" t="n"/>
      <c r="V1496" s="79" t="str">
        <f>IF(AND(D1496="proMX",OR(R1496="Submitted",R1496="Recall Requested"),ISNUMBER(S1496)),CFG_TODAY-INT(S1496),"")</f>
        <v/>
      </c>
      <c r="W1496" s="78" t="str">
        <f>IF(BD1496=0,"",IF(BA1496&gt;0,"⚠ Se superpone con un registro de la otra empresa",IF(D1496="Malcolm",IF(COUNTA(R1496,S1496,T1496)&gt;0,"Estado/fechas proMX se ignoran en Malcolm",""),IF(BF1496="Cancelled","Cancelado: excluido de totales",IF(R1496="","Sin estado: se trata como Draft",IF(BF1496="Submitted",IF(ISNUMBER(V1496),IF(V1496&gt;CFG_MAXD,"⚠ "&amp;V1496&amp;" días en Submitted (máx. "&amp;CFG_MAXD&amp;")",""),"Falta fecha de envío"),IF(BF1496="Returned","⚠ Devuelto: corregir y reenviar",IF(BF1496="Recall Requested","Retirada solicitada: pendiente",IF(AND(BF1496="Approved",NOT(ISNUMBER(T1496))),"Falta fecha de aprobación",IF(AND(ISNUMBER(S1496),ISNUMBER(T1496),T1496&lt;S1496),"Aprobación anterior al envío","")))))))))</f>
        <v/>
      </c>
      <c r="Y1496" s="80">
        <f>IF(COUNTA(B1496,D1496,E1496,F1496,G1496,H1496,I1496,J1496,R1496,S1496,T1496)&gt;0,1,0)</f>
        <v>0</v>
      </c>
      <c r="Z1496" s="80" t="str">
        <f>IF(AND(ISNUMBER(H1496),H1496&gt;=0,H1496&lt;1),ROUND(H1496*1440,0),"")</f>
        <v/>
      </c>
      <c r="AA1496" s="80" t="str">
        <f>IF(AND(ISNUMBER(I1496),I1496&gt;=0,I1496&lt;1),ROUND(I1496*1440,0),"")</f>
        <v/>
      </c>
      <c r="AB1496" s="80">
        <f>IF(AND(ISNUMBER(B1496),D1496&lt;&gt;"",ISNUMBER(Z1496),ISNUMBER(AA1496)),IF(Z1496=AA1496,0,1),0)</f>
        <v>0</v>
      </c>
      <c r="AC1496" s="80">
        <f>IF(AB1496=1,IF(AA1496&lt;Z1496,1,0),0)</f>
        <v>0</v>
      </c>
      <c r="AD1496" s="80">
        <f>IF(AB1496=1,IF(AC1496=1,1440-Z1496+AA1496,AA1496-Z1496),0)</f>
        <v>0</v>
      </c>
      <c r="AE1496" s="80">
        <f>IF(J1496="",0,IF(ISNUMBER(J1496),J1496,-1))</f>
        <v>0</v>
      </c>
      <c r="AF1496" s="80">
        <f>MIN(MAX(0,AE1496),AD1496)</f>
        <v>0</v>
      </c>
      <c r="AG1496" s="80">
        <f>MAX(0,AD1496-MAX(0,AE1496))</f>
        <v>0</v>
      </c>
      <c r="AH1496" s="80">
        <f>IF(ISNUMBER(B1496),IF(AND(INDEX(CFG_WDAYS,WEEKDAY(INT(B1496),2))="Sí",IF(D1496="proMX",COUNTIFS(FER_F,INT(B1496),FER_NLP,"Sí"),COUNTIFS(FER_F,INT(B1496),FER_NLM,"Sí"))=0),1,0),0)</f>
        <v>0</v>
      </c>
      <c r="AI1496" s="80">
        <f>IF(AC1496=1,IF(AND(INDEX(CFG_WDAYS,WEEKDAY(INT(B1496)+1,2))="Sí",IF(D1496="proMX",COUNTIFS(FER_F,INT(B1496)+1,FER_NLP,"Sí"),COUNTIFS(FER_F,INT(B1496)+1,FER_NLM,"Sí"))=0),1,0),0)</f>
        <v>0</v>
      </c>
      <c r="AJ1496" s="80">
        <f>IF(AC1496=1,1440-Z1496,AD1496)</f>
        <v>0</v>
      </c>
      <c r="AK1496" s="80">
        <f>IF(AND(AB1496=1,AH1496=1),MAX(0,MIN(IF(AC1496=1,1440,AA1496),CFG_WEM)-MAX(Z1496,CFG_WSM)),0)</f>
        <v>0</v>
      </c>
      <c r="AL1496" s="80">
        <f>IF(AND(AC1496=1,AI1496=1),MAX(0,MIN(AA1496,CFG_WEM)-CFG_WSM),0)</f>
        <v>0</v>
      </c>
      <c r="AM1496" s="80">
        <f>AK1496+AL1496</f>
        <v>0</v>
      </c>
      <c r="AN1496" s="80">
        <f>IF(CFG_BRK="Proporcional",IF(AD1496=0,0,AF1496*AM1496/AD1496),IF(CFG_BRK="Extras primero",MIN(AM1496,MAX(0,AF1496-(AD1496-AM1496))),MIN(AF1496,AM1496)))</f>
        <v>0</v>
      </c>
      <c r="AO1496" s="80">
        <f>AF1496-AN1496</f>
        <v>0</v>
      </c>
      <c r="AP1496" s="80">
        <f>AM1496-AN1496</f>
        <v>0</v>
      </c>
      <c r="AQ1496" s="80">
        <f>AD1496-AM1496-AO1496</f>
        <v>0</v>
      </c>
      <c r="AR1496" s="80">
        <f>IF(AM1496=0,0,AK1496-AN1496*AK1496/AM1496)</f>
        <v>0</v>
      </c>
      <c r="AS1496" s="80">
        <f>IF(AD1496-AM1496=0,0,(AJ1496-AK1496)-AO1496*(AJ1496-AK1496)/(AD1496-AM1496))</f>
        <v>0</v>
      </c>
      <c r="AT1496" s="80" t="str">
        <f>IF(AC1496=1,INT(B1496)+1,"")</f>
        <v/>
      </c>
      <c r="AU1496" s="80">
        <f>IF(AND(D1496="proMX",R1496="Cancelled"),0,1)</f>
        <v>1</v>
      </c>
      <c r="AV1496" s="80">
        <f>IF(AND(AB1496=1,AU1496=1),IF(COUNTIFS($D$5:D1495,D1496,$B$5:B1495,B1496,$Z$5:Z1495,Z1496,$AA$5:AA1495,AA1496,$F$5:F1495,F1496&amp;"",$AU$5:AU1495,1)&gt;0,1,0),0)</f>
        <v>0</v>
      </c>
      <c r="AW1496" s="80" t="str">
        <f>IF(AB1496=1,INT(B1496)*1440+Z1496,"")</f>
        <v/>
      </c>
      <c r="AX1496" s="80" t="str">
        <f>IF(AB1496=1,AW1496+AD1496,"")</f>
        <v/>
      </c>
      <c r="AY1496" s="80">
        <f>IF(AND(AB1496=1,AV1496=0,AU1496=1),1,0)</f>
        <v>0</v>
      </c>
      <c r="AZ1496" s="80">
        <f>IF(AY1496=1,COUNTIFS(R_Emp,D1496,R_SAbs,"&lt;"&amp;AX1496,R_EAbs,"&gt;"&amp;AW1496,R_OKey,1)-1,0)</f>
        <v>0</v>
      </c>
      <c r="BA1496" s="80">
        <f>IF(AY1496=1,COUNTIFS(R_Emp,"&lt;&gt;"&amp;D1496,R_SAbs,"&lt;"&amp;AX1496,R_EAbs,"&gt;"&amp;AW1496,R_OKey,1),0)</f>
        <v>0</v>
      </c>
      <c r="BB1496" s="80">
        <f>IF(AND(AB1496=1,D1496="proMX"),IF(AND(MOD(Z1496,CFG_BLK)=0,MOD(AA1496,CFG_BLK)=0,MOD(AG1496,CFG_BLK)=0,AG1496&gt;0),1,0),1)</f>
        <v>1</v>
      </c>
      <c r="BC1496" s="80" t="str">
        <f>IF(Y1496=0,"",IF(NOT(ISNUMBER(B1496)),"Falta fecha o fecha inválida",IF(D1496="","Falta empresa",IF(AND(D1496&lt;&gt;"Malcolm",D1496&lt;&gt;"proMX"),"Empresa inválida",IF(OR(INT(B1496)&lt;CFG_PSTART,INT(B1496)&gt;CFG_PEND),"Fecha fuera del período",IF(OR(NOT(ISNUMBER(Z1496)),NOT(ISNUMBER(AA1496))),"Falta hora inicio/fin o formato inválido",IF(AB1496=0,"Hora inicio = hora fin",IF(AE1496&lt;0,"Descanso inválido",IF(AE1496&gt;=AD1496,"Descanso ≥ duración",IF(AV1496=1,"Registro duplicado",IF(AZ1496&gt;0,"Se superpone con otro registro "&amp;D1496,IF(BB1496=0,"inicio, fin y duración neta deben ser múltiplos de "&amp;CFG_BLK&amp;" min",""))))))))))))</f>
        <v/>
      </c>
      <c r="BD1496" s="80">
        <f>IF(AND(Y1496=1,BC1496=""),1,0)</f>
        <v>0</v>
      </c>
      <c r="BE1496" s="80">
        <f>IF(AND(BD1496=1,AU1496=1),1,0)</f>
        <v>0</v>
      </c>
      <c r="BF1496" s="80" t="str">
        <f>IF(AND(D1496="proMX",BD1496=1),IF(R1496="","Draft",R1496),"")</f>
        <v/>
      </c>
      <c r="BG1496" s="80">
        <f>IF(BD1496=1,ROUND(AG1496/60,6),0)</f>
        <v>0</v>
      </c>
      <c r="BH1496" s="80">
        <f>IF(BE1496=1,ROUND(AG1496/60,6),0)</f>
        <v>0</v>
      </c>
      <c r="BI1496" s="80">
        <f>IF(BE1496=1,ROUND(AP1496/60,6),0)</f>
        <v>0</v>
      </c>
      <c r="BJ1496" s="80">
        <f>IF(BE1496=1,ROUND(AQ1496/60,6),0)</f>
        <v>0</v>
      </c>
      <c r="BK1496" s="80">
        <f>IF(BE1496=1,ROUND((AR1496+AS1496)/60,6),0)</f>
        <v>0</v>
      </c>
      <c r="BL1496" s="80">
        <f>ROUND(BH1496-BK1496,6)</f>
        <v>0</v>
      </c>
      <c r="BM1496" s="80">
        <f>IF(BE1496=1,ROUND(AR1496/60,6),0)</f>
        <v>0</v>
      </c>
      <c r="BN1496" s="80">
        <f>ROUND(BI1496-BM1496,6)</f>
        <v>0</v>
      </c>
      <c r="BO1496" s="80">
        <f>IF(BE1496=1,ROUND(AS1496/60,6),0)</f>
        <v>0</v>
      </c>
      <c r="BP1496" s="80">
        <f>ROUND(BJ1496-BO1496,6)</f>
        <v>0</v>
      </c>
      <c r="BQ1496" s="80">
        <f>IF(BE1496=1,AW1496,0)</f>
        <v>0</v>
      </c>
      <c r="BR1496" s="80">
        <f>IF(BE1496=1,AX1496,0)</f>
        <v>0</v>
      </c>
      <c r="BS1496" s="80">
        <f>IF(AND(BE1496=1,D1496="Malcolm",BA1496&gt;0),MIN(BH1496,SUMPRODUCT((R_Emp="proMX")*(R_EN&gt;0)*((R_EN-(R_EN&gt;BR1496)*(R_EN-BR1496))&gt;(R_SN+(R_SN&lt;BQ1496)*(BQ1496-R_SN)))*((R_EN-(R_EN&gt;BR1496)*(R_EN-BR1496))-(R_SN+(R_SN&lt;BQ1496)*(BQ1496-R_SN))))/60),0)</f>
        <v>0</v>
      </c>
      <c r="BT1496" s="80">
        <f>IF(AND(BE1496=1,D1496="proMX"),ROUND(BI1496*CFG_RATE+BJ1496*CFG_OTRATE,6),0)</f>
        <v>0</v>
      </c>
      <c r="BU1496" s="80">
        <f>IF(AND(BD1496=1,D1496="proMX"),ROUND(AG1496/CFG_BLK,6),0)</f>
        <v>0</v>
      </c>
      <c r="BV1496" s="80" t="str">
        <f>IF(BF1496="Approved",IF(ISNUMBER(T1496),INT(T1496),INT(B1496)),"")</f>
        <v/>
      </c>
      <c r="BW1496" s="80">
        <f>IF(ISNUMBER(B1496),IF(DB_MON="Todos",1,IF(AND(INT(B1496)&gt;=DB_MS,INT(B1496)&lt;=DB_ME),1,0)),0)</f>
        <v>0</v>
      </c>
      <c r="BX1496" s="80">
        <f>IF(DB_PROJ="Todos",1,IF(E1496&amp;""=DB_PROJ&amp;"",1,0))</f>
        <v>1</v>
      </c>
      <c r="BY1496" s="80">
        <f>BW1496*BX1496</f>
        <v>0</v>
      </c>
      <c r="BZ1496" s="80" t="str">
        <f>IF(Y1496=1,F1496&amp;IF(AND(F1496&amp;""&lt;&gt;"",E1496&amp;""&lt;&gt;"")," · ","")&amp;E1496,"")</f>
        <v/>
      </c>
      <c r="CA1496" s="80" t="str">
        <f>IF(AND(BD1496=1,E1496&amp;""&lt;&gt;""),IF(COUNTIFS($E$5:E1495,E1496,$BD$5:BD1495,1)=0,MAX($CA$5:CA1495)+1,""),"")</f>
        <v/>
      </c>
      <c r="CB1496" s="80" t="str">
        <f>IF(AND(BE1496=1,D1496="Malcolm",E1496&amp;""&lt;&gt;""),IF(COUNTIFS($D$5:D1495,"Malcolm",$E$5:E1495,E1496,$BE$5:BE1495,1)=0,MAX($CB$5:CB1495)+1,""),"")</f>
        <v/>
      </c>
      <c r="CC1496" s="80" t="str">
        <f>IF(AND(BD1496=1,D1496="proMX",E1496&amp;""&lt;&gt;""),IF(COUNTIFS($D$5:D1495,"proMX",$E$5:E1495,E1496,$BD$5:BD1495,1)=0,MAX($CC$5:CC1495)+1,""),"")</f>
        <v/>
      </c>
      <c r="CD1496" s="80" t="str">
        <f>IF(AND(BE1496=1,D1496="Malcolm",F1496&amp;""&lt;&gt;""),IF(COUNTIFS($D$5:D1495,"Malcolm",$F$5:F1495,F1496,$BE$5:BE1495,1)=0,MAX($CD$5:CD1495)+1,""),"")</f>
        <v/>
      </c>
      <c r="CE1496" s="80" t="str">
        <f>IF(AND(BD1496=1,D1496="proMX",F1496&amp;""&lt;&gt;""),IF(COUNTIFS($D$5:D1495,"proMX",$F$5:F1495,F1496,$BD$5:BD1495,1)=0,MAX($CE$5:CE1495)+1,""),"")</f>
        <v/>
      </c>
      <c r="CF1496" s="80" t="str">
        <f>IF(AND(D1496="proMX",BD1496=1),IF(OR(BF1496="Draft",BF1496="Submitted",BF1496="Returned",BF1496="Recall Requested"),MAX($CF$5:CF1495)+1,""),"")</f>
        <v/>
      </c>
      <c r="CG1496" s="80">
        <f>IF(BD1496=0,0,IF(D1496="Malcolm",1,MATCH(BF1496,{"Draft","Submitted","Approved","Returned","Recall Requested","Cancelled"},0)+1))</f>
        <v>0</v>
      </c>
      <c r="CH1496" s="80">
        <f>IF(AND(BF1496="Submitted",ISNUMBER(V1496)),IF(V1496&gt;CFG_MAXD,1,0),0)</f>
        <v>0</v>
      </c>
    </row>
    <row r="1497">
      <c r="A1497" s="71" t="str">
        <f>IF(Y1497=1,ROW()-5,"")</f>
        <v/>
      </c>
      <c r="B1497" s="72" t="n"/>
      <c r="C1497" s="71" t="str">
        <f>IF(ISNUMBER(B1497),CHOOSE(WEEKDAY(B1497,2),"Lun","Mar","Mié","Jue","Vie","Sáb","Dom"),"")</f>
        <v/>
      </c>
      <c r="D1497" s="73" t="n"/>
      <c r="E1497" s="74" t="n"/>
      <c r="F1497" s="74" t="n"/>
      <c r="G1497" s="74" t="n"/>
      <c r="H1497" s="75" t="n"/>
      <c r="I1497" s="75" t="n"/>
      <c r="J1497" s="76" t="n"/>
      <c r="K1497" s="77" t="str">
        <f>IF(AB1497=1,ROUND(AG1497/60,4),"")</f>
        <v/>
      </c>
      <c r="L1497" s="77" t="str">
        <f>IF(BD1497=1,ROUND(AP1497/60,4),"")</f>
        <v/>
      </c>
      <c r="M1497" s="77" t="str">
        <f>IF(BD1497=1,ROUND(AQ1497/60,4),"")</f>
        <v/>
      </c>
      <c r="N1497" s="71" t="str">
        <f>IF(AND(D1497="proMX",AB1497=1),ROUND(AG1497/CFG_BLK,2),"")</f>
        <v/>
      </c>
      <c r="O1497" s="77" t="str">
        <f>IF(D1497="proMX",IF(BD1497=1,ROUND(AG1497/60,4),0),"")</f>
        <v/>
      </c>
      <c r="P1497" s="78" t="str">
        <f>IF(Y1497=0,"",IF(BD1497=1,"OK",IF(D1497="proMX","Revisar bloques: ","Revisar: ")&amp;BC1497))</f>
        <v/>
      </c>
      <c r="Q1497" s="78" t="str">
        <f>IF(NOT(ISNUMBER(B1497)),"",IF(COUNTIFS(FER_F,INT(B1497))&gt;0,"Feriado"&amp;IF(AH1497=1," (laborable)"," (no laborable)"),IF(AH1497=1,"Laborable",IF(WEEKDAY(B1497,2)&gt;5,"Fin de semana","No laborable"))))</f>
        <v/>
      </c>
      <c r="R1497" s="73" t="n"/>
      <c r="S1497" s="72" t="n"/>
      <c r="T1497" s="72" t="n"/>
      <c r="U1497" s="74" t="n"/>
      <c r="V1497" s="79" t="str">
        <f>IF(AND(D1497="proMX",OR(R1497="Submitted",R1497="Recall Requested"),ISNUMBER(S1497)),CFG_TODAY-INT(S1497),"")</f>
        <v/>
      </c>
      <c r="W1497" s="78" t="str">
        <f>IF(BD1497=0,"",IF(BA1497&gt;0,"⚠ Se superpone con un registro de la otra empresa",IF(D1497="Malcolm",IF(COUNTA(R1497,S1497,T1497)&gt;0,"Estado/fechas proMX se ignoran en Malcolm",""),IF(BF1497="Cancelled","Cancelado: excluido de totales",IF(R1497="","Sin estado: se trata como Draft",IF(BF1497="Submitted",IF(ISNUMBER(V1497),IF(V1497&gt;CFG_MAXD,"⚠ "&amp;V1497&amp;" días en Submitted (máx. "&amp;CFG_MAXD&amp;")",""),"Falta fecha de envío"),IF(BF1497="Returned","⚠ Devuelto: corregir y reenviar",IF(BF1497="Recall Requested","Retirada solicitada: pendiente",IF(AND(BF1497="Approved",NOT(ISNUMBER(T1497))),"Falta fecha de aprobación",IF(AND(ISNUMBER(S1497),ISNUMBER(T1497),T1497&lt;S1497),"Aprobación anterior al envío","")))))))))</f>
        <v/>
      </c>
      <c r="Y1497" s="80">
        <f>IF(COUNTA(B1497,D1497,E1497,F1497,G1497,H1497,I1497,J1497,R1497,S1497,T1497)&gt;0,1,0)</f>
        <v>0</v>
      </c>
      <c r="Z1497" s="80" t="str">
        <f>IF(AND(ISNUMBER(H1497),H1497&gt;=0,H1497&lt;1),ROUND(H1497*1440,0),"")</f>
        <v/>
      </c>
      <c r="AA1497" s="80" t="str">
        <f>IF(AND(ISNUMBER(I1497),I1497&gt;=0,I1497&lt;1),ROUND(I1497*1440,0),"")</f>
        <v/>
      </c>
      <c r="AB1497" s="80">
        <f>IF(AND(ISNUMBER(B1497),D1497&lt;&gt;"",ISNUMBER(Z1497),ISNUMBER(AA1497)),IF(Z1497=AA1497,0,1),0)</f>
        <v>0</v>
      </c>
      <c r="AC1497" s="80">
        <f>IF(AB1497=1,IF(AA1497&lt;Z1497,1,0),0)</f>
        <v>0</v>
      </c>
      <c r="AD1497" s="80">
        <f>IF(AB1497=1,IF(AC1497=1,1440-Z1497+AA1497,AA1497-Z1497),0)</f>
        <v>0</v>
      </c>
      <c r="AE1497" s="80">
        <f>IF(J1497="",0,IF(ISNUMBER(J1497),J1497,-1))</f>
        <v>0</v>
      </c>
      <c r="AF1497" s="80">
        <f>MIN(MAX(0,AE1497),AD1497)</f>
        <v>0</v>
      </c>
      <c r="AG1497" s="80">
        <f>MAX(0,AD1497-MAX(0,AE1497))</f>
        <v>0</v>
      </c>
      <c r="AH1497" s="80">
        <f>IF(ISNUMBER(B1497),IF(AND(INDEX(CFG_WDAYS,WEEKDAY(INT(B1497),2))="Sí",IF(D1497="proMX",COUNTIFS(FER_F,INT(B1497),FER_NLP,"Sí"),COUNTIFS(FER_F,INT(B1497),FER_NLM,"Sí"))=0),1,0),0)</f>
        <v>0</v>
      </c>
      <c r="AI1497" s="80">
        <f>IF(AC1497=1,IF(AND(INDEX(CFG_WDAYS,WEEKDAY(INT(B1497)+1,2))="Sí",IF(D1497="proMX",COUNTIFS(FER_F,INT(B1497)+1,FER_NLP,"Sí"),COUNTIFS(FER_F,INT(B1497)+1,FER_NLM,"Sí"))=0),1,0),0)</f>
        <v>0</v>
      </c>
      <c r="AJ1497" s="80">
        <f>IF(AC1497=1,1440-Z1497,AD1497)</f>
        <v>0</v>
      </c>
      <c r="AK1497" s="80">
        <f>IF(AND(AB1497=1,AH1497=1),MAX(0,MIN(IF(AC1497=1,1440,AA1497),CFG_WEM)-MAX(Z1497,CFG_WSM)),0)</f>
        <v>0</v>
      </c>
      <c r="AL1497" s="80">
        <f>IF(AND(AC1497=1,AI1497=1),MAX(0,MIN(AA1497,CFG_WEM)-CFG_WSM),0)</f>
        <v>0</v>
      </c>
      <c r="AM1497" s="80">
        <f>AK1497+AL1497</f>
        <v>0</v>
      </c>
      <c r="AN1497" s="80">
        <f>IF(CFG_BRK="Proporcional",IF(AD1497=0,0,AF1497*AM1497/AD1497),IF(CFG_BRK="Extras primero",MIN(AM1497,MAX(0,AF1497-(AD1497-AM1497))),MIN(AF1497,AM1497)))</f>
        <v>0</v>
      </c>
      <c r="AO1497" s="80">
        <f>AF1497-AN1497</f>
        <v>0</v>
      </c>
      <c r="AP1497" s="80">
        <f>AM1497-AN1497</f>
        <v>0</v>
      </c>
      <c r="AQ1497" s="80">
        <f>AD1497-AM1497-AO1497</f>
        <v>0</v>
      </c>
      <c r="AR1497" s="80">
        <f>IF(AM1497=0,0,AK1497-AN1497*AK1497/AM1497)</f>
        <v>0</v>
      </c>
      <c r="AS1497" s="80">
        <f>IF(AD1497-AM1497=0,0,(AJ1497-AK1497)-AO1497*(AJ1497-AK1497)/(AD1497-AM1497))</f>
        <v>0</v>
      </c>
      <c r="AT1497" s="80" t="str">
        <f>IF(AC1497=1,INT(B1497)+1,"")</f>
        <v/>
      </c>
      <c r="AU1497" s="80">
        <f>IF(AND(D1497="proMX",R1497="Cancelled"),0,1)</f>
        <v>1</v>
      </c>
      <c r="AV1497" s="80">
        <f>IF(AND(AB1497=1,AU1497=1),IF(COUNTIFS($D$5:D1496,D1497,$B$5:B1496,B1497,$Z$5:Z1496,Z1497,$AA$5:AA1496,AA1497,$F$5:F1496,F1497&amp;"",$AU$5:AU1496,1)&gt;0,1,0),0)</f>
        <v>0</v>
      </c>
      <c r="AW1497" s="80" t="str">
        <f>IF(AB1497=1,INT(B1497)*1440+Z1497,"")</f>
        <v/>
      </c>
      <c r="AX1497" s="80" t="str">
        <f>IF(AB1497=1,AW1497+AD1497,"")</f>
        <v/>
      </c>
      <c r="AY1497" s="80">
        <f>IF(AND(AB1497=1,AV1497=0,AU1497=1),1,0)</f>
        <v>0</v>
      </c>
      <c r="AZ1497" s="80">
        <f>IF(AY1497=1,COUNTIFS(R_Emp,D1497,R_SAbs,"&lt;"&amp;AX1497,R_EAbs,"&gt;"&amp;AW1497,R_OKey,1)-1,0)</f>
        <v>0</v>
      </c>
      <c r="BA1497" s="80">
        <f>IF(AY1497=1,COUNTIFS(R_Emp,"&lt;&gt;"&amp;D1497,R_SAbs,"&lt;"&amp;AX1497,R_EAbs,"&gt;"&amp;AW1497,R_OKey,1),0)</f>
        <v>0</v>
      </c>
      <c r="BB1497" s="80">
        <f>IF(AND(AB1497=1,D1497="proMX"),IF(AND(MOD(Z1497,CFG_BLK)=0,MOD(AA1497,CFG_BLK)=0,MOD(AG1497,CFG_BLK)=0,AG1497&gt;0),1,0),1)</f>
        <v>1</v>
      </c>
      <c r="BC1497" s="80" t="str">
        <f>IF(Y1497=0,"",IF(NOT(ISNUMBER(B1497)),"Falta fecha o fecha inválida",IF(D1497="","Falta empresa",IF(AND(D1497&lt;&gt;"Malcolm",D1497&lt;&gt;"proMX"),"Empresa inválida",IF(OR(INT(B1497)&lt;CFG_PSTART,INT(B1497)&gt;CFG_PEND),"Fecha fuera del período",IF(OR(NOT(ISNUMBER(Z1497)),NOT(ISNUMBER(AA1497))),"Falta hora inicio/fin o formato inválido",IF(AB1497=0,"Hora inicio = hora fin",IF(AE1497&lt;0,"Descanso inválido",IF(AE1497&gt;=AD1497,"Descanso ≥ duración",IF(AV1497=1,"Registro duplicado",IF(AZ1497&gt;0,"Se superpone con otro registro "&amp;D1497,IF(BB1497=0,"inicio, fin y duración neta deben ser múltiplos de "&amp;CFG_BLK&amp;" min",""))))))))))))</f>
        <v/>
      </c>
      <c r="BD1497" s="80">
        <f>IF(AND(Y1497=1,BC1497=""),1,0)</f>
        <v>0</v>
      </c>
      <c r="BE1497" s="80">
        <f>IF(AND(BD1497=1,AU1497=1),1,0)</f>
        <v>0</v>
      </c>
      <c r="BF1497" s="80" t="str">
        <f>IF(AND(D1497="proMX",BD1497=1),IF(R1497="","Draft",R1497),"")</f>
        <v/>
      </c>
      <c r="BG1497" s="80">
        <f>IF(BD1497=1,ROUND(AG1497/60,6),0)</f>
        <v>0</v>
      </c>
      <c r="BH1497" s="80">
        <f>IF(BE1497=1,ROUND(AG1497/60,6),0)</f>
        <v>0</v>
      </c>
      <c r="BI1497" s="80">
        <f>IF(BE1497=1,ROUND(AP1497/60,6),0)</f>
        <v>0</v>
      </c>
      <c r="BJ1497" s="80">
        <f>IF(BE1497=1,ROUND(AQ1497/60,6),0)</f>
        <v>0</v>
      </c>
      <c r="BK1497" s="80">
        <f>IF(BE1497=1,ROUND((AR1497+AS1497)/60,6),0)</f>
        <v>0</v>
      </c>
      <c r="BL1497" s="80">
        <f>ROUND(BH1497-BK1497,6)</f>
        <v>0</v>
      </c>
      <c r="BM1497" s="80">
        <f>IF(BE1497=1,ROUND(AR1497/60,6),0)</f>
        <v>0</v>
      </c>
      <c r="BN1497" s="80">
        <f>ROUND(BI1497-BM1497,6)</f>
        <v>0</v>
      </c>
      <c r="BO1497" s="80">
        <f>IF(BE1497=1,ROUND(AS1497/60,6),0)</f>
        <v>0</v>
      </c>
      <c r="BP1497" s="80">
        <f>ROUND(BJ1497-BO1497,6)</f>
        <v>0</v>
      </c>
      <c r="BQ1497" s="80">
        <f>IF(BE1497=1,AW1497,0)</f>
        <v>0</v>
      </c>
      <c r="BR1497" s="80">
        <f>IF(BE1497=1,AX1497,0)</f>
        <v>0</v>
      </c>
      <c r="BS1497" s="80">
        <f>IF(AND(BE1497=1,D1497="Malcolm",BA1497&gt;0),MIN(BH1497,SUMPRODUCT((R_Emp="proMX")*(R_EN&gt;0)*((R_EN-(R_EN&gt;BR1497)*(R_EN-BR1497))&gt;(R_SN+(R_SN&lt;BQ1497)*(BQ1497-R_SN)))*((R_EN-(R_EN&gt;BR1497)*(R_EN-BR1497))-(R_SN+(R_SN&lt;BQ1497)*(BQ1497-R_SN))))/60),0)</f>
        <v>0</v>
      </c>
      <c r="BT1497" s="80">
        <f>IF(AND(BE1497=1,D1497="proMX"),ROUND(BI1497*CFG_RATE+BJ1497*CFG_OTRATE,6),0)</f>
        <v>0</v>
      </c>
      <c r="BU1497" s="80">
        <f>IF(AND(BD1497=1,D1497="proMX"),ROUND(AG1497/CFG_BLK,6),0)</f>
        <v>0</v>
      </c>
      <c r="BV1497" s="80" t="str">
        <f>IF(BF1497="Approved",IF(ISNUMBER(T1497),INT(T1497),INT(B1497)),"")</f>
        <v/>
      </c>
      <c r="BW1497" s="80">
        <f>IF(ISNUMBER(B1497),IF(DB_MON="Todos",1,IF(AND(INT(B1497)&gt;=DB_MS,INT(B1497)&lt;=DB_ME),1,0)),0)</f>
        <v>0</v>
      </c>
      <c r="BX1497" s="80">
        <f>IF(DB_PROJ="Todos",1,IF(E1497&amp;""=DB_PROJ&amp;"",1,0))</f>
        <v>1</v>
      </c>
      <c r="BY1497" s="80">
        <f>BW1497*BX1497</f>
        <v>0</v>
      </c>
      <c r="BZ1497" s="80" t="str">
        <f>IF(Y1497=1,F1497&amp;IF(AND(F1497&amp;""&lt;&gt;"",E1497&amp;""&lt;&gt;"")," · ","")&amp;E1497,"")</f>
        <v/>
      </c>
      <c r="CA1497" s="80" t="str">
        <f>IF(AND(BD1497=1,E1497&amp;""&lt;&gt;""),IF(COUNTIFS($E$5:E1496,E1497,$BD$5:BD1496,1)=0,MAX($CA$5:CA1496)+1,""),"")</f>
        <v/>
      </c>
      <c r="CB1497" s="80" t="str">
        <f>IF(AND(BE1497=1,D1497="Malcolm",E1497&amp;""&lt;&gt;""),IF(COUNTIFS($D$5:D1496,"Malcolm",$E$5:E1496,E1497,$BE$5:BE1496,1)=0,MAX($CB$5:CB1496)+1,""),"")</f>
        <v/>
      </c>
      <c r="CC1497" s="80" t="str">
        <f>IF(AND(BD1497=1,D1497="proMX",E1497&amp;""&lt;&gt;""),IF(COUNTIFS($D$5:D1496,"proMX",$E$5:E1496,E1497,$BD$5:BD1496,1)=0,MAX($CC$5:CC1496)+1,""),"")</f>
        <v/>
      </c>
      <c r="CD1497" s="80" t="str">
        <f>IF(AND(BE1497=1,D1497="Malcolm",F1497&amp;""&lt;&gt;""),IF(COUNTIFS($D$5:D1496,"Malcolm",$F$5:F1496,F1497,$BE$5:BE1496,1)=0,MAX($CD$5:CD1496)+1,""),"")</f>
        <v/>
      </c>
      <c r="CE1497" s="80" t="str">
        <f>IF(AND(BD1497=1,D1497="proMX",F1497&amp;""&lt;&gt;""),IF(COUNTIFS($D$5:D1496,"proMX",$F$5:F1496,F1497,$BD$5:BD1496,1)=0,MAX($CE$5:CE1496)+1,""),"")</f>
        <v/>
      </c>
      <c r="CF1497" s="80" t="str">
        <f>IF(AND(D1497="proMX",BD1497=1),IF(OR(BF1497="Draft",BF1497="Submitted",BF1497="Returned",BF1497="Recall Requested"),MAX($CF$5:CF1496)+1,""),"")</f>
        <v/>
      </c>
      <c r="CG1497" s="80">
        <f>IF(BD1497=0,0,IF(D1497="Malcolm",1,MATCH(BF1497,{"Draft","Submitted","Approved","Returned","Recall Requested","Cancelled"},0)+1))</f>
        <v>0</v>
      </c>
      <c r="CH1497" s="80">
        <f>IF(AND(BF1497="Submitted",ISNUMBER(V1497)),IF(V1497&gt;CFG_MAXD,1,0),0)</f>
        <v>0</v>
      </c>
    </row>
    <row r="1498">
      <c r="A1498" s="71" t="str">
        <f>IF(Y1498=1,ROW()-5,"")</f>
        <v/>
      </c>
      <c r="B1498" s="72" t="n"/>
      <c r="C1498" s="71" t="str">
        <f>IF(ISNUMBER(B1498),CHOOSE(WEEKDAY(B1498,2),"Lun","Mar","Mié","Jue","Vie","Sáb","Dom"),"")</f>
        <v/>
      </c>
      <c r="D1498" s="73" t="n"/>
      <c r="E1498" s="74" t="n"/>
      <c r="F1498" s="74" t="n"/>
      <c r="G1498" s="74" t="n"/>
      <c r="H1498" s="75" t="n"/>
      <c r="I1498" s="75" t="n"/>
      <c r="J1498" s="76" t="n"/>
      <c r="K1498" s="77" t="str">
        <f>IF(AB1498=1,ROUND(AG1498/60,4),"")</f>
        <v/>
      </c>
      <c r="L1498" s="77" t="str">
        <f>IF(BD1498=1,ROUND(AP1498/60,4),"")</f>
        <v/>
      </c>
      <c r="M1498" s="77" t="str">
        <f>IF(BD1498=1,ROUND(AQ1498/60,4),"")</f>
        <v/>
      </c>
      <c r="N1498" s="71" t="str">
        <f>IF(AND(D1498="proMX",AB1498=1),ROUND(AG1498/CFG_BLK,2),"")</f>
        <v/>
      </c>
      <c r="O1498" s="77" t="str">
        <f>IF(D1498="proMX",IF(BD1498=1,ROUND(AG1498/60,4),0),"")</f>
        <v/>
      </c>
      <c r="P1498" s="78" t="str">
        <f>IF(Y1498=0,"",IF(BD1498=1,"OK",IF(D1498="proMX","Revisar bloques: ","Revisar: ")&amp;BC1498))</f>
        <v/>
      </c>
      <c r="Q1498" s="78" t="str">
        <f>IF(NOT(ISNUMBER(B1498)),"",IF(COUNTIFS(FER_F,INT(B1498))&gt;0,"Feriado"&amp;IF(AH1498=1," (laborable)"," (no laborable)"),IF(AH1498=1,"Laborable",IF(WEEKDAY(B1498,2)&gt;5,"Fin de semana","No laborable"))))</f>
        <v/>
      </c>
      <c r="R1498" s="73" t="n"/>
      <c r="S1498" s="72" t="n"/>
      <c r="T1498" s="72" t="n"/>
      <c r="U1498" s="74" t="n"/>
      <c r="V1498" s="79" t="str">
        <f>IF(AND(D1498="proMX",OR(R1498="Submitted",R1498="Recall Requested"),ISNUMBER(S1498)),CFG_TODAY-INT(S1498),"")</f>
        <v/>
      </c>
      <c r="W1498" s="78" t="str">
        <f>IF(BD1498=0,"",IF(BA1498&gt;0,"⚠ Se superpone con un registro de la otra empresa",IF(D1498="Malcolm",IF(COUNTA(R1498,S1498,T1498)&gt;0,"Estado/fechas proMX se ignoran en Malcolm",""),IF(BF1498="Cancelled","Cancelado: excluido de totales",IF(R1498="","Sin estado: se trata como Draft",IF(BF1498="Submitted",IF(ISNUMBER(V1498),IF(V1498&gt;CFG_MAXD,"⚠ "&amp;V1498&amp;" días en Submitted (máx. "&amp;CFG_MAXD&amp;")",""),"Falta fecha de envío"),IF(BF1498="Returned","⚠ Devuelto: corregir y reenviar",IF(BF1498="Recall Requested","Retirada solicitada: pendiente",IF(AND(BF1498="Approved",NOT(ISNUMBER(T1498))),"Falta fecha de aprobación",IF(AND(ISNUMBER(S1498),ISNUMBER(T1498),T1498&lt;S1498),"Aprobación anterior al envío","")))))))))</f>
        <v/>
      </c>
      <c r="Y1498" s="80">
        <f>IF(COUNTA(B1498,D1498,E1498,F1498,G1498,H1498,I1498,J1498,R1498,S1498,T1498)&gt;0,1,0)</f>
        <v>0</v>
      </c>
      <c r="Z1498" s="80" t="str">
        <f>IF(AND(ISNUMBER(H1498),H1498&gt;=0,H1498&lt;1),ROUND(H1498*1440,0),"")</f>
        <v/>
      </c>
      <c r="AA1498" s="80" t="str">
        <f>IF(AND(ISNUMBER(I1498),I1498&gt;=0,I1498&lt;1),ROUND(I1498*1440,0),"")</f>
        <v/>
      </c>
      <c r="AB1498" s="80">
        <f>IF(AND(ISNUMBER(B1498),D1498&lt;&gt;"",ISNUMBER(Z1498),ISNUMBER(AA1498)),IF(Z1498=AA1498,0,1),0)</f>
        <v>0</v>
      </c>
      <c r="AC1498" s="80">
        <f>IF(AB1498=1,IF(AA1498&lt;Z1498,1,0),0)</f>
        <v>0</v>
      </c>
      <c r="AD1498" s="80">
        <f>IF(AB1498=1,IF(AC1498=1,1440-Z1498+AA1498,AA1498-Z1498),0)</f>
        <v>0</v>
      </c>
      <c r="AE1498" s="80">
        <f>IF(J1498="",0,IF(ISNUMBER(J1498),J1498,-1))</f>
        <v>0</v>
      </c>
      <c r="AF1498" s="80">
        <f>MIN(MAX(0,AE1498),AD1498)</f>
        <v>0</v>
      </c>
      <c r="AG1498" s="80">
        <f>MAX(0,AD1498-MAX(0,AE1498))</f>
        <v>0</v>
      </c>
      <c r="AH1498" s="80">
        <f>IF(ISNUMBER(B1498),IF(AND(INDEX(CFG_WDAYS,WEEKDAY(INT(B1498),2))="Sí",IF(D1498="proMX",COUNTIFS(FER_F,INT(B1498),FER_NLP,"Sí"),COUNTIFS(FER_F,INT(B1498),FER_NLM,"Sí"))=0),1,0),0)</f>
        <v>0</v>
      </c>
      <c r="AI1498" s="80">
        <f>IF(AC1498=1,IF(AND(INDEX(CFG_WDAYS,WEEKDAY(INT(B1498)+1,2))="Sí",IF(D1498="proMX",COUNTIFS(FER_F,INT(B1498)+1,FER_NLP,"Sí"),COUNTIFS(FER_F,INT(B1498)+1,FER_NLM,"Sí"))=0),1,0),0)</f>
        <v>0</v>
      </c>
      <c r="AJ1498" s="80">
        <f>IF(AC1498=1,1440-Z1498,AD1498)</f>
        <v>0</v>
      </c>
      <c r="AK1498" s="80">
        <f>IF(AND(AB1498=1,AH1498=1),MAX(0,MIN(IF(AC1498=1,1440,AA1498),CFG_WEM)-MAX(Z1498,CFG_WSM)),0)</f>
        <v>0</v>
      </c>
      <c r="AL1498" s="80">
        <f>IF(AND(AC1498=1,AI1498=1),MAX(0,MIN(AA1498,CFG_WEM)-CFG_WSM),0)</f>
        <v>0</v>
      </c>
      <c r="AM1498" s="80">
        <f>AK1498+AL1498</f>
        <v>0</v>
      </c>
      <c r="AN1498" s="80">
        <f>IF(CFG_BRK="Proporcional",IF(AD1498=0,0,AF1498*AM1498/AD1498),IF(CFG_BRK="Extras primero",MIN(AM1498,MAX(0,AF1498-(AD1498-AM1498))),MIN(AF1498,AM1498)))</f>
        <v>0</v>
      </c>
      <c r="AO1498" s="80">
        <f>AF1498-AN1498</f>
        <v>0</v>
      </c>
      <c r="AP1498" s="80">
        <f>AM1498-AN1498</f>
        <v>0</v>
      </c>
      <c r="AQ1498" s="80">
        <f>AD1498-AM1498-AO1498</f>
        <v>0</v>
      </c>
      <c r="AR1498" s="80">
        <f>IF(AM1498=0,0,AK1498-AN1498*AK1498/AM1498)</f>
        <v>0</v>
      </c>
      <c r="AS1498" s="80">
        <f>IF(AD1498-AM1498=0,0,(AJ1498-AK1498)-AO1498*(AJ1498-AK1498)/(AD1498-AM1498))</f>
        <v>0</v>
      </c>
      <c r="AT1498" s="80" t="str">
        <f>IF(AC1498=1,INT(B1498)+1,"")</f>
        <v/>
      </c>
      <c r="AU1498" s="80">
        <f>IF(AND(D1498="proMX",R1498="Cancelled"),0,1)</f>
        <v>1</v>
      </c>
      <c r="AV1498" s="80">
        <f>IF(AND(AB1498=1,AU1498=1),IF(COUNTIFS($D$5:D1497,D1498,$B$5:B1497,B1498,$Z$5:Z1497,Z1498,$AA$5:AA1497,AA1498,$F$5:F1497,F1498&amp;"",$AU$5:AU1497,1)&gt;0,1,0),0)</f>
        <v>0</v>
      </c>
      <c r="AW1498" s="80" t="str">
        <f>IF(AB1498=1,INT(B1498)*1440+Z1498,"")</f>
        <v/>
      </c>
      <c r="AX1498" s="80" t="str">
        <f>IF(AB1498=1,AW1498+AD1498,"")</f>
        <v/>
      </c>
      <c r="AY1498" s="80">
        <f>IF(AND(AB1498=1,AV1498=0,AU1498=1),1,0)</f>
        <v>0</v>
      </c>
      <c r="AZ1498" s="80">
        <f>IF(AY1498=1,COUNTIFS(R_Emp,D1498,R_SAbs,"&lt;"&amp;AX1498,R_EAbs,"&gt;"&amp;AW1498,R_OKey,1)-1,0)</f>
        <v>0</v>
      </c>
      <c r="BA1498" s="80">
        <f>IF(AY1498=1,COUNTIFS(R_Emp,"&lt;&gt;"&amp;D1498,R_SAbs,"&lt;"&amp;AX1498,R_EAbs,"&gt;"&amp;AW1498,R_OKey,1),0)</f>
        <v>0</v>
      </c>
      <c r="BB1498" s="80">
        <f>IF(AND(AB1498=1,D1498="proMX"),IF(AND(MOD(Z1498,CFG_BLK)=0,MOD(AA1498,CFG_BLK)=0,MOD(AG1498,CFG_BLK)=0,AG1498&gt;0),1,0),1)</f>
        <v>1</v>
      </c>
      <c r="BC1498" s="80" t="str">
        <f>IF(Y1498=0,"",IF(NOT(ISNUMBER(B1498)),"Falta fecha o fecha inválida",IF(D1498="","Falta empresa",IF(AND(D1498&lt;&gt;"Malcolm",D1498&lt;&gt;"proMX"),"Empresa inválida",IF(OR(INT(B1498)&lt;CFG_PSTART,INT(B1498)&gt;CFG_PEND),"Fecha fuera del período",IF(OR(NOT(ISNUMBER(Z1498)),NOT(ISNUMBER(AA1498))),"Falta hora inicio/fin o formato inválido",IF(AB1498=0,"Hora inicio = hora fin",IF(AE1498&lt;0,"Descanso inválido",IF(AE1498&gt;=AD1498,"Descanso ≥ duración",IF(AV1498=1,"Registro duplicado",IF(AZ1498&gt;0,"Se superpone con otro registro "&amp;D1498,IF(BB1498=0,"inicio, fin y duración neta deben ser múltiplos de "&amp;CFG_BLK&amp;" min",""))))))))))))</f>
        <v/>
      </c>
      <c r="BD1498" s="80">
        <f>IF(AND(Y1498=1,BC1498=""),1,0)</f>
        <v>0</v>
      </c>
      <c r="BE1498" s="80">
        <f>IF(AND(BD1498=1,AU1498=1),1,0)</f>
        <v>0</v>
      </c>
      <c r="BF1498" s="80" t="str">
        <f>IF(AND(D1498="proMX",BD1498=1),IF(R1498="","Draft",R1498),"")</f>
        <v/>
      </c>
      <c r="BG1498" s="80">
        <f>IF(BD1498=1,ROUND(AG1498/60,6),0)</f>
        <v>0</v>
      </c>
      <c r="BH1498" s="80">
        <f>IF(BE1498=1,ROUND(AG1498/60,6),0)</f>
        <v>0</v>
      </c>
      <c r="BI1498" s="80">
        <f>IF(BE1498=1,ROUND(AP1498/60,6),0)</f>
        <v>0</v>
      </c>
      <c r="BJ1498" s="80">
        <f>IF(BE1498=1,ROUND(AQ1498/60,6),0)</f>
        <v>0</v>
      </c>
      <c r="BK1498" s="80">
        <f>IF(BE1498=1,ROUND((AR1498+AS1498)/60,6),0)</f>
        <v>0</v>
      </c>
      <c r="BL1498" s="80">
        <f>ROUND(BH1498-BK1498,6)</f>
        <v>0</v>
      </c>
      <c r="BM1498" s="80">
        <f>IF(BE1498=1,ROUND(AR1498/60,6),0)</f>
        <v>0</v>
      </c>
      <c r="BN1498" s="80">
        <f>ROUND(BI1498-BM1498,6)</f>
        <v>0</v>
      </c>
      <c r="BO1498" s="80">
        <f>IF(BE1498=1,ROUND(AS1498/60,6),0)</f>
        <v>0</v>
      </c>
      <c r="BP1498" s="80">
        <f>ROUND(BJ1498-BO1498,6)</f>
        <v>0</v>
      </c>
      <c r="BQ1498" s="80">
        <f>IF(BE1498=1,AW1498,0)</f>
        <v>0</v>
      </c>
      <c r="BR1498" s="80">
        <f>IF(BE1498=1,AX1498,0)</f>
        <v>0</v>
      </c>
      <c r="BS1498" s="80">
        <f>IF(AND(BE1498=1,D1498="Malcolm",BA1498&gt;0),MIN(BH1498,SUMPRODUCT((R_Emp="proMX")*(R_EN&gt;0)*((R_EN-(R_EN&gt;BR1498)*(R_EN-BR1498))&gt;(R_SN+(R_SN&lt;BQ1498)*(BQ1498-R_SN)))*((R_EN-(R_EN&gt;BR1498)*(R_EN-BR1498))-(R_SN+(R_SN&lt;BQ1498)*(BQ1498-R_SN))))/60),0)</f>
        <v>0</v>
      </c>
      <c r="BT1498" s="80">
        <f>IF(AND(BE1498=1,D1498="proMX"),ROUND(BI1498*CFG_RATE+BJ1498*CFG_OTRATE,6),0)</f>
        <v>0</v>
      </c>
      <c r="BU1498" s="80">
        <f>IF(AND(BD1498=1,D1498="proMX"),ROUND(AG1498/CFG_BLK,6),0)</f>
        <v>0</v>
      </c>
      <c r="BV1498" s="80" t="str">
        <f>IF(BF1498="Approved",IF(ISNUMBER(T1498),INT(T1498),INT(B1498)),"")</f>
        <v/>
      </c>
      <c r="BW1498" s="80">
        <f>IF(ISNUMBER(B1498),IF(DB_MON="Todos",1,IF(AND(INT(B1498)&gt;=DB_MS,INT(B1498)&lt;=DB_ME),1,0)),0)</f>
        <v>0</v>
      </c>
      <c r="BX1498" s="80">
        <f>IF(DB_PROJ="Todos",1,IF(E1498&amp;""=DB_PROJ&amp;"",1,0))</f>
        <v>1</v>
      </c>
      <c r="BY1498" s="80">
        <f>BW1498*BX1498</f>
        <v>0</v>
      </c>
      <c r="BZ1498" s="80" t="str">
        <f>IF(Y1498=1,F1498&amp;IF(AND(F1498&amp;""&lt;&gt;"",E1498&amp;""&lt;&gt;"")," · ","")&amp;E1498,"")</f>
        <v/>
      </c>
      <c r="CA1498" s="80" t="str">
        <f>IF(AND(BD1498=1,E1498&amp;""&lt;&gt;""),IF(COUNTIFS($E$5:E1497,E1498,$BD$5:BD1497,1)=0,MAX($CA$5:CA1497)+1,""),"")</f>
        <v/>
      </c>
      <c r="CB1498" s="80" t="str">
        <f>IF(AND(BE1498=1,D1498="Malcolm",E1498&amp;""&lt;&gt;""),IF(COUNTIFS($D$5:D1497,"Malcolm",$E$5:E1497,E1498,$BE$5:BE1497,1)=0,MAX($CB$5:CB1497)+1,""),"")</f>
        <v/>
      </c>
      <c r="CC1498" s="80" t="str">
        <f>IF(AND(BD1498=1,D1498="proMX",E1498&amp;""&lt;&gt;""),IF(COUNTIFS($D$5:D1497,"proMX",$E$5:E1497,E1498,$BD$5:BD1497,1)=0,MAX($CC$5:CC1497)+1,""),"")</f>
        <v/>
      </c>
      <c r="CD1498" s="80" t="str">
        <f>IF(AND(BE1498=1,D1498="Malcolm",F1498&amp;""&lt;&gt;""),IF(COUNTIFS($D$5:D1497,"Malcolm",$F$5:F1497,F1498,$BE$5:BE1497,1)=0,MAX($CD$5:CD1497)+1,""),"")</f>
        <v/>
      </c>
      <c r="CE1498" s="80" t="str">
        <f>IF(AND(BD1498=1,D1498="proMX",F1498&amp;""&lt;&gt;""),IF(COUNTIFS($D$5:D1497,"proMX",$F$5:F1497,F1498,$BD$5:BD1497,1)=0,MAX($CE$5:CE1497)+1,""),"")</f>
        <v/>
      </c>
      <c r="CF1498" s="80" t="str">
        <f>IF(AND(D1498="proMX",BD1498=1),IF(OR(BF1498="Draft",BF1498="Submitted",BF1498="Returned",BF1498="Recall Requested"),MAX($CF$5:CF1497)+1,""),"")</f>
        <v/>
      </c>
      <c r="CG1498" s="80">
        <f>IF(BD1498=0,0,IF(D1498="Malcolm",1,MATCH(BF1498,{"Draft","Submitted","Approved","Returned","Recall Requested","Cancelled"},0)+1))</f>
        <v>0</v>
      </c>
      <c r="CH1498" s="80">
        <f>IF(AND(BF1498="Submitted",ISNUMBER(V1498)),IF(V1498&gt;CFG_MAXD,1,0),0)</f>
        <v>0</v>
      </c>
    </row>
    <row r="1499">
      <c r="A1499" s="71" t="str">
        <f>IF(Y1499=1,ROW()-5,"")</f>
        <v/>
      </c>
      <c r="B1499" s="72" t="n"/>
      <c r="C1499" s="71" t="str">
        <f>IF(ISNUMBER(B1499),CHOOSE(WEEKDAY(B1499,2),"Lun","Mar","Mié","Jue","Vie","Sáb","Dom"),"")</f>
        <v/>
      </c>
      <c r="D1499" s="73" t="n"/>
      <c r="E1499" s="74" t="n"/>
      <c r="F1499" s="74" t="n"/>
      <c r="G1499" s="74" t="n"/>
      <c r="H1499" s="75" t="n"/>
      <c r="I1499" s="75" t="n"/>
      <c r="J1499" s="76" t="n"/>
      <c r="K1499" s="77" t="str">
        <f>IF(AB1499=1,ROUND(AG1499/60,4),"")</f>
        <v/>
      </c>
      <c r="L1499" s="77" t="str">
        <f>IF(BD1499=1,ROUND(AP1499/60,4),"")</f>
        <v/>
      </c>
      <c r="M1499" s="77" t="str">
        <f>IF(BD1499=1,ROUND(AQ1499/60,4),"")</f>
        <v/>
      </c>
      <c r="N1499" s="71" t="str">
        <f>IF(AND(D1499="proMX",AB1499=1),ROUND(AG1499/CFG_BLK,2),"")</f>
        <v/>
      </c>
      <c r="O1499" s="77" t="str">
        <f>IF(D1499="proMX",IF(BD1499=1,ROUND(AG1499/60,4),0),"")</f>
        <v/>
      </c>
      <c r="P1499" s="78" t="str">
        <f>IF(Y1499=0,"",IF(BD1499=1,"OK",IF(D1499="proMX","Revisar bloques: ","Revisar: ")&amp;BC1499))</f>
        <v/>
      </c>
      <c r="Q1499" s="78" t="str">
        <f>IF(NOT(ISNUMBER(B1499)),"",IF(COUNTIFS(FER_F,INT(B1499))&gt;0,"Feriado"&amp;IF(AH1499=1," (laborable)"," (no laborable)"),IF(AH1499=1,"Laborable",IF(WEEKDAY(B1499,2)&gt;5,"Fin de semana","No laborable"))))</f>
        <v/>
      </c>
      <c r="R1499" s="73" t="n"/>
      <c r="S1499" s="72" t="n"/>
      <c r="T1499" s="72" t="n"/>
      <c r="U1499" s="74" t="n"/>
      <c r="V1499" s="79" t="str">
        <f>IF(AND(D1499="proMX",OR(R1499="Submitted",R1499="Recall Requested"),ISNUMBER(S1499)),CFG_TODAY-INT(S1499),"")</f>
        <v/>
      </c>
      <c r="W1499" s="78" t="str">
        <f>IF(BD1499=0,"",IF(BA1499&gt;0,"⚠ Se superpone con un registro de la otra empresa",IF(D1499="Malcolm",IF(COUNTA(R1499,S1499,T1499)&gt;0,"Estado/fechas proMX se ignoran en Malcolm",""),IF(BF1499="Cancelled","Cancelado: excluido de totales",IF(R1499="","Sin estado: se trata como Draft",IF(BF1499="Submitted",IF(ISNUMBER(V1499),IF(V1499&gt;CFG_MAXD,"⚠ "&amp;V1499&amp;" días en Submitted (máx. "&amp;CFG_MAXD&amp;")",""),"Falta fecha de envío"),IF(BF1499="Returned","⚠ Devuelto: corregir y reenviar",IF(BF1499="Recall Requested","Retirada solicitada: pendiente",IF(AND(BF1499="Approved",NOT(ISNUMBER(T1499))),"Falta fecha de aprobación",IF(AND(ISNUMBER(S1499),ISNUMBER(T1499),T1499&lt;S1499),"Aprobación anterior al envío","")))))))))</f>
        <v/>
      </c>
      <c r="Y1499" s="80">
        <f>IF(COUNTA(B1499,D1499,E1499,F1499,G1499,H1499,I1499,J1499,R1499,S1499,T1499)&gt;0,1,0)</f>
        <v>0</v>
      </c>
      <c r="Z1499" s="80" t="str">
        <f>IF(AND(ISNUMBER(H1499),H1499&gt;=0,H1499&lt;1),ROUND(H1499*1440,0),"")</f>
        <v/>
      </c>
      <c r="AA1499" s="80" t="str">
        <f>IF(AND(ISNUMBER(I1499),I1499&gt;=0,I1499&lt;1),ROUND(I1499*1440,0),"")</f>
        <v/>
      </c>
      <c r="AB1499" s="80">
        <f>IF(AND(ISNUMBER(B1499),D1499&lt;&gt;"",ISNUMBER(Z1499),ISNUMBER(AA1499)),IF(Z1499=AA1499,0,1),0)</f>
        <v>0</v>
      </c>
      <c r="AC1499" s="80">
        <f>IF(AB1499=1,IF(AA1499&lt;Z1499,1,0),0)</f>
        <v>0</v>
      </c>
      <c r="AD1499" s="80">
        <f>IF(AB1499=1,IF(AC1499=1,1440-Z1499+AA1499,AA1499-Z1499),0)</f>
        <v>0</v>
      </c>
      <c r="AE1499" s="80">
        <f>IF(J1499="",0,IF(ISNUMBER(J1499),J1499,-1))</f>
        <v>0</v>
      </c>
      <c r="AF1499" s="80">
        <f>MIN(MAX(0,AE1499),AD1499)</f>
        <v>0</v>
      </c>
      <c r="AG1499" s="80">
        <f>MAX(0,AD1499-MAX(0,AE1499))</f>
        <v>0</v>
      </c>
      <c r="AH1499" s="80">
        <f>IF(ISNUMBER(B1499),IF(AND(INDEX(CFG_WDAYS,WEEKDAY(INT(B1499),2))="Sí",IF(D1499="proMX",COUNTIFS(FER_F,INT(B1499),FER_NLP,"Sí"),COUNTIFS(FER_F,INT(B1499),FER_NLM,"Sí"))=0),1,0),0)</f>
        <v>0</v>
      </c>
      <c r="AI1499" s="80">
        <f>IF(AC1499=1,IF(AND(INDEX(CFG_WDAYS,WEEKDAY(INT(B1499)+1,2))="Sí",IF(D1499="proMX",COUNTIFS(FER_F,INT(B1499)+1,FER_NLP,"Sí"),COUNTIFS(FER_F,INT(B1499)+1,FER_NLM,"Sí"))=0),1,0),0)</f>
        <v>0</v>
      </c>
      <c r="AJ1499" s="80">
        <f>IF(AC1499=1,1440-Z1499,AD1499)</f>
        <v>0</v>
      </c>
      <c r="AK1499" s="80">
        <f>IF(AND(AB1499=1,AH1499=1),MAX(0,MIN(IF(AC1499=1,1440,AA1499),CFG_WEM)-MAX(Z1499,CFG_WSM)),0)</f>
        <v>0</v>
      </c>
      <c r="AL1499" s="80">
        <f>IF(AND(AC1499=1,AI1499=1),MAX(0,MIN(AA1499,CFG_WEM)-CFG_WSM),0)</f>
        <v>0</v>
      </c>
      <c r="AM1499" s="80">
        <f>AK1499+AL1499</f>
        <v>0</v>
      </c>
      <c r="AN1499" s="80">
        <f>IF(CFG_BRK="Proporcional",IF(AD1499=0,0,AF1499*AM1499/AD1499),IF(CFG_BRK="Extras primero",MIN(AM1499,MAX(0,AF1499-(AD1499-AM1499))),MIN(AF1499,AM1499)))</f>
        <v>0</v>
      </c>
      <c r="AO1499" s="80">
        <f>AF1499-AN1499</f>
        <v>0</v>
      </c>
      <c r="AP1499" s="80">
        <f>AM1499-AN1499</f>
        <v>0</v>
      </c>
      <c r="AQ1499" s="80">
        <f>AD1499-AM1499-AO1499</f>
        <v>0</v>
      </c>
      <c r="AR1499" s="80">
        <f>IF(AM1499=0,0,AK1499-AN1499*AK1499/AM1499)</f>
        <v>0</v>
      </c>
      <c r="AS1499" s="80">
        <f>IF(AD1499-AM1499=0,0,(AJ1499-AK1499)-AO1499*(AJ1499-AK1499)/(AD1499-AM1499))</f>
        <v>0</v>
      </c>
      <c r="AT1499" s="80" t="str">
        <f>IF(AC1499=1,INT(B1499)+1,"")</f>
        <v/>
      </c>
      <c r="AU1499" s="80">
        <f>IF(AND(D1499="proMX",R1499="Cancelled"),0,1)</f>
        <v>1</v>
      </c>
      <c r="AV1499" s="80">
        <f>IF(AND(AB1499=1,AU1499=1),IF(COUNTIFS($D$5:D1498,D1499,$B$5:B1498,B1499,$Z$5:Z1498,Z1499,$AA$5:AA1498,AA1499,$F$5:F1498,F1499&amp;"",$AU$5:AU1498,1)&gt;0,1,0),0)</f>
        <v>0</v>
      </c>
      <c r="AW1499" s="80" t="str">
        <f>IF(AB1499=1,INT(B1499)*1440+Z1499,"")</f>
        <v/>
      </c>
      <c r="AX1499" s="80" t="str">
        <f>IF(AB1499=1,AW1499+AD1499,"")</f>
        <v/>
      </c>
      <c r="AY1499" s="80">
        <f>IF(AND(AB1499=1,AV1499=0,AU1499=1),1,0)</f>
        <v>0</v>
      </c>
      <c r="AZ1499" s="80">
        <f>IF(AY1499=1,COUNTIFS(R_Emp,D1499,R_SAbs,"&lt;"&amp;AX1499,R_EAbs,"&gt;"&amp;AW1499,R_OKey,1)-1,0)</f>
        <v>0</v>
      </c>
      <c r="BA1499" s="80">
        <f>IF(AY1499=1,COUNTIFS(R_Emp,"&lt;&gt;"&amp;D1499,R_SAbs,"&lt;"&amp;AX1499,R_EAbs,"&gt;"&amp;AW1499,R_OKey,1),0)</f>
        <v>0</v>
      </c>
      <c r="BB1499" s="80">
        <f>IF(AND(AB1499=1,D1499="proMX"),IF(AND(MOD(Z1499,CFG_BLK)=0,MOD(AA1499,CFG_BLK)=0,MOD(AG1499,CFG_BLK)=0,AG1499&gt;0),1,0),1)</f>
        <v>1</v>
      </c>
      <c r="BC1499" s="80" t="str">
        <f>IF(Y1499=0,"",IF(NOT(ISNUMBER(B1499)),"Falta fecha o fecha inválida",IF(D1499="","Falta empresa",IF(AND(D1499&lt;&gt;"Malcolm",D1499&lt;&gt;"proMX"),"Empresa inválida",IF(OR(INT(B1499)&lt;CFG_PSTART,INT(B1499)&gt;CFG_PEND),"Fecha fuera del período",IF(OR(NOT(ISNUMBER(Z1499)),NOT(ISNUMBER(AA1499))),"Falta hora inicio/fin o formato inválido",IF(AB1499=0,"Hora inicio = hora fin",IF(AE1499&lt;0,"Descanso inválido",IF(AE1499&gt;=AD1499,"Descanso ≥ duración",IF(AV1499=1,"Registro duplicado",IF(AZ1499&gt;0,"Se superpone con otro registro "&amp;D1499,IF(BB1499=0,"inicio, fin y duración neta deben ser múltiplos de "&amp;CFG_BLK&amp;" min",""))))))))))))</f>
        <v/>
      </c>
      <c r="BD1499" s="80">
        <f>IF(AND(Y1499=1,BC1499=""),1,0)</f>
        <v>0</v>
      </c>
      <c r="BE1499" s="80">
        <f>IF(AND(BD1499=1,AU1499=1),1,0)</f>
        <v>0</v>
      </c>
      <c r="BF1499" s="80" t="str">
        <f>IF(AND(D1499="proMX",BD1499=1),IF(R1499="","Draft",R1499),"")</f>
        <v/>
      </c>
      <c r="BG1499" s="80">
        <f>IF(BD1499=1,ROUND(AG1499/60,6),0)</f>
        <v>0</v>
      </c>
      <c r="BH1499" s="80">
        <f>IF(BE1499=1,ROUND(AG1499/60,6),0)</f>
        <v>0</v>
      </c>
      <c r="BI1499" s="80">
        <f>IF(BE1499=1,ROUND(AP1499/60,6),0)</f>
        <v>0</v>
      </c>
      <c r="BJ1499" s="80">
        <f>IF(BE1499=1,ROUND(AQ1499/60,6),0)</f>
        <v>0</v>
      </c>
      <c r="BK1499" s="80">
        <f>IF(BE1499=1,ROUND((AR1499+AS1499)/60,6),0)</f>
        <v>0</v>
      </c>
      <c r="BL1499" s="80">
        <f>ROUND(BH1499-BK1499,6)</f>
        <v>0</v>
      </c>
      <c r="BM1499" s="80">
        <f>IF(BE1499=1,ROUND(AR1499/60,6),0)</f>
        <v>0</v>
      </c>
      <c r="BN1499" s="80">
        <f>ROUND(BI1499-BM1499,6)</f>
        <v>0</v>
      </c>
      <c r="BO1499" s="80">
        <f>IF(BE1499=1,ROUND(AS1499/60,6),0)</f>
        <v>0</v>
      </c>
      <c r="BP1499" s="80">
        <f>ROUND(BJ1499-BO1499,6)</f>
        <v>0</v>
      </c>
      <c r="BQ1499" s="80">
        <f>IF(BE1499=1,AW1499,0)</f>
        <v>0</v>
      </c>
      <c r="BR1499" s="80">
        <f>IF(BE1499=1,AX1499,0)</f>
        <v>0</v>
      </c>
      <c r="BS1499" s="80">
        <f>IF(AND(BE1499=1,D1499="Malcolm",BA1499&gt;0),MIN(BH1499,SUMPRODUCT((R_Emp="proMX")*(R_EN&gt;0)*((R_EN-(R_EN&gt;BR1499)*(R_EN-BR1499))&gt;(R_SN+(R_SN&lt;BQ1499)*(BQ1499-R_SN)))*((R_EN-(R_EN&gt;BR1499)*(R_EN-BR1499))-(R_SN+(R_SN&lt;BQ1499)*(BQ1499-R_SN))))/60),0)</f>
        <v>0</v>
      </c>
      <c r="BT1499" s="80">
        <f>IF(AND(BE1499=1,D1499="proMX"),ROUND(BI1499*CFG_RATE+BJ1499*CFG_OTRATE,6),0)</f>
        <v>0</v>
      </c>
      <c r="BU1499" s="80">
        <f>IF(AND(BD1499=1,D1499="proMX"),ROUND(AG1499/CFG_BLK,6),0)</f>
        <v>0</v>
      </c>
      <c r="BV1499" s="80" t="str">
        <f>IF(BF1499="Approved",IF(ISNUMBER(T1499),INT(T1499),INT(B1499)),"")</f>
        <v/>
      </c>
      <c r="BW1499" s="80">
        <f>IF(ISNUMBER(B1499),IF(DB_MON="Todos",1,IF(AND(INT(B1499)&gt;=DB_MS,INT(B1499)&lt;=DB_ME),1,0)),0)</f>
        <v>0</v>
      </c>
      <c r="BX1499" s="80">
        <f>IF(DB_PROJ="Todos",1,IF(E1499&amp;""=DB_PROJ&amp;"",1,0))</f>
        <v>1</v>
      </c>
      <c r="BY1499" s="80">
        <f>BW1499*BX1499</f>
        <v>0</v>
      </c>
      <c r="BZ1499" s="80" t="str">
        <f>IF(Y1499=1,F1499&amp;IF(AND(F1499&amp;""&lt;&gt;"",E1499&amp;""&lt;&gt;"")," · ","")&amp;E1499,"")</f>
        <v/>
      </c>
      <c r="CA1499" s="80" t="str">
        <f>IF(AND(BD1499=1,E1499&amp;""&lt;&gt;""),IF(COUNTIFS($E$5:E1498,E1499,$BD$5:BD1498,1)=0,MAX($CA$5:CA1498)+1,""),"")</f>
        <v/>
      </c>
      <c r="CB1499" s="80" t="str">
        <f>IF(AND(BE1499=1,D1499="Malcolm",E1499&amp;""&lt;&gt;""),IF(COUNTIFS($D$5:D1498,"Malcolm",$E$5:E1498,E1499,$BE$5:BE1498,1)=0,MAX($CB$5:CB1498)+1,""),"")</f>
        <v/>
      </c>
      <c r="CC1499" s="80" t="str">
        <f>IF(AND(BD1499=1,D1499="proMX",E1499&amp;""&lt;&gt;""),IF(COUNTIFS($D$5:D1498,"proMX",$E$5:E1498,E1499,$BD$5:BD1498,1)=0,MAX($CC$5:CC1498)+1,""),"")</f>
        <v/>
      </c>
      <c r="CD1499" s="80" t="str">
        <f>IF(AND(BE1499=1,D1499="Malcolm",F1499&amp;""&lt;&gt;""),IF(COUNTIFS($D$5:D1498,"Malcolm",$F$5:F1498,F1499,$BE$5:BE1498,1)=0,MAX($CD$5:CD1498)+1,""),"")</f>
        <v/>
      </c>
      <c r="CE1499" s="80" t="str">
        <f>IF(AND(BD1499=1,D1499="proMX",F1499&amp;""&lt;&gt;""),IF(COUNTIFS($D$5:D1498,"proMX",$F$5:F1498,F1499,$BD$5:BD1498,1)=0,MAX($CE$5:CE1498)+1,""),"")</f>
        <v/>
      </c>
      <c r="CF1499" s="80" t="str">
        <f>IF(AND(D1499="proMX",BD1499=1),IF(OR(BF1499="Draft",BF1499="Submitted",BF1499="Returned",BF1499="Recall Requested"),MAX($CF$5:CF1498)+1,""),"")</f>
        <v/>
      </c>
      <c r="CG1499" s="80">
        <f>IF(BD1499=0,0,IF(D1499="Malcolm",1,MATCH(BF1499,{"Draft","Submitted","Approved","Returned","Recall Requested","Cancelled"},0)+1))</f>
        <v>0</v>
      </c>
      <c r="CH1499" s="80">
        <f>IF(AND(BF1499="Submitted",ISNUMBER(V1499)),IF(V1499&gt;CFG_MAXD,1,0),0)</f>
        <v>0</v>
      </c>
    </row>
    <row r="1500">
      <c r="A1500" s="71" t="str">
        <f>IF(Y1500=1,ROW()-5,"")</f>
        <v/>
      </c>
      <c r="B1500" s="72" t="n"/>
      <c r="C1500" s="71" t="str">
        <f>IF(ISNUMBER(B1500),CHOOSE(WEEKDAY(B1500,2),"Lun","Mar","Mié","Jue","Vie","Sáb","Dom"),"")</f>
        <v/>
      </c>
      <c r="D1500" s="73" t="n"/>
      <c r="E1500" s="74" t="n"/>
      <c r="F1500" s="74" t="n"/>
      <c r="G1500" s="74" t="n"/>
      <c r="H1500" s="75" t="n"/>
      <c r="I1500" s="75" t="n"/>
      <c r="J1500" s="76" t="n"/>
      <c r="K1500" s="77" t="str">
        <f>IF(AB1500=1,ROUND(AG1500/60,4),"")</f>
        <v/>
      </c>
      <c r="L1500" s="77" t="str">
        <f>IF(BD1500=1,ROUND(AP1500/60,4),"")</f>
        <v/>
      </c>
      <c r="M1500" s="77" t="str">
        <f>IF(BD1500=1,ROUND(AQ1500/60,4),"")</f>
        <v/>
      </c>
      <c r="N1500" s="71" t="str">
        <f>IF(AND(D1500="proMX",AB1500=1),ROUND(AG1500/CFG_BLK,2),"")</f>
        <v/>
      </c>
      <c r="O1500" s="77" t="str">
        <f>IF(D1500="proMX",IF(BD1500=1,ROUND(AG1500/60,4),0),"")</f>
        <v/>
      </c>
      <c r="P1500" s="78" t="str">
        <f>IF(Y1500=0,"",IF(BD1500=1,"OK",IF(D1500="proMX","Revisar bloques: ","Revisar: ")&amp;BC1500))</f>
        <v/>
      </c>
      <c r="Q1500" s="78" t="str">
        <f>IF(NOT(ISNUMBER(B1500)),"",IF(COUNTIFS(FER_F,INT(B1500))&gt;0,"Feriado"&amp;IF(AH1500=1," (laborable)"," (no laborable)"),IF(AH1500=1,"Laborable",IF(WEEKDAY(B1500,2)&gt;5,"Fin de semana","No laborable"))))</f>
        <v/>
      </c>
      <c r="R1500" s="73" t="n"/>
      <c r="S1500" s="72" t="n"/>
      <c r="T1500" s="72" t="n"/>
      <c r="U1500" s="74" t="n"/>
      <c r="V1500" s="79" t="str">
        <f>IF(AND(D1500="proMX",OR(R1500="Submitted",R1500="Recall Requested"),ISNUMBER(S1500)),CFG_TODAY-INT(S1500),"")</f>
        <v/>
      </c>
      <c r="W1500" s="78" t="str">
        <f>IF(BD1500=0,"",IF(BA1500&gt;0,"⚠ Se superpone con un registro de la otra empresa",IF(D1500="Malcolm",IF(COUNTA(R1500,S1500,T1500)&gt;0,"Estado/fechas proMX se ignoran en Malcolm",""),IF(BF1500="Cancelled","Cancelado: excluido de totales",IF(R1500="","Sin estado: se trata como Draft",IF(BF1500="Submitted",IF(ISNUMBER(V1500),IF(V1500&gt;CFG_MAXD,"⚠ "&amp;V1500&amp;" días en Submitted (máx. "&amp;CFG_MAXD&amp;")",""),"Falta fecha de envío"),IF(BF1500="Returned","⚠ Devuelto: corregir y reenviar",IF(BF1500="Recall Requested","Retirada solicitada: pendiente",IF(AND(BF1500="Approved",NOT(ISNUMBER(T1500))),"Falta fecha de aprobación",IF(AND(ISNUMBER(S1500),ISNUMBER(T1500),T1500&lt;S1500),"Aprobación anterior al envío","")))))))))</f>
        <v/>
      </c>
      <c r="Y1500" s="80">
        <f>IF(COUNTA(B1500,D1500,E1500,F1500,G1500,H1500,I1500,J1500,R1500,S1500,T1500)&gt;0,1,0)</f>
        <v>0</v>
      </c>
      <c r="Z1500" s="80" t="str">
        <f>IF(AND(ISNUMBER(H1500),H1500&gt;=0,H1500&lt;1),ROUND(H1500*1440,0),"")</f>
        <v/>
      </c>
      <c r="AA1500" s="80" t="str">
        <f>IF(AND(ISNUMBER(I1500),I1500&gt;=0,I1500&lt;1),ROUND(I1500*1440,0),"")</f>
        <v/>
      </c>
      <c r="AB1500" s="80">
        <f>IF(AND(ISNUMBER(B1500),D1500&lt;&gt;"",ISNUMBER(Z1500),ISNUMBER(AA1500)),IF(Z1500=AA1500,0,1),0)</f>
        <v>0</v>
      </c>
      <c r="AC1500" s="80">
        <f>IF(AB1500=1,IF(AA1500&lt;Z1500,1,0),0)</f>
        <v>0</v>
      </c>
      <c r="AD1500" s="80">
        <f>IF(AB1500=1,IF(AC1500=1,1440-Z1500+AA1500,AA1500-Z1500),0)</f>
        <v>0</v>
      </c>
      <c r="AE1500" s="80">
        <f>IF(J1500="",0,IF(ISNUMBER(J1500),J1500,-1))</f>
        <v>0</v>
      </c>
      <c r="AF1500" s="80">
        <f>MIN(MAX(0,AE1500),AD1500)</f>
        <v>0</v>
      </c>
      <c r="AG1500" s="80">
        <f>MAX(0,AD1500-MAX(0,AE1500))</f>
        <v>0</v>
      </c>
      <c r="AH1500" s="80">
        <f>IF(ISNUMBER(B1500),IF(AND(INDEX(CFG_WDAYS,WEEKDAY(INT(B1500),2))="Sí",IF(D1500="proMX",COUNTIFS(FER_F,INT(B1500),FER_NLP,"Sí"),COUNTIFS(FER_F,INT(B1500),FER_NLM,"Sí"))=0),1,0),0)</f>
        <v>0</v>
      </c>
      <c r="AI1500" s="80">
        <f>IF(AC1500=1,IF(AND(INDEX(CFG_WDAYS,WEEKDAY(INT(B1500)+1,2))="Sí",IF(D1500="proMX",COUNTIFS(FER_F,INT(B1500)+1,FER_NLP,"Sí"),COUNTIFS(FER_F,INT(B1500)+1,FER_NLM,"Sí"))=0),1,0),0)</f>
        <v>0</v>
      </c>
      <c r="AJ1500" s="80">
        <f>IF(AC1500=1,1440-Z1500,AD1500)</f>
        <v>0</v>
      </c>
      <c r="AK1500" s="80">
        <f>IF(AND(AB1500=1,AH1500=1),MAX(0,MIN(IF(AC1500=1,1440,AA1500),CFG_WEM)-MAX(Z1500,CFG_WSM)),0)</f>
        <v>0</v>
      </c>
      <c r="AL1500" s="80">
        <f>IF(AND(AC1500=1,AI1500=1),MAX(0,MIN(AA1500,CFG_WEM)-CFG_WSM),0)</f>
        <v>0</v>
      </c>
      <c r="AM1500" s="80">
        <f>AK1500+AL1500</f>
        <v>0</v>
      </c>
      <c r="AN1500" s="80">
        <f>IF(CFG_BRK="Proporcional",IF(AD1500=0,0,AF1500*AM1500/AD1500),IF(CFG_BRK="Extras primero",MIN(AM1500,MAX(0,AF1500-(AD1500-AM1500))),MIN(AF1500,AM1500)))</f>
        <v>0</v>
      </c>
      <c r="AO1500" s="80">
        <f>AF1500-AN1500</f>
        <v>0</v>
      </c>
      <c r="AP1500" s="80">
        <f>AM1500-AN1500</f>
        <v>0</v>
      </c>
      <c r="AQ1500" s="80">
        <f>AD1500-AM1500-AO1500</f>
        <v>0</v>
      </c>
      <c r="AR1500" s="80">
        <f>IF(AM1500=0,0,AK1500-AN1500*AK1500/AM1500)</f>
        <v>0</v>
      </c>
      <c r="AS1500" s="80">
        <f>IF(AD1500-AM1500=0,0,(AJ1500-AK1500)-AO1500*(AJ1500-AK1500)/(AD1500-AM1500))</f>
        <v>0</v>
      </c>
      <c r="AT1500" s="80" t="str">
        <f>IF(AC1500=1,INT(B1500)+1,"")</f>
        <v/>
      </c>
      <c r="AU1500" s="80">
        <f>IF(AND(D1500="proMX",R1500="Cancelled"),0,1)</f>
        <v>1</v>
      </c>
      <c r="AV1500" s="80">
        <f>IF(AND(AB1500=1,AU1500=1),IF(COUNTIFS($D$5:D1499,D1500,$B$5:B1499,B1500,$Z$5:Z1499,Z1500,$AA$5:AA1499,AA1500,$F$5:F1499,F1500&amp;"",$AU$5:AU1499,1)&gt;0,1,0),0)</f>
        <v>0</v>
      </c>
      <c r="AW1500" s="80" t="str">
        <f>IF(AB1500=1,INT(B1500)*1440+Z1500,"")</f>
        <v/>
      </c>
      <c r="AX1500" s="80" t="str">
        <f>IF(AB1500=1,AW1500+AD1500,"")</f>
        <v/>
      </c>
      <c r="AY1500" s="80">
        <f>IF(AND(AB1500=1,AV1500=0,AU1500=1),1,0)</f>
        <v>0</v>
      </c>
      <c r="AZ1500" s="80">
        <f>IF(AY1500=1,COUNTIFS(R_Emp,D1500,R_SAbs,"&lt;"&amp;AX1500,R_EAbs,"&gt;"&amp;AW1500,R_OKey,1)-1,0)</f>
        <v>0</v>
      </c>
      <c r="BA1500" s="80">
        <f>IF(AY1500=1,COUNTIFS(R_Emp,"&lt;&gt;"&amp;D1500,R_SAbs,"&lt;"&amp;AX1500,R_EAbs,"&gt;"&amp;AW1500,R_OKey,1),0)</f>
        <v>0</v>
      </c>
      <c r="BB1500" s="80">
        <f>IF(AND(AB1500=1,D1500="proMX"),IF(AND(MOD(Z1500,CFG_BLK)=0,MOD(AA1500,CFG_BLK)=0,MOD(AG1500,CFG_BLK)=0,AG1500&gt;0),1,0),1)</f>
        <v>1</v>
      </c>
      <c r="BC1500" s="80" t="str">
        <f>IF(Y1500=0,"",IF(NOT(ISNUMBER(B1500)),"Falta fecha o fecha inválida",IF(D1500="","Falta empresa",IF(AND(D1500&lt;&gt;"Malcolm",D1500&lt;&gt;"proMX"),"Empresa inválida",IF(OR(INT(B1500)&lt;CFG_PSTART,INT(B1500)&gt;CFG_PEND),"Fecha fuera del período",IF(OR(NOT(ISNUMBER(Z1500)),NOT(ISNUMBER(AA1500))),"Falta hora inicio/fin o formato inválido",IF(AB1500=0,"Hora inicio = hora fin",IF(AE1500&lt;0,"Descanso inválido",IF(AE1500&gt;=AD1500,"Descanso ≥ duración",IF(AV1500=1,"Registro duplicado",IF(AZ1500&gt;0,"Se superpone con otro registro "&amp;D1500,IF(BB1500=0,"inicio, fin y duración neta deben ser múltiplos de "&amp;CFG_BLK&amp;" min",""))))))))))))</f>
        <v/>
      </c>
      <c r="BD1500" s="80">
        <f>IF(AND(Y1500=1,BC1500=""),1,0)</f>
        <v>0</v>
      </c>
      <c r="BE1500" s="80">
        <f>IF(AND(BD1500=1,AU1500=1),1,0)</f>
        <v>0</v>
      </c>
      <c r="BF1500" s="80" t="str">
        <f>IF(AND(D1500="proMX",BD1500=1),IF(R1500="","Draft",R1500),"")</f>
        <v/>
      </c>
      <c r="BG1500" s="80">
        <f>IF(BD1500=1,ROUND(AG1500/60,6),0)</f>
        <v>0</v>
      </c>
      <c r="BH1500" s="80">
        <f>IF(BE1500=1,ROUND(AG1500/60,6),0)</f>
        <v>0</v>
      </c>
      <c r="BI1500" s="80">
        <f>IF(BE1500=1,ROUND(AP1500/60,6),0)</f>
        <v>0</v>
      </c>
      <c r="BJ1500" s="80">
        <f>IF(BE1500=1,ROUND(AQ1500/60,6),0)</f>
        <v>0</v>
      </c>
      <c r="BK1500" s="80">
        <f>IF(BE1500=1,ROUND((AR1500+AS1500)/60,6),0)</f>
        <v>0</v>
      </c>
      <c r="BL1500" s="80">
        <f>ROUND(BH1500-BK1500,6)</f>
        <v>0</v>
      </c>
      <c r="BM1500" s="80">
        <f>IF(BE1500=1,ROUND(AR1500/60,6),0)</f>
        <v>0</v>
      </c>
      <c r="BN1500" s="80">
        <f>ROUND(BI1500-BM1500,6)</f>
        <v>0</v>
      </c>
      <c r="BO1500" s="80">
        <f>IF(BE1500=1,ROUND(AS1500/60,6),0)</f>
        <v>0</v>
      </c>
      <c r="BP1500" s="80">
        <f>ROUND(BJ1500-BO1500,6)</f>
        <v>0</v>
      </c>
      <c r="BQ1500" s="80">
        <f>IF(BE1500=1,AW1500,0)</f>
        <v>0</v>
      </c>
      <c r="BR1500" s="80">
        <f>IF(BE1500=1,AX1500,0)</f>
        <v>0</v>
      </c>
      <c r="BS1500" s="80">
        <f>IF(AND(BE1500=1,D1500="Malcolm",BA1500&gt;0),MIN(BH1500,SUMPRODUCT((R_Emp="proMX")*(R_EN&gt;0)*((R_EN-(R_EN&gt;BR1500)*(R_EN-BR1500))&gt;(R_SN+(R_SN&lt;BQ1500)*(BQ1500-R_SN)))*((R_EN-(R_EN&gt;BR1500)*(R_EN-BR1500))-(R_SN+(R_SN&lt;BQ1500)*(BQ1500-R_SN))))/60),0)</f>
        <v>0</v>
      </c>
      <c r="BT1500" s="80">
        <f>IF(AND(BE1500=1,D1500="proMX"),ROUND(BI1500*CFG_RATE+BJ1500*CFG_OTRATE,6),0)</f>
        <v>0</v>
      </c>
      <c r="BU1500" s="80">
        <f>IF(AND(BD1500=1,D1500="proMX"),ROUND(AG1500/CFG_BLK,6),0)</f>
        <v>0</v>
      </c>
      <c r="BV1500" s="80" t="str">
        <f>IF(BF1500="Approved",IF(ISNUMBER(T1500),INT(T1500),INT(B1500)),"")</f>
        <v/>
      </c>
      <c r="BW1500" s="80">
        <f>IF(ISNUMBER(B1500),IF(DB_MON="Todos",1,IF(AND(INT(B1500)&gt;=DB_MS,INT(B1500)&lt;=DB_ME),1,0)),0)</f>
        <v>0</v>
      </c>
      <c r="BX1500" s="80">
        <f>IF(DB_PROJ="Todos",1,IF(E1500&amp;""=DB_PROJ&amp;"",1,0))</f>
        <v>1</v>
      </c>
      <c r="BY1500" s="80">
        <f>BW1500*BX1500</f>
        <v>0</v>
      </c>
      <c r="BZ1500" s="80" t="str">
        <f>IF(Y1500=1,F1500&amp;IF(AND(F1500&amp;""&lt;&gt;"",E1500&amp;""&lt;&gt;"")," · ","")&amp;E1500,"")</f>
        <v/>
      </c>
      <c r="CA1500" s="80" t="str">
        <f>IF(AND(BD1500=1,E1500&amp;""&lt;&gt;""),IF(COUNTIFS($E$5:E1499,E1500,$BD$5:BD1499,1)=0,MAX($CA$5:CA1499)+1,""),"")</f>
        <v/>
      </c>
      <c r="CB1500" s="80" t="str">
        <f>IF(AND(BE1500=1,D1500="Malcolm",E1500&amp;""&lt;&gt;""),IF(COUNTIFS($D$5:D1499,"Malcolm",$E$5:E1499,E1500,$BE$5:BE1499,1)=0,MAX($CB$5:CB1499)+1,""),"")</f>
        <v/>
      </c>
      <c r="CC1500" s="80" t="str">
        <f>IF(AND(BD1500=1,D1500="proMX",E1500&amp;""&lt;&gt;""),IF(COUNTIFS($D$5:D1499,"proMX",$E$5:E1499,E1500,$BD$5:BD1499,1)=0,MAX($CC$5:CC1499)+1,""),"")</f>
        <v/>
      </c>
      <c r="CD1500" s="80" t="str">
        <f>IF(AND(BE1500=1,D1500="Malcolm",F1500&amp;""&lt;&gt;""),IF(COUNTIFS($D$5:D1499,"Malcolm",$F$5:F1499,F1500,$BE$5:BE1499,1)=0,MAX($CD$5:CD1499)+1,""),"")</f>
        <v/>
      </c>
      <c r="CE1500" s="80" t="str">
        <f>IF(AND(BD1500=1,D1500="proMX",F1500&amp;""&lt;&gt;""),IF(COUNTIFS($D$5:D1499,"proMX",$F$5:F1499,F1500,$BD$5:BD1499,1)=0,MAX($CE$5:CE1499)+1,""),"")</f>
        <v/>
      </c>
      <c r="CF1500" s="80" t="str">
        <f>IF(AND(D1500="proMX",BD1500=1),IF(OR(BF1500="Draft",BF1500="Submitted",BF1500="Returned",BF1500="Recall Requested"),MAX($CF$5:CF1499)+1,""),"")</f>
        <v/>
      </c>
      <c r="CG1500" s="80">
        <f>IF(BD1500=0,0,IF(D1500="Malcolm",1,MATCH(BF1500,{"Draft","Submitted","Approved","Returned","Recall Requested","Cancelled"},0)+1))</f>
        <v>0</v>
      </c>
      <c r="CH1500" s="80">
        <f>IF(AND(BF1500="Submitted",ISNUMBER(V1500)),IF(V1500&gt;CFG_MAXD,1,0),0)</f>
        <v>0</v>
      </c>
    </row>
    <row r="1501">
      <c r="A1501" s="71" t="str">
        <f>IF(Y1501=1,ROW()-5,"")</f>
        <v/>
      </c>
      <c r="B1501" s="72" t="n"/>
      <c r="C1501" s="71" t="str">
        <f>IF(ISNUMBER(B1501),CHOOSE(WEEKDAY(B1501,2),"Lun","Mar","Mié","Jue","Vie","Sáb","Dom"),"")</f>
        <v/>
      </c>
      <c r="D1501" s="73" t="n"/>
      <c r="E1501" s="74" t="n"/>
      <c r="F1501" s="74" t="n"/>
      <c r="G1501" s="74" t="n"/>
      <c r="H1501" s="75" t="n"/>
      <c r="I1501" s="75" t="n"/>
      <c r="J1501" s="76" t="n"/>
      <c r="K1501" s="77" t="str">
        <f>IF(AB1501=1,ROUND(AG1501/60,4),"")</f>
        <v/>
      </c>
      <c r="L1501" s="77" t="str">
        <f>IF(BD1501=1,ROUND(AP1501/60,4),"")</f>
        <v/>
      </c>
      <c r="M1501" s="77" t="str">
        <f>IF(BD1501=1,ROUND(AQ1501/60,4),"")</f>
        <v/>
      </c>
      <c r="N1501" s="71" t="str">
        <f>IF(AND(D1501="proMX",AB1501=1),ROUND(AG1501/CFG_BLK,2),"")</f>
        <v/>
      </c>
      <c r="O1501" s="77" t="str">
        <f>IF(D1501="proMX",IF(BD1501=1,ROUND(AG1501/60,4),0),"")</f>
        <v/>
      </c>
      <c r="P1501" s="78" t="str">
        <f>IF(Y1501=0,"",IF(BD1501=1,"OK",IF(D1501="proMX","Revisar bloques: ","Revisar: ")&amp;BC1501))</f>
        <v/>
      </c>
      <c r="Q1501" s="78" t="str">
        <f>IF(NOT(ISNUMBER(B1501)),"",IF(COUNTIFS(FER_F,INT(B1501))&gt;0,"Feriado"&amp;IF(AH1501=1," (laborable)"," (no laborable)"),IF(AH1501=1,"Laborable",IF(WEEKDAY(B1501,2)&gt;5,"Fin de semana","No laborable"))))</f>
        <v/>
      </c>
      <c r="R1501" s="73" t="n"/>
      <c r="S1501" s="72" t="n"/>
      <c r="T1501" s="72" t="n"/>
      <c r="U1501" s="74" t="n"/>
      <c r="V1501" s="79" t="str">
        <f>IF(AND(D1501="proMX",OR(R1501="Submitted",R1501="Recall Requested"),ISNUMBER(S1501)),CFG_TODAY-INT(S1501),"")</f>
        <v/>
      </c>
      <c r="W1501" s="78" t="str">
        <f>IF(BD1501=0,"",IF(BA1501&gt;0,"⚠ Se superpone con un registro de la otra empresa",IF(D1501="Malcolm",IF(COUNTA(R1501,S1501,T1501)&gt;0,"Estado/fechas proMX se ignoran en Malcolm",""),IF(BF1501="Cancelled","Cancelado: excluido de totales",IF(R1501="","Sin estado: se trata como Draft",IF(BF1501="Submitted",IF(ISNUMBER(V1501),IF(V1501&gt;CFG_MAXD,"⚠ "&amp;V1501&amp;" días en Submitted (máx. "&amp;CFG_MAXD&amp;")",""),"Falta fecha de envío"),IF(BF1501="Returned","⚠ Devuelto: corregir y reenviar",IF(BF1501="Recall Requested","Retirada solicitada: pendiente",IF(AND(BF1501="Approved",NOT(ISNUMBER(T1501))),"Falta fecha de aprobación",IF(AND(ISNUMBER(S1501),ISNUMBER(T1501),T1501&lt;S1501),"Aprobación anterior al envío","")))))))))</f>
        <v/>
      </c>
      <c r="Y1501" s="80">
        <f>IF(COUNTA(B1501,D1501,E1501,F1501,G1501,H1501,I1501,J1501,R1501,S1501,T1501)&gt;0,1,0)</f>
        <v>0</v>
      </c>
      <c r="Z1501" s="80" t="str">
        <f>IF(AND(ISNUMBER(H1501),H1501&gt;=0,H1501&lt;1),ROUND(H1501*1440,0),"")</f>
        <v/>
      </c>
      <c r="AA1501" s="80" t="str">
        <f>IF(AND(ISNUMBER(I1501),I1501&gt;=0,I1501&lt;1),ROUND(I1501*1440,0),"")</f>
        <v/>
      </c>
      <c r="AB1501" s="80">
        <f>IF(AND(ISNUMBER(B1501),D1501&lt;&gt;"",ISNUMBER(Z1501),ISNUMBER(AA1501)),IF(Z1501=AA1501,0,1),0)</f>
        <v>0</v>
      </c>
      <c r="AC1501" s="80">
        <f>IF(AB1501=1,IF(AA1501&lt;Z1501,1,0),0)</f>
        <v>0</v>
      </c>
      <c r="AD1501" s="80">
        <f>IF(AB1501=1,IF(AC1501=1,1440-Z1501+AA1501,AA1501-Z1501),0)</f>
        <v>0</v>
      </c>
      <c r="AE1501" s="80">
        <f>IF(J1501="",0,IF(ISNUMBER(J1501),J1501,-1))</f>
        <v>0</v>
      </c>
      <c r="AF1501" s="80">
        <f>MIN(MAX(0,AE1501),AD1501)</f>
        <v>0</v>
      </c>
      <c r="AG1501" s="80">
        <f>MAX(0,AD1501-MAX(0,AE1501))</f>
        <v>0</v>
      </c>
      <c r="AH1501" s="80">
        <f>IF(ISNUMBER(B1501),IF(AND(INDEX(CFG_WDAYS,WEEKDAY(INT(B1501),2))="Sí",IF(D1501="proMX",COUNTIFS(FER_F,INT(B1501),FER_NLP,"Sí"),COUNTIFS(FER_F,INT(B1501),FER_NLM,"Sí"))=0),1,0),0)</f>
        <v>0</v>
      </c>
      <c r="AI1501" s="80">
        <f>IF(AC1501=1,IF(AND(INDEX(CFG_WDAYS,WEEKDAY(INT(B1501)+1,2))="Sí",IF(D1501="proMX",COUNTIFS(FER_F,INT(B1501)+1,FER_NLP,"Sí"),COUNTIFS(FER_F,INT(B1501)+1,FER_NLM,"Sí"))=0),1,0),0)</f>
        <v>0</v>
      </c>
      <c r="AJ1501" s="80">
        <f>IF(AC1501=1,1440-Z1501,AD1501)</f>
        <v>0</v>
      </c>
      <c r="AK1501" s="80">
        <f>IF(AND(AB1501=1,AH1501=1),MAX(0,MIN(IF(AC1501=1,1440,AA1501),CFG_WEM)-MAX(Z1501,CFG_WSM)),0)</f>
        <v>0</v>
      </c>
      <c r="AL1501" s="80">
        <f>IF(AND(AC1501=1,AI1501=1),MAX(0,MIN(AA1501,CFG_WEM)-CFG_WSM),0)</f>
        <v>0</v>
      </c>
      <c r="AM1501" s="80">
        <f>AK1501+AL1501</f>
        <v>0</v>
      </c>
      <c r="AN1501" s="80">
        <f>IF(CFG_BRK="Proporcional",IF(AD1501=0,0,AF1501*AM1501/AD1501),IF(CFG_BRK="Extras primero",MIN(AM1501,MAX(0,AF1501-(AD1501-AM1501))),MIN(AF1501,AM1501)))</f>
        <v>0</v>
      </c>
      <c r="AO1501" s="80">
        <f>AF1501-AN1501</f>
        <v>0</v>
      </c>
      <c r="AP1501" s="80">
        <f>AM1501-AN1501</f>
        <v>0</v>
      </c>
      <c r="AQ1501" s="80">
        <f>AD1501-AM1501-AO1501</f>
        <v>0</v>
      </c>
      <c r="AR1501" s="80">
        <f>IF(AM1501=0,0,AK1501-AN1501*AK1501/AM1501)</f>
        <v>0</v>
      </c>
      <c r="AS1501" s="80">
        <f>IF(AD1501-AM1501=0,0,(AJ1501-AK1501)-AO1501*(AJ1501-AK1501)/(AD1501-AM1501))</f>
        <v>0</v>
      </c>
      <c r="AT1501" s="80" t="str">
        <f>IF(AC1501=1,INT(B1501)+1,"")</f>
        <v/>
      </c>
      <c r="AU1501" s="80">
        <f>IF(AND(D1501="proMX",R1501="Cancelled"),0,1)</f>
        <v>1</v>
      </c>
      <c r="AV1501" s="80">
        <f>IF(AND(AB1501=1,AU1501=1),IF(COUNTIFS($D$5:D1500,D1501,$B$5:B1500,B1501,$Z$5:Z1500,Z1501,$AA$5:AA1500,AA1501,$F$5:F1500,F1501&amp;"",$AU$5:AU1500,1)&gt;0,1,0),0)</f>
        <v>0</v>
      </c>
      <c r="AW1501" s="80" t="str">
        <f>IF(AB1501=1,INT(B1501)*1440+Z1501,"")</f>
        <v/>
      </c>
      <c r="AX1501" s="80" t="str">
        <f>IF(AB1501=1,AW1501+AD1501,"")</f>
        <v/>
      </c>
      <c r="AY1501" s="80">
        <f>IF(AND(AB1501=1,AV1501=0,AU1501=1),1,0)</f>
        <v>0</v>
      </c>
      <c r="AZ1501" s="80">
        <f>IF(AY1501=1,COUNTIFS(R_Emp,D1501,R_SAbs,"&lt;"&amp;AX1501,R_EAbs,"&gt;"&amp;AW1501,R_OKey,1)-1,0)</f>
        <v>0</v>
      </c>
      <c r="BA1501" s="80">
        <f>IF(AY1501=1,COUNTIFS(R_Emp,"&lt;&gt;"&amp;D1501,R_SAbs,"&lt;"&amp;AX1501,R_EAbs,"&gt;"&amp;AW1501,R_OKey,1),0)</f>
        <v>0</v>
      </c>
      <c r="BB1501" s="80">
        <f>IF(AND(AB1501=1,D1501="proMX"),IF(AND(MOD(Z1501,CFG_BLK)=0,MOD(AA1501,CFG_BLK)=0,MOD(AG1501,CFG_BLK)=0,AG1501&gt;0),1,0),1)</f>
        <v>1</v>
      </c>
      <c r="BC1501" s="80" t="str">
        <f>IF(Y1501=0,"",IF(NOT(ISNUMBER(B1501)),"Falta fecha o fecha inválida",IF(D1501="","Falta empresa",IF(AND(D1501&lt;&gt;"Malcolm",D1501&lt;&gt;"proMX"),"Empresa inválida",IF(OR(INT(B1501)&lt;CFG_PSTART,INT(B1501)&gt;CFG_PEND),"Fecha fuera del período",IF(OR(NOT(ISNUMBER(Z1501)),NOT(ISNUMBER(AA1501))),"Falta hora inicio/fin o formato inválido",IF(AB1501=0,"Hora inicio = hora fin",IF(AE1501&lt;0,"Descanso inválido",IF(AE1501&gt;=AD1501,"Descanso ≥ duración",IF(AV1501=1,"Registro duplicado",IF(AZ1501&gt;0,"Se superpone con otro registro "&amp;D1501,IF(BB1501=0,"inicio, fin y duración neta deben ser múltiplos de "&amp;CFG_BLK&amp;" min",""))))))))))))</f>
        <v/>
      </c>
      <c r="BD1501" s="80">
        <f>IF(AND(Y1501=1,BC1501=""),1,0)</f>
        <v>0</v>
      </c>
      <c r="BE1501" s="80">
        <f>IF(AND(BD1501=1,AU1501=1),1,0)</f>
        <v>0</v>
      </c>
      <c r="BF1501" s="80" t="str">
        <f>IF(AND(D1501="proMX",BD1501=1),IF(R1501="","Draft",R1501),"")</f>
        <v/>
      </c>
      <c r="BG1501" s="80">
        <f>IF(BD1501=1,ROUND(AG1501/60,6),0)</f>
        <v>0</v>
      </c>
      <c r="BH1501" s="80">
        <f>IF(BE1501=1,ROUND(AG1501/60,6),0)</f>
        <v>0</v>
      </c>
      <c r="BI1501" s="80">
        <f>IF(BE1501=1,ROUND(AP1501/60,6),0)</f>
        <v>0</v>
      </c>
      <c r="BJ1501" s="80">
        <f>IF(BE1501=1,ROUND(AQ1501/60,6),0)</f>
        <v>0</v>
      </c>
      <c r="BK1501" s="80">
        <f>IF(BE1501=1,ROUND((AR1501+AS1501)/60,6),0)</f>
        <v>0</v>
      </c>
      <c r="BL1501" s="80">
        <f>ROUND(BH1501-BK1501,6)</f>
        <v>0</v>
      </c>
      <c r="BM1501" s="80">
        <f>IF(BE1501=1,ROUND(AR1501/60,6),0)</f>
        <v>0</v>
      </c>
      <c r="BN1501" s="80">
        <f>ROUND(BI1501-BM1501,6)</f>
        <v>0</v>
      </c>
      <c r="BO1501" s="80">
        <f>IF(BE1501=1,ROUND(AS1501/60,6),0)</f>
        <v>0</v>
      </c>
      <c r="BP1501" s="80">
        <f>ROUND(BJ1501-BO1501,6)</f>
        <v>0</v>
      </c>
      <c r="BQ1501" s="80">
        <f>IF(BE1501=1,AW1501,0)</f>
        <v>0</v>
      </c>
      <c r="BR1501" s="80">
        <f>IF(BE1501=1,AX1501,0)</f>
        <v>0</v>
      </c>
      <c r="BS1501" s="80">
        <f>IF(AND(BE1501=1,D1501="Malcolm",BA1501&gt;0),MIN(BH1501,SUMPRODUCT((R_Emp="proMX")*(R_EN&gt;0)*((R_EN-(R_EN&gt;BR1501)*(R_EN-BR1501))&gt;(R_SN+(R_SN&lt;BQ1501)*(BQ1501-R_SN)))*((R_EN-(R_EN&gt;BR1501)*(R_EN-BR1501))-(R_SN+(R_SN&lt;BQ1501)*(BQ1501-R_SN))))/60),0)</f>
        <v>0</v>
      </c>
      <c r="BT1501" s="80">
        <f>IF(AND(BE1501=1,D1501="proMX"),ROUND(BI1501*CFG_RATE+BJ1501*CFG_OTRATE,6),0)</f>
        <v>0</v>
      </c>
      <c r="BU1501" s="80">
        <f>IF(AND(BD1501=1,D1501="proMX"),ROUND(AG1501/CFG_BLK,6),0)</f>
        <v>0</v>
      </c>
      <c r="BV1501" s="80" t="str">
        <f>IF(BF1501="Approved",IF(ISNUMBER(T1501),INT(T1501),INT(B1501)),"")</f>
        <v/>
      </c>
      <c r="BW1501" s="80">
        <f>IF(ISNUMBER(B1501),IF(DB_MON="Todos",1,IF(AND(INT(B1501)&gt;=DB_MS,INT(B1501)&lt;=DB_ME),1,0)),0)</f>
        <v>0</v>
      </c>
      <c r="BX1501" s="80">
        <f>IF(DB_PROJ="Todos",1,IF(E1501&amp;""=DB_PROJ&amp;"",1,0))</f>
        <v>1</v>
      </c>
      <c r="BY1501" s="80">
        <f>BW1501*BX1501</f>
        <v>0</v>
      </c>
      <c r="BZ1501" s="80" t="str">
        <f>IF(Y1501=1,F1501&amp;IF(AND(F1501&amp;""&lt;&gt;"",E1501&amp;""&lt;&gt;"")," · ","")&amp;E1501,"")</f>
        <v/>
      </c>
      <c r="CA1501" s="80" t="str">
        <f>IF(AND(BD1501=1,E1501&amp;""&lt;&gt;""),IF(COUNTIFS($E$5:E1500,E1501,$BD$5:BD1500,1)=0,MAX($CA$5:CA1500)+1,""),"")</f>
        <v/>
      </c>
      <c r="CB1501" s="80" t="str">
        <f>IF(AND(BE1501=1,D1501="Malcolm",E1501&amp;""&lt;&gt;""),IF(COUNTIFS($D$5:D1500,"Malcolm",$E$5:E1500,E1501,$BE$5:BE1500,1)=0,MAX($CB$5:CB1500)+1,""),"")</f>
        <v/>
      </c>
      <c r="CC1501" s="80" t="str">
        <f>IF(AND(BD1501=1,D1501="proMX",E1501&amp;""&lt;&gt;""),IF(COUNTIFS($D$5:D1500,"proMX",$E$5:E1500,E1501,$BD$5:BD1500,1)=0,MAX($CC$5:CC1500)+1,""),"")</f>
        <v/>
      </c>
      <c r="CD1501" s="80" t="str">
        <f>IF(AND(BE1501=1,D1501="Malcolm",F1501&amp;""&lt;&gt;""),IF(COUNTIFS($D$5:D1500,"Malcolm",$F$5:F1500,F1501,$BE$5:BE1500,1)=0,MAX($CD$5:CD1500)+1,""),"")</f>
        <v/>
      </c>
      <c r="CE1501" s="80" t="str">
        <f>IF(AND(BD1501=1,D1501="proMX",F1501&amp;""&lt;&gt;""),IF(COUNTIFS($D$5:D1500,"proMX",$F$5:F1500,F1501,$BD$5:BD1500,1)=0,MAX($CE$5:CE1500)+1,""),"")</f>
        <v/>
      </c>
      <c r="CF1501" s="80" t="str">
        <f>IF(AND(D1501="proMX",BD1501=1),IF(OR(BF1501="Draft",BF1501="Submitted",BF1501="Returned",BF1501="Recall Requested"),MAX($CF$5:CF1500)+1,""),"")</f>
        <v/>
      </c>
      <c r="CG1501" s="80">
        <f>IF(BD1501=0,0,IF(D1501="Malcolm",1,MATCH(BF1501,{"Draft","Submitted","Approved","Returned","Recall Requested","Cancelled"},0)+1))</f>
        <v>0</v>
      </c>
      <c r="CH1501" s="80">
        <f>IF(AND(BF1501="Submitted",ISNUMBER(V1501)),IF(V1501&gt;CFG_MAXD,1,0),0)</f>
        <v>0</v>
      </c>
    </row>
    <row r="1502">
      <c r="A1502" s="71" t="str">
        <f>IF(Y1502=1,ROW()-5,"")</f>
        <v/>
      </c>
      <c r="B1502" s="72" t="n"/>
      <c r="C1502" s="71" t="str">
        <f>IF(ISNUMBER(B1502),CHOOSE(WEEKDAY(B1502,2),"Lun","Mar","Mié","Jue","Vie","Sáb","Dom"),"")</f>
        <v/>
      </c>
      <c r="D1502" s="73" t="n"/>
      <c r="E1502" s="74" t="n"/>
      <c r="F1502" s="74" t="n"/>
      <c r="G1502" s="74" t="n"/>
      <c r="H1502" s="75" t="n"/>
      <c r="I1502" s="75" t="n"/>
      <c r="J1502" s="76" t="n"/>
      <c r="K1502" s="77" t="str">
        <f>IF(AB1502=1,ROUND(AG1502/60,4),"")</f>
        <v/>
      </c>
      <c r="L1502" s="77" t="str">
        <f>IF(BD1502=1,ROUND(AP1502/60,4),"")</f>
        <v/>
      </c>
      <c r="M1502" s="77" t="str">
        <f>IF(BD1502=1,ROUND(AQ1502/60,4),"")</f>
        <v/>
      </c>
      <c r="N1502" s="71" t="str">
        <f>IF(AND(D1502="proMX",AB1502=1),ROUND(AG1502/CFG_BLK,2),"")</f>
        <v/>
      </c>
      <c r="O1502" s="77" t="str">
        <f>IF(D1502="proMX",IF(BD1502=1,ROUND(AG1502/60,4),0),"")</f>
        <v/>
      </c>
      <c r="P1502" s="78" t="str">
        <f>IF(Y1502=0,"",IF(BD1502=1,"OK",IF(D1502="proMX","Revisar bloques: ","Revisar: ")&amp;BC1502))</f>
        <v/>
      </c>
      <c r="Q1502" s="78" t="str">
        <f>IF(NOT(ISNUMBER(B1502)),"",IF(COUNTIFS(FER_F,INT(B1502))&gt;0,"Feriado"&amp;IF(AH1502=1," (laborable)"," (no laborable)"),IF(AH1502=1,"Laborable",IF(WEEKDAY(B1502,2)&gt;5,"Fin de semana","No laborable"))))</f>
        <v/>
      </c>
      <c r="R1502" s="73" t="n"/>
      <c r="S1502" s="72" t="n"/>
      <c r="T1502" s="72" t="n"/>
      <c r="U1502" s="74" t="n"/>
      <c r="V1502" s="79" t="str">
        <f>IF(AND(D1502="proMX",OR(R1502="Submitted",R1502="Recall Requested"),ISNUMBER(S1502)),CFG_TODAY-INT(S1502),"")</f>
        <v/>
      </c>
      <c r="W1502" s="78" t="str">
        <f>IF(BD1502=0,"",IF(BA1502&gt;0,"⚠ Se superpone con un registro de la otra empresa",IF(D1502="Malcolm",IF(COUNTA(R1502,S1502,T1502)&gt;0,"Estado/fechas proMX se ignoran en Malcolm",""),IF(BF1502="Cancelled","Cancelado: excluido de totales",IF(R1502="","Sin estado: se trata como Draft",IF(BF1502="Submitted",IF(ISNUMBER(V1502),IF(V1502&gt;CFG_MAXD,"⚠ "&amp;V1502&amp;" días en Submitted (máx. "&amp;CFG_MAXD&amp;")",""),"Falta fecha de envío"),IF(BF1502="Returned","⚠ Devuelto: corregir y reenviar",IF(BF1502="Recall Requested","Retirada solicitada: pendiente",IF(AND(BF1502="Approved",NOT(ISNUMBER(T1502))),"Falta fecha de aprobación",IF(AND(ISNUMBER(S1502),ISNUMBER(T1502),T1502&lt;S1502),"Aprobación anterior al envío","")))))))))</f>
        <v/>
      </c>
      <c r="Y1502" s="80">
        <f>IF(COUNTA(B1502,D1502,E1502,F1502,G1502,H1502,I1502,J1502,R1502,S1502,T1502)&gt;0,1,0)</f>
        <v>0</v>
      </c>
      <c r="Z1502" s="80" t="str">
        <f>IF(AND(ISNUMBER(H1502),H1502&gt;=0,H1502&lt;1),ROUND(H1502*1440,0),"")</f>
        <v/>
      </c>
      <c r="AA1502" s="80" t="str">
        <f>IF(AND(ISNUMBER(I1502),I1502&gt;=0,I1502&lt;1),ROUND(I1502*1440,0),"")</f>
        <v/>
      </c>
      <c r="AB1502" s="80">
        <f>IF(AND(ISNUMBER(B1502),D1502&lt;&gt;"",ISNUMBER(Z1502),ISNUMBER(AA1502)),IF(Z1502=AA1502,0,1),0)</f>
        <v>0</v>
      </c>
      <c r="AC1502" s="80">
        <f>IF(AB1502=1,IF(AA1502&lt;Z1502,1,0),0)</f>
        <v>0</v>
      </c>
      <c r="AD1502" s="80">
        <f>IF(AB1502=1,IF(AC1502=1,1440-Z1502+AA1502,AA1502-Z1502),0)</f>
        <v>0</v>
      </c>
      <c r="AE1502" s="80">
        <f>IF(J1502="",0,IF(ISNUMBER(J1502),J1502,-1))</f>
        <v>0</v>
      </c>
      <c r="AF1502" s="80">
        <f>MIN(MAX(0,AE1502),AD1502)</f>
        <v>0</v>
      </c>
      <c r="AG1502" s="80">
        <f>MAX(0,AD1502-MAX(0,AE1502))</f>
        <v>0</v>
      </c>
      <c r="AH1502" s="80">
        <f>IF(ISNUMBER(B1502),IF(AND(INDEX(CFG_WDAYS,WEEKDAY(INT(B1502),2))="Sí",IF(D1502="proMX",COUNTIFS(FER_F,INT(B1502),FER_NLP,"Sí"),COUNTIFS(FER_F,INT(B1502),FER_NLM,"Sí"))=0),1,0),0)</f>
        <v>0</v>
      </c>
      <c r="AI1502" s="80">
        <f>IF(AC1502=1,IF(AND(INDEX(CFG_WDAYS,WEEKDAY(INT(B1502)+1,2))="Sí",IF(D1502="proMX",COUNTIFS(FER_F,INT(B1502)+1,FER_NLP,"Sí"),COUNTIFS(FER_F,INT(B1502)+1,FER_NLM,"Sí"))=0),1,0),0)</f>
        <v>0</v>
      </c>
      <c r="AJ1502" s="80">
        <f>IF(AC1502=1,1440-Z1502,AD1502)</f>
        <v>0</v>
      </c>
      <c r="AK1502" s="80">
        <f>IF(AND(AB1502=1,AH1502=1),MAX(0,MIN(IF(AC1502=1,1440,AA1502),CFG_WEM)-MAX(Z1502,CFG_WSM)),0)</f>
        <v>0</v>
      </c>
      <c r="AL1502" s="80">
        <f>IF(AND(AC1502=1,AI1502=1),MAX(0,MIN(AA1502,CFG_WEM)-CFG_WSM),0)</f>
        <v>0</v>
      </c>
      <c r="AM1502" s="80">
        <f>AK1502+AL1502</f>
        <v>0</v>
      </c>
      <c r="AN1502" s="80">
        <f>IF(CFG_BRK="Proporcional",IF(AD1502=0,0,AF1502*AM1502/AD1502),IF(CFG_BRK="Extras primero",MIN(AM1502,MAX(0,AF1502-(AD1502-AM1502))),MIN(AF1502,AM1502)))</f>
        <v>0</v>
      </c>
      <c r="AO1502" s="80">
        <f>AF1502-AN1502</f>
        <v>0</v>
      </c>
      <c r="AP1502" s="80">
        <f>AM1502-AN1502</f>
        <v>0</v>
      </c>
      <c r="AQ1502" s="80">
        <f>AD1502-AM1502-AO1502</f>
        <v>0</v>
      </c>
      <c r="AR1502" s="80">
        <f>IF(AM1502=0,0,AK1502-AN1502*AK1502/AM1502)</f>
        <v>0</v>
      </c>
      <c r="AS1502" s="80">
        <f>IF(AD1502-AM1502=0,0,(AJ1502-AK1502)-AO1502*(AJ1502-AK1502)/(AD1502-AM1502))</f>
        <v>0</v>
      </c>
      <c r="AT1502" s="80" t="str">
        <f>IF(AC1502=1,INT(B1502)+1,"")</f>
        <v/>
      </c>
      <c r="AU1502" s="80">
        <f>IF(AND(D1502="proMX",R1502="Cancelled"),0,1)</f>
        <v>1</v>
      </c>
      <c r="AV1502" s="80">
        <f>IF(AND(AB1502=1,AU1502=1),IF(COUNTIFS($D$5:D1501,D1502,$B$5:B1501,B1502,$Z$5:Z1501,Z1502,$AA$5:AA1501,AA1502,$F$5:F1501,F1502&amp;"",$AU$5:AU1501,1)&gt;0,1,0),0)</f>
        <v>0</v>
      </c>
      <c r="AW1502" s="80" t="str">
        <f>IF(AB1502=1,INT(B1502)*1440+Z1502,"")</f>
        <v/>
      </c>
      <c r="AX1502" s="80" t="str">
        <f>IF(AB1502=1,AW1502+AD1502,"")</f>
        <v/>
      </c>
      <c r="AY1502" s="80">
        <f>IF(AND(AB1502=1,AV1502=0,AU1502=1),1,0)</f>
        <v>0</v>
      </c>
      <c r="AZ1502" s="80">
        <f>IF(AY1502=1,COUNTIFS(R_Emp,D1502,R_SAbs,"&lt;"&amp;AX1502,R_EAbs,"&gt;"&amp;AW1502,R_OKey,1)-1,0)</f>
        <v>0</v>
      </c>
      <c r="BA1502" s="80">
        <f>IF(AY1502=1,COUNTIFS(R_Emp,"&lt;&gt;"&amp;D1502,R_SAbs,"&lt;"&amp;AX1502,R_EAbs,"&gt;"&amp;AW1502,R_OKey,1),0)</f>
        <v>0</v>
      </c>
      <c r="BB1502" s="80">
        <f>IF(AND(AB1502=1,D1502="proMX"),IF(AND(MOD(Z1502,CFG_BLK)=0,MOD(AA1502,CFG_BLK)=0,MOD(AG1502,CFG_BLK)=0,AG1502&gt;0),1,0),1)</f>
        <v>1</v>
      </c>
      <c r="BC1502" s="80" t="str">
        <f>IF(Y1502=0,"",IF(NOT(ISNUMBER(B1502)),"Falta fecha o fecha inválida",IF(D1502="","Falta empresa",IF(AND(D1502&lt;&gt;"Malcolm",D1502&lt;&gt;"proMX"),"Empresa inválida",IF(OR(INT(B1502)&lt;CFG_PSTART,INT(B1502)&gt;CFG_PEND),"Fecha fuera del período",IF(OR(NOT(ISNUMBER(Z1502)),NOT(ISNUMBER(AA1502))),"Falta hora inicio/fin o formato inválido",IF(AB1502=0,"Hora inicio = hora fin",IF(AE1502&lt;0,"Descanso inválido",IF(AE1502&gt;=AD1502,"Descanso ≥ duración",IF(AV1502=1,"Registro duplicado",IF(AZ1502&gt;0,"Se superpone con otro registro "&amp;D1502,IF(BB1502=0,"inicio, fin y duración neta deben ser múltiplos de "&amp;CFG_BLK&amp;" min",""))))))))))))</f>
        <v/>
      </c>
      <c r="BD1502" s="80">
        <f>IF(AND(Y1502=1,BC1502=""),1,0)</f>
        <v>0</v>
      </c>
      <c r="BE1502" s="80">
        <f>IF(AND(BD1502=1,AU1502=1),1,0)</f>
        <v>0</v>
      </c>
      <c r="BF1502" s="80" t="str">
        <f>IF(AND(D1502="proMX",BD1502=1),IF(R1502="","Draft",R1502),"")</f>
        <v/>
      </c>
      <c r="BG1502" s="80">
        <f>IF(BD1502=1,ROUND(AG1502/60,6),0)</f>
        <v>0</v>
      </c>
      <c r="BH1502" s="80">
        <f>IF(BE1502=1,ROUND(AG1502/60,6),0)</f>
        <v>0</v>
      </c>
      <c r="BI1502" s="80">
        <f>IF(BE1502=1,ROUND(AP1502/60,6),0)</f>
        <v>0</v>
      </c>
      <c r="BJ1502" s="80">
        <f>IF(BE1502=1,ROUND(AQ1502/60,6),0)</f>
        <v>0</v>
      </c>
      <c r="BK1502" s="80">
        <f>IF(BE1502=1,ROUND((AR1502+AS1502)/60,6),0)</f>
        <v>0</v>
      </c>
      <c r="BL1502" s="80">
        <f>ROUND(BH1502-BK1502,6)</f>
        <v>0</v>
      </c>
      <c r="BM1502" s="80">
        <f>IF(BE1502=1,ROUND(AR1502/60,6),0)</f>
        <v>0</v>
      </c>
      <c r="BN1502" s="80">
        <f>ROUND(BI1502-BM1502,6)</f>
        <v>0</v>
      </c>
      <c r="BO1502" s="80">
        <f>IF(BE1502=1,ROUND(AS1502/60,6),0)</f>
        <v>0</v>
      </c>
      <c r="BP1502" s="80">
        <f>ROUND(BJ1502-BO1502,6)</f>
        <v>0</v>
      </c>
      <c r="BQ1502" s="80">
        <f>IF(BE1502=1,AW1502,0)</f>
        <v>0</v>
      </c>
      <c r="BR1502" s="80">
        <f>IF(BE1502=1,AX1502,0)</f>
        <v>0</v>
      </c>
      <c r="BS1502" s="80">
        <f>IF(AND(BE1502=1,D1502="Malcolm",BA1502&gt;0),MIN(BH1502,SUMPRODUCT((R_Emp="proMX")*(R_EN&gt;0)*((R_EN-(R_EN&gt;BR1502)*(R_EN-BR1502))&gt;(R_SN+(R_SN&lt;BQ1502)*(BQ1502-R_SN)))*((R_EN-(R_EN&gt;BR1502)*(R_EN-BR1502))-(R_SN+(R_SN&lt;BQ1502)*(BQ1502-R_SN))))/60),0)</f>
        <v>0</v>
      </c>
      <c r="BT1502" s="80">
        <f>IF(AND(BE1502=1,D1502="proMX"),ROUND(BI1502*CFG_RATE+BJ1502*CFG_OTRATE,6),0)</f>
        <v>0</v>
      </c>
      <c r="BU1502" s="80">
        <f>IF(AND(BD1502=1,D1502="proMX"),ROUND(AG1502/CFG_BLK,6),0)</f>
        <v>0</v>
      </c>
      <c r="BV1502" s="80" t="str">
        <f>IF(BF1502="Approved",IF(ISNUMBER(T1502),INT(T1502),INT(B1502)),"")</f>
        <v/>
      </c>
      <c r="BW1502" s="80">
        <f>IF(ISNUMBER(B1502),IF(DB_MON="Todos",1,IF(AND(INT(B1502)&gt;=DB_MS,INT(B1502)&lt;=DB_ME),1,0)),0)</f>
        <v>0</v>
      </c>
      <c r="BX1502" s="80">
        <f>IF(DB_PROJ="Todos",1,IF(E1502&amp;""=DB_PROJ&amp;"",1,0))</f>
        <v>1</v>
      </c>
      <c r="BY1502" s="80">
        <f>BW1502*BX1502</f>
        <v>0</v>
      </c>
      <c r="BZ1502" s="80" t="str">
        <f>IF(Y1502=1,F1502&amp;IF(AND(F1502&amp;""&lt;&gt;"",E1502&amp;""&lt;&gt;"")," · ","")&amp;E1502,"")</f>
        <v/>
      </c>
      <c r="CA1502" s="80" t="str">
        <f>IF(AND(BD1502=1,E1502&amp;""&lt;&gt;""),IF(COUNTIFS($E$5:E1501,E1502,$BD$5:BD1501,1)=0,MAX($CA$5:CA1501)+1,""),"")</f>
        <v/>
      </c>
      <c r="CB1502" s="80" t="str">
        <f>IF(AND(BE1502=1,D1502="Malcolm",E1502&amp;""&lt;&gt;""),IF(COUNTIFS($D$5:D1501,"Malcolm",$E$5:E1501,E1502,$BE$5:BE1501,1)=0,MAX($CB$5:CB1501)+1,""),"")</f>
        <v/>
      </c>
      <c r="CC1502" s="80" t="str">
        <f>IF(AND(BD1502=1,D1502="proMX",E1502&amp;""&lt;&gt;""),IF(COUNTIFS($D$5:D1501,"proMX",$E$5:E1501,E1502,$BD$5:BD1501,1)=0,MAX($CC$5:CC1501)+1,""),"")</f>
        <v/>
      </c>
      <c r="CD1502" s="80" t="str">
        <f>IF(AND(BE1502=1,D1502="Malcolm",F1502&amp;""&lt;&gt;""),IF(COUNTIFS($D$5:D1501,"Malcolm",$F$5:F1501,F1502,$BE$5:BE1501,1)=0,MAX($CD$5:CD1501)+1,""),"")</f>
        <v/>
      </c>
      <c r="CE1502" s="80" t="str">
        <f>IF(AND(BD1502=1,D1502="proMX",F1502&amp;""&lt;&gt;""),IF(COUNTIFS($D$5:D1501,"proMX",$F$5:F1501,F1502,$BD$5:BD1501,1)=0,MAX($CE$5:CE1501)+1,""),"")</f>
        <v/>
      </c>
      <c r="CF1502" s="80" t="str">
        <f>IF(AND(D1502="proMX",BD1502=1),IF(OR(BF1502="Draft",BF1502="Submitted",BF1502="Returned",BF1502="Recall Requested"),MAX($CF$5:CF1501)+1,""),"")</f>
        <v/>
      </c>
      <c r="CG1502" s="80">
        <f>IF(BD1502=0,0,IF(D1502="Malcolm",1,MATCH(BF1502,{"Draft","Submitted","Approved","Returned","Recall Requested","Cancelled"},0)+1))</f>
        <v>0</v>
      </c>
      <c r="CH1502" s="80">
        <f>IF(AND(BF1502="Submitted",ISNUMBER(V1502)),IF(V1502&gt;CFG_MAXD,1,0),0)</f>
        <v>0</v>
      </c>
    </row>
    <row r="1503">
      <c r="A1503" s="71" t="str">
        <f>IF(Y1503=1,ROW()-5,"")</f>
        <v/>
      </c>
      <c r="B1503" s="72" t="n"/>
      <c r="C1503" s="71" t="str">
        <f>IF(ISNUMBER(B1503),CHOOSE(WEEKDAY(B1503,2),"Lun","Mar","Mié","Jue","Vie","Sáb","Dom"),"")</f>
        <v/>
      </c>
      <c r="D1503" s="73" t="n"/>
      <c r="E1503" s="74" t="n"/>
      <c r="F1503" s="74" t="n"/>
      <c r="G1503" s="74" t="n"/>
      <c r="H1503" s="75" t="n"/>
      <c r="I1503" s="75" t="n"/>
      <c r="J1503" s="76" t="n"/>
      <c r="K1503" s="77" t="str">
        <f>IF(AB1503=1,ROUND(AG1503/60,4),"")</f>
        <v/>
      </c>
      <c r="L1503" s="77" t="str">
        <f>IF(BD1503=1,ROUND(AP1503/60,4),"")</f>
        <v/>
      </c>
      <c r="M1503" s="77" t="str">
        <f>IF(BD1503=1,ROUND(AQ1503/60,4),"")</f>
        <v/>
      </c>
      <c r="N1503" s="71" t="str">
        <f>IF(AND(D1503="proMX",AB1503=1),ROUND(AG1503/CFG_BLK,2),"")</f>
        <v/>
      </c>
      <c r="O1503" s="77" t="str">
        <f>IF(D1503="proMX",IF(BD1503=1,ROUND(AG1503/60,4),0),"")</f>
        <v/>
      </c>
      <c r="P1503" s="78" t="str">
        <f>IF(Y1503=0,"",IF(BD1503=1,"OK",IF(D1503="proMX","Revisar bloques: ","Revisar: ")&amp;BC1503))</f>
        <v/>
      </c>
      <c r="Q1503" s="78" t="str">
        <f>IF(NOT(ISNUMBER(B1503)),"",IF(COUNTIFS(FER_F,INT(B1503))&gt;0,"Feriado"&amp;IF(AH1503=1," (laborable)"," (no laborable)"),IF(AH1503=1,"Laborable",IF(WEEKDAY(B1503,2)&gt;5,"Fin de semana","No laborable"))))</f>
        <v/>
      </c>
      <c r="R1503" s="73" t="n"/>
      <c r="S1503" s="72" t="n"/>
      <c r="T1503" s="72" t="n"/>
      <c r="U1503" s="74" t="n"/>
      <c r="V1503" s="79" t="str">
        <f>IF(AND(D1503="proMX",OR(R1503="Submitted",R1503="Recall Requested"),ISNUMBER(S1503)),CFG_TODAY-INT(S1503),"")</f>
        <v/>
      </c>
      <c r="W1503" s="78" t="str">
        <f>IF(BD1503=0,"",IF(BA1503&gt;0,"⚠ Se superpone con un registro de la otra empresa",IF(D1503="Malcolm",IF(COUNTA(R1503,S1503,T1503)&gt;0,"Estado/fechas proMX se ignoran en Malcolm",""),IF(BF1503="Cancelled","Cancelado: excluido de totales",IF(R1503="","Sin estado: se trata como Draft",IF(BF1503="Submitted",IF(ISNUMBER(V1503),IF(V1503&gt;CFG_MAXD,"⚠ "&amp;V1503&amp;" días en Submitted (máx. "&amp;CFG_MAXD&amp;")",""),"Falta fecha de envío"),IF(BF1503="Returned","⚠ Devuelto: corregir y reenviar",IF(BF1503="Recall Requested","Retirada solicitada: pendiente",IF(AND(BF1503="Approved",NOT(ISNUMBER(T1503))),"Falta fecha de aprobación",IF(AND(ISNUMBER(S1503),ISNUMBER(T1503),T1503&lt;S1503),"Aprobación anterior al envío","")))))))))</f>
        <v/>
      </c>
      <c r="Y1503" s="80">
        <f>IF(COUNTA(B1503,D1503,E1503,F1503,G1503,H1503,I1503,J1503,R1503,S1503,T1503)&gt;0,1,0)</f>
        <v>0</v>
      </c>
      <c r="Z1503" s="80" t="str">
        <f>IF(AND(ISNUMBER(H1503),H1503&gt;=0,H1503&lt;1),ROUND(H1503*1440,0),"")</f>
        <v/>
      </c>
      <c r="AA1503" s="80" t="str">
        <f>IF(AND(ISNUMBER(I1503),I1503&gt;=0,I1503&lt;1),ROUND(I1503*1440,0),"")</f>
        <v/>
      </c>
      <c r="AB1503" s="80">
        <f>IF(AND(ISNUMBER(B1503),D1503&lt;&gt;"",ISNUMBER(Z1503),ISNUMBER(AA1503)),IF(Z1503=AA1503,0,1),0)</f>
        <v>0</v>
      </c>
      <c r="AC1503" s="80">
        <f>IF(AB1503=1,IF(AA1503&lt;Z1503,1,0),0)</f>
        <v>0</v>
      </c>
      <c r="AD1503" s="80">
        <f>IF(AB1503=1,IF(AC1503=1,1440-Z1503+AA1503,AA1503-Z1503),0)</f>
        <v>0</v>
      </c>
      <c r="AE1503" s="80">
        <f>IF(J1503="",0,IF(ISNUMBER(J1503),J1503,-1))</f>
        <v>0</v>
      </c>
      <c r="AF1503" s="80">
        <f>MIN(MAX(0,AE1503),AD1503)</f>
        <v>0</v>
      </c>
      <c r="AG1503" s="80">
        <f>MAX(0,AD1503-MAX(0,AE1503))</f>
        <v>0</v>
      </c>
      <c r="AH1503" s="80">
        <f>IF(ISNUMBER(B1503),IF(AND(INDEX(CFG_WDAYS,WEEKDAY(INT(B1503),2))="Sí",IF(D1503="proMX",COUNTIFS(FER_F,INT(B1503),FER_NLP,"Sí"),COUNTIFS(FER_F,INT(B1503),FER_NLM,"Sí"))=0),1,0),0)</f>
        <v>0</v>
      </c>
      <c r="AI1503" s="80">
        <f>IF(AC1503=1,IF(AND(INDEX(CFG_WDAYS,WEEKDAY(INT(B1503)+1,2))="Sí",IF(D1503="proMX",COUNTIFS(FER_F,INT(B1503)+1,FER_NLP,"Sí"),COUNTIFS(FER_F,INT(B1503)+1,FER_NLM,"Sí"))=0),1,0),0)</f>
        <v>0</v>
      </c>
      <c r="AJ1503" s="80">
        <f>IF(AC1503=1,1440-Z1503,AD1503)</f>
        <v>0</v>
      </c>
      <c r="AK1503" s="80">
        <f>IF(AND(AB1503=1,AH1503=1),MAX(0,MIN(IF(AC1503=1,1440,AA1503),CFG_WEM)-MAX(Z1503,CFG_WSM)),0)</f>
        <v>0</v>
      </c>
      <c r="AL1503" s="80">
        <f>IF(AND(AC1503=1,AI1503=1),MAX(0,MIN(AA1503,CFG_WEM)-CFG_WSM),0)</f>
        <v>0</v>
      </c>
      <c r="AM1503" s="80">
        <f>AK1503+AL1503</f>
        <v>0</v>
      </c>
      <c r="AN1503" s="80">
        <f>IF(CFG_BRK="Proporcional",IF(AD1503=0,0,AF1503*AM1503/AD1503),IF(CFG_BRK="Extras primero",MIN(AM1503,MAX(0,AF1503-(AD1503-AM1503))),MIN(AF1503,AM1503)))</f>
        <v>0</v>
      </c>
      <c r="AO1503" s="80">
        <f>AF1503-AN1503</f>
        <v>0</v>
      </c>
      <c r="AP1503" s="80">
        <f>AM1503-AN1503</f>
        <v>0</v>
      </c>
      <c r="AQ1503" s="80">
        <f>AD1503-AM1503-AO1503</f>
        <v>0</v>
      </c>
      <c r="AR1503" s="80">
        <f>IF(AM1503=0,0,AK1503-AN1503*AK1503/AM1503)</f>
        <v>0</v>
      </c>
      <c r="AS1503" s="80">
        <f>IF(AD1503-AM1503=0,0,(AJ1503-AK1503)-AO1503*(AJ1503-AK1503)/(AD1503-AM1503))</f>
        <v>0</v>
      </c>
      <c r="AT1503" s="80" t="str">
        <f>IF(AC1503=1,INT(B1503)+1,"")</f>
        <v/>
      </c>
      <c r="AU1503" s="80">
        <f>IF(AND(D1503="proMX",R1503="Cancelled"),0,1)</f>
        <v>1</v>
      </c>
      <c r="AV1503" s="80">
        <f>IF(AND(AB1503=1,AU1503=1),IF(COUNTIFS($D$5:D1502,D1503,$B$5:B1502,B1503,$Z$5:Z1502,Z1503,$AA$5:AA1502,AA1503,$F$5:F1502,F1503&amp;"",$AU$5:AU1502,1)&gt;0,1,0),0)</f>
        <v>0</v>
      </c>
      <c r="AW1503" s="80" t="str">
        <f>IF(AB1503=1,INT(B1503)*1440+Z1503,"")</f>
        <v/>
      </c>
      <c r="AX1503" s="80" t="str">
        <f>IF(AB1503=1,AW1503+AD1503,"")</f>
        <v/>
      </c>
      <c r="AY1503" s="80">
        <f>IF(AND(AB1503=1,AV1503=0,AU1503=1),1,0)</f>
        <v>0</v>
      </c>
      <c r="AZ1503" s="80">
        <f>IF(AY1503=1,COUNTIFS(R_Emp,D1503,R_SAbs,"&lt;"&amp;AX1503,R_EAbs,"&gt;"&amp;AW1503,R_OKey,1)-1,0)</f>
        <v>0</v>
      </c>
      <c r="BA1503" s="80">
        <f>IF(AY1503=1,COUNTIFS(R_Emp,"&lt;&gt;"&amp;D1503,R_SAbs,"&lt;"&amp;AX1503,R_EAbs,"&gt;"&amp;AW1503,R_OKey,1),0)</f>
        <v>0</v>
      </c>
      <c r="BB1503" s="80">
        <f>IF(AND(AB1503=1,D1503="proMX"),IF(AND(MOD(Z1503,CFG_BLK)=0,MOD(AA1503,CFG_BLK)=0,MOD(AG1503,CFG_BLK)=0,AG1503&gt;0),1,0),1)</f>
        <v>1</v>
      </c>
      <c r="BC1503" s="80" t="str">
        <f>IF(Y1503=0,"",IF(NOT(ISNUMBER(B1503)),"Falta fecha o fecha inválida",IF(D1503="","Falta empresa",IF(AND(D1503&lt;&gt;"Malcolm",D1503&lt;&gt;"proMX"),"Empresa inválida",IF(OR(INT(B1503)&lt;CFG_PSTART,INT(B1503)&gt;CFG_PEND),"Fecha fuera del período",IF(OR(NOT(ISNUMBER(Z1503)),NOT(ISNUMBER(AA1503))),"Falta hora inicio/fin o formato inválido",IF(AB1503=0,"Hora inicio = hora fin",IF(AE1503&lt;0,"Descanso inválido",IF(AE1503&gt;=AD1503,"Descanso ≥ duración",IF(AV1503=1,"Registro duplicado",IF(AZ1503&gt;0,"Se superpone con otro registro "&amp;D1503,IF(BB1503=0,"inicio, fin y duración neta deben ser múltiplos de "&amp;CFG_BLK&amp;" min",""))))))))))))</f>
        <v/>
      </c>
      <c r="BD1503" s="80">
        <f>IF(AND(Y1503=1,BC1503=""),1,0)</f>
        <v>0</v>
      </c>
      <c r="BE1503" s="80">
        <f>IF(AND(BD1503=1,AU1503=1),1,0)</f>
        <v>0</v>
      </c>
      <c r="BF1503" s="80" t="str">
        <f>IF(AND(D1503="proMX",BD1503=1),IF(R1503="","Draft",R1503),"")</f>
        <v/>
      </c>
      <c r="BG1503" s="80">
        <f>IF(BD1503=1,ROUND(AG1503/60,6),0)</f>
        <v>0</v>
      </c>
      <c r="BH1503" s="80">
        <f>IF(BE1503=1,ROUND(AG1503/60,6),0)</f>
        <v>0</v>
      </c>
      <c r="BI1503" s="80">
        <f>IF(BE1503=1,ROUND(AP1503/60,6),0)</f>
        <v>0</v>
      </c>
      <c r="BJ1503" s="80">
        <f>IF(BE1503=1,ROUND(AQ1503/60,6),0)</f>
        <v>0</v>
      </c>
      <c r="BK1503" s="80">
        <f>IF(BE1503=1,ROUND((AR1503+AS1503)/60,6),0)</f>
        <v>0</v>
      </c>
      <c r="BL1503" s="80">
        <f>ROUND(BH1503-BK1503,6)</f>
        <v>0</v>
      </c>
      <c r="BM1503" s="80">
        <f>IF(BE1503=1,ROUND(AR1503/60,6),0)</f>
        <v>0</v>
      </c>
      <c r="BN1503" s="80">
        <f>ROUND(BI1503-BM1503,6)</f>
        <v>0</v>
      </c>
      <c r="BO1503" s="80">
        <f>IF(BE1503=1,ROUND(AS1503/60,6),0)</f>
        <v>0</v>
      </c>
      <c r="BP1503" s="80">
        <f>ROUND(BJ1503-BO1503,6)</f>
        <v>0</v>
      </c>
      <c r="BQ1503" s="80">
        <f>IF(BE1503=1,AW1503,0)</f>
        <v>0</v>
      </c>
      <c r="BR1503" s="80">
        <f>IF(BE1503=1,AX1503,0)</f>
        <v>0</v>
      </c>
      <c r="BS1503" s="80">
        <f>IF(AND(BE1503=1,D1503="Malcolm",BA1503&gt;0),MIN(BH1503,SUMPRODUCT((R_Emp="proMX")*(R_EN&gt;0)*((R_EN-(R_EN&gt;BR1503)*(R_EN-BR1503))&gt;(R_SN+(R_SN&lt;BQ1503)*(BQ1503-R_SN)))*((R_EN-(R_EN&gt;BR1503)*(R_EN-BR1503))-(R_SN+(R_SN&lt;BQ1503)*(BQ1503-R_SN))))/60),0)</f>
        <v>0</v>
      </c>
      <c r="BT1503" s="80">
        <f>IF(AND(BE1503=1,D1503="proMX"),ROUND(BI1503*CFG_RATE+BJ1503*CFG_OTRATE,6),0)</f>
        <v>0</v>
      </c>
      <c r="BU1503" s="80">
        <f>IF(AND(BD1503=1,D1503="proMX"),ROUND(AG1503/CFG_BLK,6),0)</f>
        <v>0</v>
      </c>
      <c r="BV1503" s="80" t="str">
        <f>IF(BF1503="Approved",IF(ISNUMBER(T1503),INT(T1503),INT(B1503)),"")</f>
        <v/>
      </c>
      <c r="BW1503" s="80">
        <f>IF(ISNUMBER(B1503),IF(DB_MON="Todos",1,IF(AND(INT(B1503)&gt;=DB_MS,INT(B1503)&lt;=DB_ME),1,0)),0)</f>
        <v>0</v>
      </c>
      <c r="BX1503" s="80">
        <f>IF(DB_PROJ="Todos",1,IF(E1503&amp;""=DB_PROJ&amp;"",1,0))</f>
        <v>1</v>
      </c>
      <c r="BY1503" s="80">
        <f>BW1503*BX1503</f>
        <v>0</v>
      </c>
      <c r="BZ1503" s="80" t="str">
        <f>IF(Y1503=1,F1503&amp;IF(AND(F1503&amp;""&lt;&gt;"",E1503&amp;""&lt;&gt;"")," · ","")&amp;E1503,"")</f>
        <v/>
      </c>
      <c r="CA1503" s="80" t="str">
        <f>IF(AND(BD1503=1,E1503&amp;""&lt;&gt;""),IF(COUNTIFS($E$5:E1502,E1503,$BD$5:BD1502,1)=0,MAX($CA$5:CA1502)+1,""),"")</f>
        <v/>
      </c>
      <c r="CB1503" s="80" t="str">
        <f>IF(AND(BE1503=1,D1503="Malcolm",E1503&amp;""&lt;&gt;""),IF(COUNTIFS($D$5:D1502,"Malcolm",$E$5:E1502,E1503,$BE$5:BE1502,1)=0,MAX($CB$5:CB1502)+1,""),"")</f>
        <v/>
      </c>
      <c r="CC1503" s="80" t="str">
        <f>IF(AND(BD1503=1,D1503="proMX",E1503&amp;""&lt;&gt;""),IF(COUNTIFS($D$5:D1502,"proMX",$E$5:E1502,E1503,$BD$5:BD1502,1)=0,MAX($CC$5:CC1502)+1,""),"")</f>
        <v/>
      </c>
      <c r="CD1503" s="80" t="str">
        <f>IF(AND(BE1503=1,D1503="Malcolm",F1503&amp;""&lt;&gt;""),IF(COUNTIFS($D$5:D1502,"Malcolm",$F$5:F1502,F1503,$BE$5:BE1502,1)=0,MAX($CD$5:CD1502)+1,""),"")</f>
        <v/>
      </c>
      <c r="CE1503" s="80" t="str">
        <f>IF(AND(BD1503=1,D1503="proMX",F1503&amp;""&lt;&gt;""),IF(COUNTIFS($D$5:D1502,"proMX",$F$5:F1502,F1503,$BD$5:BD1502,1)=0,MAX($CE$5:CE1502)+1,""),"")</f>
        <v/>
      </c>
      <c r="CF1503" s="80" t="str">
        <f>IF(AND(D1503="proMX",BD1503=1),IF(OR(BF1503="Draft",BF1503="Submitted",BF1503="Returned",BF1503="Recall Requested"),MAX($CF$5:CF1502)+1,""),"")</f>
        <v/>
      </c>
      <c r="CG1503" s="80">
        <f>IF(BD1503=0,0,IF(D1503="Malcolm",1,MATCH(BF1503,{"Draft","Submitted","Approved","Returned","Recall Requested","Cancelled"},0)+1))</f>
        <v>0</v>
      </c>
      <c r="CH1503" s="80">
        <f>IF(AND(BF1503="Submitted",ISNUMBER(V1503)),IF(V1503&gt;CFG_MAXD,1,0),0)</f>
        <v>0</v>
      </c>
    </row>
    <row r="1504">
      <c r="A1504" s="71" t="str">
        <f>IF(Y1504=1,ROW()-5,"")</f>
        <v/>
      </c>
      <c r="B1504" s="72" t="n"/>
      <c r="C1504" s="71" t="str">
        <f>IF(ISNUMBER(B1504),CHOOSE(WEEKDAY(B1504,2),"Lun","Mar","Mié","Jue","Vie","Sáb","Dom"),"")</f>
        <v/>
      </c>
      <c r="D1504" s="73" t="n"/>
      <c r="E1504" s="74" t="n"/>
      <c r="F1504" s="74" t="n"/>
      <c r="G1504" s="74" t="n"/>
      <c r="H1504" s="75" t="n"/>
      <c r="I1504" s="75" t="n"/>
      <c r="J1504" s="76" t="n"/>
      <c r="K1504" s="77" t="str">
        <f>IF(AB1504=1,ROUND(AG1504/60,4),"")</f>
        <v/>
      </c>
      <c r="L1504" s="77" t="str">
        <f>IF(BD1504=1,ROUND(AP1504/60,4),"")</f>
        <v/>
      </c>
      <c r="M1504" s="77" t="str">
        <f>IF(BD1504=1,ROUND(AQ1504/60,4),"")</f>
        <v/>
      </c>
      <c r="N1504" s="71" t="str">
        <f>IF(AND(D1504="proMX",AB1504=1),ROUND(AG1504/CFG_BLK,2),"")</f>
        <v/>
      </c>
      <c r="O1504" s="77" t="str">
        <f>IF(D1504="proMX",IF(BD1504=1,ROUND(AG1504/60,4),0),"")</f>
        <v/>
      </c>
      <c r="P1504" s="78" t="str">
        <f>IF(Y1504=0,"",IF(BD1504=1,"OK",IF(D1504="proMX","Revisar bloques: ","Revisar: ")&amp;BC1504))</f>
        <v/>
      </c>
      <c r="Q1504" s="78" t="str">
        <f>IF(NOT(ISNUMBER(B1504)),"",IF(COUNTIFS(FER_F,INT(B1504))&gt;0,"Feriado"&amp;IF(AH1504=1," (laborable)"," (no laborable)"),IF(AH1504=1,"Laborable",IF(WEEKDAY(B1504,2)&gt;5,"Fin de semana","No laborable"))))</f>
        <v/>
      </c>
      <c r="R1504" s="73" t="n"/>
      <c r="S1504" s="72" t="n"/>
      <c r="T1504" s="72" t="n"/>
      <c r="U1504" s="74" t="n"/>
      <c r="V1504" s="79" t="str">
        <f>IF(AND(D1504="proMX",OR(R1504="Submitted",R1504="Recall Requested"),ISNUMBER(S1504)),CFG_TODAY-INT(S1504),"")</f>
        <v/>
      </c>
      <c r="W1504" s="78" t="str">
        <f>IF(BD1504=0,"",IF(BA1504&gt;0,"⚠ Se superpone con un registro de la otra empresa",IF(D1504="Malcolm",IF(COUNTA(R1504,S1504,T1504)&gt;0,"Estado/fechas proMX se ignoran en Malcolm",""),IF(BF1504="Cancelled","Cancelado: excluido de totales",IF(R1504="","Sin estado: se trata como Draft",IF(BF1504="Submitted",IF(ISNUMBER(V1504),IF(V1504&gt;CFG_MAXD,"⚠ "&amp;V1504&amp;" días en Submitted (máx. "&amp;CFG_MAXD&amp;")",""),"Falta fecha de envío"),IF(BF1504="Returned","⚠ Devuelto: corregir y reenviar",IF(BF1504="Recall Requested","Retirada solicitada: pendiente",IF(AND(BF1504="Approved",NOT(ISNUMBER(T1504))),"Falta fecha de aprobación",IF(AND(ISNUMBER(S1504),ISNUMBER(T1504),T1504&lt;S1504),"Aprobación anterior al envío","")))))))))</f>
        <v/>
      </c>
      <c r="Y1504" s="80">
        <f>IF(COUNTA(B1504,D1504,E1504,F1504,G1504,H1504,I1504,J1504,R1504,S1504,T1504)&gt;0,1,0)</f>
        <v>0</v>
      </c>
      <c r="Z1504" s="80" t="str">
        <f>IF(AND(ISNUMBER(H1504),H1504&gt;=0,H1504&lt;1),ROUND(H1504*1440,0),"")</f>
        <v/>
      </c>
      <c r="AA1504" s="80" t="str">
        <f>IF(AND(ISNUMBER(I1504),I1504&gt;=0,I1504&lt;1),ROUND(I1504*1440,0),"")</f>
        <v/>
      </c>
      <c r="AB1504" s="80">
        <f>IF(AND(ISNUMBER(B1504),D1504&lt;&gt;"",ISNUMBER(Z1504),ISNUMBER(AA1504)),IF(Z1504=AA1504,0,1),0)</f>
        <v>0</v>
      </c>
      <c r="AC1504" s="80">
        <f>IF(AB1504=1,IF(AA1504&lt;Z1504,1,0),0)</f>
        <v>0</v>
      </c>
      <c r="AD1504" s="80">
        <f>IF(AB1504=1,IF(AC1504=1,1440-Z1504+AA1504,AA1504-Z1504),0)</f>
        <v>0</v>
      </c>
      <c r="AE1504" s="80">
        <f>IF(J1504="",0,IF(ISNUMBER(J1504),J1504,-1))</f>
        <v>0</v>
      </c>
      <c r="AF1504" s="80">
        <f>MIN(MAX(0,AE1504),AD1504)</f>
        <v>0</v>
      </c>
      <c r="AG1504" s="80">
        <f>MAX(0,AD1504-MAX(0,AE1504))</f>
        <v>0</v>
      </c>
      <c r="AH1504" s="80">
        <f>IF(ISNUMBER(B1504),IF(AND(INDEX(CFG_WDAYS,WEEKDAY(INT(B1504),2))="Sí",IF(D1504="proMX",COUNTIFS(FER_F,INT(B1504),FER_NLP,"Sí"),COUNTIFS(FER_F,INT(B1504),FER_NLM,"Sí"))=0),1,0),0)</f>
        <v>0</v>
      </c>
      <c r="AI1504" s="80">
        <f>IF(AC1504=1,IF(AND(INDEX(CFG_WDAYS,WEEKDAY(INT(B1504)+1,2))="Sí",IF(D1504="proMX",COUNTIFS(FER_F,INT(B1504)+1,FER_NLP,"Sí"),COUNTIFS(FER_F,INT(B1504)+1,FER_NLM,"Sí"))=0),1,0),0)</f>
        <v>0</v>
      </c>
      <c r="AJ1504" s="80">
        <f>IF(AC1504=1,1440-Z1504,AD1504)</f>
        <v>0</v>
      </c>
      <c r="AK1504" s="80">
        <f>IF(AND(AB1504=1,AH1504=1),MAX(0,MIN(IF(AC1504=1,1440,AA1504),CFG_WEM)-MAX(Z1504,CFG_WSM)),0)</f>
        <v>0</v>
      </c>
      <c r="AL1504" s="80">
        <f>IF(AND(AC1504=1,AI1504=1),MAX(0,MIN(AA1504,CFG_WEM)-CFG_WSM),0)</f>
        <v>0</v>
      </c>
      <c r="AM1504" s="80">
        <f>AK1504+AL1504</f>
        <v>0</v>
      </c>
      <c r="AN1504" s="80">
        <f>IF(CFG_BRK="Proporcional",IF(AD1504=0,0,AF1504*AM1504/AD1504),IF(CFG_BRK="Extras primero",MIN(AM1504,MAX(0,AF1504-(AD1504-AM1504))),MIN(AF1504,AM1504)))</f>
        <v>0</v>
      </c>
      <c r="AO1504" s="80">
        <f>AF1504-AN1504</f>
        <v>0</v>
      </c>
      <c r="AP1504" s="80">
        <f>AM1504-AN1504</f>
        <v>0</v>
      </c>
      <c r="AQ1504" s="80">
        <f>AD1504-AM1504-AO1504</f>
        <v>0</v>
      </c>
      <c r="AR1504" s="80">
        <f>IF(AM1504=0,0,AK1504-AN1504*AK1504/AM1504)</f>
        <v>0</v>
      </c>
      <c r="AS1504" s="80">
        <f>IF(AD1504-AM1504=0,0,(AJ1504-AK1504)-AO1504*(AJ1504-AK1504)/(AD1504-AM1504))</f>
        <v>0</v>
      </c>
      <c r="AT1504" s="80" t="str">
        <f>IF(AC1504=1,INT(B1504)+1,"")</f>
        <v/>
      </c>
      <c r="AU1504" s="80">
        <f>IF(AND(D1504="proMX",R1504="Cancelled"),0,1)</f>
        <v>1</v>
      </c>
      <c r="AV1504" s="80">
        <f>IF(AND(AB1504=1,AU1504=1),IF(COUNTIFS($D$5:D1503,D1504,$B$5:B1503,B1504,$Z$5:Z1503,Z1504,$AA$5:AA1503,AA1504,$F$5:F1503,F1504&amp;"",$AU$5:AU1503,1)&gt;0,1,0),0)</f>
        <v>0</v>
      </c>
      <c r="AW1504" s="80" t="str">
        <f>IF(AB1504=1,INT(B1504)*1440+Z1504,"")</f>
        <v/>
      </c>
      <c r="AX1504" s="80" t="str">
        <f>IF(AB1504=1,AW1504+AD1504,"")</f>
        <v/>
      </c>
      <c r="AY1504" s="80">
        <f>IF(AND(AB1504=1,AV1504=0,AU1504=1),1,0)</f>
        <v>0</v>
      </c>
      <c r="AZ1504" s="80">
        <f>IF(AY1504=1,COUNTIFS(R_Emp,D1504,R_SAbs,"&lt;"&amp;AX1504,R_EAbs,"&gt;"&amp;AW1504,R_OKey,1)-1,0)</f>
        <v>0</v>
      </c>
      <c r="BA1504" s="80">
        <f>IF(AY1504=1,COUNTIFS(R_Emp,"&lt;&gt;"&amp;D1504,R_SAbs,"&lt;"&amp;AX1504,R_EAbs,"&gt;"&amp;AW1504,R_OKey,1),0)</f>
        <v>0</v>
      </c>
      <c r="BB1504" s="80">
        <f>IF(AND(AB1504=1,D1504="proMX"),IF(AND(MOD(Z1504,CFG_BLK)=0,MOD(AA1504,CFG_BLK)=0,MOD(AG1504,CFG_BLK)=0,AG1504&gt;0),1,0),1)</f>
        <v>1</v>
      </c>
      <c r="BC1504" s="80" t="str">
        <f>IF(Y1504=0,"",IF(NOT(ISNUMBER(B1504)),"Falta fecha o fecha inválida",IF(D1504="","Falta empresa",IF(AND(D1504&lt;&gt;"Malcolm",D1504&lt;&gt;"proMX"),"Empresa inválida",IF(OR(INT(B1504)&lt;CFG_PSTART,INT(B1504)&gt;CFG_PEND),"Fecha fuera del período",IF(OR(NOT(ISNUMBER(Z1504)),NOT(ISNUMBER(AA1504))),"Falta hora inicio/fin o formato inválido",IF(AB1504=0,"Hora inicio = hora fin",IF(AE1504&lt;0,"Descanso inválido",IF(AE1504&gt;=AD1504,"Descanso ≥ duración",IF(AV1504=1,"Registro duplicado",IF(AZ1504&gt;0,"Se superpone con otro registro "&amp;D1504,IF(BB1504=0,"inicio, fin y duración neta deben ser múltiplos de "&amp;CFG_BLK&amp;" min",""))))))))))))</f>
        <v/>
      </c>
      <c r="BD1504" s="80">
        <f>IF(AND(Y1504=1,BC1504=""),1,0)</f>
        <v>0</v>
      </c>
      <c r="BE1504" s="80">
        <f>IF(AND(BD1504=1,AU1504=1),1,0)</f>
        <v>0</v>
      </c>
      <c r="BF1504" s="80" t="str">
        <f>IF(AND(D1504="proMX",BD1504=1),IF(R1504="","Draft",R1504),"")</f>
        <v/>
      </c>
      <c r="BG1504" s="80">
        <f>IF(BD1504=1,ROUND(AG1504/60,6),0)</f>
        <v>0</v>
      </c>
      <c r="BH1504" s="80">
        <f>IF(BE1504=1,ROUND(AG1504/60,6),0)</f>
        <v>0</v>
      </c>
      <c r="BI1504" s="80">
        <f>IF(BE1504=1,ROUND(AP1504/60,6),0)</f>
        <v>0</v>
      </c>
      <c r="BJ1504" s="80">
        <f>IF(BE1504=1,ROUND(AQ1504/60,6),0)</f>
        <v>0</v>
      </c>
      <c r="BK1504" s="80">
        <f>IF(BE1504=1,ROUND((AR1504+AS1504)/60,6),0)</f>
        <v>0</v>
      </c>
      <c r="BL1504" s="80">
        <f>ROUND(BH1504-BK1504,6)</f>
        <v>0</v>
      </c>
      <c r="BM1504" s="80">
        <f>IF(BE1504=1,ROUND(AR1504/60,6),0)</f>
        <v>0</v>
      </c>
      <c r="BN1504" s="80">
        <f>ROUND(BI1504-BM1504,6)</f>
        <v>0</v>
      </c>
      <c r="BO1504" s="80">
        <f>IF(BE1504=1,ROUND(AS1504/60,6),0)</f>
        <v>0</v>
      </c>
      <c r="BP1504" s="80">
        <f>ROUND(BJ1504-BO1504,6)</f>
        <v>0</v>
      </c>
      <c r="BQ1504" s="80">
        <f>IF(BE1504=1,AW1504,0)</f>
        <v>0</v>
      </c>
      <c r="BR1504" s="80">
        <f>IF(BE1504=1,AX1504,0)</f>
        <v>0</v>
      </c>
      <c r="BS1504" s="80">
        <f>IF(AND(BE1504=1,D1504="Malcolm",BA1504&gt;0),MIN(BH1504,SUMPRODUCT((R_Emp="proMX")*(R_EN&gt;0)*((R_EN-(R_EN&gt;BR1504)*(R_EN-BR1504))&gt;(R_SN+(R_SN&lt;BQ1504)*(BQ1504-R_SN)))*((R_EN-(R_EN&gt;BR1504)*(R_EN-BR1504))-(R_SN+(R_SN&lt;BQ1504)*(BQ1504-R_SN))))/60),0)</f>
        <v>0</v>
      </c>
      <c r="BT1504" s="80">
        <f>IF(AND(BE1504=1,D1504="proMX"),ROUND(BI1504*CFG_RATE+BJ1504*CFG_OTRATE,6),0)</f>
        <v>0</v>
      </c>
      <c r="BU1504" s="80">
        <f>IF(AND(BD1504=1,D1504="proMX"),ROUND(AG1504/CFG_BLK,6),0)</f>
        <v>0</v>
      </c>
      <c r="BV1504" s="80" t="str">
        <f>IF(BF1504="Approved",IF(ISNUMBER(T1504),INT(T1504),INT(B1504)),"")</f>
        <v/>
      </c>
      <c r="BW1504" s="80">
        <f>IF(ISNUMBER(B1504),IF(DB_MON="Todos",1,IF(AND(INT(B1504)&gt;=DB_MS,INT(B1504)&lt;=DB_ME),1,0)),0)</f>
        <v>0</v>
      </c>
      <c r="BX1504" s="80">
        <f>IF(DB_PROJ="Todos",1,IF(E1504&amp;""=DB_PROJ&amp;"",1,0))</f>
        <v>1</v>
      </c>
      <c r="BY1504" s="80">
        <f>BW1504*BX1504</f>
        <v>0</v>
      </c>
      <c r="BZ1504" s="80" t="str">
        <f>IF(Y1504=1,F1504&amp;IF(AND(F1504&amp;""&lt;&gt;"",E1504&amp;""&lt;&gt;"")," · ","")&amp;E1504,"")</f>
        <v/>
      </c>
      <c r="CA1504" s="80" t="str">
        <f>IF(AND(BD1504=1,E1504&amp;""&lt;&gt;""),IF(COUNTIFS($E$5:E1503,E1504,$BD$5:BD1503,1)=0,MAX($CA$5:CA1503)+1,""),"")</f>
        <v/>
      </c>
      <c r="CB1504" s="80" t="str">
        <f>IF(AND(BE1504=1,D1504="Malcolm",E1504&amp;""&lt;&gt;""),IF(COUNTIFS($D$5:D1503,"Malcolm",$E$5:E1503,E1504,$BE$5:BE1503,1)=0,MAX($CB$5:CB1503)+1,""),"")</f>
        <v/>
      </c>
      <c r="CC1504" s="80" t="str">
        <f>IF(AND(BD1504=1,D1504="proMX",E1504&amp;""&lt;&gt;""),IF(COUNTIFS($D$5:D1503,"proMX",$E$5:E1503,E1504,$BD$5:BD1503,1)=0,MAX($CC$5:CC1503)+1,""),"")</f>
        <v/>
      </c>
      <c r="CD1504" s="80" t="str">
        <f>IF(AND(BE1504=1,D1504="Malcolm",F1504&amp;""&lt;&gt;""),IF(COUNTIFS($D$5:D1503,"Malcolm",$F$5:F1503,F1504,$BE$5:BE1503,1)=0,MAX($CD$5:CD1503)+1,""),"")</f>
        <v/>
      </c>
      <c r="CE1504" s="80" t="str">
        <f>IF(AND(BD1504=1,D1504="proMX",F1504&amp;""&lt;&gt;""),IF(COUNTIFS($D$5:D1503,"proMX",$F$5:F1503,F1504,$BD$5:BD1503,1)=0,MAX($CE$5:CE1503)+1,""),"")</f>
        <v/>
      </c>
      <c r="CF1504" s="80" t="str">
        <f>IF(AND(D1504="proMX",BD1504=1),IF(OR(BF1504="Draft",BF1504="Submitted",BF1504="Returned",BF1504="Recall Requested"),MAX($CF$5:CF1503)+1,""),"")</f>
        <v/>
      </c>
      <c r="CG1504" s="80">
        <f>IF(BD1504=0,0,IF(D1504="Malcolm",1,MATCH(BF1504,{"Draft","Submitted","Approved","Returned","Recall Requested","Cancelled"},0)+1))</f>
        <v>0</v>
      </c>
      <c r="CH1504" s="80">
        <f>IF(AND(BF1504="Submitted",ISNUMBER(V1504)),IF(V1504&gt;CFG_MAXD,1,0),0)</f>
        <v>0</v>
      </c>
    </row>
    <row r="1505">
      <c r="A1505" s="71" t="str">
        <f>IF(Y1505=1,ROW()-5,"")</f>
        <v/>
      </c>
      <c r="B1505" s="72" t="n"/>
      <c r="C1505" s="71" t="str">
        <f>IF(ISNUMBER(B1505),CHOOSE(WEEKDAY(B1505,2),"Lun","Mar","Mié","Jue","Vie","Sáb","Dom"),"")</f>
        <v/>
      </c>
      <c r="D1505" s="73" t="n"/>
      <c r="E1505" s="74" t="n"/>
      <c r="F1505" s="74" t="n"/>
      <c r="G1505" s="74" t="n"/>
      <c r="H1505" s="75" t="n"/>
      <c r="I1505" s="75" t="n"/>
      <c r="J1505" s="76" t="n"/>
      <c r="K1505" s="77" t="str">
        <f>IF(AB1505=1,ROUND(AG1505/60,4),"")</f>
        <v/>
      </c>
      <c r="L1505" s="77" t="str">
        <f>IF(BD1505=1,ROUND(AP1505/60,4),"")</f>
        <v/>
      </c>
      <c r="M1505" s="77" t="str">
        <f>IF(BD1505=1,ROUND(AQ1505/60,4),"")</f>
        <v/>
      </c>
      <c r="N1505" s="71" t="str">
        <f>IF(AND(D1505="proMX",AB1505=1),ROUND(AG1505/CFG_BLK,2),"")</f>
        <v/>
      </c>
      <c r="O1505" s="77" t="str">
        <f>IF(D1505="proMX",IF(BD1505=1,ROUND(AG1505/60,4),0),"")</f>
        <v/>
      </c>
      <c r="P1505" s="78" t="str">
        <f>IF(Y1505=0,"",IF(BD1505=1,"OK",IF(D1505="proMX","Revisar bloques: ","Revisar: ")&amp;BC1505))</f>
        <v/>
      </c>
      <c r="Q1505" s="78" t="str">
        <f>IF(NOT(ISNUMBER(B1505)),"",IF(COUNTIFS(FER_F,INT(B1505))&gt;0,"Feriado"&amp;IF(AH1505=1," (laborable)"," (no laborable)"),IF(AH1505=1,"Laborable",IF(WEEKDAY(B1505,2)&gt;5,"Fin de semana","No laborable"))))</f>
        <v/>
      </c>
      <c r="R1505" s="73" t="n"/>
      <c r="S1505" s="72" t="n"/>
      <c r="T1505" s="72" t="n"/>
      <c r="U1505" s="74" t="n"/>
      <c r="V1505" s="79" t="str">
        <f>IF(AND(D1505="proMX",OR(R1505="Submitted",R1505="Recall Requested"),ISNUMBER(S1505)),CFG_TODAY-INT(S1505),"")</f>
        <v/>
      </c>
      <c r="W1505" s="78" t="str">
        <f>IF(BD1505=0,"",IF(BA1505&gt;0,"⚠ Se superpone con un registro de la otra empresa",IF(D1505="Malcolm",IF(COUNTA(R1505,S1505,T1505)&gt;0,"Estado/fechas proMX se ignoran en Malcolm",""),IF(BF1505="Cancelled","Cancelado: excluido de totales",IF(R1505="","Sin estado: se trata como Draft",IF(BF1505="Submitted",IF(ISNUMBER(V1505),IF(V1505&gt;CFG_MAXD,"⚠ "&amp;V1505&amp;" días en Submitted (máx. "&amp;CFG_MAXD&amp;")",""),"Falta fecha de envío"),IF(BF1505="Returned","⚠ Devuelto: corregir y reenviar",IF(BF1505="Recall Requested","Retirada solicitada: pendiente",IF(AND(BF1505="Approved",NOT(ISNUMBER(T1505))),"Falta fecha de aprobación",IF(AND(ISNUMBER(S1505),ISNUMBER(T1505),T1505&lt;S1505),"Aprobación anterior al envío","")))))))))</f>
        <v/>
      </c>
      <c r="Y1505" s="80">
        <f>IF(COUNTA(B1505,D1505,E1505,F1505,G1505,H1505,I1505,J1505,R1505,S1505,T1505)&gt;0,1,0)</f>
        <v>0</v>
      </c>
      <c r="Z1505" s="80" t="str">
        <f>IF(AND(ISNUMBER(H1505),H1505&gt;=0,H1505&lt;1),ROUND(H1505*1440,0),"")</f>
        <v/>
      </c>
      <c r="AA1505" s="80" t="str">
        <f>IF(AND(ISNUMBER(I1505),I1505&gt;=0,I1505&lt;1),ROUND(I1505*1440,0),"")</f>
        <v/>
      </c>
      <c r="AB1505" s="80">
        <f>IF(AND(ISNUMBER(B1505),D1505&lt;&gt;"",ISNUMBER(Z1505),ISNUMBER(AA1505)),IF(Z1505=AA1505,0,1),0)</f>
        <v>0</v>
      </c>
      <c r="AC1505" s="80">
        <f>IF(AB1505=1,IF(AA1505&lt;Z1505,1,0),0)</f>
        <v>0</v>
      </c>
      <c r="AD1505" s="80">
        <f>IF(AB1505=1,IF(AC1505=1,1440-Z1505+AA1505,AA1505-Z1505),0)</f>
        <v>0</v>
      </c>
      <c r="AE1505" s="80">
        <f>IF(J1505="",0,IF(ISNUMBER(J1505),J1505,-1))</f>
        <v>0</v>
      </c>
      <c r="AF1505" s="80">
        <f>MIN(MAX(0,AE1505),AD1505)</f>
        <v>0</v>
      </c>
      <c r="AG1505" s="80">
        <f>MAX(0,AD1505-MAX(0,AE1505))</f>
        <v>0</v>
      </c>
      <c r="AH1505" s="80">
        <f>IF(ISNUMBER(B1505),IF(AND(INDEX(CFG_WDAYS,WEEKDAY(INT(B1505),2))="Sí",IF(D1505="proMX",COUNTIFS(FER_F,INT(B1505),FER_NLP,"Sí"),COUNTIFS(FER_F,INT(B1505),FER_NLM,"Sí"))=0),1,0),0)</f>
        <v>0</v>
      </c>
      <c r="AI1505" s="80">
        <f>IF(AC1505=1,IF(AND(INDEX(CFG_WDAYS,WEEKDAY(INT(B1505)+1,2))="Sí",IF(D1505="proMX",COUNTIFS(FER_F,INT(B1505)+1,FER_NLP,"Sí"),COUNTIFS(FER_F,INT(B1505)+1,FER_NLM,"Sí"))=0),1,0),0)</f>
        <v>0</v>
      </c>
      <c r="AJ1505" s="80">
        <f>IF(AC1505=1,1440-Z1505,AD1505)</f>
        <v>0</v>
      </c>
      <c r="AK1505" s="80">
        <f>IF(AND(AB1505=1,AH1505=1),MAX(0,MIN(IF(AC1505=1,1440,AA1505),CFG_WEM)-MAX(Z1505,CFG_WSM)),0)</f>
        <v>0</v>
      </c>
      <c r="AL1505" s="80">
        <f>IF(AND(AC1505=1,AI1505=1),MAX(0,MIN(AA1505,CFG_WEM)-CFG_WSM),0)</f>
        <v>0</v>
      </c>
      <c r="AM1505" s="80">
        <f>AK1505+AL1505</f>
        <v>0</v>
      </c>
      <c r="AN1505" s="80">
        <f>IF(CFG_BRK="Proporcional",IF(AD1505=0,0,AF1505*AM1505/AD1505),IF(CFG_BRK="Extras primero",MIN(AM1505,MAX(0,AF1505-(AD1505-AM1505))),MIN(AF1505,AM1505)))</f>
        <v>0</v>
      </c>
      <c r="AO1505" s="80">
        <f>AF1505-AN1505</f>
        <v>0</v>
      </c>
      <c r="AP1505" s="80">
        <f>AM1505-AN1505</f>
        <v>0</v>
      </c>
      <c r="AQ1505" s="80">
        <f>AD1505-AM1505-AO1505</f>
        <v>0</v>
      </c>
      <c r="AR1505" s="80">
        <f>IF(AM1505=0,0,AK1505-AN1505*AK1505/AM1505)</f>
        <v>0</v>
      </c>
      <c r="AS1505" s="80">
        <f>IF(AD1505-AM1505=0,0,(AJ1505-AK1505)-AO1505*(AJ1505-AK1505)/(AD1505-AM1505))</f>
        <v>0</v>
      </c>
      <c r="AT1505" s="80" t="str">
        <f>IF(AC1505=1,INT(B1505)+1,"")</f>
        <v/>
      </c>
      <c r="AU1505" s="80">
        <f>IF(AND(D1505="proMX",R1505="Cancelled"),0,1)</f>
        <v>1</v>
      </c>
      <c r="AV1505" s="80">
        <f>IF(AND(AB1505=1,AU1505=1),IF(COUNTIFS($D$5:D1504,D1505,$B$5:B1504,B1505,$Z$5:Z1504,Z1505,$AA$5:AA1504,AA1505,$F$5:F1504,F1505&amp;"",$AU$5:AU1504,1)&gt;0,1,0),0)</f>
        <v>0</v>
      </c>
      <c r="AW1505" s="80" t="str">
        <f>IF(AB1505=1,INT(B1505)*1440+Z1505,"")</f>
        <v/>
      </c>
      <c r="AX1505" s="80" t="str">
        <f>IF(AB1505=1,AW1505+AD1505,"")</f>
        <v/>
      </c>
      <c r="AY1505" s="80">
        <f>IF(AND(AB1505=1,AV1505=0,AU1505=1),1,0)</f>
        <v>0</v>
      </c>
      <c r="AZ1505" s="80">
        <f>IF(AY1505=1,COUNTIFS(R_Emp,D1505,R_SAbs,"&lt;"&amp;AX1505,R_EAbs,"&gt;"&amp;AW1505,R_OKey,1)-1,0)</f>
        <v>0</v>
      </c>
      <c r="BA1505" s="80">
        <f>IF(AY1505=1,COUNTIFS(R_Emp,"&lt;&gt;"&amp;D1505,R_SAbs,"&lt;"&amp;AX1505,R_EAbs,"&gt;"&amp;AW1505,R_OKey,1),0)</f>
        <v>0</v>
      </c>
      <c r="BB1505" s="80">
        <f>IF(AND(AB1505=1,D1505="proMX"),IF(AND(MOD(Z1505,CFG_BLK)=0,MOD(AA1505,CFG_BLK)=0,MOD(AG1505,CFG_BLK)=0,AG1505&gt;0),1,0),1)</f>
        <v>1</v>
      </c>
      <c r="BC1505" s="80" t="str">
        <f>IF(Y1505=0,"",IF(NOT(ISNUMBER(B1505)),"Falta fecha o fecha inválida",IF(D1505="","Falta empresa",IF(AND(D1505&lt;&gt;"Malcolm",D1505&lt;&gt;"proMX"),"Empresa inválida",IF(OR(INT(B1505)&lt;CFG_PSTART,INT(B1505)&gt;CFG_PEND),"Fecha fuera del período",IF(OR(NOT(ISNUMBER(Z1505)),NOT(ISNUMBER(AA1505))),"Falta hora inicio/fin o formato inválido",IF(AB1505=0,"Hora inicio = hora fin",IF(AE1505&lt;0,"Descanso inválido",IF(AE1505&gt;=AD1505,"Descanso ≥ duración",IF(AV1505=1,"Registro duplicado",IF(AZ1505&gt;0,"Se superpone con otro registro "&amp;D1505,IF(BB1505=0,"inicio, fin y duración neta deben ser múltiplos de "&amp;CFG_BLK&amp;" min",""))))))))))))</f>
        <v/>
      </c>
      <c r="BD1505" s="80">
        <f>IF(AND(Y1505=1,BC1505=""),1,0)</f>
        <v>0</v>
      </c>
      <c r="BE1505" s="80">
        <f>IF(AND(BD1505=1,AU1505=1),1,0)</f>
        <v>0</v>
      </c>
      <c r="BF1505" s="80" t="str">
        <f>IF(AND(D1505="proMX",BD1505=1),IF(R1505="","Draft",R1505),"")</f>
        <v/>
      </c>
      <c r="BG1505" s="80">
        <f>IF(BD1505=1,ROUND(AG1505/60,6),0)</f>
        <v>0</v>
      </c>
      <c r="BH1505" s="80">
        <f>IF(BE1505=1,ROUND(AG1505/60,6),0)</f>
        <v>0</v>
      </c>
      <c r="BI1505" s="80">
        <f>IF(BE1505=1,ROUND(AP1505/60,6),0)</f>
        <v>0</v>
      </c>
      <c r="BJ1505" s="80">
        <f>IF(BE1505=1,ROUND(AQ1505/60,6),0)</f>
        <v>0</v>
      </c>
      <c r="BK1505" s="80">
        <f>IF(BE1505=1,ROUND((AR1505+AS1505)/60,6),0)</f>
        <v>0</v>
      </c>
      <c r="BL1505" s="80">
        <f>ROUND(BH1505-BK1505,6)</f>
        <v>0</v>
      </c>
      <c r="BM1505" s="80">
        <f>IF(BE1505=1,ROUND(AR1505/60,6),0)</f>
        <v>0</v>
      </c>
      <c r="BN1505" s="80">
        <f>ROUND(BI1505-BM1505,6)</f>
        <v>0</v>
      </c>
      <c r="BO1505" s="80">
        <f>IF(BE1505=1,ROUND(AS1505/60,6),0)</f>
        <v>0</v>
      </c>
      <c r="BP1505" s="80">
        <f>ROUND(BJ1505-BO1505,6)</f>
        <v>0</v>
      </c>
      <c r="BQ1505" s="80">
        <f>IF(BE1505=1,AW1505,0)</f>
        <v>0</v>
      </c>
      <c r="BR1505" s="80">
        <f>IF(BE1505=1,AX1505,0)</f>
        <v>0</v>
      </c>
      <c r="BS1505" s="80">
        <f>IF(AND(BE1505=1,D1505="Malcolm",BA1505&gt;0),MIN(BH1505,SUMPRODUCT((R_Emp="proMX")*(R_EN&gt;0)*((R_EN-(R_EN&gt;BR1505)*(R_EN-BR1505))&gt;(R_SN+(R_SN&lt;BQ1505)*(BQ1505-R_SN)))*((R_EN-(R_EN&gt;BR1505)*(R_EN-BR1505))-(R_SN+(R_SN&lt;BQ1505)*(BQ1505-R_SN))))/60),0)</f>
        <v>0</v>
      </c>
      <c r="BT1505" s="80">
        <f>IF(AND(BE1505=1,D1505="proMX"),ROUND(BI1505*CFG_RATE+BJ1505*CFG_OTRATE,6),0)</f>
        <v>0</v>
      </c>
      <c r="BU1505" s="80">
        <f>IF(AND(BD1505=1,D1505="proMX"),ROUND(AG1505/CFG_BLK,6),0)</f>
        <v>0</v>
      </c>
      <c r="BV1505" s="80" t="str">
        <f>IF(BF1505="Approved",IF(ISNUMBER(T1505),INT(T1505),INT(B1505)),"")</f>
        <v/>
      </c>
      <c r="BW1505" s="80">
        <f>IF(ISNUMBER(B1505),IF(DB_MON="Todos",1,IF(AND(INT(B1505)&gt;=DB_MS,INT(B1505)&lt;=DB_ME),1,0)),0)</f>
        <v>0</v>
      </c>
      <c r="BX1505" s="80">
        <f>IF(DB_PROJ="Todos",1,IF(E1505&amp;""=DB_PROJ&amp;"",1,0))</f>
        <v>1</v>
      </c>
      <c r="BY1505" s="80">
        <f>BW1505*BX1505</f>
        <v>0</v>
      </c>
      <c r="BZ1505" s="80" t="str">
        <f>IF(Y1505=1,F1505&amp;IF(AND(F1505&amp;""&lt;&gt;"",E1505&amp;""&lt;&gt;"")," · ","")&amp;E1505,"")</f>
        <v/>
      </c>
      <c r="CA1505" s="80" t="str">
        <f>IF(AND(BD1505=1,E1505&amp;""&lt;&gt;""),IF(COUNTIFS($E$5:E1504,E1505,$BD$5:BD1504,1)=0,MAX($CA$5:CA1504)+1,""),"")</f>
        <v/>
      </c>
      <c r="CB1505" s="80" t="str">
        <f>IF(AND(BE1505=1,D1505="Malcolm",E1505&amp;""&lt;&gt;""),IF(COUNTIFS($D$5:D1504,"Malcolm",$E$5:E1504,E1505,$BE$5:BE1504,1)=0,MAX($CB$5:CB1504)+1,""),"")</f>
        <v/>
      </c>
      <c r="CC1505" s="80" t="str">
        <f>IF(AND(BD1505=1,D1505="proMX",E1505&amp;""&lt;&gt;""),IF(COUNTIFS($D$5:D1504,"proMX",$E$5:E1504,E1505,$BD$5:BD1504,1)=0,MAX($CC$5:CC1504)+1,""),"")</f>
        <v/>
      </c>
      <c r="CD1505" s="80" t="str">
        <f>IF(AND(BE1505=1,D1505="Malcolm",F1505&amp;""&lt;&gt;""),IF(COUNTIFS($D$5:D1504,"Malcolm",$F$5:F1504,F1505,$BE$5:BE1504,1)=0,MAX($CD$5:CD1504)+1,""),"")</f>
        <v/>
      </c>
      <c r="CE1505" s="80" t="str">
        <f>IF(AND(BD1505=1,D1505="proMX",F1505&amp;""&lt;&gt;""),IF(COUNTIFS($D$5:D1504,"proMX",$F$5:F1504,F1505,$BD$5:BD1504,1)=0,MAX($CE$5:CE1504)+1,""),"")</f>
        <v/>
      </c>
      <c r="CF1505" s="80" t="str">
        <f>IF(AND(D1505="proMX",BD1505=1),IF(OR(BF1505="Draft",BF1505="Submitted",BF1505="Returned",BF1505="Recall Requested"),MAX($CF$5:CF1504)+1,""),"")</f>
        <v/>
      </c>
      <c r="CG1505" s="80">
        <f>IF(BD1505=0,0,IF(D1505="Malcolm",1,MATCH(BF1505,{"Draft","Submitted","Approved","Returned","Recall Requested","Cancelled"},0)+1))</f>
        <v>0</v>
      </c>
      <c r="CH1505" s="80">
        <f>IF(AND(BF1505="Submitted",ISNUMBER(V1505)),IF(V1505&gt;CFG_MAXD,1,0),0)</f>
        <v>0</v>
      </c>
    </row>
    <row r="1506">
      <c r="A1506" s="81" t="n"/>
      <c r="B1506" s="81" t="n"/>
      <c r="C1506" s="81" t="n"/>
      <c r="D1506" s="81" t="n"/>
      <c r="E1506" s="81" t="n"/>
      <c r="F1506" s="81" t="n"/>
      <c r="G1506" s="81" t="n"/>
      <c r="H1506" s="81" t="n"/>
      <c r="I1506" s="81" t="n"/>
      <c r="J1506" s="81" t="n"/>
      <c r="K1506" s="81" t="n"/>
      <c r="L1506" s="81" t="n"/>
      <c r="M1506" s="81" t="n"/>
      <c r="N1506" s="81" t="n"/>
      <c r="O1506" s="81" t="n"/>
      <c r="P1506" s="81" t="n"/>
      <c r="Q1506" s="81" t="n"/>
      <c r="R1506" s="81" t="n"/>
      <c r="S1506" s="81" t="n"/>
      <c r="T1506" s="81" t="n"/>
      <c r="U1506" s="81" t="n"/>
      <c r="V1506" s="81" t="n"/>
      <c r="W1506" s="81" t="n"/>
      <c r="X1506" s="81" t="n"/>
      <c r="Y1506" s="81" t="n"/>
      <c r="Z1506" s="81" t="n"/>
      <c r="AA1506" s="81" t="n"/>
      <c r="AB1506" s="81" t="n"/>
      <c r="AC1506" s="81" t="n"/>
      <c r="AD1506" s="81" t="n"/>
      <c r="AE1506" s="81" t="n"/>
      <c r="AF1506" s="81" t="n"/>
      <c r="AG1506" s="81" t="n"/>
      <c r="AH1506" s="81" t="n"/>
      <c r="AI1506" s="81" t="n"/>
      <c r="AJ1506" s="81" t="n"/>
      <c r="AK1506" s="81" t="n"/>
      <c r="AL1506" s="81" t="n"/>
      <c r="AM1506" s="81" t="n"/>
      <c r="AN1506" s="81" t="n"/>
      <c r="AO1506" s="81" t="n"/>
      <c r="AP1506" s="81" t="n"/>
      <c r="AQ1506" s="81" t="n"/>
      <c r="AR1506" s="81" t="n"/>
      <c r="AS1506" s="81" t="n"/>
      <c r="AT1506" s="81" t="n"/>
      <c r="AU1506" s="81" t="n"/>
      <c r="AV1506" s="81" t="n"/>
      <c r="AW1506" s="81" t="n"/>
      <c r="AX1506" s="81" t="n"/>
      <c r="AY1506" s="81" t="n"/>
      <c r="AZ1506" s="81" t="n"/>
      <c r="BA1506" s="81" t="n"/>
      <c r="BB1506" s="81" t="n"/>
      <c r="BC1506" s="81" t="n"/>
      <c r="BD1506" s="81" t="n"/>
      <c r="BE1506" s="81" t="n"/>
      <c r="BF1506" s="81" t="n"/>
      <c r="BG1506" s="81" t="n"/>
      <c r="BH1506" s="81" t="n"/>
      <c r="BI1506" s="81" t="n"/>
      <c r="BJ1506" s="81" t="n"/>
      <c r="BK1506" s="81" t="n"/>
      <c r="BL1506" s="81" t="n"/>
      <c r="BM1506" s="81" t="n"/>
      <c r="BN1506" s="81" t="n"/>
      <c r="BO1506" s="81" t="n"/>
      <c r="BP1506" s="81" t="n"/>
      <c r="BQ1506" s="81" t="n"/>
      <c r="BR1506" s="81" t="n"/>
      <c r="BS1506" s="81" t="n"/>
      <c r="BT1506" s="81" t="n"/>
      <c r="BU1506" s="81" t="n"/>
      <c r="BV1506" s="81" t="n"/>
      <c r="BW1506" s="81" t="n"/>
      <c r="BX1506" s="81" t="n"/>
      <c r="BY1506" s="81" t="n"/>
      <c r="BZ1506" s="81" t="n"/>
      <c r="CA1506" s="81" t="n"/>
      <c r="CB1506" s="81" t="n"/>
      <c r="CC1506" s="81" t="n"/>
      <c r="CD1506" s="81" t="n"/>
      <c r="CE1506" s="81" t="n"/>
      <c r="CF1506" s="81" t="n"/>
      <c r="CG1506" s="81" t="n"/>
      <c r="CH1506" s="81" t="n"/>
    </row>
    <row r="1507">
      <c r="A1507" s="81" t="n"/>
      <c r="B1507" s="81" t="n"/>
      <c r="C1507" s="81" t="n"/>
      <c r="D1507" s="81" t="n"/>
      <c r="E1507" s="81" t="n"/>
      <c r="F1507" s="81" t="n"/>
      <c r="G1507" s="81" t="n"/>
      <c r="H1507" s="81" t="n"/>
      <c r="I1507" s="81" t="n"/>
      <c r="J1507" s="81" t="n"/>
      <c r="K1507" s="81" t="n"/>
      <c r="L1507" s="81" t="n"/>
      <c r="M1507" s="81" t="n"/>
      <c r="N1507" s="81" t="n"/>
      <c r="O1507" s="81" t="n"/>
      <c r="P1507" s="81" t="n"/>
      <c r="Q1507" s="81" t="n"/>
      <c r="R1507" s="81" t="n"/>
      <c r="S1507" s="81" t="n"/>
      <c r="T1507" s="81" t="n"/>
      <c r="U1507" s="81" t="n"/>
      <c r="V1507" s="81" t="n"/>
      <c r="W1507" s="81" t="n"/>
      <c r="X1507" s="81" t="n"/>
      <c r="Y1507" s="81" t="n"/>
      <c r="Z1507" s="81" t="n"/>
      <c r="AA1507" s="81" t="n"/>
      <c r="AB1507" s="81" t="n"/>
      <c r="AC1507" s="81" t="n"/>
      <c r="AD1507" s="81" t="n"/>
      <c r="AE1507" s="81" t="n"/>
      <c r="AF1507" s="81" t="n"/>
      <c r="AG1507" s="81" t="n"/>
      <c r="AH1507" s="81" t="n"/>
      <c r="AI1507" s="81" t="n"/>
      <c r="AJ1507" s="81" t="n"/>
      <c r="AK1507" s="81" t="n"/>
      <c r="AL1507" s="81" t="n"/>
      <c r="AM1507" s="81" t="n"/>
      <c r="AN1507" s="81" t="n"/>
      <c r="AO1507" s="81" t="n"/>
      <c r="AP1507" s="81" t="n"/>
      <c r="AQ1507" s="81" t="n"/>
      <c r="AR1507" s="81" t="n"/>
      <c r="AS1507" s="81" t="n"/>
      <c r="AT1507" s="81" t="n"/>
      <c r="AU1507" s="81" t="n"/>
      <c r="AV1507" s="81" t="n"/>
      <c r="AW1507" s="81" t="n"/>
      <c r="AX1507" s="81" t="n"/>
      <c r="AY1507" s="81" t="n"/>
      <c r="AZ1507" s="81" t="n"/>
      <c r="BA1507" s="81" t="n"/>
      <c r="BB1507" s="81" t="n"/>
      <c r="BC1507" s="81" t="n"/>
      <c r="BD1507" s="81" t="n"/>
      <c r="BE1507" s="81" t="n"/>
      <c r="BF1507" s="81" t="n"/>
      <c r="BG1507" s="81" t="n"/>
      <c r="BH1507" s="81" t="n"/>
      <c r="BI1507" s="81" t="n"/>
      <c r="BJ1507" s="81" t="n"/>
      <c r="BK1507" s="81" t="n"/>
      <c r="BL1507" s="81" t="n"/>
      <c r="BM1507" s="81" t="n"/>
      <c r="BN1507" s="81" t="n"/>
      <c r="BO1507" s="81" t="n"/>
      <c r="BP1507" s="81" t="n"/>
      <c r="BQ1507" s="81" t="n"/>
      <c r="BR1507" s="81" t="n"/>
      <c r="BS1507" s="81" t="n"/>
      <c r="BT1507" s="81" t="n"/>
      <c r="BU1507" s="81" t="n"/>
      <c r="BV1507" s="81" t="n"/>
      <c r="BW1507" s="81" t="n"/>
      <c r="BX1507" s="81" t="n"/>
      <c r="BY1507" s="81" t="n"/>
      <c r="BZ1507" s="81" t="n"/>
      <c r="CA1507" s="81" t="n"/>
      <c r="CB1507" s="81" t="n"/>
      <c r="CC1507" s="81" t="n"/>
      <c r="CD1507" s="81" t="n"/>
      <c r="CE1507" s="81" t="n"/>
      <c r="CF1507" s="81" t="n"/>
      <c r="CG1507" s="81" t="n"/>
      <c r="CH1507" s="81" t="n"/>
    </row>
    <row r="1508">
      <c r="A1508" s="81" t="n"/>
      <c r="B1508" s="81" t="n"/>
      <c r="C1508" s="81" t="n"/>
      <c r="D1508" s="81" t="n"/>
      <c r="E1508" s="81" t="n"/>
      <c r="F1508" s="81" t="n"/>
      <c r="G1508" s="81" t="n"/>
      <c r="H1508" s="81" t="n"/>
      <c r="I1508" s="81" t="n"/>
      <c r="J1508" s="81" t="n"/>
      <c r="K1508" s="81" t="n"/>
      <c r="L1508" s="81" t="n"/>
      <c r="M1508" s="81" t="n"/>
      <c r="N1508" s="81" t="n"/>
      <c r="O1508" s="81" t="n"/>
      <c r="P1508" s="81" t="n"/>
      <c r="Q1508" s="81" t="n"/>
      <c r="R1508" s="81" t="n"/>
      <c r="S1508" s="81" t="n"/>
      <c r="T1508" s="81" t="n"/>
      <c r="U1508" s="81" t="n"/>
      <c r="V1508" s="81" t="n"/>
      <c r="W1508" s="81" t="n"/>
      <c r="X1508" s="81" t="n"/>
      <c r="Y1508" s="81" t="n"/>
      <c r="Z1508" s="81" t="n"/>
      <c r="AA1508" s="81" t="n"/>
      <c r="AB1508" s="81" t="n"/>
      <c r="AC1508" s="81" t="n"/>
      <c r="AD1508" s="81" t="n"/>
      <c r="AE1508" s="81" t="n"/>
      <c r="AF1508" s="81" t="n"/>
      <c r="AG1508" s="81" t="n"/>
      <c r="AH1508" s="81" t="n"/>
      <c r="AI1508" s="81" t="n"/>
      <c r="AJ1508" s="81" t="n"/>
      <c r="AK1508" s="81" t="n"/>
      <c r="AL1508" s="81" t="n"/>
      <c r="AM1508" s="81" t="n"/>
      <c r="AN1508" s="81" t="n"/>
      <c r="AO1508" s="81" t="n"/>
      <c r="AP1508" s="81" t="n"/>
      <c r="AQ1508" s="81" t="n"/>
      <c r="AR1508" s="81" t="n"/>
      <c r="AS1508" s="81" t="n"/>
      <c r="AT1508" s="81" t="n"/>
      <c r="AU1508" s="81" t="n"/>
      <c r="AV1508" s="81" t="n"/>
      <c r="AW1508" s="81" t="n"/>
      <c r="AX1508" s="81" t="n"/>
      <c r="AY1508" s="81" t="n"/>
      <c r="AZ1508" s="81" t="n"/>
      <c r="BA1508" s="81" t="n"/>
      <c r="BB1508" s="81" t="n"/>
      <c r="BC1508" s="81" t="n"/>
      <c r="BD1508" s="81" t="n"/>
      <c r="BE1508" s="81" t="n"/>
      <c r="BF1508" s="81" t="n"/>
      <c r="BG1508" s="81" t="n"/>
      <c r="BH1508" s="81" t="n"/>
      <c r="BI1508" s="81" t="n"/>
      <c r="BJ1508" s="81" t="n"/>
      <c r="BK1508" s="81" t="n"/>
      <c r="BL1508" s="81" t="n"/>
      <c r="BM1508" s="81" t="n"/>
      <c r="BN1508" s="81" t="n"/>
      <c r="BO1508" s="81" t="n"/>
      <c r="BP1508" s="81" t="n"/>
      <c r="BQ1508" s="81" t="n"/>
      <c r="BR1508" s="81" t="n"/>
      <c r="BS1508" s="81" t="n"/>
      <c r="BT1508" s="81" t="n"/>
      <c r="BU1508" s="81" t="n"/>
      <c r="BV1508" s="81" t="n"/>
      <c r="BW1508" s="81" t="n"/>
      <c r="BX1508" s="81" t="n"/>
      <c r="BY1508" s="81" t="n"/>
      <c r="BZ1508" s="81" t="n"/>
      <c r="CA1508" s="81" t="n"/>
      <c r="CB1508" s="81" t="n"/>
      <c r="CC1508" s="81" t="n"/>
      <c r="CD1508" s="81" t="n"/>
      <c r="CE1508" s="81" t="n"/>
      <c r="CF1508" s="81" t="n"/>
      <c r="CG1508" s="81" t="n"/>
      <c r="CH1508" s="81" t="n"/>
    </row>
    <row r="1509">
      <c r="A1509" s="81" t="n"/>
      <c r="B1509" s="81" t="n"/>
      <c r="C1509" s="81" t="n"/>
      <c r="D1509" s="81" t="n"/>
      <c r="E1509" s="81" t="n"/>
      <c r="F1509" s="81" t="n"/>
      <c r="G1509" s="81" t="n"/>
      <c r="H1509" s="81" t="n"/>
      <c r="I1509" s="81" t="n"/>
      <c r="J1509" s="81" t="n"/>
      <c r="K1509" s="81" t="n"/>
      <c r="L1509" s="81" t="n"/>
      <c r="M1509" s="81" t="n"/>
      <c r="N1509" s="81" t="n"/>
      <c r="O1509" s="81" t="n"/>
      <c r="P1509" s="81" t="n"/>
      <c r="Q1509" s="81" t="n"/>
      <c r="R1509" s="81" t="n"/>
      <c r="S1509" s="81" t="n"/>
      <c r="T1509" s="81" t="n"/>
      <c r="U1509" s="81" t="n"/>
      <c r="V1509" s="81" t="n"/>
      <c r="W1509" s="81" t="n"/>
      <c r="X1509" s="81" t="n"/>
      <c r="Y1509" s="81" t="n"/>
      <c r="Z1509" s="81" t="n"/>
      <c r="AA1509" s="81" t="n"/>
      <c r="AB1509" s="81" t="n"/>
      <c r="AC1509" s="81" t="n"/>
      <c r="AD1509" s="81" t="n"/>
      <c r="AE1509" s="81" t="n"/>
      <c r="AF1509" s="81" t="n"/>
      <c r="AG1509" s="81" t="n"/>
      <c r="AH1509" s="81" t="n"/>
      <c r="AI1509" s="81" t="n"/>
      <c r="AJ1509" s="81" t="n"/>
      <c r="AK1509" s="81" t="n"/>
      <c r="AL1509" s="81" t="n"/>
      <c r="AM1509" s="81" t="n"/>
      <c r="AN1509" s="81" t="n"/>
      <c r="AO1509" s="81" t="n"/>
      <c r="AP1509" s="81" t="n"/>
      <c r="AQ1509" s="81" t="n"/>
      <c r="AR1509" s="81" t="n"/>
      <c r="AS1509" s="81" t="n"/>
      <c r="AT1509" s="81" t="n"/>
      <c r="AU1509" s="81" t="n"/>
      <c r="AV1509" s="81" t="n"/>
      <c r="AW1509" s="81" t="n"/>
      <c r="AX1509" s="81" t="n"/>
      <c r="AY1509" s="81" t="n"/>
      <c r="AZ1509" s="81" t="n"/>
      <c r="BA1509" s="81" t="n"/>
      <c r="BB1509" s="81" t="n"/>
      <c r="BC1509" s="81" t="n"/>
      <c r="BD1509" s="81" t="n"/>
      <c r="BE1509" s="81" t="n"/>
      <c r="BF1509" s="81" t="n"/>
      <c r="BG1509" s="81" t="n"/>
      <c r="BH1509" s="81" t="n"/>
      <c r="BI1509" s="81" t="n"/>
      <c r="BJ1509" s="81" t="n"/>
      <c r="BK1509" s="81" t="n"/>
      <c r="BL1509" s="81" t="n"/>
      <c r="BM1509" s="81" t="n"/>
      <c r="BN1509" s="81" t="n"/>
      <c r="BO1509" s="81" t="n"/>
      <c r="BP1509" s="81" t="n"/>
      <c r="BQ1509" s="81" t="n"/>
      <c r="BR1509" s="81" t="n"/>
      <c r="BS1509" s="81" t="n"/>
      <c r="BT1509" s="81" t="n"/>
      <c r="BU1509" s="81" t="n"/>
      <c r="BV1509" s="81" t="n"/>
      <c r="BW1509" s="81" t="n"/>
      <c r="BX1509" s="81" t="n"/>
      <c r="BY1509" s="81" t="n"/>
      <c r="BZ1509" s="81" t="n"/>
      <c r="CA1509" s="81" t="n"/>
      <c r="CB1509" s="81" t="n"/>
      <c r="CC1509" s="81" t="n"/>
      <c r="CD1509" s="81" t="n"/>
      <c r="CE1509" s="81" t="n"/>
      <c r="CF1509" s="81" t="n"/>
      <c r="CG1509" s="81" t="n"/>
      <c r="CH1509" s="81" t="n"/>
    </row>
    <row r="1510">
      <c r="A1510" s="81" t="n"/>
      <c r="B1510" s="81" t="n"/>
      <c r="C1510" s="81" t="n"/>
      <c r="D1510" s="81" t="n"/>
      <c r="E1510" s="81" t="n"/>
      <c r="F1510" s="81" t="n"/>
      <c r="G1510" s="81" t="n"/>
      <c r="H1510" s="81" t="n"/>
      <c r="I1510" s="81" t="n"/>
      <c r="J1510" s="81" t="n"/>
      <c r="K1510" s="81" t="n"/>
      <c r="L1510" s="81" t="n"/>
      <c r="M1510" s="81" t="n"/>
      <c r="N1510" s="81" t="n"/>
      <c r="O1510" s="81" t="n"/>
      <c r="P1510" s="81" t="n"/>
      <c r="Q1510" s="81" t="n"/>
      <c r="R1510" s="81" t="n"/>
      <c r="S1510" s="81" t="n"/>
      <c r="T1510" s="81" t="n"/>
      <c r="U1510" s="81" t="n"/>
      <c r="V1510" s="81" t="n"/>
      <c r="W1510" s="81" t="n"/>
      <c r="X1510" s="81" t="n"/>
      <c r="Y1510" s="81" t="n"/>
      <c r="Z1510" s="81" t="n"/>
      <c r="AA1510" s="81" t="n"/>
      <c r="AB1510" s="81" t="n"/>
      <c r="AC1510" s="81" t="n"/>
      <c r="AD1510" s="81" t="n"/>
      <c r="AE1510" s="81" t="n"/>
      <c r="AF1510" s="81" t="n"/>
      <c r="AG1510" s="81" t="n"/>
      <c r="AH1510" s="81" t="n"/>
      <c r="AI1510" s="81" t="n"/>
      <c r="AJ1510" s="81" t="n"/>
      <c r="AK1510" s="81" t="n"/>
      <c r="AL1510" s="81" t="n"/>
      <c r="AM1510" s="81" t="n"/>
      <c r="AN1510" s="81" t="n"/>
      <c r="AO1510" s="81" t="n"/>
      <c r="AP1510" s="81" t="n"/>
      <c r="AQ1510" s="81" t="n"/>
      <c r="AR1510" s="81" t="n"/>
      <c r="AS1510" s="81" t="n"/>
      <c r="AT1510" s="81" t="n"/>
      <c r="AU1510" s="81" t="n"/>
      <c r="AV1510" s="81" t="n"/>
      <c r="AW1510" s="81" t="n"/>
      <c r="AX1510" s="81" t="n"/>
      <c r="AY1510" s="81" t="n"/>
      <c r="AZ1510" s="81" t="n"/>
      <c r="BA1510" s="81" t="n"/>
      <c r="BB1510" s="81" t="n"/>
      <c r="BC1510" s="81" t="n"/>
      <c r="BD1510" s="81" t="n"/>
      <c r="BE1510" s="81" t="n"/>
      <c r="BF1510" s="81" t="n"/>
      <c r="BG1510" s="81" t="n"/>
      <c r="BH1510" s="81" t="n"/>
      <c r="BI1510" s="81" t="n"/>
      <c r="BJ1510" s="81" t="n"/>
      <c r="BK1510" s="81" t="n"/>
      <c r="BL1510" s="81" t="n"/>
      <c r="BM1510" s="81" t="n"/>
      <c r="BN1510" s="81" t="n"/>
      <c r="BO1510" s="81" t="n"/>
      <c r="BP1510" s="81" t="n"/>
      <c r="BQ1510" s="81" t="n"/>
      <c r="BR1510" s="81" t="n"/>
      <c r="BS1510" s="81" t="n"/>
      <c r="BT1510" s="81" t="n"/>
      <c r="BU1510" s="81" t="n"/>
      <c r="BV1510" s="81" t="n"/>
      <c r="BW1510" s="81" t="n"/>
      <c r="BX1510" s="81" t="n"/>
      <c r="BY1510" s="81" t="n"/>
      <c r="BZ1510" s="81" t="n"/>
      <c r="CA1510" s="81" t="n"/>
      <c r="CB1510" s="81" t="n"/>
      <c r="CC1510" s="81" t="n"/>
      <c r="CD1510" s="81" t="n"/>
      <c r="CE1510" s="81" t="n"/>
      <c r="CF1510" s="81" t="n"/>
      <c r="CG1510" s="81" t="n"/>
      <c r="CH1510" s="81" t="n"/>
    </row>
    <row r="1511">
      <c r="A1511" s="81" t="n"/>
      <c r="B1511" s="81" t="n"/>
      <c r="C1511" s="81" t="n"/>
      <c r="D1511" s="81" t="n"/>
      <c r="E1511" s="81" t="n"/>
      <c r="F1511" s="81" t="n"/>
      <c r="G1511" s="81" t="n"/>
      <c r="H1511" s="81" t="n"/>
      <c r="I1511" s="81" t="n"/>
      <c r="J1511" s="81" t="n"/>
      <c r="K1511" s="81" t="n"/>
      <c r="L1511" s="81" t="n"/>
      <c r="M1511" s="81" t="n"/>
      <c r="N1511" s="81" t="n"/>
      <c r="O1511" s="81" t="n"/>
      <c r="P1511" s="81" t="n"/>
      <c r="Q1511" s="81" t="n"/>
      <c r="R1511" s="81" t="n"/>
      <c r="S1511" s="81" t="n"/>
      <c r="T1511" s="81" t="n"/>
      <c r="U1511" s="81" t="n"/>
      <c r="V1511" s="81" t="n"/>
      <c r="W1511" s="81" t="n"/>
      <c r="X1511" s="81" t="n"/>
      <c r="Y1511" s="81" t="n"/>
      <c r="Z1511" s="81" t="n"/>
      <c r="AA1511" s="81" t="n"/>
      <c r="AB1511" s="81" t="n"/>
      <c r="AC1511" s="81" t="n"/>
      <c r="AD1511" s="81" t="n"/>
      <c r="AE1511" s="81" t="n"/>
      <c r="AF1511" s="81" t="n"/>
      <c r="AG1511" s="81" t="n"/>
      <c r="AH1511" s="81" t="n"/>
      <c r="AI1511" s="81" t="n"/>
      <c r="AJ1511" s="81" t="n"/>
      <c r="AK1511" s="81" t="n"/>
      <c r="AL1511" s="81" t="n"/>
      <c r="AM1511" s="81" t="n"/>
      <c r="AN1511" s="81" t="n"/>
      <c r="AO1511" s="81" t="n"/>
      <c r="AP1511" s="81" t="n"/>
      <c r="AQ1511" s="81" t="n"/>
      <c r="AR1511" s="81" t="n"/>
      <c r="AS1511" s="81" t="n"/>
      <c r="AT1511" s="81" t="n"/>
      <c r="AU1511" s="81" t="n"/>
      <c r="AV1511" s="81" t="n"/>
      <c r="AW1511" s="81" t="n"/>
      <c r="AX1511" s="81" t="n"/>
      <c r="AY1511" s="81" t="n"/>
      <c r="AZ1511" s="81" t="n"/>
      <c r="BA1511" s="81" t="n"/>
      <c r="BB1511" s="81" t="n"/>
      <c r="BC1511" s="81" t="n"/>
      <c r="BD1511" s="81" t="n"/>
      <c r="BE1511" s="81" t="n"/>
      <c r="BF1511" s="81" t="n"/>
      <c r="BG1511" s="81" t="n"/>
      <c r="BH1511" s="81" t="n"/>
      <c r="BI1511" s="81" t="n"/>
      <c r="BJ1511" s="81" t="n"/>
      <c r="BK1511" s="81" t="n"/>
      <c r="BL1511" s="81" t="n"/>
      <c r="BM1511" s="81" t="n"/>
      <c r="BN1511" s="81" t="n"/>
      <c r="BO1511" s="81" t="n"/>
      <c r="BP1511" s="81" t="n"/>
      <c r="BQ1511" s="81" t="n"/>
      <c r="BR1511" s="81" t="n"/>
      <c r="BS1511" s="81" t="n"/>
      <c r="BT1511" s="81" t="n"/>
      <c r="BU1511" s="81" t="n"/>
      <c r="BV1511" s="81" t="n"/>
      <c r="BW1511" s="81" t="n"/>
      <c r="BX1511" s="81" t="n"/>
      <c r="BY1511" s="81" t="n"/>
      <c r="BZ1511" s="81" t="n"/>
      <c r="CA1511" s="81" t="n"/>
      <c r="CB1511" s="81" t="n"/>
      <c r="CC1511" s="81" t="n"/>
      <c r="CD1511" s="81" t="n"/>
      <c r="CE1511" s="81" t="n"/>
      <c r="CF1511" s="81" t="n"/>
      <c r="CG1511" s="81" t="n"/>
      <c r="CH1511" s="81" t="n"/>
    </row>
    <row r="1512">
      <c r="A1512" s="81" t="n"/>
      <c r="B1512" s="81" t="n"/>
      <c r="C1512" s="81" t="n"/>
      <c r="D1512" s="81" t="n"/>
      <c r="E1512" s="81" t="n"/>
      <c r="F1512" s="81" t="n"/>
      <c r="G1512" s="81" t="n"/>
      <c r="H1512" s="81" t="n"/>
      <c r="I1512" s="81" t="n"/>
      <c r="J1512" s="81" t="n"/>
      <c r="K1512" s="81" t="n"/>
      <c r="L1512" s="81" t="n"/>
      <c r="M1512" s="81" t="n"/>
      <c r="N1512" s="81" t="n"/>
      <c r="O1512" s="81" t="n"/>
      <c r="P1512" s="81" t="n"/>
      <c r="Q1512" s="81" t="n"/>
      <c r="R1512" s="81" t="n"/>
      <c r="S1512" s="81" t="n"/>
      <c r="T1512" s="81" t="n"/>
      <c r="U1512" s="81" t="n"/>
      <c r="V1512" s="81" t="n"/>
      <c r="W1512" s="81" t="n"/>
      <c r="X1512" s="81" t="n"/>
      <c r="Y1512" s="81" t="n"/>
      <c r="Z1512" s="81" t="n"/>
      <c r="AA1512" s="81" t="n"/>
      <c r="AB1512" s="81" t="n"/>
      <c r="AC1512" s="81" t="n"/>
      <c r="AD1512" s="81" t="n"/>
      <c r="AE1512" s="81" t="n"/>
      <c r="AF1512" s="81" t="n"/>
      <c r="AG1512" s="81" t="n"/>
      <c r="AH1512" s="81" t="n"/>
      <c r="AI1512" s="81" t="n"/>
      <c r="AJ1512" s="81" t="n"/>
      <c r="AK1512" s="81" t="n"/>
      <c r="AL1512" s="81" t="n"/>
      <c r="AM1512" s="81" t="n"/>
      <c r="AN1512" s="81" t="n"/>
      <c r="AO1512" s="81" t="n"/>
      <c r="AP1512" s="81" t="n"/>
      <c r="AQ1512" s="81" t="n"/>
      <c r="AR1512" s="81" t="n"/>
      <c r="AS1512" s="81" t="n"/>
      <c r="AT1512" s="81" t="n"/>
      <c r="AU1512" s="81" t="n"/>
      <c r="AV1512" s="81" t="n"/>
      <c r="AW1512" s="81" t="n"/>
      <c r="AX1512" s="81" t="n"/>
      <c r="AY1512" s="81" t="n"/>
      <c r="AZ1512" s="81" t="n"/>
      <c r="BA1512" s="81" t="n"/>
      <c r="BB1512" s="81" t="n"/>
      <c r="BC1512" s="81" t="n"/>
      <c r="BD1512" s="81" t="n"/>
      <c r="BE1512" s="81" t="n"/>
      <c r="BF1512" s="81" t="n"/>
      <c r="BG1512" s="81" t="n"/>
      <c r="BH1512" s="81" t="n"/>
      <c r="BI1512" s="81" t="n"/>
      <c r="BJ1512" s="81" t="n"/>
      <c r="BK1512" s="81" t="n"/>
      <c r="BL1512" s="81" t="n"/>
      <c r="BM1512" s="81" t="n"/>
      <c r="BN1512" s="81" t="n"/>
      <c r="BO1512" s="81" t="n"/>
      <c r="BP1512" s="81" t="n"/>
      <c r="BQ1512" s="81" t="n"/>
      <c r="BR1512" s="81" t="n"/>
      <c r="BS1512" s="81" t="n"/>
      <c r="BT1512" s="81" t="n"/>
      <c r="BU1512" s="81" t="n"/>
      <c r="BV1512" s="81" t="n"/>
      <c r="BW1512" s="81" t="n"/>
      <c r="BX1512" s="81" t="n"/>
      <c r="BY1512" s="81" t="n"/>
      <c r="BZ1512" s="81" t="n"/>
      <c r="CA1512" s="81" t="n"/>
      <c r="CB1512" s="81" t="n"/>
      <c r="CC1512" s="81" t="n"/>
      <c r="CD1512" s="81" t="n"/>
      <c r="CE1512" s="81" t="n"/>
      <c r="CF1512" s="81" t="n"/>
      <c r="CG1512" s="81" t="n"/>
      <c r="CH1512" s="81" t="n"/>
    </row>
    <row r="1513">
      <c r="A1513" s="81" t="n"/>
      <c r="B1513" s="81" t="n"/>
      <c r="C1513" s="81" t="n"/>
      <c r="D1513" s="81" t="n"/>
      <c r="E1513" s="81" t="n"/>
      <c r="F1513" s="81" t="n"/>
      <c r="G1513" s="81" t="n"/>
      <c r="H1513" s="81" t="n"/>
      <c r="I1513" s="81" t="n"/>
      <c r="J1513" s="81" t="n"/>
      <c r="K1513" s="81" t="n"/>
      <c r="L1513" s="81" t="n"/>
      <c r="M1513" s="81" t="n"/>
      <c r="N1513" s="81" t="n"/>
      <c r="O1513" s="81" t="n"/>
      <c r="P1513" s="81" t="n"/>
      <c r="Q1513" s="81" t="n"/>
      <c r="R1513" s="81" t="n"/>
      <c r="S1513" s="81" t="n"/>
      <c r="T1513" s="81" t="n"/>
      <c r="U1513" s="81" t="n"/>
      <c r="V1513" s="81" t="n"/>
      <c r="W1513" s="81" t="n"/>
      <c r="X1513" s="81" t="n"/>
      <c r="Y1513" s="81" t="n"/>
      <c r="Z1513" s="81" t="n"/>
      <c r="AA1513" s="81" t="n"/>
      <c r="AB1513" s="81" t="n"/>
      <c r="AC1513" s="81" t="n"/>
      <c r="AD1513" s="81" t="n"/>
      <c r="AE1513" s="81" t="n"/>
      <c r="AF1513" s="81" t="n"/>
      <c r="AG1513" s="81" t="n"/>
      <c r="AH1513" s="81" t="n"/>
      <c r="AI1513" s="81" t="n"/>
      <c r="AJ1513" s="81" t="n"/>
      <c r="AK1513" s="81" t="n"/>
      <c r="AL1513" s="81" t="n"/>
      <c r="AM1513" s="81" t="n"/>
      <c r="AN1513" s="81" t="n"/>
      <c r="AO1513" s="81" t="n"/>
      <c r="AP1513" s="81" t="n"/>
      <c r="AQ1513" s="81" t="n"/>
      <c r="AR1513" s="81" t="n"/>
      <c r="AS1513" s="81" t="n"/>
      <c r="AT1513" s="81" t="n"/>
      <c r="AU1513" s="81" t="n"/>
      <c r="AV1513" s="81" t="n"/>
      <c r="AW1513" s="81" t="n"/>
      <c r="AX1513" s="81" t="n"/>
      <c r="AY1513" s="81" t="n"/>
      <c r="AZ1513" s="81" t="n"/>
      <c r="BA1513" s="81" t="n"/>
      <c r="BB1513" s="81" t="n"/>
      <c r="BC1513" s="81" t="n"/>
      <c r="BD1513" s="81" t="n"/>
      <c r="BE1513" s="81" t="n"/>
      <c r="BF1513" s="81" t="n"/>
      <c r="BG1513" s="81" t="n"/>
      <c r="BH1513" s="81" t="n"/>
      <c r="BI1513" s="81" t="n"/>
      <c r="BJ1513" s="81" t="n"/>
      <c r="BK1513" s="81" t="n"/>
      <c r="BL1513" s="81" t="n"/>
      <c r="BM1513" s="81" t="n"/>
      <c r="BN1513" s="81" t="n"/>
      <c r="BO1513" s="81" t="n"/>
      <c r="BP1513" s="81" t="n"/>
      <c r="BQ1513" s="81" t="n"/>
      <c r="BR1513" s="81" t="n"/>
      <c r="BS1513" s="81" t="n"/>
      <c r="BT1513" s="81" t="n"/>
      <c r="BU1513" s="81" t="n"/>
      <c r="BV1513" s="81" t="n"/>
      <c r="BW1513" s="81" t="n"/>
      <c r="BX1513" s="81" t="n"/>
      <c r="BY1513" s="81" t="n"/>
      <c r="BZ1513" s="81" t="n"/>
      <c r="CA1513" s="81" t="n"/>
      <c r="CB1513" s="81" t="n"/>
      <c r="CC1513" s="81" t="n"/>
      <c r="CD1513" s="81" t="n"/>
      <c r="CE1513" s="81" t="n"/>
      <c r="CF1513" s="81" t="n"/>
      <c r="CG1513" s="81" t="n"/>
      <c r="CH1513" s="81" t="n"/>
    </row>
    <row r="1514">
      <c r="A1514" s="81" t="n"/>
      <c r="B1514" s="81" t="n"/>
      <c r="C1514" s="81" t="n"/>
      <c r="D1514" s="81" t="n"/>
      <c r="E1514" s="81" t="n"/>
      <c r="F1514" s="81" t="n"/>
      <c r="G1514" s="81" t="n"/>
      <c r="H1514" s="81" t="n"/>
      <c r="I1514" s="81" t="n"/>
      <c r="J1514" s="81" t="n"/>
      <c r="K1514" s="81" t="n"/>
      <c r="L1514" s="81" t="n"/>
      <c r="M1514" s="81" t="n"/>
      <c r="N1514" s="81" t="n"/>
      <c r="O1514" s="81" t="n"/>
      <c r="P1514" s="81" t="n"/>
      <c r="Q1514" s="81" t="n"/>
      <c r="R1514" s="81" t="n"/>
      <c r="S1514" s="81" t="n"/>
      <c r="T1514" s="81" t="n"/>
      <c r="U1514" s="81" t="n"/>
      <c r="V1514" s="81" t="n"/>
      <c r="W1514" s="81" t="n"/>
      <c r="X1514" s="81" t="n"/>
      <c r="Y1514" s="81" t="n"/>
      <c r="Z1514" s="81" t="n"/>
      <c r="AA1514" s="81" t="n"/>
      <c r="AB1514" s="81" t="n"/>
      <c r="AC1514" s="81" t="n"/>
      <c r="AD1514" s="81" t="n"/>
      <c r="AE1514" s="81" t="n"/>
      <c r="AF1514" s="81" t="n"/>
      <c r="AG1514" s="81" t="n"/>
      <c r="AH1514" s="81" t="n"/>
      <c r="AI1514" s="81" t="n"/>
      <c r="AJ1514" s="81" t="n"/>
      <c r="AK1514" s="81" t="n"/>
      <c r="AL1514" s="81" t="n"/>
      <c r="AM1514" s="81" t="n"/>
      <c r="AN1514" s="81" t="n"/>
      <c r="AO1514" s="81" t="n"/>
      <c r="AP1514" s="81" t="n"/>
      <c r="AQ1514" s="81" t="n"/>
      <c r="AR1514" s="81" t="n"/>
      <c r="AS1514" s="81" t="n"/>
      <c r="AT1514" s="81" t="n"/>
      <c r="AU1514" s="81" t="n"/>
      <c r="AV1514" s="81" t="n"/>
      <c r="AW1514" s="81" t="n"/>
      <c r="AX1514" s="81" t="n"/>
      <c r="AY1514" s="81" t="n"/>
      <c r="AZ1514" s="81" t="n"/>
      <c r="BA1514" s="81" t="n"/>
      <c r="BB1514" s="81" t="n"/>
      <c r="BC1514" s="81" t="n"/>
      <c r="BD1514" s="81" t="n"/>
      <c r="BE1514" s="81" t="n"/>
      <c r="BF1514" s="81" t="n"/>
      <c r="BG1514" s="81" t="n"/>
      <c r="BH1514" s="81" t="n"/>
      <c r="BI1514" s="81" t="n"/>
      <c r="BJ1514" s="81" t="n"/>
      <c r="BK1514" s="81" t="n"/>
      <c r="BL1514" s="81" t="n"/>
      <c r="BM1514" s="81" t="n"/>
      <c r="BN1514" s="81" t="n"/>
      <c r="BO1514" s="81" t="n"/>
      <c r="BP1514" s="81" t="n"/>
      <c r="BQ1514" s="81" t="n"/>
      <c r="BR1514" s="81" t="n"/>
      <c r="BS1514" s="81" t="n"/>
      <c r="BT1514" s="81" t="n"/>
      <c r="BU1514" s="81" t="n"/>
      <c r="BV1514" s="81" t="n"/>
      <c r="BW1514" s="81" t="n"/>
      <c r="BX1514" s="81" t="n"/>
      <c r="BY1514" s="81" t="n"/>
      <c r="BZ1514" s="81" t="n"/>
      <c r="CA1514" s="81" t="n"/>
      <c r="CB1514" s="81" t="n"/>
      <c r="CC1514" s="81" t="n"/>
      <c r="CD1514" s="81" t="n"/>
      <c r="CE1514" s="81" t="n"/>
      <c r="CF1514" s="81" t="n"/>
      <c r="CG1514" s="81" t="n"/>
      <c r="CH1514" s="81" t="n"/>
    </row>
    <row r="1515">
      <c r="A1515" s="81" t="n"/>
      <c r="B1515" s="81" t="n"/>
      <c r="C1515" s="81" t="n"/>
      <c r="D1515" s="81" t="n"/>
      <c r="E1515" s="81" t="n"/>
      <c r="F1515" s="81" t="n"/>
      <c r="G1515" s="81" t="n"/>
      <c r="H1515" s="81" t="n"/>
      <c r="I1515" s="81" t="n"/>
      <c r="J1515" s="81" t="n"/>
      <c r="K1515" s="81" t="n"/>
      <c r="L1515" s="81" t="n"/>
      <c r="M1515" s="81" t="n"/>
      <c r="N1515" s="81" t="n"/>
      <c r="O1515" s="81" t="n"/>
      <c r="P1515" s="81" t="n"/>
      <c r="Q1515" s="81" t="n"/>
      <c r="R1515" s="81" t="n"/>
      <c r="S1515" s="81" t="n"/>
      <c r="T1515" s="81" t="n"/>
      <c r="U1515" s="81" t="n"/>
      <c r="V1515" s="81" t="n"/>
      <c r="W1515" s="81" t="n"/>
      <c r="X1515" s="81" t="n"/>
      <c r="Y1515" s="81" t="n"/>
      <c r="Z1515" s="81" t="n"/>
      <c r="AA1515" s="81" t="n"/>
      <c r="AB1515" s="81" t="n"/>
      <c r="AC1515" s="81" t="n"/>
      <c r="AD1515" s="81" t="n"/>
      <c r="AE1515" s="81" t="n"/>
      <c r="AF1515" s="81" t="n"/>
      <c r="AG1515" s="81" t="n"/>
      <c r="AH1515" s="81" t="n"/>
      <c r="AI1515" s="81" t="n"/>
      <c r="AJ1515" s="81" t="n"/>
      <c r="AK1515" s="81" t="n"/>
      <c r="AL1515" s="81" t="n"/>
      <c r="AM1515" s="81" t="n"/>
      <c r="AN1515" s="81" t="n"/>
      <c r="AO1515" s="81" t="n"/>
      <c r="AP1515" s="81" t="n"/>
      <c r="AQ1515" s="81" t="n"/>
      <c r="AR1515" s="81" t="n"/>
      <c r="AS1515" s="81" t="n"/>
      <c r="AT1515" s="81" t="n"/>
      <c r="AU1515" s="81" t="n"/>
      <c r="AV1515" s="81" t="n"/>
      <c r="AW1515" s="81" t="n"/>
      <c r="AX1515" s="81" t="n"/>
      <c r="AY1515" s="81" t="n"/>
      <c r="AZ1515" s="81" t="n"/>
      <c r="BA1515" s="81" t="n"/>
      <c r="BB1515" s="81" t="n"/>
      <c r="BC1515" s="81" t="n"/>
      <c r="BD1515" s="81" t="n"/>
      <c r="BE1515" s="81" t="n"/>
      <c r="BF1515" s="81" t="n"/>
      <c r="BG1515" s="81" t="n"/>
      <c r="BH1515" s="81" t="n"/>
      <c r="BI1515" s="81" t="n"/>
      <c r="BJ1515" s="81" t="n"/>
      <c r="BK1515" s="81" t="n"/>
      <c r="BL1515" s="81" t="n"/>
      <c r="BM1515" s="81" t="n"/>
      <c r="BN1515" s="81" t="n"/>
      <c r="BO1515" s="81" t="n"/>
      <c r="BP1515" s="81" t="n"/>
      <c r="BQ1515" s="81" t="n"/>
      <c r="BR1515" s="81" t="n"/>
      <c r="BS1515" s="81" t="n"/>
      <c r="BT1515" s="81" t="n"/>
      <c r="BU1515" s="81" t="n"/>
      <c r="BV1515" s="81" t="n"/>
      <c r="BW1515" s="81" t="n"/>
      <c r="BX1515" s="81" t="n"/>
      <c r="BY1515" s="81" t="n"/>
      <c r="BZ1515" s="81" t="n"/>
      <c r="CA1515" s="81" t="n"/>
      <c r="CB1515" s="81" t="n"/>
      <c r="CC1515" s="81" t="n"/>
      <c r="CD1515" s="81" t="n"/>
      <c r="CE1515" s="81" t="n"/>
      <c r="CF1515" s="81" t="n"/>
      <c r="CG1515" s="81" t="n"/>
      <c r="CH1515" s="81" t="n"/>
    </row>
    <row r="1516">
      <c r="A1516" s="81" t="n"/>
      <c r="B1516" s="81" t="n"/>
      <c r="C1516" s="81" t="n"/>
      <c r="D1516" s="81" t="n"/>
      <c r="E1516" s="81" t="n"/>
      <c r="F1516" s="81" t="n"/>
      <c r="G1516" s="81" t="n"/>
      <c r="H1516" s="81" t="n"/>
      <c r="I1516" s="81" t="n"/>
      <c r="J1516" s="81" t="n"/>
      <c r="K1516" s="81" t="n"/>
      <c r="L1516" s="81" t="n"/>
      <c r="M1516" s="81" t="n"/>
      <c r="N1516" s="81" t="n"/>
      <c r="O1516" s="81" t="n"/>
      <c r="P1516" s="81" t="n"/>
      <c r="Q1516" s="81" t="n"/>
      <c r="R1516" s="81" t="n"/>
      <c r="S1516" s="81" t="n"/>
      <c r="T1516" s="81" t="n"/>
      <c r="U1516" s="81" t="n"/>
      <c r="V1516" s="81" t="n"/>
      <c r="W1516" s="81" t="n"/>
      <c r="X1516" s="81" t="n"/>
      <c r="Y1516" s="81" t="n"/>
      <c r="Z1516" s="81" t="n"/>
      <c r="AA1516" s="81" t="n"/>
      <c r="AB1516" s="81" t="n"/>
      <c r="AC1516" s="81" t="n"/>
      <c r="AD1516" s="81" t="n"/>
      <c r="AE1516" s="81" t="n"/>
      <c r="AF1516" s="81" t="n"/>
      <c r="AG1516" s="81" t="n"/>
      <c r="AH1516" s="81" t="n"/>
      <c r="AI1516" s="81" t="n"/>
      <c r="AJ1516" s="81" t="n"/>
      <c r="AK1516" s="81" t="n"/>
      <c r="AL1516" s="81" t="n"/>
      <c r="AM1516" s="81" t="n"/>
      <c r="AN1516" s="81" t="n"/>
      <c r="AO1516" s="81" t="n"/>
      <c r="AP1516" s="81" t="n"/>
      <c r="AQ1516" s="81" t="n"/>
      <c r="AR1516" s="81" t="n"/>
      <c r="AS1516" s="81" t="n"/>
      <c r="AT1516" s="81" t="n"/>
      <c r="AU1516" s="81" t="n"/>
      <c r="AV1516" s="81" t="n"/>
      <c r="AW1516" s="81" t="n"/>
      <c r="AX1516" s="81" t="n"/>
      <c r="AY1516" s="81" t="n"/>
      <c r="AZ1516" s="81" t="n"/>
      <c r="BA1516" s="81" t="n"/>
      <c r="BB1516" s="81" t="n"/>
      <c r="BC1516" s="81" t="n"/>
      <c r="BD1516" s="81" t="n"/>
      <c r="BE1516" s="81" t="n"/>
      <c r="BF1516" s="81" t="n"/>
      <c r="BG1516" s="81" t="n"/>
      <c r="BH1516" s="81" t="n"/>
      <c r="BI1516" s="81" t="n"/>
      <c r="BJ1516" s="81" t="n"/>
      <c r="BK1516" s="81" t="n"/>
      <c r="BL1516" s="81" t="n"/>
      <c r="BM1516" s="81" t="n"/>
      <c r="BN1516" s="81" t="n"/>
      <c r="BO1516" s="81" t="n"/>
      <c r="BP1516" s="81" t="n"/>
      <c r="BQ1516" s="81" t="n"/>
      <c r="BR1516" s="81" t="n"/>
      <c r="BS1516" s="81" t="n"/>
      <c r="BT1516" s="81" t="n"/>
      <c r="BU1516" s="81" t="n"/>
      <c r="BV1516" s="81" t="n"/>
      <c r="BW1516" s="81" t="n"/>
      <c r="BX1516" s="81" t="n"/>
      <c r="BY1516" s="81" t="n"/>
      <c r="BZ1516" s="81" t="n"/>
      <c r="CA1516" s="81" t="n"/>
      <c r="CB1516" s="81" t="n"/>
      <c r="CC1516" s="81" t="n"/>
      <c r="CD1516" s="81" t="n"/>
      <c r="CE1516" s="81" t="n"/>
      <c r="CF1516" s="81" t="n"/>
      <c r="CG1516" s="81" t="n"/>
      <c r="CH1516" s="81" t="n"/>
    </row>
    <row r="1517">
      <c r="A1517" s="81" t="n"/>
      <c r="B1517" s="81" t="n"/>
      <c r="C1517" s="81" t="n"/>
      <c r="D1517" s="81" t="n"/>
      <c r="E1517" s="81" t="n"/>
      <c r="F1517" s="81" t="n"/>
      <c r="G1517" s="81" t="n"/>
      <c r="H1517" s="81" t="n"/>
      <c r="I1517" s="81" t="n"/>
      <c r="J1517" s="81" t="n"/>
      <c r="K1517" s="81" t="n"/>
      <c r="L1517" s="81" t="n"/>
      <c r="M1517" s="81" t="n"/>
      <c r="N1517" s="81" t="n"/>
      <c r="O1517" s="81" t="n"/>
      <c r="P1517" s="81" t="n"/>
      <c r="Q1517" s="81" t="n"/>
      <c r="R1517" s="81" t="n"/>
      <c r="S1517" s="81" t="n"/>
      <c r="T1517" s="81" t="n"/>
      <c r="U1517" s="81" t="n"/>
      <c r="V1517" s="81" t="n"/>
      <c r="W1517" s="81" t="n"/>
      <c r="X1517" s="81" t="n"/>
      <c r="Y1517" s="81" t="n"/>
      <c r="Z1517" s="81" t="n"/>
      <c r="AA1517" s="81" t="n"/>
      <c r="AB1517" s="81" t="n"/>
      <c r="AC1517" s="81" t="n"/>
      <c r="AD1517" s="81" t="n"/>
      <c r="AE1517" s="81" t="n"/>
      <c r="AF1517" s="81" t="n"/>
      <c r="AG1517" s="81" t="n"/>
      <c r="AH1517" s="81" t="n"/>
      <c r="AI1517" s="81" t="n"/>
      <c r="AJ1517" s="81" t="n"/>
      <c r="AK1517" s="81" t="n"/>
      <c r="AL1517" s="81" t="n"/>
      <c r="AM1517" s="81" t="n"/>
      <c r="AN1517" s="81" t="n"/>
      <c r="AO1517" s="81" t="n"/>
      <c r="AP1517" s="81" t="n"/>
      <c r="AQ1517" s="81" t="n"/>
      <c r="AR1517" s="81" t="n"/>
      <c r="AS1517" s="81" t="n"/>
      <c r="AT1517" s="81" t="n"/>
      <c r="AU1517" s="81" t="n"/>
      <c r="AV1517" s="81" t="n"/>
      <c r="AW1517" s="81" t="n"/>
      <c r="AX1517" s="81" t="n"/>
      <c r="AY1517" s="81" t="n"/>
      <c r="AZ1517" s="81" t="n"/>
      <c r="BA1517" s="81" t="n"/>
      <c r="BB1517" s="81" t="n"/>
      <c r="BC1517" s="81" t="n"/>
      <c r="BD1517" s="81" t="n"/>
      <c r="BE1517" s="81" t="n"/>
      <c r="BF1517" s="81" t="n"/>
      <c r="BG1517" s="81" t="n"/>
      <c r="BH1517" s="81" t="n"/>
      <c r="BI1517" s="81" t="n"/>
      <c r="BJ1517" s="81" t="n"/>
      <c r="BK1517" s="81" t="n"/>
      <c r="BL1517" s="81" t="n"/>
      <c r="BM1517" s="81" t="n"/>
      <c r="BN1517" s="81" t="n"/>
      <c r="BO1517" s="81" t="n"/>
      <c r="BP1517" s="81" t="n"/>
      <c r="BQ1517" s="81" t="n"/>
      <c r="BR1517" s="81" t="n"/>
      <c r="BS1517" s="81" t="n"/>
      <c r="BT1517" s="81" t="n"/>
      <c r="BU1517" s="81" t="n"/>
      <c r="BV1517" s="81" t="n"/>
      <c r="BW1517" s="81" t="n"/>
      <c r="BX1517" s="81" t="n"/>
      <c r="BY1517" s="81" t="n"/>
      <c r="BZ1517" s="81" t="n"/>
      <c r="CA1517" s="81" t="n"/>
      <c r="CB1517" s="81" t="n"/>
      <c r="CC1517" s="81" t="n"/>
      <c r="CD1517" s="81" t="n"/>
      <c r="CE1517" s="81" t="n"/>
      <c r="CF1517" s="81" t="n"/>
      <c r="CG1517" s="81" t="n"/>
      <c r="CH1517" s="81" t="n"/>
    </row>
    <row r="1518">
      <c r="A1518" s="81" t="n"/>
      <c r="B1518" s="81" t="n"/>
      <c r="C1518" s="81" t="n"/>
      <c r="D1518" s="81" t="n"/>
      <c r="E1518" s="81" t="n"/>
      <c r="F1518" s="81" t="n"/>
      <c r="G1518" s="81" t="n"/>
      <c r="H1518" s="81" t="n"/>
      <c r="I1518" s="81" t="n"/>
      <c r="J1518" s="81" t="n"/>
      <c r="K1518" s="81" t="n"/>
      <c r="L1518" s="81" t="n"/>
      <c r="M1518" s="81" t="n"/>
      <c r="N1518" s="81" t="n"/>
      <c r="O1518" s="81" t="n"/>
      <c r="P1518" s="81" t="n"/>
      <c r="Q1518" s="81" t="n"/>
      <c r="R1518" s="81" t="n"/>
      <c r="S1518" s="81" t="n"/>
      <c r="T1518" s="81" t="n"/>
      <c r="U1518" s="81" t="n"/>
      <c r="V1518" s="81" t="n"/>
      <c r="W1518" s="81" t="n"/>
      <c r="X1518" s="81" t="n"/>
      <c r="Y1518" s="81" t="n"/>
      <c r="Z1518" s="81" t="n"/>
      <c r="AA1518" s="81" t="n"/>
      <c r="AB1518" s="81" t="n"/>
      <c r="AC1518" s="81" t="n"/>
      <c r="AD1518" s="81" t="n"/>
      <c r="AE1518" s="81" t="n"/>
      <c r="AF1518" s="81" t="n"/>
      <c r="AG1518" s="81" t="n"/>
      <c r="AH1518" s="81" t="n"/>
      <c r="AI1518" s="81" t="n"/>
      <c r="AJ1518" s="81" t="n"/>
      <c r="AK1518" s="81" t="n"/>
      <c r="AL1518" s="81" t="n"/>
      <c r="AM1518" s="81" t="n"/>
      <c r="AN1518" s="81" t="n"/>
      <c r="AO1518" s="81" t="n"/>
      <c r="AP1518" s="81" t="n"/>
      <c r="AQ1518" s="81" t="n"/>
      <c r="AR1518" s="81" t="n"/>
      <c r="AS1518" s="81" t="n"/>
      <c r="AT1518" s="81" t="n"/>
      <c r="AU1518" s="81" t="n"/>
      <c r="AV1518" s="81" t="n"/>
      <c r="AW1518" s="81" t="n"/>
      <c r="AX1518" s="81" t="n"/>
      <c r="AY1518" s="81" t="n"/>
      <c r="AZ1518" s="81" t="n"/>
      <c r="BA1518" s="81" t="n"/>
      <c r="BB1518" s="81" t="n"/>
      <c r="BC1518" s="81" t="n"/>
      <c r="BD1518" s="81" t="n"/>
      <c r="BE1518" s="81" t="n"/>
      <c r="BF1518" s="81" t="n"/>
      <c r="BG1518" s="81" t="n"/>
      <c r="BH1518" s="81" t="n"/>
      <c r="BI1518" s="81" t="n"/>
      <c r="BJ1518" s="81" t="n"/>
      <c r="BK1518" s="81" t="n"/>
      <c r="BL1518" s="81" t="n"/>
      <c r="BM1518" s="81" t="n"/>
      <c r="BN1518" s="81" t="n"/>
      <c r="BO1518" s="81" t="n"/>
      <c r="BP1518" s="81" t="n"/>
      <c r="BQ1518" s="81" t="n"/>
      <c r="BR1518" s="81" t="n"/>
      <c r="BS1518" s="81" t="n"/>
      <c r="BT1518" s="81" t="n"/>
      <c r="BU1518" s="81" t="n"/>
      <c r="BV1518" s="81" t="n"/>
      <c r="BW1518" s="81" t="n"/>
      <c r="BX1518" s="81" t="n"/>
      <c r="BY1518" s="81" t="n"/>
      <c r="BZ1518" s="81" t="n"/>
      <c r="CA1518" s="81" t="n"/>
      <c r="CB1518" s="81" t="n"/>
      <c r="CC1518" s="81" t="n"/>
      <c r="CD1518" s="81" t="n"/>
      <c r="CE1518" s="81" t="n"/>
      <c r="CF1518" s="81" t="n"/>
      <c r="CG1518" s="81" t="n"/>
      <c r="CH1518" s="81" t="n"/>
    </row>
    <row r="1519">
      <c r="A1519" s="81" t="n"/>
      <c r="B1519" s="81" t="n"/>
      <c r="C1519" s="81" t="n"/>
      <c r="D1519" s="81" t="n"/>
      <c r="E1519" s="81" t="n"/>
      <c r="F1519" s="81" t="n"/>
      <c r="G1519" s="81" t="n"/>
      <c r="H1519" s="81" t="n"/>
      <c r="I1519" s="81" t="n"/>
      <c r="J1519" s="81" t="n"/>
      <c r="K1519" s="81" t="n"/>
      <c r="L1519" s="81" t="n"/>
      <c r="M1519" s="81" t="n"/>
      <c r="N1519" s="81" t="n"/>
      <c r="O1519" s="81" t="n"/>
      <c r="P1519" s="81" t="n"/>
      <c r="Q1519" s="81" t="n"/>
      <c r="R1519" s="81" t="n"/>
      <c r="S1519" s="81" t="n"/>
      <c r="T1519" s="81" t="n"/>
      <c r="U1519" s="81" t="n"/>
      <c r="V1519" s="81" t="n"/>
      <c r="W1519" s="81" t="n"/>
      <c r="X1519" s="81" t="n"/>
      <c r="Y1519" s="81" t="n"/>
      <c r="Z1519" s="81" t="n"/>
      <c r="AA1519" s="81" t="n"/>
      <c r="AB1519" s="81" t="n"/>
      <c r="AC1519" s="81" t="n"/>
      <c r="AD1519" s="81" t="n"/>
      <c r="AE1519" s="81" t="n"/>
      <c r="AF1519" s="81" t="n"/>
      <c r="AG1519" s="81" t="n"/>
      <c r="AH1519" s="81" t="n"/>
      <c r="AI1519" s="81" t="n"/>
      <c r="AJ1519" s="81" t="n"/>
      <c r="AK1519" s="81" t="n"/>
      <c r="AL1519" s="81" t="n"/>
      <c r="AM1519" s="81" t="n"/>
      <c r="AN1519" s="81" t="n"/>
      <c r="AO1519" s="81" t="n"/>
      <c r="AP1519" s="81" t="n"/>
      <c r="AQ1519" s="81" t="n"/>
      <c r="AR1519" s="81" t="n"/>
      <c r="AS1519" s="81" t="n"/>
      <c r="AT1519" s="81" t="n"/>
      <c r="AU1519" s="81" t="n"/>
      <c r="AV1519" s="81" t="n"/>
      <c r="AW1519" s="81" t="n"/>
      <c r="AX1519" s="81" t="n"/>
      <c r="AY1519" s="81" t="n"/>
      <c r="AZ1519" s="81" t="n"/>
      <c r="BA1519" s="81" t="n"/>
      <c r="BB1519" s="81" t="n"/>
      <c r="BC1519" s="81" t="n"/>
      <c r="BD1519" s="81" t="n"/>
      <c r="BE1519" s="81" t="n"/>
      <c r="BF1519" s="81" t="n"/>
      <c r="BG1519" s="81" t="n"/>
      <c r="BH1519" s="81" t="n"/>
      <c r="BI1519" s="81" t="n"/>
      <c r="BJ1519" s="81" t="n"/>
      <c r="BK1519" s="81" t="n"/>
      <c r="BL1519" s="81" t="n"/>
      <c r="BM1519" s="81" t="n"/>
      <c r="BN1519" s="81" t="n"/>
      <c r="BO1519" s="81" t="n"/>
      <c r="BP1519" s="81" t="n"/>
      <c r="BQ1519" s="81" t="n"/>
      <c r="BR1519" s="81" t="n"/>
      <c r="BS1519" s="81" t="n"/>
      <c r="BT1519" s="81" t="n"/>
      <c r="BU1519" s="81" t="n"/>
      <c r="BV1519" s="81" t="n"/>
      <c r="BW1519" s="81" t="n"/>
      <c r="BX1519" s="81" t="n"/>
      <c r="BY1519" s="81" t="n"/>
      <c r="BZ1519" s="81" t="n"/>
      <c r="CA1519" s="81" t="n"/>
      <c r="CB1519" s="81" t="n"/>
      <c r="CC1519" s="81" t="n"/>
      <c r="CD1519" s="81" t="n"/>
      <c r="CE1519" s="81" t="n"/>
      <c r="CF1519" s="81" t="n"/>
      <c r="CG1519" s="81" t="n"/>
      <c r="CH1519" s="81" t="n"/>
    </row>
    <row r="1520">
      <c r="A1520" s="81" t="n"/>
      <c r="B1520" s="81" t="n"/>
      <c r="C1520" s="81" t="n"/>
      <c r="D1520" s="81" t="n"/>
      <c r="E1520" s="81" t="n"/>
      <c r="F1520" s="81" t="n"/>
      <c r="G1520" s="81" t="n"/>
      <c r="H1520" s="81" t="n"/>
      <c r="I1520" s="81" t="n"/>
      <c r="J1520" s="81" t="n"/>
      <c r="K1520" s="81" t="n"/>
      <c r="L1520" s="81" t="n"/>
      <c r="M1520" s="81" t="n"/>
      <c r="N1520" s="81" t="n"/>
      <c r="O1520" s="81" t="n"/>
      <c r="P1520" s="81" t="n"/>
      <c r="Q1520" s="81" t="n"/>
      <c r="R1520" s="81" t="n"/>
      <c r="S1520" s="81" t="n"/>
      <c r="T1520" s="81" t="n"/>
      <c r="U1520" s="81" t="n"/>
      <c r="V1520" s="81" t="n"/>
      <c r="W1520" s="81" t="n"/>
      <c r="X1520" s="81" t="n"/>
      <c r="Y1520" s="81" t="n"/>
      <c r="Z1520" s="81" t="n"/>
      <c r="AA1520" s="81" t="n"/>
      <c r="AB1520" s="81" t="n"/>
      <c r="AC1520" s="81" t="n"/>
      <c r="AD1520" s="81" t="n"/>
      <c r="AE1520" s="81" t="n"/>
      <c r="AF1520" s="81" t="n"/>
      <c r="AG1520" s="81" t="n"/>
      <c r="AH1520" s="81" t="n"/>
      <c r="AI1520" s="81" t="n"/>
      <c r="AJ1520" s="81" t="n"/>
      <c r="AK1520" s="81" t="n"/>
      <c r="AL1520" s="81" t="n"/>
      <c r="AM1520" s="81" t="n"/>
      <c r="AN1520" s="81" t="n"/>
      <c r="AO1520" s="81" t="n"/>
      <c r="AP1520" s="81" t="n"/>
      <c r="AQ1520" s="81" t="n"/>
      <c r="AR1520" s="81" t="n"/>
      <c r="AS1520" s="81" t="n"/>
      <c r="AT1520" s="81" t="n"/>
      <c r="AU1520" s="81" t="n"/>
      <c r="AV1520" s="81" t="n"/>
      <c r="AW1520" s="81" t="n"/>
      <c r="AX1520" s="81" t="n"/>
      <c r="AY1520" s="81" t="n"/>
      <c r="AZ1520" s="81" t="n"/>
      <c r="BA1520" s="81" t="n"/>
      <c r="BB1520" s="81" t="n"/>
      <c r="BC1520" s="81" t="n"/>
      <c r="BD1520" s="81" t="n"/>
      <c r="BE1520" s="81" t="n"/>
      <c r="BF1520" s="81" t="n"/>
      <c r="BG1520" s="81" t="n"/>
      <c r="BH1520" s="81" t="n"/>
      <c r="BI1520" s="81" t="n"/>
      <c r="BJ1520" s="81" t="n"/>
      <c r="BK1520" s="81" t="n"/>
      <c r="BL1520" s="81" t="n"/>
      <c r="BM1520" s="81" t="n"/>
      <c r="BN1520" s="81" t="n"/>
      <c r="BO1520" s="81" t="n"/>
      <c r="BP1520" s="81" t="n"/>
      <c r="BQ1520" s="81" t="n"/>
      <c r="BR1520" s="81" t="n"/>
      <c r="BS1520" s="81" t="n"/>
      <c r="BT1520" s="81" t="n"/>
      <c r="BU1520" s="81" t="n"/>
      <c r="BV1520" s="81" t="n"/>
      <c r="BW1520" s="81" t="n"/>
      <c r="BX1520" s="81" t="n"/>
      <c r="BY1520" s="81" t="n"/>
      <c r="BZ1520" s="81" t="n"/>
      <c r="CA1520" s="81" t="n"/>
      <c r="CB1520" s="81" t="n"/>
      <c r="CC1520" s="81" t="n"/>
      <c r="CD1520" s="81" t="n"/>
      <c r="CE1520" s="81" t="n"/>
      <c r="CF1520" s="81" t="n"/>
      <c r="CG1520" s="81" t="n"/>
      <c r="CH1520" s="81" t="n"/>
    </row>
    <row r="1521">
      <c r="A1521" s="81" t="n"/>
      <c r="B1521" s="81" t="n"/>
      <c r="C1521" s="81" t="n"/>
      <c r="D1521" s="81" t="n"/>
      <c r="E1521" s="81" t="n"/>
      <c r="F1521" s="81" t="n"/>
      <c r="G1521" s="81" t="n"/>
      <c r="H1521" s="81" t="n"/>
      <c r="I1521" s="81" t="n"/>
      <c r="J1521" s="81" t="n"/>
      <c r="K1521" s="81" t="n"/>
      <c r="L1521" s="81" t="n"/>
      <c r="M1521" s="81" t="n"/>
      <c r="N1521" s="81" t="n"/>
      <c r="O1521" s="81" t="n"/>
      <c r="P1521" s="81" t="n"/>
      <c r="Q1521" s="81" t="n"/>
      <c r="R1521" s="81" t="n"/>
      <c r="S1521" s="81" t="n"/>
      <c r="T1521" s="81" t="n"/>
      <c r="U1521" s="81" t="n"/>
      <c r="V1521" s="81" t="n"/>
      <c r="W1521" s="81" t="n"/>
      <c r="X1521" s="81" t="n"/>
      <c r="Y1521" s="81" t="n"/>
      <c r="Z1521" s="81" t="n"/>
      <c r="AA1521" s="81" t="n"/>
      <c r="AB1521" s="81" t="n"/>
      <c r="AC1521" s="81" t="n"/>
      <c r="AD1521" s="81" t="n"/>
      <c r="AE1521" s="81" t="n"/>
      <c r="AF1521" s="81" t="n"/>
      <c r="AG1521" s="81" t="n"/>
      <c r="AH1521" s="81" t="n"/>
      <c r="AI1521" s="81" t="n"/>
      <c r="AJ1521" s="81" t="n"/>
      <c r="AK1521" s="81" t="n"/>
      <c r="AL1521" s="81" t="n"/>
      <c r="AM1521" s="81" t="n"/>
      <c r="AN1521" s="81" t="n"/>
      <c r="AO1521" s="81" t="n"/>
      <c r="AP1521" s="81" t="n"/>
      <c r="AQ1521" s="81" t="n"/>
      <c r="AR1521" s="81" t="n"/>
      <c r="AS1521" s="81" t="n"/>
      <c r="AT1521" s="81" t="n"/>
      <c r="AU1521" s="81" t="n"/>
      <c r="AV1521" s="81" t="n"/>
      <c r="AW1521" s="81" t="n"/>
      <c r="AX1521" s="81" t="n"/>
      <c r="AY1521" s="81" t="n"/>
      <c r="AZ1521" s="81" t="n"/>
      <c r="BA1521" s="81" t="n"/>
      <c r="BB1521" s="81" t="n"/>
      <c r="BC1521" s="81" t="n"/>
      <c r="BD1521" s="81" t="n"/>
      <c r="BE1521" s="81" t="n"/>
      <c r="BF1521" s="81" t="n"/>
      <c r="BG1521" s="81" t="n"/>
      <c r="BH1521" s="81" t="n"/>
      <c r="BI1521" s="81" t="n"/>
      <c r="BJ1521" s="81" t="n"/>
      <c r="BK1521" s="81" t="n"/>
      <c r="BL1521" s="81" t="n"/>
      <c r="BM1521" s="81" t="n"/>
      <c r="BN1521" s="81" t="n"/>
      <c r="BO1521" s="81" t="n"/>
      <c r="BP1521" s="81" t="n"/>
      <c r="BQ1521" s="81" t="n"/>
      <c r="BR1521" s="81" t="n"/>
      <c r="BS1521" s="81" t="n"/>
      <c r="BT1521" s="81" t="n"/>
      <c r="BU1521" s="81" t="n"/>
      <c r="BV1521" s="81" t="n"/>
      <c r="BW1521" s="81" t="n"/>
      <c r="BX1521" s="81" t="n"/>
      <c r="BY1521" s="81" t="n"/>
      <c r="BZ1521" s="81" t="n"/>
      <c r="CA1521" s="81" t="n"/>
      <c r="CB1521" s="81" t="n"/>
      <c r="CC1521" s="81" t="n"/>
      <c r="CD1521" s="81" t="n"/>
      <c r="CE1521" s="81" t="n"/>
      <c r="CF1521" s="81" t="n"/>
      <c r="CG1521" s="81" t="n"/>
      <c r="CH1521" s="81" t="n"/>
    </row>
    <row r="1522">
      <c r="A1522" s="81" t="n"/>
      <c r="B1522" s="81" t="n"/>
      <c r="C1522" s="81" t="n"/>
      <c r="D1522" s="81" t="n"/>
      <c r="E1522" s="81" t="n"/>
      <c r="F1522" s="81" t="n"/>
      <c r="G1522" s="81" t="n"/>
      <c r="H1522" s="81" t="n"/>
      <c r="I1522" s="81" t="n"/>
      <c r="J1522" s="81" t="n"/>
      <c r="K1522" s="81" t="n"/>
      <c r="L1522" s="81" t="n"/>
      <c r="M1522" s="81" t="n"/>
      <c r="N1522" s="81" t="n"/>
      <c r="O1522" s="81" t="n"/>
      <c r="P1522" s="81" t="n"/>
      <c r="Q1522" s="81" t="n"/>
      <c r="R1522" s="81" t="n"/>
      <c r="S1522" s="81" t="n"/>
      <c r="T1522" s="81" t="n"/>
      <c r="U1522" s="81" t="n"/>
      <c r="V1522" s="81" t="n"/>
      <c r="W1522" s="81" t="n"/>
      <c r="X1522" s="81" t="n"/>
      <c r="Y1522" s="81" t="n"/>
      <c r="Z1522" s="81" t="n"/>
      <c r="AA1522" s="81" t="n"/>
      <c r="AB1522" s="81" t="n"/>
      <c r="AC1522" s="81" t="n"/>
      <c r="AD1522" s="81" t="n"/>
      <c r="AE1522" s="81" t="n"/>
      <c r="AF1522" s="81" t="n"/>
      <c r="AG1522" s="81" t="n"/>
      <c r="AH1522" s="81" t="n"/>
      <c r="AI1522" s="81" t="n"/>
      <c r="AJ1522" s="81" t="n"/>
      <c r="AK1522" s="81" t="n"/>
      <c r="AL1522" s="81" t="n"/>
      <c r="AM1522" s="81" t="n"/>
      <c r="AN1522" s="81" t="n"/>
      <c r="AO1522" s="81" t="n"/>
      <c r="AP1522" s="81" t="n"/>
      <c r="AQ1522" s="81" t="n"/>
      <c r="AR1522" s="81" t="n"/>
      <c r="AS1522" s="81" t="n"/>
      <c r="AT1522" s="81" t="n"/>
      <c r="AU1522" s="81" t="n"/>
      <c r="AV1522" s="81" t="n"/>
      <c r="AW1522" s="81" t="n"/>
      <c r="AX1522" s="81" t="n"/>
      <c r="AY1522" s="81" t="n"/>
      <c r="AZ1522" s="81" t="n"/>
      <c r="BA1522" s="81" t="n"/>
      <c r="BB1522" s="81" t="n"/>
      <c r="BC1522" s="81" t="n"/>
      <c r="BD1522" s="81" t="n"/>
      <c r="BE1522" s="81" t="n"/>
      <c r="BF1522" s="81" t="n"/>
      <c r="BG1522" s="81" t="n"/>
      <c r="BH1522" s="81" t="n"/>
      <c r="BI1522" s="81" t="n"/>
      <c r="BJ1522" s="81" t="n"/>
      <c r="BK1522" s="81" t="n"/>
      <c r="BL1522" s="81" t="n"/>
      <c r="BM1522" s="81" t="n"/>
      <c r="BN1522" s="81" t="n"/>
      <c r="BO1522" s="81" t="n"/>
      <c r="BP1522" s="81" t="n"/>
      <c r="BQ1522" s="81" t="n"/>
      <c r="BR1522" s="81" t="n"/>
      <c r="BS1522" s="81" t="n"/>
      <c r="BT1522" s="81" t="n"/>
      <c r="BU1522" s="81" t="n"/>
      <c r="BV1522" s="81" t="n"/>
      <c r="BW1522" s="81" t="n"/>
      <c r="BX1522" s="81" t="n"/>
      <c r="BY1522" s="81" t="n"/>
      <c r="BZ1522" s="81" t="n"/>
      <c r="CA1522" s="81" t="n"/>
      <c r="CB1522" s="81" t="n"/>
      <c r="CC1522" s="81" t="n"/>
      <c r="CD1522" s="81" t="n"/>
      <c r="CE1522" s="81" t="n"/>
      <c r="CF1522" s="81" t="n"/>
      <c r="CG1522" s="81" t="n"/>
      <c r="CH1522" s="81" t="n"/>
    </row>
    <row r="1523">
      <c r="A1523" s="81" t="n"/>
      <c r="B1523" s="81" t="n"/>
      <c r="C1523" s="81" t="n"/>
      <c r="D1523" s="81" t="n"/>
      <c r="E1523" s="81" t="n"/>
      <c r="F1523" s="81" t="n"/>
      <c r="G1523" s="81" t="n"/>
      <c r="H1523" s="81" t="n"/>
      <c r="I1523" s="81" t="n"/>
      <c r="J1523" s="81" t="n"/>
      <c r="K1523" s="81" t="n"/>
      <c r="L1523" s="81" t="n"/>
      <c r="M1523" s="81" t="n"/>
      <c r="N1523" s="81" t="n"/>
      <c r="O1523" s="81" t="n"/>
      <c r="P1523" s="81" t="n"/>
      <c r="Q1523" s="81" t="n"/>
      <c r="R1523" s="81" t="n"/>
      <c r="S1523" s="81" t="n"/>
      <c r="T1523" s="81" t="n"/>
      <c r="U1523" s="81" t="n"/>
      <c r="V1523" s="81" t="n"/>
      <c r="W1523" s="81" t="n"/>
      <c r="X1523" s="81" t="n"/>
      <c r="Y1523" s="81" t="n"/>
      <c r="Z1523" s="81" t="n"/>
      <c r="AA1523" s="81" t="n"/>
      <c r="AB1523" s="81" t="n"/>
      <c r="AC1523" s="81" t="n"/>
      <c r="AD1523" s="81" t="n"/>
      <c r="AE1523" s="81" t="n"/>
      <c r="AF1523" s="81" t="n"/>
      <c r="AG1523" s="81" t="n"/>
      <c r="AH1523" s="81" t="n"/>
      <c r="AI1523" s="81" t="n"/>
      <c r="AJ1523" s="81" t="n"/>
      <c r="AK1523" s="81" t="n"/>
      <c r="AL1523" s="81" t="n"/>
      <c r="AM1523" s="81" t="n"/>
      <c r="AN1523" s="81" t="n"/>
      <c r="AO1523" s="81" t="n"/>
      <c r="AP1523" s="81" t="n"/>
      <c r="AQ1523" s="81" t="n"/>
      <c r="AR1523" s="81" t="n"/>
      <c r="AS1523" s="81" t="n"/>
      <c r="AT1523" s="81" t="n"/>
      <c r="AU1523" s="81" t="n"/>
      <c r="AV1523" s="81" t="n"/>
      <c r="AW1523" s="81" t="n"/>
      <c r="AX1523" s="81" t="n"/>
      <c r="AY1523" s="81" t="n"/>
      <c r="AZ1523" s="81" t="n"/>
      <c r="BA1523" s="81" t="n"/>
      <c r="BB1523" s="81" t="n"/>
      <c r="BC1523" s="81" t="n"/>
      <c r="BD1523" s="81" t="n"/>
      <c r="BE1523" s="81" t="n"/>
      <c r="BF1523" s="81" t="n"/>
      <c r="BG1523" s="81" t="n"/>
      <c r="BH1523" s="81" t="n"/>
      <c r="BI1523" s="81" t="n"/>
      <c r="BJ1523" s="81" t="n"/>
      <c r="BK1523" s="81" t="n"/>
      <c r="BL1523" s="81" t="n"/>
      <c r="BM1523" s="81" t="n"/>
      <c r="BN1523" s="81" t="n"/>
      <c r="BO1523" s="81" t="n"/>
      <c r="BP1523" s="81" t="n"/>
      <c r="BQ1523" s="81" t="n"/>
      <c r="BR1523" s="81" t="n"/>
      <c r="BS1523" s="81" t="n"/>
      <c r="BT1523" s="81" t="n"/>
      <c r="BU1523" s="81" t="n"/>
      <c r="BV1523" s="81" t="n"/>
      <c r="BW1523" s="81" t="n"/>
      <c r="BX1523" s="81" t="n"/>
      <c r="BY1523" s="81" t="n"/>
      <c r="BZ1523" s="81" t="n"/>
      <c r="CA1523" s="81" t="n"/>
      <c r="CB1523" s="81" t="n"/>
      <c r="CC1523" s="81" t="n"/>
      <c r="CD1523" s="81" t="n"/>
      <c r="CE1523" s="81" t="n"/>
      <c r="CF1523" s="81" t="n"/>
      <c r="CG1523" s="81" t="n"/>
      <c r="CH1523" s="81" t="n"/>
    </row>
    <row r="1524">
      <c r="A1524" s="81" t="n"/>
      <c r="B1524" s="81" t="n"/>
      <c r="C1524" s="81" t="n"/>
      <c r="D1524" s="81" t="n"/>
      <c r="E1524" s="81" t="n"/>
      <c r="F1524" s="81" t="n"/>
      <c r="G1524" s="81" t="n"/>
      <c r="H1524" s="81" t="n"/>
      <c r="I1524" s="81" t="n"/>
      <c r="J1524" s="81" t="n"/>
      <c r="K1524" s="81" t="n"/>
      <c r="L1524" s="81" t="n"/>
      <c r="M1524" s="81" t="n"/>
      <c r="N1524" s="81" t="n"/>
      <c r="O1524" s="81" t="n"/>
      <c r="P1524" s="81" t="n"/>
      <c r="Q1524" s="81" t="n"/>
      <c r="R1524" s="81" t="n"/>
      <c r="S1524" s="81" t="n"/>
      <c r="T1524" s="81" t="n"/>
      <c r="U1524" s="81" t="n"/>
      <c r="V1524" s="81" t="n"/>
      <c r="W1524" s="81" t="n"/>
      <c r="X1524" s="81" t="n"/>
      <c r="Y1524" s="81" t="n"/>
      <c r="Z1524" s="81" t="n"/>
      <c r="AA1524" s="81" t="n"/>
      <c r="AB1524" s="81" t="n"/>
      <c r="AC1524" s="81" t="n"/>
      <c r="AD1524" s="81" t="n"/>
      <c r="AE1524" s="81" t="n"/>
      <c r="AF1524" s="81" t="n"/>
      <c r="AG1524" s="81" t="n"/>
      <c r="AH1524" s="81" t="n"/>
      <c r="AI1524" s="81" t="n"/>
      <c r="AJ1524" s="81" t="n"/>
      <c r="AK1524" s="81" t="n"/>
      <c r="AL1524" s="81" t="n"/>
      <c r="AM1524" s="81" t="n"/>
      <c r="AN1524" s="81" t="n"/>
      <c r="AO1524" s="81" t="n"/>
      <c r="AP1524" s="81" t="n"/>
      <c r="AQ1524" s="81" t="n"/>
      <c r="AR1524" s="81" t="n"/>
      <c r="AS1524" s="81" t="n"/>
      <c r="AT1524" s="81" t="n"/>
      <c r="AU1524" s="81" t="n"/>
      <c r="AV1524" s="81" t="n"/>
      <c r="AW1524" s="81" t="n"/>
      <c r="AX1524" s="81" t="n"/>
      <c r="AY1524" s="81" t="n"/>
      <c r="AZ1524" s="81" t="n"/>
      <c r="BA1524" s="81" t="n"/>
      <c r="BB1524" s="81" t="n"/>
      <c r="BC1524" s="81" t="n"/>
      <c r="BD1524" s="81" t="n"/>
      <c r="BE1524" s="81" t="n"/>
      <c r="BF1524" s="81" t="n"/>
      <c r="BG1524" s="81" t="n"/>
      <c r="BH1524" s="81" t="n"/>
      <c r="BI1524" s="81" t="n"/>
      <c r="BJ1524" s="81" t="n"/>
      <c r="BK1524" s="81" t="n"/>
      <c r="BL1524" s="81" t="n"/>
      <c r="BM1524" s="81" t="n"/>
      <c r="BN1524" s="81" t="n"/>
      <c r="BO1524" s="81" t="n"/>
      <c r="BP1524" s="81" t="n"/>
      <c r="BQ1524" s="81" t="n"/>
      <c r="BR1524" s="81" t="n"/>
      <c r="BS1524" s="81" t="n"/>
      <c r="BT1524" s="81" t="n"/>
      <c r="BU1524" s="81" t="n"/>
      <c r="BV1524" s="81" t="n"/>
      <c r="BW1524" s="81" t="n"/>
      <c r="BX1524" s="81" t="n"/>
      <c r="BY1524" s="81" t="n"/>
      <c r="BZ1524" s="81" t="n"/>
      <c r="CA1524" s="81" t="n"/>
      <c r="CB1524" s="81" t="n"/>
      <c r="CC1524" s="81" t="n"/>
      <c r="CD1524" s="81" t="n"/>
      <c r="CE1524" s="81" t="n"/>
      <c r="CF1524" s="81" t="n"/>
      <c r="CG1524" s="81" t="n"/>
      <c r="CH1524" s="81" t="n"/>
    </row>
    <row r="1525">
      <c r="A1525" s="81" t="n"/>
      <c r="B1525" s="81" t="n"/>
      <c r="C1525" s="81" t="n"/>
      <c r="D1525" s="81" t="n"/>
      <c r="E1525" s="81" t="n"/>
      <c r="F1525" s="81" t="n"/>
      <c r="G1525" s="81" t="n"/>
      <c r="H1525" s="81" t="n"/>
      <c r="I1525" s="81" t="n"/>
      <c r="J1525" s="81" t="n"/>
      <c r="K1525" s="81" t="n"/>
      <c r="L1525" s="81" t="n"/>
      <c r="M1525" s="81" t="n"/>
      <c r="N1525" s="81" t="n"/>
      <c r="O1525" s="81" t="n"/>
      <c r="P1525" s="81" t="n"/>
      <c r="Q1525" s="81" t="n"/>
      <c r="R1525" s="81" t="n"/>
      <c r="S1525" s="81" t="n"/>
      <c r="T1525" s="81" t="n"/>
      <c r="U1525" s="81" t="n"/>
      <c r="V1525" s="81" t="n"/>
      <c r="W1525" s="81" t="n"/>
      <c r="X1525" s="81" t="n"/>
      <c r="Y1525" s="81" t="n"/>
      <c r="Z1525" s="81" t="n"/>
      <c r="AA1525" s="81" t="n"/>
      <c r="AB1525" s="81" t="n"/>
      <c r="AC1525" s="81" t="n"/>
      <c r="AD1525" s="81" t="n"/>
      <c r="AE1525" s="81" t="n"/>
      <c r="AF1525" s="81" t="n"/>
      <c r="AG1525" s="81" t="n"/>
      <c r="AH1525" s="81" t="n"/>
      <c r="AI1525" s="81" t="n"/>
      <c r="AJ1525" s="81" t="n"/>
      <c r="AK1525" s="81" t="n"/>
      <c r="AL1525" s="81" t="n"/>
      <c r="AM1525" s="81" t="n"/>
      <c r="AN1525" s="81" t="n"/>
      <c r="AO1525" s="81" t="n"/>
      <c r="AP1525" s="81" t="n"/>
      <c r="AQ1525" s="81" t="n"/>
      <c r="AR1525" s="81" t="n"/>
      <c r="AS1525" s="81" t="n"/>
      <c r="AT1525" s="81" t="n"/>
      <c r="AU1525" s="81" t="n"/>
      <c r="AV1525" s="81" t="n"/>
      <c r="AW1525" s="81" t="n"/>
      <c r="AX1525" s="81" t="n"/>
      <c r="AY1525" s="81" t="n"/>
      <c r="AZ1525" s="81" t="n"/>
      <c r="BA1525" s="81" t="n"/>
      <c r="BB1525" s="81" t="n"/>
      <c r="BC1525" s="81" t="n"/>
      <c r="BD1525" s="81" t="n"/>
      <c r="BE1525" s="81" t="n"/>
      <c r="BF1525" s="81" t="n"/>
      <c r="BG1525" s="81" t="n"/>
      <c r="BH1525" s="81" t="n"/>
      <c r="BI1525" s="81" t="n"/>
      <c r="BJ1525" s="81" t="n"/>
      <c r="BK1525" s="81" t="n"/>
      <c r="BL1525" s="81" t="n"/>
      <c r="BM1525" s="81" t="n"/>
      <c r="BN1525" s="81" t="n"/>
      <c r="BO1525" s="81" t="n"/>
      <c r="BP1525" s="81" t="n"/>
      <c r="BQ1525" s="81" t="n"/>
      <c r="BR1525" s="81" t="n"/>
      <c r="BS1525" s="81" t="n"/>
      <c r="BT1525" s="81" t="n"/>
      <c r="BU1525" s="81" t="n"/>
      <c r="BV1525" s="81" t="n"/>
      <c r="BW1525" s="81" t="n"/>
      <c r="BX1525" s="81" t="n"/>
      <c r="BY1525" s="81" t="n"/>
      <c r="BZ1525" s="81" t="n"/>
      <c r="CA1525" s="81" t="n"/>
      <c r="CB1525" s="81" t="n"/>
      <c r="CC1525" s="81" t="n"/>
      <c r="CD1525" s="81" t="n"/>
      <c r="CE1525" s="81" t="n"/>
      <c r="CF1525" s="81" t="n"/>
      <c r="CG1525" s="81" t="n"/>
      <c r="CH1525" s="81" t="n"/>
    </row>
    <row r="1526">
      <c r="A1526" s="81" t="n"/>
      <c r="B1526" s="81" t="n"/>
      <c r="C1526" s="81" t="n"/>
      <c r="D1526" s="81" t="n"/>
      <c r="E1526" s="81" t="n"/>
      <c r="F1526" s="81" t="n"/>
      <c r="G1526" s="81" t="n"/>
      <c r="H1526" s="81" t="n"/>
      <c r="I1526" s="81" t="n"/>
      <c r="J1526" s="81" t="n"/>
      <c r="K1526" s="81" t="n"/>
      <c r="L1526" s="81" t="n"/>
      <c r="M1526" s="81" t="n"/>
      <c r="N1526" s="81" t="n"/>
      <c r="O1526" s="81" t="n"/>
      <c r="P1526" s="81" t="n"/>
      <c r="Q1526" s="81" t="n"/>
      <c r="R1526" s="81" t="n"/>
      <c r="S1526" s="81" t="n"/>
      <c r="T1526" s="81" t="n"/>
      <c r="U1526" s="81" t="n"/>
      <c r="V1526" s="81" t="n"/>
      <c r="W1526" s="81" t="n"/>
      <c r="X1526" s="81" t="n"/>
      <c r="Y1526" s="81" t="n"/>
      <c r="Z1526" s="81" t="n"/>
      <c r="AA1526" s="81" t="n"/>
      <c r="AB1526" s="81" t="n"/>
      <c r="AC1526" s="81" t="n"/>
      <c r="AD1526" s="81" t="n"/>
      <c r="AE1526" s="81" t="n"/>
      <c r="AF1526" s="81" t="n"/>
      <c r="AG1526" s="81" t="n"/>
      <c r="AH1526" s="81" t="n"/>
      <c r="AI1526" s="81" t="n"/>
      <c r="AJ1526" s="81" t="n"/>
      <c r="AK1526" s="81" t="n"/>
      <c r="AL1526" s="81" t="n"/>
      <c r="AM1526" s="81" t="n"/>
      <c r="AN1526" s="81" t="n"/>
      <c r="AO1526" s="81" t="n"/>
      <c r="AP1526" s="81" t="n"/>
      <c r="AQ1526" s="81" t="n"/>
      <c r="AR1526" s="81" t="n"/>
      <c r="AS1526" s="81" t="n"/>
      <c r="AT1526" s="81" t="n"/>
      <c r="AU1526" s="81" t="n"/>
      <c r="AV1526" s="81" t="n"/>
      <c r="AW1526" s="81" t="n"/>
      <c r="AX1526" s="81" t="n"/>
      <c r="AY1526" s="81" t="n"/>
      <c r="AZ1526" s="81" t="n"/>
      <c r="BA1526" s="81" t="n"/>
      <c r="BB1526" s="81" t="n"/>
      <c r="BC1526" s="81" t="n"/>
      <c r="BD1526" s="81" t="n"/>
      <c r="BE1526" s="81" t="n"/>
      <c r="BF1526" s="81" t="n"/>
      <c r="BG1526" s="81" t="n"/>
      <c r="BH1526" s="81" t="n"/>
      <c r="BI1526" s="81" t="n"/>
      <c r="BJ1526" s="81" t="n"/>
      <c r="BK1526" s="81" t="n"/>
      <c r="BL1526" s="81" t="n"/>
      <c r="BM1526" s="81" t="n"/>
      <c r="BN1526" s="81" t="n"/>
      <c r="BO1526" s="81" t="n"/>
      <c r="BP1526" s="81" t="n"/>
      <c r="BQ1526" s="81" t="n"/>
      <c r="BR1526" s="81" t="n"/>
      <c r="BS1526" s="81" t="n"/>
      <c r="BT1526" s="81" t="n"/>
      <c r="BU1526" s="81" t="n"/>
      <c r="BV1526" s="81" t="n"/>
      <c r="BW1526" s="81" t="n"/>
      <c r="BX1526" s="81" t="n"/>
      <c r="BY1526" s="81" t="n"/>
      <c r="BZ1526" s="81" t="n"/>
      <c r="CA1526" s="81" t="n"/>
      <c r="CB1526" s="81" t="n"/>
      <c r="CC1526" s="81" t="n"/>
      <c r="CD1526" s="81" t="n"/>
      <c r="CE1526" s="81" t="n"/>
      <c r="CF1526" s="81" t="n"/>
      <c r="CG1526" s="81" t="n"/>
      <c r="CH1526" s="81" t="n"/>
    </row>
    <row r="1527">
      <c r="A1527" s="81" t="n"/>
      <c r="B1527" s="81" t="n"/>
      <c r="C1527" s="81" t="n"/>
      <c r="D1527" s="81" t="n"/>
      <c r="E1527" s="81" t="n"/>
      <c r="F1527" s="81" t="n"/>
      <c r="G1527" s="81" t="n"/>
      <c r="H1527" s="81" t="n"/>
      <c r="I1527" s="81" t="n"/>
      <c r="J1527" s="81" t="n"/>
      <c r="K1527" s="81" t="n"/>
      <c r="L1527" s="81" t="n"/>
      <c r="M1527" s="81" t="n"/>
      <c r="N1527" s="81" t="n"/>
      <c r="O1527" s="81" t="n"/>
      <c r="P1527" s="81" t="n"/>
      <c r="Q1527" s="81" t="n"/>
      <c r="R1527" s="81" t="n"/>
      <c r="S1527" s="81" t="n"/>
      <c r="T1527" s="81" t="n"/>
      <c r="U1527" s="81" t="n"/>
      <c r="V1527" s="81" t="n"/>
      <c r="W1527" s="81" t="n"/>
      <c r="X1527" s="81" t="n"/>
      <c r="Y1527" s="81" t="n"/>
      <c r="Z1527" s="81" t="n"/>
      <c r="AA1527" s="81" t="n"/>
      <c r="AB1527" s="81" t="n"/>
      <c r="AC1527" s="81" t="n"/>
      <c r="AD1527" s="81" t="n"/>
      <c r="AE1527" s="81" t="n"/>
      <c r="AF1527" s="81" t="n"/>
      <c r="AG1527" s="81" t="n"/>
      <c r="AH1527" s="81" t="n"/>
      <c r="AI1527" s="81" t="n"/>
      <c r="AJ1527" s="81" t="n"/>
      <c r="AK1527" s="81" t="n"/>
      <c r="AL1527" s="81" t="n"/>
      <c r="AM1527" s="81" t="n"/>
      <c r="AN1527" s="81" t="n"/>
      <c r="AO1527" s="81" t="n"/>
      <c r="AP1527" s="81" t="n"/>
      <c r="AQ1527" s="81" t="n"/>
      <c r="AR1527" s="81" t="n"/>
      <c r="AS1527" s="81" t="n"/>
      <c r="AT1527" s="81" t="n"/>
      <c r="AU1527" s="81" t="n"/>
      <c r="AV1527" s="81" t="n"/>
      <c r="AW1527" s="81" t="n"/>
      <c r="AX1527" s="81" t="n"/>
      <c r="AY1527" s="81" t="n"/>
      <c r="AZ1527" s="81" t="n"/>
      <c r="BA1527" s="81" t="n"/>
      <c r="BB1527" s="81" t="n"/>
      <c r="BC1527" s="81" t="n"/>
      <c r="BD1527" s="81" t="n"/>
      <c r="BE1527" s="81" t="n"/>
      <c r="BF1527" s="81" t="n"/>
      <c r="BG1527" s="81" t="n"/>
      <c r="BH1527" s="81" t="n"/>
      <c r="BI1527" s="81" t="n"/>
      <c r="BJ1527" s="81" t="n"/>
      <c r="BK1527" s="81" t="n"/>
      <c r="BL1527" s="81" t="n"/>
      <c r="BM1527" s="81" t="n"/>
      <c r="BN1527" s="81" t="n"/>
      <c r="BO1527" s="81" t="n"/>
      <c r="BP1527" s="81" t="n"/>
      <c r="BQ1527" s="81" t="n"/>
      <c r="BR1527" s="81" t="n"/>
      <c r="BS1527" s="81" t="n"/>
      <c r="BT1527" s="81" t="n"/>
      <c r="BU1527" s="81" t="n"/>
      <c r="BV1527" s="81" t="n"/>
      <c r="BW1527" s="81" t="n"/>
      <c r="BX1527" s="81" t="n"/>
      <c r="BY1527" s="81" t="n"/>
      <c r="BZ1527" s="81" t="n"/>
      <c r="CA1527" s="81" t="n"/>
      <c r="CB1527" s="81" t="n"/>
      <c r="CC1527" s="81" t="n"/>
      <c r="CD1527" s="81" t="n"/>
      <c r="CE1527" s="81" t="n"/>
      <c r="CF1527" s="81" t="n"/>
      <c r="CG1527" s="81" t="n"/>
      <c r="CH1527" s="81" t="n"/>
    </row>
    <row r="1528">
      <c r="A1528" s="81" t="n"/>
      <c r="B1528" s="81" t="n"/>
      <c r="C1528" s="81" t="n"/>
      <c r="D1528" s="81" t="n"/>
      <c r="E1528" s="81" t="n"/>
      <c r="F1528" s="81" t="n"/>
      <c r="G1528" s="81" t="n"/>
      <c r="H1528" s="81" t="n"/>
      <c r="I1528" s="81" t="n"/>
      <c r="J1528" s="81" t="n"/>
      <c r="K1528" s="81" t="n"/>
      <c r="L1528" s="81" t="n"/>
      <c r="M1528" s="81" t="n"/>
      <c r="N1528" s="81" t="n"/>
      <c r="O1528" s="81" t="n"/>
      <c r="P1528" s="81" t="n"/>
      <c r="Q1528" s="81" t="n"/>
      <c r="R1528" s="81" t="n"/>
      <c r="S1528" s="81" t="n"/>
      <c r="T1528" s="81" t="n"/>
      <c r="U1528" s="81" t="n"/>
      <c r="V1528" s="81" t="n"/>
      <c r="W1528" s="81" t="n"/>
      <c r="X1528" s="81" t="n"/>
      <c r="Y1528" s="81" t="n"/>
      <c r="Z1528" s="81" t="n"/>
      <c r="AA1528" s="81" t="n"/>
      <c r="AB1528" s="81" t="n"/>
      <c r="AC1528" s="81" t="n"/>
      <c r="AD1528" s="81" t="n"/>
      <c r="AE1528" s="81" t="n"/>
      <c r="AF1528" s="81" t="n"/>
      <c r="AG1528" s="81" t="n"/>
      <c r="AH1528" s="81" t="n"/>
      <c r="AI1528" s="81" t="n"/>
      <c r="AJ1528" s="81" t="n"/>
      <c r="AK1528" s="81" t="n"/>
      <c r="AL1528" s="81" t="n"/>
      <c r="AM1528" s="81" t="n"/>
      <c r="AN1528" s="81" t="n"/>
      <c r="AO1528" s="81" t="n"/>
      <c r="AP1528" s="81" t="n"/>
      <c r="AQ1528" s="81" t="n"/>
      <c r="AR1528" s="81" t="n"/>
      <c r="AS1528" s="81" t="n"/>
      <c r="AT1528" s="81" t="n"/>
      <c r="AU1528" s="81" t="n"/>
      <c r="AV1528" s="81" t="n"/>
      <c r="AW1528" s="81" t="n"/>
      <c r="AX1528" s="81" t="n"/>
      <c r="AY1528" s="81" t="n"/>
      <c r="AZ1528" s="81" t="n"/>
      <c r="BA1528" s="81" t="n"/>
      <c r="BB1528" s="81" t="n"/>
      <c r="BC1528" s="81" t="n"/>
      <c r="BD1528" s="81" t="n"/>
      <c r="BE1528" s="81" t="n"/>
      <c r="BF1528" s="81" t="n"/>
      <c r="BG1528" s="81" t="n"/>
      <c r="BH1528" s="81" t="n"/>
      <c r="BI1528" s="81" t="n"/>
      <c r="BJ1528" s="81" t="n"/>
      <c r="BK1528" s="81" t="n"/>
      <c r="BL1528" s="81" t="n"/>
      <c r="BM1528" s="81" t="n"/>
      <c r="BN1528" s="81" t="n"/>
      <c r="BO1528" s="81" t="n"/>
      <c r="BP1528" s="81" t="n"/>
      <c r="BQ1528" s="81" t="n"/>
      <c r="BR1528" s="81" t="n"/>
      <c r="BS1528" s="81" t="n"/>
      <c r="BT1528" s="81" t="n"/>
      <c r="BU1528" s="81" t="n"/>
      <c r="BV1528" s="81" t="n"/>
      <c r="BW1528" s="81" t="n"/>
      <c r="BX1528" s="81" t="n"/>
      <c r="BY1528" s="81" t="n"/>
      <c r="BZ1528" s="81" t="n"/>
      <c r="CA1528" s="81" t="n"/>
      <c r="CB1528" s="81" t="n"/>
      <c r="CC1528" s="81" t="n"/>
      <c r="CD1528" s="81" t="n"/>
      <c r="CE1528" s="81" t="n"/>
      <c r="CF1528" s="81" t="n"/>
      <c r="CG1528" s="81" t="n"/>
      <c r="CH1528" s="81" t="n"/>
    </row>
    <row r="1529">
      <c r="A1529" s="81" t="n"/>
      <c r="B1529" s="81" t="n"/>
      <c r="C1529" s="81" t="n"/>
      <c r="D1529" s="81" t="n"/>
      <c r="E1529" s="81" t="n"/>
      <c r="F1529" s="81" t="n"/>
      <c r="G1529" s="81" t="n"/>
      <c r="H1529" s="81" t="n"/>
      <c r="I1529" s="81" t="n"/>
      <c r="J1529" s="81" t="n"/>
      <c r="K1529" s="81" t="n"/>
      <c r="L1529" s="81" t="n"/>
      <c r="M1529" s="81" t="n"/>
      <c r="N1529" s="81" t="n"/>
      <c r="O1529" s="81" t="n"/>
      <c r="P1529" s="81" t="n"/>
      <c r="Q1529" s="81" t="n"/>
      <c r="R1529" s="81" t="n"/>
      <c r="S1529" s="81" t="n"/>
      <c r="T1529" s="81" t="n"/>
      <c r="U1529" s="81" t="n"/>
      <c r="V1529" s="81" t="n"/>
      <c r="W1529" s="81" t="n"/>
      <c r="X1529" s="81" t="n"/>
      <c r="Y1529" s="81" t="n"/>
      <c r="Z1529" s="81" t="n"/>
      <c r="AA1529" s="81" t="n"/>
      <c r="AB1529" s="81" t="n"/>
      <c r="AC1529" s="81" t="n"/>
      <c r="AD1529" s="81" t="n"/>
      <c r="AE1529" s="81" t="n"/>
      <c r="AF1529" s="81" t="n"/>
      <c r="AG1529" s="81" t="n"/>
      <c r="AH1529" s="81" t="n"/>
      <c r="AI1529" s="81" t="n"/>
      <c r="AJ1529" s="81" t="n"/>
      <c r="AK1529" s="81" t="n"/>
      <c r="AL1529" s="81" t="n"/>
      <c r="AM1529" s="81" t="n"/>
      <c r="AN1529" s="81" t="n"/>
      <c r="AO1529" s="81" t="n"/>
      <c r="AP1529" s="81" t="n"/>
      <c r="AQ1529" s="81" t="n"/>
      <c r="AR1529" s="81" t="n"/>
      <c r="AS1529" s="81" t="n"/>
      <c r="AT1529" s="81" t="n"/>
      <c r="AU1529" s="81" t="n"/>
      <c r="AV1529" s="81" t="n"/>
      <c r="AW1529" s="81" t="n"/>
      <c r="AX1529" s="81" t="n"/>
      <c r="AY1529" s="81" t="n"/>
      <c r="AZ1529" s="81" t="n"/>
      <c r="BA1529" s="81" t="n"/>
      <c r="BB1529" s="81" t="n"/>
      <c r="BC1529" s="81" t="n"/>
      <c r="BD1529" s="81" t="n"/>
      <c r="BE1529" s="81" t="n"/>
      <c r="BF1529" s="81" t="n"/>
      <c r="BG1529" s="81" t="n"/>
      <c r="BH1529" s="81" t="n"/>
      <c r="BI1529" s="81" t="n"/>
      <c r="BJ1529" s="81" t="n"/>
      <c r="BK1529" s="81" t="n"/>
      <c r="BL1529" s="81" t="n"/>
      <c r="BM1529" s="81" t="n"/>
      <c r="BN1529" s="81" t="n"/>
      <c r="BO1529" s="81" t="n"/>
      <c r="BP1529" s="81" t="n"/>
      <c r="BQ1529" s="81" t="n"/>
      <c r="BR1529" s="81" t="n"/>
      <c r="BS1529" s="81" t="n"/>
      <c r="BT1529" s="81" t="n"/>
      <c r="BU1529" s="81" t="n"/>
      <c r="BV1529" s="81" t="n"/>
      <c r="BW1529" s="81" t="n"/>
      <c r="BX1529" s="81" t="n"/>
      <c r="BY1529" s="81" t="n"/>
      <c r="BZ1529" s="81" t="n"/>
      <c r="CA1529" s="81" t="n"/>
      <c r="CB1529" s="81" t="n"/>
      <c r="CC1529" s="81" t="n"/>
      <c r="CD1529" s="81" t="n"/>
      <c r="CE1529" s="81" t="n"/>
      <c r="CF1529" s="81" t="n"/>
      <c r="CG1529" s="81" t="n"/>
      <c r="CH1529" s="81" t="n"/>
    </row>
    <row r="1530">
      <c r="A1530" s="81" t="n"/>
      <c r="B1530" s="81" t="n"/>
      <c r="C1530" s="81" t="n"/>
      <c r="D1530" s="81" t="n"/>
      <c r="E1530" s="81" t="n"/>
      <c r="F1530" s="81" t="n"/>
      <c r="G1530" s="81" t="n"/>
      <c r="H1530" s="81" t="n"/>
      <c r="I1530" s="81" t="n"/>
      <c r="J1530" s="81" t="n"/>
      <c r="K1530" s="81" t="n"/>
      <c r="L1530" s="81" t="n"/>
      <c r="M1530" s="81" t="n"/>
      <c r="N1530" s="81" t="n"/>
      <c r="O1530" s="81" t="n"/>
      <c r="P1530" s="81" t="n"/>
      <c r="Q1530" s="81" t="n"/>
      <c r="R1530" s="81" t="n"/>
      <c r="S1530" s="81" t="n"/>
      <c r="T1530" s="81" t="n"/>
      <c r="U1530" s="81" t="n"/>
      <c r="V1530" s="81" t="n"/>
      <c r="W1530" s="81" t="n"/>
      <c r="X1530" s="81" t="n"/>
      <c r="Y1530" s="81" t="n"/>
      <c r="Z1530" s="81" t="n"/>
      <c r="AA1530" s="81" t="n"/>
      <c r="AB1530" s="81" t="n"/>
      <c r="AC1530" s="81" t="n"/>
      <c r="AD1530" s="81" t="n"/>
      <c r="AE1530" s="81" t="n"/>
      <c r="AF1530" s="81" t="n"/>
      <c r="AG1530" s="81" t="n"/>
      <c r="AH1530" s="81" t="n"/>
      <c r="AI1530" s="81" t="n"/>
      <c r="AJ1530" s="81" t="n"/>
      <c r="AK1530" s="81" t="n"/>
      <c r="AL1530" s="81" t="n"/>
      <c r="AM1530" s="81" t="n"/>
      <c r="AN1530" s="81" t="n"/>
      <c r="AO1530" s="81" t="n"/>
      <c r="AP1530" s="81" t="n"/>
      <c r="AQ1530" s="81" t="n"/>
      <c r="AR1530" s="81" t="n"/>
      <c r="AS1530" s="81" t="n"/>
      <c r="AT1530" s="81" t="n"/>
      <c r="AU1530" s="81" t="n"/>
      <c r="AV1530" s="81" t="n"/>
      <c r="AW1530" s="81" t="n"/>
      <c r="AX1530" s="81" t="n"/>
      <c r="AY1530" s="81" t="n"/>
      <c r="AZ1530" s="81" t="n"/>
      <c r="BA1530" s="81" t="n"/>
      <c r="BB1530" s="81" t="n"/>
      <c r="BC1530" s="81" t="n"/>
      <c r="BD1530" s="81" t="n"/>
      <c r="BE1530" s="81" t="n"/>
      <c r="BF1530" s="81" t="n"/>
      <c r="BG1530" s="81" t="n"/>
      <c r="BH1530" s="81" t="n"/>
      <c r="BI1530" s="81" t="n"/>
      <c r="BJ1530" s="81" t="n"/>
      <c r="BK1530" s="81" t="n"/>
      <c r="BL1530" s="81" t="n"/>
      <c r="BM1530" s="81" t="n"/>
      <c r="BN1530" s="81" t="n"/>
      <c r="BO1530" s="81" t="n"/>
      <c r="BP1530" s="81" t="n"/>
      <c r="BQ1530" s="81" t="n"/>
      <c r="BR1530" s="81" t="n"/>
      <c r="BS1530" s="81" t="n"/>
      <c r="BT1530" s="81" t="n"/>
      <c r="BU1530" s="81" t="n"/>
      <c r="BV1530" s="81" t="n"/>
      <c r="BW1530" s="81" t="n"/>
      <c r="BX1530" s="81" t="n"/>
      <c r="BY1530" s="81" t="n"/>
      <c r="BZ1530" s="81" t="n"/>
      <c r="CA1530" s="81" t="n"/>
      <c r="CB1530" s="81" t="n"/>
      <c r="CC1530" s="81" t="n"/>
      <c r="CD1530" s="81" t="n"/>
      <c r="CE1530" s="81" t="n"/>
      <c r="CF1530" s="81" t="n"/>
      <c r="CG1530" s="81" t="n"/>
      <c r="CH1530" s="81" t="n"/>
    </row>
    <row r="1531">
      <c r="A1531" s="81" t="n"/>
      <c r="B1531" s="81" t="n"/>
      <c r="C1531" s="81" t="n"/>
      <c r="D1531" s="81" t="n"/>
      <c r="E1531" s="81" t="n"/>
      <c r="F1531" s="81" t="n"/>
      <c r="G1531" s="81" t="n"/>
      <c r="H1531" s="81" t="n"/>
      <c r="I1531" s="81" t="n"/>
      <c r="J1531" s="81" t="n"/>
      <c r="K1531" s="81" t="n"/>
      <c r="L1531" s="81" t="n"/>
      <c r="M1531" s="81" t="n"/>
      <c r="N1531" s="81" t="n"/>
      <c r="O1531" s="81" t="n"/>
      <c r="P1531" s="81" t="n"/>
      <c r="Q1531" s="81" t="n"/>
      <c r="R1531" s="81" t="n"/>
      <c r="S1531" s="81" t="n"/>
      <c r="T1531" s="81" t="n"/>
      <c r="U1531" s="81" t="n"/>
      <c r="V1531" s="81" t="n"/>
      <c r="W1531" s="81" t="n"/>
      <c r="X1531" s="81" t="n"/>
      <c r="Y1531" s="81" t="n"/>
      <c r="Z1531" s="81" t="n"/>
      <c r="AA1531" s="81" t="n"/>
      <c r="AB1531" s="81" t="n"/>
      <c r="AC1531" s="81" t="n"/>
      <c r="AD1531" s="81" t="n"/>
      <c r="AE1531" s="81" t="n"/>
      <c r="AF1531" s="81" t="n"/>
      <c r="AG1531" s="81" t="n"/>
      <c r="AH1531" s="81" t="n"/>
      <c r="AI1531" s="81" t="n"/>
      <c r="AJ1531" s="81" t="n"/>
      <c r="AK1531" s="81" t="n"/>
      <c r="AL1531" s="81" t="n"/>
      <c r="AM1531" s="81" t="n"/>
      <c r="AN1531" s="81" t="n"/>
      <c r="AO1531" s="81" t="n"/>
      <c r="AP1531" s="81" t="n"/>
      <c r="AQ1531" s="81" t="n"/>
      <c r="AR1531" s="81" t="n"/>
      <c r="AS1531" s="81" t="n"/>
      <c r="AT1531" s="81" t="n"/>
      <c r="AU1531" s="81" t="n"/>
      <c r="AV1531" s="81" t="n"/>
      <c r="AW1531" s="81" t="n"/>
      <c r="AX1531" s="81" t="n"/>
      <c r="AY1531" s="81" t="n"/>
      <c r="AZ1531" s="81" t="n"/>
      <c r="BA1531" s="81" t="n"/>
      <c r="BB1531" s="81" t="n"/>
      <c r="BC1531" s="81" t="n"/>
      <c r="BD1531" s="81" t="n"/>
      <c r="BE1531" s="81" t="n"/>
      <c r="BF1531" s="81" t="n"/>
      <c r="BG1531" s="81" t="n"/>
      <c r="BH1531" s="81" t="n"/>
      <c r="BI1531" s="81" t="n"/>
      <c r="BJ1531" s="81" t="n"/>
      <c r="BK1531" s="81" t="n"/>
      <c r="BL1531" s="81" t="n"/>
      <c r="BM1531" s="81" t="n"/>
      <c r="BN1531" s="81" t="n"/>
      <c r="BO1531" s="81" t="n"/>
      <c r="BP1531" s="81" t="n"/>
      <c r="BQ1531" s="81" t="n"/>
      <c r="BR1531" s="81" t="n"/>
      <c r="BS1531" s="81" t="n"/>
      <c r="BT1531" s="81" t="n"/>
      <c r="BU1531" s="81" t="n"/>
      <c r="BV1531" s="81" t="n"/>
      <c r="BW1531" s="81" t="n"/>
      <c r="BX1531" s="81" t="n"/>
      <c r="BY1531" s="81" t="n"/>
      <c r="BZ1531" s="81" t="n"/>
      <c r="CA1531" s="81" t="n"/>
      <c r="CB1531" s="81" t="n"/>
      <c r="CC1531" s="81" t="n"/>
      <c r="CD1531" s="81" t="n"/>
      <c r="CE1531" s="81" t="n"/>
      <c r="CF1531" s="81" t="n"/>
      <c r="CG1531" s="81" t="n"/>
      <c r="CH1531" s="81" t="n"/>
    </row>
    <row r="1532">
      <c r="A1532" s="81" t="n"/>
      <c r="B1532" s="81" t="n"/>
      <c r="C1532" s="81" t="n"/>
      <c r="D1532" s="81" t="n"/>
      <c r="E1532" s="81" t="n"/>
      <c r="F1532" s="81" t="n"/>
      <c r="G1532" s="81" t="n"/>
      <c r="H1532" s="81" t="n"/>
      <c r="I1532" s="81" t="n"/>
      <c r="J1532" s="81" t="n"/>
      <c r="K1532" s="81" t="n"/>
      <c r="L1532" s="81" t="n"/>
      <c r="M1532" s="81" t="n"/>
      <c r="N1532" s="81" t="n"/>
      <c r="O1532" s="81" t="n"/>
      <c r="P1532" s="81" t="n"/>
      <c r="Q1532" s="81" t="n"/>
      <c r="R1532" s="81" t="n"/>
      <c r="S1532" s="81" t="n"/>
      <c r="T1532" s="81" t="n"/>
      <c r="U1532" s="81" t="n"/>
      <c r="V1532" s="81" t="n"/>
      <c r="W1532" s="81" t="n"/>
      <c r="X1532" s="81" t="n"/>
      <c r="Y1532" s="81" t="n"/>
      <c r="Z1532" s="81" t="n"/>
      <c r="AA1532" s="81" t="n"/>
      <c r="AB1532" s="81" t="n"/>
      <c r="AC1532" s="81" t="n"/>
      <c r="AD1532" s="81" t="n"/>
      <c r="AE1532" s="81" t="n"/>
      <c r="AF1532" s="81" t="n"/>
      <c r="AG1532" s="81" t="n"/>
      <c r="AH1532" s="81" t="n"/>
      <c r="AI1532" s="81" t="n"/>
      <c r="AJ1532" s="81" t="n"/>
      <c r="AK1532" s="81" t="n"/>
      <c r="AL1532" s="81" t="n"/>
      <c r="AM1532" s="81" t="n"/>
      <c r="AN1532" s="81" t="n"/>
      <c r="AO1532" s="81" t="n"/>
      <c r="AP1532" s="81" t="n"/>
      <c r="AQ1532" s="81" t="n"/>
      <c r="AR1532" s="81" t="n"/>
      <c r="AS1532" s="81" t="n"/>
      <c r="AT1532" s="81" t="n"/>
      <c r="AU1532" s="81" t="n"/>
      <c r="AV1532" s="81" t="n"/>
      <c r="AW1532" s="81" t="n"/>
      <c r="AX1532" s="81" t="n"/>
      <c r="AY1532" s="81" t="n"/>
      <c r="AZ1532" s="81" t="n"/>
      <c r="BA1532" s="81" t="n"/>
      <c r="BB1532" s="81" t="n"/>
      <c r="BC1532" s="81" t="n"/>
      <c r="BD1532" s="81" t="n"/>
      <c r="BE1532" s="81" t="n"/>
      <c r="BF1532" s="81" t="n"/>
      <c r="BG1532" s="81" t="n"/>
      <c r="BH1532" s="81" t="n"/>
      <c r="BI1532" s="81" t="n"/>
      <c r="BJ1532" s="81" t="n"/>
      <c r="BK1532" s="81" t="n"/>
      <c r="BL1532" s="81" t="n"/>
      <c r="BM1532" s="81" t="n"/>
      <c r="BN1532" s="81" t="n"/>
      <c r="BO1532" s="81" t="n"/>
      <c r="BP1532" s="81" t="n"/>
      <c r="BQ1532" s="81" t="n"/>
      <c r="BR1532" s="81" t="n"/>
      <c r="BS1532" s="81" t="n"/>
      <c r="BT1532" s="81" t="n"/>
      <c r="BU1532" s="81" t="n"/>
      <c r="BV1532" s="81" t="n"/>
      <c r="BW1532" s="81" t="n"/>
      <c r="BX1532" s="81" t="n"/>
      <c r="BY1532" s="81" t="n"/>
      <c r="BZ1532" s="81" t="n"/>
      <c r="CA1532" s="81" t="n"/>
      <c r="CB1532" s="81" t="n"/>
      <c r="CC1532" s="81" t="n"/>
      <c r="CD1532" s="81" t="n"/>
      <c r="CE1532" s="81" t="n"/>
      <c r="CF1532" s="81" t="n"/>
      <c r="CG1532" s="81" t="n"/>
      <c r="CH1532" s="81" t="n"/>
    </row>
    <row r="1533">
      <c r="A1533" s="81" t="n"/>
      <c r="B1533" s="81" t="n"/>
      <c r="C1533" s="81" t="n"/>
      <c r="D1533" s="81" t="n"/>
      <c r="E1533" s="81" t="n"/>
      <c r="F1533" s="81" t="n"/>
      <c r="G1533" s="81" t="n"/>
      <c r="H1533" s="81" t="n"/>
      <c r="I1533" s="81" t="n"/>
      <c r="J1533" s="81" t="n"/>
      <c r="K1533" s="81" t="n"/>
      <c r="L1533" s="81" t="n"/>
      <c r="M1533" s="81" t="n"/>
      <c r="N1533" s="81" t="n"/>
      <c r="O1533" s="81" t="n"/>
      <c r="P1533" s="81" t="n"/>
      <c r="Q1533" s="81" t="n"/>
      <c r="R1533" s="81" t="n"/>
      <c r="S1533" s="81" t="n"/>
      <c r="T1533" s="81" t="n"/>
      <c r="U1533" s="81" t="n"/>
      <c r="V1533" s="81" t="n"/>
      <c r="W1533" s="81" t="n"/>
      <c r="X1533" s="81" t="n"/>
      <c r="Y1533" s="81" t="n"/>
      <c r="Z1533" s="81" t="n"/>
      <c r="AA1533" s="81" t="n"/>
      <c r="AB1533" s="81" t="n"/>
      <c r="AC1533" s="81" t="n"/>
      <c r="AD1533" s="81" t="n"/>
      <c r="AE1533" s="81" t="n"/>
      <c r="AF1533" s="81" t="n"/>
      <c r="AG1533" s="81" t="n"/>
      <c r="AH1533" s="81" t="n"/>
      <c r="AI1533" s="81" t="n"/>
      <c r="AJ1533" s="81" t="n"/>
      <c r="AK1533" s="81" t="n"/>
      <c r="AL1533" s="81" t="n"/>
      <c r="AM1533" s="81" t="n"/>
      <c r="AN1533" s="81" t="n"/>
      <c r="AO1533" s="81" t="n"/>
      <c r="AP1533" s="81" t="n"/>
      <c r="AQ1533" s="81" t="n"/>
      <c r="AR1533" s="81" t="n"/>
      <c r="AS1533" s="81" t="n"/>
      <c r="AT1533" s="81" t="n"/>
      <c r="AU1533" s="81" t="n"/>
      <c r="AV1533" s="81" t="n"/>
      <c r="AW1533" s="81" t="n"/>
      <c r="AX1533" s="81" t="n"/>
      <c r="AY1533" s="81" t="n"/>
      <c r="AZ1533" s="81" t="n"/>
      <c r="BA1533" s="81" t="n"/>
      <c r="BB1533" s="81" t="n"/>
      <c r="BC1533" s="81" t="n"/>
      <c r="BD1533" s="81" t="n"/>
      <c r="BE1533" s="81" t="n"/>
      <c r="BF1533" s="81" t="n"/>
      <c r="BG1533" s="81" t="n"/>
      <c r="BH1533" s="81" t="n"/>
      <c r="BI1533" s="81" t="n"/>
      <c r="BJ1533" s="81" t="n"/>
      <c r="BK1533" s="81" t="n"/>
      <c r="BL1533" s="81" t="n"/>
      <c r="BM1533" s="81" t="n"/>
      <c r="BN1533" s="81" t="n"/>
      <c r="BO1533" s="81" t="n"/>
      <c r="BP1533" s="81" t="n"/>
      <c r="BQ1533" s="81" t="n"/>
      <c r="BR1533" s="81" t="n"/>
      <c r="BS1533" s="81" t="n"/>
      <c r="BT1533" s="81" t="n"/>
      <c r="BU1533" s="81" t="n"/>
      <c r="BV1533" s="81" t="n"/>
      <c r="BW1533" s="81" t="n"/>
      <c r="BX1533" s="81" t="n"/>
      <c r="BY1533" s="81" t="n"/>
      <c r="BZ1533" s="81" t="n"/>
      <c r="CA1533" s="81" t="n"/>
      <c r="CB1533" s="81" t="n"/>
      <c r="CC1533" s="81" t="n"/>
      <c r="CD1533" s="81" t="n"/>
      <c r="CE1533" s="81" t="n"/>
      <c r="CF1533" s="81" t="n"/>
      <c r="CG1533" s="81" t="n"/>
      <c r="CH1533" s="81" t="n"/>
    </row>
    <row r="1534">
      <c r="A1534" s="81" t="n"/>
      <c r="B1534" s="81" t="n"/>
      <c r="C1534" s="81" t="n"/>
      <c r="D1534" s="81" t="n"/>
      <c r="E1534" s="81" t="n"/>
      <c r="F1534" s="81" t="n"/>
      <c r="G1534" s="81" t="n"/>
      <c r="H1534" s="81" t="n"/>
      <c r="I1534" s="81" t="n"/>
      <c r="J1534" s="81" t="n"/>
      <c r="K1534" s="81" t="n"/>
      <c r="L1534" s="81" t="n"/>
      <c r="M1534" s="81" t="n"/>
      <c r="N1534" s="81" t="n"/>
      <c r="O1534" s="81" t="n"/>
      <c r="P1534" s="81" t="n"/>
      <c r="Q1534" s="81" t="n"/>
      <c r="R1534" s="81" t="n"/>
      <c r="S1534" s="81" t="n"/>
      <c r="T1534" s="81" t="n"/>
      <c r="U1534" s="81" t="n"/>
      <c r="V1534" s="81" t="n"/>
      <c r="W1534" s="81" t="n"/>
      <c r="X1534" s="81" t="n"/>
      <c r="Y1534" s="81" t="n"/>
      <c r="Z1534" s="81" t="n"/>
      <c r="AA1534" s="81" t="n"/>
      <c r="AB1534" s="81" t="n"/>
      <c r="AC1534" s="81" t="n"/>
      <c r="AD1534" s="81" t="n"/>
      <c r="AE1534" s="81" t="n"/>
      <c r="AF1534" s="81" t="n"/>
      <c r="AG1534" s="81" t="n"/>
      <c r="AH1534" s="81" t="n"/>
      <c r="AI1534" s="81" t="n"/>
      <c r="AJ1534" s="81" t="n"/>
      <c r="AK1534" s="81" t="n"/>
      <c r="AL1534" s="81" t="n"/>
      <c r="AM1534" s="81" t="n"/>
      <c r="AN1534" s="81" t="n"/>
      <c r="AO1534" s="81" t="n"/>
      <c r="AP1534" s="81" t="n"/>
      <c r="AQ1534" s="81" t="n"/>
      <c r="AR1534" s="81" t="n"/>
      <c r="AS1534" s="81" t="n"/>
      <c r="AT1534" s="81" t="n"/>
      <c r="AU1534" s="81" t="n"/>
      <c r="AV1534" s="81" t="n"/>
      <c r="AW1534" s="81" t="n"/>
      <c r="AX1534" s="81" t="n"/>
      <c r="AY1534" s="81" t="n"/>
      <c r="AZ1534" s="81" t="n"/>
      <c r="BA1534" s="81" t="n"/>
      <c r="BB1534" s="81" t="n"/>
      <c r="BC1534" s="81" t="n"/>
      <c r="BD1534" s="81" t="n"/>
      <c r="BE1534" s="81" t="n"/>
      <c r="BF1534" s="81" t="n"/>
      <c r="BG1534" s="81" t="n"/>
      <c r="BH1534" s="81" t="n"/>
      <c r="BI1534" s="81" t="n"/>
      <c r="BJ1534" s="81" t="n"/>
      <c r="BK1534" s="81" t="n"/>
      <c r="BL1534" s="81" t="n"/>
      <c r="BM1534" s="81" t="n"/>
      <c r="BN1534" s="81" t="n"/>
      <c r="BO1534" s="81" t="n"/>
      <c r="BP1534" s="81" t="n"/>
      <c r="BQ1534" s="81" t="n"/>
      <c r="BR1534" s="81" t="n"/>
      <c r="BS1534" s="81" t="n"/>
      <c r="BT1534" s="81" t="n"/>
      <c r="BU1534" s="81" t="n"/>
      <c r="BV1534" s="81" t="n"/>
      <c r="BW1534" s="81" t="n"/>
      <c r="BX1534" s="81" t="n"/>
      <c r="BY1534" s="81" t="n"/>
      <c r="BZ1534" s="81" t="n"/>
      <c r="CA1534" s="81" t="n"/>
      <c r="CB1534" s="81" t="n"/>
      <c r="CC1534" s="81" t="n"/>
      <c r="CD1534" s="81" t="n"/>
      <c r="CE1534" s="81" t="n"/>
      <c r="CF1534" s="81" t="n"/>
      <c r="CG1534" s="81" t="n"/>
      <c r="CH1534" s="81" t="n"/>
    </row>
    <row r="1535">
      <c r="A1535" s="81" t="n"/>
      <c r="B1535" s="81" t="n"/>
      <c r="C1535" s="81" t="n"/>
      <c r="D1535" s="81" t="n"/>
      <c r="E1535" s="81" t="n"/>
      <c r="F1535" s="81" t="n"/>
      <c r="G1535" s="81" t="n"/>
      <c r="H1535" s="81" t="n"/>
      <c r="I1535" s="81" t="n"/>
      <c r="J1535" s="81" t="n"/>
      <c r="K1535" s="81" t="n"/>
      <c r="L1535" s="81" t="n"/>
      <c r="M1535" s="81" t="n"/>
      <c r="N1535" s="81" t="n"/>
      <c r="O1535" s="81" t="n"/>
      <c r="P1535" s="81" t="n"/>
      <c r="Q1535" s="81" t="n"/>
      <c r="R1535" s="81" t="n"/>
      <c r="S1535" s="81" t="n"/>
      <c r="T1535" s="81" t="n"/>
      <c r="U1535" s="81" t="n"/>
      <c r="V1535" s="81" t="n"/>
      <c r="W1535" s="81" t="n"/>
      <c r="X1535" s="81" t="n"/>
      <c r="Y1535" s="81" t="n"/>
      <c r="Z1535" s="81" t="n"/>
      <c r="AA1535" s="81" t="n"/>
      <c r="AB1535" s="81" t="n"/>
      <c r="AC1535" s="81" t="n"/>
      <c r="AD1535" s="81" t="n"/>
      <c r="AE1535" s="81" t="n"/>
      <c r="AF1535" s="81" t="n"/>
      <c r="AG1535" s="81" t="n"/>
      <c r="AH1535" s="81" t="n"/>
      <c r="AI1535" s="81" t="n"/>
      <c r="AJ1535" s="81" t="n"/>
      <c r="AK1535" s="81" t="n"/>
      <c r="AL1535" s="81" t="n"/>
      <c r="AM1535" s="81" t="n"/>
      <c r="AN1535" s="81" t="n"/>
      <c r="AO1535" s="81" t="n"/>
      <c r="AP1535" s="81" t="n"/>
      <c r="AQ1535" s="81" t="n"/>
      <c r="AR1535" s="81" t="n"/>
      <c r="AS1535" s="81" t="n"/>
      <c r="AT1535" s="81" t="n"/>
      <c r="AU1535" s="81" t="n"/>
      <c r="AV1535" s="81" t="n"/>
      <c r="AW1535" s="81" t="n"/>
      <c r="AX1535" s="81" t="n"/>
      <c r="AY1535" s="81" t="n"/>
      <c r="AZ1535" s="81" t="n"/>
      <c r="BA1535" s="81" t="n"/>
      <c r="BB1535" s="81" t="n"/>
      <c r="BC1535" s="81" t="n"/>
      <c r="BD1535" s="81" t="n"/>
      <c r="BE1535" s="81" t="n"/>
      <c r="BF1535" s="81" t="n"/>
      <c r="BG1535" s="81" t="n"/>
      <c r="BH1535" s="81" t="n"/>
      <c r="BI1535" s="81" t="n"/>
      <c r="BJ1535" s="81" t="n"/>
      <c r="BK1535" s="81" t="n"/>
      <c r="BL1535" s="81" t="n"/>
      <c r="BM1535" s="81" t="n"/>
      <c r="BN1535" s="81" t="n"/>
      <c r="BO1535" s="81" t="n"/>
      <c r="BP1535" s="81" t="n"/>
      <c r="BQ1535" s="81" t="n"/>
      <c r="BR1535" s="81" t="n"/>
      <c r="BS1535" s="81" t="n"/>
      <c r="BT1535" s="81" t="n"/>
      <c r="BU1535" s="81" t="n"/>
      <c r="BV1535" s="81" t="n"/>
      <c r="BW1535" s="81" t="n"/>
      <c r="BX1535" s="81" t="n"/>
      <c r="BY1535" s="81" t="n"/>
      <c r="BZ1535" s="81" t="n"/>
      <c r="CA1535" s="81" t="n"/>
      <c r="CB1535" s="81" t="n"/>
      <c r="CC1535" s="81" t="n"/>
      <c r="CD1535" s="81" t="n"/>
      <c r="CE1535" s="81" t="n"/>
      <c r="CF1535" s="81" t="n"/>
      <c r="CG1535" s="81" t="n"/>
      <c r="CH1535" s="81" t="n"/>
    </row>
    <row r="1536">
      <c r="A1536" s="81" t="n"/>
      <c r="B1536" s="81" t="n"/>
      <c r="C1536" s="81" t="n"/>
      <c r="D1536" s="81" t="n"/>
      <c r="E1536" s="81" t="n"/>
      <c r="F1536" s="81" t="n"/>
      <c r="G1536" s="81" t="n"/>
      <c r="H1536" s="81" t="n"/>
      <c r="I1536" s="81" t="n"/>
      <c r="J1536" s="81" t="n"/>
      <c r="K1536" s="81" t="n"/>
      <c r="L1536" s="81" t="n"/>
      <c r="M1536" s="81" t="n"/>
      <c r="N1536" s="81" t="n"/>
      <c r="O1536" s="81" t="n"/>
      <c r="P1536" s="81" t="n"/>
      <c r="Q1536" s="81" t="n"/>
      <c r="R1536" s="81" t="n"/>
      <c r="S1536" s="81" t="n"/>
      <c r="T1536" s="81" t="n"/>
      <c r="U1536" s="81" t="n"/>
      <c r="V1536" s="81" t="n"/>
      <c r="W1536" s="81" t="n"/>
      <c r="X1536" s="81" t="n"/>
      <c r="Y1536" s="81" t="n"/>
      <c r="Z1536" s="81" t="n"/>
      <c r="AA1536" s="81" t="n"/>
      <c r="AB1536" s="81" t="n"/>
      <c r="AC1536" s="81" t="n"/>
      <c r="AD1536" s="81" t="n"/>
      <c r="AE1536" s="81" t="n"/>
      <c r="AF1536" s="81" t="n"/>
      <c r="AG1536" s="81" t="n"/>
      <c r="AH1536" s="81" t="n"/>
      <c r="AI1536" s="81" t="n"/>
      <c r="AJ1536" s="81" t="n"/>
      <c r="AK1536" s="81" t="n"/>
      <c r="AL1536" s="81" t="n"/>
      <c r="AM1536" s="81" t="n"/>
      <c r="AN1536" s="81" t="n"/>
      <c r="AO1536" s="81" t="n"/>
      <c r="AP1536" s="81" t="n"/>
      <c r="AQ1536" s="81" t="n"/>
      <c r="AR1536" s="81" t="n"/>
      <c r="AS1536" s="81" t="n"/>
      <c r="AT1536" s="81" t="n"/>
      <c r="AU1536" s="81" t="n"/>
      <c r="AV1536" s="81" t="n"/>
      <c r="AW1536" s="81" t="n"/>
      <c r="AX1536" s="81" t="n"/>
      <c r="AY1536" s="81" t="n"/>
      <c r="AZ1536" s="81" t="n"/>
      <c r="BA1536" s="81" t="n"/>
      <c r="BB1536" s="81" t="n"/>
      <c r="BC1536" s="81" t="n"/>
      <c r="BD1536" s="81" t="n"/>
      <c r="BE1536" s="81" t="n"/>
      <c r="BF1536" s="81" t="n"/>
      <c r="BG1536" s="81" t="n"/>
      <c r="BH1536" s="81" t="n"/>
      <c r="BI1536" s="81" t="n"/>
      <c r="BJ1536" s="81" t="n"/>
      <c r="BK1536" s="81" t="n"/>
      <c r="BL1536" s="81" t="n"/>
      <c r="BM1536" s="81" t="n"/>
      <c r="BN1536" s="81" t="n"/>
      <c r="BO1536" s="81" t="n"/>
      <c r="BP1536" s="81" t="n"/>
      <c r="BQ1536" s="81" t="n"/>
      <c r="BR1536" s="81" t="n"/>
      <c r="BS1536" s="81" t="n"/>
      <c r="BT1536" s="81" t="n"/>
      <c r="BU1536" s="81" t="n"/>
      <c r="BV1536" s="81" t="n"/>
      <c r="BW1536" s="81" t="n"/>
      <c r="BX1536" s="81" t="n"/>
      <c r="BY1536" s="81" t="n"/>
      <c r="BZ1536" s="81" t="n"/>
      <c r="CA1536" s="81" t="n"/>
      <c r="CB1536" s="81" t="n"/>
      <c r="CC1536" s="81" t="n"/>
      <c r="CD1536" s="81" t="n"/>
      <c r="CE1536" s="81" t="n"/>
      <c r="CF1536" s="81" t="n"/>
      <c r="CG1536" s="81" t="n"/>
      <c r="CH1536" s="81" t="n"/>
    </row>
    <row r="1537">
      <c r="A1537" s="81" t="n"/>
      <c r="B1537" s="81" t="n"/>
      <c r="C1537" s="81" t="n"/>
      <c r="D1537" s="81" t="n"/>
      <c r="E1537" s="81" t="n"/>
      <c r="F1537" s="81" t="n"/>
      <c r="G1537" s="81" t="n"/>
      <c r="H1537" s="81" t="n"/>
      <c r="I1537" s="81" t="n"/>
      <c r="J1537" s="81" t="n"/>
      <c r="K1537" s="81" t="n"/>
      <c r="L1537" s="81" t="n"/>
      <c r="M1537" s="81" t="n"/>
      <c r="N1537" s="81" t="n"/>
      <c r="O1537" s="81" t="n"/>
      <c r="P1537" s="81" t="n"/>
      <c r="Q1537" s="81" t="n"/>
      <c r="R1537" s="81" t="n"/>
      <c r="S1537" s="81" t="n"/>
      <c r="T1537" s="81" t="n"/>
      <c r="U1537" s="81" t="n"/>
      <c r="V1537" s="81" t="n"/>
      <c r="W1537" s="81" t="n"/>
      <c r="X1537" s="81" t="n"/>
      <c r="Y1537" s="81" t="n"/>
      <c r="Z1537" s="81" t="n"/>
      <c r="AA1537" s="81" t="n"/>
      <c r="AB1537" s="81" t="n"/>
      <c r="AC1537" s="81" t="n"/>
      <c r="AD1537" s="81" t="n"/>
      <c r="AE1537" s="81" t="n"/>
      <c r="AF1537" s="81" t="n"/>
      <c r="AG1537" s="81" t="n"/>
      <c r="AH1537" s="81" t="n"/>
      <c r="AI1537" s="81" t="n"/>
      <c r="AJ1537" s="81" t="n"/>
      <c r="AK1537" s="81" t="n"/>
      <c r="AL1537" s="81" t="n"/>
      <c r="AM1537" s="81" t="n"/>
      <c r="AN1537" s="81" t="n"/>
      <c r="AO1537" s="81" t="n"/>
      <c r="AP1537" s="81" t="n"/>
      <c r="AQ1537" s="81" t="n"/>
      <c r="AR1537" s="81" t="n"/>
      <c r="AS1537" s="81" t="n"/>
      <c r="AT1537" s="81" t="n"/>
      <c r="AU1537" s="81" t="n"/>
      <c r="AV1537" s="81" t="n"/>
      <c r="AW1537" s="81" t="n"/>
      <c r="AX1537" s="81" t="n"/>
      <c r="AY1537" s="81" t="n"/>
      <c r="AZ1537" s="81" t="n"/>
      <c r="BA1537" s="81" t="n"/>
      <c r="BB1537" s="81" t="n"/>
      <c r="BC1537" s="81" t="n"/>
      <c r="BD1537" s="81" t="n"/>
      <c r="BE1537" s="81" t="n"/>
      <c r="BF1537" s="81" t="n"/>
      <c r="BG1537" s="81" t="n"/>
      <c r="BH1537" s="81" t="n"/>
      <c r="BI1537" s="81" t="n"/>
      <c r="BJ1537" s="81" t="n"/>
      <c r="BK1537" s="81" t="n"/>
      <c r="BL1537" s="81" t="n"/>
      <c r="BM1537" s="81" t="n"/>
      <c r="BN1537" s="81" t="n"/>
      <c r="BO1537" s="81" t="n"/>
      <c r="BP1537" s="81" t="n"/>
      <c r="BQ1537" s="81" t="n"/>
      <c r="BR1537" s="81" t="n"/>
      <c r="BS1537" s="81" t="n"/>
      <c r="BT1537" s="81" t="n"/>
      <c r="BU1537" s="81" t="n"/>
      <c r="BV1537" s="81" t="n"/>
      <c r="BW1537" s="81" t="n"/>
      <c r="BX1537" s="81" t="n"/>
      <c r="BY1537" s="81" t="n"/>
      <c r="BZ1537" s="81" t="n"/>
      <c r="CA1537" s="81" t="n"/>
      <c r="CB1537" s="81" t="n"/>
      <c r="CC1537" s="81" t="n"/>
      <c r="CD1537" s="81" t="n"/>
      <c r="CE1537" s="81" t="n"/>
      <c r="CF1537" s="81" t="n"/>
      <c r="CG1537" s="81" t="n"/>
      <c r="CH1537" s="81" t="n"/>
    </row>
    <row r="1538">
      <c r="A1538" s="81" t="n"/>
      <c r="B1538" s="81" t="n"/>
      <c r="C1538" s="81" t="n"/>
      <c r="D1538" s="81" t="n"/>
      <c r="E1538" s="81" t="n"/>
      <c r="F1538" s="81" t="n"/>
      <c r="G1538" s="81" t="n"/>
      <c r="H1538" s="81" t="n"/>
      <c r="I1538" s="81" t="n"/>
      <c r="J1538" s="81" t="n"/>
      <c r="K1538" s="81" t="n"/>
      <c r="L1538" s="81" t="n"/>
      <c r="M1538" s="81" t="n"/>
      <c r="N1538" s="81" t="n"/>
      <c r="O1538" s="81" t="n"/>
      <c r="P1538" s="81" t="n"/>
      <c r="Q1538" s="81" t="n"/>
      <c r="R1538" s="81" t="n"/>
      <c r="S1538" s="81" t="n"/>
      <c r="T1538" s="81" t="n"/>
      <c r="U1538" s="81" t="n"/>
      <c r="V1538" s="81" t="n"/>
      <c r="W1538" s="81" t="n"/>
      <c r="X1538" s="81" t="n"/>
      <c r="Y1538" s="81" t="n"/>
      <c r="Z1538" s="81" t="n"/>
      <c r="AA1538" s="81" t="n"/>
      <c r="AB1538" s="81" t="n"/>
      <c r="AC1538" s="81" t="n"/>
      <c r="AD1538" s="81" t="n"/>
      <c r="AE1538" s="81" t="n"/>
      <c r="AF1538" s="81" t="n"/>
      <c r="AG1538" s="81" t="n"/>
      <c r="AH1538" s="81" t="n"/>
      <c r="AI1538" s="81" t="n"/>
      <c r="AJ1538" s="81" t="n"/>
      <c r="AK1538" s="81" t="n"/>
      <c r="AL1538" s="81" t="n"/>
      <c r="AM1538" s="81" t="n"/>
      <c r="AN1538" s="81" t="n"/>
      <c r="AO1538" s="81" t="n"/>
      <c r="AP1538" s="81" t="n"/>
      <c r="AQ1538" s="81" t="n"/>
      <c r="AR1538" s="81" t="n"/>
      <c r="AS1538" s="81" t="n"/>
      <c r="AT1538" s="81" t="n"/>
      <c r="AU1538" s="81" t="n"/>
      <c r="AV1538" s="81" t="n"/>
      <c r="AW1538" s="81" t="n"/>
      <c r="AX1538" s="81" t="n"/>
      <c r="AY1538" s="81" t="n"/>
      <c r="AZ1538" s="81" t="n"/>
      <c r="BA1538" s="81" t="n"/>
      <c r="BB1538" s="81" t="n"/>
      <c r="BC1538" s="81" t="n"/>
      <c r="BD1538" s="81" t="n"/>
      <c r="BE1538" s="81" t="n"/>
      <c r="BF1538" s="81" t="n"/>
      <c r="BG1538" s="81" t="n"/>
      <c r="BH1538" s="81" t="n"/>
      <c r="BI1538" s="81" t="n"/>
      <c r="BJ1538" s="81" t="n"/>
      <c r="BK1538" s="81" t="n"/>
      <c r="BL1538" s="81" t="n"/>
      <c r="BM1538" s="81" t="n"/>
      <c r="BN1538" s="81" t="n"/>
      <c r="BO1538" s="81" t="n"/>
      <c r="BP1538" s="81" t="n"/>
      <c r="BQ1538" s="81" t="n"/>
      <c r="BR1538" s="81" t="n"/>
      <c r="BS1538" s="81" t="n"/>
      <c r="BT1538" s="81" t="n"/>
      <c r="BU1538" s="81" t="n"/>
      <c r="BV1538" s="81" t="n"/>
      <c r="BW1538" s="81" t="n"/>
      <c r="BX1538" s="81" t="n"/>
      <c r="BY1538" s="81" t="n"/>
      <c r="BZ1538" s="81" t="n"/>
      <c r="CA1538" s="81" t="n"/>
      <c r="CB1538" s="81" t="n"/>
      <c r="CC1538" s="81" t="n"/>
      <c r="CD1538" s="81" t="n"/>
      <c r="CE1538" s="81" t="n"/>
      <c r="CF1538" s="81" t="n"/>
      <c r="CG1538" s="81" t="n"/>
      <c r="CH1538" s="81" t="n"/>
    </row>
    <row r="1539">
      <c r="A1539" s="81" t="n"/>
      <c r="B1539" s="81" t="n"/>
      <c r="C1539" s="81" t="n"/>
      <c r="D1539" s="81" t="n"/>
      <c r="E1539" s="81" t="n"/>
      <c r="F1539" s="81" t="n"/>
      <c r="G1539" s="81" t="n"/>
      <c r="H1539" s="81" t="n"/>
      <c r="I1539" s="81" t="n"/>
      <c r="J1539" s="81" t="n"/>
      <c r="K1539" s="81" t="n"/>
      <c r="L1539" s="81" t="n"/>
      <c r="M1539" s="81" t="n"/>
      <c r="N1539" s="81" t="n"/>
      <c r="O1539" s="81" t="n"/>
      <c r="P1539" s="81" t="n"/>
      <c r="Q1539" s="81" t="n"/>
      <c r="R1539" s="81" t="n"/>
      <c r="S1539" s="81" t="n"/>
      <c r="T1539" s="81" t="n"/>
      <c r="U1539" s="81" t="n"/>
      <c r="V1539" s="81" t="n"/>
      <c r="W1539" s="81" t="n"/>
      <c r="X1539" s="81" t="n"/>
      <c r="Y1539" s="81" t="n"/>
      <c r="Z1539" s="81" t="n"/>
      <c r="AA1539" s="81" t="n"/>
      <c r="AB1539" s="81" t="n"/>
      <c r="AC1539" s="81" t="n"/>
      <c r="AD1539" s="81" t="n"/>
      <c r="AE1539" s="81" t="n"/>
      <c r="AF1539" s="81" t="n"/>
      <c r="AG1539" s="81" t="n"/>
      <c r="AH1539" s="81" t="n"/>
      <c r="AI1539" s="81" t="n"/>
      <c r="AJ1539" s="81" t="n"/>
      <c r="AK1539" s="81" t="n"/>
      <c r="AL1539" s="81" t="n"/>
      <c r="AM1539" s="81" t="n"/>
      <c r="AN1539" s="81" t="n"/>
      <c r="AO1539" s="81" t="n"/>
      <c r="AP1539" s="81" t="n"/>
      <c r="AQ1539" s="81" t="n"/>
      <c r="AR1539" s="81" t="n"/>
      <c r="AS1539" s="81" t="n"/>
      <c r="AT1539" s="81" t="n"/>
      <c r="AU1539" s="81" t="n"/>
      <c r="AV1539" s="81" t="n"/>
      <c r="AW1539" s="81" t="n"/>
      <c r="AX1539" s="81" t="n"/>
      <c r="AY1539" s="81" t="n"/>
      <c r="AZ1539" s="81" t="n"/>
      <c r="BA1539" s="81" t="n"/>
      <c r="BB1539" s="81" t="n"/>
      <c r="BC1539" s="81" t="n"/>
      <c r="BD1539" s="81" t="n"/>
      <c r="BE1539" s="81" t="n"/>
      <c r="BF1539" s="81" t="n"/>
      <c r="BG1539" s="81" t="n"/>
      <c r="BH1539" s="81" t="n"/>
      <c r="BI1539" s="81" t="n"/>
      <c r="BJ1539" s="81" t="n"/>
      <c r="BK1539" s="81" t="n"/>
      <c r="BL1539" s="81" t="n"/>
      <c r="BM1539" s="81" t="n"/>
      <c r="BN1539" s="81" t="n"/>
      <c r="BO1539" s="81" t="n"/>
      <c r="BP1539" s="81" t="n"/>
      <c r="BQ1539" s="81" t="n"/>
      <c r="BR1539" s="81" t="n"/>
      <c r="BS1539" s="81" t="n"/>
      <c r="BT1539" s="81" t="n"/>
      <c r="BU1539" s="81" t="n"/>
      <c r="BV1539" s="81" t="n"/>
      <c r="BW1539" s="81" t="n"/>
      <c r="BX1539" s="81" t="n"/>
      <c r="BY1539" s="81" t="n"/>
      <c r="BZ1539" s="81" t="n"/>
      <c r="CA1539" s="81" t="n"/>
      <c r="CB1539" s="81" t="n"/>
      <c r="CC1539" s="81" t="n"/>
      <c r="CD1539" s="81" t="n"/>
      <c r="CE1539" s="81" t="n"/>
      <c r="CF1539" s="81" t="n"/>
      <c r="CG1539" s="81" t="n"/>
      <c r="CH1539" s="81" t="n"/>
    </row>
    <row r="1540">
      <c r="A1540" s="81" t="n"/>
      <c r="B1540" s="81" t="n"/>
      <c r="C1540" s="81" t="n"/>
      <c r="D1540" s="81" t="n"/>
      <c r="E1540" s="81" t="n"/>
      <c r="F1540" s="81" t="n"/>
      <c r="G1540" s="81" t="n"/>
      <c r="H1540" s="81" t="n"/>
      <c r="I1540" s="81" t="n"/>
      <c r="J1540" s="81" t="n"/>
      <c r="K1540" s="81" t="n"/>
      <c r="L1540" s="81" t="n"/>
      <c r="M1540" s="81" t="n"/>
      <c r="N1540" s="81" t="n"/>
      <c r="O1540" s="81" t="n"/>
      <c r="P1540" s="81" t="n"/>
      <c r="Q1540" s="81" t="n"/>
      <c r="R1540" s="81" t="n"/>
      <c r="S1540" s="81" t="n"/>
      <c r="T1540" s="81" t="n"/>
      <c r="U1540" s="81" t="n"/>
      <c r="V1540" s="81" t="n"/>
      <c r="W1540" s="81" t="n"/>
      <c r="X1540" s="81" t="n"/>
      <c r="Y1540" s="81" t="n"/>
      <c r="Z1540" s="81" t="n"/>
      <c r="AA1540" s="81" t="n"/>
      <c r="AB1540" s="81" t="n"/>
      <c r="AC1540" s="81" t="n"/>
      <c r="AD1540" s="81" t="n"/>
      <c r="AE1540" s="81" t="n"/>
      <c r="AF1540" s="81" t="n"/>
      <c r="AG1540" s="81" t="n"/>
      <c r="AH1540" s="81" t="n"/>
      <c r="AI1540" s="81" t="n"/>
      <c r="AJ1540" s="81" t="n"/>
      <c r="AK1540" s="81" t="n"/>
      <c r="AL1540" s="81" t="n"/>
      <c r="AM1540" s="81" t="n"/>
      <c r="AN1540" s="81" t="n"/>
      <c r="AO1540" s="81" t="n"/>
      <c r="AP1540" s="81" t="n"/>
      <c r="AQ1540" s="81" t="n"/>
      <c r="AR1540" s="81" t="n"/>
      <c r="AS1540" s="81" t="n"/>
      <c r="AT1540" s="81" t="n"/>
      <c r="AU1540" s="81" t="n"/>
      <c r="AV1540" s="81" t="n"/>
      <c r="AW1540" s="81" t="n"/>
      <c r="AX1540" s="81" t="n"/>
      <c r="AY1540" s="81" t="n"/>
      <c r="AZ1540" s="81" t="n"/>
      <c r="BA1540" s="81" t="n"/>
      <c r="BB1540" s="81" t="n"/>
      <c r="BC1540" s="81" t="n"/>
      <c r="BD1540" s="81" t="n"/>
      <c r="BE1540" s="81" t="n"/>
      <c r="BF1540" s="81" t="n"/>
      <c r="BG1540" s="81" t="n"/>
      <c r="BH1540" s="81" t="n"/>
      <c r="BI1540" s="81" t="n"/>
      <c r="BJ1540" s="81" t="n"/>
      <c r="BK1540" s="81" t="n"/>
      <c r="BL1540" s="81" t="n"/>
      <c r="BM1540" s="81" t="n"/>
      <c r="BN1540" s="81" t="n"/>
      <c r="BO1540" s="81" t="n"/>
      <c r="BP1540" s="81" t="n"/>
      <c r="BQ1540" s="81" t="n"/>
      <c r="BR1540" s="81" t="n"/>
      <c r="BS1540" s="81" t="n"/>
      <c r="BT1540" s="81" t="n"/>
      <c r="BU1540" s="81" t="n"/>
      <c r="BV1540" s="81" t="n"/>
      <c r="BW1540" s="81" t="n"/>
      <c r="BX1540" s="81" t="n"/>
      <c r="BY1540" s="81" t="n"/>
      <c r="BZ1540" s="81" t="n"/>
      <c r="CA1540" s="81" t="n"/>
      <c r="CB1540" s="81" t="n"/>
      <c r="CC1540" s="81" t="n"/>
      <c r="CD1540" s="81" t="n"/>
      <c r="CE1540" s="81" t="n"/>
      <c r="CF1540" s="81" t="n"/>
      <c r="CG1540" s="81" t="n"/>
      <c r="CH1540" s="81" t="n"/>
    </row>
    <row r="1541">
      <c r="A1541" s="81" t="n"/>
      <c r="B1541" s="81" t="n"/>
      <c r="C1541" s="81" t="n"/>
      <c r="D1541" s="81" t="n"/>
      <c r="E1541" s="81" t="n"/>
      <c r="F1541" s="81" t="n"/>
      <c r="G1541" s="81" t="n"/>
      <c r="H1541" s="81" t="n"/>
      <c r="I1541" s="81" t="n"/>
      <c r="J1541" s="81" t="n"/>
      <c r="K1541" s="81" t="n"/>
      <c r="L1541" s="81" t="n"/>
      <c r="M1541" s="81" t="n"/>
      <c r="N1541" s="81" t="n"/>
      <c r="O1541" s="81" t="n"/>
      <c r="P1541" s="81" t="n"/>
      <c r="Q1541" s="81" t="n"/>
      <c r="R1541" s="81" t="n"/>
      <c r="S1541" s="81" t="n"/>
      <c r="T1541" s="81" t="n"/>
      <c r="U1541" s="81" t="n"/>
      <c r="V1541" s="81" t="n"/>
      <c r="W1541" s="81" t="n"/>
      <c r="X1541" s="81" t="n"/>
      <c r="Y1541" s="81" t="n"/>
      <c r="Z1541" s="81" t="n"/>
      <c r="AA1541" s="81" t="n"/>
      <c r="AB1541" s="81" t="n"/>
      <c r="AC1541" s="81" t="n"/>
      <c r="AD1541" s="81" t="n"/>
      <c r="AE1541" s="81" t="n"/>
      <c r="AF1541" s="81" t="n"/>
      <c r="AG1541" s="81" t="n"/>
      <c r="AH1541" s="81" t="n"/>
      <c r="AI1541" s="81" t="n"/>
      <c r="AJ1541" s="81" t="n"/>
      <c r="AK1541" s="81" t="n"/>
      <c r="AL1541" s="81" t="n"/>
      <c r="AM1541" s="81" t="n"/>
      <c r="AN1541" s="81" t="n"/>
      <c r="AO1541" s="81" t="n"/>
      <c r="AP1541" s="81" t="n"/>
      <c r="AQ1541" s="81" t="n"/>
      <c r="AR1541" s="81" t="n"/>
      <c r="AS1541" s="81" t="n"/>
      <c r="AT1541" s="81" t="n"/>
      <c r="AU1541" s="81" t="n"/>
      <c r="AV1541" s="81" t="n"/>
      <c r="AW1541" s="81" t="n"/>
      <c r="AX1541" s="81" t="n"/>
      <c r="AY1541" s="81" t="n"/>
      <c r="AZ1541" s="81" t="n"/>
      <c r="BA1541" s="81" t="n"/>
      <c r="BB1541" s="81" t="n"/>
      <c r="BC1541" s="81" t="n"/>
      <c r="BD1541" s="81" t="n"/>
      <c r="BE1541" s="81" t="n"/>
      <c r="BF1541" s="81" t="n"/>
      <c r="BG1541" s="81" t="n"/>
      <c r="BH1541" s="81" t="n"/>
      <c r="BI1541" s="81" t="n"/>
      <c r="BJ1541" s="81" t="n"/>
      <c r="BK1541" s="81" t="n"/>
      <c r="BL1541" s="81" t="n"/>
      <c r="BM1541" s="81" t="n"/>
      <c r="BN1541" s="81" t="n"/>
      <c r="BO1541" s="81" t="n"/>
      <c r="BP1541" s="81" t="n"/>
      <c r="BQ1541" s="81" t="n"/>
      <c r="BR1541" s="81" t="n"/>
      <c r="BS1541" s="81" t="n"/>
      <c r="BT1541" s="81" t="n"/>
      <c r="BU1541" s="81" t="n"/>
      <c r="BV1541" s="81" t="n"/>
      <c r="BW1541" s="81" t="n"/>
      <c r="BX1541" s="81" t="n"/>
      <c r="BY1541" s="81" t="n"/>
      <c r="BZ1541" s="81" t="n"/>
      <c r="CA1541" s="81" t="n"/>
      <c r="CB1541" s="81" t="n"/>
      <c r="CC1541" s="81" t="n"/>
      <c r="CD1541" s="81" t="n"/>
      <c r="CE1541" s="81" t="n"/>
      <c r="CF1541" s="81" t="n"/>
      <c r="CG1541" s="81" t="n"/>
      <c r="CH1541" s="81" t="n"/>
    </row>
    <row r="1542">
      <c r="A1542" s="81" t="n"/>
      <c r="B1542" s="81" t="n"/>
      <c r="C1542" s="81" t="n"/>
      <c r="D1542" s="81" t="n"/>
      <c r="E1542" s="81" t="n"/>
      <c r="F1542" s="81" t="n"/>
      <c r="G1542" s="81" t="n"/>
      <c r="H1542" s="81" t="n"/>
      <c r="I1542" s="81" t="n"/>
      <c r="J1542" s="81" t="n"/>
      <c r="K1542" s="81" t="n"/>
      <c r="L1542" s="81" t="n"/>
      <c r="M1542" s="81" t="n"/>
      <c r="N1542" s="81" t="n"/>
      <c r="O1542" s="81" t="n"/>
      <c r="P1542" s="81" t="n"/>
      <c r="Q1542" s="81" t="n"/>
      <c r="R1542" s="81" t="n"/>
      <c r="S1542" s="81" t="n"/>
      <c r="T1542" s="81" t="n"/>
      <c r="U1542" s="81" t="n"/>
      <c r="V1542" s="81" t="n"/>
      <c r="W1542" s="81" t="n"/>
      <c r="X1542" s="81" t="n"/>
      <c r="Y1542" s="81" t="n"/>
      <c r="Z1542" s="81" t="n"/>
      <c r="AA1542" s="81" t="n"/>
      <c r="AB1542" s="81" t="n"/>
      <c r="AC1542" s="81" t="n"/>
      <c r="AD1542" s="81" t="n"/>
      <c r="AE1542" s="81" t="n"/>
      <c r="AF1542" s="81" t="n"/>
      <c r="AG1542" s="81" t="n"/>
      <c r="AH1542" s="81" t="n"/>
      <c r="AI1542" s="81" t="n"/>
      <c r="AJ1542" s="81" t="n"/>
      <c r="AK1542" s="81" t="n"/>
      <c r="AL1542" s="81" t="n"/>
      <c r="AM1542" s="81" t="n"/>
      <c r="AN1542" s="81" t="n"/>
      <c r="AO1542" s="81" t="n"/>
      <c r="AP1542" s="81" t="n"/>
      <c r="AQ1542" s="81" t="n"/>
      <c r="AR1542" s="81" t="n"/>
      <c r="AS1542" s="81" t="n"/>
      <c r="AT1542" s="81" t="n"/>
      <c r="AU1542" s="81" t="n"/>
      <c r="AV1542" s="81" t="n"/>
      <c r="AW1542" s="81" t="n"/>
      <c r="AX1542" s="81" t="n"/>
      <c r="AY1542" s="81" t="n"/>
      <c r="AZ1542" s="81" t="n"/>
      <c r="BA1542" s="81" t="n"/>
      <c r="BB1542" s="81" t="n"/>
      <c r="BC1542" s="81" t="n"/>
      <c r="BD1542" s="81" t="n"/>
      <c r="BE1542" s="81" t="n"/>
      <c r="BF1542" s="81" t="n"/>
      <c r="BG1542" s="81" t="n"/>
      <c r="BH1542" s="81" t="n"/>
      <c r="BI1542" s="81" t="n"/>
      <c r="BJ1542" s="81" t="n"/>
      <c r="BK1542" s="81" t="n"/>
      <c r="BL1542" s="81" t="n"/>
      <c r="BM1542" s="81" t="n"/>
      <c r="BN1542" s="81" t="n"/>
      <c r="BO1542" s="81" t="n"/>
      <c r="BP1542" s="81" t="n"/>
      <c r="BQ1542" s="81" t="n"/>
      <c r="BR1542" s="81" t="n"/>
      <c r="BS1542" s="81" t="n"/>
      <c r="BT1542" s="81" t="n"/>
      <c r="BU1542" s="81" t="n"/>
      <c r="BV1542" s="81" t="n"/>
      <c r="BW1542" s="81" t="n"/>
      <c r="BX1542" s="81" t="n"/>
      <c r="BY1542" s="81" t="n"/>
      <c r="BZ1542" s="81" t="n"/>
      <c r="CA1542" s="81" t="n"/>
      <c r="CB1542" s="81" t="n"/>
      <c r="CC1542" s="81" t="n"/>
      <c r="CD1542" s="81" t="n"/>
      <c r="CE1542" s="81" t="n"/>
      <c r="CF1542" s="81" t="n"/>
      <c r="CG1542" s="81" t="n"/>
      <c r="CH1542" s="81" t="n"/>
    </row>
    <row r="1543">
      <c r="A1543" s="81" t="n"/>
      <c r="B1543" s="81" t="n"/>
      <c r="C1543" s="81" t="n"/>
      <c r="D1543" s="81" t="n"/>
      <c r="E1543" s="81" t="n"/>
      <c r="F1543" s="81" t="n"/>
      <c r="G1543" s="81" t="n"/>
      <c r="H1543" s="81" t="n"/>
      <c r="I1543" s="81" t="n"/>
      <c r="J1543" s="81" t="n"/>
      <c r="K1543" s="81" t="n"/>
      <c r="L1543" s="81" t="n"/>
      <c r="M1543" s="81" t="n"/>
      <c r="N1543" s="81" t="n"/>
      <c r="O1543" s="81" t="n"/>
      <c r="P1543" s="81" t="n"/>
      <c r="Q1543" s="81" t="n"/>
      <c r="R1543" s="81" t="n"/>
      <c r="S1543" s="81" t="n"/>
      <c r="T1543" s="81" t="n"/>
      <c r="U1543" s="81" t="n"/>
      <c r="V1543" s="81" t="n"/>
      <c r="W1543" s="81" t="n"/>
      <c r="X1543" s="81" t="n"/>
      <c r="Y1543" s="81" t="n"/>
      <c r="Z1543" s="81" t="n"/>
      <c r="AA1543" s="81" t="n"/>
      <c r="AB1543" s="81" t="n"/>
      <c r="AC1543" s="81" t="n"/>
      <c r="AD1543" s="81" t="n"/>
      <c r="AE1543" s="81" t="n"/>
      <c r="AF1543" s="81" t="n"/>
      <c r="AG1543" s="81" t="n"/>
      <c r="AH1543" s="81" t="n"/>
      <c r="AI1543" s="81" t="n"/>
      <c r="AJ1543" s="81" t="n"/>
      <c r="AK1543" s="81" t="n"/>
      <c r="AL1543" s="81" t="n"/>
      <c r="AM1543" s="81" t="n"/>
      <c r="AN1543" s="81" t="n"/>
      <c r="AO1543" s="81" t="n"/>
      <c r="AP1543" s="81" t="n"/>
      <c r="AQ1543" s="81" t="n"/>
      <c r="AR1543" s="81" t="n"/>
      <c r="AS1543" s="81" t="n"/>
      <c r="AT1543" s="81" t="n"/>
      <c r="AU1543" s="81" t="n"/>
      <c r="AV1543" s="81" t="n"/>
      <c r="AW1543" s="81" t="n"/>
      <c r="AX1543" s="81" t="n"/>
      <c r="AY1543" s="81" t="n"/>
      <c r="AZ1543" s="81" t="n"/>
      <c r="BA1543" s="81" t="n"/>
      <c r="BB1543" s="81" t="n"/>
      <c r="BC1543" s="81" t="n"/>
      <c r="BD1543" s="81" t="n"/>
      <c r="BE1543" s="81" t="n"/>
      <c r="BF1543" s="81" t="n"/>
      <c r="BG1543" s="81" t="n"/>
      <c r="BH1543" s="81" t="n"/>
      <c r="BI1543" s="81" t="n"/>
      <c r="BJ1543" s="81" t="n"/>
      <c r="BK1543" s="81" t="n"/>
      <c r="BL1543" s="81" t="n"/>
      <c r="BM1543" s="81" t="n"/>
      <c r="BN1543" s="81" t="n"/>
      <c r="BO1543" s="81" t="n"/>
      <c r="BP1543" s="81" t="n"/>
      <c r="BQ1543" s="81" t="n"/>
      <c r="BR1543" s="81" t="n"/>
      <c r="BS1543" s="81" t="n"/>
      <c r="BT1543" s="81" t="n"/>
      <c r="BU1543" s="81" t="n"/>
      <c r="BV1543" s="81" t="n"/>
      <c r="BW1543" s="81" t="n"/>
      <c r="BX1543" s="81" t="n"/>
      <c r="BY1543" s="81" t="n"/>
      <c r="BZ1543" s="81" t="n"/>
      <c r="CA1543" s="81" t="n"/>
      <c r="CB1543" s="81" t="n"/>
      <c r="CC1543" s="81" t="n"/>
      <c r="CD1543" s="81" t="n"/>
      <c r="CE1543" s="81" t="n"/>
      <c r="CF1543" s="81" t="n"/>
      <c r="CG1543" s="81" t="n"/>
      <c r="CH1543" s="81" t="n"/>
    </row>
    <row r="1544">
      <c r="A1544" s="81" t="n"/>
      <c r="B1544" s="81" t="n"/>
      <c r="C1544" s="81" t="n"/>
      <c r="D1544" s="81" t="n"/>
      <c r="E1544" s="81" t="n"/>
      <c r="F1544" s="81" t="n"/>
      <c r="G1544" s="81" t="n"/>
      <c r="H1544" s="81" t="n"/>
      <c r="I1544" s="81" t="n"/>
      <c r="J1544" s="81" t="n"/>
      <c r="K1544" s="81" t="n"/>
      <c r="L1544" s="81" t="n"/>
      <c r="M1544" s="81" t="n"/>
      <c r="N1544" s="81" t="n"/>
      <c r="O1544" s="81" t="n"/>
      <c r="P1544" s="81" t="n"/>
      <c r="Q1544" s="81" t="n"/>
      <c r="R1544" s="81" t="n"/>
      <c r="S1544" s="81" t="n"/>
      <c r="T1544" s="81" t="n"/>
      <c r="U1544" s="81" t="n"/>
      <c r="V1544" s="81" t="n"/>
      <c r="W1544" s="81" t="n"/>
      <c r="X1544" s="81" t="n"/>
      <c r="Y1544" s="81" t="n"/>
      <c r="Z1544" s="81" t="n"/>
      <c r="AA1544" s="81" t="n"/>
      <c r="AB1544" s="81" t="n"/>
      <c r="AC1544" s="81" t="n"/>
      <c r="AD1544" s="81" t="n"/>
      <c r="AE1544" s="81" t="n"/>
      <c r="AF1544" s="81" t="n"/>
      <c r="AG1544" s="81" t="n"/>
      <c r="AH1544" s="81" t="n"/>
      <c r="AI1544" s="81" t="n"/>
      <c r="AJ1544" s="81" t="n"/>
      <c r="AK1544" s="81" t="n"/>
      <c r="AL1544" s="81" t="n"/>
      <c r="AM1544" s="81" t="n"/>
      <c r="AN1544" s="81" t="n"/>
      <c r="AO1544" s="81" t="n"/>
      <c r="AP1544" s="81" t="n"/>
      <c r="AQ1544" s="81" t="n"/>
      <c r="AR1544" s="81" t="n"/>
      <c r="AS1544" s="81" t="n"/>
      <c r="AT1544" s="81" t="n"/>
      <c r="AU1544" s="81" t="n"/>
      <c r="AV1544" s="81" t="n"/>
      <c r="AW1544" s="81" t="n"/>
      <c r="AX1544" s="81" t="n"/>
      <c r="AY1544" s="81" t="n"/>
      <c r="AZ1544" s="81" t="n"/>
      <c r="BA1544" s="81" t="n"/>
      <c r="BB1544" s="81" t="n"/>
      <c r="BC1544" s="81" t="n"/>
      <c r="BD1544" s="81" t="n"/>
      <c r="BE1544" s="81" t="n"/>
      <c r="BF1544" s="81" t="n"/>
      <c r="BG1544" s="81" t="n"/>
      <c r="BH1544" s="81" t="n"/>
      <c r="BI1544" s="81" t="n"/>
      <c r="BJ1544" s="81" t="n"/>
      <c r="BK1544" s="81" t="n"/>
      <c r="BL1544" s="81" t="n"/>
      <c r="BM1544" s="81" t="n"/>
      <c r="BN1544" s="81" t="n"/>
      <c r="BO1544" s="81" t="n"/>
      <c r="BP1544" s="81" t="n"/>
      <c r="BQ1544" s="81" t="n"/>
      <c r="BR1544" s="81" t="n"/>
      <c r="BS1544" s="81" t="n"/>
      <c r="BT1544" s="81" t="n"/>
      <c r="BU1544" s="81" t="n"/>
      <c r="BV1544" s="81" t="n"/>
      <c r="BW1544" s="81" t="n"/>
      <c r="BX1544" s="81" t="n"/>
      <c r="BY1544" s="81" t="n"/>
      <c r="BZ1544" s="81" t="n"/>
      <c r="CA1544" s="81" t="n"/>
      <c r="CB1544" s="81" t="n"/>
      <c r="CC1544" s="81" t="n"/>
      <c r="CD1544" s="81" t="n"/>
      <c r="CE1544" s="81" t="n"/>
      <c r="CF1544" s="81" t="n"/>
      <c r="CG1544" s="81" t="n"/>
      <c r="CH1544" s="81" t="n"/>
    </row>
    <row r="1545">
      <c r="A1545" s="81" t="n"/>
      <c r="B1545" s="81" t="n"/>
      <c r="C1545" s="81" t="n"/>
      <c r="D1545" s="81" t="n"/>
      <c r="E1545" s="81" t="n"/>
      <c r="F1545" s="81" t="n"/>
      <c r="G1545" s="81" t="n"/>
      <c r="H1545" s="81" t="n"/>
      <c r="I1545" s="81" t="n"/>
      <c r="J1545" s="81" t="n"/>
      <c r="K1545" s="81" t="n"/>
      <c r="L1545" s="81" t="n"/>
      <c r="M1545" s="81" t="n"/>
      <c r="N1545" s="81" t="n"/>
      <c r="O1545" s="81" t="n"/>
      <c r="P1545" s="81" t="n"/>
      <c r="Q1545" s="81" t="n"/>
      <c r="R1545" s="81" t="n"/>
      <c r="S1545" s="81" t="n"/>
      <c r="T1545" s="81" t="n"/>
      <c r="U1545" s="81" t="n"/>
      <c r="V1545" s="81" t="n"/>
      <c r="W1545" s="81" t="n"/>
      <c r="X1545" s="81" t="n"/>
      <c r="Y1545" s="81" t="n"/>
      <c r="Z1545" s="81" t="n"/>
      <c r="AA1545" s="81" t="n"/>
      <c r="AB1545" s="81" t="n"/>
      <c r="AC1545" s="81" t="n"/>
      <c r="AD1545" s="81" t="n"/>
      <c r="AE1545" s="81" t="n"/>
      <c r="AF1545" s="81" t="n"/>
      <c r="AG1545" s="81" t="n"/>
      <c r="AH1545" s="81" t="n"/>
      <c r="AI1545" s="81" t="n"/>
      <c r="AJ1545" s="81" t="n"/>
      <c r="AK1545" s="81" t="n"/>
      <c r="AL1545" s="81" t="n"/>
      <c r="AM1545" s="81" t="n"/>
      <c r="AN1545" s="81" t="n"/>
      <c r="AO1545" s="81" t="n"/>
      <c r="AP1545" s="81" t="n"/>
      <c r="AQ1545" s="81" t="n"/>
      <c r="AR1545" s="81" t="n"/>
      <c r="AS1545" s="81" t="n"/>
      <c r="AT1545" s="81" t="n"/>
      <c r="AU1545" s="81" t="n"/>
      <c r="AV1545" s="81" t="n"/>
      <c r="AW1545" s="81" t="n"/>
      <c r="AX1545" s="81" t="n"/>
      <c r="AY1545" s="81" t="n"/>
      <c r="AZ1545" s="81" t="n"/>
      <c r="BA1545" s="81" t="n"/>
      <c r="BB1545" s="81" t="n"/>
      <c r="BC1545" s="81" t="n"/>
      <c r="BD1545" s="81" t="n"/>
      <c r="BE1545" s="81" t="n"/>
      <c r="BF1545" s="81" t="n"/>
      <c r="BG1545" s="81" t="n"/>
      <c r="BH1545" s="81" t="n"/>
      <c r="BI1545" s="81" t="n"/>
      <c r="BJ1545" s="81" t="n"/>
      <c r="BK1545" s="81" t="n"/>
      <c r="BL1545" s="81" t="n"/>
      <c r="BM1545" s="81" t="n"/>
      <c r="BN1545" s="81" t="n"/>
      <c r="BO1545" s="81" t="n"/>
      <c r="BP1545" s="81" t="n"/>
      <c r="BQ1545" s="81" t="n"/>
      <c r="BR1545" s="81" t="n"/>
      <c r="BS1545" s="81" t="n"/>
      <c r="BT1545" s="81" t="n"/>
      <c r="BU1545" s="81" t="n"/>
      <c r="BV1545" s="81" t="n"/>
      <c r="BW1545" s="81" t="n"/>
      <c r="BX1545" s="81" t="n"/>
      <c r="BY1545" s="81" t="n"/>
      <c r="BZ1545" s="81" t="n"/>
      <c r="CA1545" s="81" t="n"/>
      <c r="CB1545" s="81" t="n"/>
      <c r="CC1545" s="81" t="n"/>
      <c r="CD1545" s="81" t="n"/>
      <c r="CE1545" s="81" t="n"/>
      <c r="CF1545" s="81" t="n"/>
      <c r="CG1545" s="81" t="n"/>
      <c r="CH1545" s="81" t="n"/>
    </row>
    <row r="1546">
      <c r="A1546" s="81" t="n"/>
      <c r="B1546" s="81" t="n"/>
      <c r="C1546" s="81" t="n"/>
      <c r="D1546" s="81" t="n"/>
      <c r="E1546" s="81" t="n"/>
      <c r="F1546" s="81" t="n"/>
      <c r="G1546" s="81" t="n"/>
      <c r="H1546" s="81" t="n"/>
      <c r="I1546" s="81" t="n"/>
      <c r="J1546" s="81" t="n"/>
      <c r="K1546" s="81" t="n"/>
      <c r="L1546" s="81" t="n"/>
      <c r="M1546" s="81" t="n"/>
      <c r="N1546" s="81" t="n"/>
      <c r="O1546" s="81" t="n"/>
      <c r="P1546" s="81" t="n"/>
      <c r="Q1546" s="81" t="n"/>
      <c r="R1546" s="81" t="n"/>
      <c r="S1546" s="81" t="n"/>
      <c r="T1546" s="81" t="n"/>
      <c r="U1546" s="81" t="n"/>
      <c r="V1546" s="81" t="n"/>
      <c r="W1546" s="81" t="n"/>
      <c r="X1546" s="81" t="n"/>
      <c r="Y1546" s="81" t="n"/>
      <c r="Z1546" s="81" t="n"/>
      <c r="AA1546" s="81" t="n"/>
      <c r="AB1546" s="81" t="n"/>
      <c r="AC1546" s="81" t="n"/>
      <c r="AD1546" s="81" t="n"/>
      <c r="AE1546" s="81" t="n"/>
      <c r="AF1546" s="81" t="n"/>
      <c r="AG1546" s="81" t="n"/>
      <c r="AH1546" s="81" t="n"/>
      <c r="AI1546" s="81" t="n"/>
      <c r="AJ1546" s="81" t="n"/>
      <c r="AK1546" s="81" t="n"/>
      <c r="AL1546" s="81" t="n"/>
      <c r="AM1546" s="81" t="n"/>
      <c r="AN1546" s="81" t="n"/>
      <c r="AO1546" s="81" t="n"/>
      <c r="AP1546" s="81" t="n"/>
      <c r="AQ1546" s="81" t="n"/>
      <c r="AR1546" s="81" t="n"/>
      <c r="AS1546" s="81" t="n"/>
      <c r="AT1546" s="81" t="n"/>
      <c r="AU1546" s="81" t="n"/>
      <c r="AV1546" s="81" t="n"/>
      <c r="AW1546" s="81" t="n"/>
      <c r="AX1546" s="81" t="n"/>
      <c r="AY1546" s="81" t="n"/>
      <c r="AZ1546" s="81" t="n"/>
      <c r="BA1546" s="81" t="n"/>
      <c r="BB1546" s="81" t="n"/>
      <c r="BC1546" s="81" t="n"/>
      <c r="BD1546" s="81" t="n"/>
      <c r="BE1546" s="81" t="n"/>
      <c r="BF1546" s="81" t="n"/>
      <c r="BG1546" s="81" t="n"/>
      <c r="BH1546" s="81" t="n"/>
      <c r="BI1546" s="81" t="n"/>
      <c r="BJ1546" s="81" t="n"/>
      <c r="BK1546" s="81" t="n"/>
      <c r="BL1546" s="81" t="n"/>
      <c r="BM1546" s="81" t="n"/>
      <c r="BN1546" s="81" t="n"/>
      <c r="BO1546" s="81" t="n"/>
      <c r="BP1546" s="81" t="n"/>
      <c r="BQ1546" s="81" t="n"/>
      <c r="BR1546" s="81" t="n"/>
      <c r="BS1546" s="81" t="n"/>
      <c r="BT1546" s="81" t="n"/>
      <c r="BU1546" s="81" t="n"/>
      <c r="BV1546" s="81" t="n"/>
      <c r="BW1546" s="81" t="n"/>
      <c r="BX1546" s="81" t="n"/>
      <c r="BY1546" s="81" t="n"/>
      <c r="BZ1546" s="81" t="n"/>
      <c r="CA1546" s="81" t="n"/>
      <c r="CB1546" s="81" t="n"/>
      <c r="CC1546" s="81" t="n"/>
      <c r="CD1546" s="81" t="n"/>
      <c r="CE1546" s="81" t="n"/>
      <c r="CF1546" s="81" t="n"/>
      <c r="CG1546" s="81" t="n"/>
      <c r="CH1546" s="81" t="n"/>
    </row>
    <row r="1547">
      <c r="A1547" s="81" t="n"/>
      <c r="B1547" s="81" t="n"/>
      <c r="C1547" s="81" t="n"/>
      <c r="D1547" s="81" t="n"/>
      <c r="E1547" s="81" t="n"/>
      <c r="F1547" s="81" t="n"/>
      <c r="G1547" s="81" t="n"/>
      <c r="H1547" s="81" t="n"/>
      <c r="I1547" s="81" t="n"/>
      <c r="J1547" s="81" t="n"/>
      <c r="K1547" s="81" t="n"/>
      <c r="L1547" s="81" t="n"/>
      <c r="M1547" s="81" t="n"/>
      <c r="N1547" s="81" t="n"/>
      <c r="O1547" s="81" t="n"/>
      <c r="P1547" s="81" t="n"/>
      <c r="Q1547" s="81" t="n"/>
      <c r="R1547" s="81" t="n"/>
      <c r="S1547" s="81" t="n"/>
      <c r="T1547" s="81" t="n"/>
      <c r="U1547" s="81" t="n"/>
      <c r="V1547" s="81" t="n"/>
      <c r="W1547" s="81" t="n"/>
      <c r="X1547" s="81" t="n"/>
      <c r="Y1547" s="81" t="n"/>
      <c r="Z1547" s="81" t="n"/>
      <c r="AA1547" s="81" t="n"/>
      <c r="AB1547" s="81" t="n"/>
      <c r="AC1547" s="81" t="n"/>
      <c r="AD1547" s="81" t="n"/>
      <c r="AE1547" s="81" t="n"/>
      <c r="AF1547" s="81" t="n"/>
      <c r="AG1547" s="81" t="n"/>
      <c r="AH1547" s="81" t="n"/>
      <c r="AI1547" s="81" t="n"/>
      <c r="AJ1547" s="81" t="n"/>
      <c r="AK1547" s="81" t="n"/>
      <c r="AL1547" s="81" t="n"/>
      <c r="AM1547" s="81" t="n"/>
      <c r="AN1547" s="81" t="n"/>
      <c r="AO1547" s="81" t="n"/>
      <c r="AP1547" s="81" t="n"/>
      <c r="AQ1547" s="81" t="n"/>
      <c r="AR1547" s="81" t="n"/>
      <c r="AS1547" s="81" t="n"/>
      <c r="AT1547" s="81" t="n"/>
      <c r="AU1547" s="81" t="n"/>
      <c r="AV1547" s="81" t="n"/>
      <c r="AW1547" s="81" t="n"/>
      <c r="AX1547" s="81" t="n"/>
      <c r="AY1547" s="81" t="n"/>
      <c r="AZ1547" s="81" t="n"/>
      <c r="BA1547" s="81" t="n"/>
      <c r="BB1547" s="81" t="n"/>
      <c r="BC1547" s="81" t="n"/>
      <c r="BD1547" s="81" t="n"/>
      <c r="BE1547" s="81" t="n"/>
      <c r="BF1547" s="81" t="n"/>
      <c r="BG1547" s="81" t="n"/>
      <c r="BH1547" s="81" t="n"/>
      <c r="BI1547" s="81" t="n"/>
      <c r="BJ1547" s="81" t="n"/>
      <c r="BK1547" s="81" t="n"/>
      <c r="BL1547" s="81" t="n"/>
      <c r="BM1547" s="81" t="n"/>
      <c r="BN1547" s="81" t="n"/>
      <c r="BO1547" s="81" t="n"/>
      <c r="BP1547" s="81" t="n"/>
      <c r="BQ1547" s="81" t="n"/>
      <c r="BR1547" s="81" t="n"/>
      <c r="BS1547" s="81" t="n"/>
      <c r="BT1547" s="81" t="n"/>
      <c r="BU1547" s="81" t="n"/>
      <c r="BV1547" s="81" t="n"/>
      <c r="BW1547" s="81" t="n"/>
      <c r="BX1547" s="81" t="n"/>
      <c r="BY1547" s="81" t="n"/>
      <c r="BZ1547" s="81" t="n"/>
      <c r="CA1547" s="81" t="n"/>
      <c r="CB1547" s="81" t="n"/>
      <c r="CC1547" s="81" t="n"/>
      <c r="CD1547" s="81" t="n"/>
      <c r="CE1547" s="81" t="n"/>
      <c r="CF1547" s="81" t="n"/>
      <c r="CG1547" s="81" t="n"/>
      <c r="CH1547" s="81" t="n"/>
    </row>
    <row r="1548">
      <c r="A1548" s="81" t="n"/>
      <c r="B1548" s="81" t="n"/>
      <c r="C1548" s="81" t="n"/>
      <c r="D1548" s="81" t="n"/>
      <c r="E1548" s="81" t="n"/>
      <c r="F1548" s="81" t="n"/>
      <c r="G1548" s="81" t="n"/>
      <c r="H1548" s="81" t="n"/>
      <c r="I1548" s="81" t="n"/>
      <c r="J1548" s="81" t="n"/>
      <c r="K1548" s="81" t="n"/>
      <c r="L1548" s="81" t="n"/>
      <c r="M1548" s="81" t="n"/>
      <c r="N1548" s="81" t="n"/>
      <c r="O1548" s="81" t="n"/>
      <c r="P1548" s="81" t="n"/>
      <c r="Q1548" s="81" t="n"/>
      <c r="R1548" s="81" t="n"/>
      <c r="S1548" s="81" t="n"/>
      <c r="T1548" s="81" t="n"/>
      <c r="U1548" s="81" t="n"/>
      <c r="V1548" s="81" t="n"/>
      <c r="W1548" s="81" t="n"/>
      <c r="X1548" s="81" t="n"/>
      <c r="Y1548" s="81" t="n"/>
      <c r="Z1548" s="81" t="n"/>
      <c r="AA1548" s="81" t="n"/>
      <c r="AB1548" s="81" t="n"/>
      <c r="AC1548" s="81" t="n"/>
      <c r="AD1548" s="81" t="n"/>
      <c r="AE1548" s="81" t="n"/>
      <c r="AF1548" s="81" t="n"/>
      <c r="AG1548" s="81" t="n"/>
      <c r="AH1548" s="81" t="n"/>
      <c r="AI1548" s="81" t="n"/>
      <c r="AJ1548" s="81" t="n"/>
      <c r="AK1548" s="81" t="n"/>
      <c r="AL1548" s="81" t="n"/>
      <c r="AM1548" s="81" t="n"/>
      <c r="AN1548" s="81" t="n"/>
      <c r="AO1548" s="81" t="n"/>
      <c r="AP1548" s="81" t="n"/>
      <c r="AQ1548" s="81" t="n"/>
      <c r="AR1548" s="81" t="n"/>
      <c r="AS1548" s="81" t="n"/>
      <c r="AT1548" s="81" t="n"/>
      <c r="AU1548" s="81" t="n"/>
      <c r="AV1548" s="81" t="n"/>
      <c r="AW1548" s="81" t="n"/>
      <c r="AX1548" s="81" t="n"/>
      <c r="AY1548" s="81" t="n"/>
      <c r="AZ1548" s="81" t="n"/>
      <c r="BA1548" s="81" t="n"/>
      <c r="BB1548" s="81" t="n"/>
      <c r="BC1548" s="81" t="n"/>
      <c r="BD1548" s="81" t="n"/>
      <c r="BE1548" s="81" t="n"/>
      <c r="BF1548" s="81" t="n"/>
      <c r="BG1548" s="81" t="n"/>
      <c r="BH1548" s="81" t="n"/>
      <c r="BI1548" s="81" t="n"/>
      <c r="BJ1548" s="81" t="n"/>
      <c r="BK1548" s="81" t="n"/>
      <c r="BL1548" s="81" t="n"/>
      <c r="BM1548" s="81" t="n"/>
      <c r="BN1548" s="81" t="n"/>
      <c r="BO1548" s="81" t="n"/>
      <c r="BP1548" s="81" t="n"/>
      <c r="BQ1548" s="81" t="n"/>
      <c r="BR1548" s="81" t="n"/>
      <c r="BS1548" s="81" t="n"/>
      <c r="BT1548" s="81" t="n"/>
      <c r="BU1548" s="81" t="n"/>
      <c r="BV1548" s="81" t="n"/>
      <c r="BW1548" s="81" t="n"/>
      <c r="BX1548" s="81" t="n"/>
      <c r="BY1548" s="81" t="n"/>
      <c r="BZ1548" s="81" t="n"/>
      <c r="CA1548" s="81" t="n"/>
      <c r="CB1548" s="81" t="n"/>
      <c r="CC1548" s="81" t="n"/>
      <c r="CD1548" s="81" t="n"/>
      <c r="CE1548" s="81" t="n"/>
      <c r="CF1548" s="81" t="n"/>
      <c r="CG1548" s="81" t="n"/>
      <c r="CH1548" s="81" t="n"/>
    </row>
    <row r="1549">
      <c r="A1549" s="81" t="n"/>
      <c r="B1549" s="81" t="n"/>
      <c r="C1549" s="81" t="n"/>
      <c r="D1549" s="81" t="n"/>
      <c r="E1549" s="81" t="n"/>
      <c r="F1549" s="81" t="n"/>
      <c r="G1549" s="81" t="n"/>
      <c r="H1549" s="81" t="n"/>
      <c r="I1549" s="81" t="n"/>
      <c r="J1549" s="81" t="n"/>
      <c r="K1549" s="81" t="n"/>
      <c r="L1549" s="81" t="n"/>
      <c r="M1549" s="81" t="n"/>
      <c r="N1549" s="81" t="n"/>
      <c r="O1549" s="81" t="n"/>
      <c r="P1549" s="81" t="n"/>
      <c r="Q1549" s="81" t="n"/>
      <c r="R1549" s="81" t="n"/>
      <c r="S1549" s="81" t="n"/>
      <c r="T1549" s="81" t="n"/>
      <c r="U1549" s="81" t="n"/>
      <c r="V1549" s="81" t="n"/>
      <c r="W1549" s="81" t="n"/>
      <c r="X1549" s="81" t="n"/>
      <c r="Y1549" s="81" t="n"/>
      <c r="Z1549" s="81" t="n"/>
      <c r="AA1549" s="81" t="n"/>
      <c r="AB1549" s="81" t="n"/>
      <c r="AC1549" s="81" t="n"/>
      <c r="AD1549" s="81" t="n"/>
      <c r="AE1549" s="81" t="n"/>
      <c r="AF1549" s="81" t="n"/>
      <c r="AG1549" s="81" t="n"/>
      <c r="AH1549" s="81" t="n"/>
      <c r="AI1549" s="81" t="n"/>
      <c r="AJ1549" s="81" t="n"/>
      <c r="AK1549" s="81" t="n"/>
      <c r="AL1549" s="81" t="n"/>
      <c r="AM1549" s="81" t="n"/>
      <c r="AN1549" s="81" t="n"/>
      <c r="AO1549" s="81" t="n"/>
      <c r="AP1549" s="81" t="n"/>
      <c r="AQ1549" s="81" t="n"/>
      <c r="AR1549" s="81" t="n"/>
      <c r="AS1549" s="81" t="n"/>
      <c r="AT1549" s="81" t="n"/>
      <c r="AU1549" s="81" t="n"/>
      <c r="AV1549" s="81" t="n"/>
      <c r="AW1549" s="81" t="n"/>
      <c r="AX1549" s="81" t="n"/>
      <c r="AY1549" s="81" t="n"/>
      <c r="AZ1549" s="81" t="n"/>
      <c r="BA1549" s="81" t="n"/>
      <c r="BB1549" s="81" t="n"/>
      <c r="BC1549" s="81" t="n"/>
      <c r="BD1549" s="81" t="n"/>
      <c r="BE1549" s="81" t="n"/>
      <c r="BF1549" s="81" t="n"/>
      <c r="BG1549" s="81" t="n"/>
      <c r="BH1549" s="81" t="n"/>
      <c r="BI1549" s="81" t="n"/>
      <c r="BJ1549" s="81" t="n"/>
      <c r="BK1549" s="81" t="n"/>
      <c r="BL1549" s="81" t="n"/>
      <c r="BM1549" s="81" t="n"/>
      <c r="BN1549" s="81" t="n"/>
      <c r="BO1549" s="81" t="n"/>
      <c r="BP1549" s="81" t="n"/>
      <c r="BQ1549" s="81" t="n"/>
      <c r="BR1549" s="81" t="n"/>
      <c r="BS1549" s="81" t="n"/>
      <c r="BT1549" s="81" t="n"/>
      <c r="BU1549" s="81" t="n"/>
      <c r="BV1549" s="81" t="n"/>
      <c r="BW1549" s="81" t="n"/>
      <c r="BX1549" s="81" t="n"/>
      <c r="BY1549" s="81" t="n"/>
      <c r="BZ1549" s="81" t="n"/>
      <c r="CA1549" s="81" t="n"/>
      <c r="CB1549" s="81" t="n"/>
      <c r="CC1549" s="81" t="n"/>
      <c r="CD1549" s="81" t="n"/>
      <c r="CE1549" s="81" t="n"/>
      <c r="CF1549" s="81" t="n"/>
      <c r="CG1549" s="81" t="n"/>
      <c r="CH1549" s="81" t="n"/>
    </row>
    <row r="1550">
      <c r="A1550" s="81" t="n"/>
      <c r="B1550" s="81" t="n"/>
      <c r="C1550" s="81" t="n"/>
      <c r="D1550" s="81" t="n"/>
      <c r="E1550" s="81" t="n"/>
      <c r="F1550" s="81" t="n"/>
      <c r="G1550" s="81" t="n"/>
      <c r="H1550" s="81" t="n"/>
      <c r="I1550" s="81" t="n"/>
      <c r="J1550" s="81" t="n"/>
      <c r="K1550" s="81" t="n"/>
      <c r="L1550" s="81" t="n"/>
      <c r="M1550" s="81" t="n"/>
      <c r="N1550" s="81" t="n"/>
      <c r="O1550" s="81" t="n"/>
      <c r="P1550" s="81" t="n"/>
      <c r="Q1550" s="81" t="n"/>
      <c r="R1550" s="81" t="n"/>
      <c r="S1550" s="81" t="n"/>
      <c r="T1550" s="81" t="n"/>
      <c r="U1550" s="81" t="n"/>
      <c r="V1550" s="81" t="n"/>
      <c r="W1550" s="81" t="n"/>
      <c r="X1550" s="81" t="n"/>
      <c r="Y1550" s="81" t="n"/>
      <c r="Z1550" s="81" t="n"/>
      <c r="AA1550" s="81" t="n"/>
      <c r="AB1550" s="81" t="n"/>
      <c r="AC1550" s="81" t="n"/>
      <c r="AD1550" s="81" t="n"/>
      <c r="AE1550" s="81" t="n"/>
      <c r="AF1550" s="81" t="n"/>
      <c r="AG1550" s="81" t="n"/>
      <c r="AH1550" s="81" t="n"/>
      <c r="AI1550" s="81" t="n"/>
      <c r="AJ1550" s="81" t="n"/>
      <c r="AK1550" s="81" t="n"/>
      <c r="AL1550" s="81" t="n"/>
      <c r="AM1550" s="81" t="n"/>
      <c r="AN1550" s="81" t="n"/>
      <c r="AO1550" s="81" t="n"/>
      <c r="AP1550" s="81" t="n"/>
      <c r="AQ1550" s="81" t="n"/>
      <c r="AR1550" s="81" t="n"/>
      <c r="AS1550" s="81" t="n"/>
      <c r="AT1550" s="81" t="n"/>
      <c r="AU1550" s="81" t="n"/>
      <c r="AV1550" s="81" t="n"/>
      <c r="AW1550" s="81" t="n"/>
      <c r="AX1550" s="81" t="n"/>
      <c r="AY1550" s="81" t="n"/>
      <c r="AZ1550" s="81" t="n"/>
      <c r="BA1550" s="81" t="n"/>
      <c r="BB1550" s="81" t="n"/>
      <c r="BC1550" s="81" t="n"/>
      <c r="BD1550" s="81" t="n"/>
      <c r="BE1550" s="81" t="n"/>
      <c r="BF1550" s="81" t="n"/>
      <c r="BG1550" s="81" t="n"/>
      <c r="BH1550" s="81" t="n"/>
      <c r="BI1550" s="81" t="n"/>
      <c r="BJ1550" s="81" t="n"/>
      <c r="BK1550" s="81" t="n"/>
      <c r="BL1550" s="81" t="n"/>
      <c r="BM1550" s="81" t="n"/>
      <c r="BN1550" s="81" t="n"/>
      <c r="BO1550" s="81" t="n"/>
      <c r="BP1550" s="81" t="n"/>
      <c r="BQ1550" s="81" t="n"/>
      <c r="BR1550" s="81" t="n"/>
      <c r="BS1550" s="81" t="n"/>
      <c r="BT1550" s="81" t="n"/>
      <c r="BU1550" s="81" t="n"/>
      <c r="BV1550" s="81" t="n"/>
      <c r="BW1550" s="81" t="n"/>
      <c r="BX1550" s="81" t="n"/>
      <c r="BY1550" s="81" t="n"/>
      <c r="BZ1550" s="81" t="n"/>
      <c r="CA1550" s="81" t="n"/>
      <c r="CB1550" s="81" t="n"/>
      <c r="CC1550" s="81" t="n"/>
      <c r="CD1550" s="81" t="n"/>
      <c r="CE1550" s="81" t="n"/>
      <c r="CF1550" s="81" t="n"/>
      <c r="CG1550" s="81" t="n"/>
      <c r="CH1550" s="81" t="n"/>
    </row>
    <row r="1551">
      <c r="A1551" s="81" t="n"/>
      <c r="B1551" s="81" t="n"/>
      <c r="C1551" s="81" t="n"/>
      <c r="D1551" s="81" t="n"/>
      <c r="E1551" s="81" t="n"/>
      <c r="F1551" s="81" t="n"/>
      <c r="G1551" s="81" t="n"/>
      <c r="H1551" s="81" t="n"/>
      <c r="I1551" s="81" t="n"/>
      <c r="J1551" s="81" t="n"/>
      <c r="K1551" s="81" t="n"/>
      <c r="L1551" s="81" t="n"/>
      <c r="M1551" s="81" t="n"/>
      <c r="N1551" s="81" t="n"/>
      <c r="O1551" s="81" t="n"/>
      <c r="P1551" s="81" t="n"/>
      <c r="Q1551" s="81" t="n"/>
      <c r="R1551" s="81" t="n"/>
      <c r="S1551" s="81" t="n"/>
      <c r="T1551" s="81" t="n"/>
      <c r="U1551" s="81" t="n"/>
      <c r="V1551" s="81" t="n"/>
      <c r="W1551" s="81" t="n"/>
      <c r="X1551" s="81" t="n"/>
      <c r="Y1551" s="81" t="n"/>
      <c r="Z1551" s="81" t="n"/>
      <c r="AA1551" s="81" t="n"/>
      <c r="AB1551" s="81" t="n"/>
      <c r="AC1551" s="81" t="n"/>
      <c r="AD1551" s="81" t="n"/>
      <c r="AE1551" s="81" t="n"/>
      <c r="AF1551" s="81" t="n"/>
      <c r="AG1551" s="81" t="n"/>
      <c r="AH1551" s="81" t="n"/>
      <c r="AI1551" s="81" t="n"/>
      <c r="AJ1551" s="81" t="n"/>
      <c r="AK1551" s="81" t="n"/>
      <c r="AL1551" s="81" t="n"/>
      <c r="AM1551" s="81" t="n"/>
      <c r="AN1551" s="81" t="n"/>
      <c r="AO1551" s="81" t="n"/>
      <c r="AP1551" s="81" t="n"/>
      <c r="AQ1551" s="81" t="n"/>
      <c r="AR1551" s="81" t="n"/>
      <c r="AS1551" s="81" t="n"/>
      <c r="AT1551" s="81" t="n"/>
      <c r="AU1551" s="81" t="n"/>
      <c r="AV1551" s="81" t="n"/>
      <c r="AW1551" s="81" t="n"/>
      <c r="AX1551" s="81" t="n"/>
      <c r="AY1551" s="81" t="n"/>
      <c r="AZ1551" s="81" t="n"/>
      <c r="BA1551" s="81" t="n"/>
      <c r="BB1551" s="81" t="n"/>
      <c r="BC1551" s="81" t="n"/>
      <c r="BD1551" s="81" t="n"/>
      <c r="BE1551" s="81" t="n"/>
      <c r="BF1551" s="81" t="n"/>
      <c r="BG1551" s="81" t="n"/>
      <c r="BH1551" s="81" t="n"/>
      <c r="BI1551" s="81" t="n"/>
      <c r="BJ1551" s="81" t="n"/>
      <c r="BK1551" s="81" t="n"/>
      <c r="BL1551" s="81" t="n"/>
      <c r="BM1551" s="81" t="n"/>
      <c r="BN1551" s="81" t="n"/>
      <c r="BO1551" s="81" t="n"/>
      <c r="BP1551" s="81" t="n"/>
      <c r="BQ1551" s="81" t="n"/>
      <c r="BR1551" s="81" t="n"/>
      <c r="BS1551" s="81" t="n"/>
      <c r="BT1551" s="81" t="n"/>
      <c r="BU1551" s="81" t="n"/>
      <c r="BV1551" s="81" t="n"/>
      <c r="BW1551" s="81" t="n"/>
      <c r="BX1551" s="81" t="n"/>
      <c r="BY1551" s="81" t="n"/>
      <c r="BZ1551" s="81" t="n"/>
      <c r="CA1551" s="81" t="n"/>
      <c r="CB1551" s="81" t="n"/>
      <c r="CC1551" s="81" t="n"/>
      <c r="CD1551" s="81" t="n"/>
      <c r="CE1551" s="81" t="n"/>
      <c r="CF1551" s="81" t="n"/>
      <c r="CG1551" s="81" t="n"/>
      <c r="CH1551" s="81" t="n"/>
    </row>
    <row r="1552">
      <c r="A1552" s="81" t="n"/>
      <c r="B1552" s="81" t="n"/>
      <c r="C1552" s="81" t="n"/>
      <c r="D1552" s="81" t="n"/>
      <c r="E1552" s="81" t="n"/>
      <c r="F1552" s="81" t="n"/>
      <c r="G1552" s="81" t="n"/>
      <c r="H1552" s="81" t="n"/>
      <c r="I1552" s="81" t="n"/>
      <c r="J1552" s="81" t="n"/>
      <c r="K1552" s="81" t="n"/>
      <c r="L1552" s="81" t="n"/>
      <c r="M1552" s="81" t="n"/>
      <c r="N1552" s="81" t="n"/>
      <c r="O1552" s="81" t="n"/>
      <c r="P1552" s="81" t="n"/>
      <c r="Q1552" s="81" t="n"/>
      <c r="R1552" s="81" t="n"/>
      <c r="S1552" s="81" t="n"/>
      <c r="T1552" s="81" t="n"/>
      <c r="U1552" s="81" t="n"/>
      <c r="V1552" s="81" t="n"/>
      <c r="W1552" s="81" t="n"/>
      <c r="X1552" s="81" t="n"/>
      <c r="Y1552" s="81" t="n"/>
      <c r="Z1552" s="81" t="n"/>
      <c r="AA1552" s="81" t="n"/>
      <c r="AB1552" s="81" t="n"/>
      <c r="AC1552" s="81" t="n"/>
      <c r="AD1552" s="81" t="n"/>
      <c r="AE1552" s="81" t="n"/>
      <c r="AF1552" s="81" t="n"/>
      <c r="AG1552" s="81" t="n"/>
      <c r="AH1552" s="81" t="n"/>
      <c r="AI1552" s="81" t="n"/>
      <c r="AJ1552" s="81" t="n"/>
      <c r="AK1552" s="81" t="n"/>
      <c r="AL1552" s="81" t="n"/>
      <c r="AM1552" s="81" t="n"/>
      <c r="AN1552" s="81" t="n"/>
      <c r="AO1552" s="81" t="n"/>
      <c r="AP1552" s="81" t="n"/>
      <c r="AQ1552" s="81" t="n"/>
      <c r="AR1552" s="81" t="n"/>
      <c r="AS1552" s="81" t="n"/>
      <c r="AT1552" s="81" t="n"/>
      <c r="AU1552" s="81" t="n"/>
      <c r="AV1552" s="81" t="n"/>
      <c r="AW1552" s="81" t="n"/>
      <c r="AX1552" s="81" t="n"/>
      <c r="AY1552" s="81" t="n"/>
      <c r="AZ1552" s="81" t="n"/>
      <c r="BA1552" s="81" t="n"/>
      <c r="BB1552" s="81" t="n"/>
      <c r="BC1552" s="81" t="n"/>
      <c r="BD1552" s="81" t="n"/>
      <c r="BE1552" s="81" t="n"/>
      <c r="BF1552" s="81" t="n"/>
      <c r="BG1552" s="81" t="n"/>
      <c r="BH1552" s="81" t="n"/>
      <c r="BI1552" s="81" t="n"/>
      <c r="BJ1552" s="81" t="n"/>
      <c r="BK1552" s="81" t="n"/>
      <c r="BL1552" s="81" t="n"/>
      <c r="BM1552" s="81" t="n"/>
      <c r="BN1552" s="81" t="n"/>
      <c r="BO1552" s="81" t="n"/>
      <c r="BP1552" s="81" t="n"/>
      <c r="BQ1552" s="81" t="n"/>
      <c r="BR1552" s="81" t="n"/>
      <c r="BS1552" s="81" t="n"/>
      <c r="BT1552" s="81" t="n"/>
      <c r="BU1552" s="81" t="n"/>
      <c r="BV1552" s="81" t="n"/>
      <c r="BW1552" s="81" t="n"/>
      <c r="BX1552" s="81" t="n"/>
      <c r="BY1552" s="81" t="n"/>
      <c r="BZ1552" s="81" t="n"/>
      <c r="CA1552" s="81" t="n"/>
      <c r="CB1552" s="81" t="n"/>
      <c r="CC1552" s="81" t="n"/>
      <c r="CD1552" s="81" t="n"/>
      <c r="CE1552" s="81" t="n"/>
      <c r="CF1552" s="81" t="n"/>
      <c r="CG1552" s="81" t="n"/>
      <c r="CH1552" s="81" t="n"/>
    </row>
    <row r="1553">
      <c r="A1553" s="81" t="n"/>
      <c r="B1553" s="81" t="n"/>
      <c r="C1553" s="81" t="n"/>
      <c r="D1553" s="81" t="n"/>
      <c r="E1553" s="81" t="n"/>
      <c r="F1553" s="81" t="n"/>
      <c r="G1553" s="81" t="n"/>
      <c r="H1553" s="81" t="n"/>
      <c r="I1553" s="81" t="n"/>
      <c r="J1553" s="81" t="n"/>
      <c r="K1553" s="81" t="n"/>
      <c r="L1553" s="81" t="n"/>
      <c r="M1553" s="81" t="n"/>
      <c r="N1553" s="81" t="n"/>
      <c r="O1553" s="81" t="n"/>
      <c r="P1553" s="81" t="n"/>
      <c r="Q1553" s="81" t="n"/>
      <c r="R1553" s="81" t="n"/>
      <c r="S1553" s="81" t="n"/>
      <c r="T1553" s="81" t="n"/>
      <c r="U1553" s="81" t="n"/>
      <c r="V1553" s="81" t="n"/>
      <c r="W1553" s="81" t="n"/>
      <c r="X1553" s="81" t="n"/>
      <c r="Y1553" s="81" t="n"/>
      <c r="Z1553" s="81" t="n"/>
      <c r="AA1553" s="81" t="n"/>
      <c r="AB1553" s="81" t="n"/>
      <c r="AC1553" s="81" t="n"/>
      <c r="AD1553" s="81" t="n"/>
      <c r="AE1553" s="81" t="n"/>
      <c r="AF1553" s="81" t="n"/>
      <c r="AG1553" s="81" t="n"/>
      <c r="AH1553" s="81" t="n"/>
      <c r="AI1553" s="81" t="n"/>
      <c r="AJ1553" s="81" t="n"/>
      <c r="AK1553" s="81" t="n"/>
      <c r="AL1553" s="81" t="n"/>
      <c r="AM1553" s="81" t="n"/>
      <c r="AN1553" s="81" t="n"/>
      <c r="AO1553" s="81" t="n"/>
      <c r="AP1553" s="81" t="n"/>
      <c r="AQ1553" s="81" t="n"/>
      <c r="AR1553" s="81" t="n"/>
      <c r="AS1553" s="81" t="n"/>
      <c r="AT1553" s="81" t="n"/>
      <c r="AU1553" s="81" t="n"/>
      <c r="AV1553" s="81" t="n"/>
      <c r="AW1553" s="81" t="n"/>
      <c r="AX1553" s="81" t="n"/>
      <c r="AY1553" s="81" t="n"/>
      <c r="AZ1553" s="81" t="n"/>
      <c r="BA1553" s="81" t="n"/>
      <c r="BB1553" s="81" t="n"/>
      <c r="BC1553" s="81" t="n"/>
      <c r="BD1553" s="81" t="n"/>
      <c r="BE1553" s="81" t="n"/>
      <c r="BF1553" s="81" t="n"/>
      <c r="BG1553" s="81" t="n"/>
      <c r="BH1553" s="81" t="n"/>
      <c r="BI1553" s="81" t="n"/>
      <c r="BJ1553" s="81" t="n"/>
      <c r="BK1553" s="81" t="n"/>
      <c r="BL1553" s="81" t="n"/>
      <c r="BM1553" s="81" t="n"/>
      <c r="BN1553" s="81" t="n"/>
      <c r="BO1553" s="81" t="n"/>
      <c r="BP1553" s="81" t="n"/>
      <c r="BQ1553" s="81" t="n"/>
      <c r="BR1553" s="81" t="n"/>
      <c r="BS1553" s="81" t="n"/>
      <c r="BT1553" s="81" t="n"/>
      <c r="BU1553" s="81" t="n"/>
      <c r="BV1553" s="81" t="n"/>
      <c r="BW1553" s="81" t="n"/>
      <c r="BX1553" s="81" t="n"/>
      <c r="BY1553" s="81" t="n"/>
      <c r="BZ1553" s="81" t="n"/>
      <c r="CA1553" s="81" t="n"/>
      <c r="CB1553" s="81" t="n"/>
      <c r="CC1553" s="81" t="n"/>
      <c r="CD1553" s="81" t="n"/>
      <c r="CE1553" s="81" t="n"/>
      <c r="CF1553" s="81" t="n"/>
      <c r="CG1553" s="81" t="n"/>
      <c r="CH1553" s="81" t="n"/>
    </row>
    <row r="1554">
      <c r="A1554" s="81" t="n"/>
      <c r="B1554" s="81" t="n"/>
      <c r="C1554" s="81" t="n"/>
      <c r="D1554" s="81" t="n"/>
      <c r="E1554" s="81" t="n"/>
      <c r="F1554" s="81" t="n"/>
      <c r="G1554" s="81" t="n"/>
      <c r="H1554" s="81" t="n"/>
      <c r="I1554" s="81" t="n"/>
      <c r="J1554" s="81" t="n"/>
      <c r="K1554" s="81" t="n"/>
      <c r="L1554" s="81" t="n"/>
      <c r="M1554" s="81" t="n"/>
      <c r="N1554" s="81" t="n"/>
      <c r="O1554" s="81" t="n"/>
      <c r="P1554" s="81" t="n"/>
      <c r="Q1554" s="81" t="n"/>
      <c r="R1554" s="81" t="n"/>
      <c r="S1554" s="81" t="n"/>
      <c r="T1554" s="81" t="n"/>
      <c r="U1554" s="81" t="n"/>
      <c r="V1554" s="81" t="n"/>
      <c r="W1554" s="81" t="n"/>
      <c r="X1554" s="81" t="n"/>
      <c r="Y1554" s="81" t="n"/>
      <c r="Z1554" s="81" t="n"/>
      <c r="AA1554" s="81" t="n"/>
      <c r="AB1554" s="81" t="n"/>
      <c r="AC1554" s="81" t="n"/>
      <c r="AD1554" s="81" t="n"/>
      <c r="AE1554" s="81" t="n"/>
      <c r="AF1554" s="81" t="n"/>
      <c r="AG1554" s="81" t="n"/>
      <c r="AH1554" s="81" t="n"/>
      <c r="AI1554" s="81" t="n"/>
      <c r="AJ1554" s="81" t="n"/>
      <c r="AK1554" s="81" t="n"/>
      <c r="AL1554" s="81" t="n"/>
      <c r="AM1554" s="81" t="n"/>
      <c r="AN1554" s="81" t="n"/>
      <c r="AO1554" s="81" t="n"/>
      <c r="AP1554" s="81" t="n"/>
      <c r="AQ1554" s="81" t="n"/>
      <c r="AR1554" s="81" t="n"/>
      <c r="AS1554" s="81" t="n"/>
      <c r="AT1554" s="81" t="n"/>
      <c r="AU1554" s="81" t="n"/>
      <c r="AV1554" s="81" t="n"/>
      <c r="AW1554" s="81" t="n"/>
      <c r="AX1554" s="81" t="n"/>
      <c r="AY1554" s="81" t="n"/>
      <c r="AZ1554" s="81" t="n"/>
      <c r="BA1554" s="81" t="n"/>
      <c r="BB1554" s="81" t="n"/>
      <c r="BC1554" s="81" t="n"/>
      <c r="BD1554" s="81" t="n"/>
      <c r="BE1554" s="81" t="n"/>
      <c r="BF1554" s="81" t="n"/>
      <c r="BG1554" s="81" t="n"/>
      <c r="BH1554" s="81" t="n"/>
      <c r="BI1554" s="81" t="n"/>
      <c r="BJ1554" s="81" t="n"/>
      <c r="BK1554" s="81" t="n"/>
      <c r="BL1554" s="81" t="n"/>
      <c r="BM1554" s="81" t="n"/>
      <c r="BN1554" s="81" t="n"/>
      <c r="BO1554" s="81" t="n"/>
      <c r="BP1554" s="81" t="n"/>
      <c r="BQ1554" s="81" t="n"/>
      <c r="BR1554" s="81" t="n"/>
      <c r="BS1554" s="81" t="n"/>
      <c r="BT1554" s="81" t="n"/>
      <c r="BU1554" s="81" t="n"/>
      <c r="BV1554" s="81" t="n"/>
      <c r="BW1554" s="81" t="n"/>
      <c r="BX1554" s="81" t="n"/>
      <c r="BY1554" s="81" t="n"/>
      <c r="BZ1554" s="81" t="n"/>
      <c r="CA1554" s="81" t="n"/>
      <c r="CB1554" s="81" t="n"/>
      <c r="CC1554" s="81" t="n"/>
      <c r="CD1554" s="81" t="n"/>
      <c r="CE1554" s="81" t="n"/>
      <c r="CF1554" s="81" t="n"/>
      <c r="CG1554" s="81" t="n"/>
      <c r="CH1554" s="81" t="n"/>
    </row>
    <row r="1555">
      <c r="A1555" s="81" t="n"/>
      <c r="B1555" s="81" t="n"/>
      <c r="C1555" s="81" t="n"/>
      <c r="D1555" s="81" t="n"/>
      <c r="E1555" s="81" t="n"/>
      <c r="F1555" s="81" t="n"/>
      <c r="G1555" s="81" t="n"/>
      <c r="H1555" s="81" t="n"/>
      <c r="I1555" s="81" t="n"/>
      <c r="J1555" s="81" t="n"/>
      <c r="K1555" s="81" t="n"/>
      <c r="L1555" s="81" t="n"/>
      <c r="M1555" s="81" t="n"/>
      <c r="N1555" s="81" t="n"/>
      <c r="O1555" s="81" t="n"/>
      <c r="P1555" s="81" t="n"/>
      <c r="Q1555" s="81" t="n"/>
      <c r="R1555" s="81" t="n"/>
      <c r="S1555" s="81" t="n"/>
      <c r="T1555" s="81" t="n"/>
      <c r="U1555" s="81" t="n"/>
      <c r="V1555" s="81" t="n"/>
      <c r="W1555" s="81" t="n"/>
      <c r="X1555" s="81" t="n"/>
      <c r="Y1555" s="81" t="n"/>
      <c r="Z1555" s="81" t="n"/>
      <c r="AA1555" s="81" t="n"/>
      <c r="AB1555" s="81" t="n"/>
      <c r="AC1555" s="81" t="n"/>
      <c r="AD1555" s="81" t="n"/>
      <c r="AE1555" s="81" t="n"/>
      <c r="AF1555" s="81" t="n"/>
      <c r="AG1555" s="81" t="n"/>
      <c r="AH1555" s="81" t="n"/>
      <c r="AI1555" s="81" t="n"/>
      <c r="AJ1555" s="81" t="n"/>
      <c r="AK1555" s="81" t="n"/>
      <c r="AL1555" s="81" t="n"/>
      <c r="AM1555" s="81" t="n"/>
      <c r="AN1555" s="81" t="n"/>
      <c r="AO1555" s="81" t="n"/>
      <c r="AP1555" s="81" t="n"/>
      <c r="AQ1555" s="81" t="n"/>
      <c r="AR1555" s="81" t="n"/>
      <c r="AS1555" s="81" t="n"/>
      <c r="AT1555" s="81" t="n"/>
      <c r="AU1555" s="81" t="n"/>
      <c r="AV1555" s="81" t="n"/>
      <c r="AW1555" s="81" t="n"/>
      <c r="AX1555" s="81" t="n"/>
      <c r="AY1555" s="81" t="n"/>
      <c r="AZ1555" s="81" t="n"/>
      <c r="BA1555" s="81" t="n"/>
      <c r="BB1555" s="81" t="n"/>
      <c r="BC1555" s="81" t="n"/>
      <c r="BD1555" s="81" t="n"/>
      <c r="BE1555" s="81" t="n"/>
      <c r="BF1555" s="81" t="n"/>
      <c r="BG1555" s="81" t="n"/>
      <c r="BH1555" s="81" t="n"/>
      <c r="BI1555" s="81" t="n"/>
      <c r="BJ1555" s="81" t="n"/>
      <c r="BK1555" s="81" t="n"/>
      <c r="BL1555" s="81" t="n"/>
      <c r="BM1555" s="81" t="n"/>
      <c r="BN1555" s="81" t="n"/>
      <c r="BO1555" s="81" t="n"/>
      <c r="BP1555" s="81" t="n"/>
      <c r="BQ1555" s="81" t="n"/>
      <c r="BR1555" s="81" t="n"/>
      <c r="BS1555" s="81" t="n"/>
      <c r="BT1555" s="81" t="n"/>
      <c r="BU1555" s="81" t="n"/>
      <c r="BV1555" s="81" t="n"/>
      <c r="BW1555" s="81" t="n"/>
      <c r="BX1555" s="81" t="n"/>
      <c r="BY1555" s="81" t="n"/>
      <c r="BZ1555" s="81" t="n"/>
      <c r="CA1555" s="81" t="n"/>
      <c r="CB1555" s="81" t="n"/>
      <c r="CC1555" s="81" t="n"/>
      <c r="CD1555" s="81" t="n"/>
      <c r="CE1555" s="81" t="n"/>
      <c r="CF1555" s="81" t="n"/>
      <c r="CG1555" s="81" t="n"/>
      <c r="CH1555" s="81" t="n"/>
    </row>
    <row r="1556">
      <c r="A1556" s="81" t="n"/>
      <c r="B1556" s="81" t="n"/>
      <c r="C1556" s="81" t="n"/>
      <c r="D1556" s="81" t="n"/>
      <c r="E1556" s="81" t="n"/>
      <c r="F1556" s="81" t="n"/>
      <c r="G1556" s="81" t="n"/>
      <c r="H1556" s="81" t="n"/>
      <c r="I1556" s="81" t="n"/>
      <c r="J1556" s="81" t="n"/>
      <c r="K1556" s="81" t="n"/>
      <c r="L1556" s="81" t="n"/>
      <c r="M1556" s="81" t="n"/>
      <c r="N1556" s="81" t="n"/>
      <c r="O1556" s="81" t="n"/>
      <c r="P1556" s="81" t="n"/>
      <c r="Q1556" s="81" t="n"/>
      <c r="R1556" s="81" t="n"/>
      <c r="S1556" s="81" t="n"/>
      <c r="T1556" s="81" t="n"/>
      <c r="U1556" s="81" t="n"/>
      <c r="V1556" s="81" t="n"/>
      <c r="W1556" s="81" t="n"/>
      <c r="X1556" s="81" t="n"/>
      <c r="Y1556" s="81" t="n"/>
      <c r="Z1556" s="81" t="n"/>
      <c r="AA1556" s="81" t="n"/>
      <c r="AB1556" s="81" t="n"/>
      <c r="AC1556" s="81" t="n"/>
      <c r="AD1556" s="81" t="n"/>
      <c r="AE1556" s="81" t="n"/>
      <c r="AF1556" s="81" t="n"/>
      <c r="AG1556" s="81" t="n"/>
      <c r="AH1556" s="81" t="n"/>
      <c r="AI1556" s="81" t="n"/>
      <c r="AJ1556" s="81" t="n"/>
      <c r="AK1556" s="81" t="n"/>
      <c r="AL1556" s="81" t="n"/>
      <c r="AM1556" s="81" t="n"/>
      <c r="AN1556" s="81" t="n"/>
      <c r="AO1556" s="81" t="n"/>
      <c r="AP1556" s="81" t="n"/>
      <c r="AQ1556" s="81" t="n"/>
      <c r="AR1556" s="81" t="n"/>
      <c r="AS1556" s="81" t="n"/>
      <c r="AT1556" s="81" t="n"/>
      <c r="AU1556" s="81" t="n"/>
      <c r="AV1556" s="81" t="n"/>
      <c r="AW1556" s="81" t="n"/>
      <c r="AX1556" s="81" t="n"/>
      <c r="AY1556" s="81" t="n"/>
      <c r="AZ1556" s="81" t="n"/>
      <c r="BA1556" s="81" t="n"/>
      <c r="BB1556" s="81" t="n"/>
      <c r="BC1556" s="81" t="n"/>
      <c r="BD1556" s="81" t="n"/>
      <c r="BE1556" s="81" t="n"/>
      <c r="BF1556" s="81" t="n"/>
      <c r="BG1556" s="81" t="n"/>
      <c r="BH1556" s="81" t="n"/>
      <c r="BI1556" s="81" t="n"/>
      <c r="BJ1556" s="81" t="n"/>
      <c r="BK1556" s="81" t="n"/>
      <c r="BL1556" s="81" t="n"/>
      <c r="BM1556" s="81" t="n"/>
      <c r="BN1556" s="81" t="n"/>
      <c r="BO1556" s="81" t="n"/>
      <c r="BP1556" s="81" t="n"/>
      <c r="BQ1556" s="81" t="n"/>
      <c r="BR1556" s="81" t="n"/>
      <c r="BS1556" s="81" t="n"/>
      <c r="BT1556" s="81" t="n"/>
      <c r="BU1556" s="81" t="n"/>
      <c r="BV1556" s="81" t="n"/>
      <c r="BW1556" s="81" t="n"/>
      <c r="BX1556" s="81" t="n"/>
      <c r="BY1556" s="81" t="n"/>
      <c r="BZ1556" s="81" t="n"/>
      <c r="CA1556" s="81" t="n"/>
      <c r="CB1556" s="81" t="n"/>
      <c r="CC1556" s="81" t="n"/>
      <c r="CD1556" s="81" t="n"/>
      <c r="CE1556" s="81" t="n"/>
      <c r="CF1556" s="81" t="n"/>
      <c r="CG1556" s="81" t="n"/>
      <c r="CH1556" s="81" t="n"/>
    </row>
    <row r="1557">
      <c r="A1557" s="81" t="n"/>
      <c r="B1557" s="81" t="n"/>
      <c r="C1557" s="81" t="n"/>
      <c r="D1557" s="81" t="n"/>
      <c r="E1557" s="81" t="n"/>
      <c r="F1557" s="81" t="n"/>
      <c r="G1557" s="81" t="n"/>
      <c r="H1557" s="81" t="n"/>
      <c r="I1557" s="81" t="n"/>
      <c r="J1557" s="81" t="n"/>
      <c r="K1557" s="81" t="n"/>
      <c r="L1557" s="81" t="n"/>
      <c r="M1557" s="81" t="n"/>
      <c r="N1557" s="81" t="n"/>
      <c r="O1557" s="81" t="n"/>
      <c r="P1557" s="81" t="n"/>
      <c r="Q1557" s="81" t="n"/>
      <c r="R1557" s="81" t="n"/>
      <c r="S1557" s="81" t="n"/>
      <c r="T1557" s="81" t="n"/>
      <c r="U1557" s="81" t="n"/>
      <c r="V1557" s="81" t="n"/>
      <c r="W1557" s="81" t="n"/>
      <c r="X1557" s="81" t="n"/>
      <c r="Y1557" s="81" t="n"/>
      <c r="Z1557" s="81" t="n"/>
      <c r="AA1557" s="81" t="n"/>
      <c r="AB1557" s="81" t="n"/>
      <c r="AC1557" s="81" t="n"/>
      <c r="AD1557" s="81" t="n"/>
      <c r="AE1557" s="81" t="n"/>
      <c r="AF1557" s="81" t="n"/>
      <c r="AG1557" s="81" t="n"/>
      <c r="AH1557" s="81" t="n"/>
      <c r="AI1557" s="81" t="n"/>
      <c r="AJ1557" s="81" t="n"/>
      <c r="AK1557" s="81" t="n"/>
      <c r="AL1557" s="81" t="n"/>
      <c r="AM1557" s="81" t="n"/>
      <c r="AN1557" s="81" t="n"/>
      <c r="AO1557" s="81" t="n"/>
      <c r="AP1557" s="81" t="n"/>
      <c r="AQ1557" s="81" t="n"/>
      <c r="AR1557" s="81" t="n"/>
      <c r="AS1557" s="81" t="n"/>
      <c r="AT1557" s="81" t="n"/>
      <c r="AU1557" s="81" t="n"/>
      <c r="AV1557" s="81" t="n"/>
      <c r="AW1557" s="81" t="n"/>
      <c r="AX1557" s="81" t="n"/>
      <c r="AY1557" s="81" t="n"/>
      <c r="AZ1557" s="81" t="n"/>
      <c r="BA1557" s="81" t="n"/>
      <c r="BB1557" s="81" t="n"/>
      <c r="BC1557" s="81" t="n"/>
      <c r="BD1557" s="81" t="n"/>
      <c r="BE1557" s="81" t="n"/>
      <c r="BF1557" s="81" t="n"/>
      <c r="BG1557" s="81" t="n"/>
      <c r="BH1557" s="81" t="n"/>
      <c r="BI1557" s="81" t="n"/>
      <c r="BJ1557" s="81" t="n"/>
      <c r="BK1557" s="81" t="n"/>
      <c r="BL1557" s="81" t="n"/>
      <c r="BM1557" s="81" t="n"/>
      <c r="BN1557" s="81" t="n"/>
      <c r="BO1557" s="81" t="n"/>
      <c r="BP1557" s="81" t="n"/>
      <c r="BQ1557" s="81" t="n"/>
      <c r="BR1557" s="81" t="n"/>
      <c r="BS1557" s="81" t="n"/>
      <c r="BT1557" s="81" t="n"/>
      <c r="BU1557" s="81" t="n"/>
      <c r="BV1557" s="81" t="n"/>
      <c r="BW1557" s="81" t="n"/>
      <c r="BX1557" s="81" t="n"/>
      <c r="BY1557" s="81" t="n"/>
      <c r="BZ1557" s="81" t="n"/>
      <c r="CA1557" s="81" t="n"/>
      <c r="CB1557" s="81" t="n"/>
      <c r="CC1557" s="81" t="n"/>
      <c r="CD1557" s="81" t="n"/>
      <c r="CE1557" s="81" t="n"/>
      <c r="CF1557" s="81" t="n"/>
      <c r="CG1557" s="81" t="n"/>
      <c r="CH1557" s="81" t="n"/>
    </row>
    <row r="1558">
      <c r="A1558" s="81" t="n"/>
      <c r="B1558" s="81" t="n"/>
      <c r="C1558" s="81" t="n"/>
      <c r="D1558" s="81" t="n"/>
      <c r="E1558" s="81" t="n"/>
      <c r="F1558" s="81" t="n"/>
      <c r="G1558" s="81" t="n"/>
      <c r="H1558" s="81" t="n"/>
      <c r="I1558" s="81" t="n"/>
      <c r="J1558" s="81" t="n"/>
      <c r="K1558" s="81" t="n"/>
      <c r="L1558" s="81" t="n"/>
      <c r="M1558" s="81" t="n"/>
      <c r="N1558" s="81" t="n"/>
      <c r="O1558" s="81" t="n"/>
      <c r="P1558" s="81" t="n"/>
      <c r="Q1558" s="81" t="n"/>
      <c r="R1558" s="81" t="n"/>
      <c r="S1558" s="81" t="n"/>
      <c r="T1558" s="81" t="n"/>
      <c r="U1558" s="81" t="n"/>
      <c r="V1558" s="81" t="n"/>
      <c r="W1558" s="81" t="n"/>
      <c r="X1558" s="81" t="n"/>
      <c r="Y1558" s="81" t="n"/>
      <c r="Z1558" s="81" t="n"/>
      <c r="AA1558" s="81" t="n"/>
      <c r="AB1558" s="81" t="n"/>
      <c r="AC1558" s="81" t="n"/>
      <c r="AD1558" s="81" t="n"/>
      <c r="AE1558" s="81" t="n"/>
      <c r="AF1558" s="81" t="n"/>
      <c r="AG1558" s="81" t="n"/>
      <c r="AH1558" s="81" t="n"/>
      <c r="AI1558" s="81" t="n"/>
      <c r="AJ1558" s="81" t="n"/>
      <c r="AK1558" s="81" t="n"/>
      <c r="AL1558" s="81" t="n"/>
      <c r="AM1558" s="81" t="n"/>
      <c r="AN1558" s="81" t="n"/>
      <c r="AO1558" s="81" t="n"/>
      <c r="AP1558" s="81" t="n"/>
      <c r="AQ1558" s="81" t="n"/>
      <c r="AR1558" s="81" t="n"/>
      <c r="AS1558" s="81" t="n"/>
      <c r="AT1558" s="81" t="n"/>
      <c r="AU1558" s="81" t="n"/>
      <c r="AV1558" s="81" t="n"/>
      <c r="AW1558" s="81" t="n"/>
      <c r="AX1558" s="81" t="n"/>
      <c r="AY1558" s="81" t="n"/>
      <c r="AZ1558" s="81" t="n"/>
      <c r="BA1558" s="81" t="n"/>
      <c r="BB1558" s="81" t="n"/>
      <c r="BC1558" s="81" t="n"/>
      <c r="BD1558" s="81" t="n"/>
      <c r="BE1558" s="81" t="n"/>
      <c r="BF1558" s="81" t="n"/>
      <c r="BG1558" s="81" t="n"/>
      <c r="BH1558" s="81" t="n"/>
      <c r="BI1558" s="81" t="n"/>
      <c r="BJ1558" s="81" t="n"/>
      <c r="BK1558" s="81" t="n"/>
      <c r="BL1558" s="81" t="n"/>
      <c r="BM1558" s="81" t="n"/>
      <c r="BN1558" s="81" t="n"/>
      <c r="BO1558" s="81" t="n"/>
      <c r="BP1558" s="81" t="n"/>
      <c r="BQ1558" s="81" t="n"/>
      <c r="BR1558" s="81" t="n"/>
      <c r="BS1558" s="81" t="n"/>
      <c r="BT1558" s="81" t="n"/>
      <c r="BU1558" s="81" t="n"/>
      <c r="BV1558" s="81" t="n"/>
      <c r="BW1558" s="81" t="n"/>
      <c r="BX1558" s="81" t="n"/>
      <c r="BY1558" s="81" t="n"/>
      <c r="BZ1558" s="81" t="n"/>
      <c r="CA1558" s="81" t="n"/>
      <c r="CB1558" s="81" t="n"/>
      <c r="CC1558" s="81" t="n"/>
      <c r="CD1558" s="81" t="n"/>
      <c r="CE1558" s="81" t="n"/>
      <c r="CF1558" s="81" t="n"/>
      <c r="CG1558" s="81" t="n"/>
      <c r="CH1558" s="81" t="n"/>
    </row>
    <row r="1559">
      <c r="A1559" s="81" t="n"/>
      <c r="B1559" s="81" t="n"/>
      <c r="C1559" s="81" t="n"/>
      <c r="D1559" s="81" t="n"/>
      <c r="E1559" s="81" t="n"/>
      <c r="F1559" s="81" t="n"/>
      <c r="G1559" s="81" t="n"/>
      <c r="H1559" s="81" t="n"/>
      <c r="I1559" s="81" t="n"/>
      <c r="J1559" s="81" t="n"/>
      <c r="K1559" s="81" t="n"/>
      <c r="L1559" s="81" t="n"/>
      <c r="M1559" s="81" t="n"/>
      <c r="N1559" s="81" t="n"/>
      <c r="O1559" s="81" t="n"/>
      <c r="P1559" s="81" t="n"/>
      <c r="Q1559" s="81" t="n"/>
      <c r="R1559" s="81" t="n"/>
      <c r="S1559" s="81" t="n"/>
      <c r="T1559" s="81" t="n"/>
      <c r="U1559" s="81" t="n"/>
      <c r="V1559" s="81" t="n"/>
      <c r="W1559" s="81" t="n"/>
      <c r="X1559" s="81" t="n"/>
      <c r="Y1559" s="81" t="n"/>
      <c r="Z1559" s="81" t="n"/>
      <c r="AA1559" s="81" t="n"/>
      <c r="AB1559" s="81" t="n"/>
      <c r="AC1559" s="81" t="n"/>
      <c r="AD1559" s="81" t="n"/>
      <c r="AE1559" s="81" t="n"/>
      <c r="AF1559" s="81" t="n"/>
      <c r="AG1559" s="81" t="n"/>
      <c r="AH1559" s="81" t="n"/>
      <c r="AI1559" s="81" t="n"/>
      <c r="AJ1559" s="81" t="n"/>
      <c r="AK1559" s="81" t="n"/>
      <c r="AL1559" s="81" t="n"/>
      <c r="AM1559" s="81" t="n"/>
      <c r="AN1559" s="81" t="n"/>
      <c r="AO1559" s="81" t="n"/>
      <c r="AP1559" s="81" t="n"/>
      <c r="AQ1559" s="81" t="n"/>
      <c r="AR1559" s="81" t="n"/>
      <c r="AS1559" s="81" t="n"/>
      <c r="AT1559" s="81" t="n"/>
      <c r="AU1559" s="81" t="n"/>
      <c r="AV1559" s="81" t="n"/>
      <c r="AW1559" s="81" t="n"/>
      <c r="AX1559" s="81" t="n"/>
      <c r="AY1559" s="81" t="n"/>
      <c r="AZ1559" s="81" t="n"/>
      <c r="BA1559" s="81" t="n"/>
      <c r="BB1559" s="81" t="n"/>
      <c r="BC1559" s="81" t="n"/>
      <c r="BD1559" s="81" t="n"/>
      <c r="BE1559" s="81" t="n"/>
      <c r="BF1559" s="81" t="n"/>
      <c r="BG1559" s="81" t="n"/>
      <c r="BH1559" s="81" t="n"/>
      <c r="BI1559" s="81" t="n"/>
      <c r="BJ1559" s="81" t="n"/>
      <c r="BK1559" s="81" t="n"/>
      <c r="BL1559" s="81" t="n"/>
      <c r="BM1559" s="81" t="n"/>
      <c r="BN1559" s="81" t="n"/>
      <c r="BO1559" s="81" t="n"/>
      <c r="BP1559" s="81" t="n"/>
      <c r="BQ1559" s="81" t="n"/>
      <c r="BR1559" s="81" t="n"/>
      <c r="BS1559" s="81" t="n"/>
      <c r="BT1559" s="81" t="n"/>
      <c r="BU1559" s="81" t="n"/>
      <c r="BV1559" s="81" t="n"/>
      <c r="BW1559" s="81" t="n"/>
      <c r="BX1559" s="81" t="n"/>
      <c r="BY1559" s="81" t="n"/>
      <c r="BZ1559" s="81" t="n"/>
      <c r="CA1559" s="81" t="n"/>
      <c r="CB1559" s="81" t="n"/>
      <c r="CC1559" s="81" t="n"/>
      <c r="CD1559" s="81" t="n"/>
      <c r="CE1559" s="81" t="n"/>
      <c r="CF1559" s="81" t="n"/>
      <c r="CG1559" s="81" t="n"/>
      <c r="CH1559" s="81" t="n"/>
    </row>
    <row r="1560">
      <c r="A1560" s="81" t="n"/>
      <c r="B1560" s="81" t="n"/>
      <c r="C1560" s="81" t="n"/>
      <c r="D1560" s="81" t="n"/>
      <c r="E1560" s="81" t="n"/>
      <c r="F1560" s="81" t="n"/>
      <c r="G1560" s="81" t="n"/>
      <c r="H1560" s="81" t="n"/>
      <c r="I1560" s="81" t="n"/>
      <c r="J1560" s="81" t="n"/>
      <c r="K1560" s="81" t="n"/>
      <c r="L1560" s="81" t="n"/>
      <c r="M1560" s="81" t="n"/>
      <c r="N1560" s="81" t="n"/>
      <c r="O1560" s="81" t="n"/>
      <c r="P1560" s="81" t="n"/>
      <c r="Q1560" s="81" t="n"/>
      <c r="R1560" s="81" t="n"/>
      <c r="S1560" s="81" t="n"/>
      <c r="T1560" s="81" t="n"/>
      <c r="U1560" s="81" t="n"/>
      <c r="V1560" s="81" t="n"/>
      <c r="W1560" s="81" t="n"/>
      <c r="X1560" s="81" t="n"/>
      <c r="Y1560" s="81" t="n"/>
      <c r="Z1560" s="81" t="n"/>
      <c r="AA1560" s="81" t="n"/>
      <c r="AB1560" s="81" t="n"/>
      <c r="AC1560" s="81" t="n"/>
      <c r="AD1560" s="81" t="n"/>
      <c r="AE1560" s="81" t="n"/>
      <c r="AF1560" s="81" t="n"/>
      <c r="AG1560" s="81" t="n"/>
      <c r="AH1560" s="81" t="n"/>
      <c r="AI1560" s="81" t="n"/>
      <c r="AJ1560" s="81" t="n"/>
      <c r="AK1560" s="81" t="n"/>
      <c r="AL1560" s="81" t="n"/>
      <c r="AM1560" s="81" t="n"/>
      <c r="AN1560" s="81" t="n"/>
      <c r="AO1560" s="81" t="n"/>
      <c r="AP1560" s="81" t="n"/>
      <c r="AQ1560" s="81" t="n"/>
      <c r="AR1560" s="81" t="n"/>
      <c r="AS1560" s="81" t="n"/>
      <c r="AT1560" s="81" t="n"/>
      <c r="AU1560" s="81" t="n"/>
      <c r="AV1560" s="81" t="n"/>
      <c r="AW1560" s="81" t="n"/>
      <c r="AX1560" s="81" t="n"/>
      <c r="AY1560" s="81" t="n"/>
      <c r="AZ1560" s="81" t="n"/>
      <c r="BA1560" s="81" t="n"/>
      <c r="BB1560" s="81" t="n"/>
      <c r="BC1560" s="81" t="n"/>
      <c r="BD1560" s="81" t="n"/>
      <c r="BE1560" s="81" t="n"/>
      <c r="BF1560" s="81" t="n"/>
      <c r="BG1560" s="81" t="n"/>
      <c r="BH1560" s="81" t="n"/>
      <c r="BI1560" s="81" t="n"/>
      <c r="BJ1560" s="81" t="n"/>
      <c r="BK1560" s="81" t="n"/>
      <c r="BL1560" s="81" t="n"/>
      <c r="BM1560" s="81" t="n"/>
      <c r="BN1560" s="81" t="n"/>
      <c r="BO1560" s="81" t="n"/>
      <c r="BP1560" s="81" t="n"/>
      <c r="BQ1560" s="81" t="n"/>
      <c r="BR1560" s="81" t="n"/>
      <c r="BS1560" s="81" t="n"/>
      <c r="BT1560" s="81" t="n"/>
      <c r="BU1560" s="81" t="n"/>
      <c r="BV1560" s="81" t="n"/>
      <c r="BW1560" s="81" t="n"/>
      <c r="BX1560" s="81" t="n"/>
      <c r="BY1560" s="81" t="n"/>
      <c r="BZ1560" s="81" t="n"/>
      <c r="CA1560" s="81" t="n"/>
      <c r="CB1560" s="81" t="n"/>
      <c r="CC1560" s="81" t="n"/>
      <c r="CD1560" s="81" t="n"/>
      <c r="CE1560" s="81" t="n"/>
      <c r="CF1560" s="81" t="n"/>
      <c r="CG1560" s="81" t="n"/>
      <c r="CH1560" s="81" t="n"/>
    </row>
    <row r="1561">
      <c r="A1561" s="81" t="n"/>
      <c r="B1561" s="81" t="n"/>
      <c r="C1561" s="81" t="n"/>
      <c r="D1561" s="81" t="n"/>
      <c r="E1561" s="81" t="n"/>
      <c r="F1561" s="81" t="n"/>
      <c r="G1561" s="81" t="n"/>
      <c r="H1561" s="81" t="n"/>
      <c r="I1561" s="81" t="n"/>
      <c r="J1561" s="81" t="n"/>
      <c r="K1561" s="81" t="n"/>
      <c r="L1561" s="81" t="n"/>
      <c r="M1561" s="81" t="n"/>
      <c r="N1561" s="81" t="n"/>
      <c r="O1561" s="81" t="n"/>
      <c r="P1561" s="81" t="n"/>
      <c r="Q1561" s="81" t="n"/>
      <c r="R1561" s="81" t="n"/>
      <c r="S1561" s="81" t="n"/>
      <c r="T1561" s="81" t="n"/>
      <c r="U1561" s="81" t="n"/>
      <c r="V1561" s="81" t="n"/>
      <c r="W1561" s="81" t="n"/>
      <c r="X1561" s="81" t="n"/>
      <c r="Y1561" s="81" t="n"/>
      <c r="Z1561" s="81" t="n"/>
      <c r="AA1561" s="81" t="n"/>
      <c r="AB1561" s="81" t="n"/>
      <c r="AC1561" s="81" t="n"/>
      <c r="AD1561" s="81" t="n"/>
      <c r="AE1561" s="81" t="n"/>
      <c r="AF1561" s="81" t="n"/>
      <c r="AG1561" s="81" t="n"/>
      <c r="AH1561" s="81" t="n"/>
      <c r="AI1561" s="81" t="n"/>
      <c r="AJ1561" s="81" t="n"/>
      <c r="AK1561" s="81" t="n"/>
      <c r="AL1561" s="81" t="n"/>
      <c r="AM1561" s="81" t="n"/>
      <c r="AN1561" s="81" t="n"/>
      <c r="AO1561" s="81" t="n"/>
      <c r="AP1561" s="81" t="n"/>
      <c r="AQ1561" s="81" t="n"/>
      <c r="AR1561" s="81" t="n"/>
      <c r="AS1561" s="81" t="n"/>
      <c r="AT1561" s="81" t="n"/>
      <c r="AU1561" s="81" t="n"/>
      <c r="AV1561" s="81" t="n"/>
      <c r="AW1561" s="81" t="n"/>
      <c r="AX1561" s="81" t="n"/>
      <c r="AY1561" s="81" t="n"/>
      <c r="AZ1561" s="81" t="n"/>
      <c r="BA1561" s="81" t="n"/>
      <c r="BB1561" s="81" t="n"/>
      <c r="BC1561" s="81" t="n"/>
      <c r="BD1561" s="81" t="n"/>
      <c r="BE1561" s="81" t="n"/>
      <c r="BF1561" s="81" t="n"/>
      <c r="BG1561" s="81" t="n"/>
      <c r="BH1561" s="81" t="n"/>
      <c r="BI1561" s="81" t="n"/>
      <c r="BJ1561" s="81" t="n"/>
      <c r="BK1561" s="81" t="n"/>
      <c r="BL1561" s="81" t="n"/>
      <c r="BM1561" s="81" t="n"/>
      <c r="BN1561" s="81" t="n"/>
      <c r="BO1561" s="81" t="n"/>
      <c r="BP1561" s="81" t="n"/>
      <c r="BQ1561" s="81" t="n"/>
      <c r="BR1561" s="81" t="n"/>
      <c r="BS1561" s="81" t="n"/>
      <c r="BT1561" s="81" t="n"/>
      <c r="BU1561" s="81" t="n"/>
      <c r="BV1561" s="81" t="n"/>
      <c r="BW1561" s="81" t="n"/>
      <c r="BX1561" s="81" t="n"/>
      <c r="BY1561" s="81" t="n"/>
      <c r="BZ1561" s="81" t="n"/>
      <c r="CA1561" s="81" t="n"/>
      <c r="CB1561" s="81" t="n"/>
      <c r="CC1561" s="81" t="n"/>
      <c r="CD1561" s="81" t="n"/>
      <c r="CE1561" s="81" t="n"/>
      <c r="CF1561" s="81" t="n"/>
      <c r="CG1561" s="81" t="n"/>
      <c r="CH1561" s="81" t="n"/>
    </row>
    <row r="1562">
      <c r="A1562" s="81" t="n"/>
      <c r="B1562" s="81" t="n"/>
      <c r="C1562" s="81" t="n"/>
      <c r="D1562" s="81" t="n"/>
      <c r="E1562" s="81" t="n"/>
      <c r="F1562" s="81" t="n"/>
      <c r="G1562" s="81" t="n"/>
      <c r="H1562" s="81" t="n"/>
      <c r="I1562" s="81" t="n"/>
      <c r="J1562" s="81" t="n"/>
      <c r="K1562" s="81" t="n"/>
      <c r="L1562" s="81" t="n"/>
      <c r="M1562" s="81" t="n"/>
      <c r="N1562" s="81" t="n"/>
      <c r="O1562" s="81" t="n"/>
      <c r="P1562" s="81" t="n"/>
      <c r="Q1562" s="81" t="n"/>
      <c r="R1562" s="81" t="n"/>
      <c r="S1562" s="81" t="n"/>
      <c r="T1562" s="81" t="n"/>
      <c r="U1562" s="81" t="n"/>
      <c r="V1562" s="81" t="n"/>
      <c r="W1562" s="81" t="n"/>
      <c r="X1562" s="81" t="n"/>
      <c r="Y1562" s="81" t="n"/>
      <c r="Z1562" s="81" t="n"/>
      <c r="AA1562" s="81" t="n"/>
      <c r="AB1562" s="81" t="n"/>
      <c r="AC1562" s="81" t="n"/>
      <c r="AD1562" s="81" t="n"/>
      <c r="AE1562" s="81" t="n"/>
      <c r="AF1562" s="81" t="n"/>
      <c r="AG1562" s="81" t="n"/>
      <c r="AH1562" s="81" t="n"/>
      <c r="AI1562" s="81" t="n"/>
      <c r="AJ1562" s="81" t="n"/>
      <c r="AK1562" s="81" t="n"/>
      <c r="AL1562" s="81" t="n"/>
      <c r="AM1562" s="81" t="n"/>
      <c r="AN1562" s="81" t="n"/>
      <c r="AO1562" s="81" t="n"/>
      <c r="AP1562" s="81" t="n"/>
      <c r="AQ1562" s="81" t="n"/>
      <c r="AR1562" s="81" t="n"/>
      <c r="AS1562" s="81" t="n"/>
      <c r="AT1562" s="81" t="n"/>
      <c r="AU1562" s="81" t="n"/>
      <c r="AV1562" s="81" t="n"/>
      <c r="AW1562" s="81" t="n"/>
      <c r="AX1562" s="81" t="n"/>
      <c r="AY1562" s="81" t="n"/>
      <c r="AZ1562" s="81" t="n"/>
      <c r="BA1562" s="81" t="n"/>
      <c r="BB1562" s="81" t="n"/>
      <c r="BC1562" s="81" t="n"/>
      <c r="BD1562" s="81" t="n"/>
      <c r="BE1562" s="81" t="n"/>
      <c r="BF1562" s="81" t="n"/>
      <c r="BG1562" s="81" t="n"/>
      <c r="BH1562" s="81" t="n"/>
      <c r="BI1562" s="81" t="n"/>
      <c r="BJ1562" s="81" t="n"/>
      <c r="BK1562" s="81" t="n"/>
      <c r="BL1562" s="81" t="n"/>
      <c r="BM1562" s="81" t="n"/>
      <c r="BN1562" s="81" t="n"/>
      <c r="BO1562" s="81" t="n"/>
      <c r="BP1562" s="81" t="n"/>
      <c r="BQ1562" s="81" t="n"/>
      <c r="BR1562" s="81" t="n"/>
      <c r="BS1562" s="81" t="n"/>
      <c r="BT1562" s="81" t="n"/>
      <c r="BU1562" s="81" t="n"/>
      <c r="BV1562" s="81" t="n"/>
      <c r="BW1562" s="81" t="n"/>
      <c r="BX1562" s="81" t="n"/>
      <c r="BY1562" s="81" t="n"/>
      <c r="BZ1562" s="81" t="n"/>
      <c r="CA1562" s="81" t="n"/>
      <c r="CB1562" s="81" t="n"/>
      <c r="CC1562" s="81" t="n"/>
      <c r="CD1562" s="81" t="n"/>
      <c r="CE1562" s="81" t="n"/>
      <c r="CF1562" s="81" t="n"/>
      <c r="CG1562" s="81" t="n"/>
      <c r="CH1562" s="81" t="n"/>
    </row>
    <row r="1563">
      <c r="A1563" s="81" t="n"/>
      <c r="B1563" s="81" t="n"/>
      <c r="C1563" s="81" t="n"/>
      <c r="D1563" s="81" t="n"/>
      <c r="E1563" s="81" t="n"/>
      <c r="F1563" s="81" t="n"/>
      <c r="G1563" s="81" t="n"/>
      <c r="H1563" s="81" t="n"/>
      <c r="I1563" s="81" t="n"/>
      <c r="J1563" s="81" t="n"/>
      <c r="K1563" s="81" t="n"/>
      <c r="L1563" s="81" t="n"/>
      <c r="M1563" s="81" t="n"/>
      <c r="N1563" s="81" t="n"/>
      <c r="O1563" s="81" t="n"/>
      <c r="P1563" s="81" t="n"/>
      <c r="Q1563" s="81" t="n"/>
      <c r="R1563" s="81" t="n"/>
      <c r="S1563" s="81" t="n"/>
      <c r="T1563" s="81" t="n"/>
      <c r="U1563" s="81" t="n"/>
      <c r="V1563" s="81" t="n"/>
      <c r="W1563" s="81" t="n"/>
      <c r="X1563" s="81" t="n"/>
      <c r="Y1563" s="81" t="n"/>
      <c r="Z1563" s="81" t="n"/>
      <c r="AA1563" s="81" t="n"/>
      <c r="AB1563" s="81" t="n"/>
      <c r="AC1563" s="81" t="n"/>
      <c r="AD1563" s="81" t="n"/>
      <c r="AE1563" s="81" t="n"/>
      <c r="AF1563" s="81" t="n"/>
      <c r="AG1563" s="81" t="n"/>
      <c r="AH1563" s="81" t="n"/>
      <c r="AI1563" s="81" t="n"/>
      <c r="AJ1563" s="81" t="n"/>
      <c r="AK1563" s="81" t="n"/>
      <c r="AL1563" s="81" t="n"/>
      <c r="AM1563" s="81" t="n"/>
      <c r="AN1563" s="81" t="n"/>
      <c r="AO1563" s="81" t="n"/>
      <c r="AP1563" s="81" t="n"/>
      <c r="AQ1563" s="81" t="n"/>
      <c r="AR1563" s="81" t="n"/>
      <c r="AS1563" s="81" t="n"/>
      <c r="AT1563" s="81" t="n"/>
      <c r="AU1563" s="81" t="n"/>
      <c r="AV1563" s="81" t="n"/>
      <c r="AW1563" s="81" t="n"/>
      <c r="AX1563" s="81" t="n"/>
      <c r="AY1563" s="81" t="n"/>
      <c r="AZ1563" s="81" t="n"/>
      <c r="BA1563" s="81" t="n"/>
      <c r="BB1563" s="81" t="n"/>
      <c r="BC1563" s="81" t="n"/>
      <c r="BD1563" s="81" t="n"/>
      <c r="BE1563" s="81" t="n"/>
      <c r="BF1563" s="81" t="n"/>
      <c r="BG1563" s="81" t="n"/>
      <c r="BH1563" s="81" t="n"/>
      <c r="BI1563" s="81" t="n"/>
      <c r="BJ1563" s="81" t="n"/>
      <c r="BK1563" s="81" t="n"/>
      <c r="BL1563" s="81" t="n"/>
      <c r="BM1563" s="81" t="n"/>
      <c r="BN1563" s="81" t="n"/>
      <c r="BO1563" s="81" t="n"/>
      <c r="BP1563" s="81" t="n"/>
      <c r="BQ1563" s="81" t="n"/>
      <c r="BR1563" s="81" t="n"/>
      <c r="BS1563" s="81" t="n"/>
      <c r="BT1563" s="81" t="n"/>
      <c r="BU1563" s="81" t="n"/>
      <c r="BV1563" s="81" t="n"/>
      <c r="BW1563" s="81" t="n"/>
      <c r="BX1563" s="81" t="n"/>
      <c r="BY1563" s="81" t="n"/>
      <c r="BZ1563" s="81" t="n"/>
      <c r="CA1563" s="81" t="n"/>
      <c r="CB1563" s="81" t="n"/>
      <c r="CC1563" s="81" t="n"/>
      <c r="CD1563" s="81" t="n"/>
      <c r="CE1563" s="81" t="n"/>
      <c r="CF1563" s="81" t="n"/>
      <c r="CG1563" s="81" t="n"/>
      <c r="CH1563" s="81" t="n"/>
    </row>
    <row r="1564">
      <c r="A1564" s="81" t="n"/>
      <c r="B1564" s="81" t="n"/>
      <c r="C1564" s="81" t="n"/>
      <c r="D1564" s="81" t="n"/>
      <c r="E1564" s="81" t="n"/>
      <c r="F1564" s="81" t="n"/>
      <c r="G1564" s="81" t="n"/>
      <c r="H1564" s="81" t="n"/>
      <c r="I1564" s="81" t="n"/>
      <c r="J1564" s="81" t="n"/>
      <c r="K1564" s="81" t="n"/>
      <c r="L1564" s="81" t="n"/>
      <c r="M1564" s="81" t="n"/>
      <c r="N1564" s="81" t="n"/>
      <c r="O1564" s="81" t="n"/>
      <c r="P1564" s="81" t="n"/>
      <c r="Q1564" s="81" t="n"/>
      <c r="R1564" s="81" t="n"/>
      <c r="S1564" s="81" t="n"/>
      <c r="T1564" s="81" t="n"/>
      <c r="U1564" s="81" t="n"/>
      <c r="V1564" s="81" t="n"/>
      <c r="W1564" s="81" t="n"/>
      <c r="X1564" s="81" t="n"/>
      <c r="Y1564" s="81" t="n"/>
      <c r="Z1564" s="81" t="n"/>
      <c r="AA1564" s="81" t="n"/>
      <c r="AB1564" s="81" t="n"/>
      <c r="AC1564" s="81" t="n"/>
      <c r="AD1564" s="81" t="n"/>
      <c r="AE1564" s="81" t="n"/>
      <c r="AF1564" s="81" t="n"/>
      <c r="AG1564" s="81" t="n"/>
      <c r="AH1564" s="81" t="n"/>
      <c r="AI1564" s="81" t="n"/>
      <c r="AJ1564" s="81" t="n"/>
      <c r="AK1564" s="81" t="n"/>
      <c r="AL1564" s="81" t="n"/>
      <c r="AM1564" s="81" t="n"/>
      <c r="AN1564" s="81" t="n"/>
      <c r="AO1564" s="81" t="n"/>
      <c r="AP1564" s="81" t="n"/>
      <c r="AQ1564" s="81" t="n"/>
      <c r="AR1564" s="81" t="n"/>
      <c r="AS1564" s="81" t="n"/>
      <c r="AT1564" s="81" t="n"/>
      <c r="AU1564" s="81" t="n"/>
      <c r="AV1564" s="81" t="n"/>
      <c r="AW1564" s="81" t="n"/>
      <c r="AX1564" s="81" t="n"/>
      <c r="AY1564" s="81" t="n"/>
      <c r="AZ1564" s="81" t="n"/>
      <c r="BA1564" s="81" t="n"/>
      <c r="BB1564" s="81" t="n"/>
      <c r="BC1564" s="81" t="n"/>
      <c r="BD1564" s="81" t="n"/>
      <c r="BE1564" s="81" t="n"/>
      <c r="BF1564" s="81" t="n"/>
      <c r="BG1564" s="81" t="n"/>
      <c r="BH1564" s="81" t="n"/>
      <c r="BI1564" s="81" t="n"/>
      <c r="BJ1564" s="81" t="n"/>
      <c r="BK1564" s="81" t="n"/>
      <c r="BL1564" s="81" t="n"/>
      <c r="BM1564" s="81" t="n"/>
      <c r="BN1564" s="81" t="n"/>
      <c r="BO1564" s="81" t="n"/>
      <c r="BP1564" s="81" t="n"/>
      <c r="BQ1564" s="81" t="n"/>
      <c r="BR1564" s="81" t="n"/>
      <c r="BS1564" s="81" t="n"/>
      <c r="BT1564" s="81" t="n"/>
      <c r="BU1564" s="81" t="n"/>
      <c r="BV1564" s="81" t="n"/>
      <c r="BW1564" s="81" t="n"/>
      <c r="BX1564" s="81" t="n"/>
      <c r="BY1564" s="81" t="n"/>
      <c r="BZ1564" s="81" t="n"/>
      <c r="CA1564" s="81" t="n"/>
      <c r="CB1564" s="81" t="n"/>
      <c r="CC1564" s="81" t="n"/>
      <c r="CD1564" s="81" t="n"/>
      <c r="CE1564" s="81" t="n"/>
      <c r="CF1564" s="81" t="n"/>
      <c r="CG1564" s="81" t="n"/>
      <c r="CH1564" s="81" t="n"/>
    </row>
    <row r="1565">
      <c r="A1565" s="81" t="n"/>
      <c r="B1565" s="81" t="n"/>
      <c r="C1565" s="81" t="n"/>
      <c r="D1565" s="81" t="n"/>
      <c r="E1565" s="81" t="n"/>
      <c r="F1565" s="81" t="n"/>
      <c r="G1565" s="81" t="n"/>
      <c r="H1565" s="81" t="n"/>
      <c r="I1565" s="81" t="n"/>
      <c r="J1565" s="81" t="n"/>
      <c r="K1565" s="81" t="n"/>
      <c r="L1565" s="81" t="n"/>
      <c r="M1565" s="81" t="n"/>
      <c r="N1565" s="81" t="n"/>
      <c r="O1565" s="81" t="n"/>
      <c r="P1565" s="81" t="n"/>
      <c r="Q1565" s="81" t="n"/>
      <c r="R1565" s="81" t="n"/>
      <c r="S1565" s="81" t="n"/>
      <c r="T1565" s="81" t="n"/>
      <c r="U1565" s="81" t="n"/>
      <c r="V1565" s="81" t="n"/>
      <c r="W1565" s="81" t="n"/>
      <c r="X1565" s="81" t="n"/>
      <c r="Y1565" s="81" t="n"/>
      <c r="Z1565" s="81" t="n"/>
      <c r="AA1565" s="81" t="n"/>
      <c r="AB1565" s="81" t="n"/>
      <c r="AC1565" s="81" t="n"/>
      <c r="AD1565" s="81" t="n"/>
      <c r="AE1565" s="81" t="n"/>
      <c r="AF1565" s="81" t="n"/>
      <c r="AG1565" s="81" t="n"/>
      <c r="AH1565" s="81" t="n"/>
      <c r="AI1565" s="81" t="n"/>
      <c r="AJ1565" s="81" t="n"/>
      <c r="AK1565" s="81" t="n"/>
      <c r="AL1565" s="81" t="n"/>
      <c r="AM1565" s="81" t="n"/>
      <c r="AN1565" s="81" t="n"/>
      <c r="AO1565" s="81" t="n"/>
      <c r="AP1565" s="81" t="n"/>
      <c r="AQ1565" s="81" t="n"/>
      <c r="AR1565" s="81" t="n"/>
      <c r="AS1565" s="81" t="n"/>
      <c r="AT1565" s="81" t="n"/>
      <c r="AU1565" s="81" t="n"/>
      <c r="AV1565" s="81" t="n"/>
      <c r="AW1565" s="81" t="n"/>
      <c r="AX1565" s="81" t="n"/>
      <c r="AY1565" s="81" t="n"/>
      <c r="AZ1565" s="81" t="n"/>
      <c r="BA1565" s="81" t="n"/>
      <c r="BB1565" s="81" t="n"/>
      <c r="BC1565" s="81" t="n"/>
      <c r="BD1565" s="81" t="n"/>
      <c r="BE1565" s="81" t="n"/>
      <c r="BF1565" s="81" t="n"/>
      <c r="BG1565" s="81" t="n"/>
      <c r="BH1565" s="81" t="n"/>
      <c r="BI1565" s="81" t="n"/>
      <c r="BJ1565" s="81" t="n"/>
      <c r="BK1565" s="81" t="n"/>
      <c r="BL1565" s="81" t="n"/>
      <c r="BM1565" s="81" t="n"/>
      <c r="BN1565" s="81" t="n"/>
      <c r="BO1565" s="81" t="n"/>
      <c r="BP1565" s="81" t="n"/>
      <c r="BQ1565" s="81" t="n"/>
      <c r="BR1565" s="81" t="n"/>
      <c r="BS1565" s="81" t="n"/>
      <c r="BT1565" s="81" t="n"/>
      <c r="BU1565" s="81" t="n"/>
      <c r="BV1565" s="81" t="n"/>
      <c r="BW1565" s="81" t="n"/>
      <c r="BX1565" s="81" t="n"/>
      <c r="BY1565" s="81" t="n"/>
      <c r="BZ1565" s="81" t="n"/>
      <c r="CA1565" s="81" t="n"/>
      <c r="CB1565" s="81" t="n"/>
      <c r="CC1565" s="81" t="n"/>
      <c r="CD1565" s="81" t="n"/>
      <c r="CE1565" s="81" t="n"/>
      <c r="CF1565" s="81" t="n"/>
      <c r="CG1565" s="81" t="n"/>
      <c r="CH1565" s="81" t="n"/>
    </row>
    <row r="1566">
      <c r="A1566" s="81" t="n"/>
      <c r="B1566" s="81" t="n"/>
      <c r="C1566" s="81" t="n"/>
      <c r="D1566" s="81" t="n"/>
      <c r="E1566" s="81" t="n"/>
      <c r="F1566" s="81" t="n"/>
      <c r="G1566" s="81" t="n"/>
      <c r="H1566" s="81" t="n"/>
      <c r="I1566" s="81" t="n"/>
      <c r="J1566" s="81" t="n"/>
      <c r="K1566" s="81" t="n"/>
      <c r="L1566" s="81" t="n"/>
      <c r="M1566" s="81" t="n"/>
      <c r="N1566" s="81" t="n"/>
      <c r="O1566" s="81" t="n"/>
      <c r="P1566" s="81" t="n"/>
      <c r="Q1566" s="81" t="n"/>
      <c r="R1566" s="81" t="n"/>
      <c r="S1566" s="81" t="n"/>
      <c r="T1566" s="81" t="n"/>
      <c r="U1566" s="81" t="n"/>
      <c r="V1566" s="81" t="n"/>
      <c r="W1566" s="81" t="n"/>
      <c r="X1566" s="81" t="n"/>
      <c r="Y1566" s="81" t="n"/>
      <c r="Z1566" s="81" t="n"/>
      <c r="AA1566" s="81" t="n"/>
      <c r="AB1566" s="81" t="n"/>
      <c r="AC1566" s="81" t="n"/>
      <c r="AD1566" s="81" t="n"/>
      <c r="AE1566" s="81" t="n"/>
      <c r="AF1566" s="81" t="n"/>
      <c r="AG1566" s="81" t="n"/>
      <c r="AH1566" s="81" t="n"/>
      <c r="AI1566" s="81" t="n"/>
      <c r="AJ1566" s="81" t="n"/>
      <c r="AK1566" s="81" t="n"/>
      <c r="AL1566" s="81" t="n"/>
      <c r="AM1566" s="81" t="n"/>
      <c r="AN1566" s="81" t="n"/>
      <c r="AO1566" s="81" t="n"/>
      <c r="AP1566" s="81" t="n"/>
      <c r="AQ1566" s="81" t="n"/>
      <c r="AR1566" s="81" t="n"/>
      <c r="AS1566" s="81" t="n"/>
      <c r="AT1566" s="81" t="n"/>
      <c r="AU1566" s="81" t="n"/>
      <c r="AV1566" s="81" t="n"/>
      <c r="AW1566" s="81" t="n"/>
      <c r="AX1566" s="81" t="n"/>
      <c r="AY1566" s="81" t="n"/>
      <c r="AZ1566" s="81" t="n"/>
      <c r="BA1566" s="81" t="n"/>
      <c r="BB1566" s="81" t="n"/>
      <c r="BC1566" s="81" t="n"/>
      <c r="BD1566" s="81" t="n"/>
      <c r="BE1566" s="81" t="n"/>
      <c r="BF1566" s="81" t="n"/>
      <c r="BG1566" s="81" t="n"/>
      <c r="BH1566" s="81" t="n"/>
      <c r="BI1566" s="81" t="n"/>
      <c r="BJ1566" s="81" t="n"/>
      <c r="BK1566" s="81" t="n"/>
      <c r="BL1566" s="81" t="n"/>
      <c r="BM1566" s="81" t="n"/>
      <c r="BN1566" s="81" t="n"/>
      <c r="BO1566" s="81" t="n"/>
      <c r="BP1566" s="81" t="n"/>
      <c r="BQ1566" s="81" t="n"/>
      <c r="BR1566" s="81" t="n"/>
      <c r="BS1566" s="81" t="n"/>
      <c r="BT1566" s="81" t="n"/>
      <c r="BU1566" s="81" t="n"/>
      <c r="BV1566" s="81" t="n"/>
      <c r="BW1566" s="81" t="n"/>
      <c r="BX1566" s="81" t="n"/>
      <c r="BY1566" s="81" t="n"/>
      <c r="BZ1566" s="81" t="n"/>
      <c r="CA1566" s="81" t="n"/>
      <c r="CB1566" s="81" t="n"/>
      <c r="CC1566" s="81" t="n"/>
      <c r="CD1566" s="81" t="n"/>
      <c r="CE1566" s="81" t="n"/>
      <c r="CF1566" s="81" t="n"/>
      <c r="CG1566" s="81" t="n"/>
      <c r="CH1566" s="81" t="n"/>
    </row>
    <row r="1567">
      <c r="A1567" s="81" t="n"/>
      <c r="B1567" s="81" t="n"/>
      <c r="C1567" s="81" t="n"/>
      <c r="D1567" s="81" t="n"/>
      <c r="E1567" s="81" t="n"/>
      <c r="F1567" s="81" t="n"/>
      <c r="G1567" s="81" t="n"/>
      <c r="H1567" s="81" t="n"/>
      <c r="I1567" s="81" t="n"/>
      <c r="J1567" s="81" t="n"/>
      <c r="K1567" s="81" t="n"/>
      <c r="L1567" s="81" t="n"/>
      <c r="M1567" s="81" t="n"/>
      <c r="N1567" s="81" t="n"/>
      <c r="O1567" s="81" t="n"/>
      <c r="P1567" s="81" t="n"/>
      <c r="Q1567" s="81" t="n"/>
      <c r="R1567" s="81" t="n"/>
      <c r="S1567" s="81" t="n"/>
      <c r="T1567" s="81" t="n"/>
      <c r="U1567" s="81" t="n"/>
      <c r="V1567" s="81" t="n"/>
      <c r="W1567" s="81" t="n"/>
      <c r="X1567" s="81" t="n"/>
      <c r="Y1567" s="81" t="n"/>
      <c r="Z1567" s="81" t="n"/>
      <c r="AA1567" s="81" t="n"/>
      <c r="AB1567" s="81" t="n"/>
      <c r="AC1567" s="81" t="n"/>
      <c r="AD1567" s="81" t="n"/>
      <c r="AE1567" s="81" t="n"/>
      <c r="AF1567" s="81" t="n"/>
      <c r="AG1567" s="81" t="n"/>
      <c r="AH1567" s="81" t="n"/>
      <c r="AI1567" s="81" t="n"/>
      <c r="AJ1567" s="81" t="n"/>
      <c r="AK1567" s="81" t="n"/>
      <c r="AL1567" s="81" t="n"/>
      <c r="AM1567" s="81" t="n"/>
      <c r="AN1567" s="81" t="n"/>
      <c r="AO1567" s="81" t="n"/>
      <c r="AP1567" s="81" t="n"/>
      <c r="AQ1567" s="81" t="n"/>
      <c r="AR1567" s="81" t="n"/>
      <c r="AS1567" s="81" t="n"/>
      <c r="AT1567" s="81" t="n"/>
      <c r="AU1567" s="81" t="n"/>
      <c r="AV1567" s="81" t="n"/>
      <c r="AW1567" s="81" t="n"/>
      <c r="AX1567" s="81" t="n"/>
      <c r="AY1567" s="81" t="n"/>
      <c r="AZ1567" s="81" t="n"/>
      <c r="BA1567" s="81" t="n"/>
      <c r="BB1567" s="81" t="n"/>
      <c r="BC1567" s="81" t="n"/>
      <c r="BD1567" s="81" t="n"/>
      <c r="BE1567" s="81" t="n"/>
      <c r="BF1567" s="81" t="n"/>
      <c r="BG1567" s="81" t="n"/>
      <c r="BH1567" s="81" t="n"/>
      <c r="BI1567" s="81" t="n"/>
      <c r="BJ1567" s="81" t="n"/>
      <c r="BK1567" s="81" t="n"/>
      <c r="BL1567" s="81" t="n"/>
      <c r="BM1567" s="81" t="n"/>
      <c r="BN1567" s="81" t="n"/>
      <c r="BO1567" s="81" t="n"/>
      <c r="BP1567" s="81" t="n"/>
      <c r="BQ1567" s="81" t="n"/>
      <c r="BR1567" s="81" t="n"/>
      <c r="BS1567" s="81" t="n"/>
      <c r="BT1567" s="81" t="n"/>
      <c r="BU1567" s="81" t="n"/>
      <c r="BV1567" s="81" t="n"/>
      <c r="BW1567" s="81" t="n"/>
      <c r="BX1567" s="81" t="n"/>
      <c r="BY1567" s="81" t="n"/>
      <c r="BZ1567" s="81" t="n"/>
      <c r="CA1567" s="81" t="n"/>
      <c r="CB1567" s="81" t="n"/>
      <c r="CC1567" s="81" t="n"/>
      <c r="CD1567" s="81" t="n"/>
      <c r="CE1567" s="81" t="n"/>
      <c r="CF1567" s="81" t="n"/>
      <c r="CG1567" s="81" t="n"/>
      <c r="CH1567" s="81" t="n"/>
    </row>
    <row r="1568">
      <c r="A1568" s="81" t="n"/>
      <c r="B1568" s="81" t="n"/>
      <c r="C1568" s="81" t="n"/>
      <c r="D1568" s="81" t="n"/>
      <c r="E1568" s="81" t="n"/>
      <c r="F1568" s="81" t="n"/>
      <c r="G1568" s="81" t="n"/>
      <c r="H1568" s="81" t="n"/>
      <c r="I1568" s="81" t="n"/>
      <c r="J1568" s="81" t="n"/>
      <c r="K1568" s="81" t="n"/>
      <c r="L1568" s="81" t="n"/>
      <c r="M1568" s="81" t="n"/>
      <c r="N1568" s="81" t="n"/>
      <c r="O1568" s="81" t="n"/>
      <c r="P1568" s="81" t="n"/>
      <c r="Q1568" s="81" t="n"/>
      <c r="R1568" s="81" t="n"/>
      <c r="S1568" s="81" t="n"/>
      <c r="T1568" s="81" t="n"/>
      <c r="U1568" s="81" t="n"/>
      <c r="V1568" s="81" t="n"/>
      <c r="W1568" s="81" t="n"/>
      <c r="X1568" s="81" t="n"/>
      <c r="Y1568" s="81" t="n"/>
      <c r="Z1568" s="81" t="n"/>
      <c r="AA1568" s="81" t="n"/>
      <c r="AB1568" s="81" t="n"/>
      <c r="AC1568" s="81" t="n"/>
      <c r="AD1568" s="81" t="n"/>
      <c r="AE1568" s="81" t="n"/>
      <c r="AF1568" s="81" t="n"/>
      <c r="AG1568" s="81" t="n"/>
      <c r="AH1568" s="81" t="n"/>
      <c r="AI1568" s="81" t="n"/>
      <c r="AJ1568" s="81" t="n"/>
      <c r="AK1568" s="81" t="n"/>
      <c r="AL1568" s="81" t="n"/>
      <c r="AM1568" s="81" t="n"/>
      <c r="AN1568" s="81" t="n"/>
      <c r="AO1568" s="81" t="n"/>
      <c r="AP1568" s="81" t="n"/>
      <c r="AQ1568" s="81" t="n"/>
      <c r="AR1568" s="81" t="n"/>
      <c r="AS1568" s="81" t="n"/>
      <c r="AT1568" s="81" t="n"/>
      <c r="AU1568" s="81" t="n"/>
      <c r="AV1568" s="81" t="n"/>
      <c r="AW1568" s="81" t="n"/>
      <c r="AX1568" s="81" t="n"/>
      <c r="AY1568" s="81" t="n"/>
      <c r="AZ1568" s="81" t="n"/>
      <c r="BA1568" s="81" t="n"/>
      <c r="BB1568" s="81" t="n"/>
      <c r="BC1568" s="81" t="n"/>
      <c r="BD1568" s="81" t="n"/>
      <c r="BE1568" s="81" t="n"/>
      <c r="BF1568" s="81" t="n"/>
      <c r="BG1568" s="81" t="n"/>
      <c r="BH1568" s="81" t="n"/>
      <c r="BI1568" s="81" t="n"/>
      <c r="BJ1568" s="81" t="n"/>
      <c r="BK1568" s="81" t="n"/>
      <c r="BL1568" s="81" t="n"/>
      <c r="BM1568" s="81" t="n"/>
      <c r="BN1568" s="81" t="n"/>
      <c r="BO1568" s="81" t="n"/>
      <c r="BP1568" s="81" t="n"/>
      <c r="BQ1568" s="81" t="n"/>
      <c r="BR1568" s="81" t="n"/>
      <c r="BS1568" s="81" t="n"/>
      <c r="BT1568" s="81" t="n"/>
      <c r="BU1568" s="81" t="n"/>
      <c r="BV1568" s="81" t="n"/>
      <c r="BW1568" s="81" t="n"/>
      <c r="BX1568" s="81" t="n"/>
      <c r="BY1568" s="81" t="n"/>
      <c r="BZ1568" s="81" t="n"/>
      <c r="CA1568" s="81" t="n"/>
      <c r="CB1568" s="81" t="n"/>
      <c r="CC1568" s="81" t="n"/>
      <c r="CD1568" s="81" t="n"/>
      <c r="CE1568" s="81" t="n"/>
      <c r="CF1568" s="81" t="n"/>
      <c r="CG1568" s="81" t="n"/>
      <c r="CH1568" s="81" t="n"/>
    </row>
    <row r="1569">
      <c r="A1569" s="81" t="n"/>
      <c r="B1569" s="81" t="n"/>
      <c r="C1569" s="81" t="n"/>
      <c r="D1569" s="81" t="n"/>
      <c r="E1569" s="81" t="n"/>
      <c r="F1569" s="81" t="n"/>
      <c r="G1569" s="81" t="n"/>
      <c r="H1569" s="81" t="n"/>
      <c r="I1569" s="81" t="n"/>
      <c r="J1569" s="81" t="n"/>
      <c r="K1569" s="81" t="n"/>
      <c r="L1569" s="81" t="n"/>
      <c r="M1569" s="81" t="n"/>
      <c r="N1569" s="81" t="n"/>
      <c r="O1569" s="81" t="n"/>
      <c r="P1569" s="81" t="n"/>
      <c r="Q1569" s="81" t="n"/>
      <c r="R1569" s="81" t="n"/>
      <c r="S1569" s="81" t="n"/>
      <c r="T1569" s="81" t="n"/>
      <c r="U1569" s="81" t="n"/>
      <c r="V1569" s="81" t="n"/>
      <c r="W1569" s="81" t="n"/>
      <c r="X1569" s="81" t="n"/>
      <c r="Y1569" s="81" t="n"/>
      <c r="Z1569" s="81" t="n"/>
      <c r="AA1569" s="81" t="n"/>
      <c r="AB1569" s="81" t="n"/>
      <c r="AC1569" s="81" t="n"/>
      <c r="AD1569" s="81" t="n"/>
      <c r="AE1569" s="81" t="n"/>
      <c r="AF1569" s="81" t="n"/>
      <c r="AG1569" s="81" t="n"/>
      <c r="AH1569" s="81" t="n"/>
      <c r="AI1569" s="81" t="n"/>
      <c r="AJ1569" s="81" t="n"/>
      <c r="AK1569" s="81" t="n"/>
      <c r="AL1569" s="81" t="n"/>
      <c r="AM1569" s="81" t="n"/>
      <c r="AN1569" s="81" t="n"/>
      <c r="AO1569" s="81" t="n"/>
      <c r="AP1569" s="81" t="n"/>
      <c r="AQ1569" s="81" t="n"/>
      <c r="AR1569" s="81" t="n"/>
      <c r="AS1569" s="81" t="n"/>
      <c r="AT1569" s="81" t="n"/>
      <c r="AU1569" s="81" t="n"/>
      <c r="AV1569" s="81" t="n"/>
      <c r="AW1569" s="81" t="n"/>
      <c r="AX1569" s="81" t="n"/>
      <c r="AY1569" s="81" t="n"/>
      <c r="AZ1569" s="81" t="n"/>
      <c r="BA1569" s="81" t="n"/>
      <c r="BB1569" s="81" t="n"/>
      <c r="BC1569" s="81" t="n"/>
      <c r="BD1569" s="81" t="n"/>
      <c r="BE1569" s="81" t="n"/>
      <c r="BF1569" s="81" t="n"/>
      <c r="BG1569" s="81" t="n"/>
      <c r="BH1569" s="81" t="n"/>
      <c r="BI1569" s="81" t="n"/>
      <c r="BJ1569" s="81" t="n"/>
      <c r="BK1569" s="81" t="n"/>
      <c r="BL1569" s="81" t="n"/>
      <c r="BM1569" s="81" t="n"/>
      <c r="BN1569" s="81" t="n"/>
      <c r="BO1569" s="81" t="n"/>
      <c r="BP1569" s="81" t="n"/>
      <c r="BQ1569" s="81" t="n"/>
      <c r="BR1569" s="81" t="n"/>
      <c r="BS1569" s="81" t="n"/>
      <c r="BT1569" s="81" t="n"/>
      <c r="BU1569" s="81" t="n"/>
      <c r="BV1569" s="81" t="n"/>
      <c r="BW1569" s="81" t="n"/>
      <c r="BX1569" s="81" t="n"/>
      <c r="BY1569" s="81" t="n"/>
      <c r="BZ1569" s="81" t="n"/>
      <c r="CA1569" s="81" t="n"/>
      <c r="CB1569" s="81" t="n"/>
      <c r="CC1569" s="81" t="n"/>
      <c r="CD1569" s="81" t="n"/>
      <c r="CE1569" s="81" t="n"/>
      <c r="CF1569" s="81" t="n"/>
      <c r="CG1569" s="81" t="n"/>
      <c r="CH1569" s="81" t="n"/>
    </row>
    <row r="1570">
      <c r="A1570" s="81" t="n"/>
      <c r="B1570" s="81" t="n"/>
      <c r="C1570" s="81" t="n"/>
      <c r="D1570" s="81" t="n"/>
      <c r="E1570" s="81" t="n"/>
      <c r="F1570" s="81" t="n"/>
      <c r="G1570" s="81" t="n"/>
      <c r="H1570" s="81" t="n"/>
      <c r="I1570" s="81" t="n"/>
      <c r="J1570" s="81" t="n"/>
      <c r="K1570" s="81" t="n"/>
      <c r="L1570" s="81" t="n"/>
      <c r="M1570" s="81" t="n"/>
      <c r="N1570" s="81" t="n"/>
      <c r="O1570" s="81" t="n"/>
      <c r="P1570" s="81" t="n"/>
      <c r="Q1570" s="81" t="n"/>
      <c r="R1570" s="81" t="n"/>
      <c r="S1570" s="81" t="n"/>
      <c r="T1570" s="81" t="n"/>
      <c r="U1570" s="81" t="n"/>
      <c r="V1570" s="81" t="n"/>
      <c r="W1570" s="81" t="n"/>
      <c r="X1570" s="81" t="n"/>
      <c r="Y1570" s="81" t="n"/>
      <c r="Z1570" s="81" t="n"/>
      <c r="AA1570" s="81" t="n"/>
      <c r="AB1570" s="81" t="n"/>
      <c r="AC1570" s="81" t="n"/>
      <c r="AD1570" s="81" t="n"/>
      <c r="AE1570" s="81" t="n"/>
      <c r="AF1570" s="81" t="n"/>
      <c r="AG1570" s="81" t="n"/>
      <c r="AH1570" s="81" t="n"/>
      <c r="AI1570" s="81" t="n"/>
      <c r="AJ1570" s="81" t="n"/>
      <c r="AK1570" s="81" t="n"/>
      <c r="AL1570" s="81" t="n"/>
      <c r="AM1570" s="81" t="n"/>
      <c r="AN1570" s="81" t="n"/>
      <c r="AO1570" s="81" t="n"/>
      <c r="AP1570" s="81" t="n"/>
      <c r="AQ1570" s="81" t="n"/>
      <c r="AR1570" s="81" t="n"/>
      <c r="AS1570" s="81" t="n"/>
      <c r="AT1570" s="81" t="n"/>
      <c r="AU1570" s="81" t="n"/>
      <c r="AV1570" s="81" t="n"/>
      <c r="AW1570" s="81" t="n"/>
      <c r="AX1570" s="81" t="n"/>
      <c r="AY1570" s="81" t="n"/>
      <c r="AZ1570" s="81" t="n"/>
      <c r="BA1570" s="81" t="n"/>
      <c r="BB1570" s="81" t="n"/>
      <c r="BC1570" s="81" t="n"/>
      <c r="BD1570" s="81" t="n"/>
      <c r="BE1570" s="81" t="n"/>
      <c r="BF1570" s="81" t="n"/>
      <c r="BG1570" s="81" t="n"/>
      <c r="BH1570" s="81" t="n"/>
      <c r="BI1570" s="81" t="n"/>
      <c r="BJ1570" s="81" t="n"/>
      <c r="BK1570" s="81" t="n"/>
      <c r="BL1570" s="81" t="n"/>
      <c r="BM1570" s="81" t="n"/>
      <c r="BN1570" s="81" t="n"/>
      <c r="BO1570" s="81" t="n"/>
      <c r="BP1570" s="81" t="n"/>
      <c r="BQ1570" s="81" t="n"/>
      <c r="BR1570" s="81" t="n"/>
      <c r="BS1570" s="81" t="n"/>
      <c r="BT1570" s="81" t="n"/>
      <c r="BU1570" s="81" t="n"/>
      <c r="BV1570" s="81" t="n"/>
      <c r="BW1570" s="81" t="n"/>
      <c r="BX1570" s="81" t="n"/>
      <c r="BY1570" s="81" t="n"/>
      <c r="BZ1570" s="81" t="n"/>
      <c r="CA1570" s="81" t="n"/>
      <c r="CB1570" s="81" t="n"/>
      <c r="CC1570" s="81" t="n"/>
      <c r="CD1570" s="81" t="n"/>
      <c r="CE1570" s="81" t="n"/>
      <c r="CF1570" s="81" t="n"/>
      <c r="CG1570" s="81" t="n"/>
      <c r="CH1570" s="81" t="n"/>
    </row>
    <row r="1571">
      <c r="A1571" s="81" t="n"/>
      <c r="B1571" s="81" t="n"/>
      <c r="C1571" s="81" t="n"/>
      <c r="D1571" s="81" t="n"/>
      <c r="E1571" s="81" t="n"/>
      <c r="F1571" s="81" t="n"/>
      <c r="G1571" s="81" t="n"/>
      <c r="H1571" s="81" t="n"/>
      <c r="I1571" s="81" t="n"/>
      <c r="J1571" s="81" t="n"/>
      <c r="K1571" s="81" t="n"/>
      <c r="L1571" s="81" t="n"/>
      <c r="M1571" s="81" t="n"/>
      <c r="N1571" s="81" t="n"/>
      <c r="O1571" s="81" t="n"/>
      <c r="P1571" s="81" t="n"/>
      <c r="Q1571" s="81" t="n"/>
      <c r="R1571" s="81" t="n"/>
      <c r="S1571" s="81" t="n"/>
      <c r="T1571" s="81" t="n"/>
      <c r="U1571" s="81" t="n"/>
      <c r="V1571" s="81" t="n"/>
      <c r="W1571" s="81" t="n"/>
      <c r="X1571" s="81" t="n"/>
      <c r="Y1571" s="81" t="n"/>
      <c r="Z1571" s="81" t="n"/>
      <c r="AA1571" s="81" t="n"/>
      <c r="AB1571" s="81" t="n"/>
      <c r="AC1571" s="81" t="n"/>
      <c r="AD1571" s="81" t="n"/>
      <c r="AE1571" s="81" t="n"/>
      <c r="AF1571" s="81" t="n"/>
      <c r="AG1571" s="81" t="n"/>
      <c r="AH1571" s="81" t="n"/>
      <c r="AI1571" s="81" t="n"/>
      <c r="AJ1571" s="81" t="n"/>
      <c r="AK1571" s="81" t="n"/>
      <c r="AL1571" s="81" t="n"/>
      <c r="AM1571" s="81" t="n"/>
      <c r="AN1571" s="81" t="n"/>
      <c r="AO1571" s="81" t="n"/>
      <c r="AP1571" s="81" t="n"/>
      <c r="AQ1571" s="81" t="n"/>
      <c r="AR1571" s="81" t="n"/>
      <c r="AS1571" s="81" t="n"/>
      <c r="AT1571" s="81" t="n"/>
      <c r="AU1571" s="81" t="n"/>
      <c r="AV1571" s="81" t="n"/>
      <c r="AW1571" s="81" t="n"/>
      <c r="AX1571" s="81" t="n"/>
      <c r="AY1571" s="81" t="n"/>
      <c r="AZ1571" s="81" t="n"/>
      <c r="BA1571" s="81" t="n"/>
      <c r="BB1571" s="81" t="n"/>
      <c r="BC1571" s="81" t="n"/>
      <c r="BD1571" s="81" t="n"/>
      <c r="BE1571" s="81" t="n"/>
      <c r="BF1571" s="81" t="n"/>
      <c r="BG1571" s="81" t="n"/>
      <c r="BH1571" s="81" t="n"/>
      <c r="BI1571" s="81" t="n"/>
      <c r="BJ1571" s="81" t="n"/>
      <c r="BK1571" s="81" t="n"/>
      <c r="BL1571" s="81" t="n"/>
      <c r="BM1571" s="81" t="n"/>
      <c r="BN1571" s="81" t="n"/>
      <c r="BO1571" s="81" t="n"/>
      <c r="BP1571" s="81" t="n"/>
      <c r="BQ1571" s="81" t="n"/>
      <c r="BR1571" s="81" t="n"/>
      <c r="BS1571" s="81" t="n"/>
      <c r="BT1571" s="81" t="n"/>
      <c r="BU1571" s="81" t="n"/>
      <c r="BV1571" s="81" t="n"/>
      <c r="BW1571" s="81" t="n"/>
      <c r="BX1571" s="81" t="n"/>
      <c r="BY1571" s="81" t="n"/>
      <c r="BZ1571" s="81" t="n"/>
      <c r="CA1571" s="81" t="n"/>
      <c r="CB1571" s="81" t="n"/>
      <c r="CC1571" s="81" t="n"/>
      <c r="CD1571" s="81" t="n"/>
      <c r="CE1571" s="81" t="n"/>
      <c r="CF1571" s="81" t="n"/>
      <c r="CG1571" s="81" t="n"/>
      <c r="CH1571" s="81" t="n"/>
    </row>
    <row r="1572">
      <c r="A1572" s="81" t="n"/>
      <c r="B1572" s="81" t="n"/>
      <c r="C1572" s="81" t="n"/>
      <c r="D1572" s="81" t="n"/>
      <c r="E1572" s="81" t="n"/>
      <c r="F1572" s="81" t="n"/>
      <c r="G1572" s="81" t="n"/>
      <c r="H1572" s="81" t="n"/>
      <c r="I1572" s="81" t="n"/>
      <c r="J1572" s="81" t="n"/>
      <c r="K1572" s="81" t="n"/>
      <c r="L1572" s="81" t="n"/>
      <c r="M1572" s="81" t="n"/>
      <c r="N1572" s="81" t="n"/>
      <c r="O1572" s="81" t="n"/>
      <c r="P1572" s="81" t="n"/>
      <c r="Q1572" s="81" t="n"/>
      <c r="R1572" s="81" t="n"/>
      <c r="S1572" s="81" t="n"/>
      <c r="T1572" s="81" t="n"/>
      <c r="U1572" s="81" t="n"/>
      <c r="V1572" s="81" t="n"/>
      <c r="W1572" s="81" t="n"/>
      <c r="X1572" s="81" t="n"/>
      <c r="Y1572" s="81" t="n"/>
      <c r="Z1572" s="81" t="n"/>
      <c r="AA1572" s="81" t="n"/>
      <c r="AB1572" s="81" t="n"/>
      <c r="AC1572" s="81" t="n"/>
      <c r="AD1572" s="81" t="n"/>
      <c r="AE1572" s="81" t="n"/>
      <c r="AF1572" s="81" t="n"/>
      <c r="AG1572" s="81" t="n"/>
      <c r="AH1572" s="81" t="n"/>
      <c r="AI1572" s="81" t="n"/>
      <c r="AJ1572" s="81" t="n"/>
      <c r="AK1572" s="81" t="n"/>
      <c r="AL1572" s="81" t="n"/>
      <c r="AM1572" s="81" t="n"/>
      <c r="AN1572" s="81" t="n"/>
      <c r="AO1572" s="81" t="n"/>
      <c r="AP1572" s="81" t="n"/>
      <c r="AQ1572" s="81" t="n"/>
      <c r="AR1572" s="81" t="n"/>
      <c r="AS1572" s="81" t="n"/>
      <c r="AT1572" s="81" t="n"/>
      <c r="AU1572" s="81" t="n"/>
      <c r="AV1572" s="81" t="n"/>
      <c r="AW1572" s="81" t="n"/>
      <c r="AX1572" s="81" t="n"/>
      <c r="AY1572" s="81" t="n"/>
      <c r="AZ1572" s="81" t="n"/>
      <c r="BA1572" s="81" t="n"/>
      <c r="BB1572" s="81" t="n"/>
      <c r="BC1572" s="81" t="n"/>
      <c r="BD1572" s="81" t="n"/>
      <c r="BE1572" s="81" t="n"/>
      <c r="BF1572" s="81" t="n"/>
      <c r="BG1572" s="81" t="n"/>
      <c r="BH1572" s="81" t="n"/>
      <c r="BI1572" s="81" t="n"/>
      <c r="BJ1572" s="81" t="n"/>
      <c r="BK1572" s="81" t="n"/>
      <c r="BL1572" s="81" t="n"/>
      <c r="BM1572" s="81" t="n"/>
      <c r="BN1572" s="81" t="n"/>
      <c r="BO1572" s="81" t="n"/>
      <c r="BP1572" s="81" t="n"/>
      <c r="BQ1572" s="81" t="n"/>
      <c r="BR1572" s="81" t="n"/>
      <c r="BS1572" s="81" t="n"/>
      <c r="BT1572" s="81" t="n"/>
      <c r="BU1572" s="81" t="n"/>
      <c r="BV1572" s="81" t="n"/>
      <c r="BW1572" s="81" t="n"/>
      <c r="BX1572" s="81" t="n"/>
      <c r="BY1572" s="81" t="n"/>
      <c r="BZ1572" s="81" t="n"/>
      <c r="CA1572" s="81" t="n"/>
      <c r="CB1572" s="81" t="n"/>
      <c r="CC1572" s="81" t="n"/>
      <c r="CD1572" s="81" t="n"/>
      <c r="CE1572" s="81" t="n"/>
      <c r="CF1572" s="81" t="n"/>
      <c r="CG1572" s="81" t="n"/>
      <c r="CH1572" s="81" t="n"/>
    </row>
    <row r="1573">
      <c r="A1573" s="81" t="n"/>
      <c r="B1573" s="81" t="n"/>
      <c r="C1573" s="81" t="n"/>
      <c r="D1573" s="81" t="n"/>
      <c r="E1573" s="81" t="n"/>
      <c r="F1573" s="81" t="n"/>
      <c r="G1573" s="81" t="n"/>
      <c r="H1573" s="81" t="n"/>
      <c r="I1573" s="81" t="n"/>
      <c r="J1573" s="81" t="n"/>
      <c r="K1573" s="81" t="n"/>
      <c r="L1573" s="81" t="n"/>
      <c r="M1573" s="81" t="n"/>
      <c r="N1573" s="81" t="n"/>
      <c r="O1573" s="81" t="n"/>
      <c r="P1573" s="81" t="n"/>
      <c r="Q1573" s="81" t="n"/>
      <c r="R1573" s="81" t="n"/>
      <c r="S1573" s="81" t="n"/>
      <c r="T1573" s="81" t="n"/>
      <c r="U1573" s="81" t="n"/>
      <c r="V1573" s="81" t="n"/>
      <c r="W1573" s="81" t="n"/>
      <c r="X1573" s="81" t="n"/>
      <c r="Y1573" s="81" t="n"/>
      <c r="Z1573" s="81" t="n"/>
      <c r="AA1573" s="81" t="n"/>
      <c r="AB1573" s="81" t="n"/>
      <c r="AC1573" s="81" t="n"/>
      <c r="AD1573" s="81" t="n"/>
      <c r="AE1573" s="81" t="n"/>
      <c r="AF1573" s="81" t="n"/>
      <c r="AG1573" s="81" t="n"/>
      <c r="AH1573" s="81" t="n"/>
      <c r="AI1573" s="81" t="n"/>
      <c r="AJ1573" s="81" t="n"/>
      <c r="AK1573" s="81" t="n"/>
      <c r="AL1573" s="81" t="n"/>
      <c r="AM1573" s="81" t="n"/>
      <c r="AN1573" s="81" t="n"/>
      <c r="AO1573" s="81" t="n"/>
      <c r="AP1573" s="81" t="n"/>
      <c r="AQ1573" s="81" t="n"/>
      <c r="AR1573" s="81" t="n"/>
      <c r="AS1573" s="81" t="n"/>
      <c r="AT1573" s="81" t="n"/>
      <c r="AU1573" s="81" t="n"/>
      <c r="AV1573" s="81" t="n"/>
      <c r="AW1573" s="81" t="n"/>
      <c r="AX1573" s="81" t="n"/>
      <c r="AY1573" s="81" t="n"/>
      <c r="AZ1573" s="81" t="n"/>
      <c r="BA1573" s="81" t="n"/>
      <c r="BB1573" s="81" t="n"/>
      <c r="BC1573" s="81" t="n"/>
      <c r="BD1573" s="81" t="n"/>
      <c r="BE1573" s="81" t="n"/>
      <c r="BF1573" s="81" t="n"/>
      <c r="BG1573" s="81" t="n"/>
      <c r="BH1573" s="81" t="n"/>
      <c r="BI1573" s="81" t="n"/>
      <c r="BJ1573" s="81" t="n"/>
      <c r="BK1573" s="81" t="n"/>
      <c r="BL1573" s="81" t="n"/>
      <c r="BM1573" s="81" t="n"/>
      <c r="BN1573" s="81" t="n"/>
      <c r="BO1573" s="81" t="n"/>
      <c r="BP1573" s="81" t="n"/>
      <c r="BQ1573" s="81" t="n"/>
      <c r="BR1573" s="81" t="n"/>
      <c r="BS1573" s="81" t="n"/>
      <c r="BT1573" s="81" t="n"/>
      <c r="BU1573" s="81" t="n"/>
      <c r="BV1573" s="81" t="n"/>
      <c r="BW1573" s="81" t="n"/>
      <c r="BX1573" s="81" t="n"/>
      <c r="BY1573" s="81" t="n"/>
      <c r="BZ1573" s="81" t="n"/>
      <c r="CA1573" s="81" t="n"/>
      <c r="CB1573" s="81" t="n"/>
      <c r="CC1573" s="81" t="n"/>
      <c r="CD1573" s="81" t="n"/>
      <c r="CE1573" s="81" t="n"/>
      <c r="CF1573" s="81" t="n"/>
      <c r="CG1573" s="81" t="n"/>
      <c r="CH1573" s="81" t="n"/>
    </row>
    <row r="1574">
      <c r="A1574" s="81" t="n"/>
      <c r="B1574" s="81" t="n"/>
      <c r="C1574" s="81" t="n"/>
      <c r="D1574" s="81" t="n"/>
      <c r="E1574" s="81" t="n"/>
      <c r="F1574" s="81" t="n"/>
      <c r="G1574" s="81" t="n"/>
      <c r="H1574" s="81" t="n"/>
      <c r="I1574" s="81" t="n"/>
      <c r="J1574" s="81" t="n"/>
      <c r="K1574" s="81" t="n"/>
      <c r="L1574" s="81" t="n"/>
      <c r="M1574" s="81" t="n"/>
      <c r="N1574" s="81" t="n"/>
      <c r="O1574" s="81" t="n"/>
      <c r="P1574" s="81" t="n"/>
      <c r="Q1574" s="81" t="n"/>
      <c r="R1574" s="81" t="n"/>
      <c r="S1574" s="81" t="n"/>
      <c r="T1574" s="81" t="n"/>
      <c r="U1574" s="81" t="n"/>
      <c r="V1574" s="81" t="n"/>
      <c r="W1574" s="81" t="n"/>
      <c r="X1574" s="81" t="n"/>
      <c r="Y1574" s="81" t="n"/>
      <c r="Z1574" s="81" t="n"/>
      <c r="AA1574" s="81" t="n"/>
      <c r="AB1574" s="81" t="n"/>
      <c r="AC1574" s="81" t="n"/>
      <c r="AD1574" s="81" t="n"/>
      <c r="AE1574" s="81" t="n"/>
      <c r="AF1574" s="81" t="n"/>
      <c r="AG1574" s="81" t="n"/>
      <c r="AH1574" s="81" t="n"/>
      <c r="AI1574" s="81" t="n"/>
      <c r="AJ1574" s="81" t="n"/>
      <c r="AK1574" s="81" t="n"/>
      <c r="AL1574" s="81" t="n"/>
      <c r="AM1574" s="81" t="n"/>
      <c r="AN1574" s="81" t="n"/>
      <c r="AO1574" s="81" t="n"/>
      <c r="AP1574" s="81" t="n"/>
      <c r="AQ1574" s="81" t="n"/>
      <c r="AR1574" s="81" t="n"/>
      <c r="AS1574" s="81" t="n"/>
      <c r="AT1574" s="81" t="n"/>
      <c r="AU1574" s="81" t="n"/>
      <c r="AV1574" s="81" t="n"/>
      <c r="AW1574" s="81" t="n"/>
      <c r="AX1574" s="81" t="n"/>
      <c r="AY1574" s="81" t="n"/>
      <c r="AZ1574" s="81" t="n"/>
      <c r="BA1574" s="81" t="n"/>
      <c r="BB1574" s="81" t="n"/>
      <c r="BC1574" s="81" t="n"/>
      <c r="BD1574" s="81" t="n"/>
      <c r="BE1574" s="81" t="n"/>
      <c r="BF1574" s="81" t="n"/>
      <c r="BG1574" s="81" t="n"/>
      <c r="BH1574" s="81" t="n"/>
      <c r="BI1574" s="81" t="n"/>
      <c r="BJ1574" s="81" t="n"/>
      <c r="BK1574" s="81" t="n"/>
      <c r="BL1574" s="81" t="n"/>
      <c r="BM1574" s="81" t="n"/>
      <c r="BN1574" s="81" t="n"/>
      <c r="BO1574" s="81" t="n"/>
      <c r="BP1574" s="81" t="n"/>
      <c r="BQ1574" s="81" t="n"/>
      <c r="BR1574" s="81" t="n"/>
      <c r="BS1574" s="81" t="n"/>
      <c r="BT1574" s="81" t="n"/>
      <c r="BU1574" s="81" t="n"/>
      <c r="BV1574" s="81" t="n"/>
      <c r="BW1574" s="81" t="n"/>
      <c r="BX1574" s="81" t="n"/>
      <c r="BY1574" s="81" t="n"/>
      <c r="BZ1574" s="81" t="n"/>
      <c r="CA1574" s="81" t="n"/>
      <c r="CB1574" s="81" t="n"/>
      <c r="CC1574" s="81" t="n"/>
      <c r="CD1574" s="81" t="n"/>
      <c r="CE1574" s="81" t="n"/>
      <c r="CF1574" s="81" t="n"/>
      <c r="CG1574" s="81" t="n"/>
      <c r="CH1574" s="81" t="n"/>
    </row>
    <row r="1575">
      <c r="A1575" s="81" t="n"/>
      <c r="B1575" s="81" t="n"/>
      <c r="C1575" s="81" t="n"/>
      <c r="D1575" s="81" t="n"/>
      <c r="E1575" s="81" t="n"/>
      <c r="F1575" s="81" t="n"/>
      <c r="G1575" s="81" t="n"/>
      <c r="H1575" s="81" t="n"/>
      <c r="I1575" s="81" t="n"/>
      <c r="J1575" s="81" t="n"/>
      <c r="K1575" s="81" t="n"/>
      <c r="L1575" s="81" t="n"/>
      <c r="M1575" s="81" t="n"/>
      <c r="N1575" s="81" t="n"/>
      <c r="O1575" s="81" t="n"/>
      <c r="P1575" s="81" t="n"/>
      <c r="Q1575" s="81" t="n"/>
      <c r="R1575" s="81" t="n"/>
      <c r="S1575" s="81" t="n"/>
      <c r="T1575" s="81" t="n"/>
      <c r="U1575" s="81" t="n"/>
      <c r="V1575" s="81" t="n"/>
      <c r="W1575" s="81" t="n"/>
      <c r="X1575" s="81" t="n"/>
      <c r="Y1575" s="81" t="n"/>
      <c r="Z1575" s="81" t="n"/>
      <c r="AA1575" s="81" t="n"/>
      <c r="AB1575" s="81" t="n"/>
      <c r="AC1575" s="81" t="n"/>
      <c r="AD1575" s="81" t="n"/>
      <c r="AE1575" s="81" t="n"/>
      <c r="AF1575" s="81" t="n"/>
      <c r="AG1575" s="81" t="n"/>
      <c r="AH1575" s="81" t="n"/>
      <c r="AI1575" s="81" t="n"/>
      <c r="AJ1575" s="81" t="n"/>
      <c r="AK1575" s="81" t="n"/>
      <c r="AL1575" s="81" t="n"/>
      <c r="AM1575" s="81" t="n"/>
      <c r="AN1575" s="81" t="n"/>
      <c r="AO1575" s="81" t="n"/>
      <c r="AP1575" s="81" t="n"/>
      <c r="AQ1575" s="81" t="n"/>
      <c r="AR1575" s="81" t="n"/>
      <c r="AS1575" s="81" t="n"/>
      <c r="AT1575" s="81" t="n"/>
      <c r="AU1575" s="81" t="n"/>
      <c r="AV1575" s="81" t="n"/>
      <c r="AW1575" s="81" t="n"/>
      <c r="AX1575" s="81" t="n"/>
      <c r="AY1575" s="81" t="n"/>
      <c r="AZ1575" s="81" t="n"/>
      <c r="BA1575" s="81" t="n"/>
      <c r="BB1575" s="81" t="n"/>
      <c r="BC1575" s="81" t="n"/>
      <c r="BD1575" s="81" t="n"/>
      <c r="BE1575" s="81" t="n"/>
      <c r="BF1575" s="81" t="n"/>
      <c r="BG1575" s="81" t="n"/>
      <c r="BH1575" s="81" t="n"/>
      <c r="BI1575" s="81" t="n"/>
      <c r="BJ1575" s="81" t="n"/>
      <c r="BK1575" s="81" t="n"/>
      <c r="BL1575" s="81" t="n"/>
      <c r="BM1575" s="81" t="n"/>
      <c r="BN1575" s="81" t="n"/>
      <c r="BO1575" s="81" t="n"/>
      <c r="BP1575" s="81" t="n"/>
      <c r="BQ1575" s="81" t="n"/>
      <c r="BR1575" s="81" t="n"/>
      <c r="BS1575" s="81" t="n"/>
      <c r="BT1575" s="81" t="n"/>
      <c r="BU1575" s="81" t="n"/>
      <c r="BV1575" s="81" t="n"/>
      <c r="BW1575" s="81" t="n"/>
      <c r="BX1575" s="81" t="n"/>
      <c r="BY1575" s="81" t="n"/>
      <c r="BZ1575" s="81" t="n"/>
      <c r="CA1575" s="81" t="n"/>
      <c r="CB1575" s="81" t="n"/>
      <c r="CC1575" s="81" t="n"/>
      <c r="CD1575" s="81" t="n"/>
      <c r="CE1575" s="81" t="n"/>
      <c r="CF1575" s="81" t="n"/>
      <c r="CG1575" s="81" t="n"/>
      <c r="CH1575" s="81" t="n"/>
    </row>
    <row r="1576">
      <c r="A1576" s="81" t="n"/>
      <c r="B1576" s="81" t="n"/>
      <c r="C1576" s="81" t="n"/>
      <c r="D1576" s="81" t="n"/>
      <c r="E1576" s="81" t="n"/>
      <c r="F1576" s="81" t="n"/>
      <c r="G1576" s="81" t="n"/>
      <c r="H1576" s="81" t="n"/>
      <c r="I1576" s="81" t="n"/>
      <c r="J1576" s="81" t="n"/>
      <c r="K1576" s="81" t="n"/>
      <c r="L1576" s="81" t="n"/>
      <c r="M1576" s="81" t="n"/>
      <c r="N1576" s="81" t="n"/>
      <c r="O1576" s="81" t="n"/>
      <c r="P1576" s="81" t="n"/>
      <c r="Q1576" s="81" t="n"/>
      <c r="R1576" s="81" t="n"/>
      <c r="S1576" s="81" t="n"/>
      <c r="T1576" s="81" t="n"/>
      <c r="U1576" s="81" t="n"/>
      <c r="V1576" s="81" t="n"/>
      <c r="W1576" s="81" t="n"/>
      <c r="X1576" s="81" t="n"/>
      <c r="Y1576" s="81" t="n"/>
      <c r="Z1576" s="81" t="n"/>
      <c r="AA1576" s="81" t="n"/>
      <c r="AB1576" s="81" t="n"/>
      <c r="AC1576" s="81" t="n"/>
      <c r="AD1576" s="81" t="n"/>
      <c r="AE1576" s="81" t="n"/>
      <c r="AF1576" s="81" t="n"/>
      <c r="AG1576" s="81" t="n"/>
      <c r="AH1576" s="81" t="n"/>
      <c r="AI1576" s="81" t="n"/>
      <c r="AJ1576" s="81" t="n"/>
      <c r="AK1576" s="81" t="n"/>
      <c r="AL1576" s="81" t="n"/>
      <c r="AM1576" s="81" t="n"/>
      <c r="AN1576" s="81" t="n"/>
      <c r="AO1576" s="81" t="n"/>
      <c r="AP1576" s="81" t="n"/>
      <c r="AQ1576" s="81" t="n"/>
      <c r="AR1576" s="81" t="n"/>
      <c r="AS1576" s="81" t="n"/>
      <c r="AT1576" s="81" t="n"/>
      <c r="AU1576" s="81" t="n"/>
      <c r="AV1576" s="81" t="n"/>
      <c r="AW1576" s="81" t="n"/>
      <c r="AX1576" s="81" t="n"/>
      <c r="AY1576" s="81" t="n"/>
      <c r="AZ1576" s="81" t="n"/>
      <c r="BA1576" s="81" t="n"/>
      <c r="BB1576" s="81" t="n"/>
      <c r="BC1576" s="81" t="n"/>
      <c r="BD1576" s="81" t="n"/>
      <c r="BE1576" s="81" t="n"/>
      <c r="BF1576" s="81" t="n"/>
      <c r="BG1576" s="81" t="n"/>
      <c r="BH1576" s="81" t="n"/>
      <c r="BI1576" s="81" t="n"/>
      <c r="BJ1576" s="81" t="n"/>
      <c r="BK1576" s="81" t="n"/>
      <c r="BL1576" s="81" t="n"/>
      <c r="BM1576" s="81" t="n"/>
      <c r="BN1576" s="81" t="n"/>
      <c r="BO1576" s="81" t="n"/>
      <c r="BP1576" s="81" t="n"/>
      <c r="BQ1576" s="81" t="n"/>
      <c r="BR1576" s="81" t="n"/>
      <c r="BS1576" s="81" t="n"/>
      <c r="BT1576" s="81" t="n"/>
      <c r="BU1576" s="81" t="n"/>
      <c r="BV1576" s="81" t="n"/>
      <c r="BW1576" s="81" t="n"/>
      <c r="BX1576" s="81" t="n"/>
      <c r="BY1576" s="81" t="n"/>
      <c r="BZ1576" s="81" t="n"/>
      <c r="CA1576" s="81" t="n"/>
      <c r="CB1576" s="81" t="n"/>
      <c r="CC1576" s="81" t="n"/>
      <c r="CD1576" s="81" t="n"/>
      <c r="CE1576" s="81" t="n"/>
      <c r="CF1576" s="81" t="n"/>
      <c r="CG1576" s="81" t="n"/>
      <c r="CH1576" s="81" t="n"/>
    </row>
    <row r="1577">
      <c r="A1577" s="81" t="n"/>
      <c r="B1577" s="81" t="n"/>
      <c r="C1577" s="81" t="n"/>
      <c r="D1577" s="81" t="n"/>
      <c r="E1577" s="81" t="n"/>
      <c r="F1577" s="81" t="n"/>
      <c r="G1577" s="81" t="n"/>
      <c r="H1577" s="81" t="n"/>
      <c r="I1577" s="81" t="n"/>
      <c r="J1577" s="81" t="n"/>
      <c r="K1577" s="81" t="n"/>
      <c r="L1577" s="81" t="n"/>
      <c r="M1577" s="81" t="n"/>
      <c r="N1577" s="81" t="n"/>
      <c r="O1577" s="81" t="n"/>
      <c r="P1577" s="81" t="n"/>
      <c r="Q1577" s="81" t="n"/>
      <c r="R1577" s="81" t="n"/>
      <c r="S1577" s="81" t="n"/>
      <c r="T1577" s="81" t="n"/>
      <c r="U1577" s="81" t="n"/>
      <c r="V1577" s="81" t="n"/>
      <c r="W1577" s="81" t="n"/>
      <c r="X1577" s="81" t="n"/>
      <c r="Y1577" s="81" t="n"/>
      <c r="Z1577" s="81" t="n"/>
      <c r="AA1577" s="81" t="n"/>
      <c r="AB1577" s="81" t="n"/>
      <c r="AC1577" s="81" t="n"/>
      <c r="AD1577" s="81" t="n"/>
      <c r="AE1577" s="81" t="n"/>
      <c r="AF1577" s="81" t="n"/>
      <c r="AG1577" s="81" t="n"/>
      <c r="AH1577" s="81" t="n"/>
      <c r="AI1577" s="81" t="n"/>
      <c r="AJ1577" s="81" t="n"/>
      <c r="AK1577" s="81" t="n"/>
      <c r="AL1577" s="81" t="n"/>
      <c r="AM1577" s="81" t="n"/>
      <c r="AN1577" s="81" t="n"/>
      <c r="AO1577" s="81" t="n"/>
      <c r="AP1577" s="81" t="n"/>
      <c r="AQ1577" s="81" t="n"/>
      <c r="AR1577" s="81" t="n"/>
      <c r="AS1577" s="81" t="n"/>
      <c r="AT1577" s="81" t="n"/>
      <c r="AU1577" s="81" t="n"/>
      <c r="AV1577" s="81" t="n"/>
      <c r="AW1577" s="81" t="n"/>
      <c r="AX1577" s="81" t="n"/>
      <c r="AY1577" s="81" t="n"/>
      <c r="AZ1577" s="81" t="n"/>
      <c r="BA1577" s="81" t="n"/>
      <c r="BB1577" s="81" t="n"/>
      <c r="BC1577" s="81" t="n"/>
      <c r="BD1577" s="81" t="n"/>
      <c r="BE1577" s="81" t="n"/>
      <c r="BF1577" s="81" t="n"/>
      <c r="BG1577" s="81" t="n"/>
      <c r="BH1577" s="81" t="n"/>
      <c r="BI1577" s="81" t="n"/>
      <c r="BJ1577" s="81" t="n"/>
      <c r="BK1577" s="81" t="n"/>
      <c r="BL1577" s="81" t="n"/>
      <c r="BM1577" s="81" t="n"/>
      <c r="BN1577" s="81" t="n"/>
      <c r="BO1577" s="81" t="n"/>
      <c r="BP1577" s="81" t="n"/>
      <c r="BQ1577" s="81" t="n"/>
      <c r="BR1577" s="81" t="n"/>
      <c r="BS1577" s="81" t="n"/>
      <c r="BT1577" s="81" t="n"/>
      <c r="BU1577" s="81" t="n"/>
      <c r="BV1577" s="81" t="n"/>
      <c r="BW1577" s="81" t="n"/>
      <c r="BX1577" s="81" t="n"/>
      <c r="BY1577" s="81" t="n"/>
      <c r="BZ1577" s="81" t="n"/>
      <c r="CA1577" s="81" t="n"/>
      <c r="CB1577" s="81" t="n"/>
      <c r="CC1577" s="81" t="n"/>
      <c r="CD1577" s="81" t="n"/>
      <c r="CE1577" s="81" t="n"/>
      <c r="CF1577" s="81" t="n"/>
      <c r="CG1577" s="81" t="n"/>
      <c r="CH1577" s="81" t="n"/>
    </row>
    <row r="1578">
      <c r="A1578" s="81" t="n"/>
      <c r="B1578" s="81" t="n"/>
      <c r="C1578" s="81" t="n"/>
      <c r="D1578" s="81" t="n"/>
      <c r="E1578" s="81" t="n"/>
      <c r="F1578" s="81" t="n"/>
      <c r="G1578" s="81" t="n"/>
      <c r="H1578" s="81" t="n"/>
      <c r="I1578" s="81" t="n"/>
      <c r="J1578" s="81" t="n"/>
      <c r="K1578" s="81" t="n"/>
      <c r="L1578" s="81" t="n"/>
      <c r="M1578" s="81" t="n"/>
      <c r="N1578" s="81" t="n"/>
      <c r="O1578" s="81" t="n"/>
      <c r="P1578" s="81" t="n"/>
      <c r="Q1578" s="81" t="n"/>
      <c r="R1578" s="81" t="n"/>
      <c r="S1578" s="81" t="n"/>
      <c r="T1578" s="81" t="n"/>
      <c r="U1578" s="81" t="n"/>
      <c r="V1578" s="81" t="n"/>
      <c r="W1578" s="81" t="n"/>
      <c r="X1578" s="81" t="n"/>
      <c r="Y1578" s="81" t="n"/>
      <c r="Z1578" s="81" t="n"/>
      <c r="AA1578" s="81" t="n"/>
      <c r="AB1578" s="81" t="n"/>
      <c r="AC1578" s="81" t="n"/>
      <c r="AD1578" s="81" t="n"/>
      <c r="AE1578" s="81" t="n"/>
      <c r="AF1578" s="81" t="n"/>
      <c r="AG1578" s="81" t="n"/>
      <c r="AH1578" s="81" t="n"/>
      <c r="AI1578" s="81" t="n"/>
      <c r="AJ1578" s="81" t="n"/>
      <c r="AK1578" s="81" t="n"/>
      <c r="AL1578" s="81" t="n"/>
      <c r="AM1578" s="81" t="n"/>
      <c r="AN1578" s="81" t="n"/>
      <c r="AO1578" s="81" t="n"/>
      <c r="AP1578" s="81" t="n"/>
      <c r="AQ1578" s="81" t="n"/>
      <c r="AR1578" s="81" t="n"/>
      <c r="AS1578" s="81" t="n"/>
      <c r="AT1578" s="81" t="n"/>
      <c r="AU1578" s="81" t="n"/>
      <c r="AV1578" s="81" t="n"/>
      <c r="AW1578" s="81" t="n"/>
      <c r="AX1578" s="81" t="n"/>
      <c r="AY1578" s="81" t="n"/>
      <c r="AZ1578" s="81" t="n"/>
      <c r="BA1578" s="81" t="n"/>
      <c r="BB1578" s="81" t="n"/>
      <c r="BC1578" s="81" t="n"/>
      <c r="BD1578" s="81" t="n"/>
      <c r="BE1578" s="81" t="n"/>
      <c r="BF1578" s="81" t="n"/>
      <c r="BG1578" s="81" t="n"/>
      <c r="BH1578" s="81" t="n"/>
      <c r="BI1578" s="81" t="n"/>
      <c r="BJ1578" s="81" t="n"/>
      <c r="BK1578" s="81" t="n"/>
      <c r="BL1578" s="81" t="n"/>
      <c r="BM1578" s="81" t="n"/>
      <c r="BN1578" s="81" t="n"/>
      <c r="BO1578" s="81" t="n"/>
      <c r="BP1578" s="81" t="n"/>
      <c r="BQ1578" s="81" t="n"/>
      <c r="BR1578" s="81" t="n"/>
      <c r="BS1578" s="81" t="n"/>
      <c r="BT1578" s="81" t="n"/>
      <c r="BU1578" s="81" t="n"/>
      <c r="BV1578" s="81" t="n"/>
      <c r="BW1578" s="81" t="n"/>
      <c r="BX1578" s="81" t="n"/>
      <c r="BY1578" s="81" t="n"/>
      <c r="BZ1578" s="81" t="n"/>
      <c r="CA1578" s="81" t="n"/>
      <c r="CB1578" s="81" t="n"/>
      <c r="CC1578" s="81" t="n"/>
      <c r="CD1578" s="81" t="n"/>
      <c r="CE1578" s="81" t="n"/>
      <c r="CF1578" s="81" t="n"/>
      <c r="CG1578" s="81" t="n"/>
      <c r="CH1578" s="81" t="n"/>
    </row>
    <row r="1579">
      <c r="A1579" s="81" t="n"/>
      <c r="B1579" s="81" t="n"/>
      <c r="C1579" s="81" t="n"/>
      <c r="D1579" s="81" t="n"/>
      <c r="E1579" s="81" t="n"/>
      <c r="F1579" s="81" t="n"/>
      <c r="G1579" s="81" t="n"/>
      <c r="H1579" s="81" t="n"/>
      <c r="I1579" s="81" t="n"/>
      <c r="J1579" s="81" t="n"/>
      <c r="K1579" s="81" t="n"/>
      <c r="L1579" s="81" t="n"/>
      <c r="M1579" s="81" t="n"/>
      <c r="N1579" s="81" t="n"/>
      <c r="O1579" s="81" t="n"/>
      <c r="P1579" s="81" t="n"/>
      <c r="Q1579" s="81" t="n"/>
      <c r="R1579" s="81" t="n"/>
      <c r="S1579" s="81" t="n"/>
      <c r="T1579" s="81" t="n"/>
      <c r="U1579" s="81" t="n"/>
      <c r="V1579" s="81" t="n"/>
      <c r="W1579" s="81" t="n"/>
      <c r="X1579" s="81" t="n"/>
      <c r="Y1579" s="81" t="n"/>
      <c r="Z1579" s="81" t="n"/>
      <c r="AA1579" s="81" t="n"/>
      <c r="AB1579" s="81" t="n"/>
      <c r="AC1579" s="81" t="n"/>
      <c r="AD1579" s="81" t="n"/>
      <c r="AE1579" s="81" t="n"/>
      <c r="AF1579" s="81" t="n"/>
      <c r="AG1579" s="81" t="n"/>
      <c r="AH1579" s="81" t="n"/>
      <c r="AI1579" s="81" t="n"/>
      <c r="AJ1579" s="81" t="n"/>
      <c r="AK1579" s="81" t="n"/>
      <c r="AL1579" s="81" t="n"/>
      <c r="AM1579" s="81" t="n"/>
      <c r="AN1579" s="81" t="n"/>
      <c r="AO1579" s="81" t="n"/>
      <c r="AP1579" s="81" t="n"/>
      <c r="AQ1579" s="81" t="n"/>
      <c r="AR1579" s="81" t="n"/>
      <c r="AS1579" s="81" t="n"/>
      <c r="AT1579" s="81" t="n"/>
      <c r="AU1579" s="81" t="n"/>
      <c r="AV1579" s="81" t="n"/>
      <c r="AW1579" s="81" t="n"/>
      <c r="AX1579" s="81" t="n"/>
      <c r="AY1579" s="81" t="n"/>
      <c r="AZ1579" s="81" t="n"/>
      <c r="BA1579" s="81" t="n"/>
      <c r="BB1579" s="81" t="n"/>
      <c r="BC1579" s="81" t="n"/>
      <c r="BD1579" s="81" t="n"/>
      <c r="BE1579" s="81" t="n"/>
      <c r="BF1579" s="81" t="n"/>
      <c r="BG1579" s="81" t="n"/>
      <c r="BH1579" s="81" t="n"/>
      <c r="BI1579" s="81" t="n"/>
      <c r="BJ1579" s="81" t="n"/>
      <c r="BK1579" s="81" t="n"/>
      <c r="BL1579" s="81" t="n"/>
      <c r="BM1579" s="81" t="n"/>
      <c r="BN1579" s="81" t="n"/>
      <c r="BO1579" s="81" t="n"/>
      <c r="BP1579" s="81" t="n"/>
      <c r="BQ1579" s="81" t="n"/>
      <c r="BR1579" s="81" t="n"/>
      <c r="BS1579" s="81" t="n"/>
      <c r="BT1579" s="81" t="n"/>
      <c r="BU1579" s="81" t="n"/>
      <c r="BV1579" s="81" t="n"/>
      <c r="BW1579" s="81" t="n"/>
      <c r="BX1579" s="81" t="n"/>
      <c r="BY1579" s="81" t="n"/>
      <c r="BZ1579" s="81" t="n"/>
      <c r="CA1579" s="81" t="n"/>
      <c r="CB1579" s="81" t="n"/>
      <c r="CC1579" s="81" t="n"/>
      <c r="CD1579" s="81" t="n"/>
      <c r="CE1579" s="81" t="n"/>
      <c r="CF1579" s="81" t="n"/>
      <c r="CG1579" s="81" t="n"/>
      <c r="CH1579" s="81" t="n"/>
    </row>
    <row r="1580">
      <c r="A1580" s="81" t="n"/>
      <c r="B1580" s="81" t="n"/>
      <c r="C1580" s="81" t="n"/>
      <c r="D1580" s="81" t="n"/>
      <c r="E1580" s="81" t="n"/>
      <c r="F1580" s="81" t="n"/>
      <c r="G1580" s="81" t="n"/>
      <c r="H1580" s="81" t="n"/>
      <c r="I1580" s="81" t="n"/>
      <c r="J1580" s="81" t="n"/>
      <c r="K1580" s="81" t="n"/>
      <c r="L1580" s="81" t="n"/>
      <c r="M1580" s="81" t="n"/>
      <c r="N1580" s="81" t="n"/>
      <c r="O1580" s="81" t="n"/>
      <c r="P1580" s="81" t="n"/>
      <c r="Q1580" s="81" t="n"/>
      <c r="R1580" s="81" t="n"/>
      <c r="S1580" s="81" t="n"/>
      <c r="T1580" s="81" t="n"/>
      <c r="U1580" s="81" t="n"/>
      <c r="V1580" s="81" t="n"/>
      <c r="W1580" s="81" t="n"/>
      <c r="X1580" s="81" t="n"/>
      <c r="Y1580" s="81" t="n"/>
      <c r="Z1580" s="81" t="n"/>
      <c r="AA1580" s="81" t="n"/>
      <c r="AB1580" s="81" t="n"/>
      <c r="AC1580" s="81" t="n"/>
      <c r="AD1580" s="81" t="n"/>
      <c r="AE1580" s="81" t="n"/>
      <c r="AF1580" s="81" t="n"/>
      <c r="AG1580" s="81" t="n"/>
      <c r="AH1580" s="81" t="n"/>
      <c r="AI1580" s="81" t="n"/>
      <c r="AJ1580" s="81" t="n"/>
      <c r="AK1580" s="81" t="n"/>
      <c r="AL1580" s="81" t="n"/>
      <c r="AM1580" s="81" t="n"/>
      <c r="AN1580" s="81" t="n"/>
      <c r="AO1580" s="81" t="n"/>
      <c r="AP1580" s="81" t="n"/>
      <c r="AQ1580" s="81" t="n"/>
      <c r="AR1580" s="81" t="n"/>
      <c r="AS1580" s="81" t="n"/>
      <c r="AT1580" s="81" t="n"/>
      <c r="AU1580" s="81" t="n"/>
      <c r="AV1580" s="81" t="n"/>
      <c r="AW1580" s="81" t="n"/>
      <c r="AX1580" s="81" t="n"/>
      <c r="AY1580" s="81" t="n"/>
      <c r="AZ1580" s="81" t="n"/>
      <c r="BA1580" s="81" t="n"/>
      <c r="BB1580" s="81" t="n"/>
      <c r="BC1580" s="81" t="n"/>
      <c r="BD1580" s="81" t="n"/>
      <c r="BE1580" s="81" t="n"/>
      <c r="BF1580" s="81" t="n"/>
      <c r="BG1580" s="81" t="n"/>
      <c r="BH1580" s="81" t="n"/>
      <c r="BI1580" s="81" t="n"/>
      <c r="BJ1580" s="81" t="n"/>
      <c r="BK1580" s="81" t="n"/>
      <c r="BL1580" s="81" t="n"/>
      <c r="BM1580" s="81" t="n"/>
      <c r="BN1580" s="81" t="n"/>
      <c r="BO1580" s="81" t="n"/>
      <c r="BP1580" s="81" t="n"/>
      <c r="BQ1580" s="81" t="n"/>
      <c r="BR1580" s="81" t="n"/>
      <c r="BS1580" s="81" t="n"/>
      <c r="BT1580" s="81" t="n"/>
      <c r="BU1580" s="81" t="n"/>
      <c r="BV1580" s="81" t="n"/>
      <c r="BW1580" s="81" t="n"/>
      <c r="BX1580" s="81" t="n"/>
      <c r="BY1580" s="81" t="n"/>
      <c r="BZ1580" s="81" t="n"/>
      <c r="CA1580" s="81" t="n"/>
      <c r="CB1580" s="81" t="n"/>
      <c r="CC1580" s="81" t="n"/>
      <c r="CD1580" s="81" t="n"/>
      <c r="CE1580" s="81" t="n"/>
      <c r="CF1580" s="81" t="n"/>
      <c r="CG1580" s="81" t="n"/>
      <c r="CH1580" s="81" t="n"/>
    </row>
    <row r="1581">
      <c r="A1581" s="81" t="n"/>
      <c r="B1581" s="81" t="n"/>
      <c r="C1581" s="81" t="n"/>
      <c r="D1581" s="81" t="n"/>
      <c r="E1581" s="81" t="n"/>
      <c r="F1581" s="81" t="n"/>
      <c r="G1581" s="81" t="n"/>
      <c r="H1581" s="81" t="n"/>
      <c r="I1581" s="81" t="n"/>
      <c r="J1581" s="81" t="n"/>
      <c r="K1581" s="81" t="n"/>
      <c r="L1581" s="81" t="n"/>
      <c r="M1581" s="81" t="n"/>
      <c r="N1581" s="81" t="n"/>
      <c r="O1581" s="81" t="n"/>
      <c r="P1581" s="81" t="n"/>
      <c r="Q1581" s="81" t="n"/>
      <c r="R1581" s="81" t="n"/>
      <c r="S1581" s="81" t="n"/>
      <c r="T1581" s="81" t="n"/>
      <c r="U1581" s="81" t="n"/>
      <c r="V1581" s="81" t="n"/>
      <c r="W1581" s="81" t="n"/>
      <c r="X1581" s="81" t="n"/>
      <c r="Y1581" s="81" t="n"/>
      <c r="Z1581" s="81" t="n"/>
      <c r="AA1581" s="81" t="n"/>
      <c r="AB1581" s="81" t="n"/>
      <c r="AC1581" s="81" t="n"/>
      <c r="AD1581" s="81" t="n"/>
      <c r="AE1581" s="81" t="n"/>
      <c r="AF1581" s="81" t="n"/>
      <c r="AG1581" s="81" t="n"/>
      <c r="AH1581" s="81" t="n"/>
      <c r="AI1581" s="81" t="n"/>
      <c r="AJ1581" s="81" t="n"/>
      <c r="AK1581" s="81" t="n"/>
      <c r="AL1581" s="81" t="n"/>
      <c r="AM1581" s="81" t="n"/>
      <c r="AN1581" s="81" t="n"/>
      <c r="AO1581" s="81" t="n"/>
      <c r="AP1581" s="81" t="n"/>
      <c r="AQ1581" s="81" t="n"/>
      <c r="AR1581" s="81" t="n"/>
      <c r="AS1581" s="81" t="n"/>
      <c r="AT1581" s="81" t="n"/>
      <c r="AU1581" s="81" t="n"/>
      <c r="AV1581" s="81" t="n"/>
      <c r="AW1581" s="81" t="n"/>
      <c r="AX1581" s="81" t="n"/>
      <c r="AY1581" s="81" t="n"/>
      <c r="AZ1581" s="81" t="n"/>
      <c r="BA1581" s="81" t="n"/>
      <c r="BB1581" s="81" t="n"/>
      <c r="BC1581" s="81" t="n"/>
      <c r="BD1581" s="81" t="n"/>
      <c r="BE1581" s="81" t="n"/>
      <c r="BF1581" s="81" t="n"/>
      <c r="BG1581" s="81" t="n"/>
      <c r="BH1581" s="81" t="n"/>
      <c r="BI1581" s="81" t="n"/>
      <c r="BJ1581" s="81" t="n"/>
      <c r="BK1581" s="81" t="n"/>
      <c r="BL1581" s="81" t="n"/>
      <c r="BM1581" s="81" t="n"/>
      <c r="BN1581" s="81" t="n"/>
      <c r="BO1581" s="81" t="n"/>
      <c r="BP1581" s="81" t="n"/>
      <c r="BQ1581" s="81" t="n"/>
      <c r="BR1581" s="81" t="n"/>
      <c r="BS1581" s="81" t="n"/>
      <c r="BT1581" s="81" t="n"/>
      <c r="BU1581" s="81" t="n"/>
      <c r="BV1581" s="81" t="n"/>
      <c r="BW1581" s="81" t="n"/>
      <c r="BX1581" s="81" t="n"/>
      <c r="BY1581" s="81" t="n"/>
      <c r="BZ1581" s="81" t="n"/>
      <c r="CA1581" s="81" t="n"/>
      <c r="CB1581" s="81" t="n"/>
      <c r="CC1581" s="81" t="n"/>
      <c r="CD1581" s="81" t="n"/>
      <c r="CE1581" s="81" t="n"/>
      <c r="CF1581" s="81" t="n"/>
      <c r="CG1581" s="81" t="n"/>
      <c r="CH1581" s="81" t="n"/>
    </row>
    <row r="1582">
      <c r="A1582" s="81" t="n"/>
      <c r="B1582" s="81" t="n"/>
      <c r="C1582" s="81" t="n"/>
      <c r="D1582" s="81" t="n"/>
      <c r="E1582" s="81" t="n"/>
      <c r="F1582" s="81" t="n"/>
      <c r="G1582" s="81" t="n"/>
      <c r="H1582" s="81" t="n"/>
      <c r="I1582" s="81" t="n"/>
      <c r="J1582" s="81" t="n"/>
      <c r="K1582" s="81" t="n"/>
      <c r="L1582" s="81" t="n"/>
      <c r="M1582" s="81" t="n"/>
      <c r="N1582" s="81" t="n"/>
      <c r="O1582" s="81" t="n"/>
      <c r="P1582" s="81" t="n"/>
      <c r="Q1582" s="81" t="n"/>
      <c r="R1582" s="81" t="n"/>
      <c r="S1582" s="81" t="n"/>
      <c r="T1582" s="81" t="n"/>
      <c r="U1582" s="81" t="n"/>
      <c r="V1582" s="81" t="n"/>
      <c r="W1582" s="81" t="n"/>
      <c r="X1582" s="81" t="n"/>
      <c r="Y1582" s="81" t="n"/>
      <c r="Z1582" s="81" t="n"/>
      <c r="AA1582" s="81" t="n"/>
      <c r="AB1582" s="81" t="n"/>
      <c r="AC1582" s="81" t="n"/>
      <c r="AD1582" s="81" t="n"/>
      <c r="AE1582" s="81" t="n"/>
      <c r="AF1582" s="81" t="n"/>
      <c r="AG1582" s="81" t="n"/>
      <c r="AH1582" s="81" t="n"/>
      <c r="AI1582" s="81" t="n"/>
      <c r="AJ1582" s="81" t="n"/>
      <c r="AK1582" s="81" t="n"/>
      <c r="AL1582" s="81" t="n"/>
      <c r="AM1582" s="81" t="n"/>
      <c r="AN1582" s="81" t="n"/>
      <c r="AO1582" s="81" t="n"/>
      <c r="AP1582" s="81" t="n"/>
      <c r="AQ1582" s="81" t="n"/>
      <c r="AR1582" s="81" t="n"/>
      <c r="AS1582" s="81" t="n"/>
      <c r="AT1582" s="81" t="n"/>
      <c r="AU1582" s="81" t="n"/>
      <c r="AV1582" s="81" t="n"/>
      <c r="AW1582" s="81" t="n"/>
      <c r="AX1582" s="81" t="n"/>
      <c r="AY1582" s="81" t="n"/>
      <c r="AZ1582" s="81" t="n"/>
      <c r="BA1582" s="81" t="n"/>
      <c r="BB1582" s="81" t="n"/>
      <c r="BC1582" s="81" t="n"/>
      <c r="BD1582" s="81" t="n"/>
      <c r="BE1582" s="81" t="n"/>
      <c r="BF1582" s="81" t="n"/>
      <c r="BG1582" s="81" t="n"/>
      <c r="BH1582" s="81" t="n"/>
      <c r="BI1582" s="81" t="n"/>
      <c r="BJ1582" s="81" t="n"/>
      <c r="BK1582" s="81" t="n"/>
      <c r="BL1582" s="81" t="n"/>
      <c r="BM1582" s="81" t="n"/>
      <c r="BN1582" s="81" t="n"/>
      <c r="BO1582" s="81" t="n"/>
      <c r="BP1582" s="81" t="n"/>
      <c r="BQ1582" s="81" t="n"/>
      <c r="BR1582" s="81" t="n"/>
      <c r="BS1582" s="81" t="n"/>
      <c r="BT1582" s="81" t="n"/>
      <c r="BU1582" s="81" t="n"/>
      <c r="BV1582" s="81" t="n"/>
      <c r="BW1582" s="81" t="n"/>
      <c r="BX1582" s="81" t="n"/>
      <c r="BY1582" s="81" t="n"/>
      <c r="BZ1582" s="81" t="n"/>
      <c r="CA1582" s="81" t="n"/>
      <c r="CB1582" s="81" t="n"/>
      <c r="CC1582" s="81" t="n"/>
      <c r="CD1582" s="81" t="n"/>
      <c r="CE1582" s="81" t="n"/>
      <c r="CF1582" s="81" t="n"/>
      <c r="CG1582" s="81" t="n"/>
      <c r="CH1582" s="81" t="n"/>
    </row>
    <row r="1583">
      <c r="A1583" s="81" t="n"/>
      <c r="B1583" s="81" t="n"/>
      <c r="C1583" s="81" t="n"/>
      <c r="D1583" s="81" t="n"/>
      <c r="E1583" s="81" t="n"/>
      <c r="F1583" s="81" t="n"/>
      <c r="G1583" s="81" t="n"/>
      <c r="H1583" s="81" t="n"/>
      <c r="I1583" s="81" t="n"/>
      <c r="J1583" s="81" t="n"/>
      <c r="K1583" s="81" t="n"/>
      <c r="L1583" s="81" t="n"/>
      <c r="M1583" s="81" t="n"/>
      <c r="N1583" s="81" t="n"/>
      <c r="O1583" s="81" t="n"/>
      <c r="P1583" s="81" t="n"/>
      <c r="Q1583" s="81" t="n"/>
      <c r="R1583" s="81" t="n"/>
      <c r="S1583" s="81" t="n"/>
      <c r="T1583" s="81" t="n"/>
      <c r="U1583" s="81" t="n"/>
      <c r="V1583" s="81" t="n"/>
      <c r="W1583" s="81" t="n"/>
      <c r="X1583" s="81" t="n"/>
      <c r="Y1583" s="81" t="n"/>
      <c r="Z1583" s="81" t="n"/>
      <c r="AA1583" s="81" t="n"/>
      <c r="AB1583" s="81" t="n"/>
      <c r="AC1583" s="81" t="n"/>
      <c r="AD1583" s="81" t="n"/>
      <c r="AE1583" s="81" t="n"/>
      <c r="AF1583" s="81" t="n"/>
      <c r="AG1583" s="81" t="n"/>
      <c r="AH1583" s="81" t="n"/>
      <c r="AI1583" s="81" t="n"/>
      <c r="AJ1583" s="81" t="n"/>
      <c r="AK1583" s="81" t="n"/>
      <c r="AL1583" s="81" t="n"/>
      <c r="AM1583" s="81" t="n"/>
      <c r="AN1583" s="81" t="n"/>
      <c r="AO1583" s="81" t="n"/>
      <c r="AP1583" s="81" t="n"/>
      <c r="AQ1583" s="81" t="n"/>
      <c r="AR1583" s="81" t="n"/>
      <c r="AS1583" s="81" t="n"/>
      <c r="AT1583" s="81" t="n"/>
      <c r="AU1583" s="81" t="n"/>
      <c r="AV1583" s="81" t="n"/>
      <c r="AW1583" s="81" t="n"/>
      <c r="AX1583" s="81" t="n"/>
      <c r="AY1583" s="81" t="n"/>
      <c r="AZ1583" s="81" t="n"/>
      <c r="BA1583" s="81" t="n"/>
      <c r="BB1583" s="81" t="n"/>
      <c r="BC1583" s="81" t="n"/>
      <c r="BD1583" s="81" t="n"/>
      <c r="BE1583" s="81" t="n"/>
      <c r="BF1583" s="81" t="n"/>
      <c r="BG1583" s="81" t="n"/>
      <c r="BH1583" s="81" t="n"/>
      <c r="BI1583" s="81" t="n"/>
      <c r="BJ1583" s="81" t="n"/>
      <c r="BK1583" s="81" t="n"/>
      <c r="BL1583" s="81" t="n"/>
      <c r="BM1583" s="81" t="n"/>
      <c r="BN1583" s="81" t="n"/>
      <c r="BO1583" s="81" t="n"/>
      <c r="BP1583" s="81" t="n"/>
      <c r="BQ1583" s="81" t="n"/>
      <c r="BR1583" s="81" t="n"/>
      <c r="BS1583" s="81" t="n"/>
      <c r="BT1583" s="81" t="n"/>
      <c r="BU1583" s="81" t="n"/>
      <c r="BV1583" s="81" t="n"/>
      <c r="BW1583" s="81" t="n"/>
      <c r="BX1583" s="81" t="n"/>
      <c r="BY1583" s="81" t="n"/>
      <c r="BZ1583" s="81" t="n"/>
      <c r="CA1583" s="81" t="n"/>
      <c r="CB1583" s="81" t="n"/>
      <c r="CC1583" s="81" t="n"/>
      <c r="CD1583" s="81" t="n"/>
      <c r="CE1583" s="81" t="n"/>
      <c r="CF1583" s="81" t="n"/>
      <c r="CG1583" s="81" t="n"/>
      <c r="CH1583" s="81" t="n"/>
    </row>
    <row r="1584">
      <c r="A1584" s="81" t="n"/>
      <c r="B1584" s="81" t="n"/>
      <c r="C1584" s="81" t="n"/>
      <c r="D1584" s="81" t="n"/>
      <c r="E1584" s="81" t="n"/>
      <c r="F1584" s="81" t="n"/>
      <c r="G1584" s="81" t="n"/>
      <c r="H1584" s="81" t="n"/>
      <c r="I1584" s="81" t="n"/>
      <c r="J1584" s="81" t="n"/>
      <c r="K1584" s="81" t="n"/>
      <c r="L1584" s="81" t="n"/>
      <c r="M1584" s="81" t="n"/>
      <c r="N1584" s="81" t="n"/>
      <c r="O1584" s="81" t="n"/>
      <c r="P1584" s="81" t="n"/>
      <c r="Q1584" s="81" t="n"/>
      <c r="R1584" s="81" t="n"/>
      <c r="S1584" s="81" t="n"/>
      <c r="T1584" s="81" t="n"/>
      <c r="U1584" s="81" t="n"/>
      <c r="V1584" s="81" t="n"/>
      <c r="W1584" s="81" t="n"/>
      <c r="X1584" s="81" t="n"/>
      <c r="Y1584" s="81" t="n"/>
      <c r="Z1584" s="81" t="n"/>
      <c r="AA1584" s="81" t="n"/>
      <c r="AB1584" s="81" t="n"/>
      <c r="AC1584" s="81" t="n"/>
      <c r="AD1584" s="81" t="n"/>
      <c r="AE1584" s="81" t="n"/>
      <c r="AF1584" s="81" t="n"/>
      <c r="AG1584" s="81" t="n"/>
      <c r="AH1584" s="81" t="n"/>
      <c r="AI1584" s="81" t="n"/>
      <c r="AJ1584" s="81" t="n"/>
      <c r="AK1584" s="81" t="n"/>
      <c r="AL1584" s="81" t="n"/>
      <c r="AM1584" s="81" t="n"/>
      <c r="AN1584" s="81" t="n"/>
      <c r="AO1584" s="81" t="n"/>
      <c r="AP1584" s="81" t="n"/>
      <c r="AQ1584" s="81" t="n"/>
      <c r="AR1584" s="81" t="n"/>
      <c r="AS1584" s="81" t="n"/>
      <c r="AT1584" s="81" t="n"/>
      <c r="AU1584" s="81" t="n"/>
      <c r="AV1584" s="81" t="n"/>
      <c r="AW1584" s="81" t="n"/>
      <c r="AX1584" s="81" t="n"/>
      <c r="AY1584" s="81" t="n"/>
      <c r="AZ1584" s="81" t="n"/>
      <c r="BA1584" s="81" t="n"/>
      <c r="BB1584" s="81" t="n"/>
      <c r="BC1584" s="81" t="n"/>
      <c r="BD1584" s="81" t="n"/>
      <c r="BE1584" s="81" t="n"/>
      <c r="BF1584" s="81" t="n"/>
      <c r="BG1584" s="81" t="n"/>
      <c r="BH1584" s="81" t="n"/>
      <c r="BI1584" s="81" t="n"/>
      <c r="BJ1584" s="81" t="n"/>
      <c r="BK1584" s="81" t="n"/>
      <c r="BL1584" s="81" t="n"/>
      <c r="BM1584" s="81" t="n"/>
      <c r="BN1584" s="81" t="n"/>
      <c r="BO1584" s="81" t="n"/>
      <c r="BP1584" s="81" t="n"/>
      <c r="BQ1584" s="81" t="n"/>
      <c r="BR1584" s="81" t="n"/>
      <c r="BS1584" s="81" t="n"/>
      <c r="BT1584" s="81" t="n"/>
      <c r="BU1584" s="81" t="n"/>
      <c r="BV1584" s="81" t="n"/>
      <c r="BW1584" s="81" t="n"/>
      <c r="BX1584" s="81" t="n"/>
      <c r="BY1584" s="81" t="n"/>
      <c r="BZ1584" s="81" t="n"/>
      <c r="CA1584" s="81" t="n"/>
      <c r="CB1584" s="81" t="n"/>
      <c r="CC1584" s="81" t="n"/>
      <c r="CD1584" s="81" t="n"/>
      <c r="CE1584" s="81" t="n"/>
      <c r="CF1584" s="81" t="n"/>
      <c r="CG1584" s="81" t="n"/>
      <c r="CH1584" s="81" t="n"/>
    </row>
    <row r="1585">
      <c r="A1585" s="81" t="n"/>
      <c r="B1585" s="81" t="n"/>
      <c r="C1585" s="81" t="n"/>
      <c r="D1585" s="81" t="n"/>
      <c r="E1585" s="81" t="n"/>
      <c r="F1585" s="81" t="n"/>
      <c r="G1585" s="81" t="n"/>
      <c r="H1585" s="81" t="n"/>
      <c r="I1585" s="81" t="n"/>
      <c r="J1585" s="81" t="n"/>
      <c r="K1585" s="81" t="n"/>
      <c r="L1585" s="81" t="n"/>
      <c r="M1585" s="81" t="n"/>
      <c r="N1585" s="81" t="n"/>
      <c r="O1585" s="81" t="n"/>
      <c r="P1585" s="81" t="n"/>
      <c r="Q1585" s="81" t="n"/>
      <c r="R1585" s="81" t="n"/>
      <c r="S1585" s="81" t="n"/>
      <c r="T1585" s="81" t="n"/>
      <c r="U1585" s="81" t="n"/>
      <c r="V1585" s="81" t="n"/>
      <c r="W1585" s="81" t="n"/>
      <c r="X1585" s="81" t="n"/>
      <c r="Y1585" s="81" t="n"/>
      <c r="Z1585" s="81" t="n"/>
      <c r="AA1585" s="81" t="n"/>
      <c r="AB1585" s="81" t="n"/>
      <c r="AC1585" s="81" t="n"/>
      <c r="AD1585" s="81" t="n"/>
      <c r="AE1585" s="81" t="n"/>
      <c r="AF1585" s="81" t="n"/>
      <c r="AG1585" s="81" t="n"/>
      <c r="AH1585" s="81" t="n"/>
      <c r="AI1585" s="81" t="n"/>
      <c r="AJ1585" s="81" t="n"/>
      <c r="AK1585" s="81" t="n"/>
      <c r="AL1585" s="81" t="n"/>
      <c r="AM1585" s="81" t="n"/>
      <c r="AN1585" s="81" t="n"/>
      <c r="AO1585" s="81" t="n"/>
      <c r="AP1585" s="81" t="n"/>
      <c r="AQ1585" s="81" t="n"/>
      <c r="AR1585" s="81" t="n"/>
      <c r="AS1585" s="81" t="n"/>
      <c r="AT1585" s="81" t="n"/>
      <c r="AU1585" s="81" t="n"/>
      <c r="AV1585" s="81" t="n"/>
      <c r="AW1585" s="81" t="n"/>
      <c r="AX1585" s="81" t="n"/>
      <c r="AY1585" s="81" t="n"/>
      <c r="AZ1585" s="81" t="n"/>
      <c r="BA1585" s="81" t="n"/>
      <c r="BB1585" s="81" t="n"/>
      <c r="BC1585" s="81" t="n"/>
      <c r="BD1585" s="81" t="n"/>
      <c r="BE1585" s="81" t="n"/>
      <c r="BF1585" s="81" t="n"/>
      <c r="BG1585" s="81" t="n"/>
      <c r="BH1585" s="81" t="n"/>
      <c r="BI1585" s="81" t="n"/>
      <c r="BJ1585" s="81" t="n"/>
      <c r="BK1585" s="81" t="n"/>
      <c r="BL1585" s="81" t="n"/>
      <c r="BM1585" s="81" t="n"/>
      <c r="BN1585" s="81" t="n"/>
      <c r="BO1585" s="81" t="n"/>
      <c r="BP1585" s="81" t="n"/>
      <c r="BQ1585" s="81" t="n"/>
      <c r="BR1585" s="81" t="n"/>
      <c r="BS1585" s="81" t="n"/>
      <c r="BT1585" s="81" t="n"/>
      <c r="BU1585" s="81" t="n"/>
      <c r="BV1585" s="81" t="n"/>
      <c r="BW1585" s="81" t="n"/>
      <c r="BX1585" s="81" t="n"/>
      <c r="BY1585" s="81" t="n"/>
      <c r="BZ1585" s="81" t="n"/>
      <c r="CA1585" s="81" t="n"/>
      <c r="CB1585" s="81" t="n"/>
      <c r="CC1585" s="81" t="n"/>
      <c r="CD1585" s="81" t="n"/>
      <c r="CE1585" s="81" t="n"/>
      <c r="CF1585" s="81" t="n"/>
      <c r="CG1585" s="81" t="n"/>
      <c r="CH1585" s="81" t="n"/>
    </row>
    <row r="1586">
      <c r="A1586" s="81" t="n"/>
      <c r="B1586" s="81" t="n"/>
      <c r="C1586" s="81" t="n"/>
      <c r="D1586" s="81" t="n"/>
      <c r="E1586" s="81" t="n"/>
      <c r="F1586" s="81" t="n"/>
      <c r="G1586" s="81" t="n"/>
      <c r="H1586" s="81" t="n"/>
      <c r="I1586" s="81" t="n"/>
      <c r="J1586" s="81" t="n"/>
      <c r="K1586" s="81" t="n"/>
      <c r="L1586" s="81" t="n"/>
      <c r="M1586" s="81" t="n"/>
      <c r="N1586" s="81" t="n"/>
      <c r="O1586" s="81" t="n"/>
      <c r="P1586" s="81" t="n"/>
      <c r="Q1586" s="81" t="n"/>
      <c r="R1586" s="81" t="n"/>
      <c r="S1586" s="81" t="n"/>
      <c r="T1586" s="81" t="n"/>
      <c r="U1586" s="81" t="n"/>
      <c r="V1586" s="81" t="n"/>
      <c r="W1586" s="81" t="n"/>
      <c r="X1586" s="81" t="n"/>
      <c r="Y1586" s="81" t="n"/>
      <c r="Z1586" s="81" t="n"/>
      <c r="AA1586" s="81" t="n"/>
      <c r="AB1586" s="81" t="n"/>
      <c r="AC1586" s="81" t="n"/>
      <c r="AD1586" s="81" t="n"/>
      <c r="AE1586" s="81" t="n"/>
      <c r="AF1586" s="81" t="n"/>
      <c r="AG1586" s="81" t="n"/>
      <c r="AH1586" s="81" t="n"/>
      <c r="AI1586" s="81" t="n"/>
      <c r="AJ1586" s="81" t="n"/>
      <c r="AK1586" s="81" t="n"/>
      <c r="AL1586" s="81" t="n"/>
      <c r="AM1586" s="81" t="n"/>
      <c r="AN1586" s="81" t="n"/>
      <c r="AO1586" s="81" t="n"/>
      <c r="AP1586" s="81" t="n"/>
      <c r="AQ1586" s="81" t="n"/>
      <c r="AR1586" s="81" t="n"/>
      <c r="AS1586" s="81" t="n"/>
      <c r="AT1586" s="81" t="n"/>
      <c r="AU1586" s="81" t="n"/>
      <c r="AV1586" s="81" t="n"/>
      <c r="AW1586" s="81" t="n"/>
      <c r="AX1586" s="81" t="n"/>
      <c r="AY1586" s="81" t="n"/>
      <c r="AZ1586" s="81" t="n"/>
      <c r="BA1586" s="81" t="n"/>
      <c r="BB1586" s="81" t="n"/>
      <c r="BC1586" s="81" t="n"/>
      <c r="BD1586" s="81" t="n"/>
      <c r="BE1586" s="81" t="n"/>
      <c r="BF1586" s="81" t="n"/>
      <c r="BG1586" s="81" t="n"/>
      <c r="BH1586" s="81" t="n"/>
      <c r="BI1586" s="81" t="n"/>
      <c r="BJ1586" s="81" t="n"/>
      <c r="BK1586" s="81" t="n"/>
      <c r="BL1586" s="81" t="n"/>
      <c r="BM1586" s="81" t="n"/>
      <c r="BN1586" s="81" t="n"/>
      <c r="BO1586" s="81" t="n"/>
      <c r="BP1586" s="81" t="n"/>
      <c r="BQ1586" s="81" t="n"/>
      <c r="BR1586" s="81" t="n"/>
      <c r="BS1586" s="81" t="n"/>
      <c r="BT1586" s="81" t="n"/>
      <c r="BU1586" s="81" t="n"/>
      <c r="BV1586" s="81" t="n"/>
      <c r="BW1586" s="81" t="n"/>
      <c r="BX1586" s="81" t="n"/>
      <c r="BY1586" s="81" t="n"/>
      <c r="BZ1586" s="81" t="n"/>
      <c r="CA1586" s="81" t="n"/>
      <c r="CB1586" s="81" t="n"/>
      <c r="CC1586" s="81" t="n"/>
      <c r="CD1586" s="81" t="n"/>
      <c r="CE1586" s="81" t="n"/>
      <c r="CF1586" s="81" t="n"/>
      <c r="CG1586" s="81" t="n"/>
      <c r="CH1586" s="81" t="n"/>
    </row>
    <row r="1587">
      <c r="A1587" s="81" t="n"/>
      <c r="B1587" s="81" t="n"/>
      <c r="C1587" s="81" t="n"/>
      <c r="D1587" s="81" t="n"/>
      <c r="E1587" s="81" t="n"/>
      <c r="F1587" s="81" t="n"/>
      <c r="G1587" s="81" t="n"/>
      <c r="H1587" s="81" t="n"/>
      <c r="I1587" s="81" t="n"/>
      <c r="J1587" s="81" t="n"/>
      <c r="K1587" s="81" t="n"/>
      <c r="L1587" s="81" t="n"/>
      <c r="M1587" s="81" t="n"/>
      <c r="N1587" s="81" t="n"/>
      <c r="O1587" s="81" t="n"/>
      <c r="P1587" s="81" t="n"/>
      <c r="Q1587" s="81" t="n"/>
      <c r="R1587" s="81" t="n"/>
      <c r="S1587" s="81" t="n"/>
      <c r="T1587" s="81" t="n"/>
      <c r="U1587" s="81" t="n"/>
      <c r="V1587" s="81" t="n"/>
      <c r="W1587" s="81" t="n"/>
      <c r="X1587" s="81" t="n"/>
      <c r="Y1587" s="81" t="n"/>
      <c r="Z1587" s="81" t="n"/>
      <c r="AA1587" s="81" t="n"/>
      <c r="AB1587" s="81" t="n"/>
      <c r="AC1587" s="81" t="n"/>
      <c r="AD1587" s="81" t="n"/>
      <c r="AE1587" s="81" t="n"/>
      <c r="AF1587" s="81" t="n"/>
      <c r="AG1587" s="81" t="n"/>
      <c r="AH1587" s="81" t="n"/>
      <c r="AI1587" s="81" t="n"/>
      <c r="AJ1587" s="81" t="n"/>
      <c r="AK1587" s="81" t="n"/>
      <c r="AL1587" s="81" t="n"/>
      <c r="AM1587" s="81" t="n"/>
      <c r="AN1587" s="81" t="n"/>
      <c r="AO1587" s="81" t="n"/>
      <c r="AP1587" s="81" t="n"/>
      <c r="AQ1587" s="81" t="n"/>
      <c r="AR1587" s="81" t="n"/>
      <c r="AS1587" s="81" t="n"/>
      <c r="AT1587" s="81" t="n"/>
      <c r="AU1587" s="81" t="n"/>
      <c r="AV1587" s="81" t="n"/>
      <c r="AW1587" s="81" t="n"/>
      <c r="AX1587" s="81" t="n"/>
      <c r="AY1587" s="81" t="n"/>
      <c r="AZ1587" s="81" t="n"/>
      <c r="BA1587" s="81" t="n"/>
      <c r="BB1587" s="81" t="n"/>
      <c r="BC1587" s="81" t="n"/>
      <c r="BD1587" s="81" t="n"/>
      <c r="BE1587" s="81" t="n"/>
      <c r="BF1587" s="81" t="n"/>
      <c r="BG1587" s="81" t="n"/>
      <c r="BH1587" s="81" t="n"/>
      <c r="BI1587" s="81" t="n"/>
      <c r="BJ1587" s="81" t="n"/>
      <c r="BK1587" s="81" t="n"/>
      <c r="BL1587" s="81" t="n"/>
      <c r="BM1587" s="81" t="n"/>
      <c r="BN1587" s="81" t="n"/>
      <c r="BO1587" s="81" t="n"/>
      <c r="BP1587" s="81" t="n"/>
      <c r="BQ1587" s="81" t="n"/>
      <c r="BR1587" s="81" t="n"/>
      <c r="BS1587" s="81" t="n"/>
      <c r="BT1587" s="81" t="n"/>
      <c r="BU1587" s="81" t="n"/>
      <c r="BV1587" s="81" t="n"/>
      <c r="BW1587" s="81" t="n"/>
      <c r="BX1587" s="81" t="n"/>
      <c r="BY1587" s="81" t="n"/>
      <c r="BZ1587" s="81" t="n"/>
      <c r="CA1587" s="81" t="n"/>
      <c r="CB1587" s="81" t="n"/>
      <c r="CC1587" s="81" t="n"/>
      <c r="CD1587" s="81" t="n"/>
      <c r="CE1587" s="81" t="n"/>
      <c r="CF1587" s="81" t="n"/>
      <c r="CG1587" s="81" t="n"/>
      <c r="CH1587" s="81" t="n"/>
    </row>
    <row r="1588">
      <c r="A1588" s="81" t="n"/>
      <c r="B1588" s="81" t="n"/>
      <c r="C1588" s="81" t="n"/>
      <c r="D1588" s="81" t="n"/>
      <c r="E1588" s="81" t="n"/>
      <c r="F1588" s="81" t="n"/>
      <c r="G1588" s="81" t="n"/>
      <c r="H1588" s="81" t="n"/>
      <c r="I1588" s="81" t="n"/>
      <c r="J1588" s="81" t="n"/>
      <c r="K1588" s="81" t="n"/>
      <c r="L1588" s="81" t="n"/>
      <c r="M1588" s="81" t="n"/>
      <c r="N1588" s="81" t="n"/>
      <c r="O1588" s="81" t="n"/>
      <c r="P1588" s="81" t="n"/>
      <c r="Q1588" s="81" t="n"/>
      <c r="R1588" s="81" t="n"/>
      <c r="S1588" s="81" t="n"/>
      <c r="T1588" s="81" t="n"/>
      <c r="U1588" s="81" t="n"/>
      <c r="V1588" s="81" t="n"/>
      <c r="W1588" s="81" t="n"/>
      <c r="X1588" s="81" t="n"/>
      <c r="Y1588" s="81" t="n"/>
      <c r="Z1588" s="81" t="n"/>
      <c r="AA1588" s="81" t="n"/>
      <c r="AB1588" s="81" t="n"/>
      <c r="AC1588" s="81" t="n"/>
      <c r="AD1588" s="81" t="n"/>
      <c r="AE1588" s="81" t="n"/>
      <c r="AF1588" s="81" t="n"/>
      <c r="AG1588" s="81" t="n"/>
      <c r="AH1588" s="81" t="n"/>
      <c r="AI1588" s="81" t="n"/>
      <c r="AJ1588" s="81" t="n"/>
      <c r="AK1588" s="81" t="n"/>
      <c r="AL1588" s="81" t="n"/>
      <c r="AM1588" s="81" t="n"/>
      <c r="AN1588" s="81" t="n"/>
      <c r="AO1588" s="81" t="n"/>
      <c r="AP1588" s="81" t="n"/>
      <c r="AQ1588" s="81" t="n"/>
      <c r="AR1588" s="81" t="n"/>
      <c r="AS1588" s="81" t="n"/>
      <c r="AT1588" s="81" t="n"/>
      <c r="AU1588" s="81" t="n"/>
      <c r="AV1588" s="81" t="n"/>
      <c r="AW1588" s="81" t="n"/>
      <c r="AX1588" s="81" t="n"/>
      <c r="AY1588" s="81" t="n"/>
      <c r="AZ1588" s="81" t="n"/>
      <c r="BA1588" s="81" t="n"/>
      <c r="BB1588" s="81" t="n"/>
      <c r="BC1588" s="81" t="n"/>
      <c r="BD1588" s="81" t="n"/>
      <c r="BE1588" s="81" t="n"/>
      <c r="BF1588" s="81" t="n"/>
      <c r="BG1588" s="81" t="n"/>
      <c r="BH1588" s="81" t="n"/>
      <c r="BI1588" s="81" t="n"/>
      <c r="BJ1588" s="81" t="n"/>
      <c r="BK1588" s="81" t="n"/>
      <c r="BL1588" s="81" t="n"/>
      <c r="BM1588" s="81" t="n"/>
      <c r="BN1588" s="81" t="n"/>
      <c r="BO1588" s="81" t="n"/>
      <c r="BP1588" s="81" t="n"/>
      <c r="BQ1588" s="81" t="n"/>
      <c r="BR1588" s="81" t="n"/>
      <c r="BS1588" s="81" t="n"/>
      <c r="BT1588" s="81" t="n"/>
      <c r="BU1588" s="81" t="n"/>
      <c r="BV1588" s="81" t="n"/>
      <c r="BW1588" s="81" t="n"/>
      <c r="BX1588" s="81" t="n"/>
      <c r="BY1588" s="81" t="n"/>
      <c r="BZ1588" s="81" t="n"/>
      <c r="CA1588" s="81" t="n"/>
      <c r="CB1588" s="81" t="n"/>
      <c r="CC1588" s="81" t="n"/>
      <c r="CD1588" s="81" t="n"/>
      <c r="CE1588" s="81" t="n"/>
      <c r="CF1588" s="81" t="n"/>
      <c r="CG1588" s="81" t="n"/>
      <c r="CH1588" s="81" t="n"/>
    </row>
    <row r="1589">
      <c r="A1589" s="81" t="n"/>
      <c r="B1589" s="81" t="n"/>
      <c r="C1589" s="81" t="n"/>
      <c r="D1589" s="81" t="n"/>
      <c r="E1589" s="81" t="n"/>
      <c r="F1589" s="81" t="n"/>
      <c r="G1589" s="81" t="n"/>
      <c r="H1589" s="81" t="n"/>
      <c r="I1589" s="81" t="n"/>
      <c r="J1589" s="81" t="n"/>
      <c r="K1589" s="81" t="n"/>
      <c r="L1589" s="81" t="n"/>
      <c r="M1589" s="81" t="n"/>
      <c r="N1589" s="81" t="n"/>
      <c r="O1589" s="81" t="n"/>
      <c r="P1589" s="81" t="n"/>
      <c r="Q1589" s="81" t="n"/>
      <c r="R1589" s="81" t="n"/>
      <c r="S1589" s="81" t="n"/>
      <c r="T1589" s="81" t="n"/>
      <c r="U1589" s="81" t="n"/>
      <c r="V1589" s="81" t="n"/>
      <c r="W1589" s="81" t="n"/>
      <c r="X1589" s="81" t="n"/>
      <c r="Y1589" s="81" t="n"/>
      <c r="Z1589" s="81" t="n"/>
      <c r="AA1589" s="81" t="n"/>
      <c r="AB1589" s="81" t="n"/>
      <c r="AC1589" s="81" t="n"/>
      <c r="AD1589" s="81" t="n"/>
      <c r="AE1589" s="81" t="n"/>
      <c r="AF1589" s="81" t="n"/>
      <c r="AG1589" s="81" t="n"/>
      <c r="AH1589" s="81" t="n"/>
      <c r="AI1589" s="81" t="n"/>
      <c r="AJ1589" s="81" t="n"/>
      <c r="AK1589" s="81" t="n"/>
      <c r="AL1589" s="81" t="n"/>
      <c r="AM1589" s="81" t="n"/>
      <c r="AN1589" s="81" t="n"/>
      <c r="AO1589" s="81" t="n"/>
      <c r="AP1589" s="81" t="n"/>
      <c r="AQ1589" s="81" t="n"/>
      <c r="AR1589" s="81" t="n"/>
      <c r="AS1589" s="81" t="n"/>
      <c r="AT1589" s="81" t="n"/>
      <c r="AU1589" s="81" t="n"/>
      <c r="AV1589" s="81" t="n"/>
      <c r="AW1589" s="81" t="n"/>
      <c r="AX1589" s="81" t="n"/>
      <c r="AY1589" s="81" t="n"/>
      <c r="AZ1589" s="81" t="n"/>
      <c r="BA1589" s="81" t="n"/>
      <c r="BB1589" s="81" t="n"/>
      <c r="BC1589" s="81" t="n"/>
      <c r="BD1589" s="81" t="n"/>
      <c r="BE1589" s="81" t="n"/>
      <c r="BF1589" s="81" t="n"/>
      <c r="BG1589" s="81" t="n"/>
      <c r="BH1589" s="81" t="n"/>
      <c r="BI1589" s="81" t="n"/>
      <c r="BJ1589" s="81" t="n"/>
      <c r="BK1589" s="81" t="n"/>
      <c r="BL1589" s="81" t="n"/>
      <c r="BM1589" s="81" t="n"/>
      <c r="BN1589" s="81" t="n"/>
      <c r="BO1589" s="81" t="n"/>
      <c r="BP1589" s="81" t="n"/>
      <c r="BQ1589" s="81" t="n"/>
      <c r="BR1589" s="81" t="n"/>
      <c r="BS1589" s="81" t="n"/>
      <c r="BT1589" s="81" t="n"/>
      <c r="BU1589" s="81" t="n"/>
      <c r="BV1589" s="81" t="n"/>
      <c r="BW1589" s="81" t="n"/>
      <c r="BX1589" s="81" t="n"/>
      <c r="BY1589" s="81" t="n"/>
      <c r="BZ1589" s="81" t="n"/>
      <c r="CA1589" s="81" t="n"/>
      <c r="CB1589" s="81" t="n"/>
      <c r="CC1589" s="81" t="n"/>
      <c r="CD1589" s="81" t="n"/>
      <c r="CE1589" s="81" t="n"/>
      <c r="CF1589" s="81" t="n"/>
      <c r="CG1589" s="81" t="n"/>
      <c r="CH1589" s="81" t="n"/>
    </row>
    <row r="1590">
      <c r="A1590" s="81" t="n"/>
      <c r="B1590" s="81" t="n"/>
      <c r="C1590" s="81" t="n"/>
      <c r="D1590" s="81" t="n"/>
      <c r="E1590" s="81" t="n"/>
      <c r="F1590" s="81" t="n"/>
      <c r="G1590" s="81" t="n"/>
      <c r="H1590" s="81" t="n"/>
      <c r="I1590" s="81" t="n"/>
      <c r="J1590" s="81" t="n"/>
      <c r="K1590" s="81" t="n"/>
      <c r="L1590" s="81" t="n"/>
      <c r="M1590" s="81" t="n"/>
      <c r="N1590" s="81" t="n"/>
      <c r="O1590" s="81" t="n"/>
      <c r="P1590" s="81" t="n"/>
      <c r="Q1590" s="81" t="n"/>
      <c r="R1590" s="81" t="n"/>
      <c r="S1590" s="81" t="n"/>
      <c r="T1590" s="81" t="n"/>
      <c r="U1590" s="81" t="n"/>
      <c r="V1590" s="81" t="n"/>
      <c r="W1590" s="81" t="n"/>
      <c r="X1590" s="81" t="n"/>
      <c r="Y1590" s="81" t="n"/>
      <c r="Z1590" s="81" t="n"/>
      <c r="AA1590" s="81" t="n"/>
      <c r="AB1590" s="81" t="n"/>
      <c r="AC1590" s="81" t="n"/>
      <c r="AD1590" s="81" t="n"/>
      <c r="AE1590" s="81" t="n"/>
      <c r="AF1590" s="81" t="n"/>
      <c r="AG1590" s="81" t="n"/>
      <c r="AH1590" s="81" t="n"/>
      <c r="AI1590" s="81" t="n"/>
      <c r="AJ1590" s="81" t="n"/>
      <c r="AK1590" s="81" t="n"/>
      <c r="AL1590" s="81" t="n"/>
      <c r="AM1590" s="81" t="n"/>
      <c r="AN1590" s="81" t="n"/>
      <c r="AO1590" s="81" t="n"/>
      <c r="AP1590" s="81" t="n"/>
      <c r="AQ1590" s="81" t="n"/>
      <c r="AR1590" s="81" t="n"/>
      <c r="AS1590" s="81" t="n"/>
      <c r="AT1590" s="81" t="n"/>
      <c r="AU1590" s="81" t="n"/>
      <c r="AV1590" s="81" t="n"/>
      <c r="AW1590" s="81" t="n"/>
      <c r="AX1590" s="81" t="n"/>
      <c r="AY1590" s="81" t="n"/>
      <c r="AZ1590" s="81" t="n"/>
      <c r="BA1590" s="81" t="n"/>
      <c r="BB1590" s="81" t="n"/>
      <c r="BC1590" s="81" t="n"/>
      <c r="BD1590" s="81" t="n"/>
      <c r="BE1590" s="81" t="n"/>
      <c r="BF1590" s="81" t="n"/>
      <c r="BG1590" s="81" t="n"/>
      <c r="BH1590" s="81" t="n"/>
      <c r="BI1590" s="81" t="n"/>
      <c r="BJ1590" s="81" t="n"/>
      <c r="BK1590" s="81" t="n"/>
      <c r="BL1590" s="81" t="n"/>
      <c r="BM1590" s="81" t="n"/>
      <c r="BN1590" s="81" t="n"/>
      <c r="BO1590" s="81" t="n"/>
      <c r="BP1590" s="81" t="n"/>
      <c r="BQ1590" s="81" t="n"/>
      <c r="BR1590" s="81" t="n"/>
      <c r="BS1590" s="81" t="n"/>
      <c r="BT1590" s="81" t="n"/>
      <c r="BU1590" s="81" t="n"/>
      <c r="BV1590" s="81" t="n"/>
      <c r="BW1590" s="81" t="n"/>
      <c r="BX1590" s="81" t="n"/>
      <c r="BY1590" s="81" t="n"/>
      <c r="BZ1590" s="81" t="n"/>
      <c r="CA1590" s="81" t="n"/>
      <c r="CB1590" s="81" t="n"/>
      <c r="CC1590" s="81" t="n"/>
      <c r="CD1590" s="81" t="n"/>
      <c r="CE1590" s="81" t="n"/>
      <c r="CF1590" s="81" t="n"/>
      <c r="CG1590" s="81" t="n"/>
      <c r="CH1590" s="81" t="n"/>
    </row>
    <row r="1591">
      <c r="A1591" s="81" t="n"/>
      <c r="B1591" s="81" t="n"/>
      <c r="C1591" s="81" t="n"/>
      <c r="D1591" s="81" t="n"/>
      <c r="E1591" s="81" t="n"/>
      <c r="F1591" s="81" t="n"/>
      <c r="G1591" s="81" t="n"/>
      <c r="H1591" s="81" t="n"/>
      <c r="I1591" s="81" t="n"/>
      <c r="J1591" s="81" t="n"/>
      <c r="K1591" s="81" t="n"/>
      <c r="L1591" s="81" t="n"/>
      <c r="M1591" s="81" t="n"/>
      <c r="N1591" s="81" t="n"/>
      <c r="O1591" s="81" t="n"/>
      <c r="P1591" s="81" t="n"/>
      <c r="Q1591" s="81" t="n"/>
      <c r="R1591" s="81" t="n"/>
      <c r="S1591" s="81" t="n"/>
      <c r="T1591" s="81" t="n"/>
      <c r="U1591" s="81" t="n"/>
      <c r="V1591" s="81" t="n"/>
      <c r="W1591" s="81" t="n"/>
      <c r="X1591" s="81" t="n"/>
      <c r="Y1591" s="81" t="n"/>
      <c r="Z1591" s="81" t="n"/>
      <c r="AA1591" s="81" t="n"/>
      <c r="AB1591" s="81" t="n"/>
      <c r="AC1591" s="81" t="n"/>
      <c r="AD1591" s="81" t="n"/>
      <c r="AE1591" s="81" t="n"/>
      <c r="AF1591" s="81" t="n"/>
      <c r="AG1591" s="81" t="n"/>
      <c r="AH1591" s="81" t="n"/>
      <c r="AI1591" s="81" t="n"/>
      <c r="AJ1591" s="81" t="n"/>
      <c r="AK1591" s="81" t="n"/>
      <c r="AL1591" s="81" t="n"/>
      <c r="AM1591" s="81" t="n"/>
      <c r="AN1591" s="81" t="n"/>
      <c r="AO1591" s="81" t="n"/>
      <c r="AP1591" s="81" t="n"/>
      <c r="AQ1591" s="81" t="n"/>
      <c r="AR1591" s="81" t="n"/>
      <c r="AS1591" s="81" t="n"/>
      <c r="AT1591" s="81" t="n"/>
      <c r="AU1591" s="81" t="n"/>
      <c r="AV1591" s="81" t="n"/>
      <c r="AW1591" s="81" t="n"/>
      <c r="AX1591" s="81" t="n"/>
      <c r="AY1591" s="81" t="n"/>
      <c r="AZ1591" s="81" t="n"/>
      <c r="BA1591" s="81" t="n"/>
      <c r="BB1591" s="81" t="n"/>
      <c r="BC1591" s="81" t="n"/>
      <c r="BD1591" s="81" t="n"/>
      <c r="BE1591" s="81" t="n"/>
      <c r="BF1591" s="81" t="n"/>
      <c r="BG1591" s="81" t="n"/>
      <c r="BH1591" s="81" t="n"/>
      <c r="BI1591" s="81" t="n"/>
      <c r="BJ1591" s="81" t="n"/>
      <c r="BK1591" s="81" t="n"/>
      <c r="BL1591" s="81" t="n"/>
      <c r="BM1591" s="81" t="n"/>
      <c r="BN1591" s="81" t="n"/>
      <c r="BO1591" s="81" t="n"/>
      <c r="BP1591" s="81" t="n"/>
      <c r="BQ1591" s="81" t="n"/>
      <c r="BR1591" s="81" t="n"/>
      <c r="BS1591" s="81" t="n"/>
      <c r="BT1591" s="81" t="n"/>
      <c r="BU1591" s="81" t="n"/>
      <c r="BV1591" s="81" t="n"/>
      <c r="BW1591" s="81" t="n"/>
      <c r="BX1591" s="81" t="n"/>
      <c r="BY1591" s="81" t="n"/>
      <c r="BZ1591" s="81" t="n"/>
      <c r="CA1591" s="81" t="n"/>
      <c r="CB1591" s="81" t="n"/>
      <c r="CC1591" s="81" t="n"/>
      <c r="CD1591" s="81" t="n"/>
      <c r="CE1591" s="81" t="n"/>
      <c r="CF1591" s="81" t="n"/>
      <c r="CG1591" s="81" t="n"/>
      <c r="CH1591" s="81" t="n"/>
    </row>
    <row r="1592">
      <c r="A1592" s="81" t="n"/>
      <c r="B1592" s="81" t="n"/>
      <c r="C1592" s="81" t="n"/>
      <c r="D1592" s="81" t="n"/>
      <c r="E1592" s="81" t="n"/>
      <c r="F1592" s="81" t="n"/>
      <c r="G1592" s="81" t="n"/>
      <c r="H1592" s="81" t="n"/>
      <c r="I1592" s="81" t="n"/>
      <c r="J1592" s="81" t="n"/>
      <c r="K1592" s="81" t="n"/>
      <c r="L1592" s="81" t="n"/>
      <c r="M1592" s="81" t="n"/>
      <c r="N1592" s="81" t="n"/>
      <c r="O1592" s="81" t="n"/>
      <c r="P1592" s="81" t="n"/>
      <c r="Q1592" s="81" t="n"/>
      <c r="R1592" s="81" t="n"/>
      <c r="S1592" s="81" t="n"/>
      <c r="T1592" s="81" t="n"/>
      <c r="U1592" s="81" t="n"/>
      <c r="V1592" s="81" t="n"/>
      <c r="W1592" s="81" t="n"/>
      <c r="X1592" s="81" t="n"/>
      <c r="Y1592" s="81" t="n"/>
      <c r="Z1592" s="81" t="n"/>
      <c r="AA1592" s="81" t="n"/>
      <c r="AB1592" s="81" t="n"/>
      <c r="AC1592" s="81" t="n"/>
      <c r="AD1592" s="81" t="n"/>
      <c r="AE1592" s="81" t="n"/>
      <c r="AF1592" s="81" t="n"/>
      <c r="AG1592" s="81" t="n"/>
      <c r="AH1592" s="81" t="n"/>
      <c r="AI1592" s="81" t="n"/>
      <c r="AJ1592" s="81" t="n"/>
      <c r="AK1592" s="81" t="n"/>
      <c r="AL1592" s="81" t="n"/>
      <c r="AM1592" s="81" t="n"/>
      <c r="AN1592" s="81" t="n"/>
      <c r="AO1592" s="81" t="n"/>
      <c r="AP1592" s="81" t="n"/>
      <c r="AQ1592" s="81" t="n"/>
      <c r="AR1592" s="81" t="n"/>
      <c r="AS1592" s="81" t="n"/>
      <c r="AT1592" s="81" t="n"/>
      <c r="AU1592" s="81" t="n"/>
      <c r="AV1592" s="81" t="n"/>
      <c r="AW1592" s="81" t="n"/>
      <c r="AX1592" s="81" t="n"/>
      <c r="AY1592" s="81" t="n"/>
      <c r="AZ1592" s="81" t="n"/>
      <c r="BA1592" s="81" t="n"/>
      <c r="BB1592" s="81" t="n"/>
      <c r="BC1592" s="81" t="n"/>
      <c r="BD1592" s="81" t="n"/>
      <c r="BE1592" s="81" t="n"/>
      <c r="BF1592" s="81" t="n"/>
      <c r="BG1592" s="81" t="n"/>
      <c r="BH1592" s="81" t="n"/>
      <c r="BI1592" s="81" t="n"/>
      <c r="BJ1592" s="81" t="n"/>
      <c r="BK1592" s="81" t="n"/>
      <c r="BL1592" s="81" t="n"/>
      <c r="BM1592" s="81" t="n"/>
      <c r="BN1592" s="81" t="n"/>
      <c r="BO1592" s="81" t="n"/>
      <c r="BP1592" s="81" t="n"/>
      <c r="BQ1592" s="81" t="n"/>
      <c r="BR1592" s="81" t="n"/>
      <c r="BS1592" s="81" t="n"/>
      <c r="BT1592" s="81" t="n"/>
      <c r="BU1592" s="81" t="n"/>
      <c r="BV1592" s="81" t="n"/>
      <c r="BW1592" s="81" t="n"/>
      <c r="BX1592" s="81" t="n"/>
      <c r="BY1592" s="81" t="n"/>
      <c r="BZ1592" s="81" t="n"/>
      <c r="CA1592" s="81" t="n"/>
      <c r="CB1592" s="81" t="n"/>
      <c r="CC1592" s="81" t="n"/>
      <c r="CD1592" s="81" t="n"/>
      <c r="CE1592" s="81" t="n"/>
      <c r="CF1592" s="81" t="n"/>
      <c r="CG1592" s="81" t="n"/>
      <c r="CH1592" s="81" t="n"/>
    </row>
    <row r="1593">
      <c r="A1593" s="81" t="n"/>
      <c r="B1593" s="81" t="n"/>
      <c r="C1593" s="81" t="n"/>
      <c r="D1593" s="81" t="n"/>
      <c r="E1593" s="81" t="n"/>
      <c r="F1593" s="81" t="n"/>
      <c r="G1593" s="81" t="n"/>
      <c r="H1593" s="81" t="n"/>
      <c r="I1593" s="81" t="n"/>
      <c r="J1593" s="81" t="n"/>
      <c r="K1593" s="81" t="n"/>
      <c r="L1593" s="81" t="n"/>
      <c r="M1593" s="81" t="n"/>
      <c r="N1593" s="81" t="n"/>
      <c r="O1593" s="81" t="n"/>
      <c r="P1593" s="81" t="n"/>
      <c r="Q1593" s="81" t="n"/>
      <c r="R1593" s="81" t="n"/>
      <c r="S1593" s="81" t="n"/>
      <c r="T1593" s="81" t="n"/>
      <c r="U1593" s="81" t="n"/>
      <c r="V1593" s="81" t="n"/>
      <c r="W1593" s="81" t="n"/>
      <c r="X1593" s="81" t="n"/>
      <c r="Y1593" s="81" t="n"/>
      <c r="Z1593" s="81" t="n"/>
      <c r="AA1593" s="81" t="n"/>
      <c r="AB1593" s="81" t="n"/>
      <c r="AC1593" s="81" t="n"/>
      <c r="AD1593" s="81" t="n"/>
      <c r="AE1593" s="81" t="n"/>
      <c r="AF1593" s="81" t="n"/>
      <c r="AG1593" s="81" t="n"/>
      <c r="AH1593" s="81" t="n"/>
      <c r="AI1593" s="81" t="n"/>
      <c r="AJ1593" s="81" t="n"/>
      <c r="AK1593" s="81" t="n"/>
      <c r="AL1593" s="81" t="n"/>
      <c r="AM1593" s="81" t="n"/>
      <c r="AN1593" s="81" t="n"/>
      <c r="AO1593" s="81" t="n"/>
      <c r="AP1593" s="81" t="n"/>
      <c r="AQ1593" s="81" t="n"/>
      <c r="AR1593" s="81" t="n"/>
      <c r="AS1593" s="81" t="n"/>
      <c r="AT1593" s="81" t="n"/>
      <c r="AU1593" s="81" t="n"/>
      <c r="AV1593" s="81" t="n"/>
      <c r="AW1593" s="81" t="n"/>
      <c r="AX1593" s="81" t="n"/>
      <c r="AY1593" s="81" t="n"/>
      <c r="AZ1593" s="81" t="n"/>
      <c r="BA1593" s="81" t="n"/>
      <c r="BB1593" s="81" t="n"/>
      <c r="BC1593" s="81" t="n"/>
      <c r="BD1593" s="81" t="n"/>
      <c r="BE1593" s="81" t="n"/>
      <c r="BF1593" s="81" t="n"/>
      <c r="BG1593" s="81" t="n"/>
      <c r="BH1593" s="81" t="n"/>
      <c r="BI1593" s="81" t="n"/>
      <c r="BJ1593" s="81" t="n"/>
      <c r="BK1593" s="81" t="n"/>
      <c r="BL1593" s="81" t="n"/>
      <c r="BM1593" s="81" t="n"/>
      <c r="BN1593" s="81" t="n"/>
      <c r="BO1593" s="81" t="n"/>
      <c r="BP1593" s="81" t="n"/>
      <c r="BQ1593" s="81" t="n"/>
      <c r="BR1593" s="81" t="n"/>
      <c r="BS1593" s="81" t="n"/>
      <c r="BT1593" s="81" t="n"/>
      <c r="BU1593" s="81" t="n"/>
      <c r="BV1593" s="81" t="n"/>
      <c r="BW1593" s="81" t="n"/>
      <c r="BX1593" s="81" t="n"/>
      <c r="BY1593" s="81" t="n"/>
      <c r="BZ1593" s="81" t="n"/>
      <c r="CA1593" s="81" t="n"/>
      <c r="CB1593" s="81" t="n"/>
      <c r="CC1593" s="81" t="n"/>
      <c r="CD1593" s="81" t="n"/>
      <c r="CE1593" s="81" t="n"/>
      <c r="CF1593" s="81" t="n"/>
      <c r="CG1593" s="81" t="n"/>
      <c r="CH1593" s="81" t="n"/>
    </row>
    <row r="1594">
      <c r="A1594" s="81" t="n"/>
      <c r="B1594" s="81" t="n"/>
      <c r="C1594" s="81" t="n"/>
      <c r="D1594" s="81" t="n"/>
      <c r="E1594" s="81" t="n"/>
      <c r="F1594" s="81" t="n"/>
      <c r="G1594" s="81" t="n"/>
      <c r="H1594" s="81" t="n"/>
      <c r="I1594" s="81" t="n"/>
      <c r="J1594" s="81" t="n"/>
      <c r="K1594" s="81" t="n"/>
      <c r="L1594" s="81" t="n"/>
      <c r="M1594" s="81" t="n"/>
      <c r="N1594" s="81" t="n"/>
      <c r="O1594" s="81" t="n"/>
      <c r="P1594" s="81" t="n"/>
      <c r="Q1594" s="81" t="n"/>
      <c r="R1594" s="81" t="n"/>
      <c r="S1594" s="81" t="n"/>
      <c r="T1594" s="81" t="n"/>
      <c r="U1594" s="81" t="n"/>
      <c r="V1594" s="81" t="n"/>
      <c r="W1594" s="81" t="n"/>
      <c r="X1594" s="81" t="n"/>
      <c r="Y1594" s="81" t="n"/>
      <c r="Z1594" s="81" t="n"/>
      <c r="AA1594" s="81" t="n"/>
      <c r="AB1594" s="81" t="n"/>
      <c r="AC1594" s="81" t="n"/>
      <c r="AD1594" s="81" t="n"/>
      <c r="AE1594" s="81" t="n"/>
      <c r="AF1594" s="81" t="n"/>
      <c r="AG1594" s="81" t="n"/>
      <c r="AH1594" s="81" t="n"/>
      <c r="AI1594" s="81" t="n"/>
      <c r="AJ1594" s="81" t="n"/>
      <c r="AK1594" s="81" t="n"/>
      <c r="AL1594" s="81" t="n"/>
      <c r="AM1594" s="81" t="n"/>
      <c r="AN1594" s="81" t="n"/>
      <c r="AO1594" s="81" t="n"/>
      <c r="AP1594" s="81" t="n"/>
      <c r="AQ1594" s="81" t="n"/>
      <c r="AR1594" s="81" t="n"/>
      <c r="AS1594" s="81" t="n"/>
      <c r="AT1594" s="81" t="n"/>
      <c r="AU1594" s="81" t="n"/>
      <c r="AV1594" s="81" t="n"/>
      <c r="AW1594" s="81" t="n"/>
      <c r="AX1594" s="81" t="n"/>
      <c r="AY1594" s="81" t="n"/>
      <c r="AZ1594" s="81" t="n"/>
      <c r="BA1594" s="81" t="n"/>
      <c r="BB1594" s="81" t="n"/>
      <c r="BC1594" s="81" t="n"/>
      <c r="BD1594" s="81" t="n"/>
      <c r="BE1594" s="81" t="n"/>
      <c r="BF1594" s="81" t="n"/>
      <c r="BG1594" s="81" t="n"/>
      <c r="BH1594" s="81" t="n"/>
      <c r="BI1594" s="81" t="n"/>
      <c r="BJ1594" s="81" t="n"/>
      <c r="BK1594" s="81" t="n"/>
      <c r="BL1594" s="81" t="n"/>
      <c r="BM1594" s="81" t="n"/>
      <c r="BN1594" s="81" t="n"/>
      <c r="BO1594" s="81" t="n"/>
      <c r="BP1594" s="81" t="n"/>
      <c r="BQ1594" s="81" t="n"/>
      <c r="BR1594" s="81" t="n"/>
      <c r="BS1594" s="81" t="n"/>
      <c r="BT1594" s="81" t="n"/>
      <c r="BU1594" s="81" t="n"/>
      <c r="BV1594" s="81" t="n"/>
      <c r="BW1594" s="81" t="n"/>
      <c r="BX1594" s="81" t="n"/>
      <c r="BY1594" s="81" t="n"/>
      <c r="BZ1594" s="81" t="n"/>
      <c r="CA1594" s="81" t="n"/>
      <c r="CB1594" s="81" t="n"/>
      <c r="CC1594" s="81" t="n"/>
      <c r="CD1594" s="81" t="n"/>
      <c r="CE1594" s="81" t="n"/>
      <c r="CF1594" s="81" t="n"/>
      <c r="CG1594" s="81" t="n"/>
      <c r="CH1594" s="81" t="n"/>
    </row>
    <row r="1595">
      <c r="A1595" s="81" t="n"/>
      <c r="B1595" s="81" t="n"/>
      <c r="C1595" s="81" t="n"/>
      <c r="D1595" s="81" t="n"/>
      <c r="E1595" s="81" t="n"/>
      <c r="F1595" s="81" t="n"/>
      <c r="G1595" s="81" t="n"/>
      <c r="H1595" s="81" t="n"/>
      <c r="I1595" s="81" t="n"/>
      <c r="J1595" s="81" t="n"/>
      <c r="K1595" s="81" t="n"/>
      <c r="L1595" s="81" t="n"/>
      <c r="M1595" s="81" t="n"/>
      <c r="N1595" s="81" t="n"/>
      <c r="O1595" s="81" t="n"/>
      <c r="P1595" s="81" t="n"/>
      <c r="Q1595" s="81" t="n"/>
      <c r="R1595" s="81" t="n"/>
      <c r="S1595" s="81" t="n"/>
      <c r="T1595" s="81" t="n"/>
      <c r="U1595" s="81" t="n"/>
      <c r="V1595" s="81" t="n"/>
      <c r="W1595" s="81" t="n"/>
      <c r="X1595" s="81" t="n"/>
      <c r="Y1595" s="81" t="n"/>
      <c r="Z1595" s="81" t="n"/>
      <c r="AA1595" s="81" t="n"/>
      <c r="AB1595" s="81" t="n"/>
      <c r="AC1595" s="81" t="n"/>
      <c r="AD1595" s="81" t="n"/>
      <c r="AE1595" s="81" t="n"/>
      <c r="AF1595" s="81" t="n"/>
      <c r="AG1595" s="81" t="n"/>
      <c r="AH1595" s="81" t="n"/>
      <c r="AI1595" s="81" t="n"/>
      <c r="AJ1595" s="81" t="n"/>
      <c r="AK1595" s="81" t="n"/>
      <c r="AL1595" s="81" t="n"/>
      <c r="AM1595" s="81" t="n"/>
      <c r="AN1595" s="81" t="n"/>
      <c r="AO1595" s="81" t="n"/>
      <c r="AP1595" s="81" t="n"/>
      <c r="AQ1595" s="81" t="n"/>
      <c r="AR1595" s="81" t="n"/>
      <c r="AS1595" s="81" t="n"/>
      <c r="AT1595" s="81" t="n"/>
      <c r="AU1595" s="81" t="n"/>
      <c r="AV1595" s="81" t="n"/>
      <c r="AW1595" s="81" t="n"/>
      <c r="AX1595" s="81" t="n"/>
      <c r="AY1595" s="81" t="n"/>
      <c r="AZ1595" s="81" t="n"/>
      <c r="BA1595" s="81" t="n"/>
      <c r="BB1595" s="81" t="n"/>
      <c r="BC1595" s="81" t="n"/>
      <c r="BD1595" s="81" t="n"/>
      <c r="BE1595" s="81" t="n"/>
      <c r="BF1595" s="81" t="n"/>
      <c r="BG1595" s="81" t="n"/>
      <c r="BH1595" s="81" t="n"/>
      <c r="BI1595" s="81" t="n"/>
      <c r="BJ1595" s="81" t="n"/>
      <c r="BK1595" s="81" t="n"/>
      <c r="BL1595" s="81" t="n"/>
      <c r="BM1595" s="81" t="n"/>
      <c r="BN1595" s="81" t="n"/>
      <c r="BO1595" s="81" t="n"/>
      <c r="BP1595" s="81" t="n"/>
      <c r="BQ1595" s="81" t="n"/>
      <c r="BR1595" s="81" t="n"/>
      <c r="BS1595" s="81" t="n"/>
      <c r="BT1595" s="81" t="n"/>
      <c r="BU1595" s="81" t="n"/>
      <c r="BV1595" s="81" t="n"/>
      <c r="BW1595" s="81" t="n"/>
      <c r="BX1595" s="81" t="n"/>
      <c r="BY1595" s="81" t="n"/>
      <c r="BZ1595" s="81" t="n"/>
      <c r="CA1595" s="81" t="n"/>
      <c r="CB1595" s="81" t="n"/>
      <c r="CC1595" s="81" t="n"/>
      <c r="CD1595" s="81" t="n"/>
      <c r="CE1595" s="81" t="n"/>
      <c r="CF1595" s="81" t="n"/>
      <c r="CG1595" s="81" t="n"/>
      <c r="CH1595" s="81" t="n"/>
    </row>
    <row r="1596">
      <c r="A1596" s="81" t="n"/>
      <c r="B1596" s="81" t="n"/>
      <c r="C1596" s="81" t="n"/>
      <c r="D1596" s="81" t="n"/>
      <c r="E1596" s="81" t="n"/>
      <c r="F1596" s="81" t="n"/>
      <c r="G1596" s="81" t="n"/>
      <c r="H1596" s="81" t="n"/>
      <c r="I1596" s="81" t="n"/>
      <c r="J1596" s="81" t="n"/>
      <c r="K1596" s="81" t="n"/>
      <c r="L1596" s="81" t="n"/>
      <c r="M1596" s="81" t="n"/>
      <c r="N1596" s="81" t="n"/>
      <c r="O1596" s="81" t="n"/>
      <c r="P1596" s="81" t="n"/>
      <c r="Q1596" s="81" t="n"/>
      <c r="R1596" s="81" t="n"/>
      <c r="S1596" s="81" t="n"/>
      <c r="T1596" s="81" t="n"/>
      <c r="U1596" s="81" t="n"/>
      <c r="V1596" s="81" t="n"/>
      <c r="W1596" s="81" t="n"/>
      <c r="X1596" s="81" t="n"/>
      <c r="Y1596" s="81" t="n"/>
      <c r="Z1596" s="81" t="n"/>
      <c r="AA1596" s="81" t="n"/>
      <c r="AB1596" s="81" t="n"/>
      <c r="AC1596" s="81" t="n"/>
      <c r="AD1596" s="81" t="n"/>
      <c r="AE1596" s="81" t="n"/>
      <c r="AF1596" s="81" t="n"/>
      <c r="AG1596" s="81" t="n"/>
      <c r="AH1596" s="81" t="n"/>
      <c r="AI1596" s="81" t="n"/>
      <c r="AJ1596" s="81" t="n"/>
      <c r="AK1596" s="81" t="n"/>
      <c r="AL1596" s="81" t="n"/>
      <c r="AM1596" s="81" t="n"/>
      <c r="AN1596" s="81" t="n"/>
      <c r="AO1596" s="81" t="n"/>
      <c r="AP1596" s="81" t="n"/>
      <c r="AQ1596" s="81" t="n"/>
      <c r="AR1596" s="81" t="n"/>
      <c r="AS1596" s="81" t="n"/>
      <c r="AT1596" s="81" t="n"/>
      <c r="AU1596" s="81" t="n"/>
      <c r="AV1596" s="81" t="n"/>
      <c r="AW1596" s="81" t="n"/>
      <c r="AX1596" s="81" t="n"/>
      <c r="AY1596" s="81" t="n"/>
      <c r="AZ1596" s="81" t="n"/>
      <c r="BA1596" s="81" t="n"/>
      <c r="BB1596" s="81" t="n"/>
      <c r="BC1596" s="81" t="n"/>
      <c r="BD1596" s="81" t="n"/>
      <c r="BE1596" s="81" t="n"/>
      <c r="BF1596" s="81" t="n"/>
      <c r="BG1596" s="81" t="n"/>
      <c r="BH1596" s="81" t="n"/>
      <c r="BI1596" s="81" t="n"/>
      <c r="BJ1596" s="81" t="n"/>
      <c r="BK1596" s="81" t="n"/>
      <c r="BL1596" s="81" t="n"/>
      <c r="BM1596" s="81" t="n"/>
      <c r="BN1596" s="81" t="n"/>
      <c r="BO1596" s="81" t="n"/>
      <c r="BP1596" s="81" t="n"/>
      <c r="BQ1596" s="81" t="n"/>
      <c r="BR1596" s="81" t="n"/>
      <c r="BS1596" s="81" t="n"/>
      <c r="BT1596" s="81" t="n"/>
      <c r="BU1596" s="81" t="n"/>
      <c r="BV1596" s="81" t="n"/>
      <c r="BW1596" s="81" t="n"/>
      <c r="BX1596" s="81" t="n"/>
      <c r="BY1596" s="81" t="n"/>
      <c r="BZ1596" s="81" t="n"/>
      <c r="CA1596" s="81" t="n"/>
      <c r="CB1596" s="81" t="n"/>
      <c r="CC1596" s="81" t="n"/>
      <c r="CD1596" s="81" t="n"/>
      <c r="CE1596" s="81" t="n"/>
      <c r="CF1596" s="81" t="n"/>
      <c r="CG1596" s="81" t="n"/>
      <c r="CH1596" s="81" t="n"/>
    </row>
    <row r="1597">
      <c r="A1597" s="81" t="n"/>
      <c r="B1597" s="81" t="n"/>
      <c r="C1597" s="81" t="n"/>
      <c r="D1597" s="81" t="n"/>
      <c r="E1597" s="81" t="n"/>
      <c r="F1597" s="81" t="n"/>
      <c r="G1597" s="81" t="n"/>
      <c r="H1597" s="81" t="n"/>
      <c r="I1597" s="81" t="n"/>
      <c r="J1597" s="81" t="n"/>
      <c r="K1597" s="81" t="n"/>
      <c r="L1597" s="81" t="n"/>
      <c r="M1597" s="81" t="n"/>
      <c r="N1597" s="81" t="n"/>
      <c r="O1597" s="81" t="n"/>
      <c r="P1597" s="81" t="n"/>
      <c r="Q1597" s="81" t="n"/>
      <c r="R1597" s="81" t="n"/>
      <c r="S1597" s="81" t="n"/>
      <c r="T1597" s="81" t="n"/>
      <c r="U1597" s="81" t="n"/>
      <c r="V1597" s="81" t="n"/>
      <c r="W1597" s="81" t="n"/>
      <c r="X1597" s="81" t="n"/>
      <c r="Y1597" s="81" t="n"/>
      <c r="Z1597" s="81" t="n"/>
      <c r="AA1597" s="81" t="n"/>
      <c r="AB1597" s="81" t="n"/>
      <c r="AC1597" s="81" t="n"/>
      <c r="AD1597" s="81" t="n"/>
      <c r="AE1597" s="81" t="n"/>
      <c r="AF1597" s="81" t="n"/>
      <c r="AG1597" s="81" t="n"/>
      <c r="AH1597" s="81" t="n"/>
      <c r="AI1597" s="81" t="n"/>
      <c r="AJ1597" s="81" t="n"/>
      <c r="AK1597" s="81" t="n"/>
      <c r="AL1597" s="81" t="n"/>
      <c r="AM1597" s="81" t="n"/>
      <c r="AN1597" s="81" t="n"/>
      <c r="AO1597" s="81" t="n"/>
      <c r="AP1597" s="81" t="n"/>
      <c r="AQ1597" s="81" t="n"/>
      <c r="AR1597" s="81" t="n"/>
      <c r="AS1597" s="81" t="n"/>
      <c r="AT1597" s="81" t="n"/>
      <c r="AU1597" s="81" t="n"/>
      <c r="AV1597" s="81" t="n"/>
      <c r="AW1597" s="81" t="n"/>
      <c r="AX1597" s="81" t="n"/>
      <c r="AY1597" s="81" t="n"/>
      <c r="AZ1597" s="81" t="n"/>
      <c r="BA1597" s="81" t="n"/>
      <c r="BB1597" s="81" t="n"/>
      <c r="BC1597" s="81" t="n"/>
      <c r="BD1597" s="81" t="n"/>
      <c r="BE1597" s="81" t="n"/>
      <c r="BF1597" s="81" t="n"/>
      <c r="BG1597" s="81" t="n"/>
      <c r="BH1597" s="81" t="n"/>
      <c r="BI1597" s="81" t="n"/>
      <c r="BJ1597" s="81" t="n"/>
      <c r="BK1597" s="81" t="n"/>
      <c r="BL1597" s="81" t="n"/>
      <c r="BM1597" s="81" t="n"/>
      <c r="BN1597" s="81" t="n"/>
      <c r="BO1597" s="81" t="n"/>
      <c r="BP1597" s="81" t="n"/>
      <c r="BQ1597" s="81" t="n"/>
      <c r="BR1597" s="81" t="n"/>
      <c r="BS1597" s="81" t="n"/>
      <c r="BT1597" s="81" t="n"/>
      <c r="BU1597" s="81" t="n"/>
      <c r="BV1597" s="81" t="n"/>
      <c r="BW1597" s="81" t="n"/>
      <c r="BX1597" s="81" t="n"/>
      <c r="BY1597" s="81" t="n"/>
      <c r="BZ1597" s="81" t="n"/>
      <c r="CA1597" s="81" t="n"/>
      <c r="CB1597" s="81" t="n"/>
      <c r="CC1597" s="81" t="n"/>
      <c r="CD1597" s="81" t="n"/>
      <c r="CE1597" s="81" t="n"/>
      <c r="CF1597" s="81" t="n"/>
      <c r="CG1597" s="81" t="n"/>
      <c r="CH1597" s="81" t="n"/>
    </row>
    <row r="1598">
      <c r="A1598" s="81" t="n"/>
      <c r="B1598" s="81" t="n"/>
      <c r="C1598" s="81" t="n"/>
      <c r="D1598" s="81" t="n"/>
      <c r="E1598" s="81" t="n"/>
      <c r="F1598" s="81" t="n"/>
      <c r="G1598" s="81" t="n"/>
      <c r="H1598" s="81" t="n"/>
      <c r="I1598" s="81" t="n"/>
      <c r="J1598" s="81" t="n"/>
      <c r="K1598" s="81" t="n"/>
      <c r="L1598" s="81" t="n"/>
      <c r="M1598" s="81" t="n"/>
      <c r="N1598" s="81" t="n"/>
      <c r="O1598" s="81" t="n"/>
      <c r="P1598" s="81" t="n"/>
      <c r="Q1598" s="81" t="n"/>
      <c r="R1598" s="81" t="n"/>
      <c r="S1598" s="81" t="n"/>
      <c r="T1598" s="81" t="n"/>
      <c r="U1598" s="81" t="n"/>
      <c r="V1598" s="81" t="n"/>
      <c r="W1598" s="81" t="n"/>
      <c r="X1598" s="81" t="n"/>
      <c r="Y1598" s="81" t="n"/>
      <c r="Z1598" s="81" t="n"/>
      <c r="AA1598" s="81" t="n"/>
      <c r="AB1598" s="81" t="n"/>
      <c r="AC1598" s="81" t="n"/>
      <c r="AD1598" s="81" t="n"/>
      <c r="AE1598" s="81" t="n"/>
      <c r="AF1598" s="81" t="n"/>
      <c r="AG1598" s="81" t="n"/>
      <c r="AH1598" s="81" t="n"/>
      <c r="AI1598" s="81" t="n"/>
      <c r="AJ1598" s="81" t="n"/>
      <c r="AK1598" s="81" t="n"/>
      <c r="AL1598" s="81" t="n"/>
      <c r="AM1598" s="81" t="n"/>
      <c r="AN1598" s="81" t="n"/>
      <c r="AO1598" s="81" t="n"/>
      <c r="AP1598" s="81" t="n"/>
      <c r="AQ1598" s="81" t="n"/>
      <c r="AR1598" s="81" t="n"/>
      <c r="AS1598" s="81" t="n"/>
      <c r="AT1598" s="81" t="n"/>
      <c r="AU1598" s="81" t="n"/>
      <c r="AV1598" s="81" t="n"/>
      <c r="AW1598" s="81" t="n"/>
      <c r="AX1598" s="81" t="n"/>
      <c r="AY1598" s="81" t="n"/>
      <c r="AZ1598" s="81" t="n"/>
      <c r="BA1598" s="81" t="n"/>
      <c r="BB1598" s="81" t="n"/>
      <c r="BC1598" s="81" t="n"/>
      <c r="BD1598" s="81" t="n"/>
      <c r="BE1598" s="81" t="n"/>
      <c r="BF1598" s="81" t="n"/>
      <c r="BG1598" s="81" t="n"/>
      <c r="BH1598" s="81" t="n"/>
      <c r="BI1598" s="81" t="n"/>
      <c r="BJ1598" s="81" t="n"/>
      <c r="BK1598" s="81" t="n"/>
      <c r="BL1598" s="81" t="n"/>
      <c r="BM1598" s="81" t="n"/>
      <c r="BN1598" s="81" t="n"/>
      <c r="BO1598" s="81" t="n"/>
      <c r="BP1598" s="81" t="n"/>
      <c r="BQ1598" s="81" t="n"/>
      <c r="BR1598" s="81" t="n"/>
      <c r="BS1598" s="81" t="n"/>
      <c r="BT1598" s="81" t="n"/>
      <c r="BU1598" s="81" t="n"/>
      <c r="BV1598" s="81" t="n"/>
      <c r="BW1598" s="81" t="n"/>
      <c r="BX1598" s="81" t="n"/>
      <c r="BY1598" s="81" t="n"/>
      <c r="BZ1598" s="81" t="n"/>
      <c r="CA1598" s="81" t="n"/>
      <c r="CB1598" s="81" t="n"/>
      <c r="CC1598" s="81" t="n"/>
      <c r="CD1598" s="81" t="n"/>
      <c r="CE1598" s="81" t="n"/>
      <c r="CF1598" s="81" t="n"/>
      <c r="CG1598" s="81" t="n"/>
      <c r="CH1598" s="81" t="n"/>
    </row>
    <row r="1599">
      <c r="A1599" s="81" t="n"/>
      <c r="B1599" s="81" t="n"/>
      <c r="C1599" s="81" t="n"/>
      <c r="D1599" s="81" t="n"/>
      <c r="E1599" s="81" t="n"/>
      <c r="F1599" s="81" t="n"/>
      <c r="G1599" s="81" t="n"/>
      <c r="H1599" s="81" t="n"/>
      <c r="I1599" s="81" t="n"/>
      <c r="J1599" s="81" t="n"/>
      <c r="K1599" s="81" t="n"/>
      <c r="L1599" s="81" t="n"/>
      <c r="M1599" s="81" t="n"/>
      <c r="N1599" s="81" t="n"/>
      <c r="O1599" s="81" t="n"/>
      <c r="P1599" s="81" t="n"/>
      <c r="Q1599" s="81" t="n"/>
      <c r="R1599" s="81" t="n"/>
      <c r="S1599" s="81" t="n"/>
      <c r="T1599" s="81" t="n"/>
      <c r="U1599" s="81" t="n"/>
      <c r="V1599" s="81" t="n"/>
      <c r="W1599" s="81" t="n"/>
      <c r="X1599" s="81" t="n"/>
      <c r="Y1599" s="81" t="n"/>
      <c r="Z1599" s="81" t="n"/>
      <c r="AA1599" s="81" t="n"/>
      <c r="AB1599" s="81" t="n"/>
      <c r="AC1599" s="81" t="n"/>
      <c r="AD1599" s="81" t="n"/>
      <c r="AE1599" s="81" t="n"/>
      <c r="AF1599" s="81" t="n"/>
      <c r="AG1599" s="81" t="n"/>
      <c r="AH1599" s="81" t="n"/>
      <c r="AI1599" s="81" t="n"/>
      <c r="AJ1599" s="81" t="n"/>
      <c r="AK1599" s="81" t="n"/>
      <c r="AL1599" s="81" t="n"/>
      <c r="AM1599" s="81" t="n"/>
      <c r="AN1599" s="81" t="n"/>
      <c r="AO1599" s="81" t="n"/>
      <c r="AP1599" s="81" t="n"/>
      <c r="AQ1599" s="81" t="n"/>
      <c r="AR1599" s="81" t="n"/>
      <c r="AS1599" s="81" t="n"/>
      <c r="AT1599" s="81" t="n"/>
      <c r="AU1599" s="81" t="n"/>
      <c r="AV1599" s="81" t="n"/>
      <c r="AW1599" s="81" t="n"/>
      <c r="AX1599" s="81" t="n"/>
      <c r="AY1599" s="81" t="n"/>
      <c r="AZ1599" s="81" t="n"/>
      <c r="BA1599" s="81" t="n"/>
      <c r="BB1599" s="81" t="n"/>
      <c r="BC1599" s="81" t="n"/>
      <c r="BD1599" s="81" t="n"/>
      <c r="BE1599" s="81" t="n"/>
      <c r="BF1599" s="81" t="n"/>
      <c r="BG1599" s="81" t="n"/>
      <c r="BH1599" s="81" t="n"/>
      <c r="BI1599" s="81" t="n"/>
      <c r="BJ1599" s="81" t="n"/>
      <c r="BK1599" s="81" t="n"/>
      <c r="BL1599" s="81" t="n"/>
      <c r="BM1599" s="81" t="n"/>
      <c r="BN1599" s="81" t="n"/>
      <c r="BO1599" s="81" t="n"/>
      <c r="BP1599" s="81" t="n"/>
      <c r="BQ1599" s="81" t="n"/>
      <c r="BR1599" s="81" t="n"/>
      <c r="BS1599" s="81" t="n"/>
      <c r="BT1599" s="81" t="n"/>
      <c r="BU1599" s="81" t="n"/>
      <c r="BV1599" s="81" t="n"/>
      <c r="BW1599" s="81" t="n"/>
      <c r="BX1599" s="81" t="n"/>
      <c r="BY1599" s="81" t="n"/>
      <c r="BZ1599" s="81" t="n"/>
      <c r="CA1599" s="81" t="n"/>
      <c r="CB1599" s="81" t="n"/>
      <c r="CC1599" s="81" t="n"/>
      <c r="CD1599" s="81" t="n"/>
      <c r="CE1599" s="81" t="n"/>
      <c r="CF1599" s="81" t="n"/>
      <c r="CG1599" s="81" t="n"/>
      <c r="CH1599" s="81" t="n"/>
    </row>
    <row r="1600">
      <c r="A1600" s="81" t="n"/>
      <c r="B1600" s="81" t="n"/>
      <c r="C1600" s="81" t="n"/>
      <c r="D1600" s="81" t="n"/>
      <c r="E1600" s="81" t="n"/>
      <c r="F1600" s="81" t="n"/>
      <c r="G1600" s="81" t="n"/>
      <c r="H1600" s="81" t="n"/>
      <c r="I1600" s="81" t="n"/>
      <c r="J1600" s="81" t="n"/>
      <c r="K1600" s="81" t="n"/>
      <c r="L1600" s="81" t="n"/>
      <c r="M1600" s="81" t="n"/>
      <c r="N1600" s="81" t="n"/>
      <c r="O1600" s="81" t="n"/>
      <c r="P1600" s="81" t="n"/>
      <c r="Q1600" s="81" t="n"/>
      <c r="R1600" s="81" t="n"/>
      <c r="S1600" s="81" t="n"/>
      <c r="T1600" s="81" t="n"/>
      <c r="U1600" s="81" t="n"/>
      <c r="V1600" s="81" t="n"/>
      <c r="W1600" s="81" t="n"/>
      <c r="X1600" s="81" t="n"/>
      <c r="Y1600" s="81" t="n"/>
      <c r="Z1600" s="81" t="n"/>
      <c r="AA1600" s="81" t="n"/>
      <c r="AB1600" s="81" t="n"/>
      <c r="AC1600" s="81" t="n"/>
      <c r="AD1600" s="81" t="n"/>
      <c r="AE1600" s="81" t="n"/>
      <c r="AF1600" s="81" t="n"/>
      <c r="AG1600" s="81" t="n"/>
      <c r="AH1600" s="81" t="n"/>
      <c r="AI1600" s="81" t="n"/>
      <c r="AJ1600" s="81" t="n"/>
      <c r="AK1600" s="81" t="n"/>
      <c r="AL1600" s="81" t="n"/>
      <c r="AM1600" s="81" t="n"/>
      <c r="AN1600" s="81" t="n"/>
      <c r="AO1600" s="81" t="n"/>
      <c r="AP1600" s="81" t="n"/>
      <c r="AQ1600" s="81" t="n"/>
      <c r="AR1600" s="81" t="n"/>
      <c r="AS1600" s="81" t="n"/>
      <c r="AT1600" s="81" t="n"/>
      <c r="AU1600" s="81" t="n"/>
      <c r="AV1600" s="81" t="n"/>
      <c r="AW1600" s="81" t="n"/>
      <c r="AX1600" s="81" t="n"/>
      <c r="AY1600" s="81" t="n"/>
      <c r="AZ1600" s="81" t="n"/>
      <c r="BA1600" s="81" t="n"/>
      <c r="BB1600" s="81" t="n"/>
      <c r="BC1600" s="81" t="n"/>
      <c r="BD1600" s="81" t="n"/>
      <c r="BE1600" s="81" t="n"/>
      <c r="BF1600" s="81" t="n"/>
      <c r="BG1600" s="81" t="n"/>
      <c r="BH1600" s="81" t="n"/>
      <c r="BI1600" s="81" t="n"/>
      <c r="BJ1600" s="81" t="n"/>
      <c r="BK1600" s="81" t="n"/>
      <c r="BL1600" s="81" t="n"/>
      <c r="BM1600" s="81" t="n"/>
      <c r="BN1600" s="81" t="n"/>
      <c r="BO1600" s="81" t="n"/>
      <c r="BP1600" s="81" t="n"/>
      <c r="BQ1600" s="81" t="n"/>
      <c r="BR1600" s="81" t="n"/>
      <c r="BS1600" s="81" t="n"/>
      <c r="BT1600" s="81" t="n"/>
      <c r="BU1600" s="81" t="n"/>
      <c r="BV1600" s="81" t="n"/>
      <c r="BW1600" s="81" t="n"/>
      <c r="BX1600" s="81" t="n"/>
      <c r="BY1600" s="81" t="n"/>
      <c r="BZ1600" s="81" t="n"/>
      <c r="CA1600" s="81" t="n"/>
      <c r="CB1600" s="81" t="n"/>
      <c r="CC1600" s="81" t="n"/>
      <c r="CD1600" s="81" t="n"/>
      <c r="CE1600" s="81" t="n"/>
      <c r="CF1600" s="81" t="n"/>
      <c r="CG1600" s="81" t="n"/>
      <c r="CH1600" s="81" t="n"/>
    </row>
    <row r="1601">
      <c r="A1601" s="81" t="n"/>
      <c r="B1601" s="81" t="n"/>
      <c r="C1601" s="81" t="n"/>
      <c r="D1601" s="81" t="n"/>
      <c r="E1601" s="81" t="n"/>
      <c r="F1601" s="81" t="n"/>
      <c r="G1601" s="81" t="n"/>
      <c r="H1601" s="81" t="n"/>
      <c r="I1601" s="81" t="n"/>
      <c r="J1601" s="81" t="n"/>
      <c r="K1601" s="81" t="n"/>
      <c r="L1601" s="81" t="n"/>
      <c r="M1601" s="81" t="n"/>
      <c r="N1601" s="81" t="n"/>
      <c r="O1601" s="81" t="n"/>
      <c r="P1601" s="81" t="n"/>
      <c r="Q1601" s="81" t="n"/>
      <c r="R1601" s="81" t="n"/>
      <c r="S1601" s="81" t="n"/>
      <c r="T1601" s="81" t="n"/>
      <c r="U1601" s="81" t="n"/>
      <c r="V1601" s="81" t="n"/>
      <c r="W1601" s="81" t="n"/>
      <c r="X1601" s="81" t="n"/>
      <c r="Y1601" s="81" t="n"/>
      <c r="Z1601" s="81" t="n"/>
      <c r="AA1601" s="81" t="n"/>
      <c r="AB1601" s="81" t="n"/>
      <c r="AC1601" s="81" t="n"/>
      <c r="AD1601" s="81" t="n"/>
      <c r="AE1601" s="81" t="n"/>
      <c r="AF1601" s="81" t="n"/>
      <c r="AG1601" s="81" t="n"/>
      <c r="AH1601" s="81" t="n"/>
      <c r="AI1601" s="81" t="n"/>
      <c r="AJ1601" s="81" t="n"/>
      <c r="AK1601" s="81" t="n"/>
      <c r="AL1601" s="81" t="n"/>
      <c r="AM1601" s="81" t="n"/>
      <c r="AN1601" s="81" t="n"/>
      <c r="AO1601" s="81" t="n"/>
      <c r="AP1601" s="81" t="n"/>
      <c r="AQ1601" s="81" t="n"/>
      <c r="AR1601" s="81" t="n"/>
      <c r="AS1601" s="81" t="n"/>
      <c r="AT1601" s="81" t="n"/>
      <c r="AU1601" s="81" t="n"/>
      <c r="AV1601" s="81" t="n"/>
      <c r="AW1601" s="81" t="n"/>
      <c r="AX1601" s="81" t="n"/>
      <c r="AY1601" s="81" t="n"/>
      <c r="AZ1601" s="81" t="n"/>
      <c r="BA1601" s="81" t="n"/>
      <c r="BB1601" s="81" t="n"/>
      <c r="BC1601" s="81" t="n"/>
      <c r="BD1601" s="81" t="n"/>
      <c r="BE1601" s="81" t="n"/>
      <c r="BF1601" s="81" t="n"/>
      <c r="BG1601" s="81" t="n"/>
      <c r="BH1601" s="81" t="n"/>
      <c r="BI1601" s="81" t="n"/>
      <c r="BJ1601" s="81" t="n"/>
      <c r="BK1601" s="81" t="n"/>
      <c r="BL1601" s="81" t="n"/>
      <c r="BM1601" s="81" t="n"/>
      <c r="BN1601" s="81" t="n"/>
      <c r="BO1601" s="81" t="n"/>
      <c r="BP1601" s="81" t="n"/>
      <c r="BQ1601" s="81" t="n"/>
      <c r="BR1601" s="81" t="n"/>
      <c r="BS1601" s="81" t="n"/>
      <c r="BT1601" s="81" t="n"/>
      <c r="BU1601" s="81" t="n"/>
      <c r="BV1601" s="81" t="n"/>
      <c r="BW1601" s="81" t="n"/>
      <c r="BX1601" s="81" t="n"/>
      <c r="BY1601" s="81" t="n"/>
      <c r="BZ1601" s="81" t="n"/>
      <c r="CA1601" s="81" t="n"/>
      <c r="CB1601" s="81" t="n"/>
      <c r="CC1601" s="81" t="n"/>
      <c r="CD1601" s="81" t="n"/>
      <c r="CE1601" s="81" t="n"/>
      <c r="CF1601" s="81" t="n"/>
      <c r="CG1601" s="81" t="n"/>
      <c r="CH1601" s="81" t="n"/>
    </row>
    <row r="1602">
      <c r="A1602" s="81" t="n"/>
      <c r="B1602" s="81" t="n"/>
      <c r="C1602" s="81" t="n"/>
      <c r="D1602" s="81" t="n"/>
      <c r="E1602" s="81" t="n"/>
      <c r="F1602" s="81" t="n"/>
      <c r="G1602" s="81" t="n"/>
      <c r="H1602" s="81" t="n"/>
      <c r="I1602" s="81" t="n"/>
      <c r="J1602" s="81" t="n"/>
      <c r="K1602" s="81" t="n"/>
      <c r="L1602" s="81" t="n"/>
      <c r="M1602" s="81" t="n"/>
      <c r="N1602" s="81" t="n"/>
      <c r="O1602" s="81" t="n"/>
      <c r="P1602" s="81" t="n"/>
      <c r="Q1602" s="81" t="n"/>
      <c r="R1602" s="81" t="n"/>
      <c r="S1602" s="81" t="n"/>
      <c r="T1602" s="81" t="n"/>
      <c r="U1602" s="81" t="n"/>
      <c r="V1602" s="81" t="n"/>
      <c r="W1602" s="81" t="n"/>
      <c r="X1602" s="81" t="n"/>
      <c r="Y1602" s="81" t="n"/>
      <c r="Z1602" s="81" t="n"/>
      <c r="AA1602" s="81" t="n"/>
      <c r="AB1602" s="81" t="n"/>
      <c r="AC1602" s="81" t="n"/>
      <c r="AD1602" s="81" t="n"/>
      <c r="AE1602" s="81" t="n"/>
      <c r="AF1602" s="81" t="n"/>
      <c r="AG1602" s="81" t="n"/>
      <c r="AH1602" s="81" t="n"/>
      <c r="AI1602" s="81" t="n"/>
      <c r="AJ1602" s="81" t="n"/>
      <c r="AK1602" s="81" t="n"/>
      <c r="AL1602" s="81" t="n"/>
      <c r="AM1602" s="81" t="n"/>
      <c r="AN1602" s="81" t="n"/>
      <c r="AO1602" s="81" t="n"/>
      <c r="AP1602" s="81" t="n"/>
      <c r="AQ1602" s="81" t="n"/>
      <c r="AR1602" s="81" t="n"/>
      <c r="AS1602" s="81" t="n"/>
      <c r="AT1602" s="81" t="n"/>
      <c r="AU1602" s="81" t="n"/>
      <c r="AV1602" s="81" t="n"/>
      <c r="AW1602" s="81" t="n"/>
      <c r="AX1602" s="81" t="n"/>
      <c r="AY1602" s="81" t="n"/>
      <c r="AZ1602" s="81" t="n"/>
      <c r="BA1602" s="81" t="n"/>
      <c r="BB1602" s="81" t="n"/>
      <c r="BC1602" s="81" t="n"/>
      <c r="BD1602" s="81" t="n"/>
      <c r="BE1602" s="81" t="n"/>
      <c r="BF1602" s="81" t="n"/>
      <c r="BG1602" s="81" t="n"/>
      <c r="BH1602" s="81" t="n"/>
      <c r="BI1602" s="81" t="n"/>
      <c r="BJ1602" s="81" t="n"/>
      <c r="BK1602" s="81" t="n"/>
      <c r="BL1602" s="81" t="n"/>
      <c r="BM1602" s="81" t="n"/>
      <c r="BN1602" s="81" t="n"/>
      <c r="BO1602" s="81" t="n"/>
      <c r="BP1602" s="81" t="n"/>
      <c r="BQ1602" s="81" t="n"/>
      <c r="BR1602" s="81" t="n"/>
      <c r="BS1602" s="81" t="n"/>
      <c r="BT1602" s="81" t="n"/>
      <c r="BU1602" s="81" t="n"/>
      <c r="BV1602" s="81" t="n"/>
      <c r="BW1602" s="81" t="n"/>
      <c r="BX1602" s="81" t="n"/>
      <c r="BY1602" s="81" t="n"/>
      <c r="BZ1602" s="81" t="n"/>
      <c r="CA1602" s="81" t="n"/>
      <c r="CB1602" s="81" t="n"/>
      <c r="CC1602" s="81" t="n"/>
      <c r="CD1602" s="81" t="n"/>
      <c r="CE1602" s="81" t="n"/>
      <c r="CF1602" s="81" t="n"/>
      <c r="CG1602" s="81" t="n"/>
      <c r="CH1602" s="81" t="n"/>
    </row>
    <row r="1603">
      <c r="A1603" s="81" t="n"/>
      <c r="B1603" s="81" t="n"/>
      <c r="C1603" s="81" t="n"/>
      <c r="D1603" s="81" t="n"/>
      <c r="E1603" s="81" t="n"/>
      <c r="F1603" s="81" t="n"/>
      <c r="G1603" s="81" t="n"/>
      <c r="H1603" s="81" t="n"/>
      <c r="I1603" s="81" t="n"/>
      <c r="J1603" s="81" t="n"/>
      <c r="K1603" s="81" t="n"/>
      <c r="L1603" s="81" t="n"/>
      <c r="M1603" s="81" t="n"/>
      <c r="N1603" s="81" t="n"/>
      <c r="O1603" s="81" t="n"/>
      <c r="P1603" s="81" t="n"/>
      <c r="Q1603" s="81" t="n"/>
      <c r="R1603" s="81" t="n"/>
      <c r="S1603" s="81" t="n"/>
      <c r="T1603" s="81" t="n"/>
      <c r="U1603" s="81" t="n"/>
      <c r="V1603" s="81" t="n"/>
      <c r="W1603" s="81" t="n"/>
      <c r="X1603" s="81" t="n"/>
      <c r="Y1603" s="81" t="n"/>
      <c r="Z1603" s="81" t="n"/>
      <c r="AA1603" s="81" t="n"/>
      <c r="AB1603" s="81" t="n"/>
      <c r="AC1603" s="81" t="n"/>
      <c r="AD1603" s="81" t="n"/>
      <c r="AE1603" s="81" t="n"/>
      <c r="AF1603" s="81" t="n"/>
      <c r="AG1603" s="81" t="n"/>
      <c r="AH1603" s="81" t="n"/>
      <c r="AI1603" s="81" t="n"/>
      <c r="AJ1603" s="81" t="n"/>
      <c r="AK1603" s="81" t="n"/>
      <c r="AL1603" s="81" t="n"/>
      <c r="AM1603" s="81" t="n"/>
      <c r="AN1603" s="81" t="n"/>
      <c r="AO1603" s="81" t="n"/>
      <c r="AP1603" s="81" t="n"/>
      <c r="AQ1603" s="81" t="n"/>
      <c r="AR1603" s="81" t="n"/>
      <c r="AS1603" s="81" t="n"/>
      <c r="AT1603" s="81" t="n"/>
      <c r="AU1603" s="81" t="n"/>
      <c r="AV1603" s="81" t="n"/>
      <c r="AW1603" s="81" t="n"/>
      <c r="AX1603" s="81" t="n"/>
      <c r="AY1603" s="81" t="n"/>
      <c r="AZ1603" s="81" t="n"/>
      <c r="BA1603" s="81" t="n"/>
      <c r="BB1603" s="81" t="n"/>
      <c r="BC1603" s="81" t="n"/>
      <c r="BD1603" s="81" t="n"/>
      <c r="BE1603" s="81" t="n"/>
      <c r="BF1603" s="81" t="n"/>
      <c r="BG1603" s="81" t="n"/>
      <c r="BH1603" s="81" t="n"/>
      <c r="BI1603" s="81" t="n"/>
      <c r="BJ1603" s="81" t="n"/>
      <c r="BK1603" s="81" t="n"/>
      <c r="BL1603" s="81" t="n"/>
      <c r="BM1603" s="81" t="n"/>
      <c r="BN1603" s="81" t="n"/>
      <c r="BO1603" s="81" t="n"/>
      <c r="BP1603" s="81" t="n"/>
      <c r="BQ1603" s="81" t="n"/>
      <c r="BR1603" s="81" t="n"/>
      <c r="BS1603" s="81" t="n"/>
      <c r="BT1603" s="81" t="n"/>
      <c r="BU1603" s="81" t="n"/>
      <c r="BV1603" s="81" t="n"/>
      <c r="BW1603" s="81" t="n"/>
      <c r="BX1603" s="81" t="n"/>
      <c r="BY1603" s="81" t="n"/>
      <c r="BZ1603" s="81" t="n"/>
      <c r="CA1603" s="81" t="n"/>
      <c r="CB1603" s="81" t="n"/>
      <c r="CC1603" s="81" t="n"/>
      <c r="CD1603" s="81" t="n"/>
      <c r="CE1603" s="81" t="n"/>
      <c r="CF1603" s="81" t="n"/>
      <c r="CG1603" s="81" t="n"/>
      <c r="CH1603" s="81" t="n"/>
    </row>
    <row r="1604">
      <c r="A1604" s="81" t="n"/>
      <c r="B1604" s="81" t="n"/>
      <c r="C1604" s="81" t="n"/>
      <c r="D1604" s="81" t="n"/>
      <c r="E1604" s="81" t="n"/>
      <c r="F1604" s="81" t="n"/>
      <c r="G1604" s="81" t="n"/>
      <c r="H1604" s="81" t="n"/>
      <c r="I1604" s="81" t="n"/>
      <c r="J1604" s="81" t="n"/>
      <c r="K1604" s="81" t="n"/>
      <c r="L1604" s="81" t="n"/>
      <c r="M1604" s="81" t="n"/>
      <c r="N1604" s="81" t="n"/>
      <c r="O1604" s="81" t="n"/>
      <c r="P1604" s="81" t="n"/>
      <c r="Q1604" s="81" t="n"/>
      <c r="R1604" s="81" t="n"/>
      <c r="S1604" s="81" t="n"/>
      <c r="T1604" s="81" t="n"/>
      <c r="U1604" s="81" t="n"/>
      <c r="V1604" s="81" t="n"/>
      <c r="W1604" s="81" t="n"/>
      <c r="X1604" s="81" t="n"/>
      <c r="Y1604" s="81" t="n"/>
      <c r="Z1604" s="81" t="n"/>
      <c r="AA1604" s="81" t="n"/>
      <c r="AB1604" s="81" t="n"/>
      <c r="AC1604" s="81" t="n"/>
      <c r="AD1604" s="81" t="n"/>
      <c r="AE1604" s="81" t="n"/>
      <c r="AF1604" s="81" t="n"/>
      <c r="AG1604" s="81" t="n"/>
      <c r="AH1604" s="81" t="n"/>
      <c r="AI1604" s="81" t="n"/>
      <c r="AJ1604" s="81" t="n"/>
      <c r="AK1604" s="81" t="n"/>
      <c r="AL1604" s="81" t="n"/>
      <c r="AM1604" s="81" t="n"/>
      <c r="AN1604" s="81" t="n"/>
      <c r="AO1604" s="81" t="n"/>
      <c r="AP1604" s="81" t="n"/>
      <c r="AQ1604" s="81" t="n"/>
      <c r="AR1604" s="81" t="n"/>
      <c r="AS1604" s="81" t="n"/>
      <c r="AT1604" s="81" t="n"/>
      <c r="AU1604" s="81" t="n"/>
      <c r="AV1604" s="81" t="n"/>
      <c r="AW1604" s="81" t="n"/>
      <c r="AX1604" s="81" t="n"/>
      <c r="AY1604" s="81" t="n"/>
      <c r="AZ1604" s="81" t="n"/>
      <c r="BA1604" s="81" t="n"/>
      <c r="BB1604" s="81" t="n"/>
      <c r="BC1604" s="81" t="n"/>
      <c r="BD1604" s="81" t="n"/>
      <c r="BE1604" s="81" t="n"/>
      <c r="BF1604" s="81" t="n"/>
      <c r="BG1604" s="81" t="n"/>
      <c r="BH1604" s="81" t="n"/>
      <c r="BI1604" s="81" t="n"/>
      <c r="BJ1604" s="81" t="n"/>
      <c r="BK1604" s="81" t="n"/>
      <c r="BL1604" s="81" t="n"/>
      <c r="BM1604" s="81" t="n"/>
      <c r="BN1604" s="81" t="n"/>
      <c r="BO1604" s="81" t="n"/>
      <c r="BP1604" s="81" t="n"/>
      <c r="BQ1604" s="81" t="n"/>
      <c r="BR1604" s="81" t="n"/>
      <c r="BS1604" s="81" t="n"/>
      <c r="BT1604" s="81" t="n"/>
      <c r="BU1604" s="81" t="n"/>
      <c r="BV1604" s="81" t="n"/>
      <c r="BW1604" s="81" t="n"/>
      <c r="BX1604" s="81" t="n"/>
      <c r="BY1604" s="81" t="n"/>
      <c r="BZ1604" s="81" t="n"/>
      <c r="CA1604" s="81" t="n"/>
      <c r="CB1604" s="81" t="n"/>
      <c r="CC1604" s="81" t="n"/>
      <c r="CD1604" s="81" t="n"/>
      <c r="CE1604" s="81" t="n"/>
      <c r="CF1604" s="81" t="n"/>
      <c r="CG1604" s="81" t="n"/>
      <c r="CH1604" s="81" t="n"/>
    </row>
    <row r="1605">
      <c r="A1605" s="81" t="n"/>
      <c r="B1605" s="81" t="n"/>
      <c r="C1605" s="81" t="n"/>
      <c r="D1605" s="81" t="n"/>
      <c r="E1605" s="81" t="n"/>
      <c r="F1605" s="81" t="n"/>
      <c r="G1605" s="81" t="n"/>
      <c r="H1605" s="81" t="n"/>
      <c r="I1605" s="81" t="n"/>
      <c r="J1605" s="81" t="n"/>
      <c r="K1605" s="81" t="n"/>
      <c r="L1605" s="81" t="n"/>
      <c r="M1605" s="81" t="n"/>
      <c r="N1605" s="81" t="n"/>
      <c r="O1605" s="81" t="n"/>
      <c r="P1605" s="81" t="n"/>
      <c r="Q1605" s="81" t="n"/>
      <c r="R1605" s="81" t="n"/>
      <c r="S1605" s="81" t="n"/>
      <c r="T1605" s="81" t="n"/>
      <c r="U1605" s="81" t="n"/>
      <c r="V1605" s="81" t="n"/>
      <c r="W1605" s="81" t="n"/>
      <c r="X1605" s="81" t="n"/>
      <c r="Y1605" s="81" t="n"/>
      <c r="Z1605" s="81" t="n"/>
      <c r="AA1605" s="81" t="n"/>
      <c r="AB1605" s="81" t="n"/>
      <c r="AC1605" s="81" t="n"/>
      <c r="AD1605" s="81" t="n"/>
      <c r="AE1605" s="81" t="n"/>
      <c r="AF1605" s="81" t="n"/>
      <c r="AG1605" s="81" t="n"/>
      <c r="AH1605" s="81" t="n"/>
      <c r="AI1605" s="81" t="n"/>
      <c r="AJ1605" s="81" t="n"/>
      <c r="AK1605" s="81" t="n"/>
      <c r="AL1605" s="81" t="n"/>
      <c r="AM1605" s="81" t="n"/>
      <c r="AN1605" s="81" t="n"/>
      <c r="AO1605" s="81" t="n"/>
      <c r="AP1605" s="81" t="n"/>
      <c r="AQ1605" s="81" t="n"/>
      <c r="AR1605" s="81" t="n"/>
      <c r="AS1605" s="81" t="n"/>
      <c r="AT1605" s="81" t="n"/>
      <c r="AU1605" s="81" t="n"/>
      <c r="AV1605" s="81" t="n"/>
      <c r="AW1605" s="81" t="n"/>
      <c r="AX1605" s="81" t="n"/>
      <c r="AY1605" s="81" t="n"/>
      <c r="AZ1605" s="81" t="n"/>
      <c r="BA1605" s="81" t="n"/>
      <c r="BB1605" s="81" t="n"/>
      <c r="BC1605" s="81" t="n"/>
      <c r="BD1605" s="81" t="n"/>
      <c r="BE1605" s="81" t="n"/>
      <c r="BF1605" s="81" t="n"/>
      <c r="BG1605" s="81" t="n"/>
      <c r="BH1605" s="81" t="n"/>
      <c r="BI1605" s="81" t="n"/>
      <c r="BJ1605" s="81" t="n"/>
      <c r="BK1605" s="81" t="n"/>
      <c r="BL1605" s="81" t="n"/>
      <c r="BM1605" s="81" t="n"/>
      <c r="BN1605" s="81" t="n"/>
      <c r="BO1605" s="81" t="n"/>
      <c r="BP1605" s="81" t="n"/>
      <c r="BQ1605" s="81" t="n"/>
      <c r="BR1605" s="81" t="n"/>
      <c r="BS1605" s="81" t="n"/>
      <c r="BT1605" s="81" t="n"/>
      <c r="BU1605" s="81" t="n"/>
      <c r="BV1605" s="81" t="n"/>
      <c r="BW1605" s="81" t="n"/>
      <c r="BX1605" s="81" t="n"/>
      <c r="BY1605" s="81" t="n"/>
      <c r="BZ1605" s="81" t="n"/>
      <c r="CA1605" s="81" t="n"/>
      <c r="CB1605" s="81" t="n"/>
      <c r="CC1605" s="81" t="n"/>
      <c r="CD1605" s="81" t="n"/>
      <c r="CE1605" s="81" t="n"/>
      <c r="CF1605" s="81" t="n"/>
      <c r="CG1605" s="81" t="n"/>
      <c r="CH1605" s="81" t="n"/>
    </row>
    <row r="1606">
      <c r="A1606" s="81" t="n"/>
      <c r="B1606" s="81" t="n"/>
      <c r="C1606" s="81" t="n"/>
      <c r="D1606" s="81" t="n"/>
      <c r="E1606" s="81" t="n"/>
      <c r="F1606" s="81" t="n"/>
      <c r="G1606" s="81" t="n"/>
      <c r="H1606" s="81" t="n"/>
      <c r="I1606" s="81" t="n"/>
      <c r="J1606" s="81" t="n"/>
      <c r="K1606" s="81" t="n"/>
      <c r="L1606" s="81" t="n"/>
      <c r="M1606" s="81" t="n"/>
      <c r="N1606" s="81" t="n"/>
      <c r="O1606" s="81" t="n"/>
      <c r="P1606" s="81" t="n"/>
      <c r="Q1606" s="81" t="n"/>
      <c r="R1606" s="81" t="n"/>
      <c r="S1606" s="81" t="n"/>
      <c r="T1606" s="81" t="n"/>
      <c r="U1606" s="81" t="n"/>
      <c r="V1606" s="81" t="n"/>
      <c r="W1606" s="81" t="n"/>
      <c r="X1606" s="81" t="n"/>
      <c r="Y1606" s="81" t="n"/>
      <c r="Z1606" s="81" t="n"/>
      <c r="AA1606" s="81" t="n"/>
      <c r="AB1606" s="81" t="n"/>
      <c r="AC1606" s="81" t="n"/>
      <c r="AD1606" s="81" t="n"/>
      <c r="AE1606" s="81" t="n"/>
      <c r="AF1606" s="81" t="n"/>
      <c r="AG1606" s="81" t="n"/>
      <c r="AH1606" s="81" t="n"/>
      <c r="AI1606" s="81" t="n"/>
      <c r="AJ1606" s="81" t="n"/>
      <c r="AK1606" s="81" t="n"/>
      <c r="AL1606" s="81" t="n"/>
      <c r="AM1606" s="81" t="n"/>
      <c r="AN1606" s="81" t="n"/>
      <c r="AO1606" s="81" t="n"/>
      <c r="AP1606" s="81" t="n"/>
      <c r="AQ1606" s="81" t="n"/>
      <c r="AR1606" s="81" t="n"/>
      <c r="AS1606" s="81" t="n"/>
      <c r="AT1606" s="81" t="n"/>
      <c r="AU1606" s="81" t="n"/>
      <c r="AV1606" s="81" t="n"/>
      <c r="AW1606" s="81" t="n"/>
      <c r="AX1606" s="81" t="n"/>
      <c r="AY1606" s="81" t="n"/>
      <c r="AZ1606" s="81" t="n"/>
      <c r="BA1606" s="81" t="n"/>
      <c r="BB1606" s="81" t="n"/>
      <c r="BC1606" s="81" t="n"/>
      <c r="BD1606" s="81" t="n"/>
      <c r="BE1606" s="81" t="n"/>
      <c r="BF1606" s="81" t="n"/>
      <c r="BG1606" s="81" t="n"/>
      <c r="BH1606" s="81" t="n"/>
      <c r="BI1606" s="81" t="n"/>
      <c r="BJ1606" s="81" t="n"/>
      <c r="BK1606" s="81" t="n"/>
      <c r="BL1606" s="81" t="n"/>
      <c r="BM1606" s="81" t="n"/>
      <c r="BN1606" s="81" t="n"/>
      <c r="BO1606" s="81" t="n"/>
      <c r="BP1606" s="81" t="n"/>
      <c r="BQ1606" s="81" t="n"/>
      <c r="BR1606" s="81" t="n"/>
      <c r="BS1606" s="81" t="n"/>
      <c r="BT1606" s="81" t="n"/>
      <c r="BU1606" s="81" t="n"/>
      <c r="BV1606" s="81" t="n"/>
      <c r="BW1606" s="81" t="n"/>
      <c r="BX1606" s="81" t="n"/>
      <c r="BY1606" s="81" t="n"/>
      <c r="BZ1606" s="81" t="n"/>
      <c r="CA1606" s="81" t="n"/>
      <c r="CB1606" s="81" t="n"/>
      <c r="CC1606" s="81" t="n"/>
      <c r="CD1606" s="81" t="n"/>
      <c r="CE1606" s="81" t="n"/>
      <c r="CF1606" s="81" t="n"/>
      <c r="CG1606" s="81" t="n"/>
      <c r="CH1606" s="81" t="n"/>
    </row>
    <row r="1607">
      <c r="A1607" s="81" t="n"/>
      <c r="B1607" s="81" t="n"/>
      <c r="C1607" s="81" t="n"/>
      <c r="D1607" s="81" t="n"/>
      <c r="E1607" s="81" t="n"/>
      <c r="F1607" s="81" t="n"/>
      <c r="G1607" s="81" t="n"/>
      <c r="H1607" s="81" t="n"/>
      <c r="I1607" s="81" t="n"/>
      <c r="J1607" s="81" t="n"/>
      <c r="K1607" s="81" t="n"/>
      <c r="L1607" s="81" t="n"/>
      <c r="M1607" s="81" t="n"/>
      <c r="N1607" s="81" t="n"/>
      <c r="O1607" s="81" t="n"/>
      <c r="P1607" s="81" t="n"/>
      <c r="Q1607" s="81" t="n"/>
      <c r="R1607" s="81" t="n"/>
      <c r="S1607" s="81" t="n"/>
      <c r="T1607" s="81" t="n"/>
      <c r="U1607" s="81" t="n"/>
      <c r="V1607" s="81" t="n"/>
      <c r="W1607" s="81" t="n"/>
      <c r="X1607" s="81" t="n"/>
      <c r="Y1607" s="81" t="n"/>
      <c r="Z1607" s="81" t="n"/>
      <c r="AA1607" s="81" t="n"/>
      <c r="AB1607" s="81" t="n"/>
      <c r="AC1607" s="81" t="n"/>
      <c r="AD1607" s="81" t="n"/>
      <c r="AE1607" s="81" t="n"/>
      <c r="AF1607" s="81" t="n"/>
      <c r="AG1607" s="81" t="n"/>
      <c r="AH1607" s="81" t="n"/>
      <c r="AI1607" s="81" t="n"/>
      <c r="AJ1607" s="81" t="n"/>
      <c r="AK1607" s="81" t="n"/>
      <c r="AL1607" s="81" t="n"/>
      <c r="AM1607" s="81" t="n"/>
      <c r="AN1607" s="81" t="n"/>
      <c r="AO1607" s="81" t="n"/>
      <c r="AP1607" s="81" t="n"/>
      <c r="AQ1607" s="81" t="n"/>
      <c r="AR1607" s="81" t="n"/>
      <c r="AS1607" s="81" t="n"/>
      <c r="AT1607" s="81" t="n"/>
      <c r="AU1607" s="81" t="n"/>
      <c r="AV1607" s="81" t="n"/>
      <c r="AW1607" s="81" t="n"/>
      <c r="AX1607" s="81" t="n"/>
      <c r="AY1607" s="81" t="n"/>
      <c r="AZ1607" s="81" t="n"/>
      <c r="BA1607" s="81" t="n"/>
      <c r="BB1607" s="81" t="n"/>
      <c r="BC1607" s="81" t="n"/>
      <c r="BD1607" s="81" t="n"/>
      <c r="BE1607" s="81" t="n"/>
      <c r="BF1607" s="81" t="n"/>
      <c r="BG1607" s="81" t="n"/>
      <c r="BH1607" s="81" t="n"/>
      <c r="BI1607" s="81" t="n"/>
      <c r="BJ1607" s="81" t="n"/>
      <c r="BK1607" s="81" t="n"/>
      <c r="BL1607" s="81" t="n"/>
      <c r="BM1607" s="81" t="n"/>
      <c r="BN1607" s="81" t="n"/>
      <c r="BO1607" s="81" t="n"/>
      <c r="BP1607" s="81" t="n"/>
      <c r="BQ1607" s="81" t="n"/>
      <c r="BR1607" s="81" t="n"/>
      <c r="BS1607" s="81" t="n"/>
      <c r="BT1607" s="81" t="n"/>
      <c r="BU1607" s="81" t="n"/>
      <c r="BV1607" s="81" t="n"/>
      <c r="BW1607" s="81" t="n"/>
      <c r="BX1607" s="81" t="n"/>
      <c r="BY1607" s="81" t="n"/>
      <c r="BZ1607" s="81" t="n"/>
      <c r="CA1607" s="81" t="n"/>
      <c r="CB1607" s="81" t="n"/>
      <c r="CC1607" s="81" t="n"/>
      <c r="CD1607" s="81" t="n"/>
      <c r="CE1607" s="81" t="n"/>
      <c r="CF1607" s="81" t="n"/>
      <c r="CG1607" s="81" t="n"/>
      <c r="CH1607" s="81" t="n"/>
    </row>
    <row r="1608">
      <c r="A1608" s="81" t="n"/>
      <c r="B1608" s="81" t="n"/>
      <c r="C1608" s="81" t="n"/>
      <c r="D1608" s="81" t="n"/>
      <c r="E1608" s="81" t="n"/>
      <c r="F1608" s="81" t="n"/>
      <c r="G1608" s="81" t="n"/>
      <c r="H1608" s="81" t="n"/>
      <c r="I1608" s="81" t="n"/>
      <c r="J1608" s="81" t="n"/>
      <c r="K1608" s="81" t="n"/>
      <c r="L1608" s="81" t="n"/>
      <c r="M1608" s="81" t="n"/>
      <c r="N1608" s="81" t="n"/>
      <c r="O1608" s="81" t="n"/>
      <c r="P1608" s="81" t="n"/>
      <c r="Q1608" s="81" t="n"/>
      <c r="R1608" s="81" t="n"/>
      <c r="S1608" s="81" t="n"/>
      <c r="T1608" s="81" t="n"/>
      <c r="U1608" s="81" t="n"/>
      <c r="V1608" s="81" t="n"/>
      <c r="W1608" s="81" t="n"/>
      <c r="X1608" s="81" t="n"/>
      <c r="Y1608" s="81" t="n"/>
      <c r="Z1608" s="81" t="n"/>
      <c r="AA1608" s="81" t="n"/>
      <c r="AB1608" s="81" t="n"/>
      <c r="AC1608" s="81" t="n"/>
      <c r="AD1608" s="81" t="n"/>
      <c r="AE1608" s="81" t="n"/>
      <c r="AF1608" s="81" t="n"/>
      <c r="AG1608" s="81" t="n"/>
      <c r="AH1608" s="81" t="n"/>
      <c r="AI1608" s="81" t="n"/>
      <c r="AJ1608" s="81" t="n"/>
      <c r="AK1608" s="81" t="n"/>
      <c r="AL1608" s="81" t="n"/>
      <c r="AM1608" s="81" t="n"/>
      <c r="AN1608" s="81" t="n"/>
      <c r="AO1608" s="81" t="n"/>
      <c r="AP1608" s="81" t="n"/>
      <c r="AQ1608" s="81" t="n"/>
      <c r="AR1608" s="81" t="n"/>
      <c r="AS1608" s="81" t="n"/>
      <c r="AT1608" s="81" t="n"/>
      <c r="AU1608" s="81" t="n"/>
      <c r="AV1608" s="81" t="n"/>
      <c r="AW1608" s="81" t="n"/>
      <c r="AX1608" s="81" t="n"/>
      <c r="AY1608" s="81" t="n"/>
      <c r="AZ1608" s="81" t="n"/>
      <c r="BA1608" s="81" t="n"/>
      <c r="BB1608" s="81" t="n"/>
      <c r="BC1608" s="81" t="n"/>
      <c r="BD1608" s="81" t="n"/>
      <c r="BE1608" s="81" t="n"/>
      <c r="BF1608" s="81" t="n"/>
      <c r="BG1608" s="81" t="n"/>
      <c r="BH1608" s="81" t="n"/>
      <c r="BI1608" s="81" t="n"/>
      <c r="BJ1608" s="81" t="n"/>
      <c r="BK1608" s="81" t="n"/>
      <c r="BL1608" s="81" t="n"/>
      <c r="BM1608" s="81" t="n"/>
      <c r="BN1608" s="81" t="n"/>
      <c r="BO1608" s="81" t="n"/>
      <c r="BP1608" s="81" t="n"/>
      <c r="BQ1608" s="81" t="n"/>
      <c r="BR1608" s="81" t="n"/>
      <c r="BS1608" s="81" t="n"/>
      <c r="BT1608" s="81" t="n"/>
      <c r="BU1608" s="81" t="n"/>
      <c r="BV1608" s="81" t="n"/>
      <c r="BW1608" s="81" t="n"/>
      <c r="BX1608" s="81" t="n"/>
      <c r="BY1608" s="81" t="n"/>
      <c r="BZ1608" s="81" t="n"/>
      <c r="CA1608" s="81" t="n"/>
      <c r="CB1608" s="81" t="n"/>
      <c r="CC1608" s="81" t="n"/>
      <c r="CD1608" s="81" t="n"/>
      <c r="CE1608" s="81" t="n"/>
      <c r="CF1608" s="81" t="n"/>
      <c r="CG1608" s="81" t="n"/>
      <c r="CH1608" s="81" t="n"/>
    </row>
    <row r="1609">
      <c r="A1609" s="81" t="n"/>
      <c r="B1609" s="81" t="n"/>
      <c r="C1609" s="81" t="n"/>
      <c r="D1609" s="81" t="n"/>
      <c r="E1609" s="81" t="n"/>
      <c r="F1609" s="81" t="n"/>
      <c r="G1609" s="81" t="n"/>
      <c r="H1609" s="81" t="n"/>
      <c r="I1609" s="81" t="n"/>
      <c r="J1609" s="81" t="n"/>
      <c r="K1609" s="81" t="n"/>
      <c r="L1609" s="81" t="n"/>
      <c r="M1609" s="81" t="n"/>
      <c r="N1609" s="81" t="n"/>
      <c r="O1609" s="81" t="n"/>
      <c r="P1609" s="81" t="n"/>
      <c r="Q1609" s="81" t="n"/>
      <c r="R1609" s="81" t="n"/>
      <c r="S1609" s="81" t="n"/>
      <c r="T1609" s="81" t="n"/>
      <c r="U1609" s="81" t="n"/>
      <c r="V1609" s="81" t="n"/>
      <c r="W1609" s="81" t="n"/>
      <c r="X1609" s="81" t="n"/>
      <c r="Y1609" s="81" t="n"/>
      <c r="Z1609" s="81" t="n"/>
      <c r="AA1609" s="81" t="n"/>
      <c r="AB1609" s="81" t="n"/>
      <c r="AC1609" s="81" t="n"/>
      <c r="AD1609" s="81" t="n"/>
      <c r="AE1609" s="81" t="n"/>
      <c r="AF1609" s="81" t="n"/>
      <c r="AG1609" s="81" t="n"/>
      <c r="AH1609" s="81" t="n"/>
      <c r="AI1609" s="81" t="n"/>
      <c r="AJ1609" s="81" t="n"/>
      <c r="AK1609" s="81" t="n"/>
      <c r="AL1609" s="81" t="n"/>
      <c r="AM1609" s="81" t="n"/>
      <c r="AN1609" s="81" t="n"/>
      <c r="AO1609" s="81" t="n"/>
      <c r="AP1609" s="81" t="n"/>
      <c r="AQ1609" s="81" t="n"/>
      <c r="AR1609" s="81" t="n"/>
      <c r="AS1609" s="81" t="n"/>
      <c r="AT1609" s="81" t="n"/>
      <c r="AU1609" s="81" t="n"/>
      <c r="AV1609" s="81" t="n"/>
      <c r="AW1609" s="81" t="n"/>
      <c r="AX1609" s="81" t="n"/>
      <c r="AY1609" s="81" t="n"/>
      <c r="AZ1609" s="81" t="n"/>
      <c r="BA1609" s="81" t="n"/>
      <c r="BB1609" s="81" t="n"/>
      <c r="BC1609" s="81" t="n"/>
      <c r="BD1609" s="81" t="n"/>
      <c r="BE1609" s="81" t="n"/>
      <c r="BF1609" s="81" t="n"/>
      <c r="BG1609" s="81" t="n"/>
      <c r="BH1609" s="81" t="n"/>
      <c r="BI1609" s="81" t="n"/>
      <c r="BJ1609" s="81" t="n"/>
      <c r="BK1609" s="81" t="n"/>
      <c r="BL1609" s="81" t="n"/>
      <c r="BM1609" s="81" t="n"/>
      <c r="BN1609" s="81" t="n"/>
      <c r="BO1609" s="81" t="n"/>
      <c r="BP1609" s="81" t="n"/>
      <c r="BQ1609" s="81" t="n"/>
      <c r="BR1609" s="81" t="n"/>
      <c r="BS1609" s="81" t="n"/>
      <c r="BT1609" s="81" t="n"/>
      <c r="BU1609" s="81" t="n"/>
      <c r="BV1609" s="81" t="n"/>
      <c r="BW1609" s="81" t="n"/>
      <c r="BX1609" s="81" t="n"/>
      <c r="BY1609" s="81" t="n"/>
      <c r="BZ1609" s="81" t="n"/>
      <c r="CA1609" s="81" t="n"/>
      <c r="CB1609" s="81" t="n"/>
      <c r="CC1609" s="81" t="n"/>
      <c r="CD1609" s="81" t="n"/>
      <c r="CE1609" s="81" t="n"/>
      <c r="CF1609" s="81" t="n"/>
      <c r="CG1609" s="81" t="n"/>
      <c r="CH1609" s="81" t="n"/>
    </row>
    <row r="1610">
      <c r="A1610" s="81" t="n"/>
      <c r="B1610" s="81" t="n"/>
      <c r="C1610" s="81" t="n"/>
      <c r="D1610" s="81" t="n"/>
      <c r="E1610" s="81" t="n"/>
      <c r="F1610" s="81" t="n"/>
      <c r="G1610" s="81" t="n"/>
      <c r="H1610" s="81" t="n"/>
      <c r="I1610" s="81" t="n"/>
      <c r="J1610" s="81" t="n"/>
      <c r="K1610" s="81" t="n"/>
      <c r="L1610" s="81" t="n"/>
      <c r="M1610" s="81" t="n"/>
      <c r="N1610" s="81" t="n"/>
      <c r="O1610" s="81" t="n"/>
      <c r="P1610" s="81" t="n"/>
      <c r="Q1610" s="81" t="n"/>
      <c r="R1610" s="81" t="n"/>
      <c r="S1610" s="81" t="n"/>
      <c r="T1610" s="81" t="n"/>
      <c r="U1610" s="81" t="n"/>
      <c r="V1610" s="81" t="n"/>
      <c r="W1610" s="81" t="n"/>
      <c r="X1610" s="81" t="n"/>
      <c r="Y1610" s="81" t="n"/>
      <c r="Z1610" s="81" t="n"/>
      <c r="AA1610" s="81" t="n"/>
      <c r="AB1610" s="81" t="n"/>
      <c r="AC1610" s="81" t="n"/>
      <c r="AD1610" s="81" t="n"/>
      <c r="AE1610" s="81" t="n"/>
      <c r="AF1610" s="81" t="n"/>
      <c r="AG1610" s="81" t="n"/>
      <c r="AH1610" s="81" t="n"/>
      <c r="AI1610" s="81" t="n"/>
      <c r="AJ1610" s="81" t="n"/>
      <c r="AK1610" s="81" t="n"/>
      <c r="AL1610" s="81" t="n"/>
      <c r="AM1610" s="81" t="n"/>
      <c r="AN1610" s="81" t="n"/>
      <c r="AO1610" s="81" t="n"/>
      <c r="AP1610" s="81" t="n"/>
      <c r="AQ1610" s="81" t="n"/>
      <c r="AR1610" s="81" t="n"/>
      <c r="AS1610" s="81" t="n"/>
      <c r="AT1610" s="81" t="n"/>
      <c r="AU1610" s="81" t="n"/>
      <c r="AV1610" s="81" t="n"/>
      <c r="AW1610" s="81" t="n"/>
      <c r="AX1610" s="81" t="n"/>
      <c r="AY1610" s="81" t="n"/>
      <c r="AZ1610" s="81" t="n"/>
      <c r="BA1610" s="81" t="n"/>
      <c r="BB1610" s="81" t="n"/>
      <c r="BC1610" s="81" t="n"/>
      <c r="BD1610" s="81" t="n"/>
      <c r="BE1610" s="81" t="n"/>
      <c r="BF1610" s="81" t="n"/>
      <c r="BG1610" s="81" t="n"/>
      <c r="BH1610" s="81" t="n"/>
      <c r="BI1610" s="81" t="n"/>
      <c r="BJ1610" s="81" t="n"/>
      <c r="BK1610" s="81" t="n"/>
      <c r="BL1610" s="81" t="n"/>
      <c r="BM1610" s="81" t="n"/>
      <c r="BN1610" s="81" t="n"/>
      <c r="BO1610" s="81" t="n"/>
      <c r="BP1610" s="81" t="n"/>
      <c r="BQ1610" s="81" t="n"/>
      <c r="BR1610" s="81" t="n"/>
      <c r="BS1610" s="81" t="n"/>
      <c r="BT1610" s="81" t="n"/>
      <c r="BU1610" s="81" t="n"/>
      <c r="BV1610" s="81" t="n"/>
      <c r="BW1610" s="81" t="n"/>
      <c r="BX1610" s="81" t="n"/>
      <c r="BY1610" s="81" t="n"/>
      <c r="BZ1610" s="81" t="n"/>
      <c r="CA1610" s="81" t="n"/>
      <c r="CB1610" s="81" t="n"/>
      <c r="CC1610" s="81" t="n"/>
      <c r="CD1610" s="81" t="n"/>
      <c r="CE1610" s="81" t="n"/>
      <c r="CF1610" s="81" t="n"/>
      <c r="CG1610" s="81" t="n"/>
      <c r="CH1610" s="81" t="n"/>
    </row>
    <row r="1611">
      <c r="A1611" s="81" t="n"/>
      <c r="B1611" s="81" t="n"/>
      <c r="C1611" s="81" t="n"/>
      <c r="D1611" s="81" t="n"/>
      <c r="E1611" s="81" t="n"/>
      <c r="F1611" s="81" t="n"/>
      <c r="G1611" s="81" t="n"/>
      <c r="H1611" s="81" t="n"/>
      <c r="I1611" s="81" t="n"/>
      <c r="J1611" s="81" t="n"/>
      <c r="K1611" s="81" t="n"/>
      <c r="L1611" s="81" t="n"/>
      <c r="M1611" s="81" t="n"/>
      <c r="N1611" s="81" t="n"/>
      <c r="O1611" s="81" t="n"/>
      <c r="P1611" s="81" t="n"/>
      <c r="Q1611" s="81" t="n"/>
      <c r="R1611" s="81" t="n"/>
      <c r="S1611" s="81" t="n"/>
      <c r="T1611" s="81" t="n"/>
      <c r="U1611" s="81" t="n"/>
      <c r="V1611" s="81" t="n"/>
      <c r="W1611" s="81" t="n"/>
      <c r="X1611" s="81" t="n"/>
      <c r="Y1611" s="81" t="n"/>
      <c r="Z1611" s="81" t="n"/>
      <c r="AA1611" s="81" t="n"/>
      <c r="AB1611" s="81" t="n"/>
      <c r="AC1611" s="81" t="n"/>
      <c r="AD1611" s="81" t="n"/>
      <c r="AE1611" s="81" t="n"/>
      <c r="AF1611" s="81" t="n"/>
      <c r="AG1611" s="81" t="n"/>
      <c r="AH1611" s="81" t="n"/>
      <c r="AI1611" s="81" t="n"/>
      <c r="AJ1611" s="81" t="n"/>
      <c r="AK1611" s="81" t="n"/>
      <c r="AL1611" s="81" t="n"/>
      <c r="AM1611" s="81" t="n"/>
      <c r="AN1611" s="81" t="n"/>
      <c r="AO1611" s="81" t="n"/>
      <c r="AP1611" s="81" t="n"/>
      <c r="AQ1611" s="81" t="n"/>
      <c r="AR1611" s="81" t="n"/>
      <c r="AS1611" s="81" t="n"/>
      <c r="AT1611" s="81" t="n"/>
      <c r="AU1611" s="81" t="n"/>
      <c r="AV1611" s="81" t="n"/>
      <c r="AW1611" s="81" t="n"/>
      <c r="AX1611" s="81" t="n"/>
      <c r="AY1611" s="81" t="n"/>
      <c r="AZ1611" s="81" t="n"/>
      <c r="BA1611" s="81" t="n"/>
      <c r="BB1611" s="81" t="n"/>
      <c r="BC1611" s="81" t="n"/>
      <c r="BD1611" s="81" t="n"/>
      <c r="BE1611" s="81" t="n"/>
      <c r="BF1611" s="81" t="n"/>
      <c r="BG1611" s="81" t="n"/>
      <c r="BH1611" s="81" t="n"/>
      <c r="BI1611" s="81" t="n"/>
      <c r="BJ1611" s="81" t="n"/>
      <c r="BK1611" s="81" t="n"/>
      <c r="BL1611" s="81" t="n"/>
      <c r="BM1611" s="81" t="n"/>
      <c r="BN1611" s="81" t="n"/>
      <c r="BO1611" s="81" t="n"/>
      <c r="BP1611" s="81" t="n"/>
      <c r="BQ1611" s="81" t="n"/>
      <c r="BR1611" s="81" t="n"/>
      <c r="BS1611" s="81" t="n"/>
      <c r="BT1611" s="81" t="n"/>
      <c r="BU1611" s="81" t="n"/>
      <c r="BV1611" s="81" t="n"/>
      <c r="BW1611" s="81" t="n"/>
      <c r="BX1611" s="81" t="n"/>
      <c r="BY1611" s="81" t="n"/>
      <c r="BZ1611" s="81" t="n"/>
      <c r="CA1611" s="81" t="n"/>
      <c r="CB1611" s="81" t="n"/>
      <c r="CC1611" s="81" t="n"/>
      <c r="CD1611" s="81" t="n"/>
      <c r="CE1611" s="81" t="n"/>
      <c r="CF1611" s="81" t="n"/>
      <c r="CG1611" s="81" t="n"/>
      <c r="CH1611" s="81" t="n"/>
    </row>
    <row r="1612">
      <c r="A1612" s="81" t="n"/>
      <c r="B1612" s="81" t="n"/>
      <c r="C1612" s="81" t="n"/>
      <c r="D1612" s="81" t="n"/>
      <c r="E1612" s="81" t="n"/>
      <c r="F1612" s="81" t="n"/>
      <c r="G1612" s="81" t="n"/>
      <c r="H1612" s="81" t="n"/>
      <c r="I1612" s="81" t="n"/>
      <c r="J1612" s="81" t="n"/>
      <c r="K1612" s="81" t="n"/>
      <c r="L1612" s="81" t="n"/>
      <c r="M1612" s="81" t="n"/>
      <c r="N1612" s="81" t="n"/>
      <c r="O1612" s="81" t="n"/>
      <c r="P1612" s="81" t="n"/>
      <c r="Q1612" s="81" t="n"/>
      <c r="R1612" s="81" t="n"/>
      <c r="S1612" s="81" t="n"/>
      <c r="T1612" s="81" t="n"/>
      <c r="U1612" s="81" t="n"/>
      <c r="V1612" s="81" t="n"/>
      <c r="W1612" s="81" t="n"/>
      <c r="X1612" s="81" t="n"/>
      <c r="Y1612" s="81" t="n"/>
      <c r="Z1612" s="81" t="n"/>
      <c r="AA1612" s="81" t="n"/>
      <c r="AB1612" s="81" t="n"/>
      <c r="AC1612" s="81" t="n"/>
      <c r="AD1612" s="81" t="n"/>
      <c r="AE1612" s="81" t="n"/>
      <c r="AF1612" s="81" t="n"/>
      <c r="AG1612" s="81" t="n"/>
      <c r="AH1612" s="81" t="n"/>
      <c r="AI1612" s="81" t="n"/>
      <c r="AJ1612" s="81" t="n"/>
      <c r="AK1612" s="81" t="n"/>
      <c r="AL1612" s="81" t="n"/>
      <c r="AM1612" s="81" t="n"/>
      <c r="AN1612" s="81" t="n"/>
      <c r="AO1612" s="81" t="n"/>
      <c r="AP1612" s="81" t="n"/>
      <c r="AQ1612" s="81" t="n"/>
      <c r="AR1612" s="81" t="n"/>
      <c r="AS1612" s="81" t="n"/>
      <c r="AT1612" s="81" t="n"/>
      <c r="AU1612" s="81" t="n"/>
      <c r="AV1612" s="81" t="n"/>
      <c r="AW1612" s="81" t="n"/>
      <c r="AX1612" s="81" t="n"/>
      <c r="AY1612" s="81" t="n"/>
      <c r="AZ1612" s="81" t="n"/>
      <c r="BA1612" s="81" t="n"/>
      <c r="BB1612" s="81" t="n"/>
      <c r="BC1612" s="81" t="n"/>
      <c r="BD1612" s="81" t="n"/>
      <c r="BE1612" s="81" t="n"/>
      <c r="BF1612" s="81" t="n"/>
      <c r="BG1612" s="81" t="n"/>
      <c r="BH1612" s="81" t="n"/>
      <c r="BI1612" s="81" t="n"/>
      <c r="BJ1612" s="81" t="n"/>
      <c r="BK1612" s="81" t="n"/>
      <c r="BL1612" s="81" t="n"/>
      <c r="BM1612" s="81" t="n"/>
      <c r="BN1612" s="81" t="n"/>
      <c r="BO1612" s="81" t="n"/>
      <c r="BP1612" s="81" t="n"/>
      <c r="BQ1612" s="81" t="n"/>
      <c r="BR1612" s="81" t="n"/>
      <c r="BS1612" s="81" t="n"/>
      <c r="BT1612" s="81" t="n"/>
      <c r="BU1612" s="81" t="n"/>
      <c r="BV1612" s="81" t="n"/>
      <c r="BW1612" s="81" t="n"/>
      <c r="BX1612" s="81" t="n"/>
      <c r="BY1612" s="81" t="n"/>
      <c r="BZ1612" s="81" t="n"/>
      <c r="CA1612" s="81" t="n"/>
      <c r="CB1612" s="81" t="n"/>
      <c r="CC1612" s="81" t="n"/>
      <c r="CD1612" s="81" t="n"/>
      <c r="CE1612" s="81" t="n"/>
      <c r="CF1612" s="81" t="n"/>
      <c r="CG1612" s="81" t="n"/>
      <c r="CH1612" s="81" t="n"/>
    </row>
    <row r="1613">
      <c r="A1613" s="81" t="n"/>
      <c r="B1613" s="81" t="n"/>
      <c r="C1613" s="81" t="n"/>
      <c r="D1613" s="81" t="n"/>
      <c r="E1613" s="81" t="n"/>
      <c r="F1613" s="81" t="n"/>
      <c r="G1613" s="81" t="n"/>
      <c r="H1613" s="81" t="n"/>
      <c r="I1613" s="81" t="n"/>
      <c r="J1613" s="81" t="n"/>
      <c r="K1613" s="81" t="n"/>
      <c r="L1613" s="81" t="n"/>
      <c r="M1613" s="81" t="n"/>
      <c r="N1613" s="81" t="n"/>
      <c r="O1613" s="81" t="n"/>
      <c r="P1613" s="81" t="n"/>
      <c r="Q1613" s="81" t="n"/>
      <c r="R1613" s="81" t="n"/>
      <c r="S1613" s="81" t="n"/>
      <c r="T1613" s="81" t="n"/>
      <c r="U1613" s="81" t="n"/>
      <c r="V1613" s="81" t="n"/>
      <c r="W1613" s="81" t="n"/>
      <c r="X1613" s="81" t="n"/>
      <c r="Y1613" s="81" t="n"/>
      <c r="Z1613" s="81" t="n"/>
      <c r="AA1613" s="81" t="n"/>
      <c r="AB1613" s="81" t="n"/>
      <c r="AC1613" s="81" t="n"/>
      <c r="AD1613" s="81" t="n"/>
      <c r="AE1613" s="81" t="n"/>
      <c r="AF1613" s="81" t="n"/>
      <c r="AG1613" s="81" t="n"/>
      <c r="AH1613" s="81" t="n"/>
      <c r="AI1613" s="81" t="n"/>
      <c r="AJ1613" s="81" t="n"/>
      <c r="AK1613" s="81" t="n"/>
      <c r="AL1613" s="81" t="n"/>
      <c r="AM1613" s="81" t="n"/>
      <c r="AN1613" s="81" t="n"/>
      <c r="AO1613" s="81" t="n"/>
      <c r="AP1613" s="81" t="n"/>
      <c r="AQ1613" s="81" t="n"/>
      <c r="AR1613" s="81" t="n"/>
      <c r="AS1613" s="81" t="n"/>
      <c r="AT1613" s="81" t="n"/>
      <c r="AU1613" s="81" t="n"/>
      <c r="AV1613" s="81" t="n"/>
      <c r="AW1613" s="81" t="n"/>
      <c r="AX1613" s="81" t="n"/>
      <c r="AY1613" s="81" t="n"/>
      <c r="AZ1613" s="81" t="n"/>
      <c r="BA1613" s="81" t="n"/>
      <c r="BB1613" s="81" t="n"/>
      <c r="BC1613" s="81" t="n"/>
      <c r="BD1613" s="81" t="n"/>
      <c r="BE1613" s="81" t="n"/>
      <c r="BF1613" s="81" t="n"/>
      <c r="BG1613" s="81" t="n"/>
      <c r="BH1613" s="81" t="n"/>
      <c r="BI1613" s="81" t="n"/>
      <c r="BJ1613" s="81" t="n"/>
      <c r="BK1613" s="81" t="n"/>
      <c r="BL1613" s="81" t="n"/>
      <c r="BM1613" s="81" t="n"/>
      <c r="BN1613" s="81" t="n"/>
      <c r="BO1613" s="81" t="n"/>
      <c r="BP1613" s="81" t="n"/>
      <c r="BQ1613" s="81" t="n"/>
      <c r="BR1613" s="81" t="n"/>
      <c r="BS1613" s="81" t="n"/>
      <c r="BT1613" s="81" t="n"/>
      <c r="BU1613" s="81" t="n"/>
      <c r="BV1613" s="81" t="n"/>
      <c r="BW1613" s="81" t="n"/>
      <c r="BX1613" s="81" t="n"/>
      <c r="BY1613" s="81" t="n"/>
      <c r="BZ1613" s="81" t="n"/>
      <c r="CA1613" s="81" t="n"/>
      <c r="CB1613" s="81" t="n"/>
      <c r="CC1613" s="81" t="n"/>
      <c r="CD1613" s="81" t="n"/>
      <c r="CE1613" s="81" t="n"/>
      <c r="CF1613" s="81" t="n"/>
      <c r="CG1613" s="81" t="n"/>
      <c r="CH1613" s="81" t="n"/>
    </row>
    <row r="1614">
      <c r="A1614" s="81" t="n"/>
      <c r="B1614" s="81" t="n"/>
      <c r="C1614" s="81" t="n"/>
      <c r="D1614" s="81" t="n"/>
      <c r="E1614" s="81" t="n"/>
      <c r="F1614" s="81" t="n"/>
      <c r="G1614" s="81" t="n"/>
      <c r="H1614" s="81" t="n"/>
      <c r="I1614" s="81" t="n"/>
      <c r="J1614" s="81" t="n"/>
      <c r="K1614" s="81" t="n"/>
      <c r="L1614" s="81" t="n"/>
      <c r="M1614" s="81" t="n"/>
      <c r="N1614" s="81" t="n"/>
      <c r="O1614" s="81" t="n"/>
      <c r="P1614" s="81" t="n"/>
      <c r="Q1614" s="81" t="n"/>
      <c r="R1614" s="81" t="n"/>
      <c r="S1614" s="81" t="n"/>
      <c r="T1614" s="81" t="n"/>
      <c r="U1614" s="81" t="n"/>
      <c r="V1614" s="81" t="n"/>
      <c r="W1614" s="81" t="n"/>
      <c r="X1614" s="81" t="n"/>
      <c r="Y1614" s="81" t="n"/>
      <c r="Z1614" s="81" t="n"/>
      <c r="AA1614" s="81" t="n"/>
      <c r="AB1614" s="81" t="n"/>
      <c r="AC1614" s="81" t="n"/>
      <c r="AD1614" s="81" t="n"/>
      <c r="AE1614" s="81" t="n"/>
      <c r="AF1614" s="81" t="n"/>
      <c r="AG1614" s="81" t="n"/>
      <c r="AH1614" s="81" t="n"/>
      <c r="AI1614" s="81" t="n"/>
      <c r="AJ1614" s="81" t="n"/>
      <c r="AK1614" s="81" t="n"/>
      <c r="AL1614" s="81" t="n"/>
      <c r="AM1614" s="81" t="n"/>
      <c r="AN1614" s="81" t="n"/>
      <c r="AO1614" s="81" t="n"/>
      <c r="AP1614" s="81" t="n"/>
      <c r="AQ1614" s="81" t="n"/>
      <c r="AR1614" s="81" t="n"/>
      <c r="AS1614" s="81" t="n"/>
      <c r="AT1614" s="81" t="n"/>
      <c r="AU1614" s="81" t="n"/>
      <c r="AV1614" s="81" t="n"/>
      <c r="AW1614" s="81" t="n"/>
      <c r="AX1614" s="81" t="n"/>
      <c r="AY1614" s="81" t="n"/>
      <c r="AZ1614" s="81" t="n"/>
      <c r="BA1614" s="81" t="n"/>
      <c r="BB1614" s="81" t="n"/>
      <c r="BC1614" s="81" t="n"/>
      <c r="BD1614" s="81" t="n"/>
      <c r="BE1614" s="81" t="n"/>
      <c r="BF1614" s="81" t="n"/>
      <c r="BG1614" s="81" t="n"/>
      <c r="BH1614" s="81" t="n"/>
      <c r="BI1614" s="81" t="n"/>
      <c r="BJ1614" s="81" t="n"/>
      <c r="BK1614" s="81" t="n"/>
      <c r="BL1614" s="81" t="n"/>
      <c r="BM1614" s="81" t="n"/>
      <c r="BN1614" s="81" t="n"/>
      <c r="BO1614" s="81" t="n"/>
      <c r="BP1614" s="81" t="n"/>
      <c r="BQ1614" s="81" t="n"/>
      <c r="BR1614" s="81" t="n"/>
      <c r="BS1614" s="81" t="n"/>
      <c r="BT1614" s="81" t="n"/>
      <c r="BU1614" s="81" t="n"/>
      <c r="BV1614" s="81" t="n"/>
      <c r="BW1614" s="81" t="n"/>
      <c r="BX1614" s="81" t="n"/>
      <c r="BY1614" s="81" t="n"/>
      <c r="BZ1614" s="81" t="n"/>
      <c r="CA1614" s="81" t="n"/>
      <c r="CB1614" s="81" t="n"/>
      <c r="CC1614" s="81" t="n"/>
      <c r="CD1614" s="81" t="n"/>
      <c r="CE1614" s="81" t="n"/>
      <c r="CF1614" s="81" t="n"/>
      <c r="CG1614" s="81" t="n"/>
      <c r="CH1614" s="81" t="n"/>
    </row>
    <row r="1615">
      <c r="A1615" s="81" t="n"/>
      <c r="B1615" s="81" t="n"/>
      <c r="C1615" s="81" t="n"/>
      <c r="D1615" s="81" t="n"/>
      <c r="E1615" s="81" t="n"/>
      <c r="F1615" s="81" t="n"/>
      <c r="G1615" s="81" t="n"/>
      <c r="H1615" s="81" t="n"/>
      <c r="I1615" s="81" t="n"/>
      <c r="J1615" s="81" t="n"/>
      <c r="K1615" s="81" t="n"/>
      <c r="L1615" s="81" t="n"/>
      <c r="M1615" s="81" t="n"/>
      <c r="N1615" s="81" t="n"/>
      <c r="O1615" s="81" t="n"/>
      <c r="P1615" s="81" t="n"/>
      <c r="Q1615" s="81" t="n"/>
      <c r="R1615" s="81" t="n"/>
      <c r="S1615" s="81" t="n"/>
      <c r="T1615" s="81" t="n"/>
      <c r="U1615" s="81" t="n"/>
      <c r="V1615" s="81" t="n"/>
      <c r="W1615" s="81" t="n"/>
      <c r="X1615" s="81" t="n"/>
      <c r="Y1615" s="81" t="n"/>
      <c r="Z1615" s="81" t="n"/>
      <c r="AA1615" s="81" t="n"/>
      <c r="AB1615" s="81" t="n"/>
      <c r="AC1615" s="81" t="n"/>
      <c r="AD1615" s="81" t="n"/>
      <c r="AE1615" s="81" t="n"/>
      <c r="AF1615" s="81" t="n"/>
      <c r="AG1615" s="81" t="n"/>
      <c r="AH1615" s="81" t="n"/>
      <c r="AI1615" s="81" t="n"/>
      <c r="AJ1615" s="81" t="n"/>
      <c r="AK1615" s="81" t="n"/>
      <c r="AL1615" s="81" t="n"/>
      <c r="AM1615" s="81" t="n"/>
      <c r="AN1615" s="81" t="n"/>
      <c r="AO1615" s="81" t="n"/>
      <c r="AP1615" s="81" t="n"/>
      <c r="AQ1615" s="81" t="n"/>
      <c r="AR1615" s="81" t="n"/>
      <c r="AS1615" s="81" t="n"/>
      <c r="AT1615" s="81" t="n"/>
      <c r="AU1615" s="81" t="n"/>
      <c r="AV1615" s="81" t="n"/>
      <c r="AW1615" s="81" t="n"/>
      <c r="AX1615" s="81" t="n"/>
      <c r="AY1615" s="81" t="n"/>
      <c r="AZ1615" s="81" t="n"/>
      <c r="BA1615" s="81" t="n"/>
      <c r="BB1615" s="81" t="n"/>
      <c r="BC1615" s="81" t="n"/>
      <c r="BD1615" s="81" t="n"/>
      <c r="BE1615" s="81" t="n"/>
      <c r="BF1615" s="81" t="n"/>
      <c r="BG1615" s="81" t="n"/>
      <c r="BH1615" s="81" t="n"/>
      <c r="BI1615" s="81" t="n"/>
      <c r="BJ1615" s="81" t="n"/>
      <c r="BK1615" s="81" t="n"/>
      <c r="BL1615" s="81" t="n"/>
      <c r="BM1615" s="81" t="n"/>
      <c r="BN1615" s="81" t="n"/>
      <c r="BO1615" s="81" t="n"/>
      <c r="BP1615" s="81" t="n"/>
      <c r="BQ1615" s="81" t="n"/>
      <c r="BR1615" s="81" t="n"/>
      <c r="BS1615" s="81" t="n"/>
      <c r="BT1615" s="81" t="n"/>
      <c r="BU1615" s="81" t="n"/>
      <c r="BV1615" s="81" t="n"/>
      <c r="BW1615" s="81" t="n"/>
      <c r="BX1615" s="81" t="n"/>
      <c r="BY1615" s="81" t="n"/>
      <c r="BZ1615" s="81" t="n"/>
      <c r="CA1615" s="81" t="n"/>
      <c r="CB1615" s="81" t="n"/>
      <c r="CC1615" s="81" t="n"/>
      <c r="CD1615" s="81" t="n"/>
      <c r="CE1615" s="81" t="n"/>
      <c r="CF1615" s="81" t="n"/>
      <c r="CG1615" s="81" t="n"/>
      <c r="CH1615" s="81" t="n"/>
    </row>
    <row r="1616">
      <c r="A1616" s="81" t="n"/>
      <c r="B1616" s="81" t="n"/>
      <c r="C1616" s="81" t="n"/>
      <c r="D1616" s="81" t="n"/>
      <c r="E1616" s="81" t="n"/>
      <c r="F1616" s="81" t="n"/>
      <c r="G1616" s="81" t="n"/>
      <c r="H1616" s="81" t="n"/>
      <c r="I1616" s="81" t="n"/>
      <c r="J1616" s="81" t="n"/>
      <c r="K1616" s="81" t="n"/>
      <c r="L1616" s="81" t="n"/>
      <c r="M1616" s="81" t="n"/>
      <c r="N1616" s="81" t="n"/>
      <c r="O1616" s="81" t="n"/>
      <c r="P1616" s="81" t="n"/>
      <c r="Q1616" s="81" t="n"/>
      <c r="R1616" s="81" t="n"/>
      <c r="S1616" s="81" t="n"/>
      <c r="T1616" s="81" t="n"/>
      <c r="U1616" s="81" t="n"/>
      <c r="V1616" s="81" t="n"/>
      <c r="W1616" s="81" t="n"/>
      <c r="X1616" s="81" t="n"/>
      <c r="Y1616" s="81" t="n"/>
      <c r="Z1616" s="81" t="n"/>
      <c r="AA1616" s="81" t="n"/>
      <c r="AB1616" s="81" t="n"/>
      <c r="AC1616" s="81" t="n"/>
      <c r="AD1616" s="81" t="n"/>
      <c r="AE1616" s="81" t="n"/>
      <c r="AF1616" s="81" t="n"/>
      <c r="AG1616" s="81" t="n"/>
      <c r="AH1616" s="81" t="n"/>
      <c r="AI1616" s="81" t="n"/>
      <c r="AJ1616" s="81" t="n"/>
      <c r="AK1616" s="81" t="n"/>
      <c r="AL1616" s="81" t="n"/>
      <c r="AM1616" s="81" t="n"/>
      <c r="AN1616" s="81" t="n"/>
      <c r="AO1616" s="81" t="n"/>
      <c r="AP1616" s="81" t="n"/>
      <c r="AQ1616" s="81" t="n"/>
      <c r="AR1616" s="81" t="n"/>
      <c r="AS1616" s="81" t="n"/>
      <c r="AT1616" s="81" t="n"/>
      <c r="AU1616" s="81" t="n"/>
      <c r="AV1616" s="81" t="n"/>
      <c r="AW1616" s="81" t="n"/>
      <c r="AX1616" s="81" t="n"/>
      <c r="AY1616" s="81" t="n"/>
      <c r="AZ1616" s="81" t="n"/>
      <c r="BA1616" s="81" t="n"/>
      <c r="BB1616" s="81" t="n"/>
      <c r="BC1616" s="81" t="n"/>
      <c r="BD1616" s="81" t="n"/>
      <c r="BE1616" s="81" t="n"/>
      <c r="BF1616" s="81" t="n"/>
      <c r="BG1616" s="81" t="n"/>
      <c r="BH1616" s="81" t="n"/>
      <c r="BI1616" s="81" t="n"/>
      <c r="BJ1616" s="81" t="n"/>
      <c r="BK1616" s="81" t="n"/>
      <c r="BL1616" s="81" t="n"/>
      <c r="BM1616" s="81" t="n"/>
      <c r="BN1616" s="81" t="n"/>
      <c r="BO1616" s="81" t="n"/>
      <c r="BP1616" s="81" t="n"/>
      <c r="BQ1616" s="81" t="n"/>
      <c r="BR1616" s="81" t="n"/>
      <c r="BS1616" s="81" t="n"/>
      <c r="BT1616" s="81" t="n"/>
      <c r="BU1616" s="81" t="n"/>
      <c r="BV1616" s="81" t="n"/>
      <c r="BW1616" s="81" t="n"/>
      <c r="BX1616" s="81" t="n"/>
      <c r="BY1616" s="81" t="n"/>
      <c r="BZ1616" s="81" t="n"/>
      <c r="CA1616" s="81" t="n"/>
      <c r="CB1616" s="81" t="n"/>
      <c r="CC1616" s="81" t="n"/>
      <c r="CD1616" s="81" t="n"/>
      <c r="CE1616" s="81" t="n"/>
      <c r="CF1616" s="81" t="n"/>
      <c r="CG1616" s="81" t="n"/>
      <c r="CH1616" s="81" t="n"/>
    </row>
    <row r="1617">
      <c r="A1617" s="81" t="n"/>
      <c r="B1617" s="81" t="n"/>
      <c r="C1617" s="81" t="n"/>
      <c r="D1617" s="81" t="n"/>
      <c r="E1617" s="81" t="n"/>
      <c r="F1617" s="81" t="n"/>
      <c r="G1617" s="81" t="n"/>
      <c r="H1617" s="81" t="n"/>
      <c r="I1617" s="81" t="n"/>
      <c r="J1617" s="81" t="n"/>
      <c r="K1617" s="81" t="n"/>
      <c r="L1617" s="81" t="n"/>
      <c r="M1617" s="81" t="n"/>
      <c r="N1617" s="81" t="n"/>
      <c r="O1617" s="81" t="n"/>
      <c r="P1617" s="81" t="n"/>
      <c r="Q1617" s="81" t="n"/>
      <c r="R1617" s="81" t="n"/>
      <c r="S1617" s="81" t="n"/>
      <c r="T1617" s="81" t="n"/>
      <c r="U1617" s="81" t="n"/>
      <c r="V1617" s="81" t="n"/>
      <c r="W1617" s="81" t="n"/>
      <c r="X1617" s="81" t="n"/>
      <c r="Y1617" s="81" t="n"/>
      <c r="Z1617" s="81" t="n"/>
      <c r="AA1617" s="81" t="n"/>
      <c r="AB1617" s="81" t="n"/>
      <c r="AC1617" s="81" t="n"/>
      <c r="AD1617" s="81" t="n"/>
      <c r="AE1617" s="81" t="n"/>
      <c r="AF1617" s="81" t="n"/>
      <c r="AG1617" s="81" t="n"/>
      <c r="AH1617" s="81" t="n"/>
      <c r="AI1617" s="81" t="n"/>
      <c r="AJ1617" s="81" t="n"/>
      <c r="AK1617" s="81" t="n"/>
      <c r="AL1617" s="81" t="n"/>
      <c r="AM1617" s="81" t="n"/>
      <c r="AN1617" s="81" t="n"/>
      <c r="AO1617" s="81" t="n"/>
      <c r="AP1617" s="81" t="n"/>
      <c r="AQ1617" s="81" t="n"/>
      <c r="AR1617" s="81" t="n"/>
      <c r="AS1617" s="81" t="n"/>
      <c r="AT1617" s="81" t="n"/>
      <c r="AU1617" s="81" t="n"/>
      <c r="AV1617" s="81" t="n"/>
      <c r="AW1617" s="81" t="n"/>
      <c r="AX1617" s="81" t="n"/>
      <c r="AY1617" s="81" t="n"/>
      <c r="AZ1617" s="81" t="n"/>
      <c r="BA1617" s="81" t="n"/>
      <c r="BB1617" s="81" t="n"/>
      <c r="BC1617" s="81" t="n"/>
      <c r="BD1617" s="81" t="n"/>
      <c r="BE1617" s="81" t="n"/>
      <c r="BF1617" s="81" t="n"/>
      <c r="BG1617" s="81" t="n"/>
      <c r="BH1617" s="81" t="n"/>
      <c r="BI1617" s="81" t="n"/>
      <c r="BJ1617" s="81" t="n"/>
      <c r="BK1617" s="81" t="n"/>
      <c r="BL1617" s="81" t="n"/>
      <c r="BM1617" s="81" t="n"/>
      <c r="BN1617" s="81" t="n"/>
      <c r="BO1617" s="81" t="n"/>
      <c r="BP1617" s="81" t="n"/>
      <c r="BQ1617" s="81" t="n"/>
      <c r="BR1617" s="81" t="n"/>
      <c r="BS1617" s="81" t="n"/>
      <c r="BT1617" s="81" t="n"/>
      <c r="BU1617" s="81" t="n"/>
      <c r="BV1617" s="81" t="n"/>
      <c r="BW1617" s="81" t="n"/>
      <c r="BX1617" s="81" t="n"/>
      <c r="BY1617" s="81" t="n"/>
      <c r="BZ1617" s="81" t="n"/>
      <c r="CA1617" s="81" t="n"/>
      <c r="CB1617" s="81" t="n"/>
      <c r="CC1617" s="81" t="n"/>
      <c r="CD1617" s="81" t="n"/>
      <c r="CE1617" s="81" t="n"/>
      <c r="CF1617" s="81" t="n"/>
      <c r="CG1617" s="81" t="n"/>
      <c r="CH1617" s="81" t="n"/>
    </row>
    <row r="1618">
      <c r="A1618" s="81" t="n"/>
      <c r="B1618" s="81" t="n"/>
      <c r="C1618" s="81" t="n"/>
      <c r="D1618" s="81" t="n"/>
      <c r="E1618" s="81" t="n"/>
      <c r="F1618" s="81" t="n"/>
      <c r="G1618" s="81" t="n"/>
      <c r="H1618" s="81" t="n"/>
      <c r="I1618" s="81" t="n"/>
      <c r="J1618" s="81" t="n"/>
      <c r="K1618" s="81" t="n"/>
      <c r="L1618" s="81" t="n"/>
      <c r="M1618" s="81" t="n"/>
      <c r="N1618" s="81" t="n"/>
      <c r="O1618" s="81" t="n"/>
      <c r="P1618" s="81" t="n"/>
      <c r="Q1618" s="81" t="n"/>
      <c r="R1618" s="81" t="n"/>
      <c r="S1618" s="81" t="n"/>
      <c r="T1618" s="81" t="n"/>
      <c r="U1618" s="81" t="n"/>
      <c r="V1618" s="81" t="n"/>
      <c r="W1618" s="81" t="n"/>
      <c r="X1618" s="81" t="n"/>
      <c r="Y1618" s="81" t="n"/>
      <c r="Z1618" s="81" t="n"/>
      <c r="AA1618" s="81" t="n"/>
      <c r="AB1618" s="81" t="n"/>
      <c r="AC1618" s="81" t="n"/>
      <c r="AD1618" s="81" t="n"/>
      <c r="AE1618" s="81" t="n"/>
      <c r="AF1618" s="81" t="n"/>
      <c r="AG1618" s="81" t="n"/>
      <c r="AH1618" s="81" t="n"/>
      <c r="AI1618" s="81" t="n"/>
      <c r="AJ1618" s="81" t="n"/>
      <c r="AK1618" s="81" t="n"/>
      <c r="AL1618" s="81" t="n"/>
      <c r="AM1618" s="81" t="n"/>
      <c r="AN1618" s="81" t="n"/>
      <c r="AO1618" s="81" t="n"/>
      <c r="AP1618" s="81" t="n"/>
      <c r="AQ1618" s="81" t="n"/>
      <c r="AR1618" s="81" t="n"/>
      <c r="AS1618" s="81" t="n"/>
      <c r="AT1618" s="81" t="n"/>
      <c r="AU1618" s="81" t="n"/>
      <c r="AV1618" s="81" t="n"/>
      <c r="AW1618" s="81" t="n"/>
      <c r="AX1618" s="81" t="n"/>
      <c r="AY1618" s="81" t="n"/>
      <c r="AZ1618" s="81" t="n"/>
      <c r="BA1618" s="81" t="n"/>
      <c r="BB1618" s="81" t="n"/>
      <c r="BC1618" s="81" t="n"/>
      <c r="BD1618" s="81" t="n"/>
      <c r="BE1618" s="81" t="n"/>
      <c r="BF1618" s="81" t="n"/>
      <c r="BG1618" s="81" t="n"/>
      <c r="BH1618" s="81" t="n"/>
      <c r="BI1618" s="81" t="n"/>
      <c r="BJ1618" s="81" t="n"/>
      <c r="BK1618" s="81" t="n"/>
      <c r="BL1618" s="81" t="n"/>
      <c r="BM1618" s="81" t="n"/>
      <c r="BN1618" s="81" t="n"/>
      <c r="BO1618" s="81" t="n"/>
      <c r="BP1618" s="81" t="n"/>
      <c r="BQ1618" s="81" t="n"/>
      <c r="BR1618" s="81" t="n"/>
      <c r="BS1618" s="81" t="n"/>
      <c r="BT1618" s="81" t="n"/>
      <c r="BU1618" s="81" t="n"/>
      <c r="BV1618" s="81" t="n"/>
      <c r="BW1618" s="81" t="n"/>
      <c r="BX1618" s="81" t="n"/>
      <c r="BY1618" s="81" t="n"/>
      <c r="BZ1618" s="81" t="n"/>
      <c r="CA1618" s="81" t="n"/>
      <c r="CB1618" s="81" t="n"/>
      <c r="CC1618" s="81" t="n"/>
      <c r="CD1618" s="81" t="n"/>
      <c r="CE1618" s="81" t="n"/>
      <c r="CF1618" s="81" t="n"/>
      <c r="CG1618" s="81" t="n"/>
      <c r="CH1618" s="81" t="n"/>
    </row>
    <row r="1619">
      <c r="A1619" s="81" t="n"/>
      <c r="B1619" s="81" t="n"/>
      <c r="C1619" s="81" t="n"/>
      <c r="D1619" s="81" t="n"/>
      <c r="E1619" s="81" t="n"/>
      <c r="F1619" s="81" t="n"/>
      <c r="G1619" s="81" t="n"/>
      <c r="H1619" s="81" t="n"/>
      <c r="I1619" s="81" t="n"/>
      <c r="J1619" s="81" t="n"/>
      <c r="K1619" s="81" t="n"/>
      <c r="L1619" s="81" t="n"/>
      <c r="M1619" s="81" t="n"/>
      <c r="N1619" s="81" t="n"/>
      <c r="O1619" s="81" t="n"/>
      <c r="P1619" s="81" t="n"/>
      <c r="Q1619" s="81" t="n"/>
      <c r="R1619" s="81" t="n"/>
      <c r="S1619" s="81" t="n"/>
      <c r="T1619" s="81" t="n"/>
      <c r="U1619" s="81" t="n"/>
      <c r="V1619" s="81" t="n"/>
      <c r="W1619" s="81" t="n"/>
      <c r="X1619" s="81" t="n"/>
      <c r="Y1619" s="81" t="n"/>
      <c r="Z1619" s="81" t="n"/>
      <c r="AA1619" s="81" t="n"/>
      <c r="AB1619" s="81" t="n"/>
      <c r="AC1619" s="81" t="n"/>
      <c r="AD1619" s="81" t="n"/>
      <c r="AE1619" s="81" t="n"/>
      <c r="AF1619" s="81" t="n"/>
      <c r="AG1619" s="81" t="n"/>
      <c r="AH1619" s="81" t="n"/>
      <c r="AI1619" s="81" t="n"/>
      <c r="AJ1619" s="81" t="n"/>
      <c r="AK1619" s="81" t="n"/>
      <c r="AL1619" s="81" t="n"/>
      <c r="AM1619" s="81" t="n"/>
      <c r="AN1619" s="81" t="n"/>
      <c r="AO1619" s="81" t="n"/>
      <c r="AP1619" s="81" t="n"/>
      <c r="AQ1619" s="81" t="n"/>
      <c r="AR1619" s="81" t="n"/>
      <c r="AS1619" s="81" t="n"/>
      <c r="AT1619" s="81" t="n"/>
      <c r="AU1619" s="81" t="n"/>
      <c r="AV1619" s="81" t="n"/>
      <c r="AW1619" s="81" t="n"/>
      <c r="AX1619" s="81" t="n"/>
      <c r="AY1619" s="81" t="n"/>
      <c r="AZ1619" s="81" t="n"/>
      <c r="BA1619" s="81" t="n"/>
      <c r="BB1619" s="81" t="n"/>
      <c r="BC1619" s="81" t="n"/>
      <c r="BD1619" s="81" t="n"/>
      <c r="BE1619" s="81" t="n"/>
      <c r="BF1619" s="81" t="n"/>
      <c r="BG1619" s="81" t="n"/>
      <c r="BH1619" s="81" t="n"/>
      <c r="BI1619" s="81" t="n"/>
      <c r="BJ1619" s="81" t="n"/>
      <c r="BK1619" s="81" t="n"/>
      <c r="BL1619" s="81" t="n"/>
      <c r="BM1619" s="81" t="n"/>
      <c r="BN1619" s="81" t="n"/>
      <c r="BO1619" s="81" t="n"/>
      <c r="BP1619" s="81" t="n"/>
      <c r="BQ1619" s="81" t="n"/>
      <c r="BR1619" s="81" t="n"/>
      <c r="BS1619" s="81" t="n"/>
      <c r="BT1619" s="81" t="n"/>
      <c r="BU1619" s="81" t="n"/>
      <c r="BV1619" s="81" t="n"/>
      <c r="BW1619" s="81" t="n"/>
      <c r="BX1619" s="81" t="n"/>
      <c r="BY1619" s="81" t="n"/>
      <c r="BZ1619" s="81" t="n"/>
      <c r="CA1619" s="81" t="n"/>
      <c r="CB1619" s="81" t="n"/>
      <c r="CC1619" s="81" t="n"/>
      <c r="CD1619" s="81" t="n"/>
      <c r="CE1619" s="81" t="n"/>
      <c r="CF1619" s="81" t="n"/>
      <c r="CG1619" s="81" t="n"/>
      <c r="CH1619" s="81" t="n"/>
    </row>
    <row r="1620">
      <c r="A1620" s="81" t="n"/>
      <c r="B1620" s="81" t="n"/>
      <c r="C1620" s="81" t="n"/>
      <c r="D1620" s="81" t="n"/>
      <c r="E1620" s="81" t="n"/>
      <c r="F1620" s="81" t="n"/>
      <c r="G1620" s="81" t="n"/>
      <c r="H1620" s="81" t="n"/>
      <c r="I1620" s="81" t="n"/>
      <c r="J1620" s="81" t="n"/>
      <c r="K1620" s="81" t="n"/>
      <c r="L1620" s="81" t="n"/>
      <c r="M1620" s="81" t="n"/>
      <c r="N1620" s="81" t="n"/>
      <c r="O1620" s="81" t="n"/>
      <c r="P1620" s="81" t="n"/>
      <c r="Q1620" s="81" t="n"/>
      <c r="R1620" s="81" t="n"/>
      <c r="S1620" s="81" t="n"/>
      <c r="T1620" s="81" t="n"/>
      <c r="U1620" s="81" t="n"/>
      <c r="V1620" s="81" t="n"/>
      <c r="W1620" s="81" t="n"/>
      <c r="X1620" s="81" t="n"/>
      <c r="Y1620" s="81" t="n"/>
      <c r="Z1620" s="81" t="n"/>
      <c r="AA1620" s="81" t="n"/>
      <c r="AB1620" s="81" t="n"/>
      <c r="AC1620" s="81" t="n"/>
      <c r="AD1620" s="81" t="n"/>
      <c r="AE1620" s="81" t="n"/>
      <c r="AF1620" s="81" t="n"/>
      <c r="AG1620" s="81" t="n"/>
      <c r="AH1620" s="81" t="n"/>
      <c r="AI1620" s="81" t="n"/>
      <c r="AJ1620" s="81" t="n"/>
      <c r="AK1620" s="81" t="n"/>
      <c r="AL1620" s="81" t="n"/>
      <c r="AM1620" s="81" t="n"/>
      <c r="AN1620" s="81" t="n"/>
      <c r="AO1620" s="81" t="n"/>
      <c r="AP1620" s="81" t="n"/>
      <c r="AQ1620" s="81" t="n"/>
      <c r="AR1620" s="81" t="n"/>
      <c r="AS1620" s="81" t="n"/>
      <c r="AT1620" s="81" t="n"/>
      <c r="AU1620" s="81" t="n"/>
      <c r="AV1620" s="81" t="n"/>
      <c r="AW1620" s="81" t="n"/>
      <c r="AX1620" s="81" t="n"/>
      <c r="AY1620" s="81" t="n"/>
      <c r="AZ1620" s="81" t="n"/>
      <c r="BA1620" s="81" t="n"/>
      <c r="BB1620" s="81" t="n"/>
      <c r="BC1620" s="81" t="n"/>
      <c r="BD1620" s="81" t="n"/>
      <c r="BE1620" s="81" t="n"/>
      <c r="BF1620" s="81" t="n"/>
      <c r="BG1620" s="81" t="n"/>
      <c r="BH1620" s="81" t="n"/>
      <c r="BI1620" s="81" t="n"/>
      <c r="BJ1620" s="81" t="n"/>
      <c r="BK1620" s="81" t="n"/>
      <c r="BL1620" s="81" t="n"/>
      <c r="BM1620" s="81" t="n"/>
      <c r="BN1620" s="81" t="n"/>
      <c r="BO1620" s="81" t="n"/>
      <c r="BP1620" s="81" t="n"/>
      <c r="BQ1620" s="81" t="n"/>
      <c r="BR1620" s="81" t="n"/>
      <c r="BS1620" s="81" t="n"/>
      <c r="BT1620" s="81" t="n"/>
      <c r="BU1620" s="81" t="n"/>
      <c r="BV1620" s="81" t="n"/>
      <c r="BW1620" s="81" t="n"/>
      <c r="BX1620" s="81" t="n"/>
      <c r="BY1620" s="81" t="n"/>
      <c r="BZ1620" s="81" t="n"/>
      <c r="CA1620" s="81" t="n"/>
      <c r="CB1620" s="81" t="n"/>
      <c r="CC1620" s="81" t="n"/>
      <c r="CD1620" s="81" t="n"/>
      <c r="CE1620" s="81" t="n"/>
      <c r="CF1620" s="81" t="n"/>
      <c r="CG1620" s="81" t="n"/>
      <c r="CH1620" s="81" t="n"/>
    </row>
    <row r="1621">
      <c r="A1621" s="81" t="n"/>
      <c r="B1621" s="81" t="n"/>
      <c r="C1621" s="81" t="n"/>
      <c r="D1621" s="81" t="n"/>
      <c r="E1621" s="81" t="n"/>
      <c r="F1621" s="81" t="n"/>
      <c r="G1621" s="81" t="n"/>
      <c r="H1621" s="81" t="n"/>
      <c r="I1621" s="81" t="n"/>
      <c r="J1621" s="81" t="n"/>
      <c r="K1621" s="81" t="n"/>
      <c r="L1621" s="81" t="n"/>
      <c r="M1621" s="81" t="n"/>
      <c r="N1621" s="81" t="n"/>
      <c r="O1621" s="81" t="n"/>
      <c r="P1621" s="81" t="n"/>
      <c r="Q1621" s="81" t="n"/>
      <c r="R1621" s="81" t="n"/>
      <c r="S1621" s="81" t="n"/>
      <c r="T1621" s="81" t="n"/>
      <c r="U1621" s="81" t="n"/>
      <c r="V1621" s="81" t="n"/>
      <c r="W1621" s="81" t="n"/>
      <c r="X1621" s="81" t="n"/>
      <c r="Y1621" s="81" t="n"/>
      <c r="Z1621" s="81" t="n"/>
      <c r="AA1621" s="81" t="n"/>
      <c r="AB1621" s="81" t="n"/>
      <c r="AC1621" s="81" t="n"/>
      <c r="AD1621" s="81" t="n"/>
      <c r="AE1621" s="81" t="n"/>
      <c r="AF1621" s="81" t="n"/>
      <c r="AG1621" s="81" t="n"/>
      <c r="AH1621" s="81" t="n"/>
      <c r="AI1621" s="81" t="n"/>
      <c r="AJ1621" s="81" t="n"/>
      <c r="AK1621" s="81" t="n"/>
      <c r="AL1621" s="81" t="n"/>
      <c r="AM1621" s="81" t="n"/>
      <c r="AN1621" s="81" t="n"/>
      <c r="AO1621" s="81" t="n"/>
      <c r="AP1621" s="81" t="n"/>
      <c r="AQ1621" s="81" t="n"/>
      <c r="AR1621" s="81" t="n"/>
      <c r="AS1621" s="81" t="n"/>
      <c r="AT1621" s="81" t="n"/>
      <c r="AU1621" s="81" t="n"/>
      <c r="AV1621" s="81" t="n"/>
      <c r="AW1621" s="81" t="n"/>
      <c r="AX1621" s="81" t="n"/>
      <c r="AY1621" s="81" t="n"/>
      <c r="AZ1621" s="81" t="n"/>
      <c r="BA1621" s="81" t="n"/>
      <c r="BB1621" s="81" t="n"/>
      <c r="BC1621" s="81" t="n"/>
      <c r="BD1621" s="81" t="n"/>
      <c r="BE1621" s="81" t="n"/>
      <c r="BF1621" s="81" t="n"/>
      <c r="BG1621" s="81" t="n"/>
      <c r="BH1621" s="81" t="n"/>
      <c r="BI1621" s="81" t="n"/>
      <c r="BJ1621" s="81" t="n"/>
      <c r="BK1621" s="81" t="n"/>
      <c r="BL1621" s="81" t="n"/>
      <c r="BM1621" s="81" t="n"/>
      <c r="BN1621" s="81" t="n"/>
      <c r="BO1621" s="81" t="n"/>
      <c r="BP1621" s="81" t="n"/>
      <c r="BQ1621" s="81" t="n"/>
      <c r="BR1621" s="81" t="n"/>
      <c r="BS1621" s="81" t="n"/>
      <c r="BT1621" s="81" t="n"/>
      <c r="BU1621" s="81" t="n"/>
      <c r="BV1621" s="81" t="n"/>
      <c r="BW1621" s="81" t="n"/>
      <c r="BX1621" s="81" t="n"/>
      <c r="BY1621" s="81" t="n"/>
      <c r="BZ1621" s="81" t="n"/>
      <c r="CA1621" s="81" t="n"/>
      <c r="CB1621" s="81" t="n"/>
      <c r="CC1621" s="81" t="n"/>
      <c r="CD1621" s="81" t="n"/>
      <c r="CE1621" s="81" t="n"/>
      <c r="CF1621" s="81" t="n"/>
      <c r="CG1621" s="81" t="n"/>
      <c r="CH1621" s="81" t="n"/>
    </row>
    <row r="1622">
      <c r="A1622" s="81" t="n"/>
      <c r="B1622" s="81" t="n"/>
      <c r="C1622" s="81" t="n"/>
      <c r="D1622" s="81" t="n"/>
      <c r="E1622" s="81" t="n"/>
      <c r="F1622" s="81" t="n"/>
      <c r="G1622" s="81" t="n"/>
      <c r="H1622" s="81" t="n"/>
      <c r="I1622" s="81" t="n"/>
      <c r="J1622" s="81" t="n"/>
      <c r="K1622" s="81" t="n"/>
      <c r="L1622" s="81" t="n"/>
      <c r="M1622" s="81" t="n"/>
      <c r="N1622" s="81" t="n"/>
      <c r="O1622" s="81" t="n"/>
      <c r="P1622" s="81" t="n"/>
      <c r="Q1622" s="81" t="n"/>
      <c r="R1622" s="81" t="n"/>
      <c r="S1622" s="81" t="n"/>
      <c r="T1622" s="81" t="n"/>
      <c r="U1622" s="81" t="n"/>
      <c r="V1622" s="81" t="n"/>
      <c r="W1622" s="81" t="n"/>
      <c r="X1622" s="81" t="n"/>
      <c r="Y1622" s="81" t="n"/>
      <c r="Z1622" s="81" t="n"/>
      <c r="AA1622" s="81" t="n"/>
      <c r="AB1622" s="81" t="n"/>
      <c r="AC1622" s="81" t="n"/>
      <c r="AD1622" s="81" t="n"/>
      <c r="AE1622" s="81" t="n"/>
      <c r="AF1622" s="81" t="n"/>
      <c r="AG1622" s="81" t="n"/>
      <c r="AH1622" s="81" t="n"/>
      <c r="AI1622" s="81" t="n"/>
      <c r="AJ1622" s="81" t="n"/>
      <c r="AK1622" s="81" t="n"/>
      <c r="AL1622" s="81" t="n"/>
      <c r="AM1622" s="81" t="n"/>
      <c r="AN1622" s="81" t="n"/>
      <c r="AO1622" s="81" t="n"/>
      <c r="AP1622" s="81" t="n"/>
      <c r="AQ1622" s="81" t="n"/>
      <c r="AR1622" s="81" t="n"/>
      <c r="AS1622" s="81" t="n"/>
      <c r="AT1622" s="81" t="n"/>
      <c r="AU1622" s="81" t="n"/>
      <c r="AV1622" s="81" t="n"/>
      <c r="AW1622" s="81" t="n"/>
      <c r="AX1622" s="81" t="n"/>
      <c r="AY1622" s="81" t="n"/>
      <c r="AZ1622" s="81" t="n"/>
      <c r="BA1622" s="81" t="n"/>
      <c r="BB1622" s="81" t="n"/>
      <c r="BC1622" s="81" t="n"/>
      <c r="BD1622" s="81" t="n"/>
      <c r="BE1622" s="81" t="n"/>
      <c r="BF1622" s="81" t="n"/>
      <c r="BG1622" s="81" t="n"/>
      <c r="BH1622" s="81" t="n"/>
      <c r="BI1622" s="81" t="n"/>
      <c r="BJ1622" s="81" t="n"/>
      <c r="BK1622" s="81" t="n"/>
      <c r="BL1622" s="81" t="n"/>
      <c r="BM1622" s="81" t="n"/>
      <c r="BN1622" s="81" t="n"/>
      <c r="BO1622" s="81" t="n"/>
      <c r="BP1622" s="81" t="n"/>
      <c r="BQ1622" s="81" t="n"/>
      <c r="BR1622" s="81" t="n"/>
      <c r="BS1622" s="81" t="n"/>
      <c r="BT1622" s="81" t="n"/>
      <c r="BU1622" s="81" t="n"/>
      <c r="BV1622" s="81" t="n"/>
      <c r="BW1622" s="81" t="n"/>
      <c r="BX1622" s="81" t="n"/>
      <c r="BY1622" s="81" t="n"/>
      <c r="BZ1622" s="81" t="n"/>
      <c r="CA1622" s="81" t="n"/>
      <c r="CB1622" s="81" t="n"/>
      <c r="CC1622" s="81" t="n"/>
      <c r="CD1622" s="81" t="n"/>
      <c r="CE1622" s="81" t="n"/>
      <c r="CF1622" s="81" t="n"/>
      <c r="CG1622" s="81" t="n"/>
      <c r="CH1622" s="81" t="n"/>
    </row>
    <row r="1623">
      <c r="A1623" s="81" t="n"/>
      <c r="B1623" s="81" t="n"/>
      <c r="C1623" s="81" t="n"/>
      <c r="D1623" s="81" t="n"/>
      <c r="E1623" s="81" t="n"/>
      <c r="F1623" s="81" t="n"/>
      <c r="G1623" s="81" t="n"/>
      <c r="H1623" s="81" t="n"/>
      <c r="I1623" s="81" t="n"/>
      <c r="J1623" s="81" t="n"/>
      <c r="K1623" s="81" t="n"/>
      <c r="L1623" s="81" t="n"/>
      <c r="M1623" s="81" t="n"/>
      <c r="N1623" s="81" t="n"/>
      <c r="O1623" s="81" t="n"/>
      <c r="P1623" s="81" t="n"/>
      <c r="Q1623" s="81" t="n"/>
      <c r="R1623" s="81" t="n"/>
      <c r="S1623" s="81" t="n"/>
      <c r="T1623" s="81" t="n"/>
      <c r="U1623" s="81" t="n"/>
      <c r="V1623" s="81" t="n"/>
      <c r="W1623" s="81" t="n"/>
      <c r="X1623" s="81" t="n"/>
      <c r="Y1623" s="81" t="n"/>
      <c r="Z1623" s="81" t="n"/>
      <c r="AA1623" s="81" t="n"/>
      <c r="AB1623" s="81" t="n"/>
      <c r="AC1623" s="81" t="n"/>
      <c r="AD1623" s="81" t="n"/>
      <c r="AE1623" s="81" t="n"/>
      <c r="AF1623" s="81" t="n"/>
      <c r="AG1623" s="81" t="n"/>
      <c r="AH1623" s="81" t="n"/>
      <c r="AI1623" s="81" t="n"/>
      <c r="AJ1623" s="81" t="n"/>
      <c r="AK1623" s="81" t="n"/>
      <c r="AL1623" s="81" t="n"/>
      <c r="AM1623" s="81" t="n"/>
      <c r="AN1623" s="81" t="n"/>
      <c r="AO1623" s="81" t="n"/>
      <c r="AP1623" s="81" t="n"/>
      <c r="AQ1623" s="81" t="n"/>
      <c r="AR1623" s="81" t="n"/>
      <c r="AS1623" s="81" t="n"/>
      <c r="AT1623" s="81" t="n"/>
      <c r="AU1623" s="81" t="n"/>
      <c r="AV1623" s="81" t="n"/>
      <c r="AW1623" s="81" t="n"/>
      <c r="AX1623" s="81" t="n"/>
      <c r="AY1623" s="81" t="n"/>
      <c r="AZ1623" s="81" t="n"/>
      <c r="BA1623" s="81" t="n"/>
      <c r="BB1623" s="81" t="n"/>
      <c r="BC1623" s="81" t="n"/>
      <c r="BD1623" s="81" t="n"/>
      <c r="BE1623" s="81" t="n"/>
      <c r="BF1623" s="81" t="n"/>
      <c r="BG1623" s="81" t="n"/>
      <c r="BH1623" s="81" t="n"/>
      <c r="BI1623" s="81" t="n"/>
      <c r="BJ1623" s="81" t="n"/>
      <c r="BK1623" s="81" t="n"/>
      <c r="BL1623" s="81" t="n"/>
      <c r="BM1623" s="81" t="n"/>
      <c r="BN1623" s="81" t="n"/>
      <c r="BO1623" s="81" t="n"/>
      <c r="BP1623" s="81" t="n"/>
      <c r="BQ1623" s="81" t="n"/>
      <c r="BR1623" s="81" t="n"/>
      <c r="BS1623" s="81" t="n"/>
      <c r="BT1623" s="81" t="n"/>
      <c r="BU1623" s="81" t="n"/>
      <c r="BV1623" s="81" t="n"/>
      <c r="BW1623" s="81" t="n"/>
      <c r="BX1623" s="81" t="n"/>
      <c r="BY1623" s="81" t="n"/>
      <c r="BZ1623" s="81" t="n"/>
      <c r="CA1623" s="81" t="n"/>
      <c r="CB1623" s="81" t="n"/>
      <c r="CC1623" s="81" t="n"/>
      <c r="CD1623" s="81" t="n"/>
      <c r="CE1623" s="81" t="n"/>
      <c r="CF1623" s="81" t="n"/>
      <c r="CG1623" s="81" t="n"/>
      <c r="CH1623" s="81" t="n"/>
    </row>
    <row r="1624">
      <c r="A1624" s="81" t="n"/>
      <c r="B1624" s="81" t="n"/>
      <c r="C1624" s="81" t="n"/>
      <c r="D1624" s="81" t="n"/>
      <c r="E1624" s="81" t="n"/>
      <c r="F1624" s="81" t="n"/>
      <c r="G1624" s="81" t="n"/>
      <c r="H1624" s="81" t="n"/>
      <c r="I1624" s="81" t="n"/>
      <c r="J1624" s="81" t="n"/>
      <c r="K1624" s="81" t="n"/>
      <c r="L1624" s="81" t="n"/>
      <c r="M1624" s="81" t="n"/>
      <c r="N1624" s="81" t="n"/>
      <c r="O1624" s="81" t="n"/>
      <c r="P1624" s="81" t="n"/>
      <c r="Q1624" s="81" t="n"/>
      <c r="R1624" s="81" t="n"/>
      <c r="S1624" s="81" t="n"/>
      <c r="T1624" s="81" t="n"/>
      <c r="U1624" s="81" t="n"/>
      <c r="V1624" s="81" t="n"/>
      <c r="W1624" s="81" t="n"/>
      <c r="X1624" s="81" t="n"/>
      <c r="Y1624" s="81" t="n"/>
      <c r="Z1624" s="81" t="n"/>
      <c r="AA1624" s="81" t="n"/>
      <c r="AB1624" s="81" t="n"/>
      <c r="AC1624" s="81" t="n"/>
      <c r="AD1624" s="81" t="n"/>
      <c r="AE1624" s="81" t="n"/>
      <c r="AF1624" s="81" t="n"/>
      <c r="AG1624" s="81" t="n"/>
      <c r="AH1624" s="81" t="n"/>
      <c r="AI1624" s="81" t="n"/>
      <c r="AJ1624" s="81" t="n"/>
      <c r="AK1624" s="81" t="n"/>
      <c r="AL1624" s="81" t="n"/>
      <c r="AM1624" s="81" t="n"/>
      <c r="AN1624" s="81" t="n"/>
      <c r="AO1624" s="81" t="n"/>
      <c r="AP1624" s="81" t="n"/>
      <c r="AQ1624" s="81" t="n"/>
      <c r="AR1624" s="81" t="n"/>
      <c r="AS1624" s="81" t="n"/>
      <c r="AT1624" s="81" t="n"/>
      <c r="AU1624" s="81" t="n"/>
      <c r="AV1624" s="81" t="n"/>
      <c r="AW1624" s="81" t="n"/>
      <c r="AX1624" s="81" t="n"/>
      <c r="AY1624" s="81" t="n"/>
      <c r="AZ1624" s="81" t="n"/>
      <c r="BA1624" s="81" t="n"/>
      <c r="BB1624" s="81" t="n"/>
      <c r="BC1624" s="81" t="n"/>
      <c r="BD1624" s="81" t="n"/>
      <c r="BE1624" s="81" t="n"/>
      <c r="BF1624" s="81" t="n"/>
      <c r="BG1624" s="81" t="n"/>
      <c r="BH1624" s="81" t="n"/>
      <c r="BI1624" s="81" t="n"/>
      <c r="BJ1624" s="81" t="n"/>
      <c r="BK1624" s="81" t="n"/>
      <c r="BL1624" s="81" t="n"/>
      <c r="BM1624" s="81" t="n"/>
      <c r="BN1624" s="81" t="n"/>
      <c r="BO1624" s="81" t="n"/>
      <c r="BP1624" s="81" t="n"/>
      <c r="BQ1624" s="81" t="n"/>
      <c r="BR1624" s="81" t="n"/>
      <c r="BS1624" s="81" t="n"/>
      <c r="BT1624" s="81" t="n"/>
      <c r="BU1624" s="81" t="n"/>
      <c r="BV1624" s="81" t="n"/>
      <c r="BW1624" s="81" t="n"/>
      <c r="BX1624" s="81" t="n"/>
      <c r="BY1624" s="81" t="n"/>
      <c r="BZ1624" s="81" t="n"/>
      <c r="CA1624" s="81" t="n"/>
      <c r="CB1624" s="81" t="n"/>
      <c r="CC1624" s="81" t="n"/>
      <c r="CD1624" s="81" t="n"/>
      <c r="CE1624" s="81" t="n"/>
      <c r="CF1624" s="81" t="n"/>
      <c r="CG1624" s="81" t="n"/>
      <c r="CH1624" s="81" t="n"/>
    </row>
    <row r="1625">
      <c r="A1625" s="81" t="n"/>
      <c r="B1625" s="81" t="n"/>
      <c r="C1625" s="81" t="n"/>
      <c r="D1625" s="81" t="n"/>
      <c r="E1625" s="81" t="n"/>
      <c r="F1625" s="81" t="n"/>
      <c r="G1625" s="81" t="n"/>
      <c r="H1625" s="81" t="n"/>
      <c r="I1625" s="81" t="n"/>
      <c r="J1625" s="81" t="n"/>
      <c r="K1625" s="81" t="n"/>
      <c r="L1625" s="81" t="n"/>
      <c r="M1625" s="81" t="n"/>
      <c r="N1625" s="81" t="n"/>
      <c r="O1625" s="81" t="n"/>
      <c r="P1625" s="81" t="n"/>
      <c r="Q1625" s="81" t="n"/>
      <c r="R1625" s="81" t="n"/>
      <c r="S1625" s="81" t="n"/>
      <c r="T1625" s="81" t="n"/>
      <c r="U1625" s="81" t="n"/>
      <c r="V1625" s="81" t="n"/>
      <c r="W1625" s="81" t="n"/>
      <c r="X1625" s="81" t="n"/>
      <c r="Y1625" s="81" t="n"/>
      <c r="Z1625" s="81" t="n"/>
      <c r="AA1625" s="81" t="n"/>
      <c r="AB1625" s="81" t="n"/>
      <c r="AC1625" s="81" t="n"/>
      <c r="AD1625" s="81" t="n"/>
      <c r="AE1625" s="81" t="n"/>
      <c r="AF1625" s="81" t="n"/>
      <c r="AG1625" s="81" t="n"/>
      <c r="AH1625" s="81" t="n"/>
      <c r="AI1625" s="81" t="n"/>
      <c r="AJ1625" s="81" t="n"/>
      <c r="AK1625" s="81" t="n"/>
      <c r="AL1625" s="81" t="n"/>
      <c r="AM1625" s="81" t="n"/>
      <c r="AN1625" s="81" t="n"/>
      <c r="AO1625" s="81" t="n"/>
      <c r="AP1625" s="81" t="n"/>
      <c r="AQ1625" s="81" t="n"/>
      <c r="AR1625" s="81" t="n"/>
      <c r="AS1625" s="81" t="n"/>
      <c r="AT1625" s="81" t="n"/>
      <c r="AU1625" s="81" t="n"/>
      <c r="AV1625" s="81" t="n"/>
      <c r="AW1625" s="81" t="n"/>
      <c r="AX1625" s="81" t="n"/>
      <c r="AY1625" s="81" t="n"/>
      <c r="AZ1625" s="81" t="n"/>
      <c r="BA1625" s="81" t="n"/>
      <c r="BB1625" s="81" t="n"/>
      <c r="BC1625" s="81" t="n"/>
      <c r="BD1625" s="81" t="n"/>
      <c r="BE1625" s="81" t="n"/>
      <c r="BF1625" s="81" t="n"/>
      <c r="BG1625" s="81" t="n"/>
      <c r="BH1625" s="81" t="n"/>
      <c r="BI1625" s="81" t="n"/>
      <c r="BJ1625" s="81" t="n"/>
      <c r="BK1625" s="81" t="n"/>
      <c r="BL1625" s="81" t="n"/>
      <c r="BM1625" s="81" t="n"/>
      <c r="BN1625" s="81" t="n"/>
      <c r="BO1625" s="81" t="n"/>
      <c r="BP1625" s="81" t="n"/>
      <c r="BQ1625" s="81" t="n"/>
      <c r="BR1625" s="81" t="n"/>
      <c r="BS1625" s="81" t="n"/>
      <c r="BT1625" s="81" t="n"/>
      <c r="BU1625" s="81" t="n"/>
      <c r="BV1625" s="81" t="n"/>
      <c r="BW1625" s="81" t="n"/>
      <c r="BX1625" s="81" t="n"/>
      <c r="BY1625" s="81" t="n"/>
      <c r="BZ1625" s="81" t="n"/>
      <c r="CA1625" s="81" t="n"/>
      <c r="CB1625" s="81" t="n"/>
      <c r="CC1625" s="81" t="n"/>
      <c r="CD1625" s="81" t="n"/>
      <c r="CE1625" s="81" t="n"/>
      <c r="CF1625" s="81" t="n"/>
      <c r="CG1625" s="81" t="n"/>
      <c r="CH1625" s="81" t="n"/>
    </row>
    <row r="1626">
      <c r="A1626" s="81" t="n"/>
      <c r="B1626" s="81" t="n"/>
      <c r="C1626" s="81" t="n"/>
      <c r="D1626" s="81" t="n"/>
      <c r="E1626" s="81" t="n"/>
      <c r="F1626" s="81" t="n"/>
      <c r="G1626" s="81" t="n"/>
      <c r="H1626" s="81" t="n"/>
      <c r="I1626" s="81" t="n"/>
      <c r="J1626" s="81" t="n"/>
      <c r="K1626" s="81" t="n"/>
      <c r="L1626" s="81" t="n"/>
      <c r="M1626" s="81" t="n"/>
      <c r="N1626" s="81" t="n"/>
      <c r="O1626" s="81" t="n"/>
      <c r="P1626" s="81" t="n"/>
      <c r="Q1626" s="81" t="n"/>
      <c r="R1626" s="81" t="n"/>
      <c r="S1626" s="81" t="n"/>
      <c r="T1626" s="81" t="n"/>
      <c r="U1626" s="81" t="n"/>
      <c r="V1626" s="81" t="n"/>
      <c r="W1626" s="81" t="n"/>
      <c r="X1626" s="81" t="n"/>
      <c r="Y1626" s="81" t="n"/>
      <c r="Z1626" s="81" t="n"/>
      <c r="AA1626" s="81" t="n"/>
      <c r="AB1626" s="81" t="n"/>
      <c r="AC1626" s="81" t="n"/>
      <c r="AD1626" s="81" t="n"/>
      <c r="AE1626" s="81" t="n"/>
      <c r="AF1626" s="81" t="n"/>
      <c r="AG1626" s="81" t="n"/>
      <c r="AH1626" s="81" t="n"/>
      <c r="AI1626" s="81" t="n"/>
      <c r="AJ1626" s="81" t="n"/>
      <c r="AK1626" s="81" t="n"/>
      <c r="AL1626" s="81" t="n"/>
      <c r="AM1626" s="81" t="n"/>
      <c r="AN1626" s="81" t="n"/>
      <c r="AO1626" s="81" t="n"/>
      <c r="AP1626" s="81" t="n"/>
      <c r="AQ1626" s="81" t="n"/>
      <c r="AR1626" s="81" t="n"/>
      <c r="AS1626" s="81" t="n"/>
      <c r="AT1626" s="81" t="n"/>
      <c r="AU1626" s="81" t="n"/>
      <c r="AV1626" s="81" t="n"/>
      <c r="AW1626" s="81" t="n"/>
      <c r="AX1626" s="81" t="n"/>
      <c r="AY1626" s="81" t="n"/>
      <c r="AZ1626" s="81" t="n"/>
      <c r="BA1626" s="81" t="n"/>
      <c r="BB1626" s="81" t="n"/>
      <c r="BC1626" s="81" t="n"/>
      <c r="BD1626" s="81" t="n"/>
      <c r="BE1626" s="81" t="n"/>
      <c r="BF1626" s="81" t="n"/>
      <c r="BG1626" s="81" t="n"/>
      <c r="BH1626" s="81" t="n"/>
      <c r="BI1626" s="81" t="n"/>
      <c r="BJ1626" s="81" t="n"/>
      <c r="BK1626" s="81" t="n"/>
      <c r="BL1626" s="81" t="n"/>
      <c r="BM1626" s="81" t="n"/>
      <c r="BN1626" s="81" t="n"/>
      <c r="BO1626" s="81" t="n"/>
      <c r="BP1626" s="81" t="n"/>
      <c r="BQ1626" s="81" t="n"/>
      <c r="BR1626" s="81" t="n"/>
      <c r="BS1626" s="81" t="n"/>
      <c r="BT1626" s="81" t="n"/>
      <c r="BU1626" s="81" t="n"/>
      <c r="BV1626" s="81" t="n"/>
      <c r="BW1626" s="81" t="n"/>
      <c r="BX1626" s="81" t="n"/>
      <c r="BY1626" s="81" t="n"/>
      <c r="BZ1626" s="81" t="n"/>
      <c r="CA1626" s="81" t="n"/>
      <c r="CB1626" s="81" t="n"/>
      <c r="CC1626" s="81" t="n"/>
      <c r="CD1626" s="81" t="n"/>
      <c r="CE1626" s="81" t="n"/>
      <c r="CF1626" s="81" t="n"/>
      <c r="CG1626" s="81" t="n"/>
      <c r="CH1626" s="81" t="n"/>
    </row>
    <row r="1627">
      <c r="A1627" s="81" t="n"/>
      <c r="B1627" s="81" t="n"/>
      <c r="C1627" s="81" t="n"/>
      <c r="D1627" s="81" t="n"/>
      <c r="E1627" s="81" t="n"/>
      <c r="F1627" s="81" t="n"/>
      <c r="G1627" s="81" t="n"/>
      <c r="H1627" s="81" t="n"/>
      <c r="I1627" s="81" t="n"/>
      <c r="J1627" s="81" t="n"/>
      <c r="K1627" s="81" t="n"/>
      <c r="L1627" s="81" t="n"/>
      <c r="M1627" s="81" t="n"/>
      <c r="N1627" s="81" t="n"/>
      <c r="O1627" s="81" t="n"/>
      <c r="P1627" s="81" t="n"/>
      <c r="Q1627" s="81" t="n"/>
      <c r="R1627" s="81" t="n"/>
      <c r="S1627" s="81" t="n"/>
      <c r="T1627" s="81" t="n"/>
      <c r="U1627" s="81" t="n"/>
      <c r="V1627" s="81" t="n"/>
      <c r="W1627" s="81" t="n"/>
      <c r="X1627" s="81" t="n"/>
      <c r="Y1627" s="81" t="n"/>
      <c r="Z1627" s="81" t="n"/>
      <c r="AA1627" s="81" t="n"/>
      <c r="AB1627" s="81" t="n"/>
      <c r="AC1627" s="81" t="n"/>
      <c r="AD1627" s="81" t="n"/>
      <c r="AE1627" s="81" t="n"/>
      <c r="AF1627" s="81" t="n"/>
      <c r="AG1627" s="81" t="n"/>
      <c r="AH1627" s="81" t="n"/>
      <c r="AI1627" s="81" t="n"/>
      <c r="AJ1627" s="81" t="n"/>
      <c r="AK1627" s="81" t="n"/>
      <c r="AL1627" s="81" t="n"/>
      <c r="AM1627" s="81" t="n"/>
      <c r="AN1627" s="81" t="n"/>
      <c r="AO1627" s="81" t="n"/>
      <c r="AP1627" s="81" t="n"/>
      <c r="AQ1627" s="81" t="n"/>
      <c r="AR1627" s="81" t="n"/>
      <c r="AS1627" s="81" t="n"/>
      <c r="AT1627" s="81" t="n"/>
      <c r="AU1627" s="81" t="n"/>
      <c r="AV1627" s="81" t="n"/>
      <c r="AW1627" s="81" t="n"/>
      <c r="AX1627" s="81" t="n"/>
      <c r="AY1627" s="81" t="n"/>
      <c r="AZ1627" s="81" t="n"/>
      <c r="BA1627" s="81" t="n"/>
      <c r="BB1627" s="81" t="n"/>
      <c r="BC1627" s="81" t="n"/>
      <c r="BD1627" s="81" t="n"/>
      <c r="BE1627" s="81" t="n"/>
      <c r="BF1627" s="81" t="n"/>
      <c r="BG1627" s="81" t="n"/>
      <c r="BH1627" s="81" t="n"/>
      <c r="BI1627" s="81" t="n"/>
      <c r="BJ1627" s="81" t="n"/>
      <c r="BK1627" s="81" t="n"/>
      <c r="BL1627" s="81" t="n"/>
      <c r="BM1627" s="81" t="n"/>
      <c r="BN1627" s="81" t="n"/>
      <c r="BO1627" s="81" t="n"/>
      <c r="BP1627" s="81" t="n"/>
      <c r="BQ1627" s="81" t="n"/>
      <c r="BR1627" s="81" t="n"/>
      <c r="BS1627" s="81" t="n"/>
      <c r="BT1627" s="81" t="n"/>
      <c r="BU1627" s="81" t="n"/>
      <c r="BV1627" s="81" t="n"/>
      <c r="BW1627" s="81" t="n"/>
      <c r="BX1627" s="81" t="n"/>
      <c r="BY1627" s="81" t="n"/>
      <c r="BZ1627" s="81" t="n"/>
      <c r="CA1627" s="81" t="n"/>
      <c r="CB1627" s="81" t="n"/>
      <c r="CC1627" s="81" t="n"/>
      <c r="CD1627" s="81" t="n"/>
      <c r="CE1627" s="81" t="n"/>
      <c r="CF1627" s="81" t="n"/>
      <c r="CG1627" s="81" t="n"/>
      <c r="CH1627" s="81" t="n"/>
    </row>
    <row r="1628">
      <c r="A1628" s="81" t="n"/>
      <c r="B1628" s="81" t="n"/>
      <c r="C1628" s="81" t="n"/>
      <c r="D1628" s="81" t="n"/>
      <c r="E1628" s="81" t="n"/>
      <c r="F1628" s="81" t="n"/>
      <c r="G1628" s="81" t="n"/>
      <c r="H1628" s="81" t="n"/>
      <c r="I1628" s="81" t="n"/>
      <c r="J1628" s="81" t="n"/>
      <c r="K1628" s="81" t="n"/>
      <c r="L1628" s="81" t="n"/>
      <c r="M1628" s="81" t="n"/>
      <c r="N1628" s="81" t="n"/>
      <c r="O1628" s="81" t="n"/>
      <c r="P1628" s="81" t="n"/>
      <c r="Q1628" s="81" t="n"/>
      <c r="R1628" s="81" t="n"/>
      <c r="S1628" s="81" t="n"/>
      <c r="T1628" s="81" t="n"/>
      <c r="U1628" s="81" t="n"/>
      <c r="V1628" s="81" t="n"/>
      <c r="W1628" s="81" t="n"/>
      <c r="X1628" s="81" t="n"/>
      <c r="Y1628" s="81" t="n"/>
      <c r="Z1628" s="81" t="n"/>
      <c r="AA1628" s="81" t="n"/>
      <c r="AB1628" s="81" t="n"/>
      <c r="AC1628" s="81" t="n"/>
      <c r="AD1628" s="81" t="n"/>
      <c r="AE1628" s="81" t="n"/>
      <c r="AF1628" s="81" t="n"/>
      <c r="AG1628" s="81" t="n"/>
      <c r="AH1628" s="81" t="n"/>
      <c r="AI1628" s="81" t="n"/>
      <c r="AJ1628" s="81" t="n"/>
      <c r="AK1628" s="81" t="n"/>
      <c r="AL1628" s="81" t="n"/>
      <c r="AM1628" s="81" t="n"/>
      <c r="AN1628" s="81" t="n"/>
      <c r="AO1628" s="81" t="n"/>
      <c r="AP1628" s="81" t="n"/>
      <c r="AQ1628" s="81" t="n"/>
      <c r="AR1628" s="81" t="n"/>
      <c r="AS1628" s="81" t="n"/>
      <c r="AT1628" s="81" t="n"/>
      <c r="AU1628" s="81" t="n"/>
      <c r="AV1628" s="81" t="n"/>
      <c r="AW1628" s="81" t="n"/>
      <c r="AX1628" s="81" t="n"/>
      <c r="AY1628" s="81" t="n"/>
      <c r="AZ1628" s="81" t="n"/>
      <c r="BA1628" s="81" t="n"/>
      <c r="BB1628" s="81" t="n"/>
      <c r="BC1628" s="81" t="n"/>
      <c r="BD1628" s="81" t="n"/>
      <c r="BE1628" s="81" t="n"/>
      <c r="BF1628" s="81" t="n"/>
      <c r="BG1628" s="81" t="n"/>
      <c r="BH1628" s="81" t="n"/>
      <c r="BI1628" s="81" t="n"/>
      <c r="BJ1628" s="81" t="n"/>
      <c r="BK1628" s="81" t="n"/>
      <c r="BL1628" s="81" t="n"/>
      <c r="BM1628" s="81" t="n"/>
      <c r="BN1628" s="81" t="n"/>
      <c r="BO1628" s="81" t="n"/>
      <c r="BP1628" s="81" t="n"/>
      <c r="BQ1628" s="81" t="n"/>
      <c r="BR1628" s="81" t="n"/>
      <c r="BS1628" s="81" t="n"/>
      <c r="BT1628" s="81" t="n"/>
      <c r="BU1628" s="81" t="n"/>
      <c r="BV1628" s="81" t="n"/>
      <c r="BW1628" s="81" t="n"/>
      <c r="BX1628" s="81" t="n"/>
      <c r="BY1628" s="81" t="n"/>
      <c r="BZ1628" s="81" t="n"/>
      <c r="CA1628" s="81" t="n"/>
      <c r="CB1628" s="81" t="n"/>
      <c r="CC1628" s="81" t="n"/>
      <c r="CD1628" s="81" t="n"/>
      <c r="CE1628" s="81" t="n"/>
      <c r="CF1628" s="81" t="n"/>
      <c r="CG1628" s="81" t="n"/>
      <c r="CH1628" s="81" t="n"/>
    </row>
    <row r="1629">
      <c r="A1629" s="81" t="n"/>
      <c r="B1629" s="81" t="n"/>
      <c r="C1629" s="81" t="n"/>
      <c r="D1629" s="81" t="n"/>
      <c r="E1629" s="81" t="n"/>
      <c r="F1629" s="81" t="n"/>
      <c r="G1629" s="81" t="n"/>
      <c r="H1629" s="81" t="n"/>
      <c r="I1629" s="81" t="n"/>
      <c r="J1629" s="81" t="n"/>
      <c r="K1629" s="81" t="n"/>
      <c r="L1629" s="81" t="n"/>
      <c r="M1629" s="81" t="n"/>
      <c r="N1629" s="81" t="n"/>
      <c r="O1629" s="81" t="n"/>
      <c r="P1629" s="81" t="n"/>
      <c r="Q1629" s="81" t="n"/>
      <c r="R1629" s="81" t="n"/>
      <c r="S1629" s="81" t="n"/>
      <c r="T1629" s="81" t="n"/>
      <c r="U1629" s="81" t="n"/>
      <c r="V1629" s="81" t="n"/>
      <c r="W1629" s="81" t="n"/>
      <c r="X1629" s="81" t="n"/>
      <c r="Y1629" s="81" t="n"/>
      <c r="Z1629" s="81" t="n"/>
      <c r="AA1629" s="81" t="n"/>
      <c r="AB1629" s="81" t="n"/>
      <c r="AC1629" s="81" t="n"/>
      <c r="AD1629" s="81" t="n"/>
      <c r="AE1629" s="81" t="n"/>
      <c r="AF1629" s="81" t="n"/>
      <c r="AG1629" s="81" t="n"/>
      <c r="AH1629" s="81" t="n"/>
      <c r="AI1629" s="81" t="n"/>
      <c r="AJ1629" s="81" t="n"/>
      <c r="AK1629" s="81" t="n"/>
      <c r="AL1629" s="81" t="n"/>
      <c r="AM1629" s="81" t="n"/>
      <c r="AN1629" s="81" t="n"/>
      <c r="AO1629" s="81" t="n"/>
      <c r="AP1629" s="81" t="n"/>
      <c r="AQ1629" s="81" t="n"/>
      <c r="AR1629" s="81" t="n"/>
      <c r="AS1629" s="81" t="n"/>
      <c r="AT1629" s="81" t="n"/>
      <c r="AU1629" s="81" t="n"/>
      <c r="AV1629" s="81" t="n"/>
      <c r="AW1629" s="81" t="n"/>
      <c r="AX1629" s="81" t="n"/>
      <c r="AY1629" s="81" t="n"/>
      <c r="AZ1629" s="81" t="n"/>
      <c r="BA1629" s="81" t="n"/>
      <c r="BB1629" s="81" t="n"/>
      <c r="BC1629" s="81" t="n"/>
      <c r="BD1629" s="81" t="n"/>
      <c r="BE1629" s="81" t="n"/>
      <c r="BF1629" s="81" t="n"/>
      <c r="BG1629" s="81" t="n"/>
      <c r="BH1629" s="81" t="n"/>
      <c r="BI1629" s="81" t="n"/>
      <c r="BJ1629" s="81" t="n"/>
      <c r="BK1629" s="81" t="n"/>
      <c r="BL1629" s="81" t="n"/>
      <c r="BM1629" s="81" t="n"/>
      <c r="BN1629" s="81" t="n"/>
      <c r="BO1629" s="81" t="n"/>
      <c r="BP1629" s="81" t="n"/>
      <c r="BQ1629" s="81" t="n"/>
      <c r="BR1629" s="81" t="n"/>
      <c r="BS1629" s="81" t="n"/>
      <c r="BT1629" s="81" t="n"/>
      <c r="BU1629" s="81" t="n"/>
      <c r="BV1629" s="81" t="n"/>
      <c r="BW1629" s="81" t="n"/>
      <c r="BX1629" s="81" t="n"/>
      <c r="BY1629" s="81" t="n"/>
      <c r="BZ1629" s="81" t="n"/>
      <c r="CA1629" s="81" t="n"/>
      <c r="CB1629" s="81" t="n"/>
      <c r="CC1629" s="81" t="n"/>
      <c r="CD1629" s="81" t="n"/>
      <c r="CE1629" s="81" t="n"/>
      <c r="CF1629" s="81" t="n"/>
      <c r="CG1629" s="81" t="n"/>
      <c r="CH1629" s="81" t="n"/>
    </row>
    <row r="1630">
      <c r="A1630" s="81" t="n"/>
      <c r="B1630" s="81" t="n"/>
      <c r="C1630" s="81" t="n"/>
      <c r="D1630" s="81" t="n"/>
      <c r="E1630" s="81" t="n"/>
      <c r="F1630" s="81" t="n"/>
      <c r="G1630" s="81" t="n"/>
      <c r="H1630" s="81" t="n"/>
      <c r="I1630" s="81" t="n"/>
      <c r="J1630" s="81" t="n"/>
      <c r="K1630" s="81" t="n"/>
      <c r="L1630" s="81" t="n"/>
      <c r="M1630" s="81" t="n"/>
      <c r="N1630" s="81" t="n"/>
      <c r="O1630" s="81" t="n"/>
      <c r="P1630" s="81" t="n"/>
      <c r="Q1630" s="81" t="n"/>
      <c r="R1630" s="81" t="n"/>
      <c r="S1630" s="81" t="n"/>
      <c r="T1630" s="81" t="n"/>
      <c r="U1630" s="81" t="n"/>
      <c r="V1630" s="81" t="n"/>
      <c r="W1630" s="81" t="n"/>
      <c r="X1630" s="81" t="n"/>
      <c r="Y1630" s="81" t="n"/>
      <c r="Z1630" s="81" t="n"/>
      <c r="AA1630" s="81" t="n"/>
      <c r="AB1630" s="81" t="n"/>
      <c r="AC1630" s="81" t="n"/>
      <c r="AD1630" s="81" t="n"/>
      <c r="AE1630" s="81" t="n"/>
      <c r="AF1630" s="81" t="n"/>
      <c r="AG1630" s="81" t="n"/>
      <c r="AH1630" s="81" t="n"/>
      <c r="AI1630" s="81" t="n"/>
      <c r="AJ1630" s="81" t="n"/>
      <c r="AK1630" s="81" t="n"/>
      <c r="AL1630" s="81" t="n"/>
      <c r="AM1630" s="81" t="n"/>
      <c r="AN1630" s="81" t="n"/>
      <c r="AO1630" s="81" t="n"/>
      <c r="AP1630" s="81" t="n"/>
      <c r="AQ1630" s="81" t="n"/>
      <c r="AR1630" s="81" t="n"/>
      <c r="AS1630" s="81" t="n"/>
      <c r="AT1630" s="81" t="n"/>
      <c r="AU1630" s="81" t="n"/>
      <c r="AV1630" s="81" t="n"/>
      <c r="AW1630" s="81" t="n"/>
      <c r="AX1630" s="81" t="n"/>
      <c r="AY1630" s="81" t="n"/>
      <c r="AZ1630" s="81" t="n"/>
      <c r="BA1630" s="81" t="n"/>
      <c r="BB1630" s="81" t="n"/>
      <c r="BC1630" s="81" t="n"/>
      <c r="BD1630" s="81" t="n"/>
      <c r="BE1630" s="81" t="n"/>
      <c r="BF1630" s="81" t="n"/>
      <c r="BG1630" s="81" t="n"/>
      <c r="BH1630" s="81" t="n"/>
      <c r="BI1630" s="81" t="n"/>
      <c r="BJ1630" s="81" t="n"/>
      <c r="BK1630" s="81" t="n"/>
      <c r="BL1630" s="81" t="n"/>
      <c r="BM1630" s="81" t="n"/>
      <c r="BN1630" s="81" t="n"/>
      <c r="BO1630" s="81" t="n"/>
      <c r="BP1630" s="81" t="n"/>
      <c r="BQ1630" s="81" t="n"/>
      <c r="BR1630" s="81" t="n"/>
      <c r="BS1630" s="81" t="n"/>
      <c r="BT1630" s="81" t="n"/>
      <c r="BU1630" s="81" t="n"/>
      <c r="BV1630" s="81" t="n"/>
      <c r="BW1630" s="81" t="n"/>
      <c r="BX1630" s="81" t="n"/>
      <c r="BY1630" s="81" t="n"/>
      <c r="BZ1630" s="81" t="n"/>
      <c r="CA1630" s="81" t="n"/>
      <c r="CB1630" s="81" t="n"/>
      <c r="CC1630" s="81" t="n"/>
      <c r="CD1630" s="81" t="n"/>
      <c r="CE1630" s="81" t="n"/>
      <c r="CF1630" s="81" t="n"/>
      <c r="CG1630" s="81" t="n"/>
      <c r="CH1630" s="81" t="n"/>
    </row>
    <row r="1631">
      <c r="A1631" s="81" t="n"/>
      <c r="B1631" s="81" t="n"/>
      <c r="C1631" s="81" t="n"/>
      <c r="D1631" s="81" t="n"/>
      <c r="E1631" s="81" t="n"/>
      <c r="F1631" s="81" t="n"/>
      <c r="G1631" s="81" t="n"/>
      <c r="H1631" s="81" t="n"/>
      <c r="I1631" s="81" t="n"/>
      <c r="J1631" s="81" t="n"/>
      <c r="K1631" s="81" t="n"/>
      <c r="L1631" s="81" t="n"/>
      <c r="M1631" s="81" t="n"/>
      <c r="N1631" s="81" t="n"/>
      <c r="O1631" s="81" t="n"/>
      <c r="P1631" s="81" t="n"/>
      <c r="Q1631" s="81" t="n"/>
      <c r="R1631" s="81" t="n"/>
      <c r="S1631" s="81" t="n"/>
      <c r="T1631" s="81" t="n"/>
      <c r="U1631" s="81" t="n"/>
      <c r="V1631" s="81" t="n"/>
      <c r="W1631" s="81" t="n"/>
      <c r="X1631" s="81" t="n"/>
      <c r="Y1631" s="81" t="n"/>
      <c r="Z1631" s="81" t="n"/>
      <c r="AA1631" s="81" t="n"/>
      <c r="AB1631" s="81" t="n"/>
      <c r="AC1631" s="81" t="n"/>
      <c r="AD1631" s="81" t="n"/>
      <c r="AE1631" s="81" t="n"/>
      <c r="AF1631" s="81" t="n"/>
      <c r="AG1631" s="81" t="n"/>
      <c r="AH1631" s="81" t="n"/>
      <c r="AI1631" s="81" t="n"/>
      <c r="AJ1631" s="81" t="n"/>
      <c r="AK1631" s="81" t="n"/>
      <c r="AL1631" s="81" t="n"/>
      <c r="AM1631" s="81" t="n"/>
      <c r="AN1631" s="81" t="n"/>
      <c r="AO1631" s="81" t="n"/>
      <c r="AP1631" s="81" t="n"/>
      <c r="AQ1631" s="81" t="n"/>
      <c r="AR1631" s="81" t="n"/>
      <c r="AS1631" s="81" t="n"/>
      <c r="AT1631" s="81" t="n"/>
      <c r="AU1631" s="81" t="n"/>
      <c r="AV1631" s="81" t="n"/>
      <c r="AW1631" s="81" t="n"/>
      <c r="AX1631" s="81" t="n"/>
      <c r="AY1631" s="81" t="n"/>
      <c r="AZ1631" s="81" t="n"/>
      <c r="BA1631" s="81" t="n"/>
      <c r="BB1631" s="81" t="n"/>
      <c r="BC1631" s="81" t="n"/>
      <c r="BD1631" s="81" t="n"/>
      <c r="BE1631" s="81" t="n"/>
      <c r="BF1631" s="81" t="n"/>
      <c r="BG1631" s="81" t="n"/>
      <c r="BH1631" s="81" t="n"/>
      <c r="BI1631" s="81" t="n"/>
      <c r="BJ1631" s="81" t="n"/>
      <c r="BK1631" s="81" t="n"/>
      <c r="BL1631" s="81" t="n"/>
      <c r="BM1631" s="81" t="n"/>
      <c r="BN1631" s="81" t="n"/>
      <c r="BO1631" s="81" t="n"/>
      <c r="BP1631" s="81" t="n"/>
      <c r="BQ1631" s="81" t="n"/>
      <c r="BR1631" s="81" t="n"/>
      <c r="BS1631" s="81" t="n"/>
      <c r="BT1631" s="81" t="n"/>
      <c r="BU1631" s="81" t="n"/>
      <c r="BV1631" s="81" t="n"/>
      <c r="BW1631" s="81" t="n"/>
      <c r="BX1631" s="81" t="n"/>
      <c r="BY1631" s="81" t="n"/>
      <c r="BZ1631" s="81" t="n"/>
      <c r="CA1631" s="81" t="n"/>
      <c r="CB1631" s="81" t="n"/>
      <c r="CC1631" s="81" t="n"/>
      <c r="CD1631" s="81" t="n"/>
      <c r="CE1631" s="81" t="n"/>
      <c r="CF1631" s="81" t="n"/>
      <c r="CG1631" s="81" t="n"/>
      <c r="CH1631" s="81" t="n"/>
    </row>
    <row r="1632">
      <c r="A1632" s="81" t="n"/>
      <c r="B1632" s="81" t="n"/>
      <c r="C1632" s="81" t="n"/>
      <c r="D1632" s="81" t="n"/>
      <c r="E1632" s="81" t="n"/>
      <c r="F1632" s="81" t="n"/>
      <c r="G1632" s="81" t="n"/>
      <c r="H1632" s="81" t="n"/>
      <c r="I1632" s="81" t="n"/>
      <c r="J1632" s="81" t="n"/>
      <c r="K1632" s="81" t="n"/>
      <c r="L1632" s="81" t="n"/>
      <c r="M1632" s="81" t="n"/>
      <c r="N1632" s="81" t="n"/>
      <c r="O1632" s="81" t="n"/>
      <c r="P1632" s="81" t="n"/>
      <c r="Q1632" s="81" t="n"/>
      <c r="R1632" s="81" t="n"/>
      <c r="S1632" s="81" t="n"/>
      <c r="T1632" s="81" t="n"/>
      <c r="U1632" s="81" t="n"/>
      <c r="V1632" s="81" t="n"/>
      <c r="W1632" s="81" t="n"/>
      <c r="X1632" s="81" t="n"/>
      <c r="Y1632" s="81" t="n"/>
      <c r="Z1632" s="81" t="n"/>
      <c r="AA1632" s="81" t="n"/>
      <c r="AB1632" s="81" t="n"/>
      <c r="AC1632" s="81" t="n"/>
      <c r="AD1632" s="81" t="n"/>
      <c r="AE1632" s="81" t="n"/>
      <c r="AF1632" s="81" t="n"/>
      <c r="AG1632" s="81" t="n"/>
      <c r="AH1632" s="81" t="n"/>
      <c r="AI1632" s="81" t="n"/>
      <c r="AJ1632" s="81" t="n"/>
      <c r="AK1632" s="81" t="n"/>
      <c r="AL1632" s="81" t="n"/>
      <c r="AM1632" s="81" t="n"/>
      <c r="AN1632" s="81" t="n"/>
      <c r="AO1632" s="81" t="n"/>
      <c r="AP1632" s="81" t="n"/>
      <c r="AQ1632" s="81" t="n"/>
      <c r="AR1632" s="81" t="n"/>
      <c r="AS1632" s="81" t="n"/>
      <c r="AT1632" s="81" t="n"/>
      <c r="AU1632" s="81" t="n"/>
      <c r="AV1632" s="81" t="n"/>
      <c r="AW1632" s="81" t="n"/>
      <c r="AX1632" s="81" t="n"/>
      <c r="AY1632" s="81" t="n"/>
      <c r="AZ1632" s="81" t="n"/>
      <c r="BA1632" s="81" t="n"/>
      <c r="BB1632" s="81" t="n"/>
      <c r="BC1632" s="81" t="n"/>
      <c r="BD1632" s="81" t="n"/>
      <c r="BE1632" s="81" t="n"/>
      <c r="BF1632" s="81" t="n"/>
      <c r="BG1632" s="81" t="n"/>
      <c r="BH1632" s="81" t="n"/>
      <c r="BI1632" s="81" t="n"/>
      <c r="BJ1632" s="81" t="n"/>
      <c r="BK1632" s="81" t="n"/>
      <c r="BL1632" s="81" t="n"/>
      <c r="BM1632" s="81" t="n"/>
      <c r="BN1632" s="81" t="n"/>
      <c r="BO1632" s="81" t="n"/>
      <c r="BP1632" s="81" t="n"/>
      <c r="BQ1632" s="81" t="n"/>
      <c r="BR1632" s="81" t="n"/>
      <c r="BS1632" s="81" t="n"/>
      <c r="BT1632" s="81" t="n"/>
      <c r="BU1632" s="81" t="n"/>
      <c r="BV1632" s="81" t="n"/>
      <c r="BW1632" s="81" t="n"/>
      <c r="BX1632" s="81" t="n"/>
      <c r="BY1632" s="81" t="n"/>
      <c r="BZ1632" s="81" t="n"/>
      <c r="CA1632" s="81" t="n"/>
      <c r="CB1632" s="81" t="n"/>
      <c r="CC1632" s="81" t="n"/>
      <c r="CD1632" s="81" t="n"/>
      <c r="CE1632" s="81" t="n"/>
      <c r="CF1632" s="81" t="n"/>
      <c r="CG1632" s="81" t="n"/>
      <c r="CH1632" s="81" t="n"/>
    </row>
    <row r="1633">
      <c r="A1633" s="81" t="n"/>
      <c r="B1633" s="81" t="n"/>
      <c r="C1633" s="81" t="n"/>
      <c r="D1633" s="81" t="n"/>
      <c r="E1633" s="81" t="n"/>
      <c r="F1633" s="81" t="n"/>
      <c r="G1633" s="81" t="n"/>
      <c r="H1633" s="81" t="n"/>
      <c r="I1633" s="81" t="n"/>
      <c r="J1633" s="81" t="n"/>
      <c r="K1633" s="81" t="n"/>
      <c r="L1633" s="81" t="n"/>
      <c r="M1633" s="81" t="n"/>
      <c r="N1633" s="81" t="n"/>
      <c r="O1633" s="81" t="n"/>
      <c r="P1633" s="81" t="n"/>
      <c r="Q1633" s="81" t="n"/>
      <c r="R1633" s="81" t="n"/>
      <c r="S1633" s="81" t="n"/>
      <c r="T1633" s="81" t="n"/>
      <c r="U1633" s="81" t="n"/>
      <c r="V1633" s="81" t="n"/>
      <c r="W1633" s="81" t="n"/>
      <c r="X1633" s="81" t="n"/>
      <c r="Y1633" s="81" t="n"/>
      <c r="Z1633" s="81" t="n"/>
      <c r="AA1633" s="81" t="n"/>
      <c r="AB1633" s="81" t="n"/>
      <c r="AC1633" s="81" t="n"/>
      <c r="AD1633" s="81" t="n"/>
      <c r="AE1633" s="81" t="n"/>
      <c r="AF1633" s="81" t="n"/>
      <c r="AG1633" s="81" t="n"/>
      <c r="AH1633" s="81" t="n"/>
      <c r="AI1633" s="81" t="n"/>
      <c r="AJ1633" s="81" t="n"/>
      <c r="AK1633" s="81" t="n"/>
      <c r="AL1633" s="81" t="n"/>
      <c r="AM1633" s="81" t="n"/>
      <c r="AN1633" s="81" t="n"/>
      <c r="AO1633" s="81" t="n"/>
      <c r="AP1633" s="81" t="n"/>
      <c r="AQ1633" s="81" t="n"/>
      <c r="AR1633" s="81" t="n"/>
      <c r="AS1633" s="81" t="n"/>
      <c r="AT1633" s="81" t="n"/>
      <c r="AU1633" s="81" t="n"/>
      <c r="AV1633" s="81" t="n"/>
      <c r="AW1633" s="81" t="n"/>
      <c r="AX1633" s="81" t="n"/>
      <c r="AY1633" s="81" t="n"/>
      <c r="AZ1633" s="81" t="n"/>
      <c r="BA1633" s="81" t="n"/>
      <c r="BB1633" s="81" t="n"/>
      <c r="BC1633" s="81" t="n"/>
      <c r="BD1633" s="81" t="n"/>
      <c r="BE1633" s="81" t="n"/>
      <c r="BF1633" s="81" t="n"/>
      <c r="BG1633" s="81" t="n"/>
      <c r="BH1633" s="81" t="n"/>
      <c r="BI1633" s="81" t="n"/>
      <c r="BJ1633" s="81" t="n"/>
      <c r="BK1633" s="81" t="n"/>
      <c r="BL1633" s="81" t="n"/>
      <c r="BM1633" s="81" t="n"/>
      <c r="BN1633" s="81" t="n"/>
      <c r="BO1633" s="81" t="n"/>
      <c r="BP1633" s="81" t="n"/>
      <c r="BQ1633" s="81" t="n"/>
      <c r="BR1633" s="81" t="n"/>
      <c r="BS1633" s="81" t="n"/>
      <c r="BT1633" s="81" t="n"/>
      <c r="BU1633" s="81" t="n"/>
      <c r="BV1633" s="81" t="n"/>
      <c r="BW1633" s="81" t="n"/>
      <c r="BX1633" s="81" t="n"/>
      <c r="BY1633" s="81" t="n"/>
      <c r="BZ1633" s="81" t="n"/>
      <c r="CA1633" s="81" t="n"/>
      <c r="CB1633" s="81" t="n"/>
      <c r="CC1633" s="81" t="n"/>
      <c r="CD1633" s="81" t="n"/>
      <c r="CE1633" s="81" t="n"/>
      <c r="CF1633" s="81" t="n"/>
      <c r="CG1633" s="81" t="n"/>
      <c r="CH1633" s="81" t="n"/>
    </row>
    <row r="1634">
      <c r="A1634" s="81" t="n"/>
      <c r="B1634" s="81" t="n"/>
      <c r="C1634" s="81" t="n"/>
      <c r="D1634" s="81" t="n"/>
      <c r="E1634" s="81" t="n"/>
      <c r="F1634" s="81" t="n"/>
      <c r="G1634" s="81" t="n"/>
      <c r="H1634" s="81" t="n"/>
      <c r="I1634" s="81" t="n"/>
      <c r="J1634" s="81" t="n"/>
      <c r="K1634" s="81" t="n"/>
      <c r="L1634" s="81" t="n"/>
      <c r="M1634" s="81" t="n"/>
      <c r="N1634" s="81" t="n"/>
      <c r="O1634" s="81" t="n"/>
      <c r="P1634" s="81" t="n"/>
      <c r="Q1634" s="81" t="n"/>
      <c r="R1634" s="81" t="n"/>
      <c r="S1634" s="81" t="n"/>
      <c r="T1634" s="81" t="n"/>
      <c r="U1634" s="81" t="n"/>
      <c r="V1634" s="81" t="n"/>
      <c r="W1634" s="81" t="n"/>
      <c r="X1634" s="81" t="n"/>
      <c r="Y1634" s="81" t="n"/>
      <c r="Z1634" s="81" t="n"/>
      <c r="AA1634" s="81" t="n"/>
      <c r="AB1634" s="81" t="n"/>
      <c r="AC1634" s="81" t="n"/>
      <c r="AD1634" s="81" t="n"/>
      <c r="AE1634" s="81" t="n"/>
      <c r="AF1634" s="81" t="n"/>
      <c r="AG1634" s="81" t="n"/>
      <c r="AH1634" s="81" t="n"/>
      <c r="AI1634" s="81" t="n"/>
      <c r="AJ1634" s="81" t="n"/>
      <c r="AK1634" s="81" t="n"/>
      <c r="AL1634" s="81" t="n"/>
      <c r="AM1634" s="81" t="n"/>
      <c r="AN1634" s="81" t="n"/>
      <c r="AO1634" s="81" t="n"/>
      <c r="AP1634" s="81" t="n"/>
      <c r="AQ1634" s="81" t="n"/>
      <c r="AR1634" s="81" t="n"/>
      <c r="AS1634" s="81" t="n"/>
      <c r="AT1634" s="81" t="n"/>
      <c r="AU1634" s="81" t="n"/>
      <c r="AV1634" s="81" t="n"/>
      <c r="AW1634" s="81" t="n"/>
      <c r="AX1634" s="81" t="n"/>
      <c r="AY1634" s="81" t="n"/>
      <c r="AZ1634" s="81" t="n"/>
      <c r="BA1634" s="81" t="n"/>
      <c r="BB1634" s="81" t="n"/>
      <c r="BC1634" s="81" t="n"/>
      <c r="BD1634" s="81" t="n"/>
      <c r="BE1634" s="81" t="n"/>
      <c r="BF1634" s="81" t="n"/>
      <c r="BG1634" s="81" t="n"/>
      <c r="BH1634" s="81" t="n"/>
      <c r="BI1634" s="81" t="n"/>
      <c r="BJ1634" s="81" t="n"/>
      <c r="BK1634" s="81" t="n"/>
      <c r="BL1634" s="81" t="n"/>
      <c r="BM1634" s="81" t="n"/>
      <c r="BN1634" s="81" t="n"/>
      <c r="BO1634" s="81" t="n"/>
      <c r="BP1634" s="81" t="n"/>
      <c r="BQ1634" s="81" t="n"/>
      <c r="BR1634" s="81" t="n"/>
      <c r="BS1634" s="81" t="n"/>
      <c r="BT1634" s="81" t="n"/>
      <c r="BU1634" s="81" t="n"/>
      <c r="BV1634" s="81" t="n"/>
      <c r="BW1634" s="81" t="n"/>
      <c r="BX1634" s="81" t="n"/>
      <c r="BY1634" s="81" t="n"/>
      <c r="BZ1634" s="81" t="n"/>
      <c r="CA1634" s="81" t="n"/>
      <c r="CB1634" s="81" t="n"/>
      <c r="CC1634" s="81" t="n"/>
      <c r="CD1634" s="81" t="n"/>
      <c r="CE1634" s="81" t="n"/>
      <c r="CF1634" s="81" t="n"/>
      <c r="CG1634" s="81" t="n"/>
      <c r="CH1634" s="81" t="n"/>
    </row>
    <row r="1635">
      <c r="A1635" s="81" t="n"/>
      <c r="B1635" s="81" t="n"/>
      <c r="C1635" s="81" t="n"/>
      <c r="D1635" s="81" t="n"/>
      <c r="E1635" s="81" t="n"/>
      <c r="F1635" s="81" t="n"/>
      <c r="G1635" s="81" t="n"/>
      <c r="H1635" s="81" t="n"/>
      <c r="I1635" s="81" t="n"/>
      <c r="J1635" s="81" t="n"/>
      <c r="K1635" s="81" t="n"/>
      <c r="L1635" s="81" t="n"/>
      <c r="M1635" s="81" t="n"/>
      <c r="N1635" s="81" t="n"/>
      <c r="O1635" s="81" t="n"/>
      <c r="P1635" s="81" t="n"/>
      <c r="Q1635" s="81" t="n"/>
      <c r="R1635" s="81" t="n"/>
      <c r="S1635" s="81" t="n"/>
      <c r="T1635" s="81" t="n"/>
      <c r="U1635" s="81" t="n"/>
      <c r="V1635" s="81" t="n"/>
      <c r="W1635" s="81" t="n"/>
      <c r="X1635" s="81" t="n"/>
      <c r="Y1635" s="81" t="n"/>
      <c r="Z1635" s="81" t="n"/>
      <c r="AA1635" s="81" t="n"/>
      <c r="AB1635" s="81" t="n"/>
      <c r="AC1635" s="81" t="n"/>
      <c r="AD1635" s="81" t="n"/>
      <c r="AE1635" s="81" t="n"/>
      <c r="AF1635" s="81" t="n"/>
      <c r="AG1635" s="81" t="n"/>
      <c r="AH1635" s="81" t="n"/>
      <c r="AI1635" s="81" t="n"/>
      <c r="AJ1635" s="81" t="n"/>
      <c r="AK1635" s="81" t="n"/>
      <c r="AL1635" s="81" t="n"/>
      <c r="AM1635" s="81" t="n"/>
      <c r="AN1635" s="81" t="n"/>
      <c r="AO1635" s="81" t="n"/>
      <c r="AP1635" s="81" t="n"/>
      <c r="AQ1635" s="81" t="n"/>
      <c r="AR1635" s="81" t="n"/>
      <c r="AS1635" s="81" t="n"/>
      <c r="AT1635" s="81" t="n"/>
      <c r="AU1635" s="81" t="n"/>
      <c r="AV1635" s="81" t="n"/>
      <c r="AW1635" s="81" t="n"/>
      <c r="AX1635" s="81" t="n"/>
      <c r="AY1635" s="81" t="n"/>
      <c r="AZ1635" s="81" t="n"/>
      <c r="BA1635" s="81" t="n"/>
      <c r="BB1635" s="81" t="n"/>
      <c r="BC1635" s="81" t="n"/>
      <c r="BD1635" s="81" t="n"/>
      <c r="BE1635" s="81" t="n"/>
      <c r="BF1635" s="81" t="n"/>
      <c r="BG1635" s="81" t="n"/>
      <c r="BH1635" s="81" t="n"/>
      <c r="BI1635" s="81" t="n"/>
      <c r="BJ1635" s="81" t="n"/>
      <c r="BK1635" s="81" t="n"/>
      <c r="BL1635" s="81" t="n"/>
      <c r="BM1635" s="81" t="n"/>
      <c r="BN1635" s="81" t="n"/>
      <c r="BO1635" s="81" t="n"/>
      <c r="BP1635" s="81" t="n"/>
      <c r="BQ1635" s="81" t="n"/>
      <c r="BR1635" s="81" t="n"/>
      <c r="BS1635" s="81" t="n"/>
      <c r="BT1635" s="81" t="n"/>
      <c r="BU1635" s="81" t="n"/>
      <c r="BV1635" s="81" t="n"/>
      <c r="BW1635" s="81" t="n"/>
      <c r="BX1635" s="81" t="n"/>
      <c r="BY1635" s="81" t="n"/>
      <c r="BZ1635" s="81" t="n"/>
      <c r="CA1635" s="81" t="n"/>
      <c r="CB1635" s="81" t="n"/>
      <c r="CC1635" s="81" t="n"/>
      <c r="CD1635" s="81" t="n"/>
      <c r="CE1635" s="81" t="n"/>
      <c r="CF1635" s="81" t="n"/>
      <c r="CG1635" s="81" t="n"/>
      <c r="CH1635" s="81" t="n"/>
    </row>
    <row r="1636">
      <c r="A1636" s="81" t="n"/>
      <c r="B1636" s="81" t="n"/>
      <c r="C1636" s="81" t="n"/>
      <c r="D1636" s="81" t="n"/>
      <c r="E1636" s="81" t="n"/>
      <c r="F1636" s="81" t="n"/>
      <c r="G1636" s="81" t="n"/>
      <c r="H1636" s="81" t="n"/>
      <c r="I1636" s="81" t="n"/>
      <c r="J1636" s="81" t="n"/>
      <c r="K1636" s="81" t="n"/>
      <c r="L1636" s="81" t="n"/>
      <c r="M1636" s="81" t="n"/>
      <c r="N1636" s="81" t="n"/>
      <c r="O1636" s="81" t="n"/>
      <c r="P1636" s="81" t="n"/>
      <c r="Q1636" s="81" t="n"/>
      <c r="R1636" s="81" t="n"/>
      <c r="S1636" s="81" t="n"/>
      <c r="T1636" s="81" t="n"/>
      <c r="U1636" s="81" t="n"/>
      <c r="V1636" s="81" t="n"/>
      <c r="W1636" s="81" t="n"/>
      <c r="X1636" s="81" t="n"/>
      <c r="Y1636" s="81" t="n"/>
      <c r="Z1636" s="81" t="n"/>
      <c r="AA1636" s="81" t="n"/>
      <c r="AB1636" s="81" t="n"/>
      <c r="AC1636" s="81" t="n"/>
      <c r="AD1636" s="81" t="n"/>
      <c r="AE1636" s="81" t="n"/>
      <c r="AF1636" s="81" t="n"/>
      <c r="AG1636" s="81" t="n"/>
      <c r="AH1636" s="81" t="n"/>
      <c r="AI1636" s="81" t="n"/>
      <c r="AJ1636" s="81" t="n"/>
      <c r="AK1636" s="81" t="n"/>
      <c r="AL1636" s="81" t="n"/>
      <c r="AM1636" s="81" t="n"/>
      <c r="AN1636" s="81" t="n"/>
      <c r="AO1636" s="81" t="n"/>
      <c r="AP1636" s="81" t="n"/>
      <c r="AQ1636" s="81" t="n"/>
      <c r="AR1636" s="81" t="n"/>
      <c r="AS1636" s="81" t="n"/>
      <c r="AT1636" s="81" t="n"/>
      <c r="AU1636" s="81" t="n"/>
      <c r="AV1636" s="81" t="n"/>
      <c r="AW1636" s="81" t="n"/>
      <c r="AX1636" s="81" t="n"/>
      <c r="AY1636" s="81" t="n"/>
      <c r="AZ1636" s="81" t="n"/>
      <c r="BA1636" s="81" t="n"/>
      <c r="BB1636" s="81" t="n"/>
      <c r="BC1636" s="81" t="n"/>
      <c r="BD1636" s="81" t="n"/>
      <c r="BE1636" s="81" t="n"/>
      <c r="BF1636" s="81" t="n"/>
      <c r="BG1636" s="81" t="n"/>
      <c r="BH1636" s="81" t="n"/>
      <c r="BI1636" s="81" t="n"/>
      <c r="BJ1636" s="81" t="n"/>
      <c r="BK1636" s="81" t="n"/>
      <c r="BL1636" s="81" t="n"/>
      <c r="BM1636" s="81" t="n"/>
      <c r="BN1636" s="81" t="n"/>
      <c r="BO1636" s="81" t="n"/>
      <c r="BP1636" s="81" t="n"/>
      <c r="BQ1636" s="81" t="n"/>
      <c r="BR1636" s="81" t="n"/>
      <c r="BS1636" s="81" t="n"/>
      <c r="BT1636" s="81" t="n"/>
      <c r="BU1636" s="81" t="n"/>
      <c r="BV1636" s="81" t="n"/>
      <c r="BW1636" s="81" t="n"/>
      <c r="BX1636" s="81" t="n"/>
      <c r="BY1636" s="81" t="n"/>
      <c r="BZ1636" s="81" t="n"/>
      <c r="CA1636" s="81" t="n"/>
      <c r="CB1636" s="81" t="n"/>
      <c r="CC1636" s="81" t="n"/>
      <c r="CD1636" s="81" t="n"/>
      <c r="CE1636" s="81" t="n"/>
      <c r="CF1636" s="81" t="n"/>
      <c r="CG1636" s="81" t="n"/>
      <c r="CH1636" s="81" t="n"/>
    </row>
    <row r="1637">
      <c r="A1637" s="81" t="n"/>
      <c r="B1637" s="81" t="n"/>
      <c r="C1637" s="81" t="n"/>
      <c r="D1637" s="81" t="n"/>
      <c r="E1637" s="81" t="n"/>
      <c r="F1637" s="81" t="n"/>
      <c r="G1637" s="81" t="n"/>
      <c r="H1637" s="81" t="n"/>
      <c r="I1637" s="81" t="n"/>
      <c r="J1637" s="81" t="n"/>
      <c r="K1637" s="81" t="n"/>
      <c r="L1637" s="81" t="n"/>
      <c r="M1637" s="81" t="n"/>
      <c r="N1637" s="81" t="n"/>
      <c r="O1637" s="81" t="n"/>
      <c r="P1637" s="81" t="n"/>
      <c r="Q1637" s="81" t="n"/>
      <c r="R1637" s="81" t="n"/>
      <c r="S1637" s="81" t="n"/>
      <c r="T1637" s="81" t="n"/>
      <c r="U1637" s="81" t="n"/>
      <c r="V1637" s="81" t="n"/>
      <c r="W1637" s="81" t="n"/>
      <c r="X1637" s="81" t="n"/>
      <c r="Y1637" s="81" t="n"/>
      <c r="Z1637" s="81" t="n"/>
      <c r="AA1637" s="81" t="n"/>
      <c r="AB1637" s="81" t="n"/>
      <c r="AC1637" s="81" t="n"/>
      <c r="AD1637" s="81" t="n"/>
      <c r="AE1637" s="81" t="n"/>
      <c r="AF1637" s="81" t="n"/>
      <c r="AG1637" s="81" t="n"/>
      <c r="AH1637" s="81" t="n"/>
      <c r="AI1637" s="81" t="n"/>
      <c r="AJ1637" s="81" t="n"/>
      <c r="AK1637" s="81" t="n"/>
      <c r="AL1637" s="81" t="n"/>
      <c r="AM1637" s="81" t="n"/>
      <c r="AN1637" s="81" t="n"/>
      <c r="AO1637" s="81" t="n"/>
      <c r="AP1637" s="81" t="n"/>
      <c r="AQ1637" s="81" t="n"/>
      <c r="AR1637" s="81" t="n"/>
      <c r="AS1637" s="81" t="n"/>
      <c r="AT1637" s="81" t="n"/>
      <c r="AU1637" s="81" t="n"/>
      <c r="AV1637" s="81" t="n"/>
      <c r="AW1637" s="81" t="n"/>
      <c r="AX1637" s="81" t="n"/>
      <c r="AY1637" s="81" t="n"/>
      <c r="AZ1637" s="81" t="n"/>
      <c r="BA1637" s="81" t="n"/>
      <c r="BB1637" s="81" t="n"/>
      <c r="BC1637" s="81" t="n"/>
      <c r="BD1637" s="81" t="n"/>
      <c r="BE1637" s="81" t="n"/>
      <c r="BF1637" s="81" t="n"/>
      <c r="BG1637" s="81" t="n"/>
      <c r="BH1637" s="81" t="n"/>
      <c r="BI1637" s="81" t="n"/>
      <c r="BJ1637" s="81" t="n"/>
      <c r="BK1637" s="81" t="n"/>
      <c r="BL1637" s="81" t="n"/>
      <c r="BM1637" s="81" t="n"/>
      <c r="BN1637" s="81" t="n"/>
      <c r="BO1637" s="81" t="n"/>
      <c r="BP1637" s="81" t="n"/>
      <c r="BQ1637" s="81" t="n"/>
      <c r="BR1637" s="81" t="n"/>
      <c r="BS1637" s="81" t="n"/>
      <c r="BT1637" s="81" t="n"/>
      <c r="BU1637" s="81" t="n"/>
      <c r="BV1637" s="81" t="n"/>
      <c r="BW1637" s="81" t="n"/>
      <c r="BX1637" s="81" t="n"/>
      <c r="BY1637" s="81" t="n"/>
      <c r="BZ1637" s="81" t="n"/>
      <c r="CA1637" s="81" t="n"/>
      <c r="CB1637" s="81" t="n"/>
      <c r="CC1637" s="81" t="n"/>
      <c r="CD1637" s="81" t="n"/>
      <c r="CE1637" s="81" t="n"/>
      <c r="CF1637" s="81" t="n"/>
      <c r="CG1637" s="81" t="n"/>
      <c r="CH1637" s="81" t="n"/>
    </row>
    <row r="1638">
      <c r="A1638" s="81" t="n"/>
      <c r="B1638" s="81" t="n"/>
      <c r="C1638" s="81" t="n"/>
      <c r="D1638" s="81" t="n"/>
      <c r="E1638" s="81" t="n"/>
      <c r="F1638" s="81" t="n"/>
      <c r="G1638" s="81" t="n"/>
      <c r="H1638" s="81" t="n"/>
      <c r="I1638" s="81" t="n"/>
      <c r="J1638" s="81" t="n"/>
      <c r="K1638" s="81" t="n"/>
      <c r="L1638" s="81" t="n"/>
      <c r="M1638" s="81" t="n"/>
      <c r="N1638" s="81" t="n"/>
      <c r="O1638" s="81" t="n"/>
      <c r="P1638" s="81" t="n"/>
      <c r="Q1638" s="81" t="n"/>
      <c r="R1638" s="81" t="n"/>
      <c r="S1638" s="81" t="n"/>
      <c r="T1638" s="81" t="n"/>
      <c r="U1638" s="81" t="n"/>
      <c r="V1638" s="81" t="n"/>
      <c r="W1638" s="81" t="n"/>
      <c r="X1638" s="81" t="n"/>
      <c r="Y1638" s="81" t="n"/>
      <c r="Z1638" s="81" t="n"/>
      <c r="AA1638" s="81" t="n"/>
      <c r="AB1638" s="81" t="n"/>
      <c r="AC1638" s="81" t="n"/>
      <c r="AD1638" s="81" t="n"/>
      <c r="AE1638" s="81" t="n"/>
      <c r="AF1638" s="81" t="n"/>
      <c r="AG1638" s="81" t="n"/>
      <c r="AH1638" s="81" t="n"/>
      <c r="AI1638" s="81" t="n"/>
      <c r="AJ1638" s="81" t="n"/>
      <c r="AK1638" s="81" t="n"/>
      <c r="AL1638" s="81" t="n"/>
      <c r="AM1638" s="81" t="n"/>
      <c r="AN1638" s="81" t="n"/>
      <c r="AO1638" s="81" t="n"/>
      <c r="AP1638" s="81" t="n"/>
      <c r="AQ1638" s="81" t="n"/>
      <c r="AR1638" s="81" t="n"/>
      <c r="AS1638" s="81" t="n"/>
      <c r="AT1638" s="81" t="n"/>
      <c r="AU1638" s="81" t="n"/>
      <c r="AV1638" s="81" t="n"/>
      <c r="AW1638" s="81" t="n"/>
      <c r="AX1638" s="81" t="n"/>
      <c r="AY1638" s="81" t="n"/>
      <c r="AZ1638" s="81" t="n"/>
      <c r="BA1638" s="81" t="n"/>
      <c r="BB1638" s="81" t="n"/>
      <c r="BC1638" s="81" t="n"/>
      <c r="BD1638" s="81" t="n"/>
      <c r="BE1638" s="81" t="n"/>
      <c r="BF1638" s="81" t="n"/>
      <c r="BG1638" s="81" t="n"/>
      <c r="BH1638" s="81" t="n"/>
      <c r="BI1638" s="81" t="n"/>
      <c r="BJ1638" s="81" t="n"/>
      <c r="BK1638" s="81" t="n"/>
      <c r="BL1638" s="81" t="n"/>
      <c r="BM1638" s="81" t="n"/>
      <c r="BN1638" s="81" t="n"/>
      <c r="BO1638" s="81" t="n"/>
      <c r="BP1638" s="81" t="n"/>
      <c r="BQ1638" s="81" t="n"/>
      <c r="BR1638" s="81" t="n"/>
      <c r="BS1638" s="81" t="n"/>
      <c r="BT1638" s="81" t="n"/>
      <c r="BU1638" s="81" t="n"/>
      <c r="BV1638" s="81" t="n"/>
      <c r="BW1638" s="81" t="n"/>
      <c r="BX1638" s="81" t="n"/>
      <c r="BY1638" s="81" t="n"/>
      <c r="BZ1638" s="81" t="n"/>
      <c r="CA1638" s="81" t="n"/>
      <c r="CB1638" s="81" t="n"/>
      <c r="CC1638" s="81" t="n"/>
      <c r="CD1638" s="81" t="n"/>
      <c r="CE1638" s="81" t="n"/>
      <c r="CF1638" s="81" t="n"/>
      <c r="CG1638" s="81" t="n"/>
      <c r="CH1638" s="81" t="n"/>
    </row>
    <row r="1639">
      <c r="A1639" s="81" t="n"/>
      <c r="B1639" s="81" t="n"/>
      <c r="C1639" s="81" t="n"/>
      <c r="D1639" s="81" t="n"/>
      <c r="E1639" s="81" t="n"/>
      <c r="F1639" s="81" t="n"/>
      <c r="G1639" s="81" t="n"/>
      <c r="H1639" s="81" t="n"/>
      <c r="I1639" s="81" t="n"/>
      <c r="J1639" s="81" t="n"/>
      <c r="K1639" s="81" t="n"/>
      <c r="L1639" s="81" t="n"/>
      <c r="M1639" s="81" t="n"/>
      <c r="N1639" s="81" t="n"/>
      <c r="O1639" s="81" t="n"/>
      <c r="P1639" s="81" t="n"/>
      <c r="Q1639" s="81" t="n"/>
      <c r="R1639" s="81" t="n"/>
      <c r="S1639" s="81" t="n"/>
      <c r="T1639" s="81" t="n"/>
      <c r="U1639" s="81" t="n"/>
      <c r="V1639" s="81" t="n"/>
      <c r="W1639" s="81" t="n"/>
      <c r="X1639" s="81" t="n"/>
      <c r="Y1639" s="81" t="n"/>
      <c r="Z1639" s="81" t="n"/>
      <c r="AA1639" s="81" t="n"/>
      <c r="AB1639" s="81" t="n"/>
      <c r="AC1639" s="81" t="n"/>
      <c r="AD1639" s="81" t="n"/>
      <c r="AE1639" s="81" t="n"/>
      <c r="AF1639" s="81" t="n"/>
      <c r="AG1639" s="81" t="n"/>
      <c r="AH1639" s="81" t="n"/>
      <c r="AI1639" s="81" t="n"/>
      <c r="AJ1639" s="81" t="n"/>
      <c r="AK1639" s="81" t="n"/>
      <c r="AL1639" s="81" t="n"/>
      <c r="AM1639" s="81" t="n"/>
      <c r="AN1639" s="81" t="n"/>
      <c r="AO1639" s="81" t="n"/>
      <c r="AP1639" s="81" t="n"/>
      <c r="AQ1639" s="81" t="n"/>
      <c r="AR1639" s="81" t="n"/>
      <c r="AS1639" s="81" t="n"/>
      <c r="AT1639" s="81" t="n"/>
      <c r="AU1639" s="81" t="n"/>
      <c r="AV1639" s="81" t="n"/>
      <c r="AW1639" s="81" t="n"/>
      <c r="AX1639" s="81" t="n"/>
      <c r="AY1639" s="81" t="n"/>
      <c r="AZ1639" s="81" t="n"/>
      <c r="BA1639" s="81" t="n"/>
      <c r="BB1639" s="81" t="n"/>
      <c r="BC1639" s="81" t="n"/>
      <c r="BD1639" s="81" t="n"/>
      <c r="BE1639" s="81" t="n"/>
      <c r="BF1639" s="81" t="n"/>
      <c r="BG1639" s="81" t="n"/>
      <c r="BH1639" s="81" t="n"/>
      <c r="BI1639" s="81" t="n"/>
      <c r="BJ1639" s="81" t="n"/>
      <c r="BK1639" s="81" t="n"/>
      <c r="BL1639" s="81" t="n"/>
      <c r="BM1639" s="81" t="n"/>
      <c r="BN1639" s="81" t="n"/>
      <c r="BO1639" s="81" t="n"/>
      <c r="BP1639" s="81" t="n"/>
      <c r="BQ1639" s="81" t="n"/>
      <c r="BR1639" s="81" t="n"/>
      <c r="BS1639" s="81" t="n"/>
      <c r="BT1639" s="81" t="n"/>
      <c r="BU1639" s="81" t="n"/>
      <c r="BV1639" s="81" t="n"/>
      <c r="BW1639" s="81" t="n"/>
      <c r="BX1639" s="81" t="n"/>
      <c r="BY1639" s="81" t="n"/>
      <c r="BZ1639" s="81" t="n"/>
      <c r="CA1639" s="81" t="n"/>
      <c r="CB1639" s="81" t="n"/>
      <c r="CC1639" s="81" t="n"/>
      <c r="CD1639" s="81" t="n"/>
      <c r="CE1639" s="81" t="n"/>
      <c r="CF1639" s="81" t="n"/>
      <c r="CG1639" s="81" t="n"/>
      <c r="CH1639" s="81" t="n"/>
    </row>
    <row r="1640">
      <c r="A1640" s="81" t="n"/>
      <c r="B1640" s="81" t="n"/>
      <c r="C1640" s="81" t="n"/>
      <c r="D1640" s="81" t="n"/>
      <c r="E1640" s="81" t="n"/>
      <c r="F1640" s="81" t="n"/>
      <c r="G1640" s="81" t="n"/>
      <c r="H1640" s="81" t="n"/>
      <c r="I1640" s="81" t="n"/>
      <c r="J1640" s="81" t="n"/>
      <c r="K1640" s="81" t="n"/>
      <c r="L1640" s="81" t="n"/>
      <c r="M1640" s="81" t="n"/>
      <c r="N1640" s="81" t="n"/>
      <c r="O1640" s="81" t="n"/>
      <c r="P1640" s="81" t="n"/>
      <c r="Q1640" s="81" t="n"/>
      <c r="R1640" s="81" t="n"/>
      <c r="S1640" s="81" t="n"/>
      <c r="T1640" s="81" t="n"/>
      <c r="U1640" s="81" t="n"/>
      <c r="V1640" s="81" t="n"/>
      <c r="W1640" s="81" t="n"/>
      <c r="X1640" s="81" t="n"/>
      <c r="Y1640" s="81" t="n"/>
      <c r="Z1640" s="81" t="n"/>
      <c r="AA1640" s="81" t="n"/>
      <c r="AB1640" s="81" t="n"/>
      <c r="AC1640" s="81" t="n"/>
      <c r="AD1640" s="81" t="n"/>
      <c r="AE1640" s="81" t="n"/>
      <c r="AF1640" s="81" t="n"/>
      <c r="AG1640" s="81" t="n"/>
      <c r="AH1640" s="81" t="n"/>
      <c r="AI1640" s="81" t="n"/>
      <c r="AJ1640" s="81" t="n"/>
      <c r="AK1640" s="81" t="n"/>
      <c r="AL1640" s="81" t="n"/>
      <c r="AM1640" s="81" t="n"/>
      <c r="AN1640" s="81" t="n"/>
      <c r="AO1640" s="81" t="n"/>
      <c r="AP1640" s="81" t="n"/>
      <c r="AQ1640" s="81" t="n"/>
      <c r="AR1640" s="81" t="n"/>
      <c r="AS1640" s="81" t="n"/>
      <c r="AT1640" s="81" t="n"/>
      <c r="AU1640" s="81" t="n"/>
      <c r="AV1640" s="81" t="n"/>
      <c r="AW1640" s="81" t="n"/>
      <c r="AX1640" s="81" t="n"/>
      <c r="AY1640" s="81" t="n"/>
      <c r="AZ1640" s="81" t="n"/>
      <c r="BA1640" s="81" t="n"/>
      <c r="BB1640" s="81" t="n"/>
      <c r="BC1640" s="81" t="n"/>
      <c r="BD1640" s="81" t="n"/>
      <c r="BE1640" s="81" t="n"/>
      <c r="BF1640" s="81" t="n"/>
      <c r="BG1640" s="81" t="n"/>
      <c r="BH1640" s="81" t="n"/>
      <c r="BI1640" s="81" t="n"/>
      <c r="BJ1640" s="81" t="n"/>
      <c r="BK1640" s="81" t="n"/>
      <c r="BL1640" s="81" t="n"/>
      <c r="BM1640" s="81" t="n"/>
      <c r="BN1640" s="81" t="n"/>
      <c r="BO1640" s="81" t="n"/>
      <c r="BP1640" s="81" t="n"/>
      <c r="BQ1640" s="81" t="n"/>
      <c r="BR1640" s="81" t="n"/>
      <c r="BS1640" s="81" t="n"/>
      <c r="BT1640" s="81" t="n"/>
      <c r="BU1640" s="81" t="n"/>
      <c r="BV1640" s="81" t="n"/>
      <c r="BW1640" s="81" t="n"/>
      <c r="BX1640" s="81" t="n"/>
      <c r="BY1640" s="81" t="n"/>
      <c r="BZ1640" s="81" t="n"/>
      <c r="CA1640" s="81" t="n"/>
      <c r="CB1640" s="81" t="n"/>
      <c r="CC1640" s="81" t="n"/>
      <c r="CD1640" s="81" t="n"/>
      <c r="CE1640" s="81" t="n"/>
      <c r="CF1640" s="81" t="n"/>
      <c r="CG1640" s="81" t="n"/>
      <c r="CH1640" s="81" t="n"/>
    </row>
    <row r="1641">
      <c r="A1641" s="81" t="n"/>
      <c r="B1641" s="81" t="n"/>
      <c r="C1641" s="81" t="n"/>
      <c r="D1641" s="81" t="n"/>
      <c r="E1641" s="81" t="n"/>
      <c r="F1641" s="81" t="n"/>
      <c r="G1641" s="81" t="n"/>
      <c r="H1641" s="81" t="n"/>
      <c r="I1641" s="81" t="n"/>
      <c r="J1641" s="81" t="n"/>
      <c r="K1641" s="81" t="n"/>
      <c r="L1641" s="81" t="n"/>
      <c r="M1641" s="81" t="n"/>
      <c r="N1641" s="81" t="n"/>
      <c r="O1641" s="81" t="n"/>
      <c r="P1641" s="81" t="n"/>
      <c r="Q1641" s="81" t="n"/>
      <c r="R1641" s="81" t="n"/>
      <c r="S1641" s="81" t="n"/>
      <c r="T1641" s="81" t="n"/>
      <c r="U1641" s="81" t="n"/>
      <c r="V1641" s="81" t="n"/>
      <c r="W1641" s="81" t="n"/>
      <c r="X1641" s="81" t="n"/>
      <c r="Y1641" s="81" t="n"/>
      <c r="Z1641" s="81" t="n"/>
      <c r="AA1641" s="81" t="n"/>
      <c r="AB1641" s="81" t="n"/>
      <c r="AC1641" s="81" t="n"/>
      <c r="AD1641" s="81" t="n"/>
      <c r="AE1641" s="81" t="n"/>
      <c r="AF1641" s="81" t="n"/>
      <c r="AG1641" s="81" t="n"/>
      <c r="AH1641" s="81" t="n"/>
      <c r="AI1641" s="81" t="n"/>
      <c r="AJ1641" s="81" t="n"/>
      <c r="AK1641" s="81" t="n"/>
      <c r="AL1641" s="81" t="n"/>
      <c r="AM1641" s="81" t="n"/>
      <c r="AN1641" s="81" t="n"/>
      <c r="AO1641" s="81" t="n"/>
      <c r="AP1641" s="81" t="n"/>
      <c r="AQ1641" s="81" t="n"/>
      <c r="AR1641" s="81" t="n"/>
      <c r="AS1641" s="81" t="n"/>
      <c r="AT1641" s="81" t="n"/>
      <c r="AU1641" s="81" t="n"/>
      <c r="AV1641" s="81" t="n"/>
      <c r="AW1641" s="81" t="n"/>
      <c r="AX1641" s="81" t="n"/>
      <c r="AY1641" s="81" t="n"/>
      <c r="AZ1641" s="81" t="n"/>
      <c r="BA1641" s="81" t="n"/>
      <c r="BB1641" s="81" t="n"/>
      <c r="BC1641" s="81" t="n"/>
      <c r="BD1641" s="81" t="n"/>
      <c r="BE1641" s="81" t="n"/>
      <c r="BF1641" s="81" t="n"/>
      <c r="BG1641" s="81" t="n"/>
      <c r="BH1641" s="81" t="n"/>
      <c r="BI1641" s="81" t="n"/>
      <c r="BJ1641" s="81" t="n"/>
      <c r="BK1641" s="81" t="n"/>
      <c r="BL1641" s="81" t="n"/>
      <c r="BM1641" s="81" t="n"/>
      <c r="BN1641" s="81" t="n"/>
      <c r="BO1641" s="81" t="n"/>
      <c r="BP1641" s="81" t="n"/>
      <c r="BQ1641" s="81" t="n"/>
      <c r="BR1641" s="81" t="n"/>
      <c r="BS1641" s="81" t="n"/>
      <c r="BT1641" s="81" t="n"/>
      <c r="BU1641" s="81" t="n"/>
      <c r="BV1641" s="81" t="n"/>
      <c r="BW1641" s="81" t="n"/>
      <c r="BX1641" s="81" t="n"/>
      <c r="BY1641" s="81" t="n"/>
      <c r="BZ1641" s="81" t="n"/>
      <c r="CA1641" s="81" t="n"/>
      <c r="CB1641" s="81" t="n"/>
      <c r="CC1641" s="81" t="n"/>
      <c r="CD1641" s="81" t="n"/>
      <c r="CE1641" s="81" t="n"/>
      <c r="CF1641" s="81" t="n"/>
      <c r="CG1641" s="81" t="n"/>
      <c r="CH1641" s="81" t="n"/>
    </row>
    <row r="1642">
      <c r="A1642" s="81" t="n"/>
      <c r="B1642" s="81" t="n"/>
      <c r="C1642" s="81" t="n"/>
      <c r="D1642" s="81" t="n"/>
      <c r="E1642" s="81" t="n"/>
      <c r="F1642" s="81" t="n"/>
      <c r="G1642" s="81" t="n"/>
      <c r="H1642" s="81" t="n"/>
      <c r="I1642" s="81" t="n"/>
      <c r="J1642" s="81" t="n"/>
      <c r="K1642" s="81" t="n"/>
      <c r="L1642" s="81" t="n"/>
      <c r="M1642" s="81" t="n"/>
      <c r="N1642" s="81" t="n"/>
      <c r="O1642" s="81" t="n"/>
      <c r="P1642" s="81" t="n"/>
      <c r="Q1642" s="81" t="n"/>
      <c r="R1642" s="81" t="n"/>
      <c r="S1642" s="81" t="n"/>
      <c r="T1642" s="81" t="n"/>
      <c r="U1642" s="81" t="n"/>
      <c r="V1642" s="81" t="n"/>
      <c r="W1642" s="81" t="n"/>
      <c r="X1642" s="81" t="n"/>
      <c r="Y1642" s="81" t="n"/>
      <c r="Z1642" s="81" t="n"/>
      <c r="AA1642" s="81" t="n"/>
      <c r="AB1642" s="81" t="n"/>
      <c r="AC1642" s="81" t="n"/>
      <c r="AD1642" s="81" t="n"/>
      <c r="AE1642" s="81" t="n"/>
      <c r="AF1642" s="81" t="n"/>
      <c r="AG1642" s="81" t="n"/>
      <c r="AH1642" s="81" t="n"/>
      <c r="AI1642" s="81" t="n"/>
      <c r="AJ1642" s="81" t="n"/>
      <c r="AK1642" s="81" t="n"/>
      <c r="AL1642" s="81" t="n"/>
      <c r="AM1642" s="81" t="n"/>
      <c r="AN1642" s="81" t="n"/>
      <c r="AO1642" s="81" t="n"/>
      <c r="AP1642" s="81" t="n"/>
      <c r="AQ1642" s="81" t="n"/>
      <c r="AR1642" s="81" t="n"/>
      <c r="AS1642" s="81" t="n"/>
      <c r="AT1642" s="81" t="n"/>
      <c r="AU1642" s="81" t="n"/>
      <c r="AV1642" s="81" t="n"/>
      <c r="AW1642" s="81" t="n"/>
      <c r="AX1642" s="81" t="n"/>
      <c r="AY1642" s="81" t="n"/>
      <c r="AZ1642" s="81" t="n"/>
      <c r="BA1642" s="81" t="n"/>
      <c r="BB1642" s="81" t="n"/>
      <c r="BC1642" s="81" t="n"/>
      <c r="BD1642" s="81" t="n"/>
      <c r="BE1642" s="81" t="n"/>
      <c r="BF1642" s="81" t="n"/>
      <c r="BG1642" s="81" t="n"/>
      <c r="BH1642" s="81" t="n"/>
      <c r="BI1642" s="81" t="n"/>
      <c r="BJ1642" s="81" t="n"/>
      <c r="BK1642" s="81" t="n"/>
      <c r="BL1642" s="81" t="n"/>
      <c r="BM1642" s="81" t="n"/>
      <c r="BN1642" s="81" t="n"/>
      <c r="BO1642" s="81" t="n"/>
      <c r="BP1642" s="81" t="n"/>
      <c r="BQ1642" s="81" t="n"/>
      <c r="BR1642" s="81" t="n"/>
      <c r="BS1642" s="81" t="n"/>
      <c r="BT1642" s="81" t="n"/>
      <c r="BU1642" s="81" t="n"/>
      <c r="BV1642" s="81" t="n"/>
      <c r="BW1642" s="81" t="n"/>
      <c r="BX1642" s="81" t="n"/>
      <c r="BY1642" s="81" t="n"/>
      <c r="BZ1642" s="81" t="n"/>
      <c r="CA1642" s="81" t="n"/>
      <c r="CB1642" s="81" t="n"/>
      <c r="CC1642" s="81" t="n"/>
      <c r="CD1642" s="81" t="n"/>
      <c r="CE1642" s="81" t="n"/>
      <c r="CF1642" s="81" t="n"/>
      <c r="CG1642" s="81" t="n"/>
      <c r="CH1642" s="81" t="n"/>
    </row>
    <row r="1643">
      <c r="A1643" s="81" t="n"/>
      <c r="B1643" s="81" t="n"/>
      <c r="C1643" s="81" t="n"/>
      <c r="D1643" s="81" t="n"/>
      <c r="E1643" s="81" t="n"/>
      <c r="F1643" s="81" t="n"/>
      <c r="G1643" s="81" t="n"/>
      <c r="H1643" s="81" t="n"/>
      <c r="I1643" s="81" t="n"/>
      <c r="J1643" s="81" t="n"/>
      <c r="K1643" s="81" t="n"/>
      <c r="L1643" s="81" t="n"/>
      <c r="M1643" s="81" t="n"/>
      <c r="N1643" s="81" t="n"/>
      <c r="O1643" s="81" t="n"/>
      <c r="P1643" s="81" t="n"/>
      <c r="Q1643" s="81" t="n"/>
      <c r="R1643" s="81" t="n"/>
      <c r="S1643" s="81" t="n"/>
      <c r="T1643" s="81" t="n"/>
      <c r="U1643" s="81" t="n"/>
      <c r="V1643" s="81" t="n"/>
      <c r="W1643" s="81" t="n"/>
      <c r="X1643" s="81" t="n"/>
      <c r="Y1643" s="81" t="n"/>
      <c r="Z1643" s="81" t="n"/>
      <c r="AA1643" s="81" t="n"/>
      <c r="AB1643" s="81" t="n"/>
      <c r="AC1643" s="81" t="n"/>
      <c r="AD1643" s="81" t="n"/>
      <c r="AE1643" s="81" t="n"/>
      <c r="AF1643" s="81" t="n"/>
      <c r="AG1643" s="81" t="n"/>
      <c r="AH1643" s="81" t="n"/>
      <c r="AI1643" s="81" t="n"/>
      <c r="AJ1643" s="81" t="n"/>
      <c r="AK1643" s="81" t="n"/>
      <c r="AL1643" s="81" t="n"/>
      <c r="AM1643" s="81" t="n"/>
      <c r="AN1643" s="81" t="n"/>
      <c r="AO1643" s="81" t="n"/>
      <c r="AP1643" s="81" t="n"/>
      <c r="AQ1643" s="81" t="n"/>
      <c r="AR1643" s="81" t="n"/>
      <c r="AS1643" s="81" t="n"/>
      <c r="AT1643" s="81" t="n"/>
      <c r="AU1643" s="81" t="n"/>
      <c r="AV1643" s="81" t="n"/>
      <c r="AW1643" s="81" t="n"/>
      <c r="AX1643" s="81" t="n"/>
      <c r="AY1643" s="81" t="n"/>
      <c r="AZ1643" s="81" t="n"/>
      <c r="BA1643" s="81" t="n"/>
      <c r="BB1643" s="81" t="n"/>
      <c r="BC1643" s="81" t="n"/>
      <c r="BD1643" s="81" t="n"/>
      <c r="BE1643" s="81" t="n"/>
      <c r="BF1643" s="81" t="n"/>
      <c r="BG1643" s="81" t="n"/>
      <c r="BH1643" s="81" t="n"/>
      <c r="BI1643" s="81" t="n"/>
      <c r="BJ1643" s="81" t="n"/>
      <c r="BK1643" s="81" t="n"/>
      <c r="BL1643" s="81" t="n"/>
      <c r="BM1643" s="81" t="n"/>
      <c r="BN1643" s="81" t="n"/>
      <c r="BO1643" s="81" t="n"/>
      <c r="BP1643" s="81" t="n"/>
      <c r="BQ1643" s="81" t="n"/>
      <c r="BR1643" s="81" t="n"/>
      <c r="BS1643" s="81" t="n"/>
      <c r="BT1643" s="81" t="n"/>
      <c r="BU1643" s="81" t="n"/>
      <c r="BV1643" s="81" t="n"/>
      <c r="BW1643" s="81" t="n"/>
      <c r="BX1643" s="81" t="n"/>
      <c r="BY1643" s="81" t="n"/>
      <c r="BZ1643" s="81" t="n"/>
      <c r="CA1643" s="81" t="n"/>
      <c r="CB1643" s="81" t="n"/>
      <c r="CC1643" s="81" t="n"/>
      <c r="CD1643" s="81" t="n"/>
      <c r="CE1643" s="81" t="n"/>
      <c r="CF1643" s="81" t="n"/>
      <c r="CG1643" s="81" t="n"/>
      <c r="CH1643" s="81" t="n"/>
    </row>
    <row r="1644">
      <c r="A1644" s="81" t="n"/>
      <c r="B1644" s="81" t="n"/>
      <c r="C1644" s="81" t="n"/>
      <c r="D1644" s="81" t="n"/>
      <c r="E1644" s="81" t="n"/>
      <c r="F1644" s="81" t="n"/>
      <c r="G1644" s="81" t="n"/>
      <c r="H1644" s="81" t="n"/>
      <c r="I1644" s="81" t="n"/>
      <c r="J1644" s="81" t="n"/>
      <c r="K1644" s="81" t="n"/>
      <c r="L1644" s="81" t="n"/>
      <c r="M1644" s="81" t="n"/>
      <c r="N1644" s="81" t="n"/>
      <c r="O1644" s="81" t="n"/>
      <c r="P1644" s="81" t="n"/>
      <c r="Q1644" s="81" t="n"/>
      <c r="R1644" s="81" t="n"/>
      <c r="S1644" s="81" t="n"/>
      <c r="T1644" s="81" t="n"/>
      <c r="U1644" s="81" t="n"/>
      <c r="V1644" s="81" t="n"/>
      <c r="W1644" s="81" t="n"/>
      <c r="X1644" s="81" t="n"/>
      <c r="Y1644" s="81" t="n"/>
      <c r="Z1644" s="81" t="n"/>
      <c r="AA1644" s="81" t="n"/>
      <c r="AB1644" s="81" t="n"/>
      <c r="AC1644" s="81" t="n"/>
      <c r="AD1644" s="81" t="n"/>
      <c r="AE1644" s="81" t="n"/>
      <c r="AF1644" s="81" t="n"/>
      <c r="AG1644" s="81" t="n"/>
      <c r="AH1644" s="81" t="n"/>
      <c r="AI1644" s="81" t="n"/>
      <c r="AJ1644" s="81" t="n"/>
      <c r="AK1644" s="81" t="n"/>
      <c r="AL1644" s="81" t="n"/>
      <c r="AM1644" s="81" t="n"/>
      <c r="AN1644" s="81" t="n"/>
      <c r="AO1644" s="81" t="n"/>
      <c r="AP1644" s="81" t="n"/>
      <c r="AQ1644" s="81" t="n"/>
      <c r="AR1644" s="81" t="n"/>
      <c r="AS1644" s="81" t="n"/>
      <c r="AT1644" s="81" t="n"/>
      <c r="AU1644" s="81" t="n"/>
      <c r="AV1644" s="81" t="n"/>
      <c r="AW1644" s="81" t="n"/>
      <c r="AX1644" s="81" t="n"/>
      <c r="AY1644" s="81" t="n"/>
      <c r="AZ1644" s="81" t="n"/>
      <c r="BA1644" s="81" t="n"/>
      <c r="BB1644" s="81" t="n"/>
      <c r="BC1644" s="81" t="n"/>
      <c r="BD1644" s="81" t="n"/>
      <c r="BE1644" s="81" t="n"/>
      <c r="BF1644" s="81" t="n"/>
      <c r="BG1644" s="81" t="n"/>
      <c r="BH1644" s="81" t="n"/>
      <c r="BI1644" s="81" t="n"/>
      <c r="BJ1644" s="81" t="n"/>
      <c r="BK1644" s="81" t="n"/>
      <c r="BL1644" s="81" t="n"/>
      <c r="BM1644" s="81" t="n"/>
      <c r="BN1644" s="81" t="n"/>
      <c r="BO1644" s="81" t="n"/>
      <c r="BP1644" s="81" t="n"/>
      <c r="BQ1644" s="81" t="n"/>
      <c r="BR1644" s="81" t="n"/>
      <c r="BS1644" s="81" t="n"/>
      <c r="BT1644" s="81" t="n"/>
      <c r="BU1644" s="81" t="n"/>
      <c r="BV1644" s="81" t="n"/>
      <c r="BW1644" s="81" t="n"/>
      <c r="BX1644" s="81" t="n"/>
      <c r="BY1644" s="81" t="n"/>
      <c r="BZ1644" s="81" t="n"/>
      <c r="CA1644" s="81" t="n"/>
      <c r="CB1644" s="81" t="n"/>
      <c r="CC1644" s="81" t="n"/>
      <c r="CD1644" s="81" t="n"/>
      <c r="CE1644" s="81" t="n"/>
      <c r="CF1644" s="81" t="n"/>
      <c r="CG1644" s="81" t="n"/>
      <c r="CH1644" s="81" t="n"/>
    </row>
    <row r="1645">
      <c r="A1645" s="81" t="n"/>
      <c r="B1645" s="81" t="n"/>
      <c r="C1645" s="81" t="n"/>
      <c r="D1645" s="81" t="n"/>
      <c r="E1645" s="81" t="n"/>
      <c r="F1645" s="81" t="n"/>
      <c r="G1645" s="81" t="n"/>
      <c r="H1645" s="81" t="n"/>
      <c r="I1645" s="81" t="n"/>
      <c r="J1645" s="81" t="n"/>
      <c r="K1645" s="81" t="n"/>
      <c r="L1645" s="81" t="n"/>
      <c r="M1645" s="81" t="n"/>
      <c r="N1645" s="81" t="n"/>
      <c r="O1645" s="81" t="n"/>
      <c r="P1645" s="81" t="n"/>
      <c r="Q1645" s="81" t="n"/>
      <c r="R1645" s="81" t="n"/>
      <c r="S1645" s="81" t="n"/>
      <c r="T1645" s="81" t="n"/>
      <c r="U1645" s="81" t="n"/>
      <c r="V1645" s="81" t="n"/>
      <c r="W1645" s="81" t="n"/>
      <c r="X1645" s="81" t="n"/>
      <c r="Y1645" s="81" t="n"/>
      <c r="Z1645" s="81" t="n"/>
      <c r="AA1645" s="81" t="n"/>
      <c r="AB1645" s="81" t="n"/>
      <c r="AC1645" s="81" t="n"/>
      <c r="AD1645" s="81" t="n"/>
      <c r="AE1645" s="81" t="n"/>
      <c r="AF1645" s="81" t="n"/>
      <c r="AG1645" s="81" t="n"/>
      <c r="AH1645" s="81" t="n"/>
      <c r="AI1645" s="81" t="n"/>
      <c r="AJ1645" s="81" t="n"/>
      <c r="AK1645" s="81" t="n"/>
      <c r="AL1645" s="81" t="n"/>
      <c r="AM1645" s="81" t="n"/>
      <c r="AN1645" s="81" t="n"/>
      <c r="AO1645" s="81" t="n"/>
      <c r="AP1645" s="81" t="n"/>
      <c r="AQ1645" s="81" t="n"/>
      <c r="AR1645" s="81" t="n"/>
      <c r="AS1645" s="81" t="n"/>
      <c r="AT1645" s="81" t="n"/>
      <c r="AU1645" s="81" t="n"/>
      <c r="AV1645" s="81" t="n"/>
      <c r="AW1645" s="81" t="n"/>
      <c r="AX1645" s="81" t="n"/>
      <c r="AY1645" s="81" t="n"/>
      <c r="AZ1645" s="81" t="n"/>
      <c r="BA1645" s="81" t="n"/>
      <c r="BB1645" s="81" t="n"/>
      <c r="BC1645" s="81" t="n"/>
      <c r="BD1645" s="81" t="n"/>
      <c r="BE1645" s="81" t="n"/>
      <c r="BF1645" s="81" t="n"/>
      <c r="BG1645" s="81" t="n"/>
      <c r="BH1645" s="81" t="n"/>
      <c r="BI1645" s="81" t="n"/>
      <c r="BJ1645" s="81" t="n"/>
      <c r="BK1645" s="81" t="n"/>
      <c r="BL1645" s="81" t="n"/>
      <c r="BM1645" s="81" t="n"/>
      <c r="BN1645" s="81" t="n"/>
      <c r="BO1645" s="81" t="n"/>
      <c r="BP1645" s="81" t="n"/>
      <c r="BQ1645" s="81" t="n"/>
      <c r="BR1645" s="81" t="n"/>
      <c r="BS1645" s="81" t="n"/>
      <c r="BT1645" s="81" t="n"/>
      <c r="BU1645" s="81" t="n"/>
      <c r="BV1645" s="81" t="n"/>
      <c r="BW1645" s="81" t="n"/>
      <c r="BX1645" s="81" t="n"/>
      <c r="BY1645" s="81" t="n"/>
      <c r="BZ1645" s="81" t="n"/>
      <c r="CA1645" s="81" t="n"/>
      <c r="CB1645" s="81" t="n"/>
      <c r="CC1645" s="81" t="n"/>
      <c r="CD1645" s="81" t="n"/>
      <c r="CE1645" s="81" t="n"/>
      <c r="CF1645" s="81" t="n"/>
      <c r="CG1645" s="81" t="n"/>
      <c r="CH1645" s="81" t="n"/>
    </row>
    <row r="1646">
      <c r="A1646" s="81" t="n"/>
      <c r="B1646" s="81" t="n"/>
      <c r="C1646" s="81" t="n"/>
      <c r="D1646" s="81" t="n"/>
      <c r="E1646" s="81" t="n"/>
      <c r="F1646" s="81" t="n"/>
      <c r="G1646" s="81" t="n"/>
      <c r="H1646" s="81" t="n"/>
      <c r="I1646" s="81" t="n"/>
      <c r="J1646" s="81" t="n"/>
      <c r="K1646" s="81" t="n"/>
      <c r="L1646" s="81" t="n"/>
      <c r="M1646" s="81" t="n"/>
      <c r="N1646" s="81" t="n"/>
      <c r="O1646" s="81" t="n"/>
      <c r="P1646" s="81" t="n"/>
      <c r="Q1646" s="81" t="n"/>
      <c r="R1646" s="81" t="n"/>
      <c r="S1646" s="81" t="n"/>
      <c r="T1646" s="81" t="n"/>
      <c r="U1646" s="81" t="n"/>
      <c r="V1646" s="81" t="n"/>
      <c r="W1646" s="81" t="n"/>
      <c r="X1646" s="81" t="n"/>
      <c r="Y1646" s="81" t="n"/>
      <c r="Z1646" s="81" t="n"/>
      <c r="AA1646" s="81" t="n"/>
      <c r="AB1646" s="81" t="n"/>
      <c r="AC1646" s="81" t="n"/>
      <c r="AD1646" s="81" t="n"/>
      <c r="AE1646" s="81" t="n"/>
      <c r="AF1646" s="81" t="n"/>
      <c r="AG1646" s="81" t="n"/>
      <c r="AH1646" s="81" t="n"/>
      <c r="AI1646" s="81" t="n"/>
      <c r="AJ1646" s="81" t="n"/>
      <c r="AK1646" s="81" t="n"/>
      <c r="AL1646" s="81" t="n"/>
      <c r="AM1646" s="81" t="n"/>
      <c r="AN1646" s="81" t="n"/>
      <c r="AO1646" s="81" t="n"/>
      <c r="AP1646" s="81" t="n"/>
      <c r="AQ1646" s="81" t="n"/>
      <c r="AR1646" s="81" t="n"/>
      <c r="AS1646" s="81" t="n"/>
      <c r="AT1646" s="81" t="n"/>
      <c r="AU1646" s="81" t="n"/>
      <c r="AV1646" s="81" t="n"/>
      <c r="AW1646" s="81" t="n"/>
      <c r="AX1646" s="81" t="n"/>
      <c r="AY1646" s="81" t="n"/>
      <c r="AZ1646" s="81" t="n"/>
      <c r="BA1646" s="81" t="n"/>
      <c r="BB1646" s="81" t="n"/>
      <c r="BC1646" s="81" t="n"/>
      <c r="BD1646" s="81" t="n"/>
      <c r="BE1646" s="81" t="n"/>
      <c r="BF1646" s="81" t="n"/>
      <c r="BG1646" s="81" t="n"/>
      <c r="BH1646" s="81" t="n"/>
      <c r="BI1646" s="81" t="n"/>
      <c r="BJ1646" s="81" t="n"/>
      <c r="BK1646" s="81" t="n"/>
      <c r="BL1646" s="81" t="n"/>
      <c r="BM1646" s="81" t="n"/>
      <c r="BN1646" s="81" t="n"/>
      <c r="BO1646" s="81" t="n"/>
      <c r="BP1646" s="81" t="n"/>
      <c r="BQ1646" s="81" t="n"/>
      <c r="BR1646" s="81" t="n"/>
      <c r="BS1646" s="81" t="n"/>
      <c r="BT1646" s="81" t="n"/>
      <c r="BU1646" s="81" t="n"/>
      <c r="BV1646" s="81" t="n"/>
      <c r="BW1646" s="81" t="n"/>
      <c r="BX1646" s="81" t="n"/>
      <c r="BY1646" s="81" t="n"/>
      <c r="BZ1646" s="81" t="n"/>
      <c r="CA1646" s="81" t="n"/>
      <c r="CB1646" s="81" t="n"/>
      <c r="CC1646" s="81" t="n"/>
      <c r="CD1646" s="81" t="n"/>
      <c r="CE1646" s="81" t="n"/>
      <c r="CF1646" s="81" t="n"/>
      <c r="CG1646" s="81" t="n"/>
      <c r="CH1646" s="81" t="n"/>
    </row>
    <row r="1647">
      <c r="A1647" s="81" t="n"/>
      <c r="B1647" s="81" t="n"/>
      <c r="C1647" s="81" t="n"/>
      <c r="D1647" s="81" t="n"/>
      <c r="E1647" s="81" t="n"/>
      <c r="F1647" s="81" t="n"/>
      <c r="G1647" s="81" t="n"/>
      <c r="H1647" s="81" t="n"/>
      <c r="I1647" s="81" t="n"/>
      <c r="J1647" s="81" t="n"/>
      <c r="K1647" s="81" t="n"/>
      <c r="L1647" s="81" t="n"/>
      <c r="M1647" s="81" t="n"/>
      <c r="N1647" s="81" t="n"/>
      <c r="O1647" s="81" t="n"/>
      <c r="P1647" s="81" t="n"/>
      <c r="Q1647" s="81" t="n"/>
      <c r="R1647" s="81" t="n"/>
      <c r="S1647" s="81" t="n"/>
      <c r="T1647" s="81" t="n"/>
      <c r="U1647" s="81" t="n"/>
      <c r="V1647" s="81" t="n"/>
      <c r="W1647" s="81" t="n"/>
      <c r="X1647" s="81" t="n"/>
      <c r="Y1647" s="81" t="n"/>
      <c r="Z1647" s="81" t="n"/>
      <c r="AA1647" s="81" t="n"/>
      <c r="AB1647" s="81" t="n"/>
      <c r="AC1647" s="81" t="n"/>
      <c r="AD1647" s="81" t="n"/>
      <c r="AE1647" s="81" t="n"/>
      <c r="AF1647" s="81" t="n"/>
      <c r="AG1647" s="81" t="n"/>
      <c r="AH1647" s="81" t="n"/>
      <c r="AI1647" s="81" t="n"/>
      <c r="AJ1647" s="81" t="n"/>
      <c r="AK1647" s="81" t="n"/>
      <c r="AL1647" s="81" t="n"/>
      <c r="AM1647" s="81" t="n"/>
      <c r="AN1647" s="81" t="n"/>
      <c r="AO1647" s="81" t="n"/>
      <c r="AP1647" s="81" t="n"/>
      <c r="AQ1647" s="81" t="n"/>
      <c r="AR1647" s="81" t="n"/>
      <c r="AS1647" s="81" t="n"/>
      <c r="AT1647" s="81" t="n"/>
      <c r="AU1647" s="81" t="n"/>
      <c r="AV1647" s="81" t="n"/>
      <c r="AW1647" s="81" t="n"/>
      <c r="AX1647" s="81" t="n"/>
      <c r="AY1647" s="81" t="n"/>
      <c r="AZ1647" s="81" t="n"/>
      <c r="BA1647" s="81" t="n"/>
      <c r="BB1647" s="81" t="n"/>
      <c r="BC1647" s="81" t="n"/>
      <c r="BD1647" s="81" t="n"/>
      <c r="BE1647" s="81" t="n"/>
      <c r="BF1647" s="81" t="n"/>
      <c r="BG1647" s="81" t="n"/>
      <c r="BH1647" s="81" t="n"/>
      <c r="BI1647" s="81" t="n"/>
      <c r="BJ1647" s="81" t="n"/>
      <c r="BK1647" s="81" t="n"/>
      <c r="BL1647" s="81" t="n"/>
      <c r="BM1647" s="81" t="n"/>
      <c r="BN1647" s="81" t="n"/>
      <c r="BO1647" s="81" t="n"/>
      <c r="BP1647" s="81" t="n"/>
      <c r="BQ1647" s="81" t="n"/>
      <c r="BR1647" s="81" t="n"/>
      <c r="BS1647" s="81" t="n"/>
      <c r="BT1647" s="81" t="n"/>
      <c r="BU1647" s="81" t="n"/>
      <c r="BV1647" s="81" t="n"/>
      <c r="BW1647" s="81" t="n"/>
      <c r="BX1647" s="81" t="n"/>
      <c r="BY1647" s="81" t="n"/>
      <c r="BZ1647" s="81" t="n"/>
      <c r="CA1647" s="81" t="n"/>
      <c r="CB1647" s="81" t="n"/>
      <c r="CC1647" s="81" t="n"/>
      <c r="CD1647" s="81" t="n"/>
      <c r="CE1647" s="81" t="n"/>
      <c r="CF1647" s="81" t="n"/>
      <c r="CG1647" s="81" t="n"/>
      <c r="CH1647" s="81" t="n"/>
    </row>
    <row r="1648">
      <c r="A1648" s="81" t="n"/>
      <c r="B1648" s="81" t="n"/>
      <c r="C1648" s="81" t="n"/>
      <c r="D1648" s="81" t="n"/>
      <c r="E1648" s="81" t="n"/>
      <c r="F1648" s="81" t="n"/>
      <c r="G1648" s="81" t="n"/>
      <c r="H1648" s="81" t="n"/>
      <c r="I1648" s="81" t="n"/>
      <c r="J1648" s="81" t="n"/>
      <c r="K1648" s="81" t="n"/>
      <c r="L1648" s="81" t="n"/>
      <c r="M1648" s="81" t="n"/>
      <c r="N1648" s="81" t="n"/>
      <c r="O1648" s="81" t="n"/>
      <c r="P1648" s="81" t="n"/>
      <c r="Q1648" s="81" t="n"/>
      <c r="R1648" s="81" t="n"/>
      <c r="S1648" s="81" t="n"/>
      <c r="T1648" s="81" t="n"/>
      <c r="U1648" s="81" t="n"/>
      <c r="V1648" s="81" t="n"/>
      <c r="W1648" s="81" t="n"/>
      <c r="X1648" s="81" t="n"/>
      <c r="Y1648" s="81" t="n"/>
      <c r="Z1648" s="81" t="n"/>
      <c r="AA1648" s="81" t="n"/>
      <c r="AB1648" s="81" t="n"/>
      <c r="AC1648" s="81" t="n"/>
      <c r="AD1648" s="81" t="n"/>
      <c r="AE1648" s="81" t="n"/>
      <c r="AF1648" s="81" t="n"/>
      <c r="AG1648" s="81" t="n"/>
      <c r="AH1648" s="81" t="n"/>
      <c r="AI1648" s="81" t="n"/>
      <c r="AJ1648" s="81" t="n"/>
      <c r="AK1648" s="81" t="n"/>
      <c r="AL1648" s="81" t="n"/>
      <c r="AM1648" s="81" t="n"/>
      <c r="AN1648" s="81" t="n"/>
      <c r="AO1648" s="81" t="n"/>
      <c r="AP1648" s="81" t="n"/>
      <c r="AQ1648" s="81" t="n"/>
      <c r="AR1648" s="81" t="n"/>
      <c r="AS1648" s="81" t="n"/>
      <c r="AT1648" s="81" t="n"/>
      <c r="AU1648" s="81" t="n"/>
      <c r="AV1648" s="81" t="n"/>
      <c r="AW1648" s="81" t="n"/>
      <c r="AX1648" s="81" t="n"/>
      <c r="AY1648" s="81" t="n"/>
      <c r="AZ1648" s="81" t="n"/>
      <c r="BA1648" s="81" t="n"/>
      <c r="BB1648" s="81" t="n"/>
      <c r="BC1648" s="81" t="n"/>
      <c r="BD1648" s="81" t="n"/>
      <c r="BE1648" s="81" t="n"/>
      <c r="BF1648" s="81" t="n"/>
      <c r="BG1648" s="81" t="n"/>
      <c r="BH1648" s="81" t="n"/>
      <c r="BI1648" s="81" t="n"/>
      <c r="BJ1648" s="81" t="n"/>
      <c r="BK1648" s="81" t="n"/>
      <c r="BL1648" s="81" t="n"/>
      <c r="BM1648" s="81" t="n"/>
      <c r="BN1648" s="81" t="n"/>
      <c r="BO1648" s="81" t="n"/>
      <c r="BP1648" s="81" t="n"/>
      <c r="BQ1648" s="81" t="n"/>
      <c r="BR1648" s="81" t="n"/>
      <c r="BS1648" s="81" t="n"/>
      <c r="BT1648" s="81" t="n"/>
      <c r="BU1648" s="81" t="n"/>
      <c r="BV1648" s="81" t="n"/>
      <c r="BW1648" s="81" t="n"/>
      <c r="BX1648" s="81" t="n"/>
      <c r="BY1648" s="81" t="n"/>
      <c r="BZ1648" s="81" t="n"/>
      <c r="CA1648" s="81" t="n"/>
      <c r="CB1648" s="81" t="n"/>
      <c r="CC1648" s="81" t="n"/>
      <c r="CD1648" s="81" t="n"/>
      <c r="CE1648" s="81" t="n"/>
      <c r="CF1648" s="81" t="n"/>
      <c r="CG1648" s="81" t="n"/>
      <c r="CH1648" s="81" t="n"/>
    </row>
    <row r="1649">
      <c r="A1649" s="81" t="n"/>
      <c r="B1649" s="81" t="n"/>
      <c r="C1649" s="81" t="n"/>
      <c r="D1649" s="81" t="n"/>
      <c r="E1649" s="81" t="n"/>
      <c r="F1649" s="81" t="n"/>
      <c r="G1649" s="81" t="n"/>
      <c r="H1649" s="81" t="n"/>
      <c r="I1649" s="81" t="n"/>
      <c r="J1649" s="81" t="n"/>
      <c r="K1649" s="81" t="n"/>
      <c r="L1649" s="81" t="n"/>
      <c r="M1649" s="81" t="n"/>
      <c r="N1649" s="81" t="n"/>
      <c r="O1649" s="81" t="n"/>
      <c r="P1649" s="81" t="n"/>
      <c r="Q1649" s="81" t="n"/>
      <c r="R1649" s="81" t="n"/>
      <c r="S1649" s="81" t="n"/>
      <c r="T1649" s="81" t="n"/>
      <c r="U1649" s="81" t="n"/>
      <c r="V1649" s="81" t="n"/>
      <c r="W1649" s="81" t="n"/>
      <c r="X1649" s="81" t="n"/>
      <c r="Y1649" s="81" t="n"/>
      <c r="Z1649" s="81" t="n"/>
      <c r="AA1649" s="81" t="n"/>
      <c r="AB1649" s="81" t="n"/>
      <c r="AC1649" s="81" t="n"/>
      <c r="AD1649" s="81" t="n"/>
      <c r="AE1649" s="81" t="n"/>
      <c r="AF1649" s="81" t="n"/>
      <c r="AG1649" s="81" t="n"/>
      <c r="AH1649" s="81" t="n"/>
      <c r="AI1649" s="81" t="n"/>
      <c r="AJ1649" s="81" t="n"/>
      <c r="AK1649" s="81" t="n"/>
      <c r="AL1649" s="81" t="n"/>
      <c r="AM1649" s="81" t="n"/>
      <c r="AN1649" s="81" t="n"/>
      <c r="AO1649" s="81" t="n"/>
      <c r="AP1649" s="81" t="n"/>
      <c r="AQ1649" s="81" t="n"/>
      <c r="AR1649" s="81" t="n"/>
      <c r="AS1649" s="81" t="n"/>
      <c r="AT1649" s="81" t="n"/>
      <c r="AU1649" s="81" t="n"/>
      <c r="AV1649" s="81" t="n"/>
      <c r="AW1649" s="81" t="n"/>
      <c r="AX1649" s="81" t="n"/>
      <c r="AY1649" s="81" t="n"/>
      <c r="AZ1649" s="81" t="n"/>
      <c r="BA1649" s="81" t="n"/>
      <c r="BB1649" s="81" t="n"/>
      <c r="BC1649" s="81" t="n"/>
      <c r="BD1649" s="81" t="n"/>
      <c r="BE1649" s="81" t="n"/>
      <c r="BF1649" s="81" t="n"/>
      <c r="BG1649" s="81" t="n"/>
      <c r="BH1649" s="81" t="n"/>
      <c r="BI1649" s="81" t="n"/>
      <c r="BJ1649" s="81" t="n"/>
      <c r="BK1649" s="81" t="n"/>
      <c r="BL1649" s="81" t="n"/>
      <c r="BM1649" s="81" t="n"/>
      <c r="BN1649" s="81" t="n"/>
      <c r="BO1649" s="81" t="n"/>
      <c r="BP1649" s="81" t="n"/>
      <c r="BQ1649" s="81" t="n"/>
      <c r="BR1649" s="81" t="n"/>
      <c r="BS1649" s="81" t="n"/>
      <c r="BT1649" s="81" t="n"/>
      <c r="BU1649" s="81" t="n"/>
      <c r="BV1649" s="81" t="n"/>
      <c r="BW1649" s="81" t="n"/>
      <c r="BX1649" s="81" t="n"/>
      <c r="BY1649" s="81" t="n"/>
      <c r="BZ1649" s="81" t="n"/>
      <c r="CA1649" s="81" t="n"/>
      <c r="CB1649" s="81" t="n"/>
      <c r="CC1649" s="81" t="n"/>
      <c r="CD1649" s="81" t="n"/>
      <c r="CE1649" s="81" t="n"/>
      <c r="CF1649" s="81" t="n"/>
      <c r="CG1649" s="81" t="n"/>
      <c r="CH1649" s="81" t="n"/>
    </row>
    <row r="1650">
      <c r="A1650" s="81" t="n"/>
      <c r="B1650" s="81" t="n"/>
      <c r="C1650" s="81" t="n"/>
      <c r="D1650" s="81" t="n"/>
      <c r="E1650" s="81" t="n"/>
      <c r="F1650" s="81" t="n"/>
      <c r="G1650" s="81" t="n"/>
      <c r="H1650" s="81" t="n"/>
      <c r="I1650" s="81" t="n"/>
      <c r="J1650" s="81" t="n"/>
      <c r="K1650" s="81" t="n"/>
      <c r="L1650" s="81" t="n"/>
      <c r="M1650" s="81" t="n"/>
      <c r="N1650" s="81" t="n"/>
      <c r="O1650" s="81" t="n"/>
      <c r="P1650" s="81" t="n"/>
      <c r="Q1650" s="81" t="n"/>
      <c r="R1650" s="81" t="n"/>
      <c r="S1650" s="81" t="n"/>
      <c r="T1650" s="81" t="n"/>
      <c r="U1650" s="81" t="n"/>
      <c r="V1650" s="81" t="n"/>
      <c r="W1650" s="81" t="n"/>
      <c r="X1650" s="81" t="n"/>
      <c r="Y1650" s="81" t="n"/>
      <c r="Z1650" s="81" t="n"/>
      <c r="AA1650" s="81" t="n"/>
      <c r="AB1650" s="81" t="n"/>
      <c r="AC1650" s="81" t="n"/>
      <c r="AD1650" s="81" t="n"/>
      <c r="AE1650" s="81" t="n"/>
      <c r="AF1650" s="81" t="n"/>
      <c r="AG1650" s="81" t="n"/>
      <c r="AH1650" s="81" t="n"/>
      <c r="AI1650" s="81" t="n"/>
      <c r="AJ1650" s="81" t="n"/>
      <c r="AK1650" s="81" t="n"/>
      <c r="AL1650" s="81" t="n"/>
      <c r="AM1650" s="81" t="n"/>
      <c r="AN1650" s="81" t="n"/>
      <c r="AO1650" s="81" t="n"/>
      <c r="AP1650" s="81" t="n"/>
      <c r="AQ1650" s="81" t="n"/>
      <c r="AR1650" s="81" t="n"/>
      <c r="AS1650" s="81" t="n"/>
      <c r="AT1650" s="81" t="n"/>
      <c r="AU1650" s="81" t="n"/>
      <c r="AV1650" s="81" t="n"/>
      <c r="AW1650" s="81" t="n"/>
      <c r="AX1650" s="81" t="n"/>
      <c r="AY1650" s="81" t="n"/>
      <c r="AZ1650" s="81" t="n"/>
      <c r="BA1650" s="81" t="n"/>
      <c r="BB1650" s="81" t="n"/>
      <c r="BC1650" s="81" t="n"/>
      <c r="BD1650" s="81" t="n"/>
      <c r="BE1650" s="81" t="n"/>
      <c r="BF1650" s="81" t="n"/>
      <c r="BG1650" s="81" t="n"/>
      <c r="BH1650" s="81" t="n"/>
      <c r="BI1650" s="81" t="n"/>
      <c r="BJ1650" s="81" t="n"/>
      <c r="BK1650" s="81" t="n"/>
      <c r="BL1650" s="81" t="n"/>
      <c r="BM1650" s="81" t="n"/>
      <c r="BN1650" s="81" t="n"/>
      <c r="BO1650" s="81" t="n"/>
      <c r="BP1650" s="81" t="n"/>
      <c r="BQ1650" s="81" t="n"/>
      <c r="BR1650" s="81" t="n"/>
      <c r="BS1650" s="81" t="n"/>
      <c r="BT1650" s="81" t="n"/>
      <c r="BU1650" s="81" t="n"/>
      <c r="BV1650" s="81" t="n"/>
      <c r="BW1650" s="81" t="n"/>
      <c r="BX1650" s="81" t="n"/>
      <c r="BY1650" s="81" t="n"/>
      <c r="BZ1650" s="81" t="n"/>
      <c r="CA1650" s="81" t="n"/>
      <c r="CB1650" s="81" t="n"/>
      <c r="CC1650" s="81" t="n"/>
      <c r="CD1650" s="81" t="n"/>
      <c r="CE1650" s="81" t="n"/>
      <c r="CF1650" s="81" t="n"/>
      <c r="CG1650" s="81" t="n"/>
      <c r="CH1650" s="81" t="n"/>
    </row>
    <row r="1651">
      <c r="A1651" s="81" t="n"/>
      <c r="B1651" s="81" t="n"/>
      <c r="C1651" s="81" t="n"/>
      <c r="D1651" s="81" t="n"/>
      <c r="E1651" s="81" t="n"/>
      <c r="F1651" s="81" t="n"/>
      <c r="G1651" s="81" t="n"/>
      <c r="H1651" s="81" t="n"/>
      <c r="I1651" s="81" t="n"/>
      <c r="J1651" s="81" t="n"/>
      <c r="K1651" s="81" t="n"/>
      <c r="L1651" s="81" t="n"/>
      <c r="M1651" s="81" t="n"/>
      <c r="N1651" s="81" t="n"/>
      <c r="O1651" s="81" t="n"/>
      <c r="P1651" s="81" t="n"/>
      <c r="Q1651" s="81" t="n"/>
      <c r="R1651" s="81" t="n"/>
      <c r="S1651" s="81" t="n"/>
      <c r="T1651" s="81" t="n"/>
      <c r="U1651" s="81" t="n"/>
      <c r="V1651" s="81" t="n"/>
      <c r="W1651" s="81" t="n"/>
      <c r="X1651" s="81" t="n"/>
      <c r="Y1651" s="81" t="n"/>
      <c r="Z1651" s="81" t="n"/>
      <c r="AA1651" s="81" t="n"/>
      <c r="AB1651" s="81" t="n"/>
      <c r="AC1651" s="81" t="n"/>
      <c r="AD1651" s="81" t="n"/>
      <c r="AE1651" s="81" t="n"/>
      <c r="AF1651" s="81" t="n"/>
      <c r="AG1651" s="81" t="n"/>
      <c r="AH1651" s="81" t="n"/>
      <c r="AI1651" s="81" t="n"/>
      <c r="AJ1651" s="81" t="n"/>
      <c r="AK1651" s="81" t="n"/>
      <c r="AL1651" s="81" t="n"/>
      <c r="AM1651" s="81" t="n"/>
      <c r="AN1651" s="81" t="n"/>
      <c r="AO1651" s="81" t="n"/>
      <c r="AP1651" s="81" t="n"/>
      <c r="AQ1651" s="81" t="n"/>
      <c r="AR1651" s="81" t="n"/>
      <c r="AS1651" s="81" t="n"/>
      <c r="AT1651" s="81" t="n"/>
      <c r="AU1651" s="81" t="n"/>
      <c r="AV1651" s="81" t="n"/>
      <c r="AW1651" s="81" t="n"/>
      <c r="AX1651" s="81" t="n"/>
      <c r="AY1651" s="81" t="n"/>
      <c r="AZ1651" s="81" t="n"/>
      <c r="BA1651" s="81" t="n"/>
      <c r="BB1651" s="81" t="n"/>
      <c r="BC1651" s="81" t="n"/>
      <c r="BD1651" s="81" t="n"/>
      <c r="BE1651" s="81" t="n"/>
      <c r="BF1651" s="81" t="n"/>
      <c r="BG1651" s="81" t="n"/>
      <c r="BH1651" s="81" t="n"/>
      <c r="BI1651" s="81" t="n"/>
      <c r="BJ1651" s="81" t="n"/>
      <c r="BK1651" s="81" t="n"/>
      <c r="BL1651" s="81" t="n"/>
      <c r="BM1651" s="81" t="n"/>
      <c r="BN1651" s="81" t="n"/>
      <c r="BO1651" s="81" t="n"/>
      <c r="BP1651" s="81" t="n"/>
      <c r="BQ1651" s="81" t="n"/>
      <c r="BR1651" s="81" t="n"/>
      <c r="BS1651" s="81" t="n"/>
      <c r="BT1651" s="81" t="n"/>
      <c r="BU1651" s="81" t="n"/>
      <c r="BV1651" s="81" t="n"/>
      <c r="BW1651" s="81" t="n"/>
      <c r="BX1651" s="81" t="n"/>
      <c r="BY1651" s="81" t="n"/>
      <c r="BZ1651" s="81" t="n"/>
      <c r="CA1651" s="81" t="n"/>
      <c r="CB1651" s="81" t="n"/>
      <c r="CC1651" s="81" t="n"/>
      <c r="CD1651" s="81" t="n"/>
      <c r="CE1651" s="81" t="n"/>
      <c r="CF1651" s="81" t="n"/>
      <c r="CG1651" s="81" t="n"/>
      <c r="CH1651" s="81" t="n"/>
    </row>
    <row r="1652">
      <c r="A1652" s="81" t="n"/>
      <c r="B1652" s="81" t="n"/>
      <c r="C1652" s="81" t="n"/>
      <c r="D1652" s="81" t="n"/>
      <c r="E1652" s="81" t="n"/>
      <c r="F1652" s="81" t="n"/>
      <c r="G1652" s="81" t="n"/>
      <c r="H1652" s="81" t="n"/>
      <c r="I1652" s="81" t="n"/>
      <c r="J1652" s="81" t="n"/>
      <c r="K1652" s="81" t="n"/>
      <c r="L1652" s="81" t="n"/>
      <c r="M1652" s="81" t="n"/>
      <c r="N1652" s="81" t="n"/>
      <c r="O1652" s="81" t="n"/>
      <c r="P1652" s="81" t="n"/>
      <c r="Q1652" s="81" t="n"/>
      <c r="R1652" s="81" t="n"/>
      <c r="S1652" s="81" t="n"/>
      <c r="T1652" s="81" t="n"/>
      <c r="U1652" s="81" t="n"/>
      <c r="V1652" s="81" t="n"/>
      <c r="W1652" s="81" t="n"/>
      <c r="X1652" s="81" t="n"/>
      <c r="Y1652" s="81" t="n"/>
      <c r="Z1652" s="81" t="n"/>
      <c r="AA1652" s="81" t="n"/>
      <c r="AB1652" s="81" t="n"/>
      <c r="AC1652" s="81" t="n"/>
      <c r="AD1652" s="81" t="n"/>
      <c r="AE1652" s="81" t="n"/>
      <c r="AF1652" s="81" t="n"/>
      <c r="AG1652" s="81" t="n"/>
      <c r="AH1652" s="81" t="n"/>
      <c r="AI1652" s="81" t="n"/>
      <c r="AJ1652" s="81" t="n"/>
      <c r="AK1652" s="81" t="n"/>
      <c r="AL1652" s="81" t="n"/>
      <c r="AM1652" s="81" t="n"/>
      <c r="AN1652" s="81" t="n"/>
      <c r="AO1652" s="81" t="n"/>
      <c r="AP1652" s="81" t="n"/>
      <c r="AQ1652" s="81" t="n"/>
      <c r="AR1652" s="81" t="n"/>
      <c r="AS1652" s="81" t="n"/>
      <c r="AT1652" s="81" t="n"/>
      <c r="AU1652" s="81" t="n"/>
      <c r="AV1652" s="81" t="n"/>
      <c r="AW1652" s="81" t="n"/>
      <c r="AX1652" s="81" t="n"/>
      <c r="AY1652" s="81" t="n"/>
      <c r="AZ1652" s="81" t="n"/>
      <c r="BA1652" s="81" t="n"/>
      <c r="BB1652" s="81" t="n"/>
      <c r="BC1652" s="81" t="n"/>
      <c r="BD1652" s="81" t="n"/>
      <c r="BE1652" s="81" t="n"/>
      <c r="BF1652" s="81" t="n"/>
      <c r="BG1652" s="81" t="n"/>
      <c r="BH1652" s="81" t="n"/>
      <c r="BI1652" s="81" t="n"/>
      <c r="BJ1652" s="81" t="n"/>
      <c r="BK1652" s="81" t="n"/>
      <c r="BL1652" s="81" t="n"/>
      <c r="BM1652" s="81" t="n"/>
      <c r="BN1652" s="81" t="n"/>
      <c r="BO1652" s="81" t="n"/>
      <c r="BP1652" s="81" t="n"/>
      <c r="BQ1652" s="81" t="n"/>
      <c r="BR1652" s="81" t="n"/>
      <c r="BS1652" s="81" t="n"/>
      <c r="BT1652" s="81" t="n"/>
      <c r="BU1652" s="81" t="n"/>
      <c r="BV1652" s="81" t="n"/>
      <c r="BW1652" s="81" t="n"/>
      <c r="BX1652" s="81" t="n"/>
      <c r="BY1652" s="81" t="n"/>
      <c r="BZ1652" s="81" t="n"/>
      <c r="CA1652" s="81" t="n"/>
      <c r="CB1652" s="81" t="n"/>
      <c r="CC1652" s="81" t="n"/>
      <c r="CD1652" s="81" t="n"/>
      <c r="CE1652" s="81" t="n"/>
      <c r="CF1652" s="81" t="n"/>
      <c r="CG1652" s="81" t="n"/>
      <c r="CH1652" s="81" t="n"/>
    </row>
    <row r="1653">
      <c r="A1653" s="81" t="n"/>
      <c r="B1653" s="81" t="n"/>
      <c r="C1653" s="81" t="n"/>
      <c r="D1653" s="81" t="n"/>
      <c r="E1653" s="81" t="n"/>
      <c r="F1653" s="81" t="n"/>
      <c r="G1653" s="81" t="n"/>
      <c r="H1653" s="81" t="n"/>
      <c r="I1653" s="81" t="n"/>
      <c r="J1653" s="81" t="n"/>
      <c r="K1653" s="81" t="n"/>
      <c r="L1653" s="81" t="n"/>
      <c r="M1653" s="81" t="n"/>
      <c r="N1653" s="81" t="n"/>
      <c r="O1653" s="81" t="n"/>
      <c r="P1653" s="81" t="n"/>
      <c r="Q1653" s="81" t="n"/>
      <c r="R1653" s="81" t="n"/>
      <c r="S1653" s="81" t="n"/>
      <c r="T1653" s="81" t="n"/>
      <c r="U1653" s="81" t="n"/>
      <c r="V1653" s="81" t="n"/>
      <c r="W1653" s="81" t="n"/>
      <c r="X1653" s="81" t="n"/>
      <c r="Y1653" s="81" t="n"/>
      <c r="Z1653" s="81" t="n"/>
      <c r="AA1653" s="81" t="n"/>
      <c r="AB1653" s="81" t="n"/>
      <c r="AC1653" s="81" t="n"/>
      <c r="AD1653" s="81" t="n"/>
      <c r="AE1653" s="81" t="n"/>
      <c r="AF1653" s="81" t="n"/>
      <c r="AG1653" s="81" t="n"/>
      <c r="AH1653" s="81" t="n"/>
      <c r="AI1653" s="81" t="n"/>
      <c r="AJ1653" s="81" t="n"/>
      <c r="AK1653" s="81" t="n"/>
      <c r="AL1653" s="81" t="n"/>
      <c r="AM1653" s="81" t="n"/>
      <c r="AN1653" s="81" t="n"/>
      <c r="AO1653" s="81" t="n"/>
      <c r="AP1653" s="81" t="n"/>
      <c r="AQ1653" s="81" t="n"/>
      <c r="AR1653" s="81" t="n"/>
      <c r="AS1653" s="81" t="n"/>
      <c r="AT1653" s="81" t="n"/>
      <c r="AU1653" s="81" t="n"/>
      <c r="AV1653" s="81" t="n"/>
      <c r="AW1653" s="81" t="n"/>
      <c r="AX1653" s="81" t="n"/>
      <c r="AY1653" s="81" t="n"/>
      <c r="AZ1653" s="81" t="n"/>
      <c r="BA1653" s="81" t="n"/>
      <c r="BB1653" s="81" t="n"/>
      <c r="BC1653" s="81" t="n"/>
      <c r="BD1653" s="81" t="n"/>
      <c r="BE1653" s="81" t="n"/>
      <c r="BF1653" s="81" t="n"/>
      <c r="BG1653" s="81" t="n"/>
      <c r="BH1653" s="81" t="n"/>
      <c r="BI1653" s="81" t="n"/>
      <c r="BJ1653" s="81" t="n"/>
      <c r="BK1653" s="81" t="n"/>
      <c r="BL1653" s="81" t="n"/>
      <c r="BM1653" s="81" t="n"/>
      <c r="BN1653" s="81" t="n"/>
      <c r="BO1653" s="81" t="n"/>
      <c r="BP1653" s="81" t="n"/>
      <c r="BQ1653" s="81" t="n"/>
      <c r="BR1653" s="81" t="n"/>
      <c r="BS1653" s="81" t="n"/>
      <c r="BT1653" s="81" t="n"/>
      <c r="BU1653" s="81" t="n"/>
      <c r="BV1653" s="81" t="n"/>
      <c r="BW1653" s="81" t="n"/>
      <c r="BX1653" s="81" t="n"/>
      <c r="BY1653" s="81" t="n"/>
      <c r="BZ1653" s="81" t="n"/>
      <c r="CA1653" s="81" t="n"/>
      <c r="CB1653" s="81" t="n"/>
      <c r="CC1653" s="81" t="n"/>
      <c r="CD1653" s="81" t="n"/>
      <c r="CE1653" s="81" t="n"/>
      <c r="CF1653" s="81" t="n"/>
      <c r="CG1653" s="81" t="n"/>
      <c r="CH1653" s="81" t="n"/>
    </row>
    <row r="1654">
      <c r="A1654" s="81" t="n"/>
      <c r="B1654" s="81" t="n"/>
      <c r="C1654" s="81" t="n"/>
      <c r="D1654" s="81" t="n"/>
      <c r="E1654" s="81" t="n"/>
      <c r="F1654" s="81" t="n"/>
      <c r="G1654" s="81" t="n"/>
      <c r="H1654" s="81" t="n"/>
      <c r="I1654" s="81" t="n"/>
      <c r="J1654" s="81" t="n"/>
      <c r="K1654" s="81" t="n"/>
      <c r="L1654" s="81" t="n"/>
      <c r="M1654" s="81" t="n"/>
      <c r="N1654" s="81" t="n"/>
      <c r="O1654" s="81" t="n"/>
      <c r="P1654" s="81" t="n"/>
      <c r="Q1654" s="81" t="n"/>
      <c r="R1654" s="81" t="n"/>
      <c r="S1654" s="81" t="n"/>
      <c r="T1654" s="81" t="n"/>
      <c r="U1654" s="81" t="n"/>
      <c r="V1654" s="81" t="n"/>
      <c r="W1654" s="81" t="n"/>
      <c r="X1654" s="81" t="n"/>
      <c r="Y1654" s="81" t="n"/>
      <c r="Z1654" s="81" t="n"/>
      <c r="AA1654" s="81" t="n"/>
      <c r="AB1654" s="81" t="n"/>
      <c r="AC1654" s="81" t="n"/>
      <c r="AD1654" s="81" t="n"/>
      <c r="AE1654" s="81" t="n"/>
      <c r="AF1654" s="81" t="n"/>
      <c r="AG1654" s="81" t="n"/>
      <c r="AH1654" s="81" t="n"/>
      <c r="AI1654" s="81" t="n"/>
      <c r="AJ1654" s="81" t="n"/>
      <c r="AK1654" s="81" t="n"/>
      <c r="AL1654" s="81" t="n"/>
      <c r="AM1654" s="81" t="n"/>
      <c r="AN1654" s="81" t="n"/>
      <c r="AO1654" s="81" t="n"/>
      <c r="AP1654" s="81" t="n"/>
      <c r="AQ1654" s="81" t="n"/>
      <c r="AR1654" s="81" t="n"/>
      <c r="AS1654" s="81" t="n"/>
      <c r="AT1654" s="81" t="n"/>
      <c r="AU1654" s="81" t="n"/>
      <c r="AV1654" s="81" t="n"/>
      <c r="AW1654" s="81" t="n"/>
      <c r="AX1654" s="81" t="n"/>
      <c r="AY1654" s="81" t="n"/>
      <c r="AZ1654" s="81" t="n"/>
      <c r="BA1654" s="81" t="n"/>
      <c r="BB1654" s="81" t="n"/>
      <c r="BC1654" s="81" t="n"/>
      <c r="BD1654" s="81" t="n"/>
      <c r="BE1654" s="81" t="n"/>
      <c r="BF1654" s="81" t="n"/>
      <c r="BG1654" s="81" t="n"/>
      <c r="BH1654" s="81" t="n"/>
      <c r="BI1654" s="81" t="n"/>
      <c r="BJ1654" s="81" t="n"/>
      <c r="BK1654" s="81" t="n"/>
      <c r="BL1654" s="81" t="n"/>
      <c r="BM1654" s="81" t="n"/>
      <c r="BN1654" s="81" t="n"/>
      <c r="BO1654" s="81" t="n"/>
      <c r="BP1654" s="81" t="n"/>
      <c r="BQ1654" s="81" t="n"/>
      <c r="BR1654" s="81" t="n"/>
      <c r="BS1654" s="81" t="n"/>
      <c r="BT1654" s="81" t="n"/>
      <c r="BU1654" s="81" t="n"/>
      <c r="BV1654" s="81" t="n"/>
      <c r="BW1654" s="81" t="n"/>
      <c r="BX1654" s="81" t="n"/>
      <c r="BY1654" s="81" t="n"/>
      <c r="BZ1654" s="81" t="n"/>
      <c r="CA1654" s="81" t="n"/>
      <c r="CB1654" s="81" t="n"/>
      <c r="CC1654" s="81" t="n"/>
      <c r="CD1654" s="81" t="n"/>
      <c r="CE1654" s="81" t="n"/>
      <c r="CF1654" s="81" t="n"/>
      <c r="CG1654" s="81" t="n"/>
      <c r="CH1654" s="81" t="n"/>
    </row>
    <row r="1655">
      <c r="A1655" s="81" t="n"/>
      <c r="B1655" s="81" t="n"/>
      <c r="C1655" s="81" t="n"/>
      <c r="D1655" s="81" t="n"/>
      <c r="E1655" s="81" t="n"/>
      <c r="F1655" s="81" t="n"/>
      <c r="G1655" s="81" t="n"/>
      <c r="H1655" s="81" t="n"/>
      <c r="I1655" s="81" t="n"/>
      <c r="J1655" s="81" t="n"/>
      <c r="K1655" s="81" t="n"/>
      <c r="L1655" s="81" t="n"/>
      <c r="M1655" s="81" t="n"/>
      <c r="N1655" s="81" t="n"/>
      <c r="O1655" s="81" t="n"/>
      <c r="P1655" s="81" t="n"/>
      <c r="Q1655" s="81" t="n"/>
      <c r="R1655" s="81" t="n"/>
      <c r="S1655" s="81" t="n"/>
      <c r="T1655" s="81" t="n"/>
      <c r="U1655" s="81" t="n"/>
      <c r="V1655" s="81" t="n"/>
      <c r="W1655" s="81" t="n"/>
      <c r="X1655" s="81" t="n"/>
      <c r="Y1655" s="81" t="n"/>
      <c r="Z1655" s="81" t="n"/>
      <c r="AA1655" s="81" t="n"/>
      <c r="AB1655" s="81" t="n"/>
      <c r="AC1655" s="81" t="n"/>
      <c r="AD1655" s="81" t="n"/>
      <c r="AE1655" s="81" t="n"/>
      <c r="AF1655" s="81" t="n"/>
      <c r="AG1655" s="81" t="n"/>
      <c r="AH1655" s="81" t="n"/>
      <c r="AI1655" s="81" t="n"/>
      <c r="AJ1655" s="81" t="n"/>
      <c r="AK1655" s="81" t="n"/>
      <c r="AL1655" s="81" t="n"/>
      <c r="AM1655" s="81" t="n"/>
      <c r="AN1655" s="81" t="n"/>
      <c r="AO1655" s="81" t="n"/>
      <c r="AP1655" s="81" t="n"/>
      <c r="AQ1655" s="81" t="n"/>
      <c r="AR1655" s="81" t="n"/>
      <c r="AS1655" s="81" t="n"/>
      <c r="AT1655" s="81" t="n"/>
      <c r="AU1655" s="81" t="n"/>
      <c r="AV1655" s="81" t="n"/>
      <c r="AW1655" s="81" t="n"/>
      <c r="AX1655" s="81" t="n"/>
      <c r="AY1655" s="81" t="n"/>
      <c r="AZ1655" s="81" t="n"/>
      <c r="BA1655" s="81" t="n"/>
      <c r="BB1655" s="81" t="n"/>
      <c r="BC1655" s="81" t="n"/>
      <c r="BD1655" s="81" t="n"/>
      <c r="BE1655" s="81" t="n"/>
      <c r="BF1655" s="81" t="n"/>
      <c r="BG1655" s="81" t="n"/>
      <c r="BH1655" s="81" t="n"/>
      <c r="BI1655" s="81" t="n"/>
      <c r="BJ1655" s="81" t="n"/>
      <c r="BK1655" s="81" t="n"/>
      <c r="BL1655" s="81" t="n"/>
      <c r="BM1655" s="81" t="n"/>
      <c r="BN1655" s="81" t="n"/>
      <c r="BO1655" s="81" t="n"/>
      <c r="BP1655" s="81" t="n"/>
      <c r="BQ1655" s="81" t="n"/>
      <c r="BR1655" s="81" t="n"/>
      <c r="BS1655" s="81" t="n"/>
      <c r="BT1655" s="81" t="n"/>
      <c r="BU1655" s="81" t="n"/>
      <c r="BV1655" s="81" t="n"/>
      <c r="BW1655" s="81" t="n"/>
      <c r="BX1655" s="81" t="n"/>
      <c r="BY1655" s="81" t="n"/>
      <c r="BZ1655" s="81" t="n"/>
      <c r="CA1655" s="81" t="n"/>
      <c r="CB1655" s="81" t="n"/>
      <c r="CC1655" s="81" t="n"/>
      <c r="CD1655" s="81" t="n"/>
      <c r="CE1655" s="81" t="n"/>
      <c r="CF1655" s="81" t="n"/>
      <c r="CG1655" s="81" t="n"/>
      <c r="CH1655" s="81" t="n"/>
    </row>
    <row r="1656">
      <c r="A1656" s="81" t="n"/>
      <c r="B1656" s="81" t="n"/>
      <c r="C1656" s="81" t="n"/>
      <c r="D1656" s="81" t="n"/>
      <c r="E1656" s="81" t="n"/>
      <c r="F1656" s="81" t="n"/>
      <c r="G1656" s="81" t="n"/>
      <c r="H1656" s="81" t="n"/>
      <c r="I1656" s="81" t="n"/>
      <c r="J1656" s="81" t="n"/>
      <c r="K1656" s="81" t="n"/>
      <c r="L1656" s="81" t="n"/>
      <c r="M1656" s="81" t="n"/>
      <c r="N1656" s="81" t="n"/>
      <c r="O1656" s="81" t="n"/>
      <c r="P1656" s="81" t="n"/>
      <c r="Q1656" s="81" t="n"/>
      <c r="R1656" s="81" t="n"/>
      <c r="S1656" s="81" t="n"/>
      <c r="T1656" s="81" t="n"/>
      <c r="U1656" s="81" t="n"/>
      <c r="V1656" s="81" t="n"/>
      <c r="W1656" s="81" t="n"/>
      <c r="X1656" s="81" t="n"/>
      <c r="Y1656" s="81" t="n"/>
      <c r="Z1656" s="81" t="n"/>
      <c r="AA1656" s="81" t="n"/>
      <c r="AB1656" s="81" t="n"/>
      <c r="AC1656" s="81" t="n"/>
      <c r="AD1656" s="81" t="n"/>
      <c r="AE1656" s="81" t="n"/>
      <c r="AF1656" s="81" t="n"/>
      <c r="AG1656" s="81" t="n"/>
      <c r="AH1656" s="81" t="n"/>
      <c r="AI1656" s="81" t="n"/>
      <c r="AJ1656" s="81" t="n"/>
      <c r="AK1656" s="81" t="n"/>
      <c r="AL1656" s="81" t="n"/>
      <c r="AM1656" s="81" t="n"/>
      <c r="AN1656" s="81" t="n"/>
      <c r="AO1656" s="81" t="n"/>
      <c r="AP1656" s="81" t="n"/>
      <c r="AQ1656" s="81" t="n"/>
      <c r="AR1656" s="81" t="n"/>
      <c r="AS1656" s="81" t="n"/>
      <c r="AT1656" s="81" t="n"/>
      <c r="AU1656" s="81" t="n"/>
      <c r="AV1656" s="81" t="n"/>
      <c r="AW1656" s="81" t="n"/>
      <c r="AX1656" s="81" t="n"/>
      <c r="AY1656" s="81" t="n"/>
      <c r="AZ1656" s="81" t="n"/>
      <c r="BA1656" s="81" t="n"/>
      <c r="BB1656" s="81" t="n"/>
      <c r="BC1656" s="81" t="n"/>
      <c r="BD1656" s="81" t="n"/>
      <c r="BE1656" s="81" t="n"/>
      <c r="BF1656" s="81" t="n"/>
      <c r="BG1656" s="81" t="n"/>
      <c r="BH1656" s="81" t="n"/>
      <c r="BI1656" s="81" t="n"/>
      <c r="BJ1656" s="81" t="n"/>
      <c r="BK1656" s="81" t="n"/>
      <c r="BL1656" s="81" t="n"/>
      <c r="BM1656" s="81" t="n"/>
      <c r="BN1656" s="81" t="n"/>
      <c r="BO1656" s="81" t="n"/>
      <c r="BP1656" s="81" t="n"/>
      <c r="BQ1656" s="81" t="n"/>
      <c r="BR1656" s="81" t="n"/>
      <c r="BS1656" s="81" t="n"/>
      <c r="BT1656" s="81" t="n"/>
      <c r="BU1656" s="81" t="n"/>
      <c r="BV1656" s="81" t="n"/>
      <c r="BW1656" s="81" t="n"/>
      <c r="BX1656" s="81" t="n"/>
      <c r="BY1656" s="81" t="n"/>
      <c r="BZ1656" s="81" t="n"/>
      <c r="CA1656" s="81" t="n"/>
      <c r="CB1656" s="81" t="n"/>
      <c r="CC1656" s="81" t="n"/>
      <c r="CD1656" s="81" t="n"/>
      <c r="CE1656" s="81" t="n"/>
      <c r="CF1656" s="81" t="n"/>
      <c r="CG1656" s="81" t="n"/>
      <c r="CH1656" s="81" t="n"/>
    </row>
    <row r="1657">
      <c r="A1657" s="81" t="n"/>
      <c r="B1657" s="81" t="n"/>
      <c r="C1657" s="81" t="n"/>
      <c r="D1657" s="81" t="n"/>
      <c r="E1657" s="81" t="n"/>
      <c r="F1657" s="81" t="n"/>
      <c r="G1657" s="81" t="n"/>
      <c r="H1657" s="81" t="n"/>
      <c r="I1657" s="81" t="n"/>
      <c r="J1657" s="81" t="n"/>
      <c r="K1657" s="81" t="n"/>
      <c r="L1657" s="81" t="n"/>
      <c r="M1657" s="81" t="n"/>
      <c r="N1657" s="81" t="n"/>
      <c r="O1657" s="81" t="n"/>
      <c r="P1657" s="81" t="n"/>
      <c r="Q1657" s="81" t="n"/>
      <c r="R1657" s="81" t="n"/>
      <c r="S1657" s="81" t="n"/>
      <c r="T1657" s="81" t="n"/>
      <c r="U1657" s="81" t="n"/>
      <c r="V1657" s="81" t="n"/>
      <c r="W1657" s="81" t="n"/>
      <c r="X1657" s="81" t="n"/>
      <c r="Y1657" s="81" t="n"/>
      <c r="Z1657" s="81" t="n"/>
      <c r="AA1657" s="81" t="n"/>
      <c r="AB1657" s="81" t="n"/>
      <c r="AC1657" s="81" t="n"/>
      <c r="AD1657" s="81" t="n"/>
      <c r="AE1657" s="81" t="n"/>
      <c r="AF1657" s="81" t="n"/>
      <c r="AG1657" s="81" t="n"/>
      <c r="AH1657" s="81" t="n"/>
      <c r="AI1657" s="81" t="n"/>
      <c r="AJ1657" s="81" t="n"/>
      <c r="AK1657" s="81" t="n"/>
      <c r="AL1657" s="81" t="n"/>
      <c r="AM1657" s="81" t="n"/>
      <c r="AN1657" s="81" t="n"/>
      <c r="AO1657" s="81" t="n"/>
      <c r="AP1657" s="81" t="n"/>
      <c r="AQ1657" s="81" t="n"/>
      <c r="AR1657" s="81" t="n"/>
      <c r="AS1657" s="81" t="n"/>
      <c r="AT1657" s="81" t="n"/>
      <c r="AU1657" s="81" t="n"/>
      <c r="AV1657" s="81" t="n"/>
      <c r="AW1657" s="81" t="n"/>
      <c r="AX1657" s="81" t="n"/>
      <c r="AY1657" s="81" t="n"/>
      <c r="AZ1657" s="81" t="n"/>
      <c r="BA1657" s="81" t="n"/>
      <c r="BB1657" s="81" t="n"/>
      <c r="BC1657" s="81" t="n"/>
      <c r="BD1657" s="81" t="n"/>
      <c r="BE1657" s="81" t="n"/>
      <c r="BF1657" s="81" t="n"/>
      <c r="BG1657" s="81" t="n"/>
      <c r="BH1657" s="81" t="n"/>
      <c r="BI1657" s="81" t="n"/>
      <c r="BJ1657" s="81" t="n"/>
      <c r="BK1657" s="81" t="n"/>
      <c r="BL1657" s="81" t="n"/>
      <c r="BM1657" s="81" t="n"/>
      <c r="BN1657" s="81" t="n"/>
      <c r="BO1657" s="81" t="n"/>
      <c r="BP1657" s="81" t="n"/>
      <c r="BQ1657" s="81" t="n"/>
      <c r="BR1657" s="81" t="n"/>
      <c r="BS1657" s="81" t="n"/>
      <c r="BT1657" s="81" t="n"/>
      <c r="BU1657" s="81" t="n"/>
      <c r="BV1657" s="81" t="n"/>
      <c r="BW1657" s="81" t="n"/>
      <c r="BX1657" s="81" t="n"/>
      <c r="BY1657" s="81" t="n"/>
      <c r="BZ1657" s="81" t="n"/>
      <c r="CA1657" s="81" t="n"/>
      <c r="CB1657" s="81" t="n"/>
      <c r="CC1657" s="81" t="n"/>
      <c r="CD1657" s="81" t="n"/>
      <c r="CE1657" s="81" t="n"/>
      <c r="CF1657" s="81" t="n"/>
      <c r="CG1657" s="81" t="n"/>
      <c r="CH1657" s="81" t="n"/>
    </row>
    <row r="1658">
      <c r="A1658" s="81" t="n"/>
      <c r="B1658" s="81" t="n"/>
      <c r="C1658" s="81" t="n"/>
      <c r="D1658" s="81" t="n"/>
      <c r="E1658" s="81" t="n"/>
      <c r="F1658" s="81" t="n"/>
      <c r="G1658" s="81" t="n"/>
      <c r="H1658" s="81" t="n"/>
      <c r="I1658" s="81" t="n"/>
      <c r="J1658" s="81" t="n"/>
      <c r="K1658" s="81" t="n"/>
      <c r="L1658" s="81" t="n"/>
      <c r="M1658" s="81" t="n"/>
      <c r="N1658" s="81" t="n"/>
      <c r="O1658" s="81" t="n"/>
      <c r="P1658" s="81" t="n"/>
      <c r="Q1658" s="81" t="n"/>
      <c r="R1658" s="81" t="n"/>
      <c r="S1658" s="81" t="n"/>
      <c r="T1658" s="81" t="n"/>
      <c r="U1658" s="81" t="n"/>
      <c r="V1658" s="81" t="n"/>
      <c r="W1658" s="81" t="n"/>
      <c r="X1658" s="81" t="n"/>
      <c r="Y1658" s="81" t="n"/>
      <c r="Z1658" s="81" t="n"/>
      <c r="AA1658" s="81" t="n"/>
      <c r="AB1658" s="81" t="n"/>
      <c r="AC1658" s="81" t="n"/>
      <c r="AD1658" s="81" t="n"/>
      <c r="AE1658" s="81" t="n"/>
      <c r="AF1658" s="81" t="n"/>
      <c r="AG1658" s="81" t="n"/>
      <c r="AH1658" s="81" t="n"/>
      <c r="AI1658" s="81" t="n"/>
      <c r="AJ1658" s="81" t="n"/>
      <c r="AK1658" s="81" t="n"/>
      <c r="AL1658" s="81" t="n"/>
      <c r="AM1658" s="81" t="n"/>
      <c r="AN1658" s="81" t="n"/>
      <c r="AO1658" s="81" t="n"/>
      <c r="AP1658" s="81" t="n"/>
      <c r="AQ1658" s="81" t="n"/>
      <c r="AR1658" s="81" t="n"/>
      <c r="AS1658" s="81" t="n"/>
      <c r="AT1658" s="81" t="n"/>
      <c r="AU1658" s="81" t="n"/>
      <c r="AV1658" s="81" t="n"/>
      <c r="AW1658" s="81" t="n"/>
      <c r="AX1658" s="81" t="n"/>
      <c r="AY1658" s="81" t="n"/>
      <c r="AZ1658" s="81" t="n"/>
      <c r="BA1658" s="81" t="n"/>
      <c r="BB1658" s="81" t="n"/>
      <c r="BC1658" s="81" t="n"/>
      <c r="BD1658" s="81" t="n"/>
      <c r="BE1658" s="81" t="n"/>
      <c r="BF1658" s="81" t="n"/>
      <c r="BG1658" s="81" t="n"/>
      <c r="BH1658" s="81" t="n"/>
      <c r="BI1658" s="81" t="n"/>
      <c r="BJ1658" s="81" t="n"/>
      <c r="BK1658" s="81" t="n"/>
      <c r="BL1658" s="81" t="n"/>
      <c r="BM1658" s="81" t="n"/>
      <c r="BN1658" s="81" t="n"/>
      <c r="BO1658" s="81" t="n"/>
      <c r="BP1658" s="81" t="n"/>
      <c r="BQ1658" s="81" t="n"/>
      <c r="BR1658" s="81" t="n"/>
      <c r="BS1658" s="81" t="n"/>
      <c r="BT1658" s="81" t="n"/>
      <c r="BU1658" s="81" t="n"/>
      <c r="BV1658" s="81" t="n"/>
      <c r="BW1658" s="81" t="n"/>
      <c r="BX1658" s="81" t="n"/>
      <c r="BY1658" s="81" t="n"/>
      <c r="BZ1658" s="81" t="n"/>
      <c r="CA1658" s="81" t="n"/>
      <c r="CB1658" s="81" t="n"/>
      <c r="CC1658" s="81" t="n"/>
      <c r="CD1658" s="81" t="n"/>
      <c r="CE1658" s="81" t="n"/>
      <c r="CF1658" s="81" t="n"/>
      <c r="CG1658" s="81" t="n"/>
      <c r="CH1658" s="81" t="n"/>
    </row>
    <row r="1659">
      <c r="A1659" s="81" t="n"/>
      <c r="B1659" s="81" t="n"/>
      <c r="C1659" s="81" t="n"/>
      <c r="D1659" s="81" t="n"/>
      <c r="E1659" s="81" t="n"/>
      <c r="F1659" s="81" t="n"/>
      <c r="G1659" s="81" t="n"/>
      <c r="H1659" s="81" t="n"/>
      <c r="I1659" s="81" t="n"/>
      <c r="J1659" s="81" t="n"/>
      <c r="K1659" s="81" t="n"/>
      <c r="L1659" s="81" t="n"/>
      <c r="M1659" s="81" t="n"/>
      <c r="N1659" s="81" t="n"/>
      <c r="O1659" s="81" t="n"/>
      <c r="P1659" s="81" t="n"/>
      <c r="Q1659" s="81" t="n"/>
      <c r="R1659" s="81" t="n"/>
      <c r="S1659" s="81" t="n"/>
      <c r="T1659" s="81" t="n"/>
      <c r="U1659" s="81" t="n"/>
      <c r="V1659" s="81" t="n"/>
      <c r="W1659" s="81" t="n"/>
      <c r="X1659" s="81" t="n"/>
      <c r="Y1659" s="81" t="n"/>
      <c r="Z1659" s="81" t="n"/>
      <c r="AA1659" s="81" t="n"/>
      <c r="AB1659" s="81" t="n"/>
      <c r="AC1659" s="81" t="n"/>
      <c r="AD1659" s="81" t="n"/>
      <c r="AE1659" s="81" t="n"/>
      <c r="AF1659" s="81" t="n"/>
      <c r="AG1659" s="81" t="n"/>
      <c r="AH1659" s="81" t="n"/>
      <c r="AI1659" s="81" t="n"/>
      <c r="AJ1659" s="81" t="n"/>
      <c r="AK1659" s="81" t="n"/>
      <c r="AL1659" s="81" t="n"/>
      <c r="AM1659" s="81" t="n"/>
      <c r="AN1659" s="81" t="n"/>
      <c r="AO1659" s="81" t="n"/>
      <c r="AP1659" s="81" t="n"/>
      <c r="AQ1659" s="81" t="n"/>
      <c r="AR1659" s="81" t="n"/>
      <c r="AS1659" s="81" t="n"/>
      <c r="AT1659" s="81" t="n"/>
      <c r="AU1659" s="81" t="n"/>
      <c r="AV1659" s="81" t="n"/>
      <c r="AW1659" s="81" t="n"/>
      <c r="AX1659" s="81" t="n"/>
      <c r="AY1659" s="81" t="n"/>
      <c r="AZ1659" s="81" t="n"/>
      <c r="BA1659" s="81" t="n"/>
      <c r="BB1659" s="81" t="n"/>
      <c r="BC1659" s="81" t="n"/>
      <c r="BD1659" s="81" t="n"/>
      <c r="BE1659" s="81" t="n"/>
      <c r="BF1659" s="81" t="n"/>
      <c r="BG1659" s="81" t="n"/>
      <c r="BH1659" s="81" t="n"/>
      <c r="BI1659" s="81" t="n"/>
      <c r="BJ1659" s="81" t="n"/>
      <c r="BK1659" s="81" t="n"/>
      <c r="BL1659" s="81" t="n"/>
      <c r="BM1659" s="81" t="n"/>
      <c r="BN1659" s="81" t="n"/>
      <c r="BO1659" s="81" t="n"/>
      <c r="BP1659" s="81" t="n"/>
      <c r="BQ1659" s="81" t="n"/>
      <c r="BR1659" s="81" t="n"/>
      <c r="BS1659" s="81" t="n"/>
      <c r="BT1659" s="81" t="n"/>
      <c r="BU1659" s="81" t="n"/>
      <c r="BV1659" s="81" t="n"/>
      <c r="BW1659" s="81" t="n"/>
      <c r="BX1659" s="81" t="n"/>
      <c r="BY1659" s="81" t="n"/>
      <c r="BZ1659" s="81" t="n"/>
      <c r="CA1659" s="81" t="n"/>
      <c r="CB1659" s="81" t="n"/>
      <c r="CC1659" s="81" t="n"/>
      <c r="CD1659" s="81" t="n"/>
      <c r="CE1659" s="81" t="n"/>
      <c r="CF1659" s="81" t="n"/>
      <c r="CG1659" s="81" t="n"/>
      <c r="CH1659" s="81" t="n"/>
    </row>
    <row r="1660">
      <c r="A1660" s="81" t="n"/>
      <c r="B1660" s="81" t="n"/>
      <c r="C1660" s="81" t="n"/>
      <c r="D1660" s="81" t="n"/>
      <c r="E1660" s="81" t="n"/>
      <c r="F1660" s="81" t="n"/>
      <c r="G1660" s="81" t="n"/>
      <c r="H1660" s="81" t="n"/>
      <c r="I1660" s="81" t="n"/>
      <c r="J1660" s="81" t="n"/>
      <c r="K1660" s="81" t="n"/>
      <c r="L1660" s="81" t="n"/>
      <c r="M1660" s="81" t="n"/>
      <c r="N1660" s="81" t="n"/>
      <c r="O1660" s="81" t="n"/>
      <c r="P1660" s="81" t="n"/>
      <c r="Q1660" s="81" t="n"/>
      <c r="R1660" s="81" t="n"/>
      <c r="S1660" s="81" t="n"/>
      <c r="T1660" s="81" t="n"/>
      <c r="U1660" s="81" t="n"/>
      <c r="V1660" s="81" t="n"/>
      <c r="W1660" s="81" t="n"/>
      <c r="X1660" s="81" t="n"/>
      <c r="Y1660" s="81" t="n"/>
      <c r="Z1660" s="81" t="n"/>
      <c r="AA1660" s="81" t="n"/>
      <c r="AB1660" s="81" t="n"/>
      <c r="AC1660" s="81" t="n"/>
      <c r="AD1660" s="81" t="n"/>
      <c r="AE1660" s="81" t="n"/>
      <c r="AF1660" s="81" t="n"/>
      <c r="AG1660" s="81" t="n"/>
      <c r="AH1660" s="81" t="n"/>
      <c r="AI1660" s="81" t="n"/>
      <c r="AJ1660" s="81" t="n"/>
      <c r="AK1660" s="81" t="n"/>
      <c r="AL1660" s="81" t="n"/>
      <c r="AM1660" s="81" t="n"/>
      <c r="AN1660" s="81" t="n"/>
      <c r="AO1660" s="81" t="n"/>
      <c r="AP1660" s="81" t="n"/>
      <c r="AQ1660" s="81" t="n"/>
      <c r="AR1660" s="81" t="n"/>
      <c r="AS1660" s="81" t="n"/>
      <c r="AT1660" s="81" t="n"/>
      <c r="AU1660" s="81" t="n"/>
      <c r="AV1660" s="81" t="n"/>
      <c r="AW1660" s="81" t="n"/>
      <c r="AX1660" s="81" t="n"/>
      <c r="AY1660" s="81" t="n"/>
      <c r="AZ1660" s="81" t="n"/>
      <c r="BA1660" s="81" t="n"/>
      <c r="BB1660" s="81" t="n"/>
      <c r="BC1660" s="81" t="n"/>
      <c r="BD1660" s="81" t="n"/>
      <c r="BE1660" s="81" t="n"/>
      <c r="BF1660" s="81" t="n"/>
      <c r="BG1660" s="81" t="n"/>
      <c r="BH1660" s="81" t="n"/>
      <c r="BI1660" s="81" t="n"/>
      <c r="BJ1660" s="81" t="n"/>
      <c r="BK1660" s="81" t="n"/>
      <c r="BL1660" s="81" t="n"/>
      <c r="BM1660" s="81" t="n"/>
      <c r="BN1660" s="81" t="n"/>
      <c r="BO1660" s="81" t="n"/>
      <c r="BP1660" s="81" t="n"/>
      <c r="BQ1660" s="81" t="n"/>
      <c r="BR1660" s="81" t="n"/>
      <c r="BS1660" s="81" t="n"/>
      <c r="BT1660" s="81" t="n"/>
      <c r="BU1660" s="81" t="n"/>
      <c r="BV1660" s="81" t="n"/>
      <c r="BW1660" s="81" t="n"/>
      <c r="BX1660" s="81" t="n"/>
      <c r="BY1660" s="81" t="n"/>
      <c r="BZ1660" s="81" t="n"/>
      <c r="CA1660" s="81" t="n"/>
      <c r="CB1660" s="81" t="n"/>
      <c r="CC1660" s="81" t="n"/>
      <c r="CD1660" s="81" t="n"/>
      <c r="CE1660" s="81" t="n"/>
      <c r="CF1660" s="81" t="n"/>
      <c r="CG1660" s="81" t="n"/>
      <c r="CH1660" s="81" t="n"/>
    </row>
    <row r="1661">
      <c r="A1661" s="81" t="n"/>
      <c r="B1661" s="81" t="n"/>
      <c r="C1661" s="81" t="n"/>
      <c r="D1661" s="81" t="n"/>
      <c r="E1661" s="81" t="n"/>
      <c r="F1661" s="81" t="n"/>
      <c r="G1661" s="81" t="n"/>
      <c r="H1661" s="81" t="n"/>
      <c r="I1661" s="81" t="n"/>
      <c r="J1661" s="81" t="n"/>
      <c r="K1661" s="81" t="n"/>
      <c r="L1661" s="81" t="n"/>
      <c r="M1661" s="81" t="n"/>
      <c r="N1661" s="81" t="n"/>
      <c r="O1661" s="81" t="n"/>
      <c r="P1661" s="81" t="n"/>
      <c r="Q1661" s="81" t="n"/>
      <c r="R1661" s="81" t="n"/>
      <c r="S1661" s="81" t="n"/>
      <c r="T1661" s="81" t="n"/>
      <c r="U1661" s="81" t="n"/>
      <c r="V1661" s="81" t="n"/>
      <c r="W1661" s="81" t="n"/>
      <c r="X1661" s="81" t="n"/>
      <c r="Y1661" s="81" t="n"/>
      <c r="Z1661" s="81" t="n"/>
      <c r="AA1661" s="81" t="n"/>
      <c r="AB1661" s="81" t="n"/>
      <c r="AC1661" s="81" t="n"/>
      <c r="AD1661" s="81" t="n"/>
      <c r="AE1661" s="81" t="n"/>
      <c r="AF1661" s="81" t="n"/>
      <c r="AG1661" s="81" t="n"/>
      <c r="AH1661" s="81" t="n"/>
      <c r="AI1661" s="81" t="n"/>
      <c r="AJ1661" s="81" t="n"/>
      <c r="AK1661" s="81" t="n"/>
      <c r="AL1661" s="81" t="n"/>
      <c r="AM1661" s="81" t="n"/>
      <c r="AN1661" s="81" t="n"/>
      <c r="AO1661" s="81" t="n"/>
      <c r="AP1661" s="81" t="n"/>
      <c r="AQ1661" s="81" t="n"/>
      <c r="AR1661" s="81" t="n"/>
      <c r="AS1661" s="81" t="n"/>
      <c r="AT1661" s="81" t="n"/>
      <c r="AU1661" s="81" t="n"/>
      <c r="AV1661" s="81" t="n"/>
      <c r="AW1661" s="81" t="n"/>
      <c r="AX1661" s="81" t="n"/>
      <c r="AY1661" s="81" t="n"/>
      <c r="AZ1661" s="81" t="n"/>
      <c r="BA1661" s="81" t="n"/>
      <c r="BB1661" s="81" t="n"/>
      <c r="BC1661" s="81" t="n"/>
      <c r="BD1661" s="81" t="n"/>
      <c r="BE1661" s="81" t="n"/>
      <c r="BF1661" s="81" t="n"/>
      <c r="BG1661" s="81" t="n"/>
      <c r="BH1661" s="81" t="n"/>
      <c r="BI1661" s="81" t="n"/>
      <c r="BJ1661" s="81" t="n"/>
      <c r="BK1661" s="81" t="n"/>
      <c r="BL1661" s="81" t="n"/>
      <c r="BM1661" s="81" t="n"/>
      <c r="BN1661" s="81" t="n"/>
      <c r="BO1661" s="81" t="n"/>
      <c r="BP1661" s="81" t="n"/>
      <c r="BQ1661" s="81" t="n"/>
      <c r="BR1661" s="81" t="n"/>
      <c r="BS1661" s="81" t="n"/>
      <c r="BT1661" s="81" t="n"/>
      <c r="BU1661" s="81" t="n"/>
      <c r="BV1661" s="81" t="n"/>
      <c r="BW1661" s="81" t="n"/>
      <c r="BX1661" s="81" t="n"/>
      <c r="BY1661" s="81" t="n"/>
      <c r="BZ1661" s="81" t="n"/>
      <c r="CA1661" s="81" t="n"/>
      <c r="CB1661" s="81" t="n"/>
      <c r="CC1661" s="81" t="n"/>
      <c r="CD1661" s="81" t="n"/>
      <c r="CE1661" s="81" t="n"/>
      <c r="CF1661" s="81" t="n"/>
      <c r="CG1661" s="81" t="n"/>
      <c r="CH1661" s="81" t="n"/>
    </row>
    <row r="1662">
      <c r="A1662" s="81" t="n"/>
      <c r="B1662" s="81" t="n"/>
      <c r="C1662" s="81" t="n"/>
      <c r="D1662" s="81" t="n"/>
      <c r="E1662" s="81" t="n"/>
      <c r="F1662" s="81" t="n"/>
      <c r="G1662" s="81" t="n"/>
      <c r="H1662" s="81" t="n"/>
      <c r="I1662" s="81" t="n"/>
      <c r="J1662" s="81" t="n"/>
      <c r="K1662" s="81" t="n"/>
      <c r="L1662" s="81" t="n"/>
      <c r="M1662" s="81" t="n"/>
      <c r="N1662" s="81" t="n"/>
      <c r="O1662" s="81" t="n"/>
      <c r="P1662" s="81" t="n"/>
      <c r="Q1662" s="81" t="n"/>
      <c r="R1662" s="81" t="n"/>
      <c r="S1662" s="81" t="n"/>
      <c r="T1662" s="81" t="n"/>
      <c r="U1662" s="81" t="n"/>
      <c r="V1662" s="81" t="n"/>
      <c r="W1662" s="81" t="n"/>
      <c r="X1662" s="81" t="n"/>
      <c r="Y1662" s="81" t="n"/>
      <c r="Z1662" s="81" t="n"/>
      <c r="AA1662" s="81" t="n"/>
      <c r="AB1662" s="81" t="n"/>
      <c r="AC1662" s="81" t="n"/>
      <c r="AD1662" s="81" t="n"/>
      <c r="AE1662" s="81" t="n"/>
      <c r="AF1662" s="81" t="n"/>
      <c r="AG1662" s="81" t="n"/>
      <c r="AH1662" s="81" t="n"/>
      <c r="AI1662" s="81" t="n"/>
      <c r="AJ1662" s="81" t="n"/>
      <c r="AK1662" s="81" t="n"/>
      <c r="AL1662" s="81" t="n"/>
      <c r="AM1662" s="81" t="n"/>
      <c r="AN1662" s="81" t="n"/>
      <c r="AO1662" s="81" t="n"/>
      <c r="AP1662" s="81" t="n"/>
      <c r="AQ1662" s="81" t="n"/>
      <c r="AR1662" s="81" t="n"/>
      <c r="AS1662" s="81" t="n"/>
      <c r="AT1662" s="81" t="n"/>
      <c r="AU1662" s="81" t="n"/>
      <c r="AV1662" s="81" t="n"/>
      <c r="AW1662" s="81" t="n"/>
      <c r="AX1662" s="81" t="n"/>
      <c r="AY1662" s="81" t="n"/>
      <c r="AZ1662" s="81" t="n"/>
      <c r="BA1662" s="81" t="n"/>
      <c r="BB1662" s="81" t="n"/>
      <c r="BC1662" s="81" t="n"/>
      <c r="BD1662" s="81" t="n"/>
      <c r="BE1662" s="81" t="n"/>
      <c r="BF1662" s="81" t="n"/>
      <c r="BG1662" s="81" t="n"/>
      <c r="BH1662" s="81" t="n"/>
      <c r="BI1662" s="81" t="n"/>
      <c r="BJ1662" s="81" t="n"/>
      <c r="BK1662" s="81" t="n"/>
      <c r="BL1662" s="81" t="n"/>
      <c r="BM1662" s="81" t="n"/>
      <c r="BN1662" s="81" t="n"/>
      <c r="BO1662" s="81" t="n"/>
      <c r="BP1662" s="81" t="n"/>
      <c r="BQ1662" s="81" t="n"/>
      <c r="BR1662" s="81" t="n"/>
      <c r="BS1662" s="81" t="n"/>
      <c r="BT1662" s="81" t="n"/>
      <c r="BU1662" s="81" t="n"/>
      <c r="BV1662" s="81" t="n"/>
      <c r="BW1662" s="81" t="n"/>
      <c r="BX1662" s="81" t="n"/>
      <c r="BY1662" s="81" t="n"/>
      <c r="BZ1662" s="81" t="n"/>
      <c r="CA1662" s="81" t="n"/>
      <c r="CB1662" s="81" t="n"/>
      <c r="CC1662" s="81" t="n"/>
      <c r="CD1662" s="81" t="n"/>
      <c r="CE1662" s="81" t="n"/>
      <c r="CF1662" s="81" t="n"/>
      <c r="CG1662" s="81" t="n"/>
      <c r="CH1662" s="81" t="n"/>
    </row>
    <row r="1663">
      <c r="A1663" s="81" t="n"/>
      <c r="B1663" s="81" t="n"/>
      <c r="C1663" s="81" t="n"/>
      <c r="D1663" s="81" t="n"/>
      <c r="E1663" s="81" t="n"/>
      <c r="F1663" s="81" t="n"/>
      <c r="G1663" s="81" t="n"/>
      <c r="H1663" s="81" t="n"/>
      <c r="I1663" s="81" t="n"/>
      <c r="J1663" s="81" t="n"/>
      <c r="K1663" s="81" t="n"/>
      <c r="L1663" s="81" t="n"/>
      <c r="M1663" s="81" t="n"/>
      <c r="N1663" s="81" t="n"/>
      <c r="O1663" s="81" t="n"/>
      <c r="P1663" s="81" t="n"/>
      <c r="Q1663" s="81" t="n"/>
      <c r="R1663" s="81" t="n"/>
      <c r="S1663" s="81" t="n"/>
      <c r="T1663" s="81" t="n"/>
      <c r="U1663" s="81" t="n"/>
      <c r="V1663" s="81" t="n"/>
      <c r="W1663" s="81" t="n"/>
      <c r="X1663" s="81" t="n"/>
      <c r="Y1663" s="81" t="n"/>
      <c r="Z1663" s="81" t="n"/>
      <c r="AA1663" s="81" t="n"/>
      <c r="AB1663" s="81" t="n"/>
      <c r="AC1663" s="81" t="n"/>
      <c r="AD1663" s="81" t="n"/>
      <c r="AE1663" s="81" t="n"/>
      <c r="AF1663" s="81" t="n"/>
      <c r="AG1663" s="81" t="n"/>
      <c r="AH1663" s="81" t="n"/>
      <c r="AI1663" s="81" t="n"/>
      <c r="AJ1663" s="81" t="n"/>
      <c r="AK1663" s="81" t="n"/>
      <c r="AL1663" s="81" t="n"/>
      <c r="AM1663" s="81" t="n"/>
      <c r="AN1663" s="81" t="n"/>
      <c r="AO1663" s="81" t="n"/>
      <c r="AP1663" s="81" t="n"/>
      <c r="AQ1663" s="81" t="n"/>
      <c r="AR1663" s="81" t="n"/>
      <c r="AS1663" s="81" t="n"/>
      <c r="AT1663" s="81" t="n"/>
      <c r="AU1663" s="81" t="n"/>
      <c r="AV1663" s="81" t="n"/>
      <c r="AW1663" s="81" t="n"/>
      <c r="AX1663" s="81" t="n"/>
      <c r="AY1663" s="81" t="n"/>
      <c r="AZ1663" s="81" t="n"/>
      <c r="BA1663" s="81" t="n"/>
      <c r="BB1663" s="81" t="n"/>
      <c r="BC1663" s="81" t="n"/>
      <c r="BD1663" s="81" t="n"/>
      <c r="BE1663" s="81" t="n"/>
      <c r="BF1663" s="81" t="n"/>
      <c r="BG1663" s="81" t="n"/>
      <c r="BH1663" s="81" t="n"/>
      <c r="BI1663" s="81" t="n"/>
      <c r="BJ1663" s="81" t="n"/>
      <c r="BK1663" s="81" t="n"/>
      <c r="BL1663" s="81" t="n"/>
      <c r="BM1663" s="81" t="n"/>
      <c r="BN1663" s="81" t="n"/>
      <c r="BO1663" s="81" t="n"/>
      <c r="BP1663" s="81" t="n"/>
      <c r="BQ1663" s="81" t="n"/>
      <c r="BR1663" s="81" t="n"/>
      <c r="BS1663" s="81" t="n"/>
      <c r="BT1663" s="81" t="n"/>
      <c r="BU1663" s="81" t="n"/>
      <c r="BV1663" s="81" t="n"/>
      <c r="BW1663" s="81" t="n"/>
      <c r="BX1663" s="81" t="n"/>
      <c r="BY1663" s="81" t="n"/>
      <c r="BZ1663" s="81" t="n"/>
      <c r="CA1663" s="81" t="n"/>
      <c r="CB1663" s="81" t="n"/>
      <c r="CC1663" s="81" t="n"/>
      <c r="CD1663" s="81" t="n"/>
      <c r="CE1663" s="81" t="n"/>
      <c r="CF1663" s="81" t="n"/>
      <c r="CG1663" s="81" t="n"/>
      <c r="CH1663" s="81" t="n"/>
    </row>
    <row r="1664">
      <c r="A1664" s="81" t="n"/>
      <c r="B1664" s="81" t="n"/>
      <c r="C1664" s="81" t="n"/>
      <c r="D1664" s="81" t="n"/>
      <c r="E1664" s="81" t="n"/>
      <c r="F1664" s="81" t="n"/>
      <c r="G1664" s="81" t="n"/>
      <c r="H1664" s="81" t="n"/>
      <c r="I1664" s="81" t="n"/>
      <c r="J1664" s="81" t="n"/>
      <c r="K1664" s="81" t="n"/>
      <c r="L1664" s="81" t="n"/>
      <c r="M1664" s="81" t="n"/>
      <c r="N1664" s="81" t="n"/>
      <c r="O1664" s="81" t="n"/>
      <c r="P1664" s="81" t="n"/>
      <c r="Q1664" s="81" t="n"/>
      <c r="R1664" s="81" t="n"/>
      <c r="S1664" s="81" t="n"/>
      <c r="T1664" s="81" t="n"/>
      <c r="U1664" s="81" t="n"/>
      <c r="V1664" s="81" t="n"/>
      <c r="W1664" s="81" t="n"/>
      <c r="X1664" s="81" t="n"/>
      <c r="Y1664" s="81" t="n"/>
      <c r="Z1664" s="81" t="n"/>
      <c r="AA1664" s="81" t="n"/>
      <c r="AB1664" s="81" t="n"/>
      <c r="AC1664" s="81" t="n"/>
      <c r="AD1664" s="81" t="n"/>
      <c r="AE1664" s="81" t="n"/>
      <c r="AF1664" s="81" t="n"/>
      <c r="AG1664" s="81" t="n"/>
      <c r="AH1664" s="81" t="n"/>
      <c r="AI1664" s="81" t="n"/>
      <c r="AJ1664" s="81" t="n"/>
      <c r="AK1664" s="81" t="n"/>
      <c r="AL1664" s="81" t="n"/>
      <c r="AM1664" s="81" t="n"/>
      <c r="AN1664" s="81" t="n"/>
      <c r="AO1664" s="81" t="n"/>
      <c r="AP1664" s="81" t="n"/>
      <c r="AQ1664" s="81" t="n"/>
      <c r="AR1664" s="81" t="n"/>
      <c r="AS1664" s="81" t="n"/>
      <c r="AT1664" s="81" t="n"/>
      <c r="AU1664" s="81" t="n"/>
      <c r="AV1664" s="81" t="n"/>
      <c r="AW1664" s="81" t="n"/>
      <c r="AX1664" s="81" t="n"/>
      <c r="AY1664" s="81" t="n"/>
      <c r="AZ1664" s="81" t="n"/>
      <c r="BA1664" s="81" t="n"/>
      <c r="BB1664" s="81" t="n"/>
      <c r="BC1664" s="81" t="n"/>
      <c r="BD1664" s="81" t="n"/>
      <c r="BE1664" s="81" t="n"/>
      <c r="BF1664" s="81" t="n"/>
      <c r="BG1664" s="81" t="n"/>
      <c r="BH1664" s="81" t="n"/>
      <c r="BI1664" s="81" t="n"/>
      <c r="BJ1664" s="81" t="n"/>
      <c r="BK1664" s="81" t="n"/>
      <c r="BL1664" s="81" t="n"/>
      <c r="BM1664" s="81" t="n"/>
      <c r="BN1664" s="81" t="n"/>
      <c r="BO1664" s="81" t="n"/>
      <c r="BP1664" s="81" t="n"/>
      <c r="BQ1664" s="81" t="n"/>
      <c r="BR1664" s="81" t="n"/>
      <c r="BS1664" s="81" t="n"/>
      <c r="BT1664" s="81" t="n"/>
      <c r="BU1664" s="81" t="n"/>
      <c r="BV1664" s="81" t="n"/>
      <c r="BW1664" s="81" t="n"/>
      <c r="BX1664" s="81" t="n"/>
      <c r="BY1664" s="81" t="n"/>
      <c r="BZ1664" s="81" t="n"/>
      <c r="CA1664" s="81" t="n"/>
      <c r="CB1664" s="81" t="n"/>
      <c r="CC1664" s="81" t="n"/>
      <c r="CD1664" s="81" t="n"/>
      <c r="CE1664" s="81" t="n"/>
      <c r="CF1664" s="81" t="n"/>
      <c r="CG1664" s="81" t="n"/>
      <c r="CH1664" s="81" t="n"/>
    </row>
    <row r="1665">
      <c r="A1665" s="81" t="n"/>
      <c r="B1665" s="81" t="n"/>
      <c r="C1665" s="81" t="n"/>
      <c r="D1665" s="81" t="n"/>
      <c r="E1665" s="81" t="n"/>
      <c r="F1665" s="81" t="n"/>
      <c r="G1665" s="81" t="n"/>
      <c r="H1665" s="81" t="n"/>
      <c r="I1665" s="81" t="n"/>
      <c r="J1665" s="81" t="n"/>
      <c r="K1665" s="81" t="n"/>
      <c r="L1665" s="81" t="n"/>
      <c r="M1665" s="81" t="n"/>
      <c r="N1665" s="81" t="n"/>
      <c r="O1665" s="81" t="n"/>
      <c r="P1665" s="81" t="n"/>
      <c r="Q1665" s="81" t="n"/>
      <c r="R1665" s="81" t="n"/>
      <c r="S1665" s="81" t="n"/>
      <c r="T1665" s="81" t="n"/>
      <c r="U1665" s="81" t="n"/>
      <c r="V1665" s="81" t="n"/>
      <c r="W1665" s="81" t="n"/>
      <c r="X1665" s="81" t="n"/>
      <c r="Y1665" s="81" t="n"/>
      <c r="Z1665" s="81" t="n"/>
      <c r="AA1665" s="81" t="n"/>
      <c r="AB1665" s="81" t="n"/>
      <c r="AC1665" s="81" t="n"/>
      <c r="AD1665" s="81" t="n"/>
      <c r="AE1665" s="81" t="n"/>
      <c r="AF1665" s="81" t="n"/>
      <c r="AG1665" s="81" t="n"/>
      <c r="AH1665" s="81" t="n"/>
      <c r="AI1665" s="81" t="n"/>
      <c r="AJ1665" s="81" t="n"/>
      <c r="AK1665" s="81" t="n"/>
      <c r="AL1665" s="81" t="n"/>
      <c r="AM1665" s="81" t="n"/>
      <c r="AN1665" s="81" t="n"/>
      <c r="AO1665" s="81" t="n"/>
      <c r="AP1665" s="81" t="n"/>
      <c r="AQ1665" s="81" t="n"/>
      <c r="AR1665" s="81" t="n"/>
      <c r="AS1665" s="81" t="n"/>
      <c r="AT1665" s="81" t="n"/>
      <c r="AU1665" s="81" t="n"/>
      <c r="AV1665" s="81" t="n"/>
      <c r="AW1665" s="81" t="n"/>
      <c r="AX1665" s="81" t="n"/>
      <c r="AY1665" s="81" t="n"/>
      <c r="AZ1665" s="81" t="n"/>
      <c r="BA1665" s="81" t="n"/>
      <c r="BB1665" s="81" t="n"/>
      <c r="BC1665" s="81" t="n"/>
      <c r="BD1665" s="81" t="n"/>
      <c r="BE1665" s="81" t="n"/>
      <c r="BF1665" s="81" t="n"/>
      <c r="BG1665" s="81" t="n"/>
      <c r="BH1665" s="81" t="n"/>
      <c r="BI1665" s="81" t="n"/>
      <c r="BJ1665" s="81" t="n"/>
      <c r="BK1665" s="81" t="n"/>
      <c r="BL1665" s="81" t="n"/>
      <c r="BM1665" s="81" t="n"/>
      <c r="BN1665" s="81" t="n"/>
      <c r="BO1665" s="81" t="n"/>
      <c r="BP1665" s="81" t="n"/>
      <c r="BQ1665" s="81" t="n"/>
      <c r="BR1665" s="81" t="n"/>
      <c r="BS1665" s="81" t="n"/>
      <c r="BT1665" s="81" t="n"/>
      <c r="BU1665" s="81" t="n"/>
      <c r="BV1665" s="81" t="n"/>
      <c r="BW1665" s="81" t="n"/>
      <c r="BX1665" s="81" t="n"/>
      <c r="BY1665" s="81" t="n"/>
      <c r="BZ1665" s="81" t="n"/>
      <c r="CA1665" s="81" t="n"/>
      <c r="CB1665" s="81" t="n"/>
      <c r="CC1665" s="81" t="n"/>
      <c r="CD1665" s="81" t="n"/>
      <c r="CE1665" s="81" t="n"/>
      <c r="CF1665" s="81" t="n"/>
      <c r="CG1665" s="81" t="n"/>
      <c r="CH1665" s="81" t="n"/>
    </row>
    <row r="1666">
      <c r="A1666" s="81" t="n"/>
      <c r="B1666" s="81" t="n"/>
      <c r="C1666" s="81" t="n"/>
      <c r="D1666" s="81" t="n"/>
      <c r="E1666" s="81" t="n"/>
      <c r="F1666" s="81" t="n"/>
      <c r="G1666" s="81" t="n"/>
      <c r="H1666" s="81" t="n"/>
      <c r="I1666" s="81" t="n"/>
      <c r="J1666" s="81" t="n"/>
      <c r="K1666" s="81" t="n"/>
      <c r="L1666" s="81" t="n"/>
      <c r="M1666" s="81" t="n"/>
      <c r="N1666" s="81" t="n"/>
      <c r="O1666" s="81" t="n"/>
      <c r="P1666" s="81" t="n"/>
      <c r="Q1666" s="81" t="n"/>
      <c r="R1666" s="81" t="n"/>
      <c r="S1666" s="81" t="n"/>
      <c r="T1666" s="81" t="n"/>
      <c r="U1666" s="81" t="n"/>
      <c r="V1666" s="81" t="n"/>
      <c r="W1666" s="81" t="n"/>
      <c r="X1666" s="81" t="n"/>
      <c r="Y1666" s="81" t="n"/>
      <c r="Z1666" s="81" t="n"/>
      <c r="AA1666" s="81" t="n"/>
      <c r="AB1666" s="81" t="n"/>
      <c r="AC1666" s="81" t="n"/>
      <c r="AD1666" s="81" t="n"/>
      <c r="AE1666" s="81" t="n"/>
      <c r="AF1666" s="81" t="n"/>
      <c r="AG1666" s="81" t="n"/>
      <c r="AH1666" s="81" t="n"/>
      <c r="AI1666" s="81" t="n"/>
      <c r="AJ1666" s="81" t="n"/>
      <c r="AK1666" s="81" t="n"/>
      <c r="AL1666" s="81" t="n"/>
      <c r="AM1666" s="81" t="n"/>
      <c r="AN1666" s="81" t="n"/>
      <c r="AO1666" s="81" t="n"/>
      <c r="AP1666" s="81" t="n"/>
      <c r="AQ1666" s="81" t="n"/>
      <c r="AR1666" s="81" t="n"/>
      <c r="AS1666" s="81" t="n"/>
      <c r="AT1666" s="81" t="n"/>
      <c r="AU1666" s="81" t="n"/>
      <c r="AV1666" s="81" t="n"/>
      <c r="AW1666" s="81" t="n"/>
      <c r="AX1666" s="81" t="n"/>
      <c r="AY1666" s="81" t="n"/>
      <c r="AZ1666" s="81" t="n"/>
      <c r="BA1666" s="81" t="n"/>
      <c r="BB1666" s="81" t="n"/>
      <c r="BC1666" s="81" t="n"/>
      <c r="BD1666" s="81" t="n"/>
      <c r="BE1666" s="81" t="n"/>
      <c r="BF1666" s="81" t="n"/>
      <c r="BG1666" s="81" t="n"/>
      <c r="BH1666" s="81" t="n"/>
      <c r="BI1666" s="81" t="n"/>
      <c r="BJ1666" s="81" t="n"/>
      <c r="BK1666" s="81" t="n"/>
      <c r="BL1666" s="81" t="n"/>
      <c r="BM1666" s="81" t="n"/>
      <c r="BN1666" s="81" t="n"/>
      <c r="BO1666" s="81" t="n"/>
      <c r="BP1666" s="81" t="n"/>
      <c r="BQ1666" s="81" t="n"/>
      <c r="BR1666" s="81" t="n"/>
      <c r="BS1666" s="81" t="n"/>
      <c r="BT1666" s="81" t="n"/>
      <c r="BU1666" s="81" t="n"/>
      <c r="BV1666" s="81" t="n"/>
      <c r="BW1666" s="81" t="n"/>
      <c r="BX1666" s="81" t="n"/>
      <c r="BY1666" s="81" t="n"/>
      <c r="BZ1666" s="81" t="n"/>
      <c r="CA1666" s="81" t="n"/>
      <c r="CB1666" s="81" t="n"/>
      <c r="CC1666" s="81" t="n"/>
      <c r="CD1666" s="81" t="n"/>
      <c r="CE1666" s="81" t="n"/>
      <c r="CF1666" s="81" t="n"/>
      <c r="CG1666" s="81" t="n"/>
      <c r="CH1666" s="81" t="n"/>
    </row>
    <row r="1667">
      <c r="A1667" s="81" t="n"/>
      <c r="B1667" s="81" t="n"/>
      <c r="C1667" s="81" t="n"/>
      <c r="D1667" s="81" t="n"/>
      <c r="E1667" s="81" t="n"/>
      <c r="F1667" s="81" t="n"/>
      <c r="G1667" s="81" t="n"/>
      <c r="H1667" s="81" t="n"/>
      <c r="I1667" s="81" t="n"/>
      <c r="J1667" s="81" t="n"/>
      <c r="K1667" s="81" t="n"/>
      <c r="L1667" s="81" t="n"/>
      <c r="M1667" s="81" t="n"/>
      <c r="N1667" s="81" t="n"/>
      <c r="O1667" s="81" t="n"/>
      <c r="P1667" s="81" t="n"/>
      <c r="Q1667" s="81" t="n"/>
      <c r="R1667" s="81" t="n"/>
      <c r="S1667" s="81" t="n"/>
      <c r="T1667" s="81" t="n"/>
      <c r="U1667" s="81" t="n"/>
      <c r="V1667" s="81" t="n"/>
      <c r="W1667" s="81" t="n"/>
      <c r="X1667" s="81" t="n"/>
      <c r="Y1667" s="81" t="n"/>
      <c r="Z1667" s="81" t="n"/>
      <c r="AA1667" s="81" t="n"/>
      <c r="AB1667" s="81" t="n"/>
      <c r="AC1667" s="81" t="n"/>
      <c r="AD1667" s="81" t="n"/>
      <c r="AE1667" s="81" t="n"/>
      <c r="AF1667" s="81" t="n"/>
      <c r="AG1667" s="81" t="n"/>
      <c r="AH1667" s="81" t="n"/>
      <c r="AI1667" s="81" t="n"/>
      <c r="AJ1667" s="81" t="n"/>
      <c r="AK1667" s="81" t="n"/>
      <c r="AL1667" s="81" t="n"/>
      <c r="AM1667" s="81" t="n"/>
      <c r="AN1667" s="81" t="n"/>
      <c r="AO1667" s="81" t="n"/>
      <c r="AP1667" s="81" t="n"/>
      <c r="AQ1667" s="81" t="n"/>
      <c r="AR1667" s="81" t="n"/>
      <c r="AS1667" s="81" t="n"/>
      <c r="AT1667" s="81" t="n"/>
      <c r="AU1667" s="81" t="n"/>
      <c r="AV1667" s="81" t="n"/>
      <c r="AW1667" s="81" t="n"/>
      <c r="AX1667" s="81" t="n"/>
      <c r="AY1667" s="81" t="n"/>
      <c r="AZ1667" s="81" t="n"/>
      <c r="BA1667" s="81" t="n"/>
      <c r="BB1667" s="81" t="n"/>
      <c r="BC1667" s="81" t="n"/>
      <c r="BD1667" s="81" t="n"/>
      <c r="BE1667" s="81" t="n"/>
      <c r="BF1667" s="81" t="n"/>
      <c r="BG1667" s="81" t="n"/>
      <c r="BH1667" s="81" t="n"/>
      <c r="BI1667" s="81" t="n"/>
      <c r="BJ1667" s="81" t="n"/>
      <c r="BK1667" s="81" t="n"/>
      <c r="BL1667" s="81" t="n"/>
      <c r="BM1667" s="81" t="n"/>
      <c r="BN1667" s="81" t="n"/>
      <c r="BO1667" s="81" t="n"/>
      <c r="BP1667" s="81" t="n"/>
      <c r="BQ1667" s="81" t="n"/>
      <c r="BR1667" s="81" t="n"/>
      <c r="BS1667" s="81" t="n"/>
      <c r="BT1667" s="81" t="n"/>
      <c r="BU1667" s="81" t="n"/>
      <c r="BV1667" s="81" t="n"/>
      <c r="BW1667" s="81" t="n"/>
      <c r="BX1667" s="81" t="n"/>
      <c r="BY1667" s="81" t="n"/>
      <c r="BZ1667" s="81" t="n"/>
      <c r="CA1667" s="81" t="n"/>
      <c r="CB1667" s="81" t="n"/>
      <c r="CC1667" s="81" t="n"/>
      <c r="CD1667" s="81" t="n"/>
      <c r="CE1667" s="81" t="n"/>
      <c r="CF1667" s="81" t="n"/>
      <c r="CG1667" s="81" t="n"/>
      <c r="CH1667" s="81" t="n"/>
    </row>
    <row r="1668">
      <c r="A1668" s="81" t="n"/>
      <c r="B1668" s="81" t="n"/>
      <c r="C1668" s="81" t="n"/>
      <c r="D1668" s="81" t="n"/>
      <c r="E1668" s="81" t="n"/>
      <c r="F1668" s="81" t="n"/>
      <c r="G1668" s="81" t="n"/>
      <c r="H1668" s="81" t="n"/>
      <c r="I1668" s="81" t="n"/>
      <c r="J1668" s="81" t="n"/>
      <c r="K1668" s="81" t="n"/>
      <c r="L1668" s="81" t="n"/>
      <c r="M1668" s="81" t="n"/>
      <c r="N1668" s="81" t="n"/>
      <c r="O1668" s="81" t="n"/>
      <c r="P1668" s="81" t="n"/>
      <c r="Q1668" s="81" t="n"/>
      <c r="R1668" s="81" t="n"/>
      <c r="S1668" s="81" t="n"/>
      <c r="T1668" s="81" t="n"/>
      <c r="U1668" s="81" t="n"/>
      <c r="V1668" s="81" t="n"/>
      <c r="W1668" s="81" t="n"/>
      <c r="X1668" s="81" t="n"/>
      <c r="Y1668" s="81" t="n"/>
      <c r="Z1668" s="81" t="n"/>
      <c r="AA1668" s="81" t="n"/>
      <c r="AB1668" s="81" t="n"/>
      <c r="AC1668" s="81" t="n"/>
      <c r="AD1668" s="81" t="n"/>
      <c r="AE1668" s="81" t="n"/>
      <c r="AF1668" s="81" t="n"/>
      <c r="AG1668" s="81" t="n"/>
      <c r="AH1668" s="81" t="n"/>
      <c r="AI1668" s="81" t="n"/>
      <c r="AJ1668" s="81" t="n"/>
      <c r="AK1668" s="81" t="n"/>
      <c r="AL1668" s="81" t="n"/>
      <c r="AM1668" s="81" t="n"/>
      <c r="AN1668" s="81" t="n"/>
      <c r="AO1668" s="81" t="n"/>
      <c r="AP1668" s="81" t="n"/>
      <c r="AQ1668" s="81" t="n"/>
      <c r="AR1668" s="81" t="n"/>
      <c r="AS1668" s="81" t="n"/>
      <c r="AT1668" s="81" t="n"/>
      <c r="AU1668" s="81" t="n"/>
      <c r="AV1668" s="81" t="n"/>
      <c r="AW1668" s="81" t="n"/>
      <c r="AX1668" s="81" t="n"/>
      <c r="AY1668" s="81" t="n"/>
      <c r="AZ1668" s="81" t="n"/>
      <c r="BA1668" s="81" t="n"/>
      <c r="BB1668" s="81" t="n"/>
      <c r="BC1668" s="81" t="n"/>
      <c r="BD1668" s="81" t="n"/>
      <c r="BE1668" s="81" t="n"/>
      <c r="BF1668" s="81" t="n"/>
      <c r="BG1668" s="81" t="n"/>
      <c r="BH1668" s="81" t="n"/>
      <c r="BI1668" s="81" t="n"/>
      <c r="BJ1668" s="81" t="n"/>
      <c r="BK1668" s="81" t="n"/>
      <c r="BL1668" s="81" t="n"/>
      <c r="BM1668" s="81" t="n"/>
      <c r="BN1668" s="81" t="n"/>
      <c r="BO1668" s="81" t="n"/>
      <c r="BP1668" s="81" t="n"/>
      <c r="BQ1668" s="81" t="n"/>
      <c r="BR1668" s="81" t="n"/>
      <c r="BS1668" s="81" t="n"/>
      <c r="BT1668" s="81" t="n"/>
      <c r="BU1668" s="81" t="n"/>
      <c r="BV1668" s="81" t="n"/>
      <c r="BW1668" s="81" t="n"/>
      <c r="BX1668" s="81" t="n"/>
      <c r="BY1668" s="81" t="n"/>
      <c r="BZ1668" s="81" t="n"/>
      <c r="CA1668" s="81" t="n"/>
      <c r="CB1668" s="81" t="n"/>
      <c r="CC1668" s="81" t="n"/>
      <c r="CD1668" s="81" t="n"/>
      <c r="CE1668" s="81" t="n"/>
      <c r="CF1668" s="81" t="n"/>
      <c r="CG1668" s="81" t="n"/>
      <c r="CH1668" s="81" t="n"/>
    </row>
    <row r="1669">
      <c r="A1669" s="81" t="n"/>
      <c r="B1669" s="81" t="n"/>
      <c r="C1669" s="81" t="n"/>
      <c r="D1669" s="81" t="n"/>
      <c r="E1669" s="81" t="n"/>
      <c r="F1669" s="81" t="n"/>
      <c r="G1669" s="81" t="n"/>
      <c r="H1669" s="81" t="n"/>
      <c r="I1669" s="81" t="n"/>
      <c r="J1669" s="81" t="n"/>
      <c r="K1669" s="81" t="n"/>
      <c r="L1669" s="81" t="n"/>
      <c r="M1669" s="81" t="n"/>
      <c r="N1669" s="81" t="n"/>
      <c r="O1669" s="81" t="n"/>
      <c r="P1669" s="81" t="n"/>
      <c r="Q1669" s="81" t="n"/>
      <c r="R1669" s="81" t="n"/>
      <c r="S1669" s="81" t="n"/>
      <c r="T1669" s="81" t="n"/>
      <c r="U1669" s="81" t="n"/>
      <c r="V1669" s="81" t="n"/>
      <c r="W1669" s="81" t="n"/>
      <c r="X1669" s="81" t="n"/>
      <c r="Y1669" s="81" t="n"/>
      <c r="Z1669" s="81" t="n"/>
      <c r="AA1669" s="81" t="n"/>
      <c r="AB1669" s="81" t="n"/>
      <c r="AC1669" s="81" t="n"/>
      <c r="AD1669" s="81" t="n"/>
      <c r="AE1669" s="81" t="n"/>
      <c r="AF1669" s="81" t="n"/>
      <c r="AG1669" s="81" t="n"/>
      <c r="AH1669" s="81" t="n"/>
      <c r="AI1669" s="81" t="n"/>
      <c r="AJ1669" s="81" t="n"/>
      <c r="AK1669" s="81" t="n"/>
      <c r="AL1669" s="81" t="n"/>
      <c r="AM1669" s="81" t="n"/>
      <c r="AN1669" s="81" t="n"/>
      <c r="AO1669" s="81" t="n"/>
      <c r="AP1669" s="81" t="n"/>
      <c r="AQ1669" s="81" t="n"/>
      <c r="AR1669" s="81" t="n"/>
      <c r="AS1669" s="81" t="n"/>
      <c r="AT1669" s="81" t="n"/>
      <c r="AU1669" s="81" t="n"/>
      <c r="AV1669" s="81" t="n"/>
      <c r="AW1669" s="81" t="n"/>
      <c r="AX1669" s="81" t="n"/>
      <c r="AY1669" s="81" t="n"/>
      <c r="AZ1669" s="81" t="n"/>
      <c r="BA1669" s="81" t="n"/>
      <c r="BB1669" s="81" t="n"/>
      <c r="BC1669" s="81" t="n"/>
      <c r="BD1669" s="81" t="n"/>
      <c r="BE1669" s="81" t="n"/>
      <c r="BF1669" s="81" t="n"/>
      <c r="BG1669" s="81" t="n"/>
      <c r="BH1669" s="81" t="n"/>
      <c r="BI1669" s="81" t="n"/>
      <c r="BJ1669" s="81" t="n"/>
      <c r="BK1669" s="81" t="n"/>
      <c r="BL1669" s="81" t="n"/>
      <c r="BM1669" s="81" t="n"/>
      <c r="BN1669" s="81" t="n"/>
      <c r="BO1669" s="81" t="n"/>
      <c r="BP1669" s="81" t="n"/>
      <c r="BQ1669" s="81" t="n"/>
      <c r="BR1669" s="81" t="n"/>
      <c r="BS1669" s="81" t="n"/>
      <c r="BT1669" s="81" t="n"/>
      <c r="BU1669" s="81" t="n"/>
      <c r="BV1669" s="81" t="n"/>
      <c r="BW1669" s="81" t="n"/>
      <c r="BX1669" s="81" t="n"/>
      <c r="BY1669" s="81" t="n"/>
      <c r="BZ1669" s="81" t="n"/>
      <c r="CA1669" s="81" t="n"/>
      <c r="CB1669" s="81" t="n"/>
      <c r="CC1669" s="81" t="n"/>
      <c r="CD1669" s="81" t="n"/>
      <c r="CE1669" s="81" t="n"/>
      <c r="CF1669" s="81" t="n"/>
      <c r="CG1669" s="81" t="n"/>
      <c r="CH1669" s="81" t="n"/>
    </row>
    <row r="1670">
      <c r="A1670" s="81" t="n"/>
      <c r="B1670" s="81" t="n"/>
      <c r="C1670" s="81" t="n"/>
      <c r="D1670" s="81" t="n"/>
      <c r="E1670" s="81" t="n"/>
      <c r="F1670" s="81" t="n"/>
      <c r="G1670" s="81" t="n"/>
      <c r="H1670" s="81" t="n"/>
      <c r="I1670" s="81" t="n"/>
      <c r="J1670" s="81" t="n"/>
      <c r="K1670" s="81" t="n"/>
      <c r="L1670" s="81" t="n"/>
      <c r="M1670" s="81" t="n"/>
      <c r="N1670" s="81" t="n"/>
      <c r="O1670" s="81" t="n"/>
      <c r="P1670" s="81" t="n"/>
      <c r="Q1670" s="81" t="n"/>
      <c r="R1670" s="81" t="n"/>
      <c r="S1670" s="81" t="n"/>
      <c r="T1670" s="81" t="n"/>
      <c r="U1670" s="81" t="n"/>
      <c r="V1670" s="81" t="n"/>
      <c r="W1670" s="81" t="n"/>
      <c r="X1670" s="81" t="n"/>
      <c r="Y1670" s="81" t="n"/>
      <c r="Z1670" s="81" t="n"/>
      <c r="AA1670" s="81" t="n"/>
      <c r="AB1670" s="81" t="n"/>
      <c r="AC1670" s="81" t="n"/>
      <c r="AD1670" s="81" t="n"/>
      <c r="AE1670" s="81" t="n"/>
      <c r="AF1670" s="81" t="n"/>
      <c r="AG1670" s="81" t="n"/>
      <c r="AH1670" s="81" t="n"/>
      <c r="AI1670" s="81" t="n"/>
      <c r="AJ1670" s="81" t="n"/>
      <c r="AK1670" s="81" t="n"/>
      <c r="AL1670" s="81" t="n"/>
      <c r="AM1670" s="81" t="n"/>
      <c r="AN1670" s="81" t="n"/>
      <c r="AO1670" s="81" t="n"/>
      <c r="AP1670" s="81" t="n"/>
      <c r="AQ1670" s="81" t="n"/>
      <c r="AR1670" s="81" t="n"/>
      <c r="AS1670" s="81" t="n"/>
      <c r="AT1670" s="81" t="n"/>
      <c r="AU1670" s="81" t="n"/>
      <c r="AV1670" s="81" t="n"/>
      <c r="AW1670" s="81" t="n"/>
      <c r="AX1670" s="81" t="n"/>
      <c r="AY1670" s="81" t="n"/>
      <c r="AZ1670" s="81" t="n"/>
      <c r="BA1670" s="81" t="n"/>
      <c r="BB1670" s="81" t="n"/>
      <c r="BC1670" s="81" t="n"/>
      <c r="BD1670" s="81" t="n"/>
      <c r="BE1670" s="81" t="n"/>
      <c r="BF1670" s="81" t="n"/>
      <c r="BG1670" s="81" t="n"/>
      <c r="BH1670" s="81" t="n"/>
      <c r="BI1670" s="81" t="n"/>
      <c r="BJ1670" s="81" t="n"/>
      <c r="BK1670" s="81" t="n"/>
      <c r="BL1670" s="81" t="n"/>
      <c r="BM1670" s="81" t="n"/>
      <c r="BN1670" s="81" t="n"/>
      <c r="BO1670" s="81" t="n"/>
      <c r="BP1670" s="81" t="n"/>
      <c r="BQ1670" s="81" t="n"/>
      <c r="BR1670" s="81" t="n"/>
      <c r="BS1670" s="81" t="n"/>
      <c r="BT1670" s="81" t="n"/>
      <c r="BU1670" s="81" t="n"/>
      <c r="BV1670" s="81" t="n"/>
      <c r="BW1670" s="81" t="n"/>
      <c r="BX1670" s="81" t="n"/>
      <c r="BY1670" s="81" t="n"/>
      <c r="BZ1670" s="81" t="n"/>
      <c r="CA1670" s="81" t="n"/>
      <c r="CB1670" s="81" t="n"/>
      <c r="CC1670" s="81" t="n"/>
      <c r="CD1670" s="81" t="n"/>
      <c r="CE1670" s="81" t="n"/>
      <c r="CF1670" s="81" t="n"/>
      <c r="CG1670" s="81" t="n"/>
      <c r="CH1670" s="81" t="n"/>
    </row>
    <row r="1671">
      <c r="A1671" s="81" t="n"/>
      <c r="B1671" s="81" t="n"/>
      <c r="C1671" s="81" t="n"/>
      <c r="D1671" s="81" t="n"/>
      <c r="E1671" s="81" t="n"/>
      <c r="F1671" s="81" t="n"/>
      <c r="G1671" s="81" t="n"/>
      <c r="H1671" s="81" t="n"/>
      <c r="I1671" s="81" t="n"/>
      <c r="J1671" s="81" t="n"/>
      <c r="K1671" s="81" t="n"/>
      <c r="L1671" s="81" t="n"/>
      <c r="M1671" s="81" t="n"/>
      <c r="N1671" s="81" t="n"/>
      <c r="O1671" s="81" t="n"/>
      <c r="P1671" s="81" t="n"/>
      <c r="Q1671" s="81" t="n"/>
      <c r="R1671" s="81" t="n"/>
      <c r="S1671" s="81" t="n"/>
      <c r="T1671" s="81" t="n"/>
      <c r="U1671" s="81" t="n"/>
      <c r="V1671" s="81" t="n"/>
      <c r="W1671" s="81" t="n"/>
      <c r="X1671" s="81" t="n"/>
      <c r="Y1671" s="81" t="n"/>
      <c r="Z1671" s="81" t="n"/>
      <c r="AA1671" s="81" t="n"/>
      <c r="AB1671" s="81" t="n"/>
      <c r="AC1671" s="81" t="n"/>
      <c r="AD1671" s="81" t="n"/>
      <c r="AE1671" s="81" t="n"/>
      <c r="AF1671" s="81" t="n"/>
      <c r="AG1671" s="81" t="n"/>
      <c r="AH1671" s="81" t="n"/>
      <c r="AI1671" s="81" t="n"/>
      <c r="AJ1671" s="81" t="n"/>
      <c r="AK1671" s="81" t="n"/>
      <c r="AL1671" s="81" t="n"/>
      <c r="AM1671" s="81" t="n"/>
      <c r="AN1671" s="81" t="n"/>
      <c r="AO1671" s="81" t="n"/>
      <c r="AP1671" s="81" t="n"/>
      <c r="AQ1671" s="81" t="n"/>
      <c r="AR1671" s="81" t="n"/>
      <c r="AS1671" s="81" t="n"/>
      <c r="AT1671" s="81" t="n"/>
      <c r="AU1671" s="81" t="n"/>
      <c r="AV1671" s="81" t="n"/>
      <c r="AW1671" s="81" t="n"/>
      <c r="AX1671" s="81" t="n"/>
      <c r="AY1671" s="81" t="n"/>
      <c r="AZ1671" s="81" t="n"/>
      <c r="BA1671" s="81" t="n"/>
      <c r="BB1671" s="81" t="n"/>
      <c r="BC1671" s="81" t="n"/>
      <c r="BD1671" s="81" t="n"/>
      <c r="BE1671" s="81" t="n"/>
      <c r="BF1671" s="81" t="n"/>
      <c r="BG1671" s="81" t="n"/>
      <c r="BH1671" s="81" t="n"/>
      <c r="BI1671" s="81" t="n"/>
      <c r="BJ1671" s="81" t="n"/>
      <c r="BK1671" s="81" t="n"/>
      <c r="BL1671" s="81" t="n"/>
      <c r="BM1671" s="81" t="n"/>
      <c r="BN1671" s="81" t="n"/>
      <c r="BO1671" s="81" t="n"/>
      <c r="BP1671" s="81" t="n"/>
      <c r="BQ1671" s="81" t="n"/>
      <c r="BR1671" s="81" t="n"/>
      <c r="BS1671" s="81" t="n"/>
      <c r="BT1671" s="81" t="n"/>
      <c r="BU1671" s="81" t="n"/>
      <c r="BV1671" s="81" t="n"/>
      <c r="BW1671" s="81" t="n"/>
      <c r="BX1671" s="81" t="n"/>
      <c r="BY1671" s="81" t="n"/>
      <c r="BZ1671" s="81" t="n"/>
      <c r="CA1671" s="81" t="n"/>
      <c r="CB1671" s="81" t="n"/>
      <c r="CC1671" s="81" t="n"/>
      <c r="CD1671" s="81" t="n"/>
      <c r="CE1671" s="81" t="n"/>
      <c r="CF1671" s="81" t="n"/>
      <c r="CG1671" s="81" t="n"/>
      <c r="CH1671" s="81" t="n"/>
    </row>
    <row r="1672">
      <c r="A1672" s="81" t="n"/>
      <c r="B1672" s="81" t="n"/>
      <c r="C1672" s="81" t="n"/>
      <c r="D1672" s="81" t="n"/>
      <c r="E1672" s="81" t="n"/>
      <c r="F1672" s="81" t="n"/>
      <c r="G1672" s="81" t="n"/>
      <c r="H1672" s="81" t="n"/>
      <c r="I1672" s="81" t="n"/>
      <c r="J1672" s="81" t="n"/>
      <c r="K1672" s="81" t="n"/>
      <c r="L1672" s="81" t="n"/>
      <c r="M1672" s="81" t="n"/>
      <c r="N1672" s="81" t="n"/>
      <c r="O1672" s="81" t="n"/>
      <c r="P1672" s="81" t="n"/>
      <c r="Q1672" s="81" t="n"/>
      <c r="R1672" s="81" t="n"/>
      <c r="S1672" s="81" t="n"/>
      <c r="T1672" s="81" t="n"/>
      <c r="U1672" s="81" t="n"/>
      <c r="V1672" s="81" t="n"/>
      <c r="W1672" s="81" t="n"/>
      <c r="X1672" s="81" t="n"/>
      <c r="Y1672" s="81" t="n"/>
      <c r="Z1672" s="81" t="n"/>
      <c r="AA1672" s="81" t="n"/>
      <c r="AB1672" s="81" t="n"/>
      <c r="AC1672" s="81" t="n"/>
      <c r="AD1672" s="81" t="n"/>
      <c r="AE1672" s="81" t="n"/>
      <c r="AF1672" s="81" t="n"/>
      <c r="AG1672" s="81" t="n"/>
      <c r="AH1672" s="81" t="n"/>
      <c r="AI1672" s="81" t="n"/>
      <c r="AJ1672" s="81" t="n"/>
      <c r="AK1672" s="81" t="n"/>
      <c r="AL1672" s="81" t="n"/>
      <c r="AM1672" s="81" t="n"/>
      <c r="AN1672" s="81" t="n"/>
      <c r="AO1672" s="81" t="n"/>
      <c r="AP1672" s="81" t="n"/>
      <c r="AQ1672" s="81" t="n"/>
      <c r="AR1672" s="81" t="n"/>
      <c r="AS1672" s="81" t="n"/>
      <c r="AT1672" s="81" t="n"/>
      <c r="AU1672" s="81" t="n"/>
      <c r="AV1672" s="81" t="n"/>
      <c r="AW1672" s="81" t="n"/>
      <c r="AX1672" s="81" t="n"/>
      <c r="AY1672" s="81" t="n"/>
      <c r="AZ1672" s="81" t="n"/>
      <c r="BA1672" s="81" t="n"/>
      <c r="BB1672" s="81" t="n"/>
      <c r="BC1672" s="81" t="n"/>
      <c r="BD1672" s="81" t="n"/>
      <c r="BE1672" s="81" t="n"/>
      <c r="BF1672" s="81" t="n"/>
      <c r="BG1672" s="81" t="n"/>
      <c r="BH1672" s="81" t="n"/>
      <c r="BI1672" s="81" t="n"/>
      <c r="BJ1672" s="81" t="n"/>
      <c r="BK1672" s="81" t="n"/>
      <c r="BL1672" s="81" t="n"/>
      <c r="BM1672" s="81" t="n"/>
      <c r="BN1672" s="81" t="n"/>
      <c r="BO1672" s="81" t="n"/>
      <c r="BP1672" s="81" t="n"/>
      <c r="BQ1672" s="81" t="n"/>
      <c r="BR1672" s="81" t="n"/>
      <c r="BS1672" s="81" t="n"/>
      <c r="BT1672" s="81" t="n"/>
      <c r="BU1672" s="81" t="n"/>
      <c r="BV1672" s="81" t="n"/>
      <c r="BW1672" s="81" t="n"/>
      <c r="BX1672" s="81" t="n"/>
      <c r="BY1672" s="81" t="n"/>
      <c r="BZ1672" s="81" t="n"/>
      <c r="CA1672" s="81" t="n"/>
      <c r="CB1672" s="81" t="n"/>
      <c r="CC1672" s="81" t="n"/>
      <c r="CD1672" s="81" t="n"/>
      <c r="CE1672" s="81" t="n"/>
      <c r="CF1672" s="81" t="n"/>
      <c r="CG1672" s="81" t="n"/>
      <c r="CH1672" s="81" t="n"/>
    </row>
    <row r="1673">
      <c r="A1673" s="81" t="n"/>
      <c r="B1673" s="81" t="n"/>
      <c r="C1673" s="81" t="n"/>
      <c r="D1673" s="81" t="n"/>
      <c r="E1673" s="81" t="n"/>
      <c r="F1673" s="81" t="n"/>
      <c r="G1673" s="81" t="n"/>
      <c r="H1673" s="81" t="n"/>
      <c r="I1673" s="81" t="n"/>
      <c r="J1673" s="81" t="n"/>
      <c r="K1673" s="81" t="n"/>
      <c r="L1673" s="81" t="n"/>
      <c r="M1673" s="81" t="n"/>
      <c r="N1673" s="81" t="n"/>
      <c r="O1673" s="81" t="n"/>
      <c r="P1673" s="81" t="n"/>
      <c r="Q1673" s="81" t="n"/>
      <c r="R1673" s="81" t="n"/>
      <c r="S1673" s="81" t="n"/>
      <c r="T1673" s="81" t="n"/>
      <c r="U1673" s="81" t="n"/>
      <c r="V1673" s="81" t="n"/>
      <c r="W1673" s="81" t="n"/>
      <c r="X1673" s="81" t="n"/>
      <c r="Y1673" s="81" t="n"/>
      <c r="Z1673" s="81" t="n"/>
      <c r="AA1673" s="81" t="n"/>
      <c r="AB1673" s="81" t="n"/>
      <c r="AC1673" s="81" t="n"/>
      <c r="AD1673" s="81" t="n"/>
      <c r="AE1673" s="81" t="n"/>
      <c r="AF1673" s="81" t="n"/>
      <c r="AG1673" s="81" t="n"/>
      <c r="AH1673" s="81" t="n"/>
      <c r="AI1673" s="81" t="n"/>
      <c r="AJ1673" s="81" t="n"/>
      <c r="AK1673" s="81" t="n"/>
      <c r="AL1673" s="81" t="n"/>
      <c r="AM1673" s="81" t="n"/>
      <c r="AN1673" s="81" t="n"/>
      <c r="AO1673" s="81" t="n"/>
      <c r="AP1673" s="81" t="n"/>
      <c r="AQ1673" s="81" t="n"/>
      <c r="AR1673" s="81" t="n"/>
      <c r="AS1673" s="81" t="n"/>
      <c r="AT1673" s="81" t="n"/>
      <c r="AU1673" s="81" t="n"/>
      <c r="AV1673" s="81" t="n"/>
      <c r="AW1673" s="81" t="n"/>
      <c r="AX1673" s="81" t="n"/>
      <c r="AY1673" s="81" t="n"/>
      <c r="AZ1673" s="81" t="n"/>
      <c r="BA1673" s="81" t="n"/>
      <c r="BB1673" s="81" t="n"/>
      <c r="BC1673" s="81" t="n"/>
      <c r="BD1673" s="81" t="n"/>
      <c r="BE1673" s="81" t="n"/>
      <c r="BF1673" s="81" t="n"/>
      <c r="BG1673" s="81" t="n"/>
      <c r="BH1673" s="81" t="n"/>
      <c r="BI1673" s="81" t="n"/>
      <c r="BJ1673" s="81" t="n"/>
      <c r="BK1673" s="81" t="n"/>
      <c r="BL1673" s="81" t="n"/>
      <c r="BM1673" s="81" t="n"/>
      <c r="BN1673" s="81" t="n"/>
      <c r="BO1673" s="81" t="n"/>
      <c r="BP1673" s="81" t="n"/>
      <c r="BQ1673" s="81" t="n"/>
      <c r="BR1673" s="81" t="n"/>
      <c r="BS1673" s="81" t="n"/>
      <c r="BT1673" s="81" t="n"/>
      <c r="BU1673" s="81" t="n"/>
      <c r="BV1673" s="81" t="n"/>
      <c r="BW1673" s="81" t="n"/>
      <c r="BX1673" s="81" t="n"/>
      <c r="BY1673" s="81" t="n"/>
      <c r="BZ1673" s="81" t="n"/>
      <c r="CA1673" s="81" t="n"/>
      <c r="CB1673" s="81" t="n"/>
      <c r="CC1673" s="81" t="n"/>
      <c r="CD1673" s="81" t="n"/>
      <c r="CE1673" s="81" t="n"/>
      <c r="CF1673" s="81" t="n"/>
      <c r="CG1673" s="81" t="n"/>
      <c r="CH1673" s="81" t="n"/>
    </row>
    <row r="1674">
      <c r="A1674" s="81" t="n"/>
      <c r="B1674" s="81" t="n"/>
      <c r="C1674" s="81" t="n"/>
      <c r="D1674" s="81" t="n"/>
      <c r="E1674" s="81" t="n"/>
      <c r="F1674" s="81" t="n"/>
      <c r="G1674" s="81" t="n"/>
      <c r="H1674" s="81" t="n"/>
      <c r="I1674" s="81" t="n"/>
      <c r="J1674" s="81" t="n"/>
      <c r="K1674" s="81" t="n"/>
      <c r="L1674" s="81" t="n"/>
      <c r="M1674" s="81" t="n"/>
      <c r="N1674" s="81" t="n"/>
      <c r="O1674" s="81" t="n"/>
      <c r="P1674" s="81" t="n"/>
      <c r="Q1674" s="81" t="n"/>
      <c r="R1674" s="81" t="n"/>
      <c r="S1674" s="81" t="n"/>
      <c r="T1674" s="81" t="n"/>
      <c r="U1674" s="81" t="n"/>
      <c r="V1674" s="81" t="n"/>
      <c r="W1674" s="81" t="n"/>
      <c r="X1674" s="81" t="n"/>
      <c r="Y1674" s="81" t="n"/>
      <c r="Z1674" s="81" t="n"/>
      <c r="AA1674" s="81" t="n"/>
      <c r="AB1674" s="81" t="n"/>
      <c r="AC1674" s="81" t="n"/>
      <c r="AD1674" s="81" t="n"/>
      <c r="AE1674" s="81" t="n"/>
      <c r="AF1674" s="81" t="n"/>
      <c r="AG1674" s="81" t="n"/>
      <c r="AH1674" s="81" t="n"/>
      <c r="AI1674" s="81" t="n"/>
      <c r="AJ1674" s="81" t="n"/>
      <c r="AK1674" s="81" t="n"/>
      <c r="AL1674" s="81" t="n"/>
      <c r="AM1674" s="81" t="n"/>
      <c r="AN1674" s="81" t="n"/>
      <c r="AO1674" s="81" t="n"/>
      <c r="AP1674" s="81" t="n"/>
      <c r="AQ1674" s="81" t="n"/>
      <c r="AR1674" s="81" t="n"/>
      <c r="AS1674" s="81" t="n"/>
      <c r="AT1674" s="81" t="n"/>
      <c r="AU1674" s="81" t="n"/>
      <c r="AV1674" s="81" t="n"/>
      <c r="AW1674" s="81" t="n"/>
      <c r="AX1674" s="81" t="n"/>
      <c r="AY1674" s="81" t="n"/>
      <c r="AZ1674" s="81" t="n"/>
      <c r="BA1674" s="81" t="n"/>
      <c r="BB1674" s="81" t="n"/>
      <c r="BC1674" s="81" t="n"/>
      <c r="BD1674" s="81" t="n"/>
      <c r="BE1674" s="81" t="n"/>
      <c r="BF1674" s="81" t="n"/>
      <c r="BG1674" s="81" t="n"/>
      <c r="BH1674" s="81" t="n"/>
      <c r="BI1674" s="81" t="n"/>
      <c r="BJ1674" s="81" t="n"/>
      <c r="BK1674" s="81" t="n"/>
      <c r="BL1674" s="81" t="n"/>
      <c r="BM1674" s="81" t="n"/>
      <c r="BN1674" s="81" t="n"/>
      <c r="BO1674" s="81" t="n"/>
      <c r="BP1674" s="81" t="n"/>
      <c r="BQ1674" s="81" t="n"/>
      <c r="BR1674" s="81" t="n"/>
      <c r="BS1674" s="81" t="n"/>
      <c r="BT1674" s="81" t="n"/>
      <c r="BU1674" s="81" t="n"/>
      <c r="BV1674" s="81" t="n"/>
      <c r="BW1674" s="81" t="n"/>
      <c r="BX1674" s="81" t="n"/>
      <c r="BY1674" s="81" t="n"/>
      <c r="BZ1674" s="81" t="n"/>
      <c r="CA1674" s="81" t="n"/>
      <c r="CB1674" s="81" t="n"/>
      <c r="CC1674" s="81" t="n"/>
      <c r="CD1674" s="81" t="n"/>
      <c r="CE1674" s="81" t="n"/>
      <c r="CF1674" s="81" t="n"/>
      <c r="CG1674" s="81" t="n"/>
      <c r="CH1674" s="81" t="n"/>
    </row>
    <row r="1675">
      <c r="A1675" s="81" t="n"/>
      <c r="B1675" s="81" t="n"/>
      <c r="C1675" s="81" t="n"/>
      <c r="D1675" s="81" t="n"/>
      <c r="E1675" s="81" t="n"/>
      <c r="F1675" s="81" t="n"/>
      <c r="G1675" s="81" t="n"/>
      <c r="H1675" s="81" t="n"/>
      <c r="I1675" s="81" t="n"/>
      <c r="J1675" s="81" t="n"/>
      <c r="K1675" s="81" t="n"/>
      <c r="L1675" s="81" t="n"/>
      <c r="M1675" s="81" t="n"/>
      <c r="N1675" s="81" t="n"/>
      <c r="O1675" s="81" t="n"/>
      <c r="P1675" s="81" t="n"/>
      <c r="Q1675" s="81" t="n"/>
      <c r="R1675" s="81" t="n"/>
      <c r="S1675" s="81" t="n"/>
      <c r="T1675" s="81" t="n"/>
      <c r="U1675" s="81" t="n"/>
      <c r="V1675" s="81" t="n"/>
      <c r="W1675" s="81" t="n"/>
      <c r="X1675" s="81" t="n"/>
      <c r="Y1675" s="81" t="n"/>
      <c r="Z1675" s="81" t="n"/>
      <c r="AA1675" s="81" t="n"/>
      <c r="AB1675" s="81" t="n"/>
      <c r="AC1675" s="81" t="n"/>
      <c r="AD1675" s="81" t="n"/>
      <c r="AE1675" s="81" t="n"/>
      <c r="AF1675" s="81" t="n"/>
      <c r="AG1675" s="81" t="n"/>
      <c r="AH1675" s="81" t="n"/>
      <c r="AI1675" s="81" t="n"/>
      <c r="AJ1675" s="81" t="n"/>
      <c r="AK1675" s="81" t="n"/>
      <c r="AL1675" s="81" t="n"/>
      <c r="AM1675" s="81" t="n"/>
      <c r="AN1675" s="81" t="n"/>
      <c r="AO1675" s="81" t="n"/>
      <c r="AP1675" s="81" t="n"/>
      <c r="AQ1675" s="81" t="n"/>
      <c r="AR1675" s="81" t="n"/>
      <c r="AS1675" s="81" t="n"/>
      <c r="AT1675" s="81" t="n"/>
      <c r="AU1675" s="81" t="n"/>
      <c r="AV1675" s="81" t="n"/>
      <c r="AW1675" s="81" t="n"/>
      <c r="AX1675" s="81" t="n"/>
      <c r="AY1675" s="81" t="n"/>
      <c r="AZ1675" s="81" t="n"/>
      <c r="BA1675" s="81" t="n"/>
      <c r="BB1675" s="81" t="n"/>
      <c r="BC1675" s="81" t="n"/>
      <c r="BD1675" s="81" t="n"/>
      <c r="BE1675" s="81" t="n"/>
      <c r="BF1675" s="81" t="n"/>
      <c r="BG1675" s="81" t="n"/>
      <c r="BH1675" s="81" t="n"/>
      <c r="BI1675" s="81" t="n"/>
      <c r="BJ1675" s="81" t="n"/>
      <c r="BK1675" s="81" t="n"/>
      <c r="BL1675" s="81" t="n"/>
      <c r="BM1675" s="81" t="n"/>
      <c r="BN1675" s="81" t="n"/>
      <c r="BO1675" s="81" t="n"/>
      <c r="BP1675" s="81" t="n"/>
      <c r="BQ1675" s="81" t="n"/>
      <c r="BR1675" s="81" t="n"/>
      <c r="BS1675" s="81" t="n"/>
      <c r="BT1675" s="81" t="n"/>
      <c r="BU1675" s="81" t="n"/>
      <c r="BV1675" s="81" t="n"/>
      <c r="BW1675" s="81" t="n"/>
      <c r="BX1675" s="81" t="n"/>
      <c r="BY1675" s="81" t="n"/>
      <c r="BZ1675" s="81" t="n"/>
      <c r="CA1675" s="81" t="n"/>
      <c r="CB1675" s="81" t="n"/>
      <c r="CC1675" s="81" t="n"/>
      <c r="CD1675" s="81" t="n"/>
      <c r="CE1675" s="81" t="n"/>
      <c r="CF1675" s="81" t="n"/>
      <c r="CG1675" s="81" t="n"/>
      <c r="CH1675" s="81" t="n"/>
    </row>
    <row r="1676">
      <c r="A1676" s="81" t="n"/>
      <c r="B1676" s="81" t="n"/>
      <c r="C1676" s="81" t="n"/>
      <c r="D1676" s="81" t="n"/>
      <c r="E1676" s="81" t="n"/>
      <c r="F1676" s="81" t="n"/>
      <c r="G1676" s="81" t="n"/>
      <c r="H1676" s="81" t="n"/>
      <c r="I1676" s="81" t="n"/>
      <c r="J1676" s="81" t="n"/>
      <c r="K1676" s="81" t="n"/>
      <c r="L1676" s="81" t="n"/>
      <c r="M1676" s="81" t="n"/>
      <c r="N1676" s="81" t="n"/>
      <c r="O1676" s="81" t="n"/>
      <c r="P1676" s="81" t="n"/>
      <c r="Q1676" s="81" t="n"/>
      <c r="R1676" s="81" t="n"/>
      <c r="S1676" s="81" t="n"/>
      <c r="T1676" s="81" t="n"/>
      <c r="U1676" s="81" t="n"/>
      <c r="V1676" s="81" t="n"/>
      <c r="W1676" s="81" t="n"/>
      <c r="X1676" s="81" t="n"/>
      <c r="Y1676" s="81" t="n"/>
      <c r="Z1676" s="81" t="n"/>
      <c r="AA1676" s="81" t="n"/>
      <c r="AB1676" s="81" t="n"/>
      <c r="AC1676" s="81" t="n"/>
      <c r="AD1676" s="81" t="n"/>
      <c r="AE1676" s="81" t="n"/>
      <c r="AF1676" s="81" t="n"/>
      <c r="AG1676" s="81" t="n"/>
      <c r="AH1676" s="81" t="n"/>
      <c r="AI1676" s="81" t="n"/>
      <c r="AJ1676" s="81" t="n"/>
      <c r="AK1676" s="81" t="n"/>
      <c r="AL1676" s="81" t="n"/>
      <c r="AM1676" s="81" t="n"/>
      <c r="AN1676" s="81" t="n"/>
      <c r="AO1676" s="81" t="n"/>
      <c r="AP1676" s="81" t="n"/>
      <c r="AQ1676" s="81" t="n"/>
      <c r="AR1676" s="81" t="n"/>
      <c r="AS1676" s="81" t="n"/>
      <c r="AT1676" s="81" t="n"/>
      <c r="AU1676" s="81" t="n"/>
      <c r="AV1676" s="81" t="n"/>
      <c r="AW1676" s="81" t="n"/>
      <c r="AX1676" s="81" t="n"/>
      <c r="AY1676" s="81" t="n"/>
      <c r="AZ1676" s="81" t="n"/>
      <c r="BA1676" s="81" t="n"/>
      <c r="BB1676" s="81" t="n"/>
      <c r="BC1676" s="81" t="n"/>
      <c r="BD1676" s="81" t="n"/>
      <c r="BE1676" s="81" t="n"/>
      <c r="BF1676" s="81" t="n"/>
      <c r="BG1676" s="81" t="n"/>
      <c r="BH1676" s="81" t="n"/>
      <c r="BI1676" s="81" t="n"/>
      <c r="BJ1676" s="81" t="n"/>
      <c r="BK1676" s="81" t="n"/>
      <c r="BL1676" s="81" t="n"/>
      <c r="BM1676" s="81" t="n"/>
      <c r="BN1676" s="81" t="n"/>
      <c r="BO1676" s="81" t="n"/>
      <c r="BP1676" s="81" t="n"/>
      <c r="BQ1676" s="81" t="n"/>
      <c r="BR1676" s="81" t="n"/>
      <c r="BS1676" s="81" t="n"/>
      <c r="BT1676" s="81" t="n"/>
      <c r="BU1676" s="81" t="n"/>
      <c r="BV1676" s="81" t="n"/>
      <c r="BW1676" s="81" t="n"/>
      <c r="BX1676" s="81" t="n"/>
      <c r="BY1676" s="81" t="n"/>
      <c r="BZ1676" s="81" t="n"/>
      <c r="CA1676" s="81" t="n"/>
      <c r="CB1676" s="81" t="n"/>
      <c r="CC1676" s="81" t="n"/>
      <c r="CD1676" s="81" t="n"/>
      <c r="CE1676" s="81" t="n"/>
      <c r="CF1676" s="81" t="n"/>
      <c r="CG1676" s="81" t="n"/>
      <c r="CH1676" s="81" t="n"/>
    </row>
    <row r="1677">
      <c r="A1677" s="81" t="n"/>
      <c r="B1677" s="81" t="n"/>
      <c r="C1677" s="81" t="n"/>
      <c r="D1677" s="81" t="n"/>
      <c r="E1677" s="81" t="n"/>
      <c r="F1677" s="81" t="n"/>
      <c r="G1677" s="81" t="n"/>
      <c r="H1677" s="81" t="n"/>
      <c r="I1677" s="81" t="n"/>
      <c r="J1677" s="81" t="n"/>
      <c r="K1677" s="81" t="n"/>
      <c r="L1677" s="81" t="n"/>
      <c r="M1677" s="81" t="n"/>
      <c r="N1677" s="81" t="n"/>
      <c r="O1677" s="81" t="n"/>
      <c r="P1677" s="81" t="n"/>
      <c r="Q1677" s="81" t="n"/>
      <c r="R1677" s="81" t="n"/>
      <c r="S1677" s="81" t="n"/>
      <c r="T1677" s="81" t="n"/>
      <c r="U1677" s="81" t="n"/>
      <c r="V1677" s="81" t="n"/>
      <c r="W1677" s="81" t="n"/>
      <c r="X1677" s="81" t="n"/>
      <c r="Y1677" s="81" t="n"/>
      <c r="Z1677" s="81" t="n"/>
      <c r="AA1677" s="81" t="n"/>
      <c r="AB1677" s="81" t="n"/>
      <c r="AC1677" s="81" t="n"/>
      <c r="AD1677" s="81" t="n"/>
      <c r="AE1677" s="81" t="n"/>
      <c r="AF1677" s="81" t="n"/>
      <c r="AG1677" s="81" t="n"/>
      <c r="AH1677" s="81" t="n"/>
      <c r="AI1677" s="81" t="n"/>
      <c r="AJ1677" s="81" t="n"/>
      <c r="AK1677" s="81" t="n"/>
      <c r="AL1677" s="81" t="n"/>
      <c r="AM1677" s="81" t="n"/>
      <c r="AN1677" s="81" t="n"/>
      <c r="AO1677" s="81" t="n"/>
      <c r="AP1677" s="81" t="n"/>
      <c r="AQ1677" s="81" t="n"/>
      <c r="AR1677" s="81" t="n"/>
      <c r="AS1677" s="81" t="n"/>
      <c r="AT1677" s="81" t="n"/>
      <c r="AU1677" s="81" t="n"/>
      <c r="AV1677" s="81" t="n"/>
      <c r="AW1677" s="81" t="n"/>
      <c r="AX1677" s="81" t="n"/>
      <c r="AY1677" s="81" t="n"/>
      <c r="AZ1677" s="81" t="n"/>
      <c r="BA1677" s="81" t="n"/>
      <c r="BB1677" s="81" t="n"/>
      <c r="BC1677" s="81" t="n"/>
      <c r="BD1677" s="81" t="n"/>
      <c r="BE1677" s="81" t="n"/>
      <c r="BF1677" s="81" t="n"/>
      <c r="BG1677" s="81" t="n"/>
      <c r="BH1677" s="81" t="n"/>
      <c r="BI1677" s="81" t="n"/>
      <c r="BJ1677" s="81" t="n"/>
      <c r="BK1677" s="81" t="n"/>
      <c r="BL1677" s="81" t="n"/>
      <c r="BM1677" s="81" t="n"/>
      <c r="BN1677" s="81" t="n"/>
      <c r="BO1677" s="81" t="n"/>
      <c r="BP1677" s="81" t="n"/>
      <c r="BQ1677" s="81" t="n"/>
      <c r="BR1677" s="81" t="n"/>
      <c r="BS1677" s="81" t="n"/>
      <c r="BT1677" s="81" t="n"/>
      <c r="BU1677" s="81" t="n"/>
      <c r="BV1677" s="81" t="n"/>
      <c r="BW1677" s="81" t="n"/>
      <c r="BX1677" s="81" t="n"/>
      <c r="BY1677" s="81" t="n"/>
      <c r="BZ1677" s="81" t="n"/>
      <c r="CA1677" s="81" t="n"/>
      <c r="CB1677" s="81" t="n"/>
      <c r="CC1677" s="81" t="n"/>
      <c r="CD1677" s="81" t="n"/>
      <c r="CE1677" s="81" t="n"/>
      <c r="CF1677" s="81" t="n"/>
      <c r="CG1677" s="81" t="n"/>
      <c r="CH1677" s="81" t="n"/>
    </row>
    <row r="1678">
      <c r="A1678" s="81" t="n"/>
      <c r="B1678" s="81" t="n"/>
      <c r="C1678" s="81" t="n"/>
      <c r="D1678" s="81" t="n"/>
      <c r="E1678" s="81" t="n"/>
      <c r="F1678" s="81" t="n"/>
      <c r="G1678" s="81" t="n"/>
      <c r="H1678" s="81" t="n"/>
      <c r="I1678" s="81" t="n"/>
      <c r="J1678" s="81" t="n"/>
      <c r="K1678" s="81" t="n"/>
      <c r="L1678" s="81" t="n"/>
      <c r="M1678" s="81" t="n"/>
      <c r="N1678" s="81" t="n"/>
      <c r="O1678" s="81" t="n"/>
      <c r="P1678" s="81" t="n"/>
      <c r="Q1678" s="81" t="n"/>
      <c r="R1678" s="81" t="n"/>
      <c r="S1678" s="81" t="n"/>
      <c r="T1678" s="81" t="n"/>
      <c r="U1678" s="81" t="n"/>
      <c r="V1678" s="81" t="n"/>
      <c r="W1678" s="81" t="n"/>
      <c r="X1678" s="81" t="n"/>
      <c r="Y1678" s="81" t="n"/>
      <c r="Z1678" s="81" t="n"/>
      <c r="AA1678" s="81" t="n"/>
      <c r="AB1678" s="81" t="n"/>
      <c r="AC1678" s="81" t="n"/>
      <c r="AD1678" s="81" t="n"/>
      <c r="AE1678" s="81" t="n"/>
      <c r="AF1678" s="81" t="n"/>
      <c r="AG1678" s="81" t="n"/>
      <c r="AH1678" s="81" t="n"/>
      <c r="AI1678" s="81" t="n"/>
      <c r="AJ1678" s="81" t="n"/>
      <c r="AK1678" s="81" t="n"/>
      <c r="AL1678" s="81" t="n"/>
      <c r="AM1678" s="81" t="n"/>
      <c r="AN1678" s="81" t="n"/>
      <c r="AO1678" s="81" t="n"/>
      <c r="AP1678" s="81" t="n"/>
      <c r="AQ1678" s="81" t="n"/>
      <c r="AR1678" s="81" t="n"/>
      <c r="AS1678" s="81" t="n"/>
      <c r="AT1678" s="81" t="n"/>
      <c r="AU1678" s="81" t="n"/>
      <c r="AV1678" s="81" t="n"/>
      <c r="AW1678" s="81" t="n"/>
      <c r="AX1678" s="81" t="n"/>
      <c r="AY1678" s="81" t="n"/>
      <c r="AZ1678" s="81" t="n"/>
      <c r="BA1678" s="81" t="n"/>
      <c r="BB1678" s="81" t="n"/>
      <c r="BC1678" s="81" t="n"/>
      <c r="BD1678" s="81" t="n"/>
      <c r="BE1678" s="81" t="n"/>
      <c r="BF1678" s="81" t="n"/>
      <c r="BG1678" s="81" t="n"/>
      <c r="BH1678" s="81" t="n"/>
      <c r="BI1678" s="81" t="n"/>
      <c r="BJ1678" s="81" t="n"/>
      <c r="BK1678" s="81" t="n"/>
      <c r="BL1678" s="81" t="n"/>
      <c r="BM1678" s="81" t="n"/>
      <c r="BN1678" s="81" t="n"/>
      <c r="BO1678" s="81" t="n"/>
      <c r="BP1678" s="81" t="n"/>
      <c r="BQ1678" s="81" t="n"/>
      <c r="BR1678" s="81" t="n"/>
      <c r="BS1678" s="81" t="n"/>
      <c r="BT1678" s="81" t="n"/>
      <c r="BU1678" s="81" t="n"/>
      <c r="BV1678" s="81" t="n"/>
      <c r="BW1678" s="81" t="n"/>
      <c r="BX1678" s="81" t="n"/>
      <c r="BY1678" s="81" t="n"/>
      <c r="BZ1678" s="81" t="n"/>
      <c r="CA1678" s="81" t="n"/>
      <c r="CB1678" s="81" t="n"/>
      <c r="CC1678" s="81" t="n"/>
      <c r="CD1678" s="81" t="n"/>
      <c r="CE1678" s="81" t="n"/>
      <c r="CF1678" s="81" t="n"/>
      <c r="CG1678" s="81" t="n"/>
      <c r="CH1678" s="81" t="n"/>
    </row>
    <row r="1679">
      <c r="A1679" s="81" t="n"/>
      <c r="B1679" s="81" t="n"/>
      <c r="C1679" s="81" t="n"/>
      <c r="D1679" s="81" t="n"/>
      <c r="E1679" s="81" t="n"/>
      <c r="F1679" s="81" t="n"/>
      <c r="G1679" s="81" t="n"/>
      <c r="H1679" s="81" t="n"/>
      <c r="I1679" s="81" t="n"/>
      <c r="J1679" s="81" t="n"/>
      <c r="K1679" s="81" t="n"/>
      <c r="L1679" s="81" t="n"/>
      <c r="M1679" s="81" t="n"/>
      <c r="N1679" s="81" t="n"/>
      <c r="O1679" s="81" t="n"/>
      <c r="P1679" s="81" t="n"/>
      <c r="Q1679" s="81" t="n"/>
      <c r="R1679" s="81" t="n"/>
      <c r="S1679" s="81" t="n"/>
      <c r="T1679" s="81" t="n"/>
      <c r="U1679" s="81" t="n"/>
      <c r="V1679" s="81" t="n"/>
      <c r="W1679" s="81" t="n"/>
      <c r="X1679" s="81" t="n"/>
      <c r="Y1679" s="81" t="n"/>
      <c r="Z1679" s="81" t="n"/>
      <c r="AA1679" s="81" t="n"/>
      <c r="AB1679" s="81" t="n"/>
      <c r="AC1679" s="81" t="n"/>
      <c r="AD1679" s="81" t="n"/>
      <c r="AE1679" s="81" t="n"/>
      <c r="AF1679" s="81" t="n"/>
      <c r="AG1679" s="81" t="n"/>
      <c r="AH1679" s="81" t="n"/>
      <c r="AI1679" s="81" t="n"/>
      <c r="AJ1679" s="81" t="n"/>
      <c r="AK1679" s="81" t="n"/>
      <c r="AL1679" s="81" t="n"/>
      <c r="AM1679" s="81" t="n"/>
      <c r="AN1679" s="81" t="n"/>
      <c r="AO1679" s="81" t="n"/>
      <c r="AP1679" s="81" t="n"/>
      <c r="AQ1679" s="81" t="n"/>
      <c r="AR1679" s="81" t="n"/>
      <c r="AS1679" s="81" t="n"/>
      <c r="AT1679" s="81" t="n"/>
      <c r="AU1679" s="81" t="n"/>
      <c r="AV1679" s="81" t="n"/>
      <c r="AW1679" s="81" t="n"/>
      <c r="AX1679" s="81" t="n"/>
      <c r="AY1679" s="81" t="n"/>
      <c r="AZ1679" s="81" t="n"/>
      <c r="BA1679" s="81" t="n"/>
      <c r="BB1679" s="81" t="n"/>
      <c r="BC1679" s="81" t="n"/>
      <c r="BD1679" s="81" t="n"/>
      <c r="BE1679" s="81" t="n"/>
      <c r="BF1679" s="81" t="n"/>
      <c r="BG1679" s="81" t="n"/>
      <c r="BH1679" s="81" t="n"/>
      <c r="BI1679" s="81" t="n"/>
      <c r="BJ1679" s="81" t="n"/>
      <c r="BK1679" s="81" t="n"/>
      <c r="BL1679" s="81" t="n"/>
      <c r="BM1679" s="81" t="n"/>
      <c r="BN1679" s="81" t="n"/>
      <c r="BO1679" s="81" t="n"/>
      <c r="BP1679" s="81" t="n"/>
      <c r="BQ1679" s="81" t="n"/>
      <c r="BR1679" s="81" t="n"/>
      <c r="BS1679" s="81" t="n"/>
      <c r="BT1679" s="81" t="n"/>
      <c r="BU1679" s="81" t="n"/>
      <c r="BV1679" s="81" t="n"/>
      <c r="BW1679" s="81" t="n"/>
      <c r="BX1679" s="81" t="n"/>
      <c r="BY1679" s="81" t="n"/>
      <c r="BZ1679" s="81" t="n"/>
      <c r="CA1679" s="81" t="n"/>
      <c r="CB1679" s="81" t="n"/>
      <c r="CC1679" s="81" t="n"/>
      <c r="CD1679" s="81" t="n"/>
      <c r="CE1679" s="81" t="n"/>
      <c r="CF1679" s="81" t="n"/>
      <c r="CG1679" s="81" t="n"/>
      <c r="CH1679" s="81" t="n"/>
    </row>
    <row r="1680">
      <c r="A1680" s="81" t="n"/>
      <c r="B1680" s="81" t="n"/>
      <c r="C1680" s="81" t="n"/>
      <c r="D1680" s="81" t="n"/>
      <c r="E1680" s="81" t="n"/>
      <c r="F1680" s="81" t="n"/>
      <c r="G1680" s="81" t="n"/>
      <c r="H1680" s="81" t="n"/>
      <c r="I1680" s="81" t="n"/>
      <c r="J1680" s="81" t="n"/>
      <c r="K1680" s="81" t="n"/>
      <c r="L1680" s="81" t="n"/>
      <c r="M1680" s="81" t="n"/>
      <c r="N1680" s="81" t="n"/>
      <c r="O1680" s="81" t="n"/>
      <c r="P1680" s="81" t="n"/>
      <c r="Q1680" s="81" t="n"/>
      <c r="R1680" s="81" t="n"/>
      <c r="S1680" s="81" t="n"/>
      <c r="T1680" s="81" t="n"/>
      <c r="U1680" s="81" t="n"/>
      <c r="V1680" s="81" t="n"/>
      <c r="W1680" s="81" t="n"/>
      <c r="X1680" s="81" t="n"/>
      <c r="Y1680" s="81" t="n"/>
      <c r="Z1680" s="81" t="n"/>
      <c r="AA1680" s="81" t="n"/>
      <c r="AB1680" s="81" t="n"/>
      <c r="AC1680" s="81" t="n"/>
      <c r="AD1680" s="81" t="n"/>
      <c r="AE1680" s="81" t="n"/>
      <c r="AF1680" s="81" t="n"/>
      <c r="AG1680" s="81" t="n"/>
      <c r="AH1680" s="81" t="n"/>
      <c r="AI1680" s="81" t="n"/>
      <c r="AJ1680" s="81" t="n"/>
      <c r="AK1680" s="81" t="n"/>
      <c r="AL1680" s="81" t="n"/>
      <c r="AM1680" s="81" t="n"/>
      <c r="AN1680" s="81" t="n"/>
      <c r="AO1680" s="81" t="n"/>
      <c r="AP1680" s="81" t="n"/>
      <c r="AQ1680" s="81" t="n"/>
      <c r="AR1680" s="81" t="n"/>
      <c r="AS1680" s="81" t="n"/>
      <c r="AT1680" s="81" t="n"/>
      <c r="AU1680" s="81" t="n"/>
      <c r="AV1680" s="81" t="n"/>
      <c r="AW1680" s="81" t="n"/>
      <c r="AX1680" s="81" t="n"/>
      <c r="AY1680" s="81" t="n"/>
      <c r="AZ1680" s="81" t="n"/>
      <c r="BA1680" s="81" t="n"/>
      <c r="BB1680" s="81" t="n"/>
      <c r="BC1680" s="81" t="n"/>
      <c r="BD1680" s="81" t="n"/>
      <c r="BE1680" s="81" t="n"/>
      <c r="BF1680" s="81" t="n"/>
      <c r="BG1680" s="81" t="n"/>
      <c r="BH1680" s="81" t="n"/>
      <c r="BI1680" s="81" t="n"/>
      <c r="BJ1680" s="81" t="n"/>
      <c r="BK1680" s="81" t="n"/>
      <c r="BL1680" s="81" t="n"/>
      <c r="BM1680" s="81" t="n"/>
      <c r="BN1680" s="81" t="n"/>
      <c r="BO1680" s="81" t="n"/>
      <c r="BP1680" s="81" t="n"/>
      <c r="BQ1680" s="81" t="n"/>
      <c r="BR1680" s="81" t="n"/>
      <c r="BS1680" s="81" t="n"/>
      <c r="BT1680" s="81" t="n"/>
      <c r="BU1680" s="81" t="n"/>
      <c r="BV1680" s="81" t="n"/>
      <c r="BW1680" s="81" t="n"/>
      <c r="BX1680" s="81" t="n"/>
      <c r="BY1680" s="81" t="n"/>
      <c r="BZ1680" s="81" t="n"/>
      <c r="CA1680" s="81" t="n"/>
      <c r="CB1680" s="81" t="n"/>
      <c r="CC1680" s="81" t="n"/>
      <c r="CD1680" s="81" t="n"/>
      <c r="CE1680" s="81" t="n"/>
      <c r="CF1680" s="81" t="n"/>
      <c r="CG1680" s="81" t="n"/>
      <c r="CH1680" s="81" t="n"/>
    </row>
    <row r="1681">
      <c r="A1681" s="81" t="n"/>
      <c r="B1681" s="81" t="n"/>
      <c r="C1681" s="81" t="n"/>
      <c r="D1681" s="81" t="n"/>
      <c r="E1681" s="81" t="n"/>
      <c r="F1681" s="81" t="n"/>
      <c r="G1681" s="81" t="n"/>
      <c r="H1681" s="81" t="n"/>
      <c r="I1681" s="81" t="n"/>
      <c r="J1681" s="81" t="n"/>
      <c r="K1681" s="81" t="n"/>
      <c r="L1681" s="81" t="n"/>
      <c r="M1681" s="81" t="n"/>
      <c r="N1681" s="81" t="n"/>
      <c r="O1681" s="81" t="n"/>
      <c r="P1681" s="81" t="n"/>
      <c r="Q1681" s="81" t="n"/>
      <c r="R1681" s="81" t="n"/>
      <c r="S1681" s="81" t="n"/>
      <c r="T1681" s="81" t="n"/>
      <c r="U1681" s="81" t="n"/>
      <c r="V1681" s="81" t="n"/>
      <c r="W1681" s="81" t="n"/>
      <c r="X1681" s="81" t="n"/>
      <c r="Y1681" s="81" t="n"/>
      <c r="Z1681" s="81" t="n"/>
      <c r="AA1681" s="81" t="n"/>
      <c r="AB1681" s="81" t="n"/>
      <c r="AC1681" s="81" t="n"/>
      <c r="AD1681" s="81" t="n"/>
      <c r="AE1681" s="81" t="n"/>
      <c r="AF1681" s="81" t="n"/>
      <c r="AG1681" s="81" t="n"/>
      <c r="AH1681" s="81" t="n"/>
      <c r="AI1681" s="81" t="n"/>
      <c r="AJ1681" s="81" t="n"/>
      <c r="AK1681" s="81" t="n"/>
      <c r="AL1681" s="81" t="n"/>
      <c r="AM1681" s="81" t="n"/>
      <c r="AN1681" s="81" t="n"/>
      <c r="AO1681" s="81" t="n"/>
      <c r="AP1681" s="81" t="n"/>
      <c r="AQ1681" s="81" t="n"/>
      <c r="AR1681" s="81" t="n"/>
      <c r="AS1681" s="81" t="n"/>
      <c r="AT1681" s="81" t="n"/>
      <c r="AU1681" s="81" t="n"/>
      <c r="AV1681" s="81" t="n"/>
      <c r="AW1681" s="81" t="n"/>
      <c r="AX1681" s="81" t="n"/>
      <c r="AY1681" s="81" t="n"/>
      <c r="AZ1681" s="81" t="n"/>
      <c r="BA1681" s="81" t="n"/>
      <c r="BB1681" s="81" t="n"/>
      <c r="BC1681" s="81" t="n"/>
      <c r="BD1681" s="81" t="n"/>
      <c r="BE1681" s="81" t="n"/>
      <c r="BF1681" s="81" t="n"/>
      <c r="BG1681" s="81" t="n"/>
      <c r="BH1681" s="81" t="n"/>
      <c r="BI1681" s="81" t="n"/>
      <c r="BJ1681" s="81" t="n"/>
      <c r="BK1681" s="81" t="n"/>
      <c r="BL1681" s="81" t="n"/>
      <c r="BM1681" s="81" t="n"/>
      <c r="BN1681" s="81" t="n"/>
      <c r="BO1681" s="81" t="n"/>
      <c r="BP1681" s="81" t="n"/>
      <c r="BQ1681" s="81" t="n"/>
      <c r="BR1681" s="81" t="n"/>
      <c r="BS1681" s="81" t="n"/>
      <c r="BT1681" s="81" t="n"/>
      <c r="BU1681" s="81" t="n"/>
      <c r="BV1681" s="81" t="n"/>
      <c r="BW1681" s="81" t="n"/>
      <c r="BX1681" s="81" t="n"/>
      <c r="BY1681" s="81" t="n"/>
      <c r="BZ1681" s="81" t="n"/>
      <c r="CA1681" s="81" t="n"/>
      <c r="CB1681" s="81" t="n"/>
      <c r="CC1681" s="81" t="n"/>
      <c r="CD1681" s="81" t="n"/>
      <c r="CE1681" s="81" t="n"/>
      <c r="CF1681" s="81" t="n"/>
      <c r="CG1681" s="81" t="n"/>
      <c r="CH1681" s="81" t="n"/>
    </row>
    <row r="1682">
      <c r="A1682" s="81" t="n"/>
      <c r="B1682" s="81" t="n"/>
      <c r="C1682" s="81" t="n"/>
      <c r="D1682" s="81" t="n"/>
      <c r="E1682" s="81" t="n"/>
      <c r="F1682" s="81" t="n"/>
      <c r="G1682" s="81" t="n"/>
      <c r="H1682" s="81" t="n"/>
      <c r="I1682" s="81" t="n"/>
      <c r="J1682" s="81" t="n"/>
      <c r="K1682" s="81" t="n"/>
      <c r="L1682" s="81" t="n"/>
      <c r="M1682" s="81" t="n"/>
      <c r="N1682" s="81" t="n"/>
      <c r="O1682" s="81" t="n"/>
      <c r="P1682" s="81" t="n"/>
      <c r="Q1682" s="81" t="n"/>
      <c r="R1682" s="81" t="n"/>
      <c r="S1682" s="81" t="n"/>
      <c r="T1682" s="81" t="n"/>
      <c r="U1682" s="81" t="n"/>
      <c r="V1682" s="81" t="n"/>
      <c r="W1682" s="81" t="n"/>
      <c r="X1682" s="81" t="n"/>
      <c r="Y1682" s="81" t="n"/>
      <c r="Z1682" s="81" t="n"/>
      <c r="AA1682" s="81" t="n"/>
      <c r="AB1682" s="81" t="n"/>
      <c r="AC1682" s="81" t="n"/>
      <c r="AD1682" s="81" t="n"/>
      <c r="AE1682" s="81" t="n"/>
      <c r="AF1682" s="81" t="n"/>
      <c r="AG1682" s="81" t="n"/>
      <c r="AH1682" s="81" t="n"/>
      <c r="AI1682" s="81" t="n"/>
      <c r="AJ1682" s="81" t="n"/>
      <c r="AK1682" s="81" t="n"/>
      <c r="AL1682" s="81" t="n"/>
      <c r="AM1682" s="81" t="n"/>
      <c r="AN1682" s="81" t="n"/>
      <c r="AO1682" s="81" t="n"/>
      <c r="AP1682" s="81" t="n"/>
      <c r="AQ1682" s="81" t="n"/>
      <c r="AR1682" s="81" t="n"/>
      <c r="AS1682" s="81" t="n"/>
      <c r="AT1682" s="81" t="n"/>
      <c r="AU1682" s="81" t="n"/>
      <c r="AV1682" s="81" t="n"/>
      <c r="AW1682" s="81" t="n"/>
      <c r="AX1682" s="81" t="n"/>
      <c r="AY1682" s="81" t="n"/>
      <c r="AZ1682" s="81" t="n"/>
      <c r="BA1682" s="81" t="n"/>
      <c r="BB1682" s="81" t="n"/>
      <c r="BC1682" s="81" t="n"/>
      <c r="BD1682" s="81" t="n"/>
      <c r="BE1682" s="81" t="n"/>
      <c r="BF1682" s="81" t="n"/>
      <c r="BG1682" s="81" t="n"/>
      <c r="BH1682" s="81" t="n"/>
      <c r="BI1682" s="81" t="n"/>
      <c r="BJ1682" s="81" t="n"/>
      <c r="BK1682" s="81" t="n"/>
      <c r="BL1682" s="81" t="n"/>
      <c r="BM1682" s="81" t="n"/>
      <c r="BN1682" s="81" t="n"/>
      <c r="BO1682" s="81" t="n"/>
      <c r="BP1682" s="81" t="n"/>
      <c r="BQ1682" s="81" t="n"/>
      <c r="BR1682" s="81" t="n"/>
      <c r="BS1682" s="81" t="n"/>
      <c r="BT1682" s="81" t="n"/>
      <c r="BU1682" s="81" t="n"/>
      <c r="BV1682" s="81" t="n"/>
      <c r="BW1682" s="81" t="n"/>
      <c r="BX1682" s="81" t="n"/>
      <c r="BY1682" s="81" t="n"/>
      <c r="BZ1682" s="81" t="n"/>
      <c r="CA1682" s="81" t="n"/>
      <c r="CB1682" s="81" t="n"/>
      <c r="CC1682" s="81" t="n"/>
      <c r="CD1682" s="81" t="n"/>
      <c r="CE1682" s="81" t="n"/>
      <c r="CF1682" s="81" t="n"/>
      <c r="CG1682" s="81" t="n"/>
      <c r="CH1682" s="81" t="n"/>
    </row>
    <row r="1683">
      <c r="A1683" s="81" t="n"/>
      <c r="B1683" s="81" t="n"/>
      <c r="C1683" s="81" t="n"/>
      <c r="D1683" s="81" t="n"/>
      <c r="E1683" s="81" t="n"/>
      <c r="F1683" s="81" t="n"/>
      <c r="G1683" s="81" t="n"/>
      <c r="H1683" s="81" t="n"/>
      <c r="I1683" s="81" t="n"/>
      <c r="J1683" s="81" t="n"/>
      <c r="K1683" s="81" t="n"/>
      <c r="L1683" s="81" t="n"/>
      <c r="M1683" s="81" t="n"/>
      <c r="N1683" s="81" t="n"/>
      <c r="O1683" s="81" t="n"/>
      <c r="P1683" s="81" t="n"/>
      <c r="Q1683" s="81" t="n"/>
      <c r="R1683" s="81" t="n"/>
      <c r="S1683" s="81" t="n"/>
      <c r="T1683" s="81" t="n"/>
      <c r="U1683" s="81" t="n"/>
      <c r="V1683" s="81" t="n"/>
      <c r="W1683" s="81" t="n"/>
      <c r="X1683" s="81" t="n"/>
      <c r="Y1683" s="81" t="n"/>
      <c r="Z1683" s="81" t="n"/>
      <c r="AA1683" s="81" t="n"/>
      <c r="AB1683" s="81" t="n"/>
      <c r="AC1683" s="81" t="n"/>
      <c r="AD1683" s="81" t="n"/>
      <c r="AE1683" s="81" t="n"/>
      <c r="AF1683" s="81" t="n"/>
      <c r="AG1683" s="81" t="n"/>
      <c r="AH1683" s="81" t="n"/>
      <c r="AI1683" s="81" t="n"/>
      <c r="AJ1683" s="81" t="n"/>
      <c r="AK1683" s="81" t="n"/>
      <c r="AL1683" s="81" t="n"/>
      <c r="AM1683" s="81" t="n"/>
      <c r="AN1683" s="81" t="n"/>
      <c r="AO1683" s="81" t="n"/>
      <c r="AP1683" s="81" t="n"/>
      <c r="AQ1683" s="81" t="n"/>
      <c r="AR1683" s="81" t="n"/>
      <c r="AS1683" s="81" t="n"/>
      <c r="AT1683" s="81" t="n"/>
      <c r="AU1683" s="81" t="n"/>
      <c r="AV1683" s="81" t="n"/>
      <c r="AW1683" s="81" t="n"/>
      <c r="AX1683" s="81" t="n"/>
      <c r="AY1683" s="81" t="n"/>
      <c r="AZ1683" s="81" t="n"/>
      <c r="BA1683" s="81" t="n"/>
      <c r="BB1683" s="81" t="n"/>
      <c r="BC1683" s="81" t="n"/>
      <c r="BD1683" s="81" t="n"/>
      <c r="BE1683" s="81" t="n"/>
      <c r="BF1683" s="81" t="n"/>
      <c r="BG1683" s="81" t="n"/>
      <c r="BH1683" s="81" t="n"/>
      <c r="BI1683" s="81" t="n"/>
      <c r="BJ1683" s="81" t="n"/>
      <c r="BK1683" s="81" t="n"/>
      <c r="BL1683" s="81" t="n"/>
      <c r="BM1683" s="81" t="n"/>
      <c r="BN1683" s="81" t="n"/>
      <c r="BO1683" s="81" t="n"/>
      <c r="BP1683" s="81" t="n"/>
      <c r="BQ1683" s="81" t="n"/>
      <c r="BR1683" s="81" t="n"/>
      <c r="BS1683" s="81" t="n"/>
      <c r="BT1683" s="81" t="n"/>
      <c r="BU1683" s="81" t="n"/>
      <c r="BV1683" s="81" t="n"/>
      <c r="BW1683" s="81" t="n"/>
      <c r="BX1683" s="81" t="n"/>
      <c r="BY1683" s="81" t="n"/>
      <c r="BZ1683" s="81" t="n"/>
      <c r="CA1683" s="81" t="n"/>
      <c r="CB1683" s="81" t="n"/>
      <c r="CC1683" s="81" t="n"/>
      <c r="CD1683" s="81" t="n"/>
      <c r="CE1683" s="81" t="n"/>
      <c r="CF1683" s="81" t="n"/>
      <c r="CG1683" s="81" t="n"/>
      <c r="CH1683" s="81" t="n"/>
    </row>
    <row r="1684">
      <c r="A1684" s="81" t="n"/>
      <c r="B1684" s="81" t="n"/>
      <c r="C1684" s="81" t="n"/>
      <c r="D1684" s="81" t="n"/>
      <c r="E1684" s="81" t="n"/>
      <c r="F1684" s="81" t="n"/>
      <c r="G1684" s="81" t="n"/>
      <c r="H1684" s="81" t="n"/>
      <c r="I1684" s="81" t="n"/>
      <c r="J1684" s="81" t="n"/>
      <c r="K1684" s="81" t="n"/>
      <c r="L1684" s="81" t="n"/>
      <c r="M1684" s="81" t="n"/>
      <c r="N1684" s="81" t="n"/>
      <c r="O1684" s="81" t="n"/>
      <c r="P1684" s="81" t="n"/>
      <c r="Q1684" s="81" t="n"/>
      <c r="R1684" s="81" t="n"/>
      <c r="S1684" s="81" t="n"/>
      <c r="T1684" s="81" t="n"/>
      <c r="U1684" s="81" t="n"/>
      <c r="V1684" s="81" t="n"/>
      <c r="W1684" s="81" t="n"/>
      <c r="X1684" s="81" t="n"/>
      <c r="Y1684" s="81" t="n"/>
      <c r="Z1684" s="81" t="n"/>
      <c r="AA1684" s="81" t="n"/>
      <c r="AB1684" s="81" t="n"/>
      <c r="AC1684" s="81" t="n"/>
      <c r="AD1684" s="81" t="n"/>
      <c r="AE1684" s="81" t="n"/>
      <c r="AF1684" s="81" t="n"/>
      <c r="AG1684" s="81" t="n"/>
      <c r="AH1684" s="81" t="n"/>
      <c r="AI1684" s="81" t="n"/>
      <c r="AJ1684" s="81" t="n"/>
      <c r="AK1684" s="81" t="n"/>
      <c r="AL1684" s="81" t="n"/>
      <c r="AM1684" s="81" t="n"/>
      <c r="AN1684" s="81" t="n"/>
      <c r="AO1684" s="81" t="n"/>
      <c r="AP1684" s="81" t="n"/>
      <c r="AQ1684" s="81" t="n"/>
      <c r="AR1684" s="81" t="n"/>
      <c r="AS1684" s="81" t="n"/>
      <c r="AT1684" s="81" t="n"/>
      <c r="AU1684" s="81" t="n"/>
      <c r="AV1684" s="81" t="n"/>
      <c r="AW1684" s="81" t="n"/>
      <c r="AX1684" s="81" t="n"/>
      <c r="AY1684" s="81" t="n"/>
      <c r="AZ1684" s="81" t="n"/>
      <c r="BA1684" s="81" t="n"/>
      <c r="BB1684" s="81" t="n"/>
      <c r="BC1684" s="81" t="n"/>
      <c r="BD1684" s="81" t="n"/>
      <c r="BE1684" s="81" t="n"/>
      <c r="BF1684" s="81" t="n"/>
      <c r="BG1684" s="81" t="n"/>
      <c r="BH1684" s="81" t="n"/>
      <c r="BI1684" s="81" t="n"/>
      <c r="BJ1684" s="81" t="n"/>
      <c r="BK1684" s="81" t="n"/>
      <c r="BL1684" s="81" t="n"/>
      <c r="BM1684" s="81" t="n"/>
      <c r="BN1684" s="81" t="n"/>
      <c r="BO1684" s="81" t="n"/>
      <c r="BP1684" s="81" t="n"/>
      <c r="BQ1684" s="81" t="n"/>
      <c r="BR1684" s="81" t="n"/>
      <c r="BS1684" s="81" t="n"/>
      <c r="BT1684" s="81" t="n"/>
      <c r="BU1684" s="81" t="n"/>
      <c r="BV1684" s="81" t="n"/>
      <c r="BW1684" s="81" t="n"/>
      <c r="BX1684" s="81" t="n"/>
      <c r="BY1684" s="81" t="n"/>
      <c r="BZ1684" s="81" t="n"/>
      <c r="CA1684" s="81" t="n"/>
      <c r="CB1684" s="81" t="n"/>
      <c r="CC1684" s="81" t="n"/>
      <c r="CD1684" s="81" t="n"/>
      <c r="CE1684" s="81" t="n"/>
      <c r="CF1684" s="81" t="n"/>
      <c r="CG1684" s="81" t="n"/>
      <c r="CH1684" s="81" t="n"/>
    </row>
    <row r="1685">
      <c r="A1685" s="81" t="n"/>
      <c r="B1685" s="81" t="n"/>
      <c r="C1685" s="81" t="n"/>
      <c r="D1685" s="81" t="n"/>
      <c r="E1685" s="81" t="n"/>
      <c r="F1685" s="81" t="n"/>
      <c r="G1685" s="81" t="n"/>
      <c r="H1685" s="81" t="n"/>
      <c r="I1685" s="81" t="n"/>
      <c r="J1685" s="81" t="n"/>
      <c r="K1685" s="81" t="n"/>
      <c r="L1685" s="81" t="n"/>
      <c r="M1685" s="81" t="n"/>
      <c r="N1685" s="81" t="n"/>
      <c r="O1685" s="81" t="n"/>
      <c r="P1685" s="81" t="n"/>
      <c r="Q1685" s="81" t="n"/>
      <c r="R1685" s="81" t="n"/>
      <c r="S1685" s="81" t="n"/>
      <c r="T1685" s="81" t="n"/>
      <c r="U1685" s="81" t="n"/>
      <c r="V1685" s="81" t="n"/>
      <c r="W1685" s="81" t="n"/>
      <c r="X1685" s="81" t="n"/>
      <c r="Y1685" s="81" t="n"/>
      <c r="Z1685" s="81" t="n"/>
      <c r="AA1685" s="81" t="n"/>
      <c r="AB1685" s="81" t="n"/>
      <c r="AC1685" s="81" t="n"/>
      <c r="AD1685" s="81" t="n"/>
      <c r="AE1685" s="81" t="n"/>
      <c r="AF1685" s="81" t="n"/>
      <c r="AG1685" s="81" t="n"/>
      <c r="AH1685" s="81" t="n"/>
      <c r="AI1685" s="81" t="n"/>
      <c r="AJ1685" s="81" t="n"/>
      <c r="AK1685" s="81" t="n"/>
      <c r="AL1685" s="81" t="n"/>
      <c r="AM1685" s="81" t="n"/>
      <c r="AN1685" s="81" t="n"/>
      <c r="AO1685" s="81" t="n"/>
      <c r="AP1685" s="81" t="n"/>
      <c r="AQ1685" s="81" t="n"/>
      <c r="AR1685" s="81" t="n"/>
      <c r="AS1685" s="81" t="n"/>
      <c r="AT1685" s="81" t="n"/>
      <c r="AU1685" s="81" t="n"/>
      <c r="AV1685" s="81" t="n"/>
      <c r="AW1685" s="81" t="n"/>
      <c r="AX1685" s="81" t="n"/>
      <c r="AY1685" s="81" t="n"/>
      <c r="AZ1685" s="81" t="n"/>
      <c r="BA1685" s="81" t="n"/>
      <c r="BB1685" s="81" t="n"/>
      <c r="BC1685" s="81" t="n"/>
      <c r="BD1685" s="81" t="n"/>
      <c r="BE1685" s="81" t="n"/>
      <c r="BF1685" s="81" t="n"/>
      <c r="BG1685" s="81" t="n"/>
      <c r="BH1685" s="81" t="n"/>
      <c r="BI1685" s="81" t="n"/>
      <c r="BJ1685" s="81" t="n"/>
      <c r="BK1685" s="81" t="n"/>
      <c r="BL1685" s="81" t="n"/>
      <c r="BM1685" s="81" t="n"/>
      <c r="BN1685" s="81" t="n"/>
      <c r="BO1685" s="81" t="n"/>
      <c r="BP1685" s="81" t="n"/>
      <c r="BQ1685" s="81" t="n"/>
      <c r="BR1685" s="81" t="n"/>
      <c r="BS1685" s="81" t="n"/>
      <c r="BT1685" s="81" t="n"/>
      <c r="BU1685" s="81" t="n"/>
      <c r="BV1685" s="81" t="n"/>
      <c r="BW1685" s="81" t="n"/>
      <c r="BX1685" s="81" t="n"/>
      <c r="BY1685" s="81" t="n"/>
      <c r="BZ1685" s="81" t="n"/>
      <c r="CA1685" s="81" t="n"/>
      <c r="CB1685" s="81" t="n"/>
      <c r="CC1685" s="81" t="n"/>
      <c r="CD1685" s="81" t="n"/>
      <c r="CE1685" s="81" t="n"/>
      <c r="CF1685" s="81" t="n"/>
      <c r="CG1685" s="81" t="n"/>
      <c r="CH1685" s="81" t="n"/>
    </row>
    <row r="1686">
      <c r="A1686" s="81" t="n"/>
      <c r="B1686" s="81" t="n"/>
      <c r="C1686" s="81" t="n"/>
      <c r="D1686" s="81" t="n"/>
      <c r="E1686" s="81" t="n"/>
      <c r="F1686" s="81" t="n"/>
      <c r="G1686" s="81" t="n"/>
      <c r="H1686" s="81" t="n"/>
      <c r="I1686" s="81" t="n"/>
      <c r="J1686" s="81" t="n"/>
      <c r="K1686" s="81" t="n"/>
      <c r="L1686" s="81" t="n"/>
      <c r="M1686" s="81" t="n"/>
      <c r="N1686" s="81" t="n"/>
      <c r="O1686" s="81" t="n"/>
      <c r="P1686" s="81" t="n"/>
      <c r="Q1686" s="81" t="n"/>
      <c r="R1686" s="81" t="n"/>
      <c r="S1686" s="81" t="n"/>
      <c r="T1686" s="81" t="n"/>
      <c r="U1686" s="81" t="n"/>
      <c r="V1686" s="81" t="n"/>
      <c r="W1686" s="81" t="n"/>
      <c r="X1686" s="81" t="n"/>
      <c r="Y1686" s="81" t="n"/>
      <c r="Z1686" s="81" t="n"/>
      <c r="AA1686" s="81" t="n"/>
      <c r="AB1686" s="81" t="n"/>
      <c r="AC1686" s="81" t="n"/>
      <c r="AD1686" s="81" t="n"/>
      <c r="AE1686" s="81" t="n"/>
      <c r="AF1686" s="81" t="n"/>
      <c r="AG1686" s="81" t="n"/>
      <c r="AH1686" s="81" t="n"/>
      <c r="AI1686" s="81" t="n"/>
      <c r="AJ1686" s="81" t="n"/>
      <c r="AK1686" s="81" t="n"/>
      <c r="AL1686" s="81" t="n"/>
      <c r="AM1686" s="81" t="n"/>
      <c r="AN1686" s="81" t="n"/>
      <c r="AO1686" s="81" t="n"/>
      <c r="AP1686" s="81" t="n"/>
      <c r="AQ1686" s="81" t="n"/>
      <c r="AR1686" s="81" t="n"/>
      <c r="AS1686" s="81" t="n"/>
      <c r="AT1686" s="81" t="n"/>
      <c r="AU1686" s="81" t="n"/>
      <c r="AV1686" s="81" t="n"/>
      <c r="AW1686" s="81" t="n"/>
      <c r="AX1686" s="81" t="n"/>
      <c r="AY1686" s="81" t="n"/>
      <c r="AZ1686" s="81" t="n"/>
      <c r="BA1686" s="81" t="n"/>
      <c r="BB1686" s="81" t="n"/>
      <c r="BC1686" s="81" t="n"/>
      <c r="BD1686" s="81" t="n"/>
      <c r="BE1686" s="81" t="n"/>
      <c r="BF1686" s="81" t="n"/>
      <c r="BG1686" s="81" t="n"/>
      <c r="BH1686" s="81" t="n"/>
      <c r="BI1686" s="81" t="n"/>
      <c r="BJ1686" s="81" t="n"/>
      <c r="BK1686" s="81" t="n"/>
      <c r="BL1686" s="81" t="n"/>
      <c r="BM1686" s="81" t="n"/>
      <c r="BN1686" s="81" t="n"/>
      <c r="BO1686" s="81" t="n"/>
      <c r="BP1686" s="81" t="n"/>
      <c r="BQ1686" s="81" t="n"/>
      <c r="BR1686" s="81" t="n"/>
      <c r="BS1686" s="81" t="n"/>
      <c r="BT1686" s="81" t="n"/>
      <c r="BU1686" s="81" t="n"/>
      <c r="BV1686" s="81" t="n"/>
      <c r="BW1686" s="81" t="n"/>
      <c r="BX1686" s="81" t="n"/>
      <c r="BY1686" s="81" t="n"/>
      <c r="BZ1686" s="81" t="n"/>
      <c r="CA1686" s="81" t="n"/>
      <c r="CB1686" s="81" t="n"/>
      <c r="CC1686" s="81" t="n"/>
      <c r="CD1686" s="81" t="n"/>
      <c r="CE1686" s="81" t="n"/>
      <c r="CF1686" s="81" t="n"/>
      <c r="CG1686" s="81" t="n"/>
      <c r="CH1686" s="81" t="n"/>
    </row>
    <row r="1687">
      <c r="A1687" s="81" t="n"/>
      <c r="B1687" s="81" t="n"/>
      <c r="C1687" s="81" t="n"/>
      <c r="D1687" s="81" t="n"/>
      <c r="E1687" s="81" t="n"/>
      <c r="F1687" s="81" t="n"/>
      <c r="G1687" s="81" t="n"/>
      <c r="H1687" s="81" t="n"/>
      <c r="I1687" s="81" t="n"/>
      <c r="J1687" s="81" t="n"/>
      <c r="K1687" s="81" t="n"/>
      <c r="L1687" s="81" t="n"/>
      <c r="M1687" s="81" t="n"/>
      <c r="N1687" s="81" t="n"/>
      <c r="O1687" s="81" t="n"/>
      <c r="P1687" s="81" t="n"/>
      <c r="Q1687" s="81" t="n"/>
      <c r="R1687" s="81" t="n"/>
      <c r="S1687" s="81" t="n"/>
      <c r="T1687" s="81" t="n"/>
      <c r="U1687" s="81" t="n"/>
      <c r="V1687" s="81" t="n"/>
      <c r="W1687" s="81" t="n"/>
      <c r="X1687" s="81" t="n"/>
      <c r="Y1687" s="81" t="n"/>
      <c r="Z1687" s="81" t="n"/>
      <c r="AA1687" s="81" t="n"/>
      <c r="AB1687" s="81" t="n"/>
      <c r="AC1687" s="81" t="n"/>
      <c r="AD1687" s="81" t="n"/>
      <c r="AE1687" s="81" t="n"/>
      <c r="AF1687" s="81" t="n"/>
      <c r="AG1687" s="81" t="n"/>
      <c r="AH1687" s="81" t="n"/>
      <c r="AI1687" s="81" t="n"/>
      <c r="AJ1687" s="81" t="n"/>
      <c r="AK1687" s="81" t="n"/>
      <c r="AL1687" s="81" t="n"/>
      <c r="AM1687" s="81" t="n"/>
      <c r="AN1687" s="81" t="n"/>
      <c r="AO1687" s="81" t="n"/>
      <c r="AP1687" s="81" t="n"/>
      <c r="AQ1687" s="81" t="n"/>
      <c r="AR1687" s="81" t="n"/>
      <c r="AS1687" s="81" t="n"/>
      <c r="AT1687" s="81" t="n"/>
      <c r="AU1687" s="81" t="n"/>
      <c r="AV1687" s="81" t="n"/>
      <c r="AW1687" s="81" t="n"/>
      <c r="AX1687" s="81" t="n"/>
      <c r="AY1687" s="81" t="n"/>
      <c r="AZ1687" s="81" t="n"/>
      <c r="BA1687" s="81" t="n"/>
      <c r="BB1687" s="81" t="n"/>
      <c r="BC1687" s="81" t="n"/>
      <c r="BD1687" s="81" t="n"/>
      <c r="BE1687" s="81" t="n"/>
      <c r="BF1687" s="81" t="n"/>
      <c r="BG1687" s="81" t="n"/>
      <c r="BH1687" s="81" t="n"/>
      <c r="BI1687" s="81" t="n"/>
      <c r="BJ1687" s="81" t="n"/>
      <c r="BK1687" s="81" t="n"/>
      <c r="BL1687" s="81" t="n"/>
      <c r="BM1687" s="81" t="n"/>
      <c r="BN1687" s="81" t="n"/>
      <c r="BO1687" s="81" t="n"/>
      <c r="BP1687" s="81" t="n"/>
      <c r="BQ1687" s="81" t="n"/>
      <c r="BR1687" s="81" t="n"/>
      <c r="BS1687" s="81" t="n"/>
      <c r="BT1687" s="81" t="n"/>
      <c r="BU1687" s="81" t="n"/>
      <c r="BV1687" s="81" t="n"/>
      <c r="BW1687" s="81" t="n"/>
      <c r="BX1687" s="81" t="n"/>
      <c r="BY1687" s="81" t="n"/>
      <c r="BZ1687" s="81" t="n"/>
      <c r="CA1687" s="81" t="n"/>
      <c r="CB1687" s="81" t="n"/>
      <c r="CC1687" s="81" t="n"/>
      <c r="CD1687" s="81" t="n"/>
      <c r="CE1687" s="81" t="n"/>
      <c r="CF1687" s="81" t="n"/>
      <c r="CG1687" s="81" t="n"/>
      <c r="CH1687" s="81" t="n"/>
    </row>
    <row r="1688">
      <c r="A1688" s="81" t="n"/>
      <c r="B1688" s="81" t="n"/>
      <c r="C1688" s="81" t="n"/>
      <c r="D1688" s="81" t="n"/>
      <c r="E1688" s="81" t="n"/>
      <c r="F1688" s="81" t="n"/>
      <c r="G1688" s="81" t="n"/>
      <c r="H1688" s="81" t="n"/>
      <c r="I1688" s="81" t="n"/>
      <c r="J1688" s="81" t="n"/>
      <c r="K1688" s="81" t="n"/>
      <c r="L1688" s="81" t="n"/>
      <c r="M1688" s="81" t="n"/>
      <c r="N1688" s="81" t="n"/>
      <c r="O1688" s="81" t="n"/>
      <c r="P1688" s="81" t="n"/>
      <c r="Q1688" s="81" t="n"/>
      <c r="R1688" s="81" t="n"/>
      <c r="S1688" s="81" t="n"/>
      <c r="T1688" s="81" t="n"/>
      <c r="U1688" s="81" t="n"/>
      <c r="V1688" s="81" t="n"/>
      <c r="W1688" s="81" t="n"/>
      <c r="X1688" s="81" t="n"/>
      <c r="Y1688" s="81" t="n"/>
      <c r="Z1688" s="81" t="n"/>
      <c r="AA1688" s="81" t="n"/>
      <c r="AB1688" s="81" t="n"/>
      <c r="AC1688" s="81" t="n"/>
      <c r="AD1688" s="81" t="n"/>
      <c r="AE1688" s="81" t="n"/>
      <c r="AF1688" s="81" t="n"/>
      <c r="AG1688" s="81" t="n"/>
      <c r="AH1688" s="81" t="n"/>
      <c r="AI1688" s="81" t="n"/>
      <c r="AJ1688" s="81" t="n"/>
      <c r="AK1688" s="81" t="n"/>
      <c r="AL1688" s="81" t="n"/>
      <c r="AM1688" s="81" t="n"/>
      <c r="AN1688" s="81" t="n"/>
      <c r="AO1688" s="81" t="n"/>
      <c r="AP1688" s="81" t="n"/>
      <c r="AQ1688" s="81" t="n"/>
      <c r="AR1688" s="81" t="n"/>
      <c r="AS1688" s="81" t="n"/>
      <c r="AT1688" s="81" t="n"/>
      <c r="AU1688" s="81" t="n"/>
      <c r="AV1688" s="81" t="n"/>
      <c r="AW1688" s="81" t="n"/>
      <c r="AX1688" s="81" t="n"/>
      <c r="AY1688" s="81" t="n"/>
      <c r="AZ1688" s="81" t="n"/>
      <c r="BA1688" s="81" t="n"/>
      <c r="BB1688" s="81" t="n"/>
      <c r="BC1688" s="81" t="n"/>
      <c r="BD1688" s="81" t="n"/>
      <c r="BE1688" s="81" t="n"/>
      <c r="BF1688" s="81" t="n"/>
      <c r="BG1688" s="81" t="n"/>
      <c r="BH1688" s="81" t="n"/>
      <c r="BI1688" s="81" t="n"/>
      <c r="BJ1688" s="81" t="n"/>
      <c r="BK1688" s="81" t="n"/>
      <c r="BL1688" s="81" t="n"/>
      <c r="BM1688" s="81" t="n"/>
      <c r="BN1688" s="81" t="n"/>
      <c r="BO1688" s="81" t="n"/>
      <c r="BP1688" s="81" t="n"/>
      <c r="BQ1688" s="81" t="n"/>
      <c r="BR1688" s="81" t="n"/>
      <c r="BS1688" s="81" t="n"/>
      <c r="BT1688" s="81" t="n"/>
      <c r="BU1688" s="81" t="n"/>
      <c r="BV1688" s="81" t="n"/>
      <c r="BW1688" s="81" t="n"/>
      <c r="BX1688" s="81" t="n"/>
      <c r="BY1688" s="81" t="n"/>
      <c r="BZ1688" s="81" t="n"/>
      <c r="CA1688" s="81" t="n"/>
      <c r="CB1688" s="81" t="n"/>
      <c r="CC1688" s="81" t="n"/>
      <c r="CD1688" s="81" t="n"/>
      <c r="CE1688" s="81" t="n"/>
      <c r="CF1688" s="81" t="n"/>
      <c r="CG1688" s="81" t="n"/>
      <c r="CH1688" s="81" t="n"/>
    </row>
    <row r="1689">
      <c r="A1689" s="81" t="n"/>
      <c r="B1689" s="81" t="n"/>
      <c r="C1689" s="81" t="n"/>
      <c r="D1689" s="81" t="n"/>
      <c r="E1689" s="81" t="n"/>
      <c r="F1689" s="81" t="n"/>
      <c r="G1689" s="81" t="n"/>
      <c r="H1689" s="81" t="n"/>
      <c r="I1689" s="81" t="n"/>
      <c r="J1689" s="81" t="n"/>
      <c r="K1689" s="81" t="n"/>
      <c r="L1689" s="81" t="n"/>
      <c r="M1689" s="81" t="n"/>
      <c r="N1689" s="81" t="n"/>
      <c r="O1689" s="81" t="n"/>
      <c r="P1689" s="81" t="n"/>
      <c r="Q1689" s="81" t="n"/>
      <c r="R1689" s="81" t="n"/>
      <c r="S1689" s="81" t="n"/>
      <c r="T1689" s="81" t="n"/>
      <c r="U1689" s="81" t="n"/>
      <c r="V1689" s="81" t="n"/>
      <c r="W1689" s="81" t="n"/>
      <c r="X1689" s="81" t="n"/>
      <c r="Y1689" s="81" t="n"/>
      <c r="Z1689" s="81" t="n"/>
      <c r="AA1689" s="81" t="n"/>
      <c r="AB1689" s="81" t="n"/>
      <c r="AC1689" s="81" t="n"/>
      <c r="AD1689" s="81" t="n"/>
      <c r="AE1689" s="81" t="n"/>
      <c r="AF1689" s="81" t="n"/>
      <c r="AG1689" s="81" t="n"/>
      <c r="AH1689" s="81" t="n"/>
      <c r="AI1689" s="81" t="n"/>
      <c r="AJ1689" s="81" t="n"/>
      <c r="AK1689" s="81" t="n"/>
      <c r="AL1689" s="81" t="n"/>
      <c r="AM1689" s="81" t="n"/>
      <c r="AN1689" s="81" t="n"/>
      <c r="AO1689" s="81" t="n"/>
      <c r="AP1689" s="81" t="n"/>
      <c r="AQ1689" s="81" t="n"/>
      <c r="AR1689" s="81" t="n"/>
      <c r="AS1689" s="81" t="n"/>
      <c r="AT1689" s="81" t="n"/>
      <c r="AU1689" s="81" t="n"/>
      <c r="AV1689" s="81" t="n"/>
      <c r="AW1689" s="81" t="n"/>
      <c r="AX1689" s="81" t="n"/>
      <c r="AY1689" s="81" t="n"/>
      <c r="AZ1689" s="81" t="n"/>
      <c r="BA1689" s="81" t="n"/>
      <c r="BB1689" s="81" t="n"/>
      <c r="BC1689" s="81" t="n"/>
      <c r="BD1689" s="81" t="n"/>
      <c r="BE1689" s="81" t="n"/>
      <c r="BF1689" s="81" t="n"/>
      <c r="BG1689" s="81" t="n"/>
      <c r="BH1689" s="81" t="n"/>
      <c r="BI1689" s="81" t="n"/>
      <c r="BJ1689" s="81" t="n"/>
      <c r="BK1689" s="81" t="n"/>
      <c r="BL1689" s="81" t="n"/>
      <c r="BM1689" s="81" t="n"/>
      <c r="BN1689" s="81" t="n"/>
      <c r="BO1689" s="81" t="n"/>
      <c r="BP1689" s="81" t="n"/>
      <c r="BQ1689" s="81" t="n"/>
      <c r="BR1689" s="81" t="n"/>
      <c r="BS1689" s="81" t="n"/>
      <c r="BT1689" s="81" t="n"/>
      <c r="BU1689" s="81" t="n"/>
      <c r="BV1689" s="81" t="n"/>
      <c r="BW1689" s="81" t="n"/>
      <c r="BX1689" s="81" t="n"/>
      <c r="BY1689" s="81" t="n"/>
      <c r="BZ1689" s="81" t="n"/>
      <c r="CA1689" s="81" t="n"/>
      <c r="CB1689" s="81" t="n"/>
      <c r="CC1689" s="81" t="n"/>
      <c r="CD1689" s="81" t="n"/>
      <c r="CE1689" s="81" t="n"/>
      <c r="CF1689" s="81" t="n"/>
      <c r="CG1689" s="81" t="n"/>
      <c r="CH1689" s="81" t="n"/>
    </row>
    <row r="1690">
      <c r="A1690" s="81" t="n"/>
      <c r="B1690" s="81" t="n"/>
      <c r="C1690" s="81" t="n"/>
      <c r="D1690" s="81" t="n"/>
      <c r="E1690" s="81" t="n"/>
      <c r="F1690" s="81" t="n"/>
      <c r="G1690" s="81" t="n"/>
      <c r="H1690" s="81" t="n"/>
      <c r="I1690" s="81" t="n"/>
      <c r="J1690" s="81" t="n"/>
      <c r="K1690" s="81" t="n"/>
      <c r="L1690" s="81" t="n"/>
      <c r="M1690" s="81" t="n"/>
      <c r="N1690" s="81" t="n"/>
      <c r="O1690" s="81" t="n"/>
      <c r="P1690" s="81" t="n"/>
      <c r="Q1690" s="81" t="n"/>
      <c r="R1690" s="81" t="n"/>
      <c r="S1690" s="81" t="n"/>
      <c r="T1690" s="81" t="n"/>
      <c r="U1690" s="81" t="n"/>
      <c r="V1690" s="81" t="n"/>
      <c r="W1690" s="81" t="n"/>
      <c r="X1690" s="81" t="n"/>
      <c r="Y1690" s="81" t="n"/>
      <c r="Z1690" s="81" t="n"/>
      <c r="AA1690" s="81" t="n"/>
      <c r="AB1690" s="81" t="n"/>
      <c r="AC1690" s="81" t="n"/>
      <c r="AD1690" s="81" t="n"/>
      <c r="AE1690" s="81" t="n"/>
      <c r="AF1690" s="81" t="n"/>
      <c r="AG1690" s="81" t="n"/>
      <c r="AH1690" s="81" t="n"/>
      <c r="AI1690" s="81" t="n"/>
      <c r="AJ1690" s="81" t="n"/>
      <c r="AK1690" s="81" t="n"/>
      <c r="AL1690" s="81" t="n"/>
      <c r="AM1690" s="81" t="n"/>
      <c r="AN1690" s="81" t="n"/>
      <c r="AO1690" s="81" t="n"/>
      <c r="AP1690" s="81" t="n"/>
      <c r="AQ1690" s="81" t="n"/>
      <c r="AR1690" s="81" t="n"/>
      <c r="AS1690" s="81" t="n"/>
      <c r="AT1690" s="81" t="n"/>
      <c r="AU1690" s="81" t="n"/>
      <c r="AV1690" s="81" t="n"/>
      <c r="AW1690" s="81" t="n"/>
      <c r="AX1690" s="81" t="n"/>
      <c r="AY1690" s="81" t="n"/>
      <c r="AZ1690" s="81" t="n"/>
      <c r="BA1690" s="81" t="n"/>
      <c r="BB1690" s="81" t="n"/>
      <c r="BC1690" s="81" t="n"/>
      <c r="BD1690" s="81" t="n"/>
      <c r="BE1690" s="81" t="n"/>
      <c r="BF1690" s="81" t="n"/>
      <c r="BG1690" s="81" t="n"/>
      <c r="BH1690" s="81" t="n"/>
      <c r="BI1690" s="81" t="n"/>
      <c r="BJ1690" s="81" t="n"/>
      <c r="BK1690" s="81" t="n"/>
      <c r="BL1690" s="81" t="n"/>
      <c r="BM1690" s="81" t="n"/>
      <c r="BN1690" s="81" t="n"/>
      <c r="BO1690" s="81" t="n"/>
      <c r="BP1690" s="81" t="n"/>
      <c r="BQ1690" s="81" t="n"/>
      <c r="BR1690" s="81" t="n"/>
      <c r="BS1690" s="81" t="n"/>
      <c r="BT1690" s="81" t="n"/>
      <c r="BU1690" s="81" t="n"/>
      <c r="BV1690" s="81" t="n"/>
      <c r="BW1690" s="81" t="n"/>
      <c r="BX1690" s="81" t="n"/>
      <c r="BY1690" s="81" t="n"/>
      <c r="BZ1690" s="81" t="n"/>
      <c r="CA1690" s="81" t="n"/>
      <c r="CB1690" s="81" t="n"/>
      <c r="CC1690" s="81" t="n"/>
      <c r="CD1690" s="81" t="n"/>
      <c r="CE1690" s="81" t="n"/>
      <c r="CF1690" s="81" t="n"/>
      <c r="CG1690" s="81" t="n"/>
      <c r="CH1690" s="81" t="n"/>
    </row>
    <row r="1691">
      <c r="A1691" s="81" t="n"/>
      <c r="B1691" s="81" t="n"/>
      <c r="C1691" s="81" t="n"/>
      <c r="D1691" s="81" t="n"/>
      <c r="E1691" s="81" t="n"/>
      <c r="F1691" s="81" t="n"/>
      <c r="G1691" s="81" t="n"/>
      <c r="H1691" s="81" t="n"/>
      <c r="I1691" s="81" t="n"/>
      <c r="J1691" s="81" t="n"/>
      <c r="K1691" s="81" t="n"/>
      <c r="L1691" s="81" t="n"/>
      <c r="M1691" s="81" t="n"/>
      <c r="N1691" s="81" t="n"/>
      <c r="O1691" s="81" t="n"/>
      <c r="P1691" s="81" t="n"/>
      <c r="Q1691" s="81" t="n"/>
      <c r="R1691" s="81" t="n"/>
      <c r="S1691" s="81" t="n"/>
      <c r="T1691" s="81" t="n"/>
      <c r="U1691" s="81" t="n"/>
      <c r="V1691" s="81" t="n"/>
      <c r="W1691" s="81" t="n"/>
      <c r="X1691" s="81" t="n"/>
      <c r="Y1691" s="81" t="n"/>
      <c r="Z1691" s="81" t="n"/>
      <c r="AA1691" s="81" t="n"/>
      <c r="AB1691" s="81" t="n"/>
      <c r="AC1691" s="81" t="n"/>
      <c r="AD1691" s="81" t="n"/>
      <c r="AE1691" s="81" t="n"/>
      <c r="AF1691" s="81" t="n"/>
      <c r="AG1691" s="81" t="n"/>
      <c r="AH1691" s="81" t="n"/>
      <c r="AI1691" s="81" t="n"/>
      <c r="AJ1691" s="81" t="n"/>
      <c r="AK1691" s="81" t="n"/>
      <c r="AL1691" s="81" t="n"/>
      <c r="AM1691" s="81" t="n"/>
      <c r="AN1691" s="81" t="n"/>
      <c r="AO1691" s="81" t="n"/>
      <c r="AP1691" s="81" t="n"/>
      <c r="AQ1691" s="81" t="n"/>
      <c r="AR1691" s="81" t="n"/>
      <c r="AS1691" s="81" t="n"/>
      <c r="AT1691" s="81" t="n"/>
      <c r="AU1691" s="81" t="n"/>
      <c r="AV1691" s="81" t="n"/>
      <c r="AW1691" s="81" t="n"/>
      <c r="AX1691" s="81" t="n"/>
      <c r="AY1691" s="81" t="n"/>
      <c r="AZ1691" s="81" t="n"/>
      <c r="BA1691" s="81" t="n"/>
      <c r="BB1691" s="81" t="n"/>
      <c r="BC1691" s="81" t="n"/>
      <c r="BD1691" s="81" t="n"/>
      <c r="BE1691" s="81" t="n"/>
      <c r="BF1691" s="81" t="n"/>
      <c r="BG1691" s="81" t="n"/>
      <c r="BH1691" s="81" t="n"/>
      <c r="BI1691" s="81" t="n"/>
      <c r="BJ1691" s="81" t="n"/>
      <c r="BK1691" s="81" t="n"/>
      <c r="BL1691" s="81" t="n"/>
      <c r="BM1691" s="81" t="n"/>
      <c r="BN1691" s="81" t="n"/>
      <c r="BO1691" s="81" t="n"/>
      <c r="BP1691" s="81" t="n"/>
      <c r="BQ1691" s="81" t="n"/>
      <c r="BR1691" s="81" t="n"/>
      <c r="BS1691" s="81" t="n"/>
      <c r="BT1691" s="81" t="n"/>
      <c r="BU1691" s="81" t="n"/>
      <c r="BV1691" s="81" t="n"/>
      <c r="BW1691" s="81" t="n"/>
      <c r="BX1691" s="81" t="n"/>
      <c r="BY1691" s="81" t="n"/>
      <c r="BZ1691" s="81" t="n"/>
      <c r="CA1691" s="81" t="n"/>
      <c r="CB1691" s="81" t="n"/>
      <c r="CC1691" s="81" t="n"/>
      <c r="CD1691" s="81" t="n"/>
      <c r="CE1691" s="81" t="n"/>
      <c r="CF1691" s="81" t="n"/>
      <c r="CG1691" s="81" t="n"/>
      <c r="CH1691" s="81" t="n"/>
    </row>
    <row r="1692">
      <c r="A1692" s="81" t="n"/>
      <c r="B1692" s="81" t="n"/>
      <c r="C1692" s="81" t="n"/>
      <c r="D1692" s="81" t="n"/>
      <c r="E1692" s="81" t="n"/>
      <c r="F1692" s="81" t="n"/>
      <c r="G1692" s="81" t="n"/>
      <c r="H1692" s="81" t="n"/>
      <c r="I1692" s="81" t="n"/>
      <c r="J1692" s="81" t="n"/>
      <c r="K1692" s="81" t="n"/>
      <c r="L1692" s="81" t="n"/>
      <c r="M1692" s="81" t="n"/>
      <c r="N1692" s="81" t="n"/>
      <c r="O1692" s="81" t="n"/>
      <c r="P1692" s="81" t="n"/>
      <c r="Q1692" s="81" t="n"/>
      <c r="R1692" s="81" t="n"/>
      <c r="S1692" s="81" t="n"/>
      <c r="T1692" s="81" t="n"/>
      <c r="U1692" s="81" t="n"/>
      <c r="V1692" s="81" t="n"/>
      <c r="W1692" s="81" t="n"/>
      <c r="X1692" s="81" t="n"/>
      <c r="Y1692" s="81" t="n"/>
      <c r="Z1692" s="81" t="n"/>
      <c r="AA1692" s="81" t="n"/>
      <c r="AB1692" s="81" t="n"/>
      <c r="AC1692" s="81" t="n"/>
      <c r="AD1692" s="81" t="n"/>
      <c r="AE1692" s="81" t="n"/>
      <c r="AF1692" s="81" t="n"/>
      <c r="AG1692" s="81" t="n"/>
      <c r="AH1692" s="81" t="n"/>
      <c r="AI1692" s="81" t="n"/>
      <c r="AJ1692" s="81" t="n"/>
      <c r="AK1692" s="81" t="n"/>
      <c r="AL1692" s="81" t="n"/>
      <c r="AM1692" s="81" t="n"/>
      <c r="AN1692" s="81" t="n"/>
      <c r="AO1692" s="81" t="n"/>
      <c r="AP1692" s="81" t="n"/>
      <c r="AQ1692" s="81" t="n"/>
      <c r="AR1692" s="81" t="n"/>
      <c r="AS1692" s="81" t="n"/>
      <c r="AT1692" s="81" t="n"/>
      <c r="AU1692" s="81" t="n"/>
      <c r="AV1692" s="81" t="n"/>
      <c r="AW1692" s="81" t="n"/>
      <c r="AX1692" s="81" t="n"/>
      <c r="AY1692" s="81" t="n"/>
      <c r="AZ1692" s="81" t="n"/>
      <c r="BA1692" s="81" t="n"/>
      <c r="BB1692" s="81" t="n"/>
      <c r="BC1692" s="81" t="n"/>
      <c r="BD1692" s="81" t="n"/>
      <c r="BE1692" s="81" t="n"/>
      <c r="BF1692" s="81" t="n"/>
      <c r="BG1692" s="81" t="n"/>
      <c r="BH1692" s="81" t="n"/>
      <c r="BI1692" s="81" t="n"/>
      <c r="BJ1692" s="81" t="n"/>
      <c r="BK1692" s="81" t="n"/>
      <c r="BL1692" s="81" t="n"/>
      <c r="BM1692" s="81" t="n"/>
      <c r="BN1692" s="81" t="n"/>
      <c r="BO1692" s="81" t="n"/>
      <c r="BP1692" s="81" t="n"/>
      <c r="BQ1692" s="81" t="n"/>
      <c r="BR1692" s="81" t="n"/>
      <c r="BS1692" s="81" t="n"/>
      <c r="BT1692" s="81" t="n"/>
      <c r="BU1692" s="81" t="n"/>
      <c r="BV1692" s="81" t="n"/>
      <c r="BW1692" s="81" t="n"/>
      <c r="BX1692" s="81" t="n"/>
      <c r="BY1692" s="81" t="n"/>
      <c r="BZ1692" s="81" t="n"/>
      <c r="CA1692" s="81" t="n"/>
      <c r="CB1692" s="81" t="n"/>
      <c r="CC1692" s="81" t="n"/>
      <c r="CD1692" s="81" t="n"/>
      <c r="CE1692" s="81" t="n"/>
      <c r="CF1692" s="81" t="n"/>
      <c r="CG1692" s="81" t="n"/>
      <c r="CH1692" s="81" t="n"/>
    </row>
    <row r="1693">
      <c r="A1693" s="81" t="n"/>
      <c r="B1693" s="81" t="n"/>
      <c r="C1693" s="81" t="n"/>
      <c r="D1693" s="81" t="n"/>
      <c r="E1693" s="81" t="n"/>
      <c r="F1693" s="81" t="n"/>
      <c r="G1693" s="81" t="n"/>
      <c r="H1693" s="81" t="n"/>
      <c r="I1693" s="81" t="n"/>
      <c r="J1693" s="81" t="n"/>
      <c r="K1693" s="81" t="n"/>
      <c r="L1693" s="81" t="n"/>
      <c r="M1693" s="81" t="n"/>
      <c r="N1693" s="81" t="n"/>
      <c r="O1693" s="81" t="n"/>
      <c r="P1693" s="81" t="n"/>
      <c r="Q1693" s="81" t="n"/>
      <c r="R1693" s="81" t="n"/>
      <c r="S1693" s="81" t="n"/>
      <c r="T1693" s="81" t="n"/>
      <c r="U1693" s="81" t="n"/>
      <c r="V1693" s="81" t="n"/>
      <c r="W1693" s="81" t="n"/>
      <c r="X1693" s="81" t="n"/>
      <c r="Y1693" s="81" t="n"/>
      <c r="Z1693" s="81" t="n"/>
      <c r="AA1693" s="81" t="n"/>
      <c r="AB1693" s="81" t="n"/>
      <c r="AC1693" s="81" t="n"/>
      <c r="AD1693" s="81" t="n"/>
      <c r="AE1693" s="81" t="n"/>
      <c r="AF1693" s="81" t="n"/>
      <c r="AG1693" s="81" t="n"/>
      <c r="AH1693" s="81" t="n"/>
      <c r="AI1693" s="81" t="n"/>
      <c r="AJ1693" s="81" t="n"/>
      <c r="AK1693" s="81" t="n"/>
      <c r="AL1693" s="81" t="n"/>
      <c r="AM1693" s="81" t="n"/>
      <c r="AN1693" s="81" t="n"/>
      <c r="AO1693" s="81" t="n"/>
      <c r="AP1693" s="81" t="n"/>
      <c r="AQ1693" s="81" t="n"/>
      <c r="AR1693" s="81" t="n"/>
      <c r="AS1693" s="81" t="n"/>
      <c r="AT1693" s="81" t="n"/>
      <c r="AU1693" s="81" t="n"/>
      <c r="AV1693" s="81" t="n"/>
      <c r="AW1693" s="81" t="n"/>
      <c r="AX1693" s="81" t="n"/>
      <c r="AY1693" s="81" t="n"/>
      <c r="AZ1693" s="81" t="n"/>
      <c r="BA1693" s="81" t="n"/>
      <c r="BB1693" s="81" t="n"/>
      <c r="BC1693" s="81" t="n"/>
      <c r="BD1693" s="81" t="n"/>
      <c r="BE1693" s="81" t="n"/>
      <c r="BF1693" s="81" t="n"/>
      <c r="BG1693" s="81" t="n"/>
      <c r="BH1693" s="81" t="n"/>
      <c r="BI1693" s="81" t="n"/>
      <c r="BJ1693" s="81" t="n"/>
      <c r="BK1693" s="81" t="n"/>
      <c r="BL1693" s="81" t="n"/>
      <c r="BM1693" s="81" t="n"/>
      <c r="BN1693" s="81" t="n"/>
      <c r="BO1693" s="81" t="n"/>
      <c r="BP1693" s="81" t="n"/>
      <c r="BQ1693" s="81" t="n"/>
      <c r="BR1693" s="81" t="n"/>
      <c r="BS1693" s="81" t="n"/>
      <c r="BT1693" s="81" t="n"/>
      <c r="BU1693" s="81" t="n"/>
      <c r="BV1693" s="81" t="n"/>
      <c r="BW1693" s="81" t="n"/>
      <c r="BX1693" s="81" t="n"/>
      <c r="BY1693" s="81" t="n"/>
      <c r="BZ1693" s="81" t="n"/>
      <c r="CA1693" s="81" t="n"/>
      <c r="CB1693" s="81" t="n"/>
      <c r="CC1693" s="81" t="n"/>
      <c r="CD1693" s="81" t="n"/>
      <c r="CE1693" s="81" t="n"/>
      <c r="CF1693" s="81" t="n"/>
      <c r="CG1693" s="81" t="n"/>
      <c r="CH1693" s="81" t="n"/>
    </row>
    <row r="1694">
      <c r="A1694" s="81" t="n"/>
      <c r="B1694" s="81" t="n"/>
      <c r="C1694" s="81" t="n"/>
      <c r="D1694" s="81" t="n"/>
      <c r="E1694" s="81" t="n"/>
      <c r="F1694" s="81" t="n"/>
      <c r="G1694" s="81" t="n"/>
      <c r="H1694" s="81" t="n"/>
      <c r="I1694" s="81" t="n"/>
      <c r="J1694" s="81" t="n"/>
      <c r="K1694" s="81" t="n"/>
      <c r="L1694" s="81" t="n"/>
      <c r="M1694" s="81" t="n"/>
      <c r="N1694" s="81" t="n"/>
      <c r="O1694" s="81" t="n"/>
      <c r="P1694" s="81" t="n"/>
      <c r="Q1694" s="81" t="n"/>
      <c r="R1694" s="81" t="n"/>
      <c r="S1694" s="81" t="n"/>
      <c r="T1694" s="81" t="n"/>
      <c r="U1694" s="81" t="n"/>
      <c r="V1694" s="81" t="n"/>
      <c r="W1694" s="81" t="n"/>
      <c r="X1694" s="81" t="n"/>
      <c r="Y1694" s="81" t="n"/>
      <c r="Z1694" s="81" t="n"/>
      <c r="AA1694" s="81" t="n"/>
      <c r="AB1694" s="81" t="n"/>
      <c r="AC1694" s="81" t="n"/>
      <c r="AD1694" s="81" t="n"/>
      <c r="AE1694" s="81" t="n"/>
      <c r="AF1694" s="81" t="n"/>
      <c r="AG1694" s="81" t="n"/>
      <c r="AH1694" s="81" t="n"/>
      <c r="AI1694" s="81" t="n"/>
      <c r="AJ1694" s="81" t="n"/>
      <c r="AK1694" s="81" t="n"/>
      <c r="AL1694" s="81" t="n"/>
      <c r="AM1694" s="81" t="n"/>
      <c r="AN1694" s="81" t="n"/>
      <c r="AO1694" s="81" t="n"/>
      <c r="AP1694" s="81" t="n"/>
      <c r="AQ1694" s="81" t="n"/>
      <c r="AR1694" s="81" t="n"/>
      <c r="AS1694" s="81" t="n"/>
      <c r="AT1694" s="81" t="n"/>
      <c r="AU1694" s="81" t="n"/>
      <c r="AV1694" s="81" t="n"/>
      <c r="AW1694" s="81" t="n"/>
      <c r="AX1694" s="81" t="n"/>
      <c r="AY1694" s="81" t="n"/>
      <c r="AZ1694" s="81" t="n"/>
      <c r="BA1694" s="81" t="n"/>
      <c r="BB1694" s="81" t="n"/>
      <c r="BC1694" s="81" t="n"/>
      <c r="BD1694" s="81" t="n"/>
      <c r="BE1694" s="81" t="n"/>
      <c r="BF1694" s="81" t="n"/>
      <c r="BG1694" s="81" t="n"/>
      <c r="BH1694" s="81" t="n"/>
      <c r="BI1694" s="81" t="n"/>
      <c r="BJ1694" s="81" t="n"/>
      <c r="BK1694" s="81" t="n"/>
      <c r="BL1694" s="81" t="n"/>
      <c r="BM1694" s="81" t="n"/>
      <c r="BN1694" s="81" t="n"/>
      <c r="BO1694" s="81" t="n"/>
      <c r="BP1694" s="81" t="n"/>
      <c r="BQ1694" s="81" t="n"/>
      <c r="BR1694" s="81" t="n"/>
      <c r="BS1694" s="81" t="n"/>
      <c r="BT1694" s="81" t="n"/>
      <c r="BU1694" s="81" t="n"/>
      <c r="BV1694" s="81" t="n"/>
      <c r="BW1694" s="81" t="n"/>
      <c r="BX1694" s="81" t="n"/>
      <c r="BY1694" s="81" t="n"/>
      <c r="BZ1694" s="81" t="n"/>
      <c r="CA1694" s="81" t="n"/>
      <c r="CB1694" s="81" t="n"/>
      <c r="CC1694" s="81" t="n"/>
      <c r="CD1694" s="81" t="n"/>
      <c r="CE1694" s="81" t="n"/>
      <c r="CF1694" s="81" t="n"/>
      <c r="CG1694" s="81" t="n"/>
      <c r="CH1694" s="81" t="n"/>
    </row>
    <row r="1695">
      <c r="A1695" s="81" t="n"/>
      <c r="B1695" s="81" t="n"/>
      <c r="C1695" s="81" t="n"/>
      <c r="D1695" s="81" t="n"/>
      <c r="E1695" s="81" t="n"/>
      <c r="F1695" s="81" t="n"/>
      <c r="G1695" s="81" t="n"/>
      <c r="H1695" s="81" t="n"/>
      <c r="I1695" s="81" t="n"/>
      <c r="J1695" s="81" t="n"/>
      <c r="K1695" s="81" t="n"/>
      <c r="L1695" s="81" t="n"/>
      <c r="M1695" s="81" t="n"/>
      <c r="N1695" s="81" t="n"/>
      <c r="O1695" s="81" t="n"/>
      <c r="P1695" s="81" t="n"/>
      <c r="Q1695" s="81" t="n"/>
      <c r="R1695" s="81" t="n"/>
      <c r="S1695" s="81" t="n"/>
      <c r="T1695" s="81" t="n"/>
      <c r="U1695" s="81" t="n"/>
      <c r="V1695" s="81" t="n"/>
      <c r="W1695" s="81" t="n"/>
      <c r="X1695" s="81" t="n"/>
      <c r="Y1695" s="81" t="n"/>
      <c r="Z1695" s="81" t="n"/>
      <c r="AA1695" s="81" t="n"/>
      <c r="AB1695" s="81" t="n"/>
      <c r="AC1695" s="81" t="n"/>
      <c r="AD1695" s="81" t="n"/>
      <c r="AE1695" s="81" t="n"/>
      <c r="AF1695" s="81" t="n"/>
      <c r="AG1695" s="81" t="n"/>
      <c r="AH1695" s="81" t="n"/>
      <c r="AI1695" s="81" t="n"/>
      <c r="AJ1695" s="81" t="n"/>
      <c r="AK1695" s="81" t="n"/>
      <c r="AL1695" s="81" t="n"/>
      <c r="AM1695" s="81" t="n"/>
      <c r="AN1695" s="81" t="n"/>
      <c r="AO1695" s="81" t="n"/>
      <c r="AP1695" s="81" t="n"/>
      <c r="AQ1695" s="81" t="n"/>
      <c r="AR1695" s="81" t="n"/>
      <c r="AS1695" s="81" t="n"/>
      <c r="AT1695" s="81" t="n"/>
      <c r="AU1695" s="81" t="n"/>
      <c r="AV1695" s="81" t="n"/>
      <c r="AW1695" s="81" t="n"/>
      <c r="AX1695" s="81" t="n"/>
      <c r="AY1695" s="81" t="n"/>
      <c r="AZ1695" s="81" t="n"/>
      <c r="BA1695" s="81" t="n"/>
      <c r="BB1695" s="81" t="n"/>
      <c r="BC1695" s="81" t="n"/>
      <c r="BD1695" s="81" t="n"/>
      <c r="BE1695" s="81" t="n"/>
      <c r="BF1695" s="81" t="n"/>
      <c r="BG1695" s="81" t="n"/>
      <c r="BH1695" s="81" t="n"/>
      <c r="BI1695" s="81" t="n"/>
      <c r="BJ1695" s="81" t="n"/>
      <c r="BK1695" s="81" t="n"/>
      <c r="BL1695" s="81" t="n"/>
      <c r="BM1695" s="81" t="n"/>
      <c r="BN1695" s="81" t="n"/>
      <c r="BO1695" s="81" t="n"/>
      <c r="BP1695" s="81" t="n"/>
      <c r="BQ1695" s="81" t="n"/>
      <c r="BR1695" s="81" t="n"/>
      <c r="BS1695" s="81" t="n"/>
      <c r="BT1695" s="81" t="n"/>
      <c r="BU1695" s="81" t="n"/>
      <c r="BV1695" s="81" t="n"/>
      <c r="BW1695" s="81" t="n"/>
      <c r="BX1695" s="81" t="n"/>
      <c r="BY1695" s="81" t="n"/>
      <c r="BZ1695" s="81" t="n"/>
      <c r="CA1695" s="81" t="n"/>
      <c r="CB1695" s="81" t="n"/>
      <c r="CC1695" s="81" t="n"/>
      <c r="CD1695" s="81" t="n"/>
      <c r="CE1695" s="81" t="n"/>
      <c r="CF1695" s="81" t="n"/>
      <c r="CG1695" s="81" t="n"/>
      <c r="CH1695" s="81" t="n"/>
    </row>
    <row r="1696">
      <c r="A1696" s="81" t="n"/>
      <c r="B1696" s="81" t="n"/>
      <c r="C1696" s="81" t="n"/>
      <c r="D1696" s="81" t="n"/>
      <c r="E1696" s="81" t="n"/>
      <c r="F1696" s="81" t="n"/>
      <c r="G1696" s="81" t="n"/>
      <c r="H1696" s="81" t="n"/>
      <c r="I1696" s="81" t="n"/>
      <c r="J1696" s="81" t="n"/>
      <c r="K1696" s="81" t="n"/>
      <c r="L1696" s="81" t="n"/>
      <c r="M1696" s="81" t="n"/>
      <c r="N1696" s="81" t="n"/>
      <c r="O1696" s="81" t="n"/>
      <c r="P1696" s="81" t="n"/>
      <c r="Q1696" s="81" t="n"/>
      <c r="R1696" s="81" t="n"/>
      <c r="S1696" s="81" t="n"/>
      <c r="T1696" s="81" t="n"/>
      <c r="U1696" s="81" t="n"/>
      <c r="V1696" s="81" t="n"/>
      <c r="W1696" s="81" t="n"/>
      <c r="X1696" s="81" t="n"/>
      <c r="Y1696" s="81" t="n"/>
      <c r="Z1696" s="81" t="n"/>
      <c r="AA1696" s="81" t="n"/>
      <c r="AB1696" s="81" t="n"/>
      <c r="AC1696" s="81" t="n"/>
      <c r="AD1696" s="81" t="n"/>
      <c r="AE1696" s="81" t="n"/>
      <c r="AF1696" s="81" t="n"/>
      <c r="AG1696" s="81" t="n"/>
      <c r="AH1696" s="81" t="n"/>
      <c r="AI1696" s="81" t="n"/>
      <c r="AJ1696" s="81" t="n"/>
      <c r="AK1696" s="81" t="n"/>
      <c r="AL1696" s="81" t="n"/>
      <c r="AM1696" s="81" t="n"/>
      <c r="AN1696" s="81" t="n"/>
      <c r="AO1696" s="81" t="n"/>
      <c r="AP1696" s="81" t="n"/>
      <c r="AQ1696" s="81" t="n"/>
      <c r="AR1696" s="81" t="n"/>
      <c r="AS1696" s="81" t="n"/>
      <c r="AT1696" s="81" t="n"/>
      <c r="AU1696" s="81" t="n"/>
      <c r="AV1696" s="81" t="n"/>
      <c r="AW1696" s="81" t="n"/>
      <c r="AX1696" s="81" t="n"/>
      <c r="AY1696" s="81" t="n"/>
      <c r="AZ1696" s="81" t="n"/>
      <c r="BA1696" s="81" t="n"/>
      <c r="BB1696" s="81" t="n"/>
      <c r="BC1696" s="81" t="n"/>
      <c r="BD1696" s="81" t="n"/>
      <c r="BE1696" s="81" t="n"/>
      <c r="BF1696" s="81" t="n"/>
      <c r="BG1696" s="81" t="n"/>
      <c r="BH1696" s="81" t="n"/>
      <c r="BI1696" s="81" t="n"/>
      <c r="BJ1696" s="81" t="n"/>
      <c r="BK1696" s="81" t="n"/>
      <c r="BL1696" s="81" t="n"/>
      <c r="BM1696" s="81" t="n"/>
      <c r="BN1696" s="81" t="n"/>
      <c r="BO1696" s="81" t="n"/>
      <c r="BP1696" s="81" t="n"/>
      <c r="BQ1696" s="81" t="n"/>
      <c r="BR1696" s="81" t="n"/>
      <c r="BS1696" s="81" t="n"/>
      <c r="BT1696" s="81" t="n"/>
      <c r="BU1696" s="81" t="n"/>
      <c r="BV1696" s="81" t="n"/>
      <c r="BW1696" s="81" t="n"/>
      <c r="BX1696" s="81" t="n"/>
      <c r="BY1696" s="81" t="n"/>
      <c r="BZ1696" s="81" t="n"/>
      <c r="CA1696" s="81" t="n"/>
      <c r="CB1696" s="81" t="n"/>
      <c r="CC1696" s="81" t="n"/>
      <c r="CD1696" s="81" t="n"/>
      <c r="CE1696" s="81" t="n"/>
      <c r="CF1696" s="81" t="n"/>
      <c r="CG1696" s="81" t="n"/>
      <c r="CH1696" s="81" t="n"/>
    </row>
    <row r="1697">
      <c r="A1697" s="81" t="n"/>
      <c r="B1697" s="81" t="n"/>
      <c r="C1697" s="81" t="n"/>
      <c r="D1697" s="81" t="n"/>
      <c r="E1697" s="81" t="n"/>
      <c r="F1697" s="81" t="n"/>
      <c r="G1697" s="81" t="n"/>
      <c r="H1697" s="81" t="n"/>
      <c r="I1697" s="81" t="n"/>
      <c r="J1697" s="81" t="n"/>
      <c r="K1697" s="81" t="n"/>
      <c r="L1697" s="81" t="n"/>
      <c r="M1697" s="81" t="n"/>
      <c r="N1697" s="81" t="n"/>
      <c r="O1697" s="81" t="n"/>
      <c r="P1697" s="81" t="n"/>
      <c r="Q1697" s="81" t="n"/>
      <c r="R1697" s="81" t="n"/>
      <c r="S1697" s="81" t="n"/>
      <c r="T1697" s="81" t="n"/>
      <c r="U1697" s="81" t="n"/>
      <c r="V1697" s="81" t="n"/>
      <c r="W1697" s="81" t="n"/>
      <c r="X1697" s="81" t="n"/>
      <c r="Y1697" s="81" t="n"/>
      <c r="Z1697" s="81" t="n"/>
      <c r="AA1697" s="81" t="n"/>
      <c r="AB1697" s="81" t="n"/>
      <c r="AC1697" s="81" t="n"/>
      <c r="AD1697" s="81" t="n"/>
      <c r="AE1697" s="81" t="n"/>
      <c r="AF1697" s="81" t="n"/>
      <c r="AG1697" s="81" t="n"/>
      <c r="AH1697" s="81" t="n"/>
      <c r="AI1697" s="81" t="n"/>
      <c r="AJ1697" s="81" t="n"/>
      <c r="AK1697" s="81" t="n"/>
      <c r="AL1697" s="81" t="n"/>
      <c r="AM1697" s="81" t="n"/>
      <c r="AN1697" s="81" t="n"/>
      <c r="AO1697" s="81" t="n"/>
      <c r="AP1697" s="81" t="n"/>
      <c r="AQ1697" s="81" t="n"/>
      <c r="AR1697" s="81" t="n"/>
      <c r="AS1697" s="81" t="n"/>
      <c r="AT1697" s="81" t="n"/>
      <c r="AU1697" s="81" t="n"/>
      <c r="AV1697" s="81" t="n"/>
      <c r="AW1697" s="81" t="n"/>
      <c r="AX1697" s="81" t="n"/>
      <c r="AY1697" s="81" t="n"/>
      <c r="AZ1697" s="81" t="n"/>
      <c r="BA1697" s="81" t="n"/>
      <c r="BB1697" s="81" t="n"/>
      <c r="BC1697" s="81" t="n"/>
      <c r="BD1697" s="81" t="n"/>
      <c r="BE1697" s="81" t="n"/>
      <c r="BF1697" s="81" t="n"/>
      <c r="BG1697" s="81" t="n"/>
      <c r="BH1697" s="81" t="n"/>
      <c r="BI1697" s="81" t="n"/>
      <c r="BJ1697" s="81" t="n"/>
      <c r="BK1697" s="81" t="n"/>
      <c r="BL1697" s="81" t="n"/>
      <c r="BM1697" s="81" t="n"/>
      <c r="BN1697" s="81" t="n"/>
      <c r="BO1697" s="81" t="n"/>
      <c r="BP1697" s="81" t="n"/>
      <c r="BQ1697" s="81" t="n"/>
      <c r="BR1697" s="81" t="n"/>
      <c r="BS1697" s="81" t="n"/>
      <c r="BT1697" s="81" t="n"/>
      <c r="BU1697" s="81" t="n"/>
      <c r="BV1697" s="81" t="n"/>
      <c r="BW1697" s="81" t="n"/>
      <c r="BX1697" s="81" t="n"/>
      <c r="BY1697" s="81" t="n"/>
      <c r="BZ1697" s="81" t="n"/>
      <c r="CA1697" s="81" t="n"/>
      <c r="CB1697" s="81" t="n"/>
      <c r="CC1697" s="81" t="n"/>
      <c r="CD1697" s="81" t="n"/>
      <c r="CE1697" s="81" t="n"/>
      <c r="CF1697" s="81" t="n"/>
      <c r="CG1697" s="81" t="n"/>
      <c r="CH1697" s="81" t="n"/>
    </row>
    <row r="1698">
      <c r="A1698" s="81" t="n"/>
      <c r="B1698" s="81" t="n"/>
      <c r="C1698" s="81" t="n"/>
      <c r="D1698" s="81" t="n"/>
      <c r="E1698" s="81" t="n"/>
      <c r="F1698" s="81" t="n"/>
      <c r="G1698" s="81" t="n"/>
      <c r="H1698" s="81" t="n"/>
      <c r="I1698" s="81" t="n"/>
      <c r="J1698" s="81" t="n"/>
      <c r="K1698" s="81" t="n"/>
      <c r="L1698" s="81" t="n"/>
      <c r="M1698" s="81" t="n"/>
      <c r="N1698" s="81" t="n"/>
      <c r="O1698" s="81" t="n"/>
      <c r="P1698" s="81" t="n"/>
      <c r="Q1698" s="81" t="n"/>
      <c r="R1698" s="81" t="n"/>
      <c r="S1698" s="81" t="n"/>
      <c r="T1698" s="81" t="n"/>
      <c r="U1698" s="81" t="n"/>
      <c r="V1698" s="81" t="n"/>
      <c r="W1698" s="81" t="n"/>
      <c r="X1698" s="81" t="n"/>
      <c r="Y1698" s="81" t="n"/>
      <c r="Z1698" s="81" t="n"/>
      <c r="AA1698" s="81" t="n"/>
      <c r="AB1698" s="81" t="n"/>
      <c r="AC1698" s="81" t="n"/>
      <c r="AD1698" s="81" t="n"/>
      <c r="AE1698" s="81" t="n"/>
      <c r="AF1698" s="81" t="n"/>
      <c r="AG1698" s="81" t="n"/>
      <c r="AH1698" s="81" t="n"/>
      <c r="AI1698" s="81" t="n"/>
      <c r="AJ1698" s="81" t="n"/>
      <c r="AK1698" s="81" t="n"/>
      <c r="AL1698" s="81" t="n"/>
      <c r="AM1698" s="81" t="n"/>
      <c r="AN1698" s="81" t="n"/>
      <c r="AO1698" s="81" t="n"/>
      <c r="AP1698" s="81" t="n"/>
      <c r="AQ1698" s="81" t="n"/>
      <c r="AR1698" s="81" t="n"/>
      <c r="AS1698" s="81" t="n"/>
      <c r="AT1698" s="81" t="n"/>
      <c r="AU1698" s="81" t="n"/>
      <c r="AV1698" s="81" t="n"/>
      <c r="AW1698" s="81" t="n"/>
      <c r="AX1698" s="81" t="n"/>
      <c r="AY1698" s="81" t="n"/>
      <c r="AZ1698" s="81" t="n"/>
      <c r="BA1698" s="81" t="n"/>
      <c r="BB1698" s="81" t="n"/>
      <c r="BC1698" s="81" t="n"/>
      <c r="BD1698" s="81" t="n"/>
      <c r="BE1698" s="81" t="n"/>
      <c r="BF1698" s="81" t="n"/>
      <c r="BG1698" s="81" t="n"/>
      <c r="BH1698" s="81" t="n"/>
      <c r="BI1698" s="81" t="n"/>
      <c r="BJ1698" s="81" t="n"/>
      <c r="BK1698" s="81" t="n"/>
      <c r="BL1698" s="81" t="n"/>
      <c r="BM1698" s="81" t="n"/>
      <c r="BN1698" s="81" t="n"/>
      <c r="BO1698" s="81" t="n"/>
      <c r="BP1698" s="81" t="n"/>
      <c r="BQ1698" s="81" t="n"/>
      <c r="BR1698" s="81" t="n"/>
      <c r="BS1698" s="81" t="n"/>
      <c r="BT1698" s="81" t="n"/>
      <c r="BU1698" s="81" t="n"/>
      <c r="BV1698" s="81" t="n"/>
      <c r="BW1698" s="81" t="n"/>
      <c r="BX1698" s="81" t="n"/>
      <c r="BY1698" s="81" t="n"/>
      <c r="BZ1698" s="81" t="n"/>
      <c r="CA1698" s="81" t="n"/>
      <c r="CB1698" s="81" t="n"/>
      <c r="CC1698" s="81" t="n"/>
      <c r="CD1698" s="81" t="n"/>
      <c r="CE1698" s="81" t="n"/>
      <c r="CF1698" s="81" t="n"/>
      <c r="CG1698" s="81" t="n"/>
      <c r="CH1698" s="81" t="n"/>
    </row>
    <row r="1699">
      <c r="A1699" s="81" t="n"/>
      <c r="B1699" s="81" t="n"/>
      <c r="C1699" s="81" t="n"/>
      <c r="D1699" s="81" t="n"/>
      <c r="E1699" s="81" t="n"/>
      <c r="F1699" s="81" t="n"/>
      <c r="G1699" s="81" t="n"/>
      <c r="H1699" s="81" t="n"/>
      <c r="I1699" s="81" t="n"/>
      <c r="J1699" s="81" t="n"/>
      <c r="K1699" s="81" t="n"/>
      <c r="L1699" s="81" t="n"/>
      <c r="M1699" s="81" t="n"/>
      <c r="N1699" s="81" t="n"/>
      <c r="O1699" s="81" t="n"/>
      <c r="P1699" s="81" t="n"/>
      <c r="Q1699" s="81" t="n"/>
      <c r="R1699" s="81" t="n"/>
      <c r="S1699" s="81" t="n"/>
      <c r="T1699" s="81" t="n"/>
      <c r="U1699" s="81" t="n"/>
      <c r="V1699" s="81" t="n"/>
      <c r="W1699" s="81" t="n"/>
      <c r="X1699" s="81" t="n"/>
      <c r="Y1699" s="81" t="n"/>
      <c r="Z1699" s="81" t="n"/>
      <c r="AA1699" s="81" t="n"/>
      <c r="AB1699" s="81" t="n"/>
      <c r="AC1699" s="81" t="n"/>
      <c r="AD1699" s="81" t="n"/>
      <c r="AE1699" s="81" t="n"/>
      <c r="AF1699" s="81" t="n"/>
      <c r="AG1699" s="81" t="n"/>
      <c r="AH1699" s="81" t="n"/>
      <c r="AI1699" s="81" t="n"/>
      <c r="AJ1699" s="81" t="n"/>
      <c r="AK1699" s="81" t="n"/>
      <c r="AL1699" s="81" t="n"/>
      <c r="AM1699" s="81" t="n"/>
      <c r="AN1699" s="81" t="n"/>
      <c r="AO1699" s="81" t="n"/>
      <c r="AP1699" s="81" t="n"/>
      <c r="AQ1699" s="81" t="n"/>
      <c r="AR1699" s="81" t="n"/>
      <c r="AS1699" s="81" t="n"/>
      <c r="AT1699" s="81" t="n"/>
      <c r="AU1699" s="81" t="n"/>
      <c r="AV1699" s="81" t="n"/>
      <c r="AW1699" s="81" t="n"/>
      <c r="AX1699" s="81" t="n"/>
      <c r="AY1699" s="81" t="n"/>
      <c r="AZ1699" s="81" t="n"/>
      <c r="BA1699" s="81" t="n"/>
      <c r="BB1699" s="81" t="n"/>
      <c r="BC1699" s="81" t="n"/>
      <c r="BD1699" s="81" t="n"/>
      <c r="BE1699" s="81" t="n"/>
      <c r="BF1699" s="81" t="n"/>
      <c r="BG1699" s="81" t="n"/>
      <c r="BH1699" s="81" t="n"/>
      <c r="BI1699" s="81" t="n"/>
      <c r="BJ1699" s="81" t="n"/>
      <c r="BK1699" s="81" t="n"/>
      <c r="BL1699" s="81" t="n"/>
      <c r="BM1699" s="81" t="n"/>
      <c r="BN1699" s="81" t="n"/>
      <c r="BO1699" s="81" t="n"/>
      <c r="BP1699" s="81" t="n"/>
      <c r="BQ1699" s="81" t="n"/>
      <c r="BR1699" s="81" t="n"/>
      <c r="BS1699" s="81" t="n"/>
      <c r="BT1699" s="81" t="n"/>
      <c r="BU1699" s="81" t="n"/>
      <c r="BV1699" s="81" t="n"/>
      <c r="BW1699" s="81" t="n"/>
      <c r="BX1699" s="81" t="n"/>
      <c r="BY1699" s="81" t="n"/>
      <c r="BZ1699" s="81" t="n"/>
      <c r="CA1699" s="81" t="n"/>
      <c r="CB1699" s="81" t="n"/>
      <c r="CC1699" s="81" t="n"/>
      <c r="CD1699" s="81" t="n"/>
      <c r="CE1699" s="81" t="n"/>
      <c r="CF1699" s="81" t="n"/>
      <c r="CG1699" s="81" t="n"/>
      <c r="CH1699" s="81" t="n"/>
    </row>
    <row r="1700">
      <c r="A1700" s="81" t="n"/>
      <c r="B1700" s="81" t="n"/>
      <c r="C1700" s="81" t="n"/>
      <c r="D1700" s="81" t="n"/>
      <c r="E1700" s="81" t="n"/>
      <c r="F1700" s="81" t="n"/>
      <c r="G1700" s="81" t="n"/>
      <c r="H1700" s="81" t="n"/>
      <c r="I1700" s="81" t="n"/>
      <c r="J1700" s="81" t="n"/>
      <c r="K1700" s="81" t="n"/>
      <c r="L1700" s="81" t="n"/>
      <c r="M1700" s="81" t="n"/>
      <c r="N1700" s="81" t="n"/>
      <c r="O1700" s="81" t="n"/>
      <c r="P1700" s="81" t="n"/>
      <c r="Q1700" s="81" t="n"/>
      <c r="R1700" s="81" t="n"/>
      <c r="S1700" s="81" t="n"/>
      <c r="T1700" s="81" t="n"/>
      <c r="U1700" s="81" t="n"/>
      <c r="V1700" s="81" t="n"/>
      <c r="W1700" s="81" t="n"/>
      <c r="X1700" s="81" t="n"/>
      <c r="Y1700" s="81" t="n"/>
      <c r="Z1700" s="81" t="n"/>
      <c r="AA1700" s="81" t="n"/>
      <c r="AB1700" s="81" t="n"/>
      <c r="AC1700" s="81" t="n"/>
      <c r="AD1700" s="81" t="n"/>
      <c r="AE1700" s="81" t="n"/>
      <c r="AF1700" s="81" t="n"/>
      <c r="AG1700" s="81" t="n"/>
      <c r="AH1700" s="81" t="n"/>
      <c r="AI1700" s="81" t="n"/>
      <c r="AJ1700" s="81" t="n"/>
      <c r="AK1700" s="81" t="n"/>
      <c r="AL1700" s="81" t="n"/>
      <c r="AM1700" s="81" t="n"/>
      <c r="AN1700" s="81" t="n"/>
      <c r="AO1700" s="81" t="n"/>
      <c r="AP1700" s="81" t="n"/>
      <c r="AQ1700" s="81" t="n"/>
      <c r="AR1700" s="81" t="n"/>
      <c r="AS1700" s="81" t="n"/>
      <c r="AT1700" s="81" t="n"/>
      <c r="AU1700" s="81" t="n"/>
      <c r="AV1700" s="81" t="n"/>
      <c r="AW1700" s="81" t="n"/>
      <c r="AX1700" s="81" t="n"/>
      <c r="AY1700" s="81" t="n"/>
      <c r="AZ1700" s="81" t="n"/>
      <c r="BA1700" s="81" t="n"/>
      <c r="BB1700" s="81" t="n"/>
      <c r="BC1700" s="81" t="n"/>
      <c r="BD1700" s="81" t="n"/>
      <c r="BE1700" s="81" t="n"/>
      <c r="BF1700" s="81" t="n"/>
      <c r="BG1700" s="81" t="n"/>
      <c r="BH1700" s="81" t="n"/>
      <c r="BI1700" s="81" t="n"/>
      <c r="BJ1700" s="81" t="n"/>
      <c r="BK1700" s="81" t="n"/>
      <c r="BL1700" s="81" t="n"/>
      <c r="BM1700" s="81" t="n"/>
      <c r="BN1700" s="81" t="n"/>
      <c r="BO1700" s="81" t="n"/>
      <c r="BP1700" s="81" t="n"/>
      <c r="BQ1700" s="81" t="n"/>
      <c r="BR1700" s="81" t="n"/>
      <c r="BS1700" s="81" t="n"/>
      <c r="BT1700" s="81" t="n"/>
      <c r="BU1700" s="81" t="n"/>
      <c r="BV1700" s="81" t="n"/>
      <c r="BW1700" s="81" t="n"/>
      <c r="BX1700" s="81" t="n"/>
      <c r="BY1700" s="81" t="n"/>
      <c r="BZ1700" s="81" t="n"/>
      <c r="CA1700" s="81" t="n"/>
      <c r="CB1700" s="81" t="n"/>
      <c r="CC1700" s="81" t="n"/>
      <c r="CD1700" s="81" t="n"/>
      <c r="CE1700" s="81" t="n"/>
      <c r="CF1700" s="81" t="n"/>
      <c r="CG1700" s="81" t="n"/>
      <c r="CH1700" s="81" t="n"/>
    </row>
    <row r="1701">
      <c r="A1701" s="81" t="n"/>
      <c r="B1701" s="81" t="n"/>
      <c r="C1701" s="81" t="n"/>
      <c r="D1701" s="81" t="n"/>
      <c r="E1701" s="81" t="n"/>
      <c r="F1701" s="81" t="n"/>
      <c r="G1701" s="81" t="n"/>
      <c r="H1701" s="81" t="n"/>
      <c r="I1701" s="81" t="n"/>
      <c r="J1701" s="81" t="n"/>
      <c r="K1701" s="81" t="n"/>
      <c r="L1701" s="81" t="n"/>
      <c r="M1701" s="81" t="n"/>
      <c r="N1701" s="81" t="n"/>
      <c r="O1701" s="81" t="n"/>
      <c r="P1701" s="81" t="n"/>
      <c r="Q1701" s="81" t="n"/>
      <c r="R1701" s="81" t="n"/>
      <c r="S1701" s="81" t="n"/>
      <c r="T1701" s="81" t="n"/>
      <c r="U1701" s="81" t="n"/>
      <c r="V1701" s="81" t="n"/>
      <c r="W1701" s="81" t="n"/>
      <c r="X1701" s="81" t="n"/>
      <c r="Y1701" s="81" t="n"/>
      <c r="Z1701" s="81" t="n"/>
      <c r="AA1701" s="81" t="n"/>
      <c r="AB1701" s="81" t="n"/>
      <c r="AC1701" s="81" t="n"/>
      <c r="AD1701" s="81" t="n"/>
      <c r="AE1701" s="81" t="n"/>
      <c r="AF1701" s="81" t="n"/>
      <c r="AG1701" s="81" t="n"/>
      <c r="AH1701" s="81" t="n"/>
      <c r="AI1701" s="81" t="n"/>
      <c r="AJ1701" s="81" t="n"/>
      <c r="AK1701" s="81" t="n"/>
      <c r="AL1701" s="81" t="n"/>
      <c r="AM1701" s="81" t="n"/>
      <c r="AN1701" s="81" t="n"/>
      <c r="AO1701" s="81" t="n"/>
      <c r="AP1701" s="81" t="n"/>
      <c r="AQ1701" s="81" t="n"/>
      <c r="AR1701" s="81" t="n"/>
      <c r="AS1701" s="81" t="n"/>
      <c r="AT1701" s="81" t="n"/>
      <c r="AU1701" s="81" t="n"/>
      <c r="AV1701" s="81" t="n"/>
      <c r="AW1701" s="81" t="n"/>
      <c r="AX1701" s="81" t="n"/>
      <c r="AY1701" s="81" t="n"/>
      <c r="AZ1701" s="81" t="n"/>
      <c r="BA1701" s="81" t="n"/>
      <c r="BB1701" s="81" t="n"/>
      <c r="BC1701" s="81" t="n"/>
      <c r="BD1701" s="81" t="n"/>
      <c r="BE1701" s="81" t="n"/>
      <c r="BF1701" s="81" t="n"/>
      <c r="BG1701" s="81" t="n"/>
      <c r="BH1701" s="81" t="n"/>
      <c r="BI1701" s="81" t="n"/>
      <c r="BJ1701" s="81" t="n"/>
      <c r="BK1701" s="81" t="n"/>
      <c r="BL1701" s="81" t="n"/>
      <c r="BM1701" s="81" t="n"/>
      <c r="BN1701" s="81" t="n"/>
      <c r="BO1701" s="81" t="n"/>
      <c r="BP1701" s="81" t="n"/>
      <c r="BQ1701" s="81" t="n"/>
      <c r="BR1701" s="81" t="n"/>
      <c r="BS1701" s="81" t="n"/>
      <c r="BT1701" s="81" t="n"/>
      <c r="BU1701" s="81" t="n"/>
      <c r="BV1701" s="81" t="n"/>
      <c r="BW1701" s="81" t="n"/>
      <c r="BX1701" s="81" t="n"/>
      <c r="BY1701" s="81" t="n"/>
      <c r="BZ1701" s="81" t="n"/>
      <c r="CA1701" s="81" t="n"/>
      <c r="CB1701" s="81" t="n"/>
      <c r="CC1701" s="81" t="n"/>
      <c r="CD1701" s="81" t="n"/>
      <c r="CE1701" s="81" t="n"/>
      <c r="CF1701" s="81" t="n"/>
      <c r="CG1701" s="81" t="n"/>
      <c r="CH1701" s="81" t="n"/>
    </row>
    <row r="1702">
      <c r="A1702" s="81" t="n"/>
      <c r="B1702" s="81" t="n"/>
      <c r="C1702" s="81" t="n"/>
      <c r="D1702" s="81" t="n"/>
      <c r="E1702" s="81" t="n"/>
      <c r="F1702" s="81" t="n"/>
      <c r="G1702" s="81" t="n"/>
      <c r="H1702" s="81" t="n"/>
      <c r="I1702" s="81" t="n"/>
      <c r="J1702" s="81" t="n"/>
      <c r="K1702" s="81" t="n"/>
      <c r="L1702" s="81" t="n"/>
      <c r="M1702" s="81" t="n"/>
      <c r="N1702" s="81" t="n"/>
      <c r="O1702" s="81" t="n"/>
      <c r="P1702" s="81" t="n"/>
      <c r="Q1702" s="81" t="n"/>
      <c r="R1702" s="81" t="n"/>
      <c r="S1702" s="81" t="n"/>
      <c r="T1702" s="81" t="n"/>
      <c r="U1702" s="81" t="n"/>
      <c r="V1702" s="81" t="n"/>
      <c r="W1702" s="81" t="n"/>
      <c r="X1702" s="81" t="n"/>
      <c r="Y1702" s="81" t="n"/>
      <c r="Z1702" s="81" t="n"/>
      <c r="AA1702" s="81" t="n"/>
      <c r="AB1702" s="81" t="n"/>
      <c r="AC1702" s="81" t="n"/>
      <c r="AD1702" s="81" t="n"/>
      <c r="AE1702" s="81" t="n"/>
      <c r="AF1702" s="81" t="n"/>
      <c r="AG1702" s="81" t="n"/>
      <c r="AH1702" s="81" t="n"/>
      <c r="AI1702" s="81" t="n"/>
      <c r="AJ1702" s="81" t="n"/>
      <c r="AK1702" s="81" t="n"/>
      <c r="AL1702" s="81" t="n"/>
      <c r="AM1702" s="81" t="n"/>
      <c r="AN1702" s="81" t="n"/>
      <c r="AO1702" s="81" t="n"/>
      <c r="AP1702" s="81" t="n"/>
      <c r="AQ1702" s="81" t="n"/>
      <c r="AR1702" s="81" t="n"/>
      <c r="AS1702" s="81" t="n"/>
      <c r="AT1702" s="81" t="n"/>
      <c r="AU1702" s="81" t="n"/>
      <c r="AV1702" s="81" t="n"/>
      <c r="AW1702" s="81" t="n"/>
      <c r="AX1702" s="81" t="n"/>
      <c r="AY1702" s="81" t="n"/>
      <c r="AZ1702" s="81" t="n"/>
      <c r="BA1702" s="81" t="n"/>
      <c r="BB1702" s="81" t="n"/>
      <c r="BC1702" s="81" t="n"/>
      <c r="BD1702" s="81" t="n"/>
      <c r="BE1702" s="81" t="n"/>
      <c r="BF1702" s="81" t="n"/>
      <c r="BG1702" s="81" t="n"/>
      <c r="BH1702" s="81" t="n"/>
      <c r="BI1702" s="81" t="n"/>
      <c r="BJ1702" s="81" t="n"/>
      <c r="BK1702" s="81" t="n"/>
      <c r="BL1702" s="81" t="n"/>
      <c r="BM1702" s="81" t="n"/>
      <c r="BN1702" s="81" t="n"/>
      <c r="BO1702" s="81" t="n"/>
      <c r="BP1702" s="81" t="n"/>
      <c r="BQ1702" s="81" t="n"/>
      <c r="BR1702" s="81" t="n"/>
      <c r="BS1702" s="81" t="n"/>
      <c r="BT1702" s="81" t="n"/>
      <c r="BU1702" s="81" t="n"/>
      <c r="BV1702" s="81" t="n"/>
      <c r="BW1702" s="81" t="n"/>
      <c r="BX1702" s="81" t="n"/>
      <c r="BY1702" s="81" t="n"/>
      <c r="BZ1702" s="81" t="n"/>
      <c r="CA1702" s="81" t="n"/>
      <c r="CB1702" s="81" t="n"/>
      <c r="CC1702" s="81" t="n"/>
      <c r="CD1702" s="81" t="n"/>
      <c r="CE1702" s="81" t="n"/>
      <c r="CF1702" s="81" t="n"/>
      <c r="CG1702" s="81" t="n"/>
      <c r="CH1702" s="81" t="n"/>
    </row>
    <row r="1703">
      <c r="A1703" s="81" t="n"/>
      <c r="B1703" s="81" t="n"/>
      <c r="C1703" s="81" t="n"/>
      <c r="D1703" s="81" t="n"/>
      <c r="E1703" s="81" t="n"/>
      <c r="F1703" s="81" t="n"/>
      <c r="G1703" s="81" t="n"/>
      <c r="H1703" s="81" t="n"/>
      <c r="I1703" s="81" t="n"/>
      <c r="J1703" s="81" t="n"/>
      <c r="K1703" s="81" t="n"/>
      <c r="L1703" s="81" t="n"/>
      <c r="M1703" s="81" t="n"/>
      <c r="N1703" s="81" t="n"/>
      <c r="O1703" s="81" t="n"/>
      <c r="P1703" s="81" t="n"/>
      <c r="Q1703" s="81" t="n"/>
      <c r="R1703" s="81" t="n"/>
      <c r="S1703" s="81" t="n"/>
      <c r="T1703" s="81" t="n"/>
      <c r="U1703" s="81" t="n"/>
      <c r="V1703" s="81" t="n"/>
      <c r="W1703" s="81" t="n"/>
      <c r="X1703" s="81" t="n"/>
      <c r="Y1703" s="81" t="n"/>
      <c r="Z1703" s="81" t="n"/>
      <c r="AA1703" s="81" t="n"/>
      <c r="AB1703" s="81" t="n"/>
      <c r="AC1703" s="81" t="n"/>
      <c r="AD1703" s="81" t="n"/>
      <c r="AE1703" s="81" t="n"/>
      <c r="AF1703" s="81" t="n"/>
      <c r="AG1703" s="81" t="n"/>
      <c r="AH1703" s="81" t="n"/>
      <c r="AI1703" s="81" t="n"/>
      <c r="AJ1703" s="81" t="n"/>
      <c r="AK1703" s="81" t="n"/>
      <c r="AL1703" s="81" t="n"/>
      <c r="AM1703" s="81" t="n"/>
      <c r="AN1703" s="81" t="n"/>
      <c r="AO1703" s="81" t="n"/>
      <c r="AP1703" s="81" t="n"/>
      <c r="AQ1703" s="81" t="n"/>
      <c r="AR1703" s="81" t="n"/>
      <c r="AS1703" s="81" t="n"/>
      <c r="AT1703" s="81" t="n"/>
      <c r="AU1703" s="81" t="n"/>
      <c r="AV1703" s="81" t="n"/>
      <c r="AW1703" s="81" t="n"/>
      <c r="AX1703" s="81" t="n"/>
      <c r="AY1703" s="81" t="n"/>
      <c r="AZ1703" s="81" t="n"/>
      <c r="BA1703" s="81" t="n"/>
      <c r="BB1703" s="81" t="n"/>
      <c r="BC1703" s="81" t="n"/>
      <c r="BD1703" s="81" t="n"/>
      <c r="BE1703" s="81" t="n"/>
      <c r="BF1703" s="81" t="n"/>
      <c r="BG1703" s="81" t="n"/>
      <c r="BH1703" s="81" t="n"/>
      <c r="BI1703" s="81" t="n"/>
      <c r="BJ1703" s="81" t="n"/>
      <c r="BK1703" s="81" t="n"/>
      <c r="BL1703" s="81" t="n"/>
      <c r="BM1703" s="81" t="n"/>
      <c r="BN1703" s="81" t="n"/>
      <c r="BO1703" s="81" t="n"/>
      <c r="BP1703" s="81" t="n"/>
      <c r="BQ1703" s="81" t="n"/>
      <c r="BR1703" s="81" t="n"/>
      <c r="BS1703" s="81" t="n"/>
      <c r="BT1703" s="81" t="n"/>
      <c r="BU1703" s="81" t="n"/>
      <c r="BV1703" s="81" t="n"/>
      <c r="BW1703" s="81" t="n"/>
      <c r="BX1703" s="81" t="n"/>
      <c r="BY1703" s="81" t="n"/>
      <c r="BZ1703" s="81" t="n"/>
      <c r="CA1703" s="81" t="n"/>
      <c r="CB1703" s="81" t="n"/>
      <c r="CC1703" s="81" t="n"/>
      <c r="CD1703" s="81" t="n"/>
      <c r="CE1703" s="81" t="n"/>
      <c r="CF1703" s="81" t="n"/>
      <c r="CG1703" s="81" t="n"/>
      <c r="CH1703" s="81" t="n"/>
    </row>
    <row r="1704">
      <c r="A1704" s="81" t="n"/>
      <c r="B1704" s="81" t="n"/>
      <c r="C1704" s="81" t="n"/>
      <c r="D1704" s="81" t="n"/>
      <c r="E1704" s="81" t="n"/>
      <c r="F1704" s="81" t="n"/>
      <c r="G1704" s="81" t="n"/>
      <c r="H1704" s="81" t="n"/>
      <c r="I1704" s="81" t="n"/>
      <c r="J1704" s="81" t="n"/>
      <c r="K1704" s="81" t="n"/>
      <c r="L1704" s="81" t="n"/>
      <c r="M1704" s="81" t="n"/>
      <c r="N1704" s="81" t="n"/>
      <c r="O1704" s="81" t="n"/>
      <c r="P1704" s="81" t="n"/>
      <c r="Q1704" s="81" t="n"/>
      <c r="R1704" s="81" t="n"/>
      <c r="S1704" s="81" t="n"/>
      <c r="T1704" s="81" t="n"/>
      <c r="U1704" s="81" t="n"/>
      <c r="V1704" s="81" t="n"/>
      <c r="W1704" s="81" t="n"/>
      <c r="X1704" s="81" t="n"/>
      <c r="Y1704" s="81" t="n"/>
      <c r="Z1704" s="81" t="n"/>
      <c r="AA1704" s="81" t="n"/>
      <c r="AB1704" s="81" t="n"/>
      <c r="AC1704" s="81" t="n"/>
      <c r="AD1704" s="81" t="n"/>
      <c r="AE1704" s="81" t="n"/>
      <c r="AF1704" s="81" t="n"/>
      <c r="AG1704" s="81" t="n"/>
      <c r="AH1704" s="81" t="n"/>
      <c r="AI1704" s="81" t="n"/>
      <c r="AJ1704" s="81" t="n"/>
      <c r="AK1704" s="81" t="n"/>
      <c r="AL1704" s="81" t="n"/>
      <c r="AM1704" s="81" t="n"/>
      <c r="AN1704" s="81" t="n"/>
      <c r="AO1704" s="81" t="n"/>
      <c r="AP1704" s="81" t="n"/>
      <c r="AQ1704" s="81" t="n"/>
      <c r="AR1704" s="81" t="n"/>
      <c r="AS1704" s="81" t="n"/>
      <c r="AT1704" s="81" t="n"/>
      <c r="AU1704" s="81" t="n"/>
      <c r="AV1704" s="81" t="n"/>
      <c r="AW1704" s="81" t="n"/>
      <c r="AX1704" s="81" t="n"/>
      <c r="AY1704" s="81" t="n"/>
      <c r="AZ1704" s="81" t="n"/>
      <c r="BA1704" s="81" t="n"/>
      <c r="BB1704" s="81" t="n"/>
      <c r="BC1704" s="81" t="n"/>
      <c r="BD1704" s="81" t="n"/>
      <c r="BE1704" s="81" t="n"/>
      <c r="BF1704" s="81" t="n"/>
      <c r="BG1704" s="81" t="n"/>
      <c r="BH1704" s="81" t="n"/>
      <c r="BI1704" s="81" t="n"/>
      <c r="BJ1704" s="81" t="n"/>
      <c r="BK1704" s="81" t="n"/>
      <c r="BL1704" s="81" t="n"/>
      <c r="BM1704" s="81" t="n"/>
      <c r="BN1704" s="81" t="n"/>
      <c r="BO1704" s="81" t="n"/>
      <c r="BP1704" s="81" t="n"/>
      <c r="BQ1704" s="81" t="n"/>
      <c r="BR1704" s="81" t="n"/>
      <c r="BS1704" s="81" t="n"/>
      <c r="BT1704" s="81" t="n"/>
      <c r="BU1704" s="81" t="n"/>
      <c r="BV1704" s="81" t="n"/>
      <c r="BW1704" s="81" t="n"/>
      <c r="BX1704" s="81" t="n"/>
      <c r="BY1704" s="81" t="n"/>
      <c r="BZ1704" s="81" t="n"/>
      <c r="CA1704" s="81" t="n"/>
      <c r="CB1704" s="81" t="n"/>
      <c r="CC1704" s="81" t="n"/>
      <c r="CD1704" s="81" t="n"/>
      <c r="CE1704" s="81" t="n"/>
      <c r="CF1704" s="81" t="n"/>
      <c r="CG1704" s="81" t="n"/>
      <c r="CH1704" s="81" t="n"/>
    </row>
    <row r="1705">
      <c r="A1705" s="81" t="n"/>
      <c r="B1705" s="81" t="n"/>
      <c r="C1705" s="81" t="n"/>
      <c r="D1705" s="81" t="n"/>
      <c r="E1705" s="81" t="n"/>
      <c r="F1705" s="81" t="n"/>
      <c r="G1705" s="81" t="n"/>
      <c r="H1705" s="81" t="n"/>
      <c r="I1705" s="81" t="n"/>
      <c r="J1705" s="81" t="n"/>
      <c r="K1705" s="81" t="n"/>
      <c r="L1705" s="81" t="n"/>
      <c r="M1705" s="81" t="n"/>
      <c r="N1705" s="81" t="n"/>
      <c r="O1705" s="81" t="n"/>
      <c r="P1705" s="81" t="n"/>
      <c r="Q1705" s="81" t="n"/>
      <c r="R1705" s="81" t="n"/>
      <c r="S1705" s="81" t="n"/>
      <c r="T1705" s="81" t="n"/>
      <c r="U1705" s="81" t="n"/>
      <c r="V1705" s="81" t="n"/>
      <c r="W1705" s="81" t="n"/>
      <c r="X1705" s="81" t="n"/>
      <c r="Y1705" s="81" t="n"/>
      <c r="Z1705" s="81" t="n"/>
      <c r="AA1705" s="81" t="n"/>
      <c r="AB1705" s="81" t="n"/>
      <c r="AC1705" s="81" t="n"/>
      <c r="AD1705" s="81" t="n"/>
      <c r="AE1705" s="81" t="n"/>
      <c r="AF1705" s="81" t="n"/>
      <c r="AG1705" s="81" t="n"/>
      <c r="AH1705" s="81" t="n"/>
      <c r="AI1705" s="81" t="n"/>
      <c r="AJ1705" s="81" t="n"/>
      <c r="AK1705" s="81" t="n"/>
      <c r="AL1705" s="81" t="n"/>
      <c r="AM1705" s="81" t="n"/>
      <c r="AN1705" s="81" t="n"/>
      <c r="AO1705" s="81" t="n"/>
      <c r="AP1705" s="81" t="n"/>
      <c r="AQ1705" s="81" t="n"/>
      <c r="AR1705" s="81" t="n"/>
      <c r="AS1705" s="81" t="n"/>
      <c r="AT1705" s="81" t="n"/>
      <c r="AU1705" s="81" t="n"/>
      <c r="AV1705" s="81" t="n"/>
      <c r="AW1705" s="81" t="n"/>
      <c r="AX1705" s="81" t="n"/>
      <c r="AY1705" s="81" t="n"/>
      <c r="AZ1705" s="81" t="n"/>
      <c r="BA1705" s="81" t="n"/>
      <c r="BB1705" s="81" t="n"/>
      <c r="BC1705" s="81" t="n"/>
      <c r="BD1705" s="81" t="n"/>
      <c r="BE1705" s="81" t="n"/>
      <c r="BF1705" s="81" t="n"/>
      <c r="BG1705" s="81" t="n"/>
      <c r="BH1705" s="81" t="n"/>
      <c r="BI1705" s="81" t="n"/>
      <c r="BJ1705" s="81" t="n"/>
      <c r="BK1705" s="81" t="n"/>
      <c r="BL1705" s="81" t="n"/>
      <c r="BM1705" s="81" t="n"/>
      <c r="BN1705" s="81" t="n"/>
      <c r="BO1705" s="81" t="n"/>
      <c r="BP1705" s="81" t="n"/>
      <c r="BQ1705" s="81" t="n"/>
      <c r="BR1705" s="81" t="n"/>
      <c r="BS1705" s="81" t="n"/>
      <c r="BT1705" s="81" t="n"/>
      <c r="BU1705" s="81" t="n"/>
      <c r="BV1705" s="81" t="n"/>
      <c r="BW1705" s="81" t="n"/>
      <c r="BX1705" s="81" t="n"/>
      <c r="BY1705" s="81" t="n"/>
      <c r="BZ1705" s="81" t="n"/>
      <c r="CA1705" s="81" t="n"/>
      <c r="CB1705" s="81" t="n"/>
      <c r="CC1705" s="81" t="n"/>
      <c r="CD1705" s="81" t="n"/>
      <c r="CE1705" s="81" t="n"/>
      <c r="CF1705" s="81" t="n"/>
      <c r="CG1705" s="81" t="n"/>
      <c r="CH1705" s="81" t="n"/>
    </row>
    <row r="1706">
      <c r="A1706" s="81" t="n"/>
      <c r="B1706" s="81" t="n"/>
      <c r="C1706" s="81" t="n"/>
      <c r="D1706" s="81" t="n"/>
      <c r="E1706" s="81" t="n"/>
      <c r="F1706" s="81" t="n"/>
      <c r="G1706" s="81" t="n"/>
      <c r="H1706" s="81" t="n"/>
      <c r="I1706" s="81" t="n"/>
      <c r="J1706" s="81" t="n"/>
      <c r="K1706" s="81" t="n"/>
      <c r="L1706" s="81" t="n"/>
      <c r="M1706" s="81" t="n"/>
      <c r="N1706" s="81" t="n"/>
      <c r="O1706" s="81" t="n"/>
      <c r="P1706" s="81" t="n"/>
      <c r="Q1706" s="81" t="n"/>
      <c r="R1706" s="81" t="n"/>
      <c r="S1706" s="81" t="n"/>
      <c r="T1706" s="81" t="n"/>
      <c r="U1706" s="81" t="n"/>
      <c r="V1706" s="81" t="n"/>
      <c r="W1706" s="81" t="n"/>
      <c r="X1706" s="81" t="n"/>
      <c r="Y1706" s="81" t="n"/>
      <c r="Z1706" s="81" t="n"/>
      <c r="AA1706" s="81" t="n"/>
      <c r="AB1706" s="81" t="n"/>
      <c r="AC1706" s="81" t="n"/>
      <c r="AD1706" s="81" t="n"/>
      <c r="AE1706" s="81" t="n"/>
      <c r="AF1706" s="81" t="n"/>
      <c r="AG1706" s="81" t="n"/>
      <c r="AH1706" s="81" t="n"/>
      <c r="AI1706" s="81" t="n"/>
      <c r="AJ1706" s="81" t="n"/>
      <c r="AK1706" s="81" t="n"/>
      <c r="AL1706" s="81" t="n"/>
      <c r="AM1706" s="81" t="n"/>
      <c r="AN1706" s="81" t="n"/>
      <c r="AO1706" s="81" t="n"/>
      <c r="AP1706" s="81" t="n"/>
      <c r="AQ1706" s="81" t="n"/>
      <c r="AR1706" s="81" t="n"/>
      <c r="AS1706" s="81" t="n"/>
      <c r="AT1706" s="81" t="n"/>
      <c r="AU1706" s="81" t="n"/>
      <c r="AV1706" s="81" t="n"/>
      <c r="AW1706" s="81" t="n"/>
      <c r="AX1706" s="81" t="n"/>
      <c r="AY1706" s="81" t="n"/>
      <c r="AZ1706" s="81" t="n"/>
      <c r="BA1706" s="81" t="n"/>
      <c r="BB1706" s="81" t="n"/>
      <c r="BC1706" s="81" t="n"/>
      <c r="BD1706" s="81" t="n"/>
      <c r="BE1706" s="81" t="n"/>
      <c r="BF1706" s="81" t="n"/>
      <c r="BG1706" s="81" t="n"/>
      <c r="BH1706" s="81" t="n"/>
      <c r="BI1706" s="81" t="n"/>
      <c r="BJ1706" s="81" t="n"/>
      <c r="BK1706" s="81" t="n"/>
      <c r="BL1706" s="81" t="n"/>
      <c r="BM1706" s="81" t="n"/>
      <c r="BN1706" s="81" t="n"/>
      <c r="BO1706" s="81" t="n"/>
      <c r="BP1706" s="81" t="n"/>
      <c r="BQ1706" s="81" t="n"/>
      <c r="BR1706" s="81" t="n"/>
      <c r="BS1706" s="81" t="n"/>
      <c r="BT1706" s="81" t="n"/>
      <c r="BU1706" s="81" t="n"/>
      <c r="BV1706" s="81" t="n"/>
      <c r="BW1706" s="81" t="n"/>
      <c r="BX1706" s="81" t="n"/>
      <c r="BY1706" s="81" t="n"/>
      <c r="BZ1706" s="81" t="n"/>
      <c r="CA1706" s="81" t="n"/>
      <c r="CB1706" s="81" t="n"/>
      <c r="CC1706" s="81" t="n"/>
      <c r="CD1706" s="81" t="n"/>
      <c r="CE1706" s="81" t="n"/>
      <c r="CF1706" s="81" t="n"/>
      <c r="CG1706" s="81" t="n"/>
      <c r="CH1706" s="81" t="n"/>
    </row>
    <row r="1707">
      <c r="A1707" s="81" t="n"/>
      <c r="B1707" s="81" t="n"/>
      <c r="C1707" s="81" t="n"/>
      <c r="D1707" s="81" t="n"/>
      <c r="E1707" s="81" t="n"/>
      <c r="F1707" s="81" t="n"/>
      <c r="G1707" s="81" t="n"/>
      <c r="H1707" s="81" t="n"/>
      <c r="I1707" s="81" t="n"/>
      <c r="J1707" s="81" t="n"/>
      <c r="K1707" s="81" t="n"/>
      <c r="L1707" s="81" t="n"/>
      <c r="M1707" s="81" t="n"/>
      <c r="N1707" s="81" t="n"/>
      <c r="O1707" s="81" t="n"/>
      <c r="P1707" s="81" t="n"/>
      <c r="Q1707" s="81" t="n"/>
      <c r="R1707" s="81" t="n"/>
      <c r="S1707" s="81" t="n"/>
      <c r="T1707" s="81" t="n"/>
      <c r="U1707" s="81" t="n"/>
      <c r="V1707" s="81" t="n"/>
      <c r="W1707" s="81" t="n"/>
      <c r="X1707" s="81" t="n"/>
      <c r="Y1707" s="81" t="n"/>
      <c r="Z1707" s="81" t="n"/>
      <c r="AA1707" s="81" t="n"/>
      <c r="AB1707" s="81" t="n"/>
      <c r="AC1707" s="81" t="n"/>
      <c r="AD1707" s="81" t="n"/>
      <c r="AE1707" s="81" t="n"/>
      <c r="AF1707" s="81" t="n"/>
      <c r="AG1707" s="81" t="n"/>
      <c r="AH1707" s="81" t="n"/>
      <c r="AI1707" s="81" t="n"/>
      <c r="AJ1707" s="81" t="n"/>
      <c r="AK1707" s="81" t="n"/>
      <c r="AL1707" s="81" t="n"/>
      <c r="AM1707" s="81" t="n"/>
      <c r="AN1707" s="81" t="n"/>
      <c r="AO1707" s="81" t="n"/>
      <c r="AP1707" s="81" t="n"/>
      <c r="AQ1707" s="81" t="n"/>
      <c r="AR1707" s="81" t="n"/>
      <c r="AS1707" s="81" t="n"/>
      <c r="AT1707" s="81" t="n"/>
      <c r="AU1707" s="81" t="n"/>
      <c r="AV1707" s="81" t="n"/>
      <c r="AW1707" s="81" t="n"/>
      <c r="AX1707" s="81" t="n"/>
      <c r="AY1707" s="81" t="n"/>
      <c r="AZ1707" s="81" t="n"/>
      <c r="BA1707" s="81" t="n"/>
      <c r="BB1707" s="81" t="n"/>
      <c r="BC1707" s="81" t="n"/>
      <c r="BD1707" s="81" t="n"/>
      <c r="BE1707" s="81" t="n"/>
      <c r="BF1707" s="81" t="n"/>
      <c r="BG1707" s="81" t="n"/>
      <c r="BH1707" s="81" t="n"/>
      <c r="BI1707" s="81" t="n"/>
      <c r="BJ1707" s="81" t="n"/>
      <c r="BK1707" s="81" t="n"/>
      <c r="BL1707" s="81" t="n"/>
      <c r="BM1707" s="81" t="n"/>
      <c r="BN1707" s="81" t="n"/>
      <c r="BO1707" s="81" t="n"/>
      <c r="BP1707" s="81" t="n"/>
      <c r="BQ1707" s="81" t="n"/>
      <c r="BR1707" s="81" t="n"/>
      <c r="BS1707" s="81" t="n"/>
      <c r="BT1707" s="81" t="n"/>
      <c r="BU1707" s="81" t="n"/>
      <c r="BV1707" s="81" t="n"/>
      <c r="BW1707" s="81" t="n"/>
      <c r="BX1707" s="81" t="n"/>
      <c r="BY1707" s="81" t="n"/>
      <c r="BZ1707" s="81" t="n"/>
      <c r="CA1707" s="81" t="n"/>
      <c r="CB1707" s="81" t="n"/>
      <c r="CC1707" s="81" t="n"/>
      <c r="CD1707" s="81" t="n"/>
      <c r="CE1707" s="81" t="n"/>
      <c r="CF1707" s="81" t="n"/>
      <c r="CG1707" s="81" t="n"/>
      <c r="CH1707" s="81" t="n"/>
    </row>
    <row r="1708">
      <c r="A1708" s="81" t="n"/>
      <c r="B1708" s="81" t="n"/>
      <c r="C1708" s="81" t="n"/>
      <c r="D1708" s="81" t="n"/>
      <c r="E1708" s="81" t="n"/>
      <c r="F1708" s="81" t="n"/>
      <c r="G1708" s="81" t="n"/>
      <c r="H1708" s="81" t="n"/>
      <c r="I1708" s="81" t="n"/>
      <c r="J1708" s="81" t="n"/>
      <c r="K1708" s="81" t="n"/>
      <c r="L1708" s="81" t="n"/>
      <c r="M1708" s="81" t="n"/>
      <c r="N1708" s="81" t="n"/>
      <c r="O1708" s="81" t="n"/>
      <c r="P1708" s="81" t="n"/>
      <c r="Q1708" s="81" t="n"/>
      <c r="R1708" s="81" t="n"/>
      <c r="S1708" s="81" t="n"/>
      <c r="T1708" s="81" t="n"/>
      <c r="U1708" s="81" t="n"/>
      <c r="V1708" s="81" t="n"/>
      <c r="W1708" s="81" t="n"/>
      <c r="X1708" s="81" t="n"/>
      <c r="Y1708" s="81" t="n"/>
      <c r="Z1708" s="81" t="n"/>
      <c r="AA1708" s="81" t="n"/>
      <c r="AB1708" s="81" t="n"/>
      <c r="AC1708" s="81" t="n"/>
      <c r="AD1708" s="81" t="n"/>
      <c r="AE1708" s="81" t="n"/>
      <c r="AF1708" s="81" t="n"/>
      <c r="AG1708" s="81" t="n"/>
      <c r="AH1708" s="81" t="n"/>
      <c r="AI1708" s="81" t="n"/>
      <c r="AJ1708" s="81" t="n"/>
      <c r="AK1708" s="81" t="n"/>
      <c r="AL1708" s="81" t="n"/>
      <c r="AM1708" s="81" t="n"/>
      <c r="AN1708" s="81" t="n"/>
      <c r="AO1708" s="81" t="n"/>
      <c r="AP1708" s="81" t="n"/>
      <c r="AQ1708" s="81" t="n"/>
      <c r="AR1708" s="81" t="n"/>
      <c r="AS1708" s="81" t="n"/>
      <c r="AT1708" s="81" t="n"/>
      <c r="AU1708" s="81" t="n"/>
      <c r="AV1708" s="81" t="n"/>
      <c r="AW1708" s="81" t="n"/>
      <c r="AX1708" s="81" t="n"/>
      <c r="AY1708" s="81" t="n"/>
      <c r="AZ1708" s="81" t="n"/>
      <c r="BA1708" s="81" t="n"/>
      <c r="BB1708" s="81" t="n"/>
      <c r="BC1708" s="81" t="n"/>
      <c r="BD1708" s="81" t="n"/>
      <c r="BE1708" s="81" t="n"/>
      <c r="BF1708" s="81" t="n"/>
      <c r="BG1708" s="81" t="n"/>
      <c r="BH1708" s="81" t="n"/>
      <c r="BI1708" s="81" t="n"/>
      <c r="BJ1708" s="81" t="n"/>
      <c r="BK1708" s="81" t="n"/>
      <c r="BL1708" s="81" t="n"/>
      <c r="BM1708" s="81" t="n"/>
      <c r="BN1708" s="81" t="n"/>
      <c r="BO1708" s="81" t="n"/>
      <c r="BP1708" s="81" t="n"/>
      <c r="BQ1708" s="81" t="n"/>
      <c r="BR1708" s="81" t="n"/>
      <c r="BS1708" s="81" t="n"/>
      <c r="BT1708" s="81" t="n"/>
      <c r="BU1708" s="81" t="n"/>
      <c r="BV1708" s="81" t="n"/>
      <c r="BW1708" s="81" t="n"/>
      <c r="BX1708" s="81" t="n"/>
      <c r="BY1708" s="81" t="n"/>
      <c r="BZ1708" s="81" t="n"/>
      <c r="CA1708" s="81" t="n"/>
      <c r="CB1708" s="81" t="n"/>
      <c r="CC1708" s="81" t="n"/>
      <c r="CD1708" s="81" t="n"/>
      <c r="CE1708" s="81" t="n"/>
      <c r="CF1708" s="81" t="n"/>
      <c r="CG1708" s="81" t="n"/>
      <c r="CH1708" s="81" t="n"/>
    </row>
    <row r="1709">
      <c r="A1709" s="81" t="n"/>
      <c r="B1709" s="81" t="n"/>
      <c r="C1709" s="81" t="n"/>
      <c r="D1709" s="81" t="n"/>
      <c r="E1709" s="81" t="n"/>
      <c r="F1709" s="81" t="n"/>
      <c r="G1709" s="81" t="n"/>
      <c r="H1709" s="81" t="n"/>
      <c r="I1709" s="81" t="n"/>
      <c r="J1709" s="81" t="n"/>
      <c r="K1709" s="81" t="n"/>
      <c r="L1709" s="81" t="n"/>
      <c r="M1709" s="81" t="n"/>
      <c r="N1709" s="81" t="n"/>
      <c r="O1709" s="81" t="n"/>
      <c r="P1709" s="81" t="n"/>
      <c r="Q1709" s="81" t="n"/>
      <c r="R1709" s="81" t="n"/>
      <c r="S1709" s="81" t="n"/>
      <c r="T1709" s="81" t="n"/>
      <c r="U1709" s="81" t="n"/>
      <c r="V1709" s="81" t="n"/>
      <c r="W1709" s="81" t="n"/>
      <c r="X1709" s="81" t="n"/>
      <c r="Y1709" s="81" t="n"/>
      <c r="Z1709" s="81" t="n"/>
      <c r="AA1709" s="81" t="n"/>
      <c r="AB1709" s="81" t="n"/>
      <c r="AC1709" s="81" t="n"/>
      <c r="AD1709" s="81" t="n"/>
      <c r="AE1709" s="81" t="n"/>
      <c r="AF1709" s="81" t="n"/>
      <c r="AG1709" s="81" t="n"/>
      <c r="AH1709" s="81" t="n"/>
      <c r="AI1709" s="81" t="n"/>
      <c r="AJ1709" s="81" t="n"/>
      <c r="AK1709" s="81" t="n"/>
      <c r="AL1709" s="81" t="n"/>
      <c r="AM1709" s="81" t="n"/>
      <c r="AN1709" s="81" t="n"/>
      <c r="AO1709" s="81" t="n"/>
      <c r="AP1709" s="81" t="n"/>
      <c r="AQ1709" s="81" t="n"/>
      <c r="AR1709" s="81" t="n"/>
      <c r="AS1709" s="81" t="n"/>
      <c r="AT1709" s="81" t="n"/>
      <c r="AU1709" s="81" t="n"/>
      <c r="AV1709" s="81" t="n"/>
      <c r="AW1709" s="81" t="n"/>
      <c r="AX1709" s="81" t="n"/>
      <c r="AY1709" s="81" t="n"/>
      <c r="AZ1709" s="81" t="n"/>
      <c r="BA1709" s="81" t="n"/>
      <c r="BB1709" s="81" t="n"/>
      <c r="BC1709" s="81" t="n"/>
      <c r="BD1709" s="81" t="n"/>
      <c r="BE1709" s="81" t="n"/>
      <c r="BF1709" s="81" t="n"/>
      <c r="BG1709" s="81" t="n"/>
      <c r="BH1709" s="81" t="n"/>
      <c r="BI1709" s="81" t="n"/>
      <c r="BJ1709" s="81" t="n"/>
      <c r="BK1709" s="81" t="n"/>
      <c r="BL1709" s="81" t="n"/>
      <c r="BM1709" s="81" t="n"/>
      <c r="BN1709" s="81" t="n"/>
      <c r="BO1709" s="81" t="n"/>
      <c r="BP1709" s="81" t="n"/>
      <c r="BQ1709" s="81" t="n"/>
      <c r="BR1709" s="81" t="n"/>
      <c r="BS1709" s="81" t="n"/>
      <c r="BT1709" s="81" t="n"/>
      <c r="BU1709" s="81" t="n"/>
      <c r="BV1709" s="81" t="n"/>
      <c r="BW1709" s="81" t="n"/>
      <c r="BX1709" s="81" t="n"/>
      <c r="BY1709" s="81" t="n"/>
      <c r="BZ1709" s="81" t="n"/>
      <c r="CA1709" s="81" t="n"/>
      <c r="CB1709" s="81" t="n"/>
      <c r="CC1709" s="81" t="n"/>
      <c r="CD1709" s="81" t="n"/>
      <c r="CE1709" s="81" t="n"/>
      <c r="CF1709" s="81" t="n"/>
      <c r="CG1709" s="81" t="n"/>
      <c r="CH1709" s="81" t="n"/>
    </row>
    <row r="1710">
      <c r="A1710" s="81" t="n"/>
      <c r="B1710" s="81" t="n"/>
      <c r="C1710" s="81" t="n"/>
      <c r="D1710" s="81" t="n"/>
      <c r="E1710" s="81" t="n"/>
      <c r="F1710" s="81" t="n"/>
      <c r="G1710" s="81" t="n"/>
      <c r="H1710" s="81" t="n"/>
      <c r="I1710" s="81" t="n"/>
      <c r="J1710" s="81" t="n"/>
      <c r="K1710" s="81" t="n"/>
      <c r="L1710" s="81" t="n"/>
      <c r="M1710" s="81" t="n"/>
      <c r="N1710" s="81" t="n"/>
      <c r="O1710" s="81" t="n"/>
      <c r="P1710" s="81" t="n"/>
      <c r="Q1710" s="81" t="n"/>
      <c r="R1710" s="81" t="n"/>
      <c r="S1710" s="81" t="n"/>
      <c r="T1710" s="81" t="n"/>
      <c r="U1710" s="81" t="n"/>
      <c r="V1710" s="81" t="n"/>
      <c r="W1710" s="81" t="n"/>
      <c r="X1710" s="81" t="n"/>
      <c r="Y1710" s="81" t="n"/>
      <c r="Z1710" s="81" t="n"/>
      <c r="AA1710" s="81" t="n"/>
      <c r="AB1710" s="81" t="n"/>
      <c r="AC1710" s="81" t="n"/>
      <c r="AD1710" s="81" t="n"/>
      <c r="AE1710" s="81" t="n"/>
      <c r="AF1710" s="81" t="n"/>
      <c r="AG1710" s="81" t="n"/>
      <c r="AH1710" s="81" t="n"/>
      <c r="AI1710" s="81" t="n"/>
      <c r="AJ1710" s="81" t="n"/>
      <c r="AK1710" s="81" t="n"/>
      <c r="AL1710" s="81" t="n"/>
      <c r="AM1710" s="81" t="n"/>
      <c r="AN1710" s="81" t="n"/>
      <c r="AO1710" s="81" t="n"/>
      <c r="AP1710" s="81" t="n"/>
      <c r="AQ1710" s="81" t="n"/>
      <c r="AR1710" s="81" t="n"/>
      <c r="AS1710" s="81" t="n"/>
      <c r="AT1710" s="81" t="n"/>
      <c r="AU1710" s="81" t="n"/>
      <c r="AV1710" s="81" t="n"/>
      <c r="AW1710" s="81" t="n"/>
      <c r="AX1710" s="81" t="n"/>
      <c r="AY1710" s="81" t="n"/>
      <c r="AZ1710" s="81" t="n"/>
      <c r="BA1710" s="81" t="n"/>
      <c r="BB1710" s="81" t="n"/>
      <c r="BC1710" s="81" t="n"/>
      <c r="BD1710" s="81" t="n"/>
      <c r="BE1710" s="81" t="n"/>
      <c r="BF1710" s="81" t="n"/>
      <c r="BG1710" s="81" t="n"/>
      <c r="BH1710" s="81" t="n"/>
      <c r="BI1710" s="81" t="n"/>
      <c r="BJ1710" s="81" t="n"/>
      <c r="BK1710" s="81" t="n"/>
      <c r="BL1710" s="81" t="n"/>
      <c r="BM1710" s="81" t="n"/>
      <c r="BN1710" s="81" t="n"/>
      <c r="BO1710" s="81" t="n"/>
      <c r="BP1710" s="81" t="n"/>
      <c r="BQ1710" s="81" t="n"/>
      <c r="BR1710" s="81" t="n"/>
      <c r="BS1710" s="81" t="n"/>
      <c r="BT1710" s="81" t="n"/>
      <c r="BU1710" s="81" t="n"/>
      <c r="BV1710" s="81" t="n"/>
      <c r="BW1710" s="81" t="n"/>
      <c r="BX1710" s="81" t="n"/>
      <c r="BY1710" s="81" t="n"/>
      <c r="BZ1710" s="81" t="n"/>
      <c r="CA1710" s="81" t="n"/>
      <c r="CB1710" s="81" t="n"/>
      <c r="CC1710" s="81" t="n"/>
      <c r="CD1710" s="81" t="n"/>
      <c r="CE1710" s="81" t="n"/>
      <c r="CF1710" s="81" t="n"/>
      <c r="CG1710" s="81" t="n"/>
      <c r="CH1710" s="81" t="n"/>
    </row>
    <row r="1711">
      <c r="A1711" s="81" t="n"/>
      <c r="B1711" s="81" t="n"/>
      <c r="C1711" s="81" t="n"/>
      <c r="D1711" s="81" t="n"/>
      <c r="E1711" s="81" t="n"/>
      <c r="F1711" s="81" t="n"/>
      <c r="G1711" s="81" t="n"/>
      <c r="H1711" s="81" t="n"/>
      <c r="I1711" s="81" t="n"/>
      <c r="J1711" s="81" t="n"/>
      <c r="K1711" s="81" t="n"/>
      <c r="L1711" s="81" t="n"/>
      <c r="M1711" s="81" t="n"/>
      <c r="N1711" s="81" t="n"/>
      <c r="O1711" s="81" t="n"/>
      <c r="P1711" s="81" t="n"/>
      <c r="Q1711" s="81" t="n"/>
      <c r="R1711" s="81" t="n"/>
      <c r="S1711" s="81" t="n"/>
      <c r="T1711" s="81" t="n"/>
      <c r="U1711" s="81" t="n"/>
      <c r="V1711" s="81" t="n"/>
      <c r="W1711" s="81" t="n"/>
      <c r="X1711" s="81" t="n"/>
      <c r="Y1711" s="81" t="n"/>
      <c r="Z1711" s="81" t="n"/>
      <c r="AA1711" s="81" t="n"/>
      <c r="AB1711" s="81" t="n"/>
      <c r="AC1711" s="81" t="n"/>
      <c r="AD1711" s="81" t="n"/>
      <c r="AE1711" s="81" t="n"/>
      <c r="AF1711" s="81" t="n"/>
      <c r="AG1711" s="81" t="n"/>
      <c r="AH1711" s="81" t="n"/>
      <c r="AI1711" s="81" t="n"/>
      <c r="AJ1711" s="81" t="n"/>
      <c r="AK1711" s="81" t="n"/>
      <c r="AL1711" s="81" t="n"/>
      <c r="AM1711" s="81" t="n"/>
      <c r="AN1711" s="81" t="n"/>
      <c r="AO1711" s="81" t="n"/>
      <c r="AP1711" s="81" t="n"/>
      <c r="AQ1711" s="81" t="n"/>
      <c r="AR1711" s="81" t="n"/>
      <c r="AS1711" s="81" t="n"/>
      <c r="AT1711" s="81" t="n"/>
      <c r="AU1711" s="81" t="n"/>
      <c r="AV1711" s="81" t="n"/>
      <c r="AW1711" s="81" t="n"/>
      <c r="AX1711" s="81" t="n"/>
      <c r="AY1711" s="81" t="n"/>
      <c r="AZ1711" s="81" t="n"/>
      <c r="BA1711" s="81" t="n"/>
      <c r="BB1711" s="81" t="n"/>
      <c r="BC1711" s="81" t="n"/>
      <c r="BD1711" s="81" t="n"/>
      <c r="BE1711" s="81" t="n"/>
      <c r="BF1711" s="81" t="n"/>
      <c r="BG1711" s="81" t="n"/>
      <c r="BH1711" s="81" t="n"/>
      <c r="BI1711" s="81" t="n"/>
      <c r="BJ1711" s="81" t="n"/>
      <c r="BK1711" s="81" t="n"/>
      <c r="BL1711" s="81" t="n"/>
      <c r="BM1711" s="81" t="n"/>
      <c r="BN1711" s="81" t="n"/>
      <c r="BO1711" s="81" t="n"/>
      <c r="BP1711" s="81" t="n"/>
      <c r="BQ1711" s="81" t="n"/>
      <c r="BR1711" s="81" t="n"/>
      <c r="BS1711" s="81" t="n"/>
      <c r="BT1711" s="81" t="n"/>
      <c r="BU1711" s="81" t="n"/>
      <c r="BV1711" s="81" t="n"/>
      <c r="BW1711" s="81" t="n"/>
      <c r="BX1711" s="81" t="n"/>
      <c r="BY1711" s="81" t="n"/>
      <c r="BZ1711" s="81" t="n"/>
      <c r="CA1711" s="81" t="n"/>
      <c r="CB1711" s="81" t="n"/>
      <c r="CC1711" s="81" t="n"/>
      <c r="CD1711" s="81" t="n"/>
      <c r="CE1711" s="81" t="n"/>
      <c r="CF1711" s="81" t="n"/>
      <c r="CG1711" s="81" t="n"/>
      <c r="CH1711" s="81" t="n"/>
    </row>
    <row r="1712">
      <c r="A1712" s="81" t="n"/>
      <c r="B1712" s="81" t="n"/>
      <c r="C1712" s="81" t="n"/>
      <c r="D1712" s="81" t="n"/>
      <c r="E1712" s="81" t="n"/>
      <c r="F1712" s="81" t="n"/>
      <c r="G1712" s="81" t="n"/>
      <c r="H1712" s="81" t="n"/>
      <c r="I1712" s="81" t="n"/>
      <c r="J1712" s="81" t="n"/>
      <c r="K1712" s="81" t="n"/>
      <c r="L1712" s="81" t="n"/>
      <c r="M1712" s="81" t="n"/>
      <c r="N1712" s="81" t="n"/>
      <c r="O1712" s="81" t="n"/>
      <c r="P1712" s="81" t="n"/>
      <c r="Q1712" s="81" t="n"/>
      <c r="R1712" s="81" t="n"/>
      <c r="S1712" s="81" t="n"/>
      <c r="T1712" s="81" t="n"/>
      <c r="U1712" s="81" t="n"/>
      <c r="V1712" s="81" t="n"/>
      <c r="W1712" s="81" t="n"/>
      <c r="X1712" s="81" t="n"/>
      <c r="Y1712" s="81" t="n"/>
      <c r="Z1712" s="81" t="n"/>
      <c r="AA1712" s="81" t="n"/>
      <c r="AB1712" s="81" t="n"/>
      <c r="AC1712" s="81" t="n"/>
      <c r="AD1712" s="81" t="n"/>
      <c r="AE1712" s="81" t="n"/>
      <c r="AF1712" s="81" t="n"/>
      <c r="AG1712" s="81" t="n"/>
      <c r="AH1712" s="81" t="n"/>
      <c r="AI1712" s="81" t="n"/>
      <c r="AJ1712" s="81" t="n"/>
      <c r="AK1712" s="81" t="n"/>
      <c r="AL1712" s="81" t="n"/>
      <c r="AM1712" s="81" t="n"/>
      <c r="AN1712" s="81" t="n"/>
      <c r="AO1712" s="81" t="n"/>
      <c r="AP1712" s="81" t="n"/>
      <c r="AQ1712" s="81" t="n"/>
      <c r="AR1712" s="81" t="n"/>
      <c r="AS1712" s="81" t="n"/>
      <c r="AT1712" s="81" t="n"/>
      <c r="AU1712" s="81" t="n"/>
      <c r="AV1712" s="81" t="n"/>
      <c r="AW1712" s="81" t="n"/>
      <c r="AX1712" s="81" t="n"/>
      <c r="AY1712" s="81" t="n"/>
      <c r="AZ1712" s="81" t="n"/>
      <c r="BA1712" s="81" t="n"/>
      <c r="BB1712" s="81" t="n"/>
      <c r="BC1712" s="81" t="n"/>
      <c r="BD1712" s="81" t="n"/>
      <c r="BE1712" s="81" t="n"/>
      <c r="BF1712" s="81" t="n"/>
      <c r="BG1712" s="81" t="n"/>
      <c r="BH1712" s="81" t="n"/>
      <c r="BI1712" s="81" t="n"/>
      <c r="BJ1712" s="81" t="n"/>
      <c r="BK1712" s="81" t="n"/>
      <c r="BL1712" s="81" t="n"/>
      <c r="BM1712" s="81" t="n"/>
      <c r="BN1712" s="81" t="n"/>
      <c r="BO1712" s="81" t="n"/>
      <c r="BP1712" s="81" t="n"/>
      <c r="BQ1712" s="81" t="n"/>
      <c r="BR1712" s="81" t="n"/>
      <c r="BS1712" s="81" t="n"/>
      <c r="BT1712" s="81" t="n"/>
      <c r="BU1712" s="81" t="n"/>
      <c r="BV1712" s="81" t="n"/>
      <c r="BW1712" s="81" t="n"/>
      <c r="BX1712" s="81" t="n"/>
      <c r="BY1712" s="81" t="n"/>
      <c r="BZ1712" s="81" t="n"/>
      <c r="CA1712" s="81" t="n"/>
      <c r="CB1712" s="81" t="n"/>
      <c r="CC1712" s="81" t="n"/>
      <c r="CD1712" s="81" t="n"/>
      <c r="CE1712" s="81" t="n"/>
      <c r="CF1712" s="81" t="n"/>
      <c r="CG1712" s="81" t="n"/>
      <c r="CH1712" s="81" t="n"/>
    </row>
    <row r="1713">
      <c r="A1713" s="81" t="n"/>
      <c r="B1713" s="81" t="n"/>
      <c r="C1713" s="81" t="n"/>
      <c r="D1713" s="81" t="n"/>
      <c r="E1713" s="81" t="n"/>
      <c r="F1713" s="81" t="n"/>
      <c r="G1713" s="81" t="n"/>
      <c r="H1713" s="81" t="n"/>
      <c r="I1713" s="81" t="n"/>
      <c r="J1713" s="81" t="n"/>
      <c r="K1713" s="81" t="n"/>
      <c r="L1713" s="81" t="n"/>
      <c r="M1713" s="81" t="n"/>
      <c r="N1713" s="81" t="n"/>
      <c r="O1713" s="81" t="n"/>
      <c r="P1713" s="81" t="n"/>
      <c r="Q1713" s="81" t="n"/>
      <c r="R1713" s="81" t="n"/>
      <c r="S1713" s="81" t="n"/>
      <c r="T1713" s="81" t="n"/>
      <c r="U1713" s="81" t="n"/>
      <c r="V1713" s="81" t="n"/>
      <c r="W1713" s="81" t="n"/>
      <c r="X1713" s="81" t="n"/>
      <c r="Y1713" s="81" t="n"/>
      <c r="Z1713" s="81" t="n"/>
      <c r="AA1713" s="81" t="n"/>
      <c r="AB1713" s="81" t="n"/>
      <c r="AC1713" s="81" t="n"/>
      <c r="AD1713" s="81" t="n"/>
      <c r="AE1713" s="81" t="n"/>
      <c r="AF1713" s="81" t="n"/>
      <c r="AG1713" s="81" t="n"/>
      <c r="AH1713" s="81" t="n"/>
      <c r="AI1713" s="81" t="n"/>
      <c r="AJ1713" s="81" t="n"/>
      <c r="AK1713" s="81" t="n"/>
      <c r="AL1713" s="81" t="n"/>
      <c r="AM1713" s="81" t="n"/>
      <c r="AN1713" s="81" t="n"/>
      <c r="AO1713" s="81" t="n"/>
      <c r="AP1713" s="81" t="n"/>
      <c r="AQ1713" s="81" t="n"/>
      <c r="AR1713" s="81" t="n"/>
      <c r="AS1713" s="81" t="n"/>
      <c r="AT1713" s="81" t="n"/>
      <c r="AU1713" s="81" t="n"/>
      <c r="AV1713" s="81" t="n"/>
      <c r="AW1713" s="81" t="n"/>
      <c r="AX1713" s="81" t="n"/>
      <c r="AY1713" s="81" t="n"/>
      <c r="AZ1713" s="81" t="n"/>
      <c r="BA1713" s="81" t="n"/>
      <c r="BB1713" s="81" t="n"/>
      <c r="BC1713" s="81" t="n"/>
      <c r="BD1713" s="81" t="n"/>
      <c r="BE1713" s="81" t="n"/>
      <c r="BF1713" s="81" t="n"/>
      <c r="BG1713" s="81" t="n"/>
      <c r="BH1713" s="81" t="n"/>
      <c r="BI1713" s="81" t="n"/>
      <c r="BJ1713" s="81" t="n"/>
      <c r="BK1713" s="81" t="n"/>
      <c r="BL1713" s="81" t="n"/>
      <c r="BM1713" s="81" t="n"/>
      <c r="BN1713" s="81" t="n"/>
      <c r="BO1713" s="81" t="n"/>
      <c r="BP1713" s="81" t="n"/>
      <c r="BQ1713" s="81" t="n"/>
      <c r="BR1713" s="81" t="n"/>
      <c r="BS1713" s="81" t="n"/>
      <c r="BT1713" s="81" t="n"/>
      <c r="BU1713" s="81" t="n"/>
      <c r="BV1713" s="81" t="n"/>
      <c r="BW1713" s="81" t="n"/>
      <c r="BX1713" s="81" t="n"/>
      <c r="BY1713" s="81" t="n"/>
      <c r="BZ1713" s="81" t="n"/>
      <c r="CA1713" s="81" t="n"/>
      <c r="CB1713" s="81" t="n"/>
      <c r="CC1713" s="81" t="n"/>
      <c r="CD1713" s="81" t="n"/>
      <c r="CE1713" s="81" t="n"/>
      <c r="CF1713" s="81" t="n"/>
      <c r="CG1713" s="81" t="n"/>
      <c r="CH1713" s="81" t="n"/>
    </row>
    <row r="1714">
      <c r="A1714" s="81" t="n"/>
      <c r="B1714" s="81" t="n"/>
      <c r="C1714" s="81" t="n"/>
      <c r="D1714" s="81" t="n"/>
      <c r="E1714" s="81" t="n"/>
      <c r="F1714" s="81" t="n"/>
      <c r="G1714" s="81" t="n"/>
      <c r="H1714" s="81" t="n"/>
      <c r="I1714" s="81" t="n"/>
      <c r="J1714" s="81" t="n"/>
      <c r="K1714" s="81" t="n"/>
      <c r="L1714" s="81" t="n"/>
      <c r="M1714" s="81" t="n"/>
      <c r="N1714" s="81" t="n"/>
      <c r="O1714" s="81" t="n"/>
      <c r="P1714" s="81" t="n"/>
      <c r="Q1714" s="81" t="n"/>
      <c r="R1714" s="81" t="n"/>
      <c r="S1714" s="81" t="n"/>
      <c r="T1714" s="81" t="n"/>
      <c r="U1714" s="81" t="n"/>
      <c r="V1714" s="81" t="n"/>
      <c r="W1714" s="81" t="n"/>
      <c r="X1714" s="81" t="n"/>
      <c r="Y1714" s="81" t="n"/>
      <c r="Z1714" s="81" t="n"/>
      <c r="AA1714" s="81" t="n"/>
      <c r="AB1714" s="81" t="n"/>
      <c r="AC1714" s="81" t="n"/>
      <c r="AD1714" s="81" t="n"/>
      <c r="AE1714" s="81" t="n"/>
      <c r="AF1714" s="81" t="n"/>
      <c r="AG1714" s="81" t="n"/>
      <c r="AH1714" s="81" t="n"/>
      <c r="AI1714" s="81" t="n"/>
      <c r="AJ1714" s="81" t="n"/>
      <c r="AK1714" s="81" t="n"/>
      <c r="AL1714" s="81" t="n"/>
      <c r="AM1714" s="81" t="n"/>
      <c r="AN1714" s="81" t="n"/>
      <c r="AO1714" s="81" t="n"/>
      <c r="AP1714" s="81" t="n"/>
      <c r="AQ1714" s="81" t="n"/>
      <c r="AR1714" s="81" t="n"/>
      <c r="AS1714" s="81" t="n"/>
      <c r="AT1714" s="81" t="n"/>
      <c r="AU1714" s="81" t="n"/>
      <c r="AV1714" s="81" t="n"/>
      <c r="AW1714" s="81" t="n"/>
      <c r="AX1714" s="81" t="n"/>
      <c r="AY1714" s="81" t="n"/>
      <c r="AZ1714" s="81" t="n"/>
      <c r="BA1714" s="81" t="n"/>
      <c r="BB1714" s="81" t="n"/>
      <c r="BC1714" s="81" t="n"/>
      <c r="BD1714" s="81" t="n"/>
      <c r="BE1714" s="81" t="n"/>
      <c r="BF1714" s="81" t="n"/>
      <c r="BG1714" s="81" t="n"/>
      <c r="BH1714" s="81" t="n"/>
      <c r="BI1714" s="81" t="n"/>
      <c r="BJ1714" s="81" t="n"/>
      <c r="BK1714" s="81" t="n"/>
      <c r="BL1714" s="81" t="n"/>
      <c r="BM1714" s="81" t="n"/>
      <c r="BN1714" s="81" t="n"/>
      <c r="BO1714" s="81" t="n"/>
      <c r="BP1714" s="81" t="n"/>
      <c r="BQ1714" s="81" t="n"/>
      <c r="BR1714" s="81" t="n"/>
      <c r="BS1714" s="81" t="n"/>
      <c r="BT1714" s="81" t="n"/>
      <c r="BU1714" s="81" t="n"/>
      <c r="BV1714" s="81" t="n"/>
      <c r="BW1714" s="81" t="n"/>
      <c r="BX1714" s="81" t="n"/>
      <c r="BY1714" s="81" t="n"/>
      <c r="BZ1714" s="81" t="n"/>
      <c r="CA1714" s="81" t="n"/>
      <c r="CB1714" s="81" t="n"/>
      <c r="CC1714" s="81" t="n"/>
      <c r="CD1714" s="81" t="n"/>
      <c r="CE1714" s="81" t="n"/>
      <c r="CF1714" s="81" t="n"/>
      <c r="CG1714" s="81" t="n"/>
      <c r="CH1714" s="81" t="n"/>
    </row>
    <row r="1715">
      <c r="A1715" s="81" t="n"/>
      <c r="B1715" s="81" t="n"/>
      <c r="C1715" s="81" t="n"/>
      <c r="D1715" s="81" t="n"/>
      <c r="E1715" s="81" t="n"/>
      <c r="F1715" s="81" t="n"/>
      <c r="G1715" s="81" t="n"/>
      <c r="H1715" s="81" t="n"/>
      <c r="I1715" s="81" t="n"/>
      <c r="J1715" s="81" t="n"/>
      <c r="K1715" s="81" t="n"/>
      <c r="L1715" s="81" t="n"/>
      <c r="M1715" s="81" t="n"/>
      <c r="N1715" s="81" t="n"/>
      <c r="O1715" s="81" t="n"/>
      <c r="P1715" s="81" t="n"/>
      <c r="Q1715" s="81" t="n"/>
      <c r="R1715" s="81" t="n"/>
      <c r="S1715" s="81" t="n"/>
      <c r="T1715" s="81" t="n"/>
      <c r="U1715" s="81" t="n"/>
      <c r="V1715" s="81" t="n"/>
      <c r="W1715" s="81" t="n"/>
      <c r="X1715" s="81" t="n"/>
      <c r="Y1715" s="81" t="n"/>
      <c r="Z1715" s="81" t="n"/>
      <c r="AA1715" s="81" t="n"/>
      <c r="AB1715" s="81" t="n"/>
      <c r="AC1715" s="81" t="n"/>
      <c r="AD1715" s="81" t="n"/>
      <c r="AE1715" s="81" t="n"/>
      <c r="AF1715" s="81" t="n"/>
      <c r="AG1715" s="81" t="n"/>
      <c r="AH1715" s="81" t="n"/>
      <c r="AI1715" s="81" t="n"/>
      <c r="AJ1715" s="81" t="n"/>
      <c r="AK1715" s="81" t="n"/>
      <c r="AL1715" s="81" t="n"/>
      <c r="AM1715" s="81" t="n"/>
      <c r="AN1715" s="81" t="n"/>
      <c r="AO1715" s="81" t="n"/>
      <c r="AP1715" s="81" t="n"/>
      <c r="AQ1715" s="81" t="n"/>
      <c r="AR1715" s="81" t="n"/>
      <c r="AS1715" s="81" t="n"/>
      <c r="AT1715" s="81" t="n"/>
      <c r="AU1715" s="81" t="n"/>
      <c r="AV1715" s="81" t="n"/>
      <c r="AW1715" s="81" t="n"/>
      <c r="AX1715" s="81" t="n"/>
      <c r="AY1715" s="81" t="n"/>
      <c r="AZ1715" s="81" t="n"/>
      <c r="BA1715" s="81" t="n"/>
      <c r="BB1715" s="81" t="n"/>
      <c r="BC1715" s="81" t="n"/>
      <c r="BD1715" s="81" t="n"/>
      <c r="BE1715" s="81" t="n"/>
      <c r="BF1715" s="81" t="n"/>
      <c r="BG1715" s="81" t="n"/>
      <c r="BH1715" s="81" t="n"/>
      <c r="BI1715" s="81" t="n"/>
      <c r="BJ1715" s="81" t="n"/>
      <c r="BK1715" s="81" t="n"/>
      <c r="BL1715" s="81" t="n"/>
      <c r="BM1715" s="81" t="n"/>
      <c r="BN1715" s="81" t="n"/>
      <c r="BO1715" s="81" t="n"/>
      <c r="BP1715" s="81" t="n"/>
      <c r="BQ1715" s="81" t="n"/>
      <c r="BR1715" s="81" t="n"/>
      <c r="BS1715" s="81" t="n"/>
      <c r="BT1715" s="81" t="n"/>
      <c r="BU1715" s="81" t="n"/>
      <c r="BV1715" s="81" t="n"/>
      <c r="BW1715" s="81" t="n"/>
      <c r="BX1715" s="81" t="n"/>
      <c r="BY1715" s="81" t="n"/>
      <c r="BZ1715" s="81" t="n"/>
      <c r="CA1715" s="81" t="n"/>
      <c r="CB1715" s="81" t="n"/>
      <c r="CC1715" s="81" t="n"/>
      <c r="CD1715" s="81" t="n"/>
      <c r="CE1715" s="81" t="n"/>
      <c r="CF1715" s="81" t="n"/>
      <c r="CG1715" s="81" t="n"/>
      <c r="CH1715" s="81" t="n"/>
    </row>
    <row r="1716">
      <c r="A1716" s="81" t="n"/>
      <c r="B1716" s="81" t="n"/>
      <c r="C1716" s="81" t="n"/>
      <c r="D1716" s="81" t="n"/>
      <c r="E1716" s="81" t="n"/>
      <c r="F1716" s="81" t="n"/>
      <c r="G1716" s="81" t="n"/>
      <c r="H1716" s="81" t="n"/>
      <c r="I1716" s="81" t="n"/>
      <c r="J1716" s="81" t="n"/>
      <c r="K1716" s="81" t="n"/>
      <c r="L1716" s="81" t="n"/>
      <c r="M1716" s="81" t="n"/>
      <c r="N1716" s="81" t="n"/>
      <c r="O1716" s="81" t="n"/>
      <c r="P1716" s="81" t="n"/>
      <c r="Q1716" s="81" t="n"/>
      <c r="R1716" s="81" t="n"/>
      <c r="S1716" s="81" t="n"/>
      <c r="T1716" s="81" t="n"/>
      <c r="U1716" s="81" t="n"/>
      <c r="V1716" s="81" t="n"/>
      <c r="W1716" s="81" t="n"/>
      <c r="X1716" s="81" t="n"/>
      <c r="Y1716" s="81" t="n"/>
      <c r="Z1716" s="81" t="n"/>
      <c r="AA1716" s="81" t="n"/>
      <c r="AB1716" s="81" t="n"/>
      <c r="AC1716" s="81" t="n"/>
      <c r="AD1716" s="81" t="n"/>
      <c r="AE1716" s="81" t="n"/>
      <c r="AF1716" s="81" t="n"/>
      <c r="AG1716" s="81" t="n"/>
      <c r="AH1716" s="81" t="n"/>
      <c r="AI1716" s="81" t="n"/>
      <c r="AJ1716" s="81" t="n"/>
      <c r="AK1716" s="81" t="n"/>
      <c r="AL1716" s="81" t="n"/>
      <c r="AM1716" s="81" t="n"/>
      <c r="AN1716" s="81" t="n"/>
      <c r="AO1716" s="81" t="n"/>
      <c r="AP1716" s="81" t="n"/>
      <c r="AQ1716" s="81" t="n"/>
      <c r="AR1716" s="81" t="n"/>
      <c r="AS1716" s="81" t="n"/>
      <c r="AT1716" s="81" t="n"/>
      <c r="AU1716" s="81" t="n"/>
      <c r="AV1716" s="81" t="n"/>
      <c r="AW1716" s="81" t="n"/>
      <c r="AX1716" s="81" t="n"/>
      <c r="AY1716" s="81" t="n"/>
      <c r="AZ1716" s="81" t="n"/>
      <c r="BA1716" s="81" t="n"/>
      <c r="BB1716" s="81" t="n"/>
      <c r="BC1716" s="81" t="n"/>
      <c r="BD1716" s="81" t="n"/>
      <c r="BE1716" s="81" t="n"/>
      <c r="BF1716" s="81" t="n"/>
      <c r="BG1716" s="81" t="n"/>
      <c r="BH1716" s="81" t="n"/>
      <c r="BI1716" s="81" t="n"/>
      <c r="BJ1716" s="81" t="n"/>
      <c r="BK1716" s="81" t="n"/>
      <c r="BL1716" s="81" t="n"/>
      <c r="BM1716" s="81" t="n"/>
      <c r="BN1716" s="81" t="n"/>
      <c r="BO1716" s="81" t="n"/>
      <c r="BP1716" s="81" t="n"/>
      <c r="BQ1716" s="81" t="n"/>
      <c r="BR1716" s="81" t="n"/>
      <c r="BS1716" s="81" t="n"/>
      <c r="BT1716" s="81" t="n"/>
      <c r="BU1716" s="81" t="n"/>
      <c r="BV1716" s="81" t="n"/>
      <c r="BW1716" s="81" t="n"/>
      <c r="BX1716" s="81" t="n"/>
      <c r="BY1716" s="81" t="n"/>
      <c r="BZ1716" s="81" t="n"/>
      <c r="CA1716" s="81" t="n"/>
      <c r="CB1716" s="81" t="n"/>
      <c r="CC1716" s="81" t="n"/>
      <c r="CD1716" s="81" t="n"/>
      <c r="CE1716" s="81" t="n"/>
      <c r="CF1716" s="81" t="n"/>
      <c r="CG1716" s="81" t="n"/>
      <c r="CH1716" s="81" t="n"/>
    </row>
    <row r="1717">
      <c r="A1717" s="81" t="n"/>
      <c r="B1717" s="81" t="n"/>
      <c r="C1717" s="81" t="n"/>
      <c r="D1717" s="81" t="n"/>
      <c r="E1717" s="81" t="n"/>
      <c r="F1717" s="81" t="n"/>
      <c r="G1717" s="81" t="n"/>
      <c r="H1717" s="81" t="n"/>
      <c r="I1717" s="81" t="n"/>
      <c r="J1717" s="81" t="n"/>
      <c r="K1717" s="81" t="n"/>
      <c r="L1717" s="81" t="n"/>
      <c r="M1717" s="81" t="n"/>
      <c r="N1717" s="81" t="n"/>
      <c r="O1717" s="81" t="n"/>
      <c r="P1717" s="81" t="n"/>
      <c r="Q1717" s="81" t="n"/>
      <c r="R1717" s="81" t="n"/>
      <c r="S1717" s="81" t="n"/>
      <c r="T1717" s="81" t="n"/>
      <c r="U1717" s="81" t="n"/>
      <c r="V1717" s="81" t="n"/>
      <c r="W1717" s="81" t="n"/>
      <c r="X1717" s="81" t="n"/>
      <c r="Y1717" s="81" t="n"/>
      <c r="Z1717" s="81" t="n"/>
      <c r="AA1717" s="81" t="n"/>
      <c r="AB1717" s="81" t="n"/>
      <c r="AC1717" s="81" t="n"/>
      <c r="AD1717" s="81" t="n"/>
      <c r="AE1717" s="81" t="n"/>
      <c r="AF1717" s="81" t="n"/>
      <c r="AG1717" s="81" t="n"/>
      <c r="AH1717" s="81" t="n"/>
      <c r="AI1717" s="81" t="n"/>
      <c r="AJ1717" s="81" t="n"/>
      <c r="AK1717" s="81" t="n"/>
      <c r="AL1717" s="81" t="n"/>
      <c r="AM1717" s="81" t="n"/>
      <c r="AN1717" s="81" t="n"/>
      <c r="AO1717" s="81" t="n"/>
      <c r="AP1717" s="81" t="n"/>
      <c r="AQ1717" s="81" t="n"/>
      <c r="AR1717" s="81" t="n"/>
      <c r="AS1717" s="81" t="n"/>
      <c r="AT1717" s="81" t="n"/>
      <c r="AU1717" s="81" t="n"/>
      <c r="AV1717" s="81" t="n"/>
      <c r="AW1717" s="81" t="n"/>
      <c r="AX1717" s="81" t="n"/>
      <c r="AY1717" s="81" t="n"/>
      <c r="AZ1717" s="81" t="n"/>
      <c r="BA1717" s="81" t="n"/>
      <c r="BB1717" s="81" t="n"/>
      <c r="BC1717" s="81" t="n"/>
      <c r="BD1717" s="81" t="n"/>
      <c r="BE1717" s="81" t="n"/>
      <c r="BF1717" s="81" t="n"/>
      <c r="BG1717" s="81" t="n"/>
      <c r="BH1717" s="81" t="n"/>
      <c r="BI1717" s="81" t="n"/>
      <c r="BJ1717" s="81" t="n"/>
      <c r="BK1717" s="81" t="n"/>
      <c r="BL1717" s="81" t="n"/>
      <c r="BM1717" s="81" t="n"/>
      <c r="BN1717" s="81" t="n"/>
      <c r="BO1717" s="81" t="n"/>
      <c r="BP1717" s="81" t="n"/>
      <c r="BQ1717" s="81" t="n"/>
      <c r="BR1717" s="81" t="n"/>
      <c r="BS1717" s="81" t="n"/>
      <c r="BT1717" s="81" t="n"/>
      <c r="BU1717" s="81" t="n"/>
      <c r="BV1717" s="81" t="n"/>
      <c r="BW1717" s="81" t="n"/>
      <c r="BX1717" s="81" t="n"/>
      <c r="BY1717" s="81" t="n"/>
      <c r="BZ1717" s="81" t="n"/>
      <c r="CA1717" s="81" t="n"/>
      <c r="CB1717" s="81" t="n"/>
      <c r="CC1717" s="81" t="n"/>
      <c r="CD1717" s="81" t="n"/>
      <c r="CE1717" s="81" t="n"/>
      <c r="CF1717" s="81" t="n"/>
      <c r="CG1717" s="81" t="n"/>
      <c r="CH1717" s="81" t="n"/>
    </row>
    <row r="1718">
      <c r="A1718" s="81" t="n"/>
      <c r="B1718" s="81" t="n"/>
      <c r="C1718" s="81" t="n"/>
      <c r="D1718" s="81" t="n"/>
      <c r="E1718" s="81" t="n"/>
      <c r="F1718" s="81" t="n"/>
      <c r="G1718" s="81" t="n"/>
      <c r="H1718" s="81" t="n"/>
      <c r="I1718" s="81" t="n"/>
      <c r="J1718" s="81" t="n"/>
      <c r="K1718" s="81" t="n"/>
      <c r="L1718" s="81" t="n"/>
      <c r="M1718" s="81" t="n"/>
      <c r="N1718" s="81" t="n"/>
      <c r="O1718" s="81" t="n"/>
      <c r="P1718" s="81" t="n"/>
      <c r="Q1718" s="81" t="n"/>
      <c r="R1718" s="81" t="n"/>
      <c r="S1718" s="81" t="n"/>
      <c r="T1718" s="81" t="n"/>
      <c r="U1718" s="81" t="n"/>
      <c r="V1718" s="81" t="n"/>
      <c r="W1718" s="81" t="n"/>
      <c r="X1718" s="81" t="n"/>
      <c r="Y1718" s="81" t="n"/>
      <c r="Z1718" s="81" t="n"/>
      <c r="AA1718" s="81" t="n"/>
      <c r="AB1718" s="81" t="n"/>
      <c r="AC1718" s="81" t="n"/>
      <c r="AD1718" s="81" t="n"/>
      <c r="AE1718" s="81" t="n"/>
      <c r="AF1718" s="81" t="n"/>
      <c r="AG1718" s="81" t="n"/>
      <c r="AH1718" s="81" t="n"/>
      <c r="AI1718" s="81" t="n"/>
      <c r="AJ1718" s="81" t="n"/>
      <c r="AK1718" s="81" t="n"/>
      <c r="AL1718" s="81" t="n"/>
      <c r="AM1718" s="81" t="n"/>
      <c r="AN1718" s="81" t="n"/>
      <c r="AO1718" s="81" t="n"/>
      <c r="AP1718" s="81" t="n"/>
      <c r="AQ1718" s="81" t="n"/>
      <c r="AR1718" s="81" t="n"/>
      <c r="AS1718" s="81" t="n"/>
      <c r="AT1718" s="81" t="n"/>
      <c r="AU1718" s="81" t="n"/>
      <c r="AV1718" s="81" t="n"/>
      <c r="AW1718" s="81" t="n"/>
      <c r="AX1718" s="81" t="n"/>
      <c r="AY1718" s="81" t="n"/>
      <c r="AZ1718" s="81" t="n"/>
      <c r="BA1718" s="81" t="n"/>
      <c r="BB1718" s="81" t="n"/>
      <c r="BC1718" s="81" t="n"/>
      <c r="BD1718" s="81" t="n"/>
      <c r="BE1718" s="81" t="n"/>
      <c r="BF1718" s="81" t="n"/>
      <c r="BG1718" s="81" t="n"/>
      <c r="BH1718" s="81" t="n"/>
      <c r="BI1718" s="81" t="n"/>
      <c r="BJ1718" s="81" t="n"/>
      <c r="BK1718" s="81" t="n"/>
      <c r="BL1718" s="81" t="n"/>
      <c r="BM1718" s="81" t="n"/>
      <c r="BN1718" s="81" t="n"/>
      <c r="BO1718" s="81" t="n"/>
      <c r="BP1718" s="81" t="n"/>
      <c r="BQ1718" s="81" t="n"/>
      <c r="BR1718" s="81" t="n"/>
      <c r="BS1718" s="81" t="n"/>
      <c r="BT1718" s="81" t="n"/>
      <c r="BU1718" s="81" t="n"/>
      <c r="BV1718" s="81" t="n"/>
      <c r="BW1718" s="81" t="n"/>
      <c r="BX1718" s="81" t="n"/>
      <c r="BY1718" s="81" t="n"/>
      <c r="BZ1718" s="81" t="n"/>
      <c r="CA1718" s="81" t="n"/>
      <c r="CB1718" s="81" t="n"/>
      <c r="CC1718" s="81" t="n"/>
      <c r="CD1718" s="81" t="n"/>
      <c r="CE1718" s="81" t="n"/>
      <c r="CF1718" s="81" t="n"/>
      <c r="CG1718" s="81" t="n"/>
      <c r="CH1718" s="81" t="n"/>
    </row>
    <row r="1719">
      <c r="A1719" s="81" t="n"/>
      <c r="B1719" s="81" t="n"/>
      <c r="C1719" s="81" t="n"/>
      <c r="D1719" s="81" t="n"/>
      <c r="E1719" s="81" t="n"/>
      <c r="F1719" s="81" t="n"/>
      <c r="G1719" s="81" t="n"/>
      <c r="H1719" s="81" t="n"/>
      <c r="I1719" s="81" t="n"/>
      <c r="J1719" s="81" t="n"/>
      <c r="K1719" s="81" t="n"/>
      <c r="L1719" s="81" t="n"/>
      <c r="M1719" s="81" t="n"/>
      <c r="N1719" s="81" t="n"/>
      <c r="O1719" s="81" t="n"/>
      <c r="P1719" s="81" t="n"/>
      <c r="Q1719" s="81" t="n"/>
      <c r="R1719" s="81" t="n"/>
      <c r="S1719" s="81" t="n"/>
      <c r="T1719" s="81" t="n"/>
      <c r="U1719" s="81" t="n"/>
      <c r="V1719" s="81" t="n"/>
      <c r="W1719" s="81" t="n"/>
      <c r="X1719" s="81" t="n"/>
      <c r="Y1719" s="81" t="n"/>
      <c r="Z1719" s="81" t="n"/>
      <c r="AA1719" s="81" t="n"/>
      <c r="AB1719" s="81" t="n"/>
      <c r="AC1719" s="81" t="n"/>
      <c r="AD1719" s="81" t="n"/>
      <c r="AE1719" s="81" t="n"/>
      <c r="AF1719" s="81" t="n"/>
      <c r="AG1719" s="81" t="n"/>
      <c r="AH1719" s="81" t="n"/>
      <c r="AI1719" s="81" t="n"/>
      <c r="AJ1719" s="81" t="n"/>
      <c r="AK1719" s="81" t="n"/>
      <c r="AL1719" s="81" t="n"/>
      <c r="AM1719" s="81" t="n"/>
      <c r="AN1719" s="81" t="n"/>
      <c r="AO1719" s="81" t="n"/>
      <c r="AP1719" s="81" t="n"/>
      <c r="AQ1719" s="81" t="n"/>
      <c r="AR1719" s="81" t="n"/>
      <c r="AS1719" s="81" t="n"/>
      <c r="AT1719" s="81" t="n"/>
      <c r="AU1719" s="81" t="n"/>
      <c r="AV1719" s="81" t="n"/>
      <c r="AW1719" s="81" t="n"/>
      <c r="AX1719" s="81" t="n"/>
      <c r="AY1719" s="81" t="n"/>
      <c r="AZ1719" s="81" t="n"/>
      <c r="BA1719" s="81" t="n"/>
      <c r="BB1719" s="81" t="n"/>
      <c r="BC1719" s="81" t="n"/>
      <c r="BD1719" s="81" t="n"/>
      <c r="BE1719" s="81" t="n"/>
      <c r="BF1719" s="81" t="n"/>
      <c r="BG1719" s="81" t="n"/>
      <c r="BH1719" s="81" t="n"/>
      <c r="BI1719" s="81" t="n"/>
      <c r="BJ1719" s="81" t="n"/>
      <c r="BK1719" s="81" t="n"/>
      <c r="BL1719" s="81" t="n"/>
      <c r="BM1719" s="81" t="n"/>
      <c r="BN1719" s="81" t="n"/>
      <c r="BO1719" s="81" t="n"/>
      <c r="BP1719" s="81" t="n"/>
      <c r="BQ1719" s="81" t="n"/>
      <c r="BR1719" s="81" t="n"/>
      <c r="BS1719" s="81" t="n"/>
      <c r="BT1719" s="81" t="n"/>
      <c r="BU1719" s="81" t="n"/>
      <c r="BV1719" s="81" t="n"/>
      <c r="BW1719" s="81" t="n"/>
      <c r="BX1719" s="81" t="n"/>
      <c r="BY1719" s="81" t="n"/>
      <c r="BZ1719" s="81" t="n"/>
      <c r="CA1719" s="81" t="n"/>
      <c r="CB1719" s="81" t="n"/>
      <c r="CC1719" s="81" t="n"/>
      <c r="CD1719" s="81" t="n"/>
      <c r="CE1719" s="81" t="n"/>
      <c r="CF1719" s="81" t="n"/>
      <c r="CG1719" s="81" t="n"/>
      <c r="CH1719" s="81" t="n"/>
    </row>
    <row r="1720">
      <c r="A1720" s="81" t="n"/>
      <c r="B1720" s="81" t="n"/>
      <c r="C1720" s="81" t="n"/>
      <c r="D1720" s="81" t="n"/>
      <c r="E1720" s="81" t="n"/>
      <c r="F1720" s="81" t="n"/>
      <c r="G1720" s="81" t="n"/>
      <c r="H1720" s="81" t="n"/>
      <c r="I1720" s="81" t="n"/>
      <c r="J1720" s="81" t="n"/>
      <c r="K1720" s="81" t="n"/>
      <c r="L1720" s="81" t="n"/>
      <c r="M1720" s="81" t="n"/>
      <c r="N1720" s="81" t="n"/>
      <c r="O1720" s="81" t="n"/>
      <c r="P1720" s="81" t="n"/>
      <c r="Q1720" s="81" t="n"/>
      <c r="R1720" s="81" t="n"/>
      <c r="S1720" s="81" t="n"/>
      <c r="T1720" s="81" t="n"/>
      <c r="U1720" s="81" t="n"/>
      <c r="V1720" s="81" t="n"/>
      <c r="W1720" s="81" t="n"/>
      <c r="X1720" s="81" t="n"/>
      <c r="Y1720" s="81" t="n"/>
      <c r="Z1720" s="81" t="n"/>
      <c r="AA1720" s="81" t="n"/>
      <c r="AB1720" s="81" t="n"/>
      <c r="AC1720" s="81" t="n"/>
      <c r="AD1720" s="81" t="n"/>
      <c r="AE1720" s="81" t="n"/>
      <c r="AF1720" s="81" t="n"/>
      <c r="AG1720" s="81" t="n"/>
      <c r="AH1720" s="81" t="n"/>
      <c r="AI1720" s="81" t="n"/>
      <c r="AJ1720" s="81" t="n"/>
      <c r="AK1720" s="81" t="n"/>
      <c r="AL1720" s="81" t="n"/>
      <c r="AM1720" s="81" t="n"/>
      <c r="AN1720" s="81" t="n"/>
      <c r="AO1720" s="81" t="n"/>
      <c r="AP1720" s="81" t="n"/>
      <c r="AQ1720" s="81" t="n"/>
      <c r="AR1720" s="81" t="n"/>
      <c r="AS1720" s="81" t="n"/>
      <c r="AT1720" s="81" t="n"/>
      <c r="AU1720" s="81" t="n"/>
      <c r="AV1720" s="81" t="n"/>
      <c r="AW1720" s="81" t="n"/>
      <c r="AX1720" s="81" t="n"/>
      <c r="AY1720" s="81" t="n"/>
      <c r="AZ1720" s="81" t="n"/>
      <c r="BA1720" s="81" t="n"/>
      <c r="BB1720" s="81" t="n"/>
      <c r="BC1720" s="81" t="n"/>
      <c r="BD1720" s="81" t="n"/>
      <c r="BE1720" s="81" t="n"/>
      <c r="BF1720" s="81" t="n"/>
      <c r="BG1720" s="81" t="n"/>
      <c r="BH1720" s="81" t="n"/>
      <c r="BI1720" s="81" t="n"/>
      <c r="BJ1720" s="81" t="n"/>
      <c r="BK1720" s="81" t="n"/>
      <c r="BL1720" s="81" t="n"/>
      <c r="BM1720" s="81" t="n"/>
      <c r="BN1720" s="81" t="n"/>
      <c r="BO1720" s="81" t="n"/>
      <c r="BP1720" s="81" t="n"/>
      <c r="BQ1720" s="81" t="n"/>
      <c r="BR1720" s="81" t="n"/>
      <c r="BS1720" s="81" t="n"/>
      <c r="BT1720" s="81" t="n"/>
      <c r="BU1720" s="81" t="n"/>
      <c r="BV1720" s="81" t="n"/>
      <c r="BW1720" s="81" t="n"/>
      <c r="BX1720" s="81" t="n"/>
      <c r="BY1720" s="81" t="n"/>
      <c r="BZ1720" s="81" t="n"/>
      <c r="CA1720" s="81" t="n"/>
      <c r="CB1720" s="81" t="n"/>
      <c r="CC1720" s="81" t="n"/>
      <c r="CD1720" s="81" t="n"/>
      <c r="CE1720" s="81" t="n"/>
      <c r="CF1720" s="81" t="n"/>
      <c r="CG1720" s="81" t="n"/>
      <c r="CH1720" s="81" t="n"/>
    </row>
    <row r="1721">
      <c r="A1721" s="81" t="n"/>
      <c r="B1721" s="81" t="n"/>
      <c r="C1721" s="81" t="n"/>
      <c r="D1721" s="81" t="n"/>
      <c r="E1721" s="81" t="n"/>
      <c r="F1721" s="81" t="n"/>
      <c r="G1721" s="81" t="n"/>
      <c r="H1721" s="81" t="n"/>
      <c r="I1721" s="81" t="n"/>
      <c r="J1721" s="81" t="n"/>
      <c r="K1721" s="81" t="n"/>
      <c r="L1721" s="81" t="n"/>
      <c r="M1721" s="81" t="n"/>
      <c r="N1721" s="81" t="n"/>
      <c r="O1721" s="81" t="n"/>
      <c r="P1721" s="81" t="n"/>
      <c r="Q1721" s="81" t="n"/>
      <c r="R1721" s="81" t="n"/>
      <c r="S1721" s="81" t="n"/>
      <c r="T1721" s="81" t="n"/>
      <c r="U1721" s="81" t="n"/>
      <c r="V1721" s="81" t="n"/>
      <c r="W1721" s="81" t="n"/>
      <c r="X1721" s="81" t="n"/>
      <c r="Y1721" s="81" t="n"/>
      <c r="Z1721" s="81" t="n"/>
      <c r="AA1721" s="81" t="n"/>
      <c r="AB1721" s="81" t="n"/>
      <c r="AC1721" s="81" t="n"/>
      <c r="AD1721" s="81" t="n"/>
      <c r="AE1721" s="81" t="n"/>
      <c r="AF1721" s="81" t="n"/>
      <c r="AG1721" s="81" t="n"/>
      <c r="AH1721" s="81" t="n"/>
      <c r="AI1721" s="81" t="n"/>
      <c r="AJ1721" s="81" t="n"/>
      <c r="AK1721" s="81" t="n"/>
      <c r="AL1721" s="81" t="n"/>
      <c r="AM1721" s="81" t="n"/>
      <c r="AN1721" s="81" t="n"/>
      <c r="AO1721" s="81" t="n"/>
      <c r="AP1721" s="81" t="n"/>
      <c r="AQ1721" s="81" t="n"/>
      <c r="AR1721" s="81" t="n"/>
      <c r="AS1721" s="81" t="n"/>
      <c r="AT1721" s="81" t="n"/>
      <c r="AU1721" s="81" t="n"/>
      <c r="AV1721" s="81" t="n"/>
      <c r="AW1721" s="81" t="n"/>
      <c r="AX1721" s="81" t="n"/>
      <c r="AY1721" s="81" t="n"/>
      <c r="AZ1721" s="81" t="n"/>
      <c r="BA1721" s="81" t="n"/>
      <c r="BB1721" s="81" t="n"/>
      <c r="BC1721" s="81" t="n"/>
      <c r="BD1721" s="81" t="n"/>
      <c r="BE1721" s="81" t="n"/>
      <c r="BF1721" s="81" t="n"/>
      <c r="BG1721" s="81" t="n"/>
      <c r="BH1721" s="81" t="n"/>
      <c r="BI1721" s="81" t="n"/>
      <c r="BJ1721" s="81" t="n"/>
      <c r="BK1721" s="81" t="n"/>
      <c r="BL1721" s="81" t="n"/>
      <c r="BM1721" s="81" t="n"/>
      <c r="BN1721" s="81" t="n"/>
      <c r="BO1721" s="81" t="n"/>
      <c r="BP1721" s="81" t="n"/>
      <c r="BQ1721" s="81" t="n"/>
      <c r="BR1721" s="81" t="n"/>
      <c r="BS1721" s="81" t="n"/>
      <c r="BT1721" s="81" t="n"/>
      <c r="BU1721" s="81" t="n"/>
      <c r="BV1721" s="81" t="n"/>
      <c r="BW1721" s="81" t="n"/>
      <c r="BX1721" s="81" t="n"/>
      <c r="BY1721" s="81" t="n"/>
      <c r="BZ1721" s="81" t="n"/>
      <c r="CA1721" s="81" t="n"/>
      <c r="CB1721" s="81" t="n"/>
      <c r="CC1721" s="81" t="n"/>
      <c r="CD1721" s="81" t="n"/>
      <c r="CE1721" s="81" t="n"/>
      <c r="CF1721" s="81" t="n"/>
      <c r="CG1721" s="81" t="n"/>
      <c r="CH1721" s="81" t="n"/>
    </row>
    <row r="1722">
      <c r="A1722" s="81" t="n"/>
      <c r="B1722" s="81" t="n"/>
      <c r="C1722" s="81" t="n"/>
      <c r="D1722" s="81" t="n"/>
      <c r="E1722" s="81" t="n"/>
      <c r="F1722" s="81" t="n"/>
      <c r="G1722" s="81" t="n"/>
      <c r="H1722" s="81" t="n"/>
      <c r="I1722" s="81" t="n"/>
      <c r="J1722" s="81" t="n"/>
      <c r="K1722" s="81" t="n"/>
      <c r="L1722" s="81" t="n"/>
      <c r="M1722" s="81" t="n"/>
      <c r="N1722" s="81" t="n"/>
      <c r="O1722" s="81" t="n"/>
      <c r="P1722" s="81" t="n"/>
      <c r="Q1722" s="81" t="n"/>
      <c r="R1722" s="81" t="n"/>
      <c r="S1722" s="81" t="n"/>
      <c r="T1722" s="81" t="n"/>
      <c r="U1722" s="81" t="n"/>
      <c r="V1722" s="81" t="n"/>
      <c r="W1722" s="81" t="n"/>
      <c r="X1722" s="81" t="n"/>
      <c r="Y1722" s="81" t="n"/>
      <c r="Z1722" s="81" t="n"/>
      <c r="AA1722" s="81" t="n"/>
      <c r="AB1722" s="81" t="n"/>
      <c r="AC1722" s="81" t="n"/>
      <c r="AD1722" s="81" t="n"/>
      <c r="AE1722" s="81" t="n"/>
      <c r="AF1722" s="81" t="n"/>
      <c r="AG1722" s="81" t="n"/>
      <c r="AH1722" s="81" t="n"/>
      <c r="AI1722" s="81" t="n"/>
      <c r="AJ1722" s="81" t="n"/>
      <c r="AK1722" s="81" t="n"/>
      <c r="AL1722" s="81" t="n"/>
      <c r="AM1722" s="81" t="n"/>
      <c r="AN1722" s="81" t="n"/>
      <c r="AO1722" s="81" t="n"/>
      <c r="AP1722" s="81" t="n"/>
      <c r="AQ1722" s="81" t="n"/>
      <c r="AR1722" s="81" t="n"/>
      <c r="AS1722" s="81" t="n"/>
      <c r="AT1722" s="81" t="n"/>
      <c r="AU1722" s="81" t="n"/>
      <c r="AV1722" s="81" t="n"/>
      <c r="AW1722" s="81" t="n"/>
      <c r="AX1722" s="81" t="n"/>
      <c r="AY1722" s="81" t="n"/>
      <c r="AZ1722" s="81" t="n"/>
      <c r="BA1722" s="81" t="n"/>
      <c r="BB1722" s="81" t="n"/>
      <c r="BC1722" s="81" t="n"/>
      <c r="BD1722" s="81" t="n"/>
      <c r="BE1722" s="81" t="n"/>
      <c r="BF1722" s="81" t="n"/>
      <c r="BG1722" s="81" t="n"/>
      <c r="BH1722" s="81" t="n"/>
      <c r="BI1722" s="81" t="n"/>
      <c r="BJ1722" s="81" t="n"/>
      <c r="BK1722" s="81" t="n"/>
      <c r="BL1722" s="81" t="n"/>
      <c r="BM1722" s="81" t="n"/>
      <c r="BN1722" s="81" t="n"/>
      <c r="BO1722" s="81" t="n"/>
      <c r="BP1722" s="81" t="n"/>
      <c r="BQ1722" s="81" t="n"/>
      <c r="BR1722" s="81" t="n"/>
      <c r="BS1722" s="81" t="n"/>
      <c r="BT1722" s="81" t="n"/>
      <c r="BU1722" s="81" t="n"/>
      <c r="BV1722" s="81" t="n"/>
      <c r="BW1722" s="81" t="n"/>
      <c r="BX1722" s="81" t="n"/>
      <c r="BY1722" s="81" t="n"/>
      <c r="BZ1722" s="81" t="n"/>
      <c r="CA1722" s="81" t="n"/>
      <c r="CB1722" s="81" t="n"/>
      <c r="CC1722" s="81" t="n"/>
      <c r="CD1722" s="81" t="n"/>
      <c r="CE1722" s="81" t="n"/>
      <c r="CF1722" s="81" t="n"/>
      <c r="CG1722" s="81" t="n"/>
      <c r="CH1722" s="81" t="n"/>
    </row>
    <row r="1723">
      <c r="A1723" s="81" t="n"/>
      <c r="B1723" s="81" t="n"/>
      <c r="C1723" s="81" t="n"/>
      <c r="D1723" s="81" t="n"/>
      <c r="E1723" s="81" t="n"/>
      <c r="F1723" s="81" t="n"/>
      <c r="G1723" s="81" t="n"/>
      <c r="H1723" s="81" t="n"/>
      <c r="I1723" s="81" t="n"/>
      <c r="J1723" s="81" t="n"/>
      <c r="K1723" s="81" t="n"/>
      <c r="L1723" s="81" t="n"/>
      <c r="M1723" s="81" t="n"/>
      <c r="N1723" s="81" t="n"/>
      <c r="O1723" s="81" t="n"/>
      <c r="P1723" s="81" t="n"/>
      <c r="Q1723" s="81" t="n"/>
      <c r="R1723" s="81" t="n"/>
      <c r="S1723" s="81" t="n"/>
      <c r="T1723" s="81" t="n"/>
      <c r="U1723" s="81" t="n"/>
      <c r="V1723" s="81" t="n"/>
      <c r="W1723" s="81" t="n"/>
      <c r="X1723" s="81" t="n"/>
      <c r="Y1723" s="81" t="n"/>
      <c r="Z1723" s="81" t="n"/>
      <c r="AA1723" s="81" t="n"/>
      <c r="AB1723" s="81" t="n"/>
      <c r="AC1723" s="81" t="n"/>
      <c r="AD1723" s="81" t="n"/>
      <c r="AE1723" s="81" t="n"/>
      <c r="AF1723" s="81" t="n"/>
      <c r="AG1723" s="81" t="n"/>
      <c r="AH1723" s="81" t="n"/>
      <c r="AI1723" s="81" t="n"/>
      <c r="AJ1723" s="81" t="n"/>
      <c r="AK1723" s="81" t="n"/>
      <c r="AL1723" s="81" t="n"/>
      <c r="AM1723" s="81" t="n"/>
      <c r="AN1723" s="81" t="n"/>
      <c r="AO1723" s="81" t="n"/>
      <c r="AP1723" s="81" t="n"/>
      <c r="AQ1723" s="81" t="n"/>
      <c r="AR1723" s="81" t="n"/>
      <c r="AS1723" s="81" t="n"/>
      <c r="AT1723" s="81" t="n"/>
      <c r="AU1723" s="81" t="n"/>
      <c r="AV1723" s="81" t="n"/>
      <c r="AW1723" s="81" t="n"/>
      <c r="AX1723" s="81" t="n"/>
      <c r="AY1723" s="81" t="n"/>
      <c r="AZ1723" s="81" t="n"/>
      <c r="BA1723" s="81" t="n"/>
      <c r="BB1723" s="81" t="n"/>
      <c r="BC1723" s="81" t="n"/>
      <c r="BD1723" s="81" t="n"/>
      <c r="BE1723" s="81" t="n"/>
      <c r="BF1723" s="81" t="n"/>
      <c r="BG1723" s="81" t="n"/>
      <c r="BH1723" s="81" t="n"/>
      <c r="BI1723" s="81" t="n"/>
      <c r="BJ1723" s="81" t="n"/>
      <c r="BK1723" s="81" t="n"/>
      <c r="BL1723" s="81" t="n"/>
      <c r="BM1723" s="81" t="n"/>
      <c r="BN1723" s="81" t="n"/>
      <c r="BO1723" s="81" t="n"/>
      <c r="BP1723" s="81" t="n"/>
      <c r="BQ1723" s="81" t="n"/>
      <c r="BR1723" s="81" t="n"/>
      <c r="BS1723" s="81" t="n"/>
      <c r="BT1723" s="81" t="n"/>
      <c r="BU1723" s="81" t="n"/>
      <c r="BV1723" s="81" t="n"/>
      <c r="BW1723" s="81" t="n"/>
      <c r="BX1723" s="81" t="n"/>
      <c r="BY1723" s="81" t="n"/>
      <c r="BZ1723" s="81" t="n"/>
      <c r="CA1723" s="81" t="n"/>
      <c r="CB1723" s="81" t="n"/>
      <c r="CC1723" s="81" t="n"/>
      <c r="CD1723" s="81" t="n"/>
      <c r="CE1723" s="81" t="n"/>
      <c r="CF1723" s="81" t="n"/>
      <c r="CG1723" s="81" t="n"/>
      <c r="CH1723" s="81" t="n"/>
    </row>
    <row r="1724">
      <c r="A1724" s="81" t="n"/>
      <c r="B1724" s="81" t="n"/>
      <c r="C1724" s="81" t="n"/>
      <c r="D1724" s="81" t="n"/>
      <c r="E1724" s="81" t="n"/>
      <c r="F1724" s="81" t="n"/>
      <c r="G1724" s="81" t="n"/>
      <c r="H1724" s="81" t="n"/>
      <c r="I1724" s="81" t="n"/>
      <c r="J1724" s="81" t="n"/>
      <c r="K1724" s="81" t="n"/>
      <c r="L1724" s="81" t="n"/>
      <c r="M1724" s="81" t="n"/>
      <c r="N1724" s="81" t="n"/>
      <c r="O1724" s="81" t="n"/>
      <c r="P1724" s="81" t="n"/>
      <c r="Q1724" s="81" t="n"/>
      <c r="R1724" s="81" t="n"/>
      <c r="S1724" s="81" t="n"/>
      <c r="T1724" s="81" t="n"/>
      <c r="U1724" s="81" t="n"/>
      <c r="V1724" s="81" t="n"/>
      <c r="W1724" s="81" t="n"/>
      <c r="X1724" s="81" t="n"/>
      <c r="Y1724" s="81" t="n"/>
      <c r="Z1724" s="81" t="n"/>
      <c r="AA1724" s="81" t="n"/>
      <c r="AB1724" s="81" t="n"/>
      <c r="AC1724" s="81" t="n"/>
      <c r="AD1724" s="81" t="n"/>
      <c r="AE1724" s="81" t="n"/>
      <c r="AF1724" s="81" t="n"/>
      <c r="AG1724" s="81" t="n"/>
      <c r="AH1724" s="81" t="n"/>
      <c r="AI1724" s="81" t="n"/>
      <c r="AJ1724" s="81" t="n"/>
      <c r="AK1724" s="81" t="n"/>
      <c r="AL1724" s="81" t="n"/>
      <c r="AM1724" s="81" t="n"/>
      <c r="AN1724" s="81" t="n"/>
      <c r="AO1724" s="81" t="n"/>
      <c r="AP1724" s="81" t="n"/>
      <c r="AQ1724" s="81" t="n"/>
      <c r="AR1724" s="81" t="n"/>
      <c r="AS1724" s="81" t="n"/>
      <c r="AT1724" s="81" t="n"/>
      <c r="AU1724" s="81" t="n"/>
      <c r="AV1724" s="81" t="n"/>
      <c r="AW1724" s="81" t="n"/>
      <c r="AX1724" s="81" t="n"/>
      <c r="AY1724" s="81" t="n"/>
      <c r="AZ1724" s="81" t="n"/>
      <c r="BA1724" s="81" t="n"/>
      <c r="BB1724" s="81" t="n"/>
      <c r="BC1724" s="81" t="n"/>
      <c r="BD1724" s="81" t="n"/>
      <c r="BE1724" s="81" t="n"/>
      <c r="BF1724" s="81" t="n"/>
      <c r="BG1724" s="81" t="n"/>
      <c r="BH1724" s="81" t="n"/>
      <c r="BI1724" s="81" t="n"/>
      <c r="BJ1724" s="81" t="n"/>
      <c r="BK1724" s="81" t="n"/>
      <c r="BL1724" s="81" t="n"/>
      <c r="BM1724" s="81" t="n"/>
      <c r="BN1724" s="81" t="n"/>
      <c r="BO1724" s="81" t="n"/>
      <c r="BP1724" s="81" t="n"/>
      <c r="BQ1724" s="81" t="n"/>
      <c r="BR1724" s="81" t="n"/>
      <c r="BS1724" s="81" t="n"/>
      <c r="BT1724" s="81" t="n"/>
      <c r="BU1724" s="81" t="n"/>
      <c r="BV1724" s="81" t="n"/>
      <c r="BW1724" s="81" t="n"/>
      <c r="BX1724" s="81" t="n"/>
      <c r="BY1724" s="81" t="n"/>
      <c r="BZ1724" s="81" t="n"/>
      <c r="CA1724" s="81" t="n"/>
      <c r="CB1724" s="81" t="n"/>
      <c r="CC1724" s="81" t="n"/>
      <c r="CD1724" s="81" t="n"/>
      <c r="CE1724" s="81" t="n"/>
      <c r="CF1724" s="81" t="n"/>
      <c r="CG1724" s="81" t="n"/>
      <c r="CH1724" s="81" t="n"/>
    </row>
    <row r="1725">
      <c r="A1725" s="81" t="n"/>
      <c r="B1725" s="81" t="n"/>
      <c r="C1725" s="81" t="n"/>
      <c r="D1725" s="81" t="n"/>
      <c r="E1725" s="81" t="n"/>
      <c r="F1725" s="81" t="n"/>
      <c r="G1725" s="81" t="n"/>
      <c r="H1725" s="81" t="n"/>
      <c r="I1725" s="81" t="n"/>
      <c r="J1725" s="81" t="n"/>
      <c r="K1725" s="81" t="n"/>
      <c r="L1725" s="81" t="n"/>
      <c r="M1725" s="81" t="n"/>
      <c r="N1725" s="81" t="n"/>
      <c r="O1725" s="81" t="n"/>
      <c r="P1725" s="81" t="n"/>
      <c r="Q1725" s="81" t="n"/>
      <c r="R1725" s="81" t="n"/>
      <c r="S1725" s="81" t="n"/>
      <c r="T1725" s="81" t="n"/>
      <c r="U1725" s="81" t="n"/>
      <c r="V1725" s="81" t="n"/>
      <c r="W1725" s="81" t="n"/>
      <c r="X1725" s="81" t="n"/>
      <c r="Y1725" s="81" t="n"/>
      <c r="Z1725" s="81" t="n"/>
      <c r="AA1725" s="81" t="n"/>
      <c r="AB1725" s="81" t="n"/>
      <c r="AC1725" s="81" t="n"/>
      <c r="AD1725" s="81" t="n"/>
      <c r="AE1725" s="81" t="n"/>
      <c r="AF1725" s="81" t="n"/>
      <c r="AG1725" s="81" t="n"/>
      <c r="AH1725" s="81" t="n"/>
      <c r="AI1725" s="81" t="n"/>
      <c r="AJ1725" s="81" t="n"/>
      <c r="AK1725" s="81" t="n"/>
      <c r="AL1725" s="81" t="n"/>
      <c r="AM1725" s="81" t="n"/>
      <c r="AN1725" s="81" t="n"/>
      <c r="AO1725" s="81" t="n"/>
      <c r="AP1725" s="81" t="n"/>
      <c r="AQ1725" s="81" t="n"/>
      <c r="AR1725" s="81" t="n"/>
      <c r="AS1725" s="81" t="n"/>
      <c r="AT1725" s="81" t="n"/>
      <c r="AU1725" s="81" t="n"/>
      <c r="AV1725" s="81" t="n"/>
      <c r="AW1725" s="81" t="n"/>
      <c r="AX1725" s="81" t="n"/>
      <c r="AY1725" s="81" t="n"/>
      <c r="AZ1725" s="81" t="n"/>
      <c r="BA1725" s="81" t="n"/>
      <c r="BB1725" s="81" t="n"/>
      <c r="BC1725" s="81" t="n"/>
      <c r="BD1725" s="81" t="n"/>
      <c r="BE1725" s="81" t="n"/>
      <c r="BF1725" s="81" t="n"/>
      <c r="BG1725" s="81" t="n"/>
      <c r="BH1725" s="81" t="n"/>
      <c r="BI1725" s="81" t="n"/>
      <c r="BJ1725" s="81" t="n"/>
      <c r="BK1725" s="81" t="n"/>
      <c r="BL1725" s="81" t="n"/>
      <c r="BM1725" s="81" t="n"/>
      <c r="BN1725" s="81" t="n"/>
      <c r="BO1725" s="81" t="n"/>
      <c r="BP1725" s="81" t="n"/>
      <c r="BQ1725" s="81" t="n"/>
      <c r="BR1725" s="81" t="n"/>
      <c r="BS1725" s="81" t="n"/>
      <c r="BT1725" s="81" t="n"/>
      <c r="BU1725" s="81" t="n"/>
      <c r="BV1725" s="81" t="n"/>
      <c r="BW1725" s="81" t="n"/>
      <c r="BX1725" s="81" t="n"/>
      <c r="BY1725" s="81" t="n"/>
      <c r="BZ1725" s="81" t="n"/>
      <c r="CA1725" s="81" t="n"/>
      <c r="CB1725" s="81" t="n"/>
      <c r="CC1725" s="81" t="n"/>
      <c r="CD1725" s="81" t="n"/>
      <c r="CE1725" s="81" t="n"/>
      <c r="CF1725" s="81" t="n"/>
      <c r="CG1725" s="81" t="n"/>
      <c r="CH1725" s="81" t="n"/>
    </row>
    <row r="1726">
      <c r="A1726" s="81" t="n"/>
      <c r="B1726" s="81" t="n"/>
      <c r="C1726" s="81" t="n"/>
      <c r="D1726" s="81" t="n"/>
      <c r="E1726" s="81" t="n"/>
      <c r="F1726" s="81" t="n"/>
      <c r="G1726" s="81" t="n"/>
      <c r="H1726" s="81" t="n"/>
      <c r="I1726" s="81" t="n"/>
      <c r="J1726" s="81" t="n"/>
      <c r="K1726" s="81" t="n"/>
      <c r="L1726" s="81" t="n"/>
      <c r="M1726" s="81" t="n"/>
      <c r="N1726" s="81" t="n"/>
      <c r="O1726" s="81" t="n"/>
      <c r="P1726" s="81" t="n"/>
      <c r="Q1726" s="81" t="n"/>
      <c r="R1726" s="81" t="n"/>
      <c r="S1726" s="81" t="n"/>
      <c r="T1726" s="81" t="n"/>
      <c r="U1726" s="81" t="n"/>
      <c r="V1726" s="81" t="n"/>
      <c r="W1726" s="81" t="n"/>
      <c r="X1726" s="81" t="n"/>
      <c r="Y1726" s="81" t="n"/>
      <c r="Z1726" s="81" t="n"/>
      <c r="AA1726" s="81" t="n"/>
      <c r="AB1726" s="81" t="n"/>
      <c r="AC1726" s="81" t="n"/>
      <c r="AD1726" s="81" t="n"/>
      <c r="AE1726" s="81" t="n"/>
      <c r="AF1726" s="81" t="n"/>
      <c r="AG1726" s="81" t="n"/>
      <c r="AH1726" s="81" t="n"/>
      <c r="AI1726" s="81" t="n"/>
      <c r="AJ1726" s="81" t="n"/>
      <c r="AK1726" s="81" t="n"/>
      <c r="AL1726" s="81" t="n"/>
      <c r="AM1726" s="81" t="n"/>
      <c r="AN1726" s="81" t="n"/>
      <c r="AO1726" s="81" t="n"/>
      <c r="AP1726" s="81" t="n"/>
      <c r="AQ1726" s="81" t="n"/>
      <c r="AR1726" s="81" t="n"/>
      <c r="AS1726" s="81" t="n"/>
      <c r="AT1726" s="81" t="n"/>
      <c r="AU1726" s="81" t="n"/>
      <c r="AV1726" s="81" t="n"/>
      <c r="AW1726" s="81" t="n"/>
      <c r="AX1726" s="81" t="n"/>
      <c r="AY1726" s="81" t="n"/>
      <c r="AZ1726" s="81" t="n"/>
      <c r="BA1726" s="81" t="n"/>
      <c r="BB1726" s="81" t="n"/>
      <c r="BC1726" s="81" t="n"/>
      <c r="BD1726" s="81" t="n"/>
      <c r="BE1726" s="81" t="n"/>
      <c r="BF1726" s="81" t="n"/>
      <c r="BG1726" s="81" t="n"/>
      <c r="BH1726" s="81" t="n"/>
      <c r="BI1726" s="81" t="n"/>
      <c r="BJ1726" s="81" t="n"/>
      <c r="BK1726" s="81" t="n"/>
      <c r="BL1726" s="81" t="n"/>
      <c r="BM1726" s="81" t="n"/>
      <c r="BN1726" s="81" t="n"/>
      <c r="BO1726" s="81" t="n"/>
      <c r="BP1726" s="81" t="n"/>
      <c r="BQ1726" s="81" t="n"/>
      <c r="BR1726" s="81" t="n"/>
      <c r="BS1726" s="81" t="n"/>
      <c r="BT1726" s="81" t="n"/>
      <c r="BU1726" s="81" t="n"/>
      <c r="BV1726" s="81" t="n"/>
      <c r="BW1726" s="81" t="n"/>
      <c r="BX1726" s="81" t="n"/>
      <c r="BY1726" s="81" t="n"/>
      <c r="BZ1726" s="81" t="n"/>
      <c r="CA1726" s="81" t="n"/>
      <c r="CB1726" s="81" t="n"/>
      <c r="CC1726" s="81" t="n"/>
      <c r="CD1726" s="81" t="n"/>
      <c r="CE1726" s="81" t="n"/>
      <c r="CF1726" s="81" t="n"/>
      <c r="CG1726" s="81" t="n"/>
      <c r="CH1726" s="81" t="n"/>
    </row>
    <row r="1727">
      <c r="A1727" s="81" t="n"/>
      <c r="B1727" s="81" t="n"/>
      <c r="C1727" s="81" t="n"/>
      <c r="D1727" s="81" t="n"/>
      <c r="E1727" s="81" t="n"/>
      <c r="F1727" s="81" t="n"/>
      <c r="G1727" s="81" t="n"/>
      <c r="H1727" s="81" t="n"/>
      <c r="I1727" s="81" t="n"/>
      <c r="J1727" s="81" t="n"/>
      <c r="K1727" s="81" t="n"/>
      <c r="L1727" s="81" t="n"/>
      <c r="M1727" s="81" t="n"/>
      <c r="N1727" s="81" t="n"/>
      <c r="O1727" s="81" t="n"/>
      <c r="P1727" s="81" t="n"/>
      <c r="Q1727" s="81" t="n"/>
      <c r="R1727" s="81" t="n"/>
      <c r="S1727" s="81" t="n"/>
      <c r="T1727" s="81" t="n"/>
      <c r="U1727" s="81" t="n"/>
      <c r="V1727" s="81" t="n"/>
      <c r="W1727" s="81" t="n"/>
      <c r="X1727" s="81" t="n"/>
      <c r="Y1727" s="81" t="n"/>
      <c r="Z1727" s="81" t="n"/>
      <c r="AA1727" s="81" t="n"/>
      <c r="AB1727" s="81" t="n"/>
      <c r="AC1727" s="81" t="n"/>
      <c r="AD1727" s="81" t="n"/>
      <c r="AE1727" s="81" t="n"/>
      <c r="AF1727" s="81" t="n"/>
      <c r="AG1727" s="81" t="n"/>
      <c r="AH1727" s="81" t="n"/>
      <c r="AI1727" s="81" t="n"/>
      <c r="AJ1727" s="81" t="n"/>
      <c r="AK1727" s="81" t="n"/>
      <c r="AL1727" s="81" t="n"/>
      <c r="AM1727" s="81" t="n"/>
      <c r="AN1727" s="81" t="n"/>
      <c r="AO1727" s="81" t="n"/>
      <c r="AP1727" s="81" t="n"/>
      <c r="AQ1727" s="81" t="n"/>
      <c r="AR1727" s="81" t="n"/>
      <c r="AS1727" s="81" t="n"/>
      <c r="AT1727" s="81" t="n"/>
      <c r="AU1727" s="81" t="n"/>
      <c r="AV1727" s="81" t="n"/>
      <c r="AW1727" s="81" t="n"/>
      <c r="AX1727" s="81" t="n"/>
      <c r="AY1727" s="81" t="n"/>
      <c r="AZ1727" s="81" t="n"/>
      <c r="BA1727" s="81" t="n"/>
      <c r="BB1727" s="81" t="n"/>
      <c r="BC1727" s="81" t="n"/>
      <c r="BD1727" s="81" t="n"/>
      <c r="BE1727" s="81" t="n"/>
      <c r="BF1727" s="81" t="n"/>
      <c r="BG1727" s="81" t="n"/>
      <c r="BH1727" s="81" t="n"/>
      <c r="BI1727" s="81" t="n"/>
      <c r="BJ1727" s="81" t="n"/>
      <c r="BK1727" s="81" t="n"/>
      <c r="BL1727" s="81" t="n"/>
      <c r="BM1727" s="81" t="n"/>
      <c r="BN1727" s="81" t="n"/>
      <c r="BO1727" s="81" t="n"/>
      <c r="BP1727" s="81" t="n"/>
      <c r="BQ1727" s="81" t="n"/>
      <c r="BR1727" s="81" t="n"/>
      <c r="BS1727" s="81" t="n"/>
      <c r="BT1727" s="81" t="n"/>
      <c r="BU1727" s="81" t="n"/>
      <c r="BV1727" s="81" t="n"/>
      <c r="BW1727" s="81" t="n"/>
      <c r="BX1727" s="81" t="n"/>
      <c r="BY1727" s="81" t="n"/>
      <c r="BZ1727" s="81" t="n"/>
      <c r="CA1727" s="81" t="n"/>
      <c r="CB1727" s="81" t="n"/>
      <c r="CC1727" s="81" t="n"/>
      <c r="CD1727" s="81" t="n"/>
      <c r="CE1727" s="81" t="n"/>
      <c r="CF1727" s="81" t="n"/>
      <c r="CG1727" s="81" t="n"/>
      <c r="CH1727" s="81" t="n"/>
    </row>
    <row r="1728">
      <c r="A1728" s="81" t="n"/>
      <c r="B1728" s="81" t="n"/>
      <c r="C1728" s="81" t="n"/>
      <c r="D1728" s="81" t="n"/>
      <c r="E1728" s="81" t="n"/>
      <c r="F1728" s="81" t="n"/>
      <c r="G1728" s="81" t="n"/>
      <c r="H1728" s="81" t="n"/>
      <c r="I1728" s="81" t="n"/>
      <c r="J1728" s="81" t="n"/>
      <c r="K1728" s="81" t="n"/>
      <c r="L1728" s="81" t="n"/>
      <c r="M1728" s="81" t="n"/>
      <c r="N1728" s="81" t="n"/>
      <c r="O1728" s="81" t="n"/>
      <c r="P1728" s="81" t="n"/>
      <c r="Q1728" s="81" t="n"/>
      <c r="R1728" s="81" t="n"/>
      <c r="S1728" s="81" t="n"/>
      <c r="T1728" s="81" t="n"/>
      <c r="U1728" s="81" t="n"/>
      <c r="V1728" s="81" t="n"/>
      <c r="W1728" s="81" t="n"/>
      <c r="X1728" s="81" t="n"/>
      <c r="Y1728" s="81" t="n"/>
      <c r="Z1728" s="81" t="n"/>
      <c r="AA1728" s="81" t="n"/>
      <c r="AB1728" s="81" t="n"/>
      <c r="AC1728" s="81" t="n"/>
      <c r="AD1728" s="81" t="n"/>
      <c r="AE1728" s="81" t="n"/>
      <c r="AF1728" s="81" t="n"/>
      <c r="AG1728" s="81" t="n"/>
      <c r="AH1728" s="81" t="n"/>
      <c r="AI1728" s="81" t="n"/>
      <c r="AJ1728" s="81" t="n"/>
      <c r="AK1728" s="81" t="n"/>
      <c r="AL1728" s="81" t="n"/>
      <c r="AM1728" s="81" t="n"/>
      <c r="AN1728" s="81" t="n"/>
      <c r="AO1728" s="81" t="n"/>
      <c r="AP1728" s="81" t="n"/>
      <c r="AQ1728" s="81" t="n"/>
      <c r="AR1728" s="81" t="n"/>
      <c r="AS1728" s="81" t="n"/>
      <c r="AT1728" s="81" t="n"/>
      <c r="AU1728" s="81" t="n"/>
      <c r="AV1728" s="81" t="n"/>
      <c r="AW1728" s="81" t="n"/>
      <c r="AX1728" s="81" t="n"/>
      <c r="AY1728" s="81" t="n"/>
      <c r="AZ1728" s="81" t="n"/>
      <c r="BA1728" s="81" t="n"/>
      <c r="BB1728" s="81" t="n"/>
      <c r="BC1728" s="81" t="n"/>
      <c r="BD1728" s="81" t="n"/>
      <c r="BE1728" s="81" t="n"/>
      <c r="BF1728" s="81" t="n"/>
      <c r="BG1728" s="81" t="n"/>
      <c r="BH1728" s="81" t="n"/>
      <c r="BI1728" s="81" t="n"/>
      <c r="BJ1728" s="81" t="n"/>
      <c r="BK1728" s="81" t="n"/>
      <c r="BL1728" s="81" t="n"/>
      <c r="BM1728" s="81" t="n"/>
      <c r="BN1728" s="81" t="n"/>
      <c r="BO1728" s="81" t="n"/>
      <c r="BP1728" s="81" t="n"/>
      <c r="BQ1728" s="81" t="n"/>
      <c r="BR1728" s="81" t="n"/>
      <c r="BS1728" s="81" t="n"/>
      <c r="BT1728" s="81" t="n"/>
      <c r="BU1728" s="81" t="n"/>
      <c r="BV1728" s="81" t="n"/>
      <c r="BW1728" s="81" t="n"/>
      <c r="BX1728" s="81" t="n"/>
      <c r="BY1728" s="81" t="n"/>
      <c r="BZ1728" s="81" t="n"/>
      <c r="CA1728" s="81" t="n"/>
      <c r="CB1728" s="81" t="n"/>
      <c r="CC1728" s="81" t="n"/>
      <c r="CD1728" s="81" t="n"/>
      <c r="CE1728" s="81" t="n"/>
      <c r="CF1728" s="81" t="n"/>
      <c r="CG1728" s="81" t="n"/>
      <c r="CH1728" s="81" t="n"/>
    </row>
    <row r="1729">
      <c r="A1729" s="81" t="n"/>
      <c r="B1729" s="81" t="n"/>
      <c r="C1729" s="81" t="n"/>
      <c r="D1729" s="81" t="n"/>
      <c r="E1729" s="81" t="n"/>
      <c r="F1729" s="81" t="n"/>
      <c r="G1729" s="81" t="n"/>
      <c r="H1729" s="81" t="n"/>
      <c r="I1729" s="81" t="n"/>
      <c r="J1729" s="81" t="n"/>
      <c r="K1729" s="81" t="n"/>
      <c r="L1729" s="81" t="n"/>
      <c r="M1729" s="81" t="n"/>
      <c r="N1729" s="81" t="n"/>
      <c r="O1729" s="81" t="n"/>
      <c r="P1729" s="81" t="n"/>
      <c r="Q1729" s="81" t="n"/>
      <c r="R1729" s="81" t="n"/>
      <c r="S1729" s="81" t="n"/>
      <c r="T1729" s="81" t="n"/>
      <c r="U1729" s="81" t="n"/>
      <c r="V1729" s="81" t="n"/>
      <c r="W1729" s="81" t="n"/>
      <c r="X1729" s="81" t="n"/>
      <c r="Y1729" s="81" t="n"/>
      <c r="Z1729" s="81" t="n"/>
      <c r="AA1729" s="81" t="n"/>
      <c r="AB1729" s="81" t="n"/>
      <c r="AC1729" s="81" t="n"/>
      <c r="AD1729" s="81" t="n"/>
      <c r="AE1729" s="81" t="n"/>
      <c r="AF1729" s="81" t="n"/>
      <c r="AG1729" s="81" t="n"/>
      <c r="AH1729" s="81" t="n"/>
      <c r="AI1729" s="81" t="n"/>
      <c r="AJ1729" s="81" t="n"/>
      <c r="AK1729" s="81" t="n"/>
      <c r="AL1729" s="81" t="n"/>
      <c r="AM1729" s="81" t="n"/>
      <c r="AN1729" s="81" t="n"/>
      <c r="AO1729" s="81" t="n"/>
      <c r="AP1729" s="81" t="n"/>
      <c r="AQ1729" s="81" t="n"/>
      <c r="AR1729" s="81" t="n"/>
      <c r="AS1729" s="81" t="n"/>
      <c r="AT1729" s="81" t="n"/>
      <c r="AU1729" s="81" t="n"/>
      <c r="AV1729" s="81" t="n"/>
      <c r="AW1729" s="81" t="n"/>
      <c r="AX1729" s="81" t="n"/>
      <c r="AY1729" s="81" t="n"/>
      <c r="AZ1729" s="81" t="n"/>
      <c r="BA1729" s="81" t="n"/>
      <c r="BB1729" s="81" t="n"/>
      <c r="BC1729" s="81" t="n"/>
      <c r="BD1729" s="81" t="n"/>
      <c r="BE1729" s="81" t="n"/>
      <c r="BF1729" s="81" t="n"/>
      <c r="BG1729" s="81" t="n"/>
      <c r="BH1729" s="81" t="n"/>
      <c r="BI1729" s="81" t="n"/>
      <c r="BJ1729" s="81" t="n"/>
      <c r="BK1729" s="81" t="n"/>
      <c r="BL1729" s="81" t="n"/>
      <c r="BM1729" s="81" t="n"/>
      <c r="BN1729" s="81" t="n"/>
      <c r="BO1729" s="81" t="n"/>
      <c r="BP1729" s="81" t="n"/>
      <c r="BQ1729" s="81" t="n"/>
      <c r="BR1729" s="81" t="n"/>
      <c r="BS1729" s="81" t="n"/>
      <c r="BT1729" s="81" t="n"/>
      <c r="BU1729" s="81" t="n"/>
      <c r="BV1729" s="81" t="n"/>
      <c r="BW1729" s="81" t="n"/>
      <c r="BX1729" s="81" t="n"/>
      <c r="BY1729" s="81" t="n"/>
      <c r="BZ1729" s="81" t="n"/>
      <c r="CA1729" s="81" t="n"/>
      <c r="CB1729" s="81" t="n"/>
      <c r="CC1729" s="81" t="n"/>
      <c r="CD1729" s="81" t="n"/>
      <c r="CE1729" s="81" t="n"/>
      <c r="CF1729" s="81" t="n"/>
      <c r="CG1729" s="81" t="n"/>
      <c r="CH1729" s="81" t="n"/>
    </row>
    <row r="1730">
      <c r="A1730" s="81" t="n"/>
      <c r="B1730" s="81" t="n"/>
      <c r="C1730" s="81" t="n"/>
      <c r="D1730" s="81" t="n"/>
      <c r="E1730" s="81" t="n"/>
      <c r="F1730" s="81" t="n"/>
      <c r="G1730" s="81" t="n"/>
      <c r="H1730" s="81" t="n"/>
      <c r="I1730" s="81" t="n"/>
      <c r="J1730" s="81" t="n"/>
      <c r="K1730" s="81" t="n"/>
      <c r="L1730" s="81" t="n"/>
      <c r="M1730" s="81" t="n"/>
      <c r="N1730" s="81" t="n"/>
      <c r="O1730" s="81" t="n"/>
      <c r="P1730" s="81" t="n"/>
      <c r="Q1730" s="81" t="n"/>
      <c r="R1730" s="81" t="n"/>
      <c r="S1730" s="81" t="n"/>
      <c r="T1730" s="81" t="n"/>
      <c r="U1730" s="81" t="n"/>
      <c r="V1730" s="81" t="n"/>
      <c r="W1730" s="81" t="n"/>
      <c r="X1730" s="81" t="n"/>
      <c r="Y1730" s="81" t="n"/>
      <c r="Z1730" s="81" t="n"/>
      <c r="AA1730" s="81" t="n"/>
      <c r="AB1730" s="81" t="n"/>
      <c r="AC1730" s="81" t="n"/>
      <c r="AD1730" s="81" t="n"/>
      <c r="AE1730" s="81" t="n"/>
      <c r="AF1730" s="81" t="n"/>
      <c r="AG1730" s="81" t="n"/>
      <c r="AH1730" s="81" t="n"/>
      <c r="AI1730" s="81" t="n"/>
      <c r="AJ1730" s="81" t="n"/>
      <c r="AK1730" s="81" t="n"/>
      <c r="AL1730" s="81" t="n"/>
      <c r="AM1730" s="81" t="n"/>
      <c r="AN1730" s="81" t="n"/>
      <c r="AO1730" s="81" t="n"/>
      <c r="AP1730" s="81" t="n"/>
      <c r="AQ1730" s="81" t="n"/>
      <c r="AR1730" s="81" t="n"/>
      <c r="AS1730" s="81" t="n"/>
      <c r="AT1730" s="81" t="n"/>
      <c r="AU1730" s="81" t="n"/>
      <c r="AV1730" s="81" t="n"/>
      <c r="AW1730" s="81" t="n"/>
      <c r="AX1730" s="81" t="n"/>
      <c r="AY1730" s="81" t="n"/>
      <c r="AZ1730" s="81" t="n"/>
      <c r="BA1730" s="81" t="n"/>
      <c r="BB1730" s="81" t="n"/>
      <c r="BC1730" s="81" t="n"/>
      <c r="BD1730" s="81" t="n"/>
      <c r="BE1730" s="81" t="n"/>
      <c r="BF1730" s="81" t="n"/>
      <c r="BG1730" s="81" t="n"/>
      <c r="BH1730" s="81" t="n"/>
      <c r="BI1730" s="81" t="n"/>
      <c r="BJ1730" s="81" t="n"/>
      <c r="BK1730" s="81" t="n"/>
      <c r="BL1730" s="81" t="n"/>
      <c r="BM1730" s="81" t="n"/>
      <c r="BN1730" s="81" t="n"/>
      <c r="BO1730" s="81" t="n"/>
      <c r="BP1730" s="81" t="n"/>
      <c r="BQ1730" s="81" t="n"/>
      <c r="BR1730" s="81" t="n"/>
      <c r="BS1730" s="81" t="n"/>
      <c r="BT1730" s="81" t="n"/>
      <c r="BU1730" s="81" t="n"/>
      <c r="BV1730" s="81" t="n"/>
      <c r="BW1730" s="81" t="n"/>
      <c r="BX1730" s="81" t="n"/>
      <c r="BY1730" s="81" t="n"/>
      <c r="BZ1730" s="81" t="n"/>
      <c r="CA1730" s="81" t="n"/>
      <c r="CB1730" s="81" t="n"/>
      <c r="CC1730" s="81" t="n"/>
      <c r="CD1730" s="81" t="n"/>
      <c r="CE1730" s="81" t="n"/>
      <c r="CF1730" s="81" t="n"/>
      <c r="CG1730" s="81" t="n"/>
      <c r="CH1730" s="81" t="n"/>
    </row>
    <row r="1731">
      <c r="A1731" s="81" t="n"/>
      <c r="B1731" s="81" t="n"/>
      <c r="C1731" s="81" t="n"/>
      <c r="D1731" s="81" t="n"/>
      <c r="E1731" s="81" t="n"/>
      <c r="F1731" s="81" t="n"/>
      <c r="G1731" s="81" t="n"/>
      <c r="H1731" s="81" t="n"/>
      <c r="I1731" s="81" t="n"/>
      <c r="J1731" s="81" t="n"/>
      <c r="K1731" s="81" t="n"/>
      <c r="L1731" s="81" t="n"/>
      <c r="M1731" s="81" t="n"/>
      <c r="N1731" s="81" t="n"/>
      <c r="O1731" s="81" t="n"/>
      <c r="P1731" s="81" t="n"/>
      <c r="Q1731" s="81" t="n"/>
      <c r="R1731" s="81" t="n"/>
      <c r="S1731" s="81" t="n"/>
      <c r="T1731" s="81" t="n"/>
      <c r="U1731" s="81" t="n"/>
      <c r="V1731" s="81" t="n"/>
      <c r="W1731" s="81" t="n"/>
      <c r="X1731" s="81" t="n"/>
      <c r="Y1731" s="81" t="n"/>
      <c r="Z1731" s="81" t="n"/>
      <c r="AA1731" s="81" t="n"/>
      <c r="AB1731" s="81" t="n"/>
      <c r="AC1731" s="81" t="n"/>
      <c r="AD1731" s="81" t="n"/>
      <c r="AE1731" s="81" t="n"/>
      <c r="AF1731" s="81" t="n"/>
      <c r="AG1731" s="81" t="n"/>
      <c r="AH1731" s="81" t="n"/>
      <c r="AI1731" s="81" t="n"/>
      <c r="AJ1731" s="81" t="n"/>
      <c r="AK1731" s="81" t="n"/>
      <c r="AL1731" s="81" t="n"/>
      <c r="AM1731" s="81" t="n"/>
      <c r="AN1731" s="81" t="n"/>
      <c r="AO1731" s="81" t="n"/>
      <c r="AP1731" s="81" t="n"/>
      <c r="AQ1731" s="81" t="n"/>
      <c r="AR1731" s="81" t="n"/>
      <c r="AS1731" s="81" t="n"/>
      <c r="AT1731" s="81" t="n"/>
      <c r="AU1731" s="81" t="n"/>
      <c r="AV1731" s="81" t="n"/>
      <c r="AW1731" s="81" t="n"/>
      <c r="AX1731" s="81" t="n"/>
      <c r="AY1731" s="81" t="n"/>
      <c r="AZ1731" s="81" t="n"/>
      <c r="BA1731" s="81" t="n"/>
      <c r="BB1731" s="81" t="n"/>
      <c r="BC1731" s="81" t="n"/>
      <c r="BD1731" s="81" t="n"/>
      <c r="BE1731" s="81" t="n"/>
      <c r="BF1731" s="81" t="n"/>
      <c r="BG1731" s="81" t="n"/>
      <c r="BH1731" s="81" t="n"/>
      <c r="BI1731" s="81" t="n"/>
      <c r="BJ1731" s="81" t="n"/>
      <c r="BK1731" s="81" t="n"/>
      <c r="BL1731" s="81" t="n"/>
      <c r="BM1731" s="81" t="n"/>
      <c r="BN1731" s="81" t="n"/>
      <c r="BO1731" s="81" t="n"/>
      <c r="BP1731" s="81" t="n"/>
      <c r="BQ1731" s="81" t="n"/>
      <c r="BR1731" s="81" t="n"/>
      <c r="BS1731" s="81" t="n"/>
      <c r="BT1731" s="81" t="n"/>
      <c r="BU1731" s="81" t="n"/>
      <c r="BV1731" s="81" t="n"/>
      <c r="BW1731" s="81" t="n"/>
      <c r="BX1731" s="81" t="n"/>
      <c r="BY1731" s="81" t="n"/>
      <c r="BZ1731" s="81" t="n"/>
      <c r="CA1731" s="81" t="n"/>
      <c r="CB1731" s="81" t="n"/>
      <c r="CC1731" s="81" t="n"/>
      <c r="CD1731" s="81" t="n"/>
      <c r="CE1731" s="81" t="n"/>
      <c r="CF1731" s="81" t="n"/>
      <c r="CG1731" s="81" t="n"/>
      <c r="CH1731" s="81" t="n"/>
    </row>
    <row r="1732">
      <c r="A1732" s="81" t="n"/>
      <c r="B1732" s="81" t="n"/>
      <c r="C1732" s="81" t="n"/>
      <c r="D1732" s="81" t="n"/>
      <c r="E1732" s="81" t="n"/>
      <c r="F1732" s="81" t="n"/>
      <c r="G1732" s="81" t="n"/>
      <c r="H1732" s="81" t="n"/>
      <c r="I1732" s="81" t="n"/>
      <c r="J1732" s="81" t="n"/>
      <c r="K1732" s="81" t="n"/>
      <c r="L1732" s="81" t="n"/>
      <c r="M1732" s="81" t="n"/>
      <c r="N1732" s="81" t="n"/>
      <c r="O1732" s="81" t="n"/>
      <c r="P1732" s="81" t="n"/>
      <c r="Q1732" s="81" t="n"/>
      <c r="R1732" s="81" t="n"/>
      <c r="S1732" s="81" t="n"/>
      <c r="T1732" s="81" t="n"/>
      <c r="U1732" s="81" t="n"/>
      <c r="V1732" s="81" t="n"/>
      <c r="W1732" s="81" t="n"/>
      <c r="X1732" s="81" t="n"/>
      <c r="Y1732" s="81" t="n"/>
      <c r="Z1732" s="81" t="n"/>
      <c r="AA1732" s="81" t="n"/>
      <c r="AB1732" s="81" t="n"/>
      <c r="AC1732" s="81" t="n"/>
      <c r="AD1732" s="81" t="n"/>
      <c r="AE1732" s="81" t="n"/>
      <c r="AF1732" s="81" t="n"/>
      <c r="AG1732" s="81" t="n"/>
      <c r="AH1732" s="81" t="n"/>
      <c r="AI1732" s="81" t="n"/>
      <c r="AJ1732" s="81" t="n"/>
      <c r="AK1732" s="81" t="n"/>
      <c r="AL1732" s="81" t="n"/>
      <c r="AM1732" s="81" t="n"/>
      <c r="AN1732" s="81" t="n"/>
      <c r="AO1732" s="81" t="n"/>
      <c r="AP1732" s="81" t="n"/>
      <c r="AQ1732" s="81" t="n"/>
      <c r="AR1732" s="81" t="n"/>
      <c r="AS1732" s="81" t="n"/>
      <c r="AT1732" s="81" t="n"/>
      <c r="AU1732" s="81" t="n"/>
      <c r="AV1732" s="81" t="n"/>
      <c r="AW1732" s="81" t="n"/>
      <c r="AX1732" s="81" t="n"/>
      <c r="AY1732" s="81" t="n"/>
      <c r="AZ1732" s="81" t="n"/>
      <c r="BA1732" s="81" t="n"/>
      <c r="BB1732" s="81" t="n"/>
      <c r="BC1732" s="81" t="n"/>
      <c r="BD1732" s="81" t="n"/>
      <c r="BE1732" s="81" t="n"/>
      <c r="BF1732" s="81" t="n"/>
      <c r="BG1732" s="81" t="n"/>
      <c r="BH1732" s="81" t="n"/>
      <c r="BI1732" s="81" t="n"/>
      <c r="BJ1732" s="81" t="n"/>
      <c r="BK1732" s="81" t="n"/>
      <c r="BL1732" s="81" t="n"/>
      <c r="BM1732" s="81" t="n"/>
      <c r="BN1732" s="81" t="n"/>
      <c r="BO1732" s="81" t="n"/>
      <c r="BP1732" s="81" t="n"/>
      <c r="BQ1732" s="81" t="n"/>
      <c r="BR1732" s="81" t="n"/>
      <c r="BS1732" s="81" t="n"/>
      <c r="BT1732" s="81" t="n"/>
      <c r="BU1732" s="81" t="n"/>
      <c r="BV1732" s="81" t="n"/>
      <c r="BW1732" s="81" t="n"/>
      <c r="BX1732" s="81" t="n"/>
      <c r="BY1732" s="81" t="n"/>
      <c r="BZ1732" s="81" t="n"/>
      <c r="CA1732" s="81" t="n"/>
      <c r="CB1732" s="81" t="n"/>
      <c r="CC1732" s="81" t="n"/>
      <c r="CD1732" s="81" t="n"/>
      <c r="CE1732" s="81" t="n"/>
      <c r="CF1732" s="81" t="n"/>
      <c r="CG1732" s="81" t="n"/>
      <c r="CH1732" s="81" t="n"/>
    </row>
    <row r="1733">
      <c r="A1733" s="81" t="n"/>
      <c r="B1733" s="81" t="n"/>
      <c r="C1733" s="81" t="n"/>
      <c r="D1733" s="81" t="n"/>
      <c r="E1733" s="81" t="n"/>
      <c r="F1733" s="81" t="n"/>
      <c r="G1733" s="81" t="n"/>
      <c r="H1733" s="81" t="n"/>
      <c r="I1733" s="81" t="n"/>
      <c r="J1733" s="81" t="n"/>
      <c r="K1733" s="81" t="n"/>
      <c r="L1733" s="81" t="n"/>
      <c r="M1733" s="81" t="n"/>
      <c r="N1733" s="81" t="n"/>
      <c r="O1733" s="81" t="n"/>
      <c r="P1733" s="81" t="n"/>
      <c r="Q1733" s="81" t="n"/>
      <c r="R1733" s="81" t="n"/>
      <c r="S1733" s="81" t="n"/>
      <c r="T1733" s="81" t="n"/>
      <c r="U1733" s="81" t="n"/>
      <c r="V1733" s="81" t="n"/>
      <c r="W1733" s="81" t="n"/>
      <c r="X1733" s="81" t="n"/>
      <c r="Y1733" s="81" t="n"/>
      <c r="Z1733" s="81" t="n"/>
      <c r="AA1733" s="81" t="n"/>
      <c r="AB1733" s="81" t="n"/>
      <c r="AC1733" s="81" t="n"/>
      <c r="AD1733" s="81" t="n"/>
      <c r="AE1733" s="81" t="n"/>
      <c r="AF1733" s="81" t="n"/>
      <c r="AG1733" s="81" t="n"/>
      <c r="AH1733" s="81" t="n"/>
      <c r="AI1733" s="81" t="n"/>
      <c r="AJ1733" s="81" t="n"/>
      <c r="AK1733" s="81" t="n"/>
      <c r="AL1733" s="81" t="n"/>
      <c r="AM1733" s="81" t="n"/>
      <c r="AN1733" s="81" t="n"/>
      <c r="AO1733" s="81" t="n"/>
      <c r="AP1733" s="81" t="n"/>
      <c r="AQ1733" s="81" t="n"/>
      <c r="AR1733" s="81" t="n"/>
      <c r="AS1733" s="81" t="n"/>
      <c r="AT1733" s="81" t="n"/>
      <c r="AU1733" s="81" t="n"/>
      <c r="AV1733" s="81" t="n"/>
      <c r="AW1733" s="81" t="n"/>
      <c r="AX1733" s="81" t="n"/>
      <c r="AY1733" s="81" t="n"/>
      <c r="AZ1733" s="81" t="n"/>
      <c r="BA1733" s="81" t="n"/>
      <c r="BB1733" s="81" t="n"/>
      <c r="BC1733" s="81" t="n"/>
      <c r="BD1733" s="81" t="n"/>
      <c r="BE1733" s="81" t="n"/>
      <c r="BF1733" s="81" t="n"/>
      <c r="BG1733" s="81" t="n"/>
      <c r="BH1733" s="81" t="n"/>
      <c r="BI1733" s="81" t="n"/>
      <c r="BJ1733" s="81" t="n"/>
      <c r="BK1733" s="81" t="n"/>
      <c r="BL1733" s="81" t="n"/>
      <c r="BM1733" s="81" t="n"/>
      <c r="BN1733" s="81" t="n"/>
      <c r="BO1733" s="81" t="n"/>
      <c r="BP1733" s="81" t="n"/>
      <c r="BQ1733" s="81" t="n"/>
      <c r="BR1733" s="81" t="n"/>
      <c r="BS1733" s="81" t="n"/>
      <c r="BT1733" s="81" t="n"/>
      <c r="BU1733" s="81" t="n"/>
      <c r="BV1733" s="81" t="n"/>
      <c r="BW1733" s="81" t="n"/>
      <c r="BX1733" s="81" t="n"/>
      <c r="BY1733" s="81" t="n"/>
      <c r="BZ1733" s="81" t="n"/>
      <c r="CA1733" s="81" t="n"/>
      <c r="CB1733" s="81" t="n"/>
      <c r="CC1733" s="81" t="n"/>
      <c r="CD1733" s="81" t="n"/>
      <c r="CE1733" s="81" t="n"/>
      <c r="CF1733" s="81" t="n"/>
      <c r="CG1733" s="81" t="n"/>
      <c r="CH1733" s="81" t="n"/>
    </row>
    <row r="1734">
      <c r="A1734" s="81" t="n"/>
      <c r="B1734" s="81" t="n"/>
      <c r="C1734" s="81" t="n"/>
      <c r="D1734" s="81" t="n"/>
      <c r="E1734" s="81" t="n"/>
      <c r="F1734" s="81" t="n"/>
      <c r="G1734" s="81" t="n"/>
      <c r="H1734" s="81" t="n"/>
      <c r="I1734" s="81" t="n"/>
      <c r="J1734" s="81" t="n"/>
      <c r="K1734" s="81" t="n"/>
      <c r="L1734" s="81" t="n"/>
      <c r="M1734" s="81" t="n"/>
      <c r="N1734" s="81" t="n"/>
      <c r="O1734" s="81" t="n"/>
      <c r="P1734" s="81" t="n"/>
      <c r="Q1734" s="81" t="n"/>
      <c r="R1734" s="81" t="n"/>
      <c r="S1734" s="81" t="n"/>
      <c r="T1734" s="81" t="n"/>
      <c r="U1734" s="81" t="n"/>
      <c r="V1734" s="81" t="n"/>
      <c r="W1734" s="81" t="n"/>
      <c r="X1734" s="81" t="n"/>
      <c r="Y1734" s="81" t="n"/>
      <c r="Z1734" s="81" t="n"/>
      <c r="AA1734" s="81" t="n"/>
      <c r="AB1734" s="81" t="n"/>
      <c r="AC1734" s="81" t="n"/>
      <c r="AD1734" s="81" t="n"/>
      <c r="AE1734" s="81" t="n"/>
      <c r="AF1734" s="81" t="n"/>
      <c r="AG1734" s="81" t="n"/>
      <c r="AH1734" s="81" t="n"/>
      <c r="AI1734" s="81" t="n"/>
      <c r="AJ1734" s="81" t="n"/>
      <c r="AK1734" s="81" t="n"/>
      <c r="AL1734" s="81" t="n"/>
      <c r="AM1734" s="81" t="n"/>
      <c r="AN1734" s="81" t="n"/>
      <c r="AO1734" s="81" t="n"/>
      <c r="AP1734" s="81" t="n"/>
      <c r="AQ1734" s="81" t="n"/>
      <c r="AR1734" s="81" t="n"/>
      <c r="AS1734" s="81" t="n"/>
      <c r="AT1734" s="81" t="n"/>
      <c r="AU1734" s="81" t="n"/>
      <c r="AV1734" s="81" t="n"/>
      <c r="AW1734" s="81" t="n"/>
      <c r="AX1734" s="81" t="n"/>
      <c r="AY1734" s="81" t="n"/>
      <c r="AZ1734" s="81" t="n"/>
      <c r="BA1734" s="81" t="n"/>
      <c r="BB1734" s="81" t="n"/>
      <c r="BC1734" s="81" t="n"/>
      <c r="BD1734" s="81" t="n"/>
      <c r="BE1734" s="81" t="n"/>
      <c r="BF1734" s="81" t="n"/>
      <c r="BG1734" s="81" t="n"/>
      <c r="BH1734" s="81" t="n"/>
      <c r="BI1734" s="81" t="n"/>
      <c r="BJ1734" s="81" t="n"/>
      <c r="BK1734" s="81" t="n"/>
      <c r="BL1734" s="81" t="n"/>
      <c r="BM1734" s="81" t="n"/>
      <c r="BN1734" s="81" t="n"/>
      <c r="BO1734" s="81" t="n"/>
      <c r="BP1734" s="81" t="n"/>
      <c r="BQ1734" s="81" t="n"/>
      <c r="BR1734" s="81" t="n"/>
      <c r="BS1734" s="81" t="n"/>
      <c r="BT1734" s="81" t="n"/>
      <c r="BU1734" s="81" t="n"/>
      <c r="BV1734" s="81" t="n"/>
      <c r="BW1734" s="81" t="n"/>
      <c r="BX1734" s="81" t="n"/>
      <c r="BY1734" s="81" t="n"/>
      <c r="BZ1734" s="81" t="n"/>
      <c r="CA1734" s="81" t="n"/>
      <c r="CB1734" s="81" t="n"/>
      <c r="CC1734" s="81" t="n"/>
      <c r="CD1734" s="81" t="n"/>
      <c r="CE1734" s="81" t="n"/>
      <c r="CF1734" s="81" t="n"/>
      <c r="CG1734" s="81" t="n"/>
      <c r="CH1734" s="81" t="n"/>
    </row>
    <row r="1735">
      <c r="A1735" s="81" t="n"/>
      <c r="B1735" s="81" t="n"/>
      <c r="C1735" s="81" t="n"/>
      <c r="D1735" s="81" t="n"/>
      <c r="E1735" s="81" t="n"/>
      <c r="F1735" s="81" t="n"/>
      <c r="G1735" s="81" t="n"/>
      <c r="H1735" s="81" t="n"/>
      <c r="I1735" s="81" t="n"/>
      <c r="J1735" s="81" t="n"/>
      <c r="K1735" s="81" t="n"/>
      <c r="L1735" s="81" t="n"/>
      <c r="M1735" s="81" t="n"/>
      <c r="N1735" s="81" t="n"/>
      <c r="O1735" s="81" t="n"/>
      <c r="P1735" s="81" t="n"/>
      <c r="Q1735" s="81" t="n"/>
      <c r="R1735" s="81" t="n"/>
      <c r="S1735" s="81" t="n"/>
      <c r="T1735" s="81" t="n"/>
      <c r="U1735" s="81" t="n"/>
      <c r="V1735" s="81" t="n"/>
      <c r="W1735" s="81" t="n"/>
      <c r="X1735" s="81" t="n"/>
      <c r="Y1735" s="81" t="n"/>
      <c r="Z1735" s="81" t="n"/>
      <c r="AA1735" s="81" t="n"/>
      <c r="AB1735" s="81" t="n"/>
      <c r="AC1735" s="81" t="n"/>
      <c r="AD1735" s="81" t="n"/>
      <c r="AE1735" s="81" t="n"/>
      <c r="AF1735" s="81" t="n"/>
      <c r="AG1735" s="81" t="n"/>
      <c r="AH1735" s="81" t="n"/>
      <c r="AI1735" s="81" t="n"/>
      <c r="AJ1735" s="81" t="n"/>
      <c r="AK1735" s="81" t="n"/>
      <c r="AL1735" s="81" t="n"/>
      <c r="AM1735" s="81" t="n"/>
      <c r="AN1735" s="81" t="n"/>
      <c r="AO1735" s="81" t="n"/>
      <c r="AP1735" s="81" t="n"/>
      <c r="AQ1735" s="81" t="n"/>
      <c r="AR1735" s="81" t="n"/>
      <c r="AS1735" s="81" t="n"/>
      <c r="AT1735" s="81" t="n"/>
      <c r="AU1735" s="81" t="n"/>
      <c r="AV1735" s="81" t="n"/>
      <c r="AW1735" s="81" t="n"/>
      <c r="AX1735" s="81" t="n"/>
      <c r="AY1735" s="81" t="n"/>
      <c r="AZ1735" s="81" t="n"/>
      <c r="BA1735" s="81" t="n"/>
      <c r="BB1735" s="81" t="n"/>
      <c r="BC1735" s="81" t="n"/>
      <c r="BD1735" s="81" t="n"/>
      <c r="BE1735" s="81" t="n"/>
      <c r="BF1735" s="81" t="n"/>
      <c r="BG1735" s="81" t="n"/>
      <c r="BH1735" s="81" t="n"/>
      <c r="BI1735" s="81" t="n"/>
      <c r="BJ1735" s="81" t="n"/>
      <c r="BK1735" s="81" t="n"/>
      <c r="BL1735" s="81" t="n"/>
      <c r="BM1735" s="81" t="n"/>
      <c r="BN1735" s="81" t="n"/>
      <c r="BO1735" s="81" t="n"/>
      <c r="BP1735" s="81" t="n"/>
      <c r="BQ1735" s="81" t="n"/>
      <c r="BR1735" s="81" t="n"/>
      <c r="BS1735" s="81" t="n"/>
      <c r="BT1735" s="81" t="n"/>
      <c r="BU1735" s="81" t="n"/>
      <c r="BV1735" s="81" t="n"/>
      <c r="BW1735" s="81" t="n"/>
      <c r="BX1735" s="81" t="n"/>
      <c r="BY1735" s="81" t="n"/>
      <c r="BZ1735" s="81" t="n"/>
      <c r="CA1735" s="81" t="n"/>
      <c r="CB1735" s="81" t="n"/>
      <c r="CC1735" s="81" t="n"/>
      <c r="CD1735" s="81" t="n"/>
      <c r="CE1735" s="81" t="n"/>
      <c r="CF1735" s="81" t="n"/>
      <c r="CG1735" s="81" t="n"/>
      <c r="CH1735" s="81" t="n"/>
    </row>
    <row r="1736">
      <c r="A1736" s="81" t="n"/>
      <c r="B1736" s="81" t="n"/>
      <c r="C1736" s="81" t="n"/>
      <c r="D1736" s="81" t="n"/>
      <c r="E1736" s="81" t="n"/>
      <c r="F1736" s="81" t="n"/>
      <c r="G1736" s="81" t="n"/>
      <c r="H1736" s="81" t="n"/>
      <c r="I1736" s="81" t="n"/>
      <c r="J1736" s="81" t="n"/>
      <c r="K1736" s="81" t="n"/>
      <c r="L1736" s="81" t="n"/>
      <c r="M1736" s="81" t="n"/>
      <c r="N1736" s="81" t="n"/>
      <c r="O1736" s="81" t="n"/>
      <c r="P1736" s="81" t="n"/>
      <c r="Q1736" s="81" t="n"/>
      <c r="R1736" s="81" t="n"/>
      <c r="S1736" s="81" t="n"/>
      <c r="T1736" s="81" t="n"/>
      <c r="U1736" s="81" t="n"/>
      <c r="V1736" s="81" t="n"/>
      <c r="W1736" s="81" t="n"/>
      <c r="X1736" s="81" t="n"/>
      <c r="Y1736" s="81" t="n"/>
      <c r="Z1736" s="81" t="n"/>
      <c r="AA1736" s="81" t="n"/>
      <c r="AB1736" s="81" t="n"/>
      <c r="AC1736" s="81" t="n"/>
      <c r="AD1736" s="81" t="n"/>
      <c r="AE1736" s="81" t="n"/>
      <c r="AF1736" s="81" t="n"/>
      <c r="AG1736" s="81" t="n"/>
      <c r="AH1736" s="81" t="n"/>
      <c r="AI1736" s="81" t="n"/>
      <c r="AJ1736" s="81" t="n"/>
      <c r="AK1736" s="81" t="n"/>
      <c r="AL1736" s="81" t="n"/>
      <c r="AM1736" s="81" t="n"/>
      <c r="AN1736" s="81" t="n"/>
      <c r="AO1736" s="81" t="n"/>
      <c r="AP1736" s="81" t="n"/>
      <c r="AQ1736" s="81" t="n"/>
      <c r="AR1736" s="81" t="n"/>
      <c r="AS1736" s="81" t="n"/>
      <c r="AT1736" s="81" t="n"/>
      <c r="AU1736" s="81" t="n"/>
      <c r="AV1736" s="81" t="n"/>
      <c r="AW1736" s="81" t="n"/>
      <c r="AX1736" s="81" t="n"/>
      <c r="AY1736" s="81" t="n"/>
      <c r="AZ1736" s="81" t="n"/>
      <c r="BA1736" s="81" t="n"/>
      <c r="BB1736" s="81" t="n"/>
      <c r="BC1736" s="81" t="n"/>
      <c r="BD1736" s="81" t="n"/>
      <c r="BE1736" s="81" t="n"/>
      <c r="BF1736" s="81" t="n"/>
      <c r="BG1736" s="81" t="n"/>
      <c r="BH1736" s="81" t="n"/>
      <c r="BI1736" s="81" t="n"/>
      <c r="BJ1736" s="81" t="n"/>
      <c r="BK1736" s="81" t="n"/>
      <c r="BL1736" s="81" t="n"/>
      <c r="BM1736" s="81" t="n"/>
      <c r="BN1736" s="81" t="n"/>
      <c r="BO1736" s="81" t="n"/>
      <c r="BP1736" s="81" t="n"/>
      <c r="BQ1736" s="81" t="n"/>
      <c r="BR1736" s="81" t="n"/>
      <c r="BS1736" s="81" t="n"/>
      <c r="BT1736" s="81" t="n"/>
      <c r="BU1736" s="81" t="n"/>
      <c r="BV1736" s="81" t="n"/>
      <c r="BW1736" s="81" t="n"/>
      <c r="BX1736" s="81" t="n"/>
      <c r="BY1736" s="81" t="n"/>
      <c r="BZ1736" s="81" t="n"/>
      <c r="CA1736" s="81" t="n"/>
      <c r="CB1736" s="81" t="n"/>
      <c r="CC1736" s="81" t="n"/>
      <c r="CD1736" s="81" t="n"/>
      <c r="CE1736" s="81" t="n"/>
      <c r="CF1736" s="81" t="n"/>
      <c r="CG1736" s="81" t="n"/>
      <c r="CH1736" s="81" t="n"/>
    </row>
    <row r="1737">
      <c r="A1737" s="81" t="n"/>
      <c r="B1737" s="81" t="n"/>
      <c r="C1737" s="81" t="n"/>
      <c r="D1737" s="81" t="n"/>
      <c r="E1737" s="81" t="n"/>
      <c r="F1737" s="81" t="n"/>
      <c r="G1737" s="81" t="n"/>
      <c r="H1737" s="81" t="n"/>
      <c r="I1737" s="81" t="n"/>
      <c r="J1737" s="81" t="n"/>
      <c r="K1737" s="81" t="n"/>
      <c r="L1737" s="81" t="n"/>
      <c r="M1737" s="81" t="n"/>
      <c r="N1737" s="81" t="n"/>
      <c r="O1737" s="81" t="n"/>
      <c r="P1737" s="81" t="n"/>
      <c r="Q1737" s="81" t="n"/>
      <c r="R1737" s="81" t="n"/>
      <c r="S1737" s="81" t="n"/>
      <c r="T1737" s="81" t="n"/>
      <c r="U1737" s="81" t="n"/>
      <c r="V1737" s="81" t="n"/>
      <c r="W1737" s="81" t="n"/>
      <c r="X1737" s="81" t="n"/>
      <c r="Y1737" s="81" t="n"/>
      <c r="Z1737" s="81" t="n"/>
      <c r="AA1737" s="81" t="n"/>
      <c r="AB1737" s="81" t="n"/>
      <c r="AC1737" s="81" t="n"/>
      <c r="AD1737" s="81" t="n"/>
      <c r="AE1737" s="81" t="n"/>
      <c r="AF1737" s="81" t="n"/>
      <c r="AG1737" s="81" t="n"/>
      <c r="AH1737" s="81" t="n"/>
      <c r="AI1737" s="81" t="n"/>
      <c r="AJ1737" s="81" t="n"/>
      <c r="AK1737" s="81" t="n"/>
      <c r="AL1737" s="81" t="n"/>
      <c r="AM1737" s="81" t="n"/>
      <c r="AN1737" s="81" t="n"/>
      <c r="AO1737" s="81" t="n"/>
      <c r="AP1737" s="81" t="n"/>
      <c r="AQ1737" s="81" t="n"/>
      <c r="AR1737" s="81" t="n"/>
      <c r="AS1737" s="81" t="n"/>
      <c r="AT1737" s="81" t="n"/>
      <c r="AU1737" s="81" t="n"/>
      <c r="AV1737" s="81" t="n"/>
      <c r="AW1737" s="81" t="n"/>
      <c r="AX1737" s="81" t="n"/>
      <c r="AY1737" s="81" t="n"/>
      <c r="AZ1737" s="81" t="n"/>
      <c r="BA1737" s="81" t="n"/>
      <c r="BB1737" s="81" t="n"/>
      <c r="BC1737" s="81" t="n"/>
      <c r="BD1737" s="81" t="n"/>
      <c r="BE1737" s="81" t="n"/>
      <c r="BF1737" s="81" t="n"/>
      <c r="BG1737" s="81" t="n"/>
      <c r="BH1737" s="81" t="n"/>
      <c r="BI1737" s="81" t="n"/>
      <c r="BJ1737" s="81" t="n"/>
      <c r="BK1737" s="81" t="n"/>
      <c r="BL1737" s="81" t="n"/>
      <c r="BM1737" s="81" t="n"/>
      <c r="BN1737" s="81" t="n"/>
      <c r="BO1737" s="81" t="n"/>
      <c r="BP1737" s="81" t="n"/>
      <c r="BQ1737" s="81" t="n"/>
      <c r="BR1737" s="81" t="n"/>
      <c r="BS1737" s="81" t="n"/>
      <c r="BT1737" s="81" t="n"/>
      <c r="BU1737" s="81" t="n"/>
      <c r="BV1737" s="81" t="n"/>
      <c r="BW1737" s="81" t="n"/>
      <c r="BX1737" s="81" t="n"/>
      <c r="BY1737" s="81" t="n"/>
      <c r="BZ1737" s="81" t="n"/>
      <c r="CA1737" s="81" t="n"/>
      <c r="CB1737" s="81" t="n"/>
      <c r="CC1737" s="81" t="n"/>
      <c r="CD1737" s="81" t="n"/>
      <c r="CE1737" s="81" t="n"/>
      <c r="CF1737" s="81" t="n"/>
      <c r="CG1737" s="81" t="n"/>
      <c r="CH1737" s="81" t="n"/>
    </row>
    <row r="1738">
      <c r="A1738" s="81" t="n"/>
      <c r="B1738" s="81" t="n"/>
      <c r="C1738" s="81" t="n"/>
      <c r="D1738" s="81" t="n"/>
      <c r="E1738" s="81" t="n"/>
      <c r="F1738" s="81" t="n"/>
      <c r="G1738" s="81" t="n"/>
      <c r="H1738" s="81" t="n"/>
      <c r="I1738" s="81" t="n"/>
      <c r="J1738" s="81" t="n"/>
      <c r="K1738" s="81" t="n"/>
      <c r="L1738" s="81" t="n"/>
      <c r="M1738" s="81" t="n"/>
      <c r="N1738" s="81" t="n"/>
      <c r="O1738" s="81" t="n"/>
      <c r="P1738" s="81" t="n"/>
      <c r="Q1738" s="81" t="n"/>
      <c r="R1738" s="81" t="n"/>
      <c r="S1738" s="81" t="n"/>
      <c r="T1738" s="81" t="n"/>
      <c r="U1738" s="81" t="n"/>
      <c r="V1738" s="81" t="n"/>
      <c r="W1738" s="81" t="n"/>
      <c r="X1738" s="81" t="n"/>
      <c r="Y1738" s="81" t="n"/>
      <c r="Z1738" s="81" t="n"/>
      <c r="AA1738" s="81" t="n"/>
      <c r="AB1738" s="81" t="n"/>
      <c r="AC1738" s="81" t="n"/>
      <c r="AD1738" s="81" t="n"/>
      <c r="AE1738" s="81" t="n"/>
      <c r="AF1738" s="81" t="n"/>
      <c r="AG1738" s="81" t="n"/>
      <c r="AH1738" s="81" t="n"/>
      <c r="AI1738" s="81" t="n"/>
      <c r="AJ1738" s="81" t="n"/>
      <c r="AK1738" s="81" t="n"/>
      <c r="AL1738" s="81" t="n"/>
      <c r="AM1738" s="81" t="n"/>
      <c r="AN1738" s="81" t="n"/>
      <c r="AO1738" s="81" t="n"/>
      <c r="AP1738" s="81" t="n"/>
      <c r="AQ1738" s="81" t="n"/>
      <c r="AR1738" s="81" t="n"/>
      <c r="AS1738" s="81" t="n"/>
      <c r="AT1738" s="81" t="n"/>
      <c r="AU1738" s="81" t="n"/>
      <c r="AV1738" s="81" t="n"/>
      <c r="AW1738" s="81" t="n"/>
      <c r="AX1738" s="81" t="n"/>
      <c r="AY1738" s="81" t="n"/>
      <c r="AZ1738" s="81" t="n"/>
      <c r="BA1738" s="81" t="n"/>
      <c r="BB1738" s="81" t="n"/>
      <c r="BC1738" s="81" t="n"/>
      <c r="BD1738" s="81" t="n"/>
      <c r="BE1738" s="81" t="n"/>
      <c r="BF1738" s="81" t="n"/>
      <c r="BG1738" s="81" t="n"/>
      <c r="BH1738" s="81" t="n"/>
      <c r="BI1738" s="81" t="n"/>
      <c r="BJ1738" s="81" t="n"/>
      <c r="BK1738" s="81" t="n"/>
      <c r="BL1738" s="81" t="n"/>
      <c r="BM1738" s="81" t="n"/>
      <c r="BN1738" s="81" t="n"/>
      <c r="BO1738" s="81" t="n"/>
      <c r="BP1738" s="81" t="n"/>
      <c r="BQ1738" s="81" t="n"/>
      <c r="BR1738" s="81" t="n"/>
      <c r="BS1738" s="81" t="n"/>
      <c r="BT1738" s="81" t="n"/>
      <c r="BU1738" s="81" t="n"/>
      <c r="BV1738" s="81" t="n"/>
      <c r="BW1738" s="81" t="n"/>
      <c r="BX1738" s="81" t="n"/>
      <c r="BY1738" s="81" t="n"/>
      <c r="BZ1738" s="81" t="n"/>
      <c r="CA1738" s="81" t="n"/>
      <c r="CB1738" s="81" t="n"/>
      <c r="CC1738" s="81" t="n"/>
      <c r="CD1738" s="81" t="n"/>
      <c r="CE1738" s="81" t="n"/>
      <c r="CF1738" s="81" t="n"/>
      <c r="CG1738" s="81" t="n"/>
      <c r="CH1738" s="81" t="n"/>
    </row>
    <row r="1739">
      <c r="A1739" s="81" t="n"/>
      <c r="B1739" s="81" t="n"/>
      <c r="C1739" s="81" t="n"/>
      <c r="D1739" s="81" t="n"/>
      <c r="E1739" s="81" t="n"/>
      <c r="F1739" s="81" t="n"/>
      <c r="G1739" s="81" t="n"/>
      <c r="H1739" s="81" t="n"/>
      <c r="I1739" s="81" t="n"/>
      <c r="J1739" s="81" t="n"/>
      <c r="K1739" s="81" t="n"/>
      <c r="L1739" s="81" t="n"/>
      <c r="M1739" s="81" t="n"/>
      <c r="N1739" s="81" t="n"/>
      <c r="O1739" s="81" t="n"/>
      <c r="P1739" s="81" t="n"/>
      <c r="Q1739" s="81" t="n"/>
      <c r="R1739" s="81" t="n"/>
      <c r="S1739" s="81" t="n"/>
      <c r="T1739" s="81" t="n"/>
      <c r="U1739" s="81" t="n"/>
      <c r="V1739" s="81" t="n"/>
      <c r="W1739" s="81" t="n"/>
      <c r="X1739" s="81" t="n"/>
      <c r="Y1739" s="81" t="n"/>
      <c r="Z1739" s="81" t="n"/>
      <c r="AA1739" s="81" t="n"/>
      <c r="AB1739" s="81" t="n"/>
      <c r="AC1739" s="81" t="n"/>
      <c r="AD1739" s="81" t="n"/>
      <c r="AE1739" s="81" t="n"/>
      <c r="AF1739" s="81" t="n"/>
      <c r="AG1739" s="81" t="n"/>
      <c r="AH1739" s="81" t="n"/>
      <c r="AI1739" s="81" t="n"/>
      <c r="AJ1739" s="81" t="n"/>
      <c r="AK1739" s="81" t="n"/>
      <c r="AL1739" s="81" t="n"/>
      <c r="AM1739" s="81" t="n"/>
      <c r="AN1739" s="81" t="n"/>
      <c r="AO1739" s="81" t="n"/>
      <c r="AP1739" s="81" t="n"/>
      <c r="AQ1739" s="81" t="n"/>
      <c r="AR1739" s="81" t="n"/>
      <c r="AS1739" s="81" t="n"/>
      <c r="AT1739" s="81" t="n"/>
      <c r="AU1739" s="81" t="n"/>
      <c r="AV1739" s="81" t="n"/>
      <c r="AW1739" s="81" t="n"/>
      <c r="AX1739" s="81" t="n"/>
      <c r="AY1739" s="81" t="n"/>
      <c r="AZ1739" s="81" t="n"/>
      <c r="BA1739" s="81" t="n"/>
      <c r="BB1739" s="81" t="n"/>
      <c r="BC1739" s="81" t="n"/>
      <c r="BD1739" s="81" t="n"/>
      <c r="BE1739" s="81" t="n"/>
      <c r="BF1739" s="81" t="n"/>
      <c r="BG1739" s="81" t="n"/>
      <c r="BH1739" s="81" t="n"/>
      <c r="BI1739" s="81" t="n"/>
      <c r="BJ1739" s="81" t="n"/>
      <c r="BK1739" s="81" t="n"/>
      <c r="BL1739" s="81" t="n"/>
      <c r="BM1739" s="81" t="n"/>
      <c r="BN1739" s="81" t="n"/>
      <c r="BO1739" s="81" t="n"/>
      <c r="BP1739" s="81" t="n"/>
      <c r="BQ1739" s="81" t="n"/>
      <c r="BR1739" s="81" t="n"/>
      <c r="BS1739" s="81" t="n"/>
      <c r="BT1739" s="81" t="n"/>
      <c r="BU1739" s="81" t="n"/>
      <c r="BV1739" s="81" t="n"/>
      <c r="BW1739" s="81" t="n"/>
      <c r="BX1739" s="81" t="n"/>
      <c r="BY1739" s="81" t="n"/>
      <c r="BZ1739" s="81" t="n"/>
      <c r="CA1739" s="81" t="n"/>
      <c r="CB1739" s="81" t="n"/>
      <c r="CC1739" s="81" t="n"/>
      <c r="CD1739" s="81" t="n"/>
      <c r="CE1739" s="81" t="n"/>
      <c r="CF1739" s="81" t="n"/>
      <c r="CG1739" s="81" t="n"/>
      <c r="CH1739" s="81" t="n"/>
    </row>
    <row r="1740">
      <c r="A1740" s="81" t="n"/>
      <c r="B1740" s="81" t="n"/>
      <c r="C1740" s="81" t="n"/>
      <c r="D1740" s="81" t="n"/>
      <c r="E1740" s="81" t="n"/>
      <c r="F1740" s="81" t="n"/>
      <c r="G1740" s="81" t="n"/>
      <c r="H1740" s="81" t="n"/>
      <c r="I1740" s="81" t="n"/>
      <c r="J1740" s="81" t="n"/>
      <c r="K1740" s="81" t="n"/>
      <c r="L1740" s="81" t="n"/>
      <c r="M1740" s="81" t="n"/>
      <c r="N1740" s="81" t="n"/>
      <c r="O1740" s="81" t="n"/>
      <c r="P1740" s="81" t="n"/>
      <c r="Q1740" s="81" t="n"/>
      <c r="R1740" s="81" t="n"/>
      <c r="S1740" s="81" t="n"/>
      <c r="T1740" s="81" t="n"/>
      <c r="U1740" s="81" t="n"/>
      <c r="V1740" s="81" t="n"/>
      <c r="W1740" s="81" t="n"/>
      <c r="X1740" s="81" t="n"/>
      <c r="Y1740" s="81" t="n"/>
      <c r="Z1740" s="81" t="n"/>
      <c r="AA1740" s="81" t="n"/>
      <c r="AB1740" s="81" t="n"/>
      <c r="AC1740" s="81" t="n"/>
      <c r="AD1740" s="81" t="n"/>
      <c r="AE1740" s="81" t="n"/>
      <c r="AF1740" s="81" t="n"/>
      <c r="AG1740" s="81" t="n"/>
      <c r="AH1740" s="81" t="n"/>
      <c r="AI1740" s="81" t="n"/>
      <c r="AJ1740" s="81" t="n"/>
      <c r="AK1740" s="81" t="n"/>
      <c r="AL1740" s="81" t="n"/>
      <c r="AM1740" s="81" t="n"/>
      <c r="AN1740" s="81" t="n"/>
      <c r="AO1740" s="81" t="n"/>
      <c r="AP1740" s="81" t="n"/>
      <c r="AQ1740" s="81" t="n"/>
      <c r="AR1740" s="81" t="n"/>
      <c r="AS1740" s="81" t="n"/>
      <c r="AT1740" s="81" t="n"/>
      <c r="AU1740" s="81" t="n"/>
      <c r="AV1740" s="81" t="n"/>
      <c r="AW1740" s="81" t="n"/>
      <c r="AX1740" s="81" t="n"/>
      <c r="AY1740" s="81" t="n"/>
      <c r="AZ1740" s="81" t="n"/>
      <c r="BA1740" s="81" t="n"/>
      <c r="BB1740" s="81" t="n"/>
      <c r="BC1740" s="81" t="n"/>
      <c r="BD1740" s="81" t="n"/>
      <c r="BE1740" s="81" t="n"/>
      <c r="BF1740" s="81" t="n"/>
      <c r="BG1740" s="81" t="n"/>
      <c r="BH1740" s="81" t="n"/>
      <c r="BI1740" s="81" t="n"/>
      <c r="BJ1740" s="81" t="n"/>
      <c r="BK1740" s="81" t="n"/>
      <c r="BL1740" s="81" t="n"/>
      <c r="BM1740" s="81" t="n"/>
      <c r="BN1740" s="81" t="n"/>
      <c r="BO1740" s="81" t="n"/>
      <c r="BP1740" s="81" t="n"/>
      <c r="BQ1740" s="81" t="n"/>
      <c r="BR1740" s="81" t="n"/>
      <c r="BS1740" s="81" t="n"/>
      <c r="BT1740" s="81" t="n"/>
      <c r="BU1740" s="81" t="n"/>
      <c r="BV1740" s="81" t="n"/>
      <c r="BW1740" s="81" t="n"/>
      <c r="BX1740" s="81" t="n"/>
      <c r="BY1740" s="81" t="n"/>
      <c r="BZ1740" s="81" t="n"/>
      <c r="CA1740" s="81" t="n"/>
      <c r="CB1740" s="81" t="n"/>
      <c r="CC1740" s="81" t="n"/>
      <c r="CD1740" s="81" t="n"/>
      <c r="CE1740" s="81" t="n"/>
      <c r="CF1740" s="81" t="n"/>
      <c r="CG1740" s="81" t="n"/>
      <c r="CH1740" s="81" t="n"/>
    </row>
    <row r="1741">
      <c r="A1741" s="81" t="n"/>
      <c r="B1741" s="81" t="n"/>
      <c r="C1741" s="81" t="n"/>
      <c r="D1741" s="81" t="n"/>
      <c r="E1741" s="81" t="n"/>
      <c r="F1741" s="81" t="n"/>
      <c r="G1741" s="81" t="n"/>
      <c r="H1741" s="81" t="n"/>
      <c r="I1741" s="81" t="n"/>
      <c r="J1741" s="81" t="n"/>
      <c r="K1741" s="81" t="n"/>
      <c r="L1741" s="81" t="n"/>
      <c r="M1741" s="81" t="n"/>
      <c r="N1741" s="81" t="n"/>
      <c r="O1741" s="81" t="n"/>
      <c r="P1741" s="81" t="n"/>
      <c r="Q1741" s="81" t="n"/>
      <c r="R1741" s="81" t="n"/>
      <c r="S1741" s="81" t="n"/>
      <c r="T1741" s="81" t="n"/>
      <c r="U1741" s="81" t="n"/>
      <c r="V1741" s="81" t="n"/>
      <c r="W1741" s="81" t="n"/>
      <c r="X1741" s="81" t="n"/>
      <c r="Y1741" s="81" t="n"/>
      <c r="Z1741" s="81" t="n"/>
      <c r="AA1741" s="81" t="n"/>
      <c r="AB1741" s="81" t="n"/>
      <c r="AC1741" s="81" t="n"/>
      <c r="AD1741" s="81" t="n"/>
      <c r="AE1741" s="81" t="n"/>
      <c r="AF1741" s="81" t="n"/>
      <c r="AG1741" s="81" t="n"/>
      <c r="AH1741" s="81" t="n"/>
      <c r="AI1741" s="81" t="n"/>
      <c r="AJ1741" s="81" t="n"/>
      <c r="AK1741" s="81" t="n"/>
      <c r="AL1741" s="81" t="n"/>
      <c r="AM1741" s="81" t="n"/>
      <c r="AN1741" s="81" t="n"/>
      <c r="AO1741" s="81" t="n"/>
      <c r="AP1741" s="81" t="n"/>
      <c r="AQ1741" s="81" t="n"/>
      <c r="AR1741" s="81" t="n"/>
      <c r="AS1741" s="81" t="n"/>
      <c r="AT1741" s="81" t="n"/>
      <c r="AU1741" s="81" t="n"/>
      <c r="AV1741" s="81" t="n"/>
      <c r="AW1741" s="81" t="n"/>
      <c r="AX1741" s="81" t="n"/>
      <c r="AY1741" s="81" t="n"/>
      <c r="AZ1741" s="81" t="n"/>
      <c r="BA1741" s="81" t="n"/>
      <c r="BB1741" s="81" t="n"/>
      <c r="BC1741" s="81" t="n"/>
      <c r="BD1741" s="81" t="n"/>
      <c r="BE1741" s="81" t="n"/>
      <c r="BF1741" s="81" t="n"/>
      <c r="BG1741" s="81" t="n"/>
      <c r="BH1741" s="81" t="n"/>
      <c r="BI1741" s="81" t="n"/>
      <c r="BJ1741" s="81" t="n"/>
      <c r="BK1741" s="81" t="n"/>
      <c r="BL1741" s="81" t="n"/>
      <c r="BM1741" s="81" t="n"/>
      <c r="BN1741" s="81" t="n"/>
      <c r="BO1741" s="81" t="n"/>
      <c r="BP1741" s="81" t="n"/>
      <c r="BQ1741" s="81" t="n"/>
      <c r="BR1741" s="81" t="n"/>
      <c r="BS1741" s="81" t="n"/>
      <c r="BT1741" s="81" t="n"/>
      <c r="BU1741" s="81" t="n"/>
      <c r="BV1741" s="81" t="n"/>
      <c r="BW1741" s="81" t="n"/>
      <c r="BX1741" s="81" t="n"/>
      <c r="BY1741" s="81" t="n"/>
      <c r="BZ1741" s="81" t="n"/>
      <c r="CA1741" s="81" t="n"/>
      <c r="CB1741" s="81" t="n"/>
      <c r="CC1741" s="81" t="n"/>
      <c r="CD1741" s="81" t="n"/>
      <c r="CE1741" s="81" t="n"/>
      <c r="CF1741" s="81" t="n"/>
      <c r="CG1741" s="81" t="n"/>
      <c r="CH1741" s="81" t="n"/>
    </row>
    <row r="1742">
      <c r="A1742" s="81" t="n"/>
      <c r="B1742" s="81" t="n"/>
      <c r="C1742" s="81" t="n"/>
      <c r="D1742" s="81" t="n"/>
      <c r="E1742" s="81" t="n"/>
      <c r="F1742" s="81" t="n"/>
      <c r="G1742" s="81" t="n"/>
      <c r="H1742" s="81" t="n"/>
      <c r="I1742" s="81" t="n"/>
      <c r="J1742" s="81" t="n"/>
      <c r="K1742" s="81" t="n"/>
      <c r="L1742" s="81" t="n"/>
      <c r="M1742" s="81" t="n"/>
      <c r="N1742" s="81" t="n"/>
      <c r="O1742" s="81" t="n"/>
      <c r="P1742" s="81" t="n"/>
      <c r="Q1742" s="81" t="n"/>
      <c r="R1742" s="81" t="n"/>
      <c r="S1742" s="81" t="n"/>
      <c r="T1742" s="81" t="n"/>
      <c r="U1742" s="81" t="n"/>
      <c r="V1742" s="81" t="n"/>
      <c r="W1742" s="81" t="n"/>
      <c r="X1742" s="81" t="n"/>
      <c r="Y1742" s="81" t="n"/>
      <c r="Z1742" s="81" t="n"/>
      <c r="AA1742" s="81" t="n"/>
      <c r="AB1742" s="81" t="n"/>
      <c r="AC1742" s="81" t="n"/>
      <c r="AD1742" s="81" t="n"/>
      <c r="AE1742" s="81" t="n"/>
      <c r="AF1742" s="81" t="n"/>
      <c r="AG1742" s="81" t="n"/>
      <c r="AH1742" s="81" t="n"/>
      <c r="AI1742" s="81" t="n"/>
      <c r="AJ1742" s="81" t="n"/>
      <c r="AK1742" s="81" t="n"/>
      <c r="AL1742" s="81" t="n"/>
      <c r="AM1742" s="81" t="n"/>
      <c r="AN1742" s="81" t="n"/>
      <c r="AO1742" s="81" t="n"/>
      <c r="AP1742" s="81" t="n"/>
      <c r="AQ1742" s="81" t="n"/>
      <c r="AR1742" s="81" t="n"/>
      <c r="AS1742" s="81" t="n"/>
      <c r="AT1742" s="81" t="n"/>
      <c r="AU1742" s="81" t="n"/>
      <c r="AV1742" s="81" t="n"/>
      <c r="AW1742" s="81" t="n"/>
      <c r="AX1742" s="81" t="n"/>
      <c r="AY1742" s="81" t="n"/>
      <c r="AZ1742" s="81" t="n"/>
      <c r="BA1742" s="81" t="n"/>
      <c r="BB1742" s="81" t="n"/>
      <c r="BC1742" s="81" t="n"/>
      <c r="BD1742" s="81" t="n"/>
      <c r="BE1742" s="81" t="n"/>
      <c r="BF1742" s="81" t="n"/>
      <c r="BG1742" s="81" t="n"/>
      <c r="BH1742" s="81" t="n"/>
      <c r="BI1742" s="81" t="n"/>
      <c r="BJ1742" s="81" t="n"/>
      <c r="BK1742" s="81" t="n"/>
      <c r="BL1742" s="81" t="n"/>
      <c r="BM1742" s="81" t="n"/>
      <c r="BN1742" s="81" t="n"/>
      <c r="BO1742" s="81" t="n"/>
      <c r="BP1742" s="81" t="n"/>
      <c r="BQ1742" s="81" t="n"/>
      <c r="BR1742" s="81" t="n"/>
      <c r="BS1742" s="81" t="n"/>
      <c r="BT1742" s="81" t="n"/>
      <c r="BU1742" s="81" t="n"/>
      <c r="BV1742" s="81" t="n"/>
      <c r="BW1742" s="81" t="n"/>
      <c r="BX1742" s="81" t="n"/>
      <c r="BY1742" s="81" t="n"/>
      <c r="BZ1742" s="81" t="n"/>
      <c r="CA1742" s="81" t="n"/>
      <c r="CB1742" s="81" t="n"/>
      <c r="CC1742" s="81" t="n"/>
      <c r="CD1742" s="81" t="n"/>
      <c r="CE1742" s="81" t="n"/>
      <c r="CF1742" s="81" t="n"/>
      <c r="CG1742" s="81" t="n"/>
      <c r="CH1742" s="81" t="n"/>
    </row>
    <row r="1743">
      <c r="A1743" s="81" t="n"/>
      <c r="B1743" s="81" t="n"/>
      <c r="C1743" s="81" t="n"/>
      <c r="D1743" s="81" t="n"/>
      <c r="E1743" s="81" t="n"/>
      <c r="F1743" s="81" t="n"/>
      <c r="G1743" s="81" t="n"/>
      <c r="H1743" s="81" t="n"/>
      <c r="I1743" s="81" t="n"/>
      <c r="J1743" s="81" t="n"/>
      <c r="K1743" s="81" t="n"/>
      <c r="L1743" s="81" t="n"/>
      <c r="M1743" s="81" t="n"/>
      <c r="N1743" s="81" t="n"/>
      <c r="O1743" s="81" t="n"/>
      <c r="P1743" s="81" t="n"/>
      <c r="Q1743" s="81" t="n"/>
      <c r="R1743" s="81" t="n"/>
      <c r="S1743" s="81" t="n"/>
      <c r="T1743" s="81" t="n"/>
      <c r="U1743" s="81" t="n"/>
      <c r="V1743" s="81" t="n"/>
      <c r="W1743" s="81" t="n"/>
      <c r="X1743" s="81" t="n"/>
      <c r="Y1743" s="81" t="n"/>
      <c r="Z1743" s="81" t="n"/>
      <c r="AA1743" s="81" t="n"/>
      <c r="AB1743" s="81" t="n"/>
      <c r="AC1743" s="81" t="n"/>
      <c r="AD1743" s="81" t="n"/>
      <c r="AE1743" s="81" t="n"/>
      <c r="AF1743" s="81" t="n"/>
      <c r="AG1743" s="81" t="n"/>
      <c r="AH1743" s="81" t="n"/>
      <c r="AI1743" s="81" t="n"/>
      <c r="AJ1743" s="81" t="n"/>
      <c r="AK1743" s="81" t="n"/>
      <c r="AL1743" s="81" t="n"/>
      <c r="AM1743" s="81" t="n"/>
      <c r="AN1743" s="81" t="n"/>
      <c r="AO1743" s="81" t="n"/>
      <c r="AP1743" s="81" t="n"/>
      <c r="AQ1743" s="81" t="n"/>
      <c r="AR1743" s="81" t="n"/>
      <c r="AS1743" s="81" t="n"/>
      <c r="AT1743" s="81" t="n"/>
      <c r="AU1743" s="81" t="n"/>
      <c r="AV1743" s="81" t="n"/>
      <c r="AW1743" s="81" t="n"/>
      <c r="AX1743" s="81" t="n"/>
      <c r="AY1743" s="81" t="n"/>
      <c r="AZ1743" s="81" t="n"/>
      <c r="BA1743" s="81" t="n"/>
      <c r="BB1743" s="81" t="n"/>
      <c r="BC1743" s="81" t="n"/>
      <c r="BD1743" s="81" t="n"/>
      <c r="BE1743" s="81" t="n"/>
      <c r="BF1743" s="81" t="n"/>
      <c r="BG1743" s="81" t="n"/>
      <c r="BH1743" s="81" t="n"/>
      <c r="BI1743" s="81" t="n"/>
      <c r="BJ1743" s="81" t="n"/>
      <c r="BK1743" s="81" t="n"/>
      <c r="BL1743" s="81" t="n"/>
      <c r="BM1743" s="81" t="n"/>
      <c r="BN1743" s="81" t="n"/>
      <c r="BO1743" s="81" t="n"/>
      <c r="BP1743" s="81" t="n"/>
      <c r="BQ1743" s="81" t="n"/>
      <c r="BR1743" s="81" t="n"/>
      <c r="BS1743" s="81" t="n"/>
      <c r="BT1743" s="81" t="n"/>
      <c r="BU1743" s="81" t="n"/>
      <c r="BV1743" s="81" t="n"/>
      <c r="BW1743" s="81" t="n"/>
      <c r="BX1743" s="81" t="n"/>
      <c r="BY1743" s="81" t="n"/>
      <c r="BZ1743" s="81" t="n"/>
      <c r="CA1743" s="81" t="n"/>
      <c r="CB1743" s="81" t="n"/>
      <c r="CC1743" s="81" t="n"/>
      <c r="CD1743" s="81" t="n"/>
      <c r="CE1743" s="81" t="n"/>
      <c r="CF1743" s="81" t="n"/>
      <c r="CG1743" s="81" t="n"/>
      <c r="CH1743" s="81" t="n"/>
    </row>
    <row r="1744">
      <c r="A1744" s="81" t="n"/>
      <c r="B1744" s="81" t="n"/>
      <c r="C1744" s="81" t="n"/>
      <c r="D1744" s="81" t="n"/>
      <c r="E1744" s="81" t="n"/>
      <c r="F1744" s="81" t="n"/>
      <c r="G1744" s="81" t="n"/>
      <c r="H1744" s="81" t="n"/>
      <c r="I1744" s="81" t="n"/>
      <c r="J1744" s="81" t="n"/>
      <c r="K1744" s="81" t="n"/>
      <c r="L1744" s="81" t="n"/>
      <c r="M1744" s="81" t="n"/>
      <c r="N1744" s="81" t="n"/>
      <c r="O1744" s="81" t="n"/>
      <c r="P1744" s="81" t="n"/>
      <c r="Q1744" s="81" t="n"/>
      <c r="R1744" s="81" t="n"/>
      <c r="S1744" s="81" t="n"/>
      <c r="T1744" s="81" t="n"/>
      <c r="U1744" s="81" t="n"/>
      <c r="V1744" s="81" t="n"/>
      <c r="W1744" s="81" t="n"/>
      <c r="X1744" s="81" t="n"/>
      <c r="Y1744" s="81" t="n"/>
      <c r="Z1744" s="81" t="n"/>
      <c r="AA1744" s="81" t="n"/>
      <c r="AB1744" s="81" t="n"/>
      <c r="AC1744" s="81" t="n"/>
      <c r="AD1744" s="81" t="n"/>
      <c r="AE1744" s="81" t="n"/>
      <c r="AF1744" s="81" t="n"/>
      <c r="AG1744" s="81" t="n"/>
      <c r="AH1744" s="81" t="n"/>
      <c r="AI1744" s="81" t="n"/>
      <c r="AJ1744" s="81" t="n"/>
      <c r="AK1744" s="81" t="n"/>
      <c r="AL1744" s="81" t="n"/>
      <c r="AM1744" s="81" t="n"/>
      <c r="AN1744" s="81" t="n"/>
      <c r="AO1744" s="81" t="n"/>
      <c r="AP1744" s="81" t="n"/>
      <c r="AQ1744" s="81" t="n"/>
      <c r="AR1744" s="81" t="n"/>
      <c r="AS1744" s="81" t="n"/>
      <c r="AT1744" s="81" t="n"/>
      <c r="AU1744" s="81" t="n"/>
      <c r="AV1744" s="81" t="n"/>
      <c r="AW1744" s="81" t="n"/>
      <c r="AX1744" s="81" t="n"/>
      <c r="AY1744" s="81" t="n"/>
      <c r="AZ1744" s="81" t="n"/>
      <c r="BA1744" s="81" t="n"/>
      <c r="BB1744" s="81" t="n"/>
      <c r="BC1744" s="81" t="n"/>
      <c r="BD1744" s="81" t="n"/>
      <c r="BE1744" s="81" t="n"/>
      <c r="BF1744" s="81" t="n"/>
      <c r="BG1744" s="81" t="n"/>
      <c r="BH1744" s="81" t="n"/>
      <c r="BI1744" s="81" t="n"/>
      <c r="BJ1744" s="81" t="n"/>
      <c r="BK1744" s="81" t="n"/>
      <c r="BL1744" s="81" t="n"/>
      <c r="BM1744" s="81" t="n"/>
      <c r="BN1744" s="81" t="n"/>
      <c r="BO1744" s="81" t="n"/>
      <c r="BP1744" s="81" t="n"/>
      <c r="BQ1744" s="81" t="n"/>
      <c r="BR1744" s="81" t="n"/>
      <c r="BS1744" s="81" t="n"/>
      <c r="BT1744" s="81" t="n"/>
      <c r="BU1744" s="81" t="n"/>
      <c r="BV1744" s="81" t="n"/>
      <c r="BW1744" s="81" t="n"/>
      <c r="BX1744" s="81" t="n"/>
      <c r="BY1744" s="81" t="n"/>
      <c r="BZ1744" s="81" t="n"/>
      <c r="CA1744" s="81" t="n"/>
      <c r="CB1744" s="81" t="n"/>
      <c r="CC1744" s="81" t="n"/>
      <c r="CD1744" s="81" t="n"/>
      <c r="CE1744" s="81" t="n"/>
      <c r="CF1744" s="81" t="n"/>
      <c r="CG1744" s="81" t="n"/>
      <c r="CH1744" s="81" t="n"/>
    </row>
    <row r="1745">
      <c r="A1745" s="81" t="n"/>
      <c r="B1745" s="81" t="n"/>
      <c r="C1745" s="81" t="n"/>
      <c r="D1745" s="81" t="n"/>
      <c r="E1745" s="81" t="n"/>
      <c r="F1745" s="81" t="n"/>
      <c r="G1745" s="81" t="n"/>
      <c r="H1745" s="81" t="n"/>
      <c r="I1745" s="81" t="n"/>
      <c r="J1745" s="81" t="n"/>
      <c r="K1745" s="81" t="n"/>
      <c r="L1745" s="81" t="n"/>
      <c r="M1745" s="81" t="n"/>
      <c r="N1745" s="81" t="n"/>
      <c r="O1745" s="81" t="n"/>
      <c r="P1745" s="81" t="n"/>
      <c r="Q1745" s="81" t="n"/>
      <c r="R1745" s="81" t="n"/>
      <c r="S1745" s="81" t="n"/>
      <c r="T1745" s="81" t="n"/>
      <c r="U1745" s="81" t="n"/>
      <c r="V1745" s="81" t="n"/>
      <c r="W1745" s="81" t="n"/>
      <c r="X1745" s="81" t="n"/>
      <c r="Y1745" s="81" t="n"/>
      <c r="Z1745" s="81" t="n"/>
      <c r="AA1745" s="81" t="n"/>
      <c r="AB1745" s="81" t="n"/>
      <c r="AC1745" s="81" t="n"/>
      <c r="AD1745" s="81" t="n"/>
      <c r="AE1745" s="81" t="n"/>
      <c r="AF1745" s="81" t="n"/>
      <c r="AG1745" s="81" t="n"/>
      <c r="AH1745" s="81" t="n"/>
      <c r="AI1745" s="81" t="n"/>
      <c r="AJ1745" s="81" t="n"/>
      <c r="AK1745" s="81" t="n"/>
      <c r="AL1745" s="81" t="n"/>
      <c r="AM1745" s="81" t="n"/>
      <c r="AN1745" s="81" t="n"/>
      <c r="AO1745" s="81" t="n"/>
      <c r="AP1745" s="81" t="n"/>
      <c r="AQ1745" s="81" t="n"/>
      <c r="AR1745" s="81" t="n"/>
      <c r="AS1745" s="81" t="n"/>
      <c r="AT1745" s="81" t="n"/>
      <c r="AU1745" s="81" t="n"/>
      <c r="AV1745" s="81" t="n"/>
      <c r="AW1745" s="81" t="n"/>
      <c r="AX1745" s="81" t="n"/>
      <c r="AY1745" s="81" t="n"/>
      <c r="AZ1745" s="81" t="n"/>
      <c r="BA1745" s="81" t="n"/>
      <c r="BB1745" s="81" t="n"/>
      <c r="BC1745" s="81" t="n"/>
      <c r="BD1745" s="81" t="n"/>
      <c r="BE1745" s="81" t="n"/>
      <c r="BF1745" s="81" t="n"/>
      <c r="BG1745" s="81" t="n"/>
      <c r="BH1745" s="81" t="n"/>
      <c r="BI1745" s="81" t="n"/>
      <c r="BJ1745" s="81" t="n"/>
      <c r="BK1745" s="81" t="n"/>
      <c r="BL1745" s="81" t="n"/>
      <c r="BM1745" s="81" t="n"/>
      <c r="BN1745" s="81" t="n"/>
      <c r="BO1745" s="81" t="n"/>
      <c r="BP1745" s="81" t="n"/>
      <c r="BQ1745" s="81" t="n"/>
      <c r="BR1745" s="81" t="n"/>
      <c r="BS1745" s="81" t="n"/>
      <c r="BT1745" s="81" t="n"/>
      <c r="BU1745" s="81" t="n"/>
      <c r="BV1745" s="81" t="n"/>
      <c r="BW1745" s="81" t="n"/>
      <c r="BX1745" s="81" t="n"/>
      <c r="BY1745" s="81" t="n"/>
      <c r="BZ1745" s="81" t="n"/>
      <c r="CA1745" s="81" t="n"/>
      <c r="CB1745" s="81" t="n"/>
      <c r="CC1745" s="81" t="n"/>
      <c r="CD1745" s="81" t="n"/>
      <c r="CE1745" s="81" t="n"/>
      <c r="CF1745" s="81" t="n"/>
      <c r="CG1745" s="81" t="n"/>
      <c r="CH1745" s="81" t="n"/>
    </row>
    <row r="1746">
      <c r="A1746" s="81" t="n"/>
      <c r="B1746" s="81" t="n"/>
      <c r="C1746" s="81" t="n"/>
      <c r="D1746" s="81" t="n"/>
      <c r="E1746" s="81" t="n"/>
      <c r="F1746" s="81" t="n"/>
      <c r="G1746" s="81" t="n"/>
      <c r="H1746" s="81" t="n"/>
      <c r="I1746" s="81" t="n"/>
      <c r="J1746" s="81" t="n"/>
      <c r="K1746" s="81" t="n"/>
      <c r="L1746" s="81" t="n"/>
      <c r="M1746" s="81" t="n"/>
      <c r="N1746" s="81" t="n"/>
      <c r="O1746" s="81" t="n"/>
      <c r="P1746" s="81" t="n"/>
      <c r="Q1746" s="81" t="n"/>
      <c r="R1746" s="81" t="n"/>
      <c r="S1746" s="81" t="n"/>
      <c r="T1746" s="81" t="n"/>
      <c r="U1746" s="81" t="n"/>
      <c r="V1746" s="81" t="n"/>
      <c r="W1746" s="81" t="n"/>
      <c r="X1746" s="81" t="n"/>
      <c r="Y1746" s="81" t="n"/>
      <c r="Z1746" s="81" t="n"/>
      <c r="AA1746" s="81" t="n"/>
      <c r="AB1746" s="81" t="n"/>
      <c r="AC1746" s="81" t="n"/>
      <c r="AD1746" s="81" t="n"/>
      <c r="AE1746" s="81" t="n"/>
      <c r="AF1746" s="81" t="n"/>
      <c r="AG1746" s="81" t="n"/>
      <c r="AH1746" s="81" t="n"/>
      <c r="AI1746" s="81" t="n"/>
      <c r="AJ1746" s="81" t="n"/>
      <c r="AK1746" s="81" t="n"/>
      <c r="AL1746" s="81" t="n"/>
      <c r="AM1746" s="81" t="n"/>
      <c r="AN1746" s="81" t="n"/>
      <c r="AO1746" s="81" t="n"/>
      <c r="AP1746" s="81" t="n"/>
      <c r="AQ1746" s="81" t="n"/>
      <c r="AR1746" s="81" t="n"/>
      <c r="AS1746" s="81" t="n"/>
      <c r="AT1746" s="81" t="n"/>
      <c r="AU1746" s="81" t="n"/>
      <c r="AV1746" s="81" t="n"/>
      <c r="AW1746" s="81" t="n"/>
      <c r="AX1746" s="81" t="n"/>
      <c r="AY1746" s="81" t="n"/>
      <c r="AZ1746" s="81" t="n"/>
      <c r="BA1746" s="81" t="n"/>
      <c r="BB1746" s="81" t="n"/>
      <c r="BC1746" s="81" t="n"/>
      <c r="BD1746" s="81" t="n"/>
      <c r="BE1746" s="81" t="n"/>
      <c r="BF1746" s="81" t="n"/>
      <c r="BG1746" s="81" t="n"/>
      <c r="BH1746" s="81" t="n"/>
      <c r="BI1746" s="81" t="n"/>
      <c r="BJ1746" s="81" t="n"/>
      <c r="BK1746" s="81" t="n"/>
      <c r="BL1746" s="81" t="n"/>
      <c r="BM1746" s="81" t="n"/>
      <c r="BN1746" s="81" t="n"/>
      <c r="BO1746" s="81" t="n"/>
      <c r="BP1746" s="81" t="n"/>
      <c r="BQ1746" s="81" t="n"/>
      <c r="BR1746" s="81" t="n"/>
      <c r="BS1746" s="81" t="n"/>
      <c r="BT1746" s="81" t="n"/>
      <c r="BU1746" s="81" t="n"/>
      <c r="BV1746" s="81" t="n"/>
      <c r="BW1746" s="81" t="n"/>
      <c r="BX1746" s="81" t="n"/>
      <c r="BY1746" s="81" t="n"/>
      <c r="BZ1746" s="81" t="n"/>
      <c r="CA1746" s="81" t="n"/>
      <c r="CB1746" s="81" t="n"/>
      <c r="CC1746" s="81" t="n"/>
      <c r="CD1746" s="81" t="n"/>
      <c r="CE1746" s="81" t="n"/>
      <c r="CF1746" s="81" t="n"/>
      <c r="CG1746" s="81" t="n"/>
      <c r="CH1746" s="81" t="n"/>
    </row>
    <row r="1747">
      <c r="A1747" s="81" t="n"/>
      <c r="B1747" s="81" t="n"/>
      <c r="C1747" s="81" t="n"/>
      <c r="D1747" s="81" t="n"/>
      <c r="E1747" s="81" t="n"/>
      <c r="F1747" s="81" t="n"/>
      <c r="G1747" s="81" t="n"/>
      <c r="H1747" s="81" t="n"/>
      <c r="I1747" s="81" t="n"/>
      <c r="J1747" s="81" t="n"/>
      <c r="K1747" s="81" t="n"/>
      <c r="L1747" s="81" t="n"/>
      <c r="M1747" s="81" t="n"/>
      <c r="N1747" s="81" t="n"/>
      <c r="O1747" s="81" t="n"/>
      <c r="P1747" s="81" t="n"/>
      <c r="Q1747" s="81" t="n"/>
      <c r="R1747" s="81" t="n"/>
      <c r="S1747" s="81" t="n"/>
      <c r="T1747" s="81" t="n"/>
      <c r="U1747" s="81" t="n"/>
      <c r="V1747" s="81" t="n"/>
      <c r="W1747" s="81" t="n"/>
      <c r="X1747" s="81" t="n"/>
      <c r="Y1747" s="81" t="n"/>
      <c r="Z1747" s="81" t="n"/>
      <c r="AA1747" s="81" t="n"/>
      <c r="AB1747" s="81" t="n"/>
      <c r="AC1747" s="81" t="n"/>
      <c r="AD1747" s="81" t="n"/>
      <c r="AE1747" s="81" t="n"/>
      <c r="AF1747" s="81" t="n"/>
      <c r="AG1747" s="81" t="n"/>
      <c r="AH1747" s="81" t="n"/>
      <c r="AI1747" s="81" t="n"/>
      <c r="AJ1747" s="81" t="n"/>
      <c r="AK1747" s="81" t="n"/>
      <c r="AL1747" s="81" t="n"/>
      <c r="AM1747" s="81" t="n"/>
      <c r="AN1747" s="81" t="n"/>
      <c r="AO1747" s="81" t="n"/>
      <c r="AP1747" s="81" t="n"/>
      <c r="AQ1747" s="81" t="n"/>
      <c r="AR1747" s="81" t="n"/>
      <c r="AS1747" s="81" t="n"/>
      <c r="AT1747" s="81" t="n"/>
      <c r="AU1747" s="81" t="n"/>
      <c r="AV1747" s="81" t="n"/>
      <c r="AW1747" s="81" t="n"/>
      <c r="AX1747" s="81" t="n"/>
      <c r="AY1747" s="81" t="n"/>
      <c r="AZ1747" s="81" t="n"/>
      <c r="BA1747" s="81" t="n"/>
      <c r="BB1747" s="81" t="n"/>
      <c r="BC1747" s="81" t="n"/>
      <c r="BD1747" s="81" t="n"/>
      <c r="BE1747" s="81" t="n"/>
      <c r="BF1747" s="81" t="n"/>
      <c r="BG1747" s="81" t="n"/>
      <c r="BH1747" s="81" t="n"/>
      <c r="BI1747" s="81" t="n"/>
      <c r="BJ1747" s="81" t="n"/>
      <c r="BK1747" s="81" t="n"/>
      <c r="BL1747" s="81" t="n"/>
      <c r="BM1747" s="81" t="n"/>
      <c r="BN1747" s="81" t="n"/>
      <c r="BO1747" s="81" t="n"/>
      <c r="BP1747" s="81" t="n"/>
      <c r="BQ1747" s="81" t="n"/>
      <c r="BR1747" s="81" t="n"/>
      <c r="BS1747" s="81" t="n"/>
      <c r="BT1747" s="81" t="n"/>
      <c r="BU1747" s="81" t="n"/>
      <c r="BV1747" s="81" t="n"/>
      <c r="BW1747" s="81" t="n"/>
      <c r="BX1747" s="81" t="n"/>
      <c r="BY1747" s="81" t="n"/>
      <c r="BZ1747" s="81" t="n"/>
      <c r="CA1747" s="81" t="n"/>
      <c r="CB1747" s="81" t="n"/>
      <c r="CC1747" s="81" t="n"/>
      <c r="CD1747" s="81" t="n"/>
      <c r="CE1747" s="81" t="n"/>
      <c r="CF1747" s="81" t="n"/>
      <c r="CG1747" s="81" t="n"/>
      <c r="CH1747" s="81" t="n"/>
    </row>
    <row r="1748">
      <c r="A1748" s="81" t="n"/>
      <c r="B1748" s="81" t="n"/>
      <c r="C1748" s="81" t="n"/>
      <c r="D1748" s="81" t="n"/>
      <c r="E1748" s="81" t="n"/>
      <c r="F1748" s="81" t="n"/>
      <c r="G1748" s="81" t="n"/>
      <c r="H1748" s="81" t="n"/>
      <c r="I1748" s="81" t="n"/>
      <c r="J1748" s="81" t="n"/>
      <c r="K1748" s="81" t="n"/>
      <c r="L1748" s="81" t="n"/>
      <c r="M1748" s="81" t="n"/>
      <c r="N1748" s="81" t="n"/>
      <c r="O1748" s="81" t="n"/>
      <c r="P1748" s="81" t="n"/>
      <c r="Q1748" s="81" t="n"/>
      <c r="R1748" s="81" t="n"/>
      <c r="S1748" s="81" t="n"/>
      <c r="T1748" s="81" t="n"/>
      <c r="U1748" s="81" t="n"/>
      <c r="V1748" s="81" t="n"/>
      <c r="W1748" s="81" t="n"/>
      <c r="X1748" s="81" t="n"/>
      <c r="Y1748" s="81" t="n"/>
      <c r="Z1748" s="81" t="n"/>
      <c r="AA1748" s="81" t="n"/>
      <c r="AB1748" s="81" t="n"/>
      <c r="AC1748" s="81" t="n"/>
      <c r="AD1748" s="81" t="n"/>
      <c r="AE1748" s="81" t="n"/>
      <c r="AF1748" s="81" t="n"/>
      <c r="AG1748" s="81" t="n"/>
      <c r="AH1748" s="81" t="n"/>
      <c r="AI1748" s="81" t="n"/>
      <c r="AJ1748" s="81" t="n"/>
      <c r="AK1748" s="81" t="n"/>
      <c r="AL1748" s="81" t="n"/>
      <c r="AM1748" s="81" t="n"/>
      <c r="AN1748" s="81" t="n"/>
      <c r="AO1748" s="81" t="n"/>
      <c r="AP1748" s="81" t="n"/>
      <c r="AQ1748" s="81" t="n"/>
      <c r="AR1748" s="81" t="n"/>
      <c r="AS1748" s="81" t="n"/>
      <c r="AT1748" s="81" t="n"/>
      <c r="AU1748" s="81" t="n"/>
      <c r="AV1748" s="81" t="n"/>
      <c r="AW1748" s="81" t="n"/>
      <c r="AX1748" s="81" t="n"/>
      <c r="AY1748" s="81" t="n"/>
      <c r="AZ1748" s="81" t="n"/>
      <c r="BA1748" s="81" t="n"/>
      <c r="BB1748" s="81" t="n"/>
      <c r="BC1748" s="81" t="n"/>
      <c r="BD1748" s="81" t="n"/>
      <c r="BE1748" s="81" t="n"/>
      <c r="BF1748" s="81" t="n"/>
      <c r="BG1748" s="81" t="n"/>
      <c r="BH1748" s="81" t="n"/>
      <c r="BI1748" s="81" t="n"/>
      <c r="BJ1748" s="81" t="n"/>
      <c r="BK1748" s="81" t="n"/>
      <c r="BL1748" s="81" t="n"/>
      <c r="BM1748" s="81" t="n"/>
      <c r="BN1748" s="81" t="n"/>
      <c r="BO1748" s="81" t="n"/>
      <c r="BP1748" s="81" t="n"/>
      <c r="BQ1748" s="81" t="n"/>
      <c r="BR1748" s="81" t="n"/>
      <c r="BS1748" s="81" t="n"/>
      <c r="BT1748" s="81" t="n"/>
      <c r="BU1748" s="81" t="n"/>
      <c r="BV1748" s="81" t="n"/>
      <c r="BW1748" s="81" t="n"/>
      <c r="BX1748" s="81" t="n"/>
      <c r="BY1748" s="81" t="n"/>
      <c r="BZ1748" s="81" t="n"/>
      <c r="CA1748" s="81" t="n"/>
      <c r="CB1748" s="81" t="n"/>
      <c r="CC1748" s="81" t="n"/>
      <c r="CD1748" s="81" t="n"/>
      <c r="CE1748" s="81" t="n"/>
      <c r="CF1748" s="81" t="n"/>
      <c r="CG1748" s="81" t="n"/>
      <c r="CH1748" s="81" t="n"/>
    </row>
    <row r="1749">
      <c r="A1749" s="81" t="n"/>
      <c r="B1749" s="81" t="n"/>
      <c r="C1749" s="81" t="n"/>
      <c r="D1749" s="81" t="n"/>
      <c r="E1749" s="81" t="n"/>
      <c r="F1749" s="81" t="n"/>
      <c r="G1749" s="81" t="n"/>
      <c r="H1749" s="81" t="n"/>
      <c r="I1749" s="81" t="n"/>
      <c r="J1749" s="81" t="n"/>
      <c r="K1749" s="81" t="n"/>
      <c r="L1749" s="81" t="n"/>
      <c r="M1749" s="81" t="n"/>
      <c r="N1749" s="81" t="n"/>
      <c r="O1749" s="81" t="n"/>
      <c r="P1749" s="81" t="n"/>
      <c r="Q1749" s="81" t="n"/>
      <c r="R1749" s="81" t="n"/>
      <c r="S1749" s="81" t="n"/>
      <c r="T1749" s="81" t="n"/>
      <c r="U1749" s="81" t="n"/>
      <c r="V1749" s="81" t="n"/>
      <c r="W1749" s="81" t="n"/>
      <c r="X1749" s="81" t="n"/>
      <c r="Y1749" s="81" t="n"/>
      <c r="Z1749" s="81" t="n"/>
      <c r="AA1749" s="81" t="n"/>
      <c r="AB1749" s="81" t="n"/>
      <c r="AC1749" s="81" t="n"/>
      <c r="AD1749" s="81" t="n"/>
      <c r="AE1749" s="81" t="n"/>
      <c r="AF1749" s="81" t="n"/>
      <c r="AG1749" s="81" t="n"/>
      <c r="AH1749" s="81" t="n"/>
      <c r="AI1749" s="81" t="n"/>
      <c r="AJ1749" s="81" t="n"/>
      <c r="AK1749" s="81" t="n"/>
      <c r="AL1749" s="81" t="n"/>
      <c r="AM1749" s="81" t="n"/>
      <c r="AN1749" s="81" t="n"/>
      <c r="AO1749" s="81" t="n"/>
      <c r="AP1749" s="81" t="n"/>
      <c r="AQ1749" s="81" t="n"/>
      <c r="AR1749" s="81" t="n"/>
      <c r="AS1749" s="81" t="n"/>
      <c r="AT1749" s="81" t="n"/>
      <c r="AU1749" s="81" t="n"/>
      <c r="AV1749" s="81" t="n"/>
      <c r="AW1749" s="81" t="n"/>
      <c r="AX1749" s="81" t="n"/>
      <c r="AY1749" s="81" t="n"/>
      <c r="AZ1749" s="81" t="n"/>
      <c r="BA1749" s="81" t="n"/>
      <c r="BB1749" s="81" t="n"/>
      <c r="BC1749" s="81" t="n"/>
      <c r="BD1749" s="81" t="n"/>
      <c r="BE1749" s="81" t="n"/>
      <c r="BF1749" s="81" t="n"/>
      <c r="BG1749" s="81" t="n"/>
      <c r="BH1749" s="81" t="n"/>
      <c r="BI1749" s="81" t="n"/>
      <c r="BJ1749" s="81" t="n"/>
      <c r="BK1749" s="81" t="n"/>
      <c r="BL1749" s="81" t="n"/>
      <c r="BM1749" s="81" t="n"/>
      <c r="BN1749" s="81" t="n"/>
      <c r="BO1749" s="81" t="n"/>
      <c r="BP1749" s="81" t="n"/>
      <c r="BQ1749" s="81" t="n"/>
      <c r="BR1749" s="81" t="n"/>
      <c r="BS1749" s="81" t="n"/>
      <c r="BT1749" s="81" t="n"/>
      <c r="BU1749" s="81" t="n"/>
      <c r="BV1749" s="81" t="n"/>
      <c r="BW1749" s="81" t="n"/>
      <c r="BX1749" s="81" t="n"/>
      <c r="BY1749" s="81" t="n"/>
      <c r="BZ1749" s="81" t="n"/>
      <c r="CA1749" s="81" t="n"/>
      <c r="CB1749" s="81" t="n"/>
      <c r="CC1749" s="81" t="n"/>
      <c r="CD1749" s="81" t="n"/>
      <c r="CE1749" s="81" t="n"/>
      <c r="CF1749" s="81" t="n"/>
      <c r="CG1749" s="81" t="n"/>
      <c r="CH1749" s="81" t="n"/>
    </row>
    <row r="1750">
      <c r="A1750" s="81" t="n"/>
      <c r="B1750" s="81" t="n"/>
      <c r="C1750" s="81" t="n"/>
      <c r="D1750" s="81" t="n"/>
      <c r="E1750" s="81" t="n"/>
      <c r="F1750" s="81" t="n"/>
      <c r="G1750" s="81" t="n"/>
      <c r="H1750" s="81" t="n"/>
      <c r="I1750" s="81" t="n"/>
      <c r="J1750" s="81" t="n"/>
      <c r="K1750" s="81" t="n"/>
      <c r="L1750" s="81" t="n"/>
      <c r="M1750" s="81" t="n"/>
      <c r="N1750" s="81" t="n"/>
      <c r="O1750" s="81" t="n"/>
      <c r="P1750" s="81" t="n"/>
      <c r="Q1750" s="81" t="n"/>
      <c r="R1750" s="81" t="n"/>
      <c r="S1750" s="81" t="n"/>
      <c r="T1750" s="81" t="n"/>
      <c r="U1750" s="81" t="n"/>
      <c r="V1750" s="81" t="n"/>
      <c r="W1750" s="81" t="n"/>
      <c r="X1750" s="81" t="n"/>
      <c r="Y1750" s="81" t="n"/>
      <c r="Z1750" s="81" t="n"/>
      <c r="AA1750" s="81" t="n"/>
      <c r="AB1750" s="81" t="n"/>
      <c r="AC1750" s="81" t="n"/>
      <c r="AD1750" s="81" t="n"/>
      <c r="AE1750" s="81" t="n"/>
      <c r="AF1750" s="81" t="n"/>
      <c r="AG1750" s="81" t="n"/>
      <c r="AH1750" s="81" t="n"/>
      <c r="AI1750" s="81" t="n"/>
      <c r="AJ1750" s="81" t="n"/>
      <c r="AK1750" s="81" t="n"/>
      <c r="AL1750" s="81" t="n"/>
      <c r="AM1750" s="81" t="n"/>
      <c r="AN1750" s="81" t="n"/>
      <c r="AO1750" s="81" t="n"/>
      <c r="AP1750" s="81" t="n"/>
      <c r="AQ1750" s="81" t="n"/>
      <c r="AR1750" s="81" t="n"/>
      <c r="AS1750" s="81" t="n"/>
      <c r="AT1750" s="81" t="n"/>
      <c r="AU1750" s="81" t="n"/>
      <c r="AV1750" s="81" t="n"/>
      <c r="AW1750" s="81" t="n"/>
      <c r="AX1750" s="81" t="n"/>
      <c r="AY1750" s="81" t="n"/>
      <c r="AZ1750" s="81" t="n"/>
      <c r="BA1750" s="81" t="n"/>
      <c r="BB1750" s="81" t="n"/>
      <c r="BC1750" s="81" t="n"/>
      <c r="BD1750" s="81" t="n"/>
      <c r="BE1750" s="81" t="n"/>
      <c r="BF1750" s="81" t="n"/>
      <c r="BG1750" s="81" t="n"/>
      <c r="BH1750" s="81" t="n"/>
      <c r="BI1750" s="81" t="n"/>
      <c r="BJ1750" s="81" t="n"/>
      <c r="BK1750" s="81" t="n"/>
      <c r="BL1750" s="81" t="n"/>
      <c r="BM1750" s="81" t="n"/>
      <c r="BN1750" s="81" t="n"/>
      <c r="BO1750" s="81" t="n"/>
      <c r="BP1750" s="81" t="n"/>
      <c r="BQ1750" s="81" t="n"/>
      <c r="BR1750" s="81" t="n"/>
      <c r="BS1750" s="81" t="n"/>
      <c r="BT1750" s="81" t="n"/>
      <c r="BU1750" s="81" t="n"/>
      <c r="BV1750" s="81" t="n"/>
      <c r="BW1750" s="81" t="n"/>
      <c r="BX1750" s="81" t="n"/>
      <c r="BY1750" s="81" t="n"/>
      <c r="BZ1750" s="81" t="n"/>
      <c r="CA1750" s="81" t="n"/>
      <c r="CB1750" s="81" t="n"/>
      <c r="CC1750" s="81" t="n"/>
      <c r="CD1750" s="81" t="n"/>
      <c r="CE1750" s="81" t="n"/>
      <c r="CF1750" s="81" t="n"/>
      <c r="CG1750" s="81" t="n"/>
      <c r="CH1750" s="81" t="n"/>
    </row>
    <row r="1751">
      <c r="A1751" s="81" t="n"/>
      <c r="B1751" s="81" t="n"/>
      <c r="C1751" s="81" t="n"/>
      <c r="D1751" s="81" t="n"/>
      <c r="E1751" s="81" t="n"/>
      <c r="F1751" s="81" t="n"/>
      <c r="G1751" s="81" t="n"/>
      <c r="H1751" s="81" t="n"/>
      <c r="I1751" s="81" t="n"/>
      <c r="J1751" s="81" t="n"/>
      <c r="K1751" s="81" t="n"/>
      <c r="L1751" s="81" t="n"/>
      <c r="M1751" s="81" t="n"/>
      <c r="N1751" s="81" t="n"/>
      <c r="O1751" s="81" t="n"/>
      <c r="P1751" s="81" t="n"/>
      <c r="Q1751" s="81" t="n"/>
      <c r="R1751" s="81" t="n"/>
      <c r="S1751" s="81" t="n"/>
      <c r="T1751" s="81" t="n"/>
      <c r="U1751" s="81" t="n"/>
      <c r="V1751" s="81" t="n"/>
      <c r="W1751" s="81" t="n"/>
      <c r="X1751" s="81" t="n"/>
      <c r="Y1751" s="81" t="n"/>
      <c r="Z1751" s="81" t="n"/>
      <c r="AA1751" s="81" t="n"/>
      <c r="AB1751" s="81" t="n"/>
      <c r="AC1751" s="81" t="n"/>
      <c r="AD1751" s="81" t="n"/>
      <c r="AE1751" s="81" t="n"/>
      <c r="AF1751" s="81" t="n"/>
      <c r="AG1751" s="81" t="n"/>
      <c r="AH1751" s="81" t="n"/>
      <c r="AI1751" s="81" t="n"/>
      <c r="AJ1751" s="81" t="n"/>
      <c r="AK1751" s="81" t="n"/>
      <c r="AL1751" s="81" t="n"/>
      <c r="AM1751" s="81" t="n"/>
      <c r="AN1751" s="81" t="n"/>
      <c r="AO1751" s="81" t="n"/>
      <c r="AP1751" s="81" t="n"/>
      <c r="AQ1751" s="81" t="n"/>
      <c r="AR1751" s="81" t="n"/>
      <c r="AS1751" s="81" t="n"/>
      <c r="AT1751" s="81" t="n"/>
      <c r="AU1751" s="81" t="n"/>
      <c r="AV1751" s="81" t="n"/>
      <c r="AW1751" s="81" t="n"/>
      <c r="AX1751" s="81" t="n"/>
      <c r="AY1751" s="81" t="n"/>
      <c r="AZ1751" s="81" t="n"/>
      <c r="BA1751" s="81" t="n"/>
      <c r="BB1751" s="81" t="n"/>
      <c r="BC1751" s="81" t="n"/>
      <c r="BD1751" s="81" t="n"/>
      <c r="BE1751" s="81" t="n"/>
      <c r="BF1751" s="81" t="n"/>
      <c r="BG1751" s="81" t="n"/>
      <c r="BH1751" s="81" t="n"/>
      <c r="BI1751" s="81" t="n"/>
      <c r="BJ1751" s="81" t="n"/>
      <c r="BK1751" s="81" t="n"/>
      <c r="BL1751" s="81" t="n"/>
      <c r="BM1751" s="81" t="n"/>
      <c r="BN1751" s="81" t="n"/>
      <c r="BO1751" s="81" t="n"/>
      <c r="BP1751" s="81" t="n"/>
      <c r="BQ1751" s="81" t="n"/>
      <c r="BR1751" s="81" t="n"/>
      <c r="BS1751" s="81" t="n"/>
      <c r="BT1751" s="81" t="n"/>
      <c r="BU1751" s="81" t="n"/>
      <c r="BV1751" s="81" t="n"/>
      <c r="BW1751" s="81" t="n"/>
      <c r="BX1751" s="81" t="n"/>
      <c r="BY1751" s="81" t="n"/>
      <c r="BZ1751" s="81" t="n"/>
      <c r="CA1751" s="81" t="n"/>
      <c r="CB1751" s="81" t="n"/>
      <c r="CC1751" s="81" t="n"/>
      <c r="CD1751" s="81" t="n"/>
      <c r="CE1751" s="81" t="n"/>
      <c r="CF1751" s="81" t="n"/>
      <c r="CG1751" s="81" t="n"/>
      <c r="CH1751" s="81" t="n"/>
    </row>
    <row r="1752">
      <c r="A1752" s="81" t="n"/>
      <c r="B1752" s="81" t="n"/>
      <c r="C1752" s="81" t="n"/>
      <c r="D1752" s="81" t="n"/>
      <c r="E1752" s="81" t="n"/>
      <c r="F1752" s="81" t="n"/>
      <c r="G1752" s="81" t="n"/>
      <c r="H1752" s="81" t="n"/>
      <c r="I1752" s="81" t="n"/>
      <c r="J1752" s="81" t="n"/>
      <c r="K1752" s="81" t="n"/>
      <c r="L1752" s="81" t="n"/>
      <c r="M1752" s="81" t="n"/>
      <c r="N1752" s="81" t="n"/>
      <c r="O1752" s="81" t="n"/>
      <c r="P1752" s="81" t="n"/>
      <c r="Q1752" s="81" t="n"/>
      <c r="R1752" s="81" t="n"/>
      <c r="S1752" s="81" t="n"/>
      <c r="T1752" s="81" t="n"/>
      <c r="U1752" s="81" t="n"/>
      <c r="V1752" s="81" t="n"/>
      <c r="W1752" s="81" t="n"/>
      <c r="X1752" s="81" t="n"/>
      <c r="Y1752" s="81" t="n"/>
      <c r="Z1752" s="81" t="n"/>
      <c r="AA1752" s="81" t="n"/>
      <c r="AB1752" s="81" t="n"/>
      <c r="AC1752" s="81" t="n"/>
      <c r="AD1752" s="81" t="n"/>
      <c r="AE1752" s="81" t="n"/>
      <c r="AF1752" s="81" t="n"/>
      <c r="AG1752" s="81" t="n"/>
      <c r="AH1752" s="81" t="n"/>
      <c r="AI1752" s="81" t="n"/>
      <c r="AJ1752" s="81" t="n"/>
      <c r="AK1752" s="81" t="n"/>
      <c r="AL1752" s="81" t="n"/>
      <c r="AM1752" s="81" t="n"/>
      <c r="AN1752" s="81" t="n"/>
      <c r="AO1752" s="81" t="n"/>
      <c r="AP1752" s="81" t="n"/>
      <c r="AQ1752" s="81" t="n"/>
      <c r="AR1752" s="81" t="n"/>
      <c r="AS1752" s="81" t="n"/>
      <c r="AT1752" s="81" t="n"/>
      <c r="AU1752" s="81" t="n"/>
      <c r="AV1752" s="81" t="n"/>
      <c r="AW1752" s="81" t="n"/>
      <c r="AX1752" s="81" t="n"/>
      <c r="AY1752" s="81" t="n"/>
      <c r="AZ1752" s="81" t="n"/>
      <c r="BA1752" s="81" t="n"/>
      <c r="BB1752" s="81" t="n"/>
      <c r="BC1752" s="81" t="n"/>
      <c r="BD1752" s="81" t="n"/>
      <c r="BE1752" s="81" t="n"/>
      <c r="BF1752" s="81" t="n"/>
      <c r="BG1752" s="81" t="n"/>
      <c r="BH1752" s="81" t="n"/>
      <c r="BI1752" s="81" t="n"/>
      <c r="BJ1752" s="81" t="n"/>
      <c r="BK1752" s="81" t="n"/>
      <c r="BL1752" s="81" t="n"/>
      <c r="BM1752" s="81" t="n"/>
      <c r="BN1752" s="81" t="n"/>
      <c r="BO1752" s="81" t="n"/>
      <c r="BP1752" s="81" t="n"/>
      <c r="BQ1752" s="81" t="n"/>
      <c r="BR1752" s="81" t="n"/>
      <c r="BS1752" s="81" t="n"/>
      <c r="BT1752" s="81" t="n"/>
      <c r="BU1752" s="81" t="n"/>
      <c r="BV1752" s="81" t="n"/>
      <c r="BW1752" s="81" t="n"/>
      <c r="BX1752" s="81" t="n"/>
      <c r="BY1752" s="81" t="n"/>
      <c r="BZ1752" s="81" t="n"/>
      <c r="CA1752" s="81" t="n"/>
      <c r="CB1752" s="81" t="n"/>
      <c r="CC1752" s="81" t="n"/>
      <c r="CD1752" s="81" t="n"/>
      <c r="CE1752" s="81" t="n"/>
      <c r="CF1752" s="81" t="n"/>
      <c r="CG1752" s="81" t="n"/>
      <c r="CH1752" s="81" t="n"/>
    </row>
    <row r="1753">
      <c r="A1753" s="81" t="n"/>
      <c r="B1753" s="81" t="n"/>
      <c r="C1753" s="81" t="n"/>
      <c r="D1753" s="81" t="n"/>
      <c r="E1753" s="81" t="n"/>
      <c r="F1753" s="81" t="n"/>
      <c r="G1753" s="81" t="n"/>
      <c r="H1753" s="81" t="n"/>
      <c r="I1753" s="81" t="n"/>
      <c r="J1753" s="81" t="n"/>
      <c r="K1753" s="81" t="n"/>
      <c r="L1753" s="81" t="n"/>
      <c r="M1753" s="81" t="n"/>
      <c r="N1753" s="81" t="n"/>
      <c r="O1753" s="81" t="n"/>
      <c r="P1753" s="81" t="n"/>
      <c r="Q1753" s="81" t="n"/>
      <c r="R1753" s="81" t="n"/>
      <c r="S1753" s="81" t="n"/>
      <c r="T1753" s="81" t="n"/>
      <c r="U1753" s="81" t="n"/>
      <c r="V1753" s="81" t="n"/>
      <c r="W1753" s="81" t="n"/>
      <c r="X1753" s="81" t="n"/>
      <c r="Y1753" s="81" t="n"/>
      <c r="Z1753" s="81" t="n"/>
      <c r="AA1753" s="81" t="n"/>
      <c r="AB1753" s="81" t="n"/>
      <c r="AC1753" s="81" t="n"/>
      <c r="AD1753" s="81" t="n"/>
      <c r="AE1753" s="81" t="n"/>
      <c r="AF1753" s="81" t="n"/>
      <c r="AG1753" s="81" t="n"/>
      <c r="AH1753" s="81" t="n"/>
      <c r="AI1753" s="81" t="n"/>
      <c r="AJ1753" s="81" t="n"/>
      <c r="AK1753" s="81" t="n"/>
      <c r="AL1753" s="81" t="n"/>
      <c r="AM1753" s="81" t="n"/>
      <c r="AN1753" s="81" t="n"/>
      <c r="AO1753" s="81" t="n"/>
      <c r="AP1753" s="81" t="n"/>
      <c r="AQ1753" s="81" t="n"/>
      <c r="AR1753" s="81" t="n"/>
      <c r="AS1753" s="81" t="n"/>
      <c r="AT1753" s="81" t="n"/>
      <c r="AU1753" s="81" t="n"/>
      <c r="AV1753" s="81" t="n"/>
      <c r="AW1753" s="81" t="n"/>
      <c r="AX1753" s="81" t="n"/>
      <c r="AY1753" s="81" t="n"/>
      <c r="AZ1753" s="81" t="n"/>
      <c r="BA1753" s="81" t="n"/>
      <c r="BB1753" s="81" t="n"/>
      <c r="BC1753" s="81" t="n"/>
      <c r="BD1753" s="81" t="n"/>
      <c r="BE1753" s="81" t="n"/>
      <c r="BF1753" s="81" t="n"/>
      <c r="BG1753" s="81" t="n"/>
      <c r="BH1753" s="81" t="n"/>
      <c r="BI1753" s="81" t="n"/>
      <c r="BJ1753" s="81" t="n"/>
      <c r="BK1753" s="81" t="n"/>
      <c r="BL1753" s="81" t="n"/>
      <c r="BM1753" s="81" t="n"/>
      <c r="BN1753" s="81" t="n"/>
      <c r="BO1753" s="81" t="n"/>
      <c r="BP1753" s="81" t="n"/>
      <c r="BQ1753" s="81" t="n"/>
      <c r="BR1753" s="81" t="n"/>
      <c r="BS1753" s="81" t="n"/>
      <c r="BT1753" s="81" t="n"/>
      <c r="BU1753" s="81" t="n"/>
      <c r="BV1753" s="81" t="n"/>
      <c r="BW1753" s="81" t="n"/>
      <c r="BX1753" s="81" t="n"/>
      <c r="BY1753" s="81" t="n"/>
      <c r="BZ1753" s="81" t="n"/>
      <c r="CA1753" s="81" t="n"/>
      <c r="CB1753" s="81" t="n"/>
      <c r="CC1753" s="81" t="n"/>
      <c r="CD1753" s="81" t="n"/>
      <c r="CE1753" s="81" t="n"/>
      <c r="CF1753" s="81" t="n"/>
      <c r="CG1753" s="81" t="n"/>
      <c r="CH1753" s="81" t="n"/>
    </row>
    <row r="1754">
      <c r="A1754" s="81" t="n"/>
      <c r="B1754" s="81" t="n"/>
      <c r="C1754" s="81" t="n"/>
      <c r="D1754" s="81" t="n"/>
      <c r="E1754" s="81" t="n"/>
      <c r="F1754" s="81" t="n"/>
      <c r="G1754" s="81" t="n"/>
      <c r="H1754" s="81" t="n"/>
      <c r="I1754" s="81" t="n"/>
      <c r="J1754" s="81" t="n"/>
      <c r="K1754" s="81" t="n"/>
      <c r="L1754" s="81" t="n"/>
      <c r="M1754" s="81" t="n"/>
      <c r="N1754" s="81" t="n"/>
      <c r="O1754" s="81" t="n"/>
      <c r="P1754" s="81" t="n"/>
      <c r="Q1754" s="81" t="n"/>
      <c r="R1754" s="81" t="n"/>
      <c r="S1754" s="81" t="n"/>
      <c r="T1754" s="81" t="n"/>
      <c r="U1754" s="81" t="n"/>
      <c r="V1754" s="81" t="n"/>
      <c r="W1754" s="81" t="n"/>
      <c r="X1754" s="81" t="n"/>
      <c r="Y1754" s="81" t="n"/>
      <c r="Z1754" s="81" t="n"/>
      <c r="AA1754" s="81" t="n"/>
      <c r="AB1754" s="81" t="n"/>
      <c r="AC1754" s="81" t="n"/>
      <c r="AD1754" s="81" t="n"/>
      <c r="AE1754" s="81" t="n"/>
      <c r="AF1754" s="81" t="n"/>
      <c r="AG1754" s="81" t="n"/>
      <c r="AH1754" s="81" t="n"/>
      <c r="AI1754" s="81" t="n"/>
      <c r="AJ1754" s="81" t="n"/>
      <c r="AK1754" s="81" t="n"/>
      <c r="AL1754" s="81" t="n"/>
      <c r="AM1754" s="81" t="n"/>
      <c r="AN1754" s="81" t="n"/>
      <c r="AO1754" s="81" t="n"/>
      <c r="AP1754" s="81" t="n"/>
      <c r="AQ1754" s="81" t="n"/>
      <c r="AR1754" s="81" t="n"/>
      <c r="AS1754" s="81" t="n"/>
      <c r="AT1754" s="81" t="n"/>
      <c r="AU1754" s="81" t="n"/>
      <c r="AV1754" s="81" t="n"/>
      <c r="AW1754" s="81" t="n"/>
      <c r="AX1754" s="81" t="n"/>
      <c r="AY1754" s="81" t="n"/>
      <c r="AZ1754" s="81" t="n"/>
      <c r="BA1754" s="81" t="n"/>
      <c r="BB1754" s="81" t="n"/>
      <c r="BC1754" s="81" t="n"/>
      <c r="BD1754" s="81" t="n"/>
      <c r="BE1754" s="81" t="n"/>
      <c r="BF1754" s="81" t="n"/>
      <c r="BG1754" s="81" t="n"/>
      <c r="BH1754" s="81" t="n"/>
      <c r="BI1754" s="81" t="n"/>
      <c r="BJ1754" s="81" t="n"/>
      <c r="BK1754" s="81" t="n"/>
      <c r="BL1754" s="81" t="n"/>
      <c r="BM1754" s="81" t="n"/>
      <c r="BN1754" s="81" t="n"/>
      <c r="BO1754" s="81" t="n"/>
      <c r="BP1754" s="81" t="n"/>
      <c r="BQ1754" s="81" t="n"/>
      <c r="BR1754" s="81" t="n"/>
      <c r="BS1754" s="81" t="n"/>
      <c r="BT1754" s="81" t="n"/>
      <c r="BU1754" s="81" t="n"/>
      <c r="BV1754" s="81" t="n"/>
      <c r="BW1754" s="81" t="n"/>
      <c r="BX1754" s="81" t="n"/>
      <c r="BY1754" s="81" t="n"/>
      <c r="BZ1754" s="81" t="n"/>
      <c r="CA1754" s="81" t="n"/>
      <c r="CB1754" s="81" t="n"/>
      <c r="CC1754" s="81" t="n"/>
      <c r="CD1754" s="81" t="n"/>
      <c r="CE1754" s="81" t="n"/>
      <c r="CF1754" s="81" t="n"/>
      <c r="CG1754" s="81" t="n"/>
      <c r="CH1754" s="81" t="n"/>
    </row>
    <row r="1755">
      <c r="A1755" s="81" t="n"/>
      <c r="B1755" s="81" t="n"/>
      <c r="C1755" s="81" t="n"/>
      <c r="D1755" s="81" t="n"/>
      <c r="E1755" s="81" t="n"/>
      <c r="F1755" s="81" t="n"/>
      <c r="G1755" s="81" t="n"/>
      <c r="H1755" s="81" t="n"/>
      <c r="I1755" s="81" t="n"/>
      <c r="J1755" s="81" t="n"/>
      <c r="K1755" s="81" t="n"/>
      <c r="L1755" s="81" t="n"/>
      <c r="M1755" s="81" t="n"/>
      <c r="N1755" s="81" t="n"/>
      <c r="O1755" s="81" t="n"/>
      <c r="P1755" s="81" t="n"/>
      <c r="Q1755" s="81" t="n"/>
      <c r="R1755" s="81" t="n"/>
      <c r="S1755" s="81" t="n"/>
      <c r="T1755" s="81" t="n"/>
      <c r="U1755" s="81" t="n"/>
      <c r="V1755" s="81" t="n"/>
      <c r="W1755" s="81" t="n"/>
      <c r="X1755" s="81" t="n"/>
      <c r="Y1755" s="81" t="n"/>
      <c r="Z1755" s="81" t="n"/>
      <c r="AA1755" s="81" t="n"/>
      <c r="AB1755" s="81" t="n"/>
      <c r="AC1755" s="81" t="n"/>
      <c r="AD1755" s="81" t="n"/>
      <c r="AE1755" s="81" t="n"/>
      <c r="AF1755" s="81" t="n"/>
      <c r="AG1755" s="81" t="n"/>
      <c r="AH1755" s="81" t="n"/>
      <c r="AI1755" s="81" t="n"/>
      <c r="AJ1755" s="81" t="n"/>
      <c r="AK1755" s="81" t="n"/>
      <c r="AL1755" s="81" t="n"/>
      <c r="AM1755" s="81" t="n"/>
      <c r="AN1755" s="81" t="n"/>
      <c r="AO1755" s="81" t="n"/>
      <c r="AP1755" s="81" t="n"/>
      <c r="AQ1755" s="81" t="n"/>
      <c r="AR1755" s="81" t="n"/>
      <c r="AS1755" s="81" t="n"/>
      <c r="AT1755" s="81" t="n"/>
      <c r="AU1755" s="81" t="n"/>
      <c r="AV1755" s="81" t="n"/>
      <c r="AW1755" s="81" t="n"/>
      <c r="AX1755" s="81" t="n"/>
      <c r="AY1755" s="81" t="n"/>
      <c r="AZ1755" s="81" t="n"/>
      <c r="BA1755" s="81" t="n"/>
      <c r="BB1755" s="81" t="n"/>
      <c r="BC1755" s="81" t="n"/>
      <c r="BD1755" s="81" t="n"/>
      <c r="BE1755" s="81" t="n"/>
      <c r="BF1755" s="81" t="n"/>
      <c r="BG1755" s="81" t="n"/>
      <c r="BH1755" s="81" t="n"/>
      <c r="BI1755" s="81" t="n"/>
      <c r="BJ1755" s="81" t="n"/>
      <c r="BK1755" s="81" t="n"/>
      <c r="BL1755" s="81" t="n"/>
      <c r="BM1755" s="81" t="n"/>
      <c r="BN1755" s="81" t="n"/>
      <c r="BO1755" s="81" t="n"/>
      <c r="BP1755" s="81" t="n"/>
      <c r="BQ1755" s="81" t="n"/>
      <c r="BR1755" s="81" t="n"/>
      <c r="BS1755" s="81" t="n"/>
      <c r="BT1755" s="81" t="n"/>
      <c r="BU1755" s="81" t="n"/>
      <c r="BV1755" s="81" t="n"/>
      <c r="BW1755" s="81" t="n"/>
      <c r="BX1755" s="81" t="n"/>
      <c r="BY1755" s="81" t="n"/>
      <c r="BZ1755" s="81" t="n"/>
      <c r="CA1755" s="81" t="n"/>
      <c r="CB1755" s="81" t="n"/>
      <c r="CC1755" s="81" t="n"/>
      <c r="CD1755" s="81" t="n"/>
      <c r="CE1755" s="81" t="n"/>
      <c r="CF1755" s="81" t="n"/>
      <c r="CG1755" s="81" t="n"/>
      <c r="CH1755" s="81" t="n"/>
    </row>
    <row r="1756">
      <c r="A1756" s="81" t="n"/>
      <c r="B1756" s="81" t="n"/>
      <c r="C1756" s="81" t="n"/>
      <c r="D1756" s="81" t="n"/>
      <c r="E1756" s="81" t="n"/>
      <c r="F1756" s="81" t="n"/>
      <c r="G1756" s="81" t="n"/>
      <c r="H1756" s="81" t="n"/>
      <c r="I1756" s="81" t="n"/>
      <c r="J1756" s="81" t="n"/>
      <c r="K1756" s="81" t="n"/>
      <c r="L1756" s="81" t="n"/>
      <c r="M1756" s="81" t="n"/>
      <c r="N1756" s="81" t="n"/>
      <c r="O1756" s="81" t="n"/>
      <c r="P1756" s="81" t="n"/>
      <c r="Q1756" s="81" t="n"/>
      <c r="R1756" s="81" t="n"/>
      <c r="S1756" s="81" t="n"/>
      <c r="T1756" s="81" t="n"/>
      <c r="U1756" s="81" t="n"/>
      <c r="V1756" s="81" t="n"/>
      <c r="W1756" s="81" t="n"/>
      <c r="X1756" s="81" t="n"/>
      <c r="Y1756" s="81" t="n"/>
      <c r="Z1756" s="81" t="n"/>
      <c r="AA1756" s="81" t="n"/>
      <c r="AB1756" s="81" t="n"/>
      <c r="AC1756" s="81" t="n"/>
      <c r="AD1756" s="81" t="n"/>
      <c r="AE1756" s="81" t="n"/>
      <c r="AF1756" s="81" t="n"/>
      <c r="AG1756" s="81" t="n"/>
      <c r="AH1756" s="81" t="n"/>
      <c r="AI1756" s="81" t="n"/>
      <c r="AJ1756" s="81" t="n"/>
      <c r="AK1756" s="81" t="n"/>
      <c r="AL1756" s="81" t="n"/>
      <c r="AM1756" s="81" t="n"/>
      <c r="AN1756" s="81" t="n"/>
      <c r="AO1756" s="81" t="n"/>
      <c r="AP1756" s="81" t="n"/>
      <c r="AQ1756" s="81" t="n"/>
      <c r="AR1756" s="81" t="n"/>
      <c r="AS1756" s="81" t="n"/>
      <c r="AT1756" s="81" t="n"/>
      <c r="AU1756" s="81" t="n"/>
      <c r="AV1756" s="81" t="n"/>
      <c r="AW1756" s="81" t="n"/>
      <c r="AX1756" s="81" t="n"/>
      <c r="AY1756" s="81" t="n"/>
      <c r="AZ1756" s="81" t="n"/>
      <c r="BA1756" s="81" t="n"/>
      <c r="BB1756" s="81" t="n"/>
      <c r="BC1756" s="81" t="n"/>
      <c r="BD1756" s="81" t="n"/>
      <c r="BE1756" s="81" t="n"/>
      <c r="BF1756" s="81" t="n"/>
      <c r="BG1756" s="81" t="n"/>
      <c r="BH1756" s="81" t="n"/>
      <c r="BI1756" s="81" t="n"/>
      <c r="BJ1756" s="81" t="n"/>
      <c r="BK1756" s="81" t="n"/>
      <c r="BL1756" s="81" t="n"/>
      <c r="BM1756" s="81" t="n"/>
      <c r="BN1756" s="81" t="n"/>
      <c r="BO1756" s="81" t="n"/>
      <c r="BP1756" s="81" t="n"/>
      <c r="BQ1756" s="81" t="n"/>
      <c r="BR1756" s="81" t="n"/>
      <c r="BS1756" s="81" t="n"/>
      <c r="BT1756" s="81" t="n"/>
      <c r="BU1756" s="81" t="n"/>
      <c r="BV1756" s="81" t="n"/>
      <c r="BW1756" s="81" t="n"/>
      <c r="BX1756" s="81" t="n"/>
      <c r="BY1756" s="81" t="n"/>
      <c r="BZ1756" s="81" t="n"/>
      <c r="CA1756" s="81" t="n"/>
      <c r="CB1756" s="81" t="n"/>
      <c r="CC1756" s="81" t="n"/>
      <c r="CD1756" s="81" t="n"/>
      <c r="CE1756" s="81" t="n"/>
      <c r="CF1756" s="81" t="n"/>
      <c r="CG1756" s="81" t="n"/>
      <c r="CH1756" s="81" t="n"/>
    </row>
    <row r="1757">
      <c r="A1757" s="81" t="n"/>
      <c r="B1757" s="81" t="n"/>
      <c r="C1757" s="81" t="n"/>
      <c r="D1757" s="81" t="n"/>
      <c r="E1757" s="81" t="n"/>
      <c r="F1757" s="81" t="n"/>
      <c r="G1757" s="81" t="n"/>
      <c r="H1757" s="81" t="n"/>
      <c r="I1757" s="81" t="n"/>
      <c r="J1757" s="81" t="n"/>
      <c r="K1757" s="81" t="n"/>
      <c r="L1757" s="81" t="n"/>
      <c r="M1757" s="81" t="n"/>
      <c r="N1757" s="81" t="n"/>
      <c r="O1757" s="81" t="n"/>
      <c r="P1757" s="81" t="n"/>
      <c r="Q1757" s="81" t="n"/>
      <c r="R1757" s="81" t="n"/>
      <c r="S1757" s="81" t="n"/>
      <c r="T1757" s="81" t="n"/>
      <c r="U1757" s="81" t="n"/>
      <c r="V1757" s="81" t="n"/>
      <c r="W1757" s="81" t="n"/>
      <c r="X1757" s="81" t="n"/>
      <c r="Y1757" s="81" t="n"/>
      <c r="Z1757" s="81" t="n"/>
      <c r="AA1757" s="81" t="n"/>
      <c r="AB1757" s="81" t="n"/>
      <c r="AC1757" s="81" t="n"/>
      <c r="AD1757" s="81" t="n"/>
      <c r="AE1757" s="81" t="n"/>
      <c r="AF1757" s="81" t="n"/>
      <c r="AG1757" s="81" t="n"/>
      <c r="AH1757" s="81" t="n"/>
      <c r="AI1757" s="81" t="n"/>
      <c r="AJ1757" s="81" t="n"/>
      <c r="AK1757" s="81" t="n"/>
      <c r="AL1757" s="81" t="n"/>
      <c r="AM1757" s="81" t="n"/>
      <c r="AN1757" s="81" t="n"/>
      <c r="AO1757" s="81" t="n"/>
      <c r="AP1757" s="81" t="n"/>
      <c r="AQ1757" s="81" t="n"/>
      <c r="AR1757" s="81" t="n"/>
      <c r="AS1757" s="81" t="n"/>
      <c r="AT1757" s="81" t="n"/>
      <c r="AU1757" s="81" t="n"/>
      <c r="AV1757" s="81" t="n"/>
      <c r="AW1757" s="81" t="n"/>
      <c r="AX1757" s="81" t="n"/>
      <c r="AY1757" s="81" t="n"/>
      <c r="AZ1757" s="81" t="n"/>
      <c r="BA1757" s="81" t="n"/>
      <c r="BB1757" s="81" t="n"/>
      <c r="BC1757" s="81" t="n"/>
      <c r="BD1757" s="81" t="n"/>
      <c r="BE1757" s="81" t="n"/>
      <c r="BF1757" s="81" t="n"/>
      <c r="BG1757" s="81" t="n"/>
      <c r="BH1757" s="81" t="n"/>
      <c r="BI1757" s="81" t="n"/>
      <c r="BJ1757" s="81" t="n"/>
      <c r="BK1757" s="81" t="n"/>
      <c r="BL1757" s="81" t="n"/>
      <c r="BM1757" s="81" t="n"/>
      <c r="BN1757" s="81" t="n"/>
      <c r="BO1757" s="81" t="n"/>
      <c r="BP1757" s="81" t="n"/>
      <c r="BQ1757" s="81" t="n"/>
      <c r="BR1757" s="81" t="n"/>
      <c r="BS1757" s="81" t="n"/>
      <c r="BT1757" s="81" t="n"/>
      <c r="BU1757" s="81" t="n"/>
      <c r="BV1757" s="81" t="n"/>
      <c r="BW1757" s="81" t="n"/>
      <c r="BX1757" s="81" t="n"/>
      <c r="BY1757" s="81" t="n"/>
      <c r="BZ1757" s="81" t="n"/>
      <c r="CA1757" s="81" t="n"/>
      <c r="CB1757" s="81" t="n"/>
      <c r="CC1757" s="81" t="n"/>
      <c r="CD1757" s="81" t="n"/>
      <c r="CE1757" s="81" t="n"/>
      <c r="CF1757" s="81" t="n"/>
      <c r="CG1757" s="81" t="n"/>
      <c r="CH1757" s="81" t="n"/>
    </row>
    <row r="1758">
      <c r="A1758" s="81" t="n"/>
      <c r="B1758" s="81" t="n"/>
      <c r="C1758" s="81" t="n"/>
      <c r="D1758" s="81" t="n"/>
      <c r="E1758" s="81" t="n"/>
      <c r="F1758" s="81" t="n"/>
      <c r="G1758" s="81" t="n"/>
      <c r="H1758" s="81" t="n"/>
      <c r="I1758" s="81" t="n"/>
      <c r="J1758" s="81" t="n"/>
      <c r="K1758" s="81" t="n"/>
      <c r="L1758" s="81" t="n"/>
      <c r="M1758" s="81" t="n"/>
      <c r="N1758" s="81" t="n"/>
      <c r="O1758" s="81" t="n"/>
      <c r="P1758" s="81" t="n"/>
      <c r="Q1758" s="81" t="n"/>
      <c r="R1758" s="81" t="n"/>
      <c r="S1758" s="81" t="n"/>
      <c r="T1758" s="81" t="n"/>
      <c r="U1758" s="81" t="n"/>
      <c r="V1758" s="81" t="n"/>
      <c r="W1758" s="81" t="n"/>
      <c r="X1758" s="81" t="n"/>
      <c r="Y1758" s="81" t="n"/>
      <c r="Z1758" s="81" t="n"/>
      <c r="AA1758" s="81" t="n"/>
      <c r="AB1758" s="81" t="n"/>
      <c r="AC1758" s="81" t="n"/>
      <c r="AD1758" s="81" t="n"/>
      <c r="AE1758" s="81" t="n"/>
      <c r="AF1758" s="81" t="n"/>
      <c r="AG1758" s="81" t="n"/>
      <c r="AH1758" s="81" t="n"/>
      <c r="AI1758" s="81" t="n"/>
      <c r="AJ1758" s="81" t="n"/>
      <c r="AK1758" s="81" t="n"/>
      <c r="AL1758" s="81" t="n"/>
      <c r="AM1758" s="81" t="n"/>
      <c r="AN1758" s="81" t="n"/>
      <c r="AO1758" s="81" t="n"/>
      <c r="AP1758" s="81" t="n"/>
      <c r="AQ1758" s="81" t="n"/>
      <c r="AR1758" s="81" t="n"/>
      <c r="AS1758" s="81" t="n"/>
      <c r="AT1758" s="81" t="n"/>
      <c r="AU1758" s="81" t="n"/>
      <c r="AV1758" s="81" t="n"/>
      <c r="AW1758" s="81" t="n"/>
      <c r="AX1758" s="81" t="n"/>
      <c r="AY1758" s="81" t="n"/>
      <c r="AZ1758" s="81" t="n"/>
      <c r="BA1758" s="81" t="n"/>
      <c r="BB1758" s="81" t="n"/>
      <c r="BC1758" s="81" t="n"/>
      <c r="BD1758" s="81" t="n"/>
      <c r="BE1758" s="81" t="n"/>
      <c r="BF1758" s="81" t="n"/>
      <c r="BG1758" s="81" t="n"/>
      <c r="BH1758" s="81" t="n"/>
      <c r="BI1758" s="81" t="n"/>
      <c r="BJ1758" s="81" t="n"/>
      <c r="BK1758" s="81" t="n"/>
      <c r="BL1758" s="81" t="n"/>
      <c r="BM1758" s="81" t="n"/>
      <c r="BN1758" s="81" t="n"/>
      <c r="BO1758" s="81" t="n"/>
      <c r="BP1758" s="81" t="n"/>
      <c r="BQ1758" s="81" t="n"/>
      <c r="BR1758" s="81" t="n"/>
      <c r="BS1758" s="81" t="n"/>
      <c r="BT1758" s="81" t="n"/>
      <c r="BU1758" s="81" t="n"/>
      <c r="BV1758" s="81" t="n"/>
      <c r="BW1758" s="81" t="n"/>
      <c r="BX1758" s="81" t="n"/>
      <c r="BY1758" s="81" t="n"/>
      <c r="BZ1758" s="81" t="n"/>
      <c r="CA1758" s="81" t="n"/>
      <c r="CB1758" s="81" t="n"/>
      <c r="CC1758" s="81" t="n"/>
      <c r="CD1758" s="81" t="n"/>
      <c r="CE1758" s="81" t="n"/>
      <c r="CF1758" s="81" t="n"/>
      <c r="CG1758" s="81" t="n"/>
      <c r="CH1758" s="81" t="n"/>
    </row>
    <row r="1759">
      <c r="A1759" s="81" t="n"/>
      <c r="B1759" s="81" t="n"/>
      <c r="C1759" s="81" t="n"/>
      <c r="D1759" s="81" t="n"/>
      <c r="E1759" s="81" t="n"/>
      <c r="F1759" s="81" t="n"/>
      <c r="G1759" s="81" t="n"/>
      <c r="H1759" s="81" t="n"/>
      <c r="I1759" s="81" t="n"/>
      <c r="J1759" s="81" t="n"/>
      <c r="K1759" s="81" t="n"/>
      <c r="L1759" s="81" t="n"/>
      <c r="M1759" s="81" t="n"/>
      <c r="N1759" s="81" t="n"/>
      <c r="O1759" s="81" t="n"/>
      <c r="P1759" s="81" t="n"/>
      <c r="Q1759" s="81" t="n"/>
      <c r="R1759" s="81" t="n"/>
      <c r="S1759" s="81" t="n"/>
      <c r="T1759" s="81" t="n"/>
      <c r="U1759" s="81" t="n"/>
      <c r="V1759" s="81" t="n"/>
      <c r="W1759" s="81" t="n"/>
      <c r="X1759" s="81" t="n"/>
      <c r="Y1759" s="81" t="n"/>
      <c r="Z1759" s="81" t="n"/>
      <c r="AA1759" s="81" t="n"/>
      <c r="AB1759" s="81" t="n"/>
      <c r="AC1759" s="81" t="n"/>
      <c r="AD1759" s="81" t="n"/>
      <c r="AE1759" s="81" t="n"/>
      <c r="AF1759" s="81" t="n"/>
      <c r="AG1759" s="81" t="n"/>
      <c r="AH1759" s="81" t="n"/>
      <c r="AI1759" s="81" t="n"/>
      <c r="AJ1759" s="81" t="n"/>
      <c r="AK1759" s="81" t="n"/>
      <c r="AL1759" s="81" t="n"/>
      <c r="AM1759" s="81" t="n"/>
      <c r="AN1759" s="81" t="n"/>
      <c r="AO1759" s="81" t="n"/>
      <c r="AP1759" s="81" t="n"/>
      <c r="AQ1759" s="81" t="n"/>
      <c r="AR1759" s="81" t="n"/>
      <c r="AS1759" s="81" t="n"/>
      <c r="AT1759" s="81" t="n"/>
      <c r="AU1759" s="81" t="n"/>
      <c r="AV1759" s="81" t="n"/>
      <c r="AW1759" s="81" t="n"/>
      <c r="AX1759" s="81" t="n"/>
      <c r="AY1759" s="81" t="n"/>
      <c r="AZ1759" s="81" t="n"/>
      <c r="BA1759" s="81" t="n"/>
      <c r="BB1759" s="81" t="n"/>
      <c r="BC1759" s="81" t="n"/>
      <c r="BD1759" s="81" t="n"/>
      <c r="BE1759" s="81" t="n"/>
      <c r="BF1759" s="81" t="n"/>
      <c r="BG1759" s="81" t="n"/>
      <c r="BH1759" s="81" t="n"/>
      <c r="BI1759" s="81" t="n"/>
      <c r="BJ1759" s="81" t="n"/>
      <c r="BK1759" s="81" t="n"/>
      <c r="BL1759" s="81" t="n"/>
      <c r="BM1759" s="81" t="n"/>
      <c r="BN1759" s="81" t="n"/>
      <c r="BO1759" s="81" t="n"/>
      <c r="BP1759" s="81" t="n"/>
      <c r="BQ1759" s="81" t="n"/>
      <c r="BR1759" s="81" t="n"/>
      <c r="BS1759" s="81" t="n"/>
      <c r="BT1759" s="81" t="n"/>
      <c r="BU1759" s="81" t="n"/>
      <c r="BV1759" s="81" t="n"/>
      <c r="BW1759" s="81" t="n"/>
      <c r="BX1759" s="81" t="n"/>
      <c r="BY1759" s="81" t="n"/>
      <c r="BZ1759" s="81" t="n"/>
      <c r="CA1759" s="81" t="n"/>
      <c r="CB1759" s="81" t="n"/>
      <c r="CC1759" s="81" t="n"/>
      <c r="CD1759" s="81" t="n"/>
      <c r="CE1759" s="81" t="n"/>
      <c r="CF1759" s="81" t="n"/>
      <c r="CG1759" s="81" t="n"/>
      <c r="CH1759" s="81" t="n"/>
    </row>
    <row r="1760">
      <c r="A1760" s="81" t="n"/>
      <c r="B1760" s="81" t="n"/>
      <c r="C1760" s="81" t="n"/>
      <c r="D1760" s="81" t="n"/>
      <c r="E1760" s="81" t="n"/>
      <c r="F1760" s="81" t="n"/>
      <c r="G1760" s="81" t="n"/>
      <c r="H1760" s="81" t="n"/>
      <c r="I1760" s="81" t="n"/>
      <c r="J1760" s="81" t="n"/>
      <c r="K1760" s="81" t="n"/>
      <c r="L1760" s="81" t="n"/>
      <c r="M1760" s="81" t="n"/>
      <c r="N1760" s="81" t="n"/>
      <c r="O1760" s="81" t="n"/>
      <c r="P1760" s="81" t="n"/>
      <c r="Q1760" s="81" t="n"/>
      <c r="R1760" s="81" t="n"/>
      <c r="S1760" s="81" t="n"/>
      <c r="T1760" s="81" t="n"/>
      <c r="U1760" s="81" t="n"/>
      <c r="V1760" s="81" t="n"/>
      <c r="W1760" s="81" t="n"/>
      <c r="X1760" s="81" t="n"/>
      <c r="Y1760" s="81" t="n"/>
      <c r="Z1760" s="81" t="n"/>
      <c r="AA1760" s="81" t="n"/>
      <c r="AB1760" s="81" t="n"/>
      <c r="AC1760" s="81" t="n"/>
      <c r="AD1760" s="81" t="n"/>
      <c r="AE1760" s="81" t="n"/>
      <c r="AF1760" s="81" t="n"/>
      <c r="AG1760" s="81" t="n"/>
      <c r="AH1760" s="81" t="n"/>
      <c r="AI1760" s="81" t="n"/>
      <c r="AJ1760" s="81" t="n"/>
      <c r="AK1760" s="81" t="n"/>
      <c r="AL1760" s="81" t="n"/>
      <c r="AM1760" s="81" t="n"/>
      <c r="AN1760" s="81" t="n"/>
      <c r="AO1760" s="81" t="n"/>
      <c r="AP1760" s="81" t="n"/>
      <c r="AQ1760" s="81" t="n"/>
      <c r="AR1760" s="81" t="n"/>
      <c r="AS1760" s="81" t="n"/>
      <c r="AT1760" s="81" t="n"/>
      <c r="AU1760" s="81" t="n"/>
      <c r="AV1760" s="81" t="n"/>
      <c r="AW1760" s="81" t="n"/>
      <c r="AX1760" s="81" t="n"/>
      <c r="AY1760" s="81" t="n"/>
      <c r="AZ1760" s="81" t="n"/>
      <c r="BA1760" s="81" t="n"/>
      <c r="BB1760" s="81" t="n"/>
      <c r="BC1760" s="81" t="n"/>
      <c r="BD1760" s="81" t="n"/>
      <c r="BE1760" s="81" t="n"/>
      <c r="BF1760" s="81" t="n"/>
      <c r="BG1760" s="81" t="n"/>
      <c r="BH1760" s="81" t="n"/>
      <c r="BI1760" s="81" t="n"/>
      <c r="BJ1760" s="81" t="n"/>
      <c r="BK1760" s="81" t="n"/>
      <c r="BL1760" s="81" t="n"/>
      <c r="BM1760" s="81" t="n"/>
      <c r="BN1760" s="81" t="n"/>
      <c r="BO1760" s="81" t="n"/>
      <c r="BP1760" s="81" t="n"/>
      <c r="BQ1760" s="81" t="n"/>
      <c r="BR1760" s="81" t="n"/>
      <c r="BS1760" s="81" t="n"/>
      <c r="BT1760" s="81" t="n"/>
      <c r="BU1760" s="81" t="n"/>
      <c r="BV1760" s="81" t="n"/>
      <c r="BW1760" s="81" t="n"/>
      <c r="BX1760" s="81" t="n"/>
      <c r="BY1760" s="81" t="n"/>
      <c r="BZ1760" s="81" t="n"/>
      <c r="CA1760" s="81" t="n"/>
      <c r="CB1760" s="81" t="n"/>
      <c r="CC1760" s="81" t="n"/>
      <c r="CD1760" s="81" t="n"/>
      <c r="CE1760" s="81" t="n"/>
      <c r="CF1760" s="81" t="n"/>
      <c r="CG1760" s="81" t="n"/>
      <c r="CH1760" s="81" t="n"/>
    </row>
    <row r="1761">
      <c r="A1761" s="81" t="n"/>
      <c r="B1761" s="81" t="n"/>
      <c r="C1761" s="81" t="n"/>
      <c r="D1761" s="81" t="n"/>
      <c r="E1761" s="81" t="n"/>
      <c r="F1761" s="81" t="n"/>
      <c r="G1761" s="81" t="n"/>
      <c r="H1761" s="81" t="n"/>
      <c r="I1761" s="81" t="n"/>
      <c r="J1761" s="81" t="n"/>
      <c r="K1761" s="81" t="n"/>
      <c r="L1761" s="81" t="n"/>
      <c r="M1761" s="81" t="n"/>
      <c r="N1761" s="81" t="n"/>
      <c r="O1761" s="81" t="n"/>
      <c r="P1761" s="81" t="n"/>
      <c r="Q1761" s="81" t="n"/>
      <c r="R1761" s="81" t="n"/>
      <c r="S1761" s="81" t="n"/>
      <c r="T1761" s="81" t="n"/>
      <c r="U1761" s="81" t="n"/>
      <c r="V1761" s="81" t="n"/>
      <c r="W1761" s="81" t="n"/>
      <c r="X1761" s="81" t="n"/>
      <c r="Y1761" s="81" t="n"/>
      <c r="Z1761" s="81" t="n"/>
      <c r="AA1761" s="81" t="n"/>
      <c r="AB1761" s="81" t="n"/>
      <c r="AC1761" s="81" t="n"/>
      <c r="AD1761" s="81" t="n"/>
      <c r="AE1761" s="81" t="n"/>
      <c r="AF1761" s="81" t="n"/>
      <c r="AG1761" s="81" t="n"/>
      <c r="AH1761" s="81" t="n"/>
      <c r="AI1761" s="81" t="n"/>
      <c r="AJ1761" s="81" t="n"/>
      <c r="AK1761" s="81" t="n"/>
      <c r="AL1761" s="81" t="n"/>
      <c r="AM1761" s="81" t="n"/>
      <c r="AN1761" s="81" t="n"/>
      <c r="AO1761" s="81" t="n"/>
      <c r="AP1761" s="81" t="n"/>
      <c r="AQ1761" s="81" t="n"/>
      <c r="AR1761" s="81" t="n"/>
      <c r="AS1761" s="81" t="n"/>
      <c r="AT1761" s="81" t="n"/>
      <c r="AU1761" s="81" t="n"/>
      <c r="AV1761" s="81" t="n"/>
      <c r="AW1761" s="81" t="n"/>
      <c r="AX1761" s="81" t="n"/>
      <c r="AY1761" s="81" t="n"/>
      <c r="AZ1761" s="81" t="n"/>
      <c r="BA1761" s="81" t="n"/>
      <c r="BB1761" s="81" t="n"/>
      <c r="BC1761" s="81" t="n"/>
      <c r="BD1761" s="81" t="n"/>
      <c r="BE1761" s="81" t="n"/>
      <c r="BF1761" s="81" t="n"/>
      <c r="BG1761" s="81" t="n"/>
      <c r="BH1761" s="81" t="n"/>
      <c r="BI1761" s="81" t="n"/>
      <c r="BJ1761" s="81" t="n"/>
      <c r="BK1761" s="81" t="n"/>
      <c r="BL1761" s="81" t="n"/>
      <c r="BM1761" s="81" t="n"/>
      <c r="BN1761" s="81" t="n"/>
      <c r="BO1761" s="81" t="n"/>
      <c r="BP1761" s="81" t="n"/>
      <c r="BQ1761" s="81" t="n"/>
      <c r="BR1761" s="81" t="n"/>
      <c r="BS1761" s="81" t="n"/>
      <c r="BT1761" s="81" t="n"/>
      <c r="BU1761" s="81" t="n"/>
      <c r="BV1761" s="81" t="n"/>
      <c r="BW1761" s="81" t="n"/>
      <c r="BX1761" s="81" t="n"/>
      <c r="BY1761" s="81" t="n"/>
      <c r="BZ1761" s="81" t="n"/>
      <c r="CA1761" s="81" t="n"/>
      <c r="CB1761" s="81" t="n"/>
      <c r="CC1761" s="81" t="n"/>
      <c r="CD1761" s="81" t="n"/>
      <c r="CE1761" s="81" t="n"/>
      <c r="CF1761" s="81" t="n"/>
      <c r="CG1761" s="81" t="n"/>
      <c r="CH1761" s="81" t="n"/>
    </row>
    <row r="1762">
      <c r="A1762" s="81" t="n"/>
      <c r="B1762" s="81" t="n"/>
      <c r="C1762" s="81" t="n"/>
      <c r="D1762" s="81" t="n"/>
      <c r="E1762" s="81" t="n"/>
      <c r="F1762" s="81" t="n"/>
      <c r="G1762" s="81" t="n"/>
      <c r="H1762" s="81" t="n"/>
      <c r="I1762" s="81" t="n"/>
      <c r="J1762" s="81" t="n"/>
      <c r="K1762" s="81" t="n"/>
      <c r="L1762" s="81" t="n"/>
      <c r="M1762" s="81" t="n"/>
      <c r="N1762" s="81" t="n"/>
      <c r="O1762" s="81" t="n"/>
      <c r="P1762" s="81" t="n"/>
      <c r="Q1762" s="81" t="n"/>
      <c r="R1762" s="81" t="n"/>
      <c r="S1762" s="81" t="n"/>
      <c r="T1762" s="81" t="n"/>
      <c r="U1762" s="81" t="n"/>
      <c r="V1762" s="81" t="n"/>
      <c r="W1762" s="81" t="n"/>
      <c r="X1762" s="81" t="n"/>
      <c r="Y1762" s="81" t="n"/>
      <c r="Z1762" s="81" t="n"/>
      <c r="AA1762" s="81" t="n"/>
      <c r="AB1762" s="81" t="n"/>
      <c r="AC1762" s="81" t="n"/>
      <c r="AD1762" s="81" t="n"/>
      <c r="AE1762" s="81" t="n"/>
      <c r="AF1762" s="81" t="n"/>
      <c r="AG1762" s="81" t="n"/>
      <c r="AH1762" s="81" t="n"/>
      <c r="AI1762" s="81" t="n"/>
      <c r="AJ1762" s="81" t="n"/>
      <c r="AK1762" s="81" t="n"/>
      <c r="AL1762" s="81" t="n"/>
      <c r="AM1762" s="81" t="n"/>
      <c r="AN1762" s="81" t="n"/>
      <c r="AO1762" s="81" t="n"/>
      <c r="AP1762" s="81" t="n"/>
      <c r="AQ1762" s="81" t="n"/>
      <c r="AR1762" s="81" t="n"/>
      <c r="AS1762" s="81" t="n"/>
      <c r="AT1762" s="81" t="n"/>
      <c r="AU1762" s="81" t="n"/>
      <c r="AV1762" s="81" t="n"/>
      <c r="AW1762" s="81" t="n"/>
      <c r="AX1762" s="81" t="n"/>
      <c r="AY1762" s="81" t="n"/>
      <c r="AZ1762" s="81" t="n"/>
      <c r="BA1762" s="81" t="n"/>
      <c r="BB1762" s="81" t="n"/>
      <c r="BC1762" s="81" t="n"/>
      <c r="BD1762" s="81" t="n"/>
      <c r="BE1762" s="81" t="n"/>
      <c r="BF1762" s="81" t="n"/>
      <c r="BG1762" s="81" t="n"/>
      <c r="BH1762" s="81" t="n"/>
      <c r="BI1762" s="81" t="n"/>
      <c r="BJ1762" s="81" t="n"/>
      <c r="BK1762" s="81" t="n"/>
      <c r="BL1762" s="81" t="n"/>
      <c r="BM1762" s="81" t="n"/>
      <c r="BN1762" s="81" t="n"/>
      <c r="BO1762" s="81" t="n"/>
      <c r="BP1762" s="81" t="n"/>
      <c r="BQ1762" s="81" t="n"/>
      <c r="BR1762" s="81" t="n"/>
      <c r="BS1762" s="81" t="n"/>
      <c r="BT1762" s="81" t="n"/>
      <c r="BU1762" s="81" t="n"/>
      <c r="BV1762" s="81" t="n"/>
      <c r="BW1762" s="81" t="n"/>
      <c r="BX1762" s="81" t="n"/>
      <c r="BY1762" s="81" t="n"/>
      <c r="BZ1762" s="81" t="n"/>
      <c r="CA1762" s="81" t="n"/>
      <c r="CB1762" s="81" t="n"/>
      <c r="CC1762" s="81" t="n"/>
      <c r="CD1762" s="81" t="n"/>
      <c r="CE1762" s="81" t="n"/>
      <c r="CF1762" s="81" t="n"/>
      <c r="CG1762" s="81" t="n"/>
      <c r="CH1762" s="81" t="n"/>
    </row>
    <row r="1763">
      <c r="A1763" s="81" t="n"/>
      <c r="B1763" s="81" t="n"/>
      <c r="C1763" s="81" t="n"/>
      <c r="D1763" s="81" t="n"/>
      <c r="E1763" s="81" t="n"/>
      <c r="F1763" s="81" t="n"/>
      <c r="G1763" s="81" t="n"/>
      <c r="H1763" s="81" t="n"/>
      <c r="I1763" s="81" t="n"/>
      <c r="J1763" s="81" t="n"/>
      <c r="K1763" s="81" t="n"/>
      <c r="L1763" s="81" t="n"/>
      <c r="M1763" s="81" t="n"/>
      <c r="N1763" s="81" t="n"/>
      <c r="O1763" s="81" t="n"/>
      <c r="P1763" s="81" t="n"/>
      <c r="Q1763" s="81" t="n"/>
      <c r="R1763" s="81" t="n"/>
      <c r="S1763" s="81" t="n"/>
      <c r="T1763" s="81" t="n"/>
      <c r="U1763" s="81" t="n"/>
      <c r="V1763" s="81" t="n"/>
      <c r="W1763" s="81" t="n"/>
      <c r="X1763" s="81" t="n"/>
      <c r="Y1763" s="81" t="n"/>
      <c r="Z1763" s="81" t="n"/>
      <c r="AA1763" s="81" t="n"/>
      <c r="AB1763" s="81" t="n"/>
      <c r="AC1763" s="81" t="n"/>
      <c r="AD1763" s="81" t="n"/>
      <c r="AE1763" s="81" t="n"/>
      <c r="AF1763" s="81" t="n"/>
      <c r="AG1763" s="81" t="n"/>
      <c r="AH1763" s="81" t="n"/>
      <c r="AI1763" s="81" t="n"/>
      <c r="AJ1763" s="81" t="n"/>
      <c r="AK1763" s="81" t="n"/>
      <c r="AL1763" s="81" t="n"/>
      <c r="AM1763" s="81" t="n"/>
      <c r="AN1763" s="81" t="n"/>
      <c r="AO1763" s="81" t="n"/>
      <c r="AP1763" s="81" t="n"/>
      <c r="AQ1763" s="81" t="n"/>
      <c r="AR1763" s="81" t="n"/>
      <c r="AS1763" s="81" t="n"/>
      <c r="AT1763" s="81" t="n"/>
      <c r="AU1763" s="81" t="n"/>
      <c r="AV1763" s="81" t="n"/>
      <c r="AW1763" s="81" t="n"/>
      <c r="AX1763" s="81" t="n"/>
      <c r="AY1763" s="81" t="n"/>
      <c r="AZ1763" s="81" t="n"/>
      <c r="BA1763" s="81" t="n"/>
      <c r="BB1763" s="81" t="n"/>
      <c r="BC1763" s="81" t="n"/>
      <c r="BD1763" s="81" t="n"/>
      <c r="BE1763" s="81" t="n"/>
      <c r="BF1763" s="81" t="n"/>
      <c r="BG1763" s="81" t="n"/>
      <c r="BH1763" s="81" t="n"/>
      <c r="BI1763" s="81" t="n"/>
      <c r="BJ1763" s="81" t="n"/>
      <c r="BK1763" s="81" t="n"/>
      <c r="BL1763" s="81" t="n"/>
      <c r="BM1763" s="81" t="n"/>
      <c r="BN1763" s="81" t="n"/>
      <c r="BO1763" s="81" t="n"/>
      <c r="BP1763" s="81" t="n"/>
      <c r="BQ1763" s="81" t="n"/>
      <c r="BR1763" s="81" t="n"/>
      <c r="BS1763" s="81" t="n"/>
      <c r="BT1763" s="81" t="n"/>
      <c r="BU1763" s="81" t="n"/>
      <c r="BV1763" s="81" t="n"/>
      <c r="BW1763" s="81" t="n"/>
      <c r="BX1763" s="81" t="n"/>
      <c r="BY1763" s="81" t="n"/>
      <c r="BZ1763" s="81" t="n"/>
      <c r="CA1763" s="81" t="n"/>
      <c r="CB1763" s="81" t="n"/>
      <c r="CC1763" s="81" t="n"/>
      <c r="CD1763" s="81" t="n"/>
      <c r="CE1763" s="81" t="n"/>
      <c r="CF1763" s="81" t="n"/>
      <c r="CG1763" s="81" t="n"/>
      <c r="CH1763" s="81" t="n"/>
    </row>
    <row r="1764">
      <c r="A1764" s="81" t="n"/>
      <c r="B1764" s="81" t="n"/>
      <c r="C1764" s="81" t="n"/>
      <c r="D1764" s="81" t="n"/>
      <c r="E1764" s="81" t="n"/>
      <c r="F1764" s="81" t="n"/>
      <c r="G1764" s="81" t="n"/>
      <c r="H1764" s="81" t="n"/>
      <c r="I1764" s="81" t="n"/>
      <c r="J1764" s="81" t="n"/>
      <c r="K1764" s="81" t="n"/>
      <c r="L1764" s="81" t="n"/>
      <c r="M1764" s="81" t="n"/>
      <c r="N1764" s="81" t="n"/>
      <c r="O1764" s="81" t="n"/>
      <c r="P1764" s="81" t="n"/>
      <c r="Q1764" s="81" t="n"/>
      <c r="R1764" s="81" t="n"/>
      <c r="S1764" s="81" t="n"/>
      <c r="T1764" s="81" t="n"/>
      <c r="U1764" s="81" t="n"/>
      <c r="V1764" s="81" t="n"/>
      <c r="W1764" s="81" t="n"/>
      <c r="X1764" s="81" t="n"/>
      <c r="Y1764" s="81" t="n"/>
      <c r="Z1764" s="81" t="n"/>
      <c r="AA1764" s="81" t="n"/>
      <c r="AB1764" s="81" t="n"/>
      <c r="AC1764" s="81" t="n"/>
      <c r="AD1764" s="81" t="n"/>
      <c r="AE1764" s="81" t="n"/>
      <c r="AF1764" s="81" t="n"/>
      <c r="AG1764" s="81" t="n"/>
      <c r="AH1764" s="81" t="n"/>
      <c r="AI1764" s="81" t="n"/>
      <c r="AJ1764" s="81" t="n"/>
      <c r="AK1764" s="81" t="n"/>
      <c r="AL1764" s="81" t="n"/>
      <c r="AM1764" s="81" t="n"/>
      <c r="AN1764" s="81" t="n"/>
      <c r="AO1764" s="81" t="n"/>
      <c r="AP1764" s="81" t="n"/>
      <c r="AQ1764" s="81" t="n"/>
      <c r="AR1764" s="81" t="n"/>
      <c r="AS1764" s="81" t="n"/>
      <c r="AT1764" s="81" t="n"/>
      <c r="AU1764" s="81" t="n"/>
      <c r="AV1764" s="81" t="n"/>
      <c r="AW1764" s="81" t="n"/>
      <c r="AX1764" s="81" t="n"/>
      <c r="AY1764" s="81" t="n"/>
      <c r="AZ1764" s="81" t="n"/>
      <c r="BA1764" s="81" t="n"/>
      <c r="BB1764" s="81" t="n"/>
      <c r="BC1764" s="81" t="n"/>
      <c r="BD1764" s="81" t="n"/>
      <c r="BE1764" s="81" t="n"/>
      <c r="BF1764" s="81" t="n"/>
      <c r="BG1764" s="81" t="n"/>
      <c r="BH1764" s="81" t="n"/>
      <c r="BI1764" s="81" t="n"/>
      <c r="BJ1764" s="81" t="n"/>
      <c r="BK1764" s="81" t="n"/>
      <c r="BL1764" s="81" t="n"/>
      <c r="BM1764" s="81" t="n"/>
      <c r="BN1764" s="81" t="n"/>
      <c r="BO1764" s="81" t="n"/>
      <c r="BP1764" s="81" t="n"/>
      <c r="BQ1764" s="81" t="n"/>
      <c r="BR1764" s="81" t="n"/>
      <c r="BS1764" s="81" t="n"/>
      <c r="BT1764" s="81" t="n"/>
      <c r="BU1764" s="81" t="n"/>
      <c r="BV1764" s="81" t="n"/>
      <c r="BW1764" s="81" t="n"/>
      <c r="BX1764" s="81" t="n"/>
      <c r="BY1764" s="81" t="n"/>
      <c r="BZ1764" s="81" t="n"/>
      <c r="CA1764" s="81" t="n"/>
      <c r="CB1764" s="81" t="n"/>
      <c r="CC1764" s="81" t="n"/>
      <c r="CD1764" s="81" t="n"/>
      <c r="CE1764" s="81" t="n"/>
      <c r="CF1764" s="81" t="n"/>
      <c r="CG1764" s="81" t="n"/>
      <c r="CH1764" s="81" t="n"/>
    </row>
    <row r="1765">
      <c r="A1765" s="81" t="n"/>
      <c r="B1765" s="81" t="n"/>
      <c r="C1765" s="81" t="n"/>
      <c r="D1765" s="81" t="n"/>
      <c r="E1765" s="81" t="n"/>
      <c r="F1765" s="81" t="n"/>
      <c r="G1765" s="81" t="n"/>
      <c r="H1765" s="81" t="n"/>
      <c r="I1765" s="81" t="n"/>
      <c r="J1765" s="81" t="n"/>
      <c r="K1765" s="81" t="n"/>
      <c r="L1765" s="81" t="n"/>
      <c r="M1765" s="81" t="n"/>
      <c r="N1765" s="81" t="n"/>
      <c r="O1765" s="81" t="n"/>
      <c r="P1765" s="81" t="n"/>
      <c r="Q1765" s="81" t="n"/>
      <c r="R1765" s="81" t="n"/>
      <c r="S1765" s="81" t="n"/>
      <c r="T1765" s="81" t="n"/>
      <c r="U1765" s="81" t="n"/>
      <c r="V1765" s="81" t="n"/>
      <c r="W1765" s="81" t="n"/>
      <c r="X1765" s="81" t="n"/>
      <c r="Y1765" s="81" t="n"/>
      <c r="Z1765" s="81" t="n"/>
      <c r="AA1765" s="81" t="n"/>
      <c r="AB1765" s="81" t="n"/>
      <c r="AC1765" s="81" t="n"/>
      <c r="AD1765" s="81" t="n"/>
      <c r="AE1765" s="81" t="n"/>
      <c r="AF1765" s="81" t="n"/>
      <c r="AG1765" s="81" t="n"/>
      <c r="AH1765" s="81" t="n"/>
      <c r="AI1765" s="81" t="n"/>
      <c r="AJ1765" s="81" t="n"/>
      <c r="AK1765" s="81" t="n"/>
      <c r="AL1765" s="81" t="n"/>
      <c r="AM1765" s="81" t="n"/>
      <c r="AN1765" s="81" t="n"/>
      <c r="AO1765" s="81" t="n"/>
      <c r="AP1765" s="81" t="n"/>
      <c r="AQ1765" s="81" t="n"/>
      <c r="AR1765" s="81" t="n"/>
      <c r="AS1765" s="81" t="n"/>
      <c r="AT1765" s="81" t="n"/>
      <c r="AU1765" s="81" t="n"/>
      <c r="AV1765" s="81" t="n"/>
      <c r="AW1765" s="81" t="n"/>
      <c r="AX1765" s="81" t="n"/>
      <c r="AY1765" s="81" t="n"/>
      <c r="AZ1765" s="81" t="n"/>
      <c r="BA1765" s="81" t="n"/>
      <c r="BB1765" s="81" t="n"/>
      <c r="BC1765" s="81" t="n"/>
      <c r="BD1765" s="81" t="n"/>
      <c r="BE1765" s="81" t="n"/>
      <c r="BF1765" s="81" t="n"/>
      <c r="BG1765" s="81" t="n"/>
      <c r="BH1765" s="81" t="n"/>
      <c r="BI1765" s="81" t="n"/>
      <c r="BJ1765" s="81" t="n"/>
      <c r="BK1765" s="81" t="n"/>
      <c r="BL1765" s="81" t="n"/>
      <c r="BM1765" s="81" t="n"/>
      <c r="BN1765" s="81" t="n"/>
      <c r="BO1765" s="81" t="n"/>
      <c r="BP1765" s="81" t="n"/>
      <c r="BQ1765" s="81" t="n"/>
      <c r="BR1765" s="81" t="n"/>
      <c r="BS1765" s="81" t="n"/>
      <c r="BT1765" s="81" t="n"/>
      <c r="BU1765" s="81" t="n"/>
      <c r="BV1765" s="81" t="n"/>
      <c r="BW1765" s="81" t="n"/>
      <c r="BX1765" s="81" t="n"/>
      <c r="BY1765" s="81" t="n"/>
      <c r="BZ1765" s="81" t="n"/>
      <c r="CA1765" s="81" t="n"/>
      <c r="CB1765" s="81" t="n"/>
      <c r="CC1765" s="81" t="n"/>
      <c r="CD1765" s="81" t="n"/>
      <c r="CE1765" s="81" t="n"/>
      <c r="CF1765" s="81" t="n"/>
      <c r="CG1765" s="81" t="n"/>
      <c r="CH1765" s="81" t="n"/>
    </row>
    <row r="1766">
      <c r="A1766" s="81" t="n"/>
      <c r="B1766" s="81" t="n"/>
      <c r="C1766" s="81" t="n"/>
      <c r="D1766" s="81" t="n"/>
      <c r="E1766" s="81" t="n"/>
      <c r="F1766" s="81" t="n"/>
      <c r="G1766" s="81" t="n"/>
      <c r="H1766" s="81" t="n"/>
      <c r="I1766" s="81" t="n"/>
      <c r="J1766" s="81" t="n"/>
      <c r="K1766" s="81" t="n"/>
      <c r="L1766" s="81" t="n"/>
      <c r="M1766" s="81" t="n"/>
      <c r="N1766" s="81" t="n"/>
      <c r="O1766" s="81" t="n"/>
      <c r="P1766" s="81" t="n"/>
      <c r="Q1766" s="81" t="n"/>
      <c r="R1766" s="81" t="n"/>
      <c r="S1766" s="81" t="n"/>
      <c r="T1766" s="81" t="n"/>
      <c r="U1766" s="81" t="n"/>
      <c r="V1766" s="81" t="n"/>
      <c r="W1766" s="81" t="n"/>
      <c r="X1766" s="81" t="n"/>
      <c r="Y1766" s="81" t="n"/>
      <c r="Z1766" s="81" t="n"/>
      <c r="AA1766" s="81" t="n"/>
      <c r="AB1766" s="81" t="n"/>
      <c r="AC1766" s="81" t="n"/>
      <c r="AD1766" s="81" t="n"/>
      <c r="AE1766" s="81" t="n"/>
      <c r="AF1766" s="81" t="n"/>
      <c r="AG1766" s="81" t="n"/>
      <c r="AH1766" s="81" t="n"/>
      <c r="AI1766" s="81" t="n"/>
      <c r="AJ1766" s="81" t="n"/>
      <c r="AK1766" s="81" t="n"/>
      <c r="AL1766" s="81" t="n"/>
      <c r="AM1766" s="81" t="n"/>
      <c r="AN1766" s="81" t="n"/>
      <c r="AO1766" s="81" t="n"/>
      <c r="AP1766" s="81" t="n"/>
      <c r="AQ1766" s="81" t="n"/>
      <c r="AR1766" s="81" t="n"/>
      <c r="AS1766" s="81" t="n"/>
      <c r="AT1766" s="81" t="n"/>
      <c r="AU1766" s="81" t="n"/>
      <c r="AV1766" s="81" t="n"/>
      <c r="AW1766" s="81" t="n"/>
      <c r="AX1766" s="81" t="n"/>
      <c r="AY1766" s="81" t="n"/>
      <c r="AZ1766" s="81" t="n"/>
      <c r="BA1766" s="81" t="n"/>
      <c r="BB1766" s="81" t="n"/>
      <c r="BC1766" s="81" t="n"/>
      <c r="BD1766" s="81" t="n"/>
      <c r="BE1766" s="81" t="n"/>
      <c r="BF1766" s="81" t="n"/>
      <c r="BG1766" s="81" t="n"/>
      <c r="BH1766" s="81" t="n"/>
      <c r="BI1766" s="81" t="n"/>
      <c r="BJ1766" s="81" t="n"/>
      <c r="BK1766" s="81" t="n"/>
      <c r="BL1766" s="81" t="n"/>
      <c r="BM1766" s="81" t="n"/>
      <c r="BN1766" s="81" t="n"/>
      <c r="BO1766" s="81" t="n"/>
      <c r="BP1766" s="81" t="n"/>
      <c r="BQ1766" s="81" t="n"/>
      <c r="BR1766" s="81" t="n"/>
      <c r="BS1766" s="81" t="n"/>
      <c r="BT1766" s="81" t="n"/>
      <c r="BU1766" s="81" t="n"/>
      <c r="BV1766" s="81" t="n"/>
      <c r="BW1766" s="81" t="n"/>
      <c r="BX1766" s="81" t="n"/>
      <c r="BY1766" s="81" t="n"/>
      <c r="BZ1766" s="81" t="n"/>
      <c r="CA1766" s="81" t="n"/>
      <c r="CB1766" s="81" t="n"/>
      <c r="CC1766" s="81" t="n"/>
      <c r="CD1766" s="81" t="n"/>
      <c r="CE1766" s="81" t="n"/>
      <c r="CF1766" s="81" t="n"/>
      <c r="CG1766" s="81" t="n"/>
      <c r="CH1766" s="81" t="n"/>
    </row>
    <row r="1767">
      <c r="A1767" s="81" t="n"/>
      <c r="B1767" s="81" t="n"/>
      <c r="C1767" s="81" t="n"/>
      <c r="D1767" s="81" t="n"/>
      <c r="E1767" s="81" t="n"/>
      <c r="F1767" s="81" t="n"/>
      <c r="G1767" s="81" t="n"/>
      <c r="H1767" s="81" t="n"/>
      <c r="I1767" s="81" t="n"/>
      <c r="J1767" s="81" t="n"/>
      <c r="K1767" s="81" t="n"/>
      <c r="L1767" s="81" t="n"/>
      <c r="M1767" s="81" t="n"/>
      <c r="N1767" s="81" t="n"/>
      <c r="O1767" s="81" t="n"/>
      <c r="P1767" s="81" t="n"/>
      <c r="Q1767" s="81" t="n"/>
      <c r="R1767" s="81" t="n"/>
      <c r="S1767" s="81" t="n"/>
      <c r="T1767" s="81" t="n"/>
      <c r="U1767" s="81" t="n"/>
      <c r="V1767" s="81" t="n"/>
      <c r="W1767" s="81" t="n"/>
      <c r="X1767" s="81" t="n"/>
      <c r="Y1767" s="81" t="n"/>
      <c r="Z1767" s="81" t="n"/>
      <c r="AA1767" s="81" t="n"/>
      <c r="AB1767" s="81" t="n"/>
      <c r="AC1767" s="81" t="n"/>
      <c r="AD1767" s="81" t="n"/>
      <c r="AE1767" s="81" t="n"/>
      <c r="AF1767" s="81" t="n"/>
      <c r="AG1767" s="81" t="n"/>
      <c r="AH1767" s="81" t="n"/>
      <c r="AI1767" s="81" t="n"/>
      <c r="AJ1767" s="81" t="n"/>
      <c r="AK1767" s="81" t="n"/>
      <c r="AL1767" s="81" t="n"/>
      <c r="AM1767" s="81" t="n"/>
      <c r="AN1767" s="81" t="n"/>
      <c r="AO1767" s="81" t="n"/>
      <c r="AP1767" s="81" t="n"/>
      <c r="AQ1767" s="81" t="n"/>
      <c r="AR1767" s="81" t="n"/>
      <c r="AS1767" s="81" t="n"/>
      <c r="AT1767" s="81" t="n"/>
      <c r="AU1767" s="81" t="n"/>
      <c r="AV1767" s="81" t="n"/>
      <c r="AW1767" s="81" t="n"/>
      <c r="AX1767" s="81" t="n"/>
      <c r="AY1767" s="81" t="n"/>
      <c r="AZ1767" s="81" t="n"/>
      <c r="BA1767" s="81" t="n"/>
      <c r="BB1767" s="81" t="n"/>
      <c r="BC1767" s="81" t="n"/>
      <c r="BD1767" s="81" t="n"/>
      <c r="BE1767" s="81" t="n"/>
      <c r="BF1767" s="81" t="n"/>
      <c r="BG1767" s="81" t="n"/>
      <c r="BH1767" s="81" t="n"/>
      <c r="BI1767" s="81" t="n"/>
      <c r="BJ1767" s="81" t="n"/>
      <c r="BK1767" s="81" t="n"/>
      <c r="BL1767" s="81" t="n"/>
      <c r="BM1767" s="81" t="n"/>
      <c r="BN1767" s="81" t="n"/>
      <c r="BO1767" s="81" t="n"/>
      <c r="BP1767" s="81" t="n"/>
      <c r="BQ1767" s="81" t="n"/>
      <c r="BR1767" s="81" t="n"/>
      <c r="BS1767" s="81" t="n"/>
      <c r="BT1767" s="81" t="n"/>
      <c r="BU1767" s="81" t="n"/>
      <c r="BV1767" s="81" t="n"/>
      <c r="BW1767" s="81" t="n"/>
      <c r="BX1767" s="81" t="n"/>
      <c r="BY1767" s="81" t="n"/>
      <c r="BZ1767" s="81" t="n"/>
      <c r="CA1767" s="81" t="n"/>
      <c r="CB1767" s="81" t="n"/>
      <c r="CC1767" s="81" t="n"/>
      <c r="CD1767" s="81" t="n"/>
      <c r="CE1767" s="81" t="n"/>
      <c r="CF1767" s="81" t="n"/>
      <c r="CG1767" s="81" t="n"/>
      <c r="CH1767" s="81" t="n"/>
    </row>
    <row r="1768">
      <c r="A1768" s="81" t="n"/>
      <c r="B1768" s="81" t="n"/>
      <c r="C1768" s="81" t="n"/>
      <c r="D1768" s="81" t="n"/>
      <c r="E1768" s="81" t="n"/>
      <c r="F1768" s="81" t="n"/>
      <c r="G1768" s="81" t="n"/>
      <c r="H1768" s="81" t="n"/>
      <c r="I1768" s="81" t="n"/>
      <c r="J1768" s="81" t="n"/>
      <c r="K1768" s="81" t="n"/>
      <c r="L1768" s="81" t="n"/>
      <c r="M1768" s="81" t="n"/>
      <c r="N1768" s="81" t="n"/>
      <c r="O1768" s="81" t="n"/>
      <c r="P1768" s="81" t="n"/>
      <c r="Q1768" s="81" t="n"/>
      <c r="R1768" s="81" t="n"/>
      <c r="S1768" s="81" t="n"/>
      <c r="T1768" s="81" t="n"/>
      <c r="U1768" s="81" t="n"/>
      <c r="V1768" s="81" t="n"/>
      <c r="W1768" s="81" t="n"/>
      <c r="X1768" s="81" t="n"/>
      <c r="Y1768" s="81" t="n"/>
      <c r="Z1768" s="81" t="n"/>
      <c r="AA1768" s="81" t="n"/>
      <c r="AB1768" s="81" t="n"/>
      <c r="AC1768" s="81" t="n"/>
      <c r="AD1768" s="81" t="n"/>
      <c r="AE1768" s="81" t="n"/>
      <c r="AF1768" s="81" t="n"/>
      <c r="AG1768" s="81" t="n"/>
      <c r="AH1768" s="81" t="n"/>
      <c r="AI1768" s="81" t="n"/>
      <c r="AJ1768" s="81" t="n"/>
      <c r="AK1768" s="81" t="n"/>
      <c r="AL1768" s="81" t="n"/>
      <c r="AM1768" s="81" t="n"/>
      <c r="AN1768" s="81" t="n"/>
      <c r="AO1768" s="81" t="n"/>
      <c r="AP1768" s="81" t="n"/>
      <c r="AQ1768" s="81" t="n"/>
      <c r="AR1768" s="81" t="n"/>
      <c r="AS1768" s="81" t="n"/>
      <c r="AT1768" s="81" t="n"/>
      <c r="AU1768" s="81" t="n"/>
      <c r="AV1768" s="81" t="n"/>
      <c r="AW1768" s="81" t="n"/>
      <c r="AX1768" s="81" t="n"/>
      <c r="AY1768" s="81" t="n"/>
      <c r="AZ1768" s="81" t="n"/>
      <c r="BA1768" s="81" t="n"/>
      <c r="BB1768" s="81" t="n"/>
      <c r="BC1768" s="81" t="n"/>
      <c r="BD1768" s="81" t="n"/>
      <c r="BE1768" s="81" t="n"/>
      <c r="BF1768" s="81" t="n"/>
      <c r="BG1768" s="81" t="n"/>
      <c r="BH1768" s="81" t="n"/>
      <c r="BI1768" s="81" t="n"/>
      <c r="BJ1768" s="81" t="n"/>
      <c r="BK1768" s="81" t="n"/>
      <c r="BL1768" s="81" t="n"/>
      <c r="BM1768" s="81" t="n"/>
      <c r="BN1768" s="81" t="n"/>
      <c r="BO1768" s="81" t="n"/>
      <c r="BP1768" s="81" t="n"/>
      <c r="BQ1768" s="81" t="n"/>
      <c r="BR1768" s="81" t="n"/>
      <c r="BS1768" s="81" t="n"/>
      <c r="BT1768" s="81" t="n"/>
      <c r="BU1768" s="81" t="n"/>
      <c r="BV1768" s="81" t="n"/>
      <c r="BW1768" s="81" t="n"/>
      <c r="BX1768" s="81" t="n"/>
      <c r="BY1768" s="81" t="n"/>
      <c r="BZ1768" s="81" t="n"/>
      <c r="CA1768" s="81" t="n"/>
      <c r="CB1768" s="81" t="n"/>
      <c r="CC1768" s="81" t="n"/>
      <c r="CD1768" s="81" t="n"/>
      <c r="CE1768" s="81" t="n"/>
      <c r="CF1768" s="81" t="n"/>
      <c r="CG1768" s="81" t="n"/>
      <c r="CH1768" s="81" t="n"/>
    </row>
    <row r="1769">
      <c r="A1769" s="81" t="n"/>
      <c r="B1769" s="81" t="n"/>
      <c r="C1769" s="81" t="n"/>
      <c r="D1769" s="81" t="n"/>
      <c r="E1769" s="81" t="n"/>
      <c r="F1769" s="81" t="n"/>
      <c r="G1769" s="81" t="n"/>
      <c r="H1769" s="81" t="n"/>
      <c r="I1769" s="81" t="n"/>
      <c r="J1769" s="81" t="n"/>
      <c r="K1769" s="81" t="n"/>
      <c r="L1769" s="81" t="n"/>
      <c r="M1769" s="81" t="n"/>
      <c r="N1769" s="81" t="n"/>
      <c r="O1769" s="81" t="n"/>
      <c r="P1769" s="81" t="n"/>
      <c r="Q1769" s="81" t="n"/>
      <c r="R1769" s="81" t="n"/>
      <c r="S1769" s="81" t="n"/>
      <c r="T1769" s="81" t="n"/>
      <c r="U1769" s="81" t="n"/>
      <c r="V1769" s="81" t="n"/>
      <c r="W1769" s="81" t="n"/>
      <c r="X1769" s="81" t="n"/>
      <c r="Y1769" s="81" t="n"/>
      <c r="Z1769" s="81" t="n"/>
      <c r="AA1769" s="81" t="n"/>
      <c r="AB1769" s="81" t="n"/>
      <c r="AC1769" s="81" t="n"/>
      <c r="AD1769" s="81" t="n"/>
      <c r="AE1769" s="81" t="n"/>
      <c r="AF1769" s="81" t="n"/>
      <c r="AG1769" s="81" t="n"/>
      <c r="AH1769" s="81" t="n"/>
      <c r="AI1769" s="81" t="n"/>
      <c r="AJ1769" s="81" t="n"/>
      <c r="AK1769" s="81" t="n"/>
      <c r="AL1769" s="81" t="n"/>
      <c r="AM1769" s="81" t="n"/>
      <c r="AN1769" s="81" t="n"/>
      <c r="AO1769" s="81" t="n"/>
      <c r="AP1769" s="81" t="n"/>
      <c r="AQ1769" s="81" t="n"/>
      <c r="AR1769" s="81" t="n"/>
      <c r="AS1769" s="81" t="n"/>
      <c r="AT1769" s="81" t="n"/>
      <c r="AU1769" s="81" t="n"/>
      <c r="AV1769" s="81" t="n"/>
      <c r="AW1769" s="81" t="n"/>
      <c r="AX1769" s="81" t="n"/>
      <c r="AY1769" s="81" t="n"/>
      <c r="AZ1769" s="81" t="n"/>
      <c r="BA1769" s="81" t="n"/>
      <c r="BB1769" s="81" t="n"/>
      <c r="BC1769" s="81" t="n"/>
      <c r="BD1769" s="81" t="n"/>
      <c r="BE1769" s="81" t="n"/>
      <c r="BF1769" s="81" t="n"/>
      <c r="BG1769" s="81" t="n"/>
      <c r="BH1769" s="81" t="n"/>
      <c r="BI1769" s="81" t="n"/>
      <c r="BJ1769" s="81" t="n"/>
      <c r="BK1769" s="81" t="n"/>
      <c r="BL1769" s="81" t="n"/>
      <c r="BM1769" s="81" t="n"/>
      <c r="BN1769" s="81" t="n"/>
      <c r="BO1769" s="81" t="n"/>
      <c r="BP1769" s="81" t="n"/>
      <c r="BQ1769" s="81" t="n"/>
      <c r="BR1769" s="81" t="n"/>
      <c r="BS1769" s="81" t="n"/>
      <c r="BT1769" s="81" t="n"/>
      <c r="BU1769" s="81" t="n"/>
      <c r="BV1769" s="81" t="n"/>
      <c r="BW1769" s="81" t="n"/>
      <c r="BX1769" s="81" t="n"/>
      <c r="BY1769" s="81" t="n"/>
      <c r="BZ1769" s="81" t="n"/>
      <c r="CA1769" s="81" t="n"/>
      <c r="CB1769" s="81" t="n"/>
      <c r="CC1769" s="81" t="n"/>
      <c r="CD1769" s="81" t="n"/>
      <c r="CE1769" s="81" t="n"/>
      <c r="CF1769" s="81" t="n"/>
      <c r="CG1769" s="81" t="n"/>
      <c r="CH1769" s="81" t="n"/>
    </row>
    <row r="1770">
      <c r="A1770" s="81" t="n"/>
      <c r="B1770" s="81" t="n"/>
      <c r="C1770" s="81" t="n"/>
      <c r="D1770" s="81" t="n"/>
      <c r="E1770" s="81" t="n"/>
      <c r="F1770" s="81" t="n"/>
      <c r="G1770" s="81" t="n"/>
      <c r="H1770" s="81" t="n"/>
      <c r="I1770" s="81" t="n"/>
      <c r="J1770" s="81" t="n"/>
      <c r="K1770" s="81" t="n"/>
      <c r="L1770" s="81" t="n"/>
      <c r="M1770" s="81" t="n"/>
      <c r="N1770" s="81" t="n"/>
      <c r="O1770" s="81" t="n"/>
      <c r="P1770" s="81" t="n"/>
      <c r="Q1770" s="81" t="n"/>
      <c r="R1770" s="81" t="n"/>
      <c r="S1770" s="81" t="n"/>
      <c r="T1770" s="81" t="n"/>
      <c r="U1770" s="81" t="n"/>
      <c r="V1770" s="81" t="n"/>
      <c r="W1770" s="81" t="n"/>
      <c r="X1770" s="81" t="n"/>
      <c r="Y1770" s="81" t="n"/>
      <c r="Z1770" s="81" t="n"/>
      <c r="AA1770" s="81" t="n"/>
      <c r="AB1770" s="81" t="n"/>
      <c r="AC1770" s="81" t="n"/>
      <c r="AD1770" s="81" t="n"/>
      <c r="AE1770" s="81" t="n"/>
      <c r="AF1770" s="81" t="n"/>
      <c r="AG1770" s="81" t="n"/>
      <c r="AH1770" s="81" t="n"/>
      <c r="AI1770" s="81" t="n"/>
      <c r="AJ1770" s="81" t="n"/>
      <c r="AK1770" s="81" t="n"/>
      <c r="AL1770" s="81" t="n"/>
      <c r="AM1770" s="81" t="n"/>
      <c r="AN1770" s="81" t="n"/>
      <c r="AO1770" s="81" t="n"/>
      <c r="AP1770" s="81" t="n"/>
      <c r="AQ1770" s="81" t="n"/>
      <c r="AR1770" s="81" t="n"/>
      <c r="AS1770" s="81" t="n"/>
      <c r="AT1770" s="81" t="n"/>
      <c r="AU1770" s="81" t="n"/>
      <c r="AV1770" s="81" t="n"/>
      <c r="AW1770" s="81" t="n"/>
      <c r="AX1770" s="81" t="n"/>
      <c r="AY1770" s="81" t="n"/>
      <c r="AZ1770" s="81" t="n"/>
      <c r="BA1770" s="81" t="n"/>
      <c r="BB1770" s="81" t="n"/>
      <c r="BC1770" s="81" t="n"/>
      <c r="BD1770" s="81" t="n"/>
      <c r="BE1770" s="81" t="n"/>
      <c r="BF1770" s="81" t="n"/>
      <c r="BG1770" s="81" t="n"/>
      <c r="BH1770" s="81" t="n"/>
      <c r="BI1770" s="81" t="n"/>
      <c r="BJ1770" s="81" t="n"/>
      <c r="BK1770" s="81" t="n"/>
      <c r="BL1770" s="81" t="n"/>
      <c r="BM1770" s="81" t="n"/>
      <c r="BN1770" s="81" t="n"/>
      <c r="BO1770" s="81" t="n"/>
      <c r="BP1770" s="81" t="n"/>
      <c r="BQ1770" s="81" t="n"/>
      <c r="BR1770" s="81" t="n"/>
      <c r="BS1770" s="81" t="n"/>
      <c r="BT1770" s="81" t="n"/>
      <c r="BU1770" s="81" t="n"/>
      <c r="BV1770" s="81" t="n"/>
      <c r="BW1770" s="81" t="n"/>
      <c r="BX1770" s="81" t="n"/>
      <c r="BY1770" s="81" t="n"/>
      <c r="BZ1770" s="81" t="n"/>
      <c r="CA1770" s="81" t="n"/>
      <c r="CB1770" s="81" t="n"/>
      <c r="CC1770" s="81" t="n"/>
      <c r="CD1770" s="81" t="n"/>
      <c r="CE1770" s="81" t="n"/>
      <c r="CF1770" s="81" t="n"/>
      <c r="CG1770" s="81" t="n"/>
      <c r="CH1770" s="81" t="n"/>
    </row>
    <row r="1771">
      <c r="A1771" s="81" t="n"/>
      <c r="B1771" s="81" t="n"/>
      <c r="C1771" s="81" t="n"/>
      <c r="D1771" s="81" t="n"/>
      <c r="E1771" s="81" t="n"/>
      <c r="F1771" s="81" t="n"/>
      <c r="G1771" s="81" t="n"/>
      <c r="H1771" s="81" t="n"/>
      <c r="I1771" s="81" t="n"/>
      <c r="J1771" s="81" t="n"/>
      <c r="K1771" s="81" t="n"/>
      <c r="L1771" s="81" t="n"/>
      <c r="M1771" s="81" t="n"/>
      <c r="N1771" s="81" t="n"/>
      <c r="O1771" s="81" t="n"/>
      <c r="P1771" s="81" t="n"/>
      <c r="Q1771" s="81" t="n"/>
      <c r="R1771" s="81" t="n"/>
      <c r="S1771" s="81" t="n"/>
      <c r="T1771" s="81" t="n"/>
      <c r="U1771" s="81" t="n"/>
      <c r="V1771" s="81" t="n"/>
      <c r="W1771" s="81" t="n"/>
      <c r="X1771" s="81" t="n"/>
      <c r="Y1771" s="81" t="n"/>
      <c r="Z1771" s="81" t="n"/>
      <c r="AA1771" s="81" t="n"/>
      <c r="AB1771" s="81" t="n"/>
      <c r="AC1771" s="81" t="n"/>
      <c r="AD1771" s="81" t="n"/>
      <c r="AE1771" s="81" t="n"/>
      <c r="AF1771" s="81" t="n"/>
      <c r="AG1771" s="81" t="n"/>
      <c r="AH1771" s="81" t="n"/>
      <c r="AI1771" s="81" t="n"/>
      <c r="AJ1771" s="81" t="n"/>
      <c r="AK1771" s="81" t="n"/>
      <c r="AL1771" s="81" t="n"/>
      <c r="AM1771" s="81" t="n"/>
      <c r="AN1771" s="81" t="n"/>
      <c r="AO1771" s="81" t="n"/>
      <c r="AP1771" s="81" t="n"/>
      <c r="AQ1771" s="81" t="n"/>
      <c r="AR1771" s="81" t="n"/>
      <c r="AS1771" s="81" t="n"/>
      <c r="AT1771" s="81" t="n"/>
      <c r="AU1771" s="81" t="n"/>
      <c r="AV1771" s="81" t="n"/>
      <c r="AW1771" s="81" t="n"/>
      <c r="AX1771" s="81" t="n"/>
      <c r="AY1771" s="81" t="n"/>
      <c r="AZ1771" s="81" t="n"/>
      <c r="BA1771" s="81" t="n"/>
      <c r="BB1771" s="81" t="n"/>
      <c r="BC1771" s="81" t="n"/>
      <c r="BD1771" s="81" t="n"/>
      <c r="BE1771" s="81" t="n"/>
      <c r="BF1771" s="81" t="n"/>
      <c r="BG1771" s="81" t="n"/>
      <c r="BH1771" s="81" t="n"/>
      <c r="BI1771" s="81" t="n"/>
      <c r="BJ1771" s="81" t="n"/>
      <c r="BK1771" s="81" t="n"/>
      <c r="BL1771" s="81" t="n"/>
      <c r="BM1771" s="81" t="n"/>
      <c r="BN1771" s="81" t="n"/>
      <c r="BO1771" s="81" t="n"/>
      <c r="BP1771" s="81" t="n"/>
      <c r="BQ1771" s="81" t="n"/>
      <c r="BR1771" s="81" t="n"/>
      <c r="BS1771" s="81" t="n"/>
      <c r="BT1771" s="81" t="n"/>
      <c r="BU1771" s="81" t="n"/>
      <c r="BV1771" s="81" t="n"/>
      <c r="BW1771" s="81" t="n"/>
      <c r="BX1771" s="81" t="n"/>
      <c r="BY1771" s="81" t="n"/>
      <c r="BZ1771" s="81" t="n"/>
      <c r="CA1771" s="81" t="n"/>
      <c r="CB1771" s="81" t="n"/>
      <c r="CC1771" s="81" t="n"/>
      <c r="CD1771" s="81" t="n"/>
      <c r="CE1771" s="81" t="n"/>
      <c r="CF1771" s="81" t="n"/>
      <c r="CG1771" s="81" t="n"/>
      <c r="CH1771" s="81" t="n"/>
    </row>
    <row r="1772">
      <c r="A1772" s="81" t="n"/>
      <c r="B1772" s="81" t="n"/>
      <c r="C1772" s="81" t="n"/>
      <c r="D1772" s="81" t="n"/>
      <c r="E1772" s="81" t="n"/>
      <c r="F1772" s="81" t="n"/>
      <c r="G1772" s="81" t="n"/>
      <c r="H1772" s="81" t="n"/>
      <c r="I1772" s="81" t="n"/>
      <c r="J1772" s="81" t="n"/>
      <c r="K1772" s="81" t="n"/>
      <c r="L1772" s="81" t="n"/>
      <c r="M1772" s="81" t="n"/>
      <c r="N1772" s="81" t="n"/>
      <c r="O1772" s="81" t="n"/>
      <c r="P1772" s="81" t="n"/>
      <c r="Q1772" s="81" t="n"/>
      <c r="R1772" s="81" t="n"/>
      <c r="S1772" s="81" t="n"/>
      <c r="T1772" s="81" t="n"/>
      <c r="U1772" s="81" t="n"/>
      <c r="V1772" s="81" t="n"/>
      <c r="W1772" s="81" t="n"/>
      <c r="X1772" s="81" t="n"/>
      <c r="Y1772" s="81" t="n"/>
      <c r="Z1772" s="81" t="n"/>
      <c r="AA1772" s="81" t="n"/>
      <c r="AB1772" s="81" t="n"/>
      <c r="AC1772" s="81" t="n"/>
      <c r="AD1772" s="81" t="n"/>
      <c r="AE1772" s="81" t="n"/>
      <c r="AF1772" s="81" t="n"/>
      <c r="AG1772" s="81" t="n"/>
      <c r="AH1772" s="81" t="n"/>
      <c r="AI1772" s="81" t="n"/>
      <c r="AJ1772" s="81" t="n"/>
      <c r="AK1772" s="81" t="n"/>
      <c r="AL1772" s="81" t="n"/>
      <c r="AM1772" s="81" t="n"/>
      <c r="AN1772" s="81" t="n"/>
      <c r="AO1772" s="81" t="n"/>
      <c r="AP1772" s="81" t="n"/>
      <c r="AQ1772" s="81" t="n"/>
      <c r="AR1772" s="81" t="n"/>
      <c r="AS1772" s="81" t="n"/>
      <c r="AT1772" s="81" t="n"/>
      <c r="AU1772" s="81" t="n"/>
      <c r="AV1772" s="81" t="n"/>
      <c r="AW1772" s="81" t="n"/>
      <c r="AX1772" s="81" t="n"/>
      <c r="AY1772" s="81" t="n"/>
      <c r="AZ1772" s="81" t="n"/>
      <c r="BA1772" s="81" t="n"/>
      <c r="BB1772" s="81" t="n"/>
      <c r="BC1772" s="81" t="n"/>
      <c r="BD1772" s="81" t="n"/>
      <c r="BE1772" s="81" t="n"/>
      <c r="BF1772" s="81" t="n"/>
      <c r="BG1772" s="81" t="n"/>
      <c r="BH1772" s="81" t="n"/>
      <c r="BI1772" s="81" t="n"/>
      <c r="BJ1772" s="81" t="n"/>
      <c r="BK1772" s="81" t="n"/>
      <c r="BL1772" s="81" t="n"/>
      <c r="BM1772" s="81" t="n"/>
      <c r="BN1772" s="81" t="n"/>
      <c r="BO1772" s="81" t="n"/>
      <c r="BP1772" s="81" t="n"/>
      <c r="BQ1772" s="81" t="n"/>
      <c r="BR1772" s="81" t="n"/>
      <c r="BS1772" s="81" t="n"/>
      <c r="BT1772" s="81" t="n"/>
      <c r="BU1772" s="81" t="n"/>
      <c r="BV1772" s="81" t="n"/>
      <c r="BW1772" s="81" t="n"/>
      <c r="BX1772" s="81" t="n"/>
      <c r="BY1772" s="81" t="n"/>
      <c r="BZ1772" s="81" t="n"/>
      <c r="CA1772" s="81" t="n"/>
      <c r="CB1772" s="81" t="n"/>
      <c r="CC1772" s="81" t="n"/>
      <c r="CD1772" s="81" t="n"/>
      <c r="CE1772" s="81" t="n"/>
      <c r="CF1772" s="81" t="n"/>
      <c r="CG1772" s="81" t="n"/>
      <c r="CH1772" s="81" t="n"/>
    </row>
    <row r="1773">
      <c r="A1773" s="81" t="n"/>
      <c r="B1773" s="81" t="n"/>
      <c r="C1773" s="81" t="n"/>
      <c r="D1773" s="81" t="n"/>
      <c r="E1773" s="81" t="n"/>
      <c r="F1773" s="81" t="n"/>
      <c r="G1773" s="81" t="n"/>
      <c r="H1773" s="81" t="n"/>
      <c r="I1773" s="81" t="n"/>
      <c r="J1773" s="81" t="n"/>
      <c r="K1773" s="81" t="n"/>
      <c r="L1773" s="81" t="n"/>
      <c r="M1773" s="81" t="n"/>
      <c r="N1773" s="81" t="n"/>
      <c r="O1773" s="81" t="n"/>
      <c r="P1773" s="81" t="n"/>
      <c r="Q1773" s="81" t="n"/>
      <c r="R1773" s="81" t="n"/>
      <c r="S1773" s="81" t="n"/>
      <c r="T1773" s="81" t="n"/>
      <c r="U1773" s="81" t="n"/>
      <c r="V1773" s="81" t="n"/>
      <c r="W1773" s="81" t="n"/>
      <c r="X1773" s="81" t="n"/>
      <c r="Y1773" s="81" t="n"/>
      <c r="Z1773" s="81" t="n"/>
      <c r="AA1773" s="81" t="n"/>
      <c r="AB1773" s="81" t="n"/>
      <c r="AC1773" s="81" t="n"/>
      <c r="AD1773" s="81" t="n"/>
      <c r="AE1773" s="81" t="n"/>
      <c r="AF1773" s="81" t="n"/>
      <c r="AG1773" s="81" t="n"/>
      <c r="AH1773" s="81" t="n"/>
      <c r="AI1773" s="81" t="n"/>
      <c r="AJ1773" s="81" t="n"/>
      <c r="AK1773" s="81" t="n"/>
      <c r="AL1773" s="81" t="n"/>
      <c r="AM1773" s="81" t="n"/>
      <c r="AN1773" s="81" t="n"/>
      <c r="AO1773" s="81" t="n"/>
      <c r="AP1773" s="81" t="n"/>
      <c r="AQ1773" s="81" t="n"/>
      <c r="AR1773" s="81" t="n"/>
      <c r="AS1773" s="81" t="n"/>
      <c r="AT1773" s="81" t="n"/>
      <c r="AU1773" s="81" t="n"/>
      <c r="AV1773" s="81" t="n"/>
      <c r="AW1773" s="81" t="n"/>
      <c r="AX1773" s="81" t="n"/>
      <c r="AY1773" s="81" t="n"/>
      <c r="AZ1773" s="81" t="n"/>
      <c r="BA1773" s="81" t="n"/>
      <c r="BB1773" s="81" t="n"/>
      <c r="BC1773" s="81" t="n"/>
      <c r="BD1773" s="81" t="n"/>
      <c r="BE1773" s="81" t="n"/>
      <c r="BF1773" s="81" t="n"/>
      <c r="BG1773" s="81" t="n"/>
      <c r="BH1773" s="81" t="n"/>
      <c r="BI1773" s="81" t="n"/>
      <c r="BJ1773" s="81" t="n"/>
      <c r="BK1773" s="81" t="n"/>
      <c r="BL1773" s="81" t="n"/>
      <c r="BM1773" s="81" t="n"/>
      <c r="BN1773" s="81" t="n"/>
      <c r="BO1773" s="81" t="n"/>
      <c r="BP1773" s="81" t="n"/>
      <c r="BQ1773" s="81" t="n"/>
      <c r="BR1773" s="81" t="n"/>
      <c r="BS1773" s="81" t="n"/>
      <c r="BT1773" s="81" t="n"/>
      <c r="BU1773" s="81" t="n"/>
      <c r="BV1773" s="81" t="n"/>
      <c r="BW1773" s="81" t="n"/>
      <c r="BX1773" s="81" t="n"/>
      <c r="BY1773" s="81" t="n"/>
      <c r="BZ1773" s="81" t="n"/>
      <c r="CA1773" s="81" t="n"/>
      <c r="CB1773" s="81" t="n"/>
      <c r="CC1773" s="81" t="n"/>
      <c r="CD1773" s="81" t="n"/>
      <c r="CE1773" s="81" t="n"/>
      <c r="CF1773" s="81" t="n"/>
      <c r="CG1773" s="81" t="n"/>
      <c r="CH1773" s="81" t="n"/>
    </row>
    <row r="1774">
      <c r="A1774" s="81" t="n"/>
      <c r="B1774" s="81" t="n"/>
      <c r="C1774" s="81" t="n"/>
      <c r="D1774" s="81" t="n"/>
      <c r="E1774" s="81" t="n"/>
      <c r="F1774" s="81" t="n"/>
      <c r="G1774" s="81" t="n"/>
      <c r="H1774" s="81" t="n"/>
      <c r="I1774" s="81" t="n"/>
      <c r="J1774" s="81" t="n"/>
      <c r="K1774" s="81" t="n"/>
      <c r="L1774" s="81" t="n"/>
      <c r="M1774" s="81" t="n"/>
      <c r="N1774" s="81" t="n"/>
      <c r="O1774" s="81" t="n"/>
      <c r="P1774" s="81" t="n"/>
      <c r="Q1774" s="81" t="n"/>
      <c r="R1774" s="81" t="n"/>
      <c r="S1774" s="81" t="n"/>
      <c r="T1774" s="81" t="n"/>
      <c r="U1774" s="81" t="n"/>
      <c r="V1774" s="81" t="n"/>
      <c r="W1774" s="81" t="n"/>
      <c r="X1774" s="81" t="n"/>
      <c r="Y1774" s="81" t="n"/>
      <c r="Z1774" s="81" t="n"/>
      <c r="AA1774" s="81" t="n"/>
      <c r="AB1774" s="81" t="n"/>
      <c r="AC1774" s="81" t="n"/>
      <c r="AD1774" s="81" t="n"/>
      <c r="AE1774" s="81" t="n"/>
      <c r="AF1774" s="81" t="n"/>
      <c r="AG1774" s="81" t="n"/>
      <c r="AH1774" s="81" t="n"/>
      <c r="AI1774" s="81" t="n"/>
      <c r="AJ1774" s="81" t="n"/>
      <c r="AK1774" s="81" t="n"/>
      <c r="AL1774" s="81" t="n"/>
      <c r="AM1774" s="81" t="n"/>
      <c r="AN1774" s="81" t="n"/>
      <c r="AO1774" s="81" t="n"/>
      <c r="AP1774" s="81" t="n"/>
      <c r="AQ1774" s="81" t="n"/>
      <c r="AR1774" s="81" t="n"/>
      <c r="AS1774" s="81" t="n"/>
      <c r="AT1774" s="81" t="n"/>
      <c r="AU1774" s="81" t="n"/>
      <c r="AV1774" s="81" t="n"/>
      <c r="AW1774" s="81" t="n"/>
      <c r="AX1774" s="81" t="n"/>
      <c r="AY1774" s="81" t="n"/>
      <c r="AZ1774" s="81" t="n"/>
      <c r="BA1774" s="81" t="n"/>
      <c r="BB1774" s="81" t="n"/>
      <c r="BC1774" s="81" t="n"/>
      <c r="BD1774" s="81" t="n"/>
      <c r="BE1774" s="81" t="n"/>
      <c r="BF1774" s="81" t="n"/>
      <c r="BG1774" s="81" t="n"/>
      <c r="BH1774" s="81" t="n"/>
      <c r="BI1774" s="81" t="n"/>
      <c r="BJ1774" s="81" t="n"/>
      <c r="BK1774" s="81" t="n"/>
      <c r="BL1774" s="81" t="n"/>
      <c r="BM1774" s="81" t="n"/>
      <c r="BN1774" s="81" t="n"/>
      <c r="BO1774" s="81" t="n"/>
      <c r="BP1774" s="81" t="n"/>
      <c r="BQ1774" s="81" t="n"/>
      <c r="BR1774" s="81" t="n"/>
      <c r="BS1774" s="81" t="n"/>
      <c r="BT1774" s="81" t="n"/>
      <c r="BU1774" s="81" t="n"/>
      <c r="BV1774" s="81" t="n"/>
      <c r="BW1774" s="81" t="n"/>
      <c r="BX1774" s="81" t="n"/>
      <c r="BY1774" s="81" t="n"/>
      <c r="BZ1774" s="81" t="n"/>
      <c r="CA1774" s="81" t="n"/>
      <c r="CB1774" s="81" t="n"/>
      <c r="CC1774" s="81" t="n"/>
      <c r="CD1774" s="81" t="n"/>
      <c r="CE1774" s="81" t="n"/>
      <c r="CF1774" s="81" t="n"/>
      <c r="CG1774" s="81" t="n"/>
      <c r="CH1774" s="81" t="n"/>
    </row>
    <row r="1775">
      <c r="A1775" s="81" t="n"/>
      <c r="B1775" s="81" t="n"/>
      <c r="C1775" s="81" t="n"/>
      <c r="D1775" s="81" t="n"/>
      <c r="E1775" s="81" t="n"/>
      <c r="F1775" s="81" t="n"/>
      <c r="G1775" s="81" t="n"/>
      <c r="H1775" s="81" t="n"/>
      <c r="I1775" s="81" t="n"/>
      <c r="J1775" s="81" t="n"/>
      <c r="K1775" s="81" t="n"/>
      <c r="L1775" s="81" t="n"/>
      <c r="M1775" s="81" t="n"/>
      <c r="N1775" s="81" t="n"/>
      <c r="O1775" s="81" t="n"/>
      <c r="P1775" s="81" t="n"/>
      <c r="Q1775" s="81" t="n"/>
      <c r="R1775" s="81" t="n"/>
      <c r="S1775" s="81" t="n"/>
      <c r="T1775" s="81" t="n"/>
      <c r="U1775" s="81" t="n"/>
      <c r="V1775" s="81" t="n"/>
      <c r="W1775" s="81" t="n"/>
      <c r="X1775" s="81" t="n"/>
      <c r="Y1775" s="81" t="n"/>
      <c r="Z1775" s="81" t="n"/>
      <c r="AA1775" s="81" t="n"/>
      <c r="AB1775" s="81" t="n"/>
      <c r="AC1775" s="81" t="n"/>
      <c r="AD1775" s="81" t="n"/>
      <c r="AE1775" s="81" t="n"/>
      <c r="AF1775" s="81" t="n"/>
      <c r="AG1775" s="81" t="n"/>
      <c r="AH1775" s="81" t="n"/>
      <c r="AI1775" s="81" t="n"/>
      <c r="AJ1775" s="81" t="n"/>
      <c r="AK1775" s="81" t="n"/>
      <c r="AL1775" s="81" t="n"/>
      <c r="AM1775" s="81" t="n"/>
      <c r="AN1775" s="81" t="n"/>
      <c r="AO1775" s="81" t="n"/>
      <c r="AP1775" s="81" t="n"/>
      <c r="AQ1775" s="81" t="n"/>
      <c r="AR1775" s="81" t="n"/>
      <c r="AS1775" s="81" t="n"/>
      <c r="AT1775" s="81" t="n"/>
      <c r="AU1775" s="81" t="n"/>
      <c r="AV1775" s="81" t="n"/>
      <c r="AW1775" s="81" t="n"/>
      <c r="AX1775" s="81" t="n"/>
      <c r="AY1775" s="81" t="n"/>
      <c r="AZ1775" s="81" t="n"/>
      <c r="BA1775" s="81" t="n"/>
      <c r="BB1775" s="81" t="n"/>
      <c r="BC1775" s="81" t="n"/>
      <c r="BD1775" s="81" t="n"/>
      <c r="BE1775" s="81" t="n"/>
      <c r="BF1775" s="81" t="n"/>
      <c r="BG1775" s="81" t="n"/>
      <c r="BH1775" s="81" t="n"/>
      <c r="BI1775" s="81" t="n"/>
      <c r="BJ1775" s="81" t="n"/>
      <c r="BK1775" s="81" t="n"/>
      <c r="BL1775" s="81" t="n"/>
      <c r="BM1775" s="81" t="n"/>
      <c r="BN1775" s="81" t="n"/>
      <c r="BO1775" s="81" t="n"/>
      <c r="BP1775" s="81" t="n"/>
      <c r="BQ1775" s="81" t="n"/>
      <c r="BR1775" s="81" t="n"/>
      <c r="BS1775" s="81" t="n"/>
      <c r="BT1775" s="81" t="n"/>
      <c r="BU1775" s="81" t="n"/>
      <c r="BV1775" s="81" t="n"/>
      <c r="BW1775" s="81" t="n"/>
      <c r="BX1775" s="81" t="n"/>
      <c r="BY1775" s="81" t="n"/>
      <c r="BZ1775" s="81" t="n"/>
      <c r="CA1775" s="81" t="n"/>
      <c r="CB1775" s="81" t="n"/>
      <c r="CC1775" s="81" t="n"/>
      <c r="CD1775" s="81" t="n"/>
      <c r="CE1775" s="81" t="n"/>
      <c r="CF1775" s="81" t="n"/>
      <c r="CG1775" s="81" t="n"/>
      <c r="CH1775" s="81" t="n"/>
    </row>
    <row r="1776">
      <c r="A1776" s="81" t="n"/>
      <c r="B1776" s="81" t="n"/>
      <c r="C1776" s="81" t="n"/>
      <c r="D1776" s="81" t="n"/>
      <c r="E1776" s="81" t="n"/>
      <c r="F1776" s="81" t="n"/>
      <c r="G1776" s="81" t="n"/>
      <c r="H1776" s="81" t="n"/>
      <c r="I1776" s="81" t="n"/>
      <c r="J1776" s="81" t="n"/>
      <c r="K1776" s="81" t="n"/>
      <c r="L1776" s="81" t="n"/>
      <c r="M1776" s="81" t="n"/>
      <c r="N1776" s="81" t="n"/>
      <c r="O1776" s="81" t="n"/>
      <c r="P1776" s="81" t="n"/>
      <c r="Q1776" s="81" t="n"/>
      <c r="R1776" s="81" t="n"/>
      <c r="S1776" s="81" t="n"/>
      <c r="T1776" s="81" t="n"/>
      <c r="U1776" s="81" t="n"/>
      <c r="V1776" s="81" t="n"/>
      <c r="W1776" s="81" t="n"/>
      <c r="X1776" s="81" t="n"/>
      <c r="Y1776" s="81" t="n"/>
      <c r="Z1776" s="81" t="n"/>
      <c r="AA1776" s="81" t="n"/>
      <c r="AB1776" s="81" t="n"/>
      <c r="AC1776" s="81" t="n"/>
      <c r="AD1776" s="81" t="n"/>
      <c r="AE1776" s="81" t="n"/>
      <c r="AF1776" s="81" t="n"/>
      <c r="AG1776" s="81" t="n"/>
      <c r="AH1776" s="81" t="n"/>
      <c r="AI1776" s="81" t="n"/>
      <c r="AJ1776" s="81" t="n"/>
      <c r="AK1776" s="81" t="n"/>
      <c r="AL1776" s="81" t="n"/>
      <c r="AM1776" s="81" t="n"/>
      <c r="AN1776" s="81" t="n"/>
      <c r="AO1776" s="81" t="n"/>
      <c r="AP1776" s="81" t="n"/>
      <c r="AQ1776" s="81" t="n"/>
      <c r="AR1776" s="81" t="n"/>
      <c r="AS1776" s="81" t="n"/>
      <c r="AT1776" s="81" t="n"/>
      <c r="AU1776" s="81" t="n"/>
      <c r="AV1776" s="81" t="n"/>
      <c r="AW1776" s="81" t="n"/>
      <c r="AX1776" s="81" t="n"/>
      <c r="AY1776" s="81" t="n"/>
      <c r="AZ1776" s="81" t="n"/>
      <c r="BA1776" s="81" t="n"/>
      <c r="BB1776" s="81" t="n"/>
      <c r="BC1776" s="81" t="n"/>
      <c r="BD1776" s="81" t="n"/>
      <c r="BE1776" s="81" t="n"/>
      <c r="BF1776" s="81" t="n"/>
      <c r="BG1776" s="81" t="n"/>
      <c r="BH1776" s="81" t="n"/>
      <c r="BI1776" s="81" t="n"/>
      <c r="BJ1776" s="81" t="n"/>
      <c r="BK1776" s="81" t="n"/>
      <c r="BL1776" s="81" t="n"/>
      <c r="BM1776" s="81" t="n"/>
      <c r="BN1776" s="81" t="n"/>
      <c r="BO1776" s="81" t="n"/>
      <c r="BP1776" s="81" t="n"/>
      <c r="BQ1776" s="81" t="n"/>
      <c r="BR1776" s="81" t="n"/>
      <c r="BS1776" s="81" t="n"/>
      <c r="BT1776" s="81" t="n"/>
      <c r="BU1776" s="81" t="n"/>
      <c r="BV1776" s="81" t="n"/>
      <c r="BW1776" s="81" t="n"/>
      <c r="BX1776" s="81" t="n"/>
      <c r="BY1776" s="81" t="n"/>
      <c r="BZ1776" s="81" t="n"/>
      <c r="CA1776" s="81" t="n"/>
      <c r="CB1776" s="81" t="n"/>
      <c r="CC1776" s="81" t="n"/>
      <c r="CD1776" s="81" t="n"/>
      <c r="CE1776" s="81" t="n"/>
      <c r="CF1776" s="81" t="n"/>
      <c r="CG1776" s="81" t="n"/>
      <c r="CH1776" s="81" t="n"/>
    </row>
    <row r="1777">
      <c r="A1777" s="81" t="n"/>
      <c r="B1777" s="81" t="n"/>
      <c r="C1777" s="81" t="n"/>
      <c r="D1777" s="81" t="n"/>
      <c r="E1777" s="81" t="n"/>
      <c r="F1777" s="81" t="n"/>
      <c r="G1777" s="81" t="n"/>
      <c r="H1777" s="81" t="n"/>
      <c r="I1777" s="81" t="n"/>
      <c r="J1777" s="81" t="n"/>
      <c r="K1777" s="81" t="n"/>
      <c r="L1777" s="81" t="n"/>
      <c r="M1777" s="81" t="n"/>
      <c r="N1777" s="81" t="n"/>
      <c r="O1777" s="81" t="n"/>
      <c r="P1777" s="81" t="n"/>
      <c r="Q1777" s="81" t="n"/>
      <c r="R1777" s="81" t="n"/>
      <c r="S1777" s="81" t="n"/>
      <c r="T1777" s="81" t="n"/>
      <c r="U1777" s="81" t="n"/>
      <c r="V1777" s="81" t="n"/>
      <c r="W1777" s="81" t="n"/>
      <c r="X1777" s="81" t="n"/>
      <c r="Y1777" s="81" t="n"/>
      <c r="Z1777" s="81" t="n"/>
      <c r="AA1777" s="81" t="n"/>
      <c r="AB1777" s="81" t="n"/>
      <c r="AC1777" s="81" t="n"/>
      <c r="AD1777" s="81" t="n"/>
      <c r="AE1777" s="81" t="n"/>
      <c r="AF1777" s="81" t="n"/>
      <c r="AG1777" s="81" t="n"/>
      <c r="AH1777" s="81" t="n"/>
      <c r="AI1777" s="81" t="n"/>
      <c r="AJ1777" s="81" t="n"/>
      <c r="AK1777" s="81" t="n"/>
      <c r="AL1777" s="81" t="n"/>
      <c r="AM1777" s="81" t="n"/>
      <c r="AN1777" s="81" t="n"/>
      <c r="AO1777" s="81" t="n"/>
      <c r="AP1777" s="81" t="n"/>
      <c r="AQ1777" s="81" t="n"/>
      <c r="AR1777" s="81" t="n"/>
      <c r="AS1777" s="81" t="n"/>
      <c r="AT1777" s="81" t="n"/>
      <c r="AU1777" s="81" t="n"/>
      <c r="AV1777" s="81" t="n"/>
      <c r="AW1777" s="81" t="n"/>
      <c r="AX1777" s="81" t="n"/>
      <c r="AY1777" s="81" t="n"/>
      <c r="AZ1777" s="81" t="n"/>
      <c r="BA1777" s="81" t="n"/>
      <c r="BB1777" s="81" t="n"/>
      <c r="BC1777" s="81" t="n"/>
      <c r="BD1777" s="81" t="n"/>
      <c r="BE1777" s="81" t="n"/>
      <c r="BF1777" s="81" t="n"/>
      <c r="BG1777" s="81" t="n"/>
      <c r="BH1777" s="81" t="n"/>
      <c r="BI1777" s="81" t="n"/>
      <c r="BJ1777" s="81" t="n"/>
      <c r="BK1777" s="81" t="n"/>
      <c r="BL1777" s="81" t="n"/>
      <c r="BM1777" s="81" t="n"/>
      <c r="BN1777" s="81" t="n"/>
      <c r="BO1777" s="81" t="n"/>
      <c r="BP1777" s="81" t="n"/>
      <c r="BQ1777" s="81" t="n"/>
      <c r="BR1777" s="81" t="n"/>
      <c r="BS1777" s="81" t="n"/>
      <c r="BT1777" s="81" t="n"/>
      <c r="BU1777" s="81" t="n"/>
      <c r="BV1777" s="81" t="n"/>
      <c r="BW1777" s="81" t="n"/>
      <c r="BX1777" s="81" t="n"/>
      <c r="BY1777" s="81" t="n"/>
      <c r="BZ1777" s="81" t="n"/>
      <c r="CA1777" s="81" t="n"/>
      <c r="CB1777" s="81" t="n"/>
      <c r="CC1777" s="81" t="n"/>
      <c r="CD1777" s="81" t="n"/>
      <c r="CE1777" s="81" t="n"/>
      <c r="CF1777" s="81" t="n"/>
      <c r="CG1777" s="81" t="n"/>
      <c r="CH1777" s="81" t="n"/>
    </row>
    <row r="1778">
      <c r="A1778" s="81" t="n"/>
      <c r="B1778" s="81" t="n"/>
      <c r="C1778" s="81" t="n"/>
      <c r="D1778" s="81" t="n"/>
      <c r="E1778" s="81" t="n"/>
      <c r="F1778" s="81" t="n"/>
      <c r="G1778" s="81" t="n"/>
      <c r="H1778" s="81" t="n"/>
      <c r="I1778" s="81" t="n"/>
      <c r="J1778" s="81" t="n"/>
      <c r="K1778" s="81" t="n"/>
      <c r="L1778" s="81" t="n"/>
      <c r="M1778" s="81" t="n"/>
      <c r="N1778" s="81" t="n"/>
      <c r="O1778" s="81" t="n"/>
      <c r="P1778" s="81" t="n"/>
      <c r="Q1778" s="81" t="n"/>
      <c r="R1778" s="81" t="n"/>
      <c r="S1778" s="81" t="n"/>
      <c r="T1778" s="81" t="n"/>
      <c r="U1778" s="81" t="n"/>
      <c r="V1778" s="81" t="n"/>
      <c r="W1778" s="81" t="n"/>
      <c r="X1778" s="81" t="n"/>
      <c r="Y1778" s="81" t="n"/>
      <c r="Z1778" s="81" t="n"/>
      <c r="AA1778" s="81" t="n"/>
      <c r="AB1778" s="81" t="n"/>
      <c r="AC1778" s="81" t="n"/>
      <c r="AD1778" s="81" t="n"/>
      <c r="AE1778" s="81" t="n"/>
      <c r="AF1778" s="81" t="n"/>
      <c r="AG1778" s="81" t="n"/>
      <c r="AH1778" s="81" t="n"/>
      <c r="AI1778" s="81" t="n"/>
      <c r="AJ1778" s="81" t="n"/>
      <c r="AK1778" s="81" t="n"/>
      <c r="AL1778" s="81" t="n"/>
      <c r="AM1778" s="81" t="n"/>
      <c r="AN1778" s="81" t="n"/>
      <c r="AO1778" s="81" t="n"/>
      <c r="AP1778" s="81" t="n"/>
      <c r="AQ1778" s="81" t="n"/>
      <c r="AR1778" s="81" t="n"/>
      <c r="AS1778" s="81" t="n"/>
      <c r="AT1778" s="81" t="n"/>
      <c r="AU1778" s="81" t="n"/>
      <c r="AV1778" s="81" t="n"/>
      <c r="AW1778" s="81" t="n"/>
      <c r="AX1778" s="81" t="n"/>
      <c r="AY1778" s="81" t="n"/>
      <c r="AZ1778" s="81" t="n"/>
      <c r="BA1778" s="81" t="n"/>
      <c r="BB1778" s="81" t="n"/>
      <c r="BC1778" s="81" t="n"/>
      <c r="BD1778" s="81" t="n"/>
      <c r="BE1778" s="81" t="n"/>
      <c r="BF1778" s="81" t="n"/>
      <c r="BG1778" s="81" t="n"/>
      <c r="BH1778" s="81" t="n"/>
      <c r="BI1778" s="81" t="n"/>
      <c r="BJ1778" s="81" t="n"/>
      <c r="BK1778" s="81" t="n"/>
      <c r="BL1778" s="81" t="n"/>
      <c r="BM1778" s="81" t="n"/>
      <c r="BN1778" s="81" t="n"/>
      <c r="BO1778" s="81" t="n"/>
      <c r="BP1778" s="81" t="n"/>
      <c r="BQ1778" s="81" t="n"/>
      <c r="BR1778" s="81" t="n"/>
      <c r="BS1778" s="81" t="n"/>
      <c r="BT1778" s="81" t="n"/>
      <c r="BU1778" s="81" t="n"/>
      <c r="BV1778" s="81" t="n"/>
      <c r="BW1778" s="81" t="n"/>
      <c r="BX1778" s="81" t="n"/>
      <c r="BY1778" s="81" t="n"/>
      <c r="BZ1778" s="81" t="n"/>
      <c r="CA1778" s="81" t="n"/>
      <c r="CB1778" s="81" t="n"/>
      <c r="CC1778" s="81" t="n"/>
      <c r="CD1778" s="81" t="n"/>
      <c r="CE1778" s="81" t="n"/>
      <c r="CF1778" s="81" t="n"/>
      <c r="CG1778" s="81" t="n"/>
      <c r="CH1778" s="81" t="n"/>
    </row>
    <row r="1779">
      <c r="A1779" s="81" t="n"/>
      <c r="B1779" s="81" t="n"/>
      <c r="C1779" s="81" t="n"/>
      <c r="D1779" s="81" t="n"/>
      <c r="E1779" s="81" t="n"/>
      <c r="F1779" s="81" t="n"/>
      <c r="G1779" s="81" t="n"/>
      <c r="H1779" s="81" t="n"/>
      <c r="I1779" s="81" t="n"/>
      <c r="J1779" s="81" t="n"/>
      <c r="K1779" s="81" t="n"/>
      <c r="L1779" s="81" t="n"/>
      <c r="M1779" s="81" t="n"/>
      <c r="N1779" s="81" t="n"/>
      <c r="O1779" s="81" t="n"/>
      <c r="P1779" s="81" t="n"/>
      <c r="Q1779" s="81" t="n"/>
      <c r="R1779" s="81" t="n"/>
      <c r="S1779" s="81" t="n"/>
      <c r="T1779" s="81" t="n"/>
      <c r="U1779" s="81" t="n"/>
      <c r="V1779" s="81" t="n"/>
      <c r="W1779" s="81" t="n"/>
      <c r="X1779" s="81" t="n"/>
      <c r="Y1779" s="81" t="n"/>
      <c r="Z1779" s="81" t="n"/>
      <c r="AA1779" s="81" t="n"/>
      <c r="AB1779" s="81" t="n"/>
      <c r="AC1779" s="81" t="n"/>
      <c r="AD1779" s="81" t="n"/>
      <c r="AE1779" s="81" t="n"/>
      <c r="AF1779" s="81" t="n"/>
      <c r="AG1779" s="81" t="n"/>
      <c r="AH1779" s="81" t="n"/>
      <c r="AI1779" s="81" t="n"/>
      <c r="AJ1779" s="81" t="n"/>
      <c r="AK1779" s="81" t="n"/>
      <c r="AL1779" s="81" t="n"/>
      <c r="AM1779" s="81" t="n"/>
      <c r="AN1779" s="81" t="n"/>
      <c r="AO1779" s="81" t="n"/>
      <c r="AP1779" s="81" t="n"/>
      <c r="AQ1779" s="81" t="n"/>
      <c r="AR1779" s="81" t="n"/>
      <c r="AS1779" s="81" t="n"/>
      <c r="AT1779" s="81" t="n"/>
      <c r="AU1779" s="81" t="n"/>
      <c r="AV1779" s="81" t="n"/>
      <c r="AW1779" s="81" t="n"/>
      <c r="AX1779" s="81" t="n"/>
      <c r="AY1779" s="81" t="n"/>
      <c r="AZ1779" s="81" t="n"/>
      <c r="BA1779" s="81" t="n"/>
      <c r="BB1779" s="81" t="n"/>
      <c r="BC1779" s="81" t="n"/>
      <c r="BD1779" s="81" t="n"/>
      <c r="BE1779" s="81" t="n"/>
      <c r="BF1779" s="81" t="n"/>
      <c r="BG1779" s="81" t="n"/>
      <c r="BH1779" s="81" t="n"/>
      <c r="BI1779" s="81" t="n"/>
      <c r="BJ1779" s="81" t="n"/>
      <c r="BK1779" s="81" t="n"/>
      <c r="BL1779" s="81" t="n"/>
      <c r="BM1779" s="81" t="n"/>
      <c r="BN1779" s="81" t="n"/>
      <c r="BO1779" s="81" t="n"/>
      <c r="BP1779" s="81" t="n"/>
      <c r="BQ1779" s="81" t="n"/>
      <c r="BR1779" s="81" t="n"/>
      <c r="BS1779" s="81" t="n"/>
      <c r="BT1779" s="81" t="n"/>
      <c r="BU1779" s="81" t="n"/>
      <c r="BV1779" s="81" t="n"/>
      <c r="BW1779" s="81" t="n"/>
      <c r="BX1779" s="81" t="n"/>
      <c r="BY1779" s="81" t="n"/>
      <c r="BZ1779" s="81" t="n"/>
      <c r="CA1779" s="81" t="n"/>
      <c r="CB1779" s="81" t="n"/>
      <c r="CC1779" s="81" t="n"/>
      <c r="CD1779" s="81" t="n"/>
      <c r="CE1779" s="81" t="n"/>
      <c r="CF1779" s="81" t="n"/>
      <c r="CG1779" s="81" t="n"/>
      <c r="CH1779" s="81" t="n"/>
    </row>
    <row r="1780">
      <c r="A1780" s="81" t="n"/>
      <c r="B1780" s="81" t="n"/>
      <c r="C1780" s="81" t="n"/>
      <c r="D1780" s="81" t="n"/>
      <c r="E1780" s="81" t="n"/>
      <c r="F1780" s="81" t="n"/>
      <c r="G1780" s="81" t="n"/>
      <c r="H1780" s="81" t="n"/>
      <c r="I1780" s="81" t="n"/>
      <c r="J1780" s="81" t="n"/>
      <c r="K1780" s="81" t="n"/>
      <c r="L1780" s="81" t="n"/>
      <c r="M1780" s="81" t="n"/>
      <c r="N1780" s="81" t="n"/>
      <c r="O1780" s="81" t="n"/>
      <c r="P1780" s="81" t="n"/>
      <c r="Q1780" s="81" t="n"/>
      <c r="R1780" s="81" t="n"/>
      <c r="S1780" s="81" t="n"/>
      <c r="T1780" s="81" t="n"/>
      <c r="U1780" s="81" t="n"/>
      <c r="V1780" s="81" t="n"/>
      <c r="W1780" s="81" t="n"/>
      <c r="X1780" s="81" t="n"/>
      <c r="Y1780" s="81" t="n"/>
      <c r="Z1780" s="81" t="n"/>
      <c r="AA1780" s="81" t="n"/>
      <c r="AB1780" s="81" t="n"/>
      <c r="AC1780" s="81" t="n"/>
      <c r="AD1780" s="81" t="n"/>
      <c r="AE1780" s="81" t="n"/>
      <c r="AF1780" s="81" t="n"/>
      <c r="AG1780" s="81" t="n"/>
      <c r="AH1780" s="81" t="n"/>
      <c r="AI1780" s="81" t="n"/>
      <c r="AJ1780" s="81" t="n"/>
      <c r="AK1780" s="81" t="n"/>
      <c r="AL1780" s="81" t="n"/>
      <c r="AM1780" s="81" t="n"/>
      <c r="AN1780" s="81" t="n"/>
      <c r="AO1780" s="81" t="n"/>
      <c r="AP1780" s="81" t="n"/>
      <c r="AQ1780" s="81" t="n"/>
      <c r="AR1780" s="81" t="n"/>
      <c r="AS1780" s="81" t="n"/>
      <c r="AT1780" s="81" t="n"/>
      <c r="AU1780" s="81" t="n"/>
      <c r="AV1780" s="81" t="n"/>
      <c r="AW1780" s="81" t="n"/>
      <c r="AX1780" s="81" t="n"/>
      <c r="AY1780" s="81" t="n"/>
      <c r="AZ1780" s="81" t="n"/>
      <c r="BA1780" s="81" t="n"/>
      <c r="BB1780" s="81" t="n"/>
      <c r="BC1780" s="81" t="n"/>
      <c r="BD1780" s="81" t="n"/>
      <c r="BE1780" s="81" t="n"/>
      <c r="BF1780" s="81" t="n"/>
      <c r="BG1780" s="81" t="n"/>
      <c r="BH1780" s="81" t="n"/>
      <c r="BI1780" s="81" t="n"/>
      <c r="BJ1780" s="81" t="n"/>
      <c r="BK1780" s="81" t="n"/>
      <c r="BL1780" s="81" t="n"/>
      <c r="BM1780" s="81" t="n"/>
      <c r="BN1780" s="81" t="n"/>
      <c r="BO1780" s="81" t="n"/>
      <c r="BP1780" s="81" t="n"/>
      <c r="BQ1780" s="81" t="n"/>
      <c r="BR1780" s="81" t="n"/>
      <c r="BS1780" s="81" t="n"/>
      <c r="BT1780" s="81" t="n"/>
      <c r="BU1780" s="81" t="n"/>
      <c r="BV1780" s="81" t="n"/>
      <c r="BW1780" s="81" t="n"/>
      <c r="BX1780" s="81" t="n"/>
      <c r="BY1780" s="81" t="n"/>
      <c r="BZ1780" s="81" t="n"/>
      <c r="CA1780" s="81" t="n"/>
      <c r="CB1780" s="81" t="n"/>
      <c r="CC1780" s="81" t="n"/>
      <c r="CD1780" s="81" t="n"/>
      <c r="CE1780" s="81" t="n"/>
      <c r="CF1780" s="81" t="n"/>
      <c r="CG1780" s="81" t="n"/>
      <c r="CH1780" s="81" t="n"/>
    </row>
    <row r="1781">
      <c r="A1781" s="81" t="n"/>
      <c r="B1781" s="81" t="n"/>
      <c r="C1781" s="81" t="n"/>
      <c r="D1781" s="81" t="n"/>
      <c r="E1781" s="81" t="n"/>
      <c r="F1781" s="81" t="n"/>
      <c r="G1781" s="81" t="n"/>
      <c r="H1781" s="81" t="n"/>
      <c r="I1781" s="81" t="n"/>
      <c r="J1781" s="81" t="n"/>
      <c r="K1781" s="81" t="n"/>
      <c r="L1781" s="81" t="n"/>
      <c r="M1781" s="81" t="n"/>
      <c r="N1781" s="81" t="n"/>
      <c r="O1781" s="81" t="n"/>
      <c r="P1781" s="81" t="n"/>
      <c r="Q1781" s="81" t="n"/>
      <c r="R1781" s="81" t="n"/>
      <c r="S1781" s="81" t="n"/>
      <c r="T1781" s="81" t="n"/>
      <c r="U1781" s="81" t="n"/>
      <c r="V1781" s="81" t="n"/>
      <c r="W1781" s="81" t="n"/>
      <c r="X1781" s="81" t="n"/>
      <c r="Y1781" s="81" t="n"/>
      <c r="Z1781" s="81" t="n"/>
      <c r="AA1781" s="81" t="n"/>
      <c r="AB1781" s="81" t="n"/>
      <c r="AC1781" s="81" t="n"/>
      <c r="AD1781" s="81" t="n"/>
      <c r="AE1781" s="81" t="n"/>
      <c r="AF1781" s="81" t="n"/>
      <c r="AG1781" s="81" t="n"/>
      <c r="AH1781" s="81" t="n"/>
      <c r="AI1781" s="81" t="n"/>
      <c r="AJ1781" s="81" t="n"/>
      <c r="AK1781" s="81" t="n"/>
      <c r="AL1781" s="81" t="n"/>
      <c r="AM1781" s="81" t="n"/>
      <c r="AN1781" s="81" t="n"/>
      <c r="AO1781" s="81" t="n"/>
      <c r="AP1781" s="81" t="n"/>
      <c r="AQ1781" s="81" t="n"/>
      <c r="AR1781" s="81" t="n"/>
      <c r="AS1781" s="81" t="n"/>
      <c r="AT1781" s="81" t="n"/>
      <c r="AU1781" s="81" t="n"/>
      <c r="AV1781" s="81" t="n"/>
      <c r="AW1781" s="81" t="n"/>
      <c r="AX1781" s="81" t="n"/>
      <c r="AY1781" s="81" t="n"/>
      <c r="AZ1781" s="81" t="n"/>
      <c r="BA1781" s="81" t="n"/>
      <c r="BB1781" s="81" t="n"/>
      <c r="BC1781" s="81" t="n"/>
      <c r="BD1781" s="81" t="n"/>
      <c r="BE1781" s="81" t="n"/>
      <c r="BF1781" s="81" t="n"/>
      <c r="BG1781" s="81" t="n"/>
      <c r="BH1781" s="81" t="n"/>
      <c r="BI1781" s="81" t="n"/>
      <c r="BJ1781" s="81" t="n"/>
      <c r="BK1781" s="81" t="n"/>
      <c r="BL1781" s="81" t="n"/>
      <c r="BM1781" s="81" t="n"/>
      <c r="BN1781" s="81" t="n"/>
      <c r="BO1781" s="81" t="n"/>
      <c r="BP1781" s="81" t="n"/>
      <c r="BQ1781" s="81" t="n"/>
      <c r="BR1781" s="81" t="n"/>
      <c r="BS1781" s="81" t="n"/>
      <c r="BT1781" s="81" t="n"/>
      <c r="BU1781" s="81" t="n"/>
      <c r="BV1781" s="81" t="n"/>
      <c r="BW1781" s="81" t="n"/>
      <c r="BX1781" s="81" t="n"/>
      <c r="BY1781" s="81" t="n"/>
      <c r="BZ1781" s="81" t="n"/>
      <c r="CA1781" s="81" t="n"/>
      <c r="CB1781" s="81" t="n"/>
      <c r="CC1781" s="81" t="n"/>
      <c r="CD1781" s="81" t="n"/>
      <c r="CE1781" s="81" t="n"/>
      <c r="CF1781" s="81" t="n"/>
      <c r="CG1781" s="81" t="n"/>
      <c r="CH1781" s="81" t="n"/>
    </row>
    <row r="1782">
      <c r="A1782" s="81" t="n"/>
      <c r="B1782" s="81" t="n"/>
      <c r="C1782" s="81" t="n"/>
      <c r="D1782" s="81" t="n"/>
      <c r="E1782" s="81" t="n"/>
      <c r="F1782" s="81" t="n"/>
      <c r="G1782" s="81" t="n"/>
      <c r="H1782" s="81" t="n"/>
      <c r="I1782" s="81" t="n"/>
      <c r="J1782" s="81" t="n"/>
      <c r="K1782" s="81" t="n"/>
      <c r="L1782" s="81" t="n"/>
      <c r="M1782" s="81" t="n"/>
      <c r="N1782" s="81" t="n"/>
      <c r="O1782" s="81" t="n"/>
      <c r="P1782" s="81" t="n"/>
      <c r="Q1782" s="81" t="n"/>
      <c r="R1782" s="81" t="n"/>
      <c r="S1782" s="81" t="n"/>
      <c r="T1782" s="81" t="n"/>
      <c r="U1782" s="81" t="n"/>
      <c r="V1782" s="81" t="n"/>
      <c r="W1782" s="81" t="n"/>
      <c r="X1782" s="81" t="n"/>
      <c r="Y1782" s="81" t="n"/>
      <c r="Z1782" s="81" t="n"/>
      <c r="AA1782" s="81" t="n"/>
      <c r="AB1782" s="81" t="n"/>
      <c r="AC1782" s="81" t="n"/>
      <c r="AD1782" s="81" t="n"/>
      <c r="AE1782" s="81" t="n"/>
      <c r="AF1782" s="81" t="n"/>
      <c r="AG1782" s="81" t="n"/>
      <c r="AH1782" s="81" t="n"/>
      <c r="AI1782" s="81" t="n"/>
      <c r="AJ1782" s="81" t="n"/>
      <c r="AK1782" s="81" t="n"/>
      <c r="AL1782" s="81" t="n"/>
      <c r="AM1782" s="81" t="n"/>
      <c r="AN1782" s="81" t="n"/>
      <c r="AO1782" s="81" t="n"/>
      <c r="AP1782" s="81" t="n"/>
      <c r="AQ1782" s="81" t="n"/>
      <c r="AR1782" s="81" t="n"/>
      <c r="AS1782" s="81" t="n"/>
      <c r="AT1782" s="81" t="n"/>
      <c r="AU1782" s="81" t="n"/>
      <c r="AV1782" s="81" t="n"/>
      <c r="AW1782" s="81" t="n"/>
      <c r="AX1782" s="81" t="n"/>
      <c r="AY1782" s="81" t="n"/>
      <c r="AZ1782" s="81" t="n"/>
      <c r="BA1782" s="81" t="n"/>
      <c r="BB1782" s="81" t="n"/>
      <c r="BC1782" s="81" t="n"/>
      <c r="BD1782" s="81" t="n"/>
      <c r="BE1782" s="81" t="n"/>
      <c r="BF1782" s="81" t="n"/>
      <c r="BG1782" s="81" t="n"/>
      <c r="BH1782" s="81" t="n"/>
      <c r="BI1782" s="81" t="n"/>
      <c r="BJ1782" s="81" t="n"/>
      <c r="BK1782" s="81" t="n"/>
      <c r="BL1782" s="81" t="n"/>
      <c r="BM1782" s="81" t="n"/>
      <c r="BN1782" s="81" t="n"/>
      <c r="BO1782" s="81" t="n"/>
      <c r="BP1782" s="81" t="n"/>
      <c r="BQ1782" s="81" t="n"/>
      <c r="BR1782" s="81" t="n"/>
      <c r="BS1782" s="81" t="n"/>
      <c r="BT1782" s="81" t="n"/>
      <c r="BU1782" s="81" t="n"/>
      <c r="BV1782" s="81" t="n"/>
      <c r="BW1782" s="81" t="n"/>
      <c r="BX1782" s="81" t="n"/>
      <c r="BY1782" s="81" t="n"/>
      <c r="BZ1782" s="81" t="n"/>
      <c r="CA1782" s="81" t="n"/>
      <c r="CB1782" s="81" t="n"/>
      <c r="CC1782" s="81" t="n"/>
      <c r="CD1782" s="81" t="n"/>
      <c r="CE1782" s="81" t="n"/>
      <c r="CF1782" s="81" t="n"/>
      <c r="CG1782" s="81" t="n"/>
      <c r="CH1782" s="81" t="n"/>
    </row>
    <row r="1783">
      <c r="A1783" s="81" t="n"/>
      <c r="B1783" s="81" t="n"/>
      <c r="C1783" s="81" t="n"/>
      <c r="D1783" s="81" t="n"/>
      <c r="E1783" s="81" t="n"/>
      <c r="F1783" s="81" t="n"/>
      <c r="G1783" s="81" t="n"/>
      <c r="H1783" s="81" t="n"/>
      <c r="I1783" s="81" t="n"/>
      <c r="J1783" s="81" t="n"/>
      <c r="K1783" s="81" t="n"/>
      <c r="L1783" s="81" t="n"/>
      <c r="M1783" s="81" t="n"/>
      <c r="N1783" s="81" t="n"/>
      <c r="O1783" s="81" t="n"/>
      <c r="P1783" s="81" t="n"/>
      <c r="Q1783" s="81" t="n"/>
      <c r="R1783" s="81" t="n"/>
      <c r="S1783" s="81" t="n"/>
      <c r="T1783" s="81" t="n"/>
      <c r="U1783" s="81" t="n"/>
      <c r="V1783" s="81" t="n"/>
      <c r="W1783" s="81" t="n"/>
      <c r="X1783" s="81" t="n"/>
      <c r="Y1783" s="81" t="n"/>
      <c r="Z1783" s="81" t="n"/>
      <c r="AA1783" s="81" t="n"/>
      <c r="AB1783" s="81" t="n"/>
      <c r="AC1783" s="81" t="n"/>
      <c r="AD1783" s="81" t="n"/>
      <c r="AE1783" s="81" t="n"/>
      <c r="AF1783" s="81" t="n"/>
      <c r="AG1783" s="81" t="n"/>
      <c r="AH1783" s="81" t="n"/>
      <c r="AI1783" s="81" t="n"/>
      <c r="AJ1783" s="81" t="n"/>
      <c r="AK1783" s="81" t="n"/>
      <c r="AL1783" s="81" t="n"/>
      <c r="AM1783" s="81" t="n"/>
      <c r="AN1783" s="81" t="n"/>
      <c r="AO1783" s="81" t="n"/>
      <c r="AP1783" s="81" t="n"/>
      <c r="AQ1783" s="81" t="n"/>
      <c r="AR1783" s="81" t="n"/>
      <c r="AS1783" s="81" t="n"/>
      <c r="AT1783" s="81" t="n"/>
      <c r="AU1783" s="81" t="n"/>
      <c r="AV1783" s="81" t="n"/>
      <c r="AW1783" s="81" t="n"/>
      <c r="AX1783" s="81" t="n"/>
      <c r="AY1783" s="81" t="n"/>
      <c r="AZ1783" s="81" t="n"/>
      <c r="BA1783" s="81" t="n"/>
      <c r="BB1783" s="81" t="n"/>
      <c r="BC1783" s="81" t="n"/>
      <c r="BD1783" s="81" t="n"/>
      <c r="BE1783" s="81" t="n"/>
      <c r="BF1783" s="81" t="n"/>
      <c r="BG1783" s="81" t="n"/>
      <c r="BH1783" s="81" t="n"/>
      <c r="BI1783" s="81" t="n"/>
      <c r="BJ1783" s="81" t="n"/>
      <c r="BK1783" s="81" t="n"/>
      <c r="BL1783" s="81" t="n"/>
      <c r="BM1783" s="81" t="n"/>
      <c r="BN1783" s="81" t="n"/>
      <c r="BO1783" s="81" t="n"/>
      <c r="BP1783" s="81" t="n"/>
      <c r="BQ1783" s="81" t="n"/>
      <c r="BR1783" s="81" t="n"/>
      <c r="BS1783" s="81" t="n"/>
      <c r="BT1783" s="81" t="n"/>
      <c r="BU1783" s="81" t="n"/>
      <c r="BV1783" s="81" t="n"/>
      <c r="BW1783" s="81" t="n"/>
      <c r="BX1783" s="81" t="n"/>
      <c r="BY1783" s="81" t="n"/>
      <c r="BZ1783" s="81" t="n"/>
      <c r="CA1783" s="81" t="n"/>
      <c r="CB1783" s="81" t="n"/>
      <c r="CC1783" s="81" t="n"/>
      <c r="CD1783" s="81" t="n"/>
      <c r="CE1783" s="81" t="n"/>
      <c r="CF1783" s="81" t="n"/>
      <c r="CG1783" s="81" t="n"/>
      <c r="CH1783" s="81" t="n"/>
    </row>
    <row r="1784">
      <c r="A1784" s="81" t="n"/>
      <c r="B1784" s="81" t="n"/>
      <c r="C1784" s="81" t="n"/>
      <c r="D1784" s="81" t="n"/>
      <c r="E1784" s="81" t="n"/>
      <c r="F1784" s="81" t="n"/>
      <c r="G1784" s="81" t="n"/>
      <c r="H1784" s="81" t="n"/>
      <c r="I1784" s="81" t="n"/>
      <c r="J1784" s="81" t="n"/>
      <c r="K1784" s="81" t="n"/>
      <c r="L1784" s="81" t="n"/>
      <c r="M1784" s="81" t="n"/>
      <c r="N1784" s="81" t="n"/>
      <c r="O1784" s="81" t="n"/>
      <c r="P1784" s="81" t="n"/>
      <c r="Q1784" s="81" t="n"/>
      <c r="R1784" s="81" t="n"/>
      <c r="S1784" s="81" t="n"/>
      <c r="T1784" s="81" t="n"/>
      <c r="U1784" s="81" t="n"/>
      <c r="V1784" s="81" t="n"/>
      <c r="W1784" s="81" t="n"/>
      <c r="X1784" s="81" t="n"/>
      <c r="Y1784" s="81" t="n"/>
      <c r="Z1784" s="81" t="n"/>
      <c r="AA1784" s="81" t="n"/>
      <c r="AB1784" s="81" t="n"/>
      <c r="AC1784" s="81" t="n"/>
      <c r="AD1784" s="81" t="n"/>
      <c r="AE1784" s="81" t="n"/>
      <c r="AF1784" s="81" t="n"/>
      <c r="AG1784" s="81" t="n"/>
      <c r="AH1784" s="81" t="n"/>
      <c r="AI1784" s="81" t="n"/>
      <c r="AJ1784" s="81" t="n"/>
      <c r="AK1784" s="81" t="n"/>
      <c r="AL1784" s="81" t="n"/>
      <c r="AM1784" s="81" t="n"/>
      <c r="AN1784" s="81" t="n"/>
      <c r="AO1784" s="81" t="n"/>
      <c r="AP1784" s="81" t="n"/>
      <c r="AQ1784" s="81" t="n"/>
      <c r="AR1784" s="81" t="n"/>
      <c r="AS1784" s="81" t="n"/>
      <c r="AT1784" s="81" t="n"/>
      <c r="AU1784" s="81" t="n"/>
      <c r="AV1784" s="81" t="n"/>
      <c r="AW1784" s="81" t="n"/>
      <c r="AX1784" s="81" t="n"/>
      <c r="AY1784" s="81" t="n"/>
      <c r="AZ1784" s="81" t="n"/>
      <c r="BA1784" s="81" t="n"/>
      <c r="BB1784" s="81" t="n"/>
      <c r="BC1784" s="81" t="n"/>
      <c r="BD1784" s="81" t="n"/>
      <c r="BE1784" s="81" t="n"/>
      <c r="BF1784" s="81" t="n"/>
      <c r="BG1784" s="81" t="n"/>
      <c r="BH1784" s="81" t="n"/>
      <c r="BI1784" s="81" t="n"/>
      <c r="BJ1784" s="81" t="n"/>
      <c r="BK1784" s="81" t="n"/>
      <c r="BL1784" s="81" t="n"/>
      <c r="BM1784" s="81" t="n"/>
      <c r="BN1784" s="81" t="n"/>
      <c r="BO1784" s="81" t="n"/>
      <c r="BP1784" s="81" t="n"/>
      <c r="BQ1784" s="81" t="n"/>
      <c r="BR1784" s="81" t="n"/>
      <c r="BS1784" s="81" t="n"/>
      <c r="BT1784" s="81" t="n"/>
      <c r="BU1784" s="81" t="n"/>
      <c r="BV1784" s="81" t="n"/>
      <c r="BW1784" s="81" t="n"/>
      <c r="BX1784" s="81" t="n"/>
      <c r="BY1784" s="81" t="n"/>
      <c r="BZ1784" s="81" t="n"/>
      <c r="CA1784" s="81" t="n"/>
      <c r="CB1784" s="81" t="n"/>
      <c r="CC1784" s="81" t="n"/>
      <c r="CD1784" s="81" t="n"/>
      <c r="CE1784" s="81" t="n"/>
      <c r="CF1784" s="81" t="n"/>
      <c r="CG1784" s="81" t="n"/>
      <c r="CH1784" s="81" t="n"/>
    </row>
    <row r="1785">
      <c r="A1785" s="81" t="n"/>
      <c r="B1785" s="81" t="n"/>
      <c r="C1785" s="81" t="n"/>
      <c r="D1785" s="81" t="n"/>
      <c r="E1785" s="81" t="n"/>
      <c r="F1785" s="81" t="n"/>
      <c r="G1785" s="81" t="n"/>
      <c r="H1785" s="81" t="n"/>
      <c r="I1785" s="81" t="n"/>
      <c r="J1785" s="81" t="n"/>
      <c r="K1785" s="81" t="n"/>
      <c r="L1785" s="81" t="n"/>
      <c r="M1785" s="81" t="n"/>
      <c r="N1785" s="81" t="n"/>
      <c r="O1785" s="81" t="n"/>
      <c r="P1785" s="81" t="n"/>
      <c r="Q1785" s="81" t="n"/>
      <c r="R1785" s="81" t="n"/>
      <c r="S1785" s="81" t="n"/>
      <c r="T1785" s="81" t="n"/>
      <c r="U1785" s="81" t="n"/>
      <c r="V1785" s="81" t="n"/>
      <c r="W1785" s="81" t="n"/>
      <c r="X1785" s="81" t="n"/>
      <c r="Y1785" s="81" t="n"/>
      <c r="Z1785" s="81" t="n"/>
      <c r="AA1785" s="81" t="n"/>
      <c r="AB1785" s="81" t="n"/>
      <c r="AC1785" s="81" t="n"/>
      <c r="AD1785" s="81" t="n"/>
      <c r="AE1785" s="81" t="n"/>
      <c r="AF1785" s="81" t="n"/>
      <c r="AG1785" s="81" t="n"/>
      <c r="AH1785" s="81" t="n"/>
      <c r="AI1785" s="81" t="n"/>
      <c r="AJ1785" s="81" t="n"/>
      <c r="AK1785" s="81" t="n"/>
      <c r="AL1785" s="81" t="n"/>
      <c r="AM1785" s="81" t="n"/>
      <c r="AN1785" s="81" t="n"/>
      <c r="AO1785" s="81" t="n"/>
      <c r="AP1785" s="81" t="n"/>
      <c r="AQ1785" s="81" t="n"/>
      <c r="AR1785" s="81" t="n"/>
      <c r="AS1785" s="81" t="n"/>
      <c r="AT1785" s="81" t="n"/>
      <c r="AU1785" s="81" t="n"/>
      <c r="AV1785" s="81" t="n"/>
      <c r="AW1785" s="81" t="n"/>
      <c r="AX1785" s="81" t="n"/>
      <c r="AY1785" s="81" t="n"/>
      <c r="AZ1785" s="81" t="n"/>
      <c r="BA1785" s="81" t="n"/>
      <c r="BB1785" s="81" t="n"/>
      <c r="BC1785" s="81" t="n"/>
      <c r="BD1785" s="81" t="n"/>
      <c r="BE1785" s="81" t="n"/>
      <c r="BF1785" s="81" t="n"/>
      <c r="BG1785" s="81" t="n"/>
      <c r="BH1785" s="81" t="n"/>
      <c r="BI1785" s="81" t="n"/>
      <c r="BJ1785" s="81" t="n"/>
      <c r="BK1785" s="81" t="n"/>
      <c r="BL1785" s="81" t="n"/>
      <c r="BM1785" s="81" t="n"/>
      <c r="BN1785" s="81" t="n"/>
      <c r="BO1785" s="81" t="n"/>
      <c r="BP1785" s="81" t="n"/>
      <c r="BQ1785" s="81" t="n"/>
      <c r="BR1785" s="81" t="n"/>
      <c r="BS1785" s="81" t="n"/>
      <c r="BT1785" s="81" t="n"/>
      <c r="BU1785" s="81" t="n"/>
      <c r="BV1785" s="81" t="n"/>
      <c r="BW1785" s="81" t="n"/>
      <c r="BX1785" s="81" t="n"/>
      <c r="BY1785" s="81" t="n"/>
      <c r="BZ1785" s="81" t="n"/>
      <c r="CA1785" s="81" t="n"/>
      <c r="CB1785" s="81" t="n"/>
      <c r="CC1785" s="81" t="n"/>
      <c r="CD1785" s="81" t="n"/>
      <c r="CE1785" s="81" t="n"/>
      <c r="CF1785" s="81" t="n"/>
      <c r="CG1785" s="81" t="n"/>
      <c r="CH1785" s="81" t="n"/>
    </row>
    <row r="1786">
      <c r="A1786" s="81" t="n"/>
      <c r="B1786" s="81" t="n"/>
      <c r="C1786" s="81" t="n"/>
      <c r="D1786" s="81" t="n"/>
      <c r="E1786" s="81" t="n"/>
      <c r="F1786" s="81" t="n"/>
      <c r="G1786" s="81" t="n"/>
      <c r="H1786" s="81" t="n"/>
      <c r="I1786" s="81" t="n"/>
      <c r="J1786" s="81" t="n"/>
      <c r="K1786" s="81" t="n"/>
      <c r="L1786" s="81" t="n"/>
      <c r="M1786" s="81" t="n"/>
      <c r="N1786" s="81" t="n"/>
      <c r="O1786" s="81" t="n"/>
      <c r="P1786" s="81" t="n"/>
      <c r="Q1786" s="81" t="n"/>
      <c r="R1786" s="81" t="n"/>
      <c r="S1786" s="81" t="n"/>
      <c r="T1786" s="81" t="n"/>
      <c r="U1786" s="81" t="n"/>
      <c r="V1786" s="81" t="n"/>
      <c r="W1786" s="81" t="n"/>
      <c r="X1786" s="81" t="n"/>
      <c r="Y1786" s="81" t="n"/>
      <c r="Z1786" s="81" t="n"/>
      <c r="AA1786" s="81" t="n"/>
      <c r="AB1786" s="81" t="n"/>
      <c r="AC1786" s="81" t="n"/>
      <c r="AD1786" s="81" t="n"/>
      <c r="AE1786" s="81" t="n"/>
      <c r="AF1786" s="81" t="n"/>
      <c r="AG1786" s="81" t="n"/>
      <c r="AH1786" s="81" t="n"/>
      <c r="AI1786" s="81" t="n"/>
      <c r="AJ1786" s="81" t="n"/>
      <c r="AK1786" s="81" t="n"/>
      <c r="AL1786" s="81" t="n"/>
      <c r="AM1786" s="81" t="n"/>
      <c r="AN1786" s="81" t="n"/>
      <c r="AO1786" s="81" t="n"/>
      <c r="AP1786" s="81" t="n"/>
      <c r="AQ1786" s="81" t="n"/>
      <c r="AR1786" s="81" t="n"/>
      <c r="AS1786" s="81" t="n"/>
      <c r="AT1786" s="81" t="n"/>
      <c r="AU1786" s="81" t="n"/>
      <c r="AV1786" s="81" t="n"/>
      <c r="AW1786" s="81" t="n"/>
      <c r="AX1786" s="81" t="n"/>
      <c r="AY1786" s="81" t="n"/>
      <c r="AZ1786" s="81" t="n"/>
      <c r="BA1786" s="81" t="n"/>
      <c r="BB1786" s="81" t="n"/>
      <c r="BC1786" s="81" t="n"/>
      <c r="BD1786" s="81" t="n"/>
      <c r="BE1786" s="81" t="n"/>
      <c r="BF1786" s="81" t="n"/>
      <c r="BG1786" s="81" t="n"/>
      <c r="BH1786" s="81" t="n"/>
      <c r="BI1786" s="81" t="n"/>
      <c r="BJ1786" s="81" t="n"/>
      <c r="BK1786" s="81" t="n"/>
      <c r="BL1786" s="81" t="n"/>
      <c r="BM1786" s="81" t="n"/>
      <c r="BN1786" s="81" t="n"/>
      <c r="BO1786" s="81" t="n"/>
      <c r="BP1786" s="81" t="n"/>
      <c r="BQ1786" s="81" t="n"/>
      <c r="BR1786" s="81" t="n"/>
      <c r="BS1786" s="81" t="n"/>
      <c r="BT1786" s="81" t="n"/>
      <c r="BU1786" s="81" t="n"/>
      <c r="BV1786" s="81" t="n"/>
      <c r="BW1786" s="81" t="n"/>
      <c r="BX1786" s="81" t="n"/>
      <c r="BY1786" s="81" t="n"/>
      <c r="BZ1786" s="81" t="n"/>
      <c r="CA1786" s="81" t="n"/>
      <c r="CB1786" s="81" t="n"/>
      <c r="CC1786" s="81" t="n"/>
      <c r="CD1786" s="81" t="n"/>
      <c r="CE1786" s="81" t="n"/>
      <c r="CF1786" s="81" t="n"/>
      <c r="CG1786" s="81" t="n"/>
      <c r="CH1786" s="81" t="n"/>
    </row>
    <row r="1787">
      <c r="A1787" s="81" t="n"/>
      <c r="B1787" s="81" t="n"/>
      <c r="C1787" s="81" t="n"/>
      <c r="D1787" s="81" t="n"/>
      <c r="E1787" s="81" t="n"/>
      <c r="F1787" s="81" t="n"/>
      <c r="G1787" s="81" t="n"/>
      <c r="H1787" s="81" t="n"/>
      <c r="I1787" s="81" t="n"/>
      <c r="J1787" s="81" t="n"/>
      <c r="K1787" s="81" t="n"/>
      <c r="L1787" s="81" t="n"/>
      <c r="M1787" s="81" t="n"/>
      <c r="N1787" s="81" t="n"/>
      <c r="O1787" s="81" t="n"/>
      <c r="P1787" s="81" t="n"/>
      <c r="Q1787" s="81" t="n"/>
      <c r="R1787" s="81" t="n"/>
      <c r="S1787" s="81" t="n"/>
      <c r="T1787" s="81" t="n"/>
      <c r="U1787" s="81" t="n"/>
      <c r="V1787" s="81" t="n"/>
      <c r="W1787" s="81" t="n"/>
      <c r="X1787" s="81" t="n"/>
      <c r="Y1787" s="81" t="n"/>
      <c r="Z1787" s="81" t="n"/>
      <c r="AA1787" s="81" t="n"/>
      <c r="AB1787" s="81" t="n"/>
      <c r="AC1787" s="81" t="n"/>
      <c r="AD1787" s="81" t="n"/>
      <c r="AE1787" s="81" t="n"/>
      <c r="AF1787" s="81" t="n"/>
      <c r="AG1787" s="81" t="n"/>
      <c r="AH1787" s="81" t="n"/>
      <c r="AI1787" s="81" t="n"/>
      <c r="AJ1787" s="81" t="n"/>
      <c r="AK1787" s="81" t="n"/>
      <c r="AL1787" s="81" t="n"/>
      <c r="AM1787" s="81" t="n"/>
      <c r="AN1787" s="81" t="n"/>
      <c r="AO1787" s="81" t="n"/>
      <c r="AP1787" s="81" t="n"/>
      <c r="AQ1787" s="81" t="n"/>
      <c r="AR1787" s="81" t="n"/>
      <c r="AS1787" s="81" t="n"/>
      <c r="AT1787" s="81" t="n"/>
      <c r="AU1787" s="81" t="n"/>
      <c r="AV1787" s="81" t="n"/>
      <c r="AW1787" s="81" t="n"/>
      <c r="AX1787" s="81" t="n"/>
      <c r="AY1787" s="81" t="n"/>
      <c r="AZ1787" s="81" t="n"/>
      <c r="BA1787" s="81" t="n"/>
      <c r="BB1787" s="81" t="n"/>
      <c r="BC1787" s="81" t="n"/>
      <c r="BD1787" s="81" t="n"/>
      <c r="BE1787" s="81" t="n"/>
      <c r="BF1787" s="81" t="n"/>
      <c r="BG1787" s="81" t="n"/>
      <c r="BH1787" s="81" t="n"/>
      <c r="BI1787" s="81" t="n"/>
      <c r="BJ1787" s="81" t="n"/>
      <c r="BK1787" s="81" t="n"/>
      <c r="BL1787" s="81" t="n"/>
      <c r="BM1787" s="81" t="n"/>
      <c r="BN1787" s="81" t="n"/>
      <c r="BO1787" s="81" t="n"/>
      <c r="BP1787" s="81" t="n"/>
      <c r="BQ1787" s="81" t="n"/>
      <c r="BR1787" s="81" t="n"/>
      <c r="BS1787" s="81" t="n"/>
      <c r="BT1787" s="81" t="n"/>
      <c r="BU1787" s="81" t="n"/>
      <c r="BV1787" s="81" t="n"/>
      <c r="BW1787" s="81" t="n"/>
      <c r="BX1787" s="81" t="n"/>
      <c r="BY1787" s="81" t="n"/>
      <c r="BZ1787" s="81" t="n"/>
      <c r="CA1787" s="81" t="n"/>
      <c r="CB1787" s="81" t="n"/>
      <c r="CC1787" s="81" t="n"/>
      <c r="CD1787" s="81" t="n"/>
      <c r="CE1787" s="81" t="n"/>
      <c r="CF1787" s="81" t="n"/>
      <c r="CG1787" s="81" t="n"/>
      <c r="CH1787" s="81" t="n"/>
    </row>
    <row r="1788">
      <c r="A1788" s="81" t="n"/>
      <c r="B1788" s="81" t="n"/>
      <c r="C1788" s="81" t="n"/>
      <c r="D1788" s="81" t="n"/>
      <c r="E1788" s="81" t="n"/>
      <c r="F1788" s="81" t="n"/>
      <c r="G1788" s="81" t="n"/>
      <c r="H1788" s="81" t="n"/>
      <c r="I1788" s="81" t="n"/>
      <c r="J1788" s="81" t="n"/>
      <c r="K1788" s="81" t="n"/>
      <c r="L1788" s="81" t="n"/>
      <c r="M1788" s="81" t="n"/>
      <c r="N1788" s="81" t="n"/>
      <c r="O1788" s="81" t="n"/>
      <c r="P1788" s="81" t="n"/>
      <c r="Q1788" s="81" t="n"/>
      <c r="R1788" s="81" t="n"/>
      <c r="S1788" s="81" t="n"/>
      <c r="T1788" s="81" t="n"/>
      <c r="U1788" s="81" t="n"/>
      <c r="V1788" s="81" t="n"/>
      <c r="W1788" s="81" t="n"/>
      <c r="X1788" s="81" t="n"/>
      <c r="Y1788" s="81" t="n"/>
      <c r="Z1788" s="81" t="n"/>
      <c r="AA1788" s="81" t="n"/>
      <c r="AB1788" s="81" t="n"/>
      <c r="AC1788" s="81" t="n"/>
      <c r="AD1788" s="81" t="n"/>
      <c r="AE1788" s="81" t="n"/>
      <c r="AF1788" s="81" t="n"/>
      <c r="AG1788" s="81" t="n"/>
      <c r="AH1788" s="81" t="n"/>
      <c r="AI1788" s="81" t="n"/>
      <c r="AJ1788" s="81" t="n"/>
      <c r="AK1788" s="81" t="n"/>
      <c r="AL1788" s="81" t="n"/>
      <c r="AM1788" s="81" t="n"/>
      <c r="AN1788" s="81" t="n"/>
      <c r="AO1788" s="81" t="n"/>
      <c r="AP1788" s="81" t="n"/>
      <c r="AQ1788" s="81" t="n"/>
      <c r="AR1788" s="81" t="n"/>
      <c r="AS1788" s="81" t="n"/>
      <c r="AT1788" s="81" t="n"/>
      <c r="AU1788" s="81" t="n"/>
      <c r="AV1788" s="81" t="n"/>
      <c r="AW1788" s="81" t="n"/>
      <c r="AX1788" s="81" t="n"/>
      <c r="AY1788" s="81" t="n"/>
      <c r="AZ1788" s="81" t="n"/>
      <c r="BA1788" s="81" t="n"/>
      <c r="BB1788" s="81" t="n"/>
      <c r="BC1788" s="81" t="n"/>
      <c r="BD1788" s="81" t="n"/>
      <c r="BE1788" s="81" t="n"/>
      <c r="BF1788" s="81" t="n"/>
      <c r="BG1788" s="81" t="n"/>
      <c r="BH1788" s="81" t="n"/>
      <c r="BI1788" s="81" t="n"/>
      <c r="BJ1788" s="81" t="n"/>
      <c r="BK1788" s="81" t="n"/>
      <c r="BL1788" s="81" t="n"/>
      <c r="BM1788" s="81" t="n"/>
      <c r="BN1788" s="81" t="n"/>
      <c r="BO1788" s="81" t="n"/>
      <c r="BP1788" s="81" t="n"/>
      <c r="BQ1788" s="81" t="n"/>
      <c r="BR1788" s="81" t="n"/>
      <c r="BS1788" s="81" t="n"/>
      <c r="BT1788" s="81" t="n"/>
      <c r="BU1788" s="81" t="n"/>
      <c r="BV1788" s="81" t="n"/>
      <c r="BW1788" s="81" t="n"/>
      <c r="BX1788" s="81" t="n"/>
      <c r="BY1788" s="81" t="n"/>
      <c r="BZ1788" s="81" t="n"/>
      <c r="CA1788" s="81" t="n"/>
      <c r="CB1788" s="81" t="n"/>
      <c r="CC1788" s="81" t="n"/>
      <c r="CD1788" s="81" t="n"/>
      <c r="CE1788" s="81" t="n"/>
      <c r="CF1788" s="81" t="n"/>
      <c r="CG1788" s="81" t="n"/>
      <c r="CH1788" s="81" t="n"/>
    </row>
    <row r="1789">
      <c r="A1789" s="81" t="n"/>
      <c r="B1789" s="81" t="n"/>
      <c r="C1789" s="81" t="n"/>
      <c r="D1789" s="81" t="n"/>
      <c r="E1789" s="81" t="n"/>
      <c r="F1789" s="81" t="n"/>
      <c r="G1789" s="81" t="n"/>
      <c r="H1789" s="81" t="n"/>
      <c r="I1789" s="81" t="n"/>
      <c r="J1789" s="81" t="n"/>
      <c r="K1789" s="81" t="n"/>
      <c r="L1789" s="81" t="n"/>
      <c r="M1789" s="81" t="n"/>
      <c r="N1789" s="81" t="n"/>
      <c r="O1789" s="81" t="n"/>
      <c r="P1789" s="81" t="n"/>
      <c r="Q1789" s="81" t="n"/>
      <c r="R1789" s="81" t="n"/>
      <c r="S1789" s="81" t="n"/>
      <c r="T1789" s="81" t="n"/>
      <c r="U1789" s="81" t="n"/>
      <c r="V1789" s="81" t="n"/>
      <c r="W1789" s="81" t="n"/>
      <c r="X1789" s="81" t="n"/>
      <c r="Y1789" s="81" t="n"/>
      <c r="Z1789" s="81" t="n"/>
      <c r="AA1789" s="81" t="n"/>
      <c r="AB1789" s="81" t="n"/>
      <c r="AC1789" s="81" t="n"/>
      <c r="AD1789" s="81" t="n"/>
      <c r="AE1789" s="81" t="n"/>
      <c r="AF1789" s="81" t="n"/>
      <c r="AG1789" s="81" t="n"/>
      <c r="AH1789" s="81" t="n"/>
      <c r="AI1789" s="81" t="n"/>
      <c r="AJ1789" s="81" t="n"/>
      <c r="AK1789" s="81" t="n"/>
      <c r="AL1789" s="81" t="n"/>
      <c r="AM1789" s="81" t="n"/>
      <c r="AN1789" s="81" t="n"/>
      <c r="AO1789" s="81" t="n"/>
      <c r="AP1789" s="81" t="n"/>
      <c r="AQ1789" s="81" t="n"/>
      <c r="AR1789" s="81" t="n"/>
      <c r="AS1789" s="81" t="n"/>
      <c r="AT1789" s="81" t="n"/>
      <c r="AU1789" s="81" t="n"/>
      <c r="AV1789" s="81" t="n"/>
      <c r="AW1789" s="81" t="n"/>
      <c r="AX1789" s="81" t="n"/>
      <c r="AY1789" s="81" t="n"/>
      <c r="AZ1789" s="81" t="n"/>
      <c r="BA1789" s="81" t="n"/>
      <c r="BB1789" s="81" t="n"/>
      <c r="BC1789" s="81" t="n"/>
      <c r="BD1789" s="81" t="n"/>
      <c r="BE1789" s="81" t="n"/>
      <c r="BF1789" s="81" t="n"/>
      <c r="BG1789" s="81" t="n"/>
      <c r="BH1789" s="81" t="n"/>
      <c r="BI1789" s="81" t="n"/>
      <c r="BJ1789" s="81" t="n"/>
      <c r="BK1789" s="81" t="n"/>
      <c r="BL1789" s="81" t="n"/>
      <c r="BM1789" s="81" t="n"/>
      <c r="BN1789" s="81" t="n"/>
      <c r="BO1789" s="81" t="n"/>
      <c r="BP1789" s="81" t="n"/>
      <c r="BQ1789" s="81" t="n"/>
      <c r="BR1789" s="81" t="n"/>
      <c r="BS1789" s="81" t="n"/>
      <c r="BT1789" s="81" t="n"/>
      <c r="BU1789" s="81" t="n"/>
      <c r="BV1789" s="81" t="n"/>
      <c r="BW1789" s="81" t="n"/>
      <c r="BX1789" s="81" t="n"/>
      <c r="BY1789" s="81" t="n"/>
      <c r="BZ1789" s="81" t="n"/>
      <c r="CA1789" s="81" t="n"/>
      <c r="CB1789" s="81" t="n"/>
      <c r="CC1789" s="81" t="n"/>
      <c r="CD1789" s="81" t="n"/>
      <c r="CE1789" s="81" t="n"/>
      <c r="CF1789" s="81" t="n"/>
      <c r="CG1789" s="81" t="n"/>
      <c r="CH1789" s="81" t="n"/>
    </row>
    <row r="1790">
      <c r="A1790" s="81" t="n"/>
      <c r="B1790" s="81" t="n"/>
      <c r="C1790" s="81" t="n"/>
      <c r="D1790" s="81" t="n"/>
      <c r="E1790" s="81" t="n"/>
      <c r="F1790" s="81" t="n"/>
      <c r="G1790" s="81" t="n"/>
      <c r="H1790" s="81" t="n"/>
      <c r="I1790" s="81" t="n"/>
      <c r="J1790" s="81" t="n"/>
      <c r="K1790" s="81" t="n"/>
      <c r="L1790" s="81" t="n"/>
      <c r="M1790" s="81" t="n"/>
      <c r="N1790" s="81" t="n"/>
      <c r="O1790" s="81" t="n"/>
      <c r="P1790" s="81" t="n"/>
      <c r="Q1790" s="81" t="n"/>
      <c r="R1790" s="81" t="n"/>
      <c r="S1790" s="81" t="n"/>
      <c r="T1790" s="81" t="n"/>
      <c r="U1790" s="81" t="n"/>
      <c r="V1790" s="81" t="n"/>
      <c r="W1790" s="81" t="n"/>
      <c r="X1790" s="81" t="n"/>
      <c r="Y1790" s="81" t="n"/>
      <c r="Z1790" s="81" t="n"/>
      <c r="AA1790" s="81" t="n"/>
      <c r="AB1790" s="81" t="n"/>
      <c r="AC1790" s="81" t="n"/>
      <c r="AD1790" s="81" t="n"/>
      <c r="AE1790" s="81" t="n"/>
      <c r="AF1790" s="81" t="n"/>
      <c r="AG1790" s="81" t="n"/>
      <c r="AH1790" s="81" t="n"/>
      <c r="AI1790" s="81" t="n"/>
      <c r="AJ1790" s="81" t="n"/>
      <c r="AK1790" s="81" t="n"/>
      <c r="AL1790" s="81" t="n"/>
      <c r="AM1790" s="81" t="n"/>
      <c r="AN1790" s="81" t="n"/>
      <c r="AO1790" s="81" t="n"/>
      <c r="AP1790" s="81" t="n"/>
      <c r="AQ1790" s="81" t="n"/>
      <c r="AR1790" s="81" t="n"/>
      <c r="AS1790" s="81" t="n"/>
      <c r="AT1790" s="81" t="n"/>
      <c r="AU1790" s="81" t="n"/>
      <c r="AV1790" s="81" t="n"/>
      <c r="AW1790" s="81" t="n"/>
      <c r="AX1790" s="81" t="n"/>
      <c r="AY1790" s="81" t="n"/>
      <c r="AZ1790" s="81" t="n"/>
      <c r="BA1790" s="81" t="n"/>
      <c r="BB1790" s="81" t="n"/>
      <c r="BC1790" s="81" t="n"/>
      <c r="BD1790" s="81" t="n"/>
      <c r="BE1790" s="81" t="n"/>
      <c r="BF1790" s="81" t="n"/>
      <c r="BG1790" s="81" t="n"/>
      <c r="BH1790" s="81" t="n"/>
      <c r="BI1790" s="81" t="n"/>
      <c r="BJ1790" s="81" t="n"/>
      <c r="BK1790" s="81" t="n"/>
      <c r="BL1790" s="81" t="n"/>
      <c r="BM1790" s="81" t="n"/>
      <c r="BN1790" s="81" t="n"/>
      <c r="BO1790" s="81" t="n"/>
      <c r="BP1790" s="81" t="n"/>
      <c r="BQ1790" s="81" t="n"/>
      <c r="BR1790" s="81" t="n"/>
      <c r="BS1790" s="81" t="n"/>
      <c r="BT1790" s="81" t="n"/>
      <c r="BU1790" s="81" t="n"/>
      <c r="BV1790" s="81" t="n"/>
      <c r="BW1790" s="81" t="n"/>
      <c r="BX1790" s="81" t="n"/>
      <c r="BY1790" s="81" t="n"/>
      <c r="BZ1790" s="81" t="n"/>
      <c r="CA1790" s="81" t="n"/>
      <c r="CB1790" s="81" t="n"/>
      <c r="CC1790" s="81" t="n"/>
      <c r="CD1790" s="81" t="n"/>
      <c r="CE1790" s="81" t="n"/>
      <c r="CF1790" s="81" t="n"/>
      <c r="CG1790" s="81" t="n"/>
      <c r="CH1790" s="81" t="n"/>
    </row>
    <row r="1791">
      <c r="A1791" s="81" t="n"/>
      <c r="B1791" s="81" t="n"/>
      <c r="C1791" s="81" t="n"/>
      <c r="D1791" s="81" t="n"/>
      <c r="E1791" s="81" t="n"/>
      <c r="F1791" s="81" t="n"/>
      <c r="G1791" s="81" t="n"/>
      <c r="H1791" s="81" t="n"/>
      <c r="I1791" s="81" t="n"/>
      <c r="J1791" s="81" t="n"/>
      <c r="K1791" s="81" t="n"/>
      <c r="L1791" s="81" t="n"/>
      <c r="M1791" s="81" t="n"/>
      <c r="N1791" s="81" t="n"/>
      <c r="O1791" s="81" t="n"/>
      <c r="P1791" s="81" t="n"/>
      <c r="Q1791" s="81" t="n"/>
      <c r="R1791" s="81" t="n"/>
      <c r="S1791" s="81" t="n"/>
      <c r="T1791" s="81" t="n"/>
      <c r="U1791" s="81" t="n"/>
      <c r="V1791" s="81" t="n"/>
      <c r="W1791" s="81" t="n"/>
      <c r="X1791" s="81" t="n"/>
      <c r="Y1791" s="81" t="n"/>
      <c r="Z1791" s="81" t="n"/>
      <c r="AA1791" s="81" t="n"/>
      <c r="AB1791" s="81" t="n"/>
      <c r="AC1791" s="81" t="n"/>
      <c r="AD1791" s="81" t="n"/>
      <c r="AE1791" s="81" t="n"/>
      <c r="AF1791" s="81" t="n"/>
      <c r="AG1791" s="81" t="n"/>
      <c r="AH1791" s="81" t="n"/>
      <c r="AI1791" s="81" t="n"/>
      <c r="AJ1791" s="81" t="n"/>
      <c r="AK1791" s="81" t="n"/>
      <c r="AL1791" s="81" t="n"/>
      <c r="AM1791" s="81" t="n"/>
      <c r="AN1791" s="81" t="n"/>
      <c r="AO1791" s="81" t="n"/>
      <c r="AP1791" s="81" t="n"/>
      <c r="AQ1791" s="81" t="n"/>
      <c r="AR1791" s="81" t="n"/>
      <c r="AS1791" s="81" t="n"/>
      <c r="AT1791" s="81" t="n"/>
      <c r="AU1791" s="81" t="n"/>
      <c r="AV1791" s="81" t="n"/>
      <c r="AW1791" s="81" t="n"/>
      <c r="AX1791" s="81" t="n"/>
      <c r="AY1791" s="81" t="n"/>
      <c r="AZ1791" s="81" t="n"/>
      <c r="BA1791" s="81" t="n"/>
      <c r="BB1791" s="81" t="n"/>
      <c r="BC1791" s="81" t="n"/>
      <c r="BD1791" s="81" t="n"/>
      <c r="BE1791" s="81" t="n"/>
      <c r="BF1791" s="81" t="n"/>
      <c r="BG1791" s="81" t="n"/>
      <c r="BH1791" s="81" t="n"/>
      <c r="BI1791" s="81" t="n"/>
      <c r="BJ1791" s="81" t="n"/>
      <c r="BK1791" s="81" t="n"/>
      <c r="BL1791" s="81" t="n"/>
      <c r="BM1791" s="81" t="n"/>
      <c r="BN1791" s="81" t="n"/>
      <c r="BO1791" s="81" t="n"/>
      <c r="BP1791" s="81" t="n"/>
      <c r="BQ1791" s="81" t="n"/>
      <c r="BR1791" s="81" t="n"/>
      <c r="BS1791" s="81" t="n"/>
      <c r="BT1791" s="81" t="n"/>
      <c r="BU1791" s="81" t="n"/>
      <c r="BV1791" s="81" t="n"/>
      <c r="BW1791" s="81" t="n"/>
      <c r="BX1791" s="81" t="n"/>
      <c r="BY1791" s="81" t="n"/>
      <c r="BZ1791" s="81" t="n"/>
      <c r="CA1791" s="81" t="n"/>
      <c r="CB1791" s="81" t="n"/>
      <c r="CC1791" s="81" t="n"/>
      <c r="CD1791" s="81" t="n"/>
      <c r="CE1791" s="81" t="n"/>
      <c r="CF1791" s="81" t="n"/>
      <c r="CG1791" s="81" t="n"/>
      <c r="CH1791" s="81" t="n"/>
    </row>
    <row r="1792">
      <c r="A1792" s="81" t="n"/>
      <c r="B1792" s="81" t="n"/>
      <c r="C1792" s="81" t="n"/>
      <c r="D1792" s="81" t="n"/>
      <c r="E1792" s="81" t="n"/>
      <c r="F1792" s="81" t="n"/>
      <c r="G1792" s="81" t="n"/>
      <c r="H1792" s="81" t="n"/>
      <c r="I1792" s="81" t="n"/>
      <c r="J1792" s="81" t="n"/>
      <c r="K1792" s="81" t="n"/>
      <c r="L1792" s="81" t="n"/>
      <c r="M1792" s="81" t="n"/>
      <c r="N1792" s="81" t="n"/>
      <c r="O1792" s="81" t="n"/>
      <c r="P1792" s="81" t="n"/>
      <c r="Q1792" s="81" t="n"/>
      <c r="R1792" s="81" t="n"/>
      <c r="S1792" s="81" t="n"/>
      <c r="T1792" s="81" t="n"/>
      <c r="U1792" s="81" t="n"/>
      <c r="V1792" s="81" t="n"/>
      <c r="W1792" s="81" t="n"/>
      <c r="X1792" s="81" t="n"/>
      <c r="Y1792" s="81" t="n"/>
      <c r="Z1792" s="81" t="n"/>
      <c r="AA1792" s="81" t="n"/>
      <c r="AB1792" s="81" t="n"/>
      <c r="AC1792" s="81" t="n"/>
      <c r="AD1792" s="81" t="n"/>
      <c r="AE1792" s="81" t="n"/>
      <c r="AF1792" s="81" t="n"/>
      <c r="AG1792" s="81" t="n"/>
      <c r="AH1792" s="81" t="n"/>
      <c r="AI1792" s="81" t="n"/>
      <c r="AJ1792" s="81" t="n"/>
      <c r="AK1792" s="81" t="n"/>
      <c r="AL1792" s="81" t="n"/>
      <c r="AM1792" s="81" t="n"/>
      <c r="AN1792" s="81" t="n"/>
      <c r="AO1792" s="81" t="n"/>
      <c r="AP1792" s="81" t="n"/>
      <c r="AQ1792" s="81" t="n"/>
      <c r="AR1792" s="81" t="n"/>
      <c r="AS1792" s="81" t="n"/>
      <c r="AT1792" s="81" t="n"/>
      <c r="AU1792" s="81" t="n"/>
      <c r="AV1792" s="81" t="n"/>
      <c r="AW1792" s="81" t="n"/>
      <c r="AX1792" s="81" t="n"/>
      <c r="AY1792" s="81" t="n"/>
      <c r="AZ1792" s="81" t="n"/>
      <c r="BA1792" s="81" t="n"/>
      <c r="BB1792" s="81" t="n"/>
      <c r="BC1792" s="81" t="n"/>
      <c r="BD1792" s="81" t="n"/>
      <c r="BE1792" s="81" t="n"/>
      <c r="BF1792" s="81" t="n"/>
      <c r="BG1792" s="81" t="n"/>
      <c r="BH1792" s="81" t="n"/>
      <c r="BI1792" s="81" t="n"/>
      <c r="BJ1792" s="81" t="n"/>
      <c r="BK1792" s="81" t="n"/>
      <c r="BL1792" s="81" t="n"/>
      <c r="BM1792" s="81" t="n"/>
      <c r="BN1792" s="81" t="n"/>
      <c r="BO1792" s="81" t="n"/>
      <c r="BP1792" s="81" t="n"/>
      <c r="BQ1792" s="81" t="n"/>
      <c r="BR1792" s="81" t="n"/>
      <c r="BS1792" s="81" t="n"/>
      <c r="BT1792" s="81" t="n"/>
      <c r="BU1792" s="81" t="n"/>
      <c r="BV1792" s="81" t="n"/>
      <c r="BW1792" s="81" t="n"/>
      <c r="BX1792" s="81" t="n"/>
      <c r="BY1792" s="81" t="n"/>
      <c r="BZ1792" s="81" t="n"/>
      <c r="CA1792" s="81" t="n"/>
      <c r="CB1792" s="81" t="n"/>
      <c r="CC1792" s="81" t="n"/>
      <c r="CD1792" s="81" t="n"/>
      <c r="CE1792" s="81" t="n"/>
      <c r="CF1792" s="81" t="n"/>
      <c r="CG1792" s="81" t="n"/>
      <c r="CH1792" s="81" t="n"/>
    </row>
    <row r="1793">
      <c r="A1793" s="81" t="n"/>
      <c r="B1793" s="81" t="n"/>
      <c r="C1793" s="81" t="n"/>
      <c r="D1793" s="81" t="n"/>
      <c r="E1793" s="81" t="n"/>
      <c r="F1793" s="81" t="n"/>
      <c r="G1793" s="81" t="n"/>
      <c r="H1793" s="81" t="n"/>
      <c r="I1793" s="81" t="n"/>
      <c r="J1793" s="81" t="n"/>
      <c r="K1793" s="81" t="n"/>
      <c r="L1793" s="81" t="n"/>
      <c r="M1793" s="81" t="n"/>
      <c r="N1793" s="81" t="n"/>
      <c r="O1793" s="81" t="n"/>
      <c r="P1793" s="81" t="n"/>
      <c r="Q1793" s="81" t="n"/>
      <c r="R1793" s="81" t="n"/>
      <c r="S1793" s="81" t="n"/>
      <c r="T1793" s="81" t="n"/>
      <c r="U1793" s="81" t="n"/>
      <c r="V1793" s="81" t="n"/>
      <c r="W1793" s="81" t="n"/>
      <c r="X1793" s="81" t="n"/>
      <c r="Y1793" s="81" t="n"/>
      <c r="Z1793" s="81" t="n"/>
      <c r="AA1793" s="81" t="n"/>
      <c r="AB1793" s="81" t="n"/>
      <c r="AC1793" s="81" t="n"/>
      <c r="AD1793" s="81" t="n"/>
      <c r="AE1793" s="81" t="n"/>
      <c r="AF1793" s="81" t="n"/>
      <c r="AG1793" s="81" t="n"/>
      <c r="AH1793" s="81" t="n"/>
      <c r="AI1793" s="81" t="n"/>
      <c r="AJ1793" s="81" t="n"/>
      <c r="AK1793" s="81" t="n"/>
      <c r="AL1793" s="81" t="n"/>
      <c r="AM1793" s="81" t="n"/>
      <c r="AN1793" s="81" t="n"/>
      <c r="AO1793" s="81" t="n"/>
      <c r="AP1793" s="81" t="n"/>
      <c r="AQ1793" s="81" t="n"/>
      <c r="AR1793" s="81" t="n"/>
      <c r="AS1793" s="81" t="n"/>
      <c r="AT1793" s="81" t="n"/>
      <c r="AU1793" s="81" t="n"/>
      <c r="AV1793" s="81" t="n"/>
      <c r="AW1793" s="81" t="n"/>
      <c r="AX1793" s="81" t="n"/>
      <c r="AY1793" s="81" t="n"/>
      <c r="AZ1793" s="81" t="n"/>
      <c r="BA1793" s="81" t="n"/>
      <c r="BB1793" s="81" t="n"/>
      <c r="BC1793" s="81" t="n"/>
      <c r="BD1793" s="81" t="n"/>
      <c r="BE1793" s="81" t="n"/>
      <c r="BF1793" s="81" t="n"/>
      <c r="BG1793" s="81" t="n"/>
      <c r="BH1793" s="81" t="n"/>
      <c r="BI1793" s="81" t="n"/>
      <c r="BJ1793" s="81" t="n"/>
      <c r="BK1793" s="81" t="n"/>
      <c r="BL1793" s="81" t="n"/>
      <c r="BM1793" s="81" t="n"/>
      <c r="BN1793" s="81" t="n"/>
      <c r="BO1793" s="81" t="n"/>
      <c r="BP1793" s="81" t="n"/>
      <c r="BQ1793" s="81" t="n"/>
      <c r="BR1793" s="81" t="n"/>
      <c r="BS1793" s="81" t="n"/>
      <c r="BT1793" s="81" t="n"/>
      <c r="BU1793" s="81" t="n"/>
      <c r="BV1793" s="81" t="n"/>
      <c r="BW1793" s="81" t="n"/>
      <c r="BX1793" s="81" t="n"/>
      <c r="BY1793" s="81" t="n"/>
      <c r="BZ1793" s="81" t="n"/>
      <c r="CA1793" s="81" t="n"/>
      <c r="CB1793" s="81" t="n"/>
      <c r="CC1793" s="81" t="n"/>
      <c r="CD1793" s="81" t="n"/>
      <c r="CE1793" s="81" t="n"/>
      <c r="CF1793" s="81" t="n"/>
      <c r="CG1793" s="81" t="n"/>
      <c r="CH1793" s="81" t="n"/>
    </row>
    <row r="1794">
      <c r="A1794" s="81" t="n"/>
      <c r="B1794" s="81" t="n"/>
      <c r="C1794" s="81" t="n"/>
      <c r="D1794" s="81" t="n"/>
      <c r="E1794" s="81" t="n"/>
      <c r="F1794" s="81" t="n"/>
      <c r="G1794" s="81" t="n"/>
      <c r="H1794" s="81" t="n"/>
      <c r="I1794" s="81" t="n"/>
      <c r="J1794" s="81" t="n"/>
      <c r="K1794" s="81" t="n"/>
      <c r="L1794" s="81" t="n"/>
      <c r="M1794" s="81" t="n"/>
      <c r="N1794" s="81" t="n"/>
      <c r="O1794" s="81" t="n"/>
      <c r="P1794" s="81" t="n"/>
      <c r="Q1794" s="81" t="n"/>
      <c r="R1794" s="81" t="n"/>
      <c r="S1794" s="81" t="n"/>
      <c r="T1794" s="81" t="n"/>
      <c r="U1794" s="81" t="n"/>
      <c r="V1794" s="81" t="n"/>
      <c r="W1794" s="81" t="n"/>
      <c r="X1794" s="81" t="n"/>
      <c r="Y1794" s="81" t="n"/>
      <c r="Z1794" s="81" t="n"/>
      <c r="AA1794" s="81" t="n"/>
      <c r="AB1794" s="81" t="n"/>
      <c r="AC1794" s="81" t="n"/>
      <c r="AD1794" s="81" t="n"/>
      <c r="AE1794" s="81" t="n"/>
      <c r="AF1794" s="81" t="n"/>
      <c r="AG1794" s="81" t="n"/>
      <c r="AH1794" s="81" t="n"/>
      <c r="AI1794" s="81" t="n"/>
      <c r="AJ1794" s="81" t="n"/>
      <c r="AK1794" s="81" t="n"/>
      <c r="AL1794" s="81" t="n"/>
      <c r="AM1794" s="81" t="n"/>
      <c r="AN1794" s="81" t="n"/>
      <c r="AO1794" s="81" t="n"/>
      <c r="AP1794" s="81" t="n"/>
      <c r="AQ1794" s="81" t="n"/>
      <c r="AR1794" s="81" t="n"/>
      <c r="AS1794" s="81" t="n"/>
      <c r="AT1794" s="81" t="n"/>
      <c r="AU1794" s="81" t="n"/>
      <c r="AV1794" s="81" t="n"/>
      <c r="AW1794" s="81" t="n"/>
      <c r="AX1794" s="81" t="n"/>
      <c r="AY1794" s="81" t="n"/>
      <c r="AZ1794" s="81" t="n"/>
      <c r="BA1794" s="81" t="n"/>
      <c r="BB1794" s="81" t="n"/>
      <c r="BC1794" s="81" t="n"/>
      <c r="BD1794" s="81" t="n"/>
      <c r="BE1794" s="81" t="n"/>
      <c r="BF1794" s="81" t="n"/>
      <c r="BG1794" s="81" t="n"/>
      <c r="BH1794" s="81" t="n"/>
      <c r="BI1794" s="81" t="n"/>
      <c r="BJ1794" s="81" t="n"/>
      <c r="BK1794" s="81" t="n"/>
      <c r="BL1794" s="81" t="n"/>
      <c r="BM1794" s="81" t="n"/>
      <c r="BN1794" s="81" t="n"/>
      <c r="BO1794" s="81" t="n"/>
      <c r="BP1794" s="81" t="n"/>
      <c r="BQ1794" s="81" t="n"/>
      <c r="BR1794" s="81" t="n"/>
      <c r="BS1794" s="81" t="n"/>
      <c r="BT1794" s="81" t="n"/>
      <c r="BU1794" s="81" t="n"/>
      <c r="BV1794" s="81" t="n"/>
      <c r="BW1794" s="81" t="n"/>
      <c r="BX1794" s="81" t="n"/>
      <c r="BY1794" s="81" t="n"/>
      <c r="BZ1794" s="81" t="n"/>
      <c r="CA1794" s="81" t="n"/>
      <c r="CB1794" s="81" t="n"/>
      <c r="CC1794" s="81" t="n"/>
      <c r="CD1794" s="81" t="n"/>
      <c r="CE1794" s="81" t="n"/>
      <c r="CF1794" s="81" t="n"/>
      <c r="CG1794" s="81" t="n"/>
      <c r="CH1794" s="81" t="n"/>
    </row>
    <row r="1795">
      <c r="A1795" s="81" t="n"/>
      <c r="B1795" s="81" t="n"/>
      <c r="C1795" s="81" t="n"/>
      <c r="D1795" s="81" t="n"/>
      <c r="E1795" s="81" t="n"/>
      <c r="F1795" s="81" t="n"/>
      <c r="G1795" s="81" t="n"/>
      <c r="H1795" s="81" t="n"/>
      <c r="I1795" s="81" t="n"/>
      <c r="J1795" s="81" t="n"/>
      <c r="K1795" s="81" t="n"/>
      <c r="L1795" s="81" t="n"/>
      <c r="M1795" s="81" t="n"/>
      <c r="N1795" s="81" t="n"/>
      <c r="O1795" s="81" t="n"/>
      <c r="P1795" s="81" t="n"/>
      <c r="Q1795" s="81" t="n"/>
      <c r="R1795" s="81" t="n"/>
      <c r="S1795" s="81" t="n"/>
      <c r="T1795" s="81" t="n"/>
      <c r="U1795" s="81" t="n"/>
      <c r="V1795" s="81" t="n"/>
      <c r="W1795" s="81" t="n"/>
      <c r="X1795" s="81" t="n"/>
      <c r="Y1795" s="81" t="n"/>
      <c r="Z1795" s="81" t="n"/>
      <c r="AA1795" s="81" t="n"/>
      <c r="AB1795" s="81" t="n"/>
      <c r="AC1795" s="81" t="n"/>
      <c r="AD1795" s="81" t="n"/>
      <c r="AE1795" s="81" t="n"/>
      <c r="AF1795" s="81" t="n"/>
      <c r="AG1795" s="81" t="n"/>
      <c r="AH1795" s="81" t="n"/>
      <c r="AI1795" s="81" t="n"/>
      <c r="AJ1795" s="81" t="n"/>
      <c r="AK1795" s="81" t="n"/>
      <c r="AL1795" s="81" t="n"/>
      <c r="AM1795" s="81" t="n"/>
      <c r="AN1795" s="81" t="n"/>
      <c r="AO1795" s="81" t="n"/>
      <c r="AP1795" s="81" t="n"/>
      <c r="AQ1795" s="81" t="n"/>
      <c r="AR1795" s="81" t="n"/>
      <c r="AS1795" s="81" t="n"/>
      <c r="AT1795" s="81" t="n"/>
      <c r="AU1795" s="81" t="n"/>
      <c r="AV1795" s="81" t="n"/>
      <c r="AW1795" s="81" t="n"/>
      <c r="AX1795" s="81" t="n"/>
      <c r="AY1795" s="81" t="n"/>
      <c r="AZ1795" s="81" t="n"/>
      <c r="BA1795" s="81" t="n"/>
      <c r="BB1795" s="81" t="n"/>
      <c r="BC1795" s="81" t="n"/>
      <c r="BD1795" s="81" t="n"/>
      <c r="BE1795" s="81" t="n"/>
      <c r="BF1795" s="81" t="n"/>
      <c r="BG1795" s="81" t="n"/>
      <c r="BH1795" s="81" t="n"/>
      <c r="BI1795" s="81" t="n"/>
      <c r="BJ1795" s="81" t="n"/>
      <c r="BK1795" s="81" t="n"/>
      <c r="BL1795" s="81" t="n"/>
      <c r="BM1795" s="81" t="n"/>
      <c r="BN1795" s="81" t="n"/>
      <c r="BO1795" s="81" t="n"/>
      <c r="BP1795" s="81" t="n"/>
      <c r="BQ1795" s="81" t="n"/>
      <c r="BR1795" s="81" t="n"/>
      <c r="BS1795" s="81" t="n"/>
      <c r="BT1795" s="81" t="n"/>
      <c r="BU1795" s="81" t="n"/>
      <c r="BV1795" s="81" t="n"/>
      <c r="BW1795" s="81" t="n"/>
      <c r="BX1795" s="81" t="n"/>
      <c r="BY1795" s="81" t="n"/>
      <c r="BZ1795" s="81" t="n"/>
      <c r="CA1795" s="81" t="n"/>
      <c r="CB1795" s="81" t="n"/>
      <c r="CC1795" s="81" t="n"/>
      <c r="CD1795" s="81" t="n"/>
      <c r="CE1795" s="81" t="n"/>
      <c r="CF1795" s="81" t="n"/>
      <c r="CG1795" s="81" t="n"/>
      <c r="CH1795" s="81" t="n"/>
    </row>
    <row r="1796">
      <c r="A1796" s="81" t="n"/>
      <c r="B1796" s="81" t="n"/>
      <c r="C1796" s="81" t="n"/>
      <c r="D1796" s="81" t="n"/>
      <c r="E1796" s="81" t="n"/>
      <c r="F1796" s="81" t="n"/>
      <c r="G1796" s="81" t="n"/>
      <c r="H1796" s="81" t="n"/>
      <c r="I1796" s="81" t="n"/>
      <c r="J1796" s="81" t="n"/>
      <c r="K1796" s="81" t="n"/>
      <c r="L1796" s="81" t="n"/>
      <c r="M1796" s="81" t="n"/>
      <c r="N1796" s="81" t="n"/>
      <c r="O1796" s="81" t="n"/>
      <c r="P1796" s="81" t="n"/>
      <c r="Q1796" s="81" t="n"/>
      <c r="R1796" s="81" t="n"/>
      <c r="S1796" s="81" t="n"/>
      <c r="T1796" s="81" t="n"/>
      <c r="U1796" s="81" t="n"/>
      <c r="V1796" s="81" t="n"/>
      <c r="W1796" s="81" t="n"/>
      <c r="X1796" s="81" t="n"/>
      <c r="Y1796" s="81" t="n"/>
      <c r="Z1796" s="81" t="n"/>
      <c r="AA1796" s="81" t="n"/>
      <c r="AB1796" s="81" t="n"/>
      <c r="AC1796" s="81" t="n"/>
      <c r="AD1796" s="81" t="n"/>
      <c r="AE1796" s="81" t="n"/>
      <c r="AF1796" s="81" t="n"/>
      <c r="AG1796" s="81" t="n"/>
      <c r="AH1796" s="81" t="n"/>
      <c r="AI1796" s="81" t="n"/>
      <c r="AJ1796" s="81" t="n"/>
      <c r="AK1796" s="81" t="n"/>
      <c r="AL1796" s="81" t="n"/>
      <c r="AM1796" s="81" t="n"/>
      <c r="AN1796" s="81" t="n"/>
      <c r="AO1796" s="81" t="n"/>
      <c r="AP1796" s="81" t="n"/>
      <c r="AQ1796" s="81" t="n"/>
      <c r="AR1796" s="81" t="n"/>
      <c r="AS1796" s="81" t="n"/>
      <c r="AT1796" s="81" t="n"/>
      <c r="AU1796" s="81" t="n"/>
      <c r="AV1796" s="81" t="n"/>
      <c r="AW1796" s="81" t="n"/>
      <c r="AX1796" s="81" t="n"/>
      <c r="AY1796" s="81" t="n"/>
      <c r="AZ1796" s="81" t="n"/>
      <c r="BA1796" s="81" t="n"/>
      <c r="BB1796" s="81" t="n"/>
      <c r="BC1796" s="81" t="n"/>
      <c r="BD1796" s="81" t="n"/>
      <c r="BE1796" s="81" t="n"/>
      <c r="BF1796" s="81" t="n"/>
      <c r="BG1796" s="81" t="n"/>
      <c r="BH1796" s="81" t="n"/>
      <c r="BI1796" s="81" t="n"/>
      <c r="BJ1796" s="81" t="n"/>
      <c r="BK1796" s="81" t="n"/>
      <c r="BL1796" s="81" t="n"/>
      <c r="BM1796" s="81" t="n"/>
      <c r="BN1796" s="81" t="n"/>
      <c r="BO1796" s="81" t="n"/>
      <c r="BP1796" s="81" t="n"/>
      <c r="BQ1796" s="81" t="n"/>
      <c r="BR1796" s="81" t="n"/>
      <c r="BS1796" s="81" t="n"/>
      <c r="BT1796" s="81" t="n"/>
      <c r="BU1796" s="81" t="n"/>
      <c r="BV1796" s="81" t="n"/>
      <c r="BW1796" s="81" t="n"/>
      <c r="BX1796" s="81" t="n"/>
      <c r="BY1796" s="81" t="n"/>
      <c r="BZ1796" s="81" t="n"/>
      <c r="CA1796" s="81" t="n"/>
      <c r="CB1796" s="81" t="n"/>
      <c r="CC1796" s="81" t="n"/>
      <c r="CD1796" s="81" t="n"/>
      <c r="CE1796" s="81" t="n"/>
      <c r="CF1796" s="81" t="n"/>
      <c r="CG1796" s="81" t="n"/>
      <c r="CH1796" s="81" t="n"/>
    </row>
    <row r="1797">
      <c r="A1797" s="81" t="n"/>
      <c r="B1797" s="81" t="n"/>
      <c r="C1797" s="81" t="n"/>
      <c r="D1797" s="81" t="n"/>
      <c r="E1797" s="81" t="n"/>
      <c r="F1797" s="81" t="n"/>
      <c r="G1797" s="81" t="n"/>
      <c r="H1797" s="81" t="n"/>
      <c r="I1797" s="81" t="n"/>
      <c r="J1797" s="81" t="n"/>
      <c r="K1797" s="81" t="n"/>
      <c r="L1797" s="81" t="n"/>
      <c r="M1797" s="81" t="n"/>
      <c r="N1797" s="81" t="n"/>
      <c r="O1797" s="81" t="n"/>
      <c r="P1797" s="81" t="n"/>
      <c r="Q1797" s="81" t="n"/>
      <c r="R1797" s="81" t="n"/>
      <c r="S1797" s="81" t="n"/>
      <c r="T1797" s="81" t="n"/>
      <c r="U1797" s="81" t="n"/>
      <c r="V1797" s="81" t="n"/>
      <c r="W1797" s="81" t="n"/>
      <c r="X1797" s="81" t="n"/>
      <c r="Y1797" s="81" t="n"/>
      <c r="Z1797" s="81" t="n"/>
      <c r="AA1797" s="81" t="n"/>
      <c r="AB1797" s="81" t="n"/>
      <c r="AC1797" s="81" t="n"/>
      <c r="AD1797" s="81" t="n"/>
      <c r="AE1797" s="81" t="n"/>
      <c r="AF1797" s="81" t="n"/>
      <c r="AG1797" s="81" t="n"/>
      <c r="AH1797" s="81" t="n"/>
      <c r="AI1797" s="81" t="n"/>
      <c r="AJ1797" s="81" t="n"/>
      <c r="AK1797" s="81" t="n"/>
      <c r="AL1797" s="81" t="n"/>
      <c r="AM1797" s="81" t="n"/>
      <c r="AN1797" s="81" t="n"/>
      <c r="AO1797" s="81" t="n"/>
      <c r="AP1797" s="81" t="n"/>
      <c r="AQ1797" s="81" t="n"/>
      <c r="AR1797" s="81" t="n"/>
      <c r="AS1797" s="81" t="n"/>
      <c r="AT1797" s="81" t="n"/>
      <c r="AU1797" s="81" t="n"/>
      <c r="AV1797" s="81" t="n"/>
      <c r="AW1797" s="81" t="n"/>
      <c r="AX1797" s="81" t="n"/>
      <c r="AY1797" s="81" t="n"/>
      <c r="AZ1797" s="81" t="n"/>
      <c r="BA1797" s="81" t="n"/>
      <c r="BB1797" s="81" t="n"/>
      <c r="BC1797" s="81" t="n"/>
      <c r="BD1797" s="81" t="n"/>
      <c r="BE1797" s="81" t="n"/>
      <c r="BF1797" s="81" t="n"/>
      <c r="BG1797" s="81" t="n"/>
      <c r="BH1797" s="81" t="n"/>
      <c r="BI1797" s="81" t="n"/>
      <c r="BJ1797" s="81" t="n"/>
      <c r="BK1797" s="81" t="n"/>
      <c r="BL1797" s="81" t="n"/>
      <c r="BM1797" s="81" t="n"/>
      <c r="BN1797" s="81" t="n"/>
      <c r="BO1797" s="81" t="n"/>
      <c r="BP1797" s="81" t="n"/>
      <c r="BQ1797" s="81" t="n"/>
      <c r="BR1797" s="81" t="n"/>
      <c r="BS1797" s="81" t="n"/>
      <c r="BT1797" s="81" t="n"/>
      <c r="BU1797" s="81" t="n"/>
      <c r="BV1797" s="81" t="n"/>
      <c r="BW1797" s="81" t="n"/>
      <c r="BX1797" s="81" t="n"/>
      <c r="BY1797" s="81" t="n"/>
      <c r="BZ1797" s="81" t="n"/>
      <c r="CA1797" s="81" t="n"/>
      <c r="CB1797" s="81" t="n"/>
      <c r="CC1797" s="81" t="n"/>
      <c r="CD1797" s="81" t="n"/>
      <c r="CE1797" s="81" t="n"/>
      <c r="CF1797" s="81" t="n"/>
      <c r="CG1797" s="81" t="n"/>
      <c r="CH1797" s="81" t="n"/>
    </row>
    <row r="1798">
      <c r="A1798" s="81" t="n"/>
      <c r="B1798" s="81" t="n"/>
      <c r="C1798" s="81" t="n"/>
      <c r="D1798" s="81" t="n"/>
      <c r="E1798" s="81" t="n"/>
      <c r="F1798" s="81" t="n"/>
      <c r="G1798" s="81" t="n"/>
      <c r="H1798" s="81" t="n"/>
      <c r="I1798" s="81" t="n"/>
      <c r="J1798" s="81" t="n"/>
      <c r="K1798" s="81" t="n"/>
      <c r="L1798" s="81" t="n"/>
      <c r="M1798" s="81" t="n"/>
      <c r="N1798" s="81" t="n"/>
      <c r="O1798" s="81" t="n"/>
      <c r="P1798" s="81" t="n"/>
      <c r="Q1798" s="81" t="n"/>
      <c r="R1798" s="81" t="n"/>
      <c r="S1798" s="81" t="n"/>
      <c r="T1798" s="81" t="n"/>
      <c r="U1798" s="81" t="n"/>
      <c r="V1798" s="81" t="n"/>
      <c r="W1798" s="81" t="n"/>
      <c r="X1798" s="81" t="n"/>
      <c r="Y1798" s="81" t="n"/>
      <c r="Z1798" s="81" t="n"/>
      <c r="AA1798" s="81" t="n"/>
      <c r="AB1798" s="81" t="n"/>
      <c r="AC1798" s="81" t="n"/>
      <c r="AD1798" s="81" t="n"/>
      <c r="AE1798" s="81" t="n"/>
      <c r="AF1798" s="81" t="n"/>
      <c r="AG1798" s="81" t="n"/>
      <c r="AH1798" s="81" t="n"/>
      <c r="AI1798" s="81" t="n"/>
      <c r="AJ1798" s="81" t="n"/>
      <c r="AK1798" s="81" t="n"/>
      <c r="AL1798" s="81" t="n"/>
      <c r="AM1798" s="81" t="n"/>
      <c r="AN1798" s="81" t="n"/>
      <c r="AO1798" s="81" t="n"/>
      <c r="AP1798" s="81" t="n"/>
      <c r="AQ1798" s="81" t="n"/>
      <c r="AR1798" s="81" t="n"/>
      <c r="AS1798" s="81" t="n"/>
      <c r="AT1798" s="81" t="n"/>
      <c r="AU1798" s="81" t="n"/>
      <c r="AV1798" s="81" t="n"/>
      <c r="AW1798" s="81" t="n"/>
      <c r="AX1798" s="81" t="n"/>
      <c r="AY1798" s="81" t="n"/>
      <c r="AZ1798" s="81" t="n"/>
      <c r="BA1798" s="81" t="n"/>
      <c r="BB1798" s="81" t="n"/>
      <c r="BC1798" s="81" t="n"/>
      <c r="BD1798" s="81" t="n"/>
      <c r="BE1798" s="81" t="n"/>
      <c r="BF1798" s="81" t="n"/>
      <c r="BG1798" s="81" t="n"/>
      <c r="BH1798" s="81" t="n"/>
      <c r="BI1798" s="81" t="n"/>
      <c r="BJ1798" s="81" t="n"/>
      <c r="BK1798" s="81" t="n"/>
      <c r="BL1798" s="81" t="n"/>
      <c r="BM1798" s="81" t="n"/>
      <c r="BN1798" s="81" t="n"/>
      <c r="BO1798" s="81" t="n"/>
      <c r="BP1798" s="81" t="n"/>
      <c r="BQ1798" s="81" t="n"/>
      <c r="BR1798" s="81" t="n"/>
      <c r="BS1798" s="81" t="n"/>
      <c r="BT1798" s="81" t="n"/>
      <c r="BU1798" s="81" t="n"/>
      <c r="BV1798" s="81" t="n"/>
      <c r="BW1798" s="81" t="n"/>
      <c r="BX1798" s="81" t="n"/>
      <c r="BY1798" s="81" t="n"/>
      <c r="BZ1798" s="81" t="n"/>
      <c r="CA1798" s="81" t="n"/>
      <c r="CB1798" s="81" t="n"/>
      <c r="CC1798" s="81" t="n"/>
      <c r="CD1798" s="81" t="n"/>
      <c r="CE1798" s="81" t="n"/>
      <c r="CF1798" s="81" t="n"/>
      <c r="CG1798" s="81" t="n"/>
      <c r="CH1798" s="81" t="n"/>
    </row>
    <row r="1799">
      <c r="A1799" s="81" t="n"/>
      <c r="B1799" s="81" t="n"/>
      <c r="C1799" s="81" t="n"/>
      <c r="D1799" s="81" t="n"/>
      <c r="E1799" s="81" t="n"/>
      <c r="F1799" s="81" t="n"/>
      <c r="G1799" s="81" t="n"/>
      <c r="H1799" s="81" t="n"/>
      <c r="I1799" s="81" t="n"/>
      <c r="J1799" s="81" t="n"/>
      <c r="K1799" s="81" t="n"/>
      <c r="L1799" s="81" t="n"/>
      <c r="M1799" s="81" t="n"/>
      <c r="N1799" s="81" t="n"/>
      <c r="O1799" s="81" t="n"/>
      <c r="P1799" s="81" t="n"/>
      <c r="Q1799" s="81" t="n"/>
      <c r="R1799" s="81" t="n"/>
      <c r="S1799" s="81" t="n"/>
      <c r="T1799" s="81" t="n"/>
      <c r="U1799" s="81" t="n"/>
      <c r="V1799" s="81" t="n"/>
      <c r="W1799" s="81" t="n"/>
      <c r="X1799" s="81" t="n"/>
      <c r="Y1799" s="81" t="n"/>
      <c r="Z1799" s="81" t="n"/>
      <c r="AA1799" s="81" t="n"/>
      <c r="AB1799" s="81" t="n"/>
      <c r="AC1799" s="81" t="n"/>
      <c r="AD1799" s="81" t="n"/>
      <c r="AE1799" s="81" t="n"/>
      <c r="AF1799" s="81" t="n"/>
      <c r="AG1799" s="81" t="n"/>
      <c r="AH1799" s="81" t="n"/>
      <c r="AI1799" s="81" t="n"/>
      <c r="AJ1799" s="81" t="n"/>
      <c r="AK1799" s="81" t="n"/>
      <c r="AL1799" s="81" t="n"/>
      <c r="AM1799" s="81" t="n"/>
      <c r="AN1799" s="81" t="n"/>
      <c r="AO1799" s="81" t="n"/>
      <c r="AP1799" s="81" t="n"/>
      <c r="AQ1799" s="81" t="n"/>
      <c r="AR1799" s="81" t="n"/>
      <c r="AS1799" s="81" t="n"/>
      <c r="AT1799" s="81" t="n"/>
      <c r="AU1799" s="81" t="n"/>
      <c r="AV1799" s="81" t="n"/>
      <c r="AW1799" s="81" t="n"/>
      <c r="AX1799" s="81" t="n"/>
      <c r="AY1799" s="81" t="n"/>
      <c r="AZ1799" s="81" t="n"/>
      <c r="BA1799" s="81" t="n"/>
      <c r="BB1799" s="81" t="n"/>
      <c r="BC1799" s="81" t="n"/>
      <c r="BD1799" s="81" t="n"/>
      <c r="BE1799" s="81" t="n"/>
      <c r="BF1799" s="81" t="n"/>
      <c r="BG1799" s="81" t="n"/>
      <c r="BH1799" s="81" t="n"/>
      <c r="BI1799" s="81" t="n"/>
      <c r="BJ1799" s="81" t="n"/>
      <c r="BK1799" s="81" t="n"/>
      <c r="BL1799" s="81" t="n"/>
      <c r="BM1799" s="81" t="n"/>
      <c r="BN1799" s="81" t="n"/>
      <c r="BO1799" s="81" t="n"/>
      <c r="BP1799" s="81" t="n"/>
      <c r="BQ1799" s="81" t="n"/>
      <c r="BR1799" s="81" t="n"/>
      <c r="BS1799" s="81" t="n"/>
      <c r="BT1799" s="81" t="n"/>
      <c r="BU1799" s="81" t="n"/>
      <c r="BV1799" s="81" t="n"/>
      <c r="BW1799" s="81" t="n"/>
      <c r="BX1799" s="81" t="n"/>
      <c r="BY1799" s="81" t="n"/>
      <c r="BZ1799" s="81" t="n"/>
      <c r="CA1799" s="81" t="n"/>
      <c r="CB1799" s="81" t="n"/>
      <c r="CC1799" s="81" t="n"/>
      <c r="CD1799" s="81" t="n"/>
      <c r="CE1799" s="81" t="n"/>
      <c r="CF1799" s="81" t="n"/>
      <c r="CG1799" s="81" t="n"/>
      <c r="CH1799" s="81" t="n"/>
    </row>
    <row r="1800">
      <c r="A1800" s="81" t="n"/>
      <c r="B1800" s="81" t="n"/>
      <c r="C1800" s="81" t="n"/>
      <c r="D1800" s="81" t="n"/>
      <c r="E1800" s="81" t="n"/>
      <c r="F1800" s="81" t="n"/>
      <c r="G1800" s="81" t="n"/>
      <c r="H1800" s="81" t="n"/>
      <c r="I1800" s="81" t="n"/>
      <c r="J1800" s="81" t="n"/>
      <c r="K1800" s="81" t="n"/>
      <c r="L1800" s="81" t="n"/>
      <c r="M1800" s="81" t="n"/>
      <c r="N1800" s="81" t="n"/>
      <c r="O1800" s="81" t="n"/>
      <c r="P1800" s="81" t="n"/>
      <c r="Q1800" s="81" t="n"/>
      <c r="R1800" s="81" t="n"/>
      <c r="S1800" s="81" t="n"/>
      <c r="T1800" s="81" t="n"/>
      <c r="U1800" s="81" t="n"/>
      <c r="V1800" s="81" t="n"/>
      <c r="W1800" s="81" t="n"/>
      <c r="X1800" s="81" t="n"/>
      <c r="Y1800" s="81" t="n"/>
      <c r="Z1800" s="81" t="n"/>
      <c r="AA1800" s="81" t="n"/>
      <c r="AB1800" s="81" t="n"/>
      <c r="AC1800" s="81" t="n"/>
      <c r="AD1800" s="81" t="n"/>
      <c r="AE1800" s="81" t="n"/>
      <c r="AF1800" s="81" t="n"/>
      <c r="AG1800" s="81" t="n"/>
      <c r="AH1800" s="81" t="n"/>
      <c r="AI1800" s="81" t="n"/>
      <c r="AJ1800" s="81" t="n"/>
      <c r="AK1800" s="81" t="n"/>
      <c r="AL1800" s="81" t="n"/>
      <c r="AM1800" s="81" t="n"/>
      <c r="AN1800" s="81" t="n"/>
      <c r="AO1800" s="81" t="n"/>
      <c r="AP1800" s="81" t="n"/>
      <c r="AQ1800" s="81" t="n"/>
      <c r="AR1800" s="81" t="n"/>
      <c r="AS1800" s="81" t="n"/>
      <c r="AT1800" s="81" t="n"/>
      <c r="AU1800" s="81" t="n"/>
      <c r="AV1800" s="81" t="n"/>
      <c r="AW1800" s="81" t="n"/>
      <c r="AX1800" s="81" t="n"/>
      <c r="AY1800" s="81" t="n"/>
      <c r="AZ1800" s="81" t="n"/>
      <c r="BA1800" s="81" t="n"/>
      <c r="BB1800" s="81" t="n"/>
      <c r="BC1800" s="81" t="n"/>
      <c r="BD1800" s="81" t="n"/>
      <c r="BE1800" s="81" t="n"/>
      <c r="BF1800" s="81" t="n"/>
      <c r="BG1800" s="81" t="n"/>
      <c r="BH1800" s="81" t="n"/>
      <c r="BI1800" s="81" t="n"/>
      <c r="BJ1800" s="81" t="n"/>
      <c r="BK1800" s="81" t="n"/>
      <c r="BL1800" s="81" t="n"/>
      <c r="BM1800" s="81" t="n"/>
      <c r="BN1800" s="81" t="n"/>
      <c r="BO1800" s="81" t="n"/>
      <c r="BP1800" s="81" t="n"/>
      <c r="BQ1800" s="81" t="n"/>
      <c r="BR1800" s="81" t="n"/>
      <c r="BS1800" s="81" t="n"/>
      <c r="BT1800" s="81" t="n"/>
      <c r="BU1800" s="81" t="n"/>
      <c r="BV1800" s="81" t="n"/>
      <c r="BW1800" s="81" t="n"/>
      <c r="BX1800" s="81" t="n"/>
      <c r="BY1800" s="81" t="n"/>
      <c r="BZ1800" s="81" t="n"/>
      <c r="CA1800" s="81" t="n"/>
      <c r="CB1800" s="81" t="n"/>
      <c r="CC1800" s="81" t="n"/>
      <c r="CD1800" s="81" t="n"/>
      <c r="CE1800" s="81" t="n"/>
      <c r="CF1800" s="81" t="n"/>
      <c r="CG1800" s="81" t="n"/>
      <c r="CH1800" s="81" t="n"/>
    </row>
    <row r="1801">
      <c r="A1801" s="81" t="n"/>
      <c r="B1801" s="81" t="n"/>
      <c r="C1801" s="81" t="n"/>
      <c r="D1801" s="81" t="n"/>
      <c r="E1801" s="81" t="n"/>
      <c r="F1801" s="81" t="n"/>
      <c r="G1801" s="81" t="n"/>
      <c r="H1801" s="81" t="n"/>
      <c r="I1801" s="81" t="n"/>
      <c r="J1801" s="81" t="n"/>
      <c r="K1801" s="81" t="n"/>
      <c r="L1801" s="81" t="n"/>
      <c r="M1801" s="81" t="n"/>
      <c r="N1801" s="81" t="n"/>
      <c r="O1801" s="81" t="n"/>
      <c r="P1801" s="81" t="n"/>
      <c r="Q1801" s="81" t="n"/>
      <c r="R1801" s="81" t="n"/>
      <c r="S1801" s="81" t="n"/>
      <c r="T1801" s="81" t="n"/>
      <c r="U1801" s="81" t="n"/>
      <c r="V1801" s="81" t="n"/>
      <c r="W1801" s="81" t="n"/>
      <c r="X1801" s="81" t="n"/>
      <c r="Y1801" s="81" t="n"/>
      <c r="Z1801" s="81" t="n"/>
      <c r="AA1801" s="81" t="n"/>
      <c r="AB1801" s="81" t="n"/>
      <c r="AC1801" s="81" t="n"/>
      <c r="AD1801" s="81" t="n"/>
      <c r="AE1801" s="81" t="n"/>
      <c r="AF1801" s="81" t="n"/>
      <c r="AG1801" s="81" t="n"/>
      <c r="AH1801" s="81" t="n"/>
      <c r="AI1801" s="81" t="n"/>
      <c r="AJ1801" s="81" t="n"/>
      <c r="AK1801" s="81" t="n"/>
      <c r="AL1801" s="81" t="n"/>
      <c r="AM1801" s="81" t="n"/>
      <c r="AN1801" s="81" t="n"/>
      <c r="AO1801" s="81" t="n"/>
      <c r="AP1801" s="81" t="n"/>
      <c r="AQ1801" s="81" t="n"/>
      <c r="AR1801" s="81" t="n"/>
      <c r="AS1801" s="81" t="n"/>
      <c r="AT1801" s="81" t="n"/>
      <c r="AU1801" s="81" t="n"/>
      <c r="AV1801" s="81" t="n"/>
      <c r="AW1801" s="81" t="n"/>
      <c r="AX1801" s="81" t="n"/>
      <c r="AY1801" s="81" t="n"/>
      <c r="AZ1801" s="81" t="n"/>
      <c r="BA1801" s="81" t="n"/>
      <c r="BB1801" s="81" t="n"/>
      <c r="BC1801" s="81" t="n"/>
      <c r="BD1801" s="81" t="n"/>
      <c r="BE1801" s="81" t="n"/>
      <c r="BF1801" s="81" t="n"/>
      <c r="BG1801" s="81" t="n"/>
      <c r="BH1801" s="81" t="n"/>
      <c r="BI1801" s="81" t="n"/>
      <c r="BJ1801" s="81" t="n"/>
      <c r="BK1801" s="81" t="n"/>
      <c r="BL1801" s="81" t="n"/>
      <c r="BM1801" s="81" t="n"/>
      <c r="BN1801" s="81" t="n"/>
      <c r="BO1801" s="81" t="n"/>
      <c r="BP1801" s="81" t="n"/>
      <c r="BQ1801" s="81" t="n"/>
      <c r="BR1801" s="81" t="n"/>
      <c r="BS1801" s="81" t="n"/>
      <c r="BT1801" s="81" t="n"/>
      <c r="BU1801" s="81" t="n"/>
      <c r="BV1801" s="81" t="n"/>
      <c r="BW1801" s="81" t="n"/>
      <c r="BX1801" s="81" t="n"/>
      <c r="BY1801" s="81" t="n"/>
      <c r="BZ1801" s="81" t="n"/>
      <c r="CA1801" s="81" t="n"/>
      <c r="CB1801" s="81" t="n"/>
      <c r="CC1801" s="81" t="n"/>
      <c r="CD1801" s="81" t="n"/>
      <c r="CE1801" s="81" t="n"/>
      <c r="CF1801" s="81" t="n"/>
      <c r="CG1801" s="81" t="n"/>
      <c r="CH1801" s="81" t="n"/>
    </row>
    <row r="1802">
      <c r="A1802" s="81" t="n"/>
      <c r="B1802" s="81" t="n"/>
      <c r="C1802" s="81" t="n"/>
      <c r="D1802" s="81" t="n"/>
      <c r="E1802" s="81" t="n"/>
      <c r="F1802" s="81" t="n"/>
      <c r="G1802" s="81" t="n"/>
      <c r="H1802" s="81" t="n"/>
      <c r="I1802" s="81" t="n"/>
      <c r="J1802" s="81" t="n"/>
      <c r="K1802" s="81" t="n"/>
      <c r="L1802" s="81" t="n"/>
      <c r="M1802" s="81" t="n"/>
      <c r="N1802" s="81" t="n"/>
      <c r="O1802" s="81" t="n"/>
      <c r="P1802" s="81" t="n"/>
      <c r="Q1802" s="81" t="n"/>
      <c r="R1802" s="81" t="n"/>
      <c r="S1802" s="81" t="n"/>
      <c r="T1802" s="81" t="n"/>
      <c r="U1802" s="81" t="n"/>
      <c r="V1802" s="81" t="n"/>
      <c r="W1802" s="81" t="n"/>
      <c r="X1802" s="81" t="n"/>
      <c r="Y1802" s="81" t="n"/>
      <c r="Z1802" s="81" t="n"/>
      <c r="AA1802" s="81" t="n"/>
      <c r="AB1802" s="81" t="n"/>
      <c r="AC1802" s="81" t="n"/>
      <c r="AD1802" s="81" t="n"/>
      <c r="AE1802" s="81" t="n"/>
      <c r="AF1802" s="81" t="n"/>
      <c r="AG1802" s="81" t="n"/>
      <c r="AH1802" s="81" t="n"/>
      <c r="AI1802" s="81" t="n"/>
      <c r="AJ1802" s="81" t="n"/>
      <c r="AK1802" s="81" t="n"/>
      <c r="AL1802" s="81" t="n"/>
      <c r="AM1802" s="81" t="n"/>
      <c r="AN1802" s="81" t="n"/>
      <c r="AO1802" s="81" t="n"/>
      <c r="AP1802" s="81" t="n"/>
      <c r="AQ1802" s="81" t="n"/>
      <c r="AR1802" s="81" t="n"/>
      <c r="AS1802" s="81" t="n"/>
      <c r="AT1802" s="81" t="n"/>
      <c r="AU1802" s="81" t="n"/>
      <c r="AV1802" s="81" t="n"/>
      <c r="AW1802" s="81" t="n"/>
      <c r="AX1802" s="81" t="n"/>
      <c r="AY1802" s="81" t="n"/>
      <c r="AZ1802" s="81" t="n"/>
      <c r="BA1802" s="81" t="n"/>
      <c r="BB1802" s="81" t="n"/>
      <c r="BC1802" s="81" t="n"/>
      <c r="BD1802" s="81" t="n"/>
      <c r="BE1802" s="81" t="n"/>
      <c r="BF1802" s="81" t="n"/>
      <c r="BG1802" s="81" t="n"/>
      <c r="BH1802" s="81" t="n"/>
      <c r="BI1802" s="81" t="n"/>
      <c r="BJ1802" s="81" t="n"/>
      <c r="BK1802" s="81" t="n"/>
      <c r="BL1802" s="81" t="n"/>
      <c r="BM1802" s="81" t="n"/>
      <c r="BN1802" s="81" t="n"/>
      <c r="BO1802" s="81" t="n"/>
      <c r="BP1802" s="81" t="n"/>
      <c r="BQ1802" s="81" t="n"/>
      <c r="BR1802" s="81" t="n"/>
      <c r="BS1802" s="81" t="n"/>
      <c r="BT1802" s="81" t="n"/>
      <c r="BU1802" s="81" t="n"/>
      <c r="BV1802" s="81" t="n"/>
      <c r="BW1802" s="81" t="n"/>
      <c r="BX1802" s="81" t="n"/>
      <c r="BY1802" s="81" t="n"/>
      <c r="BZ1802" s="81" t="n"/>
      <c r="CA1802" s="81" t="n"/>
      <c r="CB1802" s="81" t="n"/>
      <c r="CC1802" s="81" t="n"/>
      <c r="CD1802" s="81" t="n"/>
      <c r="CE1802" s="81" t="n"/>
      <c r="CF1802" s="81" t="n"/>
      <c r="CG1802" s="81" t="n"/>
      <c r="CH1802" s="81" t="n"/>
    </row>
    <row r="1803">
      <c r="A1803" s="81" t="n"/>
      <c r="B1803" s="81" t="n"/>
      <c r="C1803" s="81" t="n"/>
      <c r="D1803" s="81" t="n"/>
      <c r="E1803" s="81" t="n"/>
      <c r="F1803" s="81" t="n"/>
      <c r="G1803" s="81" t="n"/>
      <c r="H1803" s="81" t="n"/>
      <c r="I1803" s="81" t="n"/>
      <c r="J1803" s="81" t="n"/>
      <c r="K1803" s="81" t="n"/>
      <c r="L1803" s="81" t="n"/>
      <c r="M1803" s="81" t="n"/>
      <c r="N1803" s="81" t="n"/>
      <c r="O1803" s="81" t="n"/>
      <c r="P1803" s="81" t="n"/>
      <c r="Q1803" s="81" t="n"/>
      <c r="R1803" s="81" t="n"/>
      <c r="S1803" s="81" t="n"/>
      <c r="T1803" s="81" t="n"/>
      <c r="U1803" s="81" t="n"/>
      <c r="V1803" s="81" t="n"/>
      <c r="W1803" s="81" t="n"/>
      <c r="X1803" s="81" t="n"/>
      <c r="Y1803" s="81" t="n"/>
      <c r="Z1803" s="81" t="n"/>
      <c r="AA1803" s="81" t="n"/>
      <c r="AB1803" s="81" t="n"/>
      <c r="AC1803" s="81" t="n"/>
      <c r="AD1803" s="81" t="n"/>
      <c r="AE1803" s="81" t="n"/>
      <c r="AF1803" s="81" t="n"/>
      <c r="AG1803" s="81" t="n"/>
      <c r="AH1803" s="81" t="n"/>
      <c r="AI1803" s="81" t="n"/>
      <c r="AJ1803" s="81" t="n"/>
      <c r="AK1803" s="81" t="n"/>
      <c r="AL1803" s="81" t="n"/>
      <c r="AM1803" s="81" t="n"/>
      <c r="AN1803" s="81" t="n"/>
      <c r="AO1803" s="81" t="n"/>
      <c r="AP1803" s="81" t="n"/>
      <c r="AQ1803" s="81" t="n"/>
      <c r="AR1803" s="81" t="n"/>
      <c r="AS1803" s="81" t="n"/>
      <c r="AT1803" s="81" t="n"/>
      <c r="AU1803" s="81" t="n"/>
      <c r="AV1803" s="81" t="n"/>
      <c r="AW1803" s="81" t="n"/>
      <c r="AX1803" s="81" t="n"/>
      <c r="AY1803" s="81" t="n"/>
      <c r="AZ1803" s="81" t="n"/>
      <c r="BA1803" s="81" t="n"/>
      <c r="BB1803" s="81" t="n"/>
      <c r="BC1803" s="81" t="n"/>
      <c r="BD1803" s="81" t="n"/>
      <c r="BE1803" s="81" t="n"/>
      <c r="BF1803" s="81" t="n"/>
      <c r="BG1803" s="81" t="n"/>
      <c r="BH1803" s="81" t="n"/>
      <c r="BI1803" s="81" t="n"/>
      <c r="BJ1803" s="81" t="n"/>
      <c r="BK1803" s="81" t="n"/>
      <c r="BL1803" s="81" t="n"/>
      <c r="BM1803" s="81" t="n"/>
      <c r="BN1803" s="81" t="n"/>
      <c r="BO1803" s="81" t="n"/>
      <c r="BP1803" s="81" t="n"/>
      <c r="BQ1803" s="81" t="n"/>
      <c r="BR1803" s="81" t="n"/>
      <c r="BS1803" s="81" t="n"/>
      <c r="BT1803" s="81" t="n"/>
      <c r="BU1803" s="81" t="n"/>
      <c r="BV1803" s="81" t="n"/>
      <c r="BW1803" s="81" t="n"/>
      <c r="BX1803" s="81" t="n"/>
      <c r="BY1803" s="81" t="n"/>
      <c r="BZ1803" s="81" t="n"/>
      <c r="CA1803" s="81" t="n"/>
      <c r="CB1803" s="81" t="n"/>
      <c r="CC1803" s="81" t="n"/>
      <c r="CD1803" s="81" t="n"/>
      <c r="CE1803" s="81" t="n"/>
      <c r="CF1803" s="81" t="n"/>
      <c r="CG1803" s="81" t="n"/>
      <c r="CH1803" s="81" t="n"/>
    </row>
    <row r="1804">
      <c r="A1804" s="81" t="n"/>
      <c r="B1804" s="81" t="n"/>
      <c r="C1804" s="81" t="n"/>
      <c r="D1804" s="81" t="n"/>
      <c r="E1804" s="81" t="n"/>
      <c r="F1804" s="81" t="n"/>
      <c r="G1804" s="81" t="n"/>
      <c r="H1804" s="81" t="n"/>
      <c r="I1804" s="81" t="n"/>
      <c r="J1804" s="81" t="n"/>
      <c r="K1804" s="81" t="n"/>
      <c r="L1804" s="81" t="n"/>
      <c r="M1804" s="81" t="n"/>
      <c r="N1804" s="81" t="n"/>
      <c r="O1804" s="81" t="n"/>
      <c r="P1804" s="81" t="n"/>
      <c r="Q1804" s="81" t="n"/>
      <c r="R1804" s="81" t="n"/>
      <c r="S1804" s="81" t="n"/>
      <c r="T1804" s="81" t="n"/>
      <c r="U1804" s="81" t="n"/>
      <c r="V1804" s="81" t="n"/>
      <c r="W1804" s="81" t="n"/>
      <c r="X1804" s="81" t="n"/>
      <c r="Y1804" s="81" t="n"/>
      <c r="Z1804" s="81" t="n"/>
      <c r="AA1804" s="81" t="n"/>
      <c r="AB1804" s="81" t="n"/>
      <c r="AC1804" s="81" t="n"/>
      <c r="AD1804" s="81" t="n"/>
      <c r="AE1804" s="81" t="n"/>
      <c r="AF1804" s="81" t="n"/>
      <c r="AG1804" s="81" t="n"/>
      <c r="AH1804" s="81" t="n"/>
      <c r="AI1804" s="81" t="n"/>
      <c r="AJ1804" s="81" t="n"/>
      <c r="AK1804" s="81" t="n"/>
      <c r="AL1804" s="81" t="n"/>
      <c r="AM1804" s="81" t="n"/>
      <c r="AN1804" s="81" t="n"/>
      <c r="AO1804" s="81" t="n"/>
      <c r="AP1804" s="81" t="n"/>
      <c r="AQ1804" s="81" t="n"/>
      <c r="AR1804" s="81" t="n"/>
      <c r="AS1804" s="81" t="n"/>
      <c r="AT1804" s="81" t="n"/>
      <c r="AU1804" s="81" t="n"/>
      <c r="AV1804" s="81" t="n"/>
      <c r="AW1804" s="81" t="n"/>
      <c r="AX1804" s="81" t="n"/>
      <c r="AY1804" s="81" t="n"/>
      <c r="AZ1804" s="81" t="n"/>
      <c r="BA1804" s="81" t="n"/>
      <c r="BB1804" s="81" t="n"/>
      <c r="BC1804" s="81" t="n"/>
      <c r="BD1804" s="81" t="n"/>
      <c r="BE1804" s="81" t="n"/>
      <c r="BF1804" s="81" t="n"/>
      <c r="BG1804" s="81" t="n"/>
      <c r="BH1804" s="81" t="n"/>
      <c r="BI1804" s="81" t="n"/>
      <c r="BJ1804" s="81" t="n"/>
      <c r="BK1804" s="81" t="n"/>
      <c r="BL1804" s="81" t="n"/>
      <c r="BM1804" s="81" t="n"/>
      <c r="BN1804" s="81" t="n"/>
      <c r="BO1804" s="81" t="n"/>
      <c r="BP1804" s="81" t="n"/>
      <c r="BQ1804" s="81" t="n"/>
      <c r="BR1804" s="81" t="n"/>
      <c r="BS1804" s="81" t="n"/>
      <c r="BT1804" s="81" t="n"/>
      <c r="BU1804" s="81" t="n"/>
      <c r="BV1804" s="81" t="n"/>
      <c r="BW1804" s="81" t="n"/>
      <c r="BX1804" s="81" t="n"/>
      <c r="BY1804" s="81" t="n"/>
      <c r="BZ1804" s="81" t="n"/>
      <c r="CA1804" s="81" t="n"/>
      <c r="CB1804" s="81" t="n"/>
      <c r="CC1804" s="81" t="n"/>
      <c r="CD1804" s="81" t="n"/>
      <c r="CE1804" s="81" t="n"/>
      <c r="CF1804" s="81" t="n"/>
      <c r="CG1804" s="81" t="n"/>
      <c r="CH1804" s="81" t="n"/>
    </row>
    <row r="1805">
      <c r="A1805" s="81" t="n"/>
      <c r="B1805" s="81" t="n"/>
      <c r="C1805" s="81" t="n"/>
      <c r="D1805" s="81" t="n"/>
      <c r="E1805" s="81" t="n"/>
      <c r="F1805" s="81" t="n"/>
      <c r="G1805" s="81" t="n"/>
      <c r="H1805" s="81" t="n"/>
      <c r="I1805" s="81" t="n"/>
      <c r="J1805" s="81" t="n"/>
      <c r="K1805" s="81" t="n"/>
      <c r="L1805" s="81" t="n"/>
      <c r="M1805" s="81" t="n"/>
      <c r="N1805" s="81" t="n"/>
      <c r="O1805" s="81" t="n"/>
      <c r="P1805" s="81" t="n"/>
      <c r="Q1805" s="81" t="n"/>
      <c r="R1805" s="81" t="n"/>
      <c r="S1805" s="81" t="n"/>
      <c r="T1805" s="81" t="n"/>
      <c r="U1805" s="81" t="n"/>
      <c r="V1805" s="81" t="n"/>
      <c r="W1805" s="81" t="n"/>
      <c r="X1805" s="81" t="n"/>
      <c r="Y1805" s="81" t="n"/>
      <c r="Z1805" s="81" t="n"/>
      <c r="AA1805" s="81" t="n"/>
      <c r="AB1805" s="81" t="n"/>
      <c r="AC1805" s="81" t="n"/>
      <c r="AD1805" s="81" t="n"/>
      <c r="AE1805" s="81" t="n"/>
      <c r="AF1805" s="81" t="n"/>
      <c r="AG1805" s="81" t="n"/>
      <c r="AH1805" s="81" t="n"/>
      <c r="AI1805" s="81" t="n"/>
      <c r="AJ1805" s="81" t="n"/>
      <c r="AK1805" s="81" t="n"/>
      <c r="AL1805" s="81" t="n"/>
      <c r="AM1805" s="81" t="n"/>
      <c r="AN1805" s="81" t="n"/>
      <c r="AO1805" s="81" t="n"/>
      <c r="AP1805" s="81" t="n"/>
      <c r="AQ1805" s="81" t="n"/>
      <c r="AR1805" s="81" t="n"/>
      <c r="AS1805" s="81" t="n"/>
      <c r="AT1805" s="81" t="n"/>
      <c r="AU1805" s="81" t="n"/>
      <c r="AV1805" s="81" t="n"/>
      <c r="AW1805" s="81" t="n"/>
      <c r="AX1805" s="81" t="n"/>
      <c r="AY1805" s="81" t="n"/>
      <c r="AZ1805" s="81" t="n"/>
      <c r="BA1805" s="81" t="n"/>
      <c r="BB1805" s="81" t="n"/>
      <c r="BC1805" s="81" t="n"/>
      <c r="BD1805" s="81" t="n"/>
      <c r="BE1805" s="81" t="n"/>
      <c r="BF1805" s="81" t="n"/>
      <c r="BG1805" s="81" t="n"/>
      <c r="BH1805" s="81" t="n"/>
      <c r="BI1805" s="81" t="n"/>
      <c r="BJ1805" s="81" t="n"/>
      <c r="BK1805" s="81" t="n"/>
      <c r="BL1805" s="81" t="n"/>
      <c r="BM1805" s="81" t="n"/>
      <c r="BN1805" s="81" t="n"/>
      <c r="BO1805" s="81" t="n"/>
      <c r="BP1805" s="81" t="n"/>
      <c r="BQ1805" s="81" t="n"/>
      <c r="BR1805" s="81" t="n"/>
      <c r="BS1805" s="81" t="n"/>
      <c r="BT1805" s="81" t="n"/>
      <c r="BU1805" s="81" t="n"/>
      <c r="BV1805" s="81" t="n"/>
      <c r="BW1805" s="81" t="n"/>
      <c r="BX1805" s="81" t="n"/>
      <c r="BY1805" s="81" t="n"/>
      <c r="BZ1805" s="81" t="n"/>
      <c r="CA1805" s="81" t="n"/>
      <c r="CB1805" s="81" t="n"/>
      <c r="CC1805" s="81" t="n"/>
      <c r="CD1805" s="81" t="n"/>
      <c r="CE1805" s="81" t="n"/>
      <c r="CF1805" s="81" t="n"/>
      <c r="CG1805" s="81" t="n"/>
      <c r="CH1805" s="81" t="n"/>
    </row>
    <row r="1806">
      <c r="A1806" s="81" t="n"/>
      <c r="B1806" s="81" t="n"/>
      <c r="C1806" s="81" t="n"/>
      <c r="D1806" s="81" t="n"/>
      <c r="E1806" s="81" t="n"/>
      <c r="F1806" s="81" t="n"/>
      <c r="G1806" s="81" t="n"/>
      <c r="H1806" s="81" t="n"/>
      <c r="I1806" s="81" t="n"/>
      <c r="J1806" s="81" t="n"/>
      <c r="K1806" s="81" t="n"/>
      <c r="L1806" s="81" t="n"/>
      <c r="M1806" s="81" t="n"/>
      <c r="N1806" s="81" t="n"/>
      <c r="O1806" s="81" t="n"/>
      <c r="P1806" s="81" t="n"/>
      <c r="Q1806" s="81" t="n"/>
      <c r="R1806" s="81" t="n"/>
      <c r="S1806" s="81" t="n"/>
      <c r="T1806" s="81" t="n"/>
      <c r="U1806" s="81" t="n"/>
      <c r="V1806" s="81" t="n"/>
      <c r="W1806" s="81" t="n"/>
      <c r="X1806" s="81" t="n"/>
      <c r="Y1806" s="81" t="n"/>
      <c r="Z1806" s="81" t="n"/>
      <c r="AA1806" s="81" t="n"/>
      <c r="AB1806" s="81" t="n"/>
      <c r="AC1806" s="81" t="n"/>
      <c r="AD1806" s="81" t="n"/>
      <c r="AE1806" s="81" t="n"/>
      <c r="AF1806" s="81" t="n"/>
      <c r="AG1806" s="81" t="n"/>
      <c r="AH1806" s="81" t="n"/>
      <c r="AI1806" s="81" t="n"/>
      <c r="AJ1806" s="81" t="n"/>
      <c r="AK1806" s="81" t="n"/>
      <c r="AL1806" s="81" t="n"/>
      <c r="AM1806" s="81" t="n"/>
      <c r="AN1806" s="81" t="n"/>
      <c r="AO1806" s="81" t="n"/>
      <c r="AP1806" s="81" t="n"/>
      <c r="AQ1806" s="81" t="n"/>
      <c r="AR1806" s="81" t="n"/>
      <c r="AS1806" s="81" t="n"/>
      <c r="AT1806" s="81" t="n"/>
      <c r="AU1806" s="81" t="n"/>
      <c r="AV1806" s="81" t="n"/>
      <c r="AW1806" s="81" t="n"/>
      <c r="AX1806" s="81" t="n"/>
      <c r="AY1806" s="81" t="n"/>
      <c r="AZ1806" s="81" t="n"/>
      <c r="BA1806" s="81" t="n"/>
      <c r="BB1806" s="81" t="n"/>
      <c r="BC1806" s="81" t="n"/>
      <c r="BD1806" s="81" t="n"/>
      <c r="BE1806" s="81" t="n"/>
      <c r="BF1806" s="81" t="n"/>
      <c r="BG1806" s="81" t="n"/>
      <c r="BH1806" s="81" t="n"/>
      <c r="BI1806" s="81" t="n"/>
      <c r="BJ1806" s="81" t="n"/>
      <c r="BK1806" s="81" t="n"/>
      <c r="BL1806" s="81" t="n"/>
      <c r="BM1806" s="81" t="n"/>
      <c r="BN1806" s="81" t="n"/>
      <c r="BO1806" s="81" t="n"/>
      <c r="BP1806" s="81" t="n"/>
      <c r="BQ1806" s="81" t="n"/>
      <c r="BR1806" s="81" t="n"/>
      <c r="BS1806" s="81" t="n"/>
      <c r="BT1806" s="81" t="n"/>
      <c r="BU1806" s="81" t="n"/>
      <c r="BV1806" s="81" t="n"/>
      <c r="BW1806" s="81" t="n"/>
      <c r="BX1806" s="81" t="n"/>
      <c r="BY1806" s="81" t="n"/>
      <c r="BZ1806" s="81" t="n"/>
      <c r="CA1806" s="81" t="n"/>
      <c r="CB1806" s="81" t="n"/>
      <c r="CC1806" s="81" t="n"/>
      <c r="CD1806" s="81" t="n"/>
      <c r="CE1806" s="81" t="n"/>
      <c r="CF1806" s="81" t="n"/>
      <c r="CG1806" s="81" t="n"/>
      <c r="CH1806" s="81" t="n"/>
    </row>
    <row r="1807">
      <c r="A1807" s="81" t="n"/>
      <c r="B1807" s="81" t="n"/>
      <c r="C1807" s="81" t="n"/>
      <c r="D1807" s="81" t="n"/>
      <c r="E1807" s="81" t="n"/>
      <c r="F1807" s="81" t="n"/>
      <c r="G1807" s="81" t="n"/>
      <c r="H1807" s="81" t="n"/>
      <c r="I1807" s="81" t="n"/>
      <c r="J1807" s="81" t="n"/>
      <c r="K1807" s="81" t="n"/>
      <c r="L1807" s="81" t="n"/>
      <c r="M1807" s="81" t="n"/>
      <c r="N1807" s="81" t="n"/>
      <c r="O1807" s="81" t="n"/>
      <c r="P1807" s="81" t="n"/>
      <c r="Q1807" s="81" t="n"/>
      <c r="R1807" s="81" t="n"/>
      <c r="S1807" s="81" t="n"/>
      <c r="T1807" s="81" t="n"/>
      <c r="U1807" s="81" t="n"/>
      <c r="V1807" s="81" t="n"/>
      <c r="W1807" s="81" t="n"/>
      <c r="X1807" s="81" t="n"/>
      <c r="Y1807" s="81" t="n"/>
      <c r="Z1807" s="81" t="n"/>
      <c r="AA1807" s="81" t="n"/>
      <c r="AB1807" s="81" t="n"/>
      <c r="AC1807" s="81" t="n"/>
      <c r="AD1807" s="81" t="n"/>
      <c r="AE1807" s="81" t="n"/>
      <c r="AF1807" s="81" t="n"/>
      <c r="AG1807" s="81" t="n"/>
      <c r="AH1807" s="81" t="n"/>
      <c r="AI1807" s="81" t="n"/>
      <c r="AJ1807" s="81" t="n"/>
      <c r="AK1807" s="81" t="n"/>
      <c r="AL1807" s="81" t="n"/>
      <c r="AM1807" s="81" t="n"/>
      <c r="AN1807" s="81" t="n"/>
      <c r="AO1807" s="81" t="n"/>
      <c r="AP1807" s="81" t="n"/>
      <c r="AQ1807" s="81" t="n"/>
      <c r="AR1807" s="81" t="n"/>
      <c r="AS1807" s="81" t="n"/>
      <c r="AT1807" s="81" t="n"/>
      <c r="AU1807" s="81" t="n"/>
      <c r="AV1807" s="81" t="n"/>
      <c r="AW1807" s="81" t="n"/>
      <c r="AX1807" s="81" t="n"/>
      <c r="AY1807" s="81" t="n"/>
      <c r="AZ1807" s="81" t="n"/>
      <c r="BA1807" s="81" t="n"/>
      <c r="BB1807" s="81" t="n"/>
      <c r="BC1807" s="81" t="n"/>
      <c r="BD1807" s="81" t="n"/>
      <c r="BE1807" s="81" t="n"/>
      <c r="BF1807" s="81" t="n"/>
      <c r="BG1807" s="81" t="n"/>
      <c r="BH1807" s="81" t="n"/>
      <c r="BI1807" s="81" t="n"/>
      <c r="BJ1807" s="81" t="n"/>
      <c r="BK1807" s="81" t="n"/>
      <c r="BL1807" s="81" t="n"/>
      <c r="BM1807" s="81" t="n"/>
      <c r="BN1807" s="81" t="n"/>
      <c r="BO1807" s="81" t="n"/>
      <c r="BP1807" s="81" t="n"/>
      <c r="BQ1807" s="81" t="n"/>
      <c r="BR1807" s="81" t="n"/>
      <c r="BS1807" s="81" t="n"/>
      <c r="BT1807" s="81" t="n"/>
      <c r="BU1807" s="81" t="n"/>
      <c r="BV1807" s="81" t="n"/>
      <c r="BW1807" s="81" t="n"/>
      <c r="BX1807" s="81" t="n"/>
      <c r="BY1807" s="81" t="n"/>
      <c r="BZ1807" s="81" t="n"/>
      <c r="CA1807" s="81" t="n"/>
      <c r="CB1807" s="81" t="n"/>
      <c r="CC1807" s="81" t="n"/>
      <c r="CD1807" s="81" t="n"/>
      <c r="CE1807" s="81" t="n"/>
      <c r="CF1807" s="81" t="n"/>
      <c r="CG1807" s="81" t="n"/>
      <c r="CH1807" s="81" t="n"/>
    </row>
    <row r="1808">
      <c r="A1808" s="81" t="n"/>
      <c r="B1808" s="81" t="n"/>
      <c r="C1808" s="81" t="n"/>
      <c r="D1808" s="81" t="n"/>
      <c r="E1808" s="81" t="n"/>
      <c r="F1808" s="81" t="n"/>
      <c r="G1808" s="81" t="n"/>
      <c r="H1808" s="81" t="n"/>
      <c r="I1808" s="81" t="n"/>
      <c r="J1808" s="81" t="n"/>
      <c r="K1808" s="81" t="n"/>
      <c r="L1808" s="81" t="n"/>
      <c r="M1808" s="81" t="n"/>
      <c r="N1808" s="81" t="n"/>
      <c r="O1808" s="81" t="n"/>
      <c r="P1808" s="81" t="n"/>
      <c r="Q1808" s="81" t="n"/>
      <c r="R1808" s="81" t="n"/>
      <c r="S1808" s="81" t="n"/>
      <c r="T1808" s="81" t="n"/>
      <c r="U1808" s="81" t="n"/>
      <c r="V1808" s="81" t="n"/>
      <c r="W1808" s="81" t="n"/>
      <c r="X1808" s="81" t="n"/>
      <c r="Y1808" s="81" t="n"/>
      <c r="Z1808" s="81" t="n"/>
      <c r="AA1808" s="81" t="n"/>
      <c r="AB1808" s="81" t="n"/>
      <c r="AC1808" s="81" t="n"/>
      <c r="AD1808" s="81" t="n"/>
      <c r="AE1808" s="81" t="n"/>
      <c r="AF1808" s="81" t="n"/>
      <c r="AG1808" s="81" t="n"/>
      <c r="AH1808" s="81" t="n"/>
      <c r="AI1808" s="81" t="n"/>
      <c r="AJ1808" s="81" t="n"/>
      <c r="AK1808" s="81" t="n"/>
      <c r="AL1808" s="81" t="n"/>
      <c r="AM1808" s="81" t="n"/>
      <c r="AN1808" s="81" t="n"/>
      <c r="AO1808" s="81" t="n"/>
      <c r="AP1808" s="81" t="n"/>
      <c r="AQ1808" s="81" t="n"/>
      <c r="AR1808" s="81" t="n"/>
      <c r="AS1808" s="81" t="n"/>
      <c r="AT1808" s="81" t="n"/>
      <c r="AU1808" s="81" t="n"/>
      <c r="AV1808" s="81" t="n"/>
      <c r="AW1808" s="81" t="n"/>
      <c r="AX1808" s="81" t="n"/>
      <c r="AY1808" s="81" t="n"/>
      <c r="AZ1808" s="81" t="n"/>
      <c r="BA1808" s="81" t="n"/>
      <c r="BB1808" s="81" t="n"/>
      <c r="BC1808" s="81" t="n"/>
      <c r="BD1808" s="81" t="n"/>
      <c r="BE1808" s="81" t="n"/>
      <c r="BF1808" s="81" t="n"/>
      <c r="BG1808" s="81" t="n"/>
      <c r="BH1808" s="81" t="n"/>
      <c r="BI1808" s="81" t="n"/>
      <c r="BJ1808" s="81" t="n"/>
      <c r="BK1808" s="81" t="n"/>
      <c r="BL1808" s="81" t="n"/>
      <c r="BM1808" s="81" t="n"/>
      <c r="BN1808" s="81" t="n"/>
      <c r="BO1808" s="81" t="n"/>
      <c r="BP1808" s="81" t="n"/>
      <c r="BQ1808" s="81" t="n"/>
      <c r="BR1808" s="81" t="n"/>
      <c r="BS1808" s="81" t="n"/>
      <c r="BT1808" s="81" t="n"/>
      <c r="BU1808" s="81" t="n"/>
      <c r="BV1808" s="81" t="n"/>
      <c r="BW1808" s="81" t="n"/>
      <c r="BX1808" s="81" t="n"/>
      <c r="BY1808" s="81" t="n"/>
      <c r="BZ1808" s="81" t="n"/>
      <c r="CA1808" s="81" t="n"/>
      <c r="CB1808" s="81" t="n"/>
      <c r="CC1808" s="81" t="n"/>
      <c r="CD1808" s="81" t="n"/>
      <c r="CE1808" s="81" t="n"/>
      <c r="CF1808" s="81" t="n"/>
      <c r="CG1808" s="81" t="n"/>
      <c r="CH1808" s="81" t="n"/>
    </row>
    <row r="1809">
      <c r="A1809" s="81" t="n"/>
      <c r="B1809" s="81" t="n"/>
      <c r="C1809" s="81" t="n"/>
      <c r="D1809" s="81" t="n"/>
      <c r="E1809" s="81" t="n"/>
      <c r="F1809" s="81" t="n"/>
      <c r="G1809" s="81" t="n"/>
      <c r="H1809" s="81" t="n"/>
      <c r="I1809" s="81" t="n"/>
      <c r="J1809" s="81" t="n"/>
      <c r="K1809" s="81" t="n"/>
      <c r="L1809" s="81" t="n"/>
      <c r="M1809" s="81" t="n"/>
      <c r="N1809" s="81" t="n"/>
      <c r="O1809" s="81" t="n"/>
      <c r="P1809" s="81" t="n"/>
      <c r="Q1809" s="81" t="n"/>
      <c r="R1809" s="81" t="n"/>
      <c r="S1809" s="81" t="n"/>
      <c r="T1809" s="81" t="n"/>
      <c r="U1809" s="81" t="n"/>
      <c r="V1809" s="81" t="n"/>
      <c r="W1809" s="81" t="n"/>
      <c r="X1809" s="81" t="n"/>
      <c r="Y1809" s="81" t="n"/>
      <c r="Z1809" s="81" t="n"/>
      <c r="AA1809" s="81" t="n"/>
      <c r="AB1809" s="81" t="n"/>
      <c r="AC1809" s="81" t="n"/>
      <c r="AD1809" s="81" t="n"/>
      <c r="AE1809" s="81" t="n"/>
      <c r="AF1809" s="81" t="n"/>
      <c r="AG1809" s="81" t="n"/>
      <c r="AH1809" s="81" t="n"/>
      <c r="AI1809" s="81" t="n"/>
      <c r="AJ1809" s="81" t="n"/>
      <c r="AK1809" s="81" t="n"/>
      <c r="AL1809" s="81" t="n"/>
      <c r="AM1809" s="81" t="n"/>
      <c r="AN1809" s="81" t="n"/>
      <c r="AO1809" s="81" t="n"/>
      <c r="AP1809" s="81" t="n"/>
      <c r="AQ1809" s="81" t="n"/>
      <c r="AR1809" s="81" t="n"/>
      <c r="AS1809" s="81" t="n"/>
      <c r="AT1809" s="81" t="n"/>
      <c r="AU1809" s="81" t="n"/>
      <c r="AV1809" s="81" t="n"/>
      <c r="AW1809" s="81" t="n"/>
      <c r="AX1809" s="81" t="n"/>
      <c r="AY1809" s="81" t="n"/>
      <c r="AZ1809" s="81" t="n"/>
      <c r="BA1809" s="81" t="n"/>
      <c r="BB1809" s="81" t="n"/>
      <c r="BC1809" s="81" t="n"/>
      <c r="BD1809" s="81" t="n"/>
      <c r="BE1809" s="81" t="n"/>
      <c r="BF1809" s="81" t="n"/>
      <c r="BG1809" s="81" t="n"/>
      <c r="BH1809" s="81" t="n"/>
      <c r="BI1809" s="81" t="n"/>
      <c r="BJ1809" s="81" t="n"/>
      <c r="BK1809" s="81" t="n"/>
      <c r="BL1809" s="81" t="n"/>
      <c r="BM1809" s="81" t="n"/>
      <c r="BN1809" s="81" t="n"/>
      <c r="BO1809" s="81" t="n"/>
      <c r="BP1809" s="81" t="n"/>
      <c r="BQ1809" s="81" t="n"/>
      <c r="BR1809" s="81" t="n"/>
      <c r="BS1809" s="81" t="n"/>
      <c r="BT1809" s="81" t="n"/>
      <c r="BU1809" s="81" t="n"/>
      <c r="BV1809" s="81" t="n"/>
      <c r="BW1809" s="81" t="n"/>
      <c r="BX1809" s="81" t="n"/>
      <c r="BY1809" s="81" t="n"/>
      <c r="BZ1809" s="81" t="n"/>
      <c r="CA1809" s="81" t="n"/>
      <c r="CB1809" s="81" t="n"/>
      <c r="CC1809" s="81" t="n"/>
      <c r="CD1809" s="81" t="n"/>
      <c r="CE1809" s="81" t="n"/>
      <c r="CF1809" s="81" t="n"/>
      <c r="CG1809" s="81" t="n"/>
      <c r="CH1809" s="81" t="n"/>
    </row>
    <row r="1810">
      <c r="A1810" s="81" t="n"/>
      <c r="B1810" s="81" t="n"/>
      <c r="C1810" s="81" t="n"/>
      <c r="D1810" s="81" t="n"/>
      <c r="E1810" s="81" t="n"/>
      <c r="F1810" s="81" t="n"/>
      <c r="G1810" s="81" t="n"/>
      <c r="H1810" s="81" t="n"/>
      <c r="I1810" s="81" t="n"/>
      <c r="J1810" s="81" t="n"/>
      <c r="K1810" s="81" t="n"/>
      <c r="L1810" s="81" t="n"/>
      <c r="M1810" s="81" t="n"/>
      <c r="N1810" s="81" t="n"/>
      <c r="O1810" s="81" t="n"/>
      <c r="P1810" s="81" t="n"/>
      <c r="Q1810" s="81" t="n"/>
      <c r="R1810" s="81" t="n"/>
      <c r="S1810" s="81" t="n"/>
      <c r="T1810" s="81" t="n"/>
      <c r="U1810" s="81" t="n"/>
      <c r="V1810" s="81" t="n"/>
      <c r="W1810" s="81" t="n"/>
      <c r="X1810" s="81" t="n"/>
      <c r="Y1810" s="81" t="n"/>
      <c r="Z1810" s="81" t="n"/>
      <c r="AA1810" s="81" t="n"/>
      <c r="AB1810" s="81" t="n"/>
      <c r="AC1810" s="81" t="n"/>
      <c r="AD1810" s="81" t="n"/>
      <c r="AE1810" s="81" t="n"/>
      <c r="AF1810" s="81" t="n"/>
      <c r="AG1810" s="81" t="n"/>
      <c r="AH1810" s="81" t="n"/>
      <c r="AI1810" s="81" t="n"/>
      <c r="AJ1810" s="81" t="n"/>
      <c r="AK1810" s="81" t="n"/>
      <c r="AL1810" s="81" t="n"/>
      <c r="AM1810" s="81" t="n"/>
      <c r="AN1810" s="81" t="n"/>
      <c r="AO1810" s="81" t="n"/>
      <c r="AP1810" s="81" t="n"/>
      <c r="AQ1810" s="81" t="n"/>
      <c r="AR1810" s="81" t="n"/>
      <c r="AS1810" s="81" t="n"/>
      <c r="AT1810" s="81" t="n"/>
      <c r="AU1810" s="81" t="n"/>
      <c r="AV1810" s="81" t="n"/>
      <c r="AW1810" s="81" t="n"/>
      <c r="AX1810" s="81" t="n"/>
      <c r="AY1810" s="81" t="n"/>
      <c r="AZ1810" s="81" t="n"/>
      <c r="BA1810" s="81" t="n"/>
      <c r="BB1810" s="81" t="n"/>
      <c r="BC1810" s="81" t="n"/>
      <c r="BD1810" s="81" t="n"/>
      <c r="BE1810" s="81" t="n"/>
      <c r="BF1810" s="81" t="n"/>
      <c r="BG1810" s="81" t="n"/>
      <c r="BH1810" s="81" t="n"/>
      <c r="BI1810" s="81" t="n"/>
      <c r="BJ1810" s="81" t="n"/>
      <c r="BK1810" s="81" t="n"/>
      <c r="BL1810" s="81" t="n"/>
      <c r="BM1810" s="81" t="n"/>
      <c r="BN1810" s="81" t="n"/>
      <c r="BO1810" s="81" t="n"/>
      <c r="BP1810" s="81" t="n"/>
      <c r="BQ1810" s="81" t="n"/>
      <c r="BR1810" s="81" t="n"/>
      <c r="BS1810" s="81" t="n"/>
      <c r="BT1810" s="81" t="n"/>
      <c r="BU1810" s="81" t="n"/>
      <c r="BV1810" s="81" t="n"/>
      <c r="BW1810" s="81" t="n"/>
      <c r="BX1810" s="81" t="n"/>
      <c r="BY1810" s="81" t="n"/>
      <c r="BZ1810" s="81" t="n"/>
      <c r="CA1810" s="81" t="n"/>
      <c r="CB1810" s="81" t="n"/>
      <c r="CC1810" s="81" t="n"/>
      <c r="CD1810" s="81" t="n"/>
      <c r="CE1810" s="81" t="n"/>
      <c r="CF1810" s="81" t="n"/>
      <c r="CG1810" s="81" t="n"/>
      <c r="CH1810" s="81" t="n"/>
    </row>
    <row r="1811">
      <c r="A1811" s="81" t="n"/>
      <c r="B1811" s="81" t="n"/>
      <c r="C1811" s="81" t="n"/>
      <c r="D1811" s="81" t="n"/>
      <c r="E1811" s="81" t="n"/>
      <c r="F1811" s="81" t="n"/>
      <c r="G1811" s="81" t="n"/>
      <c r="H1811" s="81" t="n"/>
      <c r="I1811" s="81" t="n"/>
      <c r="J1811" s="81" t="n"/>
      <c r="K1811" s="81" t="n"/>
      <c r="L1811" s="81" t="n"/>
      <c r="M1811" s="81" t="n"/>
      <c r="N1811" s="81" t="n"/>
      <c r="O1811" s="81" t="n"/>
      <c r="P1811" s="81" t="n"/>
      <c r="Q1811" s="81" t="n"/>
      <c r="R1811" s="81" t="n"/>
      <c r="S1811" s="81" t="n"/>
      <c r="T1811" s="81" t="n"/>
      <c r="U1811" s="81" t="n"/>
      <c r="V1811" s="81" t="n"/>
      <c r="W1811" s="81" t="n"/>
      <c r="X1811" s="81" t="n"/>
      <c r="Y1811" s="81" t="n"/>
      <c r="Z1811" s="81" t="n"/>
      <c r="AA1811" s="81" t="n"/>
      <c r="AB1811" s="81" t="n"/>
      <c r="AC1811" s="81" t="n"/>
      <c r="AD1811" s="81" t="n"/>
      <c r="AE1811" s="81" t="n"/>
      <c r="AF1811" s="81" t="n"/>
      <c r="AG1811" s="81" t="n"/>
      <c r="AH1811" s="81" t="n"/>
      <c r="AI1811" s="81" t="n"/>
      <c r="AJ1811" s="81" t="n"/>
      <c r="AK1811" s="81" t="n"/>
      <c r="AL1811" s="81" t="n"/>
      <c r="AM1811" s="81" t="n"/>
      <c r="AN1811" s="81" t="n"/>
      <c r="AO1811" s="81" t="n"/>
      <c r="AP1811" s="81" t="n"/>
      <c r="AQ1811" s="81" t="n"/>
      <c r="AR1811" s="81" t="n"/>
      <c r="AS1811" s="81" t="n"/>
      <c r="AT1811" s="81" t="n"/>
      <c r="AU1811" s="81" t="n"/>
      <c r="AV1811" s="81" t="n"/>
      <c r="AW1811" s="81" t="n"/>
      <c r="AX1811" s="81" t="n"/>
      <c r="AY1811" s="81" t="n"/>
      <c r="AZ1811" s="81" t="n"/>
      <c r="BA1811" s="81" t="n"/>
      <c r="BB1811" s="81" t="n"/>
      <c r="BC1811" s="81" t="n"/>
      <c r="BD1811" s="81" t="n"/>
      <c r="BE1811" s="81" t="n"/>
      <c r="BF1811" s="81" t="n"/>
      <c r="BG1811" s="81" t="n"/>
      <c r="BH1811" s="81" t="n"/>
      <c r="BI1811" s="81" t="n"/>
      <c r="BJ1811" s="81" t="n"/>
      <c r="BK1811" s="81" t="n"/>
      <c r="BL1811" s="81" t="n"/>
      <c r="BM1811" s="81" t="n"/>
      <c r="BN1811" s="81" t="n"/>
      <c r="BO1811" s="81" t="n"/>
      <c r="BP1811" s="81" t="n"/>
      <c r="BQ1811" s="81" t="n"/>
      <c r="BR1811" s="81" t="n"/>
      <c r="BS1811" s="81" t="n"/>
      <c r="BT1811" s="81" t="n"/>
      <c r="BU1811" s="81" t="n"/>
      <c r="BV1811" s="81" t="n"/>
      <c r="BW1811" s="81" t="n"/>
      <c r="BX1811" s="81" t="n"/>
      <c r="BY1811" s="81" t="n"/>
      <c r="BZ1811" s="81" t="n"/>
      <c r="CA1811" s="81" t="n"/>
      <c r="CB1811" s="81" t="n"/>
      <c r="CC1811" s="81" t="n"/>
      <c r="CD1811" s="81" t="n"/>
      <c r="CE1811" s="81" t="n"/>
      <c r="CF1811" s="81" t="n"/>
      <c r="CG1811" s="81" t="n"/>
      <c r="CH1811" s="81" t="n"/>
    </row>
    <row r="1812">
      <c r="A1812" s="81" t="n"/>
      <c r="B1812" s="81" t="n"/>
      <c r="C1812" s="81" t="n"/>
      <c r="D1812" s="81" t="n"/>
      <c r="E1812" s="81" t="n"/>
      <c r="F1812" s="81" t="n"/>
      <c r="G1812" s="81" t="n"/>
      <c r="H1812" s="81" t="n"/>
      <c r="I1812" s="81" t="n"/>
      <c r="J1812" s="81" t="n"/>
      <c r="K1812" s="81" t="n"/>
      <c r="L1812" s="81" t="n"/>
      <c r="M1812" s="81" t="n"/>
      <c r="N1812" s="81" t="n"/>
      <c r="O1812" s="81" t="n"/>
      <c r="P1812" s="81" t="n"/>
      <c r="Q1812" s="81" t="n"/>
      <c r="R1812" s="81" t="n"/>
      <c r="S1812" s="81" t="n"/>
      <c r="T1812" s="81" t="n"/>
      <c r="U1812" s="81" t="n"/>
      <c r="V1812" s="81" t="n"/>
      <c r="W1812" s="81" t="n"/>
      <c r="X1812" s="81" t="n"/>
      <c r="Y1812" s="81" t="n"/>
      <c r="Z1812" s="81" t="n"/>
      <c r="AA1812" s="81" t="n"/>
      <c r="AB1812" s="81" t="n"/>
      <c r="AC1812" s="81" t="n"/>
      <c r="AD1812" s="81" t="n"/>
      <c r="AE1812" s="81" t="n"/>
      <c r="AF1812" s="81" t="n"/>
      <c r="AG1812" s="81" t="n"/>
      <c r="AH1812" s="81" t="n"/>
      <c r="AI1812" s="81" t="n"/>
      <c r="AJ1812" s="81" t="n"/>
      <c r="AK1812" s="81" t="n"/>
      <c r="AL1812" s="81" t="n"/>
      <c r="AM1812" s="81" t="n"/>
      <c r="AN1812" s="81" t="n"/>
      <c r="AO1812" s="81" t="n"/>
      <c r="AP1812" s="81" t="n"/>
      <c r="AQ1812" s="81" t="n"/>
      <c r="AR1812" s="81" t="n"/>
      <c r="AS1812" s="81" t="n"/>
      <c r="AT1812" s="81" t="n"/>
      <c r="AU1812" s="81" t="n"/>
      <c r="AV1812" s="81" t="n"/>
      <c r="AW1812" s="81" t="n"/>
      <c r="AX1812" s="81" t="n"/>
      <c r="AY1812" s="81" t="n"/>
      <c r="AZ1812" s="81" t="n"/>
      <c r="BA1812" s="81" t="n"/>
      <c r="BB1812" s="81" t="n"/>
      <c r="BC1812" s="81" t="n"/>
      <c r="BD1812" s="81" t="n"/>
      <c r="BE1812" s="81" t="n"/>
      <c r="BF1812" s="81" t="n"/>
      <c r="BG1812" s="81" t="n"/>
      <c r="BH1812" s="81" t="n"/>
      <c r="BI1812" s="81" t="n"/>
      <c r="BJ1812" s="81" t="n"/>
      <c r="BK1812" s="81" t="n"/>
      <c r="BL1812" s="81" t="n"/>
      <c r="BM1812" s="81" t="n"/>
      <c r="BN1812" s="81" t="n"/>
      <c r="BO1812" s="81" t="n"/>
      <c r="BP1812" s="81" t="n"/>
      <c r="BQ1812" s="81" t="n"/>
      <c r="BR1812" s="81" t="n"/>
      <c r="BS1812" s="81" t="n"/>
      <c r="BT1812" s="81" t="n"/>
      <c r="BU1812" s="81" t="n"/>
      <c r="BV1812" s="81" t="n"/>
      <c r="BW1812" s="81" t="n"/>
      <c r="BX1812" s="81" t="n"/>
      <c r="BY1812" s="81" t="n"/>
      <c r="BZ1812" s="81" t="n"/>
      <c r="CA1812" s="81" t="n"/>
      <c r="CB1812" s="81" t="n"/>
      <c r="CC1812" s="81" t="n"/>
      <c r="CD1812" s="81" t="n"/>
      <c r="CE1812" s="81" t="n"/>
      <c r="CF1812" s="81" t="n"/>
      <c r="CG1812" s="81" t="n"/>
      <c r="CH1812" s="81" t="n"/>
    </row>
    <row r="1813">
      <c r="A1813" s="81" t="n"/>
      <c r="B1813" s="81" t="n"/>
      <c r="C1813" s="81" t="n"/>
      <c r="D1813" s="81" t="n"/>
      <c r="E1813" s="81" t="n"/>
      <c r="F1813" s="81" t="n"/>
      <c r="G1813" s="81" t="n"/>
      <c r="H1813" s="81" t="n"/>
      <c r="I1813" s="81" t="n"/>
      <c r="J1813" s="81" t="n"/>
      <c r="K1813" s="81" t="n"/>
      <c r="L1813" s="81" t="n"/>
      <c r="M1813" s="81" t="n"/>
      <c r="N1813" s="81" t="n"/>
      <c r="O1813" s="81" t="n"/>
      <c r="P1813" s="81" t="n"/>
      <c r="Q1813" s="81" t="n"/>
      <c r="R1813" s="81" t="n"/>
      <c r="S1813" s="81" t="n"/>
      <c r="T1813" s="81" t="n"/>
      <c r="U1813" s="81" t="n"/>
      <c r="V1813" s="81" t="n"/>
      <c r="W1813" s="81" t="n"/>
      <c r="X1813" s="81" t="n"/>
      <c r="Y1813" s="81" t="n"/>
      <c r="Z1813" s="81" t="n"/>
      <c r="AA1813" s="81" t="n"/>
      <c r="AB1813" s="81" t="n"/>
      <c r="AC1813" s="81" t="n"/>
      <c r="AD1813" s="81" t="n"/>
      <c r="AE1813" s="81" t="n"/>
      <c r="AF1813" s="81" t="n"/>
      <c r="AG1813" s="81" t="n"/>
      <c r="AH1813" s="81" t="n"/>
      <c r="AI1813" s="81" t="n"/>
      <c r="AJ1813" s="81" t="n"/>
      <c r="AK1813" s="81" t="n"/>
      <c r="AL1813" s="81" t="n"/>
      <c r="AM1813" s="81" t="n"/>
      <c r="AN1813" s="81" t="n"/>
      <c r="AO1813" s="81" t="n"/>
      <c r="AP1813" s="81" t="n"/>
      <c r="AQ1813" s="81" t="n"/>
      <c r="AR1813" s="81" t="n"/>
      <c r="AS1813" s="81" t="n"/>
      <c r="AT1813" s="81" t="n"/>
      <c r="AU1813" s="81" t="n"/>
      <c r="AV1813" s="81" t="n"/>
      <c r="AW1813" s="81" t="n"/>
      <c r="AX1813" s="81" t="n"/>
      <c r="AY1813" s="81" t="n"/>
      <c r="AZ1813" s="81" t="n"/>
      <c r="BA1813" s="81" t="n"/>
      <c r="BB1813" s="81" t="n"/>
      <c r="BC1813" s="81" t="n"/>
      <c r="BD1813" s="81" t="n"/>
      <c r="BE1813" s="81" t="n"/>
      <c r="BF1813" s="81" t="n"/>
      <c r="BG1813" s="81" t="n"/>
      <c r="BH1813" s="81" t="n"/>
      <c r="BI1813" s="81" t="n"/>
      <c r="BJ1813" s="81" t="n"/>
      <c r="BK1813" s="81" t="n"/>
      <c r="BL1813" s="81" t="n"/>
      <c r="BM1813" s="81" t="n"/>
      <c r="BN1813" s="81" t="n"/>
      <c r="BO1813" s="81" t="n"/>
      <c r="BP1813" s="81" t="n"/>
      <c r="BQ1813" s="81" t="n"/>
      <c r="BR1813" s="81" t="n"/>
      <c r="BS1813" s="81" t="n"/>
      <c r="BT1813" s="81" t="n"/>
      <c r="BU1813" s="81" t="n"/>
      <c r="BV1813" s="81" t="n"/>
      <c r="BW1813" s="81" t="n"/>
      <c r="BX1813" s="81" t="n"/>
      <c r="BY1813" s="81" t="n"/>
      <c r="BZ1813" s="81" t="n"/>
      <c r="CA1813" s="81" t="n"/>
      <c r="CB1813" s="81" t="n"/>
      <c r="CC1813" s="81" t="n"/>
      <c r="CD1813" s="81" t="n"/>
      <c r="CE1813" s="81" t="n"/>
      <c r="CF1813" s="81" t="n"/>
      <c r="CG1813" s="81" t="n"/>
      <c r="CH1813" s="81" t="n"/>
    </row>
    <row r="1814">
      <c r="A1814" s="81" t="n"/>
      <c r="B1814" s="81" t="n"/>
      <c r="C1814" s="81" t="n"/>
      <c r="D1814" s="81" t="n"/>
      <c r="E1814" s="81" t="n"/>
      <c r="F1814" s="81" t="n"/>
      <c r="G1814" s="81" t="n"/>
      <c r="H1814" s="81" t="n"/>
      <c r="I1814" s="81" t="n"/>
      <c r="J1814" s="81" t="n"/>
      <c r="K1814" s="81" t="n"/>
      <c r="L1814" s="81" t="n"/>
      <c r="M1814" s="81" t="n"/>
      <c r="N1814" s="81" t="n"/>
      <c r="O1814" s="81" t="n"/>
      <c r="P1814" s="81" t="n"/>
      <c r="Q1814" s="81" t="n"/>
      <c r="R1814" s="81" t="n"/>
      <c r="S1814" s="81" t="n"/>
      <c r="T1814" s="81" t="n"/>
      <c r="U1814" s="81" t="n"/>
      <c r="V1814" s="81" t="n"/>
      <c r="W1814" s="81" t="n"/>
      <c r="X1814" s="81" t="n"/>
      <c r="Y1814" s="81" t="n"/>
      <c r="Z1814" s="81" t="n"/>
      <c r="AA1814" s="81" t="n"/>
      <c r="AB1814" s="81" t="n"/>
      <c r="AC1814" s="81" t="n"/>
      <c r="AD1814" s="81" t="n"/>
      <c r="AE1814" s="81" t="n"/>
      <c r="AF1814" s="81" t="n"/>
      <c r="AG1814" s="81" t="n"/>
      <c r="AH1814" s="81" t="n"/>
      <c r="AI1814" s="81" t="n"/>
      <c r="AJ1814" s="81" t="n"/>
      <c r="AK1814" s="81" t="n"/>
      <c r="AL1814" s="81" t="n"/>
      <c r="AM1814" s="81" t="n"/>
      <c r="AN1814" s="81" t="n"/>
      <c r="AO1814" s="81" t="n"/>
      <c r="AP1814" s="81" t="n"/>
      <c r="AQ1814" s="81" t="n"/>
      <c r="AR1814" s="81" t="n"/>
      <c r="AS1814" s="81" t="n"/>
      <c r="AT1814" s="81" t="n"/>
      <c r="AU1814" s="81" t="n"/>
      <c r="AV1814" s="81" t="n"/>
      <c r="AW1814" s="81" t="n"/>
      <c r="AX1814" s="81" t="n"/>
      <c r="AY1814" s="81" t="n"/>
      <c r="AZ1814" s="81" t="n"/>
      <c r="BA1814" s="81" t="n"/>
      <c r="BB1814" s="81" t="n"/>
      <c r="BC1814" s="81" t="n"/>
      <c r="BD1814" s="81" t="n"/>
      <c r="BE1814" s="81" t="n"/>
      <c r="BF1814" s="81" t="n"/>
      <c r="BG1814" s="81" t="n"/>
      <c r="BH1814" s="81" t="n"/>
      <c r="BI1814" s="81" t="n"/>
      <c r="BJ1814" s="81" t="n"/>
      <c r="BK1814" s="81" t="n"/>
      <c r="BL1814" s="81" t="n"/>
      <c r="BM1814" s="81" t="n"/>
      <c r="BN1814" s="81" t="n"/>
      <c r="BO1814" s="81" t="n"/>
      <c r="BP1814" s="81" t="n"/>
      <c r="BQ1814" s="81" t="n"/>
      <c r="BR1814" s="81" t="n"/>
      <c r="BS1814" s="81" t="n"/>
      <c r="BT1814" s="81" t="n"/>
      <c r="BU1814" s="81" t="n"/>
      <c r="BV1814" s="81" t="n"/>
      <c r="BW1814" s="81" t="n"/>
      <c r="BX1814" s="81" t="n"/>
      <c r="BY1814" s="81" t="n"/>
      <c r="BZ1814" s="81" t="n"/>
      <c r="CA1814" s="81" t="n"/>
      <c r="CB1814" s="81" t="n"/>
      <c r="CC1814" s="81" t="n"/>
      <c r="CD1814" s="81" t="n"/>
      <c r="CE1814" s="81" t="n"/>
      <c r="CF1814" s="81" t="n"/>
      <c r="CG1814" s="81" t="n"/>
      <c r="CH1814" s="81" t="n"/>
    </row>
    <row r="1815">
      <c r="A1815" s="81" t="n"/>
      <c r="B1815" s="81" t="n"/>
      <c r="C1815" s="81" t="n"/>
      <c r="D1815" s="81" t="n"/>
      <c r="E1815" s="81" t="n"/>
      <c r="F1815" s="81" t="n"/>
      <c r="G1815" s="81" t="n"/>
      <c r="H1815" s="81" t="n"/>
      <c r="I1815" s="81" t="n"/>
      <c r="J1815" s="81" t="n"/>
      <c r="K1815" s="81" t="n"/>
      <c r="L1815" s="81" t="n"/>
      <c r="M1815" s="81" t="n"/>
      <c r="N1815" s="81" t="n"/>
      <c r="O1815" s="81" t="n"/>
      <c r="P1815" s="81" t="n"/>
      <c r="Q1815" s="81" t="n"/>
      <c r="R1815" s="81" t="n"/>
      <c r="S1815" s="81" t="n"/>
      <c r="T1815" s="81" t="n"/>
      <c r="U1815" s="81" t="n"/>
      <c r="V1815" s="81" t="n"/>
      <c r="W1815" s="81" t="n"/>
      <c r="X1815" s="81" t="n"/>
      <c r="Y1815" s="81" t="n"/>
      <c r="Z1815" s="81" t="n"/>
      <c r="AA1815" s="81" t="n"/>
      <c r="AB1815" s="81" t="n"/>
      <c r="AC1815" s="81" t="n"/>
      <c r="AD1815" s="81" t="n"/>
      <c r="AE1815" s="81" t="n"/>
      <c r="AF1815" s="81" t="n"/>
      <c r="AG1815" s="81" t="n"/>
      <c r="AH1815" s="81" t="n"/>
      <c r="AI1815" s="81" t="n"/>
      <c r="AJ1815" s="81" t="n"/>
      <c r="AK1815" s="81" t="n"/>
      <c r="AL1815" s="81" t="n"/>
      <c r="AM1815" s="81" t="n"/>
      <c r="AN1815" s="81" t="n"/>
      <c r="AO1815" s="81" t="n"/>
      <c r="AP1815" s="81" t="n"/>
      <c r="AQ1815" s="81" t="n"/>
      <c r="AR1815" s="81" t="n"/>
      <c r="AS1815" s="81" t="n"/>
      <c r="AT1815" s="81" t="n"/>
      <c r="AU1815" s="81" t="n"/>
      <c r="AV1815" s="81" t="n"/>
      <c r="AW1815" s="81" t="n"/>
      <c r="AX1815" s="81" t="n"/>
      <c r="AY1815" s="81" t="n"/>
      <c r="AZ1815" s="81" t="n"/>
      <c r="BA1815" s="81" t="n"/>
      <c r="BB1815" s="81" t="n"/>
      <c r="BC1815" s="81" t="n"/>
      <c r="BD1815" s="81" t="n"/>
      <c r="BE1815" s="81" t="n"/>
      <c r="BF1815" s="81" t="n"/>
      <c r="BG1815" s="81" t="n"/>
      <c r="BH1815" s="81" t="n"/>
      <c r="BI1815" s="81" t="n"/>
      <c r="BJ1815" s="81" t="n"/>
      <c r="BK1815" s="81" t="n"/>
      <c r="BL1815" s="81" t="n"/>
      <c r="BM1815" s="81" t="n"/>
      <c r="BN1815" s="81" t="n"/>
      <c r="BO1815" s="81" t="n"/>
      <c r="BP1815" s="81" t="n"/>
      <c r="BQ1815" s="81" t="n"/>
      <c r="BR1815" s="81" t="n"/>
      <c r="BS1815" s="81" t="n"/>
      <c r="BT1815" s="81" t="n"/>
      <c r="BU1815" s="81" t="n"/>
      <c r="BV1815" s="81" t="n"/>
      <c r="BW1815" s="81" t="n"/>
      <c r="BX1815" s="81" t="n"/>
      <c r="BY1815" s="81" t="n"/>
      <c r="BZ1815" s="81" t="n"/>
      <c r="CA1815" s="81" t="n"/>
      <c r="CB1815" s="81" t="n"/>
      <c r="CC1815" s="81" t="n"/>
      <c r="CD1815" s="81" t="n"/>
      <c r="CE1815" s="81" t="n"/>
      <c r="CF1815" s="81" t="n"/>
      <c r="CG1815" s="81" t="n"/>
      <c r="CH1815" s="81" t="n"/>
    </row>
    <row r="1816">
      <c r="A1816" s="81" t="n"/>
      <c r="B1816" s="81" t="n"/>
      <c r="C1816" s="81" t="n"/>
      <c r="D1816" s="81" t="n"/>
      <c r="E1816" s="81" t="n"/>
      <c r="F1816" s="81" t="n"/>
      <c r="G1816" s="81" t="n"/>
      <c r="H1816" s="81" t="n"/>
      <c r="I1816" s="81" t="n"/>
      <c r="J1816" s="81" t="n"/>
      <c r="K1816" s="81" t="n"/>
      <c r="L1816" s="81" t="n"/>
      <c r="M1816" s="81" t="n"/>
      <c r="N1816" s="81" t="n"/>
      <c r="O1816" s="81" t="n"/>
      <c r="P1816" s="81" t="n"/>
      <c r="Q1816" s="81" t="n"/>
      <c r="R1816" s="81" t="n"/>
      <c r="S1816" s="81" t="n"/>
      <c r="T1816" s="81" t="n"/>
      <c r="U1816" s="81" t="n"/>
      <c r="V1816" s="81" t="n"/>
      <c r="W1816" s="81" t="n"/>
      <c r="X1816" s="81" t="n"/>
      <c r="Y1816" s="81" t="n"/>
      <c r="Z1816" s="81" t="n"/>
      <c r="AA1816" s="81" t="n"/>
      <c r="AB1816" s="81" t="n"/>
      <c r="AC1816" s="81" t="n"/>
      <c r="AD1816" s="81" t="n"/>
      <c r="AE1816" s="81" t="n"/>
      <c r="AF1816" s="81" t="n"/>
      <c r="AG1816" s="81" t="n"/>
      <c r="AH1816" s="81" t="n"/>
      <c r="AI1816" s="81" t="n"/>
      <c r="AJ1816" s="81" t="n"/>
      <c r="AK1816" s="81" t="n"/>
      <c r="AL1816" s="81" t="n"/>
      <c r="AM1816" s="81" t="n"/>
      <c r="AN1816" s="81" t="n"/>
      <c r="AO1816" s="81" t="n"/>
      <c r="AP1816" s="81" t="n"/>
      <c r="AQ1816" s="81" t="n"/>
      <c r="AR1816" s="81" t="n"/>
      <c r="AS1816" s="81" t="n"/>
      <c r="AT1816" s="81" t="n"/>
      <c r="AU1816" s="81" t="n"/>
      <c r="AV1816" s="81" t="n"/>
      <c r="AW1816" s="81" t="n"/>
      <c r="AX1816" s="81" t="n"/>
      <c r="AY1816" s="81" t="n"/>
      <c r="AZ1816" s="81" t="n"/>
      <c r="BA1816" s="81" t="n"/>
      <c r="BB1816" s="81" t="n"/>
      <c r="BC1816" s="81" t="n"/>
      <c r="BD1816" s="81" t="n"/>
      <c r="BE1816" s="81" t="n"/>
      <c r="BF1816" s="81" t="n"/>
      <c r="BG1816" s="81" t="n"/>
      <c r="BH1816" s="81" t="n"/>
      <c r="BI1816" s="81" t="n"/>
      <c r="BJ1816" s="81" t="n"/>
      <c r="BK1816" s="81" t="n"/>
      <c r="BL1816" s="81" t="n"/>
      <c r="BM1816" s="81" t="n"/>
      <c r="BN1816" s="81" t="n"/>
      <c r="BO1816" s="81" t="n"/>
      <c r="BP1816" s="81" t="n"/>
      <c r="BQ1816" s="81" t="n"/>
      <c r="BR1816" s="81" t="n"/>
      <c r="BS1816" s="81" t="n"/>
      <c r="BT1816" s="81" t="n"/>
      <c r="BU1816" s="81" t="n"/>
      <c r="BV1816" s="81" t="n"/>
      <c r="BW1816" s="81" t="n"/>
      <c r="BX1816" s="81" t="n"/>
      <c r="BY1816" s="81" t="n"/>
      <c r="BZ1816" s="81" t="n"/>
      <c r="CA1816" s="81" t="n"/>
      <c r="CB1816" s="81" t="n"/>
      <c r="CC1816" s="81" t="n"/>
      <c r="CD1816" s="81" t="n"/>
      <c r="CE1816" s="81" t="n"/>
      <c r="CF1816" s="81" t="n"/>
      <c r="CG1816" s="81" t="n"/>
      <c r="CH1816" s="81" t="n"/>
    </row>
    <row r="1817">
      <c r="A1817" s="81" t="n"/>
      <c r="B1817" s="81" t="n"/>
      <c r="C1817" s="81" t="n"/>
      <c r="D1817" s="81" t="n"/>
      <c r="E1817" s="81" t="n"/>
      <c r="F1817" s="81" t="n"/>
      <c r="G1817" s="81" t="n"/>
      <c r="H1817" s="81" t="n"/>
      <c r="I1817" s="81" t="n"/>
      <c r="J1817" s="81" t="n"/>
      <c r="K1817" s="81" t="n"/>
      <c r="L1817" s="81" t="n"/>
      <c r="M1817" s="81" t="n"/>
      <c r="N1817" s="81" t="n"/>
      <c r="O1817" s="81" t="n"/>
      <c r="P1817" s="81" t="n"/>
      <c r="Q1817" s="81" t="n"/>
      <c r="R1817" s="81" t="n"/>
      <c r="S1817" s="81" t="n"/>
      <c r="T1817" s="81" t="n"/>
      <c r="U1817" s="81" t="n"/>
      <c r="V1817" s="81" t="n"/>
      <c r="W1817" s="81" t="n"/>
      <c r="X1817" s="81" t="n"/>
      <c r="Y1817" s="81" t="n"/>
      <c r="Z1817" s="81" t="n"/>
      <c r="AA1817" s="81" t="n"/>
      <c r="AB1817" s="81" t="n"/>
      <c r="AC1817" s="81" t="n"/>
      <c r="AD1817" s="81" t="n"/>
      <c r="AE1817" s="81" t="n"/>
      <c r="AF1817" s="81" t="n"/>
      <c r="AG1817" s="81" t="n"/>
      <c r="AH1817" s="81" t="n"/>
      <c r="AI1817" s="81" t="n"/>
      <c r="AJ1817" s="81" t="n"/>
      <c r="AK1817" s="81" t="n"/>
      <c r="AL1817" s="81" t="n"/>
      <c r="AM1817" s="81" t="n"/>
      <c r="AN1817" s="81" t="n"/>
      <c r="AO1817" s="81" t="n"/>
      <c r="AP1817" s="81" t="n"/>
      <c r="AQ1817" s="81" t="n"/>
      <c r="AR1817" s="81" t="n"/>
      <c r="AS1817" s="81" t="n"/>
      <c r="AT1817" s="81" t="n"/>
      <c r="AU1817" s="81" t="n"/>
      <c r="AV1817" s="81" t="n"/>
      <c r="AW1817" s="81" t="n"/>
      <c r="AX1817" s="81" t="n"/>
      <c r="AY1817" s="81" t="n"/>
      <c r="AZ1817" s="81" t="n"/>
      <c r="BA1817" s="81" t="n"/>
      <c r="BB1817" s="81" t="n"/>
      <c r="BC1817" s="81" t="n"/>
      <c r="BD1817" s="81" t="n"/>
      <c r="BE1817" s="81" t="n"/>
      <c r="BF1817" s="81" t="n"/>
      <c r="BG1817" s="81" t="n"/>
      <c r="BH1817" s="81" t="n"/>
      <c r="BI1817" s="81" t="n"/>
      <c r="BJ1817" s="81" t="n"/>
      <c r="BK1817" s="81" t="n"/>
      <c r="BL1817" s="81" t="n"/>
      <c r="BM1817" s="81" t="n"/>
      <c r="BN1817" s="81" t="n"/>
      <c r="BO1817" s="81" t="n"/>
      <c r="BP1817" s="81" t="n"/>
      <c r="BQ1817" s="81" t="n"/>
      <c r="BR1817" s="81" t="n"/>
      <c r="BS1817" s="81" t="n"/>
      <c r="BT1817" s="81" t="n"/>
      <c r="BU1817" s="81" t="n"/>
      <c r="BV1817" s="81" t="n"/>
      <c r="BW1817" s="81" t="n"/>
      <c r="BX1817" s="81" t="n"/>
      <c r="BY1817" s="81" t="n"/>
      <c r="BZ1817" s="81" t="n"/>
      <c r="CA1817" s="81" t="n"/>
      <c r="CB1817" s="81" t="n"/>
      <c r="CC1817" s="81" t="n"/>
      <c r="CD1817" s="81" t="n"/>
      <c r="CE1817" s="81" t="n"/>
      <c r="CF1817" s="81" t="n"/>
      <c r="CG1817" s="81" t="n"/>
      <c r="CH1817" s="81" t="n"/>
    </row>
    <row r="1818">
      <c r="A1818" s="81" t="n"/>
      <c r="B1818" s="81" t="n"/>
      <c r="C1818" s="81" t="n"/>
      <c r="D1818" s="81" t="n"/>
      <c r="E1818" s="81" t="n"/>
      <c r="F1818" s="81" t="n"/>
      <c r="G1818" s="81" t="n"/>
      <c r="H1818" s="81" t="n"/>
      <c r="I1818" s="81" t="n"/>
      <c r="J1818" s="81" t="n"/>
      <c r="K1818" s="81" t="n"/>
      <c r="L1818" s="81" t="n"/>
      <c r="M1818" s="81" t="n"/>
      <c r="N1818" s="81" t="n"/>
      <c r="O1818" s="81" t="n"/>
      <c r="P1818" s="81" t="n"/>
      <c r="Q1818" s="81" t="n"/>
      <c r="R1818" s="81" t="n"/>
      <c r="S1818" s="81" t="n"/>
      <c r="T1818" s="81" t="n"/>
      <c r="U1818" s="81" t="n"/>
      <c r="V1818" s="81" t="n"/>
      <c r="W1818" s="81" t="n"/>
      <c r="X1818" s="81" t="n"/>
      <c r="Y1818" s="81" t="n"/>
      <c r="Z1818" s="81" t="n"/>
      <c r="AA1818" s="81" t="n"/>
      <c r="AB1818" s="81" t="n"/>
      <c r="AC1818" s="81" t="n"/>
      <c r="AD1818" s="81" t="n"/>
      <c r="AE1818" s="81" t="n"/>
      <c r="AF1818" s="81" t="n"/>
      <c r="AG1818" s="81" t="n"/>
      <c r="AH1818" s="81" t="n"/>
      <c r="AI1818" s="81" t="n"/>
      <c r="AJ1818" s="81" t="n"/>
      <c r="AK1818" s="81" t="n"/>
      <c r="AL1818" s="81" t="n"/>
      <c r="AM1818" s="81" t="n"/>
      <c r="AN1818" s="81" t="n"/>
      <c r="AO1818" s="81" t="n"/>
      <c r="AP1818" s="81" t="n"/>
      <c r="AQ1818" s="81" t="n"/>
      <c r="AR1818" s="81" t="n"/>
      <c r="AS1818" s="81" t="n"/>
      <c r="AT1818" s="81" t="n"/>
      <c r="AU1818" s="81" t="n"/>
      <c r="AV1818" s="81" t="n"/>
      <c r="AW1818" s="81" t="n"/>
      <c r="AX1818" s="81" t="n"/>
      <c r="AY1818" s="81" t="n"/>
      <c r="AZ1818" s="81" t="n"/>
      <c r="BA1818" s="81" t="n"/>
      <c r="BB1818" s="81" t="n"/>
      <c r="BC1818" s="81" t="n"/>
      <c r="BD1818" s="81" t="n"/>
      <c r="BE1818" s="81" t="n"/>
      <c r="BF1818" s="81" t="n"/>
      <c r="BG1818" s="81" t="n"/>
      <c r="BH1818" s="81" t="n"/>
      <c r="BI1818" s="81" t="n"/>
      <c r="BJ1818" s="81" t="n"/>
      <c r="BK1818" s="81" t="n"/>
      <c r="BL1818" s="81" t="n"/>
      <c r="BM1818" s="81" t="n"/>
      <c r="BN1818" s="81" t="n"/>
      <c r="BO1818" s="81" t="n"/>
      <c r="BP1818" s="81" t="n"/>
      <c r="BQ1818" s="81" t="n"/>
      <c r="BR1818" s="81" t="n"/>
      <c r="BS1818" s="81" t="n"/>
      <c r="BT1818" s="81" t="n"/>
      <c r="BU1818" s="81" t="n"/>
      <c r="BV1818" s="81" t="n"/>
      <c r="BW1818" s="81" t="n"/>
      <c r="BX1818" s="81" t="n"/>
      <c r="BY1818" s="81" t="n"/>
      <c r="BZ1818" s="81" t="n"/>
      <c r="CA1818" s="81" t="n"/>
      <c r="CB1818" s="81" t="n"/>
      <c r="CC1818" s="81" t="n"/>
      <c r="CD1818" s="81" t="n"/>
      <c r="CE1818" s="81" t="n"/>
      <c r="CF1818" s="81" t="n"/>
      <c r="CG1818" s="81" t="n"/>
      <c r="CH1818" s="81" t="n"/>
    </row>
    <row r="1819">
      <c r="A1819" s="81" t="n"/>
      <c r="B1819" s="81" t="n"/>
      <c r="C1819" s="81" t="n"/>
      <c r="D1819" s="81" t="n"/>
      <c r="E1819" s="81" t="n"/>
      <c r="F1819" s="81" t="n"/>
      <c r="G1819" s="81" t="n"/>
      <c r="H1819" s="81" t="n"/>
      <c r="I1819" s="81" t="n"/>
      <c r="J1819" s="81" t="n"/>
      <c r="K1819" s="81" t="n"/>
      <c r="L1819" s="81" t="n"/>
      <c r="M1819" s="81" t="n"/>
      <c r="N1819" s="81" t="n"/>
      <c r="O1819" s="81" t="n"/>
      <c r="P1819" s="81" t="n"/>
      <c r="Q1819" s="81" t="n"/>
      <c r="R1819" s="81" t="n"/>
      <c r="S1819" s="81" t="n"/>
      <c r="T1819" s="81" t="n"/>
      <c r="U1819" s="81" t="n"/>
      <c r="V1819" s="81" t="n"/>
      <c r="W1819" s="81" t="n"/>
      <c r="X1819" s="81" t="n"/>
      <c r="Y1819" s="81" t="n"/>
      <c r="Z1819" s="81" t="n"/>
      <c r="AA1819" s="81" t="n"/>
      <c r="AB1819" s="81" t="n"/>
      <c r="AC1819" s="81" t="n"/>
      <c r="AD1819" s="81" t="n"/>
      <c r="AE1819" s="81" t="n"/>
      <c r="AF1819" s="81" t="n"/>
      <c r="AG1819" s="81" t="n"/>
      <c r="AH1819" s="81" t="n"/>
      <c r="AI1819" s="81" t="n"/>
      <c r="AJ1819" s="81" t="n"/>
      <c r="AK1819" s="81" t="n"/>
      <c r="AL1819" s="81" t="n"/>
      <c r="AM1819" s="81" t="n"/>
      <c r="AN1819" s="81" t="n"/>
      <c r="AO1819" s="81" t="n"/>
      <c r="AP1819" s="81" t="n"/>
      <c r="AQ1819" s="81" t="n"/>
      <c r="AR1819" s="81" t="n"/>
      <c r="AS1819" s="81" t="n"/>
      <c r="AT1819" s="81" t="n"/>
      <c r="AU1819" s="81" t="n"/>
      <c r="AV1819" s="81" t="n"/>
      <c r="AW1819" s="81" t="n"/>
      <c r="AX1819" s="81" t="n"/>
      <c r="AY1819" s="81" t="n"/>
      <c r="AZ1819" s="81" t="n"/>
      <c r="BA1819" s="81" t="n"/>
      <c r="BB1819" s="81" t="n"/>
      <c r="BC1819" s="81" t="n"/>
      <c r="BD1819" s="81" t="n"/>
      <c r="BE1819" s="81" t="n"/>
      <c r="BF1819" s="81" t="n"/>
      <c r="BG1819" s="81" t="n"/>
      <c r="BH1819" s="81" t="n"/>
      <c r="BI1819" s="81" t="n"/>
      <c r="BJ1819" s="81" t="n"/>
      <c r="BK1819" s="81" t="n"/>
      <c r="BL1819" s="81" t="n"/>
      <c r="BM1819" s="81" t="n"/>
      <c r="BN1819" s="81" t="n"/>
      <c r="BO1819" s="81" t="n"/>
      <c r="BP1819" s="81" t="n"/>
      <c r="BQ1819" s="81" t="n"/>
      <c r="BR1819" s="81" t="n"/>
      <c r="BS1819" s="81" t="n"/>
      <c r="BT1819" s="81" t="n"/>
      <c r="BU1819" s="81" t="n"/>
      <c r="BV1819" s="81" t="n"/>
      <c r="BW1819" s="81" t="n"/>
      <c r="BX1819" s="81" t="n"/>
      <c r="BY1819" s="81" t="n"/>
      <c r="BZ1819" s="81" t="n"/>
      <c r="CA1819" s="81" t="n"/>
      <c r="CB1819" s="81" t="n"/>
      <c r="CC1819" s="81" t="n"/>
      <c r="CD1819" s="81" t="n"/>
      <c r="CE1819" s="81" t="n"/>
      <c r="CF1819" s="81" t="n"/>
      <c r="CG1819" s="81" t="n"/>
      <c r="CH1819" s="81" t="n"/>
    </row>
    <row r="1820">
      <c r="A1820" s="81" t="n"/>
      <c r="B1820" s="81" t="n"/>
      <c r="C1820" s="81" t="n"/>
      <c r="D1820" s="81" t="n"/>
      <c r="E1820" s="81" t="n"/>
      <c r="F1820" s="81" t="n"/>
      <c r="G1820" s="81" t="n"/>
      <c r="H1820" s="81" t="n"/>
      <c r="I1820" s="81" t="n"/>
      <c r="J1820" s="81" t="n"/>
      <c r="K1820" s="81" t="n"/>
      <c r="L1820" s="81" t="n"/>
      <c r="M1820" s="81" t="n"/>
      <c r="N1820" s="81" t="n"/>
      <c r="O1820" s="81" t="n"/>
      <c r="P1820" s="81" t="n"/>
      <c r="Q1820" s="81" t="n"/>
      <c r="R1820" s="81" t="n"/>
      <c r="S1820" s="81" t="n"/>
      <c r="T1820" s="81" t="n"/>
      <c r="U1820" s="81" t="n"/>
      <c r="V1820" s="81" t="n"/>
      <c r="W1820" s="81" t="n"/>
      <c r="X1820" s="81" t="n"/>
      <c r="Y1820" s="81" t="n"/>
      <c r="Z1820" s="81" t="n"/>
      <c r="AA1820" s="81" t="n"/>
      <c r="AB1820" s="81" t="n"/>
      <c r="AC1820" s="81" t="n"/>
      <c r="AD1820" s="81" t="n"/>
      <c r="AE1820" s="81" t="n"/>
      <c r="AF1820" s="81" t="n"/>
      <c r="AG1820" s="81" t="n"/>
      <c r="AH1820" s="81" t="n"/>
      <c r="AI1820" s="81" t="n"/>
      <c r="AJ1820" s="81" t="n"/>
      <c r="AK1820" s="81" t="n"/>
      <c r="AL1820" s="81" t="n"/>
      <c r="AM1820" s="81" t="n"/>
      <c r="AN1820" s="81" t="n"/>
      <c r="AO1820" s="81" t="n"/>
      <c r="AP1820" s="81" t="n"/>
      <c r="AQ1820" s="81" t="n"/>
      <c r="AR1820" s="81" t="n"/>
      <c r="AS1820" s="81" t="n"/>
      <c r="AT1820" s="81" t="n"/>
      <c r="AU1820" s="81" t="n"/>
      <c r="AV1820" s="81" t="n"/>
      <c r="AW1820" s="81" t="n"/>
      <c r="AX1820" s="81" t="n"/>
      <c r="AY1820" s="81" t="n"/>
      <c r="AZ1820" s="81" t="n"/>
      <c r="BA1820" s="81" t="n"/>
      <c r="BB1820" s="81" t="n"/>
      <c r="BC1820" s="81" t="n"/>
      <c r="BD1820" s="81" t="n"/>
      <c r="BE1820" s="81" t="n"/>
      <c r="BF1820" s="81" t="n"/>
      <c r="BG1820" s="81" t="n"/>
      <c r="BH1820" s="81" t="n"/>
      <c r="BI1820" s="81" t="n"/>
      <c r="BJ1820" s="81" t="n"/>
      <c r="BK1820" s="81" t="n"/>
      <c r="BL1820" s="81" t="n"/>
      <c r="BM1820" s="81" t="n"/>
      <c r="BN1820" s="81" t="n"/>
      <c r="BO1820" s="81" t="n"/>
      <c r="BP1820" s="81" t="n"/>
      <c r="BQ1820" s="81" t="n"/>
      <c r="BR1820" s="81" t="n"/>
      <c r="BS1820" s="81" t="n"/>
      <c r="BT1820" s="81" t="n"/>
      <c r="BU1820" s="81" t="n"/>
      <c r="BV1820" s="81" t="n"/>
      <c r="BW1820" s="81" t="n"/>
      <c r="BX1820" s="81" t="n"/>
      <c r="BY1820" s="81" t="n"/>
      <c r="BZ1820" s="81" t="n"/>
      <c r="CA1820" s="81" t="n"/>
      <c r="CB1820" s="81" t="n"/>
      <c r="CC1820" s="81" t="n"/>
      <c r="CD1820" s="81" t="n"/>
      <c r="CE1820" s="81" t="n"/>
      <c r="CF1820" s="81" t="n"/>
      <c r="CG1820" s="81" t="n"/>
      <c r="CH1820" s="81" t="n"/>
    </row>
    <row r="1821">
      <c r="A1821" s="81" t="n"/>
      <c r="B1821" s="81" t="n"/>
      <c r="C1821" s="81" t="n"/>
      <c r="D1821" s="81" t="n"/>
      <c r="E1821" s="81" t="n"/>
      <c r="F1821" s="81" t="n"/>
      <c r="G1821" s="81" t="n"/>
      <c r="H1821" s="81" t="n"/>
      <c r="I1821" s="81" t="n"/>
      <c r="J1821" s="81" t="n"/>
      <c r="K1821" s="81" t="n"/>
      <c r="L1821" s="81" t="n"/>
      <c r="M1821" s="81" t="n"/>
      <c r="N1821" s="81" t="n"/>
      <c r="O1821" s="81" t="n"/>
      <c r="P1821" s="81" t="n"/>
      <c r="Q1821" s="81" t="n"/>
      <c r="R1821" s="81" t="n"/>
      <c r="S1821" s="81" t="n"/>
      <c r="T1821" s="81" t="n"/>
      <c r="U1821" s="81" t="n"/>
      <c r="V1821" s="81" t="n"/>
      <c r="W1821" s="81" t="n"/>
      <c r="X1821" s="81" t="n"/>
      <c r="Y1821" s="81" t="n"/>
      <c r="Z1821" s="81" t="n"/>
      <c r="AA1821" s="81" t="n"/>
      <c r="AB1821" s="81" t="n"/>
      <c r="AC1821" s="81" t="n"/>
      <c r="AD1821" s="81" t="n"/>
      <c r="AE1821" s="81" t="n"/>
      <c r="AF1821" s="81" t="n"/>
      <c r="AG1821" s="81" t="n"/>
      <c r="AH1821" s="81" t="n"/>
      <c r="AI1821" s="81" t="n"/>
      <c r="AJ1821" s="81" t="n"/>
      <c r="AK1821" s="81" t="n"/>
      <c r="AL1821" s="81" t="n"/>
      <c r="AM1821" s="81" t="n"/>
      <c r="AN1821" s="81" t="n"/>
      <c r="AO1821" s="81" t="n"/>
      <c r="AP1821" s="81" t="n"/>
      <c r="AQ1821" s="81" t="n"/>
      <c r="AR1821" s="81" t="n"/>
      <c r="AS1821" s="81" t="n"/>
      <c r="AT1821" s="81" t="n"/>
      <c r="AU1821" s="81" t="n"/>
      <c r="AV1821" s="81" t="n"/>
      <c r="AW1821" s="81" t="n"/>
      <c r="AX1821" s="81" t="n"/>
      <c r="AY1821" s="81" t="n"/>
      <c r="AZ1821" s="81" t="n"/>
      <c r="BA1821" s="81" t="n"/>
      <c r="BB1821" s="81" t="n"/>
      <c r="BC1821" s="81" t="n"/>
      <c r="BD1821" s="81" t="n"/>
      <c r="BE1821" s="81" t="n"/>
      <c r="BF1821" s="81" t="n"/>
      <c r="BG1821" s="81" t="n"/>
      <c r="BH1821" s="81" t="n"/>
      <c r="BI1821" s="81" t="n"/>
      <c r="BJ1821" s="81" t="n"/>
      <c r="BK1821" s="81" t="n"/>
      <c r="BL1821" s="81" t="n"/>
      <c r="BM1821" s="81" t="n"/>
      <c r="BN1821" s="81" t="n"/>
      <c r="BO1821" s="81" t="n"/>
      <c r="BP1821" s="81" t="n"/>
      <c r="BQ1821" s="81" t="n"/>
      <c r="BR1821" s="81" t="n"/>
      <c r="BS1821" s="81" t="n"/>
      <c r="BT1821" s="81" t="n"/>
      <c r="BU1821" s="81" t="n"/>
      <c r="BV1821" s="81" t="n"/>
      <c r="BW1821" s="81" t="n"/>
      <c r="BX1821" s="81" t="n"/>
      <c r="BY1821" s="81" t="n"/>
      <c r="BZ1821" s="81" t="n"/>
      <c r="CA1821" s="81" t="n"/>
      <c r="CB1821" s="81" t="n"/>
      <c r="CC1821" s="81" t="n"/>
      <c r="CD1821" s="81" t="n"/>
      <c r="CE1821" s="81" t="n"/>
      <c r="CF1821" s="81" t="n"/>
      <c r="CG1821" s="81" t="n"/>
      <c r="CH1821" s="81" t="n"/>
    </row>
    <row r="1822">
      <c r="A1822" s="81" t="n"/>
      <c r="B1822" s="81" t="n"/>
      <c r="C1822" s="81" t="n"/>
      <c r="D1822" s="81" t="n"/>
      <c r="E1822" s="81" t="n"/>
      <c r="F1822" s="81" t="n"/>
      <c r="G1822" s="81" t="n"/>
      <c r="H1822" s="81" t="n"/>
      <c r="I1822" s="81" t="n"/>
      <c r="J1822" s="81" t="n"/>
      <c r="K1822" s="81" t="n"/>
      <c r="L1822" s="81" t="n"/>
      <c r="M1822" s="81" t="n"/>
      <c r="N1822" s="81" t="n"/>
      <c r="O1822" s="81" t="n"/>
      <c r="P1822" s="81" t="n"/>
      <c r="Q1822" s="81" t="n"/>
      <c r="R1822" s="81" t="n"/>
      <c r="S1822" s="81" t="n"/>
      <c r="T1822" s="81" t="n"/>
      <c r="U1822" s="81" t="n"/>
      <c r="V1822" s="81" t="n"/>
      <c r="W1822" s="81" t="n"/>
      <c r="X1822" s="81" t="n"/>
      <c r="Y1822" s="81" t="n"/>
      <c r="Z1822" s="81" t="n"/>
      <c r="AA1822" s="81" t="n"/>
      <c r="AB1822" s="81" t="n"/>
      <c r="AC1822" s="81" t="n"/>
      <c r="AD1822" s="81" t="n"/>
      <c r="AE1822" s="81" t="n"/>
      <c r="AF1822" s="81" t="n"/>
      <c r="AG1822" s="81" t="n"/>
      <c r="AH1822" s="81" t="n"/>
      <c r="AI1822" s="81" t="n"/>
      <c r="AJ1822" s="81" t="n"/>
      <c r="AK1822" s="81" t="n"/>
      <c r="AL1822" s="81" t="n"/>
      <c r="AM1822" s="81" t="n"/>
      <c r="AN1822" s="81" t="n"/>
      <c r="AO1822" s="81" t="n"/>
      <c r="AP1822" s="81" t="n"/>
      <c r="AQ1822" s="81" t="n"/>
      <c r="AR1822" s="81" t="n"/>
      <c r="AS1822" s="81" t="n"/>
      <c r="AT1822" s="81" t="n"/>
      <c r="AU1822" s="81" t="n"/>
      <c r="AV1822" s="81" t="n"/>
      <c r="AW1822" s="81" t="n"/>
      <c r="AX1822" s="81" t="n"/>
      <c r="AY1822" s="81" t="n"/>
      <c r="AZ1822" s="81" t="n"/>
      <c r="BA1822" s="81" t="n"/>
      <c r="BB1822" s="81" t="n"/>
      <c r="BC1822" s="81" t="n"/>
      <c r="BD1822" s="81" t="n"/>
      <c r="BE1822" s="81" t="n"/>
      <c r="BF1822" s="81" t="n"/>
      <c r="BG1822" s="81" t="n"/>
      <c r="BH1822" s="81" t="n"/>
      <c r="BI1822" s="81" t="n"/>
      <c r="BJ1822" s="81" t="n"/>
      <c r="BK1822" s="81" t="n"/>
      <c r="BL1822" s="81" t="n"/>
      <c r="BM1822" s="81" t="n"/>
      <c r="BN1822" s="81" t="n"/>
      <c r="BO1822" s="81" t="n"/>
      <c r="BP1822" s="81" t="n"/>
      <c r="BQ1822" s="81" t="n"/>
      <c r="BR1822" s="81" t="n"/>
      <c r="BS1822" s="81" t="n"/>
      <c r="BT1822" s="81" t="n"/>
      <c r="BU1822" s="81" t="n"/>
      <c r="BV1822" s="81" t="n"/>
      <c r="BW1822" s="81" t="n"/>
      <c r="BX1822" s="81" t="n"/>
      <c r="BY1822" s="81" t="n"/>
      <c r="BZ1822" s="81" t="n"/>
      <c r="CA1822" s="81" t="n"/>
      <c r="CB1822" s="81" t="n"/>
      <c r="CC1822" s="81" t="n"/>
      <c r="CD1822" s="81" t="n"/>
      <c r="CE1822" s="81" t="n"/>
      <c r="CF1822" s="81" t="n"/>
      <c r="CG1822" s="81" t="n"/>
      <c r="CH1822" s="81" t="n"/>
    </row>
    <row r="1823">
      <c r="A1823" s="81" t="n"/>
      <c r="B1823" s="81" t="n"/>
      <c r="C1823" s="81" t="n"/>
      <c r="D1823" s="81" t="n"/>
      <c r="E1823" s="81" t="n"/>
      <c r="F1823" s="81" t="n"/>
      <c r="G1823" s="81" t="n"/>
      <c r="H1823" s="81" t="n"/>
      <c r="I1823" s="81" t="n"/>
      <c r="J1823" s="81" t="n"/>
      <c r="K1823" s="81" t="n"/>
      <c r="L1823" s="81" t="n"/>
      <c r="M1823" s="81" t="n"/>
      <c r="N1823" s="81" t="n"/>
      <c r="O1823" s="81" t="n"/>
      <c r="P1823" s="81" t="n"/>
      <c r="Q1823" s="81" t="n"/>
      <c r="R1823" s="81" t="n"/>
      <c r="S1823" s="81" t="n"/>
      <c r="T1823" s="81" t="n"/>
      <c r="U1823" s="81" t="n"/>
      <c r="V1823" s="81" t="n"/>
      <c r="W1823" s="81" t="n"/>
      <c r="X1823" s="81" t="n"/>
      <c r="Y1823" s="81" t="n"/>
      <c r="Z1823" s="81" t="n"/>
      <c r="AA1823" s="81" t="n"/>
      <c r="AB1823" s="81" t="n"/>
      <c r="AC1823" s="81" t="n"/>
      <c r="AD1823" s="81" t="n"/>
      <c r="AE1823" s="81" t="n"/>
      <c r="AF1823" s="81" t="n"/>
      <c r="AG1823" s="81" t="n"/>
      <c r="AH1823" s="81" t="n"/>
      <c r="AI1823" s="81" t="n"/>
      <c r="AJ1823" s="81" t="n"/>
      <c r="AK1823" s="81" t="n"/>
      <c r="AL1823" s="81" t="n"/>
      <c r="AM1823" s="81" t="n"/>
      <c r="AN1823" s="81" t="n"/>
      <c r="AO1823" s="81" t="n"/>
      <c r="AP1823" s="81" t="n"/>
      <c r="AQ1823" s="81" t="n"/>
      <c r="AR1823" s="81" t="n"/>
      <c r="AS1823" s="81" t="n"/>
      <c r="AT1823" s="81" t="n"/>
      <c r="AU1823" s="81" t="n"/>
      <c r="AV1823" s="81" t="n"/>
      <c r="AW1823" s="81" t="n"/>
      <c r="AX1823" s="81" t="n"/>
      <c r="AY1823" s="81" t="n"/>
      <c r="AZ1823" s="81" t="n"/>
      <c r="BA1823" s="81" t="n"/>
      <c r="BB1823" s="81" t="n"/>
      <c r="BC1823" s="81" t="n"/>
      <c r="BD1823" s="81" t="n"/>
      <c r="BE1823" s="81" t="n"/>
      <c r="BF1823" s="81" t="n"/>
      <c r="BG1823" s="81" t="n"/>
      <c r="BH1823" s="81" t="n"/>
      <c r="BI1823" s="81" t="n"/>
      <c r="BJ1823" s="81" t="n"/>
      <c r="BK1823" s="81" t="n"/>
      <c r="BL1823" s="81" t="n"/>
      <c r="BM1823" s="81" t="n"/>
      <c r="BN1823" s="81" t="n"/>
      <c r="BO1823" s="81" t="n"/>
      <c r="BP1823" s="81" t="n"/>
      <c r="BQ1823" s="81" t="n"/>
      <c r="BR1823" s="81" t="n"/>
      <c r="BS1823" s="81" t="n"/>
      <c r="BT1823" s="81" t="n"/>
      <c r="BU1823" s="81" t="n"/>
      <c r="BV1823" s="81" t="n"/>
      <c r="BW1823" s="81" t="n"/>
      <c r="BX1823" s="81" t="n"/>
      <c r="BY1823" s="81" t="n"/>
      <c r="BZ1823" s="81" t="n"/>
      <c r="CA1823" s="81" t="n"/>
      <c r="CB1823" s="81" t="n"/>
      <c r="CC1823" s="81" t="n"/>
      <c r="CD1823" s="81" t="n"/>
      <c r="CE1823" s="81" t="n"/>
      <c r="CF1823" s="81" t="n"/>
      <c r="CG1823" s="81" t="n"/>
      <c r="CH1823" s="81" t="n"/>
    </row>
    <row r="1824">
      <c r="A1824" s="81" t="n"/>
      <c r="B1824" s="81" t="n"/>
      <c r="C1824" s="81" t="n"/>
      <c r="D1824" s="81" t="n"/>
      <c r="E1824" s="81" t="n"/>
      <c r="F1824" s="81" t="n"/>
      <c r="G1824" s="81" t="n"/>
      <c r="H1824" s="81" t="n"/>
      <c r="I1824" s="81" t="n"/>
      <c r="J1824" s="81" t="n"/>
      <c r="K1824" s="81" t="n"/>
      <c r="L1824" s="81" t="n"/>
      <c r="M1824" s="81" t="n"/>
      <c r="N1824" s="81" t="n"/>
      <c r="O1824" s="81" t="n"/>
      <c r="P1824" s="81" t="n"/>
      <c r="Q1824" s="81" t="n"/>
      <c r="R1824" s="81" t="n"/>
      <c r="S1824" s="81" t="n"/>
      <c r="T1824" s="81" t="n"/>
      <c r="U1824" s="81" t="n"/>
      <c r="V1824" s="81" t="n"/>
      <c r="W1824" s="81" t="n"/>
      <c r="X1824" s="81" t="n"/>
      <c r="Y1824" s="81" t="n"/>
      <c r="Z1824" s="81" t="n"/>
      <c r="AA1824" s="81" t="n"/>
      <c r="AB1824" s="81" t="n"/>
      <c r="AC1824" s="81" t="n"/>
      <c r="AD1824" s="81" t="n"/>
      <c r="AE1824" s="81" t="n"/>
      <c r="AF1824" s="81" t="n"/>
      <c r="AG1824" s="81" t="n"/>
      <c r="AH1824" s="81" t="n"/>
      <c r="AI1824" s="81" t="n"/>
      <c r="AJ1824" s="81" t="n"/>
      <c r="AK1824" s="81" t="n"/>
      <c r="AL1824" s="81" t="n"/>
      <c r="AM1824" s="81" t="n"/>
      <c r="AN1824" s="81" t="n"/>
      <c r="AO1824" s="81" t="n"/>
      <c r="AP1824" s="81" t="n"/>
      <c r="AQ1824" s="81" t="n"/>
      <c r="AR1824" s="81" t="n"/>
      <c r="AS1824" s="81" t="n"/>
      <c r="AT1824" s="81" t="n"/>
      <c r="AU1824" s="81" t="n"/>
      <c r="AV1824" s="81" t="n"/>
      <c r="AW1824" s="81" t="n"/>
      <c r="AX1824" s="81" t="n"/>
      <c r="AY1824" s="81" t="n"/>
      <c r="AZ1824" s="81" t="n"/>
      <c r="BA1824" s="81" t="n"/>
      <c r="BB1824" s="81" t="n"/>
      <c r="BC1824" s="81" t="n"/>
      <c r="BD1824" s="81" t="n"/>
      <c r="BE1824" s="81" t="n"/>
      <c r="BF1824" s="81" t="n"/>
      <c r="BG1824" s="81" t="n"/>
      <c r="BH1824" s="81" t="n"/>
      <c r="BI1824" s="81" t="n"/>
      <c r="BJ1824" s="81" t="n"/>
      <c r="BK1824" s="81" t="n"/>
      <c r="BL1824" s="81" t="n"/>
      <c r="BM1824" s="81" t="n"/>
      <c r="BN1824" s="81" t="n"/>
      <c r="BO1824" s="81" t="n"/>
      <c r="BP1824" s="81" t="n"/>
      <c r="BQ1824" s="81" t="n"/>
      <c r="BR1824" s="81" t="n"/>
      <c r="BS1824" s="81" t="n"/>
      <c r="BT1824" s="81" t="n"/>
      <c r="BU1824" s="81" t="n"/>
      <c r="BV1824" s="81" t="n"/>
      <c r="BW1824" s="81" t="n"/>
      <c r="BX1824" s="81" t="n"/>
      <c r="BY1824" s="81" t="n"/>
      <c r="BZ1824" s="81" t="n"/>
      <c r="CA1824" s="81" t="n"/>
      <c r="CB1824" s="81" t="n"/>
      <c r="CC1824" s="81" t="n"/>
      <c r="CD1824" s="81" t="n"/>
      <c r="CE1824" s="81" t="n"/>
      <c r="CF1824" s="81" t="n"/>
      <c r="CG1824" s="81" t="n"/>
      <c r="CH1824" s="81" t="n"/>
    </row>
    <row r="1825">
      <c r="A1825" s="81" t="n"/>
      <c r="B1825" s="81" t="n"/>
      <c r="C1825" s="81" t="n"/>
      <c r="D1825" s="81" t="n"/>
      <c r="E1825" s="81" t="n"/>
      <c r="F1825" s="81" t="n"/>
      <c r="G1825" s="81" t="n"/>
      <c r="H1825" s="81" t="n"/>
      <c r="I1825" s="81" t="n"/>
      <c r="J1825" s="81" t="n"/>
      <c r="K1825" s="81" t="n"/>
      <c r="L1825" s="81" t="n"/>
      <c r="M1825" s="81" t="n"/>
      <c r="N1825" s="81" t="n"/>
      <c r="O1825" s="81" t="n"/>
      <c r="P1825" s="81" t="n"/>
      <c r="Q1825" s="81" t="n"/>
      <c r="R1825" s="81" t="n"/>
      <c r="S1825" s="81" t="n"/>
      <c r="T1825" s="81" t="n"/>
      <c r="U1825" s="81" t="n"/>
      <c r="V1825" s="81" t="n"/>
      <c r="W1825" s="81" t="n"/>
      <c r="X1825" s="81" t="n"/>
      <c r="Y1825" s="81" t="n"/>
      <c r="Z1825" s="81" t="n"/>
      <c r="AA1825" s="81" t="n"/>
      <c r="AB1825" s="81" t="n"/>
      <c r="AC1825" s="81" t="n"/>
      <c r="AD1825" s="81" t="n"/>
      <c r="AE1825" s="81" t="n"/>
      <c r="AF1825" s="81" t="n"/>
      <c r="AG1825" s="81" t="n"/>
      <c r="AH1825" s="81" t="n"/>
      <c r="AI1825" s="81" t="n"/>
      <c r="AJ1825" s="81" t="n"/>
      <c r="AK1825" s="81" t="n"/>
      <c r="AL1825" s="81" t="n"/>
      <c r="AM1825" s="81" t="n"/>
      <c r="AN1825" s="81" t="n"/>
      <c r="AO1825" s="81" t="n"/>
      <c r="AP1825" s="81" t="n"/>
      <c r="AQ1825" s="81" t="n"/>
      <c r="AR1825" s="81" t="n"/>
      <c r="AS1825" s="81" t="n"/>
      <c r="AT1825" s="81" t="n"/>
      <c r="AU1825" s="81" t="n"/>
      <c r="AV1825" s="81" t="n"/>
      <c r="AW1825" s="81" t="n"/>
      <c r="AX1825" s="81" t="n"/>
      <c r="AY1825" s="81" t="n"/>
      <c r="AZ1825" s="81" t="n"/>
      <c r="BA1825" s="81" t="n"/>
      <c r="BB1825" s="81" t="n"/>
      <c r="BC1825" s="81" t="n"/>
      <c r="BD1825" s="81" t="n"/>
      <c r="BE1825" s="81" t="n"/>
      <c r="BF1825" s="81" t="n"/>
      <c r="BG1825" s="81" t="n"/>
      <c r="BH1825" s="81" t="n"/>
      <c r="BI1825" s="81" t="n"/>
      <c r="BJ1825" s="81" t="n"/>
      <c r="BK1825" s="81" t="n"/>
      <c r="BL1825" s="81" t="n"/>
      <c r="BM1825" s="81" t="n"/>
      <c r="BN1825" s="81" t="n"/>
      <c r="BO1825" s="81" t="n"/>
      <c r="BP1825" s="81" t="n"/>
      <c r="BQ1825" s="81" t="n"/>
      <c r="BR1825" s="81" t="n"/>
      <c r="BS1825" s="81" t="n"/>
      <c r="BT1825" s="81" t="n"/>
      <c r="BU1825" s="81" t="n"/>
      <c r="BV1825" s="81" t="n"/>
      <c r="BW1825" s="81" t="n"/>
      <c r="BX1825" s="81" t="n"/>
      <c r="BY1825" s="81" t="n"/>
      <c r="BZ1825" s="81" t="n"/>
      <c r="CA1825" s="81" t="n"/>
      <c r="CB1825" s="81" t="n"/>
      <c r="CC1825" s="81" t="n"/>
      <c r="CD1825" s="81" t="n"/>
      <c r="CE1825" s="81" t="n"/>
      <c r="CF1825" s="81" t="n"/>
      <c r="CG1825" s="81" t="n"/>
      <c r="CH1825" s="81" t="n"/>
    </row>
    <row r="1826">
      <c r="A1826" s="81" t="n"/>
      <c r="B1826" s="81" t="n"/>
      <c r="C1826" s="81" t="n"/>
      <c r="D1826" s="81" t="n"/>
      <c r="E1826" s="81" t="n"/>
      <c r="F1826" s="81" t="n"/>
      <c r="G1826" s="81" t="n"/>
      <c r="H1826" s="81" t="n"/>
      <c r="I1826" s="81" t="n"/>
      <c r="J1826" s="81" t="n"/>
      <c r="K1826" s="81" t="n"/>
      <c r="L1826" s="81" t="n"/>
      <c r="M1826" s="81" t="n"/>
      <c r="N1826" s="81" t="n"/>
      <c r="O1826" s="81" t="n"/>
      <c r="P1826" s="81" t="n"/>
      <c r="Q1826" s="81" t="n"/>
      <c r="R1826" s="81" t="n"/>
      <c r="S1826" s="81" t="n"/>
      <c r="T1826" s="81" t="n"/>
      <c r="U1826" s="81" t="n"/>
      <c r="V1826" s="81" t="n"/>
      <c r="W1826" s="81" t="n"/>
      <c r="X1826" s="81" t="n"/>
      <c r="Y1826" s="81" t="n"/>
      <c r="Z1826" s="81" t="n"/>
      <c r="AA1826" s="81" t="n"/>
      <c r="AB1826" s="81" t="n"/>
      <c r="AC1826" s="81" t="n"/>
      <c r="AD1826" s="81" t="n"/>
      <c r="AE1826" s="81" t="n"/>
      <c r="AF1826" s="81" t="n"/>
      <c r="AG1826" s="81" t="n"/>
      <c r="AH1826" s="81" t="n"/>
      <c r="AI1826" s="81" t="n"/>
      <c r="AJ1826" s="81" t="n"/>
      <c r="AK1826" s="81" t="n"/>
      <c r="AL1826" s="81" t="n"/>
      <c r="AM1826" s="81" t="n"/>
      <c r="AN1826" s="81" t="n"/>
      <c r="AO1826" s="81" t="n"/>
      <c r="AP1826" s="81" t="n"/>
      <c r="AQ1826" s="81" t="n"/>
      <c r="AR1826" s="81" t="n"/>
      <c r="AS1826" s="81" t="n"/>
      <c r="AT1826" s="81" t="n"/>
      <c r="AU1826" s="81" t="n"/>
      <c r="AV1826" s="81" t="n"/>
      <c r="AW1826" s="81" t="n"/>
      <c r="AX1826" s="81" t="n"/>
      <c r="AY1826" s="81" t="n"/>
      <c r="AZ1826" s="81" t="n"/>
      <c r="BA1826" s="81" t="n"/>
      <c r="BB1826" s="81" t="n"/>
      <c r="BC1826" s="81" t="n"/>
      <c r="BD1826" s="81" t="n"/>
      <c r="BE1826" s="81" t="n"/>
      <c r="BF1826" s="81" t="n"/>
      <c r="BG1826" s="81" t="n"/>
      <c r="BH1826" s="81" t="n"/>
      <c r="BI1826" s="81" t="n"/>
      <c r="BJ1826" s="81" t="n"/>
      <c r="BK1826" s="81" t="n"/>
      <c r="BL1826" s="81" t="n"/>
      <c r="BM1826" s="81" t="n"/>
      <c r="BN1826" s="81" t="n"/>
      <c r="BO1826" s="81" t="n"/>
      <c r="BP1826" s="81" t="n"/>
      <c r="BQ1826" s="81" t="n"/>
      <c r="BR1826" s="81" t="n"/>
      <c r="BS1826" s="81" t="n"/>
      <c r="BT1826" s="81" t="n"/>
      <c r="BU1826" s="81" t="n"/>
      <c r="BV1826" s="81" t="n"/>
      <c r="BW1826" s="81" t="n"/>
      <c r="BX1826" s="81" t="n"/>
      <c r="BY1826" s="81" t="n"/>
      <c r="BZ1826" s="81" t="n"/>
      <c r="CA1826" s="81" t="n"/>
      <c r="CB1826" s="81" t="n"/>
      <c r="CC1826" s="81" t="n"/>
      <c r="CD1826" s="81" t="n"/>
      <c r="CE1826" s="81" t="n"/>
      <c r="CF1826" s="81" t="n"/>
      <c r="CG1826" s="81" t="n"/>
      <c r="CH1826" s="81" t="n"/>
    </row>
    <row r="1827">
      <c r="A1827" s="81" t="n"/>
      <c r="B1827" s="81" t="n"/>
      <c r="C1827" s="81" t="n"/>
      <c r="D1827" s="81" t="n"/>
      <c r="E1827" s="81" t="n"/>
      <c r="F1827" s="81" t="n"/>
      <c r="G1827" s="81" t="n"/>
      <c r="H1827" s="81" t="n"/>
      <c r="I1827" s="81" t="n"/>
      <c r="J1827" s="81" t="n"/>
      <c r="K1827" s="81" t="n"/>
      <c r="L1827" s="81" t="n"/>
      <c r="M1827" s="81" t="n"/>
      <c r="N1827" s="81" t="n"/>
      <c r="O1827" s="81" t="n"/>
      <c r="P1827" s="81" t="n"/>
      <c r="Q1827" s="81" t="n"/>
      <c r="R1827" s="81" t="n"/>
      <c r="S1827" s="81" t="n"/>
      <c r="T1827" s="81" t="n"/>
      <c r="U1827" s="81" t="n"/>
      <c r="V1827" s="81" t="n"/>
      <c r="W1827" s="81" t="n"/>
      <c r="X1827" s="81" t="n"/>
      <c r="Y1827" s="81" t="n"/>
      <c r="Z1827" s="81" t="n"/>
      <c r="AA1827" s="81" t="n"/>
      <c r="AB1827" s="81" t="n"/>
      <c r="AC1827" s="81" t="n"/>
      <c r="AD1827" s="81" t="n"/>
      <c r="AE1827" s="81" t="n"/>
      <c r="AF1827" s="81" t="n"/>
      <c r="AG1827" s="81" t="n"/>
      <c r="AH1827" s="81" t="n"/>
      <c r="AI1827" s="81" t="n"/>
      <c r="AJ1827" s="81" t="n"/>
      <c r="AK1827" s="81" t="n"/>
      <c r="AL1827" s="81" t="n"/>
      <c r="AM1827" s="81" t="n"/>
      <c r="AN1827" s="81" t="n"/>
      <c r="AO1827" s="81" t="n"/>
      <c r="AP1827" s="81" t="n"/>
      <c r="AQ1827" s="81" t="n"/>
      <c r="AR1827" s="81" t="n"/>
      <c r="AS1827" s="81" t="n"/>
      <c r="AT1827" s="81" t="n"/>
      <c r="AU1827" s="81" t="n"/>
      <c r="AV1827" s="81" t="n"/>
      <c r="AW1827" s="81" t="n"/>
      <c r="AX1827" s="81" t="n"/>
      <c r="AY1827" s="81" t="n"/>
      <c r="AZ1827" s="81" t="n"/>
      <c r="BA1827" s="81" t="n"/>
      <c r="BB1827" s="81" t="n"/>
      <c r="BC1827" s="81" t="n"/>
      <c r="BD1827" s="81" t="n"/>
      <c r="BE1827" s="81" t="n"/>
      <c r="BF1827" s="81" t="n"/>
      <c r="BG1827" s="81" t="n"/>
      <c r="BH1827" s="81" t="n"/>
      <c r="BI1827" s="81" t="n"/>
      <c r="BJ1827" s="81" t="n"/>
      <c r="BK1827" s="81" t="n"/>
      <c r="BL1827" s="81" t="n"/>
      <c r="BM1827" s="81" t="n"/>
      <c r="BN1827" s="81" t="n"/>
      <c r="BO1827" s="81" t="n"/>
      <c r="BP1827" s="81" t="n"/>
      <c r="BQ1827" s="81" t="n"/>
      <c r="BR1827" s="81" t="n"/>
      <c r="BS1827" s="81" t="n"/>
      <c r="BT1827" s="81" t="n"/>
      <c r="BU1827" s="81" t="n"/>
      <c r="BV1827" s="81" t="n"/>
      <c r="BW1827" s="81" t="n"/>
      <c r="BX1827" s="81" t="n"/>
      <c r="BY1827" s="81" t="n"/>
      <c r="BZ1827" s="81" t="n"/>
      <c r="CA1827" s="81" t="n"/>
      <c r="CB1827" s="81" t="n"/>
      <c r="CC1827" s="81" t="n"/>
      <c r="CD1827" s="81" t="n"/>
      <c r="CE1827" s="81" t="n"/>
      <c r="CF1827" s="81" t="n"/>
      <c r="CG1827" s="81" t="n"/>
      <c r="CH1827" s="81" t="n"/>
    </row>
    <row r="1828">
      <c r="A1828" s="81" t="n"/>
      <c r="B1828" s="81" t="n"/>
      <c r="C1828" s="81" t="n"/>
      <c r="D1828" s="81" t="n"/>
      <c r="E1828" s="81" t="n"/>
      <c r="F1828" s="81" t="n"/>
      <c r="G1828" s="81" t="n"/>
      <c r="H1828" s="81" t="n"/>
      <c r="I1828" s="81" t="n"/>
      <c r="J1828" s="81" t="n"/>
      <c r="K1828" s="81" t="n"/>
      <c r="L1828" s="81" t="n"/>
      <c r="M1828" s="81" t="n"/>
      <c r="N1828" s="81" t="n"/>
      <c r="O1828" s="81" t="n"/>
      <c r="P1828" s="81" t="n"/>
      <c r="Q1828" s="81" t="n"/>
      <c r="R1828" s="81" t="n"/>
      <c r="S1828" s="81" t="n"/>
      <c r="T1828" s="81" t="n"/>
      <c r="U1828" s="81" t="n"/>
      <c r="V1828" s="81" t="n"/>
      <c r="W1828" s="81" t="n"/>
      <c r="X1828" s="81" t="n"/>
      <c r="Y1828" s="81" t="n"/>
      <c r="Z1828" s="81" t="n"/>
      <c r="AA1828" s="81" t="n"/>
      <c r="AB1828" s="81" t="n"/>
      <c r="AC1828" s="81" t="n"/>
      <c r="AD1828" s="81" t="n"/>
      <c r="AE1828" s="81" t="n"/>
      <c r="AF1828" s="81" t="n"/>
      <c r="AG1828" s="81" t="n"/>
      <c r="AH1828" s="81" t="n"/>
      <c r="AI1828" s="81" t="n"/>
      <c r="AJ1828" s="81" t="n"/>
      <c r="AK1828" s="81" t="n"/>
      <c r="AL1828" s="81" t="n"/>
      <c r="AM1828" s="81" t="n"/>
      <c r="AN1828" s="81" t="n"/>
      <c r="AO1828" s="81" t="n"/>
      <c r="AP1828" s="81" t="n"/>
      <c r="AQ1828" s="81" t="n"/>
      <c r="AR1828" s="81" t="n"/>
      <c r="AS1828" s="81" t="n"/>
      <c r="AT1828" s="81" t="n"/>
      <c r="AU1828" s="81" t="n"/>
      <c r="AV1828" s="81" t="n"/>
      <c r="AW1828" s="81" t="n"/>
      <c r="AX1828" s="81" t="n"/>
      <c r="AY1828" s="81" t="n"/>
      <c r="AZ1828" s="81" t="n"/>
      <c r="BA1828" s="81" t="n"/>
      <c r="BB1828" s="81" t="n"/>
      <c r="BC1828" s="81" t="n"/>
      <c r="BD1828" s="81" t="n"/>
      <c r="BE1828" s="81" t="n"/>
      <c r="BF1828" s="81" t="n"/>
      <c r="BG1828" s="81" t="n"/>
      <c r="BH1828" s="81" t="n"/>
      <c r="BI1828" s="81" t="n"/>
      <c r="BJ1828" s="81" t="n"/>
      <c r="BK1828" s="81" t="n"/>
      <c r="BL1828" s="81" t="n"/>
      <c r="BM1828" s="81" t="n"/>
      <c r="BN1828" s="81" t="n"/>
      <c r="BO1828" s="81" t="n"/>
      <c r="BP1828" s="81" t="n"/>
      <c r="BQ1828" s="81" t="n"/>
      <c r="BR1828" s="81" t="n"/>
      <c r="BS1828" s="81" t="n"/>
      <c r="BT1828" s="81" t="n"/>
      <c r="BU1828" s="81" t="n"/>
      <c r="BV1828" s="81" t="n"/>
      <c r="BW1828" s="81" t="n"/>
      <c r="BX1828" s="81" t="n"/>
      <c r="BY1828" s="81" t="n"/>
      <c r="BZ1828" s="81" t="n"/>
      <c r="CA1828" s="81" t="n"/>
      <c r="CB1828" s="81" t="n"/>
      <c r="CC1828" s="81" t="n"/>
      <c r="CD1828" s="81" t="n"/>
      <c r="CE1828" s="81" t="n"/>
      <c r="CF1828" s="81" t="n"/>
      <c r="CG1828" s="81" t="n"/>
      <c r="CH1828" s="81" t="n"/>
    </row>
    <row r="1829">
      <c r="A1829" s="81" t="n"/>
      <c r="B1829" s="81" t="n"/>
      <c r="C1829" s="81" t="n"/>
      <c r="D1829" s="81" t="n"/>
      <c r="E1829" s="81" t="n"/>
      <c r="F1829" s="81" t="n"/>
      <c r="G1829" s="81" t="n"/>
      <c r="H1829" s="81" t="n"/>
      <c r="I1829" s="81" t="n"/>
      <c r="J1829" s="81" t="n"/>
      <c r="K1829" s="81" t="n"/>
      <c r="L1829" s="81" t="n"/>
      <c r="M1829" s="81" t="n"/>
      <c r="N1829" s="81" t="n"/>
      <c r="O1829" s="81" t="n"/>
      <c r="P1829" s="81" t="n"/>
      <c r="Q1829" s="81" t="n"/>
      <c r="R1829" s="81" t="n"/>
      <c r="S1829" s="81" t="n"/>
      <c r="T1829" s="81" t="n"/>
      <c r="U1829" s="81" t="n"/>
      <c r="V1829" s="81" t="n"/>
      <c r="W1829" s="81" t="n"/>
      <c r="X1829" s="81" t="n"/>
      <c r="Y1829" s="81" t="n"/>
      <c r="Z1829" s="81" t="n"/>
      <c r="AA1829" s="81" t="n"/>
      <c r="AB1829" s="81" t="n"/>
      <c r="AC1829" s="81" t="n"/>
      <c r="AD1829" s="81" t="n"/>
      <c r="AE1829" s="81" t="n"/>
      <c r="AF1829" s="81" t="n"/>
      <c r="AG1829" s="81" t="n"/>
      <c r="AH1829" s="81" t="n"/>
      <c r="AI1829" s="81" t="n"/>
      <c r="AJ1829" s="81" t="n"/>
      <c r="AK1829" s="81" t="n"/>
      <c r="AL1829" s="81" t="n"/>
      <c r="AM1829" s="81" t="n"/>
      <c r="AN1829" s="81" t="n"/>
      <c r="AO1829" s="81" t="n"/>
      <c r="AP1829" s="81" t="n"/>
      <c r="AQ1829" s="81" t="n"/>
      <c r="AR1829" s="81" t="n"/>
      <c r="AS1829" s="81" t="n"/>
      <c r="AT1829" s="81" t="n"/>
      <c r="AU1829" s="81" t="n"/>
      <c r="AV1829" s="81" t="n"/>
      <c r="AW1829" s="81" t="n"/>
      <c r="AX1829" s="81" t="n"/>
      <c r="AY1829" s="81" t="n"/>
      <c r="AZ1829" s="81" t="n"/>
      <c r="BA1829" s="81" t="n"/>
      <c r="BB1829" s="81" t="n"/>
      <c r="BC1829" s="81" t="n"/>
      <c r="BD1829" s="81" t="n"/>
      <c r="BE1829" s="81" t="n"/>
      <c r="BF1829" s="81" t="n"/>
      <c r="BG1829" s="81" t="n"/>
      <c r="BH1829" s="81" t="n"/>
      <c r="BI1829" s="81" t="n"/>
      <c r="BJ1829" s="81" t="n"/>
      <c r="BK1829" s="81" t="n"/>
      <c r="BL1829" s="81" t="n"/>
      <c r="BM1829" s="81" t="n"/>
      <c r="BN1829" s="81" t="n"/>
      <c r="BO1829" s="81" t="n"/>
      <c r="BP1829" s="81" t="n"/>
      <c r="BQ1829" s="81" t="n"/>
      <c r="BR1829" s="81" t="n"/>
      <c r="BS1829" s="81" t="n"/>
      <c r="BT1829" s="81" t="n"/>
      <c r="BU1829" s="81" t="n"/>
      <c r="BV1829" s="81" t="n"/>
      <c r="BW1829" s="81" t="n"/>
      <c r="BX1829" s="81" t="n"/>
      <c r="BY1829" s="81" t="n"/>
      <c r="BZ1829" s="81" t="n"/>
      <c r="CA1829" s="81" t="n"/>
      <c r="CB1829" s="81" t="n"/>
      <c r="CC1829" s="81" t="n"/>
      <c r="CD1829" s="81" t="n"/>
      <c r="CE1829" s="81" t="n"/>
      <c r="CF1829" s="81" t="n"/>
      <c r="CG1829" s="81" t="n"/>
      <c r="CH1829" s="81" t="n"/>
    </row>
    <row r="1830">
      <c r="A1830" s="81" t="n"/>
      <c r="B1830" s="81" t="n"/>
      <c r="C1830" s="81" t="n"/>
      <c r="D1830" s="81" t="n"/>
      <c r="E1830" s="81" t="n"/>
      <c r="F1830" s="81" t="n"/>
      <c r="G1830" s="81" t="n"/>
      <c r="H1830" s="81" t="n"/>
      <c r="I1830" s="81" t="n"/>
      <c r="J1830" s="81" t="n"/>
      <c r="K1830" s="81" t="n"/>
      <c r="L1830" s="81" t="n"/>
      <c r="M1830" s="81" t="n"/>
      <c r="N1830" s="81" t="n"/>
      <c r="O1830" s="81" t="n"/>
      <c r="P1830" s="81" t="n"/>
      <c r="Q1830" s="81" t="n"/>
      <c r="R1830" s="81" t="n"/>
      <c r="S1830" s="81" t="n"/>
      <c r="T1830" s="81" t="n"/>
      <c r="U1830" s="81" t="n"/>
      <c r="V1830" s="81" t="n"/>
      <c r="W1830" s="81" t="n"/>
      <c r="X1830" s="81" t="n"/>
      <c r="Y1830" s="81" t="n"/>
      <c r="Z1830" s="81" t="n"/>
      <c r="AA1830" s="81" t="n"/>
      <c r="AB1830" s="81" t="n"/>
      <c r="AC1830" s="81" t="n"/>
      <c r="AD1830" s="81" t="n"/>
      <c r="AE1830" s="81" t="n"/>
      <c r="AF1830" s="81" t="n"/>
      <c r="AG1830" s="81" t="n"/>
      <c r="AH1830" s="81" t="n"/>
      <c r="AI1830" s="81" t="n"/>
      <c r="AJ1830" s="81" t="n"/>
      <c r="AK1830" s="81" t="n"/>
      <c r="AL1830" s="81" t="n"/>
      <c r="AM1830" s="81" t="n"/>
      <c r="AN1830" s="81" t="n"/>
      <c r="AO1830" s="81" t="n"/>
      <c r="AP1830" s="81" t="n"/>
      <c r="AQ1830" s="81" t="n"/>
      <c r="AR1830" s="81" t="n"/>
      <c r="AS1830" s="81" t="n"/>
      <c r="AT1830" s="81" t="n"/>
      <c r="AU1830" s="81" t="n"/>
      <c r="AV1830" s="81" t="n"/>
      <c r="AW1830" s="81" t="n"/>
      <c r="AX1830" s="81" t="n"/>
      <c r="AY1830" s="81" t="n"/>
      <c r="AZ1830" s="81" t="n"/>
      <c r="BA1830" s="81" t="n"/>
      <c r="BB1830" s="81" t="n"/>
      <c r="BC1830" s="81" t="n"/>
      <c r="BD1830" s="81" t="n"/>
      <c r="BE1830" s="81" t="n"/>
      <c r="BF1830" s="81" t="n"/>
      <c r="BG1830" s="81" t="n"/>
      <c r="BH1830" s="81" t="n"/>
      <c r="BI1830" s="81" t="n"/>
      <c r="BJ1830" s="81" t="n"/>
      <c r="BK1830" s="81" t="n"/>
      <c r="BL1830" s="81" t="n"/>
      <c r="BM1830" s="81" t="n"/>
      <c r="BN1830" s="81" t="n"/>
      <c r="BO1830" s="81" t="n"/>
      <c r="BP1830" s="81" t="n"/>
      <c r="BQ1830" s="81" t="n"/>
      <c r="BR1830" s="81" t="n"/>
      <c r="BS1830" s="81" t="n"/>
      <c r="BT1830" s="81" t="n"/>
      <c r="BU1830" s="81" t="n"/>
      <c r="BV1830" s="81" t="n"/>
      <c r="BW1830" s="81" t="n"/>
      <c r="BX1830" s="81" t="n"/>
      <c r="BY1830" s="81" t="n"/>
      <c r="BZ1830" s="81" t="n"/>
      <c r="CA1830" s="81" t="n"/>
      <c r="CB1830" s="81" t="n"/>
      <c r="CC1830" s="81" t="n"/>
      <c r="CD1830" s="81" t="n"/>
      <c r="CE1830" s="81" t="n"/>
      <c r="CF1830" s="81" t="n"/>
      <c r="CG1830" s="81" t="n"/>
      <c r="CH1830" s="81" t="n"/>
    </row>
    <row r="1831">
      <c r="A1831" s="81" t="n"/>
      <c r="B1831" s="81" t="n"/>
      <c r="C1831" s="81" t="n"/>
      <c r="D1831" s="81" t="n"/>
      <c r="E1831" s="81" t="n"/>
      <c r="F1831" s="81" t="n"/>
      <c r="G1831" s="81" t="n"/>
      <c r="H1831" s="81" t="n"/>
      <c r="I1831" s="81" t="n"/>
      <c r="J1831" s="81" t="n"/>
      <c r="K1831" s="81" t="n"/>
      <c r="L1831" s="81" t="n"/>
      <c r="M1831" s="81" t="n"/>
      <c r="N1831" s="81" t="n"/>
      <c r="O1831" s="81" t="n"/>
      <c r="P1831" s="81" t="n"/>
      <c r="Q1831" s="81" t="n"/>
      <c r="R1831" s="81" t="n"/>
      <c r="S1831" s="81" t="n"/>
      <c r="T1831" s="81" t="n"/>
      <c r="U1831" s="81" t="n"/>
      <c r="V1831" s="81" t="n"/>
      <c r="W1831" s="81" t="n"/>
      <c r="X1831" s="81" t="n"/>
      <c r="Y1831" s="81" t="n"/>
      <c r="Z1831" s="81" t="n"/>
      <c r="AA1831" s="81" t="n"/>
      <c r="AB1831" s="81" t="n"/>
      <c r="AC1831" s="81" t="n"/>
      <c r="AD1831" s="81" t="n"/>
      <c r="AE1831" s="81" t="n"/>
      <c r="AF1831" s="81" t="n"/>
      <c r="AG1831" s="81" t="n"/>
      <c r="AH1831" s="81" t="n"/>
      <c r="AI1831" s="81" t="n"/>
      <c r="AJ1831" s="81" t="n"/>
      <c r="AK1831" s="81" t="n"/>
      <c r="AL1831" s="81" t="n"/>
      <c r="AM1831" s="81" t="n"/>
      <c r="AN1831" s="81" t="n"/>
      <c r="AO1831" s="81" t="n"/>
      <c r="AP1831" s="81" t="n"/>
      <c r="AQ1831" s="81" t="n"/>
      <c r="AR1831" s="81" t="n"/>
      <c r="AS1831" s="81" t="n"/>
      <c r="AT1831" s="81" t="n"/>
      <c r="AU1831" s="81" t="n"/>
      <c r="AV1831" s="81" t="n"/>
      <c r="AW1831" s="81" t="n"/>
      <c r="AX1831" s="81" t="n"/>
      <c r="AY1831" s="81" t="n"/>
      <c r="AZ1831" s="81" t="n"/>
      <c r="BA1831" s="81" t="n"/>
      <c r="BB1831" s="81" t="n"/>
      <c r="BC1831" s="81" t="n"/>
      <c r="BD1831" s="81" t="n"/>
      <c r="BE1831" s="81" t="n"/>
      <c r="BF1831" s="81" t="n"/>
      <c r="BG1831" s="81" t="n"/>
      <c r="BH1831" s="81" t="n"/>
      <c r="BI1831" s="81" t="n"/>
      <c r="BJ1831" s="81" t="n"/>
      <c r="BK1831" s="81" t="n"/>
      <c r="BL1831" s="81" t="n"/>
      <c r="BM1831" s="81" t="n"/>
      <c r="BN1831" s="81" t="n"/>
      <c r="BO1831" s="81" t="n"/>
      <c r="BP1831" s="81" t="n"/>
      <c r="BQ1831" s="81" t="n"/>
      <c r="BR1831" s="81" t="n"/>
      <c r="BS1831" s="81" t="n"/>
      <c r="BT1831" s="81" t="n"/>
      <c r="BU1831" s="81" t="n"/>
      <c r="BV1831" s="81" t="n"/>
      <c r="BW1831" s="81" t="n"/>
      <c r="BX1831" s="81" t="n"/>
      <c r="BY1831" s="81" t="n"/>
      <c r="BZ1831" s="81" t="n"/>
      <c r="CA1831" s="81" t="n"/>
      <c r="CB1831" s="81" t="n"/>
      <c r="CC1831" s="81" t="n"/>
      <c r="CD1831" s="81" t="n"/>
      <c r="CE1831" s="81" t="n"/>
      <c r="CF1831" s="81" t="n"/>
      <c r="CG1831" s="81" t="n"/>
      <c r="CH1831" s="81" t="n"/>
    </row>
    <row r="1832">
      <c r="A1832" s="81" t="n"/>
      <c r="B1832" s="81" t="n"/>
      <c r="C1832" s="81" t="n"/>
      <c r="D1832" s="81" t="n"/>
      <c r="E1832" s="81" t="n"/>
      <c r="F1832" s="81" t="n"/>
      <c r="G1832" s="81" t="n"/>
      <c r="H1832" s="81" t="n"/>
      <c r="I1832" s="81" t="n"/>
      <c r="J1832" s="81" t="n"/>
      <c r="K1832" s="81" t="n"/>
      <c r="L1832" s="81" t="n"/>
      <c r="M1832" s="81" t="n"/>
      <c r="N1832" s="81" t="n"/>
      <c r="O1832" s="81" t="n"/>
      <c r="P1832" s="81" t="n"/>
      <c r="Q1832" s="81" t="n"/>
      <c r="R1832" s="81" t="n"/>
      <c r="S1832" s="81" t="n"/>
      <c r="T1832" s="81" t="n"/>
      <c r="U1832" s="81" t="n"/>
      <c r="V1832" s="81" t="n"/>
      <c r="W1832" s="81" t="n"/>
      <c r="X1832" s="81" t="n"/>
      <c r="Y1832" s="81" t="n"/>
      <c r="Z1832" s="81" t="n"/>
      <c r="AA1832" s="81" t="n"/>
      <c r="AB1832" s="81" t="n"/>
      <c r="AC1832" s="81" t="n"/>
      <c r="AD1832" s="81" t="n"/>
      <c r="AE1832" s="81" t="n"/>
      <c r="AF1832" s="81" t="n"/>
      <c r="AG1832" s="81" t="n"/>
      <c r="AH1832" s="81" t="n"/>
      <c r="AI1832" s="81" t="n"/>
      <c r="AJ1832" s="81" t="n"/>
      <c r="AK1832" s="81" t="n"/>
      <c r="AL1832" s="81" t="n"/>
      <c r="AM1832" s="81" t="n"/>
      <c r="AN1832" s="81" t="n"/>
      <c r="AO1832" s="81" t="n"/>
      <c r="AP1832" s="81" t="n"/>
      <c r="AQ1832" s="81" t="n"/>
      <c r="AR1832" s="81" t="n"/>
      <c r="AS1832" s="81" t="n"/>
      <c r="AT1832" s="81" t="n"/>
      <c r="AU1832" s="81" t="n"/>
      <c r="AV1832" s="81" t="n"/>
      <c r="AW1832" s="81" t="n"/>
      <c r="AX1832" s="81" t="n"/>
      <c r="AY1832" s="81" t="n"/>
      <c r="AZ1832" s="81" t="n"/>
      <c r="BA1832" s="81" t="n"/>
      <c r="BB1832" s="81" t="n"/>
      <c r="BC1832" s="81" t="n"/>
      <c r="BD1832" s="81" t="n"/>
      <c r="BE1832" s="81" t="n"/>
      <c r="BF1832" s="81" t="n"/>
      <c r="BG1832" s="81" t="n"/>
      <c r="BH1832" s="81" t="n"/>
      <c r="BI1832" s="81" t="n"/>
      <c r="BJ1832" s="81" t="n"/>
      <c r="BK1832" s="81" t="n"/>
      <c r="BL1832" s="81" t="n"/>
      <c r="BM1832" s="81" t="n"/>
      <c r="BN1832" s="81" t="n"/>
      <c r="BO1832" s="81" t="n"/>
      <c r="BP1832" s="81" t="n"/>
      <c r="BQ1832" s="81" t="n"/>
      <c r="BR1832" s="81" t="n"/>
      <c r="BS1832" s="81" t="n"/>
      <c r="BT1832" s="81" t="n"/>
      <c r="BU1832" s="81" t="n"/>
      <c r="BV1832" s="81" t="n"/>
      <c r="BW1832" s="81" t="n"/>
      <c r="BX1832" s="81" t="n"/>
      <c r="BY1832" s="81" t="n"/>
      <c r="BZ1832" s="81" t="n"/>
      <c r="CA1832" s="81" t="n"/>
      <c r="CB1832" s="81" t="n"/>
      <c r="CC1832" s="81" t="n"/>
      <c r="CD1832" s="81" t="n"/>
      <c r="CE1832" s="81" t="n"/>
      <c r="CF1832" s="81" t="n"/>
      <c r="CG1832" s="81" t="n"/>
      <c r="CH1832" s="81" t="n"/>
    </row>
    <row r="1833">
      <c r="A1833" s="81" t="n"/>
      <c r="B1833" s="81" t="n"/>
      <c r="C1833" s="81" t="n"/>
      <c r="D1833" s="81" t="n"/>
      <c r="E1833" s="81" t="n"/>
      <c r="F1833" s="81" t="n"/>
      <c r="G1833" s="81" t="n"/>
      <c r="H1833" s="81" t="n"/>
      <c r="I1833" s="81" t="n"/>
      <c r="J1833" s="81" t="n"/>
      <c r="K1833" s="81" t="n"/>
      <c r="L1833" s="81" t="n"/>
      <c r="M1833" s="81" t="n"/>
      <c r="N1833" s="81" t="n"/>
      <c r="O1833" s="81" t="n"/>
      <c r="P1833" s="81" t="n"/>
      <c r="Q1833" s="81" t="n"/>
      <c r="R1833" s="81" t="n"/>
      <c r="S1833" s="81" t="n"/>
      <c r="T1833" s="81" t="n"/>
      <c r="U1833" s="81" t="n"/>
      <c r="V1833" s="81" t="n"/>
      <c r="W1833" s="81" t="n"/>
      <c r="X1833" s="81" t="n"/>
      <c r="Y1833" s="81" t="n"/>
      <c r="Z1833" s="81" t="n"/>
      <c r="AA1833" s="81" t="n"/>
      <c r="AB1833" s="81" t="n"/>
      <c r="AC1833" s="81" t="n"/>
      <c r="AD1833" s="81" t="n"/>
      <c r="AE1833" s="81" t="n"/>
      <c r="AF1833" s="81" t="n"/>
      <c r="AG1833" s="81" t="n"/>
      <c r="AH1833" s="81" t="n"/>
      <c r="AI1833" s="81" t="n"/>
      <c r="AJ1833" s="81" t="n"/>
      <c r="AK1833" s="81" t="n"/>
      <c r="AL1833" s="81" t="n"/>
      <c r="AM1833" s="81" t="n"/>
      <c r="AN1833" s="81" t="n"/>
      <c r="AO1833" s="81" t="n"/>
      <c r="AP1833" s="81" t="n"/>
      <c r="AQ1833" s="81" t="n"/>
      <c r="AR1833" s="81" t="n"/>
      <c r="AS1833" s="81" t="n"/>
      <c r="AT1833" s="81" t="n"/>
      <c r="AU1833" s="81" t="n"/>
      <c r="AV1833" s="81" t="n"/>
      <c r="AW1833" s="81" t="n"/>
      <c r="AX1833" s="81" t="n"/>
      <c r="AY1833" s="81" t="n"/>
      <c r="AZ1833" s="81" t="n"/>
      <c r="BA1833" s="81" t="n"/>
      <c r="BB1833" s="81" t="n"/>
      <c r="BC1833" s="81" t="n"/>
      <c r="BD1833" s="81" t="n"/>
      <c r="BE1833" s="81" t="n"/>
      <c r="BF1833" s="81" t="n"/>
      <c r="BG1833" s="81" t="n"/>
      <c r="BH1833" s="81" t="n"/>
      <c r="BI1833" s="81" t="n"/>
      <c r="BJ1833" s="81" t="n"/>
      <c r="BK1833" s="81" t="n"/>
      <c r="BL1833" s="81" t="n"/>
      <c r="BM1833" s="81" t="n"/>
      <c r="BN1833" s="81" t="n"/>
      <c r="BO1833" s="81" t="n"/>
      <c r="BP1833" s="81" t="n"/>
      <c r="BQ1833" s="81" t="n"/>
      <c r="BR1833" s="81" t="n"/>
      <c r="BS1833" s="81" t="n"/>
      <c r="BT1833" s="81" t="n"/>
      <c r="BU1833" s="81" t="n"/>
      <c r="BV1833" s="81" t="n"/>
      <c r="BW1833" s="81" t="n"/>
      <c r="BX1833" s="81" t="n"/>
      <c r="BY1833" s="81" t="n"/>
      <c r="BZ1833" s="81" t="n"/>
      <c r="CA1833" s="81" t="n"/>
      <c r="CB1833" s="81" t="n"/>
      <c r="CC1833" s="81" t="n"/>
      <c r="CD1833" s="81" t="n"/>
      <c r="CE1833" s="81" t="n"/>
      <c r="CF1833" s="81" t="n"/>
      <c r="CG1833" s="81" t="n"/>
      <c r="CH1833" s="81" t="n"/>
    </row>
    <row r="1834">
      <c r="A1834" s="81" t="n"/>
      <c r="B1834" s="81" t="n"/>
      <c r="C1834" s="81" t="n"/>
      <c r="D1834" s="81" t="n"/>
      <c r="E1834" s="81" t="n"/>
      <c r="F1834" s="81" t="n"/>
      <c r="G1834" s="81" t="n"/>
      <c r="H1834" s="81" t="n"/>
      <c r="I1834" s="81" t="n"/>
      <c r="J1834" s="81" t="n"/>
      <c r="K1834" s="81" t="n"/>
      <c r="L1834" s="81" t="n"/>
      <c r="M1834" s="81" t="n"/>
      <c r="N1834" s="81" t="n"/>
      <c r="O1834" s="81" t="n"/>
      <c r="P1834" s="81" t="n"/>
      <c r="Q1834" s="81" t="n"/>
      <c r="R1834" s="81" t="n"/>
      <c r="S1834" s="81" t="n"/>
      <c r="T1834" s="81" t="n"/>
      <c r="U1834" s="81" t="n"/>
      <c r="V1834" s="81" t="n"/>
      <c r="W1834" s="81" t="n"/>
      <c r="X1834" s="81" t="n"/>
      <c r="Y1834" s="81" t="n"/>
      <c r="Z1834" s="81" t="n"/>
      <c r="AA1834" s="81" t="n"/>
      <c r="AB1834" s="81" t="n"/>
      <c r="AC1834" s="81" t="n"/>
      <c r="AD1834" s="81" t="n"/>
      <c r="AE1834" s="81" t="n"/>
      <c r="AF1834" s="81" t="n"/>
      <c r="AG1834" s="81" t="n"/>
      <c r="AH1834" s="81" t="n"/>
      <c r="AI1834" s="81" t="n"/>
      <c r="AJ1834" s="81" t="n"/>
      <c r="AK1834" s="81" t="n"/>
      <c r="AL1834" s="81" t="n"/>
      <c r="AM1834" s="81" t="n"/>
      <c r="AN1834" s="81" t="n"/>
      <c r="AO1834" s="81" t="n"/>
      <c r="AP1834" s="81" t="n"/>
      <c r="AQ1834" s="81" t="n"/>
      <c r="AR1834" s="81" t="n"/>
      <c r="AS1834" s="81" t="n"/>
      <c r="AT1834" s="81" t="n"/>
      <c r="AU1834" s="81" t="n"/>
      <c r="AV1834" s="81" t="n"/>
      <c r="AW1834" s="81" t="n"/>
      <c r="AX1834" s="81" t="n"/>
      <c r="AY1834" s="81" t="n"/>
      <c r="AZ1834" s="81" t="n"/>
      <c r="BA1834" s="81" t="n"/>
      <c r="BB1834" s="81" t="n"/>
      <c r="BC1834" s="81" t="n"/>
      <c r="BD1834" s="81" t="n"/>
      <c r="BE1834" s="81" t="n"/>
      <c r="BF1834" s="81" t="n"/>
      <c r="BG1834" s="81" t="n"/>
      <c r="BH1834" s="81" t="n"/>
      <c r="BI1834" s="81" t="n"/>
      <c r="BJ1834" s="81" t="n"/>
      <c r="BK1834" s="81" t="n"/>
      <c r="BL1834" s="81" t="n"/>
      <c r="BM1834" s="81" t="n"/>
      <c r="BN1834" s="81" t="n"/>
      <c r="BO1834" s="81" t="n"/>
      <c r="BP1834" s="81" t="n"/>
      <c r="BQ1834" s="81" t="n"/>
      <c r="BR1834" s="81" t="n"/>
      <c r="BS1834" s="81" t="n"/>
      <c r="BT1834" s="81" t="n"/>
      <c r="BU1834" s="81" t="n"/>
      <c r="BV1834" s="81" t="n"/>
      <c r="BW1834" s="81" t="n"/>
      <c r="BX1834" s="81" t="n"/>
      <c r="BY1834" s="81" t="n"/>
      <c r="BZ1834" s="81" t="n"/>
      <c r="CA1834" s="81" t="n"/>
      <c r="CB1834" s="81" t="n"/>
      <c r="CC1834" s="81" t="n"/>
      <c r="CD1834" s="81" t="n"/>
      <c r="CE1834" s="81" t="n"/>
      <c r="CF1834" s="81" t="n"/>
      <c r="CG1834" s="81" t="n"/>
      <c r="CH1834" s="81" t="n"/>
    </row>
    <row r="1835">
      <c r="A1835" s="81" t="n"/>
      <c r="B1835" s="81" t="n"/>
      <c r="C1835" s="81" t="n"/>
      <c r="D1835" s="81" t="n"/>
      <c r="E1835" s="81" t="n"/>
      <c r="F1835" s="81" t="n"/>
      <c r="G1835" s="81" t="n"/>
      <c r="H1835" s="81" t="n"/>
      <c r="I1835" s="81" t="n"/>
      <c r="J1835" s="81" t="n"/>
      <c r="K1835" s="81" t="n"/>
      <c r="L1835" s="81" t="n"/>
      <c r="M1835" s="81" t="n"/>
      <c r="N1835" s="81" t="n"/>
      <c r="O1835" s="81" t="n"/>
      <c r="P1835" s="81" t="n"/>
      <c r="Q1835" s="81" t="n"/>
      <c r="R1835" s="81" t="n"/>
      <c r="S1835" s="81" t="n"/>
      <c r="T1835" s="81" t="n"/>
      <c r="U1835" s="81" t="n"/>
      <c r="V1835" s="81" t="n"/>
      <c r="W1835" s="81" t="n"/>
      <c r="X1835" s="81" t="n"/>
      <c r="Y1835" s="81" t="n"/>
      <c r="Z1835" s="81" t="n"/>
      <c r="AA1835" s="81" t="n"/>
      <c r="AB1835" s="81" t="n"/>
      <c r="AC1835" s="81" t="n"/>
      <c r="AD1835" s="81" t="n"/>
      <c r="AE1835" s="81" t="n"/>
      <c r="AF1835" s="81" t="n"/>
      <c r="AG1835" s="81" t="n"/>
      <c r="AH1835" s="81" t="n"/>
      <c r="AI1835" s="81" t="n"/>
      <c r="AJ1835" s="81" t="n"/>
      <c r="AK1835" s="81" t="n"/>
      <c r="AL1835" s="81" t="n"/>
      <c r="AM1835" s="81" t="n"/>
      <c r="AN1835" s="81" t="n"/>
      <c r="AO1835" s="81" t="n"/>
      <c r="AP1835" s="81" t="n"/>
      <c r="AQ1835" s="81" t="n"/>
      <c r="AR1835" s="81" t="n"/>
      <c r="AS1835" s="81" t="n"/>
      <c r="AT1835" s="81" t="n"/>
      <c r="AU1835" s="81" t="n"/>
      <c r="AV1835" s="81" t="n"/>
      <c r="AW1835" s="81" t="n"/>
      <c r="AX1835" s="81" t="n"/>
      <c r="AY1835" s="81" t="n"/>
      <c r="AZ1835" s="81" t="n"/>
      <c r="BA1835" s="81" t="n"/>
      <c r="BB1835" s="81" t="n"/>
      <c r="BC1835" s="81" t="n"/>
      <c r="BD1835" s="81" t="n"/>
      <c r="BE1835" s="81" t="n"/>
      <c r="BF1835" s="81" t="n"/>
      <c r="BG1835" s="81" t="n"/>
      <c r="BH1835" s="81" t="n"/>
      <c r="BI1835" s="81" t="n"/>
      <c r="BJ1835" s="81" t="n"/>
      <c r="BK1835" s="81" t="n"/>
      <c r="BL1835" s="81" t="n"/>
      <c r="BM1835" s="81" t="n"/>
      <c r="BN1835" s="81" t="n"/>
      <c r="BO1835" s="81" t="n"/>
      <c r="BP1835" s="81" t="n"/>
      <c r="BQ1835" s="81" t="n"/>
      <c r="BR1835" s="81" t="n"/>
      <c r="BS1835" s="81" t="n"/>
      <c r="BT1835" s="81" t="n"/>
      <c r="BU1835" s="81" t="n"/>
      <c r="BV1835" s="81" t="n"/>
      <c r="BW1835" s="81" t="n"/>
      <c r="BX1835" s="81" t="n"/>
      <c r="BY1835" s="81" t="n"/>
      <c r="BZ1835" s="81" t="n"/>
      <c r="CA1835" s="81" t="n"/>
      <c r="CB1835" s="81" t="n"/>
      <c r="CC1835" s="81" t="n"/>
      <c r="CD1835" s="81" t="n"/>
      <c r="CE1835" s="81" t="n"/>
      <c r="CF1835" s="81" t="n"/>
      <c r="CG1835" s="81" t="n"/>
      <c r="CH1835" s="81" t="n"/>
    </row>
    <row r="1836">
      <c r="A1836" s="81" t="n"/>
      <c r="B1836" s="81" t="n"/>
      <c r="C1836" s="81" t="n"/>
      <c r="D1836" s="81" t="n"/>
      <c r="E1836" s="81" t="n"/>
      <c r="F1836" s="81" t="n"/>
      <c r="G1836" s="81" t="n"/>
      <c r="H1836" s="81" t="n"/>
      <c r="I1836" s="81" t="n"/>
      <c r="J1836" s="81" t="n"/>
      <c r="K1836" s="81" t="n"/>
      <c r="L1836" s="81" t="n"/>
      <c r="M1836" s="81" t="n"/>
      <c r="N1836" s="81" t="n"/>
      <c r="O1836" s="81" t="n"/>
      <c r="P1836" s="81" t="n"/>
      <c r="Q1836" s="81" t="n"/>
      <c r="R1836" s="81" t="n"/>
      <c r="S1836" s="81" t="n"/>
      <c r="T1836" s="81" t="n"/>
      <c r="U1836" s="81" t="n"/>
      <c r="V1836" s="81" t="n"/>
      <c r="W1836" s="81" t="n"/>
      <c r="X1836" s="81" t="n"/>
      <c r="Y1836" s="81" t="n"/>
      <c r="Z1836" s="81" t="n"/>
      <c r="AA1836" s="81" t="n"/>
      <c r="AB1836" s="81" t="n"/>
      <c r="AC1836" s="81" t="n"/>
      <c r="AD1836" s="81" t="n"/>
      <c r="AE1836" s="81" t="n"/>
      <c r="AF1836" s="81" t="n"/>
      <c r="AG1836" s="81" t="n"/>
      <c r="AH1836" s="81" t="n"/>
      <c r="AI1836" s="81" t="n"/>
      <c r="AJ1836" s="81" t="n"/>
      <c r="AK1836" s="81" t="n"/>
      <c r="AL1836" s="81" t="n"/>
      <c r="AM1836" s="81" t="n"/>
      <c r="AN1836" s="81" t="n"/>
      <c r="AO1836" s="81" t="n"/>
      <c r="AP1836" s="81" t="n"/>
      <c r="AQ1836" s="81" t="n"/>
      <c r="AR1836" s="81" t="n"/>
      <c r="AS1836" s="81" t="n"/>
      <c r="AT1836" s="81" t="n"/>
      <c r="AU1836" s="81" t="n"/>
      <c r="AV1836" s="81" t="n"/>
      <c r="AW1836" s="81" t="n"/>
      <c r="AX1836" s="81" t="n"/>
      <c r="AY1836" s="81" t="n"/>
      <c r="AZ1836" s="81" t="n"/>
      <c r="BA1836" s="81" t="n"/>
      <c r="BB1836" s="81" t="n"/>
      <c r="BC1836" s="81" t="n"/>
      <c r="BD1836" s="81" t="n"/>
      <c r="BE1836" s="81" t="n"/>
      <c r="BF1836" s="81" t="n"/>
      <c r="BG1836" s="81" t="n"/>
      <c r="BH1836" s="81" t="n"/>
      <c r="BI1836" s="81" t="n"/>
      <c r="BJ1836" s="81" t="n"/>
      <c r="BK1836" s="81" t="n"/>
      <c r="BL1836" s="81" t="n"/>
      <c r="BM1836" s="81" t="n"/>
      <c r="BN1836" s="81" t="n"/>
      <c r="BO1836" s="81" t="n"/>
      <c r="BP1836" s="81" t="n"/>
      <c r="BQ1836" s="81" t="n"/>
      <c r="BR1836" s="81" t="n"/>
      <c r="BS1836" s="81" t="n"/>
      <c r="BT1836" s="81" t="n"/>
      <c r="BU1836" s="81" t="n"/>
      <c r="BV1836" s="81" t="n"/>
      <c r="BW1836" s="81" t="n"/>
      <c r="BX1836" s="81" t="n"/>
      <c r="BY1836" s="81" t="n"/>
      <c r="BZ1836" s="81" t="n"/>
      <c r="CA1836" s="81" t="n"/>
      <c r="CB1836" s="81" t="n"/>
      <c r="CC1836" s="81" t="n"/>
      <c r="CD1836" s="81" t="n"/>
      <c r="CE1836" s="81" t="n"/>
      <c r="CF1836" s="81" t="n"/>
      <c r="CG1836" s="81" t="n"/>
      <c r="CH1836" s="81" t="n"/>
    </row>
    <row r="1837">
      <c r="A1837" s="81" t="n"/>
      <c r="B1837" s="81" t="n"/>
      <c r="C1837" s="81" t="n"/>
      <c r="D1837" s="81" t="n"/>
      <c r="E1837" s="81" t="n"/>
      <c r="F1837" s="81" t="n"/>
      <c r="G1837" s="81" t="n"/>
      <c r="H1837" s="81" t="n"/>
      <c r="I1837" s="81" t="n"/>
      <c r="J1837" s="81" t="n"/>
      <c r="K1837" s="81" t="n"/>
      <c r="L1837" s="81" t="n"/>
      <c r="M1837" s="81" t="n"/>
      <c r="N1837" s="81" t="n"/>
      <c r="O1837" s="81" t="n"/>
      <c r="P1837" s="81" t="n"/>
      <c r="Q1837" s="81" t="n"/>
      <c r="R1837" s="81" t="n"/>
      <c r="S1837" s="81" t="n"/>
      <c r="T1837" s="81" t="n"/>
      <c r="U1837" s="81" t="n"/>
      <c r="V1837" s="81" t="n"/>
      <c r="W1837" s="81" t="n"/>
      <c r="X1837" s="81" t="n"/>
      <c r="Y1837" s="81" t="n"/>
      <c r="Z1837" s="81" t="n"/>
      <c r="AA1837" s="81" t="n"/>
      <c r="AB1837" s="81" t="n"/>
      <c r="AC1837" s="81" t="n"/>
      <c r="AD1837" s="81" t="n"/>
      <c r="AE1837" s="81" t="n"/>
      <c r="AF1837" s="81" t="n"/>
      <c r="AG1837" s="81" t="n"/>
      <c r="AH1837" s="81" t="n"/>
      <c r="AI1837" s="81" t="n"/>
      <c r="AJ1837" s="81" t="n"/>
      <c r="AK1837" s="81" t="n"/>
      <c r="AL1837" s="81" t="n"/>
      <c r="AM1837" s="81" t="n"/>
      <c r="AN1837" s="81" t="n"/>
      <c r="AO1837" s="81" t="n"/>
      <c r="AP1837" s="81" t="n"/>
      <c r="AQ1837" s="81" t="n"/>
      <c r="AR1837" s="81" t="n"/>
      <c r="AS1837" s="81" t="n"/>
      <c r="AT1837" s="81" t="n"/>
      <c r="AU1837" s="81" t="n"/>
      <c r="AV1837" s="81" t="n"/>
      <c r="AW1837" s="81" t="n"/>
      <c r="AX1837" s="81" t="n"/>
      <c r="AY1837" s="81" t="n"/>
      <c r="AZ1837" s="81" t="n"/>
      <c r="BA1837" s="81" t="n"/>
      <c r="BB1837" s="81" t="n"/>
      <c r="BC1837" s="81" t="n"/>
      <c r="BD1837" s="81" t="n"/>
      <c r="BE1837" s="81" t="n"/>
      <c r="BF1837" s="81" t="n"/>
      <c r="BG1837" s="81" t="n"/>
      <c r="BH1837" s="81" t="n"/>
      <c r="BI1837" s="81" t="n"/>
      <c r="BJ1837" s="81" t="n"/>
      <c r="BK1837" s="81" t="n"/>
      <c r="BL1837" s="81" t="n"/>
      <c r="BM1837" s="81" t="n"/>
      <c r="BN1837" s="81" t="n"/>
      <c r="BO1837" s="81" t="n"/>
      <c r="BP1837" s="81" t="n"/>
      <c r="BQ1837" s="81" t="n"/>
      <c r="BR1837" s="81" t="n"/>
      <c r="BS1837" s="81" t="n"/>
      <c r="BT1837" s="81" t="n"/>
      <c r="BU1837" s="81" t="n"/>
      <c r="BV1837" s="81" t="n"/>
      <c r="BW1837" s="81" t="n"/>
      <c r="BX1837" s="81" t="n"/>
      <c r="BY1837" s="81" t="n"/>
      <c r="BZ1837" s="81" t="n"/>
      <c r="CA1837" s="81" t="n"/>
      <c r="CB1837" s="81" t="n"/>
      <c r="CC1837" s="81" t="n"/>
      <c r="CD1837" s="81" t="n"/>
      <c r="CE1837" s="81" t="n"/>
      <c r="CF1837" s="81" t="n"/>
      <c r="CG1837" s="81" t="n"/>
      <c r="CH1837" s="81" t="n"/>
    </row>
    <row r="1838">
      <c r="A1838" s="81" t="n"/>
      <c r="B1838" s="81" t="n"/>
      <c r="C1838" s="81" t="n"/>
      <c r="D1838" s="81" t="n"/>
      <c r="E1838" s="81" t="n"/>
      <c r="F1838" s="81" t="n"/>
      <c r="G1838" s="81" t="n"/>
      <c r="H1838" s="81" t="n"/>
      <c r="I1838" s="81" t="n"/>
      <c r="J1838" s="81" t="n"/>
      <c r="K1838" s="81" t="n"/>
      <c r="L1838" s="81" t="n"/>
      <c r="M1838" s="81" t="n"/>
      <c r="N1838" s="81" t="n"/>
      <c r="O1838" s="81" t="n"/>
      <c r="P1838" s="81" t="n"/>
      <c r="Q1838" s="81" t="n"/>
      <c r="R1838" s="81" t="n"/>
      <c r="S1838" s="81" t="n"/>
      <c r="T1838" s="81" t="n"/>
      <c r="U1838" s="81" t="n"/>
      <c r="V1838" s="81" t="n"/>
      <c r="W1838" s="81" t="n"/>
      <c r="X1838" s="81" t="n"/>
      <c r="Y1838" s="81" t="n"/>
      <c r="Z1838" s="81" t="n"/>
      <c r="AA1838" s="81" t="n"/>
      <c r="AB1838" s="81" t="n"/>
      <c r="AC1838" s="81" t="n"/>
      <c r="AD1838" s="81" t="n"/>
      <c r="AE1838" s="81" t="n"/>
      <c r="AF1838" s="81" t="n"/>
      <c r="AG1838" s="81" t="n"/>
      <c r="AH1838" s="81" t="n"/>
      <c r="AI1838" s="81" t="n"/>
      <c r="AJ1838" s="81" t="n"/>
      <c r="AK1838" s="81" t="n"/>
      <c r="AL1838" s="81" t="n"/>
      <c r="AM1838" s="81" t="n"/>
      <c r="AN1838" s="81" t="n"/>
      <c r="AO1838" s="81" t="n"/>
      <c r="AP1838" s="81" t="n"/>
      <c r="AQ1838" s="81" t="n"/>
      <c r="AR1838" s="81" t="n"/>
      <c r="AS1838" s="81" t="n"/>
      <c r="AT1838" s="81" t="n"/>
      <c r="AU1838" s="81" t="n"/>
      <c r="AV1838" s="81" t="n"/>
      <c r="AW1838" s="81" t="n"/>
      <c r="AX1838" s="81" t="n"/>
      <c r="AY1838" s="81" t="n"/>
      <c r="AZ1838" s="81" t="n"/>
      <c r="BA1838" s="81" t="n"/>
      <c r="BB1838" s="81" t="n"/>
      <c r="BC1838" s="81" t="n"/>
      <c r="BD1838" s="81" t="n"/>
      <c r="BE1838" s="81" t="n"/>
      <c r="BF1838" s="81" t="n"/>
      <c r="BG1838" s="81" t="n"/>
      <c r="BH1838" s="81" t="n"/>
      <c r="BI1838" s="81" t="n"/>
      <c r="BJ1838" s="81" t="n"/>
      <c r="BK1838" s="81" t="n"/>
      <c r="BL1838" s="81" t="n"/>
      <c r="BM1838" s="81" t="n"/>
      <c r="BN1838" s="81" t="n"/>
      <c r="BO1838" s="81" t="n"/>
      <c r="BP1838" s="81" t="n"/>
      <c r="BQ1838" s="81" t="n"/>
      <c r="BR1838" s="81" t="n"/>
      <c r="BS1838" s="81" t="n"/>
      <c r="BT1838" s="81" t="n"/>
      <c r="BU1838" s="81" t="n"/>
      <c r="BV1838" s="81" t="n"/>
      <c r="BW1838" s="81" t="n"/>
      <c r="BX1838" s="81" t="n"/>
      <c r="BY1838" s="81" t="n"/>
      <c r="BZ1838" s="81" t="n"/>
      <c r="CA1838" s="81" t="n"/>
      <c r="CB1838" s="81" t="n"/>
      <c r="CC1838" s="81" t="n"/>
      <c r="CD1838" s="81" t="n"/>
      <c r="CE1838" s="81" t="n"/>
      <c r="CF1838" s="81" t="n"/>
      <c r="CG1838" s="81" t="n"/>
      <c r="CH1838" s="81" t="n"/>
    </row>
    <row r="1839">
      <c r="A1839" s="81" t="n"/>
      <c r="B1839" s="81" t="n"/>
      <c r="C1839" s="81" t="n"/>
      <c r="D1839" s="81" t="n"/>
      <c r="E1839" s="81" t="n"/>
      <c r="F1839" s="81" t="n"/>
      <c r="G1839" s="81" t="n"/>
      <c r="H1839" s="81" t="n"/>
      <c r="I1839" s="81" t="n"/>
      <c r="J1839" s="81" t="n"/>
      <c r="K1839" s="81" t="n"/>
      <c r="L1839" s="81" t="n"/>
      <c r="M1839" s="81" t="n"/>
      <c r="N1839" s="81" t="n"/>
      <c r="O1839" s="81" t="n"/>
      <c r="P1839" s="81" t="n"/>
      <c r="Q1839" s="81" t="n"/>
      <c r="R1839" s="81" t="n"/>
      <c r="S1839" s="81" t="n"/>
      <c r="T1839" s="81" t="n"/>
      <c r="U1839" s="81" t="n"/>
      <c r="V1839" s="81" t="n"/>
      <c r="W1839" s="81" t="n"/>
      <c r="X1839" s="81" t="n"/>
      <c r="Y1839" s="81" t="n"/>
      <c r="Z1839" s="81" t="n"/>
      <c r="AA1839" s="81" t="n"/>
      <c r="AB1839" s="81" t="n"/>
      <c r="AC1839" s="81" t="n"/>
      <c r="AD1839" s="81" t="n"/>
      <c r="AE1839" s="81" t="n"/>
      <c r="AF1839" s="81" t="n"/>
      <c r="AG1839" s="81" t="n"/>
      <c r="AH1839" s="81" t="n"/>
      <c r="AI1839" s="81" t="n"/>
      <c r="AJ1839" s="81" t="n"/>
      <c r="AK1839" s="81" t="n"/>
      <c r="AL1839" s="81" t="n"/>
      <c r="AM1839" s="81" t="n"/>
      <c r="AN1839" s="81" t="n"/>
      <c r="AO1839" s="81" t="n"/>
      <c r="AP1839" s="81" t="n"/>
      <c r="AQ1839" s="81" t="n"/>
      <c r="AR1839" s="81" t="n"/>
      <c r="AS1839" s="81" t="n"/>
      <c r="AT1839" s="81" t="n"/>
      <c r="AU1839" s="81" t="n"/>
      <c r="AV1839" s="81" t="n"/>
      <c r="AW1839" s="81" t="n"/>
      <c r="AX1839" s="81" t="n"/>
      <c r="AY1839" s="81" t="n"/>
      <c r="AZ1839" s="81" t="n"/>
      <c r="BA1839" s="81" t="n"/>
      <c r="BB1839" s="81" t="n"/>
      <c r="BC1839" s="81" t="n"/>
      <c r="BD1839" s="81" t="n"/>
      <c r="BE1839" s="81" t="n"/>
      <c r="BF1839" s="81" t="n"/>
      <c r="BG1839" s="81" t="n"/>
      <c r="BH1839" s="81" t="n"/>
      <c r="BI1839" s="81" t="n"/>
      <c r="BJ1839" s="81" t="n"/>
      <c r="BK1839" s="81" t="n"/>
      <c r="BL1839" s="81" t="n"/>
      <c r="BM1839" s="81" t="n"/>
      <c r="BN1839" s="81" t="n"/>
      <c r="BO1839" s="81" t="n"/>
      <c r="BP1839" s="81" t="n"/>
      <c r="BQ1839" s="81" t="n"/>
      <c r="BR1839" s="81" t="n"/>
      <c r="BS1839" s="81" t="n"/>
      <c r="BT1839" s="81" t="n"/>
      <c r="BU1839" s="81" t="n"/>
      <c r="BV1839" s="81" t="n"/>
      <c r="BW1839" s="81" t="n"/>
      <c r="BX1839" s="81" t="n"/>
      <c r="BY1839" s="81" t="n"/>
      <c r="BZ1839" s="81" t="n"/>
      <c r="CA1839" s="81" t="n"/>
      <c r="CB1839" s="81" t="n"/>
      <c r="CC1839" s="81" t="n"/>
      <c r="CD1839" s="81" t="n"/>
      <c r="CE1839" s="81" t="n"/>
      <c r="CF1839" s="81" t="n"/>
      <c r="CG1839" s="81" t="n"/>
      <c r="CH1839" s="81" t="n"/>
    </row>
    <row r="1840">
      <c r="A1840" s="81" t="n"/>
      <c r="B1840" s="81" t="n"/>
      <c r="C1840" s="81" t="n"/>
      <c r="D1840" s="81" t="n"/>
      <c r="E1840" s="81" t="n"/>
      <c r="F1840" s="81" t="n"/>
      <c r="G1840" s="81" t="n"/>
      <c r="H1840" s="81" t="n"/>
      <c r="I1840" s="81" t="n"/>
      <c r="J1840" s="81" t="n"/>
      <c r="K1840" s="81" t="n"/>
      <c r="L1840" s="81" t="n"/>
      <c r="M1840" s="81" t="n"/>
      <c r="N1840" s="81" t="n"/>
      <c r="O1840" s="81" t="n"/>
      <c r="P1840" s="81" t="n"/>
      <c r="Q1840" s="81" t="n"/>
      <c r="R1840" s="81" t="n"/>
      <c r="S1840" s="81" t="n"/>
      <c r="T1840" s="81" t="n"/>
      <c r="U1840" s="81" t="n"/>
      <c r="V1840" s="81" t="n"/>
      <c r="W1840" s="81" t="n"/>
      <c r="X1840" s="81" t="n"/>
      <c r="Y1840" s="81" t="n"/>
      <c r="Z1840" s="81" t="n"/>
      <c r="AA1840" s="81" t="n"/>
      <c r="AB1840" s="81" t="n"/>
      <c r="AC1840" s="81" t="n"/>
      <c r="AD1840" s="81" t="n"/>
      <c r="AE1840" s="81" t="n"/>
      <c r="AF1840" s="81" t="n"/>
      <c r="AG1840" s="81" t="n"/>
      <c r="AH1840" s="81" t="n"/>
      <c r="AI1840" s="81" t="n"/>
      <c r="AJ1840" s="81" t="n"/>
      <c r="AK1840" s="81" t="n"/>
      <c r="AL1840" s="81" t="n"/>
      <c r="AM1840" s="81" t="n"/>
      <c r="AN1840" s="81" t="n"/>
      <c r="AO1840" s="81" t="n"/>
      <c r="AP1840" s="81" t="n"/>
      <c r="AQ1840" s="81" t="n"/>
      <c r="AR1840" s="81" t="n"/>
      <c r="AS1840" s="81" t="n"/>
      <c r="AT1840" s="81" t="n"/>
      <c r="AU1840" s="81" t="n"/>
      <c r="AV1840" s="81" t="n"/>
      <c r="AW1840" s="81" t="n"/>
      <c r="AX1840" s="81" t="n"/>
      <c r="AY1840" s="81" t="n"/>
      <c r="AZ1840" s="81" t="n"/>
      <c r="BA1840" s="81" t="n"/>
      <c r="BB1840" s="81" t="n"/>
      <c r="BC1840" s="81" t="n"/>
      <c r="BD1840" s="81" t="n"/>
      <c r="BE1840" s="81" t="n"/>
      <c r="BF1840" s="81" t="n"/>
      <c r="BG1840" s="81" t="n"/>
      <c r="BH1840" s="81" t="n"/>
      <c r="BI1840" s="81" t="n"/>
      <c r="BJ1840" s="81" t="n"/>
      <c r="BK1840" s="81" t="n"/>
      <c r="BL1840" s="81" t="n"/>
      <c r="BM1840" s="81" t="n"/>
      <c r="BN1840" s="81" t="n"/>
      <c r="BO1840" s="81" t="n"/>
      <c r="BP1840" s="81" t="n"/>
      <c r="BQ1840" s="81" t="n"/>
      <c r="BR1840" s="81" t="n"/>
      <c r="BS1840" s="81" t="n"/>
      <c r="BT1840" s="81" t="n"/>
      <c r="BU1840" s="81" t="n"/>
      <c r="BV1840" s="81" t="n"/>
      <c r="BW1840" s="81" t="n"/>
      <c r="BX1840" s="81" t="n"/>
      <c r="BY1840" s="81" t="n"/>
      <c r="BZ1840" s="81" t="n"/>
      <c r="CA1840" s="81" t="n"/>
      <c r="CB1840" s="81" t="n"/>
      <c r="CC1840" s="81" t="n"/>
      <c r="CD1840" s="81" t="n"/>
      <c r="CE1840" s="81" t="n"/>
      <c r="CF1840" s="81" t="n"/>
      <c r="CG1840" s="81" t="n"/>
      <c r="CH1840" s="81" t="n"/>
    </row>
    <row r="1841">
      <c r="A1841" s="81" t="n"/>
      <c r="B1841" s="81" t="n"/>
      <c r="C1841" s="81" t="n"/>
      <c r="D1841" s="81" t="n"/>
      <c r="E1841" s="81" t="n"/>
      <c r="F1841" s="81" t="n"/>
      <c r="G1841" s="81" t="n"/>
      <c r="H1841" s="81" t="n"/>
      <c r="I1841" s="81" t="n"/>
      <c r="J1841" s="81" t="n"/>
      <c r="K1841" s="81" t="n"/>
      <c r="L1841" s="81" t="n"/>
      <c r="M1841" s="81" t="n"/>
      <c r="N1841" s="81" t="n"/>
      <c r="O1841" s="81" t="n"/>
      <c r="P1841" s="81" t="n"/>
      <c r="Q1841" s="81" t="n"/>
      <c r="R1841" s="81" t="n"/>
      <c r="S1841" s="81" t="n"/>
      <c r="T1841" s="81" t="n"/>
      <c r="U1841" s="81" t="n"/>
      <c r="V1841" s="81" t="n"/>
      <c r="W1841" s="81" t="n"/>
      <c r="X1841" s="81" t="n"/>
      <c r="Y1841" s="81" t="n"/>
      <c r="Z1841" s="81" t="n"/>
      <c r="AA1841" s="81" t="n"/>
      <c r="AB1841" s="81" t="n"/>
      <c r="AC1841" s="81" t="n"/>
      <c r="AD1841" s="81" t="n"/>
      <c r="AE1841" s="81" t="n"/>
      <c r="AF1841" s="81" t="n"/>
      <c r="AG1841" s="81" t="n"/>
      <c r="AH1841" s="81" t="n"/>
      <c r="AI1841" s="81" t="n"/>
      <c r="AJ1841" s="81" t="n"/>
      <c r="AK1841" s="81" t="n"/>
      <c r="AL1841" s="81" t="n"/>
      <c r="AM1841" s="81" t="n"/>
      <c r="AN1841" s="81" t="n"/>
      <c r="AO1841" s="81" t="n"/>
      <c r="AP1841" s="81" t="n"/>
      <c r="AQ1841" s="81" t="n"/>
      <c r="AR1841" s="81" t="n"/>
      <c r="AS1841" s="81" t="n"/>
      <c r="AT1841" s="81" t="n"/>
      <c r="AU1841" s="81" t="n"/>
      <c r="AV1841" s="81" t="n"/>
      <c r="AW1841" s="81" t="n"/>
      <c r="AX1841" s="81" t="n"/>
      <c r="AY1841" s="81" t="n"/>
      <c r="AZ1841" s="81" t="n"/>
      <c r="BA1841" s="81" t="n"/>
      <c r="BB1841" s="81" t="n"/>
      <c r="BC1841" s="81" t="n"/>
      <c r="BD1841" s="81" t="n"/>
      <c r="BE1841" s="81" t="n"/>
      <c r="BF1841" s="81" t="n"/>
      <c r="BG1841" s="81" t="n"/>
      <c r="BH1841" s="81" t="n"/>
      <c r="BI1841" s="81" t="n"/>
      <c r="BJ1841" s="81" t="n"/>
      <c r="BK1841" s="81" t="n"/>
      <c r="BL1841" s="81" t="n"/>
      <c r="BM1841" s="81" t="n"/>
      <c r="BN1841" s="81" t="n"/>
      <c r="BO1841" s="81" t="n"/>
      <c r="BP1841" s="81" t="n"/>
      <c r="BQ1841" s="81" t="n"/>
      <c r="BR1841" s="81" t="n"/>
      <c r="BS1841" s="81" t="n"/>
      <c r="BT1841" s="81" t="n"/>
      <c r="BU1841" s="81" t="n"/>
      <c r="BV1841" s="81" t="n"/>
      <c r="BW1841" s="81" t="n"/>
      <c r="BX1841" s="81" t="n"/>
      <c r="BY1841" s="81" t="n"/>
      <c r="BZ1841" s="81" t="n"/>
      <c r="CA1841" s="81" t="n"/>
      <c r="CB1841" s="81" t="n"/>
      <c r="CC1841" s="81" t="n"/>
      <c r="CD1841" s="81" t="n"/>
      <c r="CE1841" s="81" t="n"/>
      <c r="CF1841" s="81" t="n"/>
      <c r="CG1841" s="81" t="n"/>
      <c r="CH1841" s="81" t="n"/>
    </row>
    <row r="1842">
      <c r="A1842" s="81" t="n"/>
      <c r="B1842" s="81" t="n"/>
      <c r="C1842" s="81" t="n"/>
      <c r="D1842" s="81" t="n"/>
      <c r="E1842" s="81" t="n"/>
      <c r="F1842" s="81" t="n"/>
      <c r="G1842" s="81" t="n"/>
      <c r="H1842" s="81" t="n"/>
      <c r="I1842" s="81" t="n"/>
      <c r="J1842" s="81" t="n"/>
      <c r="K1842" s="81" t="n"/>
      <c r="L1842" s="81" t="n"/>
      <c r="M1842" s="81" t="n"/>
      <c r="N1842" s="81" t="n"/>
      <c r="O1842" s="81" t="n"/>
      <c r="P1842" s="81" t="n"/>
      <c r="Q1842" s="81" t="n"/>
      <c r="R1842" s="81" t="n"/>
      <c r="S1842" s="81" t="n"/>
      <c r="T1842" s="81" t="n"/>
      <c r="U1842" s="81" t="n"/>
      <c r="V1842" s="81" t="n"/>
      <c r="W1842" s="81" t="n"/>
      <c r="X1842" s="81" t="n"/>
      <c r="Y1842" s="81" t="n"/>
      <c r="Z1842" s="81" t="n"/>
      <c r="AA1842" s="81" t="n"/>
      <c r="AB1842" s="81" t="n"/>
      <c r="AC1842" s="81" t="n"/>
      <c r="AD1842" s="81" t="n"/>
      <c r="AE1842" s="81" t="n"/>
      <c r="AF1842" s="81" t="n"/>
      <c r="AG1842" s="81" t="n"/>
      <c r="AH1842" s="81" t="n"/>
      <c r="AI1842" s="81" t="n"/>
      <c r="AJ1842" s="81" t="n"/>
      <c r="AK1842" s="81" t="n"/>
      <c r="AL1842" s="81" t="n"/>
      <c r="AM1842" s="81" t="n"/>
      <c r="AN1842" s="81" t="n"/>
      <c r="AO1842" s="81" t="n"/>
      <c r="AP1842" s="81" t="n"/>
      <c r="AQ1842" s="81" t="n"/>
      <c r="AR1842" s="81" t="n"/>
      <c r="AS1842" s="81" t="n"/>
      <c r="AT1842" s="81" t="n"/>
      <c r="AU1842" s="81" t="n"/>
      <c r="AV1842" s="81" t="n"/>
      <c r="AW1842" s="81" t="n"/>
      <c r="AX1842" s="81" t="n"/>
      <c r="AY1842" s="81" t="n"/>
      <c r="AZ1842" s="81" t="n"/>
      <c r="BA1842" s="81" t="n"/>
      <c r="BB1842" s="81" t="n"/>
      <c r="BC1842" s="81" t="n"/>
      <c r="BD1842" s="81" t="n"/>
      <c r="BE1842" s="81" t="n"/>
      <c r="BF1842" s="81" t="n"/>
      <c r="BG1842" s="81" t="n"/>
      <c r="BH1842" s="81" t="n"/>
      <c r="BI1842" s="81" t="n"/>
      <c r="BJ1842" s="81" t="n"/>
      <c r="BK1842" s="81" t="n"/>
      <c r="BL1842" s="81" t="n"/>
      <c r="BM1842" s="81" t="n"/>
      <c r="BN1842" s="81" t="n"/>
      <c r="BO1842" s="81" t="n"/>
      <c r="BP1842" s="81" t="n"/>
      <c r="BQ1842" s="81" t="n"/>
      <c r="BR1842" s="81" t="n"/>
      <c r="BS1842" s="81" t="n"/>
      <c r="BT1842" s="81" t="n"/>
      <c r="BU1842" s="81" t="n"/>
      <c r="BV1842" s="81" t="n"/>
      <c r="BW1842" s="81" t="n"/>
      <c r="BX1842" s="81" t="n"/>
      <c r="BY1842" s="81" t="n"/>
      <c r="BZ1842" s="81" t="n"/>
      <c r="CA1842" s="81" t="n"/>
      <c r="CB1842" s="81" t="n"/>
      <c r="CC1842" s="81" t="n"/>
      <c r="CD1842" s="81" t="n"/>
      <c r="CE1842" s="81" t="n"/>
      <c r="CF1842" s="81" t="n"/>
      <c r="CG1842" s="81" t="n"/>
      <c r="CH1842" s="81" t="n"/>
    </row>
    <row r="1843">
      <c r="A1843" s="81" t="n"/>
      <c r="B1843" s="81" t="n"/>
      <c r="C1843" s="81" t="n"/>
      <c r="D1843" s="81" t="n"/>
      <c r="E1843" s="81" t="n"/>
      <c r="F1843" s="81" t="n"/>
      <c r="G1843" s="81" t="n"/>
      <c r="H1843" s="81" t="n"/>
      <c r="I1843" s="81" t="n"/>
      <c r="J1843" s="81" t="n"/>
      <c r="K1843" s="81" t="n"/>
      <c r="L1843" s="81" t="n"/>
      <c r="M1843" s="81" t="n"/>
      <c r="N1843" s="81" t="n"/>
      <c r="O1843" s="81" t="n"/>
      <c r="P1843" s="81" t="n"/>
      <c r="Q1843" s="81" t="n"/>
      <c r="R1843" s="81" t="n"/>
      <c r="S1843" s="81" t="n"/>
      <c r="T1843" s="81" t="n"/>
      <c r="U1843" s="81" t="n"/>
      <c r="V1843" s="81" t="n"/>
      <c r="W1843" s="81" t="n"/>
      <c r="X1843" s="81" t="n"/>
      <c r="Y1843" s="81" t="n"/>
      <c r="Z1843" s="81" t="n"/>
      <c r="AA1843" s="81" t="n"/>
      <c r="AB1843" s="81" t="n"/>
      <c r="AC1843" s="81" t="n"/>
      <c r="AD1843" s="81" t="n"/>
      <c r="AE1843" s="81" t="n"/>
      <c r="AF1843" s="81" t="n"/>
      <c r="AG1843" s="81" t="n"/>
      <c r="AH1843" s="81" t="n"/>
      <c r="AI1843" s="81" t="n"/>
      <c r="AJ1843" s="81" t="n"/>
      <c r="AK1843" s="81" t="n"/>
      <c r="AL1843" s="81" t="n"/>
      <c r="AM1843" s="81" t="n"/>
      <c r="AN1843" s="81" t="n"/>
      <c r="AO1843" s="81" t="n"/>
      <c r="AP1843" s="81" t="n"/>
      <c r="AQ1843" s="81" t="n"/>
      <c r="AR1843" s="81" t="n"/>
      <c r="AS1843" s="81" t="n"/>
      <c r="AT1843" s="81" t="n"/>
      <c r="AU1843" s="81" t="n"/>
      <c r="AV1843" s="81" t="n"/>
      <c r="AW1843" s="81" t="n"/>
      <c r="AX1843" s="81" t="n"/>
      <c r="AY1843" s="81" t="n"/>
      <c r="AZ1843" s="81" t="n"/>
      <c r="BA1843" s="81" t="n"/>
      <c r="BB1843" s="81" t="n"/>
      <c r="BC1843" s="81" t="n"/>
      <c r="BD1843" s="81" t="n"/>
      <c r="BE1843" s="81" t="n"/>
      <c r="BF1843" s="81" t="n"/>
      <c r="BG1843" s="81" t="n"/>
      <c r="BH1843" s="81" t="n"/>
      <c r="BI1843" s="81" t="n"/>
      <c r="BJ1843" s="81" t="n"/>
      <c r="BK1843" s="81" t="n"/>
      <c r="BL1843" s="81" t="n"/>
      <c r="BM1843" s="81" t="n"/>
      <c r="BN1843" s="81" t="n"/>
      <c r="BO1843" s="81" t="n"/>
      <c r="BP1843" s="81" t="n"/>
      <c r="BQ1843" s="81" t="n"/>
      <c r="BR1843" s="81" t="n"/>
      <c r="BS1843" s="81" t="n"/>
      <c r="BT1843" s="81" t="n"/>
      <c r="BU1843" s="81" t="n"/>
      <c r="BV1843" s="81" t="n"/>
      <c r="BW1843" s="81" t="n"/>
      <c r="BX1843" s="81" t="n"/>
      <c r="BY1843" s="81" t="n"/>
      <c r="BZ1843" s="81" t="n"/>
      <c r="CA1843" s="81" t="n"/>
      <c r="CB1843" s="81" t="n"/>
      <c r="CC1843" s="81" t="n"/>
      <c r="CD1843" s="81" t="n"/>
      <c r="CE1843" s="81" t="n"/>
      <c r="CF1843" s="81" t="n"/>
      <c r="CG1843" s="81" t="n"/>
      <c r="CH1843" s="81" t="n"/>
    </row>
    <row r="1844">
      <c r="A1844" s="81" t="n"/>
      <c r="B1844" s="81" t="n"/>
      <c r="C1844" s="81" t="n"/>
      <c r="D1844" s="81" t="n"/>
      <c r="E1844" s="81" t="n"/>
      <c r="F1844" s="81" t="n"/>
      <c r="G1844" s="81" t="n"/>
      <c r="H1844" s="81" t="n"/>
      <c r="I1844" s="81" t="n"/>
      <c r="J1844" s="81" t="n"/>
      <c r="K1844" s="81" t="n"/>
      <c r="L1844" s="81" t="n"/>
      <c r="M1844" s="81" t="n"/>
      <c r="N1844" s="81" t="n"/>
      <c r="O1844" s="81" t="n"/>
      <c r="P1844" s="81" t="n"/>
      <c r="Q1844" s="81" t="n"/>
      <c r="R1844" s="81" t="n"/>
      <c r="S1844" s="81" t="n"/>
      <c r="T1844" s="81" t="n"/>
      <c r="U1844" s="81" t="n"/>
      <c r="V1844" s="81" t="n"/>
      <c r="W1844" s="81" t="n"/>
      <c r="X1844" s="81" t="n"/>
      <c r="Y1844" s="81" t="n"/>
      <c r="Z1844" s="81" t="n"/>
      <c r="AA1844" s="81" t="n"/>
      <c r="AB1844" s="81" t="n"/>
      <c r="AC1844" s="81" t="n"/>
      <c r="AD1844" s="81" t="n"/>
      <c r="AE1844" s="81" t="n"/>
      <c r="AF1844" s="81" t="n"/>
      <c r="AG1844" s="81" t="n"/>
      <c r="AH1844" s="81" t="n"/>
      <c r="AI1844" s="81" t="n"/>
      <c r="AJ1844" s="81" t="n"/>
      <c r="AK1844" s="81" t="n"/>
      <c r="AL1844" s="81" t="n"/>
      <c r="AM1844" s="81" t="n"/>
      <c r="AN1844" s="81" t="n"/>
      <c r="AO1844" s="81" t="n"/>
      <c r="AP1844" s="81" t="n"/>
      <c r="AQ1844" s="81" t="n"/>
      <c r="AR1844" s="81" t="n"/>
      <c r="AS1844" s="81" t="n"/>
      <c r="AT1844" s="81" t="n"/>
      <c r="AU1844" s="81" t="n"/>
      <c r="AV1844" s="81" t="n"/>
      <c r="AW1844" s="81" t="n"/>
      <c r="AX1844" s="81" t="n"/>
      <c r="AY1844" s="81" t="n"/>
      <c r="AZ1844" s="81" t="n"/>
      <c r="BA1844" s="81" t="n"/>
      <c r="BB1844" s="81" t="n"/>
      <c r="BC1844" s="81" t="n"/>
      <c r="BD1844" s="81" t="n"/>
      <c r="BE1844" s="81" t="n"/>
      <c r="BF1844" s="81" t="n"/>
      <c r="BG1844" s="81" t="n"/>
      <c r="BH1844" s="81" t="n"/>
      <c r="BI1844" s="81" t="n"/>
      <c r="BJ1844" s="81" t="n"/>
      <c r="BK1844" s="81" t="n"/>
      <c r="BL1844" s="81" t="n"/>
      <c r="BM1844" s="81" t="n"/>
      <c r="BN1844" s="81" t="n"/>
      <c r="BO1844" s="81" t="n"/>
      <c r="BP1844" s="81" t="n"/>
      <c r="BQ1844" s="81" t="n"/>
      <c r="BR1844" s="81" t="n"/>
      <c r="BS1844" s="81" t="n"/>
      <c r="BT1844" s="81" t="n"/>
      <c r="BU1844" s="81" t="n"/>
      <c r="BV1844" s="81" t="n"/>
      <c r="BW1844" s="81" t="n"/>
      <c r="BX1844" s="81" t="n"/>
      <c r="BY1844" s="81" t="n"/>
      <c r="BZ1844" s="81" t="n"/>
      <c r="CA1844" s="81" t="n"/>
      <c r="CB1844" s="81" t="n"/>
      <c r="CC1844" s="81" t="n"/>
      <c r="CD1844" s="81" t="n"/>
      <c r="CE1844" s="81" t="n"/>
      <c r="CF1844" s="81" t="n"/>
      <c r="CG1844" s="81" t="n"/>
      <c r="CH1844" s="81" t="n"/>
    </row>
    <row r="1845">
      <c r="A1845" s="81" t="n"/>
      <c r="B1845" s="81" t="n"/>
      <c r="C1845" s="81" t="n"/>
      <c r="D1845" s="81" t="n"/>
      <c r="E1845" s="81" t="n"/>
      <c r="F1845" s="81" t="n"/>
      <c r="G1845" s="81" t="n"/>
      <c r="H1845" s="81" t="n"/>
      <c r="I1845" s="81" t="n"/>
      <c r="J1845" s="81" t="n"/>
      <c r="K1845" s="81" t="n"/>
      <c r="L1845" s="81" t="n"/>
      <c r="M1845" s="81" t="n"/>
      <c r="N1845" s="81" t="n"/>
      <c r="O1845" s="81" t="n"/>
      <c r="P1845" s="81" t="n"/>
      <c r="Q1845" s="81" t="n"/>
      <c r="R1845" s="81" t="n"/>
      <c r="S1845" s="81" t="n"/>
      <c r="T1845" s="81" t="n"/>
      <c r="U1845" s="81" t="n"/>
      <c r="V1845" s="81" t="n"/>
      <c r="W1845" s="81" t="n"/>
      <c r="X1845" s="81" t="n"/>
      <c r="Y1845" s="81" t="n"/>
      <c r="Z1845" s="81" t="n"/>
      <c r="AA1845" s="81" t="n"/>
      <c r="AB1845" s="81" t="n"/>
      <c r="AC1845" s="81" t="n"/>
      <c r="AD1845" s="81" t="n"/>
      <c r="AE1845" s="81" t="n"/>
      <c r="AF1845" s="81" t="n"/>
      <c r="AG1845" s="81" t="n"/>
      <c r="AH1845" s="81" t="n"/>
      <c r="AI1845" s="81" t="n"/>
      <c r="AJ1845" s="81" t="n"/>
      <c r="AK1845" s="81" t="n"/>
      <c r="AL1845" s="81" t="n"/>
      <c r="AM1845" s="81" t="n"/>
      <c r="AN1845" s="81" t="n"/>
      <c r="AO1845" s="81" t="n"/>
      <c r="AP1845" s="81" t="n"/>
      <c r="AQ1845" s="81" t="n"/>
      <c r="AR1845" s="81" t="n"/>
      <c r="AS1845" s="81" t="n"/>
      <c r="AT1845" s="81" t="n"/>
      <c r="AU1845" s="81" t="n"/>
      <c r="AV1845" s="81" t="n"/>
      <c r="AW1845" s="81" t="n"/>
      <c r="AX1845" s="81" t="n"/>
      <c r="AY1845" s="81" t="n"/>
      <c r="AZ1845" s="81" t="n"/>
      <c r="BA1845" s="81" t="n"/>
      <c r="BB1845" s="81" t="n"/>
      <c r="BC1845" s="81" t="n"/>
      <c r="BD1845" s="81" t="n"/>
      <c r="BE1845" s="81" t="n"/>
      <c r="BF1845" s="81" t="n"/>
      <c r="BG1845" s="81" t="n"/>
      <c r="BH1845" s="81" t="n"/>
      <c r="BI1845" s="81" t="n"/>
      <c r="BJ1845" s="81" t="n"/>
      <c r="BK1845" s="81" t="n"/>
      <c r="BL1845" s="81" t="n"/>
      <c r="BM1845" s="81" t="n"/>
      <c r="BN1845" s="81" t="n"/>
      <c r="BO1845" s="81" t="n"/>
      <c r="BP1845" s="81" t="n"/>
      <c r="BQ1845" s="81" t="n"/>
      <c r="BR1845" s="81" t="n"/>
      <c r="BS1845" s="81" t="n"/>
      <c r="BT1845" s="81" t="n"/>
      <c r="BU1845" s="81" t="n"/>
      <c r="BV1845" s="81" t="n"/>
      <c r="BW1845" s="81" t="n"/>
      <c r="BX1845" s="81" t="n"/>
      <c r="BY1845" s="81" t="n"/>
      <c r="BZ1845" s="81" t="n"/>
      <c r="CA1845" s="81" t="n"/>
      <c r="CB1845" s="81" t="n"/>
      <c r="CC1845" s="81" t="n"/>
      <c r="CD1845" s="81" t="n"/>
      <c r="CE1845" s="81" t="n"/>
      <c r="CF1845" s="81" t="n"/>
      <c r="CG1845" s="81" t="n"/>
      <c r="CH1845" s="81" t="n"/>
    </row>
    <row r="1846">
      <c r="A1846" s="81" t="n"/>
      <c r="B1846" s="81" t="n"/>
      <c r="C1846" s="81" t="n"/>
      <c r="D1846" s="81" t="n"/>
      <c r="E1846" s="81" t="n"/>
      <c r="F1846" s="81" t="n"/>
      <c r="G1846" s="81" t="n"/>
      <c r="H1846" s="81" t="n"/>
      <c r="I1846" s="81" t="n"/>
      <c r="J1846" s="81" t="n"/>
      <c r="K1846" s="81" t="n"/>
      <c r="L1846" s="81" t="n"/>
      <c r="M1846" s="81" t="n"/>
      <c r="N1846" s="81" t="n"/>
      <c r="O1846" s="81" t="n"/>
      <c r="P1846" s="81" t="n"/>
      <c r="Q1846" s="81" t="n"/>
      <c r="R1846" s="81" t="n"/>
      <c r="S1846" s="81" t="n"/>
      <c r="T1846" s="81" t="n"/>
      <c r="U1846" s="81" t="n"/>
      <c r="V1846" s="81" t="n"/>
      <c r="W1846" s="81" t="n"/>
      <c r="X1846" s="81" t="n"/>
      <c r="Y1846" s="81" t="n"/>
      <c r="Z1846" s="81" t="n"/>
      <c r="AA1846" s="81" t="n"/>
      <c r="AB1846" s="81" t="n"/>
      <c r="AC1846" s="81" t="n"/>
      <c r="AD1846" s="81" t="n"/>
      <c r="AE1846" s="81" t="n"/>
      <c r="AF1846" s="81" t="n"/>
      <c r="AG1846" s="81" t="n"/>
      <c r="AH1846" s="81" t="n"/>
      <c r="AI1846" s="81" t="n"/>
      <c r="AJ1846" s="81" t="n"/>
      <c r="AK1846" s="81" t="n"/>
      <c r="AL1846" s="81" t="n"/>
      <c r="AM1846" s="81" t="n"/>
      <c r="AN1846" s="81" t="n"/>
      <c r="AO1846" s="81" t="n"/>
      <c r="AP1846" s="81" t="n"/>
      <c r="AQ1846" s="81" t="n"/>
      <c r="AR1846" s="81" t="n"/>
      <c r="AS1846" s="81" t="n"/>
      <c r="AT1846" s="81" t="n"/>
      <c r="AU1846" s="81" t="n"/>
      <c r="AV1846" s="81" t="n"/>
      <c r="AW1846" s="81" t="n"/>
      <c r="AX1846" s="81" t="n"/>
      <c r="AY1846" s="81" t="n"/>
      <c r="AZ1846" s="81" t="n"/>
      <c r="BA1846" s="81" t="n"/>
      <c r="BB1846" s="81" t="n"/>
      <c r="BC1846" s="81" t="n"/>
      <c r="BD1846" s="81" t="n"/>
      <c r="BE1846" s="81" t="n"/>
      <c r="BF1846" s="81" t="n"/>
      <c r="BG1846" s="81" t="n"/>
      <c r="BH1846" s="81" t="n"/>
      <c r="BI1846" s="81" t="n"/>
      <c r="BJ1846" s="81" t="n"/>
      <c r="BK1846" s="81" t="n"/>
      <c r="BL1846" s="81" t="n"/>
      <c r="BM1846" s="81" t="n"/>
      <c r="BN1846" s="81" t="n"/>
      <c r="BO1846" s="81" t="n"/>
      <c r="BP1846" s="81" t="n"/>
      <c r="BQ1846" s="81" t="n"/>
      <c r="BR1846" s="81" t="n"/>
      <c r="BS1846" s="81" t="n"/>
      <c r="BT1846" s="81" t="n"/>
      <c r="BU1846" s="81" t="n"/>
      <c r="BV1846" s="81" t="n"/>
      <c r="BW1846" s="81" t="n"/>
      <c r="BX1846" s="81" t="n"/>
      <c r="BY1846" s="81" t="n"/>
      <c r="BZ1846" s="81" t="n"/>
      <c r="CA1846" s="81" t="n"/>
      <c r="CB1846" s="81" t="n"/>
      <c r="CC1846" s="81" t="n"/>
      <c r="CD1846" s="81" t="n"/>
      <c r="CE1846" s="81" t="n"/>
      <c r="CF1846" s="81" t="n"/>
      <c r="CG1846" s="81" t="n"/>
      <c r="CH1846" s="81" t="n"/>
    </row>
    <row r="1847">
      <c r="A1847" s="81" t="n"/>
      <c r="B1847" s="81" t="n"/>
      <c r="C1847" s="81" t="n"/>
      <c r="D1847" s="81" t="n"/>
      <c r="E1847" s="81" t="n"/>
      <c r="F1847" s="81" t="n"/>
      <c r="G1847" s="81" t="n"/>
      <c r="H1847" s="81" t="n"/>
      <c r="I1847" s="81" t="n"/>
      <c r="J1847" s="81" t="n"/>
      <c r="K1847" s="81" t="n"/>
      <c r="L1847" s="81" t="n"/>
      <c r="M1847" s="81" t="n"/>
      <c r="N1847" s="81" t="n"/>
      <c r="O1847" s="81" t="n"/>
      <c r="P1847" s="81" t="n"/>
      <c r="Q1847" s="81" t="n"/>
      <c r="R1847" s="81" t="n"/>
      <c r="S1847" s="81" t="n"/>
      <c r="T1847" s="81" t="n"/>
      <c r="U1847" s="81" t="n"/>
      <c r="V1847" s="81" t="n"/>
      <c r="W1847" s="81" t="n"/>
      <c r="X1847" s="81" t="n"/>
      <c r="Y1847" s="81" t="n"/>
      <c r="Z1847" s="81" t="n"/>
      <c r="AA1847" s="81" t="n"/>
      <c r="AB1847" s="81" t="n"/>
      <c r="AC1847" s="81" t="n"/>
      <c r="AD1847" s="81" t="n"/>
      <c r="AE1847" s="81" t="n"/>
      <c r="AF1847" s="81" t="n"/>
      <c r="AG1847" s="81" t="n"/>
      <c r="AH1847" s="81" t="n"/>
      <c r="AI1847" s="81" t="n"/>
      <c r="AJ1847" s="81" t="n"/>
      <c r="AK1847" s="81" t="n"/>
      <c r="AL1847" s="81" t="n"/>
      <c r="AM1847" s="81" t="n"/>
      <c r="AN1847" s="81" t="n"/>
      <c r="AO1847" s="81" t="n"/>
      <c r="AP1847" s="81" t="n"/>
      <c r="AQ1847" s="81" t="n"/>
      <c r="AR1847" s="81" t="n"/>
      <c r="AS1847" s="81" t="n"/>
      <c r="AT1847" s="81" t="n"/>
      <c r="AU1847" s="81" t="n"/>
      <c r="AV1847" s="81" t="n"/>
      <c r="AW1847" s="81" t="n"/>
      <c r="AX1847" s="81" t="n"/>
      <c r="AY1847" s="81" t="n"/>
      <c r="AZ1847" s="81" t="n"/>
      <c r="BA1847" s="81" t="n"/>
      <c r="BB1847" s="81" t="n"/>
      <c r="BC1847" s="81" t="n"/>
      <c r="BD1847" s="81" t="n"/>
      <c r="BE1847" s="81" t="n"/>
      <c r="BF1847" s="81" t="n"/>
      <c r="BG1847" s="81" t="n"/>
      <c r="BH1847" s="81" t="n"/>
      <c r="BI1847" s="81" t="n"/>
      <c r="BJ1847" s="81" t="n"/>
      <c r="BK1847" s="81" t="n"/>
      <c r="BL1847" s="81" t="n"/>
      <c r="BM1847" s="81" t="n"/>
      <c r="BN1847" s="81" t="n"/>
      <c r="BO1847" s="81" t="n"/>
      <c r="BP1847" s="81" t="n"/>
      <c r="BQ1847" s="81" t="n"/>
      <c r="BR1847" s="81" t="n"/>
      <c r="BS1847" s="81" t="n"/>
      <c r="BT1847" s="81" t="n"/>
      <c r="BU1847" s="81" t="n"/>
      <c r="BV1847" s="81" t="n"/>
      <c r="BW1847" s="81" t="n"/>
      <c r="BX1847" s="81" t="n"/>
      <c r="BY1847" s="81" t="n"/>
      <c r="BZ1847" s="81" t="n"/>
      <c r="CA1847" s="81" t="n"/>
      <c r="CB1847" s="81" t="n"/>
      <c r="CC1847" s="81" t="n"/>
      <c r="CD1847" s="81" t="n"/>
      <c r="CE1847" s="81" t="n"/>
      <c r="CF1847" s="81" t="n"/>
      <c r="CG1847" s="81" t="n"/>
      <c r="CH1847" s="81" t="n"/>
    </row>
    <row r="1848">
      <c r="A1848" s="81" t="n"/>
      <c r="B1848" s="81" t="n"/>
      <c r="C1848" s="81" t="n"/>
      <c r="D1848" s="81" t="n"/>
      <c r="E1848" s="81" t="n"/>
      <c r="F1848" s="81" t="n"/>
      <c r="G1848" s="81" t="n"/>
      <c r="H1848" s="81" t="n"/>
      <c r="I1848" s="81" t="n"/>
      <c r="J1848" s="81" t="n"/>
      <c r="K1848" s="81" t="n"/>
      <c r="L1848" s="81" t="n"/>
      <c r="M1848" s="81" t="n"/>
      <c r="N1848" s="81" t="n"/>
      <c r="O1848" s="81" t="n"/>
      <c r="P1848" s="81" t="n"/>
      <c r="Q1848" s="81" t="n"/>
      <c r="R1848" s="81" t="n"/>
      <c r="S1848" s="81" t="n"/>
      <c r="T1848" s="81" t="n"/>
      <c r="U1848" s="81" t="n"/>
      <c r="V1848" s="81" t="n"/>
      <c r="W1848" s="81" t="n"/>
      <c r="X1848" s="81" t="n"/>
      <c r="Y1848" s="81" t="n"/>
      <c r="Z1848" s="81" t="n"/>
      <c r="AA1848" s="81" t="n"/>
      <c r="AB1848" s="81" t="n"/>
      <c r="AC1848" s="81" t="n"/>
      <c r="AD1848" s="81" t="n"/>
      <c r="AE1848" s="81" t="n"/>
      <c r="AF1848" s="81" t="n"/>
      <c r="AG1848" s="81" t="n"/>
      <c r="AH1848" s="81" t="n"/>
      <c r="AI1848" s="81" t="n"/>
      <c r="AJ1848" s="81" t="n"/>
      <c r="AK1848" s="81" t="n"/>
      <c r="AL1848" s="81" t="n"/>
      <c r="AM1848" s="81" t="n"/>
      <c r="AN1848" s="81" t="n"/>
      <c r="AO1848" s="81" t="n"/>
      <c r="AP1848" s="81" t="n"/>
      <c r="AQ1848" s="81" t="n"/>
      <c r="AR1848" s="81" t="n"/>
      <c r="AS1848" s="81" t="n"/>
      <c r="AT1848" s="81" t="n"/>
      <c r="AU1848" s="81" t="n"/>
      <c r="AV1848" s="81" t="n"/>
      <c r="AW1848" s="81" t="n"/>
      <c r="AX1848" s="81" t="n"/>
      <c r="AY1848" s="81" t="n"/>
      <c r="AZ1848" s="81" t="n"/>
      <c r="BA1848" s="81" t="n"/>
      <c r="BB1848" s="81" t="n"/>
      <c r="BC1848" s="81" t="n"/>
      <c r="BD1848" s="81" t="n"/>
      <c r="BE1848" s="81" t="n"/>
      <c r="BF1848" s="81" t="n"/>
      <c r="BG1848" s="81" t="n"/>
      <c r="BH1848" s="81" t="n"/>
      <c r="BI1848" s="81" t="n"/>
      <c r="BJ1848" s="81" t="n"/>
      <c r="BK1848" s="81" t="n"/>
      <c r="BL1848" s="81" t="n"/>
      <c r="BM1848" s="81" t="n"/>
      <c r="BN1848" s="81" t="n"/>
      <c r="BO1848" s="81" t="n"/>
      <c r="BP1848" s="81" t="n"/>
      <c r="BQ1848" s="81" t="n"/>
      <c r="BR1848" s="81" t="n"/>
      <c r="BS1848" s="81" t="n"/>
      <c r="BT1848" s="81" t="n"/>
      <c r="BU1848" s="81" t="n"/>
      <c r="BV1848" s="81" t="n"/>
      <c r="BW1848" s="81" t="n"/>
      <c r="BX1848" s="81" t="n"/>
      <c r="BY1848" s="81" t="n"/>
      <c r="BZ1848" s="81" t="n"/>
      <c r="CA1848" s="81" t="n"/>
      <c r="CB1848" s="81" t="n"/>
      <c r="CC1848" s="81" t="n"/>
      <c r="CD1848" s="81" t="n"/>
      <c r="CE1848" s="81" t="n"/>
      <c r="CF1848" s="81" t="n"/>
      <c r="CG1848" s="81" t="n"/>
      <c r="CH1848" s="81" t="n"/>
    </row>
    <row r="1849">
      <c r="A1849" s="81" t="n"/>
      <c r="B1849" s="81" t="n"/>
      <c r="C1849" s="81" t="n"/>
      <c r="D1849" s="81" t="n"/>
      <c r="E1849" s="81" t="n"/>
      <c r="F1849" s="81" t="n"/>
      <c r="G1849" s="81" t="n"/>
      <c r="H1849" s="81" t="n"/>
      <c r="I1849" s="81" t="n"/>
      <c r="J1849" s="81" t="n"/>
      <c r="K1849" s="81" t="n"/>
      <c r="L1849" s="81" t="n"/>
      <c r="M1849" s="81" t="n"/>
      <c r="N1849" s="81" t="n"/>
      <c r="O1849" s="81" t="n"/>
      <c r="P1849" s="81" t="n"/>
      <c r="Q1849" s="81" t="n"/>
      <c r="R1849" s="81" t="n"/>
      <c r="S1849" s="81" t="n"/>
      <c r="T1849" s="81" t="n"/>
      <c r="U1849" s="81" t="n"/>
      <c r="V1849" s="81" t="n"/>
      <c r="W1849" s="81" t="n"/>
      <c r="X1849" s="81" t="n"/>
      <c r="Y1849" s="81" t="n"/>
      <c r="Z1849" s="81" t="n"/>
      <c r="AA1849" s="81" t="n"/>
      <c r="AB1849" s="81" t="n"/>
      <c r="AC1849" s="81" t="n"/>
      <c r="AD1849" s="81" t="n"/>
      <c r="AE1849" s="81" t="n"/>
      <c r="AF1849" s="81" t="n"/>
      <c r="AG1849" s="81" t="n"/>
      <c r="AH1849" s="81" t="n"/>
      <c r="AI1849" s="81" t="n"/>
      <c r="AJ1849" s="81" t="n"/>
      <c r="AK1849" s="81" t="n"/>
      <c r="AL1849" s="81" t="n"/>
      <c r="AM1849" s="81" t="n"/>
      <c r="AN1849" s="81" t="n"/>
      <c r="AO1849" s="81" t="n"/>
      <c r="AP1849" s="81" t="n"/>
      <c r="AQ1849" s="81" t="n"/>
      <c r="AR1849" s="81" t="n"/>
      <c r="AS1849" s="81" t="n"/>
      <c r="AT1849" s="81" t="n"/>
      <c r="AU1849" s="81" t="n"/>
      <c r="AV1849" s="81" t="n"/>
      <c r="AW1849" s="81" t="n"/>
      <c r="AX1849" s="81" t="n"/>
      <c r="AY1849" s="81" t="n"/>
      <c r="AZ1849" s="81" t="n"/>
      <c r="BA1849" s="81" t="n"/>
      <c r="BB1849" s="81" t="n"/>
      <c r="BC1849" s="81" t="n"/>
      <c r="BD1849" s="81" t="n"/>
      <c r="BE1849" s="81" t="n"/>
      <c r="BF1849" s="81" t="n"/>
      <c r="BG1849" s="81" t="n"/>
      <c r="BH1849" s="81" t="n"/>
      <c r="BI1849" s="81" t="n"/>
      <c r="BJ1849" s="81" t="n"/>
      <c r="BK1849" s="81" t="n"/>
      <c r="BL1849" s="81" t="n"/>
      <c r="BM1849" s="81" t="n"/>
      <c r="BN1849" s="81" t="n"/>
      <c r="BO1849" s="81" t="n"/>
      <c r="BP1849" s="81" t="n"/>
      <c r="BQ1849" s="81" t="n"/>
      <c r="BR1849" s="81" t="n"/>
      <c r="BS1849" s="81" t="n"/>
      <c r="BT1849" s="81" t="n"/>
      <c r="BU1849" s="81" t="n"/>
      <c r="BV1849" s="81" t="n"/>
      <c r="BW1849" s="81" t="n"/>
      <c r="BX1849" s="81" t="n"/>
      <c r="BY1849" s="81" t="n"/>
      <c r="BZ1849" s="81" t="n"/>
      <c r="CA1849" s="81" t="n"/>
      <c r="CB1849" s="81" t="n"/>
      <c r="CC1849" s="81" t="n"/>
      <c r="CD1849" s="81" t="n"/>
      <c r="CE1849" s="81" t="n"/>
      <c r="CF1849" s="81" t="n"/>
      <c r="CG1849" s="81" t="n"/>
      <c r="CH1849" s="81" t="n"/>
    </row>
    <row r="1850">
      <c r="A1850" s="81" t="n"/>
      <c r="B1850" s="81" t="n"/>
      <c r="C1850" s="81" t="n"/>
      <c r="D1850" s="81" t="n"/>
      <c r="E1850" s="81" t="n"/>
      <c r="F1850" s="81" t="n"/>
      <c r="G1850" s="81" t="n"/>
      <c r="H1850" s="81" t="n"/>
      <c r="I1850" s="81" t="n"/>
      <c r="J1850" s="81" t="n"/>
      <c r="K1850" s="81" t="n"/>
      <c r="L1850" s="81" t="n"/>
      <c r="M1850" s="81" t="n"/>
      <c r="N1850" s="81" t="n"/>
      <c r="O1850" s="81" t="n"/>
      <c r="P1850" s="81" t="n"/>
      <c r="Q1850" s="81" t="n"/>
      <c r="R1850" s="81" t="n"/>
      <c r="S1850" s="81" t="n"/>
      <c r="T1850" s="81" t="n"/>
      <c r="U1850" s="81" t="n"/>
      <c r="V1850" s="81" t="n"/>
      <c r="W1850" s="81" t="n"/>
      <c r="X1850" s="81" t="n"/>
      <c r="Y1850" s="81" t="n"/>
      <c r="Z1850" s="81" t="n"/>
      <c r="AA1850" s="81" t="n"/>
      <c r="AB1850" s="81" t="n"/>
      <c r="AC1850" s="81" t="n"/>
      <c r="AD1850" s="81" t="n"/>
      <c r="AE1850" s="81" t="n"/>
      <c r="AF1850" s="81" t="n"/>
      <c r="AG1850" s="81" t="n"/>
      <c r="AH1850" s="81" t="n"/>
      <c r="AI1850" s="81" t="n"/>
      <c r="AJ1850" s="81" t="n"/>
      <c r="AK1850" s="81" t="n"/>
      <c r="AL1850" s="81" t="n"/>
      <c r="AM1850" s="81" t="n"/>
      <c r="AN1850" s="81" t="n"/>
      <c r="AO1850" s="81" t="n"/>
      <c r="AP1850" s="81" t="n"/>
      <c r="AQ1850" s="81" t="n"/>
      <c r="AR1850" s="81" t="n"/>
      <c r="AS1850" s="81" t="n"/>
      <c r="AT1850" s="81" t="n"/>
      <c r="AU1850" s="81" t="n"/>
      <c r="AV1850" s="81" t="n"/>
      <c r="AW1850" s="81" t="n"/>
      <c r="AX1850" s="81" t="n"/>
      <c r="AY1850" s="81" t="n"/>
      <c r="AZ1850" s="81" t="n"/>
      <c r="BA1850" s="81" t="n"/>
      <c r="BB1850" s="81" t="n"/>
      <c r="BC1850" s="81" t="n"/>
      <c r="BD1850" s="81" t="n"/>
      <c r="BE1850" s="81" t="n"/>
      <c r="BF1850" s="81" t="n"/>
      <c r="BG1850" s="81" t="n"/>
      <c r="BH1850" s="81" t="n"/>
      <c r="BI1850" s="81" t="n"/>
      <c r="BJ1850" s="81" t="n"/>
      <c r="BK1850" s="81" t="n"/>
      <c r="BL1850" s="81" t="n"/>
      <c r="BM1850" s="81" t="n"/>
      <c r="BN1850" s="81" t="n"/>
      <c r="BO1850" s="81" t="n"/>
      <c r="BP1850" s="81" t="n"/>
      <c r="BQ1850" s="81" t="n"/>
      <c r="BR1850" s="81" t="n"/>
      <c r="BS1850" s="81" t="n"/>
      <c r="BT1850" s="81" t="n"/>
      <c r="BU1850" s="81" t="n"/>
      <c r="BV1850" s="81" t="n"/>
      <c r="BW1850" s="81" t="n"/>
      <c r="BX1850" s="81" t="n"/>
      <c r="BY1850" s="81" t="n"/>
      <c r="BZ1850" s="81" t="n"/>
      <c r="CA1850" s="81" t="n"/>
      <c r="CB1850" s="81" t="n"/>
      <c r="CC1850" s="81" t="n"/>
      <c r="CD1850" s="81" t="n"/>
      <c r="CE1850" s="81" t="n"/>
      <c r="CF1850" s="81" t="n"/>
      <c r="CG1850" s="81" t="n"/>
      <c r="CH1850" s="81" t="n"/>
    </row>
    <row r="1851">
      <c r="A1851" s="81" t="n"/>
      <c r="B1851" s="81" t="n"/>
      <c r="C1851" s="81" t="n"/>
      <c r="D1851" s="81" t="n"/>
      <c r="E1851" s="81" t="n"/>
      <c r="F1851" s="81" t="n"/>
      <c r="G1851" s="81" t="n"/>
      <c r="H1851" s="81" t="n"/>
      <c r="I1851" s="81" t="n"/>
      <c r="J1851" s="81" t="n"/>
      <c r="K1851" s="81" t="n"/>
      <c r="L1851" s="81" t="n"/>
      <c r="M1851" s="81" t="n"/>
      <c r="N1851" s="81" t="n"/>
      <c r="O1851" s="81" t="n"/>
      <c r="P1851" s="81" t="n"/>
      <c r="Q1851" s="81" t="n"/>
      <c r="R1851" s="81" t="n"/>
      <c r="S1851" s="81" t="n"/>
      <c r="T1851" s="81" t="n"/>
      <c r="U1851" s="81" t="n"/>
      <c r="V1851" s="81" t="n"/>
      <c r="W1851" s="81" t="n"/>
      <c r="X1851" s="81" t="n"/>
      <c r="Y1851" s="81" t="n"/>
      <c r="Z1851" s="81" t="n"/>
      <c r="AA1851" s="81" t="n"/>
      <c r="AB1851" s="81" t="n"/>
      <c r="AC1851" s="81" t="n"/>
      <c r="AD1851" s="81" t="n"/>
      <c r="AE1851" s="81" t="n"/>
      <c r="AF1851" s="81" t="n"/>
      <c r="AG1851" s="81" t="n"/>
      <c r="AH1851" s="81" t="n"/>
      <c r="AI1851" s="81" t="n"/>
      <c r="AJ1851" s="81" t="n"/>
      <c r="AK1851" s="81" t="n"/>
      <c r="AL1851" s="81" t="n"/>
      <c r="AM1851" s="81" t="n"/>
      <c r="AN1851" s="81" t="n"/>
      <c r="AO1851" s="81" t="n"/>
      <c r="AP1851" s="81" t="n"/>
      <c r="AQ1851" s="81" t="n"/>
      <c r="AR1851" s="81" t="n"/>
      <c r="AS1851" s="81" t="n"/>
      <c r="AT1851" s="81" t="n"/>
      <c r="AU1851" s="81" t="n"/>
      <c r="AV1851" s="81" t="n"/>
      <c r="AW1851" s="81" t="n"/>
      <c r="AX1851" s="81" t="n"/>
      <c r="AY1851" s="81" t="n"/>
      <c r="AZ1851" s="81" t="n"/>
      <c r="BA1851" s="81" t="n"/>
      <c r="BB1851" s="81" t="n"/>
      <c r="BC1851" s="81" t="n"/>
      <c r="BD1851" s="81" t="n"/>
      <c r="BE1851" s="81" t="n"/>
      <c r="BF1851" s="81" t="n"/>
      <c r="BG1851" s="81" t="n"/>
      <c r="BH1851" s="81" t="n"/>
      <c r="BI1851" s="81" t="n"/>
      <c r="BJ1851" s="81" t="n"/>
      <c r="BK1851" s="81" t="n"/>
      <c r="BL1851" s="81" t="n"/>
      <c r="BM1851" s="81" t="n"/>
      <c r="BN1851" s="81" t="n"/>
      <c r="BO1851" s="81" t="n"/>
      <c r="BP1851" s="81" t="n"/>
      <c r="BQ1851" s="81" t="n"/>
      <c r="BR1851" s="81" t="n"/>
      <c r="BS1851" s="81" t="n"/>
      <c r="BT1851" s="81" t="n"/>
      <c r="BU1851" s="81" t="n"/>
      <c r="BV1851" s="81" t="n"/>
      <c r="BW1851" s="81" t="n"/>
      <c r="BX1851" s="81" t="n"/>
      <c r="BY1851" s="81" t="n"/>
      <c r="BZ1851" s="81" t="n"/>
      <c r="CA1851" s="81" t="n"/>
      <c r="CB1851" s="81" t="n"/>
      <c r="CC1851" s="81" t="n"/>
      <c r="CD1851" s="81" t="n"/>
      <c r="CE1851" s="81" t="n"/>
      <c r="CF1851" s="81" t="n"/>
      <c r="CG1851" s="81" t="n"/>
      <c r="CH1851" s="81" t="n"/>
    </row>
    <row r="1852">
      <c r="A1852" s="81" t="n"/>
      <c r="B1852" s="81" t="n"/>
      <c r="C1852" s="81" t="n"/>
      <c r="D1852" s="81" t="n"/>
      <c r="E1852" s="81" t="n"/>
      <c r="F1852" s="81" t="n"/>
      <c r="G1852" s="81" t="n"/>
      <c r="H1852" s="81" t="n"/>
      <c r="I1852" s="81" t="n"/>
      <c r="J1852" s="81" t="n"/>
      <c r="K1852" s="81" t="n"/>
      <c r="L1852" s="81" t="n"/>
      <c r="M1852" s="81" t="n"/>
      <c r="N1852" s="81" t="n"/>
      <c r="O1852" s="81" t="n"/>
      <c r="P1852" s="81" t="n"/>
      <c r="Q1852" s="81" t="n"/>
      <c r="R1852" s="81" t="n"/>
      <c r="S1852" s="81" t="n"/>
      <c r="T1852" s="81" t="n"/>
      <c r="U1852" s="81" t="n"/>
      <c r="V1852" s="81" t="n"/>
      <c r="W1852" s="81" t="n"/>
      <c r="X1852" s="81" t="n"/>
      <c r="Y1852" s="81" t="n"/>
      <c r="Z1852" s="81" t="n"/>
      <c r="AA1852" s="81" t="n"/>
      <c r="AB1852" s="81" t="n"/>
      <c r="AC1852" s="81" t="n"/>
      <c r="AD1852" s="81" t="n"/>
      <c r="AE1852" s="81" t="n"/>
      <c r="AF1852" s="81" t="n"/>
      <c r="AG1852" s="81" t="n"/>
      <c r="AH1852" s="81" t="n"/>
      <c r="AI1852" s="81" t="n"/>
      <c r="AJ1852" s="81" t="n"/>
      <c r="AK1852" s="81" t="n"/>
      <c r="AL1852" s="81" t="n"/>
      <c r="AM1852" s="81" t="n"/>
      <c r="AN1852" s="81" t="n"/>
      <c r="AO1852" s="81" t="n"/>
      <c r="AP1852" s="81" t="n"/>
      <c r="AQ1852" s="81" t="n"/>
      <c r="AR1852" s="81" t="n"/>
      <c r="AS1852" s="81" t="n"/>
      <c r="AT1852" s="81" t="n"/>
      <c r="AU1852" s="81" t="n"/>
      <c r="AV1852" s="81" t="n"/>
      <c r="AW1852" s="81" t="n"/>
      <c r="AX1852" s="81" t="n"/>
      <c r="AY1852" s="81" t="n"/>
      <c r="AZ1852" s="81" t="n"/>
      <c r="BA1852" s="81" t="n"/>
      <c r="BB1852" s="81" t="n"/>
      <c r="BC1852" s="81" t="n"/>
      <c r="BD1852" s="81" t="n"/>
      <c r="BE1852" s="81" t="n"/>
      <c r="BF1852" s="81" t="n"/>
      <c r="BG1852" s="81" t="n"/>
      <c r="BH1852" s="81" t="n"/>
      <c r="BI1852" s="81" t="n"/>
      <c r="BJ1852" s="81" t="n"/>
      <c r="BK1852" s="81" t="n"/>
      <c r="BL1852" s="81" t="n"/>
      <c r="BM1852" s="81" t="n"/>
      <c r="BN1852" s="81" t="n"/>
      <c r="BO1852" s="81" t="n"/>
      <c r="BP1852" s="81" t="n"/>
      <c r="BQ1852" s="81" t="n"/>
      <c r="BR1852" s="81" t="n"/>
      <c r="BS1852" s="81" t="n"/>
      <c r="BT1852" s="81" t="n"/>
      <c r="BU1852" s="81" t="n"/>
      <c r="BV1852" s="81" t="n"/>
      <c r="BW1852" s="81" t="n"/>
      <c r="BX1852" s="81" t="n"/>
      <c r="BY1852" s="81" t="n"/>
      <c r="BZ1852" s="81" t="n"/>
      <c r="CA1852" s="81" t="n"/>
      <c r="CB1852" s="81" t="n"/>
      <c r="CC1852" s="81" t="n"/>
      <c r="CD1852" s="81" t="n"/>
      <c r="CE1852" s="81" t="n"/>
      <c r="CF1852" s="81" t="n"/>
      <c r="CG1852" s="81" t="n"/>
      <c r="CH1852" s="81" t="n"/>
    </row>
    <row r="1853">
      <c r="A1853" s="81" t="n"/>
      <c r="B1853" s="81" t="n"/>
      <c r="C1853" s="81" t="n"/>
      <c r="D1853" s="81" t="n"/>
      <c r="E1853" s="81" t="n"/>
      <c r="F1853" s="81" t="n"/>
      <c r="G1853" s="81" t="n"/>
      <c r="H1853" s="81" t="n"/>
      <c r="I1853" s="81" t="n"/>
      <c r="J1853" s="81" t="n"/>
      <c r="K1853" s="81" t="n"/>
      <c r="L1853" s="81" t="n"/>
      <c r="M1853" s="81" t="n"/>
      <c r="N1853" s="81" t="n"/>
      <c r="O1853" s="81" t="n"/>
      <c r="P1853" s="81" t="n"/>
      <c r="Q1853" s="81" t="n"/>
      <c r="R1853" s="81" t="n"/>
      <c r="S1853" s="81" t="n"/>
      <c r="T1853" s="81" t="n"/>
      <c r="U1853" s="81" t="n"/>
      <c r="V1853" s="81" t="n"/>
      <c r="W1853" s="81" t="n"/>
      <c r="X1853" s="81" t="n"/>
      <c r="Y1853" s="81" t="n"/>
      <c r="Z1853" s="81" t="n"/>
      <c r="AA1853" s="81" t="n"/>
      <c r="AB1853" s="81" t="n"/>
      <c r="AC1853" s="81" t="n"/>
      <c r="AD1853" s="81" t="n"/>
      <c r="AE1853" s="81" t="n"/>
      <c r="AF1853" s="81" t="n"/>
      <c r="AG1853" s="81" t="n"/>
      <c r="AH1853" s="81" t="n"/>
      <c r="AI1853" s="81" t="n"/>
      <c r="AJ1853" s="81" t="n"/>
      <c r="AK1853" s="81" t="n"/>
      <c r="AL1853" s="81" t="n"/>
      <c r="AM1853" s="81" t="n"/>
      <c r="AN1853" s="81" t="n"/>
      <c r="AO1853" s="81" t="n"/>
      <c r="AP1853" s="81" t="n"/>
      <c r="AQ1853" s="81" t="n"/>
      <c r="AR1853" s="81" t="n"/>
      <c r="AS1853" s="81" t="n"/>
      <c r="AT1853" s="81" t="n"/>
      <c r="AU1853" s="81" t="n"/>
      <c r="AV1853" s="81" t="n"/>
      <c r="AW1853" s="81" t="n"/>
      <c r="AX1853" s="81" t="n"/>
      <c r="AY1853" s="81" t="n"/>
      <c r="AZ1853" s="81" t="n"/>
      <c r="BA1853" s="81" t="n"/>
      <c r="BB1853" s="81" t="n"/>
      <c r="BC1853" s="81" t="n"/>
      <c r="BD1853" s="81" t="n"/>
      <c r="BE1853" s="81" t="n"/>
      <c r="BF1853" s="81" t="n"/>
      <c r="BG1853" s="81" t="n"/>
      <c r="BH1853" s="81" t="n"/>
      <c r="BI1853" s="81" t="n"/>
      <c r="BJ1853" s="81" t="n"/>
      <c r="BK1853" s="81" t="n"/>
      <c r="BL1853" s="81" t="n"/>
      <c r="BM1853" s="81" t="n"/>
      <c r="BN1853" s="81" t="n"/>
      <c r="BO1853" s="81" t="n"/>
      <c r="BP1853" s="81" t="n"/>
      <c r="BQ1853" s="81" t="n"/>
      <c r="BR1853" s="81" t="n"/>
      <c r="BS1853" s="81" t="n"/>
      <c r="BT1853" s="81" t="n"/>
      <c r="BU1853" s="81" t="n"/>
      <c r="BV1853" s="81" t="n"/>
      <c r="BW1853" s="81" t="n"/>
      <c r="BX1853" s="81" t="n"/>
      <c r="BY1853" s="81" t="n"/>
      <c r="BZ1853" s="81" t="n"/>
      <c r="CA1853" s="81" t="n"/>
      <c r="CB1853" s="81" t="n"/>
      <c r="CC1853" s="81" t="n"/>
      <c r="CD1853" s="81" t="n"/>
      <c r="CE1853" s="81" t="n"/>
      <c r="CF1853" s="81" t="n"/>
      <c r="CG1853" s="81" t="n"/>
      <c r="CH1853" s="81" t="n"/>
    </row>
    <row r="1854">
      <c r="A1854" s="81" t="n"/>
      <c r="B1854" s="81" t="n"/>
      <c r="C1854" s="81" t="n"/>
      <c r="D1854" s="81" t="n"/>
      <c r="E1854" s="81" t="n"/>
      <c r="F1854" s="81" t="n"/>
      <c r="G1854" s="81" t="n"/>
      <c r="H1854" s="81" t="n"/>
      <c r="I1854" s="81" t="n"/>
      <c r="J1854" s="81" t="n"/>
      <c r="K1854" s="81" t="n"/>
      <c r="L1854" s="81" t="n"/>
      <c r="M1854" s="81" t="n"/>
      <c r="N1854" s="81" t="n"/>
      <c r="O1854" s="81" t="n"/>
      <c r="P1854" s="81" t="n"/>
      <c r="Q1854" s="81" t="n"/>
      <c r="R1854" s="81" t="n"/>
      <c r="S1854" s="81" t="n"/>
      <c r="T1854" s="81" t="n"/>
      <c r="U1854" s="81" t="n"/>
      <c r="V1854" s="81" t="n"/>
      <c r="W1854" s="81" t="n"/>
      <c r="X1854" s="81" t="n"/>
      <c r="Y1854" s="81" t="n"/>
      <c r="Z1854" s="81" t="n"/>
      <c r="AA1854" s="81" t="n"/>
      <c r="AB1854" s="81" t="n"/>
      <c r="AC1854" s="81" t="n"/>
      <c r="AD1854" s="81" t="n"/>
      <c r="AE1854" s="81" t="n"/>
      <c r="AF1854" s="81" t="n"/>
      <c r="AG1854" s="81" t="n"/>
      <c r="AH1854" s="81" t="n"/>
      <c r="AI1854" s="81" t="n"/>
      <c r="AJ1854" s="81" t="n"/>
      <c r="AK1854" s="81" t="n"/>
      <c r="AL1854" s="81" t="n"/>
      <c r="AM1854" s="81" t="n"/>
      <c r="AN1854" s="81" t="n"/>
      <c r="AO1854" s="81" t="n"/>
      <c r="AP1854" s="81" t="n"/>
      <c r="AQ1854" s="81" t="n"/>
      <c r="AR1854" s="81" t="n"/>
      <c r="AS1854" s="81" t="n"/>
      <c r="AT1854" s="81" t="n"/>
      <c r="AU1854" s="81" t="n"/>
      <c r="AV1854" s="81" t="n"/>
      <c r="AW1854" s="81" t="n"/>
      <c r="AX1854" s="81" t="n"/>
      <c r="AY1854" s="81" t="n"/>
      <c r="AZ1854" s="81" t="n"/>
      <c r="BA1854" s="81" t="n"/>
      <c r="BB1854" s="81" t="n"/>
      <c r="BC1854" s="81" t="n"/>
      <c r="BD1854" s="81" t="n"/>
      <c r="BE1854" s="81" t="n"/>
      <c r="BF1854" s="81" t="n"/>
      <c r="BG1854" s="81" t="n"/>
      <c r="BH1854" s="81" t="n"/>
      <c r="BI1854" s="81" t="n"/>
      <c r="BJ1854" s="81" t="n"/>
      <c r="BK1854" s="81" t="n"/>
      <c r="BL1854" s="81" t="n"/>
      <c r="BM1854" s="81" t="n"/>
      <c r="BN1854" s="81" t="n"/>
      <c r="BO1854" s="81" t="n"/>
      <c r="BP1854" s="81" t="n"/>
      <c r="BQ1854" s="81" t="n"/>
      <c r="BR1854" s="81" t="n"/>
      <c r="BS1854" s="81" t="n"/>
      <c r="BT1854" s="81" t="n"/>
      <c r="BU1854" s="81" t="n"/>
      <c r="BV1854" s="81" t="n"/>
      <c r="BW1854" s="81" t="n"/>
      <c r="BX1854" s="81" t="n"/>
      <c r="BY1854" s="81" t="n"/>
      <c r="BZ1854" s="81" t="n"/>
      <c r="CA1854" s="81" t="n"/>
      <c r="CB1854" s="81" t="n"/>
      <c r="CC1854" s="81" t="n"/>
      <c r="CD1854" s="81" t="n"/>
      <c r="CE1854" s="81" t="n"/>
      <c r="CF1854" s="81" t="n"/>
      <c r="CG1854" s="81" t="n"/>
      <c r="CH1854" s="81" t="n"/>
    </row>
    <row r="1855">
      <c r="A1855" s="81" t="n"/>
      <c r="B1855" s="81" t="n"/>
      <c r="C1855" s="81" t="n"/>
      <c r="D1855" s="81" t="n"/>
      <c r="E1855" s="81" t="n"/>
      <c r="F1855" s="81" t="n"/>
      <c r="G1855" s="81" t="n"/>
      <c r="H1855" s="81" t="n"/>
      <c r="I1855" s="81" t="n"/>
      <c r="J1855" s="81" t="n"/>
      <c r="K1855" s="81" t="n"/>
      <c r="L1855" s="81" t="n"/>
      <c r="M1855" s="81" t="n"/>
      <c r="N1855" s="81" t="n"/>
      <c r="O1855" s="81" t="n"/>
      <c r="P1855" s="81" t="n"/>
      <c r="Q1855" s="81" t="n"/>
      <c r="R1855" s="81" t="n"/>
      <c r="S1855" s="81" t="n"/>
      <c r="T1855" s="81" t="n"/>
      <c r="U1855" s="81" t="n"/>
      <c r="V1855" s="81" t="n"/>
      <c r="W1855" s="81" t="n"/>
      <c r="X1855" s="81" t="n"/>
      <c r="Y1855" s="81" t="n"/>
      <c r="Z1855" s="81" t="n"/>
      <c r="AA1855" s="81" t="n"/>
      <c r="AB1855" s="81" t="n"/>
      <c r="AC1855" s="81" t="n"/>
      <c r="AD1855" s="81" t="n"/>
      <c r="AE1855" s="81" t="n"/>
      <c r="AF1855" s="81" t="n"/>
      <c r="AG1855" s="81" t="n"/>
      <c r="AH1855" s="81" t="n"/>
      <c r="AI1855" s="81" t="n"/>
      <c r="AJ1855" s="81" t="n"/>
      <c r="AK1855" s="81" t="n"/>
      <c r="AL1855" s="81" t="n"/>
      <c r="AM1855" s="81" t="n"/>
      <c r="AN1855" s="81" t="n"/>
      <c r="AO1855" s="81" t="n"/>
      <c r="AP1855" s="81" t="n"/>
      <c r="AQ1855" s="81" t="n"/>
      <c r="AR1855" s="81" t="n"/>
      <c r="AS1855" s="81" t="n"/>
      <c r="AT1855" s="81" t="n"/>
      <c r="AU1855" s="81" t="n"/>
      <c r="AV1855" s="81" t="n"/>
      <c r="AW1855" s="81" t="n"/>
      <c r="AX1855" s="81" t="n"/>
      <c r="AY1855" s="81" t="n"/>
      <c r="AZ1855" s="81" t="n"/>
      <c r="BA1855" s="81" t="n"/>
      <c r="BB1855" s="81" t="n"/>
      <c r="BC1855" s="81" t="n"/>
      <c r="BD1855" s="81" t="n"/>
      <c r="BE1855" s="81" t="n"/>
      <c r="BF1855" s="81" t="n"/>
      <c r="BG1855" s="81" t="n"/>
      <c r="BH1855" s="81" t="n"/>
      <c r="BI1855" s="81" t="n"/>
      <c r="BJ1855" s="81" t="n"/>
      <c r="BK1855" s="81" t="n"/>
      <c r="BL1855" s="81" t="n"/>
      <c r="BM1855" s="81" t="n"/>
      <c r="BN1855" s="81" t="n"/>
      <c r="BO1855" s="81" t="n"/>
      <c r="BP1855" s="81" t="n"/>
      <c r="BQ1855" s="81" t="n"/>
      <c r="BR1855" s="81" t="n"/>
      <c r="BS1855" s="81" t="n"/>
      <c r="BT1855" s="81" t="n"/>
      <c r="BU1855" s="81" t="n"/>
      <c r="BV1855" s="81" t="n"/>
      <c r="BW1855" s="81" t="n"/>
      <c r="BX1855" s="81" t="n"/>
      <c r="BY1855" s="81" t="n"/>
      <c r="BZ1855" s="81" t="n"/>
      <c r="CA1855" s="81" t="n"/>
      <c r="CB1855" s="81" t="n"/>
      <c r="CC1855" s="81" t="n"/>
      <c r="CD1855" s="81" t="n"/>
      <c r="CE1855" s="81" t="n"/>
      <c r="CF1855" s="81" t="n"/>
      <c r="CG1855" s="81" t="n"/>
      <c r="CH1855" s="81" t="n"/>
    </row>
    <row r="1856">
      <c r="A1856" s="81" t="n"/>
      <c r="B1856" s="81" t="n"/>
      <c r="C1856" s="81" t="n"/>
      <c r="D1856" s="81" t="n"/>
      <c r="E1856" s="81" t="n"/>
      <c r="F1856" s="81" t="n"/>
      <c r="G1856" s="81" t="n"/>
      <c r="H1856" s="81" t="n"/>
      <c r="I1856" s="81" t="n"/>
      <c r="J1856" s="81" t="n"/>
      <c r="K1856" s="81" t="n"/>
      <c r="L1856" s="81" t="n"/>
      <c r="M1856" s="81" t="n"/>
      <c r="N1856" s="81" t="n"/>
      <c r="O1856" s="81" t="n"/>
      <c r="P1856" s="81" t="n"/>
      <c r="Q1856" s="81" t="n"/>
      <c r="R1856" s="81" t="n"/>
      <c r="S1856" s="81" t="n"/>
      <c r="T1856" s="81" t="n"/>
      <c r="U1856" s="81" t="n"/>
      <c r="V1856" s="81" t="n"/>
      <c r="W1856" s="81" t="n"/>
      <c r="X1856" s="81" t="n"/>
      <c r="Y1856" s="81" t="n"/>
      <c r="Z1856" s="81" t="n"/>
      <c r="AA1856" s="81" t="n"/>
      <c r="AB1856" s="81" t="n"/>
      <c r="AC1856" s="81" t="n"/>
      <c r="AD1856" s="81" t="n"/>
      <c r="AE1856" s="81" t="n"/>
      <c r="AF1856" s="81" t="n"/>
      <c r="AG1856" s="81" t="n"/>
      <c r="AH1856" s="81" t="n"/>
      <c r="AI1856" s="81" t="n"/>
      <c r="AJ1856" s="81" t="n"/>
      <c r="AK1856" s="81" t="n"/>
      <c r="AL1856" s="81" t="n"/>
      <c r="AM1856" s="81" t="n"/>
      <c r="AN1856" s="81" t="n"/>
      <c r="AO1856" s="81" t="n"/>
      <c r="AP1856" s="81" t="n"/>
      <c r="AQ1856" s="81" t="n"/>
      <c r="AR1856" s="81" t="n"/>
      <c r="AS1856" s="81" t="n"/>
      <c r="AT1856" s="81" t="n"/>
      <c r="AU1856" s="81" t="n"/>
      <c r="AV1856" s="81" t="n"/>
      <c r="AW1856" s="81" t="n"/>
      <c r="AX1856" s="81" t="n"/>
      <c r="AY1856" s="81" t="n"/>
      <c r="AZ1856" s="81" t="n"/>
      <c r="BA1856" s="81" t="n"/>
      <c r="BB1856" s="81" t="n"/>
      <c r="BC1856" s="81" t="n"/>
      <c r="BD1856" s="81" t="n"/>
      <c r="BE1856" s="81" t="n"/>
      <c r="BF1856" s="81" t="n"/>
      <c r="BG1856" s="81" t="n"/>
      <c r="BH1856" s="81" t="n"/>
      <c r="BI1856" s="81" t="n"/>
      <c r="BJ1856" s="81" t="n"/>
      <c r="BK1856" s="81" t="n"/>
      <c r="BL1856" s="81" t="n"/>
      <c r="BM1856" s="81" t="n"/>
      <c r="BN1856" s="81" t="n"/>
      <c r="BO1856" s="81" t="n"/>
      <c r="BP1856" s="81" t="n"/>
      <c r="BQ1856" s="81" t="n"/>
      <c r="BR1856" s="81" t="n"/>
      <c r="BS1856" s="81" t="n"/>
      <c r="BT1856" s="81" t="n"/>
      <c r="BU1856" s="81" t="n"/>
      <c r="BV1856" s="81" t="n"/>
      <c r="BW1856" s="81" t="n"/>
      <c r="BX1856" s="81" t="n"/>
      <c r="BY1856" s="81" t="n"/>
      <c r="BZ1856" s="81" t="n"/>
      <c r="CA1856" s="81" t="n"/>
      <c r="CB1856" s="81" t="n"/>
      <c r="CC1856" s="81" t="n"/>
      <c r="CD1856" s="81" t="n"/>
      <c r="CE1856" s="81" t="n"/>
      <c r="CF1856" s="81" t="n"/>
      <c r="CG1856" s="81" t="n"/>
      <c r="CH1856" s="81" t="n"/>
    </row>
    <row r="1857">
      <c r="A1857" s="81" t="n"/>
      <c r="B1857" s="81" t="n"/>
      <c r="C1857" s="81" t="n"/>
      <c r="D1857" s="81" t="n"/>
      <c r="E1857" s="81" t="n"/>
      <c r="F1857" s="81" t="n"/>
      <c r="G1857" s="81" t="n"/>
      <c r="H1857" s="81" t="n"/>
      <c r="I1857" s="81" t="n"/>
      <c r="J1857" s="81" t="n"/>
      <c r="K1857" s="81" t="n"/>
      <c r="L1857" s="81" t="n"/>
      <c r="M1857" s="81" t="n"/>
      <c r="N1857" s="81" t="n"/>
      <c r="O1857" s="81" t="n"/>
      <c r="P1857" s="81" t="n"/>
      <c r="Q1857" s="81" t="n"/>
      <c r="R1857" s="81" t="n"/>
      <c r="S1857" s="81" t="n"/>
      <c r="T1857" s="81" t="n"/>
      <c r="U1857" s="81" t="n"/>
      <c r="V1857" s="81" t="n"/>
      <c r="W1857" s="81" t="n"/>
      <c r="X1857" s="81" t="n"/>
      <c r="Y1857" s="81" t="n"/>
      <c r="Z1857" s="81" t="n"/>
      <c r="AA1857" s="81" t="n"/>
      <c r="AB1857" s="81" t="n"/>
      <c r="AC1857" s="81" t="n"/>
      <c r="AD1857" s="81" t="n"/>
      <c r="AE1857" s="81" t="n"/>
      <c r="AF1857" s="81" t="n"/>
      <c r="AG1857" s="81" t="n"/>
      <c r="AH1857" s="81" t="n"/>
      <c r="AI1857" s="81" t="n"/>
      <c r="AJ1857" s="81" t="n"/>
      <c r="AK1857" s="81" t="n"/>
      <c r="AL1857" s="81" t="n"/>
      <c r="AM1857" s="81" t="n"/>
      <c r="AN1857" s="81" t="n"/>
      <c r="AO1857" s="81" t="n"/>
      <c r="AP1857" s="81" t="n"/>
      <c r="AQ1857" s="81" t="n"/>
      <c r="AR1857" s="81" t="n"/>
      <c r="AS1857" s="81" t="n"/>
      <c r="AT1857" s="81" t="n"/>
      <c r="AU1857" s="81" t="n"/>
      <c r="AV1857" s="81" t="n"/>
      <c r="AW1857" s="81" t="n"/>
      <c r="AX1857" s="81" t="n"/>
      <c r="AY1857" s="81" t="n"/>
      <c r="AZ1857" s="81" t="n"/>
      <c r="BA1857" s="81" t="n"/>
      <c r="BB1857" s="81" t="n"/>
      <c r="BC1857" s="81" t="n"/>
      <c r="BD1857" s="81" t="n"/>
      <c r="BE1857" s="81" t="n"/>
      <c r="BF1857" s="81" t="n"/>
      <c r="BG1857" s="81" t="n"/>
      <c r="BH1857" s="81" t="n"/>
      <c r="BI1857" s="81" t="n"/>
      <c r="BJ1857" s="81" t="n"/>
      <c r="BK1857" s="81" t="n"/>
      <c r="BL1857" s="81" t="n"/>
      <c r="BM1857" s="81" t="n"/>
      <c r="BN1857" s="81" t="n"/>
      <c r="BO1857" s="81" t="n"/>
      <c r="BP1857" s="81" t="n"/>
      <c r="BQ1857" s="81" t="n"/>
      <c r="BR1857" s="81" t="n"/>
      <c r="BS1857" s="81" t="n"/>
      <c r="BT1857" s="81" t="n"/>
      <c r="BU1857" s="81" t="n"/>
      <c r="BV1857" s="81" t="n"/>
      <c r="BW1857" s="81" t="n"/>
      <c r="BX1857" s="81" t="n"/>
      <c r="BY1857" s="81" t="n"/>
      <c r="BZ1857" s="81" t="n"/>
      <c r="CA1857" s="81" t="n"/>
      <c r="CB1857" s="81" t="n"/>
      <c r="CC1857" s="81" t="n"/>
      <c r="CD1857" s="81" t="n"/>
      <c r="CE1857" s="81" t="n"/>
      <c r="CF1857" s="81" t="n"/>
      <c r="CG1857" s="81" t="n"/>
      <c r="CH1857" s="81" t="n"/>
    </row>
    <row r="1858">
      <c r="A1858" s="81" t="n"/>
      <c r="B1858" s="81" t="n"/>
      <c r="C1858" s="81" t="n"/>
      <c r="D1858" s="81" t="n"/>
      <c r="E1858" s="81" t="n"/>
      <c r="F1858" s="81" t="n"/>
      <c r="G1858" s="81" t="n"/>
      <c r="H1858" s="81" t="n"/>
      <c r="I1858" s="81" t="n"/>
      <c r="J1858" s="81" t="n"/>
      <c r="K1858" s="81" t="n"/>
      <c r="L1858" s="81" t="n"/>
      <c r="M1858" s="81" t="n"/>
      <c r="N1858" s="81" t="n"/>
      <c r="O1858" s="81" t="n"/>
      <c r="P1858" s="81" t="n"/>
      <c r="Q1858" s="81" t="n"/>
      <c r="R1858" s="81" t="n"/>
      <c r="S1858" s="81" t="n"/>
      <c r="T1858" s="81" t="n"/>
      <c r="U1858" s="81" t="n"/>
      <c r="V1858" s="81" t="n"/>
      <c r="W1858" s="81" t="n"/>
      <c r="X1858" s="81" t="n"/>
      <c r="Y1858" s="81" t="n"/>
      <c r="Z1858" s="81" t="n"/>
      <c r="AA1858" s="81" t="n"/>
      <c r="AB1858" s="81" t="n"/>
      <c r="AC1858" s="81" t="n"/>
      <c r="AD1858" s="81" t="n"/>
      <c r="AE1858" s="81" t="n"/>
      <c r="AF1858" s="81" t="n"/>
      <c r="AG1858" s="81" t="n"/>
      <c r="AH1858" s="81" t="n"/>
      <c r="AI1858" s="81" t="n"/>
      <c r="AJ1858" s="81" t="n"/>
      <c r="AK1858" s="81" t="n"/>
      <c r="AL1858" s="81" t="n"/>
      <c r="AM1858" s="81" t="n"/>
      <c r="AN1858" s="81" t="n"/>
      <c r="AO1858" s="81" t="n"/>
      <c r="AP1858" s="81" t="n"/>
      <c r="AQ1858" s="81" t="n"/>
      <c r="AR1858" s="81" t="n"/>
      <c r="AS1858" s="81" t="n"/>
      <c r="AT1858" s="81" t="n"/>
      <c r="AU1858" s="81" t="n"/>
      <c r="AV1858" s="81" t="n"/>
      <c r="AW1858" s="81" t="n"/>
      <c r="AX1858" s="81" t="n"/>
      <c r="AY1858" s="81" t="n"/>
      <c r="AZ1858" s="81" t="n"/>
      <c r="BA1858" s="81" t="n"/>
      <c r="BB1858" s="81" t="n"/>
      <c r="BC1858" s="81" t="n"/>
      <c r="BD1858" s="81" t="n"/>
      <c r="BE1858" s="81" t="n"/>
      <c r="BF1858" s="81" t="n"/>
      <c r="BG1858" s="81" t="n"/>
      <c r="BH1858" s="81" t="n"/>
      <c r="BI1858" s="81" t="n"/>
      <c r="BJ1858" s="81" t="n"/>
      <c r="BK1858" s="81" t="n"/>
      <c r="BL1858" s="81" t="n"/>
      <c r="BM1858" s="81" t="n"/>
      <c r="BN1858" s="81" t="n"/>
      <c r="BO1858" s="81" t="n"/>
      <c r="BP1858" s="81" t="n"/>
      <c r="BQ1858" s="81" t="n"/>
      <c r="BR1858" s="81" t="n"/>
      <c r="BS1858" s="81" t="n"/>
      <c r="BT1858" s="81" t="n"/>
      <c r="BU1858" s="81" t="n"/>
      <c r="BV1858" s="81" t="n"/>
      <c r="BW1858" s="81" t="n"/>
      <c r="BX1858" s="81" t="n"/>
      <c r="BY1858" s="81" t="n"/>
      <c r="BZ1858" s="81" t="n"/>
      <c r="CA1858" s="81" t="n"/>
      <c r="CB1858" s="81" t="n"/>
      <c r="CC1858" s="81" t="n"/>
      <c r="CD1858" s="81" t="n"/>
      <c r="CE1858" s="81" t="n"/>
      <c r="CF1858" s="81" t="n"/>
      <c r="CG1858" s="81" t="n"/>
      <c r="CH1858" s="81" t="n"/>
    </row>
    <row r="1859">
      <c r="A1859" s="81" t="n"/>
      <c r="B1859" s="81" t="n"/>
      <c r="C1859" s="81" t="n"/>
      <c r="D1859" s="81" t="n"/>
      <c r="E1859" s="81" t="n"/>
      <c r="F1859" s="81" t="n"/>
      <c r="G1859" s="81" t="n"/>
      <c r="H1859" s="81" t="n"/>
      <c r="I1859" s="81" t="n"/>
      <c r="J1859" s="81" t="n"/>
      <c r="K1859" s="81" t="n"/>
      <c r="L1859" s="81" t="n"/>
      <c r="M1859" s="81" t="n"/>
      <c r="N1859" s="81" t="n"/>
      <c r="O1859" s="81" t="n"/>
      <c r="P1859" s="81" t="n"/>
      <c r="Q1859" s="81" t="n"/>
      <c r="R1859" s="81" t="n"/>
      <c r="S1859" s="81" t="n"/>
      <c r="T1859" s="81" t="n"/>
      <c r="U1859" s="81" t="n"/>
      <c r="V1859" s="81" t="n"/>
      <c r="W1859" s="81" t="n"/>
      <c r="X1859" s="81" t="n"/>
      <c r="Y1859" s="81" t="n"/>
      <c r="Z1859" s="81" t="n"/>
      <c r="AA1859" s="81" t="n"/>
      <c r="AB1859" s="81" t="n"/>
      <c r="AC1859" s="81" t="n"/>
      <c r="AD1859" s="81" t="n"/>
      <c r="AE1859" s="81" t="n"/>
      <c r="AF1859" s="81" t="n"/>
      <c r="AG1859" s="81" t="n"/>
      <c r="AH1859" s="81" t="n"/>
      <c r="AI1859" s="81" t="n"/>
      <c r="AJ1859" s="81" t="n"/>
      <c r="AK1859" s="81" t="n"/>
      <c r="AL1859" s="81" t="n"/>
      <c r="AM1859" s="81" t="n"/>
      <c r="AN1859" s="81" t="n"/>
      <c r="AO1859" s="81" t="n"/>
      <c r="AP1859" s="81" t="n"/>
      <c r="AQ1859" s="81" t="n"/>
      <c r="AR1859" s="81" t="n"/>
      <c r="AS1859" s="81" t="n"/>
      <c r="AT1859" s="81" t="n"/>
      <c r="AU1859" s="81" t="n"/>
      <c r="AV1859" s="81" t="n"/>
      <c r="AW1859" s="81" t="n"/>
      <c r="AX1859" s="81" t="n"/>
      <c r="AY1859" s="81" t="n"/>
      <c r="AZ1859" s="81" t="n"/>
      <c r="BA1859" s="81" t="n"/>
      <c r="BB1859" s="81" t="n"/>
      <c r="BC1859" s="81" t="n"/>
      <c r="BD1859" s="81" t="n"/>
      <c r="BE1859" s="81" t="n"/>
      <c r="BF1859" s="81" t="n"/>
      <c r="BG1859" s="81" t="n"/>
      <c r="BH1859" s="81" t="n"/>
      <c r="BI1859" s="81" t="n"/>
      <c r="BJ1859" s="81" t="n"/>
      <c r="BK1859" s="81" t="n"/>
      <c r="BL1859" s="81" t="n"/>
      <c r="BM1859" s="81" t="n"/>
      <c r="BN1859" s="81" t="n"/>
      <c r="BO1859" s="81" t="n"/>
      <c r="BP1859" s="81" t="n"/>
      <c r="BQ1859" s="81" t="n"/>
      <c r="BR1859" s="81" t="n"/>
      <c r="BS1859" s="81" t="n"/>
      <c r="BT1859" s="81" t="n"/>
      <c r="BU1859" s="81" t="n"/>
      <c r="BV1859" s="81" t="n"/>
      <c r="BW1859" s="81" t="n"/>
      <c r="BX1859" s="81" t="n"/>
      <c r="BY1859" s="81" t="n"/>
      <c r="BZ1859" s="81" t="n"/>
      <c r="CA1859" s="81" t="n"/>
      <c r="CB1859" s="81" t="n"/>
      <c r="CC1859" s="81" t="n"/>
      <c r="CD1859" s="81" t="n"/>
      <c r="CE1859" s="81" t="n"/>
      <c r="CF1859" s="81" t="n"/>
      <c r="CG1859" s="81" t="n"/>
      <c r="CH1859" s="81" t="n"/>
    </row>
    <row r="1860">
      <c r="A1860" s="81" t="n"/>
      <c r="B1860" s="81" t="n"/>
      <c r="C1860" s="81" t="n"/>
      <c r="D1860" s="81" t="n"/>
      <c r="E1860" s="81" t="n"/>
      <c r="F1860" s="81" t="n"/>
      <c r="G1860" s="81" t="n"/>
      <c r="H1860" s="81" t="n"/>
      <c r="I1860" s="81" t="n"/>
      <c r="J1860" s="81" t="n"/>
      <c r="K1860" s="81" t="n"/>
      <c r="L1860" s="81" t="n"/>
      <c r="M1860" s="81" t="n"/>
      <c r="N1860" s="81" t="n"/>
      <c r="O1860" s="81" t="n"/>
      <c r="P1860" s="81" t="n"/>
      <c r="Q1860" s="81" t="n"/>
      <c r="R1860" s="81" t="n"/>
      <c r="S1860" s="81" t="n"/>
      <c r="T1860" s="81" t="n"/>
      <c r="U1860" s="81" t="n"/>
      <c r="V1860" s="81" t="n"/>
      <c r="W1860" s="81" t="n"/>
      <c r="X1860" s="81" t="n"/>
      <c r="Y1860" s="81" t="n"/>
      <c r="Z1860" s="81" t="n"/>
      <c r="AA1860" s="81" t="n"/>
      <c r="AB1860" s="81" t="n"/>
      <c r="AC1860" s="81" t="n"/>
      <c r="AD1860" s="81" t="n"/>
      <c r="AE1860" s="81" t="n"/>
      <c r="AF1860" s="81" t="n"/>
      <c r="AG1860" s="81" t="n"/>
      <c r="AH1860" s="81" t="n"/>
      <c r="AI1860" s="81" t="n"/>
      <c r="AJ1860" s="81" t="n"/>
      <c r="AK1860" s="81" t="n"/>
      <c r="AL1860" s="81" t="n"/>
      <c r="AM1860" s="81" t="n"/>
      <c r="AN1860" s="81" t="n"/>
      <c r="AO1860" s="81" t="n"/>
      <c r="AP1860" s="81" t="n"/>
      <c r="AQ1860" s="81" t="n"/>
      <c r="AR1860" s="81" t="n"/>
      <c r="AS1860" s="81" t="n"/>
      <c r="AT1860" s="81" t="n"/>
      <c r="AU1860" s="81" t="n"/>
      <c r="AV1860" s="81" t="n"/>
      <c r="AW1860" s="81" t="n"/>
      <c r="AX1860" s="81" t="n"/>
      <c r="AY1860" s="81" t="n"/>
      <c r="AZ1860" s="81" t="n"/>
      <c r="BA1860" s="81" t="n"/>
      <c r="BB1860" s="81" t="n"/>
      <c r="BC1860" s="81" t="n"/>
      <c r="BD1860" s="81" t="n"/>
      <c r="BE1860" s="81" t="n"/>
      <c r="BF1860" s="81" t="n"/>
      <c r="BG1860" s="81" t="n"/>
      <c r="BH1860" s="81" t="n"/>
      <c r="BI1860" s="81" t="n"/>
      <c r="BJ1860" s="81" t="n"/>
      <c r="BK1860" s="81" t="n"/>
      <c r="BL1860" s="81" t="n"/>
      <c r="BM1860" s="81" t="n"/>
      <c r="BN1860" s="81" t="n"/>
      <c r="BO1860" s="81" t="n"/>
      <c r="BP1860" s="81" t="n"/>
      <c r="BQ1860" s="81" t="n"/>
      <c r="BR1860" s="81" t="n"/>
      <c r="BS1860" s="81" t="n"/>
      <c r="BT1860" s="81" t="n"/>
      <c r="BU1860" s="81" t="n"/>
      <c r="BV1860" s="81" t="n"/>
      <c r="BW1860" s="81" t="n"/>
      <c r="BX1860" s="81" t="n"/>
      <c r="BY1860" s="81" t="n"/>
      <c r="BZ1860" s="81" t="n"/>
      <c r="CA1860" s="81" t="n"/>
      <c r="CB1860" s="81" t="n"/>
      <c r="CC1860" s="81" t="n"/>
      <c r="CD1860" s="81" t="n"/>
      <c r="CE1860" s="81" t="n"/>
      <c r="CF1860" s="81" t="n"/>
      <c r="CG1860" s="81" t="n"/>
      <c r="CH1860" s="81" t="n"/>
    </row>
    <row r="1861">
      <c r="A1861" s="81" t="n"/>
      <c r="B1861" s="81" t="n"/>
      <c r="C1861" s="81" t="n"/>
      <c r="D1861" s="81" t="n"/>
      <c r="E1861" s="81" t="n"/>
      <c r="F1861" s="81" t="n"/>
      <c r="G1861" s="81" t="n"/>
      <c r="H1861" s="81" t="n"/>
      <c r="I1861" s="81" t="n"/>
      <c r="J1861" s="81" t="n"/>
      <c r="K1861" s="81" t="n"/>
      <c r="L1861" s="81" t="n"/>
      <c r="M1861" s="81" t="n"/>
      <c r="N1861" s="81" t="n"/>
      <c r="O1861" s="81" t="n"/>
      <c r="P1861" s="81" t="n"/>
      <c r="Q1861" s="81" t="n"/>
      <c r="R1861" s="81" t="n"/>
      <c r="S1861" s="81" t="n"/>
      <c r="T1861" s="81" t="n"/>
      <c r="U1861" s="81" t="n"/>
      <c r="V1861" s="81" t="n"/>
      <c r="W1861" s="81" t="n"/>
      <c r="X1861" s="81" t="n"/>
      <c r="Y1861" s="81" t="n"/>
      <c r="Z1861" s="81" t="n"/>
      <c r="AA1861" s="81" t="n"/>
      <c r="AB1861" s="81" t="n"/>
      <c r="AC1861" s="81" t="n"/>
      <c r="AD1861" s="81" t="n"/>
      <c r="AE1861" s="81" t="n"/>
      <c r="AF1861" s="81" t="n"/>
      <c r="AG1861" s="81" t="n"/>
      <c r="AH1861" s="81" t="n"/>
      <c r="AI1861" s="81" t="n"/>
      <c r="AJ1861" s="81" t="n"/>
      <c r="AK1861" s="81" t="n"/>
      <c r="AL1861" s="81" t="n"/>
      <c r="AM1861" s="81" t="n"/>
      <c r="AN1861" s="81" t="n"/>
      <c r="AO1861" s="81" t="n"/>
      <c r="AP1861" s="81" t="n"/>
      <c r="AQ1861" s="81" t="n"/>
      <c r="AR1861" s="81" t="n"/>
      <c r="AS1861" s="81" t="n"/>
      <c r="AT1861" s="81" t="n"/>
      <c r="AU1861" s="81" t="n"/>
      <c r="AV1861" s="81" t="n"/>
      <c r="AW1861" s="81" t="n"/>
      <c r="AX1861" s="81" t="n"/>
      <c r="AY1861" s="81" t="n"/>
      <c r="AZ1861" s="81" t="n"/>
      <c r="BA1861" s="81" t="n"/>
      <c r="BB1861" s="81" t="n"/>
      <c r="BC1861" s="81" t="n"/>
      <c r="BD1861" s="81" t="n"/>
      <c r="BE1861" s="81" t="n"/>
      <c r="BF1861" s="81" t="n"/>
      <c r="BG1861" s="81" t="n"/>
      <c r="BH1861" s="81" t="n"/>
      <c r="BI1861" s="81" t="n"/>
      <c r="BJ1861" s="81" t="n"/>
      <c r="BK1861" s="81" t="n"/>
      <c r="BL1861" s="81" t="n"/>
      <c r="BM1861" s="81" t="n"/>
      <c r="BN1861" s="81" t="n"/>
      <c r="BO1861" s="81" t="n"/>
      <c r="BP1861" s="81" t="n"/>
      <c r="BQ1861" s="81" t="n"/>
      <c r="BR1861" s="81" t="n"/>
      <c r="BS1861" s="81" t="n"/>
      <c r="BT1861" s="81" t="n"/>
      <c r="BU1861" s="81" t="n"/>
      <c r="BV1861" s="81" t="n"/>
      <c r="BW1861" s="81" t="n"/>
      <c r="BX1861" s="81" t="n"/>
      <c r="BY1861" s="81" t="n"/>
      <c r="BZ1861" s="81" t="n"/>
      <c r="CA1861" s="81" t="n"/>
      <c r="CB1861" s="81" t="n"/>
      <c r="CC1861" s="81" t="n"/>
      <c r="CD1861" s="81" t="n"/>
      <c r="CE1861" s="81" t="n"/>
      <c r="CF1861" s="81" t="n"/>
      <c r="CG1861" s="81" t="n"/>
      <c r="CH1861" s="81" t="n"/>
    </row>
    <row r="1862">
      <c r="A1862" s="81" t="n"/>
      <c r="B1862" s="81" t="n"/>
      <c r="C1862" s="81" t="n"/>
      <c r="D1862" s="81" t="n"/>
      <c r="E1862" s="81" t="n"/>
      <c r="F1862" s="81" t="n"/>
      <c r="G1862" s="81" t="n"/>
      <c r="H1862" s="81" t="n"/>
      <c r="I1862" s="81" t="n"/>
      <c r="J1862" s="81" t="n"/>
      <c r="K1862" s="81" t="n"/>
      <c r="L1862" s="81" t="n"/>
      <c r="M1862" s="81" t="n"/>
      <c r="N1862" s="81" t="n"/>
      <c r="O1862" s="81" t="n"/>
      <c r="P1862" s="81" t="n"/>
      <c r="Q1862" s="81" t="n"/>
      <c r="R1862" s="81" t="n"/>
      <c r="S1862" s="81" t="n"/>
      <c r="T1862" s="81" t="n"/>
      <c r="U1862" s="81" t="n"/>
      <c r="V1862" s="81" t="n"/>
      <c r="W1862" s="81" t="n"/>
      <c r="X1862" s="81" t="n"/>
      <c r="Y1862" s="81" t="n"/>
      <c r="Z1862" s="81" t="n"/>
      <c r="AA1862" s="81" t="n"/>
      <c r="AB1862" s="81" t="n"/>
      <c r="AC1862" s="81" t="n"/>
      <c r="AD1862" s="81" t="n"/>
      <c r="AE1862" s="81" t="n"/>
      <c r="AF1862" s="81" t="n"/>
      <c r="AG1862" s="81" t="n"/>
      <c r="AH1862" s="81" t="n"/>
      <c r="AI1862" s="81" t="n"/>
      <c r="AJ1862" s="81" t="n"/>
      <c r="AK1862" s="81" t="n"/>
      <c r="AL1862" s="81" t="n"/>
      <c r="AM1862" s="81" t="n"/>
      <c r="AN1862" s="81" t="n"/>
      <c r="AO1862" s="81" t="n"/>
      <c r="AP1862" s="81" t="n"/>
      <c r="AQ1862" s="81" t="n"/>
      <c r="AR1862" s="81" t="n"/>
      <c r="AS1862" s="81" t="n"/>
      <c r="AT1862" s="81" t="n"/>
      <c r="AU1862" s="81" t="n"/>
      <c r="AV1862" s="81" t="n"/>
      <c r="AW1862" s="81" t="n"/>
      <c r="AX1862" s="81" t="n"/>
      <c r="AY1862" s="81" t="n"/>
      <c r="AZ1862" s="81" t="n"/>
      <c r="BA1862" s="81" t="n"/>
      <c r="BB1862" s="81" t="n"/>
      <c r="BC1862" s="81" t="n"/>
      <c r="BD1862" s="81" t="n"/>
      <c r="BE1862" s="81" t="n"/>
      <c r="BF1862" s="81" t="n"/>
      <c r="BG1862" s="81" t="n"/>
      <c r="BH1862" s="81" t="n"/>
      <c r="BI1862" s="81" t="n"/>
      <c r="BJ1862" s="81" t="n"/>
      <c r="BK1862" s="81" t="n"/>
      <c r="BL1862" s="81" t="n"/>
      <c r="BM1862" s="81" t="n"/>
      <c r="BN1862" s="81" t="n"/>
      <c r="BO1862" s="81" t="n"/>
      <c r="BP1862" s="81" t="n"/>
      <c r="BQ1862" s="81" t="n"/>
      <c r="BR1862" s="81" t="n"/>
      <c r="BS1862" s="81" t="n"/>
      <c r="BT1862" s="81" t="n"/>
      <c r="BU1862" s="81" t="n"/>
      <c r="BV1862" s="81" t="n"/>
      <c r="BW1862" s="81" t="n"/>
      <c r="BX1862" s="81" t="n"/>
      <c r="BY1862" s="81" t="n"/>
      <c r="BZ1862" s="81" t="n"/>
      <c r="CA1862" s="81" t="n"/>
      <c r="CB1862" s="81" t="n"/>
      <c r="CC1862" s="81" t="n"/>
      <c r="CD1862" s="81" t="n"/>
      <c r="CE1862" s="81" t="n"/>
      <c r="CF1862" s="81" t="n"/>
      <c r="CG1862" s="81" t="n"/>
      <c r="CH1862" s="81" t="n"/>
    </row>
    <row r="1863">
      <c r="A1863" s="81" t="n"/>
      <c r="B1863" s="81" t="n"/>
      <c r="C1863" s="81" t="n"/>
      <c r="D1863" s="81" t="n"/>
      <c r="E1863" s="81" t="n"/>
      <c r="F1863" s="81" t="n"/>
      <c r="G1863" s="81" t="n"/>
      <c r="H1863" s="81" t="n"/>
      <c r="I1863" s="81" t="n"/>
      <c r="J1863" s="81" t="n"/>
      <c r="K1863" s="81" t="n"/>
      <c r="L1863" s="81" t="n"/>
      <c r="M1863" s="81" t="n"/>
      <c r="N1863" s="81" t="n"/>
      <c r="O1863" s="81" t="n"/>
      <c r="P1863" s="81" t="n"/>
      <c r="Q1863" s="81" t="n"/>
      <c r="R1863" s="81" t="n"/>
      <c r="S1863" s="81" t="n"/>
      <c r="T1863" s="81" t="n"/>
      <c r="U1863" s="81" t="n"/>
      <c r="V1863" s="81" t="n"/>
      <c r="W1863" s="81" t="n"/>
      <c r="X1863" s="81" t="n"/>
      <c r="Y1863" s="81" t="n"/>
      <c r="Z1863" s="81" t="n"/>
      <c r="AA1863" s="81" t="n"/>
      <c r="AB1863" s="81" t="n"/>
      <c r="AC1863" s="81" t="n"/>
      <c r="AD1863" s="81" t="n"/>
      <c r="AE1863" s="81" t="n"/>
      <c r="AF1863" s="81" t="n"/>
      <c r="AG1863" s="81" t="n"/>
      <c r="AH1863" s="81" t="n"/>
      <c r="AI1863" s="81" t="n"/>
      <c r="AJ1863" s="81" t="n"/>
      <c r="AK1863" s="81" t="n"/>
      <c r="AL1863" s="81" t="n"/>
      <c r="AM1863" s="81" t="n"/>
      <c r="AN1863" s="81" t="n"/>
      <c r="AO1863" s="81" t="n"/>
      <c r="AP1863" s="81" t="n"/>
      <c r="AQ1863" s="81" t="n"/>
      <c r="AR1863" s="81" t="n"/>
      <c r="AS1863" s="81" t="n"/>
      <c r="AT1863" s="81" t="n"/>
      <c r="AU1863" s="81" t="n"/>
      <c r="AV1863" s="81" t="n"/>
      <c r="AW1863" s="81" t="n"/>
      <c r="AX1863" s="81" t="n"/>
      <c r="AY1863" s="81" t="n"/>
      <c r="AZ1863" s="81" t="n"/>
      <c r="BA1863" s="81" t="n"/>
      <c r="BB1863" s="81" t="n"/>
      <c r="BC1863" s="81" t="n"/>
      <c r="BD1863" s="81" t="n"/>
      <c r="BE1863" s="81" t="n"/>
      <c r="BF1863" s="81" t="n"/>
      <c r="BG1863" s="81" t="n"/>
      <c r="BH1863" s="81" t="n"/>
      <c r="BI1863" s="81" t="n"/>
      <c r="BJ1863" s="81" t="n"/>
      <c r="BK1863" s="81" t="n"/>
      <c r="BL1863" s="81" t="n"/>
      <c r="BM1863" s="81" t="n"/>
      <c r="BN1863" s="81" t="n"/>
      <c r="BO1863" s="81" t="n"/>
      <c r="BP1863" s="81" t="n"/>
      <c r="BQ1863" s="81" t="n"/>
      <c r="BR1863" s="81" t="n"/>
      <c r="BS1863" s="81" t="n"/>
      <c r="BT1863" s="81" t="n"/>
      <c r="BU1863" s="81" t="n"/>
      <c r="BV1863" s="81" t="n"/>
      <c r="BW1863" s="81" t="n"/>
      <c r="BX1863" s="81" t="n"/>
      <c r="BY1863" s="81" t="n"/>
      <c r="BZ1863" s="81" t="n"/>
      <c r="CA1863" s="81" t="n"/>
      <c r="CB1863" s="81" t="n"/>
      <c r="CC1863" s="81" t="n"/>
      <c r="CD1863" s="81" t="n"/>
      <c r="CE1863" s="81" t="n"/>
      <c r="CF1863" s="81" t="n"/>
      <c r="CG1863" s="81" t="n"/>
      <c r="CH1863" s="81" t="n"/>
    </row>
    <row r="1864">
      <c r="A1864" s="81" t="n"/>
      <c r="B1864" s="81" t="n"/>
      <c r="C1864" s="81" t="n"/>
      <c r="D1864" s="81" t="n"/>
      <c r="E1864" s="81" t="n"/>
      <c r="F1864" s="81" t="n"/>
      <c r="G1864" s="81" t="n"/>
      <c r="H1864" s="81" t="n"/>
      <c r="I1864" s="81" t="n"/>
      <c r="J1864" s="81" t="n"/>
      <c r="K1864" s="81" t="n"/>
      <c r="L1864" s="81" t="n"/>
      <c r="M1864" s="81" t="n"/>
      <c r="N1864" s="81" t="n"/>
      <c r="O1864" s="81" t="n"/>
      <c r="P1864" s="81" t="n"/>
      <c r="Q1864" s="81" t="n"/>
      <c r="R1864" s="81" t="n"/>
      <c r="S1864" s="81" t="n"/>
      <c r="T1864" s="81" t="n"/>
      <c r="U1864" s="81" t="n"/>
      <c r="V1864" s="81" t="n"/>
      <c r="W1864" s="81" t="n"/>
      <c r="X1864" s="81" t="n"/>
      <c r="Y1864" s="81" t="n"/>
      <c r="Z1864" s="81" t="n"/>
      <c r="AA1864" s="81" t="n"/>
      <c r="AB1864" s="81" t="n"/>
      <c r="AC1864" s="81" t="n"/>
      <c r="AD1864" s="81" t="n"/>
      <c r="AE1864" s="81" t="n"/>
      <c r="AF1864" s="81" t="n"/>
      <c r="AG1864" s="81" t="n"/>
      <c r="AH1864" s="81" t="n"/>
      <c r="AI1864" s="81" t="n"/>
      <c r="AJ1864" s="81" t="n"/>
      <c r="AK1864" s="81" t="n"/>
      <c r="AL1864" s="81" t="n"/>
      <c r="AM1864" s="81" t="n"/>
      <c r="AN1864" s="81" t="n"/>
      <c r="AO1864" s="81" t="n"/>
      <c r="AP1864" s="81" t="n"/>
      <c r="AQ1864" s="81" t="n"/>
      <c r="AR1864" s="81" t="n"/>
      <c r="AS1864" s="81" t="n"/>
      <c r="AT1864" s="81" t="n"/>
      <c r="AU1864" s="81" t="n"/>
      <c r="AV1864" s="81" t="n"/>
      <c r="AW1864" s="81" t="n"/>
      <c r="AX1864" s="81" t="n"/>
      <c r="AY1864" s="81" t="n"/>
      <c r="AZ1864" s="81" t="n"/>
      <c r="BA1864" s="81" t="n"/>
      <c r="BB1864" s="81" t="n"/>
      <c r="BC1864" s="81" t="n"/>
      <c r="BD1864" s="81" t="n"/>
      <c r="BE1864" s="81" t="n"/>
      <c r="BF1864" s="81" t="n"/>
      <c r="BG1864" s="81" t="n"/>
      <c r="BH1864" s="81" t="n"/>
      <c r="BI1864" s="81" t="n"/>
      <c r="BJ1864" s="81" t="n"/>
      <c r="BK1864" s="81" t="n"/>
      <c r="BL1864" s="81" t="n"/>
      <c r="BM1864" s="81" t="n"/>
      <c r="BN1864" s="81" t="n"/>
      <c r="BO1864" s="81" t="n"/>
      <c r="BP1864" s="81" t="n"/>
      <c r="BQ1864" s="81" t="n"/>
      <c r="BR1864" s="81" t="n"/>
      <c r="BS1864" s="81" t="n"/>
      <c r="BT1864" s="81" t="n"/>
      <c r="BU1864" s="81" t="n"/>
      <c r="BV1864" s="81" t="n"/>
      <c r="BW1864" s="81" t="n"/>
      <c r="BX1864" s="81" t="n"/>
      <c r="BY1864" s="81" t="n"/>
      <c r="BZ1864" s="81" t="n"/>
      <c r="CA1864" s="81" t="n"/>
      <c r="CB1864" s="81" t="n"/>
      <c r="CC1864" s="81" t="n"/>
      <c r="CD1864" s="81" t="n"/>
      <c r="CE1864" s="81" t="n"/>
      <c r="CF1864" s="81" t="n"/>
      <c r="CG1864" s="81" t="n"/>
      <c r="CH1864" s="81" t="n"/>
    </row>
    <row r="1865">
      <c r="A1865" s="81" t="n"/>
      <c r="B1865" s="81" t="n"/>
      <c r="C1865" s="81" t="n"/>
      <c r="D1865" s="81" t="n"/>
      <c r="E1865" s="81" t="n"/>
      <c r="F1865" s="81" t="n"/>
      <c r="G1865" s="81" t="n"/>
      <c r="H1865" s="81" t="n"/>
      <c r="I1865" s="81" t="n"/>
      <c r="J1865" s="81" t="n"/>
      <c r="K1865" s="81" t="n"/>
      <c r="L1865" s="81" t="n"/>
      <c r="M1865" s="81" t="n"/>
      <c r="N1865" s="81" t="n"/>
      <c r="O1865" s="81" t="n"/>
      <c r="P1865" s="81" t="n"/>
      <c r="Q1865" s="81" t="n"/>
      <c r="R1865" s="81" t="n"/>
      <c r="S1865" s="81" t="n"/>
      <c r="T1865" s="81" t="n"/>
      <c r="U1865" s="81" t="n"/>
      <c r="V1865" s="81" t="n"/>
      <c r="W1865" s="81" t="n"/>
      <c r="X1865" s="81" t="n"/>
      <c r="Y1865" s="81" t="n"/>
      <c r="Z1865" s="81" t="n"/>
      <c r="AA1865" s="81" t="n"/>
      <c r="AB1865" s="81" t="n"/>
      <c r="AC1865" s="81" t="n"/>
      <c r="AD1865" s="81" t="n"/>
      <c r="AE1865" s="81" t="n"/>
      <c r="AF1865" s="81" t="n"/>
      <c r="AG1865" s="81" t="n"/>
      <c r="AH1865" s="81" t="n"/>
      <c r="AI1865" s="81" t="n"/>
      <c r="AJ1865" s="81" t="n"/>
      <c r="AK1865" s="81" t="n"/>
      <c r="AL1865" s="81" t="n"/>
      <c r="AM1865" s="81" t="n"/>
      <c r="AN1865" s="81" t="n"/>
      <c r="AO1865" s="81" t="n"/>
      <c r="AP1865" s="81" t="n"/>
      <c r="AQ1865" s="81" t="n"/>
      <c r="AR1865" s="81" t="n"/>
      <c r="AS1865" s="81" t="n"/>
      <c r="AT1865" s="81" t="n"/>
      <c r="AU1865" s="81" t="n"/>
      <c r="AV1865" s="81" t="n"/>
      <c r="AW1865" s="81" t="n"/>
      <c r="AX1865" s="81" t="n"/>
      <c r="AY1865" s="81" t="n"/>
      <c r="AZ1865" s="81" t="n"/>
      <c r="BA1865" s="81" t="n"/>
      <c r="BB1865" s="81" t="n"/>
      <c r="BC1865" s="81" t="n"/>
      <c r="BD1865" s="81" t="n"/>
      <c r="BE1865" s="81" t="n"/>
      <c r="BF1865" s="81" t="n"/>
      <c r="BG1865" s="81" t="n"/>
      <c r="BH1865" s="81" t="n"/>
      <c r="BI1865" s="81" t="n"/>
      <c r="BJ1865" s="81" t="n"/>
      <c r="BK1865" s="81" t="n"/>
      <c r="BL1865" s="81" t="n"/>
      <c r="BM1865" s="81" t="n"/>
      <c r="BN1865" s="81" t="n"/>
      <c r="BO1865" s="81" t="n"/>
      <c r="BP1865" s="81" t="n"/>
      <c r="BQ1865" s="81" t="n"/>
      <c r="BR1865" s="81" t="n"/>
      <c r="BS1865" s="81" t="n"/>
      <c r="BT1865" s="81" t="n"/>
      <c r="BU1865" s="81" t="n"/>
      <c r="BV1865" s="81" t="n"/>
      <c r="BW1865" s="81" t="n"/>
      <c r="BX1865" s="81" t="n"/>
      <c r="BY1865" s="81" t="n"/>
      <c r="BZ1865" s="81" t="n"/>
      <c r="CA1865" s="81" t="n"/>
      <c r="CB1865" s="81" t="n"/>
      <c r="CC1865" s="81" t="n"/>
      <c r="CD1865" s="81" t="n"/>
      <c r="CE1865" s="81" t="n"/>
      <c r="CF1865" s="81" t="n"/>
      <c r="CG1865" s="81" t="n"/>
      <c r="CH1865" s="81" t="n"/>
    </row>
    <row r="1866">
      <c r="A1866" s="81" t="n"/>
      <c r="B1866" s="81" t="n"/>
      <c r="C1866" s="81" t="n"/>
      <c r="D1866" s="81" t="n"/>
      <c r="E1866" s="81" t="n"/>
      <c r="F1866" s="81" t="n"/>
      <c r="G1866" s="81" t="n"/>
      <c r="H1866" s="81" t="n"/>
      <c r="I1866" s="81" t="n"/>
      <c r="J1866" s="81" t="n"/>
      <c r="K1866" s="81" t="n"/>
      <c r="L1866" s="81" t="n"/>
      <c r="M1866" s="81" t="n"/>
      <c r="N1866" s="81" t="n"/>
      <c r="O1866" s="81" t="n"/>
      <c r="P1866" s="81" t="n"/>
      <c r="Q1866" s="81" t="n"/>
      <c r="R1866" s="81" t="n"/>
      <c r="S1866" s="81" t="n"/>
      <c r="T1866" s="81" t="n"/>
      <c r="U1866" s="81" t="n"/>
      <c r="V1866" s="81" t="n"/>
      <c r="W1866" s="81" t="n"/>
      <c r="X1866" s="81" t="n"/>
      <c r="Y1866" s="81" t="n"/>
      <c r="Z1866" s="81" t="n"/>
      <c r="AA1866" s="81" t="n"/>
      <c r="AB1866" s="81" t="n"/>
      <c r="AC1866" s="81" t="n"/>
      <c r="AD1866" s="81" t="n"/>
      <c r="AE1866" s="81" t="n"/>
      <c r="AF1866" s="81" t="n"/>
      <c r="AG1866" s="81" t="n"/>
      <c r="AH1866" s="81" t="n"/>
      <c r="AI1866" s="81" t="n"/>
      <c r="AJ1866" s="81" t="n"/>
      <c r="AK1866" s="81" t="n"/>
      <c r="AL1866" s="81" t="n"/>
      <c r="AM1866" s="81" t="n"/>
      <c r="AN1866" s="81" t="n"/>
      <c r="AO1866" s="81" t="n"/>
      <c r="AP1866" s="81" t="n"/>
      <c r="AQ1866" s="81" t="n"/>
      <c r="AR1866" s="81" t="n"/>
      <c r="AS1866" s="81" t="n"/>
      <c r="AT1866" s="81" t="n"/>
      <c r="AU1866" s="81" t="n"/>
      <c r="AV1866" s="81" t="n"/>
      <c r="AW1866" s="81" t="n"/>
      <c r="AX1866" s="81" t="n"/>
      <c r="AY1866" s="81" t="n"/>
      <c r="AZ1866" s="81" t="n"/>
      <c r="BA1866" s="81" t="n"/>
      <c r="BB1866" s="81" t="n"/>
      <c r="BC1866" s="81" t="n"/>
      <c r="BD1866" s="81" t="n"/>
      <c r="BE1866" s="81" t="n"/>
      <c r="BF1866" s="81" t="n"/>
      <c r="BG1866" s="81" t="n"/>
      <c r="BH1866" s="81" t="n"/>
      <c r="BI1866" s="81" t="n"/>
      <c r="BJ1866" s="81" t="n"/>
      <c r="BK1866" s="81" t="n"/>
      <c r="BL1866" s="81" t="n"/>
      <c r="BM1866" s="81" t="n"/>
      <c r="BN1866" s="81" t="n"/>
      <c r="BO1866" s="81" t="n"/>
      <c r="BP1866" s="81" t="n"/>
      <c r="BQ1866" s="81" t="n"/>
      <c r="BR1866" s="81" t="n"/>
      <c r="BS1866" s="81" t="n"/>
      <c r="BT1866" s="81" t="n"/>
      <c r="BU1866" s="81" t="n"/>
      <c r="BV1866" s="81" t="n"/>
      <c r="BW1866" s="81" t="n"/>
      <c r="BX1866" s="81" t="n"/>
      <c r="BY1866" s="81" t="n"/>
      <c r="BZ1866" s="81" t="n"/>
      <c r="CA1866" s="81" t="n"/>
      <c r="CB1866" s="81" t="n"/>
      <c r="CC1866" s="81" t="n"/>
      <c r="CD1866" s="81" t="n"/>
      <c r="CE1866" s="81" t="n"/>
      <c r="CF1866" s="81" t="n"/>
      <c r="CG1866" s="81" t="n"/>
      <c r="CH1866" s="81" t="n"/>
    </row>
    <row r="1867">
      <c r="A1867" s="81" t="n"/>
      <c r="B1867" s="81" t="n"/>
      <c r="C1867" s="81" t="n"/>
      <c r="D1867" s="81" t="n"/>
      <c r="E1867" s="81" t="n"/>
      <c r="F1867" s="81" t="n"/>
      <c r="G1867" s="81" t="n"/>
      <c r="H1867" s="81" t="n"/>
      <c r="I1867" s="81" t="n"/>
      <c r="J1867" s="81" t="n"/>
      <c r="K1867" s="81" t="n"/>
      <c r="L1867" s="81" t="n"/>
      <c r="M1867" s="81" t="n"/>
      <c r="N1867" s="81" t="n"/>
      <c r="O1867" s="81" t="n"/>
      <c r="P1867" s="81" t="n"/>
      <c r="Q1867" s="81" t="n"/>
      <c r="R1867" s="81" t="n"/>
      <c r="S1867" s="81" t="n"/>
      <c r="T1867" s="81" t="n"/>
      <c r="U1867" s="81" t="n"/>
      <c r="V1867" s="81" t="n"/>
      <c r="W1867" s="81" t="n"/>
      <c r="X1867" s="81" t="n"/>
      <c r="Y1867" s="81" t="n"/>
      <c r="Z1867" s="81" t="n"/>
      <c r="AA1867" s="81" t="n"/>
      <c r="AB1867" s="81" t="n"/>
      <c r="AC1867" s="81" t="n"/>
      <c r="AD1867" s="81" t="n"/>
      <c r="AE1867" s="81" t="n"/>
      <c r="AF1867" s="81" t="n"/>
      <c r="AG1867" s="81" t="n"/>
      <c r="AH1867" s="81" t="n"/>
      <c r="AI1867" s="81" t="n"/>
      <c r="AJ1867" s="81" t="n"/>
      <c r="AK1867" s="81" t="n"/>
      <c r="AL1867" s="81" t="n"/>
      <c r="AM1867" s="81" t="n"/>
      <c r="AN1867" s="81" t="n"/>
      <c r="AO1867" s="81" t="n"/>
      <c r="AP1867" s="81" t="n"/>
      <c r="AQ1867" s="81" t="n"/>
      <c r="AR1867" s="81" t="n"/>
      <c r="AS1867" s="81" t="n"/>
      <c r="AT1867" s="81" t="n"/>
      <c r="AU1867" s="81" t="n"/>
      <c r="AV1867" s="81" t="n"/>
      <c r="AW1867" s="81" t="n"/>
      <c r="AX1867" s="81" t="n"/>
      <c r="AY1867" s="81" t="n"/>
      <c r="AZ1867" s="81" t="n"/>
      <c r="BA1867" s="81" t="n"/>
      <c r="BB1867" s="81" t="n"/>
      <c r="BC1867" s="81" t="n"/>
      <c r="BD1867" s="81" t="n"/>
      <c r="BE1867" s="81" t="n"/>
      <c r="BF1867" s="81" t="n"/>
      <c r="BG1867" s="81" t="n"/>
      <c r="BH1867" s="81" t="n"/>
      <c r="BI1867" s="81" t="n"/>
      <c r="BJ1867" s="81" t="n"/>
      <c r="BK1867" s="81" t="n"/>
      <c r="BL1867" s="81" t="n"/>
      <c r="BM1867" s="81" t="n"/>
      <c r="BN1867" s="81" t="n"/>
      <c r="BO1867" s="81" t="n"/>
      <c r="BP1867" s="81" t="n"/>
      <c r="BQ1867" s="81" t="n"/>
      <c r="BR1867" s="81" t="n"/>
      <c r="BS1867" s="81" t="n"/>
      <c r="BT1867" s="81" t="n"/>
      <c r="BU1867" s="81" t="n"/>
      <c r="BV1867" s="81" t="n"/>
      <c r="BW1867" s="81" t="n"/>
      <c r="BX1867" s="81" t="n"/>
      <c r="BY1867" s="81" t="n"/>
      <c r="BZ1867" s="81" t="n"/>
      <c r="CA1867" s="81" t="n"/>
      <c r="CB1867" s="81" t="n"/>
      <c r="CC1867" s="81" t="n"/>
      <c r="CD1867" s="81" t="n"/>
      <c r="CE1867" s="81" t="n"/>
      <c r="CF1867" s="81" t="n"/>
      <c r="CG1867" s="81" t="n"/>
      <c r="CH1867" s="81" t="n"/>
    </row>
    <row r="1868">
      <c r="A1868" s="81" t="n"/>
      <c r="B1868" s="81" t="n"/>
      <c r="C1868" s="81" t="n"/>
      <c r="D1868" s="81" t="n"/>
      <c r="E1868" s="81" t="n"/>
      <c r="F1868" s="81" t="n"/>
      <c r="G1868" s="81" t="n"/>
      <c r="H1868" s="81" t="n"/>
      <c r="I1868" s="81" t="n"/>
      <c r="J1868" s="81" t="n"/>
      <c r="K1868" s="81" t="n"/>
      <c r="L1868" s="81" t="n"/>
      <c r="M1868" s="81" t="n"/>
      <c r="N1868" s="81" t="n"/>
      <c r="O1868" s="81" t="n"/>
      <c r="P1868" s="81" t="n"/>
      <c r="Q1868" s="81" t="n"/>
      <c r="R1868" s="81" t="n"/>
      <c r="S1868" s="81" t="n"/>
      <c r="T1868" s="81" t="n"/>
      <c r="U1868" s="81" t="n"/>
      <c r="V1868" s="81" t="n"/>
      <c r="W1868" s="81" t="n"/>
      <c r="X1868" s="81" t="n"/>
      <c r="Y1868" s="81" t="n"/>
      <c r="Z1868" s="81" t="n"/>
      <c r="AA1868" s="81" t="n"/>
      <c r="AB1868" s="81" t="n"/>
      <c r="AC1868" s="81" t="n"/>
      <c r="AD1868" s="81" t="n"/>
      <c r="AE1868" s="81" t="n"/>
      <c r="AF1868" s="81" t="n"/>
      <c r="AG1868" s="81" t="n"/>
      <c r="AH1868" s="81" t="n"/>
      <c r="AI1868" s="81" t="n"/>
      <c r="AJ1868" s="81" t="n"/>
      <c r="AK1868" s="81" t="n"/>
      <c r="AL1868" s="81" t="n"/>
      <c r="AM1868" s="81" t="n"/>
      <c r="AN1868" s="81" t="n"/>
      <c r="AO1868" s="81" t="n"/>
      <c r="AP1868" s="81" t="n"/>
      <c r="AQ1868" s="81" t="n"/>
      <c r="AR1868" s="81" t="n"/>
      <c r="AS1868" s="81" t="n"/>
      <c r="AT1868" s="81" t="n"/>
      <c r="AU1868" s="81" t="n"/>
      <c r="AV1868" s="81" t="n"/>
      <c r="AW1868" s="81" t="n"/>
      <c r="AX1868" s="81" t="n"/>
      <c r="AY1868" s="81" t="n"/>
      <c r="AZ1868" s="81" t="n"/>
      <c r="BA1868" s="81" t="n"/>
      <c r="BB1868" s="81" t="n"/>
      <c r="BC1868" s="81" t="n"/>
      <c r="BD1868" s="81" t="n"/>
      <c r="BE1868" s="81" t="n"/>
      <c r="BF1868" s="81" t="n"/>
      <c r="BG1868" s="81" t="n"/>
      <c r="BH1868" s="81" t="n"/>
      <c r="BI1868" s="81" t="n"/>
      <c r="BJ1868" s="81" t="n"/>
      <c r="BK1868" s="81" t="n"/>
      <c r="BL1868" s="81" t="n"/>
      <c r="BM1868" s="81" t="n"/>
      <c r="BN1868" s="81" t="n"/>
      <c r="BO1868" s="81" t="n"/>
      <c r="BP1868" s="81" t="n"/>
      <c r="BQ1868" s="81" t="n"/>
      <c r="BR1868" s="81" t="n"/>
      <c r="BS1868" s="81" t="n"/>
      <c r="BT1868" s="81" t="n"/>
      <c r="BU1868" s="81" t="n"/>
      <c r="BV1868" s="81" t="n"/>
      <c r="BW1868" s="81" t="n"/>
      <c r="BX1868" s="81" t="n"/>
      <c r="BY1868" s="81" t="n"/>
      <c r="BZ1868" s="81" t="n"/>
      <c r="CA1868" s="81" t="n"/>
      <c r="CB1868" s="81" t="n"/>
      <c r="CC1868" s="81" t="n"/>
      <c r="CD1868" s="81" t="n"/>
      <c r="CE1868" s="81" t="n"/>
      <c r="CF1868" s="81" t="n"/>
      <c r="CG1868" s="81" t="n"/>
      <c r="CH1868" s="81" t="n"/>
    </row>
    <row r="1869">
      <c r="A1869" s="81" t="n"/>
      <c r="B1869" s="81" t="n"/>
      <c r="C1869" s="81" t="n"/>
      <c r="D1869" s="81" t="n"/>
      <c r="E1869" s="81" t="n"/>
      <c r="F1869" s="81" t="n"/>
      <c r="G1869" s="81" t="n"/>
      <c r="H1869" s="81" t="n"/>
      <c r="I1869" s="81" t="n"/>
      <c r="J1869" s="81" t="n"/>
      <c r="K1869" s="81" t="n"/>
      <c r="L1869" s="81" t="n"/>
      <c r="M1869" s="81" t="n"/>
      <c r="N1869" s="81" t="n"/>
      <c r="O1869" s="81" t="n"/>
      <c r="P1869" s="81" t="n"/>
      <c r="Q1869" s="81" t="n"/>
      <c r="R1869" s="81" t="n"/>
      <c r="S1869" s="81" t="n"/>
      <c r="T1869" s="81" t="n"/>
      <c r="U1869" s="81" t="n"/>
      <c r="V1869" s="81" t="n"/>
      <c r="W1869" s="81" t="n"/>
      <c r="X1869" s="81" t="n"/>
      <c r="Y1869" s="81" t="n"/>
      <c r="Z1869" s="81" t="n"/>
      <c r="AA1869" s="81" t="n"/>
      <c r="AB1869" s="81" t="n"/>
      <c r="AC1869" s="81" t="n"/>
      <c r="AD1869" s="81" t="n"/>
      <c r="AE1869" s="81" t="n"/>
      <c r="AF1869" s="81" t="n"/>
      <c r="AG1869" s="81" t="n"/>
      <c r="AH1869" s="81" t="n"/>
      <c r="AI1869" s="81" t="n"/>
      <c r="AJ1869" s="81" t="n"/>
      <c r="AK1869" s="81" t="n"/>
      <c r="AL1869" s="81" t="n"/>
      <c r="AM1869" s="81" t="n"/>
      <c r="AN1869" s="81" t="n"/>
      <c r="AO1869" s="81" t="n"/>
      <c r="AP1869" s="81" t="n"/>
      <c r="AQ1869" s="81" t="n"/>
      <c r="AR1869" s="81" t="n"/>
      <c r="AS1869" s="81" t="n"/>
      <c r="AT1869" s="81" t="n"/>
      <c r="AU1869" s="81" t="n"/>
      <c r="AV1869" s="81" t="n"/>
      <c r="AW1869" s="81" t="n"/>
      <c r="AX1869" s="81" t="n"/>
      <c r="AY1869" s="81" t="n"/>
      <c r="AZ1869" s="81" t="n"/>
      <c r="BA1869" s="81" t="n"/>
      <c r="BB1869" s="81" t="n"/>
      <c r="BC1869" s="81" t="n"/>
      <c r="BD1869" s="81" t="n"/>
      <c r="BE1869" s="81" t="n"/>
      <c r="BF1869" s="81" t="n"/>
      <c r="BG1869" s="81" t="n"/>
      <c r="BH1869" s="81" t="n"/>
      <c r="BI1869" s="81" t="n"/>
      <c r="BJ1869" s="81" t="n"/>
      <c r="BK1869" s="81" t="n"/>
      <c r="BL1869" s="81" t="n"/>
      <c r="BM1869" s="81" t="n"/>
      <c r="BN1869" s="81" t="n"/>
      <c r="BO1869" s="81" t="n"/>
      <c r="BP1869" s="81" t="n"/>
      <c r="BQ1869" s="81" t="n"/>
      <c r="BR1869" s="81" t="n"/>
      <c r="BS1869" s="81" t="n"/>
      <c r="BT1869" s="81" t="n"/>
      <c r="BU1869" s="81" t="n"/>
      <c r="BV1869" s="81" t="n"/>
      <c r="BW1869" s="81" t="n"/>
      <c r="BX1869" s="81" t="n"/>
      <c r="BY1869" s="81" t="n"/>
      <c r="BZ1869" s="81" t="n"/>
      <c r="CA1869" s="81" t="n"/>
      <c r="CB1869" s="81" t="n"/>
      <c r="CC1869" s="81" t="n"/>
      <c r="CD1869" s="81" t="n"/>
      <c r="CE1869" s="81" t="n"/>
      <c r="CF1869" s="81" t="n"/>
      <c r="CG1869" s="81" t="n"/>
      <c r="CH1869" s="81" t="n"/>
    </row>
    <row r="1870">
      <c r="A1870" s="81" t="n"/>
      <c r="B1870" s="81" t="n"/>
      <c r="C1870" s="81" t="n"/>
      <c r="D1870" s="81" t="n"/>
      <c r="E1870" s="81" t="n"/>
      <c r="F1870" s="81" t="n"/>
      <c r="G1870" s="81" t="n"/>
      <c r="H1870" s="81" t="n"/>
      <c r="I1870" s="81" t="n"/>
      <c r="J1870" s="81" t="n"/>
      <c r="K1870" s="81" t="n"/>
      <c r="L1870" s="81" t="n"/>
      <c r="M1870" s="81" t="n"/>
      <c r="N1870" s="81" t="n"/>
      <c r="O1870" s="81" t="n"/>
      <c r="P1870" s="81" t="n"/>
      <c r="Q1870" s="81" t="n"/>
      <c r="R1870" s="81" t="n"/>
      <c r="S1870" s="81" t="n"/>
      <c r="T1870" s="81" t="n"/>
      <c r="U1870" s="81" t="n"/>
      <c r="V1870" s="81" t="n"/>
      <c r="W1870" s="81" t="n"/>
      <c r="X1870" s="81" t="n"/>
      <c r="Y1870" s="81" t="n"/>
      <c r="Z1870" s="81" t="n"/>
      <c r="AA1870" s="81" t="n"/>
      <c r="AB1870" s="81" t="n"/>
      <c r="AC1870" s="81" t="n"/>
      <c r="AD1870" s="81" t="n"/>
      <c r="AE1870" s="81" t="n"/>
      <c r="AF1870" s="81" t="n"/>
      <c r="AG1870" s="81" t="n"/>
      <c r="AH1870" s="81" t="n"/>
      <c r="AI1870" s="81" t="n"/>
      <c r="AJ1870" s="81" t="n"/>
      <c r="AK1870" s="81" t="n"/>
      <c r="AL1870" s="81" t="n"/>
      <c r="AM1870" s="81" t="n"/>
      <c r="AN1870" s="81" t="n"/>
      <c r="AO1870" s="81" t="n"/>
      <c r="AP1870" s="81" t="n"/>
      <c r="AQ1870" s="81" t="n"/>
      <c r="AR1870" s="81" t="n"/>
      <c r="AS1870" s="81" t="n"/>
      <c r="AT1870" s="81" t="n"/>
      <c r="AU1870" s="81" t="n"/>
      <c r="AV1870" s="81" t="n"/>
      <c r="AW1870" s="81" t="n"/>
      <c r="AX1870" s="81" t="n"/>
      <c r="AY1870" s="81" t="n"/>
      <c r="AZ1870" s="81" t="n"/>
      <c r="BA1870" s="81" t="n"/>
      <c r="BB1870" s="81" t="n"/>
      <c r="BC1870" s="81" t="n"/>
      <c r="BD1870" s="81" t="n"/>
      <c r="BE1870" s="81" t="n"/>
      <c r="BF1870" s="81" t="n"/>
      <c r="BG1870" s="81" t="n"/>
      <c r="BH1870" s="81" t="n"/>
      <c r="BI1870" s="81" t="n"/>
      <c r="BJ1870" s="81" t="n"/>
      <c r="BK1870" s="81" t="n"/>
      <c r="BL1870" s="81" t="n"/>
      <c r="BM1870" s="81" t="n"/>
      <c r="BN1870" s="81" t="n"/>
      <c r="BO1870" s="81" t="n"/>
      <c r="BP1870" s="81" t="n"/>
      <c r="BQ1870" s="81" t="n"/>
      <c r="BR1870" s="81" t="n"/>
      <c r="BS1870" s="81" t="n"/>
      <c r="BT1870" s="81" t="n"/>
      <c r="BU1870" s="81" t="n"/>
      <c r="BV1870" s="81" t="n"/>
      <c r="BW1870" s="81" t="n"/>
      <c r="BX1870" s="81" t="n"/>
      <c r="BY1870" s="81" t="n"/>
      <c r="BZ1870" s="81" t="n"/>
      <c r="CA1870" s="81" t="n"/>
      <c r="CB1870" s="81" t="n"/>
      <c r="CC1870" s="81" t="n"/>
      <c r="CD1870" s="81" t="n"/>
      <c r="CE1870" s="81" t="n"/>
      <c r="CF1870" s="81" t="n"/>
      <c r="CG1870" s="81" t="n"/>
      <c r="CH1870" s="81" t="n"/>
    </row>
    <row r="1871">
      <c r="A1871" s="81" t="n"/>
      <c r="B1871" s="81" t="n"/>
      <c r="C1871" s="81" t="n"/>
      <c r="D1871" s="81" t="n"/>
      <c r="E1871" s="81" t="n"/>
      <c r="F1871" s="81" t="n"/>
      <c r="G1871" s="81" t="n"/>
      <c r="H1871" s="81" t="n"/>
      <c r="I1871" s="81" t="n"/>
      <c r="J1871" s="81" t="n"/>
      <c r="K1871" s="81" t="n"/>
      <c r="L1871" s="81" t="n"/>
      <c r="M1871" s="81" t="n"/>
      <c r="N1871" s="81" t="n"/>
      <c r="O1871" s="81" t="n"/>
      <c r="P1871" s="81" t="n"/>
      <c r="Q1871" s="81" t="n"/>
      <c r="R1871" s="81" t="n"/>
      <c r="S1871" s="81" t="n"/>
      <c r="T1871" s="81" t="n"/>
      <c r="U1871" s="81" t="n"/>
      <c r="V1871" s="81" t="n"/>
      <c r="W1871" s="81" t="n"/>
      <c r="X1871" s="81" t="n"/>
      <c r="Y1871" s="81" t="n"/>
      <c r="Z1871" s="81" t="n"/>
      <c r="AA1871" s="81" t="n"/>
      <c r="AB1871" s="81" t="n"/>
      <c r="AC1871" s="81" t="n"/>
      <c r="AD1871" s="81" t="n"/>
      <c r="AE1871" s="81" t="n"/>
      <c r="AF1871" s="81" t="n"/>
      <c r="AG1871" s="81" t="n"/>
      <c r="AH1871" s="81" t="n"/>
      <c r="AI1871" s="81" t="n"/>
      <c r="AJ1871" s="81" t="n"/>
      <c r="AK1871" s="81" t="n"/>
      <c r="AL1871" s="81" t="n"/>
      <c r="AM1871" s="81" t="n"/>
      <c r="AN1871" s="81" t="n"/>
      <c r="AO1871" s="81" t="n"/>
      <c r="AP1871" s="81" t="n"/>
      <c r="AQ1871" s="81" t="n"/>
      <c r="AR1871" s="81" t="n"/>
      <c r="AS1871" s="81" t="n"/>
      <c r="AT1871" s="81" t="n"/>
      <c r="AU1871" s="81" t="n"/>
      <c r="AV1871" s="81" t="n"/>
      <c r="AW1871" s="81" t="n"/>
      <c r="AX1871" s="81" t="n"/>
      <c r="AY1871" s="81" t="n"/>
      <c r="AZ1871" s="81" t="n"/>
      <c r="BA1871" s="81" t="n"/>
      <c r="BB1871" s="81" t="n"/>
      <c r="BC1871" s="81" t="n"/>
      <c r="BD1871" s="81" t="n"/>
      <c r="BE1871" s="81" t="n"/>
      <c r="BF1871" s="81" t="n"/>
      <c r="BG1871" s="81" t="n"/>
      <c r="BH1871" s="81" t="n"/>
      <c r="BI1871" s="81" t="n"/>
      <c r="BJ1871" s="81" t="n"/>
      <c r="BK1871" s="81" t="n"/>
      <c r="BL1871" s="81" t="n"/>
      <c r="BM1871" s="81" t="n"/>
      <c r="BN1871" s="81" t="n"/>
      <c r="BO1871" s="81" t="n"/>
      <c r="BP1871" s="81" t="n"/>
      <c r="BQ1871" s="81" t="n"/>
      <c r="BR1871" s="81" t="n"/>
      <c r="BS1871" s="81" t="n"/>
      <c r="BT1871" s="81" t="n"/>
      <c r="BU1871" s="81" t="n"/>
      <c r="BV1871" s="81" t="n"/>
      <c r="BW1871" s="81" t="n"/>
      <c r="BX1871" s="81" t="n"/>
      <c r="BY1871" s="81" t="n"/>
      <c r="BZ1871" s="81" t="n"/>
      <c r="CA1871" s="81" t="n"/>
      <c r="CB1871" s="81" t="n"/>
      <c r="CC1871" s="81" t="n"/>
      <c r="CD1871" s="81" t="n"/>
      <c r="CE1871" s="81" t="n"/>
      <c r="CF1871" s="81" t="n"/>
      <c r="CG1871" s="81" t="n"/>
      <c r="CH1871" s="81" t="n"/>
    </row>
    <row r="1872">
      <c r="A1872" s="81" t="n"/>
      <c r="B1872" s="81" t="n"/>
      <c r="C1872" s="81" t="n"/>
      <c r="D1872" s="81" t="n"/>
      <c r="E1872" s="81" t="n"/>
      <c r="F1872" s="81" t="n"/>
      <c r="G1872" s="81" t="n"/>
      <c r="H1872" s="81" t="n"/>
      <c r="I1872" s="81" t="n"/>
      <c r="J1872" s="81" t="n"/>
      <c r="K1872" s="81" t="n"/>
      <c r="L1872" s="81" t="n"/>
      <c r="M1872" s="81" t="n"/>
      <c r="N1872" s="81" t="n"/>
      <c r="O1872" s="81" t="n"/>
      <c r="P1872" s="81" t="n"/>
      <c r="Q1872" s="81" t="n"/>
      <c r="R1872" s="81" t="n"/>
      <c r="S1872" s="81" t="n"/>
      <c r="T1872" s="81" t="n"/>
      <c r="U1872" s="81" t="n"/>
      <c r="V1872" s="81" t="n"/>
      <c r="W1872" s="81" t="n"/>
      <c r="X1872" s="81" t="n"/>
      <c r="Y1872" s="81" t="n"/>
      <c r="Z1872" s="81" t="n"/>
      <c r="AA1872" s="81" t="n"/>
      <c r="AB1872" s="81" t="n"/>
      <c r="AC1872" s="81" t="n"/>
      <c r="AD1872" s="81" t="n"/>
      <c r="AE1872" s="81" t="n"/>
      <c r="AF1872" s="81" t="n"/>
      <c r="AG1872" s="81" t="n"/>
      <c r="AH1872" s="81" t="n"/>
      <c r="AI1872" s="81" t="n"/>
      <c r="AJ1872" s="81" t="n"/>
      <c r="AK1872" s="81" t="n"/>
      <c r="AL1872" s="81" t="n"/>
      <c r="AM1872" s="81" t="n"/>
      <c r="AN1872" s="81" t="n"/>
      <c r="AO1872" s="81" t="n"/>
      <c r="AP1872" s="81" t="n"/>
      <c r="AQ1872" s="81" t="n"/>
      <c r="AR1872" s="81" t="n"/>
      <c r="AS1872" s="81" t="n"/>
      <c r="AT1872" s="81" t="n"/>
      <c r="AU1872" s="81" t="n"/>
      <c r="AV1872" s="81" t="n"/>
      <c r="AW1872" s="81" t="n"/>
      <c r="AX1872" s="81" t="n"/>
      <c r="AY1872" s="81" t="n"/>
      <c r="AZ1872" s="81" t="n"/>
      <c r="BA1872" s="81" t="n"/>
      <c r="BB1872" s="81" t="n"/>
      <c r="BC1872" s="81" t="n"/>
      <c r="BD1872" s="81" t="n"/>
      <c r="BE1872" s="81" t="n"/>
      <c r="BF1872" s="81" t="n"/>
      <c r="BG1872" s="81" t="n"/>
      <c r="BH1872" s="81" t="n"/>
      <c r="BI1872" s="81" t="n"/>
      <c r="BJ1872" s="81" t="n"/>
      <c r="BK1872" s="81" t="n"/>
      <c r="BL1872" s="81" t="n"/>
      <c r="BM1872" s="81" t="n"/>
      <c r="BN1872" s="81" t="n"/>
      <c r="BO1872" s="81" t="n"/>
      <c r="BP1872" s="81" t="n"/>
      <c r="BQ1872" s="81" t="n"/>
      <c r="BR1872" s="81" t="n"/>
      <c r="BS1872" s="81" t="n"/>
      <c r="BT1872" s="81" t="n"/>
      <c r="BU1872" s="81" t="n"/>
      <c r="BV1872" s="81" t="n"/>
      <c r="BW1872" s="81" t="n"/>
      <c r="BX1872" s="81" t="n"/>
      <c r="BY1872" s="81" t="n"/>
      <c r="BZ1872" s="81" t="n"/>
      <c r="CA1872" s="81" t="n"/>
      <c r="CB1872" s="81" t="n"/>
      <c r="CC1872" s="81" t="n"/>
      <c r="CD1872" s="81" t="n"/>
      <c r="CE1872" s="81" t="n"/>
      <c r="CF1872" s="81" t="n"/>
      <c r="CG1872" s="81" t="n"/>
      <c r="CH1872" s="81" t="n"/>
    </row>
    <row r="1873">
      <c r="A1873" s="81" t="n"/>
      <c r="B1873" s="81" t="n"/>
      <c r="C1873" s="81" t="n"/>
      <c r="D1873" s="81" t="n"/>
      <c r="E1873" s="81" t="n"/>
      <c r="F1873" s="81" t="n"/>
      <c r="G1873" s="81" t="n"/>
      <c r="H1873" s="81" t="n"/>
      <c r="I1873" s="81" t="n"/>
      <c r="J1873" s="81" t="n"/>
      <c r="K1873" s="81" t="n"/>
      <c r="L1873" s="81" t="n"/>
      <c r="M1873" s="81" t="n"/>
      <c r="N1873" s="81" t="n"/>
      <c r="O1873" s="81" t="n"/>
      <c r="P1873" s="81" t="n"/>
      <c r="Q1873" s="81" t="n"/>
      <c r="R1873" s="81" t="n"/>
      <c r="S1873" s="81" t="n"/>
      <c r="T1873" s="81" t="n"/>
      <c r="U1873" s="81" t="n"/>
      <c r="V1873" s="81" t="n"/>
      <c r="W1873" s="81" t="n"/>
      <c r="X1873" s="81" t="n"/>
      <c r="Y1873" s="81" t="n"/>
      <c r="Z1873" s="81" t="n"/>
      <c r="AA1873" s="81" t="n"/>
      <c r="AB1873" s="81" t="n"/>
      <c r="AC1873" s="81" t="n"/>
      <c r="AD1873" s="81" t="n"/>
      <c r="AE1873" s="81" t="n"/>
      <c r="AF1873" s="81" t="n"/>
      <c r="AG1873" s="81" t="n"/>
      <c r="AH1873" s="81" t="n"/>
      <c r="AI1873" s="81" t="n"/>
      <c r="AJ1873" s="81" t="n"/>
      <c r="AK1873" s="81" t="n"/>
      <c r="AL1873" s="81" t="n"/>
      <c r="AM1873" s="81" t="n"/>
      <c r="AN1873" s="81" t="n"/>
      <c r="AO1873" s="81" t="n"/>
      <c r="AP1873" s="81" t="n"/>
      <c r="AQ1873" s="81" t="n"/>
      <c r="AR1873" s="81" t="n"/>
      <c r="AS1873" s="81" t="n"/>
      <c r="AT1873" s="81" t="n"/>
      <c r="AU1873" s="81" t="n"/>
      <c r="AV1873" s="81" t="n"/>
      <c r="AW1873" s="81" t="n"/>
      <c r="AX1873" s="81" t="n"/>
      <c r="AY1873" s="81" t="n"/>
      <c r="AZ1873" s="81" t="n"/>
      <c r="BA1873" s="81" t="n"/>
      <c r="BB1873" s="81" t="n"/>
      <c r="BC1873" s="81" t="n"/>
      <c r="BD1873" s="81" t="n"/>
      <c r="BE1873" s="81" t="n"/>
      <c r="BF1873" s="81" t="n"/>
      <c r="BG1873" s="81" t="n"/>
      <c r="BH1873" s="81" t="n"/>
      <c r="BI1873" s="81" t="n"/>
      <c r="BJ1873" s="81" t="n"/>
      <c r="BK1873" s="81" t="n"/>
      <c r="BL1873" s="81" t="n"/>
      <c r="BM1873" s="81" t="n"/>
      <c r="BN1873" s="81" t="n"/>
      <c r="BO1873" s="81" t="n"/>
      <c r="BP1873" s="81" t="n"/>
      <c r="BQ1873" s="81" t="n"/>
      <c r="BR1873" s="81" t="n"/>
      <c r="BS1873" s="81" t="n"/>
      <c r="BT1873" s="81" t="n"/>
      <c r="BU1873" s="81" t="n"/>
      <c r="BV1873" s="81" t="n"/>
      <c r="BW1873" s="81" t="n"/>
      <c r="BX1873" s="81" t="n"/>
      <c r="BY1873" s="81" t="n"/>
      <c r="BZ1873" s="81" t="n"/>
      <c r="CA1873" s="81" t="n"/>
      <c r="CB1873" s="81" t="n"/>
      <c r="CC1873" s="81" t="n"/>
      <c r="CD1873" s="81" t="n"/>
      <c r="CE1873" s="81" t="n"/>
      <c r="CF1873" s="81" t="n"/>
      <c r="CG1873" s="81" t="n"/>
      <c r="CH1873" s="81" t="n"/>
    </row>
    <row r="1874">
      <c r="A1874" s="81" t="n"/>
      <c r="B1874" s="81" t="n"/>
      <c r="C1874" s="81" t="n"/>
      <c r="D1874" s="81" t="n"/>
      <c r="E1874" s="81" t="n"/>
      <c r="F1874" s="81" t="n"/>
      <c r="G1874" s="81" t="n"/>
      <c r="H1874" s="81" t="n"/>
      <c r="I1874" s="81" t="n"/>
      <c r="J1874" s="81" t="n"/>
      <c r="K1874" s="81" t="n"/>
      <c r="L1874" s="81" t="n"/>
      <c r="M1874" s="81" t="n"/>
      <c r="N1874" s="81" t="n"/>
      <c r="O1874" s="81" t="n"/>
      <c r="P1874" s="81" t="n"/>
      <c r="Q1874" s="81" t="n"/>
      <c r="R1874" s="81" t="n"/>
      <c r="S1874" s="81" t="n"/>
      <c r="T1874" s="81" t="n"/>
      <c r="U1874" s="81" t="n"/>
      <c r="V1874" s="81" t="n"/>
      <c r="W1874" s="81" t="n"/>
      <c r="X1874" s="81" t="n"/>
      <c r="Y1874" s="81" t="n"/>
      <c r="Z1874" s="81" t="n"/>
      <c r="AA1874" s="81" t="n"/>
      <c r="AB1874" s="81" t="n"/>
      <c r="AC1874" s="81" t="n"/>
      <c r="AD1874" s="81" t="n"/>
      <c r="AE1874" s="81" t="n"/>
      <c r="AF1874" s="81" t="n"/>
      <c r="AG1874" s="81" t="n"/>
      <c r="AH1874" s="81" t="n"/>
      <c r="AI1874" s="81" t="n"/>
      <c r="AJ1874" s="81" t="n"/>
      <c r="AK1874" s="81" t="n"/>
      <c r="AL1874" s="81" t="n"/>
      <c r="AM1874" s="81" t="n"/>
      <c r="AN1874" s="81" t="n"/>
      <c r="AO1874" s="81" t="n"/>
      <c r="AP1874" s="81" t="n"/>
      <c r="AQ1874" s="81" t="n"/>
      <c r="AR1874" s="81" t="n"/>
      <c r="AS1874" s="81" t="n"/>
      <c r="AT1874" s="81" t="n"/>
      <c r="AU1874" s="81" t="n"/>
      <c r="AV1874" s="81" t="n"/>
      <c r="AW1874" s="81" t="n"/>
      <c r="AX1874" s="81" t="n"/>
      <c r="AY1874" s="81" t="n"/>
      <c r="AZ1874" s="81" t="n"/>
      <c r="BA1874" s="81" t="n"/>
      <c r="BB1874" s="81" t="n"/>
      <c r="BC1874" s="81" t="n"/>
      <c r="BD1874" s="81" t="n"/>
      <c r="BE1874" s="81" t="n"/>
      <c r="BF1874" s="81" t="n"/>
      <c r="BG1874" s="81" t="n"/>
      <c r="BH1874" s="81" t="n"/>
      <c r="BI1874" s="81" t="n"/>
      <c r="BJ1874" s="81" t="n"/>
      <c r="BK1874" s="81" t="n"/>
      <c r="BL1874" s="81" t="n"/>
      <c r="BM1874" s="81" t="n"/>
      <c r="BN1874" s="81" t="n"/>
      <c r="BO1874" s="81" t="n"/>
      <c r="BP1874" s="81" t="n"/>
      <c r="BQ1874" s="81" t="n"/>
      <c r="BR1874" s="81" t="n"/>
      <c r="BS1874" s="81" t="n"/>
      <c r="BT1874" s="81" t="n"/>
      <c r="BU1874" s="81" t="n"/>
      <c r="BV1874" s="81" t="n"/>
      <c r="BW1874" s="81" t="n"/>
      <c r="BX1874" s="81" t="n"/>
      <c r="BY1874" s="81" t="n"/>
      <c r="BZ1874" s="81" t="n"/>
      <c r="CA1874" s="81" t="n"/>
      <c r="CB1874" s="81" t="n"/>
      <c r="CC1874" s="81" t="n"/>
      <c r="CD1874" s="81" t="n"/>
      <c r="CE1874" s="81" t="n"/>
      <c r="CF1874" s="81" t="n"/>
      <c r="CG1874" s="81" t="n"/>
      <c r="CH1874" s="81" t="n"/>
    </row>
    <row r="1875">
      <c r="A1875" s="81" t="n"/>
      <c r="B1875" s="81" t="n"/>
      <c r="C1875" s="81" t="n"/>
      <c r="D1875" s="81" t="n"/>
      <c r="E1875" s="81" t="n"/>
      <c r="F1875" s="81" t="n"/>
      <c r="G1875" s="81" t="n"/>
      <c r="H1875" s="81" t="n"/>
      <c r="I1875" s="81" t="n"/>
      <c r="J1875" s="81" t="n"/>
      <c r="K1875" s="81" t="n"/>
      <c r="L1875" s="81" t="n"/>
      <c r="M1875" s="81" t="n"/>
      <c r="N1875" s="81" t="n"/>
      <c r="O1875" s="81" t="n"/>
      <c r="P1875" s="81" t="n"/>
      <c r="Q1875" s="81" t="n"/>
      <c r="R1875" s="81" t="n"/>
      <c r="S1875" s="81" t="n"/>
      <c r="T1875" s="81" t="n"/>
      <c r="U1875" s="81" t="n"/>
      <c r="V1875" s="81" t="n"/>
      <c r="W1875" s="81" t="n"/>
      <c r="X1875" s="81" t="n"/>
      <c r="Y1875" s="81" t="n"/>
      <c r="Z1875" s="81" t="n"/>
      <c r="AA1875" s="81" t="n"/>
      <c r="AB1875" s="81" t="n"/>
      <c r="AC1875" s="81" t="n"/>
      <c r="AD1875" s="81" t="n"/>
      <c r="AE1875" s="81" t="n"/>
      <c r="AF1875" s="81" t="n"/>
      <c r="AG1875" s="81" t="n"/>
      <c r="AH1875" s="81" t="n"/>
      <c r="AI1875" s="81" t="n"/>
      <c r="AJ1875" s="81" t="n"/>
      <c r="AK1875" s="81" t="n"/>
      <c r="AL1875" s="81" t="n"/>
      <c r="AM1875" s="81" t="n"/>
      <c r="AN1875" s="81" t="n"/>
      <c r="AO1875" s="81" t="n"/>
      <c r="AP1875" s="81" t="n"/>
      <c r="AQ1875" s="81" t="n"/>
      <c r="AR1875" s="81" t="n"/>
      <c r="AS1875" s="81" t="n"/>
      <c r="AT1875" s="81" t="n"/>
      <c r="AU1875" s="81" t="n"/>
      <c r="AV1875" s="81" t="n"/>
      <c r="AW1875" s="81" t="n"/>
      <c r="AX1875" s="81" t="n"/>
      <c r="AY1875" s="81" t="n"/>
      <c r="AZ1875" s="81" t="n"/>
      <c r="BA1875" s="81" t="n"/>
      <c r="BB1875" s="81" t="n"/>
      <c r="BC1875" s="81" t="n"/>
      <c r="BD1875" s="81" t="n"/>
      <c r="BE1875" s="81" t="n"/>
      <c r="BF1875" s="81" t="n"/>
      <c r="BG1875" s="81" t="n"/>
      <c r="BH1875" s="81" t="n"/>
      <c r="BI1875" s="81" t="n"/>
      <c r="BJ1875" s="81" t="n"/>
      <c r="BK1875" s="81" t="n"/>
      <c r="BL1875" s="81" t="n"/>
      <c r="BM1875" s="81" t="n"/>
      <c r="BN1875" s="81" t="n"/>
      <c r="BO1875" s="81" t="n"/>
      <c r="BP1875" s="81" t="n"/>
      <c r="BQ1875" s="81" t="n"/>
      <c r="BR1875" s="81" t="n"/>
      <c r="BS1875" s="81" t="n"/>
      <c r="BT1875" s="81" t="n"/>
      <c r="BU1875" s="81" t="n"/>
      <c r="BV1875" s="81" t="n"/>
      <c r="BW1875" s="81" t="n"/>
      <c r="BX1875" s="81" t="n"/>
      <c r="BY1875" s="81" t="n"/>
      <c r="BZ1875" s="81" t="n"/>
      <c r="CA1875" s="81" t="n"/>
      <c r="CB1875" s="81" t="n"/>
      <c r="CC1875" s="81" t="n"/>
      <c r="CD1875" s="81" t="n"/>
      <c r="CE1875" s="81" t="n"/>
      <c r="CF1875" s="81" t="n"/>
      <c r="CG1875" s="81" t="n"/>
      <c r="CH1875" s="81" t="n"/>
    </row>
    <row r="1876">
      <c r="A1876" s="81" t="n"/>
      <c r="B1876" s="81" t="n"/>
      <c r="C1876" s="81" t="n"/>
      <c r="D1876" s="81" t="n"/>
      <c r="E1876" s="81" t="n"/>
      <c r="F1876" s="81" t="n"/>
      <c r="G1876" s="81" t="n"/>
      <c r="H1876" s="81" t="n"/>
      <c r="I1876" s="81" t="n"/>
      <c r="J1876" s="81" t="n"/>
      <c r="K1876" s="81" t="n"/>
      <c r="L1876" s="81" t="n"/>
      <c r="M1876" s="81" t="n"/>
      <c r="N1876" s="81" t="n"/>
      <c r="O1876" s="81" t="n"/>
      <c r="P1876" s="81" t="n"/>
      <c r="Q1876" s="81" t="n"/>
      <c r="R1876" s="81" t="n"/>
      <c r="S1876" s="81" t="n"/>
      <c r="T1876" s="81" t="n"/>
      <c r="U1876" s="81" t="n"/>
      <c r="V1876" s="81" t="n"/>
      <c r="W1876" s="81" t="n"/>
      <c r="X1876" s="81" t="n"/>
      <c r="Y1876" s="81" t="n"/>
      <c r="Z1876" s="81" t="n"/>
      <c r="AA1876" s="81" t="n"/>
      <c r="AB1876" s="81" t="n"/>
      <c r="AC1876" s="81" t="n"/>
      <c r="AD1876" s="81" t="n"/>
      <c r="AE1876" s="81" t="n"/>
      <c r="AF1876" s="81" t="n"/>
      <c r="AG1876" s="81" t="n"/>
      <c r="AH1876" s="81" t="n"/>
      <c r="AI1876" s="81" t="n"/>
      <c r="AJ1876" s="81" t="n"/>
      <c r="AK1876" s="81" t="n"/>
      <c r="AL1876" s="81" t="n"/>
      <c r="AM1876" s="81" t="n"/>
      <c r="AN1876" s="81" t="n"/>
      <c r="AO1876" s="81" t="n"/>
      <c r="AP1876" s="81" t="n"/>
      <c r="AQ1876" s="81" t="n"/>
      <c r="AR1876" s="81" t="n"/>
      <c r="AS1876" s="81" t="n"/>
      <c r="AT1876" s="81" t="n"/>
      <c r="AU1876" s="81" t="n"/>
      <c r="AV1876" s="81" t="n"/>
      <c r="AW1876" s="81" t="n"/>
      <c r="AX1876" s="81" t="n"/>
      <c r="AY1876" s="81" t="n"/>
      <c r="AZ1876" s="81" t="n"/>
      <c r="BA1876" s="81" t="n"/>
      <c r="BB1876" s="81" t="n"/>
      <c r="BC1876" s="81" t="n"/>
      <c r="BD1876" s="81" t="n"/>
      <c r="BE1876" s="81" t="n"/>
      <c r="BF1876" s="81" t="n"/>
      <c r="BG1876" s="81" t="n"/>
      <c r="BH1876" s="81" t="n"/>
      <c r="BI1876" s="81" t="n"/>
      <c r="BJ1876" s="81" t="n"/>
      <c r="BK1876" s="81" t="n"/>
      <c r="BL1876" s="81" t="n"/>
      <c r="BM1876" s="81" t="n"/>
      <c r="BN1876" s="81" t="n"/>
      <c r="BO1876" s="81" t="n"/>
      <c r="BP1876" s="81" t="n"/>
      <c r="BQ1876" s="81" t="n"/>
      <c r="BR1876" s="81" t="n"/>
      <c r="BS1876" s="81" t="n"/>
      <c r="BT1876" s="81" t="n"/>
      <c r="BU1876" s="81" t="n"/>
      <c r="BV1876" s="81" t="n"/>
      <c r="BW1876" s="81" t="n"/>
      <c r="BX1876" s="81" t="n"/>
      <c r="BY1876" s="81" t="n"/>
      <c r="BZ1876" s="81" t="n"/>
      <c r="CA1876" s="81" t="n"/>
      <c r="CB1876" s="81" t="n"/>
      <c r="CC1876" s="81" t="n"/>
      <c r="CD1876" s="81" t="n"/>
      <c r="CE1876" s="81" t="n"/>
      <c r="CF1876" s="81" t="n"/>
      <c r="CG1876" s="81" t="n"/>
      <c r="CH1876" s="81" t="n"/>
    </row>
    <row r="1877">
      <c r="A1877" s="81" t="n"/>
      <c r="B1877" s="81" t="n"/>
      <c r="C1877" s="81" t="n"/>
      <c r="D1877" s="81" t="n"/>
      <c r="E1877" s="81" t="n"/>
      <c r="F1877" s="81" t="n"/>
      <c r="G1877" s="81" t="n"/>
      <c r="H1877" s="81" t="n"/>
      <c r="I1877" s="81" t="n"/>
      <c r="J1877" s="81" t="n"/>
      <c r="K1877" s="81" t="n"/>
      <c r="L1877" s="81" t="n"/>
      <c r="M1877" s="81" t="n"/>
      <c r="N1877" s="81" t="n"/>
      <c r="O1877" s="81" t="n"/>
      <c r="P1877" s="81" t="n"/>
      <c r="Q1877" s="81" t="n"/>
      <c r="R1877" s="81" t="n"/>
      <c r="S1877" s="81" t="n"/>
      <c r="T1877" s="81" t="n"/>
      <c r="U1877" s="81" t="n"/>
      <c r="V1877" s="81" t="n"/>
      <c r="W1877" s="81" t="n"/>
      <c r="X1877" s="81" t="n"/>
      <c r="Y1877" s="81" t="n"/>
      <c r="Z1877" s="81" t="n"/>
      <c r="AA1877" s="81" t="n"/>
      <c r="AB1877" s="81" t="n"/>
      <c r="AC1877" s="81" t="n"/>
      <c r="AD1877" s="81" t="n"/>
      <c r="AE1877" s="81" t="n"/>
      <c r="AF1877" s="81" t="n"/>
      <c r="AG1877" s="81" t="n"/>
      <c r="AH1877" s="81" t="n"/>
      <c r="AI1877" s="81" t="n"/>
      <c r="AJ1877" s="81" t="n"/>
      <c r="AK1877" s="81" t="n"/>
      <c r="AL1877" s="81" t="n"/>
      <c r="AM1877" s="81" t="n"/>
      <c r="AN1877" s="81" t="n"/>
      <c r="AO1877" s="81" t="n"/>
      <c r="AP1877" s="81" t="n"/>
      <c r="AQ1877" s="81" t="n"/>
      <c r="AR1877" s="81" t="n"/>
      <c r="AS1877" s="81" t="n"/>
      <c r="AT1877" s="81" t="n"/>
      <c r="AU1877" s="81" t="n"/>
      <c r="AV1877" s="81" t="n"/>
      <c r="AW1877" s="81" t="n"/>
      <c r="AX1877" s="81" t="n"/>
      <c r="AY1877" s="81" t="n"/>
      <c r="AZ1877" s="81" t="n"/>
      <c r="BA1877" s="81" t="n"/>
      <c r="BB1877" s="81" t="n"/>
      <c r="BC1877" s="81" t="n"/>
      <c r="BD1877" s="81" t="n"/>
      <c r="BE1877" s="81" t="n"/>
      <c r="BF1877" s="81" t="n"/>
      <c r="BG1877" s="81" t="n"/>
      <c r="BH1877" s="81" t="n"/>
      <c r="BI1877" s="81" t="n"/>
      <c r="BJ1877" s="81" t="n"/>
      <c r="BK1877" s="81" t="n"/>
      <c r="BL1877" s="81" t="n"/>
      <c r="BM1877" s="81" t="n"/>
      <c r="BN1877" s="81" t="n"/>
      <c r="BO1877" s="81" t="n"/>
      <c r="BP1877" s="81" t="n"/>
      <c r="BQ1877" s="81" t="n"/>
      <c r="BR1877" s="81" t="n"/>
      <c r="BS1877" s="81" t="n"/>
      <c r="BT1877" s="81" t="n"/>
      <c r="BU1877" s="81" t="n"/>
      <c r="BV1877" s="81" t="n"/>
      <c r="BW1877" s="81" t="n"/>
      <c r="BX1877" s="81" t="n"/>
      <c r="BY1877" s="81" t="n"/>
      <c r="BZ1877" s="81" t="n"/>
      <c r="CA1877" s="81" t="n"/>
      <c r="CB1877" s="81" t="n"/>
      <c r="CC1877" s="81" t="n"/>
      <c r="CD1877" s="81" t="n"/>
      <c r="CE1877" s="81" t="n"/>
      <c r="CF1877" s="81" t="n"/>
      <c r="CG1877" s="81" t="n"/>
      <c r="CH1877" s="81" t="n"/>
    </row>
    <row r="1878">
      <c r="A1878" s="81" t="n"/>
      <c r="B1878" s="81" t="n"/>
      <c r="C1878" s="81" t="n"/>
      <c r="D1878" s="81" t="n"/>
      <c r="E1878" s="81" t="n"/>
      <c r="F1878" s="81" t="n"/>
      <c r="G1878" s="81" t="n"/>
      <c r="H1878" s="81" t="n"/>
      <c r="I1878" s="81" t="n"/>
      <c r="J1878" s="81" t="n"/>
      <c r="K1878" s="81" t="n"/>
      <c r="L1878" s="81" t="n"/>
      <c r="M1878" s="81" t="n"/>
      <c r="N1878" s="81" t="n"/>
      <c r="O1878" s="81" t="n"/>
      <c r="P1878" s="81" t="n"/>
      <c r="Q1878" s="81" t="n"/>
      <c r="R1878" s="81" t="n"/>
      <c r="S1878" s="81" t="n"/>
      <c r="T1878" s="81" t="n"/>
      <c r="U1878" s="81" t="n"/>
      <c r="V1878" s="81" t="n"/>
      <c r="W1878" s="81" t="n"/>
      <c r="X1878" s="81" t="n"/>
      <c r="Y1878" s="81" t="n"/>
      <c r="Z1878" s="81" t="n"/>
      <c r="AA1878" s="81" t="n"/>
      <c r="AB1878" s="81" t="n"/>
      <c r="AC1878" s="81" t="n"/>
      <c r="AD1878" s="81" t="n"/>
      <c r="AE1878" s="81" t="n"/>
      <c r="AF1878" s="81" t="n"/>
      <c r="AG1878" s="81" t="n"/>
      <c r="AH1878" s="81" t="n"/>
      <c r="AI1878" s="81" t="n"/>
      <c r="AJ1878" s="81" t="n"/>
      <c r="AK1878" s="81" t="n"/>
      <c r="AL1878" s="81" t="n"/>
      <c r="AM1878" s="81" t="n"/>
      <c r="AN1878" s="81" t="n"/>
      <c r="AO1878" s="81" t="n"/>
      <c r="AP1878" s="81" t="n"/>
      <c r="AQ1878" s="81" t="n"/>
      <c r="AR1878" s="81" t="n"/>
      <c r="AS1878" s="81" t="n"/>
      <c r="AT1878" s="81" t="n"/>
      <c r="AU1878" s="81" t="n"/>
      <c r="AV1878" s="81" t="n"/>
      <c r="AW1878" s="81" t="n"/>
      <c r="AX1878" s="81" t="n"/>
      <c r="AY1878" s="81" t="n"/>
      <c r="AZ1878" s="81" t="n"/>
      <c r="BA1878" s="81" t="n"/>
      <c r="BB1878" s="81" t="n"/>
      <c r="BC1878" s="81" t="n"/>
      <c r="BD1878" s="81" t="n"/>
      <c r="BE1878" s="81" t="n"/>
      <c r="BF1878" s="81" t="n"/>
      <c r="BG1878" s="81" t="n"/>
      <c r="BH1878" s="81" t="n"/>
      <c r="BI1878" s="81" t="n"/>
      <c r="BJ1878" s="81" t="n"/>
      <c r="BK1878" s="81" t="n"/>
      <c r="BL1878" s="81" t="n"/>
      <c r="BM1878" s="81" t="n"/>
      <c r="BN1878" s="81" t="n"/>
      <c r="BO1878" s="81" t="n"/>
      <c r="BP1878" s="81" t="n"/>
      <c r="BQ1878" s="81" t="n"/>
      <c r="BR1878" s="81" t="n"/>
      <c r="BS1878" s="81" t="n"/>
      <c r="BT1878" s="81" t="n"/>
      <c r="BU1878" s="81" t="n"/>
      <c r="BV1878" s="81" t="n"/>
      <c r="BW1878" s="81" t="n"/>
      <c r="BX1878" s="81" t="n"/>
      <c r="BY1878" s="81" t="n"/>
      <c r="BZ1878" s="81" t="n"/>
      <c r="CA1878" s="81" t="n"/>
      <c r="CB1878" s="81" t="n"/>
      <c r="CC1878" s="81" t="n"/>
      <c r="CD1878" s="81" t="n"/>
      <c r="CE1878" s="81" t="n"/>
      <c r="CF1878" s="81" t="n"/>
      <c r="CG1878" s="81" t="n"/>
      <c r="CH1878" s="81" t="n"/>
    </row>
    <row r="1879">
      <c r="A1879" s="81" t="n"/>
      <c r="B1879" s="81" t="n"/>
      <c r="C1879" s="81" t="n"/>
      <c r="D1879" s="81" t="n"/>
      <c r="E1879" s="81" t="n"/>
      <c r="F1879" s="81" t="n"/>
      <c r="G1879" s="81" t="n"/>
      <c r="H1879" s="81" t="n"/>
      <c r="I1879" s="81" t="n"/>
      <c r="J1879" s="81" t="n"/>
      <c r="K1879" s="81" t="n"/>
      <c r="L1879" s="81" t="n"/>
      <c r="M1879" s="81" t="n"/>
      <c r="N1879" s="81" t="n"/>
      <c r="O1879" s="81" t="n"/>
      <c r="P1879" s="81" t="n"/>
      <c r="Q1879" s="81" t="n"/>
      <c r="R1879" s="81" t="n"/>
      <c r="S1879" s="81" t="n"/>
      <c r="T1879" s="81" t="n"/>
      <c r="U1879" s="81" t="n"/>
      <c r="V1879" s="81" t="n"/>
      <c r="W1879" s="81" t="n"/>
      <c r="X1879" s="81" t="n"/>
      <c r="Y1879" s="81" t="n"/>
      <c r="Z1879" s="81" t="n"/>
      <c r="AA1879" s="81" t="n"/>
      <c r="AB1879" s="81" t="n"/>
      <c r="AC1879" s="81" t="n"/>
      <c r="AD1879" s="81" t="n"/>
      <c r="AE1879" s="81" t="n"/>
      <c r="AF1879" s="81" t="n"/>
      <c r="AG1879" s="81" t="n"/>
      <c r="AH1879" s="81" t="n"/>
      <c r="AI1879" s="81" t="n"/>
      <c r="AJ1879" s="81" t="n"/>
      <c r="AK1879" s="81" t="n"/>
      <c r="AL1879" s="81" t="n"/>
      <c r="AM1879" s="81" t="n"/>
      <c r="AN1879" s="81" t="n"/>
      <c r="AO1879" s="81" t="n"/>
      <c r="AP1879" s="81" t="n"/>
      <c r="AQ1879" s="81" t="n"/>
      <c r="AR1879" s="81" t="n"/>
      <c r="AS1879" s="81" t="n"/>
      <c r="AT1879" s="81" t="n"/>
      <c r="AU1879" s="81" t="n"/>
      <c r="AV1879" s="81" t="n"/>
      <c r="AW1879" s="81" t="n"/>
      <c r="AX1879" s="81" t="n"/>
      <c r="AY1879" s="81" t="n"/>
      <c r="AZ1879" s="81" t="n"/>
      <c r="BA1879" s="81" t="n"/>
      <c r="BB1879" s="81" t="n"/>
      <c r="BC1879" s="81" t="n"/>
      <c r="BD1879" s="81" t="n"/>
      <c r="BE1879" s="81" t="n"/>
      <c r="BF1879" s="81" t="n"/>
      <c r="BG1879" s="81" t="n"/>
      <c r="BH1879" s="81" t="n"/>
      <c r="BI1879" s="81" t="n"/>
      <c r="BJ1879" s="81" t="n"/>
      <c r="BK1879" s="81" t="n"/>
      <c r="BL1879" s="81" t="n"/>
      <c r="BM1879" s="81" t="n"/>
      <c r="BN1879" s="81" t="n"/>
      <c r="BO1879" s="81" t="n"/>
      <c r="BP1879" s="81" t="n"/>
      <c r="BQ1879" s="81" t="n"/>
      <c r="BR1879" s="81" t="n"/>
      <c r="BS1879" s="81" t="n"/>
      <c r="BT1879" s="81" t="n"/>
      <c r="BU1879" s="81" t="n"/>
      <c r="BV1879" s="81" t="n"/>
      <c r="BW1879" s="81" t="n"/>
      <c r="BX1879" s="81" t="n"/>
      <c r="BY1879" s="81" t="n"/>
      <c r="BZ1879" s="81" t="n"/>
      <c r="CA1879" s="81" t="n"/>
      <c r="CB1879" s="81" t="n"/>
      <c r="CC1879" s="81" t="n"/>
      <c r="CD1879" s="81" t="n"/>
      <c r="CE1879" s="81" t="n"/>
      <c r="CF1879" s="81" t="n"/>
      <c r="CG1879" s="81" t="n"/>
      <c r="CH1879" s="81" t="n"/>
    </row>
    <row r="1880">
      <c r="A1880" s="81" t="n"/>
      <c r="B1880" s="81" t="n"/>
      <c r="C1880" s="81" t="n"/>
      <c r="D1880" s="81" t="n"/>
      <c r="E1880" s="81" t="n"/>
      <c r="F1880" s="81" t="n"/>
      <c r="G1880" s="81" t="n"/>
      <c r="H1880" s="81" t="n"/>
      <c r="I1880" s="81" t="n"/>
      <c r="J1880" s="81" t="n"/>
      <c r="K1880" s="81" t="n"/>
      <c r="L1880" s="81" t="n"/>
      <c r="M1880" s="81" t="n"/>
      <c r="N1880" s="81" t="n"/>
      <c r="O1880" s="81" t="n"/>
      <c r="P1880" s="81" t="n"/>
      <c r="Q1880" s="81" t="n"/>
      <c r="R1880" s="81" t="n"/>
      <c r="S1880" s="81" t="n"/>
      <c r="T1880" s="81" t="n"/>
      <c r="U1880" s="81" t="n"/>
      <c r="V1880" s="81" t="n"/>
      <c r="W1880" s="81" t="n"/>
      <c r="X1880" s="81" t="n"/>
      <c r="Y1880" s="81" t="n"/>
      <c r="Z1880" s="81" t="n"/>
      <c r="AA1880" s="81" t="n"/>
      <c r="AB1880" s="81" t="n"/>
      <c r="AC1880" s="81" t="n"/>
      <c r="AD1880" s="81" t="n"/>
      <c r="AE1880" s="81" t="n"/>
      <c r="AF1880" s="81" t="n"/>
      <c r="AG1880" s="81" t="n"/>
      <c r="AH1880" s="81" t="n"/>
      <c r="AI1880" s="81" t="n"/>
      <c r="AJ1880" s="81" t="n"/>
      <c r="AK1880" s="81" t="n"/>
      <c r="AL1880" s="81" t="n"/>
      <c r="AM1880" s="81" t="n"/>
      <c r="AN1880" s="81" t="n"/>
      <c r="AO1880" s="81" t="n"/>
      <c r="AP1880" s="81" t="n"/>
      <c r="AQ1880" s="81" t="n"/>
      <c r="AR1880" s="81" t="n"/>
      <c r="AS1880" s="81" t="n"/>
      <c r="AT1880" s="81" t="n"/>
      <c r="AU1880" s="81" t="n"/>
      <c r="AV1880" s="81" t="n"/>
      <c r="AW1880" s="81" t="n"/>
      <c r="AX1880" s="81" t="n"/>
      <c r="AY1880" s="81" t="n"/>
      <c r="AZ1880" s="81" t="n"/>
      <c r="BA1880" s="81" t="n"/>
      <c r="BB1880" s="81" t="n"/>
      <c r="BC1880" s="81" t="n"/>
      <c r="BD1880" s="81" t="n"/>
      <c r="BE1880" s="81" t="n"/>
      <c r="BF1880" s="81" t="n"/>
      <c r="BG1880" s="81" t="n"/>
      <c r="BH1880" s="81" t="n"/>
      <c r="BI1880" s="81" t="n"/>
      <c r="BJ1880" s="81" t="n"/>
      <c r="BK1880" s="81" t="n"/>
      <c r="BL1880" s="81" t="n"/>
      <c r="BM1880" s="81" t="n"/>
      <c r="BN1880" s="81" t="n"/>
      <c r="BO1880" s="81" t="n"/>
      <c r="BP1880" s="81" t="n"/>
      <c r="BQ1880" s="81" t="n"/>
      <c r="BR1880" s="81" t="n"/>
      <c r="BS1880" s="81" t="n"/>
      <c r="BT1880" s="81" t="n"/>
      <c r="BU1880" s="81" t="n"/>
      <c r="BV1880" s="81" t="n"/>
      <c r="BW1880" s="81" t="n"/>
      <c r="BX1880" s="81" t="n"/>
      <c r="BY1880" s="81" t="n"/>
      <c r="BZ1880" s="81" t="n"/>
      <c r="CA1880" s="81" t="n"/>
      <c r="CB1880" s="81" t="n"/>
      <c r="CC1880" s="81" t="n"/>
      <c r="CD1880" s="81" t="n"/>
      <c r="CE1880" s="81" t="n"/>
      <c r="CF1880" s="81" t="n"/>
      <c r="CG1880" s="81" t="n"/>
      <c r="CH1880" s="81" t="n"/>
    </row>
    <row r="1881">
      <c r="A1881" s="81" t="n"/>
      <c r="B1881" s="81" t="n"/>
      <c r="C1881" s="81" t="n"/>
      <c r="D1881" s="81" t="n"/>
      <c r="E1881" s="81" t="n"/>
      <c r="F1881" s="81" t="n"/>
      <c r="G1881" s="81" t="n"/>
      <c r="H1881" s="81" t="n"/>
      <c r="I1881" s="81" t="n"/>
      <c r="J1881" s="81" t="n"/>
      <c r="K1881" s="81" t="n"/>
      <c r="L1881" s="81" t="n"/>
      <c r="M1881" s="81" t="n"/>
      <c r="N1881" s="81" t="n"/>
      <c r="O1881" s="81" t="n"/>
      <c r="P1881" s="81" t="n"/>
      <c r="Q1881" s="81" t="n"/>
      <c r="R1881" s="81" t="n"/>
      <c r="S1881" s="81" t="n"/>
      <c r="T1881" s="81" t="n"/>
      <c r="U1881" s="81" t="n"/>
      <c r="V1881" s="81" t="n"/>
      <c r="W1881" s="81" t="n"/>
      <c r="X1881" s="81" t="n"/>
      <c r="Y1881" s="81" t="n"/>
      <c r="Z1881" s="81" t="n"/>
      <c r="AA1881" s="81" t="n"/>
      <c r="AB1881" s="81" t="n"/>
      <c r="AC1881" s="81" t="n"/>
      <c r="AD1881" s="81" t="n"/>
      <c r="AE1881" s="81" t="n"/>
      <c r="AF1881" s="81" t="n"/>
      <c r="AG1881" s="81" t="n"/>
      <c r="AH1881" s="81" t="n"/>
      <c r="AI1881" s="81" t="n"/>
      <c r="AJ1881" s="81" t="n"/>
      <c r="AK1881" s="81" t="n"/>
      <c r="AL1881" s="81" t="n"/>
      <c r="AM1881" s="81" t="n"/>
      <c r="AN1881" s="81" t="n"/>
      <c r="AO1881" s="81" t="n"/>
      <c r="AP1881" s="81" t="n"/>
      <c r="AQ1881" s="81" t="n"/>
      <c r="AR1881" s="81" t="n"/>
      <c r="AS1881" s="81" t="n"/>
      <c r="AT1881" s="81" t="n"/>
      <c r="AU1881" s="81" t="n"/>
      <c r="AV1881" s="81" t="n"/>
      <c r="AW1881" s="81" t="n"/>
      <c r="AX1881" s="81" t="n"/>
      <c r="AY1881" s="81" t="n"/>
      <c r="AZ1881" s="81" t="n"/>
      <c r="BA1881" s="81" t="n"/>
      <c r="BB1881" s="81" t="n"/>
      <c r="BC1881" s="81" t="n"/>
      <c r="BD1881" s="81" t="n"/>
      <c r="BE1881" s="81" t="n"/>
      <c r="BF1881" s="81" t="n"/>
      <c r="BG1881" s="81" t="n"/>
      <c r="BH1881" s="81" t="n"/>
      <c r="BI1881" s="81" t="n"/>
      <c r="BJ1881" s="81" t="n"/>
      <c r="BK1881" s="81" t="n"/>
      <c r="BL1881" s="81" t="n"/>
      <c r="BM1881" s="81" t="n"/>
      <c r="BN1881" s="81" t="n"/>
      <c r="BO1881" s="81" t="n"/>
      <c r="BP1881" s="81" t="n"/>
      <c r="BQ1881" s="81" t="n"/>
      <c r="BR1881" s="81" t="n"/>
      <c r="BS1881" s="81" t="n"/>
      <c r="BT1881" s="81" t="n"/>
      <c r="BU1881" s="81" t="n"/>
      <c r="BV1881" s="81" t="n"/>
      <c r="BW1881" s="81" t="n"/>
      <c r="BX1881" s="81" t="n"/>
      <c r="BY1881" s="81" t="n"/>
      <c r="BZ1881" s="81" t="n"/>
      <c r="CA1881" s="81" t="n"/>
      <c r="CB1881" s="81" t="n"/>
      <c r="CC1881" s="81" t="n"/>
      <c r="CD1881" s="81" t="n"/>
      <c r="CE1881" s="81" t="n"/>
      <c r="CF1881" s="81" t="n"/>
      <c r="CG1881" s="81" t="n"/>
      <c r="CH1881" s="81" t="n"/>
    </row>
    <row r="1882">
      <c r="A1882" s="81" t="n"/>
      <c r="B1882" s="81" t="n"/>
      <c r="C1882" s="81" t="n"/>
      <c r="D1882" s="81" t="n"/>
      <c r="E1882" s="81" t="n"/>
      <c r="F1882" s="81" t="n"/>
      <c r="G1882" s="81" t="n"/>
      <c r="H1882" s="81" t="n"/>
      <c r="I1882" s="81" t="n"/>
      <c r="J1882" s="81" t="n"/>
      <c r="K1882" s="81" t="n"/>
      <c r="L1882" s="81" t="n"/>
      <c r="M1882" s="81" t="n"/>
      <c r="N1882" s="81" t="n"/>
      <c r="O1882" s="81" t="n"/>
      <c r="P1882" s="81" t="n"/>
      <c r="Q1882" s="81" t="n"/>
      <c r="R1882" s="81" t="n"/>
      <c r="S1882" s="81" t="n"/>
      <c r="T1882" s="81" t="n"/>
      <c r="U1882" s="81" t="n"/>
      <c r="V1882" s="81" t="n"/>
      <c r="W1882" s="81" t="n"/>
      <c r="X1882" s="81" t="n"/>
      <c r="Y1882" s="81" t="n"/>
      <c r="Z1882" s="81" t="n"/>
      <c r="AA1882" s="81" t="n"/>
      <c r="AB1882" s="81" t="n"/>
      <c r="AC1882" s="81" t="n"/>
      <c r="AD1882" s="81" t="n"/>
      <c r="AE1882" s="81" t="n"/>
      <c r="AF1882" s="81" t="n"/>
      <c r="AG1882" s="81" t="n"/>
      <c r="AH1882" s="81" t="n"/>
      <c r="AI1882" s="81" t="n"/>
      <c r="AJ1882" s="81" t="n"/>
      <c r="AK1882" s="81" t="n"/>
      <c r="AL1882" s="81" t="n"/>
      <c r="AM1882" s="81" t="n"/>
      <c r="AN1882" s="81" t="n"/>
      <c r="AO1882" s="81" t="n"/>
      <c r="AP1882" s="81" t="n"/>
      <c r="AQ1882" s="81" t="n"/>
      <c r="AR1882" s="81" t="n"/>
      <c r="AS1882" s="81" t="n"/>
      <c r="AT1882" s="81" t="n"/>
      <c r="AU1882" s="81" t="n"/>
      <c r="AV1882" s="81" t="n"/>
      <c r="AW1882" s="81" t="n"/>
      <c r="AX1882" s="81" t="n"/>
      <c r="AY1882" s="81" t="n"/>
      <c r="AZ1882" s="81" t="n"/>
      <c r="BA1882" s="81" t="n"/>
      <c r="BB1882" s="81" t="n"/>
      <c r="BC1882" s="81" t="n"/>
      <c r="BD1882" s="81" t="n"/>
      <c r="BE1882" s="81" t="n"/>
      <c r="BF1882" s="81" t="n"/>
      <c r="BG1882" s="81" t="n"/>
      <c r="BH1882" s="81" t="n"/>
      <c r="BI1882" s="81" t="n"/>
      <c r="BJ1882" s="81" t="n"/>
      <c r="BK1882" s="81" t="n"/>
      <c r="BL1882" s="81" t="n"/>
      <c r="BM1882" s="81" t="n"/>
      <c r="BN1882" s="81" t="n"/>
      <c r="BO1882" s="81" t="n"/>
      <c r="BP1882" s="81" t="n"/>
      <c r="BQ1882" s="81" t="n"/>
      <c r="BR1882" s="81" t="n"/>
      <c r="BS1882" s="81" t="n"/>
      <c r="BT1882" s="81" t="n"/>
      <c r="BU1882" s="81" t="n"/>
      <c r="BV1882" s="81" t="n"/>
      <c r="BW1882" s="81" t="n"/>
      <c r="BX1882" s="81" t="n"/>
      <c r="BY1882" s="81" t="n"/>
      <c r="BZ1882" s="81" t="n"/>
      <c r="CA1882" s="81" t="n"/>
      <c r="CB1882" s="81" t="n"/>
      <c r="CC1882" s="81" t="n"/>
      <c r="CD1882" s="81" t="n"/>
      <c r="CE1882" s="81" t="n"/>
      <c r="CF1882" s="81" t="n"/>
      <c r="CG1882" s="81" t="n"/>
      <c r="CH1882" s="81" t="n"/>
    </row>
    <row r="1883">
      <c r="A1883" s="81" t="n"/>
      <c r="B1883" s="81" t="n"/>
      <c r="C1883" s="81" t="n"/>
      <c r="D1883" s="81" t="n"/>
      <c r="E1883" s="81" t="n"/>
      <c r="F1883" s="81" t="n"/>
      <c r="G1883" s="81" t="n"/>
      <c r="H1883" s="81" t="n"/>
      <c r="I1883" s="81" t="n"/>
      <c r="J1883" s="81" t="n"/>
      <c r="K1883" s="81" t="n"/>
      <c r="L1883" s="81" t="n"/>
      <c r="M1883" s="81" t="n"/>
      <c r="N1883" s="81" t="n"/>
      <c r="O1883" s="81" t="n"/>
      <c r="P1883" s="81" t="n"/>
      <c r="Q1883" s="81" t="n"/>
      <c r="R1883" s="81" t="n"/>
      <c r="S1883" s="81" t="n"/>
      <c r="T1883" s="81" t="n"/>
      <c r="U1883" s="81" t="n"/>
      <c r="V1883" s="81" t="n"/>
      <c r="W1883" s="81" t="n"/>
      <c r="X1883" s="81" t="n"/>
      <c r="Y1883" s="81" t="n"/>
      <c r="Z1883" s="81" t="n"/>
      <c r="AA1883" s="81" t="n"/>
      <c r="AB1883" s="81" t="n"/>
      <c r="AC1883" s="81" t="n"/>
      <c r="AD1883" s="81" t="n"/>
      <c r="AE1883" s="81" t="n"/>
      <c r="AF1883" s="81" t="n"/>
      <c r="AG1883" s="81" t="n"/>
      <c r="AH1883" s="81" t="n"/>
      <c r="AI1883" s="81" t="n"/>
      <c r="AJ1883" s="81" t="n"/>
      <c r="AK1883" s="81" t="n"/>
      <c r="AL1883" s="81" t="n"/>
      <c r="AM1883" s="81" t="n"/>
      <c r="AN1883" s="81" t="n"/>
      <c r="AO1883" s="81" t="n"/>
      <c r="AP1883" s="81" t="n"/>
      <c r="AQ1883" s="81" t="n"/>
      <c r="AR1883" s="81" t="n"/>
      <c r="AS1883" s="81" t="n"/>
      <c r="AT1883" s="81" t="n"/>
      <c r="AU1883" s="81" t="n"/>
      <c r="AV1883" s="81" t="n"/>
      <c r="AW1883" s="81" t="n"/>
      <c r="AX1883" s="81" t="n"/>
      <c r="AY1883" s="81" t="n"/>
      <c r="AZ1883" s="81" t="n"/>
      <c r="BA1883" s="81" t="n"/>
      <c r="BB1883" s="81" t="n"/>
      <c r="BC1883" s="81" t="n"/>
      <c r="BD1883" s="81" t="n"/>
      <c r="BE1883" s="81" t="n"/>
      <c r="BF1883" s="81" t="n"/>
      <c r="BG1883" s="81" t="n"/>
      <c r="BH1883" s="81" t="n"/>
      <c r="BI1883" s="81" t="n"/>
      <c r="BJ1883" s="81" t="n"/>
      <c r="BK1883" s="81" t="n"/>
      <c r="BL1883" s="81" t="n"/>
      <c r="BM1883" s="81" t="n"/>
      <c r="BN1883" s="81" t="n"/>
      <c r="BO1883" s="81" t="n"/>
      <c r="BP1883" s="81" t="n"/>
      <c r="BQ1883" s="81" t="n"/>
      <c r="BR1883" s="81" t="n"/>
      <c r="BS1883" s="81" t="n"/>
      <c r="BT1883" s="81" t="n"/>
      <c r="BU1883" s="81" t="n"/>
      <c r="BV1883" s="81" t="n"/>
      <c r="BW1883" s="81" t="n"/>
      <c r="BX1883" s="81" t="n"/>
      <c r="BY1883" s="81" t="n"/>
      <c r="BZ1883" s="81" t="n"/>
      <c r="CA1883" s="81" t="n"/>
      <c r="CB1883" s="81" t="n"/>
      <c r="CC1883" s="81" t="n"/>
      <c r="CD1883" s="81" t="n"/>
      <c r="CE1883" s="81" t="n"/>
      <c r="CF1883" s="81" t="n"/>
      <c r="CG1883" s="81" t="n"/>
      <c r="CH1883" s="81" t="n"/>
    </row>
    <row r="1884">
      <c r="A1884" s="81" t="n"/>
      <c r="B1884" s="81" t="n"/>
      <c r="C1884" s="81" t="n"/>
      <c r="D1884" s="81" t="n"/>
      <c r="E1884" s="81" t="n"/>
      <c r="F1884" s="81" t="n"/>
      <c r="G1884" s="81" t="n"/>
      <c r="H1884" s="81" t="n"/>
      <c r="I1884" s="81" t="n"/>
      <c r="J1884" s="81" t="n"/>
      <c r="K1884" s="81" t="n"/>
      <c r="L1884" s="81" t="n"/>
      <c r="M1884" s="81" t="n"/>
      <c r="N1884" s="81" t="n"/>
      <c r="O1884" s="81" t="n"/>
      <c r="P1884" s="81" t="n"/>
      <c r="Q1884" s="81" t="n"/>
      <c r="R1884" s="81" t="n"/>
      <c r="S1884" s="81" t="n"/>
      <c r="T1884" s="81" t="n"/>
      <c r="U1884" s="81" t="n"/>
      <c r="V1884" s="81" t="n"/>
      <c r="W1884" s="81" t="n"/>
      <c r="X1884" s="81" t="n"/>
      <c r="Y1884" s="81" t="n"/>
      <c r="Z1884" s="81" t="n"/>
      <c r="AA1884" s="81" t="n"/>
      <c r="AB1884" s="81" t="n"/>
      <c r="AC1884" s="81" t="n"/>
      <c r="AD1884" s="81" t="n"/>
      <c r="AE1884" s="81" t="n"/>
      <c r="AF1884" s="81" t="n"/>
      <c r="AG1884" s="81" t="n"/>
      <c r="AH1884" s="81" t="n"/>
      <c r="AI1884" s="81" t="n"/>
      <c r="AJ1884" s="81" t="n"/>
      <c r="AK1884" s="81" t="n"/>
      <c r="AL1884" s="81" t="n"/>
      <c r="AM1884" s="81" t="n"/>
      <c r="AN1884" s="81" t="n"/>
      <c r="AO1884" s="81" t="n"/>
      <c r="AP1884" s="81" t="n"/>
      <c r="AQ1884" s="81" t="n"/>
      <c r="AR1884" s="81" t="n"/>
      <c r="AS1884" s="81" t="n"/>
      <c r="AT1884" s="81" t="n"/>
      <c r="AU1884" s="81" t="n"/>
      <c r="AV1884" s="81" t="n"/>
      <c r="AW1884" s="81" t="n"/>
      <c r="AX1884" s="81" t="n"/>
      <c r="AY1884" s="81" t="n"/>
      <c r="AZ1884" s="81" t="n"/>
      <c r="BA1884" s="81" t="n"/>
      <c r="BB1884" s="81" t="n"/>
      <c r="BC1884" s="81" t="n"/>
      <c r="BD1884" s="81" t="n"/>
      <c r="BE1884" s="81" t="n"/>
      <c r="BF1884" s="81" t="n"/>
      <c r="BG1884" s="81" t="n"/>
      <c r="BH1884" s="81" t="n"/>
      <c r="BI1884" s="81" t="n"/>
      <c r="BJ1884" s="81" t="n"/>
      <c r="BK1884" s="81" t="n"/>
      <c r="BL1884" s="81" t="n"/>
      <c r="BM1884" s="81" t="n"/>
      <c r="BN1884" s="81" t="n"/>
      <c r="BO1884" s="81" t="n"/>
      <c r="BP1884" s="81" t="n"/>
      <c r="BQ1884" s="81" t="n"/>
      <c r="BR1884" s="81" t="n"/>
      <c r="BS1884" s="81" t="n"/>
      <c r="BT1884" s="81" t="n"/>
      <c r="BU1884" s="81" t="n"/>
      <c r="BV1884" s="81" t="n"/>
      <c r="BW1884" s="81" t="n"/>
      <c r="BX1884" s="81" t="n"/>
      <c r="BY1884" s="81" t="n"/>
      <c r="BZ1884" s="81" t="n"/>
      <c r="CA1884" s="81" t="n"/>
      <c r="CB1884" s="81" t="n"/>
      <c r="CC1884" s="81" t="n"/>
      <c r="CD1884" s="81" t="n"/>
      <c r="CE1884" s="81" t="n"/>
      <c r="CF1884" s="81" t="n"/>
      <c r="CG1884" s="81" t="n"/>
      <c r="CH1884" s="81" t="n"/>
    </row>
    <row r="1885">
      <c r="A1885" s="81" t="n"/>
      <c r="B1885" s="81" t="n"/>
      <c r="C1885" s="81" t="n"/>
      <c r="D1885" s="81" t="n"/>
      <c r="E1885" s="81" t="n"/>
      <c r="F1885" s="81" t="n"/>
      <c r="G1885" s="81" t="n"/>
      <c r="H1885" s="81" t="n"/>
      <c r="I1885" s="81" t="n"/>
      <c r="J1885" s="81" t="n"/>
      <c r="K1885" s="81" t="n"/>
      <c r="L1885" s="81" t="n"/>
      <c r="M1885" s="81" t="n"/>
      <c r="N1885" s="81" t="n"/>
      <c r="O1885" s="81" t="n"/>
      <c r="P1885" s="81" t="n"/>
      <c r="Q1885" s="81" t="n"/>
      <c r="R1885" s="81" t="n"/>
      <c r="S1885" s="81" t="n"/>
      <c r="T1885" s="81" t="n"/>
      <c r="U1885" s="81" t="n"/>
      <c r="V1885" s="81" t="n"/>
      <c r="W1885" s="81" t="n"/>
      <c r="X1885" s="81" t="n"/>
      <c r="Y1885" s="81" t="n"/>
      <c r="Z1885" s="81" t="n"/>
      <c r="AA1885" s="81" t="n"/>
      <c r="AB1885" s="81" t="n"/>
      <c r="AC1885" s="81" t="n"/>
      <c r="AD1885" s="81" t="n"/>
      <c r="AE1885" s="81" t="n"/>
      <c r="AF1885" s="81" t="n"/>
      <c r="AG1885" s="81" t="n"/>
      <c r="AH1885" s="81" t="n"/>
      <c r="AI1885" s="81" t="n"/>
      <c r="AJ1885" s="81" t="n"/>
      <c r="AK1885" s="81" t="n"/>
      <c r="AL1885" s="81" t="n"/>
      <c r="AM1885" s="81" t="n"/>
      <c r="AN1885" s="81" t="n"/>
      <c r="AO1885" s="81" t="n"/>
      <c r="AP1885" s="81" t="n"/>
      <c r="AQ1885" s="81" t="n"/>
      <c r="AR1885" s="81" t="n"/>
      <c r="AS1885" s="81" t="n"/>
      <c r="AT1885" s="81" t="n"/>
      <c r="AU1885" s="81" t="n"/>
      <c r="AV1885" s="81" t="n"/>
      <c r="AW1885" s="81" t="n"/>
      <c r="AX1885" s="81" t="n"/>
      <c r="AY1885" s="81" t="n"/>
      <c r="AZ1885" s="81" t="n"/>
      <c r="BA1885" s="81" t="n"/>
      <c r="BB1885" s="81" t="n"/>
      <c r="BC1885" s="81" t="n"/>
      <c r="BD1885" s="81" t="n"/>
      <c r="BE1885" s="81" t="n"/>
      <c r="BF1885" s="81" t="n"/>
      <c r="BG1885" s="81" t="n"/>
      <c r="BH1885" s="81" t="n"/>
      <c r="BI1885" s="81" t="n"/>
      <c r="BJ1885" s="81" t="n"/>
      <c r="BK1885" s="81" t="n"/>
      <c r="BL1885" s="81" t="n"/>
      <c r="BM1885" s="81" t="n"/>
      <c r="BN1885" s="81" t="n"/>
      <c r="BO1885" s="81" t="n"/>
      <c r="BP1885" s="81" t="n"/>
      <c r="BQ1885" s="81" t="n"/>
      <c r="BR1885" s="81" t="n"/>
      <c r="BS1885" s="81" t="n"/>
      <c r="BT1885" s="81" t="n"/>
      <c r="BU1885" s="81" t="n"/>
      <c r="BV1885" s="81" t="n"/>
      <c r="BW1885" s="81" t="n"/>
      <c r="BX1885" s="81" t="n"/>
      <c r="BY1885" s="81" t="n"/>
      <c r="BZ1885" s="81" t="n"/>
      <c r="CA1885" s="81" t="n"/>
      <c r="CB1885" s="81" t="n"/>
      <c r="CC1885" s="81" t="n"/>
      <c r="CD1885" s="81" t="n"/>
      <c r="CE1885" s="81" t="n"/>
      <c r="CF1885" s="81" t="n"/>
      <c r="CG1885" s="81" t="n"/>
      <c r="CH1885" s="81" t="n"/>
    </row>
    <row r="1886">
      <c r="A1886" s="81" t="n"/>
      <c r="B1886" s="81" t="n"/>
      <c r="C1886" s="81" t="n"/>
      <c r="D1886" s="81" t="n"/>
      <c r="E1886" s="81" t="n"/>
      <c r="F1886" s="81" t="n"/>
      <c r="G1886" s="81" t="n"/>
      <c r="H1886" s="81" t="n"/>
      <c r="I1886" s="81" t="n"/>
      <c r="J1886" s="81" t="n"/>
      <c r="K1886" s="81" t="n"/>
      <c r="L1886" s="81" t="n"/>
      <c r="M1886" s="81" t="n"/>
      <c r="N1886" s="81" t="n"/>
      <c r="O1886" s="81" t="n"/>
      <c r="P1886" s="81" t="n"/>
      <c r="Q1886" s="81" t="n"/>
      <c r="R1886" s="81" t="n"/>
      <c r="S1886" s="81" t="n"/>
      <c r="T1886" s="81" t="n"/>
      <c r="U1886" s="81" t="n"/>
      <c r="V1886" s="81" t="n"/>
      <c r="W1886" s="81" t="n"/>
      <c r="X1886" s="81" t="n"/>
      <c r="Y1886" s="81" t="n"/>
      <c r="Z1886" s="81" t="n"/>
      <c r="AA1886" s="81" t="n"/>
      <c r="AB1886" s="81" t="n"/>
      <c r="AC1886" s="81" t="n"/>
      <c r="AD1886" s="81" t="n"/>
      <c r="AE1886" s="81" t="n"/>
      <c r="AF1886" s="81" t="n"/>
      <c r="AG1886" s="81" t="n"/>
      <c r="AH1886" s="81" t="n"/>
      <c r="AI1886" s="81" t="n"/>
      <c r="AJ1886" s="81" t="n"/>
      <c r="AK1886" s="81" t="n"/>
      <c r="AL1886" s="81" t="n"/>
      <c r="AM1886" s="81" t="n"/>
      <c r="AN1886" s="81" t="n"/>
      <c r="AO1886" s="81" t="n"/>
      <c r="AP1886" s="81" t="n"/>
      <c r="AQ1886" s="81" t="n"/>
      <c r="AR1886" s="81" t="n"/>
      <c r="AS1886" s="81" t="n"/>
      <c r="AT1886" s="81" t="n"/>
      <c r="AU1886" s="81" t="n"/>
      <c r="AV1886" s="81" t="n"/>
      <c r="AW1886" s="81" t="n"/>
      <c r="AX1886" s="81" t="n"/>
      <c r="AY1886" s="81" t="n"/>
      <c r="AZ1886" s="81" t="n"/>
      <c r="BA1886" s="81" t="n"/>
      <c r="BB1886" s="81" t="n"/>
      <c r="BC1886" s="81" t="n"/>
      <c r="BD1886" s="81" t="n"/>
      <c r="BE1886" s="81" t="n"/>
      <c r="BF1886" s="81" t="n"/>
      <c r="BG1886" s="81" t="n"/>
      <c r="BH1886" s="81" t="n"/>
      <c r="BI1886" s="81" t="n"/>
      <c r="BJ1886" s="81" t="n"/>
      <c r="BK1886" s="81" t="n"/>
      <c r="BL1886" s="81" t="n"/>
      <c r="BM1886" s="81" t="n"/>
      <c r="BN1886" s="81" t="n"/>
      <c r="BO1886" s="81" t="n"/>
      <c r="BP1886" s="81" t="n"/>
      <c r="BQ1886" s="81" t="n"/>
      <c r="BR1886" s="81" t="n"/>
      <c r="BS1886" s="81" t="n"/>
      <c r="BT1886" s="81" t="n"/>
      <c r="BU1886" s="81" t="n"/>
      <c r="BV1886" s="81" t="n"/>
      <c r="BW1886" s="81" t="n"/>
      <c r="BX1886" s="81" t="n"/>
      <c r="BY1886" s="81" t="n"/>
      <c r="BZ1886" s="81" t="n"/>
      <c r="CA1886" s="81" t="n"/>
      <c r="CB1886" s="81" t="n"/>
      <c r="CC1886" s="81" t="n"/>
      <c r="CD1886" s="81" t="n"/>
      <c r="CE1886" s="81" t="n"/>
      <c r="CF1886" s="81" t="n"/>
      <c r="CG1886" s="81" t="n"/>
      <c r="CH1886" s="81" t="n"/>
    </row>
    <row r="1887">
      <c r="A1887" s="81" t="n"/>
      <c r="B1887" s="81" t="n"/>
      <c r="C1887" s="81" t="n"/>
      <c r="D1887" s="81" t="n"/>
      <c r="E1887" s="81" t="n"/>
      <c r="F1887" s="81" t="n"/>
      <c r="G1887" s="81" t="n"/>
      <c r="H1887" s="81" t="n"/>
      <c r="I1887" s="81" t="n"/>
      <c r="J1887" s="81" t="n"/>
      <c r="K1887" s="81" t="n"/>
      <c r="L1887" s="81" t="n"/>
      <c r="M1887" s="81" t="n"/>
      <c r="N1887" s="81" t="n"/>
      <c r="O1887" s="81" t="n"/>
      <c r="P1887" s="81" t="n"/>
      <c r="Q1887" s="81" t="n"/>
      <c r="R1887" s="81" t="n"/>
      <c r="S1887" s="81" t="n"/>
      <c r="T1887" s="81" t="n"/>
      <c r="U1887" s="81" t="n"/>
      <c r="V1887" s="81" t="n"/>
      <c r="W1887" s="81" t="n"/>
      <c r="X1887" s="81" t="n"/>
      <c r="Y1887" s="81" t="n"/>
      <c r="Z1887" s="81" t="n"/>
      <c r="AA1887" s="81" t="n"/>
      <c r="AB1887" s="81" t="n"/>
      <c r="AC1887" s="81" t="n"/>
      <c r="AD1887" s="81" t="n"/>
      <c r="AE1887" s="81" t="n"/>
      <c r="AF1887" s="81" t="n"/>
      <c r="AG1887" s="81" t="n"/>
      <c r="AH1887" s="81" t="n"/>
      <c r="AI1887" s="81" t="n"/>
      <c r="AJ1887" s="81" t="n"/>
      <c r="AK1887" s="81" t="n"/>
      <c r="AL1887" s="81" t="n"/>
      <c r="AM1887" s="81" t="n"/>
      <c r="AN1887" s="81" t="n"/>
      <c r="AO1887" s="81" t="n"/>
      <c r="AP1887" s="81" t="n"/>
      <c r="AQ1887" s="81" t="n"/>
      <c r="AR1887" s="81" t="n"/>
      <c r="AS1887" s="81" t="n"/>
      <c r="AT1887" s="81" t="n"/>
      <c r="AU1887" s="81" t="n"/>
      <c r="AV1887" s="81" t="n"/>
      <c r="AW1887" s="81" t="n"/>
      <c r="AX1887" s="81" t="n"/>
      <c r="AY1887" s="81" t="n"/>
      <c r="AZ1887" s="81" t="n"/>
      <c r="BA1887" s="81" t="n"/>
      <c r="BB1887" s="81" t="n"/>
      <c r="BC1887" s="81" t="n"/>
      <c r="BD1887" s="81" t="n"/>
      <c r="BE1887" s="81" t="n"/>
      <c r="BF1887" s="81" t="n"/>
      <c r="BG1887" s="81" t="n"/>
      <c r="BH1887" s="81" t="n"/>
      <c r="BI1887" s="81" t="n"/>
      <c r="BJ1887" s="81" t="n"/>
      <c r="BK1887" s="81" t="n"/>
      <c r="BL1887" s="81" t="n"/>
      <c r="BM1887" s="81" t="n"/>
      <c r="BN1887" s="81" t="n"/>
      <c r="BO1887" s="81" t="n"/>
      <c r="BP1887" s="81" t="n"/>
      <c r="BQ1887" s="81" t="n"/>
      <c r="BR1887" s="81" t="n"/>
      <c r="BS1887" s="81" t="n"/>
      <c r="BT1887" s="81" t="n"/>
      <c r="BU1887" s="81" t="n"/>
      <c r="BV1887" s="81" t="n"/>
      <c r="BW1887" s="81" t="n"/>
      <c r="BX1887" s="81" t="n"/>
      <c r="BY1887" s="81" t="n"/>
      <c r="BZ1887" s="81" t="n"/>
      <c r="CA1887" s="81" t="n"/>
      <c r="CB1887" s="81" t="n"/>
      <c r="CC1887" s="81" t="n"/>
      <c r="CD1887" s="81" t="n"/>
      <c r="CE1887" s="81" t="n"/>
      <c r="CF1887" s="81" t="n"/>
      <c r="CG1887" s="81" t="n"/>
      <c r="CH1887" s="81" t="n"/>
    </row>
    <row r="1888">
      <c r="A1888" s="81" t="n"/>
      <c r="B1888" s="81" t="n"/>
      <c r="C1888" s="81" t="n"/>
      <c r="D1888" s="81" t="n"/>
      <c r="E1888" s="81" t="n"/>
      <c r="F1888" s="81" t="n"/>
      <c r="G1888" s="81" t="n"/>
      <c r="H1888" s="81" t="n"/>
      <c r="I1888" s="81" t="n"/>
      <c r="J1888" s="81" t="n"/>
      <c r="K1888" s="81" t="n"/>
      <c r="L1888" s="81" t="n"/>
      <c r="M1888" s="81" t="n"/>
      <c r="N1888" s="81" t="n"/>
      <c r="O1888" s="81" t="n"/>
      <c r="P1888" s="81" t="n"/>
      <c r="Q1888" s="81" t="n"/>
      <c r="R1888" s="81" t="n"/>
      <c r="S1888" s="81" t="n"/>
      <c r="T1888" s="81" t="n"/>
      <c r="U1888" s="81" t="n"/>
      <c r="V1888" s="81" t="n"/>
      <c r="W1888" s="81" t="n"/>
      <c r="X1888" s="81" t="n"/>
      <c r="Y1888" s="81" t="n"/>
      <c r="Z1888" s="81" t="n"/>
      <c r="AA1888" s="81" t="n"/>
      <c r="AB1888" s="81" t="n"/>
      <c r="AC1888" s="81" t="n"/>
      <c r="AD1888" s="81" t="n"/>
      <c r="AE1888" s="81" t="n"/>
      <c r="AF1888" s="81" t="n"/>
      <c r="AG1888" s="81" t="n"/>
      <c r="AH1888" s="81" t="n"/>
      <c r="AI1888" s="81" t="n"/>
      <c r="AJ1888" s="81" t="n"/>
      <c r="AK1888" s="81" t="n"/>
      <c r="AL1888" s="81" t="n"/>
      <c r="AM1888" s="81" t="n"/>
      <c r="AN1888" s="81" t="n"/>
      <c r="AO1888" s="81" t="n"/>
      <c r="AP1888" s="81" t="n"/>
      <c r="AQ1888" s="81" t="n"/>
      <c r="AR1888" s="81" t="n"/>
      <c r="AS1888" s="81" t="n"/>
      <c r="AT1888" s="81" t="n"/>
      <c r="AU1888" s="81" t="n"/>
      <c r="AV1888" s="81" t="n"/>
      <c r="AW1888" s="81" t="n"/>
      <c r="AX1888" s="81" t="n"/>
      <c r="AY1888" s="81" t="n"/>
      <c r="AZ1888" s="81" t="n"/>
      <c r="BA1888" s="81" t="n"/>
      <c r="BB1888" s="81" t="n"/>
      <c r="BC1888" s="81" t="n"/>
      <c r="BD1888" s="81" t="n"/>
      <c r="BE1888" s="81" t="n"/>
      <c r="BF1888" s="81" t="n"/>
      <c r="BG1888" s="81" t="n"/>
      <c r="BH1888" s="81" t="n"/>
      <c r="BI1888" s="81" t="n"/>
      <c r="BJ1888" s="81" t="n"/>
      <c r="BK1888" s="81" t="n"/>
      <c r="BL1888" s="81" t="n"/>
      <c r="BM1888" s="81" t="n"/>
      <c r="BN1888" s="81" t="n"/>
      <c r="BO1888" s="81" t="n"/>
      <c r="BP1888" s="81" t="n"/>
      <c r="BQ1888" s="81" t="n"/>
      <c r="BR1888" s="81" t="n"/>
      <c r="BS1888" s="81" t="n"/>
      <c r="BT1888" s="81" t="n"/>
      <c r="BU1888" s="81" t="n"/>
      <c r="BV1888" s="81" t="n"/>
      <c r="BW1888" s="81" t="n"/>
      <c r="BX1888" s="81" t="n"/>
      <c r="BY1888" s="81" t="n"/>
      <c r="BZ1888" s="81" t="n"/>
      <c r="CA1888" s="81" t="n"/>
      <c r="CB1888" s="81" t="n"/>
      <c r="CC1888" s="81" t="n"/>
      <c r="CD1888" s="81" t="n"/>
      <c r="CE1888" s="81" t="n"/>
      <c r="CF1888" s="81" t="n"/>
      <c r="CG1888" s="81" t="n"/>
      <c r="CH1888" s="81" t="n"/>
    </row>
    <row r="1889">
      <c r="A1889" s="81" t="n"/>
      <c r="B1889" s="81" t="n"/>
      <c r="C1889" s="81" t="n"/>
      <c r="D1889" s="81" t="n"/>
      <c r="E1889" s="81" t="n"/>
      <c r="F1889" s="81" t="n"/>
      <c r="G1889" s="81" t="n"/>
      <c r="H1889" s="81" t="n"/>
      <c r="I1889" s="81" t="n"/>
      <c r="J1889" s="81" t="n"/>
      <c r="K1889" s="81" t="n"/>
      <c r="L1889" s="81" t="n"/>
      <c r="M1889" s="81" t="n"/>
      <c r="N1889" s="81" t="n"/>
      <c r="O1889" s="81" t="n"/>
      <c r="P1889" s="81" t="n"/>
      <c r="Q1889" s="81" t="n"/>
      <c r="R1889" s="81" t="n"/>
      <c r="S1889" s="81" t="n"/>
      <c r="T1889" s="81" t="n"/>
      <c r="U1889" s="81" t="n"/>
      <c r="V1889" s="81" t="n"/>
      <c r="W1889" s="81" t="n"/>
      <c r="X1889" s="81" t="n"/>
      <c r="Y1889" s="81" t="n"/>
      <c r="Z1889" s="81" t="n"/>
      <c r="AA1889" s="81" t="n"/>
      <c r="AB1889" s="81" t="n"/>
      <c r="AC1889" s="81" t="n"/>
      <c r="AD1889" s="81" t="n"/>
      <c r="AE1889" s="81" t="n"/>
      <c r="AF1889" s="81" t="n"/>
      <c r="AG1889" s="81" t="n"/>
      <c r="AH1889" s="81" t="n"/>
      <c r="AI1889" s="81" t="n"/>
      <c r="AJ1889" s="81" t="n"/>
      <c r="AK1889" s="81" t="n"/>
      <c r="AL1889" s="81" t="n"/>
      <c r="AM1889" s="81" t="n"/>
      <c r="AN1889" s="81" t="n"/>
      <c r="AO1889" s="81" t="n"/>
      <c r="AP1889" s="81" t="n"/>
      <c r="AQ1889" s="81" t="n"/>
      <c r="AR1889" s="81" t="n"/>
      <c r="AS1889" s="81" t="n"/>
      <c r="AT1889" s="81" t="n"/>
      <c r="AU1889" s="81" t="n"/>
      <c r="AV1889" s="81" t="n"/>
      <c r="AW1889" s="81" t="n"/>
      <c r="AX1889" s="81" t="n"/>
      <c r="AY1889" s="81" t="n"/>
      <c r="AZ1889" s="81" t="n"/>
      <c r="BA1889" s="81" t="n"/>
      <c r="BB1889" s="81" t="n"/>
      <c r="BC1889" s="81" t="n"/>
      <c r="BD1889" s="81" t="n"/>
      <c r="BE1889" s="81" t="n"/>
      <c r="BF1889" s="81" t="n"/>
      <c r="BG1889" s="81" t="n"/>
      <c r="BH1889" s="81" t="n"/>
      <c r="BI1889" s="81" t="n"/>
      <c r="BJ1889" s="81" t="n"/>
      <c r="BK1889" s="81" t="n"/>
      <c r="BL1889" s="81" t="n"/>
      <c r="BM1889" s="81" t="n"/>
      <c r="BN1889" s="81" t="n"/>
      <c r="BO1889" s="81" t="n"/>
      <c r="BP1889" s="81" t="n"/>
      <c r="BQ1889" s="81" t="n"/>
      <c r="BR1889" s="81" t="n"/>
      <c r="BS1889" s="81" t="n"/>
      <c r="BT1889" s="81" t="n"/>
      <c r="BU1889" s="81" t="n"/>
      <c r="BV1889" s="81" t="n"/>
      <c r="BW1889" s="81" t="n"/>
      <c r="BX1889" s="81" t="n"/>
      <c r="BY1889" s="81" t="n"/>
      <c r="BZ1889" s="81" t="n"/>
      <c r="CA1889" s="81" t="n"/>
      <c r="CB1889" s="81" t="n"/>
      <c r="CC1889" s="81" t="n"/>
      <c r="CD1889" s="81" t="n"/>
      <c r="CE1889" s="81" t="n"/>
      <c r="CF1889" s="81" t="n"/>
      <c r="CG1889" s="81" t="n"/>
      <c r="CH1889" s="81" t="n"/>
    </row>
    <row r="1890">
      <c r="A1890" s="81" t="n"/>
      <c r="B1890" s="81" t="n"/>
      <c r="C1890" s="81" t="n"/>
      <c r="D1890" s="81" t="n"/>
      <c r="E1890" s="81" t="n"/>
      <c r="F1890" s="81" t="n"/>
      <c r="G1890" s="81" t="n"/>
      <c r="H1890" s="81" t="n"/>
      <c r="I1890" s="81" t="n"/>
      <c r="J1890" s="81" t="n"/>
      <c r="K1890" s="81" t="n"/>
      <c r="L1890" s="81" t="n"/>
      <c r="M1890" s="81" t="n"/>
      <c r="N1890" s="81" t="n"/>
      <c r="O1890" s="81" t="n"/>
      <c r="P1890" s="81" t="n"/>
      <c r="Q1890" s="81" t="n"/>
      <c r="R1890" s="81" t="n"/>
      <c r="S1890" s="81" t="n"/>
      <c r="T1890" s="81" t="n"/>
      <c r="U1890" s="81" t="n"/>
      <c r="V1890" s="81" t="n"/>
      <c r="W1890" s="81" t="n"/>
      <c r="X1890" s="81" t="n"/>
      <c r="Y1890" s="81" t="n"/>
      <c r="Z1890" s="81" t="n"/>
      <c r="AA1890" s="81" t="n"/>
      <c r="AB1890" s="81" t="n"/>
      <c r="AC1890" s="81" t="n"/>
      <c r="AD1890" s="81" t="n"/>
      <c r="AE1890" s="81" t="n"/>
      <c r="AF1890" s="81" t="n"/>
      <c r="AG1890" s="81" t="n"/>
      <c r="AH1890" s="81" t="n"/>
      <c r="AI1890" s="81" t="n"/>
      <c r="AJ1890" s="81" t="n"/>
      <c r="AK1890" s="81" t="n"/>
      <c r="AL1890" s="81" t="n"/>
      <c r="AM1890" s="81" t="n"/>
      <c r="AN1890" s="81" t="n"/>
      <c r="AO1890" s="81" t="n"/>
      <c r="AP1890" s="81" t="n"/>
      <c r="AQ1890" s="81" t="n"/>
      <c r="AR1890" s="81" t="n"/>
      <c r="AS1890" s="81" t="n"/>
      <c r="AT1890" s="81" t="n"/>
      <c r="AU1890" s="81" t="n"/>
      <c r="AV1890" s="81" t="n"/>
      <c r="AW1890" s="81" t="n"/>
      <c r="AX1890" s="81" t="n"/>
      <c r="AY1890" s="81" t="n"/>
      <c r="AZ1890" s="81" t="n"/>
      <c r="BA1890" s="81" t="n"/>
      <c r="BB1890" s="81" t="n"/>
      <c r="BC1890" s="81" t="n"/>
      <c r="BD1890" s="81" t="n"/>
      <c r="BE1890" s="81" t="n"/>
      <c r="BF1890" s="81" t="n"/>
      <c r="BG1890" s="81" t="n"/>
      <c r="BH1890" s="81" t="n"/>
      <c r="BI1890" s="81" t="n"/>
      <c r="BJ1890" s="81" t="n"/>
      <c r="BK1890" s="81" t="n"/>
      <c r="BL1890" s="81" t="n"/>
      <c r="BM1890" s="81" t="n"/>
      <c r="BN1890" s="81" t="n"/>
      <c r="BO1890" s="81" t="n"/>
      <c r="BP1890" s="81" t="n"/>
      <c r="BQ1890" s="81" t="n"/>
      <c r="BR1890" s="81" t="n"/>
      <c r="BS1890" s="81" t="n"/>
      <c r="BT1890" s="81" t="n"/>
      <c r="BU1890" s="81" t="n"/>
      <c r="BV1890" s="81" t="n"/>
      <c r="BW1890" s="81" t="n"/>
      <c r="BX1890" s="81" t="n"/>
      <c r="BY1890" s="81" t="n"/>
      <c r="BZ1890" s="81" t="n"/>
      <c r="CA1890" s="81" t="n"/>
      <c r="CB1890" s="81" t="n"/>
      <c r="CC1890" s="81" t="n"/>
      <c r="CD1890" s="81" t="n"/>
      <c r="CE1890" s="81" t="n"/>
      <c r="CF1890" s="81" t="n"/>
      <c r="CG1890" s="81" t="n"/>
      <c r="CH1890" s="81" t="n"/>
    </row>
    <row r="1891">
      <c r="A1891" s="81" t="n"/>
      <c r="B1891" s="81" t="n"/>
      <c r="C1891" s="81" t="n"/>
      <c r="D1891" s="81" t="n"/>
      <c r="E1891" s="81" t="n"/>
      <c r="F1891" s="81" t="n"/>
      <c r="G1891" s="81" t="n"/>
      <c r="H1891" s="81" t="n"/>
      <c r="I1891" s="81" t="n"/>
      <c r="J1891" s="81" t="n"/>
      <c r="K1891" s="81" t="n"/>
      <c r="L1891" s="81" t="n"/>
      <c r="M1891" s="81" t="n"/>
      <c r="N1891" s="81" t="n"/>
      <c r="O1891" s="81" t="n"/>
      <c r="P1891" s="81" t="n"/>
      <c r="Q1891" s="81" t="n"/>
      <c r="R1891" s="81" t="n"/>
      <c r="S1891" s="81" t="n"/>
      <c r="T1891" s="81" t="n"/>
      <c r="U1891" s="81" t="n"/>
      <c r="V1891" s="81" t="n"/>
      <c r="W1891" s="81" t="n"/>
      <c r="X1891" s="81" t="n"/>
      <c r="Y1891" s="81" t="n"/>
      <c r="Z1891" s="81" t="n"/>
      <c r="AA1891" s="81" t="n"/>
      <c r="AB1891" s="81" t="n"/>
      <c r="AC1891" s="81" t="n"/>
      <c r="AD1891" s="81" t="n"/>
      <c r="AE1891" s="81" t="n"/>
      <c r="AF1891" s="81" t="n"/>
      <c r="AG1891" s="81" t="n"/>
      <c r="AH1891" s="81" t="n"/>
      <c r="AI1891" s="81" t="n"/>
      <c r="AJ1891" s="81" t="n"/>
      <c r="AK1891" s="81" t="n"/>
      <c r="AL1891" s="81" t="n"/>
      <c r="AM1891" s="81" t="n"/>
      <c r="AN1891" s="81" t="n"/>
      <c r="AO1891" s="81" t="n"/>
      <c r="AP1891" s="81" t="n"/>
      <c r="AQ1891" s="81" t="n"/>
      <c r="AR1891" s="81" t="n"/>
      <c r="AS1891" s="81" t="n"/>
      <c r="AT1891" s="81" t="n"/>
      <c r="AU1891" s="81" t="n"/>
      <c r="AV1891" s="81" t="n"/>
      <c r="AW1891" s="81" t="n"/>
      <c r="AX1891" s="81" t="n"/>
      <c r="AY1891" s="81" t="n"/>
      <c r="AZ1891" s="81" t="n"/>
      <c r="BA1891" s="81" t="n"/>
      <c r="BB1891" s="81" t="n"/>
      <c r="BC1891" s="81" t="n"/>
      <c r="BD1891" s="81" t="n"/>
      <c r="BE1891" s="81" t="n"/>
      <c r="BF1891" s="81" t="n"/>
      <c r="BG1891" s="81" t="n"/>
      <c r="BH1891" s="81" t="n"/>
      <c r="BI1891" s="81" t="n"/>
      <c r="BJ1891" s="81" t="n"/>
      <c r="BK1891" s="81" t="n"/>
      <c r="BL1891" s="81" t="n"/>
      <c r="BM1891" s="81" t="n"/>
      <c r="BN1891" s="81" t="n"/>
      <c r="BO1891" s="81" t="n"/>
      <c r="BP1891" s="81" t="n"/>
      <c r="BQ1891" s="81" t="n"/>
      <c r="BR1891" s="81" t="n"/>
      <c r="BS1891" s="81" t="n"/>
      <c r="BT1891" s="81" t="n"/>
      <c r="BU1891" s="81" t="n"/>
      <c r="BV1891" s="81" t="n"/>
      <c r="BW1891" s="81" t="n"/>
      <c r="BX1891" s="81" t="n"/>
      <c r="BY1891" s="81" t="n"/>
      <c r="BZ1891" s="81" t="n"/>
      <c r="CA1891" s="81" t="n"/>
      <c r="CB1891" s="81" t="n"/>
      <c r="CC1891" s="81" t="n"/>
      <c r="CD1891" s="81" t="n"/>
      <c r="CE1891" s="81" t="n"/>
      <c r="CF1891" s="81" t="n"/>
      <c r="CG1891" s="81" t="n"/>
      <c r="CH1891" s="81" t="n"/>
    </row>
    <row r="1892">
      <c r="A1892" s="81" t="n"/>
      <c r="B1892" s="81" t="n"/>
      <c r="C1892" s="81" t="n"/>
      <c r="D1892" s="81" t="n"/>
      <c r="E1892" s="81" t="n"/>
      <c r="F1892" s="81" t="n"/>
      <c r="G1892" s="81" t="n"/>
      <c r="H1892" s="81" t="n"/>
      <c r="I1892" s="81" t="n"/>
      <c r="J1892" s="81" t="n"/>
      <c r="K1892" s="81" t="n"/>
      <c r="L1892" s="81" t="n"/>
      <c r="M1892" s="81" t="n"/>
      <c r="N1892" s="81" t="n"/>
      <c r="O1892" s="81" t="n"/>
      <c r="P1892" s="81" t="n"/>
      <c r="Q1892" s="81" t="n"/>
      <c r="R1892" s="81" t="n"/>
      <c r="S1892" s="81" t="n"/>
      <c r="T1892" s="81" t="n"/>
      <c r="U1892" s="81" t="n"/>
      <c r="V1892" s="81" t="n"/>
      <c r="W1892" s="81" t="n"/>
      <c r="X1892" s="81" t="n"/>
      <c r="Y1892" s="81" t="n"/>
      <c r="Z1892" s="81" t="n"/>
      <c r="AA1892" s="81" t="n"/>
      <c r="AB1892" s="81" t="n"/>
      <c r="AC1892" s="81" t="n"/>
      <c r="AD1892" s="81" t="n"/>
      <c r="AE1892" s="81" t="n"/>
      <c r="AF1892" s="81" t="n"/>
      <c r="AG1892" s="81" t="n"/>
      <c r="AH1892" s="81" t="n"/>
      <c r="AI1892" s="81" t="n"/>
      <c r="AJ1892" s="81" t="n"/>
      <c r="AK1892" s="81" t="n"/>
      <c r="AL1892" s="81" t="n"/>
      <c r="AM1892" s="81" t="n"/>
      <c r="AN1892" s="81" t="n"/>
      <c r="AO1892" s="81" t="n"/>
      <c r="AP1892" s="81" t="n"/>
      <c r="AQ1892" s="81" t="n"/>
      <c r="AR1892" s="81" t="n"/>
      <c r="AS1892" s="81" t="n"/>
      <c r="AT1892" s="81" t="n"/>
      <c r="AU1892" s="81" t="n"/>
      <c r="AV1892" s="81" t="n"/>
      <c r="AW1892" s="81" t="n"/>
      <c r="AX1892" s="81" t="n"/>
      <c r="AY1892" s="81" t="n"/>
      <c r="AZ1892" s="81" t="n"/>
      <c r="BA1892" s="81" t="n"/>
      <c r="BB1892" s="81" t="n"/>
      <c r="BC1892" s="81" t="n"/>
      <c r="BD1892" s="81" t="n"/>
      <c r="BE1892" s="81" t="n"/>
      <c r="BF1892" s="81" t="n"/>
      <c r="BG1892" s="81" t="n"/>
      <c r="BH1892" s="81" t="n"/>
      <c r="BI1892" s="81" t="n"/>
      <c r="BJ1892" s="81" t="n"/>
      <c r="BK1892" s="81" t="n"/>
      <c r="BL1892" s="81" t="n"/>
      <c r="BM1892" s="81" t="n"/>
      <c r="BN1892" s="81" t="n"/>
      <c r="BO1892" s="81" t="n"/>
      <c r="BP1892" s="81" t="n"/>
      <c r="BQ1892" s="81" t="n"/>
      <c r="BR1892" s="81" t="n"/>
      <c r="BS1892" s="81" t="n"/>
      <c r="BT1892" s="81" t="n"/>
      <c r="BU1892" s="81" t="n"/>
      <c r="BV1892" s="81" t="n"/>
      <c r="BW1892" s="81" t="n"/>
      <c r="BX1892" s="81" t="n"/>
      <c r="BY1892" s="81" t="n"/>
      <c r="BZ1892" s="81" t="n"/>
      <c r="CA1892" s="81" t="n"/>
      <c r="CB1892" s="81" t="n"/>
      <c r="CC1892" s="81" t="n"/>
      <c r="CD1892" s="81" t="n"/>
      <c r="CE1892" s="81" t="n"/>
      <c r="CF1892" s="81" t="n"/>
      <c r="CG1892" s="81" t="n"/>
      <c r="CH1892" s="81" t="n"/>
    </row>
    <row r="1893">
      <c r="A1893" s="81" t="n"/>
      <c r="B1893" s="81" t="n"/>
      <c r="C1893" s="81" t="n"/>
      <c r="D1893" s="81" t="n"/>
      <c r="E1893" s="81" t="n"/>
      <c r="F1893" s="81" t="n"/>
      <c r="G1893" s="81" t="n"/>
      <c r="H1893" s="81" t="n"/>
      <c r="I1893" s="81" t="n"/>
      <c r="J1893" s="81" t="n"/>
      <c r="K1893" s="81" t="n"/>
      <c r="L1893" s="81" t="n"/>
      <c r="M1893" s="81" t="n"/>
      <c r="N1893" s="81" t="n"/>
      <c r="O1893" s="81" t="n"/>
      <c r="P1893" s="81" t="n"/>
      <c r="Q1893" s="81" t="n"/>
      <c r="R1893" s="81" t="n"/>
      <c r="S1893" s="81" t="n"/>
      <c r="T1893" s="81" t="n"/>
      <c r="U1893" s="81" t="n"/>
      <c r="V1893" s="81" t="n"/>
      <c r="W1893" s="81" t="n"/>
      <c r="X1893" s="81" t="n"/>
      <c r="Y1893" s="81" t="n"/>
      <c r="Z1893" s="81" t="n"/>
      <c r="AA1893" s="81" t="n"/>
      <c r="AB1893" s="81" t="n"/>
      <c r="AC1893" s="81" t="n"/>
      <c r="AD1893" s="81" t="n"/>
      <c r="AE1893" s="81" t="n"/>
      <c r="AF1893" s="81" t="n"/>
      <c r="AG1893" s="81" t="n"/>
      <c r="AH1893" s="81" t="n"/>
      <c r="AI1893" s="81" t="n"/>
      <c r="AJ1893" s="81" t="n"/>
      <c r="AK1893" s="81" t="n"/>
      <c r="AL1893" s="81" t="n"/>
      <c r="AM1893" s="81" t="n"/>
      <c r="AN1893" s="81" t="n"/>
      <c r="AO1893" s="81" t="n"/>
      <c r="AP1893" s="81" t="n"/>
      <c r="AQ1893" s="81" t="n"/>
      <c r="AR1893" s="81" t="n"/>
      <c r="AS1893" s="81" t="n"/>
      <c r="AT1893" s="81" t="n"/>
      <c r="AU1893" s="81" t="n"/>
      <c r="AV1893" s="81" t="n"/>
      <c r="AW1893" s="81" t="n"/>
      <c r="AX1893" s="81" t="n"/>
      <c r="AY1893" s="81" t="n"/>
      <c r="AZ1893" s="81" t="n"/>
      <c r="BA1893" s="81" t="n"/>
      <c r="BB1893" s="81" t="n"/>
      <c r="BC1893" s="81" t="n"/>
      <c r="BD1893" s="81" t="n"/>
      <c r="BE1893" s="81" t="n"/>
      <c r="BF1893" s="81" t="n"/>
      <c r="BG1893" s="81" t="n"/>
      <c r="BH1893" s="81" t="n"/>
      <c r="BI1893" s="81" t="n"/>
      <c r="BJ1893" s="81" t="n"/>
      <c r="BK1893" s="81" t="n"/>
      <c r="BL1893" s="81" t="n"/>
      <c r="BM1893" s="81" t="n"/>
      <c r="BN1893" s="81" t="n"/>
      <c r="BO1893" s="81" t="n"/>
      <c r="BP1893" s="81" t="n"/>
      <c r="BQ1893" s="81" t="n"/>
      <c r="BR1893" s="81" t="n"/>
      <c r="BS1893" s="81" t="n"/>
      <c r="BT1893" s="81" t="n"/>
      <c r="BU1893" s="81" t="n"/>
      <c r="BV1893" s="81" t="n"/>
      <c r="BW1893" s="81" t="n"/>
      <c r="BX1893" s="81" t="n"/>
      <c r="BY1893" s="81" t="n"/>
      <c r="BZ1893" s="81" t="n"/>
      <c r="CA1893" s="81" t="n"/>
      <c r="CB1893" s="81" t="n"/>
      <c r="CC1893" s="81" t="n"/>
      <c r="CD1893" s="81" t="n"/>
      <c r="CE1893" s="81" t="n"/>
      <c r="CF1893" s="81" t="n"/>
      <c r="CG1893" s="81" t="n"/>
      <c r="CH1893" s="81" t="n"/>
    </row>
    <row r="1894">
      <c r="A1894" s="81" t="n"/>
      <c r="B1894" s="81" t="n"/>
      <c r="C1894" s="81" t="n"/>
      <c r="D1894" s="81" t="n"/>
      <c r="E1894" s="81" t="n"/>
      <c r="F1894" s="81" t="n"/>
      <c r="G1894" s="81" t="n"/>
      <c r="H1894" s="81" t="n"/>
      <c r="I1894" s="81" t="n"/>
      <c r="J1894" s="81" t="n"/>
      <c r="K1894" s="81" t="n"/>
      <c r="L1894" s="81" t="n"/>
      <c r="M1894" s="81" t="n"/>
      <c r="N1894" s="81" t="n"/>
      <c r="O1894" s="81" t="n"/>
      <c r="P1894" s="81" t="n"/>
      <c r="Q1894" s="81" t="n"/>
      <c r="R1894" s="81" t="n"/>
      <c r="S1894" s="81" t="n"/>
      <c r="T1894" s="81" t="n"/>
      <c r="U1894" s="81" t="n"/>
      <c r="V1894" s="81" t="n"/>
      <c r="W1894" s="81" t="n"/>
      <c r="X1894" s="81" t="n"/>
      <c r="Y1894" s="81" t="n"/>
      <c r="Z1894" s="81" t="n"/>
      <c r="AA1894" s="81" t="n"/>
      <c r="AB1894" s="81" t="n"/>
      <c r="AC1894" s="81" t="n"/>
      <c r="AD1894" s="81" t="n"/>
      <c r="AE1894" s="81" t="n"/>
      <c r="AF1894" s="81" t="n"/>
      <c r="AG1894" s="81" t="n"/>
      <c r="AH1894" s="81" t="n"/>
      <c r="AI1894" s="81" t="n"/>
      <c r="AJ1894" s="81" t="n"/>
      <c r="AK1894" s="81" t="n"/>
      <c r="AL1894" s="81" t="n"/>
      <c r="AM1894" s="81" t="n"/>
      <c r="AN1894" s="81" t="n"/>
      <c r="AO1894" s="81" t="n"/>
      <c r="AP1894" s="81" t="n"/>
      <c r="AQ1894" s="81" t="n"/>
      <c r="AR1894" s="81" t="n"/>
      <c r="AS1894" s="81" t="n"/>
      <c r="AT1894" s="81" t="n"/>
      <c r="AU1894" s="81" t="n"/>
      <c r="AV1894" s="81" t="n"/>
      <c r="AW1894" s="81" t="n"/>
      <c r="AX1894" s="81" t="n"/>
      <c r="AY1894" s="81" t="n"/>
      <c r="AZ1894" s="81" t="n"/>
      <c r="BA1894" s="81" t="n"/>
      <c r="BB1894" s="81" t="n"/>
      <c r="BC1894" s="81" t="n"/>
      <c r="BD1894" s="81" t="n"/>
      <c r="BE1894" s="81" t="n"/>
      <c r="BF1894" s="81" t="n"/>
      <c r="BG1894" s="81" t="n"/>
      <c r="BH1894" s="81" t="n"/>
      <c r="BI1894" s="81" t="n"/>
      <c r="BJ1894" s="81" t="n"/>
      <c r="BK1894" s="81" t="n"/>
      <c r="BL1894" s="81" t="n"/>
      <c r="BM1894" s="81" t="n"/>
      <c r="BN1894" s="81" t="n"/>
      <c r="BO1894" s="81" t="n"/>
      <c r="BP1894" s="81" t="n"/>
      <c r="BQ1894" s="81" t="n"/>
      <c r="BR1894" s="81" t="n"/>
      <c r="BS1894" s="81" t="n"/>
      <c r="BT1894" s="81" t="n"/>
      <c r="BU1894" s="81" t="n"/>
      <c r="BV1894" s="81" t="n"/>
      <c r="BW1894" s="81" t="n"/>
      <c r="BX1894" s="81" t="n"/>
      <c r="BY1894" s="81" t="n"/>
      <c r="BZ1894" s="81" t="n"/>
      <c r="CA1894" s="81" t="n"/>
      <c r="CB1894" s="81" t="n"/>
      <c r="CC1894" s="81" t="n"/>
      <c r="CD1894" s="81" t="n"/>
      <c r="CE1894" s="81" t="n"/>
      <c r="CF1894" s="81" t="n"/>
      <c r="CG1894" s="81" t="n"/>
      <c r="CH1894" s="81" t="n"/>
    </row>
    <row r="1895">
      <c r="A1895" s="81" t="n"/>
      <c r="B1895" s="81" t="n"/>
      <c r="C1895" s="81" t="n"/>
      <c r="D1895" s="81" t="n"/>
      <c r="E1895" s="81" t="n"/>
      <c r="F1895" s="81" t="n"/>
      <c r="G1895" s="81" t="n"/>
      <c r="H1895" s="81" t="n"/>
      <c r="I1895" s="81" t="n"/>
      <c r="J1895" s="81" t="n"/>
      <c r="K1895" s="81" t="n"/>
      <c r="L1895" s="81" t="n"/>
      <c r="M1895" s="81" t="n"/>
      <c r="N1895" s="81" t="n"/>
      <c r="O1895" s="81" t="n"/>
      <c r="P1895" s="81" t="n"/>
      <c r="Q1895" s="81" t="n"/>
      <c r="R1895" s="81" t="n"/>
      <c r="S1895" s="81" t="n"/>
      <c r="T1895" s="81" t="n"/>
      <c r="U1895" s="81" t="n"/>
      <c r="V1895" s="81" t="n"/>
      <c r="W1895" s="81" t="n"/>
      <c r="X1895" s="81" t="n"/>
      <c r="Y1895" s="81" t="n"/>
      <c r="Z1895" s="81" t="n"/>
      <c r="AA1895" s="81" t="n"/>
      <c r="AB1895" s="81" t="n"/>
      <c r="AC1895" s="81" t="n"/>
      <c r="AD1895" s="81" t="n"/>
      <c r="AE1895" s="81" t="n"/>
      <c r="AF1895" s="81" t="n"/>
      <c r="AG1895" s="81" t="n"/>
      <c r="AH1895" s="81" t="n"/>
      <c r="AI1895" s="81" t="n"/>
      <c r="AJ1895" s="81" t="n"/>
      <c r="AK1895" s="81" t="n"/>
      <c r="AL1895" s="81" t="n"/>
      <c r="AM1895" s="81" t="n"/>
      <c r="AN1895" s="81" t="n"/>
      <c r="AO1895" s="81" t="n"/>
      <c r="AP1895" s="81" t="n"/>
      <c r="AQ1895" s="81" t="n"/>
      <c r="AR1895" s="81" t="n"/>
      <c r="AS1895" s="81" t="n"/>
      <c r="AT1895" s="81" t="n"/>
      <c r="AU1895" s="81" t="n"/>
      <c r="AV1895" s="81" t="n"/>
      <c r="AW1895" s="81" t="n"/>
      <c r="AX1895" s="81" t="n"/>
      <c r="AY1895" s="81" t="n"/>
      <c r="AZ1895" s="81" t="n"/>
      <c r="BA1895" s="81" t="n"/>
      <c r="BB1895" s="81" t="n"/>
      <c r="BC1895" s="81" t="n"/>
      <c r="BD1895" s="81" t="n"/>
      <c r="BE1895" s="81" t="n"/>
      <c r="BF1895" s="81" t="n"/>
      <c r="BG1895" s="81" t="n"/>
      <c r="BH1895" s="81" t="n"/>
      <c r="BI1895" s="81" t="n"/>
      <c r="BJ1895" s="81" t="n"/>
      <c r="BK1895" s="81" t="n"/>
      <c r="BL1895" s="81" t="n"/>
      <c r="BM1895" s="81" t="n"/>
      <c r="BN1895" s="81" t="n"/>
      <c r="BO1895" s="81" t="n"/>
      <c r="BP1895" s="81" t="n"/>
      <c r="BQ1895" s="81" t="n"/>
      <c r="BR1895" s="81" t="n"/>
      <c r="BS1895" s="81" t="n"/>
      <c r="BT1895" s="81" t="n"/>
      <c r="BU1895" s="81" t="n"/>
      <c r="BV1895" s="81" t="n"/>
      <c r="BW1895" s="81" t="n"/>
      <c r="BX1895" s="81" t="n"/>
      <c r="BY1895" s="81" t="n"/>
      <c r="BZ1895" s="81" t="n"/>
      <c r="CA1895" s="81" t="n"/>
      <c r="CB1895" s="81" t="n"/>
      <c r="CC1895" s="81" t="n"/>
      <c r="CD1895" s="81" t="n"/>
      <c r="CE1895" s="81" t="n"/>
      <c r="CF1895" s="81" t="n"/>
      <c r="CG1895" s="81" t="n"/>
      <c r="CH1895" s="81" t="n"/>
    </row>
    <row r="1896">
      <c r="A1896" s="81" t="n"/>
      <c r="B1896" s="81" t="n"/>
      <c r="C1896" s="81" t="n"/>
      <c r="D1896" s="81" t="n"/>
      <c r="E1896" s="81" t="n"/>
      <c r="F1896" s="81" t="n"/>
      <c r="G1896" s="81" t="n"/>
      <c r="H1896" s="81" t="n"/>
      <c r="I1896" s="81" t="n"/>
      <c r="J1896" s="81" t="n"/>
      <c r="K1896" s="81" t="n"/>
      <c r="L1896" s="81" t="n"/>
      <c r="M1896" s="81" t="n"/>
      <c r="N1896" s="81" t="n"/>
      <c r="O1896" s="81" t="n"/>
      <c r="P1896" s="81" t="n"/>
      <c r="Q1896" s="81" t="n"/>
      <c r="R1896" s="81" t="n"/>
      <c r="S1896" s="81" t="n"/>
      <c r="T1896" s="81" t="n"/>
      <c r="U1896" s="81" t="n"/>
      <c r="V1896" s="81" t="n"/>
      <c r="W1896" s="81" t="n"/>
      <c r="X1896" s="81" t="n"/>
      <c r="Y1896" s="81" t="n"/>
      <c r="Z1896" s="81" t="n"/>
      <c r="AA1896" s="81" t="n"/>
      <c r="AB1896" s="81" t="n"/>
      <c r="AC1896" s="81" t="n"/>
      <c r="AD1896" s="81" t="n"/>
      <c r="AE1896" s="81" t="n"/>
      <c r="AF1896" s="81" t="n"/>
      <c r="AG1896" s="81" t="n"/>
      <c r="AH1896" s="81" t="n"/>
      <c r="AI1896" s="81" t="n"/>
      <c r="AJ1896" s="81" t="n"/>
      <c r="AK1896" s="81" t="n"/>
      <c r="AL1896" s="81" t="n"/>
      <c r="AM1896" s="81" t="n"/>
      <c r="AN1896" s="81" t="n"/>
      <c r="AO1896" s="81" t="n"/>
      <c r="AP1896" s="81" t="n"/>
      <c r="AQ1896" s="81" t="n"/>
      <c r="AR1896" s="81" t="n"/>
      <c r="AS1896" s="81" t="n"/>
      <c r="AT1896" s="81" t="n"/>
      <c r="AU1896" s="81" t="n"/>
      <c r="AV1896" s="81" t="n"/>
      <c r="AW1896" s="81" t="n"/>
      <c r="AX1896" s="81" t="n"/>
      <c r="AY1896" s="81" t="n"/>
      <c r="AZ1896" s="81" t="n"/>
      <c r="BA1896" s="81" t="n"/>
      <c r="BB1896" s="81" t="n"/>
      <c r="BC1896" s="81" t="n"/>
      <c r="BD1896" s="81" t="n"/>
      <c r="BE1896" s="81" t="n"/>
      <c r="BF1896" s="81" t="n"/>
      <c r="BG1896" s="81" t="n"/>
      <c r="BH1896" s="81" t="n"/>
      <c r="BI1896" s="81" t="n"/>
      <c r="BJ1896" s="81" t="n"/>
      <c r="BK1896" s="81" t="n"/>
      <c r="BL1896" s="81" t="n"/>
      <c r="BM1896" s="81" t="n"/>
      <c r="BN1896" s="81" t="n"/>
      <c r="BO1896" s="81" t="n"/>
      <c r="BP1896" s="81" t="n"/>
      <c r="BQ1896" s="81" t="n"/>
      <c r="BR1896" s="81" t="n"/>
      <c r="BS1896" s="81" t="n"/>
      <c r="BT1896" s="81" t="n"/>
      <c r="BU1896" s="81" t="n"/>
      <c r="BV1896" s="81" t="n"/>
      <c r="BW1896" s="81" t="n"/>
      <c r="BX1896" s="81" t="n"/>
      <c r="BY1896" s="81" t="n"/>
      <c r="BZ1896" s="81" t="n"/>
      <c r="CA1896" s="81" t="n"/>
      <c r="CB1896" s="81" t="n"/>
      <c r="CC1896" s="81" t="n"/>
      <c r="CD1896" s="81" t="n"/>
      <c r="CE1896" s="81" t="n"/>
      <c r="CF1896" s="81" t="n"/>
      <c r="CG1896" s="81" t="n"/>
      <c r="CH1896" s="81" t="n"/>
    </row>
    <row r="1897">
      <c r="A1897" s="81" t="n"/>
      <c r="B1897" s="81" t="n"/>
      <c r="C1897" s="81" t="n"/>
      <c r="D1897" s="81" t="n"/>
      <c r="E1897" s="81" t="n"/>
      <c r="F1897" s="81" t="n"/>
      <c r="G1897" s="81" t="n"/>
      <c r="H1897" s="81" t="n"/>
      <c r="I1897" s="81" t="n"/>
      <c r="J1897" s="81" t="n"/>
      <c r="K1897" s="81" t="n"/>
      <c r="L1897" s="81" t="n"/>
      <c r="M1897" s="81" t="n"/>
      <c r="N1897" s="81" t="n"/>
      <c r="O1897" s="81" t="n"/>
      <c r="P1897" s="81" t="n"/>
      <c r="Q1897" s="81" t="n"/>
      <c r="R1897" s="81" t="n"/>
      <c r="S1897" s="81" t="n"/>
      <c r="T1897" s="81" t="n"/>
      <c r="U1897" s="81" t="n"/>
      <c r="V1897" s="81" t="n"/>
      <c r="W1897" s="81" t="n"/>
      <c r="X1897" s="81" t="n"/>
      <c r="Y1897" s="81" t="n"/>
      <c r="Z1897" s="81" t="n"/>
      <c r="AA1897" s="81" t="n"/>
      <c r="AB1897" s="81" t="n"/>
      <c r="AC1897" s="81" t="n"/>
      <c r="AD1897" s="81" t="n"/>
      <c r="AE1897" s="81" t="n"/>
      <c r="AF1897" s="81" t="n"/>
      <c r="AG1897" s="81" t="n"/>
      <c r="AH1897" s="81" t="n"/>
      <c r="AI1897" s="81" t="n"/>
      <c r="AJ1897" s="81" t="n"/>
      <c r="AK1897" s="81" t="n"/>
      <c r="AL1897" s="81" t="n"/>
      <c r="AM1897" s="81" t="n"/>
      <c r="AN1897" s="81" t="n"/>
      <c r="AO1897" s="81" t="n"/>
      <c r="AP1897" s="81" t="n"/>
      <c r="AQ1897" s="81" t="n"/>
      <c r="AR1897" s="81" t="n"/>
      <c r="AS1897" s="81" t="n"/>
      <c r="AT1897" s="81" t="n"/>
      <c r="AU1897" s="81" t="n"/>
      <c r="AV1897" s="81" t="n"/>
      <c r="AW1897" s="81" t="n"/>
      <c r="AX1897" s="81" t="n"/>
      <c r="AY1897" s="81" t="n"/>
      <c r="AZ1897" s="81" t="n"/>
      <c r="BA1897" s="81" t="n"/>
      <c r="BB1897" s="81" t="n"/>
      <c r="BC1897" s="81" t="n"/>
      <c r="BD1897" s="81" t="n"/>
      <c r="BE1897" s="81" t="n"/>
      <c r="BF1897" s="81" t="n"/>
      <c r="BG1897" s="81" t="n"/>
      <c r="BH1897" s="81" t="n"/>
      <c r="BI1897" s="81" t="n"/>
      <c r="BJ1897" s="81" t="n"/>
      <c r="BK1897" s="81" t="n"/>
      <c r="BL1897" s="81" t="n"/>
      <c r="BM1897" s="81" t="n"/>
      <c r="BN1897" s="81" t="n"/>
      <c r="BO1897" s="81" t="n"/>
      <c r="BP1897" s="81" t="n"/>
      <c r="BQ1897" s="81" t="n"/>
      <c r="BR1897" s="81" t="n"/>
      <c r="BS1897" s="81" t="n"/>
      <c r="BT1897" s="81" t="n"/>
      <c r="BU1897" s="81" t="n"/>
      <c r="BV1897" s="81" t="n"/>
      <c r="BW1897" s="81" t="n"/>
      <c r="BX1897" s="81" t="n"/>
      <c r="BY1897" s="81" t="n"/>
      <c r="BZ1897" s="81" t="n"/>
      <c r="CA1897" s="81" t="n"/>
      <c r="CB1897" s="81" t="n"/>
      <c r="CC1897" s="81" t="n"/>
      <c r="CD1897" s="81" t="n"/>
      <c r="CE1897" s="81" t="n"/>
      <c r="CF1897" s="81" t="n"/>
      <c r="CG1897" s="81" t="n"/>
      <c r="CH1897" s="81" t="n"/>
    </row>
    <row r="1898">
      <c r="A1898" s="81" t="n"/>
      <c r="B1898" s="81" t="n"/>
      <c r="C1898" s="81" t="n"/>
      <c r="D1898" s="81" t="n"/>
      <c r="E1898" s="81" t="n"/>
      <c r="F1898" s="81" t="n"/>
      <c r="G1898" s="81" t="n"/>
      <c r="H1898" s="81" t="n"/>
      <c r="I1898" s="81" t="n"/>
      <c r="J1898" s="81" t="n"/>
      <c r="K1898" s="81" t="n"/>
      <c r="L1898" s="81" t="n"/>
      <c r="M1898" s="81" t="n"/>
      <c r="N1898" s="81" t="n"/>
      <c r="O1898" s="81" t="n"/>
      <c r="P1898" s="81" t="n"/>
      <c r="Q1898" s="81" t="n"/>
      <c r="R1898" s="81" t="n"/>
      <c r="S1898" s="81" t="n"/>
      <c r="T1898" s="81" t="n"/>
      <c r="U1898" s="81" t="n"/>
      <c r="V1898" s="81" t="n"/>
      <c r="W1898" s="81" t="n"/>
      <c r="X1898" s="81" t="n"/>
      <c r="Y1898" s="81" t="n"/>
      <c r="Z1898" s="81" t="n"/>
      <c r="AA1898" s="81" t="n"/>
      <c r="AB1898" s="81" t="n"/>
      <c r="AC1898" s="81" t="n"/>
      <c r="AD1898" s="81" t="n"/>
      <c r="AE1898" s="81" t="n"/>
      <c r="AF1898" s="81" t="n"/>
      <c r="AG1898" s="81" t="n"/>
      <c r="AH1898" s="81" t="n"/>
      <c r="AI1898" s="81" t="n"/>
      <c r="AJ1898" s="81" t="n"/>
      <c r="AK1898" s="81" t="n"/>
      <c r="AL1898" s="81" t="n"/>
      <c r="AM1898" s="81" t="n"/>
      <c r="AN1898" s="81" t="n"/>
      <c r="AO1898" s="81" t="n"/>
      <c r="AP1898" s="81" t="n"/>
      <c r="AQ1898" s="81" t="n"/>
      <c r="AR1898" s="81" t="n"/>
      <c r="AS1898" s="81" t="n"/>
      <c r="AT1898" s="81" t="n"/>
      <c r="AU1898" s="81" t="n"/>
      <c r="AV1898" s="81" t="n"/>
      <c r="AW1898" s="81" t="n"/>
      <c r="AX1898" s="81" t="n"/>
      <c r="AY1898" s="81" t="n"/>
      <c r="AZ1898" s="81" t="n"/>
      <c r="BA1898" s="81" t="n"/>
      <c r="BB1898" s="81" t="n"/>
      <c r="BC1898" s="81" t="n"/>
      <c r="BD1898" s="81" t="n"/>
      <c r="BE1898" s="81" t="n"/>
      <c r="BF1898" s="81" t="n"/>
      <c r="BG1898" s="81" t="n"/>
      <c r="BH1898" s="81" t="n"/>
      <c r="BI1898" s="81" t="n"/>
      <c r="BJ1898" s="81" t="n"/>
      <c r="BK1898" s="81" t="n"/>
      <c r="BL1898" s="81" t="n"/>
      <c r="BM1898" s="81" t="n"/>
      <c r="BN1898" s="81" t="n"/>
      <c r="BO1898" s="81" t="n"/>
      <c r="BP1898" s="81" t="n"/>
      <c r="BQ1898" s="81" t="n"/>
      <c r="BR1898" s="81" t="n"/>
      <c r="BS1898" s="81" t="n"/>
      <c r="BT1898" s="81" t="n"/>
      <c r="BU1898" s="81" t="n"/>
      <c r="BV1898" s="81" t="n"/>
      <c r="BW1898" s="81" t="n"/>
      <c r="BX1898" s="81" t="n"/>
      <c r="BY1898" s="81" t="n"/>
      <c r="BZ1898" s="81" t="n"/>
      <c r="CA1898" s="81" t="n"/>
      <c r="CB1898" s="81" t="n"/>
      <c r="CC1898" s="81" t="n"/>
      <c r="CD1898" s="81" t="n"/>
      <c r="CE1898" s="81" t="n"/>
      <c r="CF1898" s="81" t="n"/>
      <c r="CG1898" s="81" t="n"/>
      <c r="CH1898" s="81" t="n"/>
    </row>
    <row r="1899">
      <c r="A1899" s="81" t="n"/>
      <c r="B1899" s="81" t="n"/>
      <c r="C1899" s="81" t="n"/>
      <c r="D1899" s="81" t="n"/>
      <c r="E1899" s="81" t="n"/>
      <c r="F1899" s="81" t="n"/>
      <c r="G1899" s="81" t="n"/>
      <c r="H1899" s="81" t="n"/>
      <c r="I1899" s="81" t="n"/>
      <c r="J1899" s="81" t="n"/>
      <c r="K1899" s="81" t="n"/>
      <c r="L1899" s="81" t="n"/>
      <c r="M1899" s="81" t="n"/>
      <c r="N1899" s="81" t="n"/>
      <c r="O1899" s="81" t="n"/>
      <c r="P1899" s="81" t="n"/>
      <c r="Q1899" s="81" t="n"/>
      <c r="R1899" s="81" t="n"/>
      <c r="S1899" s="81" t="n"/>
      <c r="T1899" s="81" t="n"/>
      <c r="U1899" s="81" t="n"/>
      <c r="V1899" s="81" t="n"/>
      <c r="W1899" s="81" t="n"/>
      <c r="X1899" s="81" t="n"/>
      <c r="Y1899" s="81" t="n"/>
      <c r="Z1899" s="81" t="n"/>
      <c r="AA1899" s="81" t="n"/>
      <c r="AB1899" s="81" t="n"/>
      <c r="AC1899" s="81" t="n"/>
      <c r="AD1899" s="81" t="n"/>
      <c r="AE1899" s="81" t="n"/>
      <c r="AF1899" s="81" t="n"/>
      <c r="AG1899" s="81" t="n"/>
      <c r="AH1899" s="81" t="n"/>
      <c r="AI1899" s="81" t="n"/>
      <c r="AJ1899" s="81" t="n"/>
      <c r="AK1899" s="81" t="n"/>
      <c r="AL1899" s="81" t="n"/>
      <c r="AM1899" s="81" t="n"/>
      <c r="AN1899" s="81" t="n"/>
      <c r="AO1899" s="81" t="n"/>
      <c r="AP1899" s="81" t="n"/>
      <c r="AQ1899" s="81" t="n"/>
      <c r="AR1899" s="81" t="n"/>
      <c r="AS1899" s="81" t="n"/>
      <c r="AT1899" s="81" t="n"/>
      <c r="AU1899" s="81" t="n"/>
      <c r="AV1899" s="81" t="n"/>
      <c r="AW1899" s="81" t="n"/>
      <c r="AX1899" s="81" t="n"/>
      <c r="AY1899" s="81" t="n"/>
      <c r="AZ1899" s="81" t="n"/>
      <c r="BA1899" s="81" t="n"/>
      <c r="BB1899" s="81" t="n"/>
      <c r="BC1899" s="81" t="n"/>
      <c r="BD1899" s="81" t="n"/>
      <c r="BE1899" s="81" t="n"/>
      <c r="BF1899" s="81" t="n"/>
      <c r="BG1899" s="81" t="n"/>
      <c r="BH1899" s="81" t="n"/>
      <c r="BI1899" s="81" t="n"/>
      <c r="BJ1899" s="81" t="n"/>
      <c r="BK1899" s="81" t="n"/>
      <c r="BL1899" s="81" t="n"/>
      <c r="BM1899" s="81" t="n"/>
      <c r="BN1899" s="81" t="n"/>
      <c r="BO1899" s="81" t="n"/>
      <c r="BP1899" s="81" t="n"/>
      <c r="BQ1899" s="81" t="n"/>
      <c r="BR1899" s="81" t="n"/>
      <c r="BS1899" s="81" t="n"/>
      <c r="BT1899" s="81" t="n"/>
      <c r="BU1899" s="81" t="n"/>
      <c r="BV1899" s="81" t="n"/>
      <c r="BW1899" s="81" t="n"/>
      <c r="BX1899" s="81" t="n"/>
      <c r="BY1899" s="81" t="n"/>
      <c r="BZ1899" s="81" t="n"/>
      <c r="CA1899" s="81" t="n"/>
      <c r="CB1899" s="81" t="n"/>
      <c r="CC1899" s="81" t="n"/>
      <c r="CD1899" s="81" t="n"/>
      <c r="CE1899" s="81" t="n"/>
      <c r="CF1899" s="81" t="n"/>
      <c r="CG1899" s="81" t="n"/>
      <c r="CH1899" s="81" t="n"/>
    </row>
    <row r="1900">
      <c r="A1900" s="81" t="n"/>
      <c r="B1900" s="81" t="n"/>
      <c r="C1900" s="81" t="n"/>
      <c r="D1900" s="81" t="n"/>
      <c r="E1900" s="81" t="n"/>
      <c r="F1900" s="81" t="n"/>
      <c r="G1900" s="81" t="n"/>
      <c r="H1900" s="81" t="n"/>
      <c r="I1900" s="81" t="n"/>
      <c r="J1900" s="81" t="n"/>
      <c r="K1900" s="81" t="n"/>
      <c r="L1900" s="81" t="n"/>
      <c r="M1900" s="81" t="n"/>
      <c r="N1900" s="81" t="n"/>
      <c r="O1900" s="81" t="n"/>
      <c r="P1900" s="81" t="n"/>
      <c r="Q1900" s="81" t="n"/>
      <c r="R1900" s="81" t="n"/>
      <c r="S1900" s="81" t="n"/>
      <c r="T1900" s="81" t="n"/>
      <c r="U1900" s="81" t="n"/>
      <c r="V1900" s="81" t="n"/>
      <c r="W1900" s="81" t="n"/>
      <c r="X1900" s="81" t="n"/>
      <c r="Y1900" s="81" t="n"/>
      <c r="Z1900" s="81" t="n"/>
      <c r="AA1900" s="81" t="n"/>
      <c r="AB1900" s="81" t="n"/>
      <c r="AC1900" s="81" t="n"/>
      <c r="AD1900" s="81" t="n"/>
      <c r="AE1900" s="81" t="n"/>
      <c r="AF1900" s="81" t="n"/>
      <c r="AG1900" s="81" t="n"/>
      <c r="AH1900" s="81" t="n"/>
      <c r="AI1900" s="81" t="n"/>
      <c r="AJ1900" s="81" t="n"/>
      <c r="AK1900" s="81" t="n"/>
      <c r="AL1900" s="81" t="n"/>
      <c r="AM1900" s="81" t="n"/>
      <c r="AN1900" s="81" t="n"/>
      <c r="AO1900" s="81" t="n"/>
      <c r="AP1900" s="81" t="n"/>
      <c r="AQ1900" s="81" t="n"/>
      <c r="AR1900" s="81" t="n"/>
      <c r="AS1900" s="81" t="n"/>
      <c r="AT1900" s="81" t="n"/>
      <c r="AU1900" s="81" t="n"/>
      <c r="AV1900" s="81" t="n"/>
      <c r="AW1900" s="81" t="n"/>
      <c r="AX1900" s="81" t="n"/>
      <c r="AY1900" s="81" t="n"/>
      <c r="AZ1900" s="81" t="n"/>
      <c r="BA1900" s="81" t="n"/>
      <c r="BB1900" s="81" t="n"/>
      <c r="BC1900" s="81" t="n"/>
      <c r="BD1900" s="81" t="n"/>
      <c r="BE1900" s="81" t="n"/>
      <c r="BF1900" s="81" t="n"/>
      <c r="BG1900" s="81" t="n"/>
      <c r="BH1900" s="81" t="n"/>
      <c r="BI1900" s="81" t="n"/>
      <c r="BJ1900" s="81" t="n"/>
      <c r="BK1900" s="81" t="n"/>
      <c r="BL1900" s="81" t="n"/>
      <c r="BM1900" s="81" t="n"/>
      <c r="BN1900" s="81" t="n"/>
      <c r="BO1900" s="81" t="n"/>
      <c r="BP1900" s="81" t="n"/>
      <c r="BQ1900" s="81" t="n"/>
      <c r="BR1900" s="81" t="n"/>
      <c r="BS1900" s="81" t="n"/>
      <c r="BT1900" s="81" t="n"/>
      <c r="BU1900" s="81" t="n"/>
      <c r="BV1900" s="81" t="n"/>
      <c r="BW1900" s="81" t="n"/>
      <c r="BX1900" s="81" t="n"/>
      <c r="BY1900" s="81" t="n"/>
      <c r="BZ1900" s="81" t="n"/>
      <c r="CA1900" s="81" t="n"/>
      <c r="CB1900" s="81" t="n"/>
      <c r="CC1900" s="81" t="n"/>
      <c r="CD1900" s="81" t="n"/>
      <c r="CE1900" s="81" t="n"/>
      <c r="CF1900" s="81" t="n"/>
      <c r="CG1900" s="81" t="n"/>
      <c r="CH1900" s="81" t="n"/>
    </row>
    <row r="1901">
      <c r="A1901" s="81" t="n"/>
      <c r="B1901" s="81" t="n"/>
      <c r="C1901" s="81" t="n"/>
      <c r="D1901" s="81" t="n"/>
      <c r="E1901" s="81" t="n"/>
      <c r="F1901" s="81" t="n"/>
      <c r="G1901" s="81" t="n"/>
      <c r="H1901" s="81" t="n"/>
      <c r="I1901" s="81" t="n"/>
      <c r="J1901" s="81" t="n"/>
      <c r="K1901" s="81" t="n"/>
      <c r="L1901" s="81" t="n"/>
      <c r="M1901" s="81" t="n"/>
      <c r="N1901" s="81" t="n"/>
      <c r="O1901" s="81" t="n"/>
      <c r="P1901" s="81" t="n"/>
      <c r="Q1901" s="81" t="n"/>
      <c r="R1901" s="81" t="n"/>
      <c r="S1901" s="81" t="n"/>
      <c r="T1901" s="81" t="n"/>
      <c r="U1901" s="81" t="n"/>
      <c r="V1901" s="81" t="n"/>
      <c r="W1901" s="81" t="n"/>
      <c r="X1901" s="81" t="n"/>
      <c r="Y1901" s="81" t="n"/>
      <c r="Z1901" s="81" t="n"/>
      <c r="AA1901" s="81" t="n"/>
      <c r="AB1901" s="81" t="n"/>
      <c r="AC1901" s="81" t="n"/>
      <c r="AD1901" s="81" t="n"/>
      <c r="AE1901" s="81" t="n"/>
      <c r="AF1901" s="81" t="n"/>
      <c r="AG1901" s="81" t="n"/>
      <c r="AH1901" s="81" t="n"/>
      <c r="AI1901" s="81" t="n"/>
      <c r="AJ1901" s="81" t="n"/>
      <c r="AK1901" s="81" t="n"/>
      <c r="AL1901" s="81" t="n"/>
      <c r="AM1901" s="81" t="n"/>
      <c r="AN1901" s="81" t="n"/>
      <c r="AO1901" s="81" t="n"/>
      <c r="AP1901" s="81" t="n"/>
      <c r="AQ1901" s="81" t="n"/>
      <c r="AR1901" s="81" t="n"/>
      <c r="AS1901" s="81" t="n"/>
      <c r="AT1901" s="81" t="n"/>
      <c r="AU1901" s="81" t="n"/>
      <c r="AV1901" s="81" t="n"/>
      <c r="AW1901" s="81" t="n"/>
      <c r="AX1901" s="81" t="n"/>
      <c r="AY1901" s="81" t="n"/>
      <c r="AZ1901" s="81" t="n"/>
      <c r="BA1901" s="81" t="n"/>
      <c r="BB1901" s="81" t="n"/>
      <c r="BC1901" s="81" t="n"/>
      <c r="BD1901" s="81" t="n"/>
      <c r="BE1901" s="81" t="n"/>
      <c r="BF1901" s="81" t="n"/>
      <c r="BG1901" s="81" t="n"/>
      <c r="BH1901" s="81" t="n"/>
      <c r="BI1901" s="81" t="n"/>
      <c r="BJ1901" s="81" t="n"/>
      <c r="BK1901" s="81" t="n"/>
      <c r="BL1901" s="81" t="n"/>
      <c r="BM1901" s="81" t="n"/>
      <c r="BN1901" s="81" t="n"/>
      <c r="BO1901" s="81" t="n"/>
      <c r="BP1901" s="81" t="n"/>
      <c r="BQ1901" s="81" t="n"/>
      <c r="BR1901" s="81" t="n"/>
      <c r="BS1901" s="81" t="n"/>
      <c r="BT1901" s="81" t="n"/>
      <c r="BU1901" s="81" t="n"/>
      <c r="BV1901" s="81" t="n"/>
      <c r="BW1901" s="81" t="n"/>
      <c r="BX1901" s="81" t="n"/>
      <c r="BY1901" s="81" t="n"/>
      <c r="BZ1901" s="81" t="n"/>
      <c r="CA1901" s="81" t="n"/>
      <c r="CB1901" s="81" t="n"/>
      <c r="CC1901" s="81" t="n"/>
      <c r="CD1901" s="81" t="n"/>
      <c r="CE1901" s="81" t="n"/>
      <c r="CF1901" s="81" t="n"/>
      <c r="CG1901" s="81" t="n"/>
      <c r="CH1901" s="81" t="n"/>
    </row>
    <row r="1902">
      <c r="A1902" s="81" t="n"/>
      <c r="B1902" s="81" t="n"/>
      <c r="C1902" s="81" t="n"/>
      <c r="D1902" s="81" t="n"/>
      <c r="E1902" s="81" t="n"/>
      <c r="F1902" s="81" t="n"/>
      <c r="G1902" s="81" t="n"/>
      <c r="H1902" s="81" t="n"/>
      <c r="I1902" s="81" t="n"/>
      <c r="J1902" s="81" t="n"/>
      <c r="K1902" s="81" t="n"/>
      <c r="L1902" s="81" t="n"/>
      <c r="M1902" s="81" t="n"/>
      <c r="N1902" s="81" t="n"/>
      <c r="O1902" s="81" t="n"/>
      <c r="P1902" s="81" t="n"/>
      <c r="Q1902" s="81" t="n"/>
      <c r="R1902" s="81" t="n"/>
      <c r="S1902" s="81" t="n"/>
      <c r="T1902" s="81" t="n"/>
      <c r="U1902" s="81" t="n"/>
      <c r="V1902" s="81" t="n"/>
      <c r="W1902" s="81" t="n"/>
      <c r="X1902" s="81" t="n"/>
      <c r="Y1902" s="81" t="n"/>
      <c r="Z1902" s="81" t="n"/>
      <c r="AA1902" s="81" t="n"/>
      <c r="AB1902" s="81" t="n"/>
      <c r="AC1902" s="81" t="n"/>
      <c r="AD1902" s="81" t="n"/>
      <c r="AE1902" s="81" t="n"/>
      <c r="AF1902" s="81" t="n"/>
      <c r="AG1902" s="81" t="n"/>
      <c r="AH1902" s="81" t="n"/>
      <c r="AI1902" s="81" t="n"/>
      <c r="AJ1902" s="81" t="n"/>
      <c r="AK1902" s="81" t="n"/>
      <c r="AL1902" s="81" t="n"/>
      <c r="AM1902" s="81" t="n"/>
      <c r="AN1902" s="81" t="n"/>
      <c r="AO1902" s="81" t="n"/>
      <c r="AP1902" s="81" t="n"/>
      <c r="AQ1902" s="81" t="n"/>
      <c r="AR1902" s="81" t="n"/>
      <c r="AS1902" s="81" t="n"/>
      <c r="AT1902" s="81" t="n"/>
      <c r="AU1902" s="81" t="n"/>
      <c r="AV1902" s="81" t="n"/>
      <c r="AW1902" s="81" t="n"/>
      <c r="AX1902" s="81" t="n"/>
      <c r="AY1902" s="81" t="n"/>
      <c r="AZ1902" s="81" t="n"/>
      <c r="BA1902" s="81" t="n"/>
      <c r="BB1902" s="81" t="n"/>
      <c r="BC1902" s="81" t="n"/>
      <c r="BD1902" s="81" t="n"/>
      <c r="BE1902" s="81" t="n"/>
      <c r="BF1902" s="81" t="n"/>
      <c r="BG1902" s="81" t="n"/>
      <c r="BH1902" s="81" t="n"/>
      <c r="BI1902" s="81" t="n"/>
      <c r="BJ1902" s="81" t="n"/>
      <c r="BK1902" s="81" t="n"/>
      <c r="BL1902" s="81" t="n"/>
      <c r="BM1902" s="81" t="n"/>
      <c r="BN1902" s="81" t="n"/>
      <c r="BO1902" s="81" t="n"/>
      <c r="BP1902" s="81" t="n"/>
      <c r="BQ1902" s="81" t="n"/>
      <c r="BR1902" s="81" t="n"/>
      <c r="BS1902" s="81" t="n"/>
      <c r="BT1902" s="81" t="n"/>
      <c r="BU1902" s="81" t="n"/>
      <c r="BV1902" s="81" t="n"/>
      <c r="BW1902" s="81" t="n"/>
      <c r="BX1902" s="81" t="n"/>
      <c r="BY1902" s="81" t="n"/>
      <c r="BZ1902" s="81" t="n"/>
      <c r="CA1902" s="81" t="n"/>
      <c r="CB1902" s="81" t="n"/>
      <c r="CC1902" s="81" t="n"/>
      <c r="CD1902" s="81" t="n"/>
      <c r="CE1902" s="81" t="n"/>
      <c r="CF1902" s="81" t="n"/>
      <c r="CG1902" s="81" t="n"/>
      <c r="CH1902" s="81" t="n"/>
    </row>
    <row r="1903">
      <c r="A1903" s="81" t="n"/>
      <c r="B1903" s="81" t="n"/>
      <c r="C1903" s="81" t="n"/>
      <c r="D1903" s="81" t="n"/>
      <c r="E1903" s="81" t="n"/>
      <c r="F1903" s="81" t="n"/>
      <c r="G1903" s="81" t="n"/>
      <c r="H1903" s="81" t="n"/>
      <c r="I1903" s="81" t="n"/>
      <c r="J1903" s="81" t="n"/>
      <c r="K1903" s="81" t="n"/>
      <c r="L1903" s="81" t="n"/>
      <c r="M1903" s="81" t="n"/>
      <c r="N1903" s="81" t="n"/>
      <c r="O1903" s="81" t="n"/>
      <c r="P1903" s="81" t="n"/>
      <c r="Q1903" s="81" t="n"/>
      <c r="R1903" s="81" t="n"/>
      <c r="S1903" s="81" t="n"/>
      <c r="T1903" s="81" t="n"/>
      <c r="U1903" s="81" t="n"/>
      <c r="V1903" s="81" t="n"/>
      <c r="W1903" s="81" t="n"/>
      <c r="X1903" s="81" t="n"/>
      <c r="Y1903" s="81" t="n"/>
      <c r="Z1903" s="81" t="n"/>
      <c r="AA1903" s="81" t="n"/>
      <c r="AB1903" s="81" t="n"/>
      <c r="AC1903" s="81" t="n"/>
      <c r="AD1903" s="81" t="n"/>
      <c r="AE1903" s="81" t="n"/>
      <c r="AF1903" s="81" t="n"/>
      <c r="AG1903" s="81" t="n"/>
      <c r="AH1903" s="81" t="n"/>
      <c r="AI1903" s="81" t="n"/>
      <c r="AJ1903" s="81" t="n"/>
      <c r="AK1903" s="81" t="n"/>
      <c r="AL1903" s="81" t="n"/>
      <c r="AM1903" s="81" t="n"/>
      <c r="AN1903" s="81" t="n"/>
      <c r="AO1903" s="81" t="n"/>
      <c r="AP1903" s="81" t="n"/>
      <c r="AQ1903" s="81" t="n"/>
      <c r="AR1903" s="81" t="n"/>
      <c r="AS1903" s="81" t="n"/>
      <c r="AT1903" s="81" t="n"/>
      <c r="AU1903" s="81" t="n"/>
      <c r="AV1903" s="81" t="n"/>
      <c r="AW1903" s="81" t="n"/>
      <c r="AX1903" s="81" t="n"/>
      <c r="AY1903" s="81" t="n"/>
      <c r="AZ1903" s="81" t="n"/>
      <c r="BA1903" s="81" t="n"/>
      <c r="BB1903" s="81" t="n"/>
      <c r="BC1903" s="81" t="n"/>
      <c r="BD1903" s="81" t="n"/>
      <c r="BE1903" s="81" t="n"/>
      <c r="BF1903" s="81" t="n"/>
      <c r="BG1903" s="81" t="n"/>
      <c r="BH1903" s="81" t="n"/>
      <c r="BI1903" s="81" t="n"/>
      <c r="BJ1903" s="81" t="n"/>
      <c r="BK1903" s="81" t="n"/>
      <c r="BL1903" s="81" t="n"/>
      <c r="BM1903" s="81" t="n"/>
      <c r="BN1903" s="81" t="n"/>
      <c r="BO1903" s="81" t="n"/>
      <c r="BP1903" s="81" t="n"/>
      <c r="BQ1903" s="81" t="n"/>
      <c r="BR1903" s="81" t="n"/>
      <c r="BS1903" s="81" t="n"/>
      <c r="BT1903" s="81" t="n"/>
      <c r="BU1903" s="81" t="n"/>
      <c r="BV1903" s="81" t="n"/>
      <c r="BW1903" s="81" t="n"/>
      <c r="BX1903" s="81" t="n"/>
      <c r="BY1903" s="81" t="n"/>
      <c r="BZ1903" s="81" t="n"/>
      <c r="CA1903" s="81" t="n"/>
      <c r="CB1903" s="81" t="n"/>
      <c r="CC1903" s="81" t="n"/>
      <c r="CD1903" s="81" t="n"/>
      <c r="CE1903" s="81" t="n"/>
      <c r="CF1903" s="81" t="n"/>
      <c r="CG1903" s="81" t="n"/>
      <c r="CH1903" s="81" t="n"/>
    </row>
    <row r="1904">
      <c r="A1904" s="81" t="n"/>
      <c r="B1904" s="81" t="n"/>
      <c r="C1904" s="81" t="n"/>
      <c r="D1904" s="81" t="n"/>
      <c r="E1904" s="81" t="n"/>
      <c r="F1904" s="81" t="n"/>
      <c r="G1904" s="81" t="n"/>
      <c r="H1904" s="81" t="n"/>
      <c r="I1904" s="81" t="n"/>
      <c r="J1904" s="81" t="n"/>
      <c r="K1904" s="81" t="n"/>
      <c r="L1904" s="81" t="n"/>
      <c r="M1904" s="81" t="n"/>
      <c r="N1904" s="81" t="n"/>
      <c r="O1904" s="81" t="n"/>
      <c r="P1904" s="81" t="n"/>
      <c r="Q1904" s="81" t="n"/>
      <c r="R1904" s="81" t="n"/>
      <c r="S1904" s="81" t="n"/>
      <c r="T1904" s="81" t="n"/>
      <c r="U1904" s="81" t="n"/>
      <c r="V1904" s="81" t="n"/>
      <c r="W1904" s="81" t="n"/>
      <c r="X1904" s="81" t="n"/>
      <c r="Y1904" s="81" t="n"/>
      <c r="Z1904" s="81" t="n"/>
      <c r="AA1904" s="81" t="n"/>
      <c r="AB1904" s="81" t="n"/>
      <c r="AC1904" s="81" t="n"/>
      <c r="AD1904" s="81" t="n"/>
      <c r="AE1904" s="81" t="n"/>
      <c r="AF1904" s="81" t="n"/>
      <c r="AG1904" s="81" t="n"/>
      <c r="AH1904" s="81" t="n"/>
      <c r="AI1904" s="81" t="n"/>
      <c r="AJ1904" s="81" t="n"/>
      <c r="AK1904" s="81" t="n"/>
      <c r="AL1904" s="81" t="n"/>
      <c r="AM1904" s="81" t="n"/>
      <c r="AN1904" s="81" t="n"/>
      <c r="AO1904" s="81" t="n"/>
      <c r="AP1904" s="81" t="n"/>
      <c r="AQ1904" s="81" t="n"/>
      <c r="AR1904" s="81" t="n"/>
      <c r="AS1904" s="81" t="n"/>
      <c r="AT1904" s="81" t="n"/>
      <c r="AU1904" s="81" t="n"/>
      <c r="AV1904" s="81" t="n"/>
      <c r="AW1904" s="81" t="n"/>
      <c r="AX1904" s="81" t="n"/>
      <c r="AY1904" s="81" t="n"/>
      <c r="AZ1904" s="81" t="n"/>
      <c r="BA1904" s="81" t="n"/>
      <c r="BB1904" s="81" t="n"/>
      <c r="BC1904" s="81" t="n"/>
      <c r="BD1904" s="81" t="n"/>
      <c r="BE1904" s="81" t="n"/>
      <c r="BF1904" s="81" t="n"/>
      <c r="BG1904" s="81" t="n"/>
      <c r="BH1904" s="81" t="n"/>
      <c r="BI1904" s="81" t="n"/>
      <c r="BJ1904" s="81" t="n"/>
      <c r="BK1904" s="81" t="n"/>
      <c r="BL1904" s="81" t="n"/>
      <c r="BM1904" s="81" t="n"/>
      <c r="BN1904" s="81" t="n"/>
      <c r="BO1904" s="81" t="n"/>
      <c r="BP1904" s="81" t="n"/>
      <c r="BQ1904" s="81" t="n"/>
      <c r="BR1904" s="81" t="n"/>
      <c r="BS1904" s="81" t="n"/>
      <c r="BT1904" s="81" t="n"/>
      <c r="BU1904" s="81" t="n"/>
      <c r="BV1904" s="81" t="n"/>
      <c r="BW1904" s="81" t="n"/>
      <c r="BX1904" s="81" t="n"/>
      <c r="BY1904" s="81" t="n"/>
      <c r="BZ1904" s="81" t="n"/>
      <c r="CA1904" s="81" t="n"/>
      <c r="CB1904" s="81" t="n"/>
      <c r="CC1904" s="81" t="n"/>
      <c r="CD1904" s="81" t="n"/>
      <c r="CE1904" s="81" t="n"/>
      <c r="CF1904" s="81" t="n"/>
      <c r="CG1904" s="81" t="n"/>
      <c r="CH1904" s="81" t="n"/>
    </row>
    <row r="1905">
      <c r="A1905" s="81" t="n"/>
      <c r="B1905" s="81" t="n"/>
      <c r="C1905" s="81" t="n"/>
      <c r="D1905" s="81" t="n"/>
      <c r="E1905" s="81" t="n"/>
      <c r="F1905" s="81" t="n"/>
      <c r="G1905" s="81" t="n"/>
      <c r="H1905" s="81" t="n"/>
      <c r="I1905" s="81" t="n"/>
      <c r="J1905" s="81" t="n"/>
      <c r="K1905" s="81" t="n"/>
      <c r="L1905" s="81" t="n"/>
      <c r="M1905" s="81" t="n"/>
      <c r="N1905" s="81" t="n"/>
      <c r="O1905" s="81" t="n"/>
      <c r="P1905" s="81" t="n"/>
      <c r="Q1905" s="81" t="n"/>
      <c r="R1905" s="81" t="n"/>
      <c r="S1905" s="81" t="n"/>
      <c r="T1905" s="81" t="n"/>
      <c r="U1905" s="81" t="n"/>
      <c r="V1905" s="81" t="n"/>
      <c r="W1905" s="81" t="n"/>
      <c r="X1905" s="81" t="n"/>
      <c r="Y1905" s="81" t="n"/>
      <c r="Z1905" s="81" t="n"/>
      <c r="AA1905" s="81" t="n"/>
      <c r="AB1905" s="81" t="n"/>
      <c r="AC1905" s="81" t="n"/>
      <c r="AD1905" s="81" t="n"/>
      <c r="AE1905" s="81" t="n"/>
      <c r="AF1905" s="81" t="n"/>
      <c r="AG1905" s="81" t="n"/>
      <c r="AH1905" s="81" t="n"/>
      <c r="AI1905" s="81" t="n"/>
      <c r="AJ1905" s="81" t="n"/>
      <c r="AK1905" s="81" t="n"/>
      <c r="AL1905" s="81" t="n"/>
      <c r="AM1905" s="81" t="n"/>
      <c r="AN1905" s="81" t="n"/>
      <c r="AO1905" s="81" t="n"/>
      <c r="AP1905" s="81" t="n"/>
      <c r="AQ1905" s="81" t="n"/>
      <c r="AR1905" s="81" t="n"/>
      <c r="AS1905" s="81" t="n"/>
      <c r="AT1905" s="81" t="n"/>
      <c r="AU1905" s="81" t="n"/>
      <c r="AV1905" s="81" t="n"/>
      <c r="AW1905" s="81" t="n"/>
      <c r="AX1905" s="81" t="n"/>
      <c r="AY1905" s="81" t="n"/>
      <c r="AZ1905" s="81" t="n"/>
      <c r="BA1905" s="81" t="n"/>
      <c r="BB1905" s="81" t="n"/>
      <c r="BC1905" s="81" t="n"/>
      <c r="BD1905" s="81" t="n"/>
      <c r="BE1905" s="81" t="n"/>
      <c r="BF1905" s="81" t="n"/>
      <c r="BG1905" s="81" t="n"/>
      <c r="BH1905" s="81" t="n"/>
      <c r="BI1905" s="81" t="n"/>
      <c r="BJ1905" s="81" t="n"/>
      <c r="BK1905" s="81" t="n"/>
      <c r="BL1905" s="81" t="n"/>
      <c r="BM1905" s="81" t="n"/>
      <c r="BN1905" s="81" t="n"/>
      <c r="BO1905" s="81" t="n"/>
      <c r="BP1905" s="81" t="n"/>
      <c r="BQ1905" s="81" t="n"/>
      <c r="BR1905" s="81" t="n"/>
      <c r="BS1905" s="81" t="n"/>
      <c r="BT1905" s="81" t="n"/>
      <c r="BU1905" s="81" t="n"/>
      <c r="BV1905" s="81" t="n"/>
      <c r="BW1905" s="81" t="n"/>
      <c r="BX1905" s="81" t="n"/>
      <c r="BY1905" s="81" t="n"/>
      <c r="BZ1905" s="81" t="n"/>
      <c r="CA1905" s="81" t="n"/>
      <c r="CB1905" s="81" t="n"/>
      <c r="CC1905" s="81" t="n"/>
      <c r="CD1905" s="81" t="n"/>
      <c r="CE1905" s="81" t="n"/>
      <c r="CF1905" s="81" t="n"/>
      <c r="CG1905" s="81" t="n"/>
      <c r="CH1905" s="81" t="n"/>
    </row>
    <row r="1906">
      <c r="A1906" s="81" t="n"/>
      <c r="B1906" s="81" t="n"/>
      <c r="C1906" s="81" t="n"/>
      <c r="D1906" s="81" t="n"/>
      <c r="E1906" s="81" t="n"/>
      <c r="F1906" s="81" t="n"/>
      <c r="G1906" s="81" t="n"/>
      <c r="H1906" s="81" t="n"/>
      <c r="I1906" s="81" t="n"/>
      <c r="J1906" s="81" t="n"/>
      <c r="K1906" s="81" t="n"/>
      <c r="L1906" s="81" t="n"/>
      <c r="M1906" s="81" t="n"/>
      <c r="N1906" s="81" t="n"/>
      <c r="O1906" s="81" t="n"/>
      <c r="P1906" s="81" t="n"/>
      <c r="Q1906" s="81" t="n"/>
      <c r="R1906" s="81" t="n"/>
      <c r="S1906" s="81" t="n"/>
      <c r="T1906" s="81" t="n"/>
      <c r="U1906" s="81" t="n"/>
      <c r="V1906" s="81" t="n"/>
      <c r="W1906" s="81" t="n"/>
      <c r="X1906" s="81" t="n"/>
      <c r="Y1906" s="81" t="n"/>
      <c r="Z1906" s="81" t="n"/>
      <c r="AA1906" s="81" t="n"/>
      <c r="AB1906" s="81" t="n"/>
      <c r="AC1906" s="81" t="n"/>
      <c r="AD1906" s="81" t="n"/>
      <c r="AE1906" s="81" t="n"/>
      <c r="AF1906" s="81" t="n"/>
      <c r="AG1906" s="81" t="n"/>
      <c r="AH1906" s="81" t="n"/>
      <c r="AI1906" s="81" t="n"/>
      <c r="AJ1906" s="81" t="n"/>
      <c r="AK1906" s="81" t="n"/>
      <c r="AL1906" s="81" t="n"/>
      <c r="AM1906" s="81" t="n"/>
      <c r="AN1906" s="81" t="n"/>
      <c r="AO1906" s="81" t="n"/>
      <c r="AP1906" s="81" t="n"/>
      <c r="AQ1906" s="81" t="n"/>
      <c r="AR1906" s="81" t="n"/>
      <c r="AS1906" s="81" t="n"/>
      <c r="AT1906" s="81" t="n"/>
      <c r="AU1906" s="81" t="n"/>
      <c r="AV1906" s="81" t="n"/>
      <c r="AW1906" s="81" t="n"/>
      <c r="AX1906" s="81" t="n"/>
      <c r="AY1906" s="81" t="n"/>
      <c r="AZ1906" s="81" t="n"/>
      <c r="BA1906" s="81" t="n"/>
      <c r="BB1906" s="81" t="n"/>
      <c r="BC1906" s="81" t="n"/>
      <c r="BD1906" s="81" t="n"/>
      <c r="BE1906" s="81" t="n"/>
      <c r="BF1906" s="81" t="n"/>
      <c r="BG1906" s="81" t="n"/>
      <c r="BH1906" s="81" t="n"/>
      <c r="BI1906" s="81" t="n"/>
      <c r="BJ1906" s="81" t="n"/>
      <c r="BK1906" s="81" t="n"/>
      <c r="BL1906" s="81" t="n"/>
      <c r="BM1906" s="81" t="n"/>
      <c r="BN1906" s="81" t="n"/>
      <c r="BO1906" s="81" t="n"/>
      <c r="BP1906" s="81" t="n"/>
      <c r="BQ1906" s="81" t="n"/>
      <c r="BR1906" s="81" t="n"/>
      <c r="BS1906" s="81" t="n"/>
      <c r="BT1906" s="81" t="n"/>
      <c r="BU1906" s="81" t="n"/>
      <c r="BV1906" s="81" t="n"/>
      <c r="BW1906" s="81" t="n"/>
      <c r="BX1906" s="81" t="n"/>
      <c r="BY1906" s="81" t="n"/>
      <c r="BZ1906" s="81" t="n"/>
      <c r="CA1906" s="81" t="n"/>
      <c r="CB1906" s="81" t="n"/>
      <c r="CC1906" s="81" t="n"/>
      <c r="CD1906" s="81" t="n"/>
      <c r="CE1906" s="81" t="n"/>
      <c r="CF1906" s="81" t="n"/>
      <c r="CG1906" s="81" t="n"/>
      <c r="CH1906" s="81" t="n"/>
    </row>
    <row r="1907">
      <c r="A1907" s="81" t="n"/>
      <c r="B1907" s="81" t="n"/>
      <c r="C1907" s="81" t="n"/>
      <c r="D1907" s="81" t="n"/>
      <c r="E1907" s="81" t="n"/>
      <c r="F1907" s="81" t="n"/>
      <c r="G1907" s="81" t="n"/>
      <c r="H1907" s="81" t="n"/>
      <c r="I1907" s="81" t="n"/>
      <c r="J1907" s="81" t="n"/>
      <c r="K1907" s="81" t="n"/>
      <c r="L1907" s="81" t="n"/>
      <c r="M1907" s="81" t="n"/>
      <c r="N1907" s="81" t="n"/>
      <c r="O1907" s="81" t="n"/>
      <c r="P1907" s="81" t="n"/>
      <c r="Q1907" s="81" t="n"/>
      <c r="R1907" s="81" t="n"/>
      <c r="S1907" s="81" t="n"/>
      <c r="T1907" s="81" t="n"/>
      <c r="U1907" s="81" t="n"/>
      <c r="V1907" s="81" t="n"/>
      <c r="W1907" s="81" t="n"/>
      <c r="X1907" s="81" t="n"/>
      <c r="Y1907" s="81" t="n"/>
      <c r="Z1907" s="81" t="n"/>
      <c r="AA1907" s="81" t="n"/>
      <c r="AB1907" s="81" t="n"/>
      <c r="AC1907" s="81" t="n"/>
      <c r="AD1907" s="81" t="n"/>
      <c r="AE1907" s="81" t="n"/>
      <c r="AF1907" s="81" t="n"/>
      <c r="AG1907" s="81" t="n"/>
      <c r="AH1907" s="81" t="n"/>
      <c r="AI1907" s="81" t="n"/>
      <c r="AJ1907" s="81" t="n"/>
      <c r="AK1907" s="81" t="n"/>
      <c r="AL1907" s="81" t="n"/>
      <c r="AM1907" s="81" t="n"/>
      <c r="AN1907" s="81" t="n"/>
      <c r="AO1907" s="81" t="n"/>
      <c r="AP1907" s="81" t="n"/>
      <c r="AQ1907" s="81" t="n"/>
      <c r="AR1907" s="81" t="n"/>
      <c r="AS1907" s="81" t="n"/>
      <c r="AT1907" s="81" t="n"/>
      <c r="AU1907" s="81" t="n"/>
      <c r="AV1907" s="81" t="n"/>
      <c r="AW1907" s="81" t="n"/>
      <c r="AX1907" s="81" t="n"/>
      <c r="AY1907" s="81" t="n"/>
      <c r="AZ1907" s="81" t="n"/>
      <c r="BA1907" s="81" t="n"/>
      <c r="BB1907" s="81" t="n"/>
      <c r="BC1907" s="81" t="n"/>
      <c r="BD1907" s="81" t="n"/>
      <c r="BE1907" s="81" t="n"/>
      <c r="BF1907" s="81" t="n"/>
      <c r="BG1907" s="81" t="n"/>
      <c r="BH1907" s="81" t="n"/>
      <c r="BI1907" s="81" t="n"/>
      <c r="BJ1907" s="81" t="n"/>
      <c r="BK1907" s="81" t="n"/>
      <c r="BL1907" s="81" t="n"/>
      <c r="BM1907" s="81" t="n"/>
      <c r="BN1907" s="81" t="n"/>
      <c r="BO1907" s="81" t="n"/>
      <c r="BP1907" s="81" t="n"/>
      <c r="BQ1907" s="81" t="n"/>
      <c r="BR1907" s="81" t="n"/>
      <c r="BS1907" s="81" t="n"/>
      <c r="BT1907" s="81" t="n"/>
      <c r="BU1907" s="81" t="n"/>
      <c r="BV1907" s="81" t="n"/>
      <c r="BW1907" s="81" t="n"/>
      <c r="BX1907" s="81" t="n"/>
      <c r="BY1907" s="81" t="n"/>
      <c r="BZ1907" s="81" t="n"/>
      <c r="CA1907" s="81" t="n"/>
      <c r="CB1907" s="81" t="n"/>
      <c r="CC1907" s="81" t="n"/>
      <c r="CD1907" s="81" t="n"/>
      <c r="CE1907" s="81" t="n"/>
      <c r="CF1907" s="81" t="n"/>
      <c r="CG1907" s="81" t="n"/>
      <c r="CH1907" s="81" t="n"/>
    </row>
    <row r="1908">
      <c r="A1908" s="81" t="n"/>
      <c r="B1908" s="81" t="n"/>
      <c r="C1908" s="81" t="n"/>
      <c r="D1908" s="81" t="n"/>
      <c r="E1908" s="81" t="n"/>
      <c r="F1908" s="81" t="n"/>
      <c r="G1908" s="81" t="n"/>
      <c r="H1908" s="81" t="n"/>
      <c r="I1908" s="81" t="n"/>
      <c r="J1908" s="81" t="n"/>
      <c r="K1908" s="81" t="n"/>
      <c r="L1908" s="81" t="n"/>
      <c r="M1908" s="81" t="n"/>
      <c r="N1908" s="81" t="n"/>
      <c r="O1908" s="81" t="n"/>
      <c r="P1908" s="81" t="n"/>
      <c r="Q1908" s="81" t="n"/>
      <c r="R1908" s="81" t="n"/>
      <c r="S1908" s="81" t="n"/>
      <c r="T1908" s="81" t="n"/>
      <c r="U1908" s="81" t="n"/>
      <c r="V1908" s="81" t="n"/>
      <c r="W1908" s="81" t="n"/>
      <c r="X1908" s="81" t="n"/>
      <c r="Y1908" s="81" t="n"/>
      <c r="Z1908" s="81" t="n"/>
      <c r="AA1908" s="81" t="n"/>
      <c r="AB1908" s="81" t="n"/>
      <c r="AC1908" s="81" t="n"/>
      <c r="AD1908" s="81" t="n"/>
      <c r="AE1908" s="81" t="n"/>
      <c r="AF1908" s="81" t="n"/>
      <c r="AG1908" s="81" t="n"/>
      <c r="AH1908" s="81" t="n"/>
      <c r="AI1908" s="81" t="n"/>
      <c r="AJ1908" s="81" t="n"/>
      <c r="AK1908" s="81" t="n"/>
      <c r="AL1908" s="81" t="n"/>
      <c r="AM1908" s="81" t="n"/>
      <c r="AN1908" s="81" t="n"/>
      <c r="AO1908" s="81" t="n"/>
      <c r="AP1908" s="81" t="n"/>
      <c r="AQ1908" s="81" t="n"/>
      <c r="AR1908" s="81" t="n"/>
      <c r="AS1908" s="81" t="n"/>
      <c r="AT1908" s="81" t="n"/>
      <c r="AU1908" s="81" t="n"/>
      <c r="AV1908" s="81" t="n"/>
      <c r="AW1908" s="81" t="n"/>
      <c r="AX1908" s="81" t="n"/>
      <c r="AY1908" s="81" t="n"/>
      <c r="AZ1908" s="81" t="n"/>
      <c r="BA1908" s="81" t="n"/>
      <c r="BB1908" s="81" t="n"/>
      <c r="BC1908" s="81" t="n"/>
      <c r="BD1908" s="81" t="n"/>
      <c r="BE1908" s="81" t="n"/>
      <c r="BF1908" s="81" t="n"/>
      <c r="BG1908" s="81" t="n"/>
      <c r="BH1908" s="81" t="n"/>
      <c r="BI1908" s="81" t="n"/>
      <c r="BJ1908" s="81" t="n"/>
      <c r="BK1908" s="81" t="n"/>
      <c r="BL1908" s="81" t="n"/>
      <c r="BM1908" s="81" t="n"/>
      <c r="BN1908" s="81" t="n"/>
      <c r="BO1908" s="81" t="n"/>
      <c r="BP1908" s="81" t="n"/>
      <c r="BQ1908" s="81" t="n"/>
      <c r="BR1908" s="81" t="n"/>
      <c r="BS1908" s="81" t="n"/>
      <c r="BT1908" s="81" t="n"/>
      <c r="BU1908" s="81" t="n"/>
      <c r="BV1908" s="81" t="n"/>
      <c r="BW1908" s="81" t="n"/>
      <c r="BX1908" s="81" t="n"/>
      <c r="BY1908" s="81" t="n"/>
      <c r="BZ1908" s="81" t="n"/>
      <c r="CA1908" s="81" t="n"/>
      <c r="CB1908" s="81" t="n"/>
      <c r="CC1908" s="81" t="n"/>
      <c r="CD1908" s="81" t="n"/>
      <c r="CE1908" s="81" t="n"/>
      <c r="CF1908" s="81" t="n"/>
      <c r="CG1908" s="81" t="n"/>
      <c r="CH1908" s="81" t="n"/>
    </row>
    <row r="1909">
      <c r="A1909" s="81" t="n"/>
      <c r="B1909" s="81" t="n"/>
      <c r="C1909" s="81" t="n"/>
      <c r="D1909" s="81" t="n"/>
      <c r="E1909" s="81" t="n"/>
      <c r="F1909" s="81" t="n"/>
      <c r="G1909" s="81" t="n"/>
      <c r="H1909" s="81" t="n"/>
      <c r="I1909" s="81" t="n"/>
      <c r="J1909" s="81" t="n"/>
      <c r="K1909" s="81" t="n"/>
      <c r="L1909" s="81" t="n"/>
      <c r="M1909" s="81" t="n"/>
      <c r="N1909" s="81" t="n"/>
      <c r="O1909" s="81" t="n"/>
      <c r="P1909" s="81" t="n"/>
      <c r="Q1909" s="81" t="n"/>
      <c r="R1909" s="81" t="n"/>
      <c r="S1909" s="81" t="n"/>
      <c r="T1909" s="81" t="n"/>
      <c r="U1909" s="81" t="n"/>
      <c r="V1909" s="81" t="n"/>
      <c r="W1909" s="81" t="n"/>
      <c r="X1909" s="81" t="n"/>
      <c r="Y1909" s="81" t="n"/>
      <c r="Z1909" s="81" t="n"/>
      <c r="AA1909" s="81" t="n"/>
      <c r="AB1909" s="81" t="n"/>
      <c r="AC1909" s="81" t="n"/>
      <c r="AD1909" s="81" t="n"/>
      <c r="AE1909" s="81" t="n"/>
      <c r="AF1909" s="81" t="n"/>
      <c r="AG1909" s="81" t="n"/>
      <c r="AH1909" s="81" t="n"/>
      <c r="AI1909" s="81" t="n"/>
      <c r="AJ1909" s="81" t="n"/>
      <c r="AK1909" s="81" t="n"/>
      <c r="AL1909" s="81" t="n"/>
      <c r="AM1909" s="81" t="n"/>
      <c r="AN1909" s="81" t="n"/>
      <c r="AO1909" s="81" t="n"/>
      <c r="AP1909" s="81" t="n"/>
      <c r="AQ1909" s="81" t="n"/>
      <c r="AR1909" s="81" t="n"/>
      <c r="AS1909" s="81" t="n"/>
      <c r="AT1909" s="81" t="n"/>
      <c r="AU1909" s="81" t="n"/>
      <c r="AV1909" s="81" t="n"/>
      <c r="AW1909" s="81" t="n"/>
      <c r="AX1909" s="81" t="n"/>
      <c r="AY1909" s="81" t="n"/>
      <c r="AZ1909" s="81" t="n"/>
      <c r="BA1909" s="81" t="n"/>
      <c r="BB1909" s="81" t="n"/>
      <c r="BC1909" s="81" t="n"/>
      <c r="BD1909" s="81" t="n"/>
      <c r="BE1909" s="81" t="n"/>
      <c r="BF1909" s="81" t="n"/>
      <c r="BG1909" s="81" t="n"/>
      <c r="BH1909" s="81" t="n"/>
      <c r="BI1909" s="81" t="n"/>
      <c r="BJ1909" s="81" t="n"/>
      <c r="BK1909" s="81" t="n"/>
      <c r="BL1909" s="81" t="n"/>
      <c r="BM1909" s="81" t="n"/>
      <c r="BN1909" s="81" t="n"/>
      <c r="BO1909" s="81" t="n"/>
      <c r="BP1909" s="81" t="n"/>
      <c r="BQ1909" s="81" t="n"/>
      <c r="BR1909" s="81" t="n"/>
      <c r="BS1909" s="81" t="n"/>
      <c r="BT1909" s="81" t="n"/>
      <c r="BU1909" s="81" t="n"/>
      <c r="BV1909" s="81" t="n"/>
      <c r="BW1909" s="81" t="n"/>
      <c r="BX1909" s="81" t="n"/>
      <c r="BY1909" s="81" t="n"/>
      <c r="BZ1909" s="81" t="n"/>
      <c r="CA1909" s="81" t="n"/>
      <c r="CB1909" s="81" t="n"/>
      <c r="CC1909" s="81" t="n"/>
      <c r="CD1909" s="81" t="n"/>
      <c r="CE1909" s="81" t="n"/>
      <c r="CF1909" s="81" t="n"/>
      <c r="CG1909" s="81" t="n"/>
      <c r="CH1909" s="81" t="n"/>
    </row>
    <row r="1910">
      <c r="A1910" s="81" t="n"/>
      <c r="B1910" s="81" t="n"/>
      <c r="C1910" s="81" t="n"/>
      <c r="D1910" s="81" t="n"/>
      <c r="E1910" s="81" t="n"/>
      <c r="F1910" s="81" t="n"/>
      <c r="G1910" s="81" t="n"/>
      <c r="H1910" s="81" t="n"/>
      <c r="I1910" s="81" t="n"/>
      <c r="J1910" s="81" t="n"/>
      <c r="K1910" s="81" t="n"/>
      <c r="L1910" s="81" t="n"/>
      <c r="M1910" s="81" t="n"/>
      <c r="N1910" s="81" t="n"/>
      <c r="O1910" s="81" t="n"/>
      <c r="P1910" s="81" t="n"/>
      <c r="Q1910" s="81" t="n"/>
      <c r="R1910" s="81" t="n"/>
      <c r="S1910" s="81" t="n"/>
      <c r="T1910" s="81" t="n"/>
      <c r="U1910" s="81" t="n"/>
      <c r="V1910" s="81" t="n"/>
      <c r="W1910" s="81" t="n"/>
      <c r="X1910" s="81" t="n"/>
      <c r="Y1910" s="81" t="n"/>
      <c r="Z1910" s="81" t="n"/>
      <c r="AA1910" s="81" t="n"/>
      <c r="AB1910" s="81" t="n"/>
      <c r="AC1910" s="81" t="n"/>
      <c r="AD1910" s="81" t="n"/>
      <c r="AE1910" s="81" t="n"/>
      <c r="AF1910" s="81" t="n"/>
      <c r="AG1910" s="81" t="n"/>
      <c r="AH1910" s="81" t="n"/>
      <c r="AI1910" s="81" t="n"/>
      <c r="AJ1910" s="81" t="n"/>
      <c r="AK1910" s="81" t="n"/>
      <c r="AL1910" s="81" t="n"/>
      <c r="AM1910" s="81" t="n"/>
      <c r="AN1910" s="81" t="n"/>
      <c r="AO1910" s="81" t="n"/>
      <c r="AP1910" s="81" t="n"/>
      <c r="AQ1910" s="81" t="n"/>
      <c r="AR1910" s="81" t="n"/>
      <c r="AS1910" s="81" t="n"/>
      <c r="AT1910" s="81" t="n"/>
      <c r="AU1910" s="81" t="n"/>
      <c r="AV1910" s="81" t="n"/>
      <c r="AW1910" s="81" t="n"/>
      <c r="AX1910" s="81" t="n"/>
      <c r="AY1910" s="81" t="n"/>
      <c r="AZ1910" s="81" t="n"/>
      <c r="BA1910" s="81" t="n"/>
      <c r="BB1910" s="81" t="n"/>
      <c r="BC1910" s="81" t="n"/>
      <c r="BD1910" s="81" t="n"/>
      <c r="BE1910" s="81" t="n"/>
      <c r="BF1910" s="81" t="n"/>
      <c r="BG1910" s="81" t="n"/>
      <c r="BH1910" s="81" t="n"/>
      <c r="BI1910" s="81" t="n"/>
      <c r="BJ1910" s="81" t="n"/>
      <c r="BK1910" s="81" t="n"/>
      <c r="BL1910" s="81" t="n"/>
      <c r="BM1910" s="81" t="n"/>
      <c r="BN1910" s="81" t="n"/>
      <c r="BO1910" s="81" t="n"/>
      <c r="BP1910" s="81" t="n"/>
      <c r="BQ1910" s="81" t="n"/>
      <c r="BR1910" s="81" t="n"/>
      <c r="BS1910" s="81" t="n"/>
      <c r="BT1910" s="81" t="n"/>
      <c r="BU1910" s="81" t="n"/>
      <c r="BV1910" s="81" t="n"/>
      <c r="BW1910" s="81" t="n"/>
      <c r="BX1910" s="81" t="n"/>
      <c r="BY1910" s="81" t="n"/>
      <c r="BZ1910" s="81" t="n"/>
      <c r="CA1910" s="81" t="n"/>
      <c r="CB1910" s="81" t="n"/>
      <c r="CC1910" s="81" t="n"/>
      <c r="CD1910" s="81" t="n"/>
      <c r="CE1910" s="81" t="n"/>
      <c r="CF1910" s="81" t="n"/>
      <c r="CG1910" s="81" t="n"/>
      <c r="CH1910" s="81" t="n"/>
    </row>
    <row r="1911">
      <c r="A1911" s="81" t="n"/>
      <c r="B1911" s="81" t="n"/>
      <c r="C1911" s="81" t="n"/>
      <c r="D1911" s="81" t="n"/>
      <c r="E1911" s="81" t="n"/>
      <c r="F1911" s="81" t="n"/>
      <c r="G1911" s="81" t="n"/>
      <c r="H1911" s="81" t="n"/>
      <c r="I1911" s="81" t="n"/>
      <c r="J1911" s="81" t="n"/>
      <c r="K1911" s="81" t="n"/>
      <c r="L1911" s="81" t="n"/>
      <c r="M1911" s="81" t="n"/>
      <c r="N1911" s="81" t="n"/>
      <c r="O1911" s="81" t="n"/>
      <c r="P1911" s="81" t="n"/>
      <c r="Q1911" s="81" t="n"/>
      <c r="R1911" s="81" t="n"/>
      <c r="S1911" s="81" t="n"/>
      <c r="T1911" s="81" t="n"/>
      <c r="U1911" s="81" t="n"/>
      <c r="V1911" s="81" t="n"/>
      <c r="W1911" s="81" t="n"/>
      <c r="X1911" s="81" t="n"/>
      <c r="Y1911" s="81" t="n"/>
      <c r="Z1911" s="81" t="n"/>
      <c r="AA1911" s="81" t="n"/>
      <c r="AB1911" s="81" t="n"/>
      <c r="AC1911" s="81" t="n"/>
      <c r="AD1911" s="81" t="n"/>
      <c r="AE1911" s="81" t="n"/>
      <c r="AF1911" s="81" t="n"/>
      <c r="AG1911" s="81" t="n"/>
      <c r="AH1911" s="81" t="n"/>
      <c r="AI1911" s="81" t="n"/>
      <c r="AJ1911" s="81" t="n"/>
      <c r="AK1911" s="81" t="n"/>
      <c r="AL1911" s="81" t="n"/>
      <c r="AM1911" s="81" t="n"/>
      <c r="AN1911" s="81" t="n"/>
      <c r="AO1911" s="81" t="n"/>
      <c r="AP1911" s="81" t="n"/>
      <c r="AQ1911" s="81" t="n"/>
      <c r="AR1911" s="81" t="n"/>
      <c r="AS1911" s="81" t="n"/>
      <c r="AT1911" s="81" t="n"/>
      <c r="AU1911" s="81" t="n"/>
      <c r="AV1911" s="81" t="n"/>
      <c r="AW1911" s="81" t="n"/>
      <c r="AX1911" s="81" t="n"/>
      <c r="AY1911" s="81" t="n"/>
      <c r="AZ1911" s="81" t="n"/>
      <c r="BA1911" s="81" t="n"/>
      <c r="BB1911" s="81" t="n"/>
      <c r="BC1911" s="81" t="n"/>
      <c r="BD1911" s="81" t="n"/>
      <c r="BE1911" s="81" t="n"/>
      <c r="BF1911" s="81" t="n"/>
      <c r="BG1911" s="81" t="n"/>
      <c r="BH1911" s="81" t="n"/>
      <c r="BI1911" s="81" t="n"/>
      <c r="BJ1911" s="81" t="n"/>
      <c r="BK1911" s="81" t="n"/>
      <c r="BL1911" s="81" t="n"/>
      <c r="BM1911" s="81" t="n"/>
      <c r="BN1911" s="81" t="n"/>
      <c r="BO1911" s="81" t="n"/>
      <c r="BP1911" s="81" t="n"/>
      <c r="BQ1911" s="81" t="n"/>
      <c r="BR1911" s="81" t="n"/>
      <c r="BS1911" s="81" t="n"/>
      <c r="BT1911" s="81" t="n"/>
      <c r="BU1911" s="81" t="n"/>
      <c r="BV1911" s="81" t="n"/>
      <c r="BW1911" s="81" t="n"/>
      <c r="BX1911" s="81" t="n"/>
      <c r="BY1911" s="81" t="n"/>
      <c r="BZ1911" s="81" t="n"/>
      <c r="CA1911" s="81" t="n"/>
      <c r="CB1911" s="81" t="n"/>
      <c r="CC1911" s="81" t="n"/>
      <c r="CD1911" s="81" t="n"/>
      <c r="CE1911" s="81" t="n"/>
      <c r="CF1911" s="81" t="n"/>
      <c r="CG1911" s="81" t="n"/>
      <c r="CH1911" s="81" t="n"/>
    </row>
    <row r="1912">
      <c r="A1912" s="81" t="n"/>
      <c r="B1912" s="81" t="n"/>
      <c r="C1912" s="81" t="n"/>
      <c r="D1912" s="81" t="n"/>
      <c r="E1912" s="81" t="n"/>
      <c r="F1912" s="81" t="n"/>
      <c r="G1912" s="81" t="n"/>
      <c r="H1912" s="81" t="n"/>
      <c r="I1912" s="81" t="n"/>
      <c r="J1912" s="81" t="n"/>
      <c r="K1912" s="81" t="n"/>
      <c r="L1912" s="81" t="n"/>
      <c r="M1912" s="81" t="n"/>
      <c r="N1912" s="81" t="n"/>
      <c r="O1912" s="81" t="n"/>
      <c r="P1912" s="81" t="n"/>
      <c r="Q1912" s="81" t="n"/>
      <c r="R1912" s="81" t="n"/>
      <c r="S1912" s="81" t="n"/>
      <c r="T1912" s="81" t="n"/>
      <c r="U1912" s="81" t="n"/>
      <c r="V1912" s="81" t="n"/>
      <c r="W1912" s="81" t="n"/>
      <c r="X1912" s="81" t="n"/>
      <c r="Y1912" s="81" t="n"/>
      <c r="Z1912" s="81" t="n"/>
      <c r="AA1912" s="81" t="n"/>
      <c r="AB1912" s="81" t="n"/>
      <c r="AC1912" s="81" t="n"/>
      <c r="AD1912" s="81" t="n"/>
      <c r="AE1912" s="81" t="n"/>
      <c r="AF1912" s="81" t="n"/>
      <c r="AG1912" s="81" t="n"/>
      <c r="AH1912" s="81" t="n"/>
      <c r="AI1912" s="81" t="n"/>
      <c r="AJ1912" s="81" t="n"/>
      <c r="AK1912" s="81" t="n"/>
      <c r="AL1912" s="81" t="n"/>
      <c r="AM1912" s="81" t="n"/>
      <c r="AN1912" s="81" t="n"/>
      <c r="AO1912" s="81" t="n"/>
      <c r="AP1912" s="81" t="n"/>
      <c r="AQ1912" s="81" t="n"/>
      <c r="AR1912" s="81" t="n"/>
      <c r="AS1912" s="81" t="n"/>
      <c r="AT1912" s="81" t="n"/>
      <c r="AU1912" s="81" t="n"/>
      <c r="AV1912" s="81" t="n"/>
      <c r="AW1912" s="81" t="n"/>
      <c r="AX1912" s="81" t="n"/>
      <c r="AY1912" s="81" t="n"/>
      <c r="AZ1912" s="81" t="n"/>
      <c r="BA1912" s="81" t="n"/>
      <c r="BB1912" s="81" t="n"/>
      <c r="BC1912" s="81" t="n"/>
      <c r="BD1912" s="81" t="n"/>
      <c r="BE1912" s="81" t="n"/>
      <c r="BF1912" s="81" t="n"/>
      <c r="BG1912" s="81" t="n"/>
      <c r="BH1912" s="81" t="n"/>
      <c r="BI1912" s="81" t="n"/>
      <c r="BJ1912" s="81" t="n"/>
      <c r="BK1912" s="81" t="n"/>
      <c r="BL1912" s="81" t="n"/>
      <c r="BM1912" s="81" t="n"/>
      <c r="BN1912" s="81" t="n"/>
      <c r="BO1912" s="81" t="n"/>
      <c r="BP1912" s="81" t="n"/>
      <c r="BQ1912" s="81" t="n"/>
      <c r="BR1912" s="81" t="n"/>
      <c r="BS1912" s="81" t="n"/>
      <c r="BT1912" s="81" t="n"/>
      <c r="BU1912" s="81" t="n"/>
      <c r="BV1912" s="81" t="n"/>
      <c r="BW1912" s="81" t="n"/>
      <c r="BX1912" s="81" t="n"/>
      <c r="BY1912" s="81" t="n"/>
      <c r="BZ1912" s="81" t="n"/>
      <c r="CA1912" s="81" t="n"/>
      <c r="CB1912" s="81" t="n"/>
      <c r="CC1912" s="81" t="n"/>
      <c r="CD1912" s="81" t="n"/>
      <c r="CE1912" s="81" t="n"/>
      <c r="CF1912" s="81" t="n"/>
      <c r="CG1912" s="81" t="n"/>
      <c r="CH1912" s="81" t="n"/>
    </row>
    <row r="1913">
      <c r="A1913" s="81" t="n"/>
      <c r="B1913" s="81" t="n"/>
      <c r="C1913" s="81" t="n"/>
      <c r="D1913" s="81" t="n"/>
      <c r="E1913" s="81" t="n"/>
      <c r="F1913" s="81" t="n"/>
      <c r="G1913" s="81" t="n"/>
      <c r="H1913" s="81" t="n"/>
      <c r="I1913" s="81" t="n"/>
      <c r="J1913" s="81" t="n"/>
      <c r="K1913" s="81" t="n"/>
      <c r="L1913" s="81" t="n"/>
      <c r="M1913" s="81" t="n"/>
      <c r="N1913" s="81" t="n"/>
      <c r="O1913" s="81" t="n"/>
      <c r="P1913" s="81" t="n"/>
      <c r="Q1913" s="81" t="n"/>
      <c r="R1913" s="81" t="n"/>
      <c r="S1913" s="81" t="n"/>
      <c r="T1913" s="81" t="n"/>
      <c r="U1913" s="81" t="n"/>
      <c r="V1913" s="81" t="n"/>
      <c r="W1913" s="81" t="n"/>
      <c r="X1913" s="81" t="n"/>
      <c r="Y1913" s="81" t="n"/>
      <c r="Z1913" s="81" t="n"/>
      <c r="AA1913" s="81" t="n"/>
      <c r="AB1913" s="81" t="n"/>
      <c r="AC1913" s="81" t="n"/>
      <c r="AD1913" s="81" t="n"/>
      <c r="AE1913" s="81" t="n"/>
      <c r="AF1913" s="81" t="n"/>
      <c r="AG1913" s="81" t="n"/>
      <c r="AH1913" s="81" t="n"/>
      <c r="AI1913" s="81" t="n"/>
      <c r="AJ1913" s="81" t="n"/>
      <c r="AK1913" s="81" t="n"/>
      <c r="AL1913" s="81" t="n"/>
      <c r="AM1913" s="81" t="n"/>
      <c r="AN1913" s="81" t="n"/>
      <c r="AO1913" s="81" t="n"/>
      <c r="AP1913" s="81" t="n"/>
      <c r="AQ1913" s="81" t="n"/>
      <c r="AR1913" s="81" t="n"/>
      <c r="AS1913" s="81" t="n"/>
      <c r="AT1913" s="81" t="n"/>
      <c r="AU1913" s="81" t="n"/>
      <c r="AV1913" s="81" t="n"/>
      <c r="AW1913" s="81" t="n"/>
      <c r="AX1913" s="81" t="n"/>
      <c r="AY1913" s="81" t="n"/>
      <c r="AZ1913" s="81" t="n"/>
      <c r="BA1913" s="81" t="n"/>
      <c r="BB1913" s="81" t="n"/>
      <c r="BC1913" s="81" t="n"/>
      <c r="BD1913" s="81" t="n"/>
      <c r="BE1913" s="81" t="n"/>
      <c r="BF1913" s="81" t="n"/>
      <c r="BG1913" s="81" t="n"/>
      <c r="BH1913" s="81" t="n"/>
      <c r="BI1913" s="81" t="n"/>
      <c r="BJ1913" s="81" t="n"/>
      <c r="BK1913" s="81" t="n"/>
      <c r="BL1913" s="81" t="n"/>
      <c r="BM1913" s="81" t="n"/>
      <c r="BN1913" s="81" t="n"/>
      <c r="BO1913" s="81" t="n"/>
      <c r="BP1913" s="81" t="n"/>
      <c r="BQ1913" s="81" t="n"/>
      <c r="BR1913" s="81" t="n"/>
      <c r="BS1913" s="81" t="n"/>
      <c r="BT1913" s="81" t="n"/>
      <c r="BU1913" s="81" t="n"/>
      <c r="BV1913" s="81" t="n"/>
      <c r="BW1913" s="81" t="n"/>
      <c r="BX1913" s="81" t="n"/>
      <c r="BY1913" s="81" t="n"/>
      <c r="BZ1913" s="81" t="n"/>
      <c r="CA1913" s="81" t="n"/>
      <c r="CB1913" s="81" t="n"/>
      <c r="CC1913" s="81" t="n"/>
      <c r="CD1913" s="81" t="n"/>
      <c r="CE1913" s="81" t="n"/>
      <c r="CF1913" s="81" t="n"/>
      <c r="CG1913" s="81" t="n"/>
      <c r="CH1913" s="81" t="n"/>
    </row>
    <row r="1914">
      <c r="A1914" s="81" t="n"/>
      <c r="B1914" s="81" t="n"/>
      <c r="C1914" s="81" t="n"/>
      <c r="D1914" s="81" t="n"/>
      <c r="E1914" s="81" t="n"/>
      <c r="F1914" s="81" t="n"/>
      <c r="G1914" s="81" t="n"/>
      <c r="H1914" s="81" t="n"/>
      <c r="I1914" s="81" t="n"/>
      <c r="J1914" s="81" t="n"/>
      <c r="K1914" s="81" t="n"/>
      <c r="L1914" s="81" t="n"/>
      <c r="M1914" s="81" t="n"/>
      <c r="N1914" s="81" t="n"/>
      <c r="O1914" s="81" t="n"/>
      <c r="P1914" s="81" t="n"/>
      <c r="Q1914" s="81" t="n"/>
      <c r="R1914" s="81" t="n"/>
      <c r="S1914" s="81" t="n"/>
      <c r="T1914" s="81" t="n"/>
      <c r="U1914" s="81" t="n"/>
      <c r="V1914" s="81" t="n"/>
      <c r="W1914" s="81" t="n"/>
      <c r="X1914" s="81" t="n"/>
      <c r="Y1914" s="81" t="n"/>
      <c r="Z1914" s="81" t="n"/>
      <c r="AA1914" s="81" t="n"/>
      <c r="AB1914" s="81" t="n"/>
      <c r="AC1914" s="81" t="n"/>
      <c r="AD1914" s="81" t="n"/>
      <c r="AE1914" s="81" t="n"/>
      <c r="AF1914" s="81" t="n"/>
      <c r="AG1914" s="81" t="n"/>
      <c r="AH1914" s="81" t="n"/>
      <c r="AI1914" s="81" t="n"/>
      <c r="AJ1914" s="81" t="n"/>
      <c r="AK1914" s="81" t="n"/>
      <c r="AL1914" s="81" t="n"/>
      <c r="AM1914" s="81" t="n"/>
      <c r="AN1914" s="81" t="n"/>
      <c r="AO1914" s="81" t="n"/>
      <c r="AP1914" s="81" t="n"/>
      <c r="AQ1914" s="81" t="n"/>
      <c r="AR1914" s="81" t="n"/>
      <c r="AS1914" s="81" t="n"/>
      <c r="AT1914" s="81" t="n"/>
      <c r="AU1914" s="81" t="n"/>
      <c r="AV1914" s="81" t="n"/>
      <c r="AW1914" s="81" t="n"/>
      <c r="AX1914" s="81" t="n"/>
      <c r="AY1914" s="81" t="n"/>
      <c r="AZ1914" s="81" t="n"/>
      <c r="BA1914" s="81" t="n"/>
      <c r="BB1914" s="81" t="n"/>
      <c r="BC1914" s="81" t="n"/>
      <c r="BD1914" s="81" t="n"/>
      <c r="BE1914" s="81" t="n"/>
      <c r="BF1914" s="81" t="n"/>
      <c r="BG1914" s="81" t="n"/>
      <c r="BH1914" s="81" t="n"/>
      <c r="BI1914" s="81" t="n"/>
      <c r="BJ1914" s="81" t="n"/>
      <c r="BK1914" s="81" t="n"/>
      <c r="BL1914" s="81" t="n"/>
      <c r="BM1914" s="81" t="n"/>
      <c r="BN1914" s="81" t="n"/>
      <c r="BO1914" s="81" t="n"/>
      <c r="BP1914" s="81" t="n"/>
      <c r="BQ1914" s="81" t="n"/>
      <c r="BR1914" s="81" t="n"/>
      <c r="BS1914" s="81" t="n"/>
      <c r="BT1914" s="81" t="n"/>
      <c r="BU1914" s="81" t="n"/>
      <c r="BV1914" s="81" t="n"/>
      <c r="BW1914" s="81" t="n"/>
      <c r="BX1914" s="81" t="n"/>
      <c r="BY1914" s="81" t="n"/>
      <c r="BZ1914" s="81" t="n"/>
      <c r="CA1914" s="81" t="n"/>
      <c r="CB1914" s="81" t="n"/>
      <c r="CC1914" s="81" t="n"/>
      <c r="CD1914" s="81" t="n"/>
      <c r="CE1914" s="81" t="n"/>
      <c r="CF1914" s="81" t="n"/>
      <c r="CG1914" s="81" t="n"/>
      <c r="CH1914" s="81" t="n"/>
    </row>
    <row r="1915">
      <c r="A1915" s="81" t="n"/>
      <c r="B1915" s="81" t="n"/>
      <c r="C1915" s="81" t="n"/>
      <c r="D1915" s="81" t="n"/>
      <c r="E1915" s="81" t="n"/>
      <c r="F1915" s="81" t="n"/>
      <c r="G1915" s="81" t="n"/>
      <c r="H1915" s="81" t="n"/>
      <c r="I1915" s="81" t="n"/>
      <c r="J1915" s="81" t="n"/>
      <c r="K1915" s="81" t="n"/>
      <c r="L1915" s="81" t="n"/>
      <c r="M1915" s="81" t="n"/>
      <c r="N1915" s="81" t="n"/>
      <c r="O1915" s="81" t="n"/>
      <c r="P1915" s="81" t="n"/>
      <c r="Q1915" s="81" t="n"/>
      <c r="R1915" s="81" t="n"/>
      <c r="S1915" s="81" t="n"/>
      <c r="T1915" s="81" t="n"/>
      <c r="U1915" s="81" t="n"/>
      <c r="V1915" s="81" t="n"/>
      <c r="W1915" s="81" t="n"/>
      <c r="X1915" s="81" t="n"/>
      <c r="Y1915" s="81" t="n"/>
      <c r="Z1915" s="81" t="n"/>
      <c r="AA1915" s="81" t="n"/>
      <c r="AB1915" s="81" t="n"/>
      <c r="AC1915" s="81" t="n"/>
      <c r="AD1915" s="81" t="n"/>
      <c r="AE1915" s="81" t="n"/>
      <c r="AF1915" s="81" t="n"/>
      <c r="AG1915" s="81" t="n"/>
      <c r="AH1915" s="81" t="n"/>
      <c r="AI1915" s="81" t="n"/>
      <c r="AJ1915" s="81" t="n"/>
      <c r="AK1915" s="81" t="n"/>
      <c r="AL1915" s="81" t="n"/>
      <c r="AM1915" s="81" t="n"/>
      <c r="AN1915" s="81" t="n"/>
      <c r="AO1915" s="81" t="n"/>
      <c r="AP1915" s="81" t="n"/>
      <c r="AQ1915" s="81" t="n"/>
      <c r="AR1915" s="81" t="n"/>
      <c r="AS1915" s="81" t="n"/>
      <c r="AT1915" s="81" t="n"/>
      <c r="AU1915" s="81" t="n"/>
      <c r="AV1915" s="81" t="n"/>
      <c r="AW1915" s="81" t="n"/>
      <c r="AX1915" s="81" t="n"/>
      <c r="AY1915" s="81" t="n"/>
      <c r="AZ1915" s="81" t="n"/>
      <c r="BA1915" s="81" t="n"/>
      <c r="BB1915" s="81" t="n"/>
      <c r="BC1915" s="81" t="n"/>
      <c r="BD1915" s="81" t="n"/>
      <c r="BE1915" s="81" t="n"/>
      <c r="BF1915" s="81" t="n"/>
      <c r="BG1915" s="81" t="n"/>
      <c r="BH1915" s="81" t="n"/>
      <c r="BI1915" s="81" t="n"/>
      <c r="BJ1915" s="81" t="n"/>
      <c r="BK1915" s="81" t="n"/>
      <c r="BL1915" s="81" t="n"/>
      <c r="BM1915" s="81" t="n"/>
      <c r="BN1915" s="81" t="n"/>
      <c r="BO1915" s="81" t="n"/>
      <c r="BP1915" s="81" t="n"/>
      <c r="BQ1915" s="81" t="n"/>
      <c r="BR1915" s="81" t="n"/>
      <c r="BS1915" s="81" t="n"/>
      <c r="BT1915" s="81" t="n"/>
      <c r="BU1915" s="81" t="n"/>
      <c r="BV1915" s="81" t="n"/>
      <c r="BW1915" s="81" t="n"/>
      <c r="BX1915" s="81" t="n"/>
      <c r="BY1915" s="81" t="n"/>
      <c r="BZ1915" s="81" t="n"/>
      <c r="CA1915" s="81" t="n"/>
      <c r="CB1915" s="81" t="n"/>
      <c r="CC1915" s="81" t="n"/>
      <c r="CD1915" s="81" t="n"/>
      <c r="CE1915" s="81" t="n"/>
      <c r="CF1915" s="81" t="n"/>
      <c r="CG1915" s="81" t="n"/>
      <c r="CH1915" s="81" t="n"/>
    </row>
    <row r="1916">
      <c r="A1916" s="81" t="n"/>
      <c r="B1916" s="81" t="n"/>
      <c r="C1916" s="81" t="n"/>
      <c r="D1916" s="81" t="n"/>
      <c r="E1916" s="81" t="n"/>
      <c r="F1916" s="81" t="n"/>
      <c r="G1916" s="81" t="n"/>
      <c r="H1916" s="81" t="n"/>
      <c r="I1916" s="81" t="n"/>
      <c r="J1916" s="81" t="n"/>
      <c r="K1916" s="81" t="n"/>
      <c r="L1916" s="81" t="n"/>
      <c r="M1916" s="81" t="n"/>
      <c r="N1916" s="81" t="n"/>
      <c r="O1916" s="81" t="n"/>
      <c r="P1916" s="81" t="n"/>
      <c r="Q1916" s="81" t="n"/>
      <c r="R1916" s="81" t="n"/>
      <c r="S1916" s="81" t="n"/>
      <c r="T1916" s="81" t="n"/>
      <c r="U1916" s="81" t="n"/>
      <c r="V1916" s="81" t="n"/>
      <c r="W1916" s="81" t="n"/>
      <c r="X1916" s="81" t="n"/>
      <c r="Y1916" s="81" t="n"/>
      <c r="Z1916" s="81" t="n"/>
      <c r="AA1916" s="81" t="n"/>
      <c r="AB1916" s="81" t="n"/>
      <c r="AC1916" s="81" t="n"/>
      <c r="AD1916" s="81" t="n"/>
      <c r="AE1916" s="81" t="n"/>
      <c r="AF1916" s="81" t="n"/>
      <c r="AG1916" s="81" t="n"/>
      <c r="AH1916" s="81" t="n"/>
      <c r="AI1916" s="81" t="n"/>
      <c r="AJ1916" s="81" t="n"/>
      <c r="AK1916" s="81" t="n"/>
      <c r="AL1916" s="81" t="n"/>
      <c r="AM1916" s="81" t="n"/>
      <c r="AN1916" s="81" t="n"/>
      <c r="AO1916" s="81" t="n"/>
      <c r="AP1916" s="81" t="n"/>
      <c r="AQ1916" s="81" t="n"/>
      <c r="AR1916" s="81" t="n"/>
      <c r="AS1916" s="81" t="n"/>
      <c r="AT1916" s="81" t="n"/>
      <c r="AU1916" s="81" t="n"/>
      <c r="AV1916" s="81" t="n"/>
      <c r="AW1916" s="81" t="n"/>
      <c r="AX1916" s="81" t="n"/>
      <c r="AY1916" s="81" t="n"/>
      <c r="AZ1916" s="81" t="n"/>
      <c r="BA1916" s="81" t="n"/>
      <c r="BB1916" s="81" t="n"/>
      <c r="BC1916" s="81" t="n"/>
      <c r="BD1916" s="81" t="n"/>
      <c r="BE1916" s="81" t="n"/>
      <c r="BF1916" s="81" t="n"/>
      <c r="BG1916" s="81" t="n"/>
      <c r="BH1916" s="81" t="n"/>
      <c r="BI1916" s="81" t="n"/>
      <c r="BJ1916" s="81" t="n"/>
      <c r="BK1916" s="81" t="n"/>
      <c r="BL1916" s="81" t="n"/>
      <c r="BM1916" s="81" t="n"/>
      <c r="BN1916" s="81" t="n"/>
      <c r="BO1916" s="81" t="n"/>
      <c r="BP1916" s="81" t="n"/>
      <c r="BQ1916" s="81" t="n"/>
      <c r="BR1916" s="81" t="n"/>
      <c r="BS1916" s="81" t="n"/>
      <c r="BT1916" s="81" t="n"/>
      <c r="BU1916" s="81" t="n"/>
      <c r="BV1916" s="81" t="n"/>
      <c r="BW1916" s="81" t="n"/>
      <c r="BX1916" s="81" t="n"/>
      <c r="BY1916" s="81" t="n"/>
      <c r="BZ1916" s="81" t="n"/>
      <c r="CA1916" s="81" t="n"/>
      <c r="CB1916" s="81" t="n"/>
      <c r="CC1916" s="81" t="n"/>
      <c r="CD1916" s="81" t="n"/>
      <c r="CE1916" s="81" t="n"/>
      <c r="CF1916" s="81" t="n"/>
      <c r="CG1916" s="81" t="n"/>
      <c r="CH1916" s="81" t="n"/>
    </row>
    <row r="1917">
      <c r="A1917" s="81" t="n"/>
      <c r="B1917" s="81" t="n"/>
      <c r="C1917" s="81" t="n"/>
      <c r="D1917" s="81" t="n"/>
      <c r="E1917" s="81" t="n"/>
      <c r="F1917" s="81" t="n"/>
      <c r="G1917" s="81" t="n"/>
      <c r="H1917" s="81" t="n"/>
      <c r="I1917" s="81" t="n"/>
      <c r="J1917" s="81" t="n"/>
      <c r="K1917" s="81" t="n"/>
      <c r="L1917" s="81" t="n"/>
      <c r="M1917" s="81" t="n"/>
      <c r="N1917" s="81" t="n"/>
      <c r="O1917" s="81" t="n"/>
      <c r="P1917" s="81" t="n"/>
      <c r="Q1917" s="81" t="n"/>
      <c r="R1917" s="81" t="n"/>
      <c r="S1917" s="81" t="n"/>
      <c r="T1917" s="81" t="n"/>
      <c r="U1917" s="81" t="n"/>
      <c r="V1917" s="81" t="n"/>
      <c r="W1917" s="81" t="n"/>
      <c r="X1917" s="81" t="n"/>
      <c r="Y1917" s="81" t="n"/>
      <c r="Z1917" s="81" t="n"/>
      <c r="AA1917" s="81" t="n"/>
      <c r="AB1917" s="81" t="n"/>
      <c r="AC1917" s="81" t="n"/>
      <c r="AD1917" s="81" t="n"/>
      <c r="AE1917" s="81" t="n"/>
      <c r="AF1917" s="81" t="n"/>
      <c r="AG1917" s="81" t="n"/>
      <c r="AH1917" s="81" t="n"/>
      <c r="AI1917" s="81" t="n"/>
      <c r="AJ1917" s="81" t="n"/>
      <c r="AK1917" s="81" t="n"/>
      <c r="AL1917" s="81" t="n"/>
      <c r="AM1917" s="81" t="n"/>
      <c r="AN1917" s="81" t="n"/>
      <c r="AO1917" s="81" t="n"/>
      <c r="AP1917" s="81" t="n"/>
      <c r="AQ1917" s="81" t="n"/>
      <c r="AR1917" s="81" t="n"/>
      <c r="AS1917" s="81" t="n"/>
      <c r="AT1917" s="81" t="n"/>
      <c r="AU1917" s="81" t="n"/>
      <c r="AV1917" s="81" t="n"/>
      <c r="AW1917" s="81" t="n"/>
      <c r="AX1917" s="81" t="n"/>
      <c r="AY1917" s="81" t="n"/>
      <c r="AZ1917" s="81" t="n"/>
      <c r="BA1917" s="81" t="n"/>
      <c r="BB1917" s="81" t="n"/>
      <c r="BC1917" s="81" t="n"/>
      <c r="BD1917" s="81" t="n"/>
      <c r="BE1917" s="81" t="n"/>
      <c r="BF1917" s="81" t="n"/>
      <c r="BG1917" s="81" t="n"/>
      <c r="BH1917" s="81" t="n"/>
      <c r="BI1917" s="81" t="n"/>
      <c r="BJ1917" s="81" t="n"/>
      <c r="BK1917" s="81" t="n"/>
      <c r="BL1917" s="81" t="n"/>
      <c r="BM1917" s="81" t="n"/>
      <c r="BN1917" s="81" t="n"/>
      <c r="BO1917" s="81" t="n"/>
      <c r="BP1917" s="81" t="n"/>
      <c r="BQ1917" s="81" t="n"/>
      <c r="BR1917" s="81" t="n"/>
      <c r="BS1917" s="81" t="n"/>
      <c r="BT1917" s="81" t="n"/>
      <c r="BU1917" s="81" t="n"/>
      <c r="BV1917" s="81" t="n"/>
      <c r="BW1917" s="81" t="n"/>
      <c r="BX1917" s="81" t="n"/>
      <c r="BY1917" s="81" t="n"/>
      <c r="BZ1917" s="81" t="n"/>
      <c r="CA1917" s="81" t="n"/>
      <c r="CB1917" s="81" t="n"/>
      <c r="CC1917" s="81" t="n"/>
      <c r="CD1917" s="81" t="n"/>
      <c r="CE1917" s="81" t="n"/>
      <c r="CF1917" s="81" t="n"/>
      <c r="CG1917" s="81" t="n"/>
      <c r="CH1917" s="81" t="n"/>
    </row>
    <row r="1918">
      <c r="A1918" s="81" t="n"/>
      <c r="B1918" s="81" t="n"/>
      <c r="C1918" s="81" t="n"/>
      <c r="D1918" s="81" t="n"/>
      <c r="E1918" s="81" t="n"/>
      <c r="F1918" s="81" t="n"/>
      <c r="G1918" s="81" t="n"/>
      <c r="H1918" s="81" t="n"/>
      <c r="I1918" s="81" t="n"/>
      <c r="J1918" s="81" t="n"/>
      <c r="K1918" s="81" t="n"/>
      <c r="L1918" s="81" t="n"/>
      <c r="M1918" s="81" t="n"/>
      <c r="N1918" s="81" t="n"/>
      <c r="O1918" s="81" t="n"/>
      <c r="P1918" s="81" t="n"/>
      <c r="Q1918" s="81" t="n"/>
      <c r="R1918" s="81" t="n"/>
      <c r="S1918" s="81" t="n"/>
      <c r="T1918" s="81" t="n"/>
      <c r="U1918" s="81" t="n"/>
      <c r="V1918" s="81" t="n"/>
      <c r="W1918" s="81" t="n"/>
      <c r="X1918" s="81" t="n"/>
      <c r="Y1918" s="81" t="n"/>
      <c r="Z1918" s="81" t="n"/>
      <c r="AA1918" s="81" t="n"/>
      <c r="AB1918" s="81" t="n"/>
      <c r="AC1918" s="81" t="n"/>
      <c r="AD1918" s="81" t="n"/>
      <c r="AE1918" s="81" t="n"/>
      <c r="AF1918" s="81" t="n"/>
      <c r="AG1918" s="81" t="n"/>
      <c r="AH1918" s="81" t="n"/>
      <c r="AI1918" s="81" t="n"/>
      <c r="AJ1918" s="81" t="n"/>
      <c r="AK1918" s="81" t="n"/>
      <c r="AL1918" s="81" t="n"/>
      <c r="AM1918" s="81" t="n"/>
      <c r="AN1918" s="81" t="n"/>
      <c r="AO1918" s="81" t="n"/>
      <c r="AP1918" s="81" t="n"/>
      <c r="AQ1918" s="81" t="n"/>
      <c r="AR1918" s="81" t="n"/>
      <c r="AS1918" s="81" t="n"/>
      <c r="AT1918" s="81" t="n"/>
      <c r="AU1918" s="81" t="n"/>
      <c r="AV1918" s="81" t="n"/>
      <c r="AW1918" s="81" t="n"/>
      <c r="AX1918" s="81" t="n"/>
      <c r="AY1918" s="81" t="n"/>
      <c r="AZ1918" s="81" t="n"/>
      <c r="BA1918" s="81" t="n"/>
      <c r="BB1918" s="81" t="n"/>
      <c r="BC1918" s="81" t="n"/>
      <c r="BD1918" s="81" t="n"/>
      <c r="BE1918" s="81" t="n"/>
      <c r="BF1918" s="81" t="n"/>
      <c r="BG1918" s="81" t="n"/>
      <c r="BH1918" s="81" t="n"/>
      <c r="BI1918" s="81" t="n"/>
      <c r="BJ1918" s="81" t="n"/>
      <c r="BK1918" s="81" t="n"/>
      <c r="BL1918" s="81" t="n"/>
      <c r="BM1918" s="81" t="n"/>
      <c r="BN1918" s="81" t="n"/>
      <c r="BO1918" s="81" t="n"/>
      <c r="BP1918" s="81" t="n"/>
      <c r="BQ1918" s="81" t="n"/>
      <c r="BR1918" s="81" t="n"/>
      <c r="BS1918" s="81" t="n"/>
      <c r="BT1918" s="81" t="n"/>
      <c r="BU1918" s="81" t="n"/>
      <c r="BV1918" s="81" t="n"/>
      <c r="BW1918" s="81" t="n"/>
      <c r="BX1918" s="81" t="n"/>
      <c r="BY1918" s="81" t="n"/>
      <c r="BZ1918" s="81" t="n"/>
      <c r="CA1918" s="81" t="n"/>
      <c r="CB1918" s="81" t="n"/>
      <c r="CC1918" s="81" t="n"/>
      <c r="CD1918" s="81" t="n"/>
      <c r="CE1918" s="81" t="n"/>
      <c r="CF1918" s="81" t="n"/>
      <c r="CG1918" s="81" t="n"/>
      <c r="CH1918" s="81" t="n"/>
    </row>
    <row r="1919">
      <c r="A1919" s="81" t="n"/>
      <c r="B1919" s="81" t="n"/>
      <c r="C1919" s="81" t="n"/>
      <c r="D1919" s="81" t="n"/>
      <c r="E1919" s="81" t="n"/>
      <c r="F1919" s="81" t="n"/>
      <c r="G1919" s="81" t="n"/>
      <c r="H1919" s="81" t="n"/>
      <c r="I1919" s="81" t="n"/>
      <c r="J1919" s="81" t="n"/>
      <c r="K1919" s="81" t="n"/>
      <c r="L1919" s="81" t="n"/>
      <c r="M1919" s="81" t="n"/>
      <c r="N1919" s="81" t="n"/>
      <c r="O1919" s="81" t="n"/>
      <c r="P1919" s="81" t="n"/>
      <c r="Q1919" s="81" t="n"/>
      <c r="R1919" s="81" t="n"/>
      <c r="S1919" s="81" t="n"/>
      <c r="T1919" s="81" t="n"/>
      <c r="U1919" s="81" t="n"/>
      <c r="V1919" s="81" t="n"/>
      <c r="W1919" s="81" t="n"/>
      <c r="X1919" s="81" t="n"/>
      <c r="Y1919" s="81" t="n"/>
      <c r="Z1919" s="81" t="n"/>
      <c r="AA1919" s="81" t="n"/>
      <c r="AB1919" s="81" t="n"/>
      <c r="AC1919" s="81" t="n"/>
      <c r="AD1919" s="81" t="n"/>
      <c r="AE1919" s="81" t="n"/>
      <c r="AF1919" s="81" t="n"/>
      <c r="AG1919" s="81" t="n"/>
      <c r="AH1919" s="81" t="n"/>
      <c r="AI1919" s="81" t="n"/>
      <c r="AJ1919" s="81" t="n"/>
      <c r="AK1919" s="81" t="n"/>
      <c r="AL1919" s="81" t="n"/>
      <c r="AM1919" s="81" t="n"/>
      <c r="AN1919" s="81" t="n"/>
      <c r="AO1919" s="81" t="n"/>
      <c r="AP1919" s="81" t="n"/>
      <c r="AQ1919" s="81" t="n"/>
      <c r="AR1919" s="81" t="n"/>
      <c r="AS1919" s="81" t="n"/>
      <c r="AT1919" s="81" t="n"/>
      <c r="AU1919" s="81" t="n"/>
      <c r="AV1919" s="81" t="n"/>
      <c r="AW1919" s="81" t="n"/>
      <c r="AX1919" s="81" t="n"/>
      <c r="AY1919" s="81" t="n"/>
      <c r="AZ1919" s="81" t="n"/>
      <c r="BA1919" s="81" t="n"/>
      <c r="BB1919" s="81" t="n"/>
      <c r="BC1919" s="81" t="n"/>
      <c r="BD1919" s="81" t="n"/>
      <c r="BE1919" s="81" t="n"/>
      <c r="BF1919" s="81" t="n"/>
      <c r="BG1919" s="81" t="n"/>
      <c r="BH1919" s="81" t="n"/>
      <c r="BI1919" s="81" t="n"/>
      <c r="BJ1919" s="81" t="n"/>
      <c r="BK1919" s="81" t="n"/>
      <c r="BL1919" s="81" t="n"/>
      <c r="BM1919" s="81" t="n"/>
      <c r="BN1919" s="81" t="n"/>
      <c r="BO1919" s="81" t="n"/>
      <c r="BP1919" s="81" t="n"/>
      <c r="BQ1919" s="81" t="n"/>
      <c r="BR1919" s="81" t="n"/>
      <c r="BS1919" s="81" t="n"/>
      <c r="BT1919" s="81" t="n"/>
      <c r="BU1919" s="81" t="n"/>
      <c r="BV1919" s="81" t="n"/>
      <c r="BW1919" s="81" t="n"/>
      <c r="BX1919" s="81" t="n"/>
      <c r="BY1919" s="81" t="n"/>
      <c r="BZ1919" s="81" t="n"/>
      <c r="CA1919" s="81" t="n"/>
      <c r="CB1919" s="81" t="n"/>
      <c r="CC1919" s="81" t="n"/>
      <c r="CD1919" s="81" t="n"/>
      <c r="CE1919" s="81" t="n"/>
      <c r="CF1919" s="81" t="n"/>
      <c r="CG1919" s="81" t="n"/>
      <c r="CH1919" s="81" t="n"/>
    </row>
    <row r="1920">
      <c r="A1920" s="81" t="n"/>
      <c r="B1920" s="81" t="n"/>
      <c r="C1920" s="81" t="n"/>
      <c r="D1920" s="81" t="n"/>
      <c r="E1920" s="81" t="n"/>
      <c r="F1920" s="81" t="n"/>
      <c r="G1920" s="81" t="n"/>
      <c r="H1920" s="81" t="n"/>
      <c r="I1920" s="81" t="n"/>
      <c r="J1920" s="81" t="n"/>
      <c r="K1920" s="81" t="n"/>
      <c r="L1920" s="81" t="n"/>
      <c r="M1920" s="81" t="n"/>
      <c r="N1920" s="81" t="n"/>
      <c r="O1920" s="81" t="n"/>
      <c r="P1920" s="81" t="n"/>
      <c r="Q1920" s="81" t="n"/>
      <c r="R1920" s="81" t="n"/>
      <c r="S1920" s="81" t="n"/>
      <c r="T1920" s="81" t="n"/>
      <c r="U1920" s="81" t="n"/>
      <c r="V1920" s="81" t="n"/>
      <c r="W1920" s="81" t="n"/>
      <c r="X1920" s="81" t="n"/>
      <c r="Y1920" s="81" t="n"/>
      <c r="Z1920" s="81" t="n"/>
      <c r="AA1920" s="81" t="n"/>
      <c r="AB1920" s="81" t="n"/>
      <c r="AC1920" s="81" t="n"/>
      <c r="AD1920" s="81" t="n"/>
      <c r="AE1920" s="81" t="n"/>
      <c r="AF1920" s="81" t="n"/>
      <c r="AG1920" s="81" t="n"/>
      <c r="AH1920" s="81" t="n"/>
      <c r="AI1920" s="81" t="n"/>
      <c r="AJ1920" s="81" t="n"/>
      <c r="AK1920" s="81" t="n"/>
      <c r="AL1920" s="81" t="n"/>
      <c r="AM1920" s="81" t="n"/>
      <c r="AN1920" s="81" t="n"/>
      <c r="AO1920" s="81" t="n"/>
      <c r="AP1920" s="81" t="n"/>
      <c r="AQ1920" s="81" t="n"/>
      <c r="AR1920" s="81" t="n"/>
      <c r="AS1920" s="81" t="n"/>
      <c r="AT1920" s="81" t="n"/>
      <c r="AU1920" s="81" t="n"/>
      <c r="AV1920" s="81" t="n"/>
      <c r="AW1920" s="81" t="n"/>
      <c r="AX1920" s="81" t="n"/>
      <c r="AY1920" s="81" t="n"/>
      <c r="AZ1920" s="81" t="n"/>
      <c r="BA1920" s="81" t="n"/>
      <c r="BB1920" s="81" t="n"/>
      <c r="BC1920" s="81" t="n"/>
      <c r="BD1920" s="81" t="n"/>
      <c r="BE1920" s="81" t="n"/>
      <c r="BF1920" s="81" t="n"/>
      <c r="BG1920" s="81" t="n"/>
      <c r="BH1920" s="81" t="n"/>
      <c r="BI1920" s="81" t="n"/>
      <c r="BJ1920" s="81" t="n"/>
      <c r="BK1920" s="81" t="n"/>
      <c r="BL1920" s="81" t="n"/>
      <c r="BM1920" s="81" t="n"/>
      <c r="BN1920" s="81" t="n"/>
      <c r="BO1920" s="81" t="n"/>
      <c r="BP1920" s="81" t="n"/>
      <c r="BQ1920" s="81" t="n"/>
      <c r="BR1920" s="81" t="n"/>
      <c r="BS1920" s="81" t="n"/>
      <c r="BT1920" s="81" t="n"/>
      <c r="BU1920" s="81" t="n"/>
      <c r="BV1920" s="81" t="n"/>
      <c r="BW1920" s="81" t="n"/>
      <c r="BX1920" s="81" t="n"/>
      <c r="BY1920" s="81" t="n"/>
      <c r="BZ1920" s="81" t="n"/>
      <c r="CA1920" s="81" t="n"/>
      <c r="CB1920" s="81" t="n"/>
      <c r="CC1920" s="81" t="n"/>
      <c r="CD1920" s="81" t="n"/>
      <c r="CE1920" s="81" t="n"/>
      <c r="CF1920" s="81" t="n"/>
      <c r="CG1920" s="81" t="n"/>
      <c r="CH1920" s="81" t="n"/>
    </row>
    <row r="1921">
      <c r="A1921" s="81" t="n"/>
      <c r="B1921" s="81" t="n"/>
      <c r="C1921" s="81" t="n"/>
      <c r="D1921" s="81" t="n"/>
      <c r="E1921" s="81" t="n"/>
      <c r="F1921" s="81" t="n"/>
      <c r="G1921" s="81" t="n"/>
      <c r="H1921" s="81" t="n"/>
      <c r="I1921" s="81" t="n"/>
      <c r="J1921" s="81" t="n"/>
      <c r="K1921" s="81" t="n"/>
      <c r="L1921" s="81" t="n"/>
      <c r="M1921" s="81" t="n"/>
      <c r="N1921" s="81" t="n"/>
      <c r="O1921" s="81" t="n"/>
      <c r="P1921" s="81" t="n"/>
      <c r="Q1921" s="81" t="n"/>
      <c r="R1921" s="81" t="n"/>
      <c r="S1921" s="81" t="n"/>
      <c r="T1921" s="81" t="n"/>
      <c r="U1921" s="81" t="n"/>
      <c r="V1921" s="81" t="n"/>
      <c r="W1921" s="81" t="n"/>
      <c r="X1921" s="81" t="n"/>
      <c r="Y1921" s="81" t="n"/>
      <c r="Z1921" s="81" t="n"/>
      <c r="AA1921" s="81" t="n"/>
      <c r="AB1921" s="81" t="n"/>
      <c r="AC1921" s="81" t="n"/>
      <c r="AD1921" s="81" t="n"/>
      <c r="AE1921" s="81" t="n"/>
      <c r="AF1921" s="81" t="n"/>
      <c r="AG1921" s="81" t="n"/>
      <c r="AH1921" s="81" t="n"/>
      <c r="AI1921" s="81" t="n"/>
      <c r="AJ1921" s="81" t="n"/>
      <c r="AK1921" s="81" t="n"/>
      <c r="AL1921" s="81" t="n"/>
      <c r="AM1921" s="81" t="n"/>
      <c r="AN1921" s="81" t="n"/>
      <c r="AO1921" s="81" t="n"/>
      <c r="AP1921" s="81" t="n"/>
      <c r="AQ1921" s="81" t="n"/>
      <c r="AR1921" s="81" t="n"/>
      <c r="AS1921" s="81" t="n"/>
      <c r="AT1921" s="81" t="n"/>
      <c r="AU1921" s="81" t="n"/>
      <c r="AV1921" s="81" t="n"/>
      <c r="AW1921" s="81" t="n"/>
      <c r="AX1921" s="81" t="n"/>
      <c r="AY1921" s="81" t="n"/>
      <c r="AZ1921" s="81" t="n"/>
      <c r="BA1921" s="81" t="n"/>
      <c r="BB1921" s="81" t="n"/>
      <c r="BC1921" s="81" t="n"/>
      <c r="BD1921" s="81" t="n"/>
      <c r="BE1921" s="81" t="n"/>
      <c r="BF1921" s="81" t="n"/>
      <c r="BG1921" s="81" t="n"/>
      <c r="BH1921" s="81" t="n"/>
      <c r="BI1921" s="81" t="n"/>
      <c r="BJ1921" s="81" t="n"/>
      <c r="BK1921" s="81" t="n"/>
      <c r="BL1921" s="81" t="n"/>
      <c r="BM1921" s="81" t="n"/>
      <c r="BN1921" s="81" t="n"/>
      <c r="BO1921" s="81" t="n"/>
      <c r="BP1921" s="81" t="n"/>
      <c r="BQ1921" s="81" t="n"/>
      <c r="BR1921" s="81" t="n"/>
      <c r="BS1921" s="81" t="n"/>
      <c r="BT1921" s="81" t="n"/>
      <c r="BU1921" s="81" t="n"/>
      <c r="BV1921" s="81" t="n"/>
      <c r="BW1921" s="81" t="n"/>
      <c r="BX1921" s="81" t="n"/>
      <c r="BY1921" s="81" t="n"/>
      <c r="BZ1921" s="81" t="n"/>
      <c r="CA1921" s="81" t="n"/>
      <c r="CB1921" s="81" t="n"/>
      <c r="CC1921" s="81" t="n"/>
      <c r="CD1921" s="81" t="n"/>
      <c r="CE1921" s="81" t="n"/>
      <c r="CF1921" s="81" t="n"/>
      <c r="CG1921" s="81" t="n"/>
      <c r="CH1921" s="81" t="n"/>
    </row>
    <row r="1922">
      <c r="A1922" s="81" t="n"/>
      <c r="B1922" s="81" t="n"/>
      <c r="C1922" s="81" t="n"/>
      <c r="D1922" s="81" t="n"/>
      <c r="E1922" s="81" t="n"/>
      <c r="F1922" s="81" t="n"/>
      <c r="G1922" s="81" t="n"/>
      <c r="H1922" s="81" t="n"/>
      <c r="I1922" s="81" t="n"/>
      <c r="J1922" s="81" t="n"/>
      <c r="K1922" s="81" t="n"/>
      <c r="L1922" s="81" t="n"/>
      <c r="M1922" s="81" t="n"/>
      <c r="N1922" s="81" t="n"/>
      <c r="O1922" s="81" t="n"/>
      <c r="P1922" s="81" t="n"/>
      <c r="Q1922" s="81" t="n"/>
      <c r="R1922" s="81" t="n"/>
      <c r="S1922" s="81" t="n"/>
      <c r="T1922" s="81" t="n"/>
      <c r="U1922" s="81" t="n"/>
      <c r="V1922" s="81" t="n"/>
      <c r="W1922" s="81" t="n"/>
      <c r="X1922" s="81" t="n"/>
      <c r="Y1922" s="81" t="n"/>
      <c r="Z1922" s="81" t="n"/>
      <c r="AA1922" s="81" t="n"/>
      <c r="AB1922" s="81" t="n"/>
      <c r="AC1922" s="81" t="n"/>
      <c r="AD1922" s="81" t="n"/>
      <c r="AE1922" s="81" t="n"/>
      <c r="AF1922" s="81" t="n"/>
      <c r="AG1922" s="81" t="n"/>
      <c r="AH1922" s="81" t="n"/>
      <c r="AI1922" s="81" t="n"/>
      <c r="AJ1922" s="81" t="n"/>
      <c r="AK1922" s="81" t="n"/>
      <c r="AL1922" s="81" t="n"/>
      <c r="AM1922" s="81" t="n"/>
      <c r="AN1922" s="81" t="n"/>
      <c r="AO1922" s="81" t="n"/>
      <c r="AP1922" s="81" t="n"/>
      <c r="AQ1922" s="81" t="n"/>
      <c r="AR1922" s="81" t="n"/>
      <c r="AS1922" s="81" t="n"/>
      <c r="AT1922" s="81" t="n"/>
      <c r="AU1922" s="81" t="n"/>
      <c r="AV1922" s="81" t="n"/>
      <c r="AW1922" s="81" t="n"/>
      <c r="AX1922" s="81" t="n"/>
      <c r="AY1922" s="81" t="n"/>
      <c r="AZ1922" s="81" t="n"/>
      <c r="BA1922" s="81" t="n"/>
      <c r="BB1922" s="81" t="n"/>
      <c r="BC1922" s="81" t="n"/>
      <c r="BD1922" s="81" t="n"/>
      <c r="BE1922" s="81" t="n"/>
      <c r="BF1922" s="81" t="n"/>
      <c r="BG1922" s="81" t="n"/>
      <c r="BH1922" s="81" t="n"/>
      <c r="BI1922" s="81" t="n"/>
      <c r="BJ1922" s="81" t="n"/>
      <c r="BK1922" s="81" t="n"/>
      <c r="BL1922" s="81" t="n"/>
      <c r="BM1922" s="81" t="n"/>
      <c r="BN1922" s="81" t="n"/>
      <c r="BO1922" s="81" t="n"/>
      <c r="BP1922" s="81" t="n"/>
      <c r="BQ1922" s="81" t="n"/>
      <c r="BR1922" s="81" t="n"/>
      <c r="BS1922" s="81" t="n"/>
      <c r="BT1922" s="81" t="n"/>
      <c r="BU1922" s="81" t="n"/>
      <c r="BV1922" s="81" t="n"/>
      <c r="BW1922" s="81" t="n"/>
      <c r="BX1922" s="81" t="n"/>
      <c r="BY1922" s="81" t="n"/>
      <c r="BZ1922" s="81" t="n"/>
      <c r="CA1922" s="81" t="n"/>
      <c r="CB1922" s="81" t="n"/>
      <c r="CC1922" s="81" t="n"/>
      <c r="CD1922" s="81" t="n"/>
      <c r="CE1922" s="81" t="n"/>
      <c r="CF1922" s="81" t="n"/>
      <c r="CG1922" s="81" t="n"/>
      <c r="CH1922" s="81" t="n"/>
    </row>
    <row r="1923">
      <c r="A1923" s="81" t="n"/>
      <c r="B1923" s="81" t="n"/>
      <c r="C1923" s="81" t="n"/>
      <c r="D1923" s="81" t="n"/>
      <c r="E1923" s="81" t="n"/>
      <c r="F1923" s="81" t="n"/>
      <c r="G1923" s="81" t="n"/>
      <c r="H1923" s="81" t="n"/>
      <c r="I1923" s="81" t="n"/>
      <c r="J1923" s="81" t="n"/>
      <c r="K1923" s="81" t="n"/>
      <c r="L1923" s="81" t="n"/>
      <c r="M1923" s="81" t="n"/>
      <c r="N1923" s="81" t="n"/>
      <c r="O1923" s="81" t="n"/>
      <c r="P1923" s="81" t="n"/>
      <c r="Q1923" s="81" t="n"/>
      <c r="R1923" s="81" t="n"/>
      <c r="S1923" s="81" t="n"/>
      <c r="T1923" s="81" t="n"/>
      <c r="U1923" s="81" t="n"/>
      <c r="V1923" s="81" t="n"/>
      <c r="W1923" s="81" t="n"/>
      <c r="X1923" s="81" t="n"/>
      <c r="Y1923" s="81" t="n"/>
      <c r="Z1923" s="81" t="n"/>
      <c r="AA1923" s="81" t="n"/>
      <c r="AB1923" s="81" t="n"/>
      <c r="AC1923" s="81" t="n"/>
      <c r="AD1923" s="81" t="n"/>
      <c r="AE1923" s="81" t="n"/>
      <c r="AF1923" s="81" t="n"/>
      <c r="AG1923" s="81" t="n"/>
      <c r="AH1923" s="81" t="n"/>
      <c r="AI1923" s="81" t="n"/>
      <c r="AJ1923" s="81" t="n"/>
      <c r="AK1923" s="81" t="n"/>
      <c r="AL1923" s="81" t="n"/>
      <c r="AM1923" s="81" t="n"/>
      <c r="AN1923" s="81" t="n"/>
      <c r="AO1923" s="81" t="n"/>
      <c r="AP1923" s="81" t="n"/>
      <c r="AQ1923" s="81" t="n"/>
      <c r="AR1923" s="81" t="n"/>
      <c r="AS1923" s="81" t="n"/>
      <c r="AT1923" s="81" t="n"/>
      <c r="AU1923" s="81" t="n"/>
      <c r="AV1923" s="81" t="n"/>
      <c r="AW1923" s="81" t="n"/>
      <c r="AX1923" s="81" t="n"/>
      <c r="AY1923" s="81" t="n"/>
      <c r="AZ1923" s="81" t="n"/>
      <c r="BA1923" s="81" t="n"/>
      <c r="BB1923" s="81" t="n"/>
      <c r="BC1923" s="81" t="n"/>
      <c r="BD1923" s="81" t="n"/>
      <c r="BE1923" s="81" t="n"/>
      <c r="BF1923" s="81" t="n"/>
      <c r="BG1923" s="81" t="n"/>
      <c r="BH1923" s="81" t="n"/>
      <c r="BI1923" s="81" t="n"/>
      <c r="BJ1923" s="81" t="n"/>
      <c r="BK1923" s="81" t="n"/>
      <c r="BL1923" s="81" t="n"/>
      <c r="BM1923" s="81" t="n"/>
      <c r="BN1923" s="81" t="n"/>
      <c r="BO1923" s="81" t="n"/>
      <c r="BP1923" s="81" t="n"/>
      <c r="BQ1923" s="81" t="n"/>
      <c r="BR1923" s="81" t="n"/>
      <c r="BS1923" s="81" t="n"/>
      <c r="BT1923" s="81" t="n"/>
      <c r="BU1923" s="81" t="n"/>
      <c r="BV1923" s="81" t="n"/>
      <c r="BW1923" s="81" t="n"/>
      <c r="BX1923" s="81" t="n"/>
      <c r="BY1923" s="81" t="n"/>
      <c r="BZ1923" s="81" t="n"/>
      <c r="CA1923" s="81" t="n"/>
      <c r="CB1923" s="81" t="n"/>
      <c r="CC1923" s="81" t="n"/>
      <c r="CD1923" s="81" t="n"/>
      <c r="CE1923" s="81" t="n"/>
      <c r="CF1923" s="81" t="n"/>
      <c r="CG1923" s="81" t="n"/>
      <c r="CH1923" s="81" t="n"/>
    </row>
    <row r="1924">
      <c r="A1924" s="81" t="n"/>
      <c r="B1924" s="81" t="n"/>
      <c r="C1924" s="81" t="n"/>
      <c r="D1924" s="81" t="n"/>
      <c r="E1924" s="81" t="n"/>
      <c r="F1924" s="81" t="n"/>
      <c r="G1924" s="81" t="n"/>
      <c r="H1924" s="81" t="n"/>
      <c r="I1924" s="81" t="n"/>
      <c r="J1924" s="81" t="n"/>
      <c r="K1924" s="81" t="n"/>
      <c r="L1924" s="81" t="n"/>
      <c r="M1924" s="81" t="n"/>
      <c r="N1924" s="81" t="n"/>
      <c r="O1924" s="81" t="n"/>
      <c r="P1924" s="81" t="n"/>
      <c r="Q1924" s="81" t="n"/>
      <c r="R1924" s="81" t="n"/>
      <c r="S1924" s="81" t="n"/>
      <c r="T1924" s="81" t="n"/>
      <c r="U1924" s="81" t="n"/>
      <c r="V1924" s="81" t="n"/>
      <c r="W1924" s="81" t="n"/>
      <c r="X1924" s="81" t="n"/>
      <c r="Y1924" s="81" t="n"/>
      <c r="Z1924" s="81" t="n"/>
      <c r="AA1924" s="81" t="n"/>
      <c r="AB1924" s="81" t="n"/>
      <c r="AC1924" s="81" t="n"/>
      <c r="AD1924" s="81" t="n"/>
      <c r="AE1924" s="81" t="n"/>
      <c r="AF1924" s="81" t="n"/>
      <c r="AG1924" s="81" t="n"/>
      <c r="AH1924" s="81" t="n"/>
      <c r="AI1924" s="81" t="n"/>
      <c r="AJ1924" s="81" t="n"/>
      <c r="AK1924" s="81" t="n"/>
      <c r="AL1924" s="81" t="n"/>
      <c r="AM1924" s="81" t="n"/>
      <c r="AN1924" s="81" t="n"/>
      <c r="AO1924" s="81" t="n"/>
      <c r="AP1924" s="81" t="n"/>
      <c r="AQ1924" s="81" t="n"/>
      <c r="AR1924" s="81" t="n"/>
      <c r="AS1924" s="81" t="n"/>
      <c r="AT1924" s="81" t="n"/>
      <c r="AU1924" s="81" t="n"/>
      <c r="AV1924" s="81" t="n"/>
      <c r="AW1924" s="81" t="n"/>
      <c r="AX1924" s="81" t="n"/>
      <c r="AY1924" s="81" t="n"/>
      <c r="AZ1924" s="81" t="n"/>
      <c r="BA1924" s="81" t="n"/>
      <c r="BB1924" s="81" t="n"/>
      <c r="BC1924" s="81" t="n"/>
      <c r="BD1924" s="81" t="n"/>
      <c r="BE1924" s="81" t="n"/>
      <c r="BF1924" s="81" t="n"/>
      <c r="BG1924" s="81" t="n"/>
      <c r="BH1924" s="81" t="n"/>
      <c r="BI1924" s="81" t="n"/>
      <c r="BJ1924" s="81" t="n"/>
      <c r="BK1924" s="81" t="n"/>
      <c r="BL1924" s="81" t="n"/>
      <c r="BM1924" s="81" t="n"/>
      <c r="BN1924" s="81" t="n"/>
      <c r="BO1924" s="81" t="n"/>
      <c r="BP1924" s="81" t="n"/>
      <c r="BQ1924" s="81" t="n"/>
      <c r="BR1924" s="81" t="n"/>
      <c r="BS1924" s="81" t="n"/>
      <c r="BT1924" s="81" t="n"/>
      <c r="BU1924" s="81" t="n"/>
      <c r="BV1924" s="81" t="n"/>
      <c r="BW1924" s="81" t="n"/>
      <c r="BX1924" s="81" t="n"/>
      <c r="BY1924" s="81" t="n"/>
      <c r="BZ1924" s="81" t="n"/>
      <c r="CA1924" s="81" t="n"/>
      <c r="CB1924" s="81" t="n"/>
      <c r="CC1924" s="81" t="n"/>
      <c r="CD1924" s="81" t="n"/>
      <c r="CE1924" s="81" t="n"/>
      <c r="CF1924" s="81" t="n"/>
      <c r="CG1924" s="81" t="n"/>
      <c r="CH1924" s="81" t="n"/>
    </row>
    <row r="1925">
      <c r="A1925" s="81" t="n"/>
      <c r="B1925" s="81" t="n"/>
      <c r="C1925" s="81" t="n"/>
      <c r="D1925" s="81" t="n"/>
      <c r="E1925" s="81" t="n"/>
      <c r="F1925" s="81" t="n"/>
      <c r="G1925" s="81" t="n"/>
      <c r="H1925" s="81" t="n"/>
      <c r="I1925" s="81" t="n"/>
      <c r="J1925" s="81" t="n"/>
      <c r="K1925" s="81" t="n"/>
      <c r="L1925" s="81" t="n"/>
      <c r="M1925" s="81" t="n"/>
      <c r="N1925" s="81" t="n"/>
      <c r="O1925" s="81" t="n"/>
      <c r="P1925" s="81" t="n"/>
      <c r="Q1925" s="81" t="n"/>
      <c r="R1925" s="81" t="n"/>
      <c r="S1925" s="81" t="n"/>
      <c r="T1925" s="81" t="n"/>
      <c r="U1925" s="81" t="n"/>
      <c r="V1925" s="81" t="n"/>
      <c r="W1925" s="81" t="n"/>
      <c r="X1925" s="81" t="n"/>
      <c r="Y1925" s="81" t="n"/>
      <c r="Z1925" s="81" t="n"/>
      <c r="AA1925" s="81" t="n"/>
      <c r="AB1925" s="81" t="n"/>
      <c r="AC1925" s="81" t="n"/>
      <c r="AD1925" s="81" t="n"/>
      <c r="AE1925" s="81" t="n"/>
      <c r="AF1925" s="81" t="n"/>
      <c r="AG1925" s="81" t="n"/>
      <c r="AH1925" s="81" t="n"/>
      <c r="AI1925" s="81" t="n"/>
      <c r="AJ1925" s="81" t="n"/>
      <c r="AK1925" s="81" t="n"/>
      <c r="AL1925" s="81" t="n"/>
      <c r="AM1925" s="81" t="n"/>
      <c r="AN1925" s="81" t="n"/>
      <c r="AO1925" s="81" t="n"/>
      <c r="AP1925" s="81" t="n"/>
      <c r="AQ1925" s="81" t="n"/>
      <c r="AR1925" s="81" t="n"/>
      <c r="AS1925" s="81" t="n"/>
      <c r="AT1925" s="81" t="n"/>
      <c r="AU1925" s="81" t="n"/>
      <c r="AV1925" s="81" t="n"/>
      <c r="AW1925" s="81" t="n"/>
      <c r="AX1925" s="81" t="n"/>
      <c r="AY1925" s="81" t="n"/>
      <c r="AZ1925" s="81" t="n"/>
      <c r="BA1925" s="81" t="n"/>
      <c r="BB1925" s="81" t="n"/>
      <c r="BC1925" s="81" t="n"/>
      <c r="BD1925" s="81" t="n"/>
      <c r="BE1925" s="81" t="n"/>
      <c r="BF1925" s="81" t="n"/>
      <c r="BG1925" s="81" t="n"/>
      <c r="BH1925" s="81" t="n"/>
      <c r="BI1925" s="81" t="n"/>
      <c r="BJ1925" s="81" t="n"/>
      <c r="BK1925" s="81" t="n"/>
      <c r="BL1925" s="81" t="n"/>
      <c r="BM1925" s="81" t="n"/>
      <c r="BN1925" s="81" t="n"/>
      <c r="BO1925" s="81" t="n"/>
      <c r="BP1925" s="81" t="n"/>
      <c r="BQ1925" s="81" t="n"/>
      <c r="BR1925" s="81" t="n"/>
      <c r="BS1925" s="81" t="n"/>
      <c r="BT1925" s="81" t="n"/>
      <c r="BU1925" s="81" t="n"/>
      <c r="BV1925" s="81" t="n"/>
      <c r="BW1925" s="81" t="n"/>
      <c r="BX1925" s="81" t="n"/>
      <c r="BY1925" s="81" t="n"/>
      <c r="BZ1925" s="81" t="n"/>
      <c r="CA1925" s="81" t="n"/>
      <c r="CB1925" s="81" t="n"/>
      <c r="CC1925" s="81" t="n"/>
      <c r="CD1925" s="81" t="n"/>
      <c r="CE1925" s="81" t="n"/>
      <c r="CF1925" s="81" t="n"/>
      <c r="CG1925" s="81" t="n"/>
      <c r="CH1925" s="81" t="n"/>
    </row>
    <row r="1926">
      <c r="A1926" s="81" t="n"/>
      <c r="B1926" s="81" t="n"/>
      <c r="C1926" s="81" t="n"/>
      <c r="D1926" s="81" t="n"/>
      <c r="E1926" s="81" t="n"/>
      <c r="F1926" s="81" t="n"/>
      <c r="G1926" s="81" t="n"/>
      <c r="H1926" s="81" t="n"/>
      <c r="I1926" s="81" t="n"/>
      <c r="J1926" s="81" t="n"/>
      <c r="K1926" s="81" t="n"/>
      <c r="L1926" s="81" t="n"/>
      <c r="M1926" s="81" t="n"/>
      <c r="N1926" s="81" t="n"/>
      <c r="O1926" s="81" t="n"/>
      <c r="P1926" s="81" t="n"/>
      <c r="Q1926" s="81" t="n"/>
      <c r="R1926" s="81" t="n"/>
      <c r="S1926" s="81" t="n"/>
      <c r="T1926" s="81" t="n"/>
      <c r="U1926" s="81" t="n"/>
      <c r="V1926" s="81" t="n"/>
      <c r="W1926" s="81" t="n"/>
      <c r="X1926" s="81" t="n"/>
      <c r="Y1926" s="81" t="n"/>
      <c r="Z1926" s="81" t="n"/>
      <c r="AA1926" s="81" t="n"/>
      <c r="AB1926" s="81" t="n"/>
      <c r="AC1926" s="81" t="n"/>
      <c r="AD1926" s="81" t="n"/>
      <c r="AE1926" s="81" t="n"/>
      <c r="AF1926" s="81" t="n"/>
      <c r="AG1926" s="81" t="n"/>
      <c r="AH1926" s="81" t="n"/>
      <c r="AI1926" s="81" t="n"/>
      <c r="AJ1926" s="81" t="n"/>
      <c r="AK1926" s="81" t="n"/>
      <c r="AL1926" s="81" t="n"/>
      <c r="AM1926" s="81" t="n"/>
      <c r="AN1926" s="81" t="n"/>
      <c r="AO1926" s="81" t="n"/>
      <c r="AP1926" s="81" t="n"/>
      <c r="AQ1926" s="81" t="n"/>
      <c r="AR1926" s="81" t="n"/>
      <c r="AS1926" s="81" t="n"/>
      <c r="AT1926" s="81" t="n"/>
      <c r="AU1926" s="81" t="n"/>
      <c r="AV1926" s="81" t="n"/>
      <c r="AW1926" s="81" t="n"/>
      <c r="AX1926" s="81" t="n"/>
      <c r="AY1926" s="81" t="n"/>
      <c r="AZ1926" s="81" t="n"/>
      <c r="BA1926" s="81" t="n"/>
      <c r="BB1926" s="81" t="n"/>
      <c r="BC1926" s="81" t="n"/>
      <c r="BD1926" s="81" t="n"/>
      <c r="BE1926" s="81" t="n"/>
      <c r="BF1926" s="81" t="n"/>
      <c r="BG1926" s="81" t="n"/>
      <c r="BH1926" s="81" t="n"/>
      <c r="BI1926" s="81" t="n"/>
      <c r="BJ1926" s="81" t="n"/>
      <c r="BK1926" s="81" t="n"/>
      <c r="BL1926" s="81" t="n"/>
      <c r="BM1926" s="81" t="n"/>
      <c r="BN1926" s="81" t="n"/>
      <c r="BO1926" s="81" t="n"/>
      <c r="BP1926" s="81" t="n"/>
      <c r="BQ1926" s="81" t="n"/>
      <c r="BR1926" s="81" t="n"/>
      <c r="BS1926" s="81" t="n"/>
      <c r="BT1926" s="81" t="n"/>
      <c r="BU1926" s="81" t="n"/>
      <c r="BV1926" s="81" t="n"/>
      <c r="BW1926" s="81" t="n"/>
      <c r="BX1926" s="81" t="n"/>
      <c r="BY1926" s="81" t="n"/>
      <c r="BZ1926" s="81" t="n"/>
      <c r="CA1926" s="81" t="n"/>
      <c r="CB1926" s="81" t="n"/>
      <c r="CC1926" s="81" t="n"/>
      <c r="CD1926" s="81" t="n"/>
      <c r="CE1926" s="81" t="n"/>
      <c r="CF1926" s="81" t="n"/>
      <c r="CG1926" s="81" t="n"/>
      <c r="CH1926" s="81" t="n"/>
    </row>
    <row r="1927">
      <c r="A1927" s="81" t="n"/>
      <c r="B1927" s="81" t="n"/>
      <c r="C1927" s="81" t="n"/>
      <c r="D1927" s="81" t="n"/>
      <c r="E1927" s="81" t="n"/>
      <c r="F1927" s="81" t="n"/>
      <c r="G1927" s="81" t="n"/>
      <c r="H1927" s="81" t="n"/>
      <c r="I1927" s="81" t="n"/>
      <c r="J1927" s="81" t="n"/>
      <c r="K1927" s="81" t="n"/>
      <c r="L1927" s="81" t="n"/>
      <c r="M1927" s="81" t="n"/>
      <c r="N1927" s="81" t="n"/>
      <c r="O1927" s="81" t="n"/>
      <c r="P1927" s="81" t="n"/>
      <c r="Q1927" s="81" t="n"/>
      <c r="R1927" s="81" t="n"/>
      <c r="S1927" s="81" t="n"/>
      <c r="T1927" s="81" t="n"/>
      <c r="U1927" s="81" t="n"/>
      <c r="V1927" s="81" t="n"/>
      <c r="W1927" s="81" t="n"/>
      <c r="X1927" s="81" t="n"/>
      <c r="Y1927" s="81" t="n"/>
      <c r="Z1927" s="81" t="n"/>
      <c r="AA1927" s="81" t="n"/>
      <c r="AB1927" s="81" t="n"/>
      <c r="AC1927" s="81" t="n"/>
      <c r="AD1927" s="81" t="n"/>
      <c r="AE1927" s="81" t="n"/>
      <c r="AF1927" s="81" t="n"/>
      <c r="AG1927" s="81" t="n"/>
      <c r="AH1927" s="81" t="n"/>
      <c r="AI1927" s="81" t="n"/>
      <c r="AJ1927" s="81" t="n"/>
      <c r="AK1927" s="81" t="n"/>
      <c r="AL1927" s="81" t="n"/>
      <c r="AM1927" s="81" t="n"/>
      <c r="AN1927" s="81" t="n"/>
      <c r="AO1927" s="81" t="n"/>
      <c r="AP1927" s="81" t="n"/>
      <c r="AQ1927" s="81" t="n"/>
      <c r="AR1927" s="81" t="n"/>
      <c r="AS1927" s="81" t="n"/>
      <c r="AT1927" s="81" t="n"/>
      <c r="AU1927" s="81" t="n"/>
      <c r="AV1927" s="81" t="n"/>
      <c r="AW1927" s="81" t="n"/>
      <c r="AX1927" s="81" t="n"/>
      <c r="AY1927" s="81" t="n"/>
      <c r="AZ1927" s="81" t="n"/>
      <c r="BA1927" s="81" t="n"/>
      <c r="BB1927" s="81" t="n"/>
      <c r="BC1927" s="81" t="n"/>
      <c r="BD1927" s="81" t="n"/>
      <c r="BE1927" s="81" t="n"/>
      <c r="BF1927" s="81" t="n"/>
      <c r="BG1927" s="81" t="n"/>
      <c r="BH1927" s="81" t="n"/>
      <c r="BI1927" s="81" t="n"/>
      <c r="BJ1927" s="81" t="n"/>
      <c r="BK1927" s="81" t="n"/>
      <c r="BL1927" s="81" t="n"/>
      <c r="BM1927" s="81" t="n"/>
      <c r="BN1927" s="81" t="n"/>
      <c r="BO1927" s="81" t="n"/>
      <c r="BP1927" s="81" t="n"/>
      <c r="BQ1927" s="81" t="n"/>
      <c r="BR1927" s="81" t="n"/>
      <c r="BS1927" s="81" t="n"/>
      <c r="BT1927" s="81" t="n"/>
      <c r="BU1927" s="81" t="n"/>
      <c r="BV1927" s="81" t="n"/>
      <c r="BW1927" s="81" t="n"/>
      <c r="BX1927" s="81" t="n"/>
      <c r="BY1927" s="81" t="n"/>
      <c r="BZ1927" s="81" t="n"/>
      <c r="CA1927" s="81" t="n"/>
      <c r="CB1927" s="81" t="n"/>
      <c r="CC1927" s="81" t="n"/>
      <c r="CD1927" s="81" t="n"/>
      <c r="CE1927" s="81" t="n"/>
      <c r="CF1927" s="81" t="n"/>
      <c r="CG1927" s="81" t="n"/>
      <c r="CH1927" s="81" t="n"/>
    </row>
    <row r="1928">
      <c r="A1928" s="81" t="n"/>
      <c r="B1928" s="81" t="n"/>
      <c r="C1928" s="81" t="n"/>
      <c r="D1928" s="81" t="n"/>
      <c r="E1928" s="81" t="n"/>
      <c r="F1928" s="81" t="n"/>
      <c r="G1928" s="81" t="n"/>
      <c r="H1928" s="81" t="n"/>
      <c r="I1928" s="81" t="n"/>
      <c r="J1928" s="81" t="n"/>
      <c r="K1928" s="81" t="n"/>
      <c r="L1928" s="81" t="n"/>
      <c r="M1928" s="81" t="n"/>
      <c r="N1928" s="81" t="n"/>
      <c r="O1928" s="81" t="n"/>
      <c r="P1928" s="81" t="n"/>
      <c r="Q1928" s="81" t="n"/>
      <c r="R1928" s="81" t="n"/>
      <c r="S1928" s="81" t="n"/>
      <c r="T1928" s="81" t="n"/>
      <c r="U1928" s="81" t="n"/>
      <c r="V1928" s="81" t="n"/>
      <c r="W1928" s="81" t="n"/>
      <c r="X1928" s="81" t="n"/>
      <c r="Y1928" s="81" t="n"/>
      <c r="Z1928" s="81" t="n"/>
      <c r="AA1928" s="81" t="n"/>
      <c r="AB1928" s="81" t="n"/>
      <c r="AC1928" s="81" t="n"/>
      <c r="AD1928" s="81" t="n"/>
      <c r="AE1928" s="81" t="n"/>
      <c r="AF1928" s="81" t="n"/>
      <c r="AG1928" s="81" t="n"/>
      <c r="AH1928" s="81" t="n"/>
      <c r="AI1928" s="81" t="n"/>
      <c r="AJ1928" s="81" t="n"/>
      <c r="AK1928" s="81" t="n"/>
      <c r="AL1928" s="81" t="n"/>
      <c r="AM1928" s="81" t="n"/>
      <c r="AN1928" s="81" t="n"/>
      <c r="AO1928" s="81" t="n"/>
      <c r="AP1928" s="81" t="n"/>
      <c r="AQ1928" s="81" t="n"/>
      <c r="AR1928" s="81" t="n"/>
      <c r="AS1928" s="81" t="n"/>
      <c r="AT1928" s="81" t="n"/>
      <c r="AU1928" s="81" t="n"/>
      <c r="AV1928" s="81" t="n"/>
      <c r="AW1928" s="81" t="n"/>
      <c r="AX1928" s="81" t="n"/>
      <c r="AY1928" s="81" t="n"/>
      <c r="AZ1928" s="81" t="n"/>
      <c r="BA1928" s="81" t="n"/>
      <c r="BB1928" s="81" t="n"/>
      <c r="BC1928" s="81" t="n"/>
      <c r="BD1928" s="81" t="n"/>
      <c r="BE1928" s="81" t="n"/>
      <c r="BF1928" s="81" t="n"/>
      <c r="BG1928" s="81" t="n"/>
      <c r="BH1928" s="81" t="n"/>
      <c r="BI1928" s="81" t="n"/>
      <c r="BJ1928" s="81" t="n"/>
      <c r="BK1928" s="81" t="n"/>
      <c r="BL1928" s="81" t="n"/>
      <c r="BM1928" s="81" t="n"/>
      <c r="BN1928" s="81" t="n"/>
      <c r="BO1928" s="81" t="n"/>
      <c r="BP1928" s="81" t="n"/>
      <c r="BQ1928" s="81" t="n"/>
      <c r="BR1928" s="81" t="n"/>
      <c r="BS1928" s="81" t="n"/>
      <c r="BT1928" s="81" t="n"/>
      <c r="BU1928" s="81" t="n"/>
      <c r="BV1928" s="81" t="n"/>
      <c r="BW1928" s="81" t="n"/>
      <c r="BX1928" s="81" t="n"/>
      <c r="BY1928" s="81" t="n"/>
      <c r="BZ1928" s="81" t="n"/>
      <c r="CA1928" s="81" t="n"/>
      <c r="CB1928" s="81" t="n"/>
      <c r="CC1928" s="81" t="n"/>
      <c r="CD1928" s="81" t="n"/>
      <c r="CE1928" s="81" t="n"/>
      <c r="CF1928" s="81" t="n"/>
      <c r="CG1928" s="81" t="n"/>
      <c r="CH1928" s="81" t="n"/>
    </row>
    <row r="1929">
      <c r="A1929" s="81" t="n"/>
      <c r="B1929" s="81" t="n"/>
      <c r="C1929" s="81" t="n"/>
      <c r="D1929" s="81" t="n"/>
      <c r="E1929" s="81" t="n"/>
      <c r="F1929" s="81" t="n"/>
      <c r="G1929" s="81" t="n"/>
      <c r="H1929" s="81" t="n"/>
      <c r="I1929" s="81" t="n"/>
      <c r="J1929" s="81" t="n"/>
      <c r="K1929" s="81" t="n"/>
      <c r="L1929" s="81" t="n"/>
      <c r="M1929" s="81" t="n"/>
      <c r="N1929" s="81" t="n"/>
      <c r="O1929" s="81" t="n"/>
      <c r="P1929" s="81" t="n"/>
      <c r="Q1929" s="81" t="n"/>
      <c r="R1929" s="81" t="n"/>
      <c r="S1929" s="81" t="n"/>
      <c r="T1929" s="81" t="n"/>
      <c r="U1929" s="81" t="n"/>
      <c r="V1929" s="81" t="n"/>
      <c r="W1929" s="81" t="n"/>
      <c r="X1929" s="81" t="n"/>
      <c r="Y1929" s="81" t="n"/>
      <c r="Z1929" s="81" t="n"/>
      <c r="AA1929" s="81" t="n"/>
      <c r="AB1929" s="81" t="n"/>
      <c r="AC1929" s="81" t="n"/>
      <c r="AD1929" s="81" t="n"/>
      <c r="AE1929" s="81" t="n"/>
      <c r="AF1929" s="81" t="n"/>
      <c r="AG1929" s="81" t="n"/>
      <c r="AH1929" s="81" t="n"/>
      <c r="AI1929" s="81" t="n"/>
      <c r="AJ1929" s="81" t="n"/>
      <c r="AK1929" s="81" t="n"/>
      <c r="AL1929" s="81" t="n"/>
      <c r="AM1929" s="81" t="n"/>
      <c r="AN1929" s="81" t="n"/>
      <c r="AO1929" s="81" t="n"/>
      <c r="AP1929" s="81" t="n"/>
      <c r="AQ1929" s="81" t="n"/>
      <c r="AR1929" s="81" t="n"/>
      <c r="AS1929" s="81" t="n"/>
      <c r="AT1929" s="81" t="n"/>
      <c r="AU1929" s="81" t="n"/>
      <c r="AV1929" s="81" t="n"/>
      <c r="AW1929" s="81" t="n"/>
      <c r="AX1929" s="81" t="n"/>
      <c r="AY1929" s="81" t="n"/>
      <c r="AZ1929" s="81" t="n"/>
      <c r="BA1929" s="81" t="n"/>
      <c r="BB1929" s="81" t="n"/>
      <c r="BC1929" s="81" t="n"/>
      <c r="BD1929" s="81" t="n"/>
      <c r="BE1929" s="81" t="n"/>
      <c r="BF1929" s="81" t="n"/>
      <c r="BG1929" s="81" t="n"/>
      <c r="BH1929" s="81" t="n"/>
      <c r="BI1929" s="81" t="n"/>
      <c r="BJ1929" s="81" t="n"/>
      <c r="BK1929" s="81" t="n"/>
      <c r="BL1929" s="81" t="n"/>
      <c r="BM1929" s="81" t="n"/>
      <c r="BN1929" s="81" t="n"/>
      <c r="BO1929" s="81" t="n"/>
      <c r="BP1929" s="81" t="n"/>
      <c r="BQ1929" s="81" t="n"/>
      <c r="BR1929" s="81" t="n"/>
      <c r="BS1929" s="81" t="n"/>
      <c r="BT1929" s="81" t="n"/>
      <c r="BU1929" s="81" t="n"/>
      <c r="BV1929" s="81" t="n"/>
      <c r="BW1929" s="81" t="n"/>
      <c r="BX1929" s="81" t="n"/>
      <c r="BY1929" s="81" t="n"/>
      <c r="BZ1929" s="81" t="n"/>
      <c r="CA1929" s="81" t="n"/>
      <c r="CB1929" s="81" t="n"/>
      <c r="CC1929" s="81" t="n"/>
      <c r="CD1929" s="81" t="n"/>
      <c r="CE1929" s="81" t="n"/>
      <c r="CF1929" s="81" t="n"/>
      <c r="CG1929" s="81" t="n"/>
      <c r="CH1929" s="81" t="n"/>
    </row>
    <row r="1930">
      <c r="A1930" s="81" t="n"/>
      <c r="B1930" s="81" t="n"/>
      <c r="C1930" s="81" t="n"/>
      <c r="D1930" s="81" t="n"/>
      <c r="E1930" s="81" t="n"/>
      <c r="F1930" s="81" t="n"/>
      <c r="G1930" s="81" t="n"/>
      <c r="H1930" s="81" t="n"/>
      <c r="I1930" s="81" t="n"/>
      <c r="J1930" s="81" t="n"/>
      <c r="K1930" s="81" t="n"/>
      <c r="L1930" s="81" t="n"/>
      <c r="M1930" s="81" t="n"/>
      <c r="N1930" s="81" t="n"/>
      <c r="O1930" s="81" t="n"/>
      <c r="P1930" s="81" t="n"/>
      <c r="Q1930" s="81" t="n"/>
      <c r="R1930" s="81" t="n"/>
      <c r="S1930" s="81" t="n"/>
      <c r="T1930" s="81" t="n"/>
      <c r="U1930" s="81" t="n"/>
      <c r="V1930" s="81" t="n"/>
      <c r="W1930" s="81" t="n"/>
      <c r="X1930" s="81" t="n"/>
      <c r="Y1930" s="81" t="n"/>
      <c r="Z1930" s="81" t="n"/>
      <c r="AA1930" s="81" t="n"/>
      <c r="AB1930" s="81" t="n"/>
      <c r="AC1930" s="81" t="n"/>
      <c r="AD1930" s="81" t="n"/>
      <c r="AE1930" s="81" t="n"/>
      <c r="AF1930" s="81" t="n"/>
      <c r="AG1930" s="81" t="n"/>
      <c r="AH1930" s="81" t="n"/>
      <c r="AI1930" s="81" t="n"/>
      <c r="AJ1930" s="81" t="n"/>
      <c r="AK1930" s="81" t="n"/>
      <c r="AL1930" s="81" t="n"/>
      <c r="AM1930" s="81" t="n"/>
      <c r="AN1930" s="81" t="n"/>
      <c r="AO1930" s="81" t="n"/>
      <c r="AP1930" s="81" t="n"/>
      <c r="AQ1930" s="81" t="n"/>
      <c r="AR1930" s="81" t="n"/>
      <c r="AS1930" s="81" t="n"/>
      <c r="AT1930" s="81" t="n"/>
      <c r="AU1930" s="81" t="n"/>
      <c r="AV1930" s="81" t="n"/>
      <c r="AW1930" s="81" t="n"/>
      <c r="AX1930" s="81" t="n"/>
      <c r="AY1930" s="81" t="n"/>
      <c r="AZ1930" s="81" t="n"/>
      <c r="BA1930" s="81" t="n"/>
      <c r="BB1930" s="81" t="n"/>
      <c r="BC1930" s="81" t="n"/>
      <c r="BD1930" s="81" t="n"/>
      <c r="BE1930" s="81" t="n"/>
      <c r="BF1930" s="81" t="n"/>
      <c r="BG1930" s="81" t="n"/>
      <c r="BH1930" s="81" t="n"/>
      <c r="BI1930" s="81" t="n"/>
      <c r="BJ1930" s="81" t="n"/>
      <c r="BK1930" s="81" t="n"/>
      <c r="BL1930" s="81" t="n"/>
      <c r="BM1930" s="81" t="n"/>
      <c r="BN1930" s="81" t="n"/>
      <c r="BO1930" s="81" t="n"/>
      <c r="BP1930" s="81" t="n"/>
      <c r="BQ1930" s="81" t="n"/>
      <c r="BR1930" s="81" t="n"/>
      <c r="BS1930" s="81" t="n"/>
      <c r="BT1930" s="81" t="n"/>
      <c r="BU1930" s="81" t="n"/>
      <c r="BV1930" s="81" t="n"/>
      <c r="BW1930" s="81" t="n"/>
      <c r="BX1930" s="81" t="n"/>
      <c r="BY1930" s="81" t="n"/>
      <c r="BZ1930" s="81" t="n"/>
      <c r="CA1930" s="81" t="n"/>
      <c r="CB1930" s="81" t="n"/>
      <c r="CC1930" s="81" t="n"/>
      <c r="CD1930" s="81" t="n"/>
      <c r="CE1930" s="81" t="n"/>
      <c r="CF1930" s="81" t="n"/>
      <c r="CG1930" s="81" t="n"/>
      <c r="CH1930" s="81" t="n"/>
    </row>
    <row r="1931">
      <c r="A1931" s="81" t="n"/>
      <c r="B1931" s="81" t="n"/>
      <c r="C1931" s="81" t="n"/>
      <c r="D1931" s="81" t="n"/>
      <c r="E1931" s="81" t="n"/>
      <c r="F1931" s="81" t="n"/>
      <c r="G1931" s="81" t="n"/>
      <c r="H1931" s="81" t="n"/>
      <c r="I1931" s="81" t="n"/>
      <c r="J1931" s="81" t="n"/>
      <c r="K1931" s="81" t="n"/>
      <c r="L1931" s="81" t="n"/>
      <c r="M1931" s="81" t="n"/>
      <c r="N1931" s="81" t="n"/>
      <c r="O1931" s="81" t="n"/>
      <c r="P1931" s="81" t="n"/>
      <c r="Q1931" s="81" t="n"/>
      <c r="R1931" s="81" t="n"/>
      <c r="S1931" s="81" t="n"/>
      <c r="T1931" s="81" t="n"/>
      <c r="U1931" s="81" t="n"/>
      <c r="V1931" s="81" t="n"/>
      <c r="W1931" s="81" t="n"/>
      <c r="X1931" s="81" t="n"/>
      <c r="Y1931" s="81" t="n"/>
      <c r="Z1931" s="81" t="n"/>
      <c r="AA1931" s="81" t="n"/>
      <c r="AB1931" s="81" t="n"/>
      <c r="AC1931" s="81" t="n"/>
      <c r="AD1931" s="81" t="n"/>
      <c r="AE1931" s="81" t="n"/>
      <c r="AF1931" s="81" t="n"/>
      <c r="AG1931" s="81" t="n"/>
      <c r="AH1931" s="81" t="n"/>
      <c r="AI1931" s="81" t="n"/>
      <c r="AJ1931" s="81" t="n"/>
      <c r="AK1931" s="81" t="n"/>
      <c r="AL1931" s="81" t="n"/>
      <c r="AM1931" s="81" t="n"/>
      <c r="AN1931" s="81" t="n"/>
      <c r="AO1931" s="81" t="n"/>
      <c r="AP1931" s="81" t="n"/>
      <c r="AQ1931" s="81" t="n"/>
      <c r="AR1931" s="81" t="n"/>
      <c r="AS1931" s="81" t="n"/>
      <c r="AT1931" s="81" t="n"/>
      <c r="AU1931" s="81" t="n"/>
      <c r="AV1931" s="81" t="n"/>
      <c r="AW1931" s="81" t="n"/>
      <c r="AX1931" s="81" t="n"/>
      <c r="AY1931" s="81" t="n"/>
      <c r="AZ1931" s="81" t="n"/>
      <c r="BA1931" s="81" t="n"/>
      <c r="BB1931" s="81" t="n"/>
      <c r="BC1931" s="81" t="n"/>
      <c r="BD1931" s="81" t="n"/>
      <c r="BE1931" s="81" t="n"/>
      <c r="BF1931" s="81" t="n"/>
      <c r="BG1931" s="81" t="n"/>
      <c r="BH1931" s="81" t="n"/>
      <c r="BI1931" s="81" t="n"/>
      <c r="BJ1931" s="81" t="n"/>
      <c r="BK1931" s="81" t="n"/>
      <c r="BL1931" s="81" t="n"/>
      <c r="BM1931" s="81" t="n"/>
      <c r="BN1931" s="81" t="n"/>
      <c r="BO1931" s="81" t="n"/>
      <c r="BP1931" s="81" t="n"/>
      <c r="BQ1931" s="81" t="n"/>
      <c r="BR1931" s="81" t="n"/>
      <c r="BS1931" s="81" t="n"/>
      <c r="BT1931" s="81" t="n"/>
      <c r="BU1931" s="81" t="n"/>
      <c r="BV1931" s="81" t="n"/>
      <c r="BW1931" s="81" t="n"/>
      <c r="BX1931" s="81" t="n"/>
      <c r="BY1931" s="81" t="n"/>
      <c r="BZ1931" s="81" t="n"/>
      <c r="CA1931" s="81" t="n"/>
      <c r="CB1931" s="81" t="n"/>
      <c r="CC1931" s="81" t="n"/>
      <c r="CD1931" s="81" t="n"/>
      <c r="CE1931" s="81" t="n"/>
      <c r="CF1931" s="81" t="n"/>
      <c r="CG1931" s="81" t="n"/>
      <c r="CH1931" s="81" t="n"/>
    </row>
    <row r="1932">
      <c r="A1932" s="81" t="n"/>
      <c r="B1932" s="81" t="n"/>
      <c r="C1932" s="81" t="n"/>
      <c r="D1932" s="81" t="n"/>
      <c r="E1932" s="81" t="n"/>
      <c r="F1932" s="81" t="n"/>
      <c r="G1932" s="81" t="n"/>
      <c r="H1932" s="81" t="n"/>
      <c r="I1932" s="81" t="n"/>
      <c r="J1932" s="81" t="n"/>
      <c r="K1932" s="81" t="n"/>
      <c r="L1932" s="81" t="n"/>
      <c r="M1932" s="81" t="n"/>
      <c r="N1932" s="81" t="n"/>
      <c r="O1932" s="81" t="n"/>
      <c r="P1932" s="81" t="n"/>
      <c r="Q1932" s="81" t="n"/>
      <c r="R1932" s="81" t="n"/>
      <c r="S1932" s="81" t="n"/>
      <c r="T1932" s="81" t="n"/>
      <c r="U1932" s="81" t="n"/>
      <c r="V1932" s="81" t="n"/>
      <c r="W1932" s="81" t="n"/>
      <c r="X1932" s="81" t="n"/>
      <c r="Y1932" s="81" t="n"/>
      <c r="Z1932" s="81" t="n"/>
      <c r="AA1932" s="81" t="n"/>
      <c r="AB1932" s="81" t="n"/>
      <c r="AC1932" s="81" t="n"/>
      <c r="AD1932" s="81" t="n"/>
      <c r="AE1932" s="81" t="n"/>
      <c r="AF1932" s="81" t="n"/>
      <c r="AG1932" s="81" t="n"/>
      <c r="AH1932" s="81" t="n"/>
      <c r="AI1932" s="81" t="n"/>
      <c r="AJ1932" s="81" t="n"/>
      <c r="AK1932" s="81" t="n"/>
      <c r="AL1932" s="81" t="n"/>
      <c r="AM1932" s="81" t="n"/>
      <c r="AN1932" s="81" t="n"/>
      <c r="AO1932" s="81" t="n"/>
      <c r="AP1932" s="81" t="n"/>
      <c r="AQ1932" s="81" t="n"/>
      <c r="AR1932" s="81" t="n"/>
      <c r="AS1932" s="81" t="n"/>
      <c r="AT1932" s="81" t="n"/>
      <c r="AU1932" s="81" t="n"/>
      <c r="AV1932" s="81" t="n"/>
      <c r="AW1932" s="81" t="n"/>
      <c r="AX1932" s="81" t="n"/>
      <c r="AY1932" s="81" t="n"/>
      <c r="AZ1932" s="81" t="n"/>
      <c r="BA1932" s="81" t="n"/>
      <c r="BB1932" s="81" t="n"/>
      <c r="BC1932" s="81" t="n"/>
      <c r="BD1932" s="81" t="n"/>
      <c r="BE1932" s="81" t="n"/>
      <c r="BF1932" s="81" t="n"/>
      <c r="BG1932" s="81" t="n"/>
      <c r="BH1932" s="81" t="n"/>
      <c r="BI1932" s="81" t="n"/>
      <c r="BJ1932" s="81" t="n"/>
      <c r="BK1932" s="81" t="n"/>
      <c r="BL1932" s="81" t="n"/>
      <c r="BM1932" s="81" t="n"/>
      <c r="BN1932" s="81" t="n"/>
      <c r="BO1932" s="81" t="n"/>
      <c r="BP1932" s="81" t="n"/>
      <c r="BQ1932" s="81" t="n"/>
      <c r="BR1932" s="81" t="n"/>
      <c r="BS1932" s="81" t="n"/>
      <c r="BT1932" s="81" t="n"/>
      <c r="BU1932" s="81" t="n"/>
      <c r="BV1932" s="81" t="n"/>
      <c r="BW1932" s="81" t="n"/>
      <c r="BX1932" s="81" t="n"/>
      <c r="BY1932" s="81" t="n"/>
      <c r="BZ1932" s="81" t="n"/>
      <c r="CA1932" s="81" t="n"/>
      <c r="CB1932" s="81" t="n"/>
      <c r="CC1932" s="81" t="n"/>
      <c r="CD1932" s="81" t="n"/>
      <c r="CE1932" s="81" t="n"/>
      <c r="CF1932" s="81" t="n"/>
      <c r="CG1932" s="81" t="n"/>
      <c r="CH1932" s="81" t="n"/>
    </row>
    <row r="1933">
      <c r="A1933" s="81" t="n"/>
      <c r="B1933" s="81" t="n"/>
      <c r="C1933" s="81" t="n"/>
      <c r="D1933" s="81" t="n"/>
      <c r="E1933" s="81" t="n"/>
      <c r="F1933" s="81" t="n"/>
      <c r="G1933" s="81" t="n"/>
      <c r="H1933" s="81" t="n"/>
      <c r="I1933" s="81" t="n"/>
      <c r="J1933" s="81" t="n"/>
      <c r="K1933" s="81" t="n"/>
      <c r="L1933" s="81" t="n"/>
      <c r="M1933" s="81" t="n"/>
      <c r="N1933" s="81" t="n"/>
      <c r="O1933" s="81" t="n"/>
      <c r="P1933" s="81" t="n"/>
      <c r="Q1933" s="81" t="n"/>
      <c r="R1933" s="81" t="n"/>
      <c r="S1933" s="81" t="n"/>
      <c r="T1933" s="81" t="n"/>
      <c r="U1933" s="81" t="n"/>
      <c r="V1933" s="81" t="n"/>
      <c r="W1933" s="81" t="n"/>
      <c r="X1933" s="81" t="n"/>
      <c r="Y1933" s="81" t="n"/>
      <c r="Z1933" s="81" t="n"/>
      <c r="AA1933" s="81" t="n"/>
      <c r="AB1933" s="81" t="n"/>
      <c r="AC1933" s="81" t="n"/>
      <c r="AD1933" s="81" t="n"/>
      <c r="AE1933" s="81" t="n"/>
      <c r="AF1933" s="81" t="n"/>
      <c r="AG1933" s="81" t="n"/>
      <c r="AH1933" s="81" t="n"/>
      <c r="AI1933" s="81" t="n"/>
      <c r="AJ1933" s="81" t="n"/>
      <c r="AK1933" s="81" t="n"/>
      <c r="AL1933" s="81" t="n"/>
      <c r="AM1933" s="81" t="n"/>
      <c r="AN1933" s="81" t="n"/>
      <c r="AO1933" s="81" t="n"/>
      <c r="AP1933" s="81" t="n"/>
      <c r="AQ1933" s="81" t="n"/>
      <c r="AR1933" s="81" t="n"/>
      <c r="AS1933" s="81" t="n"/>
      <c r="AT1933" s="81" t="n"/>
      <c r="AU1933" s="81" t="n"/>
      <c r="AV1933" s="81" t="n"/>
      <c r="AW1933" s="81" t="n"/>
      <c r="AX1933" s="81" t="n"/>
      <c r="AY1933" s="81" t="n"/>
      <c r="AZ1933" s="81" t="n"/>
      <c r="BA1933" s="81" t="n"/>
      <c r="BB1933" s="81" t="n"/>
      <c r="BC1933" s="81" t="n"/>
      <c r="BD1933" s="81" t="n"/>
      <c r="BE1933" s="81" t="n"/>
      <c r="BF1933" s="81" t="n"/>
      <c r="BG1933" s="81" t="n"/>
      <c r="BH1933" s="81" t="n"/>
      <c r="BI1933" s="81" t="n"/>
      <c r="BJ1933" s="81" t="n"/>
      <c r="BK1933" s="81" t="n"/>
      <c r="BL1933" s="81" t="n"/>
      <c r="BM1933" s="81" t="n"/>
      <c r="BN1933" s="81" t="n"/>
      <c r="BO1933" s="81" t="n"/>
      <c r="BP1933" s="81" t="n"/>
      <c r="BQ1933" s="81" t="n"/>
      <c r="BR1933" s="81" t="n"/>
      <c r="BS1933" s="81" t="n"/>
      <c r="BT1933" s="81" t="n"/>
      <c r="BU1933" s="81" t="n"/>
      <c r="BV1933" s="81" t="n"/>
      <c r="BW1933" s="81" t="n"/>
      <c r="BX1933" s="81" t="n"/>
      <c r="BY1933" s="81" t="n"/>
      <c r="BZ1933" s="81" t="n"/>
      <c r="CA1933" s="81" t="n"/>
      <c r="CB1933" s="81" t="n"/>
      <c r="CC1933" s="81" t="n"/>
      <c r="CD1933" s="81" t="n"/>
      <c r="CE1933" s="81" t="n"/>
      <c r="CF1933" s="81" t="n"/>
      <c r="CG1933" s="81" t="n"/>
      <c r="CH1933" s="81" t="n"/>
    </row>
    <row r="1934">
      <c r="A1934" s="81" t="n"/>
      <c r="B1934" s="81" t="n"/>
      <c r="C1934" s="81" t="n"/>
      <c r="D1934" s="81" t="n"/>
      <c r="E1934" s="81" t="n"/>
      <c r="F1934" s="81" t="n"/>
      <c r="G1934" s="81" t="n"/>
      <c r="H1934" s="81" t="n"/>
      <c r="I1934" s="81" t="n"/>
      <c r="J1934" s="81" t="n"/>
      <c r="K1934" s="81" t="n"/>
      <c r="L1934" s="81" t="n"/>
      <c r="M1934" s="81" t="n"/>
      <c r="N1934" s="81" t="n"/>
      <c r="O1934" s="81" t="n"/>
      <c r="P1934" s="81" t="n"/>
      <c r="Q1934" s="81" t="n"/>
      <c r="R1934" s="81" t="n"/>
      <c r="S1934" s="81" t="n"/>
      <c r="T1934" s="81" t="n"/>
      <c r="U1934" s="81" t="n"/>
      <c r="V1934" s="81" t="n"/>
      <c r="W1934" s="81" t="n"/>
      <c r="X1934" s="81" t="n"/>
      <c r="Y1934" s="81" t="n"/>
      <c r="Z1934" s="81" t="n"/>
      <c r="AA1934" s="81" t="n"/>
      <c r="AB1934" s="81" t="n"/>
      <c r="AC1934" s="81" t="n"/>
      <c r="AD1934" s="81" t="n"/>
      <c r="AE1934" s="81" t="n"/>
      <c r="AF1934" s="81" t="n"/>
      <c r="AG1934" s="81" t="n"/>
      <c r="AH1934" s="81" t="n"/>
      <c r="AI1934" s="81" t="n"/>
      <c r="AJ1934" s="81" t="n"/>
      <c r="AK1934" s="81" t="n"/>
      <c r="AL1934" s="81" t="n"/>
      <c r="AM1934" s="81" t="n"/>
      <c r="AN1934" s="81" t="n"/>
      <c r="AO1934" s="81" t="n"/>
      <c r="AP1934" s="81" t="n"/>
      <c r="AQ1934" s="81" t="n"/>
      <c r="AR1934" s="81" t="n"/>
      <c r="AS1934" s="81" t="n"/>
      <c r="AT1934" s="81" t="n"/>
      <c r="AU1934" s="81" t="n"/>
      <c r="AV1934" s="81" t="n"/>
      <c r="AW1934" s="81" t="n"/>
      <c r="AX1934" s="81" t="n"/>
      <c r="AY1934" s="81" t="n"/>
      <c r="AZ1934" s="81" t="n"/>
      <c r="BA1934" s="81" t="n"/>
      <c r="BB1934" s="81" t="n"/>
      <c r="BC1934" s="81" t="n"/>
      <c r="BD1934" s="81" t="n"/>
      <c r="BE1934" s="81" t="n"/>
      <c r="BF1934" s="81" t="n"/>
      <c r="BG1934" s="81" t="n"/>
      <c r="BH1934" s="81" t="n"/>
      <c r="BI1934" s="81" t="n"/>
      <c r="BJ1934" s="81" t="n"/>
      <c r="BK1934" s="81" t="n"/>
      <c r="BL1934" s="81" t="n"/>
      <c r="BM1934" s="81" t="n"/>
      <c r="BN1934" s="81" t="n"/>
      <c r="BO1934" s="81" t="n"/>
      <c r="BP1934" s="81" t="n"/>
      <c r="BQ1934" s="81" t="n"/>
      <c r="BR1934" s="81" t="n"/>
      <c r="BS1934" s="81" t="n"/>
      <c r="BT1934" s="81" t="n"/>
      <c r="BU1934" s="81" t="n"/>
      <c r="BV1934" s="81" t="n"/>
      <c r="BW1934" s="81" t="n"/>
      <c r="BX1934" s="81" t="n"/>
      <c r="BY1934" s="81" t="n"/>
      <c r="BZ1934" s="81" t="n"/>
      <c r="CA1934" s="81" t="n"/>
      <c r="CB1934" s="81" t="n"/>
      <c r="CC1934" s="81" t="n"/>
      <c r="CD1934" s="81" t="n"/>
      <c r="CE1934" s="81" t="n"/>
      <c r="CF1934" s="81" t="n"/>
      <c r="CG1934" s="81" t="n"/>
      <c r="CH1934" s="81" t="n"/>
    </row>
    <row r="1935">
      <c r="A1935" s="81" t="n"/>
      <c r="B1935" s="81" t="n"/>
      <c r="C1935" s="81" t="n"/>
      <c r="D1935" s="81" t="n"/>
      <c r="E1935" s="81" t="n"/>
      <c r="F1935" s="81" t="n"/>
      <c r="G1935" s="81" t="n"/>
      <c r="H1935" s="81" t="n"/>
      <c r="I1935" s="81" t="n"/>
      <c r="J1935" s="81" t="n"/>
      <c r="K1935" s="81" t="n"/>
      <c r="L1935" s="81" t="n"/>
      <c r="M1935" s="81" t="n"/>
      <c r="N1935" s="81" t="n"/>
      <c r="O1935" s="81" t="n"/>
      <c r="P1935" s="81" t="n"/>
      <c r="Q1935" s="81" t="n"/>
      <c r="R1935" s="81" t="n"/>
      <c r="S1935" s="81" t="n"/>
      <c r="T1935" s="81" t="n"/>
      <c r="U1935" s="81" t="n"/>
      <c r="V1935" s="81" t="n"/>
      <c r="W1935" s="81" t="n"/>
      <c r="X1935" s="81" t="n"/>
      <c r="Y1935" s="81" t="n"/>
      <c r="Z1935" s="81" t="n"/>
      <c r="AA1935" s="81" t="n"/>
      <c r="AB1935" s="81" t="n"/>
      <c r="AC1935" s="81" t="n"/>
      <c r="AD1935" s="81" t="n"/>
      <c r="AE1935" s="81" t="n"/>
      <c r="AF1935" s="81" t="n"/>
      <c r="AG1935" s="81" t="n"/>
      <c r="AH1935" s="81" t="n"/>
      <c r="AI1935" s="81" t="n"/>
      <c r="AJ1935" s="81" t="n"/>
      <c r="AK1935" s="81" t="n"/>
      <c r="AL1935" s="81" t="n"/>
      <c r="AM1935" s="81" t="n"/>
      <c r="AN1935" s="81" t="n"/>
      <c r="AO1935" s="81" t="n"/>
      <c r="AP1935" s="81" t="n"/>
      <c r="AQ1935" s="81" t="n"/>
      <c r="AR1935" s="81" t="n"/>
      <c r="AS1935" s="81" t="n"/>
      <c r="AT1935" s="81" t="n"/>
      <c r="AU1935" s="81" t="n"/>
      <c r="AV1935" s="81" t="n"/>
      <c r="AW1935" s="81" t="n"/>
      <c r="AX1935" s="81" t="n"/>
      <c r="AY1935" s="81" t="n"/>
      <c r="AZ1935" s="81" t="n"/>
      <c r="BA1935" s="81" t="n"/>
      <c r="BB1935" s="81" t="n"/>
      <c r="BC1935" s="81" t="n"/>
      <c r="BD1935" s="81" t="n"/>
      <c r="BE1935" s="81" t="n"/>
      <c r="BF1935" s="81" t="n"/>
      <c r="BG1935" s="81" t="n"/>
      <c r="BH1935" s="81" t="n"/>
      <c r="BI1935" s="81" t="n"/>
      <c r="BJ1935" s="81" t="n"/>
      <c r="BK1935" s="81" t="n"/>
      <c r="BL1935" s="81" t="n"/>
      <c r="BM1935" s="81" t="n"/>
      <c r="BN1935" s="81" t="n"/>
      <c r="BO1935" s="81" t="n"/>
      <c r="BP1935" s="81" t="n"/>
      <c r="BQ1935" s="81" t="n"/>
      <c r="BR1935" s="81" t="n"/>
      <c r="BS1935" s="81" t="n"/>
      <c r="BT1935" s="81" t="n"/>
      <c r="BU1935" s="81" t="n"/>
      <c r="BV1935" s="81" t="n"/>
      <c r="BW1935" s="81" t="n"/>
      <c r="BX1935" s="81" t="n"/>
      <c r="BY1935" s="81" t="n"/>
      <c r="BZ1935" s="81" t="n"/>
      <c r="CA1935" s="81" t="n"/>
      <c r="CB1935" s="81" t="n"/>
      <c r="CC1935" s="81" t="n"/>
      <c r="CD1935" s="81" t="n"/>
      <c r="CE1935" s="81" t="n"/>
      <c r="CF1935" s="81" t="n"/>
      <c r="CG1935" s="81" t="n"/>
      <c r="CH1935" s="81" t="n"/>
    </row>
    <row r="1936">
      <c r="A1936" s="81" t="n"/>
      <c r="B1936" s="81" t="n"/>
      <c r="C1936" s="81" t="n"/>
      <c r="D1936" s="81" t="n"/>
      <c r="E1936" s="81" t="n"/>
      <c r="F1936" s="81" t="n"/>
      <c r="G1936" s="81" t="n"/>
      <c r="H1936" s="81" t="n"/>
      <c r="I1936" s="81" t="n"/>
      <c r="J1936" s="81" t="n"/>
      <c r="K1936" s="81" t="n"/>
      <c r="L1936" s="81" t="n"/>
      <c r="M1936" s="81" t="n"/>
      <c r="N1936" s="81" t="n"/>
      <c r="O1936" s="81" t="n"/>
      <c r="P1936" s="81" t="n"/>
      <c r="Q1936" s="81" t="n"/>
      <c r="R1936" s="81" t="n"/>
      <c r="S1936" s="81" t="n"/>
      <c r="T1936" s="81" t="n"/>
      <c r="U1936" s="81" t="n"/>
      <c r="V1936" s="81" t="n"/>
      <c r="W1936" s="81" t="n"/>
      <c r="X1936" s="81" t="n"/>
      <c r="Y1936" s="81" t="n"/>
      <c r="Z1936" s="81" t="n"/>
      <c r="AA1936" s="81" t="n"/>
      <c r="AB1936" s="81" t="n"/>
      <c r="AC1936" s="81" t="n"/>
      <c r="AD1936" s="81" t="n"/>
      <c r="AE1936" s="81" t="n"/>
      <c r="AF1936" s="81" t="n"/>
      <c r="AG1936" s="81" t="n"/>
      <c r="AH1936" s="81" t="n"/>
      <c r="AI1936" s="81" t="n"/>
      <c r="AJ1936" s="81" t="n"/>
      <c r="AK1936" s="81" t="n"/>
      <c r="AL1936" s="81" t="n"/>
      <c r="AM1936" s="81" t="n"/>
      <c r="AN1936" s="81" t="n"/>
      <c r="AO1936" s="81" t="n"/>
      <c r="AP1936" s="81" t="n"/>
      <c r="AQ1936" s="81" t="n"/>
      <c r="AR1936" s="81" t="n"/>
      <c r="AS1936" s="81" t="n"/>
      <c r="AT1936" s="81" t="n"/>
      <c r="AU1936" s="81" t="n"/>
      <c r="AV1936" s="81" t="n"/>
      <c r="AW1936" s="81" t="n"/>
      <c r="AX1936" s="81" t="n"/>
      <c r="AY1936" s="81" t="n"/>
      <c r="AZ1936" s="81" t="n"/>
      <c r="BA1936" s="81" t="n"/>
      <c r="BB1936" s="81" t="n"/>
      <c r="BC1936" s="81" t="n"/>
      <c r="BD1936" s="81" t="n"/>
      <c r="BE1936" s="81" t="n"/>
      <c r="BF1936" s="81" t="n"/>
      <c r="BG1936" s="81" t="n"/>
      <c r="BH1936" s="81" t="n"/>
      <c r="BI1936" s="81" t="n"/>
      <c r="BJ1936" s="81" t="n"/>
      <c r="BK1936" s="81" t="n"/>
      <c r="BL1936" s="81" t="n"/>
      <c r="BM1936" s="81" t="n"/>
      <c r="BN1936" s="81" t="n"/>
      <c r="BO1936" s="81" t="n"/>
      <c r="BP1936" s="81" t="n"/>
      <c r="BQ1936" s="81" t="n"/>
      <c r="BR1936" s="81" t="n"/>
      <c r="BS1936" s="81" t="n"/>
      <c r="BT1936" s="81" t="n"/>
      <c r="BU1936" s="81" t="n"/>
      <c r="BV1936" s="81" t="n"/>
      <c r="BW1936" s="81" t="n"/>
      <c r="BX1936" s="81" t="n"/>
      <c r="BY1936" s="81" t="n"/>
      <c r="BZ1936" s="81" t="n"/>
      <c r="CA1936" s="81" t="n"/>
      <c r="CB1936" s="81" t="n"/>
      <c r="CC1936" s="81" t="n"/>
      <c r="CD1936" s="81" t="n"/>
      <c r="CE1936" s="81" t="n"/>
      <c r="CF1936" s="81" t="n"/>
      <c r="CG1936" s="81" t="n"/>
      <c r="CH1936" s="81" t="n"/>
    </row>
    <row r="1937">
      <c r="A1937" s="81" t="n"/>
      <c r="B1937" s="81" t="n"/>
      <c r="C1937" s="81" t="n"/>
      <c r="D1937" s="81" t="n"/>
      <c r="E1937" s="81" t="n"/>
      <c r="F1937" s="81" t="n"/>
      <c r="G1937" s="81" t="n"/>
      <c r="H1937" s="81" t="n"/>
      <c r="I1937" s="81" t="n"/>
      <c r="J1937" s="81" t="n"/>
      <c r="K1937" s="81" t="n"/>
      <c r="L1937" s="81" t="n"/>
      <c r="M1937" s="81" t="n"/>
      <c r="N1937" s="81" t="n"/>
      <c r="O1937" s="81" t="n"/>
      <c r="P1937" s="81" t="n"/>
      <c r="Q1937" s="81" t="n"/>
      <c r="R1937" s="81" t="n"/>
      <c r="S1937" s="81" t="n"/>
      <c r="T1937" s="81" t="n"/>
      <c r="U1937" s="81" t="n"/>
      <c r="V1937" s="81" t="n"/>
      <c r="W1937" s="81" t="n"/>
      <c r="X1937" s="81" t="n"/>
      <c r="Y1937" s="81" t="n"/>
      <c r="Z1937" s="81" t="n"/>
      <c r="AA1937" s="81" t="n"/>
      <c r="AB1937" s="81" t="n"/>
      <c r="AC1937" s="81" t="n"/>
      <c r="AD1937" s="81" t="n"/>
      <c r="AE1937" s="81" t="n"/>
      <c r="AF1937" s="81" t="n"/>
      <c r="AG1937" s="81" t="n"/>
      <c r="AH1937" s="81" t="n"/>
      <c r="AI1937" s="81" t="n"/>
      <c r="AJ1937" s="81" t="n"/>
      <c r="AK1937" s="81" t="n"/>
      <c r="AL1937" s="81" t="n"/>
      <c r="AM1937" s="81" t="n"/>
      <c r="AN1937" s="81" t="n"/>
      <c r="AO1937" s="81" t="n"/>
      <c r="AP1937" s="81" t="n"/>
      <c r="AQ1937" s="81" t="n"/>
      <c r="AR1937" s="81" t="n"/>
      <c r="AS1937" s="81" t="n"/>
      <c r="AT1937" s="81" t="n"/>
      <c r="AU1937" s="81" t="n"/>
      <c r="AV1937" s="81" t="n"/>
      <c r="AW1937" s="81" t="n"/>
      <c r="AX1937" s="81" t="n"/>
      <c r="AY1937" s="81" t="n"/>
      <c r="AZ1937" s="81" t="n"/>
      <c r="BA1937" s="81" t="n"/>
      <c r="BB1937" s="81" t="n"/>
      <c r="BC1937" s="81" t="n"/>
      <c r="BD1937" s="81" t="n"/>
      <c r="BE1937" s="81" t="n"/>
      <c r="BF1937" s="81" t="n"/>
      <c r="BG1937" s="81" t="n"/>
      <c r="BH1937" s="81" t="n"/>
      <c r="BI1937" s="81" t="n"/>
      <c r="BJ1937" s="81" t="n"/>
      <c r="BK1937" s="81" t="n"/>
      <c r="BL1937" s="81" t="n"/>
      <c r="BM1937" s="81" t="n"/>
      <c r="BN1937" s="81" t="n"/>
      <c r="BO1937" s="81" t="n"/>
      <c r="BP1937" s="81" t="n"/>
      <c r="BQ1937" s="81" t="n"/>
      <c r="BR1937" s="81" t="n"/>
      <c r="BS1937" s="81" t="n"/>
      <c r="BT1937" s="81" t="n"/>
      <c r="BU1937" s="81" t="n"/>
      <c r="BV1937" s="81" t="n"/>
      <c r="BW1937" s="81" t="n"/>
      <c r="BX1937" s="81" t="n"/>
      <c r="BY1937" s="81" t="n"/>
      <c r="BZ1937" s="81" t="n"/>
      <c r="CA1937" s="81" t="n"/>
      <c r="CB1937" s="81" t="n"/>
      <c r="CC1937" s="81" t="n"/>
      <c r="CD1937" s="81" t="n"/>
      <c r="CE1937" s="81" t="n"/>
      <c r="CF1937" s="81" t="n"/>
      <c r="CG1937" s="81" t="n"/>
      <c r="CH1937" s="81" t="n"/>
    </row>
    <row r="1938">
      <c r="A1938" s="81" t="n"/>
      <c r="B1938" s="81" t="n"/>
      <c r="C1938" s="81" t="n"/>
      <c r="D1938" s="81" t="n"/>
      <c r="E1938" s="81" t="n"/>
      <c r="F1938" s="81" t="n"/>
      <c r="G1938" s="81" t="n"/>
      <c r="H1938" s="81" t="n"/>
      <c r="I1938" s="81" t="n"/>
      <c r="J1938" s="81" t="n"/>
      <c r="K1938" s="81" t="n"/>
      <c r="L1938" s="81" t="n"/>
      <c r="M1938" s="81" t="n"/>
      <c r="N1938" s="81" t="n"/>
      <c r="O1938" s="81" t="n"/>
      <c r="P1938" s="81" t="n"/>
      <c r="Q1938" s="81" t="n"/>
      <c r="R1938" s="81" t="n"/>
      <c r="S1938" s="81" t="n"/>
      <c r="T1938" s="81" t="n"/>
      <c r="U1938" s="81" t="n"/>
      <c r="V1938" s="81" t="n"/>
      <c r="W1938" s="81" t="n"/>
      <c r="X1938" s="81" t="n"/>
      <c r="Y1938" s="81" t="n"/>
      <c r="Z1938" s="81" t="n"/>
      <c r="AA1938" s="81" t="n"/>
      <c r="AB1938" s="81" t="n"/>
      <c r="AC1938" s="81" t="n"/>
      <c r="AD1938" s="81" t="n"/>
      <c r="AE1938" s="81" t="n"/>
      <c r="AF1938" s="81" t="n"/>
      <c r="AG1938" s="81" t="n"/>
      <c r="AH1938" s="81" t="n"/>
      <c r="AI1938" s="81" t="n"/>
      <c r="AJ1938" s="81" t="n"/>
      <c r="AK1938" s="81" t="n"/>
      <c r="AL1938" s="81" t="n"/>
      <c r="AM1938" s="81" t="n"/>
      <c r="AN1938" s="81" t="n"/>
      <c r="AO1938" s="81" t="n"/>
      <c r="AP1938" s="81" t="n"/>
      <c r="AQ1938" s="81" t="n"/>
      <c r="AR1938" s="81" t="n"/>
      <c r="AS1938" s="81" t="n"/>
      <c r="AT1938" s="81" t="n"/>
      <c r="AU1938" s="81" t="n"/>
      <c r="AV1938" s="81" t="n"/>
      <c r="AW1938" s="81" t="n"/>
      <c r="AX1938" s="81" t="n"/>
      <c r="AY1938" s="81" t="n"/>
      <c r="AZ1938" s="81" t="n"/>
      <c r="BA1938" s="81" t="n"/>
      <c r="BB1938" s="81" t="n"/>
      <c r="BC1938" s="81" t="n"/>
      <c r="BD1938" s="81" t="n"/>
      <c r="BE1938" s="81" t="n"/>
      <c r="BF1938" s="81" t="n"/>
      <c r="BG1938" s="81" t="n"/>
      <c r="BH1938" s="81" t="n"/>
      <c r="BI1938" s="81" t="n"/>
      <c r="BJ1938" s="81" t="n"/>
      <c r="BK1938" s="81" t="n"/>
      <c r="BL1938" s="81" t="n"/>
      <c r="BM1938" s="81" t="n"/>
      <c r="BN1938" s="81" t="n"/>
      <c r="BO1938" s="81" t="n"/>
      <c r="BP1938" s="81" t="n"/>
      <c r="BQ1938" s="81" t="n"/>
      <c r="BR1938" s="81" t="n"/>
      <c r="BS1938" s="81" t="n"/>
      <c r="BT1938" s="81" t="n"/>
      <c r="BU1938" s="81" t="n"/>
      <c r="BV1938" s="81" t="n"/>
      <c r="BW1938" s="81" t="n"/>
      <c r="BX1938" s="81" t="n"/>
      <c r="BY1938" s="81" t="n"/>
      <c r="BZ1938" s="81" t="n"/>
      <c r="CA1938" s="81" t="n"/>
      <c r="CB1938" s="81" t="n"/>
      <c r="CC1938" s="81" t="n"/>
      <c r="CD1938" s="81" t="n"/>
      <c r="CE1938" s="81" t="n"/>
      <c r="CF1938" s="81" t="n"/>
      <c r="CG1938" s="81" t="n"/>
      <c r="CH1938" s="81" t="n"/>
    </row>
    <row r="1939">
      <c r="A1939" s="81" t="n"/>
      <c r="B1939" s="81" t="n"/>
      <c r="C1939" s="81" t="n"/>
      <c r="D1939" s="81" t="n"/>
      <c r="E1939" s="81" t="n"/>
      <c r="F1939" s="81" t="n"/>
      <c r="G1939" s="81" t="n"/>
      <c r="H1939" s="81" t="n"/>
      <c r="I1939" s="81" t="n"/>
      <c r="J1939" s="81" t="n"/>
      <c r="K1939" s="81" t="n"/>
      <c r="L1939" s="81" t="n"/>
      <c r="M1939" s="81" t="n"/>
      <c r="N1939" s="81" t="n"/>
      <c r="O1939" s="81" t="n"/>
      <c r="P1939" s="81" t="n"/>
      <c r="Q1939" s="81" t="n"/>
      <c r="R1939" s="81" t="n"/>
      <c r="S1939" s="81" t="n"/>
      <c r="T1939" s="81" t="n"/>
      <c r="U1939" s="81" t="n"/>
      <c r="V1939" s="81" t="n"/>
      <c r="W1939" s="81" t="n"/>
      <c r="X1939" s="81" t="n"/>
      <c r="Y1939" s="81" t="n"/>
      <c r="Z1939" s="81" t="n"/>
      <c r="AA1939" s="81" t="n"/>
      <c r="AB1939" s="81" t="n"/>
      <c r="AC1939" s="81" t="n"/>
      <c r="AD1939" s="81" t="n"/>
      <c r="AE1939" s="81" t="n"/>
      <c r="AF1939" s="81" t="n"/>
      <c r="AG1939" s="81" t="n"/>
      <c r="AH1939" s="81" t="n"/>
      <c r="AI1939" s="81" t="n"/>
      <c r="AJ1939" s="81" t="n"/>
      <c r="AK1939" s="81" t="n"/>
      <c r="AL1939" s="81" t="n"/>
      <c r="AM1939" s="81" t="n"/>
      <c r="AN1939" s="81" t="n"/>
      <c r="AO1939" s="81" t="n"/>
      <c r="AP1939" s="81" t="n"/>
      <c r="AQ1939" s="81" t="n"/>
      <c r="AR1939" s="81" t="n"/>
      <c r="AS1939" s="81" t="n"/>
      <c r="AT1939" s="81" t="n"/>
      <c r="AU1939" s="81" t="n"/>
      <c r="AV1939" s="81" t="n"/>
      <c r="AW1939" s="81" t="n"/>
      <c r="AX1939" s="81" t="n"/>
      <c r="AY1939" s="81" t="n"/>
      <c r="AZ1939" s="81" t="n"/>
      <c r="BA1939" s="81" t="n"/>
      <c r="BB1939" s="81" t="n"/>
      <c r="BC1939" s="81" t="n"/>
      <c r="BD1939" s="81" t="n"/>
      <c r="BE1939" s="81" t="n"/>
      <c r="BF1939" s="81" t="n"/>
      <c r="BG1939" s="81" t="n"/>
      <c r="BH1939" s="81" t="n"/>
      <c r="BI1939" s="81" t="n"/>
      <c r="BJ1939" s="81" t="n"/>
      <c r="BK1939" s="81" t="n"/>
      <c r="BL1939" s="81" t="n"/>
      <c r="BM1939" s="81" t="n"/>
      <c r="BN1939" s="81" t="n"/>
      <c r="BO1939" s="81" t="n"/>
      <c r="BP1939" s="81" t="n"/>
      <c r="BQ1939" s="81" t="n"/>
      <c r="BR1939" s="81" t="n"/>
      <c r="BS1939" s="81" t="n"/>
      <c r="BT1939" s="81" t="n"/>
      <c r="BU1939" s="81" t="n"/>
      <c r="BV1939" s="81" t="n"/>
      <c r="BW1939" s="81" t="n"/>
      <c r="BX1939" s="81" t="n"/>
      <c r="BY1939" s="81" t="n"/>
      <c r="BZ1939" s="81" t="n"/>
      <c r="CA1939" s="81" t="n"/>
      <c r="CB1939" s="81" t="n"/>
      <c r="CC1939" s="81" t="n"/>
      <c r="CD1939" s="81" t="n"/>
      <c r="CE1939" s="81" t="n"/>
      <c r="CF1939" s="81" t="n"/>
      <c r="CG1939" s="81" t="n"/>
      <c r="CH1939" s="81" t="n"/>
    </row>
    <row r="1940">
      <c r="A1940" s="81" t="n"/>
      <c r="B1940" s="81" t="n"/>
      <c r="C1940" s="81" t="n"/>
      <c r="D1940" s="81" t="n"/>
      <c r="E1940" s="81" t="n"/>
      <c r="F1940" s="81" t="n"/>
      <c r="G1940" s="81" t="n"/>
      <c r="H1940" s="81" t="n"/>
      <c r="I1940" s="81" t="n"/>
      <c r="J1940" s="81" t="n"/>
      <c r="K1940" s="81" t="n"/>
      <c r="L1940" s="81" t="n"/>
      <c r="M1940" s="81" t="n"/>
      <c r="N1940" s="81" t="n"/>
      <c r="O1940" s="81" t="n"/>
      <c r="P1940" s="81" t="n"/>
      <c r="Q1940" s="81" t="n"/>
      <c r="R1940" s="81" t="n"/>
      <c r="S1940" s="81" t="n"/>
      <c r="T1940" s="81" t="n"/>
      <c r="U1940" s="81" t="n"/>
      <c r="V1940" s="81" t="n"/>
      <c r="W1940" s="81" t="n"/>
      <c r="X1940" s="81" t="n"/>
      <c r="Y1940" s="81" t="n"/>
      <c r="Z1940" s="81" t="n"/>
      <c r="AA1940" s="81" t="n"/>
      <c r="AB1940" s="81" t="n"/>
      <c r="AC1940" s="81" t="n"/>
      <c r="AD1940" s="81" t="n"/>
      <c r="AE1940" s="81" t="n"/>
      <c r="AF1940" s="81" t="n"/>
      <c r="AG1940" s="81" t="n"/>
      <c r="AH1940" s="81" t="n"/>
      <c r="AI1940" s="81" t="n"/>
      <c r="AJ1940" s="81" t="n"/>
      <c r="AK1940" s="81" t="n"/>
      <c r="AL1940" s="81" t="n"/>
      <c r="AM1940" s="81" t="n"/>
      <c r="AN1940" s="81" t="n"/>
      <c r="AO1940" s="81" t="n"/>
      <c r="AP1940" s="81" t="n"/>
      <c r="AQ1940" s="81" t="n"/>
      <c r="AR1940" s="81" t="n"/>
      <c r="AS1940" s="81" t="n"/>
      <c r="AT1940" s="81" t="n"/>
      <c r="AU1940" s="81" t="n"/>
      <c r="AV1940" s="81" t="n"/>
      <c r="AW1940" s="81" t="n"/>
      <c r="AX1940" s="81" t="n"/>
      <c r="AY1940" s="81" t="n"/>
      <c r="AZ1940" s="81" t="n"/>
      <c r="BA1940" s="81" t="n"/>
      <c r="BB1940" s="81" t="n"/>
      <c r="BC1940" s="81" t="n"/>
      <c r="BD1940" s="81" t="n"/>
      <c r="BE1940" s="81" t="n"/>
      <c r="BF1940" s="81" t="n"/>
      <c r="BG1940" s="81" t="n"/>
      <c r="BH1940" s="81" t="n"/>
      <c r="BI1940" s="81" t="n"/>
      <c r="BJ1940" s="81" t="n"/>
      <c r="BK1940" s="81" t="n"/>
      <c r="BL1940" s="81" t="n"/>
      <c r="BM1940" s="81" t="n"/>
      <c r="BN1940" s="81" t="n"/>
      <c r="BO1940" s="81" t="n"/>
      <c r="BP1940" s="81" t="n"/>
      <c r="BQ1940" s="81" t="n"/>
      <c r="BR1940" s="81" t="n"/>
      <c r="BS1940" s="81" t="n"/>
      <c r="BT1940" s="81" t="n"/>
      <c r="BU1940" s="81" t="n"/>
      <c r="BV1940" s="81" t="n"/>
      <c r="BW1940" s="81" t="n"/>
      <c r="BX1940" s="81" t="n"/>
      <c r="BY1940" s="81" t="n"/>
      <c r="BZ1940" s="81" t="n"/>
      <c r="CA1940" s="81" t="n"/>
      <c r="CB1940" s="81" t="n"/>
      <c r="CC1940" s="81" t="n"/>
      <c r="CD1940" s="81" t="n"/>
      <c r="CE1940" s="81" t="n"/>
      <c r="CF1940" s="81" t="n"/>
      <c r="CG1940" s="81" t="n"/>
      <c r="CH1940" s="81" t="n"/>
    </row>
    <row r="1941">
      <c r="A1941" s="81" t="n"/>
      <c r="B1941" s="81" t="n"/>
      <c r="C1941" s="81" t="n"/>
      <c r="D1941" s="81" t="n"/>
      <c r="E1941" s="81" t="n"/>
      <c r="F1941" s="81" t="n"/>
      <c r="G1941" s="81" t="n"/>
      <c r="H1941" s="81" t="n"/>
      <c r="I1941" s="81" t="n"/>
      <c r="J1941" s="81" t="n"/>
      <c r="K1941" s="81" t="n"/>
      <c r="L1941" s="81" t="n"/>
      <c r="M1941" s="81" t="n"/>
      <c r="N1941" s="81" t="n"/>
      <c r="O1941" s="81" t="n"/>
      <c r="P1941" s="81" t="n"/>
      <c r="Q1941" s="81" t="n"/>
      <c r="R1941" s="81" t="n"/>
      <c r="S1941" s="81" t="n"/>
      <c r="T1941" s="81" t="n"/>
      <c r="U1941" s="81" t="n"/>
      <c r="V1941" s="81" t="n"/>
      <c r="W1941" s="81" t="n"/>
      <c r="X1941" s="81" t="n"/>
      <c r="Y1941" s="81" t="n"/>
      <c r="Z1941" s="81" t="n"/>
      <c r="AA1941" s="81" t="n"/>
      <c r="AB1941" s="81" t="n"/>
      <c r="AC1941" s="81" t="n"/>
      <c r="AD1941" s="81" t="n"/>
      <c r="AE1941" s="81" t="n"/>
      <c r="AF1941" s="81" t="n"/>
      <c r="AG1941" s="81" t="n"/>
      <c r="AH1941" s="81" t="n"/>
      <c r="AI1941" s="81" t="n"/>
      <c r="AJ1941" s="81" t="n"/>
      <c r="AK1941" s="81" t="n"/>
      <c r="AL1941" s="81" t="n"/>
      <c r="AM1941" s="81" t="n"/>
      <c r="AN1941" s="81" t="n"/>
      <c r="AO1941" s="81" t="n"/>
      <c r="AP1941" s="81" t="n"/>
      <c r="AQ1941" s="81" t="n"/>
      <c r="AR1941" s="81" t="n"/>
      <c r="AS1941" s="81" t="n"/>
      <c r="AT1941" s="81" t="n"/>
      <c r="AU1941" s="81" t="n"/>
      <c r="AV1941" s="81" t="n"/>
      <c r="AW1941" s="81" t="n"/>
      <c r="AX1941" s="81" t="n"/>
      <c r="AY1941" s="81" t="n"/>
      <c r="AZ1941" s="81" t="n"/>
      <c r="BA1941" s="81" t="n"/>
      <c r="BB1941" s="81" t="n"/>
      <c r="BC1941" s="81" t="n"/>
      <c r="BD1941" s="81" t="n"/>
      <c r="BE1941" s="81" t="n"/>
      <c r="BF1941" s="81" t="n"/>
      <c r="BG1941" s="81" t="n"/>
      <c r="BH1941" s="81" t="n"/>
      <c r="BI1941" s="81" t="n"/>
      <c r="BJ1941" s="81" t="n"/>
      <c r="BK1941" s="81" t="n"/>
      <c r="BL1941" s="81" t="n"/>
      <c r="BM1941" s="81" t="n"/>
      <c r="BN1941" s="81" t="n"/>
      <c r="BO1941" s="81" t="n"/>
      <c r="BP1941" s="81" t="n"/>
      <c r="BQ1941" s="81" t="n"/>
      <c r="BR1941" s="81" t="n"/>
      <c r="BS1941" s="81" t="n"/>
      <c r="BT1941" s="81" t="n"/>
      <c r="BU1941" s="81" t="n"/>
      <c r="BV1941" s="81" t="n"/>
      <c r="BW1941" s="81" t="n"/>
      <c r="BX1941" s="81" t="n"/>
      <c r="BY1941" s="81" t="n"/>
      <c r="BZ1941" s="81" t="n"/>
      <c r="CA1941" s="81" t="n"/>
      <c r="CB1941" s="81" t="n"/>
      <c r="CC1941" s="81" t="n"/>
      <c r="CD1941" s="81" t="n"/>
      <c r="CE1941" s="81" t="n"/>
      <c r="CF1941" s="81" t="n"/>
      <c r="CG1941" s="81" t="n"/>
      <c r="CH1941" s="81" t="n"/>
    </row>
    <row r="1942">
      <c r="A1942" s="81" t="n"/>
      <c r="B1942" s="81" t="n"/>
      <c r="C1942" s="81" t="n"/>
      <c r="D1942" s="81" t="n"/>
      <c r="E1942" s="81" t="n"/>
      <c r="F1942" s="81" t="n"/>
      <c r="G1942" s="81" t="n"/>
      <c r="H1942" s="81" t="n"/>
      <c r="I1942" s="81" t="n"/>
      <c r="J1942" s="81" t="n"/>
      <c r="K1942" s="81" t="n"/>
      <c r="L1942" s="81" t="n"/>
      <c r="M1942" s="81" t="n"/>
      <c r="N1942" s="81" t="n"/>
      <c r="O1942" s="81" t="n"/>
      <c r="P1942" s="81" t="n"/>
      <c r="Q1942" s="81" t="n"/>
      <c r="R1942" s="81" t="n"/>
      <c r="S1942" s="81" t="n"/>
      <c r="T1942" s="81" t="n"/>
      <c r="U1942" s="81" t="n"/>
      <c r="V1942" s="81" t="n"/>
      <c r="W1942" s="81" t="n"/>
      <c r="X1942" s="81" t="n"/>
      <c r="Y1942" s="81" t="n"/>
      <c r="Z1942" s="81" t="n"/>
      <c r="AA1942" s="81" t="n"/>
      <c r="AB1942" s="81" t="n"/>
      <c r="AC1942" s="81" t="n"/>
      <c r="AD1942" s="81" t="n"/>
      <c r="AE1942" s="81" t="n"/>
      <c r="AF1942" s="81" t="n"/>
      <c r="AG1942" s="81" t="n"/>
      <c r="AH1942" s="81" t="n"/>
      <c r="AI1942" s="81" t="n"/>
      <c r="AJ1942" s="81" t="n"/>
      <c r="AK1942" s="81" t="n"/>
      <c r="AL1942" s="81" t="n"/>
      <c r="AM1942" s="81" t="n"/>
      <c r="AN1942" s="81" t="n"/>
      <c r="AO1942" s="81" t="n"/>
      <c r="AP1942" s="81" t="n"/>
      <c r="AQ1942" s="81" t="n"/>
      <c r="AR1942" s="81" t="n"/>
      <c r="AS1942" s="81" t="n"/>
      <c r="AT1942" s="81" t="n"/>
      <c r="AU1942" s="81" t="n"/>
      <c r="AV1942" s="81" t="n"/>
      <c r="AW1942" s="81" t="n"/>
      <c r="AX1942" s="81" t="n"/>
      <c r="AY1942" s="81" t="n"/>
      <c r="AZ1942" s="81" t="n"/>
      <c r="BA1942" s="81" t="n"/>
      <c r="BB1942" s="81" t="n"/>
      <c r="BC1942" s="81" t="n"/>
      <c r="BD1942" s="81" t="n"/>
      <c r="BE1942" s="81" t="n"/>
      <c r="BF1942" s="81" t="n"/>
      <c r="BG1942" s="81" t="n"/>
      <c r="BH1942" s="81" t="n"/>
      <c r="BI1942" s="81" t="n"/>
      <c r="BJ1942" s="81" t="n"/>
      <c r="BK1942" s="81" t="n"/>
      <c r="BL1942" s="81" t="n"/>
      <c r="BM1942" s="81" t="n"/>
      <c r="BN1942" s="81" t="n"/>
      <c r="BO1942" s="81" t="n"/>
      <c r="BP1942" s="81" t="n"/>
      <c r="BQ1942" s="81" t="n"/>
      <c r="BR1942" s="81" t="n"/>
      <c r="BS1942" s="81" t="n"/>
      <c r="BT1942" s="81" t="n"/>
      <c r="BU1942" s="81" t="n"/>
      <c r="BV1942" s="81" t="n"/>
      <c r="BW1942" s="81" t="n"/>
      <c r="BX1942" s="81" t="n"/>
      <c r="BY1942" s="81" t="n"/>
      <c r="BZ1942" s="81" t="n"/>
      <c r="CA1942" s="81" t="n"/>
      <c r="CB1942" s="81" t="n"/>
      <c r="CC1942" s="81" t="n"/>
      <c r="CD1942" s="81" t="n"/>
      <c r="CE1942" s="81" t="n"/>
      <c r="CF1942" s="81" t="n"/>
      <c r="CG1942" s="81" t="n"/>
      <c r="CH1942" s="81" t="n"/>
    </row>
    <row r="1943">
      <c r="A1943" s="81" t="n"/>
      <c r="B1943" s="81" t="n"/>
      <c r="C1943" s="81" t="n"/>
      <c r="D1943" s="81" t="n"/>
      <c r="E1943" s="81" t="n"/>
      <c r="F1943" s="81" t="n"/>
      <c r="G1943" s="81" t="n"/>
      <c r="H1943" s="81" t="n"/>
      <c r="I1943" s="81" t="n"/>
      <c r="J1943" s="81" t="n"/>
      <c r="K1943" s="81" t="n"/>
      <c r="L1943" s="81" t="n"/>
      <c r="M1943" s="81" t="n"/>
      <c r="N1943" s="81" t="n"/>
      <c r="O1943" s="81" t="n"/>
      <c r="P1943" s="81" t="n"/>
      <c r="Q1943" s="81" t="n"/>
      <c r="R1943" s="81" t="n"/>
      <c r="S1943" s="81" t="n"/>
      <c r="T1943" s="81" t="n"/>
      <c r="U1943" s="81" t="n"/>
      <c r="V1943" s="81" t="n"/>
      <c r="W1943" s="81" t="n"/>
      <c r="X1943" s="81" t="n"/>
      <c r="Y1943" s="81" t="n"/>
      <c r="Z1943" s="81" t="n"/>
      <c r="AA1943" s="81" t="n"/>
      <c r="AB1943" s="81" t="n"/>
      <c r="AC1943" s="81" t="n"/>
      <c r="AD1943" s="81" t="n"/>
      <c r="AE1943" s="81" t="n"/>
      <c r="AF1943" s="81" t="n"/>
      <c r="AG1943" s="81" t="n"/>
      <c r="AH1943" s="81" t="n"/>
      <c r="AI1943" s="81" t="n"/>
      <c r="AJ1943" s="81" t="n"/>
      <c r="AK1943" s="81" t="n"/>
      <c r="AL1943" s="81" t="n"/>
      <c r="AM1943" s="81" t="n"/>
      <c r="AN1943" s="81" t="n"/>
      <c r="AO1943" s="81" t="n"/>
      <c r="AP1943" s="81" t="n"/>
      <c r="AQ1943" s="81" t="n"/>
      <c r="AR1943" s="81" t="n"/>
      <c r="AS1943" s="81" t="n"/>
      <c r="AT1943" s="81" t="n"/>
      <c r="AU1943" s="81" t="n"/>
      <c r="AV1943" s="81" t="n"/>
      <c r="AW1943" s="81" t="n"/>
      <c r="AX1943" s="81" t="n"/>
      <c r="AY1943" s="81" t="n"/>
      <c r="AZ1943" s="81" t="n"/>
      <c r="BA1943" s="81" t="n"/>
      <c r="BB1943" s="81" t="n"/>
      <c r="BC1943" s="81" t="n"/>
      <c r="BD1943" s="81" t="n"/>
      <c r="BE1943" s="81" t="n"/>
      <c r="BF1943" s="81" t="n"/>
      <c r="BG1943" s="81" t="n"/>
      <c r="BH1943" s="81" t="n"/>
      <c r="BI1943" s="81" t="n"/>
      <c r="BJ1943" s="81" t="n"/>
      <c r="BK1943" s="81" t="n"/>
      <c r="BL1943" s="81" t="n"/>
      <c r="BM1943" s="81" t="n"/>
      <c r="BN1943" s="81" t="n"/>
      <c r="BO1943" s="81" t="n"/>
      <c r="BP1943" s="81" t="n"/>
      <c r="BQ1943" s="81" t="n"/>
      <c r="BR1943" s="81" t="n"/>
      <c r="BS1943" s="81" t="n"/>
      <c r="BT1943" s="81" t="n"/>
      <c r="BU1943" s="81" t="n"/>
      <c r="BV1943" s="81" t="n"/>
      <c r="BW1943" s="81" t="n"/>
      <c r="BX1943" s="81" t="n"/>
      <c r="BY1943" s="81" t="n"/>
      <c r="BZ1943" s="81" t="n"/>
      <c r="CA1943" s="81" t="n"/>
      <c r="CB1943" s="81" t="n"/>
      <c r="CC1943" s="81" t="n"/>
      <c r="CD1943" s="81" t="n"/>
      <c r="CE1943" s="81" t="n"/>
      <c r="CF1943" s="81" t="n"/>
      <c r="CG1943" s="81" t="n"/>
      <c r="CH1943" s="81" t="n"/>
    </row>
    <row r="1944">
      <c r="A1944" s="81" t="n"/>
      <c r="B1944" s="81" t="n"/>
      <c r="C1944" s="81" t="n"/>
      <c r="D1944" s="81" t="n"/>
      <c r="E1944" s="81" t="n"/>
      <c r="F1944" s="81" t="n"/>
      <c r="G1944" s="81" t="n"/>
      <c r="H1944" s="81" t="n"/>
      <c r="I1944" s="81" t="n"/>
      <c r="J1944" s="81" t="n"/>
      <c r="K1944" s="81" t="n"/>
      <c r="L1944" s="81" t="n"/>
      <c r="M1944" s="81" t="n"/>
      <c r="N1944" s="81" t="n"/>
      <c r="O1944" s="81" t="n"/>
      <c r="P1944" s="81" t="n"/>
      <c r="Q1944" s="81" t="n"/>
      <c r="R1944" s="81" t="n"/>
      <c r="S1944" s="81" t="n"/>
      <c r="T1944" s="81" t="n"/>
      <c r="U1944" s="81" t="n"/>
      <c r="V1944" s="81" t="n"/>
      <c r="W1944" s="81" t="n"/>
      <c r="X1944" s="81" t="n"/>
      <c r="Y1944" s="81" t="n"/>
      <c r="Z1944" s="81" t="n"/>
      <c r="AA1944" s="81" t="n"/>
      <c r="AB1944" s="81" t="n"/>
      <c r="AC1944" s="81" t="n"/>
      <c r="AD1944" s="81" t="n"/>
      <c r="AE1944" s="81" t="n"/>
      <c r="AF1944" s="81" t="n"/>
      <c r="AG1944" s="81" t="n"/>
      <c r="AH1944" s="81" t="n"/>
      <c r="AI1944" s="81" t="n"/>
      <c r="AJ1944" s="81" t="n"/>
      <c r="AK1944" s="81" t="n"/>
      <c r="AL1944" s="81" t="n"/>
      <c r="AM1944" s="81" t="n"/>
      <c r="AN1944" s="81" t="n"/>
      <c r="AO1944" s="81" t="n"/>
      <c r="AP1944" s="81" t="n"/>
      <c r="AQ1944" s="81" t="n"/>
      <c r="AR1944" s="81" t="n"/>
      <c r="AS1944" s="81" t="n"/>
      <c r="AT1944" s="81" t="n"/>
      <c r="AU1944" s="81" t="n"/>
      <c r="AV1944" s="81" t="n"/>
      <c r="AW1944" s="81" t="n"/>
      <c r="AX1944" s="81" t="n"/>
      <c r="AY1944" s="81" t="n"/>
      <c r="AZ1944" s="81" t="n"/>
      <c r="BA1944" s="81" t="n"/>
      <c r="BB1944" s="81" t="n"/>
      <c r="BC1944" s="81" t="n"/>
      <c r="BD1944" s="81" t="n"/>
      <c r="BE1944" s="81" t="n"/>
      <c r="BF1944" s="81" t="n"/>
      <c r="BG1944" s="81" t="n"/>
      <c r="BH1944" s="81" t="n"/>
      <c r="BI1944" s="81" t="n"/>
      <c r="BJ1944" s="81" t="n"/>
      <c r="BK1944" s="81" t="n"/>
      <c r="BL1944" s="81" t="n"/>
      <c r="BM1944" s="81" t="n"/>
      <c r="BN1944" s="81" t="n"/>
      <c r="BO1944" s="81" t="n"/>
      <c r="BP1944" s="81" t="n"/>
      <c r="BQ1944" s="81" t="n"/>
      <c r="BR1944" s="81" t="n"/>
      <c r="BS1944" s="81" t="n"/>
      <c r="BT1944" s="81" t="n"/>
      <c r="BU1944" s="81" t="n"/>
      <c r="BV1944" s="81" t="n"/>
      <c r="BW1944" s="81" t="n"/>
      <c r="BX1944" s="81" t="n"/>
      <c r="BY1944" s="81" t="n"/>
      <c r="BZ1944" s="81" t="n"/>
      <c r="CA1944" s="81" t="n"/>
      <c r="CB1944" s="81" t="n"/>
      <c r="CC1944" s="81" t="n"/>
      <c r="CD1944" s="81" t="n"/>
      <c r="CE1944" s="81" t="n"/>
      <c r="CF1944" s="81" t="n"/>
      <c r="CG1944" s="81" t="n"/>
      <c r="CH1944" s="81" t="n"/>
    </row>
    <row r="1945">
      <c r="A1945" s="81" t="n"/>
      <c r="B1945" s="81" t="n"/>
      <c r="C1945" s="81" t="n"/>
      <c r="D1945" s="81" t="n"/>
      <c r="E1945" s="81" t="n"/>
      <c r="F1945" s="81" t="n"/>
      <c r="G1945" s="81" t="n"/>
      <c r="H1945" s="81" t="n"/>
      <c r="I1945" s="81" t="n"/>
      <c r="J1945" s="81" t="n"/>
      <c r="K1945" s="81" t="n"/>
      <c r="L1945" s="81" t="n"/>
      <c r="M1945" s="81" t="n"/>
      <c r="N1945" s="81" t="n"/>
      <c r="O1945" s="81" t="n"/>
      <c r="P1945" s="81" t="n"/>
      <c r="Q1945" s="81" t="n"/>
      <c r="R1945" s="81" t="n"/>
      <c r="S1945" s="81" t="n"/>
      <c r="T1945" s="81" t="n"/>
      <c r="U1945" s="81" t="n"/>
      <c r="V1945" s="81" t="n"/>
      <c r="W1945" s="81" t="n"/>
      <c r="X1945" s="81" t="n"/>
      <c r="Y1945" s="81" t="n"/>
      <c r="Z1945" s="81" t="n"/>
      <c r="AA1945" s="81" t="n"/>
      <c r="AB1945" s="81" t="n"/>
      <c r="AC1945" s="81" t="n"/>
      <c r="AD1945" s="81" t="n"/>
      <c r="AE1945" s="81" t="n"/>
      <c r="AF1945" s="81" t="n"/>
      <c r="AG1945" s="81" t="n"/>
      <c r="AH1945" s="81" t="n"/>
      <c r="AI1945" s="81" t="n"/>
      <c r="AJ1945" s="81" t="n"/>
      <c r="AK1945" s="81" t="n"/>
      <c r="AL1945" s="81" t="n"/>
      <c r="AM1945" s="81" t="n"/>
      <c r="AN1945" s="81" t="n"/>
      <c r="AO1945" s="81" t="n"/>
      <c r="AP1945" s="81" t="n"/>
      <c r="AQ1945" s="81" t="n"/>
      <c r="AR1945" s="81" t="n"/>
      <c r="AS1945" s="81" t="n"/>
      <c r="AT1945" s="81" t="n"/>
      <c r="AU1945" s="81" t="n"/>
      <c r="AV1945" s="81" t="n"/>
      <c r="AW1945" s="81" t="n"/>
      <c r="AX1945" s="81" t="n"/>
      <c r="AY1945" s="81" t="n"/>
      <c r="AZ1945" s="81" t="n"/>
      <c r="BA1945" s="81" t="n"/>
      <c r="BB1945" s="81" t="n"/>
      <c r="BC1945" s="81" t="n"/>
      <c r="BD1945" s="81" t="n"/>
      <c r="BE1945" s="81" t="n"/>
      <c r="BF1945" s="81" t="n"/>
      <c r="BG1945" s="81" t="n"/>
      <c r="BH1945" s="81" t="n"/>
      <c r="BI1945" s="81" t="n"/>
      <c r="BJ1945" s="81" t="n"/>
      <c r="BK1945" s="81" t="n"/>
      <c r="BL1945" s="81" t="n"/>
      <c r="BM1945" s="81" t="n"/>
      <c r="BN1945" s="81" t="n"/>
      <c r="BO1945" s="81" t="n"/>
      <c r="BP1945" s="81" t="n"/>
      <c r="BQ1945" s="81" t="n"/>
      <c r="BR1945" s="81" t="n"/>
      <c r="BS1945" s="81" t="n"/>
      <c r="BT1945" s="81" t="n"/>
      <c r="BU1945" s="81" t="n"/>
      <c r="BV1945" s="81" t="n"/>
      <c r="BW1945" s="81" t="n"/>
      <c r="BX1945" s="81" t="n"/>
      <c r="BY1945" s="81" t="n"/>
      <c r="BZ1945" s="81" t="n"/>
      <c r="CA1945" s="81" t="n"/>
      <c r="CB1945" s="81" t="n"/>
      <c r="CC1945" s="81" t="n"/>
      <c r="CD1945" s="81" t="n"/>
      <c r="CE1945" s="81" t="n"/>
      <c r="CF1945" s="81" t="n"/>
      <c r="CG1945" s="81" t="n"/>
      <c r="CH1945" s="81" t="n"/>
    </row>
    <row r="1946">
      <c r="A1946" s="81" t="n"/>
      <c r="B1946" s="81" t="n"/>
      <c r="C1946" s="81" t="n"/>
      <c r="D1946" s="81" t="n"/>
      <c r="E1946" s="81" t="n"/>
      <c r="F1946" s="81" t="n"/>
      <c r="G1946" s="81" t="n"/>
      <c r="H1946" s="81" t="n"/>
      <c r="I1946" s="81" t="n"/>
      <c r="J1946" s="81" t="n"/>
      <c r="K1946" s="81" t="n"/>
      <c r="L1946" s="81" t="n"/>
      <c r="M1946" s="81" t="n"/>
      <c r="N1946" s="81" t="n"/>
      <c r="O1946" s="81" t="n"/>
      <c r="P1946" s="81" t="n"/>
      <c r="Q1946" s="81" t="n"/>
      <c r="R1946" s="81" t="n"/>
      <c r="S1946" s="81" t="n"/>
      <c r="T1946" s="81" t="n"/>
      <c r="U1946" s="81" t="n"/>
      <c r="V1946" s="81" t="n"/>
      <c r="W1946" s="81" t="n"/>
      <c r="X1946" s="81" t="n"/>
      <c r="Y1946" s="81" t="n"/>
      <c r="Z1946" s="81" t="n"/>
      <c r="AA1946" s="81" t="n"/>
      <c r="AB1946" s="81" t="n"/>
      <c r="AC1946" s="81" t="n"/>
      <c r="AD1946" s="81" t="n"/>
      <c r="AE1946" s="81" t="n"/>
      <c r="AF1946" s="81" t="n"/>
      <c r="AG1946" s="81" t="n"/>
      <c r="AH1946" s="81" t="n"/>
      <c r="AI1946" s="81" t="n"/>
      <c r="AJ1946" s="81" t="n"/>
      <c r="AK1946" s="81" t="n"/>
      <c r="AL1946" s="81" t="n"/>
      <c r="AM1946" s="81" t="n"/>
      <c r="AN1946" s="81" t="n"/>
      <c r="AO1946" s="81" t="n"/>
      <c r="AP1946" s="81" t="n"/>
      <c r="AQ1946" s="81" t="n"/>
      <c r="AR1946" s="81" t="n"/>
      <c r="AS1946" s="81" t="n"/>
      <c r="AT1946" s="81" t="n"/>
      <c r="AU1946" s="81" t="n"/>
      <c r="AV1946" s="81" t="n"/>
      <c r="AW1946" s="81" t="n"/>
      <c r="AX1946" s="81" t="n"/>
      <c r="AY1946" s="81" t="n"/>
      <c r="AZ1946" s="81" t="n"/>
      <c r="BA1946" s="81" t="n"/>
      <c r="BB1946" s="81" t="n"/>
      <c r="BC1946" s="81" t="n"/>
      <c r="BD1946" s="81" t="n"/>
      <c r="BE1946" s="81" t="n"/>
      <c r="BF1946" s="81" t="n"/>
      <c r="BG1946" s="81" t="n"/>
      <c r="BH1946" s="81" t="n"/>
      <c r="BI1946" s="81" t="n"/>
      <c r="BJ1946" s="81" t="n"/>
      <c r="BK1946" s="81" t="n"/>
      <c r="BL1946" s="81" t="n"/>
      <c r="BM1946" s="81" t="n"/>
      <c r="BN1946" s="81" t="n"/>
      <c r="BO1946" s="81" t="n"/>
      <c r="BP1946" s="81" t="n"/>
      <c r="BQ1946" s="81" t="n"/>
      <c r="BR1946" s="81" t="n"/>
      <c r="BS1946" s="81" t="n"/>
      <c r="BT1946" s="81" t="n"/>
      <c r="BU1946" s="81" t="n"/>
      <c r="BV1946" s="81" t="n"/>
      <c r="BW1946" s="81" t="n"/>
      <c r="BX1946" s="81" t="n"/>
      <c r="BY1946" s="81" t="n"/>
      <c r="BZ1946" s="81" t="n"/>
      <c r="CA1946" s="81" t="n"/>
      <c r="CB1946" s="81" t="n"/>
      <c r="CC1946" s="81" t="n"/>
      <c r="CD1946" s="81" t="n"/>
      <c r="CE1946" s="81" t="n"/>
      <c r="CF1946" s="81" t="n"/>
      <c r="CG1946" s="81" t="n"/>
      <c r="CH1946" s="81" t="n"/>
    </row>
    <row r="1947">
      <c r="A1947" s="81" t="n"/>
      <c r="B1947" s="81" t="n"/>
      <c r="C1947" s="81" t="n"/>
      <c r="D1947" s="81" t="n"/>
      <c r="E1947" s="81" t="n"/>
      <c r="F1947" s="81" t="n"/>
      <c r="G1947" s="81" t="n"/>
      <c r="H1947" s="81" t="n"/>
      <c r="I1947" s="81" t="n"/>
      <c r="J1947" s="81" t="n"/>
      <c r="K1947" s="81" t="n"/>
      <c r="L1947" s="81" t="n"/>
      <c r="M1947" s="81" t="n"/>
      <c r="N1947" s="81" t="n"/>
      <c r="O1947" s="81" t="n"/>
      <c r="P1947" s="81" t="n"/>
      <c r="Q1947" s="81" t="n"/>
      <c r="R1947" s="81" t="n"/>
      <c r="S1947" s="81" t="n"/>
      <c r="T1947" s="81" t="n"/>
      <c r="U1947" s="81" t="n"/>
      <c r="V1947" s="81" t="n"/>
      <c r="W1947" s="81" t="n"/>
      <c r="X1947" s="81" t="n"/>
      <c r="Y1947" s="81" t="n"/>
      <c r="Z1947" s="81" t="n"/>
      <c r="AA1947" s="81" t="n"/>
      <c r="AB1947" s="81" t="n"/>
      <c r="AC1947" s="81" t="n"/>
      <c r="AD1947" s="81" t="n"/>
      <c r="AE1947" s="81" t="n"/>
      <c r="AF1947" s="81" t="n"/>
      <c r="AG1947" s="81" t="n"/>
      <c r="AH1947" s="81" t="n"/>
      <c r="AI1947" s="81" t="n"/>
      <c r="AJ1947" s="81" t="n"/>
      <c r="AK1947" s="81" t="n"/>
      <c r="AL1947" s="81" t="n"/>
      <c r="AM1947" s="81" t="n"/>
      <c r="AN1947" s="81" t="n"/>
      <c r="AO1947" s="81" t="n"/>
      <c r="AP1947" s="81" t="n"/>
      <c r="AQ1947" s="81" t="n"/>
      <c r="AR1947" s="81" t="n"/>
      <c r="AS1947" s="81" t="n"/>
      <c r="AT1947" s="81" t="n"/>
      <c r="AU1947" s="81" t="n"/>
      <c r="AV1947" s="81" t="n"/>
      <c r="AW1947" s="81" t="n"/>
      <c r="AX1947" s="81" t="n"/>
      <c r="AY1947" s="81" t="n"/>
      <c r="AZ1947" s="81" t="n"/>
      <c r="BA1947" s="81" t="n"/>
      <c r="BB1947" s="81" t="n"/>
      <c r="BC1947" s="81" t="n"/>
      <c r="BD1947" s="81" t="n"/>
      <c r="BE1947" s="81" t="n"/>
      <c r="BF1947" s="81" t="n"/>
      <c r="BG1947" s="81" t="n"/>
      <c r="BH1947" s="81" t="n"/>
      <c r="BI1947" s="81" t="n"/>
      <c r="BJ1947" s="81" t="n"/>
      <c r="BK1947" s="81" t="n"/>
      <c r="BL1947" s="81" t="n"/>
      <c r="BM1947" s="81" t="n"/>
      <c r="BN1947" s="81" t="n"/>
      <c r="BO1947" s="81" t="n"/>
      <c r="BP1947" s="81" t="n"/>
      <c r="BQ1947" s="81" t="n"/>
      <c r="BR1947" s="81" t="n"/>
      <c r="BS1947" s="81" t="n"/>
      <c r="BT1947" s="81" t="n"/>
      <c r="BU1947" s="81" t="n"/>
      <c r="BV1947" s="81" t="n"/>
      <c r="BW1947" s="81" t="n"/>
      <c r="BX1947" s="81" t="n"/>
      <c r="BY1947" s="81" t="n"/>
      <c r="BZ1947" s="81" t="n"/>
      <c r="CA1947" s="81" t="n"/>
      <c r="CB1947" s="81" t="n"/>
      <c r="CC1947" s="81" t="n"/>
      <c r="CD1947" s="81" t="n"/>
      <c r="CE1947" s="81" t="n"/>
      <c r="CF1947" s="81" t="n"/>
      <c r="CG1947" s="81" t="n"/>
      <c r="CH1947" s="81" t="n"/>
    </row>
    <row r="1948">
      <c r="A1948" s="81" t="n"/>
      <c r="B1948" s="81" t="n"/>
      <c r="C1948" s="81" t="n"/>
      <c r="D1948" s="81" t="n"/>
      <c r="E1948" s="81" t="n"/>
      <c r="F1948" s="81" t="n"/>
      <c r="G1948" s="81" t="n"/>
      <c r="H1948" s="81" t="n"/>
      <c r="I1948" s="81" t="n"/>
      <c r="J1948" s="81" t="n"/>
      <c r="K1948" s="81" t="n"/>
      <c r="L1948" s="81" t="n"/>
      <c r="M1948" s="81" t="n"/>
      <c r="N1948" s="81" t="n"/>
      <c r="O1948" s="81" t="n"/>
      <c r="P1948" s="81" t="n"/>
      <c r="Q1948" s="81" t="n"/>
      <c r="R1948" s="81" t="n"/>
      <c r="S1948" s="81" t="n"/>
      <c r="T1948" s="81" t="n"/>
      <c r="U1948" s="81" t="n"/>
      <c r="V1948" s="81" t="n"/>
      <c r="W1948" s="81" t="n"/>
      <c r="X1948" s="81" t="n"/>
      <c r="Y1948" s="81" t="n"/>
      <c r="Z1948" s="81" t="n"/>
      <c r="AA1948" s="81" t="n"/>
      <c r="AB1948" s="81" t="n"/>
      <c r="AC1948" s="81" t="n"/>
      <c r="AD1948" s="81" t="n"/>
      <c r="AE1948" s="81" t="n"/>
      <c r="AF1948" s="81" t="n"/>
      <c r="AG1948" s="81" t="n"/>
      <c r="AH1948" s="81" t="n"/>
      <c r="AI1948" s="81" t="n"/>
      <c r="AJ1948" s="81" t="n"/>
      <c r="AK1948" s="81" t="n"/>
      <c r="AL1948" s="81" t="n"/>
      <c r="AM1948" s="81" t="n"/>
      <c r="AN1948" s="81" t="n"/>
      <c r="AO1948" s="81" t="n"/>
      <c r="AP1948" s="81" t="n"/>
      <c r="AQ1948" s="81" t="n"/>
      <c r="AR1948" s="81" t="n"/>
      <c r="AS1948" s="81" t="n"/>
      <c r="AT1948" s="81" t="n"/>
      <c r="AU1948" s="81" t="n"/>
      <c r="AV1948" s="81" t="n"/>
      <c r="AW1948" s="81" t="n"/>
      <c r="AX1948" s="81" t="n"/>
      <c r="AY1948" s="81" t="n"/>
      <c r="AZ1948" s="81" t="n"/>
      <c r="BA1948" s="81" t="n"/>
      <c r="BB1948" s="81" t="n"/>
      <c r="BC1948" s="81" t="n"/>
      <c r="BD1948" s="81" t="n"/>
      <c r="BE1948" s="81" t="n"/>
      <c r="BF1948" s="81" t="n"/>
      <c r="BG1948" s="81" t="n"/>
      <c r="BH1948" s="81" t="n"/>
      <c r="BI1948" s="81" t="n"/>
      <c r="BJ1948" s="81" t="n"/>
      <c r="BK1948" s="81" t="n"/>
      <c r="BL1948" s="81" t="n"/>
      <c r="BM1948" s="81" t="n"/>
      <c r="BN1948" s="81" t="n"/>
      <c r="BO1948" s="81" t="n"/>
      <c r="BP1948" s="81" t="n"/>
      <c r="BQ1948" s="81" t="n"/>
      <c r="BR1948" s="81" t="n"/>
      <c r="BS1948" s="81" t="n"/>
      <c r="BT1948" s="81" t="n"/>
      <c r="BU1948" s="81" t="n"/>
      <c r="BV1948" s="81" t="n"/>
      <c r="BW1948" s="81" t="n"/>
      <c r="BX1948" s="81" t="n"/>
      <c r="BY1948" s="81" t="n"/>
      <c r="BZ1948" s="81" t="n"/>
      <c r="CA1948" s="81" t="n"/>
      <c r="CB1948" s="81" t="n"/>
      <c r="CC1948" s="81" t="n"/>
      <c r="CD1948" s="81" t="n"/>
      <c r="CE1948" s="81" t="n"/>
      <c r="CF1948" s="81" t="n"/>
      <c r="CG1948" s="81" t="n"/>
      <c r="CH1948" s="81" t="n"/>
    </row>
    <row r="1949">
      <c r="A1949" s="81" t="n"/>
      <c r="B1949" s="81" t="n"/>
      <c r="C1949" s="81" t="n"/>
      <c r="D1949" s="81" t="n"/>
      <c r="E1949" s="81" t="n"/>
      <c r="F1949" s="81" t="n"/>
      <c r="G1949" s="81" t="n"/>
      <c r="H1949" s="81" t="n"/>
      <c r="I1949" s="81" t="n"/>
      <c r="J1949" s="81" t="n"/>
      <c r="K1949" s="81" t="n"/>
      <c r="L1949" s="81" t="n"/>
      <c r="M1949" s="81" t="n"/>
      <c r="N1949" s="81" t="n"/>
      <c r="O1949" s="81" t="n"/>
      <c r="P1949" s="81" t="n"/>
      <c r="Q1949" s="81" t="n"/>
      <c r="R1949" s="81" t="n"/>
      <c r="S1949" s="81" t="n"/>
      <c r="T1949" s="81" t="n"/>
      <c r="U1949" s="81" t="n"/>
      <c r="V1949" s="81" t="n"/>
      <c r="W1949" s="81" t="n"/>
      <c r="X1949" s="81" t="n"/>
      <c r="Y1949" s="81" t="n"/>
      <c r="Z1949" s="81" t="n"/>
      <c r="AA1949" s="81" t="n"/>
      <c r="AB1949" s="81" t="n"/>
      <c r="AC1949" s="81" t="n"/>
      <c r="AD1949" s="81" t="n"/>
      <c r="AE1949" s="81" t="n"/>
      <c r="AF1949" s="81" t="n"/>
      <c r="AG1949" s="81" t="n"/>
      <c r="AH1949" s="81" t="n"/>
      <c r="AI1949" s="81" t="n"/>
      <c r="AJ1949" s="81" t="n"/>
      <c r="AK1949" s="81" t="n"/>
      <c r="AL1949" s="81" t="n"/>
      <c r="AM1949" s="81" t="n"/>
      <c r="AN1949" s="81" t="n"/>
      <c r="AO1949" s="81" t="n"/>
      <c r="AP1949" s="81" t="n"/>
      <c r="AQ1949" s="81" t="n"/>
      <c r="AR1949" s="81" t="n"/>
      <c r="AS1949" s="81" t="n"/>
      <c r="AT1949" s="81" t="n"/>
      <c r="AU1949" s="81" t="n"/>
      <c r="AV1949" s="81" t="n"/>
      <c r="AW1949" s="81" t="n"/>
      <c r="AX1949" s="81" t="n"/>
      <c r="AY1949" s="81" t="n"/>
      <c r="AZ1949" s="81" t="n"/>
      <c r="BA1949" s="81" t="n"/>
      <c r="BB1949" s="81" t="n"/>
      <c r="BC1949" s="81" t="n"/>
      <c r="BD1949" s="81" t="n"/>
      <c r="BE1949" s="81" t="n"/>
      <c r="BF1949" s="81" t="n"/>
      <c r="BG1949" s="81" t="n"/>
      <c r="BH1949" s="81" t="n"/>
      <c r="BI1949" s="81" t="n"/>
      <c r="BJ1949" s="81" t="n"/>
      <c r="BK1949" s="81" t="n"/>
      <c r="BL1949" s="81" t="n"/>
      <c r="BM1949" s="81" t="n"/>
      <c r="BN1949" s="81" t="n"/>
      <c r="BO1949" s="81" t="n"/>
      <c r="BP1949" s="81" t="n"/>
      <c r="BQ1949" s="81" t="n"/>
      <c r="BR1949" s="81" t="n"/>
      <c r="BS1949" s="81" t="n"/>
      <c r="BT1949" s="81" t="n"/>
      <c r="BU1949" s="81" t="n"/>
      <c r="BV1949" s="81" t="n"/>
      <c r="BW1949" s="81" t="n"/>
      <c r="BX1949" s="81" t="n"/>
      <c r="BY1949" s="81" t="n"/>
      <c r="BZ1949" s="81" t="n"/>
      <c r="CA1949" s="81" t="n"/>
      <c r="CB1949" s="81" t="n"/>
      <c r="CC1949" s="81" t="n"/>
      <c r="CD1949" s="81" t="n"/>
      <c r="CE1949" s="81" t="n"/>
      <c r="CF1949" s="81" t="n"/>
      <c r="CG1949" s="81" t="n"/>
      <c r="CH1949" s="81" t="n"/>
    </row>
    <row r="1950">
      <c r="A1950" s="81" t="n"/>
      <c r="B1950" s="81" t="n"/>
      <c r="C1950" s="81" t="n"/>
      <c r="D1950" s="81" t="n"/>
      <c r="E1950" s="81" t="n"/>
      <c r="F1950" s="81" t="n"/>
      <c r="G1950" s="81" t="n"/>
      <c r="H1950" s="81" t="n"/>
      <c r="I1950" s="81" t="n"/>
      <c r="J1950" s="81" t="n"/>
      <c r="K1950" s="81" t="n"/>
      <c r="L1950" s="81" t="n"/>
      <c r="M1950" s="81" t="n"/>
      <c r="N1950" s="81" t="n"/>
      <c r="O1950" s="81" t="n"/>
      <c r="P1950" s="81" t="n"/>
      <c r="Q1950" s="81" t="n"/>
      <c r="R1950" s="81" t="n"/>
      <c r="S1950" s="81" t="n"/>
      <c r="T1950" s="81" t="n"/>
      <c r="U1950" s="81" t="n"/>
      <c r="V1950" s="81" t="n"/>
      <c r="W1950" s="81" t="n"/>
      <c r="X1950" s="81" t="n"/>
      <c r="Y1950" s="81" t="n"/>
      <c r="Z1950" s="81" t="n"/>
      <c r="AA1950" s="81" t="n"/>
      <c r="AB1950" s="81" t="n"/>
      <c r="AC1950" s="81" t="n"/>
      <c r="AD1950" s="81" t="n"/>
      <c r="AE1950" s="81" t="n"/>
      <c r="AF1950" s="81" t="n"/>
      <c r="AG1950" s="81" t="n"/>
      <c r="AH1950" s="81" t="n"/>
      <c r="AI1950" s="81" t="n"/>
      <c r="AJ1950" s="81" t="n"/>
      <c r="AK1950" s="81" t="n"/>
      <c r="AL1950" s="81" t="n"/>
      <c r="AM1950" s="81" t="n"/>
      <c r="AN1950" s="81" t="n"/>
      <c r="AO1950" s="81" t="n"/>
      <c r="AP1950" s="81" t="n"/>
      <c r="AQ1950" s="81" t="n"/>
      <c r="AR1950" s="81" t="n"/>
      <c r="AS1950" s="81" t="n"/>
      <c r="AT1950" s="81" t="n"/>
      <c r="AU1950" s="81" t="n"/>
      <c r="AV1950" s="81" t="n"/>
      <c r="AW1950" s="81" t="n"/>
      <c r="AX1950" s="81" t="n"/>
      <c r="AY1950" s="81" t="n"/>
      <c r="AZ1950" s="81" t="n"/>
      <c r="BA1950" s="81" t="n"/>
      <c r="BB1950" s="81" t="n"/>
      <c r="BC1950" s="81" t="n"/>
      <c r="BD1950" s="81" t="n"/>
      <c r="BE1950" s="81" t="n"/>
      <c r="BF1950" s="81" t="n"/>
      <c r="BG1950" s="81" t="n"/>
      <c r="BH1950" s="81" t="n"/>
      <c r="BI1950" s="81" t="n"/>
      <c r="BJ1950" s="81" t="n"/>
      <c r="BK1950" s="81" t="n"/>
      <c r="BL1950" s="81" t="n"/>
      <c r="BM1950" s="81" t="n"/>
      <c r="BN1950" s="81" t="n"/>
      <c r="BO1950" s="81" t="n"/>
      <c r="BP1950" s="81" t="n"/>
      <c r="BQ1950" s="81" t="n"/>
      <c r="BR1950" s="81" t="n"/>
      <c r="BS1950" s="81" t="n"/>
      <c r="BT1950" s="81" t="n"/>
      <c r="BU1950" s="81" t="n"/>
      <c r="BV1950" s="81" t="n"/>
      <c r="BW1950" s="81" t="n"/>
      <c r="BX1950" s="81" t="n"/>
      <c r="BY1950" s="81" t="n"/>
      <c r="BZ1950" s="81" t="n"/>
      <c r="CA1950" s="81" t="n"/>
      <c r="CB1950" s="81" t="n"/>
      <c r="CC1950" s="81" t="n"/>
      <c r="CD1950" s="81" t="n"/>
      <c r="CE1950" s="81" t="n"/>
      <c r="CF1950" s="81" t="n"/>
      <c r="CG1950" s="81" t="n"/>
      <c r="CH1950" s="81" t="n"/>
    </row>
    <row r="1951">
      <c r="A1951" s="81" t="n"/>
      <c r="B1951" s="81" t="n"/>
      <c r="C1951" s="81" t="n"/>
      <c r="D1951" s="81" t="n"/>
      <c r="E1951" s="81" t="n"/>
      <c r="F1951" s="81" t="n"/>
      <c r="G1951" s="81" t="n"/>
      <c r="H1951" s="81" t="n"/>
      <c r="I1951" s="81" t="n"/>
      <c r="J1951" s="81" t="n"/>
      <c r="K1951" s="81" t="n"/>
      <c r="L1951" s="81" t="n"/>
      <c r="M1951" s="81" t="n"/>
      <c r="N1951" s="81" t="n"/>
      <c r="O1951" s="81" t="n"/>
      <c r="P1951" s="81" t="n"/>
      <c r="Q1951" s="81" t="n"/>
      <c r="R1951" s="81" t="n"/>
      <c r="S1951" s="81" t="n"/>
      <c r="T1951" s="81" t="n"/>
      <c r="U1951" s="81" t="n"/>
      <c r="V1951" s="81" t="n"/>
      <c r="W1951" s="81" t="n"/>
      <c r="X1951" s="81" t="n"/>
      <c r="Y1951" s="81" t="n"/>
      <c r="Z1951" s="81" t="n"/>
      <c r="AA1951" s="81" t="n"/>
      <c r="AB1951" s="81" t="n"/>
      <c r="AC1951" s="81" t="n"/>
      <c r="AD1951" s="81" t="n"/>
      <c r="AE1951" s="81" t="n"/>
      <c r="AF1951" s="81" t="n"/>
      <c r="AG1951" s="81" t="n"/>
      <c r="AH1951" s="81" t="n"/>
      <c r="AI1951" s="81" t="n"/>
      <c r="AJ1951" s="81" t="n"/>
      <c r="AK1951" s="81" t="n"/>
      <c r="AL1951" s="81" t="n"/>
      <c r="AM1951" s="81" t="n"/>
      <c r="AN1951" s="81" t="n"/>
      <c r="AO1951" s="81" t="n"/>
      <c r="AP1951" s="81" t="n"/>
      <c r="AQ1951" s="81" t="n"/>
      <c r="AR1951" s="81" t="n"/>
      <c r="AS1951" s="81" t="n"/>
      <c r="AT1951" s="81" t="n"/>
      <c r="AU1951" s="81" t="n"/>
      <c r="AV1951" s="81" t="n"/>
      <c r="AW1951" s="81" t="n"/>
      <c r="AX1951" s="81" t="n"/>
      <c r="AY1951" s="81" t="n"/>
      <c r="AZ1951" s="81" t="n"/>
      <c r="BA1951" s="81" t="n"/>
      <c r="BB1951" s="81" t="n"/>
      <c r="BC1951" s="81" t="n"/>
      <c r="BD1951" s="81" t="n"/>
      <c r="BE1951" s="81" t="n"/>
      <c r="BF1951" s="81" t="n"/>
      <c r="BG1951" s="81" t="n"/>
      <c r="BH1951" s="81" t="n"/>
      <c r="BI1951" s="81" t="n"/>
      <c r="BJ1951" s="81" t="n"/>
      <c r="BK1951" s="81" t="n"/>
      <c r="BL1951" s="81" t="n"/>
      <c r="BM1951" s="81" t="n"/>
      <c r="BN1951" s="81" t="n"/>
      <c r="BO1951" s="81" t="n"/>
      <c r="BP1951" s="81" t="n"/>
      <c r="BQ1951" s="81" t="n"/>
      <c r="BR1951" s="81" t="n"/>
      <c r="BS1951" s="81" t="n"/>
      <c r="BT1951" s="81" t="n"/>
      <c r="BU1951" s="81" t="n"/>
      <c r="BV1951" s="81" t="n"/>
      <c r="BW1951" s="81" t="n"/>
      <c r="BX1951" s="81" t="n"/>
      <c r="BY1951" s="81" t="n"/>
      <c r="BZ1951" s="81" t="n"/>
      <c r="CA1951" s="81" t="n"/>
      <c r="CB1951" s="81" t="n"/>
      <c r="CC1951" s="81" t="n"/>
      <c r="CD1951" s="81" t="n"/>
      <c r="CE1951" s="81" t="n"/>
      <c r="CF1951" s="81" t="n"/>
      <c r="CG1951" s="81" t="n"/>
      <c r="CH1951" s="81" t="n"/>
    </row>
    <row r="1952">
      <c r="A1952" s="81" t="n"/>
      <c r="B1952" s="81" t="n"/>
      <c r="C1952" s="81" t="n"/>
      <c r="D1952" s="81" t="n"/>
      <c r="E1952" s="81" t="n"/>
      <c r="F1952" s="81" t="n"/>
      <c r="G1952" s="81" t="n"/>
      <c r="H1952" s="81" t="n"/>
      <c r="I1952" s="81" t="n"/>
      <c r="J1952" s="81" t="n"/>
      <c r="K1952" s="81" t="n"/>
      <c r="L1952" s="81" t="n"/>
      <c r="M1952" s="81" t="n"/>
      <c r="N1952" s="81" t="n"/>
      <c r="O1952" s="81" t="n"/>
      <c r="P1952" s="81" t="n"/>
      <c r="Q1952" s="81" t="n"/>
      <c r="R1952" s="81" t="n"/>
      <c r="S1952" s="81" t="n"/>
      <c r="T1952" s="81" t="n"/>
      <c r="U1952" s="81" t="n"/>
      <c r="V1952" s="81" t="n"/>
      <c r="W1952" s="81" t="n"/>
      <c r="X1952" s="81" t="n"/>
      <c r="Y1952" s="81" t="n"/>
      <c r="Z1952" s="81" t="n"/>
      <c r="AA1952" s="81" t="n"/>
      <c r="AB1952" s="81" t="n"/>
      <c r="AC1952" s="81" t="n"/>
      <c r="AD1952" s="81" t="n"/>
      <c r="AE1952" s="81" t="n"/>
      <c r="AF1952" s="81" t="n"/>
      <c r="AG1952" s="81" t="n"/>
      <c r="AH1952" s="81" t="n"/>
      <c r="AI1952" s="81" t="n"/>
      <c r="AJ1952" s="81" t="n"/>
      <c r="AK1952" s="81" t="n"/>
      <c r="AL1952" s="81" t="n"/>
      <c r="AM1952" s="81" t="n"/>
      <c r="AN1952" s="81" t="n"/>
      <c r="AO1952" s="81" t="n"/>
      <c r="AP1952" s="81" t="n"/>
      <c r="AQ1952" s="81" t="n"/>
      <c r="AR1952" s="81" t="n"/>
      <c r="AS1952" s="81" t="n"/>
      <c r="AT1952" s="81" t="n"/>
      <c r="AU1952" s="81" t="n"/>
      <c r="AV1952" s="81" t="n"/>
      <c r="AW1952" s="81" t="n"/>
      <c r="AX1952" s="81" t="n"/>
      <c r="AY1952" s="81" t="n"/>
      <c r="AZ1952" s="81" t="n"/>
      <c r="BA1952" s="81" t="n"/>
      <c r="BB1952" s="81" t="n"/>
      <c r="BC1952" s="81" t="n"/>
      <c r="BD1952" s="81" t="n"/>
      <c r="BE1952" s="81" t="n"/>
      <c r="BF1952" s="81" t="n"/>
      <c r="BG1952" s="81" t="n"/>
      <c r="BH1952" s="81" t="n"/>
      <c r="BI1952" s="81" t="n"/>
      <c r="BJ1952" s="81" t="n"/>
      <c r="BK1952" s="81" t="n"/>
      <c r="BL1952" s="81" t="n"/>
      <c r="BM1952" s="81" t="n"/>
      <c r="BN1952" s="81" t="n"/>
      <c r="BO1952" s="81" t="n"/>
      <c r="BP1952" s="81" t="n"/>
      <c r="BQ1952" s="81" t="n"/>
      <c r="BR1952" s="81" t="n"/>
      <c r="BS1952" s="81" t="n"/>
      <c r="BT1952" s="81" t="n"/>
      <c r="BU1952" s="81" t="n"/>
      <c r="BV1952" s="81" t="n"/>
      <c r="BW1952" s="81" t="n"/>
      <c r="BX1952" s="81" t="n"/>
      <c r="BY1952" s="81" t="n"/>
      <c r="BZ1952" s="81" t="n"/>
      <c r="CA1952" s="81" t="n"/>
      <c r="CB1952" s="81" t="n"/>
      <c r="CC1952" s="81" t="n"/>
      <c r="CD1952" s="81" t="n"/>
      <c r="CE1952" s="81" t="n"/>
      <c r="CF1952" s="81" t="n"/>
      <c r="CG1952" s="81" t="n"/>
      <c r="CH1952" s="81" t="n"/>
    </row>
    <row r="1953">
      <c r="A1953" s="81" t="n"/>
      <c r="B1953" s="81" t="n"/>
      <c r="C1953" s="81" t="n"/>
      <c r="D1953" s="81" t="n"/>
      <c r="E1953" s="81" t="n"/>
      <c r="F1953" s="81" t="n"/>
      <c r="G1953" s="81" t="n"/>
      <c r="H1953" s="81" t="n"/>
      <c r="I1953" s="81" t="n"/>
      <c r="J1953" s="81" t="n"/>
      <c r="K1953" s="81" t="n"/>
      <c r="L1953" s="81" t="n"/>
      <c r="M1953" s="81" t="n"/>
      <c r="N1953" s="81" t="n"/>
      <c r="O1953" s="81" t="n"/>
      <c r="P1953" s="81" t="n"/>
      <c r="Q1953" s="81" t="n"/>
      <c r="R1953" s="81" t="n"/>
      <c r="S1953" s="81" t="n"/>
      <c r="T1953" s="81" t="n"/>
      <c r="U1953" s="81" t="n"/>
      <c r="V1953" s="81" t="n"/>
      <c r="W1953" s="81" t="n"/>
      <c r="X1953" s="81" t="n"/>
      <c r="Y1953" s="81" t="n"/>
      <c r="Z1953" s="81" t="n"/>
      <c r="AA1953" s="81" t="n"/>
      <c r="AB1953" s="81" t="n"/>
      <c r="AC1953" s="81" t="n"/>
      <c r="AD1953" s="81" t="n"/>
      <c r="AE1953" s="81" t="n"/>
      <c r="AF1953" s="81" t="n"/>
      <c r="AG1953" s="81" t="n"/>
      <c r="AH1953" s="81" t="n"/>
      <c r="AI1953" s="81" t="n"/>
      <c r="AJ1953" s="81" t="n"/>
      <c r="AK1953" s="81" t="n"/>
      <c r="AL1953" s="81" t="n"/>
      <c r="AM1953" s="81" t="n"/>
      <c r="AN1953" s="81" t="n"/>
      <c r="AO1953" s="81" t="n"/>
      <c r="AP1953" s="81" t="n"/>
      <c r="AQ1953" s="81" t="n"/>
      <c r="AR1953" s="81" t="n"/>
      <c r="AS1953" s="81" t="n"/>
      <c r="AT1953" s="81" t="n"/>
      <c r="AU1953" s="81" t="n"/>
      <c r="AV1953" s="81" t="n"/>
      <c r="AW1953" s="81" t="n"/>
      <c r="AX1953" s="81" t="n"/>
      <c r="AY1953" s="81" t="n"/>
      <c r="AZ1953" s="81" t="n"/>
      <c r="BA1953" s="81" t="n"/>
      <c r="BB1953" s="81" t="n"/>
      <c r="BC1953" s="81" t="n"/>
      <c r="BD1953" s="81" t="n"/>
      <c r="BE1953" s="81" t="n"/>
      <c r="BF1953" s="81" t="n"/>
      <c r="BG1953" s="81" t="n"/>
      <c r="BH1953" s="81" t="n"/>
      <c r="BI1953" s="81" t="n"/>
      <c r="BJ1953" s="81" t="n"/>
      <c r="BK1953" s="81" t="n"/>
      <c r="BL1953" s="81" t="n"/>
      <c r="BM1953" s="81" t="n"/>
      <c r="BN1953" s="81" t="n"/>
      <c r="BO1953" s="81" t="n"/>
      <c r="BP1953" s="81" t="n"/>
      <c r="BQ1953" s="81" t="n"/>
      <c r="BR1953" s="81" t="n"/>
      <c r="BS1953" s="81" t="n"/>
      <c r="BT1953" s="81" t="n"/>
      <c r="BU1953" s="81" t="n"/>
      <c r="BV1953" s="81" t="n"/>
      <c r="BW1953" s="81" t="n"/>
      <c r="BX1953" s="81" t="n"/>
      <c r="BY1953" s="81" t="n"/>
      <c r="BZ1953" s="81" t="n"/>
      <c r="CA1953" s="81" t="n"/>
      <c r="CB1953" s="81" t="n"/>
      <c r="CC1953" s="81" t="n"/>
      <c r="CD1953" s="81" t="n"/>
      <c r="CE1953" s="81" t="n"/>
      <c r="CF1953" s="81" t="n"/>
      <c r="CG1953" s="81" t="n"/>
      <c r="CH1953" s="81" t="n"/>
    </row>
    <row r="1954">
      <c r="A1954" s="81" t="n"/>
      <c r="B1954" s="81" t="n"/>
      <c r="C1954" s="81" t="n"/>
      <c r="D1954" s="81" t="n"/>
      <c r="E1954" s="81" t="n"/>
      <c r="F1954" s="81" t="n"/>
      <c r="G1954" s="81" t="n"/>
      <c r="H1954" s="81" t="n"/>
      <c r="I1954" s="81" t="n"/>
      <c r="J1954" s="81" t="n"/>
      <c r="K1954" s="81" t="n"/>
      <c r="L1954" s="81" t="n"/>
      <c r="M1954" s="81" t="n"/>
      <c r="N1954" s="81" t="n"/>
      <c r="O1954" s="81" t="n"/>
      <c r="P1954" s="81" t="n"/>
      <c r="Q1954" s="81" t="n"/>
      <c r="R1954" s="81" t="n"/>
      <c r="S1954" s="81" t="n"/>
      <c r="T1954" s="81" t="n"/>
      <c r="U1954" s="81" t="n"/>
      <c r="V1954" s="81" t="n"/>
      <c r="W1954" s="81" t="n"/>
      <c r="X1954" s="81" t="n"/>
      <c r="Y1954" s="81" t="n"/>
      <c r="Z1954" s="81" t="n"/>
      <c r="AA1954" s="81" t="n"/>
      <c r="AB1954" s="81" t="n"/>
      <c r="AC1954" s="81" t="n"/>
      <c r="AD1954" s="81" t="n"/>
      <c r="AE1954" s="81" t="n"/>
      <c r="AF1954" s="81" t="n"/>
      <c r="AG1954" s="81" t="n"/>
      <c r="AH1954" s="81" t="n"/>
      <c r="AI1954" s="81" t="n"/>
      <c r="AJ1954" s="81" t="n"/>
      <c r="AK1954" s="81" t="n"/>
      <c r="AL1954" s="81" t="n"/>
      <c r="AM1954" s="81" t="n"/>
      <c r="AN1954" s="81" t="n"/>
      <c r="AO1954" s="81" t="n"/>
      <c r="AP1954" s="81" t="n"/>
      <c r="AQ1954" s="81" t="n"/>
      <c r="AR1954" s="81" t="n"/>
      <c r="AS1954" s="81" t="n"/>
      <c r="AT1954" s="81" t="n"/>
      <c r="AU1954" s="81" t="n"/>
      <c r="AV1954" s="81" t="n"/>
      <c r="AW1954" s="81" t="n"/>
      <c r="AX1954" s="81" t="n"/>
      <c r="AY1954" s="81" t="n"/>
      <c r="AZ1954" s="81" t="n"/>
      <c r="BA1954" s="81" t="n"/>
      <c r="BB1954" s="81" t="n"/>
      <c r="BC1954" s="81" t="n"/>
      <c r="BD1954" s="81" t="n"/>
      <c r="BE1954" s="81" t="n"/>
      <c r="BF1954" s="81" t="n"/>
      <c r="BG1954" s="81" t="n"/>
      <c r="BH1954" s="81" t="n"/>
      <c r="BI1954" s="81" t="n"/>
      <c r="BJ1954" s="81" t="n"/>
      <c r="BK1954" s="81" t="n"/>
      <c r="BL1954" s="81" t="n"/>
      <c r="BM1954" s="81" t="n"/>
      <c r="BN1954" s="81" t="n"/>
      <c r="BO1954" s="81" t="n"/>
      <c r="BP1954" s="81" t="n"/>
      <c r="BQ1954" s="81" t="n"/>
      <c r="BR1954" s="81" t="n"/>
      <c r="BS1954" s="81" t="n"/>
      <c r="BT1954" s="81" t="n"/>
      <c r="BU1954" s="81" t="n"/>
      <c r="BV1954" s="81" t="n"/>
      <c r="BW1954" s="81" t="n"/>
      <c r="BX1954" s="81" t="n"/>
      <c r="BY1954" s="81" t="n"/>
      <c r="BZ1954" s="81" t="n"/>
      <c r="CA1954" s="81" t="n"/>
      <c r="CB1954" s="81" t="n"/>
      <c r="CC1954" s="81" t="n"/>
      <c r="CD1954" s="81" t="n"/>
      <c r="CE1954" s="81" t="n"/>
      <c r="CF1954" s="81" t="n"/>
      <c r="CG1954" s="81" t="n"/>
      <c r="CH1954" s="81" t="n"/>
    </row>
    <row r="1955">
      <c r="A1955" s="81" t="n"/>
      <c r="B1955" s="81" t="n"/>
      <c r="C1955" s="81" t="n"/>
      <c r="D1955" s="81" t="n"/>
      <c r="E1955" s="81" t="n"/>
      <c r="F1955" s="81" t="n"/>
      <c r="G1955" s="81" t="n"/>
      <c r="H1955" s="81" t="n"/>
      <c r="I1955" s="81" t="n"/>
      <c r="J1955" s="81" t="n"/>
      <c r="K1955" s="81" t="n"/>
      <c r="L1955" s="81" t="n"/>
      <c r="M1955" s="81" t="n"/>
      <c r="N1955" s="81" t="n"/>
      <c r="O1955" s="81" t="n"/>
      <c r="P1955" s="81" t="n"/>
      <c r="Q1955" s="81" t="n"/>
      <c r="R1955" s="81" t="n"/>
      <c r="S1955" s="81" t="n"/>
      <c r="T1955" s="81" t="n"/>
      <c r="U1955" s="81" t="n"/>
      <c r="V1955" s="81" t="n"/>
      <c r="W1955" s="81" t="n"/>
      <c r="X1955" s="81" t="n"/>
      <c r="Y1955" s="81" t="n"/>
      <c r="Z1955" s="81" t="n"/>
      <c r="AA1955" s="81" t="n"/>
      <c r="AB1955" s="81" t="n"/>
      <c r="AC1955" s="81" t="n"/>
      <c r="AD1955" s="81" t="n"/>
      <c r="AE1955" s="81" t="n"/>
      <c r="AF1955" s="81" t="n"/>
      <c r="AG1955" s="81" t="n"/>
      <c r="AH1955" s="81" t="n"/>
      <c r="AI1955" s="81" t="n"/>
      <c r="AJ1955" s="81" t="n"/>
      <c r="AK1955" s="81" t="n"/>
      <c r="AL1955" s="81" t="n"/>
      <c r="AM1955" s="81" t="n"/>
      <c r="AN1955" s="81" t="n"/>
      <c r="AO1955" s="81" t="n"/>
      <c r="AP1955" s="81" t="n"/>
      <c r="AQ1955" s="81" t="n"/>
      <c r="AR1955" s="81" t="n"/>
      <c r="AS1955" s="81" t="n"/>
      <c r="AT1955" s="81" t="n"/>
      <c r="AU1955" s="81" t="n"/>
      <c r="AV1955" s="81" t="n"/>
      <c r="AW1955" s="81" t="n"/>
      <c r="AX1955" s="81" t="n"/>
      <c r="AY1955" s="81" t="n"/>
      <c r="AZ1955" s="81" t="n"/>
      <c r="BA1955" s="81" t="n"/>
      <c r="BB1955" s="81" t="n"/>
      <c r="BC1955" s="81" t="n"/>
      <c r="BD1955" s="81" t="n"/>
      <c r="BE1955" s="81" t="n"/>
      <c r="BF1955" s="81" t="n"/>
      <c r="BG1955" s="81" t="n"/>
      <c r="BH1955" s="81" t="n"/>
      <c r="BI1955" s="81" t="n"/>
      <c r="BJ1955" s="81" t="n"/>
      <c r="BK1955" s="81" t="n"/>
      <c r="BL1955" s="81" t="n"/>
      <c r="BM1955" s="81" t="n"/>
      <c r="BN1955" s="81" t="n"/>
      <c r="BO1955" s="81" t="n"/>
      <c r="BP1955" s="81" t="n"/>
      <c r="BQ1955" s="81" t="n"/>
      <c r="BR1955" s="81" t="n"/>
      <c r="BS1955" s="81" t="n"/>
      <c r="BT1955" s="81" t="n"/>
      <c r="BU1955" s="81" t="n"/>
      <c r="BV1955" s="81" t="n"/>
      <c r="BW1955" s="81" t="n"/>
      <c r="BX1955" s="81" t="n"/>
      <c r="BY1955" s="81" t="n"/>
      <c r="BZ1955" s="81" t="n"/>
      <c r="CA1955" s="81" t="n"/>
      <c r="CB1955" s="81" t="n"/>
      <c r="CC1955" s="81" t="n"/>
      <c r="CD1955" s="81" t="n"/>
      <c r="CE1955" s="81" t="n"/>
      <c r="CF1955" s="81" t="n"/>
      <c r="CG1955" s="81" t="n"/>
      <c r="CH1955" s="81" t="n"/>
    </row>
    <row r="1956">
      <c r="A1956" s="81" t="n"/>
      <c r="B1956" s="81" t="n"/>
      <c r="C1956" s="81" t="n"/>
      <c r="D1956" s="81" t="n"/>
      <c r="E1956" s="81" t="n"/>
      <c r="F1956" s="81" t="n"/>
      <c r="G1956" s="81" t="n"/>
      <c r="H1956" s="81" t="n"/>
      <c r="I1956" s="81" t="n"/>
      <c r="J1956" s="81" t="n"/>
      <c r="K1956" s="81" t="n"/>
      <c r="L1956" s="81" t="n"/>
      <c r="M1956" s="81" t="n"/>
      <c r="N1956" s="81" t="n"/>
      <c r="O1956" s="81" t="n"/>
      <c r="P1956" s="81" t="n"/>
      <c r="Q1956" s="81" t="n"/>
      <c r="R1956" s="81" t="n"/>
      <c r="S1956" s="81" t="n"/>
      <c r="T1956" s="81" t="n"/>
      <c r="U1956" s="81" t="n"/>
      <c r="V1956" s="81" t="n"/>
      <c r="W1956" s="81" t="n"/>
      <c r="X1956" s="81" t="n"/>
      <c r="Y1956" s="81" t="n"/>
      <c r="Z1956" s="81" t="n"/>
      <c r="AA1956" s="81" t="n"/>
      <c r="AB1956" s="81" t="n"/>
      <c r="AC1956" s="81" t="n"/>
      <c r="AD1956" s="81" t="n"/>
      <c r="AE1956" s="81" t="n"/>
      <c r="AF1956" s="81" t="n"/>
      <c r="AG1956" s="81" t="n"/>
      <c r="AH1956" s="81" t="n"/>
      <c r="AI1956" s="81" t="n"/>
      <c r="AJ1956" s="81" t="n"/>
      <c r="AK1956" s="81" t="n"/>
      <c r="AL1956" s="81" t="n"/>
      <c r="AM1956" s="81" t="n"/>
      <c r="AN1956" s="81" t="n"/>
      <c r="AO1956" s="81" t="n"/>
      <c r="AP1956" s="81" t="n"/>
      <c r="AQ1956" s="81" t="n"/>
      <c r="AR1956" s="81" t="n"/>
      <c r="AS1956" s="81" t="n"/>
      <c r="AT1956" s="81" t="n"/>
      <c r="AU1956" s="81" t="n"/>
      <c r="AV1956" s="81" t="n"/>
      <c r="AW1956" s="81" t="n"/>
      <c r="AX1956" s="81" t="n"/>
      <c r="AY1956" s="81" t="n"/>
      <c r="AZ1956" s="81" t="n"/>
      <c r="BA1956" s="81" t="n"/>
      <c r="BB1956" s="81" t="n"/>
      <c r="BC1956" s="81" t="n"/>
      <c r="BD1956" s="81" t="n"/>
      <c r="BE1956" s="81" t="n"/>
      <c r="BF1956" s="81" t="n"/>
      <c r="BG1956" s="81" t="n"/>
      <c r="BH1956" s="81" t="n"/>
      <c r="BI1956" s="81" t="n"/>
      <c r="BJ1956" s="81" t="n"/>
      <c r="BK1956" s="81" t="n"/>
      <c r="BL1956" s="81" t="n"/>
      <c r="BM1956" s="81" t="n"/>
      <c r="BN1956" s="81" t="n"/>
      <c r="BO1956" s="81" t="n"/>
      <c r="BP1956" s="81" t="n"/>
      <c r="BQ1956" s="81" t="n"/>
      <c r="BR1956" s="81" t="n"/>
      <c r="BS1956" s="81" t="n"/>
      <c r="BT1956" s="81" t="n"/>
      <c r="BU1956" s="81" t="n"/>
      <c r="BV1956" s="81" t="n"/>
      <c r="BW1956" s="81" t="n"/>
      <c r="BX1956" s="81" t="n"/>
      <c r="BY1956" s="81" t="n"/>
      <c r="BZ1956" s="81" t="n"/>
      <c r="CA1956" s="81" t="n"/>
      <c r="CB1956" s="81" t="n"/>
      <c r="CC1956" s="81" t="n"/>
      <c r="CD1956" s="81" t="n"/>
      <c r="CE1956" s="81" t="n"/>
      <c r="CF1956" s="81" t="n"/>
      <c r="CG1956" s="81" t="n"/>
      <c r="CH1956" s="81" t="n"/>
    </row>
    <row r="1957">
      <c r="A1957" s="81" t="n"/>
      <c r="B1957" s="81" t="n"/>
      <c r="C1957" s="81" t="n"/>
      <c r="D1957" s="81" t="n"/>
      <c r="E1957" s="81" t="n"/>
      <c r="F1957" s="81" t="n"/>
      <c r="G1957" s="81" t="n"/>
      <c r="H1957" s="81" t="n"/>
      <c r="I1957" s="81" t="n"/>
      <c r="J1957" s="81" t="n"/>
      <c r="K1957" s="81" t="n"/>
      <c r="L1957" s="81" t="n"/>
      <c r="M1957" s="81" t="n"/>
      <c r="N1957" s="81" t="n"/>
      <c r="O1957" s="81" t="n"/>
      <c r="P1957" s="81" t="n"/>
      <c r="Q1957" s="81" t="n"/>
      <c r="R1957" s="81" t="n"/>
      <c r="S1957" s="81" t="n"/>
      <c r="T1957" s="81" t="n"/>
      <c r="U1957" s="81" t="n"/>
      <c r="V1957" s="81" t="n"/>
      <c r="W1957" s="81" t="n"/>
      <c r="X1957" s="81" t="n"/>
      <c r="Y1957" s="81" t="n"/>
      <c r="Z1957" s="81" t="n"/>
      <c r="AA1957" s="81" t="n"/>
      <c r="AB1957" s="81" t="n"/>
      <c r="AC1957" s="81" t="n"/>
      <c r="AD1957" s="81" t="n"/>
      <c r="AE1957" s="81" t="n"/>
      <c r="AF1957" s="81" t="n"/>
      <c r="AG1957" s="81" t="n"/>
      <c r="AH1957" s="81" t="n"/>
      <c r="AI1957" s="81" t="n"/>
      <c r="AJ1957" s="81" t="n"/>
      <c r="AK1957" s="81" t="n"/>
      <c r="AL1957" s="81" t="n"/>
      <c r="AM1957" s="81" t="n"/>
      <c r="AN1957" s="81" t="n"/>
      <c r="AO1957" s="81" t="n"/>
      <c r="AP1957" s="81" t="n"/>
      <c r="AQ1957" s="81" t="n"/>
      <c r="AR1957" s="81" t="n"/>
      <c r="AS1957" s="81" t="n"/>
      <c r="AT1957" s="81" t="n"/>
      <c r="AU1957" s="81" t="n"/>
      <c r="AV1957" s="81" t="n"/>
      <c r="AW1957" s="81" t="n"/>
      <c r="AX1957" s="81" t="n"/>
      <c r="AY1957" s="81" t="n"/>
      <c r="AZ1957" s="81" t="n"/>
      <c r="BA1957" s="81" t="n"/>
      <c r="BB1957" s="81" t="n"/>
      <c r="BC1957" s="81" t="n"/>
      <c r="BD1957" s="81" t="n"/>
      <c r="BE1957" s="81" t="n"/>
      <c r="BF1957" s="81" t="n"/>
      <c r="BG1957" s="81" t="n"/>
      <c r="BH1957" s="81" t="n"/>
      <c r="BI1957" s="81" t="n"/>
      <c r="BJ1957" s="81" t="n"/>
      <c r="BK1957" s="81" t="n"/>
      <c r="BL1957" s="81" t="n"/>
      <c r="BM1957" s="81" t="n"/>
      <c r="BN1957" s="81" t="n"/>
      <c r="BO1957" s="81" t="n"/>
      <c r="BP1957" s="81" t="n"/>
      <c r="BQ1957" s="81" t="n"/>
      <c r="BR1957" s="81" t="n"/>
      <c r="BS1957" s="81" t="n"/>
      <c r="BT1957" s="81" t="n"/>
      <c r="BU1957" s="81" t="n"/>
      <c r="BV1957" s="81" t="n"/>
      <c r="BW1957" s="81" t="n"/>
      <c r="BX1957" s="81" t="n"/>
      <c r="BY1957" s="81" t="n"/>
      <c r="BZ1957" s="81" t="n"/>
      <c r="CA1957" s="81" t="n"/>
      <c r="CB1957" s="81" t="n"/>
      <c r="CC1957" s="81" t="n"/>
      <c r="CD1957" s="81" t="n"/>
      <c r="CE1957" s="81" t="n"/>
      <c r="CF1957" s="81" t="n"/>
      <c r="CG1957" s="81" t="n"/>
      <c r="CH1957" s="81" t="n"/>
    </row>
    <row r="1958">
      <c r="A1958" s="81" t="n"/>
      <c r="B1958" s="81" t="n"/>
      <c r="C1958" s="81" t="n"/>
      <c r="D1958" s="81" t="n"/>
      <c r="E1958" s="81" t="n"/>
      <c r="F1958" s="81" t="n"/>
      <c r="G1958" s="81" t="n"/>
      <c r="H1958" s="81" t="n"/>
      <c r="I1958" s="81" t="n"/>
      <c r="J1958" s="81" t="n"/>
      <c r="K1958" s="81" t="n"/>
      <c r="L1958" s="81" t="n"/>
      <c r="M1958" s="81" t="n"/>
      <c r="N1958" s="81" t="n"/>
      <c r="O1958" s="81" t="n"/>
      <c r="P1958" s="81" t="n"/>
      <c r="Q1958" s="81" t="n"/>
      <c r="R1958" s="81" t="n"/>
      <c r="S1958" s="81" t="n"/>
      <c r="T1958" s="81" t="n"/>
      <c r="U1958" s="81" t="n"/>
      <c r="V1958" s="81" t="n"/>
      <c r="W1958" s="81" t="n"/>
      <c r="X1958" s="81" t="n"/>
      <c r="Y1958" s="81" t="n"/>
      <c r="Z1958" s="81" t="n"/>
      <c r="AA1958" s="81" t="n"/>
      <c r="AB1958" s="81" t="n"/>
      <c r="AC1958" s="81" t="n"/>
      <c r="AD1958" s="81" t="n"/>
      <c r="AE1958" s="81" t="n"/>
      <c r="AF1958" s="81" t="n"/>
      <c r="AG1958" s="81" t="n"/>
      <c r="AH1958" s="81" t="n"/>
      <c r="AI1958" s="81" t="n"/>
      <c r="AJ1958" s="81" t="n"/>
      <c r="AK1958" s="81" t="n"/>
      <c r="AL1958" s="81" t="n"/>
      <c r="AM1958" s="81" t="n"/>
      <c r="AN1958" s="81" t="n"/>
      <c r="AO1958" s="81" t="n"/>
      <c r="AP1958" s="81" t="n"/>
      <c r="AQ1958" s="81" t="n"/>
      <c r="AR1958" s="81" t="n"/>
      <c r="AS1958" s="81" t="n"/>
      <c r="AT1958" s="81" t="n"/>
      <c r="AU1958" s="81" t="n"/>
      <c r="AV1958" s="81" t="n"/>
      <c r="AW1958" s="81" t="n"/>
      <c r="AX1958" s="81" t="n"/>
      <c r="AY1958" s="81" t="n"/>
      <c r="AZ1958" s="81" t="n"/>
      <c r="BA1958" s="81" t="n"/>
      <c r="BB1958" s="81" t="n"/>
      <c r="BC1958" s="81" t="n"/>
      <c r="BD1958" s="81" t="n"/>
      <c r="BE1958" s="81" t="n"/>
      <c r="BF1958" s="81" t="n"/>
      <c r="BG1958" s="81" t="n"/>
      <c r="BH1958" s="81" t="n"/>
      <c r="BI1958" s="81" t="n"/>
      <c r="BJ1958" s="81" t="n"/>
      <c r="BK1958" s="81" t="n"/>
      <c r="BL1958" s="81" t="n"/>
      <c r="BM1958" s="81" t="n"/>
      <c r="BN1958" s="81" t="n"/>
      <c r="BO1958" s="81" t="n"/>
      <c r="BP1958" s="81" t="n"/>
      <c r="BQ1958" s="81" t="n"/>
      <c r="BR1958" s="81" t="n"/>
      <c r="BS1958" s="81" t="n"/>
      <c r="BT1958" s="81" t="n"/>
      <c r="BU1958" s="81" t="n"/>
      <c r="BV1958" s="81" t="n"/>
      <c r="BW1958" s="81" t="n"/>
      <c r="BX1958" s="81" t="n"/>
      <c r="BY1958" s="81" t="n"/>
      <c r="BZ1958" s="81" t="n"/>
      <c r="CA1958" s="81" t="n"/>
      <c r="CB1958" s="81" t="n"/>
      <c r="CC1958" s="81" t="n"/>
      <c r="CD1958" s="81" t="n"/>
      <c r="CE1958" s="81" t="n"/>
      <c r="CF1958" s="81" t="n"/>
      <c r="CG1958" s="81" t="n"/>
      <c r="CH1958" s="81" t="n"/>
    </row>
    <row r="1959">
      <c r="A1959" s="81" t="n"/>
      <c r="B1959" s="81" t="n"/>
      <c r="C1959" s="81" t="n"/>
      <c r="D1959" s="81" t="n"/>
      <c r="E1959" s="81" t="n"/>
      <c r="F1959" s="81" t="n"/>
      <c r="G1959" s="81" t="n"/>
      <c r="H1959" s="81" t="n"/>
      <c r="I1959" s="81" t="n"/>
      <c r="J1959" s="81" t="n"/>
      <c r="K1959" s="81" t="n"/>
      <c r="L1959" s="81" t="n"/>
      <c r="M1959" s="81" t="n"/>
      <c r="N1959" s="81" t="n"/>
      <c r="O1959" s="81" t="n"/>
      <c r="P1959" s="81" t="n"/>
      <c r="Q1959" s="81" t="n"/>
      <c r="R1959" s="81" t="n"/>
      <c r="S1959" s="81" t="n"/>
      <c r="T1959" s="81" t="n"/>
      <c r="U1959" s="81" t="n"/>
      <c r="V1959" s="81" t="n"/>
      <c r="W1959" s="81" t="n"/>
      <c r="X1959" s="81" t="n"/>
      <c r="Y1959" s="81" t="n"/>
      <c r="Z1959" s="81" t="n"/>
      <c r="AA1959" s="81" t="n"/>
      <c r="AB1959" s="81" t="n"/>
      <c r="AC1959" s="81" t="n"/>
      <c r="AD1959" s="81" t="n"/>
      <c r="AE1959" s="81" t="n"/>
      <c r="AF1959" s="81" t="n"/>
      <c r="AG1959" s="81" t="n"/>
      <c r="AH1959" s="81" t="n"/>
      <c r="AI1959" s="81" t="n"/>
      <c r="AJ1959" s="81" t="n"/>
      <c r="AK1959" s="81" t="n"/>
      <c r="AL1959" s="81" t="n"/>
      <c r="AM1959" s="81" t="n"/>
      <c r="AN1959" s="81" t="n"/>
      <c r="AO1959" s="81" t="n"/>
      <c r="AP1959" s="81" t="n"/>
      <c r="AQ1959" s="81" t="n"/>
      <c r="AR1959" s="81" t="n"/>
      <c r="AS1959" s="81" t="n"/>
      <c r="AT1959" s="81" t="n"/>
      <c r="AU1959" s="81" t="n"/>
      <c r="AV1959" s="81" t="n"/>
      <c r="AW1959" s="81" t="n"/>
      <c r="AX1959" s="81" t="n"/>
      <c r="AY1959" s="81" t="n"/>
      <c r="AZ1959" s="81" t="n"/>
      <c r="BA1959" s="81" t="n"/>
      <c r="BB1959" s="81" t="n"/>
      <c r="BC1959" s="81" t="n"/>
      <c r="BD1959" s="81" t="n"/>
      <c r="BE1959" s="81" t="n"/>
      <c r="BF1959" s="81" t="n"/>
      <c r="BG1959" s="81" t="n"/>
      <c r="BH1959" s="81" t="n"/>
      <c r="BI1959" s="81" t="n"/>
      <c r="BJ1959" s="81" t="n"/>
      <c r="BK1959" s="81" t="n"/>
      <c r="BL1959" s="81" t="n"/>
      <c r="BM1959" s="81" t="n"/>
      <c r="BN1959" s="81" t="n"/>
      <c r="BO1959" s="81" t="n"/>
      <c r="BP1959" s="81" t="n"/>
      <c r="BQ1959" s="81" t="n"/>
      <c r="BR1959" s="81" t="n"/>
      <c r="BS1959" s="81" t="n"/>
      <c r="BT1959" s="81" t="n"/>
      <c r="BU1959" s="81" t="n"/>
      <c r="BV1959" s="81" t="n"/>
      <c r="BW1959" s="81" t="n"/>
      <c r="BX1959" s="81" t="n"/>
      <c r="BY1959" s="81" t="n"/>
      <c r="BZ1959" s="81" t="n"/>
      <c r="CA1959" s="81" t="n"/>
      <c r="CB1959" s="81" t="n"/>
      <c r="CC1959" s="81" t="n"/>
      <c r="CD1959" s="81" t="n"/>
      <c r="CE1959" s="81" t="n"/>
      <c r="CF1959" s="81" t="n"/>
      <c r="CG1959" s="81" t="n"/>
      <c r="CH1959" s="81" t="n"/>
    </row>
    <row r="1960">
      <c r="A1960" s="81" t="n"/>
      <c r="B1960" s="81" t="n"/>
      <c r="C1960" s="81" t="n"/>
      <c r="D1960" s="81" t="n"/>
      <c r="E1960" s="81" t="n"/>
      <c r="F1960" s="81" t="n"/>
      <c r="G1960" s="81" t="n"/>
      <c r="H1960" s="81" t="n"/>
      <c r="I1960" s="81" t="n"/>
      <c r="J1960" s="81" t="n"/>
      <c r="K1960" s="81" t="n"/>
      <c r="L1960" s="81" t="n"/>
      <c r="M1960" s="81" t="n"/>
      <c r="N1960" s="81" t="n"/>
      <c r="O1960" s="81" t="n"/>
      <c r="P1960" s="81" t="n"/>
      <c r="Q1960" s="81" t="n"/>
      <c r="R1960" s="81" t="n"/>
      <c r="S1960" s="81" t="n"/>
      <c r="T1960" s="81" t="n"/>
      <c r="U1960" s="81" t="n"/>
      <c r="V1960" s="81" t="n"/>
      <c r="W1960" s="81" t="n"/>
      <c r="X1960" s="81" t="n"/>
      <c r="Y1960" s="81" t="n"/>
      <c r="Z1960" s="81" t="n"/>
      <c r="AA1960" s="81" t="n"/>
      <c r="AB1960" s="81" t="n"/>
      <c r="AC1960" s="81" t="n"/>
      <c r="AD1960" s="81" t="n"/>
      <c r="AE1960" s="81" t="n"/>
      <c r="AF1960" s="81" t="n"/>
      <c r="AG1960" s="81" t="n"/>
      <c r="AH1960" s="81" t="n"/>
      <c r="AI1960" s="81" t="n"/>
      <c r="AJ1960" s="81" t="n"/>
      <c r="AK1960" s="81" t="n"/>
      <c r="AL1960" s="81" t="n"/>
      <c r="AM1960" s="81" t="n"/>
      <c r="AN1960" s="81" t="n"/>
      <c r="AO1960" s="81" t="n"/>
      <c r="AP1960" s="81" t="n"/>
      <c r="AQ1960" s="81" t="n"/>
      <c r="AR1960" s="81" t="n"/>
      <c r="AS1960" s="81" t="n"/>
      <c r="AT1960" s="81" t="n"/>
      <c r="AU1960" s="81" t="n"/>
      <c r="AV1960" s="81" t="n"/>
      <c r="AW1960" s="81" t="n"/>
      <c r="AX1960" s="81" t="n"/>
      <c r="AY1960" s="81" t="n"/>
      <c r="AZ1960" s="81" t="n"/>
      <c r="BA1960" s="81" t="n"/>
      <c r="BB1960" s="81" t="n"/>
      <c r="BC1960" s="81" t="n"/>
      <c r="BD1960" s="81" t="n"/>
      <c r="BE1960" s="81" t="n"/>
      <c r="BF1960" s="81" t="n"/>
      <c r="BG1960" s="81" t="n"/>
      <c r="BH1960" s="81" t="n"/>
      <c r="BI1960" s="81" t="n"/>
      <c r="BJ1960" s="81" t="n"/>
      <c r="BK1960" s="81" t="n"/>
      <c r="BL1960" s="81" t="n"/>
      <c r="BM1960" s="81" t="n"/>
      <c r="BN1960" s="81" t="n"/>
      <c r="BO1960" s="81" t="n"/>
      <c r="BP1960" s="81" t="n"/>
      <c r="BQ1960" s="81" t="n"/>
      <c r="BR1960" s="81" t="n"/>
      <c r="BS1960" s="81" t="n"/>
      <c r="BT1960" s="81" t="n"/>
      <c r="BU1960" s="81" t="n"/>
      <c r="BV1960" s="81" t="n"/>
      <c r="BW1960" s="81" t="n"/>
      <c r="BX1960" s="81" t="n"/>
      <c r="BY1960" s="81" t="n"/>
      <c r="BZ1960" s="81" t="n"/>
      <c r="CA1960" s="81" t="n"/>
      <c r="CB1960" s="81" t="n"/>
      <c r="CC1960" s="81" t="n"/>
      <c r="CD1960" s="81" t="n"/>
      <c r="CE1960" s="81" t="n"/>
      <c r="CF1960" s="81" t="n"/>
      <c r="CG1960" s="81" t="n"/>
      <c r="CH1960" s="81" t="n"/>
    </row>
    <row r="1961">
      <c r="A1961" s="81" t="n"/>
      <c r="B1961" s="81" t="n"/>
      <c r="C1961" s="81" t="n"/>
      <c r="D1961" s="81" t="n"/>
      <c r="E1961" s="81" t="n"/>
      <c r="F1961" s="81" t="n"/>
      <c r="G1961" s="81" t="n"/>
      <c r="H1961" s="81" t="n"/>
      <c r="I1961" s="81" t="n"/>
      <c r="J1961" s="81" t="n"/>
      <c r="K1961" s="81" t="n"/>
      <c r="L1961" s="81" t="n"/>
      <c r="M1961" s="81" t="n"/>
      <c r="N1961" s="81" t="n"/>
      <c r="O1961" s="81" t="n"/>
      <c r="P1961" s="81" t="n"/>
      <c r="Q1961" s="81" t="n"/>
      <c r="R1961" s="81" t="n"/>
      <c r="S1961" s="81" t="n"/>
      <c r="T1961" s="81" t="n"/>
      <c r="U1961" s="81" t="n"/>
      <c r="V1961" s="81" t="n"/>
      <c r="W1961" s="81" t="n"/>
      <c r="X1961" s="81" t="n"/>
      <c r="Y1961" s="81" t="n"/>
      <c r="Z1961" s="81" t="n"/>
      <c r="AA1961" s="81" t="n"/>
      <c r="AB1961" s="81" t="n"/>
      <c r="AC1961" s="81" t="n"/>
      <c r="AD1961" s="81" t="n"/>
      <c r="AE1961" s="81" t="n"/>
      <c r="AF1961" s="81" t="n"/>
      <c r="AG1961" s="81" t="n"/>
      <c r="AH1961" s="81" t="n"/>
      <c r="AI1961" s="81" t="n"/>
      <c r="AJ1961" s="81" t="n"/>
      <c r="AK1961" s="81" t="n"/>
      <c r="AL1961" s="81" t="n"/>
      <c r="AM1961" s="81" t="n"/>
      <c r="AN1961" s="81" t="n"/>
      <c r="AO1961" s="81" t="n"/>
      <c r="AP1961" s="81" t="n"/>
      <c r="AQ1961" s="81" t="n"/>
      <c r="AR1961" s="81" t="n"/>
      <c r="AS1961" s="81" t="n"/>
      <c r="AT1961" s="81" t="n"/>
      <c r="AU1961" s="81" t="n"/>
      <c r="AV1961" s="81" t="n"/>
      <c r="AW1961" s="81" t="n"/>
      <c r="AX1961" s="81" t="n"/>
      <c r="AY1961" s="81" t="n"/>
      <c r="AZ1961" s="81" t="n"/>
      <c r="BA1961" s="81" t="n"/>
      <c r="BB1961" s="81" t="n"/>
      <c r="BC1961" s="81" t="n"/>
      <c r="BD1961" s="81" t="n"/>
      <c r="BE1961" s="81" t="n"/>
      <c r="BF1961" s="81" t="n"/>
      <c r="BG1961" s="81" t="n"/>
      <c r="BH1961" s="81" t="n"/>
      <c r="BI1961" s="81" t="n"/>
      <c r="BJ1961" s="81" t="n"/>
      <c r="BK1961" s="81" t="n"/>
      <c r="BL1961" s="81" t="n"/>
      <c r="BM1961" s="81" t="n"/>
      <c r="BN1961" s="81" t="n"/>
      <c r="BO1961" s="81" t="n"/>
      <c r="BP1961" s="81" t="n"/>
      <c r="BQ1961" s="81" t="n"/>
      <c r="BR1961" s="81" t="n"/>
      <c r="BS1961" s="81" t="n"/>
      <c r="BT1961" s="81" t="n"/>
      <c r="BU1961" s="81" t="n"/>
      <c r="BV1961" s="81" t="n"/>
      <c r="BW1961" s="81" t="n"/>
      <c r="BX1961" s="81" t="n"/>
      <c r="BY1961" s="81" t="n"/>
      <c r="BZ1961" s="81" t="n"/>
      <c r="CA1961" s="81" t="n"/>
      <c r="CB1961" s="81" t="n"/>
      <c r="CC1961" s="81" t="n"/>
      <c r="CD1961" s="81" t="n"/>
      <c r="CE1961" s="81" t="n"/>
      <c r="CF1961" s="81" t="n"/>
      <c r="CG1961" s="81" t="n"/>
      <c r="CH1961" s="81" t="n"/>
    </row>
    <row r="1962">
      <c r="A1962" s="81" t="n"/>
      <c r="B1962" s="81" t="n"/>
      <c r="C1962" s="81" t="n"/>
      <c r="D1962" s="81" t="n"/>
      <c r="E1962" s="81" t="n"/>
      <c r="F1962" s="81" t="n"/>
      <c r="G1962" s="81" t="n"/>
      <c r="H1962" s="81" t="n"/>
      <c r="I1962" s="81" t="n"/>
      <c r="J1962" s="81" t="n"/>
      <c r="K1962" s="81" t="n"/>
      <c r="L1962" s="81" t="n"/>
      <c r="M1962" s="81" t="n"/>
      <c r="N1962" s="81" t="n"/>
      <c r="O1962" s="81" t="n"/>
      <c r="P1962" s="81" t="n"/>
      <c r="Q1962" s="81" t="n"/>
      <c r="R1962" s="81" t="n"/>
      <c r="S1962" s="81" t="n"/>
      <c r="T1962" s="81" t="n"/>
      <c r="U1962" s="81" t="n"/>
      <c r="V1962" s="81" t="n"/>
      <c r="W1962" s="81" t="n"/>
      <c r="X1962" s="81" t="n"/>
      <c r="Y1962" s="81" t="n"/>
      <c r="Z1962" s="81" t="n"/>
      <c r="AA1962" s="81" t="n"/>
      <c r="AB1962" s="81" t="n"/>
      <c r="AC1962" s="81" t="n"/>
      <c r="AD1962" s="81" t="n"/>
      <c r="AE1962" s="81" t="n"/>
      <c r="AF1962" s="81" t="n"/>
      <c r="AG1962" s="81" t="n"/>
      <c r="AH1962" s="81" t="n"/>
      <c r="AI1962" s="81" t="n"/>
      <c r="AJ1962" s="81" t="n"/>
      <c r="AK1962" s="81" t="n"/>
      <c r="AL1962" s="81" t="n"/>
      <c r="AM1962" s="81" t="n"/>
      <c r="AN1962" s="81" t="n"/>
      <c r="AO1962" s="81" t="n"/>
      <c r="AP1962" s="81" t="n"/>
      <c r="AQ1962" s="81" t="n"/>
      <c r="AR1962" s="81" t="n"/>
      <c r="AS1962" s="81" t="n"/>
      <c r="AT1962" s="81" t="n"/>
      <c r="AU1962" s="81" t="n"/>
      <c r="AV1962" s="81" t="n"/>
      <c r="AW1962" s="81" t="n"/>
      <c r="AX1962" s="81" t="n"/>
      <c r="AY1962" s="81" t="n"/>
      <c r="AZ1962" s="81" t="n"/>
      <c r="BA1962" s="81" t="n"/>
      <c r="BB1962" s="81" t="n"/>
      <c r="BC1962" s="81" t="n"/>
      <c r="BD1962" s="81" t="n"/>
      <c r="BE1962" s="81" t="n"/>
      <c r="BF1962" s="81" t="n"/>
      <c r="BG1962" s="81" t="n"/>
      <c r="BH1962" s="81" t="n"/>
      <c r="BI1962" s="81" t="n"/>
      <c r="BJ1962" s="81" t="n"/>
      <c r="BK1962" s="81" t="n"/>
      <c r="BL1962" s="81" t="n"/>
      <c r="BM1962" s="81" t="n"/>
      <c r="BN1962" s="81" t="n"/>
      <c r="BO1962" s="81" t="n"/>
      <c r="BP1962" s="81" t="n"/>
      <c r="BQ1962" s="81" t="n"/>
      <c r="BR1962" s="81" t="n"/>
      <c r="BS1962" s="81" t="n"/>
      <c r="BT1962" s="81" t="n"/>
      <c r="BU1962" s="81" t="n"/>
      <c r="BV1962" s="81" t="n"/>
      <c r="BW1962" s="81" t="n"/>
      <c r="BX1962" s="81" t="n"/>
      <c r="BY1962" s="81" t="n"/>
      <c r="BZ1962" s="81" t="n"/>
      <c r="CA1962" s="81" t="n"/>
      <c r="CB1962" s="81" t="n"/>
      <c r="CC1962" s="81" t="n"/>
      <c r="CD1962" s="81" t="n"/>
      <c r="CE1962" s="81" t="n"/>
      <c r="CF1962" s="81" t="n"/>
      <c r="CG1962" s="81" t="n"/>
      <c r="CH1962" s="81" t="n"/>
    </row>
    <row r="1963">
      <c r="A1963" s="81" t="n"/>
      <c r="B1963" s="81" t="n"/>
      <c r="C1963" s="81" t="n"/>
      <c r="D1963" s="81" t="n"/>
      <c r="E1963" s="81" t="n"/>
      <c r="F1963" s="81" t="n"/>
      <c r="G1963" s="81" t="n"/>
      <c r="H1963" s="81" t="n"/>
      <c r="I1963" s="81" t="n"/>
      <c r="J1963" s="81" t="n"/>
      <c r="K1963" s="81" t="n"/>
      <c r="L1963" s="81" t="n"/>
      <c r="M1963" s="81" t="n"/>
      <c r="N1963" s="81" t="n"/>
      <c r="O1963" s="81" t="n"/>
      <c r="P1963" s="81" t="n"/>
      <c r="Q1963" s="81" t="n"/>
      <c r="R1963" s="81" t="n"/>
      <c r="S1963" s="81" t="n"/>
      <c r="T1963" s="81" t="n"/>
      <c r="U1963" s="81" t="n"/>
      <c r="V1963" s="81" t="n"/>
      <c r="W1963" s="81" t="n"/>
      <c r="X1963" s="81" t="n"/>
      <c r="Y1963" s="81" t="n"/>
      <c r="Z1963" s="81" t="n"/>
      <c r="AA1963" s="81" t="n"/>
      <c r="AB1963" s="81" t="n"/>
      <c r="AC1963" s="81" t="n"/>
      <c r="AD1963" s="81" t="n"/>
      <c r="AE1963" s="81" t="n"/>
      <c r="AF1963" s="81" t="n"/>
      <c r="AG1963" s="81" t="n"/>
      <c r="AH1963" s="81" t="n"/>
      <c r="AI1963" s="81" t="n"/>
      <c r="AJ1963" s="81" t="n"/>
      <c r="AK1963" s="81" t="n"/>
      <c r="AL1963" s="81" t="n"/>
      <c r="AM1963" s="81" t="n"/>
      <c r="AN1963" s="81" t="n"/>
      <c r="AO1963" s="81" t="n"/>
      <c r="AP1963" s="81" t="n"/>
      <c r="AQ1963" s="81" t="n"/>
      <c r="AR1963" s="81" t="n"/>
      <c r="AS1963" s="81" t="n"/>
      <c r="AT1963" s="81" t="n"/>
      <c r="AU1963" s="81" t="n"/>
      <c r="AV1963" s="81" t="n"/>
      <c r="AW1963" s="81" t="n"/>
      <c r="AX1963" s="81" t="n"/>
      <c r="AY1963" s="81" t="n"/>
      <c r="AZ1963" s="81" t="n"/>
      <c r="BA1963" s="81" t="n"/>
      <c r="BB1963" s="81" t="n"/>
      <c r="BC1963" s="81" t="n"/>
      <c r="BD1963" s="81" t="n"/>
      <c r="BE1963" s="81" t="n"/>
      <c r="BF1963" s="81" t="n"/>
      <c r="BG1963" s="81" t="n"/>
      <c r="BH1963" s="81" t="n"/>
      <c r="BI1963" s="81" t="n"/>
      <c r="BJ1963" s="81" t="n"/>
      <c r="BK1963" s="81" t="n"/>
      <c r="BL1963" s="81" t="n"/>
      <c r="BM1963" s="81" t="n"/>
      <c r="BN1963" s="81" t="n"/>
      <c r="BO1963" s="81" t="n"/>
      <c r="BP1963" s="81" t="n"/>
      <c r="BQ1963" s="81" t="n"/>
      <c r="BR1963" s="81" t="n"/>
      <c r="BS1963" s="81" t="n"/>
      <c r="BT1963" s="81" t="n"/>
      <c r="BU1963" s="81" t="n"/>
      <c r="BV1963" s="81" t="n"/>
      <c r="BW1963" s="81" t="n"/>
      <c r="BX1963" s="81" t="n"/>
      <c r="BY1963" s="81" t="n"/>
      <c r="BZ1963" s="81" t="n"/>
      <c r="CA1963" s="81" t="n"/>
      <c r="CB1963" s="81" t="n"/>
      <c r="CC1963" s="81" t="n"/>
      <c r="CD1963" s="81" t="n"/>
      <c r="CE1963" s="81" t="n"/>
      <c r="CF1963" s="81" t="n"/>
      <c r="CG1963" s="81" t="n"/>
      <c r="CH1963" s="81" t="n"/>
    </row>
    <row r="1964">
      <c r="A1964" s="81" t="n"/>
      <c r="B1964" s="81" t="n"/>
      <c r="C1964" s="81" t="n"/>
      <c r="D1964" s="81" t="n"/>
      <c r="E1964" s="81" t="n"/>
      <c r="F1964" s="81" t="n"/>
      <c r="G1964" s="81" t="n"/>
      <c r="H1964" s="81" t="n"/>
      <c r="I1964" s="81" t="n"/>
      <c r="J1964" s="81" t="n"/>
      <c r="K1964" s="81" t="n"/>
      <c r="L1964" s="81" t="n"/>
      <c r="M1964" s="81" t="n"/>
      <c r="N1964" s="81" t="n"/>
      <c r="O1964" s="81" t="n"/>
      <c r="P1964" s="81" t="n"/>
      <c r="Q1964" s="81" t="n"/>
      <c r="R1964" s="81" t="n"/>
      <c r="S1964" s="81" t="n"/>
      <c r="T1964" s="81" t="n"/>
      <c r="U1964" s="81" t="n"/>
      <c r="V1964" s="81" t="n"/>
      <c r="W1964" s="81" t="n"/>
      <c r="X1964" s="81" t="n"/>
      <c r="Y1964" s="81" t="n"/>
      <c r="Z1964" s="81" t="n"/>
      <c r="AA1964" s="81" t="n"/>
      <c r="AB1964" s="81" t="n"/>
      <c r="AC1964" s="81" t="n"/>
      <c r="AD1964" s="81" t="n"/>
      <c r="AE1964" s="81" t="n"/>
      <c r="AF1964" s="81" t="n"/>
      <c r="AG1964" s="81" t="n"/>
      <c r="AH1964" s="81" t="n"/>
      <c r="AI1964" s="81" t="n"/>
      <c r="AJ1964" s="81" t="n"/>
      <c r="AK1964" s="81" t="n"/>
      <c r="AL1964" s="81" t="n"/>
      <c r="AM1964" s="81" t="n"/>
      <c r="AN1964" s="81" t="n"/>
      <c r="AO1964" s="81" t="n"/>
      <c r="AP1964" s="81" t="n"/>
      <c r="AQ1964" s="81" t="n"/>
      <c r="AR1964" s="81" t="n"/>
      <c r="AS1964" s="81" t="n"/>
      <c r="AT1964" s="81" t="n"/>
      <c r="AU1964" s="81" t="n"/>
      <c r="AV1964" s="81" t="n"/>
      <c r="AW1964" s="81" t="n"/>
      <c r="AX1964" s="81" t="n"/>
      <c r="AY1964" s="81" t="n"/>
      <c r="AZ1964" s="81" t="n"/>
      <c r="BA1964" s="81" t="n"/>
      <c r="BB1964" s="81" t="n"/>
      <c r="BC1964" s="81" t="n"/>
      <c r="BD1964" s="81" t="n"/>
      <c r="BE1964" s="81" t="n"/>
      <c r="BF1964" s="81" t="n"/>
      <c r="BG1964" s="81" t="n"/>
      <c r="BH1964" s="81" t="n"/>
      <c r="BI1964" s="81" t="n"/>
      <c r="BJ1964" s="81" t="n"/>
      <c r="BK1964" s="81" t="n"/>
      <c r="BL1964" s="81" t="n"/>
      <c r="BM1964" s="81" t="n"/>
      <c r="BN1964" s="81" t="n"/>
      <c r="BO1964" s="81" t="n"/>
      <c r="BP1964" s="81" t="n"/>
      <c r="BQ1964" s="81" t="n"/>
      <c r="BR1964" s="81" t="n"/>
      <c r="BS1964" s="81" t="n"/>
      <c r="BT1964" s="81" t="n"/>
      <c r="BU1964" s="81" t="n"/>
      <c r="BV1964" s="81" t="n"/>
      <c r="BW1964" s="81" t="n"/>
      <c r="BX1964" s="81" t="n"/>
      <c r="BY1964" s="81" t="n"/>
      <c r="BZ1964" s="81" t="n"/>
      <c r="CA1964" s="81" t="n"/>
      <c r="CB1964" s="81" t="n"/>
      <c r="CC1964" s="81" t="n"/>
      <c r="CD1964" s="81" t="n"/>
      <c r="CE1964" s="81" t="n"/>
      <c r="CF1964" s="81" t="n"/>
      <c r="CG1964" s="81" t="n"/>
      <c r="CH1964" s="81" t="n"/>
    </row>
    <row r="1965">
      <c r="A1965" s="81" t="n"/>
      <c r="B1965" s="81" t="n"/>
      <c r="C1965" s="81" t="n"/>
      <c r="D1965" s="81" t="n"/>
      <c r="E1965" s="81" t="n"/>
      <c r="F1965" s="81" t="n"/>
      <c r="G1965" s="81" t="n"/>
      <c r="H1965" s="81" t="n"/>
      <c r="I1965" s="81" t="n"/>
      <c r="J1965" s="81" t="n"/>
      <c r="K1965" s="81" t="n"/>
      <c r="L1965" s="81" t="n"/>
      <c r="M1965" s="81" t="n"/>
      <c r="N1965" s="81" t="n"/>
      <c r="O1965" s="81" t="n"/>
      <c r="P1965" s="81" t="n"/>
      <c r="Q1965" s="81" t="n"/>
      <c r="R1965" s="81" t="n"/>
      <c r="S1965" s="81" t="n"/>
      <c r="T1965" s="81" t="n"/>
      <c r="U1965" s="81" t="n"/>
      <c r="V1965" s="81" t="n"/>
      <c r="W1965" s="81" t="n"/>
      <c r="X1965" s="81" t="n"/>
      <c r="Y1965" s="81" t="n"/>
      <c r="Z1965" s="81" t="n"/>
      <c r="AA1965" s="81" t="n"/>
      <c r="AB1965" s="81" t="n"/>
      <c r="AC1965" s="81" t="n"/>
      <c r="AD1965" s="81" t="n"/>
      <c r="AE1965" s="81" t="n"/>
      <c r="AF1965" s="81" t="n"/>
      <c r="AG1965" s="81" t="n"/>
      <c r="AH1965" s="81" t="n"/>
      <c r="AI1965" s="81" t="n"/>
      <c r="AJ1965" s="81" t="n"/>
      <c r="AK1965" s="81" t="n"/>
      <c r="AL1965" s="81" t="n"/>
      <c r="AM1965" s="81" t="n"/>
      <c r="AN1965" s="81" t="n"/>
      <c r="AO1965" s="81" t="n"/>
      <c r="AP1965" s="81" t="n"/>
      <c r="AQ1965" s="81" t="n"/>
      <c r="AR1965" s="81" t="n"/>
      <c r="AS1965" s="81" t="n"/>
      <c r="AT1965" s="81" t="n"/>
      <c r="AU1965" s="81" t="n"/>
      <c r="AV1965" s="81" t="n"/>
      <c r="AW1965" s="81" t="n"/>
      <c r="AX1965" s="81" t="n"/>
      <c r="AY1965" s="81" t="n"/>
      <c r="AZ1965" s="81" t="n"/>
      <c r="BA1965" s="81" t="n"/>
      <c r="BB1965" s="81" t="n"/>
      <c r="BC1965" s="81" t="n"/>
      <c r="BD1965" s="81" t="n"/>
      <c r="BE1965" s="81" t="n"/>
      <c r="BF1965" s="81" t="n"/>
      <c r="BG1965" s="81" t="n"/>
      <c r="BH1965" s="81" t="n"/>
      <c r="BI1965" s="81" t="n"/>
      <c r="BJ1965" s="81" t="n"/>
      <c r="BK1965" s="81" t="n"/>
      <c r="BL1965" s="81" t="n"/>
      <c r="BM1965" s="81" t="n"/>
      <c r="BN1965" s="81" t="n"/>
      <c r="BO1965" s="81" t="n"/>
      <c r="BP1965" s="81" t="n"/>
      <c r="BQ1965" s="81" t="n"/>
      <c r="BR1965" s="81" t="n"/>
      <c r="BS1965" s="81" t="n"/>
      <c r="BT1965" s="81" t="n"/>
      <c r="BU1965" s="81" t="n"/>
      <c r="BV1965" s="81" t="n"/>
      <c r="BW1965" s="81" t="n"/>
      <c r="BX1965" s="81" t="n"/>
      <c r="BY1965" s="81" t="n"/>
      <c r="BZ1965" s="81" t="n"/>
      <c r="CA1965" s="81" t="n"/>
      <c r="CB1965" s="81" t="n"/>
      <c r="CC1965" s="81" t="n"/>
      <c r="CD1965" s="81" t="n"/>
      <c r="CE1965" s="81" t="n"/>
      <c r="CF1965" s="81" t="n"/>
      <c r="CG1965" s="81" t="n"/>
      <c r="CH1965" s="81" t="n"/>
    </row>
    <row r="1966">
      <c r="A1966" s="81" t="n"/>
      <c r="B1966" s="81" t="n"/>
      <c r="C1966" s="81" t="n"/>
      <c r="D1966" s="81" t="n"/>
      <c r="E1966" s="81" t="n"/>
      <c r="F1966" s="81" t="n"/>
      <c r="G1966" s="81" t="n"/>
      <c r="H1966" s="81" t="n"/>
      <c r="I1966" s="81" t="n"/>
      <c r="J1966" s="81" t="n"/>
      <c r="K1966" s="81" t="n"/>
      <c r="L1966" s="81" t="n"/>
      <c r="M1966" s="81" t="n"/>
      <c r="N1966" s="81" t="n"/>
      <c r="O1966" s="81" t="n"/>
      <c r="P1966" s="81" t="n"/>
      <c r="Q1966" s="81" t="n"/>
      <c r="R1966" s="81" t="n"/>
      <c r="S1966" s="81" t="n"/>
      <c r="T1966" s="81" t="n"/>
      <c r="U1966" s="81" t="n"/>
      <c r="V1966" s="81" t="n"/>
      <c r="W1966" s="81" t="n"/>
      <c r="X1966" s="81" t="n"/>
      <c r="Y1966" s="81" t="n"/>
      <c r="Z1966" s="81" t="n"/>
      <c r="AA1966" s="81" t="n"/>
      <c r="AB1966" s="81" t="n"/>
      <c r="AC1966" s="81" t="n"/>
      <c r="AD1966" s="81" t="n"/>
      <c r="AE1966" s="81" t="n"/>
      <c r="AF1966" s="81" t="n"/>
      <c r="AG1966" s="81" t="n"/>
      <c r="AH1966" s="81" t="n"/>
      <c r="AI1966" s="81" t="n"/>
      <c r="AJ1966" s="81" t="n"/>
      <c r="AK1966" s="81" t="n"/>
      <c r="AL1966" s="81" t="n"/>
      <c r="AM1966" s="81" t="n"/>
      <c r="AN1966" s="81" t="n"/>
      <c r="AO1966" s="81" t="n"/>
      <c r="AP1966" s="81" t="n"/>
      <c r="AQ1966" s="81" t="n"/>
      <c r="AR1966" s="81" t="n"/>
      <c r="AS1966" s="81" t="n"/>
      <c r="AT1966" s="81" t="n"/>
      <c r="AU1966" s="81" t="n"/>
      <c r="AV1966" s="81" t="n"/>
      <c r="AW1966" s="81" t="n"/>
      <c r="AX1966" s="81" t="n"/>
      <c r="AY1966" s="81" t="n"/>
      <c r="AZ1966" s="81" t="n"/>
      <c r="BA1966" s="81" t="n"/>
      <c r="BB1966" s="81" t="n"/>
      <c r="BC1966" s="81" t="n"/>
      <c r="BD1966" s="81" t="n"/>
      <c r="BE1966" s="81" t="n"/>
      <c r="BF1966" s="81" t="n"/>
      <c r="BG1966" s="81" t="n"/>
      <c r="BH1966" s="81" t="n"/>
      <c r="BI1966" s="81" t="n"/>
      <c r="BJ1966" s="81" t="n"/>
      <c r="BK1966" s="81" t="n"/>
      <c r="BL1966" s="81" t="n"/>
      <c r="BM1966" s="81" t="n"/>
      <c r="BN1966" s="81" t="n"/>
      <c r="BO1966" s="81" t="n"/>
      <c r="BP1966" s="81" t="n"/>
      <c r="BQ1966" s="81" t="n"/>
      <c r="BR1966" s="81" t="n"/>
      <c r="BS1966" s="81" t="n"/>
      <c r="BT1966" s="81" t="n"/>
      <c r="BU1966" s="81" t="n"/>
      <c r="BV1966" s="81" t="n"/>
      <c r="BW1966" s="81" t="n"/>
      <c r="BX1966" s="81" t="n"/>
      <c r="BY1966" s="81" t="n"/>
      <c r="BZ1966" s="81" t="n"/>
      <c r="CA1966" s="81" t="n"/>
      <c r="CB1966" s="81" t="n"/>
      <c r="CC1966" s="81" t="n"/>
      <c r="CD1966" s="81" t="n"/>
      <c r="CE1966" s="81" t="n"/>
      <c r="CF1966" s="81" t="n"/>
      <c r="CG1966" s="81" t="n"/>
      <c r="CH1966" s="81" t="n"/>
    </row>
    <row r="1967">
      <c r="A1967" s="81" t="n"/>
      <c r="B1967" s="81" t="n"/>
      <c r="C1967" s="81" t="n"/>
      <c r="D1967" s="81" t="n"/>
      <c r="E1967" s="81" t="n"/>
      <c r="F1967" s="81" t="n"/>
      <c r="G1967" s="81" t="n"/>
      <c r="H1967" s="81" t="n"/>
      <c r="I1967" s="81" t="n"/>
      <c r="J1967" s="81" t="n"/>
      <c r="K1967" s="81" t="n"/>
      <c r="L1967" s="81" t="n"/>
      <c r="M1967" s="81" t="n"/>
      <c r="N1967" s="81" t="n"/>
      <c r="O1967" s="81" t="n"/>
      <c r="P1967" s="81" t="n"/>
      <c r="Q1967" s="81" t="n"/>
      <c r="R1967" s="81" t="n"/>
      <c r="S1967" s="81" t="n"/>
      <c r="T1967" s="81" t="n"/>
      <c r="U1967" s="81" t="n"/>
      <c r="V1967" s="81" t="n"/>
      <c r="W1967" s="81" t="n"/>
      <c r="X1967" s="81" t="n"/>
      <c r="Y1967" s="81" t="n"/>
      <c r="Z1967" s="81" t="n"/>
      <c r="AA1967" s="81" t="n"/>
      <c r="AB1967" s="81" t="n"/>
      <c r="AC1967" s="81" t="n"/>
      <c r="AD1967" s="81" t="n"/>
      <c r="AE1967" s="81" t="n"/>
      <c r="AF1967" s="81" t="n"/>
      <c r="AG1967" s="81" t="n"/>
      <c r="AH1967" s="81" t="n"/>
      <c r="AI1967" s="81" t="n"/>
      <c r="AJ1967" s="81" t="n"/>
      <c r="AK1967" s="81" t="n"/>
      <c r="AL1967" s="81" t="n"/>
      <c r="AM1967" s="81" t="n"/>
      <c r="AN1967" s="81" t="n"/>
      <c r="AO1967" s="81" t="n"/>
      <c r="AP1967" s="81" t="n"/>
      <c r="AQ1967" s="81" t="n"/>
      <c r="AR1967" s="81" t="n"/>
      <c r="AS1967" s="81" t="n"/>
      <c r="AT1967" s="81" t="n"/>
      <c r="AU1967" s="81" t="n"/>
      <c r="AV1967" s="81" t="n"/>
      <c r="AW1967" s="81" t="n"/>
      <c r="AX1967" s="81" t="n"/>
      <c r="AY1967" s="81" t="n"/>
      <c r="AZ1967" s="81" t="n"/>
      <c r="BA1967" s="81" t="n"/>
      <c r="BB1967" s="81" t="n"/>
      <c r="BC1967" s="81" t="n"/>
      <c r="BD1967" s="81" t="n"/>
      <c r="BE1967" s="81" t="n"/>
      <c r="BF1967" s="81" t="n"/>
      <c r="BG1967" s="81" t="n"/>
      <c r="BH1967" s="81" t="n"/>
      <c r="BI1967" s="81" t="n"/>
      <c r="BJ1967" s="81" t="n"/>
      <c r="BK1967" s="81" t="n"/>
      <c r="BL1967" s="81" t="n"/>
      <c r="BM1967" s="81" t="n"/>
      <c r="BN1967" s="81" t="n"/>
      <c r="BO1967" s="81" t="n"/>
      <c r="BP1967" s="81" t="n"/>
      <c r="BQ1967" s="81" t="n"/>
      <c r="BR1967" s="81" t="n"/>
      <c r="BS1967" s="81" t="n"/>
      <c r="BT1967" s="81" t="n"/>
      <c r="BU1967" s="81" t="n"/>
      <c r="BV1967" s="81" t="n"/>
      <c r="BW1967" s="81" t="n"/>
      <c r="BX1967" s="81" t="n"/>
      <c r="BY1967" s="81" t="n"/>
      <c r="BZ1967" s="81" t="n"/>
      <c r="CA1967" s="81" t="n"/>
      <c r="CB1967" s="81" t="n"/>
      <c r="CC1967" s="81" t="n"/>
      <c r="CD1967" s="81" t="n"/>
      <c r="CE1967" s="81" t="n"/>
      <c r="CF1967" s="81" t="n"/>
      <c r="CG1967" s="81" t="n"/>
      <c r="CH1967" s="81" t="n"/>
    </row>
    <row r="1968">
      <c r="A1968" s="81" t="n"/>
      <c r="B1968" s="81" t="n"/>
      <c r="C1968" s="81" t="n"/>
      <c r="D1968" s="81" t="n"/>
      <c r="E1968" s="81" t="n"/>
      <c r="F1968" s="81" t="n"/>
      <c r="G1968" s="81" t="n"/>
      <c r="H1968" s="81" t="n"/>
      <c r="I1968" s="81" t="n"/>
      <c r="J1968" s="81" t="n"/>
      <c r="K1968" s="81" t="n"/>
      <c r="L1968" s="81" t="n"/>
      <c r="M1968" s="81" t="n"/>
      <c r="N1968" s="81" t="n"/>
      <c r="O1968" s="81" t="n"/>
      <c r="P1968" s="81" t="n"/>
      <c r="Q1968" s="81" t="n"/>
      <c r="R1968" s="81" t="n"/>
      <c r="S1968" s="81" t="n"/>
      <c r="T1968" s="81" t="n"/>
      <c r="U1968" s="81" t="n"/>
      <c r="V1968" s="81" t="n"/>
      <c r="W1968" s="81" t="n"/>
      <c r="X1968" s="81" t="n"/>
      <c r="Y1968" s="81" t="n"/>
      <c r="Z1968" s="81" t="n"/>
      <c r="AA1968" s="81" t="n"/>
      <c r="AB1968" s="81" t="n"/>
      <c r="AC1968" s="81" t="n"/>
      <c r="AD1968" s="81" t="n"/>
      <c r="AE1968" s="81" t="n"/>
      <c r="AF1968" s="81" t="n"/>
      <c r="AG1968" s="81" t="n"/>
      <c r="AH1968" s="81" t="n"/>
      <c r="AI1968" s="81" t="n"/>
      <c r="AJ1968" s="81" t="n"/>
      <c r="AK1968" s="81" t="n"/>
      <c r="AL1968" s="81" t="n"/>
      <c r="AM1968" s="81" t="n"/>
      <c r="AN1968" s="81" t="n"/>
      <c r="AO1968" s="81" t="n"/>
      <c r="AP1968" s="81" t="n"/>
      <c r="AQ1968" s="81" t="n"/>
      <c r="AR1968" s="81" t="n"/>
      <c r="AS1968" s="81" t="n"/>
      <c r="AT1968" s="81" t="n"/>
      <c r="AU1968" s="81" t="n"/>
      <c r="AV1968" s="81" t="n"/>
      <c r="AW1968" s="81" t="n"/>
      <c r="AX1968" s="81" t="n"/>
      <c r="AY1968" s="81" t="n"/>
      <c r="AZ1968" s="81" t="n"/>
      <c r="BA1968" s="81" t="n"/>
      <c r="BB1968" s="81" t="n"/>
      <c r="BC1968" s="81" t="n"/>
      <c r="BD1968" s="81" t="n"/>
      <c r="BE1968" s="81" t="n"/>
      <c r="BF1968" s="81" t="n"/>
      <c r="BG1968" s="81" t="n"/>
      <c r="BH1968" s="81" t="n"/>
      <c r="BI1968" s="81" t="n"/>
      <c r="BJ1968" s="81" t="n"/>
      <c r="BK1968" s="81" t="n"/>
      <c r="BL1968" s="81" t="n"/>
      <c r="BM1968" s="81" t="n"/>
      <c r="BN1968" s="81" t="n"/>
      <c r="BO1968" s="81" t="n"/>
      <c r="BP1968" s="81" t="n"/>
      <c r="BQ1968" s="81" t="n"/>
      <c r="BR1968" s="81" t="n"/>
      <c r="BS1968" s="81" t="n"/>
      <c r="BT1968" s="81" t="n"/>
      <c r="BU1968" s="81" t="n"/>
      <c r="BV1968" s="81" t="n"/>
      <c r="BW1968" s="81" t="n"/>
      <c r="BX1968" s="81" t="n"/>
      <c r="BY1968" s="81" t="n"/>
      <c r="BZ1968" s="81" t="n"/>
      <c r="CA1968" s="81" t="n"/>
      <c r="CB1968" s="81" t="n"/>
      <c r="CC1968" s="81" t="n"/>
      <c r="CD1968" s="81" t="n"/>
      <c r="CE1968" s="81" t="n"/>
      <c r="CF1968" s="81" t="n"/>
      <c r="CG1968" s="81" t="n"/>
      <c r="CH1968" s="81" t="n"/>
    </row>
    <row r="1969">
      <c r="A1969" s="81" t="n"/>
      <c r="B1969" s="81" t="n"/>
      <c r="C1969" s="81" t="n"/>
      <c r="D1969" s="81" t="n"/>
      <c r="E1969" s="81" t="n"/>
      <c r="F1969" s="81" t="n"/>
      <c r="G1969" s="81" t="n"/>
      <c r="H1969" s="81" t="n"/>
      <c r="I1969" s="81" t="n"/>
      <c r="J1969" s="81" t="n"/>
      <c r="K1969" s="81" t="n"/>
      <c r="L1969" s="81" t="n"/>
      <c r="M1969" s="81" t="n"/>
      <c r="N1969" s="81" t="n"/>
      <c r="O1969" s="81" t="n"/>
      <c r="P1969" s="81" t="n"/>
      <c r="Q1969" s="81" t="n"/>
      <c r="R1969" s="81" t="n"/>
      <c r="S1969" s="81" t="n"/>
      <c r="T1969" s="81" t="n"/>
      <c r="U1969" s="81" t="n"/>
      <c r="V1969" s="81" t="n"/>
      <c r="W1969" s="81" t="n"/>
      <c r="X1969" s="81" t="n"/>
      <c r="Y1969" s="81" t="n"/>
      <c r="Z1969" s="81" t="n"/>
      <c r="AA1969" s="81" t="n"/>
      <c r="AB1969" s="81" t="n"/>
      <c r="AC1969" s="81" t="n"/>
      <c r="AD1969" s="81" t="n"/>
      <c r="AE1969" s="81" t="n"/>
      <c r="AF1969" s="81" t="n"/>
      <c r="AG1969" s="81" t="n"/>
      <c r="AH1969" s="81" t="n"/>
      <c r="AI1969" s="81" t="n"/>
      <c r="AJ1969" s="81" t="n"/>
      <c r="AK1969" s="81" t="n"/>
      <c r="AL1969" s="81" t="n"/>
      <c r="AM1969" s="81" t="n"/>
      <c r="AN1969" s="81" t="n"/>
      <c r="AO1969" s="81" t="n"/>
      <c r="AP1969" s="81" t="n"/>
      <c r="AQ1969" s="81" t="n"/>
      <c r="AR1969" s="81" t="n"/>
      <c r="AS1969" s="81" t="n"/>
      <c r="AT1969" s="81" t="n"/>
      <c r="AU1969" s="81" t="n"/>
      <c r="AV1969" s="81" t="n"/>
      <c r="AW1969" s="81" t="n"/>
      <c r="AX1969" s="81" t="n"/>
      <c r="AY1969" s="81" t="n"/>
      <c r="AZ1969" s="81" t="n"/>
      <c r="BA1969" s="81" t="n"/>
      <c r="BB1969" s="81" t="n"/>
      <c r="BC1969" s="81" t="n"/>
      <c r="BD1969" s="81" t="n"/>
      <c r="BE1969" s="81" t="n"/>
      <c r="BF1969" s="81" t="n"/>
      <c r="BG1969" s="81" t="n"/>
      <c r="BH1969" s="81" t="n"/>
      <c r="BI1969" s="81" t="n"/>
      <c r="BJ1969" s="81" t="n"/>
      <c r="BK1969" s="81" t="n"/>
      <c r="BL1969" s="81" t="n"/>
      <c r="BM1969" s="81" t="n"/>
      <c r="BN1969" s="81" t="n"/>
      <c r="BO1969" s="81" t="n"/>
      <c r="BP1969" s="81" t="n"/>
      <c r="BQ1969" s="81" t="n"/>
      <c r="BR1969" s="81" t="n"/>
      <c r="BS1969" s="81" t="n"/>
      <c r="BT1969" s="81" t="n"/>
      <c r="BU1969" s="81" t="n"/>
      <c r="BV1969" s="81" t="n"/>
      <c r="BW1969" s="81" t="n"/>
      <c r="BX1969" s="81" t="n"/>
      <c r="BY1969" s="81" t="n"/>
      <c r="BZ1969" s="81" t="n"/>
      <c r="CA1969" s="81" t="n"/>
      <c r="CB1969" s="81" t="n"/>
      <c r="CC1969" s="81" t="n"/>
      <c r="CD1969" s="81" t="n"/>
      <c r="CE1969" s="81" t="n"/>
      <c r="CF1969" s="81" t="n"/>
      <c r="CG1969" s="81" t="n"/>
      <c r="CH1969" s="81" t="n"/>
    </row>
    <row r="1970">
      <c r="A1970" s="81" t="n"/>
      <c r="B1970" s="81" t="n"/>
      <c r="C1970" s="81" t="n"/>
      <c r="D1970" s="81" t="n"/>
      <c r="E1970" s="81" t="n"/>
      <c r="F1970" s="81" t="n"/>
      <c r="G1970" s="81" t="n"/>
      <c r="H1970" s="81" t="n"/>
      <c r="I1970" s="81" t="n"/>
      <c r="J1970" s="81" t="n"/>
      <c r="K1970" s="81" t="n"/>
      <c r="L1970" s="81" t="n"/>
      <c r="M1970" s="81" t="n"/>
      <c r="N1970" s="81" t="n"/>
      <c r="O1970" s="81" t="n"/>
      <c r="P1970" s="81" t="n"/>
      <c r="Q1970" s="81" t="n"/>
      <c r="R1970" s="81" t="n"/>
      <c r="S1970" s="81" t="n"/>
      <c r="T1970" s="81" t="n"/>
      <c r="U1970" s="81" t="n"/>
      <c r="V1970" s="81" t="n"/>
      <c r="W1970" s="81" t="n"/>
      <c r="X1970" s="81" t="n"/>
      <c r="Y1970" s="81" t="n"/>
      <c r="Z1970" s="81" t="n"/>
      <c r="AA1970" s="81" t="n"/>
      <c r="AB1970" s="81" t="n"/>
      <c r="AC1970" s="81" t="n"/>
      <c r="AD1970" s="81" t="n"/>
      <c r="AE1970" s="81" t="n"/>
      <c r="AF1970" s="81" t="n"/>
      <c r="AG1970" s="81" t="n"/>
      <c r="AH1970" s="81" t="n"/>
      <c r="AI1970" s="81" t="n"/>
      <c r="AJ1970" s="81" t="n"/>
      <c r="AK1970" s="81" t="n"/>
      <c r="AL1970" s="81" t="n"/>
      <c r="AM1970" s="81" t="n"/>
      <c r="AN1970" s="81" t="n"/>
      <c r="AO1970" s="81" t="n"/>
      <c r="AP1970" s="81" t="n"/>
      <c r="AQ1970" s="81" t="n"/>
      <c r="AR1970" s="81" t="n"/>
      <c r="AS1970" s="81" t="n"/>
      <c r="AT1970" s="81" t="n"/>
      <c r="AU1970" s="81" t="n"/>
      <c r="AV1970" s="81" t="n"/>
      <c r="AW1970" s="81" t="n"/>
      <c r="AX1970" s="81" t="n"/>
      <c r="AY1970" s="81" t="n"/>
      <c r="AZ1970" s="81" t="n"/>
      <c r="BA1970" s="81" t="n"/>
      <c r="BB1970" s="81" t="n"/>
      <c r="BC1970" s="81" t="n"/>
      <c r="BD1970" s="81" t="n"/>
      <c r="BE1970" s="81" t="n"/>
      <c r="BF1970" s="81" t="n"/>
      <c r="BG1970" s="81" t="n"/>
      <c r="BH1970" s="81" t="n"/>
      <c r="BI1970" s="81" t="n"/>
      <c r="BJ1970" s="81" t="n"/>
      <c r="BK1970" s="81" t="n"/>
      <c r="BL1970" s="81" t="n"/>
      <c r="BM1970" s="81" t="n"/>
      <c r="BN1970" s="81" t="n"/>
      <c r="BO1970" s="81" t="n"/>
      <c r="BP1970" s="81" t="n"/>
      <c r="BQ1970" s="81" t="n"/>
      <c r="BR1970" s="81" t="n"/>
      <c r="BS1970" s="81" t="n"/>
      <c r="BT1970" s="81" t="n"/>
      <c r="BU1970" s="81" t="n"/>
      <c r="BV1970" s="81" t="n"/>
      <c r="BW1970" s="81" t="n"/>
      <c r="BX1970" s="81" t="n"/>
      <c r="BY1970" s="81" t="n"/>
      <c r="BZ1970" s="81" t="n"/>
      <c r="CA1970" s="81" t="n"/>
      <c r="CB1970" s="81" t="n"/>
      <c r="CC1970" s="81" t="n"/>
      <c r="CD1970" s="81" t="n"/>
      <c r="CE1970" s="81" t="n"/>
      <c r="CF1970" s="81" t="n"/>
      <c r="CG1970" s="81" t="n"/>
      <c r="CH1970" s="81" t="n"/>
    </row>
    <row r="1971">
      <c r="A1971" s="81" t="n"/>
      <c r="B1971" s="81" t="n"/>
      <c r="C1971" s="81" t="n"/>
      <c r="D1971" s="81" t="n"/>
      <c r="E1971" s="81" t="n"/>
      <c r="F1971" s="81" t="n"/>
      <c r="G1971" s="81" t="n"/>
      <c r="H1971" s="81" t="n"/>
      <c r="I1971" s="81" t="n"/>
      <c r="J1971" s="81" t="n"/>
      <c r="K1971" s="81" t="n"/>
      <c r="L1971" s="81" t="n"/>
      <c r="M1971" s="81" t="n"/>
      <c r="N1971" s="81" t="n"/>
      <c r="O1971" s="81" t="n"/>
      <c r="P1971" s="81" t="n"/>
      <c r="Q1971" s="81" t="n"/>
      <c r="R1971" s="81" t="n"/>
      <c r="S1971" s="81" t="n"/>
      <c r="T1971" s="81" t="n"/>
      <c r="U1971" s="81" t="n"/>
      <c r="V1971" s="81" t="n"/>
      <c r="W1971" s="81" t="n"/>
      <c r="X1971" s="81" t="n"/>
      <c r="Y1971" s="81" t="n"/>
      <c r="Z1971" s="81" t="n"/>
      <c r="AA1971" s="81" t="n"/>
      <c r="AB1971" s="81" t="n"/>
      <c r="AC1971" s="81" t="n"/>
      <c r="AD1971" s="81" t="n"/>
      <c r="AE1971" s="81" t="n"/>
      <c r="AF1971" s="81" t="n"/>
      <c r="AG1971" s="81" t="n"/>
      <c r="AH1971" s="81" t="n"/>
      <c r="AI1971" s="81" t="n"/>
      <c r="AJ1971" s="81" t="n"/>
      <c r="AK1971" s="81" t="n"/>
      <c r="AL1971" s="81" t="n"/>
      <c r="AM1971" s="81" t="n"/>
      <c r="AN1971" s="81" t="n"/>
      <c r="AO1971" s="81" t="n"/>
      <c r="AP1971" s="81" t="n"/>
      <c r="AQ1971" s="81" t="n"/>
      <c r="AR1971" s="81" t="n"/>
      <c r="AS1971" s="81" t="n"/>
      <c r="AT1971" s="81" t="n"/>
      <c r="AU1971" s="81" t="n"/>
      <c r="AV1971" s="81" t="n"/>
      <c r="AW1971" s="81" t="n"/>
      <c r="AX1971" s="81" t="n"/>
      <c r="AY1971" s="81" t="n"/>
      <c r="AZ1971" s="81" t="n"/>
      <c r="BA1971" s="81" t="n"/>
      <c r="BB1971" s="81" t="n"/>
      <c r="BC1971" s="81" t="n"/>
      <c r="BD1971" s="81" t="n"/>
      <c r="BE1971" s="81" t="n"/>
      <c r="BF1971" s="81" t="n"/>
      <c r="BG1971" s="81" t="n"/>
      <c r="BH1971" s="81" t="n"/>
      <c r="BI1971" s="81" t="n"/>
      <c r="BJ1971" s="81" t="n"/>
      <c r="BK1971" s="81" t="n"/>
      <c r="BL1971" s="81" t="n"/>
      <c r="BM1971" s="81" t="n"/>
      <c r="BN1971" s="81" t="n"/>
      <c r="BO1971" s="81" t="n"/>
      <c r="BP1971" s="81" t="n"/>
      <c r="BQ1971" s="81" t="n"/>
      <c r="BR1971" s="81" t="n"/>
      <c r="BS1971" s="81" t="n"/>
      <c r="BT1971" s="81" t="n"/>
      <c r="BU1971" s="81" t="n"/>
      <c r="BV1971" s="81" t="n"/>
      <c r="BW1971" s="81" t="n"/>
      <c r="BX1971" s="81" t="n"/>
      <c r="BY1971" s="81" t="n"/>
      <c r="BZ1971" s="81" t="n"/>
      <c r="CA1971" s="81" t="n"/>
      <c r="CB1971" s="81" t="n"/>
      <c r="CC1971" s="81" t="n"/>
      <c r="CD1971" s="81" t="n"/>
      <c r="CE1971" s="81" t="n"/>
      <c r="CF1971" s="81" t="n"/>
      <c r="CG1971" s="81" t="n"/>
      <c r="CH1971" s="81" t="n"/>
    </row>
    <row r="1972">
      <c r="A1972" s="81" t="n"/>
      <c r="B1972" s="81" t="n"/>
      <c r="C1972" s="81" t="n"/>
      <c r="D1972" s="81" t="n"/>
      <c r="E1972" s="81" t="n"/>
      <c r="F1972" s="81" t="n"/>
      <c r="G1972" s="81" t="n"/>
      <c r="H1972" s="81" t="n"/>
      <c r="I1972" s="81" t="n"/>
      <c r="J1972" s="81" t="n"/>
      <c r="K1972" s="81" t="n"/>
      <c r="L1972" s="81" t="n"/>
      <c r="M1972" s="81" t="n"/>
      <c r="N1972" s="81" t="n"/>
      <c r="O1972" s="81" t="n"/>
      <c r="P1972" s="81" t="n"/>
      <c r="Q1972" s="81" t="n"/>
      <c r="R1972" s="81" t="n"/>
      <c r="S1972" s="81" t="n"/>
      <c r="T1972" s="81" t="n"/>
      <c r="U1972" s="81" t="n"/>
      <c r="V1972" s="81" t="n"/>
      <c r="W1972" s="81" t="n"/>
      <c r="X1972" s="81" t="n"/>
      <c r="Y1972" s="81" t="n"/>
      <c r="Z1972" s="81" t="n"/>
      <c r="AA1972" s="81" t="n"/>
      <c r="AB1972" s="81" t="n"/>
      <c r="AC1972" s="81" t="n"/>
      <c r="AD1972" s="81" t="n"/>
      <c r="AE1972" s="81" t="n"/>
      <c r="AF1972" s="81" t="n"/>
      <c r="AG1972" s="81" t="n"/>
      <c r="AH1972" s="81" t="n"/>
      <c r="AI1972" s="81" t="n"/>
      <c r="AJ1972" s="81" t="n"/>
      <c r="AK1972" s="81" t="n"/>
      <c r="AL1972" s="81" t="n"/>
      <c r="AM1972" s="81" t="n"/>
      <c r="AN1972" s="81" t="n"/>
      <c r="AO1972" s="81" t="n"/>
      <c r="AP1972" s="81" t="n"/>
      <c r="AQ1972" s="81" t="n"/>
      <c r="AR1972" s="81" t="n"/>
      <c r="AS1972" s="81" t="n"/>
      <c r="AT1972" s="81" t="n"/>
      <c r="AU1972" s="81" t="n"/>
      <c r="AV1972" s="81" t="n"/>
      <c r="AW1972" s="81" t="n"/>
      <c r="AX1972" s="81" t="n"/>
      <c r="AY1972" s="81" t="n"/>
      <c r="AZ1972" s="81" t="n"/>
      <c r="BA1972" s="81" t="n"/>
      <c r="BB1972" s="81" t="n"/>
      <c r="BC1972" s="81" t="n"/>
      <c r="BD1972" s="81" t="n"/>
      <c r="BE1972" s="81" t="n"/>
      <c r="BF1972" s="81" t="n"/>
      <c r="BG1972" s="81" t="n"/>
      <c r="BH1972" s="81" t="n"/>
      <c r="BI1972" s="81" t="n"/>
      <c r="BJ1972" s="81" t="n"/>
      <c r="BK1972" s="81" t="n"/>
      <c r="BL1972" s="81" t="n"/>
      <c r="BM1972" s="81" t="n"/>
      <c r="BN1972" s="81" t="n"/>
      <c r="BO1972" s="81" t="n"/>
      <c r="BP1972" s="81" t="n"/>
      <c r="BQ1972" s="81" t="n"/>
      <c r="BR1972" s="81" t="n"/>
      <c r="BS1972" s="81" t="n"/>
      <c r="BT1972" s="81" t="n"/>
      <c r="BU1972" s="81" t="n"/>
      <c r="BV1972" s="81" t="n"/>
      <c r="BW1972" s="81" t="n"/>
      <c r="BX1972" s="81" t="n"/>
      <c r="BY1972" s="81" t="n"/>
      <c r="BZ1972" s="81" t="n"/>
      <c r="CA1972" s="81" t="n"/>
      <c r="CB1972" s="81" t="n"/>
      <c r="CC1972" s="81" t="n"/>
      <c r="CD1972" s="81" t="n"/>
      <c r="CE1972" s="81" t="n"/>
      <c r="CF1972" s="81" t="n"/>
      <c r="CG1972" s="81" t="n"/>
      <c r="CH1972" s="81" t="n"/>
    </row>
    <row r="1973">
      <c r="A1973" s="81" t="n"/>
      <c r="B1973" s="81" t="n"/>
      <c r="C1973" s="81" t="n"/>
      <c r="D1973" s="81" t="n"/>
      <c r="E1973" s="81" t="n"/>
      <c r="F1973" s="81" t="n"/>
      <c r="G1973" s="81" t="n"/>
      <c r="H1973" s="81" t="n"/>
      <c r="I1973" s="81" t="n"/>
      <c r="J1973" s="81" t="n"/>
      <c r="K1973" s="81" t="n"/>
      <c r="L1973" s="81" t="n"/>
      <c r="M1973" s="81" t="n"/>
      <c r="N1973" s="81" t="n"/>
      <c r="O1973" s="81" t="n"/>
      <c r="P1973" s="81" t="n"/>
      <c r="Q1973" s="81" t="n"/>
      <c r="R1973" s="81" t="n"/>
      <c r="S1973" s="81" t="n"/>
      <c r="T1973" s="81" t="n"/>
      <c r="U1973" s="81" t="n"/>
      <c r="V1973" s="81" t="n"/>
      <c r="W1973" s="81" t="n"/>
      <c r="X1973" s="81" t="n"/>
      <c r="Y1973" s="81" t="n"/>
      <c r="Z1973" s="81" t="n"/>
      <c r="AA1973" s="81" t="n"/>
      <c r="AB1973" s="81" t="n"/>
      <c r="AC1973" s="81" t="n"/>
      <c r="AD1973" s="81" t="n"/>
      <c r="AE1973" s="81" t="n"/>
      <c r="AF1973" s="81" t="n"/>
      <c r="AG1973" s="81" t="n"/>
      <c r="AH1973" s="81" t="n"/>
      <c r="AI1973" s="81" t="n"/>
      <c r="AJ1973" s="81" t="n"/>
      <c r="AK1973" s="81" t="n"/>
      <c r="AL1973" s="81" t="n"/>
      <c r="AM1973" s="81" t="n"/>
      <c r="AN1973" s="81" t="n"/>
      <c r="AO1973" s="81" t="n"/>
      <c r="AP1973" s="81" t="n"/>
      <c r="AQ1973" s="81" t="n"/>
      <c r="AR1973" s="81" t="n"/>
      <c r="AS1973" s="81" t="n"/>
      <c r="AT1973" s="81" t="n"/>
      <c r="AU1973" s="81" t="n"/>
      <c r="AV1973" s="81" t="n"/>
      <c r="AW1973" s="81" t="n"/>
      <c r="AX1973" s="81" t="n"/>
      <c r="AY1973" s="81" t="n"/>
      <c r="AZ1973" s="81" t="n"/>
      <c r="BA1973" s="81" t="n"/>
      <c r="BB1973" s="81" t="n"/>
      <c r="BC1973" s="81" t="n"/>
      <c r="BD1973" s="81" t="n"/>
      <c r="BE1973" s="81" t="n"/>
      <c r="BF1973" s="81" t="n"/>
      <c r="BG1973" s="81" t="n"/>
      <c r="BH1973" s="81" t="n"/>
      <c r="BI1973" s="81" t="n"/>
      <c r="BJ1973" s="81" t="n"/>
      <c r="BK1973" s="81" t="n"/>
      <c r="BL1973" s="81" t="n"/>
      <c r="BM1973" s="81" t="n"/>
      <c r="BN1973" s="81" t="n"/>
      <c r="BO1973" s="81" t="n"/>
      <c r="BP1973" s="81" t="n"/>
      <c r="BQ1973" s="81" t="n"/>
      <c r="BR1973" s="81" t="n"/>
      <c r="BS1973" s="81" t="n"/>
      <c r="BT1973" s="81" t="n"/>
      <c r="BU1973" s="81" t="n"/>
      <c r="BV1973" s="81" t="n"/>
      <c r="BW1973" s="81" t="n"/>
      <c r="BX1973" s="81" t="n"/>
      <c r="BY1973" s="81" t="n"/>
      <c r="BZ1973" s="81" t="n"/>
      <c r="CA1973" s="81" t="n"/>
      <c r="CB1973" s="81" t="n"/>
      <c r="CC1973" s="81" t="n"/>
      <c r="CD1973" s="81" t="n"/>
      <c r="CE1973" s="81" t="n"/>
      <c r="CF1973" s="81" t="n"/>
      <c r="CG1973" s="81" t="n"/>
      <c r="CH1973" s="81" t="n"/>
    </row>
    <row r="1974">
      <c r="A1974" s="81" t="n"/>
      <c r="B1974" s="81" t="n"/>
      <c r="C1974" s="81" t="n"/>
      <c r="D1974" s="81" t="n"/>
      <c r="E1974" s="81" t="n"/>
      <c r="F1974" s="81" t="n"/>
      <c r="G1974" s="81" t="n"/>
      <c r="H1974" s="81" t="n"/>
      <c r="I1974" s="81" t="n"/>
      <c r="J1974" s="81" t="n"/>
      <c r="K1974" s="81" t="n"/>
      <c r="L1974" s="81" t="n"/>
      <c r="M1974" s="81" t="n"/>
      <c r="N1974" s="81" t="n"/>
      <c r="O1974" s="81" t="n"/>
      <c r="P1974" s="81" t="n"/>
      <c r="Q1974" s="81" t="n"/>
      <c r="R1974" s="81" t="n"/>
      <c r="S1974" s="81" t="n"/>
      <c r="T1974" s="81" t="n"/>
      <c r="U1974" s="81" t="n"/>
      <c r="V1974" s="81" t="n"/>
      <c r="W1974" s="81" t="n"/>
      <c r="X1974" s="81" t="n"/>
      <c r="Y1974" s="81" t="n"/>
      <c r="Z1974" s="81" t="n"/>
      <c r="AA1974" s="81" t="n"/>
      <c r="AB1974" s="81" t="n"/>
      <c r="AC1974" s="81" t="n"/>
      <c r="AD1974" s="81" t="n"/>
      <c r="AE1974" s="81" t="n"/>
      <c r="AF1974" s="81" t="n"/>
      <c r="AG1974" s="81" t="n"/>
      <c r="AH1974" s="81" t="n"/>
      <c r="AI1974" s="81" t="n"/>
      <c r="AJ1974" s="81" t="n"/>
      <c r="AK1974" s="81" t="n"/>
      <c r="AL1974" s="81" t="n"/>
      <c r="AM1974" s="81" t="n"/>
      <c r="AN1974" s="81" t="n"/>
      <c r="AO1974" s="81" t="n"/>
      <c r="AP1974" s="81" t="n"/>
      <c r="AQ1974" s="81" t="n"/>
      <c r="AR1974" s="81" t="n"/>
      <c r="AS1974" s="81" t="n"/>
      <c r="AT1974" s="81" t="n"/>
      <c r="AU1974" s="81" t="n"/>
      <c r="AV1974" s="81" t="n"/>
      <c r="AW1974" s="81" t="n"/>
      <c r="AX1974" s="81" t="n"/>
      <c r="AY1974" s="81" t="n"/>
      <c r="AZ1974" s="81" t="n"/>
      <c r="BA1974" s="81" t="n"/>
      <c r="BB1974" s="81" t="n"/>
      <c r="BC1974" s="81" t="n"/>
      <c r="BD1974" s="81" t="n"/>
      <c r="BE1974" s="81" t="n"/>
      <c r="BF1974" s="81" t="n"/>
      <c r="BG1974" s="81" t="n"/>
      <c r="BH1974" s="81" t="n"/>
      <c r="BI1974" s="81" t="n"/>
      <c r="BJ1974" s="81" t="n"/>
      <c r="BK1974" s="81" t="n"/>
      <c r="BL1974" s="81" t="n"/>
      <c r="BM1974" s="81" t="n"/>
      <c r="BN1974" s="81" t="n"/>
      <c r="BO1974" s="81" t="n"/>
      <c r="BP1974" s="81" t="n"/>
      <c r="BQ1974" s="81" t="n"/>
      <c r="BR1974" s="81" t="n"/>
      <c r="BS1974" s="81" t="n"/>
      <c r="BT1974" s="81" t="n"/>
      <c r="BU1974" s="81" t="n"/>
      <c r="BV1974" s="81" t="n"/>
      <c r="BW1974" s="81" t="n"/>
      <c r="BX1974" s="81" t="n"/>
      <c r="BY1974" s="81" t="n"/>
      <c r="BZ1974" s="81" t="n"/>
      <c r="CA1974" s="81" t="n"/>
      <c r="CB1974" s="81" t="n"/>
      <c r="CC1974" s="81" t="n"/>
      <c r="CD1974" s="81" t="n"/>
      <c r="CE1974" s="81" t="n"/>
      <c r="CF1974" s="81" t="n"/>
      <c r="CG1974" s="81" t="n"/>
      <c r="CH1974" s="81" t="n"/>
    </row>
    <row r="1975">
      <c r="A1975" s="81" t="n"/>
      <c r="B1975" s="81" t="n"/>
      <c r="C1975" s="81" t="n"/>
      <c r="D1975" s="81" t="n"/>
      <c r="E1975" s="81" t="n"/>
      <c r="F1975" s="81" t="n"/>
      <c r="G1975" s="81" t="n"/>
      <c r="H1975" s="81" t="n"/>
      <c r="I1975" s="81" t="n"/>
      <c r="J1975" s="81" t="n"/>
      <c r="K1975" s="81" t="n"/>
      <c r="L1975" s="81" t="n"/>
      <c r="M1975" s="81" t="n"/>
      <c r="N1975" s="81" t="n"/>
      <c r="O1975" s="81" t="n"/>
      <c r="P1975" s="81" t="n"/>
      <c r="Q1975" s="81" t="n"/>
      <c r="R1975" s="81" t="n"/>
      <c r="S1975" s="81" t="n"/>
      <c r="T1975" s="81" t="n"/>
      <c r="U1975" s="81" t="n"/>
      <c r="V1975" s="81" t="n"/>
      <c r="W1975" s="81" t="n"/>
      <c r="X1975" s="81" t="n"/>
      <c r="Y1975" s="81" t="n"/>
      <c r="Z1975" s="81" t="n"/>
      <c r="AA1975" s="81" t="n"/>
      <c r="AB1975" s="81" t="n"/>
      <c r="AC1975" s="81" t="n"/>
      <c r="AD1975" s="81" t="n"/>
      <c r="AE1975" s="81" t="n"/>
      <c r="AF1975" s="81" t="n"/>
      <c r="AG1975" s="81" t="n"/>
      <c r="AH1975" s="81" t="n"/>
      <c r="AI1975" s="81" t="n"/>
      <c r="AJ1975" s="81" t="n"/>
      <c r="AK1975" s="81" t="n"/>
      <c r="AL1975" s="81" t="n"/>
      <c r="AM1975" s="81" t="n"/>
      <c r="AN1975" s="81" t="n"/>
      <c r="AO1975" s="81" t="n"/>
      <c r="AP1975" s="81" t="n"/>
      <c r="AQ1975" s="81" t="n"/>
      <c r="AR1975" s="81" t="n"/>
      <c r="AS1975" s="81" t="n"/>
      <c r="AT1975" s="81" t="n"/>
      <c r="AU1975" s="81" t="n"/>
      <c r="AV1975" s="81" t="n"/>
      <c r="AW1975" s="81" t="n"/>
      <c r="AX1975" s="81" t="n"/>
      <c r="AY1975" s="81" t="n"/>
      <c r="AZ1975" s="81" t="n"/>
      <c r="BA1975" s="81" t="n"/>
      <c r="BB1975" s="81" t="n"/>
      <c r="BC1975" s="81" t="n"/>
      <c r="BD1975" s="81" t="n"/>
      <c r="BE1975" s="81" t="n"/>
      <c r="BF1975" s="81" t="n"/>
      <c r="BG1975" s="81" t="n"/>
      <c r="BH1975" s="81" t="n"/>
      <c r="BI1975" s="81" t="n"/>
      <c r="BJ1975" s="81" t="n"/>
      <c r="BK1975" s="81" t="n"/>
      <c r="BL1975" s="81" t="n"/>
      <c r="BM1975" s="81" t="n"/>
      <c r="BN1975" s="81" t="n"/>
      <c r="BO1975" s="81" t="n"/>
      <c r="BP1975" s="81" t="n"/>
      <c r="BQ1975" s="81" t="n"/>
      <c r="BR1975" s="81" t="n"/>
      <c r="BS1975" s="81" t="n"/>
      <c r="BT1975" s="81" t="n"/>
      <c r="BU1975" s="81" t="n"/>
      <c r="BV1975" s="81" t="n"/>
      <c r="BW1975" s="81" t="n"/>
      <c r="BX1975" s="81" t="n"/>
      <c r="BY1975" s="81" t="n"/>
      <c r="BZ1975" s="81" t="n"/>
      <c r="CA1975" s="81" t="n"/>
      <c r="CB1975" s="81" t="n"/>
      <c r="CC1975" s="81" t="n"/>
      <c r="CD1975" s="81" t="n"/>
      <c r="CE1975" s="81" t="n"/>
      <c r="CF1975" s="81" t="n"/>
      <c r="CG1975" s="81" t="n"/>
      <c r="CH1975" s="81" t="n"/>
    </row>
    <row r="1976">
      <c r="A1976" s="81" t="n"/>
      <c r="B1976" s="81" t="n"/>
      <c r="C1976" s="81" t="n"/>
      <c r="D1976" s="81" t="n"/>
      <c r="E1976" s="81" t="n"/>
      <c r="F1976" s="81" t="n"/>
      <c r="G1976" s="81" t="n"/>
      <c r="H1976" s="81" t="n"/>
      <c r="I1976" s="81" t="n"/>
      <c r="J1976" s="81" t="n"/>
      <c r="K1976" s="81" t="n"/>
      <c r="L1976" s="81" t="n"/>
      <c r="M1976" s="81" t="n"/>
      <c r="N1976" s="81" t="n"/>
      <c r="O1976" s="81" t="n"/>
      <c r="P1976" s="81" t="n"/>
      <c r="Q1976" s="81" t="n"/>
      <c r="R1976" s="81" t="n"/>
      <c r="S1976" s="81" t="n"/>
      <c r="T1976" s="81" t="n"/>
      <c r="U1976" s="81" t="n"/>
      <c r="V1976" s="81" t="n"/>
      <c r="W1976" s="81" t="n"/>
      <c r="X1976" s="81" t="n"/>
      <c r="Y1976" s="81" t="n"/>
      <c r="Z1976" s="81" t="n"/>
      <c r="AA1976" s="81" t="n"/>
      <c r="AB1976" s="81" t="n"/>
      <c r="AC1976" s="81" t="n"/>
      <c r="AD1976" s="81" t="n"/>
      <c r="AE1976" s="81" t="n"/>
      <c r="AF1976" s="81" t="n"/>
      <c r="AG1976" s="81" t="n"/>
      <c r="AH1976" s="81" t="n"/>
      <c r="AI1976" s="81" t="n"/>
      <c r="AJ1976" s="81" t="n"/>
      <c r="AK1976" s="81" t="n"/>
      <c r="AL1976" s="81" t="n"/>
      <c r="AM1976" s="81" t="n"/>
      <c r="AN1976" s="81" t="n"/>
      <c r="AO1976" s="81" t="n"/>
      <c r="AP1976" s="81" t="n"/>
      <c r="AQ1976" s="81" t="n"/>
      <c r="AR1976" s="81" t="n"/>
      <c r="AS1976" s="81" t="n"/>
      <c r="AT1976" s="81" t="n"/>
      <c r="AU1976" s="81" t="n"/>
      <c r="AV1976" s="81" t="n"/>
      <c r="AW1976" s="81" t="n"/>
      <c r="AX1976" s="81" t="n"/>
      <c r="AY1976" s="81" t="n"/>
      <c r="AZ1976" s="81" t="n"/>
      <c r="BA1976" s="81" t="n"/>
      <c r="BB1976" s="81" t="n"/>
      <c r="BC1976" s="81" t="n"/>
      <c r="BD1976" s="81" t="n"/>
      <c r="BE1976" s="81" t="n"/>
      <c r="BF1976" s="81" t="n"/>
      <c r="BG1976" s="81" t="n"/>
      <c r="BH1976" s="81" t="n"/>
      <c r="BI1976" s="81" t="n"/>
      <c r="BJ1976" s="81" t="n"/>
      <c r="BK1976" s="81" t="n"/>
      <c r="BL1976" s="81" t="n"/>
      <c r="BM1976" s="81" t="n"/>
      <c r="BN1976" s="81" t="n"/>
      <c r="BO1976" s="81" t="n"/>
      <c r="BP1976" s="81" t="n"/>
      <c r="BQ1976" s="81" t="n"/>
      <c r="BR1976" s="81" t="n"/>
      <c r="BS1976" s="81" t="n"/>
      <c r="BT1976" s="81" t="n"/>
      <c r="BU1976" s="81" t="n"/>
      <c r="BV1976" s="81" t="n"/>
      <c r="BW1976" s="81" t="n"/>
      <c r="BX1976" s="81" t="n"/>
      <c r="BY1976" s="81" t="n"/>
      <c r="BZ1976" s="81" t="n"/>
      <c r="CA1976" s="81" t="n"/>
      <c r="CB1976" s="81" t="n"/>
      <c r="CC1976" s="81" t="n"/>
      <c r="CD1976" s="81" t="n"/>
      <c r="CE1976" s="81" t="n"/>
      <c r="CF1976" s="81" t="n"/>
      <c r="CG1976" s="81" t="n"/>
      <c r="CH1976" s="81" t="n"/>
    </row>
    <row r="1977">
      <c r="A1977" s="81" t="n"/>
      <c r="B1977" s="81" t="n"/>
      <c r="C1977" s="81" t="n"/>
      <c r="D1977" s="81" t="n"/>
      <c r="E1977" s="81" t="n"/>
      <c r="F1977" s="81" t="n"/>
      <c r="G1977" s="81" t="n"/>
      <c r="H1977" s="81" t="n"/>
      <c r="I1977" s="81" t="n"/>
      <c r="J1977" s="81" t="n"/>
      <c r="K1977" s="81" t="n"/>
      <c r="L1977" s="81" t="n"/>
      <c r="M1977" s="81" t="n"/>
      <c r="N1977" s="81" t="n"/>
      <c r="O1977" s="81" t="n"/>
      <c r="P1977" s="81" t="n"/>
      <c r="Q1977" s="81" t="n"/>
      <c r="R1977" s="81" t="n"/>
      <c r="S1977" s="81" t="n"/>
      <c r="T1977" s="81" t="n"/>
      <c r="U1977" s="81" t="n"/>
      <c r="V1977" s="81" t="n"/>
      <c r="W1977" s="81" t="n"/>
      <c r="X1977" s="81" t="n"/>
      <c r="Y1977" s="81" t="n"/>
      <c r="Z1977" s="81" t="n"/>
      <c r="AA1977" s="81" t="n"/>
      <c r="AB1977" s="81" t="n"/>
      <c r="AC1977" s="81" t="n"/>
      <c r="AD1977" s="81" t="n"/>
      <c r="AE1977" s="81" t="n"/>
      <c r="AF1977" s="81" t="n"/>
      <c r="AG1977" s="81" t="n"/>
      <c r="AH1977" s="81" t="n"/>
      <c r="AI1977" s="81" t="n"/>
      <c r="AJ1977" s="81" t="n"/>
      <c r="AK1977" s="81" t="n"/>
      <c r="AL1977" s="81" t="n"/>
      <c r="AM1977" s="81" t="n"/>
      <c r="AN1977" s="81" t="n"/>
      <c r="AO1977" s="81" t="n"/>
      <c r="AP1977" s="81" t="n"/>
      <c r="AQ1977" s="81" t="n"/>
      <c r="AR1977" s="81" t="n"/>
      <c r="AS1977" s="81" t="n"/>
      <c r="AT1977" s="81" t="n"/>
      <c r="AU1977" s="81" t="n"/>
      <c r="AV1977" s="81" t="n"/>
      <c r="AW1977" s="81" t="n"/>
      <c r="AX1977" s="81" t="n"/>
      <c r="AY1977" s="81" t="n"/>
      <c r="AZ1977" s="81" t="n"/>
      <c r="BA1977" s="81" t="n"/>
      <c r="BB1977" s="81" t="n"/>
      <c r="BC1977" s="81" t="n"/>
      <c r="BD1977" s="81" t="n"/>
      <c r="BE1977" s="81" t="n"/>
      <c r="BF1977" s="81" t="n"/>
      <c r="BG1977" s="81" t="n"/>
      <c r="BH1977" s="81" t="n"/>
      <c r="BI1977" s="81" t="n"/>
      <c r="BJ1977" s="81" t="n"/>
      <c r="BK1977" s="81" t="n"/>
      <c r="BL1977" s="81" t="n"/>
      <c r="BM1977" s="81" t="n"/>
      <c r="BN1977" s="81" t="n"/>
      <c r="BO1977" s="81" t="n"/>
      <c r="BP1977" s="81" t="n"/>
      <c r="BQ1977" s="81" t="n"/>
      <c r="BR1977" s="81" t="n"/>
      <c r="BS1977" s="81" t="n"/>
      <c r="BT1977" s="81" t="n"/>
      <c r="BU1977" s="81" t="n"/>
      <c r="BV1977" s="81" t="n"/>
      <c r="BW1977" s="81" t="n"/>
      <c r="BX1977" s="81" t="n"/>
      <c r="BY1977" s="81" t="n"/>
      <c r="BZ1977" s="81" t="n"/>
      <c r="CA1977" s="81" t="n"/>
      <c r="CB1977" s="81" t="n"/>
      <c r="CC1977" s="81" t="n"/>
      <c r="CD1977" s="81" t="n"/>
      <c r="CE1977" s="81" t="n"/>
      <c r="CF1977" s="81" t="n"/>
      <c r="CG1977" s="81" t="n"/>
      <c r="CH1977" s="81" t="n"/>
    </row>
    <row r="1978">
      <c r="A1978" s="81" t="n"/>
      <c r="B1978" s="81" t="n"/>
      <c r="C1978" s="81" t="n"/>
      <c r="D1978" s="81" t="n"/>
      <c r="E1978" s="81" t="n"/>
      <c r="F1978" s="81" t="n"/>
      <c r="G1978" s="81" t="n"/>
      <c r="H1978" s="81" t="n"/>
      <c r="I1978" s="81" t="n"/>
      <c r="J1978" s="81" t="n"/>
      <c r="K1978" s="81" t="n"/>
      <c r="L1978" s="81" t="n"/>
      <c r="M1978" s="81" t="n"/>
      <c r="N1978" s="81" t="n"/>
      <c r="O1978" s="81" t="n"/>
      <c r="P1978" s="81" t="n"/>
      <c r="Q1978" s="81" t="n"/>
      <c r="R1978" s="81" t="n"/>
      <c r="S1978" s="81" t="n"/>
      <c r="T1978" s="81" t="n"/>
      <c r="U1978" s="81" t="n"/>
      <c r="V1978" s="81" t="n"/>
      <c r="W1978" s="81" t="n"/>
      <c r="X1978" s="81" t="n"/>
      <c r="Y1978" s="81" t="n"/>
      <c r="Z1978" s="81" t="n"/>
      <c r="AA1978" s="81" t="n"/>
      <c r="AB1978" s="81" t="n"/>
      <c r="AC1978" s="81" t="n"/>
      <c r="AD1978" s="81" t="n"/>
      <c r="AE1978" s="81" t="n"/>
      <c r="AF1978" s="81" t="n"/>
      <c r="AG1978" s="81" t="n"/>
      <c r="AH1978" s="81" t="n"/>
      <c r="AI1978" s="81" t="n"/>
      <c r="AJ1978" s="81" t="n"/>
      <c r="AK1978" s="81" t="n"/>
      <c r="AL1978" s="81" t="n"/>
      <c r="AM1978" s="81" t="n"/>
      <c r="AN1978" s="81" t="n"/>
      <c r="AO1978" s="81" t="n"/>
      <c r="AP1978" s="81" t="n"/>
      <c r="AQ1978" s="81" t="n"/>
      <c r="AR1978" s="81" t="n"/>
      <c r="AS1978" s="81" t="n"/>
      <c r="AT1978" s="81" t="n"/>
      <c r="AU1978" s="81" t="n"/>
      <c r="AV1978" s="81" t="n"/>
      <c r="AW1978" s="81" t="n"/>
      <c r="AX1978" s="81" t="n"/>
      <c r="AY1978" s="81" t="n"/>
      <c r="AZ1978" s="81" t="n"/>
      <c r="BA1978" s="81" t="n"/>
      <c r="BB1978" s="81" t="n"/>
      <c r="BC1978" s="81" t="n"/>
      <c r="BD1978" s="81" t="n"/>
      <c r="BE1978" s="81" t="n"/>
      <c r="BF1978" s="81" t="n"/>
      <c r="BG1978" s="81" t="n"/>
      <c r="BH1978" s="81" t="n"/>
      <c r="BI1978" s="81" t="n"/>
      <c r="BJ1978" s="81" t="n"/>
      <c r="BK1978" s="81" t="n"/>
      <c r="BL1978" s="81" t="n"/>
      <c r="BM1978" s="81" t="n"/>
      <c r="BN1978" s="81" t="n"/>
      <c r="BO1978" s="81" t="n"/>
      <c r="BP1978" s="81" t="n"/>
      <c r="BQ1978" s="81" t="n"/>
      <c r="BR1978" s="81" t="n"/>
      <c r="BS1978" s="81" t="n"/>
      <c r="BT1978" s="81" t="n"/>
      <c r="BU1978" s="81" t="n"/>
      <c r="BV1978" s="81" t="n"/>
      <c r="BW1978" s="81" t="n"/>
      <c r="BX1978" s="81" t="n"/>
      <c r="BY1978" s="81" t="n"/>
      <c r="BZ1978" s="81" t="n"/>
      <c r="CA1978" s="81" t="n"/>
      <c r="CB1978" s="81" t="n"/>
      <c r="CC1978" s="81" t="n"/>
      <c r="CD1978" s="81" t="n"/>
      <c r="CE1978" s="81" t="n"/>
      <c r="CF1978" s="81" t="n"/>
      <c r="CG1978" s="81" t="n"/>
      <c r="CH1978" s="81" t="n"/>
    </row>
    <row r="1979">
      <c r="A1979" s="81" t="n"/>
      <c r="B1979" s="81" t="n"/>
      <c r="C1979" s="81" t="n"/>
      <c r="D1979" s="81" t="n"/>
      <c r="E1979" s="81" t="n"/>
      <c r="F1979" s="81" t="n"/>
      <c r="G1979" s="81" t="n"/>
      <c r="H1979" s="81" t="n"/>
      <c r="I1979" s="81" t="n"/>
      <c r="J1979" s="81" t="n"/>
      <c r="K1979" s="81" t="n"/>
      <c r="L1979" s="81" t="n"/>
      <c r="M1979" s="81" t="n"/>
      <c r="N1979" s="81" t="n"/>
      <c r="O1979" s="81" t="n"/>
      <c r="P1979" s="81" t="n"/>
      <c r="Q1979" s="81" t="n"/>
      <c r="R1979" s="81" t="n"/>
      <c r="S1979" s="81" t="n"/>
      <c r="T1979" s="81" t="n"/>
      <c r="U1979" s="81" t="n"/>
      <c r="V1979" s="81" t="n"/>
      <c r="W1979" s="81" t="n"/>
      <c r="X1979" s="81" t="n"/>
      <c r="Y1979" s="81" t="n"/>
      <c r="Z1979" s="81" t="n"/>
      <c r="AA1979" s="81" t="n"/>
      <c r="AB1979" s="81" t="n"/>
      <c r="AC1979" s="81" t="n"/>
      <c r="AD1979" s="81" t="n"/>
      <c r="AE1979" s="81" t="n"/>
      <c r="AF1979" s="81" t="n"/>
      <c r="AG1979" s="81" t="n"/>
      <c r="AH1979" s="81" t="n"/>
      <c r="AI1979" s="81" t="n"/>
      <c r="AJ1979" s="81" t="n"/>
      <c r="AK1979" s="81" t="n"/>
      <c r="AL1979" s="81" t="n"/>
      <c r="AM1979" s="81" t="n"/>
      <c r="AN1979" s="81" t="n"/>
      <c r="AO1979" s="81" t="n"/>
      <c r="AP1979" s="81" t="n"/>
      <c r="AQ1979" s="81" t="n"/>
      <c r="AR1979" s="81" t="n"/>
      <c r="AS1979" s="81" t="n"/>
      <c r="AT1979" s="81" t="n"/>
      <c r="AU1979" s="81" t="n"/>
      <c r="AV1979" s="81" t="n"/>
      <c r="AW1979" s="81" t="n"/>
      <c r="AX1979" s="81" t="n"/>
      <c r="AY1979" s="81" t="n"/>
      <c r="AZ1979" s="81" t="n"/>
      <c r="BA1979" s="81" t="n"/>
      <c r="BB1979" s="81" t="n"/>
      <c r="BC1979" s="81" t="n"/>
      <c r="BD1979" s="81" t="n"/>
      <c r="BE1979" s="81" t="n"/>
      <c r="BF1979" s="81" t="n"/>
      <c r="BG1979" s="81" t="n"/>
      <c r="BH1979" s="81" t="n"/>
      <c r="BI1979" s="81" t="n"/>
      <c r="BJ1979" s="81" t="n"/>
      <c r="BK1979" s="81" t="n"/>
      <c r="BL1979" s="81" t="n"/>
      <c r="BM1979" s="81" t="n"/>
      <c r="BN1979" s="81" t="n"/>
      <c r="BO1979" s="81" t="n"/>
      <c r="BP1979" s="81" t="n"/>
      <c r="BQ1979" s="81" t="n"/>
      <c r="BR1979" s="81" t="n"/>
      <c r="BS1979" s="81" t="n"/>
      <c r="BT1979" s="81" t="n"/>
      <c r="BU1979" s="81" t="n"/>
      <c r="BV1979" s="81" t="n"/>
      <c r="BW1979" s="81" t="n"/>
      <c r="BX1979" s="81" t="n"/>
      <c r="BY1979" s="81" t="n"/>
      <c r="BZ1979" s="81" t="n"/>
      <c r="CA1979" s="81" t="n"/>
      <c r="CB1979" s="81" t="n"/>
      <c r="CC1979" s="81" t="n"/>
      <c r="CD1979" s="81" t="n"/>
      <c r="CE1979" s="81" t="n"/>
      <c r="CF1979" s="81" t="n"/>
      <c r="CG1979" s="81" t="n"/>
      <c r="CH1979" s="81" t="n"/>
    </row>
    <row r="1980">
      <c r="A1980" s="81" t="n"/>
      <c r="B1980" s="81" t="n"/>
      <c r="C1980" s="81" t="n"/>
      <c r="D1980" s="81" t="n"/>
      <c r="E1980" s="81" t="n"/>
      <c r="F1980" s="81" t="n"/>
      <c r="G1980" s="81" t="n"/>
      <c r="H1980" s="81" t="n"/>
      <c r="I1980" s="81" t="n"/>
      <c r="J1980" s="81" t="n"/>
      <c r="K1980" s="81" t="n"/>
      <c r="L1980" s="81" t="n"/>
      <c r="M1980" s="81" t="n"/>
      <c r="N1980" s="81" t="n"/>
      <c r="O1980" s="81" t="n"/>
      <c r="P1980" s="81" t="n"/>
      <c r="Q1980" s="81" t="n"/>
      <c r="R1980" s="81" t="n"/>
      <c r="S1980" s="81" t="n"/>
      <c r="T1980" s="81" t="n"/>
      <c r="U1980" s="81" t="n"/>
      <c r="V1980" s="81" t="n"/>
      <c r="W1980" s="81" t="n"/>
      <c r="X1980" s="81" t="n"/>
      <c r="Y1980" s="81" t="n"/>
      <c r="Z1980" s="81" t="n"/>
      <c r="AA1980" s="81" t="n"/>
      <c r="AB1980" s="81" t="n"/>
      <c r="AC1980" s="81" t="n"/>
      <c r="AD1980" s="81" t="n"/>
      <c r="AE1980" s="81" t="n"/>
      <c r="AF1980" s="81" t="n"/>
      <c r="AG1980" s="81" t="n"/>
      <c r="AH1980" s="81" t="n"/>
      <c r="AI1980" s="81" t="n"/>
      <c r="AJ1980" s="81" t="n"/>
      <c r="AK1980" s="81" t="n"/>
      <c r="AL1980" s="81" t="n"/>
      <c r="AM1980" s="81" t="n"/>
      <c r="AN1980" s="81" t="n"/>
      <c r="AO1980" s="81" t="n"/>
      <c r="AP1980" s="81" t="n"/>
      <c r="AQ1980" s="81" t="n"/>
      <c r="AR1980" s="81" t="n"/>
      <c r="AS1980" s="81" t="n"/>
      <c r="AT1980" s="81" t="n"/>
      <c r="AU1980" s="81" t="n"/>
      <c r="AV1980" s="81" t="n"/>
      <c r="AW1980" s="81" t="n"/>
      <c r="AX1980" s="81" t="n"/>
      <c r="AY1980" s="81" t="n"/>
      <c r="AZ1980" s="81" t="n"/>
      <c r="BA1980" s="81" t="n"/>
      <c r="BB1980" s="81" t="n"/>
      <c r="BC1980" s="81" t="n"/>
      <c r="BD1980" s="81" t="n"/>
      <c r="BE1980" s="81" t="n"/>
      <c r="BF1980" s="81" t="n"/>
      <c r="BG1980" s="81" t="n"/>
      <c r="BH1980" s="81" t="n"/>
      <c r="BI1980" s="81" t="n"/>
      <c r="BJ1980" s="81" t="n"/>
      <c r="BK1980" s="81" t="n"/>
      <c r="BL1980" s="81" t="n"/>
      <c r="BM1980" s="81" t="n"/>
      <c r="BN1980" s="81" t="n"/>
      <c r="BO1980" s="81" t="n"/>
      <c r="BP1980" s="81" t="n"/>
      <c r="BQ1980" s="81" t="n"/>
      <c r="BR1980" s="81" t="n"/>
      <c r="BS1980" s="81" t="n"/>
      <c r="BT1980" s="81" t="n"/>
      <c r="BU1980" s="81" t="n"/>
      <c r="BV1980" s="81" t="n"/>
      <c r="BW1980" s="81" t="n"/>
      <c r="BX1980" s="81" t="n"/>
      <c r="BY1980" s="81" t="n"/>
      <c r="BZ1980" s="81" t="n"/>
      <c r="CA1980" s="81" t="n"/>
      <c r="CB1980" s="81" t="n"/>
      <c r="CC1980" s="81" t="n"/>
      <c r="CD1980" s="81" t="n"/>
      <c r="CE1980" s="81" t="n"/>
      <c r="CF1980" s="81" t="n"/>
      <c r="CG1980" s="81" t="n"/>
      <c r="CH1980" s="81" t="n"/>
    </row>
    <row r="1981">
      <c r="A1981" s="81" t="n"/>
      <c r="B1981" s="81" t="n"/>
      <c r="C1981" s="81" t="n"/>
      <c r="D1981" s="81" t="n"/>
      <c r="E1981" s="81" t="n"/>
      <c r="F1981" s="81" t="n"/>
      <c r="G1981" s="81" t="n"/>
      <c r="H1981" s="81" t="n"/>
      <c r="I1981" s="81" t="n"/>
      <c r="J1981" s="81" t="n"/>
      <c r="K1981" s="81" t="n"/>
      <c r="L1981" s="81" t="n"/>
      <c r="M1981" s="81" t="n"/>
      <c r="N1981" s="81" t="n"/>
      <c r="O1981" s="81" t="n"/>
      <c r="P1981" s="81" t="n"/>
      <c r="Q1981" s="81" t="n"/>
      <c r="R1981" s="81" t="n"/>
      <c r="S1981" s="81" t="n"/>
      <c r="T1981" s="81" t="n"/>
      <c r="U1981" s="81" t="n"/>
      <c r="V1981" s="81" t="n"/>
      <c r="W1981" s="81" t="n"/>
      <c r="X1981" s="81" t="n"/>
      <c r="Y1981" s="81" t="n"/>
      <c r="Z1981" s="81" t="n"/>
      <c r="AA1981" s="81" t="n"/>
      <c r="AB1981" s="81" t="n"/>
      <c r="AC1981" s="81" t="n"/>
      <c r="AD1981" s="81" t="n"/>
      <c r="AE1981" s="81" t="n"/>
      <c r="AF1981" s="81" t="n"/>
      <c r="AG1981" s="81" t="n"/>
      <c r="AH1981" s="81" t="n"/>
      <c r="AI1981" s="81" t="n"/>
      <c r="AJ1981" s="81" t="n"/>
      <c r="AK1981" s="81" t="n"/>
      <c r="AL1981" s="81" t="n"/>
      <c r="AM1981" s="81" t="n"/>
      <c r="AN1981" s="81" t="n"/>
      <c r="AO1981" s="81" t="n"/>
      <c r="AP1981" s="81" t="n"/>
      <c r="AQ1981" s="81" t="n"/>
      <c r="AR1981" s="81" t="n"/>
      <c r="AS1981" s="81" t="n"/>
      <c r="AT1981" s="81" t="n"/>
      <c r="AU1981" s="81" t="n"/>
      <c r="AV1981" s="81" t="n"/>
      <c r="AW1981" s="81" t="n"/>
      <c r="AX1981" s="81" t="n"/>
      <c r="AY1981" s="81" t="n"/>
      <c r="AZ1981" s="81" t="n"/>
      <c r="BA1981" s="81" t="n"/>
      <c r="BB1981" s="81" t="n"/>
      <c r="BC1981" s="81" t="n"/>
      <c r="BD1981" s="81" t="n"/>
      <c r="BE1981" s="81" t="n"/>
      <c r="BF1981" s="81" t="n"/>
      <c r="BG1981" s="81" t="n"/>
      <c r="BH1981" s="81" t="n"/>
      <c r="BI1981" s="81" t="n"/>
      <c r="BJ1981" s="81" t="n"/>
      <c r="BK1981" s="81" t="n"/>
      <c r="BL1981" s="81" t="n"/>
      <c r="BM1981" s="81" t="n"/>
      <c r="BN1981" s="81" t="n"/>
      <c r="BO1981" s="81" t="n"/>
      <c r="BP1981" s="81" t="n"/>
      <c r="BQ1981" s="81" t="n"/>
      <c r="BR1981" s="81" t="n"/>
      <c r="BS1981" s="81" t="n"/>
      <c r="BT1981" s="81" t="n"/>
      <c r="BU1981" s="81" t="n"/>
      <c r="BV1981" s="81" t="n"/>
      <c r="BW1981" s="81" t="n"/>
      <c r="BX1981" s="81" t="n"/>
      <c r="BY1981" s="81" t="n"/>
      <c r="BZ1981" s="81" t="n"/>
      <c r="CA1981" s="81" t="n"/>
      <c r="CB1981" s="81" t="n"/>
      <c r="CC1981" s="81" t="n"/>
      <c r="CD1981" s="81" t="n"/>
      <c r="CE1981" s="81" t="n"/>
      <c r="CF1981" s="81" t="n"/>
      <c r="CG1981" s="81" t="n"/>
      <c r="CH1981" s="81" t="n"/>
    </row>
    <row r="1982">
      <c r="A1982" s="81" t="n"/>
      <c r="B1982" s="81" t="n"/>
      <c r="C1982" s="81" t="n"/>
      <c r="D1982" s="81" t="n"/>
      <c r="E1982" s="81" t="n"/>
      <c r="F1982" s="81" t="n"/>
      <c r="G1982" s="81" t="n"/>
      <c r="H1982" s="81" t="n"/>
      <c r="I1982" s="81" t="n"/>
      <c r="J1982" s="81" t="n"/>
      <c r="K1982" s="81" t="n"/>
      <c r="L1982" s="81" t="n"/>
      <c r="M1982" s="81" t="n"/>
      <c r="N1982" s="81" t="n"/>
      <c r="O1982" s="81" t="n"/>
      <c r="P1982" s="81" t="n"/>
      <c r="Q1982" s="81" t="n"/>
      <c r="R1982" s="81" t="n"/>
      <c r="S1982" s="81" t="n"/>
      <c r="T1982" s="81" t="n"/>
      <c r="U1982" s="81" t="n"/>
      <c r="V1982" s="81" t="n"/>
      <c r="W1982" s="81" t="n"/>
      <c r="X1982" s="81" t="n"/>
      <c r="Y1982" s="81" t="n"/>
      <c r="Z1982" s="81" t="n"/>
      <c r="AA1982" s="81" t="n"/>
      <c r="AB1982" s="81" t="n"/>
      <c r="AC1982" s="81" t="n"/>
      <c r="AD1982" s="81" t="n"/>
      <c r="AE1982" s="81" t="n"/>
      <c r="AF1982" s="81" t="n"/>
      <c r="AG1982" s="81" t="n"/>
      <c r="AH1982" s="81" t="n"/>
      <c r="AI1982" s="81" t="n"/>
      <c r="AJ1982" s="81" t="n"/>
      <c r="AK1982" s="81" t="n"/>
      <c r="AL1982" s="81" t="n"/>
      <c r="AM1982" s="81" t="n"/>
      <c r="AN1982" s="81" t="n"/>
      <c r="AO1982" s="81" t="n"/>
      <c r="AP1982" s="81" t="n"/>
      <c r="AQ1982" s="81" t="n"/>
      <c r="AR1982" s="81" t="n"/>
      <c r="AS1982" s="81" t="n"/>
      <c r="AT1982" s="81" t="n"/>
      <c r="AU1982" s="81" t="n"/>
      <c r="AV1982" s="81" t="n"/>
      <c r="AW1982" s="81" t="n"/>
      <c r="AX1982" s="81" t="n"/>
      <c r="AY1982" s="81" t="n"/>
      <c r="AZ1982" s="81" t="n"/>
      <c r="BA1982" s="81" t="n"/>
      <c r="BB1982" s="81" t="n"/>
      <c r="BC1982" s="81" t="n"/>
      <c r="BD1982" s="81" t="n"/>
      <c r="BE1982" s="81" t="n"/>
      <c r="BF1982" s="81" t="n"/>
      <c r="BG1982" s="81" t="n"/>
      <c r="BH1982" s="81" t="n"/>
      <c r="BI1982" s="81" t="n"/>
      <c r="BJ1982" s="81" t="n"/>
      <c r="BK1982" s="81" t="n"/>
      <c r="BL1982" s="81" t="n"/>
      <c r="BM1982" s="81" t="n"/>
      <c r="BN1982" s="81" t="n"/>
      <c r="BO1982" s="81" t="n"/>
      <c r="BP1982" s="81" t="n"/>
      <c r="BQ1982" s="81" t="n"/>
      <c r="BR1982" s="81" t="n"/>
      <c r="BS1982" s="81" t="n"/>
      <c r="BT1982" s="81" t="n"/>
      <c r="BU1982" s="81" t="n"/>
      <c r="BV1982" s="81" t="n"/>
      <c r="BW1982" s="81" t="n"/>
      <c r="BX1982" s="81" t="n"/>
      <c r="BY1982" s="81" t="n"/>
      <c r="BZ1982" s="81" t="n"/>
      <c r="CA1982" s="81" t="n"/>
      <c r="CB1982" s="81" t="n"/>
      <c r="CC1982" s="81" t="n"/>
      <c r="CD1982" s="81" t="n"/>
      <c r="CE1982" s="81" t="n"/>
      <c r="CF1982" s="81" t="n"/>
      <c r="CG1982" s="81" t="n"/>
      <c r="CH1982" s="81" t="n"/>
    </row>
    <row r="1983">
      <c r="A1983" s="81" t="n"/>
      <c r="B1983" s="81" t="n"/>
      <c r="C1983" s="81" t="n"/>
      <c r="D1983" s="81" t="n"/>
      <c r="E1983" s="81" t="n"/>
      <c r="F1983" s="81" t="n"/>
      <c r="G1983" s="81" t="n"/>
      <c r="H1983" s="81" t="n"/>
      <c r="I1983" s="81" t="n"/>
      <c r="J1983" s="81" t="n"/>
      <c r="K1983" s="81" t="n"/>
      <c r="L1983" s="81" t="n"/>
      <c r="M1983" s="81" t="n"/>
      <c r="N1983" s="81" t="n"/>
      <c r="O1983" s="81" t="n"/>
      <c r="P1983" s="81" t="n"/>
      <c r="Q1983" s="81" t="n"/>
      <c r="R1983" s="81" t="n"/>
      <c r="S1983" s="81" t="n"/>
      <c r="T1983" s="81" t="n"/>
      <c r="U1983" s="81" t="n"/>
      <c r="V1983" s="81" t="n"/>
      <c r="W1983" s="81" t="n"/>
      <c r="X1983" s="81" t="n"/>
      <c r="Y1983" s="81" t="n"/>
      <c r="Z1983" s="81" t="n"/>
      <c r="AA1983" s="81" t="n"/>
      <c r="AB1983" s="81" t="n"/>
      <c r="AC1983" s="81" t="n"/>
      <c r="AD1983" s="81" t="n"/>
      <c r="AE1983" s="81" t="n"/>
      <c r="AF1983" s="81" t="n"/>
      <c r="AG1983" s="81" t="n"/>
      <c r="AH1983" s="81" t="n"/>
      <c r="AI1983" s="81" t="n"/>
      <c r="AJ1983" s="81" t="n"/>
      <c r="AK1983" s="81" t="n"/>
      <c r="AL1983" s="81" t="n"/>
      <c r="AM1983" s="81" t="n"/>
      <c r="AN1983" s="81" t="n"/>
      <c r="AO1983" s="81" t="n"/>
      <c r="AP1983" s="81" t="n"/>
      <c r="AQ1983" s="81" t="n"/>
      <c r="AR1983" s="81" t="n"/>
      <c r="AS1983" s="81" t="n"/>
      <c r="AT1983" s="81" t="n"/>
      <c r="AU1983" s="81" t="n"/>
      <c r="AV1983" s="81" t="n"/>
      <c r="AW1983" s="81" t="n"/>
      <c r="AX1983" s="81" t="n"/>
      <c r="AY1983" s="81" t="n"/>
      <c r="AZ1983" s="81" t="n"/>
      <c r="BA1983" s="81" t="n"/>
      <c r="BB1983" s="81" t="n"/>
      <c r="BC1983" s="81" t="n"/>
      <c r="BD1983" s="81" t="n"/>
      <c r="BE1983" s="81" t="n"/>
      <c r="BF1983" s="81" t="n"/>
      <c r="BG1983" s="81" t="n"/>
      <c r="BH1983" s="81" t="n"/>
      <c r="BI1983" s="81" t="n"/>
      <c r="BJ1983" s="81" t="n"/>
      <c r="BK1983" s="81" t="n"/>
      <c r="BL1983" s="81" t="n"/>
      <c r="BM1983" s="81" t="n"/>
      <c r="BN1983" s="81" t="n"/>
      <c r="BO1983" s="81" t="n"/>
      <c r="BP1983" s="81" t="n"/>
      <c r="BQ1983" s="81" t="n"/>
      <c r="BR1983" s="81" t="n"/>
      <c r="BS1983" s="81" t="n"/>
      <c r="BT1983" s="81" t="n"/>
      <c r="BU1983" s="81" t="n"/>
      <c r="BV1983" s="81" t="n"/>
      <c r="BW1983" s="81" t="n"/>
      <c r="BX1983" s="81" t="n"/>
      <c r="BY1983" s="81" t="n"/>
      <c r="BZ1983" s="81" t="n"/>
      <c r="CA1983" s="81" t="n"/>
      <c r="CB1983" s="81" t="n"/>
      <c r="CC1983" s="81" t="n"/>
      <c r="CD1983" s="81" t="n"/>
      <c r="CE1983" s="81" t="n"/>
      <c r="CF1983" s="81" t="n"/>
      <c r="CG1983" s="81" t="n"/>
      <c r="CH1983" s="81" t="n"/>
    </row>
    <row r="1984">
      <c r="A1984" s="81" t="n"/>
      <c r="B1984" s="81" t="n"/>
      <c r="C1984" s="81" t="n"/>
      <c r="D1984" s="81" t="n"/>
      <c r="E1984" s="81" t="n"/>
      <c r="F1984" s="81" t="n"/>
      <c r="G1984" s="81" t="n"/>
      <c r="H1984" s="81" t="n"/>
      <c r="I1984" s="81" t="n"/>
      <c r="J1984" s="81" t="n"/>
      <c r="K1984" s="81" t="n"/>
      <c r="L1984" s="81" t="n"/>
      <c r="M1984" s="81" t="n"/>
      <c r="N1984" s="81" t="n"/>
      <c r="O1984" s="81" t="n"/>
      <c r="P1984" s="81" t="n"/>
      <c r="Q1984" s="81" t="n"/>
      <c r="R1984" s="81" t="n"/>
      <c r="S1984" s="81" t="n"/>
      <c r="T1984" s="81" t="n"/>
      <c r="U1984" s="81" t="n"/>
      <c r="V1984" s="81" t="n"/>
      <c r="W1984" s="81" t="n"/>
      <c r="X1984" s="81" t="n"/>
      <c r="Y1984" s="81" t="n"/>
      <c r="Z1984" s="81" t="n"/>
      <c r="AA1984" s="81" t="n"/>
      <c r="AB1984" s="81" t="n"/>
      <c r="AC1984" s="81" t="n"/>
      <c r="AD1984" s="81" t="n"/>
      <c r="AE1984" s="81" t="n"/>
      <c r="AF1984" s="81" t="n"/>
      <c r="AG1984" s="81" t="n"/>
      <c r="AH1984" s="81" t="n"/>
      <c r="AI1984" s="81" t="n"/>
      <c r="AJ1984" s="81" t="n"/>
      <c r="AK1984" s="81" t="n"/>
      <c r="AL1984" s="81" t="n"/>
      <c r="AM1984" s="81" t="n"/>
      <c r="AN1984" s="81" t="n"/>
      <c r="AO1984" s="81" t="n"/>
      <c r="AP1984" s="81" t="n"/>
      <c r="AQ1984" s="81" t="n"/>
      <c r="AR1984" s="81" t="n"/>
      <c r="AS1984" s="81" t="n"/>
      <c r="AT1984" s="81" t="n"/>
      <c r="AU1984" s="81" t="n"/>
      <c r="AV1984" s="81" t="n"/>
      <c r="AW1984" s="81" t="n"/>
      <c r="AX1984" s="81" t="n"/>
      <c r="AY1984" s="81" t="n"/>
      <c r="AZ1984" s="81" t="n"/>
      <c r="BA1984" s="81" t="n"/>
      <c r="BB1984" s="81" t="n"/>
      <c r="BC1984" s="81" t="n"/>
      <c r="BD1984" s="81" t="n"/>
      <c r="BE1984" s="81" t="n"/>
      <c r="BF1984" s="81" t="n"/>
      <c r="BG1984" s="81" t="n"/>
      <c r="BH1984" s="81" t="n"/>
      <c r="BI1984" s="81" t="n"/>
      <c r="BJ1984" s="81" t="n"/>
      <c r="BK1984" s="81" t="n"/>
      <c r="BL1984" s="81" t="n"/>
      <c r="BM1984" s="81" t="n"/>
      <c r="BN1984" s="81" t="n"/>
      <c r="BO1984" s="81" t="n"/>
      <c r="BP1984" s="81" t="n"/>
      <c r="BQ1984" s="81" t="n"/>
      <c r="BR1984" s="81" t="n"/>
      <c r="BS1984" s="81" t="n"/>
      <c r="BT1984" s="81" t="n"/>
      <c r="BU1984" s="81" t="n"/>
      <c r="BV1984" s="81" t="n"/>
      <c r="BW1984" s="81" t="n"/>
      <c r="BX1984" s="81" t="n"/>
      <c r="BY1984" s="81" t="n"/>
      <c r="BZ1984" s="81" t="n"/>
      <c r="CA1984" s="81" t="n"/>
      <c r="CB1984" s="81" t="n"/>
      <c r="CC1984" s="81" t="n"/>
      <c r="CD1984" s="81" t="n"/>
      <c r="CE1984" s="81" t="n"/>
      <c r="CF1984" s="81" t="n"/>
      <c r="CG1984" s="81" t="n"/>
      <c r="CH1984" s="81" t="n"/>
    </row>
    <row r="1985">
      <c r="A1985" s="81" t="n"/>
      <c r="B1985" s="81" t="n"/>
      <c r="C1985" s="81" t="n"/>
      <c r="D1985" s="81" t="n"/>
      <c r="E1985" s="81" t="n"/>
      <c r="F1985" s="81" t="n"/>
      <c r="G1985" s="81" t="n"/>
      <c r="H1985" s="81" t="n"/>
      <c r="I1985" s="81" t="n"/>
      <c r="J1985" s="81" t="n"/>
      <c r="K1985" s="81" t="n"/>
      <c r="L1985" s="81" t="n"/>
      <c r="M1985" s="81" t="n"/>
      <c r="N1985" s="81" t="n"/>
      <c r="O1985" s="81" t="n"/>
      <c r="P1985" s="81" t="n"/>
      <c r="Q1985" s="81" t="n"/>
      <c r="R1985" s="81" t="n"/>
      <c r="S1985" s="81" t="n"/>
      <c r="T1985" s="81" t="n"/>
      <c r="U1985" s="81" t="n"/>
      <c r="V1985" s="81" t="n"/>
      <c r="W1985" s="81" t="n"/>
      <c r="X1985" s="81" t="n"/>
      <c r="Y1985" s="81" t="n"/>
      <c r="Z1985" s="81" t="n"/>
      <c r="AA1985" s="81" t="n"/>
      <c r="AB1985" s="81" t="n"/>
      <c r="AC1985" s="81" t="n"/>
      <c r="AD1985" s="81" t="n"/>
      <c r="AE1985" s="81" t="n"/>
      <c r="AF1985" s="81" t="n"/>
      <c r="AG1985" s="81" t="n"/>
      <c r="AH1985" s="81" t="n"/>
      <c r="AI1985" s="81" t="n"/>
      <c r="AJ1985" s="81" t="n"/>
      <c r="AK1985" s="81" t="n"/>
      <c r="AL1985" s="81" t="n"/>
      <c r="AM1985" s="81" t="n"/>
      <c r="AN1985" s="81" t="n"/>
      <c r="AO1985" s="81" t="n"/>
      <c r="AP1985" s="81" t="n"/>
      <c r="AQ1985" s="81" t="n"/>
      <c r="AR1985" s="81" t="n"/>
      <c r="AS1985" s="81" t="n"/>
      <c r="AT1985" s="81" t="n"/>
      <c r="AU1985" s="81" t="n"/>
      <c r="AV1985" s="81" t="n"/>
      <c r="AW1985" s="81" t="n"/>
      <c r="AX1985" s="81" t="n"/>
      <c r="AY1985" s="81" t="n"/>
      <c r="AZ1985" s="81" t="n"/>
      <c r="BA1985" s="81" t="n"/>
      <c r="BB1985" s="81" t="n"/>
      <c r="BC1985" s="81" t="n"/>
      <c r="BD1985" s="81" t="n"/>
      <c r="BE1985" s="81" t="n"/>
      <c r="BF1985" s="81" t="n"/>
      <c r="BG1985" s="81" t="n"/>
      <c r="BH1985" s="81" t="n"/>
      <c r="BI1985" s="81" t="n"/>
      <c r="BJ1985" s="81" t="n"/>
      <c r="BK1985" s="81" t="n"/>
      <c r="BL1985" s="81" t="n"/>
      <c r="BM1985" s="81" t="n"/>
      <c r="BN1985" s="81" t="n"/>
      <c r="BO1985" s="81" t="n"/>
      <c r="BP1985" s="81" t="n"/>
      <c r="BQ1985" s="81" t="n"/>
      <c r="BR1985" s="81" t="n"/>
      <c r="BS1985" s="81" t="n"/>
      <c r="BT1985" s="81" t="n"/>
      <c r="BU1985" s="81" t="n"/>
      <c r="BV1985" s="81" t="n"/>
      <c r="BW1985" s="81" t="n"/>
      <c r="BX1985" s="81" t="n"/>
      <c r="BY1985" s="81" t="n"/>
      <c r="BZ1985" s="81" t="n"/>
      <c r="CA1985" s="81" t="n"/>
      <c r="CB1985" s="81" t="n"/>
      <c r="CC1985" s="81" t="n"/>
      <c r="CD1985" s="81" t="n"/>
      <c r="CE1985" s="81" t="n"/>
      <c r="CF1985" s="81" t="n"/>
      <c r="CG1985" s="81" t="n"/>
      <c r="CH1985" s="81" t="n"/>
    </row>
    <row r="1986">
      <c r="A1986" s="81" t="n"/>
      <c r="B1986" s="81" t="n"/>
      <c r="C1986" s="81" t="n"/>
      <c r="D1986" s="81" t="n"/>
      <c r="E1986" s="81" t="n"/>
      <c r="F1986" s="81" t="n"/>
      <c r="G1986" s="81" t="n"/>
      <c r="H1986" s="81" t="n"/>
      <c r="I1986" s="81" t="n"/>
      <c r="J1986" s="81" t="n"/>
      <c r="K1986" s="81" t="n"/>
      <c r="L1986" s="81" t="n"/>
      <c r="M1986" s="81" t="n"/>
      <c r="N1986" s="81" t="n"/>
      <c r="O1986" s="81" t="n"/>
      <c r="P1986" s="81" t="n"/>
      <c r="Q1986" s="81" t="n"/>
      <c r="R1986" s="81" t="n"/>
      <c r="S1986" s="81" t="n"/>
      <c r="T1986" s="81" t="n"/>
      <c r="U1986" s="81" t="n"/>
      <c r="V1986" s="81" t="n"/>
      <c r="W1986" s="81" t="n"/>
      <c r="X1986" s="81" t="n"/>
      <c r="Y1986" s="81" t="n"/>
      <c r="Z1986" s="81" t="n"/>
      <c r="AA1986" s="81" t="n"/>
      <c r="AB1986" s="81" t="n"/>
      <c r="AC1986" s="81" t="n"/>
      <c r="AD1986" s="81" t="n"/>
      <c r="AE1986" s="81" t="n"/>
      <c r="AF1986" s="81" t="n"/>
      <c r="AG1986" s="81" t="n"/>
      <c r="AH1986" s="81" t="n"/>
      <c r="AI1986" s="81" t="n"/>
      <c r="AJ1986" s="81" t="n"/>
      <c r="AK1986" s="81" t="n"/>
      <c r="AL1986" s="81" t="n"/>
      <c r="AM1986" s="81" t="n"/>
      <c r="AN1986" s="81" t="n"/>
      <c r="AO1986" s="81" t="n"/>
      <c r="AP1986" s="81" t="n"/>
      <c r="AQ1986" s="81" t="n"/>
      <c r="AR1986" s="81" t="n"/>
      <c r="AS1986" s="81" t="n"/>
      <c r="AT1986" s="81" t="n"/>
      <c r="AU1986" s="81" t="n"/>
      <c r="AV1986" s="81" t="n"/>
      <c r="AW1986" s="81" t="n"/>
      <c r="AX1986" s="81" t="n"/>
      <c r="AY1986" s="81" t="n"/>
      <c r="AZ1986" s="81" t="n"/>
      <c r="BA1986" s="81" t="n"/>
      <c r="BB1986" s="81" t="n"/>
      <c r="BC1986" s="81" t="n"/>
      <c r="BD1986" s="81" t="n"/>
      <c r="BE1986" s="81" t="n"/>
      <c r="BF1986" s="81" t="n"/>
      <c r="BG1986" s="81" t="n"/>
      <c r="BH1986" s="81" t="n"/>
      <c r="BI1986" s="81" t="n"/>
      <c r="BJ1986" s="81" t="n"/>
      <c r="BK1986" s="81" t="n"/>
      <c r="BL1986" s="81" t="n"/>
      <c r="BM1986" s="81" t="n"/>
      <c r="BN1986" s="81" t="n"/>
      <c r="BO1986" s="81" t="n"/>
      <c r="BP1986" s="81" t="n"/>
      <c r="BQ1986" s="81" t="n"/>
      <c r="BR1986" s="81" t="n"/>
      <c r="BS1986" s="81" t="n"/>
      <c r="BT1986" s="81" t="n"/>
      <c r="BU1986" s="81" t="n"/>
      <c r="BV1986" s="81" t="n"/>
      <c r="BW1986" s="81" t="n"/>
      <c r="BX1986" s="81" t="n"/>
      <c r="BY1986" s="81" t="n"/>
      <c r="BZ1986" s="81" t="n"/>
      <c r="CA1986" s="81" t="n"/>
      <c r="CB1986" s="81" t="n"/>
      <c r="CC1986" s="81" t="n"/>
      <c r="CD1986" s="81" t="n"/>
      <c r="CE1986" s="81" t="n"/>
      <c r="CF1986" s="81" t="n"/>
      <c r="CG1986" s="81" t="n"/>
      <c r="CH1986" s="81" t="n"/>
    </row>
    <row r="1987">
      <c r="A1987" s="81" t="n"/>
      <c r="B1987" s="81" t="n"/>
      <c r="C1987" s="81" t="n"/>
      <c r="D1987" s="81" t="n"/>
      <c r="E1987" s="81" t="n"/>
      <c r="F1987" s="81" t="n"/>
      <c r="G1987" s="81" t="n"/>
      <c r="H1987" s="81" t="n"/>
      <c r="I1987" s="81" t="n"/>
      <c r="J1987" s="81" t="n"/>
      <c r="K1987" s="81" t="n"/>
      <c r="L1987" s="81" t="n"/>
      <c r="M1987" s="81" t="n"/>
      <c r="N1987" s="81" t="n"/>
      <c r="O1987" s="81" t="n"/>
      <c r="P1987" s="81" t="n"/>
      <c r="Q1987" s="81" t="n"/>
      <c r="R1987" s="81" t="n"/>
      <c r="S1987" s="81" t="n"/>
      <c r="T1987" s="81" t="n"/>
      <c r="U1987" s="81" t="n"/>
      <c r="V1987" s="81" t="n"/>
      <c r="W1987" s="81" t="n"/>
      <c r="X1987" s="81" t="n"/>
      <c r="Y1987" s="81" t="n"/>
      <c r="Z1987" s="81" t="n"/>
      <c r="AA1987" s="81" t="n"/>
      <c r="AB1987" s="81" t="n"/>
      <c r="AC1987" s="81" t="n"/>
      <c r="AD1987" s="81" t="n"/>
      <c r="AE1987" s="81" t="n"/>
      <c r="AF1987" s="81" t="n"/>
      <c r="AG1987" s="81" t="n"/>
      <c r="AH1987" s="81" t="n"/>
      <c r="AI1987" s="81" t="n"/>
      <c r="AJ1987" s="81" t="n"/>
      <c r="AK1987" s="81" t="n"/>
      <c r="AL1987" s="81" t="n"/>
      <c r="AM1987" s="81" t="n"/>
      <c r="AN1987" s="81" t="n"/>
      <c r="AO1987" s="81" t="n"/>
      <c r="AP1987" s="81" t="n"/>
      <c r="AQ1987" s="81" t="n"/>
      <c r="AR1987" s="81" t="n"/>
      <c r="AS1987" s="81" t="n"/>
      <c r="AT1987" s="81" t="n"/>
      <c r="AU1987" s="81" t="n"/>
      <c r="AV1987" s="81" t="n"/>
      <c r="AW1987" s="81" t="n"/>
      <c r="AX1987" s="81" t="n"/>
      <c r="AY1987" s="81" t="n"/>
      <c r="AZ1987" s="81" t="n"/>
      <c r="BA1987" s="81" t="n"/>
      <c r="BB1987" s="81" t="n"/>
      <c r="BC1987" s="81" t="n"/>
      <c r="BD1987" s="81" t="n"/>
      <c r="BE1987" s="81" t="n"/>
      <c r="BF1987" s="81" t="n"/>
      <c r="BG1987" s="81" t="n"/>
      <c r="BH1987" s="81" t="n"/>
      <c r="BI1987" s="81" t="n"/>
      <c r="BJ1987" s="81" t="n"/>
      <c r="BK1987" s="81" t="n"/>
      <c r="BL1987" s="81" t="n"/>
      <c r="BM1987" s="81" t="n"/>
      <c r="BN1987" s="81" t="n"/>
      <c r="BO1987" s="81" t="n"/>
      <c r="BP1987" s="81" t="n"/>
      <c r="BQ1987" s="81" t="n"/>
      <c r="BR1987" s="81" t="n"/>
      <c r="BS1987" s="81" t="n"/>
      <c r="BT1987" s="81" t="n"/>
      <c r="BU1987" s="81" t="n"/>
      <c r="BV1987" s="81" t="n"/>
      <c r="BW1987" s="81" t="n"/>
      <c r="BX1987" s="81" t="n"/>
      <c r="BY1987" s="81" t="n"/>
      <c r="BZ1987" s="81" t="n"/>
      <c r="CA1987" s="81" t="n"/>
      <c r="CB1987" s="81" t="n"/>
      <c r="CC1987" s="81" t="n"/>
      <c r="CD1987" s="81" t="n"/>
      <c r="CE1987" s="81" t="n"/>
      <c r="CF1987" s="81" t="n"/>
      <c r="CG1987" s="81" t="n"/>
      <c r="CH1987" s="81" t="n"/>
    </row>
    <row r="1988">
      <c r="A1988" s="81" t="n"/>
      <c r="B1988" s="81" t="n"/>
      <c r="C1988" s="81" t="n"/>
      <c r="D1988" s="81" t="n"/>
      <c r="E1988" s="81" t="n"/>
      <c r="F1988" s="81" t="n"/>
      <c r="G1988" s="81" t="n"/>
      <c r="H1988" s="81" t="n"/>
      <c r="I1988" s="81" t="n"/>
      <c r="J1988" s="81" t="n"/>
      <c r="K1988" s="81" t="n"/>
      <c r="L1988" s="81" t="n"/>
      <c r="M1988" s="81" t="n"/>
      <c r="N1988" s="81" t="n"/>
      <c r="O1988" s="81" t="n"/>
      <c r="P1988" s="81" t="n"/>
      <c r="Q1988" s="81" t="n"/>
      <c r="R1988" s="81" t="n"/>
      <c r="S1988" s="81" t="n"/>
      <c r="T1988" s="81" t="n"/>
      <c r="U1988" s="81" t="n"/>
      <c r="V1988" s="81" t="n"/>
      <c r="W1988" s="81" t="n"/>
      <c r="X1988" s="81" t="n"/>
      <c r="Y1988" s="81" t="n"/>
      <c r="Z1988" s="81" t="n"/>
      <c r="AA1988" s="81" t="n"/>
      <c r="AB1988" s="81" t="n"/>
      <c r="AC1988" s="81" t="n"/>
      <c r="AD1988" s="81" t="n"/>
      <c r="AE1988" s="81" t="n"/>
      <c r="AF1988" s="81" t="n"/>
      <c r="AG1988" s="81" t="n"/>
      <c r="AH1988" s="81" t="n"/>
      <c r="AI1988" s="81" t="n"/>
      <c r="AJ1988" s="81" t="n"/>
      <c r="AK1988" s="81" t="n"/>
      <c r="AL1988" s="81" t="n"/>
      <c r="AM1988" s="81" t="n"/>
      <c r="AN1988" s="81" t="n"/>
      <c r="AO1988" s="81" t="n"/>
      <c r="AP1988" s="81" t="n"/>
      <c r="AQ1988" s="81" t="n"/>
      <c r="AR1988" s="81" t="n"/>
      <c r="AS1988" s="81" t="n"/>
      <c r="AT1988" s="81" t="n"/>
      <c r="AU1988" s="81" t="n"/>
      <c r="AV1988" s="81" t="n"/>
      <c r="AW1988" s="81" t="n"/>
      <c r="AX1988" s="81" t="n"/>
      <c r="AY1988" s="81" t="n"/>
      <c r="AZ1988" s="81" t="n"/>
      <c r="BA1988" s="81" t="n"/>
      <c r="BB1988" s="81" t="n"/>
      <c r="BC1988" s="81" t="n"/>
      <c r="BD1988" s="81" t="n"/>
      <c r="BE1988" s="81" t="n"/>
      <c r="BF1988" s="81" t="n"/>
      <c r="BG1988" s="81" t="n"/>
      <c r="BH1988" s="81" t="n"/>
      <c r="BI1988" s="81" t="n"/>
      <c r="BJ1988" s="81" t="n"/>
      <c r="BK1988" s="81" t="n"/>
      <c r="BL1988" s="81" t="n"/>
      <c r="BM1988" s="81" t="n"/>
      <c r="BN1988" s="81" t="n"/>
      <c r="BO1988" s="81" t="n"/>
      <c r="BP1988" s="81" t="n"/>
      <c r="BQ1988" s="81" t="n"/>
      <c r="BR1988" s="81" t="n"/>
      <c r="BS1988" s="81" t="n"/>
      <c r="BT1988" s="81" t="n"/>
      <c r="BU1988" s="81" t="n"/>
      <c r="BV1988" s="81" t="n"/>
      <c r="BW1988" s="81" t="n"/>
      <c r="BX1988" s="81" t="n"/>
      <c r="BY1988" s="81" t="n"/>
      <c r="BZ1988" s="81" t="n"/>
      <c r="CA1988" s="81" t="n"/>
      <c r="CB1988" s="81" t="n"/>
      <c r="CC1988" s="81" t="n"/>
      <c r="CD1988" s="81" t="n"/>
      <c r="CE1988" s="81" t="n"/>
      <c r="CF1988" s="81" t="n"/>
      <c r="CG1988" s="81" t="n"/>
      <c r="CH1988" s="81" t="n"/>
    </row>
    <row r="1989">
      <c r="A1989" s="81" t="n"/>
      <c r="B1989" s="81" t="n"/>
      <c r="C1989" s="81" t="n"/>
      <c r="D1989" s="81" t="n"/>
      <c r="E1989" s="81" t="n"/>
      <c r="F1989" s="81" t="n"/>
      <c r="G1989" s="81" t="n"/>
      <c r="H1989" s="81" t="n"/>
      <c r="I1989" s="81" t="n"/>
      <c r="J1989" s="81" t="n"/>
      <c r="K1989" s="81" t="n"/>
      <c r="L1989" s="81" t="n"/>
      <c r="M1989" s="81" t="n"/>
      <c r="N1989" s="81" t="n"/>
      <c r="O1989" s="81" t="n"/>
      <c r="P1989" s="81" t="n"/>
      <c r="Q1989" s="81" t="n"/>
      <c r="R1989" s="81" t="n"/>
      <c r="S1989" s="81" t="n"/>
      <c r="T1989" s="81" t="n"/>
      <c r="U1989" s="81" t="n"/>
      <c r="V1989" s="81" t="n"/>
      <c r="W1989" s="81" t="n"/>
      <c r="X1989" s="81" t="n"/>
      <c r="Y1989" s="81" t="n"/>
      <c r="Z1989" s="81" t="n"/>
      <c r="AA1989" s="81" t="n"/>
      <c r="AB1989" s="81" t="n"/>
      <c r="AC1989" s="81" t="n"/>
      <c r="AD1989" s="81" t="n"/>
      <c r="AE1989" s="81" t="n"/>
      <c r="AF1989" s="81" t="n"/>
      <c r="AG1989" s="81" t="n"/>
      <c r="AH1989" s="81" t="n"/>
      <c r="AI1989" s="81" t="n"/>
      <c r="AJ1989" s="81" t="n"/>
      <c r="AK1989" s="81" t="n"/>
      <c r="AL1989" s="81" t="n"/>
      <c r="AM1989" s="81" t="n"/>
      <c r="AN1989" s="81" t="n"/>
      <c r="AO1989" s="81" t="n"/>
      <c r="AP1989" s="81" t="n"/>
      <c r="AQ1989" s="81" t="n"/>
      <c r="AR1989" s="81" t="n"/>
      <c r="AS1989" s="81" t="n"/>
      <c r="AT1989" s="81" t="n"/>
      <c r="AU1989" s="81" t="n"/>
      <c r="AV1989" s="81" t="n"/>
      <c r="AW1989" s="81" t="n"/>
      <c r="AX1989" s="81" t="n"/>
      <c r="AY1989" s="81" t="n"/>
      <c r="AZ1989" s="81" t="n"/>
      <c r="BA1989" s="81" t="n"/>
      <c r="BB1989" s="81" t="n"/>
      <c r="BC1989" s="81" t="n"/>
      <c r="BD1989" s="81" t="n"/>
      <c r="BE1989" s="81" t="n"/>
      <c r="BF1989" s="81" t="n"/>
      <c r="BG1989" s="81" t="n"/>
      <c r="BH1989" s="81" t="n"/>
      <c r="BI1989" s="81" t="n"/>
      <c r="BJ1989" s="81" t="n"/>
      <c r="BK1989" s="81" t="n"/>
      <c r="BL1989" s="81" t="n"/>
      <c r="BM1989" s="81" t="n"/>
      <c r="BN1989" s="81" t="n"/>
      <c r="BO1989" s="81" t="n"/>
      <c r="BP1989" s="81" t="n"/>
      <c r="BQ1989" s="81" t="n"/>
      <c r="BR1989" s="81" t="n"/>
      <c r="BS1989" s="81" t="n"/>
      <c r="BT1989" s="81" t="n"/>
      <c r="BU1989" s="81" t="n"/>
      <c r="BV1989" s="81" t="n"/>
      <c r="BW1989" s="81" t="n"/>
      <c r="BX1989" s="81" t="n"/>
      <c r="BY1989" s="81" t="n"/>
      <c r="BZ1989" s="81" t="n"/>
      <c r="CA1989" s="81" t="n"/>
      <c r="CB1989" s="81" t="n"/>
      <c r="CC1989" s="81" t="n"/>
      <c r="CD1989" s="81" t="n"/>
      <c r="CE1989" s="81" t="n"/>
      <c r="CF1989" s="81" t="n"/>
      <c r="CG1989" s="81" t="n"/>
      <c r="CH1989" s="81" t="n"/>
    </row>
    <row r="1990">
      <c r="A1990" s="81" t="n"/>
      <c r="B1990" s="81" t="n"/>
      <c r="C1990" s="81" t="n"/>
      <c r="D1990" s="81" t="n"/>
      <c r="E1990" s="81" t="n"/>
      <c r="F1990" s="81" t="n"/>
      <c r="G1990" s="81" t="n"/>
      <c r="H1990" s="81" t="n"/>
      <c r="I1990" s="81" t="n"/>
      <c r="J1990" s="81" t="n"/>
      <c r="K1990" s="81" t="n"/>
      <c r="L1990" s="81" t="n"/>
      <c r="M1990" s="81" t="n"/>
      <c r="N1990" s="81" t="n"/>
      <c r="O1990" s="81" t="n"/>
      <c r="P1990" s="81" t="n"/>
      <c r="Q1990" s="81" t="n"/>
      <c r="R1990" s="81" t="n"/>
      <c r="S1990" s="81" t="n"/>
      <c r="T1990" s="81" t="n"/>
      <c r="U1990" s="81" t="n"/>
      <c r="V1990" s="81" t="n"/>
      <c r="W1990" s="81" t="n"/>
      <c r="X1990" s="81" t="n"/>
      <c r="Y1990" s="81" t="n"/>
      <c r="Z1990" s="81" t="n"/>
      <c r="AA1990" s="81" t="n"/>
      <c r="AB1990" s="81" t="n"/>
      <c r="AC1990" s="81" t="n"/>
      <c r="AD1990" s="81" t="n"/>
      <c r="AE1990" s="81" t="n"/>
      <c r="AF1990" s="81" t="n"/>
      <c r="AG1990" s="81" t="n"/>
      <c r="AH1990" s="81" t="n"/>
      <c r="AI1990" s="81" t="n"/>
      <c r="AJ1990" s="81" t="n"/>
      <c r="AK1990" s="81" t="n"/>
      <c r="AL1990" s="81" t="n"/>
      <c r="AM1990" s="81" t="n"/>
      <c r="AN1990" s="81" t="n"/>
      <c r="AO1990" s="81" t="n"/>
      <c r="AP1990" s="81" t="n"/>
      <c r="AQ1990" s="81" t="n"/>
      <c r="AR1990" s="81" t="n"/>
      <c r="AS1990" s="81" t="n"/>
      <c r="AT1990" s="81" t="n"/>
      <c r="AU1990" s="81" t="n"/>
      <c r="AV1990" s="81" t="n"/>
      <c r="AW1990" s="81" t="n"/>
      <c r="AX1990" s="81" t="n"/>
      <c r="AY1990" s="81" t="n"/>
      <c r="AZ1990" s="81" t="n"/>
      <c r="BA1990" s="81" t="n"/>
      <c r="BB1990" s="81" t="n"/>
      <c r="BC1990" s="81" t="n"/>
      <c r="BD1990" s="81" t="n"/>
      <c r="BE1990" s="81" t="n"/>
      <c r="BF1990" s="81" t="n"/>
      <c r="BG1990" s="81" t="n"/>
      <c r="BH1990" s="81" t="n"/>
      <c r="BI1990" s="81" t="n"/>
      <c r="BJ1990" s="81" t="n"/>
      <c r="BK1990" s="81" t="n"/>
      <c r="BL1990" s="81" t="n"/>
      <c r="BM1990" s="81" t="n"/>
      <c r="BN1990" s="81" t="n"/>
      <c r="BO1990" s="81" t="n"/>
      <c r="BP1990" s="81" t="n"/>
      <c r="BQ1990" s="81" t="n"/>
      <c r="BR1990" s="81" t="n"/>
      <c r="BS1990" s="81" t="n"/>
      <c r="BT1990" s="81" t="n"/>
      <c r="BU1990" s="81" t="n"/>
      <c r="BV1990" s="81" t="n"/>
      <c r="BW1990" s="81" t="n"/>
      <c r="BX1990" s="81" t="n"/>
      <c r="BY1990" s="81" t="n"/>
      <c r="BZ1990" s="81" t="n"/>
      <c r="CA1990" s="81" t="n"/>
      <c r="CB1990" s="81" t="n"/>
      <c r="CC1990" s="81" t="n"/>
      <c r="CD1990" s="81" t="n"/>
      <c r="CE1990" s="81" t="n"/>
      <c r="CF1990" s="81" t="n"/>
      <c r="CG1990" s="81" t="n"/>
      <c r="CH1990" s="81" t="n"/>
    </row>
    <row r="1991">
      <c r="A1991" s="81" t="n"/>
      <c r="B1991" s="81" t="n"/>
      <c r="C1991" s="81" t="n"/>
      <c r="D1991" s="81" t="n"/>
      <c r="E1991" s="81" t="n"/>
      <c r="F1991" s="81" t="n"/>
      <c r="G1991" s="81" t="n"/>
      <c r="H1991" s="81" t="n"/>
      <c r="I1991" s="81" t="n"/>
      <c r="J1991" s="81" t="n"/>
      <c r="K1991" s="81" t="n"/>
      <c r="L1991" s="81" t="n"/>
      <c r="M1991" s="81" t="n"/>
      <c r="N1991" s="81" t="n"/>
      <c r="O1991" s="81" t="n"/>
      <c r="P1991" s="81" t="n"/>
      <c r="Q1991" s="81" t="n"/>
      <c r="R1991" s="81" t="n"/>
      <c r="S1991" s="81" t="n"/>
      <c r="T1991" s="81" t="n"/>
      <c r="U1991" s="81" t="n"/>
      <c r="V1991" s="81" t="n"/>
      <c r="W1991" s="81" t="n"/>
      <c r="X1991" s="81" t="n"/>
      <c r="Y1991" s="81" t="n"/>
      <c r="Z1991" s="81" t="n"/>
      <c r="AA1991" s="81" t="n"/>
      <c r="AB1991" s="81" t="n"/>
      <c r="AC1991" s="81" t="n"/>
      <c r="AD1991" s="81" t="n"/>
      <c r="AE1991" s="81" t="n"/>
      <c r="AF1991" s="81" t="n"/>
      <c r="AG1991" s="81" t="n"/>
      <c r="AH1991" s="81" t="n"/>
      <c r="AI1991" s="81" t="n"/>
      <c r="AJ1991" s="81" t="n"/>
      <c r="AK1991" s="81" t="n"/>
      <c r="AL1991" s="81" t="n"/>
      <c r="AM1991" s="81" t="n"/>
      <c r="AN1991" s="81" t="n"/>
      <c r="AO1991" s="81" t="n"/>
      <c r="AP1991" s="81" t="n"/>
      <c r="AQ1991" s="81" t="n"/>
      <c r="AR1991" s="81" t="n"/>
      <c r="AS1991" s="81" t="n"/>
      <c r="AT1991" s="81" t="n"/>
      <c r="AU1991" s="81" t="n"/>
      <c r="AV1991" s="81" t="n"/>
      <c r="AW1991" s="81" t="n"/>
      <c r="AX1991" s="81" t="n"/>
      <c r="AY1991" s="81" t="n"/>
      <c r="AZ1991" s="81" t="n"/>
      <c r="BA1991" s="81" t="n"/>
      <c r="BB1991" s="81" t="n"/>
      <c r="BC1991" s="81" t="n"/>
      <c r="BD1991" s="81" t="n"/>
      <c r="BE1991" s="81" t="n"/>
      <c r="BF1991" s="81" t="n"/>
      <c r="BG1991" s="81" t="n"/>
      <c r="BH1991" s="81" t="n"/>
      <c r="BI1991" s="81" t="n"/>
      <c r="BJ1991" s="81" t="n"/>
      <c r="BK1991" s="81" t="n"/>
      <c r="BL1991" s="81" t="n"/>
      <c r="BM1991" s="81" t="n"/>
      <c r="BN1991" s="81" t="n"/>
      <c r="BO1991" s="81" t="n"/>
      <c r="BP1991" s="81" t="n"/>
      <c r="BQ1991" s="81" t="n"/>
      <c r="BR1991" s="81" t="n"/>
      <c r="BS1991" s="81" t="n"/>
      <c r="BT1991" s="81" t="n"/>
      <c r="BU1991" s="81" t="n"/>
      <c r="BV1991" s="81" t="n"/>
      <c r="BW1991" s="81" t="n"/>
      <c r="BX1991" s="81" t="n"/>
      <c r="BY1991" s="81" t="n"/>
      <c r="BZ1991" s="81" t="n"/>
      <c r="CA1991" s="81" t="n"/>
      <c r="CB1991" s="81" t="n"/>
      <c r="CC1991" s="81" t="n"/>
      <c r="CD1991" s="81" t="n"/>
      <c r="CE1991" s="81" t="n"/>
      <c r="CF1991" s="81" t="n"/>
      <c r="CG1991" s="81" t="n"/>
      <c r="CH1991" s="81" t="n"/>
    </row>
    <row r="1992">
      <c r="A1992" s="81" t="n"/>
      <c r="B1992" s="81" t="n"/>
      <c r="C1992" s="81" t="n"/>
      <c r="D1992" s="81" t="n"/>
      <c r="E1992" s="81" t="n"/>
      <c r="F1992" s="81" t="n"/>
      <c r="G1992" s="81" t="n"/>
      <c r="H1992" s="81" t="n"/>
      <c r="I1992" s="81" t="n"/>
      <c r="J1992" s="81" t="n"/>
      <c r="K1992" s="81" t="n"/>
      <c r="L1992" s="81" t="n"/>
      <c r="M1992" s="81" t="n"/>
      <c r="N1992" s="81" t="n"/>
      <c r="O1992" s="81" t="n"/>
      <c r="P1992" s="81" t="n"/>
      <c r="Q1992" s="81" t="n"/>
      <c r="R1992" s="81" t="n"/>
      <c r="S1992" s="81" t="n"/>
      <c r="T1992" s="81" t="n"/>
      <c r="U1992" s="81" t="n"/>
      <c r="V1992" s="81" t="n"/>
      <c r="W1992" s="81" t="n"/>
      <c r="X1992" s="81" t="n"/>
      <c r="Y1992" s="81" t="n"/>
      <c r="Z1992" s="81" t="n"/>
      <c r="AA1992" s="81" t="n"/>
      <c r="AB1992" s="81" t="n"/>
      <c r="AC1992" s="81" t="n"/>
      <c r="AD1992" s="81" t="n"/>
      <c r="AE1992" s="81" t="n"/>
      <c r="AF1992" s="81" t="n"/>
      <c r="AG1992" s="81" t="n"/>
      <c r="AH1992" s="81" t="n"/>
      <c r="AI1992" s="81" t="n"/>
      <c r="AJ1992" s="81" t="n"/>
      <c r="AK1992" s="81" t="n"/>
      <c r="AL1992" s="81" t="n"/>
      <c r="AM1992" s="81" t="n"/>
      <c r="AN1992" s="81" t="n"/>
      <c r="AO1992" s="81" t="n"/>
      <c r="AP1992" s="81" t="n"/>
      <c r="AQ1992" s="81" t="n"/>
      <c r="AR1992" s="81" t="n"/>
      <c r="AS1992" s="81" t="n"/>
      <c r="AT1992" s="81" t="n"/>
      <c r="AU1992" s="81" t="n"/>
      <c r="AV1992" s="81" t="n"/>
      <c r="AW1992" s="81" t="n"/>
      <c r="AX1992" s="81" t="n"/>
      <c r="AY1992" s="81" t="n"/>
      <c r="AZ1992" s="81" t="n"/>
      <c r="BA1992" s="81" t="n"/>
      <c r="BB1992" s="81" t="n"/>
      <c r="BC1992" s="81" t="n"/>
      <c r="BD1992" s="81" t="n"/>
      <c r="BE1992" s="81" t="n"/>
      <c r="BF1992" s="81" t="n"/>
      <c r="BG1992" s="81" t="n"/>
      <c r="BH1992" s="81" t="n"/>
      <c r="BI1992" s="81" t="n"/>
      <c r="BJ1992" s="81" t="n"/>
      <c r="BK1992" s="81" t="n"/>
      <c r="BL1992" s="81" t="n"/>
      <c r="BM1992" s="81" t="n"/>
      <c r="BN1992" s="81" t="n"/>
      <c r="BO1992" s="81" t="n"/>
      <c r="BP1992" s="81" t="n"/>
      <c r="BQ1992" s="81" t="n"/>
      <c r="BR1992" s="81" t="n"/>
      <c r="BS1992" s="81" t="n"/>
      <c r="BT1992" s="81" t="n"/>
      <c r="BU1992" s="81" t="n"/>
      <c r="BV1992" s="81" t="n"/>
      <c r="BW1992" s="81" t="n"/>
      <c r="BX1992" s="81" t="n"/>
      <c r="BY1992" s="81" t="n"/>
      <c r="BZ1992" s="81" t="n"/>
      <c r="CA1992" s="81" t="n"/>
      <c r="CB1992" s="81" t="n"/>
      <c r="CC1992" s="81" t="n"/>
      <c r="CD1992" s="81" t="n"/>
      <c r="CE1992" s="81" t="n"/>
      <c r="CF1992" s="81" t="n"/>
      <c r="CG1992" s="81" t="n"/>
      <c r="CH1992" s="81" t="n"/>
    </row>
    <row r="1993">
      <c r="A1993" s="81" t="n"/>
      <c r="B1993" s="81" t="n"/>
      <c r="C1993" s="81" t="n"/>
      <c r="D1993" s="81" t="n"/>
      <c r="E1993" s="81" t="n"/>
      <c r="F1993" s="81" t="n"/>
      <c r="G1993" s="81" t="n"/>
      <c r="H1993" s="81" t="n"/>
      <c r="I1993" s="81" t="n"/>
      <c r="J1993" s="81" t="n"/>
      <c r="K1993" s="81" t="n"/>
      <c r="L1993" s="81" t="n"/>
      <c r="M1993" s="81" t="n"/>
      <c r="N1993" s="81" t="n"/>
      <c r="O1993" s="81" t="n"/>
      <c r="P1993" s="81" t="n"/>
      <c r="Q1993" s="81" t="n"/>
      <c r="R1993" s="81" t="n"/>
      <c r="S1993" s="81" t="n"/>
      <c r="T1993" s="81" t="n"/>
      <c r="U1993" s="81" t="n"/>
      <c r="V1993" s="81" t="n"/>
      <c r="W1993" s="81" t="n"/>
      <c r="X1993" s="81" t="n"/>
      <c r="Y1993" s="81" t="n"/>
      <c r="Z1993" s="81" t="n"/>
      <c r="AA1993" s="81" t="n"/>
      <c r="AB1993" s="81" t="n"/>
      <c r="AC1993" s="81" t="n"/>
      <c r="AD1993" s="81" t="n"/>
      <c r="AE1993" s="81" t="n"/>
      <c r="AF1993" s="81" t="n"/>
      <c r="AG1993" s="81" t="n"/>
      <c r="AH1993" s="81" t="n"/>
      <c r="AI1993" s="81" t="n"/>
      <c r="AJ1993" s="81" t="n"/>
      <c r="AK1993" s="81" t="n"/>
      <c r="AL1993" s="81" t="n"/>
      <c r="AM1993" s="81" t="n"/>
      <c r="AN1993" s="81" t="n"/>
      <c r="AO1993" s="81" t="n"/>
      <c r="AP1993" s="81" t="n"/>
      <c r="AQ1993" s="81" t="n"/>
      <c r="AR1993" s="81" t="n"/>
      <c r="AS1993" s="81" t="n"/>
      <c r="AT1993" s="81" t="n"/>
      <c r="AU1993" s="81" t="n"/>
      <c r="AV1993" s="81" t="n"/>
      <c r="AW1993" s="81" t="n"/>
      <c r="AX1993" s="81" t="n"/>
      <c r="AY1993" s="81" t="n"/>
      <c r="AZ1993" s="81" t="n"/>
      <c r="BA1993" s="81" t="n"/>
      <c r="BB1993" s="81" t="n"/>
      <c r="BC1993" s="81" t="n"/>
      <c r="BD1993" s="81" t="n"/>
      <c r="BE1993" s="81" t="n"/>
      <c r="BF1993" s="81" t="n"/>
      <c r="BG1993" s="81" t="n"/>
      <c r="BH1993" s="81" t="n"/>
      <c r="BI1993" s="81" t="n"/>
      <c r="BJ1993" s="81" t="n"/>
      <c r="BK1993" s="81" t="n"/>
      <c r="BL1993" s="81" t="n"/>
      <c r="BM1993" s="81" t="n"/>
      <c r="BN1993" s="81" t="n"/>
      <c r="BO1993" s="81" t="n"/>
      <c r="BP1993" s="81" t="n"/>
      <c r="BQ1993" s="81" t="n"/>
      <c r="BR1993" s="81" t="n"/>
      <c r="BS1993" s="81" t="n"/>
      <c r="BT1993" s="81" t="n"/>
      <c r="BU1993" s="81" t="n"/>
      <c r="BV1993" s="81" t="n"/>
      <c r="BW1993" s="81" t="n"/>
      <c r="BX1993" s="81" t="n"/>
      <c r="BY1993" s="81" t="n"/>
      <c r="BZ1993" s="81" t="n"/>
      <c r="CA1993" s="81" t="n"/>
      <c r="CB1993" s="81" t="n"/>
      <c r="CC1993" s="81" t="n"/>
      <c r="CD1993" s="81" t="n"/>
      <c r="CE1993" s="81" t="n"/>
      <c r="CF1993" s="81" t="n"/>
      <c r="CG1993" s="81" t="n"/>
      <c r="CH1993" s="81" t="n"/>
    </row>
    <row r="1994">
      <c r="A1994" s="81" t="n"/>
      <c r="B1994" s="81" t="n"/>
      <c r="C1994" s="81" t="n"/>
      <c r="D1994" s="81" t="n"/>
      <c r="E1994" s="81" t="n"/>
      <c r="F1994" s="81" t="n"/>
      <c r="G1994" s="81" t="n"/>
      <c r="H1994" s="81" t="n"/>
      <c r="I1994" s="81" t="n"/>
      <c r="J1994" s="81" t="n"/>
      <c r="K1994" s="81" t="n"/>
      <c r="L1994" s="81" t="n"/>
      <c r="M1994" s="81" t="n"/>
      <c r="N1994" s="81" t="n"/>
      <c r="O1994" s="81" t="n"/>
      <c r="P1994" s="81" t="n"/>
      <c r="Q1994" s="81" t="n"/>
      <c r="R1994" s="81" t="n"/>
      <c r="S1994" s="81" t="n"/>
      <c r="T1994" s="81" t="n"/>
      <c r="U1994" s="81" t="n"/>
      <c r="V1994" s="81" t="n"/>
      <c r="W1994" s="81" t="n"/>
      <c r="X1994" s="81" t="n"/>
      <c r="Y1994" s="81" t="n"/>
      <c r="Z1994" s="81" t="n"/>
      <c r="AA1994" s="81" t="n"/>
      <c r="AB1994" s="81" t="n"/>
      <c r="AC1994" s="81" t="n"/>
      <c r="AD1994" s="81" t="n"/>
      <c r="AE1994" s="81" t="n"/>
      <c r="AF1994" s="81" t="n"/>
      <c r="AG1994" s="81" t="n"/>
      <c r="AH1994" s="81" t="n"/>
      <c r="AI1994" s="81" t="n"/>
      <c r="AJ1994" s="81" t="n"/>
      <c r="AK1994" s="81" t="n"/>
      <c r="AL1994" s="81" t="n"/>
      <c r="AM1994" s="81" t="n"/>
      <c r="AN1994" s="81" t="n"/>
      <c r="AO1994" s="81" t="n"/>
      <c r="AP1994" s="81" t="n"/>
      <c r="AQ1994" s="81" t="n"/>
      <c r="AR1994" s="81" t="n"/>
      <c r="AS1994" s="81" t="n"/>
      <c r="AT1994" s="81" t="n"/>
      <c r="AU1994" s="81" t="n"/>
      <c r="AV1994" s="81" t="n"/>
      <c r="AW1994" s="81" t="n"/>
      <c r="AX1994" s="81" t="n"/>
      <c r="AY1994" s="81" t="n"/>
      <c r="AZ1994" s="81" t="n"/>
      <c r="BA1994" s="81" t="n"/>
      <c r="BB1994" s="81" t="n"/>
      <c r="BC1994" s="81" t="n"/>
      <c r="BD1994" s="81" t="n"/>
      <c r="BE1994" s="81" t="n"/>
      <c r="BF1994" s="81" t="n"/>
      <c r="BG1994" s="81" t="n"/>
      <c r="BH1994" s="81" t="n"/>
      <c r="BI1994" s="81" t="n"/>
      <c r="BJ1994" s="81" t="n"/>
      <c r="BK1994" s="81" t="n"/>
      <c r="BL1994" s="81" t="n"/>
      <c r="BM1994" s="81" t="n"/>
      <c r="BN1994" s="81" t="n"/>
      <c r="BO1994" s="81" t="n"/>
      <c r="BP1994" s="81" t="n"/>
      <c r="BQ1994" s="81" t="n"/>
      <c r="BR1994" s="81" t="n"/>
      <c r="BS1994" s="81" t="n"/>
      <c r="BT1994" s="81" t="n"/>
      <c r="BU1994" s="81" t="n"/>
      <c r="BV1994" s="81" t="n"/>
      <c r="BW1994" s="81" t="n"/>
      <c r="BX1994" s="81" t="n"/>
      <c r="BY1994" s="81" t="n"/>
      <c r="BZ1994" s="81" t="n"/>
      <c r="CA1994" s="81" t="n"/>
      <c r="CB1994" s="81" t="n"/>
      <c r="CC1994" s="81" t="n"/>
      <c r="CD1994" s="81" t="n"/>
      <c r="CE1994" s="81" t="n"/>
      <c r="CF1994" s="81" t="n"/>
      <c r="CG1994" s="81" t="n"/>
      <c r="CH1994" s="81" t="n"/>
    </row>
    <row r="1995">
      <c r="A1995" s="81" t="n"/>
      <c r="B1995" s="81" t="n"/>
      <c r="C1995" s="81" t="n"/>
      <c r="D1995" s="81" t="n"/>
      <c r="E1995" s="81" t="n"/>
      <c r="F1995" s="81" t="n"/>
      <c r="G1995" s="81" t="n"/>
      <c r="H1995" s="81" t="n"/>
      <c r="I1995" s="81" t="n"/>
      <c r="J1995" s="81" t="n"/>
      <c r="K1995" s="81" t="n"/>
      <c r="L1995" s="81" t="n"/>
      <c r="M1995" s="81" t="n"/>
      <c r="N1995" s="81" t="n"/>
      <c r="O1995" s="81" t="n"/>
      <c r="P1995" s="81" t="n"/>
      <c r="Q1995" s="81" t="n"/>
      <c r="R1995" s="81" t="n"/>
      <c r="S1995" s="81" t="n"/>
      <c r="T1995" s="81" t="n"/>
      <c r="U1995" s="81" t="n"/>
      <c r="V1995" s="81" t="n"/>
      <c r="W1995" s="81" t="n"/>
      <c r="X1995" s="81" t="n"/>
      <c r="Y1995" s="81" t="n"/>
      <c r="Z1995" s="81" t="n"/>
      <c r="AA1995" s="81" t="n"/>
      <c r="AB1995" s="81" t="n"/>
      <c r="AC1995" s="81" t="n"/>
      <c r="AD1995" s="81" t="n"/>
      <c r="AE1995" s="81" t="n"/>
      <c r="AF1995" s="81" t="n"/>
      <c r="AG1995" s="81" t="n"/>
      <c r="AH1995" s="81" t="n"/>
      <c r="AI1995" s="81" t="n"/>
      <c r="AJ1995" s="81" t="n"/>
      <c r="AK1995" s="81" t="n"/>
      <c r="AL1995" s="81" t="n"/>
      <c r="AM1995" s="81" t="n"/>
      <c r="AN1995" s="81" t="n"/>
      <c r="AO1995" s="81" t="n"/>
      <c r="AP1995" s="81" t="n"/>
      <c r="AQ1995" s="81" t="n"/>
      <c r="AR1995" s="81" t="n"/>
      <c r="AS1995" s="81" t="n"/>
      <c r="AT1995" s="81" t="n"/>
      <c r="AU1995" s="81" t="n"/>
      <c r="AV1995" s="81" t="n"/>
      <c r="AW1995" s="81" t="n"/>
      <c r="AX1995" s="81" t="n"/>
      <c r="AY1995" s="81" t="n"/>
      <c r="AZ1995" s="81" t="n"/>
      <c r="BA1995" s="81" t="n"/>
      <c r="BB1995" s="81" t="n"/>
      <c r="BC1995" s="81" t="n"/>
      <c r="BD1995" s="81" t="n"/>
      <c r="BE1995" s="81" t="n"/>
      <c r="BF1995" s="81" t="n"/>
      <c r="BG1995" s="81" t="n"/>
      <c r="BH1995" s="81" t="n"/>
      <c r="BI1995" s="81" t="n"/>
      <c r="BJ1995" s="81" t="n"/>
      <c r="BK1995" s="81" t="n"/>
      <c r="BL1995" s="81" t="n"/>
      <c r="BM1995" s="81" t="n"/>
      <c r="BN1995" s="81" t="n"/>
      <c r="BO1995" s="81" t="n"/>
      <c r="BP1995" s="81" t="n"/>
      <c r="BQ1995" s="81" t="n"/>
      <c r="BR1995" s="81" t="n"/>
      <c r="BS1995" s="81" t="n"/>
      <c r="BT1995" s="81" t="n"/>
      <c r="BU1995" s="81" t="n"/>
      <c r="BV1995" s="81" t="n"/>
      <c r="BW1995" s="81" t="n"/>
      <c r="BX1995" s="81" t="n"/>
      <c r="BY1995" s="81" t="n"/>
      <c r="BZ1995" s="81" t="n"/>
      <c r="CA1995" s="81" t="n"/>
      <c r="CB1995" s="81" t="n"/>
      <c r="CC1995" s="81" t="n"/>
      <c r="CD1995" s="81" t="n"/>
      <c r="CE1995" s="81" t="n"/>
      <c r="CF1995" s="81" t="n"/>
      <c r="CG1995" s="81" t="n"/>
      <c r="CH1995" s="81" t="n"/>
    </row>
    <row r="1996">
      <c r="A1996" s="81" t="n"/>
      <c r="B1996" s="81" t="n"/>
      <c r="C1996" s="81" t="n"/>
      <c r="D1996" s="81" t="n"/>
      <c r="E1996" s="81" t="n"/>
      <c r="F1996" s="81" t="n"/>
      <c r="G1996" s="81" t="n"/>
      <c r="H1996" s="81" t="n"/>
      <c r="I1996" s="81" t="n"/>
      <c r="J1996" s="81" t="n"/>
      <c r="K1996" s="81" t="n"/>
      <c r="L1996" s="81" t="n"/>
      <c r="M1996" s="81" t="n"/>
      <c r="N1996" s="81" t="n"/>
      <c r="O1996" s="81" t="n"/>
      <c r="P1996" s="81" t="n"/>
      <c r="Q1996" s="81" t="n"/>
      <c r="R1996" s="81" t="n"/>
      <c r="S1996" s="81" t="n"/>
      <c r="T1996" s="81" t="n"/>
      <c r="U1996" s="81" t="n"/>
      <c r="V1996" s="81" t="n"/>
      <c r="W1996" s="81" t="n"/>
      <c r="X1996" s="81" t="n"/>
      <c r="Y1996" s="81" t="n"/>
      <c r="Z1996" s="81" t="n"/>
      <c r="AA1996" s="81" t="n"/>
      <c r="AB1996" s="81" t="n"/>
      <c r="AC1996" s="81" t="n"/>
      <c r="AD1996" s="81" t="n"/>
      <c r="AE1996" s="81" t="n"/>
      <c r="AF1996" s="81" t="n"/>
      <c r="AG1996" s="81" t="n"/>
      <c r="AH1996" s="81" t="n"/>
      <c r="AI1996" s="81" t="n"/>
      <c r="AJ1996" s="81" t="n"/>
      <c r="AK1996" s="81" t="n"/>
      <c r="AL1996" s="81" t="n"/>
      <c r="AM1996" s="81" t="n"/>
      <c r="AN1996" s="81" t="n"/>
      <c r="AO1996" s="81" t="n"/>
      <c r="AP1996" s="81" t="n"/>
      <c r="AQ1996" s="81" t="n"/>
      <c r="AR1996" s="81" t="n"/>
      <c r="AS1996" s="81" t="n"/>
      <c r="AT1996" s="81" t="n"/>
      <c r="AU1996" s="81" t="n"/>
      <c r="AV1996" s="81" t="n"/>
      <c r="AW1996" s="81" t="n"/>
      <c r="AX1996" s="81" t="n"/>
      <c r="AY1996" s="81" t="n"/>
      <c r="AZ1996" s="81" t="n"/>
      <c r="BA1996" s="81" t="n"/>
      <c r="BB1996" s="81" t="n"/>
      <c r="BC1996" s="81" t="n"/>
      <c r="BD1996" s="81" t="n"/>
      <c r="BE1996" s="81" t="n"/>
      <c r="BF1996" s="81" t="n"/>
      <c r="BG1996" s="81" t="n"/>
      <c r="BH1996" s="81" t="n"/>
      <c r="BI1996" s="81" t="n"/>
      <c r="BJ1996" s="81" t="n"/>
      <c r="BK1996" s="81" t="n"/>
      <c r="BL1996" s="81" t="n"/>
      <c r="BM1996" s="81" t="n"/>
      <c r="BN1996" s="81" t="n"/>
      <c r="BO1996" s="81" t="n"/>
      <c r="BP1996" s="81" t="n"/>
      <c r="BQ1996" s="81" t="n"/>
      <c r="BR1996" s="81" t="n"/>
      <c r="BS1996" s="81" t="n"/>
      <c r="BT1996" s="81" t="n"/>
      <c r="BU1996" s="81" t="n"/>
      <c r="BV1996" s="81" t="n"/>
      <c r="BW1996" s="81" t="n"/>
      <c r="BX1996" s="81" t="n"/>
      <c r="BY1996" s="81" t="n"/>
      <c r="BZ1996" s="81" t="n"/>
      <c r="CA1996" s="81" t="n"/>
      <c r="CB1996" s="81" t="n"/>
      <c r="CC1996" s="81" t="n"/>
      <c r="CD1996" s="81" t="n"/>
      <c r="CE1996" s="81" t="n"/>
      <c r="CF1996" s="81" t="n"/>
      <c r="CG1996" s="81" t="n"/>
      <c r="CH1996" s="81" t="n"/>
    </row>
    <row r="1997">
      <c r="A1997" s="81" t="n"/>
      <c r="B1997" s="81" t="n"/>
      <c r="C1997" s="81" t="n"/>
      <c r="D1997" s="81" t="n"/>
      <c r="E1997" s="81" t="n"/>
      <c r="F1997" s="81" t="n"/>
      <c r="G1997" s="81" t="n"/>
      <c r="H1997" s="81" t="n"/>
      <c r="I1997" s="81" t="n"/>
      <c r="J1997" s="81" t="n"/>
      <c r="K1997" s="81" t="n"/>
      <c r="L1997" s="81" t="n"/>
      <c r="M1997" s="81" t="n"/>
      <c r="N1997" s="81" t="n"/>
      <c r="O1997" s="81" t="n"/>
      <c r="P1997" s="81" t="n"/>
      <c r="Q1997" s="81" t="n"/>
      <c r="R1997" s="81" t="n"/>
      <c r="S1997" s="81" t="n"/>
      <c r="T1997" s="81" t="n"/>
      <c r="U1997" s="81" t="n"/>
      <c r="V1997" s="81" t="n"/>
      <c r="W1997" s="81" t="n"/>
      <c r="X1997" s="81" t="n"/>
      <c r="Y1997" s="81" t="n"/>
      <c r="Z1997" s="81" t="n"/>
      <c r="AA1997" s="81" t="n"/>
      <c r="AB1997" s="81" t="n"/>
      <c r="AC1997" s="81" t="n"/>
      <c r="AD1997" s="81" t="n"/>
      <c r="AE1997" s="81" t="n"/>
      <c r="AF1997" s="81" t="n"/>
      <c r="AG1997" s="81" t="n"/>
      <c r="AH1997" s="81" t="n"/>
      <c r="AI1997" s="81" t="n"/>
      <c r="AJ1997" s="81" t="n"/>
      <c r="AK1997" s="81" t="n"/>
      <c r="AL1997" s="81" t="n"/>
      <c r="AM1997" s="81" t="n"/>
      <c r="AN1997" s="81" t="n"/>
      <c r="AO1997" s="81" t="n"/>
      <c r="AP1997" s="81" t="n"/>
      <c r="AQ1997" s="81" t="n"/>
      <c r="AR1997" s="81" t="n"/>
      <c r="AS1997" s="81" t="n"/>
      <c r="AT1997" s="81" t="n"/>
      <c r="AU1997" s="81" t="n"/>
      <c r="AV1997" s="81" t="n"/>
      <c r="AW1997" s="81" t="n"/>
      <c r="AX1997" s="81" t="n"/>
      <c r="AY1997" s="81" t="n"/>
      <c r="AZ1997" s="81" t="n"/>
      <c r="BA1997" s="81" t="n"/>
      <c r="BB1997" s="81" t="n"/>
      <c r="BC1997" s="81" t="n"/>
      <c r="BD1997" s="81" t="n"/>
      <c r="BE1997" s="81" t="n"/>
      <c r="BF1997" s="81" t="n"/>
      <c r="BG1997" s="81" t="n"/>
      <c r="BH1997" s="81" t="n"/>
      <c r="BI1997" s="81" t="n"/>
      <c r="BJ1997" s="81" t="n"/>
      <c r="BK1997" s="81" t="n"/>
      <c r="BL1997" s="81" t="n"/>
      <c r="BM1997" s="81" t="n"/>
      <c r="BN1997" s="81" t="n"/>
      <c r="BO1997" s="81" t="n"/>
      <c r="BP1997" s="81" t="n"/>
      <c r="BQ1997" s="81" t="n"/>
      <c r="BR1997" s="81" t="n"/>
      <c r="BS1997" s="81" t="n"/>
      <c r="BT1997" s="81" t="n"/>
      <c r="BU1997" s="81" t="n"/>
      <c r="BV1997" s="81" t="n"/>
      <c r="BW1997" s="81" t="n"/>
      <c r="BX1997" s="81" t="n"/>
      <c r="BY1997" s="81" t="n"/>
      <c r="BZ1997" s="81" t="n"/>
      <c r="CA1997" s="81" t="n"/>
      <c r="CB1997" s="81" t="n"/>
      <c r="CC1997" s="81" t="n"/>
      <c r="CD1997" s="81" t="n"/>
      <c r="CE1997" s="81" t="n"/>
      <c r="CF1997" s="81" t="n"/>
      <c r="CG1997" s="81" t="n"/>
      <c r="CH1997" s="81" t="n"/>
    </row>
    <row r="1998">
      <c r="A1998" s="81" t="n"/>
      <c r="B1998" s="81" t="n"/>
      <c r="C1998" s="81" t="n"/>
      <c r="D1998" s="81" t="n"/>
      <c r="E1998" s="81" t="n"/>
      <c r="F1998" s="81" t="n"/>
      <c r="G1998" s="81" t="n"/>
      <c r="H1998" s="81" t="n"/>
      <c r="I1998" s="81" t="n"/>
      <c r="J1998" s="81" t="n"/>
      <c r="K1998" s="81" t="n"/>
      <c r="L1998" s="81" t="n"/>
      <c r="M1998" s="81" t="n"/>
      <c r="N1998" s="81" t="n"/>
      <c r="O1998" s="81" t="n"/>
      <c r="P1998" s="81" t="n"/>
      <c r="Q1998" s="81" t="n"/>
      <c r="R1998" s="81" t="n"/>
      <c r="S1998" s="81" t="n"/>
      <c r="T1998" s="81" t="n"/>
      <c r="U1998" s="81" t="n"/>
      <c r="V1998" s="81" t="n"/>
      <c r="W1998" s="81" t="n"/>
      <c r="X1998" s="81" t="n"/>
      <c r="Y1998" s="81" t="n"/>
      <c r="Z1998" s="81" t="n"/>
      <c r="AA1998" s="81" t="n"/>
      <c r="AB1998" s="81" t="n"/>
      <c r="AC1998" s="81" t="n"/>
      <c r="AD1998" s="81" t="n"/>
      <c r="AE1998" s="81" t="n"/>
      <c r="AF1998" s="81" t="n"/>
      <c r="AG1998" s="81" t="n"/>
      <c r="AH1998" s="81" t="n"/>
      <c r="AI1998" s="81" t="n"/>
      <c r="AJ1998" s="81" t="n"/>
      <c r="AK1998" s="81" t="n"/>
      <c r="AL1998" s="81" t="n"/>
      <c r="AM1998" s="81" t="n"/>
      <c r="AN1998" s="81" t="n"/>
      <c r="AO1998" s="81" t="n"/>
      <c r="AP1998" s="81" t="n"/>
      <c r="AQ1998" s="81" t="n"/>
      <c r="AR1998" s="81" t="n"/>
      <c r="AS1998" s="81" t="n"/>
      <c r="AT1998" s="81" t="n"/>
      <c r="AU1998" s="81" t="n"/>
      <c r="AV1998" s="81" t="n"/>
      <c r="AW1998" s="81" t="n"/>
      <c r="AX1998" s="81" t="n"/>
      <c r="AY1998" s="81" t="n"/>
      <c r="AZ1998" s="81" t="n"/>
      <c r="BA1998" s="81" t="n"/>
      <c r="BB1998" s="81" t="n"/>
      <c r="BC1998" s="81" t="n"/>
      <c r="BD1998" s="81" t="n"/>
      <c r="BE1998" s="81" t="n"/>
      <c r="BF1998" s="81" t="n"/>
      <c r="BG1998" s="81" t="n"/>
      <c r="BH1998" s="81" t="n"/>
      <c r="BI1998" s="81" t="n"/>
      <c r="BJ1998" s="81" t="n"/>
      <c r="BK1998" s="81" t="n"/>
      <c r="BL1998" s="81" t="n"/>
      <c r="BM1998" s="81" t="n"/>
      <c r="BN1998" s="81" t="n"/>
      <c r="BO1998" s="81" t="n"/>
      <c r="BP1998" s="81" t="n"/>
      <c r="BQ1998" s="81" t="n"/>
      <c r="BR1998" s="81" t="n"/>
      <c r="BS1998" s="81" t="n"/>
      <c r="BT1998" s="81" t="n"/>
      <c r="BU1998" s="81" t="n"/>
      <c r="BV1998" s="81" t="n"/>
      <c r="BW1998" s="81" t="n"/>
      <c r="BX1998" s="81" t="n"/>
      <c r="BY1998" s="81" t="n"/>
      <c r="BZ1998" s="81" t="n"/>
      <c r="CA1998" s="81" t="n"/>
      <c r="CB1998" s="81" t="n"/>
      <c r="CC1998" s="81" t="n"/>
      <c r="CD1998" s="81" t="n"/>
      <c r="CE1998" s="81" t="n"/>
      <c r="CF1998" s="81" t="n"/>
      <c r="CG1998" s="81" t="n"/>
      <c r="CH1998" s="81" t="n"/>
    </row>
    <row r="1999">
      <c r="A1999" s="81" t="n"/>
      <c r="B1999" s="81" t="n"/>
      <c r="C1999" s="81" t="n"/>
      <c r="D1999" s="81" t="n"/>
      <c r="E1999" s="81" t="n"/>
      <c r="F1999" s="81" t="n"/>
      <c r="G1999" s="81" t="n"/>
      <c r="H1999" s="81" t="n"/>
      <c r="I1999" s="81" t="n"/>
      <c r="J1999" s="81" t="n"/>
      <c r="K1999" s="81" t="n"/>
      <c r="L1999" s="81" t="n"/>
      <c r="M1999" s="81" t="n"/>
      <c r="N1999" s="81" t="n"/>
      <c r="O1999" s="81" t="n"/>
      <c r="P1999" s="81" t="n"/>
      <c r="Q1999" s="81" t="n"/>
      <c r="R1999" s="81" t="n"/>
      <c r="S1999" s="81" t="n"/>
      <c r="T1999" s="81" t="n"/>
      <c r="U1999" s="81" t="n"/>
      <c r="V1999" s="81" t="n"/>
      <c r="W1999" s="81" t="n"/>
      <c r="X1999" s="81" t="n"/>
      <c r="Y1999" s="81" t="n"/>
      <c r="Z1999" s="81" t="n"/>
      <c r="AA1999" s="81" t="n"/>
      <c r="AB1999" s="81" t="n"/>
      <c r="AC1999" s="81" t="n"/>
      <c r="AD1999" s="81" t="n"/>
      <c r="AE1999" s="81" t="n"/>
      <c r="AF1999" s="81" t="n"/>
      <c r="AG1999" s="81" t="n"/>
      <c r="AH1999" s="81" t="n"/>
      <c r="AI1999" s="81" t="n"/>
      <c r="AJ1999" s="81" t="n"/>
      <c r="AK1999" s="81" t="n"/>
      <c r="AL1999" s="81" t="n"/>
      <c r="AM1999" s="81" t="n"/>
      <c r="AN1999" s="81" t="n"/>
      <c r="AO1999" s="81" t="n"/>
      <c r="AP1999" s="81" t="n"/>
      <c r="AQ1999" s="81" t="n"/>
      <c r="AR1999" s="81" t="n"/>
      <c r="AS1999" s="81" t="n"/>
      <c r="AT1999" s="81" t="n"/>
      <c r="AU1999" s="81" t="n"/>
      <c r="AV1999" s="81" t="n"/>
      <c r="AW1999" s="81" t="n"/>
      <c r="AX1999" s="81" t="n"/>
      <c r="AY1999" s="81" t="n"/>
      <c r="AZ1999" s="81" t="n"/>
      <c r="BA1999" s="81" t="n"/>
      <c r="BB1999" s="81" t="n"/>
      <c r="BC1999" s="81" t="n"/>
      <c r="BD1999" s="81" t="n"/>
      <c r="BE1999" s="81" t="n"/>
      <c r="BF1999" s="81" t="n"/>
      <c r="BG1999" s="81" t="n"/>
      <c r="BH1999" s="81" t="n"/>
      <c r="BI1999" s="81" t="n"/>
      <c r="BJ1999" s="81" t="n"/>
      <c r="BK1999" s="81" t="n"/>
      <c r="BL1999" s="81" t="n"/>
      <c r="BM1999" s="81" t="n"/>
      <c r="BN1999" s="81" t="n"/>
      <c r="BO1999" s="81" t="n"/>
      <c r="BP1999" s="81" t="n"/>
      <c r="BQ1999" s="81" t="n"/>
      <c r="BR1999" s="81" t="n"/>
      <c r="BS1999" s="81" t="n"/>
      <c r="BT1999" s="81" t="n"/>
      <c r="BU1999" s="81" t="n"/>
      <c r="BV1999" s="81" t="n"/>
      <c r="BW1999" s="81" t="n"/>
      <c r="BX1999" s="81" t="n"/>
      <c r="BY1999" s="81" t="n"/>
      <c r="BZ1999" s="81" t="n"/>
      <c r="CA1999" s="81" t="n"/>
      <c r="CB1999" s="81" t="n"/>
      <c r="CC1999" s="81" t="n"/>
      <c r="CD1999" s="81" t="n"/>
      <c r="CE1999" s="81" t="n"/>
      <c r="CF1999" s="81" t="n"/>
      <c r="CG1999" s="81" t="n"/>
      <c r="CH1999" s="81" t="n"/>
    </row>
    <row r="2000">
      <c r="A2000" s="81" t="n"/>
      <c r="B2000" s="81" t="n"/>
      <c r="C2000" s="81" t="n"/>
      <c r="D2000" s="81" t="n"/>
      <c r="E2000" s="81" t="n"/>
      <c r="F2000" s="81" t="n"/>
      <c r="G2000" s="81" t="n"/>
      <c r="H2000" s="81" t="n"/>
      <c r="I2000" s="81" t="n"/>
      <c r="J2000" s="81" t="n"/>
      <c r="K2000" s="81" t="n"/>
      <c r="L2000" s="81" t="n"/>
      <c r="M2000" s="81" t="n"/>
      <c r="N2000" s="81" t="n"/>
      <c r="O2000" s="81" t="n"/>
      <c r="P2000" s="81" t="n"/>
      <c r="Q2000" s="81" t="n"/>
      <c r="R2000" s="81" t="n"/>
      <c r="S2000" s="81" t="n"/>
      <c r="T2000" s="81" t="n"/>
      <c r="U2000" s="81" t="n"/>
      <c r="V2000" s="81" t="n"/>
      <c r="W2000" s="81" t="n"/>
      <c r="X2000" s="81" t="n"/>
      <c r="Y2000" s="81" t="n"/>
      <c r="Z2000" s="81" t="n"/>
      <c r="AA2000" s="81" t="n"/>
      <c r="AB2000" s="81" t="n"/>
      <c r="AC2000" s="81" t="n"/>
      <c r="AD2000" s="81" t="n"/>
      <c r="AE2000" s="81" t="n"/>
      <c r="AF2000" s="81" t="n"/>
      <c r="AG2000" s="81" t="n"/>
      <c r="AH2000" s="81" t="n"/>
      <c r="AI2000" s="81" t="n"/>
      <c r="AJ2000" s="81" t="n"/>
      <c r="AK2000" s="81" t="n"/>
      <c r="AL2000" s="81" t="n"/>
      <c r="AM2000" s="81" t="n"/>
      <c r="AN2000" s="81" t="n"/>
      <c r="AO2000" s="81" t="n"/>
      <c r="AP2000" s="81" t="n"/>
      <c r="AQ2000" s="81" t="n"/>
      <c r="AR2000" s="81" t="n"/>
      <c r="AS2000" s="81" t="n"/>
      <c r="AT2000" s="81" t="n"/>
      <c r="AU2000" s="81" t="n"/>
      <c r="AV2000" s="81" t="n"/>
      <c r="AW2000" s="81" t="n"/>
      <c r="AX2000" s="81" t="n"/>
      <c r="AY2000" s="81" t="n"/>
      <c r="AZ2000" s="81" t="n"/>
      <c r="BA2000" s="81" t="n"/>
      <c r="BB2000" s="81" t="n"/>
      <c r="BC2000" s="81" t="n"/>
      <c r="BD2000" s="81" t="n"/>
      <c r="BE2000" s="81" t="n"/>
      <c r="BF2000" s="81" t="n"/>
      <c r="BG2000" s="81" t="n"/>
      <c r="BH2000" s="81" t="n"/>
      <c r="BI2000" s="81" t="n"/>
      <c r="BJ2000" s="81" t="n"/>
      <c r="BK2000" s="81" t="n"/>
      <c r="BL2000" s="81" t="n"/>
      <c r="BM2000" s="81" t="n"/>
      <c r="BN2000" s="81" t="n"/>
      <c r="BO2000" s="81" t="n"/>
      <c r="BP2000" s="81" t="n"/>
      <c r="BQ2000" s="81" t="n"/>
      <c r="BR2000" s="81" t="n"/>
      <c r="BS2000" s="81" t="n"/>
      <c r="BT2000" s="81" t="n"/>
      <c r="BU2000" s="81" t="n"/>
      <c r="BV2000" s="81" t="n"/>
      <c r="BW2000" s="81" t="n"/>
      <c r="BX2000" s="81" t="n"/>
      <c r="BY2000" s="81" t="n"/>
      <c r="BZ2000" s="81" t="n"/>
      <c r="CA2000" s="81" t="n"/>
      <c r="CB2000" s="81" t="n"/>
      <c r="CC2000" s="81" t="n"/>
      <c r="CD2000" s="81" t="n"/>
      <c r="CE2000" s="81" t="n"/>
      <c r="CF2000" s="81" t="n"/>
      <c r="CG2000" s="81" t="n"/>
      <c r="CH2000" s="81" t="n"/>
    </row>
    <row r="2001">
      <c r="A2001" s="81" t="n"/>
      <c r="B2001" s="81" t="n"/>
      <c r="C2001" s="81" t="n"/>
      <c r="D2001" s="81" t="n"/>
      <c r="E2001" s="81" t="n"/>
      <c r="F2001" s="81" t="n"/>
      <c r="G2001" s="81" t="n"/>
      <c r="H2001" s="81" t="n"/>
      <c r="I2001" s="81" t="n"/>
      <c r="J2001" s="81" t="n"/>
      <c r="K2001" s="81" t="n"/>
      <c r="L2001" s="81" t="n"/>
      <c r="M2001" s="81" t="n"/>
      <c r="N2001" s="81" t="n"/>
      <c r="O2001" s="81" t="n"/>
      <c r="P2001" s="81" t="n"/>
      <c r="Q2001" s="81" t="n"/>
      <c r="R2001" s="81" t="n"/>
      <c r="S2001" s="81" t="n"/>
      <c r="T2001" s="81" t="n"/>
      <c r="U2001" s="81" t="n"/>
      <c r="V2001" s="81" t="n"/>
      <c r="W2001" s="81" t="n"/>
      <c r="X2001" s="81" t="n"/>
      <c r="Y2001" s="81" t="n"/>
      <c r="Z2001" s="81" t="n"/>
      <c r="AA2001" s="81" t="n"/>
      <c r="AB2001" s="81" t="n"/>
      <c r="AC2001" s="81" t="n"/>
      <c r="AD2001" s="81" t="n"/>
      <c r="AE2001" s="81" t="n"/>
      <c r="AF2001" s="81" t="n"/>
      <c r="AG2001" s="81" t="n"/>
      <c r="AH2001" s="81" t="n"/>
      <c r="AI2001" s="81" t="n"/>
      <c r="AJ2001" s="81" t="n"/>
      <c r="AK2001" s="81" t="n"/>
      <c r="AL2001" s="81" t="n"/>
      <c r="AM2001" s="81" t="n"/>
      <c r="AN2001" s="81" t="n"/>
      <c r="AO2001" s="81" t="n"/>
      <c r="AP2001" s="81" t="n"/>
      <c r="AQ2001" s="81" t="n"/>
      <c r="AR2001" s="81" t="n"/>
      <c r="AS2001" s="81" t="n"/>
      <c r="AT2001" s="81" t="n"/>
      <c r="AU2001" s="81" t="n"/>
      <c r="AV2001" s="81" t="n"/>
      <c r="AW2001" s="81" t="n"/>
      <c r="AX2001" s="81" t="n"/>
      <c r="AY2001" s="81" t="n"/>
      <c r="AZ2001" s="81" t="n"/>
      <c r="BA2001" s="81" t="n"/>
      <c r="BB2001" s="81" t="n"/>
      <c r="BC2001" s="81" t="n"/>
      <c r="BD2001" s="81" t="n"/>
      <c r="BE2001" s="81" t="n"/>
      <c r="BF2001" s="81" t="n"/>
      <c r="BG2001" s="81" t="n"/>
      <c r="BH2001" s="81" t="n"/>
      <c r="BI2001" s="81" t="n"/>
      <c r="BJ2001" s="81" t="n"/>
      <c r="BK2001" s="81" t="n"/>
      <c r="BL2001" s="81" t="n"/>
      <c r="BM2001" s="81" t="n"/>
      <c r="BN2001" s="81" t="n"/>
      <c r="BO2001" s="81" t="n"/>
      <c r="BP2001" s="81" t="n"/>
      <c r="BQ2001" s="81" t="n"/>
      <c r="BR2001" s="81" t="n"/>
      <c r="BS2001" s="81" t="n"/>
      <c r="BT2001" s="81" t="n"/>
      <c r="BU2001" s="81" t="n"/>
      <c r="BV2001" s="81" t="n"/>
      <c r="BW2001" s="81" t="n"/>
      <c r="BX2001" s="81" t="n"/>
      <c r="BY2001" s="81" t="n"/>
      <c r="BZ2001" s="81" t="n"/>
      <c r="CA2001" s="81" t="n"/>
      <c r="CB2001" s="81" t="n"/>
      <c r="CC2001" s="81" t="n"/>
      <c r="CD2001" s="81" t="n"/>
      <c r="CE2001" s="81" t="n"/>
      <c r="CF2001" s="81" t="n"/>
      <c r="CG2001" s="81" t="n"/>
      <c r="CH2001" s="81" t="n"/>
    </row>
    <row r="2002">
      <c r="A2002" s="81" t="n"/>
      <c r="B2002" s="81" t="n"/>
      <c r="C2002" s="81" t="n"/>
      <c r="D2002" s="81" t="n"/>
      <c r="E2002" s="81" t="n"/>
      <c r="F2002" s="81" t="n"/>
      <c r="G2002" s="81" t="n"/>
      <c r="H2002" s="81" t="n"/>
      <c r="I2002" s="81" t="n"/>
      <c r="J2002" s="81" t="n"/>
      <c r="K2002" s="81" t="n"/>
      <c r="L2002" s="81" t="n"/>
      <c r="M2002" s="81" t="n"/>
      <c r="N2002" s="81" t="n"/>
      <c r="O2002" s="81" t="n"/>
      <c r="P2002" s="81" t="n"/>
      <c r="Q2002" s="81" t="n"/>
      <c r="R2002" s="81" t="n"/>
      <c r="S2002" s="81" t="n"/>
      <c r="T2002" s="81" t="n"/>
      <c r="U2002" s="81" t="n"/>
      <c r="V2002" s="81" t="n"/>
      <c r="W2002" s="81" t="n"/>
      <c r="X2002" s="81" t="n"/>
      <c r="Y2002" s="81" t="n"/>
      <c r="Z2002" s="81" t="n"/>
      <c r="AA2002" s="81" t="n"/>
      <c r="AB2002" s="81" t="n"/>
      <c r="AC2002" s="81" t="n"/>
      <c r="AD2002" s="81" t="n"/>
      <c r="AE2002" s="81" t="n"/>
      <c r="AF2002" s="81" t="n"/>
      <c r="AG2002" s="81" t="n"/>
      <c r="AH2002" s="81" t="n"/>
      <c r="AI2002" s="81" t="n"/>
      <c r="AJ2002" s="81" t="n"/>
      <c r="AK2002" s="81" t="n"/>
      <c r="AL2002" s="81" t="n"/>
      <c r="AM2002" s="81" t="n"/>
      <c r="AN2002" s="81" t="n"/>
      <c r="AO2002" s="81" t="n"/>
      <c r="AP2002" s="81" t="n"/>
      <c r="AQ2002" s="81" t="n"/>
      <c r="AR2002" s="81" t="n"/>
      <c r="AS2002" s="81" t="n"/>
      <c r="AT2002" s="81" t="n"/>
      <c r="AU2002" s="81" t="n"/>
      <c r="AV2002" s="81" t="n"/>
      <c r="AW2002" s="81" t="n"/>
      <c r="AX2002" s="81" t="n"/>
      <c r="AY2002" s="81" t="n"/>
      <c r="AZ2002" s="81" t="n"/>
      <c r="BA2002" s="81" t="n"/>
      <c r="BB2002" s="81" t="n"/>
      <c r="BC2002" s="81" t="n"/>
      <c r="BD2002" s="81" t="n"/>
      <c r="BE2002" s="81" t="n"/>
      <c r="BF2002" s="81" t="n"/>
      <c r="BG2002" s="81" t="n"/>
      <c r="BH2002" s="81" t="n"/>
      <c r="BI2002" s="81" t="n"/>
      <c r="BJ2002" s="81" t="n"/>
      <c r="BK2002" s="81" t="n"/>
      <c r="BL2002" s="81" t="n"/>
      <c r="BM2002" s="81" t="n"/>
      <c r="BN2002" s="81" t="n"/>
      <c r="BO2002" s="81" t="n"/>
      <c r="BP2002" s="81" t="n"/>
      <c r="BQ2002" s="81" t="n"/>
      <c r="BR2002" s="81" t="n"/>
      <c r="BS2002" s="81" t="n"/>
      <c r="BT2002" s="81" t="n"/>
      <c r="BU2002" s="81" t="n"/>
      <c r="BV2002" s="81" t="n"/>
      <c r="BW2002" s="81" t="n"/>
      <c r="BX2002" s="81" t="n"/>
      <c r="BY2002" s="81" t="n"/>
      <c r="BZ2002" s="81" t="n"/>
      <c r="CA2002" s="81" t="n"/>
      <c r="CB2002" s="81" t="n"/>
      <c r="CC2002" s="81" t="n"/>
      <c r="CD2002" s="81" t="n"/>
      <c r="CE2002" s="81" t="n"/>
      <c r="CF2002" s="81" t="n"/>
      <c r="CG2002" s="81" t="n"/>
      <c r="CH2002" s="81" t="n"/>
    </row>
    <row r="2003">
      <c r="A2003" s="81" t="n"/>
      <c r="B2003" s="81" t="n"/>
      <c r="C2003" s="81" t="n"/>
      <c r="D2003" s="81" t="n"/>
      <c r="E2003" s="81" t="n"/>
      <c r="F2003" s="81" t="n"/>
      <c r="G2003" s="81" t="n"/>
      <c r="H2003" s="81" t="n"/>
      <c r="I2003" s="81" t="n"/>
      <c r="J2003" s="81" t="n"/>
      <c r="K2003" s="81" t="n"/>
      <c r="L2003" s="81" t="n"/>
      <c r="M2003" s="81" t="n"/>
      <c r="N2003" s="81" t="n"/>
      <c r="O2003" s="81" t="n"/>
      <c r="P2003" s="81" t="n"/>
      <c r="Q2003" s="81" t="n"/>
      <c r="R2003" s="81" t="n"/>
      <c r="S2003" s="81" t="n"/>
      <c r="T2003" s="81" t="n"/>
      <c r="U2003" s="81" t="n"/>
      <c r="V2003" s="81" t="n"/>
      <c r="W2003" s="81" t="n"/>
      <c r="X2003" s="81" t="n"/>
      <c r="Y2003" s="81" t="n"/>
      <c r="Z2003" s="81" t="n"/>
      <c r="AA2003" s="81" t="n"/>
      <c r="AB2003" s="81" t="n"/>
      <c r="AC2003" s="81" t="n"/>
      <c r="AD2003" s="81" t="n"/>
      <c r="AE2003" s="81" t="n"/>
      <c r="AF2003" s="81" t="n"/>
      <c r="AG2003" s="81" t="n"/>
      <c r="AH2003" s="81" t="n"/>
      <c r="AI2003" s="81" t="n"/>
      <c r="AJ2003" s="81" t="n"/>
      <c r="AK2003" s="81" t="n"/>
      <c r="AL2003" s="81" t="n"/>
      <c r="AM2003" s="81" t="n"/>
      <c r="AN2003" s="81" t="n"/>
      <c r="AO2003" s="81" t="n"/>
      <c r="AP2003" s="81" t="n"/>
      <c r="AQ2003" s="81" t="n"/>
      <c r="AR2003" s="81" t="n"/>
      <c r="AS2003" s="81" t="n"/>
      <c r="AT2003" s="81" t="n"/>
      <c r="AU2003" s="81" t="n"/>
      <c r="AV2003" s="81" t="n"/>
      <c r="AW2003" s="81" t="n"/>
      <c r="AX2003" s="81" t="n"/>
      <c r="AY2003" s="81" t="n"/>
      <c r="AZ2003" s="81" t="n"/>
      <c r="BA2003" s="81" t="n"/>
      <c r="BB2003" s="81" t="n"/>
      <c r="BC2003" s="81" t="n"/>
      <c r="BD2003" s="81" t="n"/>
      <c r="BE2003" s="81" t="n"/>
      <c r="BF2003" s="81" t="n"/>
      <c r="BG2003" s="81" t="n"/>
      <c r="BH2003" s="81" t="n"/>
      <c r="BI2003" s="81" t="n"/>
      <c r="BJ2003" s="81" t="n"/>
      <c r="BK2003" s="81" t="n"/>
      <c r="BL2003" s="81" t="n"/>
      <c r="BM2003" s="81" t="n"/>
      <c r="BN2003" s="81" t="n"/>
      <c r="BO2003" s="81" t="n"/>
      <c r="BP2003" s="81" t="n"/>
      <c r="BQ2003" s="81" t="n"/>
      <c r="BR2003" s="81" t="n"/>
      <c r="BS2003" s="81" t="n"/>
      <c r="BT2003" s="81" t="n"/>
      <c r="BU2003" s="81" t="n"/>
      <c r="BV2003" s="81" t="n"/>
      <c r="BW2003" s="81" t="n"/>
      <c r="BX2003" s="81" t="n"/>
      <c r="BY2003" s="81" t="n"/>
      <c r="BZ2003" s="81" t="n"/>
      <c r="CA2003" s="81" t="n"/>
      <c r="CB2003" s="81" t="n"/>
      <c r="CC2003" s="81" t="n"/>
      <c r="CD2003" s="81" t="n"/>
      <c r="CE2003" s="81" t="n"/>
      <c r="CF2003" s="81" t="n"/>
      <c r="CG2003" s="81" t="n"/>
      <c r="CH2003" s="81" t="n"/>
    </row>
    <row r="2004">
      <c r="A2004" s="81" t="n"/>
      <c r="B2004" s="81" t="n"/>
      <c r="C2004" s="81" t="n"/>
      <c r="D2004" s="81" t="n"/>
      <c r="E2004" s="81" t="n"/>
      <c r="F2004" s="81" t="n"/>
      <c r="G2004" s="81" t="n"/>
      <c r="H2004" s="81" t="n"/>
      <c r="I2004" s="81" t="n"/>
      <c r="J2004" s="81" t="n"/>
      <c r="K2004" s="81" t="n"/>
      <c r="L2004" s="81" t="n"/>
      <c r="M2004" s="81" t="n"/>
      <c r="N2004" s="81" t="n"/>
      <c r="O2004" s="81" t="n"/>
      <c r="P2004" s="81" t="n"/>
      <c r="Q2004" s="81" t="n"/>
      <c r="R2004" s="81" t="n"/>
      <c r="S2004" s="81" t="n"/>
      <c r="T2004" s="81" t="n"/>
      <c r="U2004" s="81" t="n"/>
      <c r="V2004" s="81" t="n"/>
      <c r="W2004" s="81" t="n"/>
      <c r="X2004" s="81" t="n"/>
      <c r="Y2004" s="81" t="n"/>
      <c r="Z2004" s="81" t="n"/>
      <c r="AA2004" s="81" t="n"/>
      <c r="AB2004" s="81" t="n"/>
      <c r="AC2004" s="81" t="n"/>
      <c r="AD2004" s="81" t="n"/>
      <c r="AE2004" s="81" t="n"/>
      <c r="AF2004" s="81" t="n"/>
      <c r="AG2004" s="81" t="n"/>
      <c r="AH2004" s="81" t="n"/>
      <c r="AI2004" s="81" t="n"/>
      <c r="AJ2004" s="81" t="n"/>
      <c r="AK2004" s="81" t="n"/>
      <c r="AL2004" s="81" t="n"/>
      <c r="AM2004" s="81" t="n"/>
      <c r="AN2004" s="81" t="n"/>
      <c r="AO2004" s="81" t="n"/>
      <c r="AP2004" s="81" t="n"/>
      <c r="AQ2004" s="81" t="n"/>
      <c r="AR2004" s="81" t="n"/>
      <c r="AS2004" s="81" t="n"/>
      <c r="AT2004" s="81" t="n"/>
      <c r="AU2004" s="81" t="n"/>
      <c r="AV2004" s="81" t="n"/>
      <c r="AW2004" s="81" t="n"/>
      <c r="AX2004" s="81" t="n"/>
      <c r="AY2004" s="81" t="n"/>
      <c r="AZ2004" s="81" t="n"/>
      <c r="BA2004" s="81" t="n"/>
      <c r="BB2004" s="81" t="n"/>
      <c r="BC2004" s="81" t="n"/>
      <c r="BD2004" s="81" t="n"/>
      <c r="BE2004" s="81" t="n"/>
      <c r="BF2004" s="81" t="n"/>
      <c r="BG2004" s="81" t="n"/>
      <c r="BH2004" s="81" t="n"/>
      <c r="BI2004" s="81" t="n"/>
      <c r="BJ2004" s="81" t="n"/>
      <c r="BK2004" s="81" t="n"/>
      <c r="BL2004" s="81" t="n"/>
      <c r="BM2004" s="81" t="n"/>
      <c r="BN2004" s="81" t="n"/>
      <c r="BO2004" s="81" t="n"/>
      <c r="BP2004" s="81" t="n"/>
      <c r="BQ2004" s="81" t="n"/>
      <c r="BR2004" s="81" t="n"/>
      <c r="BS2004" s="81" t="n"/>
      <c r="BT2004" s="81" t="n"/>
      <c r="BU2004" s="81" t="n"/>
      <c r="BV2004" s="81" t="n"/>
      <c r="BW2004" s="81" t="n"/>
      <c r="BX2004" s="81" t="n"/>
      <c r="BY2004" s="81" t="n"/>
      <c r="BZ2004" s="81" t="n"/>
      <c r="CA2004" s="81" t="n"/>
      <c r="CB2004" s="81" t="n"/>
      <c r="CC2004" s="81" t="n"/>
      <c r="CD2004" s="81" t="n"/>
      <c r="CE2004" s="81" t="n"/>
      <c r="CF2004" s="81" t="n"/>
      <c r="CG2004" s="81" t="n"/>
      <c r="CH2004" s="81" t="n"/>
    </row>
    <row r="2005">
      <c r="A2005" s="81" t="n"/>
      <c r="B2005" s="81" t="n"/>
      <c r="C2005" s="81" t="n"/>
      <c r="D2005" s="81" t="n"/>
      <c r="E2005" s="81" t="n"/>
      <c r="F2005" s="81" t="n"/>
      <c r="G2005" s="81" t="n"/>
      <c r="H2005" s="81" t="n"/>
      <c r="I2005" s="81" t="n"/>
      <c r="J2005" s="81" t="n"/>
      <c r="K2005" s="81" t="n"/>
      <c r="L2005" s="81" t="n"/>
      <c r="M2005" s="81" t="n"/>
      <c r="N2005" s="81" t="n"/>
      <c r="O2005" s="81" t="n"/>
      <c r="P2005" s="81" t="n"/>
      <c r="Q2005" s="81" t="n"/>
      <c r="R2005" s="81" t="n"/>
      <c r="S2005" s="81" t="n"/>
      <c r="T2005" s="81" t="n"/>
      <c r="U2005" s="81" t="n"/>
      <c r="V2005" s="81" t="n"/>
      <c r="W2005" s="81" t="n"/>
      <c r="X2005" s="81" t="n"/>
      <c r="Y2005" s="81" t="n"/>
      <c r="Z2005" s="81" t="n"/>
      <c r="AA2005" s="81" t="n"/>
      <c r="AB2005" s="81" t="n"/>
      <c r="AC2005" s="81" t="n"/>
      <c r="AD2005" s="81" t="n"/>
      <c r="AE2005" s="81" t="n"/>
      <c r="AF2005" s="81" t="n"/>
      <c r="AG2005" s="81" t="n"/>
      <c r="AH2005" s="81" t="n"/>
      <c r="AI2005" s="81" t="n"/>
      <c r="AJ2005" s="81" t="n"/>
      <c r="AK2005" s="81" t="n"/>
      <c r="AL2005" s="81" t="n"/>
      <c r="AM2005" s="81" t="n"/>
      <c r="AN2005" s="81" t="n"/>
      <c r="AO2005" s="81" t="n"/>
      <c r="AP2005" s="81" t="n"/>
      <c r="AQ2005" s="81" t="n"/>
      <c r="AR2005" s="81" t="n"/>
      <c r="AS2005" s="81" t="n"/>
      <c r="AT2005" s="81" t="n"/>
      <c r="AU2005" s="81" t="n"/>
      <c r="AV2005" s="81" t="n"/>
      <c r="AW2005" s="81" t="n"/>
      <c r="AX2005" s="81" t="n"/>
      <c r="AY2005" s="81" t="n"/>
      <c r="AZ2005" s="81" t="n"/>
      <c r="BA2005" s="81" t="n"/>
      <c r="BB2005" s="81" t="n"/>
      <c r="BC2005" s="81" t="n"/>
      <c r="BD2005" s="81" t="n"/>
      <c r="BE2005" s="81" t="n"/>
      <c r="BF2005" s="81" t="n"/>
      <c r="BG2005" s="81" t="n"/>
      <c r="BH2005" s="81" t="n"/>
      <c r="BI2005" s="81" t="n"/>
      <c r="BJ2005" s="81" t="n"/>
      <c r="BK2005" s="81" t="n"/>
      <c r="BL2005" s="81" t="n"/>
      <c r="BM2005" s="81" t="n"/>
      <c r="BN2005" s="81" t="n"/>
      <c r="BO2005" s="81" t="n"/>
      <c r="BP2005" s="81" t="n"/>
      <c r="BQ2005" s="81" t="n"/>
      <c r="BR2005" s="81" t="n"/>
      <c r="BS2005" s="81" t="n"/>
      <c r="BT2005" s="81" t="n"/>
      <c r="BU2005" s="81" t="n"/>
      <c r="BV2005" s="81" t="n"/>
      <c r="BW2005" s="81" t="n"/>
      <c r="BX2005" s="81" t="n"/>
      <c r="BY2005" s="81" t="n"/>
      <c r="BZ2005" s="81" t="n"/>
      <c r="CA2005" s="81" t="n"/>
      <c r="CB2005" s="81" t="n"/>
      <c r="CC2005" s="81" t="n"/>
      <c r="CD2005" s="81" t="n"/>
      <c r="CE2005" s="81" t="n"/>
      <c r="CF2005" s="81" t="n"/>
      <c r="CG2005" s="81" t="n"/>
      <c r="CH2005" s="8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A6:W5000">
    <cfRule type="expression" priority="1" dxfId="0" stopIfTrue="0">
      <formula>=AND($D6="proMX",$R6="Cancelled")</formula>
    </cfRule>
  </conditionalFormatting>
  <conditionalFormatting sqref="P6:P5000">
    <cfRule type="expression" priority="2" dxfId="1" stopIfTrue="0">
      <formula>=AND($P6&lt;&gt;"",$P6&lt;&gt;"OK")</formula>
    </cfRule>
    <cfRule type="expression" priority="3" dxfId="2" stopIfTrue="0">
      <formula>=$P6="OK"</formula>
    </cfRule>
  </conditionalFormatting>
  <conditionalFormatting sqref="D6:D5000">
    <cfRule type="expression" priority="4" dxfId="3" stopIfTrue="0">
      <formula>=$D6="Malcolm"</formula>
    </cfRule>
    <cfRule type="expression" priority="5" dxfId="4" stopIfTrue="0">
      <formula>=$D6="proMX"</formula>
    </cfRule>
  </conditionalFormatting>
  <conditionalFormatting sqref="R6:R5000">
    <cfRule type="expression" priority="6" dxfId="5" stopIfTrue="0">
      <formula>=AND($D6="proMX",$R6="Draft")</formula>
    </cfRule>
    <cfRule type="expression" priority="7" dxfId="6" stopIfTrue="0">
      <formula>=AND($D6="proMX",$R6="Submitted")</formula>
    </cfRule>
    <cfRule type="expression" priority="8" dxfId="7" stopIfTrue="0">
      <formula>=AND($D6="proMX",$R6="Approved")</formula>
    </cfRule>
    <cfRule type="expression" priority="9" dxfId="1" stopIfTrue="0">
      <formula>=AND($D6="proMX",$R6="Returned")</formula>
    </cfRule>
    <cfRule type="expression" priority="10" dxfId="8" stopIfTrue="0">
      <formula>=AND($D6="proMX",$R6="Recall Requested")</formula>
    </cfRule>
    <cfRule type="expression" priority="11" dxfId="9" stopIfTrue="0">
      <formula>=AND($D6="proMX",$R6="Cancelled")</formula>
    </cfRule>
  </conditionalFormatting>
  <conditionalFormatting sqref="R6:T5000">
    <cfRule type="expression" priority="12" dxfId="10" stopIfTrue="0">
      <formula>=$D6="Malcolm"</formula>
    </cfRule>
  </conditionalFormatting>
  <conditionalFormatting sqref="Q6:Q5000">
    <cfRule type="expression" priority="13" dxfId="11" stopIfTrue="0">
      <formula>=LEFT($Q6,7)="Feriado"</formula>
    </cfRule>
    <cfRule type="expression" priority="14" dxfId="12" stopIfTrue="0">
      <formula>=OR($Q6="Fin de semana",$Q6="No laborable")</formula>
    </cfRule>
  </conditionalFormatting>
  <conditionalFormatting sqref="B6:C5000">
    <cfRule type="expression" priority="15" dxfId="12" stopIfTrue="0">
      <formula>=AND(ISNUMBER($B6),WEEKDAY($B6,2)&gt;5)</formula>
    </cfRule>
    <cfRule type="expression" priority="16" dxfId="13" stopIfTrue="0">
      <formula>=AND(ISNUMBER($B6),COUNTIFS(FER_F,$B6)&gt;0)</formula>
    </cfRule>
  </conditionalFormatting>
  <conditionalFormatting sqref="W6:W5000">
    <cfRule type="expression" priority="17" dxfId="11" stopIfTrue="0">
      <formula>=LEFT($W6,1)="⚠"</formula>
    </cfRule>
  </conditionalFormatting>
  <conditionalFormatting sqref="M6:M5000">
    <cfRule type="expression" priority="18" dxfId="14" stopIfTrue="0">
      <formula>=AND(ISNUMBER($M6),$M6&gt;0)</formula>
    </cfRule>
  </conditionalFormatting>
  <dataValidations count="9">
    <dataValidation sqref="B6:B5000" showDropDown="0" showInputMessage="1" showErrorMessage="1" allowBlank="1" errorTitle="Fecha" error="Fecha fuera del período (ver Configuración)." promptTitle="Fecha" prompt="dd/mm/aaaa" type="date" operator="between">
      <formula1>CFG_PSTART</formula1>
      <formula2>CFG_PEND</formula2>
    </dataValidation>
    <dataValidation sqref="D6:D5000" showDropDown="0" showInputMessage="0" showErrorMessage="1" allowBlank="1" error="Elegí Malcolm o proMX." type="list">
      <formula1>=L_EMP</formula1>
    </dataValidation>
    <dataValidation sqref="E6:E5000" showDropDown="0" showInputMessage="0" showErrorMessage="0" allowBlank="1" type="list">
      <formula1>=L_PROY</formula1>
    </dataValidation>
    <dataValidation sqref="H6:H5000" showDropDown="0" showInputMessage="1" showErrorMessage="1" allowBlank="1" error="Hora hh:mm entre 00:00 y 23:59." promptTitle="Hora" prompt="hh:mm  (proMX: :00 o :30)" type="time" operator="between">
      <formula1>0</formula1>
      <formula2>0.999305556</formula2>
    </dataValidation>
    <dataValidation sqref="I6:I5000" showDropDown="0" showInputMessage="1" showErrorMessage="1" allowBlank="1" error="Hora hh:mm entre 00:00 y 23:59. Si cruza medianoche, poné la hora del día siguiente." promptTitle="Hora fin" prompt="Si es menor que el inicio, se interpreta como el día siguiente." type="time" operator="between">
      <formula1>0</formula1>
      <formula2>0.999305556</formula2>
    </dataValidation>
    <dataValidation sqref="J6:J5000" showDropDown="0" showInputMessage="0" showErrorMessage="1" allowBlank="1" error="Minutos enteros (0-1440)." type="whole" operator="between">
      <formula1>0</formula1>
      <formula2>1440</formula2>
    </dataValidation>
    <dataValidation sqref="R6:R5000" showDropDown="0" showInputMessage="0" showErrorMessage="1" allowBlank="1" error="Solo para proMX: Draft, Submitted, Approved, Returned, Recall Requested o Cancelled." type="list">
      <formula1>=IF($D6="proMX",L_EST,L_NA)</formula1>
    </dataValidation>
    <dataValidation sqref="S6:S5000" showDropDown="0" showInputMessage="0" showErrorMessage="1" allowBlank="1" error="Fecha inválida." type="date" operator="between">
      <formula1>DATE(2026,1,1)</formula1>
      <formula2>DATE(2027,12,31)</formula2>
    </dataValidation>
    <dataValidation sqref="T6:T5000" showDropDown="0" showInputMessage="0" showErrorMessage="1" allowBlank="1" error="Fecha inválida." type="date" operator="between">
      <formula1>DATE(2026,1,1)</formula1>
      <formula2>DATE(2027,12,31)</formula2>
    </dataValidation>
  </dataValidations>
  <printOptions horizontalCentered="1"/>
  <pageMargins left="0.4" right="0.4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B4FD6"/>
    <outlinePr summaryBelow="1" summaryRight="1"/>
    <pageSetUpPr fitToPage="1"/>
  </sheetPr>
  <dimension ref="A1:AS76"/>
  <sheetViews>
    <sheetView showGridLines="0" zoomScale="9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3" customWidth="1" min="9" max="9"/>
    <col hidden="1" outlineLevel="1" width="6" customWidth="1" min="11" max="45"/>
  </cols>
  <sheetData>
    <row r="1" ht="34" customHeight="1">
      <c r="A1" s="1" t="n"/>
      <c r="B1" s="2" t="inlineStr">
        <is>
          <t>🗓  Calendario Visual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1" t="n"/>
      <c r="B2" s="3" t="inlineStr">
        <is>
          <t>Vista semanal (06:00–23:00, intervalos de 30 min) y vista mensual. Se alimenta de Registro de Horas: no requiere doble carga.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82" t="inlineStr">
        <is>
          <t>Semana:</t>
        </is>
      </c>
      <c r="B3" s="72" t="n">
        <v>46300</v>
      </c>
      <c r="C3" s="83">
        <f>B3-WEEKDAY(B3,2)+1</f>
        <v>46300.0</v>
      </c>
      <c r="D3" s="84">
        <f>C3+6</f>
        <v>46306.0</v>
      </c>
      <c r="E3" s="85" t="inlineStr">
        <is>
          <t>Malcolm</t>
        </is>
      </c>
      <c r="F3" s="86" t="inlineStr">
        <is>
          <t>Draft</t>
        </is>
      </c>
      <c r="G3" s="87" t="inlineStr">
        <is>
          <t>Submitted</t>
        </is>
      </c>
      <c r="H3" s="88" t="inlineStr">
        <is>
          <t>Approved</t>
        </is>
      </c>
    </row>
    <row r="4">
      <c r="E4" s="89" t="inlineStr">
        <is>
          <t>Returned</t>
        </is>
      </c>
      <c r="F4" s="90" t="inlineStr">
        <is>
          <t>Recall Req.</t>
        </is>
      </c>
      <c r="G4" s="91" t="inlineStr">
        <is>
          <t>⚠ Superposición</t>
        </is>
      </c>
      <c r="H4" s="92" t="inlineStr">
        <is>
          <t>Cancelados e inválidos no se dibujan</t>
        </is>
      </c>
    </row>
    <row r="6" ht="22" customHeight="1">
      <c r="A6" s="69" t="inlineStr">
        <is>
          <t>Hora</t>
        </is>
      </c>
      <c r="B6" s="69" t="inlineStr">
        <is>
          <t>Lunes</t>
        </is>
      </c>
      <c r="C6" s="69" t="inlineStr">
        <is>
          <t>Martes</t>
        </is>
      </c>
      <c r="D6" s="69" t="inlineStr">
        <is>
          <t>Miércoles</t>
        </is>
      </c>
      <c r="E6" s="69" t="inlineStr">
        <is>
          <t>Jueves</t>
        </is>
      </c>
      <c r="F6" s="69" t="inlineStr">
        <is>
          <t>Viernes</t>
        </is>
      </c>
      <c r="G6" s="69" t="inlineStr">
        <is>
          <t>Sábado</t>
        </is>
      </c>
      <c r="H6" s="69" t="inlineStr">
        <is>
          <t>Domingo</t>
        </is>
      </c>
    </row>
    <row r="7">
      <c r="A7" s="93" t="inlineStr">
        <is>
          <t>Fecha</t>
        </is>
      </c>
      <c r="B7" s="94">
        <f>CAL_MON+0</f>
        <v>46300.0</v>
      </c>
      <c r="C7" s="94">
        <f>CAL_MON+1</f>
        <v>46301.0</v>
      </c>
      <c r="D7" s="94">
        <f>CAL_MON+2</f>
        <v>46302.0</v>
      </c>
      <c r="E7" s="94">
        <f>CAL_MON+3</f>
        <v>46303.0</v>
      </c>
      <c r="F7" s="94">
        <f>CAL_MON+4</f>
        <v>46304.0</v>
      </c>
      <c r="G7" s="94">
        <f>CAL_MON+5</f>
        <v>46305.0</v>
      </c>
      <c r="H7" s="94">
        <f>CAL_MON+6</f>
        <v>46306.0</v>
      </c>
    </row>
    <row r="8">
      <c r="A8" s="93" t="inlineStr">
        <is>
          <t>Tipo</t>
        </is>
      </c>
      <c r="B8" s="95" t="str">
        <f>IF(COUNTIFS(FER_F,B7)&gt;0,"Feriado: "&amp;INDEX(FER_N,MATCH(B7,FER_F,0)),IF(INDEX(CFG_WDAYS,WEEKDAY(B7,2))="Sí","Laborable","No laborable"))</f>
        <v>Laborable</v>
      </c>
      <c r="C8" s="95" t="str">
        <f>IF(COUNTIFS(FER_F,C7)&gt;0,"Feriado: "&amp;INDEX(FER_N,MATCH(C7,FER_F,0)),IF(INDEX(CFG_WDAYS,WEEKDAY(C7,2))="Sí","Laborable","No laborable"))</f>
        <v>Laborable</v>
      </c>
      <c r="D8" s="95" t="str">
        <f>IF(COUNTIFS(FER_F,D7)&gt;0,"Feriado: "&amp;INDEX(FER_N,MATCH(D7,FER_F,0)),IF(INDEX(CFG_WDAYS,WEEKDAY(D7,2))="Sí","Laborable","No laborable"))</f>
        <v>Laborable</v>
      </c>
      <c r="E8" s="95" t="str">
        <f>IF(COUNTIFS(FER_F,E7)&gt;0,"Feriado: "&amp;INDEX(FER_N,MATCH(E7,FER_F,0)),IF(INDEX(CFG_WDAYS,WEEKDAY(E7,2))="Sí","Laborable","No laborable"))</f>
        <v>Laborable</v>
      </c>
      <c r="F8" s="95" t="str">
        <f>IF(COUNTIFS(FER_F,F7)&gt;0,"Feriado: "&amp;INDEX(FER_N,MATCH(F7,FER_F,0)),IF(INDEX(CFG_WDAYS,WEEKDAY(F7,2))="Sí","Laborable","No laborable"))</f>
        <v>Laborable</v>
      </c>
      <c r="G8" s="95" t="str">
        <f>IF(COUNTIFS(FER_F,G7)&gt;0,"Feriado: "&amp;INDEX(FER_N,MATCH(G7,FER_F,0)),IF(INDEX(CFG_WDAYS,WEEKDAY(G7,2))="Sí","Laborable","No laborable"))</f>
        <v>No laborable</v>
      </c>
      <c r="H8" s="95" t="str">
        <f>IF(COUNTIFS(FER_F,H7)&gt;0,"Feriado: "&amp;INDEX(FER_N,MATCH(H7,FER_F,0)),IF(INDEX(CFG_WDAYS,WEEKDAY(H7,2))="Sí","Laborable","No laborable"))</f>
        <v>No laborable</v>
      </c>
    </row>
    <row r="9">
      <c r="A9" s="96" t="inlineStr">
        <is>
          <t>Malcolm</t>
        </is>
      </c>
      <c r="B9" s="97">
        <f>SUMIFS(R_HD0,R_Emp,"Malcolm",R_Fecha,B$7)+SUMIFS(R_HD1,R_Emp,"Malcolm",R_D1,B$7)</f>
        <v>6.333333</v>
      </c>
      <c r="C9" s="97">
        <f>SUMIFS(R_HD0,R_Emp,"Malcolm",R_Fecha,C$7)+SUMIFS(R_HD1,R_Emp,"Malcolm",R_D1,C$7)</f>
        <v>0</v>
      </c>
      <c r="D9" s="97">
        <f>SUMIFS(R_HD0,R_Emp,"Malcolm",R_Fecha,D$7)+SUMIFS(R_HD1,R_Emp,"Malcolm",R_D1,D$7)</f>
        <v>0</v>
      </c>
      <c r="E9" s="97">
        <f>SUMIFS(R_HD0,R_Emp,"Malcolm",R_Fecha,E$7)+SUMIFS(R_HD1,R_Emp,"Malcolm",R_D1,E$7)</f>
        <v>0</v>
      </c>
      <c r="F9" s="97">
        <f>SUMIFS(R_HD0,R_Emp,"Malcolm",R_Fecha,F$7)+SUMIFS(R_HD1,R_Emp,"Malcolm",R_D1,F$7)</f>
        <v>0</v>
      </c>
      <c r="G9" s="97">
        <f>SUMIFS(R_HD0,R_Emp,"Malcolm",R_Fecha,G$7)+SUMIFS(R_HD1,R_Emp,"Malcolm",R_D1,G$7)</f>
        <v>0</v>
      </c>
      <c r="H9" s="97">
        <f>SUMIFS(R_HD0,R_Emp,"Malcolm",R_Fecha,H$7)+SUMIFS(R_HD1,R_Emp,"Malcolm",R_D1,H$7)</f>
        <v>0</v>
      </c>
    </row>
    <row r="10">
      <c r="A10" s="98" t="inlineStr">
        <is>
          <t>proMX</t>
        </is>
      </c>
      <c r="B10" s="99">
        <f>SUMIFS(R_HD0,R_Emp,"proMX",R_Fecha,B$7)+SUMIFS(R_HD1,R_Emp,"proMX",R_D1,B$7)</f>
        <v>0</v>
      </c>
      <c r="C10" s="99">
        <f>SUMIFS(R_HD0,R_Emp,"proMX",R_Fecha,C$7)+SUMIFS(R_HD1,R_Emp,"proMX",R_D1,C$7)</f>
        <v>1.5</v>
      </c>
      <c r="D10" s="99">
        <f>SUMIFS(R_HD0,R_Emp,"proMX",R_Fecha,D$7)+SUMIFS(R_HD1,R_Emp,"proMX",R_D1,D$7)</f>
        <v>0</v>
      </c>
      <c r="E10" s="99">
        <f>SUMIFS(R_HD0,R_Emp,"proMX",R_Fecha,E$7)+SUMIFS(R_HD1,R_Emp,"proMX",R_D1,E$7)</f>
        <v>0</v>
      </c>
      <c r="F10" s="99">
        <f>SUMIFS(R_HD0,R_Emp,"proMX",R_Fecha,F$7)+SUMIFS(R_HD1,R_Emp,"proMX",R_D1,F$7)</f>
        <v>0</v>
      </c>
      <c r="G10" s="99">
        <f>SUMIFS(R_HD0,R_Emp,"proMX",R_Fecha,G$7)+SUMIFS(R_HD1,R_Emp,"proMX",R_D1,G$7)</f>
        <v>0</v>
      </c>
      <c r="H10" s="99">
        <f>SUMIFS(R_HD0,R_Emp,"proMX",R_Fecha,H$7)+SUMIFS(R_HD1,R_Emp,"proMX",R_D1,H$7)</f>
        <v>0</v>
      </c>
    </row>
    <row r="11">
      <c r="A11" s="93" t="inlineStr">
        <is>
          <t>Total</t>
        </is>
      </c>
      <c r="B11" s="100">
        <f>B9+B10</f>
        <v>6.333333</v>
      </c>
      <c r="C11" s="100">
        <f>C9+C10</f>
        <v>1.5</v>
      </c>
      <c r="D11" s="100">
        <f>D9+D10</f>
        <v>0</v>
      </c>
      <c r="E11" s="100">
        <f>E9+E10</f>
        <v>0</v>
      </c>
      <c r="F11" s="100">
        <f>F9+F10</f>
        <v>0</v>
      </c>
      <c r="G11" s="100">
        <f>G9+G10</f>
        <v>0</v>
      </c>
      <c r="H11" s="100">
        <f>H9+H10</f>
        <v>0</v>
      </c>
    </row>
    <row r="12" ht="6" customHeight="1"/>
    <row r="13" ht="20" customHeight="1">
      <c r="A13" s="101" t="n">
        <v>0.25</v>
      </c>
      <c r="B13" s="102" t="str">
        <f>IF(O13=0,"",IF(O13=8,"⚠ Malcolm + proMX",IF(O13=1,IF(K13&gt;1,"Malcolm ("&amp;K13&amp;" tareas)",IF(OR(TRUE,INDEX(R_SN,L13)&gt;=(INT(B$7)*1440+360)),"Malcolm · "&amp;INDEX(R_Label,L13)&amp;" ("&amp;TEXT(INDEX(R_Ini,L13),"hh:mm")&amp;"–"&amp;TEXT(INDEX(R_Fin,L13),"hh:mm")&amp;")","")),IF(OR(TRUE,INDEX(R_SN,N13)&gt;=(INT(B$7)*1440+360)),"proMX · "&amp;INDEX(R_Label,N13)&amp;" · "&amp;INDEX(R_St,N13),""))))</f>
        <v/>
      </c>
      <c r="C13" s="102" t="str">
        <f>IF(T13=0,"",IF(T13=8,"⚠ Malcolm + proMX",IF(T13=1,IF(P13&gt;1,"Malcolm ("&amp;P13&amp;" tareas)",IF(OR(TRUE,INDEX(R_SN,Q13)&gt;=(INT(C$7)*1440+360)),"Malcolm · "&amp;INDEX(R_Label,Q13)&amp;" ("&amp;TEXT(INDEX(R_Ini,Q13),"hh:mm")&amp;"–"&amp;TEXT(INDEX(R_Fin,Q13),"hh:mm")&amp;")","")),IF(OR(TRUE,INDEX(R_SN,S13)&gt;=(INT(C$7)*1440+360)),"proMX · "&amp;INDEX(R_Label,S13)&amp;" · "&amp;INDEX(R_St,S13),""))))</f>
        <v/>
      </c>
      <c r="D13" s="102" t="str">
        <f>IF(Y13=0,"",IF(Y13=8,"⚠ Malcolm + proMX",IF(Y13=1,IF(U13&gt;1,"Malcolm ("&amp;U13&amp;" tareas)",IF(OR(TRUE,INDEX(R_SN,V13)&gt;=(INT(D$7)*1440+360)),"Malcolm · "&amp;INDEX(R_Label,V13)&amp;" ("&amp;TEXT(INDEX(R_Ini,V13),"hh:mm")&amp;"–"&amp;TEXT(INDEX(R_Fin,V13),"hh:mm")&amp;")","")),IF(OR(TRUE,INDEX(R_SN,X13)&gt;=(INT(D$7)*1440+360)),"proMX · "&amp;INDEX(R_Label,X13)&amp;" · "&amp;INDEX(R_St,X13),""))))</f>
        <v/>
      </c>
      <c r="E13" s="102" t="str">
        <f>IF(AD13=0,"",IF(AD13=8,"⚠ Malcolm + proMX",IF(AD13=1,IF(Z13&gt;1,"Malcolm ("&amp;Z13&amp;" tareas)",IF(OR(TRUE,INDEX(R_SN,AA13)&gt;=(INT(E$7)*1440+360)),"Malcolm · "&amp;INDEX(R_Label,AA13)&amp;" ("&amp;TEXT(INDEX(R_Ini,AA13),"hh:mm")&amp;"–"&amp;TEXT(INDEX(R_Fin,AA13),"hh:mm")&amp;")","")),IF(OR(TRUE,INDEX(R_SN,AC13)&gt;=(INT(E$7)*1440+360)),"proMX · "&amp;INDEX(R_Label,AC13)&amp;" · "&amp;INDEX(R_St,AC13),""))))</f>
        <v/>
      </c>
      <c r="F13" s="102" t="str">
        <f>IF(AI13=0,"",IF(AI13=8,"⚠ Malcolm + proMX",IF(AI13=1,IF(AE13&gt;1,"Malcolm ("&amp;AE13&amp;" tareas)",IF(OR(TRUE,INDEX(R_SN,AF13)&gt;=(INT(F$7)*1440+360)),"Malcolm · "&amp;INDEX(R_Label,AF13)&amp;" ("&amp;TEXT(INDEX(R_Ini,AF13),"hh:mm")&amp;"–"&amp;TEXT(INDEX(R_Fin,AF13),"hh:mm")&amp;")","")),IF(OR(TRUE,INDEX(R_SN,AH13)&gt;=(INT(F$7)*1440+360)),"proMX · "&amp;INDEX(R_Label,AH13)&amp;" · "&amp;INDEX(R_St,AH13),""))))</f>
        <v/>
      </c>
      <c r="G13" s="102" t="str">
        <f>IF(AN13=0,"",IF(AN13=8,"⚠ Malcolm + proMX",IF(AN13=1,IF(AJ13&gt;1,"Malcolm ("&amp;AJ13&amp;" tareas)",IF(OR(TRUE,INDEX(R_SN,AK13)&gt;=(INT(G$7)*1440+360)),"Malcolm · "&amp;INDEX(R_Label,AK13)&amp;" ("&amp;TEXT(INDEX(R_Ini,AK13),"hh:mm")&amp;"–"&amp;TEXT(INDEX(R_Fin,AK13),"hh:mm")&amp;")","")),IF(OR(TRUE,INDEX(R_SN,AM13)&gt;=(INT(G$7)*1440+360)),"proMX · "&amp;INDEX(R_Label,AM13)&amp;" · "&amp;INDEX(R_St,AM13),""))))</f>
        <v/>
      </c>
      <c r="H13" s="102" t="str">
        <f>IF(AS13=0,"",IF(AS13=8,"⚠ Malcolm + proMX",IF(AS13=1,IF(AO13&gt;1,"Malcolm ("&amp;AO13&amp;" tareas)",IF(OR(TRUE,INDEX(R_SN,AP13)&gt;=(INT(H$7)*1440+360)),"Malcolm · "&amp;INDEX(R_Label,AP13)&amp;" ("&amp;TEXT(INDEX(R_Ini,AP13),"hh:mm")&amp;"–"&amp;TEXT(INDEX(R_Fin,AP13),"hh:mm")&amp;")","")),IF(OR(TRUE,INDEX(R_SN,AR13)&gt;=(INT(H$7)*1440+360)),"proMX · "&amp;INDEX(R_Label,AR13)&amp;" · "&amp;INDEX(R_St,AR13),""))))</f>
        <v/>
      </c>
      <c r="K13">
        <f>COUNTIFS(R_Emp,"Malcolm",R_Cnt,1,R_SN,"&lt;"&amp;((INT(B$7)*1440+360)+30),R_EN,"&gt;"&amp;(INT(B$7)*1440+360))</f>
        <v>0</v>
      </c>
      <c r="L13">
        <f>IF(K13&gt;0,_xlfn.MINIFS(R_ID,R_Emp,"Malcolm",R_Cnt,1,R_SN,"&lt;"&amp;((INT(B$7)*1440+360)+30),R_EN,"&gt;"&amp;(INT(B$7)*1440+360)),0)</f>
        <v>0</v>
      </c>
      <c r="M13">
        <f>COUNTIFS(R_Emp,"proMX",R_Cnt,1,R_SN,"&lt;"&amp;((INT(B$7)*1440+360)+30),R_EN,"&gt;"&amp;(INT(B$7)*1440+360))</f>
        <v>0</v>
      </c>
      <c r="N13">
        <f>IF(M13&gt;0,_xlfn.MINIFS(R_ID,R_Emp,"proMX",R_Cnt,1,R_SN,"&lt;"&amp;((INT(B$7)*1440+360)+30),R_EN,"&gt;"&amp;(INT(B$7)*1440+360)),0)</f>
        <v>0</v>
      </c>
      <c r="O13">
        <f>IF(AND(K13&gt;0,M13&gt;0),8,IF(K13&gt;0,1,IF(M13&gt;0,INDEX(R_StCode,N13),0)))</f>
        <v>0</v>
      </c>
      <c r="P13">
        <f>COUNTIFS(R_Emp,"Malcolm",R_Cnt,1,R_SN,"&lt;"&amp;((INT(C$7)*1440+360)+30),R_EN,"&gt;"&amp;(INT(C$7)*1440+360))</f>
        <v>0</v>
      </c>
      <c r="Q13">
        <f>IF(P13&gt;0,_xlfn.MINIFS(R_ID,R_Emp,"Malcolm",R_Cnt,1,R_SN,"&lt;"&amp;((INT(C$7)*1440+360)+30),R_EN,"&gt;"&amp;(INT(C$7)*1440+360)),0)</f>
        <v>0</v>
      </c>
      <c r="R13">
        <f>COUNTIFS(R_Emp,"proMX",R_Cnt,1,R_SN,"&lt;"&amp;((INT(C$7)*1440+360)+30),R_EN,"&gt;"&amp;(INT(C$7)*1440+360))</f>
        <v>0</v>
      </c>
      <c r="S13">
        <f>IF(R13&gt;0,_xlfn.MINIFS(R_ID,R_Emp,"proMX",R_Cnt,1,R_SN,"&lt;"&amp;((INT(C$7)*1440+360)+30),R_EN,"&gt;"&amp;(INT(C$7)*1440+360)),0)</f>
        <v>0</v>
      </c>
      <c r="T13">
        <f>IF(AND(P13&gt;0,R13&gt;0),8,IF(P13&gt;0,1,IF(R13&gt;0,INDEX(R_StCode,S13),0)))</f>
        <v>0</v>
      </c>
      <c r="U13">
        <f>COUNTIFS(R_Emp,"Malcolm",R_Cnt,1,R_SN,"&lt;"&amp;((INT(D$7)*1440+360)+30),R_EN,"&gt;"&amp;(INT(D$7)*1440+360))</f>
        <v>0</v>
      </c>
      <c r="V13">
        <f>IF(U13&gt;0,_xlfn.MINIFS(R_ID,R_Emp,"Malcolm",R_Cnt,1,R_SN,"&lt;"&amp;((INT(D$7)*1440+360)+30),R_EN,"&gt;"&amp;(INT(D$7)*1440+360)),0)</f>
        <v>0</v>
      </c>
      <c r="W13">
        <f>COUNTIFS(R_Emp,"proMX",R_Cnt,1,R_SN,"&lt;"&amp;((INT(D$7)*1440+360)+30),R_EN,"&gt;"&amp;(INT(D$7)*1440+360))</f>
        <v>0</v>
      </c>
      <c r="X13">
        <f>IF(W13&gt;0,_xlfn.MINIFS(R_ID,R_Emp,"proMX",R_Cnt,1,R_SN,"&lt;"&amp;((INT(D$7)*1440+360)+30),R_EN,"&gt;"&amp;(INT(D$7)*1440+360)),0)</f>
        <v>0</v>
      </c>
      <c r="Y13">
        <f>IF(AND(U13&gt;0,W13&gt;0),8,IF(U13&gt;0,1,IF(W13&gt;0,INDEX(R_StCode,X13),0)))</f>
        <v>0</v>
      </c>
      <c r="Z13">
        <f>COUNTIFS(R_Emp,"Malcolm",R_Cnt,1,R_SN,"&lt;"&amp;((INT(E$7)*1440+360)+30),R_EN,"&gt;"&amp;(INT(E$7)*1440+360))</f>
        <v>0</v>
      </c>
      <c r="AA13">
        <f>IF(Z13&gt;0,_xlfn.MINIFS(R_ID,R_Emp,"Malcolm",R_Cnt,1,R_SN,"&lt;"&amp;((INT(E$7)*1440+360)+30),R_EN,"&gt;"&amp;(INT(E$7)*1440+360)),0)</f>
        <v>0</v>
      </c>
      <c r="AB13">
        <f>COUNTIFS(R_Emp,"proMX",R_Cnt,1,R_SN,"&lt;"&amp;((INT(E$7)*1440+360)+30),R_EN,"&gt;"&amp;(INT(E$7)*1440+360))</f>
        <v>0</v>
      </c>
      <c r="AC13">
        <f>IF(AB13&gt;0,_xlfn.MINIFS(R_ID,R_Emp,"proMX",R_Cnt,1,R_SN,"&lt;"&amp;((INT(E$7)*1440+360)+30),R_EN,"&gt;"&amp;(INT(E$7)*1440+360)),0)</f>
        <v>0</v>
      </c>
      <c r="AD13">
        <f>IF(AND(Z13&gt;0,AB13&gt;0),8,IF(Z13&gt;0,1,IF(AB13&gt;0,INDEX(R_StCode,AC13),0)))</f>
        <v>0</v>
      </c>
      <c r="AE13">
        <f>COUNTIFS(R_Emp,"Malcolm",R_Cnt,1,R_SN,"&lt;"&amp;((INT(F$7)*1440+360)+30),R_EN,"&gt;"&amp;(INT(F$7)*1440+360))</f>
        <v>0</v>
      </c>
      <c r="AF13">
        <f>IF(AE13&gt;0,_xlfn.MINIFS(R_ID,R_Emp,"Malcolm",R_Cnt,1,R_SN,"&lt;"&amp;((INT(F$7)*1440+360)+30),R_EN,"&gt;"&amp;(INT(F$7)*1440+360)),0)</f>
        <v>0</v>
      </c>
      <c r="AG13">
        <f>COUNTIFS(R_Emp,"proMX",R_Cnt,1,R_SN,"&lt;"&amp;((INT(F$7)*1440+360)+30),R_EN,"&gt;"&amp;(INT(F$7)*1440+360))</f>
        <v>0</v>
      </c>
      <c r="AH13">
        <f>IF(AG13&gt;0,_xlfn.MINIFS(R_ID,R_Emp,"proMX",R_Cnt,1,R_SN,"&lt;"&amp;((INT(F$7)*1440+360)+30),R_EN,"&gt;"&amp;(INT(F$7)*1440+360)),0)</f>
        <v>0</v>
      </c>
      <c r="AI13">
        <f>IF(AND(AE13&gt;0,AG13&gt;0),8,IF(AE13&gt;0,1,IF(AG13&gt;0,INDEX(R_StCode,AH13),0)))</f>
        <v>0</v>
      </c>
      <c r="AJ13">
        <f>COUNTIFS(R_Emp,"Malcolm",R_Cnt,1,R_SN,"&lt;"&amp;((INT(G$7)*1440+360)+30),R_EN,"&gt;"&amp;(INT(G$7)*1440+360))</f>
        <v>0</v>
      </c>
      <c r="AK13">
        <f>IF(AJ13&gt;0,_xlfn.MINIFS(R_ID,R_Emp,"Malcolm",R_Cnt,1,R_SN,"&lt;"&amp;((INT(G$7)*1440+360)+30),R_EN,"&gt;"&amp;(INT(G$7)*1440+360)),0)</f>
        <v>0</v>
      </c>
      <c r="AL13">
        <f>COUNTIFS(R_Emp,"proMX",R_Cnt,1,R_SN,"&lt;"&amp;((INT(G$7)*1440+360)+30),R_EN,"&gt;"&amp;(INT(G$7)*1440+360))</f>
        <v>0</v>
      </c>
      <c r="AM13">
        <f>IF(AL13&gt;0,_xlfn.MINIFS(R_ID,R_Emp,"proMX",R_Cnt,1,R_SN,"&lt;"&amp;((INT(G$7)*1440+360)+30),R_EN,"&gt;"&amp;(INT(G$7)*1440+360)),0)</f>
        <v>0</v>
      </c>
      <c r="AN13">
        <f>IF(AND(AJ13&gt;0,AL13&gt;0),8,IF(AJ13&gt;0,1,IF(AL13&gt;0,INDEX(R_StCode,AM13),0)))</f>
        <v>0</v>
      </c>
      <c r="AO13">
        <f>COUNTIFS(R_Emp,"Malcolm",R_Cnt,1,R_SN,"&lt;"&amp;((INT(H$7)*1440+360)+30),R_EN,"&gt;"&amp;(INT(H$7)*1440+360))</f>
        <v>0</v>
      </c>
      <c r="AP13">
        <f>IF(AO13&gt;0,_xlfn.MINIFS(R_ID,R_Emp,"Malcolm",R_Cnt,1,R_SN,"&lt;"&amp;((INT(H$7)*1440+360)+30),R_EN,"&gt;"&amp;(INT(H$7)*1440+360)),0)</f>
        <v>0</v>
      </c>
      <c r="AQ13">
        <f>COUNTIFS(R_Emp,"proMX",R_Cnt,1,R_SN,"&lt;"&amp;((INT(H$7)*1440+360)+30),R_EN,"&gt;"&amp;(INT(H$7)*1440+360))</f>
        <v>0</v>
      </c>
      <c r="AR13">
        <f>IF(AQ13&gt;0,_xlfn.MINIFS(R_ID,R_Emp,"proMX",R_Cnt,1,R_SN,"&lt;"&amp;((INT(H$7)*1440+360)+30),R_EN,"&gt;"&amp;(INT(H$7)*1440+360)),0)</f>
        <v>0</v>
      </c>
      <c r="AS13">
        <f>IF(AND(AO13&gt;0,AQ13&gt;0),8,IF(AO13&gt;0,1,IF(AQ13&gt;0,INDEX(R_StCode,AR13),0)))</f>
        <v>0</v>
      </c>
    </row>
    <row r="14" ht="20" customHeight="1">
      <c r="A14" s="101" t="n">
        <v>0.2708333333333333</v>
      </c>
      <c r="B14" s="102" t="str">
        <f>IF(O14=0,"",IF(O14=8,"⚠ Malcolm + proMX",IF(O14=1,IF(K14&gt;1,"Malcolm ("&amp;K14&amp;" tareas)",IF(OR(FALSE,INDEX(R_SN,L14)&gt;=(INT(B$7)*1440+390)),"Malcolm · "&amp;INDEX(R_Label,L14)&amp;" ("&amp;TEXT(INDEX(R_Ini,L14),"hh:mm")&amp;"–"&amp;TEXT(INDEX(R_Fin,L14),"hh:mm")&amp;")","")),IF(OR(FALSE,INDEX(R_SN,N14)&gt;=(INT(B$7)*1440+390)),"proMX · "&amp;INDEX(R_Label,N14)&amp;" · "&amp;INDEX(R_St,N14),""))))</f>
        <v/>
      </c>
      <c r="C14" s="102" t="str">
        <f>IF(T14=0,"",IF(T14=8,"⚠ Malcolm + proMX",IF(T14=1,IF(P14&gt;1,"Malcolm ("&amp;P14&amp;" tareas)",IF(OR(FALSE,INDEX(R_SN,Q14)&gt;=(INT(C$7)*1440+390)),"Malcolm · "&amp;INDEX(R_Label,Q14)&amp;" ("&amp;TEXT(INDEX(R_Ini,Q14),"hh:mm")&amp;"–"&amp;TEXT(INDEX(R_Fin,Q14),"hh:mm")&amp;")","")),IF(OR(FALSE,INDEX(R_SN,S14)&gt;=(INT(C$7)*1440+390)),"proMX · "&amp;INDEX(R_Label,S14)&amp;" · "&amp;INDEX(R_St,S14),""))))</f>
        <v/>
      </c>
      <c r="D14" s="102" t="str">
        <f>IF(Y14=0,"",IF(Y14=8,"⚠ Malcolm + proMX",IF(Y14=1,IF(U14&gt;1,"Malcolm ("&amp;U14&amp;" tareas)",IF(OR(FALSE,INDEX(R_SN,V14)&gt;=(INT(D$7)*1440+390)),"Malcolm · "&amp;INDEX(R_Label,V14)&amp;" ("&amp;TEXT(INDEX(R_Ini,V14),"hh:mm")&amp;"–"&amp;TEXT(INDEX(R_Fin,V14),"hh:mm")&amp;")","")),IF(OR(FALSE,INDEX(R_SN,X14)&gt;=(INT(D$7)*1440+390)),"proMX · "&amp;INDEX(R_Label,X14)&amp;" · "&amp;INDEX(R_St,X14),""))))</f>
        <v/>
      </c>
      <c r="E14" s="102" t="str">
        <f>IF(AD14=0,"",IF(AD14=8,"⚠ Malcolm + proMX",IF(AD14=1,IF(Z14&gt;1,"Malcolm ("&amp;Z14&amp;" tareas)",IF(OR(FALSE,INDEX(R_SN,AA14)&gt;=(INT(E$7)*1440+390)),"Malcolm · "&amp;INDEX(R_Label,AA14)&amp;" ("&amp;TEXT(INDEX(R_Ini,AA14),"hh:mm")&amp;"–"&amp;TEXT(INDEX(R_Fin,AA14),"hh:mm")&amp;")","")),IF(OR(FALSE,INDEX(R_SN,AC14)&gt;=(INT(E$7)*1440+390)),"proMX · "&amp;INDEX(R_Label,AC14)&amp;" · "&amp;INDEX(R_St,AC14),""))))</f>
        <v/>
      </c>
      <c r="F14" s="102" t="str">
        <f>IF(AI14=0,"",IF(AI14=8,"⚠ Malcolm + proMX",IF(AI14=1,IF(AE14&gt;1,"Malcolm ("&amp;AE14&amp;" tareas)",IF(OR(FALSE,INDEX(R_SN,AF14)&gt;=(INT(F$7)*1440+390)),"Malcolm · "&amp;INDEX(R_Label,AF14)&amp;" ("&amp;TEXT(INDEX(R_Ini,AF14),"hh:mm")&amp;"–"&amp;TEXT(INDEX(R_Fin,AF14),"hh:mm")&amp;")","")),IF(OR(FALSE,INDEX(R_SN,AH14)&gt;=(INT(F$7)*1440+390)),"proMX · "&amp;INDEX(R_Label,AH14)&amp;" · "&amp;INDEX(R_St,AH14),""))))</f>
        <v/>
      </c>
      <c r="G14" s="102" t="str">
        <f>IF(AN14=0,"",IF(AN14=8,"⚠ Malcolm + proMX",IF(AN14=1,IF(AJ14&gt;1,"Malcolm ("&amp;AJ14&amp;" tareas)",IF(OR(FALSE,INDEX(R_SN,AK14)&gt;=(INT(G$7)*1440+390)),"Malcolm · "&amp;INDEX(R_Label,AK14)&amp;" ("&amp;TEXT(INDEX(R_Ini,AK14),"hh:mm")&amp;"–"&amp;TEXT(INDEX(R_Fin,AK14),"hh:mm")&amp;")","")),IF(OR(FALSE,INDEX(R_SN,AM14)&gt;=(INT(G$7)*1440+390)),"proMX · "&amp;INDEX(R_Label,AM14)&amp;" · "&amp;INDEX(R_St,AM14),""))))</f>
        <v/>
      </c>
      <c r="H14" s="102" t="str">
        <f>IF(AS14=0,"",IF(AS14=8,"⚠ Malcolm + proMX",IF(AS14=1,IF(AO14&gt;1,"Malcolm ("&amp;AO14&amp;" tareas)",IF(OR(FALSE,INDEX(R_SN,AP14)&gt;=(INT(H$7)*1440+390)),"Malcolm · "&amp;INDEX(R_Label,AP14)&amp;" ("&amp;TEXT(INDEX(R_Ini,AP14),"hh:mm")&amp;"–"&amp;TEXT(INDEX(R_Fin,AP14),"hh:mm")&amp;")","")),IF(OR(FALSE,INDEX(R_SN,AR14)&gt;=(INT(H$7)*1440+390)),"proMX · "&amp;INDEX(R_Label,AR14)&amp;" · "&amp;INDEX(R_St,AR14),""))))</f>
        <v/>
      </c>
      <c r="K14">
        <f>COUNTIFS(R_Emp,"Malcolm",R_Cnt,1,R_SN,"&lt;"&amp;((INT(B$7)*1440+390)+30),R_EN,"&gt;"&amp;(INT(B$7)*1440+390))</f>
        <v>0</v>
      </c>
      <c r="L14">
        <f>IF(K14&gt;0,_xlfn.MINIFS(R_ID,R_Emp,"Malcolm",R_Cnt,1,R_SN,"&lt;"&amp;((INT(B$7)*1440+390)+30),R_EN,"&gt;"&amp;(INT(B$7)*1440+390)),0)</f>
        <v>0</v>
      </c>
      <c r="M14">
        <f>COUNTIFS(R_Emp,"proMX",R_Cnt,1,R_SN,"&lt;"&amp;((INT(B$7)*1440+390)+30),R_EN,"&gt;"&amp;(INT(B$7)*1440+390))</f>
        <v>0</v>
      </c>
      <c r="N14">
        <f>IF(M14&gt;0,_xlfn.MINIFS(R_ID,R_Emp,"proMX",R_Cnt,1,R_SN,"&lt;"&amp;((INT(B$7)*1440+390)+30),R_EN,"&gt;"&amp;(INT(B$7)*1440+390)),0)</f>
        <v>0</v>
      </c>
      <c r="O14">
        <f>IF(AND(K14&gt;0,M14&gt;0),8,IF(K14&gt;0,1,IF(M14&gt;0,INDEX(R_StCode,N14),0)))</f>
        <v>0</v>
      </c>
      <c r="P14">
        <f>COUNTIFS(R_Emp,"Malcolm",R_Cnt,1,R_SN,"&lt;"&amp;((INT(C$7)*1440+390)+30),R_EN,"&gt;"&amp;(INT(C$7)*1440+390))</f>
        <v>0</v>
      </c>
      <c r="Q14">
        <f>IF(P14&gt;0,_xlfn.MINIFS(R_ID,R_Emp,"Malcolm",R_Cnt,1,R_SN,"&lt;"&amp;((INT(C$7)*1440+390)+30),R_EN,"&gt;"&amp;(INT(C$7)*1440+390)),0)</f>
        <v>0</v>
      </c>
      <c r="R14">
        <f>COUNTIFS(R_Emp,"proMX",R_Cnt,1,R_SN,"&lt;"&amp;((INT(C$7)*1440+390)+30),R_EN,"&gt;"&amp;(INT(C$7)*1440+390))</f>
        <v>0</v>
      </c>
      <c r="S14">
        <f>IF(R14&gt;0,_xlfn.MINIFS(R_ID,R_Emp,"proMX",R_Cnt,1,R_SN,"&lt;"&amp;((INT(C$7)*1440+390)+30),R_EN,"&gt;"&amp;(INT(C$7)*1440+390)),0)</f>
        <v>0</v>
      </c>
      <c r="T14">
        <f>IF(AND(P14&gt;0,R14&gt;0),8,IF(P14&gt;0,1,IF(R14&gt;0,INDEX(R_StCode,S14),0)))</f>
        <v>0</v>
      </c>
      <c r="U14">
        <f>COUNTIFS(R_Emp,"Malcolm",R_Cnt,1,R_SN,"&lt;"&amp;((INT(D$7)*1440+390)+30),R_EN,"&gt;"&amp;(INT(D$7)*1440+390))</f>
        <v>0</v>
      </c>
      <c r="V14">
        <f>IF(U14&gt;0,_xlfn.MINIFS(R_ID,R_Emp,"Malcolm",R_Cnt,1,R_SN,"&lt;"&amp;((INT(D$7)*1440+390)+30),R_EN,"&gt;"&amp;(INT(D$7)*1440+390)),0)</f>
        <v>0</v>
      </c>
      <c r="W14">
        <f>COUNTIFS(R_Emp,"proMX",R_Cnt,1,R_SN,"&lt;"&amp;((INT(D$7)*1440+390)+30),R_EN,"&gt;"&amp;(INT(D$7)*1440+390))</f>
        <v>0</v>
      </c>
      <c r="X14">
        <f>IF(W14&gt;0,_xlfn.MINIFS(R_ID,R_Emp,"proMX",R_Cnt,1,R_SN,"&lt;"&amp;((INT(D$7)*1440+390)+30),R_EN,"&gt;"&amp;(INT(D$7)*1440+390)),0)</f>
        <v>0</v>
      </c>
      <c r="Y14">
        <f>IF(AND(U14&gt;0,W14&gt;0),8,IF(U14&gt;0,1,IF(W14&gt;0,INDEX(R_StCode,X14),0)))</f>
        <v>0</v>
      </c>
      <c r="Z14">
        <f>COUNTIFS(R_Emp,"Malcolm",R_Cnt,1,R_SN,"&lt;"&amp;((INT(E$7)*1440+390)+30),R_EN,"&gt;"&amp;(INT(E$7)*1440+390))</f>
        <v>0</v>
      </c>
      <c r="AA14">
        <f>IF(Z14&gt;0,_xlfn.MINIFS(R_ID,R_Emp,"Malcolm",R_Cnt,1,R_SN,"&lt;"&amp;((INT(E$7)*1440+390)+30),R_EN,"&gt;"&amp;(INT(E$7)*1440+390)),0)</f>
        <v>0</v>
      </c>
      <c r="AB14">
        <f>COUNTIFS(R_Emp,"proMX",R_Cnt,1,R_SN,"&lt;"&amp;((INT(E$7)*1440+390)+30),R_EN,"&gt;"&amp;(INT(E$7)*1440+390))</f>
        <v>0</v>
      </c>
      <c r="AC14">
        <f>IF(AB14&gt;0,_xlfn.MINIFS(R_ID,R_Emp,"proMX",R_Cnt,1,R_SN,"&lt;"&amp;((INT(E$7)*1440+390)+30),R_EN,"&gt;"&amp;(INT(E$7)*1440+390)),0)</f>
        <v>0</v>
      </c>
      <c r="AD14">
        <f>IF(AND(Z14&gt;0,AB14&gt;0),8,IF(Z14&gt;0,1,IF(AB14&gt;0,INDEX(R_StCode,AC14),0)))</f>
        <v>0</v>
      </c>
      <c r="AE14">
        <f>COUNTIFS(R_Emp,"Malcolm",R_Cnt,1,R_SN,"&lt;"&amp;((INT(F$7)*1440+390)+30),R_EN,"&gt;"&amp;(INT(F$7)*1440+390))</f>
        <v>0</v>
      </c>
      <c r="AF14">
        <f>IF(AE14&gt;0,_xlfn.MINIFS(R_ID,R_Emp,"Malcolm",R_Cnt,1,R_SN,"&lt;"&amp;((INT(F$7)*1440+390)+30),R_EN,"&gt;"&amp;(INT(F$7)*1440+390)),0)</f>
        <v>0</v>
      </c>
      <c r="AG14">
        <f>COUNTIFS(R_Emp,"proMX",R_Cnt,1,R_SN,"&lt;"&amp;((INT(F$7)*1440+390)+30),R_EN,"&gt;"&amp;(INT(F$7)*1440+390))</f>
        <v>0</v>
      </c>
      <c r="AH14">
        <f>IF(AG14&gt;0,_xlfn.MINIFS(R_ID,R_Emp,"proMX",R_Cnt,1,R_SN,"&lt;"&amp;((INT(F$7)*1440+390)+30),R_EN,"&gt;"&amp;(INT(F$7)*1440+390)),0)</f>
        <v>0</v>
      </c>
      <c r="AI14">
        <f>IF(AND(AE14&gt;0,AG14&gt;0),8,IF(AE14&gt;0,1,IF(AG14&gt;0,INDEX(R_StCode,AH14),0)))</f>
        <v>0</v>
      </c>
      <c r="AJ14">
        <f>COUNTIFS(R_Emp,"Malcolm",R_Cnt,1,R_SN,"&lt;"&amp;((INT(G$7)*1440+390)+30),R_EN,"&gt;"&amp;(INT(G$7)*1440+390))</f>
        <v>0</v>
      </c>
      <c r="AK14">
        <f>IF(AJ14&gt;0,_xlfn.MINIFS(R_ID,R_Emp,"Malcolm",R_Cnt,1,R_SN,"&lt;"&amp;((INT(G$7)*1440+390)+30),R_EN,"&gt;"&amp;(INT(G$7)*1440+390)),0)</f>
        <v>0</v>
      </c>
      <c r="AL14">
        <f>COUNTIFS(R_Emp,"proMX",R_Cnt,1,R_SN,"&lt;"&amp;((INT(G$7)*1440+390)+30),R_EN,"&gt;"&amp;(INT(G$7)*1440+390))</f>
        <v>0</v>
      </c>
      <c r="AM14">
        <f>IF(AL14&gt;0,_xlfn.MINIFS(R_ID,R_Emp,"proMX",R_Cnt,1,R_SN,"&lt;"&amp;((INT(G$7)*1440+390)+30),R_EN,"&gt;"&amp;(INT(G$7)*1440+390)),0)</f>
        <v>0</v>
      </c>
      <c r="AN14">
        <f>IF(AND(AJ14&gt;0,AL14&gt;0),8,IF(AJ14&gt;0,1,IF(AL14&gt;0,INDEX(R_StCode,AM14),0)))</f>
        <v>0</v>
      </c>
      <c r="AO14">
        <f>COUNTIFS(R_Emp,"Malcolm",R_Cnt,1,R_SN,"&lt;"&amp;((INT(H$7)*1440+390)+30),R_EN,"&gt;"&amp;(INT(H$7)*1440+390))</f>
        <v>0</v>
      </c>
      <c r="AP14">
        <f>IF(AO14&gt;0,_xlfn.MINIFS(R_ID,R_Emp,"Malcolm",R_Cnt,1,R_SN,"&lt;"&amp;((INT(H$7)*1440+390)+30),R_EN,"&gt;"&amp;(INT(H$7)*1440+390)),0)</f>
        <v>0</v>
      </c>
      <c r="AQ14">
        <f>COUNTIFS(R_Emp,"proMX",R_Cnt,1,R_SN,"&lt;"&amp;((INT(H$7)*1440+390)+30),R_EN,"&gt;"&amp;(INT(H$7)*1440+390))</f>
        <v>0</v>
      </c>
      <c r="AR14">
        <f>IF(AQ14&gt;0,_xlfn.MINIFS(R_ID,R_Emp,"proMX",R_Cnt,1,R_SN,"&lt;"&amp;((INT(H$7)*1440+390)+30),R_EN,"&gt;"&amp;(INT(H$7)*1440+390)),0)</f>
        <v>0</v>
      </c>
      <c r="AS14">
        <f>IF(AND(AO14&gt;0,AQ14&gt;0),8,IF(AO14&gt;0,1,IF(AQ14&gt;0,INDEX(R_StCode,AR14),0)))</f>
        <v>0</v>
      </c>
    </row>
    <row r="15" ht="20" customHeight="1">
      <c r="A15" s="101" t="n">
        <v>0.2916666666666667</v>
      </c>
      <c r="B15" s="102" t="str">
        <f>IF(O15=0,"",IF(O15=8,"⚠ Malcolm + proMX",IF(O15=1,IF(K15&gt;1,"Malcolm ("&amp;K15&amp;" tareas)",IF(OR(FALSE,INDEX(R_SN,L15)&gt;=(INT(B$7)*1440+420)),"Malcolm · "&amp;INDEX(R_Label,L15)&amp;" ("&amp;TEXT(INDEX(R_Ini,L15),"hh:mm")&amp;"–"&amp;TEXT(INDEX(R_Fin,L15),"hh:mm")&amp;")","")),IF(OR(FALSE,INDEX(R_SN,N15)&gt;=(INT(B$7)*1440+420)),"proMX · "&amp;INDEX(R_Label,N15)&amp;" · "&amp;INDEX(R_St,N15),""))))</f>
        <v/>
      </c>
      <c r="C15" s="102" t="str">
        <f>IF(T15=0,"",IF(T15=8,"⚠ Malcolm + proMX",IF(T15=1,IF(P15&gt;1,"Malcolm ("&amp;P15&amp;" tareas)",IF(OR(FALSE,INDEX(R_SN,Q15)&gt;=(INT(C$7)*1440+420)),"Malcolm · "&amp;INDEX(R_Label,Q15)&amp;" ("&amp;TEXT(INDEX(R_Ini,Q15),"hh:mm")&amp;"–"&amp;TEXT(INDEX(R_Fin,Q15),"hh:mm")&amp;")","")),IF(OR(FALSE,INDEX(R_SN,S15)&gt;=(INT(C$7)*1440+420)),"proMX · "&amp;INDEX(R_Label,S15)&amp;" · "&amp;INDEX(R_St,S15),""))))</f>
        <v/>
      </c>
      <c r="D15" s="102" t="str">
        <f>IF(Y15=0,"",IF(Y15=8,"⚠ Malcolm + proMX",IF(Y15=1,IF(U15&gt;1,"Malcolm ("&amp;U15&amp;" tareas)",IF(OR(FALSE,INDEX(R_SN,V15)&gt;=(INT(D$7)*1440+420)),"Malcolm · "&amp;INDEX(R_Label,V15)&amp;" ("&amp;TEXT(INDEX(R_Ini,V15),"hh:mm")&amp;"–"&amp;TEXT(INDEX(R_Fin,V15),"hh:mm")&amp;")","")),IF(OR(FALSE,INDEX(R_SN,X15)&gt;=(INT(D$7)*1440+420)),"proMX · "&amp;INDEX(R_Label,X15)&amp;" · "&amp;INDEX(R_St,X15),""))))</f>
        <v/>
      </c>
      <c r="E15" s="102" t="str">
        <f>IF(AD15=0,"",IF(AD15=8,"⚠ Malcolm + proMX",IF(AD15=1,IF(Z15&gt;1,"Malcolm ("&amp;Z15&amp;" tareas)",IF(OR(FALSE,INDEX(R_SN,AA15)&gt;=(INT(E$7)*1440+420)),"Malcolm · "&amp;INDEX(R_Label,AA15)&amp;" ("&amp;TEXT(INDEX(R_Ini,AA15),"hh:mm")&amp;"–"&amp;TEXT(INDEX(R_Fin,AA15),"hh:mm")&amp;")","")),IF(OR(FALSE,INDEX(R_SN,AC15)&gt;=(INT(E$7)*1440+420)),"proMX · "&amp;INDEX(R_Label,AC15)&amp;" · "&amp;INDEX(R_St,AC15),""))))</f>
        <v/>
      </c>
      <c r="F15" s="102" t="str">
        <f>IF(AI15=0,"",IF(AI15=8,"⚠ Malcolm + proMX",IF(AI15=1,IF(AE15&gt;1,"Malcolm ("&amp;AE15&amp;" tareas)",IF(OR(FALSE,INDEX(R_SN,AF15)&gt;=(INT(F$7)*1440+420)),"Malcolm · "&amp;INDEX(R_Label,AF15)&amp;" ("&amp;TEXT(INDEX(R_Ini,AF15),"hh:mm")&amp;"–"&amp;TEXT(INDEX(R_Fin,AF15),"hh:mm")&amp;")","")),IF(OR(FALSE,INDEX(R_SN,AH15)&gt;=(INT(F$7)*1440+420)),"proMX · "&amp;INDEX(R_Label,AH15)&amp;" · "&amp;INDEX(R_St,AH15),""))))</f>
        <v/>
      </c>
      <c r="G15" s="102" t="str">
        <f>IF(AN15=0,"",IF(AN15=8,"⚠ Malcolm + proMX",IF(AN15=1,IF(AJ15&gt;1,"Malcolm ("&amp;AJ15&amp;" tareas)",IF(OR(FALSE,INDEX(R_SN,AK15)&gt;=(INT(G$7)*1440+420)),"Malcolm · "&amp;INDEX(R_Label,AK15)&amp;" ("&amp;TEXT(INDEX(R_Ini,AK15),"hh:mm")&amp;"–"&amp;TEXT(INDEX(R_Fin,AK15),"hh:mm")&amp;")","")),IF(OR(FALSE,INDEX(R_SN,AM15)&gt;=(INT(G$7)*1440+420)),"proMX · "&amp;INDEX(R_Label,AM15)&amp;" · "&amp;INDEX(R_St,AM15),""))))</f>
        <v/>
      </c>
      <c r="H15" s="102" t="str">
        <f>IF(AS15=0,"",IF(AS15=8,"⚠ Malcolm + proMX",IF(AS15=1,IF(AO15&gt;1,"Malcolm ("&amp;AO15&amp;" tareas)",IF(OR(FALSE,INDEX(R_SN,AP15)&gt;=(INT(H$7)*1440+420)),"Malcolm · "&amp;INDEX(R_Label,AP15)&amp;" ("&amp;TEXT(INDEX(R_Ini,AP15),"hh:mm")&amp;"–"&amp;TEXT(INDEX(R_Fin,AP15),"hh:mm")&amp;")","")),IF(OR(FALSE,INDEX(R_SN,AR15)&gt;=(INT(H$7)*1440+420)),"proMX · "&amp;INDEX(R_Label,AR15)&amp;" · "&amp;INDEX(R_St,AR15),""))))</f>
        <v/>
      </c>
      <c r="K15">
        <f>COUNTIFS(R_Emp,"Malcolm",R_Cnt,1,R_SN,"&lt;"&amp;((INT(B$7)*1440+420)+30),R_EN,"&gt;"&amp;(INT(B$7)*1440+420))</f>
        <v>0</v>
      </c>
      <c r="L15">
        <f>IF(K15&gt;0,_xlfn.MINIFS(R_ID,R_Emp,"Malcolm",R_Cnt,1,R_SN,"&lt;"&amp;((INT(B$7)*1440+420)+30),R_EN,"&gt;"&amp;(INT(B$7)*1440+420)),0)</f>
        <v>0</v>
      </c>
      <c r="M15">
        <f>COUNTIFS(R_Emp,"proMX",R_Cnt,1,R_SN,"&lt;"&amp;((INT(B$7)*1440+420)+30),R_EN,"&gt;"&amp;(INT(B$7)*1440+420))</f>
        <v>0</v>
      </c>
      <c r="N15">
        <f>IF(M15&gt;0,_xlfn.MINIFS(R_ID,R_Emp,"proMX",R_Cnt,1,R_SN,"&lt;"&amp;((INT(B$7)*1440+420)+30),R_EN,"&gt;"&amp;(INT(B$7)*1440+420)),0)</f>
        <v>0</v>
      </c>
      <c r="O15">
        <f>IF(AND(K15&gt;0,M15&gt;0),8,IF(K15&gt;0,1,IF(M15&gt;0,INDEX(R_StCode,N15),0)))</f>
        <v>0</v>
      </c>
      <c r="P15">
        <f>COUNTIFS(R_Emp,"Malcolm",R_Cnt,1,R_SN,"&lt;"&amp;((INT(C$7)*1440+420)+30),R_EN,"&gt;"&amp;(INT(C$7)*1440+420))</f>
        <v>0</v>
      </c>
      <c r="Q15">
        <f>IF(P15&gt;0,_xlfn.MINIFS(R_ID,R_Emp,"Malcolm",R_Cnt,1,R_SN,"&lt;"&amp;((INT(C$7)*1440+420)+30),R_EN,"&gt;"&amp;(INT(C$7)*1440+420)),0)</f>
        <v>0</v>
      </c>
      <c r="R15">
        <f>COUNTIFS(R_Emp,"proMX",R_Cnt,1,R_SN,"&lt;"&amp;((INT(C$7)*1440+420)+30),R_EN,"&gt;"&amp;(INT(C$7)*1440+420))</f>
        <v>0</v>
      </c>
      <c r="S15">
        <f>IF(R15&gt;0,_xlfn.MINIFS(R_ID,R_Emp,"proMX",R_Cnt,1,R_SN,"&lt;"&amp;((INT(C$7)*1440+420)+30),R_EN,"&gt;"&amp;(INT(C$7)*1440+420)),0)</f>
        <v>0</v>
      </c>
      <c r="T15">
        <f>IF(AND(P15&gt;0,R15&gt;0),8,IF(P15&gt;0,1,IF(R15&gt;0,INDEX(R_StCode,S15),0)))</f>
        <v>0</v>
      </c>
      <c r="U15">
        <f>COUNTIFS(R_Emp,"Malcolm",R_Cnt,1,R_SN,"&lt;"&amp;((INT(D$7)*1440+420)+30),R_EN,"&gt;"&amp;(INT(D$7)*1440+420))</f>
        <v>0</v>
      </c>
      <c r="V15">
        <f>IF(U15&gt;0,_xlfn.MINIFS(R_ID,R_Emp,"Malcolm",R_Cnt,1,R_SN,"&lt;"&amp;((INT(D$7)*1440+420)+30),R_EN,"&gt;"&amp;(INT(D$7)*1440+420)),0)</f>
        <v>0</v>
      </c>
      <c r="W15">
        <f>COUNTIFS(R_Emp,"proMX",R_Cnt,1,R_SN,"&lt;"&amp;((INT(D$7)*1440+420)+30),R_EN,"&gt;"&amp;(INT(D$7)*1440+420))</f>
        <v>0</v>
      </c>
      <c r="X15">
        <f>IF(W15&gt;0,_xlfn.MINIFS(R_ID,R_Emp,"proMX",R_Cnt,1,R_SN,"&lt;"&amp;((INT(D$7)*1440+420)+30),R_EN,"&gt;"&amp;(INT(D$7)*1440+420)),0)</f>
        <v>0</v>
      </c>
      <c r="Y15">
        <f>IF(AND(U15&gt;0,W15&gt;0),8,IF(U15&gt;0,1,IF(W15&gt;0,INDEX(R_StCode,X15),0)))</f>
        <v>0</v>
      </c>
      <c r="Z15">
        <f>COUNTIFS(R_Emp,"Malcolm",R_Cnt,1,R_SN,"&lt;"&amp;((INT(E$7)*1440+420)+30),R_EN,"&gt;"&amp;(INT(E$7)*1440+420))</f>
        <v>0</v>
      </c>
      <c r="AA15">
        <f>IF(Z15&gt;0,_xlfn.MINIFS(R_ID,R_Emp,"Malcolm",R_Cnt,1,R_SN,"&lt;"&amp;((INT(E$7)*1440+420)+30),R_EN,"&gt;"&amp;(INT(E$7)*1440+420)),0)</f>
        <v>0</v>
      </c>
      <c r="AB15">
        <f>COUNTIFS(R_Emp,"proMX",R_Cnt,1,R_SN,"&lt;"&amp;((INT(E$7)*1440+420)+30),R_EN,"&gt;"&amp;(INT(E$7)*1440+420))</f>
        <v>0</v>
      </c>
      <c r="AC15">
        <f>IF(AB15&gt;0,_xlfn.MINIFS(R_ID,R_Emp,"proMX",R_Cnt,1,R_SN,"&lt;"&amp;((INT(E$7)*1440+420)+30),R_EN,"&gt;"&amp;(INT(E$7)*1440+420)),0)</f>
        <v>0</v>
      </c>
      <c r="AD15">
        <f>IF(AND(Z15&gt;0,AB15&gt;0),8,IF(Z15&gt;0,1,IF(AB15&gt;0,INDEX(R_StCode,AC15),0)))</f>
        <v>0</v>
      </c>
      <c r="AE15">
        <f>COUNTIFS(R_Emp,"Malcolm",R_Cnt,1,R_SN,"&lt;"&amp;((INT(F$7)*1440+420)+30),R_EN,"&gt;"&amp;(INT(F$7)*1440+420))</f>
        <v>0</v>
      </c>
      <c r="AF15">
        <f>IF(AE15&gt;0,_xlfn.MINIFS(R_ID,R_Emp,"Malcolm",R_Cnt,1,R_SN,"&lt;"&amp;((INT(F$7)*1440+420)+30),R_EN,"&gt;"&amp;(INT(F$7)*1440+420)),0)</f>
        <v>0</v>
      </c>
      <c r="AG15">
        <f>COUNTIFS(R_Emp,"proMX",R_Cnt,1,R_SN,"&lt;"&amp;((INT(F$7)*1440+420)+30),R_EN,"&gt;"&amp;(INT(F$7)*1440+420))</f>
        <v>0</v>
      </c>
      <c r="AH15">
        <f>IF(AG15&gt;0,_xlfn.MINIFS(R_ID,R_Emp,"proMX",R_Cnt,1,R_SN,"&lt;"&amp;((INT(F$7)*1440+420)+30),R_EN,"&gt;"&amp;(INT(F$7)*1440+420)),0)</f>
        <v>0</v>
      </c>
      <c r="AI15">
        <f>IF(AND(AE15&gt;0,AG15&gt;0),8,IF(AE15&gt;0,1,IF(AG15&gt;0,INDEX(R_StCode,AH15),0)))</f>
        <v>0</v>
      </c>
      <c r="AJ15">
        <f>COUNTIFS(R_Emp,"Malcolm",R_Cnt,1,R_SN,"&lt;"&amp;((INT(G$7)*1440+420)+30),R_EN,"&gt;"&amp;(INT(G$7)*1440+420))</f>
        <v>0</v>
      </c>
      <c r="AK15">
        <f>IF(AJ15&gt;0,_xlfn.MINIFS(R_ID,R_Emp,"Malcolm",R_Cnt,1,R_SN,"&lt;"&amp;((INT(G$7)*1440+420)+30),R_EN,"&gt;"&amp;(INT(G$7)*1440+420)),0)</f>
        <v>0</v>
      </c>
      <c r="AL15">
        <f>COUNTIFS(R_Emp,"proMX",R_Cnt,1,R_SN,"&lt;"&amp;((INT(G$7)*1440+420)+30),R_EN,"&gt;"&amp;(INT(G$7)*1440+420))</f>
        <v>0</v>
      </c>
      <c r="AM15">
        <f>IF(AL15&gt;0,_xlfn.MINIFS(R_ID,R_Emp,"proMX",R_Cnt,1,R_SN,"&lt;"&amp;((INT(G$7)*1440+420)+30),R_EN,"&gt;"&amp;(INT(G$7)*1440+420)),0)</f>
        <v>0</v>
      </c>
      <c r="AN15">
        <f>IF(AND(AJ15&gt;0,AL15&gt;0),8,IF(AJ15&gt;0,1,IF(AL15&gt;0,INDEX(R_StCode,AM15),0)))</f>
        <v>0</v>
      </c>
      <c r="AO15">
        <f>COUNTIFS(R_Emp,"Malcolm",R_Cnt,1,R_SN,"&lt;"&amp;((INT(H$7)*1440+420)+30),R_EN,"&gt;"&amp;(INT(H$7)*1440+420))</f>
        <v>0</v>
      </c>
      <c r="AP15">
        <f>IF(AO15&gt;0,_xlfn.MINIFS(R_ID,R_Emp,"Malcolm",R_Cnt,1,R_SN,"&lt;"&amp;((INT(H$7)*1440+420)+30),R_EN,"&gt;"&amp;(INT(H$7)*1440+420)),0)</f>
        <v>0</v>
      </c>
      <c r="AQ15">
        <f>COUNTIFS(R_Emp,"proMX",R_Cnt,1,R_SN,"&lt;"&amp;((INT(H$7)*1440+420)+30),R_EN,"&gt;"&amp;(INT(H$7)*1440+420))</f>
        <v>0</v>
      </c>
      <c r="AR15">
        <f>IF(AQ15&gt;0,_xlfn.MINIFS(R_ID,R_Emp,"proMX",R_Cnt,1,R_SN,"&lt;"&amp;((INT(H$7)*1440+420)+30),R_EN,"&gt;"&amp;(INT(H$7)*1440+420)),0)</f>
        <v>0</v>
      </c>
      <c r="AS15">
        <f>IF(AND(AO15&gt;0,AQ15&gt;0),8,IF(AO15&gt;0,1,IF(AQ15&gt;0,INDEX(R_StCode,AR15),0)))</f>
        <v>0</v>
      </c>
    </row>
    <row r="16" ht="20" customHeight="1">
      <c r="A16" s="101" t="n">
        <v>0.3125</v>
      </c>
      <c r="B16" s="102" t="str">
        <f>IF(O16=0,"",IF(O16=8,"⚠ Malcolm + proMX",IF(O16=1,IF(K16&gt;1,"Malcolm ("&amp;K16&amp;" tareas)",IF(OR(FALSE,INDEX(R_SN,L16)&gt;=(INT(B$7)*1440+450)),"Malcolm · "&amp;INDEX(R_Label,L16)&amp;" ("&amp;TEXT(INDEX(R_Ini,L16),"hh:mm")&amp;"–"&amp;TEXT(INDEX(R_Fin,L16),"hh:mm")&amp;")","")),IF(OR(FALSE,INDEX(R_SN,N16)&gt;=(INT(B$7)*1440+450)),"proMX · "&amp;INDEX(R_Label,N16)&amp;" · "&amp;INDEX(R_St,N16),""))))</f>
        <v/>
      </c>
      <c r="C16" s="102" t="str">
        <f>IF(T16=0,"",IF(T16=8,"⚠ Malcolm + proMX",IF(T16=1,IF(P16&gt;1,"Malcolm ("&amp;P16&amp;" tareas)",IF(OR(FALSE,INDEX(R_SN,Q16)&gt;=(INT(C$7)*1440+450)),"Malcolm · "&amp;INDEX(R_Label,Q16)&amp;" ("&amp;TEXT(INDEX(R_Ini,Q16),"hh:mm")&amp;"–"&amp;TEXT(INDEX(R_Fin,Q16),"hh:mm")&amp;")","")),IF(OR(FALSE,INDEX(R_SN,S16)&gt;=(INT(C$7)*1440+450)),"proMX · "&amp;INDEX(R_Label,S16)&amp;" · "&amp;INDEX(R_St,S16),""))))</f>
        <v/>
      </c>
      <c r="D16" s="102" t="str">
        <f>IF(Y16=0,"",IF(Y16=8,"⚠ Malcolm + proMX",IF(Y16=1,IF(U16&gt;1,"Malcolm ("&amp;U16&amp;" tareas)",IF(OR(FALSE,INDEX(R_SN,V16)&gt;=(INT(D$7)*1440+450)),"Malcolm · "&amp;INDEX(R_Label,V16)&amp;" ("&amp;TEXT(INDEX(R_Ini,V16),"hh:mm")&amp;"–"&amp;TEXT(INDEX(R_Fin,V16),"hh:mm")&amp;")","")),IF(OR(FALSE,INDEX(R_SN,X16)&gt;=(INT(D$7)*1440+450)),"proMX · "&amp;INDEX(R_Label,X16)&amp;" · "&amp;INDEX(R_St,X16),""))))</f>
        <v/>
      </c>
      <c r="E16" s="102" t="str">
        <f>IF(AD16=0,"",IF(AD16=8,"⚠ Malcolm + proMX",IF(AD16=1,IF(Z16&gt;1,"Malcolm ("&amp;Z16&amp;" tareas)",IF(OR(FALSE,INDEX(R_SN,AA16)&gt;=(INT(E$7)*1440+450)),"Malcolm · "&amp;INDEX(R_Label,AA16)&amp;" ("&amp;TEXT(INDEX(R_Ini,AA16),"hh:mm")&amp;"–"&amp;TEXT(INDEX(R_Fin,AA16),"hh:mm")&amp;")","")),IF(OR(FALSE,INDEX(R_SN,AC16)&gt;=(INT(E$7)*1440+450)),"proMX · "&amp;INDEX(R_Label,AC16)&amp;" · "&amp;INDEX(R_St,AC16),""))))</f>
        <v/>
      </c>
      <c r="F16" s="102" t="str">
        <f>IF(AI16=0,"",IF(AI16=8,"⚠ Malcolm + proMX",IF(AI16=1,IF(AE16&gt;1,"Malcolm ("&amp;AE16&amp;" tareas)",IF(OR(FALSE,INDEX(R_SN,AF16)&gt;=(INT(F$7)*1440+450)),"Malcolm · "&amp;INDEX(R_Label,AF16)&amp;" ("&amp;TEXT(INDEX(R_Ini,AF16),"hh:mm")&amp;"–"&amp;TEXT(INDEX(R_Fin,AF16),"hh:mm")&amp;")","")),IF(OR(FALSE,INDEX(R_SN,AH16)&gt;=(INT(F$7)*1440+450)),"proMX · "&amp;INDEX(R_Label,AH16)&amp;" · "&amp;INDEX(R_St,AH16),""))))</f>
        <v/>
      </c>
      <c r="G16" s="102" t="str">
        <f>IF(AN16=0,"",IF(AN16=8,"⚠ Malcolm + proMX",IF(AN16=1,IF(AJ16&gt;1,"Malcolm ("&amp;AJ16&amp;" tareas)",IF(OR(FALSE,INDEX(R_SN,AK16)&gt;=(INT(G$7)*1440+450)),"Malcolm · "&amp;INDEX(R_Label,AK16)&amp;" ("&amp;TEXT(INDEX(R_Ini,AK16),"hh:mm")&amp;"–"&amp;TEXT(INDEX(R_Fin,AK16),"hh:mm")&amp;")","")),IF(OR(FALSE,INDEX(R_SN,AM16)&gt;=(INT(G$7)*1440+450)),"proMX · "&amp;INDEX(R_Label,AM16)&amp;" · "&amp;INDEX(R_St,AM16),""))))</f>
        <v/>
      </c>
      <c r="H16" s="102" t="str">
        <f>IF(AS16=0,"",IF(AS16=8,"⚠ Malcolm + proMX",IF(AS16=1,IF(AO16&gt;1,"Malcolm ("&amp;AO16&amp;" tareas)",IF(OR(FALSE,INDEX(R_SN,AP16)&gt;=(INT(H$7)*1440+450)),"Malcolm · "&amp;INDEX(R_Label,AP16)&amp;" ("&amp;TEXT(INDEX(R_Ini,AP16),"hh:mm")&amp;"–"&amp;TEXT(INDEX(R_Fin,AP16),"hh:mm")&amp;")","")),IF(OR(FALSE,INDEX(R_SN,AR16)&gt;=(INT(H$7)*1440+450)),"proMX · "&amp;INDEX(R_Label,AR16)&amp;" · "&amp;INDEX(R_St,AR16),""))))</f>
        <v/>
      </c>
      <c r="K16">
        <f>COUNTIFS(R_Emp,"Malcolm",R_Cnt,1,R_SN,"&lt;"&amp;((INT(B$7)*1440+450)+30),R_EN,"&gt;"&amp;(INT(B$7)*1440+450))</f>
        <v>0</v>
      </c>
      <c r="L16">
        <f>IF(K16&gt;0,_xlfn.MINIFS(R_ID,R_Emp,"Malcolm",R_Cnt,1,R_SN,"&lt;"&amp;((INT(B$7)*1440+450)+30),R_EN,"&gt;"&amp;(INT(B$7)*1440+450)),0)</f>
        <v>0</v>
      </c>
      <c r="M16">
        <f>COUNTIFS(R_Emp,"proMX",R_Cnt,1,R_SN,"&lt;"&amp;((INT(B$7)*1440+450)+30),R_EN,"&gt;"&amp;(INT(B$7)*1440+450))</f>
        <v>0</v>
      </c>
      <c r="N16">
        <f>IF(M16&gt;0,_xlfn.MINIFS(R_ID,R_Emp,"proMX",R_Cnt,1,R_SN,"&lt;"&amp;((INT(B$7)*1440+450)+30),R_EN,"&gt;"&amp;(INT(B$7)*1440+450)),0)</f>
        <v>0</v>
      </c>
      <c r="O16">
        <f>IF(AND(K16&gt;0,M16&gt;0),8,IF(K16&gt;0,1,IF(M16&gt;0,INDEX(R_StCode,N16),0)))</f>
        <v>0</v>
      </c>
      <c r="P16">
        <f>COUNTIFS(R_Emp,"Malcolm",R_Cnt,1,R_SN,"&lt;"&amp;((INT(C$7)*1440+450)+30),R_EN,"&gt;"&amp;(INT(C$7)*1440+450))</f>
        <v>0</v>
      </c>
      <c r="Q16">
        <f>IF(P16&gt;0,_xlfn.MINIFS(R_ID,R_Emp,"Malcolm",R_Cnt,1,R_SN,"&lt;"&amp;((INT(C$7)*1440+450)+30),R_EN,"&gt;"&amp;(INT(C$7)*1440+450)),0)</f>
        <v>0</v>
      </c>
      <c r="R16">
        <f>COUNTIFS(R_Emp,"proMX",R_Cnt,1,R_SN,"&lt;"&amp;((INT(C$7)*1440+450)+30),R_EN,"&gt;"&amp;(INT(C$7)*1440+450))</f>
        <v>0</v>
      </c>
      <c r="S16">
        <f>IF(R16&gt;0,_xlfn.MINIFS(R_ID,R_Emp,"proMX",R_Cnt,1,R_SN,"&lt;"&amp;((INT(C$7)*1440+450)+30),R_EN,"&gt;"&amp;(INT(C$7)*1440+450)),0)</f>
        <v>0</v>
      </c>
      <c r="T16">
        <f>IF(AND(P16&gt;0,R16&gt;0),8,IF(P16&gt;0,1,IF(R16&gt;0,INDEX(R_StCode,S16),0)))</f>
        <v>0</v>
      </c>
      <c r="U16">
        <f>COUNTIFS(R_Emp,"Malcolm",R_Cnt,1,R_SN,"&lt;"&amp;((INT(D$7)*1440+450)+30),R_EN,"&gt;"&amp;(INT(D$7)*1440+450))</f>
        <v>0</v>
      </c>
      <c r="V16">
        <f>IF(U16&gt;0,_xlfn.MINIFS(R_ID,R_Emp,"Malcolm",R_Cnt,1,R_SN,"&lt;"&amp;((INT(D$7)*1440+450)+30),R_EN,"&gt;"&amp;(INT(D$7)*1440+450)),0)</f>
        <v>0</v>
      </c>
      <c r="W16">
        <f>COUNTIFS(R_Emp,"proMX",R_Cnt,1,R_SN,"&lt;"&amp;((INT(D$7)*1440+450)+30),R_EN,"&gt;"&amp;(INT(D$7)*1440+450))</f>
        <v>0</v>
      </c>
      <c r="X16">
        <f>IF(W16&gt;0,_xlfn.MINIFS(R_ID,R_Emp,"proMX",R_Cnt,1,R_SN,"&lt;"&amp;((INT(D$7)*1440+450)+30),R_EN,"&gt;"&amp;(INT(D$7)*1440+450)),0)</f>
        <v>0</v>
      </c>
      <c r="Y16">
        <f>IF(AND(U16&gt;0,W16&gt;0),8,IF(U16&gt;0,1,IF(W16&gt;0,INDEX(R_StCode,X16),0)))</f>
        <v>0</v>
      </c>
      <c r="Z16">
        <f>COUNTIFS(R_Emp,"Malcolm",R_Cnt,1,R_SN,"&lt;"&amp;((INT(E$7)*1440+450)+30),R_EN,"&gt;"&amp;(INT(E$7)*1440+450))</f>
        <v>0</v>
      </c>
      <c r="AA16">
        <f>IF(Z16&gt;0,_xlfn.MINIFS(R_ID,R_Emp,"Malcolm",R_Cnt,1,R_SN,"&lt;"&amp;((INT(E$7)*1440+450)+30),R_EN,"&gt;"&amp;(INT(E$7)*1440+450)),0)</f>
        <v>0</v>
      </c>
      <c r="AB16">
        <f>COUNTIFS(R_Emp,"proMX",R_Cnt,1,R_SN,"&lt;"&amp;((INT(E$7)*1440+450)+30),R_EN,"&gt;"&amp;(INT(E$7)*1440+450))</f>
        <v>0</v>
      </c>
      <c r="AC16">
        <f>IF(AB16&gt;0,_xlfn.MINIFS(R_ID,R_Emp,"proMX",R_Cnt,1,R_SN,"&lt;"&amp;((INT(E$7)*1440+450)+30),R_EN,"&gt;"&amp;(INT(E$7)*1440+450)),0)</f>
        <v>0</v>
      </c>
      <c r="AD16">
        <f>IF(AND(Z16&gt;0,AB16&gt;0),8,IF(Z16&gt;0,1,IF(AB16&gt;0,INDEX(R_StCode,AC16),0)))</f>
        <v>0</v>
      </c>
      <c r="AE16">
        <f>COUNTIFS(R_Emp,"Malcolm",R_Cnt,1,R_SN,"&lt;"&amp;((INT(F$7)*1440+450)+30),R_EN,"&gt;"&amp;(INT(F$7)*1440+450))</f>
        <v>0</v>
      </c>
      <c r="AF16">
        <f>IF(AE16&gt;0,_xlfn.MINIFS(R_ID,R_Emp,"Malcolm",R_Cnt,1,R_SN,"&lt;"&amp;((INT(F$7)*1440+450)+30),R_EN,"&gt;"&amp;(INT(F$7)*1440+450)),0)</f>
        <v>0</v>
      </c>
      <c r="AG16">
        <f>COUNTIFS(R_Emp,"proMX",R_Cnt,1,R_SN,"&lt;"&amp;((INT(F$7)*1440+450)+30),R_EN,"&gt;"&amp;(INT(F$7)*1440+450))</f>
        <v>0</v>
      </c>
      <c r="AH16">
        <f>IF(AG16&gt;0,_xlfn.MINIFS(R_ID,R_Emp,"proMX",R_Cnt,1,R_SN,"&lt;"&amp;((INT(F$7)*1440+450)+30),R_EN,"&gt;"&amp;(INT(F$7)*1440+450)),0)</f>
        <v>0</v>
      </c>
      <c r="AI16">
        <f>IF(AND(AE16&gt;0,AG16&gt;0),8,IF(AE16&gt;0,1,IF(AG16&gt;0,INDEX(R_StCode,AH16),0)))</f>
        <v>0</v>
      </c>
      <c r="AJ16">
        <f>COUNTIFS(R_Emp,"Malcolm",R_Cnt,1,R_SN,"&lt;"&amp;((INT(G$7)*1440+450)+30),R_EN,"&gt;"&amp;(INT(G$7)*1440+450))</f>
        <v>0</v>
      </c>
      <c r="AK16">
        <f>IF(AJ16&gt;0,_xlfn.MINIFS(R_ID,R_Emp,"Malcolm",R_Cnt,1,R_SN,"&lt;"&amp;((INT(G$7)*1440+450)+30),R_EN,"&gt;"&amp;(INT(G$7)*1440+450)),0)</f>
        <v>0</v>
      </c>
      <c r="AL16">
        <f>COUNTIFS(R_Emp,"proMX",R_Cnt,1,R_SN,"&lt;"&amp;((INT(G$7)*1440+450)+30),R_EN,"&gt;"&amp;(INT(G$7)*1440+450))</f>
        <v>0</v>
      </c>
      <c r="AM16">
        <f>IF(AL16&gt;0,_xlfn.MINIFS(R_ID,R_Emp,"proMX",R_Cnt,1,R_SN,"&lt;"&amp;((INT(G$7)*1440+450)+30),R_EN,"&gt;"&amp;(INT(G$7)*1440+450)),0)</f>
        <v>0</v>
      </c>
      <c r="AN16">
        <f>IF(AND(AJ16&gt;0,AL16&gt;0),8,IF(AJ16&gt;0,1,IF(AL16&gt;0,INDEX(R_StCode,AM16),0)))</f>
        <v>0</v>
      </c>
      <c r="AO16">
        <f>COUNTIFS(R_Emp,"Malcolm",R_Cnt,1,R_SN,"&lt;"&amp;((INT(H$7)*1440+450)+30),R_EN,"&gt;"&amp;(INT(H$7)*1440+450))</f>
        <v>0</v>
      </c>
      <c r="AP16">
        <f>IF(AO16&gt;0,_xlfn.MINIFS(R_ID,R_Emp,"Malcolm",R_Cnt,1,R_SN,"&lt;"&amp;((INT(H$7)*1440+450)+30),R_EN,"&gt;"&amp;(INT(H$7)*1440+450)),0)</f>
        <v>0</v>
      </c>
      <c r="AQ16">
        <f>COUNTIFS(R_Emp,"proMX",R_Cnt,1,R_SN,"&lt;"&amp;((INT(H$7)*1440+450)+30),R_EN,"&gt;"&amp;(INT(H$7)*1440+450))</f>
        <v>0</v>
      </c>
      <c r="AR16">
        <f>IF(AQ16&gt;0,_xlfn.MINIFS(R_ID,R_Emp,"proMX",R_Cnt,1,R_SN,"&lt;"&amp;((INT(H$7)*1440+450)+30),R_EN,"&gt;"&amp;(INT(H$7)*1440+450)),0)</f>
        <v>0</v>
      </c>
      <c r="AS16">
        <f>IF(AND(AO16&gt;0,AQ16&gt;0),8,IF(AO16&gt;0,1,IF(AQ16&gt;0,INDEX(R_StCode,AR16),0)))</f>
        <v>0</v>
      </c>
    </row>
    <row r="17" ht="20" customHeight="1">
      <c r="A17" s="101" t="n">
        <v>0.3333333333333333</v>
      </c>
      <c r="B17" s="102" t="str">
        <f>IF(O17=0,"",IF(O17=8,"⚠ Malcolm + proMX",IF(O17=1,IF(K17&gt;1,"Malcolm ("&amp;K17&amp;" tareas)",IF(OR(FALSE,INDEX(R_SN,L17)&gt;=(INT(B$7)*1440+480)),"Malcolm · "&amp;INDEX(R_Label,L17)&amp;" ("&amp;TEXT(INDEX(R_Ini,L17),"hh:mm")&amp;"–"&amp;TEXT(INDEX(R_Fin,L17),"hh:mm")&amp;")","")),IF(OR(FALSE,INDEX(R_SN,N17)&gt;=(INT(B$7)*1440+480)),"proMX · "&amp;INDEX(R_Label,N17)&amp;" · "&amp;INDEX(R_St,N17),""))))</f>
        <v/>
      </c>
      <c r="C17" s="102" t="str">
        <f>IF(T17=0,"",IF(T17=8,"⚠ Malcolm + proMX",IF(T17=1,IF(P17&gt;1,"Malcolm ("&amp;P17&amp;" tareas)",IF(OR(FALSE,INDEX(R_SN,Q17)&gt;=(INT(C$7)*1440+480)),"Malcolm · "&amp;INDEX(R_Label,Q17)&amp;" ("&amp;TEXT(INDEX(R_Ini,Q17),"hh:mm")&amp;"–"&amp;TEXT(INDEX(R_Fin,Q17),"hh:mm")&amp;")","")),IF(OR(FALSE,INDEX(R_SN,S17)&gt;=(INT(C$7)*1440+480)),"proMX · "&amp;INDEX(R_Label,S17)&amp;" · "&amp;INDEX(R_St,S17),""))))</f>
        <v/>
      </c>
      <c r="D17" s="102" t="str">
        <f>IF(Y17=0,"",IF(Y17=8,"⚠ Malcolm + proMX",IF(Y17=1,IF(U17&gt;1,"Malcolm ("&amp;U17&amp;" tareas)",IF(OR(FALSE,INDEX(R_SN,V17)&gt;=(INT(D$7)*1440+480)),"Malcolm · "&amp;INDEX(R_Label,V17)&amp;" ("&amp;TEXT(INDEX(R_Ini,V17),"hh:mm")&amp;"–"&amp;TEXT(INDEX(R_Fin,V17),"hh:mm")&amp;")","")),IF(OR(FALSE,INDEX(R_SN,X17)&gt;=(INT(D$7)*1440+480)),"proMX · "&amp;INDEX(R_Label,X17)&amp;" · "&amp;INDEX(R_St,X17),""))))</f>
        <v/>
      </c>
      <c r="E17" s="102" t="str">
        <f>IF(AD17=0,"",IF(AD17=8,"⚠ Malcolm + proMX",IF(AD17=1,IF(Z17&gt;1,"Malcolm ("&amp;Z17&amp;" tareas)",IF(OR(FALSE,INDEX(R_SN,AA17)&gt;=(INT(E$7)*1440+480)),"Malcolm · "&amp;INDEX(R_Label,AA17)&amp;" ("&amp;TEXT(INDEX(R_Ini,AA17),"hh:mm")&amp;"–"&amp;TEXT(INDEX(R_Fin,AA17),"hh:mm")&amp;")","")),IF(OR(FALSE,INDEX(R_SN,AC17)&gt;=(INT(E$7)*1440+480)),"proMX · "&amp;INDEX(R_Label,AC17)&amp;" · "&amp;INDEX(R_St,AC17),""))))</f>
        <v/>
      </c>
      <c r="F17" s="102" t="str">
        <f>IF(AI17=0,"",IF(AI17=8,"⚠ Malcolm + proMX",IF(AI17=1,IF(AE17&gt;1,"Malcolm ("&amp;AE17&amp;" tareas)",IF(OR(FALSE,INDEX(R_SN,AF17)&gt;=(INT(F$7)*1440+480)),"Malcolm · "&amp;INDEX(R_Label,AF17)&amp;" ("&amp;TEXT(INDEX(R_Ini,AF17),"hh:mm")&amp;"–"&amp;TEXT(INDEX(R_Fin,AF17),"hh:mm")&amp;")","")),IF(OR(FALSE,INDEX(R_SN,AH17)&gt;=(INT(F$7)*1440+480)),"proMX · "&amp;INDEX(R_Label,AH17)&amp;" · "&amp;INDEX(R_St,AH17),""))))</f>
        <v/>
      </c>
      <c r="G17" s="102" t="str">
        <f>IF(AN17=0,"",IF(AN17=8,"⚠ Malcolm + proMX",IF(AN17=1,IF(AJ17&gt;1,"Malcolm ("&amp;AJ17&amp;" tareas)",IF(OR(FALSE,INDEX(R_SN,AK17)&gt;=(INT(G$7)*1440+480)),"Malcolm · "&amp;INDEX(R_Label,AK17)&amp;" ("&amp;TEXT(INDEX(R_Ini,AK17),"hh:mm")&amp;"–"&amp;TEXT(INDEX(R_Fin,AK17),"hh:mm")&amp;")","")),IF(OR(FALSE,INDEX(R_SN,AM17)&gt;=(INT(G$7)*1440+480)),"proMX · "&amp;INDEX(R_Label,AM17)&amp;" · "&amp;INDEX(R_St,AM17),""))))</f>
        <v/>
      </c>
      <c r="H17" s="102" t="str">
        <f>IF(AS17=0,"",IF(AS17=8,"⚠ Malcolm + proMX",IF(AS17=1,IF(AO17&gt;1,"Malcolm ("&amp;AO17&amp;" tareas)",IF(OR(FALSE,INDEX(R_SN,AP17)&gt;=(INT(H$7)*1440+480)),"Malcolm · "&amp;INDEX(R_Label,AP17)&amp;" ("&amp;TEXT(INDEX(R_Ini,AP17),"hh:mm")&amp;"–"&amp;TEXT(INDEX(R_Fin,AP17),"hh:mm")&amp;")","")),IF(OR(FALSE,INDEX(R_SN,AR17)&gt;=(INT(H$7)*1440+480)),"proMX · "&amp;INDEX(R_Label,AR17)&amp;" · "&amp;INDEX(R_St,AR17),""))))</f>
        <v/>
      </c>
      <c r="K17">
        <f>COUNTIFS(R_Emp,"Malcolm",R_Cnt,1,R_SN,"&lt;"&amp;((INT(B$7)*1440+480)+30),R_EN,"&gt;"&amp;(INT(B$7)*1440+480))</f>
        <v>0</v>
      </c>
      <c r="L17">
        <f>IF(K17&gt;0,_xlfn.MINIFS(R_ID,R_Emp,"Malcolm",R_Cnt,1,R_SN,"&lt;"&amp;((INT(B$7)*1440+480)+30),R_EN,"&gt;"&amp;(INT(B$7)*1440+480)),0)</f>
        <v>0</v>
      </c>
      <c r="M17">
        <f>COUNTIFS(R_Emp,"proMX",R_Cnt,1,R_SN,"&lt;"&amp;((INT(B$7)*1440+480)+30),R_EN,"&gt;"&amp;(INT(B$7)*1440+480))</f>
        <v>0</v>
      </c>
      <c r="N17">
        <f>IF(M17&gt;0,_xlfn.MINIFS(R_ID,R_Emp,"proMX",R_Cnt,1,R_SN,"&lt;"&amp;((INT(B$7)*1440+480)+30),R_EN,"&gt;"&amp;(INT(B$7)*1440+480)),0)</f>
        <v>0</v>
      </c>
      <c r="O17">
        <f>IF(AND(K17&gt;0,M17&gt;0),8,IF(K17&gt;0,1,IF(M17&gt;0,INDEX(R_StCode,N17),0)))</f>
        <v>0</v>
      </c>
      <c r="P17">
        <f>COUNTIFS(R_Emp,"Malcolm",R_Cnt,1,R_SN,"&lt;"&amp;((INT(C$7)*1440+480)+30),R_EN,"&gt;"&amp;(INT(C$7)*1440+480))</f>
        <v>0</v>
      </c>
      <c r="Q17">
        <f>IF(P17&gt;0,_xlfn.MINIFS(R_ID,R_Emp,"Malcolm",R_Cnt,1,R_SN,"&lt;"&amp;((INT(C$7)*1440+480)+30),R_EN,"&gt;"&amp;(INT(C$7)*1440+480)),0)</f>
        <v>0</v>
      </c>
      <c r="R17">
        <f>COUNTIFS(R_Emp,"proMX",R_Cnt,1,R_SN,"&lt;"&amp;((INT(C$7)*1440+480)+30),R_EN,"&gt;"&amp;(INT(C$7)*1440+480))</f>
        <v>0</v>
      </c>
      <c r="S17">
        <f>IF(R17&gt;0,_xlfn.MINIFS(R_ID,R_Emp,"proMX",R_Cnt,1,R_SN,"&lt;"&amp;((INT(C$7)*1440+480)+30),R_EN,"&gt;"&amp;(INT(C$7)*1440+480)),0)</f>
        <v>0</v>
      </c>
      <c r="T17">
        <f>IF(AND(P17&gt;0,R17&gt;0),8,IF(P17&gt;0,1,IF(R17&gt;0,INDEX(R_StCode,S17),0)))</f>
        <v>0</v>
      </c>
      <c r="U17">
        <f>COUNTIFS(R_Emp,"Malcolm",R_Cnt,1,R_SN,"&lt;"&amp;((INT(D$7)*1440+480)+30),R_EN,"&gt;"&amp;(INT(D$7)*1440+480))</f>
        <v>0</v>
      </c>
      <c r="V17">
        <f>IF(U17&gt;0,_xlfn.MINIFS(R_ID,R_Emp,"Malcolm",R_Cnt,1,R_SN,"&lt;"&amp;((INT(D$7)*1440+480)+30),R_EN,"&gt;"&amp;(INT(D$7)*1440+480)),0)</f>
        <v>0</v>
      </c>
      <c r="W17">
        <f>COUNTIFS(R_Emp,"proMX",R_Cnt,1,R_SN,"&lt;"&amp;((INT(D$7)*1440+480)+30),R_EN,"&gt;"&amp;(INT(D$7)*1440+480))</f>
        <v>0</v>
      </c>
      <c r="X17">
        <f>IF(W17&gt;0,_xlfn.MINIFS(R_ID,R_Emp,"proMX",R_Cnt,1,R_SN,"&lt;"&amp;((INT(D$7)*1440+480)+30),R_EN,"&gt;"&amp;(INT(D$7)*1440+480)),0)</f>
        <v>0</v>
      </c>
      <c r="Y17">
        <f>IF(AND(U17&gt;0,W17&gt;0),8,IF(U17&gt;0,1,IF(W17&gt;0,INDEX(R_StCode,X17),0)))</f>
        <v>0</v>
      </c>
      <c r="Z17">
        <f>COUNTIFS(R_Emp,"Malcolm",R_Cnt,1,R_SN,"&lt;"&amp;((INT(E$7)*1440+480)+30),R_EN,"&gt;"&amp;(INT(E$7)*1440+480))</f>
        <v>0</v>
      </c>
      <c r="AA17">
        <f>IF(Z17&gt;0,_xlfn.MINIFS(R_ID,R_Emp,"Malcolm",R_Cnt,1,R_SN,"&lt;"&amp;((INT(E$7)*1440+480)+30),R_EN,"&gt;"&amp;(INT(E$7)*1440+480)),0)</f>
        <v>0</v>
      </c>
      <c r="AB17">
        <f>COUNTIFS(R_Emp,"proMX",R_Cnt,1,R_SN,"&lt;"&amp;((INT(E$7)*1440+480)+30),R_EN,"&gt;"&amp;(INT(E$7)*1440+480))</f>
        <v>0</v>
      </c>
      <c r="AC17">
        <f>IF(AB17&gt;0,_xlfn.MINIFS(R_ID,R_Emp,"proMX",R_Cnt,1,R_SN,"&lt;"&amp;((INT(E$7)*1440+480)+30),R_EN,"&gt;"&amp;(INT(E$7)*1440+480)),0)</f>
        <v>0</v>
      </c>
      <c r="AD17">
        <f>IF(AND(Z17&gt;0,AB17&gt;0),8,IF(Z17&gt;0,1,IF(AB17&gt;0,INDEX(R_StCode,AC17),0)))</f>
        <v>0</v>
      </c>
      <c r="AE17">
        <f>COUNTIFS(R_Emp,"Malcolm",R_Cnt,1,R_SN,"&lt;"&amp;((INT(F$7)*1440+480)+30),R_EN,"&gt;"&amp;(INT(F$7)*1440+480))</f>
        <v>0</v>
      </c>
      <c r="AF17">
        <f>IF(AE17&gt;0,_xlfn.MINIFS(R_ID,R_Emp,"Malcolm",R_Cnt,1,R_SN,"&lt;"&amp;((INT(F$7)*1440+480)+30),R_EN,"&gt;"&amp;(INT(F$7)*1440+480)),0)</f>
        <v>0</v>
      </c>
      <c r="AG17">
        <f>COUNTIFS(R_Emp,"proMX",R_Cnt,1,R_SN,"&lt;"&amp;((INT(F$7)*1440+480)+30),R_EN,"&gt;"&amp;(INT(F$7)*1440+480))</f>
        <v>0</v>
      </c>
      <c r="AH17">
        <f>IF(AG17&gt;0,_xlfn.MINIFS(R_ID,R_Emp,"proMX",R_Cnt,1,R_SN,"&lt;"&amp;((INT(F$7)*1440+480)+30),R_EN,"&gt;"&amp;(INT(F$7)*1440+480)),0)</f>
        <v>0</v>
      </c>
      <c r="AI17">
        <f>IF(AND(AE17&gt;0,AG17&gt;0),8,IF(AE17&gt;0,1,IF(AG17&gt;0,INDEX(R_StCode,AH17),0)))</f>
        <v>0</v>
      </c>
      <c r="AJ17">
        <f>COUNTIFS(R_Emp,"Malcolm",R_Cnt,1,R_SN,"&lt;"&amp;((INT(G$7)*1440+480)+30),R_EN,"&gt;"&amp;(INT(G$7)*1440+480))</f>
        <v>0</v>
      </c>
      <c r="AK17">
        <f>IF(AJ17&gt;0,_xlfn.MINIFS(R_ID,R_Emp,"Malcolm",R_Cnt,1,R_SN,"&lt;"&amp;((INT(G$7)*1440+480)+30),R_EN,"&gt;"&amp;(INT(G$7)*1440+480)),0)</f>
        <v>0</v>
      </c>
      <c r="AL17">
        <f>COUNTIFS(R_Emp,"proMX",R_Cnt,1,R_SN,"&lt;"&amp;((INT(G$7)*1440+480)+30),R_EN,"&gt;"&amp;(INT(G$7)*1440+480))</f>
        <v>0</v>
      </c>
      <c r="AM17">
        <f>IF(AL17&gt;0,_xlfn.MINIFS(R_ID,R_Emp,"proMX",R_Cnt,1,R_SN,"&lt;"&amp;((INT(G$7)*1440+480)+30),R_EN,"&gt;"&amp;(INT(G$7)*1440+480)),0)</f>
        <v>0</v>
      </c>
      <c r="AN17">
        <f>IF(AND(AJ17&gt;0,AL17&gt;0),8,IF(AJ17&gt;0,1,IF(AL17&gt;0,INDEX(R_StCode,AM17),0)))</f>
        <v>0</v>
      </c>
      <c r="AO17">
        <f>COUNTIFS(R_Emp,"Malcolm",R_Cnt,1,R_SN,"&lt;"&amp;((INT(H$7)*1440+480)+30),R_EN,"&gt;"&amp;(INT(H$7)*1440+480))</f>
        <v>0</v>
      </c>
      <c r="AP17">
        <f>IF(AO17&gt;0,_xlfn.MINIFS(R_ID,R_Emp,"Malcolm",R_Cnt,1,R_SN,"&lt;"&amp;((INT(H$7)*1440+480)+30),R_EN,"&gt;"&amp;(INT(H$7)*1440+480)),0)</f>
        <v>0</v>
      </c>
      <c r="AQ17">
        <f>COUNTIFS(R_Emp,"proMX",R_Cnt,1,R_SN,"&lt;"&amp;((INT(H$7)*1440+480)+30),R_EN,"&gt;"&amp;(INT(H$7)*1440+480))</f>
        <v>0</v>
      </c>
      <c r="AR17">
        <f>IF(AQ17&gt;0,_xlfn.MINIFS(R_ID,R_Emp,"proMX",R_Cnt,1,R_SN,"&lt;"&amp;((INT(H$7)*1440+480)+30),R_EN,"&gt;"&amp;(INT(H$7)*1440+480)),0)</f>
        <v>0</v>
      </c>
      <c r="AS17">
        <f>IF(AND(AO17&gt;0,AQ17&gt;0),8,IF(AO17&gt;0,1,IF(AQ17&gt;0,INDEX(R_StCode,AR17),0)))</f>
        <v>0</v>
      </c>
    </row>
    <row r="18" ht="20" customHeight="1">
      <c r="A18" s="101" t="n">
        <v>0.3541666666666667</v>
      </c>
      <c r="B18" s="102" t="str">
        <f>IF(O18=0,"",IF(O18=8,"⚠ Malcolm + proMX",IF(O18=1,IF(K18&gt;1,"Malcolm ("&amp;K18&amp;" tareas)",IF(OR(FALSE,INDEX(R_SN,L18)&gt;=(INT(B$7)*1440+510)),"Malcolm · "&amp;INDEX(R_Label,L18)&amp;" ("&amp;TEXT(INDEX(R_Ini,L18),"hh:mm")&amp;"–"&amp;TEXT(INDEX(R_Fin,L18),"hh:mm")&amp;")","")),IF(OR(FALSE,INDEX(R_SN,N18)&gt;=(INT(B$7)*1440+510)),"proMX · "&amp;INDEX(R_Label,N18)&amp;" · "&amp;INDEX(R_St,N18),""))))</f>
        <v/>
      </c>
      <c r="C18" s="102" t="str">
        <f>IF(T18=0,"",IF(T18=8,"⚠ Malcolm + proMX",IF(T18=1,IF(P18&gt;1,"Malcolm ("&amp;P18&amp;" tareas)",IF(OR(FALSE,INDEX(R_SN,Q18)&gt;=(INT(C$7)*1440+510)),"Malcolm · "&amp;INDEX(R_Label,Q18)&amp;" ("&amp;TEXT(INDEX(R_Ini,Q18),"hh:mm")&amp;"–"&amp;TEXT(INDEX(R_Fin,Q18),"hh:mm")&amp;")","")),IF(OR(FALSE,INDEX(R_SN,S18)&gt;=(INT(C$7)*1440+510)),"proMX · "&amp;INDEX(R_Label,S18)&amp;" · "&amp;INDEX(R_St,S18),""))))</f>
        <v/>
      </c>
      <c r="D18" s="102" t="str">
        <f>IF(Y18=0,"",IF(Y18=8,"⚠ Malcolm + proMX",IF(Y18=1,IF(U18&gt;1,"Malcolm ("&amp;U18&amp;" tareas)",IF(OR(FALSE,INDEX(R_SN,V18)&gt;=(INT(D$7)*1440+510)),"Malcolm · "&amp;INDEX(R_Label,V18)&amp;" ("&amp;TEXT(INDEX(R_Ini,V18),"hh:mm")&amp;"–"&amp;TEXT(INDEX(R_Fin,V18),"hh:mm")&amp;")","")),IF(OR(FALSE,INDEX(R_SN,X18)&gt;=(INT(D$7)*1440+510)),"proMX · "&amp;INDEX(R_Label,X18)&amp;" · "&amp;INDEX(R_St,X18),""))))</f>
        <v/>
      </c>
      <c r="E18" s="102" t="str">
        <f>IF(AD18=0,"",IF(AD18=8,"⚠ Malcolm + proMX",IF(AD18=1,IF(Z18&gt;1,"Malcolm ("&amp;Z18&amp;" tareas)",IF(OR(FALSE,INDEX(R_SN,AA18)&gt;=(INT(E$7)*1440+510)),"Malcolm · "&amp;INDEX(R_Label,AA18)&amp;" ("&amp;TEXT(INDEX(R_Ini,AA18),"hh:mm")&amp;"–"&amp;TEXT(INDEX(R_Fin,AA18),"hh:mm")&amp;")","")),IF(OR(FALSE,INDEX(R_SN,AC18)&gt;=(INT(E$7)*1440+510)),"proMX · "&amp;INDEX(R_Label,AC18)&amp;" · "&amp;INDEX(R_St,AC18),""))))</f>
        <v/>
      </c>
      <c r="F18" s="102" t="str">
        <f>IF(AI18=0,"",IF(AI18=8,"⚠ Malcolm + proMX",IF(AI18=1,IF(AE18&gt;1,"Malcolm ("&amp;AE18&amp;" tareas)",IF(OR(FALSE,INDEX(R_SN,AF18)&gt;=(INT(F$7)*1440+510)),"Malcolm · "&amp;INDEX(R_Label,AF18)&amp;" ("&amp;TEXT(INDEX(R_Ini,AF18),"hh:mm")&amp;"–"&amp;TEXT(INDEX(R_Fin,AF18),"hh:mm")&amp;")","")),IF(OR(FALSE,INDEX(R_SN,AH18)&gt;=(INT(F$7)*1440+510)),"proMX · "&amp;INDEX(R_Label,AH18)&amp;" · "&amp;INDEX(R_St,AH18),""))))</f>
        <v/>
      </c>
      <c r="G18" s="102" t="str">
        <f>IF(AN18=0,"",IF(AN18=8,"⚠ Malcolm + proMX",IF(AN18=1,IF(AJ18&gt;1,"Malcolm ("&amp;AJ18&amp;" tareas)",IF(OR(FALSE,INDEX(R_SN,AK18)&gt;=(INT(G$7)*1440+510)),"Malcolm · "&amp;INDEX(R_Label,AK18)&amp;" ("&amp;TEXT(INDEX(R_Ini,AK18),"hh:mm")&amp;"–"&amp;TEXT(INDEX(R_Fin,AK18),"hh:mm")&amp;")","")),IF(OR(FALSE,INDEX(R_SN,AM18)&gt;=(INT(G$7)*1440+510)),"proMX · "&amp;INDEX(R_Label,AM18)&amp;" · "&amp;INDEX(R_St,AM18),""))))</f>
        <v/>
      </c>
      <c r="H18" s="102" t="str">
        <f>IF(AS18=0,"",IF(AS18=8,"⚠ Malcolm + proMX",IF(AS18=1,IF(AO18&gt;1,"Malcolm ("&amp;AO18&amp;" tareas)",IF(OR(FALSE,INDEX(R_SN,AP18)&gt;=(INT(H$7)*1440+510)),"Malcolm · "&amp;INDEX(R_Label,AP18)&amp;" ("&amp;TEXT(INDEX(R_Ini,AP18),"hh:mm")&amp;"–"&amp;TEXT(INDEX(R_Fin,AP18),"hh:mm")&amp;")","")),IF(OR(FALSE,INDEX(R_SN,AR18)&gt;=(INT(H$7)*1440+510)),"proMX · "&amp;INDEX(R_Label,AR18)&amp;" · "&amp;INDEX(R_St,AR18),""))))</f>
        <v/>
      </c>
      <c r="K18">
        <f>COUNTIFS(R_Emp,"Malcolm",R_Cnt,1,R_SN,"&lt;"&amp;((INT(B$7)*1440+510)+30),R_EN,"&gt;"&amp;(INT(B$7)*1440+510))</f>
        <v>0</v>
      </c>
      <c r="L18">
        <f>IF(K18&gt;0,_xlfn.MINIFS(R_ID,R_Emp,"Malcolm",R_Cnt,1,R_SN,"&lt;"&amp;((INT(B$7)*1440+510)+30),R_EN,"&gt;"&amp;(INT(B$7)*1440+510)),0)</f>
        <v>0</v>
      </c>
      <c r="M18">
        <f>COUNTIFS(R_Emp,"proMX",R_Cnt,1,R_SN,"&lt;"&amp;((INT(B$7)*1440+510)+30),R_EN,"&gt;"&amp;(INT(B$7)*1440+510))</f>
        <v>0</v>
      </c>
      <c r="N18">
        <f>IF(M18&gt;0,_xlfn.MINIFS(R_ID,R_Emp,"proMX",R_Cnt,1,R_SN,"&lt;"&amp;((INT(B$7)*1440+510)+30),R_EN,"&gt;"&amp;(INT(B$7)*1440+510)),0)</f>
        <v>0</v>
      </c>
      <c r="O18">
        <f>IF(AND(K18&gt;0,M18&gt;0),8,IF(K18&gt;0,1,IF(M18&gt;0,INDEX(R_StCode,N18),0)))</f>
        <v>0</v>
      </c>
      <c r="P18">
        <f>COUNTIFS(R_Emp,"Malcolm",R_Cnt,1,R_SN,"&lt;"&amp;((INT(C$7)*1440+510)+30),R_EN,"&gt;"&amp;(INT(C$7)*1440+510))</f>
        <v>0</v>
      </c>
      <c r="Q18">
        <f>IF(P18&gt;0,_xlfn.MINIFS(R_ID,R_Emp,"Malcolm",R_Cnt,1,R_SN,"&lt;"&amp;((INT(C$7)*1440+510)+30),R_EN,"&gt;"&amp;(INT(C$7)*1440+510)),0)</f>
        <v>0</v>
      </c>
      <c r="R18">
        <f>COUNTIFS(R_Emp,"proMX",R_Cnt,1,R_SN,"&lt;"&amp;((INT(C$7)*1440+510)+30),R_EN,"&gt;"&amp;(INT(C$7)*1440+510))</f>
        <v>0</v>
      </c>
      <c r="S18">
        <f>IF(R18&gt;0,_xlfn.MINIFS(R_ID,R_Emp,"proMX",R_Cnt,1,R_SN,"&lt;"&amp;((INT(C$7)*1440+510)+30),R_EN,"&gt;"&amp;(INT(C$7)*1440+510)),0)</f>
        <v>0</v>
      </c>
      <c r="T18">
        <f>IF(AND(P18&gt;0,R18&gt;0),8,IF(P18&gt;0,1,IF(R18&gt;0,INDEX(R_StCode,S18),0)))</f>
        <v>0</v>
      </c>
      <c r="U18">
        <f>COUNTIFS(R_Emp,"Malcolm",R_Cnt,1,R_SN,"&lt;"&amp;((INT(D$7)*1440+510)+30),R_EN,"&gt;"&amp;(INT(D$7)*1440+510))</f>
        <v>0</v>
      </c>
      <c r="V18">
        <f>IF(U18&gt;0,_xlfn.MINIFS(R_ID,R_Emp,"Malcolm",R_Cnt,1,R_SN,"&lt;"&amp;((INT(D$7)*1440+510)+30),R_EN,"&gt;"&amp;(INT(D$7)*1440+510)),0)</f>
        <v>0</v>
      </c>
      <c r="W18">
        <f>COUNTIFS(R_Emp,"proMX",R_Cnt,1,R_SN,"&lt;"&amp;((INT(D$7)*1440+510)+30),R_EN,"&gt;"&amp;(INT(D$7)*1440+510))</f>
        <v>0</v>
      </c>
      <c r="X18">
        <f>IF(W18&gt;0,_xlfn.MINIFS(R_ID,R_Emp,"proMX",R_Cnt,1,R_SN,"&lt;"&amp;((INT(D$7)*1440+510)+30),R_EN,"&gt;"&amp;(INT(D$7)*1440+510)),0)</f>
        <v>0</v>
      </c>
      <c r="Y18">
        <f>IF(AND(U18&gt;0,W18&gt;0),8,IF(U18&gt;0,1,IF(W18&gt;0,INDEX(R_StCode,X18),0)))</f>
        <v>0</v>
      </c>
      <c r="Z18">
        <f>COUNTIFS(R_Emp,"Malcolm",R_Cnt,1,R_SN,"&lt;"&amp;((INT(E$7)*1440+510)+30),R_EN,"&gt;"&amp;(INT(E$7)*1440+510))</f>
        <v>0</v>
      </c>
      <c r="AA18">
        <f>IF(Z18&gt;0,_xlfn.MINIFS(R_ID,R_Emp,"Malcolm",R_Cnt,1,R_SN,"&lt;"&amp;((INT(E$7)*1440+510)+30),R_EN,"&gt;"&amp;(INT(E$7)*1440+510)),0)</f>
        <v>0</v>
      </c>
      <c r="AB18">
        <f>COUNTIFS(R_Emp,"proMX",R_Cnt,1,R_SN,"&lt;"&amp;((INT(E$7)*1440+510)+30),R_EN,"&gt;"&amp;(INT(E$7)*1440+510))</f>
        <v>0</v>
      </c>
      <c r="AC18">
        <f>IF(AB18&gt;0,_xlfn.MINIFS(R_ID,R_Emp,"proMX",R_Cnt,1,R_SN,"&lt;"&amp;((INT(E$7)*1440+510)+30),R_EN,"&gt;"&amp;(INT(E$7)*1440+510)),0)</f>
        <v>0</v>
      </c>
      <c r="AD18">
        <f>IF(AND(Z18&gt;0,AB18&gt;0),8,IF(Z18&gt;0,1,IF(AB18&gt;0,INDEX(R_StCode,AC18),0)))</f>
        <v>0</v>
      </c>
      <c r="AE18">
        <f>COUNTIFS(R_Emp,"Malcolm",R_Cnt,1,R_SN,"&lt;"&amp;((INT(F$7)*1440+510)+30),R_EN,"&gt;"&amp;(INT(F$7)*1440+510))</f>
        <v>0</v>
      </c>
      <c r="AF18">
        <f>IF(AE18&gt;0,_xlfn.MINIFS(R_ID,R_Emp,"Malcolm",R_Cnt,1,R_SN,"&lt;"&amp;((INT(F$7)*1440+510)+30),R_EN,"&gt;"&amp;(INT(F$7)*1440+510)),0)</f>
        <v>0</v>
      </c>
      <c r="AG18">
        <f>COUNTIFS(R_Emp,"proMX",R_Cnt,1,R_SN,"&lt;"&amp;((INT(F$7)*1440+510)+30),R_EN,"&gt;"&amp;(INT(F$7)*1440+510))</f>
        <v>0</v>
      </c>
      <c r="AH18">
        <f>IF(AG18&gt;0,_xlfn.MINIFS(R_ID,R_Emp,"proMX",R_Cnt,1,R_SN,"&lt;"&amp;((INT(F$7)*1440+510)+30),R_EN,"&gt;"&amp;(INT(F$7)*1440+510)),0)</f>
        <v>0</v>
      </c>
      <c r="AI18">
        <f>IF(AND(AE18&gt;0,AG18&gt;0),8,IF(AE18&gt;0,1,IF(AG18&gt;0,INDEX(R_StCode,AH18),0)))</f>
        <v>0</v>
      </c>
      <c r="AJ18">
        <f>COUNTIFS(R_Emp,"Malcolm",R_Cnt,1,R_SN,"&lt;"&amp;((INT(G$7)*1440+510)+30),R_EN,"&gt;"&amp;(INT(G$7)*1440+510))</f>
        <v>0</v>
      </c>
      <c r="AK18">
        <f>IF(AJ18&gt;0,_xlfn.MINIFS(R_ID,R_Emp,"Malcolm",R_Cnt,1,R_SN,"&lt;"&amp;((INT(G$7)*1440+510)+30),R_EN,"&gt;"&amp;(INT(G$7)*1440+510)),0)</f>
        <v>0</v>
      </c>
      <c r="AL18">
        <f>COUNTIFS(R_Emp,"proMX",R_Cnt,1,R_SN,"&lt;"&amp;((INT(G$7)*1440+510)+30),R_EN,"&gt;"&amp;(INT(G$7)*1440+510))</f>
        <v>0</v>
      </c>
      <c r="AM18">
        <f>IF(AL18&gt;0,_xlfn.MINIFS(R_ID,R_Emp,"proMX",R_Cnt,1,R_SN,"&lt;"&amp;((INT(G$7)*1440+510)+30),R_EN,"&gt;"&amp;(INT(G$7)*1440+510)),0)</f>
        <v>0</v>
      </c>
      <c r="AN18">
        <f>IF(AND(AJ18&gt;0,AL18&gt;0),8,IF(AJ18&gt;0,1,IF(AL18&gt;0,INDEX(R_StCode,AM18),0)))</f>
        <v>0</v>
      </c>
      <c r="AO18">
        <f>COUNTIFS(R_Emp,"Malcolm",R_Cnt,1,R_SN,"&lt;"&amp;((INT(H$7)*1440+510)+30),R_EN,"&gt;"&amp;(INT(H$7)*1440+510))</f>
        <v>0</v>
      </c>
      <c r="AP18">
        <f>IF(AO18&gt;0,_xlfn.MINIFS(R_ID,R_Emp,"Malcolm",R_Cnt,1,R_SN,"&lt;"&amp;((INT(H$7)*1440+510)+30),R_EN,"&gt;"&amp;(INT(H$7)*1440+510)),0)</f>
        <v>0</v>
      </c>
      <c r="AQ18">
        <f>COUNTIFS(R_Emp,"proMX",R_Cnt,1,R_SN,"&lt;"&amp;((INT(H$7)*1440+510)+30),R_EN,"&gt;"&amp;(INT(H$7)*1440+510))</f>
        <v>0</v>
      </c>
      <c r="AR18">
        <f>IF(AQ18&gt;0,_xlfn.MINIFS(R_ID,R_Emp,"proMX",R_Cnt,1,R_SN,"&lt;"&amp;((INT(H$7)*1440+510)+30),R_EN,"&gt;"&amp;(INT(H$7)*1440+510)),0)</f>
        <v>0</v>
      </c>
      <c r="AS18">
        <f>IF(AND(AO18&gt;0,AQ18&gt;0),8,IF(AO18&gt;0,1,IF(AQ18&gt;0,INDEX(R_StCode,AR18),0)))</f>
        <v>0</v>
      </c>
    </row>
    <row r="19" ht="20" customHeight="1">
      <c r="A19" s="101" t="n">
        <v>0.375</v>
      </c>
      <c r="B19" s="103" t="str">
        <f>IF(O19=0,"",IF(O19=8,"⚠ Malcolm + proMX",IF(O19=1,IF(K19&gt;1,"Malcolm ("&amp;K19&amp;" tareas)",IF(OR(FALSE,INDEX(R_SN,L19)&gt;=(INT(B$7)*1440+540)),"Malcolm · "&amp;INDEX(R_Label,L19)&amp;" ("&amp;TEXT(INDEX(R_Ini,L19),"hh:mm")&amp;"–"&amp;TEXT(INDEX(R_Fin,L19),"hh:mm")&amp;")","")),IF(OR(FALSE,INDEX(R_SN,N19)&gt;=(INT(B$7)*1440+540)),"proMX · "&amp;INDEX(R_Label,N19)&amp;" · "&amp;INDEX(R_St,N19),""))))</f>
        <v>Malcolm · PCF-101 · PCF (09:00–12:00)</v>
      </c>
      <c r="C19" s="103" t="str">
        <f>IF(T19=0,"",IF(T19=8,"⚠ Malcolm + proMX",IF(T19=1,IF(P19&gt;1,"Malcolm ("&amp;P19&amp;" tareas)",IF(OR(FALSE,INDEX(R_SN,Q19)&gt;=(INT(C$7)*1440+540)),"Malcolm · "&amp;INDEX(R_Label,Q19)&amp;" ("&amp;TEXT(INDEX(R_Ini,Q19),"hh:mm")&amp;"–"&amp;TEXT(INDEX(R_Fin,Q19),"hh:mm")&amp;")","")),IF(OR(FALSE,INDEX(R_SN,S19)&gt;=(INT(C$7)*1440+540)),"proMX · "&amp;INDEX(R_Label,S19)&amp;" · "&amp;INDEX(R_St,S19),""))))</f>
        <v>proMX · PMX-201 · Portal Cliente · Draft</v>
      </c>
      <c r="D19" s="103" t="str">
        <f>IF(Y19=0,"",IF(Y19=8,"⚠ Malcolm + proMX",IF(Y19=1,IF(U19&gt;1,"Malcolm ("&amp;U19&amp;" tareas)",IF(OR(FALSE,INDEX(R_SN,V19)&gt;=(INT(D$7)*1440+540)),"Malcolm · "&amp;INDEX(R_Label,V19)&amp;" ("&amp;TEXT(INDEX(R_Ini,V19),"hh:mm")&amp;"–"&amp;TEXT(INDEX(R_Fin,V19),"hh:mm")&amp;")","")),IF(OR(FALSE,INDEX(R_SN,X19)&gt;=(INT(D$7)*1440+540)),"proMX · "&amp;INDEX(R_Label,X19)&amp;" · "&amp;INDEX(R_St,X19),""))))</f>
        <v/>
      </c>
      <c r="E19" s="103" t="str">
        <f>IF(AD19=0,"",IF(AD19=8,"⚠ Malcolm + proMX",IF(AD19=1,IF(Z19&gt;1,"Malcolm ("&amp;Z19&amp;" tareas)",IF(OR(FALSE,INDEX(R_SN,AA19)&gt;=(INT(E$7)*1440+540)),"Malcolm · "&amp;INDEX(R_Label,AA19)&amp;" ("&amp;TEXT(INDEX(R_Ini,AA19),"hh:mm")&amp;"–"&amp;TEXT(INDEX(R_Fin,AA19),"hh:mm")&amp;")","")),IF(OR(FALSE,INDEX(R_SN,AC19)&gt;=(INT(E$7)*1440+540)),"proMX · "&amp;INDEX(R_Label,AC19)&amp;" · "&amp;INDEX(R_St,AC19),""))))</f>
        <v/>
      </c>
      <c r="F19" s="103" t="str">
        <f>IF(AI19=0,"",IF(AI19=8,"⚠ Malcolm + proMX",IF(AI19=1,IF(AE19&gt;1,"Malcolm ("&amp;AE19&amp;" tareas)",IF(OR(FALSE,INDEX(R_SN,AF19)&gt;=(INT(F$7)*1440+540)),"Malcolm · "&amp;INDEX(R_Label,AF19)&amp;" ("&amp;TEXT(INDEX(R_Ini,AF19),"hh:mm")&amp;"–"&amp;TEXT(INDEX(R_Fin,AF19),"hh:mm")&amp;")","")),IF(OR(FALSE,INDEX(R_SN,AH19)&gt;=(INT(F$7)*1440+540)),"proMX · "&amp;INDEX(R_Label,AH19)&amp;" · "&amp;INDEX(R_St,AH19),""))))</f>
        <v/>
      </c>
      <c r="G19" s="103" t="str">
        <f>IF(AN19=0,"",IF(AN19=8,"⚠ Malcolm + proMX",IF(AN19=1,IF(AJ19&gt;1,"Malcolm ("&amp;AJ19&amp;" tareas)",IF(OR(FALSE,INDEX(R_SN,AK19)&gt;=(INT(G$7)*1440+540)),"Malcolm · "&amp;INDEX(R_Label,AK19)&amp;" ("&amp;TEXT(INDEX(R_Ini,AK19),"hh:mm")&amp;"–"&amp;TEXT(INDEX(R_Fin,AK19),"hh:mm")&amp;")","")),IF(OR(FALSE,INDEX(R_SN,AM19)&gt;=(INT(G$7)*1440+540)),"proMX · "&amp;INDEX(R_Label,AM19)&amp;" · "&amp;INDEX(R_St,AM19),""))))</f>
        <v/>
      </c>
      <c r="H19" s="103" t="str">
        <f>IF(AS19=0,"",IF(AS19=8,"⚠ Malcolm + proMX",IF(AS19=1,IF(AO19&gt;1,"Malcolm ("&amp;AO19&amp;" tareas)",IF(OR(FALSE,INDEX(R_SN,AP19)&gt;=(INT(H$7)*1440+540)),"Malcolm · "&amp;INDEX(R_Label,AP19)&amp;" ("&amp;TEXT(INDEX(R_Ini,AP19),"hh:mm")&amp;"–"&amp;TEXT(INDEX(R_Fin,AP19),"hh:mm")&amp;")","")),IF(OR(FALSE,INDEX(R_SN,AR19)&gt;=(INT(H$7)*1440+540)),"proMX · "&amp;INDEX(R_Label,AR19)&amp;" · "&amp;INDEX(R_St,AR19),""))))</f>
        <v/>
      </c>
      <c r="K19">
        <f>COUNTIFS(R_Emp,"Malcolm",R_Cnt,1,R_SN,"&lt;"&amp;((INT(B$7)*1440+540)+30),R_EN,"&gt;"&amp;(INT(B$7)*1440+540))</f>
        <v>1</v>
      </c>
      <c r="L19">
        <f>IF(K19&gt;0,_xlfn.MINIFS(R_ID,R_Emp,"Malcolm",R_Cnt,1,R_SN,"&lt;"&amp;((INT(B$7)*1440+540)+30),R_EN,"&gt;"&amp;(INT(B$7)*1440+540)),0)</f>
        <v>4</v>
      </c>
      <c r="M19">
        <f>COUNTIFS(R_Emp,"proMX",R_Cnt,1,R_SN,"&lt;"&amp;((INT(B$7)*1440+540)+30),R_EN,"&gt;"&amp;(INT(B$7)*1440+540))</f>
        <v>0</v>
      </c>
      <c r="N19">
        <f>IF(M19&gt;0,_xlfn.MINIFS(R_ID,R_Emp,"proMX",R_Cnt,1,R_SN,"&lt;"&amp;((INT(B$7)*1440+540)+30),R_EN,"&gt;"&amp;(INT(B$7)*1440+540)),0)</f>
        <v>0</v>
      </c>
      <c r="O19">
        <f>IF(AND(K19&gt;0,M19&gt;0),8,IF(K19&gt;0,1,IF(M19&gt;0,INDEX(R_StCode,N19),0)))</f>
        <v>1</v>
      </c>
      <c r="P19">
        <f>COUNTIFS(R_Emp,"Malcolm",R_Cnt,1,R_SN,"&lt;"&amp;((INT(C$7)*1440+540)+30),R_EN,"&gt;"&amp;(INT(C$7)*1440+540))</f>
        <v>0</v>
      </c>
      <c r="Q19">
        <f>IF(P19&gt;0,_xlfn.MINIFS(R_ID,R_Emp,"Malcolm",R_Cnt,1,R_SN,"&lt;"&amp;((INT(C$7)*1440+540)+30),R_EN,"&gt;"&amp;(INT(C$7)*1440+540)),0)</f>
        <v>0</v>
      </c>
      <c r="R19">
        <f>COUNTIFS(R_Emp,"proMX",R_Cnt,1,R_SN,"&lt;"&amp;((INT(C$7)*1440+540)+30),R_EN,"&gt;"&amp;(INT(C$7)*1440+540))</f>
        <v>1</v>
      </c>
      <c r="S19">
        <f>IF(R19&gt;0,_xlfn.MINIFS(R_ID,R_Emp,"proMX",R_Cnt,1,R_SN,"&lt;"&amp;((INT(C$7)*1440+540)+30),R_EN,"&gt;"&amp;(INT(C$7)*1440+540)),0)</f>
        <v>7</v>
      </c>
      <c r="T19">
        <f>IF(AND(P19&gt;0,R19&gt;0),8,IF(P19&gt;0,1,IF(R19&gt;0,INDEX(R_StCode,S19),0)))</f>
        <v>2</v>
      </c>
      <c r="U19">
        <f>COUNTIFS(R_Emp,"Malcolm",R_Cnt,1,R_SN,"&lt;"&amp;((INT(D$7)*1440+540)+30),R_EN,"&gt;"&amp;(INT(D$7)*1440+540))</f>
        <v>0</v>
      </c>
      <c r="V19">
        <f>IF(U19&gt;0,_xlfn.MINIFS(R_ID,R_Emp,"Malcolm",R_Cnt,1,R_SN,"&lt;"&amp;((INT(D$7)*1440+540)+30),R_EN,"&gt;"&amp;(INT(D$7)*1440+540)),0)</f>
        <v>0</v>
      </c>
      <c r="W19">
        <f>COUNTIFS(R_Emp,"proMX",R_Cnt,1,R_SN,"&lt;"&amp;((INT(D$7)*1440+540)+30),R_EN,"&gt;"&amp;(INT(D$7)*1440+540))</f>
        <v>0</v>
      </c>
      <c r="X19">
        <f>IF(W19&gt;0,_xlfn.MINIFS(R_ID,R_Emp,"proMX",R_Cnt,1,R_SN,"&lt;"&amp;((INT(D$7)*1440+540)+30),R_EN,"&gt;"&amp;(INT(D$7)*1440+540)),0)</f>
        <v>0</v>
      </c>
      <c r="Y19">
        <f>IF(AND(U19&gt;0,W19&gt;0),8,IF(U19&gt;0,1,IF(W19&gt;0,INDEX(R_StCode,X19),0)))</f>
        <v>0</v>
      </c>
      <c r="Z19">
        <f>COUNTIFS(R_Emp,"Malcolm",R_Cnt,1,R_SN,"&lt;"&amp;((INT(E$7)*1440+540)+30),R_EN,"&gt;"&amp;(INT(E$7)*1440+540))</f>
        <v>0</v>
      </c>
      <c r="AA19">
        <f>IF(Z19&gt;0,_xlfn.MINIFS(R_ID,R_Emp,"Malcolm",R_Cnt,1,R_SN,"&lt;"&amp;((INT(E$7)*1440+540)+30),R_EN,"&gt;"&amp;(INT(E$7)*1440+540)),0)</f>
        <v>0</v>
      </c>
      <c r="AB19">
        <f>COUNTIFS(R_Emp,"proMX",R_Cnt,1,R_SN,"&lt;"&amp;((INT(E$7)*1440+540)+30),R_EN,"&gt;"&amp;(INT(E$7)*1440+540))</f>
        <v>0</v>
      </c>
      <c r="AC19">
        <f>IF(AB19&gt;0,_xlfn.MINIFS(R_ID,R_Emp,"proMX",R_Cnt,1,R_SN,"&lt;"&amp;((INT(E$7)*1440+540)+30),R_EN,"&gt;"&amp;(INT(E$7)*1440+540)),0)</f>
        <v>0</v>
      </c>
      <c r="AD19">
        <f>IF(AND(Z19&gt;0,AB19&gt;0),8,IF(Z19&gt;0,1,IF(AB19&gt;0,INDEX(R_StCode,AC19),0)))</f>
        <v>0</v>
      </c>
      <c r="AE19">
        <f>COUNTIFS(R_Emp,"Malcolm",R_Cnt,1,R_SN,"&lt;"&amp;((INT(F$7)*1440+540)+30),R_EN,"&gt;"&amp;(INT(F$7)*1440+540))</f>
        <v>0</v>
      </c>
      <c r="AF19">
        <f>IF(AE19&gt;0,_xlfn.MINIFS(R_ID,R_Emp,"Malcolm",R_Cnt,1,R_SN,"&lt;"&amp;((INT(F$7)*1440+540)+30),R_EN,"&gt;"&amp;(INT(F$7)*1440+540)),0)</f>
        <v>0</v>
      </c>
      <c r="AG19">
        <f>COUNTIFS(R_Emp,"proMX",R_Cnt,1,R_SN,"&lt;"&amp;((INT(F$7)*1440+540)+30),R_EN,"&gt;"&amp;(INT(F$7)*1440+540))</f>
        <v>0</v>
      </c>
      <c r="AH19">
        <f>IF(AG19&gt;0,_xlfn.MINIFS(R_ID,R_Emp,"proMX",R_Cnt,1,R_SN,"&lt;"&amp;((INT(F$7)*1440+540)+30),R_EN,"&gt;"&amp;(INT(F$7)*1440+540)),0)</f>
        <v>0</v>
      </c>
      <c r="AI19">
        <f>IF(AND(AE19&gt;0,AG19&gt;0),8,IF(AE19&gt;0,1,IF(AG19&gt;0,INDEX(R_StCode,AH19),0)))</f>
        <v>0</v>
      </c>
      <c r="AJ19">
        <f>COUNTIFS(R_Emp,"Malcolm",R_Cnt,1,R_SN,"&lt;"&amp;((INT(G$7)*1440+540)+30),R_EN,"&gt;"&amp;(INT(G$7)*1440+540))</f>
        <v>0</v>
      </c>
      <c r="AK19">
        <f>IF(AJ19&gt;0,_xlfn.MINIFS(R_ID,R_Emp,"Malcolm",R_Cnt,1,R_SN,"&lt;"&amp;((INT(G$7)*1440+540)+30),R_EN,"&gt;"&amp;(INT(G$7)*1440+540)),0)</f>
        <v>0</v>
      </c>
      <c r="AL19">
        <f>COUNTIFS(R_Emp,"proMX",R_Cnt,1,R_SN,"&lt;"&amp;((INT(G$7)*1440+540)+30),R_EN,"&gt;"&amp;(INT(G$7)*1440+540))</f>
        <v>0</v>
      </c>
      <c r="AM19">
        <f>IF(AL19&gt;0,_xlfn.MINIFS(R_ID,R_Emp,"proMX",R_Cnt,1,R_SN,"&lt;"&amp;((INT(G$7)*1440+540)+30),R_EN,"&gt;"&amp;(INT(G$7)*1440+540)),0)</f>
        <v>0</v>
      </c>
      <c r="AN19">
        <f>IF(AND(AJ19&gt;0,AL19&gt;0),8,IF(AJ19&gt;0,1,IF(AL19&gt;0,INDEX(R_StCode,AM19),0)))</f>
        <v>0</v>
      </c>
      <c r="AO19">
        <f>COUNTIFS(R_Emp,"Malcolm",R_Cnt,1,R_SN,"&lt;"&amp;((INT(H$7)*1440+540)+30),R_EN,"&gt;"&amp;(INT(H$7)*1440+540))</f>
        <v>0</v>
      </c>
      <c r="AP19">
        <f>IF(AO19&gt;0,_xlfn.MINIFS(R_ID,R_Emp,"Malcolm",R_Cnt,1,R_SN,"&lt;"&amp;((INT(H$7)*1440+540)+30),R_EN,"&gt;"&amp;(INT(H$7)*1440+540)),0)</f>
        <v>0</v>
      </c>
      <c r="AQ19">
        <f>COUNTIFS(R_Emp,"proMX",R_Cnt,1,R_SN,"&lt;"&amp;((INT(H$7)*1440+540)+30),R_EN,"&gt;"&amp;(INT(H$7)*1440+540))</f>
        <v>0</v>
      </c>
      <c r="AR19">
        <f>IF(AQ19&gt;0,_xlfn.MINIFS(R_ID,R_Emp,"proMX",R_Cnt,1,R_SN,"&lt;"&amp;((INT(H$7)*1440+540)+30),R_EN,"&gt;"&amp;(INT(H$7)*1440+540)),0)</f>
        <v>0</v>
      </c>
      <c r="AS19">
        <f>IF(AND(AO19&gt;0,AQ19&gt;0),8,IF(AO19&gt;0,1,IF(AQ19&gt;0,INDEX(R_StCode,AR19),0)))</f>
        <v>0</v>
      </c>
    </row>
    <row r="20" ht="20" customHeight="1">
      <c r="A20" s="101" t="n">
        <v>0.3958333333333333</v>
      </c>
      <c r="B20" s="103" t="str">
        <f>IF(O20=0,"",IF(O20=8,"⚠ Malcolm + proMX",IF(O20=1,IF(K20&gt;1,"Malcolm ("&amp;K20&amp;" tareas)",IF(OR(FALSE,INDEX(R_SN,L20)&gt;=(INT(B$7)*1440+570)),"Malcolm · "&amp;INDEX(R_Label,L20)&amp;" ("&amp;TEXT(INDEX(R_Ini,L20),"hh:mm")&amp;"–"&amp;TEXT(INDEX(R_Fin,L20),"hh:mm")&amp;")","")),IF(OR(FALSE,INDEX(R_SN,N20)&gt;=(INT(B$7)*1440+570)),"proMX · "&amp;INDEX(R_Label,N20)&amp;" · "&amp;INDEX(R_St,N20),""))))</f>
        <v/>
      </c>
      <c r="C20" s="103" t="str">
        <f>IF(T20=0,"",IF(T20=8,"⚠ Malcolm + proMX",IF(T20=1,IF(P20&gt;1,"Malcolm ("&amp;P20&amp;" tareas)",IF(OR(FALSE,INDEX(R_SN,Q20)&gt;=(INT(C$7)*1440+570)),"Malcolm · "&amp;INDEX(R_Label,Q20)&amp;" ("&amp;TEXT(INDEX(R_Ini,Q20),"hh:mm")&amp;"–"&amp;TEXT(INDEX(R_Fin,Q20),"hh:mm")&amp;")","")),IF(OR(FALSE,INDEX(R_SN,S20)&gt;=(INT(C$7)*1440+570)),"proMX · "&amp;INDEX(R_Label,S20)&amp;" · "&amp;INDEX(R_St,S20),""))))</f>
        <v/>
      </c>
      <c r="D20" s="103" t="str">
        <f>IF(Y20=0,"",IF(Y20=8,"⚠ Malcolm + proMX",IF(Y20=1,IF(U20&gt;1,"Malcolm ("&amp;U20&amp;" tareas)",IF(OR(FALSE,INDEX(R_SN,V20)&gt;=(INT(D$7)*1440+570)),"Malcolm · "&amp;INDEX(R_Label,V20)&amp;" ("&amp;TEXT(INDEX(R_Ini,V20),"hh:mm")&amp;"–"&amp;TEXT(INDEX(R_Fin,V20),"hh:mm")&amp;")","")),IF(OR(FALSE,INDEX(R_SN,X20)&gt;=(INT(D$7)*1440+570)),"proMX · "&amp;INDEX(R_Label,X20)&amp;" · "&amp;INDEX(R_St,X20),""))))</f>
        <v/>
      </c>
      <c r="E20" s="103" t="str">
        <f>IF(AD20=0,"",IF(AD20=8,"⚠ Malcolm + proMX",IF(AD20=1,IF(Z20&gt;1,"Malcolm ("&amp;Z20&amp;" tareas)",IF(OR(FALSE,INDEX(R_SN,AA20)&gt;=(INT(E$7)*1440+570)),"Malcolm · "&amp;INDEX(R_Label,AA20)&amp;" ("&amp;TEXT(INDEX(R_Ini,AA20),"hh:mm")&amp;"–"&amp;TEXT(INDEX(R_Fin,AA20),"hh:mm")&amp;")","")),IF(OR(FALSE,INDEX(R_SN,AC20)&gt;=(INT(E$7)*1440+570)),"proMX · "&amp;INDEX(R_Label,AC20)&amp;" · "&amp;INDEX(R_St,AC20),""))))</f>
        <v/>
      </c>
      <c r="F20" s="103" t="str">
        <f>IF(AI20=0,"",IF(AI20=8,"⚠ Malcolm + proMX",IF(AI20=1,IF(AE20&gt;1,"Malcolm ("&amp;AE20&amp;" tareas)",IF(OR(FALSE,INDEX(R_SN,AF20)&gt;=(INT(F$7)*1440+570)),"Malcolm · "&amp;INDEX(R_Label,AF20)&amp;" ("&amp;TEXT(INDEX(R_Ini,AF20),"hh:mm")&amp;"–"&amp;TEXT(INDEX(R_Fin,AF20),"hh:mm")&amp;")","")),IF(OR(FALSE,INDEX(R_SN,AH20)&gt;=(INT(F$7)*1440+570)),"proMX · "&amp;INDEX(R_Label,AH20)&amp;" · "&amp;INDEX(R_St,AH20),""))))</f>
        <v/>
      </c>
      <c r="G20" s="103" t="str">
        <f>IF(AN20=0,"",IF(AN20=8,"⚠ Malcolm + proMX",IF(AN20=1,IF(AJ20&gt;1,"Malcolm ("&amp;AJ20&amp;" tareas)",IF(OR(FALSE,INDEX(R_SN,AK20)&gt;=(INT(G$7)*1440+570)),"Malcolm · "&amp;INDEX(R_Label,AK20)&amp;" ("&amp;TEXT(INDEX(R_Ini,AK20),"hh:mm")&amp;"–"&amp;TEXT(INDEX(R_Fin,AK20),"hh:mm")&amp;")","")),IF(OR(FALSE,INDEX(R_SN,AM20)&gt;=(INT(G$7)*1440+570)),"proMX · "&amp;INDEX(R_Label,AM20)&amp;" · "&amp;INDEX(R_St,AM20),""))))</f>
        <v/>
      </c>
      <c r="H20" s="103" t="str">
        <f>IF(AS20=0,"",IF(AS20=8,"⚠ Malcolm + proMX",IF(AS20=1,IF(AO20&gt;1,"Malcolm ("&amp;AO20&amp;" tareas)",IF(OR(FALSE,INDEX(R_SN,AP20)&gt;=(INT(H$7)*1440+570)),"Malcolm · "&amp;INDEX(R_Label,AP20)&amp;" ("&amp;TEXT(INDEX(R_Ini,AP20),"hh:mm")&amp;"–"&amp;TEXT(INDEX(R_Fin,AP20),"hh:mm")&amp;")","")),IF(OR(FALSE,INDEX(R_SN,AR20)&gt;=(INT(H$7)*1440+570)),"proMX · "&amp;INDEX(R_Label,AR20)&amp;" · "&amp;INDEX(R_St,AR20),""))))</f>
        <v/>
      </c>
      <c r="K20">
        <f>COUNTIFS(R_Emp,"Malcolm",R_Cnt,1,R_SN,"&lt;"&amp;((INT(B$7)*1440+570)+30),R_EN,"&gt;"&amp;(INT(B$7)*1440+570))</f>
        <v>1</v>
      </c>
      <c r="L20">
        <f>IF(K20&gt;0,_xlfn.MINIFS(R_ID,R_Emp,"Malcolm",R_Cnt,1,R_SN,"&lt;"&amp;((INT(B$7)*1440+570)+30),R_EN,"&gt;"&amp;(INT(B$7)*1440+570)),0)</f>
        <v>4</v>
      </c>
      <c r="M20">
        <f>COUNTIFS(R_Emp,"proMX",R_Cnt,1,R_SN,"&lt;"&amp;((INT(B$7)*1440+570)+30),R_EN,"&gt;"&amp;(INT(B$7)*1440+570))</f>
        <v>0</v>
      </c>
      <c r="N20">
        <f>IF(M20&gt;0,_xlfn.MINIFS(R_ID,R_Emp,"proMX",R_Cnt,1,R_SN,"&lt;"&amp;((INT(B$7)*1440+570)+30),R_EN,"&gt;"&amp;(INT(B$7)*1440+570)),0)</f>
        <v>0</v>
      </c>
      <c r="O20">
        <f>IF(AND(K20&gt;0,M20&gt;0),8,IF(K20&gt;0,1,IF(M20&gt;0,INDEX(R_StCode,N20),0)))</f>
        <v>1</v>
      </c>
      <c r="P20">
        <f>COUNTIFS(R_Emp,"Malcolm",R_Cnt,1,R_SN,"&lt;"&amp;((INT(C$7)*1440+570)+30),R_EN,"&gt;"&amp;(INT(C$7)*1440+570))</f>
        <v>0</v>
      </c>
      <c r="Q20">
        <f>IF(P20&gt;0,_xlfn.MINIFS(R_ID,R_Emp,"Malcolm",R_Cnt,1,R_SN,"&lt;"&amp;((INT(C$7)*1440+570)+30),R_EN,"&gt;"&amp;(INT(C$7)*1440+570)),0)</f>
        <v>0</v>
      </c>
      <c r="R20">
        <f>COUNTIFS(R_Emp,"proMX",R_Cnt,1,R_SN,"&lt;"&amp;((INT(C$7)*1440+570)+30),R_EN,"&gt;"&amp;(INT(C$7)*1440+570))</f>
        <v>1</v>
      </c>
      <c r="S20">
        <f>IF(R20&gt;0,_xlfn.MINIFS(R_ID,R_Emp,"proMX",R_Cnt,1,R_SN,"&lt;"&amp;((INT(C$7)*1440+570)+30),R_EN,"&gt;"&amp;(INT(C$7)*1440+570)),0)</f>
        <v>7</v>
      </c>
      <c r="T20">
        <f>IF(AND(P20&gt;0,R20&gt;0),8,IF(P20&gt;0,1,IF(R20&gt;0,INDEX(R_StCode,S20),0)))</f>
        <v>2</v>
      </c>
      <c r="U20">
        <f>COUNTIFS(R_Emp,"Malcolm",R_Cnt,1,R_SN,"&lt;"&amp;((INT(D$7)*1440+570)+30),R_EN,"&gt;"&amp;(INT(D$7)*1440+570))</f>
        <v>0</v>
      </c>
      <c r="V20">
        <f>IF(U20&gt;0,_xlfn.MINIFS(R_ID,R_Emp,"Malcolm",R_Cnt,1,R_SN,"&lt;"&amp;((INT(D$7)*1440+570)+30),R_EN,"&gt;"&amp;(INT(D$7)*1440+570)),0)</f>
        <v>0</v>
      </c>
      <c r="W20">
        <f>COUNTIFS(R_Emp,"proMX",R_Cnt,1,R_SN,"&lt;"&amp;((INT(D$7)*1440+570)+30),R_EN,"&gt;"&amp;(INT(D$7)*1440+570))</f>
        <v>0</v>
      </c>
      <c r="X20">
        <f>IF(W20&gt;0,_xlfn.MINIFS(R_ID,R_Emp,"proMX",R_Cnt,1,R_SN,"&lt;"&amp;((INT(D$7)*1440+570)+30),R_EN,"&gt;"&amp;(INT(D$7)*1440+570)),0)</f>
        <v>0</v>
      </c>
      <c r="Y20">
        <f>IF(AND(U20&gt;0,W20&gt;0),8,IF(U20&gt;0,1,IF(W20&gt;0,INDEX(R_StCode,X20),0)))</f>
        <v>0</v>
      </c>
      <c r="Z20">
        <f>COUNTIFS(R_Emp,"Malcolm",R_Cnt,1,R_SN,"&lt;"&amp;((INT(E$7)*1440+570)+30),R_EN,"&gt;"&amp;(INT(E$7)*1440+570))</f>
        <v>0</v>
      </c>
      <c r="AA20">
        <f>IF(Z20&gt;0,_xlfn.MINIFS(R_ID,R_Emp,"Malcolm",R_Cnt,1,R_SN,"&lt;"&amp;((INT(E$7)*1440+570)+30),R_EN,"&gt;"&amp;(INT(E$7)*1440+570)),0)</f>
        <v>0</v>
      </c>
      <c r="AB20">
        <f>COUNTIFS(R_Emp,"proMX",R_Cnt,1,R_SN,"&lt;"&amp;((INT(E$7)*1440+570)+30),R_EN,"&gt;"&amp;(INT(E$7)*1440+570))</f>
        <v>0</v>
      </c>
      <c r="AC20">
        <f>IF(AB20&gt;0,_xlfn.MINIFS(R_ID,R_Emp,"proMX",R_Cnt,1,R_SN,"&lt;"&amp;((INT(E$7)*1440+570)+30),R_EN,"&gt;"&amp;(INT(E$7)*1440+570)),0)</f>
        <v>0</v>
      </c>
      <c r="AD20">
        <f>IF(AND(Z20&gt;0,AB20&gt;0),8,IF(Z20&gt;0,1,IF(AB20&gt;0,INDEX(R_StCode,AC20),0)))</f>
        <v>0</v>
      </c>
      <c r="AE20">
        <f>COUNTIFS(R_Emp,"Malcolm",R_Cnt,1,R_SN,"&lt;"&amp;((INT(F$7)*1440+570)+30),R_EN,"&gt;"&amp;(INT(F$7)*1440+570))</f>
        <v>0</v>
      </c>
      <c r="AF20">
        <f>IF(AE20&gt;0,_xlfn.MINIFS(R_ID,R_Emp,"Malcolm",R_Cnt,1,R_SN,"&lt;"&amp;((INT(F$7)*1440+570)+30),R_EN,"&gt;"&amp;(INT(F$7)*1440+570)),0)</f>
        <v>0</v>
      </c>
      <c r="AG20">
        <f>COUNTIFS(R_Emp,"proMX",R_Cnt,1,R_SN,"&lt;"&amp;((INT(F$7)*1440+570)+30),R_EN,"&gt;"&amp;(INT(F$7)*1440+570))</f>
        <v>0</v>
      </c>
      <c r="AH20">
        <f>IF(AG20&gt;0,_xlfn.MINIFS(R_ID,R_Emp,"proMX",R_Cnt,1,R_SN,"&lt;"&amp;((INT(F$7)*1440+570)+30),R_EN,"&gt;"&amp;(INT(F$7)*1440+570)),0)</f>
        <v>0</v>
      </c>
      <c r="AI20">
        <f>IF(AND(AE20&gt;0,AG20&gt;0),8,IF(AE20&gt;0,1,IF(AG20&gt;0,INDEX(R_StCode,AH20),0)))</f>
        <v>0</v>
      </c>
      <c r="AJ20">
        <f>COUNTIFS(R_Emp,"Malcolm",R_Cnt,1,R_SN,"&lt;"&amp;((INT(G$7)*1440+570)+30),R_EN,"&gt;"&amp;(INT(G$7)*1440+570))</f>
        <v>0</v>
      </c>
      <c r="AK20">
        <f>IF(AJ20&gt;0,_xlfn.MINIFS(R_ID,R_Emp,"Malcolm",R_Cnt,1,R_SN,"&lt;"&amp;((INT(G$7)*1440+570)+30),R_EN,"&gt;"&amp;(INT(G$7)*1440+570)),0)</f>
        <v>0</v>
      </c>
      <c r="AL20">
        <f>COUNTIFS(R_Emp,"proMX",R_Cnt,1,R_SN,"&lt;"&amp;((INT(G$7)*1440+570)+30),R_EN,"&gt;"&amp;(INT(G$7)*1440+570))</f>
        <v>0</v>
      </c>
      <c r="AM20">
        <f>IF(AL20&gt;0,_xlfn.MINIFS(R_ID,R_Emp,"proMX",R_Cnt,1,R_SN,"&lt;"&amp;((INT(G$7)*1440+570)+30),R_EN,"&gt;"&amp;(INT(G$7)*1440+570)),0)</f>
        <v>0</v>
      </c>
      <c r="AN20">
        <f>IF(AND(AJ20&gt;0,AL20&gt;0),8,IF(AJ20&gt;0,1,IF(AL20&gt;0,INDEX(R_StCode,AM20),0)))</f>
        <v>0</v>
      </c>
      <c r="AO20">
        <f>COUNTIFS(R_Emp,"Malcolm",R_Cnt,1,R_SN,"&lt;"&amp;((INT(H$7)*1440+570)+30),R_EN,"&gt;"&amp;(INT(H$7)*1440+570))</f>
        <v>0</v>
      </c>
      <c r="AP20">
        <f>IF(AO20&gt;0,_xlfn.MINIFS(R_ID,R_Emp,"Malcolm",R_Cnt,1,R_SN,"&lt;"&amp;((INT(H$7)*1440+570)+30),R_EN,"&gt;"&amp;(INT(H$7)*1440+570)),0)</f>
        <v>0</v>
      </c>
      <c r="AQ20">
        <f>COUNTIFS(R_Emp,"proMX",R_Cnt,1,R_SN,"&lt;"&amp;((INT(H$7)*1440+570)+30),R_EN,"&gt;"&amp;(INT(H$7)*1440+570))</f>
        <v>0</v>
      </c>
      <c r="AR20">
        <f>IF(AQ20&gt;0,_xlfn.MINIFS(R_ID,R_Emp,"proMX",R_Cnt,1,R_SN,"&lt;"&amp;((INT(H$7)*1440+570)+30),R_EN,"&gt;"&amp;(INT(H$7)*1440+570)),0)</f>
        <v>0</v>
      </c>
      <c r="AS20">
        <f>IF(AND(AO20&gt;0,AQ20&gt;0),8,IF(AO20&gt;0,1,IF(AQ20&gt;0,INDEX(R_StCode,AR20),0)))</f>
        <v>0</v>
      </c>
    </row>
    <row r="21" ht="20" customHeight="1">
      <c r="A21" s="101" t="n">
        <v>0.4166666666666667</v>
      </c>
      <c r="B21" s="103" t="str">
        <f>IF(O21=0,"",IF(O21=8,"⚠ Malcolm + proMX",IF(O21=1,IF(K21&gt;1,"Malcolm ("&amp;K21&amp;" tareas)",IF(OR(FALSE,INDEX(R_SN,L21)&gt;=(INT(B$7)*1440+600)),"Malcolm · "&amp;INDEX(R_Label,L21)&amp;" ("&amp;TEXT(INDEX(R_Ini,L21),"hh:mm")&amp;"–"&amp;TEXT(INDEX(R_Fin,L21),"hh:mm")&amp;")","")),IF(OR(FALSE,INDEX(R_SN,N21)&gt;=(INT(B$7)*1440+600)),"proMX · "&amp;INDEX(R_Label,N21)&amp;" · "&amp;INDEX(R_St,N21),""))))</f>
        <v/>
      </c>
      <c r="C21" s="103" t="str">
        <f>IF(T21=0,"",IF(T21=8,"⚠ Malcolm + proMX",IF(T21=1,IF(P21&gt;1,"Malcolm ("&amp;P21&amp;" tareas)",IF(OR(FALSE,INDEX(R_SN,Q21)&gt;=(INT(C$7)*1440+600)),"Malcolm · "&amp;INDEX(R_Label,Q21)&amp;" ("&amp;TEXT(INDEX(R_Ini,Q21),"hh:mm")&amp;"–"&amp;TEXT(INDEX(R_Fin,Q21),"hh:mm")&amp;")","")),IF(OR(FALSE,INDEX(R_SN,S21)&gt;=(INT(C$7)*1440+600)),"proMX · "&amp;INDEX(R_Label,S21)&amp;" · "&amp;INDEX(R_St,S21),""))))</f>
        <v/>
      </c>
      <c r="D21" s="103" t="str">
        <f>IF(Y21=0,"",IF(Y21=8,"⚠ Malcolm + proMX",IF(Y21=1,IF(U21&gt;1,"Malcolm ("&amp;U21&amp;" tareas)",IF(OR(FALSE,INDEX(R_SN,V21)&gt;=(INT(D$7)*1440+600)),"Malcolm · "&amp;INDEX(R_Label,V21)&amp;" ("&amp;TEXT(INDEX(R_Ini,V21),"hh:mm")&amp;"–"&amp;TEXT(INDEX(R_Fin,V21),"hh:mm")&amp;")","")),IF(OR(FALSE,INDEX(R_SN,X21)&gt;=(INT(D$7)*1440+600)),"proMX · "&amp;INDEX(R_Label,X21)&amp;" · "&amp;INDEX(R_St,X21),""))))</f>
        <v/>
      </c>
      <c r="E21" s="103" t="str">
        <f>IF(AD21=0,"",IF(AD21=8,"⚠ Malcolm + proMX",IF(AD21=1,IF(Z21&gt;1,"Malcolm ("&amp;Z21&amp;" tareas)",IF(OR(FALSE,INDEX(R_SN,AA21)&gt;=(INT(E$7)*1440+600)),"Malcolm · "&amp;INDEX(R_Label,AA21)&amp;" ("&amp;TEXT(INDEX(R_Ini,AA21),"hh:mm")&amp;"–"&amp;TEXT(INDEX(R_Fin,AA21),"hh:mm")&amp;")","")),IF(OR(FALSE,INDEX(R_SN,AC21)&gt;=(INT(E$7)*1440+600)),"proMX · "&amp;INDEX(R_Label,AC21)&amp;" · "&amp;INDEX(R_St,AC21),""))))</f>
        <v/>
      </c>
      <c r="F21" s="103" t="str">
        <f>IF(AI21=0,"",IF(AI21=8,"⚠ Malcolm + proMX",IF(AI21=1,IF(AE21&gt;1,"Malcolm ("&amp;AE21&amp;" tareas)",IF(OR(FALSE,INDEX(R_SN,AF21)&gt;=(INT(F$7)*1440+600)),"Malcolm · "&amp;INDEX(R_Label,AF21)&amp;" ("&amp;TEXT(INDEX(R_Ini,AF21),"hh:mm")&amp;"–"&amp;TEXT(INDEX(R_Fin,AF21),"hh:mm")&amp;")","")),IF(OR(FALSE,INDEX(R_SN,AH21)&gt;=(INT(F$7)*1440+600)),"proMX · "&amp;INDEX(R_Label,AH21)&amp;" · "&amp;INDEX(R_St,AH21),""))))</f>
        <v/>
      </c>
      <c r="G21" s="103" t="str">
        <f>IF(AN21=0,"",IF(AN21=8,"⚠ Malcolm + proMX",IF(AN21=1,IF(AJ21&gt;1,"Malcolm ("&amp;AJ21&amp;" tareas)",IF(OR(FALSE,INDEX(R_SN,AK21)&gt;=(INT(G$7)*1440+600)),"Malcolm · "&amp;INDEX(R_Label,AK21)&amp;" ("&amp;TEXT(INDEX(R_Ini,AK21),"hh:mm")&amp;"–"&amp;TEXT(INDEX(R_Fin,AK21),"hh:mm")&amp;")","")),IF(OR(FALSE,INDEX(R_SN,AM21)&gt;=(INT(G$7)*1440+600)),"proMX · "&amp;INDEX(R_Label,AM21)&amp;" · "&amp;INDEX(R_St,AM21),""))))</f>
        <v/>
      </c>
      <c r="H21" s="103" t="str">
        <f>IF(AS21=0,"",IF(AS21=8,"⚠ Malcolm + proMX",IF(AS21=1,IF(AO21&gt;1,"Malcolm ("&amp;AO21&amp;" tareas)",IF(OR(FALSE,INDEX(R_SN,AP21)&gt;=(INT(H$7)*1440+600)),"Malcolm · "&amp;INDEX(R_Label,AP21)&amp;" ("&amp;TEXT(INDEX(R_Ini,AP21),"hh:mm")&amp;"–"&amp;TEXT(INDEX(R_Fin,AP21),"hh:mm")&amp;")","")),IF(OR(FALSE,INDEX(R_SN,AR21)&gt;=(INT(H$7)*1440+600)),"proMX · "&amp;INDEX(R_Label,AR21)&amp;" · "&amp;INDEX(R_St,AR21),""))))</f>
        <v/>
      </c>
      <c r="K21">
        <f>COUNTIFS(R_Emp,"Malcolm",R_Cnt,1,R_SN,"&lt;"&amp;((INT(B$7)*1440+600)+30),R_EN,"&gt;"&amp;(INT(B$7)*1440+600))</f>
        <v>1</v>
      </c>
      <c r="L21">
        <f>IF(K21&gt;0,_xlfn.MINIFS(R_ID,R_Emp,"Malcolm",R_Cnt,1,R_SN,"&lt;"&amp;((INT(B$7)*1440+600)+30),R_EN,"&gt;"&amp;(INT(B$7)*1440+600)),0)</f>
        <v>4</v>
      </c>
      <c r="M21">
        <f>COUNTIFS(R_Emp,"proMX",R_Cnt,1,R_SN,"&lt;"&amp;((INT(B$7)*1440+600)+30),R_EN,"&gt;"&amp;(INT(B$7)*1440+600))</f>
        <v>0</v>
      </c>
      <c r="N21">
        <f>IF(M21&gt;0,_xlfn.MINIFS(R_ID,R_Emp,"proMX",R_Cnt,1,R_SN,"&lt;"&amp;((INT(B$7)*1440+600)+30),R_EN,"&gt;"&amp;(INT(B$7)*1440+600)),0)</f>
        <v>0</v>
      </c>
      <c r="O21">
        <f>IF(AND(K21&gt;0,M21&gt;0),8,IF(K21&gt;0,1,IF(M21&gt;0,INDEX(R_StCode,N21),0)))</f>
        <v>1</v>
      </c>
      <c r="P21">
        <f>COUNTIFS(R_Emp,"Malcolm",R_Cnt,1,R_SN,"&lt;"&amp;((INT(C$7)*1440+600)+30),R_EN,"&gt;"&amp;(INT(C$7)*1440+600))</f>
        <v>0</v>
      </c>
      <c r="Q21">
        <f>IF(P21&gt;0,_xlfn.MINIFS(R_ID,R_Emp,"Malcolm",R_Cnt,1,R_SN,"&lt;"&amp;((INT(C$7)*1440+600)+30),R_EN,"&gt;"&amp;(INT(C$7)*1440+600)),0)</f>
        <v>0</v>
      </c>
      <c r="R21">
        <f>COUNTIFS(R_Emp,"proMX",R_Cnt,1,R_SN,"&lt;"&amp;((INT(C$7)*1440+600)+30),R_EN,"&gt;"&amp;(INT(C$7)*1440+600))</f>
        <v>1</v>
      </c>
      <c r="S21">
        <f>IF(R21&gt;0,_xlfn.MINIFS(R_ID,R_Emp,"proMX",R_Cnt,1,R_SN,"&lt;"&amp;((INT(C$7)*1440+600)+30),R_EN,"&gt;"&amp;(INT(C$7)*1440+600)),0)</f>
        <v>7</v>
      </c>
      <c r="T21">
        <f>IF(AND(P21&gt;0,R21&gt;0),8,IF(P21&gt;0,1,IF(R21&gt;0,INDEX(R_StCode,S21),0)))</f>
        <v>2</v>
      </c>
      <c r="U21">
        <f>COUNTIFS(R_Emp,"Malcolm",R_Cnt,1,R_SN,"&lt;"&amp;((INT(D$7)*1440+600)+30),R_EN,"&gt;"&amp;(INT(D$7)*1440+600))</f>
        <v>0</v>
      </c>
      <c r="V21">
        <f>IF(U21&gt;0,_xlfn.MINIFS(R_ID,R_Emp,"Malcolm",R_Cnt,1,R_SN,"&lt;"&amp;((INT(D$7)*1440+600)+30),R_EN,"&gt;"&amp;(INT(D$7)*1440+600)),0)</f>
        <v>0</v>
      </c>
      <c r="W21">
        <f>COUNTIFS(R_Emp,"proMX",R_Cnt,1,R_SN,"&lt;"&amp;((INT(D$7)*1440+600)+30),R_EN,"&gt;"&amp;(INT(D$7)*1440+600))</f>
        <v>0</v>
      </c>
      <c r="X21">
        <f>IF(W21&gt;0,_xlfn.MINIFS(R_ID,R_Emp,"proMX",R_Cnt,1,R_SN,"&lt;"&amp;((INT(D$7)*1440+600)+30),R_EN,"&gt;"&amp;(INT(D$7)*1440+600)),0)</f>
        <v>0</v>
      </c>
      <c r="Y21">
        <f>IF(AND(U21&gt;0,W21&gt;0),8,IF(U21&gt;0,1,IF(W21&gt;0,INDEX(R_StCode,X21),0)))</f>
        <v>0</v>
      </c>
      <c r="Z21">
        <f>COUNTIFS(R_Emp,"Malcolm",R_Cnt,1,R_SN,"&lt;"&amp;((INT(E$7)*1440+600)+30),R_EN,"&gt;"&amp;(INT(E$7)*1440+600))</f>
        <v>0</v>
      </c>
      <c r="AA21">
        <f>IF(Z21&gt;0,_xlfn.MINIFS(R_ID,R_Emp,"Malcolm",R_Cnt,1,R_SN,"&lt;"&amp;((INT(E$7)*1440+600)+30),R_EN,"&gt;"&amp;(INT(E$7)*1440+600)),0)</f>
        <v>0</v>
      </c>
      <c r="AB21">
        <f>COUNTIFS(R_Emp,"proMX",R_Cnt,1,R_SN,"&lt;"&amp;((INT(E$7)*1440+600)+30),R_EN,"&gt;"&amp;(INT(E$7)*1440+600))</f>
        <v>0</v>
      </c>
      <c r="AC21">
        <f>IF(AB21&gt;0,_xlfn.MINIFS(R_ID,R_Emp,"proMX",R_Cnt,1,R_SN,"&lt;"&amp;((INT(E$7)*1440+600)+30),R_EN,"&gt;"&amp;(INT(E$7)*1440+600)),0)</f>
        <v>0</v>
      </c>
      <c r="AD21">
        <f>IF(AND(Z21&gt;0,AB21&gt;0),8,IF(Z21&gt;0,1,IF(AB21&gt;0,INDEX(R_StCode,AC21),0)))</f>
        <v>0</v>
      </c>
      <c r="AE21">
        <f>COUNTIFS(R_Emp,"Malcolm",R_Cnt,1,R_SN,"&lt;"&amp;((INT(F$7)*1440+600)+30),R_EN,"&gt;"&amp;(INT(F$7)*1440+600))</f>
        <v>0</v>
      </c>
      <c r="AF21">
        <f>IF(AE21&gt;0,_xlfn.MINIFS(R_ID,R_Emp,"Malcolm",R_Cnt,1,R_SN,"&lt;"&amp;((INT(F$7)*1440+600)+30),R_EN,"&gt;"&amp;(INT(F$7)*1440+600)),0)</f>
        <v>0</v>
      </c>
      <c r="AG21">
        <f>COUNTIFS(R_Emp,"proMX",R_Cnt,1,R_SN,"&lt;"&amp;((INT(F$7)*1440+600)+30),R_EN,"&gt;"&amp;(INT(F$7)*1440+600))</f>
        <v>0</v>
      </c>
      <c r="AH21">
        <f>IF(AG21&gt;0,_xlfn.MINIFS(R_ID,R_Emp,"proMX",R_Cnt,1,R_SN,"&lt;"&amp;((INT(F$7)*1440+600)+30),R_EN,"&gt;"&amp;(INT(F$7)*1440+600)),0)</f>
        <v>0</v>
      </c>
      <c r="AI21">
        <f>IF(AND(AE21&gt;0,AG21&gt;0),8,IF(AE21&gt;0,1,IF(AG21&gt;0,INDEX(R_StCode,AH21),0)))</f>
        <v>0</v>
      </c>
      <c r="AJ21">
        <f>COUNTIFS(R_Emp,"Malcolm",R_Cnt,1,R_SN,"&lt;"&amp;((INT(G$7)*1440+600)+30),R_EN,"&gt;"&amp;(INT(G$7)*1440+600))</f>
        <v>0</v>
      </c>
      <c r="AK21">
        <f>IF(AJ21&gt;0,_xlfn.MINIFS(R_ID,R_Emp,"Malcolm",R_Cnt,1,R_SN,"&lt;"&amp;((INT(G$7)*1440+600)+30),R_EN,"&gt;"&amp;(INT(G$7)*1440+600)),0)</f>
        <v>0</v>
      </c>
      <c r="AL21">
        <f>COUNTIFS(R_Emp,"proMX",R_Cnt,1,R_SN,"&lt;"&amp;((INT(G$7)*1440+600)+30),R_EN,"&gt;"&amp;(INT(G$7)*1440+600))</f>
        <v>0</v>
      </c>
      <c r="AM21">
        <f>IF(AL21&gt;0,_xlfn.MINIFS(R_ID,R_Emp,"proMX",R_Cnt,1,R_SN,"&lt;"&amp;((INT(G$7)*1440+600)+30),R_EN,"&gt;"&amp;(INT(G$7)*1440+600)),0)</f>
        <v>0</v>
      </c>
      <c r="AN21">
        <f>IF(AND(AJ21&gt;0,AL21&gt;0),8,IF(AJ21&gt;0,1,IF(AL21&gt;0,INDEX(R_StCode,AM21),0)))</f>
        <v>0</v>
      </c>
      <c r="AO21">
        <f>COUNTIFS(R_Emp,"Malcolm",R_Cnt,1,R_SN,"&lt;"&amp;((INT(H$7)*1440+600)+30),R_EN,"&gt;"&amp;(INT(H$7)*1440+600))</f>
        <v>0</v>
      </c>
      <c r="AP21">
        <f>IF(AO21&gt;0,_xlfn.MINIFS(R_ID,R_Emp,"Malcolm",R_Cnt,1,R_SN,"&lt;"&amp;((INT(H$7)*1440+600)+30),R_EN,"&gt;"&amp;(INT(H$7)*1440+600)),0)</f>
        <v>0</v>
      </c>
      <c r="AQ21">
        <f>COUNTIFS(R_Emp,"proMX",R_Cnt,1,R_SN,"&lt;"&amp;((INT(H$7)*1440+600)+30),R_EN,"&gt;"&amp;(INT(H$7)*1440+600))</f>
        <v>0</v>
      </c>
      <c r="AR21">
        <f>IF(AQ21&gt;0,_xlfn.MINIFS(R_ID,R_Emp,"proMX",R_Cnt,1,R_SN,"&lt;"&amp;((INT(H$7)*1440+600)+30),R_EN,"&gt;"&amp;(INT(H$7)*1440+600)),0)</f>
        <v>0</v>
      </c>
      <c r="AS21">
        <f>IF(AND(AO21&gt;0,AQ21&gt;0),8,IF(AO21&gt;0,1,IF(AQ21&gt;0,INDEX(R_StCode,AR21),0)))</f>
        <v>0</v>
      </c>
    </row>
    <row r="22" ht="20" customHeight="1">
      <c r="A22" s="101" t="n">
        <v>0.4375</v>
      </c>
      <c r="B22" s="103" t="str">
        <f>IF(O22=0,"",IF(O22=8,"⚠ Malcolm + proMX",IF(O22=1,IF(K22&gt;1,"Malcolm ("&amp;K22&amp;" tareas)",IF(OR(FALSE,INDEX(R_SN,L22)&gt;=(INT(B$7)*1440+630)),"Malcolm · "&amp;INDEX(R_Label,L22)&amp;" ("&amp;TEXT(INDEX(R_Ini,L22),"hh:mm")&amp;"–"&amp;TEXT(INDEX(R_Fin,L22),"hh:mm")&amp;")","")),IF(OR(FALSE,INDEX(R_SN,N22)&gt;=(INT(B$7)*1440+630)),"proMX · "&amp;INDEX(R_Label,N22)&amp;" · "&amp;INDEX(R_St,N22),""))))</f>
        <v/>
      </c>
      <c r="C22" s="103" t="str">
        <f>IF(T22=0,"",IF(T22=8,"⚠ Malcolm + proMX",IF(T22=1,IF(P22&gt;1,"Malcolm ("&amp;P22&amp;" tareas)",IF(OR(FALSE,INDEX(R_SN,Q22)&gt;=(INT(C$7)*1440+630)),"Malcolm · "&amp;INDEX(R_Label,Q22)&amp;" ("&amp;TEXT(INDEX(R_Ini,Q22),"hh:mm")&amp;"–"&amp;TEXT(INDEX(R_Fin,Q22),"hh:mm")&amp;")","")),IF(OR(FALSE,INDEX(R_SN,S22)&gt;=(INT(C$7)*1440+630)),"proMX · "&amp;INDEX(R_Label,S22)&amp;" · "&amp;INDEX(R_St,S22),""))))</f>
        <v/>
      </c>
      <c r="D22" s="103" t="str">
        <f>IF(Y22=0,"",IF(Y22=8,"⚠ Malcolm + proMX",IF(Y22=1,IF(U22&gt;1,"Malcolm ("&amp;U22&amp;" tareas)",IF(OR(FALSE,INDEX(R_SN,V22)&gt;=(INT(D$7)*1440+630)),"Malcolm · "&amp;INDEX(R_Label,V22)&amp;" ("&amp;TEXT(INDEX(R_Ini,V22),"hh:mm")&amp;"–"&amp;TEXT(INDEX(R_Fin,V22),"hh:mm")&amp;")","")),IF(OR(FALSE,INDEX(R_SN,X22)&gt;=(INT(D$7)*1440+630)),"proMX · "&amp;INDEX(R_Label,X22)&amp;" · "&amp;INDEX(R_St,X22),""))))</f>
        <v/>
      </c>
      <c r="E22" s="103" t="str">
        <f>IF(AD22=0,"",IF(AD22=8,"⚠ Malcolm + proMX",IF(AD22=1,IF(Z22&gt;1,"Malcolm ("&amp;Z22&amp;" tareas)",IF(OR(FALSE,INDEX(R_SN,AA22)&gt;=(INT(E$7)*1440+630)),"Malcolm · "&amp;INDEX(R_Label,AA22)&amp;" ("&amp;TEXT(INDEX(R_Ini,AA22),"hh:mm")&amp;"–"&amp;TEXT(INDEX(R_Fin,AA22),"hh:mm")&amp;")","")),IF(OR(FALSE,INDEX(R_SN,AC22)&gt;=(INT(E$7)*1440+630)),"proMX · "&amp;INDEX(R_Label,AC22)&amp;" · "&amp;INDEX(R_St,AC22),""))))</f>
        <v/>
      </c>
      <c r="F22" s="103" t="str">
        <f>IF(AI22=0,"",IF(AI22=8,"⚠ Malcolm + proMX",IF(AI22=1,IF(AE22&gt;1,"Malcolm ("&amp;AE22&amp;" tareas)",IF(OR(FALSE,INDEX(R_SN,AF22)&gt;=(INT(F$7)*1440+630)),"Malcolm · "&amp;INDEX(R_Label,AF22)&amp;" ("&amp;TEXT(INDEX(R_Ini,AF22),"hh:mm")&amp;"–"&amp;TEXT(INDEX(R_Fin,AF22),"hh:mm")&amp;")","")),IF(OR(FALSE,INDEX(R_SN,AH22)&gt;=(INT(F$7)*1440+630)),"proMX · "&amp;INDEX(R_Label,AH22)&amp;" · "&amp;INDEX(R_St,AH22),""))))</f>
        <v/>
      </c>
      <c r="G22" s="103" t="str">
        <f>IF(AN22=0,"",IF(AN22=8,"⚠ Malcolm + proMX",IF(AN22=1,IF(AJ22&gt;1,"Malcolm ("&amp;AJ22&amp;" tareas)",IF(OR(FALSE,INDEX(R_SN,AK22)&gt;=(INT(G$7)*1440+630)),"Malcolm · "&amp;INDEX(R_Label,AK22)&amp;" ("&amp;TEXT(INDEX(R_Ini,AK22),"hh:mm")&amp;"–"&amp;TEXT(INDEX(R_Fin,AK22),"hh:mm")&amp;")","")),IF(OR(FALSE,INDEX(R_SN,AM22)&gt;=(INT(G$7)*1440+630)),"proMX · "&amp;INDEX(R_Label,AM22)&amp;" · "&amp;INDEX(R_St,AM22),""))))</f>
        <v/>
      </c>
      <c r="H22" s="103" t="str">
        <f>IF(AS22=0,"",IF(AS22=8,"⚠ Malcolm + proMX",IF(AS22=1,IF(AO22&gt;1,"Malcolm ("&amp;AO22&amp;" tareas)",IF(OR(FALSE,INDEX(R_SN,AP22)&gt;=(INT(H$7)*1440+630)),"Malcolm · "&amp;INDEX(R_Label,AP22)&amp;" ("&amp;TEXT(INDEX(R_Ini,AP22),"hh:mm")&amp;"–"&amp;TEXT(INDEX(R_Fin,AP22),"hh:mm")&amp;")","")),IF(OR(FALSE,INDEX(R_SN,AR22)&gt;=(INT(H$7)*1440+630)),"proMX · "&amp;INDEX(R_Label,AR22)&amp;" · "&amp;INDEX(R_St,AR22),""))))</f>
        <v/>
      </c>
      <c r="K22">
        <f>COUNTIFS(R_Emp,"Malcolm",R_Cnt,1,R_SN,"&lt;"&amp;((INT(B$7)*1440+630)+30),R_EN,"&gt;"&amp;(INT(B$7)*1440+630))</f>
        <v>1</v>
      </c>
      <c r="L22">
        <f>IF(K22&gt;0,_xlfn.MINIFS(R_ID,R_Emp,"Malcolm",R_Cnt,1,R_SN,"&lt;"&amp;((INT(B$7)*1440+630)+30),R_EN,"&gt;"&amp;(INT(B$7)*1440+630)),0)</f>
        <v>4</v>
      </c>
      <c r="M22">
        <f>COUNTIFS(R_Emp,"proMX",R_Cnt,1,R_SN,"&lt;"&amp;((INT(B$7)*1440+630)+30),R_EN,"&gt;"&amp;(INT(B$7)*1440+630))</f>
        <v>0</v>
      </c>
      <c r="N22">
        <f>IF(M22&gt;0,_xlfn.MINIFS(R_ID,R_Emp,"proMX",R_Cnt,1,R_SN,"&lt;"&amp;((INT(B$7)*1440+630)+30),R_EN,"&gt;"&amp;(INT(B$7)*1440+630)),0)</f>
        <v>0</v>
      </c>
      <c r="O22">
        <f>IF(AND(K22&gt;0,M22&gt;0),8,IF(K22&gt;0,1,IF(M22&gt;0,INDEX(R_StCode,N22),0)))</f>
        <v>1</v>
      </c>
      <c r="P22">
        <f>COUNTIFS(R_Emp,"Malcolm",R_Cnt,1,R_SN,"&lt;"&amp;((INT(C$7)*1440+630)+30),R_EN,"&gt;"&amp;(INT(C$7)*1440+630))</f>
        <v>0</v>
      </c>
      <c r="Q22">
        <f>IF(P22&gt;0,_xlfn.MINIFS(R_ID,R_Emp,"Malcolm",R_Cnt,1,R_SN,"&lt;"&amp;((INT(C$7)*1440+630)+30),R_EN,"&gt;"&amp;(INT(C$7)*1440+630)),0)</f>
        <v>0</v>
      </c>
      <c r="R22">
        <f>COUNTIFS(R_Emp,"proMX",R_Cnt,1,R_SN,"&lt;"&amp;((INT(C$7)*1440+630)+30),R_EN,"&gt;"&amp;(INT(C$7)*1440+630))</f>
        <v>0</v>
      </c>
      <c r="S22">
        <f>IF(R22&gt;0,_xlfn.MINIFS(R_ID,R_Emp,"proMX",R_Cnt,1,R_SN,"&lt;"&amp;((INT(C$7)*1440+630)+30),R_EN,"&gt;"&amp;(INT(C$7)*1440+630)),0)</f>
        <v>0</v>
      </c>
      <c r="T22">
        <f>IF(AND(P22&gt;0,R22&gt;0),8,IF(P22&gt;0,1,IF(R22&gt;0,INDEX(R_StCode,S22),0)))</f>
        <v>0</v>
      </c>
      <c r="U22">
        <f>COUNTIFS(R_Emp,"Malcolm",R_Cnt,1,R_SN,"&lt;"&amp;((INT(D$7)*1440+630)+30),R_EN,"&gt;"&amp;(INT(D$7)*1440+630))</f>
        <v>0</v>
      </c>
      <c r="V22">
        <f>IF(U22&gt;0,_xlfn.MINIFS(R_ID,R_Emp,"Malcolm",R_Cnt,1,R_SN,"&lt;"&amp;((INT(D$7)*1440+630)+30),R_EN,"&gt;"&amp;(INT(D$7)*1440+630)),0)</f>
        <v>0</v>
      </c>
      <c r="W22">
        <f>COUNTIFS(R_Emp,"proMX",R_Cnt,1,R_SN,"&lt;"&amp;((INT(D$7)*1440+630)+30),R_EN,"&gt;"&amp;(INT(D$7)*1440+630))</f>
        <v>0</v>
      </c>
      <c r="X22">
        <f>IF(W22&gt;0,_xlfn.MINIFS(R_ID,R_Emp,"proMX",R_Cnt,1,R_SN,"&lt;"&amp;((INT(D$7)*1440+630)+30),R_EN,"&gt;"&amp;(INT(D$7)*1440+630)),0)</f>
        <v>0</v>
      </c>
      <c r="Y22">
        <f>IF(AND(U22&gt;0,W22&gt;0),8,IF(U22&gt;0,1,IF(W22&gt;0,INDEX(R_StCode,X22),0)))</f>
        <v>0</v>
      </c>
      <c r="Z22">
        <f>COUNTIFS(R_Emp,"Malcolm",R_Cnt,1,R_SN,"&lt;"&amp;((INT(E$7)*1440+630)+30),R_EN,"&gt;"&amp;(INT(E$7)*1440+630))</f>
        <v>0</v>
      </c>
      <c r="AA22">
        <f>IF(Z22&gt;0,_xlfn.MINIFS(R_ID,R_Emp,"Malcolm",R_Cnt,1,R_SN,"&lt;"&amp;((INT(E$7)*1440+630)+30),R_EN,"&gt;"&amp;(INT(E$7)*1440+630)),0)</f>
        <v>0</v>
      </c>
      <c r="AB22">
        <f>COUNTIFS(R_Emp,"proMX",R_Cnt,1,R_SN,"&lt;"&amp;((INT(E$7)*1440+630)+30),R_EN,"&gt;"&amp;(INT(E$7)*1440+630))</f>
        <v>0</v>
      </c>
      <c r="AC22">
        <f>IF(AB22&gt;0,_xlfn.MINIFS(R_ID,R_Emp,"proMX",R_Cnt,1,R_SN,"&lt;"&amp;((INT(E$7)*1440+630)+30),R_EN,"&gt;"&amp;(INT(E$7)*1440+630)),0)</f>
        <v>0</v>
      </c>
      <c r="AD22">
        <f>IF(AND(Z22&gt;0,AB22&gt;0),8,IF(Z22&gt;0,1,IF(AB22&gt;0,INDEX(R_StCode,AC22),0)))</f>
        <v>0</v>
      </c>
      <c r="AE22">
        <f>COUNTIFS(R_Emp,"Malcolm",R_Cnt,1,R_SN,"&lt;"&amp;((INT(F$7)*1440+630)+30),R_EN,"&gt;"&amp;(INT(F$7)*1440+630))</f>
        <v>0</v>
      </c>
      <c r="AF22">
        <f>IF(AE22&gt;0,_xlfn.MINIFS(R_ID,R_Emp,"Malcolm",R_Cnt,1,R_SN,"&lt;"&amp;((INT(F$7)*1440+630)+30),R_EN,"&gt;"&amp;(INT(F$7)*1440+630)),0)</f>
        <v>0</v>
      </c>
      <c r="AG22">
        <f>COUNTIFS(R_Emp,"proMX",R_Cnt,1,R_SN,"&lt;"&amp;((INT(F$7)*1440+630)+30),R_EN,"&gt;"&amp;(INT(F$7)*1440+630))</f>
        <v>0</v>
      </c>
      <c r="AH22">
        <f>IF(AG22&gt;0,_xlfn.MINIFS(R_ID,R_Emp,"proMX",R_Cnt,1,R_SN,"&lt;"&amp;((INT(F$7)*1440+630)+30),R_EN,"&gt;"&amp;(INT(F$7)*1440+630)),0)</f>
        <v>0</v>
      </c>
      <c r="AI22">
        <f>IF(AND(AE22&gt;0,AG22&gt;0),8,IF(AE22&gt;0,1,IF(AG22&gt;0,INDEX(R_StCode,AH22),0)))</f>
        <v>0</v>
      </c>
      <c r="AJ22">
        <f>COUNTIFS(R_Emp,"Malcolm",R_Cnt,1,R_SN,"&lt;"&amp;((INT(G$7)*1440+630)+30),R_EN,"&gt;"&amp;(INT(G$7)*1440+630))</f>
        <v>0</v>
      </c>
      <c r="AK22">
        <f>IF(AJ22&gt;0,_xlfn.MINIFS(R_ID,R_Emp,"Malcolm",R_Cnt,1,R_SN,"&lt;"&amp;((INT(G$7)*1440+630)+30),R_EN,"&gt;"&amp;(INT(G$7)*1440+630)),0)</f>
        <v>0</v>
      </c>
      <c r="AL22">
        <f>COUNTIFS(R_Emp,"proMX",R_Cnt,1,R_SN,"&lt;"&amp;((INT(G$7)*1440+630)+30),R_EN,"&gt;"&amp;(INT(G$7)*1440+630))</f>
        <v>0</v>
      </c>
      <c r="AM22">
        <f>IF(AL22&gt;0,_xlfn.MINIFS(R_ID,R_Emp,"proMX",R_Cnt,1,R_SN,"&lt;"&amp;((INT(G$7)*1440+630)+30),R_EN,"&gt;"&amp;(INT(G$7)*1440+630)),0)</f>
        <v>0</v>
      </c>
      <c r="AN22">
        <f>IF(AND(AJ22&gt;0,AL22&gt;0),8,IF(AJ22&gt;0,1,IF(AL22&gt;0,INDEX(R_StCode,AM22),0)))</f>
        <v>0</v>
      </c>
      <c r="AO22">
        <f>COUNTIFS(R_Emp,"Malcolm",R_Cnt,1,R_SN,"&lt;"&amp;((INT(H$7)*1440+630)+30),R_EN,"&gt;"&amp;(INT(H$7)*1440+630))</f>
        <v>0</v>
      </c>
      <c r="AP22">
        <f>IF(AO22&gt;0,_xlfn.MINIFS(R_ID,R_Emp,"Malcolm",R_Cnt,1,R_SN,"&lt;"&amp;((INT(H$7)*1440+630)+30),R_EN,"&gt;"&amp;(INT(H$7)*1440+630)),0)</f>
        <v>0</v>
      </c>
      <c r="AQ22">
        <f>COUNTIFS(R_Emp,"proMX",R_Cnt,1,R_SN,"&lt;"&amp;((INT(H$7)*1440+630)+30),R_EN,"&gt;"&amp;(INT(H$7)*1440+630))</f>
        <v>0</v>
      </c>
      <c r="AR22">
        <f>IF(AQ22&gt;0,_xlfn.MINIFS(R_ID,R_Emp,"proMX",R_Cnt,1,R_SN,"&lt;"&amp;((INT(H$7)*1440+630)+30),R_EN,"&gt;"&amp;(INT(H$7)*1440+630)),0)</f>
        <v>0</v>
      </c>
      <c r="AS22">
        <f>IF(AND(AO22&gt;0,AQ22&gt;0),8,IF(AO22&gt;0,1,IF(AQ22&gt;0,INDEX(R_StCode,AR22),0)))</f>
        <v>0</v>
      </c>
    </row>
    <row r="23" ht="20" customHeight="1">
      <c r="A23" s="101" t="n">
        <v>0.4583333333333333</v>
      </c>
      <c r="B23" s="103" t="str">
        <f>IF(O23=0,"",IF(O23=8,"⚠ Malcolm + proMX",IF(O23=1,IF(K23&gt;1,"Malcolm ("&amp;K23&amp;" tareas)",IF(OR(FALSE,INDEX(R_SN,L23)&gt;=(INT(B$7)*1440+660)),"Malcolm · "&amp;INDEX(R_Label,L23)&amp;" ("&amp;TEXT(INDEX(R_Ini,L23),"hh:mm")&amp;"–"&amp;TEXT(INDEX(R_Fin,L23),"hh:mm")&amp;")","")),IF(OR(FALSE,INDEX(R_SN,N23)&gt;=(INT(B$7)*1440+660)),"proMX · "&amp;INDEX(R_Label,N23)&amp;" · "&amp;INDEX(R_St,N23),""))))</f>
        <v/>
      </c>
      <c r="C23" s="103" t="str">
        <f>IF(T23=0,"",IF(T23=8,"⚠ Malcolm + proMX",IF(T23=1,IF(P23&gt;1,"Malcolm ("&amp;P23&amp;" tareas)",IF(OR(FALSE,INDEX(R_SN,Q23)&gt;=(INT(C$7)*1440+660)),"Malcolm · "&amp;INDEX(R_Label,Q23)&amp;" ("&amp;TEXT(INDEX(R_Ini,Q23),"hh:mm")&amp;"–"&amp;TEXT(INDEX(R_Fin,Q23),"hh:mm")&amp;")","")),IF(OR(FALSE,INDEX(R_SN,S23)&gt;=(INT(C$7)*1440+660)),"proMX · "&amp;INDEX(R_Label,S23)&amp;" · "&amp;INDEX(R_St,S23),""))))</f>
        <v/>
      </c>
      <c r="D23" s="103" t="str">
        <f>IF(Y23=0,"",IF(Y23=8,"⚠ Malcolm + proMX",IF(Y23=1,IF(U23&gt;1,"Malcolm ("&amp;U23&amp;" tareas)",IF(OR(FALSE,INDEX(R_SN,V23)&gt;=(INT(D$7)*1440+660)),"Malcolm · "&amp;INDEX(R_Label,V23)&amp;" ("&amp;TEXT(INDEX(R_Ini,V23),"hh:mm")&amp;"–"&amp;TEXT(INDEX(R_Fin,V23),"hh:mm")&amp;")","")),IF(OR(FALSE,INDEX(R_SN,X23)&gt;=(INT(D$7)*1440+660)),"proMX · "&amp;INDEX(R_Label,X23)&amp;" · "&amp;INDEX(R_St,X23),""))))</f>
        <v/>
      </c>
      <c r="E23" s="103" t="str">
        <f>IF(AD23=0,"",IF(AD23=8,"⚠ Malcolm + proMX",IF(AD23=1,IF(Z23&gt;1,"Malcolm ("&amp;Z23&amp;" tareas)",IF(OR(FALSE,INDEX(R_SN,AA23)&gt;=(INT(E$7)*1440+660)),"Malcolm · "&amp;INDEX(R_Label,AA23)&amp;" ("&amp;TEXT(INDEX(R_Ini,AA23),"hh:mm")&amp;"–"&amp;TEXT(INDEX(R_Fin,AA23),"hh:mm")&amp;")","")),IF(OR(FALSE,INDEX(R_SN,AC23)&gt;=(INT(E$7)*1440+660)),"proMX · "&amp;INDEX(R_Label,AC23)&amp;" · "&amp;INDEX(R_St,AC23),""))))</f>
        <v/>
      </c>
      <c r="F23" s="103" t="str">
        <f>IF(AI23=0,"",IF(AI23=8,"⚠ Malcolm + proMX",IF(AI23=1,IF(AE23&gt;1,"Malcolm ("&amp;AE23&amp;" tareas)",IF(OR(FALSE,INDEX(R_SN,AF23)&gt;=(INT(F$7)*1440+660)),"Malcolm · "&amp;INDEX(R_Label,AF23)&amp;" ("&amp;TEXT(INDEX(R_Ini,AF23),"hh:mm")&amp;"–"&amp;TEXT(INDEX(R_Fin,AF23),"hh:mm")&amp;")","")),IF(OR(FALSE,INDEX(R_SN,AH23)&gt;=(INT(F$7)*1440+660)),"proMX · "&amp;INDEX(R_Label,AH23)&amp;" · "&amp;INDEX(R_St,AH23),""))))</f>
        <v/>
      </c>
      <c r="G23" s="103" t="str">
        <f>IF(AN23=0,"",IF(AN23=8,"⚠ Malcolm + proMX",IF(AN23=1,IF(AJ23&gt;1,"Malcolm ("&amp;AJ23&amp;" tareas)",IF(OR(FALSE,INDEX(R_SN,AK23)&gt;=(INT(G$7)*1440+660)),"Malcolm · "&amp;INDEX(R_Label,AK23)&amp;" ("&amp;TEXT(INDEX(R_Ini,AK23),"hh:mm")&amp;"–"&amp;TEXT(INDEX(R_Fin,AK23),"hh:mm")&amp;")","")),IF(OR(FALSE,INDEX(R_SN,AM23)&gt;=(INT(G$7)*1440+660)),"proMX · "&amp;INDEX(R_Label,AM23)&amp;" · "&amp;INDEX(R_St,AM23),""))))</f>
        <v/>
      </c>
      <c r="H23" s="103" t="str">
        <f>IF(AS23=0,"",IF(AS23=8,"⚠ Malcolm + proMX",IF(AS23=1,IF(AO23&gt;1,"Malcolm ("&amp;AO23&amp;" tareas)",IF(OR(FALSE,INDEX(R_SN,AP23)&gt;=(INT(H$7)*1440+660)),"Malcolm · "&amp;INDEX(R_Label,AP23)&amp;" ("&amp;TEXT(INDEX(R_Ini,AP23),"hh:mm")&amp;"–"&amp;TEXT(INDEX(R_Fin,AP23),"hh:mm")&amp;")","")),IF(OR(FALSE,INDEX(R_SN,AR23)&gt;=(INT(H$7)*1440+660)),"proMX · "&amp;INDEX(R_Label,AR23)&amp;" · "&amp;INDEX(R_St,AR23),""))))</f>
        <v/>
      </c>
      <c r="K23">
        <f>COUNTIFS(R_Emp,"Malcolm",R_Cnt,1,R_SN,"&lt;"&amp;((INT(B$7)*1440+660)+30),R_EN,"&gt;"&amp;(INT(B$7)*1440+660))</f>
        <v>1</v>
      </c>
      <c r="L23">
        <f>IF(K23&gt;0,_xlfn.MINIFS(R_ID,R_Emp,"Malcolm",R_Cnt,1,R_SN,"&lt;"&amp;((INT(B$7)*1440+660)+30),R_EN,"&gt;"&amp;(INT(B$7)*1440+660)),0)</f>
        <v>4</v>
      </c>
      <c r="M23">
        <f>COUNTIFS(R_Emp,"proMX",R_Cnt,1,R_SN,"&lt;"&amp;((INT(B$7)*1440+660)+30),R_EN,"&gt;"&amp;(INT(B$7)*1440+660))</f>
        <v>0</v>
      </c>
      <c r="N23">
        <f>IF(M23&gt;0,_xlfn.MINIFS(R_ID,R_Emp,"proMX",R_Cnt,1,R_SN,"&lt;"&amp;((INT(B$7)*1440+660)+30),R_EN,"&gt;"&amp;(INT(B$7)*1440+660)),0)</f>
        <v>0</v>
      </c>
      <c r="O23">
        <f>IF(AND(K23&gt;0,M23&gt;0),8,IF(K23&gt;0,1,IF(M23&gt;0,INDEX(R_StCode,N23),0)))</f>
        <v>1</v>
      </c>
      <c r="P23">
        <f>COUNTIFS(R_Emp,"Malcolm",R_Cnt,1,R_SN,"&lt;"&amp;((INT(C$7)*1440+660)+30),R_EN,"&gt;"&amp;(INT(C$7)*1440+660))</f>
        <v>0</v>
      </c>
      <c r="Q23">
        <f>IF(P23&gt;0,_xlfn.MINIFS(R_ID,R_Emp,"Malcolm",R_Cnt,1,R_SN,"&lt;"&amp;((INT(C$7)*1440+660)+30),R_EN,"&gt;"&amp;(INT(C$7)*1440+660)),0)</f>
        <v>0</v>
      </c>
      <c r="R23">
        <f>COUNTIFS(R_Emp,"proMX",R_Cnt,1,R_SN,"&lt;"&amp;((INT(C$7)*1440+660)+30),R_EN,"&gt;"&amp;(INT(C$7)*1440+660))</f>
        <v>0</v>
      </c>
      <c r="S23">
        <f>IF(R23&gt;0,_xlfn.MINIFS(R_ID,R_Emp,"proMX",R_Cnt,1,R_SN,"&lt;"&amp;((INT(C$7)*1440+660)+30),R_EN,"&gt;"&amp;(INT(C$7)*1440+660)),0)</f>
        <v>0</v>
      </c>
      <c r="T23">
        <f>IF(AND(P23&gt;0,R23&gt;0),8,IF(P23&gt;0,1,IF(R23&gt;0,INDEX(R_StCode,S23),0)))</f>
        <v>0</v>
      </c>
      <c r="U23">
        <f>COUNTIFS(R_Emp,"Malcolm",R_Cnt,1,R_SN,"&lt;"&amp;((INT(D$7)*1440+660)+30),R_EN,"&gt;"&amp;(INT(D$7)*1440+660))</f>
        <v>0</v>
      </c>
      <c r="V23">
        <f>IF(U23&gt;0,_xlfn.MINIFS(R_ID,R_Emp,"Malcolm",R_Cnt,1,R_SN,"&lt;"&amp;((INT(D$7)*1440+660)+30),R_EN,"&gt;"&amp;(INT(D$7)*1440+660)),0)</f>
        <v>0</v>
      </c>
      <c r="W23">
        <f>COUNTIFS(R_Emp,"proMX",R_Cnt,1,R_SN,"&lt;"&amp;((INT(D$7)*1440+660)+30),R_EN,"&gt;"&amp;(INT(D$7)*1440+660))</f>
        <v>0</v>
      </c>
      <c r="X23">
        <f>IF(W23&gt;0,_xlfn.MINIFS(R_ID,R_Emp,"proMX",R_Cnt,1,R_SN,"&lt;"&amp;((INT(D$7)*1440+660)+30),R_EN,"&gt;"&amp;(INT(D$7)*1440+660)),0)</f>
        <v>0</v>
      </c>
      <c r="Y23">
        <f>IF(AND(U23&gt;0,W23&gt;0),8,IF(U23&gt;0,1,IF(W23&gt;0,INDEX(R_StCode,X23),0)))</f>
        <v>0</v>
      </c>
      <c r="Z23">
        <f>COUNTIFS(R_Emp,"Malcolm",R_Cnt,1,R_SN,"&lt;"&amp;((INT(E$7)*1440+660)+30),R_EN,"&gt;"&amp;(INT(E$7)*1440+660))</f>
        <v>0</v>
      </c>
      <c r="AA23">
        <f>IF(Z23&gt;0,_xlfn.MINIFS(R_ID,R_Emp,"Malcolm",R_Cnt,1,R_SN,"&lt;"&amp;((INT(E$7)*1440+660)+30),R_EN,"&gt;"&amp;(INT(E$7)*1440+660)),0)</f>
        <v>0</v>
      </c>
      <c r="AB23">
        <f>COUNTIFS(R_Emp,"proMX",R_Cnt,1,R_SN,"&lt;"&amp;((INT(E$7)*1440+660)+30),R_EN,"&gt;"&amp;(INT(E$7)*1440+660))</f>
        <v>0</v>
      </c>
      <c r="AC23">
        <f>IF(AB23&gt;0,_xlfn.MINIFS(R_ID,R_Emp,"proMX",R_Cnt,1,R_SN,"&lt;"&amp;((INT(E$7)*1440+660)+30),R_EN,"&gt;"&amp;(INT(E$7)*1440+660)),0)</f>
        <v>0</v>
      </c>
      <c r="AD23">
        <f>IF(AND(Z23&gt;0,AB23&gt;0),8,IF(Z23&gt;0,1,IF(AB23&gt;0,INDEX(R_StCode,AC23),0)))</f>
        <v>0</v>
      </c>
      <c r="AE23">
        <f>COUNTIFS(R_Emp,"Malcolm",R_Cnt,1,R_SN,"&lt;"&amp;((INT(F$7)*1440+660)+30),R_EN,"&gt;"&amp;(INT(F$7)*1440+660))</f>
        <v>0</v>
      </c>
      <c r="AF23">
        <f>IF(AE23&gt;0,_xlfn.MINIFS(R_ID,R_Emp,"Malcolm",R_Cnt,1,R_SN,"&lt;"&amp;((INT(F$7)*1440+660)+30),R_EN,"&gt;"&amp;(INT(F$7)*1440+660)),0)</f>
        <v>0</v>
      </c>
      <c r="AG23">
        <f>COUNTIFS(R_Emp,"proMX",R_Cnt,1,R_SN,"&lt;"&amp;((INT(F$7)*1440+660)+30),R_EN,"&gt;"&amp;(INT(F$7)*1440+660))</f>
        <v>0</v>
      </c>
      <c r="AH23">
        <f>IF(AG23&gt;0,_xlfn.MINIFS(R_ID,R_Emp,"proMX",R_Cnt,1,R_SN,"&lt;"&amp;((INT(F$7)*1440+660)+30),R_EN,"&gt;"&amp;(INT(F$7)*1440+660)),0)</f>
        <v>0</v>
      </c>
      <c r="AI23">
        <f>IF(AND(AE23&gt;0,AG23&gt;0),8,IF(AE23&gt;0,1,IF(AG23&gt;0,INDEX(R_StCode,AH23),0)))</f>
        <v>0</v>
      </c>
      <c r="AJ23">
        <f>COUNTIFS(R_Emp,"Malcolm",R_Cnt,1,R_SN,"&lt;"&amp;((INT(G$7)*1440+660)+30),R_EN,"&gt;"&amp;(INT(G$7)*1440+660))</f>
        <v>0</v>
      </c>
      <c r="AK23">
        <f>IF(AJ23&gt;0,_xlfn.MINIFS(R_ID,R_Emp,"Malcolm",R_Cnt,1,R_SN,"&lt;"&amp;((INT(G$7)*1440+660)+30),R_EN,"&gt;"&amp;(INT(G$7)*1440+660)),0)</f>
        <v>0</v>
      </c>
      <c r="AL23">
        <f>COUNTIFS(R_Emp,"proMX",R_Cnt,1,R_SN,"&lt;"&amp;((INT(G$7)*1440+660)+30),R_EN,"&gt;"&amp;(INT(G$7)*1440+660))</f>
        <v>0</v>
      </c>
      <c r="AM23">
        <f>IF(AL23&gt;0,_xlfn.MINIFS(R_ID,R_Emp,"proMX",R_Cnt,1,R_SN,"&lt;"&amp;((INT(G$7)*1440+660)+30),R_EN,"&gt;"&amp;(INT(G$7)*1440+660)),0)</f>
        <v>0</v>
      </c>
      <c r="AN23">
        <f>IF(AND(AJ23&gt;0,AL23&gt;0),8,IF(AJ23&gt;0,1,IF(AL23&gt;0,INDEX(R_StCode,AM23),0)))</f>
        <v>0</v>
      </c>
      <c r="AO23">
        <f>COUNTIFS(R_Emp,"Malcolm",R_Cnt,1,R_SN,"&lt;"&amp;((INT(H$7)*1440+660)+30),R_EN,"&gt;"&amp;(INT(H$7)*1440+660))</f>
        <v>0</v>
      </c>
      <c r="AP23">
        <f>IF(AO23&gt;0,_xlfn.MINIFS(R_ID,R_Emp,"Malcolm",R_Cnt,1,R_SN,"&lt;"&amp;((INT(H$7)*1440+660)+30),R_EN,"&gt;"&amp;(INT(H$7)*1440+660)),0)</f>
        <v>0</v>
      </c>
      <c r="AQ23">
        <f>COUNTIFS(R_Emp,"proMX",R_Cnt,1,R_SN,"&lt;"&amp;((INT(H$7)*1440+660)+30),R_EN,"&gt;"&amp;(INT(H$7)*1440+660))</f>
        <v>0</v>
      </c>
      <c r="AR23">
        <f>IF(AQ23&gt;0,_xlfn.MINIFS(R_ID,R_Emp,"proMX",R_Cnt,1,R_SN,"&lt;"&amp;((INT(H$7)*1440+660)+30),R_EN,"&gt;"&amp;(INT(H$7)*1440+660)),0)</f>
        <v>0</v>
      </c>
      <c r="AS23">
        <f>IF(AND(AO23&gt;0,AQ23&gt;0),8,IF(AO23&gt;0,1,IF(AQ23&gt;0,INDEX(R_StCode,AR23),0)))</f>
        <v>0</v>
      </c>
    </row>
    <row r="24" ht="20" customHeight="1">
      <c r="A24" s="101" t="n">
        <v>0.4791666666666667</v>
      </c>
      <c r="B24" s="103" t="str">
        <f>IF(O24=0,"",IF(O24=8,"⚠ Malcolm + proMX",IF(O24=1,IF(K24&gt;1,"Malcolm ("&amp;K24&amp;" tareas)",IF(OR(FALSE,INDEX(R_SN,L24)&gt;=(INT(B$7)*1440+690)),"Malcolm · "&amp;INDEX(R_Label,L24)&amp;" ("&amp;TEXT(INDEX(R_Ini,L24),"hh:mm")&amp;"–"&amp;TEXT(INDEX(R_Fin,L24),"hh:mm")&amp;")","")),IF(OR(FALSE,INDEX(R_SN,N24)&gt;=(INT(B$7)*1440+690)),"proMX · "&amp;INDEX(R_Label,N24)&amp;" · "&amp;INDEX(R_St,N24),""))))</f>
        <v/>
      </c>
      <c r="C24" s="103" t="str">
        <f>IF(T24=0,"",IF(T24=8,"⚠ Malcolm + proMX",IF(T24=1,IF(P24&gt;1,"Malcolm ("&amp;P24&amp;" tareas)",IF(OR(FALSE,INDEX(R_SN,Q24)&gt;=(INT(C$7)*1440+690)),"Malcolm · "&amp;INDEX(R_Label,Q24)&amp;" ("&amp;TEXT(INDEX(R_Ini,Q24),"hh:mm")&amp;"–"&amp;TEXT(INDEX(R_Fin,Q24),"hh:mm")&amp;")","")),IF(OR(FALSE,INDEX(R_SN,S24)&gt;=(INT(C$7)*1440+690)),"proMX · "&amp;INDEX(R_Label,S24)&amp;" · "&amp;INDEX(R_St,S24),""))))</f>
        <v/>
      </c>
      <c r="D24" s="103" t="str">
        <f>IF(Y24=0,"",IF(Y24=8,"⚠ Malcolm + proMX",IF(Y24=1,IF(U24&gt;1,"Malcolm ("&amp;U24&amp;" tareas)",IF(OR(FALSE,INDEX(R_SN,V24)&gt;=(INT(D$7)*1440+690)),"Malcolm · "&amp;INDEX(R_Label,V24)&amp;" ("&amp;TEXT(INDEX(R_Ini,V24),"hh:mm")&amp;"–"&amp;TEXT(INDEX(R_Fin,V24),"hh:mm")&amp;")","")),IF(OR(FALSE,INDEX(R_SN,X24)&gt;=(INT(D$7)*1440+690)),"proMX · "&amp;INDEX(R_Label,X24)&amp;" · "&amp;INDEX(R_St,X24),""))))</f>
        <v/>
      </c>
      <c r="E24" s="103" t="str">
        <f>IF(AD24=0,"",IF(AD24=8,"⚠ Malcolm + proMX",IF(AD24=1,IF(Z24&gt;1,"Malcolm ("&amp;Z24&amp;" tareas)",IF(OR(FALSE,INDEX(R_SN,AA24)&gt;=(INT(E$7)*1440+690)),"Malcolm · "&amp;INDEX(R_Label,AA24)&amp;" ("&amp;TEXT(INDEX(R_Ini,AA24),"hh:mm")&amp;"–"&amp;TEXT(INDEX(R_Fin,AA24),"hh:mm")&amp;")","")),IF(OR(FALSE,INDEX(R_SN,AC24)&gt;=(INT(E$7)*1440+690)),"proMX · "&amp;INDEX(R_Label,AC24)&amp;" · "&amp;INDEX(R_St,AC24),""))))</f>
        <v/>
      </c>
      <c r="F24" s="103" t="str">
        <f>IF(AI24=0,"",IF(AI24=8,"⚠ Malcolm + proMX",IF(AI24=1,IF(AE24&gt;1,"Malcolm ("&amp;AE24&amp;" tareas)",IF(OR(FALSE,INDEX(R_SN,AF24)&gt;=(INT(F$7)*1440+690)),"Malcolm · "&amp;INDEX(R_Label,AF24)&amp;" ("&amp;TEXT(INDEX(R_Ini,AF24),"hh:mm")&amp;"–"&amp;TEXT(INDEX(R_Fin,AF24),"hh:mm")&amp;")","")),IF(OR(FALSE,INDEX(R_SN,AH24)&gt;=(INT(F$7)*1440+690)),"proMX · "&amp;INDEX(R_Label,AH24)&amp;" · "&amp;INDEX(R_St,AH24),""))))</f>
        <v/>
      </c>
      <c r="G24" s="103" t="str">
        <f>IF(AN24=0,"",IF(AN24=8,"⚠ Malcolm + proMX",IF(AN24=1,IF(AJ24&gt;1,"Malcolm ("&amp;AJ24&amp;" tareas)",IF(OR(FALSE,INDEX(R_SN,AK24)&gt;=(INT(G$7)*1440+690)),"Malcolm · "&amp;INDEX(R_Label,AK24)&amp;" ("&amp;TEXT(INDEX(R_Ini,AK24),"hh:mm")&amp;"–"&amp;TEXT(INDEX(R_Fin,AK24),"hh:mm")&amp;")","")),IF(OR(FALSE,INDEX(R_SN,AM24)&gt;=(INT(G$7)*1440+690)),"proMX · "&amp;INDEX(R_Label,AM24)&amp;" · "&amp;INDEX(R_St,AM24),""))))</f>
        <v/>
      </c>
      <c r="H24" s="103" t="str">
        <f>IF(AS24=0,"",IF(AS24=8,"⚠ Malcolm + proMX",IF(AS24=1,IF(AO24&gt;1,"Malcolm ("&amp;AO24&amp;" tareas)",IF(OR(FALSE,INDEX(R_SN,AP24)&gt;=(INT(H$7)*1440+690)),"Malcolm · "&amp;INDEX(R_Label,AP24)&amp;" ("&amp;TEXT(INDEX(R_Ini,AP24),"hh:mm")&amp;"–"&amp;TEXT(INDEX(R_Fin,AP24),"hh:mm")&amp;")","")),IF(OR(FALSE,INDEX(R_SN,AR24)&gt;=(INT(H$7)*1440+690)),"proMX · "&amp;INDEX(R_Label,AR24)&amp;" · "&amp;INDEX(R_St,AR24),""))))</f>
        <v/>
      </c>
      <c r="K24">
        <f>COUNTIFS(R_Emp,"Malcolm",R_Cnt,1,R_SN,"&lt;"&amp;((INT(B$7)*1440+690)+30),R_EN,"&gt;"&amp;(INT(B$7)*1440+690))</f>
        <v>1</v>
      </c>
      <c r="L24">
        <f>IF(K24&gt;0,_xlfn.MINIFS(R_ID,R_Emp,"Malcolm",R_Cnt,1,R_SN,"&lt;"&amp;((INT(B$7)*1440+690)+30),R_EN,"&gt;"&amp;(INT(B$7)*1440+690)),0)</f>
        <v>4</v>
      </c>
      <c r="M24">
        <f>COUNTIFS(R_Emp,"proMX",R_Cnt,1,R_SN,"&lt;"&amp;((INT(B$7)*1440+690)+30),R_EN,"&gt;"&amp;(INT(B$7)*1440+690))</f>
        <v>0</v>
      </c>
      <c r="N24">
        <f>IF(M24&gt;0,_xlfn.MINIFS(R_ID,R_Emp,"proMX",R_Cnt,1,R_SN,"&lt;"&amp;((INT(B$7)*1440+690)+30),R_EN,"&gt;"&amp;(INT(B$7)*1440+690)),0)</f>
        <v>0</v>
      </c>
      <c r="O24">
        <f>IF(AND(K24&gt;0,M24&gt;0),8,IF(K24&gt;0,1,IF(M24&gt;0,INDEX(R_StCode,N24),0)))</f>
        <v>1</v>
      </c>
      <c r="P24">
        <f>COUNTIFS(R_Emp,"Malcolm",R_Cnt,1,R_SN,"&lt;"&amp;((INT(C$7)*1440+690)+30),R_EN,"&gt;"&amp;(INT(C$7)*1440+690))</f>
        <v>0</v>
      </c>
      <c r="Q24">
        <f>IF(P24&gt;0,_xlfn.MINIFS(R_ID,R_Emp,"Malcolm",R_Cnt,1,R_SN,"&lt;"&amp;((INT(C$7)*1440+690)+30),R_EN,"&gt;"&amp;(INT(C$7)*1440+690)),0)</f>
        <v>0</v>
      </c>
      <c r="R24">
        <f>COUNTIFS(R_Emp,"proMX",R_Cnt,1,R_SN,"&lt;"&amp;((INT(C$7)*1440+690)+30),R_EN,"&gt;"&amp;(INT(C$7)*1440+690))</f>
        <v>0</v>
      </c>
      <c r="S24">
        <f>IF(R24&gt;0,_xlfn.MINIFS(R_ID,R_Emp,"proMX",R_Cnt,1,R_SN,"&lt;"&amp;((INT(C$7)*1440+690)+30),R_EN,"&gt;"&amp;(INT(C$7)*1440+690)),0)</f>
        <v>0</v>
      </c>
      <c r="T24">
        <f>IF(AND(P24&gt;0,R24&gt;0),8,IF(P24&gt;0,1,IF(R24&gt;0,INDEX(R_StCode,S24),0)))</f>
        <v>0</v>
      </c>
      <c r="U24">
        <f>COUNTIFS(R_Emp,"Malcolm",R_Cnt,1,R_SN,"&lt;"&amp;((INT(D$7)*1440+690)+30),R_EN,"&gt;"&amp;(INT(D$7)*1440+690))</f>
        <v>0</v>
      </c>
      <c r="V24">
        <f>IF(U24&gt;0,_xlfn.MINIFS(R_ID,R_Emp,"Malcolm",R_Cnt,1,R_SN,"&lt;"&amp;((INT(D$7)*1440+690)+30),R_EN,"&gt;"&amp;(INT(D$7)*1440+690)),0)</f>
        <v>0</v>
      </c>
      <c r="W24">
        <f>COUNTIFS(R_Emp,"proMX",R_Cnt,1,R_SN,"&lt;"&amp;((INT(D$7)*1440+690)+30),R_EN,"&gt;"&amp;(INT(D$7)*1440+690))</f>
        <v>0</v>
      </c>
      <c r="X24">
        <f>IF(W24&gt;0,_xlfn.MINIFS(R_ID,R_Emp,"proMX",R_Cnt,1,R_SN,"&lt;"&amp;((INT(D$7)*1440+690)+30),R_EN,"&gt;"&amp;(INT(D$7)*1440+690)),0)</f>
        <v>0</v>
      </c>
      <c r="Y24">
        <f>IF(AND(U24&gt;0,W24&gt;0),8,IF(U24&gt;0,1,IF(W24&gt;0,INDEX(R_StCode,X24),0)))</f>
        <v>0</v>
      </c>
      <c r="Z24">
        <f>COUNTIFS(R_Emp,"Malcolm",R_Cnt,1,R_SN,"&lt;"&amp;((INT(E$7)*1440+690)+30),R_EN,"&gt;"&amp;(INT(E$7)*1440+690))</f>
        <v>0</v>
      </c>
      <c r="AA24">
        <f>IF(Z24&gt;0,_xlfn.MINIFS(R_ID,R_Emp,"Malcolm",R_Cnt,1,R_SN,"&lt;"&amp;((INT(E$7)*1440+690)+30),R_EN,"&gt;"&amp;(INT(E$7)*1440+690)),0)</f>
        <v>0</v>
      </c>
      <c r="AB24">
        <f>COUNTIFS(R_Emp,"proMX",R_Cnt,1,R_SN,"&lt;"&amp;((INT(E$7)*1440+690)+30),R_EN,"&gt;"&amp;(INT(E$7)*1440+690))</f>
        <v>0</v>
      </c>
      <c r="AC24">
        <f>IF(AB24&gt;0,_xlfn.MINIFS(R_ID,R_Emp,"proMX",R_Cnt,1,R_SN,"&lt;"&amp;((INT(E$7)*1440+690)+30),R_EN,"&gt;"&amp;(INT(E$7)*1440+690)),0)</f>
        <v>0</v>
      </c>
      <c r="AD24">
        <f>IF(AND(Z24&gt;0,AB24&gt;0),8,IF(Z24&gt;0,1,IF(AB24&gt;0,INDEX(R_StCode,AC24),0)))</f>
        <v>0</v>
      </c>
      <c r="AE24">
        <f>COUNTIFS(R_Emp,"Malcolm",R_Cnt,1,R_SN,"&lt;"&amp;((INT(F$7)*1440+690)+30),R_EN,"&gt;"&amp;(INT(F$7)*1440+690))</f>
        <v>0</v>
      </c>
      <c r="AF24">
        <f>IF(AE24&gt;0,_xlfn.MINIFS(R_ID,R_Emp,"Malcolm",R_Cnt,1,R_SN,"&lt;"&amp;((INT(F$7)*1440+690)+30),R_EN,"&gt;"&amp;(INT(F$7)*1440+690)),0)</f>
        <v>0</v>
      </c>
      <c r="AG24">
        <f>COUNTIFS(R_Emp,"proMX",R_Cnt,1,R_SN,"&lt;"&amp;((INT(F$7)*1440+690)+30),R_EN,"&gt;"&amp;(INT(F$7)*1440+690))</f>
        <v>0</v>
      </c>
      <c r="AH24">
        <f>IF(AG24&gt;0,_xlfn.MINIFS(R_ID,R_Emp,"proMX",R_Cnt,1,R_SN,"&lt;"&amp;((INT(F$7)*1440+690)+30),R_EN,"&gt;"&amp;(INT(F$7)*1440+690)),0)</f>
        <v>0</v>
      </c>
      <c r="AI24">
        <f>IF(AND(AE24&gt;0,AG24&gt;0),8,IF(AE24&gt;0,1,IF(AG24&gt;0,INDEX(R_StCode,AH24),0)))</f>
        <v>0</v>
      </c>
      <c r="AJ24">
        <f>COUNTIFS(R_Emp,"Malcolm",R_Cnt,1,R_SN,"&lt;"&amp;((INT(G$7)*1440+690)+30),R_EN,"&gt;"&amp;(INT(G$7)*1440+690))</f>
        <v>0</v>
      </c>
      <c r="AK24">
        <f>IF(AJ24&gt;0,_xlfn.MINIFS(R_ID,R_Emp,"Malcolm",R_Cnt,1,R_SN,"&lt;"&amp;((INT(G$7)*1440+690)+30),R_EN,"&gt;"&amp;(INT(G$7)*1440+690)),0)</f>
        <v>0</v>
      </c>
      <c r="AL24">
        <f>COUNTIFS(R_Emp,"proMX",R_Cnt,1,R_SN,"&lt;"&amp;((INT(G$7)*1440+690)+30),R_EN,"&gt;"&amp;(INT(G$7)*1440+690))</f>
        <v>0</v>
      </c>
      <c r="AM24">
        <f>IF(AL24&gt;0,_xlfn.MINIFS(R_ID,R_Emp,"proMX",R_Cnt,1,R_SN,"&lt;"&amp;((INT(G$7)*1440+690)+30),R_EN,"&gt;"&amp;(INT(G$7)*1440+690)),0)</f>
        <v>0</v>
      </c>
      <c r="AN24">
        <f>IF(AND(AJ24&gt;0,AL24&gt;0),8,IF(AJ24&gt;0,1,IF(AL24&gt;0,INDEX(R_StCode,AM24),0)))</f>
        <v>0</v>
      </c>
      <c r="AO24">
        <f>COUNTIFS(R_Emp,"Malcolm",R_Cnt,1,R_SN,"&lt;"&amp;((INT(H$7)*1440+690)+30),R_EN,"&gt;"&amp;(INT(H$7)*1440+690))</f>
        <v>0</v>
      </c>
      <c r="AP24">
        <f>IF(AO24&gt;0,_xlfn.MINIFS(R_ID,R_Emp,"Malcolm",R_Cnt,1,R_SN,"&lt;"&amp;((INT(H$7)*1440+690)+30),R_EN,"&gt;"&amp;(INT(H$7)*1440+690)),0)</f>
        <v>0</v>
      </c>
      <c r="AQ24">
        <f>COUNTIFS(R_Emp,"proMX",R_Cnt,1,R_SN,"&lt;"&amp;((INT(H$7)*1440+690)+30),R_EN,"&gt;"&amp;(INT(H$7)*1440+690))</f>
        <v>0</v>
      </c>
      <c r="AR24">
        <f>IF(AQ24&gt;0,_xlfn.MINIFS(R_ID,R_Emp,"proMX",R_Cnt,1,R_SN,"&lt;"&amp;((INT(H$7)*1440+690)+30),R_EN,"&gt;"&amp;(INT(H$7)*1440+690)),0)</f>
        <v>0</v>
      </c>
      <c r="AS24">
        <f>IF(AND(AO24&gt;0,AQ24&gt;0),8,IF(AO24&gt;0,1,IF(AQ24&gt;0,INDEX(R_StCode,AR24),0)))</f>
        <v>0</v>
      </c>
    </row>
    <row r="25" ht="20" customHeight="1">
      <c r="A25" s="101" t="n">
        <v>0.5</v>
      </c>
      <c r="B25" s="103" t="str">
        <f>IF(O25=0,"",IF(O25=8,"⚠ Malcolm + proMX",IF(O25=1,IF(K25&gt;1,"Malcolm ("&amp;K25&amp;" tareas)",IF(OR(FALSE,INDEX(R_SN,L25)&gt;=(INT(B$7)*1440+720)),"Malcolm · "&amp;INDEX(R_Label,L25)&amp;" ("&amp;TEXT(INDEX(R_Ini,L25),"hh:mm")&amp;"–"&amp;TEXT(INDEX(R_Fin,L25),"hh:mm")&amp;")","")),IF(OR(FALSE,INDEX(R_SN,N25)&gt;=(INT(B$7)*1440+720)),"proMX · "&amp;INDEX(R_Label,N25)&amp;" · "&amp;INDEX(R_St,N25),""))))</f>
        <v/>
      </c>
      <c r="C25" s="103" t="str">
        <f>IF(T25=0,"",IF(T25=8,"⚠ Malcolm + proMX",IF(T25=1,IF(P25&gt;1,"Malcolm ("&amp;P25&amp;" tareas)",IF(OR(FALSE,INDEX(R_SN,Q25)&gt;=(INT(C$7)*1440+720)),"Malcolm · "&amp;INDEX(R_Label,Q25)&amp;" ("&amp;TEXT(INDEX(R_Ini,Q25),"hh:mm")&amp;"–"&amp;TEXT(INDEX(R_Fin,Q25),"hh:mm")&amp;")","")),IF(OR(FALSE,INDEX(R_SN,S25)&gt;=(INT(C$7)*1440+720)),"proMX · "&amp;INDEX(R_Label,S25)&amp;" · "&amp;INDEX(R_St,S25),""))))</f>
        <v/>
      </c>
      <c r="D25" s="103" t="str">
        <f>IF(Y25=0,"",IF(Y25=8,"⚠ Malcolm + proMX",IF(Y25=1,IF(U25&gt;1,"Malcolm ("&amp;U25&amp;" tareas)",IF(OR(FALSE,INDEX(R_SN,V25)&gt;=(INT(D$7)*1440+720)),"Malcolm · "&amp;INDEX(R_Label,V25)&amp;" ("&amp;TEXT(INDEX(R_Ini,V25),"hh:mm")&amp;"–"&amp;TEXT(INDEX(R_Fin,V25),"hh:mm")&amp;")","")),IF(OR(FALSE,INDEX(R_SN,X25)&gt;=(INT(D$7)*1440+720)),"proMX · "&amp;INDEX(R_Label,X25)&amp;" · "&amp;INDEX(R_St,X25),""))))</f>
        <v/>
      </c>
      <c r="E25" s="103" t="str">
        <f>IF(AD25=0,"",IF(AD25=8,"⚠ Malcolm + proMX",IF(AD25=1,IF(Z25&gt;1,"Malcolm ("&amp;Z25&amp;" tareas)",IF(OR(FALSE,INDEX(R_SN,AA25)&gt;=(INT(E$7)*1440+720)),"Malcolm · "&amp;INDEX(R_Label,AA25)&amp;" ("&amp;TEXT(INDEX(R_Ini,AA25),"hh:mm")&amp;"–"&amp;TEXT(INDEX(R_Fin,AA25),"hh:mm")&amp;")","")),IF(OR(FALSE,INDEX(R_SN,AC25)&gt;=(INT(E$7)*1440+720)),"proMX · "&amp;INDEX(R_Label,AC25)&amp;" · "&amp;INDEX(R_St,AC25),""))))</f>
        <v/>
      </c>
      <c r="F25" s="103" t="str">
        <f>IF(AI25=0,"",IF(AI25=8,"⚠ Malcolm + proMX",IF(AI25=1,IF(AE25&gt;1,"Malcolm ("&amp;AE25&amp;" tareas)",IF(OR(FALSE,INDEX(R_SN,AF25)&gt;=(INT(F$7)*1440+720)),"Malcolm · "&amp;INDEX(R_Label,AF25)&amp;" ("&amp;TEXT(INDEX(R_Ini,AF25),"hh:mm")&amp;"–"&amp;TEXT(INDEX(R_Fin,AF25),"hh:mm")&amp;")","")),IF(OR(FALSE,INDEX(R_SN,AH25)&gt;=(INT(F$7)*1440+720)),"proMX · "&amp;INDEX(R_Label,AH25)&amp;" · "&amp;INDEX(R_St,AH25),""))))</f>
        <v/>
      </c>
      <c r="G25" s="103" t="str">
        <f>IF(AN25=0,"",IF(AN25=8,"⚠ Malcolm + proMX",IF(AN25=1,IF(AJ25&gt;1,"Malcolm ("&amp;AJ25&amp;" tareas)",IF(OR(FALSE,INDEX(R_SN,AK25)&gt;=(INT(G$7)*1440+720)),"Malcolm · "&amp;INDEX(R_Label,AK25)&amp;" ("&amp;TEXT(INDEX(R_Ini,AK25),"hh:mm")&amp;"–"&amp;TEXT(INDEX(R_Fin,AK25),"hh:mm")&amp;")","")),IF(OR(FALSE,INDEX(R_SN,AM25)&gt;=(INT(G$7)*1440+720)),"proMX · "&amp;INDEX(R_Label,AM25)&amp;" · "&amp;INDEX(R_St,AM25),""))))</f>
        <v/>
      </c>
      <c r="H25" s="103" t="str">
        <f>IF(AS25=0,"",IF(AS25=8,"⚠ Malcolm + proMX",IF(AS25=1,IF(AO25&gt;1,"Malcolm ("&amp;AO25&amp;" tareas)",IF(OR(FALSE,INDEX(R_SN,AP25)&gt;=(INT(H$7)*1440+720)),"Malcolm · "&amp;INDEX(R_Label,AP25)&amp;" ("&amp;TEXT(INDEX(R_Ini,AP25),"hh:mm")&amp;"–"&amp;TEXT(INDEX(R_Fin,AP25),"hh:mm")&amp;")","")),IF(OR(FALSE,INDEX(R_SN,AR25)&gt;=(INT(H$7)*1440+720)),"proMX · "&amp;INDEX(R_Label,AR25)&amp;" · "&amp;INDEX(R_St,AR25),""))))</f>
        <v/>
      </c>
      <c r="K25">
        <f>COUNTIFS(R_Emp,"Malcolm",R_Cnt,1,R_SN,"&lt;"&amp;((INT(B$7)*1440+720)+30),R_EN,"&gt;"&amp;(INT(B$7)*1440+720))</f>
        <v>0</v>
      </c>
      <c r="L25">
        <f>IF(K25&gt;0,_xlfn.MINIFS(R_ID,R_Emp,"Malcolm",R_Cnt,1,R_SN,"&lt;"&amp;((INT(B$7)*1440+720)+30),R_EN,"&gt;"&amp;(INT(B$7)*1440+720)),0)</f>
        <v>0</v>
      </c>
      <c r="M25">
        <f>COUNTIFS(R_Emp,"proMX",R_Cnt,1,R_SN,"&lt;"&amp;((INT(B$7)*1440+720)+30),R_EN,"&gt;"&amp;(INT(B$7)*1440+720))</f>
        <v>0</v>
      </c>
      <c r="N25">
        <f>IF(M25&gt;0,_xlfn.MINIFS(R_ID,R_Emp,"proMX",R_Cnt,1,R_SN,"&lt;"&amp;((INT(B$7)*1440+720)+30),R_EN,"&gt;"&amp;(INT(B$7)*1440+720)),0)</f>
        <v>0</v>
      </c>
      <c r="O25">
        <f>IF(AND(K25&gt;0,M25&gt;0),8,IF(K25&gt;0,1,IF(M25&gt;0,INDEX(R_StCode,N25),0)))</f>
        <v>0</v>
      </c>
      <c r="P25">
        <f>COUNTIFS(R_Emp,"Malcolm",R_Cnt,1,R_SN,"&lt;"&amp;((INT(C$7)*1440+720)+30),R_EN,"&gt;"&amp;(INT(C$7)*1440+720))</f>
        <v>0</v>
      </c>
      <c r="Q25">
        <f>IF(P25&gt;0,_xlfn.MINIFS(R_ID,R_Emp,"Malcolm",R_Cnt,1,R_SN,"&lt;"&amp;((INT(C$7)*1440+720)+30),R_EN,"&gt;"&amp;(INT(C$7)*1440+720)),0)</f>
        <v>0</v>
      </c>
      <c r="R25">
        <f>COUNTIFS(R_Emp,"proMX",R_Cnt,1,R_SN,"&lt;"&amp;((INT(C$7)*1440+720)+30),R_EN,"&gt;"&amp;(INT(C$7)*1440+720))</f>
        <v>0</v>
      </c>
      <c r="S25">
        <f>IF(R25&gt;0,_xlfn.MINIFS(R_ID,R_Emp,"proMX",R_Cnt,1,R_SN,"&lt;"&amp;((INT(C$7)*1440+720)+30),R_EN,"&gt;"&amp;(INT(C$7)*1440+720)),0)</f>
        <v>0</v>
      </c>
      <c r="T25">
        <f>IF(AND(P25&gt;0,R25&gt;0),8,IF(P25&gt;0,1,IF(R25&gt;0,INDEX(R_StCode,S25),0)))</f>
        <v>0</v>
      </c>
      <c r="U25">
        <f>COUNTIFS(R_Emp,"Malcolm",R_Cnt,1,R_SN,"&lt;"&amp;((INT(D$7)*1440+720)+30),R_EN,"&gt;"&amp;(INT(D$7)*1440+720))</f>
        <v>0</v>
      </c>
      <c r="V25">
        <f>IF(U25&gt;0,_xlfn.MINIFS(R_ID,R_Emp,"Malcolm",R_Cnt,1,R_SN,"&lt;"&amp;((INT(D$7)*1440+720)+30),R_EN,"&gt;"&amp;(INT(D$7)*1440+720)),0)</f>
        <v>0</v>
      </c>
      <c r="W25">
        <f>COUNTIFS(R_Emp,"proMX",R_Cnt,1,R_SN,"&lt;"&amp;((INT(D$7)*1440+720)+30),R_EN,"&gt;"&amp;(INT(D$7)*1440+720))</f>
        <v>0</v>
      </c>
      <c r="X25">
        <f>IF(W25&gt;0,_xlfn.MINIFS(R_ID,R_Emp,"proMX",R_Cnt,1,R_SN,"&lt;"&amp;((INT(D$7)*1440+720)+30),R_EN,"&gt;"&amp;(INT(D$7)*1440+720)),0)</f>
        <v>0</v>
      </c>
      <c r="Y25">
        <f>IF(AND(U25&gt;0,W25&gt;0),8,IF(U25&gt;0,1,IF(W25&gt;0,INDEX(R_StCode,X25),0)))</f>
        <v>0</v>
      </c>
      <c r="Z25">
        <f>COUNTIFS(R_Emp,"Malcolm",R_Cnt,1,R_SN,"&lt;"&amp;((INT(E$7)*1440+720)+30),R_EN,"&gt;"&amp;(INT(E$7)*1440+720))</f>
        <v>0</v>
      </c>
      <c r="AA25">
        <f>IF(Z25&gt;0,_xlfn.MINIFS(R_ID,R_Emp,"Malcolm",R_Cnt,1,R_SN,"&lt;"&amp;((INT(E$7)*1440+720)+30),R_EN,"&gt;"&amp;(INT(E$7)*1440+720)),0)</f>
        <v>0</v>
      </c>
      <c r="AB25">
        <f>COUNTIFS(R_Emp,"proMX",R_Cnt,1,R_SN,"&lt;"&amp;((INT(E$7)*1440+720)+30),R_EN,"&gt;"&amp;(INT(E$7)*1440+720))</f>
        <v>0</v>
      </c>
      <c r="AC25">
        <f>IF(AB25&gt;0,_xlfn.MINIFS(R_ID,R_Emp,"proMX",R_Cnt,1,R_SN,"&lt;"&amp;((INT(E$7)*1440+720)+30),R_EN,"&gt;"&amp;(INT(E$7)*1440+720)),0)</f>
        <v>0</v>
      </c>
      <c r="AD25">
        <f>IF(AND(Z25&gt;0,AB25&gt;0),8,IF(Z25&gt;0,1,IF(AB25&gt;0,INDEX(R_StCode,AC25),0)))</f>
        <v>0</v>
      </c>
      <c r="AE25">
        <f>COUNTIFS(R_Emp,"Malcolm",R_Cnt,1,R_SN,"&lt;"&amp;((INT(F$7)*1440+720)+30),R_EN,"&gt;"&amp;(INT(F$7)*1440+720))</f>
        <v>0</v>
      </c>
      <c r="AF25">
        <f>IF(AE25&gt;0,_xlfn.MINIFS(R_ID,R_Emp,"Malcolm",R_Cnt,1,R_SN,"&lt;"&amp;((INT(F$7)*1440+720)+30),R_EN,"&gt;"&amp;(INT(F$7)*1440+720)),0)</f>
        <v>0</v>
      </c>
      <c r="AG25">
        <f>COUNTIFS(R_Emp,"proMX",R_Cnt,1,R_SN,"&lt;"&amp;((INT(F$7)*1440+720)+30),R_EN,"&gt;"&amp;(INT(F$7)*1440+720))</f>
        <v>0</v>
      </c>
      <c r="AH25">
        <f>IF(AG25&gt;0,_xlfn.MINIFS(R_ID,R_Emp,"proMX",R_Cnt,1,R_SN,"&lt;"&amp;((INT(F$7)*1440+720)+30),R_EN,"&gt;"&amp;(INT(F$7)*1440+720)),0)</f>
        <v>0</v>
      </c>
      <c r="AI25">
        <f>IF(AND(AE25&gt;0,AG25&gt;0),8,IF(AE25&gt;0,1,IF(AG25&gt;0,INDEX(R_StCode,AH25),0)))</f>
        <v>0</v>
      </c>
      <c r="AJ25">
        <f>COUNTIFS(R_Emp,"Malcolm",R_Cnt,1,R_SN,"&lt;"&amp;((INT(G$7)*1440+720)+30),R_EN,"&gt;"&amp;(INT(G$7)*1440+720))</f>
        <v>0</v>
      </c>
      <c r="AK25">
        <f>IF(AJ25&gt;0,_xlfn.MINIFS(R_ID,R_Emp,"Malcolm",R_Cnt,1,R_SN,"&lt;"&amp;((INT(G$7)*1440+720)+30),R_EN,"&gt;"&amp;(INT(G$7)*1440+720)),0)</f>
        <v>0</v>
      </c>
      <c r="AL25">
        <f>COUNTIFS(R_Emp,"proMX",R_Cnt,1,R_SN,"&lt;"&amp;((INT(G$7)*1440+720)+30),R_EN,"&gt;"&amp;(INT(G$7)*1440+720))</f>
        <v>0</v>
      </c>
      <c r="AM25">
        <f>IF(AL25&gt;0,_xlfn.MINIFS(R_ID,R_Emp,"proMX",R_Cnt,1,R_SN,"&lt;"&amp;((INT(G$7)*1440+720)+30),R_EN,"&gt;"&amp;(INT(G$7)*1440+720)),0)</f>
        <v>0</v>
      </c>
      <c r="AN25">
        <f>IF(AND(AJ25&gt;0,AL25&gt;0),8,IF(AJ25&gt;0,1,IF(AL25&gt;0,INDEX(R_StCode,AM25),0)))</f>
        <v>0</v>
      </c>
      <c r="AO25">
        <f>COUNTIFS(R_Emp,"Malcolm",R_Cnt,1,R_SN,"&lt;"&amp;((INT(H$7)*1440+720)+30),R_EN,"&gt;"&amp;(INT(H$7)*1440+720))</f>
        <v>0</v>
      </c>
      <c r="AP25">
        <f>IF(AO25&gt;0,_xlfn.MINIFS(R_ID,R_Emp,"Malcolm",R_Cnt,1,R_SN,"&lt;"&amp;((INT(H$7)*1440+720)+30),R_EN,"&gt;"&amp;(INT(H$7)*1440+720)),0)</f>
        <v>0</v>
      </c>
      <c r="AQ25">
        <f>COUNTIFS(R_Emp,"proMX",R_Cnt,1,R_SN,"&lt;"&amp;((INT(H$7)*1440+720)+30),R_EN,"&gt;"&amp;(INT(H$7)*1440+720))</f>
        <v>0</v>
      </c>
      <c r="AR25">
        <f>IF(AQ25&gt;0,_xlfn.MINIFS(R_ID,R_Emp,"proMX",R_Cnt,1,R_SN,"&lt;"&amp;((INT(H$7)*1440+720)+30),R_EN,"&gt;"&amp;(INT(H$7)*1440+720)),0)</f>
        <v>0</v>
      </c>
      <c r="AS25">
        <f>IF(AND(AO25&gt;0,AQ25&gt;0),8,IF(AO25&gt;0,1,IF(AQ25&gt;0,INDEX(R_StCode,AR25),0)))</f>
        <v>0</v>
      </c>
    </row>
    <row r="26" ht="20" customHeight="1">
      <c r="A26" s="101" t="n">
        <v>0.5208333333333334</v>
      </c>
      <c r="B26" s="103" t="str">
        <f>IF(O26=0,"",IF(O26=8,"⚠ Malcolm + proMX",IF(O26=1,IF(K26&gt;1,"Malcolm ("&amp;K26&amp;" tareas)",IF(OR(FALSE,INDEX(R_SN,L26)&gt;=(INT(B$7)*1440+750)),"Malcolm · "&amp;INDEX(R_Label,L26)&amp;" ("&amp;TEXT(INDEX(R_Ini,L26),"hh:mm")&amp;"–"&amp;TEXT(INDEX(R_Fin,L26),"hh:mm")&amp;")","")),IF(OR(FALSE,INDEX(R_SN,N26)&gt;=(INT(B$7)*1440+750)),"proMX · "&amp;INDEX(R_Label,N26)&amp;" · "&amp;INDEX(R_St,N26),""))))</f>
        <v/>
      </c>
      <c r="C26" s="103" t="str">
        <f>IF(T26=0,"",IF(T26=8,"⚠ Malcolm + proMX",IF(T26=1,IF(P26&gt;1,"Malcolm ("&amp;P26&amp;" tareas)",IF(OR(FALSE,INDEX(R_SN,Q26)&gt;=(INT(C$7)*1440+750)),"Malcolm · "&amp;INDEX(R_Label,Q26)&amp;" ("&amp;TEXT(INDEX(R_Ini,Q26),"hh:mm")&amp;"–"&amp;TEXT(INDEX(R_Fin,Q26),"hh:mm")&amp;")","")),IF(OR(FALSE,INDEX(R_SN,S26)&gt;=(INT(C$7)*1440+750)),"proMX · "&amp;INDEX(R_Label,S26)&amp;" · "&amp;INDEX(R_St,S26),""))))</f>
        <v/>
      </c>
      <c r="D26" s="103" t="str">
        <f>IF(Y26=0,"",IF(Y26=8,"⚠ Malcolm + proMX",IF(Y26=1,IF(U26&gt;1,"Malcolm ("&amp;U26&amp;" tareas)",IF(OR(FALSE,INDEX(R_SN,V26)&gt;=(INT(D$7)*1440+750)),"Malcolm · "&amp;INDEX(R_Label,V26)&amp;" ("&amp;TEXT(INDEX(R_Ini,V26),"hh:mm")&amp;"–"&amp;TEXT(INDEX(R_Fin,V26),"hh:mm")&amp;")","")),IF(OR(FALSE,INDEX(R_SN,X26)&gt;=(INT(D$7)*1440+750)),"proMX · "&amp;INDEX(R_Label,X26)&amp;" · "&amp;INDEX(R_St,X26),""))))</f>
        <v/>
      </c>
      <c r="E26" s="103" t="str">
        <f>IF(AD26=0,"",IF(AD26=8,"⚠ Malcolm + proMX",IF(AD26=1,IF(Z26&gt;1,"Malcolm ("&amp;Z26&amp;" tareas)",IF(OR(FALSE,INDEX(R_SN,AA26)&gt;=(INT(E$7)*1440+750)),"Malcolm · "&amp;INDEX(R_Label,AA26)&amp;" ("&amp;TEXT(INDEX(R_Ini,AA26),"hh:mm")&amp;"–"&amp;TEXT(INDEX(R_Fin,AA26),"hh:mm")&amp;")","")),IF(OR(FALSE,INDEX(R_SN,AC26)&gt;=(INT(E$7)*1440+750)),"proMX · "&amp;INDEX(R_Label,AC26)&amp;" · "&amp;INDEX(R_St,AC26),""))))</f>
        <v/>
      </c>
      <c r="F26" s="103" t="str">
        <f>IF(AI26=0,"",IF(AI26=8,"⚠ Malcolm + proMX",IF(AI26=1,IF(AE26&gt;1,"Malcolm ("&amp;AE26&amp;" tareas)",IF(OR(FALSE,INDEX(R_SN,AF26)&gt;=(INT(F$7)*1440+750)),"Malcolm · "&amp;INDEX(R_Label,AF26)&amp;" ("&amp;TEXT(INDEX(R_Ini,AF26),"hh:mm")&amp;"–"&amp;TEXT(INDEX(R_Fin,AF26),"hh:mm")&amp;")","")),IF(OR(FALSE,INDEX(R_SN,AH26)&gt;=(INT(F$7)*1440+750)),"proMX · "&amp;INDEX(R_Label,AH26)&amp;" · "&amp;INDEX(R_St,AH26),""))))</f>
        <v/>
      </c>
      <c r="G26" s="103" t="str">
        <f>IF(AN26=0,"",IF(AN26=8,"⚠ Malcolm + proMX",IF(AN26=1,IF(AJ26&gt;1,"Malcolm ("&amp;AJ26&amp;" tareas)",IF(OR(FALSE,INDEX(R_SN,AK26)&gt;=(INT(G$7)*1440+750)),"Malcolm · "&amp;INDEX(R_Label,AK26)&amp;" ("&amp;TEXT(INDEX(R_Ini,AK26),"hh:mm")&amp;"–"&amp;TEXT(INDEX(R_Fin,AK26),"hh:mm")&amp;")","")),IF(OR(FALSE,INDEX(R_SN,AM26)&gt;=(INT(G$7)*1440+750)),"proMX · "&amp;INDEX(R_Label,AM26)&amp;" · "&amp;INDEX(R_St,AM26),""))))</f>
        <v/>
      </c>
      <c r="H26" s="103" t="str">
        <f>IF(AS26=0,"",IF(AS26=8,"⚠ Malcolm + proMX",IF(AS26=1,IF(AO26&gt;1,"Malcolm ("&amp;AO26&amp;" tareas)",IF(OR(FALSE,INDEX(R_SN,AP26)&gt;=(INT(H$7)*1440+750)),"Malcolm · "&amp;INDEX(R_Label,AP26)&amp;" ("&amp;TEXT(INDEX(R_Ini,AP26),"hh:mm")&amp;"–"&amp;TEXT(INDEX(R_Fin,AP26),"hh:mm")&amp;")","")),IF(OR(FALSE,INDEX(R_SN,AR26)&gt;=(INT(H$7)*1440+750)),"proMX · "&amp;INDEX(R_Label,AR26)&amp;" · "&amp;INDEX(R_St,AR26),""))))</f>
        <v/>
      </c>
      <c r="K26">
        <f>COUNTIFS(R_Emp,"Malcolm",R_Cnt,1,R_SN,"&lt;"&amp;((INT(B$7)*1440+750)+30),R_EN,"&gt;"&amp;(INT(B$7)*1440+750))</f>
        <v>0</v>
      </c>
      <c r="L26">
        <f>IF(K26&gt;0,_xlfn.MINIFS(R_ID,R_Emp,"Malcolm",R_Cnt,1,R_SN,"&lt;"&amp;((INT(B$7)*1440+750)+30),R_EN,"&gt;"&amp;(INT(B$7)*1440+750)),0)</f>
        <v>0</v>
      </c>
      <c r="M26">
        <f>COUNTIFS(R_Emp,"proMX",R_Cnt,1,R_SN,"&lt;"&amp;((INT(B$7)*1440+750)+30),R_EN,"&gt;"&amp;(INT(B$7)*1440+750))</f>
        <v>0</v>
      </c>
      <c r="N26">
        <f>IF(M26&gt;0,_xlfn.MINIFS(R_ID,R_Emp,"proMX",R_Cnt,1,R_SN,"&lt;"&amp;((INT(B$7)*1440+750)+30),R_EN,"&gt;"&amp;(INT(B$7)*1440+750)),0)</f>
        <v>0</v>
      </c>
      <c r="O26">
        <f>IF(AND(K26&gt;0,M26&gt;0),8,IF(K26&gt;0,1,IF(M26&gt;0,INDEX(R_StCode,N26),0)))</f>
        <v>0</v>
      </c>
      <c r="P26">
        <f>COUNTIFS(R_Emp,"Malcolm",R_Cnt,1,R_SN,"&lt;"&amp;((INT(C$7)*1440+750)+30),R_EN,"&gt;"&amp;(INT(C$7)*1440+750))</f>
        <v>0</v>
      </c>
      <c r="Q26">
        <f>IF(P26&gt;0,_xlfn.MINIFS(R_ID,R_Emp,"Malcolm",R_Cnt,1,R_SN,"&lt;"&amp;((INT(C$7)*1440+750)+30),R_EN,"&gt;"&amp;(INT(C$7)*1440+750)),0)</f>
        <v>0</v>
      </c>
      <c r="R26">
        <f>COUNTIFS(R_Emp,"proMX",R_Cnt,1,R_SN,"&lt;"&amp;((INT(C$7)*1440+750)+30),R_EN,"&gt;"&amp;(INT(C$7)*1440+750))</f>
        <v>0</v>
      </c>
      <c r="S26">
        <f>IF(R26&gt;0,_xlfn.MINIFS(R_ID,R_Emp,"proMX",R_Cnt,1,R_SN,"&lt;"&amp;((INT(C$7)*1440+750)+30),R_EN,"&gt;"&amp;(INT(C$7)*1440+750)),0)</f>
        <v>0</v>
      </c>
      <c r="T26">
        <f>IF(AND(P26&gt;0,R26&gt;0),8,IF(P26&gt;0,1,IF(R26&gt;0,INDEX(R_StCode,S26),0)))</f>
        <v>0</v>
      </c>
      <c r="U26">
        <f>COUNTIFS(R_Emp,"Malcolm",R_Cnt,1,R_SN,"&lt;"&amp;((INT(D$7)*1440+750)+30),R_EN,"&gt;"&amp;(INT(D$7)*1440+750))</f>
        <v>0</v>
      </c>
      <c r="V26">
        <f>IF(U26&gt;0,_xlfn.MINIFS(R_ID,R_Emp,"Malcolm",R_Cnt,1,R_SN,"&lt;"&amp;((INT(D$7)*1440+750)+30),R_EN,"&gt;"&amp;(INT(D$7)*1440+750)),0)</f>
        <v>0</v>
      </c>
      <c r="W26">
        <f>COUNTIFS(R_Emp,"proMX",R_Cnt,1,R_SN,"&lt;"&amp;((INT(D$7)*1440+750)+30),R_EN,"&gt;"&amp;(INT(D$7)*1440+750))</f>
        <v>0</v>
      </c>
      <c r="X26">
        <f>IF(W26&gt;0,_xlfn.MINIFS(R_ID,R_Emp,"proMX",R_Cnt,1,R_SN,"&lt;"&amp;((INT(D$7)*1440+750)+30),R_EN,"&gt;"&amp;(INT(D$7)*1440+750)),0)</f>
        <v>0</v>
      </c>
      <c r="Y26">
        <f>IF(AND(U26&gt;0,W26&gt;0),8,IF(U26&gt;0,1,IF(W26&gt;0,INDEX(R_StCode,X26),0)))</f>
        <v>0</v>
      </c>
      <c r="Z26">
        <f>COUNTIFS(R_Emp,"Malcolm",R_Cnt,1,R_SN,"&lt;"&amp;((INT(E$7)*1440+750)+30),R_EN,"&gt;"&amp;(INT(E$7)*1440+750))</f>
        <v>0</v>
      </c>
      <c r="AA26">
        <f>IF(Z26&gt;0,_xlfn.MINIFS(R_ID,R_Emp,"Malcolm",R_Cnt,1,R_SN,"&lt;"&amp;((INT(E$7)*1440+750)+30),R_EN,"&gt;"&amp;(INT(E$7)*1440+750)),0)</f>
        <v>0</v>
      </c>
      <c r="AB26">
        <f>COUNTIFS(R_Emp,"proMX",R_Cnt,1,R_SN,"&lt;"&amp;((INT(E$7)*1440+750)+30),R_EN,"&gt;"&amp;(INT(E$7)*1440+750))</f>
        <v>0</v>
      </c>
      <c r="AC26">
        <f>IF(AB26&gt;0,_xlfn.MINIFS(R_ID,R_Emp,"proMX",R_Cnt,1,R_SN,"&lt;"&amp;((INT(E$7)*1440+750)+30),R_EN,"&gt;"&amp;(INT(E$7)*1440+750)),0)</f>
        <v>0</v>
      </c>
      <c r="AD26">
        <f>IF(AND(Z26&gt;0,AB26&gt;0),8,IF(Z26&gt;0,1,IF(AB26&gt;0,INDEX(R_StCode,AC26),0)))</f>
        <v>0</v>
      </c>
      <c r="AE26">
        <f>COUNTIFS(R_Emp,"Malcolm",R_Cnt,1,R_SN,"&lt;"&amp;((INT(F$7)*1440+750)+30),R_EN,"&gt;"&amp;(INT(F$7)*1440+750))</f>
        <v>0</v>
      </c>
      <c r="AF26">
        <f>IF(AE26&gt;0,_xlfn.MINIFS(R_ID,R_Emp,"Malcolm",R_Cnt,1,R_SN,"&lt;"&amp;((INT(F$7)*1440+750)+30),R_EN,"&gt;"&amp;(INT(F$7)*1440+750)),0)</f>
        <v>0</v>
      </c>
      <c r="AG26">
        <f>COUNTIFS(R_Emp,"proMX",R_Cnt,1,R_SN,"&lt;"&amp;((INT(F$7)*1440+750)+30),R_EN,"&gt;"&amp;(INT(F$7)*1440+750))</f>
        <v>0</v>
      </c>
      <c r="AH26">
        <f>IF(AG26&gt;0,_xlfn.MINIFS(R_ID,R_Emp,"proMX",R_Cnt,1,R_SN,"&lt;"&amp;((INT(F$7)*1440+750)+30),R_EN,"&gt;"&amp;(INT(F$7)*1440+750)),0)</f>
        <v>0</v>
      </c>
      <c r="AI26">
        <f>IF(AND(AE26&gt;0,AG26&gt;0),8,IF(AE26&gt;0,1,IF(AG26&gt;0,INDEX(R_StCode,AH26),0)))</f>
        <v>0</v>
      </c>
      <c r="AJ26">
        <f>COUNTIFS(R_Emp,"Malcolm",R_Cnt,1,R_SN,"&lt;"&amp;((INT(G$7)*1440+750)+30),R_EN,"&gt;"&amp;(INT(G$7)*1440+750))</f>
        <v>0</v>
      </c>
      <c r="AK26">
        <f>IF(AJ26&gt;0,_xlfn.MINIFS(R_ID,R_Emp,"Malcolm",R_Cnt,1,R_SN,"&lt;"&amp;((INT(G$7)*1440+750)+30),R_EN,"&gt;"&amp;(INT(G$7)*1440+750)),0)</f>
        <v>0</v>
      </c>
      <c r="AL26">
        <f>COUNTIFS(R_Emp,"proMX",R_Cnt,1,R_SN,"&lt;"&amp;((INT(G$7)*1440+750)+30),R_EN,"&gt;"&amp;(INT(G$7)*1440+750))</f>
        <v>0</v>
      </c>
      <c r="AM26">
        <f>IF(AL26&gt;0,_xlfn.MINIFS(R_ID,R_Emp,"proMX",R_Cnt,1,R_SN,"&lt;"&amp;((INT(G$7)*1440+750)+30),R_EN,"&gt;"&amp;(INT(G$7)*1440+750)),0)</f>
        <v>0</v>
      </c>
      <c r="AN26">
        <f>IF(AND(AJ26&gt;0,AL26&gt;0),8,IF(AJ26&gt;0,1,IF(AL26&gt;0,INDEX(R_StCode,AM26),0)))</f>
        <v>0</v>
      </c>
      <c r="AO26">
        <f>COUNTIFS(R_Emp,"Malcolm",R_Cnt,1,R_SN,"&lt;"&amp;((INT(H$7)*1440+750)+30),R_EN,"&gt;"&amp;(INT(H$7)*1440+750))</f>
        <v>0</v>
      </c>
      <c r="AP26">
        <f>IF(AO26&gt;0,_xlfn.MINIFS(R_ID,R_Emp,"Malcolm",R_Cnt,1,R_SN,"&lt;"&amp;((INT(H$7)*1440+750)+30),R_EN,"&gt;"&amp;(INT(H$7)*1440+750)),0)</f>
        <v>0</v>
      </c>
      <c r="AQ26">
        <f>COUNTIFS(R_Emp,"proMX",R_Cnt,1,R_SN,"&lt;"&amp;((INT(H$7)*1440+750)+30),R_EN,"&gt;"&amp;(INT(H$7)*1440+750))</f>
        <v>0</v>
      </c>
      <c r="AR26">
        <f>IF(AQ26&gt;0,_xlfn.MINIFS(R_ID,R_Emp,"proMX",R_Cnt,1,R_SN,"&lt;"&amp;((INT(H$7)*1440+750)+30),R_EN,"&gt;"&amp;(INT(H$7)*1440+750)),0)</f>
        <v>0</v>
      </c>
      <c r="AS26">
        <f>IF(AND(AO26&gt;0,AQ26&gt;0),8,IF(AO26&gt;0,1,IF(AQ26&gt;0,INDEX(R_StCode,AR26),0)))</f>
        <v>0</v>
      </c>
    </row>
    <row r="27" ht="20" customHeight="1">
      <c r="A27" s="101" t="n">
        <v>0.5416666666666666</v>
      </c>
      <c r="B27" s="103" t="str">
        <f>IF(O27=0,"",IF(O27=8,"⚠ Malcolm + proMX",IF(O27=1,IF(K27&gt;1,"Malcolm ("&amp;K27&amp;" tareas)",IF(OR(FALSE,INDEX(R_SN,L27)&gt;=(INT(B$7)*1440+780)),"Malcolm · "&amp;INDEX(R_Label,L27)&amp;" ("&amp;TEXT(INDEX(R_Ini,L27),"hh:mm")&amp;"–"&amp;TEXT(INDEX(R_Fin,L27),"hh:mm")&amp;")","")),IF(OR(FALSE,INDEX(R_SN,N27)&gt;=(INT(B$7)*1440+780)),"proMX · "&amp;INDEX(R_Label,N27)&amp;" · "&amp;INDEX(R_St,N27),""))))</f>
        <v>Malcolm · PCF-102 · PCF (13:00–14:20)</v>
      </c>
      <c r="C27" s="103" t="str">
        <f>IF(T27=0,"",IF(T27=8,"⚠ Malcolm + proMX",IF(T27=1,IF(P27&gt;1,"Malcolm ("&amp;P27&amp;" tareas)",IF(OR(FALSE,INDEX(R_SN,Q27)&gt;=(INT(C$7)*1440+780)),"Malcolm · "&amp;INDEX(R_Label,Q27)&amp;" ("&amp;TEXT(INDEX(R_Ini,Q27),"hh:mm")&amp;"–"&amp;TEXT(INDEX(R_Fin,Q27),"hh:mm")&amp;")","")),IF(OR(FALSE,INDEX(R_SN,S27)&gt;=(INT(C$7)*1440+780)),"proMX · "&amp;INDEX(R_Label,S27)&amp;" · "&amp;INDEX(R_St,S27),""))))</f>
        <v/>
      </c>
      <c r="D27" s="103" t="str">
        <f>IF(Y27=0,"",IF(Y27=8,"⚠ Malcolm + proMX",IF(Y27=1,IF(U27&gt;1,"Malcolm ("&amp;U27&amp;" tareas)",IF(OR(FALSE,INDEX(R_SN,V27)&gt;=(INT(D$7)*1440+780)),"Malcolm · "&amp;INDEX(R_Label,V27)&amp;" ("&amp;TEXT(INDEX(R_Ini,V27),"hh:mm")&amp;"–"&amp;TEXT(INDEX(R_Fin,V27),"hh:mm")&amp;")","")),IF(OR(FALSE,INDEX(R_SN,X27)&gt;=(INT(D$7)*1440+780)),"proMX · "&amp;INDEX(R_Label,X27)&amp;" · "&amp;INDEX(R_St,X27),""))))</f>
        <v/>
      </c>
      <c r="E27" s="103" t="str">
        <f>IF(AD27=0,"",IF(AD27=8,"⚠ Malcolm + proMX",IF(AD27=1,IF(Z27&gt;1,"Malcolm ("&amp;Z27&amp;" tareas)",IF(OR(FALSE,INDEX(R_SN,AA27)&gt;=(INT(E$7)*1440+780)),"Malcolm · "&amp;INDEX(R_Label,AA27)&amp;" ("&amp;TEXT(INDEX(R_Ini,AA27),"hh:mm")&amp;"–"&amp;TEXT(INDEX(R_Fin,AA27),"hh:mm")&amp;")","")),IF(OR(FALSE,INDEX(R_SN,AC27)&gt;=(INT(E$7)*1440+780)),"proMX · "&amp;INDEX(R_Label,AC27)&amp;" · "&amp;INDEX(R_St,AC27),""))))</f>
        <v/>
      </c>
      <c r="F27" s="103" t="str">
        <f>IF(AI27=0,"",IF(AI27=8,"⚠ Malcolm + proMX",IF(AI27=1,IF(AE27&gt;1,"Malcolm ("&amp;AE27&amp;" tareas)",IF(OR(FALSE,INDEX(R_SN,AF27)&gt;=(INT(F$7)*1440+780)),"Malcolm · "&amp;INDEX(R_Label,AF27)&amp;" ("&amp;TEXT(INDEX(R_Ini,AF27),"hh:mm")&amp;"–"&amp;TEXT(INDEX(R_Fin,AF27),"hh:mm")&amp;")","")),IF(OR(FALSE,INDEX(R_SN,AH27)&gt;=(INT(F$7)*1440+780)),"proMX · "&amp;INDEX(R_Label,AH27)&amp;" · "&amp;INDEX(R_St,AH27),""))))</f>
        <v/>
      </c>
      <c r="G27" s="103" t="str">
        <f>IF(AN27=0,"",IF(AN27=8,"⚠ Malcolm + proMX",IF(AN27=1,IF(AJ27&gt;1,"Malcolm ("&amp;AJ27&amp;" tareas)",IF(OR(FALSE,INDEX(R_SN,AK27)&gt;=(INT(G$7)*1440+780)),"Malcolm · "&amp;INDEX(R_Label,AK27)&amp;" ("&amp;TEXT(INDEX(R_Ini,AK27),"hh:mm")&amp;"–"&amp;TEXT(INDEX(R_Fin,AK27),"hh:mm")&amp;")","")),IF(OR(FALSE,INDEX(R_SN,AM27)&gt;=(INT(G$7)*1440+780)),"proMX · "&amp;INDEX(R_Label,AM27)&amp;" · "&amp;INDEX(R_St,AM27),""))))</f>
        <v/>
      </c>
      <c r="H27" s="103" t="str">
        <f>IF(AS27=0,"",IF(AS27=8,"⚠ Malcolm + proMX",IF(AS27=1,IF(AO27&gt;1,"Malcolm ("&amp;AO27&amp;" tareas)",IF(OR(FALSE,INDEX(R_SN,AP27)&gt;=(INT(H$7)*1440+780)),"Malcolm · "&amp;INDEX(R_Label,AP27)&amp;" ("&amp;TEXT(INDEX(R_Ini,AP27),"hh:mm")&amp;"–"&amp;TEXT(INDEX(R_Fin,AP27),"hh:mm")&amp;")","")),IF(OR(FALSE,INDEX(R_SN,AR27)&gt;=(INT(H$7)*1440+780)),"proMX · "&amp;INDEX(R_Label,AR27)&amp;" · "&amp;INDEX(R_St,AR27),""))))</f>
        <v/>
      </c>
      <c r="K27">
        <f>COUNTIFS(R_Emp,"Malcolm",R_Cnt,1,R_SN,"&lt;"&amp;((INT(B$7)*1440+780)+30),R_EN,"&gt;"&amp;(INT(B$7)*1440+780))</f>
        <v>1</v>
      </c>
      <c r="L27">
        <f>IF(K27&gt;0,_xlfn.MINIFS(R_ID,R_Emp,"Malcolm",R_Cnt,1,R_SN,"&lt;"&amp;((INT(B$7)*1440+780)+30),R_EN,"&gt;"&amp;(INT(B$7)*1440+780)),0)</f>
        <v>5</v>
      </c>
      <c r="M27">
        <f>COUNTIFS(R_Emp,"proMX",R_Cnt,1,R_SN,"&lt;"&amp;((INT(B$7)*1440+780)+30),R_EN,"&gt;"&amp;(INT(B$7)*1440+780))</f>
        <v>0</v>
      </c>
      <c r="N27">
        <f>IF(M27&gt;0,_xlfn.MINIFS(R_ID,R_Emp,"proMX",R_Cnt,1,R_SN,"&lt;"&amp;((INT(B$7)*1440+780)+30),R_EN,"&gt;"&amp;(INT(B$7)*1440+780)),0)</f>
        <v>0</v>
      </c>
      <c r="O27">
        <f>IF(AND(K27&gt;0,M27&gt;0),8,IF(K27&gt;0,1,IF(M27&gt;0,INDEX(R_StCode,N27),0)))</f>
        <v>1</v>
      </c>
      <c r="P27">
        <f>COUNTIFS(R_Emp,"Malcolm",R_Cnt,1,R_SN,"&lt;"&amp;((INT(C$7)*1440+780)+30),R_EN,"&gt;"&amp;(INT(C$7)*1440+780))</f>
        <v>0</v>
      </c>
      <c r="Q27">
        <f>IF(P27&gt;0,_xlfn.MINIFS(R_ID,R_Emp,"Malcolm",R_Cnt,1,R_SN,"&lt;"&amp;((INT(C$7)*1440+780)+30),R_EN,"&gt;"&amp;(INT(C$7)*1440+780)),0)</f>
        <v>0</v>
      </c>
      <c r="R27">
        <f>COUNTIFS(R_Emp,"proMX",R_Cnt,1,R_SN,"&lt;"&amp;((INT(C$7)*1440+780)+30),R_EN,"&gt;"&amp;(INT(C$7)*1440+780))</f>
        <v>0</v>
      </c>
      <c r="S27">
        <f>IF(R27&gt;0,_xlfn.MINIFS(R_ID,R_Emp,"proMX",R_Cnt,1,R_SN,"&lt;"&amp;((INT(C$7)*1440+780)+30),R_EN,"&gt;"&amp;(INT(C$7)*1440+780)),0)</f>
        <v>0</v>
      </c>
      <c r="T27">
        <f>IF(AND(P27&gt;0,R27&gt;0),8,IF(P27&gt;0,1,IF(R27&gt;0,INDEX(R_StCode,S27),0)))</f>
        <v>0</v>
      </c>
      <c r="U27">
        <f>COUNTIFS(R_Emp,"Malcolm",R_Cnt,1,R_SN,"&lt;"&amp;((INT(D$7)*1440+780)+30),R_EN,"&gt;"&amp;(INT(D$7)*1440+780))</f>
        <v>0</v>
      </c>
      <c r="V27">
        <f>IF(U27&gt;0,_xlfn.MINIFS(R_ID,R_Emp,"Malcolm",R_Cnt,1,R_SN,"&lt;"&amp;((INT(D$7)*1440+780)+30),R_EN,"&gt;"&amp;(INT(D$7)*1440+780)),0)</f>
        <v>0</v>
      </c>
      <c r="W27">
        <f>COUNTIFS(R_Emp,"proMX",R_Cnt,1,R_SN,"&lt;"&amp;((INT(D$7)*1440+780)+30),R_EN,"&gt;"&amp;(INT(D$7)*1440+780))</f>
        <v>0</v>
      </c>
      <c r="X27">
        <f>IF(W27&gt;0,_xlfn.MINIFS(R_ID,R_Emp,"proMX",R_Cnt,1,R_SN,"&lt;"&amp;((INT(D$7)*1440+780)+30),R_EN,"&gt;"&amp;(INT(D$7)*1440+780)),0)</f>
        <v>0</v>
      </c>
      <c r="Y27">
        <f>IF(AND(U27&gt;0,W27&gt;0),8,IF(U27&gt;0,1,IF(W27&gt;0,INDEX(R_StCode,X27),0)))</f>
        <v>0</v>
      </c>
      <c r="Z27">
        <f>COUNTIFS(R_Emp,"Malcolm",R_Cnt,1,R_SN,"&lt;"&amp;((INT(E$7)*1440+780)+30),R_EN,"&gt;"&amp;(INT(E$7)*1440+780))</f>
        <v>0</v>
      </c>
      <c r="AA27">
        <f>IF(Z27&gt;0,_xlfn.MINIFS(R_ID,R_Emp,"Malcolm",R_Cnt,1,R_SN,"&lt;"&amp;((INT(E$7)*1440+780)+30),R_EN,"&gt;"&amp;(INT(E$7)*1440+780)),0)</f>
        <v>0</v>
      </c>
      <c r="AB27">
        <f>COUNTIFS(R_Emp,"proMX",R_Cnt,1,R_SN,"&lt;"&amp;((INT(E$7)*1440+780)+30),R_EN,"&gt;"&amp;(INT(E$7)*1440+780))</f>
        <v>0</v>
      </c>
      <c r="AC27">
        <f>IF(AB27&gt;0,_xlfn.MINIFS(R_ID,R_Emp,"proMX",R_Cnt,1,R_SN,"&lt;"&amp;((INT(E$7)*1440+780)+30),R_EN,"&gt;"&amp;(INT(E$7)*1440+780)),0)</f>
        <v>0</v>
      </c>
      <c r="AD27">
        <f>IF(AND(Z27&gt;0,AB27&gt;0),8,IF(Z27&gt;0,1,IF(AB27&gt;0,INDEX(R_StCode,AC27),0)))</f>
        <v>0</v>
      </c>
      <c r="AE27">
        <f>COUNTIFS(R_Emp,"Malcolm",R_Cnt,1,R_SN,"&lt;"&amp;((INT(F$7)*1440+780)+30),R_EN,"&gt;"&amp;(INT(F$7)*1440+780))</f>
        <v>0</v>
      </c>
      <c r="AF27">
        <f>IF(AE27&gt;0,_xlfn.MINIFS(R_ID,R_Emp,"Malcolm",R_Cnt,1,R_SN,"&lt;"&amp;((INT(F$7)*1440+780)+30),R_EN,"&gt;"&amp;(INT(F$7)*1440+780)),0)</f>
        <v>0</v>
      </c>
      <c r="AG27">
        <f>COUNTIFS(R_Emp,"proMX",R_Cnt,1,R_SN,"&lt;"&amp;((INT(F$7)*1440+780)+30),R_EN,"&gt;"&amp;(INT(F$7)*1440+780))</f>
        <v>0</v>
      </c>
      <c r="AH27">
        <f>IF(AG27&gt;0,_xlfn.MINIFS(R_ID,R_Emp,"proMX",R_Cnt,1,R_SN,"&lt;"&amp;((INT(F$7)*1440+780)+30),R_EN,"&gt;"&amp;(INT(F$7)*1440+780)),0)</f>
        <v>0</v>
      </c>
      <c r="AI27">
        <f>IF(AND(AE27&gt;0,AG27&gt;0),8,IF(AE27&gt;0,1,IF(AG27&gt;0,INDEX(R_StCode,AH27),0)))</f>
        <v>0</v>
      </c>
      <c r="AJ27">
        <f>COUNTIFS(R_Emp,"Malcolm",R_Cnt,1,R_SN,"&lt;"&amp;((INT(G$7)*1440+780)+30),R_EN,"&gt;"&amp;(INT(G$7)*1440+780))</f>
        <v>0</v>
      </c>
      <c r="AK27">
        <f>IF(AJ27&gt;0,_xlfn.MINIFS(R_ID,R_Emp,"Malcolm",R_Cnt,1,R_SN,"&lt;"&amp;((INT(G$7)*1440+780)+30),R_EN,"&gt;"&amp;(INT(G$7)*1440+780)),0)</f>
        <v>0</v>
      </c>
      <c r="AL27">
        <f>COUNTIFS(R_Emp,"proMX",R_Cnt,1,R_SN,"&lt;"&amp;((INT(G$7)*1440+780)+30),R_EN,"&gt;"&amp;(INT(G$7)*1440+780))</f>
        <v>0</v>
      </c>
      <c r="AM27">
        <f>IF(AL27&gt;0,_xlfn.MINIFS(R_ID,R_Emp,"proMX",R_Cnt,1,R_SN,"&lt;"&amp;((INT(G$7)*1440+780)+30),R_EN,"&gt;"&amp;(INT(G$7)*1440+780)),0)</f>
        <v>0</v>
      </c>
      <c r="AN27">
        <f>IF(AND(AJ27&gt;0,AL27&gt;0),8,IF(AJ27&gt;0,1,IF(AL27&gt;0,INDEX(R_StCode,AM27),0)))</f>
        <v>0</v>
      </c>
      <c r="AO27">
        <f>COUNTIFS(R_Emp,"Malcolm",R_Cnt,1,R_SN,"&lt;"&amp;((INT(H$7)*1440+780)+30),R_EN,"&gt;"&amp;(INT(H$7)*1440+780))</f>
        <v>0</v>
      </c>
      <c r="AP27">
        <f>IF(AO27&gt;0,_xlfn.MINIFS(R_ID,R_Emp,"Malcolm",R_Cnt,1,R_SN,"&lt;"&amp;((INT(H$7)*1440+780)+30),R_EN,"&gt;"&amp;(INT(H$7)*1440+780)),0)</f>
        <v>0</v>
      </c>
      <c r="AQ27">
        <f>COUNTIFS(R_Emp,"proMX",R_Cnt,1,R_SN,"&lt;"&amp;((INT(H$7)*1440+780)+30),R_EN,"&gt;"&amp;(INT(H$7)*1440+780))</f>
        <v>0</v>
      </c>
      <c r="AR27">
        <f>IF(AQ27&gt;0,_xlfn.MINIFS(R_ID,R_Emp,"proMX",R_Cnt,1,R_SN,"&lt;"&amp;((INT(H$7)*1440+780)+30),R_EN,"&gt;"&amp;(INT(H$7)*1440+780)),0)</f>
        <v>0</v>
      </c>
      <c r="AS27">
        <f>IF(AND(AO27&gt;0,AQ27&gt;0),8,IF(AO27&gt;0,1,IF(AQ27&gt;0,INDEX(R_StCode,AR27),0)))</f>
        <v>0</v>
      </c>
    </row>
    <row r="28" ht="20" customHeight="1">
      <c r="A28" s="101" t="n">
        <v>0.5625</v>
      </c>
      <c r="B28" s="103" t="str">
        <f>IF(O28=0,"",IF(O28=8,"⚠ Malcolm + proMX",IF(O28=1,IF(K28&gt;1,"Malcolm ("&amp;K28&amp;" tareas)",IF(OR(FALSE,INDEX(R_SN,L28)&gt;=(INT(B$7)*1440+810)),"Malcolm · "&amp;INDEX(R_Label,L28)&amp;" ("&amp;TEXT(INDEX(R_Ini,L28),"hh:mm")&amp;"–"&amp;TEXT(INDEX(R_Fin,L28),"hh:mm")&amp;")","")),IF(OR(FALSE,INDEX(R_SN,N28)&gt;=(INT(B$7)*1440+810)),"proMX · "&amp;INDEX(R_Label,N28)&amp;" · "&amp;INDEX(R_St,N28),""))))</f>
        <v/>
      </c>
      <c r="C28" s="103" t="str">
        <f>IF(T28=0,"",IF(T28=8,"⚠ Malcolm + proMX",IF(T28=1,IF(P28&gt;1,"Malcolm ("&amp;P28&amp;" tareas)",IF(OR(FALSE,INDEX(R_SN,Q28)&gt;=(INT(C$7)*1440+810)),"Malcolm · "&amp;INDEX(R_Label,Q28)&amp;" ("&amp;TEXT(INDEX(R_Ini,Q28),"hh:mm")&amp;"–"&amp;TEXT(INDEX(R_Fin,Q28),"hh:mm")&amp;")","")),IF(OR(FALSE,INDEX(R_SN,S28)&gt;=(INT(C$7)*1440+810)),"proMX · "&amp;INDEX(R_Label,S28)&amp;" · "&amp;INDEX(R_St,S28),""))))</f>
        <v/>
      </c>
      <c r="D28" s="103" t="str">
        <f>IF(Y28=0,"",IF(Y28=8,"⚠ Malcolm + proMX",IF(Y28=1,IF(U28&gt;1,"Malcolm ("&amp;U28&amp;" tareas)",IF(OR(FALSE,INDEX(R_SN,V28)&gt;=(INT(D$7)*1440+810)),"Malcolm · "&amp;INDEX(R_Label,V28)&amp;" ("&amp;TEXT(INDEX(R_Ini,V28),"hh:mm")&amp;"–"&amp;TEXT(INDEX(R_Fin,V28),"hh:mm")&amp;")","")),IF(OR(FALSE,INDEX(R_SN,X28)&gt;=(INT(D$7)*1440+810)),"proMX · "&amp;INDEX(R_Label,X28)&amp;" · "&amp;INDEX(R_St,X28),""))))</f>
        <v/>
      </c>
      <c r="E28" s="103" t="str">
        <f>IF(AD28=0,"",IF(AD28=8,"⚠ Malcolm + proMX",IF(AD28=1,IF(Z28&gt;1,"Malcolm ("&amp;Z28&amp;" tareas)",IF(OR(FALSE,INDEX(R_SN,AA28)&gt;=(INT(E$7)*1440+810)),"Malcolm · "&amp;INDEX(R_Label,AA28)&amp;" ("&amp;TEXT(INDEX(R_Ini,AA28),"hh:mm")&amp;"–"&amp;TEXT(INDEX(R_Fin,AA28),"hh:mm")&amp;")","")),IF(OR(FALSE,INDEX(R_SN,AC28)&gt;=(INT(E$7)*1440+810)),"proMX · "&amp;INDEX(R_Label,AC28)&amp;" · "&amp;INDEX(R_St,AC28),""))))</f>
        <v/>
      </c>
      <c r="F28" s="103" t="str">
        <f>IF(AI28=0,"",IF(AI28=8,"⚠ Malcolm + proMX",IF(AI28=1,IF(AE28&gt;1,"Malcolm ("&amp;AE28&amp;" tareas)",IF(OR(FALSE,INDEX(R_SN,AF28)&gt;=(INT(F$7)*1440+810)),"Malcolm · "&amp;INDEX(R_Label,AF28)&amp;" ("&amp;TEXT(INDEX(R_Ini,AF28),"hh:mm")&amp;"–"&amp;TEXT(INDEX(R_Fin,AF28),"hh:mm")&amp;")","")),IF(OR(FALSE,INDEX(R_SN,AH28)&gt;=(INT(F$7)*1440+810)),"proMX · "&amp;INDEX(R_Label,AH28)&amp;" · "&amp;INDEX(R_St,AH28),""))))</f>
        <v/>
      </c>
      <c r="G28" s="103" t="str">
        <f>IF(AN28=0,"",IF(AN28=8,"⚠ Malcolm + proMX",IF(AN28=1,IF(AJ28&gt;1,"Malcolm ("&amp;AJ28&amp;" tareas)",IF(OR(FALSE,INDEX(R_SN,AK28)&gt;=(INT(G$7)*1440+810)),"Malcolm · "&amp;INDEX(R_Label,AK28)&amp;" ("&amp;TEXT(INDEX(R_Ini,AK28),"hh:mm")&amp;"–"&amp;TEXT(INDEX(R_Fin,AK28),"hh:mm")&amp;")","")),IF(OR(FALSE,INDEX(R_SN,AM28)&gt;=(INT(G$7)*1440+810)),"proMX · "&amp;INDEX(R_Label,AM28)&amp;" · "&amp;INDEX(R_St,AM28),""))))</f>
        <v/>
      </c>
      <c r="H28" s="103" t="str">
        <f>IF(AS28=0,"",IF(AS28=8,"⚠ Malcolm + proMX",IF(AS28=1,IF(AO28&gt;1,"Malcolm ("&amp;AO28&amp;" tareas)",IF(OR(FALSE,INDEX(R_SN,AP28)&gt;=(INT(H$7)*1440+810)),"Malcolm · "&amp;INDEX(R_Label,AP28)&amp;" ("&amp;TEXT(INDEX(R_Ini,AP28),"hh:mm")&amp;"–"&amp;TEXT(INDEX(R_Fin,AP28),"hh:mm")&amp;")","")),IF(OR(FALSE,INDEX(R_SN,AR28)&gt;=(INT(H$7)*1440+810)),"proMX · "&amp;INDEX(R_Label,AR28)&amp;" · "&amp;INDEX(R_St,AR28),""))))</f>
        <v/>
      </c>
      <c r="K28">
        <f>COUNTIFS(R_Emp,"Malcolm",R_Cnt,1,R_SN,"&lt;"&amp;((INT(B$7)*1440+810)+30),R_EN,"&gt;"&amp;(INT(B$7)*1440+810))</f>
        <v>1</v>
      </c>
      <c r="L28">
        <f>IF(K28&gt;0,_xlfn.MINIFS(R_ID,R_Emp,"Malcolm",R_Cnt,1,R_SN,"&lt;"&amp;((INT(B$7)*1440+810)+30),R_EN,"&gt;"&amp;(INT(B$7)*1440+810)),0)</f>
        <v>5</v>
      </c>
      <c r="M28">
        <f>COUNTIFS(R_Emp,"proMX",R_Cnt,1,R_SN,"&lt;"&amp;((INT(B$7)*1440+810)+30),R_EN,"&gt;"&amp;(INT(B$7)*1440+810))</f>
        <v>0</v>
      </c>
      <c r="N28">
        <f>IF(M28&gt;0,_xlfn.MINIFS(R_ID,R_Emp,"proMX",R_Cnt,1,R_SN,"&lt;"&amp;((INT(B$7)*1440+810)+30),R_EN,"&gt;"&amp;(INT(B$7)*1440+810)),0)</f>
        <v>0</v>
      </c>
      <c r="O28">
        <f>IF(AND(K28&gt;0,M28&gt;0),8,IF(K28&gt;0,1,IF(M28&gt;0,INDEX(R_StCode,N28),0)))</f>
        <v>1</v>
      </c>
      <c r="P28">
        <f>COUNTIFS(R_Emp,"Malcolm",R_Cnt,1,R_SN,"&lt;"&amp;((INT(C$7)*1440+810)+30),R_EN,"&gt;"&amp;(INT(C$7)*1440+810))</f>
        <v>0</v>
      </c>
      <c r="Q28">
        <f>IF(P28&gt;0,_xlfn.MINIFS(R_ID,R_Emp,"Malcolm",R_Cnt,1,R_SN,"&lt;"&amp;((INT(C$7)*1440+810)+30),R_EN,"&gt;"&amp;(INT(C$7)*1440+810)),0)</f>
        <v>0</v>
      </c>
      <c r="R28">
        <f>COUNTIFS(R_Emp,"proMX",R_Cnt,1,R_SN,"&lt;"&amp;((INT(C$7)*1440+810)+30),R_EN,"&gt;"&amp;(INT(C$7)*1440+810))</f>
        <v>0</v>
      </c>
      <c r="S28">
        <f>IF(R28&gt;0,_xlfn.MINIFS(R_ID,R_Emp,"proMX",R_Cnt,1,R_SN,"&lt;"&amp;((INT(C$7)*1440+810)+30),R_EN,"&gt;"&amp;(INT(C$7)*1440+810)),0)</f>
        <v>0</v>
      </c>
      <c r="T28">
        <f>IF(AND(P28&gt;0,R28&gt;0),8,IF(P28&gt;0,1,IF(R28&gt;0,INDEX(R_StCode,S28),0)))</f>
        <v>0</v>
      </c>
      <c r="U28">
        <f>COUNTIFS(R_Emp,"Malcolm",R_Cnt,1,R_SN,"&lt;"&amp;((INT(D$7)*1440+810)+30),R_EN,"&gt;"&amp;(INT(D$7)*1440+810))</f>
        <v>0</v>
      </c>
      <c r="V28">
        <f>IF(U28&gt;0,_xlfn.MINIFS(R_ID,R_Emp,"Malcolm",R_Cnt,1,R_SN,"&lt;"&amp;((INT(D$7)*1440+810)+30),R_EN,"&gt;"&amp;(INT(D$7)*1440+810)),0)</f>
        <v>0</v>
      </c>
      <c r="W28">
        <f>COUNTIFS(R_Emp,"proMX",R_Cnt,1,R_SN,"&lt;"&amp;((INT(D$7)*1440+810)+30),R_EN,"&gt;"&amp;(INT(D$7)*1440+810))</f>
        <v>0</v>
      </c>
      <c r="X28">
        <f>IF(W28&gt;0,_xlfn.MINIFS(R_ID,R_Emp,"proMX",R_Cnt,1,R_SN,"&lt;"&amp;((INT(D$7)*1440+810)+30),R_EN,"&gt;"&amp;(INT(D$7)*1440+810)),0)</f>
        <v>0</v>
      </c>
      <c r="Y28">
        <f>IF(AND(U28&gt;0,W28&gt;0),8,IF(U28&gt;0,1,IF(W28&gt;0,INDEX(R_StCode,X28),0)))</f>
        <v>0</v>
      </c>
      <c r="Z28">
        <f>COUNTIFS(R_Emp,"Malcolm",R_Cnt,1,R_SN,"&lt;"&amp;((INT(E$7)*1440+810)+30),R_EN,"&gt;"&amp;(INT(E$7)*1440+810))</f>
        <v>0</v>
      </c>
      <c r="AA28">
        <f>IF(Z28&gt;0,_xlfn.MINIFS(R_ID,R_Emp,"Malcolm",R_Cnt,1,R_SN,"&lt;"&amp;((INT(E$7)*1440+810)+30),R_EN,"&gt;"&amp;(INT(E$7)*1440+810)),0)</f>
        <v>0</v>
      </c>
      <c r="AB28">
        <f>COUNTIFS(R_Emp,"proMX",R_Cnt,1,R_SN,"&lt;"&amp;((INT(E$7)*1440+810)+30),R_EN,"&gt;"&amp;(INT(E$7)*1440+810))</f>
        <v>0</v>
      </c>
      <c r="AC28">
        <f>IF(AB28&gt;0,_xlfn.MINIFS(R_ID,R_Emp,"proMX",R_Cnt,1,R_SN,"&lt;"&amp;((INT(E$7)*1440+810)+30),R_EN,"&gt;"&amp;(INT(E$7)*1440+810)),0)</f>
        <v>0</v>
      </c>
      <c r="AD28">
        <f>IF(AND(Z28&gt;0,AB28&gt;0),8,IF(Z28&gt;0,1,IF(AB28&gt;0,INDEX(R_StCode,AC28),0)))</f>
        <v>0</v>
      </c>
      <c r="AE28">
        <f>COUNTIFS(R_Emp,"Malcolm",R_Cnt,1,R_SN,"&lt;"&amp;((INT(F$7)*1440+810)+30),R_EN,"&gt;"&amp;(INT(F$7)*1440+810))</f>
        <v>0</v>
      </c>
      <c r="AF28">
        <f>IF(AE28&gt;0,_xlfn.MINIFS(R_ID,R_Emp,"Malcolm",R_Cnt,1,R_SN,"&lt;"&amp;((INT(F$7)*1440+810)+30),R_EN,"&gt;"&amp;(INT(F$7)*1440+810)),0)</f>
        <v>0</v>
      </c>
      <c r="AG28">
        <f>COUNTIFS(R_Emp,"proMX",R_Cnt,1,R_SN,"&lt;"&amp;((INT(F$7)*1440+810)+30),R_EN,"&gt;"&amp;(INT(F$7)*1440+810))</f>
        <v>0</v>
      </c>
      <c r="AH28">
        <f>IF(AG28&gt;0,_xlfn.MINIFS(R_ID,R_Emp,"proMX",R_Cnt,1,R_SN,"&lt;"&amp;((INT(F$7)*1440+810)+30),R_EN,"&gt;"&amp;(INT(F$7)*1440+810)),0)</f>
        <v>0</v>
      </c>
      <c r="AI28">
        <f>IF(AND(AE28&gt;0,AG28&gt;0),8,IF(AE28&gt;0,1,IF(AG28&gt;0,INDEX(R_StCode,AH28),0)))</f>
        <v>0</v>
      </c>
      <c r="AJ28">
        <f>COUNTIFS(R_Emp,"Malcolm",R_Cnt,1,R_SN,"&lt;"&amp;((INT(G$7)*1440+810)+30),R_EN,"&gt;"&amp;(INT(G$7)*1440+810))</f>
        <v>0</v>
      </c>
      <c r="AK28">
        <f>IF(AJ28&gt;0,_xlfn.MINIFS(R_ID,R_Emp,"Malcolm",R_Cnt,1,R_SN,"&lt;"&amp;((INT(G$7)*1440+810)+30),R_EN,"&gt;"&amp;(INT(G$7)*1440+810)),0)</f>
        <v>0</v>
      </c>
      <c r="AL28">
        <f>COUNTIFS(R_Emp,"proMX",R_Cnt,1,R_SN,"&lt;"&amp;((INT(G$7)*1440+810)+30),R_EN,"&gt;"&amp;(INT(G$7)*1440+810))</f>
        <v>0</v>
      </c>
      <c r="AM28">
        <f>IF(AL28&gt;0,_xlfn.MINIFS(R_ID,R_Emp,"proMX",R_Cnt,1,R_SN,"&lt;"&amp;((INT(G$7)*1440+810)+30),R_EN,"&gt;"&amp;(INT(G$7)*1440+810)),0)</f>
        <v>0</v>
      </c>
      <c r="AN28">
        <f>IF(AND(AJ28&gt;0,AL28&gt;0),8,IF(AJ28&gt;0,1,IF(AL28&gt;0,INDEX(R_StCode,AM28),0)))</f>
        <v>0</v>
      </c>
      <c r="AO28">
        <f>COUNTIFS(R_Emp,"Malcolm",R_Cnt,1,R_SN,"&lt;"&amp;((INT(H$7)*1440+810)+30),R_EN,"&gt;"&amp;(INT(H$7)*1440+810))</f>
        <v>0</v>
      </c>
      <c r="AP28">
        <f>IF(AO28&gt;0,_xlfn.MINIFS(R_ID,R_Emp,"Malcolm",R_Cnt,1,R_SN,"&lt;"&amp;((INT(H$7)*1440+810)+30),R_EN,"&gt;"&amp;(INT(H$7)*1440+810)),0)</f>
        <v>0</v>
      </c>
      <c r="AQ28">
        <f>COUNTIFS(R_Emp,"proMX",R_Cnt,1,R_SN,"&lt;"&amp;((INT(H$7)*1440+810)+30),R_EN,"&gt;"&amp;(INT(H$7)*1440+810))</f>
        <v>0</v>
      </c>
      <c r="AR28">
        <f>IF(AQ28&gt;0,_xlfn.MINIFS(R_ID,R_Emp,"proMX",R_Cnt,1,R_SN,"&lt;"&amp;((INT(H$7)*1440+810)+30),R_EN,"&gt;"&amp;(INT(H$7)*1440+810)),0)</f>
        <v>0</v>
      </c>
      <c r="AS28">
        <f>IF(AND(AO28&gt;0,AQ28&gt;0),8,IF(AO28&gt;0,1,IF(AQ28&gt;0,INDEX(R_StCode,AR28),0)))</f>
        <v>0</v>
      </c>
    </row>
    <row r="29" ht="20" customHeight="1">
      <c r="A29" s="101" t="n">
        <v>0.5833333333333334</v>
      </c>
      <c r="B29" s="103" t="str">
        <f>IF(O29=0,"",IF(O29=8,"⚠ Malcolm + proMX",IF(O29=1,IF(K29&gt;1,"Malcolm ("&amp;K29&amp;" tareas)",IF(OR(FALSE,INDEX(R_SN,L29)&gt;=(INT(B$7)*1440+840)),"Malcolm · "&amp;INDEX(R_Label,L29)&amp;" ("&amp;TEXT(INDEX(R_Ini,L29),"hh:mm")&amp;"–"&amp;TEXT(INDEX(R_Fin,L29),"hh:mm")&amp;")","")),IF(OR(FALSE,INDEX(R_SN,N29)&gt;=(INT(B$7)*1440+840)),"proMX · "&amp;INDEX(R_Label,N29)&amp;" · "&amp;INDEX(R_St,N29),""))))</f>
        <v/>
      </c>
      <c r="C29" s="103" t="str">
        <f>IF(T29=0,"",IF(T29=8,"⚠ Malcolm + proMX",IF(T29=1,IF(P29&gt;1,"Malcolm ("&amp;P29&amp;" tareas)",IF(OR(FALSE,INDEX(R_SN,Q29)&gt;=(INT(C$7)*1440+840)),"Malcolm · "&amp;INDEX(R_Label,Q29)&amp;" ("&amp;TEXT(INDEX(R_Ini,Q29),"hh:mm")&amp;"–"&amp;TEXT(INDEX(R_Fin,Q29),"hh:mm")&amp;")","")),IF(OR(FALSE,INDEX(R_SN,S29)&gt;=(INT(C$7)*1440+840)),"proMX · "&amp;INDEX(R_Label,S29)&amp;" · "&amp;INDEX(R_St,S29),""))))</f>
        <v/>
      </c>
      <c r="D29" s="103" t="str">
        <f>IF(Y29=0,"",IF(Y29=8,"⚠ Malcolm + proMX",IF(Y29=1,IF(U29&gt;1,"Malcolm ("&amp;U29&amp;" tareas)",IF(OR(FALSE,INDEX(R_SN,V29)&gt;=(INT(D$7)*1440+840)),"Malcolm · "&amp;INDEX(R_Label,V29)&amp;" ("&amp;TEXT(INDEX(R_Ini,V29),"hh:mm")&amp;"–"&amp;TEXT(INDEX(R_Fin,V29),"hh:mm")&amp;")","")),IF(OR(FALSE,INDEX(R_SN,X29)&gt;=(INT(D$7)*1440+840)),"proMX · "&amp;INDEX(R_Label,X29)&amp;" · "&amp;INDEX(R_St,X29),""))))</f>
        <v/>
      </c>
      <c r="E29" s="103" t="str">
        <f>IF(AD29=0,"",IF(AD29=8,"⚠ Malcolm + proMX",IF(AD29=1,IF(Z29&gt;1,"Malcolm ("&amp;Z29&amp;" tareas)",IF(OR(FALSE,INDEX(R_SN,AA29)&gt;=(INT(E$7)*1440+840)),"Malcolm · "&amp;INDEX(R_Label,AA29)&amp;" ("&amp;TEXT(INDEX(R_Ini,AA29),"hh:mm")&amp;"–"&amp;TEXT(INDEX(R_Fin,AA29),"hh:mm")&amp;")","")),IF(OR(FALSE,INDEX(R_SN,AC29)&gt;=(INT(E$7)*1440+840)),"proMX · "&amp;INDEX(R_Label,AC29)&amp;" · "&amp;INDEX(R_St,AC29),""))))</f>
        <v/>
      </c>
      <c r="F29" s="103" t="str">
        <f>IF(AI29=0,"",IF(AI29=8,"⚠ Malcolm + proMX",IF(AI29=1,IF(AE29&gt;1,"Malcolm ("&amp;AE29&amp;" tareas)",IF(OR(FALSE,INDEX(R_SN,AF29)&gt;=(INT(F$7)*1440+840)),"Malcolm · "&amp;INDEX(R_Label,AF29)&amp;" ("&amp;TEXT(INDEX(R_Ini,AF29),"hh:mm")&amp;"–"&amp;TEXT(INDEX(R_Fin,AF29),"hh:mm")&amp;")","")),IF(OR(FALSE,INDEX(R_SN,AH29)&gt;=(INT(F$7)*1440+840)),"proMX · "&amp;INDEX(R_Label,AH29)&amp;" · "&amp;INDEX(R_St,AH29),""))))</f>
        <v/>
      </c>
      <c r="G29" s="103" t="str">
        <f>IF(AN29=0,"",IF(AN29=8,"⚠ Malcolm + proMX",IF(AN29=1,IF(AJ29&gt;1,"Malcolm ("&amp;AJ29&amp;" tareas)",IF(OR(FALSE,INDEX(R_SN,AK29)&gt;=(INT(G$7)*1440+840)),"Malcolm · "&amp;INDEX(R_Label,AK29)&amp;" ("&amp;TEXT(INDEX(R_Ini,AK29),"hh:mm")&amp;"–"&amp;TEXT(INDEX(R_Fin,AK29),"hh:mm")&amp;")","")),IF(OR(FALSE,INDEX(R_SN,AM29)&gt;=(INT(G$7)*1440+840)),"proMX · "&amp;INDEX(R_Label,AM29)&amp;" · "&amp;INDEX(R_St,AM29),""))))</f>
        <v/>
      </c>
      <c r="H29" s="103" t="str">
        <f>IF(AS29=0,"",IF(AS29=8,"⚠ Malcolm + proMX",IF(AS29=1,IF(AO29&gt;1,"Malcolm ("&amp;AO29&amp;" tareas)",IF(OR(FALSE,INDEX(R_SN,AP29)&gt;=(INT(H$7)*1440+840)),"Malcolm · "&amp;INDEX(R_Label,AP29)&amp;" ("&amp;TEXT(INDEX(R_Ini,AP29),"hh:mm")&amp;"–"&amp;TEXT(INDEX(R_Fin,AP29),"hh:mm")&amp;")","")),IF(OR(FALSE,INDEX(R_SN,AR29)&gt;=(INT(H$7)*1440+840)),"proMX · "&amp;INDEX(R_Label,AR29)&amp;" · "&amp;INDEX(R_St,AR29),""))))</f>
        <v/>
      </c>
      <c r="K29">
        <f>COUNTIFS(R_Emp,"Malcolm",R_Cnt,1,R_SN,"&lt;"&amp;((INT(B$7)*1440+840)+30),R_EN,"&gt;"&amp;(INT(B$7)*1440+840))</f>
        <v>1</v>
      </c>
      <c r="L29">
        <f>IF(K29&gt;0,_xlfn.MINIFS(R_ID,R_Emp,"Malcolm",R_Cnt,1,R_SN,"&lt;"&amp;((INT(B$7)*1440+840)+30),R_EN,"&gt;"&amp;(INT(B$7)*1440+840)),0)</f>
        <v>5</v>
      </c>
      <c r="M29">
        <f>COUNTIFS(R_Emp,"proMX",R_Cnt,1,R_SN,"&lt;"&amp;((INT(B$7)*1440+840)+30),R_EN,"&gt;"&amp;(INT(B$7)*1440+840))</f>
        <v>0</v>
      </c>
      <c r="N29">
        <f>IF(M29&gt;0,_xlfn.MINIFS(R_ID,R_Emp,"proMX",R_Cnt,1,R_SN,"&lt;"&amp;((INT(B$7)*1440+840)+30),R_EN,"&gt;"&amp;(INT(B$7)*1440+840)),0)</f>
        <v>0</v>
      </c>
      <c r="O29">
        <f>IF(AND(K29&gt;0,M29&gt;0),8,IF(K29&gt;0,1,IF(M29&gt;0,INDEX(R_StCode,N29),0)))</f>
        <v>1</v>
      </c>
      <c r="P29">
        <f>COUNTIFS(R_Emp,"Malcolm",R_Cnt,1,R_SN,"&lt;"&amp;((INT(C$7)*1440+840)+30),R_EN,"&gt;"&amp;(INT(C$7)*1440+840))</f>
        <v>0</v>
      </c>
      <c r="Q29">
        <f>IF(P29&gt;0,_xlfn.MINIFS(R_ID,R_Emp,"Malcolm",R_Cnt,1,R_SN,"&lt;"&amp;((INT(C$7)*1440+840)+30),R_EN,"&gt;"&amp;(INT(C$7)*1440+840)),0)</f>
        <v>0</v>
      </c>
      <c r="R29">
        <f>COUNTIFS(R_Emp,"proMX",R_Cnt,1,R_SN,"&lt;"&amp;((INT(C$7)*1440+840)+30),R_EN,"&gt;"&amp;(INT(C$7)*1440+840))</f>
        <v>0</v>
      </c>
      <c r="S29">
        <f>IF(R29&gt;0,_xlfn.MINIFS(R_ID,R_Emp,"proMX",R_Cnt,1,R_SN,"&lt;"&amp;((INT(C$7)*1440+840)+30),R_EN,"&gt;"&amp;(INT(C$7)*1440+840)),0)</f>
        <v>0</v>
      </c>
      <c r="T29">
        <f>IF(AND(P29&gt;0,R29&gt;0),8,IF(P29&gt;0,1,IF(R29&gt;0,INDEX(R_StCode,S29),0)))</f>
        <v>0</v>
      </c>
      <c r="U29">
        <f>COUNTIFS(R_Emp,"Malcolm",R_Cnt,1,R_SN,"&lt;"&amp;((INT(D$7)*1440+840)+30),R_EN,"&gt;"&amp;(INT(D$7)*1440+840))</f>
        <v>0</v>
      </c>
      <c r="V29">
        <f>IF(U29&gt;0,_xlfn.MINIFS(R_ID,R_Emp,"Malcolm",R_Cnt,1,R_SN,"&lt;"&amp;((INT(D$7)*1440+840)+30),R_EN,"&gt;"&amp;(INT(D$7)*1440+840)),0)</f>
        <v>0</v>
      </c>
      <c r="W29">
        <f>COUNTIFS(R_Emp,"proMX",R_Cnt,1,R_SN,"&lt;"&amp;((INT(D$7)*1440+840)+30),R_EN,"&gt;"&amp;(INT(D$7)*1440+840))</f>
        <v>0</v>
      </c>
      <c r="X29">
        <f>IF(W29&gt;0,_xlfn.MINIFS(R_ID,R_Emp,"proMX",R_Cnt,1,R_SN,"&lt;"&amp;((INT(D$7)*1440+840)+30),R_EN,"&gt;"&amp;(INT(D$7)*1440+840)),0)</f>
        <v>0</v>
      </c>
      <c r="Y29">
        <f>IF(AND(U29&gt;0,W29&gt;0),8,IF(U29&gt;0,1,IF(W29&gt;0,INDEX(R_StCode,X29),0)))</f>
        <v>0</v>
      </c>
      <c r="Z29">
        <f>COUNTIFS(R_Emp,"Malcolm",R_Cnt,1,R_SN,"&lt;"&amp;((INT(E$7)*1440+840)+30),R_EN,"&gt;"&amp;(INT(E$7)*1440+840))</f>
        <v>0</v>
      </c>
      <c r="AA29">
        <f>IF(Z29&gt;0,_xlfn.MINIFS(R_ID,R_Emp,"Malcolm",R_Cnt,1,R_SN,"&lt;"&amp;((INT(E$7)*1440+840)+30),R_EN,"&gt;"&amp;(INT(E$7)*1440+840)),0)</f>
        <v>0</v>
      </c>
      <c r="AB29">
        <f>COUNTIFS(R_Emp,"proMX",R_Cnt,1,R_SN,"&lt;"&amp;((INT(E$7)*1440+840)+30),R_EN,"&gt;"&amp;(INT(E$7)*1440+840))</f>
        <v>0</v>
      </c>
      <c r="AC29">
        <f>IF(AB29&gt;0,_xlfn.MINIFS(R_ID,R_Emp,"proMX",R_Cnt,1,R_SN,"&lt;"&amp;((INT(E$7)*1440+840)+30),R_EN,"&gt;"&amp;(INT(E$7)*1440+840)),0)</f>
        <v>0</v>
      </c>
      <c r="AD29">
        <f>IF(AND(Z29&gt;0,AB29&gt;0),8,IF(Z29&gt;0,1,IF(AB29&gt;0,INDEX(R_StCode,AC29),0)))</f>
        <v>0</v>
      </c>
      <c r="AE29">
        <f>COUNTIFS(R_Emp,"Malcolm",R_Cnt,1,R_SN,"&lt;"&amp;((INT(F$7)*1440+840)+30),R_EN,"&gt;"&amp;(INT(F$7)*1440+840))</f>
        <v>0</v>
      </c>
      <c r="AF29">
        <f>IF(AE29&gt;0,_xlfn.MINIFS(R_ID,R_Emp,"Malcolm",R_Cnt,1,R_SN,"&lt;"&amp;((INT(F$7)*1440+840)+30),R_EN,"&gt;"&amp;(INT(F$7)*1440+840)),0)</f>
        <v>0</v>
      </c>
      <c r="AG29">
        <f>COUNTIFS(R_Emp,"proMX",R_Cnt,1,R_SN,"&lt;"&amp;((INT(F$7)*1440+840)+30),R_EN,"&gt;"&amp;(INT(F$7)*1440+840))</f>
        <v>0</v>
      </c>
      <c r="AH29">
        <f>IF(AG29&gt;0,_xlfn.MINIFS(R_ID,R_Emp,"proMX",R_Cnt,1,R_SN,"&lt;"&amp;((INT(F$7)*1440+840)+30),R_EN,"&gt;"&amp;(INT(F$7)*1440+840)),0)</f>
        <v>0</v>
      </c>
      <c r="AI29">
        <f>IF(AND(AE29&gt;0,AG29&gt;0),8,IF(AE29&gt;0,1,IF(AG29&gt;0,INDEX(R_StCode,AH29),0)))</f>
        <v>0</v>
      </c>
      <c r="AJ29">
        <f>COUNTIFS(R_Emp,"Malcolm",R_Cnt,1,R_SN,"&lt;"&amp;((INT(G$7)*1440+840)+30),R_EN,"&gt;"&amp;(INT(G$7)*1440+840))</f>
        <v>0</v>
      </c>
      <c r="AK29">
        <f>IF(AJ29&gt;0,_xlfn.MINIFS(R_ID,R_Emp,"Malcolm",R_Cnt,1,R_SN,"&lt;"&amp;((INT(G$7)*1440+840)+30),R_EN,"&gt;"&amp;(INT(G$7)*1440+840)),0)</f>
        <v>0</v>
      </c>
      <c r="AL29">
        <f>COUNTIFS(R_Emp,"proMX",R_Cnt,1,R_SN,"&lt;"&amp;((INT(G$7)*1440+840)+30),R_EN,"&gt;"&amp;(INT(G$7)*1440+840))</f>
        <v>0</v>
      </c>
      <c r="AM29">
        <f>IF(AL29&gt;0,_xlfn.MINIFS(R_ID,R_Emp,"proMX",R_Cnt,1,R_SN,"&lt;"&amp;((INT(G$7)*1440+840)+30),R_EN,"&gt;"&amp;(INT(G$7)*1440+840)),0)</f>
        <v>0</v>
      </c>
      <c r="AN29">
        <f>IF(AND(AJ29&gt;0,AL29&gt;0),8,IF(AJ29&gt;0,1,IF(AL29&gt;0,INDEX(R_StCode,AM29),0)))</f>
        <v>0</v>
      </c>
      <c r="AO29">
        <f>COUNTIFS(R_Emp,"Malcolm",R_Cnt,1,R_SN,"&lt;"&amp;((INT(H$7)*1440+840)+30),R_EN,"&gt;"&amp;(INT(H$7)*1440+840))</f>
        <v>0</v>
      </c>
      <c r="AP29">
        <f>IF(AO29&gt;0,_xlfn.MINIFS(R_ID,R_Emp,"Malcolm",R_Cnt,1,R_SN,"&lt;"&amp;((INT(H$7)*1440+840)+30),R_EN,"&gt;"&amp;(INT(H$7)*1440+840)),0)</f>
        <v>0</v>
      </c>
      <c r="AQ29">
        <f>COUNTIFS(R_Emp,"proMX",R_Cnt,1,R_SN,"&lt;"&amp;((INT(H$7)*1440+840)+30),R_EN,"&gt;"&amp;(INT(H$7)*1440+840))</f>
        <v>0</v>
      </c>
      <c r="AR29">
        <f>IF(AQ29&gt;0,_xlfn.MINIFS(R_ID,R_Emp,"proMX",R_Cnt,1,R_SN,"&lt;"&amp;((INT(H$7)*1440+840)+30),R_EN,"&gt;"&amp;(INT(H$7)*1440+840)),0)</f>
        <v>0</v>
      </c>
      <c r="AS29">
        <f>IF(AND(AO29&gt;0,AQ29&gt;0),8,IF(AO29&gt;0,1,IF(AQ29&gt;0,INDEX(R_StCode,AR29),0)))</f>
        <v>0</v>
      </c>
    </row>
    <row r="30" ht="20" customHeight="1">
      <c r="A30" s="101" t="n">
        <v>0.6041666666666666</v>
      </c>
      <c r="B30" s="103" t="str">
        <f>IF(O30=0,"",IF(O30=8,"⚠ Malcolm + proMX",IF(O30=1,IF(K30&gt;1,"Malcolm ("&amp;K30&amp;" tareas)",IF(OR(FALSE,INDEX(R_SN,L30)&gt;=(INT(B$7)*1440+870)),"Malcolm · "&amp;INDEX(R_Label,L30)&amp;" ("&amp;TEXT(INDEX(R_Ini,L30),"hh:mm")&amp;"–"&amp;TEXT(INDEX(R_Fin,L30),"hh:mm")&amp;")","")),IF(OR(FALSE,INDEX(R_SN,N30)&gt;=(INT(B$7)*1440+870)),"proMX · "&amp;INDEX(R_Label,N30)&amp;" · "&amp;INDEX(R_St,N30),""))))</f>
        <v/>
      </c>
      <c r="C30" s="103" t="str">
        <f>IF(T30=0,"",IF(T30=8,"⚠ Malcolm + proMX",IF(T30=1,IF(P30&gt;1,"Malcolm ("&amp;P30&amp;" tareas)",IF(OR(FALSE,INDEX(R_SN,Q30)&gt;=(INT(C$7)*1440+870)),"Malcolm · "&amp;INDEX(R_Label,Q30)&amp;" ("&amp;TEXT(INDEX(R_Ini,Q30),"hh:mm")&amp;"–"&amp;TEXT(INDEX(R_Fin,Q30),"hh:mm")&amp;")","")),IF(OR(FALSE,INDEX(R_SN,S30)&gt;=(INT(C$7)*1440+870)),"proMX · "&amp;INDEX(R_Label,S30)&amp;" · "&amp;INDEX(R_St,S30),""))))</f>
        <v/>
      </c>
      <c r="D30" s="103" t="str">
        <f>IF(Y30=0,"",IF(Y30=8,"⚠ Malcolm + proMX",IF(Y30=1,IF(U30&gt;1,"Malcolm ("&amp;U30&amp;" tareas)",IF(OR(FALSE,INDEX(R_SN,V30)&gt;=(INT(D$7)*1440+870)),"Malcolm · "&amp;INDEX(R_Label,V30)&amp;" ("&amp;TEXT(INDEX(R_Ini,V30),"hh:mm")&amp;"–"&amp;TEXT(INDEX(R_Fin,V30),"hh:mm")&amp;")","")),IF(OR(FALSE,INDEX(R_SN,X30)&gt;=(INT(D$7)*1440+870)),"proMX · "&amp;INDEX(R_Label,X30)&amp;" · "&amp;INDEX(R_St,X30),""))))</f>
        <v/>
      </c>
      <c r="E30" s="103" t="str">
        <f>IF(AD30=0,"",IF(AD30=8,"⚠ Malcolm + proMX",IF(AD30=1,IF(Z30&gt;1,"Malcolm ("&amp;Z30&amp;" tareas)",IF(OR(FALSE,INDEX(R_SN,AA30)&gt;=(INT(E$7)*1440+870)),"Malcolm · "&amp;INDEX(R_Label,AA30)&amp;" ("&amp;TEXT(INDEX(R_Ini,AA30),"hh:mm")&amp;"–"&amp;TEXT(INDEX(R_Fin,AA30),"hh:mm")&amp;")","")),IF(OR(FALSE,INDEX(R_SN,AC30)&gt;=(INT(E$7)*1440+870)),"proMX · "&amp;INDEX(R_Label,AC30)&amp;" · "&amp;INDEX(R_St,AC30),""))))</f>
        <v/>
      </c>
      <c r="F30" s="103" t="str">
        <f>IF(AI30=0,"",IF(AI30=8,"⚠ Malcolm + proMX",IF(AI30=1,IF(AE30&gt;1,"Malcolm ("&amp;AE30&amp;" tareas)",IF(OR(FALSE,INDEX(R_SN,AF30)&gt;=(INT(F$7)*1440+870)),"Malcolm · "&amp;INDEX(R_Label,AF30)&amp;" ("&amp;TEXT(INDEX(R_Ini,AF30),"hh:mm")&amp;"–"&amp;TEXT(INDEX(R_Fin,AF30),"hh:mm")&amp;")","")),IF(OR(FALSE,INDEX(R_SN,AH30)&gt;=(INT(F$7)*1440+870)),"proMX · "&amp;INDEX(R_Label,AH30)&amp;" · "&amp;INDEX(R_St,AH30),""))))</f>
        <v/>
      </c>
      <c r="G30" s="103" t="str">
        <f>IF(AN30=0,"",IF(AN30=8,"⚠ Malcolm + proMX",IF(AN30=1,IF(AJ30&gt;1,"Malcolm ("&amp;AJ30&amp;" tareas)",IF(OR(FALSE,INDEX(R_SN,AK30)&gt;=(INT(G$7)*1440+870)),"Malcolm · "&amp;INDEX(R_Label,AK30)&amp;" ("&amp;TEXT(INDEX(R_Ini,AK30),"hh:mm")&amp;"–"&amp;TEXT(INDEX(R_Fin,AK30),"hh:mm")&amp;")","")),IF(OR(FALSE,INDEX(R_SN,AM30)&gt;=(INT(G$7)*1440+870)),"proMX · "&amp;INDEX(R_Label,AM30)&amp;" · "&amp;INDEX(R_St,AM30),""))))</f>
        <v/>
      </c>
      <c r="H30" s="103" t="str">
        <f>IF(AS30=0,"",IF(AS30=8,"⚠ Malcolm + proMX",IF(AS30=1,IF(AO30&gt;1,"Malcolm ("&amp;AO30&amp;" tareas)",IF(OR(FALSE,INDEX(R_SN,AP30)&gt;=(INT(H$7)*1440+870)),"Malcolm · "&amp;INDEX(R_Label,AP30)&amp;" ("&amp;TEXT(INDEX(R_Ini,AP30),"hh:mm")&amp;"–"&amp;TEXT(INDEX(R_Fin,AP30),"hh:mm")&amp;")","")),IF(OR(FALSE,INDEX(R_SN,AR30)&gt;=(INT(H$7)*1440+870)),"proMX · "&amp;INDEX(R_Label,AR30)&amp;" · "&amp;INDEX(R_St,AR30),""))))</f>
        <v/>
      </c>
      <c r="K30">
        <f>COUNTIFS(R_Emp,"Malcolm",R_Cnt,1,R_SN,"&lt;"&amp;((INT(B$7)*1440+870)+30),R_EN,"&gt;"&amp;(INT(B$7)*1440+870))</f>
        <v>0</v>
      </c>
      <c r="L30">
        <f>IF(K30&gt;0,_xlfn.MINIFS(R_ID,R_Emp,"Malcolm",R_Cnt,1,R_SN,"&lt;"&amp;((INT(B$7)*1440+870)+30),R_EN,"&gt;"&amp;(INT(B$7)*1440+870)),0)</f>
        <v>0</v>
      </c>
      <c r="M30">
        <f>COUNTIFS(R_Emp,"proMX",R_Cnt,1,R_SN,"&lt;"&amp;((INT(B$7)*1440+870)+30),R_EN,"&gt;"&amp;(INT(B$7)*1440+870))</f>
        <v>0</v>
      </c>
      <c r="N30">
        <f>IF(M30&gt;0,_xlfn.MINIFS(R_ID,R_Emp,"proMX",R_Cnt,1,R_SN,"&lt;"&amp;((INT(B$7)*1440+870)+30),R_EN,"&gt;"&amp;(INT(B$7)*1440+870)),0)</f>
        <v>0</v>
      </c>
      <c r="O30">
        <f>IF(AND(K30&gt;0,M30&gt;0),8,IF(K30&gt;0,1,IF(M30&gt;0,INDEX(R_StCode,N30),0)))</f>
        <v>0</v>
      </c>
      <c r="P30">
        <f>COUNTIFS(R_Emp,"Malcolm",R_Cnt,1,R_SN,"&lt;"&amp;((INT(C$7)*1440+870)+30),R_EN,"&gt;"&amp;(INT(C$7)*1440+870))</f>
        <v>0</v>
      </c>
      <c r="Q30">
        <f>IF(P30&gt;0,_xlfn.MINIFS(R_ID,R_Emp,"Malcolm",R_Cnt,1,R_SN,"&lt;"&amp;((INT(C$7)*1440+870)+30),R_EN,"&gt;"&amp;(INT(C$7)*1440+870)),0)</f>
        <v>0</v>
      </c>
      <c r="R30">
        <f>COUNTIFS(R_Emp,"proMX",R_Cnt,1,R_SN,"&lt;"&amp;((INT(C$7)*1440+870)+30),R_EN,"&gt;"&amp;(INT(C$7)*1440+870))</f>
        <v>0</v>
      </c>
      <c r="S30">
        <f>IF(R30&gt;0,_xlfn.MINIFS(R_ID,R_Emp,"proMX",R_Cnt,1,R_SN,"&lt;"&amp;((INT(C$7)*1440+870)+30),R_EN,"&gt;"&amp;(INT(C$7)*1440+870)),0)</f>
        <v>0</v>
      </c>
      <c r="T30">
        <f>IF(AND(P30&gt;0,R30&gt;0),8,IF(P30&gt;0,1,IF(R30&gt;0,INDEX(R_StCode,S30),0)))</f>
        <v>0</v>
      </c>
      <c r="U30">
        <f>COUNTIFS(R_Emp,"Malcolm",R_Cnt,1,R_SN,"&lt;"&amp;((INT(D$7)*1440+870)+30),R_EN,"&gt;"&amp;(INT(D$7)*1440+870))</f>
        <v>0</v>
      </c>
      <c r="V30">
        <f>IF(U30&gt;0,_xlfn.MINIFS(R_ID,R_Emp,"Malcolm",R_Cnt,1,R_SN,"&lt;"&amp;((INT(D$7)*1440+870)+30),R_EN,"&gt;"&amp;(INT(D$7)*1440+870)),0)</f>
        <v>0</v>
      </c>
      <c r="W30">
        <f>COUNTIFS(R_Emp,"proMX",R_Cnt,1,R_SN,"&lt;"&amp;((INT(D$7)*1440+870)+30),R_EN,"&gt;"&amp;(INT(D$7)*1440+870))</f>
        <v>0</v>
      </c>
      <c r="X30">
        <f>IF(W30&gt;0,_xlfn.MINIFS(R_ID,R_Emp,"proMX",R_Cnt,1,R_SN,"&lt;"&amp;((INT(D$7)*1440+870)+30),R_EN,"&gt;"&amp;(INT(D$7)*1440+870)),0)</f>
        <v>0</v>
      </c>
      <c r="Y30">
        <f>IF(AND(U30&gt;0,W30&gt;0),8,IF(U30&gt;0,1,IF(W30&gt;0,INDEX(R_StCode,X30),0)))</f>
        <v>0</v>
      </c>
      <c r="Z30">
        <f>COUNTIFS(R_Emp,"Malcolm",R_Cnt,1,R_SN,"&lt;"&amp;((INT(E$7)*1440+870)+30),R_EN,"&gt;"&amp;(INT(E$7)*1440+870))</f>
        <v>0</v>
      </c>
      <c r="AA30">
        <f>IF(Z30&gt;0,_xlfn.MINIFS(R_ID,R_Emp,"Malcolm",R_Cnt,1,R_SN,"&lt;"&amp;((INT(E$7)*1440+870)+30),R_EN,"&gt;"&amp;(INT(E$7)*1440+870)),0)</f>
        <v>0</v>
      </c>
      <c r="AB30">
        <f>COUNTIFS(R_Emp,"proMX",R_Cnt,1,R_SN,"&lt;"&amp;((INT(E$7)*1440+870)+30),R_EN,"&gt;"&amp;(INT(E$7)*1440+870))</f>
        <v>0</v>
      </c>
      <c r="AC30">
        <f>IF(AB30&gt;0,_xlfn.MINIFS(R_ID,R_Emp,"proMX",R_Cnt,1,R_SN,"&lt;"&amp;((INT(E$7)*1440+870)+30),R_EN,"&gt;"&amp;(INT(E$7)*1440+870)),0)</f>
        <v>0</v>
      </c>
      <c r="AD30">
        <f>IF(AND(Z30&gt;0,AB30&gt;0),8,IF(Z30&gt;0,1,IF(AB30&gt;0,INDEX(R_StCode,AC30),0)))</f>
        <v>0</v>
      </c>
      <c r="AE30">
        <f>COUNTIFS(R_Emp,"Malcolm",R_Cnt,1,R_SN,"&lt;"&amp;((INT(F$7)*1440+870)+30),R_EN,"&gt;"&amp;(INT(F$7)*1440+870))</f>
        <v>0</v>
      </c>
      <c r="AF30">
        <f>IF(AE30&gt;0,_xlfn.MINIFS(R_ID,R_Emp,"Malcolm",R_Cnt,1,R_SN,"&lt;"&amp;((INT(F$7)*1440+870)+30),R_EN,"&gt;"&amp;(INT(F$7)*1440+870)),0)</f>
        <v>0</v>
      </c>
      <c r="AG30">
        <f>COUNTIFS(R_Emp,"proMX",R_Cnt,1,R_SN,"&lt;"&amp;((INT(F$7)*1440+870)+30),R_EN,"&gt;"&amp;(INT(F$7)*1440+870))</f>
        <v>0</v>
      </c>
      <c r="AH30">
        <f>IF(AG30&gt;0,_xlfn.MINIFS(R_ID,R_Emp,"proMX",R_Cnt,1,R_SN,"&lt;"&amp;((INT(F$7)*1440+870)+30),R_EN,"&gt;"&amp;(INT(F$7)*1440+870)),0)</f>
        <v>0</v>
      </c>
      <c r="AI30">
        <f>IF(AND(AE30&gt;0,AG30&gt;0),8,IF(AE30&gt;0,1,IF(AG30&gt;0,INDEX(R_StCode,AH30),0)))</f>
        <v>0</v>
      </c>
      <c r="AJ30">
        <f>COUNTIFS(R_Emp,"Malcolm",R_Cnt,1,R_SN,"&lt;"&amp;((INT(G$7)*1440+870)+30),R_EN,"&gt;"&amp;(INT(G$7)*1440+870))</f>
        <v>0</v>
      </c>
      <c r="AK30">
        <f>IF(AJ30&gt;0,_xlfn.MINIFS(R_ID,R_Emp,"Malcolm",R_Cnt,1,R_SN,"&lt;"&amp;((INT(G$7)*1440+870)+30),R_EN,"&gt;"&amp;(INT(G$7)*1440+870)),0)</f>
        <v>0</v>
      </c>
      <c r="AL30">
        <f>COUNTIFS(R_Emp,"proMX",R_Cnt,1,R_SN,"&lt;"&amp;((INT(G$7)*1440+870)+30),R_EN,"&gt;"&amp;(INT(G$7)*1440+870))</f>
        <v>0</v>
      </c>
      <c r="AM30">
        <f>IF(AL30&gt;0,_xlfn.MINIFS(R_ID,R_Emp,"proMX",R_Cnt,1,R_SN,"&lt;"&amp;((INT(G$7)*1440+870)+30),R_EN,"&gt;"&amp;(INT(G$7)*1440+870)),0)</f>
        <v>0</v>
      </c>
      <c r="AN30">
        <f>IF(AND(AJ30&gt;0,AL30&gt;0),8,IF(AJ30&gt;0,1,IF(AL30&gt;0,INDEX(R_StCode,AM30),0)))</f>
        <v>0</v>
      </c>
      <c r="AO30">
        <f>COUNTIFS(R_Emp,"Malcolm",R_Cnt,1,R_SN,"&lt;"&amp;((INT(H$7)*1440+870)+30),R_EN,"&gt;"&amp;(INT(H$7)*1440+870))</f>
        <v>0</v>
      </c>
      <c r="AP30">
        <f>IF(AO30&gt;0,_xlfn.MINIFS(R_ID,R_Emp,"Malcolm",R_Cnt,1,R_SN,"&lt;"&amp;((INT(H$7)*1440+870)+30),R_EN,"&gt;"&amp;(INT(H$7)*1440+870)),0)</f>
        <v>0</v>
      </c>
      <c r="AQ30">
        <f>COUNTIFS(R_Emp,"proMX",R_Cnt,1,R_SN,"&lt;"&amp;((INT(H$7)*1440+870)+30),R_EN,"&gt;"&amp;(INT(H$7)*1440+870))</f>
        <v>0</v>
      </c>
      <c r="AR30">
        <f>IF(AQ30&gt;0,_xlfn.MINIFS(R_ID,R_Emp,"proMX",R_Cnt,1,R_SN,"&lt;"&amp;((INT(H$7)*1440+870)+30),R_EN,"&gt;"&amp;(INT(H$7)*1440+870)),0)</f>
        <v>0</v>
      </c>
      <c r="AS30">
        <f>IF(AND(AO30&gt;0,AQ30&gt;0),8,IF(AO30&gt;0,1,IF(AQ30&gt;0,INDEX(R_StCode,AR30),0)))</f>
        <v>0</v>
      </c>
    </row>
    <row r="31" ht="20" customHeight="1">
      <c r="A31" s="101" t="n">
        <v>0.625</v>
      </c>
      <c r="B31" s="103" t="str">
        <f>IF(O31=0,"",IF(O31=8,"⚠ Malcolm + proMX",IF(O31=1,IF(K31&gt;1,"Malcolm ("&amp;K31&amp;" tareas)",IF(OR(FALSE,INDEX(R_SN,L31)&gt;=(INT(B$7)*1440+900)),"Malcolm · "&amp;INDEX(R_Label,L31)&amp;" ("&amp;TEXT(INDEX(R_Ini,L31),"hh:mm")&amp;"–"&amp;TEXT(INDEX(R_Fin,L31),"hh:mm")&amp;")","")),IF(OR(FALSE,INDEX(R_SN,N31)&gt;=(INT(B$7)*1440+900)),"proMX · "&amp;INDEX(R_Label,N31)&amp;" · "&amp;INDEX(R_St,N31),""))))</f>
        <v/>
      </c>
      <c r="C31" s="103" t="str">
        <f>IF(T31=0,"",IF(T31=8,"⚠ Malcolm + proMX",IF(T31=1,IF(P31&gt;1,"Malcolm ("&amp;P31&amp;" tareas)",IF(OR(FALSE,INDEX(R_SN,Q31)&gt;=(INT(C$7)*1440+900)),"Malcolm · "&amp;INDEX(R_Label,Q31)&amp;" ("&amp;TEXT(INDEX(R_Ini,Q31),"hh:mm")&amp;"–"&amp;TEXT(INDEX(R_Fin,Q31),"hh:mm")&amp;")","")),IF(OR(FALSE,INDEX(R_SN,S31)&gt;=(INT(C$7)*1440+900)),"proMX · "&amp;INDEX(R_Label,S31)&amp;" · "&amp;INDEX(R_St,S31),""))))</f>
        <v/>
      </c>
      <c r="D31" s="103" t="str">
        <f>IF(Y31=0,"",IF(Y31=8,"⚠ Malcolm + proMX",IF(Y31=1,IF(U31&gt;1,"Malcolm ("&amp;U31&amp;" tareas)",IF(OR(FALSE,INDEX(R_SN,V31)&gt;=(INT(D$7)*1440+900)),"Malcolm · "&amp;INDEX(R_Label,V31)&amp;" ("&amp;TEXT(INDEX(R_Ini,V31),"hh:mm")&amp;"–"&amp;TEXT(INDEX(R_Fin,V31),"hh:mm")&amp;")","")),IF(OR(FALSE,INDEX(R_SN,X31)&gt;=(INT(D$7)*1440+900)),"proMX · "&amp;INDEX(R_Label,X31)&amp;" · "&amp;INDEX(R_St,X31),""))))</f>
        <v/>
      </c>
      <c r="E31" s="103" t="str">
        <f>IF(AD31=0,"",IF(AD31=8,"⚠ Malcolm + proMX",IF(AD31=1,IF(Z31&gt;1,"Malcolm ("&amp;Z31&amp;" tareas)",IF(OR(FALSE,INDEX(R_SN,AA31)&gt;=(INT(E$7)*1440+900)),"Malcolm · "&amp;INDEX(R_Label,AA31)&amp;" ("&amp;TEXT(INDEX(R_Ini,AA31),"hh:mm")&amp;"–"&amp;TEXT(INDEX(R_Fin,AA31),"hh:mm")&amp;")","")),IF(OR(FALSE,INDEX(R_SN,AC31)&gt;=(INT(E$7)*1440+900)),"proMX · "&amp;INDEX(R_Label,AC31)&amp;" · "&amp;INDEX(R_St,AC31),""))))</f>
        <v/>
      </c>
      <c r="F31" s="103" t="str">
        <f>IF(AI31=0,"",IF(AI31=8,"⚠ Malcolm + proMX",IF(AI31=1,IF(AE31&gt;1,"Malcolm ("&amp;AE31&amp;" tareas)",IF(OR(FALSE,INDEX(R_SN,AF31)&gt;=(INT(F$7)*1440+900)),"Malcolm · "&amp;INDEX(R_Label,AF31)&amp;" ("&amp;TEXT(INDEX(R_Ini,AF31),"hh:mm")&amp;"–"&amp;TEXT(INDEX(R_Fin,AF31),"hh:mm")&amp;")","")),IF(OR(FALSE,INDEX(R_SN,AH31)&gt;=(INT(F$7)*1440+900)),"proMX · "&amp;INDEX(R_Label,AH31)&amp;" · "&amp;INDEX(R_St,AH31),""))))</f>
        <v/>
      </c>
      <c r="G31" s="103" t="str">
        <f>IF(AN31=0,"",IF(AN31=8,"⚠ Malcolm + proMX",IF(AN31=1,IF(AJ31&gt;1,"Malcolm ("&amp;AJ31&amp;" tareas)",IF(OR(FALSE,INDEX(R_SN,AK31)&gt;=(INT(G$7)*1440+900)),"Malcolm · "&amp;INDEX(R_Label,AK31)&amp;" ("&amp;TEXT(INDEX(R_Ini,AK31),"hh:mm")&amp;"–"&amp;TEXT(INDEX(R_Fin,AK31),"hh:mm")&amp;")","")),IF(OR(FALSE,INDEX(R_SN,AM31)&gt;=(INT(G$7)*1440+900)),"proMX · "&amp;INDEX(R_Label,AM31)&amp;" · "&amp;INDEX(R_St,AM31),""))))</f>
        <v/>
      </c>
      <c r="H31" s="103" t="str">
        <f>IF(AS31=0,"",IF(AS31=8,"⚠ Malcolm + proMX",IF(AS31=1,IF(AO31&gt;1,"Malcolm ("&amp;AO31&amp;" tareas)",IF(OR(FALSE,INDEX(R_SN,AP31)&gt;=(INT(H$7)*1440+900)),"Malcolm · "&amp;INDEX(R_Label,AP31)&amp;" ("&amp;TEXT(INDEX(R_Ini,AP31),"hh:mm")&amp;"–"&amp;TEXT(INDEX(R_Fin,AP31),"hh:mm")&amp;")","")),IF(OR(FALSE,INDEX(R_SN,AR31)&gt;=(INT(H$7)*1440+900)),"proMX · "&amp;INDEX(R_Label,AR31)&amp;" · "&amp;INDEX(R_St,AR31),""))))</f>
        <v/>
      </c>
      <c r="K31">
        <f>COUNTIFS(R_Emp,"Malcolm",R_Cnt,1,R_SN,"&lt;"&amp;((INT(B$7)*1440+900)+30),R_EN,"&gt;"&amp;(INT(B$7)*1440+900))</f>
        <v>0</v>
      </c>
      <c r="L31">
        <f>IF(K31&gt;0,_xlfn.MINIFS(R_ID,R_Emp,"Malcolm",R_Cnt,1,R_SN,"&lt;"&amp;((INT(B$7)*1440+900)+30),R_EN,"&gt;"&amp;(INT(B$7)*1440+900)),0)</f>
        <v>0</v>
      </c>
      <c r="M31">
        <f>COUNTIFS(R_Emp,"proMX",R_Cnt,1,R_SN,"&lt;"&amp;((INT(B$7)*1440+900)+30),R_EN,"&gt;"&amp;(INT(B$7)*1440+900))</f>
        <v>0</v>
      </c>
      <c r="N31">
        <f>IF(M31&gt;0,_xlfn.MINIFS(R_ID,R_Emp,"proMX",R_Cnt,1,R_SN,"&lt;"&amp;((INT(B$7)*1440+900)+30),R_EN,"&gt;"&amp;(INT(B$7)*1440+900)),0)</f>
        <v>0</v>
      </c>
      <c r="O31">
        <f>IF(AND(K31&gt;0,M31&gt;0),8,IF(K31&gt;0,1,IF(M31&gt;0,INDEX(R_StCode,N31),0)))</f>
        <v>0</v>
      </c>
      <c r="P31">
        <f>COUNTIFS(R_Emp,"Malcolm",R_Cnt,1,R_SN,"&lt;"&amp;((INT(C$7)*1440+900)+30),R_EN,"&gt;"&amp;(INT(C$7)*1440+900))</f>
        <v>0</v>
      </c>
      <c r="Q31">
        <f>IF(P31&gt;0,_xlfn.MINIFS(R_ID,R_Emp,"Malcolm",R_Cnt,1,R_SN,"&lt;"&amp;((INT(C$7)*1440+900)+30),R_EN,"&gt;"&amp;(INT(C$7)*1440+900)),0)</f>
        <v>0</v>
      </c>
      <c r="R31">
        <f>COUNTIFS(R_Emp,"proMX",R_Cnt,1,R_SN,"&lt;"&amp;((INT(C$7)*1440+900)+30),R_EN,"&gt;"&amp;(INT(C$7)*1440+900))</f>
        <v>0</v>
      </c>
      <c r="S31">
        <f>IF(R31&gt;0,_xlfn.MINIFS(R_ID,R_Emp,"proMX",R_Cnt,1,R_SN,"&lt;"&amp;((INT(C$7)*1440+900)+30),R_EN,"&gt;"&amp;(INT(C$7)*1440+900)),0)</f>
        <v>0</v>
      </c>
      <c r="T31">
        <f>IF(AND(P31&gt;0,R31&gt;0),8,IF(P31&gt;0,1,IF(R31&gt;0,INDEX(R_StCode,S31),0)))</f>
        <v>0</v>
      </c>
      <c r="U31">
        <f>COUNTIFS(R_Emp,"Malcolm",R_Cnt,1,R_SN,"&lt;"&amp;((INT(D$7)*1440+900)+30),R_EN,"&gt;"&amp;(INT(D$7)*1440+900))</f>
        <v>0</v>
      </c>
      <c r="V31">
        <f>IF(U31&gt;0,_xlfn.MINIFS(R_ID,R_Emp,"Malcolm",R_Cnt,1,R_SN,"&lt;"&amp;((INT(D$7)*1440+900)+30),R_EN,"&gt;"&amp;(INT(D$7)*1440+900)),0)</f>
        <v>0</v>
      </c>
      <c r="W31">
        <f>COUNTIFS(R_Emp,"proMX",R_Cnt,1,R_SN,"&lt;"&amp;((INT(D$7)*1440+900)+30),R_EN,"&gt;"&amp;(INT(D$7)*1440+900))</f>
        <v>0</v>
      </c>
      <c r="X31">
        <f>IF(W31&gt;0,_xlfn.MINIFS(R_ID,R_Emp,"proMX",R_Cnt,1,R_SN,"&lt;"&amp;((INT(D$7)*1440+900)+30),R_EN,"&gt;"&amp;(INT(D$7)*1440+900)),0)</f>
        <v>0</v>
      </c>
      <c r="Y31">
        <f>IF(AND(U31&gt;0,W31&gt;0),8,IF(U31&gt;0,1,IF(W31&gt;0,INDEX(R_StCode,X31),0)))</f>
        <v>0</v>
      </c>
      <c r="Z31">
        <f>COUNTIFS(R_Emp,"Malcolm",R_Cnt,1,R_SN,"&lt;"&amp;((INT(E$7)*1440+900)+30),R_EN,"&gt;"&amp;(INT(E$7)*1440+900))</f>
        <v>0</v>
      </c>
      <c r="AA31">
        <f>IF(Z31&gt;0,_xlfn.MINIFS(R_ID,R_Emp,"Malcolm",R_Cnt,1,R_SN,"&lt;"&amp;((INT(E$7)*1440+900)+30),R_EN,"&gt;"&amp;(INT(E$7)*1440+900)),0)</f>
        <v>0</v>
      </c>
      <c r="AB31">
        <f>COUNTIFS(R_Emp,"proMX",R_Cnt,1,R_SN,"&lt;"&amp;((INT(E$7)*1440+900)+30),R_EN,"&gt;"&amp;(INT(E$7)*1440+900))</f>
        <v>0</v>
      </c>
      <c r="AC31">
        <f>IF(AB31&gt;0,_xlfn.MINIFS(R_ID,R_Emp,"proMX",R_Cnt,1,R_SN,"&lt;"&amp;((INT(E$7)*1440+900)+30),R_EN,"&gt;"&amp;(INT(E$7)*1440+900)),0)</f>
        <v>0</v>
      </c>
      <c r="AD31">
        <f>IF(AND(Z31&gt;0,AB31&gt;0),8,IF(Z31&gt;0,1,IF(AB31&gt;0,INDEX(R_StCode,AC31),0)))</f>
        <v>0</v>
      </c>
      <c r="AE31">
        <f>COUNTIFS(R_Emp,"Malcolm",R_Cnt,1,R_SN,"&lt;"&amp;((INT(F$7)*1440+900)+30),R_EN,"&gt;"&amp;(INT(F$7)*1440+900))</f>
        <v>0</v>
      </c>
      <c r="AF31">
        <f>IF(AE31&gt;0,_xlfn.MINIFS(R_ID,R_Emp,"Malcolm",R_Cnt,1,R_SN,"&lt;"&amp;((INT(F$7)*1440+900)+30),R_EN,"&gt;"&amp;(INT(F$7)*1440+900)),0)</f>
        <v>0</v>
      </c>
      <c r="AG31">
        <f>COUNTIFS(R_Emp,"proMX",R_Cnt,1,R_SN,"&lt;"&amp;((INT(F$7)*1440+900)+30),R_EN,"&gt;"&amp;(INT(F$7)*1440+900))</f>
        <v>0</v>
      </c>
      <c r="AH31">
        <f>IF(AG31&gt;0,_xlfn.MINIFS(R_ID,R_Emp,"proMX",R_Cnt,1,R_SN,"&lt;"&amp;((INT(F$7)*1440+900)+30),R_EN,"&gt;"&amp;(INT(F$7)*1440+900)),0)</f>
        <v>0</v>
      </c>
      <c r="AI31">
        <f>IF(AND(AE31&gt;0,AG31&gt;0),8,IF(AE31&gt;0,1,IF(AG31&gt;0,INDEX(R_StCode,AH31),0)))</f>
        <v>0</v>
      </c>
      <c r="AJ31">
        <f>COUNTIFS(R_Emp,"Malcolm",R_Cnt,1,R_SN,"&lt;"&amp;((INT(G$7)*1440+900)+30),R_EN,"&gt;"&amp;(INT(G$7)*1440+900))</f>
        <v>0</v>
      </c>
      <c r="AK31">
        <f>IF(AJ31&gt;0,_xlfn.MINIFS(R_ID,R_Emp,"Malcolm",R_Cnt,1,R_SN,"&lt;"&amp;((INT(G$7)*1440+900)+30),R_EN,"&gt;"&amp;(INT(G$7)*1440+900)),0)</f>
        <v>0</v>
      </c>
      <c r="AL31">
        <f>COUNTIFS(R_Emp,"proMX",R_Cnt,1,R_SN,"&lt;"&amp;((INT(G$7)*1440+900)+30),R_EN,"&gt;"&amp;(INT(G$7)*1440+900))</f>
        <v>0</v>
      </c>
      <c r="AM31">
        <f>IF(AL31&gt;0,_xlfn.MINIFS(R_ID,R_Emp,"proMX",R_Cnt,1,R_SN,"&lt;"&amp;((INT(G$7)*1440+900)+30),R_EN,"&gt;"&amp;(INT(G$7)*1440+900)),0)</f>
        <v>0</v>
      </c>
      <c r="AN31">
        <f>IF(AND(AJ31&gt;0,AL31&gt;0),8,IF(AJ31&gt;0,1,IF(AL31&gt;0,INDEX(R_StCode,AM31),0)))</f>
        <v>0</v>
      </c>
      <c r="AO31">
        <f>COUNTIFS(R_Emp,"Malcolm",R_Cnt,1,R_SN,"&lt;"&amp;((INT(H$7)*1440+900)+30),R_EN,"&gt;"&amp;(INT(H$7)*1440+900))</f>
        <v>0</v>
      </c>
      <c r="AP31">
        <f>IF(AO31&gt;0,_xlfn.MINIFS(R_ID,R_Emp,"Malcolm",R_Cnt,1,R_SN,"&lt;"&amp;((INT(H$7)*1440+900)+30),R_EN,"&gt;"&amp;(INT(H$7)*1440+900)),0)</f>
        <v>0</v>
      </c>
      <c r="AQ31">
        <f>COUNTIFS(R_Emp,"proMX",R_Cnt,1,R_SN,"&lt;"&amp;((INT(H$7)*1440+900)+30),R_EN,"&gt;"&amp;(INT(H$7)*1440+900))</f>
        <v>0</v>
      </c>
      <c r="AR31">
        <f>IF(AQ31&gt;0,_xlfn.MINIFS(R_ID,R_Emp,"proMX",R_Cnt,1,R_SN,"&lt;"&amp;((INT(H$7)*1440+900)+30),R_EN,"&gt;"&amp;(INT(H$7)*1440+900)),0)</f>
        <v>0</v>
      </c>
      <c r="AS31">
        <f>IF(AND(AO31&gt;0,AQ31&gt;0),8,IF(AO31&gt;0,1,IF(AQ31&gt;0,INDEX(R_StCode,AR31),0)))</f>
        <v>0</v>
      </c>
    </row>
    <row r="32" ht="20" customHeight="1">
      <c r="A32" s="101" t="n">
        <v>0.6458333333333334</v>
      </c>
      <c r="B32" s="103" t="str">
        <f>IF(O32=0,"",IF(O32=8,"⚠ Malcolm + proMX",IF(O32=1,IF(K32&gt;1,"Malcolm ("&amp;K32&amp;" tareas)",IF(OR(FALSE,INDEX(R_SN,L32)&gt;=(INT(B$7)*1440+930)),"Malcolm · "&amp;INDEX(R_Label,L32)&amp;" ("&amp;TEXT(INDEX(R_Ini,L32),"hh:mm")&amp;"–"&amp;TEXT(INDEX(R_Fin,L32),"hh:mm")&amp;")","")),IF(OR(FALSE,INDEX(R_SN,N32)&gt;=(INT(B$7)*1440+930)),"proMX · "&amp;INDEX(R_Label,N32)&amp;" · "&amp;INDEX(R_St,N32),""))))</f>
        <v/>
      </c>
      <c r="C32" s="103" t="str">
        <f>IF(T32=0,"",IF(T32=8,"⚠ Malcolm + proMX",IF(T32=1,IF(P32&gt;1,"Malcolm ("&amp;P32&amp;" tareas)",IF(OR(FALSE,INDEX(R_SN,Q32)&gt;=(INT(C$7)*1440+930)),"Malcolm · "&amp;INDEX(R_Label,Q32)&amp;" ("&amp;TEXT(INDEX(R_Ini,Q32),"hh:mm")&amp;"–"&amp;TEXT(INDEX(R_Fin,Q32),"hh:mm")&amp;")","")),IF(OR(FALSE,INDEX(R_SN,S32)&gt;=(INT(C$7)*1440+930)),"proMX · "&amp;INDEX(R_Label,S32)&amp;" · "&amp;INDEX(R_St,S32),""))))</f>
        <v/>
      </c>
      <c r="D32" s="103" t="str">
        <f>IF(Y32=0,"",IF(Y32=8,"⚠ Malcolm + proMX",IF(Y32=1,IF(U32&gt;1,"Malcolm ("&amp;U32&amp;" tareas)",IF(OR(FALSE,INDEX(R_SN,V32)&gt;=(INT(D$7)*1440+930)),"Malcolm · "&amp;INDEX(R_Label,V32)&amp;" ("&amp;TEXT(INDEX(R_Ini,V32),"hh:mm")&amp;"–"&amp;TEXT(INDEX(R_Fin,V32),"hh:mm")&amp;")","")),IF(OR(FALSE,INDEX(R_SN,X32)&gt;=(INT(D$7)*1440+930)),"proMX · "&amp;INDEX(R_Label,X32)&amp;" · "&amp;INDEX(R_St,X32),""))))</f>
        <v/>
      </c>
      <c r="E32" s="103" t="str">
        <f>IF(AD32=0,"",IF(AD32=8,"⚠ Malcolm + proMX",IF(AD32=1,IF(Z32&gt;1,"Malcolm ("&amp;Z32&amp;" tareas)",IF(OR(FALSE,INDEX(R_SN,AA32)&gt;=(INT(E$7)*1440+930)),"Malcolm · "&amp;INDEX(R_Label,AA32)&amp;" ("&amp;TEXT(INDEX(R_Ini,AA32),"hh:mm")&amp;"–"&amp;TEXT(INDEX(R_Fin,AA32),"hh:mm")&amp;")","")),IF(OR(FALSE,INDEX(R_SN,AC32)&gt;=(INT(E$7)*1440+930)),"proMX · "&amp;INDEX(R_Label,AC32)&amp;" · "&amp;INDEX(R_St,AC32),""))))</f>
        <v/>
      </c>
      <c r="F32" s="103" t="str">
        <f>IF(AI32=0,"",IF(AI32=8,"⚠ Malcolm + proMX",IF(AI32=1,IF(AE32&gt;1,"Malcolm ("&amp;AE32&amp;" tareas)",IF(OR(FALSE,INDEX(R_SN,AF32)&gt;=(INT(F$7)*1440+930)),"Malcolm · "&amp;INDEX(R_Label,AF32)&amp;" ("&amp;TEXT(INDEX(R_Ini,AF32),"hh:mm")&amp;"–"&amp;TEXT(INDEX(R_Fin,AF32),"hh:mm")&amp;")","")),IF(OR(FALSE,INDEX(R_SN,AH32)&gt;=(INT(F$7)*1440+930)),"proMX · "&amp;INDEX(R_Label,AH32)&amp;" · "&amp;INDEX(R_St,AH32),""))))</f>
        <v/>
      </c>
      <c r="G32" s="103" t="str">
        <f>IF(AN32=0,"",IF(AN32=8,"⚠ Malcolm + proMX",IF(AN32=1,IF(AJ32&gt;1,"Malcolm ("&amp;AJ32&amp;" tareas)",IF(OR(FALSE,INDEX(R_SN,AK32)&gt;=(INT(G$7)*1440+930)),"Malcolm · "&amp;INDEX(R_Label,AK32)&amp;" ("&amp;TEXT(INDEX(R_Ini,AK32),"hh:mm")&amp;"–"&amp;TEXT(INDEX(R_Fin,AK32),"hh:mm")&amp;")","")),IF(OR(FALSE,INDEX(R_SN,AM32)&gt;=(INT(G$7)*1440+930)),"proMX · "&amp;INDEX(R_Label,AM32)&amp;" · "&amp;INDEX(R_St,AM32),""))))</f>
        <v/>
      </c>
      <c r="H32" s="103" t="str">
        <f>IF(AS32=0,"",IF(AS32=8,"⚠ Malcolm + proMX",IF(AS32=1,IF(AO32&gt;1,"Malcolm ("&amp;AO32&amp;" tareas)",IF(OR(FALSE,INDEX(R_SN,AP32)&gt;=(INT(H$7)*1440+930)),"Malcolm · "&amp;INDEX(R_Label,AP32)&amp;" ("&amp;TEXT(INDEX(R_Ini,AP32),"hh:mm")&amp;"–"&amp;TEXT(INDEX(R_Fin,AP32),"hh:mm")&amp;")","")),IF(OR(FALSE,INDEX(R_SN,AR32)&gt;=(INT(H$7)*1440+930)),"proMX · "&amp;INDEX(R_Label,AR32)&amp;" · "&amp;INDEX(R_St,AR32),""))))</f>
        <v/>
      </c>
      <c r="K32">
        <f>COUNTIFS(R_Emp,"Malcolm",R_Cnt,1,R_SN,"&lt;"&amp;((INT(B$7)*1440+930)+30),R_EN,"&gt;"&amp;(INT(B$7)*1440+930))</f>
        <v>0</v>
      </c>
      <c r="L32">
        <f>IF(K32&gt;0,_xlfn.MINIFS(R_ID,R_Emp,"Malcolm",R_Cnt,1,R_SN,"&lt;"&amp;((INT(B$7)*1440+930)+30),R_EN,"&gt;"&amp;(INT(B$7)*1440+930)),0)</f>
        <v>0</v>
      </c>
      <c r="M32">
        <f>COUNTIFS(R_Emp,"proMX",R_Cnt,1,R_SN,"&lt;"&amp;((INT(B$7)*1440+930)+30),R_EN,"&gt;"&amp;(INT(B$7)*1440+930))</f>
        <v>0</v>
      </c>
      <c r="N32">
        <f>IF(M32&gt;0,_xlfn.MINIFS(R_ID,R_Emp,"proMX",R_Cnt,1,R_SN,"&lt;"&amp;((INT(B$7)*1440+930)+30),R_EN,"&gt;"&amp;(INT(B$7)*1440+930)),0)</f>
        <v>0</v>
      </c>
      <c r="O32">
        <f>IF(AND(K32&gt;0,M32&gt;0),8,IF(K32&gt;0,1,IF(M32&gt;0,INDEX(R_StCode,N32),0)))</f>
        <v>0</v>
      </c>
      <c r="P32">
        <f>COUNTIFS(R_Emp,"Malcolm",R_Cnt,1,R_SN,"&lt;"&amp;((INT(C$7)*1440+930)+30),R_EN,"&gt;"&amp;(INT(C$7)*1440+930))</f>
        <v>0</v>
      </c>
      <c r="Q32">
        <f>IF(P32&gt;0,_xlfn.MINIFS(R_ID,R_Emp,"Malcolm",R_Cnt,1,R_SN,"&lt;"&amp;((INT(C$7)*1440+930)+30),R_EN,"&gt;"&amp;(INT(C$7)*1440+930)),0)</f>
        <v>0</v>
      </c>
      <c r="R32">
        <f>COUNTIFS(R_Emp,"proMX",R_Cnt,1,R_SN,"&lt;"&amp;((INT(C$7)*1440+930)+30),R_EN,"&gt;"&amp;(INT(C$7)*1440+930))</f>
        <v>0</v>
      </c>
      <c r="S32">
        <f>IF(R32&gt;0,_xlfn.MINIFS(R_ID,R_Emp,"proMX",R_Cnt,1,R_SN,"&lt;"&amp;((INT(C$7)*1440+930)+30),R_EN,"&gt;"&amp;(INT(C$7)*1440+930)),0)</f>
        <v>0</v>
      </c>
      <c r="T32">
        <f>IF(AND(P32&gt;0,R32&gt;0),8,IF(P32&gt;0,1,IF(R32&gt;0,INDEX(R_StCode,S32),0)))</f>
        <v>0</v>
      </c>
      <c r="U32">
        <f>COUNTIFS(R_Emp,"Malcolm",R_Cnt,1,R_SN,"&lt;"&amp;((INT(D$7)*1440+930)+30),R_EN,"&gt;"&amp;(INT(D$7)*1440+930))</f>
        <v>0</v>
      </c>
      <c r="V32">
        <f>IF(U32&gt;0,_xlfn.MINIFS(R_ID,R_Emp,"Malcolm",R_Cnt,1,R_SN,"&lt;"&amp;((INT(D$7)*1440+930)+30),R_EN,"&gt;"&amp;(INT(D$7)*1440+930)),0)</f>
        <v>0</v>
      </c>
      <c r="W32">
        <f>COUNTIFS(R_Emp,"proMX",R_Cnt,1,R_SN,"&lt;"&amp;((INT(D$7)*1440+930)+30),R_EN,"&gt;"&amp;(INT(D$7)*1440+930))</f>
        <v>0</v>
      </c>
      <c r="X32">
        <f>IF(W32&gt;0,_xlfn.MINIFS(R_ID,R_Emp,"proMX",R_Cnt,1,R_SN,"&lt;"&amp;((INT(D$7)*1440+930)+30),R_EN,"&gt;"&amp;(INT(D$7)*1440+930)),0)</f>
        <v>0</v>
      </c>
      <c r="Y32">
        <f>IF(AND(U32&gt;0,W32&gt;0),8,IF(U32&gt;0,1,IF(W32&gt;0,INDEX(R_StCode,X32),0)))</f>
        <v>0</v>
      </c>
      <c r="Z32">
        <f>COUNTIFS(R_Emp,"Malcolm",R_Cnt,1,R_SN,"&lt;"&amp;((INT(E$7)*1440+930)+30),R_EN,"&gt;"&amp;(INT(E$7)*1440+930))</f>
        <v>0</v>
      </c>
      <c r="AA32">
        <f>IF(Z32&gt;0,_xlfn.MINIFS(R_ID,R_Emp,"Malcolm",R_Cnt,1,R_SN,"&lt;"&amp;((INT(E$7)*1440+930)+30),R_EN,"&gt;"&amp;(INT(E$7)*1440+930)),0)</f>
        <v>0</v>
      </c>
      <c r="AB32">
        <f>COUNTIFS(R_Emp,"proMX",R_Cnt,1,R_SN,"&lt;"&amp;((INT(E$7)*1440+930)+30),R_EN,"&gt;"&amp;(INT(E$7)*1440+930))</f>
        <v>0</v>
      </c>
      <c r="AC32">
        <f>IF(AB32&gt;0,_xlfn.MINIFS(R_ID,R_Emp,"proMX",R_Cnt,1,R_SN,"&lt;"&amp;((INT(E$7)*1440+930)+30),R_EN,"&gt;"&amp;(INT(E$7)*1440+930)),0)</f>
        <v>0</v>
      </c>
      <c r="AD32">
        <f>IF(AND(Z32&gt;0,AB32&gt;0),8,IF(Z32&gt;0,1,IF(AB32&gt;0,INDEX(R_StCode,AC32),0)))</f>
        <v>0</v>
      </c>
      <c r="AE32">
        <f>COUNTIFS(R_Emp,"Malcolm",R_Cnt,1,R_SN,"&lt;"&amp;((INT(F$7)*1440+930)+30),R_EN,"&gt;"&amp;(INT(F$7)*1440+930))</f>
        <v>0</v>
      </c>
      <c r="AF32">
        <f>IF(AE32&gt;0,_xlfn.MINIFS(R_ID,R_Emp,"Malcolm",R_Cnt,1,R_SN,"&lt;"&amp;((INT(F$7)*1440+930)+30),R_EN,"&gt;"&amp;(INT(F$7)*1440+930)),0)</f>
        <v>0</v>
      </c>
      <c r="AG32">
        <f>COUNTIFS(R_Emp,"proMX",R_Cnt,1,R_SN,"&lt;"&amp;((INT(F$7)*1440+930)+30),R_EN,"&gt;"&amp;(INT(F$7)*1440+930))</f>
        <v>0</v>
      </c>
      <c r="AH32">
        <f>IF(AG32&gt;0,_xlfn.MINIFS(R_ID,R_Emp,"proMX",R_Cnt,1,R_SN,"&lt;"&amp;((INT(F$7)*1440+930)+30),R_EN,"&gt;"&amp;(INT(F$7)*1440+930)),0)</f>
        <v>0</v>
      </c>
      <c r="AI32">
        <f>IF(AND(AE32&gt;0,AG32&gt;0),8,IF(AE32&gt;0,1,IF(AG32&gt;0,INDEX(R_StCode,AH32),0)))</f>
        <v>0</v>
      </c>
      <c r="AJ32">
        <f>COUNTIFS(R_Emp,"Malcolm",R_Cnt,1,R_SN,"&lt;"&amp;((INT(G$7)*1440+930)+30),R_EN,"&gt;"&amp;(INT(G$7)*1440+930))</f>
        <v>0</v>
      </c>
      <c r="AK32">
        <f>IF(AJ32&gt;0,_xlfn.MINIFS(R_ID,R_Emp,"Malcolm",R_Cnt,1,R_SN,"&lt;"&amp;((INT(G$7)*1440+930)+30),R_EN,"&gt;"&amp;(INT(G$7)*1440+930)),0)</f>
        <v>0</v>
      </c>
      <c r="AL32">
        <f>COUNTIFS(R_Emp,"proMX",R_Cnt,1,R_SN,"&lt;"&amp;((INT(G$7)*1440+930)+30),R_EN,"&gt;"&amp;(INT(G$7)*1440+930))</f>
        <v>0</v>
      </c>
      <c r="AM32">
        <f>IF(AL32&gt;0,_xlfn.MINIFS(R_ID,R_Emp,"proMX",R_Cnt,1,R_SN,"&lt;"&amp;((INT(G$7)*1440+930)+30),R_EN,"&gt;"&amp;(INT(G$7)*1440+930)),0)</f>
        <v>0</v>
      </c>
      <c r="AN32">
        <f>IF(AND(AJ32&gt;0,AL32&gt;0),8,IF(AJ32&gt;0,1,IF(AL32&gt;0,INDEX(R_StCode,AM32),0)))</f>
        <v>0</v>
      </c>
      <c r="AO32">
        <f>COUNTIFS(R_Emp,"Malcolm",R_Cnt,1,R_SN,"&lt;"&amp;((INT(H$7)*1440+930)+30),R_EN,"&gt;"&amp;(INT(H$7)*1440+930))</f>
        <v>0</v>
      </c>
      <c r="AP32">
        <f>IF(AO32&gt;0,_xlfn.MINIFS(R_ID,R_Emp,"Malcolm",R_Cnt,1,R_SN,"&lt;"&amp;((INT(H$7)*1440+930)+30),R_EN,"&gt;"&amp;(INT(H$7)*1440+930)),0)</f>
        <v>0</v>
      </c>
      <c r="AQ32">
        <f>COUNTIFS(R_Emp,"proMX",R_Cnt,1,R_SN,"&lt;"&amp;((INT(H$7)*1440+930)+30),R_EN,"&gt;"&amp;(INT(H$7)*1440+930))</f>
        <v>0</v>
      </c>
      <c r="AR32">
        <f>IF(AQ32&gt;0,_xlfn.MINIFS(R_ID,R_Emp,"proMX",R_Cnt,1,R_SN,"&lt;"&amp;((INT(H$7)*1440+930)+30),R_EN,"&gt;"&amp;(INT(H$7)*1440+930)),0)</f>
        <v>0</v>
      </c>
      <c r="AS32">
        <f>IF(AND(AO32&gt;0,AQ32&gt;0),8,IF(AO32&gt;0,1,IF(AQ32&gt;0,INDEX(R_StCode,AR32),0)))</f>
        <v>0</v>
      </c>
    </row>
    <row r="33" ht="20" customHeight="1">
      <c r="A33" s="101" t="n">
        <v>0.6666666666666666</v>
      </c>
      <c r="B33" s="103" t="str">
        <f>IF(O33=0,"",IF(O33=8,"⚠ Malcolm + proMX",IF(O33=1,IF(K33&gt;1,"Malcolm ("&amp;K33&amp;" tareas)",IF(OR(FALSE,INDEX(R_SN,L33)&gt;=(INT(B$7)*1440+960)),"Malcolm · "&amp;INDEX(R_Label,L33)&amp;" ("&amp;TEXT(INDEX(R_Ini,L33),"hh:mm")&amp;"–"&amp;TEXT(INDEX(R_Fin,L33),"hh:mm")&amp;")","")),IF(OR(FALSE,INDEX(R_SN,N33)&gt;=(INT(B$7)*1440+960)),"proMX · "&amp;INDEX(R_Label,N33)&amp;" · "&amp;INDEX(R_St,N33),""))))</f>
        <v/>
      </c>
      <c r="C33" s="103" t="str">
        <f>IF(T33=0,"",IF(T33=8,"⚠ Malcolm + proMX",IF(T33=1,IF(P33&gt;1,"Malcolm ("&amp;P33&amp;" tareas)",IF(OR(FALSE,INDEX(R_SN,Q33)&gt;=(INT(C$7)*1440+960)),"Malcolm · "&amp;INDEX(R_Label,Q33)&amp;" ("&amp;TEXT(INDEX(R_Ini,Q33),"hh:mm")&amp;"–"&amp;TEXT(INDEX(R_Fin,Q33),"hh:mm")&amp;")","")),IF(OR(FALSE,INDEX(R_SN,S33)&gt;=(INT(C$7)*1440+960)),"proMX · "&amp;INDEX(R_Label,S33)&amp;" · "&amp;INDEX(R_St,S33),""))))</f>
        <v/>
      </c>
      <c r="D33" s="103" t="str">
        <f>IF(Y33=0,"",IF(Y33=8,"⚠ Malcolm + proMX",IF(Y33=1,IF(U33&gt;1,"Malcolm ("&amp;U33&amp;" tareas)",IF(OR(FALSE,INDEX(R_SN,V33)&gt;=(INT(D$7)*1440+960)),"Malcolm · "&amp;INDEX(R_Label,V33)&amp;" ("&amp;TEXT(INDEX(R_Ini,V33),"hh:mm")&amp;"–"&amp;TEXT(INDEX(R_Fin,V33),"hh:mm")&amp;")","")),IF(OR(FALSE,INDEX(R_SN,X33)&gt;=(INT(D$7)*1440+960)),"proMX · "&amp;INDEX(R_Label,X33)&amp;" · "&amp;INDEX(R_St,X33),""))))</f>
        <v/>
      </c>
      <c r="E33" s="103" t="str">
        <f>IF(AD33=0,"",IF(AD33=8,"⚠ Malcolm + proMX",IF(AD33=1,IF(Z33&gt;1,"Malcolm ("&amp;Z33&amp;" tareas)",IF(OR(FALSE,INDEX(R_SN,AA33)&gt;=(INT(E$7)*1440+960)),"Malcolm · "&amp;INDEX(R_Label,AA33)&amp;" ("&amp;TEXT(INDEX(R_Ini,AA33),"hh:mm")&amp;"–"&amp;TEXT(INDEX(R_Fin,AA33),"hh:mm")&amp;")","")),IF(OR(FALSE,INDEX(R_SN,AC33)&gt;=(INT(E$7)*1440+960)),"proMX · "&amp;INDEX(R_Label,AC33)&amp;" · "&amp;INDEX(R_St,AC33),""))))</f>
        <v/>
      </c>
      <c r="F33" s="103" t="str">
        <f>IF(AI33=0,"",IF(AI33=8,"⚠ Malcolm + proMX",IF(AI33=1,IF(AE33&gt;1,"Malcolm ("&amp;AE33&amp;" tareas)",IF(OR(FALSE,INDEX(R_SN,AF33)&gt;=(INT(F$7)*1440+960)),"Malcolm · "&amp;INDEX(R_Label,AF33)&amp;" ("&amp;TEXT(INDEX(R_Ini,AF33),"hh:mm")&amp;"–"&amp;TEXT(INDEX(R_Fin,AF33),"hh:mm")&amp;")","")),IF(OR(FALSE,INDEX(R_SN,AH33)&gt;=(INT(F$7)*1440+960)),"proMX · "&amp;INDEX(R_Label,AH33)&amp;" · "&amp;INDEX(R_St,AH33),""))))</f>
        <v/>
      </c>
      <c r="G33" s="103" t="str">
        <f>IF(AN33=0,"",IF(AN33=8,"⚠ Malcolm + proMX",IF(AN33=1,IF(AJ33&gt;1,"Malcolm ("&amp;AJ33&amp;" tareas)",IF(OR(FALSE,INDEX(R_SN,AK33)&gt;=(INT(G$7)*1440+960)),"Malcolm · "&amp;INDEX(R_Label,AK33)&amp;" ("&amp;TEXT(INDEX(R_Ini,AK33),"hh:mm")&amp;"–"&amp;TEXT(INDEX(R_Fin,AK33),"hh:mm")&amp;")","")),IF(OR(FALSE,INDEX(R_SN,AM33)&gt;=(INT(G$7)*1440+960)),"proMX · "&amp;INDEX(R_Label,AM33)&amp;" · "&amp;INDEX(R_St,AM33),""))))</f>
        <v/>
      </c>
      <c r="H33" s="103" t="str">
        <f>IF(AS33=0,"",IF(AS33=8,"⚠ Malcolm + proMX",IF(AS33=1,IF(AO33&gt;1,"Malcolm ("&amp;AO33&amp;" tareas)",IF(OR(FALSE,INDEX(R_SN,AP33)&gt;=(INT(H$7)*1440+960)),"Malcolm · "&amp;INDEX(R_Label,AP33)&amp;" ("&amp;TEXT(INDEX(R_Ini,AP33),"hh:mm")&amp;"–"&amp;TEXT(INDEX(R_Fin,AP33),"hh:mm")&amp;")","")),IF(OR(FALSE,INDEX(R_SN,AR33)&gt;=(INT(H$7)*1440+960)),"proMX · "&amp;INDEX(R_Label,AR33)&amp;" · "&amp;INDEX(R_St,AR33),""))))</f>
        <v/>
      </c>
      <c r="K33">
        <f>COUNTIFS(R_Emp,"Malcolm",R_Cnt,1,R_SN,"&lt;"&amp;((INT(B$7)*1440+960)+30),R_EN,"&gt;"&amp;(INT(B$7)*1440+960))</f>
        <v>0</v>
      </c>
      <c r="L33">
        <f>IF(K33&gt;0,_xlfn.MINIFS(R_ID,R_Emp,"Malcolm",R_Cnt,1,R_SN,"&lt;"&amp;((INT(B$7)*1440+960)+30),R_EN,"&gt;"&amp;(INT(B$7)*1440+960)),0)</f>
        <v>0</v>
      </c>
      <c r="M33">
        <f>COUNTIFS(R_Emp,"proMX",R_Cnt,1,R_SN,"&lt;"&amp;((INT(B$7)*1440+960)+30),R_EN,"&gt;"&amp;(INT(B$7)*1440+960))</f>
        <v>0</v>
      </c>
      <c r="N33">
        <f>IF(M33&gt;0,_xlfn.MINIFS(R_ID,R_Emp,"proMX",R_Cnt,1,R_SN,"&lt;"&amp;((INT(B$7)*1440+960)+30),R_EN,"&gt;"&amp;(INT(B$7)*1440+960)),0)</f>
        <v>0</v>
      </c>
      <c r="O33">
        <f>IF(AND(K33&gt;0,M33&gt;0),8,IF(K33&gt;0,1,IF(M33&gt;0,INDEX(R_StCode,N33),0)))</f>
        <v>0</v>
      </c>
      <c r="P33">
        <f>COUNTIFS(R_Emp,"Malcolm",R_Cnt,1,R_SN,"&lt;"&amp;((INT(C$7)*1440+960)+30),R_EN,"&gt;"&amp;(INT(C$7)*1440+960))</f>
        <v>0</v>
      </c>
      <c r="Q33">
        <f>IF(P33&gt;0,_xlfn.MINIFS(R_ID,R_Emp,"Malcolm",R_Cnt,1,R_SN,"&lt;"&amp;((INT(C$7)*1440+960)+30),R_EN,"&gt;"&amp;(INT(C$7)*1440+960)),0)</f>
        <v>0</v>
      </c>
      <c r="R33">
        <f>COUNTIFS(R_Emp,"proMX",R_Cnt,1,R_SN,"&lt;"&amp;((INT(C$7)*1440+960)+30),R_EN,"&gt;"&amp;(INT(C$7)*1440+960))</f>
        <v>0</v>
      </c>
      <c r="S33">
        <f>IF(R33&gt;0,_xlfn.MINIFS(R_ID,R_Emp,"proMX",R_Cnt,1,R_SN,"&lt;"&amp;((INT(C$7)*1440+960)+30),R_EN,"&gt;"&amp;(INT(C$7)*1440+960)),0)</f>
        <v>0</v>
      </c>
      <c r="T33">
        <f>IF(AND(P33&gt;0,R33&gt;0),8,IF(P33&gt;0,1,IF(R33&gt;0,INDEX(R_StCode,S33),0)))</f>
        <v>0</v>
      </c>
      <c r="U33">
        <f>COUNTIFS(R_Emp,"Malcolm",R_Cnt,1,R_SN,"&lt;"&amp;((INT(D$7)*1440+960)+30),R_EN,"&gt;"&amp;(INT(D$7)*1440+960))</f>
        <v>0</v>
      </c>
      <c r="V33">
        <f>IF(U33&gt;0,_xlfn.MINIFS(R_ID,R_Emp,"Malcolm",R_Cnt,1,R_SN,"&lt;"&amp;((INT(D$7)*1440+960)+30),R_EN,"&gt;"&amp;(INT(D$7)*1440+960)),0)</f>
        <v>0</v>
      </c>
      <c r="W33">
        <f>COUNTIFS(R_Emp,"proMX",R_Cnt,1,R_SN,"&lt;"&amp;((INT(D$7)*1440+960)+30),R_EN,"&gt;"&amp;(INT(D$7)*1440+960))</f>
        <v>0</v>
      </c>
      <c r="X33">
        <f>IF(W33&gt;0,_xlfn.MINIFS(R_ID,R_Emp,"proMX",R_Cnt,1,R_SN,"&lt;"&amp;((INT(D$7)*1440+960)+30),R_EN,"&gt;"&amp;(INT(D$7)*1440+960)),0)</f>
        <v>0</v>
      </c>
      <c r="Y33">
        <f>IF(AND(U33&gt;0,W33&gt;0),8,IF(U33&gt;0,1,IF(W33&gt;0,INDEX(R_StCode,X33),0)))</f>
        <v>0</v>
      </c>
      <c r="Z33">
        <f>COUNTIFS(R_Emp,"Malcolm",R_Cnt,1,R_SN,"&lt;"&amp;((INT(E$7)*1440+960)+30),R_EN,"&gt;"&amp;(INT(E$7)*1440+960))</f>
        <v>0</v>
      </c>
      <c r="AA33">
        <f>IF(Z33&gt;0,_xlfn.MINIFS(R_ID,R_Emp,"Malcolm",R_Cnt,1,R_SN,"&lt;"&amp;((INT(E$7)*1440+960)+30),R_EN,"&gt;"&amp;(INT(E$7)*1440+960)),0)</f>
        <v>0</v>
      </c>
      <c r="AB33">
        <f>COUNTIFS(R_Emp,"proMX",R_Cnt,1,R_SN,"&lt;"&amp;((INT(E$7)*1440+960)+30),R_EN,"&gt;"&amp;(INT(E$7)*1440+960))</f>
        <v>0</v>
      </c>
      <c r="AC33">
        <f>IF(AB33&gt;0,_xlfn.MINIFS(R_ID,R_Emp,"proMX",R_Cnt,1,R_SN,"&lt;"&amp;((INT(E$7)*1440+960)+30),R_EN,"&gt;"&amp;(INT(E$7)*1440+960)),0)</f>
        <v>0</v>
      </c>
      <c r="AD33">
        <f>IF(AND(Z33&gt;0,AB33&gt;0),8,IF(Z33&gt;0,1,IF(AB33&gt;0,INDEX(R_StCode,AC33),0)))</f>
        <v>0</v>
      </c>
      <c r="AE33">
        <f>COUNTIFS(R_Emp,"Malcolm",R_Cnt,1,R_SN,"&lt;"&amp;((INT(F$7)*1440+960)+30),R_EN,"&gt;"&amp;(INT(F$7)*1440+960))</f>
        <v>0</v>
      </c>
      <c r="AF33">
        <f>IF(AE33&gt;0,_xlfn.MINIFS(R_ID,R_Emp,"Malcolm",R_Cnt,1,R_SN,"&lt;"&amp;((INT(F$7)*1440+960)+30),R_EN,"&gt;"&amp;(INT(F$7)*1440+960)),0)</f>
        <v>0</v>
      </c>
      <c r="AG33">
        <f>COUNTIFS(R_Emp,"proMX",R_Cnt,1,R_SN,"&lt;"&amp;((INT(F$7)*1440+960)+30),R_EN,"&gt;"&amp;(INT(F$7)*1440+960))</f>
        <v>0</v>
      </c>
      <c r="AH33">
        <f>IF(AG33&gt;0,_xlfn.MINIFS(R_ID,R_Emp,"proMX",R_Cnt,1,R_SN,"&lt;"&amp;((INT(F$7)*1440+960)+30),R_EN,"&gt;"&amp;(INT(F$7)*1440+960)),0)</f>
        <v>0</v>
      </c>
      <c r="AI33">
        <f>IF(AND(AE33&gt;0,AG33&gt;0),8,IF(AE33&gt;0,1,IF(AG33&gt;0,INDEX(R_StCode,AH33),0)))</f>
        <v>0</v>
      </c>
      <c r="AJ33">
        <f>COUNTIFS(R_Emp,"Malcolm",R_Cnt,1,R_SN,"&lt;"&amp;((INT(G$7)*1440+960)+30),R_EN,"&gt;"&amp;(INT(G$7)*1440+960))</f>
        <v>0</v>
      </c>
      <c r="AK33">
        <f>IF(AJ33&gt;0,_xlfn.MINIFS(R_ID,R_Emp,"Malcolm",R_Cnt,1,R_SN,"&lt;"&amp;((INT(G$7)*1440+960)+30),R_EN,"&gt;"&amp;(INT(G$7)*1440+960)),0)</f>
        <v>0</v>
      </c>
      <c r="AL33">
        <f>COUNTIFS(R_Emp,"proMX",R_Cnt,1,R_SN,"&lt;"&amp;((INT(G$7)*1440+960)+30),R_EN,"&gt;"&amp;(INT(G$7)*1440+960))</f>
        <v>0</v>
      </c>
      <c r="AM33">
        <f>IF(AL33&gt;0,_xlfn.MINIFS(R_ID,R_Emp,"proMX",R_Cnt,1,R_SN,"&lt;"&amp;((INT(G$7)*1440+960)+30),R_EN,"&gt;"&amp;(INT(G$7)*1440+960)),0)</f>
        <v>0</v>
      </c>
      <c r="AN33">
        <f>IF(AND(AJ33&gt;0,AL33&gt;0),8,IF(AJ33&gt;0,1,IF(AL33&gt;0,INDEX(R_StCode,AM33),0)))</f>
        <v>0</v>
      </c>
      <c r="AO33">
        <f>COUNTIFS(R_Emp,"Malcolm",R_Cnt,1,R_SN,"&lt;"&amp;((INT(H$7)*1440+960)+30),R_EN,"&gt;"&amp;(INT(H$7)*1440+960))</f>
        <v>0</v>
      </c>
      <c r="AP33">
        <f>IF(AO33&gt;0,_xlfn.MINIFS(R_ID,R_Emp,"Malcolm",R_Cnt,1,R_SN,"&lt;"&amp;((INT(H$7)*1440+960)+30),R_EN,"&gt;"&amp;(INT(H$7)*1440+960)),0)</f>
        <v>0</v>
      </c>
      <c r="AQ33">
        <f>COUNTIFS(R_Emp,"proMX",R_Cnt,1,R_SN,"&lt;"&amp;((INT(H$7)*1440+960)+30),R_EN,"&gt;"&amp;(INT(H$7)*1440+960))</f>
        <v>0</v>
      </c>
      <c r="AR33">
        <f>IF(AQ33&gt;0,_xlfn.MINIFS(R_ID,R_Emp,"proMX",R_Cnt,1,R_SN,"&lt;"&amp;((INT(H$7)*1440+960)+30),R_EN,"&gt;"&amp;(INT(H$7)*1440+960)),0)</f>
        <v>0</v>
      </c>
      <c r="AS33">
        <f>IF(AND(AO33&gt;0,AQ33&gt;0),8,IF(AO33&gt;0,1,IF(AQ33&gt;0,INDEX(R_StCode,AR33),0)))</f>
        <v>0</v>
      </c>
    </row>
    <row r="34" ht="20" customHeight="1">
      <c r="A34" s="101" t="n">
        <v>0.6875</v>
      </c>
      <c r="B34" s="103" t="str">
        <f>IF(O34=0,"",IF(O34=8,"⚠ Malcolm + proMX",IF(O34=1,IF(K34&gt;1,"Malcolm ("&amp;K34&amp;" tareas)",IF(OR(FALSE,INDEX(R_SN,L34)&gt;=(INT(B$7)*1440+990)),"Malcolm · "&amp;INDEX(R_Label,L34)&amp;" ("&amp;TEXT(INDEX(R_Ini,L34),"hh:mm")&amp;"–"&amp;TEXT(INDEX(R_Fin,L34),"hh:mm")&amp;")","")),IF(OR(FALSE,INDEX(R_SN,N34)&gt;=(INT(B$7)*1440+990)),"proMX · "&amp;INDEX(R_Label,N34)&amp;" · "&amp;INDEX(R_St,N34),""))))</f>
        <v/>
      </c>
      <c r="C34" s="103" t="str">
        <f>IF(T34=0,"",IF(T34=8,"⚠ Malcolm + proMX",IF(T34=1,IF(P34&gt;1,"Malcolm ("&amp;P34&amp;" tareas)",IF(OR(FALSE,INDEX(R_SN,Q34)&gt;=(INT(C$7)*1440+990)),"Malcolm · "&amp;INDEX(R_Label,Q34)&amp;" ("&amp;TEXT(INDEX(R_Ini,Q34),"hh:mm")&amp;"–"&amp;TEXT(INDEX(R_Fin,Q34),"hh:mm")&amp;")","")),IF(OR(FALSE,INDEX(R_SN,S34)&gt;=(INT(C$7)*1440+990)),"proMX · "&amp;INDEX(R_Label,S34)&amp;" · "&amp;INDEX(R_St,S34),""))))</f>
        <v/>
      </c>
      <c r="D34" s="103" t="str">
        <f>IF(Y34=0,"",IF(Y34=8,"⚠ Malcolm + proMX",IF(Y34=1,IF(U34&gt;1,"Malcolm ("&amp;U34&amp;" tareas)",IF(OR(FALSE,INDEX(R_SN,V34)&gt;=(INT(D$7)*1440+990)),"Malcolm · "&amp;INDEX(R_Label,V34)&amp;" ("&amp;TEXT(INDEX(R_Ini,V34),"hh:mm")&amp;"–"&amp;TEXT(INDEX(R_Fin,V34),"hh:mm")&amp;")","")),IF(OR(FALSE,INDEX(R_SN,X34)&gt;=(INT(D$7)*1440+990)),"proMX · "&amp;INDEX(R_Label,X34)&amp;" · "&amp;INDEX(R_St,X34),""))))</f>
        <v/>
      </c>
      <c r="E34" s="103" t="str">
        <f>IF(AD34=0,"",IF(AD34=8,"⚠ Malcolm + proMX",IF(AD34=1,IF(Z34&gt;1,"Malcolm ("&amp;Z34&amp;" tareas)",IF(OR(FALSE,INDEX(R_SN,AA34)&gt;=(INT(E$7)*1440+990)),"Malcolm · "&amp;INDEX(R_Label,AA34)&amp;" ("&amp;TEXT(INDEX(R_Ini,AA34),"hh:mm")&amp;"–"&amp;TEXT(INDEX(R_Fin,AA34),"hh:mm")&amp;")","")),IF(OR(FALSE,INDEX(R_SN,AC34)&gt;=(INT(E$7)*1440+990)),"proMX · "&amp;INDEX(R_Label,AC34)&amp;" · "&amp;INDEX(R_St,AC34),""))))</f>
        <v/>
      </c>
      <c r="F34" s="103" t="str">
        <f>IF(AI34=0,"",IF(AI34=8,"⚠ Malcolm + proMX",IF(AI34=1,IF(AE34&gt;1,"Malcolm ("&amp;AE34&amp;" tareas)",IF(OR(FALSE,INDEX(R_SN,AF34)&gt;=(INT(F$7)*1440+990)),"Malcolm · "&amp;INDEX(R_Label,AF34)&amp;" ("&amp;TEXT(INDEX(R_Ini,AF34),"hh:mm")&amp;"–"&amp;TEXT(INDEX(R_Fin,AF34),"hh:mm")&amp;")","")),IF(OR(FALSE,INDEX(R_SN,AH34)&gt;=(INT(F$7)*1440+990)),"proMX · "&amp;INDEX(R_Label,AH34)&amp;" · "&amp;INDEX(R_St,AH34),""))))</f>
        <v/>
      </c>
      <c r="G34" s="103" t="str">
        <f>IF(AN34=0,"",IF(AN34=8,"⚠ Malcolm + proMX",IF(AN34=1,IF(AJ34&gt;1,"Malcolm ("&amp;AJ34&amp;" tareas)",IF(OR(FALSE,INDEX(R_SN,AK34)&gt;=(INT(G$7)*1440+990)),"Malcolm · "&amp;INDEX(R_Label,AK34)&amp;" ("&amp;TEXT(INDEX(R_Ini,AK34),"hh:mm")&amp;"–"&amp;TEXT(INDEX(R_Fin,AK34),"hh:mm")&amp;")","")),IF(OR(FALSE,INDEX(R_SN,AM34)&gt;=(INT(G$7)*1440+990)),"proMX · "&amp;INDEX(R_Label,AM34)&amp;" · "&amp;INDEX(R_St,AM34),""))))</f>
        <v/>
      </c>
      <c r="H34" s="103" t="str">
        <f>IF(AS34=0,"",IF(AS34=8,"⚠ Malcolm + proMX",IF(AS34=1,IF(AO34&gt;1,"Malcolm ("&amp;AO34&amp;" tareas)",IF(OR(FALSE,INDEX(R_SN,AP34)&gt;=(INT(H$7)*1440+990)),"Malcolm · "&amp;INDEX(R_Label,AP34)&amp;" ("&amp;TEXT(INDEX(R_Ini,AP34),"hh:mm")&amp;"–"&amp;TEXT(INDEX(R_Fin,AP34),"hh:mm")&amp;")","")),IF(OR(FALSE,INDEX(R_SN,AR34)&gt;=(INT(H$7)*1440+990)),"proMX · "&amp;INDEX(R_Label,AR34)&amp;" · "&amp;INDEX(R_St,AR34),""))))</f>
        <v/>
      </c>
      <c r="K34">
        <f>COUNTIFS(R_Emp,"Malcolm",R_Cnt,1,R_SN,"&lt;"&amp;((INT(B$7)*1440+990)+30),R_EN,"&gt;"&amp;(INT(B$7)*1440+990))</f>
        <v>0</v>
      </c>
      <c r="L34">
        <f>IF(K34&gt;0,_xlfn.MINIFS(R_ID,R_Emp,"Malcolm",R_Cnt,1,R_SN,"&lt;"&amp;((INT(B$7)*1440+990)+30),R_EN,"&gt;"&amp;(INT(B$7)*1440+990)),0)</f>
        <v>0</v>
      </c>
      <c r="M34">
        <f>COUNTIFS(R_Emp,"proMX",R_Cnt,1,R_SN,"&lt;"&amp;((INT(B$7)*1440+990)+30),R_EN,"&gt;"&amp;(INT(B$7)*1440+990))</f>
        <v>0</v>
      </c>
      <c r="N34">
        <f>IF(M34&gt;0,_xlfn.MINIFS(R_ID,R_Emp,"proMX",R_Cnt,1,R_SN,"&lt;"&amp;((INT(B$7)*1440+990)+30),R_EN,"&gt;"&amp;(INT(B$7)*1440+990)),0)</f>
        <v>0</v>
      </c>
      <c r="O34">
        <f>IF(AND(K34&gt;0,M34&gt;0),8,IF(K34&gt;0,1,IF(M34&gt;0,INDEX(R_StCode,N34),0)))</f>
        <v>0</v>
      </c>
      <c r="P34">
        <f>COUNTIFS(R_Emp,"Malcolm",R_Cnt,1,R_SN,"&lt;"&amp;((INT(C$7)*1440+990)+30),R_EN,"&gt;"&amp;(INT(C$7)*1440+990))</f>
        <v>0</v>
      </c>
      <c r="Q34">
        <f>IF(P34&gt;0,_xlfn.MINIFS(R_ID,R_Emp,"Malcolm",R_Cnt,1,R_SN,"&lt;"&amp;((INT(C$7)*1440+990)+30),R_EN,"&gt;"&amp;(INT(C$7)*1440+990)),0)</f>
        <v>0</v>
      </c>
      <c r="R34">
        <f>COUNTIFS(R_Emp,"proMX",R_Cnt,1,R_SN,"&lt;"&amp;((INT(C$7)*1440+990)+30),R_EN,"&gt;"&amp;(INT(C$7)*1440+990))</f>
        <v>0</v>
      </c>
      <c r="S34">
        <f>IF(R34&gt;0,_xlfn.MINIFS(R_ID,R_Emp,"proMX",R_Cnt,1,R_SN,"&lt;"&amp;((INT(C$7)*1440+990)+30),R_EN,"&gt;"&amp;(INT(C$7)*1440+990)),0)</f>
        <v>0</v>
      </c>
      <c r="T34">
        <f>IF(AND(P34&gt;0,R34&gt;0),8,IF(P34&gt;0,1,IF(R34&gt;0,INDEX(R_StCode,S34),0)))</f>
        <v>0</v>
      </c>
      <c r="U34">
        <f>COUNTIFS(R_Emp,"Malcolm",R_Cnt,1,R_SN,"&lt;"&amp;((INT(D$7)*1440+990)+30),R_EN,"&gt;"&amp;(INT(D$7)*1440+990))</f>
        <v>0</v>
      </c>
      <c r="V34">
        <f>IF(U34&gt;0,_xlfn.MINIFS(R_ID,R_Emp,"Malcolm",R_Cnt,1,R_SN,"&lt;"&amp;((INT(D$7)*1440+990)+30),R_EN,"&gt;"&amp;(INT(D$7)*1440+990)),0)</f>
        <v>0</v>
      </c>
      <c r="W34">
        <f>COUNTIFS(R_Emp,"proMX",R_Cnt,1,R_SN,"&lt;"&amp;((INT(D$7)*1440+990)+30),R_EN,"&gt;"&amp;(INT(D$7)*1440+990))</f>
        <v>0</v>
      </c>
      <c r="X34">
        <f>IF(W34&gt;0,_xlfn.MINIFS(R_ID,R_Emp,"proMX",R_Cnt,1,R_SN,"&lt;"&amp;((INT(D$7)*1440+990)+30),R_EN,"&gt;"&amp;(INT(D$7)*1440+990)),0)</f>
        <v>0</v>
      </c>
      <c r="Y34">
        <f>IF(AND(U34&gt;0,W34&gt;0),8,IF(U34&gt;0,1,IF(W34&gt;0,INDEX(R_StCode,X34),0)))</f>
        <v>0</v>
      </c>
      <c r="Z34">
        <f>COUNTIFS(R_Emp,"Malcolm",R_Cnt,1,R_SN,"&lt;"&amp;((INT(E$7)*1440+990)+30),R_EN,"&gt;"&amp;(INT(E$7)*1440+990))</f>
        <v>0</v>
      </c>
      <c r="AA34">
        <f>IF(Z34&gt;0,_xlfn.MINIFS(R_ID,R_Emp,"Malcolm",R_Cnt,1,R_SN,"&lt;"&amp;((INT(E$7)*1440+990)+30),R_EN,"&gt;"&amp;(INT(E$7)*1440+990)),0)</f>
        <v>0</v>
      </c>
      <c r="AB34">
        <f>COUNTIFS(R_Emp,"proMX",R_Cnt,1,R_SN,"&lt;"&amp;((INT(E$7)*1440+990)+30),R_EN,"&gt;"&amp;(INT(E$7)*1440+990))</f>
        <v>0</v>
      </c>
      <c r="AC34">
        <f>IF(AB34&gt;0,_xlfn.MINIFS(R_ID,R_Emp,"proMX",R_Cnt,1,R_SN,"&lt;"&amp;((INT(E$7)*1440+990)+30),R_EN,"&gt;"&amp;(INT(E$7)*1440+990)),0)</f>
        <v>0</v>
      </c>
      <c r="AD34">
        <f>IF(AND(Z34&gt;0,AB34&gt;0),8,IF(Z34&gt;0,1,IF(AB34&gt;0,INDEX(R_StCode,AC34),0)))</f>
        <v>0</v>
      </c>
      <c r="AE34">
        <f>COUNTIFS(R_Emp,"Malcolm",R_Cnt,1,R_SN,"&lt;"&amp;((INT(F$7)*1440+990)+30),R_EN,"&gt;"&amp;(INT(F$7)*1440+990))</f>
        <v>0</v>
      </c>
      <c r="AF34">
        <f>IF(AE34&gt;0,_xlfn.MINIFS(R_ID,R_Emp,"Malcolm",R_Cnt,1,R_SN,"&lt;"&amp;((INT(F$7)*1440+990)+30),R_EN,"&gt;"&amp;(INT(F$7)*1440+990)),0)</f>
        <v>0</v>
      </c>
      <c r="AG34">
        <f>COUNTIFS(R_Emp,"proMX",R_Cnt,1,R_SN,"&lt;"&amp;((INT(F$7)*1440+990)+30),R_EN,"&gt;"&amp;(INT(F$7)*1440+990))</f>
        <v>0</v>
      </c>
      <c r="AH34">
        <f>IF(AG34&gt;0,_xlfn.MINIFS(R_ID,R_Emp,"proMX",R_Cnt,1,R_SN,"&lt;"&amp;((INT(F$7)*1440+990)+30),R_EN,"&gt;"&amp;(INT(F$7)*1440+990)),0)</f>
        <v>0</v>
      </c>
      <c r="AI34">
        <f>IF(AND(AE34&gt;0,AG34&gt;0),8,IF(AE34&gt;0,1,IF(AG34&gt;0,INDEX(R_StCode,AH34),0)))</f>
        <v>0</v>
      </c>
      <c r="AJ34">
        <f>COUNTIFS(R_Emp,"Malcolm",R_Cnt,1,R_SN,"&lt;"&amp;((INT(G$7)*1440+990)+30),R_EN,"&gt;"&amp;(INT(G$7)*1440+990))</f>
        <v>0</v>
      </c>
      <c r="AK34">
        <f>IF(AJ34&gt;0,_xlfn.MINIFS(R_ID,R_Emp,"Malcolm",R_Cnt,1,R_SN,"&lt;"&amp;((INT(G$7)*1440+990)+30),R_EN,"&gt;"&amp;(INT(G$7)*1440+990)),0)</f>
        <v>0</v>
      </c>
      <c r="AL34">
        <f>COUNTIFS(R_Emp,"proMX",R_Cnt,1,R_SN,"&lt;"&amp;((INT(G$7)*1440+990)+30),R_EN,"&gt;"&amp;(INT(G$7)*1440+990))</f>
        <v>0</v>
      </c>
      <c r="AM34">
        <f>IF(AL34&gt;0,_xlfn.MINIFS(R_ID,R_Emp,"proMX",R_Cnt,1,R_SN,"&lt;"&amp;((INT(G$7)*1440+990)+30),R_EN,"&gt;"&amp;(INT(G$7)*1440+990)),0)</f>
        <v>0</v>
      </c>
      <c r="AN34">
        <f>IF(AND(AJ34&gt;0,AL34&gt;0),8,IF(AJ34&gt;0,1,IF(AL34&gt;0,INDEX(R_StCode,AM34),0)))</f>
        <v>0</v>
      </c>
      <c r="AO34">
        <f>COUNTIFS(R_Emp,"Malcolm",R_Cnt,1,R_SN,"&lt;"&amp;((INT(H$7)*1440+990)+30),R_EN,"&gt;"&amp;(INT(H$7)*1440+990))</f>
        <v>0</v>
      </c>
      <c r="AP34">
        <f>IF(AO34&gt;0,_xlfn.MINIFS(R_ID,R_Emp,"Malcolm",R_Cnt,1,R_SN,"&lt;"&amp;((INT(H$7)*1440+990)+30),R_EN,"&gt;"&amp;(INT(H$7)*1440+990)),0)</f>
        <v>0</v>
      </c>
      <c r="AQ34">
        <f>COUNTIFS(R_Emp,"proMX",R_Cnt,1,R_SN,"&lt;"&amp;((INT(H$7)*1440+990)+30),R_EN,"&gt;"&amp;(INT(H$7)*1440+990))</f>
        <v>0</v>
      </c>
      <c r="AR34">
        <f>IF(AQ34&gt;0,_xlfn.MINIFS(R_ID,R_Emp,"proMX",R_Cnt,1,R_SN,"&lt;"&amp;((INT(H$7)*1440+990)+30),R_EN,"&gt;"&amp;(INT(H$7)*1440+990)),0)</f>
        <v>0</v>
      </c>
      <c r="AS34">
        <f>IF(AND(AO34&gt;0,AQ34&gt;0),8,IF(AO34&gt;0,1,IF(AQ34&gt;0,INDEX(R_StCode,AR34),0)))</f>
        <v>0</v>
      </c>
    </row>
    <row r="35" ht="20" customHeight="1">
      <c r="A35" s="101" t="n">
        <v>0.7083333333333334</v>
      </c>
      <c r="B35" s="102" t="str">
        <f>IF(O35=0,"",IF(O35=8,"⚠ Malcolm + proMX",IF(O35=1,IF(K35&gt;1,"Malcolm ("&amp;K35&amp;" tareas)",IF(OR(FALSE,INDEX(R_SN,L35)&gt;=(INT(B$7)*1440+1020)),"Malcolm · "&amp;INDEX(R_Label,L35)&amp;" ("&amp;TEXT(INDEX(R_Ini,L35),"hh:mm")&amp;"–"&amp;TEXT(INDEX(R_Fin,L35),"hh:mm")&amp;")","")),IF(OR(FALSE,INDEX(R_SN,N35)&gt;=(INT(B$7)*1440+1020)),"proMX · "&amp;INDEX(R_Label,N35)&amp;" · "&amp;INDEX(R_St,N35),""))))</f>
        <v>Malcolm · PCF-103 · PCF (17:00–19:00)</v>
      </c>
      <c r="C35" s="102" t="str">
        <f>IF(T35=0,"",IF(T35=8,"⚠ Malcolm + proMX",IF(T35=1,IF(P35&gt;1,"Malcolm ("&amp;P35&amp;" tareas)",IF(OR(FALSE,INDEX(R_SN,Q35)&gt;=(INT(C$7)*1440+1020)),"Malcolm · "&amp;INDEX(R_Label,Q35)&amp;" ("&amp;TEXT(INDEX(R_Ini,Q35),"hh:mm")&amp;"–"&amp;TEXT(INDEX(R_Fin,Q35),"hh:mm")&amp;")","")),IF(OR(FALSE,INDEX(R_SN,S35)&gt;=(INT(C$7)*1440+1020)),"proMX · "&amp;INDEX(R_Label,S35)&amp;" · "&amp;INDEX(R_St,S35),""))))</f>
        <v/>
      </c>
      <c r="D35" s="102" t="str">
        <f>IF(Y35=0,"",IF(Y35=8,"⚠ Malcolm + proMX",IF(Y35=1,IF(U35&gt;1,"Malcolm ("&amp;U35&amp;" tareas)",IF(OR(FALSE,INDEX(R_SN,V35)&gt;=(INT(D$7)*1440+1020)),"Malcolm · "&amp;INDEX(R_Label,V35)&amp;" ("&amp;TEXT(INDEX(R_Ini,V35),"hh:mm")&amp;"–"&amp;TEXT(INDEX(R_Fin,V35),"hh:mm")&amp;")","")),IF(OR(FALSE,INDEX(R_SN,X35)&gt;=(INT(D$7)*1440+1020)),"proMX · "&amp;INDEX(R_Label,X35)&amp;" · "&amp;INDEX(R_St,X35),""))))</f>
        <v/>
      </c>
      <c r="E35" s="102" t="str">
        <f>IF(AD35=0,"",IF(AD35=8,"⚠ Malcolm + proMX",IF(AD35=1,IF(Z35&gt;1,"Malcolm ("&amp;Z35&amp;" tareas)",IF(OR(FALSE,INDEX(R_SN,AA35)&gt;=(INT(E$7)*1440+1020)),"Malcolm · "&amp;INDEX(R_Label,AA35)&amp;" ("&amp;TEXT(INDEX(R_Ini,AA35),"hh:mm")&amp;"–"&amp;TEXT(INDEX(R_Fin,AA35),"hh:mm")&amp;")","")),IF(OR(FALSE,INDEX(R_SN,AC35)&gt;=(INT(E$7)*1440+1020)),"proMX · "&amp;INDEX(R_Label,AC35)&amp;" · "&amp;INDEX(R_St,AC35),""))))</f>
        <v/>
      </c>
      <c r="F35" s="102" t="str">
        <f>IF(AI35=0,"",IF(AI35=8,"⚠ Malcolm + proMX",IF(AI35=1,IF(AE35&gt;1,"Malcolm ("&amp;AE35&amp;" tareas)",IF(OR(FALSE,INDEX(R_SN,AF35)&gt;=(INT(F$7)*1440+1020)),"Malcolm · "&amp;INDEX(R_Label,AF35)&amp;" ("&amp;TEXT(INDEX(R_Ini,AF35),"hh:mm")&amp;"–"&amp;TEXT(INDEX(R_Fin,AF35),"hh:mm")&amp;")","")),IF(OR(FALSE,INDEX(R_SN,AH35)&gt;=(INT(F$7)*1440+1020)),"proMX · "&amp;INDEX(R_Label,AH35)&amp;" · "&amp;INDEX(R_St,AH35),""))))</f>
        <v/>
      </c>
      <c r="G35" s="102" t="str">
        <f>IF(AN35=0,"",IF(AN35=8,"⚠ Malcolm + proMX",IF(AN35=1,IF(AJ35&gt;1,"Malcolm ("&amp;AJ35&amp;" tareas)",IF(OR(FALSE,INDEX(R_SN,AK35)&gt;=(INT(G$7)*1440+1020)),"Malcolm · "&amp;INDEX(R_Label,AK35)&amp;" ("&amp;TEXT(INDEX(R_Ini,AK35),"hh:mm")&amp;"–"&amp;TEXT(INDEX(R_Fin,AK35),"hh:mm")&amp;")","")),IF(OR(FALSE,INDEX(R_SN,AM35)&gt;=(INT(G$7)*1440+1020)),"proMX · "&amp;INDEX(R_Label,AM35)&amp;" · "&amp;INDEX(R_St,AM35),""))))</f>
        <v/>
      </c>
      <c r="H35" s="102" t="str">
        <f>IF(AS35=0,"",IF(AS35=8,"⚠ Malcolm + proMX",IF(AS35=1,IF(AO35&gt;1,"Malcolm ("&amp;AO35&amp;" tareas)",IF(OR(FALSE,INDEX(R_SN,AP35)&gt;=(INT(H$7)*1440+1020)),"Malcolm · "&amp;INDEX(R_Label,AP35)&amp;" ("&amp;TEXT(INDEX(R_Ini,AP35),"hh:mm")&amp;"–"&amp;TEXT(INDEX(R_Fin,AP35),"hh:mm")&amp;")","")),IF(OR(FALSE,INDEX(R_SN,AR35)&gt;=(INT(H$7)*1440+1020)),"proMX · "&amp;INDEX(R_Label,AR35)&amp;" · "&amp;INDEX(R_St,AR35),""))))</f>
        <v/>
      </c>
      <c r="K35">
        <f>COUNTIFS(R_Emp,"Malcolm",R_Cnt,1,R_SN,"&lt;"&amp;((INT(B$7)*1440+1020)+30),R_EN,"&gt;"&amp;(INT(B$7)*1440+1020))</f>
        <v>1</v>
      </c>
      <c r="L35">
        <f>IF(K35&gt;0,_xlfn.MINIFS(R_ID,R_Emp,"Malcolm",R_Cnt,1,R_SN,"&lt;"&amp;((INT(B$7)*1440+1020)+30),R_EN,"&gt;"&amp;(INT(B$7)*1440+1020)),0)</f>
        <v>6</v>
      </c>
      <c r="M35">
        <f>COUNTIFS(R_Emp,"proMX",R_Cnt,1,R_SN,"&lt;"&amp;((INT(B$7)*1440+1020)+30),R_EN,"&gt;"&amp;(INT(B$7)*1440+1020))</f>
        <v>0</v>
      </c>
      <c r="N35">
        <f>IF(M35&gt;0,_xlfn.MINIFS(R_ID,R_Emp,"proMX",R_Cnt,1,R_SN,"&lt;"&amp;((INT(B$7)*1440+1020)+30),R_EN,"&gt;"&amp;(INT(B$7)*1440+1020)),0)</f>
        <v>0</v>
      </c>
      <c r="O35">
        <f>IF(AND(K35&gt;0,M35&gt;0),8,IF(K35&gt;0,1,IF(M35&gt;0,INDEX(R_StCode,N35),0)))</f>
        <v>1</v>
      </c>
      <c r="P35">
        <f>COUNTIFS(R_Emp,"Malcolm",R_Cnt,1,R_SN,"&lt;"&amp;((INT(C$7)*1440+1020)+30),R_EN,"&gt;"&amp;(INT(C$7)*1440+1020))</f>
        <v>0</v>
      </c>
      <c r="Q35">
        <f>IF(P35&gt;0,_xlfn.MINIFS(R_ID,R_Emp,"Malcolm",R_Cnt,1,R_SN,"&lt;"&amp;((INT(C$7)*1440+1020)+30),R_EN,"&gt;"&amp;(INT(C$7)*1440+1020)),0)</f>
        <v>0</v>
      </c>
      <c r="R35">
        <f>COUNTIFS(R_Emp,"proMX",R_Cnt,1,R_SN,"&lt;"&amp;((INT(C$7)*1440+1020)+30),R_EN,"&gt;"&amp;(INT(C$7)*1440+1020))</f>
        <v>0</v>
      </c>
      <c r="S35">
        <f>IF(R35&gt;0,_xlfn.MINIFS(R_ID,R_Emp,"proMX",R_Cnt,1,R_SN,"&lt;"&amp;((INT(C$7)*1440+1020)+30),R_EN,"&gt;"&amp;(INT(C$7)*1440+1020)),0)</f>
        <v>0</v>
      </c>
      <c r="T35">
        <f>IF(AND(P35&gt;0,R35&gt;0),8,IF(P35&gt;0,1,IF(R35&gt;0,INDEX(R_StCode,S35),0)))</f>
        <v>0</v>
      </c>
      <c r="U35">
        <f>COUNTIFS(R_Emp,"Malcolm",R_Cnt,1,R_SN,"&lt;"&amp;((INT(D$7)*1440+1020)+30),R_EN,"&gt;"&amp;(INT(D$7)*1440+1020))</f>
        <v>0</v>
      </c>
      <c r="V35">
        <f>IF(U35&gt;0,_xlfn.MINIFS(R_ID,R_Emp,"Malcolm",R_Cnt,1,R_SN,"&lt;"&amp;((INT(D$7)*1440+1020)+30),R_EN,"&gt;"&amp;(INT(D$7)*1440+1020)),0)</f>
        <v>0</v>
      </c>
      <c r="W35">
        <f>COUNTIFS(R_Emp,"proMX",R_Cnt,1,R_SN,"&lt;"&amp;((INT(D$7)*1440+1020)+30),R_EN,"&gt;"&amp;(INT(D$7)*1440+1020))</f>
        <v>0</v>
      </c>
      <c r="X35">
        <f>IF(W35&gt;0,_xlfn.MINIFS(R_ID,R_Emp,"proMX",R_Cnt,1,R_SN,"&lt;"&amp;((INT(D$7)*1440+1020)+30),R_EN,"&gt;"&amp;(INT(D$7)*1440+1020)),0)</f>
        <v>0</v>
      </c>
      <c r="Y35">
        <f>IF(AND(U35&gt;0,W35&gt;0),8,IF(U35&gt;0,1,IF(W35&gt;0,INDEX(R_StCode,X35),0)))</f>
        <v>0</v>
      </c>
      <c r="Z35">
        <f>COUNTIFS(R_Emp,"Malcolm",R_Cnt,1,R_SN,"&lt;"&amp;((INT(E$7)*1440+1020)+30),R_EN,"&gt;"&amp;(INT(E$7)*1440+1020))</f>
        <v>0</v>
      </c>
      <c r="AA35">
        <f>IF(Z35&gt;0,_xlfn.MINIFS(R_ID,R_Emp,"Malcolm",R_Cnt,1,R_SN,"&lt;"&amp;((INT(E$7)*1440+1020)+30),R_EN,"&gt;"&amp;(INT(E$7)*1440+1020)),0)</f>
        <v>0</v>
      </c>
      <c r="AB35">
        <f>COUNTIFS(R_Emp,"proMX",R_Cnt,1,R_SN,"&lt;"&amp;((INT(E$7)*1440+1020)+30),R_EN,"&gt;"&amp;(INT(E$7)*1440+1020))</f>
        <v>0</v>
      </c>
      <c r="AC35">
        <f>IF(AB35&gt;0,_xlfn.MINIFS(R_ID,R_Emp,"proMX",R_Cnt,1,R_SN,"&lt;"&amp;((INT(E$7)*1440+1020)+30),R_EN,"&gt;"&amp;(INT(E$7)*1440+1020)),0)</f>
        <v>0</v>
      </c>
      <c r="AD35">
        <f>IF(AND(Z35&gt;0,AB35&gt;0),8,IF(Z35&gt;0,1,IF(AB35&gt;0,INDEX(R_StCode,AC35),0)))</f>
        <v>0</v>
      </c>
      <c r="AE35">
        <f>COUNTIFS(R_Emp,"Malcolm",R_Cnt,1,R_SN,"&lt;"&amp;((INT(F$7)*1440+1020)+30),R_EN,"&gt;"&amp;(INT(F$7)*1440+1020))</f>
        <v>0</v>
      </c>
      <c r="AF35">
        <f>IF(AE35&gt;0,_xlfn.MINIFS(R_ID,R_Emp,"Malcolm",R_Cnt,1,R_SN,"&lt;"&amp;((INT(F$7)*1440+1020)+30),R_EN,"&gt;"&amp;(INT(F$7)*1440+1020)),0)</f>
        <v>0</v>
      </c>
      <c r="AG35">
        <f>COUNTIFS(R_Emp,"proMX",R_Cnt,1,R_SN,"&lt;"&amp;((INT(F$7)*1440+1020)+30),R_EN,"&gt;"&amp;(INT(F$7)*1440+1020))</f>
        <v>0</v>
      </c>
      <c r="AH35">
        <f>IF(AG35&gt;0,_xlfn.MINIFS(R_ID,R_Emp,"proMX",R_Cnt,1,R_SN,"&lt;"&amp;((INT(F$7)*1440+1020)+30),R_EN,"&gt;"&amp;(INT(F$7)*1440+1020)),0)</f>
        <v>0</v>
      </c>
      <c r="AI35">
        <f>IF(AND(AE35&gt;0,AG35&gt;0),8,IF(AE35&gt;0,1,IF(AG35&gt;0,INDEX(R_StCode,AH35),0)))</f>
        <v>0</v>
      </c>
      <c r="AJ35">
        <f>COUNTIFS(R_Emp,"Malcolm",R_Cnt,1,R_SN,"&lt;"&amp;((INT(G$7)*1440+1020)+30),R_EN,"&gt;"&amp;(INT(G$7)*1440+1020))</f>
        <v>0</v>
      </c>
      <c r="AK35">
        <f>IF(AJ35&gt;0,_xlfn.MINIFS(R_ID,R_Emp,"Malcolm",R_Cnt,1,R_SN,"&lt;"&amp;((INT(G$7)*1440+1020)+30),R_EN,"&gt;"&amp;(INT(G$7)*1440+1020)),0)</f>
        <v>0</v>
      </c>
      <c r="AL35">
        <f>COUNTIFS(R_Emp,"proMX",R_Cnt,1,R_SN,"&lt;"&amp;((INT(G$7)*1440+1020)+30),R_EN,"&gt;"&amp;(INT(G$7)*1440+1020))</f>
        <v>0</v>
      </c>
      <c r="AM35">
        <f>IF(AL35&gt;0,_xlfn.MINIFS(R_ID,R_Emp,"proMX",R_Cnt,1,R_SN,"&lt;"&amp;((INT(G$7)*1440+1020)+30),R_EN,"&gt;"&amp;(INT(G$7)*1440+1020)),0)</f>
        <v>0</v>
      </c>
      <c r="AN35">
        <f>IF(AND(AJ35&gt;0,AL35&gt;0),8,IF(AJ35&gt;0,1,IF(AL35&gt;0,INDEX(R_StCode,AM35),0)))</f>
        <v>0</v>
      </c>
      <c r="AO35">
        <f>COUNTIFS(R_Emp,"Malcolm",R_Cnt,1,R_SN,"&lt;"&amp;((INT(H$7)*1440+1020)+30),R_EN,"&gt;"&amp;(INT(H$7)*1440+1020))</f>
        <v>0</v>
      </c>
      <c r="AP35">
        <f>IF(AO35&gt;0,_xlfn.MINIFS(R_ID,R_Emp,"Malcolm",R_Cnt,1,R_SN,"&lt;"&amp;((INT(H$7)*1440+1020)+30),R_EN,"&gt;"&amp;(INT(H$7)*1440+1020)),0)</f>
        <v>0</v>
      </c>
      <c r="AQ35">
        <f>COUNTIFS(R_Emp,"proMX",R_Cnt,1,R_SN,"&lt;"&amp;((INT(H$7)*1440+1020)+30),R_EN,"&gt;"&amp;(INT(H$7)*1440+1020))</f>
        <v>0</v>
      </c>
      <c r="AR35">
        <f>IF(AQ35&gt;0,_xlfn.MINIFS(R_ID,R_Emp,"proMX",R_Cnt,1,R_SN,"&lt;"&amp;((INT(H$7)*1440+1020)+30),R_EN,"&gt;"&amp;(INT(H$7)*1440+1020)),0)</f>
        <v>0</v>
      </c>
      <c r="AS35">
        <f>IF(AND(AO35&gt;0,AQ35&gt;0),8,IF(AO35&gt;0,1,IF(AQ35&gt;0,INDEX(R_StCode,AR35),0)))</f>
        <v>0</v>
      </c>
    </row>
    <row r="36" ht="20" customHeight="1">
      <c r="A36" s="101" t="n">
        <v>0.7291666666666666</v>
      </c>
      <c r="B36" s="102" t="str">
        <f>IF(O36=0,"",IF(O36=8,"⚠ Malcolm + proMX",IF(O36=1,IF(K36&gt;1,"Malcolm ("&amp;K36&amp;" tareas)",IF(OR(FALSE,INDEX(R_SN,L36)&gt;=(INT(B$7)*1440+1050)),"Malcolm · "&amp;INDEX(R_Label,L36)&amp;" ("&amp;TEXT(INDEX(R_Ini,L36),"hh:mm")&amp;"–"&amp;TEXT(INDEX(R_Fin,L36),"hh:mm")&amp;")","")),IF(OR(FALSE,INDEX(R_SN,N36)&gt;=(INT(B$7)*1440+1050)),"proMX · "&amp;INDEX(R_Label,N36)&amp;" · "&amp;INDEX(R_St,N36),""))))</f>
        <v/>
      </c>
      <c r="C36" s="102" t="str">
        <f>IF(T36=0,"",IF(T36=8,"⚠ Malcolm + proMX",IF(T36=1,IF(P36&gt;1,"Malcolm ("&amp;P36&amp;" tareas)",IF(OR(FALSE,INDEX(R_SN,Q36)&gt;=(INT(C$7)*1440+1050)),"Malcolm · "&amp;INDEX(R_Label,Q36)&amp;" ("&amp;TEXT(INDEX(R_Ini,Q36),"hh:mm")&amp;"–"&amp;TEXT(INDEX(R_Fin,Q36),"hh:mm")&amp;")","")),IF(OR(FALSE,INDEX(R_SN,S36)&gt;=(INT(C$7)*1440+1050)),"proMX · "&amp;INDEX(R_Label,S36)&amp;" · "&amp;INDEX(R_St,S36),""))))</f>
        <v/>
      </c>
      <c r="D36" s="102" t="str">
        <f>IF(Y36=0,"",IF(Y36=8,"⚠ Malcolm + proMX",IF(Y36=1,IF(U36&gt;1,"Malcolm ("&amp;U36&amp;" tareas)",IF(OR(FALSE,INDEX(R_SN,V36)&gt;=(INT(D$7)*1440+1050)),"Malcolm · "&amp;INDEX(R_Label,V36)&amp;" ("&amp;TEXT(INDEX(R_Ini,V36),"hh:mm")&amp;"–"&amp;TEXT(INDEX(R_Fin,V36),"hh:mm")&amp;")","")),IF(OR(FALSE,INDEX(R_SN,X36)&gt;=(INT(D$7)*1440+1050)),"proMX · "&amp;INDEX(R_Label,X36)&amp;" · "&amp;INDEX(R_St,X36),""))))</f>
        <v/>
      </c>
      <c r="E36" s="102" t="str">
        <f>IF(AD36=0,"",IF(AD36=8,"⚠ Malcolm + proMX",IF(AD36=1,IF(Z36&gt;1,"Malcolm ("&amp;Z36&amp;" tareas)",IF(OR(FALSE,INDEX(R_SN,AA36)&gt;=(INT(E$7)*1440+1050)),"Malcolm · "&amp;INDEX(R_Label,AA36)&amp;" ("&amp;TEXT(INDEX(R_Ini,AA36),"hh:mm")&amp;"–"&amp;TEXT(INDEX(R_Fin,AA36),"hh:mm")&amp;")","")),IF(OR(FALSE,INDEX(R_SN,AC36)&gt;=(INT(E$7)*1440+1050)),"proMX · "&amp;INDEX(R_Label,AC36)&amp;" · "&amp;INDEX(R_St,AC36),""))))</f>
        <v/>
      </c>
      <c r="F36" s="102" t="str">
        <f>IF(AI36=0,"",IF(AI36=8,"⚠ Malcolm + proMX",IF(AI36=1,IF(AE36&gt;1,"Malcolm ("&amp;AE36&amp;" tareas)",IF(OR(FALSE,INDEX(R_SN,AF36)&gt;=(INT(F$7)*1440+1050)),"Malcolm · "&amp;INDEX(R_Label,AF36)&amp;" ("&amp;TEXT(INDEX(R_Ini,AF36),"hh:mm")&amp;"–"&amp;TEXT(INDEX(R_Fin,AF36),"hh:mm")&amp;")","")),IF(OR(FALSE,INDEX(R_SN,AH36)&gt;=(INT(F$7)*1440+1050)),"proMX · "&amp;INDEX(R_Label,AH36)&amp;" · "&amp;INDEX(R_St,AH36),""))))</f>
        <v/>
      </c>
      <c r="G36" s="102" t="str">
        <f>IF(AN36=0,"",IF(AN36=8,"⚠ Malcolm + proMX",IF(AN36=1,IF(AJ36&gt;1,"Malcolm ("&amp;AJ36&amp;" tareas)",IF(OR(FALSE,INDEX(R_SN,AK36)&gt;=(INT(G$7)*1440+1050)),"Malcolm · "&amp;INDEX(R_Label,AK36)&amp;" ("&amp;TEXT(INDEX(R_Ini,AK36),"hh:mm")&amp;"–"&amp;TEXT(INDEX(R_Fin,AK36),"hh:mm")&amp;")","")),IF(OR(FALSE,INDEX(R_SN,AM36)&gt;=(INT(G$7)*1440+1050)),"proMX · "&amp;INDEX(R_Label,AM36)&amp;" · "&amp;INDEX(R_St,AM36),""))))</f>
        <v/>
      </c>
      <c r="H36" s="102" t="str">
        <f>IF(AS36=0,"",IF(AS36=8,"⚠ Malcolm + proMX",IF(AS36=1,IF(AO36&gt;1,"Malcolm ("&amp;AO36&amp;" tareas)",IF(OR(FALSE,INDEX(R_SN,AP36)&gt;=(INT(H$7)*1440+1050)),"Malcolm · "&amp;INDEX(R_Label,AP36)&amp;" ("&amp;TEXT(INDEX(R_Ini,AP36),"hh:mm")&amp;"–"&amp;TEXT(INDEX(R_Fin,AP36),"hh:mm")&amp;")","")),IF(OR(FALSE,INDEX(R_SN,AR36)&gt;=(INT(H$7)*1440+1050)),"proMX · "&amp;INDEX(R_Label,AR36)&amp;" · "&amp;INDEX(R_St,AR36),""))))</f>
        <v/>
      </c>
      <c r="K36">
        <f>COUNTIFS(R_Emp,"Malcolm",R_Cnt,1,R_SN,"&lt;"&amp;((INT(B$7)*1440+1050)+30),R_EN,"&gt;"&amp;(INT(B$7)*1440+1050))</f>
        <v>1</v>
      </c>
      <c r="L36">
        <f>IF(K36&gt;0,_xlfn.MINIFS(R_ID,R_Emp,"Malcolm",R_Cnt,1,R_SN,"&lt;"&amp;((INT(B$7)*1440+1050)+30),R_EN,"&gt;"&amp;(INT(B$7)*1440+1050)),0)</f>
        <v>6</v>
      </c>
      <c r="M36">
        <f>COUNTIFS(R_Emp,"proMX",R_Cnt,1,R_SN,"&lt;"&amp;((INT(B$7)*1440+1050)+30),R_EN,"&gt;"&amp;(INT(B$7)*1440+1050))</f>
        <v>0</v>
      </c>
      <c r="N36">
        <f>IF(M36&gt;0,_xlfn.MINIFS(R_ID,R_Emp,"proMX",R_Cnt,1,R_SN,"&lt;"&amp;((INT(B$7)*1440+1050)+30),R_EN,"&gt;"&amp;(INT(B$7)*1440+1050)),0)</f>
        <v>0</v>
      </c>
      <c r="O36">
        <f>IF(AND(K36&gt;0,M36&gt;0),8,IF(K36&gt;0,1,IF(M36&gt;0,INDEX(R_StCode,N36),0)))</f>
        <v>1</v>
      </c>
      <c r="P36">
        <f>COUNTIFS(R_Emp,"Malcolm",R_Cnt,1,R_SN,"&lt;"&amp;((INT(C$7)*1440+1050)+30),R_EN,"&gt;"&amp;(INT(C$7)*1440+1050))</f>
        <v>0</v>
      </c>
      <c r="Q36">
        <f>IF(P36&gt;0,_xlfn.MINIFS(R_ID,R_Emp,"Malcolm",R_Cnt,1,R_SN,"&lt;"&amp;((INT(C$7)*1440+1050)+30),R_EN,"&gt;"&amp;(INT(C$7)*1440+1050)),0)</f>
        <v>0</v>
      </c>
      <c r="R36">
        <f>COUNTIFS(R_Emp,"proMX",R_Cnt,1,R_SN,"&lt;"&amp;((INT(C$7)*1440+1050)+30),R_EN,"&gt;"&amp;(INT(C$7)*1440+1050))</f>
        <v>0</v>
      </c>
      <c r="S36">
        <f>IF(R36&gt;0,_xlfn.MINIFS(R_ID,R_Emp,"proMX",R_Cnt,1,R_SN,"&lt;"&amp;((INT(C$7)*1440+1050)+30),R_EN,"&gt;"&amp;(INT(C$7)*1440+1050)),0)</f>
        <v>0</v>
      </c>
      <c r="T36">
        <f>IF(AND(P36&gt;0,R36&gt;0),8,IF(P36&gt;0,1,IF(R36&gt;0,INDEX(R_StCode,S36),0)))</f>
        <v>0</v>
      </c>
      <c r="U36">
        <f>COUNTIFS(R_Emp,"Malcolm",R_Cnt,1,R_SN,"&lt;"&amp;((INT(D$7)*1440+1050)+30),R_EN,"&gt;"&amp;(INT(D$7)*1440+1050))</f>
        <v>0</v>
      </c>
      <c r="V36">
        <f>IF(U36&gt;0,_xlfn.MINIFS(R_ID,R_Emp,"Malcolm",R_Cnt,1,R_SN,"&lt;"&amp;((INT(D$7)*1440+1050)+30),R_EN,"&gt;"&amp;(INT(D$7)*1440+1050)),0)</f>
        <v>0</v>
      </c>
      <c r="W36">
        <f>COUNTIFS(R_Emp,"proMX",R_Cnt,1,R_SN,"&lt;"&amp;((INT(D$7)*1440+1050)+30),R_EN,"&gt;"&amp;(INT(D$7)*1440+1050))</f>
        <v>0</v>
      </c>
      <c r="X36">
        <f>IF(W36&gt;0,_xlfn.MINIFS(R_ID,R_Emp,"proMX",R_Cnt,1,R_SN,"&lt;"&amp;((INT(D$7)*1440+1050)+30),R_EN,"&gt;"&amp;(INT(D$7)*1440+1050)),0)</f>
        <v>0</v>
      </c>
      <c r="Y36">
        <f>IF(AND(U36&gt;0,W36&gt;0),8,IF(U36&gt;0,1,IF(W36&gt;0,INDEX(R_StCode,X36),0)))</f>
        <v>0</v>
      </c>
      <c r="Z36">
        <f>COUNTIFS(R_Emp,"Malcolm",R_Cnt,1,R_SN,"&lt;"&amp;((INT(E$7)*1440+1050)+30),R_EN,"&gt;"&amp;(INT(E$7)*1440+1050))</f>
        <v>0</v>
      </c>
      <c r="AA36">
        <f>IF(Z36&gt;0,_xlfn.MINIFS(R_ID,R_Emp,"Malcolm",R_Cnt,1,R_SN,"&lt;"&amp;((INT(E$7)*1440+1050)+30),R_EN,"&gt;"&amp;(INT(E$7)*1440+1050)),0)</f>
        <v>0</v>
      </c>
      <c r="AB36">
        <f>COUNTIFS(R_Emp,"proMX",R_Cnt,1,R_SN,"&lt;"&amp;((INT(E$7)*1440+1050)+30),R_EN,"&gt;"&amp;(INT(E$7)*1440+1050))</f>
        <v>0</v>
      </c>
      <c r="AC36">
        <f>IF(AB36&gt;0,_xlfn.MINIFS(R_ID,R_Emp,"proMX",R_Cnt,1,R_SN,"&lt;"&amp;((INT(E$7)*1440+1050)+30),R_EN,"&gt;"&amp;(INT(E$7)*1440+1050)),0)</f>
        <v>0</v>
      </c>
      <c r="AD36">
        <f>IF(AND(Z36&gt;0,AB36&gt;0),8,IF(Z36&gt;0,1,IF(AB36&gt;0,INDEX(R_StCode,AC36),0)))</f>
        <v>0</v>
      </c>
      <c r="AE36">
        <f>COUNTIFS(R_Emp,"Malcolm",R_Cnt,1,R_SN,"&lt;"&amp;((INT(F$7)*1440+1050)+30),R_EN,"&gt;"&amp;(INT(F$7)*1440+1050))</f>
        <v>0</v>
      </c>
      <c r="AF36">
        <f>IF(AE36&gt;0,_xlfn.MINIFS(R_ID,R_Emp,"Malcolm",R_Cnt,1,R_SN,"&lt;"&amp;((INT(F$7)*1440+1050)+30),R_EN,"&gt;"&amp;(INT(F$7)*1440+1050)),0)</f>
        <v>0</v>
      </c>
      <c r="AG36">
        <f>COUNTIFS(R_Emp,"proMX",R_Cnt,1,R_SN,"&lt;"&amp;((INT(F$7)*1440+1050)+30),R_EN,"&gt;"&amp;(INT(F$7)*1440+1050))</f>
        <v>0</v>
      </c>
      <c r="AH36">
        <f>IF(AG36&gt;0,_xlfn.MINIFS(R_ID,R_Emp,"proMX",R_Cnt,1,R_SN,"&lt;"&amp;((INT(F$7)*1440+1050)+30),R_EN,"&gt;"&amp;(INT(F$7)*1440+1050)),0)</f>
        <v>0</v>
      </c>
      <c r="AI36">
        <f>IF(AND(AE36&gt;0,AG36&gt;0),8,IF(AE36&gt;0,1,IF(AG36&gt;0,INDEX(R_StCode,AH36),0)))</f>
        <v>0</v>
      </c>
      <c r="AJ36">
        <f>COUNTIFS(R_Emp,"Malcolm",R_Cnt,1,R_SN,"&lt;"&amp;((INT(G$7)*1440+1050)+30),R_EN,"&gt;"&amp;(INT(G$7)*1440+1050))</f>
        <v>0</v>
      </c>
      <c r="AK36">
        <f>IF(AJ36&gt;0,_xlfn.MINIFS(R_ID,R_Emp,"Malcolm",R_Cnt,1,R_SN,"&lt;"&amp;((INT(G$7)*1440+1050)+30),R_EN,"&gt;"&amp;(INT(G$7)*1440+1050)),0)</f>
        <v>0</v>
      </c>
      <c r="AL36">
        <f>COUNTIFS(R_Emp,"proMX",R_Cnt,1,R_SN,"&lt;"&amp;((INT(G$7)*1440+1050)+30),R_EN,"&gt;"&amp;(INT(G$7)*1440+1050))</f>
        <v>0</v>
      </c>
      <c r="AM36">
        <f>IF(AL36&gt;0,_xlfn.MINIFS(R_ID,R_Emp,"proMX",R_Cnt,1,R_SN,"&lt;"&amp;((INT(G$7)*1440+1050)+30),R_EN,"&gt;"&amp;(INT(G$7)*1440+1050)),0)</f>
        <v>0</v>
      </c>
      <c r="AN36">
        <f>IF(AND(AJ36&gt;0,AL36&gt;0),8,IF(AJ36&gt;0,1,IF(AL36&gt;0,INDEX(R_StCode,AM36),0)))</f>
        <v>0</v>
      </c>
      <c r="AO36">
        <f>COUNTIFS(R_Emp,"Malcolm",R_Cnt,1,R_SN,"&lt;"&amp;((INT(H$7)*1440+1050)+30),R_EN,"&gt;"&amp;(INT(H$7)*1440+1050))</f>
        <v>0</v>
      </c>
      <c r="AP36">
        <f>IF(AO36&gt;0,_xlfn.MINIFS(R_ID,R_Emp,"Malcolm",R_Cnt,1,R_SN,"&lt;"&amp;((INT(H$7)*1440+1050)+30),R_EN,"&gt;"&amp;(INT(H$7)*1440+1050)),0)</f>
        <v>0</v>
      </c>
      <c r="AQ36">
        <f>COUNTIFS(R_Emp,"proMX",R_Cnt,1,R_SN,"&lt;"&amp;((INT(H$7)*1440+1050)+30),R_EN,"&gt;"&amp;(INT(H$7)*1440+1050))</f>
        <v>0</v>
      </c>
      <c r="AR36">
        <f>IF(AQ36&gt;0,_xlfn.MINIFS(R_ID,R_Emp,"proMX",R_Cnt,1,R_SN,"&lt;"&amp;((INT(H$7)*1440+1050)+30),R_EN,"&gt;"&amp;(INT(H$7)*1440+1050)),0)</f>
        <v>0</v>
      </c>
      <c r="AS36">
        <f>IF(AND(AO36&gt;0,AQ36&gt;0),8,IF(AO36&gt;0,1,IF(AQ36&gt;0,INDEX(R_StCode,AR36),0)))</f>
        <v>0</v>
      </c>
    </row>
    <row r="37" ht="20" customHeight="1">
      <c r="A37" s="101" t="n">
        <v>0.75</v>
      </c>
      <c r="B37" s="102" t="str">
        <f>IF(O37=0,"",IF(O37=8,"⚠ Malcolm + proMX",IF(O37=1,IF(K37&gt;1,"Malcolm ("&amp;K37&amp;" tareas)",IF(OR(FALSE,INDEX(R_SN,L37)&gt;=(INT(B$7)*1440+1080)),"Malcolm · "&amp;INDEX(R_Label,L37)&amp;" ("&amp;TEXT(INDEX(R_Ini,L37),"hh:mm")&amp;"–"&amp;TEXT(INDEX(R_Fin,L37),"hh:mm")&amp;")","")),IF(OR(FALSE,INDEX(R_SN,N37)&gt;=(INT(B$7)*1440+1080)),"proMX · "&amp;INDEX(R_Label,N37)&amp;" · "&amp;INDEX(R_St,N37),""))))</f>
        <v/>
      </c>
      <c r="C37" s="102" t="str">
        <f>IF(T37=0,"",IF(T37=8,"⚠ Malcolm + proMX",IF(T37=1,IF(P37&gt;1,"Malcolm ("&amp;P37&amp;" tareas)",IF(OR(FALSE,INDEX(R_SN,Q37)&gt;=(INT(C$7)*1440+1080)),"Malcolm · "&amp;INDEX(R_Label,Q37)&amp;" ("&amp;TEXT(INDEX(R_Ini,Q37),"hh:mm")&amp;"–"&amp;TEXT(INDEX(R_Fin,Q37),"hh:mm")&amp;")","")),IF(OR(FALSE,INDEX(R_SN,S37)&gt;=(INT(C$7)*1440+1080)),"proMX · "&amp;INDEX(R_Label,S37)&amp;" · "&amp;INDEX(R_St,S37),""))))</f>
        <v/>
      </c>
      <c r="D37" s="102" t="str">
        <f>IF(Y37=0,"",IF(Y37=8,"⚠ Malcolm + proMX",IF(Y37=1,IF(U37&gt;1,"Malcolm ("&amp;U37&amp;" tareas)",IF(OR(FALSE,INDEX(R_SN,V37)&gt;=(INT(D$7)*1440+1080)),"Malcolm · "&amp;INDEX(R_Label,V37)&amp;" ("&amp;TEXT(INDEX(R_Ini,V37),"hh:mm")&amp;"–"&amp;TEXT(INDEX(R_Fin,V37),"hh:mm")&amp;")","")),IF(OR(FALSE,INDEX(R_SN,X37)&gt;=(INT(D$7)*1440+1080)),"proMX · "&amp;INDEX(R_Label,X37)&amp;" · "&amp;INDEX(R_St,X37),""))))</f>
        <v/>
      </c>
      <c r="E37" s="102" t="str">
        <f>IF(AD37=0,"",IF(AD37=8,"⚠ Malcolm + proMX",IF(AD37=1,IF(Z37&gt;1,"Malcolm ("&amp;Z37&amp;" tareas)",IF(OR(FALSE,INDEX(R_SN,AA37)&gt;=(INT(E$7)*1440+1080)),"Malcolm · "&amp;INDEX(R_Label,AA37)&amp;" ("&amp;TEXT(INDEX(R_Ini,AA37),"hh:mm")&amp;"–"&amp;TEXT(INDEX(R_Fin,AA37),"hh:mm")&amp;")","")),IF(OR(FALSE,INDEX(R_SN,AC37)&gt;=(INT(E$7)*1440+1080)),"proMX · "&amp;INDEX(R_Label,AC37)&amp;" · "&amp;INDEX(R_St,AC37),""))))</f>
        <v/>
      </c>
      <c r="F37" s="102" t="str">
        <f>IF(AI37=0,"",IF(AI37=8,"⚠ Malcolm + proMX",IF(AI37=1,IF(AE37&gt;1,"Malcolm ("&amp;AE37&amp;" tareas)",IF(OR(FALSE,INDEX(R_SN,AF37)&gt;=(INT(F$7)*1440+1080)),"Malcolm · "&amp;INDEX(R_Label,AF37)&amp;" ("&amp;TEXT(INDEX(R_Ini,AF37),"hh:mm")&amp;"–"&amp;TEXT(INDEX(R_Fin,AF37),"hh:mm")&amp;")","")),IF(OR(FALSE,INDEX(R_SN,AH37)&gt;=(INT(F$7)*1440+1080)),"proMX · "&amp;INDEX(R_Label,AH37)&amp;" · "&amp;INDEX(R_St,AH37),""))))</f>
        <v/>
      </c>
      <c r="G37" s="102" t="str">
        <f>IF(AN37=0,"",IF(AN37=8,"⚠ Malcolm + proMX",IF(AN37=1,IF(AJ37&gt;1,"Malcolm ("&amp;AJ37&amp;" tareas)",IF(OR(FALSE,INDEX(R_SN,AK37)&gt;=(INT(G$7)*1440+1080)),"Malcolm · "&amp;INDEX(R_Label,AK37)&amp;" ("&amp;TEXT(INDEX(R_Ini,AK37),"hh:mm")&amp;"–"&amp;TEXT(INDEX(R_Fin,AK37),"hh:mm")&amp;")","")),IF(OR(FALSE,INDEX(R_SN,AM37)&gt;=(INT(G$7)*1440+1080)),"proMX · "&amp;INDEX(R_Label,AM37)&amp;" · "&amp;INDEX(R_St,AM37),""))))</f>
        <v/>
      </c>
      <c r="H37" s="102" t="str">
        <f>IF(AS37=0,"",IF(AS37=8,"⚠ Malcolm + proMX",IF(AS37=1,IF(AO37&gt;1,"Malcolm ("&amp;AO37&amp;" tareas)",IF(OR(FALSE,INDEX(R_SN,AP37)&gt;=(INT(H$7)*1440+1080)),"Malcolm · "&amp;INDEX(R_Label,AP37)&amp;" ("&amp;TEXT(INDEX(R_Ini,AP37),"hh:mm")&amp;"–"&amp;TEXT(INDEX(R_Fin,AP37),"hh:mm")&amp;")","")),IF(OR(FALSE,INDEX(R_SN,AR37)&gt;=(INT(H$7)*1440+1080)),"proMX · "&amp;INDEX(R_Label,AR37)&amp;" · "&amp;INDEX(R_St,AR37),""))))</f>
        <v/>
      </c>
      <c r="K37">
        <f>COUNTIFS(R_Emp,"Malcolm",R_Cnt,1,R_SN,"&lt;"&amp;((INT(B$7)*1440+1080)+30),R_EN,"&gt;"&amp;(INT(B$7)*1440+1080))</f>
        <v>1</v>
      </c>
      <c r="L37">
        <f>IF(K37&gt;0,_xlfn.MINIFS(R_ID,R_Emp,"Malcolm",R_Cnt,1,R_SN,"&lt;"&amp;((INT(B$7)*1440+1080)+30),R_EN,"&gt;"&amp;(INT(B$7)*1440+1080)),0)</f>
        <v>6</v>
      </c>
      <c r="M37">
        <f>COUNTIFS(R_Emp,"proMX",R_Cnt,1,R_SN,"&lt;"&amp;((INT(B$7)*1440+1080)+30),R_EN,"&gt;"&amp;(INT(B$7)*1440+1080))</f>
        <v>0</v>
      </c>
      <c r="N37">
        <f>IF(M37&gt;0,_xlfn.MINIFS(R_ID,R_Emp,"proMX",R_Cnt,1,R_SN,"&lt;"&amp;((INT(B$7)*1440+1080)+30),R_EN,"&gt;"&amp;(INT(B$7)*1440+1080)),0)</f>
        <v>0</v>
      </c>
      <c r="O37">
        <f>IF(AND(K37&gt;0,M37&gt;0),8,IF(K37&gt;0,1,IF(M37&gt;0,INDEX(R_StCode,N37),0)))</f>
        <v>1</v>
      </c>
      <c r="P37">
        <f>COUNTIFS(R_Emp,"Malcolm",R_Cnt,1,R_SN,"&lt;"&amp;((INT(C$7)*1440+1080)+30),R_EN,"&gt;"&amp;(INT(C$7)*1440+1080))</f>
        <v>0</v>
      </c>
      <c r="Q37">
        <f>IF(P37&gt;0,_xlfn.MINIFS(R_ID,R_Emp,"Malcolm",R_Cnt,1,R_SN,"&lt;"&amp;((INT(C$7)*1440+1080)+30),R_EN,"&gt;"&amp;(INT(C$7)*1440+1080)),0)</f>
        <v>0</v>
      </c>
      <c r="R37">
        <f>COUNTIFS(R_Emp,"proMX",R_Cnt,1,R_SN,"&lt;"&amp;((INT(C$7)*1440+1080)+30),R_EN,"&gt;"&amp;(INT(C$7)*1440+1080))</f>
        <v>0</v>
      </c>
      <c r="S37">
        <f>IF(R37&gt;0,_xlfn.MINIFS(R_ID,R_Emp,"proMX",R_Cnt,1,R_SN,"&lt;"&amp;((INT(C$7)*1440+1080)+30),R_EN,"&gt;"&amp;(INT(C$7)*1440+1080)),0)</f>
        <v>0</v>
      </c>
      <c r="T37">
        <f>IF(AND(P37&gt;0,R37&gt;0),8,IF(P37&gt;0,1,IF(R37&gt;0,INDEX(R_StCode,S37),0)))</f>
        <v>0</v>
      </c>
      <c r="U37">
        <f>COUNTIFS(R_Emp,"Malcolm",R_Cnt,1,R_SN,"&lt;"&amp;((INT(D$7)*1440+1080)+30),R_EN,"&gt;"&amp;(INT(D$7)*1440+1080))</f>
        <v>0</v>
      </c>
      <c r="V37">
        <f>IF(U37&gt;0,_xlfn.MINIFS(R_ID,R_Emp,"Malcolm",R_Cnt,1,R_SN,"&lt;"&amp;((INT(D$7)*1440+1080)+30),R_EN,"&gt;"&amp;(INT(D$7)*1440+1080)),0)</f>
        <v>0</v>
      </c>
      <c r="W37">
        <f>COUNTIFS(R_Emp,"proMX",R_Cnt,1,R_SN,"&lt;"&amp;((INT(D$7)*1440+1080)+30),R_EN,"&gt;"&amp;(INT(D$7)*1440+1080))</f>
        <v>0</v>
      </c>
      <c r="X37">
        <f>IF(W37&gt;0,_xlfn.MINIFS(R_ID,R_Emp,"proMX",R_Cnt,1,R_SN,"&lt;"&amp;((INT(D$7)*1440+1080)+30),R_EN,"&gt;"&amp;(INT(D$7)*1440+1080)),0)</f>
        <v>0</v>
      </c>
      <c r="Y37">
        <f>IF(AND(U37&gt;0,W37&gt;0),8,IF(U37&gt;0,1,IF(W37&gt;0,INDEX(R_StCode,X37),0)))</f>
        <v>0</v>
      </c>
      <c r="Z37">
        <f>COUNTIFS(R_Emp,"Malcolm",R_Cnt,1,R_SN,"&lt;"&amp;((INT(E$7)*1440+1080)+30),R_EN,"&gt;"&amp;(INT(E$7)*1440+1080))</f>
        <v>0</v>
      </c>
      <c r="AA37">
        <f>IF(Z37&gt;0,_xlfn.MINIFS(R_ID,R_Emp,"Malcolm",R_Cnt,1,R_SN,"&lt;"&amp;((INT(E$7)*1440+1080)+30),R_EN,"&gt;"&amp;(INT(E$7)*1440+1080)),0)</f>
        <v>0</v>
      </c>
      <c r="AB37">
        <f>COUNTIFS(R_Emp,"proMX",R_Cnt,1,R_SN,"&lt;"&amp;((INT(E$7)*1440+1080)+30),R_EN,"&gt;"&amp;(INT(E$7)*1440+1080))</f>
        <v>0</v>
      </c>
      <c r="AC37">
        <f>IF(AB37&gt;0,_xlfn.MINIFS(R_ID,R_Emp,"proMX",R_Cnt,1,R_SN,"&lt;"&amp;((INT(E$7)*1440+1080)+30),R_EN,"&gt;"&amp;(INT(E$7)*1440+1080)),0)</f>
        <v>0</v>
      </c>
      <c r="AD37">
        <f>IF(AND(Z37&gt;0,AB37&gt;0),8,IF(Z37&gt;0,1,IF(AB37&gt;0,INDEX(R_StCode,AC37),0)))</f>
        <v>0</v>
      </c>
      <c r="AE37">
        <f>COUNTIFS(R_Emp,"Malcolm",R_Cnt,1,R_SN,"&lt;"&amp;((INT(F$7)*1440+1080)+30),R_EN,"&gt;"&amp;(INT(F$7)*1440+1080))</f>
        <v>0</v>
      </c>
      <c r="AF37">
        <f>IF(AE37&gt;0,_xlfn.MINIFS(R_ID,R_Emp,"Malcolm",R_Cnt,1,R_SN,"&lt;"&amp;((INT(F$7)*1440+1080)+30),R_EN,"&gt;"&amp;(INT(F$7)*1440+1080)),0)</f>
        <v>0</v>
      </c>
      <c r="AG37">
        <f>COUNTIFS(R_Emp,"proMX",R_Cnt,1,R_SN,"&lt;"&amp;((INT(F$7)*1440+1080)+30),R_EN,"&gt;"&amp;(INT(F$7)*1440+1080))</f>
        <v>0</v>
      </c>
      <c r="AH37">
        <f>IF(AG37&gt;0,_xlfn.MINIFS(R_ID,R_Emp,"proMX",R_Cnt,1,R_SN,"&lt;"&amp;((INT(F$7)*1440+1080)+30),R_EN,"&gt;"&amp;(INT(F$7)*1440+1080)),0)</f>
        <v>0</v>
      </c>
      <c r="AI37">
        <f>IF(AND(AE37&gt;0,AG37&gt;0),8,IF(AE37&gt;0,1,IF(AG37&gt;0,INDEX(R_StCode,AH37),0)))</f>
        <v>0</v>
      </c>
      <c r="AJ37">
        <f>COUNTIFS(R_Emp,"Malcolm",R_Cnt,1,R_SN,"&lt;"&amp;((INT(G$7)*1440+1080)+30),R_EN,"&gt;"&amp;(INT(G$7)*1440+1080))</f>
        <v>0</v>
      </c>
      <c r="AK37">
        <f>IF(AJ37&gt;0,_xlfn.MINIFS(R_ID,R_Emp,"Malcolm",R_Cnt,1,R_SN,"&lt;"&amp;((INT(G$7)*1440+1080)+30),R_EN,"&gt;"&amp;(INT(G$7)*1440+1080)),0)</f>
        <v>0</v>
      </c>
      <c r="AL37">
        <f>COUNTIFS(R_Emp,"proMX",R_Cnt,1,R_SN,"&lt;"&amp;((INT(G$7)*1440+1080)+30),R_EN,"&gt;"&amp;(INT(G$7)*1440+1080))</f>
        <v>0</v>
      </c>
      <c r="AM37">
        <f>IF(AL37&gt;0,_xlfn.MINIFS(R_ID,R_Emp,"proMX",R_Cnt,1,R_SN,"&lt;"&amp;((INT(G$7)*1440+1080)+30),R_EN,"&gt;"&amp;(INT(G$7)*1440+1080)),0)</f>
        <v>0</v>
      </c>
      <c r="AN37">
        <f>IF(AND(AJ37&gt;0,AL37&gt;0),8,IF(AJ37&gt;0,1,IF(AL37&gt;0,INDEX(R_StCode,AM37),0)))</f>
        <v>0</v>
      </c>
      <c r="AO37">
        <f>COUNTIFS(R_Emp,"Malcolm",R_Cnt,1,R_SN,"&lt;"&amp;((INT(H$7)*1440+1080)+30),R_EN,"&gt;"&amp;(INT(H$7)*1440+1080))</f>
        <v>0</v>
      </c>
      <c r="AP37">
        <f>IF(AO37&gt;0,_xlfn.MINIFS(R_ID,R_Emp,"Malcolm",R_Cnt,1,R_SN,"&lt;"&amp;((INT(H$7)*1440+1080)+30),R_EN,"&gt;"&amp;(INT(H$7)*1440+1080)),0)</f>
        <v>0</v>
      </c>
      <c r="AQ37">
        <f>COUNTIFS(R_Emp,"proMX",R_Cnt,1,R_SN,"&lt;"&amp;((INT(H$7)*1440+1080)+30),R_EN,"&gt;"&amp;(INT(H$7)*1440+1080))</f>
        <v>0</v>
      </c>
      <c r="AR37">
        <f>IF(AQ37&gt;0,_xlfn.MINIFS(R_ID,R_Emp,"proMX",R_Cnt,1,R_SN,"&lt;"&amp;((INT(H$7)*1440+1080)+30),R_EN,"&gt;"&amp;(INT(H$7)*1440+1080)),0)</f>
        <v>0</v>
      </c>
      <c r="AS37">
        <f>IF(AND(AO37&gt;0,AQ37&gt;0),8,IF(AO37&gt;0,1,IF(AQ37&gt;0,INDEX(R_StCode,AR37),0)))</f>
        <v>0</v>
      </c>
    </row>
    <row r="38" ht="20" customHeight="1">
      <c r="A38" s="101" t="n">
        <v>0.7708333333333334</v>
      </c>
      <c r="B38" s="102" t="str">
        <f>IF(O38=0,"",IF(O38=8,"⚠ Malcolm + proMX",IF(O38=1,IF(K38&gt;1,"Malcolm ("&amp;K38&amp;" tareas)",IF(OR(FALSE,INDEX(R_SN,L38)&gt;=(INT(B$7)*1440+1110)),"Malcolm · "&amp;INDEX(R_Label,L38)&amp;" ("&amp;TEXT(INDEX(R_Ini,L38),"hh:mm")&amp;"–"&amp;TEXT(INDEX(R_Fin,L38),"hh:mm")&amp;")","")),IF(OR(FALSE,INDEX(R_SN,N38)&gt;=(INT(B$7)*1440+1110)),"proMX · "&amp;INDEX(R_Label,N38)&amp;" · "&amp;INDEX(R_St,N38),""))))</f>
        <v/>
      </c>
      <c r="C38" s="102" t="str">
        <f>IF(T38=0,"",IF(T38=8,"⚠ Malcolm + proMX",IF(T38=1,IF(P38&gt;1,"Malcolm ("&amp;P38&amp;" tareas)",IF(OR(FALSE,INDEX(R_SN,Q38)&gt;=(INT(C$7)*1440+1110)),"Malcolm · "&amp;INDEX(R_Label,Q38)&amp;" ("&amp;TEXT(INDEX(R_Ini,Q38),"hh:mm")&amp;"–"&amp;TEXT(INDEX(R_Fin,Q38),"hh:mm")&amp;")","")),IF(OR(FALSE,INDEX(R_SN,S38)&gt;=(INT(C$7)*1440+1110)),"proMX · "&amp;INDEX(R_Label,S38)&amp;" · "&amp;INDEX(R_St,S38),""))))</f>
        <v/>
      </c>
      <c r="D38" s="102" t="str">
        <f>IF(Y38=0,"",IF(Y38=8,"⚠ Malcolm + proMX",IF(Y38=1,IF(U38&gt;1,"Malcolm ("&amp;U38&amp;" tareas)",IF(OR(FALSE,INDEX(R_SN,V38)&gt;=(INT(D$7)*1440+1110)),"Malcolm · "&amp;INDEX(R_Label,V38)&amp;" ("&amp;TEXT(INDEX(R_Ini,V38),"hh:mm")&amp;"–"&amp;TEXT(INDEX(R_Fin,V38),"hh:mm")&amp;")","")),IF(OR(FALSE,INDEX(R_SN,X38)&gt;=(INT(D$7)*1440+1110)),"proMX · "&amp;INDEX(R_Label,X38)&amp;" · "&amp;INDEX(R_St,X38),""))))</f>
        <v/>
      </c>
      <c r="E38" s="102" t="str">
        <f>IF(AD38=0,"",IF(AD38=8,"⚠ Malcolm + proMX",IF(AD38=1,IF(Z38&gt;1,"Malcolm ("&amp;Z38&amp;" tareas)",IF(OR(FALSE,INDEX(R_SN,AA38)&gt;=(INT(E$7)*1440+1110)),"Malcolm · "&amp;INDEX(R_Label,AA38)&amp;" ("&amp;TEXT(INDEX(R_Ini,AA38),"hh:mm")&amp;"–"&amp;TEXT(INDEX(R_Fin,AA38),"hh:mm")&amp;")","")),IF(OR(FALSE,INDEX(R_SN,AC38)&gt;=(INT(E$7)*1440+1110)),"proMX · "&amp;INDEX(R_Label,AC38)&amp;" · "&amp;INDEX(R_St,AC38),""))))</f>
        <v/>
      </c>
      <c r="F38" s="102" t="str">
        <f>IF(AI38=0,"",IF(AI38=8,"⚠ Malcolm + proMX",IF(AI38=1,IF(AE38&gt;1,"Malcolm ("&amp;AE38&amp;" tareas)",IF(OR(FALSE,INDEX(R_SN,AF38)&gt;=(INT(F$7)*1440+1110)),"Malcolm · "&amp;INDEX(R_Label,AF38)&amp;" ("&amp;TEXT(INDEX(R_Ini,AF38),"hh:mm")&amp;"–"&amp;TEXT(INDEX(R_Fin,AF38),"hh:mm")&amp;")","")),IF(OR(FALSE,INDEX(R_SN,AH38)&gt;=(INT(F$7)*1440+1110)),"proMX · "&amp;INDEX(R_Label,AH38)&amp;" · "&amp;INDEX(R_St,AH38),""))))</f>
        <v/>
      </c>
      <c r="G38" s="102" t="str">
        <f>IF(AN38=0,"",IF(AN38=8,"⚠ Malcolm + proMX",IF(AN38=1,IF(AJ38&gt;1,"Malcolm ("&amp;AJ38&amp;" tareas)",IF(OR(FALSE,INDEX(R_SN,AK38)&gt;=(INT(G$7)*1440+1110)),"Malcolm · "&amp;INDEX(R_Label,AK38)&amp;" ("&amp;TEXT(INDEX(R_Ini,AK38),"hh:mm")&amp;"–"&amp;TEXT(INDEX(R_Fin,AK38),"hh:mm")&amp;")","")),IF(OR(FALSE,INDEX(R_SN,AM38)&gt;=(INT(G$7)*1440+1110)),"proMX · "&amp;INDEX(R_Label,AM38)&amp;" · "&amp;INDEX(R_St,AM38),""))))</f>
        <v/>
      </c>
      <c r="H38" s="102" t="str">
        <f>IF(AS38=0,"",IF(AS38=8,"⚠ Malcolm + proMX",IF(AS38=1,IF(AO38&gt;1,"Malcolm ("&amp;AO38&amp;" tareas)",IF(OR(FALSE,INDEX(R_SN,AP38)&gt;=(INT(H$7)*1440+1110)),"Malcolm · "&amp;INDEX(R_Label,AP38)&amp;" ("&amp;TEXT(INDEX(R_Ini,AP38),"hh:mm")&amp;"–"&amp;TEXT(INDEX(R_Fin,AP38),"hh:mm")&amp;")","")),IF(OR(FALSE,INDEX(R_SN,AR38)&gt;=(INT(H$7)*1440+1110)),"proMX · "&amp;INDEX(R_Label,AR38)&amp;" · "&amp;INDEX(R_St,AR38),""))))</f>
        <v/>
      </c>
      <c r="K38">
        <f>COUNTIFS(R_Emp,"Malcolm",R_Cnt,1,R_SN,"&lt;"&amp;((INT(B$7)*1440+1110)+30),R_EN,"&gt;"&amp;(INT(B$7)*1440+1110))</f>
        <v>1</v>
      </c>
      <c r="L38">
        <f>IF(K38&gt;0,_xlfn.MINIFS(R_ID,R_Emp,"Malcolm",R_Cnt,1,R_SN,"&lt;"&amp;((INT(B$7)*1440+1110)+30),R_EN,"&gt;"&amp;(INT(B$7)*1440+1110)),0)</f>
        <v>6</v>
      </c>
      <c r="M38">
        <f>COUNTIFS(R_Emp,"proMX",R_Cnt,1,R_SN,"&lt;"&amp;((INT(B$7)*1440+1110)+30),R_EN,"&gt;"&amp;(INT(B$7)*1440+1110))</f>
        <v>0</v>
      </c>
      <c r="N38">
        <f>IF(M38&gt;0,_xlfn.MINIFS(R_ID,R_Emp,"proMX",R_Cnt,1,R_SN,"&lt;"&amp;((INT(B$7)*1440+1110)+30),R_EN,"&gt;"&amp;(INT(B$7)*1440+1110)),0)</f>
        <v>0</v>
      </c>
      <c r="O38">
        <f>IF(AND(K38&gt;0,M38&gt;0),8,IF(K38&gt;0,1,IF(M38&gt;0,INDEX(R_StCode,N38),0)))</f>
        <v>1</v>
      </c>
      <c r="P38">
        <f>COUNTIFS(R_Emp,"Malcolm",R_Cnt,1,R_SN,"&lt;"&amp;((INT(C$7)*1440+1110)+30),R_EN,"&gt;"&amp;(INT(C$7)*1440+1110))</f>
        <v>0</v>
      </c>
      <c r="Q38">
        <f>IF(P38&gt;0,_xlfn.MINIFS(R_ID,R_Emp,"Malcolm",R_Cnt,1,R_SN,"&lt;"&amp;((INT(C$7)*1440+1110)+30),R_EN,"&gt;"&amp;(INT(C$7)*1440+1110)),0)</f>
        <v>0</v>
      </c>
      <c r="R38">
        <f>COUNTIFS(R_Emp,"proMX",R_Cnt,1,R_SN,"&lt;"&amp;((INT(C$7)*1440+1110)+30),R_EN,"&gt;"&amp;(INT(C$7)*1440+1110))</f>
        <v>0</v>
      </c>
      <c r="S38">
        <f>IF(R38&gt;0,_xlfn.MINIFS(R_ID,R_Emp,"proMX",R_Cnt,1,R_SN,"&lt;"&amp;((INT(C$7)*1440+1110)+30),R_EN,"&gt;"&amp;(INT(C$7)*1440+1110)),0)</f>
        <v>0</v>
      </c>
      <c r="T38">
        <f>IF(AND(P38&gt;0,R38&gt;0),8,IF(P38&gt;0,1,IF(R38&gt;0,INDEX(R_StCode,S38),0)))</f>
        <v>0</v>
      </c>
      <c r="U38">
        <f>COUNTIFS(R_Emp,"Malcolm",R_Cnt,1,R_SN,"&lt;"&amp;((INT(D$7)*1440+1110)+30),R_EN,"&gt;"&amp;(INT(D$7)*1440+1110))</f>
        <v>0</v>
      </c>
      <c r="V38">
        <f>IF(U38&gt;0,_xlfn.MINIFS(R_ID,R_Emp,"Malcolm",R_Cnt,1,R_SN,"&lt;"&amp;((INT(D$7)*1440+1110)+30),R_EN,"&gt;"&amp;(INT(D$7)*1440+1110)),0)</f>
        <v>0</v>
      </c>
      <c r="W38">
        <f>COUNTIFS(R_Emp,"proMX",R_Cnt,1,R_SN,"&lt;"&amp;((INT(D$7)*1440+1110)+30),R_EN,"&gt;"&amp;(INT(D$7)*1440+1110))</f>
        <v>0</v>
      </c>
      <c r="X38">
        <f>IF(W38&gt;0,_xlfn.MINIFS(R_ID,R_Emp,"proMX",R_Cnt,1,R_SN,"&lt;"&amp;((INT(D$7)*1440+1110)+30),R_EN,"&gt;"&amp;(INT(D$7)*1440+1110)),0)</f>
        <v>0</v>
      </c>
      <c r="Y38">
        <f>IF(AND(U38&gt;0,W38&gt;0),8,IF(U38&gt;0,1,IF(W38&gt;0,INDEX(R_StCode,X38),0)))</f>
        <v>0</v>
      </c>
      <c r="Z38">
        <f>COUNTIFS(R_Emp,"Malcolm",R_Cnt,1,R_SN,"&lt;"&amp;((INT(E$7)*1440+1110)+30),R_EN,"&gt;"&amp;(INT(E$7)*1440+1110))</f>
        <v>0</v>
      </c>
      <c r="AA38">
        <f>IF(Z38&gt;0,_xlfn.MINIFS(R_ID,R_Emp,"Malcolm",R_Cnt,1,R_SN,"&lt;"&amp;((INT(E$7)*1440+1110)+30),R_EN,"&gt;"&amp;(INT(E$7)*1440+1110)),0)</f>
        <v>0</v>
      </c>
      <c r="AB38">
        <f>COUNTIFS(R_Emp,"proMX",R_Cnt,1,R_SN,"&lt;"&amp;((INT(E$7)*1440+1110)+30),R_EN,"&gt;"&amp;(INT(E$7)*1440+1110))</f>
        <v>0</v>
      </c>
      <c r="AC38">
        <f>IF(AB38&gt;0,_xlfn.MINIFS(R_ID,R_Emp,"proMX",R_Cnt,1,R_SN,"&lt;"&amp;((INT(E$7)*1440+1110)+30),R_EN,"&gt;"&amp;(INT(E$7)*1440+1110)),0)</f>
        <v>0</v>
      </c>
      <c r="AD38">
        <f>IF(AND(Z38&gt;0,AB38&gt;0),8,IF(Z38&gt;0,1,IF(AB38&gt;0,INDEX(R_StCode,AC38),0)))</f>
        <v>0</v>
      </c>
      <c r="AE38">
        <f>COUNTIFS(R_Emp,"Malcolm",R_Cnt,1,R_SN,"&lt;"&amp;((INT(F$7)*1440+1110)+30),R_EN,"&gt;"&amp;(INT(F$7)*1440+1110))</f>
        <v>0</v>
      </c>
      <c r="AF38">
        <f>IF(AE38&gt;0,_xlfn.MINIFS(R_ID,R_Emp,"Malcolm",R_Cnt,1,R_SN,"&lt;"&amp;((INT(F$7)*1440+1110)+30),R_EN,"&gt;"&amp;(INT(F$7)*1440+1110)),0)</f>
        <v>0</v>
      </c>
      <c r="AG38">
        <f>COUNTIFS(R_Emp,"proMX",R_Cnt,1,R_SN,"&lt;"&amp;((INT(F$7)*1440+1110)+30),R_EN,"&gt;"&amp;(INT(F$7)*1440+1110))</f>
        <v>0</v>
      </c>
      <c r="AH38">
        <f>IF(AG38&gt;0,_xlfn.MINIFS(R_ID,R_Emp,"proMX",R_Cnt,1,R_SN,"&lt;"&amp;((INT(F$7)*1440+1110)+30),R_EN,"&gt;"&amp;(INT(F$7)*1440+1110)),0)</f>
        <v>0</v>
      </c>
      <c r="AI38">
        <f>IF(AND(AE38&gt;0,AG38&gt;0),8,IF(AE38&gt;0,1,IF(AG38&gt;0,INDEX(R_StCode,AH38),0)))</f>
        <v>0</v>
      </c>
      <c r="AJ38">
        <f>COUNTIFS(R_Emp,"Malcolm",R_Cnt,1,R_SN,"&lt;"&amp;((INT(G$7)*1440+1110)+30),R_EN,"&gt;"&amp;(INT(G$7)*1440+1110))</f>
        <v>0</v>
      </c>
      <c r="AK38">
        <f>IF(AJ38&gt;0,_xlfn.MINIFS(R_ID,R_Emp,"Malcolm",R_Cnt,1,R_SN,"&lt;"&amp;((INT(G$7)*1440+1110)+30),R_EN,"&gt;"&amp;(INT(G$7)*1440+1110)),0)</f>
        <v>0</v>
      </c>
      <c r="AL38">
        <f>COUNTIFS(R_Emp,"proMX",R_Cnt,1,R_SN,"&lt;"&amp;((INT(G$7)*1440+1110)+30),R_EN,"&gt;"&amp;(INT(G$7)*1440+1110))</f>
        <v>0</v>
      </c>
      <c r="AM38">
        <f>IF(AL38&gt;0,_xlfn.MINIFS(R_ID,R_Emp,"proMX",R_Cnt,1,R_SN,"&lt;"&amp;((INT(G$7)*1440+1110)+30),R_EN,"&gt;"&amp;(INT(G$7)*1440+1110)),0)</f>
        <v>0</v>
      </c>
      <c r="AN38">
        <f>IF(AND(AJ38&gt;0,AL38&gt;0),8,IF(AJ38&gt;0,1,IF(AL38&gt;0,INDEX(R_StCode,AM38),0)))</f>
        <v>0</v>
      </c>
      <c r="AO38">
        <f>COUNTIFS(R_Emp,"Malcolm",R_Cnt,1,R_SN,"&lt;"&amp;((INT(H$7)*1440+1110)+30),R_EN,"&gt;"&amp;(INT(H$7)*1440+1110))</f>
        <v>0</v>
      </c>
      <c r="AP38">
        <f>IF(AO38&gt;0,_xlfn.MINIFS(R_ID,R_Emp,"Malcolm",R_Cnt,1,R_SN,"&lt;"&amp;((INT(H$7)*1440+1110)+30),R_EN,"&gt;"&amp;(INT(H$7)*1440+1110)),0)</f>
        <v>0</v>
      </c>
      <c r="AQ38">
        <f>COUNTIFS(R_Emp,"proMX",R_Cnt,1,R_SN,"&lt;"&amp;((INT(H$7)*1440+1110)+30),R_EN,"&gt;"&amp;(INT(H$7)*1440+1110))</f>
        <v>0</v>
      </c>
      <c r="AR38">
        <f>IF(AQ38&gt;0,_xlfn.MINIFS(R_ID,R_Emp,"proMX",R_Cnt,1,R_SN,"&lt;"&amp;((INT(H$7)*1440+1110)+30),R_EN,"&gt;"&amp;(INT(H$7)*1440+1110)),0)</f>
        <v>0</v>
      </c>
      <c r="AS38">
        <f>IF(AND(AO38&gt;0,AQ38&gt;0),8,IF(AO38&gt;0,1,IF(AQ38&gt;0,INDEX(R_StCode,AR38),0)))</f>
        <v>0</v>
      </c>
    </row>
    <row r="39" ht="20" customHeight="1">
      <c r="A39" s="101" t="n">
        <v>0.7916666666666666</v>
      </c>
      <c r="B39" s="102" t="str">
        <f>IF(O39=0,"",IF(O39=8,"⚠ Malcolm + proMX",IF(O39=1,IF(K39&gt;1,"Malcolm ("&amp;K39&amp;" tareas)",IF(OR(FALSE,INDEX(R_SN,L39)&gt;=(INT(B$7)*1440+1140)),"Malcolm · "&amp;INDEX(R_Label,L39)&amp;" ("&amp;TEXT(INDEX(R_Ini,L39),"hh:mm")&amp;"–"&amp;TEXT(INDEX(R_Fin,L39),"hh:mm")&amp;")","")),IF(OR(FALSE,INDEX(R_SN,N39)&gt;=(INT(B$7)*1440+1140)),"proMX · "&amp;INDEX(R_Label,N39)&amp;" · "&amp;INDEX(R_St,N39),""))))</f>
        <v/>
      </c>
      <c r="C39" s="102" t="str">
        <f>IF(T39=0,"",IF(T39=8,"⚠ Malcolm + proMX",IF(T39=1,IF(P39&gt;1,"Malcolm ("&amp;P39&amp;" tareas)",IF(OR(FALSE,INDEX(R_SN,Q39)&gt;=(INT(C$7)*1440+1140)),"Malcolm · "&amp;INDEX(R_Label,Q39)&amp;" ("&amp;TEXT(INDEX(R_Ini,Q39),"hh:mm")&amp;"–"&amp;TEXT(INDEX(R_Fin,Q39),"hh:mm")&amp;")","")),IF(OR(FALSE,INDEX(R_SN,S39)&gt;=(INT(C$7)*1440+1140)),"proMX · "&amp;INDEX(R_Label,S39)&amp;" · "&amp;INDEX(R_St,S39),""))))</f>
        <v/>
      </c>
      <c r="D39" s="102" t="str">
        <f>IF(Y39=0,"",IF(Y39=8,"⚠ Malcolm + proMX",IF(Y39=1,IF(U39&gt;1,"Malcolm ("&amp;U39&amp;" tareas)",IF(OR(FALSE,INDEX(R_SN,V39)&gt;=(INT(D$7)*1440+1140)),"Malcolm · "&amp;INDEX(R_Label,V39)&amp;" ("&amp;TEXT(INDEX(R_Ini,V39),"hh:mm")&amp;"–"&amp;TEXT(INDEX(R_Fin,V39),"hh:mm")&amp;")","")),IF(OR(FALSE,INDEX(R_SN,X39)&gt;=(INT(D$7)*1440+1140)),"proMX · "&amp;INDEX(R_Label,X39)&amp;" · "&amp;INDEX(R_St,X39),""))))</f>
        <v/>
      </c>
      <c r="E39" s="102" t="str">
        <f>IF(AD39=0,"",IF(AD39=8,"⚠ Malcolm + proMX",IF(AD39=1,IF(Z39&gt;1,"Malcolm ("&amp;Z39&amp;" tareas)",IF(OR(FALSE,INDEX(R_SN,AA39)&gt;=(INT(E$7)*1440+1140)),"Malcolm · "&amp;INDEX(R_Label,AA39)&amp;" ("&amp;TEXT(INDEX(R_Ini,AA39),"hh:mm")&amp;"–"&amp;TEXT(INDEX(R_Fin,AA39),"hh:mm")&amp;")","")),IF(OR(FALSE,INDEX(R_SN,AC39)&gt;=(INT(E$7)*1440+1140)),"proMX · "&amp;INDEX(R_Label,AC39)&amp;" · "&amp;INDEX(R_St,AC39),""))))</f>
        <v/>
      </c>
      <c r="F39" s="102" t="str">
        <f>IF(AI39=0,"",IF(AI39=8,"⚠ Malcolm + proMX",IF(AI39=1,IF(AE39&gt;1,"Malcolm ("&amp;AE39&amp;" tareas)",IF(OR(FALSE,INDEX(R_SN,AF39)&gt;=(INT(F$7)*1440+1140)),"Malcolm · "&amp;INDEX(R_Label,AF39)&amp;" ("&amp;TEXT(INDEX(R_Ini,AF39),"hh:mm")&amp;"–"&amp;TEXT(INDEX(R_Fin,AF39),"hh:mm")&amp;")","")),IF(OR(FALSE,INDEX(R_SN,AH39)&gt;=(INT(F$7)*1440+1140)),"proMX · "&amp;INDEX(R_Label,AH39)&amp;" · "&amp;INDEX(R_St,AH39),""))))</f>
        <v/>
      </c>
      <c r="G39" s="102" t="str">
        <f>IF(AN39=0,"",IF(AN39=8,"⚠ Malcolm + proMX",IF(AN39=1,IF(AJ39&gt;1,"Malcolm ("&amp;AJ39&amp;" tareas)",IF(OR(FALSE,INDEX(R_SN,AK39)&gt;=(INT(G$7)*1440+1140)),"Malcolm · "&amp;INDEX(R_Label,AK39)&amp;" ("&amp;TEXT(INDEX(R_Ini,AK39),"hh:mm")&amp;"–"&amp;TEXT(INDEX(R_Fin,AK39),"hh:mm")&amp;")","")),IF(OR(FALSE,INDEX(R_SN,AM39)&gt;=(INT(G$7)*1440+1140)),"proMX · "&amp;INDEX(R_Label,AM39)&amp;" · "&amp;INDEX(R_St,AM39),""))))</f>
        <v/>
      </c>
      <c r="H39" s="102" t="str">
        <f>IF(AS39=0,"",IF(AS39=8,"⚠ Malcolm + proMX",IF(AS39=1,IF(AO39&gt;1,"Malcolm ("&amp;AO39&amp;" tareas)",IF(OR(FALSE,INDEX(R_SN,AP39)&gt;=(INT(H$7)*1440+1140)),"Malcolm · "&amp;INDEX(R_Label,AP39)&amp;" ("&amp;TEXT(INDEX(R_Ini,AP39),"hh:mm")&amp;"–"&amp;TEXT(INDEX(R_Fin,AP39),"hh:mm")&amp;")","")),IF(OR(FALSE,INDEX(R_SN,AR39)&gt;=(INT(H$7)*1440+1140)),"proMX · "&amp;INDEX(R_Label,AR39)&amp;" · "&amp;INDEX(R_St,AR39),""))))</f>
        <v/>
      </c>
      <c r="K39">
        <f>COUNTIFS(R_Emp,"Malcolm",R_Cnt,1,R_SN,"&lt;"&amp;((INT(B$7)*1440+1140)+30),R_EN,"&gt;"&amp;(INT(B$7)*1440+1140))</f>
        <v>0</v>
      </c>
      <c r="L39">
        <f>IF(K39&gt;0,_xlfn.MINIFS(R_ID,R_Emp,"Malcolm",R_Cnt,1,R_SN,"&lt;"&amp;((INT(B$7)*1440+1140)+30),R_EN,"&gt;"&amp;(INT(B$7)*1440+1140)),0)</f>
        <v>0</v>
      </c>
      <c r="M39">
        <f>COUNTIFS(R_Emp,"proMX",R_Cnt,1,R_SN,"&lt;"&amp;((INT(B$7)*1440+1140)+30),R_EN,"&gt;"&amp;(INT(B$7)*1440+1140))</f>
        <v>0</v>
      </c>
      <c r="N39">
        <f>IF(M39&gt;0,_xlfn.MINIFS(R_ID,R_Emp,"proMX",R_Cnt,1,R_SN,"&lt;"&amp;((INT(B$7)*1440+1140)+30),R_EN,"&gt;"&amp;(INT(B$7)*1440+1140)),0)</f>
        <v>0</v>
      </c>
      <c r="O39">
        <f>IF(AND(K39&gt;0,M39&gt;0),8,IF(K39&gt;0,1,IF(M39&gt;0,INDEX(R_StCode,N39),0)))</f>
        <v>0</v>
      </c>
      <c r="P39">
        <f>COUNTIFS(R_Emp,"Malcolm",R_Cnt,1,R_SN,"&lt;"&amp;((INT(C$7)*1440+1140)+30),R_EN,"&gt;"&amp;(INT(C$7)*1440+1140))</f>
        <v>0</v>
      </c>
      <c r="Q39">
        <f>IF(P39&gt;0,_xlfn.MINIFS(R_ID,R_Emp,"Malcolm",R_Cnt,1,R_SN,"&lt;"&amp;((INT(C$7)*1440+1140)+30),R_EN,"&gt;"&amp;(INT(C$7)*1440+1140)),0)</f>
        <v>0</v>
      </c>
      <c r="R39">
        <f>COUNTIFS(R_Emp,"proMX",R_Cnt,1,R_SN,"&lt;"&amp;((INT(C$7)*1440+1140)+30),R_EN,"&gt;"&amp;(INT(C$7)*1440+1140))</f>
        <v>0</v>
      </c>
      <c r="S39">
        <f>IF(R39&gt;0,_xlfn.MINIFS(R_ID,R_Emp,"proMX",R_Cnt,1,R_SN,"&lt;"&amp;((INT(C$7)*1440+1140)+30),R_EN,"&gt;"&amp;(INT(C$7)*1440+1140)),0)</f>
        <v>0</v>
      </c>
      <c r="T39">
        <f>IF(AND(P39&gt;0,R39&gt;0),8,IF(P39&gt;0,1,IF(R39&gt;0,INDEX(R_StCode,S39),0)))</f>
        <v>0</v>
      </c>
      <c r="U39">
        <f>COUNTIFS(R_Emp,"Malcolm",R_Cnt,1,R_SN,"&lt;"&amp;((INT(D$7)*1440+1140)+30),R_EN,"&gt;"&amp;(INT(D$7)*1440+1140))</f>
        <v>0</v>
      </c>
      <c r="V39">
        <f>IF(U39&gt;0,_xlfn.MINIFS(R_ID,R_Emp,"Malcolm",R_Cnt,1,R_SN,"&lt;"&amp;((INT(D$7)*1440+1140)+30),R_EN,"&gt;"&amp;(INT(D$7)*1440+1140)),0)</f>
        <v>0</v>
      </c>
      <c r="W39">
        <f>COUNTIFS(R_Emp,"proMX",R_Cnt,1,R_SN,"&lt;"&amp;((INT(D$7)*1440+1140)+30),R_EN,"&gt;"&amp;(INT(D$7)*1440+1140))</f>
        <v>0</v>
      </c>
      <c r="X39">
        <f>IF(W39&gt;0,_xlfn.MINIFS(R_ID,R_Emp,"proMX",R_Cnt,1,R_SN,"&lt;"&amp;((INT(D$7)*1440+1140)+30),R_EN,"&gt;"&amp;(INT(D$7)*1440+1140)),0)</f>
        <v>0</v>
      </c>
      <c r="Y39">
        <f>IF(AND(U39&gt;0,W39&gt;0),8,IF(U39&gt;0,1,IF(W39&gt;0,INDEX(R_StCode,X39),0)))</f>
        <v>0</v>
      </c>
      <c r="Z39">
        <f>COUNTIFS(R_Emp,"Malcolm",R_Cnt,1,R_SN,"&lt;"&amp;((INT(E$7)*1440+1140)+30),R_EN,"&gt;"&amp;(INT(E$7)*1440+1140))</f>
        <v>0</v>
      </c>
      <c r="AA39">
        <f>IF(Z39&gt;0,_xlfn.MINIFS(R_ID,R_Emp,"Malcolm",R_Cnt,1,R_SN,"&lt;"&amp;((INT(E$7)*1440+1140)+30),R_EN,"&gt;"&amp;(INT(E$7)*1440+1140)),0)</f>
        <v>0</v>
      </c>
      <c r="AB39">
        <f>COUNTIFS(R_Emp,"proMX",R_Cnt,1,R_SN,"&lt;"&amp;((INT(E$7)*1440+1140)+30),R_EN,"&gt;"&amp;(INT(E$7)*1440+1140))</f>
        <v>0</v>
      </c>
      <c r="AC39">
        <f>IF(AB39&gt;0,_xlfn.MINIFS(R_ID,R_Emp,"proMX",R_Cnt,1,R_SN,"&lt;"&amp;((INT(E$7)*1440+1140)+30),R_EN,"&gt;"&amp;(INT(E$7)*1440+1140)),0)</f>
        <v>0</v>
      </c>
      <c r="AD39">
        <f>IF(AND(Z39&gt;0,AB39&gt;0),8,IF(Z39&gt;0,1,IF(AB39&gt;0,INDEX(R_StCode,AC39),0)))</f>
        <v>0</v>
      </c>
      <c r="AE39">
        <f>COUNTIFS(R_Emp,"Malcolm",R_Cnt,1,R_SN,"&lt;"&amp;((INT(F$7)*1440+1140)+30),R_EN,"&gt;"&amp;(INT(F$7)*1440+1140))</f>
        <v>0</v>
      </c>
      <c r="AF39">
        <f>IF(AE39&gt;0,_xlfn.MINIFS(R_ID,R_Emp,"Malcolm",R_Cnt,1,R_SN,"&lt;"&amp;((INT(F$7)*1440+1140)+30),R_EN,"&gt;"&amp;(INT(F$7)*1440+1140)),0)</f>
        <v>0</v>
      </c>
      <c r="AG39">
        <f>COUNTIFS(R_Emp,"proMX",R_Cnt,1,R_SN,"&lt;"&amp;((INT(F$7)*1440+1140)+30),R_EN,"&gt;"&amp;(INT(F$7)*1440+1140))</f>
        <v>0</v>
      </c>
      <c r="AH39">
        <f>IF(AG39&gt;0,_xlfn.MINIFS(R_ID,R_Emp,"proMX",R_Cnt,1,R_SN,"&lt;"&amp;((INT(F$7)*1440+1140)+30),R_EN,"&gt;"&amp;(INT(F$7)*1440+1140)),0)</f>
        <v>0</v>
      </c>
      <c r="AI39">
        <f>IF(AND(AE39&gt;0,AG39&gt;0),8,IF(AE39&gt;0,1,IF(AG39&gt;0,INDEX(R_StCode,AH39),0)))</f>
        <v>0</v>
      </c>
      <c r="AJ39">
        <f>COUNTIFS(R_Emp,"Malcolm",R_Cnt,1,R_SN,"&lt;"&amp;((INT(G$7)*1440+1140)+30),R_EN,"&gt;"&amp;(INT(G$7)*1440+1140))</f>
        <v>0</v>
      </c>
      <c r="AK39">
        <f>IF(AJ39&gt;0,_xlfn.MINIFS(R_ID,R_Emp,"Malcolm",R_Cnt,1,R_SN,"&lt;"&amp;((INT(G$7)*1440+1140)+30),R_EN,"&gt;"&amp;(INT(G$7)*1440+1140)),0)</f>
        <v>0</v>
      </c>
      <c r="AL39">
        <f>COUNTIFS(R_Emp,"proMX",R_Cnt,1,R_SN,"&lt;"&amp;((INT(G$7)*1440+1140)+30),R_EN,"&gt;"&amp;(INT(G$7)*1440+1140))</f>
        <v>0</v>
      </c>
      <c r="AM39">
        <f>IF(AL39&gt;0,_xlfn.MINIFS(R_ID,R_Emp,"proMX",R_Cnt,1,R_SN,"&lt;"&amp;((INT(G$7)*1440+1140)+30),R_EN,"&gt;"&amp;(INT(G$7)*1440+1140)),0)</f>
        <v>0</v>
      </c>
      <c r="AN39">
        <f>IF(AND(AJ39&gt;0,AL39&gt;0),8,IF(AJ39&gt;0,1,IF(AL39&gt;0,INDEX(R_StCode,AM39),0)))</f>
        <v>0</v>
      </c>
      <c r="AO39">
        <f>COUNTIFS(R_Emp,"Malcolm",R_Cnt,1,R_SN,"&lt;"&amp;((INT(H$7)*1440+1140)+30),R_EN,"&gt;"&amp;(INT(H$7)*1440+1140))</f>
        <v>0</v>
      </c>
      <c r="AP39">
        <f>IF(AO39&gt;0,_xlfn.MINIFS(R_ID,R_Emp,"Malcolm",R_Cnt,1,R_SN,"&lt;"&amp;((INT(H$7)*1440+1140)+30),R_EN,"&gt;"&amp;(INT(H$7)*1440+1140)),0)</f>
        <v>0</v>
      </c>
      <c r="AQ39">
        <f>COUNTIFS(R_Emp,"proMX",R_Cnt,1,R_SN,"&lt;"&amp;((INT(H$7)*1440+1140)+30),R_EN,"&gt;"&amp;(INT(H$7)*1440+1140))</f>
        <v>0</v>
      </c>
      <c r="AR39">
        <f>IF(AQ39&gt;0,_xlfn.MINIFS(R_ID,R_Emp,"proMX",R_Cnt,1,R_SN,"&lt;"&amp;((INT(H$7)*1440+1140)+30),R_EN,"&gt;"&amp;(INT(H$7)*1440+1140)),0)</f>
        <v>0</v>
      </c>
      <c r="AS39">
        <f>IF(AND(AO39&gt;0,AQ39&gt;0),8,IF(AO39&gt;0,1,IF(AQ39&gt;0,INDEX(R_StCode,AR39),0)))</f>
        <v>0</v>
      </c>
    </row>
    <row r="40" ht="20" customHeight="1">
      <c r="A40" s="101" t="n">
        <v>0.8125</v>
      </c>
      <c r="B40" s="102" t="str">
        <f>IF(O40=0,"",IF(O40=8,"⚠ Malcolm + proMX",IF(O40=1,IF(K40&gt;1,"Malcolm ("&amp;K40&amp;" tareas)",IF(OR(FALSE,INDEX(R_SN,L40)&gt;=(INT(B$7)*1440+1170)),"Malcolm · "&amp;INDEX(R_Label,L40)&amp;" ("&amp;TEXT(INDEX(R_Ini,L40),"hh:mm")&amp;"–"&amp;TEXT(INDEX(R_Fin,L40),"hh:mm")&amp;")","")),IF(OR(FALSE,INDEX(R_SN,N40)&gt;=(INT(B$7)*1440+1170)),"proMX · "&amp;INDEX(R_Label,N40)&amp;" · "&amp;INDEX(R_St,N40),""))))</f>
        <v/>
      </c>
      <c r="C40" s="102" t="str">
        <f>IF(T40=0,"",IF(T40=8,"⚠ Malcolm + proMX",IF(T40=1,IF(P40&gt;1,"Malcolm ("&amp;P40&amp;" tareas)",IF(OR(FALSE,INDEX(R_SN,Q40)&gt;=(INT(C$7)*1440+1170)),"Malcolm · "&amp;INDEX(R_Label,Q40)&amp;" ("&amp;TEXT(INDEX(R_Ini,Q40),"hh:mm")&amp;"–"&amp;TEXT(INDEX(R_Fin,Q40),"hh:mm")&amp;")","")),IF(OR(FALSE,INDEX(R_SN,S40)&gt;=(INT(C$7)*1440+1170)),"proMX · "&amp;INDEX(R_Label,S40)&amp;" · "&amp;INDEX(R_St,S40),""))))</f>
        <v/>
      </c>
      <c r="D40" s="102" t="str">
        <f>IF(Y40=0,"",IF(Y40=8,"⚠ Malcolm + proMX",IF(Y40=1,IF(U40&gt;1,"Malcolm ("&amp;U40&amp;" tareas)",IF(OR(FALSE,INDEX(R_SN,V40)&gt;=(INT(D$7)*1440+1170)),"Malcolm · "&amp;INDEX(R_Label,V40)&amp;" ("&amp;TEXT(INDEX(R_Ini,V40),"hh:mm")&amp;"–"&amp;TEXT(INDEX(R_Fin,V40),"hh:mm")&amp;")","")),IF(OR(FALSE,INDEX(R_SN,X40)&gt;=(INT(D$7)*1440+1170)),"proMX · "&amp;INDEX(R_Label,X40)&amp;" · "&amp;INDEX(R_St,X40),""))))</f>
        <v/>
      </c>
      <c r="E40" s="102" t="str">
        <f>IF(AD40=0,"",IF(AD40=8,"⚠ Malcolm + proMX",IF(AD40=1,IF(Z40&gt;1,"Malcolm ("&amp;Z40&amp;" tareas)",IF(OR(FALSE,INDEX(R_SN,AA40)&gt;=(INT(E$7)*1440+1170)),"Malcolm · "&amp;INDEX(R_Label,AA40)&amp;" ("&amp;TEXT(INDEX(R_Ini,AA40),"hh:mm")&amp;"–"&amp;TEXT(INDEX(R_Fin,AA40),"hh:mm")&amp;")","")),IF(OR(FALSE,INDEX(R_SN,AC40)&gt;=(INT(E$7)*1440+1170)),"proMX · "&amp;INDEX(R_Label,AC40)&amp;" · "&amp;INDEX(R_St,AC40),""))))</f>
        <v/>
      </c>
      <c r="F40" s="102" t="str">
        <f>IF(AI40=0,"",IF(AI40=8,"⚠ Malcolm + proMX",IF(AI40=1,IF(AE40&gt;1,"Malcolm ("&amp;AE40&amp;" tareas)",IF(OR(FALSE,INDEX(R_SN,AF40)&gt;=(INT(F$7)*1440+1170)),"Malcolm · "&amp;INDEX(R_Label,AF40)&amp;" ("&amp;TEXT(INDEX(R_Ini,AF40),"hh:mm")&amp;"–"&amp;TEXT(INDEX(R_Fin,AF40),"hh:mm")&amp;")","")),IF(OR(FALSE,INDEX(R_SN,AH40)&gt;=(INT(F$7)*1440+1170)),"proMX · "&amp;INDEX(R_Label,AH40)&amp;" · "&amp;INDEX(R_St,AH40),""))))</f>
        <v/>
      </c>
      <c r="G40" s="102" t="str">
        <f>IF(AN40=0,"",IF(AN40=8,"⚠ Malcolm + proMX",IF(AN40=1,IF(AJ40&gt;1,"Malcolm ("&amp;AJ40&amp;" tareas)",IF(OR(FALSE,INDEX(R_SN,AK40)&gt;=(INT(G$7)*1440+1170)),"Malcolm · "&amp;INDEX(R_Label,AK40)&amp;" ("&amp;TEXT(INDEX(R_Ini,AK40),"hh:mm")&amp;"–"&amp;TEXT(INDEX(R_Fin,AK40),"hh:mm")&amp;")","")),IF(OR(FALSE,INDEX(R_SN,AM40)&gt;=(INT(G$7)*1440+1170)),"proMX · "&amp;INDEX(R_Label,AM40)&amp;" · "&amp;INDEX(R_St,AM40),""))))</f>
        <v/>
      </c>
      <c r="H40" s="102" t="str">
        <f>IF(AS40=0,"",IF(AS40=8,"⚠ Malcolm + proMX",IF(AS40=1,IF(AO40&gt;1,"Malcolm ("&amp;AO40&amp;" tareas)",IF(OR(FALSE,INDEX(R_SN,AP40)&gt;=(INT(H$7)*1440+1170)),"Malcolm · "&amp;INDEX(R_Label,AP40)&amp;" ("&amp;TEXT(INDEX(R_Ini,AP40),"hh:mm")&amp;"–"&amp;TEXT(INDEX(R_Fin,AP40),"hh:mm")&amp;")","")),IF(OR(FALSE,INDEX(R_SN,AR40)&gt;=(INT(H$7)*1440+1170)),"proMX · "&amp;INDEX(R_Label,AR40)&amp;" · "&amp;INDEX(R_St,AR40),""))))</f>
        <v/>
      </c>
      <c r="K40">
        <f>COUNTIFS(R_Emp,"Malcolm",R_Cnt,1,R_SN,"&lt;"&amp;((INT(B$7)*1440+1170)+30),R_EN,"&gt;"&amp;(INT(B$7)*1440+1170))</f>
        <v>0</v>
      </c>
      <c r="L40">
        <f>IF(K40&gt;0,_xlfn.MINIFS(R_ID,R_Emp,"Malcolm",R_Cnt,1,R_SN,"&lt;"&amp;((INT(B$7)*1440+1170)+30),R_EN,"&gt;"&amp;(INT(B$7)*1440+1170)),0)</f>
        <v>0</v>
      </c>
      <c r="M40">
        <f>COUNTIFS(R_Emp,"proMX",R_Cnt,1,R_SN,"&lt;"&amp;((INT(B$7)*1440+1170)+30),R_EN,"&gt;"&amp;(INT(B$7)*1440+1170))</f>
        <v>0</v>
      </c>
      <c r="N40">
        <f>IF(M40&gt;0,_xlfn.MINIFS(R_ID,R_Emp,"proMX",R_Cnt,1,R_SN,"&lt;"&amp;((INT(B$7)*1440+1170)+30),R_EN,"&gt;"&amp;(INT(B$7)*1440+1170)),0)</f>
        <v>0</v>
      </c>
      <c r="O40">
        <f>IF(AND(K40&gt;0,M40&gt;0),8,IF(K40&gt;0,1,IF(M40&gt;0,INDEX(R_StCode,N40),0)))</f>
        <v>0</v>
      </c>
      <c r="P40">
        <f>COUNTIFS(R_Emp,"Malcolm",R_Cnt,1,R_SN,"&lt;"&amp;((INT(C$7)*1440+1170)+30),R_EN,"&gt;"&amp;(INT(C$7)*1440+1170))</f>
        <v>0</v>
      </c>
      <c r="Q40">
        <f>IF(P40&gt;0,_xlfn.MINIFS(R_ID,R_Emp,"Malcolm",R_Cnt,1,R_SN,"&lt;"&amp;((INT(C$7)*1440+1170)+30),R_EN,"&gt;"&amp;(INT(C$7)*1440+1170)),0)</f>
        <v>0</v>
      </c>
      <c r="R40">
        <f>COUNTIFS(R_Emp,"proMX",R_Cnt,1,R_SN,"&lt;"&amp;((INT(C$7)*1440+1170)+30),R_EN,"&gt;"&amp;(INT(C$7)*1440+1170))</f>
        <v>0</v>
      </c>
      <c r="S40">
        <f>IF(R40&gt;0,_xlfn.MINIFS(R_ID,R_Emp,"proMX",R_Cnt,1,R_SN,"&lt;"&amp;((INT(C$7)*1440+1170)+30),R_EN,"&gt;"&amp;(INT(C$7)*1440+1170)),0)</f>
        <v>0</v>
      </c>
      <c r="T40">
        <f>IF(AND(P40&gt;0,R40&gt;0),8,IF(P40&gt;0,1,IF(R40&gt;0,INDEX(R_StCode,S40),0)))</f>
        <v>0</v>
      </c>
      <c r="U40">
        <f>COUNTIFS(R_Emp,"Malcolm",R_Cnt,1,R_SN,"&lt;"&amp;((INT(D$7)*1440+1170)+30),R_EN,"&gt;"&amp;(INT(D$7)*1440+1170))</f>
        <v>0</v>
      </c>
      <c r="V40">
        <f>IF(U40&gt;0,_xlfn.MINIFS(R_ID,R_Emp,"Malcolm",R_Cnt,1,R_SN,"&lt;"&amp;((INT(D$7)*1440+1170)+30),R_EN,"&gt;"&amp;(INT(D$7)*1440+1170)),0)</f>
        <v>0</v>
      </c>
      <c r="W40">
        <f>COUNTIFS(R_Emp,"proMX",R_Cnt,1,R_SN,"&lt;"&amp;((INT(D$7)*1440+1170)+30),R_EN,"&gt;"&amp;(INT(D$7)*1440+1170))</f>
        <v>0</v>
      </c>
      <c r="X40">
        <f>IF(W40&gt;0,_xlfn.MINIFS(R_ID,R_Emp,"proMX",R_Cnt,1,R_SN,"&lt;"&amp;((INT(D$7)*1440+1170)+30),R_EN,"&gt;"&amp;(INT(D$7)*1440+1170)),0)</f>
        <v>0</v>
      </c>
      <c r="Y40">
        <f>IF(AND(U40&gt;0,W40&gt;0),8,IF(U40&gt;0,1,IF(W40&gt;0,INDEX(R_StCode,X40),0)))</f>
        <v>0</v>
      </c>
      <c r="Z40">
        <f>COUNTIFS(R_Emp,"Malcolm",R_Cnt,1,R_SN,"&lt;"&amp;((INT(E$7)*1440+1170)+30),R_EN,"&gt;"&amp;(INT(E$7)*1440+1170))</f>
        <v>0</v>
      </c>
      <c r="AA40">
        <f>IF(Z40&gt;0,_xlfn.MINIFS(R_ID,R_Emp,"Malcolm",R_Cnt,1,R_SN,"&lt;"&amp;((INT(E$7)*1440+1170)+30),R_EN,"&gt;"&amp;(INT(E$7)*1440+1170)),0)</f>
        <v>0</v>
      </c>
      <c r="AB40">
        <f>COUNTIFS(R_Emp,"proMX",R_Cnt,1,R_SN,"&lt;"&amp;((INT(E$7)*1440+1170)+30),R_EN,"&gt;"&amp;(INT(E$7)*1440+1170))</f>
        <v>0</v>
      </c>
      <c r="AC40">
        <f>IF(AB40&gt;0,_xlfn.MINIFS(R_ID,R_Emp,"proMX",R_Cnt,1,R_SN,"&lt;"&amp;((INT(E$7)*1440+1170)+30),R_EN,"&gt;"&amp;(INT(E$7)*1440+1170)),0)</f>
        <v>0</v>
      </c>
      <c r="AD40">
        <f>IF(AND(Z40&gt;0,AB40&gt;0),8,IF(Z40&gt;0,1,IF(AB40&gt;0,INDEX(R_StCode,AC40),0)))</f>
        <v>0</v>
      </c>
      <c r="AE40">
        <f>COUNTIFS(R_Emp,"Malcolm",R_Cnt,1,R_SN,"&lt;"&amp;((INT(F$7)*1440+1170)+30),R_EN,"&gt;"&amp;(INT(F$7)*1440+1170))</f>
        <v>0</v>
      </c>
      <c r="AF40">
        <f>IF(AE40&gt;0,_xlfn.MINIFS(R_ID,R_Emp,"Malcolm",R_Cnt,1,R_SN,"&lt;"&amp;((INT(F$7)*1440+1170)+30),R_EN,"&gt;"&amp;(INT(F$7)*1440+1170)),0)</f>
        <v>0</v>
      </c>
      <c r="AG40">
        <f>COUNTIFS(R_Emp,"proMX",R_Cnt,1,R_SN,"&lt;"&amp;((INT(F$7)*1440+1170)+30),R_EN,"&gt;"&amp;(INT(F$7)*1440+1170))</f>
        <v>0</v>
      </c>
      <c r="AH40">
        <f>IF(AG40&gt;0,_xlfn.MINIFS(R_ID,R_Emp,"proMX",R_Cnt,1,R_SN,"&lt;"&amp;((INT(F$7)*1440+1170)+30),R_EN,"&gt;"&amp;(INT(F$7)*1440+1170)),0)</f>
        <v>0</v>
      </c>
      <c r="AI40">
        <f>IF(AND(AE40&gt;0,AG40&gt;0),8,IF(AE40&gt;0,1,IF(AG40&gt;0,INDEX(R_StCode,AH40),0)))</f>
        <v>0</v>
      </c>
      <c r="AJ40">
        <f>COUNTIFS(R_Emp,"Malcolm",R_Cnt,1,R_SN,"&lt;"&amp;((INT(G$7)*1440+1170)+30),R_EN,"&gt;"&amp;(INT(G$7)*1440+1170))</f>
        <v>0</v>
      </c>
      <c r="AK40">
        <f>IF(AJ40&gt;0,_xlfn.MINIFS(R_ID,R_Emp,"Malcolm",R_Cnt,1,R_SN,"&lt;"&amp;((INT(G$7)*1440+1170)+30),R_EN,"&gt;"&amp;(INT(G$7)*1440+1170)),0)</f>
        <v>0</v>
      </c>
      <c r="AL40">
        <f>COUNTIFS(R_Emp,"proMX",R_Cnt,1,R_SN,"&lt;"&amp;((INT(G$7)*1440+1170)+30),R_EN,"&gt;"&amp;(INT(G$7)*1440+1170))</f>
        <v>0</v>
      </c>
      <c r="AM40">
        <f>IF(AL40&gt;0,_xlfn.MINIFS(R_ID,R_Emp,"proMX",R_Cnt,1,R_SN,"&lt;"&amp;((INT(G$7)*1440+1170)+30),R_EN,"&gt;"&amp;(INT(G$7)*1440+1170)),0)</f>
        <v>0</v>
      </c>
      <c r="AN40">
        <f>IF(AND(AJ40&gt;0,AL40&gt;0),8,IF(AJ40&gt;0,1,IF(AL40&gt;0,INDEX(R_StCode,AM40),0)))</f>
        <v>0</v>
      </c>
      <c r="AO40">
        <f>COUNTIFS(R_Emp,"Malcolm",R_Cnt,1,R_SN,"&lt;"&amp;((INT(H$7)*1440+1170)+30),R_EN,"&gt;"&amp;(INT(H$7)*1440+1170))</f>
        <v>0</v>
      </c>
      <c r="AP40">
        <f>IF(AO40&gt;0,_xlfn.MINIFS(R_ID,R_Emp,"Malcolm",R_Cnt,1,R_SN,"&lt;"&amp;((INT(H$7)*1440+1170)+30),R_EN,"&gt;"&amp;(INT(H$7)*1440+1170)),0)</f>
        <v>0</v>
      </c>
      <c r="AQ40">
        <f>COUNTIFS(R_Emp,"proMX",R_Cnt,1,R_SN,"&lt;"&amp;((INT(H$7)*1440+1170)+30),R_EN,"&gt;"&amp;(INT(H$7)*1440+1170))</f>
        <v>0</v>
      </c>
      <c r="AR40">
        <f>IF(AQ40&gt;0,_xlfn.MINIFS(R_ID,R_Emp,"proMX",R_Cnt,1,R_SN,"&lt;"&amp;((INT(H$7)*1440+1170)+30),R_EN,"&gt;"&amp;(INT(H$7)*1440+1170)),0)</f>
        <v>0</v>
      </c>
      <c r="AS40">
        <f>IF(AND(AO40&gt;0,AQ40&gt;0),8,IF(AO40&gt;0,1,IF(AQ40&gt;0,INDEX(R_StCode,AR40),0)))</f>
        <v>0</v>
      </c>
    </row>
    <row r="41" ht="20" customHeight="1">
      <c r="A41" s="101" t="n">
        <v>0.8333333333333334</v>
      </c>
      <c r="B41" s="102" t="str">
        <f>IF(O41=0,"",IF(O41=8,"⚠ Malcolm + proMX",IF(O41=1,IF(K41&gt;1,"Malcolm ("&amp;K41&amp;" tareas)",IF(OR(FALSE,INDEX(R_SN,L41)&gt;=(INT(B$7)*1440+1200)),"Malcolm · "&amp;INDEX(R_Label,L41)&amp;" ("&amp;TEXT(INDEX(R_Ini,L41),"hh:mm")&amp;"–"&amp;TEXT(INDEX(R_Fin,L41),"hh:mm")&amp;")","")),IF(OR(FALSE,INDEX(R_SN,N41)&gt;=(INT(B$7)*1440+1200)),"proMX · "&amp;INDEX(R_Label,N41)&amp;" · "&amp;INDEX(R_St,N41),""))))</f>
        <v/>
      </c>
      <c r="C41" s="102" t="str">
        <f>IF(T41=0,"",IF(T41=8,"⚠ Malcolm + proMX",IF(T41=1,IF(P41&gt;1,"Malcolm ("&amp;P41&amp;" tareas)",IF(OR(FALSE,INDEX(R_SN,Q41)&gt;=(INT(C$7)*1440+1200)),"Malcolm · "&amp;INDEX(R_Label,Q41)&amp;" ("&amp;TEXT(INDEX(R_Ini,Q41),"hh:mm")&amp;"–"&amp;TEXT(INDEX(R_Fin,Q41),"hh:mm")&amp;")","")),IF(OR(FALSE,INDEX(R_SN,S41)&gt;=(INT(C$7)*1440+1200)),"proMX · "&amp;INDEX(R_Label,S41)&amp;" · "&amp;INDEX(R_St,S41),""))))</f>
        <v/>
      </c>
      <c r="D41" s="102" t="str">
        <f>IF(Y41=0,"",IF(Y41=8,"⚠ Malcolm + proMX",IF(Y41=1,IF(U41&gt;1,"Malcolm ("&amp;U41&amp;" tareas)",IF(OR(FALSE,INDEX(R_SN,V41)&gt;=(INT(D$7)*1440+1200)),"Malcolm · "&amp;INDEX(R_Label,V41)&amp;" ("&amp;TEXT(INDEX(R_Ini,V41),"hh:mm")&amp;"–"&amp;TEXT(INDEX(R_Fin,V41),"hh:mm")&amp;")","")),IF(OR(FALSE,INDEX(R_SN,X41)&gt;=(INT(D$7)*1440+1200)),"proMX · "&amp;INDEX(R_Label,X41)&amp;" · "&amp;INDEX(R_St,X41),""))))</f>
        <v/>
      </c>
      <c r="E41" s="102" t="str">
        <f>IF(AD41=0,"",IF(AD41=8,"⚠ Malcolm + proMX",IF(AD41=1,IF(Z41&gt;1,"Malcolm ("&amp;Z41&amp;" tareas)",IF(OR(FALSE,INDEX(R_SN,AA41)&gt;=(INT(E$7)*1440+1200)),"Malcolm · "&amp;INDEX(R_Label,AA41)&amp;" ("&amp;TEXT(INDEX(R_Ini,AA41),"hh:mm")&amp;"–"&amp;TEXT(INDEX(R_Fin,AA41),"hh:mm")&amp;")","")),IF(OR(FALSE,INDEX(R_SN,AC41)&gt;=(INT(E$7)*1440+1200)),"proMX · "&amp;INDEX(R_Label,AC41)&amp;" · "&amp;INDEX(R_St,AC41),""))))</f>
        <v/>
      </c>
      <c r="F41" s="102" t="str">
        <f>IF(AI41=0,"",IF(AI41=8,"⚠ Malcolm + proMX",IF(AI41=1,IF(AE41&gt;1,"Malcolm ("&amp;AE41&amp;" tareas)",IF(OR(FALSE,INDEX(R_SN,AF41)&gt;=(INT(F$7)*1440+1200)),"Malcolm · "&amp;INDEX(R_Label,AF41)&amp;" ("&amp;TEXT(INDEX(R_Ini,AF41),"hh:mm")&amp;"–"&amp;TEXT(INDEX(R_Fin,AF41),"hh:mm")&amp;")","")),IF(OR(FALSE,INDEX(R_SN,AH41)&gt;=(INT(F$7)*1440+1200)),"proMX · "&amp;INDEX(R_Label,AH41)&amp;" · "&amp;INDEX(R_St,AH41),""))))</f>
        <v/>
      </c>
      <c r="G41" s="102" t="str">
        <f>IF(AN41=0,"",IF(AN41=8,"⚠ Malcolm + proMX",IF(AN41=1,IF(AJ41&gt;1,"Malcolm ("&amp;AJ41&amp;" tareas)",IF(OR(FALSE,INDEX(R_SN,AK41)&gt;=(INT(G$7)*1440+1200)),"Malcolm · "&amp;INDEX(R_Label,AK41)&amp;" ("&amp;TEXT(INDEX(R_Ini,AK41),"hh:mm")&amp;"–"&amp;TEXT(INDEX(R_Fin,AK41),"hh:mm")&amp;")","")),IF(OR(FALSE,INDEX(R_SN,AM41)&gt;=(INT(G$7)*1440+1200)),"proMX · "&amp;INDEX(R_Label,AM41)&amp;" · "&amp;INDEX(R_St,AM41),""))))</f>
        <v/>
      </c>
      <c r="H41" s="102" t="str">
        <f>IF(AS41=0,"",IF(AS41=8,"⚠ Malcolm + proMX",IF(AS41=1,IF(AO41&gt;1,"Malcolm ("&amp;AO41&amp;" tareas)",IF(OR(FALSE,INDEX(R_SN,AP41)&gt;=(INT(H$7)*1440+1200)),"Malcolm · "&amp;INDEX(R_Label,AP41)&amp;" ("&amp;TEXT(INDEX(R_Ini,AP41),"hh:mm")&amp;"–"&amp;TEXT(INDEX(R_Fin,AP41),"hh:mm")&amp;")","")),IF(OR(FALSE,INDEX(R_SN,AR41)&gt;=(INT(H$7)*1440+1200)),"proMX · "&amp;INDEX(R_Label,AR41)&amp;" · "&amp;INDEX(R_St,AR41),""))))</f>
        <v/>
      </c>
      <c r="K41">
        <f>COUNTIFS(R_Emp,"Malcolm",R_Cnt,1,R_SN,"&lt;"&amp;((INT(B$7)*1440+1200)+30),R_EN,"&gt;"&amp;(INT(B$7)*1440+1200))</f>
        <v>0</v>
      </c>
      <c r="L41">
        <f>IF(K41&gt;0,_xlfn.MINIFS(R_ID,R_Emp,"Malcolm",R_Cnt,1,R_SN,"&lt;"&amp;((INT(B$7)*1440+1200)+30),R_EN,"&gt;"&amp;(INT(B$7)*1440+1200)),0)</f>
        <v>0</v>
      </c>
      <c r="M41">
        <f>COUNTIFS(R_Emp,"proMX",R_Cnt,1,R_SN,"&lt;"&amp;((INT(B$7)*1440+1200)+30),R_EN,"&gt;"&amp;(INT(B$7)*1440+1200))</f>
        <v>0</v>
      </c>
      <c r="N41">
        <f>IF(M41&gt;0,_xlfn.MINIFS(R_ID,R_Emp,"proMX",R_Cnt,1,R_SN,"&lt;"&amp;((INT(B$7)*1440+1200)+30),R_EN,"&gt;"&amp;(INT(B$7)*1440+1200)),0)</f>
        <v>0</v>
      </c>
      <c r="O41">
        <f>IF(AND(K41&gt;0,M41&gt;0),8,IF(K41&gt;0,1,IF(M41&gt;0,INDEX(R_StCode,N41),0)))</f>
        <v>0</v>
      </c>
      <c r="P41">
        <f>COUNTIFS(R_Emp,"Malcolm",R_Cnt,1,R_SN,"&lt;"&amp;((INT(C$7)*1440+1200)+30),R_EN,"&gt;"&amp;(INT(C$7)*1440+1200))</f>
        <v>0</v>
      </c>
      <c r="Q41">
        <f>IF(P41&gt;0,_xlfn.MINIFS(R_ID,R_Emp,"Malcolm",R_Cnt,1,R_SN,"&lt;"&amp;((INT(C$7)*1440+1200)+30),R_EN,"&gt;"&amp;(INT(C$7)*1440+1200)),0)</f>
        <v>0</v>
      </c>
      <c r="R41">
        <f>COUNTIFS(R_Emp,"proMX",R_Cnt,1,R_SN,"&lt;"&amp;((INT(C$7)*1440+1200)+30),R_EN,"&gt;"&amp;(INT(C$7)*1440+1200))</f>
        <v>0</v>
      </c>
      <c r="S41">
        <f>IF(R41&gt;0,_xlfn.MINIFS(R_ID,R_Emp,"proMX",R_Cnt,1,R_SN,"&lt;"&amp;((INT(C$7)*1440+1200)+30),R_EN,"&gt;"&amp;(INT(C$7)*1440+1200)),0)</f>
        <v>0</v>
      </c>
      <c r="T41">
        <f>IF(AND(P41&gt;0,R41&gt;0),8,IF(P41&gt;0,1,IF(R41&gt;0,INDEX(R_StCode,S41),0)))</f>
        <v>0</v>
      </c>
      <c r="U41">
        <f>COUNTIFS(R_Emp,"Malcolm",R_Cnt,1,R_SN,"&lt;"&amp;((INT(D$7)*1440+1200)+30),R_EN,"&gt;"&amp;(INT(D$7)*1440+1200))</f>
        <v>0</v>
      </c>
      <c r="V41">
        <f>IF(U41&gt;0,_xlfn.MINIFS(R_ID,R_Emp,"Malcolm",R_Cnt,1,R_SN,"&lt;"&amp;((INT(D$7)*1440+1200)+30),R_EN,"&gt;"&amp;(INT(D$7)*1440+1200)),0)</f>
        <v>0</v>
      </c>
      <c r="W41">
        <f>COUNTIFS(R_Emp,"proMX",R_Cnt,1,R_SN,"&lt;"&amp;((INT(D$7)*1440+1200)+30),R_EN,"&gt;"&amp;(INT(D$7)*1440+1200))</f>
        <v>0</v>
      </c>
      <c r="X41">
        <f>IF(W41&gt;0,_xlfn.MINIFS(R_ID,R_Emp,"proMX",R_Cnt,1,R_SN,"&lt;"&amp;((INT(D$7)*1440+1200)+30),R_EN,"&gt;"&amp;(INT(D$7)*1440+1200)),0)</f>
        <v>0</v>
      </c>
      <c r="Y41">
        <f>IF(AND(U41&gt;0,W41&gt;0),8,IF(U41&gt;0,1,IF(W41&gt;0,INDEX(R_StCode,X41),0)))</f>
        <v>0</v>
      </c>
      <c r="Z41">
        <f>COUNTIFS(R_Emp,"Malcolm",R_Cnt,1,R_SN,"&lt;"&amp;((INT(E$7)*1440+1200)+30),R_EN,"&gt;"&amp;(INT(E$7)*1440+1200))</f>
        <v>0</v>
      </c>
      <c r="AA41">
        <f>IF(Z41&gt;0,_xlfn.MINIFS(R_ID,R_Emp,"Malcolm",R_Cnt,1,R_SN,"&lt;"&amp;((INT(E$7)*1440+1200)+30),R_EN,"&gt;"&amp;(INT(E$7)*1440+1200)),0)</f>
        <v>0</v>
      </c>
      <c r="AB41">
        <f>COUNTIFS(R_Emp,"proMX",R_Cnt,1,R_SN,"&lt;"&amp;((INT(E$7)*1440+1200)+30),R_EN,"&gt;"&amp;(INT(E$7)*1440+1200))</f>
        <v>0</v>
      </c>
      <c r="AC41">
        <f>IF(AB41&gt;0,_xlfn.MINIFS(R_ID,R_Emp,"proMX",R_Cnt,1,R_SN,"&lt;"&amp;((INT(E$7)*1440+1200)+30),R_EN,"&gt;"&amp;(INT(E$7)*1440+1200)),0)</f>
        <v>0</v>
      </c>
      <c r="AD41">
        <f>IF(AND(Z41&gt;0,AB41&gt;0),8,IF(Z41&gt;0,1,IF(AB41&gt;0,INDEX(R_StCode,AC41),0)))</f>
        <v>0</v>
      </c>
      <c r="AE41">
        <f>COUNTIFS(R_Emp,"Malcolm",R_Cnt,1,R_SN,"&lt;"&amp;((INT(F$7)*1440+1200)+30),R_EN,"&gt;"&amp;(INT(F$7)*1440+1200))</f>
        <v>0</v>
      </c>
      <c r="AF41">
        <f>IF(AE41&gt;0,_xlfn.MINIFS(R_ID,R_Emp,"Malcolm",R_Cnt,1,R_SN,"&lt;"&amp;((INT(F$7)*1440+1200)+30),R_EN,"&gt;"&amp;(INT(F$7)*1440+1200)),0)</f>
        <v>0</v>
      </c>
      <c r="AG41">
        <f>COUNTIFS(R_Emp,"proMX",R_Cnt,1,R_SN,"&lt;"&amp;((INT(F$7)*1440+1200)+30),R_EN,"&gt;"&amp;(INT(F$7)*1440+1200))</f>
        <v>0</v>
      </c>
      <c r="AH41">
        <f>IF(AG41&gt;0,_xlfn.MINIFS(R_ID,R_Emp,"proMX",R_Cnt,1,R_SN,"&lt;"&amp;((INT(F$7)*1440+1200)+30),R_EN,"&gt;"&amp;(INT(F$7)*1440+1200)),0)</f>
        <v>0</v>
      </c>
      <c r="AI41">
        <f>IF(AND(AE41&gt;0,AG41&gt;0),8,IF(AE41&gt;0,1,IF(AG41&gt;0,INDEX(R_StCode,AH41),0)))</f>
        <v>0</v>
      </c>
      <c r="AJ41">
        <f>COUNTIFS(R_Emp,"Malcolm",R_Cnt,1,R_SN,"&lt;"&amp;((INT(G$7)*1440+1200)+30),R_EN,"&gt;"&amp;(INT(G$7)*1440+1200))</f>
        <v>0</v>
      </c>
      <c r="AK41">
        <f>IF(AJ41&gt;0,_xlfn.MINIFS(R_ID,R_Emp,"Malcolm",R_Cnt,1,R_SN,"&lt;"&amp;((INT(G$7)*1440+1200)+30),R_EN,"&gt;"&amp;(INT(G$7)*1440+1200)),0)</f>
        <v>0</v>
      </c>
      <c r="AL41">
        <f>COUNTIFS(R_Emp,"proMX",R_Cnt,1,R_SN,"&lt;"&amp;((INT(G$7)*1440+1200)+30),R_EN,"&gt;"&amp;(INT(G$7)*1440+1200))</f>
        <v>0</v>
      </c>
      <c r="AM41">
        <f>IF(AL41&gt;0,_xlfn.MINIFS(R_ID,R_Emp,"proMX",R_Cnt,1,R_SN,"&lt;"&amp;((INT(G$7)*1440+1200)+30),R_EN,"&gt;"&amp;(INT(G$7)*1440+1200)),0)</f>
        <v>0</v>
      </c>
      <c r="AN41">
        <f>IF(AND(AJ41&gt;0,AL41&gt;0),8,IF(AJ41&gt;0,1,IF(AL41&gt;0,INDEX(R_StCode,AM41),0)))</f>
        <v>0</v>
      </c>
      <c r="AO41">
        <f>COUNTIFS(R_Emp,"Malcolm",R_Cnt,1,R_SN,"&lt;"&amp;((INT(H$7)*1440+1200)+30),R_EN,"&gt;"&amp;(INT(H$7)*1440+1200))</f>
        <v>0</v>
      </c>
      <c r="AP41">
        <f>IF(AO41&gt;0,_xlfn.MINIFS(R_ID,R_Emp,"Malcolm",R_Cnt,1,R_SN,"&lt;"&amp;((INT(H$7)*1440+1200)+30),R_EN,"&gt;"&amp;(INT(H$7)*1440+1200)),0)</f>
        <v>0</v>
      </c>
      <c r="AQ41">
        <f>COUNTIFS(R_Emp,"proMX",R_Cnt,1,R_SN,"&lt;"&amp;((INT(H$7)*1440+1200)+30),R_EN,"&gt;"&amp;(INT(H$7)*1440+1200))</f>
        <v>0</v>
      </c>
      <c r="AR41">
        <f>IF(AQ41&gt;0,_xlfn.MINIFS(R_ID,R_Emp,"proMX",R_Cnt,1,R_SN,"&lt;"&amp;((INT(H$7)*1440+1200)+30),R_EN,"&gt;"&amp;(INT(H$7)*1440+1200)),0)</f>
        <v>0</v>
      </c>
      <c r="AS41">
        <f>IF(AND(AO41&gt;0,AQ41&gt;0),8,IF(AO41&gt;0,1,IF(AQ41&gt;0,INDEX(R_StCode,AR41),0)))</f>
        <v>0</v>
      </c>
    </row>
    <row r="42" ht="20" customHeight="1">
      <c r="A42" s="101" t="n">
        <v>0.8541666666666666</v>
      </c>
      <c r="B42" s="102" t="str">
        <f>IF(O42=0,"",IF(O42=8,"⚠ Malcolm + proMX",IF(O42=1,IF(K42&gt;1,"Malcolm ("&amp;K42&amp;" tareas)",IF(OR(FALSE,INDEX(R_SN,L42)&gt;=(INT(B$7)*1440+1230)),"Malcolm · "&amp;INDEX(R_Label,L42)&amp;" ("&amp;TEXT(INDEX(R_Ini,L42),"hh:mm")&amp;"–"&amp;TEXT(INDEX(R_Fin,L42),"hh:mm")&amp;")","")),IF(OR(FALSE,INDEX(R_SN,N42)&gt;=(INT(B$7)*1440+1230)),"proMX · "&amp;INDEX(R_Label,N42)&amp;" · "&amp;INDEX(R_St,N42),""))))</f>
        <v/>
      </c>
      <c r="C42" s="102" t="str">
        <f>IF(T42=0,"",IF(T42=8,"⚠ Malcolm + proMX",IF(T42=1,IF(P42&gt;1,"Malcolm ("&amp;P42&amp;" tareas)",IF(OR(FALSE,INDEX(R_SN,Q42)&gt;=(INT(C$7)*1440+1230)),"Malcolm · "&amp;INDEX(R_Label,Q42)&amp;" ("&amp;TEXT(INDEX(R_Ini,Q42),"hh:mm")&amp;"–"&amp;TEXT(INDEX(R_Fin,Q42),"hh:mm")&amp;")","")),IF(OR(FALSE,INDEX(R_SN,S42)&gt;=(INT(C$7)*1440+1230)),"proMX · "&amp;INDEX(R_Label,S42)&amp;" · "&amp;INDEX(R_St,S42),""))))</f>
        <v/>
      </c>
      <c r="D42" s="102" t="str">
        <f>IF(Y42=0,"",IF(Y42=8,"⚠ Malcolm + proMX",IF(Y42=1,IF(U42&gt;1,"Malcolm ("&amp;U42&amp;" tareas)",IF(OR(FALSE,INDEX(R_SN,V42)&gt;=(INT(D$7)*1440+1230)),"Malcolm · "&amp;INDEX(R_Label,V42)&amp;" ("&amp;TEXT(INDEX(R_Ini,V42),"hh:mm")&amp;"–"&amp;TEXT(INDEX(R_Fin,V42),"hh:mm")&amp;")","")),IF(OR(FALSE,INDEX(R_SN,X42)&gt;=(INT(D$7)*1440+1230)),"proMX · "&amp;INDEX(R_Label,X42)&amp;" · "&amp;INDEX(R_St,X42),""))))</f>
        <v/>
      </c>
      <c r="E42" s="102" t="str">
        <f>IF(AD42=0,"",IF(AD42=8,"⚠ Malcolm + proMX",IF(AD42=1,IF(Z42&gt;1,"Malcolm ("&amp;Z42&amp;" tareas)",IF(OR(FALSE,INDEX(R_SN,AA42)&gt;=(INT(E$7)*1440+1230)),"Malcolm · "&amp;INDEX(R_Label,AA42)&amp;" ("&amp;TEXT(INDEX(R_Ini,AA42),"hh:mm")&amp;"–"&amp;TEXT(INDEX(R_Fin,AA42),"hh:mm")&amp;")","")),IF(OR(FALSE,INDEX(R_SN,AC42)&gt;=(INT(E$7)*1440+1230)),"proMX · "&amp;INDEX(R_Label,AC42)&amp;" · "&amp;INDEX(R_St,AC42),""))))</f>
        <v/>
      </c>
      <c r="F42" s="102" t="str">
        <f>IF(AI42=0,"",IF(AI42=8,"⚠ Malcolm + proMX",IF(AI42=1,IF(AE42&gt;1,"Malcolm ("&amp;AE42&amp;" tareas)",IF(OR(FALSE,INDEX(R_SN,AF42)&gt;=(INT(F$7)*1440+1230)),"Malcolm · "&amp;INDEX(R_Label,AF42)&amp;" ("&amp;TEXT(INDEX(R_Ini,AF42),"hh:mm")&amp;"–"&amp;TEXT(INDEX(R_Fin,AF42),"hh:mm")&amp;")","")),IF(OR(FALSE,INDEX(R_SN,AH42)&gt;=(INT(F$7)*1440+1230)),"proMX · "&amp;INDEX(R_Label,AH42)&amp;" · "&amp;INDEX(R_St,AH42),""))))</f>
        <v/>
      </c>
      <c r="G42" s="102" t="str">
        <f>IF(AN42=0,"",IF(AN42=8,"⚠ Malcolm + proMX",IF(AN42=1,IF(AJ42&gt;1,"Malcolm ("&amp;AJ42&amp;" tareas)",IF(OR(FALSE,INDEX(R_SN,AK42)&gt;=(INT(G$7)*1440+1230)),"Malcolm · "&amp;INDEX(R_Label,AK42)&amp;" ("&amp;TEXT(INDEX(R_Ini,AK42),"hh:mm")&amp;"–"&amp;TEXT(INDEX(R_Fin,AK42),"hh:mm")&amp;")","")),IF(OR(FALSE,INDEX(R_SN,AM42)&gt;=(INT(G$7)*1440+1230)),"proMX · "&amp;INDEX(R_Label,AM42)&amp;" · "&amp;INDEX(R_St,AM42),""))))</f>
        <v/>
      </c>
      <c r="H42" s="102" t="str">
        <f>IF(AS42=0,"",IF(AS42=8,"⚠ Malcolm + proMX",IF(AS42=1,IF(AO42&gt;1,"Malcolm ("&amp;AO42&amp;" tareas)",IF(OR(FALSE,INDEX(R_SN,AP42)&gt;=(INT(H$7)*1440+1230)),"Malcolm · "&amp;INDEX(R_Label,AP42)&amp;" ("&amp;TEXT(INDEX(R_Ini,AP42),"hh:mm")&amp;"–"&amp;TEXT(INDEX(R_Fin,AP42),"hh:mm")&amp;")","")),IF(OR(FALSE,INDEX(R_SN,AR42)&gt;=(INT(H$7)*1440+1230)),"proMX · "&amp;INDEX(R_Label,AR42)&amp;" · "&amp;INDEX(R_St,AR42),""))))</f>
        <v/>
      </c>
      <c r="K42">
        <f>COUNTIFS(R_Emp,"Malcolm",R_Cnt,1,R_SN,"&lt;"&amp;((INT(B$7)*1440+1230)+30),R_EN,"&gt;"&amp;(INT(B$7)*1440+1230))</f>
        <v>0</v>
      </c>
      <c r="L42">
        <f>IF(K42&gt;0,_xlfn.MINIFS(R_ID,R_Emp,"Malcolm",R_Cnt,1,R_SN,"&lt;"&amp;((INT(B$7)*1440+1230)+30),R_EN,"&gt;"&amp;(INT(B$7)*1440+1230)),0)</f>
        <v>0</v>
      </c>
      <c r="M42">
        <f>COUNTIFS(R_Emp,"proMX",R_Cnt,1,R_SN,"&lt;"&amp;((INT(B$7)*1440+1230)+30),R_EN,"&gt;"&amp;(INT(B$7)*1440+1230))</f>
        <v>0</v>
      </c>
      <c r="N42">
        <f>IF(M42&gt;0,_xlfn.MINIFS(R_ID,R_Emp,"proMX",R_Cnt,1,R_SN,"&lt;"&amp;((INT(B$7)*1440+1230)+30),R_EN,"&gt;"&amp;(INT(B$7)*1440+1230)),0)</f>
        <v>0</v>
      </c>
      <c r="O42">
        <f>IF(AND(K42&gt;0,M42&gt;0),8,IF(K42&gt;0,1,IF(M42&gt;0,INDEX(R_StCode,N42),0)))</f>
        <v>0</v>
      </c>
      <c r="P42">
        <f>COUNTIFS(R_Emp,"Malcolm",R_Cnt,1,R_SN,"&lt;"&amp;((INT(C$7)*1440+1230)+30),R_EN,"&gt;"&amp;(INT(C$7)*1440+1230))</f>
        <v>0</v>
      </c>
      <c r="Q42">
        <f>IF(P42&gt;0,_xlfn.MINIFS(R_ID,R_Emp,"Malcolm",R_Cnt,1,R_SN,"&lt;"&amp;((INT(C$7)*1440+1230)+30),R_EN,"&gt;"&amp;(INT(C$7)*1440+1230)),0)</f>
        <v>0</v>
      </c>
      <c r="R42">
        <f>COUNTIFS(R_Emp,"proMX",R_Cnt,1,R_SN,"&lt;"&amp;((INT(C$7)*1440+1230)+30),R_EN,"&gt;"&amp;(INT(C$7)*1440+1230))</f>
        <v>0</v>
      </c>
      <c r="S42">
        <f>IF(R42&gt;0,_xlfn.MINIFS(R_ID,R_Emp,"proMX",R_Cnt,1,R_SN,"&lt;"&amp;((INT(C$7)*1440+1230)+30),R_EN,"&gt;"&amp;(INT(C$7)*1440+1230)),0)</f>
        <v>0</v>
      </c>
      <c r="T42">
        <f>IF(AND(P42&gt;0,R42&gt;0),8,IF(P42&gt;0,1,IF(R42&gt;0,INDEX(R_StCode,S42),0)))</f>
        <v>0</v>
      </c>
      <c r="U42">
        <f>COUNTIFS(R_Emp,"Malcolm",R_Cnt,1,R_SN,"&lt;"&amp;((INT(D$7)*1440+1230)+30),R_EN,"&gt;"&amp;(INT(D$7)*1440+1230))</f>
        <v>0</v>
      </c>
      <c r="V42">
        <f>IF(U42&gt;0,_xlfn.MINIFS(R_ID,R_Emp,"Malcolm",R_Cnt,1,R_SN,"&lt;"&amp;((INT(D$7)*1440+1230)+30),R_EN,"&gt;"&amp;(INT(D$7)*1440+1230)),0)</f>
        <v>0</v>
      </c>
      <c r="W42">
        <f>COUNTIFS(R_Emp,"proMX",R_Cnt,1,R_SN,"&lt;"&amp;((INT(D$7)*1440+1230)+30),R_EN,"&gt;"&amp;(INT(D$7)*1440+1230))</f>
        <v>0</v>
      </c>
      <c r="X42">
        <f>IF(W42&gt;0,_xlfn.MINIFS(R_ID,R_Emp,"proMX",R_Cnt,1,R_SN,"&lt;"&amp;((INT(D$7)*1440+1230)+30),R_EN,"&gt;"&amp;(INT(D$7)*1440+1230)),0)</f>
        <v>0</v>
      </c>
      <c r="Y42">
        <f>IF(AND(U42&gt;0,W42&gt;0),8,IF(U42&gt;0,1,IF(W42&gt;0,INDEX(R_StCode,X42),0)))</f>
        <v>0</v>
      </c>
      <c r="Z42">
        <f>COUNTIFS(R_Emp,"Malcolm",R_Cnt,1,R_SN,"&lt;"&amp;((INT(E$7)*1440+1230)+30),R_EN,"&gt;"&amp;(INT(E$7)*1440+1230))</f>
        <v>0</v>
      </c>
      <c r="AA42">
        <f>IF(Z42&gt;0,_xlfn.MINIFS(R_ID,R_Emp,"Malcolm",R_Cnt,1,R_SN,"&lt;"&amp;((INT(E$7)*1440+1230)+30),R_EN,"&gt;"&amp;(INT(E$7)*1440+1230)),0)</f>
        <v>0</v>
      </c>
      <c r="AB42">
        <f>COUNTIFS(R_Emp,"proMX",R_Cnt,1,R_SN,"&lt;"&amp;((INT(E$7)*1440+1230)+30),R_EN,"&gt;"&amp;(INT(E$7)*1440+1230))</f>
        <v>0</v>
      </c>
      <c r="AC42">
        <f>IF(AB42&gt;0,_xlfn.MINIFS(R_ID,R_Emp,"proMX",R_Cnt,1,R_SN,"&lt;"&amp;((INT(E$7)*1440+1230)+30),R_EN,"&gt;"&amp;(INT(E$7)*1440+1230)),0)</f>
        <v>0</v>
      </c>
      <c r="AD42">
        <f>IF(AND(Z42&gt;0,AB42&gt;0),8,IF(Z42&gt;0,1,IF(AB42&gt;0,INDEX(R_StCode,AC42),0)))</f>
        <v>0</v>
      </c>
      <c r="AE42">
        <f>COUNTIFS(R_Emp,"Malcolm",R_Cnt,1,R_SN,"&lt;"&amp;((INT(F$7)*1440+1230)+30),R_EN,"&gt;"&amp;(INT(F$7)*1440+1230))</f>
        <v>0</v>
      </c>
      <c r="AF42">
        <f>IF(AE42&gt;0,_xlfn.MINIFS(R_ID,R_Emp,"Malcolm",R_Cnt,1,R_SN,"&lt;"&amp;((INT(F$7)*1440+1230)+30),R_EN,"&gt;"&amp;(INT(F$7)*1440+1230)),0)</f>
        <v>0</v>
      </c>
      <c r="AG42">
        <f>COUNTIFS(R_Emp,"proMX",R_Cnt,1,R_SN,"&lt;"&amp;((INT(F$7)*1440+1230)+30),R_EN,"&gt;"&amp;(INT(F$7)*1440+1230))</f>
        <v>0</v>
      </c>
      <c r="AH42">
        <f>IF(AG42&gt;0,_xlfn.MINIFS(R_ID,R_Emp,"proMX",R_Cnt,1,R_SN,"&lt;"&amp;((INT(F$7)*1440+1230)+30),R_EN,"&gt;"&amp;(INT(F$7)*1440+1230)),0)</f>
        <v>0</v>
      </c>
      <c r="AI42">
        <f>IF(AND(AE42&gt;0,AG42&gt;0),8,IF(AE42&gt;0,1,IF(AG42&gt;0,INDEX(R_StCode,AH42),0)))</f>
        <v>0</v>
      </c>
      <c r="AJ42">
        <f>COUNTIFS(R_Emp,"Malcolm",R_Cnt,1,R_SN,"&lt;"&amp;((INT(G$7)*1440+1230)+30),R_EN,"&gt;"&amp;(INT(G$7)*1440+1230))</f>
        <v>0</v>
      </c>
      <c r="AK42">
        <f>IF(AJ42&gt;0,_xlfn.MINIFS(R_ID,R_Emp,"Malcolm",R_Cnt,1,R_SN,"&lt;"&amp;((INT(G$7)*1440+1230)+30),R_EN,"&gt;"&amp;(INT(G$7)*1440+1230)),0)</f>
        <v>0</v>
      </c>
      <c r="AL42">
        <f>COUNTIFS(R_Emp,"proMX",R_Cnt,1,R_SN,"&lt;"&amp;((INT(G$7)*1440+1230)+30),R_EN,"&gt;"&amp;(INT(G$7)*1440+1230))</f>
        <v>0</v>
      </c>
      <c r="AM42">
        <f>IF(AL42&gt;0,_xlfn.MINIFS(R_ID,R_Emp,"proMX",R_Cnt,1,R_SN,"&lt;"&amp;((INT(G$7)*1440+1230)+30),R_EN,"&gt;"&amp;(INT(G$7)*1440+1230)),0)</f>
        <v>0</v>
      </c>
      <c r="AN42">
        <f>IF(AND(AJ42&gt;0,AL42&gt;0),8,IF(AJ42&gt;0,1,IF(AL42&gt;0,INDEX(R_StCode,AM42),0)))</f>
        <v>0</v>
      </c>
      <c r="AO42">
        <f>COUNTIFS(R_Emp,"Malcolm",R_Cnt,1,R_SN,"&lt;"&amp;((INT(H$7)*1440+1230)+30),R_EN,"&gt;"&amp;(INT(H$7)*1440+1230))</f>
        <v>0</v>
      </c>
      <c r="AP42">
        <f>IF(AO42&gt;0,_xlfn.MINIFS(R_ID,R_Emp,"Malcolm",R_Cnt,1,R_SN,"&lt;"&amp;((INT(H$7)*1440+1230)+30),R_EN,"&gt;"&amp;(INT(H$7)*1440+1230)),0)</f>
        <v>0</v>
      </c>
      <c r="AQ42">
        <f>COUNTIFS(R_Emp,"proMX",R_Cnt,1,R_SN,"&lt;"&amp;((INT(H$7)*1440+1230)+30),R_EN,"&gt;"&amp;(INT(H$7)*1440+1230))</f>
        <v>0</v>
      </c>
      <c r="AR42">
        <f>IF(AQ42&gt;0,_xlfn.MINIFS(R_ID,R_Emp,"proMX",R_Cnt,1,R_SN,"&lt;"&amp;((INT(H$7)*1440+1230)+30),R_EN,"&gt;"&amp;(INT(H$7)*1440+1230)),0)</f>
        <v>0</v>
      </c>
      <c r="AS42">
        <f>IF(AND(AO42&gt;0,AQ42&gt;0),8,IF(AO42&gt;0,1,IF(AQ42&gt;0,INDEX(R_StCode,AR42),0)))</f>
        <v>0</v>
      </c>
    </row>
    <row r="43" ht="20" customHeight="1">
      <c r="A43" s="101" t="n">
        <v>0.875</v>
      </c>
      <c r="B43" s="102" t="str">
        <f>IF(O43=0,"",IF(O43=8,"⚠ Malcolm + proMX",IF(O43=1,IF(K43&gt;1,"Malcolm ("&amp;K43&amp;" tareas)",IF(OR(FALSE,INDEX(R_SN,L43)&gt;=(INT(B$7)*1440+1260)),"Malcolm · "&amp;INDEX(R_Label,L43)&amp;" ("&amp;TEXT(INDEX(R_Ini,L43),"hh:mm")&amp;"–"&amp;TEXT(INDEX(R_Fin,L43),"hh:mm")&amp;")","")),IF(OR(FALSE,INDEX(R_SN,N43)&gt;=(INT(B$7)*1440+1260)),"proMX · "&amp;INDEX(R_Label,N43)&amp;" · "&amp;INDEX(R_St,N43),""))))</f>
        <v/>
      </c>
      <c r="C43" s="102" t="str">
        <f>IF(T43=0,"",IF(T43=8,"⚠ Malcolm + proMX",IF(T43=1,IF(P43&gt;1,"Malcolm ("&amp;P43&amp;" tareas)",IF(OR(FALSE,INDEX(R_SN,Q43)&gt;=(INT(C$7)*1440+1260)),"Malcolm · "&amp;INDEX(R_Label,Q43)&amp;" ("&amp;TEXT(INDEX(R_Ini,Q43),"hh:mm")&amp;"–"&amp;TEXT(INDEX(R_Fin,Q43),"hh:mm")&amp;")","")),IF(OR(FALSE,INDEX(R_SN,S43)&gt;=(INT(C$7)*1440+1260)),"proMX · "&amp;INDEX(R_Label,S43)&amp;" · "&amp;INDEX(R_St,S43),""))))</f>
        <v/>
      </c>
      <c r="D43" s="102" t="str">
        <f>IF(Y43=0,"",IF(Y43=8,"⚠ Malcolm + proMX",IF(Y43=1,IF(U43&gt;1,"Malcolm ("&amp;U43&amp;" tareas)",IF(OR(FALSE,INDEX(R_SN,V43)&gt;=(INT(D$7)*1440+1260)),"Malcolm · "&amp;INDEX(R_Label,V43)&amp;" ("&amp;TEXT(INDEX(R_Ini,V43),"hh:mm")&amp;"–"&amp;TEXT(INDEX(R_Fin,V43),"hh:mm")&amp;")","")),IF(OR(FALSE,INDEX(R_SN,X43)&gt;=(INT(D$7)*1440+1260)),"proMX · "&amp;INDEX(R_Label,X43)&amp;" · "&amp;INDEX(R_St,X43),""))))</f>
        <v/>
      </c>
      <c r="E43" s="102" t="str">
        <f>IF(AD43=0,"",IF(AD43=8,"⚠ Malcolm + proMX",IF(AD43=1,IF(Z43&gt;1,"Malcolm ("&amp;Z43&amp;" tareas)",IF(OR(FALSE,INDEX(R_SN,AA43)&gt;=(INT(E$7)*1440+1260)),"Malcolm · "&amp;INDEX(R_Label,AA43)&amp;" ("&amp;TEXT(INDEX(R_Ini,AA43),"hh:mm")&amp;"–"&amp;TEXT(INDEX(R_Fin,AA43),"hh:mm")&amp;")","")),IF(OR(FALSE,INDEX(R_SN,AC43)&gt;=(INT(E$7)*1440+1260)),"proMX · "&amp;INDEX(R_Label,AC43)&amp;" · "&amp;INDEX(R_St,AC43),""))))</f>
        <v/>
      </c>
      <c r="F43" s="102" t="str">
        <f>IF(AI43=0,"",IF(AI43=8,"⚠ Malcolm + proMX",IF(AI43=1,IF(AE43&gt;1,"Malcolm ("&amp;AE43&amp;" tareas)",IF(OR(FALSE,INDEX(R_SN,AF43)&gt;=(INT(F$7)*1440+1260)),"Malcolm · "&amp;INDEX(R_Label,AF43)&amp;" ("&amp;TEXT(INDEX(R_Ini,AF43),"hh:mm")&amp;"–"&amp;TEXT(INDEX(R_Fin,AF43),"hh:mm")&amp;")","")),IF(OR(FALSE,INDEX(R_SN,AH43)&gt;=(INT(F$7)*1440+1260)),"proMX · "&amp;INDEX(R_Label,AH43)&amp;" · "&amp;INDEX(R_St,AH43),""))))</f>
        <v/>
      </c>
      <c r="G43" s="102" t="str">
        <f>IF(AN43=0,"",IF(AN43=8,"⚠ Malcolm + proMX",IF(AN43=1,IF(AJ43&gt;1,"Malcolm ("&amp;AJ43&amp;" tareas)",IF(OR(FALSE,INDEX(R_SN,AK43)&gt;=(INT(G$7)*1440+1260)),"Malcolm · "&amp;INDEX(R_Label,AK43)&amp;" ("&amp;TEXT(INDEX(R_Ini,AK43),"hh:mm")&amp;"–"&amp;TEXT(INDEX(R_Fin,AK43),"hh:mm")&amp;")","")),IF(OR(FALSE,INDEX(R_SN,AM43)&gt;=(INT(G$7)*1440+1260)),"proMX · "&amp;INDEX(R_Label,AM43)&amp;" · "&amp;INDEX(R_St,AM43),""))))</f>
        <v/>
      </c>
      <c r="H43" s="102" t="str">
        <f>IF(AS43=0,"",IF(AS43=8,"⚠ Malcolm + proMX",IF(AS43=1,IF(AO43&gt;1,"Malcolm ("&amp;AO43&amp;" tareas)",IF(OR(FALSE,INDEX(R_SN,AP43)&gt;=(INT(H$7)*1440+1260)),"Malcolm · "&amp;INDEX(R_Label,AP43)&amp;" ("&amp;TEXT(INDEX(R_Ini,AP43),"hh:mm")&amp;"–"&amp;TEXT(INDEX(R_Fin,AP43),"hh:mm")&amp;")","")),IF(OR(FALSE,INDEX(R_SN,AR43)&gt;=(INT(H$7)*1440+1260)),"proMX · "&amp;INDEX(R_Label,AR43)&amp;" · "&amp;INDEX(R_St,AR43),""))))</f>
        <v/>
      </c>
      <c r="K43">
        <f>COUNTIFS(R_Emp,"Malcolm",R_Cnt,1,R_SN,"&lt;"&amp;((INT(B$7)*1440+1260)+30),R_EN,"&gt;"&amp;(INT(B$7)*1440+1260))</f>
        <v>0</v>
      </c>
      <c r="L43">
        <f>IF(K43&gt;0,_xlfn.MINIFS(R_ID,R_Emp,"Malcolm",R_Cnt,1,R_SN,"&lt;"&amp;((INT(B$7)*1440+1260)+30),R_EN,"&gt;"&amp;(INT(B$7)*1440+1260)),0)</f>
        <v>0</v>
      </c>
      <c r="M43">
        <f>COUNTIFS(R_Emp,"proMX",R_Cnt,1,R_SN,"&lt;"&amp;((INT(B$7)*1440+1260)+30),R_EN,"&gt;"&amp;(INT(B$7)*1440+1260))</f>
        <v>0</v>
      </c>
      <c r="N43">
        <f>IF(M43&gt;0,_xlfn.MINIFS(R_ID,R_Emp,"proMX",R_Cnt,1,R_SN,"&lt;"&amp;((INT(B$7)*1440+1260)+30),R_EN,"&gt;"&amp;(INT(B$7)*1440+1260)),0)</f>
        <v>0</v>
      </c>
      <c r="O43">
        <f>IF(AND(K43&gt;0,M43&gt;0),8,IF(K43&gt;0,1,IF(M43&gt;0,INDEX(R_StCode,N43),0)))</f>
        <v>0</v>
      </c>
      <c r="P43">
        <f>COUNTIFS(R_Emp,"Malcolm",R_Cnt,1,R_SN,"&lt;"&amp;((INT(C$7)*1440+1260)+30),R_EN,"&gt;"&amp;(INT(C$7)*1440+1260))</f>
        <v>0</v>
      </c>
      <c r="Q43">
        <f>IF(P43&gt;0,_xlfn.MINIFS(R_ID,R_Emp,"Malcolm",R_Cnt,1,R_SN,"&lt;"&amp;((INT(C$7)*1440+1260)+30),R_EN,"&gt;"&amp;(INT(C$7)*1440+1260)),0)</f>
        <v>0</v>
      </c>
      <c r="R43">
        <f>COUNTIFS(R_Emp,"proMX",R_Cnt,1,R_SN,"&lt;"&amp;((INT(C$7)*1440+1260)+30),R_EN,"&gt;"&amp;(INT(C$7)*1440+1260))</f>
        <v>0</v>
      </c>
      <c r="S43">
        <f>IF(R43&gt;0,_xlfn.MINIFS(R_ID,R_Emp,"proMX",R_Cnt,1,R_SN,"&lt;"&amp;((INT(C$7)*1440+1260)+30),R_EN,"&gt;"&amp;(INT(C$7)*1440+1260)),0)</f>
        <v>0</v>
      </c>
      <c r="T43">
        <f>IF(AND(P43&gt;0,R43&gt;0),8,IF(P43&gt;0,1,IF(R43&gt;0,INDEX(R_StCode,S43),0)))</f>
        <v>0</v>
      </c>
      <c r="U43">
        <f>COUNTIFS(R_Emp,"Malcolm",R_Cnt,1,R_SN,"&lt;"&amp;((INT(D$7)*1440+1260)+30),R_EN,"&gt;"&amp;(INT(D$7)*1440+1260))</f>
        <v>0</v>
      </c>
      <c r="V43">
        <f>IF(U43&gt;0,_xlfn.MINIFS(R_ID,R_Emp,"Malcolm",R_Cnt,1,R_SN,"&lt;"&amp;((INT(D$7)*1440+1260)+30),R_EN,"&gt;"&amp;(INT(D$7)*1440+1260)),0)</f>
        <v>0</v>
      </c>
      <c r="W43">
        <f>COUNTIFS(R_Emp,"proMX",R_Cnt,1,R_SN,"&lt;"&amp;((INT(D$7)*1440+1260)+30),R_EN,"&gt;"&amp;(INT(D$7)*1440+1260))</f>
        <v>0</v>
      </c>
      <c r="X43">
        <f>IF(W43&gt;0,_xlfn.MINIFS(R_ID,R_Emp,"proMX",R_Cnt,1,R_SN,"&lt;"&amp;((INT(D$7)*1440+1260)+30),R_EN,"&gt;"&amp;(INT(D$7)*1440+1260)),0)</f>
        <v>0</v>
      </c>
      <c r="Y43">
        <f>IF(AND(U43&gt;0,W43&gt;0),8,IF(U43&gt;0,1,IF(W43&gt;0,INDEX(R_StCode,X43),0)))</f>
        <v>0</v>
      </c>
      <c r="Z43">
        <f>COUNTIFS(R_Emp,"Malcolm",R_Cnt,1,R_SN,"&lt;"&amp;((INT(E$7)*1440+1260)+30),R_EN,"&gt;"&amp;(INT(E$7)*1440+1260))</f>
        <v>0</v>
      </c>
      <c r="AA43">
        <f>IF(Z43&gt;0,_xlfn.MINIFS(R_ID,R_Emp,"Malcolm",R_Cnt,1,R_SN,"&lt;"&amp;((INT(E$7)*1440+1260)+30),R_EN,"&gt;"&amp;(INT(E$7)*1440+1260)),0)</f>
        <v>0</v>
      </c>
      <c r="AB43">
        <f>COUNTIFS(R_Emp,"proMX",R_Cnt,1,R_SN,"&lt;"&amp;((INT(E$7)*1440+1260)+30),R_EN,"&gt;"&amp;(INT(E$7)*1440+1260))</f>
        <v>0</v>
      </c>
      <c r="AC43">
        <f>IF(AB43&gt;0,_xlfn.MINIFS(R_ID,R_Emp,"proMX",R_Cnt,1,R_SN,"&lt;"&amp;((INT(E$7)*1440+1260)+30),R_EN,"&gt;"&amp;(INT(E$7)*1440+1260)),0)</f>
        <v>0</v>
      </c>
      <c r="AD43">
        <f>IF(AND(Z43&gt;0,AB43&gt;0),8,IF(Z43&gt;0,1,IF(AB43&gt;0,INDEX(R_StCode,AC43),0)))</f>
        <v>0</v>
      </c>
      <c r="AE43">
        <f>COUNTIFS(R_Emp,"Malcolm",R_Cnt,1,R_SN,"&lt;"&amp;((INT(F$7)*1440+1260)+30),R_EN,"&gt;"&amp;(INT(F$7)*1440+1260))</f>
        <v>0</v>
      </c>
      <c r="AF43">
        <f>IF(AE43&gt;0,_xlfn.MINIFS(R_ID,R_Emp,"Malcolm",R_Cnt,1,R_SN,"&lt;"&amp;((INT(F$7)*1440+1260)+30),R_EN,"&gt;"&amp;(INT(F$7)*1440+1260)),0)</f>
        <v>0</v>
      </c>
      <c r="AG43">
        <f>COUNTIFS(R_Emp,"proMX",R_Cnt,1,R_SN,"&lt;"&amp;((INT(F$7)*1440+1260)+30),R_EN,"&gt;"&amp;(INT(F$7)*1440+1260))</f>
        <v>0</v>
      </c>
      <c r="AH43">
        <f>IF(AG43&gt;0,_xlfn.MINIFS(R_ID,R_Emp,"proMX",R_Cnt,1,R_SN,"&lt;"&amp;((INT(F$7)*1440+1260)+30),R_EN,"&gt;"&amp;(INT(F$7)*1440+1260)),0)</f>
        <v>0</v>
      </c>
      <c r="AI43">
        <f>IF(AND(AE43&gt;0,AG43&gt;0),8,IF(AE43&gt;0,1,IF(AG43&gt;0,INDEX(R_StCode,AH43),0)))</f>
        <v>0</v>
      </c>
      <c r="AJ43">
        <f>COUNTIFS(R_Emp,"Malcolm",R_Cnt,1,R_SN,"&lt;"&amp;((INT(G$7)*1440+1260)+30),R_EN,"&gt;"&amp;(INT(G$7)*1440+1260))</f>
        <v>0</v>
      </c>
      <c r="AK43">
        <f>IF(AJ43&gt;0,_xlfn.MINIFS(R_ID,R_Emp,"Malcolm",R_Cnt,1,R_SN,"&lt;"&amp;((INT(G$7)*1440+1260)+30),R_EN,"&gt;"&amp;(INT(G$7)*1440+1260)),0)</f>
        <v>0</v>
      </c>
      <c r="AL43">
        <f>COUNTIFS(R_Emp,"proMX",R_Cnt,1,R_SN,"&lt;"&amp;((INT(G$7)*1440+1260)+30),R_EN,"&gt;"&amp;(INT(G$7)*1440+1260))</f>
        <v>0</v>
      </c>
      <c r="AM43">
        <f>IF(AL43&gt;0,_xlfn.MINIFS(R_ID,R_Emp,"proMX",R_Cnt,1,R_SN,"&lt;"&amp;((INT(G$7)*1440+1260)+30),R_EN,"&gt;"&amp;(INT(G$7)*1440+1260)),0)</f>
        <v>0</v>
      </c>
      <c r="AN43">
        <f>IF(AND(AJ43&gt;0,AL43&gt;0),8,IF(AJ43&gt;0,1,IF(AL43&gt;0,INDEX(R_StCode,AM43),0)))</f>
        <v>0</v>
      </c>
      <c r="AO43">
        <f>COUNTIFS(R_Emp,"Malcolm",R_Cnt,1,R_SN,"&lt;"&amp;((INT(H$7)*1440+1260)+30),R_EN,"&gt;"&amp;(INT(H$7)*1440+1260))</f>
        <v>0</v>
      </c>
      <c r="AP43">
        <f>IF(AO43&gt;0,_xlfn.MINIFS(R_ID,R_Emp,"Malcolm",R_Cnt,1,R_SN,"&lt;"&amp;((INT(H$7)*1440+1260)+30),R_EN,"&gt;"&amp;(INT(H$7)*1440+1260)),0)</f>
        <v>0</v>
      </c>
      <c r="AQ43">
        <f>COUNTIFS(R_Emp,"proMX",R_Cnt,1,R_SN,"&lt;"&amp;((INT(H$7)*1440+1260)+30),R_EN,"&gt;"&amp;(INT(H$7)*1440+1260))</f>
        <v>0</v>
      </c>
      <c r="AR43">
        <f>IF(AQ43&gt;0,_xlfn.MINIFS(R_ID,R_Emp,"proMX",R_Cnt,1,R_SN,"&lt;"&amp;((INT(H$7)*1440+1260)+30),R_EN,"&gt;"&amp;(INT(H$7)*1440+1260)),0)</f>
        <v>0</v>
      </c>
      <c r="AS43">
        <f>IF(AND(AO43&gt;0,AQ43&gt;0),8,IF(AO43&gt;0,1,IF(AQ43&gt;0,INDEX(R_StCode,AR43),0)))</f>
        <v>0</v>
      </c>
    </row>
    <row r="44" ht="20" customHeight="1">
      <c r="A44" s="101" t="n">
        <v>0.8958333333333334</v>
      </c>
      <c r="B44" s="102" t="str">
        <f>IF(O44=0,"",IF(O44=8,"⚠ Malcolm + proMX",IF(O44=1,IF(K44&gt;1,"Malcolm ("&amp;K44&amp;" tareas)",IF(OR(FALSE,INDEX(R_SN,L44)&gt;=(INT(B$7)*1440+1290)),"Malcolm · "&amp;INDEX(R_Label,L44)&amp;" ("&amp;TEXT(INDEX(R_Ini,L44),"hh:mm")&amp;"–"&amp;TEXT(INDEX(R_Fin,L44),"hh:mm")&amp;")","")),IF(OR(FALSE,INDEX(R_SN,N44)&gt;=(INT(B$7)*1440+1290)),"proMX · "&amp;INDEX(R_Label,N44)&amp;" · "&amp;INDEX(R_St,N44),""))))</f>
        <v/>
      </c>
      <c r="C44" s="102" t="str">
        <f>IF(T44=0,"",IF(T44=8,"⚠ Malcolm + proMX",IF(T44=1,IF(P44&gt;1,"Malcolm ("&amp;P44&amp;" tareas)",IF(OR(FALSE,INDEX(R_SN,Q44)&gt;=(INT(C$7)*1440+1290)),"Malcolm · "&amp;INDEX(R_Label,Q44)&amp;" ("&amp;TEXT(INDEX(R_Ini,Q44),"hh:mm")&amp;"–"&amp;TEXT(INDEX(R_Fin,Q44),"hh:mm")&amp;")","")),IF(OR(FALSE,INDEX(R_SN,S44)&gt;=(INT(C$7)*1440+1290)),"proMX · "&amp;INDEX(R_Label,S44)&amp;" · "&amp;INDEX(R_St,S44),""))))</f>
        <v/>
      </c>
      <c r="D44" s="102" t="str">
        <f>IF(Y44=0,"",IF(Y44=8,"⚠ Malcolm + proMX",IF(Y44=1,IF(U44&gt;1,"Malcolm ("&amp;U44&amp;" tareas)",IF(OR(FALSE,INDEX(R_SN,V44)&gt;=(INT(D$7)*1440+1290)),"Malcolm · "&amp;INDEX(R_Label,V44)&amp;" ("&amp;TEXT(INDEX(R_Ini,V44),"hh:mm")&amp;"–"&amp;TEXT(INDEX(R_Fin,V44),"hh:mm")&amp;")","")),IF(OR(FALSE,INDEX(R_SN,X44)&gt;=(INT(D$7)*1440+1290)),"proMX · "&amp;INDEX(R_Label,X44)&amp;" · "&amp;INDEX(R_St,X44),""))))</f>
        <v/>
      </c>
      <c r="E44" s="102" t="str">
        <f>IF(AD44=0,"",IF(AD44=8,"⚠ Malcolm + proMX",IF(AD44=1,IF(Z44&gt;1,"Malcolm ("&amp;Z44&amp;" tareas)",IF(OR(FALSE,INDEX(R_SN,AA44)&gt;=(INT(E$7)*1440+1290)),"Malcolm · "&amp;INDEX(R_Label,AA44)&amp;" ("&amp;TEXT(INDEX(R_Ini,AA44),"hh:mm")&amp;"–"&amp;TEXT(INDEX(R_Fin,AA44),"hh:mm")&amp;")","")),IF(OR(FALSE,INDEX(R_SN,AC44)&gt;=(INT(E$7)*1440+1290)),"proMX · "&amp;INDEX(R_Label,AC44)&amp;" · "&amp;INDEX(R_St,AC44),""))))</f>
        <v/>
      </c>
      <c r="F44" s="102" t="str">
        <f>IF(AI44=0,"",IF(AI44=8,"⚠ Malcolm + proMX",IF(AI44=1,IF(AE44&gt;1,"Malcolm ("&amp;AE44&amp;" tareas)",IF(OR(FALSE,INDEX(R_SN,AF44)&gt;=(INT(F$7)*1440+1290)),"Malcolm · "&amp;INDEX(R_Label,AF44)&amp;" ("&amp;TEXT(INDEX(R_Ini,AF44),"hh:mm")&amp;"–"&amp;TEXT(INDEX(R_Fin,AF44),"hh:mm")&amp;")","")),IF(OR(FALSE,INDEX(R_SN,AH44)&gt;=(INT(F$7)*1440+1290)),"proMX · "&amp;INDEX(R_Label,AH44)&amp;" · "&amp;INDEX(R_St,AH44),""))))</f>
        <v/>
      </c>
      <c r="G44" s="102" t="str">
        <f>IF(AN44=0,"",IF(AN44=8,"⚠ Malcolm + proMX",IF(AN44=1,IF(AJ44&gt;1,"Malcolm ("&amp;AJ44&amp;" tareas)",IF(OR(FALSE,INDEX(R_SN,AK44)&gt;=(INT(G$7)*1440+1290)),"Malcolm · "&amp;INDEX(R_Label,AK44)&amp;" ("&amp;TEXT(INDEX(R_Ini,AK44),"hh:mm")&amp;"–"&amp;TEXT(INDEX(R_Fin,AK44),"hh:mm")&amp;")","")),IF(OR(FALSE,INDEX(R_SN,AM44)&gt;=(INT(G$7)*1440+1290)),"proMX · "&amp;INDEX(R_Label,AM44)&amp;" · "&amp;INDEX(R_St,AM44),""))))</f>
        <v/>
      </c>
      <c r="H44" s="102" t="str">
        <f>IF(AS44=0,"",IF(AS44=8,"⚠ Malcolm + proMX",IF(AS44=1,IF(AO44&gt;1,"Malcolm ("&amp;AO44&amp;" tareas)",IF(OR(FALSE,INDEX(R_SN,AP44)&gt;=(INT(H$7)*1440+1290)),"Malcolm · "&amp;INDEX(R_Label,AP44)&amp;" ("&amp;TEXT(INDEX(R_Ini,AP44),"hh:mm")&amp;"–"&amp;TEXT(INDEX(R_Fin,AP44),"hh:mm")&amp;")","")),IF(OR(FALSE,INDEX(R_SN,AR44)&gt;=(INT(H$7)*1440+1290)),"proMX · "&amp;INDEX(R_Label,AR44)&amp;" · "&amp;INDEX(R_St,AR44),""))))</f>
        <v/>
      </c>
      <c r="K44">
        <f>COUNTIFS(R_Emp,"Malcolm",R_Cnt,1,R_SN,"&lt;"&amp;((INT(B$7)*1440+1290)+30),R_EN,"&gt;"&amp;(INT(B$7)*1440+1290))</f>
        <v>0</v>
      </c>
      <c r="L44">
        <f>IF(K44&gt;0,_xlfn.MINIFS(R_ID,R_Emp,"Malcolm",R_Cnt,1,R_SN,"&lt;"&amp;((INT(B$7)*1440+1290)+30),R_EN,"&gt;"&amp;(INT(B$7)*1440+1290)),0)</f>
        <v>0</v>
      </c>
      <c r="M44">
        <f>COUNTIFS(R_Emp,"proMX",R_Cnt,1,R_SN,"&lt;"&amp;((INT(B$7)*1440+1290)+30),R_EN,"&gt;"&amp;(INT(B$7)*1440+1290))</f>
        <v>0</v>
      </c>
      <c r="N44">
        <f>IF(M44&gt;0,_xlfn.MINIFS(R_ID,R_Emp,"proMX",R_Cnt,1,R_SN,"&lt;"&amp;((INT(B$7)*1440+1290)+30),R_EN,"&gt;"&amp;(INT(B$7)*1440+1290)),0)</f>
        <v>0</v>
      </c>
      <c r="O44">
        <f>IF(AND(K44&gt;0,M44&gt;0),8,IF(K44&gt;0,1,IF(M44&gt;0,INDEX(R_StCode,N44),0)))</f>
        <v>0</v>
      </c>
      <c r="P44">
        <f>COUNTIFS(R_Emp,"Malcolm",R_Cnt,1,R_SN,"&lt;"&amp;((INT(C$7)*1440+1290)+30),R_EN,"&gt;"&amp;(INT(C$7)*1440+1290))</f>
        <v>0</v>
      </c>
      <c r="Q44">
        <f>IF(P44&gt;0,_xlfn.MINIFS(R_ID,R_Emp,"Malcolm",R_Cnt,1,R_SN,"&lt;"&amp;((INT(C$7)*1440+1290)+30),R_EN,"&gt;"&amp;(INT(C$7)*1440+1290)),0)</f>
        <v>0</v>
      </c>
      <c r="R44">
        <f>COUNTIFS(R_Emp,"proMX",R_Cnt,1,R_SN,"&lt;"&amp;((INT(C$7)*1440+1290)+30),R_EN,"&gt;"&amp;(INT(C$7)*1440+1290))</f>
        <v>0</v>
      </c>
      <c r="S44">
        <f>IF(R44&gt;0,_xlfn.MINIFS(R_ID,R_Emp,"proMX",R_Cnt,1,R_SN,"&lt;"&amp;((INT(C$7)*1440+1290)+30),R_EN,"&gt;"&amp;(INT(C$7)*1440+1290)),0)</f>
        <v>0</v>
      </c>
      <c r="T44">
        <f>IF(AND(P44&gt;0,R44&gt;0),8,IF(P44&gt;0,1,IF(R44&gt;0,INDEX(R_StCode,S44),0)))</f>
        <v>0</v>
      </c>
      <c r="U44">
        <f>COUNTIFS(R_Emp,"Malcolm",R_Cnt,1,R_SN,"&lt;"&amp;((INT(D$7)*1440+1290)+30),R_EN,"&gt;"&amp;(INT(D$7)*1440+1290))</f>
        <v>0</v>
      </c>
      <c r="V44">
        <f>IF(U44&gt;0,_xlfn.MINIFS(R_ID,R_Emp,"Malcolm",R_Cnt,1,R_SN,"&lt;"&amp;((INT(D$7)*1440+1290)+30),R_EN,"&gt;"&amp;(INT(D$7)*1440+1290)),0)</f>
        <v>0</v>
      </c>
      <c r="W44">
        <f>COUNTIFS(R_Emp,"proMX",R_Cnt,1,R_SN,"&lt;"&amp;((INT(D$7)*1440+1290)+30),R_EN,"&gt;"&amp;(INT(D$7)*1440+1290))</f>
        <v>0</v>
      </c>
      <c r="X44">
        <f>IF(W44&gt;0,_xlfn.MINIFS(R_ID,R_Emp,"proMX",R_Cnt,1,R_SN,"&lt;"&amp;((INT(D$7)*1440+1290)+30),R_EN,"&gt;"&amp;(INT(D$7)*1440+1290)),0)</f>
        <v>0</v>
      </c>
      <c r="Y44">
        <f>IF(AND(U44&gt;0,W44&gt;0),8,IF(U44&gt;0,1,IF(W44&gt;0,INDEX(R_StCode,X44),0)))</f>
        <v>0</v>
      </c>
      <c r="Z44">
        <f>COUNTIFS(R_Emp,"Malcolm",R_Cnt,1,R_SN,"&lt;"&amp;((INT(E$7)*1440+1290)+30),R_EN,"&gt;"&amp;(INT(E$7)*1440+1290))</f>
        <v>0</v>
      </c>
      <c r="AA44">
        <f>IF(Z44&gt;0,_xlfn.MINIFS(R_ID,R_Emp,"Malcolm",R_Cnt,1,R_SN,"&lt;"&amp;((INT(E$7)*1440+1290)+30),R_EN,"&gt;"&amp;(INT(E$7)*1440+1290)),0)</f>
        <v>0</v>
      </c>
      <c r="AB44">
        <f>COUNTIFS(R_Emp,"proMX",R_Cnt,1,R_SN,"&lt;"&amp;((INT(E$7)*1440+1290)+30),R_EN,"&gt;"&amp;(INT(E$7)*1440+1290))</f>
        <v>0</v>
      </c>
      <c r="AC44">
        <f>IF(AB44&gt;0,_xlfn.MINIFS(R_ID,R_Emp,"proMX",R_Cnt,1,R_SN,"&lt;"&amp;((INT(E$7)*1440+1290)+30),R_EN,"&gt;"&amp;(INT(E$7)*1440+1290)),0)</f>
        <v>0</v>
      </c>
      <c r="AD44">
        <f>IF(AND(Z44&gt;0,AB44&gt;0),8,IF(Z44&gt;0,1,IF(AB44&gt;0,INDEX(R_StCode,AC44),0)))</f>
        <v>0</v>
      </c>
      <c r="AE44">
        <f>COUNTIFS(R_Emp,"Malcolm",R_Cnt,1,R_SN,"&lt;"&amp;((INT(F$7)*1440+1290)+30),R_EN,"&gt;"&amp;(INT(F$7)*1440+1290))</f>
        <v>0</v>
      </c>
      <c r="AF44">
        <f>IF(AE44&gt;0,_xlfn.MINIFS(R_ID,R_Emp,"Malcolm",R_Cnt,1,R_SN,"&lt;"&amp;((INT(F$7)*1440+1290)+30),R_EN,"&gt;"&amp;(INT(F$7)*1440+1290)),0)</f>
        <v>0</v>
      </c>
      <c r="AG44">
        <f>COUNTIFS(R_Emp,"proMX",R_Cnt,1,R_SN,"&lt;"&amp;((INT(F$7)*1440+1290)+30),R_EN,"&gt;"&amp;(INT(F$7)*1440+1290))</f>
        <v>0</v>
      </c>
      <c r="AH44">
        <f>IF(AG44&gt;0,_xlfn.MINIFS(R_ID,R_Emp,"proMX",R_Cnt,1,R_SN,"&lt;"&amp;((INT(F$7)*1440+1290)+30),R_EN,"&gt;"&amp;(INT(F$7)*1440+1290)),0)</f>
        <v>0</v>
      </c>
      <c r="AI44">
        <f>IF(AND(AE44&gt;0,AG44&gt;0),8,IF(AE44&gt;0,1,IF(AG44&gt;0,INDEX(R_StCode,AH44),0)))</f>
        <v>0</v>
      </c>
      <c r="AJ44">
        <f>COUNTIFS(R_Emp,"Malcolm",R_Cnt,1,R_SN,"&lt;"&amp;((INT(G$7)*1440+1290)+30),R_EN,"&gt;"&amp;(INT(G$7)*1440+1290))</f>
        <v>0</v>
      </c>
      <c r="AK44">
        <f>IF(AJ44&gt;0,_xlfn.MINIFS(R_ID,R_Emp,"Malcolm",R_Cnt,1,R_SN,"&lt;"&amp;((INT(G$7)*1440+1290)+30),R_EN,"&gt;"&amp;(INT(G$7)*1440+1290)),0)</f>
        <v>0</v>
      </c>
      <c r="AL44">
        <f>COUNTIFS(R_Emp,"proMX",R_Cnt,1,R_SN,"&lt;"&amp;((INT(G$7)*1440+1290)+30),R_EN,"&gt;"&amp;(INT(G$7)*1440+1290))</f>
        <v>0</v>
      </c>
      <c r="AM44">
        <f>IF(AL44&gt;0,_xlfn.MINIFS(R_ID,R_Emp,"proMX",R_Cnt,1,R_SN,"&lt;"&amp;((INT(G$7)*1440+1290)+30),R_EN,"&gt;"&amp;(INT(G$7)*1440+1290)),0)</f>
        <v>0</v>
      </c>
      <c r="AN44">
        <f>IF(AND(AJ44&gt;0,AL44&gt;0),8,IF(AJ44&gt;0,1,IF(AL44&gt;0,INDEX(R_StCode,AM44),0)))</f>
        <v>0</v>
      </c>
      <c r="AO44">
        <f>COUNTIFS(R_Emp,"Malcolm",R_Cnt,1,R_SN,"&lt;"&amp;((INT(H$7)*1440+1290)+30),R_EN,"&gt;"&amp;(INT(H$7)*1440+1290))</f>
        <v>0</v>
      </c>
      <c r="AP44">
        <f>IF(AO44&gt;0,_xlfn.MINIFS(R_ID,R_Emp,"Malcolm",R_Cnt,1,R_SN,"&lt;"&amp;((INT(H$7)*1440+1290)+30),R_EN,"&gt;"&amp;(INT(H$7)*1440+1290)),0)</f>
        <v>0</v>
      </c>
      <c r="AQ44">
        <f>COUNTIFS(R_Emp,"proMX",R_Cnt,1,R_SN,"&lt;"&amp;((INT(H$7)*1440+1290)+30),R_EN,"&gt;"&amp;(INT(H$7)*1440+1290))</f>
        <v>0</v>
      </c>
      <c r="AR44">
        <f>IF(AQ44&gt;0,_xlfn.MINIFS(R_ID,R_Emp,"proMX",R_Cnt,1,R_SN,"&lt;"&amp;((INT(H$7)*1440+1290)+30),R_EN,"&gt;"&amp;(INT(H$7)*1440+1290)),0)</f>
        <v>0</v>
      </c>
      <c r="AS44">
        <f>IF(AND(AO44&gt;0,AQ44&gt;0),8,IF(AO44&gt;0,1,IF(AQ44&gt;0,INDEX(R_StCode,AR44),0)))</f>
        <v>0</v>
      </c>
    </row>
    <row r="45" ht="20" customHeight="1">
      <c r="A45" s="101" t="n">
        <v>0.9166666666666666</v>
      </c>
      <c r="B45" s="102" t="str">
        <f>IF(O45=0,"",IF(O45=8,"⚠ Malcolm + proMX",IF(O45=1,IF(K45&gt;1,"Malcolm ("&amp;K45&amp;" tareas)",IF(OR(FALSE,INDEX(R_SN,L45)&gt;=(INT(B$7)*1440+1320)),"Malcolm · "&amp;INDEX(R_Label,L45)&amp;" ("&amp;TEXT(INDEX(R_Ini,L45),"hh:mm")&amp;"–"&amp;TEXT(INDEX(R_Fin,L45),"hh:mm")&amp;")","")),IF(OR(FALSE,INDEX(R_SN,N45)&gt;=(INT(B$7)*1440+1320)),"proMX · "&amp;INDEX(R_Label,N45)&amp;" · "&amp;INDEX(R_St,N45),""))))</f>
        <v/>
      </c>
      <c r="C45" s="102" t="str">
        <f>IF(T45=0,"",IF(T45=8,"⚠ Malcolm + proMX",IF(T45=1,IF(P45&gt;1,"Malcolm ("&amp;P45&amp;" tareas)",IF(OR(FALSE,INDEX(R_SN,Q45)&gt;=(INT(C$7)*1440+1320)),"Malcolm · "&amp;INDEX(R_Label,Q45)&amp;" ("&amp;TEXT(INDEX(R_Ini,Q45),"hh:mm")&amp;"–"&amp;TEXT(INDEX(R_Fin,Q45),"hh:mm")&amp;")","")),IF(OR(FALSE,INDEX(R_SN,S45)&gt;=(INT(C$7)*1440+1320)),"proMX · "&amp;INDEX(R_Label,S45)&amp;" · "&amp;INDEX(R_St,S45),""))))</f>
        <v/>
      </c>
      <c r="D45" s="102" t="str">
        <f>IF(Y45=0,"",IF(Y45=8,"⚠ Malcolm + proMX",IF(Y45=1,IF(U45&gt;1,"Malcolm ("&amp;U45&amp;" tareas)",IF(OR(FALSE,INDEX(R_SN,V45)&gt;=(INT(D$7)*1440+1320)),"Malcolm · "&amp;INDEX(R_Label,V45)&amp;" ("&amp;TEXT(INDEX(R_Ini,V45),"hh:mm")&amp;"–"&amp;TEXT(INDEX(R_Fin,V45),"hh:mm")&amp;")","")),IF(OR(FALSE,INDEX(R_SN,X45)&gt;=(INT(D$7)*1440+1320)),"proMX · "&amp;INDEX(R_Label,X45)&amp;" · "&amp;INDEX(R_St,X45),""))))</f>
        <v/>
      </c>
      <c r="E45" s="102" t="str">
        <f>IF(AD45=0,"",IF(AD45=8,"⚠ Malcolm + proMX",IF(AD45=1,IF(Z45&gt;1,"Malcolm ("&amp;Z45&amp;" tareas)",IF(OR(FALSE,INDEX(R_SN,AA45)&gt;=(INT(E$7)*1440+1320)),"Malcolm · "&amp;INDEX(R_Label,AA45)&amp;" ("&amp;TEXT(INDEX(R_Ini,AA45),"hh:mm")&amp;"–"&amp;TEXT(INDEX(R_Fin,AA45),"hh:mm")&amp;")","")),IF(OR(FALSE,INDEX(R_SN,AC45)&gt;=(INT(E$7)*1440+1320)),"proMX · "&amp;INDEX(R_Label,AC45)&amp;" · "&amp;INDEX(R_St,AC45),""))))</f>
        <v/>
      </c>
      <c r="F45" s="102" t="str">
        <f>IF(AI45=0,"",IF(AI45=8,"⚠ Malcolm + proMX",IF(AI45=1,IF(AE45&gt;1,"Malcolm ("&amp;AE45&amp;" tareas)",IF(OR(FALSE,INDEX(R_SN,AF45)&gt;=(INT(F$7)*1440+1320)),"Malcolm · "&amp;INDEX(R_Label,AF45)&amp;" ("&amp;TEXT(INDEX(R_Ini,AF45),"hh:mm")&amp;"–"&amp;TEXT(INDEX(R_Fin,AF45),"hh:mm")&amp;")","")),IF(OR(FALSE,INDEX(R_SN,AH45)&gt;=(INT(F$7)*1440+1320)),"proMX · "&amp;INDEX(R_Label,AH45)&amp;" · "&amp;INDEX(R_St,AH45),""))))</f>
        <v/>
      </c>
      <c r="G45" s="102" t="str">
        <f>IF(AN45=0,"",IF(AN45=8,"⚠ Malcolm + proMX",IF(AN45=1,IF(AJ45&gt;1,"Malcolm ("&amp;AJ45&amp;" tareas)",IF(OR(FALSE,INDEX(R_SN,AK45)&gt;=(INT(G$7)*1440+1320)),"Malcolm · "&amp;INDEX(R_Label,AK45)&amp;" ("&amp;TEXT(INDEX(R_Ini,AK45),"hh:mm")&amp;"–"&amp;TEXT(INDEX(R_Fin,AK45),"hh:mm")&amp;")","")),IF(OR(FALSE,INDEX(R_SN,AM45)&gt;=(INT(G$7)*1440+1320)),"proMX · "&amp;INDEX(R_Label,AM45)&amp;" · "&amp;INDEX(R_St,AM45),""))))</f>
        <v/>
      </c>
      <c r="H45" s="102" t="str">
        <f>IF(AS45=0,"",IF(AS45=8,"⚠ Malcolm + proMX",IF(AS45=1,IF(AO45&gt;1,"Malcolm ("&amp;AO45&amp;" tareas)",IF(OR(FALSE,INDEX(R_SN,AP45)&gt;=(INT(H$7)*1440+1320)),"Malcolm · "&amp;INDEX(R_Label,AP45)&amp;" ("&amp;TEXT(INDEX(R_Ini,AP45),"hh:mm")&amp;"–"&amp;TEXT(INDEX(R_Fin,AP45),"hh:mm")&amp;")","")),IF(OR(FALSE,INDEX(R_SN,AR45)&gt;=(INT(H$7)*1440+1320)),"proMX · "&amp;INDEX(R_Label,AR45)&amp;" · "&amp;INDEX(R_St,AR45),""))))</f>
        <v/>
      </c>
      <c r="K45">
        <f>COUNTIFS(R_Emp,"Malcolm",R_Cnt,1,R_SN,"&lt;"&amp;((INT(B$7)*1440+1320)+30),R_EN,"&gt;"&amp;(INT(B$7)*1440+1320))</f>
        <v>0</v>
      </c>
      <c r="L45">
        <f>IF(K45&gt;0,_xlfn.MINIFS(R_ID,R_Emp,"Malcolm",R_Cnt,1,R_SN,"&lt;"&amp;((INT(B$7)*1440+1320)+30),R_EN,"&gt;"&amp;(INT(B$7)*1440+1320)),0)</f>
        <v>0</v>
      </c>
      <c r="M45">
        <f>COUNTIFS(R_Emp,"proMX",R_Cnt,1,R_SN,"&lt;"&amp;((INT(B$7)*1440+1320)+30),R_EN,"&gt;"&amp;(INT(B$7)*1440+1320))</f>
        <v>0</v>
      </c>
      <c r="N45">
        <f>IF(M45&gt;0,_xlfn.MINIFS(R_ID,R_Emp,"proMX",R_Cnt,1,R_SN,"&lt;"&amp;((INT(B$7)*1440+1320)+30),R_EN,"&gt;"&amp;(INT(B$7)*1440+1320)),0)</f>
        <v>0</v>
      </c>
      <c r="O45">
        <f>IF(AND(K45&gt;0,M45&gt;0),8,IF(K45&gt;0,1,IF(M45&gt;0,INDEX(R_StCode,N45),0)))</f>
        <v>0</v>
      </c>
      <c r="P45">
        <f>COUNTIFS(R_Emp,"Malcolm",R_Cnt,1,R_SN,"&lt;"&amp;((INT(C$7)*1440+1320)+30),R_EN,"&gt;"&amp;(INT(C$7)*1440+1320))</f>
        <v>0</v>
      </c>
      <c r="Q45">
        <f>IF(P45&gt;0,_xlfn.MINIFS(R_ID,R_Emp,"Malcolm",R_Cnt,1,R_SN,"&lt;"&amp;((INT(C$7)*1440+1320)+30),R_EN,"&gt;"&amp;(INT(C$7)*1440+1320)),0)</f>
        <v>0</v>
      </c>
      <c r="R45">
        <f>COUNTIFS(R_Emp,"proMX",R_Cnt,1,R_SN,"&lt;"&amp;((INT(C$7)*1440+1320)+30),R_EN,"&gt;"&amp;(INT(C$7)*1440+1320))</f>
        <v>0</v>
      </c>
      <c r="S45">
        <f>IF(R45&gt;0,_xlfn.MINIFS(R_ID,R_Emp,"proMX",R_Cnt,1,R_SN,"&lt;"&amp;((INT(C$7)*1440+1320)+30),R_EN,"&gt;"&amp;(INT(C$7)*1440+1320)),0)</f>
        <v>0</v>
      </c>
      <c r="T45">
        <f>IF(AND(P45&gt;0,R45&gt;0),8,IF(P45&gt;0,1,IF(R45&gt;0,INDEX(R_StCode,S45),0)))</f>
        <v>0</v>
      </c>
      <c r="U45">
        <f>COUNTIFS(R_Emp,"Malcolm",R_Cnt,1,R_SN,"&lt;"&amp;((INT(D$7)*1440+1320)+30),R_EN,"&gt;"&amp;(INT(D$7)*1440+1320))</f>
        <v>0</v>
      </c>
      <c r="V45">
        <f>IF(U45&gt;0,_xlfn.MINIFS(R_ID,R_Emp,"Malcolm",R_Cnt,1,R_SN,"&lt;"&amp;((INT(D$7)*1440+1320)+30),R_EN,"&gt;"&amp;(INT(D$7)*1440+1320)),0)</f>
        <v>0</v>
      </c>
      <c r="W45">
        <f>COUNTIFS(R_Emp,"proMX",R_Cnt,1,R_SN,"&lt;"&amp;((INT(D$7)*1440+1320)+30),R_EN,"&gt;"&amp;(INT(D$7)*1440+1320))</f>
        <v>0</v>
      </c>
      <c r="X45">
        <f>IF(W45&gt;0,_xlfn.MINIFS(R_ID,R_Emp,"proMX",R_Cnt,1,R_SN,"&lt;"&amp;((INT(D$7)*1440+1320)+30),R_EN,"&gt;"&amp;(INT(D$7)*1440+1320)),0)</f>
        <v>0</v>
      </c>
      <c r="Y45">
        <f>IF(AND(U45&gt;0,W45&gt;0),8,IF(U45&gt;0,1,IF(W45&gt;0,INDEX(R_StCode,X45),0)))</f>
        <v>0</v>
      </c>
      <c r="Z45">
        <f>COUNTIFS(R_Emp,"Malcolm",R_Cnt,1,R_SN,"&lt;"&amp;((INT(E$7)*1440+1320)+30),R_EN,"&gt;"&amp;(INT(E$7)*1440+1320))</f>
        <v>0</v>
      </c>
      <c r="AA45">
        <f>IF(Z45&gt;0,_xlfn.MINIFS(R_ID,R_Emp,"Malcolm",R_Cnt,1,R_SN,"&lt;"&amp;((INT(E$7)*1440+1320)+30),R_EN,"&gt;"&amp;(INT(E$7)*1440+1320)),0)</f>
        <v>0</v>
      </c>
      <c r="AB45">
        <f>COUNTIFS(R_Emp,"proMX",R_Cnt,1,R_SN,"&lt;"&amp;((INT(E$7)*1440+1320)+30),R_EN,"&gt;"&amp;(INT(E$7)*1440+1320))</f>
        <v>0</v>
      </c>
      <c r="AC45">
        <f>IF(AB45&gt;0,_xlfn.MINIFS(R_ID,R_Emp,"proMX",R_Cnt,1,R_SN,"&lt;"&amp;((INT(E$7)*1440+1320)+30),R_EN,"&gt;"&amp;(INT(E$7)*1440+1320)),0)</f>
        <v>0</v>
      </c>
      <c r="AD45">
        <f>IF(AND(Z45&gt;0,AB45&gt;0),8,IF(Z45&gt;0,1,IF(AB45&gt;0,INDEX(R_StCode,AC45),0)))</f>
        <v>0</v>
      </c>
      <c r="AE45">
        <f>COUNTIFS(R_Emp,"Malcolm",R_Cnt,1,R_SN,"&lt;"&amp;((INT(F$7)*1440+1320)+30),R_EN,"&gt;"&amp;(INT(F$7)*1440+1320))</f>
        <v>0</v>
      </c>
      <c r="AF45">
        <f>IF(AE45&gt;0,_xlfn.MINIFS(R_ID,R_Emp,"Malcolm",R_Cnt,1,R_SN,"&lt;"&amp;((INT(F$7)*1440+1320)+30),R_EN,"&gt;"&amp;(INT(F$7)*1440+1320)),0)</f>
        <v>0</v>
      </c>
      <c r="AG45">
        <f>COUNTIFS(R_Emp,"proMX",R_Cnt,1,R_SN,"&lt;"&amp;((INT(F$7)*1440+1320)+30),R_EN,"&gt;"&amp;(INT(F$7)*1440+1320))</f>
        <v>0</v>
      </c>
      <c r="AH45">
        <f>IF(AG45&gt;0,_xlfn.MINIFS(R_ID,R_Emp,"proMX",R_Cnt,1,R_SN,"&lt;"&amp;((INT(F$7)*1440+1320)+30),R_EN,"&gt;"&amp;(INT(F$7)*1440+1320)),0)</f>
        <v>0</v>
      </c>
      <c r="AI45">
        <f>IF(AND(AE45&gt;0,AG45&gt;0),8,IF(AE45&gt;0,1,IF(AG45&gt;0,INDEX(R_StCode,AH45),0)))</f>
        <v>0</v>
      </c>
      <c r="AJ45">
        <f>COUNTIFS(R_Emp,"Malcolm",R_Cnt,1,R_SN,"&lt;"&amp;((INT(G$7)*1440+1320)+30),R_EN,"&gt;"&amp;(INT(G$7)*1440+1320))</f>
        <v>0</v>
      </c>
      <c r="AK45">
        <f>IF(AJ45&gt;0,_xlfn.MINIFS(R_ID,R_Emp,"Malcolm",R_Cnt,1,R_SN,"&lt;"&amp;((INT(G$7)*1440+1320)+30),R_EN,"&gt;"&amp;(INT(G$7)*1440+1320)),0)</f>
        <v>0</v>
      </c>
      <c r="AL45">
        <f>COUNTIFS(R_Emp,"proMX",R_Cnt,1,R_SN,"&lt;"&amp;((INT(G$7)*1440+1320)+30),R_EN,"&gt;"&amp;(INT(G$7)*1440+1320))</f>
        <v>0</v>
      </c>
      <c r="AM45">
        <f>IF(AL45&gt;0,_xlfn.MINIFS(R_ID,R_Emp,"proMX",R_Cnt,1,R_SN,"&lt;"&amp;((INT(G$7)*1440+1320)+30),R_EN,"&gt;"&amp;(INT(G$7)*1440+1320)),0)</f>
        <v>0</v>
      </c>
      <c r="AN45">
        <f>IF(AND(AJ45&gt;0,AL45&gt;0),8,IF(AJ45&gt;0,1,IF(AL45&gt;0,INDEX(R_StCode,AM45),0)))</f>
        <v>0</v>
      </c>
      <c r="AO45">
        <f>COUNTIFS(R_Emp,"Malcolm",R_Cnt,1,R_SN,"&lt;"&amp;((INT(H$7)*1440+1320)+30),R_EN,"&gt;"&amp;(INT(H$7)*1440+1320))</f>
        <v>0</v>
      </c>
      <c r="AP45">
        <f>IF(AO45&gt;0,_xlfn.MINIFS(R_ID,R_Emp,"Malcolm",R_Cnt,1,R_SN,"&lt;"&amp;((INT(H$7)*1440+1320)+30),R_EN,"&gt;"&amp;(INT(H$7)*1440+1320)),0)</f>
        <v>0</v>
      </c>
      <c r="AQ45">
        <f>COUNTIFS(R_Emp,"proMX",R_Cnt,1,R_SN,"&lt;"&amp;((INT(H$7)*1440+1320)+30),R_EN,"&gt;"&amp;(INT(H$7)*1440+1320))</f>
        <v>0</v>
      </c>
      <c r="AR45">
        <f>IF(AQ45&gt;0,_xlfn.MINIFS(R_ID,R_Emp,"proMX",R_Cnt,1,R_SN,"&lt;"&amp;((INT(H$7)*1440+1320)+30),R_EN,"&gt;"&amp;(INT(H$7)*1440+1320)),0)</f>
        <v>0</v>
      </c>
      <c r="AS45">
        <f>IF(AND(AO45&gt;0,AQ45&gt;0),8,IF(AO45&gt;0,1,IF(AQ45&gt;0,INDEX(R_StCode,AR45),0)))</f>
        <v>0</v>
      </c>
    </row>
    <row r="46" ht="20" customHeight="1">
      <c r="A46" s="101" t="n">
        <v>0.9375</v>
      </c>
      <c r="B46" s="102" t="str">
        <f>IF(O46=0,"",IF(O46=8,"⚠ Malcolm + proMX",IF(O46=1,IF(K46&gt;1,"Malcolm ("&amp;K46&amp;" tareas)",IF(OR(FALSE,INDEX(R_SN,L46)&gt;=(INT(B$7)*1440+1350)),"Malcolm · "&amp;INDEX(R_Label,L46)&amp;" ("&amp;TEXT(INDEX(R_Ini,L46),"hh:mm")&amp;"–"&amp;TEXT(INDEX(R_Fin,L46),"hh:mm")&amp;")","")),IF(OR(FALSE,INDEX(R_SN,N46)&gt;=(INT(B$7)*1440+1350)),"proMX · "&amp;INDEX(R_Label,N46)&amp;" · "&amp;INDEX(R_St,N46),""))))</f>
        <v/>
      </c>
      <c r="C46" s="102" t="str">
        <f>IF(T46=0,"",IF(T46=8,"⚠ Malcolm + proMX",IF(T46=1,IF(P46&gt;1,"Malcolm ("&amp;P46&amp;" tareas)",IF(OR(FALSE,INDEX(R_SN,Q46)&gt;=(INT(C$7)*1440+1350)),"Malcolm · "&amp;INDEX(R_Label,Q46)&amp;" ("&amp;TEXT(INDEX(R_Ini,Q46),"hh:mm")&amp;"–"&amp;TEXT(INDEX(R_Fin,Q46),"hh:mm")&amp;")","")),IF(OR(FALSE,INDEX(R_SN,S46)&gt;=(INT(C$7)*1440+1350)),"proMX · "&amp;INDEX(R_Label,S46)&amp;" · "&amp;INDEX(R_St,S46),""))))</f>
        <v/>
      </c>
      <c r="D46" s="102" t="str">
        <f>IF(Y46=0,"",IF(Y46=8,"⚠ Malcolm + proMX",IF(Y46=1,IF(U46&gt;1,"Malcolm ("&amp;U46&amp;" tareas)",IF(OR(FALSE,INDEX(R_SN,V46)&gt;=(INT(D$7)*1440+1350)),"Malcolm · "&amp;INDEX(R_Label,V46)&amp;" ("&amp;TEXT(INDEX(R_Ini,V46),"hh:mm")&amp;"–"&amp;TEXT(INDEX(R_Fin,V46),"hh:mm")&amp;")","")),IF(OR(FALSE,INDEX(R_SN,X46)&gt;=(INT(D$7)*1440+1350)),"proMX · "&amp;INDEX(R_Label,X46)&amp;" · "&amp;INDEX(R_St,X46),""))))</f>
        <v/>
      </c>
      <c r="E46" s="102" t="str">
        <f>IF(AD46=0,"",IF(AD46=8,"⚠ Malcolm + proMX",IF(AD46=1,IF(Z46&gt;1,"Malcolm ("&amp;Z46&amp;" tareas)",IF(OR(FALSE,INDEX(R_SN,AA46)&gt;=(INT(E$7)*1440+1350)),"Malcolm · "&amp;INDEX(R_Label,AA46)&amp;" ("&amp;TEXT(INDEX(R_Ini,AA46),"hh:mm")&amp;"–"&amp;TEXT(INDEX(R_Fin,AA46),"hh:mm")&amp;")","")),IF(OR(FALSE,INDEX(R_SN,AC46)&gt;=(INT(E$7)*1440+1350)),"proMX · "&amp;INDEX(R_Label,AC46)&amp;" · "&amp;INDEX(R_St,AC46),""))))</f>
        <v/>
      </c>
      <c r="F46" s="102" t="str">
        <f>IF(AI46=0,"",IF(AI46=8,"⚠ Malcolm + proMX",IF(AI46=1,IF(AE46&gt;1,"Malcolm ("&amp;AE46&amp;" tareas)",IF(OR(FALSE,INDEX(R_SN,AF46)&gt;=(INT(F$7)*1440+1350)),"Malcolm · "&amp;INDEX(R_Label,AF46)&amp;" ("&amp;TEXT(INDEX(R_Ini,AF46),"hh:mm")&amp;"–"&amp;TEXT(INDEX(R_Fin,AF46),"hh:mm")&amp;")","")),IF(OR(FALSE,INDEX(R_SN,AH46)&gt;=(INT(F$7)*1440+1350)),"proMX · "&amp;INDEX(R_Label,AH46)&amp;" · "&amp;INDEX(R_St,AH46),""))))</f>
        <v/>
      </c>
      <c r="G46" s="102" t="str">
        <f>IF(AN46=0,"",IF(AN46=8,"⚠ Malcolm + proMX",IF(AN46=1,IF(AJ46&gt;1,"Malcolm ("&amp;AJ46&amp;" tareas)",IF(OR(FALSE,INDEX(R_SN,AK46)&gt;=(INT(G$7)*1440+1350)),"Malcolm · "&amp;INDEX(R_Label,AK46)&amp;" ("&amp;TEXT(INDEX(R_Ini,AK46),"hh:mm")&amp;"–"&amp;TEXT(INDEX(R_Fin,AK46),"hh:mm")&amp;")","")),IF(OR(FALSE,INDEX(R_SN,AM46)&gt;=(INT(G$7)*1440+1350)),"proMX · "&amp;INDEX(R_Label,AM46)&amp;" · "&amp;INDEX(R_St,AM46),""))))</f>
        <v/>
      </c>
      <c r="H46" s="102" t="str">
        <f>IF(AS46=0,"",IF(AS46=8,"⚠ Malcolm + proMX",IF(AS46=1,IF(AO46&gt;1,"Malcolm ("&amp;AO46&amp;" tareas)",IF(OR(FALSE,INDEX(R_SN,AP46)&gt;=(INT(H$7)*1440+1350)),"Malcolm · "&amp;INDEX(R_Label,AP46)&amp;" ("&amp;TEXT(INDEX(R_Ini,AP46),"hh:mm")&amp;"–"&amp;TEXT(INDEX(R_Fin,AP46),"hh:mm")&amp;")","")),IF(OR(FALSE,INDEX(R_SN,AR46)&gt;=(INT(H$7)*1440+1350)),"proMX · "&amp;INDEX(R_Label,AR46)&amp;" · "&amp;INDEX(R_St,AR46),""))))</f>
        <v/>
      </c>
      <c r="K46">
        <f>COUNTIFS(R_Emp,"Malcolm",R_Cnt,1,R_SN,"&lt;"&amp;((INT(B$7)*1440+1350)+30),R_EN,"&gt;"&amp;(INT(B$7)*1440+1350))</f>
        <v>0</v>
      </c>
      <c r="L46">
        <f>IF(K46&gt;0,_xlfn.MINIFS(R_ID,R_Emp,"Malcolm",R_Cnt,1,R_SN,"&lt;"&amp;((INT(B$7)*1440+1350)+30),R_EN,"&gt;"&amp;(INT(B$7)*1440+1350)),0)</f>
        <v>0</v>
      </c>
      <c r="M46">
        <f>COUNTIFS(R_Emp,"proMX",R_Cnt,1,R_SN,"&lt;"&amp;((INT(B$7)*1440+1350)+30),R_EN,"&gt;"&amp;(INT(B$7)*1440+1350))</f>
        <v>0</v>
      </c>
      <c r="N46">
        <f>IF(M46&gt;0,_xlfn.MINIFS(R_ID,R_Emp,"proMX",R_Cnt,1,R_SN,"&lt;"&amp;((INT(B$7)*1440+1350)+30),R_EN,"&gt;"&amp;(INT(B$7)*1440+1350)),0)</f>
        <v>0</v>
      </c>
      <c r="O46">
        <f>IF(AND(K46&gt;0,M46&gt;0),8,IF(K46&gt;0,1,IF(M46&gt;0,INDEX(R_StCode,N46),0)))</f>
        <v>0</v>
      </c>
      <c r="P46">
        <f>COUNTIFS(R_Emp,"Malcolm",R_Cnt,1,R_SN,"&lt;"&amp;((INT(C$7)*1440+1350)+30),R_EN,"&gt;"&amp;(INT(C$7)*1440+1350))</f>
        <v>0</v>
      </c>
      <c r="Q46">
        <f>IF(P46&gt;0,_xlfn.MINIFS(R_ID,R_Emp,"Malcolm",R_Cnt,1,R_SN,"&lt;"&amp;((INT(C$7)*1440+1350)+30),R_EN,"&gt;"&amp;(INT(C$7)*1440+1350)),0)</f>
        <v>0</v>
      </c>
      <c r="R46">
        <f>COUNTIFS(R_Emp,"proMX",R_Cnt,1,R_SN,"&lt;"&amp;((INT(C$7)*1440+1350)+30),R_EN,"&gt;"&amp;(INT(C$7)*1440+1350))</f>
        <v>0</v>
      </c>
      <c r="S46">
        <f>IF(R46&gt;0,_xlfn.MINIFS(R_ID,R_Emp,"proMX",R_Cnt,1,R_SN,"&lt;"&amp;((INT(C$7)*1440+1350)+30),R_EN,"&gt;"&amp;(INT(C$7)*1440+1350)),0)</f>
        <v>0</v>
      </c>
      <c r="T46">
        <f>IF(AND(P46&gt;0,R46&gt;0),8,IF(P46&gt;0,1,IF(R46&gt;0,INDEX(R_StCode,S46),0)))</f>
        <v>0</v>
      </c>
      <c r="U46">
        <f>COUNTIFS(R_Emp,"Malcolm",R_Cnt,1,R_SN,"&lt;"&amp;((INT(D$7)*1440+1350)+30),R_EN,"&gt;"&amp;(INT(D$7)*1440+1350))</f>
        <v>0</v>
      </c>
      <c r="V46">
        <f>IF(U46&gt;0,_xlfn.MINIFS(R_ID,R_Emp,"Malcolm",R_Cnt,1,R_SN,"&lt;"&amp;((INT(D$7)*1440+1350)+30),R_EN,"&gt;"&amp;(INT(D$7)*1440+1350)),0)</f>
        <v>0</v>
      </c>
      <c r="W46">
        <f>COUNTIFS(R_Emp,"proMX",R_Cnt,1,R_SN,"&lt;"&amp;((INT(D$7)*1440+1350)+30),R_EN,"&gt;"&amp;(INT(D$7)*1440+1350))</f>
        <v>0</v>
      </c>
      <c r="X46">
        <f>IF(W46&gt;0,_xlfn.MINIFS(R_ID,R_Emp,"proMX",R_Cnt,1,R_SN,"&lt;"&amp;((INT(D$7)*1440+1350)+30),R_EN,"&gt;"&amp;(INT(D$7)*1440+1350)),0)</f>
        <v>0</v>
      </c>
      <c r="Y46">
        <f>IF(AND(U46&gt;0,W46&gt;0),8,IF(U46&gt;0,1,IF(W46&gt;0,INDEX(R_StCode,X46),0)))</f>
        <v>0</v>
      </c>
      <c r="Z46">
        <f>COUNTIFS(R_Emp,"Malcolm",R_Cnt,1,R_SN,"&lt;"&amp;((INT(E$7)*1440+1350)+30),R_EN,"&gt;"&amp;(INT(E$7)*1440+1350))</f>
        <v>0</v>
      </c>
      <c r="AA46">
        <f>IF(Z46&gt;0,_xlfn.MINIFS(R_ID,R_Emp,"Malcolm",R_Cnt,1,R_SN,"&lt;"&amp;((INT(E$7)*1440+1350)+30),R_EN,"&gt;"&amp;(INT(E$7)*1440+1350)),0)</f>
        <v>0</v>
      </c>
      <c r="AB46">
        <f>COUNTIFS(R_Emp,"proMX",R_Cnt,1,R_SN,"&lt;"&amp;((INT(E$7)*1440+1350)+30),R_EN,"&gt;"&amp;(INT(E$7)*1440+1350))</f>
        <v>0</v>
      </c>
      <c r="AC46">
        <f>IF(AB46&gt;0,_xlfn.MINIFS(R_ID,R_Emp,"proMX",R_Cnt,1,R_SN,"&lt;"&amp;((INT(E$7)*1440+1350)+30),R_EN,"&gt;"&amp;(INT(E$7)*1440+1350)),0)</f>
        <v>0</v>
      </c>
      <c r="AD46">
        <f>IF(AND(Z46&gt;0,AB46&gt;0),8,IF(Z46&gt;0,1,IF(AB46&gt;0,INDEX(R_StCode,AC46),0)))</f>
        <v>0</v>
      </c>
      <c r="AE46">
        <f>COUNTIFS(R_Emp,"Malcolm",R_Cnt,1,R_SN,"&lt;"&amp;((INT(F$7)*1440+1350)+30),R_EN,"&gt;"&amp;(INT(F$7)*1440+1350))</f>
        <v>0</v>
      </c>
      <c r="AF46">
        <f>IF(AE46&gt;0,_xlfn.MINIFS(R_ID,R_Emp,"Malcolm",R_Cnt,1,R_SN,"&lt;"&amp;((INT(F$7)*1440+1350)+30),R_EN,"&gt;"&amp;(INT(F$7)*1440+1350)),0)</f>
        <v>0</v>
      </c>
      <c r="AG46">
        <f>COUNTIFS(R_Emp,"proMX",R_Cnt,1,R_SN,"&lt;"&amp;((INT(F$7)*1440+1350)+30),R_EN,"&gt;"&amp;(INT(F$7)*1440+1350))</f>
        <v>0</v>
      </c>
      <c r="AH46">
        <f>IF(AG46&gt;0,_xlfn.MINIFS(R_ID,R_Emp,"proMX",R_Cnt,1,R_SN,"&lt;"&amp;((INT(F$7)*1440+1350)+30),R_EN,"&gt;"&amp;(INT(F$7)*1440+1350)),0)</f>
        <v>0</v>
      </c>
      <c r="AI46">
        <f>IF(AND(AE46&gt;0,AG46&gt;0),8,IF(AE46&gt;0,1,IF(AG46&gt;0,INDEX(R_StCode,AH46),0)))</f>
        <v>0</v>
      </c>
      <c r="AJ46">
        <f>COUNTIFS(R_Emp,"Malcolm",R_Cnt,1,R_SN,"&lt;"&amp;((INT(G$7)*1440+1350)+30),R_EN,"&gt;"&amp;(INT(G$7)*1440+1350))</f>
        <v>0</v>
      </c>
      <c r="AK46">
        <f>IF(AJ46&gt;0,_xlfn.MINIFS(R_ID,R_Emp,"Malcolm",R_Cnt,1,R_SN,"&lt;"&amp;((INT(G$7)*1440+1350)+30),R_EN,"&gt;"&amp;(INT(G$7)*1440+1350)),0)</f>
        <v>0</v>
      </c>
      <c r="AL46">
        <f>COUNTIFS(R_Emp,"proMX",R_Cnt,1,R_SN,"&lt;"&amp;((INT(G$7)*1440+1350)+30),R_EN,"&gt;"&amp;(INT(G$7)*1440+1350))</f>
        <v>0</v>
      </c>
      <c r="AM46">
        <f>IF(AL46&gt;0,_xlfn.MINIFS(R_ID,R_Emp,"proMX",R_Cnt,1,R_SN,"&lt;"&amp;((INT(G$7)*1440+1350)+30),R_EN,"&gt;"&amp;(INT(G$7)*1440+1350)),0)</f>
        <v>0</v>
      </c>
      <c r="AN46">
        <f>IF(AND(AJ46&gt;0,AL46&gt;0),8,IF(AJ46&gt;0,1,IF(AL46&gt;0,INDEX(R_StCode,AM46),0)))</f>
        <v>0</v>
      </c>
      <c r="AO46">
        <f>COUNTIFS(R_Emp,"Malcolm",R_Cnt,1,R_SN,"&lt;"&amp;((INT(H$7)*1440+1350)+30),R_EN,"&gt;"&amp;(INT(H$7)*1440+1350))</f>
        <v>0</v>
      </c>
      <c r="AP46">
        <f>IF(AO46&gt;0,_xlfn.MINIFS(R_ID,R_Emp,"Malcolm",R_Cnt,1,R_SN,"&lt;"&amp;((INT(H$7)*1440+1350)+30),R_EN,"&gt;"&amp;(INT(H$7)*1440+1350)),0)</f>
        <v>0</v>
      </c>
      <c r="AQ46">
        <f>COUNTIFS(R_Emp,"proMX",R_Cnt,1,R_SN,"&lt;"&amp;((INT(H$7)*1440+1350)+30),R_EN,"&gt;"&amp;(INT(H$7)*1440+1350))</f>
        <v>0</v>
      </c>
      <c r="AR46">
        <f>IF(AQ46&gt;0,_xlfn.MINIFS(R_ID,R_Emp,"proMX",R_Cnt,1,R_SN,"&lt;"&amp;((INT(H$7)*1440+1350)+30),R_EN,"&gt;"&amp;(INT(H$7)*1440+1350)),0)</f>
        <v>0</v>
      </c>
      <c r="AS46">
        <f>IF(AND(AO46&gt;0,AQ46&gt;0),8,IF(AO46&gt;0,1,IF(AQ46&gt;0,INDEX(R_StCode,AR46),0)))</f>
        <v>0</v>
      </c>
    </row>
    <row r="47">
      <c r="A47" s="92" t="inlineStr">
        <is>
          <t>Las horas fuera de 06:00–23:00 no se dibujan, pero sí se suman en los totales diarios.</t>
        </is>
      </c>
    </row>
    <row r="50" ht="22" customHeight="1">
      <c r="A50" s="5" t="inlineStr">
        <is>
          <t>Vista mensual</t>
        </is>
      </c>
      <c r="B50" s="6" t="n"/>
      <c r="C50" s="6" t="n"/>
      <c r="D50" s="6" t="n"/>
      <c r="E50" s="6" t="n"/>
      <c r="F50" s="6" t="n"/>
      <c r="G50" s="6" t="n"/>
      <c r="H50" s="6" t="n"/>
    </row>
    <row r="51">
      <c r="A51" s="82" t="inlineStr">
        <is>
          <t>Mes:</t>
        </is>
      </c>
      <c r="B51" s="73" t="inlineStr">
        <is>
          <t>Octubre 2026</t>
        </is>
      </c>
      <c r="C51" s="104">
        <f>INDEX(L_MESD,MATCH(B51,L_MES,0))</f>
        <v>46296.0</v>
      </c>
      <c r="D51" s="105">
        <f>C51-WEEKDAY(C51,2)+1</f>
        <v>46293.0</v>
      </c>
      <c r="E51" s="106">
        <f>INDEX(L_MESH,MATCH(B51,L_MES,0))</f>
        <v>46326.0</v>
      </c>
    </row>
    <row r="52" ht="32" customHeight="1">
      <c r="B52" s="69" t="inlineStr">
        <is>
          <t>Lunes</t>
        </is>
      </c>
      <c r="C52" s="69" t="inlineStr">
        <is>
          <t>Martes</t>
        </is>
      </c>
      <c r="D52" s="69" t="inlineStr">
        <is>
          <t>Miércoles</t>
        </is>
      </c>
      <c r="E52" s="69" t="inlineStr">
        <is>
          <t>Jueves</t>
        </is>
      </c>
      <c r="F52" s="69" t="inlineStr">
        <is>
          <t>Viernes</t>
        </is>
      </c>
      <c r="G52" s="69" t="inlineStr">
        <is>
          <t>Sábado</t>
        </is>
      </c>
      <c r="H52" s="69" t="inlineStr">
        <is>
          <t>Domingo</t>
        </is>
      </c>
    </row>
    <row r="53">
      <c r="A53" s="107" t="inlineStr">
        <is>
          <t>Sem 1</t>
        </is>
      </c>
      <c r="B53" s="108">
        <f>$D$51+0</f>
        <v>46293.0</v>
      </c>
      <c r="C53" s="108">
        <f>$D$51+1</f>
        <v>46294.0</v>
      </c>
      <c r="D53" s="108">
        <f>$D$51+2</f>
        <v>46295.0</v>
      </c>
      <c r="E53" s="108">
        <f>$D$51+3</f>
        <v>46296.0</v>
      </c>
      <c r="F53" s="108">
        <f>$D$51+4</f>
        <v>46297.0</v>
      </c>
      <c r="G53" s="108">
        <f>$D$51+5</f>
        <v>46298.0</v>
      </c>
      <c r="H53" s="108">
        <f>$D$51+6</f>
        <v>46299.0</v>
      </c>
    </row>
    <row r="54">
      <c r="B54" s="109" t="str">
        <f>IF(COUNTIFS(FER_F,B53)&gt;0,INDEX(FER_N,MATCH(B53,FER_F,0)),"")</f>
        <v/>
      </c>
      <c r="C54" s="109" t="str">
        <f>IF(COUNTIFS(FER_F,C53)&gt;0,INDEX(FER_N,MATCH(C53,FER_F,0)),"")</f>
        <v/>
      </c>
      <c r="D54" s="109" t="str">
        <f>IF(COUNTIFS(FER_F,D53)&gt;0,INDEX(FER_N,MATCH(D53,FER_F,0)),"")</f>
        <v/>
      </c>
      <c r="E54" s="109" t="str">
        <f>IF(COUNTIFS(FER_F,E53)&gt;0,INDEX(FER_N,MATCH(E53,FER_F,0)),"")</f>
        <v/>
      </c>
      <c r="F54" s="109" t="str">
        <f>IF(COUNTIFS(FER_F,F53)&gt;0,INDEX(FER_N,MATCH(F53,FER_F,0)),"")</f>
        <v/>
      </c>
      <c r="G54" s="109" t="str">
        <f>IF(COUNTIFS(FER_F,G53)&gt;0,INDEX(FER_N,MATCH(G53,FER_F,0)),"")</f>
        <v/>
      </c>
      <c r="H54" s="109" t="str">
        <f>IF(COUNTIFS(FER_F,H53)&gt;0,INDEX(FER_N,MATCH(H53,FER_F,0)),"")</f>
        <v/>
      </c>
    </row>
    <row r="55">
      <c r="B55" s="110">
        <f>SUMIFS(R_HD0,R_Emp,"Malcolm",R_Fecha,B53)+SUMIFS(R_HD1,R_Emp,"Malcolm",R_D1,B53)</f>
        <v>0</v>
      </c>
      <c r="C55" s="110">
        <f>SUMIFS(R_HD0,R_Emp,"Malcolm",R_Fecha,C53)+SUMIFS(R_HD1,R_Emp,"Malcolm",R_D1,C53)</f>
        <v>0</v>
      </c>
      <c r="D55" s="110">
        <f>SUMIFS(R_HD0,R_Emp,"Malcolm",R_Fecha,D53)+SUMIFS(R_HD1,R_Emp,"Malcolm",R_D1,D53)</f>
        <v>0</v>
      </c>
      <c r="E55" s="110">
        <f>SUMIFS(R_HD0,R_Emp,"Malcolm",R_Fecha,E53)+SUMIFS(R_HD1,R_Emp,"Malcolm",R_D1,E53)</f>
        <v>0</v>
      </c>
      <c r="F55" s="110">
        <f>SUMIFS(R_HD0,R_Emp,"Malcolm",R_Fecha,F53)+SUMIFS(R_HD1,R_Emp,"Malcolm",R_D1,F53)</f>
        <v>0</v>
      </c>
      <c r="G55" s="110">
        <f>SUMIFS(R_HD0,R_Emp,"Malcolm",R_Fecha,G53)+SUMIFS(R_HD1,R_Emp,"Malcolm",R_D1,G53)</f>
        <v>0</v>
      </c>
      <c r="H55" s="110">
        <f>SUMIFS(R_HD0,R_Emp,"Malcolm",R_Fecha,H53)+SUMIFS(R_HD1,R_Emp,"Malcolm",R_D1,H53)</f>
        <v>0</v>
      </c>
    </row>
    <row r="56">
      <c r="B56" s="111">
        <f>SUMIFS(R_HD0,R_Emp,"proMX",R_Fecha,B53)+SUMIFS(R_HD1,R_Emp,"proMX",R_D1,B53)</f>
        <v>0</v>
      </c>
      <c r="C56" s="111">
        <f>SUMIFS(R_HD0,R_Emp,"proMX",R_Fecha,C53)+SUMIFS(R_HD1,R_Emp,"proMX",R_D1,C53)</f>
        <v>0</v>
      </c>
      <c r="D56" s="111">
        <f>SUMIFS(R_HD0,R_Emp,"proMX",R_Fecha,D53)+SUMIFS(R_HD1,R_Emp,"proMX",R_D1,D53)</f>
        <v>0</v>
      </c>
      <c r="E56" s="111">
        <f>SUMIFS(R_HD0,R_Emp,"proMX",R_Fecha,E53)+SUMIFS(R_HD1,R_Emp,"proMX",R_D1,E53)</f>
        <v>6</v>
      </c>
      <c r="F56" s="111">
        <f>SUMIFS(R_HD0,R_Emp,"proMX",R_Fecha,F53)+SUMIFS(R_HD1,R_Emp,"proMX",R_D1,F53)</f>
        <v>3</v>
      </c>
      <c r="G56" s="111">
        <f>SUMIFS(R_HD0,R_Emp,"proMX",R_Fecha,G53)+SUMIFS(R_HD1,R_Emp,"proMX",R_D1,G53)</f>
        <v>0</v>
      </c>
      <c r="H56" s="111">
        <f>SUMIFS(R_HD0,R_Emp,"proMX",R_Fecha,H53)+SUMIFS(R_HD1,R_Emp,"proMX",R_D1,H53)</f>
        <v>0</v>
      </c>
    </row>
    <row r="57">
      <c r="A57" s="107" t="inlineStr">
        <is>
          <t>Sem 2</t>
        </is>
      </c>
      <c r="B57" s="108">
        <f>$D$51+7</f>
        <v>46300.0</v>
      </c>
      <c r="C57" s="108">
        <f>$D$51+8</f>
        <v>46301.0</v>
      </c>
      <c r="D57" s="108">
        <f>$D$51+9</f>
        <v>46302.0</v>
      </c>
      <c r="E57" s="108">
        <f>$D$51+10</f>
        <v>46303.0</v>
      </c>
      <c r="F57" s="108">
        <f>$D$51+11</f>
        <v>46304.0</v>
      </c>
      <c r="G57" s="108">
        <f>$D$51+12</f>
        <v>46305.0</v>
      </c>
      <c r="H57" s="108">
        <f>$D$51+13</f>
        <v>46306.0</v>
      </c>
    </row>
    <row r="58">
      <c r="B58" s="109" t="str">
        <f>IF(COUNTIFS(FER_F,B57)&gt;0,INDEX(FER_N,MATCH(B57,FER_F,0)),"")</f>
        <v/>
      </c>
      <c r="C58" s="109" t="str">
        <f>IF(COUNTIFS(FER_F,C57)&gt;0,INDEX(FER_N,MATCH(C57,FER_F,0)),"")</f>
        <v/>
      </c>
      <c r="D58" s="109" t="str">
        <f>IF(COUNTIFS(FER_F,D57)&gt;0,INDEX(FER_N,MATCH(D57,FER_F,0)),"")</f>
        <v/>
      </c>
      <c r="E58" s="109" t="str">
        <f>IF(COUNTIFS(FER_F,E57)&gt;0,INDEX(FER_N,MATCH(E57,FER_F,0)),"")</f>
        <v/>
      </c>
      <c r="F58" s="109" t="str">
        <f>IF(COUNTIFS(FER_F,F57)&gt;0,INDEX(FER_N,MATCH(F57,FER_F,0)),"")</f>
        <v/>
      </c>
      <c r="G58" s="109" t="str">
        <f>IF(COUNTIFS(FER_F,G57)&gt;0,INDEX(FER_N,MATCH(G57,FER_F,0)),"")</f>
        <v/>
      </c>
      <c r="H58" s="109" t="str">
        <f>IF(COUNTIFS(FER_F,H57)&gt;0,INDEX(FER_N,MATCH(H57,FER_F,0)),"")</f>
        <v/>
      </c>
    </row>
    <row r="59">
      <c r="B59" s="110">
        <f>SUMIFS(R_HD0,R_Emp,"Malcolm",R_Fecha,B57)+SUMIFS(R_HD1,R_Emp,"Malcolm",R_D1,B57)</f>
        <v>6.333333</v>
      </c>
      <c r="C59" s="110">
        <f>SUMIFS(R_HD0,R_Emp,"Malcolm",R_Fecha,C57)+SUMIFS(R_HD1,R_Emp,"Malcolm",R_D1,C57)</f>
        <v>0</v>
      </c>
      <c r="D59" s="110">
        <f>SUMIFS(R_HD0,R_Emp,"Malcolm",R_Fecha,D57)+SUMIFS(R_HD1,R_Emp,"Malcolm",R_D1,D57)</f>
        <v>0</v>
      </c>
      <c r="E59" s="110">
        <f>SUMIFS(R_HD0,R_Emp,"Malcolm",R_Fecha,E57)+SUMIFS(R_HD1,R_Emp,"Malcolm",R_D1,E57)</f>
        <v>0</v>
      </c>
      <c r="F59" s="110">
        <f>SUMIFS(R_HD0,R_Emp,"Malcolm",R_Fecha,F57)+SUMIFS(R_HD1,R_Emp,"Malcolm",R_D1,F57)</f>
        <v>0</v>
      </c>
      <c r="G59" s="110">
        <f>SUMIFS(R_HD0,R_Emp,"Malcolm",R_Fecha,G57)+SUMIFS(R_HD1,R_Emp,"Malcolm",R_D1,G57)</f>
        <v>0</v>
      </c>
      <c r="H59" s="110">
        <f>SUMIFS(R_HD0,R_Emp,"Malcolm",R_Fecha,H57)+SUMIFS(R_HD1,R_Emp,"Malcolm",R_D1,H57)</f>
        <v>0</v>
      </c>
    </row>
    <row r="60">
      <c r="B60" s="111">
        <f>SUMIFS(R_HD0,R_Emp,"proMX",R_Fecha,B57)+SUMIFS(R_HD1,R_Emp,"proMX",R_D1,B57)</f>
        <v>0</v>
      </c>
      <c r="C60" s="111">
        <f>SUMIFS(R_HD0,R_Emp,"proMX",R_Fecha,C57)+SUMIFS(R_HD1,R_Emp,"proMX",R_D1,C57)</f>
        <v>1.5</v>
      </c>
      <c r="D60" s="111">
        <f>SUMIFS(R_HD0,R_Emp,"proMX",R_Fecha,D57)+SUMIFS(R_HD1,R_Emp,"proMX",R_D1,D57)</f>
        <v>0</v>
      </c>
      <c r="E60" s="111">
        <f>SUMIFS(R_HD0,R_Emp,"proMX",R_Fecha,E57)+SUMIFS(R_HD1,R_Emp,"proMX",R_D1,E57)</f>
        <v>0</v>
      </c>
      <c r="F60" s="111">
        <f>SUMIFS(R_HD0,R_Emp,"proMX",R_Fecha,F57)+SUMIFS(R_HD1,R_Emp,"proMX",R_D1,F57)</f>
        <v>0</v>
      </c>
      <c r="G60" s="111">
        <f>SUMIFS(R_HD0,R_Emp,"proMX",R_Fecha,G57)+SUMIFS(R_HD1,R_Emp,"proMX",R_D1,G57)</f>
        <v>0</v>
      </c>
      <c r="H60" s="111">
        <f>SUMIFS(R_HD0,R_Emp,"proMX",R_Fecha,H57)+SUMIFS(R_HD1,R_Emp,"proMX",R_D1,H57)</f>
        <v>0</v>
      </c>
    </row>
    <row r="61">
      <c r="A61" s="107" t="inlineStr">
        <is>
          <t>Sem 3</t>
        </is>
      </c>
      <c r="B61" s="108">
        <f>$D$51+14</f>
        <v>46307.0</v>
      </c>
      <c r="C61" s="108">
        <f>$D$51+15</f>
        <v>46308.0</v>
      </c>
      <c r="D61" s="108">
        <f>$D$51+16</f>
        <v>46309.0</v>
      </c>
      <c r="E61" s="108">
        <f>$D$51+17</f>
        <v>46310.0</v>
      </c>
      <c r="F61" s="108">
        <f>$D$51+18</f>
        <v>46311.0</v>
      </c>
      <c r="G61" s="108">
        <f>$D$51+19</f>
        <v>46312.0</v>
      </c>
      <c r="H61" s="108">
        <f>$D$51+20</f>
        <v>46313.0</v>
      </c>
    </row>
    <row r="62">
      <c r="B62" s="109" t="str">
        <f>IF(COUNTIFS(FER_F,B61)&gt;0,INDEX(FER_N,MATCH(B61,FER_F,0)),"")</f>
        <v>Columbus Day</v>
      </c>
      <c r="C62" s="109" t="str">
        <f>IF(COUNTIFS(FER_F,C61)&gt;0,INDEX(FER_N,MATCH(C61,FER_F,0)),"")</f>
        <v/>
      </c>
      <c r="D62" s="109" t="str">
        <f>IF(COUNTIFS(FER_F,D61)&gt;0,INDEX(FER_N,MATCH(D61,FER_F,0)),"")</f>
        <v/>
      </c>
      <c r="E62" s="109" t="str">
        <f>IF(COUNTIFS(FER_F,E61)&gt;0,INDEX(FER_N,MATCH(E61,FER_F,0)),"")</f>
        <v/>
      </c>
      <c r="F62" s="109" t="str">
        <f>IF(COUNTIFS(FER_F,F61)&gt;0,INDEX(FER_N,MATCH(F61,FER_F,0)),"")</f>
        <v/>
      </c>
      <c r="G62" s="109" t="str">
        <f>IF(COUNTIFS(FER_F,G61)&gt;0,INDEX(FER_N,MATCH(G61,FER_F,0)),"")</f>
        <v/>
      </c>
      <c r="H62" s="109" t="str">
        <f>IF(COUNTIFS(FER_F,H61)&gt;0,INDEX(FER_N,MATCH(H61,FER_F,0)),"")</f>
        <v/>
      </c>
    </row>
    <row r="63">
      <c r="B63" s="110">
        <f>SUMIFS(R_HD0,R_Emp,"Malcolm",R_Fecha,B61)+SUMIFS(R_HD1,R_Emp,"Malcolm",R_D1,B61)</f>
        <v>0</v>
      </c>
      <c r="C63" s="110">
        <f>SUMIFS(R_HD0,R_Emp,"Malcolm",R_Fecha,C61)+SUMIFS(R_HD1,R_Emp,"Malcolm",R_D1,C61)</f>
        <v>0</v>
      </c>
      <c r="D63" s="110">
        <f>SUMIFS(R_HD0,R_Emp,"Malcolm",R_Fecha,D61)+SUMIFS(R_HD1,R_Emp,"Malcolm",R_D1,D61)</f>
        <v>0</v>
      </c>
      <c r="E63" s="110">
        <f>SUMIFS(R_HD0,R_Emp,"Malcolm",R_Fecha,E61)+SUMIFS(R_HD1,R_Emp,"Malcolm",R_D1,E61)</f>
        <v>0</v>
      </c>
      <c r="F63" s="110">
        <f>SUMIFS(R_HD0,R_Emp,"Malcolm",R_Fecha,F61)+SUMIFS(R_HD1,R_Emp,"Malcolm",R_D1,F61)</f>
        <v>0</v>
      </c>
      <c r="G63" s="110">
        <f>SUMIFS(R_HD0,R_Emp,"Malcolm",R_Fecha,G61)+SUMIFS(R_HD1,R_Emp,"Malcolm",R_D1,G61)</f>
        <v>0</v>
      </c>
      <c r="H63" s="110">
        <f>SUMIFS(R_HD0,R_Emp,"Malcolm",R_Fecha,H61)+SUMIFS(R_HD1,R_Emp,"Malcolm",R_D1,H61)</f>
        <v>0</v>
      </c>
    </row>
    <row r="64">
      <c r="B64" s="111">
        <f>SUMIFS(R_HD0,R_Emp,"proMX",R_Fecha,B61)+SUMIFS(R_HD1,R_Emp,"proMX",R_D1,B61)</f>
        <v>0</v>
      </c>
      <c r="C64" s="111">
        <f>SUMIFS(R_HD0,R_Emp,"proMX",R_Fecha,C61)+SUMIFS(R_HD1,R_Emp,"proMX",R_D1,C61)</f>
        <v>0</v>
      </c>
      <c r="D64" s="111">
        <f>SUMIFS(R_HD0,R_Emp,"proMX",R_Fecha,D61)+SUMIFS(R_HD1,R_Emp,"proMX",R_D1,D61)</f>
        <v>0</v>
      </c>
      <c r="E64" s="111">
        <f>SUMIFS(R_HD0,R_Emp,"proMX",R_Fecha,E61)+SUMIFS(R_HD1,R_Emp,"proMX",R_D1,E61)</f>
        <v>0</v>
      </c>
      <c r="F64" s="111">
        <f>SUMIFS(R_HD0,R_Emp,"proMX",R_Fecha,F61)+SUMIFS(R_HD1,R_Emp,"proMX",R_D1,F61)</f>
        <v>0</v>
      </c>
      <c r="G64" s="111">
        <f>SUMIFS(R_HD0,R_Emp,"proMX",R_Fecha,G61)+SUMIFS(R_HD1,R_Emp,"proMX",R_D1,G61)</f>
        <v>0</v>
      </c>
      <c r="H64" s="111">
        <f>SUMIFS(R_HD0,R_Emp,"proMX",R_Fecha,H61)+SUMIFS(R_HD1,R_Emp,"proMX",R_D1,H61)</f>
        <v>0</v>
      </c>
    </row>
    <row r="65">
      <c r="A65" s="107" t="inlineStr">
        <is>
          <t>Sem 4</t>
        </is>
      </c>
      <c r="B65" s="108">
        <f>$D$51+21</f>
        <v>46314.0</v>
      </c>
      <c r="C65" s="108">
        <f>$D$51+22</f>
        <v>46315.0</v>
      </c>
      <c r="D65" s="108">
        <f>$D$51+23</f>
        <v>46316.0</v>
      </c>
      <c r="E65" s="108">
        <f>$D$51+24</f>
        <v>46317.0</v>
      </c>
      <c r="F65" s="108">
        <f>$D$51+25</f>
        <v>46318.0</v>
      </c>
      <c r="G65" s="108">
        <f>$D$51+26</f>
        <v>46319.0</v>
      </c>
      <c r="H65" s="108">
        <f>$D$51+27</f>
        <v>46320.0</v>
      </c>
    </row>
    <row r="66">
      <c r="B66" s="109" t="str">
        <f>IF(COUNTIFS(FER_F,B65)&gt;0,INDEX(FER_N,MATCH(B65,FER_F,0)),"")</f>
        <v/>
      </c>
      <c r="C66" s="109" t="str">
        <f>IF(COUNTIFS(FER_F,C65)&gt;0,INDEX(FER_N,MATCH(C65,FER_F,0)),"")</f>
        <v/>
      </c>
      <c r="D66" s="109" t="str">
        <f>IF(COUNTIFS(FER_F,D65)&gt;0,INDEX(FER_N,MATCH(D65,FER_F,0)),"")</f>
        <v/>
      </c>
      <c r="E66" s="109" t="str">
        <f>IF(COUNTIFS(FER_F,E65)&gt;0,INDEX(FER_N,MATCH(E65,FER_F,0)),"")</f>
        <v/>
      </c>
      <c r="F66" s="109" t="str">
        <f>IF(COUNTIFS(FER_F,F65)&gt;0,INDEX(FER_N,MATCH(F65,FER_F,0)),"")</f>
        <v/>
      </c>
      <c r="G66" s="109" t="str">
        <f>IF(COUNTIFS(FER_F,G65)&gt;0,INDEX(FER_N,MATCH(G65,FER_F,0)),"")</f>
        <v/>
      </c>
      <c r="H66" s="109" t="str">
        <f>IF(COUNTIFS(FER_F,H65)&gt;0,INDEX(FER_N,MATCH(H65,FER_F,0)),"")</f>
        <v/>
      </c>
    </row>
    <row r="67">
      <c r="B67" s="110">
        <f>SUMIFS(R_HD0,R_Emp,"Malcolm",R_Fecha,B65)+SUMIFS(R_HD1,R_Emp,"Malcolm",R_D1,B65)</f>
        <v>0</v>
      </c>
      <c r="C67" s="110">
        <f>SUMIFS(R_HD0,R_Emp,"Malcolm",R_Fecha,C65)+SUMIFS(R_HD1,R_Emp,"Malcolm",R_D1,C65)</f>
        <v>0</v>
      </c>
      <c r="D67" s="110">
        <f>SUMIFS(R_HD0,R_Emp,"Malcolm",R_Fecha,D65)+SUMIFS(R_HD1,R_Emp,"Malcolm",R_D1,D65)</f>
        <v>0</v>
      </c>
      <c r="E67" s="110">
        <f>SUMIFS(R_HD0,R_Emp,"Malcolm",R_Fecha,E65)+SUMIFS(R_HD1,R_Emp,"Malcolm",R_D1,E65)</f>
        <v>0</v>
      </c>
      <c r="F67" s="110">
        <f>SUMIFS(R_HD0,R_Emp,"Malcolm",R_Fecha,F65)+SUMIFS(R_HD1,R_Emp,"Malcolm",R_D1,F65)</f>
        <v>0</v>
      </c>
      <c r="G67" s="110">
        <f>SUMIFS(R_HD0,R_Emp,"Malcolm",R_Fecha,G65)+SUMIFS(R_HD1,R_Emp,"Malcolm",R_D1,G65)</f>
        <v>0</v>
      </c>
      <c r="H67" s="110">
        <f>SUMIFS(R_HD0,R_Emp,"Malcolm",R_Fecha,H65)+SUMIFS(R_HD1,R_Emp,"Malcolm",R_D1,H65)</f>
        <v>0</v>
      </c>
    </row>
    <row r="68">
      <c r="B68" s="111">
        <f>SUMIFS(R_HD0,R_Emp,"proMX",R_Fecha,B65)+SUMIFS(R_HD1,R_Emp,"proMX",R_D1,B65)</f>
        <v>0</v>
      </c>
      <c r="C68" s="111">
        <f>SUMIFS(R_HD0,R_Emp,"proMX",R_Fecha,C65)+SUMIFS(R_HD1,R_Emp,"proMX",R_D1,C65)</f>
        <v>0</v>
      </c>
      <c r="D68" s="111">
        <f>SUMIFS(R_HD0,R_Emp,"proMX",R_Fecha,D65)+SUMIFS(R_HD1,R_Emp,"proMX",R_D1,D65)</f>
        <v>0</v>
      </c>
      <c r="E68" s="111">
        <f>SUMIFS(R_HD0,R_Emp,"proMX",R_Fecha,E65)+SUMIFS(R_HD1,R_Emp,"proMX",R_D1,E65)</f>
        <v>0</v>
      </c>
      <c r="F68" s="111">
        <f>SUMIFS(R_HD0,R_Emp,"proMX",R_Fecha,F65)+SUMIFS(R_HD1,R_Emp,"proMX",R_D1,F65)</f>
        <v>0</v>
      </c>
      <c r="G68" s="111">
        <f>SUMIFS(R_HD0,R_Emp,"proMX",R_Fecha,G65)+SUMIFS(R_HD1,R_Emp,"proMX",R_D1,G65)</f>
        <v>0</v>
      </c>
      <c r="H68" s="111">
        <f>SUMIFS(R_HD0,R_Emp,"proMX",R_Fecha,H65)+SUMIFS(R_HD1,R_Emp,"proMX",R_D1,H65)</f>
        <v>0</v>
      </c>
    </row>
    <row r="69">
      <c r="A69" s="107" t="inlineStr">
        <is>
          <t>Sem 5</t>
        </is>
      </c>
      <c r="B69" s="108">
        <f>$D$51+28</f>
        <v>46321.0</v>
      </c>
      <c r="C69" s="108">
        <f>$D$51+29</f>
        <v>46322.0</v>
      </c>
      <c r="D69" s="108">
        <f>$D$51+30</f>
        <v>46323.0</v>
      </c>
      <c r="E69" s="108">
        <f>$D$51+31</f>
        <v>46324.0</v>
      </c>
      <c r="F69" s="108">
        <f>$D$51+32</f>
        <v>46325.0</v>
      </c>
      <c r="G69" s="108">
        <f>$D$51+33</f>
        <v>46326.0</v>
      </c>
      <c r="H69" s="108">
        <f>$D$51+34</f>
        <v>46327.0</v>
      </c>
    </row>
    <row r="70">
      <c r="B70" s="109" t="str">
        <f>IF(COUNTIFS(FER_F,B69)&gt;0,INDEX(FER_N,MATCH(B69,FER_F,0)),"")</f>
        <v/>
      </c>
      <c r="C70" s="109" t="str">
        <f>IF(COUNTIFS(FER_F,C69)&gt;0,INDEX(FER_N,MATCH(C69,FER_F,0)),"")</f>
        <v/>
      </c>
      <c r="D70" s="109" t="str">
        <f>IF(COUNTIFS(FER_F,D69)&gt;0,INDEX(FER_N,MATCH(D69,FER_F,0)),"")</f>
        <v/>
      </c>
      <c r="E70" s="109" t="str">
        <f>IF(COUNTIFS(FER_F,E69)&gt;0,INDEX(FER_N,MATCH(E69,FER_F,0)),"")</f>
        <v/>
      </c>
      <c r="F70" s="109" t="str">
        <f>IF(COUNTIFS(FER_F,F69)&gt;0,INDEX(FER_N,MATCH(F69,FER_F,0)),"")</f>
        <v/>
      </c>
      <c r="G70" s="109" t="str">
        <f>IF(COUNTIFS(FER_F,G69)&gt;0,INDEX(FER_N,MATCH(G69,FER_F,0)),"")</f>
        <v/>
      </c>
      <c r="H70" s="109" t="str">
        <f>IF(COUNTIFS(FER_F,H69)&gt;0,INDEX(FER_N,MATCH(H69,FER_F,0)),"")</f>
        <v/>
      </c>
    </row>
    <row r="71">
      <c r="B71" s="110">
        <f>SUMIFS(R_HD0,R_Emp,"Malcolm",R_Fecha,B69)+SUMIFS(R_HD1,R_Emp,"Malcolm",R_D1,B69)</f>
        <v>0</v>
      </c>
      <c r="C71" s="110">
        <f>SUMIFS(R_HD0,R_Emp,"Malcolm",R_Fecha,C69)+SUMIFS(R_HD1,R_Emp,"Malcolm",R_D1,C69)</f>
        <v>0</v>
      </c>
      <c r="D71" s="110">
        <f>SUMIFS(R_HD0,R_Emp,"Malcolm",R_Fecha,D69)+SUMIFS(R_HD1,R_Emp,"Malcolm",R_D1,D69)</f>
        <v>0</v>
      </c>
      <c r="E71" s="110">
        <f>SUMIFS(R_HD0,R_Emp,"Malcolm",R_Fecha,E69)+SUMIFS(R_HD1,R_Emp,"Malcolm",R_D1,E69)</f>
        <v>0</v>
      </c>
      <c r="F71" s="110">
        <f>SUMIFS(R_HD0,R_Emp,"Malcolm",R_Fecha,F69)+SUMIFS(R_HD1,R_Emp,"Malcolm",R_D1,F69)</f>
        <v>0</v>
      </c>
      <c r="G71" s="110">
        <f>SUMIFS(R_HD0,R_Emp,"Malcolm",R_Fecha,G69)+SUMIFS(R_HD1,R_Emp,"Malcolm",R_D1,G69)</f>
        <v>0</v>
      </c>
      <c r="H71" s="110">
        <f>SUMIFS(R_HD0,R_Emp,"Malcolm",R_Fecha,H69)+SUMIFS(R_HD1,R_Emp,"Malcolm",R_D1,H69)</f>
        <v>0</v>
      </c>
    </row>
    <row r="72">
      <c r="B72" s="111">
        <f>SUMIFS(R_HD0,R_Emp,"proMX",R_Fecha,B69)+SUMIFS(R_HD1,R_Emp,"proMX",R_D1,B69)</f>
        <v>0</v>
      </c>
      <c r="C72" s="111">
        <f>SUMIFS(R_HD0,R_Emp,"proMX",R_Fecha,C69)+SUMIFS(R_HD1,R_Emp,"proMX",R_D1,C69)</f>
        <v>0</v>
      </c>
      <c r="D72" s="111">
        <f>SUMIFS(R_HD0,R_Emp,"proMX",R_Fecha,D69)+SUMIFS(R_HD1,R_Emp,"proMX",R_D1,D69)</f>
        <v>0</v>
      </c>
      <c r="E72" s="111">
        <f>SUMIFS(R_HD0,R_Emp,"proMX",R_Fecha,E69)+SUMIFS(R_HD1,R_Emp,"proMX",R_D1,E69)</f>
        <v>0</v>
      </c>
      <c r="F72" s="111">
        <f>SUMIFS(R_HD0,R_Emp,"proMX",R_Fecha,F69)+SUMIFS(R_HD1,R_Emp,"proMX",R_D1,F69)</f>
        <v>0</v>
      </c>
      <c r="G72" s="111">
        <f>SUMIFS(R_HD0,R_Emp,"proMX",R_Fecha,G69)+SUMIFS(R_HD1,R_Emp,"proMX",R_D1,G69)</f>
        <v>0</v>
      </c>
      <c r="H72" s="111">
        <f>SUMIFS(R_HD0,R_Emp,"proMX",R_Fecha,H69)+SUMIFS(R_HD1,R_Emp,"proMX",R_D1,H69)</f>
        <v>0</v>
      </c>
    </row>
    <row r="73">
      <c r="A73" s="107" t="inlineStr">
        <is>
          <t>Sem 6</t>
        </is>
      </c>
      <c r="B73" s="108">
        <f>$D$51+35</f>
        <v>46328.0</v>
      </c>
      <c r="C73" s="108">
        <f>$D$51+36</f>
        <v>46329.0</v>
      </c>
      <c r="D73" s="108">
        <f>$D$51+37</f>
        <v>46330.0</v>
      </c>
      <c r="E73" s="108">
        <f>$D$51+38</f>
        <v>46331.0</v>
      </c>
      <c r="F73" s="108">
        <f>$D$51+39</f>
        <v>46332.0</v>
      </c>
      <c r="G73" s="108">
        <f>$D$51+40</f>
        <v>46333.0</v>
      </c>
      <c r="H73" s="108">
        <f>$D$51+41</f>
        <v>46334.0</v>
      </c>
    </row>
    <row r="74">
      <c r="B74" s="109" t="str">
        <f>IF(COUNTIFS(FER_F,B73)&gt;0,INDEX(FER_N,MATCH(B73,FER_F,0)),"")</f>
        <v/>
      </c>
      <c r="C74" s="109" t="str">
        <f>IF(COUNTIFS(FER_F,C73)&gt;0,INDEX(FER_N,MATCH(C73,FER_F,0)),"")</f>
        <v/>
      </c>
      <c r="D74" s="109" t="str">
        <f>IF(COUNTIFS(FER_F,D73)&gt;0,INDEX(FER_N,MATCH(D73,FER_F,0)),"")</f>
        <v/>
      </c>
      <c r="E74" s="109" t="str">
        <f>IF(COUNTIFS(FER_F,E73)&gt;0,INDEX(FER_N,MATCH(E73,FER_F,0)),"")</f>
        <v/>
      </c>
      <c r="F74" s="109" t="str">
        <f>IF(COUNTIFS(FER_F,F73)&gt;0,INDEX(FER_N,MATCH(F73,FER_F,0)),"")</f>
        <v/>
      </c>
      <c r="G74" s="109" t="str">
        <f>IF(COUNTIFS(FER_F,G73)&gt;0,INDEX(FER_N,MATCH(G73,FER_F,0)),"")</f>
        <v/>
      </c>
      <c r="H74" s="109" t="str">
        <f>IF(COUNTIFS(FER_F,H73)&gt;0,INDEX(FER_N,MATCH(H73,FER_F,0)),"")</f>
        <v/>
      </c>
    </row>
    <row r="75">
      <c r="B75" s="110">
        <f>SUMIFS(R_HD0,R_Emp,"Malcolm",R_Fecha,B73)+SUMIFS(R_HD1,R_Emp,"Malcolm",R_D1,B73)</f>
        <v>0</v>
      </c>
      <c r="C75" s="110">
        <f>SUMIFS(R_HD0,R_Emp,"Malcolm",R_Fecha,C73)+SUMIFS(R_HD1,R_Emp,"Malcolm",R_D1,C73)</f>
        <v>0</v>
      </c>
      <c r="D75" s="110">
        <f>SUMIFS(R_HD0,R_Emp,"Malcolm",R_Fecha,D73)+SUMIFS(R_HD1,R_Emp,"Malcolm",R_D1,D73)</f>
        <v>0</v>
      </c>
      <c r="E75" s="110">
        <f>SUMIFS(R_HD0,R_Emp,"Malcolm",R_Fecha,E73)+SUMIFS(R_HD1,R_Emp,"Malcolm",R_D1,E73)</f>
        <v>0</v>
      </c>
      <c r="F75" s="110">
        <f>SUMIFS(R_HD0,R_Emp,"Malcolm",R_Fecha,F73)+SUMIFS(R_HD1,R_Emp,"Malcolm",R_D1,F73)</f>
        <v>0</v>
      </c>
      <c r="G75" s="110">
        <f>SUMIFS(R_HD0,R_Emp,"Malcolm",R_Fecha,G73)+SUMIFS(R_HD1,R_Emp,"Malcolm",R_D1,G73)</f>
        <v>0</v>
      </c>
      <c r="H75" s="110">
        <f>SUMIFS(R_HD0,R_Emp,"Malcolm",R_Fecha,H73)+SUMIFS(R_HD1,R_Emp,"Malcolm",R_D1,H73)</f>
        <v>0</v>
      </c>
    </row>
    <row r="76">
      <c r="B76" s="111">
        <f>SUMIFS(R_HD0,R_Emp,"proMX",R_Fecha,B73)+SUMIFS(R_HD1,R_Emp,"proMX",R_D1,B73)</f>
        <v>0</v>
      </c>
      <c r="C76" s="111">
        <f>SUMIFS(R_HD0,R_Emp,"proMX",R_Fecha,C73)+SUMIFS(R_HD1,R_Emp,"proMX",R_D1,C73)</f>
        <v>0</v>
      </c>
      <c r="D76" s="111">
        <f>SUMIFS(R_HD0,R_Emp,"proMX",R_Fecha,D73)+SUMIFS(R_HD1,R_Emp,"proMX",R_D1,D73)</f>
        <v>0</v>
      </c>
      <c r="E76" s="111">
        <f>SUMIFS(R_HD0,R_Emp,"proMX",R_Fecha,E73)+SUMIFS(R_HD1,R_Emp,"proMX",R_D1,E73)</f>
        <v>0</v>
      </c>
      <c r="F76" s="111">
        <f>SUMIFS(R_HD0,R_Emp,"proMX",R_Fecha,F73)+SUMIFS(R_HD1,R_Emp,"proMX",R_D1,F73)</f>
        <v>0</v>
      </c>
      <c r="G76" s="111">
        <f>SUMIFS(R_HD0,R_Emp,"proMX",R_Fecha,G73)+SUMIFS(R_HD1,R_Emp,"proMX",R_D1,G73)</f>
        <v>0</v>
      </c>
      <c r="H76" s="111">
        <f>SUMIFS(R_HD0,R_Emp,"proMX",R_Fecha,H73)+SUMIFS(R_HD1,R_Emp,"proMX",R_D1,H73)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B6:B8">
    <cfRule type="expression" priority="1" dxfId="15" stopIfTrue="0">
      <formula>=LEFT(B$8,7)="Feriado"</formula>
    </cfRule>
    <cfRule type="expression" priority="2" dxfId="16" stopIfTrue="0">
      <formula>=B$8="No laborable"</formula>
    </cfRule>
  </conditionalFormatting>
  <conditionalFormatting sqref="C6:C8">
    <cfRule type="expression" priority="3" dxfId="15" stopIfTrue="0">
      <formula>=LEFT(C$8,7)="Feriado"</formula>
    </cfRule>
    <cfRule type="expression" priority="4" dxfId="16" stopIfTrue="0">
      <formula>=C$8="No laborable"</formula>
    </cfRule>
  </conditionalFormatting>
  <conditionalFormatting sqref="D6:D8">
    <cfRule type="expression" priority="5" dxfId="15" stopIfTrue="0">
      <formula>=LEFT(D$8,7)="Feriado"</formula>
    </cfRule>
    <cfRule type="expression" priority="6" dxfId="16" stopIfTrue="0">
      <formula>=D$8="No laborable"</formula>
    </cfRule>
  </conditionalFormatting>
  <conditionalFormatting sqref="E6:E8">
    <cfRule type="expression" priority="7" dxfId="15" stopIfTrue="0">
      <formula>=LEFT(E$8,7)="Feriado"</formula>
    </cfRule>
    <cfRule type="expression" priority="8" dxfId="16" stopIfTrue="0">
      <formula>=E$8="No laborable"</formula>
    </cfRule>
  </conditionalFormatting>
  <conditionalFormatting sqref="F6:F8">
    <cfRule type="expression" priority="9" dxfId="15" stopIfTrue="0">
      <formula>=LEFT(F$8,7)="Feriado"</formula>
    </cfRule>
    <cfRule type="expression" priority="10" dxfId="16" stopIfTrue="0">
      <formula>=F$8="No laborable"</formula>
    </cfRule>
  </conditionalFormatting>
  <conditionalFormatting sqref="G6:G8">
    <cfRule type="expression" priority="11" dxfId="15" stopIfTrue="0">
      <formula>=LEFT(G$8,7)="Feriado"</formula>
    </cfRule>
    <cfRule type="expression" priority="12" dxfId="16" stopIfTrue="0">
      <formula>=G$8="No laborable"</formula>
    </cfRule>
  </conditionalFormatting>
  <conditionalFormatting sqref="H6:H8">
    <cfRule type="expression" priority="13" dxfId="15" stopIfTrue="0">
      <formula>=LEFT(H$8,7)="Feriado"</formula>
    </cfRule>
    <cfRule type="expression" priority="14" dxfId="16" stopIfTrue="0">
      <formula>=H$8="No laborable"</formula>
    </cfRule>
  </conditionalFormatting>
  <conditionalFormatting sqref="B13:B46">
    <cfRule type="expression" priority="15" dxfId="17" stopIfTrue="0">
      <formula>=$O13=1</formula>
    </cfRule>
    <cfRule type="expression" priority="16" dxfId="18" stopIfTrue="0">
      <formula>=$O13=2</formula>
    </cfRule>
    <cfRule type="expression" priority="17" dxfId="19" stopIfTrue="0">
      <formula>=$O13=3</formula>
    </cfRule>
    <cfRule type="expression" priority="18" dxfId="20" stopIfTrue="0">
      <formula>=$O13=4</formula>
    </cfRule>
    <cfRule type="expression" priority="19" dxfId="21" stopIfTrue="0">
      <formula>=$O13=5</formula>
    </cfRule>
    <cfRule type="expression" priority="20" dxfId="22" stopIfTrue="0">
      <formula>=$O13=6</formula>
    </cfRule>
    <cfRule type="expression" priority="21" dxfId="15" stopIfTrue="0">
      <formula>=$O13=8</formula>
    </cfRule>
  </conditionalFormatting>
  <conditionalFormatting sqref="C13:C46">
    <cfRule type="expression" priority="22" dxfId="17" stopIfTrue="0">
      <formula>=$T13=1</formula>
    </cfRule>
    <cfRule type="expression" priority="23" dxfId="18" stopIfTrue="0">
      <formula>=$T13=2</formula>
    </cfRule>
    <cfRule type="expression" priority="24" dxfId="19" stopIfTrue="0">
      <formula>=$T13=3</formula>
    </cfRule>
    <cfRule type="expression" priority="25" dxfId="20" stopIfTrue="0">
      <formula>=$T13=4</formula>
    </cfRule>
    <cfRule type="expression" priority="26" dxfId="21" stopIfTrue="0">
      <formula>=$T13=5</formula>
    </cfRule>
    <cfRule type="expression" priority="27" dxfId="22" stopIfTrue="0">
      <formula>=$T13=6</formula>
    </cfRule>
    <cfRule type="expression" priority="28" dxfId="15" stopIfTrue="0">
      <formula>=$T13=8</formula>
    </cfRule>
  </conditionalFormatting>
  <conditionalFormatting sqref="D13:D46">
    <cfRule type="expression" priority="29" dxfId="17" stopIfTrue="0">
      <formula>=$Y13=1</formula>
    </cfRule>
    <cfRule type="expression" priority="30" dxfId="18" stopIfTrue="0">
      <formula>=$Y13=2</formula>
    </cfRule>
    <cfRule type="expression" priority="31" dxfId="19" stopIfTrue="0">
      <formula>=$Y13=3</formula>
    </cfRule>
    <cfRule type="expression" priority="32" dxfId="20" stopIfTrue="0">
      <formula>=$Y13=4</formula>
    </cfRule>
    <cfRule type="expression" priority="33" dxfId="21" stopIfTrue="0">
      <formula>=$Y13=5</formula>
    </cfRule>
    <cfRule type="expression" priority="34" dxfId="22" stopIfTrue="0">
      <formula>=$Y13=6</formula>
    </cfRule>
    <cfRule type="expression" priority="35" dxfId="15" stopIfTrue="0">
      <formula>=$Y13=8</formula>
    </cfRule>
  </conditionalFormatting>
  <conditionalFormatting sqref="E13:E46">
    <cfRule type="expression" priority="36" dxfId="17" stopIfTrue="0">
      <formula>=$AD13=1</formula>
    </cfRule>
    <cfRule type="expression" priority="37" dxfId="18" stopIfTrue="0">
      <formula>=$AD13=2</formula>
    </cfRule>
    <cfRule type="expression" priority="38" dxfId="19" stopIfTrue="0">
      <formula>=$AD13=3</formula>
    </cfRule>
    <cfRule type="expression" priority="39" dxfId="20" stopIfTrue="0">
      <formula>=$AD13=4</formula>
    </cfRule>
    <cfRule type="expression" priority="40" dxfId="21" stopIfTrue="0">
      <formula>=$AD13=5</formula>
    </cfRule>
    <cfRule type="expression" priority="41" dxfId="22" stopIfTrue="0">
      <formula>=$AD13=6</formula>
    </cfRule>
    <cfRule type="expression" priority="42" dxfId="15" stopIfTrue="0">
      <formula>=$AD13=8</formula>
    </cfRule>
  </conditionalFormatting>
  <conditionalFormatting sqref="F13:F46">
    <cfRule type="expression" priority="43" dxfId="17" stopIfTrue="0">
      <formula>=$AI13=1</formula>
    </cfRule>
    <cfRule type="expression" priority="44" dxfId="18" stopIfTrue="0">
      <formula>=$AI13=2</formula>
    </cfRule>
    <cfRule type="expression" priority="45" dxfId="19" stopIfTrue="0">
      <formula>=$AI13=3</formula>
    </cfRule>
    <cfRule type="expression" priority="46" dxfId="20" stopIfTrue="0">
      <formula>=$AI13=4</formula>
    </cfRule>
    <cfRule type="expression" priority="47" dxfId="21" stopIfTrue="0">
      <formula>=$AI13=5</formula>
    </cfRule>
    <cfRule type="expression" priority="48" dxfId="22" stopIfTrue="0">
      <formula>=$AI13=6</formula>
    </cfRule>
    <cfRule type="expression" priority="49" dxfId="15" stopIfTrue="0">
      <formula>=$AI13=8</formula>
    </cfRule>
  </conditionalFormatting>
  <conditionalFormatting sqref="G13:G46">
    <cfRule type="expression" priority="50" dxfId="17" stopIfTrue="0">
      <formula>=$AN13=1</formula>
    </cfRule>
    <cfRule type="expression" priority="51" dxfId="18" stopIfTrue="0">
      <formula>=$AN13=2</formula>
    </cfRule>
    <cfRule type="expression" priority="52" dxfId="19" stopIfTrue="0">
      <formula>=$AN13=3</formula>
    </cfRule>
    <cfRule type="expression" priority="53" dxfId="20" stopIfTrue="0">
      <formula>=$AN13=4</formula>
    </cfRule>
    <cfRule type="expression" priority="54" dxfId="21" stopIfTrue="0">
      <formula>=$AN13=5</formula>
    </cfRule>
    <cfRule type="expression" priority="55" dxfId="22" stopIfTrue="0">
      <formula>=$AN13=6</formula>
    </cfRule>
    <cfRule type="expression" priority="56" dxfId="15" stopIfTrue="0">
      <formula>=$AN13=8</formula>
    </cfRule>
  </conditionalFormatting>
  <conditionalFormatting sqref="H13:H46">
    <cfRule type="expression" priority="57" dxfId="17" stopIfTrue="0">
      <formula>=$AS13=1</formula>
    </cfRule>
    <cfRule type="expression" priority="58" dxfId="18" stopIfTrue="0">
      <formula>=$AS13=2</formula>
    </cfRule>
    <cfRule type="expression" priority="59" dxfId="19" stopIfTrue="0">
      <formula>=$AS13=3</formula>
    </cfRule>
    <cfRule type="expression" priority="60" dxfId="20" stopIfTrue="0">
      <formula>=$AS13=4</formula>
    </cfRule>
    <cfRule type="expression" priority="61" dxfId="21" stopIfTrue="0">
      <formula>=$AS13=5</formula>
    </cfRule>
    <cfRule type="expression" priority="62" dxfId="22" stopIfTrue="0">
      <formula>=$AS13=6</formula>
    </cfRule>
    <cfRule type="expression" priority="63" dxfId="15" stopIfTrue="0">
      <formula>=$AS13=8</formula>
    </cfRule>
  </conditionalFormatting>
  <conditionalFormatting sqref="B53:B56">
    <cfRule type="expression" priority="64" dxfId="23" stopIfTrue="0">
      <formula>=OR(B53&lt;$C$51,B53&gt;$E$51)</formula>
    </cfRule>
    <cfRule type="expression" priority="65" dxfId="13" stopIfTrue="0">
      <formula>=COUNTIFS(FER_F,B53)&gt;0</formula>
    </cfRule>
    <cfRule type="expression" priority="66" dxfId="24" stopIfTrue="0">
      <formula>=INDEX(CFG_WDAYS,WEEKDAY(B53,2))="No"</formula>
    </cfRule>
  </conditionalFormatting>
  <conditionalFormatting sqref="C53:C56">
    <cfRule type="expression" priority="67" dxfId="23" stopIfTrue="0">
      <formula>=OR(C53&lt;$C$51,C53&gt;$E$51)</formula>
    </cfRule>
    <cfRule type="expression" priority="68" dxfId="13" stopIfTrue="0">
      <formula>=COUNTIFS(FER_F,C53)&gt;0</formula>
    </cfRule>
    <cfRule type="expression" priority="69" dxfId="24" stopIfTrue="0">
      <formula>=INDEX(CFG_WDAYS,WEEKDAY(C53,2))="No"</formula>
    </cfRule>
  </conditionalFormatting>
  <conditionalFormatting sqref="D53:D56">
    <cfRule type="expression" priority="70" dxfId="23" stopIfTrue="0">
      <formula>=OR(D53&lt;$C$51,D53&gt;$E$51)</formula>
    </cfRule>
    <cfRule type="expression" priority="71" dxfId="13" stopIfTrue="0">
      <formula>=COUNTIFS(FER_F,D53)&gt;0</formula>
    </cfRule>
    <cfRule type="expression" priority="72" dxfId="24" stopIfTrue="0">
      <formula>=INDEX(CFG_WDAYS,WEEKDAY(D53,2))="No"</formula>
    </cfRule>
  </conditionalFormatting>
  <conditionalFormatting sqref="E53:E56">
    <cfRule type="expression" priority="73" dxfId="23" stopIfTrue="0">
      <formula>=OR(E53&lt;$C$51,E53&gt;$E$51)</formula>
    </cfRule>
    <cfRule type="expression" priority="74" dxfId="13" stopIfTrue="0">
      <formula>=COUNTIFS(FER_F,E53)&gt;0</formula>
    </cfRule>
    <cfRule type="expression" priority="75" dxfId="24" stopIfTrue="0">
      <formula>=INDEX(CFG_WDAYS,WEEKDAY(E53,2))="No"</formula>
    </cfRule>
  </conditionalFormatting>
  <conditionalFormatting sqref="F53:F56">
    <cfRule type="expression" priority="76" dxfId="23" stopIfTrue="0">
      <formula>=OR(F53&lt;$C$51,F53&gt;$E$51)</formula>
    </cfRule>
    <cfRule type="expression" priority="77" dxfId="13" stopIfTrue="0">
      <formula>=COUNTIFS(FER_F,F53)&gt;0</formula>
    </cfRule>
    <cfRule type="expression" priority="78" dxfId="24" stopIfTrue="0">
      <formula>=INDEX(CFG_WDAYS,WEEKDAY(F53,2))="No"</formula>
    </cfRule>
  </conditionalFormatting>
  <conditionalFormatting sqref="G53:G56">
    <cfRule type="expression" priority="79" dxfId="23" stopIfTrue="0">
      <formula>=OR(G53&lt;$C$51,G53&gt;$E$51)</formula>
    </cfRule>
    <cfRule type="expression" priority="80" dxfId="13" stopIfTrue="0">
      <formula>=COUNTIFS(FER_F,G53)&gt;0</formula>
    </cfRule>
    <cfRule type="expression" priority="81" dxfId="24" stopIfTrue="0">
      <formula>=INDEX(CFG_WDAYS,WEEKDAY(G53,2))="No"</formula>
    </cfRule>
  </conditionalFormatting>
  <conditionalFormatting sqref="H53:H56">
    <cfRule type="expression" priority="82" dxfId="23" stopIfTrue="0">
      <formula>=OR(H53&lt;$C$51,H53&gt;$E$51)</formula>
    </cfRule>
    <cfRule type="expression" priority="83" dxfId="13" stopIfTrue="0">
      <formula>=COUNTIFS(FER_F,H53)&gt;0</formula>
    </cfRule>
    <cfRule type="expression" priority="84" dxfId="24" stopIfTrue="0">
      <formula>=INDEX(CFG_WDAYS,WEEKDAY(H53,2))="No"</formula>
    </cfRule>
  </conditionalFormatting>
  <conditionalFormatting sqref="B57:B60">
    <cfRule type="expression" priority="85" dxfId="23" stopIfTrue="0">
      <formula>=OR(B57&lt;$C$51,B57&gt;$E$51)</formula>
    </cfRule>
    <cfRule type="expression" priority="86" dxfId="13" stopIfTrue="0">
      <formula>=COUNTIFS(FER_F,B57)&gt;0</formula>
    </cfRule>
    <cfRule type="expression" priority="87" dxfId="24" stopIfTrue="0">
      <formula>=INDEX(CFG_WDAYS,WEEKDAY(B57,2))="No"</formula>
    </cfRule>
  </conditionalFormatting>
  <conditionalFormatting sqref="C57:C60">
    <cfRule type="expression" priority="88" dxfId="23" stopIfTrue="0">
      <formula>=OR(C57&lt;$C$51,C57&gt;$E$51)</formula>
    </cfRule>
    <cfRule type="expression" priority="89" dxfId="13" stopIfTrue="0">
      <formula>=COUNTIFS(FER_F,C57)&gt;0</formula>
    </cfRule>
    <cfRule type="expression" priority="90" dxfId="24" stopIfTrue="0">
      <formula>=INDEX(CFG_WDAYS,WEEKDAY(C57,2))="No"</formula>
    </cfRule>
  </conditionalFormatting>
  <conditionalFormatting sqref="D57:D60">
    <cfRule type="expression" priority="91" dxfId="23" stopIfTrue="0">
      <formula>=OR(D57&lt;$C$51,D57&gt;$E$51)</formula>
    </cfRule>
    <cfRule type="expression" priority="92" dxfId="13" stopIfTrue="0">
      <formula>=COUNTIFS(FER_F,D57)&gt;0</formula>
    </cfRule>
    <cfRule type="expression" priority="93" dxfId="24" stopIfTrue="0">
      <formula>=INDEX(CFG_WDAYS,WEEKDAY(D57,2))="No"</formula>
    </cfRule>
  </conditionalFormatting>
  <conditionalFormatting sqref="E57:E60">
    <cfRule type="expression" priority="94" dxfId="23" stopIfTrue="0">
      <formula>=OR(E57&lt;$C$51,E57&gt;$E$51)</formula>
    </cfRule>
    <cfRule type="expression" priority="95" dxfId="13" stopIfTrue="0">
      <formula>=COUNTIFS(FER_F,E57)&gt;0</formula>
    </cfRule>
    <cfRule type="expression" priority="96" dxfId="24" stopIfTrue="0">
      <formula>=INDEX(CFG_WDAYS,WEEKDAY(E57,2))="No"</formula>
    </cfRule>
  </conditionalFormatting>
  <conditionalFormatting sqref="F57:F60">
    <cfRule type="expression" priority="97" dxfId="23" stopIfTrue="0">
      <formula>=OR(F57&lt;$C$51,F57&gt;$E$51)</formula>
    </cfRule>
    <cfRule type="expression" priority="98" dxfId="13" stopIfTrue="0">
      <formula>=COUNTIFS(FER_F,F57)&gt;0</formula>
    </cfRule>
    <cfRule type="expression" priority="99" dxfId="24" stopIfTrue="0">
      <formula>=INDEX(CFG_WDAYS,WEEKDAY(F57,2))="No"</formula>
    </cfRule>
  </conditionalFormatting>
  <conditionalFormatting sqref="G57:G60">
    <cfRule type="expression" priority="100" dxfId="23" stopIfTrue="0">
      <formula>=OR(G57&lt;$C$51,G57&gt;$E$51)</formula>
    </cfRule>
    <cfRule type="expression" priority="101" dxfId="13" stopIfTrue="0">
      <formula>=COUNTIFS(FER_F,G57)&gt;0</formula>
    </cfRule>
    <cfRule type="expression" priority="102" dxfId="24" stopIfTrue="0">
      <formula>=INDEX(CFG_WDAYS,WEEKDAY(G57,2))="No"</formula>
    </cfRule>
  </conditionalFormatting>
  <conditionalFormatting sqref="H57:H60">
    <cfRule type="expression" priority="103" dxfId="23" stopIfTrue="0">
      <formula>=OR(H57&lt;$C$51,H57&gt;$E$51)</formula>
    </cfRule>
    <cfRule type="expression" priority="104" dxfId="13" stopIfTrue="0">
      <formula>=COUNTIFS(FER_F,H57)&gt;0</formula>
    </cfRule>
    <cfRule type="expression" priority="105" dxfId="24" stopIfTrue="0">
      <formula>=INDEX(CFG_WDAYS,WEEKDAY(H57,2))="No"</formula>
    </cfRule>
  </conditionalFormatting>
  <conditionalFormatting sqref="B61:B64">
    <cfRule type="expression" priority="106" dxfId="23" stopIfTrue="0">
      <formula>=OR(B61&lt;$C$51,B61&gt;$E$51)</formula>
    </cfRule>
    <cfRule type="expression" priority="107" dxfId="13" stopIfTrue="0">
      <formula>=COUNTIFS(FER_F,B61)&gt;0</formula>
    </cfRule>
    <cfRule type="expression" priority="108" dxfId="24" stopIfTrue="0">
      <formula>=INDEX(CFG_WDAYS,WEEKDAY(B61,2))="No"</formula>
    </cfRule>
  </conditionalFormatting>
  <conditionalFormatting sqref="C61:C64">
    <cfRule type="expression" priority="109" dxfId="23" stopIfTrue="0">
      <formula>=OR(C61&lt;$C$51,C61&gt;$E$51)</formula>
    </cfRule>
    <cfRule type="expression" priority="110" dxfId="13" stopIfTrue="0">
      <formula>=COUNTIFS(FER_F,C61)&gt;0</formula>
    </cfRule>
    <cfRule type="expression" priority="111" dxfId="24" stopIfTrue="0">
      <formula>=INDEX(CFG_WDAYS,WEEKDAY(C61,2))="No"</formula>
    </cfRule>
  </conditionalFormatting>
  <conditionalFormatting sqref="D61:D64">
    <cfRule type="expression" priority="112" dxfId="23" stopIfTrue="0">
      <formula>=OR(D61&lt;$C$51,D61&gt;$E$51)</formula>
    </cfRule>
    <cfRule type="expression" priority="113" dxfId="13" stopIfTrue="0">
      <formula>=COUNTIFS(FER_F,D61)&gt;0</formula>
    </cfRule>
    <cfRule type="expression" priority="114" dxfId="24" stopIfTrue="0">
      <formula>=INDEX(CFG_WDAYS,WEEKDAY(D61,2))="No"</formula>
    </cfRule>
  </conditionalFormatting>
  <conditionalFormatting sqref="E61:E64">
    <cfRule type="expression" priority="115" dxfId="23" stopIfTrue="0">
      <formula>=OR(E61&lt;$C$51,E61&gt;$E$51)</formula>
    </cfRule>
    <cfRule type="expression" priority="116" dxfId="13" stopIfTrue="0">
      <formula>=COUNTIFS(FER_F,E61)&gt;0</formula>
    </cfRule>
    <cfRule type="expression" priority="117" dxfId="24" stopIfTrue="0">
      <formula>=INDEX(CFG_WDAYS,WEEKDAY(E61,2))="No"</formula>
    </cfRule>
  </conditionalFormatting>
  <conditionalFormatting sqref="F61:F64">
    <cfRule type="expression" priority="118" dxfId="23" stopIfTrue="0">
      <formula>=OR(F61&lt;$C$51,F61&gt;$E$51)</formula>
    </cfRule>
    <cfRule type="expression" priority="119" dxfId="13" stopIfTrue="0">
      <formula>=COUNTIFS(FER_F,F61)&gt;0</formula>
    </cfRule>
    <cfRule type="expression" priority="120" dxfId="24" stopIfTrue="0">
      <formula>=INDEX(CFG_WDAYS,WEEKDAY(F61,2))="No"</formula>
    </cfRule>
  </conditionalFormatting>
  <conditionalFormatting sqref="G61:G64">
    <cfRule type="expression" priority="121" dxfId="23" stopIfTrue="0">
      <formula>=OR(G61&lt;$C$51,G61&gt;$E$51)</formula>
    </cfRule>
    <cfRule type="expression" priority="122" dxfId="13" stopIfTrue="0">
      <formula>=COUNTIFS(FER_F,G61)&gt;0</formula>
    </cfRule>
    <cfRule type="expression" priority="123" dxfId="24" stopIfTrue="0">
      <formula>=INDEX(CFG_WDAYS,WEEKDAY(G61,2))="No"</formula>
    </cfRule>
  </conditionalFormatting>
  <conditionalFormatting sqref="H61:H64">
    <cfRule type="expression" priority="124" dxfId="23" stopIfTrue="0">
      <formula>=OR(H61&lt;$C$51,H61&gt;$E$51)</formula>
    </cfRule>
    <cfRule type="expression" priority="125" dxfId="13" stopIfTrue="0">
      <formula>=COUNTIFS(FER_F,H61)&gt;0</formula>
    </cfRule>
    <cfRule type="expression" priority="126" dxfId="24" stopIfTrue="0">
      <formula>=INDEX(CFG_WDAYS,WEEKDAY(H61,2))="No"</formula>
    </cfRule>
  </conditionalFormatting>
  <conditionalFormatting sqref="B65:B68">
    <cfRule type="expression" priority="127" dxfId="23" stopIfTrue="0">
      <formula>=OR(B65&lt;$C$51,B65&gt;$E$51)</formula>
    </cfRule>
    <cfRule type="expression" priority="128" dxfId="13" stopIfTrue="0">
      <formula>=COUNTIFS(FER_F,B65)&gt;0</formula>
    </cfRule>
    <cfRule type="expression" priority="129" dxfId="24" stopIfTrue="0">
      <formula>=INDEX(CFG_WDAYS,WEEKDAY(B65,2))="No"</formula>
    </cfRule>
  </conditionalFormatting>
  <conditionalFormatting sqref="C65:C68">
    <cfRule type="expression" priority="130" dxfId="23" stopIfTrue="0">
      <formula>=OR(C65&lt;$C$51,C65&gt;$E$51)</formula>
    </cfRule>
    <cfRule type="expression" priority="131" dxfId="13" stopIfTrue="0">
      <formula>=COUNTIFS(FER_F,C65)&gt;0</formula>
    </cfRule>
    <cfRule type="expression" priority="132" dxfId="24" stopIfTrue="0">
      <formula>=INDEX(CFG_WDAYS,WEEKDAY(C65,2))="No"</formula>
    </cfRule>
  </conditionalFormatting>
  <conditionalFormatting sqref="D65:D68">
    <cfRule type="expression" priority="133" dxfId="23" stopIfTrue="0">
      <formula>=OR(D65&lt;$C$51,D65&gt;$E$51)</formula>
    </cfRule>
    <cfRule type="expression" priority="134" dxfId="13" stopIfTrue="0">
      <formula>=COUNTIFS(FER_F,D65)&gt;0</formula>
    </cfRule>
    <cfRule type="expression" priority="135" dxfId="24" stopIfTrue="0">
      <formula>=INDEX(CFG_WDAYS,WEEKDAY(D65,2))="No"</formula>
    </cfRule>
  </conditionalFormatting>
  <conditionalFormatting sqref="E65:E68">
    <cfRule type="expression" priority="136" dxfId="23" stopIfTrue="0">
      <formula>=OR(E65&lt;$C$51,E65&gt;$E$51)</formula>
    </cfRule>
    <cfRule type="expression" priority="137" dxfId="13" stopIfTrue="0">
      <formula>=COUNTIFS(FER_F,E65)&gt;0</formula>
    </cfRule>
    <cfRule type="expression" priority="138" dxfId="24" stopIfTrue="0">
      <formula>=INDEX(CFG_WDAYS,WEEKDAY(E65,2))="No"</formula>
    </cfRule>
  </conditionalFormatting>
  <conditionalFormatting sqref="F65:F68">
    <cfRule type="expression" priority="139" dxfId="23" stopIfTrue="0">
      <formula>=OR(F65&lt;$C$51,F65&gt;$E$51)</formula>
    </cfRule>
    <cfRule type="expression" priority="140" dxfId="13" stopIfTrue="0">
      <formula>=COUNTIFS(FER_F,F65)&gt;0</formula>
    </cfRule>
    <cfRule type="expression" priority="141" dxfId="24" stopIfTrue="0">
      <formula>=INDEX(CFG_WDAYS,WEEKDAY(F65,2))="No"</formula>
    </cfRule>
  </conditionalFormatting>
  <conditionalFormatting sqref="G65:G68">
    <cfRule type="expression" priority="142" dxfId="23" stopIfTrue="0">
      <formula>=OR(G65&lt;$C$51,G65&gt;$E$51)</formula>
    </cfRule>
    <cfRule type="expression" priority="143" dxfId="13" stopIfTrue="0">
      <formula>=COUNTIFS(FER_F,G65)&gt;0</formula>
    </cfRule>
    <cfRule type="expression" priority="144" dxfId="24" stopIfTrue="0">
      <formula>=INDEX(CFG_WDAYS,WEEKDAY(G65,2))="No"</formula>
    </cfRule>
  </conditionalFormatting>
  <conditionalFormatting sqref="H65:H68">
    <cfRule type="expression" priority="145" dxfId="23" stopIfTrue="0">
      <formula>=OR(H65&lt;$C$51,H65&gt;$E$51)</formula>
    </cfRule>
    <cfRule type="expression" priority="146" dxfId="13" stopIfTrue="0">
      <formula>=COUNTIFS(FER_F,H65)&gt;0</formula>
    </cfRule>
    <cfRule type="expression" priority="147" dxfId="24" stopIfTrue="0">
      <formula>=INDEX(CFG_WDAYS,WEEKDAY(H65,2))="No"</formula>
    </cfRule>
  </conditionalFormatting>
  <conditionalFormatting sqref="B69:B72">
    <cfRule type="expression" priority="148" dxfId="23" stopIfTrue="0">
      <formula>=OR(B69&lt;$C$51,B69&gt;$E$51)</formula>
    </cfRule>
    <cfRule type="expression" priority="149" dxfId="13" stopIfTrue="0">
      <formula>=COUNTIFS(FER_F,B69)&gt;0</formula>
    </cfRule>
    <cfRule type="expression" priority="150" dxfId="24" stopIfTrue="0">
      <formula>=INDEX(CFG_WDAYS,WEEKDAY(B69,2))="No"</formula>
    </cfRule>
  </conditionalFormatting>
  <conditionalFormatting sqref="C69:C72">
    <cfRule type="expression" priority="151" dxfId="23" stopIfTrue="0">
      <formula>=OR(C69&lt;$C$51,C69&gt;$E$51)</formula>
    </cfRule>
    <cfRule type="expression" priority="152" dxfId="13" stopIfTrue="0">
      <formula>=COUNTIFS(FER_F,C69)&gt;0</formula>
    </cfRule>
    <cfRule type="expression" priority="153" dxfId="24" stopIfTrue="0">
      <formula>=INDEX(CFG_WDAYS,WEEKDAY(C69,2))="No"</formula>
    </cfRule>
  </conditionalFormatting>
  <conditionalFormatting sqref="D69:D72">
    <cfRule type="expression" priority="154" dxfId="23" stopIfTrue="0">
      <formula>=OR(D69&lt;$C$51,D69&gt;$E$51)</formula>
    </cfRule>
    <cfRule type="expression" priority="155" dxfId="13" stopIfTrue="0">
      <formula>=COUNTIFS(FER_F,D69)&gt;0</formula>
    </cfRule>
    <cfRule type="expression" priority="156" dxfId="24" stopIfTrue="0">
      <formula>=INDEX(CFG_WDAYS,WEEKDAY(D69,2))="No"</formula>
    </cfRule>
  </conditionalFormatting>
  <conditionalFormatting sqref="E69:E72">
    <cfRule type="expression" priority="157" dxfId="23" stopIfTrue="0">
      <formula>=OR(E69&lt;$C$51,E69&gt;$E$51)</formula>
    </cfRule>
    <cfRule type="expression" priority="158" dxfId="13" stopIfTrue="0">
      <formula>=COUNTIFS(FER_F,E69)&gt;0</formula>
    </cfRule>
    <cfRule type="expression" priority="159" dxfId="24" stopIfTrue="0">
      <formula>=INDEX(CFG_WDAYS,WEEKDAY(E69,2))="No"</formula>
    </cfRule>
  </conditionalFormatting>
  <conditionalFormatting sqref="F69:F72">
    <cfRule type="expression" priority="160" dxfId="23" stopIfTrue="0">
      <formula>=OR(F69&lt;$C$51,F69&gt;$E$51)</formula>
    </cfRule>
    <cfRule type="expression" priority="161" dxfId="13" stopIfTrue="0">
      <formula>=COUNTIFS(FER_F,F69)&gt;0</formula>
    </cfRule>
    <cfRule type="expression" priority="162" dxfId="24" stopIfTrue="0">
      <formula>=INDEX(CFG_WDAYS,WEEKDAY(F69,2))="No"</formula>
    </cfRule>
  </conditionalFormatting>
  <conditionalFormatting sqref="G69:G72">
    <cfRule type="expression" priority="163" dxfId="23" stopIfTrue="0">
      <formula>=OR(G69&lt;$C$51,G69&gt;$E$51)</formula>
    </cfRule>
    <cfRule type="expression" priority="164" dxfId="13" stopIfTrue="0">
      <formula>=COUNTIFS(FER_F,G69)&gt;0</formula>
    </cfRule>
    <cfRule type="expression" priority="165" dxfId="24" stopIfTrue="0">
      <formula>=INDEX(CFG_WDAYS,WEEKDAY(G69,2))="No"</formula>
    </cfRule>
  </conditionalFormatting>
  <conditionalFormatting sqref="H69:H72">
    <cfRule type="expression" priority="166" dxfId="23" stopIfTrue="0">
      <formula>=OR(H69&lt;$C$51,H69&gt;$E$51)</formula>
    </cfRule>
    <cfRule type="expression" priority="167" dxfId="13" stopIfTrue="0">
      <formula>=COUNTIFS(FER_F,H69)&gt;0</formula>
    </cfRule>
    <cfRule type="expression" priority="168" dxfId="24" stopIfTrue="0">
      <formula>=INDEX(CFG_WDAYS,WEEKDAY(H69,2))="No"</formula>
    </cfRule>
  </conditionalFormatting>
  <conditionalFormatting sqref="B73:B76">
    <cfRule type="expression" priority="169" dxfId="23" stopIfTrue="0">
      <formula>=OR(B73&lt;$C$51,B73&gt;$E$51)</formula>
    </cfRule>
    <cfRule type="expression" priority="170" dxfId="13" stopIfTrue="0">
      <formula>=COUNTIFS(FER_F,B73)&gt;0</formula>
    </cfRule>
    <cfRule type="expression" priority="171" dxfId="24" stopIfTrue="0">
      <formula>=INDEX(CFG_WDAYS,WEEKDAY(B73,2))="No"</formula>
    </cfRule>
  </conditionalFormatting>
  <conditionalFormatting sqref="C73:C76">
    <cfRule type="expression" priority="172" dxfId="23" stopIfTrue="0">
      <formula>=OR(C73&lt;$C$51,C73&gt;$E$51)</formula>
    </cfRule>
    <cfRule type="expression" priority="173" dxfId="13" stopIfTrue="0">
      <formula>=COUNTIFS(FER_F,C73)&gt;0</formula>
    </cfRule>
    <cfRule type="expression" priority="174" dxfId="24" stopIfTrue="0">
      <formula>=INDEX(CFG_WDAYS,WEEKDAY(C73,2))="No"</formula>
    </cfRule>
  </conditionalFormatting>
  <conditionalFormatting sqref="D73:D76">
    <cfRule type="expression" priority="175" dxfId="23" stopIfTrue="0">
      <formula>=OR(D73&lt;$C$51,D73&gt;$E$51)</formula>
    </cfRule>
    <cfRule type="expression" priority="176" dxfId="13" stopIfTrue="0">
      <formula>=COUNTIFS(FER_F,D73)&gt;0</formula>
    </cfRule>
    <cfRule type="expression" priority="177" dxfId="24" stopIfTrue="0">
      <formula>=INDEX(CFG_WDAYS,WEEKDAY(D73,2))="No"</formula>
    </cfRule>
  </conditionalFormatting>
  <conditionalFormatting sqref="E73:E76">
    <cfRule type="expression" priority="178" dxfId="23" stopIfTrue="0">
      <formula>=OR(E73&lt;$C$51,E73&gt;$E$51)</formula>
    </cfRule>
    <cfRule type="expression" priority="179" dxfId="13" stopIfTrue="0">
      <formula>=COUNTIFS(FER_F,E73)&gt;0</formula>
    </cfRule>
    <cfRule type="expression" priority="180" dxfId="24" stopIfTrue="0">
      <formula>=INDEX(CFG_WDAYS,WEEKDAY(E73,2))="No"</formula>
    </cfRule>
  </conditionalFormatting>
  <conditionalFormatting sqref="F73:F76">
    <cfRule type="expression" priority="181" dxfId="23" stopIfTrue="0">
      <formula>=OR(F73&lt;$C$51,F73&gt;$E$51)</formula>
    </cfRule>
    <cfRule type="expression" priority="182" dxfId="13" stopIfTrue="0">
      <formula>=COUNTIFS(FER_F,F73)&gt;0</formula>
    </cfRule>
    <cfRule type="expression" priority="183" dxfId="24" stopIfTrue="0">
      <formula>=INDEX(CFG_WDAYS,WEEKDAY(F73,2))="No"</formula>
    </cfRule>
  </conditionalFormatting>
  <conditionalFormatting sqref="G73:G76">
    <cfRule type="expression" priority="184" dxfId="23" stopIfTrue="0">
      <formula>=OR(G73&lt;$C$51,G73&gt;$E$51)</formula>
    </cfRule>
    <cfRule type="expression" priority="185" dxfId="13" stopIfTrue="0">
      <formula>=COUNTIFS(FER_F,G73)&gt;0</formula>
    </cfRule>
    <cfRule type="expression" priority="186" dxfId="24" stopIfTrue="0">
      <formula>=INDEX(CFG_WDAYS,WEEKDAY(G73,2))="No"</formula>
    </cfRule>
  </conditionalFormatting>
  <conditionalFormatting sqref="H73:H76">
    <cfRule type="expression" priority="187" dxfId="23" stopIfTrue="0">
      <formula>=OR(H73&lt;$C$51,H73&gt;$E$51)</formula>
    </cfRule>
    <cfRule type="expression" priority="188" dxfId="13" stopIfTrue="0">
      <formula>=COUNTIFS(FER_F,H73)&gt;0</formula>
    </cfRule>
    <cfRule type="expression" priority="189" dxfId="24" stopIfTrue="0">
      <formula>=INDEX(CFG_WDAYS,WEEKDAY(H73,2))="No"</formula>
    </cfRule>
  </conditionalFormatting>
  <dataValidations count="2">
    <dataValidation sqref="B3" showDropDown="0" showInputMessage="0" showErrorMessage="0" allowBlank="0" type="list">
      <formula1>=L_SEM</formula1>
    </dataValidation>
    <dataValidation sqref="B51" showDropDown="0" showInputMessage="0" showErrorMessage="0" allowBlank="0" type="list">
      <formula1>=L_MES3</formula1>
    </dataValidation>
  </dataValidations>
  <printOptions horizontalCentered="1"/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F6FDE"/>
    <outlinePr summaryBelow="1" summaryRight="1"/>
    <pageSetUpPr fitToPage="1"/>
  </sheetPr>
  <dimension ref="A1:V159"/>
  <sheetViews>
    <sheetView showGridLines="0" zoomScale="9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6" customWidth="1" min="3" max="3"/>
    <col width="22" customWidth="1" min="4" max="4"/>
    <col width="10" customWidth="1" min="5" max="5"/>
    <col width="10" customWidth="1" min="6" max="6"/>
    <col width="10" customWidth="1" min="7" max="7"/>
    <col width="2" customWidth="1" min="8" max="8"/>
    <col width="18" customWidth="1" min="9" max="9"/>
    <col width="12" customWidth="1" min="10" max="10"/>
    <col width="12" customWidth="1" min="11" max="11"/>
    <col width="10" customWidth="1" min="12" max="12"/>
    <col width="10" customWidth="1" min="13" max="13"/>
    <col width="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2" customWidth="1" min="21" max="21"/>
    <col width="2" customWidth="1" min="22" max="22"/>
  </cols>
  <sheetData>
    <row r="1" ht="34" customHeight="1">
      <c r="A1" s="1" t="n"/>
      <c r="B1" s="2" t="inlineStr">
        <is>
          <t>👤  Control Malcolm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0" customHeight="1">
      <c r="A2" s="1" t="n"/>
      <c r="B2" s="3" t="inlineStr">
        <is>
          <t>Solo horas Malcolm (registros válidos). Sin estados de aprobación.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B4" s="112" t="inlineStr">
        <is>
          <t>Total trimestral</t>
        </is>
      </c>
      <c r="C4" s="113" t="n"/>
      <c r="E4" s="114" t="inlineStr">
        <is>
          <t>Horas normales</t>
        </is>
      </c>
      <c r="F4" s="113" t="n"/>
      <c r="H4" s="115" t="inlineStr">
        <is>
          <t>Horas extras</t>
        </is>
      </c>
      <c r="I4" s="113" t="n"/>
      <c r="K4" s="116" t="inlineStr">
        <is>
          <t>Registros válidos</t>
        </is>
      </c>
      <c r="L4" s="113" t="n"/>
      <c r="N4" s="117" t="inlineStr">
        <is>
          <t>Registros a revisar</t>
        </is>
      </c>
      <c r="O4" s="113" t="n"/>
    </row>
    <row r="5" ht="32" customHeight="1">
      <c r="B5" s="118">
        <f>SUMIFS(R_Hcnt,R_Emp,"Malcolm")</f>
        <v>6.333333</v>
      </c>
      <c r="C5" s="113" t="n"/>
      <c r="E5" s="119">
        <f>SUMIFS(R_NorH,R_Emp,"Malcolm")</f>
        <v>4.333333</v>
      </c>
      <c r="F5" s="113" t="n"/>
      <c r="H5" s="120">
        <f>SUMIFS(R_ExtH,R_Emp,"Malcolm")</f>
        <v>2</v>
      </c>
      <c r="I5" s="113" t="n"/>
      <c r="K5" s="121">
        <f>COUNTIFS(R_Emp,"Malcolm",R_Cnt,1)</f>
        <v>3</v>
      </c>
      <c r="L5" s="113" t="n"/>
      <c r="N5" s="122">
        <f>COUNTIFS(R_Emp,"Malcolm",R_Used,1,R_Valid,0)</f>
        <v>0</v>
      </c>
      <c r="O5" s="113" t="n"/>
    </row>
    <row r="7" ht="22" customHeight="1">
      <c r="B7" s="123" t="inlineStr">
        <is>
          <t>Horas por día</t>
        </is>
      </c>
      <c r="C7" s="124" t="n"/>
      <c r="D7" s="124" t="n"/>
      <c r="E7" s="124" t="n"/>
      <c r="F7" s="124" t="n"/>
      <c r="G7" s="124" t="n"/>
      <c r="I7" s="123" t="inlineStr">
        <is>
          <t>Horas por mes</t>
        </is>
      </c>
      <c r="J7" s="124" t="n"/>
      <c r="K7" s="124" t="n"/>
      <c r="L7" s="124" t="n"/>
      <c r="M7" s="124" t="n"/>
      <c r="O7" s="123" t="inlineStr">
        <is>
          <t>Horas por ticket / Task ID</t>
        </is>
      </c>
      <c r="P7" s="124" t="n"/>
      <c r="Q7" s="124" t="n"/>
      <c r="R7" s="124" t="n"/>
      <c r="S7" s="124" t="n"/>
      <c r="T7" s="124" t="n"/>
    </row>
    <row r="8" ht="32" customHeight="1">
      <c r="B8" s="125" t="inlineStr">
        <is>
          <t>Fecha</t>
        </is>
      </c>
      <c r="C8" s="125" t="inlineStr">
        <is>
          <t>Día</t>
        </is>
      </c>
      <c r="D8" s="125" t="inlineStr">
        <is>
          <t>Tipo de día</t>
        </is>
      </c>
      <c r="E8" s="125" t="inlineStr">
        <is>
          <t>Horas</t>
        </is>
      </c>
      <c r="F8" s="125" t="inlineStr">
        <is>
          <t>Normales</t>
        </is>
      </c>
      <c r="G8" s="125" t="inlineStr">
        <is>
          <t>Extras</t>
        </is>
      </c>
      <c r="I8" s="125" t="inlineStr">
        <is>
          <t>Mes</t>
        </is>
      </c>
      <c r="J8" s="125" t="inlineStr">
        <is>
          <t>Horas</t>
        </is>
      </c>
      <c r="K8" s="125" t="inlineStr">
        <is>
          <t>Normales</t>
        </is>
      </c>
      <c r="L8" s="125" t="inlineStr">
        <is>
          <t>Extras</t>
        </is>
      </c>
      <c r="M8" s="125" t="inlineStr">
        <is>
          <t>Registros</t>
        </is>
      </c>
      <c r="O8" s="125" t="inlineStr">
        <is>
          <t>Task ID</t>
        </is>
      </c>
      <c r="P8" s="125" t="inlineStr">
        <is>
          <t>Proyecto</t>
        </is>
      </c>
      <c r="Q8" s="125" t="inlineStr">
        <is>
          <t>Horas</t>
        </is>
      </c>
      <c r="R8" s="125" t="inlineStr">
        <is>
          <t>Normales</t>
        </is>
      </c>
      <c r="S8" s="125" t="inlineStr">
        <is>
          <t>Extras</t>
        </is>
      </c>
      <c r="T8" s="125" t="inlineStr">
        <is>
          <t>Registros</t>
        </is>
      </c>
    </row>
    <row r="9">
      <c r="B9" s="126" t="n">
        <v>46296</v>
      </c>
      <c r="C9" s="127" t="str">
        <f>CHOOSE(WEEKDAY(B9,2),"Lun","Mar","Mié","Jue","Vie","Sáb","Dom")</f>
        <v>Jue</v>
      </c>
      <c r="D9" s="128" t="str">
        <f>IF(COUNTIFS(FER_F,B9,FER_NLM,"Sí")&gt;0,"Feriado no laborable",IF(COUNTIFS(FER_F,B9)&gt;0,"Feriado laborable",IF(INDEX(CFG_WDAYS,WEEKDAY(B9,2))="Sí","Laborable","Fin de semana / no laborable")))</f>
        <v>Laborable</v>
      </c>
      <c r="E9" s="127">
        <f>SUMIFS(R_HD0,R_Emp,"Malcolm",R_Fecha,$B9)+SUMIFS(R_HD1,R_Emp,"Malcolm",R_D1,$B9)</f>
        <v>0</v>
      </c>
      <c r="F9" s="127">
        <f>SUMIFS(R_ND0,R_Emp,"Malcolm",R_Fecha,$B9)+SUMIFS(R_ND1,R_Emp,"Malcolm",R_D1,$B9)</f>
        <v>0</v>
      </c>
      <c r="G9" s="127">
        <f>SUMIFS(R_XD0,R_Emp,"Malcolm",R_Fecha,$B9)+SUMIFS(R_XD1,R_Emp,"Malcolm",R_D1,$B9)</f>
        <v>0</v>
      </c>
      <c r="I9" s="13" t="inlineStr">
        <is>
          <t>Octubre 2026</t>
        </is>
      </c>
      <c r="J9" s="14">
        <f>SUMIFS(E$9:E$100,$B$9:$B$100,"&gt;="&amp;DATE(2026,10,1),$B$9:$B$100,"&lt;="&amp;DATE(2026,10,31))</f>
        <v>6.333333</v>
      </c>
      <c r="K9" s="14">
        <f>SUMIFS(F$9:F$100,$B$9:$B$100,"&gt;="&amp;DATE(2026,10,1),$B$9:$B$100,"&lt;="&amp;DATE(2026,10,31))</f>
        <v>4.333333</v>
      </c>
      <c r="L9" s="14">
        <f>SUMIFS(G$9:G$100,$B$9:$B$100,"&gt;="&amp;DATE(2026,10,1),$B$9:$B$100,"&lt;="&amp;DATE(2026,10,31))</f>
        <v>2</v>
      </c>
      <c r="M9" s="129">
        <f>COUNTIFS(R_Emp,"Malcolm",R_Cnt,1,R_Fecha,"&gt;="&amp;DATE(2026,10,1),R_Fecha,"&lt;="&amp;DATE(2026,10,31))</f>
        <v>3</v>
      </c>
      <c r="O9" s="130" t="str">
        <f>IFERROR(INDEX(R_Task,MATCH(1,R_TSeqM,0))&amp;"","")</f>
        <v>PCF-101</v>
      </c>
      <c r="P9" s="130" t="str">
        <f>IFERROR(INDEX(R_Proy,MATCH(1,R_TSeqM,0))&amp;"","")</f>
        <v>PCF</v>
      </c>
      <c r="Q9" s="14">
        <f>IF(O9="","",SUMIFS(R_Hcnt,R_Emp,"Malcolm",R_Task,INDEX(R_Task,MATCH(1,R_TSeqM,0))))</f>
        <v>3</v>
      </c>
      <c r="R9" s="14">
        <f>IF(O9="","",SUMIFS(R_NorH,R_Emp,"Malcolm",R_Task,INDEX(R_Task,MATCH(1,R_TSeqM,0))))</f>
        <v>3</v>
      </c>
      <c r="S9" s="14">
        <f>IF(O9="","",SUMIFS(R_ExtH,R_Emp,"Malcolm",R_Task,INDEX(R_Task,MATCH(1,R_TSeqM,0))))</f>
        <v>0</v>
      </c>
      <c r="T9" s="129">
        <f>IF(O9="","",COUNTIFS(R_Emp,"Malcolm",R_Cnt,1,R_Task,INDEX(R_Task,MATCH(1,R_TSeqM,0))))</f>
        <v>1</v>
      </c>
    </row>
    <row r="10">
      <c r="B10" s="126" t="n">
        <v>46297</v>
      </c>
      <c r="C10" s="127" t="str">
        <f>CHOOSE(WEEKDAY(B10,2),"Lun","Mar","Mié","Jue","Vie","Sáb","Dom")</f>
        <v>Vie</v>
      </c>
      <c r="D10" s="128" t="str">
        <f>IF(COUNTIFS(FER_F,B10,FER_NLM,"Sí")&gt;0,"Feriado no laborable",IF(COUNTIFS(FER_F,B10)&gt;0,"Feriado laborable",IF(INDEX(CFG_WDAYS,WEEKDAY(B10,2))="Sí","Laborable","Fin de semana / no laborable")))</f>
        <v>Laborable</v>
      </c>
      <c r="E10" s="127">
        <f>SUMIFS(R_HD0,R_Emp,"Malcolm",R_Fecha,$B10)+SUMIFS(R_HD1,R_Emp,"Malcolm",R_D1,$B10)</f>
        <v>0</v>
      </c>
      <c r="F10" s="127">
        <f>SUMIFS(R_ND0,R_Emp,"Malcolm",R_Fecha,$B10)+SUMIFS(R_ND1,R_Emp,"Malcolm",R_D1,$B10)</f>
        <v>0</v>
      </c>
      <c r="G10" s="127">
        <f>SUMIFS(R_XD0,R_Emp,"Malcolm",R_Fecha,$B10)+SUMIFS(R_XD1,R_Emp,"Malcolm",R_D1,$B10)</f>
        <v>0</v>
      </c>
      <c r="I10" s="13" t="inlineStr">
        <is>
          <t>Noviembre 2026</t>
        </is>
      </c>
      <c r="J10" s="14">
        <f>SUMIFS(E$9:E$100,$B$9:$B$100,"&gt;="&amp;DATE(2026,11,1),$B$9:$B$100,"&lt;="&amp;DATE(2026,11,30))</f>
        <v>0</v>
      </c>
      <c r="K10" s="14">
        <f>SUMIFS(F$9:F$100,$B$9:$B$100,"&gt;="&amp;DATE(2026,11,1),$B$9:$B$100,"&lt;="&amp;DATE(2026,11,30))</f>
        <v>0</v>
      </c>
      <c r="L10" s="14">
        <f>SUMIFS(G$9:G$100,$B$9:$B$100,"&gt;="&amp;DATE(2026,11,1),$B$9:$B$100,"&lt;="&amp;DATE(2026,11,30))</f>
        <v>0</v>
      </c>
      <c r="M10" s="129">
        <f>COUNTIFS(R_Emp,"Malcolm",R_Cnt,1,R_Fecha,"&gt;="&amp;DATE(2026,11,1),R_Fecha,"&lt;="&amp;DATE(2026,11,30))</f>
        <v>0</v>
      </c>
      <c r="O10" s="130" t="str">
        <f>IFERROR(INDEX(R_Task,MATCH(2,R_TSeqM,0))&amp;"","")</f>
        <v>PCF-102</v>
      </c>
      <c r="P10" s="130" t="str">
        <f>IFERROR(INDEX(R_Proy,MATCH(2,R_TSeqM,0))&amp;"","")</f>
        <v>PCF</v>
      </c>
      <c r="Q10" s="14">
        <f>IF(O10="","",SUMIFS(R_Hcnt,R_Emp,"Malcolm",R_Task,INDEX(R_Task,MATCH(2,R_TSeqM,0))))</f>
        <v>1.333333</v>
      </c>
      <c r="R10" s="14">
        <f>IF(O10="","",SUMIFS(R_NorH,R_Emp,"Malcolm",R_Task,INDEX(R_Task,MATCH(2,R_TSeqM,0))))</f>
        <v>1.333333</v>
      </c>
      <c r="S10" s="14">
        <f>IF(O10="","",SUMIFS(R_ExtH,R_Emp,"Malcolm",R_Task,INDEX(R_Task,MATCH(2,R_TSeqM,0))))</f>
        <v>0</v>
      </c>
      <c r="T10" s="129">
        <f>IF(O10="","",COUNTIFS(R_Emp,"Malcolm",R_Cnt,1,R_Task,INDEX(R_Task,MATCH(2,R_TSeqM,0))))</f>
        <v>1</v>
      </c>
    </row>
    <row r="11">
      <c r="B11" s="126" t="n">
        <v>46298</v>
      </c>
      <c r="C11" s="127" t="str">
        <f>CHOOSE(WEEKDAY(B11,2),"Lun","Mar","Mié","Jue","Vie","Sáb","Dom")</f>
        <v>Sáb</v>
      </c>
      <c r="D11" s="128" t="str">
        <f>IF(COUNTIFS(FER_F,B11,FER_NLM,"Sí")&gt;0,"Feriado no laborable",IF(COUNTIFS(FER_F,B11)&gt;0,"Feriado laborable",IF(INDEX(CFG_WDAYS,WEEKDAY(B11,2))="Sí","Laborable","Fin de semana / no laborable")))</f>
        <v>Fin de semana / no laborable</v>
      </c>
      <c r="E11" s="127">
        <f>SUMIFS(R_HD0,R_Emp,"Malcolm",R_Fecha,$B11)+SUMIFS(R_HD1,R_Emp,"Malcolm",R_D1,$B11)</f>
        <v>0</v>
      </c>
      <c r="F11" s="127">
        <f>SUMIFS(R_ND0,R_Emp,"Malcolm",R_Fecha,$B11)+SUMIFS(R_ND1,R_Emp,"Malcolm",R_D1,$B11)</f>
        <v>0</v>
      </c>
      <c r="G11" s="127">
        <f>SUMIFS(R_XD0,R_Emp,"Malcolm",R_Fecha,$B11)+SUMIFS(R_XD1,R_Emp,"Malcolm",R_D1,$B11)</f>
        <v>0</v>
      </c>
      <c r="I11" s="13" t="inlineStr">
        <is>
          <t>Diciembre 2026</t>
        </is>
      </c>
      <c r="J11" s="14">
        <f>SUMIFS(E$9:E$100,$B$9:$B$100,"&gt;="&amp;DATE(2026,12,1),$B$9:$B$100,"&lt;="&amp;DATE(2026,12,31))</f>
        <v>0</v>
      </c>
      <c r="K11" s="14">
        <f>SUMIFS(F$9:F$100,$B$9:$B$100,"&gt;="&amp;DATE(2026,12,1),$B$9:$B$100,"&lt;="&amp;DATE(2026,12,31))</f>
        <v>0</v>
      </c>
      <c r="L11" s="14">
        <f>SUMIFS(G$9:G$100,$B$9:$B$100,"&gt;="&amp;DATE(2026,12,1),$B$9:$B$100,"&lt;="&amp;DATE(2026,12,31))</f>
        <v>0</v>
      </c>
      <c r="M11" s="129">
        <f>COUNTIFS(R_Emp,"Malcolm",R_Cnt,1,R_Fecha,"&gt;="&amp;DATE(2026,12,1),R_Fecha,"&lt;="&amp;DATE(2026,12,31))</f>
        <v>0</v>
      </c>
      <c r="O11" s="130" t="str">
        <f>IFERROR(INDEX(R_Task,MATCH(3,R_TSeqM,0))&amp;"","")</f>
        <v>PCF-103</v>
      </c>
      <c r="P11" s="130" t="str">
        <f>IFERROR(INDEX(R_Proy,MATCH(3,R_TSeqM,0))&amp;"","")</f>
        <v>PCF</v>
      </c>
      <c r="Q11" s="14">
        <f>IF(O11="","",SUMIFS(R_Hcnt,R_Emp,"Malcolm",R_Task,INDEX(R_Task,MATCH(3,R_TSeqM,0))))</f>
        <v>2</v>
      </c>
      <c r="R11" s="14">
        <f>IF(O11="","",SUMIFS(R_NorH,R_Emp,"Malcolm",R_Task,INDEX(R_Task,MATCH(3,R_TSeqM,0))))</f>
        <v>0</v>
      </c>
      <c r="S11" s="14">
        <f>IF(O11="","",SUMIFS(R_ExtH,R_Emp,"Malcolm",R_Task,INDEX(R_Task,MATCH(3,R_TSeqM,0))))</f>
        <v>2</v>
      </c>
      <c r="T11" s="129">
        <f>IF(O11="","",COUNTIFS(R_Emp,"Malcolm",R_Cnt,1,R_Task,INDEX(R_Task,MATCH(3,R_TSeqM,0))))</f>
        <v>1</v>
      </c>
    </row>
    <row r="12">
      <c r="B12" s="126" t="n">
        <v>46299</v>
      </c>
      <c r="C12" s="127" t="str">
        <f>CHOOSE(WEEKDAY(B12,2),"Lun","Mar","Mié","Jue","Vie","Sáb","Dom")</f>
        <v>Dom</v>
      </c>
      <c r="D12" s="128" t="str">
        <f>IF(COUNTIFS(FER_F,B12,FER_NLM,"Sí")&gt;0,"Feriado no laborable",IF(COUNTIFS(FER_F,B12)&gt;0,"Feriado laborable",IF(INDEX(CFG_WDAYS,WEEKDAY(B12,2))="Sí","Laborable","Fin de semana / no laborable")))</f>
        <v>Fin de semana / no laborable</v>
      </c>
      <c r="E12" s="127">
        <f>SUMIFS(R_HD0,R_Emp,"Malcolm",R_Fecha,$B12)+SUMIFS(R_HD1,R_Emp,"Malcolm",R_D1,$B12)</f>
        <v>0</v>
      </c>
      <c r="F12" s="127">
        <f>SUMIFS(R_ND0,R_Emp,"Malcolm",R_Fecha,$B12)+SUMIFS(R_ND1,R_Emp,"Malcolm",R_D1,$B12)</f>
        <v>0</v>
      </c>
      <c r="G12" s="127">
        <f>SUMIFS(R_XD0,R_Emp,"Malcolm",R_Fecha,$B12)+SUMIFS(R_XD1,R_Emp,"Malcolm",R_D1,$B12)</f>
        <v>0</v>
      </c>
      <c r="I12" s="131" t="inlineStr">
        <is>
          <t>TOTAL TRIMESTRE</t>
        </is>
      </c>
      <c r="J12" s="132">
        <f>SUM(J9:J11)</f>
        <v>6.333333</v>
      </c>
      <c r="K12" s="132">
        <f>SUM(K9:K11)</f>
        <v>4.333333</v>
      </c>
      <c r="L12" s="132">
        <f>SUM(L9:L11)</f>
        <v>2</v>
      </c>
      <c r="M12" s="133">
        <f>SUM(M9:M11)</f>
        <v>3</v>
      </c>
      <c r="O12" s="130" t="str">
        <f>IFERROR(INDEX(R_Task,MATCH(4,R_TSeqM,0))&amp;"","")</f>
        <v/>
      </c>
      <c r="P12" s="130" t="str">
        <f>IFERROR(INDEX(R_Proy,MATCH(4,R_TSeqM,0))&amp;"","")</f>
        <v/>
      </c>
      <c r="Q12" s="14" t="str">
        <f>IF(O12="","",SUMIFS(R_Hcnt,R_Emp,"Malcolm",R_Task,INDEX(R_Task,MATCH(4,R_TSeqM,0))))</f>
        <v/>
      </c>
      <c r="R12" s="14" t="str">
        <f>IF(O12="","",SUMIFS(R_NorH,R_Emp,"Malcolm",R_Task,INDEX(R_Task,MATCH(4,R_TSeqM,0))))</f>
        <v/>
      </c>
      <c r="S12" s="14" t="str">
        <f>IF(O12="","",SUMIFS(R_ExtH,R_Emp,"Malcolm",R_Task,INDEX(R_Task,MATCH(4,R_TSeqM,0))))</f>
        <v/>
      </c>
      <c r="T12" s="129" t="str">
        <f>IF(O12="","",COUNTIFS(R_Emp,"Malcolm",R_Cnt,1,R_Task,INDEX(R_Task,MATCH(4,R_TSeqM,0))))</f>
        <v/>
      </c>
    </row>
    <row r="13">
      <c r="B13" s="126" t="n">
        <v>46300</v>
      </c>
      <c r="C13" s="127" t="str">
        <f>CHOOSE(WEEKDAY(B13,2),"Lun","Mar","Mié","Jue","Vie","Sáb","Dom")</f>
        <v>Lun</v>
      </c>
      <c r="D13" s="128" t="str">
        <f>IF(COUNTIFS(FER_F,B13,FER_NLM,"Sí")&gt;0,"Feriado no laborable",IF(COUNTIFS(FER_F,B13)&gt;0,"Feriado laborable",IF(INDEX(CFG_WDAYS,WEEKDAY(B13,2))="Sí","Laborable","Fin de semana / no laborable")))</f>
        <v>Laborable</v>
      </c>
      <c r="E13" s="127">
        <f>SUMIFS(R_HD0,R_Emp,"Malcolm",R_Fecha,$B13)+SUMIFS(R_HD1,R_Emp,"Malcolm",R_D1,$B13)</f>
        <v>6.333333</v>
      </c>
      <c r="F13" s="127">
        <f>SUMIFS(R_ND0,R_Emp,"Malcolm",R_Fecha,$B13)+SUMIFS(R_ND1,R_Emp,"Malcolm",R_D1,$B13)</f>
        <v>4.333333</v>
      </c>
      <c r="G13" s="127">
        <f>SUMIFS(R_XD0,R_Emp,"Malcolm",R_Fecha,$B13)+SUMIFS(R_XD1,R_Emp,"Malcolm",R_D1,$B13)</f>
        <v>2</v>
      </c>
      <c r="O13" s="130" t="str">
        <f>IFERROR(INDEX(R_Task,MATCH(5,R_TSeqM,0))&amp;"","")</f>
        <v/>
      </c>
      <c r="P13" s="130" t="str">
        <f>IFERROR(INDEX(R_Proy,MATCH(5,R_TSeqM,0))&amp;"","")</f>
        <v/>
      </c>
      <c r="Q13" s="14" t="str">
        <f>IF(O13="","",SUMIFS(R_Hcnt,R_Emp,"Malcolm",R_Task,INDEX(R_Task,MATCH(5,R_TSeqM,0))))</f>
        <v/>
      </c>
      <c r="R13" s="14" t="str">
        <f>IF(O13="","",SUMIFS(R_NorH,R_Emp,"Malcolm",R_Task,INDEX(R_Task,MATCH(5,R_TSeqM,0))))</f>
        <v/>
      </c>
      <c r="S13" s="14" t="str">
        <f>IF(O13="","",SUMIFS(R_ExtH,R_Emp,"Malcolm",R_Task,INDEX(R_Task,MATCH(5,R_TSeqM,0))))</f>
        <v/>
      </c>
      <c r="T13" s="129" t="str">
        <f>IF(O13="","",COUNTIFS(R_Emp,"Malcolm",R_Cnt,1,R_Task,INDEX(R_Task,MATCH(5,R_TSeqM,0))))</f>
        <v/>
      </c>
    </row>
    <row r="14" ht="22" customHeight="1">
      <c r="B14" s="126" t="n">
        <v>46301</v>
      </c>
      <c r="C14" s="127" t="str">
        <f>CHOOSE(WEEKDAY(B14,2),"Lun","Mar","Mié","Jue","Vie","Sáb","Dom")</f>
        <v>Mar</v>
      </c>
      <c r="D14" s="128" t="str">
        <f>IF(COUNTIFS(FER_F,B14,FER_NLM,"Sí")&gt;0,"Feriado no laborable",IF(COUNTIFS(FER_F,B14)&gt;0,"Feriado laborable",IF(INDEX(CFG_WDAYS,WEEKDAY(B14,2))="Sí","Laborable","Fin de semana / no laborable")))</f>
        <v>Laborable</v>
      </c>
      <c r="E14" s="127">
        <f>SUMIFS(R_HD0,R_Emp,"Malcolm",R_Fecha,$B14)+SUMIFS(R_HD1,R_Emp,"Malcolm",R_D1,$B14)</f>
        <v>0</v>
      </c>
      <c r="F14" s="127">
        <f>SUMIFS(R_ND0,R_Emp,"Malcolm",R_Fecha,$B14)+SUMIFS(R_ND1,R_Emp,"Malcolm",R_D1,$B14)</f>
        <v>0</v>
      </c>
      <c r="G14" s="127">
        <f>SUMIFS(R_XD0,R_Emp,"Malcolm",R_Fecha,$B14)+SUMIFS(R_XD1,R_Emp,"Malcolm",R_D1,$B14)</f>
        <v>0</v>
      </c>
      <c r="I14" s="123" t="inlineStr">
        <is>
          <t>Horas por semana (lunes a domingo)</t>
        </is>
      </c>
      <c r="J14" s="124" t="n"/>
      <c r="K14" s="124" t="n"/>
      <c r="L14" s="124" t="n"/>
      <c r="M14" s="124" t="n"/>
      <c r="O14" s="130" t="str">
        <f>IFERROR(INDEX(R_Task,MATCH(6,R_TSeqM,0))&amp;"","")</f>
        <v/>
      </c>
      <c r="P14" s="130" t="str">
        <f>IFERROR(INDEX(R_Proy,MATCH(6,R_TSeqM,0))&amp;"","")</f>
        <v/>
      </c>
      <c r="Q14" s="14" t="str">
        <f>IF(O14="","",SUMIFS(R_Hcnt,R_Emp,"Malcolm",R_Task,INDEX(R_Task,MATCH(6,R_TSeqM,0))))</f>
        <v/>
      </c>
      <c r="R14" s="14" t="str">
        <f>IF(O14="","",SUMIFS(R_NorH,R_Emp,"Malcolm",R_Task,INDEX(R_Task,MATCH(6,R_TSeqM,0))))</f>
        <v/>
      </c>
      <c r="S14" s="14" t="str">
        <f>IF(O14="","",SUMIFS(R_ExtH,R_Emp,"Malcolm",R_Task,INDEX(R_Task,MATCH(6,R_TSeqM,0))))</f>
        <v/>
      </c>
      <c r="T14" s="129" t="str">
        <f>IF(O14="","",COUNTIFS(R_Emp,"Malcolm",R_Cnt,1,R_Task,INDEX(R_Task,MATCH(6,R_TSeqM,0))))</f>
        <v/>
      </c>
    </row>
    <row r="15" ht="32" customHeight="1">
      <c r="B15" s="126" t="n">
        <v>46302</v>
      </c>
      <c r="C15" s="127" t="str">
        <f>CHOOSE(WEEKDAY(B15,2),"Lun","Mar","Mié","Jue","Vie","Sáb","Dom")</f>
        <v>Mié</v>
      </c>
      <c r="D15" s="128" t="str">
        <f>IF(COUNTIFS(FER_F,B15,FER_NLM,"Sí")&gt;0,"Feriado no laborable",IF(COUNTIFS(FER_F,B15)&gt;0,"Feriado laborable",IF(INDEX(CFG_WDAYS,WEEKDAY(B15,2))="Sí","Laborable","Fin de semana / no laborable")))</f>
        <v>Laborable</v>
      </c>
      <c r="E15" s="127">
        <f>SUMIFS(R_HD0,R_Emp,"Malcolm",R_Fecha,$B15)+SUMIFS(R_HD1,R_Emp,"Malcolm",R_D1,$B15)</f>
        <v>0</v>
      </c>
      <c r="F15" s="127">
        <f>SUMIFS(R_ND0,R_Emp,"Malcolm",R_Fecha,$B15)+SUMIFS(R_ND1,R_Emp,"Malcolm",R_D1,$B15)</f>
        <v>0</v>
      </c>
      <c r="G15" s="127">
        <f>SUMIFS(R_XD0,R_Emp,"Malcolm",R_Fecha,$B15)+SUMIFS(R_XD1,R_Emp,"Malcolm",R_D1,$B15)</f>
        <v>0</v>
      </c>
      <c r="I15" s="125" t="inlineStr">
        <is>
          <t>Semana (lunes)</t>
        </is>
      </c>
      <c r="J15" s="125" t="inlineStr">
        <is>
          <t>Hasta (domingo)</t>
        </is>
      </c>
      <c r="K15" s="125" t="inlineStr">
        <is>
          <t>Horas</t>
        </is>
      </c>
      <c r="L15" s="125" t="inlineStr">
        <is>
          <t>Normales</t>
        </is>
      </c>
      <c r="M15" s="125" t="inlineStr">
        <is>
          <t>Extras</t>
        </is>
      </c>
      <c r="O15" s="130" t="str">
        <f>IFERROR(INDEX(R_Task,MATCH(7,R_TSeqM,0))&amp;"","")</f>
        <v/>
      </c>
      <c r="P15" s="130" t="str">
        <f>IFERROR(INDEX(R_Proy,MATCH(7,R_TSeqM,0))&amp;"","")</f>
        <v/>
      </c>
      <c r="Q15" s="14" t="str">
        <f>IF(O15="","",SUMIFS(R_Hcnt,R_Emp,"Malcolm",R_Task,INDEX(R_Task,MATCH(7,R_TSeqM,0))))</f>
        <v/>
      </c>
      <c r="R15" s="14" t="str">
        <f>IF(O15="","",SUMIFS(R_NorH,R_Emp,"Malcolm",R_Task,INDEX(R_Task,MATCH(7,R_TSeqM,0))))</f>
        <v/>
      </c>
      <c r="S15" s="14" t="str">
        <f>IF(O15="","",SUMIFS(R_ExtH,R_Emp,"Malcolm",R_Task,INDEX(R_Task,MATCH(7,R_TSeqM,0))))</f>
        <v/>
      </c>
      <c r="T15" s="129" t="str">
        <f>IF(O15="","",COUNTIFS(R_Emp,"Malcolm",R_Cnt,1,R_Task,INDEX(R_Task,MATCH(7,R_TSeqM,0))))</f>
        <v/>
      </c>
    </row>
    <row r="16">
      <c r="B16" s="126" t="n">
        <v>46303</v>
      </c>
      <c r="C16" s="127" t="str">
        <f>CHOOSE(WEEKDAY(B16,2),"Lun","Mar","Mié","Jue","Vie","Sáb","Dom")</f>
        <v>Jue</v>
      </c>
      <c r="D16" s="128" t="str">
        <f>IF(COUNTIFS(FER_F,B16,FER_NLM,"Sí")&gt;0,"Feriado no laborable",IF(COUNTIFS(FER_F,B16)&gt;0,"Feriado laborable",IF(INDEX(CFG_WDAYS,WEEKDAY(B16,2))="Sí","Laborable","Fin de semana / no laborable")))</f>
        <v>Laborable</v>
      </c>
      <c r="E16" s="127">
        <f>SUMIFS(R_HD0,R_Emp,"Malcolm",R_Fecha,$B16)+SUMIFS(R_HD1,R_Emp,"Malcolm",R_D1,$B16)</f>
        <v>0</v>
      </c>
      <c r="F16" s="127">
        <f>SUMIFS(R_ND0,R_Emp,"Malcolm",R_Fecha,$B16)+SUMIFS(R_ND1,R_Emp,"Malcolm",R_D1,$B16)</f>
        <v>0</v>
      </c>
      <c r="G16" s="127">
        <f>SUMIFS(R_XD0,R_Emp,"Malcolm",R_Fecha,$B16)+SUMIFS(R_XD1,R_Emp,"Malcolm",R_D1,$B16)</f>
        <v>0</v>
      </c>
      <c r="I16" s="134" t="n">
        <v>46293</v>
      </c>
      <c r="J16" s="134">
        <f>I16+6</f>
        <v>46299.0</v>
      </c>
      <c r="K16" s="14">
        <f>SUMIFS(E$9:E$100,$B$9:$B$100,"&gt;="&amp;$I16,$B$9:$B$100,"&lt;="&amp;$J16)</f>
        <v>0</v>
      </c>
      <c r="L16" s="14">
        <f>SUMIFS(F$9:F$100,$B$9:$B$100,"&gt;="&amp;$I16,$B$9:$B$100,"&lt;="&amp;$J16)</f>
        <v>0</v>
      </c>
      <c r="M16" s="14">
        <f>SUMIFS(G$9:G$100,$B$9:$B$100,"&gt;="&amp;$I16,$B$9:$B$100,"&lt;="&amp;$J16)</f>
        <v>0</v>
      </c>
      <c r="O16" s="130" t="str">
        <f>IFERROR(INDEX(R_Task,MATCH(8,R_TSeqM,0))&amp;"","")</f>
        <v/>
      </c>
      <c r="P16" s="130" t="str">
        <f>IFERROR(INDEX(R_Proy,MATCH(8,R_TSeqM,0))&amp;"","")</f>
        <v/>
      </c>
      <c r="Q16" s="14" t="str">
        <f>IF(O16="","",SUMIFS(R_Hcnt,R_Emp,"Malcolm",R_Task,INDEX(R_Task,MATCH(8,R_TSeqM,0))))</f>
        <v/>
      </c>
      <c r="R16" s="14" t="str">
        <f>IF(O16="","",SUMIFS(R_NorH,R_Emp,"Malcolm",R_Task,INDEX(R_Task,MATCH(8,R_TSeqM,0))))</f>
        <v/>
      </c>
      <c r="S16" s="14" t="str">
        <f>IF(O16="","",SUMIFS(R_ExtH,R_Emp,"Malcolm",R_Task,INDEX(R_Task,MATCH(8,R_TSeqM,0))))</f>
        <v/>
      </c>
      <c r="T16" s="129" t="str">
        <f>IF(O16="","",COUNTIFS(R_Emp,"Malcolm",R_Cnt,1,R_Task,INDEX(R_Task,MATCH(8,R_TSeqM,0))))</f>
        <v/>
      </c>
    </row>
    <row r="17">
      <c r="B17" s="126" t="n">
        <v>46304</v>
      </c>
      <c r="C17" s="127" t="str">
        <f>CHOOSE(WEEKDAY(B17,2),"Lun","Mar","Mié","Jue","Vie","Sáb","Dom")</f>
        <v>Vie</v>
      </c>
      <c r="D17" s="128" t="str">
        <f>IF(COUNTIFS(FER_F,B17,FER_NLM,"Sí")&gt;0,"Feriado no laborable",IF(COUNTIFS(FER_F,B17)&gt;0,"Feriado laborable",IF(INDEX(CFG_WDAYS,WEEKDAY(B17,2))="Sí","Laborable","Fin de semana / no laborable")))</f>
        <v>Laborable</v>
      </c>
      <c r="E17" s="127">
        <f>SUMIFS(R_HD0,R_Emp,"Malcolm",R_Fecha,$B17)+SUMIFS(R_HD1,R_Emp,"Malcolm",R_D1,$B17)</f>
        <v>0</v>
      </c>
      <c r="F17" s="127">
        <f>SUMIFS(R_ND0,R_Emp,"Malcolm",R_Fecha,$B17)+SUMIFS(R_ND1,R_Emp,"Malcolm",R_D1,$B17)</f>
        <v>0</v>
      </c>
      <c r="G17" s="127">
        <f>SUMIFS(R_XD0,R_Emp,"Malcolm",R_Fecha,$B17)+SUMIFS(R_XD1,R_Emp,"Malcolm",R_D1,$B17)</f>
        <v>0</v>
      </c>
      <c r="I17" s="134" t="n">
        <v>46300</v>
      </c>
      <c r="J17" s="134">
        <f>I17+6</f>
        <v>46306.0</v>
      </c>
      <c r="K17" s="14">
        <f>SUMIFS(E$9:E$100,$B$9:$B$100,"&gt;="&amp;$I17,$B$9:$B$100,"&lt;="&amp;$J17)</f>
        <v>6.333333</v>
      </c>
      <c r="L17" s="14">
        <f>SUMIFS(F$9:F$100,$B$9:$B$100,"&gt;="&amp;$I17,$B$9:$B$100,"&lt;="&amp;$J17)</f>
        <v>4.333333</v>
      </c>
      <c r="M17" s="14">
        <f>SUMIFS(G$9:G$100,$B$9:$B$100,"&gt;="&amp;$I17,$B$9:$B$100,"&lt;="&amp;$J17)</f>
        <v>2</v>
      </c>
      <c r="O17" s="130" t="str">
        <f>IFERROR(INDEX(R_Task,MATCH(9,R_TSeqM,0))&amp;"","")</f>
        <v/>
      </c>
      <c r="P17" s="130" t="str">
        <f>IFERROR(INDEX(R_Proy,MATCH(9,R_TSeqM,0))&amp;"","")</f>
        <v/>
      </c>
      <c r="Q17" s="14" t="str">
        <f>IF(O17="","",SUMIFS(R_Hcnt,R_Emp,"Malcolm",R_Task,INDEX(R_Task,MATCH(9,R_TSeqM,0))))</f>
        <v/>
      </c>
      <c r="R17" s="14" t="str">
        <f>IF(O17="","",SUMIFS(R_NorH,R_Emp,"Malcolm",R_Task,INDEX(R_Task,MATCH(9,R_TSeqM,0))))</f>
        <v/>
      </c>
      <c r="S17" s="14" t="str">
        <f>IF(O17="","",SUMIFS(R_ExtH,R_Emp,"Malcolm",R_Task,INDEX(R_Task,MATCH(9,R_TSeqM,0))))</f>
        <v/>
      </c>
      <c r="T17" s="129" t="str">
        <f>IF(O17="","",COUNTIFS(R_Emp,"Malcolm",R_Cnt,1,R_Task,INDEX(R_Task,MATCH(9,R_TSeqM,0))))</f>
        <v/>
      </c>
    </row>
    <row r="18">
      <c r="B18" s="126" t="n">
        <v>46305</v>
      </c>
      <c r="C18" s="127" t="str">
        <f>CHOOSE(WEEKDAY(B18,2),"Lun","Mar","Mié","Jue","Vie","Sáb","Dom")</f>
        <v>Sáb</v>
      </c>
      <c r="D18" s="128" t="str">
        <f>IF(COUNTIFS(FER_F,B18,FER_NLM,"Sí")&gt;0,"Feriado no laborable",IF(COUNTIFS(FER_F,B18)&gt;0,"Feriado laborable",IF(INDEX(CFG_WDAYS,WEEKDAY(B18,2))="Sí","Laborable","Fin de semana / no laborable")))</f>
        <v>Fin de semana / no laborable</v>
      </c>
      <c r="E18" s="127">
        <f>SUMIFS(R_HD0,R_Emp,"Malcolm",R_Fecha,$B18)+SUMIFS(R_HD1,R_Emp,"Malcolm",R_D1,$B18)</f>
        <v>0</v>
      </c>
      <c r="F18" s="127">
        <f>SUMIFS(R_ND0,R_Emp,"Malcolm",R_Fecha,$B18)+SUMIFS(R_ND1,R_Emp,"Malcolm",R_D1,$B18)</f>
        <v>0</v>
      </c>
      <c r="G18" s="127">
        <f>SUMIFS(R_XD0,R_Emp,"Malcolm",R_Fecha,$B18)+SUMIFS(R_XD1,R_Emp,"Malcolm",R_D1,$B18)</f>
        <v>0</v>
      </c>
      <c r="I18" s="134" t="n">
        <v>46307</v>
      </c>
      <c r="J18" s="134">
        <f>I18+6</f>
        <v>46313.0</v>
      </c>
      <c r="K18" s="14">
        <f>SUMIFS(E$9:E$100,$B$9:$B$100,"&gt;="&amp;$I18,$B$9:$B$100,"&lt;="&amp;$J18)</f>
        <v>0</v>
      </c>
      <c r="L18" s="14">
        <f>SUMIFS(F$9:F$100,$B$9:$B$100,"&gt;="&amp;$I18,$B$9:$B$100,"&lt;="&amp;$J18)</f>
        <v>0</v>
      </c>
      <c r="M18" s="14">
        <f>SUMIFS(G$9:G$100,$B$9:$B$100,"&gt;="&amp;$I18,$B$9:$B$100,"&lt;="&amp;$J18)</f>
        <v>0</v>
      </c>
      <c r="O18" s="130" t="str">
        <f>IFERROR(INDEX(R_Task,MATCH(10,R_TSeqM,0))&amp;"","")</f>
        <v/>
      </c>
      <c r="P18" s="130" t="str">
        <f>IFERROR(INDEX(R_Proy,MATCH(10,R_TSeqM,0))&amp;"","")</f>
        <v/>
      </c>
      <c r="Q18" s="14" t="str">
        <f>IF(O18="","",SUMIFS(R_Hcnt,R_Emp,"Malcolm",R_Task,INDEX(R_Task,MATCH(10,R_TSeqM,0))))</f>
        <v/>
      </c>
      <c r="R18" s="14" t="str">
        <f>IF(O18="","",SUMIFS(R_NorH,R_Emp,"Malcolm",R_Task,INDEX(R_Task,MATCH(10,R_TSeqM,0))))</f>
        <v/>
      </c>
      <c r="S18" s="14" t="str">
        <f>IF(O18="","",SUMIFS(R_ExtH,R_Emp,"Malcolm",R_Task,INDEX(R_Task,MATCH(10,R_TSeqM,0))))</f>
        <v/>
      </c>
      <c r="T18" s="129" t="str">
        <f>IF(O18="","",COUNTIFS(R_Emp,"Malcolm",R_Cnt,1,R_Task,INDEX(R_Task,MATCH(10,R_TSeqM,0))))</f>
        <v/>
      </c>
    </row>
    <row r="19">
      <c r="B19" s="126" t="n">
        <v>46306</v>
      </c>
      <c r="C19" s="127" t="str">
        <f>CHOOSE(WEEKDAY(B19,2),"Lun","Mar","Mié","Jue","Vie","Sáb","Dom")</f>
        <v>Dom</v>
      </c>
      <c r="D19" s="128" t="str">
        <f>IF(COUNTIFS(FER_F,B19,FER_NLM,"Sí")&gt;0,"Feriado no laborable",IF(COUNTIFS(FER_F,B19)&gt;0,"Feriado laborable",IF(INDEX(CFG_WDAYS,WEEKDAY(B19,2))="Sí","Laborable","Fin de semana / no laborable")))</f>
        <v>Fin de semana / no laborable</v>
      </c>
      <c r="E19" s="127">
        <f>SUMIFS(R_HD0,R_Emp,"Malcolm",R_Fecha,$B19)+SUMIFS(R_HD1,R_Emp,"Malcolm",R_D1,$B19)</f>
        <v>0</v>
      </c>
      <c r="F19" s="127">
        <f>SUMIFS(R_ND0,R_Emp,"Malcolm",R_Fecha,$B19)+SUMIFS(R_ND1,R_Emp,"Malcolm",R_D1,$B19)</f>
        <v>0</v>
      </c>
      <c r="G19" s="127">
        <f>SUMIFS(R_XD0,R_Emp,"Malcolm",R_Fecha,$B19)+SUMIFS(R_XD1,R_Emp,"Malcolm",R_D1,$B19)</f>
        <v>0</v>
      </c>
      <c r="I19" s="134" t="n">
        <v>46314</v>
      </c>
      <c r="J19" s="134">
        <f>I19+6</f>
        <v>46320.0</v>
      </c>
      <c r="K19" s="14">
        <f>SUMIFS(E$9:E$100,$B$9:$B$100,"&gt;="&amp;$I19,$B$9:$B$100,"&lt;="&amp;$J19)</f>
        <v>0</v>
      </c>
      <c r="L19" s="14">
        <f>SUMIFS(F$9:F$100,$B$9:$B$100,"&gt;="&amp;$I19,$B$9:$B$100,"&lt;="&amp;$J19)</f>
        <v>0</v>
      </c>
      <c r="M19" s="14">
        <f>SUMIFS(G$9:G$100,$B$9:$B$100,"&gt;="&amp;$I19,$B$9:$B$100,"&lt;="&amp;$J19)</f>
        <v>0</v>
      </c>
      <c r="O19" s="130" t="str">
        <f>IFERROR(INDEX(R_Task,MATCH(11,R_TSeqM,0))&amp;"","")</f>
        <v/>
      </c>
      <c r="P19" s="130" t="str">
        <f>IFERROR(INDEX(R_Proy,MATCH(11,R_TSeqM,0))&amp;"","")</f>
        <v/>
      </c>
      <c r="Q19" s="14" t="str">
        <f>IF(O19="","",SUMIFS(R_Hcnt,R_Emp,"Malcolm",R_Task,INDEX(R_Task,MATCH(11,R_TSeqM,0))))</f>
        <v/>
      </c>
      <c r="R19" s="14" t="str">
        <f>IF(O19="","",SUMIFS(R_NorH,R_Emp,"Malcolm",R_Task,INDEX(R_Task,MATCH(11,R_TSeqM,0))))</f>
        <v/>
      </c>
      <c r="S19" s="14" t="str">
        <f>IF(O19="","",SUMIFS(R_ExtH,R_Emp,"Malcolm",R_Task,INDEX(R_Task,MATCH(11,R_TSeqM,0))))</f>
        <v/>
      </c>
      <c r="T19" s="129" t="str">
        <f>IF(O19="","",COUNTIFS(R_Emp,"Malcolm",R_Cnt,1,R_Task,INDEX(R_Task,MATCH(11,R_TSeqM,0))))</f>
        <v/>
      </c>
    </row>
    <row r="20">
      <c r="B20" s="126" t="n">
        <v>46307</v>
      </c>
      <c r="C20" s="127" t="str">
        <f>CHOOSE(WEEKDAY(B20,2),"Lun","Mar","Mié","Jue","Vie","Sáb","Dom")</f>
        <v>Lun</v>
      </c>
      <c r="D20" s="128" t="str">
        <f>IF(COUNTIFS(FER_F,B20,FER_NLM,"Sí")&gt;0,"Feriado no laborable",IF(COUNTIFS(FER_F,B20)&gt;0,"Feriado laborable",IF(INDEX(CFG_WDAYS,WEEKDAY(B20,2))="Sí","Laborable","Fin de semana / no laborable")))</f>
        <v>Feriado no laborable</v>
      </c>
      <c r="E20" s="127">
        <f>SUMIFS(R_HD0,R_Emp,"Malcolm",R_Fecha,$B20)+SUMIFS(R_HD1,R_Emp,"Malcolm",R_D1,$B20)</f>
        <v>0</v>
      </c>
      <c r="F20" s="127">
        <f>SUMIFS(R_ND0,R_Emp,"Malcolm",R_Fecha,$B20)+SUMIFS(R_ND1,R_Emp,"Malcolm",R_D1,$B20)</f>
        <v>0</v>
      </c>
      <c r="G20" s="127">
        <f>SUMIFS(R_XD0,R_Emp,"Malcolm",R_Fecha,$B20)+SUMIFS(R_XD1,R_Emp,"Malcolm",R_D1,$B20)</f>
        <v>0</v>
      </c>
      <c r="I20" s="134" t="n">
        <v>46321</v>
      </c>
      <c r="J20" s="134">
        <f>I20+6</f>
        <v>46327.0</v>
      </c>
      <c r="K20" s="14">
        <f>SUMIFS(E$9:E$100,$B$9:$B$100,"&gt;="&amp;$I20,$B$9:$B$100,"&lt;="&amp;$J20)</f>
        <v>0</v>
      </c>
      <c r="L20" s="14">
        <f>SUMIFS(F$9:F$100,$B$9:$B$100,"&gt;="&amp;$I20,$B$9:$B$100,"&lt;="&amp;$J20)</f>
        <v>0</v>
      </c>
      <c r="M20" s="14">
        <f>SUMIFS(G$9:G$100,$B$9:$B$100,"&gt;="&amp;$I20,$B$9:$B$100,"&lt;="&amp;$J20)</f>
        <v>0</v>
      </c>
      <c r="O20" s="130" t="str">
        <f>IFERROR(INDEX(R_Task,MATCH(12,R_TSeqM,0))&amp;"","")</f>
        <v/>
      </c>
      <c r="P20" s="130" t="str">
        <f>IFERROR(INDEX(R_Proy,MATCH(12,R_TSeqM,0))&amp;"","")</f>
        <v/>
      </c>
      <c r="Q20" s="14" t="str">
        <f>IF(O20="","",SUMIFS(R_Hcnt,R_Emp,"Malcolm",R_Task,INDEX(R_Task,MATCH(12,R_TSeqM,0))))</f>
        <v/>
      </c>
      <c r="R20" s="14" t="str">
        <f>IF(O20="","",SUMIFS(R_NorH,R_Emp,"Malcolm",R_Task,INDEX(R_Task,MATCH(12,R_TSeqM,0))))</f>
        <v/>
      </c>
      <c r="S20" s="14" t="str">
        <f>IF(O20="","",SUMIFS(R_ExtH,R_Emp,"Malcolm",R_Task,INDEX(R_Task,MATCH(12,R_TSeqM,0))))</f>
        <v/>
      </c>
      <c r="T20" s="129" t="str">
        <f>IF(O20="","",COUNTIFS(R_Emp,"Malcolm",R_Cnt,1,R_Task,INDEX(R_Task,MATCH(12,R_TSeqM,0))))</f>
        <v/>
      </c>
    </row>
    <row r="21">
      <c r="B21" s="126" t="n">
        <v>46308</v>
      </c>
      <c r="C21" s="127" t="str">
        <f>CHOOSE(WEEKDAY(B21,2),"Lun","Mar","Mié","Jue","Vie","Sáb","Dom")</f>
        <v>Mar</v>
      </c>
      <c r="D21" s="128" t="str">
        <f>IF(COUNTIFS(FER_F,B21,FER_NLM,"Sí")&gt;0,"Feriado no laborable",IF(COUNTIFS(FER_F,B21)&gt;0,"Feriado laborable",IF(INDEX(CFG_WDAYS,WEEKDAY(B21,2))="Sí","Laborable","Fin de semana / no laborable")))</f>
        <v>Laborable</v>
      </c>
      <c r="E21" s="127">
        <f>SUMIFS(R_HD0,R_Emp,"Malcolm",R_Fecha,$B21)+SUMIFS(R_HD1,R_Emp,"Malcolm",R_D1,$B21)</f>
        <v>0</v>
      </c>
      <c r="F21" s="127">
        <f>SUMIFS(R_ND0,R_Emp,"Malcolm",R_Fecha,$B21)+SUMIFS(R_ND1,R_Emp,"Malcolm",R_D1,$B21)</f>
        <v>0</v>
      </c>
      <c r="G21" s="127">
        <f>SUMIFS(R_XD0,R_Emp,"Malcolm",R_Fecha,$B21)+SUMIFS(R_XD1,R_Emp,"Malcolm",R_D1,$B21)</f>
        <v>0</v>
      </c>
      <c r="I21" s="134" t="n">
        <v>46328</v>
      </c>
      <c r="J21" s="134">
        <f>I21+6</f>
        <v>46334.0</v>
      </c>
      <c r="K21" s="14">
        <f>SUMIFS(E$9:E$100,$B$9:$B$100,"&gt;="&amp;$I21,$B$9:$B$100,"&lt;="&amp;$J21)</f>
        <v>0</v>
      </c>
      <c r="L21" s="14">
        <f>SUMIFS(F$9:F$100,$B$9:$B$100,"&gt;="&amp;$I21,$B$9:$B$100,"&lt;="&amp;$J21)</f>
        <v>0</v>
      </c>
      <c r="M21" s="14">
        <f>SUMIFS(G$9:G$100,$B$9:$B$100,"&gt;="&amp;$I21,$B$9:$B$100,"&lt;="&amp;$J21)</f>
        <v>0</v>
      </c>
      <c r="O21" s="130" t="str">
        <f>IFERROR(INDEX(R_Task,MATCH(13,R_TSeqM,0))&amp;"","")</f>
        <v/>
      </c>
      <c r="P21" s="130" t="str">
        <f>IFERROR(INDEX(R_Proy,MATCH(13,R_TSeqM,0))&amp;"","")</f>
        <v/>
      </c>
      <c r="Q21" s="14" t="str">
        <f>IF(O21="","",SUMIFS(R_Hcnt,R_Emp,"Malcolm",R_Task,INDEX(R_Task,MATCH(13,R_TSeqM,0))))</f>
        <v/>
      </c>
      <c r="R21" s="14" t="str">
        <f>IF(O21="","",SUMIFS(R_NorH,R_Emp,"Malcolm",R_Task,INDEX(R_Task,MATCH(13,R_TSeqM,0))))</f>
        <v/>
      </c>
      <c r="S21" s="14" t="str">
        <f>IF(O21="","",SUMIFS(R_ExtH,R_Emp,"Malcolm",R_Task,INDEX(R_Task,MATCH(13,R_TSeqM,0))))</f>
        <v/>
      </c>
      <c r="T21" s="129" t="str">
        <f>IF(O21="","",COUNTIFS(R_Emp,"Malcolm",R_Cnt,1,R_Task,INDEX(R_Task,MATCH(13,R_TSeqM,0))))</f>
        <v/>
      </c>
    </row>
    <row r="22">
      <c r="B22" s="126" t="n">
        <v>46309</v>
      </c>
      <c r="C22" s="127" t="str">
        <f>CHOOSE(WEEKDAY(B22,2),"Lun","Mar","Mié","Jue","Vie","Sáb","Dom")</f>
        <v>Mié</v>
      </c>
      <c r="D22" s="128" t="str">
        <f>IF(COUNTIFS(FER_F,B22,FER_NLM,"Sí")&gt;0,"Feriado no laborable",IF(COUNTIFS(FER_F,B22)&gt;0,"Feriado laborable",IF(INDEX(CFG_WDAYS,WEEKDAY(B22,2))="Sí","Laborable","Fin de semana / no laborable")))</f>
        <v>Laborable</v>
      </c>
      <c r="E22" s="127">
        <f>SUMIFS(R_HD0,R_Emp,"Malcolm",R_Fecha,$B22)+SUMIFS(R_HD1,R_Emp,"Malcolm",R_D1,$B22)</f>
        <v>0</v>
      </c>
      <c r="F22" s="127">
        <f>SUMIFS(R_ND0,R_Emp,"Malcolm",R_Fecha,$B22)+SUMIFS(R_ND1,R_Emp,"Malcolm",R_D1,$B22)</f>
        <v>0</v>
      </c>
      <c r="G22" s="127">
        <f>SUMIFS(R_XD0,R_Emp,"Malcolm",R_Fecha,$B22)+SUMIFS(R_XD1,R_Emp,"Malcolm",R_D1,$B22)</f>
        <v>0</v>
      </c>
      <c r="I22" s="134" t="n">
        <v>46335</v>
      </c>
      <c r="J22" s="134">
        <f>I22+6</f>
        <v>46341.0</v>
      </c>
      <c r="K22" s="14">
        <f>SUMIFS(E$9:E$100,$B$9:$B$100,"&gt;="&amp;$I22,$B$9:$B$100,"&lt;="&amp;$J22)</f>
        <v>0</v>
      </c>
      <c r="L22" s="14">
        <f>SUMIFS(F$9:F$100,$B$9:$B$100,"&gt;="&amp;$I22,$B$9:$B$100,"&lt;="&amp;$J22)</f>
        <v>0</v>
      </c>
      <c r="M22" s="14">
        <f>SUMIFS(G$9:G$100,$B$9:$B$100,"&gt;="&amp;$I22,$B$9:$B$100,"&lt;="&amp;$J22)</f>
        <v>0</v>
      </c>
      <c r="O22" s="130" t="str">
        <f>IFERROR(INDEX(R_Task,MATCH(14,R_TSeqM,0))&amp;"","")</f>
        <v/>
      </c>
      <c r="P22" s="130" t="str">
        <f>IFERROR(INDEX(R_Proy,MATCH(14,R_TSeqM,0))&amp;"","")</f>
        <v/>
      </c>
      <c r="Q22" s="14" t="str">
        <f>IF(O22="","",SUMIFS(R_Hcnt,R_Emp,"Malcolm",R_Task,INDEX(R_Task,MATCH(14,R_TSeqM,0))))</f>
        <v/>
      </c>
      <c r="R22" s="14" t="str">
        <f>IF(O22="","",SUMIFS(R_NorH,R_Emp,"Malcolm",R_Task,INDEX(R_Task,MATCH(14,R_TSeqM,0))))</f>
        <v/>
      </c>
      <c r="S22" s="14" t="str">
        <f>IF(O22="","",SUMIFS(R_ExtH,R_Emp,"Malcolm",R_Task,INDEX(R_Task,MATCH(14,R_TSeqM,0))))</f>
        <v/>
      </c>
      <c r="T22" s="129" t="str">
        <f>IF(O22="","",COUNTIFS(R_Emp,"Malcolm",R_Cnt,1,R_Task,INDEX(R_Task,MATCH(14,R_TSeqM,0))))</f>
        <v/>
      </c>
    </row>
    <row r="23">
      <c r="B23" s="126" t="n">
        <v>46310</v>
      </c>
      <c r="C23" s="127" t="str">
        <f>CHOOSE(WEEKDAY(B23,2),"Lun","Mar","Mié","Jue","Vie","Sáb","Dom")</f>
        <v>Jue</v>
      </c>
      <c r="D23" s="128" t="str">
        <f>IF(COUNTIFS(FER_F,B23,FER_NLM,"Sí")&gt;0,"Feriado no laborable",IF(COUNTIFS(FER_F,B23)&gt;0,"Feriado laborable",IF(INDEX(CFG_WDAYS,WEEKDAY(B23,2))="Sí","Laborable","Fin de semana / no laborable")))</f>
        <v>Laborable</v>
      </c>
      <c r="E23" s="127">
        <f>SUMIFS(R_HD0,R_Emp,"Malcolm",R_Fecha,$B23)+SUMIFS(R_HD1,R_Emp,"Malcolm",R_D1,$B23)</f>
        <v>0</v>
      </c>
      <c r="F23" s="127">
        <f>SUMIFS(R_ND0,R_Emp,"Malcolm",R_Fecha,$B23)+SUMIFS(R_ND1,R_Emp,"Malcolm",R_D1,$B23)</f>
        <v>0</v>
      </c>
      <c r="G23" s="127">
        <f>SUMIFS(R_XD0,R_Emp,"Malcolm",R_Fecha,$B23)+SUMIFS(R_XD1,R_Emp,"Malcolm",R_D1,$B23)</f>
        <v>0</v>
      </c>
      <c r="I23" s="134" t="n">
        <v>46342</v>
      </c>
      <c r="J23" s="134">
        <f>I23+6</f>
        <v>46348.0</v>
      </c>
      <c r="K23" s="14">
        <f>SUMIFS(E$9:E$100,$B$9:$B$100,"&gt;="&amp;$I23,$B$9:$B$100,"&lt;="&amp;$J23)</f>
        <v>0</v>
      </c>
      <c r="L23" s="14">
        <f>SUMIFS(F$9:F$100,$B$9:$B$100,"&gt;="&amp;$I23,$B$9:$B$100,"&lt;="&amp;$J23)</f>
        <v>0</v>
      </c>
      <c r="M23" s="14">
        <f>SUMIFS(G$9:G$100,$B$9:$B$100,"&gt;="&amp;$I23,$B$9:$B$100,"&lt;="&amp;$J23)</f>
        <v>0</v>
      </c>
      <c r="O23" s="130" t="str">
        <f>IFERROR(INDEX(R_Task,MATCH(15,R_TSeqM,0))&amp;"","")</f>
        <v/>
      </c>
      <c r="P23" s="130" t="str">
        <f>IFERROR(INDEX(R_Proy,MATCH(15,R_TSeqM,0))&amp;"","")</f>
        <v/>
      </c>
      <c r="Q23" s="14" t="str">
        <f>IF(O23="","",SUMIFS(R_Hcnt,R_Emp,"Malcolm",R_Task,INDEX(R_Task,MATCH(15,R_TSeqM,0))))</f>
        <v/>
      </c>
      <c r="R23" s="14" t="str">
        <f>IF(O23="","",SUMIFS(R_NorH,R_Emp,"Malcolm",R_Task,INDEX(R_Task,MATCH(15,R_TSeqM,0))))</f>
        <v/>
      </c>
      <c r="S23" s="14" t="str">
        <f>IF(O23="","",SUMIFS(R_ExtH,R_Emp,"Malcolm",R_Task,INDEX(R_Task,MATCH(15,R_TSeqM,0))))</f>
        <v/>
      </c>
      <c r="T23" s="129" t="str">
        <f>IF(O23="","",COUNTIFS(R_Emp,"Malcolm",R_Cnt,1,R_Task,INDEX(R_Task,MATCH(15,R_TSeqM,0))))</f>
        <v/>
      </c>
    </row>
    <row r="24">
      <c r="B24" s="126" t="n">
        <v>46311</v>
      </c>
      <c r="C24" s="127" t="str">
        <f>CHOOSE(WEEKDAY(B24,2),"Lun","Mar","Mié","Jue","Vie","Sáb","Dom")</f>
        <v>Vie</v>
      </c>
      <c r="D24" s="128" t="str">
        <f>IF(COUNTIFS(FER_F,B24,FER_NLM,"Sí")&gt;0,"Feriado no laborable",IF(COUNTIFS(FER_F,B24)&gt;0,"Feriado laborable",IF(INDEX(CFG_WDAYS,WEEKDAY(B24,2))="Sí","Laborable","Fin de semana / no laborable")))</f>
        <v>Laborable</v>
      </c>
      <c r="E24" s="127">
        <f>SUMIFS(R_HD0,R_Emp,"Malcolm",R_Fecha,$B24)+SUMIFS(R_HD1,R_Emp,"Malcolm",R_D1,$B24)</f>
        <v>0</v>
      </c>
      <c r="F24" s="127">
        <f>SUMIFS(R_ND0,R_Emp,"Malcolm",R_Fecha,$B24)+SUMIFS(R_ND1,R_Emp,"Malcolm",R_D1,$B24)</f>
        <v>0</v>
      </c>
      <c r="G24" s="127">
        <f>SUMIFS(R_XD0,R_Emp,"Malcolm",R_Fecha,$B24)+SUMIFS(R_XD1,R_Emp,"Malcolm",R_D1,$B24)</f>
        <v>0</v>
      </c>
      <c r="I24" s="134" t="n">
        <v>46349</v>
      </c>
      <c r="J24" s="134">
        <f>I24+6</f>
        <v>46355.0</v>
      </c>
      <c r="K24" s="14">
        <f>SUMIFS(E$9:E$100,$B$9:$B$100,"&gt;="&amp;$I24,$B$9:$B$100,"&lt;="&amp;$J24)</f>
        <v>0</v>
      </c>
      <c r="L24" s="14">
        <f>SUMIFS(F$9:F$100,$B$9:$B$100,"&gt;="&amp;$I24,$B$9:$B$100,"&lt;="&amp;$J24)</f>
        <v>0</v>
      </c>
      <c r="M24" s="14">
        <f>SUMIFS(G$9:G$100,$B$9:$B$100,"&gt;="&amp;$I24,$B$9:$B$100,"&lt;="&amp;$J24)</f>
        <v>0</v>
      </c>
      <c r="O24" s="130" t="str">
        <f>IFERROR(INDEX(R_Task,MATCH(16,R_TSeqM,0))&amp;"","")</f>
        <v/>
      </c>
      <c r="P24" s="130" t="str">
        <f>IFERROR(INDEX(R_Proy,MATCH(16,R_TSeqM,0))&amp;"","")</f>
        <v/>
      </c>
      <c r="Q24" s="14" t="str">
        <f>IF(O24="","",SUMIFS(R_Hcnt,R_Emp,"Malcolm",R_Task,INDEX(R_Task,MATCH(16,R_TSeqM,0))))</f>
        <v/>
      </c>
      <c r="R24" s="14" t="str">
        <f>IF(O24="","",SUMIFS(R_NorH,R_Emp,"Malcolm",R_Task,INDEX(R_Task,MATCH(16,R_TSeqM,0))))</f>
        <v/>
      </c>
      <c r="S24" s="14" t="str">
        <f>IF(O24="","",SUMIFS(R_ExtH,R_Emp,"Malcolm",R_Task,INDEX(R_Task,MATCH(16,R_TSeqM,0))))</f>
        <v/>
      </c>
      <c r="T24" s="129" t="str">
        <f>IF(O24="","",COUNTIFS(R_Emp,"Malcolm",R_Cnt,1,R_Task,INDEX(R_Task,MATCH(16,R_TSeqM,0))))</f>
        <v/>
      </c>
    </row>
    <row r="25">
      <c r="B25" s="126" t="n">
        <v>46312</v>
      </c>
      <c r="C25" s="127" t="str">
        <f>CHOOSE(WEEKDAY(B25,2),"Lun","Mar","Mié","Jue","Vie","Sáb","Dom")</f>
        <v>Sáb</v>
      </c>
      <c r="D25" s="128" t="str">
        <f>IF(COUNTIFS(FER_F,B25,FER_NLM,"Sí")&gt;0,"Feriado no laborable",IF(COUNTIFS(FER_F,B25)&gt;0,"Feriado laborable",IF(INDEX(CFG_WDAYS,WEEKDAY(B25,2))="Sí","Laborable","Fin de semana / no laborable")))</f>
        <v>Fin de semana / no laborable</v>
      </c>
      <c r="E25" s="127">
        <f>SUMIFS(R_HD0,R_Emp,"Malcolm",R_Fecha,$B25)+SUMIFS(R_HD1,R_Emp,"Malcolm",R_D1,$B25)</f>
        <v>0</v>
      </c>
      <c r="F25" s="127">
        <f>SUMIFS(R_ND0,R_Emp,"Malcolm",R_Fecha,$B25)+SUMIFS(R_ND1,R_Emp,"Malcolm",R_D1,$B25)</f>
        <v>0</v>
      </c>
      <c r="G25" s="127">
        <f>SUMIFS(R_XD0,R_Emp,"Malcolm",R_Fecha,$B25)+SUMIFS(R_XD1,R_Emp,"Malcolm",R_D1,$B25)</f>
        <v>0</v>
      </c>
      <c r="I25" s="134" t="n">
        <v>46356</v>
      </c>
      <c r="J25" s="134">
        <f>I25+6</f>
        <v>46362.0</v>
      </c>
      <c r="K25" s="14">
        <f>SUMIFS(E$9:E$100,$B$9:$B$100,"&gt;="&amp;$I25,$B$9:$B$100,"&lt;="&amp;$J25)</f>
        <v>0</v>
      </c>
      <c r="L25" s="14">
        <f>SUMIFS(F$9:F$100,$B$9:$B$100,"&gt;="&amp;$I25,$B$9:$B$100,"&lt;="&amp;$J25)</f>
        <v>0</v>
      </c>
      <c r="M25" s="14">
        <f>SUMIFS(G$9:G$100,$B$9:$B$100,"&gt;="&amp;$I25,$B$9:$B$100,"&lt;="&amp;$J25)</f>
        <v>0</v>
      </c>
      <c r="O25" s="130" t="str">
        <f>IFERROR(INDEX(R_Task,MATCH(17,R_TSeqM,0))&amp;"","")</f>
        <v/>
      </c>
      <c r="P25" s="130" t="str">
        <f>IFERROR(INDEX(R_Proy,MATCH(17,R_TSeqM,0))&amp;"","")</f>
        <v/>
      </c>
      <c r="Q25" s="14" t="str">
        <f>IF(O25="","",SUMIFS(R_Hcnt,R_Emp,"Malcolm",R_Task,INDEX(R_Task,MATCH(17,R_TSeqM,0))))</f>
        <v/>
      </c>
      <c r="R25" s="14" t="str">
        <f>IF(O25="","",SUMIFS(R_NorH,R_Emp,"Malcolm",R_Task,INDEX(R_Task,MATCH(17,R_TSeqM,0))))</f>
        <v/>
      </c>
      <c r="S25" s="14" t="str">
        <f>IF(O25="","",SUMIFS(R_ExtH,R_Emp,"Malcolm",R_Task,INDEX(R_Task,MATCH(17,R_TSeqM,0))))</f>
        <v/>
      </c>
      <c r="T25" s="129" t="str">
        <f>IF(O25="","",COUNTIFS(R_Emp,"Malcolm",R_Cnt,1,R_Task,INDEX(R_Task,MATCH(17,R_TSeqM,0))))</f>
        <v/>
      </c>
    </row>
    <row r="26">
      <c r="B26" s="126" t="n">
        <v>46313</v>
      </c>
      <c r="C26" s="127" t="str">
        <f>CHOOSE(WEEKDAY(B26,2),"Lun","Mar","Mié","Jue","Vie","Sáb","Dom")</f>
        <v>Dom</v>
      </c>
      <c r="D26" s="128" t="str">
        <f>IF(COUNTIFS(FER_F,B26,FER_NLM,"Sí")&gt;0,"Feriado no laborable",IF(COUNTIFS(FER_F,B26)&gt;0,"Feriado laborable",IF(INDEX(CFG_WDAYS,WEEKDAY(B26,2))="Sí","Laborable","Fin de semana / no laborable")))</f>
        <v>Fin de semana / no laborable</v>
      </c>
      <c r="E26" s="127">
        <f>SUMIFS(R_HD0,R_Emp,"Malcolm",R_Fecha,$B26)+SUMIFS(R_HD1,R_Emp,"Malcolm",R_D1,$B26)</f>
        <v>0</v>
      </c>
      <c r="F26" s="127">
        <f>SUMIFS(R_ND0,R_Emp,"Malcolm",R_Fecha,$B26)+SUMIFS(R_ND1,R_Emp,"Malcolm",R_D1,$B26)</f>
        <v>0</v>
      </c>
      <c r="G26" s="127">
        <f>SUMIFS(R_XD0,R_Emp,"Malcolm",R_Fecha,$B26)+SUMIFS(R_XD1,R_Emp,"Malcolm",R_D1,$B26)</f>
        <v>0</v>
      </c>
      <c r="I26" s="134" t="n">
        <v>46363</v>
      </c>
      <c r="J26" s="134">
        <f>I26+6</f>
        <v>46369.0</v>
      </c>
      <c r="K26" s="14">
        <f>SUMIFS(E$9:E$100,$B$9:$B$100,"&gt;="&amp;$I26,$B$9:$B$100,"&lt;="&amp;$J26)</f>
        <v>0</v>
      </c>
      <c r="L26" s="14">
        <f>SUMIFS(F$9:F$100,$B$9:$B$100,"&gt;="&amp;$I26,$B$9:$B$100,"&lt;="&amp;$J26)</f>
        <v>0</v>
      </c>
      <c r="M26" s="14">
        <f>SUMIFS(G$9:G$100,$B$9:$B$100,"&gt;="&amp;$I26,$B$9:$B$100,"&lt;="&amp;$J26)</f>
        <v>0</v>
      </c>
      <c r="O26" s="130" t="str">
        <f>IFERROR(INDEX(R_Task,MATCH(18,R_TSeqM,0))&amp;"","")</f>
        <v/>
      </c>
      <c r="P26" s="130" t="str">
        <f>IFERROR(INDEX(R_Proy,MATCH(18,R_TSeqM,0))&amp;"","")</f>
        <v/>
      </c>
      <c r="Q26" s="14" t="str">
        <f>IF(O26="","",SUMIFS(R_Hcnt,R_Emp,"Malcolm",R_Task,INDEX(R_Task,MATCH(18,R_TSeqM,0))))</f>
        <v/>
      </c>
      <c r="R26" s="14" t="str">
        <f>IF(O26="","",SUMIFS(R_NorH,R_Emp,"Malcolm",R_Task,INDEX(R_Task,MATCH(18,R_TSeqM,0))))</f>
        <v/>
      </c>
      <c r="S26" s="14" t="str">
        <f>IF(O26="","",SUMIFS(R_ExtH,R_Emp,"Malcolm",R_Task,INDEX(R_Task,MATCH(18,R_TSeqM,0))))</f>
        <v/>
      </c>
      <c r="T26" s="129" t="str">
        <f>IF(O26="","",COUNTIFS(R_Emp,"Malcolm",R_Cnt,1,R_Task,INDEX(R_Task,MATCH(18,R_TSeqM,0))))</f>
        <v/>
      </c>
    </row>
    <row r="27">
      <c r="B27" s="126" t="n">
        <v>46314</v>
      </c>
      <c r="C27" s="127" t="str">
        <f>CHOOSE(WEEKDAY(B27,2),"Lun","Mar","Mié","Jue","Vie","Sáb","Dom")</f>
        <v>Lun</v>
      </c>
      <c r="D27" s="128" t="str">
        <f>IF(COUNTIFS(FER_F,B27,FER_NLM,"Sí")&gt;0,"Feriado no laborable",IF(COUNTIFS(FER_F,B27)&gt;0,"Feriado laborable",IF(INDEX(CFG_WDAYS,WEEKDAY(B27,2))="Sí","Laborable","Fin de semana / no laborable")))</f>
        <v>Laborable</v>
      </c>
      <c r="E27" s="127">
        <f>SUMIFS(R_HD0,R_Emp,"Malcolm",R_Fecha,$B27)+SUMIFS(R_HD1,R_Emp,"Malcolm",R_D1,$B27)</f>
        <v>0</v>
      </c>
      <c r="F27" s="127">
        <f>SUMIFS(R_ND0,R_Emp,"Malcolm",R_Fecha,$B27)+SUMIFS(R_ND1,R_Emp,"Malcolm",R_D1,$B27)</f>
        <v>0</v>
      </c>
      <c r="G27" s="127">
        <f>SUMIFS(R_XD0,R_Emp,"Malcolm",R_Fecha,$B27)+SUMIFS(R_XD1,R_Emp,"Malcolm",R_D1,$B27)</f>
        <v>0</v>
      </c>
      <c r="I27" s="134" t="n">
        <v>46370</v>
      </c>
      <c r="J27" s="134">
        <f>I27+6</f>
        <v>46376.0</v>
      </c>
      <c r="K27" s="14">
        <f>SUMIFS(E$9:E$100,$B$9:$B$100,"&gt;="&amp;$I27,$B$9:$B$100,"&lt;="&amp;$J27)</f>
        <v>0</v>
      </c>
      <c r="L27" s="14">
        <f>SUMIFS(F$9:F$100,$B$9:$B$100,"&gt;="&amp;$I27,$B$9:$B$100,"&lt;="&amp;$J27)</f>
        <v>0</v>
      </c>
      <c r="M27" s="14">
        <f>SUMIFS(G$9:G$100,$B$9:$B$100,"&gt;="&amp;$I27,$B$9:$B$100,"&lt;="&amp;$J27)</f>
        <v>0</v>
      </c>
      <c r="O27" s="130" t="str">
        <f>IFERROR(INDEX(R_Task,MATCH(19,R_TSeqM,0))&amp;"","")</f>
        <v/>
      </c>
      <c r="P27" s="130" t="str">
        <f>IFERROR(INDEX(R_Proy,MATCH(19,R_TSeqM,0))&amp;"","")</f>
        <v/>
      </c>
      <c r="Q27" s="14" t="str">
        <f>IF(O27="","",SUMIFS(R_Hcnt,R_Emp,"Malcolm",R_Task,INDEX(R_Task,MATCH(19,R_TSeqM,0))))</f>
        <v/>
      </c>
      <c r="R27" s="14" t="str">
        <f>IF(O27="","",SUMIFS(R_NorH,R_Emp,"Malcolm",R_Task,INDEX(R_Task,MATCH(19,R_TSeqM,0))))</f>
        <v/>
      </c>
      <c r="S27" s="14" t="str">
        <f>IF(O27="","",SUMIFS(R_ExtH,R_Emp,"Malcolm",R_Task,INDEX(R_Task,MATCH(19,R_TSeqM,0))))</f>
        <v/>
      </c>
      <c r="T27" s="129" t="str">
        <f>IF(O27="","",COUNTIFS(R_Emp,"Malcolm",R_Cnt,1,R_Task,INDEX(R_Task,MATCH(19,R_TSeqM,0))))</f>
        <v/>
      </c>
    </row>
    <row r="28">
      <c r="B28" s="126" t="n">
        <v>46315</v>
      </c>
      <c r="C28" s="127" t="str">
        <f>CHOOSE(WEEKDAY(B28,2),"Lun","Mar","Mié","Jue","Vie","Sáb","Dom")</f>
        <v>Mar</v>
      </c>
      <c r="D28" s="128" t="str">
        <f>IF(COUNTIFS(FER_F,B28,FER_NLM,"Sí")&gt;0,"Feriado no laborable",IF(COUNTIFS(FER_F,B28)&gt;0,"Feriado laborable",IF(INDEX(CFG_WDAYS,WEEKDAY(B28,2))="Sí","Laborable","Fin de semana / no laborable")))</f>
        <v>Laborable</v>
      </c>
      <c r="E28" s="127">
        <f>SUMIFS(R_HD0,R_Emp,"Malcolm",R_Fecha,$B28)+SUMIFS(R_HD1,R_Emp,"Malcolm",R_D1,$B28)</f>
        <v>0</v>
      </c>
      <c r="F28" s="127">
        <f>SUMIFS(R_ND0,R_Emp,"Malcolm",R_Fecha,$B28)+SUMIFS(R_ND1,R_Emp,"Malcolm",R_D1,$B28)</f>
        <v>0</v>
      </c>
      <c r="G28" s="127">
        <f>SUMIFS(R_XD0,R_Emp,"Malcolm",R_Fecha,$B28)+SUMIFS(R_XD1,R_Emp,"Malcolm",R_D1,$B28)</f>
        <v>0</v>
      </c>
      <c r="I28" s="134" t="n">
        <v>46377</v>
      </c>
      <c r="J28" s="134">
        <f>I28+6</f>
        <v>46383.0</v>
      </c>
      <c r="K28" s="14">
        <f>SUMIFS(E$9:E$100,$B$9:$B$100,"&gt;="&amp;$I28,$B$9:$B$100,"&lt;="&amp;$J28)</f>
        <v>0</v>
      </c>
      <c r="L28" s="14">
        <f>SUMIFS(F$9:F$100,$B$9:$B$100,"&gt;="&amp;$I28,$B$9:$B$100,"&lt;="&amp;$J28)</f>
        <v>0</v>
      </c>
      <c r="M28" s="14">
        <f>SUMIFS(G$9:G$100,$B$9:$B$100,"&gt;="&amp;$I28,$B$9:$B$100,"&lt;="&amp;$J28)</f>
        <v>0</v>
      </c>
      <c r="O28" s="130" t="str">
        <f>IFERROR(INDEX(R_Task,MATCH(20,R_TSeqM,0))&amp;"","")</f>
        <v/>
      </c>
      <c r="P28" s="130" t="str">
        <f>IFERROR(INDEX(R_Proy,MATCH(20,R_TSeqM,0))&amp;"","")</f>
        <v/>
      </c>
      <c r="Q28" s="14" t="str">
        <f>IF(O28="","",SUMIFS(R_Hcnt,R_Emp,"Malcolm",R_Task,INDEX(R_Task,MATCH(20,R_TSeqM,0))))</f>
        <v/>
      </c>
      <c r="R28" s="14" t="str">
        <f>IF(O28="","",SUMIFS(R_NorH,R_Emp,"Malcolm",R_Task,INDEX(R_Task,MATCH(20,R_TSeqM,0))))</f>
        <v/>
      </c>
      <c r="S28" s="14" t="str">
        <f>IF(O28="","",SUMIFS(R_ExtH,R_Emp,"Malcolm",R_Task,INDEX(R_Task,MATCH(20,R_TSeqM,0))))</f>
        <v/>
      </c>
      <c r="T28" s="129" t="str">
        <f>IF(O28="","",COUNTIFS(R_Emp,"Malcolm",R_Cnt,1,R_Task,INDEX(R_Task,MATCH(20,R_TSeqM,0))))</f>
        <v/>
      </c>
    </row>
    <row r="29">
      <c r="B29" s="126" t="n">
        <v>46316</v>
      </c>
      <c r="C29" s="127" t="str">
        <f>CHOOSE(WEEKDAY(B29,2),"Lun","Mar","Mié","Jue","Vie","Sáb","Dom")</f>
        <v>Mié</v>
      </c>
      <c r="D29" s="128" t="str">
        <f>IF(COUNTIFS(FER_F,B29,FER_NLM,"Sí")&gt;0,"Feriado no laborable",IF(COUNTIFS(FER_F,B29)&gt;0,"Feriado laborable",IF(INDEX(CFG_WDAYS,WEEKDAY(B29,2))="Sí","Laborable","Fin de semana / no laborable")))</f>
        <v>Laborable</v>
      </c>
      <c r="E29" s="127">
        <f>SUMIFS(R_HD0,R_Emp,"Malcolm",R_Fecha,$B29)+SUMIFS(R_HD1,R_Emp,"Malcolm",R_D1,$B29)</f>
        <v>0</v>
      </c>
      <c r="F29" s="127">
        <f>SUMIFS(R_ND0,R_Emp,"Malcolm",R_Fecha,$B29)+SUMIFS(R_ND1,R_Emp,"Malcolm",R_D1,$B29)</f>
        <v>0</v>
      </c>
      <c r="G29" s="127">
        <f>SUMIFS(R_XD0,R_Emp,"Malcolm",R_Fecha,$B29)+SUMIFS(R_XD1,R_Emp,"Malcolm",R_D1,$B29)</f>
        <v>0</v>
      </c>
      <c r="I29" s="134" t="n">
        <v>46384</v>
      </c>
      <c r="J29" s="134">
        <f>I29+6</f>
        <v>46390.0</v>
      </c>
      <c r="K29" s="14">
        <f>SUMIFS(E$9:E$100,$B$9:$B$100,"&gt;="&amp;$I29,$B$9:$B$100,"&lt;="&amp;$J29)</f>
        <v>0</v>
      </c>
      <c r="L29" s="14">
        <f>SUMIFS(F$9:F$100,$B$9:$B$100,"&gt;="&amp;$I29,$B$9:$B$100,"&lt;="&amp;$J29)</f>
        <v>0</v>
      </c>
      <c r="M29" s="14">
        <f>SUMIFS(G$9:G$100,$B$9:$B$100,"&gt;="&amp;$I29,$B$9:$B$100,"&lt;="&amp;$J29)</f>
        <v>0</v>
      </c>
      <c r="O29" s="130" t="str">
        <f>IFERROR(INDEX(R_Task,MATCH(21,R_TSeqM,0))&amp;"","")</f>
        <v/>
      </c>
      <c r="P29" s="130" t="str">
        <f>IFERROR(INDEX(R_Proy,MATCH(21,R_TSeqM,0))&amp;"","")</f>
        <v/>
      </c>
      <c r="Q29" s="14" t="str">
        <f>IF(O29="","",SUMIFS(R_Hcnt,R_Emp,"Malcolm",R_Task,INDEX(R_Task,MATCH(21,R_TSeqM,0))))</f>
        <v/>
      </c>
      <c r="R29" s="14" t="str">
        <f>IF(O29="","",SUMIFS(R_NorH,R_Emp,"Malcolm",R_Task,INDEX(R_Task,MATCH(21,R_TSeqM,0))))</f>
        <v/>
      </c>
      <c r="S29" s="14" t="str">
        <f>IF(O29="","",SUMIFS(R_ExtH,R_Emp,"Malcolm",R_Task,INDEX(R_Task,MATCH(21,R_TSeqM,0))))</f>
        <v/>
      </c>
      <c r="T29" s="129" t="str">
        <f>IF(O29="","",COUNTIFS(R_Emp,"Malcolm",R_Cnt,1,R_Task,INDEX(R_Task,MATCH(21,R_TSeqM,0))))</f>
        <v/>
      </c>
    </row>
    <row r="30">
      <c r="B30" s="126" t="n">
        <v>46317</v>
      </c>
      <c r="C30" s="127" t="str">
        <f>CHOOSE(WEEKDAY(B30,2),"Lun","Mar","Mié","Jue","Vie","Sáb","Dom")</f>
        <v>Jue</v>
      </c>
      <c r="D30" s="128" t="str">
        <f>IF(COUNTIFS(FER_F,B30,FER_NLM,"Sí")&gt;0,"Feriado no laborable",IF(COUNTIFS(FER_F,B30)&gt;0,"Feriado laborable",IF(INDEX(CFG_WDAYS,WEEKDAY(B30,2))="Sí","Laborable","Fin de semana / no laborable")))</f>
        <v>Laborable</v>
      </c>
      <c r="E30" s="127">
        <f>SUMIFS(R_HD0,R_Emp,"Malcolm",R_Fecha,$B30)+SUMIFS(R_HD1,R_Emp,"Malcolm",R_D1,$B30)</f>
        <v>0</v>
      </c>
      <c r="F30" s="127">
        <f>SUMIFS(R_ND0,R_Emp,"Malcolm",R_Fecha,$B30)+SUMIFS(R_ND1,R_Emp,"Malcolm",R_D1,$B30)</f>
        <v>0</v>
      </c>
      <c r="G30" s="127">
        <f>SUMIFS(R_XD0,R_Emp,"Malcolm",R_Fecha,$B30)+SUMIFS(R_XD1,R_Emp,"Malcolm",R_D1,$B30)</f>
        <v>0</v>
      </c>
      <c r="O30" s="130" t="str">
        <f>IFERROR(INDEX(R_Task,MATCH(22,R_TSeqM,0))&amp;"","")</f>
        <v/>
      </c>
      <c r="P30" s="130" t="str">
        <f>IFERROR(INDEX(R_Proy,MATCH(22,R_TSeqM,0))&amp;"","")</f>
        <v/>
      </c>
      <c r="Q30" s="14" t="str">
        <f>IF(O30="","",SUMIFS(R_Hcnt,R_Emp,"Malcolm",R_Task,INDEX(R_Task,MATCH(22,R_TSeqM,0))))</f>
        <v/>
      </c>
      <c r="R30" s="14" t="str">
        <f>IF(O30="","",SUMIFS(R_NorH,R_Emp,"Malcolm",R_Task,INDEX(R_Task,MATCH(22,R_TSeqM,0))))</f>
        <v/>
      </c>
      <c r="S30" s="14" t="str">
        <f>IF(O30="","",SUMIFS(R_ExtH,R_Emp,"Malcolm",R_Task,INDEX(R_Task,MATCH(22,R_TSeqM,0))))</f>
        <v/>
      </c>
      <c r="T30" s="129" t="str">
        <f>IF(O30="","",COUNTIFS(R_Emp,"Malcolm",R_Cnt,1,R_Task,INDEX(R_Task,MATCH(22,R_TSeqM,0))))</f>
        <v/>
      </c>
    </row>
    <row r="31" ht="22" customHeight="1">
      <c r="B31" s="126" t="n">
        <v>46318</v>
      </c>
      <c r="C31" s="127" t="str">
        <f>CHOOSE(WEEKDAY(B31,2),"Lun","Mar","Mié","Jue","Vie","Sáb","Dom")</f>
        <v>Vie</v>
      </c>
      <c r="D31" s="128" t="str">
        <f>IF(COUNTIFS(FER_F,B31,FER_NLM,"Sí")&gt;0,"Feriado no laborable",IF(COUNTIFS(FER_F,B31)&gt;0,"Feriado laborable",IF(INDEX(CFG_WDAYS,WEEKDAY(B31,2))="Sí","Laborable","Fin de semana / no laborable")))</f>
        <v>Laborable</v>
      </c>
      <c r="E31" s="127">
        <f>SUMIFS(R_HD0,R_Emp,"Malcolm",R_Fecha,$B31)+SUMIFS(R_HD1,R_Emp,"Malcolm",R_D1,$B31)</f>
        <v>0</v>
      </c>
      <c r="F31" s="127">
        <f>SUMIFS(R_ND0,R_Emp,"Malcolm",R_Fecha,$B31)+SUMIFS(R_ND1,R_Emp,"Malcolm",R_D1,$B31)</f>
        <v>0</v>
      </c>
      <c r="G31" s="127">
        <f>SUMIFS(R_XD0,R_Emp,"Malcolm",R_Fecha,$B31)+SUMIFS(R_XD1,R_Emp,"Malcolm",R_D1,$B31)</f>
        <v>0</v>
      </c>
      <c r="I31" s="123" t="inlineStr">
        <is>
          <t>Horas por proyecto</t>
        </is>
      </c>
      <c r="J31" s="124" t="n"/>
      <c r="K31" s="124" t="n"/>
      <c r="L31" s="124" t="n"/>
      <c r="M31" s="124" t="n"/>
      <c r="O31" s="130" t="str">
        <f>IFERROR(INDEX(R_Task,MATCH(23,R_TSeqM,0))&amp;"","")</f>
        <v/>
      </c>
      <c r="P31" s="130" t="str">
        <f>IFERROR(INDEX(R_Proy,MATCH(23,R_TSeqM,0))&amp;"","")</f>
        <v/>
      </c>
      <c r="Q31" s="14" t="str">
        <f>IF(O31="","",SUMIFS(R_Hcnt,R_Emp,"Malcolm",R_Task,INDEX(R_Task,MATCH(23,R_TSeqM,0))))</f>
        <v/>
      </c>
      <c r="R31" s="14" t="str">
        <f>IF(O31="","",SUMIFS(R_NorH,R_Emp,"Malcolm",R_Task,INDEX(R_Task,MATCH(23,R_TSeqM,0))))</f>
        <v/>
      </c>
      <c r="S31" s="14" t="str">
        <f>IF(O31="","",SUMIFS(R_ExtH,R_Emp,"Malcolm",R_Task,INDEX(R_Task,MATCH(23,R_TSeqM,0))))</f>
        <v/>
      </c>
      <c r="T31" s="129" t="str">
        <f>IF(O31="","",COUNTIFS(R_Emp,"Malcolm",R_Cnt,1,R_Task,INDEX(R_Task,MATCH(23,R_TSeqM,0))))</f>
        <v/>
      </c>
    </row>
    <row r="32" ht="32" customHeight="1">
      <c r="B32" s="126" t="n">
        <v>46319</v>
      </c>
      <c r="C32" s="127" t="str">
        <f>CHOOSE(WEEKDAY(B32,2),"Lun","Mar","Mié","Jue","Vie","Sáb","Dom")</f>
        <v>Sáb</v>
      </c>
      <c r="D32" s="128" t="str">
        <f>IF(COUNTIFS(FER_F,B32,FER_NLM,"Sí")&gt;0,"Feriado no laborable",IF(COUNTIFS(FER_F,B32)&gt;0,"Feriado laborable",IF(INDEX(CFG_WDAYS,WEEKDAY(B32,2))="Sí","Laborable","Fin de semana / no laborable")))</f>
        <v>Fin de semana / no laborable</v>
      </c>
      <c r="E32" s="127">
        <f>SUMIFS(R_HD0,R_Emp,"Malcolm",R_Fecha,$B32)+SUMIFS(R_HD1,R_Emp,"Malcolm",R_D1,$B32)</f>
        <v>0</v>
      </c>
      <c r="F32" s="127">
        <f>SUMIFS(R_ND0,R_Emp,"Malcolm",R_Fecha,$B32)+SUMIFS(R_ND1,R_Emp,"Malcolm",R_D1,$B32)</f>
        <v>0</v>
      </c>
      <c r="G32" s="127">
        <f>SUMIFS(R_XD0,R_Emp,"Malcolm",R_Fecha,$B32)+SUMIFS(R_XD1,R_Emp,"Malcolm",R_D1,$B32)</f>
        <v>0</v>
      </c>
      <c r="I32" s="125" t="inlineStr">
        <is>
          <t>Proyecto</t>
        </is>
      </c>
      <c r="J32" s="125" t="inlineStr">
        <is>
          <t>Horas</t>
        </is>
      </c>
      <c r="K32" s="125" t="inlineStr">
        <is>
          <t>Normales</t>
        </is>
      </c>
      <c r="L32" s="125" t="inlineStr">
        <is>
          <t>Extras</t>
        </is>
      </c>
      <c r="M32" s="125" t="inlineStr">
        <is>
          <t>% del total</t>
        </is>
      </c>
      <c r="O32" s="130" t="str">
        <f>IFERROR(INDEX(R_Task,MATCH(24,R_TSeqM,0))&amp;"","")</f>
        <v/>
      </c>
      <c r="P32" s="130" t="str">
        <f>IFERROR(INDEX(R_Proy,MATCH(24,R_TSeqM,0))&amp;"","")</f>
        <v/>
      </c>
      <c r="Q32" s="14" t="str">
        <f>IF(O32="","",SUMIFS(R_Hcnt,R_Emp,"Malcolm",R_Task,INDEX(R_Task,MATCH(24,R_TSeqM,0))))</f>
        <v/>
      </c>
      <c r="R32" s="14" t="str">
        <f>IF(O32="","",SUMIFS(R_NorH,R_Emp,"Malcolm",R_Task,INDEX(R_Task,MATCH(24,R_TSeqM,0))))</f>
        <v/>
      </c>
      <c r="S32" s="14" t="str">
        <f>IF(O32="","",SUMIFS(R_ExtH,R_Emp,"Malcolm",R_Task,INDEX(R_Task,MATCH(24,R_TSeqM,0))))</f>
        <v/>
      </c>
      <c r="T32" s="129" t="str">
        <f>IF(O32="","",COUNTIFS(R_Emp,"Malcolm",R_Cnt,1,R_Task,INDEX(R_Task,MATCH(24,R_TSeqM,0))))</f>
        <v/>
      </c>
    </row>
    <row r="33">
      <c r="B33" s="126" t="n">
        <v>46320</v>
      </c>
      <c r="C33" s="127" t="str">
        <f>CHOOSE(WEEKDAY(B33,2),"Lun","Mar","Mié","Jue","Vie","Sáb","Dom")</f>
        <v>Dom</v>
      </c>
      <c r="D33" s="128" t="str">
        <f>IF(COUNTIFS(FER_F,B33,FER_NLM,"Sí")&gt;0,"Feriado no laborable",IF(COUNTIFS(FER_F,B33)&gt;0,"Feriado laborable",IF(INDEX(CFG_WDAYS,WEEKDAY(B33,2))="Sí","Laborable","Fin de semana / no laborable")))</f>
        <v>Fin de semana / no laborable</v>
      </c>
      <c r="E33" s="127">
        <f>SUMIFS(R_HD0,R_Emp,"Malcolm",R_Fecha,$B33)+SUMIFS(R_HD1,R_Emp,"Malcolm",R_D1,$B33)</f>
        <v>0</v>
      </c>
      <c r="F33" s="127">
        <f>SUMIFS(R_ND0,R_Emp,"Malcolm",R_Fecha,$B33)+SUMIFS(R_ND1,R_Emp,"Malcolm",R_D1,$B33)</f>
        <v>0</v>
      </c>
      <c r="G33" s="127">
        <f>SUMIFS(R_XD0,R_Emp,"Malcolm",R_Fecha,$B33)+SUMIFS(R_XD1,R_Emp,"Malcolm",R_D1,$B33)</f>
        <v>0</v>
      </c>
      <c r="I33" s="130" t="str">
        <f>IFERROR(INDEX(R_Proy,MATCH(1,R_PSeqM,0))&amp;"","")</f>
        <v>PCF</v>
      </c>
      <c r="J33" s="14">
        <f>IF(I33="","",SUMIFS(R_Hcnt,R_Emp,"Malcolm",R_Proy,I33))</f>
        <v>6.333333</v>
      </c>
      <c r="K33" s="14">
        <f>IF(I33="","",SUMIFS(R_NorH,R_Emp,"Malcolm",R_Proy,I33))</f>
        <v>4.333333</v>
      </c>
      <c r="L33" s="14">
        <f>IF(I33="","",SUMIFS(R_ExtH,R_Emp,"Malcolm",R_Proy,I33))</f>
        <v>2</v>
      </c>
      <c r="M33" s="135">
        <f>IF(I33="","",IFERROR(J33/$J$12,0))</f>
        <v>1</v>
      </c>
      <c r="O33" s="130" t="str">
        <f>IFERROR(INDEX(R_Task,MATCH(25,R_TSeqM,0))&amp;"","")</f>
        <v/>
      </c>
      <c r="P33" s="130" t="str">
        <f>IFERROR(INDEX(R_Proy,MATCH(25,R_TSeqM,0))&amp;"","")</f>
        <v/>
      </c>
      <c r="Q33" s="14" t="str">
        <f>IF(O33="","",SUMIFS(R_Hcnt,R_Emp,"Malcolm",R_Task,INDEX(R_Task,MATCH(25,R_TSeqM,0))))</f>
        <v/>
      </c>
      <c r="R33" s="14" t="str">
        <f>IF(O33="","",SUMIFS(R_NorH,R_Emp,"Malcolm",R_Task,INDEX(R_Task,MATCH(25,R_TSeqM,0))))</f>
        <v/>
      </c>
      <c r="S33" s="14" t="str">
        <f>IF(O33="","",SUMIFS(R_ExtH,R_Emp,"Malcolm",R_Task,INDEX(R_Task,MATCH(25,R_TSeqM,0))))</f>
        <v/>
      </c>
      <c r="T33" s="129" t="str">
        <f>IF(O33="","",COUNTIFS(R_Emp,"Malcolm",R_Cnt,1,R_Task,INDEX(R_Task,MATCH(25,R_TSeqM,0))))</f>
        <v/>
      </c>
    </row>
    <row r="34">
      <c r="B34" s="126" t="n">
        <v>46321</v>
      </c>
      <c r="C34" s="127" t="str">
        <f>CHOOSE(WEEKDAY(B34,2),"Lun","Mar","Mié","Jue","Vie","Sáb","Dom")</f>
        <v>Lun</v>
      </c>
      <c r="D34" s="128" t="str">
        <f>IF(COUNTIFS(FER_F,B34,FER_NLM,"Sí")&gt;0,"Feriado no laborable",IF(COUNTIFS(FER_F,B34)&gt;0,"Feriado laborable",IF(INDEX(CFG_WDAYS,WEEKDAY(B34,2))="Sí","Laborable","Fin de semana / no laborable")))</f>
        <v>Laborable</v>
      </c>
      <c r="E34" s="127">
        <f>SUMIFS(R_HD0,R_Emp,"Malcolm",R_Fecha,$B34)+SUMIFS(R_HD1,R_Emp,"Malcolm",R_D1,$B34)</f>
        <v>0</v>
      </c>
      <c r="F34" s="127">
        <f>SUMIFS(R_ND0,R_Emp,"Malcolm",R_Fecha,$B34)+SUMIFS(R_ND1,R_Emp,"Malcolm",R_D1,$B34)</f>
        <v>0</v>
      </c>
      <c r="G34" s="127">
        <f>SUMIFS(R_XD0,R_Emp,"Malcolm",R_Fecha,$B34)+SUMIFS(R_XD1,R_Emp,"Malcolm",R_D1,$B34)</f>
        <v>0</v>
      </c>
      <c r="I34" s="130" t="str">
        <f>IFERROR(INDEX(R_Proy,MATCH(2,R_PSeqM,0))&amp;"","")</f>
        <v/>
      </c>
      <c r="J34" s="14" t="str">
        <f>IF(I34="","",SUMIFS(R_Hcnt,R_Emp,"Malcolm",R_Proy,I34))</f>
        <v/>
      </c>
      <c r="K34" s="14" t="str">
        <f>IF(I34="","",SUMIFS(R_NorH,R_Emp,"Malcolm",R_Proy,I34))</f>
        <v/>
      </c>
      <c r="L34" s="14" t="str">
        <f>IF(I34="","",SUMIFS(R_ExtH,R_Emp,"Malcolm",R_Proy,I34))</f>
        <v/>
      </c>
      <c r="M34" s="135" t="str">
        <f>IF(I34="","",IFERROR(J34/$J$12,0))</f>
        <v/>
      </c>
      <c r="O34" s="130" t="str">
        <f>IFERROR(INDEX(R_Task,MATCH(26,R_TSeqM,0))&amp;"","")</f>
        <v/>
      </c>
      <c r="P34" s="130" t="str">
        <f>IFERROR(INDEX(R_Proy,MATCH(26,R_TSeqM,0))&amp;"","")</f>
        <v/>
      </c>
      <c r="Q34" s="14" t="str">
        <f>IF(O34="","",SUMIFS(R_Hcnt,R_Emp,"Malcolm",R_Task,INDEX(R_Task,MATCH(26,R_TSeqM,0))))</f>
        <v/>
      </c>
      <c r="R34" s="14" t="str">
        <f>IF(O34="","",SUMIFS(R_NorH,R_Emp,"Malcolm",R_Task,INDEX(R_Task,MATCH(26,R_TSeqM,0))))</f>
        <v/>
      </c>
      <c r="S34" s="14" t="str">
        <f>IF(O34="","",SUMIFS(R_ExtH,R_Emp,"Malcolm",R_Task,INDEX(R_Task,MATCH(26,R_TSeqM,0))))</f>
        <v/>
      </c>
      <c r="T34" s="129" t="str">
        <f>IF(O34="","",COUNTIFS(R_Emp,"Malcolm",R_Cnt,1,R_Task,INDEX(R_Task,MATCH(26,R_TSeqM,0))))</f>
        <v/>
      </c>
    </row>
    <row r="35">
      <c r="B35" s="126" t="n">
        <v>46322</v>
      </c>
      <c r="C35" s="127" t="str">
        <f>CHOOSE(WEEKDAY(B35,2),"Lun","Mar","Mié","Jue","Vie","Sáb","Dom")</f>
        <v>Mar</v>
      </c>
      <c r="D35" s="128" t="str">
        <f>IF(COUNTIFS(FER_F,B35,FER_NLM,"Sí")&gt;0,"Feriado no laborable",IF(COUNTIFS(FER_F,B35)&gt;0,"Feriado laborable",IF(INDEX(CFG_WDAYS,WEEKDAY(B35,2))="Sí","Laborable","Fin de semana / no laborable")))</f>
        <v>Laborable</v>
      </c>
      <c r="E35" s="127">
        <f>SUMIFS(R_HD0,R_Emp,"Malcolm",R_Fecha,$B35)+SUMIFS(R_HD1,R_Emp,"Malcolm",R_D1,$B35)</f>
        <v>0</v>
      </c>
      <c r="F35" s="127">
        <f>SUMIFS(R_ND0,R_Emp,"Malcolm",R_Fecha,$B35)+SUMIFS(R_ND1,R_Emp,"Malcolm",R_D1,$B35)</f>
        <v>0</v>
      </c>
      <c r="G35" s="127">
        <f>SUMIFS(R_XD0,R_Emp,"Malcolm",R_Fecha,$B35)+SUMIFS(R_XD1,R_Emp,"Malcolm",R_D1,$B35)</f>
        <v>0</v>
      </c>
      <c r="I35" s="130" t="str">
        <f>IFERROR(INDEX(R_Proy,MATCH(3,R_PSeqM,0))&amp;"","")</f>
        <v/>
      </c>
      <c r="J35" s="14" t="str">
        <f>IF(I35="","",SUMIFS(R_Hcnt,R_Emp,"Malcolm",R_Proy,I35))</f>
        <v/>
      </c>
      <c r="K35" s="14" t="str">
        <f>IF(I35="","",SUMIFS(R_NorH,R_Emp,"Malcolm",R_Proy,I35))</f>
        <v/>
      </c>
      <c r="L35" s="14" t="str">
        <f>IF(I35="","",SUMIFS(R_ExtH,R_Emp,"Malcolm",R_Proy,I35))</f>
        <v/>
      </c>
      <c r="M35" s="135" t="str">
        <f>IF(I35="","",IFERROR(J35/$J$12,0))</f>
        <v/>
      </c>
      <c r="O35" s="130" t="str">
        <f>IFERROR(INDEX(R_Task,MATCH(27,R_TSeqM,0))&amp;"","")</f>
        <v/>
      </c>
      <c r="P35" s="130" t="str">
        <f>IFERROR(INDEX(R_Proy,MATCH(27,R_TSeqM,0))&amp;"","")</f>
        <v/>
      </c>
      <c r="Q35" s="14" t="str">
        <f>IF(O35="","",SUMIFS(R_Hcnt,R_Emp,"Malcolm",R_Task,INDEX(R_Task,MATCH(27,R_TSeqM,0))))</f>
        <v/>
      </c>
      <c r="R35" s="14" t="str">
        <f>IF(O35="","",SUMIFS(R_NorH,R_Emp,"Malcolm",R_Task,INDEX(R_Task,MATCH(27,R_TSeqM,0))))</f>
        <v/>
      </c>
      <c r="S35" s="14" t="str">
        <f>IF(O35="","",SUMIFS(R_ExtH,R_Emp,"Malcolm",R_Task,INDEX(R_Task,MATCH(27,R_TSeqM,0))))</f>
        <v/>
      </c>
      <c r="T35" s="129" t="str">
        <f>IF(O35="","",COUNTIFS(R_Emp,"Malcolm",R_Cnt,1,R_Task,INDEX(R_Task,MATCH(27,R_TSeqM,0))))</f>
        <v/>
      </c>
    </row>
    <row r="36">
      <c r="B36" s="126" t="n">
        <v>46323</v>
      </c>
      <c r="C36" s="127" t="str">
        <f>CHOOSE(WEEKDAY(B36,2),"Lun","Mar","Mié","Jue","Vie","Sáb","Dom")</f>
        <v>Mié</v>
      </c>
      <c r="D36" s="128" t="str">
        <f>IF(COUNTIFS(FER_F,B36,FER_NLM,"Sí")&gt;0,"Feriado no laborable",IF(COUNTIFS(FER_F,B36)&gt;0,"Feriado laborable",IF(INDEX(CFG_WDAYS,WEEKDAY(B36,2))="Sí","Laborable","Fin de semana / no laborable")))</f>
        <v>Laborable</v>
      </c>
      <c r="E36" s="127">
        <f>SUMIFS(R_HD0,R_Emp,"Malcolm",R_Fecha,$B36)+SUMIFS(R_HD1,R_Emp,"Malcolm",R_D1,$B36)</f>
        <v>0</v>
      </c>
      <c r="F36" s="127">
        <f>SUMIFS(R_ND0,R_Emp,"Malcolm",R_Fecha,$B36)+SUMIFS(R_ND1,R_Emp,"Malcolm",R_D1,$B36)</f>
        <v>0</v>
      </c>
      <c r="G36" s="127">
        <f>SUMIFS(R_XD0,R_Emp,"Malcolm",R_Fecha,$B36)+SUMIFS(R_XD1,R_Emp,"Malcolm",R_D1,$B36)</f>
        <v>0</v>
      </c>
      <c r="I36" s="130" t="str">
        <f>IFERROR(INDEX(R_Proy,MATCH(4,R_PSeqM,0))&amp;"","")</f>
        <v/>
      </c>
      <c r="J36" s="14" t="str">
        <f>IF(I36="","",SUMIFS(R_Hcnt,R_Emp,"Malcolm",R_Proy,I36))</f>
        <v/>
      </c>
      <c r="K36" s="14" t="str">
        <f>IF(I36="","",SUMIFS(R_NorH,R_Emp,"Malcolm",R_Proy,I36))</f>
        <v/>
      </c>
      <c r="L36" s="14" t="str">
        <f>IF(I36="","",SUMIFS(R_ExtH,R_Emp,"Malcolm",R_Proy,I36))</f>
        <v/>
      </c>
      <c r="M36" s="135" t="str">
        <f>IF(I36="","",IFERROR(J36/$J$12,0))</f>
        <v/>
      </c>
      <c r="O36" s="130" t="str">
        <f>IFERROR(INDEX(R_Task,MATCH(28,R_TSeqM,0))&amp;"","")</f>
        <v/>
      </c>
      <c r="P36" s="130" t="str">
        <f>IFERROR(INDEX(R_Proy,MATCH(28,R_TSeqM,0))&amp;"","")</f>
        <v/>
      </c>
      <c r="Q36" s="14" t="str">
        <f>IF(O36="","",SUMIFS(R_Hcnt,R_Emp,"Malcolm",R_Task,INDEX(R_Task,MATCH(28,R_TSeqM,0))))</f>
        <v/>
      </c>
      <c r="R36" s="14" t="str">
        <f>IF(O36="","",SUMIFS(R_NorH,R_Emp,"Malcolm",R_Task,INDEX(R_Task,MATCH(28,R_TSeqM,0))))</f>
        <v/>
      </c>
      <c r="S36" s="14" t="str">
        <f>IF(O36="","",SUMIFS(R_ExtH,R_Emp,"Malcolm",R_Task,INDEX(R_Task,MATCH(28,R_TSeqM,0))))</f>
        <v/>
      </c>
      <c r="T36" s="129" t="str">
        <f>IF(O36="","",COUNTIFS(R_Emp,"Malcolm",R_Cnt,1,R_Task,INDEX(R_Task,MATCH(28,R_TSeqM,0))))</f>
        <v/>
      </c>
    </row>
    <row r="37">
      <c r="B37" s="126" t="n">
        <v>46324</v>
      </c>
      <c r="C37" s="127" t="str">
        <f>CHOOSE(WEEKDAY(B37,2),"Lun","Mar","Mié","Jue","Vie","Sáb","Dom")</f>
        <v>Jue</v>
      </c>
      <c r="D37" s="128" t="str">
        <f>IF(COUNTIFS(FER_F,B37,FER_NLM,"Sí")&gt;0,"Feriado no laborable",IF(COUNTIFS(FER_F,B37)&gt;0,"Feriado laborable",IF(INDEX(CFG_WDAYS,WEEKDAY(B37,2))="Sí","Laborable","Fin de semana / no laborable")))</f>
        <v>Laborable</v>
      </c>
      <c r="E37" s="127">
        <f>SUMIFS(R_HD0,R_Emp,"Malcolm",R_Fecha,$B37)+SUMIFS(R_HD1,R_Emp,"Malcolm",R_D1,$B37)</f>
        <v>0</v>
      </c>
      <c r="F37" s="127">
        <f>SUMIFS(R_ND0,R_Emp,"Malcolm",R_Fecha,$B37)+SUMIFS(R_ND1,R_Emp,"Malcolm",R_D1,$B37)</f>
        <v>0</v>
      </c>
      <c r="G37" s="127">
        <f>SUMIFS(R_XD0,R_Emp,"Malcolm",R_Fecha,$B37)+SUMIFS(R_XD1,R_Emp,"Malcolm",R_D1,$B37)</f>
        <v>0</v>
      </c>
      <c r="I37" s="130" t="str">
        <f>IFERROR(INDEX(R_Proy,MATCH(5,R_PSeqM,0))&amp;"","")</f>
        <v/>
      </c>
      <c r="J37" s="14" t="str">
        <f>IF(I37="","",SUMIFS(R_Hcnt,R_Emp,"Malcolm",R_Proy,I37))</f>
        <v/>
      </c>
      <c r="K37" s="14" t="str">
        <f>IF(I37="","",SUMIFS(R_NorH,R_Emp,"Malcolm",R_Proy,I37))</f>
        <v/>
      </c>
      <c r="L37" s="14" t="str">
        <f>IF(I37="","",SUMIFS(R_ExtH,R_Emp,"Malcolm",R_Proy,I37))</f>
        <v/>
      </c>
      <c r="M37" s="135" t="str">
        <f>IF(I37="","",IFERROR(J37/$J$12,0))</f>
        <v/>
      </c>
      <c r="O37" s="130" t="str">
        <f>IFERROR(INDEX(R_Task,MATCH(29,R_TSeqM,0))&amp;"","")</f>
        <v/>
      </c>
      <c r="P37" s="130" t="str">
        <f>IFERROR(INDEX(R_Proy,MATCH(29,R_TSeqM,0))&amp;"","")</f>
        <v/>
      </c>
      <c r="Q37" s="14" t="str">
        <f>IF(O37="","",SUMIFS(R_Hcnt,R_Emp,"Malcolm",R_Task,INDEX(R_Task,MATCH(29,R_TSeqM,0))))</f>
        <v/>
      </c>
      <c r="R37" s="14" t="str">
        <f>IF(O37="","",SUMIFS(R_NorH,R_Emp,"Malcolm",R_Task,INDEX(R_Task,MATCH(29,R_TSeqM,0))))</f>
        <v/>
      </c>
      <c r="S37" s="14" t="str">
        <f>IF(O37="","",SUMIFS(R_ExtH,R_Emp,"Malcolm",R_Task,INDEX(R_Task,MATCH(29,R_TSeqM,0))))</f>
        <v/>
      </c>
      <c r="T37" s="129" t="str">
        <f>IF(O37="","",COUNTIFS(R_Emp,"Malcolm",R_Cnt,1,R_Task,INDEX(R_Task,MATCH(29,R_TSeqM,0))))</f>
        <v/>
      </c>
    </row>
    <row r="38">
      <c r="B38" s="126" t="n">
        <v>46325</v>
      </c>
      <c r="C38" s="127" t="str">
        <f>CHOOSE(WEEKDAY(B38,2),"Lun","Mar","Mié","Jue","Vie","Sáb","Dom")</f>
        <v>Vie</v>
      </c>
      <c r="D38" s="128" t="str">
        <f>IF(COUNTIFS(FER_F,B38,FER_NLM,"Sí")&gt;0,"Feriado no laborable",IF(COUNTIFS(FER_F,B38)&gt;0,"Feriado laborable",IF(INDEX(CFG_WDAYS,WEEKDAY(B38,2))="Sí","Laborable","Fin de semana / no laborable")))</f>
        <v>Laborable</v>
      </c>
      <c r="E38" s="127">
        <f>SUMIFS(R_HD0,R_Emp,"Malcolm",R_Fecha,$B38)+SUMIFS(R_HD1,R_Emp,"Malcolm",R_D1,$B38)</f>
        <v>0</v>
      </c>
      <c r="F38" s="127">
        <f>SUMIFS(R_ND0,R_Emp,"Malcolm",R_Fecha,$B38)+SUMIFS(R_ND1,R_Emp,"Malcolm",R_D1,$B38)</f>
        <v>0</v>
      </c>
      <c r="G38" s="127">
        <f>SUMIFS(R_XD0,R_Emp,"Malcolm",R_Fecha,$B38)+SUMIFS(R_XD1,R_Emp,"Malcolm",R_D1,$B38)</f>
        <v>0</v>
      </c>
      <c r="I38" s="130" t="str">
        <f>IFERROR(INDEX(R_Proy,MATCH(6,R_PSeqM,0))&amp;"","")</f>
        <v/>
      </c>
      <c r="J38" s="14" t="str">
        <f>IF(I38="","",SUMIFS(R_Hcnt,R_Emp,"Malcolm",R_Proy,I38))</f>
        <v/>
      </c>
      <c r="K38" s="14" t="str">
        <f>IF(I38="","",SUMIFS(R_NorH,R_Emp,"Malcolm",R_Proy,I38))</f>
        <v/>
      </c>
      <c r="L38" s="14" t="str">
        <f>IF(I38="","",SUMIFS(R_ExtH,R_Emp,"Malcolm",R_Proy,I38))</f>
        <v/>
      </c>
      <c r="M38" s="135" t="str">
        <f>IF(I38="","",IFERROR(J38/$J$12,0))</f>
        <v/>
      </c>
      <c r="O38" s="130" t="str">
        <f>IFERROR(INDEX(R_Task,MATCH(30,R_TSeqM,0))&amp;"","")</f>
        <v/>
      </c>
      <c r="P38" s="130" t="str">
        <f>IFERROR(INDEX(R_Proy,MATCH(30,R_TSeqM,0))&amp;"","")</f>
        <v/>
      </c>
      <c r="Q38" s="14" t="str">
        <f>IF(O38="","",SUMIFS(R_Hcnt,R_Emp,"Malcolm",R_Task,INDEX(R_Task,MATCH(30,R_TSeqM,0))))</f>
        <v/>
      </c>
      <c r="R38" s="14" t="str">
        <f>IF(O38="","",SUMIFS(R_NorH,R_Emp,"Malcolm",R_Task,INDEX(R_Task,MATCH(30,R_TSeqM,0))))</f>
        <v/>
      </c>
      <c r="S38" s="14" t="str">
        <f>IF(O38="","",SUMIFS(R_ExtH,R_Emp,"Malcolm",R_Task,INDEX(R_Task,MATCH(30,R_TSeqM,0))))</f>
        <v/>
      </c>
      <c r="T38" s="129" t="str">
        <f>IF(O38="","",COUNTIFS(R_Emp,"Malcolm",R_Cnt,1,R_Task,INDEX(R_Task,MATCH(30,R_TSeqM,0))))</f>
        <v/>
      </c>
    </row>
    <row r="39">
      <c r="B39" s="126" t="n">
        <v>46326</v>
      </c>
      <c r="C39" s="127" t="str">
        <f>CHOOSE(WEEKDAY(B39,2),"Lun","Mar","Mié","Jue","Vie","Sáb","Dom")</f>
        <v>Sáb</v>
      </c>
      <c r="D39" s="128" t="str">
        <f>IF(COUNTIFS(FER_F,B39,FER_NLM,"Sí")&gt;0,"Feriado no laborable",IF(COUNTIFS(FER_F,B39)&gt;0,"Feriado laborable",IF(INDEX(CFG_WDAYS,WEEKDAY(B39,2))="Sí","Laborable","Fin de semana / no laborable")))</f>
        <v>Fin de semana / no laborable</v>
      </c>
      <c r="E39" s="127">
        <f>SUMIFS(R_HD0,R_Emp,"Malcolm",R_Fecha,$B39)+SUMIFS(R_HD1,R_Emp,"Malcolm",R_D1,$B39)</f>
        <v>0</v>
      </c>
      <c r="F39" s="127">
        <f>SUMIFS(R_ND0,R_Emp,"Malcolm",R_Fecha,$B39)+SUMIFS(R_ND1,R_Emp,"Malcolm",R_D1,$B39)</f>
        <v>0</v>
      </c>
      <c r="G39" s="127">
        <f>SUMIFS(R_XD0,R_Emp,"Malcolm",R_Fecha,$B39)+SUMIFS(R_XD1,R_Emp,"Malcolm",R_D1,$B39)</f>
        <v>0</v>
      </c>
      <c r="I39" s="130" t="str">
        <f>IFERROR(INDEX(R_Proy,MATCH(7,R_PSeqM,0))&amp;"","")</f>
        <v/>
      </c>
      <c r="J39" s="14" t="str">
        <f>IF(I39="","",SUMIFS(R_Hcnt,R_Emp,"Malcolm",R_Proy,I39))</f>
        <v/>
      </c>
      <c r="K39" s="14" t="str">
        <f>IF(I39="","",SUMIFS(R_NorH,R_Emp,"Malcolm",R_Proy,I39))</f>
        <v/>
      </c>
      <c r="L39" s="14" t="str">
        <f>IF(I39="","",SUMIFS(R_ExtH,R_Emp,"Malcolm",R_Proy,I39))</f>
        <v/>
      </c>
      <c r="M39" s="135" t="str">
        <f>IF(I39="","",IFERROR(J39/$J$12,0))</f>
        <v/>
      </c>
      <c r="O39" s="130" t="str">
        <f>IFERROR(INDEX(R_Task,MATCH(31,R_TSeqM,0))&amp;"","")</f>
        <v/>
      </c>
      <c r="P39" s="130" t="str">
        <f>IFERROR(INDEX(R_Proy,MATCH(31,R_TSeqM,0))&amp;"","")</f>
        <v/>
      </c>
      <c r="Q39" s="14" t="str">
        <f>IF(O39="","",SUMIFS(R_Hcnt,R_Emp,"Malcolm",R_Task,INDEX(R_Task,MATCH(31,R_TSeqM,0))))</f>
        <v/>
      </c>
      <c r="R39" s="14" t="str">
        <f>IF(O39="","",SUMIFS(R_NorH,R_Emp,"Malcolm",R_Task,INDEX(R_Task,MATCH(31,R_TSeqM,0))))</f>
        <v/>
      </c>
      <c r="S39" s="14" t="str">
        <f>IF(O39="","",SUMIFS(R_ExtH,R_Emp,"Malcolm",R_Task,INDEX(R_Task,MATCH(31,R_TSeqM,0))))</f>
        <v/>
      </c>
      <c r="T39" s="129" t="str">
        <f>IF(O39="","",COUNTIFS(R_Emp,"Malcolm",R_Cnt,1,R_Task,INDEX(R_Task,MATCH(31,R_TSeqM,0))))</f>
        <v/>
      </c>
    </row>
    <row r="40">
      <c r="B40" s="126" t="n">
        <v>46327</v>
      </c>
      <c r="C40" s="127" t="str">
        <f>CHOOSE(WEEKDAY(B40,2),"Lun","Mar","Mié","Jue","Vie","Sáb","Dom")</f>
        <v>Dom</v>
      </c>
      <c r="D40" s="128" t="str">
        <f>IF(COUNTIFS(FER_F,B40,FER_NLM,"Sí")&gt;0,"Feriado no laborable",IF(COUNTIFS(FER_F,B40)&gt;0,"Feriado laborable",IF(INDEX(CFG_WDAYS,WEEKDAY(B40,2))="Sí","Laborable","Fin de semana / no laborable")))</f>
        <v>Fin de semana / no laborable</v>
      </c>
      <c r="E40" s="127">
        <f>SUMIFS(R_HD0,R_Emp,"Malcolm",R_Fecha,$B40)+SUMIFS(R_HD1,R_Emp,"Malcolm",R_D1,$B40)</f>
        <v>0</v>
      </c>
      <c r="F40" s="127">
        <f>SUMIFS(R_ND0,R_Emp,"Malcolm",R_Fecha,$B40)+SUMIFS(R_ND1,R_Emp,"Malcolm",R_D1,$B40)</f>
        <v>0</v>
      </c>
      <c r="G40" s="127">
        <f>SUMIFS(R_XD0,R_Emp,"Malcolm",R_Fecha,$B40)+SUMIFS(R_XD1,R_Emp,"Malcolm",R_D1,$B40)</f>
        <v>0</v>
      </c>
      <c r="I40" s="130" t="str">
        <f>IFERROR(INDEX(R_Proy,MATCH(8,R_PSeqM,0))&amp;"","")</f>
        <v/>
      </c>
      <c r="J40" s="14" t="str">
        <f>IF(I40="","",SUMIFS(R_Hcnt,R_Emp,"Malcolm",R_Proy,I40))</f>
        <v/>
      </c>
      <c r="K40" s="14" t="str">
        <f>IF(I40="","",SUMIFS(R_NorH,R_Emp,"Malcolm",R_Proy,I40))</f>
        <v/>
      </c>
      <c r="L40" s="14" t="str">
        <f>IF(I40="","",SUMIFS(R_ExtH,R_Emp,"Malcolm",R_Proy,I40))</f>
        <v/>
      </c>
      <c r="M40" s="135" t="str">
        <f>IF(I40="","",IFERROR(J40/$J$12,0))</f>
        <v/>
      </c>
      <c r="O40" s="130" t="str">
        <f>IFERROR(INDEX(R_Task,MATCH(32,R_TSeqM,0))&amp;"","")</f>
        <v/>
      </c>
      <c r="P40" s="130" t="str">
        <f>IFERROR(INDEX(R_Proy,MATCH(32,R_TSeqM,0))&amp;"","")</f>
        <v/>
      </c>
      <c r="Q40" s="14" t="str">
        <f>IF(O40="","",SUMIFS(R_Hcnt,R_Emp,"Malcolm",R_Task,INDEX(R_Task,MATCH(32,R_TSeqM,0))))</f>
        <v/>
      </c>
      <c r="R40" s="14" t="str">
        <f>IF(O40="","",SUMIFS(R_NorH,R_Emp,"Malcolm",R_Task,INDEX(R_Task,MATCH(32,R_TSeqM,0))))</f>
        <v/>
      </c>
      <c r="S40" s="14" t="str">
        <f>IF(O40="","",SUMIFS(R_ExtH,R_Emp,"Malcolm",R_Task,INDEX(R_Task,MATCH(32,R_TSeqM,0))))</f>
        <v/>
      </c>
      <c r="T40" s="129" t="str">
        <f>IF(O40="","",COUNTIFS(R_Emp,"Malcolm",R_Cnt,1,R_Task,INDEX(R_Task,MATCH(32,R_TSeqM,0))))</f>
        <v/>
      </c>
    </row>
    <row r="41">
      <c r="B41" s="126" t="n">
        <v>46328</v>
      </c>
      <c r="C41" s="127" t="str">
        <f>CHOOSE(WEEKDAY(B41,2),"Lun","Mar","Mié","Jue","Vie","Sáb","Dom")</f>
        <v>Lun</v>
      </c>
      <c r="D41" s="128" t="str">
        <f>IF(COUNTIFS(FER_F,B41,FER_NLM,"Sí")&gt;0,"Feriado no laborable",IF(COUNTIFS(FER_F,B41)&gt;0,"Feriado laborable",IF(INDEX(CFG_WDAYS,WEEKDAY(B41,2))="Sí","Laborable","Fin de semana / no laborable")))</f>
        <v>Laborable</v>
      </c>
      <c r="E41" s="127">
        <f>SUMIFS(R_HD0,R_Emp,"Malcolm",R_Fecha,$B41)+SUMIFS(R_HD1,R_Emp,"Malcolm",R_D1,$B41)</f>
        <v>0</v>
      </c>
      <c r="F41" s="127">
        <f>SUMIFS(R_ND0,R_Emp,"Malcolm",R_Fecha,$B41)+SUMIFS(R_ND1,R_Emp,"Malcolm",R_D1,$B41)</f>
        <v>0</v>
      </c>
      <c r="G41" s="127">
        <f>SUMIFS(R_XD0,R_Emp,"Malcolm",R_Fecha,$B41)+SUMIFS(R_XD1,R_Emp,"Malcolm",R_D1,$B41)</f>
        <v>0</v>
      </c>
      <c r="I41" s="130" t="str">
        <f>IFERROR(INDEX(R_Proy,MATCH(9,R_PSeqM,0))&amp;"","")</f>
        <v/>
      </c>
      <c r="J41" s="14" t="str">
        <f>IF(I41="","",SUMIFS(R_Hcnt,R_Emp,"Malcolm",R_Proy,I41))</f>
        <v/>
      </c>
      <c r="K41" s="14" t="str">
        <f>IF(I41="","",SUMIFS(R_NorH,R_Emp,"Malcolm",R_Proy,I41))</f>
        <v/>
      </c>
      <c r="L41" s="14" t="str">
        <f>IF(I41="","",SUMIFS(R_ExtH,R_Emp,"Malcolm",R_Proy,I41))</f>
        <v/>
      </c>
      <c r="M41" s="135" t="str">
        <f>IF(I41="","",IFERROR(J41/$J$12,0))</f>
        <v/>
      </c>
      <c r="O41" s="130" t="str">
        <f>IFERROR(INDEX(R_Task,MATCH(33,R_TSeqM,0))&amp;"","")</f>
        <v/>
      </c>
      <c r="P41" s="130" t="str">
        <f>IFERROR(INDEX(R_Proy,MATCH(33,R_TSeqM,0))&amp;"","")</f>
        <v/>
      </c>
      <c r="Q41" s="14" t="str">
        <f>IF(O41="","",SUMIFS(R_Hcnt,R_Emp,"Malcolm",R_Task,INDEX(R_Task,MATCH(33,R_TSeqM,0))))</f>
        <v/>
      </c>
      <c r="R41" s="14" t="str">
        <f>IF(O41="","",SUMIFS(R_NorH,R_Emp,"Malcolm",R_Task,INDEX(R_Task,MATCH(33,R_TSeqM,0))))</f>
        <v/>
      </c>
      <c r="S41" s="14" t="str">
        <f>IF(O41="","",SUMIFS(R_ExtH,R_Emp,"Malcolm",R_Task,INDEX(R_Task,MATCH(33,R_TSeqM,0))))</f>
        <v/>
      </c>
      <c r="T41" s="129" t="str">
        <f>IF(O41="","",COUNTIFS(R_Emp,"Malcolm",R_Cnt,1,R_Task,INDEX(R_Task,MATCH(33,R_TSeqM,0))))</f>
        <v/>
      </c>
    </row>
    <row r="42">
      <c r="B42" s="126" t="n">
        <v>46329</v>
      </c>
      <c r="C42" s="127" t="str">
        <f>CHOOSE(WEEKDAY(B42,2),"Lun","Mar","Mié","Jue","Vie","Sáb","Dom")</f>
        <v>Mar</v>
      </c>
      <c r="D42" s="128" t="str">
        <f>IF(COUNTIFS(FER_F,B42,FER_NLM,"Sí")&gt;0,"Feriado no laborable",IF(COUNTIFS(FER_F,B42)&gt;0,"Feriado laborable",IF(INDEX(CFG_WDAYS,WEEKDAY(B42,2))="Sí","Laborable","Fin de semana / no laborable")))</f>
        <v>Laborable</v>
      </c>
      <c r="E42" s="127">
        <f>SUMIFS(R_HD0,R_Emp,"Malcolm",R_Fecha,$B42)+SUMIFS(R_HD1,R_Emp,"Malcolm",R_D1,$B42)</f>
        <v>0</v>
      </c>
      <c r="F42" s="127">
        <f>SUMIFS(R_ND0,R_Emp,"Malcolm",R_Fecha,$B42)+SUMIFS(R_ND1,R_Emp,"Malcolm",R_D1,$B42)</f>
        <v>0</v>
      </c>
      <c r="G42" s="127">
        <f>SUMIFS(R_XD0,R_Emp,"Malcolm",R_Fecha,$B42)+SUMIFS(R_XD1,R_Emp,"Malcolm",R_D1,$B42)</f>
        <v>0</v>
      </c>
      <c r="I42" s="130" t="str">
        <f>IFERROR(INDEX(R_Proy,MATCH(10,R_PSeqM,0))&amp;"","")</f>
        <v/>
      </c>
      <c r="J42" s="14" t="str">
        <f>IF(I42="","",SUMIFS(R_Hcnt,R_Emp,"Malcolm",R_Proy,I42))</f>
        <v/>
      </c>
      <c r="K42" s="14" t="str">
        <f>IF(I42="","",SUMIFS(R_NorH,R_Emp,"Malcolm",R_Proy,I42))</f>
        <v/>
      </c>
      <c r="L42" s="14" t="str">
        <f>IF(I42="","",SUMIFS(R_ExtH,R_Emp,"Malcolm",R_Proy,I42))</f>
        <v/>
      </c>
      <c r="M42" s="135" t="str">
        <f>IF(I42="","",IFERROR(J42/$J$12,0))</f>
        <v/>
      </c>
      <c r="O42" s="130" t="str">
        <f>IFERROR(INDEX(R_Task,MATCH(34,R_TSeqM,0))&amp;"","")</f>
        <v/>
      </c>
      <c r="P42" s="130" t="str">
        <f>IFERROR(INDEX(R_Proy,MATCH(34,R_TSeqM,0))&amp;"","")</f>
        <v/>
      </c>
      <c r="Q42" s="14" t="str">
        <f>IF(O42="","",SUMIFS(R_Hcnt,R_Emp,"Malcolm",R_Task,INDEX(R_Task,MATCH(34,R_TSeqM,0))))</f>
        <v/>
      </c>
      <c r="R42" s="14" t="str">
        <f>IF(O42="","",SUMIFS(R_NorH,R_Emp,"Malcolm",R_Task,INDEX(R_Task,MATCH(34,R_TSeqM,0))))</f>
        <v/>
      </c>
      <c r="S42" s="14" t="str">
        <f>IF(O42="","",SUMIFS(R_ExtH,R_Emp,"Malcolm",R_Task,INDEX(R_Task,MATCH(34,R_TSeqM,0))))</f>
        <v/>
      </c>
      <c r="T42" s="129" t="str">
        <f>IF(O42="","",COUNTIFS(R_Emp,"Malcolm",R_Cnt,1,R_Task,INDEX(R_Task,MATCH(34,R_TSeqM,0))))</f>
        <v/>
      </c>
    </row>
    <row r="43">
      <c r="B43" s="126" t="n">
        <v>46330</v>
      </c>
      <c r="C43" s="127" t="str">
        <f>CHOOSE(WEEKDAY(B43,2),"Lun","Mar","Mié","Jue","Vie","Sáb","Dom")</f>
        <v>Mié</v>
      </c>
      <c r="D43" s="128" t="str">
        <f>IF(COUNTIFS(FER_F,B43,FER_NLM,"Sí")&gt;0,"Feriado no laborable",IF(COUNTIFS(FER_F,B43)&gt;0,"Feriado laborable",IF(INDEX(CFG_WDAYS,WEEKDAY(B43,2))="Sí","Laborable","Fin de semana / no laborable")))</f>
        <v>Laborable</v>
      </c>
      <c r="E43" s="127">
        <f>SUMIFS(R_HD0,R_Emp,"Malcolm",R_Fecha,$B43)+SUMIFS(R_HD1,R_Emp,"Malcolm",R_D1,$B43)</f>
        <v>0</v>
      </c>
      <c r="F43" s="127">
        <f>SUMIFS(R_ND0,R_Emp,"Malcolm",R_Fecha,$B43)+SUMIFS(R_ND1,R_Emp,"Malcolm",R_D1,$B43)</f>
        <v>0</v>
      </c>
      <c r="G43" s="127">
        <f>SUMIFS(R_XD0,R_Emp,"Malcolm",R_Fecha,$B43)+SUMIFS(R_XD1,R_Emp,"Malcolm",R_D1,$B43)</f>
        <v>0</v>
      </c>
      <c r="I43" s="130" t="str">
        <f>IFERROR(INDEX(R_Proy,MATCH(11,R_PSeqM,0))&amp;"","")</f>
        <v/>
      </c>
      <c r="J43" s="14" t="str">
        <f>IF(I43="","",SUMIFS(R_Hcnt,R_Emp,"Malcolm",R_Proy,I43))</f>
        <v/>
      </c>
      <c r="K43" s="14" t="str">
        <f>IF(I43="","",SUMIFS(R_NorH,R_Emp,"Malcolm",R_Proy,I43))</f>
        <v/>
      </c>
      <c r="L43" s="14" t="str">
        <f>IF(I43="","",SUMIFS(R_ExtH,R_Emp,"Malcolm",R_Proy,I43))</f>
        <v/>
      </c>
      <c r="M43" s="135" t="str">
        <f>IF(I43="","",IFERROR(J43/$J$12,0))</f>
        <v/>
      </c>
      <c r="O43" s="130" t="str">
        <f>IFERROR(INDEX(R_Task,MATCH(35,R_TSeqM,0))&amp;"","")</f>
        <v/>
      </c>
      <c r="P43" s="130" t="str">
        <f>IFERROR(INDEX(R_Proy,MATCH(35,R_TSeqM,0))&amp;"","")</f>
        <v/>
      </c>
      <c r="Q43" s="14" t="str">
        <f>IF(O43="","",SUMIFS(R_Hcnt,R_Emp,"Malcolm",R_Task,INDEX(R_Task,MATCH(35,R_TSeqM,0))))</f>
        <v/>
      </c>
      <c r="R43" s="14" t="str">
        <f>IF(O43="","",SUMIFS(R_NorH,R_Emp,"Malcolm",R_Task,INDEX(R_Task,MATCH(35,R_TSeqM,0))))</f>
        <v/>
      </c>
      <c r="S43" s="14" t="str">
        <f>IF(O43="","",SUMIFS(R_ExtH,R_Emp,"Malcolm",R_Task,INDEX(R_Task,MATCH(35,R_TSeqM,0))))</f>
        <v/>
      </c>
      <c r="T43" s="129" t="str">
        <f>IF(O43="","",COUNTIFS(R_Emp,"Malcolm",R_Cnt,1,R_Task,INDEX(R_Task,MATCH(35,R_TSeqM,0))))</f>
        <v/>
      </c>
    </row>
    <row r="44">
      <c r="B44" s="126" t="n">
        <v>46331</v>
      </c>
      <c r="C44" s="127" t="str">
        <f>CHOOSE(WEEKDAY(B44,2),"Lun","Mar","Mié","Jue","Vie","Sáb","Dom")</f>
        <v>Jue</v>
      </c>
      <c r="D44" s="128" t="str">
        <f>IF(COUNTIFS(FER_F,B44,FER_NLM,"Sí")&gt;0,"Feriado no laborable",IF(COUNTIFS(FER_F,B44)&gt;0,"Feriado laborable",IF(INDEX(CFG_WDAYS,WEEKDAY(B44,2))="Sí","Laborable","Fin de semana / no laborable")))</f>
        <v>Laborable</v>
      </c>
      <c r="E44" s="127">
        <f>SUMIFS(R_HD0,R_Emp,"Malcolm",R_Fecha,$B44)+SUMIFS(R_HD1,R_Emp,"Malcolm",R_D1,$B44)</f>
        <v>0</v>
      </c>
      <c r="F44" s="127">
        <f>SUMIFS(R_ND0,R_Emp,"Malcolm",R_Fecha,$B44)+SUMIFS(R_ND1,R_Emp,"Malcolm",R_D1,$B44)</f>
        <v>0</v>
      </c>
      <c r="G44" s="127">
        <f>SUMIFS(R_XD0,R_Emp,"Malcolm",R_Fecha,$B44)+SUMIFS(R_XD1,R_Emp,"Malcolm",R_D1,$B44)</f>
        <v>0</v>
      </c>
      <c r="I44" s="130" t="str">
        <f>IFERROR(INDEX(R_Proy,MATCH(12,R_PSeqM,0))&amp;"","")</f>
        <v/>
      </c>
      <c r="J44" s="14" t="str">
        <f>IF(I44="","",SUMIFS(R_Hcnt,R_Emp,"Malcolm",R_Proy,I44))</f>
        <v/>
      </c>
      <c r="K44" s="14" t="str">
        <f>IF(I44="","",SUMIFS(R_NorH,R_Emp,"Malcolm",R_Proy,I44))</f>
        <v/>
      </c>
      <c r="L44" s="14" t="str">
        <f>IF(I44="","",SUMIFS(R_ExtH,R_Emp,"Malcolm",R_Proy,I44))</f>
        <v/>
      </c>
      <c r="M44" s="135" t="str">
        <f>IF(I44="","",IFERROR(J44/$J$12,0))</f>
        <v/>
      </c>
      <c r="O44" s="130" t="str">
        <f>IFERROR(INDEX(R_Task,MATCH(36,R_TSeqM,0))&amp;"","")</f>
        <v/>
      </c>
      <c r="P44" s="130" t="str">
        <f>IFERROR(INDEX(R_Proy,MATCH(36,R_TSeqM,0))&amp;"","")</f>
        <v/>
      </c>
      <c r="Q44" s="14" t="str">
        <f>IF(O44="","",SUMIFS(R_Hcnt,R_Emp,"Malcolm",R_Task,INDEX(R_Task,MATCH(36,R_TSeqM,0))))</f>
        <v/>
      </c>
      <c r="R44" s="14" t="str">
        <f>IF(O44="","",SUMIFS(R_NorH,R_Emp,"Malcolm",R_Task,INDEX(R_Task,MATCH(36,R_TSeqM,0))))</f>
        <v/>
      </c>
      <c r="S44" s="14" t="str">
        <f>IF(O44="","",SUMIFS(R_ExtH,R_Emp,"Malcolm",R_Task,INDEX(R_Task,MATCH(36,R_TSeqM,0))))</f>
        <v/>
      </c>
      <c r="T44" s="129" t="str">
        <f>IF(O44="","",COUNTIFS(R_Emp,"Malcolm",R_Cnt,1,R_Task,INDEX(R_Task,MATCH(36,R_TSeqM,0))))</f>
        <v/>
      </c>
    </row>
    <row r="45">
      <c r="B45" s="126" t="n">
        <v>46332</v>
      </c>
      <c r="C45" s="127" t="str">
        <f>CHOOSE(WEEKDAY(B45,2),"Lun","Mar","Mié","Jue","Vie","Sáb","Dom")</f>
        <v>Vie</v>
      </c>
      <c r="D45" s="128" t="str">
        <f>IF(COUNTIFS(FER_F,B45,FER_NLM,"Sí")&gt;0,"Feriado no laborable",IF(COUNTIFS(FER_F,B45)&gt;0,"Feriado laborable",IF(INDEX(CFG_WDAYS,WEEKDAY(B45,2))="Sí","Laborable","Fin de semana / no laborable")))</f>
        <v>Laborable</v>
      </c>
      <c r="E45" s="127">
        <f>SUMIFS(R_HD0,R_Emp,"Malcolm",R_Fecha,$B45)+SUMIFS(R_HD1,R_Emp,"Malcolm",R_D1,$B45)</f>
        <v>0</v>
      </c>
      <c r="F45" s="127">
        <f>SUMIFS(R_ND0,R_Emp,"Malcolm",R_Fecha,$B45)+SUMIFS(R_ND1,R_Emp,"Malcolm",R_D1,$B45)</f>
        <v>0</v>
      </c>
      <c r="G45" s="127">
        <f>SUMIFS(R_XD0,R_Emp,"Malcolm",R_Fecha,$B45)+SUMIFS(R_XD1,R_Emp,"Malcolm",R_D1,$B45)</f>
        <v>0</v>
      </c>
      <c r="I45" s="130" t="str">
        <f>IFERROR(INDEX(R_Proy,MATCH(13,R_PSeqM,0))&amp;"","")</f>
        <v/>
      </c>
      <c r="J45" s="14" t="str">
        <f>IF(I45="","",SUMIFS(R_Hcnt,R_Emp,"Malcolm",R_Proy,I45))</f>
        <v/>
      </c>
      <c r="K45" s="14" t="str">
        <f>IF(I45="","",SUMIFS(R_NorH,R_Emp,"Malcolm",R_Proy,I45))</f>
        <v/>
      </c>
      <c r="L45" s="14" t="str">
        <f>IF(I45="","",SUMIFS(R_ExtH,R_Emp,"Malcolm",R_Proy,I45))</f>
        <v/>
      </c>
      <c r="M45" s="135" t="str">
        <f>IF(I45="","",IFERROR(J45/$J$12,0))</f>
        <v/>
      </c>
      <c r="O45" s="130" t="str">
        <f>IFERROR(INDEX(R_Task,MATCH(37,R_TSeqM,0))&amp;"","")</f>
        <v/>
      </c>
      <c r="P45" s="130" t="str">
        <f>IFERROR(INDEX(R_Proy,MATCH(37,R_TSeqM,0))&amp;"","")</f>
        <v/>
      </c>
      <c r="Q45" s="14" t="str">
        <f>IF(O45="","",SUMIFS(R_Hcnt,R_Emp,"Malcolm",R_Task,INDEX(R_Task,MATCH(37,R_TSeqM,0))))</f>
        <v/>
      </c>
      <c r="R45" s="14" t="str">
        <f>IF(O45="","",SUMIFS(R_NorH,R_Emp,"Malcolm",R_Task,INDEX(R_Task,MATCH(37,R_TSeqM,0))))</f>
        <v/>
      </c>
      <c r="S45" s="14" t="str">
        <f>IF(O45="","",SUMIFS(R_ExtH,R_Emp,"Malcolm",R_Task,INDEX(R_Task,MATCH(37,R_TSeqM,0))))</f>
        <v/>
      </c>
      <c r="T45" s="129" t="str">
        <f>IF(O45="","",COUNTIFS(R_Emp,"Malcolm",R_Cnt,1,R_Task,INDEX(R_Task,MATCH(37,R_TSeqM,0))))</f>
        <v/>
      </c>
    </row>
    <row r="46">
      <c r="B46" s="126" t="n">
        <v>46333</v>
      </c>
      <c r="C46" s="127" t="str">
        <f>CHOOSE(WEEKDAY(B46,2),"Lun","Mar","Mié","Jue","Vie","Sáb","Dom")</f>
        <v>Sáb</v>
      </c>
      <c r="D46" s="128" t="str">
        <f>IF(COUNTIFS(FER_F,B46,FER_NLM,"Sí")&gt;0,"Feriado no laborable",IF(COUNTIFS(FER_F,B46)&gt;0,"Feriado laborable",IF(INDEX(CFG_WDAYS,WEEKDAY(B46,2))="Sí","Laborable","Fin de semana / no laborable")))</f>
        <v>Fin de semana / no laborable</v>
      </c>
      <c r="E46" s="127">
        <f>SUMIFS(R_HD0,R_Emp,"Malcolm",R_Fecha,$B46)+SUMIFS(R_HD1,R_Emp,"Malcolm",R_D1,$B46)</f>
        <v>0</v>
      </c>
      <c r="F46" s="127">
        <f>SUMIFS(R_ND0,R_Emp,"Malcolm",R_Fecha,$B46)+SUMIFS(R_ND1,R_Emp,"Malcolm",R_D1,$B46)</f>
        <v>0</v>
      </c>
      <c r="G46" s="127">
        <f>SUMIFS(R_XD0,R_Emp,"Malcolm",R_Fecha,$B46)+SUMIFS(R_XD1,R_Emp,"Malcolm",R_D1,$B46)</f>
        <v>0</v>
      </c>
      <c r="I46" s="130" t="str">
        <f>IFERROR(INDEX(R_Proy,MATCH(14,R_PSeqM,0))&amp;"","")</f>
        <v/>
      </c>
      <c r="J46" s="14" t="str">
        <f>IF(I46="","",SUMIFS(R_Hcnt,R_Emp,"Malcolm",R_Proy,I46))</f>
        <v/>
      </c>
      <c r="K46" s="14" t="str">
        <f>IF(I46="","",SUMIFS(R_NorH,R_Emp,"Malcolm",R_Proy,I46))</f>
        <v/>
      </c>
      <c r="L46" s="14" t="str">
        <f>IF(I46="","",SUMIFS(R_ExtH,R_Emp,"Malcolm",R_Proy,I46))</f>
        <v/>
      </c>
      <c r="M46" s="135" t="str">
        <f>IF(I46="","",IFERROR(J46/$J$12,0))</f>
        <v/>
      </c>
      <c r="O46" s="130" t="str">
        <f>IFERROR(INDEX(R_Task,MATCH(38,R_TSeqM,0))&amp;"","")</f>
        <v/>
      </c>
      <c r="P46" s="130" t="str">
        <f>IFERROR(INDEX(R_Proy,MATCH(38,R_TSeqM,0))&amp;"","")</f>
        <v/>
      </c>
      <c r="Q46" s="14" t="str">
        <f>IF(O46="","",SUMIFS(R_Hcnt,R_Emp,"Malcolm",R_Task,INDEX(R_Task,MATCH(38,R_TSeqM,0))))</f>
        <v/>
      </c>
      <c r="R46" s="14" t="str">
        <f>IF(O46="","",SUMIFS(R_NorH,R_Emp,"Malcolm",R_Task,INDEX(R_Task,MATCH(38,R_TSeqM,0))))</f>
        <v/>
      </c>
      <c r="S46" s="14" t="str">
        <f>IF(O46="","",SUMIFS(R_ExtH,R_Emp,"Malcolm",R_Task,INDEX(R_Task,MATCH(38,R_TSeqM,0))))</f>
        <v/>
      </c>
      <c r="T46" s="129" t="str">
        <f>IF(O46="","",COUNTIFS(R_Emp,"Malcolm",R_Cnt,1,R_Task,INDEX(R_Task,MATCH(38,R_TSeqM,0))))</f>
        <v/>
      </c>
    </row>
    <row r="47">
      <c r="B47" s="126" t="n">
        <v>46334</v>
      </c>
      <c r="C47" s="127" t="str">
        <f>CHOOSE(WEEKDAY(B47,2),"Lun","Mar","Mié","Jue","Vie","Sáb","Dom")</f>
        <v>Dom</v>
      </c>
      <c r="D47" s="128" t="str">
        <f>IF(COUNTIFS(FER_F,B47,FER_NLM,"Sí")&gt;0,"Feriado no laborable",IF(COUNTIFS(FER_F,B47)&gt;0,"Feriado laborable",IF(INDEX(CFG_WDAYS,WEEKDAY(B47,2))="Sí","Laborable","Fin de semana / no laborable")))</f>
        <v>Fin de semana / no laborable</v>
      </c>
      <c r="E47" s="127">
        <f>SUMIFS(R_HD0,R_Emp,"Malcolm",R_Fecha,$B47)+SUMIFS(R_HD1,R_Emp,"Malcolm",R_D1,$B47)</f>
        <v>0</v>
      </c>
      <c r="F47" s="127">
        <f>SUMIFS(R_ND0,R_Emp,"Malcolm",R_Fecha,$B47)+SUMIFS(R_ND1,R_Emp,"Malcolm",R_D1,$B47)</f>
        <v>0</v>
      </c>
      <c r="G47" s="127">
        <f>SUMIFS(R_XD0,R_Emp,"Malcolm",R_Fecha,$B47)+SUMIFS(R_XD1,R_Emp,"Malcolm",R_D1,$B47)</f>
        <v>0</v>
      </c>
      <c r="I47" s="130" t="str">
        <f>IFERROR(INDEX(R_Proy,MATCH(15,R_PSeqM,0))&amp;"","")</f>
        <v/>
      </c>
      <c r="J47" s="14" t="str">
        <f>IF(I47="","",SUMIFS(R_Hcnt,R_Emp,"Malcolm",R_Proy,I47))</f>
        <v/>
      </c>
      <c r="K47" s="14" t="str">
        <f>IF(I47="","",SUMIFS(R_NorH,R_Emp,"Malcolm",R_Proy,I47))</f>
        <v/>
      </c>
      <c r="L47" s="14" t="str">
        <f>IF(I47="","",SUMIFS(R_ExtH,R_Emp,"Malcolm",R_Proy,I47))</f>
        <v/>
      </c>
      <c r="M47" s="135" t="str">
        <f>IF(I47="","",IFERROR(J47/$J$12,0))</f>
        <v/>
      </c>
      <c r="O47" s="130" t="str">
        <f>IFERROR(INDEX(R_Task,MATCH(39,R_TSeqM,0))&amp;"","")</f>
        <v/>
      </c>
      <c r="P47" s="130" t="str">
        <f>IFERROR(INDEX(R_Proy,MATCH(39,R_TSeqM,0))&amp;"","")</f>
        <v/>
      </c>
      <c r="Q47" s="14" t="str">
        <f>IF(O47="","",SUMIFS(R_Hcnt,R_Emp,"Malcolm",R_Task,INDEX(R_Task,MATCH(39,R_TSeqM,0))))</f>
        <v/>
      </c>
      <c r="R47" s="14" t="str">
        <f>IF(O47="","",SUMIFS(R_NorH,R_Emp,"Malcolm",R_Task,INDEX(R_Task,MATCH(39,R_TSeqM,0))))</f>
        <v/>
      </c>
      <c r="S47" s="14" t="str">
        <f>IF(O47="","",SUMIFS(R_ExtH,R_Emp,"Malcolm",R_Task,INDEX(R_Task,MATCH(39,R_TSeqM,0))))</f>
        <v/>
      </c>
      <c r="T47" s="129" t="str">
        <f>IF(O47="","",COUNTIFS(R_Emp,"Malcolm",R_Cnt,1,R_Task,INDEX(R_Task,MATCH(39,R_TSeqM,0))))</f>
        <v/>
      </c>
    </row>
    <row r="48">
      <c r="B48" s="126" t="n">
        <v>46335</v>
      </c>
      <c r="C48" s="127" t="str">
        <f>CHOOSE(WEEKDAY(B48,2),"Lun","Mar","Mié","Jue","Vie","Sáb","Dom")</f>
        <v>Lun</v>
      </c>
      <c r="D48" s="128" t="str">
        <f>IF(COUNTIFS(FER_F,B48,FER_NLM,"Sí")&gt;0,"Feriado no laborable",IF(COUNTIFS(FER_F,B48)&gt;0,"Feriado laborable",IF(INDEX(CFG_WDAYS,WEEKDAY(B48,2))="Sí","Laborable","Fin de semana / no laborable")))</f>
        <v>Laborable</v>
      </c>
      <c r="E48" s="127">
        <f>SUMIFS(R_HD0,R_Emp,"Malcolm",R_Fecha,$B48)+SUMIFS(R_HD1,R_Emp,"Malcolm",R_D1,$B48)</f>
        <v>0</v>
      </c>
      <c r="F48" s="127">
        <f>SUMIFS(R_ND0,R_Emp,"Malcolm",R_Fecha,$B48)+SUMIFS(R_ND1,R_Emp,"Malcolm",R_D1,$B48)</f>
        <v>0</v>
      </c>
      <c r="G48" s="127">
        <f>SUMIFS(R_XD0,R_Emp,"Malcolm",R_Fecha,$B48)+SUMIFS(R_XD1,R_Emp,"Malcolm",R_D1,$B48)</f>
        <v>0</v>
      </c>
      <c r="I48" s="130" t="str">
        <f>IFERROR(INDEX(R_Proy,MATCH(16,R_PSeqM,0))&amp;"","")</f>
        <v/>
      </c>
      <c r="J48" s="14" t="str">
        <f>IF(I48="","",SUMIFS(R_Hcnt,R_Emp,"Malcolm",R_Proy,I48))</f>
        <v/>
      </c>
      <c r="K48" s="14" t="str">
        <f>IF(I48="","",SUMIFS(R_NorH,R_Emp,"Malcolm",R_Proy,I48))</f>
        <v/>
      </c>
      <c r="L48" s="14" t="str">
        <f>IF(I48="","",SUMIFS(R_ExtH,R_Emp,"Malcolm",R_Proy,I48))</f>
        <v/>
      </c>
      <c r="M48" s="135" t="str">
        <f>IF(I48="","",IFERROR(J48/$J$12,0))</f>
        <v/>
      </c>
      <c r="O48" s="130" t="str">
        <f>IFERROR(INDEX(R_Task,MATCH(40,R_TSeqM,0))&amp;"","")</f>
        <v/>
      </c>
      <c r="P48" s="130" t="str">
        <f>IFERROR(INDEX(R_Proy,MATCH(40,R_TSeqM,0))&amp;"","")</f>
        <v/>
      </c>
      <c r="Q48" s="14" t="str">
        <f>IF(O48="","",SUMIFS(R_Hcnt,R_Emp,"Malcolm",R_Task,INDEX(R_Task,MATCH(40,R_TSeqM,0))))</f>
        <v/>
      </c>
      <c r="R48" s="14" t="str">
        <f>IF(O48="","",SUMIFS(R_NorH,R_Emp,"Malcolm",R_Task,INDEX(R_Task,MATCH(40,R_TSeqM,0))))</f>
        <v/>
      </c>
      <c r="S48" s="14" t="str">
        <f>IF(O48="","",SUMIFS(R_ExtH,R_Emp,"Malcolm",R_Task,INDEX(R_Task,MATCH(40,R_TSeqM,0))))</f>
        <v/>
      </c>
      <c r="T48" s="129" t="str">
        <f>IF(O48="","",COUNTIFS(R_Emp,"Malcolm",R_Cnt,1,R_Task,INDEX(R_Task,MATCH(40,R_TSeqM,0))))</f>
        <v/>
      </c>
    </row>
    <row r="49">
      <c r="B49" s="126" t="n">
        <v>46336</v>
      </c>
      <c r="C49" s="127" t="str">
        <f>CHOOSE(WEEKDAY(B49,2),"Lun","Mar","Mié","Jue","Vie","Sáb","Dom")</f>
        <v>Mar</v>
      </c>
      <c r="D49" s="128" t="str">
        <f>IF(COUNTIFS(FER_F,B49,FER_NLM,"Sí")&gt;0,"Feriado no laborable",IF(COUNTIFS(FER_F,B49)&gt;0,"Feriado laborable",IF(INDEX(CFG_WDAYS,WEEKDAY(B49,2))="Sí","Laborable","Fin de semana / no laborable")))</f>
        <v>Laborable</v>
      </c>
      <c r="E49" s="127">
        <f>SUMIFS(R_HD0,R_Emp,"Malcolm",R_Fecha,$B49)+SUMIFS(R_HD1,R_Emp,"Malcolm",R_D1,$B49)</f>
        <v>0</v>
      </c>
      <c r="F49" s="127">
        <f>SUMIFS(R_ND0,R_Emp,"Malcolm",R_Fecha,$B49)+SUMIFS(R_ND1,R_Emp,"Malcolm",R_D1,$B49)</f>
        <v>0</v>
      </c>
      <c r="G49" s="127">
        <f>SUMIFS(R_XD0,R_Emp,"Malcolm",R_Fecha,$B49)+SUMIFS(R_XD1,R_Emp,"Malcolm",R_D1,$B49)</f>
        <v>0</v>
      </c>
      <c r="I49" s="130" t="str">
        <f>IFERROR(INDEX(R_Proy,MATCH(17,R_PSeqM,0))&amp;"","")</f>
        <v/>
      </c>
      <c r="J49" s="14" t="str">
        <f>IF(I49="","",SUMIFS(R_Hcnt,R_Emp,"Malcolm",R_Proy,I49))</f>
        <v/>
      </c>
      <c r="K49" s="14" t="str">
        <f>IF(I49="","",SUMIFS(R_NorH,R_Emp,"Malcolm",R_Proy,I49))</f>
        <v/>
      </c>
      <c r="L49" s="14" t="str">
        <f>IF(I49="","",SUMIFS(R_ExtH,R_Emp,"Malcolm",R_Proy,I49))</f>
        <v/>
      </c>
      <c r="M49" s="135" t="str">
        <f>IF(I49="","",IFERROR(J49/$J$12,0))</f>
        <v/>
      </c>
      <c r="O49" s="130" t="str">
        <f>IFERROR(INDEX(R_Task,MATCH(41,R_TSeqM,0))&amp;"","")</f>
        <v/>
      </c>
      <c r="P49" s="130" t="str">
        <f>IFERROR(INDEX(R_Proy,MATCH(41,R_TSeqM,0))&amp;"","")</f>
        <v/>
      </c>
      <c r="Q49" s="14" t="str">
        <f>IF(O49="","",SUMIFS(R_Hcnt,R_Emp,"Malcolm",R_Task,INDEX(R_Task,MATCH(41,R_TSeqM,0))))</f>
        <v/>
      </c>
      <c r="R49" s="14" t="str">
        <f>IF(O49="","",SUMIFS(R_NorH,R_Emp,"Malcolm",R_Task,INDEX(R_Task,MATCH(41,R_TSeqM,0))))</f>
        <v/>
      </c>
      <c r="S49" s="14" t="str">
        <f>IF(O49="","",SUMIFS(R_ExtH,R_Emp,"Malcolm",R_Task,INDEX(R_Task,MATCH(41,R_TSeqM,0))))</f>
        <v/>
      </c>
      <c r="T49" s="129" t="str">
        <f>IF(O49="","",COUNTIFS(R_Emp,"Malcolm",R_Cnt,1,R_Task,INDEX(R_Task,MATCH(41,R_TSeqM,0))))</f>
        <v/>
      </c>
    </row>
    <row r="50">
      <c r="B50" s="126" t="n">
        <v>46337</v>
      </c>
      <c r="C50" s="127" t="str">
        <f>CHOOSE(WEEKDAY(B50,2),"Lun","Mar","Mié","Jue","Vie","Sáb","Dom")</f>
        <v>Mié</v>
      </c>
      <c r="D50" s="128" t="str">
        <f>IF(COUNTIFS(FER_F,B50,FER_NLM,"Sí")&gt;0,"Feriado no laborable",IF(COUNTIFS(FER_F,B50)&gt;0,"Feriado laborable",IF(INDEX(CFG_WDAYS,WEEKDAY(B50,2))="Sí","Laborable","Fin de semana / no laborable")))</f>
        <v>Feriado no laborable</v>
      </c>
      <c r="E50" s="127">
        <f>SUMIFS(R_HD0,R_Emp,"Malcolm",R_Fecha,$B50)+SUMIFS(R_HD1,R_Emp,"Malcolm",R_D1,$B50)</f>
        <v>0</v>
      </c>
      <c r="F50" s="127">
        <f>SUMIFS(R_ND0,R_Emp,"Malcolm",R_Fecha,$B50)+SUMIFS(R_ND1,R_Emp,"Malcolm",R_D1,$B50)</f>
        <v>0</v>
      </c>
      <c r="G50" s="127">
        <f>SUMIFS(R_XD0,R_Emp,"Malcolm",R_Fecha,$B50)+SUMIFS(R_XD1,R_Emp,"Malcolm",R_D1,$B50)</f>
        <v>0</v>
      </c>
      <c r="I50" s="130" t="str">
        <f>IFERROR(INDEX(R_Proy,MATCH(18,R_PSeqM,0))&amp;"","")</f>
        <v/>
      </c>
      <c r="J50" s="14" t="str">
        <f>IF(I50="","",SUMIFS(R_Hcnt,R_Emp,"Malcolm",R_Proy,I50))</f>
        <v/>
      </c>
      <c r="K50" s="14" t="str">
        <f>IF(I50="","",SUMIFS(R_NorH,R_Emp,"Malcolm",R_Proy,I50))</f>
        <v/>
      </c>
      <c r="L50" s="14" t="str">
        <f>IF(I50="","",SUMIFS(R_ExtH,R_Emp,"Malcolm",R_Proy,I50))</f>
        <v/>
      </c>
      <c r="M50" s="135" t="str">
        <f>IF(I50="","",IFERROR(J50/$J$12,0))</f>
        <v/>
      </c>
      <c r="O50" s="130" t="str">
        <f>IFERROR(INDEX(R_Task,MATCH(42,R_TSeqM,0))&amp;"","")</f>
        <v/>
      </c>
      <c r="P50" s="130" t="str">
        <f>IFERROR(INDEX(R_Proy,MATCH(42,R_TSeqM,0))&amp;"","")</f>
        <v/>
      </c>
      <c r="Q50" s="14" t="str">
        <f>IF(O50="","",SUMIFS(R_Hcnt,R_Emp,"Malcolm",R_Task,INDEX(R_Task,MATCH(42,R_TSeqM,0))))</f>
        <v/>
      </c>
      <c r="R50" s="14" t="str">
        <f>IF(O50="","",SUMIFS(R_NorH,R_Emp,"Malcolm",R_Task,INDEX(R_Task,MATCH(42,R_TSeqM,0))))</f>
        <v/>
      </c>
      <c r="S50" s="14" t="str">
        <f>IF(O50="","",SUMIFS(R_ExtH,R_Emp,"Malcolm",R_Task,INDEX(R_Task,MATCH(42,R_TSeqM,0))))</f>
        <v/>
      </c>
      <c r="T50" s="129" t="str">
        <f>IF(O50="","",COUNTIFS(R_Emp,"Malcolm",R_Cnt,1,R_Task,INDEX(R_Task,MATCH(42,R_TSeqM,0))))</f>
        <v/>
      </c>
    </row>
    <row r="51">
      <c r="B51" s="126" t="n">
        <v>46338</v>
      </c>
      <c r="C51" s="127" t="str">
        <f>CHOOSE(WEEKDAY(B51,2),"Lun","Mar","Mié","Jue","Vie","Sáb","Dom")</f>
        <v>Jue</v>
      </c>
      <c r="D51" s="128" t="str">
        <f>IF(COUNTIFS(FER_F,B51,FER_NLM,"Sí")&gt;0,"Feriado no laborable",IF(COUNTIFS(FER_F,B51)&gt;0,"Feriado laborable",IF(INDEX(CFG_WDAYS,WEEKDAY(B51,2))="Sí","Laborable","Fin de semana / no laborable")))</f>
        <v>Laborable</v>
      </c>
      <c r="E51" s="127">
        <f>SUMIFS(R_HD0,R_Emp,"Malcolm",R_Fecha,$B51)+SUMIFS(R_HD1,R_Emp,"Malcolm",R_D1,$B51)</f>
        <v>0</v>
      </c>
      <c r="F51" s="127">
        <f>SUMIFS(R_ND0,R_Emp,"Malcolm",R_Fecha,$B51)+SUMIFS(R_ND1,R_Emp,"Malcolm",R_D1,$B51)</f>
        <v>0</v>
      </c>
      <c r="G51" s="127">
        <f>SUMIFS(R_XD0,R_Emp,"Malcolm",R_Fecha,$B51)+SUMIFS(R_XD1,R_Emp,"Malcolm",R_D1,$B51)</f>
        <v>0</v>
      </c>
      <c r="I51" s="130" t="str">
        <f>IFERROR(INDEX(R_Proy,MATCH(19,R_PSeqM,0))&amp;"","")</f>
        <v/>
      </c>
      <c r="J51" s="14" t="str">
        <f>IF(I51="","",SUMIFS(R_Hcnt,R_Emp,"Malcolm",R_Proy,I51))</f>
        <v/>
      </c>
      <c r="K51" s="14" t="str">
        <f>IF(I51="","",SUMIFS(R_NorH,R_Emp,"Malcolm",R_Proy,I51))</f>
        <v/>
      </c>
      <c r="L51" s="14" t="str">
        <f>IF(I51="","",SUMIFS(R_ExtH,R_Emp,"Malcolm",R_Proy,I51))</f>
        <v/>
      </c>
      <c r="M51" s="135" t="str">
        <f>IF(I51="","",IFERROR(J51/$J$12,0))</f>
        <v/>
      </c>
      <c r="O51" s="130" t="str">
        <f>IFERROR(INDEX(R_Task,MATCH(43,R_TSeqM,0))&amp;"","")</f>
        <v/>
      </c>
      <c r="P51" s="130" t="str">
        <f>IFERROR(INDEX(R_Proy,MATCH(43,R_TSeqM,0))&amp;"","")</f>
        <v/>
      </c>
      <c r="Q51" s="14" t="str">
        <f>IF(O51="","",SUMIFS(R_Hcnt,R_Emp,"Malcolm",R_Task,INDEX(R_Task,MATCH(43,R_TSeqM,0))))</f>
        <v/>
      </c>
      <c r="R51" s="14" t="str">
        <f>IF(O51="","",SUMIFS(R_NorH,R_Emp,"Malcolm",R_Task,INDEX(R_Task,MATCH(43,R_TSeqM,0))))</f>
        <v/>
      </c>
      <c r="S51" s="14" t="str">
        <f>IF(O51="","",SUMIFS(R_ExtH,R_Emp,"Malcolm",R_Task,INDEX(R_Task,MATCH(43,R_TSeqM,0))))</f>
        <v/>
      </c>
      <c r="T51" s="129" t="str">
        <f>IF(O51="","",COUNTIFS(R_Emp,"Malcolm",R_Cnt,1,R_Task,INDEX(R_Task,MATCH(43,R_TSeqM,0))))</f>
        <v/>
      </c>
    </row>
    <row r="52">
      <c r="B52" s="126" t="n">
        <v>46339</v>
      </c>
      <c r="C52" s="127" t="str">
        <f>CHOOSE(WEEKDAY(B52,2),"Lun","Mar","Mié","Jue","Vie","Sáb","Dom")</f>
        <v>Vie</v>
      </c>
      <c r="D52" s="128" t="str">
        <f>IF(COUNTIFS(FER_F,B52,FER_NLM,"Sí")&gt;0,"Feriado no laborable",IF(COUNTIFS(FER_F,B52)&gt;0,"Feriado laborable",IF(INDEX(CFG_WDAYS,WEEKDAY(B52,2))="Sí","Laborable","Fin de semana / no laborable")))</f>
        <v>Laborable</v>
      </c>
      <c r="E52" s="127">
        <f>SUMIFS(R_HD0,R_Emp,"Malcolm",R_Fecha,$B52)+SUMIFS(R_HD1,R_Emp,"Malcolm",R_D1,$B52)</f>
        <v>0</v>
      </c>
      <c r="F52" s="127">
        <f>SUMIFS(R_ND0,R_Emp,"Malcolm",R_Fecha,$B52)+SUMIFS(R_ND1,R_Emp,"Malcolm",R_D1,$B52)</f>
        <v>0</v>
      </c>
      <c r="G52" s="127">
        <f>SUMIFS(R_XD0,R_Emp,"Malcolm",R_Fecha,$B52)+SUMIFS(R_XD1,R_Emp,"Malcolm",R_D1,$B52)</f>
        <v>0</v>
      </c>
      <c r="I52" s="130" t="str">
        <f>IFERROR(INDEX(R_Proy,MATCH(20,R_PSeqM,0))&amp;"","")</f>
        <v/>
      </c>
      <c r="J52" s="14" t="str">
        <f>IF(I52="","",SUMIFS(R_Hcnt,R_Emp,"Malcolm",R_Proy,I52))</f>
        <v/>
      </c>
      <c r="K52" s="14" t="str">
        <f>IF(I52="","",SUMIFS(R_NorH,R_Emp,"Malcolm",R_Proy,I52))</f>
        <v/>
      </c>
      <c r="L52" s="14" t="str">
        <f>IF(I52="","",SUMIFS(R_ExtH,R_Emp,"Malcolm",R_Proy,I52))</f>
        <v/>
      </c>
      <c r="M52" s="135" t="str">
        <f>IF(I52="","",IFERROR(J52/$J$12,0))</f>
        <v/>
      </c>
      <c r="O52" s="130" t="str">
        <f>IFERROR(INDEX(R_Task,MATCH(44,R_TSeqM,0))&amp;"","")</f>
        <v/>
      </c>
      <c r="P52" s="130" t="str">
        <f>IFERROR(INDEX(R_Proy,MATCH(44,R_TSeqM,0))&amp;"","")</f>
        <v/>
      </c>
      <c r="Q52" s="14" t="str">
        <f>IF(O52="","",SUMIFS(R_Hcnt,R_Emp,"Malcolm",R_Task,INDEX(R_Task,MATCH(44,R_TSeqM,0))))</f>
        <v/>
      </c>
      <c r="R52" s="14" t="str">
        <f>IF(O52="","",SUMIFS(R_NorH,R_Emp,"Malcolm",R_Task,INDEX(R_Task,MATCH(44,R_TSeqM,0))))</f>
        <v/>
      </c>
      <c r="S52" s="14" t="str">
        <f>IF(O52="","",SUMIFS(R_ExtH,R_Emp,"Malcolm",R_Task,INDEX(R_Task,MATCH(44,R_TSeqM,0))))</f>
        <v/>
      </c>
      <c r="T52" s="129" t="str">
        <f>IF(O52="","",COUNTIFS(R_Emp,"Malcolm",R_Cnt,1,R_Task,INDEX(R_Task,MATCH(44,R_TSeqM,0))))</f>
        <v/>
      </c>
    </row>
    <row r="53">
      <c r="B53" s="126" t="n">
        <v>46340</v>
      </c>
      <c r="C53" s="127" t="str">
        <f>CHOOSE(WEEKDAY(B53,2),"Lun","Mar","Mié","Jue","Vie","Sáb","Dom")</f>
        <v>Sáb</v>
      </c>
      <c r="D53" s="128" t="str">
        <f>IF(COUNTIFS(FER_F,B53,FER_NLM,"Sí")&gt;0,"Feriado no laborable",IF(COUNTIFS(FER_F,B53)&gt;0,"Feriado laborable",IF(INDEX(CFG_WDAYS,WEEKDAY(B53,2))="Sí","Laborable","Fin de semana / no laborable")))</f>
        <v>Fin de semana / no laborable</v>
      </c>
      <c r="E53" s="127">
        <f>SUMIFS(R_HD0,R_Emp,"Malcolm",R_Fecha,$B53)+SUMIFS(R_HD1,R_Emp,"Malcolm",R_D1,$B53)</f>
        <v>0</v>
      </c>
      <c r="F53" s="127">
        <f>SUMIFS(R_ND0,R_Emp,"Malcolm",R_Fecha,$B53)+SUMIFS(R_ND1,R_Emp,"Malcolm",R_D1,$B53)</f>
        <v>0</v>
      </c>
      <c r="G53" s="127">
        <f>SUMIFS(R_XD0,R_Emp,"Malcolm",R_Fecha,$B53)+SUMIFS(R_XD1,R_Emp,"Malcolm",R_D1,$B53)</f>
        <v>0</v>
      </c>
      <c r="I53" s="130" t="str">
        <f>IFERROR(INDEX(R_Proy,MATCH(21,R_PSeqM,0))&amp;"","")</f>
        <v/>
      </c>
      <c r="J53" s="14" t="str">
        <f>IF(I53="","",SUMIFS(R_Hcnt,R_Emp,"Malcolm",R_Proy,I53))</f>
        <v/>
      </c>
      <c r="K53" s="14" t="str">
        <f>IF(I53="","",SUMIFS(R_NorH,R_Emp,"Malcolm",R_Proy,I53))</f>
        <v/>
      </c>
      <c r="L53" s="14" t="str">
        <f>IF(I53="","",SUMIFS(R_ExtH,R_Emp,"Malcolm",R_Proy,I53))</f>
        <v/>
      </c>
      <c r="M53" s="135" t="str">
        <f>IF(I53="","",IFERROR(J53/$J$12,0))</f>
        <v/>
      </c>
      <c r="O53" s="130" t="str">
        <f>IFERROR(INDEX(R_Task,MATCH(45,R_TSeqM,0))&amp;"","")</f>
        <v/>
      </c>
      <c r="P53" s="130" t="str">
        <f>IFERROR(INDEX(R_Proy,MATCH(45,R_TSeqM,0))&amp;"","")</f>
        <v/>
      </c>
      <c r="Q53" s="14" t="str">
        <f>IF(O53="","",SUMIFS(R_Hcnt,R_Emp,"Malcolm",R_Task,INDEX(R_Task,MATCH(45,R_TSeqM,0))))</f>
        <v/>
      </c>
      <c r="R53" s="14" t="str">
        <f>IF(O53="","",SUMIFS(R_NorH,R_Emp,"Malcolm",R_Task,INDEX(R_Task,MATCH(45,R_TSeqM,0))))</f>
        <v/>
      </c>
      <c r="S53" s="14" t="str">
        <f>IF(O53="","",SUMIFS(R_ExtH,R_Emp,"Malcolm",R_Task,INDEX(R_Task,MATCH(45,R_TSeqM,0))))</f>
        <v/>
      </c>
      <c r="T53" s="129" t="str">
        <f>IF(O53="","",COUNTIFS(R_Emp,"Malcolm",R_Cnt,1,R_Task,INDEX(R_Task,MATCH(45,R_TSeqM,0))))</f>
        <v/>
      </c>
    </row>
    <row r="54">
      <c r="B54" s="126" t="n">
        <v>46341</v>
      </c>
      <c r="C54" s="127" t="str">
        <f>CHOOSE(WEEKDAY(B54,2),"Lun","Mar","Mié","Jue","Vie","Sáb","Dom")</f>
        <v>Dom</v>
      </c>
      <c r="D54" s="128" t="str">
        <f>IF(COUNTIFS(FER_F,B54,FER_NLM,"Sí")&gt;0,"Feriado no laborable",IF(COUNTIFS(FER_F,B54)&gt;0,"Feriado laborable",IF(INDEX(CFG_WDAYS,WEEKDAY(B54,2))="Sí","Laborable","Fin de semana / no laborable")))</f>
        <v>Fin de semana / no laborable</v>
      </c>
      <c r="E54" s="127">
        <f>SUMIFS(R_HD0,R_Emp,"Malcolm",R_Fecha,$B54)+SUMIFS(R_HD1,R_Emp,"Malcolm",R_D1,$B54)</f>
        <v>0</v>
      </c>
      <c r="F54" s="127">
        <f>SUMIFS(R_ND0,R_Emp,"Malcolm",R_Fecha,$B54)+SUMIFS(R_ND1,R_Emp,"Malcolm",R_D1,$B54)</f>
        <v>0</v>
      </c>
      <c r="G54" s="127">
        <f>SUMIFS(R_XD0,R_Emp,"Malcolm",R_Fecha,$B54)+SUMIFS(R_XD1,R_Emp,"Malcolm",R_D1,$B54)</f>
        <v>0</v>
      </c>
      <c r="I54" s="130" t="str">
        <f>IFERROR(INDEX(R_Proy,MATCH(22,R_PSeqM,0))&amp;"","")</f>
        <v/>
      </c>
      <c r="J54" s="14" t="str">
        <f>IF(I54="","",SUMIFS(R_Hcnt,R_Emp,"Malcolm",R_Proy,I54))</f>
        <v/>
      </c>
      <c r="K54" s="14" t="str">
        <f>IF(I54="","",SUMIFS(R_NorH,R_Emp,"Malcolm",R_Proy,I54))</f>
        <v/>
      </c>
      <c r="L54" s="14" t="str">
        <f>IF(I54="","",SUMIFS(R_ExtH,R_Emp,"Malcolm",R_Proy,I54))</f>
        <v/>
      </c>
      <c r="M54" s="135" t="str">
        <f>IF(I54="","",IFERROR(J54/$J$12,0))</f>
        <v/>
      </c>
      <c r="O54" s="130" t="str">
        <f>IFERROR(INDEX(R_Task,MATCH(46,R_TSeqM,0))&amp;"","")</f>
        <v/>
      </c>
      <c r="P54" s="130" t="str">
        <f>IFERROR(INDEX(R_Proy,MATCH(46,R_TSeqM,0))&amp;"","")</f>
        <v/>
      </c>
      <c r="Q54" s="14" t="str">
        <f>IF(O54="","",SUMIFS(R_Hcnt,R_Emp,"Malcolm",R_Task,INDEX(R_Task,MATCH(46,R_TSeqM,0))))</f>
        <v/>
      </c>
      <c r="R54" s="14" t="str">
        <f>IF(O54="","",SUMIFS(R_NorH,R_Emp,"Malcolm",R_Task,INDEX(R_Task,MATCH(46,R_TSeqM,0))))</f>
        <v/>
      </c>
      <c r="S54" s="14" t="str">
        <f>IF(O54="","",SUMIFS(R_ExtH,R_Emp,"Malcolm",R_Task,INDEX(R_Task,MATCH(46,R_TSeqM,0))))</f>
        <v/>
      </c>
      <c r="T54" s="129" t="str">
        <f>IF(O54="","",COUNTIFS(R_Emp,"Malcolm",R_Cnt,1,R_Task,INDEX(R_Task,MATCH(46,R_TSeqM,0))))</f>
        <v/>
      </c>
    </row>
    <row r="55">
      <c r="B55" s="126" t="n">
        <v>46342</v>
      </c>
      <c r="C55" s="127" t="str">
        <f>CHOOSE(WEEKDAY(B55,2),"Lun","Mar","Mié","Jue","Vie","Sáb","Dom")</f>
        <v>Lun</v>
      </c>
      <c r="D55" s="128" t="str">
        <f>IF(COUNTIFS(FER_F,B55,FER_NLM,"Sí")&gt;0,"Feriado no laborable",IF(COUNTIFS(FER_F,B55)&gt;0,"Feriado laborable",IF(INDEX(CFG_WDAYS,WEEKDAY(B55,2))="Sí","Laborable","Fin de semana / no laborable")))</f>
        <v>Laborable</v>
      </c>
      <c r="E55" s="127">
        <f>SUMIFS(R_HD0,R_Emp,"Malcolm",R_Fecha,$B55)+SUMIFS(R_HD1,R_Emp,"Malcolm",R_D1,$B55)</f>
        <v>0</v>
      </c>
      <c r="F55" s="127">
        <f>SUMIFS(R_ND0,R_Emp,"Malcolm",R_Fecha,$B55)+SUMIFS(R_ND1,R_Emp,"Malcolm",R_D1,$B55)</f>
        <v>0</v>
      </c>
      <c r="G55" s="127">
        <f>SUMIFS(R_XD0,R_Emp,"Malcolm",R_Fecha,$B55)+SUMIFS(R_XD1,R_Emp,"Malcolm",R_D1,$B55)</f>
        <v>0</v>
      </c>
      <c r="I55" s="130" t="str">
        <f>IFERROR(INDEX(R_Proy,MATCH(23,R_PSeqM,0))&amp;"","")</f>
        <v/>
      </c>
      <c r="J55" s="14" t="str">
        <f>IF(I55="","",SUMIFS(R_Hcnt,R_Emp,"Malcolm",R_Proy,I55))</f>
        <v/>
      </c>
      <c r="K55" s="14" t="str">
        <f>IF(I55="","",SUMIFS(R_NorH,R_Emp,"Malcolm",R_Proy,I55))</f>
        <v/>
      </c>
      <c r="L55" s="14" t="str">
        <f>IF(I55="","",SUMIFS(R_ExtH,R_Emp,"Malcolm",R_Proy,I55))</f>
        <v/>
      </c>
      <c r="M55" s="135" t="str">
        <f>IF(I55="","",IFERROR(J55/$J$12,0))</f>
        <v/>
      </c>
      <c r="O55" s="130" t="str">
        <f>IFERROR(INDEX(R_Task,MATCH(47,R_TSeqM,0))&amp;"","")</f>
        <v/>
      </c>
      <c r="P55" s="130" t="str">
        <f>IFERROR(INDEX(R_Proy,MATCH(47,R_TSeqM,0))&amp;"","")</f>
        <v/>
      </c>
      <c r="Q55" s="14" t="str">
        <f>IF(O55="","",SUMIFS(R_Hcnt,R_Emp,"Malcolm",R_Task,INDEX(R_Task,MATCH(47,R_TSeqM,0))))</f>
        <v/>
      </c>
      <c r="R55" s="14" t="str">
        <f>IF(O55="","",SUMIFS(R_NorH,R_Emp,"Malcolm",R_Task,INDEX(R_Task,MATCH(47,R_TSeqM,0))))</f>
        <v/>
      </c>
      <c r="S55" s="14" t="str">
        <f>IF(O55="","",SUMIFS(R_ExtH,R_Emp,"Malcolm",R_Task,INDEX(R_Task,MATCH(47,R_TSeqM,0))))</f>
        <v/>
      </c>
      <c r="T55" s="129" t="str">
        <f>IF(O55="","",COUNTIFS(R_Emp,"Malcolm",R_Cnt,1,R_Task,INDEX(R_Task,MATCH(47,R_TSeqM,0))))</f>
        <v/>
      </c>
    </row>
    <row r="56">
      <c r="B56" s="126" t="n">
        <v>46343</v>
      </c>
      <c r="C56" s="127" t="str">
        <f>CHOOSE(WEEKDAY(B56,2),"Lun","Mar","Mié","Jue","Vie","Sáb","Dom")</f>
        <v>Mar</v>
      </c>
      <c r="D56" s="128" t="str">
        <f>IF(COUNTIFS(FER_F,B56,FER_NLM,"Sí")&gt;0,"Feriado no laborable",IF(COUNTIFS(FER_F,B56)&gt;0,"Feriado laborable",IF(INDEX(CFG_WDAYS,WEEKDAY(B56,2))="Sí","Laborable","Fin de semana / no laborable")))</f>
        <v>Laborable</v>
      </c>
      <c r="E56" s="127">
        <f>SUMIFS(R_HD0,R_Emp,"Malcolm",R_Fecha,$B56)+SUMIFS(R_HD1,R_Emp,"Malcolm",R_D1,$B56)</f>
        <v>0</v>
      </c>
      <c r="F56" s="127">
        <f>SUMIFS(R_ND0,R_Emp,"Malcolm",R_Fecha,$B56)+SUMIFS(R_ND1,R_Emp,"Malcolm",R_D1,$B56)</f>
        <v>0</v>
      </c>
      <c r="G56" s="127">
        <f>SUMIFS(R_XD0,R_Emp,"Malcolm",R_Fecha,$B56)+SUMIFS(R_XD1,R_Emp,"Malcolm",R_D1,$B56)</f>
        <v>0</v>
      </c>
      <c r="I56" s="130" t="str">
        <f>IFERROR(INDEX(R_Proy,MATCH(24,R_PSeqM,0))&amp;"","")</f>
        <v/>
      </c>
      <c r="J56" s="14" t="str">
        <f>IF(I56="","",SUMIFS(R_Hcnt,R_Emp,"Malcolm",R_Proy,I56))</f>
        <v/>
      </c>
      <c r="K56" s="14" t="str">
        <f>IF(I56="","",SUMIFS(R_NorH,R_Emp,"Malcolm",R_Proy,I56))</f>
        <v/>
      </c>
      <c r="L56" s="14" t="str">
        <f>IF(I56="","",SUMIFS(R_ExtH,R_Emp,"Malcolm",R_Proy,I56))</f>
        <v/>
      </c>
      <c r="M56" s="135" t="str">
        <f>IF(I56="","",IFERROR(J56/$J$12,0))</f>
        <v/>
      </c>
      <c r="O56" s="130" t="str">
        <f>IFERROR(INDEX(R_Task,MATCH(48,R_TSeqM,0))&amp;"","")</f>
        <v/>
      </c>
      <c r="P56" s="130" t="str">
        <f>IFERROR(INDEX(R_Proy,MATCH(48,R_TSeqM,0))&amp;"","")</f>
        <v/>
      </c>
      <c r="Q56" s="14" t="str">
        <f>IF(O56="","",SUMIFS(R_Hcnt,R_Emp,"Malcolm",R_Task,INDEX(R_Task,MATCH(48,R_TSeqM,0))))</f>
        <v/>
      </c>
      <c r="R56" s="14" t="str">
        <f>IF(O56="","",SUMIFS(R_NorH,R_Emp,"Malcolm",R_Task,INDEX(R_Task,MATCH(48,R_TSeqM,0))))</f>
        <v/>
      </c>
      <c r="S56" s="14" t="str">
        <f>IF(O56="","",SUMIFS(R_ExtH,R_Emp,"Malcolm",R_Task,INDEX(R_Task,MATCH(48,R_TSeqM,0))))</f>
        <v/>
      </c>
      <c r="T56" s="129" t="str">
        <f>IF(O56="","",COUNTIFS(R_Emp,"Malcolm",R_Cnt,1,R_Task,INDEX(R_Task,MATCH(48,R_TSeqM,0))))</f>
        <v/>
      </c>
    </row>
    <row r="57">
      <c r="B57" s="126" t="n">
        <v>46344</v>
      </c>
      <c r="C57" s="127" t="str">
        <f>CHOOSE(WEEKDAY(B57,2),"Lun","Mar","Mié","Jue","Vie","Sáb","Dom")</f>
        <v>Mié</v>
      </c>
      <c r="D57" s="128" t="str">
        <f>IF(COUNTIFS(FER_F,B57,FER_NLM,"Sí")&gt;0,"Feriado no laborable",IF(COUNTIFS(FER_F,B57)&gt;0,"Feriado laborable",IF(INDEX(CFG_WDAYS,WEEKDAY(B57,2))="Sí","Laborable","Fin de semana / no laborable")))</f>
        <v>Laborable</v>
      </c>
      <c r="E57" s="127">
        <f>SUMIFS(R_HD0,R_Emp,"Malcolm",R_Fecha,$B57)+SUMIFS(R_HD1,R_Emp,"Malcolm",R_D1,$B57)</f>
        <v>0</v>
      </c>
      <c r="F57" s="127">
        <f>SUMIFS(R_ND0,R_Emp,"Malcolm",R_Fecha,$B57)+SUMIFS(R_ND1,R_Emp,"Malcolm",R_D1,$B57)</f>
        <v>0</v>
      </c>
      <c r="G57" s="127">
        <f>SUMIFS(R_XD0,R_Emp,"Malcolm",R_Fecha,$B57)+SUMIFS(R_XD1,R_Emp,"Malcolm",R_D1,$B57)</f>
        <v>0</v>
      </c>
      <c r="I57" s="130" t="str">
        <f>IFERROR(INDEX(R_Proy,MATCH(25,R_PSeqM,0))&amp;"","")</f>
        <v/>
      </c>
      <c r="J57" s="14" t="str">
        <f>IF(I57="","",SUMIFS(R_Hcnt,R_Emp,"Malcolm",R_Proy,I57))</f>
        <v/>
      </c>
      <c r="K57" s="14" t="str">
        <f>IF(I57="","",SUMIFS(R_NorH,R_Emp,"Malcolm",R_Proy,I57))</f>
        <v/>
      </c>
      <c r="L57" s="14" t="str">
        <f>IF(I57="","",SUMIFS(R_ExtH,R_Emp,"Malcolm",R_Proy,I57))</f>
        <v/>
      </c>
      <c r="M57" s="135" t="str">
        <f>IF(I57="","",IFERROR(J57/$J$12,0))</f>
        <v/>
      </c>
      <c r="O57" s="130" t="str">
        <f>IFERROR(INDEX(R_Task,MATCH(49,R_TSeqM,0))&amp;"","")</f>
        <v/>
      </c>
      <c r="P57" s="130" t="str">
        <f>IFERROR(INDEX(R_Proy,MATCH(49,R_TSeqM,0))&amp;"","")</f>
        <v/>
      </c>
      <c r="Q57" s="14" t="str">
        <f>IF(O57="","",SUMIFS(R_Hcnt,R_Emp,"Malcolm",R_Task,INDEX(R_Task,MATCH(49,R_TSeqM,0))))</f>
        <v/>
      </c>
      <c r="R57" s="14" t="str">
        <f>IF(O57="","",SUMIFS(R_NorH,R_Emp,"Malcolm",R_Task,INDEX(R_Task,MATCH(49,R_TSeqM,0))))</f>
        <v/>
      </c>
      <c r="S57" s="14" t="str">
        <f>IF(O57="","",SUMIFS(R_ExtH,R_Emp,"Malcolm",R_Task,INDEX(R_Task,MATCH(49,R_TSeqM,0))))</f>
        <v/>
      </c>
      <c r="T57" s="129" t="str">
        <f>IF(O57="","",COUNTIFS(R_Emp,"Malcolm",R_Cnt,1,R_Task,INDEX(R_Task,MATCH(49,R_TSeqM,0))))</f>
        <v/>
      </c>
    </row>
    <row r="58">
      <c r="B58" s="126" t="n">
        <v>46345</v>
      </c>
      <c r="C58" s="127" t="str">
        <f>CHOOSE(WEEKDAY(B58,2),"Lun","Mar","Mié","Jue","Vie","Sáb","Dom")</f>
        <v>Jue</v>
      </c>
      <c r="D58" s="128" t="str">
        <f>IF(COUNTIFS(FER_F,B58,FER_NLM,"Sí")&gt;0,"Feriado no laborable",IF(COUNTIFS(FER_F,B58)&gt;0,"Feriado laborable",IF(INDEX(CFG_WDAYS,WEEKDAY(B58,2))="Sí","Laborable","Fin de semana / no laborable")))</f>
        <v>Laborable</v>
      </c>
      <c r="E58" s="127">
        <f>SUMIFS(R_HD0,R_Emp,"Malcolm",R_Fecha,$B58)+SUMIFS(R_HD1,R_Emp,"Malcolm",R_D1,$B58)</f>
        <v>0</v>
      </c>
      <c r="F58" s="127">
        <f>SUMIFS(R_ND0,R_Emp,"Malcolm",R_Fecha,$B58)+SUMIFS(R_ND1,R_Emp,"Malcolm",R_D1,$B58)</f>
        <v>0</v>
      </c>
      <c r="G58" s="127">
        <f>SUMIFS(R_XD0,R_Emp,"Malcolm",R_Fecha,$B58)+SUMIFS(R_XD1,R_Emp,"Malcolm",R_D1,$B58)</f>
        <v>0</v>
      </c>
      <c r="I58" s="130" t="str">
        <f>IFERROR(INDEX(R_Proy,MATCH(26,R_PSeqM,0))&amp;"","")</f>
        <v/>
      </c>
      <c r="J58" s="14" t="str">
        <f>IF(I58="","",SUMIFS(R_Hcnt,R_Emp,"Malcolm",R_Proy,I58))</f>
        <v/>
      </c>
      <c r="K58" s="14" t="str">
        <f>IF(I58="","",SUMIFS(R_NorH,R_Emp,"Malcolm",R_Proy,I58))</f>
        <v/>
      </c>
      <c r="L58" s="14" t="str">
        <f>IF(I58="","",SUMIFS(R_ExtH,R_Emp,"Malcolm",R_Proy,I58))</f>
        <v/>
      </c>
      <c r="M58" s="135" t="str">
        <f>IF(I58="","",IFERROR(J58/$J$12,0))</f>
        <v/>
      </c>
      <c r="O58" s="130" t="str">
        <f>IFERROR(INDEX(R_Task,MATCH(50,R_TSeqM,0))&amp;"","")</f>
        <v/>
      </c>
      <c r="P58" s="130" t="str">
        <f>IFERROR(INDEX(R_Proy,MATCH(50,R_TSeqM,0))&amp;"","")</f>
        <v/>
      </c>
      <c r="Q58" s="14" t="str">
        <f>IF(O58="","",SUMIFS(R_Hcnt,R_Emp,"Malcolm",R_Task,INDEX(R_Task,MATCH(50,R_TSeqM,0))))</f>
        <v/>
      </c>
      <c r="R58" s="14" t="str">
        <f>IF(O58="","",SUMIFS(R_NorH,R_Emp,"Malcolm",R_Task,INDEX(R_Task,MATCH(50,R_TSeqM,0))))</f>
        <v/>
      </c>
      <c r="S58" s="14" t="str">
        <f>IF(O58="","",SUMIFS(R_ExtH,R_Emp,"Malcolm",R_Task,INDEX(R_Task,MATCH(50,R_TSeqM,0))))</f>
        <v/>
      </c>
      <c r="T58" s="129" t="str">
        <f>IF(O58="","",COUNTIFS(R_Emp,"Malcolm",R_Cnt,1,R_Task,INDEX(R_Task,MATCH(50,R_TSeqM,0))))</f>
        <v/>
      </c>
    </row>
    <row r="59">
      <c r="B59" s="126" t="n">
        <v>46346</v>
      </c>
      <c r="C59" s="127" t="str">
        <f>CHOOSE(WEEKDAY(B59,2),"Lun","Mar","Mié","Jue","Vie","Sáb","Dom")</f>
        <v>Vie</v>
      </c>
      <c r="D59" s="128" t="str">
        <f>IF(COUNTIFS(FER_F,B59,FER_NLM,"Sí")&gt;0,"Feriado no laborable",IF(COUNTIFS(FER_F,B59)&gt;0,"Feriado laborable",IF(INDEX(CFG_WDAYS,WEEKDAY(B59,2))="Sí","Laborable","Fin de semana / no laborable")))</f>
        <v>Laborable</v>
      </c>
      <c r="E59" s="127">
        <f>SUMIFS(R_HD0,R_Emp,"Malcolm",R_Fecha,$B59)+SUMIFS(R_HD1,R_Emp,"Malcolm",R_D1,$B59)</f>
        <v>0</v>
      </c>
      <c r="F59" s="127">
        <f>SUMIFS(R_ND0,R_Emp,"Malcolm",R_Fecha,$B59)+SUMIFS(R_ND1,R_Emp,"Malcolm",R_D1,$B59)</f>
        <v>0</v>
      </c>
      <c r="G59" s="127">
        <f>SUMIFS(R_XD0,R_Emp,"Malcolm",R_Fecha,$B59)+SUMIFS(R_XD1,R_Emp,"Malcolm",R_D1,$B59)</f>
        <v>0</v>
      </c>
      <c r="I59" s="130" t="str">
        <f>IFERROR(INDEX(R_Proy,MATCH(27,R_PSeqM,0))&amp;"","")</f>
        <v/>
      </c>
      <c r="J59" s="14" t="str">
        <f>IF(I59="","",SUMIFS(R_Hcnt,R_Emp,"Malcolm",R_Proy,I59))</f>
        <v/>
      </c>
      <c r="K59" s="14" t="str">
        <f>IF(I59="","",SUMIFS(R_NorH,R_Emp,"Malcolm",R_Proy,I59))</f>
        <v/>
      </c>
      <c r="L59" s="14" t="str">
        <f>IF(I59="","",SUMIFS(R_ExtH,R_Emp,"Malcolm",R_Proy,I59))</f>
        <v/>
      </c>
      <c r="M59" s="135" t="str">
        <f>IF(I59="","",IFERROR(J59/$J$12,0))</f>
        <v/>
      </c>
      <c r="O59" s="130" t="str">
        <f>IFERROR(INDEX(R_Task,MATCH(51,R_TSeqM,0))&amp;"","")</f>
        <v/>
      </c>
      <c r="P59" s="130" t="str">
        <f>IFERROR(INDEX(R_Proy,MATCH(51,R_TSeqM,0))&amp;"","")</f>
        <v/>
      </c>
      <c r="Q59" s="14" t="str">
        <f>IF(O59="","",SUMIFS(R_Hcnt,R_Emp,"Malcolm",R_Task,INDEX(R_Task,MATCH(51,R_TSeqM,0))))</f>
        <v/>
      </c>
      <c r="R59" s="14" t="str">
        <f>IF(O59="","",SUMIFS(R_NorH,R_Emp,"Malcolm",R_Task,INDEX(R_Task,MATCH(51,R_TSeqM,0))))</f>
        <v/>
      </c>
      <c r="S59" s="14" t="str">
        <f>IF(O59="","",SUMIFS(R_ExtH,R_Emp,"Malcolm",R_Task,INDEX(R_Task,MATCH(51,R_TSeqM,0))))</f>
        <v/>
      </c>
      <c r="T59" s="129" t="str">
        <f>IF(O59="","",COUNTIFS(R_Emp,"Malcolm",R_Cnt,1,R_Task,INDEX(R_Task,MATCH(51,R_TSeqM,0))))</f>
        <v/>
      </c>
    </row>
    <row r="60">
      <c r="B60" s="126" t="n">
        <v>46347</v>
      </c>
      <c r="C60" s="127" t="str">
        <f>CHOOSE(WEEKDAY(B60,2),"Lun","Mar","Mié","Jue","Vie","Sáb","Dom")</f>
        <v>Sáb</v>
      </c>
      <c r="D60" s="128" t="str">
        <f>IF(COUNTIFS(FER_F,B60,FER_NLM,"Sí")&gt;0,"Feriado no laborable",IF(COUNTIFS(FER_F,B60)&gt;0,"Feriado laborable",IF(INDEX(CFG_WDAYS,WEEKDAY(B60,2))="Sí","Laborable","Fin de semana / no laborable")))</f>
        <v>Fin de semana / no laborable</v>
      </c>
      <c r="E60" s="127">
        <f>SUMIFS(R_HD0,R_Emp,"Malcolm",R_Fecha,$B60)+SUMIFS(R_HD1,R_Emp,"Malcolm",R_D1,$B60)</f>
        <v>0</v>
      </c>
      <c r="F60" s="127">
        <f>SUMIFS(R_ND0,R_Emp,"Malcolm",R_Fecha,$B60)+SUMIFS(R_ND1,R_Emp,"Malcolm",R_D1,$B60)</f>
        <v>0</v>
      </c>
      <c r="G60" s="127">
        <f>SUMIFS(R_XD0,R_Emp,"Malcolm",R_Fecha,$B60)+SUMIFS(R_XD1,R_Emp,"Malcolm",R_D1,$B60)</f>
        <v>0</v>
      </c>
      <c r="I60" s="130" t="str">
        <f>IFERROR(INDEX(R_Proy,MATCH(28,R_PSeqM,0))&amp;"","")</f>
        <v/>
      </c>
      <c r="J60" s="14" t="str">
        <f>IF(I60="","",SUMIFS(R_Hcnt,R_Emp,"Malcolm",R_Proy,I60))</f>
        <v/>
      </c>
      <c r="K60" s="14" t="str">
        <f>IF(I60="","",SUMIFS(R_NorH,R_Emp,"Malcolm",R_Proy,I60))</f>
        <v/>
      </c>
      <c r="L60" s="14" t="str">
        <f>IF(I60="","",SUMIFS(R_ExtH,R_Emp,"Malcolm",R_Proy,I60))</f>
        <v/>
      </c>
      <c r="M60" s="135" t="str">
        <f>IF(I60="","",IFERROR(J60/$J$12,0))</f>
        <v/>
      </c>
      <c r="O60" s="130" t="str">
        <f>IFERROR(INDEX(R_Task,MATCH(52,R_TSeqM,0))&amp;"","")</f>
        <v/>
      </c>
      <c r="P60" s="130" t="str">
        <f>IFERROR(INDEX(R_Proy,MATCH(52,R_TSeqM,0))&amp;"","")</f>
        <v/>
      </c>
      <c r="Q60" s="14" t="str">
        <f>IF(O60="","",SUMIFS(R_Hcnt,R_Emp,"Malcolm",R_Task,INDEX(R_Task,MATCH(52,R_TSeqM,0))))</f>
        <v/>
      </c>
      <c r="R60" s="14" t="str">
        <f>IF(O60="","",SUMIFS(R_NorH,R_Emp,"Malcolm",R_Task,INDEX(R_Task,MATCH(52,R_TSeqM,0))))</f>
        <v/>
      </c>
      <c r="S60" s="14" t="str">
        <f>IF(O60="","",SUMIFS(R_ExtH,R_Emp,"Malcolm",R_Task,INDEX(R_Task,MATCH(52,R_TSeqM,0))))</f>
        <v/>
      </c>
      <c r="T60" s="129" t="str">
        <f>IF(O60="","",COUNTIFS(R_Emp,"Malcolm",R_Cnt,1,R_Task,INDEX(R_Task,MATCH(52,R_TSeqM,0))))</f>
        <v/>
      </c>
    </row>
    <row r="61">
      <c r="B61" s="126" t="n">
        <v>46348</v>
      </c>
      <c r="C61" s="127" t="str">
        <f>CHOOSE(WEEKDAY(B61,2),"Lun","Mar","Mié","Jue","Vie","Sáb","Dom")</f>
        <v>Dom</v>
      </c>
      <c r="D61" s="128" t="str">
        <f>IF(COUNTIFS(FER_F,B61,FER_NLM,"Sí")&gt;0,"Feriado no laborable",IF(COUNTIFS(FER_F,B61)&gt;0,"Feriado laborable",IF(INDEX(CFG_WDAYS,WEEKDAY(B61,2))="Sí","Laborable","Fin de semana / no laborable")))</f>
        <v>Fin de semana / no laborable</v>
      </c>
      <c r="E61" s="127">
        <f>SUMIFS(R_HD0,R_Emp,"Malcolm",R_Fecha,$B61)+SUMIFS(R_HD1,R_Emp,"Malcolm",R_D1,$B61)</f>
        <v>0</v>
      </c>
      <c r="F61" s="127">
        <f>SUMIFS(R_ND0,R_Emp,"Malcolm",R_Fecha,$B61)+SUMIFS(R_ND1,R_Emp,"Malcolm",R_D1,$B61)</f>
        <v>0</v>
      </c>
      <c r="G61" s="127">
        <f>SUMIFS(R_XD0,R_Emp,"Malcolm",R_Fecha,$B61)+SUMIFS(R_XD1,R_Emp,"Malcolm",R_D1,$B61)</f>
        <v>0</v>
      </c>
      <c r="I61" s="130" t="str">
        <f>IFERROR(INDEX(R_Proy,MATCH(29,R_PSeqM,0))&amp;"","")</f>
        <v/>
      </c>
      <c r="J61" s="14" t="str">
        <f>IF(I61="","",SUMIFS(R_Hcnt,R_Emp,"Malcolm",R_Proy,I61))</f>
        <v/>
      </c>
      <c r="K61" s="14" t="str">
        <f>IF(I61="","",SUMIFS(R_NorH,R_Emp,"Malcolm",R_Proy,I61))</f>
        <v/>
      </c>
      <c r="L61" s="14" t="str">
        <f>IF(I61="","",SUMIFS(R_ExtH,R_Emp,"Malcolm",R_Proy,I61))</f>
        <v/>
      </c>
      <c r="M61" s="135" t="str">
        <f>IF(I61="","",IFERROR(J61/$J$12,0))</f>
        <v/>
      </c>
      <c r="O61" s="130" t="str">
        <f>IFERROR(INDEX(R_Task,MATCH(53,R_TSeqM,0))&amp;"","")</f>
        <v/>
      </c>
      <c r="P61" s="130" t="str">
        <f>IFERROR(INDEX(R_Proy,MATCH(53,R_TSeqM,0))&amp;"","")</f>
        <v/>
      </c>
      <c r="Q61" s="14" t="str">
        <f>IF(O61="","",SUMIFS(R_Hcnt,R_Emp,"Malcolm",R_Task,INDEX(R_Task,MATCH(53,R_TSeqM,0))))</f>
        <v/>
      </c>
      <c r="R61" s="14" t="str">
        <f>IF(O61="","",SUMIFS(R_NorH,R_Emp,"Malcolm",R_Task,INDEX(R_Task,MATCH(53,R_TSeqM,0))))</f>
        <v/>
      </c>
      <c r="S61" s="14" t="str">
        <f>IF(O61="","",SUMIFS(R_ExtH,R_Emp,"Malcolm",R_Task,INDEX(R_Task,MATCH(53,R_TSeqM,0))))</f>
        <v/>
      </c>
      <c r="T61" s="129" t="str">
        <f>IF(O61="","",COUNTIFS(R_Emp,"Malcolm",R_Cnt,1,R_Task,INDEX(R_Task,MATCH(53,R_TSeqM,0))))</f>
        <v/>
      </c>
    </row>
    <row r="62">
      <c r="B62" s="126" t="n">
        <v>46349</v>
      </c>
      <c r="C62" s="127" t="str">
        <f>CHOOSE(WEEKDAY(B62,2),"Lun","Mar","Mié","Jue","Vie","Sáb","Dom")</f>
        <v>Lun</v>
      </c>
      <c r="D62" s="128" t="str">
        <f>IF(COUNTIFS(FER_F,B62,FER_NLM,"Sí")&gt;0,"Feriado no laborable",IF(COUNTIFS(FER_F,B62)&gt;0,"Feriado laborable",IF(INDEX(CFG_WDAYS,WEEKDAY(B62,2))="Sí","Laborable","Fin de semana / no laborable")))</f>
        <v>Laborable</v>
      </c>
      <c r="E62" s="127">
        <f>SUMIFS(R_HD0,R_Emp,"Malcolm",R_Fecha,$B62)+SUMIFS(R_HD1,R_Emp,"Malcolm",R_D1,$B62)</f>
        <v>0</v>
      </c>
      <c r="F62" s="127">
        <f>SUMIFS(R_ND0,R_Emp,"Malcolm",R_Fecha,$B62)+SUMIFS(R_ND1,R_Emp,"Malcolm",R_D1,$B62)</f>
        <v>0</v>
      </c>
      <c r="G62" s="127">
        <f>SUMIFS(R_XD0,R_Emp,"Malcolm",R_Fecha,$B62)+SUMIFS(R_XD1,R_Emp,"Malcolm",R_D1,$B62)</f>
        <v>0</v>
      </c>
      <c r="I62" s="130" t="str">
        <f>IFERROR(INDEX(R_Proy,MATCH(30,R_PSeqM,0))&amp;"","")</f>
        <v/>
      </c>
      <c r="J62" s="14" t="str">
        <f>IF(I62="","",SUMIFS(R_Hcnt,R_Emp,"Malcolm",R_Proy,I62))</f>
        <v/>
      </c>
      <c r="K62" s="14" t="str">
        <f>IF(I62="","",SUMIFS(R_NorH,R_Emp,"Malcolm",R_Proy,I62))</f>
        <v/>
      </c>
      <c r="L62" s="14" t="str">
        <f>IF(I62="","",SUMIFS(R_ExtH,R_Emp,"Malcolm",R_Proy,I62))</f>
        <v/>
      </c>
      <c r="M62" s="135" t="str">
        <f>IF(I62="","",IFERROR(J62/$J$12,0))</f>
        <v/>
      </c>
      <c r="O62" s="130" t="str">
        <f>IFERROR(INDEX(R_Task,MATCH(54,R_TSeqM,0))&amp;"","")</f>
        <v/>
      </c>
      <c r="P62" s="130" t="str">
        <f>IFERROR(INDEX(R_Proy,MATCH(54,R_TSeqM,0))&amp;"","")</f>
        <v/>
      </c>
      <c r="Q62" s="14" t="str">
        <f>IF(O62="","",SUMIFS(R_Hcnt,R_Emp,"Malcolm",R_Task,INDEX(R_Task,MATCH(54,R_TSeqM,0))))</f>
        <v/>
      </c>
      <c r="R62" s="14" t="str">
        <f>IF(O62="","",SUMIFS(R_NorH,R_Emp,"Malcolm",R_Task,INDEX(R_Task,MATCH(54,R_TSeqM,0))))</f>
        <v/>
      </c>
      <c r="S62" s="14" t="str">
        <f>IF(O62="","",SUMIFS(R_ExtH,R_Emp,"Malcolm",R_Task,INDEX(R_Task,MATCH(54,R_TSeqM,0))))</f>
        <v/>
      </c>
      <c r="T62" s="129" t="str">
        <f>IF(O62="","",COUNTIFS(R_Emp,"Malcolm",R_Cnt,1,R_Task,INDEX(R_Task,MATCH(54,R_TSeqM,0))))</f>
        <v/>
      </c>
    </row>
    <row r="63">
      <c r="B63" s="126" t="n">
        <v>46350</v>
      </c>
      <c r="C63" s="127" t="str">
        <f>CHOOSE(WEEKDAY(B63,2),"Lun","Mar","Mié","Jue","Vie","Sáb","Dom")</f>
        <v>Mar</v>
      </c>
      <c r="D63" s="128" t="str">
        <f>IF(COUNTIFS(FER_F,B63,FER_NLM,"Sí")&gt;0,"Feriado no laborable",IF(COUNTIFS(FER_F,B63)&gt;0,"Feriado laborable",IF(INDEX(CFG_WDAYS,WEEKDAY(B63,2))="Sí","Laborable","Fin de semana / no laborable")))</f>
        <v>Laborable</v>
      </c>
      <c r="E63" s="127">
        <f>SUMIFS(R_HD0,R_Emp,"Malcolm",R_Fecha,$B63)+SUMIFS(R_HD1,R_Emp,"Malcolm",R_D1,$B63)</f>
        <v>0</v>
      </c>
      <c r="F63" s="127">
        <f>SUMIFS(R_ND0,R_Emp,"Malcolm",R_Fecha,$B63)+SUMIFS(R_ND1,R_Emp,"Malcolm",R_D1,$B63)</f>
        <v>0</v>
      </c>
      <c r="G63" s="127">
        <f>SUMIFS(R_XD0,R_Emp,"Malcolm",R_Fecha,$B63)+SUMIFS(R_XD1,R_Emp,"Malcolm",R_D1,$B63)</f>
        <v>0</v>
      </c>
      <c r="I63" s="136" t="inlineStr">
        <is>
          <t>Sin proyecto</t>
        </is>
      </c>
      <c r="J63" s="14">
        <f>SUMIFS(R_Hcnt,R_Emp,"Malcolm",R_Proy,"")</f>
        <v>0</v>
      </c>
      <c r="O63" s="130" t="str">
        <f>IFERROR(INDEX(R_Task,MATCH(55,R_TSeqM,0))&amp;"","")</f>
        <v/>
      </c>
      <c r="P63" s="130" t="str">
        <f>IFERROR(INDEX(R_Proy,MATCH(55,R_TSeqM,0))&amp;"","")</f>
        <v/>
      </c>
      <c r="Q63" s="14" t="str">
        <f>IF(O63="","",SUMIFS(R_Hcnt,R_Emp,"Malcolm",R_Task,INDEX(R_Task,MATCH(55,R_TSeqM,0))))</f>
        <v/>
      </c>
      <c r="R63" s="14" t="str">
        <f>IF(O63="","",SUMIFS(R_NorH,R_Emp,"Malcolm",R_Task,INDEX(R_Task,MATCH(55,R_TSeqM,0))))</f>
        <v/>
      </c>
      <c r="S63" s="14" t="str">
        <f>IF(O63="","",SUMIFS(R_ExtH,R_Emp,"Malcolm",R_Task,INDEX(R_Task,MATCH(55,R_TSeqM,0))))</f>
        <v/>
      </c>
      <c r="T63" s="129" t="str">
        <f>IF(O63="","",COUNTIFS(R_Emp,"Malcolm",R_Cnt,1,R_Task,INDEX(R_Task,MATCH(55,R_TSeqM,0))))</f>
        <v/>
      </c>
    </row>
    <row r="64">
      <c r="B64" s="126" t="n">
        <v>46351</v>
      </c>
      <c r="C64" s="127" t="str">
        <f>CHOOSE(WEEKDAY(B64,2),"Lun","Mar","Mié","Jue","Vie","Sáb","Dom")</f>
        <v>Mié</v>
      </c>
      <c r="D64" s="128" t="str">
        <f>IF(COUNTIFS(FER_F,B64,FER_NLM,"Sí")&gt;0,"Feriado no laborable",IF(COUNTIFS(FER_F,B64)&gt;0,"Feriado laborable",IF(INDEX(CFG_WDAYS,WEEKDAY(B64,2))="Sí","Laborable","Fin de semana / no laborable")))</f>
        <v>Laborable</v>
      </c>
      <c r="E64" s="127">
        <f>SUMIFS(R_HD0,R_Emp,"Malcolm",R_Fecha,$B64)+SUMIFS(R_HD1,R_Emp,"Malcolm",R_D1,$B64)</f>
        <v>0</v>
      </c>
      <c r="F64" s="127">
        <f>SUMIFS(R_ND0,R_Emp,"Malcolm",R_Fecha,$B64)+SUMIFS(R_ND1,R_Emp,"Malcolm",R_D1,$B64)</f>
        <v>0</v>
      </c>
      <c r="G64" s="127">
        <f>SUMIFS(R_XD0,R_Emp,"Malcolm",R_Fecha,$B64)+SUMIFS(R_XD1,R_Emp,"Malcolm",R_D1,$B64)</f>
        <v>0</v>
      </c>
      <c r="O64" s="130" t="str">
        <f>IFERROR(INDEX(R_Task,MATCH(56,R_TSeqM,0))&amp;"","")</f>
        <v/>
      </c>
      <c r="P64" s="130" t="str">
        <f>IFERROR(INDEX(R_Proy,MATCH(56,R_TSeqM,0))&amp;"","")</f>
        <v/>
      </c>
      <c r="Q64" s="14" t="str">
        <f>IF(O64="","",SUMIFS(R_Hcnt,R_Emp,"Malcolm",R_Task,INDEX(R_Task,MATCH(56,R_TSeqM,0))))</f>
        <v/>
      </c>
      <c r="R64" s="14" t="str">
        <f>IF(O64="","",SUMIFS(R_NorH,R_Emp,"Malcolm",R_Task,INDEX(R_Task,MATCH(56,R_TSeqM,0))))</f>
        <v/>
      </c>
      <c r="S64" s="14" t="str">
        <f>IF(O64="","",SUMIFS(R_ExtH,R_Emp,"Malcolm",R_Task,INDEX(R_Task,MATCH(56,R_TSeqM,0))))</f>
        <v/>
      </c>
      <c r="T64" s="129" t="str">
        <f>IF(O64="","",COUNTIFS(R_Emp,"Malcolm",R_Cnt,1,R_Task,INDEX(R_Task,MATCH(56,R_TSeqM,0))))</f>
        <v/>
      </c>
    </row>
    <row r="65">
      <c r="B65" s="126" t="n">
        <v>46352</v>
      </c>
      <c r="C65" s="127" t="str">
        <f>CHOOSE(WEEKDAY(B65,2),"Lun","Mar","Mié","Jue","Vie","Sáb","Dom")</f>
        <v>Jue</v>
      </c>
      <c r="D65" s="128" t="str">
        <f>IF(COUNTIFS(FER_F,B65,FER_NLM,"Sí")&gt;0,"Feriado no laborable",IF(COUNTIFS(FER_F,B65)&gt;0,"Feriado laborable",IF(INDEX(CFG_WDAYS,WEEKDAY(B65,2))="Sí","Laborable","Fin de semana / no laborable")))</f>
        <v>Feriado no laborable</v>
      </c>
      <c r="E65" s="127">
        <f>SUMIFS(R_HD0,R_Emp,"Malcolm",R_Fecha,$B65)+SUMIFS(R_HD1,R_Emp,"Malcolm",R_D1,$B65)</f>
        <v>0</v>
      </c>
      <c r="F65" s="127">
        <f>SUMIFS(R_ND0,R_Emp,"Malcolm",R_Fecha,$B65)+SUMIFS(R_ND1,R_Emp,"Malcolm",R_D1,$B65)</f>
        <v>0</v>
      </c>
      <c r="G65" s="127">
        <f>SUMIFS(R_XD0,R_Emp,"Malcolm",R_Fecha,$B65)+SUMIFS(R_XD1,R_Emp,"Malcolm",R_D1,$B65)</f>
        <v>0</v>
      </c>
      <c r="O65" s="130" t="str">
        <f>IFERROR(INDEX(R_Task,MATCH(57,R_TSeqM,0))&amp;"","")</f>
        <v/>
      </c>
      <c r="P65" s="130" t="str">
        <f>IFERROR(INDEX(R_Proy,MATCH(57,R_TSeqM,0))&amp;"","")</f>
        <v/>
      </c>
      <c r="Q65" s="14" t="str">
        <f>IF(O65="","",SUMIFS(R_Hcnt,R_Emp,"Malcolm",R_Task,INDEX(R_Task,MATCH(57,R_TSeqM,0))))</f>
        <v/>
      </c>
      <c r="R65" s="14" t="str">
        <f>IF(O65="","",SUMIFS(R_NorH,R_Emp,"Malcolm",R_Task,INDEX(R_Task,MATCH(57,R_TSeqM,0))))</f>
        <v/>
      </c>
      <c r="S65" s="14" t="str">
        <f>IF(O65="","",SUMIFS(R_ExtH,R_Emp,"Malcolm",R_Task,INDEX(R_Task,MATCH(57,R_TSeqM,0))))</f>
        <v/>
      </c>
      <c r="T65" s="129" t="str">
        <f>IF(O65="","",COUNTIFS(R_Emp,"Malcolm",R_Cnt,1,R_Task,INDEX(R_Task,MATCH(57,R_TSeqM,0))))</f>
        <v/>
      </c>
    </row>
    <row r="66">
      <c r="B66" s="126" t="n">
        <v>46353</v>
      </c>
      <c r="C66" s="127" t="str">
        <f>CHOOSE(WEEKDAY(B66,2),"Lun","Mar","Mié","Jue","Vie","Sáb","Dom")</f>
        <v>Vie</v>
      </c>
      <c r="D66" s="128" t="str">
        <f>IF(COUNTIFS(FER_F,B66,FER_NLM,"Sí")&gt;0,"Feriado no laborable",IF(COUNTIFS(FER_F,B66)&gt;0,"Feriado laborable",IF(INDEX(CFG_WDAYS,WEEKDAY(B66,2))="Sí","Laborable","Fin de semana / no laborable")))</f>
        <v>Laborable</v>
      </c>
      <c r="E66" s="127">
        <f>SUMIFS(R_HD0,R_Emp,"Malcolm",R_Fecha,$B66)+SUMIFS(R_HD1,R_Emp,"Malcolm",R_D1,$B66)</f>
        <v>0</v>
      </c>
      <c r="F66" s="127">
        <f>SUMIFS(R_ND0,R_Emp,"Malcolm",R_Fecha,$B66)+SUMIFS(R_ND1,R_Emp,"Malcolm",R_D1,$B66)</f>
        <v>0</v>
      </c>
      <c r="G66" s="127">
        <f>SUMIFS(R_XD0,R_Emp,"Malcolm",R_Fecha,$B66)+SUMIFS(R_XD1,R_Emp,"Malcolm",R_D1,$B66)</f>
        <v>0</v>
      </c>
      <c r="O66" s="130" t="str">
        <f>IFERROR(INDEX(R_Task,MATCH(58,R_TSeqM,0))&amp;"","")</f>
        <v/>
      </c>
      <c r="P66" s="130" t="str">
        <f>IFERROR(INDEX(R_Proy,MATCH(58,R_TSeqM,0))&amp;"","")</f>
        <v/>
      </c>
      <c r="Q66" s="14" t="str">
        <f>IF(O66="","",SUMIFS(R_Hcnt,R_Emp,"Malcolm",R_Task,INDEX(R_Task,MATCH(58,R_TSeqM,0))))</f>
        <v/>
      </c>
      <c r="R66" s="14" t="str">
        <f>IF(O66="","",SUMIFS(R_NorH,R_Emp,"Malcolm",R_Task,INDEX(R_Task,MATCH(58,R_TSeqM,0))))</f>
        <v/>
      </c>
      <c r="S66" s="14" t="str">
        <f>IF(O66="","",SUMIFS(R_ExtH,R_Emp,"Malcolm",R_Task,INDEX(R_Task,MATCH(58,R_TSeqM,0))))</f>
        <v/>
      </c>
      <c r="T66" s="129" t="str">
        <f>IF(O66="","",COUNTIFS(R_Emp,"Malcolm",R_Cnt,1,R_Task,INDEX(R_Task,MATCH(58,R_TSeqM,0))))</f>
        <v/>
      </c>
    </row>
    <row r="67">
      <c r="B67" s="126" t="n">
        <v>46354</v>
      </c>
      <c r="C67" s="127" t="str">
        <f>CHOOSE(WEEKDAY(B67,2),"Lun","Mar","Mié","Jue","Vie","Sáb","Dom")</f>
        <v>Sáb</v>
      </c>
      <c r="D67" s="128" t="str">
        <f>IF(COUNTIFS(FER_F,B67,FER_NLM,"Sí")&gt;0,"Feriado no laborable",IF(COUNTIFS(FER_F,B67)&gt;0,"Feriado laborable",IF(INDEX(CFG_WDAYS,WEEKDAY(B67,2))="Sí","Laborable","Fin de semana / no laborable")))</f>
        <v>Fin de semana / no laborable</v>
      </c>
      <c r="E67" s="127">
        <f>SUMIFS(R_HD0,R_Emp,"Malcolm",R_Fecha,$B67)+SUMIFS(R_HD1,R_Emp,"Malcolm",R_D1,$B67)</f>
        <v>0</v>
      </c>
      <c r="F67" s="127">
        <f>SUMIFS(R_ND0,R_Emp,"Malcolm",R_Fecha,$B67)+SUMIFS(R_ND1,R_Emp,"Malcolm",R_D1,$B67)</f>
        <v>0</v>
      </c>
      <c r="G67" s="127">
        <f>SUMIFS(R_XD0,R_Emp,"Malcolm",R_Fecha,$B67)+SUMIFS(R_XD1,R_Emp,"Malcolm",R_D1,$B67)</f>
        <v>0</v>
      </c>
      <c r="O67" s="130" t="str">
        <f>IFERROR(INDEX(R_Task,MATCH(59,R_TSeqM,0))&amp;"","")</f>
        <v/>
      </c>
      <c r="P67" s="130" t="str">
        <f>IFERROR(INDEX(R_Proy,MATCH(59,R_TSeqM,0))&amp;"","")</f>
        <v/>
      </c>
      <c r="Q67" s="14" t="str">
        <f>IF(O67="","",SUMIFS(R_Hcnt,R_Emp,"Malcolm",R_Task,INDEX(R_Task,MATCH(59,R_TSeqM,0))))</f>
        <v/>
      </c>
      <c r="R67" s="14" t="str">
        <f>IF(O67="","",SUMIFS(R_NorH,R_Emp,"Malcolm",R_Task,INDEX(R_Task,MATCH(59,R_TSeqM,0))))</f>
        <v/>
      </c>
      <c r="S67" s="14" t="str">
        <f>IF(O67="","",SUMIFS(R_ExtH,R_Emp,"Malcolm",R_Task,INDEX(R_Task,MATCH(59,R_TSeqM,0))))</f>
        <v/>
      </c>
      <c r="T67" s="129" t="str">
        <f>IF(O67="","",COUNTIFS(R_Emp,"Malcolm",R_Cnt,1,R_Task,INDEX(R_Task,MATCH(59,R_TSeqM,0))))</f>
        <v/>
      </c>
    </row>
    <row r="68">
      <c r="B68" s="126" t="n">
        <v>46355</v>
      </c>
      <c r="C68" s="127" t="str">
        <f>CHOOSE(WEEKDAY(B68,2),"Lun","Mar","Mié","Jue","Vie","Sáb","Dom")</f>
        <v>Dom</v>
      </c>
      <c r="D68" s="128" t="str">
        <f>IF(COUNTIFS(FER_F,B68,FER_NLM,"Sí")&gt;0,"Feriado no laborable",IF(COUNTIFS(FER_F,B68)&gt;0,"Feriado laborable",IF(INDEX(CFG_WDAYS,WEEKDAY(B68,2))="Sí","Laborable","Fin de semana / no laborable")))</f>
        <v>Fin de semana / no laborable</v>
      </c>
      <c r="E68" s="127">
        <f>SUMIFS(R_HD0,R_Emp,"Malcolm",R_Fecha,$B68)+SUMIFS(R_HD1,R_Emp,"Malcolm",R_D1,$B68)</f>
        <v>0</v>
      </c>
      <c r="F68" s="127">
        <f>SUMIFS(R_ND0,R_Emp,"Malcolm",R_Fecha,$B68)+SUMIFS(R_ND1,R_Emp,"Malcolm",R_D1,$B68)</f>
        <v>0</v>
      </c>
      <c r="G68" s="127">
        <f>SUMIFS(R_XD0,R_Emp,"Malcolm",R_Fecha,$B68)+SUMIFS(R_XD1,R_Emp,"Malcolm",R_D1,$B68)</f>
        <v>0</v>
      </c>
      <c r="O68" s="130" t="str">
        <f>IFERROR(INDEX(R_Task,MATCH(60,R_TSeqM,0))&amp;"","")</f>
        <v/>
      </c>
      <c r="P68" s="130" t="str">
        <f>IFERROR(INDEX(R_Proy,MATCH(60,R_TSeqM,0))&amp;"","")</f>
        <v/>
      </c>
      <c r="Q68" s="14" t="str">
        <f>IF(O68="","",SUMIFS(R_Hcnt,R_Emp,"Malcolm",R_Task,INDEX(R_Task,MATCH(60,R_TSeqM,0))))</f>
        <v/>
      </c>
      <c r="R68" s="14" t="str">
        <f>IF(O68="","",SUMIFS(R_NorH,R_Emp,"Malcolm",R_Task,INDEX(R_Task,MATCH(60,R_TSeqM,0))))</f>
        <v/>
      </c>
      <c r="S68" s="14" t="str">
        <f>IF(O68="","",SUMIFS(R_ExtH,R_Emp,"Malcolm",R_Task,INDEX(R_Task,MATCH(60,R_TSeqM,0))))</f>
        <v/>
      </c>
      <c r="T68" s="129" t="str">
        <f>IF(O68="","",COUNTIFS(R_Emp,"Malcolm",R_Cnt,1,R_Task,INDEX(R_Task,MATCH(60,R_TSeqM,0))))</f>
        <v/>
      </c>
    </row>
    <row r="69">
      <c r="B69" s="126" t="n">
        <v>46356</v>
      </c>
      <c r="C69" s="127" t="str">
        <f>CHOOSE(WEEKDAY(B69,2),"Lun","Mar","Mié","Jue","Vie","Sáb","Dom")</f>
        <v>Lun</v>
      </c>
      <c r="D69" s="128" t="str">
        <f>IF(COUNTIFS(FER_F,B69,FER_NLM,"Sí")&gt;0,"Feriado no laborable",IF(COUNTIFS(FER_F,B69)&gt;0,"Feriado laborable",IF(INDEX(CFG_WDAYS,WEEKDAY(B69,2))="Sí","Laborable","Fin de semana / no laborable")))</f>
        <v>Laborable</v>
      </c>
      <c r="E69" s="127">
        <f>SUMIFS(R_HD0,R_Emp,"Malcolm",R_Fecha,$B69)+SUMIFS(R_HD1,R_Emp,"Malcolm",R_D1,$B69)</f>
        <v>0</v>
      </c>
      <c r="F69" s="127">
        <f>SUMIFS(R_ND0,R_Emp,"Malcolm",R_Fecha,$B69)+SUMIFS(R_ND1,R_Emp,"Malcolm",R_D1,$B69)</f>
        <v>0</v>
      </c>
      <c r="G69" s="127">
        <f>SUMIFS(R_XD0,R_Emp,"Malcolm",R_Fecha,$B69)+SUMIFS(R_XD1,R_Emp,"Malcolm",R_D1,$B69)</f>
        <v>0</v>
      </c>
      <c r="O69" s="130" t="str">
        <f>IFERROR(INDEX(R_Task,MATCH(61,R_TSeqM,0))&amp;"","")</f>
        <v/>
      </c>
      <c r="P69" s="130" t="str">
        <f>IFERROR(INDEX(R_Proy,MATCH(61,R_TSeqM,0))&amp;"","")</f>
        <v/>
      </c>
      <c r="Q69" s="14" t="str">
        <f>IF(O69="","",SUMIFS(R_Hcnt,R_Emp,"Malcolm",R_Task,INDEX(R_Task,MATCH(61,R_TSeqM,0))))</f>
        <v/>
      </c>
      <c r="R69" s="14" t="str">
        <f>IF(O69="","",SUMIFS(R_NorH,R_Emp,"Malcolm",R_Task,INDEX(R_Task,MATCH(61,R_TSeqM,0))))</f>
        <v/>
      </c>
      <c r="S69" s="14" t="str">
        <f>IF(O69="","",SUMIFS(R_ExtH,R_Emp,"Malcolm",R_Task,INDEX(R_Task,MATCH(61,R_TSeqM,0))))</f>
        <v/>
      </c>
      <c r="T69" s="129" t="str">
        <f>IF(O69="","",COUNTIFS(R_Emp,"Malcolm",R_Cnt,1,R_Task,INDEX(R_Task,MATCH(61,R_TSeqM,0))))</f>
        <v/>
      </c>
    </row>
    <row r="70">
      <c r="B70" s="126" t="n">
        <v>46357</v>
      </c>
      <c r="C70" s="127" t="str">
        <f>CHOOSE(WEEKDAY(B70,2),"Lun","Mar","Mié","Jue","Vie","Sáb","Dom")</f>
        <v>Mar</v>
      </c>
      <c r="D70" s="128" t="str">
        <f>IF(COUNTIFS(FER_F,B70,FER_NLM,"Sí")&gt;0,"Feriado no laborable",IF(COUNTIFS(FER_F,B70)&gt;0,"Feriado laborable",IF(INDEX(CFG_WDAYS,WEEKDAY(B70,2))="Sí","Laborable","Fin de semana / no laborable")))</f>
        <v>Laborable</v>
      </c>
      <c r="E70" s="127">
        <f>SUMIFS(R_HD0,R_Emp,"Malcolm",R_Fecha,$B70)+SUMIFS(R_HD1,R_Emp,"Malcolm",R_D1,$B70)</f>
        <v>0</v>
      </c>
      <c r="F70" s="127">
        <f>SUMIFS(R_ND0,R_Emp,"Malcolm",R_Fecha,$B70)+SUMIFS(R_ND1,R_Emp,"Malcolm",R_D1,$B70)</f>
        <v>0</v>
      </c>
      <c r="G70" s="127">
        <f>SUMIFS(R_XD0,R_Emp,"Malcolm",R_Fecha,$B70)+SUMIFS(R_XD1,R_Emp,"Malcolm",R_D1,$B70)</f>
        <v>0</v>
      </c>
      <c r="O70" s="130" t="str">
        <f>IFERROR(INDEX(R_Task,MATCH(62,R_TSeqM,0))&amp;"","")</f>
        <v/>
      </c>
      <c r="P70" s="130" t="str">
        <f>IFERROR(INDEX(R_Proy,MATCH(62,R_TSeqM,0))&amp;"","")</f>
        <v/>
      </c>
      <c r="Q70" s="14" t="str">
        <f>IF(O70="","",SUMIFS(R_Hcnt,R_Emp,"Malcolm",R_Task,INDEX(R_Task,MATCH(62,R_TSeqM,0))))</f>
        <v/>
      </c>
      <c r="R70" s="14" t="str">
        <f>IF(O70="","",SUMIFS(R_NorH,R_Emp,"Malcolm",R_Task,INDEX(R_Task,MATCH(62,R_TSeqM,0))))</f>
        <v/>
      </c>
      <c r="S70" s="14" t="str">
        <f>IF(O70="","",SUMIFS(R_ExtH,R_Emp,"Malcolm",R_Task,INDEX(R_Task,MATCH(62,R_TSeqM,0))))</f>
        <v/>
      </c>
      <c r="T70" s="129" t="str">
        <f>IF(O70="","",COUNTIFS(R_Emp,"Malcolm",R_Cnt,1,R_Task,INDEX(R_Task,MATCH(62,R_TSeqM,0))))</f>
        <v/>
      </c>
    </row>
    <row r="71">
      <c r="B71" s="126" t="n">
        <v>46358</v>
      </c>
      <c r="C71" s="127" t="str">
        <f>CHOOSE(WEEKDAY(B71,2),"Lun","Mar","Mié","Jue","Vie","Sáb","Dom")</f>
        <v>Mié</v>
      </c>
      <c r="D71" s="128" t="str">
        <f>IF(COUNTIFS(FER_F,B71,FER_NLM,"Sí")&gt;0,"Feriado no laborable",IF(COUNTIFS(FER_F,B71)&gt;0,"Feriado laborable",IF(INDEX(CFG_WDAYS,WEEKDAY(B71,2))="Sí","Laborable","Fin de semana / no laborable")))</f>
        <v>Laborable</v>
      </c>
      <c r="E71" s="127">
        <f>SUMIFS(R_HD0,R_Emp,"Malcolm",R_Fecha,$B71)+SUMIFS(R_HD1,R_Emp,"Malcolm",R_D1,$B71)</f>
        <v>0</v>
      </c>
      <c r="F71" s="127">
        <f>SUMIFS(R_ND0,R_Emp,"Malcolm",R_Fecha,$B71)+SUMIFS(R_ND1,R_Emp,"Malcolm",R_D1,$B71)</f>
        <v>0</v>
      </c>
      <c r="G71" s="127">
        <f>SUMIFS(R_XD0,R_Emp,"Malcolm",R_Fecha,$B71)+SUMIFS(R_XD1,R_Emp,"Malcolm",R_D1,$B71)</f>
        <v>0</v>
      </c>
      <c r="O71" s="130" t="str">
        <f>IFERROR(INDEX(R_Task,MATCH(63,R_TSeqM,0))&amp;"","")</f>
        <v/>
      </c>
      <c r="P71" s="130" t="str">
        <f>IFERROR(INDEX(R_Proy,MATCH(63,R_TSeqM,0))&amp;"","")</f>
        <v/>
      </c>
      <c r="Q71" s="14" t="str">
        <f>IF(O71="","",SUMIFS(R_Hcnt,R_Emp,"Malcolm",R_Task,INDEX(R_Task,MATCH(63,R_TSeqM,0))))</f>
        <v/>
      </c>
      <c r="R71" s="14" t="str">
        <f>IF(O71="","",SUMIFS(R_NorH,R_Emp,"Malcolm",R_Task,INDEX(R_Task,MATCH(63,R_TSeqM,0))))</f>
        <v/>
      </c>
      <c r="S71" s="14" t="str">
        <f>IF(O71="","",SUMIFS(R_ExtH,R_Emp,"Malcolm",R_Task,INDEX(R_Task,MATCH(63,R_TSeqM,0))))</f>
        <v/>
      </c>
      <c r="T71" s="129" t="str">
        <f>IF(O71="","",COUNTIFS(R_Emp,"Malcolm",R_Cnt,1,R_Task,INDEX(R_Task,MATCH(63,R_TSeqM,0))))</f>
        <v/>
      </c>
    </row>
    <row r="72">
      <c r="B72" s="126" t="n">
        <v>46359</v>
      </c>
      <c r="C72" s="127" t="str">
        <f>CHOOSE(WEEKDAY(B72,2),"Lun","Mar","Mié","Jue","Vie","Sáb","Dom")</f>
        <v>Jue</v>
      </c>
      <c r="D72" s="128" t="str">
        <f>IF(COUNTIFS(FER_F,B72,FER_NLM,"Sí")&gt;0,"Feriado no laborable",IF(COUNTIFS(FER_F,B72)&gt;0,"Feriado laborable",IF(INDEX(CFG_WDAYS,WEEKDAY(B72,2))="Sí","Laborable","Fin de semana / no laborable")))</f>
        <v>Laborable</v>
      </c>
      <c r="E72" s="127">
        <f>SUMIFS(R_HD0,R_Emp,"Malcolm",R_Fecha,$B72)+SUMIFS(R_HD1,R_Emp,"Malcolm",R_D1,$B72)</f>
        <v>0</v>
      </c>
      <c r="F72" s="127">
        <f>SUMIFS(R_ND0,R_Emp,"Malcolm",R_Fecha,$B72)+SUMIFS(R_ND1,R_Emp,"Malcolm",R_D1,$B72)</f>
        <v>0</v>
      </c>
      <c r="G72" s="127">
        <f>SUMIFS(R_XD0,R_Emp,"Malcolm",R_Fecha,$B72)+SUMIFS(R_XD1,R_Emp,"Malcolm",R_D1,$B72)</f>
        <v>0</v>
      </c>
      <c r="O72" s="130" t="str">
        <f>IFERROR(INDEX(R_Task,MATCH(64,R_TSeqM,0))&amp;"","")</f>
        <v/>
      </c>
      <c r="P72" s="130" t="str">
        <f>IFERROR(INDEX(R_Proy,MATCH(64,R_TSeqM,0))&amp;"","")</f>
        <v/>
      </c>
      <c r="Q72" s="14" t="str">
        <f>IF(O72="","",SUMIFS(R_Hcnt,R_Emp,"Malcolm",R_Task,INDEX(R_Task,MATCH(64,R_TSeqM,0))))</f>
        <v/>
      </c>
      <c r="R72" s="14" t="str">
        <f>IF(O72="","",SUMIFS(R_NorH,R_Emp,"Malcolm",R_Task,INDEX(R_Task,MATCH(64,R_TSeqM,0))))</f>
        <v/>
      </c>
      <c r="S72" s="14" t="str">
        <f>IF(O72="","",SUMIFS(R_ExtH,R_Emp,"Malcolm",R_Task,INDEX(R_Task,MATCH(64,R_TSeqM,0))))</f>
        <v/>
      </c>
      <c r="T72" s="129" t="str">
        <f>IF(O72="","",COUNTIFS(R_Emp,"Malcolm",R_Cnt,1,R_Task,INDEX(R_Task,MATCH(64,R_TSeqM,0))))</f>
        <v/>
      </c>
    </row>
    <row r="73">
      <c r="B73" s="126" t="n">
        <v>46360</v>
      </c>
      <c r="C73" s="127" t="str">
        <f>CHOOSE(WEEKDAY(B73,2),"Lun","Mar","Mié","Jue","Vie","Sáb","Dom")</f>
        <v>Vie</v>
      </c>
      <c r="D73" s="128" t="str">
        <f>IF(COUNTIFS(FER_F,B73,FER_NLM,"Sí")&gt;0,"Feriado no laborable",IF(COUNTIFS(FER_F,B73)&gt;0,"Feriado laborable",IF(INDEX(CFG_WDAYS,WEEKDAY(B73,2))="Sí","Laborable","Fin de semana / no laborable")))</f>
        <v>Laborable</v>
      </c>
      <c r="E73" s="127">
        <f>SUMIFS(R_HD0,R_Emp,"Malcolm",R_Fecha,$B73)+SUMIFS(R_HD1,R_Emp,"Malcolm",R_D1,$B73)</f>
        <v>0</v>
      </c>
      <c r="F73" s="127">
        <f>SUMIFS(R_ND0,R_Emp,"Malcolm",R_Fecha,$B73)+SUMIFS(R_ND1,R_Emp,"Malcolm",R_D1,$B73)</f>
        <v>0</v>
      </c>
      <c r="G73" s="127">
        <f>SUMIFS(R_XD0,R_Emp,"Malcolm",R_Fecha,$B73)+SUMIFS(R_XD1,R_Emp,"Malcolm",R_D1,$B73)</f>
        <v>0</v>
      </c>
      <c r="O73" s="130" t="str">
        <f>IFERROR(INDEX(R_Task,MATCH(65,R_TSeqM,0))&amp;"","")</f>
        <v/>
      </c>
      <c r="P73" s="130" t="str">
        <f>IFERROR(INDEX(R_Proy,MATCH(65,R_TSeqM,0))&amp;"","")</f>
        <v/>
      </c>
      <c r="Q73" s="14" t="str">
        <f>IF(O73="","",SUMIFS(R_Hcnt,R_Emp,"Malcolm",R_Task,INDEX(R_Task,MATCH(65,R_TSeqM,0))))</f>
        <v/>
      </c>
      <c r="R73" s="14" t="str">
        <f>IF(O73="","",SUMIFS(R_NorH,R_Emp,"Malcolm",R_Task,INDEX(R_Task,MATCH(65,R_TSeqM,0))))</f>
        <v/>
      </c>
      <c r="S73" s="14" t="str">
        <f>IF(O73="","",SUMIFS(R_ExtH,R_Emp,"Malcolm",R_Task,INDEX(R_Task,MATCH(65,R_TSeqM,0))))</f>
        <v/>
      </c>
      <c r="T73" s="129" t="str">
        <f>IF(O73="","",COUNTIFS(R_Emp,"Malcolm",R_Cnt,1,R_Task,INDEX(R_Task,MATCH(65,R_TSeqM,0))))</f>
        <v/>
      </c>
    </row>
    <row r="74">
      <c r="B74" s="126" t="n">
        <v>46361</v>
      </c>
      <c r="C74" s="127" t="str">
        <f>CHOOSE(WEEKDAY(B74,2),"Lun","Mar","Mié","Jue","Vie","Sáb","Dom")</f>
        <v>Sáb</v>
      </c>
      <c r="D74" s="128" t="str">
        <f>IF(COUNTIFS(FER_F,B74,FER_NLM,"Sí")&gt;0,"Feriado no laborable",IF(COUNTIFS(FER_F,B74)&gt;0,"Feriado laborable",IF(INDEX(CFG_WDAYS,WEEKDAY(B74,2))="Sí","Laborable","Fin de semana / no laborable")))</f>
        <v>Fin de semana / no laborable</v>
      </c>
      <c r="E74" s="127">
        <f>SUMIFS(R_HD0,R_Emp,"Malcolm",R_Fecha,$B74)+SUMIFS(R_HD1,R_Emp,"Malcolm",R_D1,$B74)</f>
        <v>0</v>
      </c>
      <c r="F74" s="127">
        <f>SUMIFS(R_ND0,R_Emp,"Malcolm",R_Fecha,$B74)+SUMIFS(R_ND1,R_Emp,"Malcolm",R_D1,$B74)</f>
        <v>0</v>
      </c>
      <c r="G74" s="127">
        <f>SUMIFS(R_XD0,R_Emp,"Malcolm",R_Fecha,$B74)+SUMIFS(R_XD1,R_Emp,"Malcolm",R_D1,$B74)</f>
        <v>0</v>
      </c>
      <c r="O74" s="130" t="str">
        <f>IFERROR(INDEX(R_Task,MATCH(66,R_TSeqM,0))&amp;"","")</f>
        <v/>
      </c>
      <c r="P74" s="130" t="str">
        <f>IFERROR(INDEX(R_Proy,MATCH(66,R_TSeqM,0))&amp;"","")</f>
        <v/>
      </c>
      <c r="Q74" s="14" t="str">
        <f>IF(O74="","",SUMIFS(R_Hcnt,R_Emp,"Malcolm",R_Task,INDEX(R_Task,MATCH(66,R_TSeqM,0))))</f>
        <v/>
      </c>
      <c r="R74" s="14" t="str">
        <f>IF(O74="","",SUMIFS(R_NorH,R_Emp,"Malcolm",R_Task,INDEX(R_Task,MATCH(66,R_TSeqM,0))))</f>
        <v/>
      </c>
      <c r="S74" s="14" t="str">
        <f>IF(O74="","",SUMIFS(R_ExtH,R_Emp,"Malcolm",R_Task,INDEX(R_Task,MATCH(66,R_TSeqM,0))))</f>
        <v/>
      </c>
      <c r="T74" s="129" t="str">
        <f>IF(O74="","",COUNTIFS(R_Emp,"Malcolm",R_Cnt,1,R_Task,INDEX(R_Task,MATCH(66,R_TSeqM,0))))</f>
        <v/>
      </c>
    </row>
    <row r="75">
      <c r="B75" s="126" t="n">
        <v>46362</v>
      </c>
      <c r="C75" s="127" t="str">
        <f>CHOOSE(WEEKDAY(B75,2),"Lun","Mar","Mié","Jue","Vie","Sáb","Dom")</f>
        <v>Dom</v>
      </c>
      <c r="D75" s="128" t="str">
        <f>IF(COUNTIFS(FER_F,B75,FER_NLM,"Sí")&gt;0,"Feriado no laborable",IF(COUNTIFS(FER_F,B75)&gt;0,"Feriado laborable",IF(INDEX(CFG_WDAYS,WEEKDAY(B75,2))="Sí","Laborable","Fin de semana / no laborable")))</f>
        <v>Fin de semana / no laborable</v>
      </c>
      <c r="E75" s="127">
        <f>SUMIFS(R_HD0,R_Emp,"Malcolm",R_Fecha,$B75)+SUMIFS(R_HD1,R_Emp,"Malcolm",R_D1,$B75)</f>
        <v>0</v>
      </c>
      <c r="F75" s="127">
        <f>SUMIFS(R_ND0,R_Emp,"Malcolm",R_Fecha,$B75)+SUMIFS(R_ND1,R_Emp,"Malcolm",R_D1,$B75)</f>
        <v>0</v>
      </c>
      <c r="G75" s="127">
        <f>SUMIFS(R_XD0,R_Emp,"Malcolm",R_Fecha,$B75)+SUMIFS(R_XD1,R_Emp,"Malcolm",R_D1,$B75)</f>
        <v>0</v>
      </c>
      <c r="O75" s="130" t="str">
        <f>IFERROR(INDEX(R_Task,MATCH(67,R_TSeqM,0))&amp;"","")</f>
        <v/>
      </c>
      <c r="P75" s="130" t="str">
        <f>IFERROR(INDEX(R_Proy,MATCH(67,R_TSeqM,0))&amp;"","")</f>
        <v/>
      </c>
      <c r="Q75" s="14" t="str">
        <f>IF(O75="","",SUMIFS(R_Hcnt,R_Emp,"Malcolm",R_Task,INDEX(R_Task,MATCH(67,R_TSeqM,0))))</f>
        <v/>
      </c>
      <c r="R75" s="14" t="str">
        <f>IF(O75="","",SUMIFS(R_NorH,R_Emp,"Malcolm",R_Task,INDEX(R_Task,MATCH(67,R_TSeqM,0))))</f>
        <v/>
      </c>
      <c r="S75" s="14" t="str">
        <f>IF(O75="","",SUMIFS(R_ExtH,R_Emp,"Malcolm",R_Task,INDEX(R_Task,MATCH(67,R_TSeqM,0))))</f>
        <v/>
      </c>
      <c r="T75" s="129" t="str">
        <f>IF(O75="","",COUNTIFS(R_Emp,"Malcolm",R_Cnt,1,R_Task,INDEX(R_Task,MATCH(67,R_TSeqM,0))))</f>
        <v/>
      </c>
    </row>
    <row r="76">
      <c r="B76" s="126" t="n">
        <v>46363</v>
      </c>
      <c r="C76" s="127" t="str">
        <f>CHOOSE(WEEKDAY(B76,2),"Lun","Mar","Mié","Jue","Vie","Sáb","Dom")</f>
        <v>Lun</v>
      </c>
      <c r="D76" s="128" t="str">
        <f>IF(COUNTIFS(FER_F,B76,FER_NLM,"Sí")&gt;0,"Feriado no laborable",IF(COUNTIFS(FER_F,B76)&gt;0,"Feriado laborable",IF(INDEX(CFG_WDAYS,WEEKDAY(B76,2))="Sí","Laborable","Fin de semana / no laborable")))</f>
        <v>Laborable</v>
      </c>
      <c r="E76" s="127">
        <f>SUMIFS(R_HD0,R_Emp,"Malcolm",R_Fecha,$B76)+SUMIFS(R_HD1,R_Emp,"Malcolm",R_D1,$B76)</f>
        <v>0</v>
      </c>
      <c r="F76" s="127">
        <f>SUMIFS(R_ND0,R_Emp,"Malcolm",R_Fecha,$B76)+SUMIFS(R_ND1,R_Emp,"Malcolm",R_D1,$B76)</f>
        <v>0</v>
      </c>
      <c r="G76" s="127">
        <f>SUMIFS(R_XD0,R_Emp,"Malcolm",R_Fecha,$B76)+SUMIFS(R_XD1,R_Emp,"Malcolm",R_D1,$B76)</f>
        <v>0</v>
      </c>
      <c r="O76" s="130" t="str">
        <f>IFERROR(INDEX(R_Task,MATCH(68,R_TSeqM,0))&amp;"","")</f>
        <v/>
      </c>
      <c r="P76" s="130" t="str">
        <f>IFERROR(INDEX(R_Proy,MATCH(68,R_TSeqM,0))&amp;"","")</f>
        <v/>
      </c>
      <c r="Q76" s="14" t="str">
        <f>IF(O76="","",SUMIFS(R_Hcnt,R_Emp,"Malcolm",R_Task,INDEX(R_Task,MATCH(68,R_TSeqM,0))))</f>
        <v/>
      </c>
      <c r="R76" s="14" t="str">
        <f>IF(O76="","",SUMIFS(R_NorH,R_Emp,"Malcolm",R_Task,INDEX(R_Task,MATCH(68,R_TSeqM,0))))</f>
        <v/>
      </c>
      <c r="S76" s="14" t="str">
        <f>IF(O76="","",SUMIFS(R_ExtH,R_Emp,"Malcolm",R_Task,INDEX(R_Task,MATCH(68,R_TSeqM,0))))</f>
        <v/>
      </c>
      <c r="T76" s="129" t="str">
        <f>IF(O76="","",COUNTIFS(R_Emp,"Malcolm",R_Cnt,1,R_Task,INDEX(R_Task,MATCH(68,R_TSeqM,0))))</f>
        <v/>
      </c>
    </row>
    <row r="77">
      <c r="B77" s="126" t="n">
        <v>46364</v>
      </c>
      <c r="C77" s="127" t="str">
        <f>CHOOSE(WEEKDAY(B77,2),"Lun","Mar","Mié","Jue","Vie","Sáb","Dom")</f>
        <v>Mar</v>
      </c>
      <c r="D77" s="128" t="str">
        <f>IF(COUNTIFS(FER_F,B77,FER_NLM,"Sí")&gt;0,"Feriado no laborable",IF(COUNTIFS(FER_F,B77)&gt;0,"Feriado laborable",IF(INDEX(CFG_WDAYS,WEEKDAY(B77,2))="Sí","Laborable","Fin de semana / no laborable")))</f>
        <v>Laborable</v>
      </c>
      <c r="E77" s="127">
        <f>SUMIFS(R_HD0,R_Emp,"Malcolm",R_Fecha,$B77)+SUMIFS(R_HD1,R_Emp,"Malcolm",R_D1,$B77)</f>
        <v>0</v>
      </c>
      <c r="F77" s="127">
        <f>SUMIFS(R_ND0,R_Emp,"Malcolm",R_Fecha,$B77)+SUMIFS(R_ND1,R_Emp,"Malcolm",R_D1,$B77)</f>
        <v>0</v>
      </c>
      <c r="G77" s="127">
        <f>SUMIFS(R_XD0,R_Emp,"Malcolm",R_Fecha,$B77)+SUMIFS(R_XD1,R_Emp,"Malcolm",R_D1,$B77)</f>
        <v>0</v>
      </c>
      <c r="O77" s="130" t="str">
        <f>IFERROR(INDEX(R_Task,MATCH(69,R_TSeqM,0))&amp;"","")</f>
        <v/>
      </c>
      <c r="P77" s="130" t="str">
        <f>IFERROR(INDEX(R_Proy,MATCH(69,R_TSeqM,0))&amp;"","")</f>
        <v/>
      </c>
      <c r="Q77" s="14" t="str">
        <f>IF(O77="","",SUMIFS(R_Hcnt,R_Emp,"Malcolm",R_Task,INDEX(R_Task,MATCH(69,R_TSeqM,0))))</f>
        <v/>
      </c>
      <c r="R77" s="14" t="str">
        <f>IF(O77="","",SUMIFS(R_NorH,R_Emp,"Malcolm",R_Task,INDEX(R_Task,MATCH(69,R_TSeqM,0))))</f>
        <v/>
      </c>
      <c r="S77" s="14" t="str">
        <f>IF(O77="","",SUMIFS(R_ExtH,R_Emp,"Malcolm",R_Task,INDEX(R_Task,MATCH(69,R_TSeqM,0))))</f>
        <v/>
      </c>
      <c r="T77" s="129" t="str">
        <f>IF(O77="","",COUNTIFS(R_Emp,"Malcolm",R_Cnt,1,R_Task,INDEX(R_Task,MATCH(69,R_TSeqM,0))))</f>
        <v/>
      </c>
    </row>
    <row r="78">
      <c r="B78" s="126" t="n">
        <v>46365</v>
      </c>
      <c r="C78" s="127" t="str">
        <f>CHOOSE(WEEKDAY(B78,2),"Lun","Mar","Mié","Jue","Vie","Sáb","Dom")</f>
        <v>Mié</v>
      </c>
      <c r="D78" s="128" t="str">
        <f>IF(COUNTIFS(FER_F,B78,FER_NLM,"Sí")&gt;0,"Feriado no laborable",IF(COUNTIFS(FER_F,B78)&gt;0,"Feriado laborable",IF(INDEX(CFG_WDAYS,WEEKDAY(B78,2))="Sí","Laborable","Fin de semana / no laborable")))</f>
        <v>Laborable</v>
      </c>
      <c r="E78" s="127">
        <f>SUMIFS(R_HD0,R_Emp,"Malcolm",R_Fecha,$B78)+SUMIFS(R_HD1,R_Emp,"Malcolm",R_D1,$B78)</f>
        <v>0</v>
      </c>
      <c r="F78" s="127">
        <f>SUMIFS(R_ND0,R_Emp,"Malcolm",R_Fecha,$B78)+SUMIFS(R_ND1,R_Emp,"Malcolm",R_D1,$B78)</f>
        <v>0</v>
      </c>
      <c r="G78" s="127">
        <f>SUMIFS(R_XD0,R_Emp,"Malcolm",R_Fecha,$B78)+SUMIFS(R_XD1,R_Emp,"Malcolm",R_D1,$B78)</f>
        <v>0</v>
      </c>
      <c r="O78" s="130" t="str">
        <f>IFERROR(INDEX(R_Task,MATCH(70,R_TSeqM,0))&amp;"","")</f>
        <v/>
      </c>
      <c r="P78" s="130" t="str">
        <f>IFERROR(INDEX(R_Proy,MATCH(70,R_TSeqM,0))&amp;"","")</f>
        <v/>
      </c>
      <c r="Q78" s="14" t="str">
        <f>IF(O78="","",SUMIFS(R_Hcnt,R_Emp,"Malcolm",R_Task,INDEX(R_Task,MATCH(70,R_TSeqM,0))))</f>
        <v/>
      </c>
      <c r="R78" s="14" t="str">
        <f>IF(O78="","",SUMIFS(R_NorH,R_Emp,"Malcolm",R_Task,INDEX(R_Task,MATCH(70,R_TSeqM,0))))</f>
        <v/>
      </c>
      <c r="S78" s="14" t="str">
        <f>IF(O78="","",SUMIFS(R_ExtH,R_Emp,"Malcolm",R_Task,INDEX(R_Task,MATCH(70,R_TSeqM,0))))</f>
        <v/>
      </c>
      <c r="T78" s="129" t="str">
        <f>IF(O78="","",COUNTIFS(R_Emp,"Malcolm",R_Cnt,1,R_Task,INDEX(R_Task,MATCH(70,R_TSeqM,0))))</f>
        <v/>
      </c>
    </row>
    <row r="79">
      <c r="B79" s="126" t="n">
        <v>46366</v>
      </c>
      <c r="C79" s="127" t="str">
        <f>CHOOSE(WEEKDAY(B79,2),"Lun","Mar","Mié","Jue","Vie","Sáb","Dom")</f>
        <v>Jue</v>
      </c>
      <c r="D79" s="128" t="str">
        <f>IF(COUNTIFS(FER_F,B79,FER_NLM,"Sí")&gt;0,"Feriado no laborable",IF(COUNTIFS(FER_F,B79)&gt;0,"Feriado laborable",IF(INDEX(CFG_WDAYS,WEEKDAY(B79,2))="Sí","Laborable","Fin de semana / no laborable")))</f>
        <v>Laborable</v>
      </c>
      <c r="E79" s="127">
        <f>SUMIFS(R_HD0,R_Emp,"Malcolm",R_Fecha,$B79)+SUMIFS(R_HD1,R_Emp,"Malcolm",R_D1,$B79)</f>
        <v>0</v>
      </c>
      <c r="F79" s="127">
        <f>SUMIFS(R_ND0,R_Emp,"Malcolm",R_Fecha,$B79)+SUMIFS(R_ND1,R_Emp,"Malcolm",R_D1,$B79)</f>
        <v>0</v>
      </c>
      <c r="G79" s="127">
        <f>SUMIFS(R_XD0,R_Emp,"Malcolm",R_Fecha,$B79)+SUMIFS(R_XD1,R_Emp,"Malcolm",R_D1,$B79)</f>
        <v>0</v>
      </c>
      <c r="O79" s="130" t="str">
        <f>IFERROR(INDEX(R_Task,MATCH(71,R_TSeqM,0))&amp;"","")</f>
        <v/>
      </c>
      <c r="P79" s="130" t="str">
        <f>IFERROR(INDEX(R_Proy,MATCH(71,R_TSeqM,0))&amp;"","")</f>
        <v/>
      </c>
      <c r="Q79" s="14" t="str">
        <f>IF(O79="","",SUMIFS(R_Hcnt,R_Emp,"Malcolm",R_Task,INDEX(R_Task,MATCH(71,R_TSeqM,0))))</f>
        <v/>
      </c>
      <c r="R79" s="14" t="str">
        <f>IF(O79="","",SUMIFS(R_NorH,R_Emp,"Malcolm",R_Task,INDEX(R_Task,MATCH(71,R_TSeqM,0))))</f>
        <v/>
      </c>
      <c r="S79" s="14" t="str">
        <f>IF(O79="","",SUMIFS(R_ExtH,R_Emp,"Malcolm",R_Task,INDEX(R_Task,MATCH(71,R_TSeqM,0))))</f>
        <v/>
      </c>
      <c r="T79" s="129" t="str">
        <f>IF(O79="","",COUNTIFS(R_Emp,"Malcolm",R_Cnt,1,R_Task,INDEX(R_Task,MATCH(71,R_TSeqM,0))))</f>
        <v/>
      </c>
    </row>
    <row r="80">
      <c r="B80" s="126" t="n">
        <v>46367</v>
      </c>
      <c r="C80" s="127" t="str">
        <f>CHOOSE(WEEKDAY(B80,2),"Lun","Mar","Mié","Jue","Vie","Sáb","Dom")</f>
        <v>Vie</v>
      </c>
      <c r="D80" s="128" t="str">
        <f>IF(COUNTIFS(FER_F,B80,FER_NLM,"Sí")&gt;0,"Feriado no laborable",IF(COUNTIFS(FER_F,B80)&gt;0,"Feriado laborable",IF(INDEX(CFG_WDAYS,WEEKDAY(B80,2))="Sí","Laborable","Fin de semana / no laborable")))</f>
        <v>Laborable</v>
      </c>
      <c r="E80" s="127">
        <f>SUMIFS(R_HD0,R_Emp,"Malcolm",R_Fecha,$B80)+SUMIFS(R_HD1,R_Emp,"Malcolm",R_D1,$B80)</f>
        <v>0</v>
      </c>
      <c r="F80" s="127">
        <f>SUMIFS(R_ND0,R_Emp,"Malcolm",R_Fecha,$B80)+SUMIFS(R_ND1,R_Emp,"Malcolm",R_D1,$B80)</f>
        <v>0</v>
      </c>
      <c r="G80" s="127">
        <f>SUMIFS(R_XD0,R_Emp,"Malcolm",R_Fecha,$B80)+SUMIFS(R_XD1,R_Emp,"Malcolm",R_D1,$B80)</f>
        <v>0</v>
      </c>
      <c r="O80" s="130" t="str">
        <f>IFERROR(INDEX(R_Task,MATCH(72,R_TSeqM,0))&amp;"","")</f>
        <v/>
      </c>
      <c r="P80" s="130" t="str">
        <f>IFERROR(INDEX(R_Proy,MATCH(72,R_TSeqM,0))&amp;"","")</f>
        <v/>
      </c>
      <c r="Q80" s="14" t="str">
        <f>IF(O80="","",SUMIFS(R_Hcnt,R_Emp,"Malcolm",R_Task,INDEX(R_Task,MATCH(72,R_TSeqM,0))))</f>
        <v/>
      </c>
      <c r="R80" s="14" t="str">
        <f>IF(O80="","",SUMIFS(R_NorH,R_Emp,"Malcolm",R_Task,INDEX(R_Task,MATCH(72,R_TSeqM,0))))</f>
        <v/>
      </c>
      <c r="S80" s="14" t="str">
        <f>IF(O80="","",SUMIFS(R_ExtH,R_Emp,"Malcolm",R_Task,INDEX(R_Task,MATCH(72,R_TSeqM,0))))</f>
        <v/>
      </c>
      <c r="T80" s="129" t="str">
        <f>IF(O80="","",COUNTIFS(R_Emp,"Malcolm",R_Cnt,1,R_Task,INDEX(R_Task,MATCH(72,R_TSeqM,0))))</f>
        <v/>
      </c>
    </row>
    <row r="81">
      <c r="B81" s="126" t="n">
        <v>46368</v>
      </c>
      <c r="C81" s="127" t="str">
        <f>CHOOSE(WEEKDAY(B81,2),"Lun","Mar","Mié","Jue","Vie","Sáb","Dom")</f>
        <v>Sáb</v>
      </c>
      <c r="D81" s="128" t="str">
        <f>IF(COUNTIFS(FER_F,B81,FER_NLM,"Sí")&gt;0,"Feriado no laborable",IF(COUNTIFS(FER_F,B81)&gt;0,"Feriado laborable",IF(INDEX(CFG_WDAYS,WEEKDAY(B81,2))="Sí","Laborable","Fin de semana / no laborable")))</f>
        <v>Fin de semana / no laborable</v>
      </c>
      <c r="E81" s="127">
        <f>SUMIFS(R_HD0,R_Emp,"Malcolm",R_Fecha,$B81)+SUMIFS(R_HD1,R_Emp,"Malcolm",R_D1,$B81)</f>
        <v>0</v>
      </c>
      <c r="F81" s="127">
        <f>SUMIFS(R_ND0,R_Emp,"Malcolm",R_Fecha,$B81)+SUMIFS(R_ND1,R_Emp,"Malcolm",R_D1,$B81)</f>
        <v>0</v>
      </c>
      <c r="G81" s="127">
        <f>SUMIFS(R_XD0,R_Emp,"Malcolm",R_Fecha,$B81)+SUMIFS(R_XD1,R_Emp,"Malcolm",R_D1,$B81)</f>
        <v>0</v>
      </c>
      <c r="O81" s="130" t="str">
        <f>IFERROR(INDEX(R_Task,MATCH(73,R_TSeqM,0))&amp;"","")</f>
        <v/>
      </c>
      <c r="P81" s="130" t="str">
        <f>IFERROR(INDEX(R_Proy,MATCH(73,R_TSeqM,0))&amp;"","")</f>
        <v/>
      </c>
      <c r="Q81" s="14" t="str">
        <f>IF(O81="","",SUMIFS(R_Hcnt,R_Emp,"Malcolm",R_Task,INDEX(R_Task,MATCH(73,R_TSeqM,0))))</f>
        <v/>
      </c>
      <c r="R81" s="14" t="str">
        <f>IF(O81="","",SUMIFS(R_NorH,R_Emp,"Malcolm",R_Task,INDEX(R_Task,MATCH(73,R_TSeqM,0))))</f>
        <v/>
      </c>
      <c r="S81" s="14" t="str">
        <f>IF(O81="","",SUMIFS(R_ExtH,R_Emp,"Malcolm",R_Task,INDEX(R_Task,MATCH(73,R_TSeqM,0))))</f>
        <v/>
      </c>
      <c r="T81" s="129" t="str">
        <f>IF(O81="","",COUNTIFS(R_Emp,"Malcolm",R_Cnt,1,R_Task,INDEX(R_Task,MATCH(73,R_TSeqM,0))))</f>
        <v/>
      </c>
    </row>
    <row r="82">
      <c r="B82" s="126" t="n">
        <v>46369</v>
      </c>
      <c r="C82" s="127" t="str">
        <f>CHOOSE(WEEKDAY(B82,2),"Lun","Mar","Mié","Jue","Vie","Sáb","Dom")</f>
        <v>Dom</v>
      </c>
      <c r="D82" s="128" t="str">
        <f>IF(COUNTIFS(FER_F,B82,FER_NLM,"Sí")&gt;0,"Feriado no laborable",IF(COUNTIFS(FER_F,B82)&gt;0,"Feriado laborable",IF(INDEX(CFG_WDAYS,WEEKDAY(B82,2))="Sí","Laborable","Fin de semana / no laborable")))</f>
        <v>Fin de semana / no laborable</v>
      </c>
      <c r="E82" s="127">
        <f>SUMIFS(R_HD0,R_Emp,"Malcolm",R_Fecha,$B82)+SUMIFS(R_HD1,R_Emp,"Malcolm",R_D1,$B82)</f>
        <v>0</v>
      </c>
      <c r="F82" s="127">
        <f>SUMIFS(R_ND0,R_Emp,"Malcolm",R_Fecha,$B82)+SUMIFS(R_ND1,R_Emp,"Malcolm",R_D1,$B82)</f>
        <v>0</v>
      </c>
      <c r="G82" s="127">
        <f>SUMIFS(R_XD0,R_Emp,"Malcolm",R_Fecha,$B82)+SUMIFS(R_XD1,R_Emp,"Malcolm",R_D1,$B82)</f>
        <v>0</v>
      </c>
      <c r="O82" s="130" t="str">
        <f>IFERROR(INDEX(R_Task,MATCH(74,R_TSeqM,0))&amp;"","")</f>
        <v/>
      </c>
      <c r="P82" s="130" t="str">
        <f>IFERROR(INDEX(R_Proy,MATCH(74,R_TSeqM,0))&amp;"","")</f>
        <v/>
      </c>
      <c r="Q82" s="14" t="str">
        <f>IF(O82="","",SUMIFS(R_Hcnt,R_Emp,"Malcolm",R_Task,INDEX(R_Task,MATCH(74,R_TSeqM,0))))</f>
        <v/>
      </c>
      <c r="R82" s="14" t="str">
        <f>IF(O82="","",SUMIFS(R_NorH,R_Emp,"Malcolm",R_Task,INDEX(R_Task,MATCH(74,R_TSeqM,0))))</f>
        <v/>
      </c>
      <c r="S82" s="14" t="str">
        <f>IF(O82="","",SUMIFS(R_ExtH,R_Emp,"Malcolm",R_Task,INDEX(R_Task,MATCH(74,R_TSeqM,0))))</f>
        <v/>
      </c>
      <c r="T82" s="129" t="str">
        <f>IF(O82="","",COUNTIFS(R_Emp,"Malcolm",R_Cnt,1,R_Task,INDEX(R_Task,MATCH(74,R_TSeqM,0))))</f>
        <v/>
      </c>
    </row>
    <row r="83">
      <c r="B83" s="126" t="n">
        <v>46370</v>
      </c>
      <c r="C83" s="127" t="str">
        <f>CHOOSE(WEEKDAY(B83,2),"Lun","Mar","Mié","Jue","Vie","Sáb","Dom")</f>
        <v>Lun</v>
      </c>
      <c r="D83" s="128" t="str">
        <f>IF(COUNTIFS(FER_F,B83,FER_NLM,"Sí")&gt;0,"Feriado no laborable",IF(COUNTIFS(FER_F,B83)&gt;0,"Feriado laborable",IF(INDEX(CFG_WDAYS,WEEKDAY(B83,2))="Sí","Laborable","Fin de semana / no laborable")))</f>
        <v>Laborable</v>
      </c>
      <c r="E83" s="127">
        <f>SUMIFS(R_HD0,R_Emp,"Malcolm",R_Fecha,$B83)+SUMIFS(R_HD1,R_Emp,"Malcolm",R_D1,$B83)</f>
        <v>0</v>
      </c>
      <c r="F83" s="127">
        <f>SUMIFS(R_ND0,R_Emp,"Malcolm",R_Fecha,$B83)+SUMIFS(R_ND1,R_Emp,"Malcolm",R_D1,$B83)</f>
        <v>0</v>
      </c>
      <c r="G83" s="127">
        <f>SUMIFS(R_XD0,R_Emp,"Malcolm",R_Fecha,$B83)+SUMIFS(R_XD1,R_Emp,"Malcolm",R_D1,$B83)</f>
        <v>0</v>
      </c>
      <c r="O83" s="130" t="str">
        <f>IFERROR(INDEX(R_Task,MATCH(75,R_TSeqM,0))&amp;"","")</f>
        <v/>
      </c>
      <c r="P83" s="130" t="str">
        <f>IFERROR(INDEX(R_Proy,MATCH(75,R_TSeqM,0))&amp;"","")</f>
        <v/>
      </c>
      <c r="Q83" s="14" t="str">
        <f>IF(O83="","",SUMIFS(R_Hcnt,R_Emp,"Malcolm",R_Task,INDEX(R_Task,MATCH(75,R_TSeqM,0))))</f>
        <v/>
      </c>
      <c r="R83" s="14" t="str">
        <f>IF(O83="","",SUMIFS(R_NorH,R_Emp,"Malcolm",R_Task,INDEX(R_Task,MATCH(75,R_TSeqM,0))))</f>
        <v/>
      </c>
      <c r="S83" s="14" t="str">
        <f>IF(O83="","",SUMIFS(R_ExtH,R_Emp,"Malcolm",R_Task,INDEX(R_Task,MATCH(75,R_TSeqM,0))))</f>
        <v/>
      </c>
      <c r="T83" s="129" t="str">
        <f>IF(O83="","",COUNTIFS(R_Emp,"Malcolm",R_Cnt,1,R_Task,INDEX(R_Task,MATCH(75,R_TSeqM,0))))</f>
        <v/>
      </c>
    </row>
    <row r="84">
      <c r="B84" s="126" t="n">
        <v>46371</v>
      </c>
      <c r="C84" s="127" t="str">
        <f>CHOOSE(WEEKDAY(B84,2),"Lun","Mar","Mié","Jue","Vie","Sáb","Dom")</f>
        <v>Mar</v>
      </c>
      <c r="D84" s="128" t="str">
        <f>IF(COUNTIFS(FER_F,B84,FER_NLM,"Sí")&gt;0,"Feriado no laborable",IF(COUNTIFS(FER_F,B84)&gt;0,"Feriado laborable",IF(INDEX(CFG_WDAYS,WEEKDAY(B84,2))="Sí","Laborable","Fin de semana / no laborable")))</f>
        <v>Laborable</v>
      </c>
      <c r="E84" s="127">
        <f>SUMIFS(R_HD0,R_Emp,"Malcolm",R_Fecha,$B84)+SUMIFS(R_HD1,R_Emp,"Malcolm",R_D1,$B84)</f>
        <v>0</v>
      </c>
      <c r="F84" s="127">
        <f>SUMIFS(R_ND0,R_Emp,"Malcolm",R_Fecha,$B84)+SUMIFS(R_ND1,R_Emp,"Malcolm",R_D1,$B84)</f>
        <v>0</v>
      </c>
      <c r="G84" s="127">
        <f>SUMIFS(R_XD0,R_Emp,"Malcolm",R_Fecha,$B84)+SUMIFS(R_XD1,R_Emp,"Malcolm",R_D1,$B84)</f>
        <v>0</v>
      </c>
      <c r="O84" s="130" t="str">
        <f>IFERROR(INDEX(R_Task,MATCH(76,R_TSeqM,0))&amp;"","")</f>
        <v/>
      </c>
      <c r="P84" s="130" t="str">
        <f>IFERROR(INDEX(R_Proy,MATCH(76,R_TSeqM,0))&amp;"","")</f>
        <v/>
      </c>
      <c r="Q84" s="14" t="str">
        <f>IF(O84="","",SUMIFS(R_Hcnt,R_Emp,"Malcolm",R_Task,INDEX(R_Task,MATCH(76,R_TSeqM,0))))</f>
        <v/>
      </c>
      <c r="R84" s="14" t="str">
        <f>IF(O84="","",SUMIFS(R_NorH,R_Emp,"Malcolm",R_Task,INDEX(R_Task,MATCH(76,R_TSeqM,0))))</f>
        <v/>
      </c>
      <c r="S84" s="14" t="str">
        <f>IF(O84="","",SUMIFS(R_ExtH,R_Emp,"Malcolm",R_Task,INDEX(R_Task,MATCH(76,R_TSeqM,0))))</f>
        <v/>
      </c>
      <c r="T84" s="129" t="str">
        <f>IF(O84="","",COUNTIFS(R_Emp,"Malcolm",R_Cnt,1,R_Task,INDEX(R_Task,MATCH(76,R_TSeqM,0))))</f>
        <v/>
      </c>
    </row>
    <row r="85">
      <c r="B85" s="126" t="n">
        <v>46372</v>
      </c>
      <c r="C85" s="127" t="str">
        <f>CHOOSE(WEEKDAY(B85,2),"Lun","Mar","Mié","Jue","Vie","Sáb","Dom")</f>
        <v>Mié</v>
      </c>
      <c r="D85" s="128" t="str">
        <f>IF(COUNTIFS(FER_F,B85,FER_NLM,"Sí")&gt;0,"Feriado no laborable",IF(COUNTIFS(FER_F,B85)&gt;0,"Feriado laborable",IF(INDEX(CFG_WDAYS,WEEKDAY(B85,2))="Sí","Laborable","Fin de semana / no laborable")))</f>
        <v>Laborable</v>
      </c>
      <c r="E85" s="127">
        <f>SUMIFS(R_HD0,R_Emp,"Malcolm",R_Fecha,$B85)+SUMIFS(R_HD1,R_Emp,"Malcolm",R_D1,$B85)</f>
        <v>0</v>
      </c>
      <c r="F85" s="127">
        <f>SUMIFS(R_ND0,R_Emp,"Malcolm",R_Fecha,$B85)+SUMIFS(R_ND1,R_Emp,"Malcolm",R_D1,$B85)</f>
        <v>0</v>
      </c>
      <c r="G85" s="127">
        <f>SUMIFS(R_XD0,R_Emp,"Malcolm",R_Fecha,$B85)+SUMIFS(R_XD1,R_Emp,"Malcolm",R_D1,$B85)</f>
        <v>0</v>
      </c>
      <c r="O85" s="130" t="str">
        <f>IFERROR(INDEX(R_Task,MATCH(77,R_TSeqM,0))&amp;"","")</f>
        <v/>
      </c>
      <c r="P85" s="130" t="str">
        <f>IFERROR(INDEX(R_Proy,MATCH(77,R_TSeqM,0))&amp;"","")</f>
        <v/>
      </c>
      <c r="Q85" s="14" t="str">
        <f>IF(O85="","",SUMIFS(R_Hcnt,R_Emp,"Malcolm",R_Task,INDEX(R_Task,MATCH(77,R_TSeqM,0))))</f>
        <v/>
      </c>
      <c r="R85" s="14" t="str">
        <f>IF(O85="","",SUMIFS(R_NorH,R_Emp,"Malcolm",R_Task,INDEX(R_Task,MATCH(77,R_TSeqM,0))))</f>
        <v/>
      </c>
      <c r="S85" s="14" t="str">
        <f>IF(O85="","",SUMIFS(R_ExtH,R_Emp,"Malcolm",R_Task,INDEX(R_Task,MATCH(77,R_TSeqM,0))))</f>
        <v/>
      </c>
      <c r="T85" s="129" t="str">
        <f>IF(O85="","",COUNTIFS(R_Emp,"Malcolm",R_Cnt,1,R_Task,INDEX(R_Task,MATCH(77,R_TSeqM,0))))</f>
        <v/>
      </c>
    </row>
    <row r="86">
      <c r="B86" s="126" t="n">
        <v>46373</v>
      </c>
      <c r="C86" s="127" t="str">
        <f>CHOOSE(WEEKDAY(B86,2),"Lun","Mar","Mié","Jue","Vie","Sáb","Dom")</f>
        <v>Jue</v>
      </c>
      <c r="D86" s="128" t="str">
        <f>IF(COUNTIFS(FER_F,B86,FER_NLM,"Sí")&gt;0,"Feriado no laborable",IF(COUNTIFS(FER_F,B86)&gt;0,"Feriado laborable",IF(INDEX(CFG_WDAYS,WEEKDAY(B86,2))="Sí","Laborable","Fin de semana / no laborable")))</f>
        <v>Laborable</v>
      </c>
      <c r="E86" s="127">
        <f>SUMIFS(R_HD0,R_Emp,"Malcolm",R_Fecha,$B86)+SUMIFS(R_HD1,R_Emp,"Malcolm",R_D1,$B86)</f>
        <v>0</v>
      </c>
      <c r="F86" s="127">
        <f>SUMIFS(R_ND0,R_Emp,"Malcolm",R_Fecha,$B86)+SUMIFS(R_ND1,R_Emp,"Malcolm",R_D1,$B86)</f>
        <v>0</v>
      </c>
      <c r="G86" s="127">
        <f>SUMIFS(R_XD0,R_Emp,"Malcolm",R_Fecha,$B86)+SUMIFS(R_XD1,R_Emp,"Malcolm",R_D1,$B86)</f>
        <v>0</v>
      </c>
      <c r="O86" s="130" t="str">
        <f>IFERROR(INDEX(R_Task,MATCH(78,R_TSeqM,0))&amp;"","")</f>
        <v/>
      </c>
      <c r="P86" s="130" t="str">
        <f>IFERROR(INDEX(R_Proy,MATCH(78,R_TSeqM,0))&amp;"","")</f>
        <v/>
      </c>
      <c r="Q86" s="14" t="str">
        <f>IF(O86="","",SUMIFS(R_Hcnt,R_Emp,"Malcolm",R_Task,INDEX(R_Task,MATCH(78,R_TSeqM,0))))</f>
        <v/>
      </c>
      <c r="R86" s="14" t="str">
        <f>IF(O86="","",SUMIFS(R_NorH,R_Emp,"Malcolm",R_Task,INDEX(R_Task,MATCH(78,R_TSeqM,0))))</f>
        <v/>
      </c>
      <c r="S86" s="14" t="str">
        <f>IF(O86="","",SUMIFS(R_ExtH,R_Emp,"Malcolm",R_Task,INDEX(R_Task,MATCH(78,R_TSeqM,0))))</f>
        <v/>
      </c>
      <c r="T86" s="129" t="str">
        <f>IF(O86="","",COUNTIFS(R_Emp,"Malcolm",R_Cnt,1,R_Task,INDEX(R_Task,MATCH(78,R_TSeqM,0))))</f>
        <v/>
      </c>
    </row>
    <row r="87">
      <c r="B87" s="126" t="n">
        <v>46374</v>
      </c>
      <c r="C87" s="127" t="str">
        <f>CHOOSE(WEEKDAY(B87,2),"Lun","Mar","Mié","Jue","Vie","Sáb","Dom")</f>
        <v>Vie</v>
      </c>
      <c r="D87" s="128" t="str">
        <f>IF(COUNTIFS(FER_F,B87,FER_NLM,"Sí")&gt;0,"Feriado no laborable",IF(COUNTIFS(FER_F,B87)&gt;0,"Feriado laborable",IF(INDEX(CFG_WDAYS,WEEKDAY(B87,2))="Sí","Laborable","Fin de semana / no laborable")))</f>
        <v>Laborable</v>
      </c>
      <c r="E87" s="127">
        <f>SUMIFS(R_HD0,R_Emp,"Malcolm",R_Fecha,$B87)+SUMIFS(R_HD1,R_Emp,"Malcolm",R_D1,$B87)</f>
        <v>0</v>
      </c>
      <c r="F87" s="127">
        <f>SUMIFS(R_ND0,R_Emp,"Malcolm",R_Fecha,$B87)+SUMIFS(R_ND1,R_Emp,"Malcolm",R_D1,$B87)</f>
        <v>0</v>
      </c>
      <c r="G87" s="127">
        <f>SUMIFS(R_XD0,R_Emp,"Malcolm",R_Fecha,$B87)+SUMIFS(R_XD1,R_Emp,"Malcolm",R_D1,$B87)</f>
        <v>0</v>
      </c>
      <c r="O87" s="130" t="str">
        <f>IFERROR(INDEX(R_Task,MATCH(79,R_TSeqM,0))&amp;"","")</f>
        <v/>
      </c>
      <c r="P87" s="130" t="str">
        <f>IFERROR(INDEX(R_Proy,MATCH(79,R_TSeqM,0))&amp;"","")</f>
        <v/>
      </c>
      <c r="Q87" s="14" t="str">
        <f>IF(O87="","",SUMIFS(R_Hcnt,R_Emp,"Malcolm",R_Task,INDEX(R_Task,MATCH(79,R_TSeqM,0))))</f>
        <v/>
      </c>
      <c r="R87" s="14" t="str">
        <f>IF(O87="","",SUMIFS(R_NorH,R_Emp,"Malcolm",R_Task,INDEX(R_Task,MATCH(79,R_TSeqM,0))))</f>
        <v/>
      </c>
      <c r="S87" s="14" t="str">
        <f>IF(O87="","",SUMIFS(R_ExtH,R_Emp,"Malcolm",R_Task,INDEX(R_Task,MATCH(79,R_TSeqM,0))))</f>
        <v/>
      </c>
      <c r="T87" s="129" t="str">
        <f>IF(O87="","",COUNTIFS(R_Emp,"Malcolm",R_Cnt,1,R_Task,INDEX(R_Task,MATCH(79,R_TSeqM,0))))</f>
        <v/>
      </c>
    </row>
    <row r="88">
      <c r="B88" s="126" t="n">
        <v>46375</v>
      </c>
      <c r="C88" s="127" t="str">
        <f>CHOOSE(WEEKDAY(B88,2),"Lun","Mar","Mié","Jue","Vie","Sáb","Dom")</f>
        <v>Sáb</v>
      </c>
      <c r="D88" s="128" t="str">
        <f>IF(COUNTIFS(FER_F,B88,FER_NLM,"Sí")&gt;0,"Feriado no laborable",IF(COUNTIFS(FER_F,B88)&gt;0,"Feriado laborable",IF(INDEX(CFG_WDAYS,WEEKDAY(B88,2))="Sí","Laborable","Fin de semana / no laborable")))</f>
        <v>Fin de semana / no laborable</v>
      </c>
      <c r="E88" s="127">
        <f>SUMIFS(R_HD0,R_Emp,"Malcolm",R_Fecha,$B88)+SUMIFS(R_HD1,R_Emp,"Malcolm",R_D1,$B88)</f>
        <v>0</v>
      </c>
      <c r="F88" s="127">
        <f>SUMIFS(R_ND0,R_Emp,"Malcolm",R_Fecha,$B88)+SUMIFS(R_ND1,R_Emp,"Malcolm",R_D1,$B88)</f>
        <v>0</v>
      </c>
      <c r="G88" s="127">
        <f>SUMIFS(R_XD0,R_Emp,"Malcolm",R_Fecha,$B88)+SUMIFS(R_XD1,R_Emp,"Malcolm",R_D1,$B88)</f>
        <v>0</v>
      </c>
      <c r="O88" s="130" t="str">
        <f>IFERROR(INDEX(R_Task,MATCH(80,R_TSeqM,0))&amp;"","")</f>
        <v/>
      </c>
      <c r="P88" s="130" t="str">
        <f>IFERROR(INDEX(R_Proy,MATCH(80,R_TSeqM,0))&amp;"","")</f>
        <v/>
      </c>
      <c r="Q88" s="14" t="str">
        <f>IF(O88="","",SUMIFS(R_Hcnt,R_Emp,"Malcolm",R_Task,INDEX(R_Task,MATCH(80,R_TSeqM,0))))</f>
        <v/>
      </c>
      <c r="R88" s="14" t="str">
        <f>IF(O88="","",SUMIFS(R_NorH,R_Emp,"Malcolm",R_Task,INDEX(R_Task,MATCH(80,R_TSeqM,0))))</f>
        <v/>
      </c>
      <c r="S88" s="14" t="str">
        <f>IF(O88="","",SUMIFS(R_ExtH,R_Emp,"Malcolm",R_Task,INDEX(R_Task,MATCH(80,R_TSeqM,0))))</f>
        <v/>
      </c>
      <c r="T88" s="129" t="str">
        <f>IF(O88="","",COUNTIFS(R_Emp,"Malcolm",R_Cnt,1,R_Task,INDEX(R_Task,MATCH(80,R_TSeqM,0))))</f>
        <v/>
      </c>
    </row>
    <row r="89">
      <c r="B89" s="126" t="n">
        <v>46376</v>
      </c>
      <c r="C89" s="127" t="str">
        <f>CHOOSE(WEEKDAY(B89,2),"Lun","Mar","Mié","Jue","Vie","Sáb","Dom")</f>
        <v>Dom</v>
      </c>
      <c r="D89" s="128" t="str">
        <f>IF(COUNTIFS(FER_F,B89,FER_NLM,"Sí")&gt;0,"Feriado no laborable",IF(COUNTIFS(FER_F,B89)&gt;0,"Feriado laborable",IF(INDEX(CFG_WDAYS,WEEKDAY(B89,2))="Sí","Laborable","Fin de semana / no laborable")))</f>
        <v>Fin de semana / no laborable</v>
      </c>
      <c r="E89" s="127">
        <f>SUMIFS(R_HD0,R_Emp,"Malcolm",R_Fecha,$B89)+SUMIFS(R_HD1,R_Emp,"Malcolm",R_D1,$B89)</f>
        <v>0</v>
      </c>
      <c r="F89" s="127">
        <f>SUMIFS(R_ND0,R_Emp,"Malcolm",R_Fecha,$B89)+SUMIFS(R_ND1,R_Emp,"Malcolm",R_D1,$B89)</f>
        <v>0</v>
      </c>
      <c r="G89" s="127">
        <f>SUMIFS(R_XD0,R_Emp,"Malcolm",R_Fecha,$B89)+SUMIFS(R_XD1,R_Emp,"Malcolm",R_D1,$B89)</f>
        <v>0</v>
      </c>
      <c r="O89" s="130" t="str">
        <f>IFERROR(INDEX(R_Task,MATCH(81,R_TSeqM,0))&amp;"","")</f>
        <v/>
      </c>
      <c r="P89" s="130" t="str">
        <f>IFERROR(INDEX(R_Proy,MATCH(81,R_TSeqM,0))&amp;"","")</f>
        <v/>
      </c>
      <c r="Q89" s="14" t="str">
        <f>IF(O89="","",SUMIFS(R_Hcnt,R_Emp,"Malcolm",R_Task,INDEX(R_Task,MATCH(81,R_TSeqM,0))))</f>
        <v/>
      </c>
      <c r="R89" s="14" t="str">
        <f>IF(O89="","",SUMIFS(R_NorH,R_Emp,"Malcolm",R_Task,INDEX(R_Task,MATCH(81,R_TSeqM,0))))</f>
        <v/>
      </c>
      <c r="S89" s="14" t="str">
        <f>IF(O89="","",SUMIFS(R_ExtH,R_Emp,"Malcolm",R_Task,INDEX(R_Task,MATCH(81,R_TSeqM,0))))</f>
        <v/>
      </c>
      <c r="T89" s="129" t="str">
        <f>IF(O89="","",COUNTIFS(R_Emp,"Malcolm",R_Cnt,1,R_Task,INDEX(R_Task,MATCH(81,R_TSeqM,0))))</f>
        <v/>
      </c>
    </row>
    <row r="90">
      <c r="B90" s="126" t="n">
        <v>46377</v>
      </c>
      <c r="C90" s="127" t="str">
        <f>CHOOSE(WEEKDAY(B90,2),"Lun","Mar","Mié","Jue","Vie","Sáb","Dom")</f>
        <v>Lun</v>
      </c>
      <c r="D90" s="128" t="str">
        <f>IF(COUNTIFS(FER_F,B90,FER_NLM,"Sí")&gt;0,"Feriado no laborable",IF(COUNTIFS(FER_F,B90)&gt;0,"Feriado laborable",IF(INDEX(CFG_WDAYS,WEEKDAY(B90,2))="Sí","Laborable","Fin de semana / no laborable")))</f>
        <v>Laborable</v>
      </c>
      <c r="E90" s="127">
        <f>SUMIFS(R_HD0,R_Emp,"Malcolm",R_Fecha,$B90)+SUMIFS(R_HD1,R_Emp,"Malcolm",R_D1,$B90)</f>
        <v>0</v>
      </c>
      <c r="F90" s="127">
        <f>SUMIFS(R_ND0,R_Emp,"Malcolm",R_Fecha,$B90)+SUMIFS(R_ND1,R_Emp,"Malcolm",R_D1,$B90)</f>
        <v>0</v>
      </c>
      <c r="G90" s="127">
        <f>SUMIFS(R_XD0,R_Emp,"Malcolm",R_Fecha,$B90)+SUMIFS(R_XD1,R_Emp,"Malcolm",R_D1,$B90)</f>
        <v>0</v>
      </c>
      <c r="O90" s="130" t="str">
        <f>IFERROR(INDEX(R_Task,MATCH(82,R_TSeqM,0))&amp;"","")</f>
        <v/>
      </c>
      <c r="P90" s="130" t="str">
        <f>IFERROR(INDEX(R_Proy,MATCH(82,R_TSeqM,0))&amp;"","")</f>
        <v/>
      </c>
      <c r="Q90" s="14" t="str">
        <f>IF(O90="","",SUMIFS(R_Hcnt,R_Emp,"Malcolm",R_Task,INDEX(R_Task,MATCH(82,R_TSeqM,0))))</f>
        <v/>
      </c>
      <c r="R90" s="14" t="str">
        <f>IF(O90="","",SUMIFS(R_NorH,R_Emp,"Malcolm",R_Task,INDEX(R_Task,MATCH(82,R_TSeqM,0))))</f>
        <v/>
      </c>
      <c r="S90" s="14" t="str">
        <f>IF(O90="","",SUMIFS(R_ExtH,R_Emp,"Malcolm",R_Task,INDEX(R_Task,MATCH(82,R_TSeqM,0))))</f>
        <v/>
      </c>
      <c r="T90" s="129" t="str">
        <f>IF(O90="","",COUNTIFS(R_Emp,"Malcolm",R_Cnt,1,R_Task,INDEX(R_Task,MATCH(82,R_TSeqM,0))))</f>
        <v/>
      </c>
    </row>
    <row r="91">
      <c r="B91" s="126" t="n">
        <v>46378</v>
      </c>
      <c r="C91" s="127" t="str">
        <f>CHOOSE(WEEKDAY(B91,2),"Lun","Mar","Mié","Jue","Vie","Sáb","Dom")</f>
        <v>Mar</v>
      </c>
      <c r="D91" s="128" t="str">
        <f>IF(COUNTIFS(FER_F,B91,FER_NLM,"Sí")&gt;0,"Feriado no laborable",IF(COUNTIFS(FER_F,B91)&gt;0,"Feriado laborable",IF(INDEX(CFG_WDAYS,WEEKDAY(B91,2))="Sí","Laborable","Fin de semana / no laborable")))</f>
        <v>Laborable</v>
      </c>
      <c r="E91" s="127">
        <f>SUMIFS(R_HD0,R_Emp,"Malcolm",R_Fecha,$B91)+SUMIFS(R_HD1,R_Emp,"Malcolm",R_D1,$B91)</f>
        <v>0</v>
      </c>
      <c r="F91" s="127">
        <f>SUMIFS(R_ND0,R_Emp,"Malcolm",R_Fecha,$B91)+SUMIFS(R_ND1,R_Emp,"Malcolm",R_D1,$B91)</f>
        <v>0</v>
      </c>
      <c r="G91" s="127">
        <f>SUMIFS(R_XD0,R_Emp,"Malcolm",R_Fecha,$B91)+SUMIFS(R_XD1,R_Emp,"Malcolm",R_D1,$B91)</f>
        <v>0</v>
      </c>
      <c r="O91" s="130" t="str">
        <f>IFERROR(INDEX(R_Task,MATCH(83,R_TSeqM,0))&amp;"","")</f>
        <v/>
      </c>
      <c r="P91" s="130" t="str">
        <f>IFERROR(INDEX(R_Proy,MATCH(83,R_TSeqM,0))&amp;"","")</f>
        <v/>
      </c>
      <c r="Q91" s="14" t="str">
        <f>IF(O91="","",SUMIFS(R_Hcnt,R_Emp,"Malcolm",R_Task,INDEX(R_Task,MATCH(83,R_TSeqM,0))))</f>
        <v/>
      </c>
      <c r="R91" s="14" t="str">
        <f>IF(O91="","",SUMIFS(R_NorH,R_Emp,"Malcolm",R_Task,INDEX(R_Task,MATCH(83,R_TSeqM,0))))</f>
        <v/>
      </c>
      <c r="S91" s="14" t="str">
        <f>IF(O91="","",SUMIFS(R_ExtH,R_Emp,"Malcolm",R_Task,INDEX(R_Task,MATCH(83,R_TSeqM,0))))</f>
        <v/>
      </c>
      <c r="T91" s="129" t="str">
        <f>IF(O91="","",COUNTIFS(R_Emp,"Malcolm",R_Cnt,1,R_Task,INDEX(R_Task,MATCH(83,R_TSeqM,0))))</f>
        <v/>
      </c>
    </row>
    <row r="92">
      <c r="B92" s="126" t="n">
        <v>46379</v>
      </c>
      <c r="C92" s="127" t="str">
        <f>CHOOSE(WEEKDAY(B92,2),"Lun","Mar","Mié","Jue","Vie","Sáb","Dom")</f>
        <v>Mié</v>
      </c>
      <c r="D92" s="128" t="str">
        <f>IF(COUNTIFS(FER_F,B92,FER_NLM,"Sí")&gt;0,"Feriado no laborable",IF(COUNTIFS(FER_F,B92)&gt;0,"Feriado laborable",IF(INDEX(CFG_WDAYS,WEEKDAY(B92,2))="Sí","Laborable","Fin de semana / no laborable")))</f>
        <v>Laborable</v>
      </c>
      <c r="E92" s="127">
        <f>SUMIFS(R_HD0,R_Emp,"Malcolm",R_Fecha,$B92)+SUMIFS(R_HD1,R_Emp,"Malcolm",R_D1,$B92)</f>
        <v>0</v>
      </c>
      <c r="F92" s="127">
        <f>SUMIFS(R_ND0,R_Emp,"Malcolm",R_Fecha,$B92)+SUMIFS(R_ND1,R_Emp,"Malcolm",R_D1,$B92)</f>
        <v>0</v>
      </c>
      <c r="G92" s="127">
        <f>SUMIFS(R_XD0,R_Emp,"Malcolm",R_Fecha,$B92)+SUMIFS(R_XD1,R_Emp,"Malcolm",R_D1,$B92)</f>
        <v>0</v>
      </c>
      <c r="O92" s="130" t="str">
        <f>IFERROR(INDEX(R_Task,MATCH(84,R_TSeqM,0))&amp;"","")</f>
        <v/>
      </c>
      <c r="P92" s="130" t="str">
        <f>IFERROR(INDEX(R_Proy,MATCH(84,R_TSeqM,0))&amp;"","")</f>
        <v/>
      </c>
      <c r="Q92" s="14" t="str">
        <f>IF(O92="","",SUMIFS(R_Hcnt,R_Emp,"Malcolm",R_Task,INDEX(R_Task,MATCH(84,R_TSeqM,0))))</f>
        <v/>
      </c>
      <c r="R92" s="14" t="str">
        <f>IF(O92="","",SUMIFS(R_NorH,R_Emp,"Malcolm",R_Task,INDEX(R_Task,MATCH(84,R_TSeqM,0))))</f>
        <v/>
      </c>
      <c r="S92" s="14" t="str">
        <f>IF(O92="","",SUMIFS(R_ExtH,R_Emp,"Malcolm",R_Task,INDEX(R_Task,MATCH(84,R_TSeqM,0))))</f>
        <v/>
      </c>
      <c r="T92" s="129" t="str">
        <f>IF(O92="","",COUNTIFS(R_Emp,"Malcolm",R_Cnt,1,R_Task,INDEX(R_Task,MATCH(84,R_TSeqM,0))))</f>
        <v/>
      </c>
    </row>
    <row r="93">
      <c r="B93" s="126" t="n">
        <v>46380</v>
      </c>
      <c r="C93" s="127" t="str">
        <f>CHOOSE(WEEKDAY(B93,2),"Lun","Mar","Mié","Jue","Vie","Sáb","Dom")</f>
        <v>Jue</v>
      </c>
      <c r="D93" s="128" t="str">
        <f>IF(COUNTIFS(FER_F,B93,FER_NLM,"Sí")&gt;0,"Feriado no laborable",IF(COUNTIFS(FER_F,B93)&gt;0,"Feriado laborable",IF(INDEX(CFG_WDAYS,WEEKDAY(B93,2))="Sí","Laborable","Fin de semana / no laborable")))</f>
        <v>Laborable</v>
      </c>
      <c r="E93" s="127">
        <f>SUMIFS(R_HD0,R_Emp,"Malcolm",R_Fecha,$B93)+SUMIFS(R_HD1,R_Emp,"Malcolm",R_D1,$B93)</f>
        <v>0</v>
      </c>
      <c r="F93" s="127">
        <f>SUMIFS(R_ND0,R_Emp,"Malcolm",R_Fecha,$B93)+SUMIFS(R_ND1,R_Emp,"Malcolm",R_D1,$B93)</f>
        <v>0</v>
      </c>
      <c r="G93" s="127">
        <f>SUMIFS(R_XD0,R_Emp,"Malcolm",R_Fecha,$B93)+SUMIFS(R_XD1,R_Emp,"Malcolm",R_D1,$B93)</f>
        <v>0</v>
      </c>
      <c r="O93" s="130" t="str">
        <f>IFERROR(INDEX(R_Task,MATCH(85,R_TSeqM,0))&amp;"","")</f>
        <v/>
      </c>
      <c r="P93" s="130" t="str">
        <f>IFERROR(INDEX(R_Proy,MATCH(85,R_TSeqM,0))&amp;"","")</f>
        <v/>
      </c>
      <c r="Q93" s="14" t="str">
        <f>IF(O93="","",SUMIFS(R_Hcnt,R_Emp,"Malcolm",R_Task,INDEX(R_Task,MATCH(85,R_TSeqM,0))))</f>
        <v/>
      </c>
      <c r="R93" s="14" t="str">
        <f>IF(O93="","",SUMIFS(R_NorH,R_Emp,"Malcolm",R_Task,INDEX(R_Task,MATCH(85,R_TSeqM,0))))</f>
        <v/>
      </c>
      <c r="S93" s="14" t="str">
        <f>IF(O93="","",SUMIFS(R_ExtH,R_Emp,"Malcolm",R_Task,INDEX(R_Task,MATCH(85,R_TSeqM,0))))</f>
        <v/>
      </c>
      <c r="T93" s="129" t="str">
        <f>IF(O93="","",COUNTIFS(R_Emp,"Malcolm",R_Cnt,1,R_Task,INDEX(R_Task,MATCH(85,R_TSeqM,0))))</f>
        <v/>
      </c>
    </row>
    <row r="94">
      <c r="B94" s="126" t="n">
        <v>46381</v>
      </c>
      <c r="C94" s="127" t="str">
        <f>CHOOSE(WEEKDAY(B94,2),"Lun","Mar","Mié","Jue","Vie","Sáb","Dom")</f>
        <v>Vie</v>
      </c>
      <c r="D94" s="128" t="str">
        <f>IF(COUNTIFS(FER_F,B94,FER_NLM,"Sí")&gt;0,"Feriado no laborable",IF(COUNTIFS(FER_F,B94)&gt;0,"Feriado laborable",IF(INDEX(CFG_WDAYS,WEEKDAY(B94,2))="Sí","Laborable","Fin de semana / no laborable")))</f>
        <v>Feriado no laborable</v>
      </c>
      <c r="E94" s="127">
        <f>SUMIFS(R_HD0,R_Emp,"Malcolm",R_Fecha,$B94)+SUMIFS(R_HD1,R_Emp,"Malcolm",R_D1,$B94)</f>
        <v>0</v>
      </c>
      <c r="F94" s="127">
        <f>SUMIFS(R_ND0,R_Emp,"Malcolm",R_Fecha,$B94)+SUMIFS(R_ND1,R_Emp,"Malcolm",R_D1,$B94)</f>
        <v>0</v>
      </c>
      <c r="G94" s="127">
        <f>SUMIFS(R_XD0,R_Emp,"Malcolm",R_Fecha,$B94)+SUMIFS(R_XD1,R_Emp,"Malcolm",R_D1,$B94)</f>
        <v>0</v>
      </c>
      <c r="O94" s="130" t="str">
        <f>IFERROR(INDEX(R_Task,MATCH(86,R_TSeqM,0))&amp;"","")</f>
        <v/>
      </c>
      <c r="P94" s="130" t="str">
        <f>IFERROR(INDEX(R_Proy,MATCH(86,R_TSeqM,0))&amp;"","")</f>
        <v/>
      </c>
      <c r="Q94" s="14" t="str">
        <f>IF(O94="","",SUMIFS(R_Hcnt,R_Emp,"Malcolm",R_Task,INDEX(R_Task,MATCH(86,R_TSeqM,0))))</f>
        <v/>
      </c>
      <c r="R94" s="14" t="str">
        <f>IF(O94="","",SUMIFS(R_NorH,R_Emp,"Malcolm",R_Task,INDEX(R_Task,MATCH(86,R_TSeqM,0))))</f>
        <v/>
      </c>
      <c r="S94" s="14" t="str">
        <f>IF(O94="","",SUMIFS(R_ExtH,R_Emp,"Malcolm",R_Task,INDEX(R_Task,MATCH(86,R_TSeqM,0))))</f>
        <v/>
      </c>
      <c r="T94" s="129" t="str">
        <f>IF(O94="","",COUNTIFS(R_Emp,"Malcolm",R_Cnt,1,R_Task,INDEX(R_Task,MATCH(86,R_TSeqM,0))))</f>
        <v/>
      </c>
    </row>
    <row r="95">
      <c r="B95" s="126" t="n">
        <v>46382</v>
      </c>
      <c r="C95" s="127" t="str">
        <f>CHOOSE(WEEKDAY(B95,2),"Lun","Mar","Mié","Jue","Vie","Sáb","Dom")</f>
        <v>Sáb</v>
      </c>
      <c r="D95" s="128" t="str">
        <f>IF(COUNTIFS(FER_F,B95,FER_NLM,"Sí")&gt;0,"Feriado no laborable",IF(COUNTIFS(FER_F,B95)&gt;0,"Feriado laborable",IF(INDEX(CFG_WDAYS,WEEKDAY(B95,2))="Sí","Laborable","Fin de semana / no laborable")))</f>
        <v>Fin de semana / no laborable</v>
      </c>
      <c r="E95" s="127">
        <f>SUMIFS(R_HD0,R_Emp,"Malcolm",R_Fecha,$B95)+SUMIFS(R_HD1,R_Emp,"Malcolm",R_D1,$B95)</f>
        <v>0</v>
      </c>
      <c r="F95" s="127">
        <f>SUMIFS(R_ND0,R_Emp,"Malcolm",R_Fecha,$B95)+SUMIFS(R_ND1,R_Emp,"Malcolm",R_D1,$B95)</f>
        <v>0</v>
      </c>
      <c r="G95" s="127">
        <f>SUMIFS(R_XD0,R_Emp,"Malcolm",R_Fecha,$B95)+SUMIFS(R_XD1,R_Emp,"Malcolm",R_D1,$B95)</f>
        <v>0</v>
      </c>
      <c r="O95" s="130" t="str">
        <f>IFERROR(INDEX(R_Task,MATCH(87,R_TSeqM,0))&amp;"","")</f>
        <v/>
      </c>
      <c r="P95" s="130" t="str">
        <f>IFERROR(INDEX(R_Proy,MATCH(87,R_TSeqM,0))&amp;"","")</f>
        <v/>
      </c>
      <c r="Q95" s="14" t="str">
        <f>IF(O95="","",SUMIFS(R_Hcnt,R_Emp,"Malcolm",R_Task,INDEX(R_Task,MATCH(87,R_TSeqM,0))))</f>
        <v/>
      </c>
      <c r="R95" s="14" t="str">
        <f>IF(O95="","",SUMIFS(R_NorH,R_Emp,"Malcolm",R_Task,INDEX(R_Task,MATCH(87,R_TSeqM,0))))</f>
        <v/>
      </c>
      <c r="S95" s="14" t="str">
        <f>IF(O95="","",SUMIFS(R_ExtH,R_Emp,"Malcolm",R_Task,INDEX(R_Task,MATCH(87,R_TSeqM,0))))</f>
        <v/>
      </c>
      <c r="T95" s="129" t="str">
        <f>IF(O95="","",COUNTIFS(R_Emp,"Malcolm",R_Cnt,1,R_Task,INDEX(R_Task,MATCH(87,R_TSeqM,0))))</f>
        <v/>
      </c>
    </row>
    <row r="96">
      <c r="B96" s="126" t="n">
        <v>46383</v>
      </c>
      <c r="C96" s="127" t="str">
        <f>CHOOSE(WEEKDAY(B96,2),"Lun","Mar","Mié","Jue","Vie","Sáb","Dom")</f>
        <v>Dom</v>
      </c>
      <c r="D96" s="128" t="str">
        <f>IF(COUNTIFS(FER_F,B96,FER_NLM,"Sí")&gt;0,"Feriado no laborable",IF(COUNTIFS(FER_F,B96)&gt;0,"Feriado laborable",IF(INDEX(CFG_WDAYS,WEEKDAY(B96,2))="Sí","Laborable","Fin de semana / no laborable")))</f>
        <v>Fin de semana / no laborable</v>
      </c>
      <c r="E96" s="127">
        <f>SUMIFS(R_HD0,R_Emp,"Malcolm",R_Fecha,$B96)+SUMIFS(R_HD1,R_Emp,"Malcolm",R_D1,$B96)</f>
        <v>0</v>
      </c>
      <c r="F96" s="127">
        <f>SUMIFS(R_ND0,R_Emp,"Malcolm",R_Fecha,$B96)+SUMIFS(R_ND1,R_Emp,"Malcolm",R_D1,$B96)</f>
        <v>0</v>
      </c>
      <c r="G96" s="127">
        <f>SUMIFS(R_XD0,R_Emp,"Malcolm",R_Fecha,$B96)+SUMIFS(R_XD1,R_Emp,"Malcolm",R_D1,$B96)</f>
        <v>0</v>
      </c>
      <c r="O96" s="130" t="str">
        <f>IFERROR(INDEX(R_Task,MATCH(88,R_TSeqM,0))&amp;"","")</f>
        <v/>
      </c>
      <c r="P96" s="130" t="str">
        <f>IFERROR(INDEX(R_Proy,MATCH(88,R_TSeqM,0))&amp;"","")</f>
        <v/>
      </c>
      <c r="Q96" s="14" t="str">
        <f>IF(O96="","",SUMIFS(R_Hcnt,R_Emp,"Malcolm",R_Task,INDEX(R_Task,MATCH(88,R_TSeqM,0))))</f>
        <v/>
      </c>
      <c r="R96" s="14" t="str">
        <f>IF(O96="","",SUMIFS(R_NorH,R_Emp,"Malcolm",R_Task,INDEX(R_Task,MATCH(88,R_TSeqM,0))))</f>
        <v/>
      </c>
      <c r="S96" s="14" t="str">
        <f>IF(O96="","",SUMIFS(R_ExtH,R_Emp,"Malcolm",R_Task,INDEX(R_Task,MATCH(88,R_TSeqM,0))))</f>
        <v/>
      </c>
      <c r="T96" s="129" t="str">
        <f>IF(O96="","",COUNTIFS(R_Emp,"Malcolm",R_Cnt,1,R_Task,INDEX(R_Task,MATCH(88,R_TSeqM,0))))</f>
        <v/>
      </c>
    </row>
    <row r="97">
      <c r="B97" s="126" t="n">
        <v>46384</v>
      </c>
      <c r="C97" s="127" t="str">
        <f>CHOOSE(WEEKDAY(B97,2),"Lun","Mar","Mié","Jue","Vie","Sáb","Dom")</f>
        <v>Lun</v>
      </c>
      <c r="D97" s="128" t="str">
        <f>IF(COUNTIFS(FER_F,B97,FER_NLM,"Sí")&gt;0,"Feriado no laborable",IF(COUNTIFS(FER_F,B97)&gt;0,"Feriado laborable",IF(INDEX(CFG_WDAYS,WEEKDAY(B97,2))="Sí","Laborable","Fin de semana / no laborable")))</f>
        <v>Laborable</v>
      </c>
      <c r="E97" s="127">
        <f>SUMIFS(R_HD0,R_Emp,"Malcolm",R_Fecha,$B97)+SUMIFS(R_HD1,R_Emp,"Malcolm",R_D1,$B97)</f>
        <v>0</v>
      </c>
      <c r="F97" s="127">
        <f>SUMIFS(R_ND0,R_Emp,"Malcolm",R_Fecha,$B97)+SUMIFS(R_ND1,R_Emp,"Malcolm",R_D1,$B97)</f>
        <v>0</v>
      </c>
      <c r="G97" s="127">
        <f>SUMIFS(R_XD0,R_Emp,"Malcolm",R_Fecha,$B97)+SUMIFS(R_XD1,R_Emp,"Malcolm",R_D1,$B97)</f>
        <v>0</v>
      </c>
      <c r="O97" s="130" t="str">
        <f>IFERROR(INDEX(R_Task,MATCH(89,R_TSeqM,0))&amp;"","")</f>
        <v/>
      </c>
      <c r="P97" s="130" t="str">
        <f>IFERROR(INDEX(R_Proy,MATCH(89,R_TSeqM,0))&amp;"","")</f>
        <v/>
      </c>
      <c r="Q97" s="14" t="str">
        <f>IF(O97="","",SUMIFS(R_Hcnt,R_Emp,"Malcolm",R_Task,INDEX(R_Task,MATCH(89,R_TSeqM,0))))</f>
        <v/>
      </c>
      <c r="R97" s="14" t="str">
        <f>IF(O97="","",SUMIFS(R_NorH,R_Emp,"Malcolm",R_Task,INDEX(R_Task,MATCH(89,R_TSeqM,0))))</f>
        <v/>
      </c>
      <c r="S97" s="14" t="str">
        <f>IF(O97="","",SUMIFS(R_ExtH,R_Emp,"Malcolm",R_Task,INDEX(R_Task,MATCH(89,R_TSeqM,0))))</f>
        <v/>
      </c>
      <c r="T97" s="129" t="str">
        <f>IF(O97="","",COUNTIFS(R_Emp,"Malcolm",R_Cnt,1,R_Task,INDEX(R_Task,MATCH(89,R_TSeqM,0))))</f>
        <v/>
      </c>
    </row>
    <row r="98">
      <c r="B98" s="126" t="n">
        <v>46385</v>
      </c>
      <c r="C98" s="127" t="str">
        <f>CHOOSE(WEEKDAY(B98,2),"Lun","Mar","Mié","Jue","Vie","Sáb","Dom")</f>
        <v>Mar</v>
      </c>
      <c r="D98" s="128" t="str">
        <f>IF(COUNTIFS(FER_F,B98,FER_NLM,"Sí")&gt;0,"Feriado no laborable",IF(COUNTIFS(FER_F,B98)&gt;0,"Feriado laborable",IF(INDEX(CFG_WDAYS,WEEKDAY(B98,2))="Sí","Laborable","Fin de semana / no laborable")))</f>
        <v>Laborable</v>
      </c>
      <c r="E98" s="127">
        <f>SUMIFS(R_HD0,R_Emp,"Malcolm",R_Fecha,$B98)+SUMIFS(R_HD1,R_Emp,"Malcolm",R_D1,$B98)</f>
        <v>0</v>
      </c>
      <c r="F98" s="127">
        <f>SUMIFS(R_ND0,R_Emp,"Malcolm",R_Fecha,$B98)+SUMIFS(R_ND1,R_Emp,"Malcolm",R_D1,$B98)</f>
        <v>0</v>
      </c>
      <c r="G98" s="127">
        <f>SUMIFS(R_XD0,R_Emp,"Malcolm",R_Fecha,$B98)+SUMIFS(R_XD1,R_Emp,"Malcolm",R_D1,$B98)</f>
        <v>0</v>
      </c>
      <c r="O98" s="130" t="str">
        <f>IFERROR(INDEX(R_Task,MATCH(90,R_TSeqM,0))&amp;"","")</f>
        <v/>
      </c>
      <c r="P98" s="130" t="str">
        <f>IFERROR(INDEX(R_Proy,MATCH(90,R_TSeqM,0))&amp;"","")</f>
        <v/>
      </c>
      <c r="Q98" s="14" t="str">
        <f>IF(O98="","",SUMIFS(R_Hcnt,R_Emp,"Malcolm",R_Task,INDEX(R_Task,MATCH(90,R_TSeqM,0))))</f>
        <v/>
      </c>
      <c r="R98" s="14" t="str">
        <f>IF(O98="","",SUMIFS(R_NorH,R_Emp,"Malcolm",R_Task,INDEX(R_Task,MATCH(90,R_TSeqM,0))))</f>
        <v/>
      </c>
      <c r="S98" s="14" t="str">
        <f>IF(O98="","",SUMIFS(R_ExtH,R_Emp,"Malcolm",R_Task,INDEX(R_Task,MATCH(90,R_TSeqM,0))))</f>
        <v/>
      </c>
      <c r="T98" s="129" t="str">
        <f>IF(O98="","",COUNTIFS(R_Emp,"Malcolm",R_Cnt,1,R_Task,INDEX(R_Task,MATCH(90,R_TSeqM,0))))</f>
        <v/>
      </c>
    </row>
    <row r="99">
      <c r="B99" s="126" t="n">
        <v>46386</v>
      </c>
      <c r="C99" s="127" t="str">
        <f>CHOOSE(WEEKDAY(B99,2),"Lun","Mar","Mié","Jue","Vie","Sáb","Dom")</f>
        <v>Mié</v>
      </c>
      <c r="D99" s="128" t="str">
        <f>IF(COUNTIFS(FER_F,B99,FER_NLM,"Sí")&gt;0,"Feriado no laborable",IF(COUNTIFS(FER_F,B99)&gt;0,"Feriado laborable",IF(INDEX(CFG_WDAYS,WEEKDAY(B99,2))="Sí","Laborable","Fin de semana / no laborable")))</f>
        <v>Laborable</v>
      </c>
      <c r="E99" s="127">
        <f>SUMIFS(R_HD0,R_Emp,"Malcolm",R_Fecha,$B99)+SUMIFS(R_HD1,R_Emp,"Malcolm",R_D1,$B99)</f>
        <v>0</v>
      </c>
      <c r="F99" s="127">
        <f>SUMIFS(R_ND0,R_Emp,"Malcolm",R_Fecha,$B99)+SUMIFS(R_ND1,R_Emp,"Malcolm",R_D1,$B99)</f>
        <v>0</v>
      </c>
      <c r="G99" s="127">
        <f>SUMIFS(R_XD0,R_Emp,"Malcolm",R_Fecha,$B99)+SUMIFS(R_XD1,R_Emp,"Malcolm",R_D1,$B99)</f>
        <v>0</v>
      </c>
      <c r="O99" s="130" t="str">
        <f>IFERROR(INDEX(R_Task,MATCH(91,R_TSeqM,0))&amp;"","")</f>
        <v/>
      </c>
      <c r="P99" s="130" t="str">
        <f>IFERROR(INDEX(R_Proy,MATCH(91,R_TSeqM,0))&amp;"","")</f>
        <v/>
      </c>
      <c r="Q99" s="14" t="str">
        <f>IF(O99="","",SUMIFS(R_Hcnt,R_Emp,"Malcolm",R_Task,INDEX(R_Task,MATCH(91,R_TSeqM,0))))</f>
        <v/>
      </c>
      <c r="R99" s="14" t="str">
        <f>IF(O99="","",SUMIFS(R_NorH,R_Emp,"Malcolm",R_Task,INDEX(R_Task,MATCH(91,R_TSeqM,0))))</f>
        <v/>
      </c>
      <c r="S99" s="14" t="str">
        <f>IF(O99="","",SUMIFS(R_ExtH,R_Emp,"Malcolm",R_Task,INDEX(R_Task,MATCH(91,R_TSeqM,0))))</f>
        <v/>
      </c>
      <c r="T99" s="129" t="str">
        <f>IF(O99="","",COUNTIFS(R_Emp,"Malcolm",R_Cnt,1,R_Task,INDEX(R_Task,MATCH(91,R_TSeqM,0))))</f>
        <v/>
      </c>
    </row>
    <row r="100">
      <c r="B100" s="126" t="n">
        <v>46387</v>
      </c>
      <c r="C100" s="127" t="str">
        <f>CHOOSE(WEEKDAY(B100,2),"Lun","Mar","Mié","Jue","Vie","Sáb","Dom")</f>
        <v>Jue</v>
      </c>
      <c r="D100" s="128" t="str">
        <f>IF(COUNTIFS(FER_F,B100,FER_NLM,"Sí")&gt;0,"Feriado no laborable",IF(COUNTIFS(FER_F,B100)&gt;0,"Feriado laborable",IF(INDEX(CFG_WDAYS,WEEKDAY(B100,2))="Sí","Laborable","Fin de semana / no laborable")))</f>
        <v>Laborable</v>
      </c>
      <c r="E100" s="127">
        <f>SUMIFS(R_HD0,R_Emp,"Malcolm",R_Fecha,$B100)+SUMIFS(R_HD1,R_Emp,"Malcolm",R_D1,$B100)</f>
        <v>0</v>
      </c>
      <c r="F100" s="127">
        <f>SUMIFS(R_ND0,R_Emp,"Malcolm",R_Fecha,$B100)+SUMIFS(R_ND1,R_Emp,"Malcolm",R_D1,$B100)</f>
        <v>0</v>
      </c>
      <c r="G100" s="127">
        <f>SUMIFS(R_XD0,R_Emp,"Malcolm",R_Fecha,$B100)+SUMIFS(R_XD1,R_Emp,"Malcolm",R_D1,$B100)</f>
        <v>0</v>
      </c>
      <c r="O100" s="130" t="str">
        <f>IFERROR(INDEX(R_Task,MATCH(92,R_TSeqM,0))&amp;"","")</f>
        <v/>
      </c>
      <c r="P100" s="130" t="str">
        <f>IFERROR(INDEX(R_Proy,MATCH(92,R_TSeqM,0))&amp;"","")</f>
        <v/>
      </c>
      <c r="Q100" s="14" t="str">
        <f>IF(O100="","",SUMIFS(R_Hcnt,R_Emp,"Malcolm",R_Task,INDEX(R_Task,MATCH(92,R_TSeqM,0))))</f>
        <v/>
      </c>
      <c r="R100" s="14" t="str">
        <f>IF(O100="","",SUMIFS(R_NorH,R_Emp,"Malcolm",R_Task,INDEX(R_Task,MATCH(92,R_TSeqM,0))))</f>
        <v/>
      </c>
      <c r="S100" s="14" t="str">
        <f>IF(O100="","",SUMIFS(R_ExtH,R_Emp,"Malcolm",R_Task,INDEX(R_Task,MATCH(92,R_TSeqM,0))))</f>
        <v/>
      </c>
      <c r="T100" s="129" t="str">
        <f>IF(O100="","",COUNTIFS(R_Emp,"Malcolm",R_Cnt,1,R_Task,INDEX(R_Task,MATCH(92,R_TSeqM,0))))</f>
        <v/>
      </c>
    </row>
    <row r="101">
      <c r="B101" s="131" t="inlineStr">
        <is>
          <t>TOTAL</t>
        </is>
      </c>
      <c r="C101" s="137" t="n"/>
      <c r="D101" s="138" t="n"/>
      <c r="E101" s="132">
        <f>SUM(E9:E100)</f>
        <v>6.333333</v>
      </c>
      <c r="F101" s="132">
        <f>SUM(F9:F100)</f>
        <v>4.333333</v>
      </c>
      <c r="G101" s="132">
        <f>SUM(G9:G100)</f>
        <v>2</v>
      </c>
      <c r="O101" s="130" t="str">
        <f>IFERROR(INDEX(R_Task,MATCH(93,R_TSeqM,0))&amp;"","")</f>
        <v/>
      </c>
      <c r="P101" s="130" t="str">
        <f>IFERROR(INDEX(R_Proy,MATCH(93,R_TSeqM,0))&amp;"","")</f>
        <v/>
      </c>
      <c r="Q101" s="14" t="str">
        <f>IF(O101="","",SUMIFS(R_Hcnt,R_Emp,"Malcolm",R_Task,INDEX(R_Task,MATCH(93,R_TSeqM,0))))</f>
        <v/>
      </c>
      <c r="R101" s="14" t="str">
        <f>IF(O101="","",SUMIFS(R_NorH,R_Emp,"Malcolm",R_Task,INDEX(R_Task,MATCH(93,R_TSeqM,0))))</f>
        <v/>
      </c>
      <c r="S101" s="14" t="str">
        <f>IF(O101="","",SUMIFS(R_ExtH,R_Emp,"Malcolm",R_Task,INDEX(R_Task,MATCH(93,R_TSeqM,0))))</f>
        <v/>
      </c>
      <c r="T101" s="129" t="str">
        <f>IF(O101="","",COUNTIFS(R_Emp,"Malcolm",R_Cnt,1,R_Task,INDEX(R_Task,MATCH(93,R_TSeqM,0))))</f>
        <v/>
      </c>
    </row>
    <row r="102">
      <c r="O102" s="130" t="str">
        <f>IFERROR(INDEX(R_Task,MATCH(94,R_TSeqM,0))&amp;"","")</f>
        <v/>
      </c>
      <c r="P102" s="130" t="str">
        <f>IFERROR(INDEX(R_Proy,MATCH(94,R_TSeqM,0))&amp;"","")</f>
        <v/>
      </c>
      <c r="Q102" s="14" t="str">
        <f>IF(O102="","",SUMIFS(R_Hcnt,R_Emp,"Malcolm",R_Task,INDEX(R_Task,MATCH(94,R_TSeqM,0))))</f>
        <v/>
      </c>
      <c r="R102" s="14" t="str">
        <f>IF(O102="","",SUMIFS(R_NorH,R_Emp,"Malcolm",R_Task,INDEX(R_Task,MATCH(94,R_TSeqM,0))))</f>
        <v/>
      </c>
      <c r="S102" s="14" t="str">
        <f>IF(O102="","",SUMIFS(R_ExtH,R_Emp,"Malcolm",R_Task,INDEX(R_Task,MATCH(94,R_TSeqM,0))))</f>
        <v/>
      </c>
      <c r="T102" s="129" t="str">
        <f>IF(O102="","",COUNTIFS(R_Emp,"Malcolm",R_Cnt,1,R_Task,INDEX(R_Task,MATCH(94,R_TSeqM,0))))</f>
        <v/>
      </c>
    </row>
    <row r="103">
      <c r="O103" s="130" t="str">
        <f>IFERROR(INDEX(R_Task,MATCH(95,R_TSeqM,0))&amp;"","")</f>
        <v/>
      </c>
      <c r="P103" s="130" t="str">
        <f>IFERROR(INDEX(R_Proy,MATCH(95,R_TSeqM,0))&amp;"","")</f>
        <v/>
      </c>
      <c r="Q103" s="14" t="str">
        <f>IF(O103="","",SUMIFS(R_Hcnt,R_Emp,"Malcolm",R_Task,INDEX(R_Task,MATCH(95,R_TSeqM,0))))</f>
        <v/>
      </c>
      <c r="R103" s="14" t="str">
        <f>IF(O103="","",SUMIFS(R_NorH,R_Emp,"Malcolm",R_Task,INDEX(R_Task,MATCH(95,R_TSeqM,0))))</f>
        <v/>
      </c>
      <c r="S103" s="14" t="str">
        <f>IF(O103="","",SUMIFS(R_ExtH,R_Emp,"Malcolm",R_Task,INDEX(R_Task,MATCH(95,R_TSeqM,0))))</f>
        <v/>
      </c>
      <c r="T103" s="129" t="str">
        <f>IF(O103="","",COUNTIFS(R_Emp,"Malcolm",R_Cnt,1,R_Task,INDEX(R_Task,MATCH(95,R_TSeqM,0))))</f>
        <v/>
      </c>
    </row>
    <row r="104">
      <c r="O104" s="130" t="str">
        <f>IFERROR(INDEX(R_Task,MATCH(96,R_TSeqM,0))&amp;"","")</f>
        <v/>
      </c>
      <c r="P104" s="130" t="str">
        <f>IFERROR(INDEX(R_Proy,MATCH(96,R_TSeqM,0))&amp;"","")</f>
        <v/>
      </c>
      <c r="Q104" s="14" t="str">
        <f>IF(O104="","",SUMIFS(R_Hcnt,R_Emp,"Malcolm",R_Task,INDEX(R_Task,MATCH(96,R_TSeqM,0))))</f>
        <v/>
      </c>
      <c r="R104" s="14" t="str">
        <f>IF(O104="","",SUMIFS(R_NorH,R_Emp,"Malcolm",R_Task,INDEX(R_Task,MATCH(96,R_TSeqM,0))))</f>
        <v/>
      </c>
      <c r="S104" s="14" t="str">
        <f>IF(O104="","",SUMIFS(R_ExtH,R_Emp,"Malcolm",R_Task,INDEX(R_Task,MATCH(96,R_TSeqM,0))))</f>
        <v/>
      </c>
      <c r="T104" s="129" t="str">
        <f>IF(O104="","",COUNTIFS(R_Emp,"Malcolm",R_Cnt,1,R_Task,INDEX(R_Task,MATCH(96,R_TSeqM,0))))</f>
        <v/>
      </c>
    </row>
    <row r="105">
      <c r="O105" s="130" t="str">
        <f>IFERROR(INDEX(R_Task,MATCH(97,R_TSeqM,0))&amp;"","")</f>
        <v/>
      </c>
      <c r="P105" s="130" t="str">
        <f>IFERROR(INDEX(R_Proy,MATCH(97,R_TSeqM,0))&amp;"","")</f>
        <v/>
      </c>
      <c r="Q105" s="14" t="str">
        <f>IF(O105="","",SUMIFS(R_Hcnt,R_Emp,"Malcolm",R_Task,INDEX(R_Task,MATCH(97,R_TSeqM,0))))</f>
        <v/>
      </c>
      <c r="R105" s="14" t="str">
        <f>IF(O105="","",SUMIFS(R_NorH,R_Emp,"Malcolm",R_Task,INDEX(R_Task,MATCH(97,R_TSeqM,0))))</f>
        <v/>
      </c>
      <c r="S105" s="14" t="str">
        <f>IF(O105="","",SUMIFS(R_ExtH,R_Emp,"Malcolm",R_Task,INDEX(R_Task,MATCH(97,R_TSeqM,0))))</f>
        <v/>
      </c>
      <c r="T105" s="129" t="str">
        <f>IF(O105="","",COUNTIFS(R_Emp,"Malcolm",R_Cnt,1,R_Task,INDEX(R_Task,MATCH(97,R_TSeqM,0))))</f>
        <v/>
      </c>
    </row>
    <row r="106">
      <c r="O106" s="130" t="str">
        <f>IFERROR(INDEX(R_Task,MATCH(98,R_TSeqM,0))&amp;"","")</f>
        <v/>
      </c>
      <c r="P106" s="130" t="str">
        <f>IFERROR(INDEX(R_Proy,MATCH(98,R_TSeqM,0))&amp;"","")</f>
        <v/>
      </c>
      <c r="Q106" s="14" t="str">
        <f>IF(O106="","",SUMIFS(R_Hcnt,R_Emp,"Malcolm",R_Task,INDEX(R_Task,MATCH(98,R_TSeqM,0))))</f>
        <v/>
      </c>
      <c r="R106" s="14" t="str">
        <f>IF(O106="","",SUMIFS(R_NorH,R_Emp,"Malcolm",R_Task,INDEX(R_Task,MATCH(98,R_TSeqM,0))))</f>
        <v/>
      </c>
      <c r="S106" s="14" t="str">
        <f>IF(O106="","",SUMIFS(R_ExtH,R_Emp,"Malcolm",R_Task,INDEX(R_Task,MATCH(98,R_TSeqM,0))))</f>
        <v/>
      </c>
      <c r="T106" s="129" t="str">
        <f>IF(O106="","",COUNTIFS(R_Emp,"Malcolm",R_Cnt,1,R_Task,INDEX(R_Task,MATCH(98,R_TSeqM,0))))</f>
        <v/>
      </c>
    </row>
    <row r="107">
      <c r="O107" s="130" t="str">
        <f>IFERROR(INDEX(R_Task,MATCH(99,R_TSeqM,0))&amp;"","")</f>
        <v/>
      </c>
      <c r="P107" s="130" t="str">
        <f>IFERROR(INDEX(R_Proy,MATCH(99,R_TSeqM,0))&amp;"","")</f>
        <v/>
      </c>
      <c r="Q107" s="14" t="str">
        <f>IF(O107="","",SUMIFS(R_Hcnt,R_Emp,"Malcolm",R_Task,INDEX(R_Task,MATCH(99,R_TSeqM,0))))</f>
        <v/>
      </c>
      <c r="R107" s="14" t="str">
        <f>IF(O107="","",SUMIFS(R_NorH,R_Emp,"Malcolm",R_Task,INDEX(R_Task,MATCH(99,R_TSeqM,0))))</f>
        <v/>
      </c>
      <c r="S107" s="14" t="str">
        <f>IF(O107="","",SUMIFS(R_ExtH,R_Emp,"Malcolm",R_Task,INDEX(R_Task,MATCH(99,R_TSeqM,0))))</f>
        <v/>
      </c>
      <c r="T107" s="129" t="str">
        <f>IF(O107="","",COUNTIFS(R_Emp,"Malcolm",R_Cnt,1,R_Task,INDEX(R_Task,MATCH(99,R_TSeqM,0))))</f>
        <v/>
      </c>
    </row>
    <row r="108">
      <c r="O108" s="130" t="str">
        <f>IFERROR(INDEX(R_Task,MATCH(100,R_TSeqM,0))&amp;"","")</f>
        <v/>
      </c>
      <c r="P108" s="130" t="str">
        <f>IFERROR(INDEX(R_Proy,MATCH(100,R_TSeqM,0))&amp;"","")</f>
        <v/>
      </c>
      <c r="Q108" s="14" t="str">
        <f>IF(O108="","",SUMIFS(R_Hcnt,R_Emp,"Malcolm",R_Task,INDEX(R_Task,MATCH(100,R_TSeqM,0))))</f>
        <v/>
      </c>
      <c r="R108" s="14" t="str">
        <f>IF(O108="","",SUMIFS(R_NorH,R_Emp,"Malcolm",R_Task,INDEX(R_Task,MATCH(100,R_TSeqM,0))))</f>
        <v/>
      </c>
      <c r="S108" s="14" t="str">
        <f>IF(O108="","",SUMIFS(R_ExtH,R_Emp,"Malcolm",R_Task,INDEX(R_Task,MATCH(100,R_TSeqM,0))))</f>
        <v/>
      </c>
      <c r="T108" s="129" t="str">
        <f>IF(O108="","",COUNTIFS(R_Emp,"Malcolm",R_Cnt,1,R_Task,INDEX(R_Task,MATCH(100,R_TSeqM,0))))</f>
        <v/>
      </c>
    </row>
    <row r="109">
      <c r="O109" s="130" t="str">
        <f>IFERROR(INDEX(R_Task,MATCH(101,R_TSeqM,0))&amp;"","")</f>
        <v/>
      </c>
      <c r="P109" s="130" t="str">
        <f>IFERROR(INDEX(R_Proy,MATCH(101,R_TSeqM,0))&amp;"","")</f>
        <v/>
      </c>
      <c r="Q109" s="14" t="str">
        <f>IF(O109="","",SUMIFS(R_Hcnt,R_Emp,"Malcolm",R_Task,INDEX(R_Task,MATCH(101,R_TSeqM,0))))</f>
        <v/>
      </c>
      <c r="R109" s="14" t="str">
        <f>IF(O109="","",SUMIFS(R_NorH,R_Emp,"Malcolm",R_Task,INDEX(R_Task,MATCH(101,R_TSeqM,0))))</f>
        <v/>
      </c>
      <c r="S109" s="14" t="str">
        <f>IF(O109="","",SUMIFS(R_ExtH,R_Emp,"Malcolm",R_Task,INDEX(R_Task,MATCH(101,R_TSeqM,0))))</f>
        <v/>
      </c>
      <c r="T109" s="129" t="str">
        <f>IF(O109="","",COUNTIFS(R_Emp,"Malcolm",R_Cnt,1,R_Task,INDEX(R_Task,MATCH(101,R_TSeqM,0))))</f>
        <v/>
      </c>
    </row>
    <row r="110">
      <c r="O110" s="130" t="str">
        <f>IFERROR(INDEX(R_Task,MATCH(102,R_TSeqM,0))&amp;"","")</f>
        <v/>
      </c>
      <c r="P110" s="130" t="str">
        <f>IFERROR(INDEX(R_Proy,MATCH(102,R_TSeqM,0))&amp;"","")</f>
        <v/>
      </c>
      <c r="Q110" s="14" t="str">
        <f>IF(O110="","",SUMIFS(R_Hcnt,R_Emp,"Malcolm",R_Task,INDEX(R_Task,MATCH(102,R_TSeqM,0))))</f>
        <v/>
      </c>
      <c r="R110" s="14" t="str">
        <f>IF(O110="","",SUMIFS(R_NorH,R_Emp,"Malcolm",R_Task,INDEX(R_Task,MATCH(102,R_TSeqM,0))))</f>
        <v/>
      </c>
      <c r="S110" s="14" t="str">
        <f>IF(O110="","",SUMIFS(R_ExtH,R_Emp,"Malcolm",R_Task,INDEX(R_Task,MATCH(102,R_TSeqM,0))))</f>
        <v/>
      </c>
      <c r="T110" s="129" t="str">
        <f>IF(O110="","",COUNTIFS(R_Emp,"Malcolm",R_Cnt,1,R_Task,INDEX(R_Task,MATCH(102,R_TSeqM,0))))</f>
        <v/>
      </c>
    </row>
    <row r="111">
      <c r="O111" s="130" t="str">
        <f>IFERROR(INDEX(R_Task,MATCH(103,R_TSeqM,0))&amp;"","")</f>
        <v/>
      </c>
      <c r="P111" s="130" t="str">
        <f>IFERROR(INDEX(R_Proy,MATCH(103,R_TSeqM,0))&amp;"","")</f>
        <v/>
      </c>
      <c r="Q111" s="14" t="str">
        <f>IF(O111="","",SUMIFS(R_Hcnt,R_Emp,"Malcolm",R_Task,INDEX(R_Task,MATCH(103,R_TSeqM,0))))</f>
        <v/>
      </c>
      <c r="R111" s="14" t="str">
        <f>IF(O111="","",SUMIFS(R_NorH,R_Emp,"Malcolm",R_Task,INDEX(R_Task,MATCH(103,R_TSeqM,0))))</f>
        <v/>
      </c>
      <c r="S111" s="14" t="str">
        <f>IF(O111="","",SUMIFS(R_ExtH,R_Emp,"Malcolm",R_Task,INDEX(R_Task,MATCH(103,R_TSeqM,0))))</f>
        <v/>
      </c>
      <c r="T111" s="129" t="str">
        <f>IF(O111="","",COUNTIFS(R_Emp,"Malcolm",R_Cnt,1,R_Task,INDEX(R_Task,MATCH(103,R_TSeqM,0))))</f>
        <v/>
      </c>
    </row>
    <row r="112">
      <c r="O112" s="130" t="str">
        <f>IFERROR(INDEX(R_Task,MATCH(104,R_TSeqM,0))&amp;"","")</f>
        <v/>
      </c>
      <c r="P112" s="130" t="str">
        <f>IFERROR(INDEX(R_Proy,MATCH(104,R_TSeqM,0))&amp;"","")</f>
        <v/>
      </c>
      <c r="Q112" s="14" t="str">
        <f>IF(O112="","",SUMIFS(R_Hcnt,R_Emp,"Malcolm",R_Task,INDEX(R_Task,MATCH(104,R_TSeqM,0))))</f>
        <v/>
      </c>
      <c r="R112" s="14" t="str">
        <f>IF(O112="","",SUMIFS(R_NorH,R_Emp,"Malcolm",R_Task,INDEX(R_Task,MATCH(104,R_TSeqM,0))))</f>
        <v/>
      </c>
      <c r="S112" s="14" t="str">
        <f>IF(O112="","",SUMIFS(R_ExtH,R_Emp,"Malcolm",R_Task,INDEX(R_Task,MATCH(104,R_TSeqM,0))))</f>
        <v/>
      </c>
      <c r="T112" s="129" t="str">
        <f>IF(O112="","",COUNTIFS(R_Emp,"Malcolm",R_Cnt,1,R_Task,INDEX(R_Task,MATCH(104,R_TSeqM,0))))</f>
        <v/>
      </c>
    </row>
    <row r="113">
      <c r="O113" s="130" t="str">
        <f>IFERROR(INDEX(R_Task,MATCH(105,R_TSeqM,0))&amp;"","")</f>
        <v/>
      </c>
      <c r="P113" s="130" t="str">
        <f>IFERROR(INDEX(R_Proy,MATCH(105,R_TSeqM,0))&amp;"","")</f>
        <v/>
      </c>
      <c r="Q113" s="14" t="str">
        <f>IF(O113="","",SUMIFS(R_Hcnt,R_Emp,"Malcolm",R_Task,INDEX(R_Task,MATCH(105,R_TSeqM,0))))</f>
        <v/>
      </c>
      <c r="R113" s="14" t="str">
        <f>IF(O113="","",SUMIFS(R_NorH,R_Emp,"Malcolm",R_Task,INDEX(R_Task,MATCH(105,R_TSeqM,0))))</f>
        <v/>
      </c>
      <c r="S113" s="14" t="str">
        <f>IF(O113="","",SUMIFS(R_ExtH,R_Emp,"Malcolm",R_Task,INDEX(R_Task,MATCH(105,R_TSeqM,0))))</f>
        <v/>
      </c>
      <c r="T113" s="129" t="str">
        <f>IF(O113="","",COUNTIFS(R_Emp,"Malcolm",R_Cnt,1,R_Task,INDEX(R_Task,MATCH(105,R_TSeqM,0))))</f>
        <v/>
      </c>
    </row>
    <row r="114">
      <c r="O114" s="130" t="str">
        <f>IFERROR(INDEX(R_Task,MATCH(106,R_TSeqM,0))&amp;"","")</f>
        <v/>
      </c>
      <c r="P114" s="130" t="str">
        <f>IFERROR(INDEX(R_Proy,MATCH(106,R_TSeqM,0))&amp;"","")</f>
        <v/>
      </c>
      <c r="Q114" s="14" t="str">
        <f>IF(O114="","",SUMIFS(R_Hcnt,R_Emp,"Malcolm",R_Task,INDEX(R_Task,MATCH(106,R_TSeqM,0))))</f>
        <v/>
      </c>
      <c r="R114" s="14" t="str">
        <f>IF(O114="","",SUMIFS(R_NorH,R_Emp,"Malcolm",R_Task,INDEX(R_Task,MATCH(106,R_TSeqM,0))))</f>
        <v/>
      </c>
      <c r="S114" s="14" t="str">
        <f>IF(O114="","",SUMIFS(R_ExtH,R_Emp,"Malcolm",R_Task,INDEX(R_Task,MATCH(106,R_TSeqM,0))))</f>
        <v/>
      </c>
      <c r="T114" s="129" t="str">
        <f>IF(O114="","",COUNTIFS(R_Emp,"Malcolm",R_Cnt,1,R_Task,INDEX(R_Task,MATCH(106,R_TSeqM,0))))</f>
        <v/>
      </c>
    </row>
    <row r="115">
      <c r="O115" s="130" t="str">
        <f>IFERROR(INDEX(R_Task,MATCH(107,R_TSeqM,0))&amp;"","")</f>
        <v/>
      </c>
      <c r="P115" s="130" t="str">
        <f>IFERROR(INDEX(R_Proy,MATCH(107,R_TSeqM,0))&amp;"","")</f>
        <v/>
      </c>
      <c r="Q115" s="14" t="str">
        <f>IF(O115="","",SUMIFS(R_Hcnt,R_Emp,"Malcolm",R_Task,INDEX(R_Task,MATCH(107,R_TSeqM,0))))</f>
        <v/>
      </c>
      <c r="R115" s="14" t="str">
        <f>IF(O115="","",SUMIFS(R_NorH,R_Emp,"Malcolm",R_Task,INDEX(R_Task,MATCH(107,R_TSeqM,0))))</f>
        <v/>
      </c>
      <c r="S115" s="14" t="str">
        <f>IF(O115="","",SUMIFS(R_ExtH,R_Emp,"Malcolm",R_Task,INDEX(R_Task,MATCH(107,R_TSeqM,0))))</f>
        <v/>
      </c>
      <c r="T115" s="129" t="str">
        <f>IF(O115="","",COUNTIFS(R_Emp,"Malcolm",R_Cnt,1,R_Task,INDEX(R_Task,MATCH(107,R_TSeqM,0))))</f>
        <v/>
      </c>
    </row>
    <row r="116">
      <c r="O116" s="130" t="str">
        <f>IFERROR(INDEX(R_Task,MATCH(108,R_TSeqM,0))&amp;"","")</f>
        <v/>
      </c>
      <c r="P116" s="130" t="str">
        <f>IFERROR(INDEX(R_Proy,MATCH(108,R_TSeqM,0))&amp;"","")</f>
        <v/>
      </c>
      <c r="Q116" s="14" t="str">
        <f>IF(O116="","",SUMIFS(R_Hcnt,R_Emp,"Malcolm",R_Task,INDEX(R_Task,MATCH(108,R_TSeqM,0))))</f>
        <v/>
      </c>
      <c r="R116" s="14" t="str">
        <f>IF(O116="","",SUMIFS(R_NorH,R_Emp,"Malcolm",R_Task,INDEX(R_Task,MATCH(108,R_TSeqM,0))))</f>
        <v/>
      </c>
      <c r="S116" s="14" t="str">
        <f>IF(O116="","",SUMIFS(R_ExtH,R_Emp,"Malcolm",R_Task,INDEX(R_Task,MATCH(108,R_TSeqM,0))))</f>
        <v/>
      </c>
      <c r="T116" s="129" t="str">
        <f>IF(O116="","",COUNTIFS(R_Emp,"Malcolm",R_Cnt,1,R_Task,INDEX(R_Task,MATCH(108,R_TSeqM,0))))</f>
        <v/>
      </c>
    </row>
    <row r="117">
      <c r="O117" s="130" t="str">
        <f>IFERROR(INDEX(R_Task,MATCH(109,R_TSeqM,0))&amp;"","")</f>
        <v/>
      </c>
      <c r="P117" s="130" t="str">
        <f>IFERROR(INDEX(R_Proy,MATCH(109,R_TSeqM,0))&amp;"","")</f>
        <v/>
      </c>
      <c r="Q117" s="14" t="str">
        <f>IF(O117="","",SUMIFS(R_Hcnt,R_Emp,"Malcolm",R_Task,INDEX(R_Task,MATCH(109,R_TSeqM,0))))</f>
        <v/>
      </c>
      <c r="R117" s="14" t="str">
        <f>IF(O117="","",SUMIFS(R_NorH,R_Emp,"Malcolm",R_Task,INDEX(R_Task,MATCH(109,R_TSeqM,0))))</f>
        <v/>
      </c>
      <c r="S117" s="14" t="str">
        <f>IF(O117="","",SUMIFS(R_ExtH,R_Emp,"Malcolm",R_Task,INDEX(R_Task,MATCH(109,R_TSeqM,0))))</f>
        <v/>
      </c>
      <c r="T117" s="129" t="str">
        <f>IF(O117="","",COUNTIFS(R_Emp,"Malcolm",R_Cnt,1,R_Task,INDEX(R_Task,MATCH(109,R_TSeqM,0))))</f>
        <v/>
      </c>
    </row>
    <row r="118">
      <c r="O118" s="130" t="str">
        <f>IFERROR(INDEX(R_Task,MATCH(110,R_TSeqM,0))&amp;"","")</f>
        <v/>
      </c>
      <c r="P118" s="130" t="str">
        <f>IFERROR(INDEX(R_Proy,MATCH(110,R_TSeqM,0))&amp;"","")</f>
        <v/>
      </c>
      <c r="Q118" s="14" t="str">
        <f>IF(O118="","",SUMIFS(R_Hcnt,R_Emp,"Malcolm",R_Task,INDEX(R_Task,MATCH(110,R_TSeqM,0))))</f>
        <v/>
      </c>
      <c r="R118" s="14" t="str">
        <f>IF(O118="","",SUMIFS(R_NorH,R_Emp,"Malcolm",R_Task,INDEX(R_Task,MATCH(110,R_TSeqM,0))))</f>
        <v/>
      </c>
      <c r="S118" s="14" t="str">
        <f>IF(O118="","",SUMIFS(R_ExtH,R_Emp,"Malcolm",R_Task,INDEX(R_Task,MATCH(110,R_TSeqM,0))))</f>
        <v/>
      </c>
      <c r="T118" s="129" t="str">
        <f>IF(O118="","",COUNTIFS(R_Emp,"Malcolm",R_Cnt,1,R_Task,INDEX(R_Task,MATCH(110,R_TSeqM,0))))</f>
        <v/>
      </c>
    </row>
    <row r="119">
      <c r="O119" s="130" t="str">
        <f>IFERROR(INDEX(R_Task,MATCH(111,R_TSeqM,0))&amp;"","")</f>
        <v/>
      </c>
      <c r="P119" s="130" t="str">
        <f>IFERROR(INDEX(R_Proy,MATCH(111,R_TSeqM,0))&amp;"","")</f>
        <v/>
      </c>
      <c r="Q119" s="14" t="str">
        <f>IF(O119="","",SUMIFS(R_Hcnt,R_Emp,"Malcolm",R_Task,INDEX(R_Task,MATCH(111,R_TSeqM,0))))</f>
        <v/>
      </c>
      <c r="R119" s="14" t="str">
        <f>IF(O119="","",SUMIFS(R_NorH,R_Emp,"Malcolm",R_Task,INDEX(R_Task,MATCH(111,R_TSeqM,0))))</f>
        <v/>
      </c>
      <c r="S119" s="14" t="str">
        <f>IF(O119="","",SUMIFS(R_ExtH,R_Emp,"Malcolm",R_Task,INDEX(R_Task,MATCH(111,R_TSeqM,0))))</f>
        <v/>
      </c>
      <c r="T119" s="129" t="str">
        <f>IF(O119="","",COUNTIFS(R_Emp,"Malcolm",R_Cnt,1,R_Task,INDEX(R_Task,MATCH(111,R_TSeqM,0))))</f>
        <v/>
      </c>
    </row>
    <row r="120">
      <c r="O120" s="130" t="str">
        <f>IFERROR(INDEX(R_Task,MATCH(112,R_TSeqM,0))&amp;"","")</f>
        <v/>
      </c>
      <c r="P120" s="130" t="str">
        <f>IFERROR(INDEX(R_Proy,MATCH(112,R_TSeqM,0))&amp;"","")</f>
        <v/>
      </c>
      <c r="Q120" s="14" t="str">
        <f>IF(O120="","",SUMIFS(R_Hcnt,R_Emp,"Malcolm",R_Task,INDEX(R_Task,MATCH(112,R_TSeqM,0))))</f>
        <v/>
      </c>
      <c r="R120" s="14" t="str">
        <f>IF(O120="","",SUMIFS(R_NorH,R_Emp,"Malcolm",R_Task,INDEX(R_Task,MATCH(112,R_TSeqM,0))))</f>
        <v/>
      </c>
      <c r="S120" s="14" t="str">
        <f>IF(O120="","",SUMIFS(R_ExtH,R_Emp,"Malcolm",R_Task,INDEX(R_Task,MATCH(112,R_TSeqM,0))))</f>
        <v/>
      </c>
      <c r="T120" s="129" t="str">
        <f>IF(O120="","",COUNTIFS(R_Emp,"Malcolm",R_Cnt,1,R_Task,INDEX(R_Task,MATCH(112,R_TSeqM,0))))</f>
        <v/>
      </c>
    </row>
    <row r="121">
      <c r="O121" s="130" t="str">
        <f>IFERROR(INDEX(R_Task,MATCH(113,R_TSeqM,0))&amp;"","")</f>
        <v/>
      </c>
      <c r="P121" s="130" t="str">
        <f>IFERROR(INDEX(R_Proy,MATCH(113,R_TSeqM,0))&amp;"","")</f>
        <v/>
      </c>
      <c r="Q121" s="14" t="str">
        <f>IF(O121="","",SUMIFS(R_Hcnt,R_Emp,"Malcolm",R_Task,INDEX(R_Task,MATCH(113,R_TSeqM,0))))</f>
        <v/>
      </c>
      <c r="R121" s="14" t="str">
        <f>IF(O121="","",SUMIFS(R_NorH,R_Emp,"Malcolm",R_Task,INDEX(R_Task,MATCH(113,R_TSeqM,0))))</f>
        <v/>
      </c>
      <c r="S121" s="14" t="str">
        <f>IF(O121="","",SUMIFS(R_ExtH,R_Emp,"Malcolm",R_Task,INDEX(R_Task,MATCH(113,R_TSeqM,0))))</f>
        <v/>
      </c>
      <c r="T121" s="129" t="str">
        <f>IF(O121="","",COUNTIFS(R_Emp,"Malcolm",R_Cnt,1,R_Task,INDEX(R_Task,MATCH(113,R_TSeqM,0))))</f>
        <v/>
      </c>
    </row>
    <row r="122">
      <c r="O122" s="130" t="str">
        <f>IFERROR(INDEX(R_Task,MATCH(114,R_TSeqM,0))&amp;"","")</f>
        <v/>
      </c>
      <c r="P122" s="130" t="str">
        <f>IFERROR(INDEX(R_Proy,MATCH(114,R_TSeqM,0))&amp;"","")</f>
        <v/>
      </c>
      <c r="Q122" s="14" t="str">
        <f>IF(O122="","",SUMIFS(R_Hcnt,R_Emp,"Malcolm",R_Task,INDEX(R_Task,MATCH(114,R_TSeqM,0))))</f>
        <v/>
      </c>
      <c r="R122" s="14" t="str">
        <f>IF(O122="","",SUMIFS(R_NorH,R_Emp,"Malcolm",R_Task,INDEX(R_Task,MATCH(114,R_TSeqM,0))))</f>
        <v/>
      </c>
      <c r="S122" s="14" t="str">
        <f>IF(O122="","",SUMIFS(R_ExtH,R_Emp,"Malcolm",R_Task,INDEX(R_Task,MATCH(114,R_TSeqM,0))))</f>
        <v/>
      </c>
      <c r="T122" s="129" t="str">
        <f>IF(O122="","",COUNTIFS(R_Emp,"Malcolm",R_Cnt,1,R_Task,INDEX(R_Task,MATCH(114,R_TSeqM,0))))</f>
        <v/>
      </c>
    </row>
    <row r="123">
      <c r="O123" s="130" t="str">
        <f>IFERROR(INDEX(R_Task,MATCH(115,R_TSeqM,0))&amp;"","")</f>
        <v/>
      </c>
      <c r="P123" s="130" t="str">
        <f>IFERROR(INDEX(R_Proy,MATCH(115,R_TSeqM,0))&amp;"","")</f>
        <v/>
      </c>
      <c r="Q123" s="14" t="str">
        <f>IF(O123="","",SUMIFS(R_Hcnt,R_Emp,"Malcolm",R_Task,INDEX(R_Task,MATCH(115,R_TSeqM,0))))</f>
        <v/>
      </c>
      <c r="R123" s="14" t="str">
        <f>IF(O123="","",SUMIFS(R_NorH,R_Emp,"Malcolm",R_Task,INDEX(R_Task,MATCH(115,R_TSeqM,0))))</f>
        <v/>
      </c>
      <c r="S123" s="14" t="str">
        <f>IF(O123="","",SUMIFS(R_ExtH,R_Emp,"Malcolm",R_Task,INDEX(R_Task,MATCH(115,R_TSeqM,0))))</f>
        <v/>
      </c>
      <c r="T123" s="129" t="str">
        <f>IF(O123="","",COUNTIFS(R_Emp,"Malcolm",R_Cnt,1,R_Task,INDEX(R_Task,MATCH(115,R_TSeqM,0))))</f>
        <v/>
      </c>
    </row>
    <row r="124">
      <c r="O124" s="130" t="str">
        <f>IFERROR(INDEX(R_Task,MATCH(116,R_TSeqM,0))&amp;"","")</f>
        <v/>
      </c>
      <c r="P124" s="130" t="str">
        <f>IFERROR(INDEX(R_Proy,MATCH(116,R_TSeqM,0))&amp;"","")</f>
        <v/>
      </c>
      <c r="Q124" s="14" t="str">
        <f>IF(O124="","",SUMIFS(R_Hcnt,R_Emp,"Malcolm",R_Task,INDEX(R_Task,MATCH(116,R_TSeqM,0))))</f>
        <v/>
      </c>
      <c r="R124" s="14" t="str">
        <f>IF(O124="","",SUMIFS(R_NorH,R_Emp,"Malcolm",R_Task,INDEX(R_Task,MATCH(116,R_TSeqM,0))))</f>
        <v/>
      </c>
      <c r="S124" s="14" t="str">
        <f>IF(O124="","",SUMIFS(R_ExtH,R_Emp,"Malcolm",R_Task,INDEX(R_Task,MATCH(116,R_TSeqM,0))))</f>
        <v/>
      </c>
      <c r="T124" s="129" t="str">
        <f>IF(O124="","",COUNTIFS(R_Emp,"Malcolm",R_Cnt,1,R_Task,INDEX(R_Task,MATCH(116,R_TSeqM,0))))</f>
        <v/>
      </c>
    </row>
    <row r="125">
      <c r="O125" s="130" t="str">
        <f>IFERROR(INDEX(R_Task,MATCH(117,R_TSeqM,0))&amp;"","")</f>
        <v/>
      </c>
      <c r="P125" s="130" t="str">
        <f>IFERROR(INDEX(R_Proy,MATCH(117,R_TSeqM,0))&amp;"","")</f>
        <v/>
      </c>
      <c r="Q125" s="14" t="str">
        <f>IF(O125="","",SUMIFS(R_Hcnt,R_Emp,"Malcolm",R_Task,INDEX(R_Task,MATCH(117,R_TSeqM,0))))</f>
        <v/>
      </c>
      <c r="R125" s="14" t="str">
        <f>IF(O125="","",SUMIFS(R_NorH,R_Emp,"Malcolm",R_Task,INDEX(R_Task,MATCH(117,R_TSeqM,0))))</f>
        <v/>
      </c>
      <c r="S125" s="14" t="str">
        <f>IF(O125="","",SUMIFS(R_ExtH,R_Emp,"Malcolm",R_Task,INDEX(R_Task,MATCH(117,R_TSeqM,0))))</f>
        <v/>
      </c>
      <c r="T125" s="129" t="str">
        <f>IF(O125="","",COUNTIFS(R_Emp,"Malcolm",R_Cnt,1,R_Task,INDEX(R_Task,MATCH(117,R_TSeqM,0))))</f>
        <v/>
      </c>
    </row>
    <row r="126">
      <c r="O126" s="130" t="str">
        <f>IFERROR(INDEX(R_Task,MATCH(118,R_TSeqM,0))&amp;"","")</f>
        <v/>
      </c>
      <c r="P126" s="130" t="str">
        <f>IFERROR(INDEX(R_Proy,MATCH(118,R_TSeqM,0))&amp;"","")</f>
        <v/>
      </c>
      <c r="Q126" s="14" t="str">
        <f>IF(O126="","",SUMIFS(R_Hcnt,R_Emp,"Malcolm",R_Task,INDEX(R_Task,MATCH(118,R_TSeqM,0))))</f>
        <v/>
      </c>
      <c r="R126" s="14" t="str">
        <f>IF(O126="","",SUMIFS(R_NorH,R_Emp,"Malcolm",R_Task,INDEX(R_Task,MATCH(118,R_TSeqM,0))))</f>
        <v/>
      </c>
      <c r="S126" s="14" t="str">
        <f>IF(O126="","",SUMIFS(R_ExtH,R_Emp,"Malcolm",R_Task,INDEX(R_Task,MATCH(118,R_TSeqM,0))))</f>
        <v/>
      </c>
      <c r="T126" s="129" t="str">
        <f>IF(O126="","",COUNTIFS(R_Emp,"Malcolm",R_Cnt,1,R_Task,INDEX(R_Task,MATCH(118,R_TSeqM,0))))</f>
        <v/>
      </c>
    </row>
    <row r="127">
      <c r="O127" s="130" t="str">
        <f>IFERROR(INDEX(R_Task,MATCH(119,R_TSeqM,0))&amp;"","")</f>
        <v/>
      </c>
      <c r="P127" s="130" t="str">
        <f>IFERROR(INDEX(R_Proy,MATCH(119,R_TSeqM,0))&amp;"","")</f>
        <v/>
      </c>
      <c r="Q127" s="14" t="str">
        <f>IF(O127="","",SUMIFS(R_Hcnt,R_Emp,"Malcolm",R_Task,INDEX(R_Task,MATCH(119,R_TSeqM,0))))</f>
        <v/>
      </c>
      <c r="R127" s="14" t="str">
        <f>IF(O127="","",SUMIFS(R_NorH,R_Emp,"Malcolm",R_Task,INDEX(R_Task,MATCH(119,R_TSeqM,0))))</f>
        <v/>
      </c>
      <c r="S127" s="14" t="str">
        <f>IF(O127="","",SUMIFS(R_ExtH,R_Emp,"Malcolm",R_Task,INDEX(R_Task,MATCH(119,R_TSeqM,0))))</f>
        <v/>
      </c>
      <c r="T127" s="129" t="str">
        <f>IF(O127="","",COUNTIFS(R_Emp,"Malcolm",R_Cnt,1,R_Task,INDEX(R_Task,MATCH(119,R_TSeqM,0))))</f>
        <v/>
      </c>
    </row>
    <row r="128">
      <c r="O128" s="130" t="str">
        <f>IFERROR(INDEX(R_Task,MATCH(120,R_TSeqM,0))&amp;"","")</f>
        <v/>
      </c>
      <c r="P128" s="130" t="str">
        <f>IFERROR(INDEX(R_Proy,MATCH(120,R_TSeqM,0))&amp;"","")</f>
        <v/>
      </c>
      <c r="Q128" s="14" t="str">
        <f>IF(O128="","",SUMIFS(R_Hcnt,R_Emp,"Malcolm",R_Task,INDEX(R_Task,MATCH(120,R_TSeqM,0))))</f>
        <v/>
      </c>
      <c r="R128" s="14" t="str">
        <f>IF(O128="","",SUMIFS(R_NorH,R_Emp,"Malcolm",R_Task,INDEX(R_Task,MATCH(120,R_TSeqM,0))))</f>
        <v/>
      </c>
      <c r="S128" s="14" t="str">
        <f>IF(O128="","",SUMIFS(R_ExtH,R_Emp,"Malcolm",R_Task,INDEX(R_Task,MATCH(120,R_TSeqM,0))))</f>
        <v/>
      </c>
      <c r="T128" s="129" t="str">
        <f>IF(O128="","",COUNTIFS(R_Emp,"Malcolm",R_Cnt,1,R_Task,INDEX(R_Task,MATCH(120,R_TSeqM,0))))</f>
        <v/>
      </c>
    </row>
    <row r="129">
      <c r="O129" s="130" t="str">
        <f>IFERROR(INDEX(R_Task,MATCH(121,R_TSeqM,0))&amp;"","")</f>
        <v/>
      </c>
      <c r="P129" s="130" t="str">
        <f>IFERROR(INDEX(R_Proy,MATCH(121,R_TSeqM,0))&amp;"","")</f>
        <v/>
      </c>
      <c r="Q129" s="14" t="str">
        <f>IF(O129="","",SUMIFS(R_Hcnt,R_Emp,"Malcolm",R_Task,INDEX(R_Task,MATCH(121,R_TSeqM,0))))</f>
        <v/>
      </c>
      <c r="R129" s="14" t="str">
        <f>IF(O129="","",SUMIFS(R_NorH,R_Emp,"Malcolm",R_Task,INDEX(R_Task,MATCH(121,R_TSeqM,0))))</f>
        <v/>
      </c>
      <c r="S129" s="14" t="str">
        <f>IF(O129="","",SUMIFS(R_ExtH,R_Emp,"Malcolm",R_Task,INDEX(R_Task,MATCH(121,R_TSeqM,0))))</f>
        <v/>
      </c>
      <c r="T129" s="129" t="str">
        <f>IF(O129="","",COUNTIFS(R_Emp,"Malcolm",R_Cnt,1,R_Task,INDEX(R_Task,MATCH(121,R_TSeqM,0))))</f>
        <v/>
      </c>
    </row>
    <row r="130">
      <c r="O130" s="130" t="str">
        <f>IFERROR(INDEX(R_Task,MATCH(122,R_TSeqM,0))&amp;"","")</f>
        <v/>
      </c>
      <c r="P130" s="130" t="str">
        <f>IFERROR(INDEX(R_Proy,MATCH(122,R_TSeqM,0))&amp;"","")</f>
        <v/>
      </c>
      <c r="Q130" s="14" t="str">
        <f>IF(O130="","",SUMIFS(R_Hcnt,R_Emp,"Malcolm",R_Task,INDEX(R_Task,MATCH(122,R_TSeqM,0))))</f>
        <v/>
      </c>
      <c r="R130" s="14" t="str">
        <f>IF(O130="","",SUMIFS(R_NorH,R_Emp,"Malcolm",R_Task,INDEX(R_Task,MATCH(122,R_TSeqM,0))))</f>
        <v/>
      </c>
      <c r="S130" s="14" t="str">
        <f>IF(O130="","",SUMIFS(R_ExtH,R_Emp,"Malcolm",R_Task,INDEX(R_Task,MATCH(122,R_TSeqM,0))))</f>
        <v/>
      </c>
      <c r="T130" s="129" t="str">
        <f>IF(O130="","",COUNTIFS(R_Emp,"Malcolm",R_Cnt,1,R_Task,INDEX(R_Task,MATCH(122,R_TSeqM,0))))</f>
        <v/>
      </c>
    </row>
    <row r="131">
      <c r="O131" s="130" t="str">
        <f>IFERROR(INDEX(R_Task,MATCH(123,R_TSeqM,0))&amp;"","")</f>
        <v/>
      </c>
      <c r="P131" s="130" t="str">
        <f>IFERROR(INDEX(R_Proy,MATCH(123,R_TSeqM,0))&amp;"","")</f>
        <v/>
      </c>
      <c r="Q131" s="14" t="str">
        <f>IF(O131="","",SUMIFS(R_Hcnt,R_Emp,"Malcolm",R_Task,INDEX(R_Task,MATCH(123,R_TSeqM,0))))</f>
        <v/>
      </c>
      <c r="R131" s="14" t="str">
        <f>IF(O131="","",SUMIFS(R_NorH,R_Emp,"Malcolm",R_Task,INDEX(R_Task,MATCH(123,R_TSeqM,0))))</f>
        <v/>
      </c>
      <c r="S131" s="14" t="str">
        <f>IF(O131="","",SUMIFS(R_ExtH,R_Emp,"Malcolm",R_Task,INDEX(R_Task,MATCH(123,R_TSeqM,0))))</f>
        <v/>
      </c>
      <c r="T131" s="129" t="str">
        <f>IF(O131="","",COUNTIFS(R_Emp,"Malcolm",R_Cnt,1,R_Task,INDEX(R_Task,MATCH(123,R_TSeqM,0))))</f>
        <v/>
      </c>
    </row>
    <row r="132">
      <c r="O132" s="130" t="str">
        <f>IFERROR(INDEX(R_Task,MATCH(124,R_TSeqM,0))&amp;"","")</f>
        <v/>
      </c>
      <c r="P132" s="130" t="str">
        <f>IFERROR(INDEX(R_Proy,MATCH(124,R_TSeqM,0))&amp;"","")</f>
        <v/>
      </c>
      <c r="Q132" s="14" t="str">
        <f>IF(O132="","",SUMIFS(R_Hcnt,R_Emp,"Malcolm",R_Task,INDEX(R_Task,MATCH(124,R_TSeqM,0))))</f>
        <v/>
      </c>
      <c r="R132" s="14" t="str">
        <f>IF(O132="","",SUMIFS(R_NorH,R_Emp,"Malcolm",R_Task,INDEX(R_Task,MATCH(124,R_TSeqM,0))))</f>
        <v/>
      </c>
      <c r="S132" s="14" t="str">
        <f>IF(O132="","",SUMIFS(R_ExtH,R_Emp,"Malcolm",R_Task,INDEX(R_Task,MATCH(124,R_TSeqM,0))))</f>
        <v/>
      </c>
      <c r="T132" s="129" t="str">
        <f>IF(O132="","",COUNTIFS(R_Emp,"Malcolm",R_Cnt,1,R_Task,INDEX(R_Task,MATCH(124,R_TSeqM,0))))</f>
        <v/>
      </c>
    </row>
    <row r="133">
      <c r="O133" s="130" t="str">
        <f>IFERROR(INDEX(R_Task,MATCH(125,R_TSeqM,0))&amp;"","")</f>
        <v/>
      </c>
      <c r="P133" s="130" t="str">
        <f>IFERROR(INDEX(R_Proy,MATCH(125,R_TSeqM,0))&amp;"","")</f>
        <v/>
      </c>
      <c r="Q133" s="14" t="str">
        <f>IF(O133="","",SUMIFS(R_Hcnt,R_Emp,"Malcolm",R_Task,INDEX(R_Task,MATCH(125,R_TSeqM,0))))</f>
        <v/>
      </c>
      <c r="R133" s="14" t="str">
        <f>IF(O133="","",SUMIFS(R_NorH,R_Emp,"Malcolm",R_Task,INDEX(R_Task,MATCH(125,R_TSeqM,0))))</f>
        <v/>
      </c>
      <c r="S133" s="14" t="str">
        <f>IF(O133="","",SUMIFS(R_ExtH,R_Emp,"Malcolm",R_Task,INDEX(R_Task,MATCH(125,R_TSeqM,0))))</f>
        <v/>
      </c>
      <c r="T133" s="129" t="str">
        <f>IF(O133="","",COUNTIFS(R_Emp,"Malcolm",R_Cnt,1,R_Task,INDEX(R_Task,MATCH(125,R_TSeqM,0))))</f>
        <v/>
      </c>
    </row>
    <row r="134">
      <c r="O134" s="130" t="str">
        <f>IFERROR(INDEX(R_Task,MATCH(126,R_TSeqM,0))&amp;"","")</f>
        <v/>
      </c>
      <c r="P134" s="130" t="str">
        <f>IFERROR(INDEX(R_Proy,MATCH(126,R_TSeqM,0))&amp;"","")</f>
        <v/>
      </c>
      <c r="Q134" s="14" t="str">
        <f>IF(O134="","",SUMIFS(R_Hcnt,R_Emp,"Malcolm",R_Task,INDEX(R_Task,MATCH(126,R_TSeqM,0))))</f>
        <v/>
      </c>
      <c r="R134" s="14" t="str">
        <f>IF(O134="","",SUMIFS(R_NorH,R_Emp,"Malcolm",R_Task,INDEX(R_Task,MATCH(126,R_TSeqM,0))))</f>
        <v/>
      </c>
      <c r="S134" s="14" t="str">
        <f>IF(O134="","",SUMIFS(R_ExtH,R_Emp,"Malcolm",R_Task,INDEX(R_Task,MATCH(126,R_TSeqM,0))))</f>
        <v/>
      </c>
      <c r="T134" s="129" t="str">
        <f>IF(O134="","",COUNTIFS(R_Emp,"Malcolm",R_Cnt,1,R_Task,INDEX(R_Task,MATCH(126,R_TSeqM,0))))</f>
        <v/>
      </c>
    </row>
    <row r="135">
      <c r="O135" s="130" t="str">
        <f>IFERROR(INDEX(R_Task,MATCH(127,R_TSeqM,0))&amp;"","")</f>
        <v/>
      </c>
      <c r="P135" s="130" t="str">
        <f>IFERROR(INDEX(R_Proy,MATCH(127,R_TSeqM,0))&amp;"","")</f>
        <v/>
      </c>
      <c r="Q135" s="14" t="str">
        <f>IF(O135="","",SUMIFS(R_Hcnt,R_Emp,"Malcolm",R_Task,INDEX(R_Task,MATCH(127,R_TSeqM,0))))</f>
        <v/>
      </c>
      <c r="R135" s="14" t="str">
        <f>IF(O135="","",SUMIFS(R_NorH,R_Emp,"Malcolm",R_Task,INDEX(R_Task,MATCH(127,R_TSeqM,0))))</f>
        <v/>
      </c>
      <c r="S135" s="14" t="str">
        <f>IF(O135="","",SUMIFS(R_ExtH,R_Emp,"Malcolm",R_Task,INDEX(R_Task,MATCH(127,R_TSeqM,0))))</f>
        <v/>
      </c>
      <c r="T135" s="129" t="str">
        <f>IF(O135="","",COUNTIFS(R_Emp,"Malcolm",R_Cnt,1,R_Task,INDEX(R_Task,MATCH(127,R_TSeqM,0))))</f>
        <v/>
      </c>
    </row>
    <row r="136">
      <c r="O136" s="130" t="str">
        <f>IFERROR(INDEX(R_Task,MATCH(128,R_TSeqM,0))&amp;"","")</f>
        <v/>
      </c>
      <c r="P136" s="130" t="str">
        <f>IFERROR(INDEX(R_Proy,MATCH(128,R_TSeqM,0))&amp;"","")</f>
        <v/>
      </c>
      <c r="Q136" s="14" t="str">
        <f>IF(O136="","",SUMIFS(R_Hcnt,R_Emp,"Malcolm",R_Task,INDEX(R_Task,MATCH(128,R_TSeqM,0))))</f>
        <v/>
      </c>
      <c r="R136" s="14" t="str">
        <f>IF(O136="","",SUMIFS(R_NorH,R_Emp,"Malcolm",R_Task,INDEX(R_Task,MATCH(128,R_TSeqM,0))))</f>
        <v/>
      </c>
      <c r="S136" s="14" t="str">
        <f>IF(O136="","",SUMIFS(R_ExtH,R_Emp,"Malcolm",R_Task,INDEX(R_Task,MATCH(128,R_TSeqM,0))))</f>
        <v/>
      </c>
      <c r="T136" s="129" t="str">
        <f>IF(O136="","",COUNTIFS(R_Emp,"Malcolm",R_Cnt,1,R_Task,INDEX(R_Task,MATCH(128,R_TSeqM,0))))</f>
        <v/>
      </c>
    </row>
    <row r="137">
      <c r="O137" s="130" t="str">
        <f>IFERROR(INDEX(R_Task,MATCH(129,R_TSeqM,0))&amp;"","")</f>
        <v/>
      </c>
      <c r="P137" s="130" t="str">
        <f>IFERROR(INDEX(R_Proy,MATCH(129,R_TSeqM,0))&amp;"","")</f>
        <v/>
      </c>
      <c r="Q137" s="14" t="str">
        <f>IF(O137="","",SUMIFS(R_Hcnt,R_Emp,"Malcolm",R_Task,INDEX(R_Task,MATCH(129,R_TSeqM,0))))</f>
        <v/>
      </c>
      <c r="R137" s="14" t="str">
        <f>IF(O137="","",SUMIFS(R_NorH,R_Emp,"Malcolm",R_Task,INDEX(R_Task,MATCH(129,R_TSeqM,0))))</f>
        <v/>
      </c>
      <c r="S137" s="14" t="str">
        <f>IF(O137="","",SUMIFS(R_ExtH,R_Emp,"Malcolm",R_Task,INDEX(R_Task,MATCH(129,R_TSeqM,0))))</f>
        <v/>
      </c>
      <c r="T137" s="129" t="str">
        <f>IF(O137="","",COUNTIFS(R_Emp,"Malcolm",R_Cnt,1,R_Task,INDEX(R_Task,MATCH(129,R_TSeqM,0))))</f>
        <v/>
      </c>
    </row>
    <row r="138">
      <c r="O138" s="130" t="str">
        <f>IFERROR(INDEX(R_Task,MATCH(130,R_TSeqM,0))&amp;"","")</f>
        <v/>
      </c>
      <c r="P138" s="130" t="str">
        <f>IFERROR(INDEX(R_Proy,MATCH(130,R_TSeqM,0))&amp;"","")</f>
        <v/>
      </c>
      <c r="Q138" s="14" t="str">
        <f>IF(O138="","",SUMIFS(R_Hcnt,R_Emp,"Malcolm",R_Task,INDEX(R_Task,MATCH(130,R_TSeqM,0))))</f>
        <v/>
      </c>
      <c r="R138" s="14" t="str">
        <f>IF(O138="","",SUMIFS(R_NorH,R_Emp,"Malcolm",R_Task,INDEX(R_Task,MATCH(130,R_TSeqM,0))))</f>
        <v/>
      </c>
      <c r="S138" s="14" t="str">
        <f>IF(O138="","",SUMIFS(R_ExtH,R_Emp,"Malcolm",R_Task,INDEX(R_Task,MATCH(130,R_TSeqM,0))))</f>
        <v/>
      </c>
      <c r="T138" s="129" t="str">
        <f>IF(O138="","",COUNTIFS(R_Emp,"Malcolm",R_Cnt,1,R_Task,INDEX(R_Task,MATCH(130,R_TSeqM,0))))</f>
        <v/>
      </c>
    </row>
    <row r="139">
      <c r="O139" s="130" t="str">
        <f>IFERROR(INDEX(R_Task,MATCH(131,R_TSeqM,0))&amp;"","")</f>
        <v/>
      </c>
      <c r="P139" s="130" t="str">
        <f>IFERROR(INDEX(R_Proy,MATCH(131,R_TSeqM,0))&amp;"","")</f>
        <v/>
      </c>
      <c r="Q139" s="14" t="str">
        <f>IF(O139="","",SUMIFS(R_Hcnt,R_Emp,"Malcolm",R_Task,INDEX(R_Task,MATCH(131,R_TSeqM,0))))</f>
        <v/>
      </c>
      <c r="R139" s="14" t="str">
        <f>IF(O139="","",SUMIFS(R_NorH,R_Emp,"Malcolm",R_Task,INDEX(R_Task,MATCH(131,R_TSeqM,0))))</f>
        <v/>
      </c>
      <c r="S139" s="14" t="str">
        <f>IF(O139="","",SUMIFS(R_ExtH,R_Emp,"Malcolm",R_Task,INDEX(R_Task,MATCH(131,R_TSeqM,0))))</f>
        <v/>
      </c>
      <c r="T139" s="129" t="str">
        <f>IF(O139="","",COUNTIFS(R_Emp,"Malcolm",R_Cnt,1,R_Task,INDEX(R_Task,MATCH(131,R_TSeqM,0))))</f>
        <v/>
      </c>
    </row>
    <row r="140">
      <c r="O140" s="130" t="str">
        <f>IFERROR(INDEX(R_Task,MATCH(132,R_TSeqM,0))&amp;"","")</f>
        <v/>
      </c>
      <c r="P140" s="130" t="str">
        <f>IFERROR(INDEX(R_Proy,MATCH(132,R_TSeqM,0))&amp;"","")</f>
        <v/>
      </c>
      <c r="Q140" s="14" t="str">
        <f>IF(O140="","",SUMIFS(R_Hcnt,R_Emp,"Malcolm",R_Task,INDEX(R_Task,MATCH(132,R_TSeqM,0))))</f>
        <v/>
      </c>
      <c r="R140" s="14" t="str">
        <f>IF(O140="","",SUMIFS(R_NorH,R_Emp,"Malcolm",R_Task,INDEX(R_Task,MATCH(132,R_TSeqM,0))))</f>
        <v/>
      </c>
      <c r="S140" s="14" t="str">
        <f>IF(O140="","",SUMIFS(R_ExtH,R_Emp,"Malcolm",R_Task,INDEX(R_Task,MATCH(132,R_TSeqM,0))))</f>
        <v/>
      </c>
      <c r="T140" s="129" t="str">
        <f>IF(O140="","",COUNTIFS(R_Emp,"Malcolm",R_Cnt,1,R_Task,INDEX(R_Task,MATCH(132,R_TSeqM,0))))</f>
        <v/>
      </c>
    </row>
    <row r="141">
      <c r="O141" s="130" t="str">
        <f>IFERROR(INDEX(R_Task,MATCH(133,R_TSeqM,0))&amp;"","")</f>
        <v/>
      </c>
      <c r="P141" s="130" t="str">
        <f>IFERROR(INDEX(R_Proy,MATCH(133,R_TSeqM,0))&amp;"","")</f>
        <v/>
      </c>
      <c r="Q141" s="14" t="str">
        <f>IF(O141="","",SUMIFS(R_Hcnt,R_Emp,"Malcolm",R_Task,INDEX(R_Task,MATCH(133,R_TSeqM,0))))</f>
        <v/>
      </c>
      <c r="R141" s="14" t="str">
        <f>IF(O141="","",SUMIFS(R_NorH,R_Emp,"Malcolm",R_Task,INDEX(R_Task,MATCH(133,R_TSeqM,0))))</f>
        <v/>
      </c>
      <c r="S141" s="14" t="str">
        <f>IF(O141="","",SUMIFS(R_ExtH,R_Emp,"Malcolm",R_Task,INDEX(R_Task,MATCH(133,R_TSeqM,0))))</f>
        <v/>
      </c>
      <c r="T141" s="129" t="str">
        <f>IF(O141="","",COUNTIFS(R_Emp,"Malcolm",R_Cnt,1,R_Task,INDEX(R_Task,MATCH(133,R_TSeqM,0))))</f>
        <v/>
      </c>
    </row>
    <row r="142">
      <c r="O142" s="130" t="str">
        <f>IFERROR(INDEX(R_Task,MATCH(134,R_TSeqM,0))&amp;"","")</f>
        <v/>
      </c>
      <c r="P142" s="130" t="str">
        <f>IFERROR(INDEX(R_Proy,MATCH(134,R_TSeqM,0))&amp;"","")</f>
        <v/>
      </c>
      <c r="Q142" s="14" t="str">
        <f>IF(O142="","",SUMIFS(R_Hcnt,R_Emp,"Malcolm",R_Task,INDEX(R_Task,MATCH(134,R_TSeqM,0))))</f>
        <v/>
      </c>
      <c r="R142" s="14" t="str">
        <f>IF(O142="","",SUMIFS(R_NorH,R_Emp,"Malcolm",R_Task,INDEX(R_Task,MATCH(134,R_TSeqM,0))))</f>
        <v/>
      </c>
      <c r="S142" s="14" t="str">
        <f>IF(O142="","",SUMIFS(R_ExtH,R_Emp,"Malcolm",R_Task,INDEX(R_Task,MATCH(134,R_TSeqM,0))))</f>
        <v/>
      </c>
      <c r="T142" s="129" t="str">
        <f>IF(O142="","",COUNTIFS(R_Emp,"Malcolm",R_Cnt,1,R_Task,INDEX(R_Task,MATCH(134,R_TSeqM,0))))</f>
        <v/>
      </c>
    </row>
    <row r="143">
      <c r="O143" s="130" t="str">
        <f>IFERROR(INDEX(R_Task,MATCH(135,R_TSeqM,0))&amp;"","")</f>
        <v/>
      </c>
      <c r="P143" s="130" t="str">
        <f>IFERROR(INDEX(R_Proy,MATCH(135,R_TSeqM,0))&amp;"","")</f>
        <v/>
      </c>
      <c r="Q143" s="14" t="str">
        <f>IF(O143="","",SUMIFS(R_Hcnt,R_Emp,"Malcolm",R_Task,INDEX(R_Task,MATCH(135,R_TSeqM,0))))</f>
        <v/>
      </c>
      <c r="R143" s="14" t="str">
        <f>IF(O143="","",SUMIFS(R_NorH,R_Emp,"Malcolm",R_Task,INDEX(R_Task,MATCH(135,R_TSeqM,0))))</f>
        <v/>
      </c>
      <c r="S143" s="14" t="str">
        <f>IF(O143="","",SUMIFS(R_ExtH,R_Emp,"Malcolm",R_Task,INDEX(R_Task,MATCH(135,R_TSeqM,0))))</f>
        <v/>
      </c>
      <c r="T143" s="129" t="str">
        <f>IF(O143="","",COUNTIFS(R_Emp,"Malcolm",R_Cnt,1,R_Task,INDEX(R_Task,MATCH(135,R_TSeqM,0))))</f>
        <v/>
      </c>
    </row>
    <row r="144">
      <c r="O144" s="130" t="str">
        <f>IFERROR(INDEX(R_Task,MATCH(136,R_TSeqM,0))&amp;"","")</f>
        <v/>
      </c>
      <c r="P144" s="130" t="str">
        <f>IFERROR(INDEX(R_Proy,MATCH(136,R_TSeqM,0))&amp;"","")</f>
        <v/>
      </c>
      <c r="Q144" s="14" t="str">
        <f>IF(O144="","",SUMIFS(R_Hcnt,R_Emp,"Malcolm",R_Task,INDEX(R_Task,MATCH(136,R_TSeqM,0))))</f>
        <v/>
      </c>
      <c r="R144" s="14" t="str">
        <f>IF(O144="","",SUMIFS(R_NorH,R_Emp,"Malcolm",R_Task,INDEX(R_Task,MATCH(136,R_TSeqM,0))))</f>
        <v/>
      </c>
      <c r="S144" s="14" t="str">
        <f>IF(O144="","",SUMIFS(R_ExtH,R_Emp,"Malcolm",R_Task,INDEX(R_Task,MATCH(136,R_TSeqM,0))))</f>
        <v/>
      </c>
      <c r="T144" s="129" t="str">
        <f>IF(O144="","",COUNTIFS(R_Emp,"Malcolm",R_Cnt,1,R_Task,INDEX(R_Task,MATCH(136,R_TSeqM,0))))</f>
        <v/>
      </c>
    </row>
    <row r="145">
      <c r="O145" s="130" t="str">
        <f>IFERROR(INDEX(R_Task,MATCH(137,R_TSeqM,0))&amp;"","")</f>
        <v/>
      </c>
      <c r="P145" s="130" t="str">
        <f>IFERROR(INDEX(R_Proy,MATCH(137,R_TSeqM,0))&amp;"","")</f>
        <v/>
      </c>
      <c r="Q145" s="14" t="str">
        <f>IF(O145="","",SUMIFS(R_Hcnt,R_Emp,"Malcolm",R_Task,INDEX(R_Task,MATCH(137,R_TSeqM,0))))</f>
        <v/>
      </c>
      <c r="R145" s="14" t="str">
        <f>IF(O145="","",SUMIFS(R_NorH,R_Emp,"Malcolm",R_Task,INDEX(R_Task,MATCH(137,R_TSeqM,0))))</f>
        <v/>
      </c>
      <c r="S145" s="14" t="str">
        <f>IF(O145="","",SUMIFS(R_ExtH,R_Emp,"Malcolm",R_Task,INDEX(R_Task,MATCH(137,R_TSeqM,0))))</f>
        <v/>
      </c>
      <c r="T145" s="129" t="str">
        <f>IF(O145="","",COUNTIFS(R_Emp,"Malcolm",R_Cnt,1,R_Task,INDEX(R_Task,MATCH(137,R_TSeqM,0))))</f>
        <v/>
      </c>
    </row>
    <row r="146">
      <c r="O146" s="130" t="str">
        <f>IFERROR(INDEX(R_Task,MATCH(138,R_TSeqM,0))&amp;"","")</f>
        <v/>
      </c>
      <c r="P146" s="130" t="str">
        <f>IFERROR(INDEX(R_Proy,MATCH(138,R_TSeqM,0))&amp;"","")</f>
        <v/>
      </c>
      <c r="Q146" s="14" t="str">
        <f>IF(O146="","",SUMIFS(R_Hcnt,R_Emp,"Malcolm",R_Task,INDEX(R_Task,MATCH(138,R_TSeqM,0))))</f>
        <v/>
      </c>
      <c r="R146" s="14" t="str">
        <f>IF(O146="","",SUMIFS(R_NorH,R_Emp,"Malcolm",R_Task,INDEX(R_Task,MATCH(138,R_TSeqM,0))))</f>
        <v/>
      </c>
      <c r="S146" s="14" t="str">
        <f>IF(O146="","",SUMIFS(R_ExtH,R_Emp,"Malcolm",R_Task,INDEX(R_Task,MATCH(138,R_TSeqM,0))))</f>
        <v/>
      </c>
      <c r="T146" s="129" t="str">
        <f>IF(O146="","",COUNTIFS(R_Emp,"Malcolm",R_Cnt,1,R_Task,INDEX(R_Task,MATCH(138,R_TSeqM,0))))</f>
        <v/>
      </c>
    </row>
    <row r="147">
      <c r="O147" s="130" t="str">
        <f>IFERROR(INDEX(R_Task,MATCH(139,R_TSeqM,0))&amp;"","")</f>
        <v/>
      </c>
      <c r="P147" s="130" t="str">
        <f>IFERROR(INDEX(R_Proy,MATCH(139,R_TSeqM,0))&amp;"","")</f>
        <v/>
      </c>
      <c r="Q147" s="14" t="str">
        <f>IF(O147="","",SUMIFS(R_Hcnt,R_Emp,"Malcolm",R_Task,INDEX(R_Task,MATCH(139,R_TSeqM,0))))</f>
        <v/>
      </c>
      <c r="R147" s="14" t="str">
        <f>IF(O147="","",SUMIFS(R_NorH,R_Emp,"Malcolm",R_Task,INDEX(R_Task,MATCH(139,R_TSeqM,0))))</f>
        <v/>
      </c>
      <c r="S147" s="14" t="str">
        <f>IF(O147="","",SUMIFS(R_ExtH,R_Emp,"Malcolm",R_Task,INDEX(R_Task,MATCH(139,R_TSeqM,0))))</f>
        <v/>
      </c>
      <c r="T147" s="129" t="str">
        <f>IF(O147="","",COUNTIFS(R_Emp,"Malcolm",R_Cnt,1,R_Task,INDEX(R_Task,MATCH(139,R_TSeqM,0))))</f>
        <v/>
      </c>
    </row>
    <row r="148">
      <c r="O148" s="130" t="str">
        <f>IFERROR(INDEX(R_Task,MATCH(140,R_TSeqM,0))&amp;"","")</f>
        <v/>
      </c>
      <c r="P148" s="130" t="str">
        <f>IFERROR(INDEX(R_Proy,MATCH(140,R_TSeqM,0))&amp;"","")</f>
        <v/>
      </c>
      <c r="Q148" s="14" t="str">
        <f>IF(O148="","",SUMIFS(R_Hcnt,R_Emp,"Malcolm",R_Task,INDEX(R_Task,MATCH(140,R_TSeqM,0))))</f>
        <v/>
      </c>
      <c r="R148" s="14" t="str">
        <f>IF(O148="","",SUMIFS(R_NorH,R_Emp,"Malcolm",R_Task,INDEX(R_Task,MATCH(140,R_TSeqM,0))))</f>
        <v/>
      </c>
      <c r="S148" s="14" t="str">
        <f>IF(O148="","",SUMIFS(R_ExtH,R_Emp,"Malcolm",R_Task,INDEX(R_Task,MATCH(140,R_TSeqM,0))))</f>
        <v/>
      </c>
      <c r="T148" s="129" t="str">
        <f>IF(O148="","",COUNTIFS(R_Emp,"Malcolm",R_Cnt,1,R_Task,INDEX(R_Task,MATCH(140,R_TSeqM,0))))</f>
        <v/>
      </c>
    </row>
    <row r="149">
      <c r="O149" s="130" t="str">
        <f>IFERROR(INDEX(R_Task,MATCH(141,R_TSeqM,0))&amp;"","")</f>
        <v/>
      </c>
      <c r="P149" s="130" t="str">
        <f>IFERROR(INDEX(R_Proy,MATCH(141,R_TSeqM,0))&amp;"","")</f>
        <v/>
      </c>
      <c r="Q149" s="14" t="str">
        <f>IF(O149="","",SUMIFS(R_Hcnt,R_Emp,"Malcolm",R_Task,INDEX(R_Task,MATCH(141,R_TSeqM,0))))</f>
        <v/>
      </c>
      <c r="R149" s="14" t="str">
        <f>IF(O149="","",SUMIFS(R_NorH,R_Emp,"Malcolm",R_Task,INDEX(R_Task,MATCH(141,R_TSeqM,0))))</f>
        <v/>
      </c>
      <c r="S149" s="14" t="str">
        <f>IF(O149="","",SUMIFS(R_ExtH,R_Emp,"Malcolm",R_Task,INDEX(R_Task,MATCH(141,R_TSeqM,0))))</f>
        <v/>
      </c>
      <c r="T149" s="129" t="str">
        <f>IF(O149="","",COUNTIFS(R_Emp,"Malcolm",R_Cnt,1,R_Task,INDEX(R_Task,MATCH(141,R_TSeqM,0))))</f>
        <v/>
      </c>
    </row>
    <row r="150">
      <c r="O150" s="130" t="str">
        <f>IFERROR(INDEX(R_Task,MATCH(142,R_TSeqM,0))&amp;"","")</f>
        <v/>
      </c>
      <c r="P150" s="130" t="str">
        <f>IFERROR(INDEX(R_Proy,MATCH(142,R_TSeqM,0))&amp;"","")</f>
        <v/>
      </c>
      <c r="Q150" s="14" t="str">
        <f>IF(O150="","",SUMIFS(R_Hcnt,R_Emp,"Malcolm",R_Task,INDEX(R_Task,MATCH(142,R_TSeqM,0))))</f>
        <v/>
      </c>
      <c r="R150" s="14" t="str">
        <f>IF(O150="","",SUMIFS(R_NorH,R_Emp,"Malcolm",R_Task,INDEX(R_Task,MATCH(142,R_TSeqM,0))))</f>
        <v/>
      </c>
      <c r="S150" s="14" t="str">
        <f>IF(O150="","",SUMIFS(R_ExtH,R_Emp,"Malcolm",R_Task,INDEX(R_Task,MATCH(142,R_TSeqM,0))))</f>
        <v/>
      </c>
      <c r="T150" s="129" t="str">
        <f>IF(O150="","",COUNTIFS(R_Emp,"Malcolm",R_Cnt,1,R_Task,INDEX(R_Task,MATCH(142,R_TSeqM,0))))</f>
        <v/>
      </c>
    </row>
    <row r="151">
      <c r="O151" s="130" t="str">
        <f>IFERROR(INDEX(R_Task,MATCH(143,R_TSeqM,0))&amp;"","")</f>
        <v/>
      </c>
      <c r="P151" s="130" t="str">
        <f>IFERROR(INDEX(R_Proy,MATCH(143,R_TSeqM,0))&amp;"","")</f>
        <v/>
      </c>
      <c r="Q151" s="14" t="str">
        <f>IF(O151="","",SUMIFS(R_Hcnt,R_Emp,"Malcolm",R_Task,INDEX(R_Task,MATCH(143,R_TSeqM,0))))</f>
        <v/>
      </c>
      <c r="R151" s="14" t="str">
        <f>IF(O151="","",SUMIFS(R_NorH,R_Emp,"Malcolm",R_Task,INDEX(R_Task,MATCH(143,R_TSeqM,0))))</f>
        <v/>
      </c>
      <c r="S151" s="14" t="str">
        <f>IF(O151="","",SUMIFS(R_ExtH,R_Emp,"Malcolm",R_Task,INDEX(R_Task,MATCH(143,R_TSeqM,0))))</f>
        <v/>
      </c>
      <c r="T151" s="129" t="str">
        <f>IF(O151="","",COUNTIFS(R_Emp,"Malcolm",R_Cnt,1,R_Task,INDEX(R_Task,MATCH(143,R_TSeqM,0))))</f>
        <v/>
      </c>
    </row>
    <row r="152">
      <c r="O152" s="130" t="str">
        <f>IFERROR(INDEX(R_Task,MATCH(144,R_TSeqM,0))&amp;"","")</f>
        <v/>
      </c>
      <c r="P152" s="130" t="str">
        <f>IFERROR(INDEX(R_Proy,MATCH(144,R_TSeqM,0))&amp;"","")</f>
        <v/>
      </c>
      <c r="Q152" s="14" t="str">
        <f>IF(O152="","",SUMIFS(R_Hcnt,R_Emp,"Malcolm",R_Task,INDEX(R_Task,MATCH(144,R_TSeqM,0))))</f>
        <v/>
      </c>
      <c r="R152" s="14" t="str">
        <f>IF(O152="","",SUMIFS(R_NorH,R_Emp,"Malcolm",R_Task,INDEX(R_Task,MATCH(144,R_TSeqM,0))))</f>
        <v/>
      </c>
      <c r="S152" s="14" t="str">
        <f>IF(O152="","",SUMIFS(R_ExtH,R_Emp,"Malcolm",R_Task,INDEX(R_Task,MATCH(144,R_TSeqM,0))))</f>
        <v/>
      </c>
      <c r="T152" s="129" t="str">
        <f>IF(O152="","",COUNTIFS(R_Emp,"Malcolm",R_Cnt,1,R_Task,INDEX(R_Task,MATCH(144,R_TSeqM,0))))</f>
        <v/>
      </c>
    </row>
    <row r="153">
      <c r="O153" s="130" t="str">
        <f>IFERROR(INDEX(R_Task,MATCH(145,R_TSeqM,0))&amp;"","")</f>
        <v/>
      </c>
      <c r="P153" s="130" t="str">
        <f>IFERROR(INDEX(R_Proy,MATCH(145,R_TSeqM,0))&amp;"","")</f>
        <v/>
      </c>
      <c r="Q153" s="14" t="str">
        <f>IF(O153="","",SUMIFS(R_Hcnt,R_Emp,"Malcolm",R_Task,INDEX(R_Task,MATCH(145,R_TSeqM,0))))</f>
        <v/>
      </c>
      <c r="R153" s="14" t="str">
        <f>IF(O153="","",SUMIFS(R_NorH,R_Emp,"Malcolm",R_Task,INDEX(R_Task,MATCH(145,R_TSeqM,0))))</f>
        <v/>
      </c>
      <c r="S153" s="14" t="str">
        <f>IF(O153="","",SUMIFS(R_ExtH,R_Emp,"Malcolm",R_Task,INDEX(R_Task,MATCH(145,R_TSeqM,0))))</f>
        <v/>
      </c>
      <c r="T153" s="129" t="str">
        <f>IF(O153="","",COUNTIFS(R_Emp,"Malcolm",R_Cnt,1,R_Task,INDEX(R_Task,MATCH(145,R_TSeqM,0))))</f>
        <v/>
      </c>
    </row>
    <row r="154">
      <c r="O154" s="130" t="str">
        <f>IFERROR(INDEX(R_Task,MATCH(146,R_TSeqM,0))&amp;"","")</f>
        <v/>
      </c>
      <c r="P154" s="130" t="str">
        <f>IFERROR(INDEX(R_Proy,MATCH(146,R_TSeqM,0))&amp;"","")</f>
        <v/>
      </c>
      <c r="Q154" s="14" t="str">
        <f>IF(O154="","",SUMIFS(R_Hcnt,R_Emp,"Malcolm",R_Task,INDEX(R_Task,MATCH(146,R_TSeqM,0))))</f>
        <v/>
      </c>
      <c r="R154" s="14" t="str">
        <f>IF(O154="","",SUMIFS(R_NorH,R_Emp,"Malcolm",R_Task,INDEX(R_Task,MATCH(146,R_TSeqM,0))))</f>
        <v/>
      </c>
      <c r="S154" s="14" t="str">
        <f>IF(O154="","",SUMIFS(R_ExtH,R_Emp,"Malcolm",R_Task,INDEX(R_Task,MATCH(146,R_TSeqM,0))))</f>
        <v/>
      </c>
      <c r="T154" s="129" t="str">
        <f>IF(O154="","",COUNTIFS(R_Emp,"Malcolm",R_Cnt,1,R_Task,INDEX(R_Task,MATCH(146,R_TSeqM,0))))</f>
        <v/>
      </c>
    </row>
    <row r="155">
      <c r="O155" s="130" t="str">
        <f>IFERROR(INDEX(R_Task,MATCH(147,R_TSeqM,0))&amp;"","")</f>
        <v/>
      </c>
      <c r="P155" s="130" t="str">
        <f>IFERROR(INDEX(R_Proy,MATCH(147,R_TSeqM,0))&amp;"","")</f>
        <v/>
      </c>
      <c r="Q155" s="14" t="str">
        <f>IF(O155="","",SUMIFS(R_Hcnt,R_Emp,"Malcolm",R_Task,INDEX(R_Task,MATCH(147,R_TSeqM,0))))</f>
        <v/>
      </c>
      <c r="R155" s="14" t="str">
        <f>IF(O155="","",SUMIFS(R_NorH,R_Emp,"Malcolm",R_Task,INDEX(R_Task,MATCH(147,R_TSeqM,0))))</f>
        <v/>
      </c>
      <c r="S155" s="14" t="str">
        <f>IF(O155="","",SUMIFS(R_ExtH,R_Emp,"Malcolm",R_Task,INDEX(R_Task,MATCH(147,R_TSeqM,0))))</f>
        <v/>
      </c>
      <c r="T155" s="129" t="str">
        <f>IF(O155="","",COUNTIFS(R_Emp,"Malcolm",R_Cnt,1,R_Task,INDEX(R_Task,MATCH(147,R_TSeqM,0))))</f>
        <v/>
      </c>
    </row>
    <row r="156">
      <c r="O156" s="130" t="str">
        <f>IFERROR(INDEX(R_Task,MATCH(148,R_TSeqM,0))&amp;"","")</f>
        <v/>
      </c>
      <c r="P156" s="130" t="str">
        <f>IFERROR(INDEX(R_Proy,MATCH(148,R_TSeqM,0))&amp;"","")</f>
        <v/>
      </c>
      <c r="Q156" s="14" t="str">
        <f>IF(O156="","",SUMIFS(R_Hcnt,R_Emp,"Malcolm",R_Task,INDEX(R_Task,MATCH(148,R_TSeqM,0))))</f>
        <v/>
      </c>
      <c r="R156" s="14" t="str">
        <f>IF(O156="","",SUMIFS(R_NorH,R_Emp,"Malcolm",R_Task,INDEX(R_Task,MATCH(148,R_TSeqM,0))))</f>
        <v/>
      </c>
      <c r="S156" s="14" t="str">
        <f>IF(O156="","",SUMIFS(R_ExtH,R_Emp,"Malcolm",R_Task,INDEX(R_Task,MATCH(148,R_TSeqM,0))))</f>
        <v/>
      </c>
      <c r="T156" s="129" t="str">
        <f>IF(O156="","",COUNTIFS(R_Emp,"Malcolm",R_Cnt,1,R_Task,INDEX(R_Task,MATCH(148,R_TSeqM,0))))</f>
        <v/>
      </c>
    </row>
    <row r="157">
      <c r="O157" s="130" t="str">
        <f>IFERROR(INDEX(R_Task,MATCH(149,R_TSeqM,0))&amp;"","")</f>
        <v/>
      </c>
      <c r="P157" s="130" t="str">
        <f>IFERROR(INDEX(R_Proy,MATCH(149,R_TSeqM,0))&amp;"","")</f>
        <v/>
      </c>
      <c r="Q157" s="14" t="str">
        <f>IF(O157="","",SUMIFS(R_Hcnt,R_Emp,"Malcolm",R_Task,INDEX(R_Task,MATCH(149,R_TSeqM,0))))</f>
        <v/>
      </c>
      <c r="R157" s="14" t="str">
        <f>IF(O157="","",SUMIFS(R_NorH,R_Emp,"Malcolm",R_Task,INDEX(R_Task,MATCH(149,R_TSeqM,0))))</f>
        <v/>
      </c>
      <c r="S157" s="14" t="str">
        <f>IF(O157="","",SUMIFS(R_ExtH,R_Emp,"Malcolm",R_Task,INDEX(R_Task,MATCH(149,R_TSeqM,0))))</f>
        <v/>
      </c>
      <c r="T157" s="129" t="str">
        <f>IF(O157="","",COUNTIFS(R_Emp,"Malcolm",R_Cnt,1,R_Task,INDEX(R_Task,MATCH(149,R_TSeqM,0))))</f>
        <v/>
      </c>
    </row>
    <row r="158">
      <c r="O158" s="130" t="str">
        <f>IFERROR(INDEX(R_Task,MATCH(150,R_TSeqM,0))&amp;"","")</f>
        <v/>
      </c>
      <c r="P158" s="130" t="str">
        <f>IFERROR(INDEX(R_Proy,MATCH(150,R_TSeqM,0))&amp;"","")</f>
        <v/>
      </c>
      <c r="Q158" s="14" t="str">
        <f>IF(O158="","",SUMIFS(R_Hcnt,R_Emp,"Malcolm",R_Task,INDEX(R_Task,MATCH(150,R_TSeqM,0))))</f>
        <v/>
      </c>
      <c r="R158" s="14" t="str">
        <f>IF(O158="","",SUMIFS(R_NorH,R_Emp,"Malcolm",R_Task,INDEX(R_Task,MATCH(150,R_TSeqM,0))))</f>
        <v/>
      </c>
      <c r="S158" s="14" t="str">
        <f>IF(O158="","",SUMIFS(R_ExtH,R_Emp,"Malcolm",R_Task,INDEX(R_Task,MATCH(150,R_TSeqM,0))))</f>
        <v/>
      </c>
      <c r="T158" s="129" t="str">
        <f>IF(O158="","",COUNTIFS(R_Emp,"Malcolm",R_Cnt,1,R_Task,INDEX(R_Task,MATCH(150,R_TSeqM,0))))</f>
        <v/>
      </c>
    </row>
    <row r="159">
      <c r="O159" s="136" t="inlineStr">
        <is>
          <t>Sin Task ID</t>
        </is>
      </c>
      <c r="Q159" s="14">
        <f>SUMIFS(R_Hcnt,R_Emp,"Malcolm",R_Task,"")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E4:F4"/>
    <mergeCell ref="N5:O5"/>
    <mergeCell ref="B5:C5"/>
    <mergeCell ref="B101:D101"/>
    <mergeCell ref="E5:F5"/>
    <mergeCell ref="K5:L5"/>
    <mergeCell ref="H5:I5"/>
    <mergeCell ref="H4:I4"/>
    <mergeCell ref="K4:L4"/>
    <mergeCell ref="B4:C4"/>
    <mergeCell ref="N4:O4"/>
  </mergeCells>
  <conditionalFormatting sqref="B9:G100">
    <cfRule type="expression" priority="1" dxfId="13" stopIfTrue="0">
      <formula>=LEFT($D9,7)="Feriado"</formula>
    </cfRule>
    <cfRule type="expression" priority="2" dxfId="12" stopIfTrue="0">
      <formula>=LEFT($D9,3)="Fin"</formula>
    </cfRule>
  </conditionalFormatting>
  <conditionalFormatting sqref="E9:E100">
    <cfRule type="expression" priority="3" dxfId="25" stopIfTrue="0">
      <formula>=$E9&gt;0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0B7A75"/>
    <outlinePr summaryBelow="1" summaryRight="1"/>
    <pageSetUpPr fitToPage="1"/>
  </sheetPr>
  <dimension ref="A1:P36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18" customWidth="1" min="4" max="4"/>
    <col width="14" customWidth="1" min="5" max="5"/>
    <col width="32" customWidth="1" min="6" max="6"/>
    <col width="9" customWidth="1" min="7" max="7"/>
    <col width="9" customWidth="1" min="8" max="8"/>
    <col width="17" customWidth="1" min="9" max="9"/>
    <col width="12" customWidth="1" min="10" max="10"/>
    <col width="12" customWidth="1" min="11" max="11"/>
    <col width="11" customWidth="1" min="12" max="12"/>
    <col width="34" customWidth="1" min="13" max="13"/>
    <col width="2" customWidth="1" min="14" max="14"/>
    <col hidden="1" width="2" customWidth="1" min="15" max="15"/>
    <col width="2" customWidth="1" min="16" max="16"/>
  </cols>
  <sheetData>
    <row r="1" ht="34" customHeight="1">
      <c r="A1" s="1" t="n"/>
      <c r="B1" s="2" t="inlineStr">
        <is>
          <t>🏢  Control proMX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0" customHeight="1">
      <c r="A2" s="1" t="n"/>
      <c r="B2" s="3" t="inlineStr">
        <is>
          <t>Bloques de 30 min, estados y antigüedad de pendientes. Cada registro cuenta una sola vez, en su estado actual.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B4" s="139" t="inlineStr">
        <is>
          <t>Total horas proMX</t>
        </is>
      </c>
      <c r="C4" s="113" t="n"/>
      <c r="D4" s="114" t="inlineStr">
        <is>
          <t>Total bloques</t>
        </is>
      </c>
      <c r="E4" s="113" t="n"/>
      <c r="F4" s="140" t="inlineStr">
        <is>
          <t>Pend. de envío</t>
        </is>
      </c>
      <c r="G4" s="113" t="n"/>
      <c r="H4" s="141" t="inlineStr">
        <is>
          <t>Pend. de aprobación</t>
        </is>
      </c>
      <c r="I4" s="113" t="n"/>
      <c r="J4" s="142" t="inlineStr">
        <is>
          <t>% aprobación</t>
        </is>
      </c>
      <c r="K4" s="113" t="n"/>
      <c r="L4" s="115" t="inlineStr">
        <is>
          <t>Alertas &gt; días máx.</t>
        </is>
      </c>
      <c r="M4" s="113" t="n"/>
    </row>
    <row r="5" ht="32" customHeight="1">
      <c r="B5" s="143">
        <f>SUMIFS(R_Hcnt,R_Emp,"proMX")</f>
        <v>10.5</v>
      </c>
      <c r="C5" s="113" t="n"/>
      <c r="D5" s="144">
        <f>SUMIFS(R_BlkV,R_Emp,"proMX")-SUMIFS(R_BlkV,R_St,"Cancelled")</f>
        <v>21</v>
      </c>
      <c r="E5" s="113" t="n"/>
      <c r="F5" s="145">
        <f>SUMIFS(R_Hval,R_St,"Draft")+SUMIFS(R_Hval,R_St,"Returned")</f>
        <v>1.5</v>
      </c>
      <c r="G5" s="113" t="n"/>
      <c r="H5" s="146">
        <f>SUMIFS(R_Hval,R_St,"Submitted")+SUMIFS(R_Hval,R_St,"Recall Requested")</f>
        <v>3</v>
      </c>
      <c r="I5" s="113" t="n"/>
      <c r="J5" s="147">
        <f>IFERROR(SUMIFS(R_Hval,R_St,"Approved")/(SUMIFS(R_Hval,R_St,"Approved")+SUMIFS(R_Hval,R_St,"Submitted")+SUMIFS(R_Hval,R_St,"Returned")+SUMIFS(R_Hval,R_St,"Recall Requested")),0)</f>
        <v>0.666666666666667</v>
      </c>
      <c r="K5" s="113" t="n"/>
      <c r="L5" s="148">
        <f>SUM(R_Alr)</f>
        <v>1</v>
      </c>
      <c r="M5" s="113" t="n"/>
    </row>
    <row r="7" ht="22" customHeight="1">
      <c r="B7" s="149" t="inlineStr">
        <is>
          <t>Horas y bloques por estado</t>
        </is>
      </c>
      <c r="C7" s="150" t="n"/>
      <c r="D7" s="150" t="n"/>
      <c r="E7" s="150" t="n"/>
      <c r="F7" s="150" t="n"/>
      <c r="G7" s="150" t="n"/>
      <c r="I7" s="149" t="inlineStr">
        <is>
          <t>Indicadores</t>
        </is>
      </c>
      <c r="J7" s="150" t="n"/>
      <c r="K7" s="150" t="n"/>
    </row>
    <row r="8" ht="32" customHeight="1">
      <c r="B8" s="151" t="inlineStr">
        <is>
          <t>Estado</t>
        </is>
      </c>
      <c r="C8" s="138" t="n"/>
      <c r="D8" s="151" t="inlineStr">
        <is>
          <t>Horas</t>
        </is>
      </c>
      <c r="E8" s="151" t="inlineStr">
        <is>
          <t>Bloques</t>
        </is>
      </c>
      <c r="F8" s="151" t="inlineStr">
        <is>
          <t>USD</t>
        </is>
      </c>
      <c r="G8" s="151" t="inlineStr">
        <is>
          <t>Registros</t>
        </is>
      </c>
      <c r="I8" s="13" t="inlineStr">
        <is>
          <t>Horas Draft</t>
        </is>
      </c>
      <c r="L8" s="152">
        <f>D9</f>
        <v>1.5</v>
      </c>
    </row>
    <row r="9">
      <c r="B9" s="153" t="inlineStr">
        <is>
          <t>Draft</t>
        </is>
      </c>
      <c r="D9" s="14">
        <f>SUMIFS(R_Hval,R_St,"Draft")</f>
        <v>1.5</v>
      </c>
      <c r="E9" s="129">
        <f>SUMIFS(R_BlkV,R_St,"Draft")</f>
        <v>3</v>
      </c>
      <c r="F9" s="154">
        <f>SUMIFS(R_USD,R_St,"Draft")</f>
        <v>75</v>
      </c>
      <c r="G9" s="129">
        <f>COUNTIFS(R_St,"Draft")</f>
        <v>1</v>
      </c>
      <c r="I9" s="13" t="inlineStr">
        <is>
          <t>Horas Submitted</t>
        </is>
      </c>
      <c r="L9" s="152">
        <f>D10</f>
        <v>3</v>
      </c>
    </row>
    <row r="10">
      <c r="B10" s="155" t="inlineStr">
        <is>
          <t>Submitted</t>
        </is>
      </c>
      <c r="D10" s="14">
        <f>SUMIFS(R_Hval,R_St,"Submitted")</f>
        <v>3</v>
      </c>
      <c r="E10" s="129">
        <f>SUMIFS(R_BlkV,R_St,"Submitted")</f>
        <v>6</v>
      </c>
      <c r="F10" s="154">
        <f>SUMIFS(R_USD,R_St,"Submitted")</f>
        <v>150</v>
      </c>
      <c r="G10" s="129">
        <f>COUNTIFS(R_St,"Submitted")</f>
        <v>1</v>
      </c>
      <c r="I10" s="13" t="inlineStr">
        <is>
          <t>Horas Approved</t>
        </is>
      </c>
      <c r="L10" s="152">
        <f>D11</f>
        <v>6</v>
      </c>
    </row>
    <row r="11">
      <c r="B11" s="156" t="inlineStr">
        <is>
          <t>Approved</t>
        </is>
      </c>
      <c r="D11" s="14">
        <f>SUMIFS(R_Hval,R_St,"Approved")</f>
        <v>6</v>
      </c>
      <c r="E11" s="129">
        <f>SUMIFS(R_BlkV,R_St,"Approved")</f>
        <v>12</v>
      </c>
      <c r="F11" s="154">
        <f>SUMIFS(R_USD,R_St,"Approved")</f>
        <v>300</v>
      </c>
      <c r="G11" s="129">
        <f>COUNTIFS(R_St,"Approved")</f>
        <v>2</v>
      </c>
      <c r="I11" s="13" t="inlineStr">
        <is>
          <t>Horas Returned</t>
        </is>
      </c>
      <c r="L11" s="152">
        <f>D12</f>
        <v>0</v>
      </c>
    </row>
    <row r="12">
      <c r="B12" s="157" t="inlineStr">
        <is>
          <t>Returned</t>
        </is>
      </c>
      <c r="D12" s="14">
        <f>SUMIFS(R_Hval,R_St,"Returned")</f>
        <v>0</v>
      </c>
      <c r="E12" s="129">
        <f>SUMIFS(R_BlkV,R_St,"Returned")</f>
        <v>0</v>
      </c>
      <c r="F12" s="154">
        <f>SUMIFS(R_USD,R_St,"Returned")</f>
        <v>0</v>
      </c>
      <c r="G12" s="129">
        <f>COUNTIFS(R_St,"Returned")</f>
        <v>0</v>
      </c>
      <c r="I12" s="13" t="inlineStr">
        <is>
          <t>Horas Recall Requested</t>
        </is>
      </c>
      <c r="L12" s="152">
        <f>D13</f>
        <v>0</v>
      </c>
    </row>
    <row r="13">
      <c r="B13" s="158" t="inlineStr">
        <is>
          <t>Recall Requested</t>
        </is>
      </c>
      <c r="D13" s="14">
        <f>SUMIFS(R_Hval,R_St,"Recall Requested")</f>
        <v>0</v>
      </c>
      <c r="E13" s="129">
        <f>SUMIFS(R_BlkV,R_St,"Recall Requested")</f>
        <v>0</v>
      </c>
      <c r="F13" s="154">
        <f>SUMIFS(R_USD,R_St,"Recall Requested")</f>
        <v>0</v>
      </c>
      <c r="G13" s="129">
        <f>COUNTIFS(R_St,"Recall Requested")</f>
        <v>0</v>
      </c>
      <c r="I13" s="13" t="inlineStr">
        <is>
          <t>Horas Cancelled</t>
        </is>
      </c>
      <c r="L13" s="152">
        <f>D14</f>
        <v>0</v>
      </c>
    </row>
    <row r="14">
      <c r="B14" s="159" t="inlineStr">
        <is>
          <t>Cancelled</t>
        </is>
      </c>
      <c r="D14" s="14">
        <f>SUMIFS(R_Hval,R_St,"Cancelled")</f>
        <v>0</v>
      </c>
      <c r="E14" s="129">
        <f>SUMIFS(R_BlkV,R_St,"Cancelled")</f>
        <v>0</v>
      </c>
      <c r="F14" s="154" t="n">
        <v>0</v>
      </c>
      <c r="G14" s="129">
        <f>COUNTIFS(R_St,"Cancelled")</f>
        <v>0</v>
      </c>
      <c r="I14" s="13" t="inlineStr">
        <is>
          <t>Horas pendientes de envío (Draft + Returned)</t>
        </is>
      </c>
      <c r="L14" s="152">
        <f>D9+D12</f>
        <v>1.5</v>
      </c>
    </row>
    <row r="15">
      <c r="B15" s="160" t="inlineStr">
        <is>
          <t>TOTAL (sin Cancelled)</t>
        </is>
      </c>
      <c r="D15" s="161">
        <f>SUM(D9:D13)</f>
        <v>10.5</v>
      </c>
      <c r="E15" s="162">
        <f>SUM(E9:E13)</f>
        <v>21</v>
      </c>
      <c r="F15" s="163">
        <f>SUM(F9:F13)</f>
        <v>525</v>
      </c>
      <c r="G15" s="162">
        <f>SUM(G9:G13)</f>
        <v>4</v>
      </c>
      <c r="I15" s="13" t="inlineStr">
        <is>
          <t>Horas pendientes de aprobación (Submitted + Recall)</t>
        </is>
      </c>
      <c r="L15" s="152">
        <f>D10+D13</f>
        <v>3</v>
      </c>
    </row>
    <row r="16">
      <c r="I16" s="13" t="inlineStr">
        <is>
          <t>Bloques pendientes (envío + aprobación)</t>
        </is>
      </c>
      <c r="L16" s="164">
        <f>E9+E10+E12+E13</f>
        <v>9</v>
      </c>
    </row>
    <row r="17">
      <c r="I17" s="13" t="inlineStr">
        <is>
          <t>Bloques enviados (Submitted+Approved+Returned+Recall)</t>
        </is>
      </c>
      <c r="L17" s="164">
        <f>E10+E11+E12+E13</f>
        <v>18</v>
      </c>
    </row>
    <row r="18">
      <c r="I18" s="13" t="inlineStr">
        <is>
          <t>Bloques aprobados</t>
        </is>
      </c>
      <c r="L18" s="164">
        <f>E11</f>
        <v>12</v>
      </c>
    </row>
    <row r="19">
      <c r="I19" s="13" t="inlineStr">
        <is>
          <t>% aprobación</t>
        </is>
      </c>
      <c r="L19" s="165">
        <f>IFERROR(D11/(D11+D10+D12+D13),0)</f>
        <v>0.666666666666667</v>
      </c>
    </row>
    <row r="20">
      <c r="I20" s="13" t="inlineStr">
        <is>
          <t>Registros a revisar (inválidos)</t>
        </is>
      </c>
      <c r="L20" s="164">
        <f>COUNTIFS(R_Emp,"proMX",R_Used,1,R_Valid,0)</f>
        <v>0</v>
      </c>
    </row>
    <row r="23" ht="22" customHeight="1">
      <c r="B23" s="149" t="inlineStr">
        <is>
          <t>Horas proMX por mes y estado (por fecha de trabajo)</t>
        </is>
      </c>
      <c r="C23" s="150" t="n"/>
      <c r="D23" s="150" t="n"/>
      <c r="E23" s="150" t="n"/>
      <c r="F23" s="150" t="n"/>
      <c r="G23" s="150" t="n"/>
      <c r="H23" s="150" t="n"/>
      <c r="I23" s="150" t="n"/>
      <c r="J23" s="150" t="n"/>
      <c r="K23" s="150" t="n"/>
      <c r="L23" s="150" t="n"/>
    </row>
    <row r="24" ht="32" customHeight="1">
      <c r="B24" s="151" t="inlineStr">
        <is>
          <t>Mes</t>
        </is>
      </c>
      <c r="C24" s="138" t="n"/>
      <c r="D24" s="166" t="inlineStr">
        <is>
          <t>Draft</t>
        </is>
      </c>
      <c r="E24" s="167" t="inlineStr">
        <is>
          <t>Submitted</t>
        </is>
      </c>
      <c r="F24" s="168" t="inlineStr">
        <is>
          <t>Approved</t>
        </is>
      </c>
      <c r="G24" s="169" t="inlineStr">
        <is>
          <t>Returned</t>
        </is>
      </c>
      <c r="H24" s="170" t="inlineStr">
        <is>
          <t>Recall Req.</t>
        </is>
      </c>
      <c r="I24" s="171" t="inlineStr">
        <is>
          <t>Cancelled</t>
        </is>
      </c>
      <c r="J24" s="151" t="inlineStr">
        <is>
          <t>Total válido</t>
        </is>
      </c>
      <c r="K24" s="151" t="inlineStr">
        <is>
          <t>Bloques</t>
        </is>
      </c>
      <c r="L24" s="151" t="inlineStr">
        <is>
          <t>% aprob.</t>
        </is>
      </c>
    </row>
    <row r="25">
      <c r="B25" s="13" t="inlineStr">
        <is>
          <t>Octubre 2026</t>
        </is>
      </c>
      <c r="D25" s="14">
        <f>SUMIFS(R_Hval,R_St,"Draft",R_Fecha,"&gt;="&amp;DATE(2026,10,1),R_Fecha,"&lt;="&amp;DATE(2026,10,31))</f>
        <v>1.5</v>
      </c>
      <c r="E25" s="14">
        <f>SUMIFS(R_Hval,R_St,"Submitted",R_Fecha,"&gt;="&amp;DATE(2026,10,1),R_Fecha,"&lt;="&amp;DATE(2026,10,31))</f>
        <v>3</v>
      </c>
      <c r="F25" s="14">
        <f>SUMIFS(R_Hval,R_St,"Approved",R_Fecha,"&gt;="&amp;DATE(2026,10,1),R_Fecha,"&lt;="&amp;DATE(2026,10,31))</f>
        <v>6</v>
      </c>
      <c r="G25" s="14">
        <f>SUMIFS(R_Hval,R_St,"Returned",R_Fecha,"&gt;="&amp;DATE(2026,10,1),R_Fecha,"&lt;="&amp;DATE(2026,10,31))</f>
        <v>0</v>
      </c>
      <c r="H25" s="14">
        <f>SUMIFS(R_Hval,R_St,"Recall Requested",R_Fecha,"&gt;="&amp;DATE(2026,10,1),R_Fecha,"&lt;="&amp;DATE(2026,10,31))</f>
        <v>0</v>
      </c>
      <c r="I25" s="14">
        <f>SUMIFS(R_Hval,R_St,"Cancelled",R_Fecha,"&gt;="&amp;DATE(2026,10,1),R_Fecha,"&lt;="&amp;DATE(2026,10,31))</f>
        <v>0</v>
      </c>
      <c r="J25" s="152">
        <f>SUM(D25:H25)</f>
        <v>10.5</v>
      </c>
      <c r="K25" s="129">
        <f>SUMIFS(R_BlkV,R_Emp,"proMX",R_Fecha,"&gt;="&amp;DATE(2026,10,1),R_Fecha,"&lt;="&amp;DATE(2026,10,31))-SUMIFS(R_BlkV,R_St,"Cancelled",R_Fecha,"&gt;="&amp;DATE(2026,10,1),R_Fecha,"&lt;="&amp;DATE(2026,10,31))</f>
        <v>21</v>
      </c>
      <c r="L25" s="135">
        <f>IFERROR(F25/(F25+E25+G25+H25),0)</f>
        <v>0.666666666666667</v>
      </c>
    </row>
    <row r="26">
      <c r="B26" s="13" t="inlineStr">
        <is>
          <t>Noviembre 2026</t>
        </is>
      </c>
      <c r="D26" s="14">
        <f>SUMIFS(R_Hval,R_St,"Draft",R_Fecha,"&gt;="&amp;DATE(2026,11,1),R_Fecha,"&lt;="&amp;DATE(2026,11,30))</f>
        <v>0</v>
      </c>
      <c r="E26" s="14">
        <f>SUMIFS(R_Hval,R_St,"Submitted",R_Fecha,"&gt;="&amp;DATE(2026,11,1),R_Fecha,"&lt;="&amp;DATE(2026,11,30))</f>
        <v>0</v>
      </c>
      <c r="F26" s="14">
        <f>SUMIFS(R_Hval,R_St,"Approved",R_Fecha,"&gt;="&amp;DATE(2026,11,1),R_Fecha,"&lt;="&amp;DATE(2026,11,30))</f>
        <v>0</v>
      </c>
      <c r="G26" s="14">
        <f>SUMIFS(R_Hval,R_St,"Returned",R_Fecha,"&gt;="&amp;DATE(2026,11,1),R_Fecha,"&lt;="&amp;DATE(2026,11,30))</f>
        <v>0</v>
      </c>
      <c r="H26" s="14">
        <f>SUMIFS(R_Hval,R_St,"Recall Requested",R_Fecha,"&gt;="&amp;DATE(2026,11,1),R_Fecha,"&lt;="&amp;DATE(2026,11,30))</f>
        <v>0</v>
      </c>
      <c r="I26" s="14">
        <f>SUMIFS(R_Hval,R_St,"Cancelled",R_Fecha,"&gt;="&amp;DATE(2026,11,1),R_Fecha,"&lt;="&amp;DATE(2026,11,30))</f>
        <v>0</v>
      </c>
      <c r="J26" s="152">
        <f>SUM(D26:H26)</f>
        <v>0</v>
      </c>
      <c r="K26" s="129">
        <f>SUMIFS(R_BlkV,R_Emp,"proMX",R_Fecha,"&gt;="&amp;DATE(2026,11,1),R_Fecha,"&lt;="&amp;DATE(2026,11,30))-SUMIFS(R_BlkV,R_St,"Cancelled",R_Fecha,"&gt;="&amp;DATE(2026,11,1),R_Fecha,"&lt;="&amp;DATE(2026,11,30))</f>
        <v>0</v>
      </c>
      <c r="L26" s="135">
        <f>IFERROR(F26/(F26+E26+G26+H26),0)</f>
        <v>0</v>
      </c>
    </row>
    <row r="27">
      <c r="B27" s="13" t="inlineStr">
        <is>
          <t>Diciembre 2026</t>
        </is>
      </c>
      <c r="D27" s="14">
        <f>SUMIFS(R_Hval,R_St,"Draft",R_Fecha,"&gt;="&amp;DATE(2026,12,1),R_Fecha,"&lt;="&amp;DATE(2026,12,31))</f>
        <v>0</v>
      </c>
      <c r="E27" s="14">
        <f>SUMIFS(R_Hval,R_St,"Submitted",R_Fecha,"&gt;="&amp;DATE(2026,12,1),R_Fecha,"&lt;="&amp;DATE(2026,12,31))</f>
        <v>0</v>
      </c>
      <c r="F27" s="14">
        <f>SUMIFS(R_Hval,R_St,"Approved",R_Fecha,"&gt;="&amp;DATE(2026,12,1),R_Fecha,"&lt;="&amp;DATE(2026,12,31))</f>
        <v>0</v>
      </c>
      <c r="G27" s="14">
        <f>SUMIFS(R_Hval,R_St,"Returned",R_Fecha,"&gt;="&amp;DATE(2026,12,1),R_Fecha,"&lt;="&amp;DATE(2026,12,31))</f>
        <v>0</v>
      </c>
      <c r="H27" s="14">
        <f>SUMIFS(R_Hval,R_St,"Recall Requested",R_Fecha,"&gt;="&amp;DATE(2026,12,1),R_Fecha,"&lt;="&amp;DATE(2026,12,31))</f>
        <v>0</v>
      </c>
      <c r="I27" s="14">
        <f>SUMIFS(R_Hval,R_St,"Cancelled",R_Fecha,"&gt;="&amp;DATE(2026,12,1),R_Fecha,"&lt;="&amp;DATE(2026,12,31))</f>
        <v>0</v>
      </c>
      <c r="J27" s="152">
        <f>SUM(D27:H27)</f>
        <v>0</v>
      </c>
      <c r="K27" s="129">
        <f>SUMIFS(R_BlkV,R_Emp,"proMX",R_Fecha,"&gt;="&amp;DATE(2026,12,1),R_Fecha,"&lt;="&amp;DATE(2026,12,31))-SUMIFS(R_BlkV,R_St,"Cancelled",R_Fecha,"&gt;="&amp;DATE(2026,12,1),R_Fecha,"&lt;="&amp;DATE(2026,12,31))</f>
        <v>0</v>
      </c>
      <c r="L27" s="135">
        <f>IFERROR(F27/(F27+E27+G27+H27),0)</f>
        <v>0</v>
      </c>
    </row>
    <row r="29" ht="22" customHeight="1">
      <c r="B29" s="149" t="inlineStr">
        <is>
          <t>Pendientes (Draft, Submitted, Returned, Recall Requested) — antigüedad desde la fecha de envío</t>
        </is>
      </c>
      <c r="C29" s="150" t="n"/>
      <c r="D29" s="150" t="n"/>
      <c r="E29" s="150" t="n"/>
      <c r="F29" s="150" t="n"/>
      <c r="G29" s="150" t="n"/>
      <c r="H29" s="150" t="n"/>
      <c r="I29" s="150" t="n"/>
      <c r="J29" s="150" t="n"/>
      <c r="K29" s="150" t="n"/>
      <c r="L29" s="150" t="n"/>
      <c r="M29" s="150" t="n"/>
    </row>
    <row r="30" ht="32" customHeight="1">
      <c r="B30" s="151" t="inlineStr">
        <is>
          <t>ID</t>
        </is>
      </c>
      <c r="C30" s="151" t="inlineStr">
        <is>
          <t>Fecha</t>
        </is>
      </c>
      <c r="D30" s="151" t="inlineStr">
        <is>
          <t>Proyecto</t>
        </is>
      </c>
      <c r="E30" s="151" t="inlineStr">
        <is>
          <t>Task ID</t>
        </is>
      </c>
      <c r="F30" s="151" t="inlineStr">
        <is>
          <t>Descripción</t>
        </is>
      </c>
      <c r="G30" s="151" t="inlineStr">
        <is>
          <t>Horas</t>
        </is>
      </c>
      <c r="H30" s="151" t="inlineStr">
        <is>
          <t>Bloques</t>
        </is>
      </c>
      <c r="I30" s="151" t="inlineStr">
        <is>
          <t>Estado</t>
        </is>
      </c>
      <c r="J30" s="151" t="inlineStr">
        <is>
          <t>Fecha envío</t>
        </is>
      </c>
      <c r="K30" s="151" t="inlineStr">
        <is>
          <t>Fecha aprob.</t>
        </is>
      </c>
      <c r="L30" s="151" t="inlineStr">
        <is>
          <t>Antigüedad</t>
        </is>
      </c>
      <c r="M30" s="151" t="inlineStr">
        <is>
          <t>Alerta</t>
        </is>
      </c>
    </row>
    <row r="31">
      <c r="B31" s="172">
        <f>IF($O31="","",INDEX(R_ID,$O31))</f>
        <v>3</v>
      </c>
      <c r="C31" s="126">
        <f>IF($O31="","",INDEX(R_Fecha,$O31))</f>
        <v>46297.0</v>
      </c>
      <c r="D31" s="95" t="str">
        <f>IF($O31="","",INDEX(R_Proy,$O31)&amp;"")</f>
        <v>Portal Cliente</v>
      </c>
      <c r="E31" s="95" t="str">
        <f>IF($O31="","",INDEX(R_Task,$O31)&amp;"")</f>
        <v>PMX-202</v>
      </c>
      <c r="F31" s="173" t="str">
        <f>IF($O31="","",INDEX(R_Desc,$O31)&amp;"")</f>
        <v>[EJEMPLO] Implementación</v>
      </c>
      <c r="G31" s="127">
        <f>IF($O31="","",INDEX(R_Hval,$O31))</f>
        <v>3</v>
      </c>
      <c r="H31" s="172">
        <f>IF($O31="","",INDEX(R_BlkV,$O31))</f>
        <v>6</v>
      </c>
      <c r="I31" s="95" t="str">
        <f>IF($O31="","",INDEX(R_St,$O31))</f>
        <v>Submitted</v>
      </c>
      <c r="J31" s="126">
        <f>IF($O31="","",IF(INDEX(R_FEnv,$O31)="","",INDEX(R_FEnv,$O31)))</f>
        <v>46297.0</v>
      </c>
      <c r="K31" s="126" t="str">
        <f>IF($O31="","",IF(INDEX(R_FApr,$O31)="","",INDEX(R_FApr,$O31)))</f>
        <v/>
      </c>
      <c r="L31" s="172">
        <f>IF($O31="","",IF(INDEX(R_Age,$O31)="","",INDEX(R_Age,$O31)))</f>
        <v>11</v>
      </c>
      <c r="M31" s="173" t="str">
        <f>IF($O31="","",INDEX(R_Alert,$O31)&amp;"")</f>
        <v>⚠ 11 días en Submitted (máx. 7)</v>
      </c>
      <c r="O31">
        <f>IFERROR(MATCH(1,R_PendSeq,0),"")</f>
        <v>3</v>
      </c>
    </row>
    <row r="32">
      <c r="B32" s="172">
        <f>IF($O32="","",INDEX(R_ID,$O32))</f>
        <v>7</v>
      </c>
      <c r="C32" s="126">
        <f>IF($O32="","",INDEX(R_Fecha,$O32))</f>
        <v>46301.0</v>
      </c>
      <c r="D32" s="95" t="str">
        <f>IF($O32="","",INDEX(R_Proy,$O32)&amp;"")</f>
        <v>Portal Cliente</v>
      </c>
      <c r="E32" s="95" t="str">
        <f>IF($O32="","",INDEX(R_Task,$O32)&amp;"")</f>
        <v>PMX-201</v>
      </c>
      <c r="F32" s="173" t="str">
        <f>IF($O32="","",INDEX(R_Desc,$O32)&amp;"")</f>
        <v>[EJEMPLO] Corrección de bugs</v>
      </c>
      <c r="G32" s="127">
        <f>IF($O32="","",INDEX(R_Hval,$O32))</f>
        <v>1.5</v>
      </c>
      <c r="H32" s="172">
        <f>IF($O32="","",INDEX(R_BlkV,$O32))</f>
        <v>3</v>
      </c>
      <c r="I32" s="95" t="str">
        <f>IF($O32="","",INDEX(R_St,$O32))</f>
        <v>Draft</v>
      </c>
      <c r="J32" s="126" t="str">
        <f>IF($O32="","",IF(INDEX(R_FEnv,$O32)="","",INDEX(R_FEnv,$O32)))</f>
        <v/>
      </c>
      <c r="K32" s="126" t="str">
        <f>IF($O32="","",IF(INDEX(R_FApr,$O32)="","",INDEX(R_FApr,$O32)))</f>
        <v/>
      </c>
      <c r="L32" s="172" t="str">
        <f>IF($O32="","",IF(INDEX(R_Age,$O32)="","",INDEX(R_Age,$O32)))</f>
        <v/>
      </c>
      <c r="M32" s="173" t="str">
        <f>IF($O32="","",INDEX(R_Alert,$O32)&amp;"")</f>
        <v/>
      </c>
      <c r="O32">
        <f>IFERROR(MATCH(2,R_PendSeq,0),"")</f>
        <v>7</v>
      </c>
    </row>
    <row r="33">
      <c r="B33" s="172" t="str">
        <f>IF($O33="","",INDEX(R_ID,$O33))</f>
        <v/>
      </c>
      <c r="C33" s="126" t="str">
        <f>IF($O33="","",INDEX(R_Fecha,$O33))</f>
        <v/>
      </c>
      <c r="D33" s="95" t="str">
        <f>IF($O33="","",INDEX(R_Proy,$O33)&amp;"")</f>
        <v/>
      </c>
      <c r="E33" s="95" t="str">
        <f>IF($O33="","",INDEX(R_Task,$O33)&amp;"")</f>
        <v/>
      </c>
      <c r="F33" s="173" t="str">
        <f>IF($O33="","",INDEX(R_Desc,$O33)&amp;"")</f>
        <v/>
      </c>
      <c r="G33" s="127" t="str">
        <f>IF($O33="","",INDEX(R_Hval,$O33))</f>
        <v/>
      </c>
      <c r="H33" s="172" t="str">
        <f>IF($O33="","",INDEX(R_BlkV,$O33))</f>
        <v/>
      </c>
      <c r="I33" s="95" t="str">
        <f>IF($O33="","",INDEX(R_St,$O33))</f>
        <v/>
      </c>
      <c r="J33" s="126" t="str">
        <f>IF($O33="","",IF(INDEX(R_FEnv,$O33)="","",INDEX(R_FEnv,$O33)))</f>
        <v/>
      </c>
      <c r="K33" s="126" t="str">
        <f>IF($O33="","",IF(INDEX(R_FApr,$O33)="","",INDEX(R_FApr,$O33)))</f>
        <v/>
      </c>
      <c r="L33" s="172" t="str">
        <f>IF($O33="","",IF(INDEX(R_Age,$O33)="","",INDEX(R_Age,$O33)))</f>
        <v/>
      </c>
      <c r="M33" s="173" t="str">
        <f>IF($O33="","",INDEX(R_Alert,$O33)&amp;"")</f>
        <v/>
      </c>
      <c r="O33" t="str">
        <f>IFERROR(MATCH(3,R_PendSeq,0),"")</f>
        <v/>
      </c>
    </row>
    <row r="34">
      <c r="B34" s="172" t="str">
        <f>IF($O34="","",INDEX(R_ID,$O34))</f>
        <v/>
      </c>
      <c r="C34" s="126" t="str">
        <f>IF($O34="","",INDEX(R_Fecha,$O34))</f>
        <v/>
      </c>
      <c r="D34" s="95" t="str">
        <f>IF($O34="","",INDEX(R_Proy,$O34)&amp;"")</f>
        <v/>
      </c>
      <c r="E34" s="95" t="str">
        <f>IF($O34="","",INDEX(R_Task,$O34)&amp;"")</f>
        <v/>
      </c>
      <c r="F34" s="173" t="str">
        <f>IF($O34="","",INDEX(R_Desc,$O34)&amp;"")</f>
        <v/>
      </c>
      <c r="G34" s="127" t="str">
        <f>IF($O34="","",INDEX(R_Hval,$O34))</f>
        <v/>
      </c>
      <c r="H34" s="172" t="str">
        <f>IF($O34="","",INDEX(R_BlkV,$O34))</f>
        <v/>
      </c>
      <c r="I34" s="95" t="str">
        <f>IF($O34="","",INDEX(R_St,$O34))</f>
        <v/>
      </c>
      <c r="J34" s="126" t="str">
        <f>IF($O34="","",IF(INDEX(R_FEnv,$O34)="","",INDEX(R_FEnv,$O34)))</f>
        <v/>
      </c>
      <c r="K34" s="126" t="str">
        <f>IF($O34="","",IF(INDEX(R_FApr,$O34)="","",INDEX(R_FApr,$O34)))</f>
        <v/>
      </c>
      <c r="L34" s="172" t="str">
        <f>IF($O34="","",IF(INDEX(R_Age,$O34)="","",INDEX(R_Age,$O34)))</f>
        <v/>
      </c>
      <c r="M34" s="173" t="str">
        <f>IF($O34="","",INDEX(R_Alert,$O34)&amp;"")</f>
        <v/>
      </c>
      <c r="O34" t="str">
        <f>IFERROR(MATCH(4,R_PendSeq,0),"")</f>
        <v/>
      </c>
    </row>
    <row r="35">
      <c r="B35" s="172" t="str">
        <f>IF($O35="","",INDEX(R_ID,$O35))</f>
        <v/>
      </c>
      <c r="C35" s="126" t="str">
        <f>IF($O35="","",INDEX(R_Fecha,$O35))</f>
        <v/>
      </c>
      <c r="D35" s="95" t="str">
        <f>IF($O35="","",INDEX(R_Proy,$O35)&amp;"")</f>
        <v/>
      </c>
      <c r="E35" s="95" t="str">
        <f>IF($O35="","",INDEX(R_Task,$O35)&amp;"")</f>
        <v/>
      </c>
      <c r="F35" s="173" t="str">
        <f>IF($O35="","",INDEX(R_Desc,$O35)&amp;"")</f>
        <v/>
      </c>
      <c r="G35" s="127" t="str">
        <f>IF($O35="","",INDEX(R_Hval,$O35))</f>
        <v/>
      </c>
      <c r="H35" s="172" t="str">
        <f>IF($O35="","",INDEX(R_BlkV,$O35))</f>
        <v/>
      </c>
      <c r="I35" s="95" t="str">
        <f>IF($O35="","",INDEX(R_St,$O35))</f>
        <v/>
      </c>
      <c r="J35" s="126" t="str">
        <f>IF($O35="","",IF(INDEX(R_FEnv,$O35)="","",INDEX(R_FEnv,$O35)))</f>
        <v/>
      </c>
      <c r="K35" s="126" t="str">
        <f>IF($O35="","",IF(INDEX(R_FApr,$O35)="","",INDEX(R_FApr,$O35)))</f>
        <v/>
      </c>
      <c r="L35" s="172" t="str">
        <f>IF($O35="","",IF(INDEX(R_Age,$O35)="","",INDEX(R_Age,$O35)))</f>
        <v/>
      </c>
      <c r="M35" s="173" t="str">
        <f>IF($O35="","",INDEX(R_Alert,$O35)&amp;"")</f>
        <v/>
      </c>
      <c r="O35" t="str">
        <f>IFERROR(MATCH(5,R_PendSeq,0),"")</f>
        <v/>
      </c>
    </row>
    <row r="36">
      <c r="B36" s="172" t="str">
        <f>IF($O36="","",INDEX(R_ID,$O36))</f>
        <v/>
      </c>
      <c r="C36" s="126" t="str">
        <f>IF($O36="","",INDEX(R_Fecha,$O36))</f>
        <v/>
      </c>
      <c r="D36" s="95" t="str">
        <f>IF($O36="","",INDEX(R_Proy,$O36)&amp;"")</f>
        <v/>
      </c>
      <c r="E36" s="95" t="str">
        <f>IF($O36="","",INDEX(R_Task,$O36)&amp;"")</f>
        <v/>
      </c>
      <c r="F36" s="173" t="str">
        <f>IF($O36="","",INDEX(R_Desc,$O36)&amp;"")</f>
        <v/>
      </c>
      <c r="G36" s="127" t="str">
        <f>IF($O36="","",INDEX(R_Hval,$O36))</f>
        <v/>
      </c>
      <c r="H36" s="172" t="str">
        <f>IF($O36="","",INDEX(R_BlkV,$O36))</f>
        <v/>
      </c>
      <c r="I36" s="95" t="str">
        <f>IF($O36="","",INDEX(R_St,$O36))</f>
        <v/>
      </c>
      <c r="J36" s="126" t="str">
        <f>IF($O36="","",IF(INDEX(R_FEnv,$O36)="","",INDEX(R_FEnv,$O36)))</f>
        <v/>
      </c>
      <c r="K36" s="126" t="str">
        <f>IF($O36="","",IF(INDEX(R_FApr,$O36)="","",INDEX(R_FApr,$O36)))</f>
        <v/>
      </c>
      <c r="L36" s="172" t="str">
        <f>IF($O36="","",IF(INDEX(R_Age,$O36)="","",INDEX(R_Age,$O36)))</f>
        <v/>
      </c>
      <c r="M36" s="173" t="str">
        <f>IF($O36="","",INDEX(R_Alert,$O36)&amp;"")</f>
        <v/>
      </c>
      <c r="O36" t="str">
        <f>IFERROR(MATCH(6,R_PendSeq,0),"")</f>
        <v/>
      </c>
    </row>
    <row r="37">
      <c r="B37" s="172" t="str">
        <f>IF($O37="","",INDEX(R_ID,$O37))</f>
        <v/>
      </c>
      <c r="C37" s="126" t="str">
        <f>IF($O37="","",INDEX(R_Fecha,$O37))</f>
        <v/>
      </c>
      <c r="D37" s="95" t="str">
        <f>IF($O37="","",INDEX(R_Proy,$O37)&amp;"")</f>
        <v/>
      </c>
      <c r="E37" s="95" t="str">
        <f>IF($O37="","",INDEX(R_Task,$O37)&amp;"")</f>
        <v/>
      </c>
      <c r="F37" s="173" t="str">
        <f>IF($O37="","",INDEX(R_Desc,$O37)&amp;"")</f>
        <v/>
      </c>
      <c r="G37" s="127" t="str">
        <f>IF($O37="","",INDEX(R_Hval,$O37))</f>
        <v/>
      </c>
      <c r="H37" s="172" t="str">
        <f>IF($O37="","",INDEX(R_BlkV,$O37))</f>
        <v/>
      </c>
      <c r="I37" s="95" t="str">
        <f>IF($O37="","",INDEX(R_St,$O37))</f>
        <v/>
      </c>
      <c r="J37" s="126" t="str">
        <f>IF($O37="","",IF(INDEX(R_FEnv,$O37)="","",INDEX(R_FEnv,$O37)))</f>
        <v/>
      </c>
      <c r="K37" s="126" t="str">
        <f>IF($O37="","",IF(INDEX(R_FApr,$O37)="","",INDEX(R_FApr,$O37)))</f>
        <v/>
      </c>
      <c r="L37" s="172" t="str">
        <f>IF($O37="","",IF(INDEX(R_Age,$O37)="","",INDEX(R_Age,$O37)))</f>
        <v/>
      </c>
      <c r="M37" s="173" t="str">
        <f>IF($O37="","",INDEX(R_Alert,$O37)&amp;"")</f>
        <v/>
      </c>
      <c r="O37" t="str">
        <f>IFERROR(MATCH(7,R_PendSeq,0),"")</f>
        <v/>
      </c>
    </row>
    <row r="38">
      <c r="B38" s="172" t="str">
        <f>IF($O38="","",INDEX(R_ID,$O38))</f>
        <v/>
      </c>
      <c r="C38" s="126" t="str">
        <f>IF($O38="","",INDEX(R_Fecha,$O38))</f>
        <v/>
      </c>
      <c r="D38" s="95" t="str">
        <f>IF($O38="","",INDEX(R_Proy,$O38)&amp;"")</f>
        <v/>
      </c>
      <c r="E38" s="95" t="str">
        <f>IF($O38="","",INDEX(R_Task,$O38)&amp;"")</f>
        <v/>
      </c>
      <c r="F38" s="173" t="str">
        <f>IF($O38="","",INDEX(R_Desc,$O38)&amp;"")</f>
        <v/>
      </c>
      <c r="G38" s="127" t="str">
        <f>IF($O38="","",INDEX(R_Hval,$O38))</f>
        <v/>
      </c>
      <c r="H38" s="172" t="str">
        <f>IF($O38="","",INDEX(R_BlkV,$O38))</f>
        <v/>
      </c>
      <c r="I38" s="95" t="str">
        <f>IF($O38="","",INDEX(R_St,$O38))</f>
        <v/>
      </c>
      <c r="J38" s="126" t="str">
        <f>IF($O38="","",IF(INDEX(R_FEnv,$O38)="","",INDEX(R_FEnv,$O38)))</f>
        <v/>
      </c>
      <c r="K38" s="126" t="str">
        <f>IF($O38="","",IF(INDEX(R_FApr,$O38)="","",INDEX(R_FApr,$O38)))</f>
        <v/>
      </c>
      <c r="L38" s="172" t="str">
        <f>IF($O38="","",IF(INDEX(R_Age,$O38)="","",INDEX(R_Age,$O38)))</f>
        <v/>
      </c>
      <c r="M38" s="173" t="str">
        <f>IF($O38="","",INDEX(R_Alert,$O38)&amp;"")</f>
        <v/>
      </c>
      <c r="O38" t="str">
        <f>IFERROR(MATCH(8,R_PendSeq,0),"")</f>
        <v/>
      </c>
    </row>
    <row r="39">
      <c r="B39" s="172" t="str">
        <f>IF($O39="","",INDEX(R_ID,$O39))</f>
        <v/>
      </c>
      <c r="C39" s="126" t="str">
        <f>IF($O39="","",INDEX(R_Fecha,$O39))</f>
        <v/>
      </c>
      <c r="D39" s="95" t="str">
        <f>IF($O39="","",INDEX(R_Proy,$O39)&amp;"")</f>
        <v/>
      </c>
      <c r="E39" s="95" t="str">
        <f>IF($O39="","",INDEX(R_Task,$O39)&amp;"")</f>
        <v/>
      </c>
      <c r="F39" s="173" t="str">
        <f>IF($O39="","",INDEX(R_Desc,$O39)&amp;"")</f>
        <v/>
      </c>
      <c r="G39" s="127" t="str">
        <f>IF($O39="","",INDEX(R_Hval,$O39))</f>
        <v/>
      </c>
      <c r="H39" s="172" t="str">
        <f>IF($O39="","",INDEX(R_BlkV,$O39))</f>
        <v/>
      </c>
      <c r="I39" s="95" t="str">
        <f>IF($O39="","",INDEX(R_St,$O39))</f>
        <v/>
      </c>
      <c r="J39" s="126" t="str">
        <f>IF($O39="","",IF(INDEX(R_FEnv,$O39)="","",INDEX(R_FEnv,$O39)))</f>
        <v/>
      </c>
      <c r="K39" s="126" t="str">
        <f>IF($O39="","",IF(INDEX(R_FApr,$O39)="","",INDEX(R_FApr,$O39)))</f>
        <v/>
      </c>
      <c r="L39" s="172" t="str">
        <f>IF($O39="","",IF(INDEX(R_Age,$O39)="","",INDEX(R_Age,$O39)))</f>
        <v/>
      </c>
      <c r="M39" s="173" t="str">
        <f>IF($O39="","",INDEX(R_Alert,$O39)&amp;"")</f>
        <v/>
      </c>
      <c r="O39" t="str">
        <f>IFERROR(MATCH(9,R_PendSeq,0),"")</f>
        <v/>
      </c>
    </row>
    <row r="40">
      <c r="B40" s="172" t="str">
        <f>IF($O40="","",INDEX(R_ID,$O40))</f>
        <v/>
      </c>
      <c r="C40" s="126" t="str">
        <f>IF($O40="","",INDEX(R_Fecha,$O40))</f>
        <v/>
      </c>
      <c r="D40" s="95" t="str">
        <f>IF($O40="","",INDEX(R_Proy,$O40)&amp;"")</f>
        <v/>
      </c>
      <c r="E40" s="95" t="str">
        <f>IF($O40="","",INDEX(R_Task,$O40)&amp;"")</f>
        <v/>
      </c>
      <c r="F40" s="173" t="str">
        <f>IF($O40="","",INDEX(R_Desc,$O40)&amp;"")</f>
        <v/>
      </c>
      <c r="G40" s="127" t="str">
        <f>IF($O40="","",INDEX(R_Hval,$O40))</f>
        <v/>
      </c>
      <c r="H40" s="172" t="str">
        <f>IF($O40="","",INDEX(R_BlkV,$O40))</f>
        <v/>
      </c>
      <c r="I40" s="95" t="str">
        <f>IF($O40="","",INDEX(R_St,$O40))</f>
        <v/>
      </c>
      <c r="J40" s="126" t="str">
        <f>IF($O40="","",IF(INDEX(R_FEnv,$O40)="","",INDEX(R_FEnv,$O40)))</f>
        <v/>
      </c>
      <c r="K40" s="126" t="str">
        <f>IF($O40="","",IF(INDEX(R_FApr,$O40)="","",INDEX(R_FApr,$O40)))</f>
        <v/>
      </c>
      <c r="L40" s="172" t="str">
        <f>IF($O40="","",IF(INDEX(R_Age,$O40)="","",INDEX(R_Age,$O40)))</f>
        <v/>
      </c>
      <c r="M40" s="173" t="str">
        <f>IF($O40="","",INDEX(R_Alert,$O40)&amp;"")</f>
        <v/>
      </c>
      <c r="O40" t="str">
        <f>IFERROR(MATCH(10,R_PendSeq,0),"")</f>
        <v/>
      </c>
    </row>
    <row r="41">
      <c r="B41" s="172" t="str">
        <f>IF($O41="","",INDEX(R_ID,$O41))</f>
        <v/>
      </c>
      <c r="C41" s="126" t="str">
        <f>IF($O41="","",INDEX(R_Fecha,$O41))</f>
        <v/>
      </c>
      <c r="D41" s="95" t="str">
        <f>IF($O41="","",INDEX(R_Proy,$O41)&amp;"")</f>
        <v/>
      </c>
      <c r="E41" s="95" t="str">
        <f>IF($O41="","",INDEX(R_Task,$O41)&amp;"")</f>
        <v/>
      </c>
      <c r="F41" s="173" t="str">
        <f>IF($O41="","",INDEX(R_Desc,$O41)&amp;"")</f>
        <v/>
      </c>
      <c r="G41" s="127" t="str">
        <f>IF($O41="","",INDEX(R_Hval,$O41))</f>
        <v/>
      </c>
      <c r="H41" s="172" t="str">
        <f>IF($O41="","",INDEX(R_BlkV,$O41))</f>
        <v/>
      </c>
      <c r="I41" s="95" t="str">
        <f>IF($O41="","",INDEX(R_St,$O41))</f>
        <v/>
      </c>
      <c r="J41" s="126" t="str">
        <f>IF($O41="","",IF(INDEX(R_FEnv,$O41)="","",INDEX(R_FEnv,$O41)))</f>
        <v/>
      </c>
      <c r="K41" s="126" t="str">
        <f>IF($O41="","",IF(INDEX(R_FApr,$O41)="","",INDEX(R_FApr,$O41)))</f>
        <v/>
      </c>
      <c r="L41" s="172" t="str">
        <f>IF($O41="","",IF(INDEX(R_Age,$O41)="","",INDEX(R_Age,$O41)))</f>
        <v/>
      </c>
      <c r="M41" s="173" t="str">
        <f>IF($O41="","",INDEX(R_Alert,$O41)&amp;"")</f>
        <v/>
      </c>
      <c r="O41" t="str">
        <f>IFERROR(MATCH(11,R_PendSeq,0),"")</f>
        <v/>
      </c>
    </row>
    <row r="42">
      <c r="B42" s="172" t="str">
        <f>IF($O42="","",INDEX(R_ID,$O42))</f>
        <v/>
      </c>
      <c r="C42" s="126" t="str">
        <f>IF($O42="","",INDEX(R_Fecha,$O42))</f>
        <v/>
      </c>
      <c r="D42" s="95" t="str">
        <f>IF($O42="","",INDEX(R_Proy,$O42)&amp;"")</f>
        <v/>
      </c>
      <c r="E42" s="95" t="str">
        <f>IF($O42="","",INDEX(R_Task,$O42)&amp;"")</f>
        <v/>
      </c>
      <c r="F42" s="173" t="str">
        <f>IF($O42="","",INDEX(R_Desc,$O42)&amp;"")</f>
        <v/>
      </c>
      <c r="G42" s="127" t="str">
        <f>IF($O42="","",INDEX(R_Hval,$O42))</f>
        <v/>
      </c>
      <c r="H42" s="172" t="str">
        <f>IF($O42="","",INDEX(R_BlkV,$O42))</f>
        <v/>
      </c>
      <c r="I42" s="95" t="str">
        <f>IF($O42="","",INDEX(R_St,$O42))</f>
        <v/>
      </c>
      <c r="J42" s="126" t="str">
        <f>IF($O42="","",IF(INDEX(R_FEnv,$O42)="","",INDEX(R_FEnv,$O42)))</f>
        <v/>
      </c>
      <c r="K42" s="126" t="str">
        <f>IF($O42="","",IF(INDEX(R_FApr,$O42)="","",INDEX(R_FApr,$O42)))</f>
        <v/>
      </c>
      <c r="L42" s="172" t="str">
        <f>IF($O42="","",IF(INDEX(R_Age,$O42)="","",INDEX(R_Age,$O42)))</f>
        <v/>
      </c>
      <c r="M42" s="173" t="str">
        <f>IF($O42="","",INDEX(R_Alert,$O42)&amp;"")</f>
        <v/>
      </c>
      <c r="O42" t="str">
        <f>IFERROR(MATCH(12,R_PendSeq,0),"")</f>
        <v/>
      </c>
    </row>
    <row r="43">
      <c r="B43" s="172" t="str">
        <f>IF($O43="","",INDEX(R_ID,$O43))</f>
        <v/>
      </c>
      <c r="C43" s="126" t="str">
        <f>IF($O43="","",INDEX(R_Fecha,$O43))</f>
        <v/>
      </c>
      <c r="D43" s="95" t="str">
        <f>IF($O43="","",INDEX(R_Proy,$O43)&amp;"")</f>
        <v/>
      </c>
      <c r="E43" s="95" t="str">
        <f>IF($O43="","",INDEX(R_Task,$O43)&amp;"")</f>
        <v/>
      </c>
      <c r="F43" s="173" t="str">
        <f>IF($O43="","",INDEX(R_Desc,$O43)&amp;"")</f>
        <v/>
      </c>
      <c r="G43" s="127" t="str">
        <f>IF($O43="","",INDEX(R_Hval,$O43))</f>
        <v/>
      </c>
      <c r="H43" s="172" t="str">
        <f>IF($O43="","",INDEX(R_BlkV,$O43))</f>
        <v/>
      </c>
      <c r="I43" s="95" t="str">
        <f>IF($O43="","",INDEX(R_St,$O43))</f>
        <v/>
      </c>
      <c r="J43" s="126" t="str">
        <f>IF($O43="","",IF(INDEX(R_FEnv,$O43)="","",INDEX(R_FEnv,$O43)))</f>
        <v/>
      </c>
      <c r="K43" s="126" t="str">
        <f>IF($O43="","",IF(INDEX(R_FApr,$O43)="","",INDEX(R_FApr,$O43)))</f>
        <v/>
      </c>
      <c r="L43" s="172" t="str">
        <f>IF($O43="","",IF(INDEX(R_Age,$O43)="","",INDEX(R_Age,$O43)))</f>
        <v/>
      </c>
      <c r="M43" s="173" t="str">
        <f>IF($O43="","",INDEX(R_Alert,$O43)&amp;"")</f>
        <v/>
      </c>
      <c r="O43" t="str">
        <f>IFERROR(MATCH(13,R_PendSeq,0),"")</f>
        <v/>
      </c>
    </row>
    <row r="44">
      <c r="B44" s="172" t="str">
        <f>IF($O44="","",INDEX(R_ID,$O44))</f>
        <v/>
      </c>
      <c r="C44" s="126" t="str">
        <f>IF($O44="","",INDEX(R_Fecha,$O44))</f>
        <v/>
      </c>
      <c r="D44" s="95" t="str">
        <f>IF($O44="","",INDEX(R_Proy,$O44)&amp;"")</f>
        <v/>
      </c>
      <c r="E44" s="95" t="str">
        <f>IF($O44="","",INDEX(R_Task,$O44)&amp;"")</f>
        <v/>
      </c>
      <c r="F44" s="173" t="str">
        <f>IF($O44="","",INDEX(R_Desc,$O44)&amp;"")</f>
        <v/>
      </c>
      <c r="G44" s="127" t="str">
        <f>IF($O44="","",INDEX(R_Hval,$O44))</f>
        <v/>
      </c>
      <c r="H44" s="172" t="str">
        <f>IF($O44="","",INDEX(R_BlkV,$O44))</f>
        <v/>
      </c>
      <c r="I44" s="95" t="str">
        <f>IF($O44="","",INDEX(R_St,$O44))</f>
        <v/>
      </c>
      <c r="J44" s="126" t="str">
        <f>IF($O44="","",IF(INDEX(R_FEnv,$O44)="","",INDEX(R_FEnv,$O44)))</f>
        <v/>
      </c>
      <c r="K44" s="126" t="str">
        <f>IF($O44="","",IF(INDEX(R_FApr,$O44)="","",INDEX(R_FApr,$O44)))</f>
        <v/>
      </c>
      <c r="L44" s="172" t="str">
        <f>IF($O44="","",IF(INDEX(R_Age,$O44)="","",INDEX(R_Age,$O44)))</f>
        <v/>
      </c>
      <c r="M44" s="173" t="str">
        <f>IF($O44="","",INDEX(R_Alert,$O44)&amp;"")</f>
        <v/>
      </c>
      <c r="O44" t="str">
        <f>IFERROR(MATCH(14,R_PendSeq,0),"")</f>
        <v/>
      </c>
    </row>
    <row r="45">
      <c r="B45" s="172" t="str">
        <f>IF($O45="","",INDEX(R_ID,$O45))</f>
        <v/>
      </c>
      <c r="C45" s="126" t="str">
        <f>IF($O45="","",INDEX(R_Fecha,$O45))</f>
        <v/>
      </c>
      <c r="D45" s="95" t="str">
        <f>IF($O45="","",INDEX(R_Proy,$O45)&amp;"")</f>
        <v/>
      </c>
      <c r="E45" s="95" t="str">
        <f>IF($O45="","",INDEX(R_Task,$O45)&amp;"")</f>
        <v/>
      </c>
      <c r="F45" s="173" t="str">
        <f>IF($O45="","",INDEX(R_Desc,$O45)&amp;"")</f>
        <v/>
      </c>
      <c r="G45" s="127" t="str">
        <f>IF($O45="","",INDEX(R_Hval,$O45))</f>
        <v/>
      </c>
      <c r="H45" s="172" t="str">
        <f>IF($O45="","",INDEX(R_BlkV,$O45))</f>
        <v/>
      </c>
      <c r="I45" s="95" t="str">
        <f>IF($O45="","",INDEX(R_St,$O45))</f>
        <v/>
      </c>
      <c r="J45" s="126" t="str">
        <f>IF($O45="","",IF(INDEX(R_FEnv,$O45)="","",INDEX(R_FEnv,$O45)))</f>
        <v/>
      </c>
      <c r="K45" s="126" t="str">
        <f>IF($O45="","",IF(INDEX(R_FApr,$O45)="","",INDEX(R_FApr,$O45)))</f>
        <v/>
      </c>
      <c r="L45" s="172" t="str">
        <f>IF($O45="","",IF(INDEX(R_Age,$O45)="","",INDEX(R_Age,$O45)))</f>
        <v/>
      </c>
      <c r="M45" s="173" t="str">
        <f>IF($O45="","",INDEX(R_Alert,$O45)&amp;"")</f>
        <v/>
      </c>
      <c r="O45" t="str">
        <f>IFERROR(MATCH(15,R_PendSeq,0),"")</f>
        <v/>
      </c>
    </row>
    <row r="46">
      <c r="B46" s="172" t="str">
        <f>IF($O46="","",INDEX(R_ID,$O46))</f>
        <v/>
      </c>
      <c r="C46" s="126" t="str">
        <f>IF($O46="","",INDEX(R_Fecha,$O46))</f>
        <v/>
      </c>
      <c r="D46" s="95" t="str">
        <f>IF($O46="","",INDEX(R_Proy,$O46)&amp;"")</f>
        <v/>
      </c>
      <c r="E46" s="95" t="str">
        <f>IF($O46="","",INDEX(R_Task,$O46)&amp;"")</f>
        <v/>
      </c>
      <c r="F46" s="173" t="str">
        <f>IF($O46="","",INDEX(R_Desc,$O46)&amp;"")</f>
        <v/>
      </c>
      <c r="G46" s="127" t="str">
        <f>IF($O46="","",INDEX(R_Hval,$O46))</f>
        <v/>
      </c>
      <c r="H46" s="172" t="str">
        <f>IF($O46="","",INDEX(R_BlkV,$O46))</f>
        <v/>
      </c>
      <c r="I46" s="95" t="str">
        <f>IF($O46="","",INDEX(R_St,$O46))</f>
        <v/>
      </c>
      <c r="J46" s="126" t="str">
        <f>IF($O46="","",IF(INDEX(R_FEnv,$O46)="","",INDEX(R_FEnv,$O46)))</f>
        <v/>
      </c>
      <c r="K46" s="126" t="str">
        <f>IF($O46="","",IF(INDEX(R_FApr,$O46)="","",INDEX(R_FApr,$O46)))</f>
        <v/>
      </c>
      <c r="L46" s="172" t="str">
        <f>IF($O46="","",IF(INDEX(R_Age,$O46)="","",INDEX(R_Age,$O46)))</f>
        <v/>
      </c>
      <c r="M46" s="173" t="str">
        <f>IF($O46="","",INDEX(R_Alert,$O46)&amp;"")</f>
        <v/>
      </c>
      <c r="O46" t="str">
        <f>IFERROR(MATCH(16,R_PendSeq,0),"")</f>
        <v/>
      </c>
    </row>
    <row r="47">
      <c r="B47" s="172" t="str">
        <f>IF($O47="","",INDEX(R_ID,$O47))</f>
        <v/>
      </c>
      <c r="C47" s="126" t="str">
        <f>IF($O47="","",INDEX(R_Fecha,$O47))</f>
        <v/>
      </c>
      <c r="D47" s="95" t="str">
        <f>IF($O47="","",INDEX(R_Proy,$O47)&amp;"")</f>
        <v/>
      </c>
      <c r="E47" s="95" t="str">
        <f>IF($O47="","",INDEX(R_Task,$O47)&amp;"")</f>
        <v/>
      </c>
      <c r="F47" s="173" t="str">
        <f>IF($O47="","",INDEX(R_Desc,$O47)&amp;"")</f>
        <v/>
      </c>
      <c r="G47" s="127" t="str">
        <f>IF($O47="","",INDEX(R_Hval,$O47))</f>
        <v/>
      </c>
      <c r="H47" s="172" t="str">
        <f>IF($O47="","",INDEX(R_BlkV,$O47))</f>
        <v/>
      </c>
      <c r="I47" s="95" t="str">
        <f>IF($O47="","",INDEX(R_St,$O47))</f>
        <v/>
      </c>
      <c r="J47" s="126" t="str">
        <f>IF($O47="","",IF(INDEX(R_FEnv,$O47)="","",INDEX(R_FEnv,$O47)))</f>
        <v/>
      </c>
      <c r="K47" s="126" t="str">
        <f>IF($O47="","",IF(INDEX(R_FApr,$O47)="","",INDEX(R_FApr,$O47)))</f>
        <v/>
      </c>
      <c r="L47" s="172" t="str">
        <f>IF($O47="","",IF(INDEX(R_Age,$O47)="","",INDEX(R_Age,$O47)))</f>
        <v/>
      </c>
      <c r="M47" s="173" t="str">
        <f>IF($O47="","",INDEX(R_Alert,$O47)&amp;"")</f>
        <v/>
      </c>
      <c r="O47" t="str">
        <f>IFERROR(MATCH(17,R_PendSeq,0),"")</f>
        <v/>
      </c>
    </row>
    <row r="48">
      <c r="B48" s="172" t="str">
        <f>IF($O48="","",INDEX(R_ID,$O48))</f>
        <v/>
      </c>
      <c r="C48" s="126" t="str">
        <f>IF($O48="","",INDEX(R_Fecha,$O48))</f>
        <v/>
      </c>
      <c r="D48" s="95" t="str">
        <f>IF($O48="","",INDEX(R_Proy,$O48)&amp;"")</f>
        <v/>
      </c>
      <c r="E48" s="95" t="str">
        <f>IF($O48="","",INDEX(R_Task,$O48)&amp;"")</f>
        <v/>
      </c>
      <c r="F48" s="173" t="str">
        <f>IF($O48="","",INDEX(R_Desc,$O48)&amp;"")</f>
        <v/>
      </c>
      <c r="G48" s="127" t="str">
        <f>IF($O48="","",INDEX(R_Hval,$O48))</f>
        <v/>
      </c>
      <c r="H48" s="172" t="str">
        <f>IF($O48="","",INDEX(R_BlkV,$O48))</f>
        <v/>
      </c>
      <c r="I48" s="95" t="str">
        <f>IF($O48="","",INDEX(R_St,$O48))</f>
        <v/>
      </c>
      <c r="J48" s="126" t="str">
        <f>IF($O48="","",IF(INDEX(R_FEnv,$O48)="","",INDEX(R_FEnv,$O48)))</f>
        <v/>
      </c>
      <c r="K48" s="126" t="str">
        <f>IF($O48="","",IF(INDEX(R_FApr,$O48)="","",INDEX(R_FApr,$O48)))</f>
        <v/>
      </c>
      <c r="L48" s="172" t="str">
        <f>IF($O48="","",IF(INDEX(R_Age,$O48)="","",INDEX(R_Age,$O48)))</f>
        <v/>
      </c>
      <c r="M48" s="173" t="str">
        <f>IF($O48="","",INDEX(R_Alert,$O48)&amp;"")</f>
        <v/>
      </c>
      <c r="O48" t="str">
        <f>IFERROR(MATCH(18,R_PendSeq,0),"")</f>
        <v/>
      </c>
    </row>
    <row r="49">
      <c r="B49" s="172" t="str">
        <f>IF($O49="","",INDEX(R_ID,$O49))</f>
        <v/>
      </c>
      <c r="C49" s="126" t="str">
        <f>IF($O49="","",INDEX(R_Fecha,$O49))</f>
        <v/>
      </c>
      <c r="D49" s="95" t="str">
        <f>IF($O49="","",INDEX(R_Proy,$O49)&amp;"")</f>
        <v/>
      </c>
      <c r="E49" s="95" t="str">
        <f>IF($O49="","",INDEX(R_Task,$O49)&amp;"")</f>
        <v/>
      </c>
      <c r="F49" s="173" t="str">
        <f>IF($O49="","",INDEX(R_Desc,$O49)&amp;"")</f>
        <v/>
      </c>
      <c r="G49" s="127" t="str">
        <f>IF($O49="","",INDEX(R_Hval,$O49))</f>
        <v/>
      </c>
      <c r="H49" s="172" t="str">
        <f>IF($O49="","",INDEX(R_BlkV,$O49))</f>
        <v/>
      </c>
      <c r="I49" s="95" t="str">
        <f>IF($O49="","",INDEX(R_St,$O49))</f>
        <v/>
      </c>
      <c r="J49" s="126" t="str">
        <f>IF($O49="","",IF(INDEX(R_FEnv,$O49)="","",INDEX(R_FEnv,$O49)))</f>
        <v/>
      </c>
      <c r="K49" s="126" t="str">
        <f>IF($O49="","",IF(INDEX(R_FApr,$O49)="","",INDEX(R_FApr,$O49)))</f>
        <v/>
      </c>
      <c r="L49" s="172" t="str">
        <f>IF($O49="","",IF(INDEX(R_Age,$O49)="","",INDEX(R_Age,$O49)))</f>
        <v/>
      </c>
      <c r="M49" s="173" t="str">
        <f>IF($O49="","",INDEX(R_Alert,$O49)&amp;"")</f>
        <v/>
      </c>
      <c r="O49" t="str">
        <f>IFERROR(MATCH(19,R_PendSeq,0),"")</f>
        <v/>
      </c>
    </row>
    <row r="50">
      <c r="B50" s="172" t="str">
        <f>IF($O50="","",INDEX(R_ID,$O50))</f>
        <v/>
      </c>
      <c r="C50" s="126" t="str">
        <f>IF($O50="","",INDEX(R_Fecha,$O50))</f>
        <v/>
      </c>
      <c r="D50" s="95" t="str">
        <f>IF($O50="","",INDEX(R_Proy,$O50)&amp;"")</f>
        <v/>
      </c>
      <c r="E50" s="95" t="str">
        <f>IF($O50="","",INDEX(R_Task,$O50)&amp;"")</f>
        <v/>
      </c>
      <c r="F50" s="173" t="str">
        <f>IF($O50="","",INDEX(R_Desc,$O50)&amp;"")</f>
        <v/>
      </c>
      <c r="G50" s="127" t="str">
        <f>IF($O50="","",INDEX(R_Hval,$O50))</f>
        <v/>
      </c>
      <c r="H50" s="172" t="str">
        <f>IF($O50="","",INDEX(R_BlkV,$O50))</f>
        <v/>
      </c>
      <c r="I50" s="95" t="str">
        <f>IF($O50="","",INDEX(R_St,$O50))</f>
        <v/>
      </c>
      <c r="J50" s="126" t="str">
        <f>IF($O50="","",IF(INDEX(R_FEnv,$O50)="","",INDEX(R_FEnv,$O50)))</f>
        <v/>
      </c>
      <c r="K50" s="126" t="str">
        <f>IF($O50="","",IF(INDEX(R_FApr,$O50)="","",INDEX(R_FApr,$O50)))</f>
        <v/>
      </c>
      <c r="L50" s="172" t="str">
        <f>IF($O50="","",IF(INDEX(R_Age,$O50)="","",INDEX(R_Age,$O50)))</f>
        <v/>
      </c>
      <c r="M50" s="173" t="str">
        <f>IF($O50="","",INDEX(R_Alert,$O50)&amp;"")</f>
        <v/>
      </c>
      <c r="O50" t="str">
        <f>IFERROR(MATCH(20,R_PendSeq,0),"")</f>
        <v/>
      </c>
    </row>
    <row r="51">
      <c r="B51" s="172" t="str">
        <f>IF($O51="","",INDEX(R_ID,$O51))</f>
        <v/>
      </c>
      <c r="C51" s="126" t="str">
        <f>IF($O51="","",INDEX(R_Fecha,$O51))</f>
        <v/>
      </c>
      <c r="D51" s="95" t="str">
        <f>IF($O51="","",INDEX(R_Proy,$O51)&amp;"")</f>
        <v/>
      </c>
      <c r="E51" s="95" t="str">
        <f>IF($O51="","",INDEX(R_Task,$O51)&amp;"")</f>
        <v/>
      </c>
      <c r="F51" s="173" t="str">
        <f>IF($O51="","",INDEX(R_Desc,$O51)&amp;"")</f>
        <v/>
      </c>
      <c r="G51" s="127" t="str">
        <f>IF($O51="","",INDEX(R_Hval,$O51))</f>
        <v/>
      </c>
      <c r="H51" s="172" t="str">
        <f>IF($O51="","",INDEX(R_BlkV,$O51))</f>
        <v/>
      </c>
      <c r="I51" s="95" t="str">
        <f>IF($O51="","",INDEX(R_St,$O51))</f>
        <v/>
      </c>
      <c r="J51" s="126" t="str">
        <f>IF($O51="","",IF(INDEX(R_FEnv,$O51)="","",INDEX(R_FEnv,$O51)))</f>
        <v/>
      </c>
      <c r="K51" s="126" t="str">
        <f>IF($O51="","",IF(INDEX(R_FApr,$O51)="","",INDEX(R_FApr,$O51)))</f>
        <v/>
      </c>
      <c r="L51" s="172" t="str">
        <f>IF($O51="","",IF(INDEX(R_Age,$O51)="","",INDEX(R_Age,$O51)))</f>
        <v/>
      </c>
      <c r="M51" s="173" t="str">
        <f>IF($O51="","",INDEX(R_Alert,$O51)&amp;"")</f>
        <v/>
      </c>
      <c r="O51" t="str">
        <f>IFERROR(MATCH(21,R_PendSeq,0),"")</f>
        <v/>
      </c>
    </row>
    <row r="52">
      <c r="B52" s="172" t="str">
        <f>IF($O52="","",INDEX(R_ID,$O52))</f>
        <v/>
      </c>
      <c r="C52" s="126" t="str">
        <f>IF($O52="","",INDEX(R_Fecha,$O52))</f>
        <v/>
      </c>
      <c r="D52" s="95" t="str">
        <f>IF($O52="","",INDEX(R_Proy,$O52)&amp;"")</f>
        <v/>
      </c>
      <c r="E52" s="95" t="str">
        <f>IF($O52="","",INDEX(R_Task,$O52)&amp;"")</f>
        <v/>
      </c>
      <c r="F52" s="173" t="str">
        <f>IF($O52="","",INDEX(R_Desc,$O52)&amp;"")</f>
        <v/>
      </c>
      <c r="G52" s="127" t="str">
        <f>IF($O52="","",INDEX(R_Hval,$O52))</f>
        <v/>
      </c>
      <c r="H52" s="172" t="str">
        <f>IF($O52="","",INDEX(R_BlkV,$O52))</f>
        <v/>
      </c>
      <c r="I52" s="95" t="str">
        <f>IF($O52="","",INDEX(R_St,$O52))</f>
        <v/>
      </c>
      <c r="J52" s="126" t="str">
        <f>IF($O52="","",IF(INDEX(R_FEnv,$O52)="","",INDEX(R_FEnv,$O52)))</f>
        <v/>
      </c>
      <c r="K52" s="126" t="str">
        <f>IF($O52="","",IF(INDEX(R_FApr,$O52)="","",INDEX(R_FApr,$O52)))</f>
        <v/>
      </c>
      <c r="L52" s="172" t="str">
        <f>IF($O52="","",IF(INDEX(R_Age,$O52)="","",INDEX(R_Age,$O52)))</f>
        <v/>
      </c>
      <c r="M52" s="173" t="str">
        <f>IF($O52="","",INDEX(R_Alert,$O52)&amp;"")</f>
        <v/>
      </c>
      <c r="O52" t="str">
        <f>IFERROR(MATCH(22,R_PendSeq,0),"")</f>
        <v/>
      </c>
    </row>
    <row r="53">
      <c r="B53" s="172" t="str">
        <f>IF($O53="","",INDEX(R_ID,$O53))</f>
        <v/>
      </c>
      <c r="C53" s="126" t="str">
        <f>IF($O53="","",INDEX(R_Fecha,$O53))</f>
        <v/>
      </c>
      <c r="D53" s="95" t="str">
        <f>IF($O53="","",INDEX(R_Proy,$O53)&amp;"")</f>
        <v/>
      </c>
      <c r="E53" s="95" t="str">
        <f>IF($O53="","",INDEX(R_Task,$O53)&amp;"")</f>
        <v/>
      </c>
      <c r="F53" s="173" t="str">
        <f>IF($O53="","",INDEX(R_Desc,$O53)&amp;"")</f>
        <v/>
      </c>
      <c r="G53" s="127" t="str">
        <f>IF($O53="","",INDEX(R_Hval,$O53))</f>
        <v/>
      </c>
      <c r="H53" s="172" t="str">
        <f>IF($O53="","",INDEX(R_BlkV,$O53))</f>
        <v/>
      </c>
      <c r="I53" s="95" t="str">
        <f>IF($O53="","",INDEX(R_St,$O53))</f>
        <v/>
      </c>
      <c r="J53" s="126" t="str">
        <f>IF($O53="","",IF(INDEX(R_FEnv,$O53)="","",INDEX(R_FEnv,$O53)))</f>
        <v/>
      </c>
      <c r="K53" s="126" t="str">
        <f>IF($O53="","",IF(INDEX(R_FApr,$O53)="","",INDEX(R_FApr,$O53)))</f>
        <v/>
      </c>
      <c r="L53" s="172" t="str">
        <f>IF($O53="","",IF(INDEX(R_Age,$O53)="","",INDEX(R_Age,$O53)))</f>
        <v/>
      </c>
      <c r="M53" s="173" t="str">
        <f>IF($O53="","",INDEX(R_Alert,$O53)&amp;"")</f>
        <v/>
      </c>
      <c r="O53" t="str">
        <f>IFERROR(MATCH(23,R_PendSeq,0),"")</f>
        <v/>
      </c>
    </row>
    <row r="54">
      <c r="B54" s="172" t="str">
        <f>IF($O54="","",INDEX(R_ID,$O54))</f>
        <v/>
      </c>
      <c r="C54" s="126" t="str">
        <f>IF($O54="","",INDEX(R_Fecha,$O54))</f>
        <v/>
      </c>
      <c r="D54" s="95" t="str">
        <f>IF($O54="","",INDEX(R_Proy,$O54)&amp;"")</f>
        <v/>
      </c>
      <c r="E54" s="95" t="str">
        <f>IF($O54="","",INDEX(R_Task,$O54)&amp;"")</f>
        <v/>
      </c>
      <c r="F54" s="173" t="str">
        <f>IF($O54="","",INDEX(R_Desc,$O54)&amp;"")</f>
        <v/>
      </c>
      <c r="G54" s="127" t="str">
        <f>IF($O54="","",INDEX(R_Hval,$O54))</f>
        <v/>
      </c>
      <c r="H54" s="172" t="str">
        <f>IF($O54="","",INDEX(R_BlkV,$O54))</f>
        <v/>
      </c>
      <c r="I54" s="95" t="str">
        <f>IF($O54="","",INDEX(R_St,$O54))</f>
        <v/>
      </c>
      <c r="J54" s="126" t="str">
        <f>IF($O54="","",IF(INDEX(R_FEnv,$O54)="","",INDEX(R_FEnv,$O54)))</f>
        <v/>
      </c>
      <c r="K54" s="126" t="str">
        <f>IF($O54="","",IF(INDEX(R_FApr,$O54)="","",INDEX(R_FApr,$O54)))</f>
        <v/>
      </c>
      <c r="L54" s="172" t="str">
        <f>IF($O54="","",IF(INDEX(R_Age,$O54)="","",INDEX(R_Age,$O54)))</f>
        <v/>
      </c>
      <c r="M54" s="173" t="str">
        <f>IF($O54="","",INDEX(R_Alert,$O54)&amp;"")</f>
        <v/>
      </c>
      <c r="O54" t="str">
        <f>IFERROR(MATCH(24,R_PendSeq,0),"")</f>
        <v/>
      </c>
    </row>
    <row r="55">
      <c r="B55" s="172" t="str">
        <f>IF($O55="","",INDEX(R_ID,$O55))</f>
        <v/>
      </c>
      <c r="C55" s="126" t="str">
        <f>IF($O55="","",INDEX(R_Fecha,$O55))</f>
        <v/>
      </c>
      <c r="D55" s="95" t="str">
        <f>IF($O55="","",INDEX(R_Proy,$O55)&amp;"")</f>
        <v/>
      </c>
      <c r="E55" s="95" t="str">
        <f>IF($O55="","",INDEX(R_Task,$O55)&amp;"")</f>
        <v/>
      </c>
      <c r="F55" s="173" t="str">
        <f>IF($O55="","",INDEX(R_Desc,$O55)&amp;"")</f>
        <v/>
      </c>
      <c r="G55" s="127" t="str">
        <f>IF($O55="","",INDEX(R_Hval,$O55))</f>
        <v/>
      </c>
      <c r="H55" s="172" t="str">
        <f>IF($O55="","",INDEX(R_BlkV,$O55))</f>
        <v/>
      </c>
      <c r="I55" s="95" t="str">
        <f>IF($O55="","",INDEX(R_St,$O55))</f>
        <v/>
      </c>
      <c r="J55" s="126" t="str">
        <f>IF($O55="","",IF(INDEX(R_FEnv,$O55)="","",INDEX(R_FEnv,$O55)))</f>
        <v/>
      </c>
      <c r="K55" s="126" t="str">
        <f>IF($O55="","",IF(INDEX(R_FApr,$O55)="","",INDEX(R_FApr,$O55)))</f>
        <v/>
      </c>
      <c r="L55" s="172" t="str">
        <f>IF($O55="","",IF(INDEX(R_Age,$O55)="","",INDEX(R_Age,$O55)))</f>
        <v/>
      </c>
      <c r="M55" s="173" t="str">
        <f>IF($O55="","",INDEX(R_Alert,$O55)&amp;"")</f>
        <v/>
      </c>
      <c r="O55" t="str">
        <f>IFERROR(MATCH(25,R_PendSeq,0),"")</f>
        <v/>
      </c>
    </row>
    <row r="56">
      <c r="B56" s="172" t="str">
        <f>IF($O56="","",INDEX(R_ID,$O56))</f>
        <v/>
      </c>
      <c r="C56" s="126" t="str">
        <f>IF($O56="","",INDEX(R_Fecha,$O56))</f>
        <v/>
      </c>
      <c r="D56" s="95" t="str">
        <f>IF($O56="","",INDEX(R_Proy,$O56)&amp;"")</f>
        <v/>
      </c>
      <c r="E56" s="95" t="str">
        <f>IF($O56="","",INDEX(R_Task,$O56)&amp;"")</f>
        <v/>
      </c>
      <c r="F56" s="173" t="str">
        <f>IF($O56="","",INDEX(R_Desc,$O56)&amp;"")</f>
        <v/>
      </c>
      <c r="G56" s="127" t="str">
        <f>IF($O56="","",INDEX(R_Hval,$O56))</f>
        <v/>
      </c>
      <c r="H56" s="172" t="str">
        <f>IF($O56="","",INDEX(R_BlkV,$O56))</f>
        <v/>
      </c>
      <c r="I56" s="95" t="str">
        <f>IF($O56="","",INDEX(R_St,$O56))</f>
        <v/>
      </c>
      <c r="J56" s="126" t="str">
        <f>IF($O56="","",IF(INDEX(R_FEnv,$O56)="","",INDEX(R_FEnv,$O56)))</f>
        <v/>
      </c>
      <c r="K56" s="126" t="str">
        <f>IF($O56="","",IF(INDEX(R_FApr,$O56)="","",INDEX(R_FApr,$O56)))</f>
        <v/>
      </c>
      <c r="L56" s="172" t="str">
        <f>IF($O56="","",IF(INDEX(R_Age,$O56)="","",INDEX(R_Age,$O56)))</f>
        <v/>
      </c>
      <c r="M56" s="173" t="str">
        <f>IF($O56="","",INDEX(R_Alert,$O56)&amp;"")</f>
        <v/>
      </c>
      <c r="O56" t="str">
        <f>IFERROR(MATCH(26,R_PendSeq,0),"")</f>
        <v/>
      </c>
    </row>
    <row r="57">
      <c r="B57" s="172" t="str">
        <f>IF($O57="","",INDEX(R_ID,$O57))</f>
        <v/>
      </c>
      <c r="C57" s="126" t="str">
        <f>IF($O57="","",INDEX(R_Fecha,$O57))</f>
        <v/>
      </c>
      <c r="D57" s="95" t="str">
        <f>IF($O57="","",INDEX(R_Proy,$O57)&amp;"")</f>
        <v/>
      </c>
      <c r="E57" s="95" t="str">
        <f>IF($O57="","",INDEX(R_Task,$O57)&amp;"")</f>
        <v/>
      </c>
      <c r="F57" s="173" t="str">
        <f>IF($O57="","",INDEX(R_Desc,$O57)&amp;"")</f>
        <v/>
      </c>
      <c r="G57" s="127" t="str">
        <f>IF($O57="","",INDEX(R_Hval,$O57))</f>
        <v/>
      </c>
      <c r="H57" s="172" t="str">
        <f>IF($O57="","",INDEX(R_BlkV,$O57))</f>
        <v/>
      </c>
      <c r="I57" s="95" t="str">
        <f>IF($O57="","",INDEX(R_St,$O57))</f>
        <v/>
      </c>
      <c r="J57" s="126" t="str">
        <f>IF($O57="","",IF(INDEX(R_FEnv,$O57)="","",INDEX(R_FEnv,$O57)))</f>
        <v/>
      </c>
      <c r="K57" s="126" t="str">
        <f>IF($O57="","",IF(INDEX(R_FApr,$O57)="","",INDEX(R_FApr,$O57)))</f>
        <v/>
      </c>
      <c r="L57" s="172" t="str">
        <f>IF($O57="","",IF(INDEX(R_Age,$O57)="","",INDEX(R_Age,$O57)))</f>
        <v/>
      </c>
      <c r="M57" s="173" t="str">
        <f>IF($O57="","",INDEX(R_Alert,$O57)&amp;"")</f>
        <v/>
      </c>
      <c r="O57" t="str">
        <f>IFERROR(MATCH(27,R_PendSeq,0),"")</f>
        <v/>
      </c>
    </row>
    <row r="58">
      <c r="B58" s="172" t="str">
        <f>IF($O58="","",INDEX(R_ID,$O58))</f>
        <v/>
      </c>
      <c r="C58" s="126" t="str">
        <f>IF($O58="","",INDEX(R_Fecha,$O58))</f>
        <v/>
      </c>
      <c r="D58" s="95" t="str">
        <f>IF($O58="","",INDEX(R_Proy,$O58)&amp;"")</f>
        <v/>
      </c>
      <c r="E58" s="95" t="str">
        <f>IF($O58="","",INDEX(R_Task,$O58)&amp;"")</f>
        <v/>
      </c>
      <c r="F58" s="173" t="str">
        <f>IF($O58="","",INDEX(R_Desc,$O58)&amp;"")</f>
        <v/>
      </c>
      <c r="G58" s="127" t="str">
        <f>IF($O58="","",INDEX(R_Hval,$O58))</f>
        <v/>
      </c>
      <c r="H58" s="172" t="str">
        <f>IF($O58="","",INDEX(R_BlkV,$O58))</f>
        <v/>
      </c>
      <c r="I58" s="95" t="str">
        <f>IF($O58="","",INDEX(R_St,$O58))</f>
        <v/>
      </c>
      <c r="J58" s="126" t="str">
        <f>IF($O58="","",IF(INDEX(R_FEnv,$O58)="","",INDEX(R_FEnv,$O58)))</f>
        <v/>
      </c>
      <c r="K58" s="126" t="str">
        <f>IF($O58="","",IF(INDEX(R_FApr,$O58)="","",INDEX(R_FApr,$O58)))</f>
        <v/>
      </c>
      <c r="L58" s="172" t="str">
        <f>IF($O58="","",IF(INDEX(R_Age,$O58)="","",INDEX(R_Age,$O58)))</f>
        <v/>
      </c>
      <c r="M58" s="173" t="str">
        <f>IF($O58="","",INDEX(R_Alert,$O58)&amp;"")</f>
        <v/>
      </c>
      <c r="O58" t="str">
        <f>IFERROR(MATCH(28,R_PendSeq,0),"")</f>
        <v/>
      </c>
    </row>
    <row r="59">
      <c r="B59" s="172" t="str">
        <f>IF($O59="","",INDEX(R_ID,$O59))</f>
        <v/>
      </c>
      <c r="C59" s="126" t="str">
        <f>IF($O59="","",INDEX(R_Fecha,$O59))</f>
        <v/>
      </c>
      <c r="D59" s="95" t="str">
        <f>IF($O59="","",INDEX(R_Proy,$O59)&amp;"")</f>
        <v/>
      </c>
      <c r="E59" s="95" t="str">
        <f>IF($O59="","",INDEX(R_Task,$O59)&amp;"")</f>
        <v/>
      </c>
      <c r="F59" s="173" t="str">
        <f>IF($O59="","",INDEX(R_Desc,$O59)&amp;"")</f>
        <v/>
      </c>
      <c r="G59" s="127" t="str">
        <f>IF($O59="","",INDEX(R_Hval,$O59))</f>
        <v/>
      </c>
      <c r="H59" s="172" t="str">
        <f>IF($O59="","",INDEX(R_BlkV,$O59))</f>
        <v/>
      </c>
      <c r="I59" s="95" t="str">
        <f>IF($O59="","",INDEX(R_St,$O59))</f>
        <v/>
      </c>
      <c r="J59" s="126" t="str">
        <f>IF($O59="","",IF(INDEX(R_FEnv,$O59)="","",INDEX(R_FEnv,$O59)))</f>
        <v/>
      </c>
      <c r="K59" s="126" t="str">
        <f>IF($O59="","",IF(INDEX(R_FApr,$O59)="","",INDEX(R_FApr,$O59)))</f>
        <v/>
      </c>
      <c r="L59" s="172" t="str">
        <f>IF($O59="","",IF(INDEX(R_Age,$O59)="","",INDEX(R_Age,$O59)))</f>
        <v/>
      </c>
      <c r="M59" s="173" t="str">
        <f>IF($O59="","",INDEX(R_Alert,$O59)&amp;"")</f>
        <v/>
      </c>
      <c r="O59" t="str">
        <f>IFERROR(MATCH(29,R_PendSeq,0),"")</f>
        <v/>
      </c>
    </row>
    <row r="60">
      <c r="B60" s="172" t="str">
        <f>IF($O60="","",INDEX(R_ID,$O60))</f>
        <v/>
      </c>
      <c r="C60" s="126" t="str">
        <f>IF($O60="","",INDEX(R_Fecha,$O60))</f>
        <v/>
      </c>
      <c r="D60" s="95" t="str">
        <f>IF($O60="","",INDEX(R_Proy,$O60)&amp;"")</f>
        <v/>
      </c>
      <c r="E60" s="95" t="str">
        <f>IF($O60="","",INDEX(R_Task,$O60)&amp;"")</f>
        <v/>
      </c>
      <c r="F60" s="173" t="str">
        <f>IF($O60="","",INDEX(R_Desc,$O60)&amp;"")</f>
        <v/>
      </c>
      <c r="G60" s="127" t="str">
        <f>IF($O60="","",INDEX(R_Hval,$O60))</f>
        <v/>
      </c>
      <c r="H60" s="172" t="str">
        <f>IF($O60="","",INDEX(R_BlkV,$O60))</f>
        <v/>
      </c>
      <c r="I60" s="95" t="str">
        <f>IF($O60="","",INDEX(R_St,$O60))</f>
        <v/>
      </c>
      <c r="J60" s="126" t="str">
        <f>IF($O60="","",IF(INDEX(R_FEnv,$O60)="","",INDEX(R_FEnv,$O60)))</f>
        <v/>
      </c>
      <c r="K60" s="126" t="str">
        <f>IF($O60="","",IF(INDEX(R_FApr,$O60)="","",INDEX(R_FApr,$O60)))</f>
        <v/>
      </c>
      <c r="L60" s="172" t="str">
        <f>IF($O60="","",IF(INDEX(R_Age,$O60)="","",INDEX(R_Age,$O60)))</f>
        <v/>
      </c>
      <c r="M60" s="173" t="str">
        <f>IF($O60="","",INDEX(R_Alert,$O60)&amp;"")</f>
        <v/>
      </c>
      <c r="O60" t="str">
        <f>IFERROR(MATCH(30,R_PendSeq,0),"")</f>
        <v/>
      </c>
    </row>
    <row r="61">
      <c r="B61" s="172" t="str">
        <f>IF($O61="","",INDEX(R_ID,$O61))</f>
        <v/>
      </c>
      <c r="C61" s="126" t="str">
        <f>IF($O61="","",INDEX(R_Fecha,$O61))</f>
        <v/>
      </c>
      <c r="D61" s="95" t="str">
        <f>IF($O61="","",INDEX(R_Proy,$O61)&amp;"")</f>
        <v/>
      </c>
      <c r="E61" s="95" t="str">
        <f>IF($O61="","",INDEX(R_Task,$O61)&amp;"")</f>
        <v/>
      </c>
      <c r="F61" s="173" t="str">
        <f>IF($O61="","",INDEX(R_Desc,$O61)&amp;"")</f>
        <v/>
      </c>
      <c r="G61" s="127" t="str">
        <f>IF($O61="","",INDEX(R_Hval,$O61))</f>
        <v/>
      </c>
      <c r="H61" s="172" t="str">
        <f>IF($O61="","",INDEX(R_BlkV,$O61))</f>
        <v/>
      </c>
      <c r="I61" s="95" t="str">
        <f>IF($O61="","",INDEX(R_St,$O61))</f>
        <v/>
      </c>
      <c r="J61" s="126" t="str">
        <f>IF($O61="","",IF(INDEX(R_FEnv,$O61)="","",INDEX(R_FEnv,$O61)))</f>
        <v/>
      </c>
      <c r="K61" s="126" t="str">
        <f>IF($O61="","",IF(INDEX(R_FApr,$O61)="","",INDEX(R_FApr,$O61)))</f>
        <v/>
      </c>
      <c r="L61" s="172" t="str">
        <f>IF($O61="","",IF(INDEX(R_Age,$O61)="","",INDEX(R_Age,$O61)))</f>
        <v/>
      </c>
      <c r="M61" s="173" t="str">
        <f>IF($O61="","",INDEX(R_Alert,$O61)&amp;"")</f>
        <v/>
      </c>
      <c r="O61" t="str">
        <f>IFERROR(MATCH(31,R_PendSeq,0),"")</f>
        <v/>
      </c>
    </row>
    <row r="62">
      <c r="B62" s="172" t="str">
        <f>IF($O62="","",INDEX(R_ID,$O62))</f>
        <v/>
      </c>
      <c r="C62" s="126" t="str">
        <f>IF($O62="","",INDEX(R_Fecha,$O62))</f>
        <v/>
      </c>
      <c r="D62" s="95" t="str">
        <f>IF($O62="","",INDEX(R_Proy,$O62)&amp;"")</f>
        <v/>
      </c>
      <c r="E62" s="95" t="str">
        <f>IF($O62="","",INDEX(R_Task,$O62)&amp;"")</f>
        <v/>
      </c>
      <c r="F62" s="173" t="str">
        <f>IF($O62="","",INDEX(R_Desc,$O62)&amp;"")</f>
        <v/>
      </c>
      <c r="G62" s="127" t="str">
        <f>IF($O62="","",INDEX(R_Hval,$O62))</f>
        <v/>
      </c>
      <c r="H62" s="172" t="str">
        <f>IF($O62="","",INDEX(R_BlkV,$O62))</f>
        <v/>
      </c>
      <c r="I62" s="95" t="str">
        <f>IF($O62="","",INDEX(R_St,$O62))</f>
        <v/>
      </c>
      <c r="J62" s="126" t="str">
        <f>IF($O62="","",IF(INDEX(R_FEnv,$O62)="","",INDEX(R_FEnv,$O62)))</f>
        <v/>
      </c>
      <c r="K62" s="126" t="str">
        <f>IF($O62="","",IF(INDEX(R_FApr,$O62)="","",INDEX(R_FApr,$O62)))</f>
        <v/>
      </c>
      <c r="L62" s="172" t="str">
        <f>IF($O62="","",IF(INDEX(R_Age,$O62)="","",INDEX(R_Age,$O62)))</f>
        <v/>
      </c>
      <c r="M62" s="173" t="str">
        <f>IF($O62="","",INDEX(R_Alert,$O62)&amp;"")</f>
        <v/>
      </c>
      <c r="O62" t="str">
        <f>IFERROR(MATCH(32,R_PendSeq,0),"")</f>
        <v/>
      </c>
    </row>
    <row r="63">
      <c r="B63" s="172" t="str">
        <f>IF($O63="","",INDEX(R_ID,$O63))</f>
        <v/>
      </c>
      <c r="C63" s="126" t="str">
        <f>IF($O63="","",INDEX(R_Fecha,$O63))</f>
        <v/>
      </c>
      <c r="D63" s="95" t="str">
        <f>IF($O63="","",INDEX(R_Proy,$O63)&amp;"")</f>
        <v/>
      </c>
      <c r="E63" s="95" t="str">
        <f>IF($O63="","",INDEX(R_Task,$O63)&amp;"")</f>
        <v/>
      </c>
      <c r="F63" s="173" t="str">
        <f>IF($O63="","",INDEX(R_Desc,$O63)&amp;"")</f>
        <v/>
      </c>
      <c r="G63" s="127" t="str">
        <f>IF($O63="","",INDEX(R_Hval,$O63))</f>
        <v/>
      </c>
      <c r="H63" s="172" t="str">
        <f>IF($O63="","",INDEX(R_BlkV,$O63))</f>
        <v/>
      </c>
      <c r="I63" s="95" t="str">
        <f>IF($O63="","",INDEX(R_St,$O63))</f>
        <v/>
      </c>
      <c r="J63" s="126" t="str">
        <f>IF($O63="","",IF(INDEX(R_FEnv,$O63)="","",INDEX(R_FEnv,$O63)))</f>
        <v/>
      </c>
      <c r="K63" s="126" t="str">
        <f>IF($O63="","",IF(INDEX(R_FApr,$O63)="","",INDEX(R_FApr,$O63)))</f>
        <v/>
      </c>
      <c r="L63" s="172" t="str">
        <f>IF($O63="","",IF(INDEX(R_Age,$O63)="","",INDEX(R_Age,$O63)))</f>
        <v/>
      </c>
      <c r="M63" s="173" t="str">
        <f>IF($O63="","",INDEX(R_Alert,$O63)&amp;"")</f>
        <v/>
      </c>
      <c r="O63" t="str">
        <f>IFERROR(MATCH(33,R_PendSeq,0),"")</f>
        <v/>
      </c>
    </row>
    <row r="64">
      <c r="B64" s="172" t="str">
        <f>IF($O64="","",INDEX(R_ID,$O64))</f>
        <v/>
      </c>
      <c r="C64" s="126" t="str">
        <f>IF($O64="","",INDEX(R_Fecha,$O64))</f>
        <v/>
      </c>
      <c r="D64" s="95" t="str">
        <f>IF($O64="","",INDEX(R_Proy,$O64)&amp;"")</f>
        <v/>
      </c>
      <c r="E64" s="95" t="str">
        <f>IF($O64="","",INDEX(R_Task,$O64)&amp;"")</f>
        <v/>
      </c>
      <c r="F64" s="173" t="str">
        <f>IF($O64="","",INDEX(R_Desc,$O64)&amp;"")</f>
        <v/>
      </c>
      <c r="G64" s="127" t="str">
        <f>IF($O64="","",INDEX(R_Hval,$O64))</f>
        <v/>
      </c>
      <c r="H64" s="172" t="str">
        <f>IF($O64="","",INDEX(R_BlkV,$O64))</f>
        <v/>
      </c>
      <c r="I64" s="95" t="str">
        <f>IF($O64="","",INDEX(R_St,$O64))</f>
        <v/>
      </c>
      <c r="J64" s="126" t="str">
        <f>IF($O64="","",IF(INDEX(R_FEnv,$O64)="","",INDEX(R_FEnv,$O64)))</f>
        <v/>
      </c>
      <c r="K64" s="126" t="str">
        <f>IF($O64="","",IF(INDEX(R_FApr,$O64)="","",INDEX(R_FApr,$O64)))</f>
        <v/>
      </c>
      <c r="L64" s="172" t="str">
        <f>IF($O64="","",IF(INDEX(R_Age,$O64)="","",INDEX(R_Age,$O64)))</f>
        <v/>
      </c>
      <c r="M64" s="173" t="str">
        <f>IF($O64="","",INDEX(R_Alert,$O64)&amp;"")</f>
        <v/>
      </c>
      <c r="O64" t="str">
        <f>IFERROR(MATCH(34,R_PendSeq,0),"")</f>
        <v/>
      </c>
    </row>
    <row r="65">
      <c r="B65" s="172" t="str">
        <f>IF($O65="","",INDEX(R_ID,$O65))</f>
        <v/>
      </c>
      <c r="C65" s="126" t="str">
        <f>IF($O65="","",INDEX(R_Fecha,$O65))</f>
        <v/>
      </c>
      <c r="D65" s="95" t="str">
        <f>IF($O65="","",INDEX(R_Proy,$O65)&amp;"")</f>
        <v/>
      </c>
      <c r="E65" s="95" t="str">
        <f>IF($O65="","",INDEX(R_Task,$O65)&amp;"")</f>
        <v/>
      </c>
      <c r="F65" s="173" t="str">
        <f>IF($O65="","",INDEX(R_Desc,$O65)&amp;"")</f>
        <v/>
      </c>
      <c r="G65" s="127" t="str">
        <f>IF($O65="","",INDEX(R_Hval,$O65))</f>
        <v/>
      </c>
      <c r="H65" s="172" t="str">
        <f>IF($O65="","",INDEX(R_BlkV,$O65))</f>
        <v/>
      </c>
      <c r="I65" s="95" t="str">
        <f>IF($O65="","",INDEX(R_St,$O65))</f>
        <v/>
      </c>
      <c r="J65" s="126" t="str">
        <f>IF($O65="","",IF(INDEX(R_FEnv,$O65)="","",INDEX(R_FEnv,$O65)))</f>
        <v/>
      </c>
      <c r="K65" s="126" t="str">
        <f>IF($O65="","",IF(INDEX(R_FApr,$O65)="","",INDEX(R_FApr,$O65)))</f>
        <v/>
      </c>
      <c r="L65" s="172" t="str">
        <f>IF($O65="","",IF(INDEX(R_Age,$O65)="","",INDEX(R_Age,$O65)))</f>
        <v/>
      </c>
      <c r="M65" s="173" t="str">
        <f>IF($O65="","",INDEX(R_Alert,$O65)&amp;"")</f>
        <v/>
      </c>
      <c r="O65" t="str">
        <f>IFERROR(MATCH(35,R_PendSeq,0),"")</f>
        <v/>
      </c>
    </row>
    <row r="66">
      <c r="B66" s="172" t="str">
        <f>IF($O66="","",INDEX(R_ID,$O66))</f>
        <v/>
      </c>
      <c r="C66" s="126" t="str">
        <f>IF($O66="","",INDEX(R_Fecha,$O66))</f>
        <v/>
      </c>
      <c r="D66" s="95" t="str">
        <f>IF($O66="","",INDEX(R_Proy,$O66)&amp;"")</f>
        <v/>
      </c>
      <c r="E66" s="95" t="str">
        <f>IF($O66="","",INDEX(R_Task,$O66)&amp;"")</f>
        <v/>
      </c>
      <c r="F66" s="173" t="str">
        <f>IF($O66="","",INDEX(R_Desc,$O66)&amp;"")</f>
        <v/>
      </c>
      <c r="G66" s="127" t="str">
        <f>IF($O66="","",INDEX(R_Hval,$O66))</f>
        <v/>
      </c>
      <c r="H66" s="172" t="str">
        <f>IF($O66="","",INDEX(R_BlkV,$O66))</f>
        <v/>
      </c>
      <c r="I66" s="95" t="str">
        <f>IF($O66="","",INDEX(R_St,$O66))</f>
        <v/>
      </c>
      <c r="J66" s="126" t="str">
        <f>IF($O66="","",IF(INDEX(R_FEnv,$O66)="","",INDEX(R_FEnv,$O66)))</f>
        <v/>
      </c>
      <c r="K66" s="126" t="str">
        <f>IF($O66="","",IF(INDEX(R_FApr,$O66)="","",INDEX(R_FApr,$O66)))</f>
        <v/>
      </c>
      <c r="L66" s="172" t="str">
        <f>IF($O66="","",IF(INDEX(R_Age,$O66)="","",INDEX(R_Age,$O66)))</f>
        <v/>
      </c>
      <c r="M66" s="173" t="str">
        <f>IF($O66="","",INDEX(R_Alert,$O66)&amp;"")</f>
        <v/>
      </c>
      <c r="O66" t="str">
        <f>IFERROR(MATCH(36,R_PendSeq,0),"")</f>
        <v/>
      </c>
    </row>
    <row r="67">
      <c r="B67" s="172" t="str">
        <f>IF($O67="","",INDEX(R_ID,$O67))</f>
        <v/>
      </c>
      <c r="C67" s="126" t="str">
        <f>IF($O67="","",INDEX(R_Fecha,$O67))</f>
        <v/>
      </c>
      <c r="D67" s="95" t="str">
        <f>IF($O67="","",INDEX(R_Proy,$O67)&amp;"")</f>
        <v/>
      </c>
      <c r="E67" s="95" t="str">
        <f>IF($O67="","",INDEX(R_Task,$O67)&amp;"")</f>
        <v/>
      </c>
      <c r="F67" s="173" t="str">
        <f>IF($O67="","",INDEX(R_Desc,$O67)&amp;"")</f>
        <v/>
      </c>
      <c r="G67" s="127" t="str">
        <f>IF($O67="","",INDEX(R_Hval,$O67))</f>
        <v/>
      </c>
      <c r="H67" s="172" t="str">
        <f>IF($O67="","",INDEX(R_BlkV,$O67))</f>
        <v/>
      </c>
      <c r="I67" s="95" t="str">
        <f>IF($O67="","",INDEX(R_St,$O67))</f>
        <v/>
      </c>
      <c r="J67" s="126" t="str">
        <f>IF($O67="","",IF(INDEX(R_FEnv,$O67)="","",INDEX(R_FEnv,$O67)))</f>
        <v/>
      </c>
      <c r="K67" s="126" t="str">
        <f>IF($O67="","",IF(INDEX(R_FApr,$O67)="","",INDEX(R_FApr,$O67)))</f>
        <v/>
      </c>
      <c r="L67" s="172" t="str">
        <f>IF($O67="","",IF(INDEX(R_Age,$O67)="","",INDEX(R_Age,$O67)))</f>
        <v/>
      </c>
      <c r="M67" s="173" t="str">
        <f>IF($O67="","",INDEX(R_Alert,$O67)&amp;"")</f>
        <v/>
      </c>
      <c r="O67" t="str">
        <f>IFERROR(MATCH(37,R_PendSeq,0),"")</f>
        <v/>
      </c>
    </row>
    <row r="68">
      <c r="B68" s="172" t="str">
        <f>IF($O68="","",INDEX(R_ID,$O68))</f>
        <v/>
      </c>
      <c r="C68" s="126" t="str">
        <f>IF($O68="","",INDEX(R_Fecha,$O68))</f>
        <v/>
      </c>
      <c r="D68" s="95" t="str">
        <f>IF($O68="","",INDEX(R_Proy,$O68)&amp;"")</f>
        <v/>
      </c>
      <c r="E68" s="95" t="str">
        <f>IF($O68="","",INDEX(R_Task,$O68)&amp;"")</f>
        <v/>
      </c>
      <c r="F68" s="173" t="str">
        <f>IF($O68="","",INDEX(R_Desc,$O68)&amp;"")</f>
        <v/>
      </c>
      <c r="G68" s="127" t="str">
        <f>IF($O68="","",INDEX(R_Hval,$O68))</f>
        <v/>
      </c>
      <c r="H68" s="172" t="str">
        <f>IF($O68="","",INDEX(R_BlkV,$O68))</f>
        <v/>
      </c>
      <c r="I68" s="95" t="str">
        <f>IF($O68="","",INDEX(R_St,$O68))</f>
        <v/>
      </c>
      <c r="J68" s="126" t="str">
        <f>IF($O68="","",IF(INDEX(R_FEnv,$O68)="","",INDEX(R_FEnv,$O68)))</f>
        <v/>
      </c>
      <c r="K68" s="126" t="str">
        <f>IF($O68="","",IF(INDEX(R_FApr,$O68)="","",INDEX(R_FApr,$O68)))</f>
        <v/>
      </c>
      <c r="L68" s="172" t="str">
        <f>IF($O68="","",IF(INDEX(R_Age,$O68)="","",INDEX(R_Age,$O68)))</f>
        <v/>
      </c>
      <c r="M68" s="173" t="str">
        <f>IF($O68="","",INDEX(R_Alert,$O68)&amp;"")</f>
        <v/>
      </c>
      <c r="O68" t="str">
        <f>IFERROR(MATCH(38,R_PendSeq,0),"")</f>
        <v/>
      </c>
    </row>
    <row r="69">
      <c r="B69" s="172" t="str">
        <f>IF($O69="","",INDEX(R_ID,$O69))</f>
        <v/>
      </c>
      <c r="C69" s="126" t="str">
        <f>IF($O69="","",INDEX(R_Fecha,$O69))</f>
        <v/>
      </c>
      <c r="D69" s="95" t="str">
        <f>IF($O69="","",INDEX(R_Proy,$O69)&amp;"")</f>
        <v/>
      </c>
      <c r="E69" s="95" t="str">
        <f>IF($O69="","",INDEX(R_Task,$O69)&amp;"")</f>
        <v/>
      </c>
      <c r="F69" s="173" t="str">
        <f>IF($O69="","",INDEX(R_Desc,$O69)&amp;"")</f>
        <v/>
      </c>
      <c r="G69" s="127" t="str">
        <f>IF($O69="","",INDEX(R_Hval,$O69))</f>
        <v/>
      </c>
      <c r="H69" s="172" t="str">
        <f>IF($O69="","",INDEX(R_BlkV,$O69))</f>
        <v/>
      </c>
      <c r="I69" s="95" t="str">
        <f>IF($O69="","",INDEX(R_St,$O69))</f>
        <v/>
      </c>
      <c r="J69" s="126" t="str">
        <f>IF($O69="","",IF(INDEX(R_FEnv,$O69)="","",INDEX(R_FEnv,$O69)))</f>
        <v/>
      </c>
      <c r="K69" s="126" t="str">
        <f>IF($O69="","",IF(INDEX(R_FApr,$O69)="","",INDEX(R_FApr,$O69)))</f>
        <v/>
      </c>
      <c r="L69" s="172" t="str">
        <f>IF($O69="","",IF(INDEX(R_Age,$O69)="","",INDEX(R_Age,$O69)))</f>
        <v/>
      </c>
      <c r="M69" s="173" t="str">
        <f>IF($O69="","",INDEX(R_Alert,$O69)&amp;"")</f>
        <v/>
      </c>
      <c r="O69" t="str">
        <f>IFERROR(MATCH(39,R_PendSeq,0),"")</f>
        <v/>
      </c>
    </row>
    <row r="70">
      <c r="B70" s="172" t="str">
        <f>IF($O70="","",INDEX(R_ID,$O70))</f>
        <v/>
      </c>
      <c r="C70" s="126" t="str">
        <f>IF($O70="","",INDEX(R_Fecha,$O70))</f>
        <v/>
      </c>
      <c r="D70" s="95" t="str">
        <f>IF($O70="","",INDEX(R_Proy,$O70)&amp;"")</f>
        <v/>
      </c>
      <c r="E70" s="95" t="str">
        <f>IF($O70="","",INDEX(R_Task,$O70)&amp;"")</f>
        <v/>
      </c>
      <c r="F70" s="173" t="str">
        <f>IF($O70="","",INDEX(R_Desc,$O70)&amp;"")</f>
        <v/>
      </c>
      <c r="G70" s="127" t="str">
        <f>IF($O70="","",INDEX(R_Hval,$O70))</f>
        <v/>
      </c>
      <c r="H70" s="172" t="str">
        <f>IF($O70="","",INDEX(R_BlkV,$O70))</f>
        <v/>
      </c>
      <c r="I70" s="95" t="str">
        <f>IF($O70="","",INDEX(R_St,$O70))</f>
        <v/>
      </c>
      <c r="J70" s="126" t="str">
        <f>IF($O70="","",IF(INDEX(R_FEnv,$O70)="","",INDEX(R_FEnv,$O70)))</f>
        <v/>
      </c>
      <c r="K70" s="126" t="str">
        <f>IF($O70="","",IF(INDEX(R_FApr,$O70)="","",INDEX(R_FApr,$O70)))</f>
        <v/>
      </c>
      <c r="L70" s="172" t="str">
        <f>IF($O70="","",IF(INDEX(R_Age,$O70)="","",INDEX(R_Age,$O70)))</f>
        <v/>
      </c>
      <c r="M70" s="173" t="str">
        <f>IF($O70="","",INDEX(R_Alert,$O70)&amp;"")</f>
        <v/>
      </c>
      <c r="O70" t="str">
        <f>IFERROR(MATCH(40,R_PendSeq,0),"")</f>
        <v/>
      </c>
    </row>
    <row r="71">
      <c r="B71" s="172" t="str">
        <f>IF($O71="","",INDEX(R_ID,$O71))</f>
        <v/>
      </c>
      <c r="C71" s="126" t="str">
        <f>IF($O71="","",INDEX(R_Fecha,$O71))</f>
        <v/>
      </c>
      <c r="D71" s="95" t="str">
        <f>IF($O71="","",INDEX(R_Proy,$O71)&amp;"")</f>
        <v/>
      </c>
      <c r="E71" s="95" t="str">
        <f>IF($O71="","",INDEX(R_Task,$O71)&amp;"")</f>
        <v/>
      </c>
      <c r="F71" s="173" t="str">
        <f>IF($O71="","",INDEX(R_Desc,$O71)&amp;"")</f>
        <v/>
      </c>
      <c r="G71" s="127" t="str">
        <f>IF($O71="","",INDEX(R_Hval,$O71))</f>
        <v/>
      </c>
      <c r="H71" s="172" t="str">
        <f>IF($O71="","",INDEX(R_BlkV,$O71))</f>
        <v/>
      </c>
      <c r="I71" s="95" t="str">
        <f>IF($O71="","",INDEX(R_St,$O71))</f>
        <v/>
      </c>
      <c r="J71" s="126" t="str">
        <f>IF($O71="","",IF(INDEX(R_FEnv,$O71)="","",INDEX(R_FEnv,$O71)))</f>
        <v/>
      </c>
      <c r="K71" s="126" t="str">
        <f>IF($O71="","",IF(INDEX(R_FApr,$O71)="","",INDEX(R_FApr,$O71)))</f>
        <v/>
      </c>
      <c r="L71" s="172" t="str">
        <f>IF($O71="","",IF(INDEX(R_Age,$O71)="","",INDEX(R_Age,$O71)))</f>
        <v/>
      </c>
      <c r="M71" s="173" t="str">
        <f>IF($O71="","",INDEX(R_Alert,$O71)&amp;"")</f>
        <v/>
      </c>
      <c r="O71" t="str">
        <f>IFERROR(MATCH(41,R_PendSeq,0),"")</f>
        <v/>
      </c>
    </row>
    <row r="72">
      <c r="B72" s="172" t="str">
        <f>IF($O72="","",INDEX(R_ID,$O72))</f>
        <v/>
      </c>
      <c r="C72" s="126" t="str">
        <f>IF($O72="","",INDEX(R_Fecha,$O72))</f>
        <v/>
      </c>
      <c r="D72" s="95" t="str">
        <f>IF($O72="","",INDEX(R_Proy,$O72)&amp;"")</f>
        <v/>
      </c>
      <c r="E72" s="95" t="str">
        <f>IF($O72="","",INDEX(R_Task,$O72)&amp;"")</f>
        <v/>
      </c>
      <c r="F72" s="173" t="str">
        <f>IF($O72="","",INDEX(R_Desc,$O72)&amp;"")</f>
        <v/>
      </c>
      <c r="G72" s="127" t="str">
        <f>IF($O72="","",INDEX(R_Hval,$O72))</f>
        <v/>
      </c>
      <c r="H72" s="172" t="str">
        <f>IF($O72="","",INDEX(R_BlkV,$O72))</f>
        <v/>
      </c>
      <c r="I72" s="95" t="str">
        <f>IF($O72="","",INDEX(R_St,$O72))</f>
        <v/>
      </c>
      <c r="J72" s="126" t="str">
        <f>IF($O72="","",IF(INDEX(R_FEnv,$O72)="","",INDEX(R_FEnv,$O72)))</f>
        <v/>
      </c>
      <c r="K72" s="126" t="str">
        <f>IF($O72="","",IF(INDEX(R_FApr,$O72)="","",INDEX(R_FApr,$O72)))</f>
        <v/>
      </c>
      <c r="L72" s="172" t="str">
        <f>IF($O72="","",IF(INDEX(R_Age,$O72)="","",INDEX(R_Age,$O72)))</f>
        <v/>
      </c>
      <c r="M72" s="173" t="str">
        <f>IF($O72="","",INDEX(R_Alert,$O72)&amp;"")</f>
        <v/>
      </c>
      <c r="O72" t="str">
        <f>IFERROR(MATCH(42,R_PendSeq,0),"")</f>
        <v/>
      </c>
    </row>
    <row r="73">
      <c r="B73" s="172" t="str">
        <f>IF($O73="","",INDEX(R_ID,$O73))</f>
        <v/>
      </c>
      <c r="C73" s="126" t="str">
        <f>IF($O73="","",INDEX(R_Fecha,$O73))</f>
        <v/>
      </c>
      <c r="D73" s="95" t="str">
        <f>IF($O73="","",INDEX(R_Proy,$O73)&amp;"")</f>
        <v/>
      </c>
      <c r="E73" s="95" t="str">
        <f>IF($O73="","",INDEX(R_Task,$O73)&amp;"")</f>
        <v/>
      </c>
      <c r="F73" s="173" t="str">
        <f>IF($O73="","",INDEX(R_Desc,$O73)&amp;"")</f>
        <v/>
      </c>
      <c r="G73" s="127" t="str">
        <f>IF($O73="","",INDEX(R_Hval,$O73))</f>
        <v/>
      </c>
      <c r="H73" s="172" t="str">
        <f>IF($O73="","",INDEX(R_BlkV,$O73))</f>
        <v/>
      </c>
      <c r="I73" s="95" t="str">
        <f>IF($O73="","",INDEX(R_St,$O73))</f>
        <v/>
      </c>
      <c r="J73" s="126" t="str">
        <f>IF($O73="","",IF(INDEX(R_FEnv,$O73)="","",INDEX(R_FEnv,$O73)))</f>
        <v/>
      </c>
      <c r="K73" s="126" t="str">
        <f>IF($O73="","",IF(INDEX(R_FApr,$O73)="","",INDEX(R_FApr,$O73)))</f>
        <v/>
      </c>
      <c r="L73" s="172" t="str">
        <f>IF($O73="","",IF(INDEX(R_Age,$O73)="","",INDEX(R_Age,$O73)))</f>
        <v/>
      </c>
      <c r="M73" s="173" t="str">
        <f>IF($O73="","",INDEX(R_Alert,$O73)&amp;"")</f>
        <v/>
      </c>
      <c r="O73" t="str">
        <f>IFERROR(MATCH(43,R_PendSeq,0),"")</f>
        <v/>
      </c>
    </row>
    <row r="74">
      <c r="B74" s="172" t="str">
        <f>IF($O74="","",INDEX(R_ID,$O74))</f>
        <v/>
      </c>
      <c r="C74" s="126" t="str">
        <f>IF($O74="","",INDEX(R_Fecha,$O74))</f>
        <v/>
      </c>
      <c r="D74" s="95" t="str">
        <f>IF($O74="","",INDEX(R_Proy,$O74)&amp;"")</f>
        <v/>
      </c>
      <c r="E74" s="95" t="str">
        <f>IF($O74="","",INDEX(R_Task,$O74)&amp;"")</f>
        <v/>
      </c>
      <c r="F74" s="173" t="str">
        <f>IF($O74="","",INDEX(R_Desc,$O74)&amp;"")</f>
        <v/>
      </c>
      <c r="G74" s="127" t="str">
        <f>IF($O74="","",INDEX(R_Hval,$O74))</f>
        <v/>
      </c>
      <c r="H74" s="172" t="str">
        <f>IF($O74="","",INDEX(R_BlkV,$O74))</f>
        <v/>
      </c>
      <c r="I74" s="95" t="str">
        <f>IF($O74="","",INDEX(R_St,$O74))</f>
        <v/>
      </c>
      <c r="J74" s="126" t="str">
        <f>IF($O74="","",IF(INDEX(R_FEnv,$O74)="","",INDEX(R_FEnv,$O74)))</f>
        <v/>
      </c>
      <c r="K74" s="126" t="str">
        <f>IF($O74="","",IF(INDEX(R_FApr,$O74)="","",INDEX(R_FApr,$O74)))</f>
        <v/>
      </c>
      <c r="L74" s="172" t="str">
        <f>IF($O74="","",IF(INDEX(R_Age,$O74)="","",INDEX(R_Age,$O74)))</f>
        <v/>
      </c>
      <c r="M74" s="173" t="str">
        <f>IF($O74="","",INDEX(R_Alert,$O74)&amp;"")</f>
        <v/>
      </c>
      <c r="O74" t="str">
        <f>IFERROR(MATCH(44,R_PendSeq,0),"")</f>
        <v/>
      </c>
    </row>
    <row r="75">
      <c r="B75" s="172" t="str">
        <f>IF($O75="","",INDEX(R_ID,$O75))</f>
        <v/>
      </c>
      <c r="C75" s="126" t="str">
        <f>IF($O75="","",INDEX(R_Fecha,$O75))</f>
        <v/>
      </c>
      <c r="D75" s="95" t="str">
        <f>IF($O75="","",INDEX(R_Proy,$O75)&amp;"")</f>
        <v/>
      </c>
      <c r="E75" s="95" t="str">
        <f>IF($O75="","",INDEX(R_Task,$O75)&amp;"")</f>
        <v/>
      </c>
      <c r="F75" s="173" t="str">
        <f>IF($O75="","",INDEX(R_Desc,$O75)&amp;"")</f>
        <v/>
      </c>
      <c r="G75" s="127" t="str">
        <f>IF($O75="","",INDEX(R_Hval,$O75))</f>
        <v/>
      </c>
      <c r="H75" s="172" t="str">
        <f>IF($O75="","",INDEX(R_BlkV,$O75))</f>
        <v/>
      </c>
      <c r="I75" s="95" t="str">
        <f>IF($O75="","",INDEX(R_St,$O75))</f>
        <v/>
      </c>
      <c r="J75" s="126" t="str">
        <f>IF($O75="","",IF(INDEX(R_FEnv,$O75)="","",INDEX(R_FEnv,$O75)))</f>
        <v/>
      </c>
      <c r="K75" s="126" t="str">
        <f>IF($O75="","",IF(INDEX(R_FApr,$O75)="","",INDEX(R_FApr,$O75)))</f>
        <v/>
      </c>
      <c r="L75" s="172" t="str">
        <f>IF($O75="","",IF(INDEX(R_Age,$O75)="","",INDEX(R_Age,$O75)))</f>
        <v/>
      </c>
      <c r="M75" s="173" t="str">
        <f>IF($O75="","",INDEX(R_Alert,$O75)&amp;"")</f>
        <v/>
      </c>
      <c r="O75" t="str">
        <f>IFERROR(MATCH(45,R_PendSeq,0),"")</f>
        <v/>
      </c>
    </row>
    <row r="76">
      <c r="B76" s="172" t="str">
        <f>IF($O76="","",INDEX(R_ID,$O76))</f>
        <v/>
      </c>
      <c r="C76" s="126" t="str">
        <f>IF($O76="","",INDEX(R_Fecha,$O76))</f>
        <v/>
      </c>
      <c r="D76" s="95" t="str">
        <f>IF($O76="","",INDEX(R_Proy,$O76)&amp;"")</f>
        <v/>
      </c>
      <c r="E76" s="95" t="str">
        <f>IF($O76="","",INDEX(R_Task,$O76)&amp;"")</f>
        <v/>
      </c>
      <c r="F76" s="173" t="str">
        <f>IF($O76="","",INDEX(R_Desc,$O76)&amp;"")</f>
        <v/>
      </c>
      <c r="G76" s="127" t="str">
        <f>IF($O76="","",INDEX(R_Hval,$O76))</f>
        <v/>
      </c>
      <c r="H76" s="172" t="str">
        <f>IF($O76="","",INDEX(R_BlkV,$O76))</f>
        <v/>
      </c>
      <c r="I76" s="95" t="str">
        <f>IF($O76="","",INDEX(R_St,$O76))</f>
        <v/>
      </c>
      <c r="J76" s="126" t="str">
        <f>IF($O76="","",IF(INDEX(R_FEnv,$O76)="","",INDEX(R_FEnv,$O76)))</f>
        <v/>
      </c>
      <c r="K76" s="126" t="str">
        <f>IF($O76="","",IF(INDEX(R_FApr,$O76)="","",INDEX(R_FApr,$O76)))</f>
        <v/>
      </c>
      <c r="L76" s="172" t="str">
        <f>IF($O76="","",IF(INDEX(R_Age,$O76)="","",INDEX(R_Age,$O76)))</f>
        <v/>
      </c>
      <c r="M76" s="173" t="str">
        <f>IF($O76="","",INDEX(R_Alert,$O76)&amp;"")</f>
        <v/>
      </c>
      <c r="O76" t="str">
        <f>IFERROR(MATCH(46,R_PendSeq,0),"")</f>
        <v/>
      </c>
    </row>
    <row r="77">
      <c r="B77" s="172" t="str">
        <f>IF($O77="","",INDEX(R_ID,$O77))</f>
        <v/>
      </c>
      <c r="C77" s="126" t="str">
        <f>IF($O77="","",INDEX(R_Fecha,$O77))</f>
        <v/>
      </c>
      <c r="D77" s="95" t="str">
        <f>IF($O77="","",INDEX(R_Proy,$O77)&amp;"")</f>
        <v/>
      </c>
      <c r="E77" s="95" t="str">
        <f>IF($O77="","",INDEX(R_Task,$O77)&amp;"")</f>
        <v/>
      </c>
      <c r="F77" s="173" t="str">
        <f>IF($O77="","",INDEX(R_Desc,$O77)&amp;"")</f>
        <v/>
      </c>
      <c r="G77" s="127" t="str">
        <f>IF($O77="","",INDEX(R_Hval,$O77))</f>
        <v/>
      </c>
      <c r="H77" s="172" t="str">
        <f>IF($O77="","",INDEX(R_BlkV,$O77))</f>
        <v/>
      </c>
      <c r="I77" s="95" t="str">
        <f>IF($O77="","",INDEX(R_St,$O77))</f>
        <v/>
      </c>
      <c r="J77" s="126" t="str">
        <f>IF($O77="","",IF(INDEX(R_FEnv,$O77)="","",INDEX(R_FEnv,$O77)))</f>
        <v/>
      </c>
      <c r="K77" s="126" t="str">
        <f>IF($O77="","",IF(INDEX(R_FApr,$O77)="","",INDEX(R_FApr,$O77)))</f>
        <v/>
      </c>
      <c r="L77" s="172" t="str">
        <f>IF($O77="","",IF(INDEX(R_Age,$O77)="","",INDEX(R_Age,$O77)))</f>
        <v/>
      </c>
      <c r="M77" s="173" t="str">
        <f>IF($O77="","",INDEX(R_Alert,$O77)&amp;"")</f>
        <v/>
      </c>
      <c r="O77" t="str">
        <f>IFERROR(MATCH(47,R_PendSeq,0),"")</f>
        <v/>
      </c>
    </row>
    <row r="78">
      <c r="B78" s="172" t="str">
        <f>IF($O78="","",INDEX(R_ID,$O78))</f>
        <v/>
      </c>
      <c r="C78" s="126" t="str">
        <f>IF($O78="","",INDEX(R_Fecha,$O78))</f>
        <v/>
      </c>
      <c r="D78" s="95" t="str">
        <f>IF($O78="","",INDEX(R_Proy,$O78)&amp;"")</f>
        <v/>
      </c>
      <c r="E78" s="95" t="str">
        <f>IF($O78="","",INDEX(R_Task,$O78)&amp;"")</f>
        <v/>
      </c>
      <c r="F78" s="173" t="str">
        <f>IF($O78="","",INDEX(R_Desc,$O78)&amp;"")</f>
        <v/>
      </c>
      <c r="G78" s="127" t="str">
        <f>IF($O78="","",INDEX(R_Hval,$O78))</f>
        <v/>
      </c>
      <c r="H78" s="172" t="str">
        <f>IF($O78="","",INDEX(R_BlkV,$O78))</f>
        <v/>
      </c>
      <c r="I78" s="95" t="str">
        <f>IF($O78="","",INDEX(R_St,$O78))</f>
        <v/>
      </c>
      <c r="J78" s="126" t="str">
        <f>IF($O78="","",IF(INDEX(R_FEnv,$O78)="","",INDEX(R_FEnv,$O78)))</f>
        <v/>
      </c>
      <c r="K78" s="126" t="str">
        <f>IF($O78="","",IF(INDEX(R_FApr,$O78)="","",INDEX(R_FApr,$O78)))</f>
        <v/>
      </c>
      <c r="L78" s="172" t="str">
        <f>IF($O78="","",IF(INDEX(R_Age,$O78)="","",INDEX(R_Age,$O78)))</f>
        <v/>
      </c>
      <c r="M78" s="173" t="str">
        <f>IF($O78="","",INDEX(R_Alert,$O78)&amp;"")</f>
        <v/>
      </c>
      <c r="O78" t="str">
        <f>IFERROR(MATCH(48,R_PendSeq,0),"")</f>
        <v/>
      </c>
    </row>
    <row r="79">
      <c r="B79" s="172" t="str">
        <f>IF($O79="","",INDEX(R_ID,$O79))</f>
        <v/>
      </c>
      <c r="C79" s="126" t="str">
        <f>IF($O79="","",INDEX(R_Fecha,$O79))</f>
        <v/>
      </c>
      <c r="D79" s="95" t="str">
        <f>IF($O79="","",INDEX(R_Proy,$O79)&amp;"")</f>
        <v/>
      </c>
      <c r="E79" s="95" t="str">
        <f>IF($O79="","",INDEX(R_Task,$O79)&amp;"")</f>
        <v/>
      </c>
      <c r="F79" s="173" t="str">
        <f>IF($O79="","",INDEX(R_Desc,$O79)&amp;"")</f>
        <v/>
      </c>
      <c r="G79" s="127" t="str">
        <f>IF($O79="","",INDEX(R_Hval,$O79))</f>
        <v/>
      </c>
      <c r="H79" s="172" t="str">
        <f>IF($O79="","",INDEX(R_BlkV,$O79))</f>
        <v/>
      </c>
      <c r="I79" s="95" t="str">
        <f>IF($O79="","",INDEX(R_St,$O79))</f>
        <v/>
      </c>
      <c r="J79" s="126" t="str">
        <f>IF($O79="","",IF(INDEX(R_FEnv,$O79)="","",INDEX(R_FEnv,$O79)))</f>
        <v/>
      </c>
      <c r="K79" s="126" t="str">
        <f>IF($O79="","",IF(INDEX(R_FApr,$O79)="","",INDEX(R_FApr,$O79)))</f>
        <v/>
      </c>
      <c r="L79" s="172" t="str">
        <f>IF($O79="","",IF(INDEX(R_Age,$O79)="","",INDEX(R_Age,$O79)))</f>
        <v/>
      </c>
      <c r="M79" s="173" t="str">
        <f>IF($O79="","",INDEX(R_Alert,$O79)&amp;"")</f>
        <v/>
      </c>
      <c r="O79" t="str">
        <f>IFERROR(MATCH(49,R_PendSeq,0),"")</f>
        <v/>
      </c>
    </row>
    <row r="80">
      <c r="B80" s="172" t="str">
        <f>IF($O80="","",INDEX(R_ID,$O80))</f>
        <v/>
      </c>
      <c r="C80" s="126" t="str">
        <f>IF($O80="","",INDEX(R_Fecha,$O80))</f>
        <v/>
      </c>
      <c r="D80" s="95" t="str">
        <f>IF($O80="","",INDEX(R_Proy,$O80)&amp;"")</f>
        <v/>
      </c>
      <c r="E80" s="95" t="str">
        <f>IF($O80="","",INDEX(R_Task,$O80)&amp;"")</f>
        <v/>
      </c>
      <c r="F80" s="173" t="str">
        <f>IF($O80="","",INDEX(R_Desc,$O80)&amp;"")</f>
        <v/>
      </c>
      <c r="G80" s="127" t="str">
        <f>IF($O80="","",INDEX(R_Hval,$O80))</f>
        <v/>
      </c>
      <c r="H80" s="172" t="str">
        <f>IF($O80="","",INDEX(R_BlkV,$O80))</f>
        <v/>
      </c>
      <c r="I80" s="95" t="str">
        <f>IF($O80="","",INDEX(R_St,$O80))</f>
        <v/>
      </c>
      <c r="J80" s="126" t="str">
        <f>IF($O80="","",IF(INDEX(R_FEnv,$O80)="","",INDEX(R_FEnv,$O80)))</f>
        <v/>
      </c>
      <c r="K80" s="126" t="str">
        <f>IF($O80="","",IF(INDEX(R_FApr,$O80)="","",INDEX(R_FApr,$O80)))</f>
        <v/>
      </c>
      <c r="L80" s="172" t="str">
        <f>IF($O80="","",IF(INDEX(R_Age,$O80)="","",INDEX(R_Age,$O80)))</f>
        <v/>
      </c>
      <c r="M80" s="173" t="str">
        <f>IF($O80="","",INDEX(R_Alert,$O80)&amp;"")</f>
        <v/>
      </c>
      <c r="O80" t="str">
        <f>IFERROR(MATCH(50,R_PendSeq,0),"")</f>
        <v/>
      </c>
    </row>
    <row r="81">
      <c r="B81" s="172" t="str">
        <f>IF($O81="","",INDEX(R_ID,$O81))</f>
        <v/>
      </c>
      <c r="C81" s="126" t="str">
        <f>IF($O81="","",INDEX(R_Fecha,$O81))</f>
        <v/>
      </c>
      <c r="D81" s="95" t="str">
        <f>IF($O81="","",INDEX(R_Proy,$O81)&amp;"")</f>
        <v/>
      </c>
      <c r="E81" s="95" t="str">
        <f>IF($O81="","",INDEX(R_Task,$O81)&amp;"")</f>
        <v/>
      </c>
      <c r="F81" s="173" t="str">
        <f>IF($O81="","",INDEX(R_Desc,$O81)&amp;"")</f>
        <v/>
      </c>
      <c r="G81" s="127" t="str">
        <f>IF($O81="","",INDEX(R_Hval,$O81))</f>
        <v/>
      </c>
      <c r="H81" s="172" t="str">
        <f>IF($O81="","",INDEX(R_BlkV,$O81))</f>
        <v/>
      </c>
      <c r="I81" s="95" t="str">
        <f>IF($O81="","",INDEX(R_St,$O81))</f>
        <v/>
      </c>
      <c r="J81" s="126" t="str">
        <f>IF($O81="","",IF(INDEX(R_FEnv,$O81)="","",INDEX(R_FEnv,$O81)))</f>
        <v/>
      </c>
      <c r="K81" s="126" t="str">
        <f>IF($O81="","",IF(INDEX(R_FApr,$O81)="","",INDEX(R_FApr,$O81)))</f>
        <v/>
      </c>
      <c r="L81" s="172" t="str">
        <f>IF($O81="","",IF(INDEX(R_Age,$O81)="","",INDEX(R_Age,$O81)))</f>
        <v/>
      </c>
      <c r="M81" s="173" t="str">
        <f>IF($O81="","",INDEX(R_Alert,$O81)&amp;"")</f>
        <v/>
      </c>
      <c r="O81" t="str">
        <f>IFERROR(MATCH(51,R_PendSeq,0),"")</f>
        <v/>
      </c>
    </row>
    <row r="82">
      <c r="B82" s="172" t="str">
        <f>IF($O82="","",INDEX(R_ID,$O82))</f>
        <v/>
      </c>
      <c r="C82" s="126" t="str">
        <f>IF($O82="","",INDEX(R_Fecha,$O82))</f>
        <v/>
      </c>
      <c r="D82" s="95" t="str">
        <f>IF($O82="","",INDEX(R_Proy,$O82)&amp;"")</f>
        <v/>
      </c>
      <c r="E82" s="95" t="str">
        <f>IF($O82="","",INDEX(R_Task,$O82)&amp;"")</f>
        <v/>
      </c>
      <c r="F82" s="173" t="str">
        <f>IF($O82="","",INDEX(R_Desc,$O82)&amp;"")</f>
        <v/>
      </c>
      <c r="G82" s="127" t="str">
        <f>IF($O82="","",INDEX(R_Hval,$O82))</f>
        <v/>
      </c>
      <c r="H82" s="172" t="str">
        <f>IF($O82="","",INDEX(R_BlkV,$O82))</f>
        <v/>
      </c>
      <c r="I82" s="95" t="str">
        <f>IF($O82="","",INDEX(R_St,$O82))</f>
        <v/>
      </c>
      <c r="J82" s="126" t="str">
        <f>IF($O82="","",IF(INDEX(R_FEnv,$O82)="","",INDEX(R_FEnv,$O82)))</f>
        <v/>
      </c>
      <c r="K82" s="126" t="str">
        <f>IF($O82="","",IF(INDEX(R_FApr,$O82)="","",INDEX(R_FApr,$O82)))</f>
        <v/>
      </c>
      <c r="L82" s="172" t="str">
        <f>IF($O82="","",IF(INDEX(R_Age,$O82)="","",INDEX(R_Age,$O82)))</f>
        <v/>
      </c>
      <c r="M82" s="173" t="str">
        <f>IF($O82="","",INDEX(R_Alert,$O82)&amp;"")</f>
        <v/>
      </c>
      <c r="O82" t="str">
        <f>IFERROR(MATCH(52,R_PendSeq,0),"")</f>
        <v/>
      </c>
    </row>
    <row r="83">
      <c r="B83" s="172" t="str">
        <f>IF($O83="","",INDEX(R_ID,$O83))</f>
        <v/>
      </c>
      <c r="C83" s="126" t="str">
        <f>IF($O83="","",INDEX(R_Fecha,$O83))</f>
        <v/>
      </c>
      <c r="D83" s="95" t="str">
        <f>IF($O83="","",INDEX(R_Proy,$O83)&amp;"")</f>
        <v/>
      </c>
      <c r="E83" s="95" t="str">
        <f>IF($O83="","",INDEX(R_Task,$O83)&amp;"")</f>
        <v/>
      </c>
      <c r="F83" s="173" t="str">
        <f>IF($O83="","",INDEX(R_Desc,$O83)&amp;"")</f>
        <v/>
      </c>
      <c r="G83" s="127" t="str">
        <f>IF($O83="","",INDEX(R_Hval,$O83))</f>
        <v/>
      </c>
      <c r="H83" s="172" t="str">
        <f>IF($O83="","",INDEX(R_BlkV,$O83))</f>
        <v/>
      </c>
      <c r="I83" s="95" t="str">
        <f>IF($O83="","",INDEX(R_St,$O83))</f>
        <v/>
      </c>
      <c r="J83" s="126" t="str">
        <f>IF($O83="","",IF(INDEX(R_FEnv,$O83)="","",INDEX(R_FEnv,$O83)))</f>
        <v/>
      </c>
      <c r="K83" s="126" t="str">
        <f>IF($O83="","",IF(INDEX(R_FApr,$O83)="","",INDEX(R_FApr,$O83)))</f>
        <v/>
      </c>
      <c r="L83" s="172" t="str">
        <f>IF($O83="","",IF(INDEX(R_Age,$O83)="","",INDEX(R_Age,$O83)))</f>
        <v/>
      </c>
      <c r="M83" s="173" t="str">
        <f>IF($O83="","",INDEX(R_Alert,$O83)&amp;"")</f>
        <v/>
      </c>
      <c r="O83" t="str">
        <f>IFERROR(MATCH(53,R_PendSeq,0),"")</f>
        <v/>
      </c>
    </row>
    <row r="84">
      <c r="B84" s="172" t="str">
        <f>IF($O84="","",INDEX(R_ID,$O84))</f>
        <v/>
      </c>
      <c r="C84" s="126" t="str">
        <f>IF($O84="","",INDEX(R_Fecha,$O84))</f>
        <v/>
      </c>
      <c r="D84" s="95" t="str">
        <f>IF($O84="","",INDEX(R_Proy,$O84)&amp;"")</f>
        <v/>
      </c>
      <c r="E84" s="95" t="str">
        <f>IF($O84="","",INDEX(R_Task,$O84)&amp;"")</f>
        <v/>
      </c>
      <c r="F84" s="173" t="str">
        <f>IF($O84="","",INDEX(R_Desc,$O84)&amp;"")</f>
        <v/>
      </c>
      <c r="G84" s="127" t="str">
        <f>IF($O84="","",INDEX(R_Hval,$O84))</f>
        <v/>
      </c>
      <c r="H84" s="172" t="str">
        <f>IF($O84="","",INDEX(R_BlkV,$O84))</f>
        <v/>
      </c>
      <c r="I84" s="95" t="str">
        <f>IF($O84="","",INDEX(R_St,$O84))</f>
        <v/>
      </c>
      <c r="J84" s="126" t="str">
        <f>IF($O84="","",IF(INDEX(R_FEnv,$O84)="","",INDEX(R_FEnv,$O84)))</f>
        <v/>
      </c>
      <c r="K84" s="126" t="str">
        <f>IF($O84="","",IF(INDEX(R_FApr,$O84)="","",INDEX(R_FApr,$O84)))</f>
        <v/>
      </c>
      <c r="L84" s="172" t="str">
        <f>IF($O84="","",IF(INDEX(R_Age,$O84)="","",INDEX(R_Age,$O84)))</f>
        <v/>
      </c>
      <c r="M84" s="173" t="str">
        <f>IF($O84="","",INDEX(R_Alert,$O84)&amp;"")</f>
        <v/>
      </c>
      <c r="O84" t="str">
        <f>IFERROR(MATCH(54,R_PendSeq,0),"")</f>
        <v/>
      </c>
    </row>
    <row r="85">
      <c r="B85" s="172" t="str">
        <f>IF($O85="","",INDEX(R_ID,$O85))</f>
        <v/>
      </c>
      <c r="C85" s="126" t="str">
        <f>IF($O85="","",INDEX(R_Fecha,$O85))</f>
        <v/>
      </c>
      <c r="D85" s="95" t="str">
        <f>IF($O85="","",INDEX(R_Proy,$O85)&amp;"")</f>
        <v/>
      </c>
      <c r="E85" s="95" t="str">
        <f>IF($O85="","",INDEX(R_Task,$O85)&amp;"")</f>
        <v/>
      </c>
      <c r="F85" s="173" t="str">
        <f>IF($O85="","",INDEX(R_Desc,$O85)&amp;"")</f>
        <v/>
      </c>
      <c r="G85" s="127" t="str">
        <f>IF($O85="","",INDEX(R_Hval,$O85))</f>
        <v/>
      </c>
      <c r="H85" s="172" t="str">
        <f>IF($O85="","",INDEX(R_BlkV,$O85))</f>
        <v/>
      </c>
      <c r="I85" s="95" t="str">
        <f>IF($O85="","",INDEX(R_St,$O85))</f>
        <v/>
      </c>
      <c r="J85" s="126" t="str">
        <f>IF($O85="","",IF(INDEX(R_FEnv,$O85)="","",INDEX(R_FEnv,$O85)))</f>
        <v/>
      </c>
      <c r="K85" s="126" t="str">
        <f>IF($O85="","",IF(INDEX(R_FApr,$O85)="","",INDEX(R_FApr,$O85)))</f>
        <v/>
      </c>
      <c r="L85" s="172" t="str">
        <f>IF($O85="","",IF(INDEX(R_Age,$O85)="","",INDEX(R_Age,$O85)))</f>
        <v/>
      </c>
      <c r="M85" s="173" t="str">
        <f>IF($O85="","",INDEX(R_Alert,$O85)&amp;"")</f>
        <v/>
      </c>
      <c r="O85" t="str">
        <f>IFERROR(MATCH(55,R_PendSeq,0),"")</f>
        <v/>
      </c>
    </row>
    <row r="86">
      <c r="B86" s="172" t="str">
        <f>IF($O86="","",INDEX(R_ID,$O86))</f>
        <v/>
      </c>
      <c r="C86" s="126" t="str">
        <f>IF($O86="","",INDEX(R_Fecha,$O86))</f>
        <v/>
      </c>
      <c r="D86" s="95" t="str">
        <f>IF($O86="","",INDEX(R_Proy,$O86)&amp;"")</f>
        <v/>
      </c>
      <c r="E86" s="95" t="str">
        <f>IF($O86="","",INDEX(R_Task,$O86)&amp;"")</f>
        <v/>
      </c>
      <c r="F86" s="173" t="str">
        <f>IF($O86="","",INDEX(R_Desc,$O86)&amp;"")</f>
        <v/>
      </c>
      <c r="G86" s="127" t="str">
        <f>IF($O86="","",INDEX(R_Hval,$O86))</f>
        <v/>
      </c>
      <c r="H86" s="172" t="str">
        <f>IF($O86="","",INDEX(R_BlkV,$O86))</f>
        <v/>
      </c>
      <c r="I86" s="95" t="str">
        <f>IF($O86="","",INDEX(R_St,$O86))</f>
        <v/>
      </c>
      <c r="J86" s="126" t="str">
        <f>IF($O86="","",IF(INDEX(R_FEnv,$O86)="","",INDEX(R_FEnv,$O86)))</f>
        <v/>
      </c>
      <c r="K86" s="126" t="str">
        <f>IF($O86="","",IF(INDEX(R_FApr,$O86)="","",INDEX(R_FApr,$O86)))</f>
        <v/>
      </c>
      <c r="L86" s="172" t="str">
        <f>IF($O86="","",IF(INDEX(R_Age,$O86)="","",INDEX(R_Age,$O86)))</f>
        <v/>
      </c>
      <c r="M86" s="173" t="str">
        <f>IF($O86="","",INDEX(R_Alert,$O86)&amp;"")</f>
        <v/>
      </c>
      <c r="O86" t="str">
        <f>IFERROR(MATCH(56,R_PendSeq,0),"")</f>
        <v/>
      </c>
    </row>
    <row r="87">
      <c r="B87" s="172" t="str">
        <f>IF($O87="","",INDEX(R_ID,$O87))</f>
        <v/>
      </c>
      <c r="C87" s="126" t="str">
        <f>IF($O87="","",INDEX(R_Fecha,$O87))</f>
        <v/>
      </c>
      <c r="D87" s="95" t="str">
        <f>IF($O87="","",INDEX(R_Proy,$O87)&amp;"")</f>
        <v/>
      </c>
      <c r="E87" s="95" t="str">
        <f>IF($O87="","",INDEX(R_Task,$O87)&amp;"")</f>
        <v/>
      </c>
      <c r="F87" s="173" t="str">
        <f>IF($O87="","",INDEX(R_Desc,$O87)&amp;"")</f>
        <v/>
      </c>
      <c r="G87" s="127" t="str">
        <f>IF($O87="","",INDEX(R_Hval,$O87))</f>
        <v/>
      </c>
      <c r="H87" s="172" t="str">
        <f>IF($O87="","",INDEX(R_BlkV,$O87))</f>
        <v/>
      </c>
      <c r="I87" s="95" t="str">
        <f>IF($O87="","",INDEX(R_St,$O87))</f>
        <v/>
      </c>
      <c r="J87" s="126" t="str">
        <f>IF($O87="","",IF(INDEX(R_FEnv,$O87)="","",INDEX(R_FEnv,$O87)))</f>
        <v/>
      </c>
      <c r="K87" s="126" t="str">
        <f>IF($O87="","",IF(INDEX(R_FApr,$O87)="","",INDEX(R_FApr,$O87)))</f>
        <v/>
      </c>
      <c r="L87" s="172" t="str">
        <f>IF($O87="","",IF(INDEX(R_Age,$O87)="","",INDEX(R_Age,$O87)))</f>
        <v/>
      </c>
      <c r="M87" s="173" t="str">
        <f>IF($O87="","",INDEX(R_Alert,$O87)&amp;"")</f>
        <v/>
      </c>
      <c r="O87" t="str">
        <f>IFERROR(MATCH(57,R_PendSeq,0),"")</f>
        <v/>
      </c>
    </row>
    <row r="88">
      <c r="B88" s="172" t="str">
        <f>IF($O88="","",INDEX(R_ID,$O88))</f>
        <v/>
      </c>
      <c r="C88" s="126" t="str">
        <f>IF($O88="","",INDEX(R_Fecha,$O88))</f>
        <v/>
      </c>
      <c r="D88" s="95" t="str">
        <f>IF($O88="","",INDEX(R_Proy,$O88)&amp;"")</f>
        <v/>
      </c>
      <c r="E88" s="95" t="str">
        <f>IF($O88="","",INDEX(R_Task,$O88)&amp;"")</f>
        <v/>
      </c>
      <c r="F88" s="173" t="str">
        <f>IF($O88="","",INDEX(R_Desc,$O88)&amp;"")</f>
        <v/>
      </c>
      <c r="G88" s="127" t="str">
        <f>IF($O88="","",INDEX(R_Hval,$O88))</f>
        <v/>
      </c>
      <c r="H88" s="172" t="str">
        <f>IF($O88="","",INDEX(R_BlkV,$O88))</f>
        <v/>
      </c>
      <c r="I88" s="95" t="str">
        <f>IF($O88="","",INDEX(R_St,$O88))</f>
        <v/>
      </c>
      <c r="J88" s="126" t="str">
        <f>IF($O88="","",IF(INDEX(R_FEnv,$O88)="","",INDEX(R_FEnv,$O88)))</f>
        <v/>
      </c>
      <c r="K88" s="126" t="str">
        <f>IF($O88="","",IF(INDEX(R_FApr,$O88)="","",INDEX(R_FApr,$O88)))</f>
        <v/>
      </c>
      <c r="L88" s="172" t="str">
        <f>IF($O88="","",IF(INDEX(R_Age,$O88)="","",INDEX(R_Age,$O88)))</f>
        <v/>
      </c>
      <c r="M88" s="173" t="str">
        <f>IF($O88="","",INDEX(R_Alert,$O88)&amp;"")</f>
        <v/>
      </c>
      <c r="O88" t="str">
        <f>IFERROR(MATCH(58,R_PendSeq,0),"")</f>
        <v/>
      </c>
    </row>
    <row r="89">
      <c r="B89" s="172" t="str">
        <f>IF($O89="","",INDEX(R_ID,$O89))</f>
        <v/>
      </c>
      <c r="C89" s="126" t="str">
        <f>IF($O89="","",INDEX(R_Fecha,$O89))</f>
        <v/>
      </c>
      <c r="D89" s="95" t="str">
        <f>IF($O89="","",INDEX(R_Proy,$O89)&amp;"")</f>
        <v/>
      </c>
      <c r="E89" s="95" t="str">
        <f>IF($O89="","",INDEX(R_Task,$O89)&amp;"")</f>
        <v/>
      </c>
      <c r="F89" s="173" t="str">
        <f>IF($O89="","",INDEX(R_Desc,$O89)&amp;"")</f>
        <v/>
      </c>
      <c r="G89" s="127" t="str">
        <f>IF($O89="","",INDEX(R_Hval,$O89))</f>
        <v/>
      </c>
      <c r="H89" s="172" t="str">
        <f>IF($O89="","",INDEX(R_BlkV,$O89))</f>
        <v/>
      </c>
      <c r="I89" s="95" t="str">
        <f>IF($O89="","",INDEX(R_St,$O89))</f>
        <v/>
      </c>
      <c r="J89" s="126" t="str">
        <f>IF($O89="","",IF(INDEX(R_FEnv,$O89)="","",INDEX(R_FEnv,$O89)))</f>
        <v/>
      </c>
      <c r="K89" s="126" t="str">
        <f>IF($O89="","",IF(INDEX(R_FApr,$O89)="","",INDEX(R_FApr,$O89)))</f>
        <v/>
      </c>
      <c r="L89" s="172" t="str">
        <f>IF($O89="","",IF(INDEX(R_Age,$O89)="","",INDEX(R_Age,$O89)))</f>
        <v/>
      </c>
      <c r="M89" s="173" t="str">
        <f>IF($O89="","",INDEX(R_Alert,$O89)&amp;"")</f>
        <v/>
      </c>
      <c r="O89" t="str">
        <f>IFERROR(MATCH(59,R_PendSeq,0),"")</f>
        <v/>
      </c>
    </row>
    <row r="90">
      <c r="B90" s="172" t="str">
        <f>IF($O90="","",INDEX(R_ID,$O90))</f>
        <v/>
      </c>
      <c r="C90" s="126" t="str">
        <f>IF($O90="","",INDEX(R_Fecha,$O90))</f>
        <v/>
      </c>
      <c r="D90" s="95" t="str">
        <f>IF($O90="","",INDEX(R_Proy,$O90)&amp;"")</f>
        <v/>
      </c>
      <c r="E90" s="95" t="str">
        <f>IF($O90="","",INDEX(R_Task,$O90)&amp;"")</f>
        <v/>
      </c>
      <c r="F90" s="173" t="str">
        <f>IF($O90="","",INDEX(R_Desc,$O90)&amp;"")</f>
        <v/>
      </c>
      <c r="G90" s="127" t="str">
        <f>IF($O90="","",INDEX(R_Hval,$O90))</f>
        <v/>
      </c>
      <c r="H90" s="172" t="str">
        <f>IF($O90="","",INDEX(R_BlkV,$O90))</f>
        <v/>
      </c>
      <c r="I90" s="95" t="str">
        <f>IF($O90="","",INDEX(R_St,$O90))</f>
        <v/>
      </c>
      <c r="J90" s="126" t="str">
        <f>IF($O90="","",IF(INDEX(R_FEnv,$O90)="","",INDEX(R_FEnv,$O90)))</f>
        <v/>
      </c>
      <c r="K90" s="126" t="str">
        <f>IF($O90="","",IF(INDEX(R_FApr,$O90)="","",INDEX(R_FApr,$O90)))</f>
        <v/>
      </c>
      <c r="L90" s="172" t="str">
        <f>IF($O90="","",IF(INDEX(R_Age,$O90)="","",INDEX(R_Age,$O90)))</f>
        <v/>
      </c>
      <c r="M90" s="173" t="str">
        <f>IF($O90="","",INDEX(R_Alert,$O90)&amp;"")</f>
        <v/>
      </c>
      <c r="O90" t="str">
        <f>IFERROR(MATCH(60,R_PendSeq,0),"")</f>
        <v/>
      </c>
    </row>
    <row r="91">
      <c r="B91" s="172" t="str">
        <f>IF($O91="","",INDEX(R_ID,$O91))</f>
        <v/>
      </c>
      <c r="C91" s="126" t="str">
        <f>IF($O91="","",INDEX(R_Fecha,$O91))</f>
        <v/>
      </c>
      <c r="D91" s="95" t="str">
        <f>IF($O91="","",INDEX(R_Proy,$O91)&amp;"")</f>
        <v/>
      </c>
      <c r="E91" s="95" t="str">
        <f>IF($O91="","",INDEX(R_Task,$O91)&amp;"")</f>
        <v/>
      </c>
      <c r="F91" s="173" t="str">
        <f>IF($O91="","",INDEX(R_Desc,$O91)&amp;"")</f>
        <v/>
      </c>
      <c r="G91" s="127" t="str">
        <f>IF($O91="","",INDEX(R_Hval,$O91))</f>
        <v/>
      </c>
      <c r="H91" s="172" t="str">
        <f>IF($O91="","",INDEX(R_BlkV,$O91))</f>
        <v/>
      </c>
      <c r="I91" s="95" t="str">
        <f>IF($O91="","",INDEX(R_St,$O91))</f>
        <v/>
      </c>
      <c r="J91" s="126" t="str">
        <f>IF($O91="","",IF(INDEX(R_FEnv,$O91)="","",INDEX(R_FEnv,$O91)))</f>
        <v/>
      </c>
      <c r="K91" s="126" t="str">
        <f>IF($O91="","",IF(INDEX(R_FApr,$O91)="","",INDEX(R_FApr,$O91)))</f>
        <v/>
      </c>
      <c r="L91" s="172" t="str">
        <f>IF($O91="","",IF(INDEX(R_Age,$O91)="","",INDEX(R_Age,$O91)))</f>
        <v/>
      </c>
      <c r="M91" s="173" t="str">
        <f>IF($O91="","",INDEX(R_Alert,$O91)&amp;"")</f>
        <v/>
      </c>
      <c r="O91" t="str">
        <f>IFERROR(MATCH(61,R_PendSeq,0),"")</f>
        <v/>
      </c>
    </row>
    <row r="92">
      <c r="B92" s="172" t="str">
        <f>IF($O92="","",INDEX(R_ID,$O92))</f>
        <v/>
      </c>
      <c r="C92" s="126" t="str">
        <f>IF($O92="","",INDEX(R_Fecha,$O92))</f>
        <v/>
      </c>
      <c r="D92" s="95" t="str">
        <f>IF($O92="","",INDEX(R_Proy,$O92)&amp;"")</f>
        <v/>
      </c>
      <c r="E92" s="95" t="str">
        <f>IF($O92="","",INDEX(R_Task,$O92)&amp;"")</f>
        <v/>
      </c>
      <c r="F92" s="173" t="str">
        <f>IF($O92="","",INDEX(R_Desc,$O92)&amp;"")</f>
        <v/>
      </c>
      <c r="G92" s="127" t="str">
        <f>IF($O92="","",INDEX(R_Hval,$O92))</f>
        <v/>
      </c>
      <c r="H92" s="172" t="str">
        <f>IF($O92="","",INDEX(R_BlkV,$O92))</f>
        <v/>
      </c>
      <c r="I92" s="95" t="str">
        <f>IF($O92="","",INDEX(R_St,$O92))</f>
        <v/>
      </c>
      <c r="J92" s="126" t="str">
        <f>IF($O92="","",IF(INDEX(R_FEnv,$O92)="","",INDEX(R_FEnv,$O92)))</f>
        <v/>
      </c>
      <c r="K92" s="126" t="str">
        <f>IF($O92="","",IF(INDEX(R_FApr,$O92)="","",INDEX(R_FApr,$O92)))</f>
        <v/>
      </c>
      <c r="L92" s="172" t="str">
        <f>IF($O92="","",IF(INDEX(R_Age,$O92)="","",INDEX(R_Age,$O92)))</f>
        <v/>
      </c>
      <c r="M92" s="173" t="str">
        <f>IF($O92="","",INDEX(R_Alert,$O92)&amp;"")</f>
        <v/>
      </c>
      <c r="O92" t="str">
        <f>IFERROR(MATCH(62,R_PendSeq,0),"")</f>
        <v/>
      </c>
    </row>
    <row r="93">
      <c r="B93" s="172" t="str">
        <f>IF($O93="","",INDEX(R_ID,$O93))</f>
        <v/>
      </c>
      <c r="C93" s="126" t="str">
        <f>IF($O93="","",INDEX(R_Fecha,$O93))</f>
        <v/>
      </c>
      <c r="D93" s="95" t="str">
        <f>IF($O93="","",INDEX(R_Proy,$O93)&amp;"")</f>
        <v/>
      </c>
      <c r="E93" s="95" t="str">
        <f>IF($O93="","",INDEX(R_Task,$O93)&amp;"")</f>
        <v/>
      </c>
      <c r="F93" s="173" t="str">
        <f>IF($O93="","",INDEX(R_Desc,$O93)&amp;"")</f>
        <v/>
      </c>
      <c r="G93" s="127" t="str">
        <f>IF($O93="","",INDEX(R_Hval,$O93))</f>
        <v/>
      </c>
      <c r="H93" s="172" t="str">
        <f>IF($O93="","",INDEX(R_BlkV,$O93))</f>
        <v/>
      </c>
      <c r="I93" s="95" t="str">
        <f>IF($O93="","",INDEX(R_St,$O93))</f>
        <v/>
      </c>
      <c r="J93" s="126" t="str">
        <f>IF($O93="","",IF(INDEX(R_FEnv,$O93)="","",INDEX(R_FEnv,$O93)))</f>
        <v/>
      </c>
      <c r="K93" s="126" t="str">
        <f>IF($O93="","",IF(INDEX(R_FApr,$O93)="","",INDEX(R_FApr,$O93)))</f>
        <v/>
      </c>
      <c r="L93" s="172" t="str">
        <f>IF($O93="","",IF(INDEX(R_Age,$O93)="","",INDEX(R_Age,$O93)))</f>
        <v/>
      </c>
      <c r="M93" s="173" t="str">
        <f>IF($O93="","",INDEX(R_Alert,$O93)&amp;"")</f>
        <v/>
      </c>
      <c r="O93" t="str">
        <f>IFERROR(MATCH(63,R_PendSeq,0),"")</f>
        <v/>
      </c>
    </row>
    <row r="94">
      <c r="B94" s="172" t="str">
        <f>IF($O94="","",INDEX(R_ID,$O94))</f>
        <v/>
      </c>
      <c r="C94" s="126" t="str">
        <f>IF($O94="","",INDEX(R_Fecha,$O94))</f>
        <v/>
      </c>
      <c r="D94" s="95" t="str">
        <f>IF($O94="","",INDEX(R_Proy,$O94)&amp;"")</f>
        <v/>
      </c>
      <c r="E94" s="95" t="str">
        <f>IF($O94="","",INDEX(R_Task,$O94)&amp;"")</f>
        <v/>
      </c>
      <c r="F94" s="173" t="str">
        <f>IF($O94="","",INDEX(R_Desc,$O94)&amp;"")</f>
        <v/>
      </c>
      <c r="G94" s="127" t="str">
        <f>IF($O94="","",INDEX(R_Hval,$O94))</f>
        <v/>
      </c>
      <c r="H94" s="172" t="str">
        <f>IF($O94="","",INDEX(R_BlkV,$O94))</f>
        <v/>
      </c>
      <c r="I94" s="95" t="str">
        <f>IF($O94="","",INDEX(R_St,$O94))</f>
        <v/>
      </c>
      <c r="J94" s="126" t="str">
        <f>IF($O94="","",IF(INDEX(R_FEnv,$O94)="","",INDEX(R_FEnv,$O94)))</f>
        <v/>
      </c>
      <c r="K94" s="126" t="str">
        <f>IF($O94="","",IF(INDEX(R_FApr,$O94)="","",INDEX(R_FApr,$O94)))</f>
        <v/>
      </c>
      <c r="L94" s="172" t="str">
        <f>IF($O94="","",IF(INDEX(R_Age,$O94)="","",INDEX(R_Age,$O94)))</f>
        <v/>
      </c>
      <c r="M94" s="173" t="str">
        <f>IF($O94="","",INDEX(R_Alert,$O94)&amp;"")</f>
        <v/>
      </c>
      <c r="O94" t="str">
        <f>IFERROR(MATCH(64,R_PendSeq,0),"")</f>
        <v/>
      </c>
    </row>
    <row r="95">
      <c r="B95" s="172" t="str">
        <f>IF($O95="","",INDEX(R_ID,$O95))</f>
        <v/>
      </c>
      <c r="C95" s="126" t="str">
        <f>IF($O95="","",INDEX(R_Fecha,$O95))</f>
        <v/>
      </c>
      <c r="D95" s="95" t="str">
        <f>IF($O95="","",INDEX(R_Proy,$O95)&amp;"")</f>
        <v/>
      </c>
      <c r="E95" s="95" t="str">
        <f>IF($O95="","",INDEX(R_Task,$O95)&amp;"")</f>
        <v/>
      </c>
      <c r="F95" s="173" t="str">
        <f>IF($O95="","",INDEX(R_Desc,$O95)&amp;"")</f>
        <v/>
      </c>
      <c r="G95" s="127" t="str">
        <f>IF($O95="","",INDEX(R_Hval,$O95))</f>
        <v/>
      </c>
      <c r="H95" s="172" t="str">
        <f>IF($O95="","",INDEX(R_BlkV,$O95))</f>
        <v/>
      </c>
      <c r="I95" s="95" t="str">
        <f>IF($O95="","",INDEX(R_St,$O95))</f>
        <v/>
      </c>
      <c r="J95" s="126" t="str">
        <f>IF($O95="","",IF(INDEX(R_FEnv,$O95)="","",INDEX(R_FEnv,$O95)))</f>
        <v/>
      </c>
      <c r="K95" s="126" t="str">
        <f>IF($O95="","",IF(INDEX(R_FApr,$O95)="","",INDEX(R_FApr,$O95)))</f>
        <v/>
      </c>
      <c r="L95" s="172" t="str">
        <f>IF($O95="","",IF(INDEX(R_Age,$O95)="","",INDEX(R_Age,$O95)))</f>
        <v/>
      </c>
      <c r="M95" s="173" t="str">
        <f>IF($O95="","",INDEX(R_Alert,$O95)&amp;"")</f>
        <v/>
      </c>
      <c r="O95" t="str">
        <f>IFERROR(MATCH(65,R_PendSeq,0),"")</f>
        <v/>
      </c>
    </row>
    <row r="96">
      <c r="B96" s="172" t="str">
        <f>IF($O96="","",INDEX(R_ID,$O96))</f>
        <v/>
      </c>
      <c r="C96" s="126" t="str">
        <f>IF($O96="","",INDEX(R_Fecha,$O96))</f>
        <v/>
      </c>
      <c r="D96" s="95" t="str">
        <f>IF($O96="","",INDEX(R_Proy,$O96)&amp;"")</f>
        <v/>
      </c>
      <c r="E96" s="95" t="str">
        <f>IF($O96="","",INDEX(R_Task,$O96)&amp;"")</f>
        <v/>
      </c>
      <c r="F96" s="173" t="str">
        <f>IF($O96="","",INDEX(R_Desc,$O96)&amp;"")</f>
        <v/>
      </c>
      <c r="G96" s="127" t="str">
        <f>IF($O96="","",INDEX(R_Hval,$O96))</f>
        <v/>
      </c>
      <c r="H96" s="172" t="str">
        <f>IF($O96="","",INDEX(R_BlkV,$O96))</f>
        <v/>
      </c>
      <c r="I96" s="95" t="str">
        <f>IF($O96="","",INDEX(R_St,$O96))</f>
        <v/>
      </c>
      <c r="J96" s="126" t="str">
        <f>IF($O96="","",IF(INDEX(R_FEnv,$O96)="","",INDEX(R_FEnv,$O96)))</f>
        <v/>
      </c>
      <c r="K96" s="126" t="str">
        <f>IF($O96="","",IF(INDEX(R_FApr,$O96)="","",INDEX(R_FApr,$O96)))</f>
        <v/>
      </c>
      <c r="L96" s="172" t="str">
        <f>IF($O96="","",IF(INDEX(R_Age,$O96)="","",INDEX(R_Age,$O96)))</f>
        <v/>
      </c>
      <c r="M96" s="173" t="str">
        <f>IF($O96="","",INDEX(R_Alert,$O96)&amp;"")</f>
        <v/>
      </c>
      <c r="O96" t="str">
        <f>IFERROR(MATCH(66,R_PendSeq,0),"")</f>
        <v/>
      </c>
    </row>
    <row r="97">
      <c r="B97" s="172" t="str">
        <f>IF($O97="","",INDEX(R_ID,$O97))</f>
        <v/>
      </c>
      <c r="C97" s="126" t="str">
        <f>IF($O97="","",INDEX(R_Fecha,$O97))</f>
        <v/>
      </c>
      <c r="D97" s="95" t="str">
        <f>IF($O97="","",INDEX(R_Proy,$O97)&amp;"")</f>
        <v/>
      </c>
      <c r="E97" s="95" t="str">
        <f>IF($O97="","",INDEX(R_Task,$O97)&amp;"")</f>
        <v/>
      </c>
      <c r="F97" s="173" t="str">
        <f>IF($O97="","",INDEX(R_Desc,$O97)&amp;"")</f>
        <v/>
      </c>
      <c r="G97" s="127" t="str">
        <f>IF($O97="","",INDEX(R_Hval,$O97))</f>
        <v/>
      </c>
      <c r="H97" s="172" t="str">
        <f>IF($O97="","",INDEX(R_BlkV,$O97))</f>
        <v/>
      </c>
      <c r="I97" s="95" t="str">
        <f>IF($O97="","",INDEX(R_St,$O97))</f>
        <v/>
      </c>
      <c r="J97" s="126" t="str">
        <f>IF($O97="","",IF(INDEX(R_FEnv,$O97)="","",INDEX(R_FEnv,$O97)))</f>
        <v/>
      </c>
      <c r="K97" s="126" t="str">
        <f>IF($O97="","",IF(INDEX(R_FApr,$O97)="","",INDEX(R_FApr,$O97)))</f>
        <v/>
      </c>
      <c r="L97" s="172" t="str">
        <f>IF($O97="","",IF(INDEX(R_Age,$O97)="","",INDEX(R_Age,$O97)))</f>
        <v/>
      </c>
      <c r="M97" s="173" t="str">
        <f>IF($O97="","",INDEX(R_Alert,$O97)&amp;"")</f>
        <v/>
      </c>
      <c r="O97" t="str">
        <f>IFERROR(MATCH(67,R_PendSeq,0),"")</f>
        <v/>
      </c>
    </row>
    <row r="98">
      <c r="B98" s="172" t="str">
        <f>IF($O98="","",INDEX(R_ID,$O98))</f>
        <v/>
      </c>
      <c r="C98" s="126" t="str">
        <f>IF($O98="","",INDEX(R_Fecha,$O98))</f>
        <v/>
      </c>
      <c r="D98" s="95" t="str">
        <f>IF($O98="","",INDEX(R_Proy,$O98)&amp;"")</f>
        <v/>
      </c>
      <c r="E98" s="95" t="str">
        <f>IF($O98="","",INDEX(R_Task,$O98)&amp;"")</f>
        <v/>
      </c>
      <c r="F98" s="173" t="str">
        <f>IF($O98="","",INDEX(R_Desc,$O98)&amp;"")</f>
        <v/>
      </c>
      <c r="G98" s="127" t="str">
        <f>IF($O98="","",INDEX(R_Hval,$O98))</f>
        <v/>
      </c>
      <c r="H98" s="172" t="str">
        <f>IF($O98="","",INDEX(R_BlkV,$O98))</f>
        <v/>
      </c>
      <c r="I98" s="95" t="str">
        <f>IF($O98="","",INDEX(R_St,$O98))</f>
        <v/>
      </c>
      <c r="J98" s="126" t="str">
        <f>IF($O98="","",IF(INDEX(R_FEnv,$O98)="","",INDEX(R_FEnv,$O98)))</f>
        <v/>
      </c>
      <c r="K98" s="126" t="str">
        <f>IF($O98="","",IF(INDEX(R_FApr,$O98)="","",INDEX(R_FApr,$O98)))</f>
        <v/>
      </c>
      <c r="L98" s="172" t="str">
        <f>IF($O98="","",IF(INDEX(R_Age,$O98)="","",INDEX(R_Age,$O98)))</f>
        <v/>
      </c>
      <c r="M98" s="173" t="str">
        <f>IF($O98="","",INDEX(R_Alert,$O98)&amp;"")</f>
        <v/>
      </c>
      <c r="O98" t="str">
        <f>IFERROR(MATCH(68,R_PendSeq,0),"")</f>
        <v/>
      </c>
    </row>
    <row r="99">
      <c r="B99" s="172" t="str">
        <f>IF($O99="","",INDEX(R_ID,$O99))</f>
        <v/>
      </c>
      <c r="C99" s="126" t="str">
        <f>IF($O99="","",INDEX(R_Fecha,$O99))</f>
        <v/>
      </c>
      <c r="D99" s="95" t="str">
        <f>IF($O99="","",INDEX(R_Proy,$O99)&amp;"")</f>
        <v/>
      </c>
      <c r="E99" s="95" t="str">
        <f>IF($O99="","",INDEX(R_Task,$O99)&amp;"")</f>
        <v/>
      </c>
      <c r="F99" s="173" t="str">
        <f>IF($O99="","",INDEX(R_Desc,$O99)&amp;"")</f>
        <v/>
      </c>
      <c r="G99" s="127" t="str">
        <f>IF($O99="","",INDEX(R_Hval,$O99))</f>
        <v/>
      </c>
      <c r="H99" s="172" t="str">
        <f>IF($O99="","",INDEX(R_BlkV,$O99))</f>
        <v/>
      </c>
      <c r="I99" s="95" t="str">
        <f>IF($O99="","",INDEX(R_St,$O99))</f>
        <v/>
      </c>
      <c r="J99" s="126" t="str">
        <f>IF($O99="","",IF(INDEX(R_FEnv,$O99)="","",INDEX(R_FEnv,$O99)))</f>
        <v/>
      </c>
      <c r="K99" s="126" t="str">
        <f>IF($O99="","",IF(INDEX(R_FApr,$O99)="","",INDEX(R_FApr,$O99)))</f>
        <v/>
      </c>
      <c r="L99" s="172" t="str">
        <f>IF($O99="","",IF(INDEX(R_Age,$O99)="","",INDEX(R_Age,$O99)))</f>
        <v/>
      </c>
      <c r="M99" s="173" t="str">
        <f>IF($O99="","",INDEX(R_Alert,$O99)&amp;"")</f>
        <v/>
      </c>
      <c r="O99" t="str">
        <f>IFERROR(MATCH(69,R_PendSeq,0),"")</f>
        <v/>
      </c>
    </row>
    <row r="100">
      <c r="B100" s="172" t="str">
        <f>IF($O100="","",INDEX(R_ID,$O100))</f>
        <v/>
      </c>
      <c r="C100" s="126" t="str">
        <f>IF($O100="","",INDEX(R_Fecha,$O100))</f>
        <v/>
      </c>
      <c r="D100" s="95" t="str">
        <f>IF($O100="","",INDEX(R_Proy,$O100)&amp;"")</f>
        <v/>
      </c>
      <c r="E100" s="95" t="str">
        <f>IF($O100="","",INDEX(R_Task,$O100)&amp;"")</f>
        <v/>
      </c>
      <c r="F100" s="173" t="str">
        <f>IF($O100="","",INDEX(R_Desc,$O100)&amp;"")</f>
        <v/>
      </c>
      <c r="G100" s="127" t="str">
        <f>IF($O100="","",INDEX(R_Hval,$O100))</f>
        <v/>
      </c>
      <c r="H100" s="172" t="str">
        <f>IF($O100="","",INDEX(R_BlkV,$O100))</f>
        <v/>
      </c>
      <c r="I100" s="95" t="str">
        <f>IF($O100="","",INDEX(R_St,$O100))</f>
        <v/>
      </c>
      <c r="J100" s="126" t="str">
        <f>IF($O100="","",IF(INDEX(R_FEnv,$O100)="","",INDEX(R_FEnv,$O100)))</f>
        <v/>
      </c>
      <c r="K100" s="126" t="str">
        <f>IF($O100="","",IF(INDEX(R_FApr,$O100)="","",INDEX(R_FApr,$O100)))</f>
        <v/>
      </c>
      <c r="L100" s="172" t="str">
        <f>IF($O100="","",IF(INDEX(R_Age,$O100)="","",INDEX(R_Age,$O100)))</f>
        <v/>
      </c>
      <c r="M100" s="173" t="str">
        <f>IF($O100="","",INDEX(R_Alert,$O100)&amp;"")</f>
        <v/>
      </c>
      <c r="O100" t="str">
        <f>IFERROR(MATCH(70,R_PendSeq,0),"")</f>
        <v/>
      </c>
    </row>
    <row r="101">
      <c r="B101" s="172" t="str">
        <f>IF($O101="","",INDEX(R_ID,$O101))</f>
        <v/>
      </c>
      <c r="C101" s="126" t="str">
        <f>IF($O101="","",INDEX(R_Fecha,$O101))</f>
        <v/>
      </c>
      <c r="D101" s="95" t="str">
        <f>IF($O101="","",INDEX(R_Proy,$O101)&amp;"")</f>
        <v/>
      </c>
      <c r="E101" s="95" t="str">
        <f>IF($O101="","",INDEX(R_Task,$O101)&amp;"")</f>
        <v/>
      </c>
      <c r="F101" s="173" t="str">
        <f>IF($O101="","",INDEX(R_Desc,$O101)&amp;"")</f>
        <v/>
      </c>
      <c r="G101" s="127" t="str">
        <f>IF($O101="","",INDEX(R_Hval,$O101))</f>
        <v/>
      </c>
      <c r="H101" s="172" t="str">
        <f>IF($O101="","",INDEX(R_BlkV,$O101))</f>
        <v/>
      </c>
      <c r="I101" s="95" t="str">
        <f>IF($O101="","",INDEX(R_St,$O101))</f>
        <v/>
      </c>
      <c r="J101" s="126" t="str">
        <f>IF($O101="","",IF(INDEX(R_FEnv,$O101)="","",INDEX(R_FEnv,$O101)))</f>
        <v/>
      </c>
      <c r="K101" s="126" t="str">
        <f>IF($O101="","",IF(INDEX(R_FApr,$O101)="","",INDEX(R_FApr,$O101)))</f>
        <v/>
      </c>
      <c r="L101" s="172" t="str">
        <f>IF($O101="","",IF(INDEX(R_Age,$O101)="","",INDEX(R_Age,$O101)))</f>
        <v/>
      </c>
      <c r="M101" s="173" t="str">
        <f>IF($O101="","",INDEX(R_Alert,$O101)&amp;"")</f>
        <v/>
      </c>
      <c r="O101" t="str">
        <f>IFERROR(MATCH(71,R_PendSeq,0),"")</f>
        <v/>
      </c>
    </row>
    <row r="102">
      <c r="B102" s="172" t="str">
        <f>IF($O102="","",INDEX(R_ID,$O102))</f>
        <v/>
      </c>
      <c r="C102" s="126" t="str">
        <f>IF($O102="","",INDEX(R_Fecha,$O102))</f>
        <v/>
      </c>
      <c r="D102" s="95" t="str">
        <f>IF($O102="","",INDEX(R_Proy,$O102)&amp;"")</f>
        <v/>
      </c>
      <c r="E102" s="95" t="str">
        <f>IF($O102="","",INDEX(R_Task,$O102)&amp;"")</f>
        <v/>
      </c>
      <c r="F102" s="173" t="str">
        <f>IF($O102="","",INDEX(R_Desc,$O102)&amp;"")</f>
        <v/>
      </c>
      <c r="G102" s="127" t="str">
        <f>IF($O102="","",INDEX(R_Hval,$O102))</f>
        <v/>
      </c>
      <c r="H102" s="172" t="str">
        <f>IF($O102="","",INDEX(R_BlkV,$O102))</f>
        <v/>
      </c>
      <c r="I102" s="95" t="str">
        <f>IF($O102="","",INDEX(R_St,$O102))</f>
        <v/>
      </c>
      <c r="J102" s="126" t="str">
        <f>IF($O102="","",IF(INDEX(R_FEnv,$O102)="","",INDEX(R_FEnv,$O102)))</f>
        <v/>
      </c>
      <c r="K102" s="126" t="str">
        <f>IF($O102="","",IF(INDEX(R_FApr,$O102)="","",INDEX(R_FApr,$O102)))</f>
        <v/>
      </c>
      <c r="L102" s="172" t="str">
        <f>IF($O102="","",IF(INDEX(R_Age,$O102)="","",INDEX(R_Age,$O102)))</f>
        <v/>
      </c>
      <c r="M102" s="173" t="str">
        <f>IF($O102="","",INDEX(R_Alert,$O102)&amp;"")</f>
        <v/>
      </c>
      <c r="O102" t="str">
        <f>IFERROR(MATCH(72,R_PendSeq,0),"")</f>
        <v/>
      </c>
    </row>
    <row r="103">
      <c r="B103" s="172" t="str">
        <f>IF($O103="","",INDEX(R_ID,$O103))</f>
        <v/>
      </c>
      <c r="C103" s="126" t="str">
        <f>IF($O103="","",INDEX(R_Fecha,$O103))</f>
        <v/>
      </c>
      <c r="D103" s="95" t="str">
        <f>IF($O103="","",INDEX(R_Proy,$O103)&amp;"")</f>
        <v/>
      </c>
      <c r="E103" s="95" t="str">
        <f>IF($O103="","",INDEX(R_Task,$O103)&amp;"")</f>
        <v/>
      </c>
      <c r="F103" s="173" t="str">
        <f>IF($O103="","",INDEX(R_Desc,$O103)&amp;"")</f>
        <v/>
      </c>
      <c r="G103" s="127" t="str">
        <f>IF($O103="","",INDEX(R_Hval,$O103))</f>
        <v/>
      </c>
      <c r="H103" s="172" t="str">
        <f>IF($O103="","",INDEX(R_BlkV,$O103))</f>
        <v/>
      </c>
      <c r="I103" s="95" t="str">
        <f>IF($O103="","",INDEX(R_St,$O103))</f>
        <v/>
      </c>
      <c r="J103" s="126" t="str">
        <f>IF($O103="","",IF(INDEX(R_FEnv,$O103)="","",INDEX(R_FEnv,$O103)))</f>
        <v/>
      </c>
      <c r="K103" s="126" t="str">
        <f>IF($O103="","",IF(INDEX(R_FApr,$O103)="","",INDEX(R_FApr,$O103)))</f>
        <v/>
      </c>
      <c r="L103" s="172" t="str">
        <f>IF($O103="","",IF(INDEX(R_Age,$O103)="","",INDEX(R_Age,$O103)))</f>
        <v/>
      </c>
      <c r="M103" s="173" t="str">
        <f>IF($O103="","",INDEX(R_Alert,$O103)&amp;"")</f>
        <v/>
      </c>
      <c r="O103" t="str">
        <f>IFERROR(MATCH(73,R_PendSeq,0),"")</f>
        <v/>
      </c>
    </row>
    <row r="104">
      <c r="B104" s="172" t="str">
        <f>IF($O104="","",INDEX(R_ID,$O104))</f>
        <v/>
      </c>
      <c r="C104" s="126" t="str">
        <f>IF($O104="","",INDEX(R_Fecha,$O104))</f>
        <v/>
      </c>
      <c r="D104" s="95" t="str">
        <f>IF($O104="","",INDEX(R_Proy,$O104)&amp;"")</f>
        <v/>
      </c>
      <c r="E104" s="95" t="str">
        <f>IF($O104="","",INDEX(R_Task,$O104)&amp;"")</f>
        <v/>
      </c>
      <c r="F104" s="173" t="str">
        <f>IF($O104="","",INDEX(R_Desc,$O104)&amp;"")</f>
        <v/>
      </c>
      <c r="G104" s="127" t="str">
        <f>IF($O104="","",INDEX(R_Hval,$O104))</f>
        <v/>
      </c>
      <c r="H104" s="172" t="str">
        <f>IF($O104="","",INDEX(R_BlkV,$O104))</f>
        <v/>
      </c>
      <c r="I104" s="95" t="str">
        <f>IF($O104="","",INDEX(R_St,$O104))</f>
        <v/>
      </c>
      <c r="J104" s="126" t="str">
        <f>IF($O104="","",IF(INDEX(R_FEnv,$O104)="","",INDEX(R_FEnv,$O104)))</f>
        <v/>
      </c>
      <c r="K104" s="126" t="str">
        <f>IF($O104="","",IF(INDEX(R_FApr,$O104)="","",INDEX(R_FApr,$O104)))</f>
        <v/>
      </c>
      <c r="L104" s="172" t="str">
        <f>IF($O104="","",IF(INDEX(R_Age,$O104)="","",INDEX(R_Age,$O104)))</f>
        <v/>
      </c>
      <c r="M104" s="173" t="str">
        <f>IF($O104="","",INDEX(R_Alert,$O104)&amp;"")</f>
        <v/>
      </c>
      <c r="O104" t="str">
        <f>IFERROR(MATCH(74,R_PendSeq,0),"")</f>
        <v/>
      </c>
    </row>
    <row r="105">
      <c r="B105" s="172" t="str">
        <f>IF($O105="","",INDEX(R_ID,$O105))</f>
        <v/>
      </c>
      <c r="C105" s="126" t="str">
        <f>IF($O105="","",INDEX(R_Fecha,$O105))</f>
        <v/>
      </c>
      <c r="D105" s="95" t="str">
        <f>IF($O105="","",INDEX(R_Proy,$O105)&amp;"")</f>
        <v/>
      </c>
      <c r="E105" s="95" t="str">
        <f>IF($O105="","",INDEX(R_Task,$O105)&amp;"")</f>
        <v/>
      </c>
      <c r="F105" s="173" t="str">
        <f>IF($O105="","",INDEX(R_Desc,$O105)&amp;"")</f>
        <v/>
      </c>
      <c r="G105" s="127" t="str">
        <f>IF($O105="","",INDEX(R_Hval,$O105))</f>
        <v/>
      </c>
      <c r="H105" s="172" t="str">
        <f>IF($O105="","",INDEX(R_BlkV,$O105))</f>
        <v/>
      </c>
      <c r="I105" s="95" t="str">
        <f>IF($O105="","",INDEX(R_St,$O105))</f>
        <v/>
      </c>
      <c r="J105" s="126" t="str">
        <f>IF($O105="","",IF(INDEX(R_FEnv,$O105)="","",INDEX(R_FEnv,$O105)))</f>
        <v/>
      </c>
      <c r="K105" s="126" t="str">
        <f>IF($O105="","",IF(INDEX(R_FApr,$O105)="","",INDEX(R_FApr,$O105)))</f>
        <v/>
      </c>
      <c r="L105" s="172" t="str">
        <f>IF($O105="","",IF(INDEX(R_Age,$O105)="","",INDEX(R_Age,$O105)))</f>
        <v/>
      </c>
      <c r="M105" s="173" t="str">
        <f>IF($O105="","",INDEX(R_Alert,$O105)&amp;"")</f>
        <v/>
      </c>
      <c r="O105" t="str">
        <f>IFERROR(MATCH(75,R_PendSeq,0),"")</f>
        <v/>
      </c>
    </row>
    <row r="106">
      <c r="B106" s="172" t="str">
        <f>IF($O106="","",INDEX(R_ID,$O106))</f>
        <v/>
      </c>
      <c r="C106" s="126" t="str">
        <f>IF($O106="","",INDEX(R_Fecha,$O106))</f>
        <v/>
      </c>
      <c r="D106" s="95" t="str">
        <f>IF($O106="","",INDEX(R_Proy,$O106)&amp;"")</f>
        <v/>
      </c>
      <c r="E106" s="95" t="str">
        <f>IF($O106="","",INDEX(R_Task,$O106)&amp;"")</f>
        <v/>
      </c>
      <c r="F106" s="173" t="str">
        <f>IF($O106="","",INDEX(R_Desc,$O106)&amp;"")</f>
        <v/>
      </c>
      <c r="G106" s="127" t="str">
        <f>IF($O106="","",INDEX(R_Hval,$O106))</f>
        <v/>
      </c>
      <c r="H106" s="172" t="str">
        <f>IF($O106="","",INDEX(R_BlkV,$O106))</f>
        <v/>
      </c>
      <c r="I106" s="95" t="str">
        <f>IF($O106="","",INDEX(R_St,$O106))</f>
        <v/>
      </c>
      <c r="J106" s="126" t="str">
        <f>IF($O106="","",IF(INDEX(R_FEnv,$O106)="","",INDEX(R_FEnv,$O106)))</f>
        <v/>
      </c>
      <c r="K106" s="126" t="str">
        <f>IF($O106="","",IF(INDEX(R_FApr,$O106)="","",INDEX(R_FApr,$O106)))</f>
        <v/>
      </c>
      <c r="L106" s="172" t="str">
        <f>IF($O106="","",IF(INDEX(R_Age,$O106)="","",INDEX(R_Age,$O106)))</f>
        <v/>
      </c>
      <c r="M106" s="173" t="str">
        <f>IF($O106="","",INDEX(R_Alert,$O106)&amp;"")</f>
        <v/>
      </c>
      <c r="O106" t="str">
        <f>IFERROR(MATCH(76,R_PendSeq,0),"")</f>
        <v/>
      </c>
    </row>
    <row r="107">
      <c r="B107" s="172" t="str">
        <f>IF($O107="","",INDEX(R_ID,$O107))</f>
        <v/>
      </c>
      <c r="C107" s="126" t="str">
        <f>IF($O107="","",INDEX(R_Fecha,$O107))</f>
        <v/>
      </c>
      <c r="D107" s="95" t="str">
        <f>IF($O107="","",INDEX(R_Proy,$O107)&amp;"")</f>
        <v/>
      </c>
      <c r="E107" s="95" t="str">
        <f>IF($O107="","",INDEX(R_Task,$O107)&amp;"")</f>
        <v/>
      </c>
      <c r="F107" s="173" t="str">
        <f>IF($O107="","",INDEX(R_Desc,$O107)&amp;"")</f>
        <v/>
      </c>
      <c r="G107" s="127" t="str">
        <f>IF($O107="","",INDEX(R_Hval,$O107))</f>
        <v/>
      </c>
      <c r="H107" s="172" t="str">
        <f>IF($O107="","",INDEX(R_BlkV,$O107))</f>
        <v/>
      </c>
      <c r="I107" s="95" t="str">
        <f>IF($O107="","",INDEX(R_St,$O107))</f>
        <v/>
      </c>
      <c r="J107" s="126" t="str">
        <f>IF($O107="","",IF(INDEX(R_FEnv,$O107)="","",INDEX(R_FEnv,$O107)))</f>
        <v/>
      </c>
      <c r="K107" s="126" t="str">
        <f>IF($O107="","",IF(INDEX(R_FApr,$O107)="","",INDEX(R_FApr,$O107)))</f>
        <v/>
      </c>
      <c r="L107" s="172" t="str">
        <f>IF($O107="","",IF(INDEX(R_Age,$O107)="","",INDEX(R_Age,$O107)))</f>
        <v/>
      </c>
      <c r="M107" s="173" t="str">
        <f>IF($O107="","",INDEX(R_Alert,$O107)&amp;"")</f>
        <v/>
      </c>
      <c r="O107" t="str">
        <f>IFERROR(MATCH(77,R_PendSeq,0),"")</f>
        <v/>
      </c>
    </row>
    <row r="108">
      <c r="B108" s="172" t="str">
        <f>IF($O108="","",INDEX(R_ID,$O108))</f>
        <v/>
      </c>
      <c r="C108" s="126" t="str">
        <f>IF($O108="","",INDEX(R_Fecha,$O108))</f>
        <v/>
      </c>
      <c r="D108" s="95" t="str">
        <f>IF($O108="","",INDEX(R_Proy,$O108)&amp;"")</f>
        <v/>
      </c>
      <c r="E108" s="95" t="str">
        <f>IF($O108="","",INDEX(R_Task,$O108)&amp;"")</f>
        <v/>
      </c>
      <c r="F108" s="173" t="str">
        <f>IF($O108="","",INDEX(R_Desc,$O108)&amp;"")</f>
        <v/>
      </c>
      <c r="G108" s="127" t="str">
        <f>IF($O108="","",INDEX(R_Hval,$O108))</f>
        <v/>
      </c>
      <c r="H108" s="172" t="str">
        <f>IF($O108="","",INDEX(R_BlkV,$O108))</f>
        <v/>
      </c>
      <c r="I108" s="95" t="str">
        <f>IF($O108="","",INDEX(R_St,$O108))</f>
        <v/>
      </c>
      <c r="J108" s="126" t="str">
        <f>IF($O108="","",IF(INDEX(R_FEnv,$O108)="","",INDEX(R_FEnv,$O108)))</f>
        <v/>
      </c>
      <c r="K108" s="126" t="str">
        <f>IF($O108="","",IF(INDEX(R_FApr,$O108)="","",INDEX(R_FApr,$O108)))</f>
        <v/>
      </c>
      <c r="L108" s="172" t="str">
        <f>IF($O108="","",IF(INDEX(R_Age,$O108)="","",INDEX(R_Age,$O108)))</f>
        <v/>
      </c>
      <c r="M108" s="173" t="str">
        <f>IF($O108="","",INDEX(R_Alert,$O108)&amp;"")</f>
        <v/>
      </c>
      <c r="O108" t="str">
        <f>IFERROR(MATCH(78,R_PendSeq,0),"")</f>
        <v/>
      </c>
    </row>
    <row r="109">
      <c r="B109" s="172" t="str">
        <f>IF($O109="","",INDEX(R_ID,$O109))</f>
        <v/>
      </c>
      <c r="C109" s="126" t="str">
        <f>IF($O109="","",INDEX(R_Fecha,$O109))</f>
        <v/>
      </c>
      <c r="D109" s="95" t="str">
        <f>IF($O109="","",INDEX(R_Proy,$O109)&amp;"")</f>
        <v/>
      </c>
      <c r="E109" s="95" t="str">
        <f>IF($O109="","",INDEX(R_Task,$O109)&amp;"")</f>
        <v/>
      </c>
      <c r="F109" s="173" t="str">
        <f>IF($O109="","",INDEX(R_Desc,$O109)&amp;"")</f>
        <v/>
      </c>
      <c r="G109" s="127" t="str">
        <f>IF($O109="","",INDEX(R_Hval,$O109))</f>
        <v/>
      </c>
      <c r="H109" s="172" t="str">
        <f>IF($O109="","",INDEX(R_BlkV,$O109))</f>
        <v/>
      </c>
      <c r="I109" s="95" t="str">
        <f>IF($O109="","",INDEX(R_St,$O109))</f>
        <v/>
      </c>
      <c r="J109" s="126" t="str">
        <f>IF($O109="","",IF(INDEX(R_FEnv,$O109)="","",INDEX(R_FEnv,$O109)))</f>
        <v/>
      </c>
      <c r="K109" s="126" t="str">
        <f>IF($O109="","",IF(INDEX(R_FApr,$O109)="","",INDEX(R_FApr,$O109)))</f>
        <v/>
      </c>
      <c r="L109" s="172" t="str">
        <f>IF($O109="","",IF(INDEX(R_Age,$O109)="","",INDEX(R_Age,$O109)))</f>
        <v/>
      </c>
      <c r="M109" s="173" t="str">
        <f>IF($O109="","",INDEX(R_Alert,$O109)&amp;"")</f>
        <v/>
      </c>
      <c r="O109" t="str">
        <f>IFERROR(MATCH(79,R_PendSeq,0),"")</f>
        <v/>
      </c>
    </row>
    <row r="110">
      <c r="B110" s="172" t="str">
        <f>IF($O110="","",INDEX(R_ID,$O110))</f>
        <v/>
      </c>
      <c r="C110" s="126" t="str">
        <f>IF($O110="","",INDEX(R_Fecha,$O110))</f>
        <v/>
      </c>
      <c r="D110" s="95" t="str">
        <f>IF($O110="","",INDEX(R_Proy,$O110)&amp;"")</f>
        <v/>
      </c>
      <c r="E110" s="95" t="str">
        <f>IF($O110="","",INDEX(R_Task,$O110)&amp;"")</f>
        <v/>
      </c>
      <c r="F110" s="173" t="str">
        <f>IF($O110="","",INDEX(R_Desc,$O110)&amp;"")</f>
        <v/>
      </c>
      <c r="G110" s="127" t="str">
        <f>IF($O110="","",INDEX(R_Hval,$O110))</f>
        <v/>
      </c>
      <c r="H110" s="172" t="str">
        <f>IF($O110="","",INDEX(R_BlkV,$O110))</f>
        <v/>
      </c>
      <c r="I110" s="95" t="str">
        <f>IF($O110="","",INDEX(R_St,$O110))</f>
        <v/>
      </c>
      <c r="J110" s="126" t="str">
        <f>IF($O110="","",IF(INDEX(R_FEnv,$O110)="","",INDEX(R_FEnv,$O110)))</f>
        <v/>
      </c>
      <c r="K110" s="126" t="str">
        <f>IF($O110="","",IF(INDEX(R_FApr,$O110)="","",INDEX(R_FApr,$O110)))</f>
        <v/>
      </c>
      <c r="L110" s="172" t="str">
        <f>IF($O110="","",IF(INDEX(R_Age,$O110)="","",INDEX(R_Age,$O110)))</f>
        <v/>
      </c>
      <c r="M110" s="173" t="str">
        <f>IF($O110="","",INDEX(R_Alert,$O110)&amp;"")</f>
        <v/>
      </c>
      <c r="O110" t="str">
        <f>IFERROR(MATCH(80,R_PendSeq,0),"")</f>
        <v/>
      </c>
    </row>
    <row r="111">
      <c r="B111" s="172" t="str">
        <f>IF($O111="","",INDEX(R_ID,$O111))</f>
        <v/>
      </c>
      <c r="C111" s="126" t="str">
        <f>IF($O111="","",INDEX(R_Fecha,$O111))</f>
        <v/>
      </c>
      <c r="D111" s="95" t="str">
        <f>IF($O111="","",INDEX(R_Proy,$O111)&amp;"")</f>
        <v/>
      </c>
      <c r="E111" s="95" t="str">
        <f>IF($O111="","",INDEX(R_Task,$O111)&amp;"")</f>
        <v/>
      </c>
      <c r="F111" s="173" t="str">
        <f>IF($O111="","",INDEX(R_Desc,$O111)&amp;"")</f>
        <v/>
      </c>
      <c r="G111" s="127" t="str">
        <f>IF($O111="","",INDEX(R_Hval,$O111))</f>
        <v/>
      </c>
      <c r="H111" s="172" t="str">
        <f>IF($O111="","",INDEX(R_BlkV,$O111))</f>
        <v/>
      </c>
      <c r="I111" s="95" t="str">
        <f>IF($O111="","",INDEX(R_St,$O111))</f>
        <v/>
      </c>
      <c r="J111" s="126" t="str">
        <f>IF($O111="","",IF(INDEX(R_FEnv,$O111)="","",INDEX(R_FEnv,$O111)))</f>
        <v/>
      </c>
      <c r="K111" s="126" t="str">
        <f>IF($O111="","",IF(INDEX(R_FApr,$O111)="","",INDEX(R_FApr,$O111)))</f>
        <v/>
      </c>
      <c r="L111" s="172" t="str">
        <f>IF($O111="","",IF(INDEX(R_Age,$O111)="","",INDEX(R_Age,$O111)))</f>
        <v/>
      </c>
      <c r="M111" s="173" t="str">
        <f>IF($O111="","",INDEX(R_Alert,$O111)&amp;"")</f>
        <v/>
      </c>
      <c r="O111" t="str">
        <f>IFERROR(MATCH(81,R_PendSeq,0),"")</f>
        <v/>
      </c>
    </row>
    <row r="112">
      <c r="B112" s="172" t="str">
        <f>IF($O112="","",INDEX(R_ID,$O112))</f>
        <v/>
      </c>
      <c r="C112" s="126" t="str">
        <f>IF($O112="","",INDEX(R_Fecha,$O112))</f>
        <v/>
      </c>
      <c r="D112" s="95" t="str">
        <f>IF($O112="","",INDEX(R_Proy,$O112)&amp;"")</f>
        <v/>
      </c>
      <c r="E112" s="95" t="str">
        <f>IF($O112="","",INDEX(R_Task,$O112)&amp;"")</f>
        <v/>
      </c>
      <c r="F112" s="173" t="str">
        <f>IF($O112="","",INDEX(R_Desc,$O112)&amp;"")</f>
        <v/>
      </c>
      <c r="G112" s="127" t="str">
        <f>IF($O112="","",INDEX(R_Hval,$O112))</f>
        <v/>
      </c>
      <c r="H112" s="172" t="str">
        <f>IF($O112="","",INDEX(R_BlkV,$O112))</f>
        <v/>
      </c>
      <c r="I112" s="95" t="str">
        <f>IF($O112="","",INDEX(R_St,$O112))</f>
        <v/>
      </c>
      <c r="J112" s="126" t="str">
        <f>IF($O112="","",IF(INDEX(R_FEnv,$O112)="","",INDEX(R_FEnv,$O112)))</f>
        <v/>
      </c>
      <c r="K112" s="126" t="str">
        <f>IF($O112="","",IF(INDEX(R_FApr,$O112)="","",INDEX(R_FApr,$O112)))</f>
        <v/>
      </c>
      <c r="L112" s="172" t="str">
        <f>IF($O112="","",IF(INDEX(R_Age,$O112)="","",INDEX(R_Age,$O112)))</f>
        <v/>
      </c>
      <c r="M112" s="173" t="str">
        <f>IF($O112="","",INDEX(R_Alert,$O112)&amp;"")</f>
        <v/>
      </c>
      <c r="O112" t="str">
        <f>IFERROR(MATCH(82,R_PendSeq,0),"")</f>
        <v/>
      </c>
    </row>
    <row r="113">
      <c r="B113" s="172" t="str">
        <f>IF($O113="","",INDEX(R_ID,$O113))</f>
        <v/>
      </c>
      <c r="C113" s="126" t="str">
        <f>IF($O113="","",INDEX(R_Fecha,$O113))</f>
        <v/>
      </c>
      <c r="D113" s="95" t="str">
        <f>IF($O113="","",INDEX(R_Proy,$O113)&amp;"")</f>
        <v/>
      </c>
      <c r="E113" s="95" t="str">
        <f>IF($O113="","",INDEX(R_Task,$O113)&amp;"")</f>
        <v/>
      </c>
      <c r="F113" s="173" t="str">
        <f>IF($O113="","",INDEX(R_Desc,$O113)&amp;"")</f>
        <v/>
      </c>
      <c r="G113" s="127" t="str">
        <f>IF($O113="","",INDEX(R_Hval,$O113))</f>
        <v/>
      </c>
      <c r="H113" s="172" t="str">
        <f>IF($O113="","",INDEX(R_BlkV,$O113))</f>
        <v/>
      </c>
      <c r="I113" s="95" t="str">
        <f>IF($O113="","",INDEX(R_St,$O113))</f>
        <v/>
      </c>
      <c r="J113" s="126" t="str">
        <f>IF($O113="","",IF(INDEX(R_FEnv,$O113)="","",INDEX(R_FEnv,$O113)))</f>
        <v/>
      </c>
      <c r="K113" s="126" t="str">
        <f>IF($O113="","",IF(INDEX(R_FApr,$O113)="","",INDEX(R_FApr,$O113)))</f>
        <v/>
      </c>
      <c r="L113" s="172" t="str">
        <f>IF($O113="","",IF(INDEX(R_Age,$O113)="","",INDEX(R_Age,$O113)))</f>
        <v/>
      </c>
      <c r="M113" s="173" t="str">
        <f>IF($O113="","",INDEX(R_Alert,$O113)&amp;"")</f>
        <v/>
      </c>
      <c r="O113" t="str">
        <f>IFERROR(MATCH(83,R_PendSeq,0),"")</f>
        <v/>
      </c>
    </row>
    <row r="114">
      <c r="B114" s="172" t="str">
        <f>IF($O114="","",INDEX(R_ID,$O114))</f>
        <v/>
      </c>
      <c r="C114" s="126" t="str">
        <f>IF($O114="","",INDEX(R_Fecha,$O114))</f>
        <v/>
      </c>
      <c r="D114" s="95" t="str">
        <f>IF($O114="","",INDEX(R_Proy,$O114)&amp;"")</f>
        <v/>
      </c>
      <c r="E114" s="95" t="str">
        <f>IF($O114="","",INDEX(R_Task,$O114)&amp;"")</f>
        <v/>
      </c>
      <c r="F114" s="173" t="str">
        <f>IF($O114="","",INDEX(R_Desc,$O114)&amp;"")</f>
        <v/>
      </c>
      <c r="G114" s="127" t="str">
        <f>IF($O114="","",INDEX(R_Hval,$O114))</f>
        <v/>
      </c>
      <c r="H114" s="172" t="str">
        <f>IF($O114="","",INDEX(R_BlkV,$O114))</f>
        <v/>
      </c>
      <c r="I114" s="95" t="str">
        <f>IF($O114="","",INDEX(R_St,$O114))</f>
        <v/>
      </c>
      <c r="J114" s="126" t="str">
        <f>IF($O114="","",IF(INDEX(R_FEnv,$O114)="","",INDEX(R_FEnv,$O114)))</f>
        <v/>
      </c>
      <c r="K114" s="126" t="str">
        <f>IF($O114="","",IF(INDEX(R_FApr,$O114)="","",INDEX(R_FApr,$O114)))</f>
        <v/>
      </c>
      <c r="L114" s="172" t="str">
        <f>IF($O114="","",IF(INDEX(R_Age,$O114)="","",INDEX(R_Age,$O114)))</f>
        <v/>
      </c>
      <c r="M114" s="173" t="str">
        <f>IF($O114="","",INDEX(R_Alert,$O114)&amp;"")</f>
        <v/>
      </c>
      <c r="O114" t="str">
        <f>IFERROR(MATCH(84,R_PendSeq,0),"")</f>
        <v/>
      </c>
    </row>
    <row r="115">
      <c r="B115" s="172" t="str">
        <f>IF($O115="","",INDEX(R_ID,$O115))</f>
        <v/>
      </c>
      <c r="C115" s="126" t="str">
        <f>IF($O115="","",INDEX(R_Fecha,$O115))</f>
        <v/>
      </c>
      <c r="D115" s="95" t="str">
        <f>IF($O115="","",INDEX(R_Proy,$O115)&amp;"")</f>
        <v/>
      </c>
      <c r="E115" s="95" t="str">
        <f>IF($O115="","",INDEX(R_Task,$O115)&amp;"")</f>
        <v/>
      </c>
      <c r="F115" s="173" t="str">
        <f>IF($O115="","",INDEX(R_Desc,$O115)&amp;"")</f>
        <v/>
      </c>
      <c r="G115" s="127" t="str">
        <f>IF($O115="","",INDEX(R_Hval,$O115))</f>
        <v/>
      </c>
      <c r="H115" s="172" t="str">
        <f>IF($O115="","",INDEX(R_BlkV,$O115))</f>
        <v/>
      </c>
      <c r="I115" s="95" t="str">
        <f>IF($O115="","",INDEX(R_St,$O115))</f>
        <v/>
      </c>
      <c r="J115" s="126" t="str">
        <f>IF($O115="","",IF(INDEX(R_FEnv,$O115)="","",INDEX(R_FEnv,$O115)))</f>
        <v/>
      </c>
      <c r="K115" s="126" t="str">
        <f>IF($O115="","",IF(INDEX(R_FApr,$O115)="","",INDEX(R_FApr,$O115)))</f>
        <v/>
      </c>
      <c r="L115" s="172" t="str">
        <f>IF($O115="","",IF(INDEX(R_Age,$O115)="","",INDEX(R_Age,$O115)))</f>
        <v/>
      </c>
      <c r="M115" s="173" t="str">
        <f>IF($O115="","",INDEX(R_Alert,$O115)&amp;"")</f>
        <v/>
      </c>
      <c r="O115" t="str">
        <f>IFERROR(MATCH(85,R_PendSeq,0),"")</f>
        <v/>
      </c>
    </row>
    <row r="116">
      <c r="B116" s="172" t="str">
        <f>IF($O116="","",INDEX(R_ID,$O116))</f>
        <v/>
      </c>
      <c r="C116" s="126" t="str">
        <f>IF($O116="","",INDEX(R_Fecha,$O116))</f>
        <v/>
      </c>
      <c r="D116" s="95" t="str">
        <f>IF($O116="","",INDEX(R_Proy,$O116)&amp;"")</f>
        <v/>
      </c>
      <c r="E116" s="95" t="str">
        <f>IF($O116="","",INDEX(R_Task,$O116)&amp;"")</f>
        <v/>
      </c>
      <c r="F116" s="173" t="str">
        <f>IF($O116="","",INDEX(R_Desc,$O116)&amp;"")</f>
        <v/>
      </c>
      <c r="G116" s="127" t="str">
        <f>IF($O116="","",INDEX(R_Hval,$O116))</f>
        <v/>
      </c>
      <c r="H116" s="172" t="str">
        <f>IF($O116="","",INDEX(R_BlkV,$O116))</f>
        <v/>
      </c>
      <c r="I116" s="95" t="str">
        <f>IF($O116="","",INDEX(R_St,$O116))</f>
        <v/>
      </c>
      <c r="J116" s="126" t="str">
        <f>IF($O116="","",IF(INDEX(R_FEnv,$O116)="","",INDEX(R_FEnv,$O116)))</f>
        <v/>
      </c>
      <c r="K116" s="126" t="str">
        <f>IF($O116="","",IF(INDEX(R_FApr,$O116)="","",INDEX(R_FApr,$O116)))</f>
        <v/>
      </c>
      <c r="L116" s="172" t="str">
        <f>IF($O116="","",IF(INDEX(R_Age,$O116)="","",INDEX(R_Age,$O116)))</f>
        <v/>
      </c>
      <c r="M116" s="173" t="str">
        <f>IF($O116="","",INDEX(R_Alert,$O116)&amp;"")</f>
        <v/>
      </c>
      <c r="O116" t="str">
        <f>IFERROR(MATCH(86,R_PendSeq,0),"")</f>
        <v/>
      </c>
    </row>
    <row r="117">
      <c r="B117" s="172" t="str">
        <f>IF($O117="","",INDEX(R_ID,$O117))</f>
        <v/>
      </c>
      <c r="C117" s="126" t="str">
        <f>IF($O117="","",INDEX(R_Fecha,$O117))</f>
        <v/>
      </c>
      <c r="D117" s="95" t="str">
        <f>IF($O117="","",INDEX(R_Proy,$O117)&amp;"")</f>
        <v/>
      </c>
      <c r="E117" s="95" t="str">
        <f>IF($O117="","",INDEX(R_Task,$O117)&amp;"")</f>
        <v/>
      </c>
      <c r="F117" s="173" t="str">
        <f>IF($O117="","",INDEX(R_Desc,$O117)&amp;"")</f>
        <v/>
      </c>
      <c r="G117" s="127" t="str">
        <f>IF($O117="","",INDEX(R_Hval,$O117))</f>
        <v/>
      </c>
      <c r="H117" s="172" t="str">
        <f>IF($O117="","",INDEX(R_BlkV,$O117))</f>
        <v/>
      </c>
      <c r="I117" s="95" t="str">
        <f>IF($O117="","",INDEX(R_St,$O117))</f>
        <v/>
      </c>
      <c r="J117" s="126" t="str">
        <f>IF($O117="","",IF(INDEX(R_FEnv,$O117)="","",INDEX(R_FEnv,$O117)))</f>
        <v/>
      </c>
      <c r="K117" s="126" t="str">
        <f>IF($O117="","",IF(INDEX(R_FApr,$O117)="","",INDEX(R_FApr,$O117)))</f>
        <v/>
      </c>
      <c r="L117" s="172" t="str">
        <f>IF($O117="","",IF(INDEX(R_Age,$O117)="","",INDEX(R_Age,$O117)))</f>
        <v/>
      </c>
      <c r="M117" s="173" t="str">
        <f>IF($O117="","",INDEX(R_Alert,$O117)&amp;"")</f>
        <v/>
      </c>
      <c r="O117" t="str">
        <f>IFERROR(MATCH(87,R_PendSeq,0),"")</f>
        <v/>
      </c>
    </row>
    <row r="118">
      <c r="B118" s="172" t="str">
        <f>IF($O118="","",INDEX(R_ID,$O118))</f>
        <v/>
      </c>
      <c r="C118" s="126" t="str">
        <f>IF($O118="","",INDEX(R_Fecha,$O118))</f>
        <v/>
      </c>
      <c r="D118" s="95" t="str">
        <f>IF($O118="","",INDEX(R_Proy,$O118)&amp;"")</f>
        <v/>
      </c>
      <c r="E118" s="95" t="str">
        <f>IF($O118="","",INDEX(R_Task,$O118)&amp;"")</f>
        <v/>
      </c>
      <c r="F118" s="173" t="str">
        <f>IF($O118="","",INDEX(R_Desc,$O118)&amp;"")</f>
        <v/>
      </c>
      <c r="G118" s="127" t="str">
        <f>IF($O118="","",INDEX(R_Hval,$O118))</f>
        <v/>
      </c>
      <c r="H118" s="172" t="str">
        <f>IF($O118="","",INDEX(R_BlkV,$O118))</f>
        <v/>
      </c>
      <c r="I118" s="95" t="str">
        <f>IF($O118="","",INDEX(R_St,$O118))</f>
        <v/>
      </c>
      <c r="J118" s="126" t="str">
        <f>IF($O118="","",IF(INDEX(R_FEnv,$O118)="","",INDEX(R_FEnv,$O118)))</f>
        <v/>
      </c>
      <c r="K118" s="126" t="str">
        <f>IF($O118="","",IF(INDEX(R_FApr,$O118)="","",INDEX(R_FApr,$O118)))</f>
        <v/>
      </c>
      <c r="L118" s="172" t="str">
        <f>IF($O118="","",IF(INDEX(R_Age,$O118)="","",INDEX(R_Age,$O118)))</f>
        <v/>
      </c>
      <c r="M118" s="173" t="str">
        <f>IF($O118="","",INDEX(R_Alert,$O118)&amp;"")</f>
        <v/>
      </c>
      <c r="O118" t="str">
        <f>IFERROR(MATCH(88,R_PendSeq,0),"")</f>
        <v/>
      </c>
    </row>
    <row r="119">
      <c r="B119" s="172" t="str">
        <f>IF($O119="","",INDEX(R_ID,$O119))</f>
        <v/>
      </c>
      <c r="C119" s="126" t="str">
        <f>IF($O119="","",INDEX(R_Fecha,$O119))</f>
        <v/>
      </c>
      <c r="D119" s="95" t="str">
        <f>IF($O119="","",INDEX(R_Proy,$O119)&amp;"")</f>
        <v/>
      </c>
      <c r="E119" s="95" t="str">
        <f>IF($O119="","",INDEX(R_Task,$O119)&amp;"")</f>
        <v/>
      </c>
      <c r="F119" s="173" t="str">
        <f>IF($O119="","",INDEX(R_Desc,$O119)&amp;"")</f>
        <v/>
      </c>
      <c r="G119" s="127" t="str">
        <f>IF($O119="","",INDEX(R_Hval,$O119))</f>
        <v/>
      </c>
      <c r="H119" s="172" t="str">
        <f>IF($O119="","",INDEX(R_BlkV,$O119))</f>
        <v/>
      </c>
      <c r="I119" s="95" t="str">
        <f>IF($O119="","",INDEX(R_St,$O119))</f>
        <v/>
      </c>
      <c r="J119" s="126" t="str">
        <f>IF($O119="","",IF(INDEX(R_FEnv,$O119)="","",INDEX(R_FEnv,$O119)))</f>
        <v/>
      </c>
      <c r="K119" s="126" t="str">
        <f>IF($O119="","",IF(INDEX(R_FApr,$O119)="","",INDEX(R_FApr,$O119)))</f>
        <v/>
      </c>
      <c r="L119" s="172" t="str">
        <f>IF($O119="","",IF(INDEX(R_Age,$O119)="","",INDEX(R_Age,$O119)))</f>
        <v/>
      </c>
      <c r="M119" s="173" t="str">
        <f>IF($O119="","",INDEX(R_Alert,$O119)&amp;"")</f>
        <v/>
      </c>
      <c r="O119" t="str">
        <f>IFERROR(MATCH(89,R_PendSeq,0),"")</f>
        <v/>
      </c>
    </row>
    <row r="120">
      <c r="B120" s="172" t="str">
        <f>IF($O120="","",INDEX(R_ID,$O120))</f>
        <v/>
      </c>
      <c r="C120" s="126" t="str">
        <f>IF($O120="","",INDEX(R_Fecha,$O120))</f>
        <v/>
      </c>
      <c r="D120" s="95" t="str">
        <f>IF($O120="","",INDEX(R_Proy,$O120)&amp;"")</f>
        <v/>
      </c>
      <c r="E120" s="95" t="str">
        <f>IF($O120="","",INDEX(R_Task,$O120)&amp;"")</f>
        <v/>
      </c>
      <c r="F120" s="173" t="str">
        <f>IF($O120="","",INDEX(R_Desc,$O120)&amp;"")</f>
        <v/>
      </c>
      <c r="G120" s="127" t="str">
        <f>IF($O120="","",INDEX(R_Hval,$O120))</f>
        <v/>
      </c>
      <c r="H120" s="172" t="str">
        <f>IF($O120="","",INDEX(R_BlkV,$O120))</f>
        <v/>
      </c>
      <c r="I120" s="95" t="str">
        <f>IF($O120="","",INDEX(R_St,$O120))</f>
        <v/>
      </c>
      <c r="J120" s="126" t="str">
        <f>IF($O120="","",IF(INDEX(R_FEnv,$O120)="","",INDEX(R_FEnv,$O120)))</f>
        <v/>
      </c>
      <c r="K120" s="126" t="str">
        <f>IF($O120="","",IF(INDEX(R_FApr,$O120)="","",INDEX(R_FApr,$O120)))</f>
        <v/>
      </c>
      <c r="L120" s="172" t="str">
        <f>IF($O120="","",IF(INDEX(R_Age,$O120)="","",INDEX(R_Age,$O120)))</f>
        <v/>
      </c>
      <c r="M120" s="173" t="str">
        <f>IF($O120="","",INDEX(R_Alert,$O120)&amp;"")</f>
        <v/>
      </c>
      <c r="O120" t="str">
        <f>IFERROR(MATCH(90,R_PendSeq,0),"")</f>
        <v/>
      </c>
    </row>
    <row r="121">
      <c r="B121" s="172" t="str">
        <f>IF($O121="","",INDEX(R_ID,$O121))</f>
        <v/>
      </c>
      <c r="C121" s="126" t="str">
        <f>IF($O121="","",INDEX(R_Fecha,$O121))</f>
        <v/>
      </c>
      <c r="D121" s="95" t="str">
        <f>IF($O121="","",INDEX(R_Proy,$O121)&amp;"")</f>
        <v/>
      </c>
      <c r="E121" s="95" t="str">
        <f>IF($O121="","",INDEX(R_Task,$O121)&amp;"")</f>
        <v/>
      </c>
      <c r="F121" s="173" t="str">
        <f>IF($O121="","",INDEX(R_Desc,$O121)&amp;"")</f>
        <v/>
      </c>
      <c r="G121" s="127" t="str">
        <f>IF($O121="","",INDEX(R_Hval,$O121))</f>
        <v/>
      </c>
      <c r="H121" s="172" t="str">
        <f>IF($O121="","",INDEX(R_BlkV,$O121))</f>
        <v/>
      </c>
      <c r="I121" s="95" t="str">
        <f>IF($O121="","",INDEX(R_St,$O121))</f>
        <v/>
      </c>
      <c r="J121" s="126" t="str">
        <f>IF($O121="","",IF(INDEX(R_FEnv,$O121)="","",INDEX(R_FEnv,$O121)))</f>
        <v/>
      </c>
      <c r="K121" s="126" t="str">
        <f>IF($O121="","",IF(INDEX(R_FApr,$O121)="","",INDEX(R_FApr,$O121)))</f>
        <v/>
      </c>
      <c r="L121" s="172" t="str">
        <f>IF($O121="","",IF(INDEX(R_Age,$O121)="","",INDEX(R_Age,$O121)))</f>
        <v/>
      </c>
      <c r="M121" s="173" t="str">
        <f>IF($O121="","",INDEX(R_Alert,$O121)&amp;"")</f>
        <v/>
      </c>
      <c r="O121" t="str">
        <f>IFERROR(MATCH(91,R_PendSeq,0),"")</f>
        <v/>
      </c>
    </row>
    <row r="122">
      <c r="B122" s="172" t="str">
        <f>IF($O122="","",INDEX(R_ID,$O122))</f>
        <v/>
      </c>
      <c r="C122" s="126" t="str">
        <f>IF($O122="","",INDEX(R_Fecha,$O122))</f>
        <v/>
      </c>
      <c r="D122" s="95" t="str">
        <f>IF($O122="","",INDEX(R_Proy,$O122)&amp;"")</f>
        <v/>
      </c>
      <c r="E122" s="95" t="str">
        <f>IF($O122="","",INDEX(R_Task,$O122)&amp;"")</f>
        <v/>
      </c>
      <c r="F122" s="173" t="str">
        <f>IF($O122="","",INDEX(R_Desc,$O122)&amp;"")</f>
        <v/>
      </c>
      <c r="G122" s="127" t="str">
        <f>IF($O122="","",INDEX(R_Hval,$O122))</f>
        <v/>
      </c>
      <c r="H122" s="172" t="str">
        <f>IF($O122="","",INDEX(R_BlkV,$O122))</f>
        <v/>
      </c>
      <c r="I122" s="95" t="str">
        <f>IF($O122="","",INDEX(R_St,$O122))</f>
        <v/>
      </c>
      <c r="J122" s="126" t="str">
        <f>IF($O122="","",IF(INDEX(R_FEnv,$O122)="","",INDEX(R_FEnv,$O122)))</f>
        <v/>
      </c>
      <c r="K122" s="126" t="str">
        <f>IF($O122="","",IF(INDEX(R_FApr,$O122)="","",INDEX(R_FApr,$O122)))</f>
        <v/>
      </c>
      <c r="L122" s="172" t="str">
        <f>IF($O122="","",IF(INDEX(R_Age,$O122)="","",INDEX(R_Age,$O122)))</f>
        <v/>
      </c>
      <c r="M122" s="173" t="str">
        <f>IF($O122="","",INDEX(R_Alert,$O122)&amp;"")</f>
        <v/>
      </c>
      <c r="O122" t="str">
        <f>IFERROR(MATCH(92,R_PendSeq,0),"")</f>
        <v/>
      </c>
    </row>
    <row r="123">
      <c r="B123" s="172" t="str">
        <f>IF($O123="","",INDEX(R_ID,$O123))</f>
        <v/>
      </c>
      <c r="C123" s="126" t="str">
        <f>IF($O123="","",INDEX(R_Fecha,$O123))</f>
        <v/>
      </c>
      <c r="D123" s="95" t="str">
        <f>IF($O123="","",INDEX(R_Proy,$O123)&amp;"")</f>
        <v/>
      </c>
      <c r="E123" s="95" t="str">
        <f>IF($O123="","",INDEX(R_Task,$O123)&amp;"")</f>
        <v/>
      </c>
      <c r="F123" s="173" t="str">
        <f>IF($O123="","",INDEX(R_Desc,$O123)&amp;"")</f>
        <v/>
      </c>
      <c r="G123" s="127" t="str">
        <f>IF($O123="","",INDEX(R_Hval,$O123))</f>
        <v/>
      </c>
      <c r="H123" s="172" t="str">
        <f>IF($O123="","",INDEX(R_BlkV,$O123))</f>
        <v/>
      </c>
      <c r="I123" s="95" t="str">
        <f>IF($O123="","",INDEX(R_St,$O123))</f>
        <v/>
      </c>
      <c r="J123" s="126" t="str">
        <f>IF($O123="","",IF(INDEX(R_FEnv,$O123)="","",INDEX(R_FEnv,$O123)))</f>
        <v/>
      </c>
      <c r="K123" s="126" t="str">
        <f>IF($O123="","",IF(INDEX(R_FApr,$O123)="","",INDEX(R_FApr,$O123)))</f>
        <v/>
      </c>
      <c r="L123" s="172" t="str">
        <f>IF($O123="","",IF(INDEX(R_Age,$O123)="","",INDEX(R_Age,$O123)))</f>
        <v/>
      </c>
      <c r="M123" s="173" t="str">
        <f>IF($O123="","",INDEX(R_Alert,$O123)&amp;"")</f>
        <v/>
      </c>
      <c r="O123" t="str">
        <f>IFERROR(MATCH(93,R_PendSeq,0),"")</f>
        <v/>
      </c>
    </row>
    <row r="124">
      <c r="B124" s="172" t="str">
        <f>IF($O124="","",INDEX(R_ID,$O124))</f>
        <v/>
      </c>
      <c r="C124" s="126" t="str">
        <f>IF($O124="","",INDEX(R_Fecha,$O124))</f>
        <v/>
      </c>
      <c r="D124" s="95" t="str">
        <f>IF($O124="","",INDEX(R_Proy,$O124)&amp;"")</f>
        <v/>
      </c>
      <c r="E124" s="95" t="str">
        <f>IF($O124="","",INDEX(R_Task,$O124)&amp;"")</f>
        <v/>
      </c>
      <c r="F124" s="173" t="str">
        <f>IF($O124="","",INDEX(R_Desc,$O124)&amp;"")</f>
        <v/>
      </c>
      <c r="G124" s="127" t="str">
        <f>IF($O124="","",INDEX(R_Hval,$O124))</f>
        <v/>
      </c>
      <c r="H124" s="172" t="str">
        <f>IF($O124="","",INDEX(R_BlkV,$O124))</f>
        <v/>
      </c>
      <c r="I124" s="95" t="str">
        <f>IF($O124="","",INDEX(R_St,$O124))</f>
        <v/>
      </c>
      <c r="J124" s="126" t="str">
        <f>IF($O124="","",IF(INDEX(R_FEnv,$O124)="","",INDEX(R_FEnv,$O124)))</f>
        <v/>
      </c>
      <c r="K124" s="126" t="str">
        <f>IF($O124="","",IF(INDEX(R_FApr,$O124)="","",INDEX(R_FApr,$O124)))</f>
        <v/>
      </c>
      <c r="L124" s="172" t="str">
        <f>IF($O124="","",IF(INDEX(R_Age,$O124)="","",INDEX(R_Age,$O124)))</f>
        <v/>
      </c>
      <c r="M124" s="173" t="str">
        <f>IF($O124="","",INDEX(R_Alert,$O124)&amp;"")</f>
        <v/>
      </c>
      <c r="O124" t="str">
        <f>IFERROR(MATCH(94,R_PendSeq,0),"")</f>
        <v/>
      </c>
    </row>
    <row r="125">
      <c r="B125" s="172" t="str">
        <f>IF($O125="","",INDEX(R_ID,$O125))</f>
        <v/>
      </c>
      <c r="C125" s="126" t="str">
        <f>IF($O125="","",INDEX(R_Fecha,$O125))</f>
        <v/>
      </c>
      <c r="D125" s="95" t="str">
        <f>IF($O125="","",INDEX(R_Proy,$O125)&amp;"")</f>
        <v/>
      </c>
      <c r="E125" s="95" t="str">
        <f>IF($O125="","",INDEX(R_Task,$O125)&amp;"")</f>
        <v/>
      </c>
      <c r="F125" s="173" t="str">
        <f>IF($O125="","",INDEX(R_Desc,$O125)&amp;"")</f>
        <v/>
      </c>
      <c r="G125" s="127" t="str">
        <f>IF($O125="","",INDEX(R_Hval,$O125))</f>
        <v/>
      </c>
      <c r="H125" s="172" t="str">
        <f>IF($O125="","",INDEX(R_BlkV,$O125))</f>
        <v/>
      </c>
      <c r="I125" s="95" t="str">
        <f>IF($O125="","",INDEX(R_St,$O125))</f>
        <v/>
      </c>
      <c r="J125" s="126" t="str">
        <f>IF($O125="","",IF(INDEX(R_FEnv,$O125)="","",INDEX(R_FEnv,$O125)))</f>
        <v/>
      </c>
      <c r="K125" s="126" t="str">
        <f>IF($O125="","",IF(INDEX(R_FApr,$O125)="","",INDEX(R_FApr,$O125)))</f>
        <v/>
      </c>
      <c r="L125" s="172" t="str">
        <f>IF($O125="","",IF(INDEX(R_Age,$O125)="","",INDEX(R_Age,$O125)))</f>
        <v/>
      </c>
      <c r="M125" s="173" t="str">
        <f>IF($O125="","",INDEX(R_Alert,$O125)&amp;"")</f>
        <v/>
      </c>
      <c r="O125" t="str">
        <f>IFERROR(MATCH(95,R_PendSeq,0),"")</f>
        <v/>
      </c>
    </row>
    <row r="126">
      <c r="B126" s="172" t="str">
        <f>IF($O126="","",INDEX(R_ID,$O126))</f>
        <v/>
      </c>
      <c r="C126" s="126" t="str">
        <f>IF($O126="","",INDEX(R_Fecha,$O126))</f>
        <v/>
      </c>
      <c r="D126" s="95" t="str">
        <f>IF($O126="","",INDEX(R_Proy,$O126)&amp;"")</f>
        <v/>
      </c>
      <c r="E126" s="95" t="str">
        <f>IF($O126="","",INDEX(R_Task,$O126)&amp;"")</f>
        <v/>
      </c>
      <c r="F126" s="173" t="str">
        <f>IF($O126="","",INDEX(R_Desc,$O126)&amp;"")</f>
        <v/>
      </c>
      <c r="G126" s="127" t="str">
        <f>IF($O126="","",INDEX(R_Hval,$O126))</f>
        <v/>
      </c>
      <c r="H126" s="172" t="str">
        <f>IF($O126="","",INDEX(R_BlkV,$O126))</f>
        <v/>
      </c>
      <c r="I126" s="95" t="str">
        <f>IF($O126="","",INDEX(R_St,$O126))</f>
        <v/>
      </c>
      <c r="J126" s="126" t="str">
        <f>IF($O126="","",IF(INDEX(R_FEnv,$O126)="","",INDEX(R_FEnv,$O126)))</f>
        <v/>
      </c>
      <c r="K126" s="126" t="str">
        <f>IF($O126="","",IF(INDEX(R_FApr,$O126)="","",INDEX(R_FApr,$O126)))</f>
        <v/>
      </c>
      <c r="L126" s="172" t="str">
        <f>IF($O126="","",IF(INDEX(R_Age,$O126)="","",INDEX(R_Age,$O126)))</f>
        <v/>
      </c>
      <c r="M126" s="173" t="str">
        <f>IF($O126="","",INDEX(R_Alert,$O126)&amp;"")</f>
        <v/>
      </c>
      <c r="O126" t="str">
        <f>IFERROR(MATCH(96,R_PendSeq,0),"")</f>
        <v/>
      </c>
    </row>
    <row r="127">
      <c r="B127" s="172" t="str">
        <f>IF($O127="","",INDEX(R_ID,$O127))</f>
        <v/>
      </c>
      <c r="C127" s="126" t="str">
        <f>IF($O127="","",INDEX(R_Fecha,$O127))</f>
        <v/>
      </c>
      <c r="D127" s="95" t="str">
        <f>IF($O127="","",INDEX(R_Proy,$O127)&amp;"")</f>
        <v/>
      </c>
      <c r="E127" s="95" t="str">
        <f>IF($O127="","",INDEX(R_Task,$O127)&amp;"")</f>
        <v/>
      </c>
      <c r="F127" s="173" t="str">
        <f>IF($O127="","",INDEX(R_Desc,$O127)&amp;"")</f>
        <v/>
      </c>
      <c r="G127" s="127" t="str">
        <f>IF($O127="","",INDEX(R_Hval,$O127))</f>
        <v/>
      </c>
      <c r="H127" s="172" t="str">
        <f>IF($O127="","",INDEX(R_BlkV,$O127))</f>
        <v/>
      </c>
      <c r="I127" s="95" t="str">
        <f>IF($O127="","",INDEX(R_St,$O127))</f>
        <v/>
      </c>
      <c r="J127" s="126" t="str">
        <f>IF($O127="","",IF(INDEX(R_FEnv,$O127)="","",INDEX(R_FEnv,$O127)))</f>
        <v/>
      </c>
      <c r="K127" s="126" t="str">
        <f>IF($O127="","",IF(INDEX(R_FApr,$O127)="","",INDEX(R_FApr,$O127)))</f>
        <v/>
      </c>
      <c r="L127" s="172" t="str">
        <f>IF($O127="","",IF(INDEX(R_Age,$O127)="","",INDEX(R_Age,$O127)))</f>
        <v/>
      </c>
      <c r="M127" s="173" t="str">
        <f>IF($O127="","",INDEX(R_Alert,$O127)&amp;"")</f>
        <v/>
      </c>
      <c r="O127" t="str">
        <f>IFERROR(MATCH(97,R_PendSeq,0),"")</f>
        <v/>
      </c>
    </row>
    <row r="128">
      <c r="B128" s="172" t="str">
        <f>IF($O128="","",INDEX(R_ID,$O128))</f>
        <v/>
      </c>
      <c r="C128" s="126" t="str">
        <f>IF($O128="","",INDEX(R_Fecha,$O128))</f>
        <v/>
      </c>
      <c r="D128" s="95" t="str">
        <f>IF($O128="","",INDEX(R_Proy,$O128)&amp;"")</f>
        <v/>
      </c>
      <c r="E128" s="95" t="str">
        <f>IF($O128="","",INDEX(R_Task,$O128)&amp;"")</f>
        <v/>
      </c>
      <c r="F128" s="173" t="str">
        <f>IF($O128="","",INDEX(R_Desc,$O128)&amp;"")</f>
        <v/>
      </c>
      <c r="G128" s="127" t="str">
        <f>IF($O128="","",INDEX(R_Hval,$O128))</f>
        <v/>
      </c>
      <c r="H128" s="172" t="str">
        <f>IF($O128="","",INDEX(R_BlkV,$O128))</f>
        <v/>
      </c>
      <c r="I128" s="95" t="str">
        <f>IF($O128="","",INDEX(R_St,$O128))</f>
        <v/>
      </c>
      <c r="J128" s="126" t="str">
        <f>IF($O128="","",IF(INDEX(R_FEnv,$O128)="","",INDEX(R_FEnv,$O128)))</f>
        <v/>
      </c>
      <c r="K128" s="126" t="str">
        <f>IF($O128="","",IF(INDEX(R_FApr,$O128)="","",INDEX(R_FApr,$O128)))</f>
        <v/>
      </c>
      <c r="L128" s="172" t="str">
        <f>IF($O128="","",IF(INDEX(R_Age,$O128)="","",INDEX(R_Age,$O128)))</f>
        <v/>
      </c>
      <c r="M128" s="173" t="str">
        <f>IF($O128="","",INDEX(R_Alert,$O128)&amp;"")</f>
        <v/>
      </c>
      <c r="O128" t="str">
        <f>IFERROR(MATCH(98,R_PendSeq,0),"")</f>
        <v/>
      </c>
    </row>
    <row r="129">
      <c r="B129" s="172" t="str">
        <f>IF($O129="","",INDEX(R_ID,$O129))</f>
        <v/>
      </c>
      <c r="C129" s="126" t="str">
        <f>IF($O129="","",INDEX(R_Fecha,$O129))</f>
        <v/>
      </c>
      <c r="D129" s="95" t="str">
        <f>IF($O129="","",INDEX(R_Proy,$O129)&amp;"")</f>
        <v/>
      </c>
      <c r="E129" s="95" t="str">
        <f>IF($O129="","",INDEX(R_Task,$O129)&amp;"")</f>
        <v/>
      </c>
      <c r="F129" s="173" t="str">
        <f>IF($O129="","",INDEX(R_Desc,$O129)&amp;"")</f>
        <v/>
      </c>
      <c r="G129" s="127" t="str">
        <f>IF($O129="","",INDEX(R_Hval,$O129))</f>
        <v/>
      </c>
      <c r="H129" s="172" t="str">
        <f>IF($O129="","",INDEX(R_BlkV,$O129))</f>
        <v/>
      </c>
      <c r="I129" s="95" t="str">
        <f>IF($O129="","",INDEX(R_St,$O129))</f>
        <v/>
      </c>
      <c r="J129" s="126" t="str">
        <f>IF($O129="","",IF(INDEX(R_FEnv,$O129)="","",INDEX(R_FEnv,$O129)))</f>
        <v/>
      </c>
      <c r="K129" s="126" t="str">
        <f>IF($O129="","",IF(INDEX(R_FApr,$O129)="","",INDEX(R_FApr,$O129)))</f>
        <v/>
      </c>
      <c r="L129" s="172" t="str">
        <f>IF($O129="","",IF(INDEX(R_Age,$O129)="","",INDEX(R_Age,$O129)))</f>
        <v/>
      </c>
      <c r="M129" s="173" t="str">
        <f>IF($O129="","",INDEX(R_Alert,$O129)&amp;"")</f>
        <v/>
      </c>
      <c r="O129" t="str">
        <f>IFERROR(MATCH(99,R_PendSeq,0),"")</f>
        <v/>
      </c>
    </row>
    <row r="130">
      <c r="B130" s="172" t="str">
        <f>IF($O130="","",INDEX(R_ID,$O130))</f>
        <v/>
      </c>
      <c r="C130" s="126" t="str">
        <f>IF($O130="","",INDEX(R_Fecha,$O130))</f>
        <v/>
      </c>
      <c r="D130" s="95" t="str">
        <f>IF($O130="","",INDEX(R_Proy,$O130)&amp;"")</f>
        <v/>
      </c>
      <c r="E130" s="95" t="str">
        <f>IF($O130="","",INDEX(R_Task,$O130)&amp;"")</f>
        <v/>
      </c>
      <c r="F130" s="173" t="str">
        <f>IF($O130="","",INDEX(R_Desc,$O130)&amp;"")</f>
        <v/>
      </c>
      <c r="G130" s="127" t="str">
        <f>IF($O130="","",INDEX(R_Hval,$O130))</f>
        <v/>
      </c>
      <c r="H130" s="172" t="str">
        <f>IF($O130="","",INDEX(R_BlkV,$O130))</f>
        <v/>
      </c>
      <c r="I130" s="95" t="str">
        <f>IF($O130="","",INDEX(R_St,$O130))</f>
        <v/>
      </c>
      <c r="J130" s="126" t="str">
        <f>IF($O130="","",IF(INDEX(R_FEnv,$O130)="","",INDEX(R_FEnv,$O130)))</f>
        <v/>
      </c>
      <c r="K130" s="126" t="str">
        <f>IF($O130="","",IF(INDEX(R_FApr,$O130)="","",INDEX(R_FApr,$O130)))</f>
        <v/>
      </c>
      <c r="L130" s="172" t="str">
        <f>IF($O130="","",IF(INDEX(R_Age,$O130)="","",INDEX(R_Age,$O130)))</f>
        <v/>
      </c>
      <c r="M130" s="173" t="str">
        <f>IF($O130="","",INDEX(R_Alert,$O130)&amp;"")</f>
        <v/>
      </c>
      <c r="O130" t="str">
        <f>IFERROR(MATCH(100,R_PendSeq,0),"")</f>
        <v/>
      </c>
    </row>
    <row r="131">
      <c r="B131" s="172" t="str">
        <f>IF($O131="","",INDEX(R_ID,$O131))</f>
        <v/>
      </c>
      <c r="C131" s="126" t="str">
        <f>IF($O131="","",INDEX(R_Fecha,$O131))</f>
        <v/>
      </c>
      <c r="D131" s="95" t="str">
        <f>IF($O131="","",INDEX(R_Proy,$O131)&amp;"")</f>
        <v/>
      </c>
      <c r="E131" s="95" t="str">
        <f>IF($O131="","",INDEX(R_Task,$O131)&amp;"")</f>
        <v/>
      </c>
      <c r="F131" s="173" t="str">
        <f>IF($O131="","",INDEX(R_Desc,$O131)&amp;"")</f>
        <v/>
      </c>
      <c r="G131" s="127" t="str">
        <f>IF($O131="","",INDEX(R_Hval,$O131))</f>
        <v/>
      </c>
      <c r="H131" s="172" t="str">
        <f>IF($O131="","",INDEX(R_BlkV,$O131))</f>
        <v/>
      </c>
      <c r="I131" s="95" t="str">
        <f>IF($O131="","",INDEX(R_St,$O131))</f>
        <v/>
      </c>
      <c r="J131" s="126" t="str">
        <f>IF($O131="","",IF(INDEX(R_FEnv,$O131)="","",INDEX(R_FEnv,$O131)))</f>
        <v/>
      </c>
      <c r="K131" s="126" t="str">
        <f>IF($O131="","",IF(INDEX(R_FApr,$O131)="","",INDEX(R_FApr,$O131)))</f>
        <v/>
      </c>
      <c r="L131" s="172" t="str">
        <f>IF($O131="","",IF(INDEX(R_Age,$O131)="","",INDEX(R_Age,$O131)))</f>
        <v/>
      </c>
      <c r="M131" s="173" t="str">
        <f>IF($O131="","",INDEX(R_Alert,$O131)&amp;"")</f>
        <v/>
      </c>
      <c r="O131" t="str">
        <f>IFERROR(MATCH(101,R_PendSeq,0),"")</f>
        <v/>
      </c>
    </row>
    <row r="132">
      <c r="B132" s="172" t="str">
        <f>IF($O132="","",INDEX(R_ID,$O132))</f>
        <v/>
      </c>
      <c r="C132" s="126" t="str">
        <f>IF($O132="","",INDEX(R_Fecha,$O132))</f>
        <v/>
      </c>
      <c r="D132" s="95" t="str">
        <f>IF($O132="","",INDEX(R_Proy,$O132)&amp;"")</f>
        <v/>
      </c>
      <c r="E132" s="95" t="str">
        <f>IF($O132="","",INDEX(R_Task,$O132)&amp;"")</f>
        <v/>
      </c>
      <c r="F132" s="173" t="str">
        <f>IF($O132="","",INDEX(R_Desc,$O132)&amp;"")</f>
        <v/>
      </c>
      <c r="G132" s="127" t="str">
        <f>IF($O132="","",INDEX(R_Hval,$O132))</f>
        <v/>
      </c>
      <c r="H132" s="172" t="str">
        <f>IF($O132="","",INDEX(R_BlkV,$O132))</f>
        <v/>
      </c>
      <c r="I132" s="95" t="str">
        <f>IF($O132="","",INDEX(R_St,$O132))</f>
        <v/>
      </c>
      <c r="J132" s="126" t="str">
        <f>IF($O132="","",IF(INDEX(R_FEnv,$O132)="","",INDEX(R_FEnv,$O132)))</f>
        <v/>
      </c>
      <c r="K132" s="126" t="str">
        <f>IF($O132="","",IF(INDEX(R_FApr,$O132)="","",INDEX(R_FApr,$O132)))</f>
        <v/>
      </c>
      <c r="L132" s="172" t="str">
        <f>IF($O132="","",IF(INDEX(R_Age,$O132)="","",INDEX(R_Age,$O132)))</f>
        <v/>
      </c>
      <c r="M132" s="173" t="str">
        <f>IF($O132="","",INDEX(R_Alert,$O132)&amp;"")</f>
        <v/>
      </c>
      <c r="O132" t="str">
        <f>IFERROR(MATCH(102,R_PendSeq,0),"")</f>
        <v/>
      </c>
    </row>
    <row r="133">
      <c r="B133" s="172" t="str">
        <f>IF($O133="","",INDEX(R_ID,$O133))</f>
        <v/>
      </c>
      <c r="C133" s="126" t="str">
        <f>IF($O133="","",INDEX(R_Fecha,$O133))</f>
        <v/>
      </c>
      <c r="D133" s="95" t="str">
        <f>IF($O133="","",INDEX(R_Proy,$O133)&amp;"")</f>
        <v/>
      </c>
      <c r="E133" s="95" t="str">
        <f>IF($O133="","",INDEX(R_Task,$O133)&amp;"")</f>
        <v/>
      </c>
      <c r="F133" s="173" t="str">
        <f>IF($O133="","",INDEX(R_Desc,$O133)&amp;"")</f>
        <v/>
      </c>
      <c r="G133" s="127" t="str">
        <f>IF($O133="","",INDEX(R_Hval,$O133))</f>
        <v/>
      </c>
      <c r="H133" s="172" t="str">
        <f>IF($O133="","",INDEX(R_BlkV,$O133))</f>
        <v/>
      </c>
      <c r="I133" s="95" t="str">
        <f>IF($O133="","",INDEX(R_St,$O133))</f>
        <v/>
      </c>
      <c r="J133" s="126" t="str">
        <f>IF($O133="","",IF(INDEX(R_FEnv,$O133)="","",INDEX(R_FEnv,$O133)))</f>
        <v/>
      </c>
      <c r="K133" s="126" t="str">
        <f>IF($O133="","",IF(INDEX(R_FApr,$O133)="","",INDEX(R_FApr,$O133)))</f>
        <v/>
      </c>
      <c r="L133" s="172" t="str">
        <f>IF($O133="","",IF(INDEX(R_Age,$O133)="","",INDEX(R_Age,$O133)))</f>
        <v/>
      </c>
      <c r="M133" s="173" t="str">
        <f>IF($O133="","",INDEX(R_Alert,$O133)&amp;"")</f>
        <v/>
      </c>
      <c r="O133" t="str">
        <f>IFERROR(MATCH(103,R_PendSeq,0),"")</f>
        <v/>
      </c>
    </row>
    <row r="134">
      <c r="B134" s="172" t="str">
        <f>IF($O134="","",INDEX(R_ID,$O134))</f>
        <v/>
      </c>
      <c r="C134" s="126" t="str">
        <f>IF($O134="","",INDEX(R_Fecha,$O134))</f>
        <v/>
      </c>
      <c r="D134" s="95" t="str">
        <f>IF($O134="","",INDEX(R_Proy,$O134)&amp;"")</f>
        <v/>
      </c>
      <c r="E134" s="95" t="str">
        <f>IF($O134="","",INDEX(R_Task,$O134)&amp;"")</f>
        <v/>
      </c>
      <c r="F134" s="173" t="str">
        <f>IF($O134="","",INDEX(R_Desc,$O134)&amp;"")</f>
        <v/>
      </c>
      <c r="G134" s="127" t="str">
        <f>IF($O134="","",INDEX(R_Hval,$O134))</f>
        <v/>
      </c>
      <c r="H134" s="172" t="str">
        <f>IF($O134="","",INDEX(R_BlkV,$O134))</f>
        <v/>
      </c>
      <c r="I134" s="95" t="str">
        <f>IF($O134="","",INDEX(R_St,$O134))</f>
        <v/>
      </c>
      <c r="J134" s="126" t="str">
        <f>IF($O134="","",IF(INDEX(R_FEnv,$O134)="","",INDEX(R_FEnv,$O134)))</f>
        <v/>
      </c>
      <c r="K134" s="126" t="str">
        <f>IF($O134="","",IF(INDEX(R_FApr,$O134)="","",INDEX(R_FApr,$O134)))</f>
        <v/>
      </c>
      <c r="L134" s="172" t="str">
        <f>IF($O134="","",IF(INDEX(R_Age,$O134)="","",INDEX(R_Age,$O134)))</f>
        <v/>
      </c>
      <c r="M134" s="173" t="str">
        <f>IF($O134="","",INDEX(R_Alert,$O134)&amp;"")</f>
        <v/>
      </c>
      <c r="O134" t="str">
        <f>IFERROR(MATCH(104,R_PendSeq,0),"")</f>
        <v/>
      </c>
    </row>
    <row r="135">
      <c r="B135" s="172" t="str">
        <f>IF($O135="","",INDEX(R_ID,$O135))</f>
        <v/>
      </c>
      <c r="C135" s="126" t="str">
        <f>IF($O135="","",INDEX(R_Fecha,$O135))</f>
        <v/>
      </c>
      <c r="D135" s="95" t="str">
        <f>IF($O135="","",INDEX(R_Proy,$O135)&amp;"")</f>
        <v/>
      </c>
      <c r="E135" s="95" t="str">
        <f>IF($O135="","",INDEX(R_Task,$O135)&amp;"")</f>
        <v/>
      </c>
      <c r="F135" s="173" t="str">
        <f>IF($O135="","",INDEX(R_Desc,$O135)&amp;"")</f>
        <v/>
      </c>
      <c r="G135" s="127" t="str">
        <f>IF($O135="","",INDEX(R_Hval,$O135))</f>
        <v/>
      </c>
      <c r="H135" s="172" t="str">
        <f>IF($O135="","",INDEX(R_BlkV,$O135))</f>
        <v/>
      </c>
      <c r="I135" s="95" t="str">
        <f>IF($O135="","",INDEX(R_St,$O135))</f>
        <v/>
      </c>
      <c r="J135" s="126" t="str">
        <f>IF($O135="","",IF(INDEX(R_FEnv,$O135)="","",INDEX(R_FEnv,$O135)))</f>
        <v/>
      </c>
      <c r="K135" s="126" t="str">
        <f>IF($O135="","",IF(INDEX(R_FApr,$O135)="","",INDEX(R_FApr,$O135)))</f>
        <v/>
      </c>
      <c r="L135" s="172" t="str">
        <f>IF($O135="","",IF(INDEX(R_Age,$O135)="","",INDEX(R_Age,$O135)))</f>
        <v/>
      </c>
      <c r="M135" s="173" t="str">
        <f>IF($O135="","",INDEX(R_Alert,$O135)&amp;"")</f>
        <v/>
      </c>
      <c r="O135" t="str">
        <f>IFERROR(MATCH(105,R_PendSeq,0),"")</f>
        <v/>
      </c>
    </row>
    <row r="136">
      <c r="B136" s="172" t="str">
        <f>IF($O136="","",INDEX(R_ID,$O136))</f>
        <v/>
      </c>
      <c r="C136" s="126" t="str">
        <f>IF($O136="","",INDEX(R_Fecha,$O136))</f>
        <v/>
      </c>
      <c r="D136" s="95" t="str">
        <f>IF($O136="","",INDEX(R_Proy,$O136)&amp;"")</f>
        <v/>
      </c>
      <c r="E136" s="95" t="str">
        <f>IF($O136="","",INDEX(R_Task,$O136)&amp;"")</f>
        <v/>
      </c>
      <c r="F136" s="173" t="str">
        <f>IF($O136="","",INDEX(R_Desc,$O136)&amp;"")</f>
        <v/>
      </c>
      <c r="G136" s="127" t="str">
        <f>IF($O136="","",INDEX(R_Hval,$O136))</f>
        <v/>
      </c>
      <c r="H136" s="172" t="str">
        <f>IF($O136="","",INDEX(R_BlkV,$O136))</f>
        <v/>
      </c>
      <c r="I136" s="95" t="str">
        <f>IF($O136="","",INDEX(R_St,$O136))</f>
        <v/>
      </c>
      <c r="J136" s="126" t="str">
        <f>IF($O136="","",IF(INDEX(R_FEnv,$O136)="","",INDEX(R_FEnv,$O136)))</f>
        <v/>
      </c>
      <c r="K136" s="126" t="str">
        <f>IF($O136="","",IF(INDEX(R_FApr,$O136)="","",INDEX(R_FApr,$O136)))</f>
        <v/>
      </c>
      <c r="L136" s="172" t="str">
        <f>IF($O136="","",IF(INDEX(R_Age,$O136)="","",INDEX(R_Age,$O136)))</f>
        <v/>
      </c>
      <c r="M136" s="173" t="str">
        <f>IF($O136="","",INDEX(R_Alert,$O136)&amp;"")</f>
        <v/>
      </c>
      <c r="O136" t="str">
        <f>IFERROR(MATCH(106,R_PendSeq,0),"")</f>
        <v/>
      </c>
    </row>
    <row r="137">
      <c r="B137" s="172" t="str">
        <f>IF($O137="","",INDEX(R_ID,$O137))</f>
        <v/>
      </c>
      <c r="C137" s="126" t="str">
        <f>IF($O137="","",INDEX(R_Fecha,$O137))</f>
        <v/>
      </c>
      <c r="D137" s="95" t="str">
        <f>IF($O137="","",INDEX(R_Proy,$O137)&amp;"")</f>
        <v/>
      </c>
      <c r="E137" s="95" t="str">
        <f>IF($O137="","",INDEX(R_Task,$O137)&amp;"")</f>
        <v/>
      </c>
      <c r="F137" s="173" t="str">
        <f>IF($O137="","",INDEX(R_Desc,$O137)&amp;"")</f>
        <v/>
      </c>
      <c r="G137" s="127" t="str">
        <f>IF($O137="","",INDEX(R_Hval,$O137))</f>
        <v/>
      </c>
      <c r="H137" s="172" t="str">
        <f>IF($O137="","",INDEX(R_BlkV,$O137))</f>
        <v/>
      </c>
      <c r="I137" s="95" t="str">
        <f>IF($O137="","",INDEX(R_St,$O137))</f>
        <v/>
      </c>
      <c r="J137" s="126" t="str">
        <f>IF($O137="","",IF(INDEX(R_FEnv,$O137)="","",INDEX(R_FEnv,$O137)))</f>
        <v/>
      </c>
      <c r="K137" s="126" t="str">
        <f>IF($O137="","",IF(INDEX(R_FApr,$O137)="","",INDEX(R_FApr,$O137)))</f>
        <v/>
      </c>
      <c r="L137" s="172" t="str">
        <f>IF($O137="","",IF(INDEX(R_Age,$O137)="","",INDEX(R_Age,$O137)))</f>
        <v/>
      </c>
      <c r="M137" s="173" t="str">
        <f>IF($O137="","",INDEX(R_Alert,$O137)&amp;"")</f>
        <v/>
      </c>
      <c r="O137" t="str">
        <f>IFERROR(MATCH(107,R_PendSeq,0),"")</f>
        <v/>
      </c>
    </row>
    <row r="138">
      <c r="B138" s="172" t="str">
        <f>IF($O138="","",INDEX(R_ID,$O138))</f>
        <v/>
      </c>
      <c r="C138" s="126" t="str">
        <f>IF($O138="","",INDEX(R_Fecha,$O138))</f>
        <v/>
      </c>
      <c r="D138" s="95" t="str">
        <f>IF($O138="","",INDEX(R_Proy,$O138)&amp;"")</f>
        <v/>
      </c>
      <c r="E138" s="95" t="str">
        <f>IF($O138="","",INDEX(R_Task,$O138)&amp;"")</f>
        <v/>
      </c>
      <c r="F138" s="173" t="str">
        <f>IF($O138="","",INDEX(R_Desc,$O138)&amp;"")</f>
        <v/>
      </c>
      <c r="G138" s="127" t="str">
        <f>IF($O138="","",INDEX(R_Hval,$O138))</f>
        <v/>
      </c>
      <c r="H138" s="172" t="str">
        <f>IF($O138="","",INDEX(R_BlkV,$O138))</f>
        <v/>
      </c>
      <c r="I138" s="95" t="str">
        <f>IF($O138="","",INDEX(R_St,$O138))</f>
        <v/>
      </c>
      <c r="J138" s="126" t="str">
        <f>IF($O138="","",IF(INDEX(R_FEnv,$O138)="","",INDEX(R_FEnv,$O138)))</f>
        <v/>
      </c>
      <c r="K138" s="126" t="str">
        <f>IF($O138="","",IF(INDEX(R_FApr,$O138)="","",INDEX(R_FApr,$O138)))</f>
        <v/>
      </c>
      <c r="L138" s="172" t="str">
        <f>IF($O138="","",IF(INDEX(R_Age,$O138)="","",INDEX(R_Age,$O138)))</f>
        <v/>
      </c>
      <c r="M138" s="173" t="str">
        <f>IF($O138="","",INDEX(R_Alert,$O138)&amp;"")</f>
        <v/>
      </c>
      <c r="O138" t="str">
        <f>IFERROR(MATCH(108,R_PendSeq,0),"")</f>
        <v/>
      </c>
    </row>
    <row r="139">
      <c r="B139" s="172" t="str">
        <f>IF($O139="","",INDEX(R_ID,$O139))</f>
        <v/>
      </c>
      <c r="C139" s="126" t="str">
        <f>IF($O139="","",INDEX(R_Fecha,$O139))</f>
        <v/>
      </c>
      <c r="D139" s="95" t="str">
        <f>IF($O139="","",INDEX(R_Proy,$O139)&amp;"")</f>
        <v/>
      </c>
      <c r="E139" s="95" t="str">
        <f>IF($O139="","",INDEX(R_Task,$O139)&amp;"")</f>
        <v/>
      </c>
      <c r="F139" s="173" t="str">
        <f>IF($O139="","",INDEX(R_Desc,$O139)&amp;"")</f>
        <v/>
      </c>
      <c r="G139" s="127" t="str">
        <f>IF($O139="","",INDEX(R_Hval,$O139))</f>
        <v/>
      </c>
      <c r="H139" s="172" t="str">
        <f>IF($O139="","",INDEX(R_BlkV,$O139))</f>
        <v/>
      </c>
      <c r="I139" s="95" t="str">
        <f>IF($O139="","",INDEX(R_St,$O139))</f>
        <v/>
      </c>
      <c r="J139" s="126" t="str">
        <f>IF($O139="","",IF(INDEX(R_FEnv,$O139)="","",INDEX(R_FEnv,$O139)))</f>
        <v/>
      </c>
      <c r="K139" s="126" t="str">
        <f>IF($O139="","",IF(INDEX(R_FApr,$O139)="","",INDEX(R_FApr,$O139)))</f>
        <v/>
      </c>
      <c r="L139" s="172" t="str">
        <f>IF($O139="","",IF(INDEX(R_Age,$O139)="","",INDEX(R_Age,$O139)))</f>
        <v/>
      </c>
      <c r="M139" s="173" t="str">
        <f>IF($O139="","",INDEX(R_Alert,$O139)&amp;"")</f>
        <v/>
      </c>
      <c r="O139" t="str">
        <f>IFERROR(MATCH(109,R_PendSeq,0),"")</f>
        <v/>
      </c>
    </row>
    <row r="140">
      <c r="B140" s="172" t="str">
        <f>IF($O140="","",INDEX(R_ID,$O140))</f>
        <v/>
      </c>
      <c r="C140" s="126" t="str">
        <f>IF($O140="","",INDEX(R_Fecha,$O140))</f>
        <v/>
      </c>
      <c r="D140" s="95" t="str">
        <f>IF($O140="","",INDEX(R_Proy,$O140)&amp;"")</f>
        <v/>
      </c>
      <c r="E140" s="95" t="str">
        <f>IF($O140="","",INDEX(R_Task,$O140)&amp;"")</f>
        <v/>
      </c>
      <c r="F140" s="173" t="str">
        <f>IF($O140="","",INDEX(R_Desc,$O140)&amp;"")</f>
        <v/>
      </c>
      <c r="G140" s="127" t="str">
        <f>IF($O140="","",INDEX(R_Hval,$O140))</f>
        <v/>
      </c>
      <c r="H140" s="172" t="str">
        <f>IF($O140="","",INDEX(R_BlkV,$O140))</f>
        <v/>
      </c>
      <c r="I140" s="95" t="str">
        <f>IF($O140="","",INDEX(R_St,$O140))</f>
        <v/>
      </c>
      <c r="J140" s="126" t="str">
        <f>IF($O140="","",IF(INDEX(R_FEnv,$O140)="","",INDEX(R_FEnv,$O140)))</f>
        <v/>
      </c>
      <c r="K140" s="126" t="str">
        <f>IF($O140="","",IF(INDEX(R_FApr,$O140)="","",INDEX(R_FApr,$O140)))</f>
        <v/>
      </c>
      <c r="L140" s="172" t="str">
        <f>IF($O140="","",IF(INDEX(R_Age,$O140)="","",INDEX(R_Age,$O140)))</f>
        <v/>
      </c>
      <c r="M140" s="173" t="str">
        <f>IF($O140="","",INDEX(R_Alert,$O140)&amp;"")</f>
        <v/>
      </c>
      <c r="O140" t="str">
        <f>IFERROR(MATCH(110,R_PendSeq,0),"")</f>
        <v/>
      </c>
    </row>
    <row r="141">
      <c r="B141" s="172" t="str">
        <f>IF($O141="","",INDEX(R_ID,$O141))</f>
        <v/>
      </c>
      <c r="C141" s="126" t="str">
        <f>IF($O141="","",INDEX(R_Fecha,$O141))</f>
        <v/>
      </c>
      <c r="D141" s="95" t="str">
        <f>IF($O141="","",INDEX(R_Proy,$O141)&amp;"")</f>
        <v/>
      </c>
      <c r="E141" s="95" t="str">
        <f>IF($O141="","",INDEX(R_Task,$O141)&amp;"")</f>
        <v/>
      </c>
      <c r="F141" s="173" t="str">
        <f>IF($O141="","",INDEX(R_Desc,$O141)&amp;"")</f>
        <v/>
      </c>
      <c r="G141" s="127" t="str">
        <f>IF($O141="","",INDEX(R_Hval,$O141))</f>
        <v/>
      </c>
      <c r="H141" s="172" t="str">
        <f>IF($O141="","",INDEX(R_BlkV,$O141))</f>
        <v/>
      </c>
      <c r="I141" s="95" t="str">
        <f>IF($O141="","",INDEX(R_St,$O141))</f>
        <v/>
      </c>
      <c r="J141" s="126" t="str">
        <f>IF($O141="","",IF(INDEX(R_FEnv,$O141)="","",INDEX(R_FEnv,$O141)))</f>
        <v/>
      </c>
      <c r="K141" s="126" t="str">
        <f>IF($O141="","",IF(INDEX(R_FApr,$O141)="","",INDEX(R_FApr,$O141)))</f>
        <v/>
      </c>
      <c r="L141" s="172" t="str">
        <f>IF($O141="","",IF(INDEX(R_Age,$O141)="","",INDEX(R_Age,$O141)))</f>
        <v/>
      </c>
      <c r="M141" s="173" t="str">
        <f>IF($O141="","",INDEX(R_Alert,$O141)&amp;"")</f>
        <v/>
      </c>
      <c r="O141" t="str">
        <f>IFERROR(MATCH(111,R_PendSeq,0),"")</f>
        <v/>
      </c>
    </row>
    <row r="142">
      <c r="B142" s="172" t="str">
        <f>IF($O142="","",INDEX(R_ID,$O142))</f>
        <v/>
      </c>
      <c r="C142" s="126" t="str">
        <f>IF($O142="","",INDEX(R_Fecha,$O142))</f>
        <v/>
      </c>
      <c r="D142" s="95" t="str">
        <f>IF($O142="","",INDEX(R_Proy,$O142)&amp;"")</f>
        <v/>
      </c>
      <c r="E142" s="95" t="str">
        <f>IF($O142="","",INDEX(R_Task,$O142)&amp;"")</f>
        <v/>
      </c>
      <c r="F142" s="173" t="str">
        <f>IF($O142="","",INDEX(R_Desc,$O142)&amp;"")</f>
        <v/>
      </c>
      <c r="G142" s="127" t="str">
        <f>IF($O142="","",INDEX(R_Hval,$O142))</f>
        <v/>
      </c>
      <c r="H142" s="172" t="str">
        <f>IF($O142="","",INDEX(R_BlkV,$O142))</f>
        <v/>
      </c>
      <c r="I142" s="95" t="str">
        <f>IF($O142="","",INDEX(R_St,$O142))</f>
        <v/>
      </c>
      <c r="J142" s="126" t="str">
        <f>IF($O142="","",IF(INDEX(R_FEnv,$O142)="","",INDEX(R_FEnv,$O142)))</f>
        <v/>
      </c>
      <c r="K142" s="126" t="str">
        <f>IF($O142="","",IF(INDEX(R_FApr,$O142)="","",INDEX(R_FApr,$O142)))</f>
        <v/>
      </c>
      <c r="L142" s="172" t="str">
        <f>IF($O142="","",IF(INDEX(R_Age,$O142)="","",INDEX(R_Age,$O142)))</f>
        <v/>
      </c>
      <c r="M142" s="173" t="str">
        <f>IF($O142="","",INDEX(R_Alert,$O142)&amp;"")</f>
        <v/>
      </c>
      <c r="O142" t="str">
        <f>IFERROR(MATCH(112,R_PendSeq,0),"")</f>
        <v/>
      </c>
    </row>
    <row r="143">
      <c r="B143" s="172" t="str">
        <f>IF($O143="","",INDEX(R_ID,$O143))</f>
        <v/>
      </c>
      <c r="C143" s="126" t="str">
        <f>IF($O143="","",INDEX(R_Fecha,$O143))</f>
        <v/>
      </c>
      <c r="D143" s="95" t="str">
        <f>IF($O143="","",INDEX(R_Proy,$O143)&amp;"")</f>
        <v/>
      </c>
      <c r="E143" s="95" t="str">
        <f>IF($O143="","",INDEX(R_Task,$O143)&amp;"")</f>
        <v/>
      </c>
      <c r="F143" s="173" t="str">
        <f>IF($O143="","",INDEX(R_Desc,$O143)&amp;"")</f>
        <v/>
      </c>
      <c r="G143" s="127" t="str">
        <f>IF($O143="","",INDEX(R_Hval,$O143))</f>
        <v/>
      </c>
      <c r="H143" s="172" t="str">
        <f>IF($O143="","",INDEX(R_BlkV,$O143))</f>
        <v/>
      </c>
      <c r="I143" s="95" t="str">
        <f>IF($O143="","",INDEX(R_St,$O143))</f>
        <v/>
      </c>
      <c r="J143" s="126" t="str">
        <f>IF($O143="","",IF(INDEX(R_FEnv,$O143)="","",INDEX(R_FEnv,$O143)))</f>
        <v/>
      </c>
      <c r="K143" s="126" t="str">
        <f>IF($O143="","",IF(INDEX(R_FApr,$O143)="","",INDEX(R_FApr,$O143)))</f>
        <v/>
      </c>
      <c r="L143" s="172" t="str">
        <f>IF($O143="","",IF(INDEX(R_Age,$O143)="","",INDEX(R_Age,$O143)))</f>
        <v/>
      </c>
      <c r="M143" s="173" t="str">
        <f>IF($O143="","",INDEX(R_Alert,$O143)&amp;"")</f>
        <v/>
      </c>
      <c r="O143" t="str">
        <f>IFERROR(MATCH(113,R_PendSeq,0),"")</f>
        <v/>
      </c>
    </row>
    <row r="144">
      <c r="B144" s="172" t="str">
        <f>IF($O144="","",INDEX(R_ID,$O144))</f>
        <v/>
      </c>
      <c r="C144" s="126" t="str">
        <f>IF($O144="","",INDEX(R_Fecha,$O144))</f>
        <v/>
      </c>
      <c r="D144" s="95" t="str">
        <f>IF($O144="","",INDEX(R_Proy,$O144)&amp;"")</f>
        <v/>
      </c>
      <c r="E144" s="95" t="str">
        <f>IF($O144="","",INDEX(R_Task,$O144)&amp;"")</f>
        <v/>
      </c>
      <c r="F144" s="173" t="str">
        <f>IF($O144="","",INDEX(R_Desc,$O144)&amp;"")</f>
        <v/>
      </c>
      <c r="G144" s="127" t="str">
        <f>IF($O144="","",INDEX(R_Hval,$O144))</f>
        <v/>
      </c>
      <c r="H144" s="172" t="str">
        <f>IF($O144="","",INDEX(R_BlkV,$O144))</f>
        <v/>
      </c>
      <c r="I144" s="95" t="str">
        <f>IF($O144="","",INDEX(R_St,$O144))</f>
        <v/>
      </c>
      <c r="J144" s="126" t="str">
        <f>IF($O144="","",IF(INDEX(R_FEnv,$O144)="","",INDEX(R_FEnv,$O144)))</f>
        <v/>
      </c>
      <c r="K144" s="126" t="str">
        <f>IF($O144="","",IF(INDEX(R_FApr,$O144)="","",INDEX(R_FApr,$O144)))</f>
        <v/>
      </c>
      <c r="L144" s="172" t="str">
        <f>IF($O144="","",IF(INDEX(R_Age,$O144)="","",INDEX(R_Age,$O144)))</f>
        <v/>
      </c>
      <c r="M144" s="173" t="str">
        <f>IF($O144="","",INDEX(R_Alert,$O144)&amp;"")</f>
        <v/>
      </c>
      <c r="O144" t="str">
        <f>IFERROR(MATCH(114,R_PendSeq,0),"")</f>
        <v/>
      </c>
    </row>
    <row r="145">
      <c r="B145" s="172" t="str">
        <f>IF($O145="","",INDEX(R_ID,$O145))</f>
        <v/>
      </c>
      <c r="C145" s="126" t="str">
        <f>IF($O145="","",INDEX(R_Fecha,$O145))</f>
        <v/>
      </c>
      <c r="D145" s="95" t="str">
        <f>IF($O145="","",INDEX(R_Proy,$O145)&amp;"")</f>
        <v/>
      </c>
      <c r="E145" s="95" t="str">
        <f>IF($O145="","",INDEX(R_Task,$O145)&amp;"")</f>
        <v/>
      </c>
      <c r="F145" s="173" t="str">
        <f>IF($O145="","",INDEX(R_Desc,$O145)&amp;"")</f>
        <v/>
      </c>
      <c r="G145" s="127" t="str">
        <f>IF($O145="","",INDEX(R_Hval,$O145))</f>
        <v/>
      </c>
      <c r="H145" s="172" t="str">
        <f>IF($O145="","",INDEX(R_BlkV,$O145))</f>
        <v/>
      </c>
      <c r="I145" s="95" t="str">
        <f>IF($O145="","",INDEX(R_St,$O145))</f>
        <v/>
      </c>
      <c r="J145" s="126" t="str">
        <f>IF($O145="","",IF(INDEX(R_FEnv,$O145)="","",INDEX(R_FEnv,$O145)))</f>
        <v/>
      </c>
      <c r="K145" s="126" t="str">
        <f>IF($O145="","",IF(INDEX(R_FApr,$O145)="","",INDEX(R_FApr,$O145)))</f>
        <v/>
      </c>
      <c r="L145" s="172" t="str">
        <f>IF($O145="","",IF(INDEX(R_Age,$O145)="","",INDEX(R_Age,$O145)))</f>
        <v/>
      </c>
      <c r="M145" s="173" t="str">
        <f>IF($O145="","",INDEX(R_Alert,$O145)&amp;"")</f>
        <v/>
      </c>
      <c r="O145" t="str">
        <f>IFERROR(MATCH(115,R_PendSeq,0),"")</f>
        <v/>
      </c>
    </row>
    <row r="146">
      <c r="B146" s="172" t="str">
        <f>IF($O146="","",INDEX(R_ID,$O146))</f>
        <v/>
      </c>
      <c r="C146" s="126" t="str">
        <f>IF($O146="","",INDEX(R_Fecha,$O146))</f>
        <v/>
      </c>
      <c r="D146" s="95" t="str">
        <f>IF($O146="","",INDEX(R_Proy,$O146)&amp;"")</f>
        <v/>
      </c>
      <c r="E146" s="95" t="str">
        <f>IF($O146="","",INDEX(R_Task,$O146)&amp;"")</f>
        <v/>
      </c>
      <c r="F146" s="173" t="str">
        <f>IF($O146="","",INDEX(R_Desc,$O146)&amp;"")</f>
        <v/>
      </c>
      <c r="G146" s="127" t="str">
        <f>IF($O146="","",INDEX(R_Hval,$O146))</f>
        <v/>
      </c>
      <c r="H146" s="172" t="str">
        <f>IF($O146="","",INDEX(R_BlkV,$O146))</f>
        <v/>
      </c>
      <c r="I146" s="95" t="str">
        <f>IF($O146="","",INDEX(R_St,$O146))</f>
        <v/>
      </c>
      <c r="J146" s="126" t="str">
        <f>IF($O146="","",IF(INDEX(R_FEnv,$O146)="","",INDEX(R_FEnv,$O146)))</f>
        <v/>
      </c>
      <c r="K146" s="126" t="str">
        <f>IF($O146="","",IF(INDEX(R_FApr,$O146)="","",INDEX(R_FApr,$O146)))</f>
        <v/>
      </c>
      <c r="L146" s="172" t="str">
        <f>IF($O146="","",IF(INDEX(R_Age,$O146)="","",INDEX(R_Age,$O146)))</f>
        <v/>
      </c>
      <c r="M146" s="173" t="str">
        <f>IF($O146="","",INDEX(R_Alert,$O146)&amp;"")</f>
        <v/>
      </c>
      <c r="O146" t="str">
        <f>IFERROR(MATCH(116,R_PendSeq,0),"")</f>
        <v/>
      </c>
    </row>
    <row r="147">
      <c r="B147" s="172" t="str">
        <f>IF($O147="","",INDEX(R_ID,$O147))</f>
        <v/>
      </c>
      <c r="C147" s="126" t="str">
        <f>IF($O147="","",INDEX(R_Fecha,$O147))</f>
        <v/>
      </c>
      <c r="D147" s="95" t="str">
        <f>IF($O147="","",INDEX(R_Proy,$O147)&amp;"")</f>
        <v/>
      </c>
      <c r="E147" s="95" t="str">
        <f>IF($O147="","",INDEX(R_Task,$O147)&amp;"")</f>
        <v/>
      </c>
      <c r="F147" s="173" t="str">
        <f>IF($O147="","",INDEX(R_Desc,$O147)&amp;"")</f>
        <v/>
      </c>
      <c r="G147" s="127" t="str">
        <f>IF($O147="","",INDEX(R_Hval,$O147))</f>
        <v/>
      </c>
      <c r="H147" s="172" t="str">
        <f>IF($O147="","",INDEX(R_BlkV,$O147))</f>
        <v/>
      </c>
      <c r="I147" s="95" t="str">
        <f>IF($O147="","",INDEX(R_St,$O147))</f>
        <v/>
      </c>
      <c r="J147" s="126" t="str">
        <f>IF($O147="","",IF(INDEX(R_FEnv,$O147)="","",INDEX(R_FEnv,$O147)))</f>
        <v/>
      </c>
      <c r="K147" s="126" t="str">
        <f>IF($O147="","",IF(INDEX(R_FApr,$O147)="","",INDEX(R_FApr,$O147)))</f>
        <v/>
      </c>
      <c r="L147" s="172" t="str">
        <f>IF($O147="","",IF(INDEX(R_Age,$O147)="","",INDEX(R_Age,$O147)))</f>
        <v/>
      </c>
      <c r="M147" s="173" t="str">
        <f>IF($O147="","",INDEX(R_Alert,$O147)&amp;"")</f>
        <v/>
      </c>
      <c r="O147" t="str">
        <f>IFERROR(MATCH(117,R_PendSeq,0),"")</f>
        <v/>
      </c>
    </row>
    <row r="148">
      <c r="B148" s="172" t="str">
        <f>IF($O148="","",INDEX(R_ID,$O148))</f>
        <v/>
      </c>
      <c r="C148" s="126" t="str">
        <f>IF($O148="","",INDEX(R_Fecha,$O148))</f>
        <v/>
      </c>
      <c r="D148" s="95" t="str">
        <f>IF($O148="","",INDEX(R_Proy,$O148)&amp;"")</f>
        <v/>
      </c>
      <c r="E148" s="95" t="str">
        <f>IF($O148="","",INDEX(R_Task,$O148)&amp;"")</f>
        <v/>
      </c>
      <c r="F148" s="173" t="str">
        <f>IF($O148="","",INDEX(R_Desc,$O148)&amp;"")</f>
        <v/>
      </c>
      <c r="G148" s="127" t="str">
        <f>IF($O148="","",INDEX(R_Hval,$O148))</f>
        <v/>
      </c>
      <c r="H148" s="172" t="str">
        <f>IF($O148="","",INDEX(R_BlkV,$O148))</f>
        <v/>
      </c>
      <c r="I148" s="95" t="str">
        <f>IF($O148="","",INDEX(R_St,$O148))</f>
        <v/>
      </c>
      <c r="J148" s="126" t="str">
        <f>IF($O148="","",IF(INDEX(R_FEnv,$O148)="","",INDEX(R_FEnv,$O148)))</f>
        <v/>
      </c>
      <c r="K148" s="126" t="str">
        <f>IF($O148="","",IF(INDEX(R_FApr,$O148)="","",INDEX(R_FApr,$O148)))</f>
        <v/>
      </c>
      <c r="L148" s="172" t="str">
        <f>IF($O148="","",IF(INDEX(R_Age,$O148)="","",INDEX(R_Age,$O148)))</f>
        <v/>
      </c>
      <c r="M148" s="173" t="str">
        <f>IF($O148="","",INDEX(R_Alert,$O148)&amp;"")</f>
        <v/>
      </c>
      <c r="O148" t="str">
        <f>IFERROR(MATCH(118,R_PendSeq,0),"")</f>
        <v/>
      </c>
    </row>
    <row r="149">
      <c r="B149" s="172" t="str">
        <f>IF($O149="","",INDEX(R_ID,$O149))</f>
        <v/>
      </c>
      <c r="C149" s="126" t="str">
        <f>IF($O149="","",INDEX(R_Fecha,$O149))</f>
        <v/>
      </c>
      <c r="D149" s="95" t="str">
        <f>IF($O149="","",INDEX(R_Proy,$O149)&amp;"")</f>
        <v/>
      </c>
      <c r="E149" s="95" t="str">
        <f>IF($O149="","",INDEX(R_Task,$O149)&amp;"")</f>
        <v/>
      </c>
      <c r="F149" s="173" t="str">
        <f>IF($O149="","",INDEX(R_Desc,$O149)&amp;"")</f>
        <v/>
      </c>
      <c r="G149" s="127" t="str">
        <f>IF($O149="","",INDEX(R_Hval,$O149))</f>
        <v/>
      </c>
      <c r="H149" s="172" t="str">
        <f>IF($O149="","",INDEX(R_BlkV,$O149))</f>
        <v/>
      </c>
      <c r="I149" s="95" t="str">
        <f>IF($O149="","",INDEX(R_St,$O149))</f>
        <v/>
      </c>
      <c r="J149" s="126" t="str">
        <f>IF($O149="","",IF(INDEX(R_FEnv,$O149)="","",INDEX(R_FEnv,$O149)))</f>
        <v/>
      </c>
      <c r="K149" s="126" t="str">
        <f>IF($O149="","",IF(INDEX(R_FApr,$O149)="","",INDEX(R_FApr,$O149)))</f>
        <v/>
      </c>
      <c r="L149" s="172" t="str">
        <f>IF($O149="","",IF(INDEX(R_Age,$O149)="","",INDEX(R_Age,$O149)))</f>
        <v/>
      </c>
      <c r="M149" s="173" t="str">
        <f>IF($O149="","",INDEX(R_Alert,$O149)&amp;"")</f>
        <v/>
      </c>
      <c r="O149" t="str">
        <f>IFERROR(MATCH(119,R_PendSeq,0),"")</f>
        <v/>
      </c>
    </row>
    <row r="150">
      <c r="B150" s="172" t="str">
        <f>IF($O150="","",INDEX(R_ID,$O150))</f>
        <v/>
      </c>
      <c r="C150" s="126" t="str">
        <f>IF($O150="","",INDEX(R_Fecha,$O150))</f>
        <v/>
      </c>
      <c r="D150" s="95" t="str">
        <f>IF($O150="","",INDEX(R_Proy,$O150)&amp;"")</f>
        <v/>
      </c>
      <c r="E150" s="95" t="str">
        <f>IF($O150="","",INDEX(R_Task,$O150)&amp;"")</f>
        <v/>
      </c>
      <c r="F150" s="173" t="str">
        <f>IF($O150="","",INDEX(R_Desc,$O150)&amp;"")</f>
        <v/>
      </c>
      <c r="G150" s="127" t="str">
        <f>IF($O150="","",INDEX(R_Hval,$O150))</f>
        <v/>
      </c>
      <c r="H150" s="172" t="str">
        <f>IF($O150="","",INDEX(R_BlkV,$O150))</f>
        <v/>
      </c>
      <c r="I150" s="95" t="str">
        <f>IF($O150="","",INDEX(R_St,$O150))</f>
        <v/>
      </c>
      <c r="J150" s="126" t="str">
        <f>IF($O150="","",IF(INDEX(R_FEnv,$O150)="","",INDEX(R_FEnv,$O150)))</f>
        <v/>
      </c>
      <c r="K150" s="126" t="str">
        <f>IF($O150="","",IF(INDEX(R_FApr,$O150)="","",INDEX(R_FApr,$O150)))</f>
        <v/>
      </c>
      <c r="L150" s="172" t="str">
        <f>IF($O150="","",IF(INDEX(R_Age,$O150)="","",INDEX(R_Age,$O150)))</f>
        <v/>
      </c>
      <c r="M150" s="173" t="str">
        <f>IF($O150="","",INDEX(R_Alert,$O150)&amp;"")</f>
        <v/>
      </c>
      <c r="O150" t="str">
        <f>IFERROR(MATCH(120,R_PendSeq,0),"")</f>
        <v/>
      </c>
    </row>
    <row r="151">
      <c r="B151" s="172" t="str">
        <f>IF($O151="","",INDEX(R_ID,$O151))</f>
        <v/>
      </c>
      <c r="C151" s="126" t="str">
        <f>IF($O151="","",INDEX(R_Fecha,$O151))</f>
        <v/>
      </c>
      <c r="D151" s="95" t="str">
        <f>IF($O151="","",INDEX(R_Proy,$O151)&amp;"")</f>
        <v/>
      </c>
      <c r="E151" s="95" t="str">
        <f>IF($O151="","",INDEX(R_Task,$O151)&amp;"")</f>
        <v/>
      </c>
      <c r="F151" s="173" t="str">
        <f>IF($O151="","",INDEX(R_Desc,$O151)&amp;"")</f>
        <v/>
      </c>
      <c r="G151" s="127" t="str">
        <f>IF($O151="","",INDEX(R_Hval,$O151))</f>
        <v/>
      </c>
      <c r="H151" s="172" t="str">
        <f>IF($O151="","",INDEX(R_BlkV,$O151))</f>
        <v/>
      </c>
      <c r="I151" s="95" t="str">
        <f>IF($O151="","",INDEX(R_St,$O151))</f>
        <v/>
      </c>
      <c r="J151" s="126" t="str">
        <f>IF($O151="","",IF(INDEX(R_FEnv,$O151)="","",INDEX(R_FEnv,$O151)))</f>
        <v/>
      </c>
      <c r="K151" s="126" t="str">
        <f>IF($O151="","",IF(INDEX(R_FApr,$O151)="","",INDEX(R_FApr,$O151)))</f>
        <v/>
      </c>
      <c r="L151" s="172" t="str">
        <f>IF($O151="","",IF(INDEX(R_Age,$O151)="","",INDEX(R_Age,$O151)))</f>
        <v/>
      </c>
      <c r="M151" s="173" t="str">
        <f>IF($O151="","",INDEX(R_Alert,$O151)&amp;"")</f>
        <v/>
      </c>
      <c r="O151" t="str">
        <f>IFERROR(MATCH(121,R_PendSeq,0),"")</f>
        <v/>
      </c>
    </row>
    <row r="152">
      <c r="B152" s="172" t="str">
        <f>IF($O152="","",INDEX(R_ID,$O152))</f>
        <v/>
      </c>
      <c r="C152" s="126" t="str">
        <f>IF($O152="","",INDEX(R_Fecha,$O152))</f>
        <v/>
      </c>
      <c r="D152" s="95" t="str">
        <f>IF($O152="","",INDEX(R_Proy,$O152)&amp;"")</f>
        <v/>
      </c>
      <c r="E152" s="95" t="str">
        <f>IF($O152="","",INDEX(R_Task,$O152)&amp;"")</f>
        <v/>
      </c>
      <c r="F152" s="173" t="str">
        <f>IF($O152="","",INDEX(R_Desc,$O152)&amp;"")</f>
        <v/>
      </c>
      <c r="G152" s="127" t="str">
        <f>IF($O152="","",INDEX(R_Hval,$O152))</f>
        <v/>
      </c>
      <c r="H152" s="172" t="str">
        <f>IF($O152="","",INDEX(R_BlkV,$O152))</f>
        <v/>
      </c>
      <c r="I152" s="95" t="str">
        <f>IF($O152="","",INDEX(R_St,$O152))</f>
        <v/>
      </c>
      <c r="J152" s="126" t="str">
        <f>IF($O152="","",IF(INDEX(R_FEnv,$O152)="","",INDEX(R_FEnv,$O152)))</f>
        <v/>
      </c>
      <c r="K152" s="126" t="str">
        <f>IF($O152="","",IF(INDEX(R_FApr,$O152)="","",INDEX(R_FApr,$O152)))</f>
        <v/>
      </c>
      <c r="L152" s="172" t="str">
        <f>IF($O152="","",IF(INDEX(R_Age,$O152)="","",INDEX(R_Age,$O152)))</f>
        <v/>
      </c>
      <c r="M152" s="173" t="str">
        <f>IF($O152="","",INDEX(R_Alert,$O152)&amp;"")</f>
        <v/>
      </c>
      <c r="O152" t="str">
        <f>IFERROR(MATCH(122,R_PendSeq,0),"")</f>
        <v/>
      </c>
    </row>
    <row r="153">
      <c r="B153" s="172" t="str">
        <f>IF($O153="","",INDEX(R_ID,$O153))</f>
        <v/>
      </c>
      <c r="C153" s="126" t="str">
        <f>IF($O153="","",INDEX(R_Fecha,$O153))</f>
        <v/>
      </c>
      <c r="D153" s="95" t="str">
        <f>IF($O153="","",INDEX(R_Proy,$O153)&amp;"")</f>
        <v/>
      </c>
      <c r="E153" s="95" t="str">
        <f>IF($O153="","",INDEX(R_Task,$O153)&amp;"")</f>
        <v/>
      </c>
      <c r="F153" s="173" t="str">
        <f>IF($O153="","",INDEX(R_Desc,$O153)&amp;"")</f>
        <v/>
      </c>
      <c r="G153" s="127" t="str">
        <f>IF($O153="","",INDEX(R_Hval,$O153))</f>
        <v/>
      </c>
      <c r="H153" s="172" t="str">
        <f>IF($O153="","",INDEX(R_BlkV,$O153))</f>
        <v/>
      </c>
      <c r="I153" s="95" t="str">
        <f>IF($O153="","",INDEX(R_St,$O153))</f>
        <v/>
      </c>
      <c r="J153" s="126" t="str">
        <f>IF($O153="","",IF(INDEX(R_FEnv,$O153)="","",INDEX(R_FEnv,$O153)))</f>
        <v/>
      </c>
      <c r="K153" s="126" t="str">
        <f>IF($O153="","",IF(INDEX(R_FApr,$O153)="","",INDEX(R_FApr,$O153)))</f>
        <v/>
      </c>
      <c r="L153" s="172" t="str">
        <f>IF($O153="","",IF(INDEX(R_Age,$O153)="","",INDEX(R_Age,$O153)))</f>
        <v/>
      </c>
      <c r="M153" s="173" t="str">
        <f>IF($O153="","",INDEX(R_Alert,$O153)&amp;"")</f>
        <v/>
      </c>
      <c r="O153" t="str">
        <f>IFERROR(MATCH(123,R_PendSeq,0),"")</f>
        <v/>
      </c>
    </row>
    <row r="154">
      <c r="B154" s="172" t="str">
        <f>IF($O154="","",INDEX(R_ID,$O154))</f>
        <v/>
      </c>
      <c r="C154" s="126" t="str">
        <f>IF($O154="","",INDEX(R_Fecha,$O154))</f>
        <v/>
      </c>
      <c r="D154" s="95" t="str">
        <f>IF($O154="","",INDEX(R_Proy,$O154)&amp;"")</f>
        <v/>
      </c>
      <c r="E154" s="95" t="str">
        <f>IF($O154="","",INDEX(R_Task,$O154)&amp;"")</f>
        <v/>
      </c>
      <c r="F154" s="173" t="str">
        <f>IF($O154="","",INDEX(R_Desc,$O154)&amp;"")</f>
        <v/>
      </c>
      <c r="G154" s="127" t="str">
        <f>IF($O154="","",INDEX(R_Hval,$O154))</f>
        <v/>
      </c>
      <c r="H154" s="172" t="str">
        <f>IF($O154="","",INDEX(R_BlkV,$O154))</f>
        <v/>
      </c>
      <c r="I154" s="95" t="str">
        <f>IF($O154="","",INDEX(R_St,$O154))</f>
        <v/>
      </c>
      <c r="J154" s="126" t="str">
        <f>IF($O154="","",IF(INDEX(R_FEnv,$O154)="","",INDEX(R_FEnv,$O154)))</f>
        <v/>
      </c>
      <c r="K154" s="126" t="str">
        <f>IF($O154="","",IF(INDEX(R_FApr,$O154)="","",INDEX(R_FApr,$O154)))</f>
        <v/>
      </c>
      <c r="L154" s="172" t="str">
        <f>IF($O154="","",IF(INDEX(R_Age,$O154)="","",INDEX(R_Age,$O154)))</f>
        <v/>
      </c>
      <c r="M154" s="173" t="str">
        <f>IF($O154="","",INDEX(R_Alert,$O154)&amp;"")</f>
        <v/>
      </c>
      <c r="O154" t="str">
        <f>IFERROR(MATCH(124,R_PendSeq,0),"")</f>
        <v/>
      </c>
    </row>
    <row r="155">
      <c r="B155" s="172" t="str">
        <f>IF($O155="","",INDEX(R_ID,$O155))</f>
        <v/>
      </c>
      <c r="C155" s="126" t="str">
        <f>IF($O155="","",INDEX(R_Fecha,$O155))</f>
        <v/>
      </c>
      <c r="D155" s="95" t="str">
        <f>IF($O155="","",INDEX(R_Proy,$O155)&amp;"")</f>
        <v/>
      </c>
      <c r="E155" s="95" t="str">
        <f>IF($O155="","",INDEX(R_Task,$O155)&amp;"")</f>
        <v/>
      </c>
      <c r="F155" s="173" t="str">
        <f>IF($O155="","",INDEX(R_Desc,$O155)&amp;"")</f>
        <v/>
      </c>
      <c r="G155" s="127" t="str">
        <f>IF($O155="","",INDEX(R_Hval,$O155))</f>
        <v/>
      </c>
      <c r="H155" s="172" t="str">
        <f>IF($O155="","",INDEX(R_BlkV,$O155))</f>
        <v/>
      </c>
      <c r="I155" s="95" t="str">
        <f>IF($O155="","",INDEX(R_St,$O155))</f>
        <v/>
      </c>
      <c r="J155" s="126" t="str">
        <f>IF($O155="","",IF(INDEX(R_FEnv,$O155)="","",INDEX(R_FEnv,$O155)))</f>
        <v/>
      </c>
      <c r="K155" s="126" t="str">
        <f>IF($O155="","",IF(INDEX(R_FApr,$O155)="","",INDEX(R_FApr,$O155)))</f>
        <v/>
      </c>
      <c r="L155" s="172" t="str">
        <f>IF($O155="","",IF(INDEX(R_Age,$O155)="","",INDEX(R_Age,$O155)))</f>
        <v/>
      </c>
      <c r="M155" s="173" t="str">
        <f>IF($O155="","",INDEX(R_Alert,$O155)&amp;"")</f>
        <v/>
      </c>
      <c r="O155" t="str">
        <f>IFERROR(MATCH(125,R_PendSeq,0),"")</f>
        <v/>
      </c>
    </row>
    <row r="156">
      <c r="B156" s="172" t="str">
        <f>IF($O156="","",INDEX(R_ID,$O156))</f>
        <v/>
      </c>
      <c r="C156" s="126" t="str">
        <f>IF($O156="","",INDEX(R_Fecha,$O156))</f>
        <v/>
      </c>
      <c r="D156" s="95" t="str">
        <f>IF($O156="","",INDEX(R_Proy,$O156)&amp;"")</f>
        <v/>
      </c>
      <c r="E156" s="95" t="str">
        <f>IF($O156="","",INDEX(R_Task,$O156)&amp;"")</f>
        <v/>
      </c>
      <c r="F156" s="173" t="str">
        <f>IF($O156="","",INDEX(R_Desc,$O156)&amp;"")</f>
        <v/>
      </c>
      <c r="G156" s="127" t="str">
        <f>IF($O156="","",INDEX(R_Hval,$O156))</f>
        <v/>
      </c>
      <c r="H156" s="172" t="str">
        <f>IF($O156="","",INDEX(R_BlkV,$O156))</f>
        <v/>
      </c>
      <c r="I156" s="95" t="str">
        <f>IF($O156="","",INDEX(R_St,$O156))</f>
        <v/>
      </c>
      <c r="J156" s="126" t="str">
        <f>IF($O156="","",IF(INDEX(R_FEnv,$O156)="","",INDEX(R_FEnv,$O156)))</f>
        <v/>
      </c>
      <c r="K156" s="126" t="str">
        <f>IF($O156="","",IF(INDEX(R_FApr,$O156)="","",INDEX(R_FApr,$O156)))</f>
        <v/>
      </c>
      <c r="L156" s="172" t="str">
        <f>IF($O156="","",IF(INDEX(R_Age,$O156)="","",INDEX(R_Age,$O156)))</f>
        <v/>
      </c>
      <c r="M156" s="173" t="str">
        <f>IF($O156="","",INDEX(R_Alert,$O156)&amp;"")</f>
        <v/>
      </c>
      <c r="O156" t="str">
        <f>IFERROR(MATCH(126,R_PendSeq,0),"")</f>
        <v/>
      </c>
    </row>
    <row r="157">
      <c r="B157" s="172" t="str">
        <f>IF($O157="","",INDEX(R_ID,$O157))</f>
        <v/>
      </c>
      <c r="C157" s="126" t="str">
        <f>IF($O157="","",INDEX(R_Fecha,$O157))</f>
        <v/>
      </c>
      <c r="D157" s="95" t="str">
        <f>IF($O157="","",INDEX(R_Proy,$O157)&amp;"")</f>
        <v/>
      </c>
      <c r="E157" s="95" t="str">
        <f>IF($O157="","",INDEX(R_Task,$O157)&amp;"")</f>
        <v/>
      </c>
      <c r="F157" s="173" t="str">
        <f>IF($O157="","",INDEX(R_Desc,$O157)&amp;"")</f>
        <v/>
      </c>
      <c r="G157" s="127" t="str">
        <f>IF($O157="","",INDEX(R_Hval,$O157))</f>
        <v/>
      </c>
      <c r="H157" s="172" t="str">
        <f>IF($O157="","",INDEX(R_BlkV,$O157))</f>
        <v/>
      </c>
      <c r="I157" s="95" t="str">
        <f>IF($O157="","",INDEX(R_St,$O157))</f>
        <v/>
      </c>
      <c r="J157" s="126" t="str">
        <f>IF($O157="","",IF(INDEX(R_FEnv,$O157)="","",INDEX(R_FEnv,$O157)))</f>
        <v/>
      </c>
      <c r="K157" s="126" t="str">
        <f>IF($O157="","",IF(INDEX(R_FApr,$O157)="","",INDEX(R_FApr,$O157)))</f>
        <v/>
      </c>
      <c r="L157" s="172" t="str">
        <f>IF($O157="","",IF(INDEX(R_Age,$O157)="","",INDEX(R_Age,$O157)))</f>
        <v/>
      </c>
      <c r="M157" s="173" t="str">
        <f>IF($O157="","",INDEX(R_Alert,$O157)&amp;"")</f>
        <v/>
      </c>
      <c r="O157" t="str">
        <f>IFERROR(MATCH(127,R_PendSeq,0),"")</f>
        <v/>
      </c>
    </row>
    <row r="158">
      <c r="B158" s="172" t="str">
        <f>IF($O158="","",INDEX(R_ID,$O158))</f>
        <v/>
      </c>
      <c r="C158" s="126" t="str">
        <f>IF($O158="","",INDEX(R_Fecha,$O158))</f>
        <v/>
      </c>
      <c r="D158" s="95" t="str">
        <f>IF($O158="","",INDEX(R_Proy,$O158)&amp;"")</f>
        <v/>
      </c>
      <c r="E158" s="95" t="str">
        <f>IF($O158="","",INDEX(R_Task,$O158)&amp;"")</f>
        <v/>
      </c>
      <c r="F158" s="173" t="str">
        <f>IF($O158="","",INDEX(R_Desc,$O158)&amp;"")</f>
        <v/>
      </c>
      <c r="G158" s="127" t="str">
        <f>IF($O158="","",INDEX(R_Hval,$O158))</f>
        <v/>
      </c>
      <c r="H158" s="172" t="str">
        <f>IF($O158="","",INDEX(R_BlkV,$O158))</f>
        <v/>
      </c>
      <c r="I158" s="95" t="str">
        <f>IF($O158="","",INDEX(R_St,$O158))</f>
        <v/>
      </c>
      <c r="J158" s="126" t="str">
        <f>IF($O158="","",IF(INDEX(R_FEnv,$O158)="","",INDEX(R_FEnv,$O158)))</f>
        <v/>
      </c>
      <c r="K158" s="126" t="str">
        <f>IF($O158="","",IF(INDEX(R_FApr,$O158)="","",INDEX(R_FApr,$O158)))</f>
        <v/>
      </c>
      <c r="L158" s="172" t="str">
        <f>IF($O158="","",IF(INDEX(R_Age,$O158)="","",INDEX(R_Age,$O158)))</f>
        <v/>
      </c>
      <c r="M158" s="173" t="str">
        <f>IF($O158="","",INDEX(R_Alert,$O158)&amp;"")</f>
        <v/>
      </c>
      <c r="O158" t="str">
        <f>IFERROR(MATCH(128,R_PendSeq,0),"")</f>
        <v/>
      </c>
    </row>
    <row r="159">
      <c r="B159" s="172" t="str">
        <f>IF($O159="","",INDEX(R_ID,$O159))</f>
        <v/>
      </c>
      <c r="C159" s="126" t="str">
        <f>IF($O159="","",INDEX(R_Fecha,$O159))</f>
        <v/>
      </c>
      <c r="D159" s="95" t="str">
        <f>IF($O159="","",INDEX(R_Proy,$O159)&amp;"")</f>
        <v/>
      </c>
      <c r="E159" s="95" t="str">
        <f>IF($O159="","",INDEX(R_Task,$O159)&amp;"")</f>
        <v/>
      </c>
      <c r="F159" s="173" t="str">
        <f>IF($O159="","",INDEX(R_Desc,$O159)&amp;"")</f>
        <v/>
      </c>
      <c r="G159" s="127" t="str">
        <f>IF($O159="","",INDEX(R_Hval,$O159))</f>
        <v/>
      </c>
      <c r="H159" s="172" t="str">
        <f>IF($O159="","",INDEX(R_BlkV,$O159))</f>
        <v/>
      </c>
      <c r="I159" s="95" t="str">
        <f>IF($O159="","",INDEX(R_St,$O159))</f>
        <v/>
      </c>
      <c r="J159" s="126" t="str">
        <f>IF($O159="","",IF(INDEX(R_FEnv,$O159)="","",INDEX(R_FEnv,$O159)))</f>
        <v/>
      </c>
      <c r="K159" s="126" t="str">
        <f>IF($O159="","",IF(INDEX(R_FApr,$O159)="","",INDEX(R_FApr,$O159)))</f>
        <v/>
      </c>
      <c r="L159" s="172" t="str">
        <f>IF($O159="","",IF(INDEX(R_Age,$O159)="","",INDEX(R_Age,$O159)))</f>
        <v/>
      </c>
      <c r="M159" s="173" t="str">
        <f>IF($O159="","",INDEX(R_Alert,$O159)&amp;"")</f>
        <v/>
      </c>
      <c r="O159" t="str">
        <f>IFERROR(MATCH(129,R_PendSeq,0),"")</f>
        <v/>
      </c>
    </row>
    <row r="160">
      <c r="B160" s="172" t="str">
        <f>IF($O160="","",INDEX(R_ID,$O160))</f>
        <v/>
      </c>
      <c r="C160" s="126" t="str">
        <f>IF($O160="","",INDEX(R_Fecha,$O160))</f>
        <v/>
      </c>
      <c r="D160" s="95" t="str">
        <f>IF($O160="","",INDEX(R_Proy,$O160)&amp;"")</f>
        <v/>
      </c>
      <c r="E160" s="95" t="str">
        <f>IF($O160="","",INDEX(R_Task,$O160)&amp;"")</f>
        <v/>
      </c>
      <c r="F160" s="173" t="str">
        <f>IF($O160="","",INDEX(R_Desc,$O160)&amp;"")</f>
        <v/>
      </c>
      <c r="G160" s="127" t="str">
        <f>IF($O160="","",INDEX(R_Hval,$O160))</f>
        <v/>
      </c>
      <c r="H160" s="172" t="str">
        <f>IF($O160="","",INDEX(R_BlkV,$O160))</f>
        <v/>
      </c>
      <c r="I160" s="95" t="str">
        <f>IF($O160="","",INDEX(R_St,$O160))</f>
        <v/>
      </c>
      <c r="J160" s="126" t="str">
        <f>IF($O160="","",IF(INDEX(R_FEnv,$O160)="","",INDEX(R_FEnv,$O160)))</f>
        <v/>
      </c>
      <c r="K160" s="126" t="str">
        <f>IF($O160="","",IF(INDEX(R_FApr,$O160)="","",INDEX(R_FApr,$O160)))</f>
        <v/>
      </c>
      <c r="L160" s="172" t="str">
        <f>IF($O160="","",IF(INDEX(R_Age,$O160)="","",INDEX(R_Age,$O160)))</f>
        <v/>
      </c>
      <c r="M160" s="173" t="str">
        <f>IF($O160="","",INDEX(R_Alert,$O160)&amp;"")</f>
        <v/>
      </c>
      <c r="O160" t="str">
        <f>IFERROR(MATCH(130,R_PendSeq,0),"")</f>
        <v/>
      </c>
    </row>
    <row r="161">
      <c r="B161" s="172" t="str">
        <f>IF($O161="","",INDEX(R_ID,$O161))</f>
        <v/>
      </c>
      <c r="C161" s="126" t="str">
        <f>IF($O161="","",INDEX(R_Fecha,$O161))</f>
        <v/>
      </c>
      <c r="D161" s="95" t="str">
        <f>IF($O161="","",INDEX(R_Proy,$O161)&amp;"")</f>
        <v/>
      </c>
      <c r="E161" s="95" t="str">
        <f>IF($O161="","",INDEX(R_Task,$O161)&amp;"")</f>
        <v/>
      </c>
      <c r="F161" s="173" t="str">
        <f>IF($O161="","",INDEX(R_Desc,$O161)&amp;"")</f>
        <v/>
      </c>
      <c r="G161" s="127" t="str">
        <f>IF($O161="","",INDEX(R_Hval,$O161))</f>
        <v/>
      </c>
      <c r="H161" s="172" t="str">
        <f>IF($O161="","",INDEX(R_BlkV,$O161))</f>
        <v/>
      </c>
      <c r="I161" s="95" t="str">
        <f>IF($O161="","",INDEX(R_St,$O161))</f>
        <v/>
      </c>
      <c r="J161" s="126" t="str">
        <f>IF($O161="","",IF(INDEX(R_FEnv,$O161)="","",INDEX(R_FEnv,$O161)))</f>
        <v/>
      </c>
      <c r="K161" s="126" t="str">
        <f>IF($O161="","",IF(INDEX(R_FApr,$O161)="","",INDEX(R_FApr,$O161)))</f>
        <v/>
      </c>
      <c r="L161" s="172" t="str">
        <f>IF($O161="","",IF(INDEX(R_Age,$O161)="","",INDEX(R_Age,$O161)))</f>
        <v/>
      </c>
      <c r="M161" s="173" t="str">
        <f>IF($O161="","",INDEX(R_Alert,$O161)&amp;"")</f>
        <v/>
      </c>
      <c r="O161" t="str">
        <f>IFERROR(MATCH(131,R_PendSeq,0),"")</f>
        <v/>
      </c>
    </row>
    <row r="162">
      <c r="B162" s="172" t="str">
        <f>IF($O162="","",INDEX(R_ID,$O162))</f>
        <v/>
      </c>
      <c r="C162" s="126" t="str">
        <f>IF($O162="","",INDEX(R_Fecha,$O162))</f>
        <v/>
      </c>
      <c r="D162" s="95" t="str">
        <f>IF($O162="","",INDEX(R_Proy,$O162)&amp;"")</f>
        <v/>
      </c>
      <c r="E162" s="95" t="str">
        <f>IF($O162="","",INDEX(R_Task,$O162)&amp;"")</f>
        <v/>
      </c>
      <c r="F162" s="173" t="str">
        <f>IF($O162="","",INDEX(R_Desc,$O162)&amp;"")</f>
        <v/>
      </c>
      <c r="G162" s="127" t="str">
        <f>IF($O162="","",INDEX(R_Hval,$O162))</f>
        <v/>
      </c>
      <c r="H162" s="172" t="str">
        <f>IF($O162="","",INDEX(R_BlkV,$O162))</f>
        <v/>
      </c>
      <c r="I162" s="95" t="str">
        <f>IF($O162="","",INDEX(R_St,$O162))</f>
        <v/>
      </c>
      <c r="J162" s="126" t="str">
        <f>IF($O162="","",IF(INDEX(R_FEnv,$O162)="","",INDEX(R_FEnv,$O162)))</f>
        <v/>
      </c>
      <c r="K162" s="126" t="str">
        <f>IF($O162="","",IF(INDEX(R_FApr,$O162)="","",INDEX(R_FApr,$O162)))</f>
        <v/>
      </c>
      <c r="L162" s="172" t="str">
        <f>IF($O162="","",IF(INDEX(R_Age,$O162)="","",INDEX(R_Age,$O162)))</f>
        <v/>
      </c>
      <c r="M162" s="173" t="str">
        <f>IF($O162="","",INDEX(R_Alert,$O162)&amp;"")</f>
        <v/>
      </c>
      <c r="O162" t="str">
        <f>IFERROR(MATCH(132,R_PendSeq,0),"")</f>
        <v/>
      </c>
    </row>
    <row r="163">
      <c r="B163" s="172" t="str">
        <f>IF($O163="","",INDEX(R_ID,$O163))</f>
        <v/>
      </c>
      <c r="C163" s="126" t="str">
        <f>IF($O163="","",INDEX(R_Fecha,$O163))</f>
        <v/>
      </c>
      <c r="D163" s="95" t="str">
        <f>IF($O163="","",INDEX(R_Proy,$O163)&amp;"")</f>
        <v/>
      </c>
      <c r="E163" s="95" t="str">
        <f>IF($O163="","",INDEX(R_Task,$O163)&amp;"")</f>
        <v/>
      </c>
      <c r="F163" s="173" t="str">
        <f>IF($O163="","",INDEX(R_Desc,$O163)&amp;"")</f>
        <v/>
      </c>
      <c r="G163" s="127" t="str">
        <f>IF($O163="","",INDEX(R_Hval,$O163))</f>
        <v/>
      </c>
      <c r="H163" s="172" t="str">
        <f>IF($O163="","",INDEX(R_BlkV,$O163))</f>
        <v/>
      </c>
      <c r="I163" s="95" t="str">
        <f>IF($O163="","",INDEX(R_St,$O163))</f>
        <v/>
      </c>
      <c r="J163" s="126" t="str">
        <f>IF($O163="","",IF(INDEX(R_FEnv,$O163)="","",INDEX(R_FEnv,$O163)))</f>
        <v/>
      </c>
      <c r="K163" s="126" t="str">
        <f>IF($O163="","",IF(INDEX(R_FApr,$O163)="","",INDEX(R_FApr,$O163)))</f>
        <v/>
      </c>
      <c r="L163" s="172" t="str">
        <f>IF($O163="","",IF(INDEX(R_Age,$O163)="","",INDEX(R_Age,$O163)))</f>
        <v/>
      </c>
      <c r="M163" s="173" t="str">
        <f>IF($O163="","",INDEX(R_Alert,$O163)&amp;"")</f>
        <v/>
      </c>
      <c r="O163" t="str">
        <f>IFERROR(MATCH(133,R_PendSeq,0),"")</f>
        <v/>
      </c>
    </row>
    <row r="164">
      <c r="B164" s="172" t="str">
        <f>IF($O164="","",INDEX(R_ID,$O164))</f>
        <v/>
      </c>
      <c r="C164" s="126" t="str">
        <f>IF($O164="","",INDEX(R_Fecha,$O164))</f>
        <v/>
      </c>
      <c r="D164" s="95" t="str">
        <f>IF($O164="","",INDEX(R_Proy,$O164)&amp;"")</f>
        <v/>
      </c>
      <c r="E164" s="95" t="str">
        <f>IF($O164="","",INDEX(R_Task,$O164)&amp;"")</f>
        <v/>
      </c>
      <c r="F164" s="173" t="str">
        <f>IF($O164="","",INDEX(R_Desc,$O164)&amp;"")</f>
        <v/>
      </c>
      <c r="G164" s="127" t="str">
        <f>IF($O164="","",INDEX(R_Hval,$O164))</f>
        <v/>
      </c>
      <c r="H164" s="172" t="str">
        <f>IF($O164="","",INDEX(R_BlkV,$O164))</f>
        <v/>
      </c>
      <c r="I164" s="95" t="str">
        <f>IF($O164="","",INDEX(R_St,$O164))</f>
        <v/>
      </c>
      <c r="J164" s="126" t="str">
        <f>IF($O164="","",IF(INDEX(R_FEnv,$O164)="","",INDEX(R_FEnv,$O164)))</f>
        <v/>
      </c>
      <c r="K164" s="126" t="str">
        <f>IF($O164="","",IF(INDEX(R_FApr,$O164)="","",INDEX(R_FApr,$O164)))</f>
        <v/>
      </c>
      <c r="L164" s="172" t="str">
        <f>IF($O164="","",IF(INDEX(R_Age,$O164)="","",INDEX(R_Age,$O164)))</f>
        <v/>
      </c>
      <c r="M164" s="173" t="str">
        <f>IF($O164="","",INDEX(R_Alert,$O164)&amp;"")</f>
        <v/>
      </c>
      <c r="O164" t="str">
        <f>IFERROR(MATCH(134,R_PendSeq,0),"")</f>
        <v/>
      </c>
    </row>
    <row r="165">
      <c r="B165" s="172" t="str">
        <f>IF($O165="","",INDEX(R_ID,$O165))</f>
        <v/>
      </c>
      <c r="C165" s="126" t="str">
        <f>IF($O165="","",INDEX(R_Fecha,$O165))</f>
        <v/>
      </c>
      <c r="D165" s="95" t="str">
        <f>IF($O165="","",INDEX(R_Proy,$O165)&amp;"")</f>
        <v/>
      </c>
      <c r="E165" s="95" t="str">
        <f>IF($O165="","",INDEX(R_Task,$O165)&amp;"")</f>
        <v/>
      </c>
      <c r="F165" s="173" t="str">
        <f>IF($O165="","",INDEX(R_Desc,$O165)&amp;"")</f>
        <v/>
      </c>
      <c r="G165" s="127" t="str">
        <f>IF($O165="","",INDEX(R_Hval,$O165))</f>
        <v/>
      </c>
      <c r="H165" s="172" t="str">
        <f>IF($O165="","",INDEX(R_BlkV,$O165))</f>
        <v/>
      </c>
      <c r="I165" s="95" t="str">
        <f>IF($O165="","",INDEX(R_St,$O165))</f>
        <v/>
      </c>
      <c r="J165" s="126" t="str">
        <f>IF($O165="","",IF(INDEX(R_FEnv,$O165)="","",INDEX(R_FEnv,$O165)))</f>
        <v/>
      </c>
      <c r="K165" s="126" t="str">
        <f>IF($O165="","",IF(INDEX(R_FApr,$O165)="","",INDEX(R_FApr,$O165)))</f>
        <v/>
      </c>
      <c r="L165" s="172" t="str">
        <f>IF($O165="","",IF(INDEX(R_Age,$O165)="","",INDEX(R_Age,$O165)))</f>
        <v/>
      </c>
      <c r="M165" s="173" t="str">
        <f>IF($O165="","",INDEX(R_Alert,$O165)&amp;"")</f>
        <v/>
      </c>
      <c r="O165" t="str">
        <f>IFERROR(MATCH(135,R_PendSeq,0),"")</f>
        <v/>
      </c>
    </row>
    <row r="166">
      <c r="B166" s="172" t="str">
        <f>IF($O166="","",INDEX(R_ID,$O166))</f>
        <v/>
      </c>
      <c r="C166" s="126" t="str">
        <f>IF($O166="","",INDEX(R_Fecha,$O166))</f>
        <v/>
      </c>
      <c r="D166" s="95" t="str">
        <f>IF($O166="","",INDEX(R_Proy,$O166)&amp;"")</f>
        <v/>
      </c>
      <c r="E166" s="95" t="str">
        <f>IF($O166="","",INDEX(R_Task,$O166)&amp;"")</f>
        <v/>
      </c>
      <c r="F166" s="173" t="str">
        <f>IF($O166="","",INDEX(R_Desc,$O166)&amp;"")</f>
        <v/>
      </c>
      <c r="G166" s="127" t="str">
        <f>IF($O166="","",INDEX(R_Hval,$O166))</f>
        <v/>
      </c>
      <c r="H166" s="172" t="str">
        <f>IF($O166="","",INDEX(R_BlkV,$O166))</f>
        <v/>
      </c>
      <c r="I166" s="95" t="str">
        <f>IF($O166="","",INDEX(R_St,$O166))</f>
        <v/>
      </c>
      <c r="J166" s="126" t="str">
        <f>IF($O166="","",IF(INDEX(R_FEnv,$O166)="","",INDEX(R_FEnv,$O166)))</f>
        <v/>
      </c>
      <c r="K166" s="126" t="str">
        <f>IF($O166="","",IF(INDEX(R_FApr,$O166)="","",INDEX(R_FApr,$O166)))</f>
        <v/>
      </c>
      <c r="L166" s="172" t="str">
        <f>IF($O166="","",IF(INDEX(R_Age,$O166)="","",INDEX(R_Age,$O166)))</f>
        <v/>
      </c>
      <c r="M166" s="173" t="str">
        <f>IF($O166="","",INDEX(R_Alert,$O166)&amp;"")</f>
        <v/>
      </c>
      <c r="O166" t="str">
        <f>IFERROR(MATCH(136,R_PendSeq,0),"")</f>
        <v/>
      </c>
    </row>
    <row r="167">
      <c r="B167" s="172" t="str">
        <f>IF($O167="","",INDEX(R_ID,$O167))</f>
        <v/>
      </c>
      <c r="C167" s="126" t="str">
        <f>IF($O167="","",INDEX(R_Fecha,$O167))</f>
        <v/>
      </c>
      <c r="D167" s="95" t="str">
        <f>IF($O167="","",INDEX(R_Proy,$O167)&amp;"")</f>
        <v/>
      </c>
      <c r="E167" s="95" t="str">
        <f>IF($O167="","",INDEX(R_Task,$O167)&amp;"")</f>
        <v/>
      </c>
      <c r="F167" s="173" t="str">
        <f>IF($O167="","",INDEX(R_Desc,$O167)&amp;"")</f>
        <v/>
      </c>
      <c r="G167" s="127" t="str">
        <f>IF($O167="","",INDEX(R_Hval,$O167))</f>
        <v/>
      </c>
      <c r="H167" s="172" t="str">
        <f>IF($O167="","",INDEX(R_BlkV,$O167))</f>
        <v/>
      </c>
      <c r="I167" s="95" t="str">
        <f>IF($O167="","",INDEX(R_St,$O167))</f>
        <v/>
      </c>
      <c r="J167" s="126" t="str">
        <f>IF($O167="","",IF(INDEX(R_FEnv,$O167)="","",INDEX(R_FEnv,$O167)))</f>
        <v/>
      </c>
      <c r="K167" s="126" t="str">
        <f>IF($O167="","",IF(INDEX(R_FApr,$O167)="","",INDEX(R_FApr,$O167)))</f>
        <v/>
      </c>
      <c r="L167" s="172" t="str">
        <f>IF($O167="","",IF(INDEX(R_Age,$O167)="","",INDEX(R_Age,$O167)))</f>
        <v/>
      </c>
      <c r="M167" s="173" t="str">
        <f>IF($O167="","",INDEX(R_Alert,$O167)&amp;"")</f>
        <v/>
      </c>
      <c r="O167" t="str">
        <f>IFERROR(MATCH(137,R_PendSeq,0),"")</f>
        <v/>
      </c>
    </row>
    <row r="168">
      <c r="B168" s="172" t="str">
        <f>IF($O168="","",INDEX(R_ID,$O168))</f>
        <v/>
      </c>
      <c r="C168" s="126" t="str">
        <f>IF($O168="","",INDEX(R_Fecha,$O168))</f>
        <v/>
      </c>
      <c r="D168" s="95" t="str">
        <f>IF($O168="","",INDEX(R_Proy,$O168)&amp;"")</f>
        <v/>
      </c>
      <c r="E168" s="95" t="str">
        <f>IF($O168="","",INDEX(R_Task,$O168)&amp;"")</f>
        <v/>
      </c>
      <c r="F168" s="173" t="str">
        <f>IF($O168="","",INDEX(R_Desc,$O168)&amp;"")</f>
        <v/>
      </c>
      <c r="G168" s="127" t="str">
        <f>IF($O168="","",INDEX(R_Hval,$O168))</f>
        <v/>
      </c>
      <c r="H168" s="172" t="str">
        <f>IF($O168="","",INDEX(R_BlkV,$O168))</f>
        <v/>
      </c>
      <c r="I168" s="95" t="str">
        <f>IF($O168="","",INDEX(R_St,$O168))</f>
        <v/>
      </c>
      <c r="J168" s="126" t="str">
        <f>IF($O168="","",IF(INDEX(R_FEnv,$O168)="","",INDEX(R_FEnv,$O168)))</f>
        <v/>
      </c>
      <c r="K168" s="126" t="str">
        <f>IF($O168="","",IF(INDEX(R_FApr,$O168)="","",INDEX(R_FApr,$O168)))</f>
        <v/>
      </c>
      <c r="L168" s="172" t="str">
        <f>IF($O168="","",IF(INDEX(R_Age,$O168)="","",INDEX(R_Age,$O168)))</f>
        <v/>
      </c>
      <c r="M168" s="173" t="str">
        <f>IF($O168="","",INDEX(R_Alert,$O168)&amp;"")</f>
        <v/>
      </c>
      <c r="O168" t="str">
        <f>IFERROR(MATCH(138,R_PendSeq,0),"")</f>
        <v/>
      </c>
    </row>
    <row r="169">
      <c r="B169" s="172" t="str">
        <f>IF($O169="","",INDEX(R_ID,$O169))</f>
        <v/>
      </c>
      <c r="C169" s="126" t="str">
        <f>IF($O169="","",INDEX(R_Fecha,$O169))</f>
        <v/>
      </c>
      <c r="D169" s="95" t="str">
        <f>IF($O169="","",INDEX(R_Proy,$O169)&amp;"")</f>
        <v/>
      </c>
      <c r="E169" s="95" t="str">
        <f>IF($O169="","",INDEX(R_Task,$O169)&amp;"")</f>
        <v/>
      </c>
      <c r="F169" s="173" t="str">
        <f>IF($O169="","",INDEX(R_Desc,$O169)&amp;"")</f>
        <v/>
      </c>
      <c r="G169" s="127" t="str">
        <f>IF($O169="","",INDEX(R_Hval,$O169))</f>
        <v/>
      </c>
      <c r="H169" s="172" t="str">
        <f>IF($O169="","",INDEX(R_BlkV,$O169))</f>
        <v/>
      </c>
      <c r="I169" s="95" t="str">
        <f>IF($O169="","",INDEX(R_St,$O169))</f>
        <v/>
      </c>
      <c r="J169" s="126" t="str">
        <f>IF($O169="","",IF(INDEX(R_FEnv,$O169)="","",INDEX(R_FEnv,$O169)))</f>
        <v/>
      </c>
      <c r="K169" s="126" t="str">
        <f>IF($O169="","",IF(INDEX(R_FApr,$O169)="","",INDEX(R_FApr,$O169)))</f>
        <v/>
      </c>
      <c r="L169" s="172" t="str">
        <f>IF($O169="","",IF(INDEX(R_Age,$O169)="","",INDEX(R_Age,$O169)))</f>
        <v/>
      </c>
      <c r="M169" s="173" t="str">
        <f>IF($O169="","",INDEX(R_Alert,$O169)&amp;"")</f>
        <v/>
      </c>
      <c r="O169" t="str">
        <f>IFERROR(MATCH(139,R_PendSeq,0),"")</f>
        <v/>
      </c>
    </row>
    <row r="170">
      <c r="B170" s="172" t="str">
        <f>IF($O170="","",INDEX(R_ID,$O170))</f>
        <v/>
      </c>
      <c r="C170" s="126" t="str">
        <f>IF($O170="","",INDEX(R_Fecha,$O170))</f>
        <v/>
      </c>
      <c r="D170" s="95" t="str">
        <f>IF($O170="","",INDEX(R_Proy,$O170)&amp;"")</f>
        <v/>
      </c>
      <c r="E170" s="95" t="str">
        <f>IF($O170="","",INDEX(R_Task,$O170)&amp;"")</f>
        <v/>
      </c>
      <c r="F170" s="173" t="str">
        <f>IF($O170="","",INDEX(R_Desc,$O170)&amp;"")</f>
        <v/>
      </c>
      <c r="G170" s="127" t="str">
        <f>IF($O170="","",INDEX(R_Hval,$O170))</f>
        <v/>
      </c>
      <c r="H170" s="172" t="str">
        <f>IF($O170="","",INDEX(R_BlkV,$O170))</f>
        <v/>
      </c>
      <c r="I170" s="95" t="str">
        <f>IF($O170="","",INDEX(R_St,$O170))</f>
        <v/>
      </c>
      <c r="J170" s="126" t="str">
        <f>IF($O170="","",IF(INDEX(R_FEnv,$O170)="","",INDEX(R_FEnv,$O170)))</f>
        <v/>
      </c>
      <c r="K170" s="126" t="str">
        <f>IF($O170="","",IF(INDEX(R_FApr,$O170)="","",INDEX(R_FApr,$O170)))</f>
        <v/>
      </c>
      <c r="L170" s="172" t="str">
        <f>IF($O170="","",IF(INDEX(R_Age,$O170)="","",INDEX(R_Age,$O170)))</f>
        <v/>
      </c>
      <c r="M170" s="173" t="str">
        <f>IF($O170="","",INDEX(R_Alert,$O170)&amp;"")</f>
        <v/>
      </c>
      <c r="O170" t="str">
        <f>IFERROR(MATCH(140,R_PendSeq,0),"")</f>
        <v/>
      </c>
    </row>
    <row r="171">
      <c r="B171" s="172" t="str">
        <f>IF($O171="","",INDEX(R_ID,$O171))</f>
        <v/>
      </c>
      <c r="C171" s="126" t="str">
        <f>IF($O171="","",INDEX(R_Fecha,$O171))</f>
        <v/>
      </c>
      <c r="D171" s="95" t="str">
        <f>IF($O171="","",INDEX(R_Proy,$O171)&amp;"")</f>
        <v/>
      </c>
      <c r="E171" s="95" t="str">
        <f>IF($O171="","",INDEX(R_Task,$O171)&amp;"")</f>
        <v/>
      </c>
      <c r="F171" s="173" t="str">
        <f>IF($O171="","",INDEX(R_Desc,$O171)&amp;"")</f>
        <v/>
      </c>
      <c r="G171" s="127" t="str">
        <f>IF($O171="","",INDEX(R_Hval,$O171))</f>
        <v/>
      </c>
      <c r="H171" s="172" t="str">
        <f>IF($O171="","",INDEX(R_BlkV,$O171))</f>
        <v/>
      </c>
      <c r="I171" s="95" t="str">
        <f>IF($O171="","",INDEX(R_St,$O171))</f>
        <v/>
      </c>
      <c r="J171" s="126" t="str">
        <f>IF($O171="","",IF(INDEX(R_FEnv,$O171)="","",INDEX(R_FEnv,$O171)))</f>
        <v/>
      </c>
      <c r="K171" s="126" t="str">
        <f>IF($O171="","",IF(INDEX(R_FApr,$O171)="","",INDEX(R_FApr,$O171)))</f>
        <v/>
      </c>
      <c r="L171" s="172" t="str">
        <f>IF($O171="","",IF(INDEX(R_Age,$O171)="","",INDEX(R_Age,$O171)))</f>
        <v/>
      </c>
      <c r="M171" s="173" t="str">
        <f>IF($O171="","",INDEX(R_Alert,$O171)&amp;"")</f>
        <v/>
      </c>
      <c r="O171" t="str">
        <f>IFERROR(MATCH(141,R_PendSeq,0),"")</f>
        <v/>
      </c>
    </row>
    <row r="172">
      <c r="B172" s="172" t="str">
        <f>IF($O172="","",INDEX(R_ID,$O172))</f>
        <v/>
      </c>
      <c r="C172" s="126" t="str">
        <f>IF($O172="","",INDEX(R_Fecha,$O172))</f>
        <v/>
      </c>
      <c r="D172" s="95" t="str">
        <f>IF($O172="","",INDEX(R_Proy,$O172)&amp;"")</f>
        <v/>
      </c>
      <c r="E172" s="95" t="str">
        <f>IF($O172="","",INDEX(R_Task,$O172)&amp;"")</f>
        <v/>
      </c>
      <c r="F172" s="173" t="str">
        <f>IF($O172="","",INDEX(R_Desc,$O172)&amp;"")</f>
        <v/>
      </c>
      <c r="G172" s="127" t="str">
        <f>IF($O172="","",INDEX(R_Hval,$O172))</f>
        <v/>
      </c>
      <c r="H172" s="172" t="str">
        <f>IF($O172="","",INDEX(R_BlkV,$O172))</f>
        <v/>
      </c>
      <c r="I172" s="95" t="str">
        <f>IF($O172="","",INDEX(R_St,$O172))</f>
        <v/>
      </c>
      <c r="J172" s="126" t="str">
        <f>IF($O172="","",IF(INDEX(R_FEnv,$O172)="","",INDEX(R_FEnv,$O172)))</f>
        <v/>
      </c>
      <c r="K172" s="126" t="str">
        <f>IF($O172="","",IF(INDEX(R_FApr,$O172)="","",INDEX(R_FApr,$O172)))</f>
        <v/>
      </c>
      <c r="L172" s="172" t="str">
        <f>IF($O172="","",IF(INDEX(R_Age,$O172)="","",INDEX(R_Age,$O172)))</f>
        <v/>
      </c>
      <c r="M172" s="173" t="str">
        <f>IF($O172="","",INDEX(R_Alert,$O172)&amp;"")</f>
        <v/>
      </c>
      <c r="O172" t="str">
        <f>IFERROR(MATCH(142,R_PendSeq,0),"")</f>
        <v/>
      </c>
    </row>
    <row r="173">
      <c r="B173" s="172" t="str">
        <f>IF($O173="","",INDEX(R_ID,$O173))</f>
        <v/>
      </c>
      <c r="C173" s="126" t="str">
        <f>IF($O173="","",INDEX(R_Fecha,$O173))</f>
        <v/>
      </c>
      <c r="D173" s="95" t="str">
        <f>IF($O173="","",INDEX(R_Proy,$O173)&amp;"")</f>
        <v/>
      </c>
      <c r="E173" s="95" t="str">
        <f>IF($O173="","",INDEX(R_Task,$O173)&amp;"")</f>
        <v/>
      </c>
      <c r="F173" s="173" t="str">
        <f>IF($O173="","",INDEX(R_Desc,$O173)&amp;"")</f>
        <v/>
      </c>
      <c r="G173" s="127" t="str">
        <f>IF($O173="","",INDEX(R_Hval,$O173))</f>
        <v/>
      </c>
      <c r="H173" s="172" t="str">
        <f>IF($O173="","",INDEX(R_BlkV,$O173))</f>
        <v/>
      </c>
      <c r="I173" s="95" t="str">
        <f>IF($O173="","",INDEX(R_St,$O173))</f>
        <v/>
      </c>
      <c r="J173" s="126" t="str">
        <f>IF($O173="","",IF(INDEX(R_FEnv,$O173)="","",INDEX(R_FEnv,$O173)))</f>
        <v/>
      </c>
      <c r="K173" s="126" t="str">
        <f>IF($O173="","",IF(INDEX(R_FApr,$O173)="","",INDEX(R_FApr,$O173)))</f>
        <v/>
      </c>
      <c r="L173" s="172" t="str">
        <f>IF($O173="","",IF(INDEX(R_Age,$O173)="","",INDEX(R_Age,$O173)))</f>
        <v/>
      </c>
      <c r="M173" s="173" t="str">
        <f>IF($O173="","",INDEX(R_Alert,$O173)&amp;"")</f>
        <v/>
      </c>
      <c r="O173" t="str">
        <f>IFERROR(MATCH(143,R_PendSeq,0),"")</f>
        <v/>
      </c>
    </row>
    <row r="174">
      <c r="B174" s="172" t="str">
        <f>IF($O174="","",INDEX(R_ID,$O174))</f>
        <v/>
      </c>
      <c r="C174" s="126" t="str">
        <f>IF($O174="","",INDEX(R_Fecha,$O174))</f>
        <v/>
      </c>
      <c r="D174" s="95" t="str">
        <f>IF($O174="","",INDEX(R_Proy,$O174)&amp;"")</f>
        <v/>
      </c>
      <c r="E174" s="95" t="str">
        <f>IF($O174="","",INDEX(R_Task,$O174)&amp;"")</f>
        <v/>
      </c>
      <c r="F174" s="173" t="str">
        <f>IF($O174="","",INDEX(R_Desc,$O174)&amp;"")</f>
        <v/>
      </c>
      <c r="G174" s="127" t="str">
        <f>IF($O174="","",INDEX(R_Hval,$O174))</f>
        <v/>
      </c>
      <c r="H174" s="172" t="str">
        <f>IF($O174="","",INDEX(R_BlkV,$O174))</f>
        <v/>
      </c>
      <c r="I174" s="95" t="str">
        <f>IF($O174="","",INDEX(R_St,$O174))</f>
        <v/>
      </c>
      <c r="J174" s="126" t="str">
        <f>IF($O174="","",IF(INDEX(R_FEnv,$O174)="","",INDEX(R_FEnv,$O174)))</f>
        <v/>
      </c>
      <c r="K174" s="126" t="str">
        <f>IF($O174="","",IF(INDEX(R_FApr,$O174)="","",INDEX(R_FApr,$O174)))</f>
        <v/>
      </c>
      <c r="L174" s="172" t="str">
        <f>IF($O174="","",IF(INDEX(R_Age,$O174)="","",INDEX(R_Age,$O174)))</f>
        <v/>
      </c>
      <c r="M174" s="173" t="str">
        <f>IF($O174="","",INDEX(R_Alert,$O174)&amp;"")</f>
        <v/>
      </c>
      <c r="O174" t="str">
        <f>IFERROR(MATCH(144,R_PendSeq,0),"")</f>
        <v/>
      </c>
    </row>
    <row r="175">
      <c r="B175" s="172" t="str">
        <f>IF($O175="","",INDEX(R_ID,$O175))</f>
        <v/>
      </c>
      <c r="C175" s="126" t="str">
        <f>IF($O175="","",INDEX(R_Fecha,$O175))</f>
        <v/>
      </c>
      <c r="D175" s="95" t="str">
        <f>IF($O175="","",INDEX(R_Proy,$O175)&amp;"")</f>
        <v/>
      </c>
      <c r="E175" s="95" t="str">
        <f>IF($O175="","",INDEX(R_Task,$O175)&amp;"")</f>
        <v/>
      </c>
      <c r="F175" s="173" t="str">
        <f>IF($O175="","",INDEX(R_Desc,$O175)&amp;"")</f>
        <v/>
      </c>
      <c r="G175" s="127" t="str">
        <f>IF($O175="","",INDEX(R_Hval,$O175))</f>
        <v/>
      </c>
      <c r="H175" s="172" t="str">
        <f>IF($O175="","",INDEX(R_BlkV,$O175))</f>
        <v/>
      </c>
      <c r="I175" s="95" t="str">
        <f>IF($O175="","",INDEX(R_St,$O175))</f>
        <v/>
      </c>
      <c r="J175" s="126" t="str">
        <f>IF($O175="","",IF(INDEX(R_FEnv,$O175)="","",INDEX(R_FEnv,$O175)))</f>
        <v/>
      </c>
      <c r="K175" s="126" t="str">
        <f>IF($O175="","",IF(INDEX(R_FApr,$O175)="","",INDEX(R_FApr,$O175)))</f>
        <v/>
      </c>
      <c r="L175" s="172" t="str">
        <f>IF($O175="","",IF(INDEX(R_Age,$O175)="","",INDEX(R_Age,$O175)))</f>
        <v/>
      </c>
      <c r="M175" s="173" t="str">
        <f>IF($O175="","",INDEX(R_Alert,$O175)&amp;"")</f>
        <v/>
      </c>
      <c r="O175" t="str">
        <f>IFERROR(MATCH(145,R_PendSeq,0),"")</f>
        <v/>
      </c>
    </row>
    <row r="176">
      <c r="B176" s="172" t="str">
        <f>IF($O176="","",INDEX(R_ID,$O176))</f>
        <v/>
      </c>
      <c r="C176" s="126" t="str">
        <f>IF($O176="","",INDEX(R_Fecha,$O176))</f>
        <v/>
      </c>
      <c r="D176" s="95" t="str">
        <f>IF($O176="","",INDEX(R_Proy,$O176)&amp;"")</f>
        <v/>
      </c>
      <c r="E176" s="95" t="str">
        <f>IF($O176="","",INDEX(R_Task,$O176)&amp;"")</f>
        <v/>
      </c>
      <c r="F176" s="173" t="str">
        <f>IF($O176="","",INDEX(R_Desc,$O176)&amp;"")</f>
        <v/>
      </c>
      <c r="G176" s="127" t="str">
        <f>IF($O176="","",INDEX(R_Hval,$O176))</f>
        <v/>
      </c>
      <c r="H176" s="172" t="str">
        <f>IF($O176="","",INDEX(R_BlkV,$O176))</f>
        <v/>
      </c>
      <c r="I176" s="95" t="str">
        <f>IF($O176="","",INDEX(R_St,$O176))</f>
        <v/>
      </c>
      <c r="J176" s="126" t="str">
        <f>IF($O176="","",IF(INDEX(R_FEnv,$O176)="","",INDEX(R_FEnv,$O176)))</f>
        <v/>
      </c>
      <c r="K176" s="126" t="str">
        <f>IF($O176="","",IF(INDEX(R_FApr,$O176)="","",INDEX(R_FApr,$O176)))</f>
        <v/>
      </c>
      <c r="L176" s="172" t="str">
        <f>IF($O176="","",IF(INDEX(R_Age,$O176)="","",INDEX(R_Age,$O176)))</f>
        <v/>
      </c>
      <c r="M176" s="173" t="str">
        <f>IF($O176="","",INDEX(R_Alert,$O176)&amp;"")</f>
        <v/>
      </c>
      <c r="O176" t="str">
        <f>IFERROR(MATCH(146,R_PendSeq,0),"")</f>
        <v/>
      </c>
    </row>
    <row r="177">
      <c r="B177" s="172" t="str">
        <f>IF($O177="","",INDEX(R_ID,$O177))</f>
        <v/>
      </c>
      <c r="C177" s="126" t="str">
        <f>IF($O177="","",INDEX(R_Fecha,$O177))</f>
        <v/>
      </c>
      <c r="D177" s="95" t="str">
        <f>IF($O177="","",INDEX(R_Proy,$O177)&amp;"")</f>
        <v/>
      </c>
      <c r="E177" s="95" t="str">
        <f>IF($O177="","",INDEX(R_Task,$O177)&amp;"")</f>
        <v/>
      </c>
      <c r="F177" s="173" t="str">
        <f>IF($O177="","",INDEX(R_Desc,$O177)&amp;"")</f>
        <v/>
      </c>
      <c r="G177" s="127" t="str">
        <f>IF($O177="","",INDEX(R_Hval,$O177))</f>
        <v/>
      </c>
      <c r="H177" s="172" t="str">
        <f>IF($O177="","",INDEX(R_BlkV,$O177))</f>
        <v/>
      </c>
      <c r="I177" s="95" t="str">
        <f>IF($O177="","",INDEX(R_St,$O177))</f>
        <v/>
      </c>
      <c r="J177" s="126" t="str">
        <f>IF($O177="","",IF(INDEX(R_FEnv,$O177)="","",INDEX(R_FEnv,$O177)))</f>
        <v/>
      </c>
      <c r="K177" s="126" t="str">
        <f>IF($O177="","",IF(INDEX(R_FApr,$O177)="","",INDEX(R_FApr,$O177)))</f>
        <v/>
      </c>
      <c r="L177" s="172" t="str">
        <f>IF($O177="","",IF(INDEX(R_Age,$O177)="","",INDEX(R_Age,$O177)))</f>
        <v/>
      </c>
      <c r="M177" s="173" t="str">
        <f>IF($O177="","",INDEX(R_Alert,$O177)&amp;"")</f>
        <v/>
      </c>
      <c r="O177" t="str">
        <f>IFERROR(MATCH(147,R_PendSeq,0),"")</f>
        <v/>
      </c>
    </row>
    <row r="178">
      <c r="B178" s="172" t="str">
        <f>IF($O178="","",INDEX(R_ID,$O178))</f>
        <v/>
      </c>
      <c r="C178" s="126" t="str">
        <f>IF($O178="","",INDEX(R_Fecha,$O178))</f>
        <v/>
      </c>
      <c r="D178" s="95" t="str">
        <f>IF($O178="","",INDEX(R_Proy,$O178)&amp;"")</f>
        <v/>
      </c>
      <c r="E178" s="95" t="str">
        <f>IF($O178="","",INDEX(R_Task,$O178)&amp;"")</f>
        <v/>
      </c>
      <c r="F178" s="173" t="str">
        <f>IF($O178="","",INDEX(R_Desc,$O178)&amp;"")</f>
        <v/>
      </c>
      <c r="G178" s="127" t="str">
        <f>IF($O178="","",INDEX(R_Hval,$O178))</f>
        <v/>
      </c>
      <c r="H178" s="172" t="str">
        <f>IF($O178="","",INDEX(R_BlkV,$O178))</f>
        <v/>
      </c>
      <c r="I178" s="95" t="str">
        <f>IF($O178="","",INDEX(R_St,$O178))</f>
        <v/>
      </c>
      <c r="J178" s="126" t="str">
        <f>IF($O178="","",IF(INDEX(R_FEnv,$O178)="","",INDEX(R_FEnv,$O178)))</f>
        <v/>
      </c>
      <c r="K178" s="126" t="str">
        <f>IF($O178="","",IF(INDEX(R_FApr,$O178)="","",INDEX(R_FApr,$O178)))</f>
        <v/>
      </c>
      <c r="L178" s="172" t="str">
        <f>IF($O178="","",IF(INDEX(R_Age,$O178)="","",INDEX(R_Age,$O178)))</f>
        <v/>
      </c>
      <c r="M178" s="173" t="str">
        <f>IF($O178="","",INDEX(R_Alert,$O178)&amp;"")</f>
        <v/>
      </c>
      <c r="O178" t="str">
        <f>IFERROR(MATCH(148,R_PendSeq,0),"")</f>
        <v/>
      </c>
    </row>
    <row r="179">
      <c r="B179" s="172" t="str">
        <f>IF($O179="","",INDEX(R_ID,$O179))</f>
        <v/>
      </c>
      <c r="C179" s="126" t="str">
        <f>IF($O179="","",INDEX(R_Fecha,$O179))</f>
        <v/>
      </c>
      <c r="D179" s="95" t="str">
        <f>IF($O179="","",INDEX(R_Proy,$O179)&amp;"")</f>
        <v/>
      </c>
      <c r="E179" s="95" t="str">
        <f>IF($O179="","",INDEX(R_Task,$O179)&amp;"")</f>
        <v/>
      </c>
      <c r="F179" s="173" t="str">
        <f>IF($O179="","",INDEX(R_Desc,$O179)&amp;"")</f>
        <v/>
      </c>
      <c r="G179" s="127" t="str">
        <f>IF($O179="","",INDEX(R_Hval,$O179))</f>
        <v/>
      </c>
      <c r="H179" s="172" t="str">
        <f>IF($O179="","",INDEX(R_BlkV,$O179))</f>
        <v/>
      </c>
      <c r="I179" s="95" t="str">
        <f>IF($O179="","",INDEX(R_St,$O179))</f>
        <v/>
      </c>
      <c r="J179" s="126" t="str">
        <f>IF($O179="","",IF(INDEX(R_FEnv,$O179)="","",INDEX(R_FEnv,$O179)))</f>
        <v/>
      </c>
      <c r="K179" s="126" t="str">
        <f>IF($O179="","",IF(INDEX(R_FApr,$O179)="","",INDEX(R_FApr,$O179)))</f>
        <v/>
      </c>
      <c r="L179" s="172" t="str">
        <f>IF($O179="","",IF(INDEX(R_Age,$O179)="","",INDEX(R_Age,$O179)))</f>
        <v/>
      </c>
      <c r="M179" s="173" t="str">
        <f>IF($O179="","",INDEX(R_Alert,$O179)&amp;"")</f>
        <v/>
      </c>
      <c r="O179" t="str">
        <f>IFERROR(MATCH(149,R_PendSeq,0),"")</f>
        <v/>
      </c>
    </row>
    <row r="180">
      <c r="B180" s="172" t="str">
        <f>IF($O180="","",INDEX(R_ID,$O180))</f>
        <v/>
      </c>
      <c r="C180" s="126" t="str">
        <f>IF($O180="","",INDEX(R_Fecha,$O180))</f>
        <v/>
      </c>
      <c r="D180" s="95" t="str">
        <f>IF($O180="","",INDEX(R_Proy,$O180)&amp;"")</f>
        <v/>
      </c>
      <c r="E180" s="95" t="str">
        <f>IF($O180="","",INDEX(R_Task,$O180)&amp;"")</f>
        <v/>
      </c>
      <c r="F180" s="173" t="str">
        <f>IF($O180="","",INDEX(R_Desc,$O180)&amp;"")</f>
        <v/>
      </c>
      <c r="G180" s="127" t="str">
        <f>IF($O180="","",INDEX(R_Hval,$O180))</f>
        <v/>
      </c>
      <c r="H180" s="172" t="str">
        <f>IF($O180="","",INDEX(R_BlkV,$O180))</f>
        <v/>
      </c>
      <c r="I180" s="95" t="str">
        <f>IF($O180="","",INDEX(R_St,$O180))</f>
        <v/>
      </c>
      <c r="J180" s="126" t="str">
        <f>IF($O180="","",IF(INDEX(R_FEnv,$O180)="","",INDEX(R_FEnv,$O180)))</f>
        <v/>
      </c>
      <c r="K180" s="126" t="str">
        <f>IF($O180="","",IF(INDEX(R_FApr,$O180)="","",INDEX(R_FApr,$O180)))</f>
        <v/>
      </c>
      <c r="L180" s="172" t="str">
        <f>IF($O180="","",IF(INDEX(R_Age,$O180)="","",INDEX(R_Age,$O180)))</f>
        <v/>
      </c>
      <c r="M180" s="173" t="str">
        <f>IF($O180="","",INDEX(R_Alert,$O180)&amp;"")</f>
        <v/>
      </c>
      <c r="O180" t="str">
        <f>IFERROR(MATCH(150,R_PendSeq,0),"")</f>
        <v/>
      </c>
    </row>
    <row r="181">
      <c r="B181" s="172" t="str">
        <f>IF($O181="","",INDEX(R_ID,$O181))</f>
        <v/>
      </c>
      <c r="C181" s="126" t="str">
        <f>IF($O181="","",INDEX(R_Fecha,$O181))</f>
        <v/>
      </c>
      <c r="D181" s="95" t="str">
        <f>IF($O181="","",INDEX(R_Proy,$O181)&amp;"")</f>
        <v/>
      </c>
      <c r="E181" s="95" t="str">
        <f>IF($O181="","",INDEX(R_Task,$O181)&amp;"")</f>
        <v/>
      </c>
      <c r="F181" s="173" t="str">
        <f>IF($O181="","",INDEX(R_Desc,$O181)&amp;"")</f>
        <v/>
      </c>
      <c r="G181" s="127" t="str">
        <f>IF($O181="","",INDEX(R_Hval,$O181))</f>
        <v/>
      </c>
      <c r="H181" s="172" t="str">
        <f>IF($O181="","",INDEX(R_BlkV,$O181))</f>
        <v/>
      </c>
      <c r="I181" s="95" t="str">
        <f>IF($O181="","",INDEX(R_St,$O181))</f>
        <v/>
      </c>
      <c r="J181" s="126" t="str">
        <f>IF($O181="","",IF(INDEX(R_FEnv,$O181)="","",INDEX(R_FEnv,$O181)))</f>
        <v/>
      </c>
      <c r="K181" s="126" t="str">
        <f>IF($O181="","",IF(INDEX(R_FApr,$O181)="","",INDEX(R_FApr,$O181)))</f>
        <v/>
      </c>
      <c r="L181" s="172" t="str">
        <f>IF($O181="","",IF(INDEX(R_Age,$O181)="","",INDEX(R_Age,$O181)))</f>
        <v/>
      </c>
      <c r="M181" s="173" t="str">
        <f>IF($O181="","",INDEX(R_Alert,$O181)&amp;"")</f>
        <v/>
      </c>
      <c r="O181" t="str">
        <f>IFERROR(MATCH(151,R_PendSeq,0),"")</f>
        <v/>
      </c>
    </row>
    <row r="182">
      <c r="B182" s="172" t="str">
        <f>IF($O182="","",INDEX(R_ID,$O182))</f>
        <v/>
      </c>
      <c r="C182" s="126" t="str">
        <f>IF($O182="","",INDEX(R_Fecha,$O182))</f>
        <v/>
      </c>
      <c r="D182" s="95" t="str">
        <f>IF($O182="","",INDEX(R_Proy,$O182)&amp;"")</f>
        <v/>
      </c>
      <c r="E182" s="95" t="str">
        <f>IF($O182="","",INDEX(R_Task,$O182)&amp;"")</f>
        <v/>
      </c>
      <c r="F182" s="173" t="str">
        <f>IF($O182="","",INDEX(R_Desc,$O182)&amp;"")</f>
        <v/>
      </c>
      <c r="G182" s="127" t="str">
        <f>IF($O182="","",INDEX(R_Hval,$O182))</f>
        <v/>
      </c>
      <c r="H182" s="172" t="str">
        <f>IF($O182="","",INDEX(R_BlkV,$O182))</f>
        <v/>
      </c>
      <c r="I182" s="95" t="str">
        <f>IF($O182="","",INDEX(R_St,$O182))</f>
        <v/>
      </c>
      <c r="J182" s="126" t="str">
        <f>IF($O182="","",IF(INDEX(R_FEnv,$O182)="","",INDEX(R_FEnv,$O182)))</f>
        <v/>
      </c>
      <c r="K182" s="126" t="str">
        <f>IF($O182="","",IF(INDEX(R_FApr,$O182)="","",INDEX(R_FApr,$O182)))</f>
        <v/>
      </c>
      <c r="L182" s="172" t="str">
        <f>IF($O182="","",IF(INDEX(R_Age,$O182)="","",INDEX(R_Age,$O182)))</f>
        <v/>
      </c>
      <c r="M182" s="173" t="str">
        <f>IF($O182="","",INDEX(R_Alert,$O182)&amp;"")</f>
        <v/>
      </c>
      <c r="O182" t="str">
        <f>IFERROR(MATCH(152,R_PendSeq,0),"")</f>
        <v/>
      </c>
    </row>
    <row r="183">
      <c r="B183" s="172" t="str">
        <f>IF($O183="","",INDEX(R_ID,$O183))</f>
        <v/>
      </c>
      <c r="C183" s="126" t="str">
        <f>IF($O183="","",INDEX(R_Fecha,$O183))</f>
        <v/>
      </c>
      <c r="D183" s="95" t="str">
        <f>IF($O183="","",INDEX(R_Proy,$O183)&amp;"")</f>
        <v/>
      </c>
      <c r="E183" s="95" t="str">
        <f>IF($O183="","",INDEX(R_Task,$O183)&amp;"")</f>
        <v/>
      </c>
      <c r="F183" s="173" t="str">
        <f>IF($O183="","",INDEX(R_Desc,$O183)&amp;"")</f>
        <v/>
      </c>
      <c r="G183" s="127" t="str">
        <f>IF($O183="","",INDEX(R_Hval,$O183))</f>
        <v/>
      </c>
      <c r="H183" s="172" t="str">
        <f>IF($O183="","",INDEX(R_BlkV,$O183))</f>
        <v/>
      </c>
      <c r="I183" s="95" t="str">
        <f>IF($O183="","",INDEX(R_St,$O183))</f>
        <v/>
      </c>
      <c r="J183" s="126" t="str">
        <f>IF($O183="","",IF(INDEX(R_FEnv,$O183)="","",INDEX(R_FEnv,$O183)))</f>
        <v/>
      </c>
      <c r="K183" s="126" t="str">
        <f>IF($O183="","",IF(INDEX(R_FApr,$O183)="","",INDEX(R_FApr,$O183)))</f>
        <v/>
      </c>
      <c r="L183" s="172" t="str">
        <f>IF($O183="","",IF(INDEX(R_Age,$O183)="","",INDEX(R_Age,$O183)))</f>
        <v/>
      </c>
      <c r="M183" s="173" t="str">
        <f>IF($O183="","",INDEX(R_Alert,$O183)&amp;"")</f>
        <v/>
      </c>
      <c r="O183" t="str">
        <f>IFERROR(MATCH(153,R_PendSeq,0),"")</f>
        <v/>
      </c>
    </row>
    <row r="184">
      <c r="B184" s="172" t="str">
        <f>IF($O184="","",INDEX(R_ID,$O184))</f>
        <v/>
      </c>
      <c r="C184" s="126" t="str">
        <f>IF($O184="","",INDEX(R_Fecha,$O184))</f>
        <v/>
      </c>
      <c r="D184" s="95" t="str">
        <f>IF($O184="","",INDEX(R_Proy,$O184)&amp;"")</f>
        <v/>
      </c>
      <c r="E184" s="95" t="str">
        <f>IF($O184="","",INDEX(R_Task,$O184)&amp;"")</f>
        <v/>
      </c>
      <c r="F184" s="173" t="str">
        <f>IF($O184="","",INDEX(R_Desc,$O184)&amp;"")</f>
        <v/>
      </c>
      <c r="G184" s="127" t="str">
        <f>IF($O184="","",INDEX(R_Hval,$O184))</f>
        <v/>
      </c>
      <c r="H184" s="172" t="str">
        <f>IF($O184="","",INDEX(R_BlkV,$O184))</f>
        <v/>
      </c>
      <c r="I184" s="95" t="str">
        <f>IF($O184="","",INDEX(R_St,$O184))</f>
        <v/>
      </c>
      <c r="J184" s="126" t="str">
        <f>IF($O184="","",IF(INDEX(R_FEnv,$O184)="","",INDEX(R_FEnv,$O184)))</f>
        <v/>
      </c>
      <c r="K184" s="126" t="str">
        <f>IF($O184="","",IF(INDEX(R_FApr,$O184)="","",INDEX(R_FApr,$O184)))</f>
        <v/>
      </c>
      <c r="L184" s="172" t="str">
        <f>IF($O184="","",IF(INDEX(R_Age,$O184)="","",INDEX(R_Age,$O184)))</f>
        <v/>
      </c>
      <c r="M184" s="173" t="str">
        <f>IF($O184="","",INDEX(R_Alert,$O184)&amp;"")</f>
        <v/>
      </c>
      <c r="O184" t="str">
        <f>IFERROR(MATCH(154,R_PendSeq,0),"")</f>
        <v/>
      </c>
    </row>
    <row r="185">
      <c r="B185" s="172" t="str">
        <f>IF($O185="","",INDEX(R_ID,$O185))</f>
        <v/>
      </c>
      <c r="C185" s="126" t="str">
        <f>IF($O185="","",INDEX(R_Fecha,$O185))</f>
        <v/>
      </c>
      <c r="D185" s="95" t="str">
        <f>IF($O185="","",INDEX(R_Proy,$O185)&amp;"")</f>
        <v/>
      </c>
      <c r="E185" s="95" t="str">
        <f>IF($O185="","",INDEX(R_Task,$O185)&amp;"")</f>
        <v/>
      </c>
      <c r="F185" s="173" t="str">
        <f>IF($O185="","",INDEX(R_Desc,$O185)&amp;"")</f>
        <v/>
      </c>
      <c r="G185" s="127" t="str">
        <f>IF($O185="","",INDEX(R_Hval,$O185))</f>
        <v/>
      </c>
      <c r="H185" s="172" t="str">
        <f>IF($O185="","",INDEX(R_BlkV,$O185))</f>
        <v/>
      </c>
      <c r="I185" s="95" t="str">
        <f>IF($O185="","",INDEX(R_St,$O185))</f>
        <v/>
      </c>
      <c r="J185" s="126" t="str">
        <f>IF($O185="","",IF(INDEX(R_FEnv,$O185)="","",INDEX(R_FEnv,$O185)))</f>
        <v/>
      </c>
      <c r="K185" s="126" t="str">
        <f>IF($O185="","",IF(INDEX(R_FApr,$O185)="","",INDEX(R_FApr,$O185)))</f>
        <v/>
      </c>
      <c r="L185" s="172" t="str">
        <f>IF($O185="","",IF(INDEX(R_Age,$O185)="","",INDEX(R_Age,$O185)))</f>
        <v/>
      </c>
      <c r="M185" s="173" t="str">
        <f>IF($O185="","",INDEX(R_Alert,$O185)&amp;"")</f>
        <v/>
      </c>
      <c r="O185" t="str">
        <f>IFERROR(MATCH(155,R_PendSeq,0),"")</f>
        <v/>
      </c>
    </row>
    <row r="186">
      <c r="B186" s="172" t="str">
        <f>IF($O186="","",INDEX(R_ID,$O186))</f>
        <v/>
      </c>
      <c r="C186" s="126" t="str">
        <f>IF($O186="","",INDEX(R_Fecha,$O186))</f>
        <v/>
      </c>
      <c r="D186" s="95" t="str">
        <f>IF($O186="","",INDEX(R_Proy,$O186)&amp;"")</f>
        <v/>
      </c>
      <c r="E186" s="95" t="str">
        <f>IF($O186="","",INDEX(R_Task,$O186)&amp;"")</f>
        <v/>
      </c>
      <c r="F186" s="173" t="str">
        <f>IF($O186="","",INDEX(R_Desc,$O186)&amp;"")</f>
        <v/>
      </c>
      <c r="G186" s="127" t="str">
        <f>IF($O186="","",INDEX(R_Hval,$O186))</f>
        <v/>
      </c>
      <c r="H186" s="172" t="str">
        <f>IF($O186="","",INDEX(R_BlkV,$O186))</f>
        <v/>
      </c>
      <c r="I186" s="95" t="str">
        <f>IF($O186="","",INDEX(R_St,$O186))</f>
        <v/>
      </c>
      <c r="J186" s="126" t="str">
        <f>IF($O186="","",IF(INDEX(R_FEnv,$O186)="","",INDEX(R_FEnv,$O186)))</f>
        <v/>
      </c>
      <c r="K186" s="126" t="str">
        <f>IF($O186="","",IF(INDEX(R_FApr,$O186)="","",INDEX(R_FApr,$O186)))</f>
        <v/>
      </c>
      <c r="L186" s="172" t="str">
        <f>IF($O186="","",IF(INDEX(R_Age,$O186)="","",INDEX(R_Age,$O186)))</f>
        <v/>
      </c>
      <c r="M186" s="173" t="str">
        <f>IF($O186="","",INDEX(R_Alert,$O186)&amp;"")</f>
        <v/>
      </c>
      <c r="O186" t="str">
        <f>IFERROR(MATCH(156,R_PendSeq,0),"")</f>
        <v/>
      </c>
    </row>
    <row r="187">
      <c r="B187" s="172" t="str">
        <f>IF($O187="","",INDEX(R_ID,$O187))</f>
        <v/>
      </c>
      <c r="C187" s="126" t="str">
        <f>IF($O187="","",INDEX(R_Fecha,$O187))</f>
        <v/>
      </c>
      <c r="D187" s="95" t="str">
        <f>IF($O187="","",INDEX(R_Proy,$O187)&amp;"")</f>
        <v/>
      </c>
      <c r="E187" s="95" t="str">
        <f>IF($O187="","",INDEX(R_Task,$O187)&amp;"")</f>
        <v/>
      </c>
      <c r="F187" s="173" t="str">
        <f>IF($O187="","",INDEX(R_Desc,$O187)&amp;"")</f>
        <v/>
      </c>
      <c r="G187" s="127" t="str">
        <f>IF($O187="","",INDEX(R_Hval,$O187))</f>
        <v/>
      </c>
      <c r="H187" s="172" t="str">
        <f>IF($O187="","",INDEX(R_BlkV,$O187))</f>
        <v/>
      </c>
      <c r="I187" s="95" t="str">
        <f>IF($O187="","",INDEX(R_St,$O187))</f>
        <v/>
      </c>
      <c r="J187" s="126" t="str">
        <f>IF($O187="","",IF(INDEX(R_FEnv,$O187)="","",INDEX(R_FEnv,$O187)))</f>
        <v/>
      </c>
      <c r="K187" s="126" t="str">
        <f>IF($O187="","",IF(INDEX(R_FApr,$O187)="","",INDEX(R_FApr,$O187)))</f>
        <v/>
      </c>
      <c r="L187" s="172" t="str">
        <f>IF($O187="","",IF(INDEX(R_Age,$O187)="","",INDEX(R_Age,$O187)))</f>
        <v/>
      </c>
      <c r="M187" s="173" t="str">
        <f>IF($O187="","",INDEX(R_Alert,$O187)&amp;"")</f>
        <v/>
      </c>
      <c r="O187" t="str">
        <f>IFERROR(MATCH(157,R_PendSeq,0),"")</f>
        <v/>
      </c>
    </row>
    <row r="188">
      <c r="B188" s="172" t="str">
        <f>IF($O188="","",INDEX(R_ID,$O188))</f>
        <v/>
      </c>
      <c r="C188" s="126" t="str">
        <f>IF($O188="","",INDEX(R_Fecha,$O188))</f>
        <v/>
      </c>
      <c r="D188" s="95" t="str">
        <f>IF($O188="","",INDEX(R_Proy,$O188)&amp;"")</f>
        <v/>
      </c>
      <c r="E188" s="95" t="str">
        <f>IF($O188="","",INDEX(R_Task,$O188)&amp;"")</f>
        <v/>
      </c>
      <c r="F188" s="173" t="str">
        <f>IF($O188="","",INDEX(R_Desc,$O188)&amp;"")</f>
        <v/>
      </c>
      <c r="G188" s="127" t="str">
        <f>IF($O188="","",INDEX(R_Hval,$O188))</f>
        <v/>
      </c>
      <c r="H188" s="172" t="str">
        <f>IF($O188="","",INDEX(R_BlkV,$O188))</f>
        <v/>
      </c>
      <c r="I188" s="95" t="str">
        <f>IF($O188="","",INDEX(R_St,$O188))</f>
        <v/>
      </c>
      <c r="J188" s="126" t="str">
        <f>IF($O188="","",IF(INDEX(R_FEnv,$O188)="","",INDEX(R_FEnv,$O188)))</f>
        <v/>
      </c>
      <c r="K188" s="126" t="str">
        <f>IF($O188="","",IF(INDEX(R_FApr,$O188)="","",INDEX(R_FApr,$O188)))</f>
        <v/>
      </c>
      <c r="L188" s="172" t="str">
        <f>IF($O188="","",IF(INDEX(R_Age,$O188)="","",INDEX(R_Age,$O188)))</f>
        <v/>
      </c>
      <c r="M188" s="173" t="str">
        <f>IF($O188="","",INDEX(R_Alert,$O188)&amp;"")</f>
        <v/>
      </c>
      <c r="O188" t="str">
        <f>IFERROR(MATCH(158,R_PendSeq,0),"")</f>
        <v/>
      </c>
    </row>
    <row r="189">
      <c r="B189" s="172" t="str">
        <f>IF($O189="","",INDEX(R_ID,$O189))</f>
        <v/>
      </c>
      <c r="C189" s="126" t="str">
        <f>IF($O189="","",INDEX(R_Fecha,$O189))</f>
        <v/>
      </c>
      <c r="D189" s="95" t="str">
        <f>IF($O189="","",INDEX(R_Proy,$O189)&amp;"")</f>
        <v/>
      </c>
      <c r="E189" s="95" t="str">
        <f>IF($O189="","",INDEX(R_Task,$O189)&amp;"")</f>
        <v/>
      </c>
      <c r="F189" s="173" t="str">
        <f>IF($O189="","",INDEX(R_Desc,$O189)&amp;"")</f>
        <v/>
      </c>
      <c r="G189" s="127" t="str">
        <f>IF($O189="","",INDEX(R_Hval,$O189))</f>
        <v/>
      </c>
      <c r="H189" s="172" t="str">
        <f>IF($O189="","",INDEX(R_BlkV,$O189))</f>
        <v/>
      </c>
      <c r="I189" s="95" t="str">
        <f>IF($O189="","",INDEX(R_St,$O189))</f>
        <v/>
      </c>
      <c r="J189" s="126" t="str">
        <f>IF($O189="","",IF(INDEX(R_FEnv,$O189)="","",INDEX(R_FEnv,$O189)))</f>
        <v/>
      </c>
      <c r="K189" s="126" t="str">
        <f>IF($O189="","",IF(INDEX(R_FApr,$O189)="","",INDEX(R_FApr,$O189)))</f>
        <v/>
      </c>
      <c r="L189" s="172" t="str">
        <f>IF($O189="","",IF(INDEX(R_Age,$O189)="","",INDEX(R_Age,$O189)))</f>
        <v/>
      </c>
      <c r="M189" s="173" t="str">
        <f>IF($O189="","",INDEX(R_Alert,$O189)&amp;"")</f>
        <v/>
      </c>
      <c r="O189" t="str">
        <f>IFERROR(MATCH(159,R_PendSeq,0),"")</f>
        <v/>
      </c>
    </row>
    <row r="190">
      <c r="B190" s="172" t="str">
        <f>IF($O190="","",INDEX(R_ID,$O190))</f>
        <v/>
      </c>
      <c r="C190" s="126" t="str">
        <f>IF($O190="","",INDEX(R_Fecha,$O190))</f>
        <v/>
      </c>
      <c r="D190" s="95" t="str">
        <f>IF($O190="","",INDEX(R_Proy,$O190)&amp;"")</f>
        <v/>
      </c>
      <c r="E190" s="95" t="str">
        <f>IF($O190="","",INDEX(R_Task,$O190)&amp;"")</f>
        <v/>
      </c>
      <c r="F190" s="173" t="str">
        <f>IF($O190="","",INDEX(R_Desc,$O190)&amp;"")</f>
        <v/>
      </c>
      <c r="G190" s="127" t="str">
        <f>IF($O190="","",INDEX(R_Hval,$O190))</f>
        <v/>
      </c>
      <c r="H190" s="172" t="str">
        <f>IF($O190="","",INDEX(R_BlkV,$O190))</f>
        <v/>
      </c>
      <c r="I190" s="95" t="str">
        <f>IF($O190="","",INDEX(R_St,$O190))</f>
        <v/>
      </c>
      <c r="J190" s="126" t="str">
        <f>IF($O190="","",IF(INDEX(R_FEnv,$O190)="","",INDEX(R_FEnv,$O190)))</f>
        <v/>
      </c>
      <c r="K190" s="126" t="str">
        <f>IF($O190="","",IF(INDEX(R_FApr,$O190)="","",INDEX(R_FApr,$O190)))</f>
        <v/>
      </c>
      <c r="L190" s="172" t="str">
        <f>IF($O190="","",IF(INDEX(R_Age,$O190)="","",INDEX(R_Age,$O190)))</f>
        <v/>
      </c>
      <c r="M190" s="173" t="str">
        <f>IF($O190="","",INDEX(R_Alert,$O190)&amp;"")</f>
        <v/>
      </c>
      <c r="O190" t="str">
        <f>IFERROR(MATCH(160,R_PendSeq,0),"")</f>
        <v/>
      </c>
    </row>
    <row r="191">
      <c r="B191" s="172" t="str">
        <f>IF($O191="","",INDEX(R_ID,$O191))</f>
        <v/>
      </c>
      <c r="C191" s="126" t="str">
        <f>IF($O191="","",INDEX(R_Fecha,$O191))</f>
        <v/>
      </c>
      <c r="D191" s="95" t="str">
        <f>IF($O191="","",INDEX(R_Proy,$O191)&amp;"")</f>
        <v/>
      </c>
      <c r="E191" s="95" t="str">
        <f>IF($O191="","",INDEX(R_Task,$O191)&amp;"")</f>
        <v/>
      </c>
      <c r="F191" s="173" t="str">
        <f>IF($O191="","",INDEX(R_Desc,$O191)&amp;"")</f>
        <v/>
      </c>
      <c r="G191" s="127" t="str">
        <f>IF($O191="","",INDEX(R_Hval,$O191))</f>
        <v/>
      </c>
      <c r="H191" s="172" t="str">
        <f>IF($O191="","",INDEX(R_BlkV,$O191))</f>
        <v/>
      </c>
      <c r="I191" s="95" t="str">
        <f>IF($O191="","",INDEX(R_St,$O191))</f>
        <v/>
      </c>
      <c r="J191" s="126" t="str">
        <f>IF($O191="","",IF(INDEX(R_FEnv,$O191)="","",INDEX(R_FEnv,$O191)))</f>
        <v/>
      </c>
      <c r="K191" s="126" t="str">
        <f>IF($O191="","",IF(INDEX(R_FApr,$O191)="","",INDEX(R_FApr,$O191)))</f>
        <v/>
      </c>
      <c r="L191" s="172" t="str">
        <f>IF($O191="","",IF(INDEX(R_Age,$O191)="","",INDEX(R_Age,$O191)))</f>
        <v/>
      </c>
      <c r="M191" s="173" t="str">
        <f>IF($O191="","",INDEX(R_Alert,$O191)&amp;"")</f>
        <v/>
      </c>
      <c r="O191" t="str">
        <f>IFERROR(MATCH(161,R_PendSeq,0),"")</f>
        <v/>
      </c>
    </row>
    <row r="192">
      <c r="B192" s="172" t="str">
        <f>IF($O192="","",INDEX(R_ID,$O192))</f>
        <v/>
      </c>
      <c r="C192" s="126" t="str">
        <f>IF($O192="","",INDEX(R_Fecha,$O192))</f>
        <v/>
      </c>
      <c r="D192" s="95" t="str">
        <f>IF($O192="","",INDEX(R_Proy,$O192)&amp;"")</f>
        <v/>
      </c>
      <c r="E192" s="95" t="str">
        <f>IF($O192="","",INDEX(R_Task,$O192)&amp;"")</f>
        <v/>
      </c>
      <c r="F192" s="173" t="str">
        <f>IF($O192="","",INDEX(R_Desc,$O192)&amp;"")</f>
        <v/>
      </c>
      <c r="G192" s="127" t="str">
        <f>IF($O192="","",INDEX(R_Hval,$O192))</f>
        <v/>
      </c>
      <c r="H192" s="172" t="str">
        <f>IF($O192="","",INDEX(R_BlkV,$O192))</f>
        <v/>
      </c>
      <c r="I192" s="95" t="str">
        <f>IF($O192="","",INDEX(R_St,$O192))</f>
        <v/>
      </c>
      <c r="J192" s="126" t="str">
        <f>IF($O192="","",IF(INDEX(R_FEnv,$O192)="","",INDEX(R_FEnv,$O192)))</f>
        <v/>
      </c>
      <c r="K192" s="126" t="str">
        <f>IF($O192="","",IF(INDEX(R_FApr,$O192)="","",INDEX(R_FApr,$O192)))</f>
        <v/>
      </c>
      <c r="L192" s="172" t="str">
        <f>IF($O192="","",IF(INDEX(R_Age,$O192)="","",INDEX(R_Age,$O192)))</f>
        <v/>
      </c>
      <c r="M192" s="173" t="str">
        <f>IF($O192="","",INDEX(R_Alert,$O192)&amp;"")</f>
        <v/>
      </c>
      <c r="O192" t="str">
        <f>IFERROR(MATCH(162,R_PendSeq,0),"")</f>
        <v/>
      </c>
    </row>
    <row r="193">
      <c r="B193" s="172" t="str">
        <f>IF($O193="","",INDEX(R_ID,$O193))</f>
        <v/>
      </c>
      <c r="C193" s="126" t="str">
        <f>IF($O193="","",INDEX(R_Fecha,$O193))</f>
        <v/>
      </c>
      <c r="D193" s="95" t="str">
        <f>IF($O193="","",INDEX(R_Proy,$O193)&amp;"")</f>
        <v/>
      </c>
      <c r="E193" s="95" t="str">
        <f>IF($O193="","",INDEX(R_Task,$O193)&amp;"")</f>
        <v/>
      </c>
      <c r="F193" s="173" t="str">
        <f>IF($O193="","",INDEX(R_Desc,$O193)&amp;"")</f>
        <v/>
      </c>
      <c r="G193" s="127" t="str">
        <f>IF($O193="","",INDEX(R_Hval,$O193))</f>
        <v/>
      </c>
      <c r="H193" s="172" t="str">
        <f>IF($O193="","",INDEX(R_BlkV,$O193))</f>
        <v/>
      </c>
      <c r="I193" s="95" t="str">
        <f>IF($O193="","",INDEX(R_St,$O193))</f>
        <v/>
      </c>
      <c r="J193" s="126" t="str">
        <f>IF($O193="","",IF(INDEX(R_FEnv,$O193)="","",INDEX(R_FEnv,$O193)))</f>
        <v/>
      </c>
      <c r="K193" s="126" t="str">
        <f>IF($O193="","",IF(INDEX(R_FApr,$O193)="","",INDEX(R_FApr,$O193)))</f>
        <v/>
      </c>
      <c r="L193" s="172" t="str">
        <f>IF($O193="","",IF(INDEX(R_Age,$O193)="","",INDEX(R_Age,$O193)))</f>
        <v/>
      </c>
      <c r="M193" s="173" t="str">
        <f>IF($O193="","",INDEX(R_Alert,$O193)&amp;"")</f>
        <v/>
      </c>
      <c r="O193" t="str">
        <f>IFERROR(MATCH(163,R_PendSeq,0),"")</f>
        <v/>
      </c>
    </row>
    <row r="194">
      <c r="B194" s="172" t="str">
        <f>IF($O194="","",INDEX(R_ID,$O194))</f>
        <v/>
      </c>
      <c r="C194" s="126" t="str">
        <f>IF($O194="","",INDEX(R_Fecha,$O194))</f>
        <v/>
      </c>
      <c r="D194" s="95" t="str">
        <f>IF($O194="","",INDEX(R_Proy,$O194)&amp;"")</f>
        <v/>
      </c>
      <c r="E194" s="95" t="str">
        <f>IF($O194="","",INDEX(R_Task,$O194)&amp;"")</f>
        <v/>
      </c>
      <c r="F194" s="173" t="str">
        <f>IF($O194="","",INDEX(R_Desc,$O194)&amp;"")</f>
        <v/>
      </c>
      <c r="G194" s="127" t="str">
        <f>IF($O194="","",INDEX(R_Hval,$O194))</f>
        <v/>
      </c>
      <c r="H194" s="172" t="str">
        <f>IF($O194="","",INDEX(R_BlkV,$O194))</f>
        <v/>
      </c>
      <c r="I194" s="95" t="str">
        <f>IF($O194="","",INDEX(R_St,$O194))</f>
        <v/>
      </c>
      <c r="J194" s="126" t="str">
        <f>IF($O194="","",IF(INDEX(R_FEnv,$O194)="","",INDEX(R_FEnv,$O194)))</f>
        <v/>
      </c>
      <c r="K194" s="126" t="str">
        <f>IF($O194="","",IF(INDEX(R_FApr,$O194)="","",INDEX(R_FApr,$O194)))</f>
        <v/>
      </c>
      <c r="L194" s="172" t="str">
        <f>IF($O194="","",IF(INDEX(R_Age,$O194)="","",INDEX(R_Age,$O194)))</f>
        <v/>
      </c>
      <c r="M194" s="173" t="str">
        <f>IF($O194="","",INDEX(R_Alert,$O194)&amp;"")</f>
        <v/>
      </c>
      <c r="O194" t="str">
        <f>IFERROR(MATCH(164,R_PendSeq,0),"")</f>
        <v/>
      </c>
    </row>
    <row r="195">
      <c r="B195" s="172" t="str">
        <f>IF($O195="","",INDEX(R_ID,$O195))</f>
        <v/>
      </c>
      <c r="C195" s="126" t="str">
        <f>IF($O195="","",INDEX(R_Fecha,$O195))</f>
        <v/>
      </c>
      <c r="D195" s="95" t="str">
        <f>IF($O195="","",INDEX(R_Proy,$O195)&amp;"")</f>
        <v/>
      </c>
      <c r="E195" s="95" t="str">
        <f>IF($O195="","",INDEX(R_Task,$O195)&amp;"")</f>
        <v/>
      </c>
      <c r="F195" s="173" t="str">
        <f>IF($O195="","",INDEX(R_Desc,$O195)&amp;"")</f>
        <v/>
      </c>
      <c r="G195" s="127" t="str">
        <f>IF($O195="","",INDEX(R_Hval,$O195))</f>
        <v/>
      </c>
      <c r="H195" s="172" t="str">
        <f>IF($O195="","",INDEX(R_BlkV,$O195))</f>
        <v/>
      </c>
      <c r="I195" s="95" t="str">
        <f>IF($O195="","",INDEX(R_St,$O195))</f>
        <v/>
      </c>
      <c r="J195" s="126" t="str">
        <f>IF($O195="","",IF(INDEX(R_FEnv,$O195)="","",INDEX(R_FEnv,$O195)))</f>
        <v/>
      </c>
      <c r="K195" s="126" t="str">
        <f>IF($O195="","",IF(INDEX(R_FApr,$O195)="","",INDEX(R_FApr,$O195)))</f>
        <v/>
      </c>
      <c r="L195" s="172" t="str">
        <f>IF($O195="","",IF(INDEX(R_Age,$O195)="","",INDEX(R_Age,$O195)))</f>
        <v/>
      </c>
      <c r="M195" s="173" t="str">
        <f>IF($O195="","",INDEX(R_Alert,$O195)&amp;"")</f>
        <v/>
      </c>
      <c r="O195" t="str">
        <f>IFERROR(MATCH(165,R_PendSeq,0),"")</f>
        <v/>
      </c>
    </row>
    <row r="196">
      <c r="B196" s="172" t="str">
        <f>IF($O196="","",INDEX(R_ID,$O196))</f>
        <v/>
      </c>
      <c r="C196" s="126" t="str">
        <f>IF($O196="","",INDEX(R_Fecha,$O196))</f>
        <v/>
      </c>
      <c r="D196" s="95" t="str">
        <f>IF($O196="","",INDEX(R_Proy,$O196)&amp;"")</f>
        <v/>
      </c>
      <c r="E196" s="95" t="str">
        <f>IF($O196="","",INDEX(R_Task,$O196)&amp;"")</f>
        <v/>
      </c>
      <c r="F196" s="173" t="str">
        <f>IF($O196="","",INDEX(R_Desc,$O196)&amp;"")</f>
        <v/>
      </c>
      <c r="G196" s="127" t="str">
        <f>IF($O196="","",INDEX(R_Hval,$O196))</f>
        <v/>
      </c>
      <c r="H196" s="172" t="str">
        <f>IF($O196="","",INDEX(R_BlkV,$O196))</f>
        <v/>
      </c>
      <c r="I196" s="95" t="str">
        <f>IF($O196="","",INDEX(R_St,$O196))</f>
        <v/>
      </c>
      <c r="J196" s="126" t="str">
        <f>IF($O196="","",IF(INDEX(R_FEnv,$O196)="","",INDEX(R_FEnv,$O196)))</f>
        <v/>
      </c>
      <c r="K196" s="126" t="str">
        <f>IF($O196="","",IF(INDEX(R_FApr,$O196)="","",INDEX(R_FApr,$O196)))</f>
        <v/>
      </c>
      <c r="L196" s="172" t="str">
        <f>IF($O196="","",IF(INDEX(R_Age,$O196)="","",INDEX(R_Age,$O196)))</f>
        <v/>
      </c>
      <c r="M196" s="173" t="str">
        <f>IF($O196="","",INDEX(R_Alert,$O196)&amp;"")</f>
        <v/>
      </c>
      <c r="O196" t="str">
        <f>IFERROR(MATCH(166,R_PendSeq,0),"")</f>
        <v/>
      </c>
    </row>
    <row r="197">
      <c r="B197" s="172" t="str">
        <f>IF($O197="","",INDEX(R_ID,$O197))</f>
        <v/>
      </c>
      <c r="C197" s="126" t="str">
        <f>IF($O197="","",INDEX(R_Fecha,$O197))</f>
        <v/>
      </c>
      <c r="D197" s="95" t="str">
        <f>IF($O197="","",INDEX(R_Proy,$O197)&amp;"")</f>
        <v/>
      </c>
      <c r="E197" s="95" t="str">
        <f>IF($O197="","",INDEX(R_Task,$O197)&amp;"")</f>
        <v/>
      </c>
      <c r="F197" s="173" t="str">
        <f>IF($O197="","",INDEX(R_Desc,$O197)&amp;"")</f>
        <v/>
      </c>
      <c r="G197" s="127" t="str">
        <f>IF($O197="","",INDEX(R_Hval,$O197))</f>
        <v/>
      </c>
      <c r="H197" s="172" t="str">
        <f>IF($O197="","",INDEX(R_BlkV,$O197))</f>
        <v/>
      </c>
      <c r="I197" s="95" t="str">
        <f>IF($O197="","",INDEX(R_St,$O197))</f>
        <v/>
      </c>
      <c r="J197" s="126" t="str">
        <f>IF($O197="","",IF(INDEX(R_FEnv,$O197)="","",INDEX(R_FEnv,$O197)))</f>
        <v/>
      </c>
      <c r="K197" s="126" t="str">
        <f>IF($O197="","",IF(INDEX(R_FApr,$O197)="","",INDEX(R_FApr,$O197)))</f>
        <v/>
      </c>
      <c r="L197" s="172" t="str">
        <f>IF($O197="","",IF(INDEX(R_Age,$O197)="","",INDEX(R_Age,$O197)))</f>
        <v/>
      </c>
      <c r="M197" s="173" t="str">
        <f>IF($O197="","",INDEX(R_Alert,$O197)&amp;"")</f>
        <v/>
      </c>
      <c r="O197" t="str">
        <f>IFERROR(MATCH(167,R_PendSeq,0),"")</f>
        <v/>
      </c>
    </row>
    <row r="198">
      <c r="B198" s="172" t="str">
        <f>IF($O198="","",INDEX(R_ID,$O198))</f>
        <v/>
      </c>
      <c r="C198" s="126" t="str">
        <f>IF($O198="","",INDEX(R_Fecha,$O198))</f>
        <v/>
      </c>
      <c r="D198" s="95" t="str">
        <f>IF($O198="","",INDEX(R_Proy,$O198)&amp;"")</f>
        <v/>
      </c>
      <c r="E198" s="95" t="str">
        <f>IF($O198="","",INDEX(R_Task,$O198)&amp;"")</f>
        <v/>
      </c>
      <c r="F198" s="173" t="str">
        <f>IF($O198="","",INDEX(R_Desc,$O198)&amp;"")</f>
        <v/>
      </c>
      <c r="G198" s="127" t="str">
        <f>IF($O198="","",INDEX(R_Hval,$O198))</f>
        <v/>
      </c>
      <c r="H198" s="172" t="str">
        <f>IF($O198="","",INDEX(R_BlkV,$O198))</f>
        <v/>
      </c>
      <c r="I198" s="95" t="str">
        <f>IF($O198="","",INDEX(R_St,$O198))</f>
        <v/>
      </c>
      <c r="J198" s="126" t="str">
        <f>IF($O198="","",IF(INDEX(R_FEnv,$O198)="","",INDEX(R_FEnv,$O198)))</f>
        <v/>
      </c>
      <c r="K198" s="126" t="str">
        <f>IF($O198="","",IF(INDEX(R_FApr,$O198)="","",INDEX(R_FApr,$O198)))</f>
        <v/>
      </c>
      <c r="L198" s="172" t="str">
        <f>IF($O198="","",IF(INDEX(R_Age,$O198)="","",INDEX(R_Age,$O198)))</f>
        <v/>
      </c>
      <c r="M198" s="173" t="str">
        <f>IF($O198="","",INDEX(R_Alert,$O198)&amp;"")</f>
        <v/>
      </c>
      <c r="O198" t="str">
        <f>IFERROR(MATCH(168,R_PendSeq,0),"")</f>
        <v/>
      </c>
    </row>
    <row r="199">
      <c r="B199" s="172" t="str">
        <f>IF($O199="","",INDEX(R_ID,$O199))</f>
        <v/>
      </c>
      <c r="C199" s="126" t="str">
        <f>IF($O199="","",INDEX(R_Fecha,$O199))</f>
        <v/>
      </c>
      <c r="D199" s="95" t="str">
        <f>IF($O199="","",INDEX(R_Proy,$O199)&amp;"")</f>
        <v/>
      </c>
      <c r="E199" s="95" t="str">
        <f>IF($O199="","",INDEX(R_Task,$O199)&amp;"")</f>
        <v/>
      </c>
      <c r="F199" s="173" t="str">
        <f>IF($O199="","",INDEX(R_Desc,$O199)&amp;"")</f>
        <v/>
      </c>
      <c r="G199" s="127" t="str">
        <f>IF($O199="","",INDEX(R_Hval,$O199))</f>
        <v/>
      </c>
      <c r="H199" s="172" t="str">
        <f>IF($O199="","",INDEX(R_BlkV,$O199))</f>
        <v/>
      </c>
      <c r="I199" s="95" t="str">
        <f>IF($O199="","",INDEX(R_St,$O199))</f>
        <v/>
      </c>
      <c r="J199" s="126" t="str">
        <f>IF($O199="","",IF(INDEX(R_FEnv,$O199)="","",INDEX(R_FEnv,$O199)))</f>
        <v/>
      </c>
      <c r="K199" s="126" t="str">
        <f>IF($O199="","",IF(INDEX(R_FApr,$O199)="","",INDEX(R_FApr,$O199)))</f>
        <v/>
      </c>
      <c r="L199" s="172" t="str">
        <f>IF($O199="","",IF(INDEX(R_Age,$O199)="","",INDEX(R_Age,$O199)))</f>
        <v/>
      </c>
      <c r="M199" s="173" t="str">
        <f>IF($O199="","",INDEX(R_Alert,$O199)&amp;"")</f>
        <v/>
      </c>
      <c r="O199" t="str">
        <f>IFERROR(MATCH(169,R_PendSeq,0),"")</f>
        <v/>
      </c>
    </row>
    <row r="200">
      <c r="B200" s="172" t="str">
        <f>IF($O200="","",INDEX(R_ID,$O200))</f>
        <v/>
      </c>
      <c r="C200" s="126" t="str">
        <f>IF($O200="","",INDEX(R_Fecha,$O200))</f>
        <v/>
      </c>
      <c r="D200" s="95" t="str">
        <f>IF($O200="","",INDEX(R_Proy,$O200)&amp;"")</f>
        <v/>
      </c>
      <c r="E200" s="95" t="str">
        <f>IF($O200="","",INDEX(R_Task,$O200)&amp;"")</f>
        <v/>
      </c>
      <c r="F200" s="173" t="str">
        <f>IF($O200="","",INDEX(R_Desc,$O200)&amp;"")</f>
        <v/>
      </c>
      <c r="G200" s="127" t="str">
        <f>IF($O200="","",INDEX(R_Hval,$O200))</f>
        <v/>
      </c>
      <c r="H200" s="172" t="str">
        <f>IF($O200="","",INDEX(R_BlkV,$O200))</f>
        <v/>
      </c>
      <c r="I200" s="95" t="str">
        <f>IF($O200="","",INDEX(R_St,$O200))</f>
        <v/>
      </c>
      <c r="J200" s="126" t="str">
        <f>IF($O200="","",IF(INDEX(R_FEnv,$O200)="","",INDEX(R_FEnv,$O200)))</f>
        <v/>
      </c>
      <c r="K200" s="126" t="str">
        <f>IF($O200="","",IF(INDEX(R_FApr,$O200)="","",INDEX(R_FApr,$O200)))</f>
        <v/>
      </c>
      <c r="L200" s="172" t="str">
        <f>IF($O200="","",IF(INDEX(R_Age,$O200)="","",INDEX(R_Age,$O200)))</f>
        <v/>
      </c>
      <c r="M200" s="173" t="str">
        <f>IF($O200="","",INDEX(R_Alert,$O200)&amp;"")</f>
        <v/>
      </c>
      <c r="O200" t="str">
        <f>IFERROR(MATCH(170,R_PendSeq,0),"")</f>
        <v/>
      </c>
    </row>
    <row r="201">
      <c r="B201" s="172" t="str">
        <f>IF($O201="","",INDEX(R_ID,$O201))</f>
        <v/>
      </c>
      <c r="C201" s="126" t="str">
        <f>IF($O201="","",INDEX(R_Fecha,$O201))</f>
        <v/>
      </c>
      <c r="D201" s="95" t="str">
        <f>IF($O201="","",INDEX(R_Proy,$O201)&amp;"")</f>
        <v/>
      </c>
      <c r="E201" s="95" t="str">
        <f>IF($O201="","",INDEX(R_Task,$O201)&amp;"")</f>
        <v/>
      </c>
      <c r="F201" s="173" t="str">
        <f>IF($O201="","",INDEX(R_Desc,$O201)&amp;"")</f>
        <v/>
      </c>
      <c r="G201" s="127" t="str">
        <f>IF($O201="","",INDEX(R_Hval,$O201))</f>
        <v/>
      </c>
      <c r="H201" s="172" t="str">
        <f>IF($O201="","",INDEX(R_BlkV,$O201))</f>
        <v/>
      </c>
      <c r="I201" s="95" t="str">
        <f>IF($O201="","",INDEX(R_St,$O201))</f>
        <v/>
      </c>
      <c r="J201" s="126" t="str">
        <f>IF($O201="","",IF(INDEX(R_FEnv,$O201)="","",INDEX(R_FEnv,$O201)))</f>
        <v/>
      </c>
      <c r="K201" s="126" t="str">
        <f>IF($O201="","",IF(INDEX(R_FApr,$O201)="","",INDEX(R_FApr,$O201)))</f>
        <v/>
      </c>
      <c r="L201" s="172" t="str">
        <f>IF($O201="","",IF(INDEX(R_Age,$O201)="","",INDEX(R_Age,$O201)))</f>
        <v/>
      </c>
      <c r="M201" s="173" t="str">
        <f>IF($O201="","",INDEX(R_Alert,$O201)&amp;"")</f>
        <v/>
      </c>
      <c r="O201" t="str">
        <f>IFERROR(MATCH(171,R_PendSeq,0),"")</f>
        <v/>
      </c>
    </row>
    <row r="202">
      <c r="B202" s="172" t="str">
        <f>IF($O202="","",INDEX(R_ID,$O202))</f>
        <v/>
      </c>
      <c r="C202" s="126" t="str">
        <f>IF($O202="","",INDEX(R_Fecha,$O202))</f>
        <v/>
      </c>
      <c r="D202" s="95" t="str">
        <f>IF($O202="","",INDEX(R_Proy,$O202)&amp;"")</f>
        <v/>
      </c>
      <c r="E202" s="95" t="str">
        <f>IF($O202="","",INDEX(R_Task,$O202)&amp;"")</f>
        <v/>
      </c>
      <c r="F202" s="173" t="str">
        <f>IF($O202="","",INDEX(R_Desc,$O202)&amp;"")</f>
        <v/>
      </c>
      <c r="G202" s="127" t="str">
        <f>IF($O202="","",INDEX(R_Hval,$O202))</f>
        <v/>
      </c>
      <c r="H202" s="172" t="str">
        <f>IF($O202="","",INDEX(R_BlkV,$O202))</f>
        <v/>
      </c>
      <c r="I202" s="95" t="str">
        <f>IF($O202="","",INDEX(R_St,$O202))</f>
        <v/>
      </c>
      <c r="J202" s="126" t="str">
        <f>IF($O202="","",IF(INDEX(R_FEnv,$O202)="","",INDEX(R_FEnv,$O202)))</f>
        <v/>
      </c>
      <c r="K202" s="126" t="str">
        <f>IF($O202="","",IF(INDEX(R_FApr,$O202)="","",INDEX(R_FApr,$O202)))</f>
        <v/>
      </c>
      <c r="L202" s="172" t="str">
        <f>IF($O202="","",IF(INDEX(R_Age,$O202)="","",INDEX(R_Age,$O202)))</f>
        <v/>
      </c>
      <c r="M202" s="173" t="str">
        <f>IF($O202="","",INDEX(R_Alert,$O202)&amp;"")</f>
        <v/>
      </c>
      <c r="O202" t="str">
        <f>IFERROR(MATCH(172,R_PendSeq,0),"")</f>
        <v/>
      </c>
    </row>
    <row r="203">
      <c r="B203" s="172" t="str">
        <f>IF($O203="","",INDEX(R_ID,$O203))</f>
        <v/>
      </c>
      <c r="C203" s="126" t="str">
        <f>IF($O203="","",INDEX(R_Fecha,$O203))</f>
        <v/>
      </c>
      <c r="D203" s="95" t="str">
        <f>IF($O203="","",INDEX(R_Proy,$O203)&amp;"")</f>
        <v/>
      </c>
      <c r="E203" s="95" t="str">
        <f>IF($O203="","",INDEX(R_Task,$O203)&amp;"")</f>
        <v/>
      </c>
      <c r="F203" s="173" t="str">
        <f>IF($O203="","",INDEX(R_Desc,$O203)&amp;"")</f>
        <v/>
      </c>
      <c r="G203" s="127" t="str">
        <f>IF($O203="","",INDEX(R_Hval,$O203))</f>
        <v/>
      </c>
      <c r="H203" s="172" t="str">
        <f>IF($O203="","",INDEX(R_BlkV,$O203))</f>
        <v/>
      </c>
      <c r="I203" s="95" t="str">
        <f>IF($O203="","",INDEX(R_St,$O203))</f>
        <v/>
      </c>
      <c r="J203" s="126" t="str">
        <f>IF($O203="","",IF(INDEX(R_FEnv,$O203)="","",INDEX(R_FEnv,$O203)))</f>
        <v/>
      </c>
      <c r="K203" s="126" t="str">
        <f>IF($O203="","",IF(INDEX(R_FApr,$O203)="","",INDEX(R_FApr,$O203)))</f>
        <v/>
      </c>
      <c r="L203" s="172" t="str">
        <f>IF($O203="","",IF(INDEX(R_Age,$O203)="","",INDEX(R_Age,$O203)))</f>
        <v/>
      </c>
      <c r="M203" s="173" t="str">
        <f>IF($O203="","",INDEX(R_Alert,$O203)&amp;"")</f>
        <v/>
      </c>
      <c r="O203" t="str">
        <f>IFERROR(MATCH(173,R_PendSeq,0),"")</f>
        <v/>
      </c>
    </row>
    <row r="204">
      <c r="B204" s="172" t="str">
        <f>IF($O204="","",INDEX(R_ID,$O204))</f>
        <v/>
      </c>
      <c r="C204" s="126" t="str">
        <f>IF($O204="","",INDEX(R_Fecha,$O204))</f>
        <v/>
      </c>
      <c r="D204" s="95" t="str">
        <f>IF($O204="","",INDEX(R_Proy,$O204)&amp;"")</f>
        <v/>
      </c>
      <c r="E204" s="95" t="str">
        <f>IF($O204="","",INDEX(R_Task,$O204)&amp;"")</f>
        <v/>
      </c>
      <c r="F204" s="173" t="str">
        <f>IF($O204="","",INDEX(R_Desc,$O204)&amp;"")</f>
        <v/>
      </c>
      <c r="G204" s="127" t="str">
        <f>IF($O204="","",INDEX(R_Hval,$O204))</f>
        <v/>
      </c>
      <c r="H204" s="172" t="str">
        <f>IF($O204="","",INDEX(R_BlkV,$O204))</f>
        <v/>
      </c>
      <c r="I204" s="95" t="str">
        <f>IF($O204="","",INDEX(R_St,$O204))</f>
        <v/>
      </c>
      <c r="J204" s="126" t="str">
        <f>IF($O204="","",IF(INDEX(R_FEnv,$O204)="","",INDEX(R_FEnv,$O204)))</f>
        <v/>
      </c>
      <c r="K204" s="126" t="str">
        <f>IF($O204="","",IF(INDEX(R_FApr,$O204)="","",INDEX(R_FApr,$O204)))</f>
        <v/>
      </c>
      <c r="L204" s="172" t="str">
        <f>IF($O204="","",IF(INDEX(R_Age,$O204)="","",INDEX(R_Age,$O204)))</f>
        <v/>
      </c>
      <c r="M204" s="173" t="str">
        <f>IF($O204="","",INDEX(R_Alert,$O204)&amp;"")</f>
        <v/>
      </c>
      <c r="O204" t="str">
        <f>IFERROR(MATCH(174,R_PendSeq,0),"")</f>
        <v/>
      </c>
    </row>
    <row r="205">
      <c r="B205" s="172" t="str">
        <f>IF($O205="","",INDEX(R_ID,$O205))</f>
        <v/>
      </c>
      <c r="C205" s="126" t="str">
        <f>IF($O205="","",INDEX(R_Fecha,$O205))</f>
        <v/>
      </c>
      <c r="D205" s="95" t="str">
        <f>IF($O205="","",INDEX(R_Proy,$O205)&amp;"")</f>
        <v/>
      </c>
      <c r="E205" s="95" t="str">
        <f>IF($O205="","",INDEX(R_Task,$O205)&amp;"")</f>
        <v/>
      </c>
      <c r="F205" s="173" t="str">
        <f>IF($O205="","",INDEX(R_Desc,$O205)&amp;"")</f>
        <v/>
      </c>
      <c r="G205" s="127" t="str">
        <f>IF($O205="","",INDEX(R_Hval,$O205))</f>
        <v/>
      </c>
      <c r="H205" s="172" t="str">
        <f>IF($O205="","",INDEX(R_BlkV,$O205))</f>
        <v/>
      </c>
      <c r="I205" s="95" t="str">
        <f>IF($O205="","",INDEX(R_St,$O205))</f>
        <v/>
      </c>
      <c r="J205" s="126" t="str">
        <f>IF($O205="","",IF(INDEX(R_FEnv,$O205)="","",INDEX(R_FEnv,$O205)))</f>
        <v/>
      </c>
      <c r="K205" s="126" t="str">
        <f>IF($O205="","",IF(INDEX(R_FApr,$O205)="","",INDEX(R_FApr,$O205)))</f>
        <v/>
      </c>
      <c r="L205" s="172" t="str">
        <f>IF($O205="","",IF(INDEX(R_Age,$O205)="","",INDEX(R_Age,$O205)))</f>
        <v/>
      </c>
      <c r="M205" s="173" t="str">
        <f>IF($O205="","",INDEX(R_Alert,$O205)&amp;"")</f>
        <v/>
      </c>
      <c r="O205" t="str">
        <f>IFERROR(MATCH(175,R_PendSeq,0),"")</f>
        <v/>
      </c>
    </row>
    <row r="206">
      <c r="B206" s="172" t="str">
        <f>IF($O206="","",INDEX(R_ID,$O206))</f>
        <v/>
      </c>
      <c r="C206" s="126" t="str">
        <f>IF($O206="","",INDEX(R_Fecha,$O206))</f>
        <v/>
      </c>
      <c r="D206" s="95" t="str">
        <f>IF($O206="","",INDEX(R_Proy,$O206)&amp;"")</f>
        <v/>
      </c>
      <c r="E206" s="95" t="str">
        <f>IF($O206="","",INDEX(R_Task,$O206)&amp;"")</f>
        <v/>
      </c>
      <c r="F206" s="173" t="str">
        <f>IF($O206="","",INDEX(R_Desc,$O206)&amp;"")</f>
        <v/>
      </c>
      <c r="G206" s="127" t="str">
        <f>IF($O206="","",INDEX(R_Hval,$O206))</f>
        <v/>
      </c>
      <c r="H206" s="172" t="str">
        <f>IF($O206="","",INDEX(R_BlkV,$O206))</f>
        <v/>
      </c>
      <c r="I206" s="95" t="str">
        <f>IF($O206="","",INDEX(R_St,$O206))</f>
        <v/>
      </c>
      <c r="J206" s="126" t="str">
        <f>IF($O206="","",IF(INDEX(R_FEnv,$O206)="","",INDEX(R_FEnv,$O206)))</f>
        <v/>
      </c>
      <c r="K206" s="126" t="str">
        <f>IF($O206="","",IF(INDEX(R_FApr,$O206)="","",INDEX(R_FApr,$O206)))</f>
        <v/>
      </c>
      <c r="L206" s="172" t="str">
        <f>IF($O206="","",IF(INDEX(R_Age,$O206)="","",INDEX(R_Age,$O206)))</f>
        <v/>
      </c>
      <c r="M206" s="173" t="str">
        <f>IF($O206="","",INDEX(R_Alert,$O206)&amp;"")</f>
        <v/>
      </c>
      <c r="O206" t="str">
        <f>IFERROR(MATCH(176,R_PendSeq,0),"")</f>
        <v/>
      </c>
    </row>
    <row r="207">
      <c r="B207" s="172" t="str">
        <f>IF($O207="","",INDEX(R_ID,$O207))</f>
        <v/>
      </c>
      <c r="C207" s="126" t="str">
        <f>IF($O207="","",INDEX(R_Fecha,$O207))</f>
        <v/>
      </c>
      <c r="D207" s="95" t="str">
        <f>IF($O207="","",INDEX(R_Proy,$O207)&amp;"")</f>
        <v/>
      </c>
      <c r="E207" s="95" t="str">
        <f>IF($O207="","",INDEX(R_Task,$O207)&amp;"")</f>
        <v/>
      </c>
      <c r="F207" s="173" t="str">
        <f>IF($O207="","",INDEX(R_Desc,$O207)&amp;"")</f>
        <v/>
      </c>
      <c r="G207" s="127" t="str">
        <f>IF($O207="","",INDEX(R_Hval,$O207))</f>
        <v/>
      </c>
      <c r="H207" s="172" t="str">
        <f>IF($O207="","",INDEX(R_BlkV,$O207))</f>
        <v/>
      </c>
      <c r="I207" s="95" t="str">
        <f>IF($O207="","",INDEX(R_St,$O207))</f>
        <v/>
      </c>
      <c r="J207" s="126" t="str">
        <f>IF($O207="","",IF(INDEX(R_FEnv,$O207)="","",INDEX(R_FEnv,$O207)))</f>
        <v/>
      </c>
      <c r="K207" s="126" t="str">
        <f>IF($O207="","",IF(INDEX(R_FApr,$O207)="","",INDEX(R_FApr,$O207)))</f>
        <v/>
      </c>
      <c r="L207" s="172" t="str">
        <f>IF($O207="","",IF(INDEX(R_Age,$O207)="","",INDEX(R_Age,$O207)))</f>
        <v/>
      </c>
      <c r="M207" s="173" t="str">
        <f>IF($O207="","",INDEX(R_Alert,$O207)&amp;"")</f>
        <v/>
      </c>
      <c r="O207" t="str">
        <f>IFERROR(MATCH(177,R_PendSeq,0),"")</f>
        <v/>
      </c>
    </row>
    <row r="208">
      <c r="B208" s="172" t="str">
        <f>IF($O208="","",INDEX(R_ID,$O208))</f>
        <v/>
      </c>
      <c r="C208" s="126" t="str">
        <f>IF($O208="","",INDEX(R_Fecha,$O208))</f>
        <v/>
      </c>
      <c r="D208" s="95" t="str">
        <f>IF($O208="","",INDEX(R_Proy,$O208)&amp;"")</f>
        <v/>
      </c>
      <c r="E208" s="95" t="str">
        <f>IF($O208="","",INDEX(R_Task,$O208)&amp;"")</f>
        <v/>
      </c>
      <c r="F208" s="173" t="str">
        <f>IF($O208="","",INDEX(R_Desc,$O208)&amp;"")</f>
        <v/>
      </c>
      <c r="G208" s="127" t="str">
        <f>IF($O208="","",INDEX(R_Hval,$O208))</f>
        <v/>
      </c>
      <c r="H208" s="172" t="str">
        <f>IF($O208="","",INDEX(R_BlkV,$O208))</f>
        <v/>
      </c>
      <c r="I208" s="95" t="str">
        <f>IF($O208="","",INDEX(R_St,$O208))</f>
        <v/>
      </c>
      <c r="J208" s="126" t="str">
        <f>IF($O208="","",IF(INDEX(R_FEnv,$O208)="","",INDEX(R_FEnv,$O208)))</f>
        <v/>
      </c>
      <c r="K208" s="126" t="str">
        <f>IF($O208="","",IF(INDEX(R_FApr,$O208)="","",INDEX(R_FApr,$O208)))</f>
        <v/>
      </c>
      <c r="L208" s="172" t="str">
        <f>IF($O208="","",IF(INDEX(R_Age,$O208)="","",INDEX(R_Age,$O208)))</f>
        <v/>
      </c>
      <c r="M208" s="173" t="str">
        <f>IF($O208="","",INDEX(R_Alert,$O208)&amp;"")</f>
        <v/>
      </c>
      <c r="O208" t="str">
        <f>IFERROR(MATCH(178,R_PendSeq,0),"")</f>
        <v/>
      </c>
    </row>
    <row r="209">
      <c r="B209" s="172" t="str">
        <f>IF($O209="","",INDEX(R_ID,$O209))</f>
        <v/>
      </c>
      <c r="C209" s="126" t="str">
        <f>IF($O209="","",INDEX(R_Fecha,$O209))</f>
        <v/>
      </c>
      <c r="D209" s="95" t="str">
        <f>IF($O209="","",INDEX(R_Proy,$O209)&amp;"")</f>
        <v/>
      </c>
      <c r="E209" s="95" t="str">
        <f>IF($O209="","",INDEX(R_Task,$O209)&amp;"")</f>
        <v/>
      </c>
      <c r="F209" s="173" t="str">
        <f>IF($O209="","",INDEX(R_Desc,$O209)&amp;"")</f>
        <v/>
      </c>
      <c r="G209" s="127" t="str">
        <f>IF($O209="","",INDEX(R_Hval,$O209))</f>
        <v/>
      </c>
      <c r="H209" s="172" t="str">
        <f>IF($O209="","",INDEX(R_BlkV,$O209))</f>
        <v/>
      </c>
      <c r="I209" s="95" t="str">
        <f>IF($O209="","",INDEX(R_St,$O209))</f>
        <v/>
      </c>
      <c r="J209" s="126" t="str">
        <f>IF($O209="","",IF(INDEX(R_FEnv,$O209)="","",INDEX(R_FEnv,$O209)))</f>
        <v/>
      </c>
      <c r="K209" s="126" t="str">
        <f>IF($O209="","",IF(INDEX(R_FApr,$O209)="","",INDEX(R_FApr,$O209)))</f>
        <v/>
      </c>
      <c r="L209" s="172" t="str">
        <f>IF($O209="","",IF(INDEX(R_Age,$O209)="","",INDEX(R_Age,$O209)))</f>
        <v/>
      </c>
      <c r="M209" s="173" t="str">
        <f>IF($O209="","",INDEX(R_Alert,$O209)&amp;"")</f>
        <v/>
      </c>
      <c r="O209" t="str">
        <f>IFERROR(MATCH(179,R_PendSeq,0),"")</f>
        <v/>
      </c>
    </row>
    <row r="210">
      <c r="B210" s="172" t="str">
        <f>IF($O210="","",INDEX(R_ID,$O210))</f>
        <v/>
      </c>
      <c r="C210" s="126" t="str">
        <f>IF($O210="","",INDEX(R_Fecha,$O210))</f>
        <v/>
      </c>
      <c r="D210" s="95" t="str">
        <f>IF($O210="","",INDEX(R_Proy,$O210)&amp;"")</f>
        <v/>
      </c>
      <c r="E210" s="95" t="str">
        <f>IF($O210="","",INDEX(R_Task,$O210)&amp;"")</f>
        <v/>
      </c>
      <c r="F210" s="173" t="str">
        <f>IF($O210="","",INDEX(R_Desc,$O210)&amp;"")</f>
        <v/>
      </c>
      <c r="G210" s="127" t="str">
        <f>IF($O210="","",INDEX(R_Hval,$O210))</f>
        <v/>
      </c>
      <c r="H210" s="172" t="str">
        <f>IF($O210="","",INDEX(R_BlkV,$O210))</f>
        <v/>
      </c>
      <c r="I210" s="95" t="str">
        <f>IF($O210="","",INDEX(R_St,$O210))</f>
        <v/>
      </c>
      <c r="J210" s="126" t="str">
        <f>IF($O210="","",IF(INDEX(R_FEnv,$O210)="","",INDEX(R_FEnv,$O210)))</f>
        <v/>
      </c>
      <c r="K210" s="126" t="str">
        <f>IF($O210="","",IF(INDEX(R_FApr,$O210)="","",INDEX(R_FApr,$O210)))</f>
        <v/>
      </c>
      <c r="L210" s="172" t="str">
        <f>IF($O210="","",IF(INDEX(R_Age,$O210)="","",INDEX(R_Age,$O210)))</f>
        <v/>
      </c>
      <c r="M210" s="173" t="str">
        <f>IF($O210="","",INDEX(R_Alert,$O210)&amp;"")</f>
        <v/>
      </c>
      <c r="O210" t="str">
        <f>IFERROR(MATCH(180,R_PendSeq,0),"")</f>
        <v/>
      </c>
    </row>
    <row r="211">
      <c r="B211" s="172" t="str">
        <f>IF($O211="","",INDEX(R_ID,$O211))</f>
        <v/>
      </c>
      <c r="C211" s="126" t="str">
        <f>IF($O211="","",INDEX(R_Fecha,$O211))</f>
        <v/>
      </c>
      <c r="D211" s="95" t="str">
        <f>IF($O211="","",INDEX(R_Proy,$O211)&amp;"")</f>
        <v/>
      </c>
      <c r="E211" s="95" t="str">
        <f>IF($O211="","",INDEX(R_Task,$O211)&amp;"")</f>
        <v/>
      </c>
      <c r="F211" s="173" t="str">
        <f>IF($O211="","",INDEX(R_Desc,$O211)&amp;"")</f>
        <v/>
      </c>
      <c r="G211" s="127" t="str">
        <f>IF($O211="","",INDEX(R_Hval,$O211))</f>
        <v/>
      </c>
      <c r="H211" s="172" t="str">
        <f>IF($O211="","",INDEX(R_BlkV,$O211))</f>
        <v/>
      </c>
      <c r="I211" s="95" t="str">
        <f>IF($O211="","",INDEX(R_St,$O211))</f>
        <v/>
      </c>
      <c r="J211" s="126" t="str">
        <f>IF($O211="","",IF(INDEX(R_FEnv,$O211)="","",INDEX(R_FEnv,$O211)))</f>
        <v/>
      </c>
      <c r="K211" s="126" t="str">
        <f>IF($O211="","",IF(INDEX(R_FApr,$O211)="","",INDEX(R_FApr,$O211)))</f>
        <v/>
      </c>
      <c r="L211" s="172" t="str">
        <f>IF($O211="","",IF(INDEX(R_Age,$O211)="","",INDEX(R_Age,$O211)))</f>
        <v/>
      </c>
      <c r="M211" s="173" t="str">
        <f>IF($O211="","",INDEX(R_Alert,$O211)&amp;"")</f>
        <v/>
      </c>
      <c r="O211" t="str">
        <f>IFERROR(MATCH(181,R_PendSeq,0),"")</f>
        <v/>
      </c>
    </row>
    <row r="212">
      <c r="B212" s="172" t="str">
        <f>IF($O212="","",INDEX(R_ID,$O212))</f>
        <v/>
      </c>
      <c r="C212" s="126" t="str">
        <f>IF($O212="","",INDEX(R_Fecha,$O212))</f>
        <v/>
      </c>
      <c r="D212" s="95" t="str">
        <f>IF($O212="","",INDEX(R_Proy,$O212)&amp;"")</f>
        <v/>
      </c>
      <c r="E212" s="95" t="str">
        <f>IF($O212="","",INDEX(R_Task,$O212)&amp;"")</f>
        <v/>
      </c>
      <c r="F212" s="173" t="str">
        <f>IF($O212="","",INDEX(R_Desc,$O212)&amp;"")</f>
        <v/>
      </c>
      <c r="G212" s="127" t="str">
        <f>IF($O212="","",INDEX(R_Hval,$O212))</f>
        <v/>
      </c>
      <c r="H212" s="172" t="str">
        <f>IF($O212="","",INDEX(R_BlkV,$O212))</f>
        <v/>
      </c>
      <c r="I212" s="95" t="str">
        <f>IF($O212="","",INDEX(R_St,$O212))</f>
        <v/>
      </c>
      <c r="J212" s="126" t="str">
        <f>IF($O212="","",IF(INDEX(R_FEnv,$O212)="","",INDEX(R_FEnv,$O212)))</f>
        <v/>
      </c>
      <c r="K212" s="126" t="str">
        <f>IF($O212="","",IF(INDEX(R_FApr,$O212)="","",INDEX(R_FApr,$O212)))</f>
        <v/>
      </c>
      <c r="L212" s="172" t="str">
        <f>IF($O212="","",IF(INDEX(R_Age,$O212)="","",INDEX(R_Age,$O212)))</f>
        <v/>
      </c>
      <c r="M212" s="173" t="str">
        <f>IF($O212="","",INDEX(R_Alert,$O212)&amp;"")</f>
        <v/>
      </c>
      <c r="O212" t="str">
        <f>IFERROR(MATCH(182,R_PendSeq,0),"")</f>
        <v/>
      </c>
    </row>
    <row r="213">
      <c r="B213" s="172" t="str">
        <f>IF($O213="","",INDEX(R_ID,$O213))</f>
        <v/>
      </c>
      <c r="C213" s="126" t="str">
        <f>IF($O213="","",INDEX(R_Fecha,$O213))</f>
        <v/>
      </c>
      <c r="D213" s="95" t="str">
        <f>IF($O213="","",INDEX(R_Proy,$O213)&amp;"")</f>
        <v/>
      </c>
      <c r="E213" s="95" t="str">
        <f>IF($O213="","",INDEX(R_Task,$O213)&amp;"")</f>
        <v/>
      </c>
      <c r="F213" s="173" t="str">
        <f>IF($O213="","",INDEX(R_Desc,$O213)&amp;"")</f>
        <v/>
      </c>
      <c r="G213" s="127" t="str">
        <f>IF($O213="","",INDEX(R_Hval,$O213))</f>
        <v/>
      </c>
      <c r="H213" s="172" t="str">
        <f>IF($O213="","",INDEX(R_BlkV,$O213))</f>
        <v/>
      </c>
      <c r="I213" s="95" t="str">
        <f>IF($O213="","",INDEX(R_St,$O213))</f>
        <v/>
      </c>
      <c r="J213" s="126" t="str">
        <f>IF($O213="","",IF(INDEX(R_FEnv,$O213)="","",INDEX(R_FEnv,$O213)))</f>
        <v/>
      </c>
      <c r="K213" s="126" t="str">
        <f>IF($O213="","",IF(INDEX(R_FApr,$O213)="","",INDEX(R_FApr,$O213)))</f>
        <v/>
      </c>
      <c r="L213" s="172" t="str">
        <f>IF($O213="","",IF(INDEX(R_Age,$O213)="","",INDEX(R_Age,$O213)))</f>
        <v/>
      </c>
      <c r="M213" s="173" t="str">
        <f>IF($O213="","",INDEX(R_Alert,$O213)&amp;"")</f>
        <v/>
      </c>
      <c r="O213" t="str">
        <f>IFERROR(MATCH(183,R_PendSeq,0),"")</f>
        <v/>
      </c>
    </row>
    <row r="214">
      <c r="B214" s="172" t="str">
        <f>IF($O214="","",INDEX(R_ID,$O214))</f>
        <v/>
      </c>
      <c r="C214" s="126" t="str">
        <f>IF($O214="","",INDEX(R_Fecha,$O214))</f>
        <v/>
      </c>
      <c r="D214" s="95" t="str">
        <f>IF($O214="","",INDEX(R_Proy,$O214)&amp;"")</f>
        <v/>
      </c>
      <c r="E214" s="95" t="str">
        <f>IF($O214="","",INDEX(R_Task,$O214)&amp;"")</f>
        <v/>
      </c>
      <c r="F214" s="173" t="str">
        <f>IF($O214="","",INDEX(R_Desc,$O214)&amp;"")</f>
        <v/>
      </c>
      <c r="G214" s="127" t="str">
        <f>IF($O214="","",INDEX(R_Hval,$O214))</f>
        <v/>
      </c>
      <c r="H214" s="172" t="str">
        <f>IF($O214="","",INDEX(R_BlkV,$O214))</f>
        <v/>
      </c>
      <c r="I214" s="95" t="str">
        <f>IF($O214="","",INDEX(R_St,$O214))</f>
        <v/>
      </c>
      <c r="J214" s="126" t="str">
        <f>IF($O214="","",IF(INDEX(R_FEnv,$O214)="","",INDEX(R_FEnv,$O214)))</f>
        <v/>
      </c>
      <c r="K214" s="126" t="str">
        <f>IF($O214="","",IF(INDEX(R_FApr,$O214)="","",INDEX(R_FApr,$O214)))</f>
        <v/>
      </c>
      <c r="L214" s="172" t="str">
        <f>IF($O214="","",IF(INDEX(R_Age,$O214)="","",INDEX(R_Age,$O214)))</f>
        <v/>
      </c>
      <c r="M214" s="173" t="str">
        <f>IF($O214="","",INDEX(R_Alert,$O214)&amp;"")</f>
        <v/>
      </c>
      <c r="O214" t="str">
        <f>IFERROR(MATCH(184,R_PendSeq,0),"")</f>
        <v/>
      </c>
    </row>
    <row r="215">
      <c r="B215" s="172" t="str">
        <f>IF($O215="","",INDEX(R_ID,$O215))</f>
        <v/>
      </c>
      <c r="C215" s="126" t="str">
        <f>IF($O215="","",INDEX(R_Fecha,$O215))</f>
        <v/>
      </c>
      <c r="D215" s="95" t="str">
        <f>IF($O215="","",INDEX(R_Proy,$O215)&amp;"")</f>
        <v/>
      </c>
      <c r="E215" s="95" t="str">
        <f>IF($O215="","",INDEX(R_Task,$O215)&amp;"")</f>
        <v/>
      </c>
      <c r="F215" s="173" t="str">
        <f>IF($O215="","",INDEX(R_Desc,$O215)&amp;"")</f>
        <v/>
      </c>
      <c r="G215" s="127" t="str">
        <f>IF($O215="","",INDEX(R_Hval,$O215))</f>
        <v/>
      </c>
      <c r="H215" s="172" t="str">
        <f>IF($O215="","",INDEX(R_BlkV,$O215))</f>
        <v/>
      </c>
      <c r="I215" s="95" t="str">
        <f>IF($O215="","",INDEX(R_St,$O215))</f>
        <v/>
      </c>
      <c r="J215" s="126" t="str">
        <f>IF($O215="","",IF(INDEX(R_FEnv,$O215)="","",INDEX(R_FEnv,$O215)))</f>
        <v/>
      </c>
      <c r="K215" s="126" t="str">
        <f>IF($O215="","",IF(INDEX(R_FApr,$O215)="","",INDEX(R_FApr,$O215)))</f>
        <v/>
      </c>
      <c r="L215" s="172" t="str">
        <f>IF($O215="","",IF(INDEX(R_Age,$O215)="","",INDEX(R_Age,$O215)))</f>
        <v/>
      </c>
      <c r="M215" s="173" t="str">
        <f>IF($O215="","",INDEX(R_Alert,$O215)&amp;"")</f>
        <v/>
      </c>
      <c r="O215" t="str">
        <f>IFERROR(MATCH(185,R_PendSeq,0),"")</f>
        <v/>
      </c>
    </row>
    <row r="216">
      <c r="B216" s="172" t="str">
        <f>IF($O216="","",INDEX(R_ID,$O216))</f>
        <v/>
      </c>
      <c r="C216" s="126" t="str">
        <f>IF($O216="","",INDEX(R_Fecha,$O216))</f>
        <v/>
      </c>
      <c r="D216" s="95" t="str">
        <f>IF($O216="","",INDEX(R_Proy,$O216)&amp;"")</f>
        <v/>
      </c>
      <c r="E216" s="95" t="str">
        <f>IF($O216="","",INDEX(R_Task,$O216)&amp;"")</f>
        <v/>
      </c>
      <c r="F216" s="173" t="str">
        <f>IF($O216="","",INDEX(R_Desc,$O216)&amp;"")</f>
        <v/>
      </c>
      <c r="G216" s="127" t="str">
        <f>IF($O216="","",INDEX(R_Hval,$O216))</f>
        <v/>
      </c>
      <c r="H216" s="172" t="str">
        <f>IF($O216="","",INDEX(R_BlkV,$O216))</f>
        <v/>
      </c>
      <c r="I216" s="95" t="str">
        <f>IF($O216="","",INDEX(R_St,$O216))</f>
        <v/>
      </c>
      <c r="J216" s="126" t="str">
        <f>IF($O216="","",IF(INDEX(R_FEnv,$O216)="","",INDEX(R_FEnv,$O216)))</f>
        <v/>
      </c>
      <c r="K216" s="126" t="str">
        <f>IF($O216="","",IF(INDEX(R_FApr,$O216)="","",INDEX(R_FApr,$O216)))</f>
        <v/>
      </c>
      <c r="L216" s="172" t="str">
        <f>IF($O216="","",IF(INDEX(R_Age,$O216)="","",INDEX(R_Age,$O216)))</f>
        <v/>
      </c>
      <c r="M216" s="173" t="str">
        <f>IF($O216="","",INDEX(R_Alert,$O216)&amp;"")</f>
        <v/>
      </c>
      <c r="O216" t="str">
        <f>IFERROR(MATCH(186,R_PendSeq,0),"")</f>
        <v/>
      </c>
    </row>
    <row r="217">
      <c r="B217" s="172" t="str">
        <f>IF($O217="","",INDEX(R_ID,$O217))</f>
        <v/>
      </c>
      <c r="C217" s="126" t="str">
        <f>IF($O217="","",INDEX(R_Fecha,$O217))</f>
        <v/>
      </c>
      <c r="D217" s="95" t="str">
        <f>IF($O217="","",INDEX(R_Proy,$O217)&amp;"")</f>
        <v/>
      </c>
      <c r="E217" s="95" t="str">
        <f>IF($O217="","",INDEX(R_Task,$O217)&amp;"")</f>
        <v/>
      </c>
      <c r="F217" s="173" t="str">
        <f>IF($O217="","",INDEX(R_Desc,$O217)&amp;"")</f>
        <v/>
      </c>
      <c r="G217" s="127" t="str">
        <f>IF($O217="","",INDEX(R_Hval,$O217))</f>
        <v/>
      </c>
      <c r="H217" s="172" t="str">
        <f>IF($O217="","",INDEX(R_BlkV,$O217))</f>
        <v/>
      </c>
      <c r="I217" s="95" t="str">
        <f>IF($O217="","",INDEX(R_St,$O217))</f>
        <v/>
      </c>
      <c r="J217" s="126" t="str">
        <f>IF($O217="","",IF(INDEX(R_FEnv,$O217)="","",INDEX(R_FEnv,$O217)))</f>
        <v/>
      </c>
      <c r="K217" s="126" t="str">
        <f>IF($O217="","",IF(INDEX(R_FApr,$O217)="","",INDEX(R_FApr,$O217)))</f>
        <v/>
      </c>
      <c r="L217" s="172" t="str">
        <f>IF($O217="","",IF(INDEX(R_Age,$O217)="","",INDEX(R_Age,$O217)))</f>
        <v/>
      </c>
      <c r="M217" s="173" t="str">
        <f>IF($O217="","",INDEX(R_Alert,$O217)&amp;"")</f>
        <v/>
      </c>
      <c r="O217" t="str">
        <f>IFERROR(MATCH(187,R_PendSeq,0),"")</f>
        <v/>
      </c>
    </row>
    <row r="218">
      <c r="B218" s="172" t="str">
        <f>IF($O218="","",INDEX(R_ID,$O218))</f>
        <v/>
      </c>
      <c r="C218" s="126" t="str">
        <f>IF($O218="","",INDEX(R_Fecha,$O218))</f>
        <v/>
      </c>
      <c r="D218" s="95" t="str">
        <f>IF($O218="","",INDEX(R_Proy,$O218)&amp;"")</f>
        <v/>
      </c>
      <c r="E218" s="95" t="str">
        <f>IF($O218="","",INDEX(R_Task,$O218)&amp;"")</f>
        <v/>
      </c>
      <c r="F218" s="173" t="str">
        <f>IF($O218="","",INDEX(R_Desc,$O218)&amp;"")</f>
        <v/>
      </c>
      <c r="G218" s="127" t="str">
        <f>IF($O218="","",INDEX(R_Hval,$O218))</f>
        <v/>
      </c>
      <c r="H218" s="172" t="str">
        <f>IF($O218="","",INDEX(R_BlkV,$O218))</f>
        <v/>
      </c>
      <c r="I218" s="95" t="str">
        <f>IF($O218="","",INDEX(R_St,$O218))</f>
        <v/>
      </c>
      <c r="J218" s="126" t="str">
        <f>IF($O218="","",IF(INDEX(R_FEnv,$O218)="","",INDEX(R_FEnv,$O218)))</f>
        <v/>
      </c>
      <c r="K218" s="126" t="str">
        <f>IF($O218="","",IF(INDEX(R_FApr,$O218)="","",INDEX(R_FApr,$O218)))</f>
        <v/>
      </c>
      <c r="L218" s="172" t="str">
        <f>IF($O218="","",IF(INDEX(R_Age,$O218)="","",INDEX(R_Age,$O218)))</f>
        <v/>
      </c>
      <c r="M218" s="173" t="str">
        <f>IF($O218="","",INDEX(R_Alert,$O218)&amp;"")</f>
        <v/>
      </c>
      <c r="O218" t="str">
        <f>IFERROR(MATCH(188,R_PendSeq,0),"")</f>
        <v/>
      </c>
    </row>
    <row r="219">
      <c r="B219" s="172" t="str">
        <f>IF($O219="","",INDEX(R_ID,$O219))</f>
        <v/>
      </c>
      <c r="C219" s="126" t="str">
        <f>IF($O219="","",INDEX(R_Fecha,$O219))</f>
        <v/>
      </c>
      <c r="D219" s="95" t="str">
        <f>IF($O219="","",INDEX(R_Proy,$O219)&amp;"")</f>
        <v/>
      </c>
      <c r="E219" s="95" t="str">
        <f>IF($O219="","",INDEX(R_Task,$O219)&amp;"")</f>
        <v/>
      </c>
      <c r="F219" s="173" t="str">
        <f>IF($O219="","",INDEX(R_Desc,$O219)&amp;"")</f>
        <v/>
      </c>
      <c r="G219" s="127" t="str">
        <f>IF($O219="","",INDEX(R_Hval,$O219))</f>
        <v/>
      </c>
      <c r="H219" s="172" t="str">
        <f>IF($O219="","",INDEX(R_BlkV,$O219))</f>
        <v/>
      </c>
      <c r="I219" s="95" t="str">
        <f>IF($O219="","",INDEX(R_St,$O219))</f>
        <v/>
      </c>
      <c r="J219" s="126" t="str">
        <f>IF($O219="","",IF(INDEX(R_FEnv,$O219)="","",INDEX(R_FEnv,$O219)))</f>
        <v/>
      </c>
      <c r="K219" s="126" t="str">
        <f>IF($O219="","",IF(INDEX(R_FApr,$O219)="","",INDEX(R_FApr,$O219)))</f>
        <v/>
      </c>
      <c r="L219" s="172" t="str">
        <f>IF($O219="","",IF(INDEX(R_Age,$O219)="","",INDEX(R_Age,$O219)))</f>
        <v/>
      </c>
      <c r="M219" s="173" t="str">
        <f>IF($O219="","",INDEX(R_Alert,$O219)&amp;"")</f>
        <v/>
      </c>
      <c r="O219" t="str">
        <f>IFERROR(MATCH(189,R_PendSeq,0),"")</f>
        <v/>
      </c>
    </row>
    <row r="220">
      <c r="B220" s="172" t="str">
        <f>IF($O220="","",INDEX(R_ID,$O220))</f>
        <v/>
      </c>
      <c r="C220" s="126" t="str">
        <f>IF($O220="","",INDEX(R_Fecha,$O220))</f>
        <v/>
      </c>
      <c r="D220" s="95" t="str">
        <f>IF($O220="","",INDEX(R_Proy,$O220)&amp;"")</f>
        <v/>
      </c>
      <c r="E220" s="95" t="str">
        <f>IF($O220="","",INDEX(R_Task,$O220)&amp;"")</f>
        <v/>
      </c>
      <c r="F220" s="173" t="str">
        <f>IF($O220="","",INDEX(R_Desc,$O220)&amp;"")</f>
        <v/>
      </c>
      <c r="G220" s="127" t="str">
        <f>IF($O220="","",INDEX(R_Hval,$O220))</f>
        <v/>
      </c>
      <c r="H220" s="172" t="str">
        <f>IF($O220="","",INDEX(R_BlkV,$O220))</f>
        <v/>
      </c>
      <c r="I220" s="95" t="str">
        <f>IF($O220="","",INDEX(R_St,$O220))</f>
        <v/>
      </c>
      <c r="J220" s="126" t="str">
        <f>IF($O220="","",IF(INDEX(R_FEnv,$O220)="","",INDEX(R_FEnv,$O220)))</f>
        <v/>
      </c>
      <c r="K220" s="126" t="str">
        <f>IF($O220="","",IF(INDEX(R_FApr,$O220)="","",INDEX(R_FApr,$O220)))</f>
        <v/>
      </c>
      <c r="L220" s="172" t="str">
        <f>IF($O220="","",IF(INDEX(R_Age,$O220)="","",INDEX(R_Age,$O220)))</f>
        <v/>
      </c>
      <c r="M220" s="173" t="str">
        <f>IF($O220="","",INDEX(R_Alert,$O220)&amp;"")</f>
        <v/>
      </c>
      <c r="O220" t="str">
        <f>IFERROR(MATCH(190,R_PendSeq,0),"")</f>
        <v/>
      </c>
    </row>
    <row r="221">
      <c r="B221" s="172" t="str">
        <f>IF($O221="","",INDEX(R_ID,$O221))</f>
        <v/>
      </c>
      <c r="C221" s="126" t="str">
        <f>IF($O221="","",INDEX(R_Fecha,$O221))</f>
        <v/>
      </c>
      <c r="D221" s="95" t="str">
        <f>IF($O221="","",INDEX(R_Proy,$O221)&amp;"")</f>
        <v/>
      </c>
      <c r="E221" s="95" t="str">
        <f>IF($O221="","",INDEX(R_Task,$O221)&amp;"")</f>
        <v/>
      </c>
      <c r="F221" s="173" t="str">
        <f>IF($O221="","",INDEX(R_Desc,$O221)&amp;"")</f>
        <v/>
      </c>
      <c r="G221" s="127" t="str">
        <f>IF($O221="","",INDEX(R_Hval,$O221))</f>
        <v/>
      </c>
      <c r="H221" s="172" t="str">
        <f>IF($O221="","",INDEX(R_BlkV,$O221))</f>
        <v/>
      </c>
      <c r="I221" s="95" t="str">
        <f>IF($O221="","",INDEX(R_St,$O221))</f>
        <v/>
      </c>
      <c r="J221" s="126" t="str">
        <f>IF($O221="","",IF(INDEX(R_FEnv,$O221)="","",INDEX(R_FEnv,$O221)))</f>
        <v/>
      </c>
      <c r="K221" s="126" t="str">
        <f>IF($O221="","",IF(INDEX(R_FApr,$O221)="","",INDEX(R_FApr,$O221)))</f>
        <v/>
      </c>
      <c r="L221" s="172" t="str">
        <f>IF($O221="","",IF(INDEX(R_Age,$O221)="","",INDEX(R_Age,$O221)))</f>
        <v/>
      </c>
      <c r="M221" s="173" t="str">
        <f>IF($O221="","",INDEX(R_Alert,$O221)&amp;"")</f>
        <v/>
      </c>
      <c r="O221" t="str">
        <f>IFERROR(MATCH(191,R_PendSeq,0),"")</f>
        <v/>
      </c>
    </row>
    <row r="222">
      <c r="B222" s="172" t="str">
        <f>IF($O222="","",INDEX(R_ID,$O222))</f>
        <v/>
      </c>
      <c r="C222" s="126" t="str">
        <f>IF($O222="","",INDEX(R_Fecha,$O222))</f>
        <v/>
      </c>
      <c r="D222" s="95" t="str">
        <f>IF($O222="","",INDEX(R_Proy,$O222)&amp;"")</f>
        <v/>
      </c>
      <c r="E222" s="95" t="str">
        <f>IF($O222="","",INDEX(R_Task,$O222)&amp;"")</f>
        <v/>
      </c>
      <c r="F222" s="173" t="str">
        <f>IF($O222="","",INDEX(R_Desc,$O222)&amp;"")</f>
        <v/>
      </c>
      <c r="G222" s="127" t="str">
        <f>IF($O222="","",INDEX(R_Hval,$O222))</f>
        <v/>
      </c>
      <c r="H222" s="172" t="str">
        <f>IF($O222="","",INDEX(R_BlkV,$O222))</f>
        <v/>
      </c>
      <c r="I222" s="95" t="str">
        <f>IF($O222="","",INDEX(R_St,$O222))</f>
        <v/>
      </c>
      <c r="J222" s="126" t="str">
        <f>IF($O222="","",IF(INDEX(R_FEnv,$O222)="","",INDEX(R_FEnv,$O222)))</f>
        <v/>
      </c>
      <c r="K222" s="126" t="str">
        <f>IF($O222="","",IF(INDEX(R_FApr,$O222)="","",INDEX(R_FApr,$O222)))</f>
        <v/>
      </c>
      <c r="L222" s="172" t="str">
        <f>IF($O222="","",IF(INDEX(R_Age,$O222)="","",INDEX(R_Age,$O222)))</f>
        <v/>
      </c>
      <c r="M222" s="173" t="str">
        <f>IF($O222="","",INDEX(R_Alert,$O222)&amp;"")</f>
        <v/>
      </c>
      <c r="O222" t="str">
        <f>IFERROR(MATCH(192,R_PendSeq,0),"")</f>
        <v/>
      </c>
    </row>
    <row r="223">
      <c r="B223" s="172" t="str">
        <f>IF($O223="","",INDEX(R_ID,$O223))</f>
        <v/>
      </c>
      <c r="C223" s="126" t="str">
        <f>IF($O223="","",INDEX(R_Fecha,$O223))</f>
        <v/>
      </c>
      <c r="D223" s="95" t="str">
        <f>IF($O223="","",INDEX(R_Proy,$O223)&amp;"")</f>
        <v/>
      </c>
      <c r="E223" s="95" t="str">
        <f>IF($O223="","",INDEX(R_Task,$O223)&amp;"")</f>
        <v/>
      </c>
      <c r="F223" s="173" t="str">
        <f>IF($O223="","",INDEX(R_Desc,$O223)&amp;"")</f>
        <v/>
      </c>
      <c r="G223" s="127" t="str">
        <f>IF($O223="","",INDEX(R_Hval,$O223))</f>
        <v/>
      </c>
      <c r="H223" s="172" t="str">
        <f>IF($O223="","",INDEX(R_BlkV,$O223))</f>
        <v/>
      </c>
      <c r="I223" s="95" t="str">
        <f>IF($O223="","",INDEX(R_St,$O223))</f>
        <v/>
      </c>
      <c r="J223" s="126" t="str">
        <f>IF($O223="","",IF(INDEX(R_FEnv,$O223)="","",INDEX(R_FEnv,$O223)))</f>
        <v/>
      </c>
      <c r="K223" s="126" t="str">
        <f>IF($O223="","",IF(INDEX(R_FApr,$O223)="","",INDEX(R_FApr,$O223)))</f>
        <v/>
      </c>
      <c r="L223" s="172" t="str">
        <f>IF($O223="","",IF(INDEX(R_Age,$O223)="","",INDEX(R_Age,$O223)))</f>
        <v/>
      </c>
      <c r="M223" s="173" t="str">
        <f>IF($O223="","",INDEX(R_Alert,$O223)&amp;"")</f>
        <v/>
      </c>
      <c r="O223" t="str">
        <f>IFERROR(MATCH(193,R_PendSeq,0),"")</f>
        <v/>
      </c>
    </row>
    <row r="224">
      <c r="B224" s="172" t="str">
        <f>IF($O224="","",INDEX(R_ID,$O224))</f>
        <v/>
      </c>
      <c r="C224" s="126" t="str">
        <f>IF($O224="","",INDEX(R_Fecha,$O224))</f>
        <v/>
      </c>
      <c r="D224" s="95" t="str">
        <f>IF($O224="","",INDEX(R_Proy,$O224)&amp;"")</f>
        <v/>
      </c>
      <c r="E224" s="95" t="str">
        <f>IF($O224="","",INDEX(R_Task,$O224)&amp;"")</f>
        <v/>
      </c>
      <c r="F224" s="173" t="str">
        <f>IF($O224="","",INDEX(R_Desc,$O224)&amp;"")</f>
        <v/>
      </c>
      <c r="G224" s="127" t="str">
        <f>IF($O224="","",INDEX(R_Hval,$O224))</f>
        <v/>
      </c>
      <c r="H224" s="172" t="str">
        <f>IF($O224="","",INDEX(R_BlkV,$O224))</f>
        <v/>
      </c>
      <c r="I224" s="95" t="str">
        <f>IF($O224="","",INDEX(R_St,$O224))</f>
        <v/>
      </c>
      <c r="J224" s="126" t="str">
        <f>IF($O224="","",IF(INDEX(R_FEnv,$O224)="","",INDEX(R_FEnv,$O224)))</f>
        <v/>
      </c>
      <c r="K224" s="126" t="str">
        <f>IF($O224="","",IF(INDEX(R_FApr,$O224)="","",INDEX(R_FApr,$O224)))</f>
        <v/>
      </c>
      <c r="L224" s="172" t="str">
        <f>IF($O224="","",IF(INDEX(R_Age,$O224)="","",INDEX(R_Age,$O224)))</f>
        <v/>
      </c>
      <c r="M224" s="173" t="str">
        <f>IF($O224="","",INDEX(R_Alert,$O224)&amp;"")</f>
        <v/>
      </c>
      <c r="O224" t="str">
        <f>IFERROR(MATCH(194,R_PendSeq,0),"")</f>
        <v/>
      </c>
    </row>
    <row r="225">
      <c r="B225" s="172" t="str">
        <f>IF($O225="","",INDEX(R_ID,$O225))</f>
        <v/>
      </c>
      <c r="C225" s="126" t="str">
        <f>IF($O225="","",INDEX(R_Fecha,$O225))</f>
        <v/>
      </c>
      <c r="D225" s="95" t="str">
        <f>IF($O225="","",INDEX(R_Proy,$O225)&amp;"")</f>
        <v/>
      </c>
      <c r="E225" s="95" t="str">
        <f>IF($O225="","",INDEX(R_Task,$O225)&amp;"")</f>
        <v/>
      </c>
      <c r="F225" s="173" t="str">
        <f>IF($O225="","",INDEX(R_Desc,$O225)&amp;"")</f>
        <v/>
      </c>
      <c r="G225" s="127" t="str">
        <f>IF($O225="","",INDEX(R_Hval,$O225))</f>
        <v/>
      </c>
      <c r="H225" s="172" t="str">
        <f>IF($O225="","",INDEX(R_BlkV,$O225))</f>
        <v/>
      </c>
      <c r="I225" s="95" t="str">
        <f>IF($O225="","",INDEX(R_St,$O225))</f>
        <v/>
      </c>
      <c r="J225" s="126" t="str">
        <f>IF($O225="","",IF(INDEX(R_FEnv,$O225)="","",INDEX(R_FEnv,$O225)))</f>
        <v/>
      </c>
      <c r="K225" s="126" t="str">
        <f>IF($O225="","",IF(INDEX(R_FApr,$O225)="","",INDEX(R_FApr,$O225)))</f>
        <v/>
      </c>
      <c r="L225" s="172" t="str">
        <f>IF($O225="","",IF(INDEX(R_Age,$O225)="","",INDEX(R_Age,$O225)))</f>
        <v/>
      </c>
      <c r="M225" s="173" t="str">
        <f>IF($O225="","",INDEX(R_Alert,$O225)&amp;"")</f>
        <v/>
      </c>
      <c r="O225" t="str">
        <f>IFERROR(MATCH(195,R_PendSeq,0),"")</f>
        <v/>
      </c>
    </row>
    <row r="226">
      <c r="B226" s="172" t="str">
        <f>IF($O226="","",INDEX(R_ID,$O226))</f>
        <v/>
      </c>
      <c r="C226" s="126" t="str">
        <f>IF($O226="","",INDEX(R_Fecha,$O226))</f>
        <v/>
      </c>
      <c r="D226" s="95" t="str">
        <f>IF($O226="","",INDEX(R_Proy,$O226)&amp;"")</f>
        <v/>
      </c>
      <c r="E226" s="95" t="str">
        <f>IF($O226="","",INDEX(R_Task,$O226)&amp;"")</f>
        <v/>
      </c>
      <c r="F226" s="173" t="str">
        <f>IF($O226="","",INDEX(R_Desc,$O226)&amp;"")</f>
        <v/>
      </c>
      <c r="G226" s="127" t="str">
        <f>IF($O226="","",INDEX(R_Hval,$O226))</f>
        <v/>
      </c>
      <c r="H226" s="172" t="str">
        <f>IF($O226="","",INDEX(R_BlkV,$O226))</f>
        <v/>
      </c>
      <c r="I226" s="95" t="str">
        <f>IF($O226="","",INDEX(R_St,$O226))</f>
        <v/>
      </c>
      <c r="J226" s="126" t="str">
        <f>IF($O226="","",IF(INDEX(R_FEnv,$O226)="","",INDEX(R_FEnv,$O226)))</f>
        <v/>
      </c>
      <c r="K226" s="126" t="str">
        <f>IF($O226="","",IF(INDEX(R_FApr,$O226)="","",INDEX(R_FApr,$O226)))</f>
        <v/>
      </c>
      <c r="L226" s="172" t="str">
        <f>IF($O226="","",IF(INDEX(R_Age,$O226)="","",INDEX(R_Age,$O226)))</f>
        <v/>
      </c>
      <c r="M226" s="173" t="str">
        <f>IF($O226="","",INDEX(R_Alert,$O226)&amp;"")</f>
        <v/>
      </c>
      <c r="O226" t="str">
        <f>IFERROR(MATCH(196,R_PendSeq,0),"")</f>
        <v/>
      </c>
    </row>
    <row r="227">
      <c r="B227" s="172" t="str">
        <f>IF($O227="","",INDEX(R_ID,$O227))</f>
        <v/>
      </c>
      <c r="C227" s="126" t="str">
        <f>IF($O227="","",INDEX(R_Fecha,$O227))</f>
        <v/>
      </c>
      <c r="D227" s="95" t="str">
        <f>IF($O227="","",INDEX(R_Proy,$O227)&amp;"")</f>
        <v/>
      </c>
      <c r="E227" s="95" t="str">
        <f>IF($O227="","",INDEX(R_Task,$O227)&amp;"")</f>
        <v/>
      </c>
      <c r="F227" s="173" t="str">
        <f>IF($O227="","",INDEX(R_Desc,$O227)&amp;"")</f>
        <v/>
      </c>
      <c r="G227" s="127" t="str">
        <f>IF($O227="","",INDEX(R_Hval,$O227))</f>
        <v/>
      </c>
      <c r="H227" s="172" t="str">
        <f>IF($O227="","",INDEX(R_BlkV,$O227))</f>
        <v/>
      </c>
      <c r="I227" s="95" t="str">
        <f>IF($O227="","",INDEX(R_St,$O227))</f>
        <v/>
      </c>
      <c r="J227" s="126" t="str">
        <f>IF($O227="","",IF(INDEX(R_FEnv,$O227)="","",INDEX(R_FEnv,$O227)))</f>
        <v/>
      </c>
      <c r="K227" s="126" t="str">
        <f>IF($O227="","",IF(INDEX(R_FApr,$O227)="","",INDEX(R_FApr,$O227)))</f>
        <v/>
      </c>
      <c r="L227" s="172" t="str">
        <f>IF($O227="","",IF(INDEX(R_Age,$O227)="","",INDEX(R_Age,$O227)))</f>
        <v/>
      </c>
      <c r="M227" s="173" t="str">
        <f>IF($O227="","",INDEX(R_Alert,$O227)&amp;"")</f>
        <v/>
      </c>
      <c r="O227" t="str">
        <f>IFERROR(MATCH(197,R_PendSeq,0),"")</f>
        <v/>
      </c>
    </row>
    <row r="228">
      <c r="B228" s="172" t="str">
        <f>IF($O228="","",INDEX(R_ID,$O228))</f>
        <v/>
      </c>
      <c r="C228" s="126" t="str">
        <f>IF($O228="","",INDEX(R_Fecha,$O228))</f>
        <v/>
      </c>
      <c r="D228" s="95" t="str">
        <f>IF($O228="","",INDEX(R_Proy,$O228)&amp;"")</f>
        <v/>
      </c>
      <c r="E228" s="95" t="str">
        <f>IF($O228="","",INDEX(R_Task,$O228)&amp;"")</f>
        <v/>
      </c>
      <c r="F228" s="173" t="str">
        <f>IF($O228="","",INDEX(R_Desc,$O228)&amp;"")</f>
        <v/>
      </c>
      <c r="G228" s="127" t="str">
        <f>IF($O228="","",INDEX(R_Hval,$O228))</f>
        <v/>
      </c>
      <c r="H228" s="172" t="str">
        <f>IF($O228="","",INDEX(R_BlkV,$O228))</f>
        <v/>
      </c>
      <c r="I228" s="95" t="str">
        <f>IF($O228="","",INDEX(R_St,$O228))</f>
        <v/>
      </c>
      <c r="J228" s="126" t="str">
        <f>IF($O228="","",IF(INDEX(R_FEnv,$O228)="","",INDEX(R_FEnv,$O228)))</f>
        <v/>
      </c>
      <c r="K228" s="126" t="str">
        <f>IF($O228="","",IF(INDEX(R_FApr,$O228)="","",INDEX(R_FApr,$O228)))</f>
        <v/>
      </c>
      <c r="L228" s="172" t="str">
        <f>IF($O228="","",IF(INDEX(R_Age,$O228)="","",INDEX(R_Age,$O228)))</f>
        <v/>
      </c>
      <c r="M228" s="173" t="str">
        <f>IF($O228="","",INDEX(R_Alert,$O228)&amp;"")</f>
        <v/>
      </c>
      <c r="O228" t="str">
        <f>IFERROR(MATCH(198,R_PendSeq,0),"")</f>
        <v/>
      </c>
    </row>
    <row r="229">
      <c r="B229" s="172" t="str">
        <f>IF($O229="","",INDEX(R_ID,$O229))</f>
        <v/>
      </c>
      <c r="C229" s="126" t="str">
        <f>IF($O229="","",INDEX(R_Fecha,$O229))</f>
        <v/>
      </c>
      <c r="D229" s="95" t="str">
        <f>IF($O229="","",INDEX(R_Proy,$O229)&amp;"")</f>
        <v/>
      </c>
      <c r="E229" s="95" t="str">
        <f>IF($O229="","",INDEX(R_Task,$O229)&amp;"")</f>
        <v/>
      </c>
      <c r="F229" s="173" t="str">
        <f>IF($O229="","",INDEX(R_Desc,$O229)&amp;"")</f>
        <v/>
      </c>
      <c r="G229" s="127" t="str">
        <f>IF($O229="","",INDEX(R_Hval,$O229))</f>
        <v/>
      </c>
      <c r="H229" s="172" t="str">
        <f>IF($O229="","",INDEX(R_BlkV,$O229))</f>
        <v/>
      </c>
      <c r="I229" s="95" t="str">
        <f>IF($O229="","",INDEX(R_St,$O229))</f>
        <v/>
      </c>
      <c r="J229" s="126" t="str">
        <f>IF($O229="","",IF(INDEX(R_FEnv,$O229)="","",INDEX(R_FEnv,$O229)))</f>
        <v/>
      </c>
      <c r="K229" s="126" t="str">
        <f>IF($O229="","",IF(INDEX(R_FApr,$O229)="","",INDEX(R_FApr,$O229)))</f>
        <v/>
      </c>
      <c r="L229" s="172" t="str">
        <f>IF($O229="","",IF(INDEX(R_Age,$O229)="","",INDEX(R_Age,$O229)))</f>
        <v/>
      </c>
      <c r="M229" s="173" t="str">
        <f>IF($O229="","",INDEX(R_Alert,$O229)&amp;"")</f>
        <v/>
      </c>
      <c r="O229" t="str">
        <f>IFERROR(MATCH(199,R_PendSeq,0),"")</f>
        <v/>
      </c>
    </row>
    <row r="230">
      <c r="B230" s="172" t="str">
        <f>IF($O230="","",INDEX(R_ID,$O230))</f>
        <v/>
      </c>
      <c r="C230" s="126" t="str">
        <f>IF($O230="","",INDEX(R_Fecha,$O230))</f>
        <v/>
      </c>
      <c r="D230" s="95" t="str">
        <f>IF($O230="","",INDEX(R_Proy,$O230)&amp;"")</f>
        <v/>
      </c>
      <c r="E230" s="95" t="str">
        <f>IF($O230="","",INDEX(R_Task,$O230)&amp;"")</f>
        <v/>
      </c>
      <c r="F230" s="173" t="str">
        <f>IF($O230="","",INDEX(R_Desc,$O230)&amp;"")</f>
        <v/>
      </c>
      <c r="G230" s="127" t="str">
        <f>IF($O230="","",INDEX(R_Hval,$O230))</f>
        <v/>
      </c>
      <c r="H230" s="172" t="str">
        <f>IF($O230="","",INDEX(R_BlkV,$O230))</f>
        <v/>
      </c>
      <c r="I230" s="95" t="str">
        <f>IF($O230="","",INDEX(R_St,$O230))</f>
        <v/>
      </c>
      <c r="J230" s="126" t="str">
        <f>IF($O230="","",IF(INDEX(R_FEnv,$O230)="","",INDEX(R_FEnv,$O230)))</f>
        <v/>
      </c>
      <c r="K230" s="126" t="str">
        <f>IF($O230="","",IF(INDEX(R_FApr,$O230)="","",INDEX(R_FApr,$O230)))</f>
        <v/>
      </c>
      <c r="L230" s="172" t="str">
        <f>IF($O230="","",IF(INDEX(R_Age,$O230)="","",INDEX(R_Age,$O230)))</f>
        <v/>
      </c>
      <c r="M230" s="173" t="str">
        <f>IF($O230="","",INDEX(R_Alert,$O230)&amp;"")</f>
        <v/>
      </c>
      <c r="O230" t="str">
        <f>IFERROR(MATCH(200,R_PendSeq,0),"")</f>
        <v/>
      </c>
    </row>
    <row r="233" ht="22" customHeight="1">
      <c r="B233" s="149" t="inlineStr">
        <is>
          <t>Horas proMX por ticket / Task ID</t>
        </is>
      </c>
      <c r="C233" s="150" t="n"/>
      <c r="D233" s="150" t="n"/>
      <c r="E233" s="150" t="n"/>
      <c r="F233" s="150" t="n"/>
      <c r="G233" s="150" t="n"/>
      <c r="H233" s="150" t="n"/>
      <c r="I233" s="150" t="n"/>
      <c r="J233" s="150" t="n"/>
      <c r="K233" s="150" t="n"/>
      <c r="L233" s="150" t="n"/>
    </row>
    <row r="234" ht="32" customHeight="1">
      <c r="B234" s="151" t="inlineStr">
        <is>
          <t>#</t>
        </is>
      </c>
      <c r="C234" s="151" t="inlineStr">
        <is>
          <t>Task ID</t>
        </is>
      </c>
      <c r="D234" s="151" t="inlineStr">
        <is>
          <t>Proyecto</t>
        </is>
      </c>
      <c r="E234" s="151" t="inlineStr">
        <is>
          <t>Horas válidas</t>
        </is>
      </c>
      <c r="F234" s="151" t="inlineStr">
        <is>
          <t>Bloques</t>
        </is>
      </c>
      <c r="G234" s="151" t="inlineStr">
        <is>
          <t>Approved (h)</t>
        </is>
      </c>
      <c r="H234" s="151" t="inlineStr">
        <is>
          <t>Pend. aprob. (h)</t>
        </is>
      </c>
      <c r="I234" s="151" t="inlineStr">
        <is>
          <t>Pend. envío (h)</t>
        </is>
      </c>
      <c r="J234" s="151" t="inlineStr">
        <is>
          <t>Registros</t>
        </is>
      </c>
      <c r="K234" s="151" t="inlineStr"/>
      <c r="L234" s="151" t="inlineStr"/>
    </row>
    <row r="235">
      <c r="B235" s="172" t="n">
        <v>1</v>
      </c>
      <c r="C235" s="95" t="str">
        <f>IFERROR(INDEX(R_Task,MATCH(1,R_TSeqP,0))&amp;"","")</f>
        <v>PMX-203</v>
      </c>
      <c r="D235" s="95" t="str">
        <f>IFERROR(INDEX(R_Proy,MATCH(1,R_TSeqP,0))&amp;"","")</f>
        <v>Portal Cliente</v>
      </c>
      <c r="E235" s="127">
        <f>IF(C235="","",SUMIFS(R_Hcnt,R_Emp,"proMX",R_Task,INDEX(R_Task,MATCH(1,R_TSeqP,0))))</f>
        <v>4</v>
      </c>
      <c r="F235" s="172">
        <f>IF(C235="","",SUMIFS(R_BlkV,R_Emp,"proMX",R_Task,INDEX(R_Task,MATCH(1,R_TSeqP,0)))-SUMIFS(R_BlkV,R_St,"Cancelled",R_Task,INDEX(R_Task,MATCH(1,R_TSeqP,0))))</f>
        <v>8</v>
      </c>
      <c r="G235" s="127">
        <f>IF(C235="","",SUMIFS(R_Hval,R_St,"Approved",R_Task,INDEX(R_Task,MATCH(1,R_TSeqP,0))))</f>
        <v>4</v>
      </c>
      <c r="H235" s="127">
        <f>IF(C235="","",SUMIFS(R_Hval,R_St,"Submitted",R_Task,INDEX(R_Task,MATCH(1,R_TSeqP,0)))+SUMIFS(R_Hval,R_St,"Recall Requested",R_Task,INDEX(R_Task,MATCH(1,R_TSeqP,0))))</f>
        <v>0</v>
      </c>
      <c r="I235" s="127">
        <f>IF(C235="","",SUMIFS(R_Hval,R_St,"Draft",R_Task,INDEX(R_Task,MATCH(1,R_TSeqP,0)))+SUMIFS(R_Hval,R_St,"Returned",R_Task,INDEX(R_Task,MATCH(1,R_TSeqP,0))))</f>
        <v>0</v>
      </c>
      <c r="J235" s="172">
        <f>IF(C235="","",COUNTIFS(R_Emp,"proMX",R_Valid,1,R_Task,INDEX(R_Task,MATCH(1,R_TSeqP,0))))</f>
        <v>1</v>
      </c>
    </row>
    <row r="236">
      <c r="B236" s="172" t="n">
        <v>2</v>
      </c>
      <c r="C236" s="95" t="str">
        <f>IFERROR(INDEX(R_Task,MATCH(2,R_TSeqP,0))&amp;"","")</f>
        <v>PMX-204</v>
      </c>
      <c r="D236" s="95" t="str">
        <f>IFERROR(INDEX(R_Proy,MATCH(2,R_TSeqP,0))&amp;"","")</f>
        <v>Portal Cliente</v>
      </c>
      <c r="E236" s="127">
        <f>IF(C236="","",SUMIFS(R_Hcnt,R_Emp,"proMX",R_Task,INDEX(R_Task,MATCH(2,R_TSeqP,0))))</f>
        <v>2</v>
      </c>
      <c r="F236" s="172">
        <f>IF(C236="","",SUMIFS(R_BlkV,R_Emp,"proMX",R_Task,INDEX(R_Task,MATCH(2,R_TSeqP,0)))-SUMIFS(R_BlkV,R_St,"Cancelled",R_Task,INDEX(R_Task,MATCH(2,R_TSeqP,0))))</f>
        <v>4</v>
      </c>
      <c r="G236" s="127">
        <f>IF(C236="","",SUMIFS(R_Hval,R_St,"Approved",R_Task,INDEX(R_Task,MATCH(2,R_TSeqP,0))))</f>
        <v>2</v>
      </c>
      <c r="H236" s="127">
        <f>IF(C236="","",SUMIFS(R_Hval,R_St,"Submitted",R_Task,INDEX(R_Task,MATCH(2,R_TSeqP,0)))+SUMIFS(R_Hval,R_St,"Recall Requested",R_Task,INDEX(R_Task,MATCH(2,R_TSeqP,0))))</f>
        <v>0</v>
      </c>
      <c r="I236" s="127">
        <f>IF(C236="","",SUMIFS(R_Hval,R_St,"Draft",R_Task,INDEX(R_Task,MATCH(2,R_TSeqP,0)))+SUMIFS(R_Hval,R_St,"Returned",R_Task,INDEX(R_Task,MATCH(2,R_TSeqP,0))))</f>
        <v>0</v>
      </c>
      <c r="J236" s="172">
        <f>IF(C236="","",COUNTIFS(R_Emp,"proMX",R_Valid,1,R_Task,INDEX(R_Task,MATCH(2,R_TSeqP,0))))</f>
        <v>1</v>
      </c>
    </row>
    <row r="237">
      <c r="B237" s="172" t="n">
        <v>3</v>
      </c>
      <c r="C237" s="95" t="str">
        <f>IFERROR(INDEX(R_Task,MATCH(3,R_TSeqP,0))&amp;"","")</f>
        <v>PMX-202</v>
      </c>
      <c r="D237" s="95" t="str">
        <f>IFERROR(INDEX(R_Proy,MATCH(3,R_TSeqP,0))&amp;"","")</f>
        <v>Portal Cliente</v>
      </c>
      <c r="E237" s="127">
        <f>IF(C237="","",SUMIFS(R_Hcnt,R_Emp,"proMX",R_Task,INDEX(R_Task,MATCH(3,R_TSeqP,0))))</f>
        <v>3</v>
      </c>
      <c r="F237" s="172">
        <f>IF(C237="","",SUMIFS(R_BlkV,R_Emp,"proMX",R_Task,INDEX(R_Task,MATCH(3,R_TSeqP,0)))-SUMIFS(R_BlkV,R_St,"Cancelled",R_Task,INDEX(R_Task,MATCH(3,R_TSeqP,0))))</f>
        <v>6</v>
      </c>
      <c r="G237" s="127">
        <f>IF(C237="","",SUMIFS(R_Hval,R_St,"Approved",R_Task,INDEX(R_Task,MATCH(3,R_TSeqP,0))))</f>
        <v>0</v>
      </c>
      <c r="H237" s="127">
        <f>IF(C237="","",SUMIFS(R_Hval,R_St,"Submitted",R_Task,INDEX(R_Task,MATCH(3,R_TSeqP,0)))+SUMIFS(R_Hval,R_St,"Recall Requested",R_Task,INDEX(R_Task,MATCH(3,R_TSeqP,0))))</f>
        <v>3</v>
      </c>
      <c r="I237" s="127">
        <f>IF(C237="","",SUMIFS(R_Hval,R_St,"Draft",R_Task,INDEX(R_Task,MATCH(3,R_TSeqP,0)))+SUMIFS(R_Hval,R_St,"Returned",R_Task,INDEX(R_Task,MATCH(3,R_TSeqP,0))))</f>
        <v>0</v>
      </c>
      <c r="J237" s="172">
        <f>IF(C237="","",COUNTIFS(R_Emp,"proMX",R_Valid,1,R_Task,INDEX(R_Task,MATCH(3,R_TSeqP,0))))</f>
        <v>1</v>
      </c>
    </row>
    <row r="238">
      <c r="B238" s="172" t="n">
        <v>4</v>
      </c>
      <c r="C238" s="95" t="str">
        <f>IFERROR(INDEX(R_Task,MATCH(4,R_TSeqP,0))&amp;"","")</f>
        <v>PMX-201</v>
      </c>
      <c r="D238" s="95" t="str">
        <f>IFERROR(INDEX(R_Proy,MATCH(4,R_TSeqP,0))&amp;"","")</f>
        <v>Portal Cliente</v>
      </c>
      <c r="E238" s="127">
        <f>IF(C238="","",SUMIFS(R_Hcnt,R_Emp,"proMX",R_Task,INDEX(R_Task,MATCH(4,R_TSeqP,0))))</f>
        <v>1.5</v>
      </c>
      <c r="F238" s="172">
        <f>IF(C238="","",SUMIFS(R_BlkV,R_Emp,"proMX",R_Task,INDEX(R_Task,MATCH(4,R_TSeqP,0)))-SUMIFS(R_BlkV,R_St,"Cancelled",R_Task,INDEX(R_Task,MATCH(4,R_TSeqP,0))))</f>
        <v>3</v>
      </c>
      <c r="G238" s="127">
        <f>IF(C238="","",SUMIFS(R_Hval,R_St,"Approved",R_Task,INDEX(R_Task,MATCH(4,R_TSeqP,0))))</f>
        <v>0</v>
      </c>
      <c r="H238" s="127">
        <f>IF(C238="","",SUMIFS(R_Hval,R_St,"Submitted",R_Task,INDEX(R_Task,MATCH(4,R_TSeqP,0)))+SUMIFS(R_Hval,R_St,"Recall Requested",R_Task,INDEX(R_Task,MATCH(4,R_TSeqP,0))))</f>
        <v>0</v>
      </c>
      <c r="I238" s="127">
        <f>IF(C238="","",SUMIFS(R_Hval,R_St,"Draft",R_Task,INDEX(R_Task,MATCH(4,R_TSeqP,0)))+SUMIFS(R_Hval,R_St,"Returned",R_Task,INDEX(R_Task,MATCH(4,R_TSeqP,0))))</f>
        <v>1.5</v>
      </c>
      <c r="J238" s="172">
        <f>IF(C238="","",COUNTIFS(R_Emp,"proMX",R_Valid,1,R_Task,INDEX(R_Task,MATCH(4,R_TSeqP,0))))</f>
        <v>1</v>
      </c>
    </row>
    <row r="239">
      <c r="B239" s="172" t="n">
        <v>5</v>
      </c>
      <c r="C239" s="95" t="str">
        <f>IFERROR(INDEX(R_Task,MATCH(5,R_TSeqP,0))&amp;"","")</f>
        <v/>
      </c>
      <c r="D239" s="95" t="str">
        <f>IFERROR(INDEX(R_Proy,MATCH(5,R_TSeqP,0))&amp;"","")</f>
        <v/>
      </c>
      <c r="E239" s="127" t="str">
        <f>IF(C239="","",SUMIFS(R_Hcnt,R_Emp,"proMX",R_Task,INDEX(R_Task,MATCH(5,R_TSeqP,0))))</f>
        <v/>
      </c>
      <c r="F239" s="172" t="str">
        <f>IF(C239="","",SUMIFS(R_BlkV,R_Emp,"proMX",R_Task,INDEX(R_Task,MATCH(5,R_TSeqP,0)))-SUMIFS(R_BlkV,R_St,"Cancelled",R_Task,INDEX(R_Task,MATCH(5,R_TSeqP,0))))</f>
        <v/>
      </c>
      <c r="G239" s="127" t="str">
        <f>IF(C239="","",SUMIFS(R_Hval,R_St,"Approved",R_Task,INDEX(R_Task,MATCH(5,R_TSeqP,0))))</f>
        <v/>
      </c>
      <c r="H239" s="127" t="str">
        <f>IF(C239="","",SUMIFS(R_Hval,R_St,"Submitted",R_Task,INDEX(R_Task,MATCH(5,R_TSeqP,0)))+SUMIFS(R_Hval,R_St,"Recall Requested",R_Task,INDEX(R_Task,MATCH(5,R_TSeqP,0))))</f>
        <v/>
      </c>
      <c r="I239" s="127" t="str">
        <f>IF(C239="","",SUMIFS(R_Hval,R_St,"Draft",R_Task,INDEX(R_Task,MATCH(5,R_TSeqP,0)))+SUMIFS(R_Hval,R_St,"Returned",R_Task,INDEX(R_Task,MATCH(5,R_TSeqP,0))))</f>
        <v/>
      </c>
      <c r="J239" s="172" t="str">
        <f>IF(C239="","",COUNTIFS(R_Emp,"proMX",R_Valid,1,R_Task,INDEX(R_Task,MATCH(5,R_TSeqP,0))))</f>
        <v/>
      </c>
    </row>
    <row r="240">
      <c r="B240" s="172" t="n">
        <v>6</v>
      </c>
      <c r="C240" s="95" t="str">
        <f>IFERROR(INDEX(R_Task,MATCH(6,R_TSeqP,0))&amp;"","")</f>
        <v/>
      </c>
      <c r="D240" s="95" t="str">
        <f>IFERROR(INDEX(R_Proy,MATCH(6,R_TSeqP,0))&amp;"","")</f>
        <v/>
      </c>
      <c r="E240" s="127" t="str">
        <f>IF(C240="","",SUMIFS(R_Hcnt,R_Emp,"proMX",R_Task,INDEX(R_Task,MATCH(6,R_TSeqP,0))))</f>
        <v/>
      </c>
      <c r="F240" s="172" t="str">
        <f>IF(C240="","",SUMIFS(R_BlkV,R_Emp,"proMX",R_Task,INDEX(R_Task,MATCH(6,R_TSeqP,0)))-SUMIFS(R_BlkV,R_St,"Cancelled",R_Task,INDEX(R_Task,MATCH(6,R_TSeqP,0))))</f>
        <v/>
      </c>
      <c r="G240" s="127" t="str">
        <f>IF(C240="","",SUMIFS(R_Hval,R_St,"Approved",R_Task,INDEX(R_Task,MATCH(6,R_TSeqP,0))))</f>
        <v/>
      </c>
      <c r="H240" s="127" t="str">
        <f>IF(C240="","",SUMIFS(R_Hval,R_St,"Submitted",R_Task,INDEX(R_Task,MATCH(6,R_TSeqP,0)))+SUMIFS(R_Hval,R_St,"Recall Requested",R_Task,INDEX(R_Task,MATCH(6,R_TSeqP,0))))</f>
        <v/>
      </c>
      <c r="I240" s="127" t="str">
        <f>IF(C240="","",SUMIFS(R_Hval,R_St,"Draft",R_Task,INDEX(R_Task,MATCH(6,R_TSeqP,0)))+SUMIFS(R_Hval,R_St,"Returned",R_Task,INDEX(R_Task,MATCH(6,R_TSeqP,0))))</f>
        <v/>
      </c>
      <c r="J240" s="172" t="str">
        <f>IF(C240="","",COUNTIFS(R_Emp,"proMX",R_Valid,1,R_Task,INDEX(R_Task,MATCH(6,R_TSeqP,0))))</f>
        <v/>
      </c>
    </row>
    <row r="241">
      <c r="B241" s="172" t="n">
        <v>7</v>
      </c>
      <c r="C241" s="95" t="str">
        <f>IFERROR(INDEX(R_Task,MATCH(7,R_TSeqP,0))&amp;"","")</f>
        <v/>
      </c>
      <c r="D241" s="95" t="str">
        <f>IFERROR(INDEX(R_Proy,MATCH(7,R_TSeqP,0))&amp;"","")</f>
        <v/>
      </c>
      <c r="E241" s="127" t="str">
        <f>IF(C241="","",SUMIFS(R_Hcnt,R_Emp,"proMX",R_Task,INDEX(R_Task,MATCH(7,R_TSeqP,0))))</f>
        <v/>
      </c>
      <c r="F241" s="172" t="str">
        <f>IF(C241="","",SUMIFS(R_BlkV,R_Emp,"proMX",R_Task,INDEX(R_Task,MATCH(7,R_TSeqP,0)))-SUMIFS(R_BlkV,R_St,"Cancelled",R_Task,INDEX(R_Task,MATCH(7,R_TSeqP,0))))</f>
        <v/>
      </c>
      <c r="G241" s="127" t="str">
        <f>IF(C241="","",SUMIFS(R_Hval,R_St,"Approved",R_Task,INDEX(R_Task,MATCH(7,R_TSeqP,0))))</f>
        <v/>
      </c>
      <c r="H241" s="127" t="str">
        <f>IF(C241="","",SUMIFS(R_Hval,R_St,"Submitted",R_Task,INDEX(R_Task,MATCH(7,R_TSeqP,0)))+SUMIFS(R_Hval,R_St,"Recall Requested",R_Task,INDEX(R_Task,MATCH(7,R_TSeqP,0))))</f>
        <v/>
      </c>
      <c r="I241" s="127" t="str">
        <f>IF(C241="","",SUMIFS(R_Hval,R_St,"Draft",R_Task,INDEX(R_Task,MATCH(7,R_TSeqP,0)))+SUMIFS(R_Hval,R_St,"Returned",R_Task,INDEX(R_Task,MATCH(7,R_TSeqP,0))))</f>
        <v/>
      </c>
      <c r="J241" s="172" t="str">
        <f>IF(C241="","",COUNTIFS(R_Emp,"proMX",R_Valid,1,R_Task,INDEX(R_Task,MATCH(7,R_TSeqP,0))))</f>
        <v/>
      </c>
    </row>
    <row r="242">
      <c r="B242" s="172" t="n">
        <v>8</v>
      </c>
      <c r="C242" s="95" t="str">
        <f>IFERROR(INDEX(R_Task,MATCH(8,R_TSeqP,0))&amp;"","")</f>
        <v/>
      </c>
      <c r="D242" s="95" t="str">
        <f>IFERROR(INDEX(R_Proy,MATCH(8,R_TSeqP,0))&amp;"","")</f>
        <v/>
      </c>
      <c r="E242" s="127" t="str">
        <f>IF(C242="","",SUMIFS(R_Hcnt,R_Emp,"proMX",R_Task,INDEX(R_Task,MATCH(8,R_TSeqP,0))))</f>
        <v/>
      </c>
      <c r="F242" s="172" t="str">
        <f>IF(C242="","",SUMIFS(R_BlkV,R_Emp,"proMX",R_Task,INDEX(R_Task,MATCH(8,R_TSeqP,0)))-SUMIFS(R_BlkV,R_St,"Cancelled",R_Task,INDEX(R_Task,MATCH(8,R_TSeqP,0))))</f>
        <v/>
      </c>
      <c r="G242" s="127" t="str">
        <f>IF(C242="","",SUMIFS(R_Hval,R_St,"Approved",R_Task,INDEX(R_Task,MATCH(8,R_TSeqP,0))))</f>
        <v/>
      </c>
      <c r="H242" s="127" t="str">
        <f>IF(C242="","",SUMIFS(R_Hval,R_St,"Submitted",R_Task,INDEX(R_Task,MATCH(8,R_TSeqP,0)))+SUMIFS(R_Hval,R_St,"Recall Requested",R_Task,INDEX(R_Task,MATCH(8,R_TSeqP,0))))</f>
        <v/>
      </c>
      <c r="I242" s="127" t="str">
        <f>IF(C242="","",SUMIFS(R_Hval,R_St,"Draft",R_Task,INDEX(R_Task,MATCH(8,R_TSeqP,0)))+SUMIFS(R_Hval,R_St,"Returned",R_Task,INDEX(R_Task,MATCH(8,R_TSeqP,0))))</f>
        <v/>
      </c>
      <c r="J242" s="172" t="str">
        <f>IF(C242="","",COUNTIFS(R_Emp,"proMX",R_Valid,1,R_Task,INDEX(R_Task,MATCH(8,R_TSeqP,0))))</f>
        <v/>
      </c>
    </row>
    <row r="243">
      <c r="B243" s="172" t="n">
        <v>9</v>
      </c>
      <c r="C243" s="95" t="str">
        <f>IFERROR(INDEX(R_Task,MATCH(9,R_TSeqP,0))&amp;"","")</f>
        <v/>
      </c>
      <c r="D243" s="95" t="str">
        <f>IFERROR(INDEX(R_Proy,MATCH(9,R_TSeqP,0))&amp;"","")</f>
        <v/>
      </c>
      <c r="E243" s="127" t="str">
        <f>IF(C243="","",SUMIFS(R_Hcnt,R_Emp,"proMX",R_Task,INDEX(R_Task,MATCH(9,R_TSeqP,0))))</f>
        <v/>
      </c>
      <c r="F243" s="172" t="str">
        <f>IF(C243="","",SUMIFS(R_BlkV,R_Emp,"proMX",R_Task,INDEX(R_Task,MATCH(9,R_TSeqP,0)))-SUMIFS(R_BlkV,R_St,"Cancelled",R_Task,INDEX(R_Task,MATCH(9,R_TSeqP,0))))</f>
        <v/>
      </c>
      <c r="G243" s="127" t="str">
        <f>IF(C243="","",SUMIFS(R_Hval,R_St,"Approved",R_Task,INDEX(R_Task,MATCH(9,R_TSeqP,0))))</f>
        <v/>
      </c>
      <c r="H243" s="127" t="str">
        <f>IF(C243="","",SUMIFS(R_Hval,R_St,"Submitted",R_Task,INDEX(R_Task,MATCH(9,R_TSeqP,0)))+SUMIFS(R_Hval,R_St,"Recall Requested",R_Task,INDEX(R_Task,MATCH(9,R_TSeqP,0))))</f>
        <v/>
      </c>
      <c r="I243" s="127" t="str">
        <f>IF(C243="","",SUMIFS(R_Hval,R_St,"Draft",R_Task,INDEX(R_Task,MATCH(9,R_TSeqP,0)))+SUMIFS(R_Hval,R_St,"Returned",R_Task,INDEX(R_Task,MATCH(9,R_TSeqP,0))))</f>
        <v/>
      </c>
      <c r="J243" s="172" t="str">
        <f>IF(C243="","",COUNTIFS(R_Emp,"proMX",R_Valid,1,R_Task,INDEX(R_Task,MATCH(9,R_TSeqP,0))))</f>
        <v/>
      </c>
    </row>
    <row r="244">
      <c r="B244" s="172" t="n">
        <v>10</v>
      </c>
      <c r="C244" s="95" t="str">
        <f>IFERROR(INDEX(R_Task,MATCH(10,R_TSeqP,0))&amp;"","")</f>
        <v/>
      </c>
      <c r="D244" s="95" t="str">
        <f>IFERROR(INDEX(R_Proy,MATCH(10,R_TSeqP,0))&amp;"","")</f>
        <v/>
      </c>
      <c r="E244" s="127" t="str">
        <f>IF(C244="","",SUMIFS(R_Hcnt,R_Emp,"proMX",R_Task,INDEX(R_Task,MATCH(10,R_TSeqP,0))))</f>
        <v/>
      </c>
      <c r="F244" s="172" t="str">
        <f>IF(C244="","",SUMIFS(R_BlkV,R_Emp,"proMX",R_Task,INDEX(R_Task,MATCH(10,R_TSeqP,0)))-SUMIFS(R_BlkV,R_St,"Cancelled",R_Task,INDEX(R_Task,MATCH(10,R_TSeqP,0))))</f>
        <v/>
      </c>
      <c r="G244" s="127" t="str">
        <f>IF(C244="","",SUMIFS(R_Hval,R_St,"Approved",R_Task,INDEX(R_Task,MATCH(10,R_TSeqP,0))))</f>
        <v/>
      </c>
      <c r="H244" s="127" t="str">
        <f>IF(C244="","",SUMIFS(R_Hval,R_St,"Submitted",R_Task,INDEX(R_Task,MATCH(10,R_TSeqP,0)))+SUMIFS(R_Hval,R_St,"Recall Requested",R_Task,INDEX(R_Task,MATCH(10,R_TSeqP,0))))</f>
        <v/>
      </c>
      <c r="I244" s="127" t="str">
        <f>IF(C244="","",SUMIFS(R_Hval,R_St,"Draft",R_Task,INDEX(R_Task,MATCH(10,R_TSeqP,0)))+SUMIFS(R_Hval,R_St,"Returned",R_Task,INDEX(R_Task,MATCH(10,R_TSeqP,0))))</f>
        <v/>
      </c>
      <c r="J244" s="172" t="str">
        <f>IF(C244="","",COUNTIFS(R_Emp,"proMX",R_Valid,1,R_Task,INDEX(R_Task,MATCH(10,R_TSeqP,0))))</f>
        <v/>
      </c>
    </row>
    <row r="245">
      <c r="B245" s="172" t="n">
        <v>11</v>
      </c>
      <c r="C245" s="95" t="str">
        <f>IFERROR(INDEX(R_Task,MATCH(11,R_TSeqP,0))&amp;"","")</f>
        <v/>
      </c>
      <c r="D245" s="95" t="str">
        <f>IFERROR(INDEX(R_Proy,MATCH(11,R_TSeqP,0))&amp;"","")</f>
        <v/>
      </c>
      <c r="E245" s="127" t="str">
        <f>IF(C245="","",SUMIFS(R_Hcnt,R_Emp,"proMX",R_Task,INDEX(R_Task,MATCH(11,R_TSeqP,0))))</f>
        <v/>
      </c>
      <c r="F245" s="172" t="str">
        <f>IF(C245="","",SUMIFS(R_BlkV,R_Emp,"proMX",R_Task,INDEX(R_Task,MATCH(11,R_TSeqP,0)))-SUMIFS(R_BlkV,R_St,"Cancelled",R_Task,INDEX(R_Task,MATCH(11,R_TSeqP,0))))</f>
        <v/>
      </c>
      <c r="G245" s="127" t="str">
        <f>IF(C245="","",SUMIFS(R_Hval,R_St,"Approved",R_Task,INDEX(R_Task,MATCH(11,R_TSeqP,0))))</f>
        <v/>
      </c>
      <c r="H245" s="127" t="str">
        <f>IF(C245="","",SUMIFS(R_Hval,R_St,"Submitted",R_Task,INDEX(R_Task,MATCH(11,R_TSeqP,0)))+SUMIFS(R_Hval,R_St,"Recall Requested",R_Task,INDEX(R_Task,MATCH(11,R_TSeqP,0))))</f>
        <v/>
      </c>
      <c r="I245" s="127" t="str">
        <f>IF(C245="","",SUMIFS(R_Hval,R_St,"Draft",R_Task,INDEX(R_Task,MATCH(11,R_TSeqP,0)))+SUMIFS(R_Hval,R_St,"Returned",R_Task,INDEX(R_Task,MATCH(11,R_TSeqP,0))))</f>
        <v/>
      </c>
      <c r="J245" s="172" t="str">
        <f>IF(C245="","",COUNTIFS(R_Emp,"proMX",R_Valid,1,R_Task,INDEX(R_Task,MATCH(11,R_TSeqP,0))))</f>
        <v/>
      </c>
    </row>
    <row r="246">
      <c r="B246" s="172" t="n">
        <v>12</v>
      </c>
      <c r="C246" s="95" t="str">
        <f>IFERROR(INDEX(R_Task,MATCH(12,R_TSeqP,0))&amp;"","")</f>
        <v/>
      </c>
      <c r="D246" s="95" t="str">
        <f>IFERROR(INDEX(R_Proy,MATCH(12,R_TSeqP,0))&amp;"","")</f>
        <v/>
      </c>
      <c r="E246" s="127" t="str">
        <f>IF(C246="","",SUMIFS(R_Hcnt,R_Emp,"proMX",R_Task,INDEX(R_Task,MATCH(12,R_TSeqP,0))))</f>
        <v/>
      </c>
      <c r="F246" s="172" t="str">
        <f>IF(C246="","",SUMIFS(R_BlkV,R_Emp,"proMX",R_Task,INDEX(R_Task,MATCH(12,R_TSeqP,0)))-SUMIFS(R_BlkV,R_St,"Cancelled",R_Task,INDEX(R_Task,MATCH(12,R_TSeqP,0))))</f>
        <v/>
      </c>
      <c r="G246" s="127" t="str">
        <f>IF(C246="","",SUMIFS(R_Hval,R_St,"Approved",R_Task,INDEX(R_Task,MATCH(12,R_TSeqP,0))))</f>
        <v/>
      </c>
      <c r="H246" s="127" t="str">
        <f>IF(C246="","",SUMIFS(R_Hval,R_St,"Submitted",R_Task,INDEX(R_Task,MATCH(12,R_TSeqP,0)))+SUMIFS(R_Hval,R_St,"Recall Requested",R_Task,INDEX(R_Task,MATCH(12,R_TSeqP,0))))</f>
        <v/>
      </c>
      <c r="I246" s="127" t="str">
        <f>IF(C246="","",SUMIFS(R_Hval,R_St,"Draft",R_Task,INDEX(R_Task,MATCH(12,R_TSeqP,0)))+SUMIFS(R_Hval,R_St,"Returned",R_Task,INDEX(R_Task,MATCH(12,R_TSeqP,0))))</f>
        <v/>
      </c>
      <c r="J246" s="172" t="str">
        <f>IF(C246="","",COUNTIFS(R_Emp,"proMX",R_Valid,1,R_Task,INDEX(R_Task,MATCH(12,R_TSeqP,0))))</f>
        <v/>
      </c>
    </row>
    <row r="247">
      <c r="B247" s="172" t="n">
        <v>13</v>
      </c>
      <c r="C247" s="95" t="str">
        <f>IFERROR(INDEX(R_Task,MATCH(13,R_TSeqP,0))&amp;"","")</f>
        <v/>
      </c>
      <c r="D247" s="95" t="str">
        <f>IFERROR(INDEX(R_Proy,MATCH(13,R_TSeqP,0))&amp;"","")</f>
        <v/>
      </c>
      <c r="E247" s="127" t="str">
        <f>IF(C247="","",SUMIFS(R_Hcnt,R_Emp,"proMX",R_Task,INDEX(R_Task,MATCH(13,R_TSeqP,0))))</f>
        <v/>
      </c>
      <c r="F247" s="172" t="str">
        <f>IF(C247="","",SUMIFS(R_BlkV,R_Emp,"proMX",R_Task,INDEX(R_Task,MATCH(13,R_TSeqP,0)))-SUMIFS(R_BlkV,R_St,"Cancelled",R_Task,INDEX(R_Task,MATCH(13,R_TSeqP,0))))</f>
        <v/>
      </c>
      <c r="G247" s="127" t="str">
        <f>IF(C247="","",SUMIFS(R_Hval,R_St,"Approved",R_Task,INDEX(R_Task,MATCH(13,R_TSeqP,0))))</f>
        <v/>
      </c>
      <c r="H247" s="127" t="str">
        <f>IF(C247="","",SUMIFS(R_Hval,R_St,"Submitted",R_Task,INDEX(R_Task,MATCH(13,R_TSeqP,0)))+SUMIFS(R_Hval,R_St,"Recall Requested",R_Task,INDEX(R_Task,MATCH(13,R_TSeqP,0))))</f>
        <v/>
      </c>
      <c r="I247" s="127" t="str">
        <f>IF(C247="","",SUMIFS(R_Hval,R_St,"Draft",R_Task,INDEX(R_Task,MATCH(13,R_TSeqP,0)))+SUMIFS(R_Hval,R_St,"Returned",R_Task,INDEX(R_Task,MATCH(13,R_TSeqP,0))))</f>
        <v/>
      </c>
      <c r="J247" s="172" t="str">
        <f>IF(C247="","",COUNTIFS(R_Emp,"proMX",R_Valid,1,R_Task,INDEX(R_Task,MATCH(13,R_TSeqP,0))))</f>
        <v/>
      </c>
    </row>
    <row r="248">
      <c r="B248" s="172" t="n">
        <v>14</v>
      </c>
      <c r="C248" s="95" t="str">
        <f>IFERROR(INDEX(R_Task,MATCH(14,R_TSeqP,0))&amp;"","")</f>
        <v/>
      </c>
      <c r="D248" s="95" t="str">
        <f>IFERROR(INDEX(R_Proy,MATCH(14,R_TSeqP,0))&amp;"","")</f>
        <v/>
      </c>
      <c r="E248" s="127" t="str">
        <f>IF(C248="","",SUMIFS(R_Hcnt,R_Emp,"proMX",R_Task,INDEX(R_Task,MATCH(14,R_TSeqP,0))))</f>
        <v/>
      </c>
      <c r="F248" s="172" t="str">
        <f>IF(C248="","",SUMIFS(R_BlkV,R_Emp,"proMX",R_Task,INDEX(R_Task,MATCH(14,R_TSeqP,0)))-SUMIFS(R_BlkV,R_St,"Cancelled",R_Task,INDEX(R_Task,MATCH(14,R_TSeqP,0))))</f>
        <v/>
      </c>
      <c r="G248" s="127" t="str">
        <f>IF(C248="","",SUMIFS(R_Hval,R_St,"Approved",R_Task,INDEX(R_Task,MATCH(14,R_TSeqP,0))))</f>
        <v/>
      </c>
      <c r="H248" s="127" t="str">
        <f>IF(C248="","",SUMIFS(R_Hval,R_St,"Submitted",R_Task,INDEX(R_Task,MATCH(14,R_TSeqP,0)))+SUMIFS(R_Hval,R_St,"Recall Requested",R_Task,INDEX(R_Task,MATCH(14,R_TSeqP,0))))</f>
        <v/>
      </c>
      <c r="I248" s="127" t="str">
        <f>IF(C248="","",SUMIFS(R_Hval,R_St,"Draft",R_Task,INDEX(R_Task,MATCH(14,R_TSeqP,0)))+SUMIFS(R_Hval,R_St,"Returned",R_Task,INDEX(R_Task,MATCH(14,R_TSeqP,0))))</f>
        <v/>
      </c>
      <c r="J248" s="172" t="str">
        <f>IF(C248="","",COUNTIFS(R_Emp,"proMX",R_Valid,1,R_Task,INDEX(R_Task,MATCH(14,R_TSeqP,0))))</f>
        <v/>
      </c>
    </row>
    <row r="249">
      <c r="B249" s="172" t="n">
        <v>15</v>
      </c>
      <c r="C249" s="95" t="str">
        <f>IFERROR(INDEX(R_Task,MATCH(15,R_TSeqP,0))&amp;"","")</f>
        <v/>
      </c>
      <c r="D249" s="95" t="str">
        <f>IFERROR(INDEX(R_Proy,MATCH(15,R_TSeqP,0))&amp;"","")</f>
        <v/>
      </c>
      <c r="E249" s="127" t="str">
        <f>IF(C249="","",SUMIFS(R_Hcnt,R_Emp,"proMX",R_Task,INDEX(R_Task,MATCH(15,R_TSeqP,0))))</f>
        <v/>
      </c>
      <c r="F249" s="172" t="str">
        <f>IF(C249="","",SUMIFS(R_BlkV,R_Emp,"proMX",R_Task,INDEX(R_Task,MATCH(15,R_TSeqP,0)))-SUMIFS(R_BlkV,R_St,"Cancelled",R_Task,INDEX(R_Task,MATCH(15,R_TSeqP,0))))</f>
        <v/>
      </c>
      <c r="G249" s="127" t="str">
        <f>IF(C249="","",SUMIFS(R_Hval,R_St,"Approved",R_Task,INDEX(R_Task,MATCH(15,R_TSeqP,0))))</f>
        <v/>
      </c>
      <c r="H249" s="127" t="str">
        <f>IF(C249="","",SUMIFS(R_Hval,R_St,"Submitted",R_Task,INDEX(R_Task,MATCH(15,R_TSeqP,0)))+SUMIFS(R_Hval,R_St,"Recall Requested",R_Task,INDEX(R_Task,MATCH(15,R_TSeqP,0))))</f>
        <v/>
      </c>
      <c r="I249" s="127" t="str">
        <f>IF(C249="","",SUMIFS(R_Hval,R_St,"Draft",R_Task,INDEX(R_Task,MATCH(15,R_TSeqP,0)))+SUMIFS(R_Hval,R_St,"Returned",R_Task,INDEX(R_Task,MATCH(15,R_TSeqP,0))))</f>
        <v/>
      </c>
      <c r="J249" s="172" t="str">
        <f>IF(C249="","",COUNTIFS(R_Emp,"proMX",R_Valid,1,R_Task,INDEX(R_Task,MATCH(15,R_TSeqP,0))))</f>
        <v/>
      </c>
    </row>
    <row r="250">
      <c r="B250" s="172" t="n">
        <v>16</v>
      </c>
      <c r="C250" s="95" t="str">
        <f>IFERROR(INDEX(R_Task,MATCH(16,R_TSeqP,0))&amp;"","")</f>
        <v/>
      </c>
      <c r="D250" s="95" t="str">
        <f>IFERROR(INDEX(R_Proy,MATCH(16,R_TSeqP,0))&amp;"","")</f>
        <v/>
      </c>
      <c r="E250" s="127" t="str">
        <f>IF(C250="","",SUMIFS(R_Hcnt,R_Emp,"proMX",R_Task,INDEX(R_Task,MATCH(16,R_TSeqP,0))))</f>
        <v/>
      </c>
      <c r="F250" s="172" t="str">
        <f>IF(C250="","",SUMIFS(R_BlkV,R_Emp,"proMX",R_Task,INDEX(R_Task,MATCH(16,R_TSeqP,0)))-SUMIFS(R_BlkV,R_St,"Cancelled",R_Task,INDEX(R_Task,MATCH(16,R_TSeqP,0))))</f>
        <v/>
      </c>
      <c r="G250" s="127" t="str">
        <f>IF(C250="","",SUMIFS(R_Hval,R_St,"Approved",R_Task,INDEX(R_Task,MATCH(16,R_TSeqP,0))))</f>
        <v/>
      </c>
      <c r="H250" s="127" t="str">
        <f>IF(C250="","",SUMIFS(R_Hval,R_St,"Submitted",R_Task,INDEX(R_Task,MATCH(16,R_TSeqP,0)))+SUMIFS(R_Hval,R_St,"Recall Requested",R_Task,INDEX(R_Task,MATCH(16,R_TSeqP,0))))</f>
        <v/>
      </c>
      <c r="I250" s="127" t="str">
        <f>IF(C250="","",SUMIFS(R_Hval,R_St,"Draft",R_Task,INDEX(R_Task,MATCH(16,R_TSeqP,0)))+SUMIFS(R_Hval,R_St,"Returned",R_Task,INDEX(R_Task,MATCH(16,R_TSeqP,0))))</f>
        <v/>
      </c>
      <c r="J250" s="172" t="str">
        <f>IF(C250="","",COUNTIFS(R_Emp,"proMX",R_Valid,1,R_Task,INDEX(R_Task,MATCH(16,R_TSeqP,0))))</f>
        <v/>
      </c>
    </row>
    <row r="251">
      <c r="B251" s="172" t="n">
        <v>17</v>
      </c>
      <c r="C251" s="95" t="str">
        <f>IFERROR(INDEX(R_Task,MATCH(17,R_TSeqP,0))&amp;"","")</f>
        <v/>
      </c>
      <c r="D251" s="95" t="str">
        <f>IFERROR(INDEX(R_Proy,MATCH(17,R_TSeqP,0))&amp;"","")</f>
        <v/>
      </c>
      <c r="E251" s="127" t="str">
        <f>IF(C251="","",SUMIFS(R_Hcnt,R_Emp,"proMX",R_Task,INDEX(R_Task,MATCH(17,R_TSeqP,0))))</f>
        <v/>
      </c>
      <c r="F251" s="172" t="str">
        <f>IF(C251="","",SUMIFS(R_BlkV,R_Emp,"proMX",R_Task,INDEX(R_Task,MATCH(17,R_TSeqP,0)))-SUMIFS(R_BlkV,R_St,"Cancelled",R_Task,INDEX(R_Task,MATCH(17,R_TSeqP,0))))</f>
        <v/>
      </c>
      <c r="G251" s="127" t="str">
        <f>IF(C251="","",SUMIFS(R_Hval,R_St,"Approved",R_Task,INDEX(R_Task,MATCH(17,R_TSeqP,0))))</f>
        <v/>
      </c>
      <c r="H251" s="127" t="str">
        <f>IF(C251="","",SUMIFS(R_Hval,R_St,"Submitted",R_Task,INDEX(R_Task,MATCH(17,R_TSeqP,0)))+SUMIFS(R_Hval,R_St,"Recall Requested",R_Task,INDEX(R_Task,MATCH(17,R_TSeqP,0))))</f>
        <v/>
      </c>
      <c r="I251" s="127" t="str">
        <f>IF(C251="","",SUMIFS(R_Hval,R_St,"Draft",R_Task,INDEX(R_Task,MATCH(17,R_TSeqP,0)))+SUMIFS(R_Hval,R_St,"Returned",R_Task,INDEX(R_Task,MATCH(17,R_TSeqP,0))))</f>
        <v/>
      </c>
      <c r="J251" s="172" t="str">
        <f>IF(C251="","",COUNTIFS(R_Emp,"proMX",R_Valid,1,R_Task,INDEX(R_Task,MATCH(17,R_TSeqP,0))))</f>
        <v/>
      </c>
    </row>
    <row r="252">
      <c r="B252" s="172" t="n">
        <v>18</v>
      </c>
      <c r="C252" s="95" t="str">
        <f>IFERROR(INDEX(R_Task,MATCH(18,R_TSeqP,0))&amp;"","")</f>
        <v/>
      </c>
      <c r="D252" s="95" t="str">
        <f>IFERROR(INDEX(R_Proy,MATCH(18,R_TSeqP,0))&amp;"","")</f>
        <v/>
      </c>
      <c r="E252" s="127" t="str">
        <f>IF(C252="","",SUMIFS(R_Hcnt,R_Emp,"proMX",R_Task,INDEX(R_Task,MATCH(18,R_TSeqP,0))))</f>
        <v/>
      </c>
      <c r="F252" s="172" t="str">
        <f>IF(C252="","",SUMIFS(R_BlkV,R_Emp,"proMX",R_Task,INDEX(R_Task,MATCH(18,R_TSeqP,0)))-SUMIFS(R_BlkV,R_St,"Cancelled",R_Task,INDEX(R_Task,MATCH(18,R_TSeqP,0))))</f>
        <v/>
      </c>
      <c r="G252" s="127" t="str">
        <f>IF(C252="","",SUMIFS(R_Hval,R_St,"Approved",R_Task,INDEX(R_Task,MATCH(18,R_TSeqP,0))))</f>
        <v/>
      </c>
      <c r="H252" s="127" t="str">
        <f>IF(C252="","",SUMIFS(R_Hval,R_St,"Submitted",R_Task,INDEX(R_Task,MATCH(18,R_TSeqP,0)))+SUMIFS(R_Hval,R_St,"Recall Requested",R_Task,INDEX(R_Task,MATCH(18,R_TSeqP,0))))</f>
        <v/>
      </c>
      <c r="I252" s="127" t="str">
        <f>IF(C252="","",SUMIFS(R_Hval,R_St,"Draft",R_Task,INDEX(R_Task,MATCH(18,R_TSeqP,0)))+SUMIFS(R_Hval,R_St,"Returned",R_Task,INDEX(R_Task,MATCH(18,R_TSeqP,0))))</f>
        <v/>
      </c>
      <c r="J252" s="172" t="str">
        <f>IF(C252="","",COUNTIFS(R_Emp,"proMX",R_Valid,1,R_Task,INDEX(R_Task,MATCH(18,R_TSeqP,0))))</f>
        <v/>
      </c>
    </row>
    <row r="253">
      <c r="B253" s="172" t="n">
        <v>19</v>
      </c>
      <c r="C253" s="95" t="str">
        <f>IFERROR(INDEX(R_Task,MATCH(19,R_TSeqP,0))&amp;"","")</f>
        <v/>
      </c>
      <c r="D253" s="95" t="str">
        <f>IFERROR(INDEX(R_Proy,MATCH(19,R_TSeqP,0))&amp;"","")</f>
        <v/>
      </c>
      <c r="E253" s="127" t="str">
        <f>IF(C253="","",SUMIFS(R_Hcnt,R_Emp,"proMX",R_Task,INDEX(R_Task,MATCH(19,R_TSeqP,0))))</f>
        <v/>
      </c>
      <c r="F253" s="172" t="str">
        <f>IF(C253="","",SUMIFS(R_BlkV,R_Emp,"proMX",R_Task,INDEX(R_Task,MATCH(19,R_TSeqP,0)))-SUMIFS(R_BlkV,R_St,"Cancelled",R_Task,INDEX(R_Task,MATCH(19,R_TSeqP,0))))</f>
        <v/>
      </c>
      <c r="G253" s="127" t="str">
        <f>IF(C253="","",SUMIFS(R_Hval,R_St,"Approved",R_Task,INDEX(R_Task,MATCH(19,R_TSeqP,0))))</f>
        <v/>
      </c>
      <c r="H253" s="127" t="str">
        <f>IF(C253="","",SUMIFS(R_Hval,R_St,"Submitted",R_Task,INDEX(R_Task,MATCH(19,R_TSeqP,0)))+SUMIFS(R_Hval,R_St,"Recall Requested",R_Task,INDEX(R_Task,MATCH(19,R_TSeqP,0))))</f>
        <v/>
      </c>
      <c r="I253" s="127" t="str">
        <f>IF(C253="","",SUMIFS(R_Hval,R_St,"Draft",R_Task,INDEX(R_Task,MATCH(19,R_TSeqP,0)))+SUMIFS(R_Hval,R_St,"Returned",R_Task,INDEX(R_Task,MATCH(19,R_TSeqP,0))))</f>
        <v/>
      </c>
      <c r="J253" s="172" t="str">
        <f>IF(C253="","",COUNTIFS(R_Emp,"proMX",R_Valid,1,R_Task,INDEX(R_Task,MATCH(19,R_TSeqP,0))))</f>
        <v/>
      </c>
    </row>
    <row r="254">
      <c r="B254" s="172" t="n">
        <v>20</v>
      </c>
      <c r="C254" s="95" t="str">
        <f>IFERROR(INDEX(R_Task,MATCH(20,R_TSeqP,0))&amp;"","")</f>
        <v/>
      </c>
      <c r="D254" s="95" t="str">
        <f>IFERROR(INDEX(R_Proy,MATCH(20,R_TSeqP,0))&amp;"","")</f>
        <v/>
      </c>
      <c r="E254" s="127" t="str">
        <f>IF(C254="","",SUMIFS(R_Hcnt,R_Emp,"proMX",R_Task,INDEX(R_Task,MATCH(20,R_TSeqP,0))))</f>
        <v/>
      </c>
      <c r="F254" s="172" t="str">
        <f>IF(C254="","",SUMIFS(R_BlkV,R_Emp,"proMX",R_Task,INDEX(R_Task,MATCH(20,R_TSeqP,0)))-SUMIFS(R_BlkV,R_St,"Cancelled",R_Task,INDEX(R_Task,MATCH(20,R_TSeqP,0))))</f>
        <v/>
      </c>
      <c r="G254" s="127" t="str">
        <f>IF(C254="","",SUMIFS(R_Hval,R_St,"Approved",R_Task,INDEX(R_Task,MATCH(20,R_TSeqP,0))))</f>
        <v/>
      </c>
      <c r="H254" s="127" t="str">
        <f>IF(C254="","",SUMIFS(R_Hval,R_St,"Submitted",R_Task,INDEX(R_Task,MATCH(20,R_TSeqP,0)))+SUMIFS(R_Hval,R_St,"Recall Requested",R_Task,INDEX(R_Task,MATCH(20,R_TSeqP,0))))</f>
        <v/>
      </c>
      <c r="I254" s="127" t="str">
        <f>IF(C254="","",SUMIFS(R_Hval,R_St,"Draft",R_Task,INDEX(R_Task,MATCH(20,R_TSeqP,0)))+SUMIFS(R_Hval,R_St,"Returned",R_Task,INDEX(R_Task,MATCH(20,R_TSeqP,0))))</f>
        <v/>
      </c>
      <c r="J254" s="172" t="str">
        <f>IF(C254="","",COUNTIFS(R_Emp,"proMX",R_Valid,1,R_Task,INDEX(R_Task,MATCH(20,R_TSeqP,0))))</f>
        <v/>
      </c>
    </row>
    <row r="255">
      <c r="B255" s="172" t="n">
        <v>21</v>
      </c>
      <c r="C255" s="95" t="str">
        <f>IFERROR(INDEX(R_Task,MATCH(21,R_TSeqP,0))&amp;"","")</f>
        <v/>
      </c>
      <c r="D255" s="95" t="str">
        <f>IFERROR(INDEX(R_Proy,MATCH(21,R_TSeqP,0))&amp;"","")</f>
        <v/>
      </c>
      <c r="E255" s="127" t="str">
        <f>IF(C255="","",SUMIFS(R_Hcnt,R_Emp,"proMX",R_Task,INDEX(R_Task,MATCH(21,R_TSeqP,0))))</f>
        <v/>
      </c>
      <c r="F255" s="172" t="str">
        <f>IF(C255="","",SUMIFS(R_BlkV,R_Emp,"proMX",R_Task,INDEX(R_Task,MATCH(21,R_TSeqP,0)))-SUMIFS(R_BlkV,R_St,"Cancelled",R_Task,INDEX(R_Task,MATCH(21,R_TSeqP,0))))</f>
        <v/>
      </c>
      <c r="G255" s="127" t="str">
        <f>IF(C255="","",SUMIFS(R_Hval,R_St,"Approved",R_Task,INDEX(R_Task,MATCH(21,R_TSeqP,0))))</f>
        <v/>
      </c>
      <c r="H255" s="127" t="str">
        <f>IF(C255="","",SUMIFS(R_Hval,R_St,"Submitted",R_Task,INDEX(R_Task,MATCH(21,R_TSeqP,0)))+SUMIFS(R_Hval,R_St,"Recall Requested",R_Task,INDEX(R_Task,MATCH(21,R_TSeqP,0))))</f>
        <v/>
      </c>
      <c r="I255" s="127" t="str">
        <f>IF(C255="","",SUMIFS(R_Hval,R_St,"Draft",R_Task,INDEX(R_Task,MATCH(21,R_TSeqP,0)))+SUMIFS(R_Hval,R_St,"Returned",R_Task,INDEX(R_Task,MATCH(21,R_TSeqP,0))))</f>
        <v/>
      </c>
      <c r="J255" s="172" t="str">
        <f>IF(C255="","",COUNTIFS(R_Emp,"proMX",R_Valid,1,R_Task,INDEX(R_Task,MATCH(21,R_TSeqP,0))))</f>
        <v/>
      </c>
    </row>
    <row r="256">
      <c r="B256" s="172" t="n">
        <v>22</v>
      </c>
      <c r="C256" s="95" t="str">
        <f>IFERROR(INDEX(R_Task,MATCH(22,R_TSeqP,0))&amp;"","")</f>
        <v/>
      </c>
      <c r="D256" s="95" t="str">
        <f>IFERROR(INDEX(R_Proy,MATCH(22,R_TSeqP,0))&amp;"","")</f>
        <v/>
      </c>
      <c r="E256" s="127" t="str">
        <f>IF(C256="","",SUMIFS(R_Hcnt,R_Emp,"proMX",R_Task,INDEX(R_Task,MATCH(22,R_TSeqP,0))))</f>
        <v/>
      </c>
      <c r="F256" s="172" t="str">
        <f>IF(C256="","",SUMIFS(R_BlkV,R_Emp,"proMX",R_Task,INDEX(R_Task,MATCH(22,R_TSeqP,0)))-SUMIFS(R_BlkV,R_St,"Cancelled",R_Task,INDEX(R_Task,MATCH(22,R_TSeqP,0))))</f>
        <v/>
      </c>
      <c r="G256" s="127" t="str">
        <f>IF(C256="","",SUMIFS(R_Hval,R_St,"Approved",R_Task,INDEX(R_Task,MATCH(22,R_TSeqP,0))))</f>
        <v/>
      </c>
      <c r="H256" s="127" t="str">
        <f>IF(C256="","",SUMIFS(R_Hval,R_St,"Submitted",R_Task,INDEX(R_Task,MATCH(22,R_TSeqP,0)))+SUMIFS(R_Hval,R_St,"Recall Requested",R_Task,INDEX(R_Task,MATCH(22,R_TSeqP,0))))</f>
        <v/>
      </c>
      <c r="I256" s="127" t="str">
        <f>IF(C256="","",SUMIFS(R_Hval,R_St,"Draft",R_Task,INDEX(R_Task,MATCH(22,R_TSeqP,0)))+SUMIFS(R_Hval,R_St,"Returned",R_Task,INDEX(R_Task,MATCH(22,R_TSeqP,0))))</f>
        <v/>
      </c>
      <c r="J256" s="172" t="str">
        <f>IF(C256="","",COUNTIFS(R_Emp,"proMX",R_Valid,1,R_Task,INDEX(R_Task,MATCH(22,R_TSeqP,0))))</f>
        <v/>
      </c>
    </row>
    <row r="257">
      <c r="B257" s="172" t="n">
        <v>23</v>
      </c>
      <c r="C257" s="95" t="str">
        <f>IFERROR(INDEX(R_Task,MATCH(23,R_TSeqP,0))&amp;"","")</f>
        <v/>
      </c>
      <c r="D257" s="95" t="str">
        <f>IFERROR(INDEX(R_Proy,MATCH(23,R_TSeqP,0))&amp;"","")</f>
        <v/>
      </c>
      <c r="E257" s="127" t="str">
        <f>IF(C257="","",SUMIFS(R_Hcnt,R_Emp,"proMX",R_Task,INDEX(R_Task,MATCH(23,R_TSeqP,0))))</f>
        <v/>
      </c>
      <c r="F257" s="172" t="str">
        <f>IF(C257="","",SUMIFS(R_BlkV,R_Emp,"proMX",R_Task,INDEX(R_Task,MATCH(23,R_TSeqP,0)))-SUMIFS(R_BlkV,R_St,"Cancelled",R_Task,INDEX(R_Task,MATCH(23,R_TSeqP,0))))</f>
        <v/>
      </c>
      <c r="G257" s="127" t="str">
        <f>IF(C257="","",SUMIFS(R_Hval,R_St,"Approved",R_Task,INDEX(R_Task,MATCH(23,R_TSeqP,0))))</f>
        <v/>
      </c>
      <c r="H257" s="127" t="str">
        <f>IF(C257="","",SUMIFS(R_Hval,R_St,"Submitted",R_Task,INDEX(R_Task,MATCH(23,R_TSeqP,0)))+SUMIFS(R_Hval,R_St,"Recall Requested",R_Task,INDEX(R_Task,MATCH(23,R_TSeqP,0))))</f>
        <v/>
      </c>
      <c r="I257" s="127" t="str">
        <f>IF(C257="","",SUMIFS(R_Hval,R_St,"Draft",R_Task,INDEX(R_Task,MATCH(23,R_TSeqP,0)))+SUMIFS(R_Hval,R_St,"Returned",R_Task,INDEX(R_Task,MATCH(23,R_TSeqP,0))))</f>
        <v/>
      </c>
      <c r="J257" s="172" t="str">
        <f>IF(C257="","",COUNTIFS(R_Emp,"proMX",R_Valid,1,R_Task,INDEX(R_Task,MATCH(23,R_TSeqP,0))))</f>
        <v/>
      </c>
    </row>
    <row r="258">
      <c r="B258" s="172" t="n">
        <v>24</v>
      </c>
      <c r="C258" s="95" t="str">
        <f>IFERROR(INDEX(R_Task,MATCH(24,R_TSeqP,0))&amp;"","")</f>
        <v/>
      </c>
      <c r="D258" s="95" t="str">
        <f>IFERROR(INDEX(R_Proy,MATCH(24,R_TSeqP,0))&amp;"","")</f>
        <v/>
      </c>
      <c r="E258" s="127" t="str">
        <f>IF(C258="","",SUMIFS(R_Hcnt,R_Emp,"proMX",R_Task,INDEX(R_Task,MATCH(24,R_TSeqP,0))))</f>
        <v/>
      </c>
      <c r="F258" s="172" t="str">
        <f>IF(C258="","",SUMIFS(R_BlkV,R_Emp,"proMX",R_Task,INDEX(R_Task,MATCH(24,R_TSeqP,0)))-SUMIFS(R_BlkV,R_St,"Cancelled",R_Task,INDEX(R_Task,MATCH(24,R_TSeqP,0))))</f>
        <v/>
      </c>
      <c r="G258" s="127" t="str">
        <f>IF(C258="","",SUMIFS(R_Hval,R_St,"Approved",R_Task,INDEX(R_Task,MATCH(24,R_TSeqP,0))))</f>
        <v/>
      </c>
      <c r="H258" s="127" t="str">
        <f>IF(C258="","",SUMIFS(R_Hval,R_St,"Submitted",R_Task,INDEX(R_Task,MATCH(24,R_TSeqP,0)))+SUMIFS(R_Hval,R_St,"Recall Requested",R_Task,INDEX(R_Task,MATCH(24,R_TSeqP,0))))</f>
        <v/>
      </c>
      <c r="I258" s="127" t="str">
        <f>IF(C258="","",SUMIFS(R_Hval,R_St,"Draft",R_Task,INDEX(R_Task,MATCH(24,R_TSeqP,0)))+SUMIFS(R_Hval,R_St,"Returned",R_Task,INDEX(R_Task,MATCH(24,R_TSeqP,0))))</f>
        <v/>
      </c>
      <c r="J258" s="172" t="str">
        <f>IF(C258="","",COUNTIFS(R_Emp,"proMX",R_Valid,1,R_Task,INDEX(R_Task,MATCH(24,R_TSeqP,0))))</f>
        <v/>
      </c>
    </row>
    <row r="259">
      <c r="B259" s="172" t="n">
        <v>25</v>
      </c>
      <c r="C259" s="95" t="str">
        <f>IFERROR(INDEX(R_Task,MATCH(25,R_TSeqP,0))&amp;"","")</f>
        <v/>
      </c>
      <c r="D259" s="95" t="str">
        <f>IFERROR(INDEX(R_Proy,MATCH(25,R_TSeqP,0))&amp;"","")</f>
        <v/>
      </c>
      <c r="E259" s="127" t="str">
        <f>IF(C259="","",SUMIFS(R_Hcnt,R_Emp,"proMX",R_Task,INDEX(R_Task,MATCH(25,R_TSeqP,0))))</f>
        <v/>
      </c>
      <c r="F259" s="172" t="str">
        <f>IF(C259="","",SUMIFS(R_BlkV,R_Emp,"proMX",R_Task,INDEX(R_Task,MATCH(25,R_TSeqP,0)))-SUMIFS(R_BlkV,R_St,"Cancelled",R_Task,INDEX(R_Task,MATCH(25,R_TSeqP,0))))</f>
        <v/>
      </c>
      <c r="G259" s="127" t="str">
        <f>IF(C259="","",SUMIFS(R_Hval,R_St,"Approved",R_Task,INDEX(R_Task,MATCH(25,R_TSeqP,0))))</f>
        <v/>
      </c>
      <c r="H259" s="127" t="str">
        <f>IF(C259="","",SUMIFS(R_Hval,R_St,"Submitted",R_Task,INDEX(R_Task,MATCH(25,R_TSeqP,0)))+SUMIFS(R_Hval,R_St,"Recall Requested",R_Task,INDEX(R_Task,MATCH(25,R_TSeqP,0))))</f>
        <v/>
      </c>
      <c r="I259" s="127" t="str">
        <f>IF(C259="","",SUMIFS(R_Hval,R_St,"Draft",R_Task,INDEX(R_Task,MATCH(25,R_TSeqP,0)))+SUMIFS(R_Hval,R_St,"Returned",R_Task,INDEX(R_Task,MATCH(25,R_TSeqP,0))))</f>
        <v/>
      </c>
      <c r="J259" s="172" t="str">
        <f>IF(C259="","",COUNTIFS(R_Emp,"proMX",R_Valid,1,R_Task,INDEX(R_Task,MATCH(25,R_TSeqP,0))))</f>
        <v/>
      </c>
    </row>
    <row r="260">
      <c r="B260" s="172" t="n">
        <v>26</v>
      </c>
      <c r="C260" s="95" t="str">
        <f>IFERROR(INDEX(R_Task,MATCH(26,R_TSeqP,0))&amp;"","")</f>
        <v/>
      </c>
      <c r="D260" s="95" t="str">
        <f>IFERROR(INDEX(R_Proy,MATCH(26,R_TSeqP,0))&amp;"","")</f>
        <v/>
      </c>
      <c r="E260" s="127" t="str">
        <f>IF(C260="","",SUMIFS(R_Hcnt,R_Emp,"proMX",R_Task,INDEX(R_Task,MATCH(26,R_TSeqP,0))))</f>
        <v/>
      </c>
      <c r="F260" s="172" t="str">
        <f>IF(C260="","",SUMIFS(R_BlkV,R_Emp,"proMX",R_Task,INDEX(R_Task,MATCH(26,R_TSeqP,0)))-SUMIFS(R_BlkV,R_St,"Cancelled",R_Task,INDEX(R_Task,MATCH(26,R_TSeqP,0))))</f>
        <v/>
      </c>
      <c r="G260" s="127" t="str">
        <f>IF(C260="","",SUMIFS(R_Hval,R_St,"Approved",R_Task,INDEX(R_Task,MATCH(26,R_TSeqP,0))))</f>
        <v/>
      </c>
      <c r="H260" s="127" t="str">
        <f>IF(C260="","",SUMIFS(R_Hval,R_St,"Submitted",R_Task,INDEX(R_Task,MATCH(26,R_TSeqP,0)))+SUMIFS(R_Hval,R_St,"Recall Requested",R_Task,INDEX(R_Task,MATCH(26,R_TSeqP,0))))</f>
        <v/>
      </c>
      <c r="I260" s="127" t="str">
        <f>IF(C260="","",SUMIFS(R_Hval,R_St,"Draft",R_Task,INDEX(R_Task,MATCH(26,R_TSeqP,0)))+SUMIFS(R_Hval,R_St,"Returned",R_Task,INDEX(R_Task,MATCH(26,R_TSeqP,0))))</f>
        <v/>
      </c>
      <c r="J260" s="172" t="str">
        <f>IF(C260="","",COUNTIFS(R_Emp,"proMX",R_Valid,1,R_Task,INDEX(R_Task,MATCH(26,R_TSeqP,0))))</f>
        <v/>
      </c>
    </row>
    <row r="261">
      <c r="B261" s="172" t="n">
        <v>27</v>
      </c>
      <c r="C261" s="95" t="str">
        <f>IFERROR(INDEX(R_Task,MATCH(27,R_TSeqP,0))&amp;"","")</f>
        <v/>
      </c>
      <c r="D261" s="95" t="str">
        <f>IFERROR(INDEX(R_Proy,MATCH(27,R_TSeqP,0))&amp;"","")</f>
        <v/>
      </c>
      <c r="E261" s="127" t="str">
        <f>IF(C261="","",SUMIFS(R_Hcnt,R_Emp,"proMX",R_Task,INDEX(R_Task,MATCH(27,R_TSeqP,0))))</f>
        <v/>
      </c>
      <c r="F261" s="172" t="str">
        <f>IF(C261="","",SUMIFS(R_BlkV,R_Emp,"proMX",R_Task,INDEX(R_Task,MATCH(27,R_TSeqP,0)))-SUMIFS(R_BlkV,R_St,"Cancelled",R_Task,INDEX(R_Task,MATCH(27,R_TSeqP,0))))</f>
        <v/>
      </c>
      <c r="G261" s="127" t="str">
        <f>IF(C261="","",SUMIFS(R_Hval,R_St,"Approved",R_Task,INDEX(R_Task,MATCH(27,R_TSeqP,0))))</f>
        <v/>
      </c>
      <c r="H261" s="127" t="str">
        <f>IF(C261="","",SUMIFS(R_Hval,R_St,"Submitted",R_Task,INDEX(R_Task,MATCH(27,R_TSeqP,0)))+SUMIFS(R_Hval,R_St,"Recall Requested",R_Task,INDEX(R_Task,MATCH(27,R_TSeqP,0))))</f>
        <v/>
      </c>
      <c r="I261" s="127" t="str">
        <f>IF(C261="","",SUMIFS(R_Hval,R_St,"Draft",R_Task,INDEX(R_Task,MATCH(27,R_TSeqP,0)))+SUMIFS(R_Hval,R_St,"Returned",R_Task,INDEX(R_Task,MATCH(27,R_TSeqP,0))))</f>
        <v/>
      </c>
      <c r="J261" s="172" t="str">
        <f>IF(C261="","",COUNTIFS(R_Emp,"proMX",R_Valid,1,R_Task,INDEX(R_Task,MATCH(27,R_TSeqP,0))))</f>
        <v/>
      </c>
    </row>
    <row r="262">
      <c r="B262" s="172" t="n">
        <v>28</v>
      </c>
      <c r="C262" s="95" t="str">
        <f>IFERROR(INDEX(R_Task,MATCH(28,R_TSeqP,0))&amp;"","")</f>
        <v/>
      </c>
      <c r="D262" s="95" t="str">
        <f>IFERROR(INDEX(R_Proy,MATCH(28,R_TSeqP,0))&amp;"","")</f>
        <v/>
      </c>
      <c r="E262" s="127" t="str">
        <f>IF(C262="","",SUMIFS(R_Hcnt,R_Emp,"proMX",R_Task,INDEX(R_Task,MATCH(28,R_TSeqP,0))))</f>
        <v/>
      </c>
      <c r="F262" s="172" t="str">
        <f>IF(C262="","",SUMIFS(R_BlkV,R_Emp,"proMX",R_Task,INDEX(R_Task,MATCH(28,R_TSeqP,0)))-SUMIFS(R_BlkV,R_St,"Cancelled",R_Task,INDEX(R_Task,MATCH(28,R_TSeqP,0))))</f>
        <v/>
      </c>
      <c r="G262" s="127" t="str">
        <f>IF(C262="","",SUMIFS(R_Hval,R_St,"Approved",R_Task,INDEX(R_Task,MATCH(28,R_TSeqP,0))))</f>
        <v/>
      </c>
      <c r="H262" s="127" t="str">
        <f>IF(C262="","",SUMIFS(R_Hval,R_St,"Submitted",R_Task,INDEX(R_Task,MATCH(28,R_TSeqP,0)))+SUMIFS(R_Hval,R_St,"Recall Requested",R_Task,INDEX(R_Task,MATCH(28,R_TSeqP,0))))</f>
        <v/>
      </c>
      <c r="I262" s="127" t="str">
        <f>IF(C262="","",SUMIFS(R_Hval,R_St,"Draft",R_Task,INDEX(R_Task,MATCH(28,R_TSeqP,0)))+SUMIFS(R_Hval,R_St,"Returned",R_Task,INDEX(R_Task,MATCH(28,R_TSeqP,0))))</f>
        <v/>
      </c>
      <c r="J262" s="172" t="str">
        <f>IF(C262="","",COUNTIFS(R_Emp,"proMX",R_Valid,1,R_Task,INDEX(R_Task,MATCH(28,R_TSeqP,0))))</f>
        <v/>
      </c>
    </row>
    <row r="263">
      <c r="B263" s="172" t="n">
        <v>29</v>
      </c>
      <c r="C263" s="95" t="str">
        <f>IFERROR(INDEX(R_Task,MATCH(29,R_TSeqP,0))&amp;"","")</f>
        <v/>
      </c>
      <c r="D263" s="95" t="str">
        <f>IFERROR(INDEX(R_Proy,MATCH(29,R_TSeqP,0))&amp;"","")</f>
        <v/>
      </c>
      <c r="E263" s="127" t="str">
        <f>IF(C263="","",SUMIFS(R_Hcnt,R_Emp,"proMX",R_Task,INDEX(R_Task,MATCH(29,R_TSeqP,0))))</f>
        <v/>
      </c>
      <c r="F263" s="172" t="str">
        <f>IF(C263="","",SUMIFS(R_BlkV,R_Emp,"proMX",R_Task,INDEX(R_Task,MATCH(29,R_TSeqP,0)))-SUMIFS(R_BlkV,R_St,"Cancelled",R_Task,INDEX(R_Task,MATCH(29,R_TSeqP,0))))</f>
        <v/>
      </c>
      <c r="G263" s="127" t="str">
        <f>IF(C263="","",SUMIFS(R_Hval,R_St,"Approved",R_Task,INDEX(R_Task,MATCH(29,R_TSeqP,0))))</f>
        <v/>
      </c>
      <c r="H263" s="127" t="str">
        <f>IF(C263="","",SUMIFS(R_Hval,R_St,"Submitted",R_Task,INDEX(R_Task,MATCH(29,R_TSeqP,0)))+SUMIFS(R_Hval,R_St,"Recall Requested",R_Task,INDEX(R_Task,MATCH(29,R_TSeqP,0))))</f>
        <v/>
      </c>
      <c r="I263" s="127" t="str">
        <f>IF(C263="","",SUMIFS(R_Hval,R_St,"Draft",R_Task,INDEX(R_Task,MATCH(29,R_TSeqP,0)))+SUMIFS(R_Hval,R_St,"Returned",R_Task,INDEX(R_Task,MATCH(29,R_TSeqP,0))))</f>
        <v/>
      </c>
      <c r="J263" s="172" t="str">
        <f>IF(C263="","",COUNTIFS(R_Emp,"proMX",R_Valid,1,R_Task,INDEX(R_Task,MATCH(29,R_TSeqP,0))))</f>
        <v/>
      </c>
    </row>
    <row r="264">
      <c r="B264" s="172" t="n">
        <v>30</v>
      </c>
      <c r="C264" s="95" t="str">
        <f>IFERROR(INDEX(R_Task,MATCH(30,R_TSeqP,0))&amp;"","")</f>
        <v/>
      </c>
      <c r="D264" s="95" t="str">
        <f>IFERROR(INDEX(R_Proy,MATCH(30,R_TSeqP,0))&amp;"","")</f>
        <v/>
      </c>
      <c r="E264" s="127" t="str">
        <f>IF(C264="","",SUMIFS(R_Hcnt,R_Emp,"proMX",R_Task,INDEX(R_Task,MATCH(30,R_TSeqP,0))))</f>
        <v/>
      </c>
      <c r="F264" s="172" t="str">
        <f>IF(C264="","",SUMIFS(R_BlkV,R_Emp,"proMX",R_Task,INDEX(R_Task,MATCH(30,R_TSeqP,0)))-SUMIFS(R_BlkV,R_St,"Cancelled",R_Task,INDEX(R_Task,MATCH(30,R_TSeqP,0))))</f>
        <v/>
      </c>
      <c r="G264" s="127" t="str">
        <f>IF(C264="","",SUMIFS(R_Hval,R_St,"Approved",R_Task,INDEX(R_Task,MATCH(30,R_TSeqP,0))))</f>
        <v/>
      </c>
      <c r="H264" s="127" t="str">
        <f>IF(C264="","",SUMIFS(R_Hval,R_St,"Submitted",R_Task,INDEX(R_Task,MATCH(30,R_TSeqP,0)))+SUMIFS(R_Hval,R_St,"Recall Requested",R_Task,INDEX(R_Task,MATCH(30,R_TSeqP,0))))</f>
        <v/>
      </c>
      <c r="I264" s="127" t="str">
        <f>IF(C264="","",SUMIFS(R_Hval,R_St,"Draft",R_Task,INDEX(R_Task,MATCH(30,R_TSeqP,0)))+SUMIFS(R_Hval,R_St,"Returned",R_Task,INDEX(R_Task,MATCH(30,R_TSeqP,0))))</f>
        <v/>
      </c>
      <c r="J264" s="172" t="str">
        <f>IF(C264="","",COUNTIFS(R_Emp,"proMX",R_Valid,1,R_Task,INDEX(R_Task,MATCH(30,R_TSeqP,0))))</f>
        <v/>
      </c>
    </row>
    <row r="265">
      <c r="B265" s="172" t="n">
        <v>31</v>
      </c>
      <c r="C265" s="95" t="str">
        <f>IFERROR(INDEX(R_Task,MATCH(31,R_TSeqP,0))&amp;"","")</f>
        <v/>
      </c>
      <c r="D265" s="95" t="str">
        <f>IFERROR(INDEX(R_Proy,MATCH(31,R_TSeqP,0))&amp;"","")</f>
        <v/>
      </c>
      <c r="E265" s="127" t="str">
        <f>IF(C265="","",SUMIFS(R_Hcnt,R_Emp,"proMX",R_Task,INDEX(R_Task,MATCH(31,R_TSeqP,0))))</f>
        <v/>
      </c>
      <c r="F265" s="172" t="str">
        <f>IF(C265="","",SUMIFS(R_BlkV,R_Emp,"proMX",R_Task,INDEX(R_Task,MATCH(31,R_TSeqP,0)))-SUMIFS(R_BlkV,R_St,"Cancelled",R_Task,INDEX(R_Task,MATCH(31,R_TSeqP,0))))</f>
        <v/>
      </c>
      <c r="G265" s="127" t="str">
        <f>IF(C265="","",SUMIFS(R_Hval,R_St,"Approved",R_Task,INDEX(R_Task,MATCH(31,R_TSeqP,0))))</f>
        <v/>
      </c>
      <c r="H265" s="127" t="str">
        <f>IF(C265="","",SUMIFS(R_Hval,R_St,"Submitted",R_Task,INDEX(R_Task,MATCH(31,R_TSeqP,0)))+SUMIFS(R_Hval,R_St,"Recall Requested",R_Task,INDEX(R_Task,MATCH(31,R_TSeqP,0))))</f>
        <v/>
      </c>
      <c r="I265" s="127" t="str">
        <f>IF(C265="","",SUMIFS(R_Hval,R_St,"Draft",R_Task,INDEX(R_Task,MATCH(31,R_TSeqP,0)))+SUMIFS(R_Hval,R_St,"Returned",R_Task,INDEX(R_Task,MATCH(31,R_TSeqP,0))))</f>
        <v/>
      </c>
      <c r="J265" s="172" t="str">
        <f>IF(C265="","",COUNTIFS(R_Emp,"proMX",R_Valid,1,R_Task,INDEX(R_Task,MATCH(31,R_TSeqP,0))))</f>
        <v/>
      </c>
    </row>
    <row r="266">
      <c r="B266" s="172" t="n">
        <v>32</v>
      </c>
      <c r="C266" s="95" t="str">
        <f>IFERROR(INDEX(R_Task,MATCH(32,R_TSeqP,0))&amp;"","")</f>
        <v/>
      </c>
      <c r="D266" s="95" t="str">
        <f>IFERROR(INDEX(R_Proy,MATCH(32,R_TSeqP,0))&amp;"","")</f>
        <v/>
      </c>
      <c r="E266" s="127" t="str">
        <f>IF(C266="","",SUMIFS(R_Hcnt,R_Emp,"proMX",R_Task,INDEX(R_Task,MATCH(32,R_TSeqP,0))))</f>
        <v/>
      </c>
      <c r="F266" s="172" t="str">
        <f>IF(C266="","",SUMIFS(R_BlkV,R_Emp,"proMX",R_Task,INDEX(R_Task,MATCH(32,R_TSeqP,0)))-SUMIFS(R_BlkV,R_St,"Cancelled",R_Task,INDEX(R_Task,MATCH(32,R_TSeqP,0))))</f>
        <v/>
      </c>
      <c r="G266" s="127" t="str">
        <f>IF(C266="","",SUMIFS(R_Hval,R_St,"Approved",R_Task,INDEX(R_Task,MATCH(32,R_TSeqP,0))))</f>
        <v/>
      </c>
      <c r="H266" s="127" t="str">
        <f>IF(C266="","",SUMIFS(R_Hval,R_St,"Submitted",R_Task,INDEX(R_Task,MATCH(32,R_TSeqP,0)))+SUMIFS(R_Hval,R_St,"Recall Requested",R_Task,INDEX(R_Task,MATCH(32,R_TSeqP,0))))</f>
        <v/>
      </c>
      <c r="I266" s="127" t="str">
        <f>IF(C266="","",SUMIFS(R_Hval,R_St,"Draft",R_Task,INDEX(R_Task,MATCH(32,R_TSeqP,0)))+SUMIFS(R_Hval,R_St,"Returned",R_Task,INDEX(R_Task,MATCH(32,R_TSeqP,0))))</f>
        <v/>
      </c>
      <c r="J266" s="172" t="str">
        <f>IF(C266="","",COUNTIFS(R_Emp,"proMX",R_Valid,1,R_Task,INDEX(R_Task,MATCH(32,R_TSeqP,0))))</f>
        <v/>
      </c>
    </row>
    <row r="267">
      <c r="B267" s="172" t="n">
        <v>33</v>
      </c>
      <c r="C267" s="95" t="str">
        <f>IFERROR(INDEX(R_Task,MATCH(33,R_TSeqP,0))&amp;"","")</f>
        <v/>
      </c>
      <c r="D267" s="95" t="str">
        <f>IFERROR(INDEX(R_Proy,MATCH(33,R_TSeqP,0))&amp;"","")</f>
        <v/>
      </c>
      <c r="E267" s="127" t="str">
        <f>IF(C267="","",SUMIFS(R_Hcnt,R_Emp,"proMX",R_Task,INDEX(R_Task,MATCH(33,R_TSeqP,0))))</f>
        <v/>
      </c>
      <c r="F267" s="172" t="str">
        <f>IF(C267="","",SUMIFS(R_BlkV,R_Emp,"proMX",R_Task,INDEX(R_Task,MATCH(33,R_TSeqP,0)))-SUMIFS(R_BlkV,R_St,"Cancelled",R_Task,INDEX(R_Task,MATCH(33,R_TSeqP,0))))</f>
        <v/>
      </c>
      <c r="G267" s="127" t="str">
        <f>IF(C267="","",SUMIFS(R_Hval,R_St,"Approved",R_Task,INDEX(R_Task,MATCH(33,R_TSeqP,0))))</f>
        <v/>
      </c>
      <c r="H267" s="127" t="str">
        <f>IF(C267="","",SUMIFS(R_Hval,R_St,"Submitted",R_Task,INDEX(R_Task,MATCH(33,R_TSeqP,0)))+SUMIFS(R_Hval,R_St,"Recall Requested",R_Task,INDEX(R_Task,MATCH(33,R_TSeqP,0))))</f>
        <v/>
      </c>
      <c r="I267" s="127" t="str">
        <f>IF(C267="","",SUMIFS(R_Hval,R_St,"Draft",R_Task,INDEX(R_Task,MATCH(33,R_TSeqP,0)))+SUMIFS(R_Hval,R_St,"Returned",R_Task,INDEX(R_Task,MATCH(33,R_TSeqP,0))))</f>
        <v/>
      </c>
      <c r="J267" s="172" t="str">
        <f>IF(C267="","",COUNTIFS(R_Emp,"proMX",R_Valid,1,R_Task,INDEX(R_Task,MATCH(33,R_TSeqP,0))))</f>
        <v/>
      </c>
    </row>
    <row r="268">
      <c r="B268" s="172" t="n">
        <v>34</v>
      </c>
      <c r="C268" s="95" t="str">
        <f>IFERROR(INDEX(R_Task,MATCH(34,R_TSeqP,0))&amp;"","")</f>
        <v/>
      </c>
      <c r="D268" s="95" t="str">
        <f>IFERROR(INDEX(R_Proy,MATCH(34,R_TSeqP,0))&amp;"","")</f>
        <v/>
      </c>
      <c r="E268" s="127" t="str">
        <f>IF(C268="","",SUMIFS(R_Hcnt,R_Emp,"proMX",R_Task,INDEX(R_Task,MATCH(34,R_TSeqP,0))))</f>
        <v/>
      </c>
      <c r="F268" s="172" t="str">
        <f>IF(C268="","",SUMIFS(R_BlkV,R_Emp,"proMX",R_Task,INDEX(R_Task,MATCH(34,R_TSeqP,0)))-SUMIFS(R_BlkV,R_St,"Cancelled",R_Task,INDEX(R_Task,MATCH(34,R_TSeqP,0))))</f>
        <v/>
      </c>
      <c r="G268" s="127" t="str">
        <f>IF(C268="","",SUMIFS(R_Hval,R_St,"Approved",R_Task,INDEX(R_Task,MATCH(34,R_TSeqP,0))))</f>
        <v/>
      </c>
      <c r="H268" s="127" t="str">
        <f>IF(C268="","",SUMIFS(R_Hval,R_St,"Submitted",R_Task,INDEX(R_Task,MATCH(34,R_TSeqP,0)))+SUMIFS(R_Hval,R_St,"Recall Requested",R_Task,INDEX(R_Task,MATCH(34,R_TSeqP,0))))</f>
        <v/>
      </c>
      <c r="I268" s="127" t="str">
        <f>IF(C268="","",SUMIFS(R_Hval,R_St,"Draft",R_Task,INDEX(R_Task,MATCH(34,R_TSeqP,0)))+SUMIFS(R_Hval,R_St,"Returned",R_Task,INDEX(R_Task,MATCH(34,R_TSeqP,0))))</f>
        <v/>
      </c>
      <c r="J268" s="172" t="str">
        <f>IF(C268="","",COUNTIFS(R_Emp,"proMX",R_Valid,1,R_Task,INDEX(R_Task,MATCH(34,R_TSeqP,0))))</f>
        <v/>
      </c>
    </row>
    <row r="269">
      <c r="B269" s="172" t="n">
        <v>35</v>
      </c>
      <c r="C269" s="95" t="str">
        <f>IFERROR(INDEX(R_Task,MATCH(35,R_TSeqP,0))&amp;"","")</f>
        <v/>
      </c>
      <c r="D269" s="95" t="str">
        <f>IFERROR(INDEX(R_Proy,MATCH(35,R_TSeqP,0))&amp;"","")</f>
        <v/>
      </c>
      <c r="E269" s="127" t="str">
        <f>IF(C269="","",SUMIFS(R_Hcnt,R_Emp,"proMX",R_Task,INDEX(R_Task,MATCH(35,R_TSeqP,0))))</f>
        <v/>
      </c>
      <c r="F269" s="172" t="str">
        <f>IF(C269="","",SUMIFS(R_BlkV,R_Emp,"proMX",R_Task,INDEX(R_Task,MATCH(35,R_TSeqP,0)))-SUMIFS(R_BlkV,R_St,"Cancelled",R_Task,INDEX(R_Task,MATCH(35,R_TSeqP,0))))</f>
        <v/>
      </c>
      <c r="G269" s="127" t="str">
        <f>IF(C269="","",SUMIFS(R_Hval,R_St,"Approved",R_Task,INDEX(R_Task,MATCH(35,R_TSeqP,0))))</f>
        <v/>
      </c>
      <c r="H269" s="127" t="str">
        <f>IF(C269="","",SUMIFS(R_Hval,R_St,"Submitted",R_Task,INDEX(R_Task,MATCH(35,R_TSeqP,0)))+SUMIFS(R_Hval,R_St,"Recall Requested",R_Task,INDEX(R_Task,MATCH(35,R_TSeqP,0))))</f>
        <v/>
      </c>
      <c r="I269" s="127" t="str">
        <f>IF(C269="","",SUMIFS(R_Hval,R_St,"Draft",R_Task,INDEX(R_Task,MATCH(35,R_TSeqP,0)))+SUMIFS(R_Hval,R_St,"Returned",R_Task,INDEX(R_Task,MATCH(35,R_TSeqP,0))))</f>
        <v/>
      </c>
      <c r="J269" s="172" t="str">
        <f>IF(C269="","",COUNTIFS(R_Emp,"proMX",R_Valid,1,R_Task,INDEX(R_Task,MATCH(35,R_TSeqP,0))))</f>
        <v/>
      </c>
    </row>
    <row r="270">
      <c r="B270" s="172" t="n">
        <v>36</v>
      </c>
      <c r="C270" s="95" t="str">
        <f>IFERROR(INDEX(R_Task,MATCH(36,R_TSeqP,0))&amp;"","")</f>
        <v/>
      </c>
      <c r="D270" s="95" t="str">
        <f>IFERROR(INDEX(R_Proy,MATCH(36,R_TSeqP,0))&amp;"","")</f>
        <v/>
      </c>
      <c r="E270" s="127" t="str">
        <f>IF(C270="","",SUMIFS(R_Hcnt,R_Emp,"proMX",R_Task,INDEX(R_Task,MATCH(36,R_TSeqP,0))))</f>
        <v/>
      </c>
      <c r="F270" s="172" t="str">
        <f>IF(C270="","",SUMIFS(R_BlkV,R_Emp,"proMX",R_Task,INDEX(R_Task,MATCH(36,R_TSeqP,0)))-SUMIFS(R_BlkV,R_St,"Cancelled",R_Task,INDEX(R_Task,MATCH(36,R_TSeqP,0))))</f>
        <v/>
      </c>
      <c r="G270" s="127" t="str">
        <f>IF(C270="","",SUMIFS(R_Hval,R_St,"Approved",R_Task,INDEX(R_Task,MATCH(36,R_TSeqP,0))))</f>
        <v/>
      </c>
      <c r="H270" s="127" t="str">
        <f>IF(C270="","",SUMIFS(R_Hval,R_St,"Submitted",R_Task,INDEX(R_Task,MATCH(36,R_TSeqP,0)))+SUMIFS(R_Hval,R_St,"Recall Requested",R_Task,INDEX(R_Task,MATCH(36,R_TSeqP,0))))</f>
        <v/>
      </c>
      <c r="I270" s="127" t="str">
        <f>IF(C270="","",SUMIFS(R_Hval,R_St,"Draft",R_Task,INDEX(R_Task,MATCH(36,R_TSeqP,0)))+SUMIFS(R_Hval,R_St,"Returned",R_Task,INDEX(R_Task,MATCH(36,R_TSeqP,0))))</f>
        <v/>
      </c>
      <c r="J270" s="172" t="str">
        <f>IF(C270="","",COUNTIFS(R_Emp,"proMX",R_Valid,1,R_Task,INDEX(R_Task,MATCH(36,R_TSeqP,0))))</f>
        <v/>
      </c>
    </row>
    <row r="271">
      <c r="B271" s="172" t="n">
        <v>37</v>
      </c>
      <c r="C271" s="95" t="str">
        <f>IFERROR(INDEX(R_Task,MATCH(37,R_TSeqP,0))&amp;"","")</f>
        <v/>
      </c>
      <c r="D271" s="95" t="str">
        <f>IFERROR(INDEX(R_Proy,MATCH(37,R_TSeqP,0))&amp;"","")</f>
        <v/>
      </c>
      <c r="E271" s="127" t="str">
        <f>IF(C271="","",SUMIFS(R_Hcnt,R_Emp,"proMX",R_Task,INDEX(R_Task,MATCH(37,R_TSeqP,0))))</f>
        <v/>
      </c>
      <c r="F271" s="172" t="str">
        <f>IF(C271="","",SUMIFS(R_BlkV,R_Emp,"proMX",R_Task,INDEX(R_Task,MATCH(37,R_TSeqP,0)))-SUMIFS(R_BlkV,R_St,"Cancelled",R_Task,INDEX(R_Task,MATCH(37,R_TSeqP,0))))</f>
        <v/>
      </c>
      <c r="G271" s="127" t="str">
        <f>IF(C271="","",SUMIFS(R_Hval,R_St,"Approved",R_Task,INDEX(R_Task,MATCH(37,R_TSeqP,0))))</f>
        <v/>
      </c>
      <c r="H271" s="127" t="str">
        <f>IF(C271="","",SUMIFS(R_Hval,R_St,"Submitted",R_Task,INDEX(R_Task,MATCH(37,R_TSeqP,0)))+SUMIFS(R_Hval,R_St,"Recall Requested",R_Task,INDEX(R_Task,MATCH(37,R_TSeqP,0))))</f>
        <v/>
      </c>
      <c r="I271" s="127" t="str">
        <f>IF(C271="","",SUMIFS(R_Hval,R_St,"Draft",R_Task,INDEX(R_Task,MATCH(37,R_TSeqP,0)))+SUMIFS(R_Hval,R_St,"Returned",R_Task,INDEX(R_Task,MATCH(37,R_TSeqP,0))))</f>
        <v/>
      </c>
      <c r="J271" s="172" t="str">
        <f>IF(C271="","",COUNTIFS(R_Emp,"proMX",R_Valid,1,R_Task,INDEX(R_Task,MATCH(37,R_TSeqP,0))))</f>
        <v/>
      </c>
    </row>
    <row r="272">
      <c r="B272" s="172" t="n">
        <v>38</v>
      </c>
      <c r="C272" s="95" t="str">
        <f>IFERROR(INDEX(R_Task,MATCH(38,R_TSeqP,0))&amp;"","")</f>
        <v/>
      </c>
      <c r="D272" s="95" t="str">
        <f>IFERROR(INDEX(R_Proy,MATCH(38,R_TSeqP,0))&amp;"","")</f>
        <v/>
      </c>
      <c r="E272" s="127" t="str">
        <f>IF(C272="","",SUMIFS(R_Hcnt,R_Emp,"proMX",R_Task,INDEX(R_Task,MATCH(38,R_TSeqP,0))))</f>
        <v/>
      </c>
      <c r="F272" s="172" t="str">
        <f>IF(C272="","",SUMIFS(R_BlkV,R_Emp,"proMX",R_Task,INDEX(R_Task,MATCH(38,R_TSeqP,0)))-SUMIFS(R_BlkV,R_St,"Cancelled",R_Task,INDEX(R_Task,MATCH(38,R_TSeqP,0))))</f>
        <v/>
      </c>
      <c r="G272" s="127" t="str">
        <f>IF(C272="","",SUMIFS(R_Hval,R_St,"Approved",R_Task,INDEX(R_Task,MATCH(38,R_TSeqP,0))))</f>
        <v/>
      </c>
      <c r="H272" s="127" t="str">
        <f>IF(C272="","",SUMIFS(R_Hval,R_St,"Submitted",R_Task,INDEX(R_Task,MATCH(38,R_TSeqP,0)))+SUMIFS(R_Hval,R_St,"Recall Requested",R_Task,INDEX(R_Task,MATCH(38,R_TSeqP,0))))</f>
        <v/>
      </c>
      <c r="I272" s="127" t="str">
        <f>IF(C272="","",SUMIFS(R_Hval,R_St,"Draft",R_Task,INDEX(R_Task,MATCH(38,R_TSeqP,0)))+SUMIFS(R_Hval,R_St,"Returned",R_Task,INDEX(R_Task,MATCH(38,R_TSeqP,0))))</f>
        <v/>
      </c>
      <c r="J272" s="172" t="str">
        <f>IF(C272="","",COUNTIFS(R_Emp,"proMX",R_Valid,1,R_Task,INDEX(R_Task,MATCH(38,R_TSeqP,0))))</f>
        <v/>
      </c>
    </row>
    <row r="273">
      <c r="B273" s="172" t="n">
        <v>39</v>
      </c>
      <c r="C273" s="95" t="str">
        <f>IFERROR(INDEX(R_Task,MATCH(39,R_TSeqP,0))&amp;"","")</f>
        <v/>
      </c>
      <c r="D273" s="95" t="str">
        <f>IFERROR(INDEX(R_Proy,MATCH(39,R_TSeqP,0))&amp;"","")</f>
        <v/>
      </c>
      <c r="E273" s="127" t="str">
        <f>IF(C273="","",SUMIFS(R_Hcnt,R_Emp,"proMX",R_Task,INDEX(R_Task,MATCH(39,R_TSeqP,0))))</f>
        <v/>
      </c>
      <c r="F273" s="172" t="str">
        <f>IF(C273="","",SUMIFS(R_BlkV,R_Emp,"proMX",R_Task,INDEX(R_Task,MATCH(39,R_TSeqP,0)))-SUMIFS(R_BlkV,R_St,"Cancelled",R_Task,INDEX(R_Task,MATCH(39,R_TSeqP,0))))</f>
        <v/>
      </c>
      <c r="G273" s="127" t="str">
        <f>IF(C273="","",SUMIFS(R_Hval,R_St,"Approved",R_Task,INDEX(R_Task,MATCH(39,R_TSeqP,0))))</f>
        <v/>
      </c>
      <c r="H273" s="127" t="str">
        <f>IF(C273="","",SUMIFS(R_Hval,R_St,"Submitted",R_Task,INDEX(R_Task,MATCH(39,R_TSeqP,0)))+SUMIFS(R_Hval,R_St,"Recall Requested",R_Task,INDEX(R_Task,MATCH(39,R_TSeqP,0))))</f>
        <v/>
      </c>
      <c r="I273" s="127" t="str">
        <f>IF(C273="","",SUMIFS(R_Hval,R_St,"Draft",R_Task,INDEX(R_Task,MATCH(39,R_TSeqP,0)))+SUMIFS(R_Hval,R_St,"Returned",R_Task,INDEX(R_Task,MATCH(39,R_TSeqP,0))))</f>
        <v/>
      </c>
      <c r="J273" s="172" t="str">
        <f>IF(C273="","",COUNTIFS(R_Emp,"proMX",R_Valid,1,R_Task,INDEX(R_Task,MATCH(39,R_TSeqP,0))))</f>
        <v/>
      </c>
    </row>
    <row r="274">
      <c r="B274" s="172" t="n">
        <v>40</v>
      </c>
      <c r="C274" s="95" t="str">
        <f>IFERROR(INDEX(R_Task,MATCH(40,R_TSeqP,0))&amp;"","")</f>
        <v/>
      </c>
      <c r="D274" s="95" t="str">
        <f>IFERROR(INDEX(R_Proy,MATCH(40,R_TSeqP,0))&amp;"","")</f>
        <v/>
      </c>
      <c r="E274" s="127" t="str">
        <f>IF(C274="","",SUMIFS(R_Hcnt,R_Emp,"proMX",R_Task,INDEX(R_Task,MATCH(40,R_TSeqP,0))))</f>
        <v/>
      </c>
      <c r="F274" s="172" t="str">
        <f>IF(C274="","",SUMIFS(R_BlkV,R_Emp,"proMX",R_Task,INDEX(R_Task,MATCH(40,R_TSeqP,0)))-SUMIFS(R_BlkV,R_St,"Cancelled",R_Task,INDEX(R_Task,MATCH(40,R_TSeqP,0))))</f>
        <v/>
      </c>
      <c r="G274" s="127" t="str">
        <f>IF(C274="","",SUMIFS(R_Hval,R_St,"Approved",R_Task,INDEX(R_Task,MATCH(40,R_TSeqP,0))))</f>
        <v/>
      </c>
      <c r="H274" s="127" t="str">
        <f>IF(C274="","",SUMIFS(R_Hval,R_St,"Submitted",R_Task,INDEX(R_Task,MATCH(40,R_TSeqP,0)))+SUMIFS(R_Hval,R_St,"Recall Requested",R_Task,INDEX(R_Task,MATCH(40,R_TSeqP,0))))</f>
        <v/>
      </c>
      <c r="I274" s="127" t="str">
        <f>IF(C274="","",SUMIFS(R_Hval,R_St,"Draft",R_Task,INDEX(R_Task,MATCH(40,R_TSeqP,0)))+SUMIFS(R_Hval,R_St,"Returned",R_Task,INDEX(R_Task,MATCH(40,R_TSeqP,0))))</f>
        <v/>
      </c>
      <c r="J274" s="172" t="str">
        <f>IF(C274="","",COUNTIFS(R_Emp,"proMX",R_Valid,1,R_Task,INDEX(R_Task,MATCH(40,R_TSeqP,0))))</f>
        <v/>
      </c>
    </row>
    <row r="275">
      <c r="B275" s="172" t="n">
        <v>41</v>
      </c>
      <c r="C275" s="95" t="str">
        <f>IFERROR(INDEX(R_Task,MATCH(41,R_TSeqP,0))&amp;"","")</f>
        <v/>
      </c>
      <c r="D275" s="95" t="str">
        <f>IFERROR(INDEX(R_Proy,MATCH(41,R_TSeqP,0))&amp;"","")</f>
        <v/>
      </c>
      <c r="E275" s="127" t="str">
        <f>IF(C275="","",SUMIFS(R_Hcnt,R_Emp,"proMX",R_Task,INDEX(R_Task,MATCH(41,R_TSeqP,0))))</f>
        <v/>
      </c>
      <c r="F275" s="172" t="str">
        <f>IF(C275="","",SUMIFS(R_BlkV,R_Emp,"proMX",R_Task,INDEX(R_Task,MATCH(41,R_TSeqP,0)))-SUMIFS(R_BlkV,R_St,"Cancelled",R_Task,INDEX(R_Task,MATCH(41,R_TSeqP,0))))</f>
        <v/>
      </c>
      <c r="G275" s="127" t="str">
        <f>IF(C275="","",SUMIFS(R_Hval,R_St,"Approved",R_Task,INDEX(R_Task,MATCH(41,R_TSeqP,0))))</f>
        <v/>
      </c>
      <c r="H275" s="127" t="str">
        <f>IF(C275="","",SUMIFS(R_Hval,R_St,"Submitted",R_Task,INDEX(R_Task,MATCH(41,R_TSeqP,0)))+SUMIFS(R_Hval,R_St,"Recall Requested",R_Task,INDEX(R_Task,MATCH(41,R_TSeqP,0))))</f>
        <v/>
      </c>
      <c r="I275" s="127" t="str">
        <f>IF(C275="","",SUMIFS(R_Hval,R_St,"Draft",R_Task,INDEX(R_Task,MATCH(41,R_TSeqP,0)))+SUMIFS(R_Hval,R_St,"Returned",R_Task,INDEX(R_Task,MATCH(41,R_TSeqP,0))))</f>
        <v/>
      </c>
      <c r="J275" s="172" t="str">
        <f>IF(C275="","",COUNTIFS(R_Emp,"proMX",R_Valid,1,R_Task,INDEX(R_Task,MATCH(41,R_TSeqP,0))))</f>
        <v/>
      </c>
    </row>
    <row r="276">
      <c r="B276" s="172" t="n">
        <v>42</v>
      </c>
      <c r="C276" s="95" t="str">
        <f>IFERROR(INDEX(R_Task,MATCH(42,R_TSeqP,0))&amp;"","")</f>
        <v/>
      </c>
      <c r="D276" s="95" t="str">
        <f>IFERROR(INDEX(R_Proy,MATCH(42,R_TSeqP,0))&amp;"","")</f>
        <v/>
      </c>
      <c r="E276" s="127" t="str">
        <f>IF(C276="","",SUMIFS(R_Hcnt,R_Emp,"proMX",R_Task,INDEX(R_Task,MATCH(42,R_TSeqP,0))))</f>
        <v/>
      </c>
      <c r="F276" s="172" t="str">
        <f>IF(C276="","",SUMIFS(R_BlkV,R_Emp,"proMX",R_Task,INDEX(R_Task,MATCH(42,R_TSeqP,0)))-SUMIFS(R_BlkV,R_St,"Cancelled",R_Task,INDEX(R_Task,MATCH(42,R_TSeqP,0))))</f>
        <v/>
      </c>
      <c r="G276" s="127" t="str">
        <f>IF(C276="","",SUMIFS(R_Hval,R_St,"Approved",R_Task,INDEX(R_Task,MATCH(42,R_TSeqP,0))))</f>
        <v/>
      </c>
      <c r="H276" s="127" t="str">
        <f>IF(C276="","",SUMIFS(R_Hval,R_St,"Submitted",R_Task,INDEX(R_Task,MATCH(42,R_TSeqP,0)))+SUMIFS(R_Hval,R_St,"Recall Requested",R_Task,INDEX(R_Task,MATCH(42,R_TSeqP,0))))</f>
        <v/>
      </c>
      <c r="I276" s="127" t="str">
        <f>IF(C276="","",SUMIFS(R_Hval,R_St,"Draft",R_Task,INDEX(R_Task,MATCH(42,R_TSeqP,0)))+SUMIFS(R_Hval,R_St,"Returned",R_Task,INDEX(R_Task,MATCH(42,R_TSeqP,0))))</f>
        <v/>
      </c>
      <c r="J276" s="172" t="str">
        <f>IF(C276="","",COUNTIFS(R_Emp,"proMX",R_Valid,1,R_Task,INDEX(R_Task,MATCH(42,R_TSeqP,0))))</f>
        <v/>
      </c>
    </row>
    <row r="277">
      <c r="B277" s="172" t="n">
        <v>43</v>
      </c>
      <c r="C277" s="95" t="str">
        <f>IFERROR(INDEX(R_Task,MATCH(43,R_TSeqP,0))&amp;"","")</f>
        <v/>
      </c>
      <c r="D277" s="95" t="str">
        <f>IFERROR(INDEX(R_Proy,MATCH(43,R_TSeqP,0))&amp;"","")</f>
        <v/>
      </c>
      <c r="E277" s="127" t="str">
        <f>IF(C277="","",SUMIFS(R_Hcnt,R_Emp,"proMX",R_Task,INDEX(R_Task,MATCH(43,R_TSeqP,0))))</f>
        <v/>
      </c>
      <c r="F277" s="172" t="str">
        <f>IF(C277="","",SUMIFS(R_BlkV,R_Emp,"proMX",R_Task,INDEX(R_Task,MATCH(43,R_TSeqP,0)))-SUMIFS(R_BlkV,R_St,"Cancelled",R_Task,INDEX(R_Task,MATCH(43,R_TSeqP,0))))</f>
        <v/>
      </c>
      <c r="G277" s="127" t="str">
        <f>IF(C277="","",SUMIFS(R_Hval,R_St,"Approved",R_Task,INDEX(R_Task,MATCH(43,R_TSeqP,0))))</f>
        <v/>
      </c>
      <c r="H277" s="127" t="str">
        <f>IF(C277="","",SUMIFS(R_Hval,R_St,"Submitted",R_Task,INDEX(R_Task,MATCH(43,R_TSeqP,0)))+SUMIFS(R_Hval,R_St,"Recall Requested",R_Task,INDEX(R_Task,MATCH(43,R_TSeqP,0))))</f>
        <v/>
      </c>
      <c r="I277" s="127" t="str">
        <f>IF(C277="","",SUMIFS(R_Hval,R_St,"Draft",R_Task,INDEX(R_Task,MATCH(43,R_TSeqP,0)))+SUMIFS(R_Hval,R_St,"Returned",R_Task,INDEX(R_Task,MATCH(43,R_TSeqP,0))))</f>
        <v/>
      </c>
      <c r="J277" s="172" t="str">
        <f>IF(C277="","",COUNTIFS(R_Emp,"proMX",R_Valid,1,R_Task,INDEX(R_Task,MATCH(43,R_TSeqP,0))))</f>
        <v/>
      </c>
    </row>
    <row r="278">
      <c r="B278" s="172" t="n">
        <v>44</v>
      </c>
      <c r="C278" s="95" t="str">
        <f>IFERROR(INDEX(R_Task,MATCH(44,R_TSeqP,0))&amp;"","")</f>
        <v/>
      </c>
      <c r="D278" s="95" t="str">
        <f>IFERROR(INDEX(R_Proy,MATCH(44,R_TSeqP,0))&amp;"","")</f>
        <v/>
      </c>
      <c r="E278" s="127" t="str">
        <f>IF(C278="","",SUMIFS(R_Hcnt,R_Emp,"proMX",R_Task,INDEX(R_Task,MATCH(44,R_TSeqP,0))))</f>
        <v/>
      </c>
      <c r="F278" s="172" t="str">
        <f>IF(C278="","",SUMIFS(R_BlkV,R_Emp,"proMX",R_Task,INDEX(R_Task,MATCH(44,R_TSeqP,0)))-SUMIFS(R_BlkV,R_St,"Cancelled",R_Task,INDEX(R_Task,MATCH(44,R_TSeqP,0))))</f>
        <v/>
      </c>
      <c r="G278" s="127" t="str">
        <f>IF(C278="","",SUMIFS(R_Hval,R_St,"Approved",R_Task,INDEX(R_Task,MATCH(44,R_TSeqP,0))))</f>
        <v/>
      </c>
      <c r="H278" s="127" t="str">
        <f>IF(C278="","",SUMIFS(R_Hval,R_St,"Submitted",R_Task,INDEX(R_Task,MATCH(44,R_TSeqP,0)))+SUMIFS(R_Hval,R_St,"Recall Requested",R_Task,INDEX(R_Task,MATCH(44,R_TSeqP,0))))</f>
        <v/>
      </c>
      <c r="I278" s="127" t="str">
        <f>IF(C278="","",SUMIFS(R_Hval,R_St,"Draft",R_Task,INDEX(R_Task,MATCH(44,R_TSeqP,0)))+SUMIFS(R_Hval,R_St,"Returned",R_Task,INDEX(R_Task,MATCH(44,R_TSeqP,0))))</f>
        <v/>
      </c>
      <c r="J278" s="172" t="str">
        <f>IF(C278="","",COUNTIFS(R_Emp,"proMX",R_Valid,1,R_Task,INDEX(R_Task,MATCH(44,R_TSeqP,0))))</f>
        <v/>
      </c>
    </row>
    <row r="279">
      <c r="B279" s="172" t="n">
        <v>45</v>
      </c>
      <c r="C279" s="95" t="str">
        <f>IFERROR(INDEX(R_Task,MATCH(45,R_TSeqP,0))&amp;"","")</f>
        <v/>
      </c>
      <c r="D279" s="95" t="str">
        <f>IFERROR(INDEX(R_Proy,MATCH(45,R_TSeqP,0))&amp;"","")</f>
        <v/>
      </c>
      <c r="E279" s="127" t="str">
        <f>IF(C279="","",SUMIFS(R_Hcnt,R_Emp,"proMX",R_Task,INDEX(R_Task,MATCH(45,R_TSeqP,0))))</f>
        <v/>
      </c>
      <c r="F279" s="172" t="str">
        <f>IF(C279="","",SUMIFS(R_BlkV,R_Emp,"proMX",R_Task,INDEX(R_Task,MATCH(45,R_TSeqP,0)))-SUMIFS(R_BlkV,R_St,"Cancelled",R_Task,INDEX(R_Task,MATCH(45,R_TSeqP,0))))</f>
        <v/>
      </c>
      <c r="G279" s="127" t="str">
        <f>IF(C279="","",SUMIFS(R_Hval,R_St,"Approved",R_Task,INDEX(R_Task,MATCH(45,R_TSeqP,0))))</f>
        <v/>
      </c>
      <c r="H279" s="127" t="str">
        <f>IF(C279="","",SUMIFS(R_Hval,R_St,"Submitted",R_Task,INDEX(R_Task,MATCH(45,R_TSeqP,0)))+SUMIFS(R_Hval,R_St,"Recall Requested",R_Task,INDEX(R_Task,MATCH(45,R_TSeqP,0))))</f>
        <v/>
      </c>
      <c r="I279" s="127" t="str">
        <f>IF(C279="","",SUMIFS(R_Hval,R_St,"Draft",R_Task,INDEX(R_Task,MATCH(45,R_TSeqP,0)))+SUMIFS(R_Hval,R_St,"Returned",R_Task,INDEX(R_Task,MATCH(45,R_TSeqP,0))))</f>
        <v/>
      </c>
      <c r="J279" s="172" t="str">
        <f>IF(C279="","",COUNTIFS(R_Emp,"proMX",R_Valid,1,R_Task,INDEX(R_Task,MATCH(45,R_TSeqP,0))))</f>
        <v/>
      </c>
    </row>
    <row r="280">
      <c r="B280" s="172" t="n">
        <v>46</v>
      </c>
      <c r="C280" s="95" t="str">
        <f>IFERROR(INDEX(R_Task,MATCH(46,R_TSeqP,0))&amp;"","")</f>
        <v/>
      </c>
      <c r="D280" s="95" t="str">
        <f>IFERROR(INDEX(R_Proy,MATCH(46,R_TSeqP,0))&amp;"","")</f>
        <v/>
      </c>
      <c r="E280" s="127" t="str">
        <f>IF(C280="","",SUMIFS(R_Hcnt,R_Emp,"proMX",R_Task,INDEX(R_Task,MATCH(46,R_TSeqP,0))))</f>
        <v/>
      </c>
      <c r="F280" s="172" t="str">
        <f>IF(C280="","",SUMIFS(R_BlkV,R_Emp,"proMX",R_Task,INDEX(R_Task,MATCH(46,R_TSeqP,0)))-SUMIFS(R_BlkV,R_St,"Cancelled",R_Task,INDEX(R_Task,MATCH(46,R_TSeqP,0))))</f>
        <v/>
      </c>
      <c r="G280" s="127" t="str">
        <f>IF(C280="","",SUMIFS(R_Hval,R_St,"Approved",R_Task,INDEX(R_Task,MATCH(46,R_TSeqP,0))))</f>
        <v/>
      </c>
      <c r="H280" s="127" t="str">
        <f>IF(C280="","",SUMIFS(R_Hval,R_St,"Submitted",R_Task,INDEX(R_Task,MATCH(46,R_TSeqP,0)))+SUMIFS(R_Hval,R_St,"Recall Requested",R_Task,INDEX(R_Task,MATCH(46,R_TSeqP,0))))</f>
        <v/>
      </c>
      <c r="I280" s="127" t="str">
        <f>IF(C280="","",SUMIFS(R_Hval,R_St,"Draft",R_Task,INDEX(R_Task,MATCH(46,R_TSeqP,0)))+SUMIFS(R_Hval,R_St,"Returned",R_Task,INDEX(R_Task,MATCH(46,R_TSeqP,0))))</f>
        <v/>
      </c>
      <c r="J280" s="172" t="str">
        <f>IF(C280="","",COUNTIFS(R_Emp,"proMX",R_Valid,1,R_Task,INDEX(R_Task,MATCH(46,R_TSeqP,0))))</f>
        <v/>
      </c>
    </row>
    <row r="281">
      <c r="B281" s="172" t="n">
        <v>47</v>
      </c>
      <c r="C281" s="95" t="str">
        <f>IFERROR(INDEX(R_Task,MATCH(47,R_TSeqP,0))&amp;"","")</f>
        <v/>
      </c>
      <c r="D281" s="95" t="str">
        <f>IFERROR(INDEX(R_Proy,MATCH(47,R_TSeqP,0))&amp;"","")</f>
        <v/>
      </c>
      <c r="E281" s="127" t="str">
        <f>IF(C281="","",SUMIFS(R_Hcnt,R_Emp,"proMX",R_Task,INDEX(R_Task,MATCH(47,R_TSeqP,0))))</f>
        <v/>
      </c>
      <c r="F281" s="172" t="str">
        <f>IF(C281="","",SUMIFS(R_BlkV,R_Emp,"proMX",R_Task,INDEX(R_Task,MATCH(47,R_TSeqP,0)))-SUMIFS(R_BlkV,R_St,"Cancelled",R_Task,INDEX(R_Task,MATCH(47,R_TSeqP,0))))</f>
        <v/>
      </c>
      <c r="G281" s="127" t="str">
        <f>IF(C281="","",SUMIFS(R_Hval,R_St,"Approved",R_Task,INDEX(R_Task,MATCH(47,R_TSeqP,0))))</f>
        <v/>
      </c>
      <c r="H281" s="127" t="str">
        <f>IF(C281="","",SUMIFS(R_Hval,R_St,"Submitted",R_Task,INDEX(R_Task,MATCH(47,R_TSeqP,0)))+SUMIFS(R_Hval,R_St,"Recall Requested",R_Task,INDEX(R_Task,MATCH(47,R_TSeqP,0))))</f>
        <v/>
      </c>
      <c r="I281" s="127" t="str">
        <f>IF(C281="","",SUMIFS(R_Hval,R_St,"Draft",R_Task,INDEX(R_Task,MATCH(47,R_TSeqP,0)))+SUMIFS(R_Hval,R_St,"Returned",R_Task,INDEX(R_Task,MATCH(47,R_TSeqP,0))))</f>
        <v/>
      </c>
      <c r="J281" s="172" t="str">
        <f>IF(C281="","",COUNTIFS(R_Emp,"proMX",R_Valid,1,R_Task,INDEX(R_Task,MATCH(47,R_TSeqP,0))))</f>
        <v/>
      </c>
    </row>
    <row r="282">
      <c r="B282" s="172" t="n">
        <v>48</v>
      </c>
      <c r="C282" s="95" t="str">
        <f>IFERROR(INDEX(R_Task,MATCH(48,R_TSeqP,0))&amp;"","")</f>
        <v/>
      </c>
      <c r="D282" s="95" t="str">
        <f>IFERROR(INDEX(R_Proy,MATCH(48,R_TSeqP,0))&amp;"","")</f>
        <v/>
      </c>
      <c r="E282" s="127" t="str">
        <f>IF(C282="","",SUMIFS(R_Hcnt,R_Emp,"proMX",R_Task,INDEX(R_Task,MATCH(48,R_TSeqP,0))))</f>
        <v/>
      </c>
      <c r="F282" s="172" t="str">
        <f>IF(C282="","",SUMIFS(R_BlkV,R_Emp,"proMX",R_Task,INDEX(R_Task,MATCH(48,R_TSeqP,0)))-SUMIFS(R_BlkV,R_St,"Cancelled",R_Task,INDEX(R_Task,MATCH(48,R_TSeqP,0))))</f>
        <v/>
      </c>
      <c r="G282" s="127" t="str">
        <f>IF(C282="","",SUMIFS(R_Hval,R_St,"Approved",R_Task,INDEX(R_Task,MATCH(48,R_TSeqP,0))))</f>
        <v/>
      </c>
      <c r="H282" s="127" t="str">
        <f>IF(C282="","",SUMIFS(R_Hval,R_St,"Submitted",R_Task,INDEX(R_Task,MATCH(48,R_TSeqP,0)))+SUMIFS(R_Hval,R_St,"Recall Requested",R_Task,INDEX(R_Task,MATCH(48,R_TSeqP,0))))</f>
        <v/>
      </c>
      <c r="I282" s="127" t="str">
        <f>IF(C282="","",SUMIFS(R_Hval,R_St,"Draft",R_Task,INDEX(R_Task,MATCH(48,R_TSeqP,0)))+SUMIFS(R_Hval,R_St,"Returned",R_Task,INDEX(R_Task,MATCH(48,R_TSeqP,0))))</f>
        <v/>
      </c>
      <c r="J282" s="172" t="str">
        <f>IF(C282="","",COUNTIFS(R_Emp,"proMX",R_Valid,1,R_Task,INDEX(R_Task,MATCH(48,R_TSeqP,0))))</f>
        <v/>
      </c>
    </row>
    <row r="283">
      <c r="B283" s="172" t="n">
        <v>49</v>
      </c>
      <c r="C283" s="95" t="str">
        <f>IFERROR(INDEX(R_Task,MATCH(49,R_TSeqP,0))&amp;"","")</f>
        <v/>
      </c>
      <c r="D283" s="95" t="str">
        <f>IFERROR(INDEX(R_Proy,MATCH(49,R_TSeqP,0))&amp;"","")</f>
        <v/>
      </c>
      <c r="E283" s="127" t="str">
        <f>IF(C283="","",SUMIFS(R_Hcnt,R_Emp,"proMX",R_Task,INDEX(R_Task,MATCH(49,R_TSeqP,0))))</f>
        <v/>
      </c>
      <c r="F283" s="172" t="str">
        <f>IF(C283="","",SUMIFS(R_BlkV,R_Emp,"proMX",R_Task,INDEX(R_Task,MATCH(49,R_TSeqP,0)))-SUMIFS(R_BlkV,R_St,"Cancelled",R_Task,INDEX(R_Task,MATCH(49,R_TSeqP,0))))</f>
        <v/>
      </c>
      <c r="G283" s="127" t="str">
        <f>IF(C283="","",SUMIFS(R_Hval,R_St,"Approved",R_Task,INDEX(R_Task,MATCH(49,R_TSeqP,0))))</f>
        <v/>
      </c>
      <c r="H283" s="127" t="str">
        <f>IF(C283="","",SUMIFS(R_Hval,R_St,"Submitted",R_Task,INDEX(R_Task,MATCH(49,R_TSeqP,0)))+SUMIFS(R_Hval,R_St,"Recall Requested",R_Task,INDEX(R_Task,MATCH(49,R_TSeqP,0))))</f>
        <v/>
      </c>
      <c r="I283" s="127" t="str">
        <f>IF(C283="","",SUMIFS(R_Hval,R_St,"Draft",R_Task,INDEX(R_Task,MATCH(49,R_TSeqP,0)))+SUMIFS(R_Hval,R_St,"Returned",R_Task,INDEX(R_Task,MATCH(49,R_TSeqP,0))))</f>
        <v/>
      </c>
      <c r="J283" s="172" t="str">
        <f>IF(C283="","",COUNTIFS(R_Emp,"proMX",R_Valid,1,R_Task,INDEX(R_Task,MATCH(49,R_TSeqP,0))))</f>
        <v/>
      </c>
    </row>
    <row r="284">
      <c r="B284" s="172" t="n">
        <v>50</v>
      </c>
      <c r="C284" s="95" t="str">
        <f>IFERROR(INDEX(R_Task,MATCH(50,R_TSeqP,0))&amp;"","")</f>
        <v/>
      </c>
      <c r="D284" s="95" t="str">
        <f>IFERROR(INDEX(R_Proy,MATCH(50,R_TSeqP,0))&amp;"","")</f>
        <v/>
      </c>
      <c r="E284" s="127" t="str">
        <f>IF(C284="","",SUMIFS(R_Hcnt,R_Emp,"proMX",R_Task,INDEX(R_Task,MATCH(50,R_TSeqP,0))))</f>
        <v/>
      </c>
      <c r="F284" s="172" t="str">
        <f>IF(C284="","",SUMIFS(R_BlkV,R_Emp,"proMX",R_Task,INDEX(R_Task,MATCH(50,R_TSeqP,0)))-SUMIFS(R_BlkV,R_St,"Cancelled",R_Task,INDEX(R_Task,MATCH(50,R_TSeqP,0))))</f>
        <v/>
      </c>
      <c r="G284" s="127" t="str">
        <f>IF(C284="","",SUMIFS(R_Hval,R_St,"Approved",R_Task,INDEX(R_Task,MATCH(50,R_TSeqP,0))))</f>
        <v/>
      </c>
      <c r="H284" s="127" t="str">
        <f>IF(C284="","",SUMIFS(R_Hval,R_St,"Submitted",R_Task,INDEX(R_Task,MATCH(50,R_TSeqP,0)))+SUMIFS(R_Hval,R_St,"Recall Requested",R_Task,INDEX(R_Task,MATCH(50,R_TSeqP,0))))</f>
        <v/>
      </c>
      <c r="I284" s="127" t="str">
        <f>IF(C284="","",SUMIFS(R_Hval,R_St,"Draft",R_Task,INDEX(R_Task,MATCH(50,R_TSeqP,0)))+SUMIFS(R_Hval,R_St,"Returned",R_Task,INDEX(R_Task,MATCH(50,R_TSeqP,0))))</f>
        <v/>
      </c>
      <c r="J284" s="172" t="str">
        <f>IF(C284="","",COUNTIFS(R_Emp,"proMX",R_Valid,1,R_Task,INDEX(R_Task,MATCH(50,R_TSeqP,0))))</f>
        <v/>
      </c>
    </row>
    <row r="285">
      <c r="B285" s="172" t="n">
        <v>51</v>
      </c>
      <c r="C285" s="95" t="str">
        <f>IFERROR(INDEX(R_Task,MATCH(51,R_TSeqP,0))&amp;"","")</f>
        <v/>
      </c>
      <c r="D285" s="95" t="str">
        <f>IFERROR(INDEX(R_Proy,MATCH(51,R_TSeqP,0))&amp;"","")</f>
        <v/>
      </c>
      <c r="E285" s="127" t="str">
        <f>IF(C285="","",SUMIFS(R_Hcnt,R_Emp,"proMX",R_Task,INDEX(R_Task,MATCH(51,R_TSeqP,0))))</f>
        <v/>
      </c>
      <c r="F285" s="172" t="str">
        <f>IF(C285="","",SUMIFS(R_BlkV,R_Emp,"proMX",R_Task,INDEX(R_Task,MATCH(51,R_TSeqP,0)))-SUMIFS(R_BlkV,R_St,"Cancelled",R_Task,INDEX(R_Task,MATCH(51,R_TSeqP,0))))</f>
        <v/>
      </c>
      <c r="G285" s="127" t="str">
        <f>IF(C285="","",SUMIFS(R_Hval,R_St,"Approved",R_Task,INDEX(R_Task,MATCH(51,R_TSeqP,0))))</f>
        <v/>
      </c>
      <c r="H285" s="127" t="str">
        <f>IF(C285="","",SUMIFS(R_Hval,R_St,"Submitted",R_Task,INDEX(R_Task,MATCH(51,R_TSeqP,0)))+SUMIFS(R_Hval,R_St,"Recall Requested",R_Task,INDEX(R_Task,MATCH(51,R_TSeqP,0))))</f>
        <v/>
      </c>
      <c r="I285" s="127" t="str">
        <f>IF(C285="","",SUMIFS(R_Hval,R_St,"Draft",R_Task,INDEX(R_Task,MATCH(51,R_TSeqP,0)))+SUMIFS(R_Hval,R_St,"Returned",R_Task,INDEX(R_Task,MATCH(51,R_TSeqP,0))))</f>
        <v/>
      </c>
      <c r="J285" s="172" t="str">
        <f>IF(C285="","",COUNTIFS(R_Emp,"proMX",R_Valid,1,R_Task,INDEX(R_Task,MATCH(51,R_TSeqP,0))))</f>
        <v/>
      </c>
    </row>
    <row r="286">
      <c r="B286" s="172" t="n">
        <v>52</v>
      </c>
      <c r="C286" s="95" t="str">
        <f>IFERROR(INDEX(R_Task,MATCH(52,R_TSeqP,0))&amp;"","")</f>
        <v/>
      </c>
      <c r="D286" s="95" t="str">
        <f>IFERROR(INDEX(R_Proy,MATCH(52,R_TSeqP,0))&amp;"","")</f>
        <v/>
      </c>
      <c r="E286" s="127" t="str">
        <f>IF(C286="","",SUMIFS(R_Hcnt,R_Emp,"proMX",R_Task,INDEX(R_Task,MATCH(52,R_TSeqP,0))))</f>
        <v/>
      </c>
      <c r="F286" s="172" t="str">
        <f>IF(C286="","",SUMIFS(R_BlkV,R_Emp,"proMX",R_Task,INDEX(R_Task,MATCH(52,R_TSeqP,0)))-SUMIFS(R_BlkV,R_St,"Cancelled",R_Task,INDEX(R_Task,MATCH(52,R_TSeqP,0))))</f>
        <v/>
      </c>
      <c r="G286" s="127" t="str">
        <f>IF(C286="","",SUMIFS(R_Hval,R_St,"Approved",R_Task,INDEX(R_Task,MATCH(52,R_TSeqP,0))))</f>
        <v/>
      </c>
      <c r="H286" s="127" t="str">
        <f>IF(C286="","",SUMIFS(R_Hval,R_St,"Submitted",R_Task,INDEX(R_Task,MATCH(52,R_TSeqP,0)))+SUMIFS(R_Hval,R_St,"Recall Requested",R_Task,INDEX(R_Task,MATCH(52,R_TSeqP,0))))</f>
        <v/>
      </c>
      <c r="I286" s="127" t="str">
        <f>IF(C286="","",SUMIFS(R_Hval,R_St,"Draft",R_Task,INDEX(R_Task,MATCH(52,R_TSeqP,0)))+SUMIFS(R_Hval,R_St,"Returned",R_Task,INDEX(R_Task,MATCH(52,R_TSeqP,0))))</f>
        <v/>
      </c>
      <c r="J286" s="172" t="str">
        <f>IF(C286="","",COUNTIFS(R_Emp,"proMX",R_Valid,1,R_Task,INDEX(R_Task,MATCH(52,R_TSeqP,0))))</f>
        <v/>
      </c>
    </row>
    <row r="287">
      <c r="B287" s="172" t="n">
        <v>53</v>
      </c>
      <c r="C287" s="95" t="str">
        <f>IFERROR(INDEX(R_Task,MATCH(53,R_TSeqP,0))&amp;"","")</f>
        <v/>
      </c>
      <c r="D287" s="95" t="str">
        <f>IFERROR(INDEX(R_Proy,MATCH(53,R_TSeqP,0))&amp;"","")</f>
        <v/>
      </c>
      <c r="E287" s="127" t="str">
        <f>IF(C287="","",SUMIFS(R_Hcnt,R_Emp,"proMX",R_Task,INDEX(R_Task,MATCH(53,R_TSeqP,0))))</f>
        <v/>
      </c>
      <c r="F287" s="172" t="str">
        <f>IF(C287="","",SUMIFS(R_BlkV,R_Emp,"proMX",R_Task,INDEX(R_Task,MATCH(53,R_TSeqP,0)))-SUMIFS(R_BlkV,R_St,"Cancelled",R_Task,INDEX(R_Task,MATCH(53,R_TSeqP,0))))</f>
        <v/>
      </c>
      <c r="G287" s="127" t="str">
        <f>IF(C287="","",SUMIFS(R_Hval,R_St,"Approved",R_Task,INDEX(R_Task,MATCH(53,R_TSeqP,0))))</f>
        <v/>
      </c>
      <c r="H287" s="127" t="str">
        <f>IF(C287="","",SUMIFS(R_Hval,R_St,"Submitted",R_Task,INDEX(R_Task,MATCH(53,R_TSeqP,0)))+SUMIFS(R_Hval,R_St,"Recall Requested",R_Task,INDEX(R_Task,MATCH(53,R_TSeqP,0))))</f>
        <v/>
      </c>
      <c r="I287" s="127" t="str">
        <f>IF(C287="","",SUMIFS(R_Hval,R_St,"Draft",R_Task,INDEX(R_Task,MATCH(53,R_TSeqP,0)))+SUMIFS(R_Hval,R_St,"Returned",R_Task,INDEX(R_Task,MATCH(53,R_TSeqP,0))))</f>
        <v/>
      </c>
      <c r="J287" s="172" t="str">
        <f>IF(C287="","",COUNTIFS(R_Emp,"proMX",R_Valid,1,R_Task,INDEX(R_Task,MATCH(53,R_TSeqP,0))))</f>
        <v/>
      </c>
    </row>
    <row r="288">
      <c r="B288" s="172" t="n">
        <v>54</v>
      </c>
      <c r="C288" s="95" t="str">
        <f>IFERROR(INDEX(R_Task,MATCH(54,R_TSeqP,0))&amp;"","")</f>
        <v/>
      </c>
      <c r="D288" s="95" t="str">
        <f>IFERROR(INDEX(R_Proy,MATCH(54,R_TSeqP,0))&amp;"","")</f>
        <v/>
      </c>
      <c r="E288" s="127" t="str">
        <f>IF(C288="","",SUMIFS(R_Hcnt,R_Emp,"proMX",R_Task,INDEX(R_Task,MATCH(54,R_TSeqP,0))))</f>
        <v/>
      </c>
      <c r="F288" s="172" t="str">
        <f>IF(C288="","",SUMIFS(R_BlkV,R_Emp,"proMX",R_Task,INDEX(R_Task,MATCH(54,R_TSeqP,0)))-SUMIFS(R_BlkV,R_St,"Cancelled",R_Task,INDEX(R_Task,MATCH(54,R_TSeqP,0))))</f>
        <v/>
      </c>
      <c r="G288" s="127" t="str">
        <f>IF(C288="","",SUMIFS(R_Hval,R_St,"Approved",R_Task,INDEX(R_Task,MATCH(54,R_TSeqP,0))))</f>
        <v/>
      </c>
      <c r="H288" s="127" t="str">
        <f>IF(C288="","",SUMIFS(R_Hval,R_St,"Submitted",R_Task,INDEX(R_Task,MATCH(54,R_TSeqP,0)))+SUMIFS(R_Hval,R_St,"Recall Requested",R_Task,INDEX(R_Task,MATCH(54,R_TSeqP,0))))</f>
        <v/>
      </c>
      <c r="I288" s="127" t="str">
        <f>IF(C288="","",SUMIFS(R_Hval,R_St,"Draft",R_Task,INDEX(R_Task,MATCH(54,R_TSeqP,0)))+SUMIFS(R_Hval,R_St,"Returned",R_Task,INDEX(R_Task,MATCH(54,R_TSeqP,0))))</f>
        <v/>
      </c>
      <c r="J288" s="172" t="str">
        <f>IF(C288="","",COUNTIFS(R_Emp,"proMX",R_Valid,1,R_Task,INDEX(R_Task,MATCH(54,R_TSeqP,0))))</f>
        <v/>
      </c>
    </row>
    <row r="289">
      <c r="B289" s="172" t="n">
        <v>55</v>
      </c>
      <c r="C289" s="95" t="str">
        <f>IFERROR(INDEX(R_Task,MATCH(55,R_TSeqP,0))&amp;"","")</f>
        <v/>
      </c>
      <c r="D289" s="95" t="str">
        <f>IFERROR(INDEX(R_Proy,MATCH(55,R_TSeqP,0))&amp;"","")</f>
        <v/>
      </c>
      <c r="E289" s="127" t="str">
        <f>IF(C289="","",SUMIFS(R_Hcnt,R_Emp,"proMX",R_Task,INDEX(R_Task,MATCH(55,R_TSeqP,0))))</f>
        <v/>
      </c>
      <c r="F289" s="172" t="str">
        <f>IF(C289="","",SUMIFS(R_BlkV,R_Emp,"proMX",R_Task,INDEX(R_Task,MATCH(55,R_TSeqP,0)))-SUMIFS(R_BlkV,R_St,"Cancelled",R_Task,INDEX(R_Task,MATCH(55,R_TSeqP,0))))</f>
        <v/>
      </c>
      <c r="G289" s="127" t="str">
        <f>IF(C289="","",SUMIFS(R_Hval,R_St,"Approved",R_Task,INDEX(R_Task,MATCH(55,R_TSeqP,0))))</f>
        <v/>
      </c>
      <c r="H289" s="127" t="str">
        <f>IF(C289="","",SUMIFS(R_Hval,R_St,"Submitted",R_Task,INDEX(R_Task,MATCH(55,R_TSeqP,0)))+SUMIFS(R_Hval,R_St,"Recall Requested",R_Task,INDEX(R_Task,MATCH(55,R_TSeqP,0))))</f>
        <v/>
      </c>
      <c r="I289" s="127" t="str">
        <f>IF(C289="","",SUMIFS(R_Hval,R_St,"Draft",R_Task,INDEX(R_Task,MATCH(55,R_TSeqP,0)))+SUMIFS(R_Hval,R_St,"Returned",R_Task,INDEX(R_Task,MATCH(55,R_TSeqP,0))))</f>
        <v/>
      </c>
      <c r="J289" s="172" t="str">
        <f>IF(C289="","",COUNTIFS(R_Emp,"proMX",R_Valid,1,R_Task,INDEX(R_Task,MATCH(55,R_TSeqP,0))))</f>
        <v/>
      </c>
    </row>
    <row r="290">
      <c r="B290" s="172" t="n">
        <v>56</v>
      </c>
      <c r="C290" s="95" t="str">
        <f>IFERROR(INDEX(R_Task,MATCH(56,R_TSeqP,0))&amp;"","")</f>
        <v/>
      </c>
      <c r="D290" s="95" t="str">
        <f>IFERROR(INDEX(R_Proy,MATCH(56,R_TSeqP,0))&amp;"","")</f>
        <v/>
      </c>
      <c r="E290" s="127" t="str">
        <f>IF(C290="","",SUMIFS(R_Hcnt,R_Emp,"proMX",R_Task,INDEX(R_Task,MATCH(56,R_TSeqP,0))))</f>
        <v/>
      </c>
      <c r="F290" s="172" t="str">
        <f>IF(C290="","",SUMIFS(R_BlkV,R_Emp,"proMX",R_Task,INDEX(R_Task,MATCH(56,R_TSeqP,0)))-SUMIFS(R_BlkV,R_St,"Cancelled",R_Task,INDEX(R_Task,MATCH(56,R_TSeqP,0))))</f>
        <v/>
      </c>
      <c r="G290" s="127" t="str">
        <f>IF(C290="","",SUMIFS(R_Hval,R_St,"Approved",R_Task,INDEX(R_Task,MATCH(56,R_TSeqP,0))))</f>
        <v/>
      </c>
      <c r="H290" s="127" t="str">
        <f>IF(C290="","",SUMIFS(R_Hval,R_St,"Submitted",R_Task,INDEX(R_Task,MATCH(56,R_TSeqP,0)))+SUMIFS(R_Hval,R_St,"Recall Requested",R_Task,INDEX(R_Task,MATCH(56,R_TSeqP,0))))</f>
        <v/>
      </c>
      <c r="I290" s="127" t="str">
        <f>IF(C290="","",SUMIFS(R_Hval,R_St,"Draft",R_Task,INDEX(R_Task,MATCH(56,R_TSeqP,0)))+SUMIFS(R_Hval,R_St,"Returned",R_Task,INDEX(R_Task,MATCH(56,R_TSeqP,0))))</f>
        <v/>
      </c>
      <c r="J290" s="172" t="str">
        <f>IF(C290="","",COUNTIFS(R_Emp,"proMX",R_Valid,1,R_Task,INDEX(R_Task,MATCH(56,R_TSeqP,0))))</f>
        <v/>
      </c>
    </row>
    <row r="291">
      <c r="B291" s="172" t="n">
        <v>57</v>
      </c>
      <c r="C291" s="95" t="str">
        <f>IFERROR(INDEX(R_Task,MATCH(57,R_TSeqP,0))&amp;"","")</f>
        <v/>
      </c>
      <c r="D291" s="95" t="str">
        <f>IFERROR(INDEX(R_Proy,MATCH(57,R_TSeqP,0))&amp;"","")</f>
        <v/>
      </c>
      <c r="E291" s="127" t="str">
        <f>IF(C291="","",SUMIFS(R_Hcnt,R_Emp,"proMX",R_Task,INDEX(R_Task,MATCH(57,R_TSeqP,0))))</f>
        <v/>
      </c>
      <c r="F291" s="172" t="str">
        <f>IF(C291="","",SUMIFS(R_BlkV,R_Emp,"proMX",R_Task,INDEX(R_Task,MATCH(57,R_TSeqP,0)))-SUMIFS(R_BlkV,R_St,"Cancelled",R_Task,INDEX(R_Task,MATCH(57,R_TSeqP,0))))</f>
        <v/>
      </c>
      <c r="G291" s="127" t="str">
        <f>IF(C291="","",SUMIFS(R_Hval,R_St,"Approved",R_Task,INDEX(R_Task,MATCH(57,R_TSeqP,0))))</f>
        <v/>
      </c>
      <c r="H291" s="127" t="str">
        <f>IF(C291="","",SUMIFS(R_Hval,R_St,"Submitted",R_Task,INDEX(R_Task,MATCH(57,R_TSeqP,0)))+SUMIFS(R_Hval,R_St,"Recall Requested",R_Task,INDEX(R_Task,MATCH(57,R_TSeqP,0))))</f>
        <v/>
      </c>
      <c r="I291" s="127" t="str">
        <f>IF(C291="","",SUMIFS(R_Hval,R_St,"Draft",R_Task,INDEX(R_Task,MATCH(57,R_TSeqP,0)))+SUMIFS(R_Hval,R_St,"Returned",R_Task,INDEX(R_Task,MATCH(57,R_TSeqP,0))))</f>
        <v/>
      </c>
      <c r="J291" s="172" t="str">
        <f>IF(C291="","",COUNTIFS(R_Emp,"proMX",R_Valid,1,R_Task,INDEX(R_Task,MATCH(57,R_TSeqP,0))))</f>
        <v/>
      </c>
    </row>
    <row r="292">
      <c r="B292" s="172" t="n">
        <v>58</v>
      </c>
      <c r="C292" s="95" t="str">
        <f>IFERROR(INDEX(R_Task,MATCH(58,R_TSeqP,0))&amp;"","")</f>
        <v/>
      </c>
      <c r="D292" s="95" t="str">
        <f>IFERROR(INDEX(R_Proy,MATCH(58,R_TSeqP,0))&amp;"","")</f>
        <v/>
      </c>
      <c r="E292" s="127" t="str">
        <f>IF(C292="","",SUMIFS(R_Hcnt,R_Emp,"proMX",R_Task,INDEX(R_Task,MATCH(58,R_TSeqP,0))))</f>
        <v/>
      </c>
      <c r="F292" s="172" t="str">
        <f>IF(C292="","",SUMIFS(R_BlkV,R_Emp,"proMX",R_Task,INDEX(R_Task,MATCH(58,R_TSeqP,0)))-SUMIFS(R_BlkV,R_St,"Cancelled",R_Task,INDEX(R_Task,MATCH(58,R_TSeqP,0))))</f>
        <v/>
      </c>
      <c r="G292" s="127" t="str">
        <f>IF(C292="","",SUMIFS(R_Hval,R_St,"Approved",R_Task,INDEX(R_Task,MATCH(58,R_TSeqP,0))))</f>
        <v/>
      </c>
      <c r="H292" s="127" t="str">
        <f>IF(C292="","",SUMIFS(R_Hval,R_St,"Submitted",R_Task,INDEX(R_Task,MATCH(58,R_TSeqP,0)))+SUMIFS(R_Hval,R_St,"Recall Requested",R_Task,INDEX(R_Task,MATCH(58,R_TSeqP,0))))</f>
        <v/>
      </c>
      <c r="I292" s="127" t="str">
        <f>IF(C292="","",SUMIFS(R_Hval,R_St,"Draft",R_Task,INDEX(R_Task,MATCH(58,R_TSeqP,0)))+SUMIFS(R_Hval,R_St,"Returned",R_Task,INDEX(R_Task,MATCH(58,R_TSeqP,0))))</f>
        <v/>
      </c>
      <c r="J292" s="172" t="str">
        <f>IF(C292="","",COUNTIFS(R_Emp,"proMX",R_Valid,1,R_Task,INDEX(R_Task,MATCH(58,R_TSeqP,0))))</f>
        <v/>
      </c>
    </row>
    <row r="293">
      <c r="B293" s="172" t="n">
        <v>59</v>
      </c>
      <c r="C293" s="95" t="str">
        <f>IFERROR(INDEX(R_Task,MATCH(59,R_TSeqP,0))&amp;"","")</f>
        <v/>
      </c>
      <c r="D293" s="95" t="str">
        <f>IFERROR(INDEX(R_Proy,MATCH(59,R_TSeqP,0))&amp;"","")</f>
        <v/>
      </c>
      <c r="E293" s="127" t="str">
        <f>IF(C293="","",SUMIFS(R_Hcnt,R_Emp,"proMX",R_Task,INDEX(R_Task,MATCH(59,R_TSeqP,0))))</f>
        <v/>
      </c>
      <c r="F293" s="172" t="str">
        <f>IF(C293="","",SUMIFS(R_BlkV,R_Emp,"proMX",R_Task,INDEX(R_Task,MATCH(59,R_TSeqP,0)))-SUMIFS(R_BlkV,R_St,"Cancelled",R_Task,INDEX(R_Task,MATCH(59,R_TSeqP,0))))</f>
        <v/>
      </c>
      <c r="G293" s="127" t="str">
        <f>IF(C293="","",SUMIFS(R_Hval,R_St,"Approved",R_Task,INDEX(R_Task,MATCH(59,R_TSeqP,0))))</f>
        <v/>
      </c>
      <c r="H293" s="127" t="str">
        <f>IF(C293="","",SUMIFS(R_Hval,R_St,"Submitted",R_Task,INDEX(R_Task,MATCH(59,R_TSeqP,0)))+SUMIFS(R_Hval,R_St,"Recall Requested",R_Task,INDEX(R_Task,MATCH(59,R_TSeqP,0))))</f>
        <v/>
      </c>
      <c r="I293" s="127" t="str">
        <f>IF(C293="","",SUMIFS(R_Hval,R_St,"Draft",R_Task,INDEX(R_Task,MATCH(59,R_TSeqP,0)))+SUMIFS(R_Hval,R_St,"Returned",R_Task,INDEX(R_Task,MATCH(59,R_TSeqP,0))))</f>
        <v/>
      </c>
      <c r="J293" s="172" t="str">
        <f>IF(C293="","",COUNTIFS(R_Emp,"proMX",R_Valid,1,R_Task,INDEX(R_Task,MATCH(59,R_TSeqP,0))))</f>
        <v/>
      </c>
    </row>
    <row r="294">
      <c r="B294" s="172" t="n">
        <v>60</v>
      </c>
      <c r="C294" s="95" t="str">
        <f>IFERROR(INDEX(R_Task,MATCH(60,R_TSeqP,0))&amp;"","")</f>
        <v/>
      </c>
      <c r="D294" s="95" t="str">
        <f>IFERROR(INDEX(R_Proy,MATCH(60,R_TSeqP,0))&amp;"","")</f>
        <v/>
      </c>
      <c r="E294" s="127" t="str">
        <f>IF(C294="","",SUMIFS(R_Hcnt,R_Emp,"proMX",R_Task,INDEX(R_Task,MATCH(60,R_TSeqP,0))))</f>
        <v/>
      </c>
      <c r="F294" s="172" t="str">
        <f>IF(C294="","",SUMIFS(R_BlkV,R_Emp,"proMX",R_Task,INDEX(R_Task,MATCH(60,R_TSeqP,0)))-SUMIFS(R_BlkV,R_St,"Cancelled",R_Task,INDEX(R_Task,MATCH(60,R_TSeqP,0))))</f>
        <v/>
      </c>
      <c r="G294" s="127" t="str">
        <f>IF(C294="","",SUMIFS(R_Hval,R_St,"Approved",R_Task,INDEX(R_Task,MATCH(60,R_TSeqP,0))))</f>
        <v/>
      </c>
      <c r="H294" s="127" t="str">
        <f>IF(C294="","",SUMIFS(R_Hval,R_St,"Submitted",R_Task,INDEX(R_Task,MATCH(60,R_TSeqP,0)))+SUMIFS(R_Hval,R_St,"Recall Requested",R_Task,INDEX(R_Task,MATCH(60,R_TSeqP,0))))</f>
        <v/>
      </c>
      <c r="I294" s="127" t="str">
        <f>IF(C294="","",SUMIFS(R_Hval,R_St,"Draft",R_Task,INDEX(R_Task,MATCH(60,R_TSeqP,0)))+SUMIFS(R_Hval,R_St,"Returned",R_Task,INDEX(R_Task,MATCH(60,R_TSeqP,0))))</f>
        <v/>
      </c>
      <c r="J294" s="172" t="str">
        <f>IF(C294="","",COUNTIFS(R_Emp,"proMX",R_Valid,1,R_Task,INDEX(R_Task,MATCH(60,R_TSeqP,0))))</f>
        <v/>
      </c>
    </row>
    <row r="295">
      <c r="B295" s="172" t="n">
        <v>61</v>
      </c>
      <c r="C295" s="95" t="str">
        <f>IFERROR(INDEX(R_Task,MATCH(61,R_TSeqP,0))&amp;"","")</f>
        <v/>
      </c>
      <c r="D295" s="95" t="str">
        <f>IFERROR(INDEX(R_Proy,MATCH(61,R_TSeqP,0))&amp;"","")</f>
        <v/>
      </c>
      <c r="E295" s="127" t="str">
        <f>IF(C295="","",SUMIFS(R_Hcnt,R_Emp,"proMX",R_Task,INDEX(R_Task,MATCH(61,R_TSeqP,0))))</f>
        <v/>
      </c>
      <c r="F295" s="172" t="str">
        <f>IF(C295="","",SUMIFS(R_BlkV,R_Emp,"proMX",R_Task,INDEX(R_Task,MATCH(61,R_TSeqP,0)))-SUMIFS(R_BlkV,R_St,"Cancelled",R_Task,INDEX(R_Task,MATCH(61,R_TSeqP,0))))</f>
        <v/>
      </c>
      <c r="G295" s="127" t="str">
        <f>IF(C295="","",SUMIFS(R_Hval,R_St,"Approved",R_Task,INDEX(R_Task,MATCH(61,R_TSeqP,0))))</f>
        <v/>
      </c>
      <c r="H295" s="127" t="str">
        <f>IF(C295="","",SUMIFS(R_Hval,R_St,"Submitted",R_Task,INDEX(R_Task,MATCH(61,R_TSeqP,0)))+SUMIFS(R_Hval,R_St,"Recall Requested",R_Task,INDEX(R_Task,MATCH(61,R_TSeqP,0))))</f>
        <v/>
      </c>
      <c r="I295" s="127" t="str">
        <f>IF(C295="","",SUMIFS(R_Hval,R_St,"Draft",R_Task,INDEX(R_Task,MATCH(61,R_TSeqP,0)))+SUMIFS(R_Hval,R_St,"Returned",R_Task,INDEX(R_Task,MATCH(61,R_TSeqP,0))))</f>
        <v/>
      </c>
      <c r="J295" s="172" t="str">
        <f>IF(C295="","",COUNTIFS(R_Emp,"proMX",R_Valid,1,R_Task,INDEX(R_Task,MATCH(61,R_TSeqP,0))))</f>
        <v/>
      </c>
    </row>
    <row r="296">
      <c r="B296" s="172" t="n">
        <v>62</v>
      </c>
      <c r="C296" s="95" t="str">
        <f>IFERROR(INDEX(R_Task,MATCH(62,R_TSeqP,0))&amp;"","")</f>
        <v/>
      </c>
      <c r="D296" s="95" t="str">
        <f>IFERROR(INDEX(R_Proy,MATCH(62,R_TSeqP,0))&amp;"","")</f>
        <v/>
      </c>
      <c r="E296" s="127" t="str">
        <f>IF(C296="","",SUMIFS(R_Hcnt,R_Emp,"proMX",R_Task,INDEX(R_Task,MATCH(62,R_TSeqP,0))))</f>
        <v/>
      </c>
      <c r="F296" s="172" t="str">
        <f>IF(C296="","",SUMIFS(R_BlkV,R_Emp,"proMX",R_Task,INDEX(R_Task,MATCH(62,R_TSeqP,0)))-SUMIFS(R_BlkV,R_St,"Cancelled",R_Task,INDEX(R_Task,MATCH(62,R_TSeqP,0))))</f>
        <v/>
      </c>
      <c r="G296" s="127" t="str">
        <f>IF(C296="","",SUMIFS(R_Hval,R_St,"Approved",R_Task,INDEX(R_Task,MATCH(62,R_TSeqP,0))))</f>
        <v/>
      </c>
      <c r="H296" s="127" t="str">
        <f>IF(C296="","",SUMIFS(R_Hval,R_St,"Submitted",R_Task,INDEX(R_Task,MATCH(62,R_TSeqP,0)))+SUMIFS(R_Hval,R_St,"Recall Requested",R_Task,INDEX(R_Task,MATCH(62,R_TSeqP,0))))</f>
        <v/>
      </c>
      <c r="I296" s="127" t="str">
        <f>IF(C296="","",SUMIFS(R_Hval,R_St,"Draft",R_Task,INDEX(R_Task,MATCH(62,R_TSeqP,0)))+SUMIFS(R_Hval,R_St,"Returned",R_Task,INDEX(R_Task,MATCH(62,R_TSeqP,0))))</f>
        <v/>
      </c>
      <c r="J296" s="172" t="str">
        <f>IF(C296="","",COUNTIFS(R_Emp,"proMX",R_Valid,1,R_Task,INDEX(R_Task,MATCH(62,R_TSeqP,0))))</f>
        <v/>
      </c>
    </row>
    <row r="297">
      <c r="B297" s="172" t="n">
        <v>63</v>
      </c>
      <c r="C297" s="95" t="str">
        <f>IFERROR(INDEX(R_Task,MATCH(63,R_TSeqP,0))&amp;"","")</f>
        <v/>
      </c>
      <c r="D297" s="95" t="str">
        <f>IFERROR(INDEX(R_Proy,MATCH(63,R_TSeqP,0))&amp;"","")</f>
        <v/>
      </c>
      <c r="E297" s="127" t="str">
        <f>IF(C297="","",SUMIFS(R_Hcnt,R_Emp,"proMX",R_Task,INDEX(R_Task,MATCH(63,R_TSeqP,0))))</f>
        <v/>
      </c>
      <c r="F297" s="172" t="str">
        <f>IF(C297="","",SUMIFS(R_BlkV,R_Emp,"proMX",R_Task,INDEX(R_Task,MATCH(63,R_TSeqP,0)))-SUMIFS(R_BlkV,R_St,"Cancelled",R_Task,INDEX(R_Task,MATCH(63,R_TSeqP,0))))</f>
        <v/>
      </c>
      <c r="G297" s="127" t="str">
        <f>IF(C297="","",SUMIFS(R_Hval,R_St,"Approved",R_Task,INDEX(R_Task,MATCH(63,R_TSeqP,0))))</f>
        <v/>
      </c>
      <c r="H297" s="127" t="str">
        <f>IF(C297="","",SUMIFS(R_Hval,R_St,"Submitted",R_Task,INDEX(R_Task,MATCH(63,R_TSeqP,0)))+SUMIFS(R_Hval,R_St,"Recall Requested",R_Task,INDEX(R_Task,MATCH(63,R_TSeqP,0))))</f>
        <v/>
      </c>
      <c r="I297" s="127" t="str">
        <f>IF(C297="","",SUMIFS(R_Hval,R_St,"Draft",R_Task,INDEX(R_Task,MATCH(63,R_TSeqP,0)))+SUMIFS(R_Hval,R_St,"Returned",R_Task,INDEX(R_Task,MATCH(63,R_TSeqP,0))))</f>
        <v/>
      </c>
      <c r="J297" s="172" t="str">
        <f>IF(C297="","",COUNTIFS(R_Emp,"proMX",R_Valid,1,R_Task,INDEX(R_Task,MATCH(63,R_TSeqP,0))))</f>
        <v/>
      </c>
    </row>
    <row r="298">
      <c r="B298" s="172" t="n">
        <v>64</v>
      </c>
      <c r="C298" s="95" t="str">
        <f>IFERROR(INDEX(R_Task,MATCH(64,R_TSeqP,0))&amp;"","")</f>
        <v/>
      </c>
      <c r="D298" s="95" t="str">
        <f>IFERROR(INDEX(R_Proy,MATCH(64,R_TSeqP,0))&amp;"","")</f>
        <v/>
      </c>
      <c r="E298" s="127" t="str">
        <f>IF(C298="","",SUMIFS(R_Hcnt,R_Emp,"proMX",R_Task,INDEX(R_Task,MATCH(64,R_TSeqP,0))))</f>
        <v/>
      </c>
      <c r="F298" s="172" t="str">
        <f>IF(C298="","",SUMIFS(R_BlkV,R_Emp,"proMX",R_Task,INDEX(R_Task,MATCH(64,R_TSeqP,0)))-SUMIFS(R_BlkV,R_St,"Cancelled",R_Task,INDEX(R_Task,MATCH(64,R_TSeqP,0))))</f>
        <v/>
      </c>
      <c r="G298" s="127" t="str">
        <f>IF(C298="","",SUMIFS(R_Hval,R_St,"Approved",R_Task,INDEX(R_Task,MATCH(64,R_TSeqP,0))))</f>
        <v/>
      </c>
      <c r="H298" s="127" t="str">
        <f>IF(C298="","",SUMIFS(R_Hval,R_St,"Submitted",R_Task,INDEX(R_Task,MATCH(64,R_TSeqP,0)))+SUMIFS(R_Hval,R_St,"Recall Requested",R_Task,INDEX(R_Task,MATCH(64,R_TSeqP,0))))</f>
        <v/>
      </c>
      <c r="I298" s="127" t="str">
        <f>IF(C298="","",SUMIFS(R_Hval,R_St,"Draft",R_Task,INDEX(R_Task,MATCH(64,R_TSeqP,0)))+SUMIFS(R_Hval,R_St,"Returned",R_Task,INDEX(R_Task,MATCH(64,R_TSeqP,0))))</f>
        <v/>
      </c>
      <c r="J298" s="172" t="str">
        <f>IF(C298="","",COUNTIFS(R_Emp,"proMX",R_Valid,1,R_Task,INDEX(R_Task,MATCH(64,R_TSeqP,0))))</f>
        <v/>
      </c>
    </row>
    <row r="299">
      <c r="B299" s="172" t="n">
        <v>65</v>
      </c>
      <c r="C299" s="95" t="str">
        <f>IFERROR(INDEX(R_Task,MATCH(65,R_TSeqP,0))&amp;"","")</f>
        <v/>
      </c>
      <c r="D299" s="95" t="str">
        <f>IFERROR(INDEX(R_Proy,MATCH(65,R_TSeqP,0))&amp;"","")</f>
        <v/>
      </c>
      <c r="E299" s="127" t="str">
        <f>IF(C299="","",SUMIFS(R_Hcnt,R_Emp,"proMX",R_Task,INDEX(R_Task,MATCH(65,R_TSeqP,0))))</f>
        <v/>
      </c>
      <c r="F299" s="172" t="str">
        <f>IF(C299="","",SUMIFS(R_BlkV,R_Emp,"proMX",R_Task,INDEX(R_Task,MATCH(65,R_TSeqP,0)))-SUMIFS(R_BlkV,R_St,"Cancelled",R_Task,INDEX(R_Task,MATCH(65,R_TSeqP,0))))</f>
        <v/>
      </c>
      <c r="G299" s="127" t="str">
        <f>IF(C299="","",SUMIFS(R_Hval,R_St,"Approved",R_Task,INDEX(R_Task,MATCH(65,R_TSeqP,0))))</f>
        <v/>
      </c>
      <c r="H299" s="127" t="str">
        <f>IF(C299="","",SUMIFS(R_Hval,R_St,"Submitted",R_Task,INDEX(R_Task,MATCH(65,R_TSeqP,0)))+SUMIFS(R_Hval,R_St,"Recall Requested",R_Task,INDEX(R_Task,MATCH(65,R_TSeqP,0))))</f>
        <v/>
      </c>
      <c r="I299" s="127" t="str">
        <f>IF(C299="","",SUMIFS(R_Hval,R_St,"Draft",R_Task,INDEX(R_Task,MATCH(65,R_TSeqP,0)))+SUMIFS(R_Hval,R_St,"Returned",R_Task,INDEX(R_Task,MATCH(65,R_TSeqP,0))))</f>
        <v/>
      </c>
      <c r="J299" s="172" t="str">
        <f>IF(C299="","",COUNTIFS(R_Emp,"proMX",R_Valid,1,R_Task,INDEX(R_Task,MATCH(65,R_TSeqP,0))))</f>
        <v/>
      </c>
    </row>
    <row r="300">
      <c r="B300" s="172" t="n">
        <v>66</v>
      </c>
      <c r="C300" s="95" t="str">
        <f>IFERROR(INDEX(R_Task,MATCH(66,R_TSeqP,0))&amp;"","")</f>
        <v/>
      </c>
      <c r="D300" s="95" t="str">
        <f>IFERROR(INDEX(R_Proy,MATCH(66,R_TSeqP,0))&amp;"","")</f>
        <v/>
      </c>
      <c r="E300" s="127" t="str">
        <f>IF(C300="","",SUMIFS(R_Hcnt,R_Emp,"proMX",R_Task,INDEX(R_Task,MATCH(66,R_TSeqP,0))))</f>
        <v/>
      </c>
      <c r="F300" s="172" t="str">
        <f>IF(C300="","",SUMIFS(R_BlkV,R_Emp,"proMX",R_Task,INDEX(R_Task,MATCH(66,R_TSeqP,0)))-SUMIFS(R_BlkV,R_St,"Cancelled",R_Task,INDEX(R_Task,MATCH(66,R_TSeqP,0))))</f>
        <v/>
      </c>
      <c r="G300" s="127" t="str">
        <f>IF(C300="","",SUMIFS(R_Hval,R_St,"Approved",R_Task,INDEX(R_Task,MATCH(66,R_TSeqP,0))))</f>
        <v/>
      </c>
      <c r="H300" s="127" t="str">
        <f>IF(C300="","",SUMIFS(R_Hval,R_St,"Submitted",R_Task,INDEX(R_Task,MATCH(66,R_TSeqP,0)))+SUMIFS(R_Hval,R_St,"Recall Requested",R_Task,INDEX(R_Task,MATCH(66,R_TSeqP,0))))</f>
        <v/>
      </c>
      <c r="I300" s="127" t="str">
        <f>IF(C300="","",SUMIFS(R_Hval,R_St,"Draft",R_Task,INDEX(R_Task,MATCH(66,R_TSeqP,0)))+SUMIFS(R_Hval,R_St,"Returned",R_Task,INDEX(R_Task,MATCH(66,R_TSeqP,0))))</f>
        <v/>
      </c>
      <c r="J300" s="172" t="str">
        <f>IF(C300="","",COUNTIFS(R_Emp,"proMX",R_Valid,1,R_Task,INDEX(R_Task,MATCH(66,R_TSeqP,0))))</f>
        <v/>
      </c>
    </row>
    <row r="301">
      <c r="B301" s="172" t="n">
        <v>67</v>
      </c>
      <c r="C301" s="95" t="str">
        <f>IFERROR(INDEX(R_Task,MATCH(67,R_TSeqP,0))&amp;"","")</f>
        <v/>
      </c>
      <c r="D301" s="95" t="str">
        <f>IFERROR(INDEX(R_Proy,MATCH(67,R_TSeqP,0))&amp;"","")</f>
        <v/>
      </c>
      <c r="E301" s="127" t="str">
        <f>IF(C301="","",SUMIFS(R_Hcnt,R_Emp,"proMX",R_Task,INDEX(R_Task,MATCH(67,R_TSeqP,0))))</f>
        <v/>
      </c>
      <c r="F301" s="172" t="str">
        <f>IF(C301="","",SUMIFS(R_BlkV,R_Emp,"proMX",R_Task,INDEX(R_Task,MATCH(67,R_TSeqP,0)))-SUMIFS(R_BlkV,R_St,"Cancelled",R_Task,INDEX(R_Task,MATCH(67,R_TSeqP,0))))</f>
        <v/>
      </c>
      <c r="G301" s="127" t="str">
        <f>IF(C301="","",SUMIFS(R_Hval,R_St,"Approved",R_Task,INDEX(R_Task,MATCH(67,R_TSeqP,0))))</f>
        <v/>
      </c>
      <c r="H301" s="127" t="str">
        <f>IF(C301="","",SUMIFS(R_Hval,R_St,"Submitted",R_Task,INDEX(R_Task,MATCH(67,R_TSeqP,0)))+SUMIFS(R_Hval,R_St,"Recall Requested",R_Task,INDEX(R_Task,MATCH(67,R_TSeqP,0))))</f>
        <v/>
      </c>
      <c r="I301" s="127" t="str">
        <f>IF(C301="","",SUMIFS(R_Hval,R_St,"Draft",R_Task,INDEX(R_Task,MATCH(67,R_TSeqP,0)))+SUMIFS(R_Hval,R_St,"Returned",R_Task,INDEX(R_Task,MATCH(67,R_TSeqP,0))))</f>
        <v/>
      </c>
      <c r="J301" s="172" t="str">
        <f>IF(C301="","",COUNTIFS(R_Emp,"proMX",R_Valid,1,R_Task,INDEX(R_Task,MATCH(67,R_TSeqP,0))))</f>
        <v/>
      </c>
    </row>
    <row r="302">
      <c r="B302" s="172" t="n">
        <v>68</v>
      </c>
      <c r="C302" s="95" t="str">
        <f>IFERROR(INDEX(R_Task,MATCH(68,R_TSeqP,0))&amp;"","")</f>
        <v/>
      </c>
      <c r="D302" s="95" t="str">
        <f>IFERROR(INDEX(R_Proy,MATCH(68,R_TSeqP,0))&amp;"","")</f>
        <v/>
      </c>
      <c r="E302" s="127" t="str">
        <f>IF(C302="","",SUMIFS(R_Hcnt,R_Emp,"proMX",R_Task,INDEX(R_Task,MATCH(68,R_TSeqP,0))))</f>
        <v/>
      </c>
      <c r="F302" s="172" t="str">
        <f>IF(C302="","",SUMIFS(R_BlkV,R_Emp,"proMX",R_Task,INDEX(R_Task,MATCH(68,R_TSeqP,0)))-SUMIFS(R_BlkV,R_St,"Cancelled",R_Task,INDEX(R_Task,MATCH(68,R_TSeqP,0))))</f>
        <v/>
      </c>
      <c r="G302" s="127" t="str">
        <f>IF(C302="","",SUMIFS(R_Hval,R_St,"Approved",R_Task,INDEX(R_Task,MATCH(68,R_TSeqP,0))))</f>
        <v/>
      </c>
      <c r="H302" s="127" t="str">
        <f>IF(C302="","",SUMIFS(R_Hval,R_St,"Submitted",R_Task,INDEX(R_Task,MATCH(68,R_TSeqP,0)))+SUMIFS(R_Hval,R_St,"Recall Requested",R_Task,INDEX(R_Task,MATCH(68,R_TSeqP,0))))</f>
        <v/>
      </c>
      <c r="I302" s="127" t="str">
        <f>IF(C302="","",SUMIFS(R_Hval,R_St,"Draft",R_Task,INDEX(R_Task,MATCH(68,R_TSeqP,0)))+SUMIFS(R_Hval,R_St,"Returned",R_Task,INDEX(R_Task,MATCH(68,R_TSeqP,0))))</f>
        <v/>
      </c>
      <c r="J302" s="172" t="str">
        <f>IF(C302="","",COUNTIFS(R_Emp,"proMX",R_Valid,1,R_Task,INDEX(R_Task,MATCH(68,R_TSeqP,0))))</f>
        <v/>
      </c>
    </row>
    <row r="303">
      <c r="B303" s="172" t="n">
        <v>69</v>
      </c>
      <c r="C303" s="95" t="str">
        <f>IFERROR(INDEX(R_Task,MATCH(69,R_TSeqP,0))&amp;"","")</f>
        <v/>
      </c>
      <c r="D303" s="95" t="str">
        <f>IFERROR(INDEX(R_Proy,MATCH(69,R_TSeqP,0))&amp;"","")</f>
        <v/>
      </c>
      <c r="E303" s="127" t="str">
        <f>IF(C303="","",SUMIFS(R_Hcnt,R_Emp,"proMX",R_Task,INDEX(R_Task,MATCH(69,R_TSeqP,0))))</f>
        <v/>
      </c>
      <c r="F303" s="172" t="str">
        <f>IF(C303="","",SUMIFS(R_BlkV,R_Emp,"proMX",R_Task,INDEX(R_Task,MATCH(69,R_TSeqP,0)))-SUMIFS(R_BlkV,R_St,"Cancelled",R_Task,INDEX(R_Task,MATCH(69,R_TSeqP,0))))</f>
        <v/>
      </c>
      <c r="G303" s="127" t="str">
        <f>IF(C303="","",SUMIFS(R_Hval,R_St,"Approved",R_Task,INDEX(R_Task,MATCH(69,R_TSeqP,0))))</f>
        <v/>
      </c>
      <c r="H303" s="127" t="str">
        <f>IF(C303="","",SUMIFS(R_Hval,R_St,"Submitted",R_Task,INDEX(R_Task,MATCH(69,R_TSeqP,0)))+SUMIFS(R_Hval,R_St,"Recall Requested",R_Task,INDEX(R_Task,MATCH(69,R_TSeqP,0))))</f>
        <v/>
      </c>
      <c r="I303" s="127" t="str">
        <f>IF(C303="","",SUMIFS(R_Hval,R_St,"Draft",R_Task,INDEX(R_Task,MATCH(69,R_TSeqP,0)))+SUMIFS(R_Hval,R_St,"Returned",R_Task,INDEX(R_Task,MATCH(69,R_TSeqP,0))))</f>
        <v/>
      </c>
      <c r="J303" s="172" t="str">
        <f>IF(C303="","",COUNTIFS(R_Emp,"proMX",R_Valid,1,R_Task,INDEX(R_Task,MATCH(69,R_TSeqP,0))))</f>
        <v/>
      </c>
    </row>
    <row r="304">
      <c r="B304" s="172" t="n">
        <v>70</v>
      </c>
      <c r="C304" s="95" t="str">
        <f>IFERROR(INDEX(R_Task,MATCH(70,R_TSeqP,0))&amp;"","")</f>
        <v/>
      </c>
      <c r="D304" s="95" t="str">
        <f>IFERROR(INDEX(R_Proy,MATCH(70,R_TSeqP,0))&amp;"","")</f>
        <v/>
      </c>
      <c r="E304" s="127" t="str">
        <f>IF(C304="","",SUMIFS(R_Hcnt,R_Emp,"proMX",R_Task,INDEX(R_Task,MATCH(70,R_TSeqP,0))))</f>
        <v/>
      </c>
      <c r="F304" s="172" t="str">
        <f>IF(C304="","",SUMIFS(R_BlkV,R_Emp,"proMX",R_Task,INDEX(R_Task,MATCH(70,R_TSeqP,0)))-SUMIFS(R_BlkV,R_St,"Cancelled",R_Task,INDEX(R_Task,MATCH(70,R_TSeqP,0))))</f>
        <v/>
      </c>
      <c r="G304" s="127" t="str">
        <f>IF(C304="","",SUMIFS(R_Hval,R_St,"Approved",R_Task,INDEX(R_Task,MATCH(70,R_TSeqP,0))))</f>
        <v/>
      </c>
      <c r="H304" s="127" t="str">
        <f>IF(C304="","",SUMIFS(R_Hval,R_St,"Submitted",R_Task,INDEX(R_Task,MATCH(70,R_TSeqP,0)))+SUMIFS(R_Hval,R_St,"Recall Requested",R_Task,INDEX(R_Task,MATCH(70,R_TSeqP,0))))</f>
        <v/>
      </c>
      <c r="I304" s="127" t="str">
        <f>IF(C304="","",SUMIFS(R_Hval,R_St,"Draft",R_Task,INDEX(R_Task,MATCH(70,R_TSeqP,0)))+SUMIFS(R_Hval,R_St,"Returned",R_Task,INDEX(R_Task,MATCH(70,R_TSeqP,0))))</f>
        <v/>
      </c>
      <c r="J304" s="172" t="str">
        <f>IF(C304="","",COUNTIFS(R_Emp,"proMX",R_Valid,1,R_Task,INDEX(R_Task,MATCH(70,R_TSeqP,0))))</f>
        <v/>
      </c>
    </row>
    <row r="305">
      <c r="B305" s="172" t="n">
        <v>71</v>
      </c>
      <c r="C305" s="95" t="str">
        <f>IFERROR(INDEX(R_Task,MATCH(71,R_TSeqP,0))&amp;"","")</f>
        <v/>
      </c>
      <c r="D305" s="95" t="str">
        <f>IFERROR(INDEX(R_Proy,MATCH(71,R_TSeqP,0))&amp;"","")</f>
        <v/>
      </c>
      <c r="E305" s="127" t="str">
        <f>IF(C305="","",SUMIFS(R_Hcnt,R_Emp,"proMX",R_Task,INDEX(R_Task,MATCH(71,R_TSeqP,0))))</f>
        <v/>
      </c>
      <c r="F305" s="172" t="str">
        <f>IF(C305="","",SUMIFS(R_BlkV,R_Emp,"proMX",R_Task,INDEX(R_Task,MATCH(71,R_TSeqP,0)))-SUMIFS(R_BlkV,R_St,"Cancelled",R_Task,INDEX(R_Task,MATCH(71,R_TSeqP,0))))</f>
        <v/>
      </c>
      <c r="G305" s="127" t="str">
        <f>IF(C305="","",SUMIFS(R_Hval,R_St,"Approved",R_Task,INDEX(R_Task,MATCH(71,R_TSeqP,0))))</f>
        <v/>
      </c>
      <c r="H305" s="127" t="str">
        <f>IF(C305="","",SUMIFS(R_Hval,R_St,"Submitted",R_Task,INDEX(R_Task,MATCH(71,R_TSeqP,0)))+SUMIFS(R_Hval,R_St,"Recall Requested",R_Task,INDEX(R_Task,MATCH(71,R_TSeqP,0))))</f>
        <v/>
      </c>
      <c r="I305" s="127" t="str">
        <f>IF(C305="","",SUMIFS(R_Hval,R_St,"Draft",R_Task,INDEX(R_Task,MATCH(71,R_TSeqP,0)))+SUMIFS(R_Hval,R_St,"Returned",R_Task,INDEX(R_Task,MATCH(71,R_TSeqP,0))))</f>
        <v/>
      </c>
      <c r="J305" s="172" t="str">
        <f>IF(C305="","",COUNTIFS(R_Emp,"proMX",R_Valid,1,R_Task,INDEX(R_Task,MATCH(71,R_TSeqP,0))))</f>
        <v/>
      </c>
    </row>
    <row r="306">
      <c r="B306" s="172" t="n">
        <v>72</v>
      </c>
      <c r="C306" s="95" t="str">
        <f>IFERROR(INDEX(R_Task,MATCH(72,R_TSeqP,0))&amp;"","")</f>
        <v/>
      </c>
      <c r="D306" s="95" t="str">
        <f>IFERROR(INDEX(R_Proy,MATCH(72,R_TSeqP,0))&amp;"","")</f>
        <v/>
      </c>
      <c r="E306" s="127" t="str">
        <f>IF(C306="","",SUMIFS(R_Hcnt,R_Emp,"proMX",R_Task,INDEX(R_Task,MATCH(72,R_TSeqP,0))))</f>
        <v/>
      </c>
      <c r="F306" s="172" t="str">
        <f>IF(C306="","",SUMIFS(R_BlkV,R_Emp,"proMX",R_Task,INDEX(R_Task,MATCH(72,R_TSeqP,0)))-SUMIFS(R_BlkV,R_St,"Cancelled",R_Task,INDEX(R_Task,MATCH(72,R_TSeqP,0))))</f>
        <v/>
      </c>
      <c r="G306" s="127" t="str">
        <f>IF(C306="","",SUMIFS(R_Hval,R_St,"Approved",R_Task,INDEX(R_Task,MATCH(72,R_TSeqP,0))))</f>
        <v/>
      </c>
      <c r="H306" s="127" t="str">
        <f>IF(C306="","",SUMIFS(R_Hval,R_St,"Submitted",R_Task,INDEX(R_Task,MATCH(72,R_TSeqP,0)))+SUMIFS(R_Hval,R_St,"Recall Requested",R_Task,INDEX(R_Task,MATCH(72,R_TSeqP,0))))</f>
        <v/>
      </c>
      <c r="I306" s="127" t="str">
        <f>IF(C306="","",SUMIFS(R_Hval,R_St,"Draft",R_Task,INDEX(R_Task,MATCH(72,R_TSeqP,0)))+SUMIFS(R_Hval,R_St,"Returned",R_Task,INDEX(R_Task,MATCH(72,R_TSeqP,0))))</f>
        <v/>
      </c>
      <c r="J306" s="172" t="str">
        <f>IF(C306="","",COUNTIFS(R_Emp,"proMX",R_Valid,1,R_Task,INDEX(R_Task,MATCH(72,R_TSeqP,0))))</f>
        <v/>
      </c>
    </row>
    <row r="307">
      <c r="B307" s="172" t="n">
        <v>73</v>
      </c>
      <c r="C307" s="95" t="str">
        <f>IFERROR(INDEX(R_Task,MATCH(73,R_TSeqP,0))&amp;"","")</f>
        <v/>
      </c>
      <c r="D307" s="95" t="str">
        <f>IFERROR(INDEX(R_Proy,MATCH(73,R_TSeqP,0))&amp;"","")</f>
        <v/>
      </c>
      <c r="E307" s="127" t="str">
        <f>IF(C307="","",SUMIFS(R_Hcnt,R_Emp,"proMX",R_Task,INDEX(R_Task,MATCH(73,R_TSeqP,0))))</f>
        <v/>
      </c>
      <c r="F307" s="172" t="str">
        <f>IF(C307="","",SUMIFS(R_BlkV,R_Emp,"proMX",R_Task,INDEX(R_Task,MATCH(73,R_TSeqP,0)))-SUMIFS(R_BlkV,R_St,"Cancelled",R_Task,INDEX(R_Task,MATCH(73,R_TSeqP,0))))</f>
        <v/>
      </c>
      <c r="G307" s="127" t="str">
        <f>IF(C307="","",SUMIFS(R_Hval,R_St,"Approved",R_Task,INDEX(R_Task,MATCH(73,R_TSeqP,0))))</f>
        <v/>
      </c>
      <c r="H307" s="127" t="str">
        <f>IF(C307="","",SUMIFS(R_Hval,R_St,"Submitted",R_Task,INDEX(R_Task,MATCH(73,R_TSeqP,0)))+SUMIFS(R_Hval,R_St,"Recall Requested",R_Task,INDEX(R_Task,MATCH(73,R_TSeqP,0))))</f>
        <v/>
      </c>
      <c r="I307" s="127" t="str">
        <f>IF(C307="","",SUMIFS(R_Hval,R_St,"Draft",R_Task,INDEX(R_Task,MATCH(73,R_TSeqP,0)))+SUMIFS(R_Hval,R_St,"Returned",R_Task,INDEX(R_Task,MATCH(73,R_TSeqP,0))))</f>
        <v/>
      </c>
      <c r="J307" s="172" t="str">
        <f>IF(C307="","",COUNTIFS(R_Emp,"proMX",R_Valid,1,R_Task,INDEX(R_Task,MATCH(73,R_TSeqP,0))))</f>
        <v/>
      </c>
    </row>
    <row r="308">
      <c r="B308" s="172" t="n">
        <v>74</v>
      </c>
      <c r="C308" s="95" t="str">
        <f>IFERROR(INDEX(R_Task,MATCH(74,R_TSeqP,0))&amp;"","")</f>
        <v/>
      </c>
      <c r="D308" s="95" t="str">
        <f>IFERROR(INDEX(R_Proy,MATCH(74,R_TSeqP,0))&amp;"","")</f>
        <v/>
      </c>
      <c r="E308" s="127" t="str">
        <f>IF(C308="","",SUMIFS(R_Hcnt,R_Emp,"proMX",R_Task,INDEX(R_Task,MATCH(74,R_TSeqP,0))))</f>
        <v/>
      </c>
      <c r="F308" s="172" t="str">
        <f>IF(C308="","",SUMIFS(R_BlkV,R_Emp,"proMX",R_Task,INDEX(R_Task,MATCH(74,R_TSeqP,0)))-SUMIFS(R_BlkV,R_St,"Cancelled",R_Task,INDEX(R_Task,MATCH(74,R_TSeqP,0))))</f>
        <v/>
      </c>
      <c r="G308" s="127" t="str">
        <f>IF(C308="","",SUMIFS(R_Hval,R_St,"Approved",R_Task,INDEX(R_Task,MATCH(74,R_TSeqP,0))))</f>
        <v/>
      </c>
      <c r="H308" s="127" t="str">
        <f>IF(C308="","",SUMIFS(R_Hval,R_St,"Submitted",R_Task,INDEX(R_Task,MATCH(74,R_TSeqP,0)))+SUMIFS(R_Hval,R_St,"Recall Requested",R_Task,INDEX(R_Task,MATCH(74,R_TSeqP,0))))</f>
        <v/>
      </c>
      <c r="I308" s="127" t="str">
        <f>IF(C308="","",SUMIFS(R_Hval,R_St,"Draft",R_Task,INDEX(R_Task,MATCH(74,R_TSeqP,0)))+SUMIFS(R_Hval,R_St,"Returned",R_Task,INDEX(R_Task,MATCH(74,R_TSeqP,0))))</f>
        <v/>
      </c>
      <c r="J308" s="172" t="str">
        <f>IF(C308="","",COUNTIFS(R_Emp,"proMX",R_Valid,1,R_Task,INDEX(R_Task,MATCH(74,R_TSeqP,0))))</f>
        <v/>
      </c>
    </row>
    <row r="309">
      <c r="B309" s="172" t="n">
        <v>75</v>
      </c>
      <c r="C309" s="95" t="str">
        <f>IFERROR(INDEX(R_Task,MATCH(75,R_TSeqP,0))&amp;"","")</f>
        <v/>
      </c>
      <c r="D309" s="95" t="str">
        <f>IFERROR(INDEX(R_Proy,MATCH(75,R_TSeqP,0))&amp;"","")</f>
        <v/>
      </c>
      <c r="E309" s="127" t="str">
        <f>IF(C309="","",SUMIFS(R_Hcnt,R_Emp,"proMX",R_Task,INDEX(R_Task,MATCH(75,R_TSeqP,0))))</f>
        <v/>
      </c>
      <c r="F309" s="172" t="str">
        <f>IF(C309="","",SUMIFS(R_BlkV,R_Emp,"proMX",R_Task,INDEX(R_Task,MATCH(75,R_TSeqP,0)))-SUMIFS(R_BlkV,R_St,"Cancelled",R_Task,INDEX(R_Task,MATCH(75,R_TSeqP,0))))</f>
        <v/>
      </c>
      <c r="G309" s="127" t="str">
        <f>IF(C309="","",SUMIFS(R_Hval,R_St,"Approved",R_Task,INDEX(R_Task,MATCH(75,R_TSeqP,0))))</f>
        <v/>
      </c>
      <c r="H309" s="127" t="str">
        <f>IF(C309="","",SUMIFS(R_Hval,R_St,"Submitted",R_Task,INDEX(R_Task,MATCH(75,R_TSeqP,0)))+SUMIFS(R_Hval,R_St,"Recall Requested",R_Task,INDEX(R_Task,MATCH(75,R_TSeqP,0))))</f>
        <v/>
      </c>
      <c r="I309" s="127" t="str">
        <f>IF(C309="","",SUMIFS(R_Hval,R_St,"Draft",R_Task,INDEX(R_Task,MATCH(75,R_TSeqP,0)))+SUMIFS(R_Hval,R_St,"Returned",R_Task,INDEX(R_Task,MATCH(75,R_TSeqP,0))))</f>
        <v/>
      </c>
      <c r="J309" s="172" t="str">
        <f>IF(C309="","",COUNTIFS(R_Emp,"proMX",R_Valid,1,R_Task,INDEX(R_Task,MATCH(75,R_TSeqP,0))))</f>
        <v/>
      </c>
    </row>
    <row r="310">
      <c r="B310" s="172" t="n">
        <v>76</v>
      </c>
      <c r="C310" s="95" t="str">
        <f>IFERROR(INDEX(R_Task,MATCH(76,R_TSeqP,0))&amp;"","")</f>
        <v/>
      </c>
      <c r="D310" s="95" t="str">
        <f>IFERROR(INDEX(R_Proy,MATCH(76,R_TSeqP,0))&amp;"","")</f>
        <v/>
      </c>
      <c r="E310" s="127" t="str">
        <f>IF(C310="","",SUMIFS(R_Hcnt,R_Emp,"proMX",R_Task,INDEX(R_Task,MATCH(76,R_TSeqP,0))))</f>
        <v/>
      </c>
      <c r="F310" s="172" t="str">
        <f>IF(C310="","",SUMIFS(R_BlkV,R_Emp,"proMX",R_Task,INDEX(R_Task,MATCH(76,R_TSeqP,0)))-SUMIFS(R_BlkV,R_St,"Cancelled",R_Task,INDEX(R_Task,MATCH(76,R_TSeqP,0))))</f>
        <v/>
      </c>
      <c r="G310" s="127" t="str">
        <f>IF(C310="","",SUMIFS(R_Hval,R_St,"Approved",R_Task,INDEX(R_Task,MATCH(76,R_TSeqP,0))))</f>
        <v/>
      </c>
      <c r="H310" s="127" t="str">
        <f>IF(C310="","",SUMIFS(R_Hval,R_St,"Submitted",R_Task,INDEX(R_Task,MATCH(76,R_TSeqP,0)))+SUMIFS(R_Hval,R_St,"Recall Requested",R_Task,INDEX(R_Task,MATCH(76,R_TSeqP,0))))</f>
        <v/>
      </c>
      <c r="I310" s="127" t="str">
        <f>IF(C310="","",SUMIFS(R_Hval,R_St,"Draft",R_Task,INDEX(R_Task,MATCH(76,R_TSeqP,0)))+SUMIFS(R_Hval,R_St,"Returned",R_Task,INDEX(R_Task,MATCH(76,R_TSeqP,0))))</f>
        <v/>
      </c>
      <c r="J310" s="172" t="str">
        <f>IF(C310="","",COUNTIFS(R_Emp,"proMX",R_Valid,1,R_Task,INDEX(R_Task,MATCH(76,R_TSeqP,0))))</f>
        <v/>
      </c>
    </row>
    <row r="311">
      <c r="B311" s="172" t="n">
        <v>77</v>
      </c>
      <c r="C311" s="95" t="str">
        <f>IFERROR(INDEX(R_Task,MATCH(77,R_TSeqP,0))&amp;"","")</f>
        <v/>
      </c>
      <c r="D311" s="95" t="str">
        <f>IFERROR(INDEX(R_Proy,MATCH(77,R_TSeqP,0))&amp;"","")</f>
        <v/>
      </c>
      <c r="E311" s="127" t="str">
        <f>IF(C311="","",SUMIFS(R_Hcnt,R_Emp,"proMX",R_Task,INDEX(R_Task,MATCH(77,R_TSeqP,0))))</f>
        <v/>
      </c>
      <c r="F311" s="172" t="str">
        <f>IF(C311="","",SUMIFS(R_BlkV,R_Emp,"proMX",R_Task,INDEX(R_Task,MATCH(77,R_TSeqP,0)))-SUMIFS(R_BlkV,R_St,"Cancelled",R_Task,INDEX(R_Task,MATCH(77,R_TSeqP,0))))</f>
        <v/>
      </c>
      <c r="G311" s="127" t="str">
        <f>IF(C311="","",SUMIFS(R_Hval,R_St,"Approved",R_Task,INDEX(R_Task,MATCH(77,R_TSeqP,0))))</f>
        <v/>
      </c>
      <c r="H311" s="127" t="str">
        <f>IF(C311="","",SUMIFS(R_Hval,R_St,"Submitted",R_Task,INDEX(R_Task,MATCH(77,R_TSeqP,0)))+SUMIFS(R_Hval,R_St,"Recall Requested",R_Task,INDEX(R_Task,MATCH(77,R_TSeqP,0))))</f>
        <v/>
      </c>
      <c r="I311" s="127" t="str">
        <f>IF(C311="","",SUMIFS(R_Hval,R_St,"Draft",R_Task,INDEX(R_Task,MATCH(77,R_TSeqP,0)))+SUMIFS(R_Hval,R_St,"Returned",R_Task,INDEX(R_Task,MATCH(77,R_TSeqP,0))))</f>
        <v/>
      </c>
      <c r="J311" s="172" t="str">
        <f>IF(C311="","",COUNTIFS(R_Emp,"proMX",R_Valid,1,R_Task,INDEX(R_Task,MATCH(77,R_TSeqP,0))))</f>
        <v/>
      </c>
    </row>
    <row r="312">
      <c r="B312" s="172" t="n">
        <v>78</v>
      </c>
      <c r="C312" s="95" t="str">
        <f>IFERROR(INDEX(R_Task,MATCH(78,R_TSeqP,0))&amp;"","")</f>
        <v/>
      </c>
      <c r="D312" s="95" t="str">
        <f>IFERROR(INDEX(R_Proy,MATCH(78,R_TSeqP,0))&amp;"","")</f>
        <v/>
      </c>
      <c r="E312" s="127" t="str">
        <f>IF(C312="","",SUMIFS(R_Hcnt,R_Emp,"proMX",R_Task,INDEX(R_Task,MATCH(78,R_TSeqP,0))))</f>
        <v/>
      </c>
      <c r="F312" s="172" t="str">
        <f>IF(C312="","",SUMIFS(R_BlkV,R_Emp,"proMX",R_Task,INDEX(R_Task,MATCH(78,R_TSeqP,0)))-SUMIFS(R_BlkV,R_St,"Cancelled",R_Task,INDEX(R_Task,MATCH(78,R_TSeqP,0))))</f>
        <v/>
      </c>
      <c r="G312" s="127" t="str">
        <f>IF(C312="","",SUMIFS(R_Hval,R_St,"Approved",R_Task,INDEX(R_Task,MATCH(78,R_TSeqP,0))))</f>
        <v/>
      </c>
      <c r="H312" s="127" t="str">
        <f>IF(C312="","",SUMIFS(R_Hval,R_St,"Submitted",R_Task,INDEX(R_Task,MATCH(78,R_TSeqP,0)))+SUMIFS(R_Hval,R_St,"Recall Requested",R_Task,INDEX(R_Task,MATCH(78,R_TSeqP,0))))</f>
        <v/>
      </c>
      <c r="I312" s="127" t="str">
        <f>IF(C312="","",SUMIFS(R_Hval,R_St,"Draft",R_Task,INDEX(R_Task,MATCH(78,R_TSeqP,0)))+SUMIFS(R_Hval,R_St,"Returned",R_Task,INDEX(R_Task,MATCH(78,R_TSeqP,0))))</f>
        <v/>
      </c>
      <c r="J312" s="172" t="str">
        <f>IF(C312="","",COUNTIFS(R_Emp,"proMX",R_Valid,1,R_Task,INDEX(R_Task,MATCH(78,R_TSeqP,0))))</f>
        <v/>
      </c>
    </row>
    <row r="313">
      <c r="B313" s="172" t="n">
        <v>79</v>
      </c>
      <c r="C313" s="95" t="str">
        <f>IFERROR(INDEX(R_Task,MATCH(79,R_TSeqP,0))&amp;"","")</f>
        <v/>
      </c>
      <c r="D313" s="95" t="str">
        <f>IFERROR(INDEX(R_Proy,MATCH(79,R_TSeqP,0))&amp;"","")</f>
        <v/>
      </c>
      <c r="E313" s="127" t="str">
        <f>IF(C313="","",SUMIFS(R_Hcnt,R_Emp,"proMX",R_Task,INDEX(R_Task,MATCH(79,R_TSeqP,0))))</f>
        <v/>
      </c>
      <c r="F313" s="172" t="str">
        <f>IF(C313="","",SUMIFS(R_BlkV,R_Emp,"proMX",R_Task,INDEX(R_Task,MATCH(79,R_TSeqP,0)))-SUMIFS(R_BlkV,R_St,"Cancelled",R_Task,INDEX(R_Task,MATCH(79,R_TSeqP,0))))</f>
        <v/>
      </c>
      <c r="G313" s="127" t="str">
        <f>IF(C313="","",SUMIFS(R_Hval,R_St,"Approved",R_Task,INDEX(R_Task,MATCH(79,R_TSeqP,0))))</f>
        <v/>
      </c>
      <c r="H313" s="127" t="str">
        <f>IF(C313="","",SUMIFS(R_Hval,R_St,"Submitted",R_Task,INDEX(R_Task,MATCH(79,R_TSeqP,0)))+SUMIFS(R_Hval,R_St,"Recall Requested",R_Task,INDEX(R_Task,MATCH(79,R_TSeqP,0))))</f>
        <v/>
      </c>
      <c r="I313" s="127" t="str">
        <f>IF(C313="","",SUMIFS(R_Hval,R_St,"Draft",R_Task,INDEX(R_Task,MATCH(79,R_TSeqP,0)))+SUMIFS(R_Hval,R_St,"Returned",R_Task,INDEX(R_Task,MATCH(79,R_TSeqP,0))))</f>
        <v/>
      </c>
      <c r="J313" s="172" t="str">
        <f>IF(C313="","",COUNTIFS(R_Emp,"proMX",R_Valid,1,R_Task,INDEX(R_Task,MATCH(79,R_TSeqP,0))))</f>
        <v/>
      </c>
    </row>
    <row r="314">
      <c r="B314" s="172" t="n">
        <v>80</v>
      </c>
      <c r="C314" s="95" t="str">
        <f>IFERROR(INDEX(R_Task,MATCH(80,R_TSeqP,0))&amp;"","")</f>
        <v/>
      </c>
      <c r="D314" s="95" t="str">
        <f>IFERROR(INDEX(R_Proy,MATCH(80,R_TSeqP,0))&amp;"","")</f>
        <v/>
      </c>
      <c r="E314" s="127" t="str">
        <f>IF(C314="","",SUMIFS(R_Hcnt,R_Emp,"proMX",R_Task,INDEX(R_Task,MATCH(80,R_TSeqP,0))))</f>
        <v/>
      </c>
      <c r="F314" s="172" t="str">
        <f>IF(C314="","",SUMIFS(R_BlkV,R_Emp,"proMX",R_Task,INDEX(R_Task,MATCH(80,R_TSeqP,0)))-SUMIFS(R_BlkV,R_St,"Cancelled",R_Task,INDEX(R_Task,MATCH(80,R_TSeqP,0))))</f>
        <v/>
      </c>
      <c r="G314" s="127" t="str">
        <f>IF(C314="","",SUMIFS(R_Hval,R_St,"Approved",R_Task,INDEX(R_Task,MATCH(80,R_TSeqP,0))))</f>
        <v/>
      </c>
      <c r="H314" s="127" t="str">
        <f>IF(C314="","",SUMIFS(R_Hval,R_St,"Submitted",R_Task,INDEX(R_Task,MATCH(80,R_TSeqP,0)))+SUMIFS(R_Hval,R_St,"Recall Requested",R_Task,INDEX(R_Task,MATCH(80,R_TSeqP,0))))</f>
        <v/>
      </c>
      <c r="I314" s="127" t="str">
        <f>IF(C314="","",SUMIFS(R_Hval,R_St,"Draft",R_Task,INDEX(R_Task,MATCH(80,R_TSeqP,0)))+SUMIFS(R_Hval,R_St,"Returned",R_Task,INDEX(R_Task,MATCH(80,R_TSeqP,0))))</f>
        <v/>
      </c>
      <c r="J314" s="172" t="str">
        <f>IF(C314="","",COUNTIFS(R_Emp,"proMX",R_Valid,1,R_Task,INDEX(R_Task,MATCH(80,R_TSeqP,0))))</f>
        <v/>
      </c>
    </row>
    <row r="315">
      <c r="B315" s="172" t="n">
        <v>81</v>
      </c>
      <c r="C315" s="95" t="str">
        <f>IFERROR(INDEX(R_Task,MATCH(81,R_TSeqP,0))&amp;"","")</f>
        <v/>
      </c>
      <c r="D315" s="95" t="str">
        <f>IFERROR(INDEX(R_Proy,MATCH(81,R_TSeqP,0))&amp;"","")</f>
        <v/>
      </c>
      <c r="E315" s="127" t="str">
        <f>IF(C315="","",SUMIFS(R_Hcnt,R_Emp,"proMX",R_Task,INDEX(R_Task,MATCH(81,R_TSeqP,0))))</f>
        <v/>
      </c>
      <c r="F315" s="172" t="str">
        <f>IF(C315="","",SUMIFS(R_BlkV,R_Emp,"proMX",R_Task,INDEX(R_Task,MATCH(81,R_TSeqP,0)))-SUMIFS(R_BlkV,R_St,"Cancelled",R_Task,INDEX(R_Task,MATCH(81,R_TSeqP,0))))</f>
        <v/>
      </c>
      <c r="G315" s="127" t="str">
        <f>IF(C315="","",SUMIFS(R_Hval,R_St,"Approved",R_Task,INDEX(R_Task,MATCH(81,R_TSeqP,0))))</f>
        <v/>
      </c>
      <c r="H315" s="127" t="str">
        <f>IF(C315="","",SUMIFS(R_Hval,R_St,"Submitted",R_Task,INDEX(R_Task,MATCH(81,R_TSeqP,0)))+SUMIFS(R_Hval,R_St,"Recall Requested",R_Task,INDEX(R_Task,MATCH(81,R_TSeqP,0))))</f>
        <v/>
      </c>
      <c r="I315" s="127" t="str">
        <f>IF(C315="","",SUMIFS(R_Hval,R_St,"Draft",R_Task,INDEX(R_Task,MATCH(81,R_TSeqP,0)))+SUMIFS(R_Hval,R_St,"Returned",R_Task,INDEX(R_Task,MATCH(81,R_TSeqP,0))))</f>
        <v/>
      </c>
      <c r="J315" s="172" t="str">
        <f>IF(C315="","",COUNTIFS(R_Emp,"proMX",R_Valid,1,R_Task,INDEX(R_Task,MATCH(81,R_TSeqP,0))))</f>
        <v/>
      </c>
    </row>
    <row r="316">
      <c r="B316" s="172" t="n">
        <v>82</v>
      </c>
      <c r="C316" s="95" t="str">
        <f>IFERROR(INDEX(R_Task,MATCH(82,R_TSeqP,0))&amp;"","")</f>
        <v/>
      </c>
      <c r="D316" s="95" t="str">
        <f>IFERROR(INDEX(R_Proy,MATCH(82,R_TSeqP,0))&amp;"","")</f>
        <v/>
      </c>
      <c r="E316" s="127" t="str">
        <f>IF(C316="","",SUMIFS(R_Hcnt,R_Emp,"proMX",R_Task,INDEX(R_Task,MATCH(82,R_TSeqP,0))))</f>
        <v/>
      </c>
      <c r="F316" s="172" t="str">
        <f>IF(C316="","",SUMIFS(R_BlkV,R_Emp,"proMX",R_Task,INDEX(R_Task,MATCH(82,R_TSeqP,0)))-SUMIFS(R_BlkV,R_St,"Cancelled",R_Task,INDEX(R_Task,MATCH(82,R_TSeqP,0))))</f>
        <v/>
      </c>
      <c r="G316" s="127" t="str">
        <f>IF(C316="","",SUMIFS(R_Hval,R_St,"Approved",R_Task,INDEX(R_Task,MATCH(82,R_TSeqP,0))))</f>
        <v/>
      </c>
      <c r="H316" s="127" t="str">
        <f>IF(C316="","",SUMIFS(R_Hval,R_St,"Submitted",R_Task,INDEX(R_Task,MATCH(82,R_TSeqP,0)))+SUMIFS(R_Hval,R_St,"Recall Requested",R_Task,INDEX(R_Task,MATCH(82,R_TSeqP,0))))</f>
        <v/>
      </c>
      <c r="I316" s="127" t="str">
        <f>IF(C316="","",SUMIFS(R_Hval,R_St,"Draft",R_Task,INDEX(R_Task,MATCH(82,R_TSeqP,0)))+SUMIFS(R_Hval,R_St,"Returned",R_Task,INDEX(R_Task,MATCH(82,R_TSeqP,0))))</f>
        <v/>
      </c>
      <c r="J316" s="172" t="str">
        <f>IF(C316="","",COUNTIFS(R_Emp,"proMX",R_Valid,1,R_Task,INDEX(R_Task,MATCH(82,R_TSeqP,0))))</f>
        <v/>
      </c>
    </row>
    <row r="317">
      <c r="B317" s="172" t="n">
        <v>83</v>
      </c>
      <c r="C317" s="95" t="str">
        <f>IFERROR(INDEX(R_Task,MATCH(83,R_TSeqP,0))&amp;"","")</f>
        <v/>
      </c>
      <c r="D317" s="95" t="str">
        <f>IFERROR(INDEX(R_Proy,MATCH(83,R_TSeqP,0))&amp;"","")</f>
        <v/>
      </c>
      <c r="E317" s="127" t="str">
        <f>IF(C317="","",SUMIFS(R_Hcnt,R_Emp,"proMX",R_Task,INDEX(R_Task,MATCH(83,R_TSeqP,0))))</f>
        <v/>
      </c>
      <c r="F317" s="172" t="str">
        <f>IF(C317="","",SUMIFS(R_BlkV,R_Emp,"proMX",R_Task,INDEX(R_Task,MATCH(83,R_TSeqP,0)))-SUMIFS(R_BlkV,R_St,"Cancelled",R_Task,INDEX(R_Task,MATCH(83,R_TSeqP,0))))</f>
        <v/>
      </c>
      <c r="G317" s="127" t="str">
        <f>IF(C317="","",SUMIFS(R_Hval,R_St,"Approved",R_Task,INDEX(R_Task,MATCH(83,R_TSeqP,0))))</f>
        <v/>
      </c>
      <c r="H317" s="127" t="str">
        <f>IF(C317="","",SUMIFS(R_Hval,R_St,"Submitted",R_Task,INDEX(R_Task,MATCH(83,R_TSeqP,0)))+SUMIFS(R_Hval,R_St,"Recall Requested",R_Task,INDEX(R_Task,MATCH(83,R_TSeqP,0))))</f>
        <v/>
      </c>
      <c r="I317" s="127" t="str">
        <f>IF(C317="","",SUMIFS(R_Hval,R_St,"Draft",R_Task,INDEX(R_Task,MATCH(83,R_TSeqP,0)))+SUMIFS(R_Hval,R_St,"Returned",R_Task,INDEX(R_Task,MATCH(83,R_TSeqP,0))))</f>
        <v/>
      </c>
      <c r="J317" s="172" t="str">
        <f>IF(C317="","",COUNTIFS(R_Emp,"proMX",R_Valid,1,R_Task,INDEX(R_Task,MATCH(83,R_TSeqP,0))))</f>
        <v/>
      </c>
    </row>
    <row r="318">
      <c r="B318" s="172" t="n">
        <v>84</v>
      </c>
      <c r="C318" s="95" t="str">
        <f>IFERROR(INDEX(R_Task,MATCH(84,R_TSeqP,0))&amp;"","")</f>
        <v/>
      </c>
      <c r="D318" s="95" t="str">
        <f>IFERROR(INDEX(R_Proy,MATCH(84,R_TSeqP,0))&amp;"","")</f>
        <v/>
      </c>
      <c r="E318" s="127" t="str">
        <f>IF(C318="","",SUMIFS(R_Hcnt,R_Emp,"proMX",R_Task,INDEX(R_Task,MATCH(84,R_TSeqP,0))))</f>
        <v/>
      </c>
      <c r="F318" s="172" t="str">
        <f>IF(C318="","",SUMIFS(R_BlkV,R_Emp,"proMX",R_Task,INDEX(R_Task,MATCH(84,R_TSeqP,0)))-SUMIFS(R_BlkV,R_St,"Cancelled",R_Task,INDEX(R_Task,MATCH(84,R_TSeqP,0))))</f>
        <v/>
      </c>
      <c r="G318" s="127" t="str">
        <f>IF(C318="","",SUMIFS(R_Hval,R_St,"Approved",R_Task,INDEX(R_Task,MATCH(84,R_TSeqP,0))))</f>
        <v/>
      </c>
      <c r="H318" s="127" t="str">
        <f>IF(C318="","",SUMIFS(R_Hval,R_St,"Submitted",R_Task,INDEX(R_Task,MATCH(84,R_TSeqP,0)))+SUMIFS(R_Hval,R_St,"Recall Requested",R_Task,INDEX(R_Task,MATCH(84,R_TSeqP,0))))</f>
        <v/>
      </c>
      <c r="I318" s="127" t="str">
        <f>IF(C318="","",SUMIFS(R_Hval,R_St,"Draft",R_Task,INDEX(R_Task,MATCH(84,R_TSeqP,0)))+SUMIFS(R_Hval,R_St,"Returned",R_Task,INDEX(R_Task,MATCH(84,R_TSeqP,0))))</f>
        <v/>
      </c>
      <c r="J318" s="172" t="str">
        <f>IF(C318="","",COUNTIFS(R_Emp,"proMX",R_Valid,1,R_Task,INDEX(R_Task,MATCH(84,R_TSeqP,0))))</f>
        <v/>
      </c>
    </row>
    <row r="319">
      <c r="B319" s="172" t="n">
        <v>85</v>
      </c>
      <c r="C319" s="95" t="str">
        <f>IFERROR(INDEX(R_Task,MATCH(85,R_TSeqP,0))&amp;"","")</f>
        <v/>
      </c>
      <c r="D319" s="95" t="str">
        <f>IFERROR(INDEX(R_Proy,MATCH(85,R_TSeqP,0))&amp;"","")</f>
        <v/>
      </c>
      <c r="E319" s="127" t="str">
        <f>IF(C319="","",SUMIFS(R_Hcnt,R_Emp,"proMX",R_Task,INDEX(R_Task,MATCH(85,R_TSeqP,0))))</f>
        <v/>
      </c>
      <c r="F319" s="172" t="str">
        <f>IF(C319="","",SUMIFS(R_BlkV,R_Emp,"proMX",R_Task,INDEX(R_Task,MATCH(85,R_TSeqP,0)))-SUMIFS(R_BlkV,R_St,"Cancelled",R_Task,INDEX(R_Task,MATCH(85,R_TSeqP,0))))</f>
        <v/>
      </c>
      <c r="G319" s="127" t="str">
        <f>IF(C319="","",SUMIFS(R_Hval,R_St,"Approved",R_Task,INDEX(R_Task,MATCH(85,R_TSeqP,0))))</f>
        <v/>
      </c>
      <c r="H319" s="127" t="str">
        <f>IF(C319="","",SUMIFS(R_Hval,R_St,"Submitted",R_Task,INDEX(R_Task,MATCH(85,R_TSeqP,0)))+SUMIFS(R_Hval,R_St,"Recall Requested",R_Task,INDEX(R_Task,MATCH(85,R_TSeqP,0))))</f>
        <v/>
      </c>
      <c r="I319" s="127" t="str">
        <f>IF(C319="","",SUMIFS(R_Hval,R_St,"Draft",R_Task,INDEX(R_Task,MATCH(85,R_TSeqP,0)))+SUMIFS(R_Hval,R_St,"Returned",R_Task,INDEX(R_Task,MATCH(85,R_TSeqP,0))))</f>
        <v/>
      </c>
      <c r="J319" s="172" t="str">
        <f>IF(C319="","",COUNTIFS(R_Emp,"proMX",R_Valid,1,R_Task,INDEX(R_Task,MATCH(85,R_TSeqP,0))))</f>
        <v/>
      </c>
    </row>
    <row r="320">
      <c r="B320" s="172" t="n">
        <v>86</v>
      </c>
      <c r="C320" s="95" t="str">
        <f>IFERROR(INDEX(R_Task,MATCH(86,R_TSeqP,0))&amp;"","")</f>
        <v/>
      </c>
      <c r="D320" s="95" t="str">
        <f>IFERROR(INDEX(R_Proy,MATCH(86,R_TSeqP,0))&amp;"","")</f>
        <v/>
      </c>
      <c r="E320" s="127" t="str">
        <f>IF(C320="","",SUMIFS(R_Hcnt,R_Emp,"proMX",R_Task,INDEX(R_Task,MATCH(86,R_TSeqP,0))))</f>
        <v/>
      </c>
      <c r="F320" s="172" t="str">
        <f>IF(C320="","",SUMIFS(R_BlkV,R_Emp,"proMX",R_Task,INDEX(R_Task,MATCH(86,R_TSeqP,0)))-SUMIFS(R_BlkV,R_St,"Cancelled",R_Task,INDEX(R_Task,MATCH(86,R_TSeqP,0))))</f>
        <v/>
      </c>
      <c r="G320" s="127" t="str">
        <f>IF(C320="","",SUMIFS(R_Hval,R_St,"Approved",R_Task,INDEX(R_Task,MATCH(86,R_TSeqP,0))))</f>
        <v/>
      </c>
      <c r="H320" s="127" t="str">
        <f>IF(C320="","",SUMIFS(R_Hval,R_St,"Submitted",R_Task,INDEX(R_Task,MATCH(86,R_TSeqP,0)))+SUMIFS(R_Hval,R_St,"Recall Requested",R_Task,INDEX(R_Task,MATCH(86,R_TSeqP,0))))</f>
        <v/>
      </c>
      <c r="I320" s="127" t="str">
        <f>IF(C320="","",SUMIFS(R_Hval,R_St,"Draft",R_Task,INDEX(R_Task,MATCH(86,R_TSeqP,0)))+SUMIFS(R_Hval,R_St,"Returned",R_Task,INDEX(R_Task,MATCH(86,R_TSeqP,0))))</f>
        <v/>
      </c>
      <c r="J320" s="172" t="str">
        <f>IF(C320="","",COUNTIFS(R_Emp,"proMX",R_Valid,1,R_Task,INDEX(R_Task,MATCH(86,R_TSeqP,0))))</f>
        <v/>
      </c>
    </row>
    <row r="321">
      <c r="B321" s="172" t="n">
        <v>87</v>
      </c>
      <c r="C321" s="95" t="str">
        <f>IFERROR(INDEX(R_Task,MATCH(87,R_TSeqP,0))&amp;"","")</f>
        <v/>
      </c>
      <c r="D321" s="95" t="str">
        <f>IFERROR(INDEX(R_Proy,MATCH(87,R_TSeqP,0))&amp;"","")</f>
        <v/>
      </c>
      <c r="E321" s="127" t="str">
        <f>IF(C321="","",SUMIFS(R_Hcnt,R_Emp,"proMX",R_Task,INDEX(R_Task,MATCH(87,R_TSeqP,0))))</f>
        <v/>
      </c>
      <c r="F321" s="172" t="str">
        <f>IF(C321="","",SUMIFS(R_BlkV,R_Emp,"proMX",R_Task,INDEX(R_Task,MATCH(87,R_TSeqP,0)))-SUMIFS(R_BlkV,R_St,"Cancelled",R_Task,INDEX(R_Task,MATCH(87,R_TSeqP,0))))</f>
        <v/>
      </c>
      <c r="G321" s="127" t="str">
        <f>IF(C321="","",SUMIFS(R_Hval,R_St,"Approved",R_Task,INDEX(R_Task,MATCH(87,R_TSeqP,0))))</f>
        <v/>
      </c>
      <c r="H321" s="127" t="str">
        <f>IF(C321="","",SUMIFS(R_Hval,R_St,"Submitted",R_Task,INDEX(R_Task,MATCH(87,R_TSeqP,0)))+SUMIFS(R_Hval,R_St,"Recall Requested",R_Task,INDEX(R_Task,MATCH(87,R_TSeqP,0))))</f>
        <v/>
      </c>
      <c r="I321" s="127" t="str">
        <f>IF(C321="","",SUMIFS(R_Hval,R_St,"Draft",R_Task,INDEX(R_Task,MATCH(87,R_TSeqP,0)))+SUMIFS(R_Hval,R_St,"Returned",R_Task,INDEX(R_Task,MATCH(87,R_TSeqP,0))))</f>
        <v/>
      </c>
      <c r="J321" s="172" t="str">
        <f>IF(C321="","",COUNTIFS(R_Emp,"proMX",R_Valid,1,R_Task,INDEX(R_Task,MATCH(87,R_TSeqP,0))))</f>
        <v/>
      </c>
    </row>
    <row r="322">
      <c r="B322" s="172" t="n">
        <v>88</v>
      </c>
      <c r="C322" s="95" t="str">
        <f>IFERROR(INDEX(R_Task,MATCH(88,R_TSeqP,0))&amp;"","")</f>
        <v/>
      </c>
      <c r="D322" s="95" t="str">
        <f>IFERROR(INDEX(R_Proy,MATCH(88,R_TSeqP,0))&amp;"","")</f>
        <v/>
      </c>
      <c r="E322" s="127" t="str">
        <f>IF(C322="","",SUMIFS(R_Hcnt,R_Emp,"proMX",R_Task,INDEX(R_Task,MATCH(88,R_TSeqP,0))))</f>
        <v/>
      </c>
      <c r="F322" s="172" t="str">
        <f>IF(C322="","",SUMIFS(R_BlkV,R_Emp,"proMX",R_Task,INDEX(R_Task,MATCH(88,R_TSeqP,0)))-SUMIFS(R_BlkV,R_St,"Cancelled",R_Task,INDEX(R_Task,MATCH(88,R_TSeqP,0))))</f>
        <v/>
      </c>
      <c r="G322" s="127" t="str">
        <f>IF(C322="","",SUMIFS(R_Hval,R_St,"Approved",R_Task,INDEX(R_Task,MATCH(88,R_TSeqP,0))))</f>
        <v/>
      </c>
      <c r="H322" s="127" t="str">
        <f>IF(C322="","",SUMIFS(R_Hval,R_St,"Submitted",R_Task,INDEX(R_Task,MATCH(88,R_TSeqP,0)))+SUMIFS(R_Hval,R_St,"Recall Requested",R_Task,INDEX(R_Task,MATCH(88,R_TSeqP,0))))</f>
        <v/>
      </c>
      <c r="I322" s="127" t="str">
        <f>IF(C322="","",SUMIFS(R_Hval,R_St,"Draft",R_Task,INDEX(R_Task,MATCH(88,R_TSeqP,0)))+SUMIFS(R_Hval,R_St,"Returned",R_Task,INDEX(R_Task,MATCH(88,R_TSeqP,0))))</f>
        <v/>
      </c>
      <c r="J322" s="172" t="str">
        <f>IF(C322="","",COUNTIFS(R_Emp,"proMX",R_Valid,1,R_Task,INDEX(R_Task,MATCH(88,R_TSeqP,0))))</f>
        <v/>
      </c>
    </row>
    <row r="323">
      <c r="B323" s="172" t="n">
        <v>89</v>
      </c>
      <c r="C323" s="95" t="str">
        <f>IFERROR(INDEX(R_Task,MATCH(89,R_TSeqP,0))&amp;"","")</f>
        <v/>
      </c>
      <c r="D323" s="95" t="str">
        <f>IFERROR(INDEX(R_Proy,MATCH(89,R_TSeqP,0))&amp;"","")</f>
        <v/>
      </c>
      <c r="E323" s="127" t="str">
        <f>IF(C323="","",SUMIFS(R_Hcnt,R_Emp,"proMX",R_Task,INDEX(R_Task,MATCH(89,R_TSeqP,0))))</f>
        <v/>
      </c>
      <c r="F323" s="172" t="str">
        <f>IF(C323="","",SUMIFS(R_BlkV,R_Emp,"proMX",R_Task,INDEX(R_Task,MATCH(89,R_TSeqP,0)))-SUMIFS(R_BlkV,R_St,"Cancelled",R_Task,INDEX(R_Task,MATCH(89,R_TSeqP,0))))</f>
        <v/>
      </c>
      <c r="G323" s="127" t="str">
        <f>IF(C323="","",SUMIFS(R_Hval,R_St,"Approved",R_Task,INDEX(R_Task,MATCH(89,R_TSeqP,0))))</f>
        <v/>
      </c>
      <c r="H323" s="127" t="str">
        <f>IF(C323="","",SUMIFS(R_Hval,R_St,"Submitted",R_Task,INDEX(R_Task,MATCH(89,R_TSeqP,0)))+SUMIFS(R_Hval,R_St,"Recall Requested",R_Task,INDEX(R_Task,MATCH(89,R_TSeqP,0))))</f>
        <v/>
      </c>
      <c r="I323" s="127" t="str">
        <f>IF(C323="","",SUMIFS(R_Hval,R_St,"Draft",R_Task,INDEX(R_Task,MATCH(89,R_TSeqP,0)))+SUMIFS(R_Hval,R_St,"Returned",R_Task,INDEX(R_Task,MATCH(89,R_TSeqP,0))))</f>
        <v/>
      </c>
      <c r="J323" s="172" t="str">
        <f>IF(C323="","",COUNTIFS(R_Emp,"proMX",R_Valid,1,R_Task,INDEX(R_Task,MATCH(89,R_TSeqP,0))))</f>
        <v/>
      </c>
    </row>
    <row r="324">
      <c r="B324" s="172" t="n">
        <v>90</v>
      </c>
      <c r="C324" s="95" t="str">
        <f>IFERROR(INDEX(R_Task,MATCH(90,R_TSeqP,0))&amp;"","")</f>
        <v/>
      </c>
      <c r="D324" s="95" t="str">
        <f>IFERROR(INDEX(R_Proy,MATCH(90,R_TSeqP,0))&amp;"","")</f>
        <v/>
      </c>
      <c r="E324" s="127" t="str">
        <f>IF(C324="","",SUMIFS(R_Hcnt,R_Emp,"proMX",R_Task,INDEX(R_Task,MATCH(90,R_TSeqP,0))))</f>
        <v/>
      </c>
      <c r="F324" s="172" t="str">
        <f>IF(C324="","",SUMIFS(R_BlkV,R_Emp,"proMX",R_Task,INDEX(R_Task,MATCH(90,R_TSeqP,0)))-SUMIFS(R_BlkV,R_St,"Cancelled",R_Task,INDEX(R_Task,MATCH(90,R_TSeqP,0))))</f>
        <v/>
      </c>
      <c r="G324" s="127" t="str">
        <f>IF(C324="","",SUMIFS(R_Hval,R_St,"Approved",R_Task,INDEX(R_Task,MATCH(90,R_TSeqP,0))))</f>
        <v/>
      </c>
      <c r="H324" s="127" t="str">
        <f>IF(C324="","",SUMIFS(R_Hval,R_St,"Submitted",R_Task,INDEX(R_Task,MATCH(90,R_TSeqP,0)))+SUMIFS(R_Hval,R_St,"Recall Requested",R_Task,INDEX(R_Task,MATCH(90,R_TSeqP,0))))</f>
        <v/>
      </c>
      <c r="I324" s="127" t="str">
        <f>IF(C324="","",SUMIFS(R_Hval,R_St,"Draft",R_Task,INDEX(R_Task,MATCH(90,R_TSeqP,0)))+SUMIFS(R_Hval,R_St,"Returned",R_Task,INDEX(R_Task,MATCH(90,R_TSeqP,0))))</f>
        <v/>
      </c>
      <c r="J324" s="172" t="str">
        <f>IF(C324="","",COUNTIFS(R_Emp,"proMX",R_Valid,1,R_Task,INDEX(R_Task,MATCH(90,R_TSeqP,0))))</f>
        <v/>
      </c>
    </row>
    <row r="325">
      <c r="B325" s="172" t="n">
        <v>91</v>
      </c>
      <c r="C325" s="95" t="str">
        <f>IFERROR(INDEX(R_Task,MATCH(91,R_TSeqP,0))&amp;"","")</f>
        <v/>
      </c>
      <c r="D325" s="95" t="str">
        <f>IFERROR(INDEX(R_Proy,MATCH(91,R_TSeqP,0))&amp;"","")</f>
        <v/>
      </c>
      <c r="E325" s="127" t="str">
        <f>IF(C325="","",SUMIFS(R_Hcnt,R_Emp,"proMX",R_Task,INDEX(R_Task,MATCH(91,R_TSeqP,0))))</f>
        <v/>
      </c>
      <c r="F325" s="172" t="str">
        <f>IF(C325="","",SUMIFS(R_BlkV,R_Emp,"proMX",R_Task,INDEX(R_Task,MATCH(91,R_TSeqP,0)))-SUMIFS(R_BlkV,R_St,"Cancelled",R_Task,INDEX(R_Task,MATCH(91,R_TSeqP,0))))</f>
        <v/>
      </c>
      <c r="G325" s="127" t="str">
        <f>IF(C325="","",SUMIFS(R_Hval,R_St,"Approved",R_Task,INDEX(R_Task,MATCH(91,R_TSeqP,0))))</f>
        <v/>
      </c>
      <c r="H325" s="127" t="str">
        <f>IF(C325="","",SUMIFS(R_Hval,R_St,"Submitted",R_Task,INDEX(R_Task,MATCH(91,R_TSeqP,0)))+SUMIFS(R_Hval,R_St,"Recall Requested",R_Task,INDEX(R_Task,MATCH(91,R_TSeqP,0))))</f>
        <v/>
      </c>
      <c r="I325" s="127" t="str">
        <f>IF(C325="","",SUMIFS(R_Hval,R_St,"Draft",R_Task,INDEX(R_Task,MATCH(91,R_TSeqP,0)))+SUMIFS(R_Hval,R_St,"Returned",R_Task,INDEX(R_Task,MATCH(91,R_TSeqP,0))))</f>
        <v/>
      </c>
      <c r="J325" s="172" t="str">
        <f>IF(C325="","",COUNTIFS(R_Emp,"proMX",R_Valid,1,R_Task,INDEX(R_Task,MATCH(91,R_TSeqP,0))))</f>
        <v/>
      </c>
    </row>
    <row r="326">
      <c r="B326" s="172" t="n">
        <v>92</v>
      </c>
      <c r="C326" s="95" t="str">
        <f>IFERROR(INDEX(R_Task,MATCH(92,R_TSeqP,0))&amp;"","")</f>
        <v/>
      </c>
      <c r="D326" s="95" t="str">
        <f>IFERROR(INDEX(R_Proy,MATCH(92,R_TSeqP,0))&amp;"","")</f>
        <v/>
      </c>
      <c r="E326" s="127" t="str">
        <f>IF(C326="","",SUMIFS(R_Hcnt,R_Emp,"proMX",R_Task,INDEX(R_Task,MATCH(92,R_TSeqP,0))))</f>
        <v/>
      </c>
      <c r="F326" s="172" t="str">
        <f>IF(C326="","",SUMIFS(R_BlkV,R_Emp,"proMX",R_Task,INDEX(R_Task,MATCH(92,R_TSeqP,0)))-SUMIFS(R_BlkV,R_St,"Cancelled",R_Task,INDEX(R_Task,MATCH(92,R_TSeqP,0))))</f>
        <v/>
      </c>
      <c r="G326" s="127" t="str">
        <f>IF(C326="","",SUMIFS(R_Hval,R_St,"Approved",R_Task,INDEX(R_Task,MATCH(92,R_TSeqP,0))))</f>
        <v/>
      </c>
      <c r="H326" s="127" t="str">
        <f>IF(C326="","",SUMIFS(R_Hval,R_St,"Submitted",R_Task,INDEX(R_Task,MATCH(92,R_TSeqP,0)))+SUMIFS(R_Hval,R_St,"Recall Requested",R_Task,INDEX(R_Task,MATCH(92,R_TSeqP,0))))</f>
        <v/>
      </c>
      <c r="I326" s="127" t="str">
        <f>IF(C326="","",SUMIFS(R_Hval,R_St,"Draft",R_Task,INDEX(R_Task,MATCH(92,R_TSeqP,0)))+SUMIFS(R_Hval,R_St,"Returned",R_Task,INDEX(R_Task,MATCH(92,R_TSeqP,0))))</f>
        <v/>
      </c>
      <c r="J326" s="172" t="str">
        <f>IF(C326="","",COUNTIFS(R_Emp,"proMX",R_Valid,1,R_Task,INDEX(R_Task,MATCH(92,R_TSeqP,0))))</f>
        <v/>
      </c>
    </row>
    <row r="327">
      <c r="B327" s="172" t="n">
        <v>93</v>
      </c>
      <c r="C327" s="95" t="str">
        <f>IFERROR(INDEX(R_Task,MATCH(93,R_TSeqP,0))&amp;"","")</f>
        <v/>
      </c>
      <c r="D327" s="95" t="str">
        <f>IFERROR(INDEX(R_Proy,MATCH(93,R_TSeqP,0))&amp;"","")</f>
        <v/>
      </c>
      <c r="E327" s="127" t="str">
        <f>IF(C327="","",SUMIFS(R_Hcnt,R_Emp,"proMX",R_Task,INDEX(R_Task,MATCH(93,R_TSeqP,0))))</f>
        <v/>
      </c>
      <c r="F327" s="172" t="str">
        <f>IF(C327="","",SUMIFS(R_BlkV,R_Emp,"proMX",R_Task,INDEX(R_Task,MATCH(93,R_TSeqP,0)))-SUMIFS(R_BlkV,R_St,"Cancelled",R_Task,INDEX(R_Task,MATCH(93,R_TSeqP,0))))</f>
        <v/>
      </c>
      <c r="G327" s="127" t="str">
        <f>IF(C327="","",SUMIFS(R_Hval,R_St,"Approved",R_Task,INDEX(R_Task,MATCH(93,R_TSeqP,0))))</f>
        <v/>
      </c>
      <c r="H327" s="127" t="str">
        <f>IF(C327="","",SUMIFS(R_Hval,R_St,"Submitted",R_Task,INDEX(R_Task,MATCH(93,R_TSeqP,0)))+SUMIFS(R_Hval,R_St,"Recall Requested",R_Task,INDEX(R_Task,MATCH(93,R_TSeqP,0))))</f>
        <v/>
      </c>
      <c r="I327" s="127" t="str">
        <f>IF(C327="","",SUMIFS(R_Hval,R_St,"Draft",R_Task,INDEX(R_Task,MATCH(93,R_TSeqP,0)))+SUMIFS(R_Hval,R_St,"Returned",R_Task,INDEX(R_Task,MATCH(93,R_TSeqP,0))))</f>
        <v/>
      </c>
      <c r="J327" s="172" t="str">
        <f>IF(C327="","",COUNTIFS(R_Emp,"proMX",R_Valid,1,R_Task,INDEX(R_Task,MATCH(93,R_TSeqP,0))))</f>
        <v/>
      </c>
    </row>
    <row r="328">
      <c r="B328" s="172" t="n">
        <v>94</v>
      </c>
      <c r="C328" s="95" t="str">
        <f>IFERROR(INDEX(R_Task,MATCH(94,R_TSeqP,0))&amp;"","")</f>
        <v/>
      </c>
      <c r="D328" s="95" t="str">
        <f>IFERROR(INDEX(R_Proy,MATCH(94,R_TSeqP,0))&amp;"","")</f>
        <v/>
      </c>
      <c r="E328" s="127" t="str">
        <f>IF(C328="","",SUMIFS(R_Hcnt,R_Emp,"proMX",R_Task,INDEX(R_Task,MATCH(94,R_TSeqP,0))))</f>
        <v/>
      </c>
      <c r="F328" s="172" t="str">
        <f>IF(C328="","",SUMIFS(R_BlkV,R_Emp,"proMX",R_Task,INDEX(R_Task,MATCH(94,R_TSeqP,0)))-SUMIFS(R_BlkV,R_St,"Cancelled",R_Task,INDEX(R_Task,MATCH(94,R_TSeqP,0))))</f>
        <v/>
      </c>
      <c r="G328" s="127" t="str">
        <f>IF(C328="","",SUMIFS(R_Hval,R_St,"Approved",R_Task,INDEX(R_Task,MATCH(94,R_TSeqP,0))))</f>
        <v/>
      </c>
      <c r="H328" s="127" t="str">
        <f>IF(C328="","",SUMIFS(R_Hval,R_St,"Submitted",R_Task,INDEX(R_Task,MATCH(94,R_TSeqP,0)))+SUMIFS(R_Hval,R_St,"Recall Requested",R_Task,INDEX(R_Task,MATCH(94,R_TSeqP,0))))</f>
        <v/>
      </c>
      <c r="I328" s="127" t="str">
        <f>IF(C328="","",SUMIFS(R_Hval,R_St,"Draft",R_Task,INDEX(R_Task,MATCH(94,R_TSeqP,0)))+SUMIFS(R_Hval,R_St,"Returned",R_Task,INDEX(R_Task,MATCH(94,R_TSeqP,0))))</f>
        <v/>
      </c>
      <c r="J328" s="172" t="str">
        <f>IF(C328="","",COUNTIFS(R_Emp,"proMX",R_Valid,1,R_Task,INDEX(R_Task,MATCH(94,R_TSeqP,0))))</f>
        <v/>
      </c>
    </row>
    <row r="329">
      <c r="B329" s="172" t="n">
        <v>95</v>
      </c>
      <c r="C329" s="95" t="str">
        <f>IFERROR(INDEX(R_Task,MATCH(95,R_TSeqP,0))&amp;"","")</f>
        <v/>
      </c>
      <c r="D329" s="95" t="str">
        <f>IFERROR(INDEX(R_Proy,MATCH(95,R_TSeqP,0))&amp;"","")</f>
        <v/>
      </c>
      <c r="E329" s="127" t="str">
        <f>IF(C329="","",SUMIFS(R_Hcnt,R_Emp,"proMX",R_Task,INDEX(R_Task,MATCH(95,R_TSeqP,0))))</f>
        <v/>
      </c>
      <c r="F329" s="172" t="str">
        <f>IF(C329="","",SUMIFS(R_BlkV,R_Emp,"proMX",R_Task,INDEX(R_Task,MATCH(95,R_TSeqP,0)))-SUMIFS(R_BlkV,R_St,"Cancelled",R_Task,INDEX(R_Task,MATCH(95,R_TSeqP,0))))</f>
        <v/>
      </c>
      <c r="G329" s="127" t="str">
        <f>IF(C329="","",SUMIFS(R_Hval,R_St,"Approved",R_Task,INDEX(R_Task,MATCH(95,R_TSeqP,0))))</f>
        <v/>
      </c>
      <c r="H329" s="127" t="str">
        <f>IF(C329="","",SUMIFS(R_Hval,R_St,"Submitted",R_Task,INDEX(R_Task,MATCH(95,R_TSeqP,0)))+SUMIFS(R_Hval,R_St,"Recall Requested",R_Task,INDEX(R_Task,MATCH(95,R_TSeqP,0))))</f>
        <v/>
      </c>
      <c r="I329" s="127" t="str">
        <f>IF(C329="","",SUMIFS(R_Hval,R_St,"Draft",R_Task,INDEX(R_Task,MATCH(95,R_TSeqP,0)))+SUMIFS(R_Hval,R_St,"Returned",R_Task,INDEX(R_Task,MATCH(95,R_TSeqP,0))))</f>
        <v/>
      </c>
      <c r="J329" s="172" t="str">
        <f>IF(C329="","",COUNTIFS(R_Emp,"proMX",R_Valid,1,R_Task,INDEX(R_Task,MATCH(95,R_TSeqP,0))))</f>
        <v/>
      </c>
    </row>
    <row r="330">
      <c r="B330" s="172" t="n">
        <v>96</v>
      </c>
      <c r="C330" s="95" t="str">
        <f>IFERROR(INDEX(R_Task,MATCH(96,R_TSeqP,0))&amp;"","")</f>
        <v/>
      </c>
      <c r="D330" s="95" t="str">
        <f>IFERROR(INDEX(R_Proy,MATCH(96,R_TSeqP,0))&amp;"","")</f>
        <v/>
      </c>
      <c r="E330" s="127" t="str">
        <f>IF(C330="","",SUMIFS(R_Hcnt,R_Emp,"proMX",R_Task,INDEX(R_Task,MATCH(96,R_TSeqP,0))))</f>
        <v/>
      </c>
      <c r="F330" s="172" t="str">
        <f>IF(C330="","",SUMIFS(R_BlkV,R_Emp,"proMX",R_Task,INDEX(R_Task,MATCH(96,R_TSeqP,0)))-SUMIFS(R_BlkV,R_St,"Cancelled",R_Task,INDEX(R_Task,MATCH(96,R_TSeqP,0))))</f>
        <v/>
      </c>
      <c r="G330" s="127" t="str">
        <f>IF(C330="","",SUMIFS(R_Hval,R_St,"Approved",R_Task,INDEX(R_Task,MATCH(96,R_TSeqP,0))))</f>
        <v/>
      </c>
      <c r="H330" s="127" t="str">
        <f>IF(C330="","",SUMIFS(R_Hval,R_St,"Submitted",R_Task,INDEX(R_Task,MATCH(96,R_TSeqP,0)))+SUMIFS(R_Hval,R_St,"Recall Requested",R_Task,INDEX(R_Task,MATCH(96,R_TSeqP,0))))</f>
        <v/>
      </c>
      <c r="I330" s="127" t="str">
        <f>IF(C330="","",SUMIFS(R_Hval,R_St,"Draft",R_Task,INDEX(R_Task,MATCH(96,R_TSeqP,0)))+SUMIFS(R_Hval,R_St,"Returned",R_Task,INDEX(R_Task,MATCH(96,R_TSeqP,0))))</f>
        <v/>
      </c>
      <c r="J330" s="172" t="str">
        <f>IF(C330="","",COUNTIFS(R_Emp,"proMX",R_Valid,1,R_Task,INDEX(R_Task,MATCH(96,R_TSeqP,0))))</f>
        <v/>
      </c>
    </row>
    <row r="331">
      <c r="B331" s="172" t="n">
        <v>97</v>
      </c>
      <c r="C331" s="95" t="str">
        <f>IFERROR(INDEX(R_Task,MATCH(97,R_TSeqP,0))&amp;"","")</f>
        <v/>
      </c>
      <c r="D331" s="95" t="str">
        <f>IFERROR(INDEX(R_Proy,MATCH(97,R_TSeqP,0))&amp;"","")</f>
        <v/>
      </c>
      <c r="E331" s="127" t="str">
        <f>IF(C331="","",SUMIFS(R_Hcnt,R_Emp,"proMX",R_Task,INDEX(R_Task,MATCH(97,R_TSeqP,0))))</f>
        <v/>
      </c>
      <c r="F331" s="172" t="str">
        <f>IF(C331="","",SUMIFS(R_BlkV,R_Emp,"proMX",R_Task,INDEX(R_Task,MATCH(97,R_TSeqP,0)))-SUMIFS(R_BlkV,R_St,"Cancelled",R_Task,INDEX(R_Task,MATCH(97,R_TSeqP,0))))</f>
        <v/>
      </c>
      <c r="G331" s="127" t="str">
        <f>IF(C331="","",SUMIFS(R_Hval,R_St,"Approved",R_Task,INDEX(R_Task,MATCH(97,R_TSeqP,0))))</f>
        <v/>
      </c>
      <c r="H331" s="127" t="str">
        <f>IF(C331="","",SUMIFS(R_Hval,R_St,"Submitted",R_Task,INDEX(R_Task,MATCH(97,R_TSeqP,0)))+SUMIFS(R_Hval,R_St,"Recall Requested",R_Task,INDEX(R_Task,MATCH(97,R_TSeqP,0))))</f>
        <v/>
      </c>
      <c r="I331" s="127" t="str">
        <f>IF(C331="","",SUMIFS(R_Hval,R_St,"Draft",R_Task,INDEX(R_Task,MATCH(97,R_TSeqP,0)))+SUMIFS(R_Hval,R_St,"Returned",R_Task,INDEX(R_Task,MATCH(97,R_TSeqP,0))))</f>
        <v/>
      </c>
      <c r="J331" s="172" t="str">
        <f>IF(C331="","",COUNTIFS(R_Emp,"proMX",R_Valid,1,R_Task,INDEX(R_Task,MATCH(97,R_TSeqP,0))))</f>
        <v/>
      </c>
    </row>
    <row r="332">
      <c r="B332" s="172" t="n">
        <v>98</v>
      </c>
      <c r="C332" s="95" t="str">
        <f>IFERROR(INDEX(R_Task,MATCH(98,R_TSeqP,0))&amp;"","")</f>
        <v/>
      </c>
      <c r="D332" s="95" t="str">
        <f>IFERROR(INDEX(R_Proy,MATCH(98,R_TSeqP,0))&amp;"","")</f>
        <v/>
      </c>
      <c r="E332" s="127" t="str">
        <f>IF(C332="","",SUMIFS(R_Hcnt,R_Emp,"proMX",R_Task,INDEX(R_Task,MATCH(98,R_TSeqP,0))))</f>
        <v/>
      </c>
      <c r="F332" s="172" t="str">
        <f>IF(C332="","",SUMIFS(R_BlkV,R_Emp,"proMX",R_Task,INDEX(R_Task,MATCH(98,R_TSeqP,0)))-SUMIFS(R_BlkV,R_St,"Cancelled",R_Task,INDEX(R_Task,MATCH(98,R_TSeqP,0))))</f>
        <v/>
      </c>
      <c r="G332" s="127" t="str">
        <f>IF(C332="","",SUMIFS(R_Hval,R_St,"Approved",R_Task,INDEX(R_Task,MATCH(98,R_TSeqP,0))))</f>
        <v/>
      </c>
      <c r="H332" s="127" t="str">
        <f>IF(C332="","",SUMIFS(R_Hval,R_St,"Submitted",R_Task,INDEX(R_Task,MATCH(98,R_TSeqP,0)))+SUMIFS(R_Hval,R_St,"Recall Requested",R_Task,INDEX(R_Task,MATCH(98,R_TSeqP,0))))</f>
        <v/>
      </c>
      <c r="I332" s="127" t="str">
        <f>IF(C332="","",SUMIFS(R_Hval,R_St,"Draft",R_Task,INDEX(R_Task,MATCH(98,R_TSeqP,0)))+SUMIFS(R_Hval,R_St,"Returned",R_Task,INDEX(R_Task,MATCH(98,R_TSeqP,0))))</f>
        <v/>
      </c>
      <c r="J332" s="172" t="str">
        <f>IF(C332="","",COUNTIFS(R_Emp,"proMX",R_Valid,1,R_Task,INDEX(R_Task,MATCH(98,R_TSeqP,0))))</f>
        <v/>
      </c>
    </row>
    <row r="333">
      <c r="B333" s="172" t="n">
        <v>99</v>
      </c>
      <c r="C333" s="95" t="str">
        <f>IFERROR(INDEX(R_Task,MATCH(99,R_TSeqP,0))&amp;"","")</f>
        <v/>
      </c>
      <c r="D333" s="95" t="str">
        <f>IFERROR(INDEX(R_Proy,MATCH(99,R_TSeqP,0))&amp;"","")</f>
        <v/>
      </c>
      <c r="E333" s="127" t="str">
        <f>IF(C333="","",SUMIFS(R_Hcnt,R_Emp,"proMX",R_Task,INDEX(R_Task,MATCH(99,R_TSeqP,0))))</f>
        <v/>
      </c>
      <c r="F333" s="172" t="str">
        <f>IF(C333="","",SUMIFS(R_BlkV,R_Emp,"proMX",R_Task,INDEX(R_Task,MATCH(99,R_TSeqP,0)))-SUMIFS(R_BlkV,R_St,"Cancelled",R_Task,INDEX(R_Task,MATCH(99,R_TSeqP,0))))</f>
        <v/>
      </c>
      <c r="G333" s="127" t="str">
        <f>IF(C333="","",SUMIFS(R_Hval,R_St,"Approved",R_Task,INDEX(R_Task,MATCH(99,R_TSeqP,0))))</f>
        <v/>
      </c>
      <c r="H333" s="127" t="str">
        <f>IF(C333="","",SUMIFS(R_Hval,R_St,"Submitted",R_Task,INDEX(R_Task,MATCH(99,R_TSeqP,0)))+SUMIFS(R_Hval,R_St,"Recall Requested",R_Task,INDEX(R_Task,MATCH(99,R_TSeqP,0))))</f>
        <v/>
      </c>
      <c r="I333" s="127" t="str">
        <f>IF(C333="","",SUMIFS(R_Hval,R_St,"Draft",R_Task,INDEX(R_Task,MATCH(99,R_TSeqP,0)))+SUMIFS(R_Hval,R_St,"Returned",R_Task,INDEX(R_Task,MATCH(99,R_TSeqP,0))))</f>
        <v/>
      </c>
      <c r="J333" s="172" t="str">
        <f>IF(C333="","",COUNTIFS(R_Emp,"proMX",R_Valid,1,R_Task,INDEX(R_Task,MATCH(99,R_TSeqP,0))))</f>
        <v/>
      </c>
    </row>
    <row r="334">
      <c r="B334" s="172" t="n">
        <v>100</v>
      </c>
      <c r="C334" s="95" t="str">
        <f>IFERROR(INDEX(R_Task,MATCH(100,R_TSeqP,0))&amp;"","")</f>
        <v/>
      </c>
      <c r="D334" s="95" t="str">
        <f>IFERROR(INDEX(R_Proy,MATCH(100,R_TSeqP,0))&amp;"","")</f>
        <v/>
      </c>
      <c r="E334" s="127" t="str">
        <f>IF(C334="","",SUMIFS(R_Hcnt,R_Emp,"proMX",R_Task,INDEX(R_Task,MATCH(100,R_TSeqP,0))))</f>
        <v/>
      </c>
      <c r="F334" s="172" t="str">
        <f>IF(C334="","",SUMIFS(R_BlkV,R_Emp,"proMX",R_Task,INDEX(R_Task,MATCH(100,R_TSeqP,0)))-SUMIFS(R_BlkV,R_St,"Cancelled",R_Task,INDEX(R_Task,MATCH(100,R_TSeqP,0))))</f>
        <v/>
      </c>
      <c r="G334" s="127" t="str">
        <f>IF(C334="","",SUMIFS(R_Hval,R_St,"Approved",R_Task,INDEX(R_Task,MATCH(100,R_TSeqP,0))))</f>
        <v/>
      </c>
      <c r="H334" s="127" t="str">
        <f>IF(C334="","",SUMIFS(R_Hval,R_St,"Submitted",R_Task,INDEX(R_Task,MATCH(100,R_TSeqP,0)))+SUMIFS(R_Hval,R_St,"Recall Requested",R_Task,INDEX(R_Task,MATCH(100,R_TSeqP,0))))</f>
        <v/>
      </c>
      <c r="I334" s="127" t="str">
        <f>IF(C334="","",SUMIFS(R_Hval,R_St,"Draft",R_Task,INDEX(R_Task,MATCH(100,R_TSeqP,0)))+SUMIFS(R_Hval,R_St,"Returned",R_Task,INDEX(R_Task,MATCH(100,R_TSeqP,0))))</f>
        <v/>
      </c>
      <c r="J334" s="172" t="str">
        <f>IF(C334="","",COUNTIFS(R_Emp,"proMX",R_Valid,1,R_Task,INDEX(R_Task,MATCH(100,R_TSeqP,0))))</f>
        <v/>
      </c>
    </row>
    <row r="337" ht="22" customHeight="1">
      <c r="B337" s="149" t="inlineStr">
        <is>
          <t>Horas proMX por proyecto</t>
        </is>
      </c>
      <c r="C337" s="150" t="n"/>
      <c r="D337" s="150" t="n"/>
      <c r="E337" s="150" t="n"/>
      <c r="F337" s="150" t="n"/>
      <c r="G337" s="150" t="n"/>
      <c r="H337" s="150" t="n"/>
      <c r="I337" s="150" t="n"/>
      <c r="J337" s="150" t="n"/>
      <c r="K337" s="150" t="n"/>
      <c r="L337" s="150" t="n"/>
    </row>
    <row r="338" ht="32" customHeight="1">
      <c r="B338" s="151" t="inlineStr">
        <is>
          <t>#</t>
        </is>
      </c>
      <c r="C338" s="151" t="inlineStr">
        <is>
          <t>Proyecto</t>
        </is>
      </c>
      <c r="D338" s="151" t="inlineStr"/>
      <c r="E338" s="151" t="inlineStr">
        <is>
          <t>Horas válidas</t>
        </is>
      </c>
      <c r="F338" s="151" t="inlineStr">
        <is>
          <t>Bloques</t>
        </is>
      </c>
      <c r="G338" s="151" t="inlineStr">
        <is>
          <t>Approved (h)</t>
        </is>
      </c>
      <c r="H338" s="151" t="inlineStr">
        <is>
          <t>Pend. aprob. (h)</t>
        </is>
      </c>
      <c r="I338" s="151" t="inlineStr">
        <is>
          <t>Pend. envío (h)</t>
        </is>
      </c>
      <c r="J338" s="151" t="inlineStr">
        <is>
          <t>USD aprobados</t>
        </is>
      </c>
      <c r="K338" s="151" t="inlineStr"/>
      <c r="L338" s="151" t="inlineStr"/>
    </row>
    <row r="339">
      <c r="B339" s="172" t="n">
        <v>1</v>
      </c>
      <c r="C339" s="95" t="str">
        <f>IFERROR(INDEX(R_Proy,MATCH(1,R_PSeqP,0))&amp;"","")</f>
        <v>Portal Cliente</v>
      </c>
      <c r="E339" s="127">
        <f>IF(C339="","",SUMIFS(R_Hcnt,R_Emp,"proMX",R_Proy,C339))</f>
        <v>10.5</v>
      </c>
      <c r="F339" s="172">
        <f>IF(C339="","",SUMIFS(R_BlkV,R_Emp,"proMX",R_Proy,C339)-SUMIFS(R_BlkV,R_St,"Cancelled",R_Proy,C339))</f>
        <v>21</v>
      </c>
      <c r="G339" s="127">
        <f>IF(C339="","",SUMIFS(R_Hval,R_St,"Approved",R_Proy,C339))</f>
        <v>6</v>
      </c>
      <c r="H339" s="127">
        <f>IF(C339="","",SUMIFS(R_Hval,R_St,"Submitted",R_Proy,C339)+SUMIFS(R_Hval,R_St,"Recall Requested",R_Proy,C339))</f>
        <v>3</v>
      </c>
      <c r="I339" s="127">
        <f>IF(C339="","",SUMIFS(R_Hval,R_St,"Draft",R_Proy,C339)+SUMIFS(R_Hval,R_St,"Returned",R_Proy,C339))</f>
        <v>1.5</v>
      </c>
      <c r="J339" s="174">
        <f>IF(C339="","",SUMIFS(R_USD,R_St,"Approved",R_Proy,C339))</f>
        <v>300</v>
      </c>
    </row>
    <row r="340">
      <c r="B340" s="172" t="n">
        <v>2</v>
      </c>
      <c r="C340" s="95" t="str">
        <f>IFERROR(INDEX(R_Proy,MATCH(2,R_PSeqP,0))&amp;"","")</f>
        <v/>
      </c>
      <c r="E340" s="127" t="str">
        <f>IF(C340="","",SUMIFS(R_Hcnt,R_Emp,"proMX",R_Proy,C340))</f>
        <v/>
      </c>
      <c r="F340" s="172" t="str">
        <f>IF(C340="","",SUMIFS(R_BlkV,R_Emp,"proMX",R_Proy,C340)-SUMIFS(R_BlkV,R_St,"Cancelled",R_Proy,C340))</f>
        <v/>
      </c>
      <c r="G340" s="127" t="str">
        <f>IF(C340="","",SUMIFS(R_Hval,R_St,"Approved",R_Proy,C340))</f>
        <v/>
      </c>
      <c r="H340" s="127" t="str">
        <f>IF(C340="","",SUMIFS(R_Hval,R_St,"Submitted",R_Proy,C340)+SUMIFS(R_Hval,R_St,"Recall Requested",R_Proy,C340))</f>
        <v/>
      </c>
      <c r="I340" s="127" t="str">
        <f>IF(C340="","",SUMIFS(R_Hval,R_St,"Draft",R_Proy,C340)+SUMIFS(R_Hval,R_St,"Returned",R_Proy,C340))</f>
        <v/>
      </c>
      <c r="J340" s="174" t="str">
        <f>IF(C340="","",SUMIFS(R_USD,R_St,"Approved",R_Proy,C340))</f>
        <v/>
      </c>
    </row>
    <row r="341">
      <c r="B341" s="172" t="n">
        <v>3</v>
      </c>
      <c r="C341" s="95" t="str">
        <f>IFERROR(INDEX(R_Proy,MATCH(3,R_PSeqP,0))&amp;"","")</f>
        <v/>
      </c>
      <c r="E341" s="127" t="str">
        <f>IF(C341="","",SUMIFS(R_Hcnt,R_Emp,"proMX",R_Proy,C341))</f>
        <v/>
      </c>
      <c r="F341" s="172" t="str">
        <f>IF(C341="","",SUMIFS(R_BlkV,R_Emp,"proMX",R_Proy,C341)-SUMIFS(R_BlkV,R_St,"Cancelled",R_Proy,C341))</f>
        <v/>
      </c>
      <c r="G341" s="127" t="str">
        <f>IF(C341="","",SUMIFS(R_Hval,R_St,"Approved",R_Proy,C341))</f>
        <v/>
      </c>
      <c r="H341" s="127" t="str">
        <f>IF(C341="","",SUMIFS(R_Hval,R_St,"Submitted",R_Proy,C341)+SUMIFS(R_Hval,R_St,"Recall Requested",R_Proy,C341))</f>
        <v/>
      </c>
      <c r="I341" s="127" t="str">
        <f>IF(C341="","",SUMIFS(R_Hval,R_St,"Draft",R_Proy,C341)+SUMIFS(R_Hval,R_St,"Returned",R_Proy,C341))</f>
        <v/>
      </c>
      <c r="J341" s="174" t="str">
        <f>IF(C341="","",SUMIFS(R_USD,R_St,"Approved",R_Proy,C341))</f>
        <v/>
      </c>
    </row>
    <row r="342">
      <c r="B342" s="172" t="n">
        <v>4</v>
      </c>
      <c r="C342" s="95" t="str">
        <f>IFERROR(INDEX(R_Proy,MATCH(4,R_PSeqP,0))&amp;"","")</f>
        <v/>
      </c>
      <c r="E342" s="127" t="str">
        <f>IF(C342="","",SUMIFS(R_Hcnt,R_Emp,"proMX",R_Proy,C342))</f>
        <v/>
      </c>
      <c r="F342" s="172" t="str">
        <f>IF(C342="","",SUMIFS(R_BlkV,R_Emp,"proMX",R_Proy,C342)-SUMIFS(R_BlkV,R_St,"Cancelled",R_Proy,C342))</f>
        <v/>
      </c>
      <c r="G342" s="127" t="str">
        <f>IF(C342="","",SUMIFS(R_Hval,R_St,"Approved",R_Proy,C342))</f>
        <v/>
      </c>
      <c r="H342" s="127" t="str">
        <f>IF(C342="","",SUMIFS(R_Hval,R_St,"Submitted",R_Proy,C342)+SUMIFS(R_Hval,R_St,"Recall Requested",R_Proy,C342))</f>
        <v/>
      </c>
      <c r="I342" s="127" t="str">
        <f>IF(C342="","",SUMIFS(R_Hval,R_St,"Draft",R_Proy,C342)+SUMIFS(R_Hval,R_St,"Returned",R_Proy,C342))</f>
        <v/>
      </c>
      <c r="J342" s="174" t="str">
        <f>IF(C342="","",SUMIFS(R_USD,R_St,"Approved",R_Proy,C342))</f>
        <v/>
      </c>
    </row>
    <row r="343">
      <c r="B343" s="172" t="n">
        <v>5</v>
      </c>
      <c r="C343" s="95" t="str">
        <f>IFERROR(INDEX(R_Proy,MATCH(5,R_PSeqP,0))&amp;"","")</f>
        <v/>
      </c>
      <c r="E343" s="127" t="str">
        <f>IF(C343="","",SUMIFS(R_Hcnt,R_Emp,"proMX",R_Proy,C343))</f>
        <v/>
      </c>
      <c r="F343" s="172" t="str">
        <f>IF(C343="","",SUMIFS(R_BlkV,R_Emp,"proMX",R_Proy,C343)-SUMIFS(R_BlkV,R_St,"Cancelled",R_Proy,C343))</f>
        <v/>
      </c>
      <c r="G343" s="127" t="str">
        <f>IF(C343="","",SUMIFS(R_Hval,R_St,"Approved",R_Proy,C343))</f>
        <v/>
      </c>
      <c r="H343" s="127" t="str">
        <f>IF(C343="","",SUMIFS(R_Hval,R_St,"Submitted",R_Proy,C343)+SUMIFS(R_Hval,R_St,"Recall Requested",R_Proy,C343))</f>
        <v/>
      </c>
      <c r="I343" s="127" t="str">
        <f>IF(C343="","",SUMIFS(R_Hval,R_St,"Draft",R_Proy,C343)+SUMIFS(R_Hval,R_St,"Returned",R_Proy,C343))</f>
        <v/>
      </c>
      <c r="J343" s="174" t="str">
        <f>IF(C343="","",SUMIFS(R_USD,R_St,"Approved",R_Proy,C343))</f>
        <v/>
      </c>
    </row>
    <row r="344">
      <c r="B344" s="172" t="n">
        <v>6</v>
      </c>
      <c r="C344" s="95" t="str">
        <f>IFERROR(INDEX(R_Proy,MATCH(6,R_PSeqP,0))&amp;"","")</f>
        <v/>
      </c>
      <c r="E344" s="127" t="str">
        <f>IF(C344="","",SUMIFS(R_Hcnt,R_Emp,"proMX",R_Proy,C344))</f>
        <v/>
      </c>
      <c r="F344" s="172" t="str">
        <f>IF(C344="","",SUMIFS(R_BlkV,R_Emp,"proMX",R_Proy,C344)-SUMIFS(R_BlkV,R_St,"Cancelled",R_Proy,C344))</f>
        <v/>
      </c>
      <c r="G344" s="127" t="str">
        <f>IF(C344="","",SUMIFS(R_Hval,R_St,"Approved",R_Proy,C344))</f>
        <v/>
      </c>
      <c r="H344" s="127" t="str">
        <f>IF(C344="","",SUMIFS(R_Hval,R_St,"Submitted",R_Proy,C344)+SUMIFS(R_Hval,R_St,"Recall Requested",R_Proy,C344))</f>
        <v/>
      </c>
      <c r="I344" s="127" t="str">
        <f>IF(C344="","",SUMIFS(R_Hval,R_St,"Draft",R_Proy,C344)+SUMIFS(R_Hval,R_St,"Returned",R_Proy,C344))</f>
        <v/>
      </c>
      <c r="J344" s="174" t="str">
        <f>IF(C344="","",SUMIFS(R_USD,R_St,"Approved",R_Proy,C344))</f>
        <v/>
      </c>
    </row>
    <row r="345">
      <c r="B345" s="172" t="n">
        <v>7</v>
      </c>
      <c r="C345" s="95" t="str">
        <f>IFERROR(INDEX(R_Proy,MATCH(7,R_PSeqP,0))&amp;"","")</f>
        <v/>
      </c>
      <c r="E345" s="127" t="str">
        <f>IF(C345="","",SUMIFS(R_Hcnt,R_Emp,"proMX",R_Proy,C345))</f>
        <v/>
      </c>
      <c r="F345" s="172" t="str">
        <f>IF(C345="","",SUMIFS(R_BlkV,R_Emp,"proMX",R_Proy,C345)-SUMIFS(R_BlkV,R_St,"Cancelled",R_Proy,C345))</f>
        <v/>
      </c>
      <c r="G345" s="127" t="str">
        <f>IF(C345="","",SUMIFS(R_Hval,R_St,"Approved",R_Proy,C345))</f>
        <v/>
      </c>
      <c r="H345" s="127" t="str">
        <f>IF(C345="","",SUMIFS(R_Hval,R_St,"Submitted",R_Proy,C345)+SUMIFS(R_Hval,R_St,"Recall Requested",R_Proy,C345))</f>
        <v/>
      </c>
      <c r="I345" s="127" t="str">
        <f>IF(C345="","",SUMIFS(R_Hval,R_St,"Draft",R_Proy,C345)+SUMIFS(R_Hval,R_St,"Returned",R_Proy,C345))</f>
        <v/>
      </c>
      <c r="J345" s="174" t="str">
        <f>IF(C345="","",SUMIFS(R_USD,R_St,"Approved",R_Proy,C345))</f>
        <v/>
      </c>
    </row>
    <row r="346">
      <c r="B346" s="172" t="n">
        <v>8</v>
      </c>
      <c r="C346" s="95" t="str">
        <f>IFERROR(INDEX(R_Proy,MATCH(8,R_PSeqP,0))&amp;"","")</f>
        <v/>
      </c>
      <c r="E346" s="127" t="str">
        <f>IF(C346="","",SUMIFS(R_Hcnt,R_Emp,"proMX",R_Proy,C346))</f>
        <v/>
      </c>
      <c r="F346" s="172" t="str">
        <f>IF(C346="","",SUMIFS(R_BlkV,R_Emp,"proMX",R_Proy,C346)-SUMIFS(R_BlkV,R_St,"Cancelled",R_Proy,C346))</f>
        <v/>
      </c>
      <c r="G346" s="127" t="str">
        <f>IF(C346="","",SUMIFS(R_Hval,R_St,"Approved",R_Proy,C346))</f>
        <v/>
      </c>
      <c r="H346" s="127" t="str">
        <f>IF(C346="","",SUMIFS(R_Hval,R_St,"Submitted",R_Proy,C346)+SUMIFS(R_Hval,R_St,"Recall Requested",R_Proy,C346))</f>
        <v/>
      </c>
      <c r="I346" s="127" t="str">
        <f>IF(C346="","",SUMIFS(R_Hval,R_St,"Draft",R_Proy,C346)+SUMIFS(R_Hval,R_St,"Returned",R_Proy,C346))</f>
        <v/>
      </c>
      <c r="J346" s="174" t="str">
        <f>IF(C346="","",SUMIFS(R_USD,R_St,"Approved",R_Proy,C346))</f>
        <v/>
      </c>
    </row>
    <row r="347">
      <c r="B347" s="172" t="n">
        <v>9</v>
      </c>
      <c r="C347" s="95" t="str">
        <f>IFERROR(INDEX(R_Proy,MATCH(9,R_PSeqP,0))&amp;"","")</f>
        <v/>
      </c>
      <c r="E347" s="127" t="str">
        <f>IF(C347="","",SUMIFS(R_Hcnt,R_Emp,"proMX",R_Proy,C347))</f>
        <v/>
      </c>
      <c r="F347" s="172" t="str">
        <f>IF(C347="","",SUMIFS(R_BlkV,R_Emp,"proMX",R_Proy,C347)-SUMIFS(R_BlkV,R_St,"Cancelled",R_Proy,C347))</f>
        <v/>
      </c>
      <c r="G347" s="127" t="str">
        <f>IF(C347="","",SUMIFS(R_Hval,R_St,"Approved",R_Proy,C347))</f>
        <v/>
      </c>
      <c r="H347" s="127" t="str">
        <f>IF(C347="","",SUMIFS(R_Hval,R_St,"Submitted",R_Proy,C347)+SUMIFS(R_Hval,R_St,"Recall Requested",R_Proy,C347))</f>
        <v/>
      </c>
      <c r="I347" s="127" t="str">
        <f>IF(C347="","",SUMIFS(R_Hval,R_St,"Draft",R_Proy,C347)+SUMIFS(R_Hval,R_St,"Returned",R_Proy,C347))</f>
        <v/>
      </c>
      <c r="J347" s="174" t="str">
        <f>IF(C347="","",SUMIFS(R_USD,R_St,"Approved",R_Proy,C347))</f>
        <v/>
      </c>
    </row>
    <row r="348">
      <c r="B348" s="172" t="n">
        <v>10</v>
      </c>
      <c r="C348" s="95" t="str">
        <f>IFERROR(INDEX(R_Proy,MATCH(10,R_PSeqP,0))&amp;"","")</f>
        <v/>
      </c>
      <c r="E348" s="127" t="str">
        <f>IF(C348="","",SUMIFS(R_Hcnt,R_Emp,"proMX",R_Proy,C348))</f>
        <v/>
      </c>
      <c r="F348" s="172" t="str">
        <f>IF(C348="","",SUMIFS(R_BlkV,R_Emp,"proMX",R_Proy,C348)-SUMIFS(R_BlkV,R_St,"Cancelled",R_Proy,C348))</f>
        <v/>
      </c>
      <c r="G348" s="127" t="str">
        <f>IF(C348="","",SUMIFS(R_Hval,R_St,"Approved",R_Proy,C348))</f>
        <v/>
      </c>
      <c r="H348" s="127" t="str">
        <f>IF(C348="","",SUMIFS(R_Hval,R_St,"Submitted",R_Proy,C348)+SUMIFS(R_Hval,R_St,"Recall Requested",R_Proy,C348))</f>
        <v/>
      </c>
      <c r="I348" s="127" t="str">
        <f>IF(C348="","",SUMIFS(R_Hval,R_St,"Draft",R_Proy,C348)+SUMIFS(R_Hval,R_St,"Returned",R_Proy,C348))</f>
        <v/>
      </c>
      <c r="J348" s="174" t="str">
        <f>IF(C348="","",SUMIFS(R_USD,R_St,"Approved",R_Proy,C348))</f>
        <v/>
      </c>
    </row>
    <row r="349">
      <c r="B349" s="172" t="n">
        <v>11</v>
      </c>
      <c r="C349" s="95" t="str">
        <f>IFERROR(INDEX(R_Proy,MATCH(11,R_PSeqP,0))&amp;"","")</f>
        <v/>
      </c>
      <c r="E349" s="127" t="str">
        <f>IF(C349="","",SUMIFS(R_Hcnt,R_Emp,"proMX",R_Proy,C349))</f>
        <v/>
      </c>
      <c r="F349" s="172" t="str">
        <f>IF(C349="","",SUMIFS(R_BlkV,R_Emp,"proMX",R_Proy,C349)-SUMIFS(R_BlkV,R_St,"Cancelled",R_Proy,C349))</f>
        <v/>
      </c>
      <c r="G349" s="127" t="str">
        <f>IF(C349="","",SUMIFS(R_Hval,R_St,"Approved",R_Proy,C349))</f>
        <v/>
      </c>
      <c r="H349" s="127" t="str">
        <f>IF(C349="","",SUMIFS(R_Hval,R_St,"Submitted",R_Proy,C349)+SUMIFS(R_Hval,R_St,"Recall Requested",R_Proy,C349))</f>
        <v/>
      </c>
      <c r="I349" s="127" t="str">
        <f>IF(C349="","",SUMIFS(R_Hval,R_St,"Draft",R_Proy,C349)+SUMIFS(R_Hval,R_St,"Returned",R_Proy,C349))</f>
        <v/>
      </c>
      <c r="J349" s="174" t="str">
        <f>IF(C349="","",SUMIFS(R_USD,R_St,"Approved",R_Proy,C349))</f>
        <v/>
      </c>
    </row>
    <row r="350">
      <c r="B350" s="172" t="n">
        <v>12</v>
      </c>
      <c r="C350" s="95" t="str">
        <f>IFERROR(INDEX(R_Proy,MATCH(12,R_PSeqP,0))&amp;"","")</f>
        <v/>
      </c>
      <c r="E350" s="127" t="str">
        <f>IF(C350="","",SUMIFS(R_Hcnt,R_Emp,"proMX",R_Proy,C350))</f>
        <v/>
      </c>
      <c r="F350" s="172" t="str">
        <f>IF(C350="","",SUMIFS(R_BlkV,R_Emp,"proMX",R_Proy,C350)-SUMIFS(R_BlkV,R_St,"Cancelled",R_Proy,C350))</f>
        <v/>
      </c>
      <c r="G350" s="127" t="str">
        <f>IF(C350="","",SUMIFS(R_Hval,R_St,"Approved",R_Proy,C350))</f>
        <v/>
      </c>
      <c r="H350" s="127" t="str">
        <f>IF(C350="","",SUMIFS(R_Hval,R_St,"Submitted",R_Proy,C350)+SUMIFS(R_Hval,R_St,"Recall Requested",R_Proy,C350))</f>
        <v/>
      </c>
      <c r="I350" s="127" t="str">
        <f>IF(C350="","",SUMIFS(R_Hval,R_St,"Draft",R_Proy,C350)+SUMIFS(R_Hval,R_St,"Returned",R_Proy,C350))</f>
        <v/>
      </c>
      <c r="J350" s="174" t="str">
        <f>IF(C350="","",SUMIFS(R_USD,R_St,"Approved",R_Proy,C350))</f>
        <v/>
      </c>
    </row>
    <row r="351">
      <c r="B351" s="172" t="n">
        <v>13</v>
      </c>
      <c r="C351" s="95" t="str">
        <f>IFERROR(INDEX(R_Proy,MATCH(13,R_PSeqP,0))&amp;"","")</f>
        <v/>
      </c>
      <c r="E351" s="127" t="str">
        <f>IF(C351="","",SUMIFS(R_Hcnt,R_Emp,"proMX",R_Proy,C351))</f>
        <v/>
      </c>
      <c r="F351" s="172" t="str">
        <f>IF(C351="","",SUMIFS(R_BlkV,R_Emp,"proMX",R_Proy,C351)-SUMIFS(R_BlkV,R_St,"Cancelled",R_Proy,C351))</f>
        <v/>
      </c>
      <c r="G351" s="127" t="str">
        <f>IF(C351="","",SUMIFS(R_Hval,R_St,"Approved",R_Proy,C351))</f>
        <v/>
      </c>
      <c r="H351" s="127" t="str">
        <f>IF(C351="","",SUMIFS(R_Hval,R_St,"Submitted",R_Proy,C351)+SUMIFS(R_Hval,R_St,"Recall Requested",R_Proy,C351))</f>
        <v/>
      </c>
      <c r="I351" s="127" t="str">
        <f>IF(C351="","",SUMIFS(R_Hval,R_St,"Draft",R_Proy,C351)+SUMIFS(R_Hval,R_St,"Returned",R_Proy,C351))</f>
        <v/>
      </c>
      <c r="J351" s="174" t="str">
        <f>IF(C351="","",SUMIFS(R_USD,R_St,"Approved",R_Proy,C351))</f>
        <v/>
      </c>
    </row>
    <row r="352">
      <c r="B352" s="172" t="n">
        <v>14</v>
      </c>
      <c r="C352" s="95" t="str">
        <f>IFERROR(INDEX(R_Proy,MATCH(14,R_PSeqP,0))&amp;"","")</f>
        <v/>
      </c>
      <c r="E352" s="127" t="str">
        <f>IF(C352="","",SUMIFS(R_Hcnt,R_Emp,"proMX",R_Proy,C352))</f>
        <v/>
      </c>
      <c r="F352" s="172" t="str">
        <f>IF(C352="","",SUMIFS(R_BlkV,R_Emp,"proMX",R_Proy,C352)-SUMIFS(R_BlkV,R_St,"Cancelled",R_Proy,C352))</f>
        <v/>
      </c>
      <c r="G352" s="127" t="str">
        <f>IF(C352="","",SUMIFS(R_Hval,R_St,"Approved",R_Proy,C352))</f>
        <v/>
      </c>
      <c r="H352" s="127" t="str">
        <f>IF(C352="","",SUMIFS(R_Hval,R_St,"Submitted",R_Proy,C352)+SUMIFS(R_Hval,R_St,"Recall Requested",R_Proy,C352))</f>
        <v/>
      </c>
      <c r="I352" s="127" t="str">
        <f>IF(C352="","",SUMIFS(R_Hval,R_St,"Draft",R_Proy,C352)+SUMIFS(R_Hval,R_St,"Returned",R_Proy,C352))</f>
        <v/>
      </c>
      <c r="J352" s="174" t="str">
        <f>IF(C352="","",SUMIFS(R_USD,R_St,"Approved",R_Proy,C352))</f>
        <v/>
      </c>
    </row>
    <row r="353">
      <c r="B353" s="172" t="n">
        <v>15</v>
      </c>
      <c r="C353" s="95" t="str">
        <f>IFERROR(INDEX(R_Proy,MATCH(15,R_PSeqP,0))&amp;"","")</f>
        <v/>
      </c>
      <c r="E353" s="127" t="str">
        <f>IF(C353="","",SUMIFS(R_Hcnt,R_Emp,"proMX",R_Proy,C353))</f>
        <v/>
      </c>
      <c r="F353" s="172" t="str">
        <f>IF(C353="","",SUMIFS(R_BlkV,R_Emp,"proMX",R_Proy,C353)-SUMIFS(R_BlkV,R_St,"Cancelled",R_Proy,C353))</f>
        <v/>
      </c>
      <c r="G353" s="127" t="str">
        <f>IF(C353="","",SUMIFS(R_Hval,R_St,"Approved",R_Proy,C353))</f>
        <v/>
      </c>
      <c r="H353" s="127" t="str">
        <f>IF(C353="","",SUMIFS(R_Hval,R_St,"Submitted",R_Proy,C353)+SUMIFS(R_Hval,R_St,"Recall Requested",R_Proy,C353))</f>
        <v/>
      </c>
      <c r="I353" s="127" t="str">
        <f>IF(C353="","",SUMIFS(R_Hval,R_St,"Draft",R_Proy,C353)+SUMIFS(R_Hval,R_St,"Returned",R_Proy,C353))</f>
        <v/>
      </c>
      <c r="J353" s="174" t="str">
        <f>IF(C353="","",SUMIFS(R_USD,R_St,"Approved",R_Proy,C353))</f>
        <v/>
      </c>
    </row>
    <row r="354">
      <c r="B354" s="172" t="n">
        <v>16</v>
      </c>
      <c r="C354" s="95" t="str">
        <f>IFERROR(INDEX(R_Proy,MATCH(16,R_PSeqP,0))&amp;"","")</f>
        <v/>
      </c>
      <c r="E354" s="127" t="str">
        <f>IF(C354="","",SUMIFS(R_Hcnt,R_Emp,"proMX",R_Proy,C354))</f>
        <v/>
      </c>
      <c r="F354" s="172" t="str">
        <f>IF(C354="","",SUMIFS(R_BlkV,R_Emp,"proMX",R_Proy,C354)-SUMIFS(R_BlkV,R_St,"Cancelled",R_Proy,C354))</f>
        <v/>
      </c>
      <c r="G354" s="127" t="str">
        <f>IF(C354="","",SUMIFS(R_Hval,R_St,"Approved",R_Proy,C354))</f>
        <v/>
      </c>
      <c r="H354" s="127" t="str">
        <f>IF(C354="","",SUMIFS(R_Hval,R_St,"Submitted",R_Proy,C354)+SUMIFS(R_Hval,R_St,"Recall Requested",R_Proy,C354))</f>
        <v/>
      </c>
      <c r="I354" s="127" t="str">
        <f>IF(C354="","",SUMIFS(R_Hval,R_St,"Draft",R_Proy,C354)+SUMIFS(R_Hval,R_St,"Returned",R_Proy,C354))</f>
        <v/>
      </c>
      <c r="J354" s="174" t="str">
        <f>IF(C354="","",SUMIFS(R_USD,R_St,"Approved",R_Proy,C354))</f>
        <v/>
      </c>
    </row>
    <row r="355">
      <c r="B355" s="172" t="n">
        <v>17</v>
      </c>
      <c r="C355" s="95" t="str">
        <f>IFERROR(INDEX(R_Proy,MATCH(17,R_PSeqP,0))&amp;"","")</f>
        <v/>
      </c>
      <c r="E355" s="127" t="str">
        <f>IF(C355="","",SUMIFS(R_Hcnt,R_Emp,"proMX",R_Proy,C355))</f>
        <v/>
      </c>
      <c r="F355" s="172" t="str">
        <f>IF(C355="","",SUMIFS(R_BlkV,R_Emp,"proMX",R_Proy,C355)-SUMIFS(R_BlkV,R_St,"Cancelled",R_Proy,C355))</f>
        <v/>
      </c>
      <c r="G355" s="127" t="str">
        <f>IF(C355="","",SUMIFS(R_Hval,R_St,"Approved",R_Proy,C355))</f>
        <v/>
      </c>
      <c r="H355" s="127" t="str">
        <f>IF(C355="","",SUMIFS(R_Hval,R_St,"Submitted",R_Proy,C355)+SUMIFS(R_Hval,R_St,"Recall Requested",R_Proy,C355))</f>
        <v/>
      </c>
      <c r="I355" s="127" t="str">
        <f>IF(C355="","",SUMIFS(R_Hval,R_St,"Draft",R_Proy,C355)+SUMIFS(R_Hval,R_St,"Returned",R_Proy,C355))</f>
        <v/>
      </c>
      <c r="J355" s="174" t="str">
        <f>IF(C355="","",SUMIFS(R_USD,R_St,"Approved",R_Proy,C355))</f>
        <v/>
      </c>
    </row>
    <row r="356">
      <c r="B356" s="172" t="n">
        <v>18</v>
      </c>
      <c r="C356" s="95" t="str">
        <f>IFERROR(INDEX(R_Proy,MATCH(18,R_PSeqP,0))&amp;"","")</f>
        <v/>
      </c>
      <c r="E356" s="127" t="str">
        <f>IF(C356="","",SUMIFS(R_Hcnt,R_Emp,"proMX",R_Proy,C356))</f>
        <v/>
      </c>
      <c r="F356" s="172" t="str">
        <f>IF(C356="","",SUMIFS(R_BlkV,R_Emp,"proMX",R_Proy,C356)-SUMIFS(R_BlkV,R_St,"Cancelled",R_Proy,C356))</f>
        <v/>
      </c>
      <c r="G356" s="127" t="str">
        <f>IF(C356="","",SUMIFS(R_Hval,R_St,"Approved",R_Proy,C356))</f>
        <v/>
      </c>
      <c r="H356" s="127" t="str">
        <f>IF(C356="","",SUMIFS(R_Hval,R_St,"Submitted",R_Proy,C356)+SUMIFS(R_Hval,R_St,"Recall Requested",R_Proy,C356))</f>
        <v/>
      </c>
      <c r="I356" s="127" t="str">
        <f>IF(C356="","",SUMIFS(R_Hval,R_St,"Draft",R_Proy,C356)+SUMIFS(R_Hval,R_St,"Returned",R_Proy,C356))</f>
        <v/>
      </c>
      <c r="J356" s="174" t="str">
        <f>IF(C356="","",SUMIFS(R_USD,R_St,"Approved",R_Proy,C356))</f>
        <v/>
      </c>
    </row>
    <row r="357">
      <c r="B357" s="172" t="n">
        <v>19</v>
      </c>
      <c r="C357" s="95" t="str">
        <f>IFERROR(INDEX(R_Proy,MATCH(19,R_PSeqP,0))&amp;"","")</f>
        <v/>
      </c>
      <c r="E357" s="127" t="str">
        <f>IF(C357="","",SUMIFS(R_Hcnt,R_Emp,"proMX",R_Proy,C357))</f>
        <v/>
      </c>
      <c r="F357" s="172" t="str">
        <f>IF(C357="","",SUMIFS(R_BlkV,R_Emp,"proMX",R_Proy,C357)-SUMIFS(R_BlkV,R_St,"Cancelled",R_Proy,C357))</f>
        <v/>
      </c>
      <c r="G357" s="127" t="str">
        <f>IF(C357="","",SUMIFS(R_Hval,R_St,"Approved",R_Proy,C357))</f>
        <v/>
      </c>
      <c r="H357" s="127" t="str">
        <f>IF(C357="","",SUMIFS(R_Hval,R_St,"Submitted",R_Proy,C357)+SUMIFS(R_Hval,R_St,"Recall Requested",R_Proy,C357))</f>
        <v/>
      </c>
      <c r="I357" s="127" t="str">
        <f>IF(C357="","",SUMIFS(R_Hval,R_St,"Draft",R_Proy,C357)+SUMIFS(R_Hval,R_St,"Returned",R_Proy,C357))</f>
        <v/>
      </c>
      <c r="J357" s="174" t="str">
        <f>IF(C357="","",SUMIFS(R_USD,R_St,"Approved",R_Proy,C357))</f>
        <v/>
      </c>
    </row>
    <row r="358">
      <c r="B358" s="172" t="n">
        <v>20</v>
      </c>
      <c r="C358" s="95" t="str">
        <f>IFERROR(INDEX(R_Proy,MATCH(20,R_PSeqP,0))&amp;"","")</f>
        <v/>
      </c>
      <c r="E358" s="127" t="str">
        <f>IF(C358="","",SUMIFS(R_Hcnt,R_Emp,"proMX",R_Proy,C358))</f>
        <v/>
      </c>
      <c r="F358" s="172" t="str">
        <f>IF(C358="","",SUMIFS(R_BlkV,R_Emp,"proMX",R_Proy,C358)-SUMIFS(R_BlkV,R_St,"Cancelled",R_Proy,C358))</f>
        <v/>
      </c>
      <c r="G358" s="127" t="str">
        <f>IF(C358="","",SUMIFS(R_Hval,R_St,"Approved",R_Proy,C358))</f>
        <v/>
      </c>
      <c r="H358" s="127" t="str">
        <f>IF(C358="","",SUMIFS(R_Hval,R_St,"Submitted",R_Proy,C358)+SUMIFS(R_Hval,R_St,"Recall Requested",R_Proy,C358))</f>
        <v/>
      </c>
      <c r="I358" s="127" t="str">
        <f>IF(C358="","",SUMIFS(R_Hval,R_St,"Draft",R_Proy,C358)+SUMIFS(R_Hval,R_St,"Returned",R_Proy,C358))</f>
        <v/>
      </c>
      <c r="J358" s="174" t="str">
        <f>IF(C358="","",SUMIFS(R_USD,R_St,"Approved",R_Proy,C358))</f>
        <v/>
      </c>
    </row>
    <row r="359">
      <c r="B359" s="172" t="n">
        <v>21</v>
      </c>
      <c r="C359" s="95" t="str">
        <f>IFERROR(INDEX(R_Proy,MATCH(21,R_PSeqP,0))&amp;"","")</f>
        <v/>
      </c>
      <c r="E359" s="127" t="str">
        <f>IF(C359="","",SUMIFS(R_Hcnt,R_Emp,"proMX",R_Proy,C359))</f>
        <v/>
      </c>
      <c r="F359" s="172" t="str">
        <f>IF(C359="","",SUMIFS(R_BlkV,R_Emp,"proMX",R_Proy,C359)-SUMIFS(R_BlkV,R_St,"Cancelled",R_Proy,C359))</f>
        <v/>
      </c>
      <c r="G359" s="127" t="str">
        <f>IF(C359="","",SUMIFS(R_Hval,R_St,"Approved",R_Proy,C359))</f>
        <v/>
      </c>
      <c r="H359" s="127" t="str">
        <f>IF(C359="","",SUMIFS(R_Hval,R_St,"Submitted",R_Proy,C359)+SUMIFS(R_Hval,R_St,"Recall Requested",R_Proy,C359))</f>
        <v/>
      </c>
      <c r="I359" s="127" t="str">
        <f>IF(C359="","",SUMIFS(R_Hval,R_St,"Draft",R_Proy,C359)+SUMIFS(R_Hval,R_St,"Returned",R_Proy,C359))</f>
        <v/>
      </c>
      <c r="J359" s="174" t="str">
        <f>IF(C359="","",SUMIFS(R_USD,R_St,"Approved",R_Proy,C359))</f>
        <v/>
      </c>
    </row>
    <row r="360">
      <c r="B360" s="172" t="n">
        <v>22</v>
      </c>
      <c r="C360" s="95" t="str">
        <f>IFERROR(INDEX(R_Proy,MATCH(22,R_PSeqP,0))&amp;"","")</f>
        <v/>
      </c>
      <c r="E360" s="127" t="str">
        <f>IF(C360="","",SUMIFS(R_Hcnt,R_Emp,"proMX",R_Proy,C360))</f>
        <v/>
      </c>
      <c r="F360" s="172" t="str">
        <f>IF(C360="","",SUMIFS(R_BlkV,R_Emp,"proMX",R_Proy,C360)-SUMIFS(R_BlkV,R_St,"Cancelled",R_Proy,C360))</f>
        <v/>
      </c>
      <c r="G360" s="127" t="str">
        <f>IF(C360="","",SUMIFS(R_Hval,R_St,"Approved",R_Proy,C360))</f>
        <v/>
      </c>
      <c r="H360" s="127" t="str">
        <f>IF(C360="","",SUMIFS(R_Hval,R_St,"Submitted",R_Proy,C360)+SUMIFS(R_Hval,R_St,"Recall Requested",R_Proy,C360))</f>
        <v/>
      </c>
      <c r="I360" s="127" t="str">
        <f>IF(C360="","",SUMIFS(R_Hval,R_St,"Draft",R_Proy,C360)+SUMIFS(R_Hval,R_St,"Returned",R_Proy,C360))</f>
        <v/>
      </c>
      <c r="J360" s="174" t="str">
        <f>IF(C360="","",SUMIFS(R_USD,R_St,"Approved",R_Proy,C360))</f>
        <v/>
      </c>
    </row>
    <row r="361">
      <c r="B361" s="172" t="n">
        <v>23</v>
      </c>
      <c r="C361" s="95" t="str">
        <f>IFERROR(INDEX(R_Proy,MATCH(23,R_PSeqP,0))&amp;"","")</f>
        <v/>
      </c>
      <c r="E361" s="127" t="str">
        <f>IF(C361="","",SUMIFS(R_Hcnt,R_Emp,"proMX",R_Proy,C361))</f>
        <v/>
      </c>
      <c r="F361" s="172" t="str">
        <f>IF(C361="","",SUMIFS(R_BlkV,R_Emp,"proMX",R_Proy,C361)-SUMIFS(R_BlkV,R_St,"Cancelled",R_Proy,C361))</f>
        <v/>
      </c>
      <c r="G361" s="127" t="str">
        <f>IF(C361="","",SUMIFS(R_Hval,R_St,"Approved",R_Proy,C361))</f>
        <v/>
      </c>
      <c r="H361" s="127" t="str">
        <f>IF(C361="","",SUMIFS(R_Hval,R_St,"Submitted",R_Proy,C361)+SUMIFS(R_Hval,R_St,"Recall Requested",R_Proy,C361))</f>
        <v/>
      </c>
      <c r="I361" s="127" t="str">
        <f>IF(C361="","",SUMIFS(R_Hval,R_St,"Draft",R_Proy,C361)+SUMIFS(R_Hval,R_St,"Returned",R_Proy,C361))</f>
        <v/>
      </c>
      <c r="J361" s="174" t="str">
        <f>IF(C361="","",SUMIFS(R_USD,R_St,"Approved",R_Proy,C361))</f>
        <v/>
      </c>
    </row>
    <row r="362">
      <c r="B362" s="172" t="n">
        <v>24</v>
      </c>
      <c r="C362" s="95" t="str">
        <f>IFERROR(INDEX(R_Proy,MATCH(24,R_PSeqP,0))&amp;"","")</f>
        <v/>
      </c>
      <c r="E362" s="127" t="str">
        <f>IF(C362="","",SUMIFS(R_Hcnt,R_Emp,"proMX",R_Proy,C362))</f>
        <v/>
      </c>
      <c r="F362" s="172" t="str">
        <f>IF(C362="","",SUMIFS(R_BlkV,R_Emp,"proMX",R_Proy,C362)-SUMIFS(R_BlkV,R_St,"Cancelled",R_Proy,C362))</f>
        <v/>
      </c>
      <c r="G362" s="127" t="str">
        <f>IF(C362="","",SUMIFS(R_Hval,R_St,"Approved",R_Proy,C362))</f>
        <v/>
      </c>
      <c r="H362" s="127" t="str">
        <f>IF(C362="","",SUMIFS(R_Hval,R_St,"Submitted",R_Proy,C362)+SUMIFS(R_Hval,R_St,"Recall Requested",R_Proy,C362))</f>
        <v/>
      </c>
      <c r="I362" s="127" t="str">
        <f>IF(C362="","",SUMIFS(R_Hval,R_St,"Draft",R_Proy,C362)+SUMIFS(R_Hval,R_St,"Returned",R_Proy,C362))</f>
        <v/>
      </c>
      <c r="J362" s="174" t="str">
        <f>IF(C362="","",SUMIFS(R_USD,R_St,"Approved",R_Proy,C362))</f>
        <v/>
      </c>
    </row>
    <row r="363">
      <c r="B363" s="172" t="n">
        <v>25</v>
      </c>
      <c r="C363" s="95" t="str">
        <f>IFERROR(INDEX(R_Proy,MATCH(25,R_PSeqP,0))&amp;"","")</f>
        <v/>
      </c>
      <c r="E363" s="127" t="str">
        <f>IF(C363="","",SUMIFS(R_Hcnt,R_Emp,"proMX",R_Proy,C363))</f>
        <v/>
      </c>
      <c r="F363" s="172" t="str">
        <f>IF(C363="","",SUMIFS(R_BlkV,R_Emp,"proMX",R_Proy,C363)-SUMIFS(R_BlkV,R_St,"Cancelled",R_Proy,C363))</f>
        <v/>
      </c>
      <c r="G363" s="127" t="str">
        <f>IF(C363="","",SUMIFS(R_Hval,R_St,"Approved",R_Proy,C363))</f>
        <v/>
      </c>
      <c r="H363" s="127" t="str">
        <f>IF(C363="","",SUMIFS(R_Hval,R_St,"Submitted",R_Proy,C363)+SUMIFS(R_Hval,R_St,"Recall Requested",R_Proy,C363))</f>
        <v/>
      </c>
      <c r="I363" s="127" t="str">
        <f>IF(C363="","",SUMIFS(R_Hval,R_St,"Draft",R_Proy,C363)+SUMIFS(R_Hval,R_St,"Returned",R_Proy,C363))</f>
        <v/>
      </c>
      <c r="J363" s="174" t="str">
        <f>IF(C363="","",SUMIFS(R_USD,R_St,"Approved",R_Proy,C363))</f>
        <v/>
      </c>
    </row>
    <row r="364">
      <c r="B364" s="172" t="n">
        <v>26</v>
      </c>
      <c r="C364" s="95" t="str">
        <f>IFERROR(INDEX(R_Proy,MATCH(26,R_PSeqP,0))&amp;"","")</f>
        <v/>
      </c>
      <c r="E364" s="127" t="str">
        <f>IF(C364="","",SUMIFS(R_Hcnt,R_Emp,"proMX",R_Proy,C364))</f>
        <v/>
      </c>
      <c r="F364" s="172" t="str">
        <f>IF(C364="","",SUMIFS(R_BlkV,R_Emp,"proMX",R_Proy,C364)-SUMIFS(R_BlkV,R_St,"Cancelled",R_Proy,C364))</f>
        <v/>
      </c>
      <c r="G364" s="127" t="str">
        <f>IF(C364="","",SUMIFS(R_Hval,R_St,"Approved",R_Proy,C364))</f>
        <v/>
      </c>
      <c r="H364" s="127" t="str">
        <f>IF(C364="","",SUMIFS(R_Hval,R_St,"Submitted",R_Proy,C364)+SUMIFS(R_Hval,R_St,"Recall Requested",R_Proy,C364))</f>
        <v/>
      </c>
      <c r="I364" s="127" t="str">
        <f>IF(C364="","",SUMIFS(R_Hval,R_St,"Draft",R_Proy,C364)+SUMIFS(R_Hval,R_St,"Returned",R_Proy,C364))</f>
        <v/>
      </c>
      <c r="J364" s="174" t="str">
        <f>IF(C364="","",SUMIFS(R_USD,R_St,"Approved",R_Proy,C364))</f>
        <v/>
      </c>
    </row>
    <row r="365">
      <c r="B365" s="172" t="n">
        <v>27</v>
      </c>
      <c r="C365" s="95" t="str">
        <f>IFERROR(INDEX(R_Proy,MATCH(27,R_PSeqP,0))&amp;"","")</f>
        <v/>
      </c>
      <c r="E365" s="127" t="str">
        <f>IF(C365="","",SUMIFS(R_Hcnt,R_Emp,"proMX",R_Proy,C365))</f>
        <v/>
      </c>
      <c r="F365" s="172" t="str">
        <f>IF(C365="","",SUMIFS(R_BlkV,R_Emp,"proMX",R_Proy,C365)-SUMIFS(R_BlkV,R_St,"Cancelled",R_Proy,C365))</f>
        <v/>
      </c>
      <c r="G365" s="127" t="str">
        <f>IF(C365="","",SUMIFS(R_Hval,R_St,"Approved",R_Proy,C365))</f>
        <v/>
      </c>
      <c r="H365" s="127" t="str">
        <f>IF(C365="","",SUMIFS(R_Hval,R_St,"Submitted",R_Proy,C365)+SUMIFS(R_Hval,R_St,"Recall Requested",R_Proy,C365))</f>
        <v/>
      </c>
      <c r="I365" s="127" t="str">
        <f>IF(C365="","",SUMIFS(R_Hval,R_St,"Draft",R_Proy,C365)+SUMIFS(R_Hval,R_St,"Returned",R_Proy,C365))</f>
        <v/>
      </c>
      <c r="J365" s="174" t="str">
        <f>IF(C365="","",SUMIFS(R_USD,R_St,"Approved",R_Proy,C365))</f>
        <v/>
      </c>
    </row>
    <row r="366">
      <c r="B366" s="172" t="n">
        <v>28</v>
      </c>
      <c r="C366" s="95" t="str">
        <f>IFERROR(INDEX(R_Proy,MATCH(28,R_PSeqP,0))&amp;"","")</f>
        <v/>
      </c>
      <c r="E366" s="127" t="str">
        <f>IF(C366="","",SUMIFS(R_Hcnt,R_Emp,"proMX",R_Proy,C366))</f>
        <v/>
      </c>
      <c r="F366" s="172" t="str">
        <f>IF(C366="","",SUMIFS(R_BlkV,R_Emp,"proMX",R_Proy,C366)-SUMIFS(R_BlkV,R_St,"Cancelled",R_Proy,C366))</f>
        <v/>
      </c>
      <c r="G366" s="127" t="str">
        <f>IF(C366="","",SUMIFS(R_Hval,R_St,"Approved",R_Proy,C366))</f>
        <v/>
      </c>
      <c r="H366" s="127" t="str">
        <f>IF(C366="","",SUMIFS(R_Hval,R_St,"Submitted",R_Proy,C366)+SUMIFS(R_Hval,R_St,"Recall Requested",R_Proy,C366))</f>
        <v/>
      </c>
      <c r="I366" s="127" t="str">
        <f>IF(C366="","",SUMIFS(R_Hval,R_St,"Draft",R_Proy,C366)+SUMIFS(R_Hval,R_St,"Returned",R_Proy,C366))</f>
        <v/>
      </c>
      <c r="J366" s="174" t="str">
        <f>IF(C366="","",SUMIFS(R_USD,R_St,"Approved",R_Proy,C366))</f>
        <v/>
      </c>
    </row>
    <row r="367">
      <c r="B367" s="172" t="n">
        <v>29</v>
      </c>
      <c r="C367" s="95" t="str">
        <f>IFERROR(INDEX(R_Proy,MATCH(29,R_PSeqP,0))&amp;"","")</f>
        <v/>
      </c>
      <c r="E367" s="127" t="str">
        <f>IF(C367="","",SUMIFS(R_Hcnt,R_Emp,"proMX",R_Proy,C367))</f>
        <v/>
      </c>
      <c r="F367" s="172" t="str">
        <f>IF(C367="","",SUMIFS(R_BlkV,R_Emp,"proMX",R_Proy,C367)-SUMIFS(R_BlkV,R_St,"Cancelled",R_Proy,C367))</f>
        <v/>
      </c>
      <c r="G367" s="127" t="str">
        <f>IF(C367="","",SUMIFS(R_Hval,R_St,"Approved",R_Proy,C367))</f>
        <v/>
      </c>
      <c r="H367" s="127" t="str">
        <f>IF(C367="","",SUMIFS(R_Hval,R_St,"Submitted",R_Proy,C367)+SUMIFS(R_Hval,R_St,"Recall Requested",R_Proy,C367))</f>
        <v/>
      </c>
      <c r="I367" s="127" t="str">
        <f>IF(C367="","",SUMIFS(R_Hval,R_St,"Draft",R_Proy,C367)+SUMIFS(R_Hval,R_St,"Returned",R_Proy,C367))</f>
        <v/>
      </c>
      <c r="J367" s="174" t="str">
        <f>IF(C367="","",SUMIFS(R_USD,R_St,"Approved",R_Proy,C367))</f>
        <v/>
      </c>
    </row>
    <row r="368">
      <c r="B368" s="172" t="n">
        <v>30</v>
      </c>
      <c r="C368" s="95" t="str">
        <f>IFERROR(INDEX(R_Proy,MATCH(30,R_PSeqP,0))&amp;"","")</f>
        <v/>
      </c>
      <c r="E368" s="127" t="str">
        <f>IF(C368="","",SUMIFS(R_Hcnt,R_Emp,"proMX",R_Proy,C368))</f>
        <v/>
      </c>
      <c r="F368" s="172" t="str">
        <f>IF(C368="","",SUMIFS(R_BlkV,R_Emp,"proMX",R_Proy,C368)-SUMIFS(R_BlkV,R_St,"Cancelled",R_Proy,C368))</f>
        <v/>
      </c>
      <c r="G368" s="127" t="str">
        <f>IF(C368="","",SUMIFS(R_Hval,R_St,"Approved",R_Proy,C368))</f>
        <v/>
      </c>
      <c r="H368" s="127" t="str">
        <f>IF(C368="","",SUMIFS(R_Hval,R_St,"Submitted",R_Proy,C368)+SUMIFS(R_Hval,R_St,"Recall Requested",R_Proy,C368))</f>
        <v/>
      </c>
      <c r="I368" s="127" t="str">
        <f>IF(C368="","",SUMIFS(R_Hval,R_St,"Draft",R_Proy,C368)+SUMIFS(R_Hval,R_St,"Returned",R_Proy,C368))</f>
        <v/>
      </c>
      <c r="J368" s="174" t="str">
        <f>IF(C368="","",SUMIFS(R_USD,R_St,"Approved",R_Proy,C368))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7">
    <mergeCell ref="F4:G4"/>
    <mergeCell ref="I16:K16"/>
    <mergeCell ref="J5:K5"/>
    <mergeCell ref="B25:C25"/>
    <mergeCell ref="I12:K12"/>
    <mergeCell ref="H4:I4"/>
    <mergeCell ref="I18:K18"/>
    <mergeCell ref="B27:C27"/>
    <mergeCell ref="B12:C12"/>
    <mergeCell ref="B11:C11"/>
    <mergeCell ref="I14:K14"/>
    <mergeCell ref="F5:G5"/>
    <mergeCell ref="I8:K8"/>
    <mergeCell ref="B14:C14"/>
    <mergeCell ref="I17:K17"/>
    <mergeCell ref="L5:M5"/>
    <mergeCell ref="I20:K20"/>
    <mergeCell ref="B8:C8"/>
    <mergeCell ref="B13:C13"/>
    <mergeCell ref="I19:K19"/>
    <mergeCell ref="J4:K4"/>
    <mergeCell ref="I10:K10"/>
    <mergeCell ref="L4:M4"/>
    <mergeCell ref="I13:K13"/>
    <mergeCell ref="B10:C10"/>
    <mergeCell ref="I9:K9"/>
    <mergeCell ref="D4:E4"/>
    <mergeCell ref="B9:C9"/>
    <mergeCell ref="I15:K15"/>
    <mergeCell ref="I11:K11"/>
    <mergeCell ref="B24:C24"/>
    <mergeCell ref="B15:C15"/>
    <mergeCell ref="B5:C5"/>
    <mergeCell ref="D5:E5"/>
    <mergeCell ref="H5:I5"/>
    <mergeCell ref="B26:C26"/>
    <mergeCell ref="B4:C4"/>
  </mergeCells>
  <conditionalFormatting sqref="I31:I230">
    <cfRule type="expression" priority="1" dxfId="5" stopIfTrue="0">
      <formula>=$I31="Draft"</formula>
    </cfRule>
    <cfRule type="expression" priority="2" dxfId="6" stopIfTrue="0">
      <formula>=$I31="Submitted"</formula>
    </cfRule>
    <cfRule type="expression" priority="3" dxfId="7" stopIfTrue="0">
      <formula>=$I31="Approved"</formula>
    </cfRule>
    <cfRule type="expression" priority="4" dxfId="1" stopIfTrue="0">
      <formula>=$I31="Returned"</formula>
    </cfRule>
    <cfRule type="expression" priority="5" dxfId="8" stopIfTrue="0">
      <formula>=$I31="Recall Requested"</formula>
    </cfRule>
    <cfRule type="expression" priority="6" dxfId="9" stopIfTrue="0">
      <formula>=$I31="Cancelled"</formula>
    </cfRule>
  </conditionalFormatting>
  <conditionalFormatting sqref="L31:M230">
    <cfRule type="expression" priority="7" dxfId="11" stopIfTrue="0">
      <formula>=LEFT($M31,1)="⚠"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17A2B8"/>
    <outlinePr summaryBelow="1" summaryRight="1"/>
    <pageSetUpPr fitToPage="1"/>
  </sheetPr>
  <dimension ref="A1:N45"/>
  <sheetViews>
    <sheetView showGridLines="0" zoomScale="9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2" customWidth="1" min="13" max="13"/>
    <col hidden="1" width="4" customWidth="1" min="14" max="14"/>
  </cols>
  <sheetData>
    <row r="1" ht="34" customHeight="1">
      <c r="A1" s="1" t="n"/>
      <c r="B1" s="2" t="inlineStr">
        <is>
          <t>📅  Octubre 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1" t="n"/>
      <c r="B2" s="3" t="inlineStr">
        <is>
          <t>Resumen diario automático (desde Registro de Horas). Horas repartidas por día real si una tarea cruza medianoche.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B4" s="175" t="inlineStr">
        <is>
          <t>Totales del mes</t>
        </is>
      </c>
      <c r="D4" s="176" t="inlineStr">
        <is>
          <t>Malcolm</t>
        </is>
      </c>
      <c r="E4" s="177" t="inlineStr">
        <is>
          <t>proMX</t>
        </is>
      </c>
      <c r="F4" s="178" t="inlineStr">
        <is>
          <t>Normales</t>
        </is>
      </c>
      <c r="G4" s="179" t="inlineStr">
        <is>
          <t>Extras</t>
        </is>
      </c>
      <c r="H4" s="180" t="inlineStr">
        <is>
          <t>Approved</t>
        </is>
      </c>
      <c r="I4" s="181" t="inlineStr">
        <is>
          <t>Objetivo</t>
        </is>
      </c>
    </row>
    <row r="5" ht="30" customHeight="1">
      <c r="D5" s="182">
        <f>D45</f>
        <v>6.333333</v>
      </c>
      <c r="E5" s="183">
        <f>E45</f>
        <v>10.5</v>
      </c>
      <c r="F5" s="184">
        <f>G45</f>
        <v>14.833333</v>
      </c>
      <c r="G5" s="185">
        <f>H45</f>
        <v>2</v>
      </c>
      <c r="H5" s="186">
        <f>K45</f>
        <v>6</v>
      </c>
      <c r="I5" s="187">
        <f>L45</f>
        <v>168</v>
      </c>
    </row>
    <row r="8" ht="32" customHeight="1">
      <c r="A8" s="69" t="inlineStr">
        <is>
          <t>Fecha</t>
        </is>
      </c>
      <c r="B8" s="69" t="inlineStr">
        <is>
          <t>Día</t>
        </is>
      </c>
      <c r="C8" s="69" t="inlineStr">
        <is>
          <t>Tipo de día</t>
        </is>
      </c>
      <c r="D8" s="69" t="inlineStr">
        <is>
          <t>Malcolm (h)</t>
        </is>
      </c>
      <c r="E8" s="69" t="inlineStr">
        <is>
          <t>proMX (h)</t>
        </is>
      </c>
      <c r="F8" s="69" t="inlineStr">
        <is>
          <t>Total imputado (h)</t>
        </is>
      </c>
      <c r="G8" s="69" t="inlineStr">
        <is>
          <t>Horas normales</t>
        </is>
      </c>
      <c r="H8" s="69" t="inlineStr">
        <is>
          <t>Horas extras</t>
        </is>
      </c>
      <c r="I8" s="69" t="inlineStr">
        <is>
          <t>Draft (h)</t>
        </is>
      </c>
      <c r="J8" s="69" t="inlineStr">
        <is>
          <t>Submitted (h)</t>
        </is>
      </c>
      <c r="K8" s="69" t="inlineStr">
        <is>
          <t>Approved (h)</t>
        </is>
      </c>
      <c r="L8" s="69" t="inlineStr">
        <is>
          <t>Horas objetivo</t>
        </is>
      </c>
      <c r="M8" s="69" t="inlineStr">
        <is>
          <t>Diferencia vs objetivo</t>
        </is>
      </c>
      <c r="N8" s="69" t="inlineStr">
        <is>
          <t>t</t>
        </is>
      </c>
    </row>
    <row r="9">
      <c r="A9" s="134" t="n">
        <v>46296</v>
      </c>
      <c r="B9" s="130" t="str">
        <f>CHOOSE(WEEKDAY(A9,2),"Lun","Mar","Mié","Jue","Vie","Sáb","Dom")</f>
        <v>Jue</v>
      </c>
      <c r="C9" s="13" t="str">
        <f>IF(COUNTIFS(FER_F,A9)&gt;0,"Feriado: "&amp;INDEX(FER_N,MATCH(A9,FER_F,0)),IF(WEEKDAY(A9,2)&gt;5,"Fin de semana",IF(INDEX(CFG_WDAYS,WEEKDAY(A9,2))="Sí","Laborable","No laborable")))</f>
        <v>Laborable</v>
      </c>
      <c r="D9" s="14">
        <f>SUMIFS(R_HD0,R_Emp,"Malcolm",R_Fecha,$A9)+SUMIFS(R_HD1,R_Emp,"Malcolm",R_D1,$A9)</f>
        <v>0</v>
      </c>
      <c r="E9" s="14">
        <f>SUMIFS(R_HD0,R_Emp,"proMX",R_Fecha,$A9)+SUMIFS(R_HD1,R_Emp,"proMX",R_D1,$A9)</f>
        <v>6</v>
      </c>
      <c r="F9" s="14">
        <f>D9+E9</f>
        <v>6</v>
      </c>
      <c r="G9" s="14">
        <f>SUMIFS(R_ND0,R_Fecha,$A9)+SUMIFS(R_ND1,R_D1,$A9)</f>
        <v>6</v>
      </c>
      <c r="H9" s="14">
        <f>SUMIFS(R_XD0,R_Fecha,$A9)+SUMIFS(R_XD1,R_D1,$A9)</f>
        <v>0</v>
      </c>
      <c r="I9" s="14">
        <f>SUMIFS(R_HD0,R_St,"Draft",R_Fecha,$A9)+SUMIFS(R_HD1,R_St,"Draft",R_D1,$A9)</f>
        <v>0</v>
      </c>
      <c r="J9" s="14">
        <f>SUMIFS(R_HD0,R_St,"Submitted",R_Fecha,$A9)+SUMIFS(R_HD1,R_St,"Submitted",R_D1,$A9)</f>
        <v>0</v>
      </c>
      <c r="K9" s="14">
        <f>SUMIFS(R_HD0,R_St,"Approved",R_Fecha,$A9)+SUMIFS(R_HD1,R_St,"Approved",R_D1,$A9)</f>
        <v>6</v>
      </c>
      <c r="L9" s="14">
        <f>IF(AND(INDEX(CFG_WDAYS,WEEKDAY(A9,2))="Sí",COUNTIFS(FER_F,A9,FER_OBJ,"Sí")=0),CFG_DH,0)</f>
        <v>8</v>
      </c>
      <c r="M9" s="14">
        <f>F9-L9</f>
        <v>-2</v>
      </c>
      <c r="N9" t="inlineStr">
        <is>
          <t>D</t>
        </is>
      </c>
    </row>
    <row r="10">
      <c r="A10" s="134" t="n">
        <v>46297</v>
      </c>
      <c r="B10" s="130" t="str">
        <f>CHOOSE(WEEKDAY(A10,2),"Lun","Mar","Mié","Jue","Vie","Sáb","Dom")</f>
        <v>Vie</v>
      </c>
      <c r="C10" s="13" t="str">
        <f>IF(COUNTIFS(FER_F,A10)&gt;0,"Feriado: "&amp;INDEX(FER_N,MATCH(A10,FER_F,0)),IF(WEEKDAY(A10,2)&gt;5,"Fin de semana",IF(INDEX(CFG_WDAYS,WEEKDAY(A10,2))="Sí","Laborable","No laborable")))</f>
        <v>Laborable</v>
      </c>
      <c r="D10" s="14">
        <f>SUMIFS(R_HD0,R_Emp,"Malcolm",R_Fecha,$A10)+SUMIFS(R_HD1,R_Emp,"Malcolm",R_D1,$A10)</f>
        <v>0</v>
      </c>
      <c r="E10" s="14">
        <f>SUMIFS(R_HD0,R_Emp,"proMX",R_Fecha,$A10)+SUMIFS(R_HD1,R_Emp,"proMX",R_D1,$A10)</f>
        <v>3</v>
      </c>
      <c r="F10" s="14">
        <f>D10+E10</f>
        <v>3</v>
      </c>
      <c r="G10" s="14">
        <f>SUMIFS(R_ND0,R_Fecha,$A10)+SUMIFS(R_ND1,R_D1,$A10)</f>
        <v>3</v>
      </c>
      <c r="H10" s="14">
        <f>SUMIFS(R_XD0,R_Fecha,$A10)+SUMIFS(R_XD1,R_D1,$A10)</f>
        <v>0</v>
      </c>
      <c r="I10" s="14">
        <f>SUMIFS(R_HD0,R_St,"Draft",R_Fecha,$A10)+SUMIFS(R_HD1,R_St,"Draft",R_D1,$A10)</f>
        <v>0</v>
      </c>
      <c r="J10" s="14">
        <f>SUMIFS(R_HD0,R_St,"Submitted",R_Fecha,$A10)+SUMIFS(R_HD1,R_St,"Submitted",R_D1,$A10)</f>
        <v>3</v>
      </c>
      <c r="K10" s="14">
        <f>SUMIFS(R_HD0,R_St,"Approved",R_Fecha,$A10)+SUMIFS(R_HD1,R_St,"Approved",R_D1,$A10)</f>
        <v>0</v>
      </c>
      <c r="L10" s="14">
        <f>IF(AND(INDEX(CFG_WDAYS,WEEKDAY(A10,2))="Sí",COUNTIFS(FER_F,A10,FER_OBJ,"Sí")=0),CFG_DH,0)</f>
        <v>8</v>
      </c>
      <c r="M10" s="14">
        <f>F10-L10</f>
        <v>-5</v>
      </c>
      <c r="N10" t="inlineStr">
        <is>
          <t>D</t>
        </is>
      </c>
    </row>
    <row r="11">
      <c r="A11" s="134" t="n">
        <v>46298</v>
      </c>
      <c r="B11" s="130" t="str">
        <f>CHOOSE(WEEKDAY(A11,2),"Lun","Mar","Mié","Jue","Vie","Sáb","Dom")</f>
        <v>Sáb</v>
      </c>
      <c r="C11" s="13" t="str">
        <f>IF(COUNTIFS(FER_F,A11)&gt;0,"Feriado: "&amp;INDEX(FER_N,MATCH(A11,FER_F,0)),IF(WEEKDAY(A11,2)&gt;5,"Fin de semana",IF(INDEX(CFG_WDAYS,WEEKDAY(A11,2))="Sí","Laborable","No laborable")))</f>
        <v>Fin de semana</v>
      </c>
      <c r="D11" s="14">
        <f>SUMIFS(R_HD0,R_Emp,"Malcolm",R_Fecha,$A11)+SUMIFS(R_HD1,R_Emp,"Malcolm",R_D1,$A11)</f>
        <v>0</v>
      </c>
      <c r="E11" s="14">
        <f>SUMIFS(R_HD0,R_Emp,"proMX",R_Fecha,$A11)+SUMIFS(R_HD1,R_Emp,"proMX",R_D1,$A11)</f>
        <v>0</v>
      </c>
      <c r="F11" s="14">
        <f>D11+E11</f>
        <v>0</v>
      </c>
      <c r="G11" s="14">
        <f>SUMIFS(R_ND0,R_Fecha,$A11)+SUMIFS(R_ND1,R_D1,$A11)</f>
        <v>0</v>
      </c>
      <c r="H11" s="14">
        <f>SUMIFS(R_XD0,R_Fecha,$A11)+SUMIFS(R_XD1,R_D1,$A11)</f>
        <v>0</v>
      </c>
      <c r="I11" s="14">
        <f>SUMIFS(R_HD0,R_St,"Draft",R_Fecha,$A11)+SUMIFS(R_HD1,R_St,"Draft",R_D1,$A11)</f>
        <v>0</v>
      </c>
      <c r="J11" s="14">
        <f>SUMIFS(R_HD0,R_St,"Submitted",R_Fecha,$A11)+SUMIFS(R_HD1,R_St,"Submitted",R_D1,$A11)</f>
        <v>0</v>
      </c>
      <c r="K11" s="14">
        <f>SUMIFS(R_HD0,R_St,"Approved",R_Fecha,$A11)+SUMIFS(R_HD1,R_St,"Approved",R_D1,$A11)</f>
        <v>0</v>
      </c>
      <c r="L11" s="14">
        <f>IF(AND(INDEX(CFG_WDAYS,WEEKDAY(A11,2))="Sí",COUNTIFS(FER_F,A11,FER_OBJ,"Sí")=0),CFG_DH,0)</f>
        <v>0</v>
      </c>
      <c r="M11" s="14">
        <f>F11-L11</f>
        <v>0</v>
      </c>
      <c r="N11" t="inlineStr">
        <is>
          <t>D</t>
        </is>
      </c>
    </row>
    <row r="12">
      <c r="A12" s="134" t="n">
        <v>46299</v>
      </c>
      <c r="B12" s="130" t="str">
        <f>CHOOSE(WEEKDAY(A12,2),"Lun","Mar","Mié","Jue","Vie","Sáb","Dom")</f>
        <v>Dom</v>
      </c>
      <c r="C12" s="13" t="str">
        <f>IF(COUNTIFS(FER_F,A12)&gt;0,"Feriado: "&amp;INDEX(FER_N,MATCH(A12,FER_F,0)),IF(WEEKDAY(A12,2)&gt;5,"Fin de semana",IF(INDEX(CFG_WDAYS,WEEKDAY(A12,2))="Sí","Laborable","No laborable")))</f>
        <v>Fin de semana</v>
      </c>
      <c r="D12" s="14">
        <f>SUMIFS(R_HD0,R_Emp,"Malcolm",R_Fecha,$A12)+SUMIFS(R_HD1,R_Emp,"Malcolm",R_D1,$A12)</f>
        <v>0</v>
      </c>
      <c r="E12" s="14">
        <f>SUMIFS(R_HD0,R_Emp,"proMX",R_Fecha,$A12)+SUMIFS(R_HD1,R_Emp,"proMX",R_D1,$A12)</f>
        <v>0</v>
      </c>
      <c r="F12" s="14">
        <f>D12+E12</f>
        <v>0</v>
      </c>
      <c r="G12" s="14">
        <f>SUMIFS(R_ND0,R_Fecha,$A12)+SUMIFS(R_ND1,R_D1,$A12)</f>
        <v>0</v>
      </c>
      <c r="H12" s="14">
        <f>SUMIFS(R_XD0,R_Fecha,$A12)+SUMIFS(R_XD1,R_D1,$A12)</f>
        <v>0</v>
      </c>
      <c r="I12" s="14">
        <f>SUMIFS(R_HD0,R_St,"Draft",R_Fecha,$A12)+SUMIFS(R_HD1,R_St,"Draft",R_D1,$A12)</f>
        <v>0</v>
      </c>
      <c r="J12" s="14">
        <f>SUMIFS(R_HD0,R_St,"Submitted",R_Fecha,$A12)+SUMIFS(R_HD1,R_St,"Submitted",R_D1,$A12)</f>
        <v>0</v>
      </c>
      <c r="K12" s="14">
        <f>SUMIFS(R_HD0,R_St,"Approved",R_Fecha,$A12)+SUMIFS(R_HD1,R_St,"Approved",R_D1,$A12)</f>
        <v>0</v>
      </c>
      <c r="L12" s="14">
        <f>IF(AND(INDEX(CFG_WDAYS,WEEKDAY(A12,2))="Sí",COUNTIFS(FER_F,A12,FER_OBJ,"Sí")=0),CFG_DH,0)</f>
        <v>0</v>
      </c>
      <c r="M12" s="14">
        <f>F12-L12</f>
        <v>0</v>
      </c>
      <c r="N12" t="inlineStr">
        <is>
          <t>D</t>
        </is>
      </c>
    </row>
    <row r="13">
      <c r="A13" s="188" t="inlineStr">
        <is>
          <t>Total semana Jue 01/10 – 04/10</t>
        </is>
      </c>
      <c r="B13" s="189" t="n"/>
      <c r="C13" s="189" t="n"/>
      <c r="D13" s="190">
        <f>SUM(D9:D12)</f>
        <v>0</v>
      </c>
      <c r="E13" s="190">
        <f>SUM(E9:E12)</f>
        <v>9</v>
      </c>
      <c r="F13" s="190">
        <f>SUM(F9:F12)</f>
        <v>9</v>
      </c>
      <c r="G13" s="190">
        <f>SUM(G9:G12)</f>
        <v>9</v>
      </c>
      <c r="H13" s="190">
        <f>SUM(H9:H12)</f>
        <v>0</v>
      </c>
      <c r="I13" s="190">
        <f>SUM(I9:I12)</f>
        <v>0</v>
      </c>
      <c r="J13" s="190">
        <f>SUM(J9:J12)</f>
        <v>3</v>
      </c>
      <c r="K13" s="190">
        <f>SUM(K9:K12)</f>
        <v>6</v>
      </c>
      <c r="L13" s="190">
        <f>MIN(CFG_WH,SUM(L9:L12))</f>
        <v>16</v>
      </c>
      <c r="M13" s="190">
        <f>F13-L13</f>
        <v>-7</v>
      </c>
      <c r="N13" t="inlineStr">
        <is>
          <t>S</t>
        </is>
      </c>
    </row>
    <row r="14">
      <c r="A14" s="134" t="n">
        <v>46300</v>
      </c>
      <c r="B14" s="130" t="str">
        <f>CHOOSE(WEEKDAY(A14,2),"Lun","Mar","Mié","Jue","Vie","Sáb","Dom")</f>
        <v>Lun</v>
      </c>
      <c r="C14" s="13" t="str">
        <f>IF(COUNTIFS(FER_F,A14)&gt;0,"Feriado: "&amp;INDEX(FER_N,MATCH(A14,FER_F,0)),IF(WEEKDAY(A14,2)&gt;5,"Fin de semana",IF(INDEX(CFG_WDAYS,WEEKDAY(A14,2))="Sí","Laborable","No laborable")))</f>
        <v>Laborable</v>
      </c>
      <c r="D14" s="14">
        <f>SUMIFS(R_HD0,R_Emp,"Malcolm",R_Fecha,$A14)+SUMIFS(R_HD1,R_Emp,"Malcolm",R_D1,$A14)</f>
        <v>6.333333</v>
      </c>
      <c r="E14" s="14">
        <f>SUMIFS(R_HD0,R_Emp,"proMX",R_Fecha,$A14)+SUMIFS(R_HD1,R_Emp,"proMX",R_D1,$A14)</f>
        <v>0</v>
      </c>
      <c r="F14" s="14">
        <f>D14+E14</f>
        <v>6.333333</v>
      </c>
      <c r="G14" s="14">
        <f>SUMIFS(R_ND0,R_Fecha,$A14)+SUMIFS(R_ND1,R_D1,$A14)</f>
        <v>4.333333</v>
      </c>
      <c r="H14" s="14">
        <f>SUMIFS(R_XD0,R_Fecha,$A14)+SUMIFS(R_XD1,R_D1,$A14)</f>
        <v>2</v>
      </c>
      <c r="I14" s="14">
        <f>SUMIFS(R_HD0,R_St,"Draft",R_Fecha,$A14)+SUMIFS(R_HD1,R_St,"Draft",R_D1,$A14)</f>
        <v>0</v>
      </c>
      <c r="J14" s="14">
        <f>SUMIFS(R_HD0,R_St,"Submitted",R_Fecha,$A14)+SUMIFS(R_HD1,R_St,"Submitted",R_D1,$A14)</f>
        <v>0</v>
      </c>
      <c r="K14" s="14">
        <f>SUMIFS(R_HD0,R_St,"Approved",R_Fecha,$A14)+SUMIFS(R_HD1,R_St,"Approved",R_D1,$A14)</f>
        <v>0</v>
      </c>
      <c r="L14" s="14">
        <f>IF(AND(INDEX(CFG_WDAYS,WEEKDAY(A14,2))="Sí",COUNTIFS(FER_F,A14,FER_OBJ,"Sí")=0),CFG_DH,0)</f>
        <v>8</v>
      </c>
      <c r="M14" s="14">
        <f>F14-L14</f>
        <v>-1.666667</v>
      </c>
      <c r="N14" t="inlineStr">
        <is>
          <t>D</t>
        </is>
      </c>
    </row>
    <row r="15">
      <c r="A15" s="134" t="n">
        <v>46301</v>
      </c>
      <c r="B15" s="130" t="str">
        <f>CHOOSE(WEEKDAY(A15,2),"Lun","Mar","Mié","Jue","Vie","Sáb","Dom")</f>
        <v>Mar</v>
      </c>
      <c r="C15" s="13" t="str">
        <f>IF(COUNTIFS(FER_F,A15)&gt;0,"Feriado: "&amp;INDEX(FER_N,MATCH(A15,FER_F,0)),IF(WEEKDAY(A15,2)&gt;5,"Fin de semana",IF(INDEX(CFG_WDAYS,WEEKDAY(A15,2))="Sí","Laborable","No laborable")))</f>
        <v>Laborable</v>
      </c>
      <c r="D15" s="14">
        <f>SUMIFS(R_HD0,R_Emp,"Malcolm",R_Fecha,$A15)+SUMIFS(R_HD1,R_Emp,"Malcolm",R_D1,$A15)</f>
        <v>0</v>
      </c>
      <c r="E15" s="14">
        <f>SUMIFS(R_HD0,R_Emp,"proMX",R_Fecha,$A15)+SUMIFS(R_HD1,R_Emp,"proMX",R_D1,$A15)</f>
        <v>1.5</v>
      </c>
      <c r="F15" s="14">
        <f>D15+E15</f>
        <v>1.5</v>
      </c>
      <c r="G15" s="14">
        <f>SUMIFS(R_ND0,R_Fecha,$A15)+SUMIFS(R_ND1,R_D1,$A15)</f>
        <v>1.5</v>
      </c>
      <c r="H15" s="14">
        <f>SUMIFS(R_XD0,R_Fecha,$A15)+SUMIFS(R_XD1,R_D1,$A15)</f>
        <v>0</v>
      </c>
      <c r="I15" s="14">
        <f>SUMIFS(R_HD0,R_St,"Draft",R_Fecha,$A15)+SUMIFS(R_HD1,R_St,"Draft",R_D1,$A15)</f>
        <v>1.5</v>
      </c>
      <c r="J15" s="14">
        <f>SUMIFS(R_HD0,R_St,"Submitted",R_Fecha,$A15)+SUMIFS(R_HD1,R_St,"Submitted",R_D1,$A15)</f>
        <v>0</v>
      </c>
      <c r="K15" s="14">
        <f>SUMIFS(R_HD0,R_St,"Approved",R_Fecha,$A15)+SUMIFS(R_HD1,R_St,"Approved",R_D1,$A15)</f>
        <v>0</v>
      </c>
      <c r="L15" s="14">
        <f>IF(AND(INDEX(CFG_WDAYS,WEEKDAY(A15,2))="Sí",COUNTIFS(FER_F,A15,FER_OBJ,"Sí")=0),CFG_DH,0)</f>
        <v>8</v>
      </c>
      <c r="M15" s="14">
        <f>F15-L15</f>
        <v>-6.5</v>
      </c>
      <c r="N15" t="inlineStr">
        <is>
          <t>D</t>
        </is>
      </c>
    </row>
    <row r="16">
      <c r="A16" s="134" t="n">
        <v>46302</v>
      </c>
      <c r="B16" s="130" t="str">
        <f>CHOOSE(WEEKDAY(A16,2),"Lun","Mar","Mié","Jue","Vie","Sáb","Dom")</f>
        <v>Mié</v>
      </c>
      <c r="C16" s="13" t="str">
        <f>IF(COUNTIFS(FER_F,A16)&gt;0,"Feriado: "&amp;INDEX(FER_N,MATCH(A16,FER_F,0)),IF(WEEKDAY(A16,2)&gt;5,"Fin de semana",IF(INDEX(CFG_WDAYS,WEEKDAY(A16,2))="Sí","Laborable","No laborable")))</f>
        <v>Laborable</v>
      </c>
      <c r="D16" s="14">
        <f>SUMIFS(R_HD0,R_Emp,"Malcolm",R_Fecha,$A16)+SUMIFS(R_HD1,R_Emp,"Malcolm",R_D1,$A16)</f>
        <v>0</v>
      </c>
      <c r="E16" s="14">
        <f>SUMIFS(R_HD0,R_Emp,"proMX",R_Fecha,$A16)+SUMIFS(R_HD1,R_Emp,"proMX",R_D1,$A16)</f>
        <v>0</v>
      </c>
      <c r="F16" s="14">
        <f>D16+E16</f>
        <v>0</v>
      </c>
      <c r="G16" s="14">
        <f>SUMIFS(R_ND0,R_Fecha,$A16)+SUMIFS(R_ND1,R_D1,$A16)</f>
        <v>0</v>
      </c>
      <c r="H16" s="14">
        <f>SUMIFS(R_XD0,R_Fecha,$A16)+SUMIFS(R_XD1,R_D1,$A16)</f>
        <v>0</v>
      </c>
      <c r="I16" s="14">
        <f>SUMIFS(R_HD0,R_St,"Draft",R_Fecha,$A16)+SUMIFS(R_HD1,R_St,"Draft",R_D1,$A16)</f>
        <v>0</v>
      </c>
      <c r="J16" s="14">
        <f>SUMIFS(R_HD0,R_St,"Submitted",R_Fecha,$A16)+SUMIFS(R_HD1,R_St,"Submitted",R_D1,$A16)</f>
        <v>0</v>
      </c>
      <c r="K16" s="14">
        <f>SUMIFS(R_HD0,R_St,"Approved",R_Fecha,$A16)+SUMIFS(R_HD1,R_St,"Approved",R_D1,$A16)</f>
        <v>0</v>
      </c>
      <c r="L16" s="14">
        <f>IF(AND(INDEX(CFG_WDAYS,WEEKDAY(A16,2))="Sí",COUNTIFS(FER_F,A16,FER_OBJ,"Sí")=0),CFG_DH,0)</f>
        <v>8</v>
      </c>
      <c r="M16" s="14">
        <f>F16-L16</f>
        <v>-8</v>
      </c>
      <c r="N16" t="inlineStr">
        <is>
          <t>D</t>
        </is>
      </c>
    </row>
    <row r="17">
      <c r="A17" s="134" t="n">
        <v>46303</v>
      </c>
      <c r="B17" s="130" t="str">
        <f>CHOOSE(WEEKDAY(A17,2),"Lun","Mar","Mié","Jue","Vie","Sáb","Dom")</f>
        <v>Jue</v>
      </c>
      <c r="C17" s="13" t="str">
        <f>IF(COUNTIFS(FER_F,A17)&gt;0,"Feriado: "&amp;INDEX(FER_N,MATCH(A17,FER_F,0)),IF(WEEKDAY(A17,2)&gt;5,"Fin de semana",IF(INDEX(CFG_WDAYS,WEEKDAY(A17,2))="Sí","Laborable","No laborable")))</f>
        <v>Laborable</v>
      </c>
      <c r="D17" s="14">
        <f>SUMIFS(R_HD0,R_Emp,"Malcolm",R_Fecha,$A17)+SUMIFS(R_HD1,R_Emp,"Malcolm",R_D1,$A17)</f>
        <v>0</v>
      </c>
      <c r="E17" s="14">
        <f>SUMIFS(R_HD0,R_Emp,"proMX",R_Fecha,$A17)+SUMIFS(R_HD1,R_Emp,"proMX",R_D1,$A17)</f>
        <v>0</v>
      </c>
      <c r="F17" s="14">
        <f>D17+E17</f>
        <v>0</v>
      </c>
      <c r="G17" s="14">
        <f>SUMIFS(R_ND0,R_Fecha,$A17)+SUMIFS(R_ND1,R_D1,$A17)</f>
        <v>0</v>
      </c>
      <c r="H17" s="14">
        <f>SUMIFS(R_XD0,R_Fecha,$A17)+SUMIFS(R_XD1,R_D1,$A17)</f>
        <v>0</v>
      </c>
      <c r="I17" s="14">
        <f>SUMIFS(R_HD0,R_St,"Draft",R_Fecha,$A17)+SUMIFS(R_HD1,R_St,"Draft",R_D1,$A17)</f>
        <v>0</v>
      </c>
      <c r="J17" s="14">
        <f>SUMIFS(R_HD0,R_St,"Submitted",R_Fecha,$A17)+SUMIFS(R_HD1,R_St,"Submitted",R_D1,$A17)</f>
        <v>0</v>
      </c>
      <c r="K17" s="14">
        <f>SUMIFS(R_HD0,R_St,"Approved",R_Fecha,$A17)+SUMIFS(R_HD1,R_St,"Approved",R_D1,$A17)</f>
        <v>0</v>
      </c>
      <c r="L17" s="14">
        <f>IF(AND(INDEX(CFG_WDAYS,WEEKDAY(A17,2))="Sí",COUNTIFS(FER_F,A17,FER_OBJ,"Sí")=0),CFG_DH,0)</f>
        <v>8</v>
      </c>
      <c r="M17" s="14">
        <f>F17-L17</f>
        <v>-8</v>
      </c>
      <c r="N17" t="inlineStr">
        <is>
          <t>D</t>
        </is>
      </c>
    </row>
    <row r="18">
      <c r="A18" s="134" t="n">
        <v>46304</v>
      </c>
      <c r="B18" s="130" t="str">
        <f>CHOOSE(WEEKDAY(A18,2),"Lun","Mar","Mié","Jue","Vie","Sáb","Dom")</f>
        <v>Vie</v>
      </c>
      <c r="C18" s="13" t="str">
        <f>IF(COUNTIFS(FER_F,A18)&gt;0,"Feriado: "&amp;INDEX(FER_N,MATCH(A18,FER_F,0)),IF(WEEKDAY(A18,2)&gt;5,"Fin de semana",IF(INDEX(CFG_WDAYS,WEEKDAY(A18,2))="Sí","Laborable","No laborable")))</f>
        <v>Laborable</v>
      </c>
      <c r="D18" s="14">
        <f>SUMIFS(R_HD0,R_Emp,"Malcolm",R_Fecha,$A18)+SUMIFS(R_HD1,R_Emp,"Malcolm",R_D1,$A18)</f>
        <v>0</v>
      </c>
      <c r="E18" s="14">
        <f>SUMIFS(R_HD0,R_Emp,"proMX",R_Fecha,$A18)+SUMIFS(R_HD1,R_Emp,"proMX",R_D1,$A18)</f>
        <v>0</v>
      </c>
      <c r="F18" s="14">
        <f>D18+E18</f>
        <v>0</v>
      </c>
      <c r="G18" s="14">
        <f>SUMIFS(R_ND0,R_Fecha,$A18)+SUMIFS(R_ND1,R_D1,$A18)</f>
        <v>0</v>
      </c>
      <c r="H18" s="14">
        <f>SUMIFS(R_XD0,R_Fecha,$A18)+SUMIFS(R_XD1,R_D1,$A18)</f>
        <v>0</v>
      </c>
      <c r="I18" s="14">
        <f>SUMIFS(R_HD0,R_St,"Draft",R_Fecha,$A18)+SUMIFS(R_HD1,R_St,"Draft",R_D1,$A18)</f>
        <v>0</v>
      </c>
      <c r="J18" s="14">
        <f>SUMIFS(R_HD0,R_St,"Submitted",R_Fecha,$A18)+SUMIFS(R_HD1,R_St,"Submitted",R_D1,$A18)</f>
        <v>0</v>
      </c>
      <c r="K18" s="14">
        <f>SUMIFS(R_HD0,R_St,"Approved",R_Fecha,$A18)+SUMIFS(R_HD1,R_St,"Approved",R_D1,$A18)</f>
        <v>0</v>
      </c>
      <c r="L18" s="14">
        <f>IF(AND(INDEX(CFG_WDAYS,WEEKDAY(A18,2))="Sí",COUNTIFS(FER_F,A18,FER_OBJ,"Sí")=0),CFG_DH,0)</f>
        <v>8</v>
      </c>
      <c r="M18" s="14">
        <f>F18-L18</f>
        <v>-8</v>
      </c>
      <c r="N18" t="inlineStr">
        <is>
          <t>D</t>
        </is>
      </c>
    </row>
    <row r="19">
      <c r="A19" s="134" t="n">
        <v>46305</v>
      </c>
      <c r="B19" s="130" t="str">
        <f>CHOOSE(WEEKDAY(A19,2),"Lun","Mar","Mié","Jue","Vie","Sáb","Dom")</f>
        <v>Sáb</v>
      </c>
      <c r="C19" s="13" t="str">
        <f>IF(COUNTIFS(FER_F,A19)&gt;0,"Feriado: "&amp;INDEX(FER_N,MATCH(A19,FER_F,0)),IF(WEEKDAY(A19,2)&gt;5,"Fin de semana",IF(INDEX(CFG_WDAYS,WEEKDAY(A19,2))="Sí","Laborable","No laborable")))</f>
        <v>Fin de semana</v>
      </c>
      <c r="D19" s="14">
        <f>SUMIFS(R_HD0,R_Emp,"Malcolm",R_Fecha,$A19)+SUMIFS(R_HD1,R_Emp,"Malcolm",R_D1,$A19)</f>
        <v>0</v>
      </c>
      <c r="E19" s="14">
        <f>SUMIFS(R_HD0,R_Emp,"proMX",R_Fecha,$A19)+SUMIFS(R_HD1,R_Emp,"proMX",R_D1,$A19)</f>
        <v>0</v>
      </c>
      <c r="F19" s="14">
        <f>D19+E19</f>
        <v>0</v>
      </c>
      <c r="G19" s="14">
        <f>SUMIFS(R_ND0,R_Fecha,$A19)+SUMIFS(R_ND1,R_D1,$A19)</f>
        <v>0</v>
      </c>
      <c r="H19" s="14">
        <f>SUMIFS(R_XD0,R_Fecha,$A19)+SUMIFS(R_XD1,R_D1,$A19)</f>
        <v>0</v>
      </c>
      <c r="I19" s="14">
        <f>SUMIFS(R_HD0,R_St,"Draft",R_Fecha,$A19)+SUMIFS(R_HD1,R_St,"Draft",R_D1,$A19)</f>
        <v>0</v>
      </c>
      <c r="J19" s="14">
        <f>SUMIFS(R_HD0,R_St,"Submitted",R_Fecha,$A19)+SUMIFS(R_HD1,R_St,"Submitted",R_D1,$A19)</f>
        <v>0</v>
      </c>
      <c r="K19" s="14">
        <f>SUMIFS(R_HD0,R_St,"Approved",R_Fecha,$A19)+SUMIFS(R_HD1,R_St,"Approved",R_D1,$A19)</f>
        <v>0</v>
      </c>
      <c r="L19" s="14">
        <f>IF(AND(INDEX(CFG_WDAYS,WEEKDAY(A19,2))="Sí",COUNTIFS(FER_F,A19,FER_OBJ,"Sí")=0),CFG_DH,0)</f>
        <v>0</v>
      </c>
      <c r="M19" s="14">
        <f>F19-L19</f>
        <v>0</v>
      </c>
      <c r="N19" t="inlineStr">
        <is>
          <t>D</t>
        </is>
      </c>
    </row>
    <row r="20">
      <c r="A20" s="134" t="n">
        <v>46306</v>
      </c>
      <c r="B20" s="130" t="str">
        <f>CHOOSE(WEEKDAY(A20,2),"Lun","Mar","Mié","Jue","Vie","Sáb","Dom")</f>
        <v>Dom</v>
      </c>
      <c r="C20" s="13" t="str">
        <f>IF(COUNTIFS(FER_F,A20)&gt;0,"Feriado: "&amp;INDEX(FER_N,MATCH(A20,FER_F,0)),IF(WEEKDAY(A20,2)&gt;5,"Fin de semana",IF(INDEX(CFG_WDAYS,WEEKDAY(A20,2))="Sí","Laborable","No laborable")))</f>
        <v>Fin de semana</v>
      </c>
      <c r="D20" s="14">
        <f>SUMIFS(R_HD0,R_Emp,"Malcolm",R_Fecha,$A20)+SUMIFS(R_HD1,R_Emp,"Malcolm",R_D1,$A20)</f>
        <v>0</v>
      </c>
      <c r="E20" s="14">
        <f>SUMIFS(R_HD0,R_Emp,"proMX",R_Fecha,$A20)+SUMIFS(R_HD1,R_Emp,"proMX",R_D1,$A20)</f>
        <v>0</v>
      </c>
      <c r="F20" s="14">
        <f>D20+E20</f>
        <v>0</v>
      </c>
      <c r="G20" s="14">
        <f>SUMIFS(R_ND0,R_Fecha,$A20)+SUMIFS(R_ND1,R_D1,$A20)</f>
        <v>0</v>
      </c>
      <c r="H20" s="14">
        <f>SUMIFS(R_XD0,R_Fecha,$A20)+SUMIFS(R_XD1,R_D1,$A20)</f>
        <v>0</v>
      </c>
      <c r="I20" s="14">
        <f>SUMIFS(R_HD0,R_St,"Draft",R_Fecha,$A20)+SUMIFS(R_HD1,R_St,"Draft",R_D1,$A20)</f>
        <v>0</v>
      </c>
      <c r="J20" s="14">
        <f>SUMIFS(R_HD0,R_St,"Submitted",R_Fecha,$A20)+SUMIFS(R_HD1,R_St,"Submitted",R_D1,$A20)</f>
        <v>0</v>
      </c>
      <c r="K20" s="14">
        <f>SUMIFS(R_HD0,R_St,"Approved",R_Fecha,$A20)+SUMIFS(R_HD1,R_St,"Approved",R_D1,$A20)</f>
        <v>0</v>
      </c>
      <c r="L20" s="14">
        <f>IF(AND(INDEX(CFG_WDAYS,WEEKDAY(A20,2))="Sí",COUNTIFS(FER_F,A20,FER_OBJ,"Sí")=0),CFG_DH,0)</f>
        <v>0</v>
      </c>
      <c r="M20" s="14">
        <f>F20-L20</f>
        <v>0</v>
      </c>
      <c r="N20" t="inlineStr">
        <is>
          <t>D</t>
        </is>
      </c>
    </row>
    <row r="21">
      <c r="A21" s="188" t="inlineStr">
        <is>
          <t>Total semana Lun 05/10 – 11/10</t>
        </is>
      </c>
      <c r="B21" s="189" t="n"/>
      <c r="C21" s="189" t="n"/>
      <c r="D21" s="190">
        <f>SUM(D14:D20)</f>
        <v>6.333333</v>
      </c>
      <c r="E21" s="190">
        <f>SUM(E14:E20)</f>
        <v>1.5</v>
      </c>
      <c r="F21" s="190">
        <f>SUM(F14:F20)</f>
        <v>7.833333</v>
      </c>
      <c r="G21" s="190">
        <f>SUM(G14:G20)</f>
        <v>5.833333</v>
      </c>
      <c r="H21" s="190">
        <f>SUM(H14:H20)</f>
        <v>2</v>
      </c>
      <c r="I21" s="190">
        <f>SUM(I14:I20)</f>
        <v>1.5</v>
      </c>
      <c r="J21" s="190">
        <f>SUM(J14:J20)</f>
        <v>0</v>
      </c>
      <c r="K21" s="190">
        <f>SUM(K14:K20)</f>
        <v>0</v>
      </c>
      <c r="L21" s="190">
        <f>MIN(CFG_WH,SUM(L14:L20))</f>
        <v>40</v>
      </c>
      <c r="M21" s="190">
        <f>F21-L21</f>
        <v>-32.166667</v>
      </c>
      <c r="N21" t="inlineStr">
        <is>
          <t>S</t>
        </is>
      </c>
    </row>
    <row r="22">
      <c r="A22" s="134" t="n">
        <v>46307</v>
      </c>
      <c r="B22" s="130" t="str">
        <f>CHOOSE(WEEKDAY(A22,2),"Lun","Mar","Mié","Jue","Vie","Sáb","Dom")</f>
        <v>Lun</v>
      </c>
      <c r="C22" s="13" t="str">
        <f>IF(COUNTIFS(FER_F,A22)&gt;0,"Feriado: "&amp;INDEX(FER_N,MATCH(A22,FER_F,0)),IF(WEEKDAY(A22,2)&gt;5,"Fin de semana",IF(INDEX(CFG_WDAYS,WEEKDAY(A22,2))="Sí","Laborable","No laborable")))</f>
        <v>Feriado: Columbus Day</v>
      </c>
      <c r="D22" s="14">
        <f>SUMIFS(R_HD0,R_Emp,"Malcolm",R_Fecha,$A22)+SUMIFS(R_HD1,R_Emp,"Malcolm",R_D1,$A22)</f>
        <v>0</v>
      </c>
      <c r="E22" s="14">
        <f>SUMIFS(R_HD0,R_Emp,"proMX",R_Fecha,$A22)+SUMIFS(R_HD1,R_Emp,"proMX",R_D1,$A22)</f>
        <v>0</v>
      </c>
      <c r="F22" s="14">
        <f>D22+E22</f>
        <v>0</v>
      </c>
      <c r="G22" s="14">
        <f>SUMIFS(R_ND0,R_Fecha,$A22)+SUMIFS(R_ND1,R_D1,$A22)</f>
        <v>0</v>
      </c>
      <c r="H22" s="14">
        <f>SUMIFS(R_XD0,R_Fecha,$A22)+SUMIFS(R_XD1,R_D1,$A22)</f>
        <v>0</v>
      </c>
      <c r="I22" s="14">
        <f>SUMIFS(R_HD0,R_St,"Draft",R_Fecha,$A22)+SUMIFS(R_HD1,R_St,"Draft",R_D1,$A22)</f>
        <v>0</v>
      </c>
      <c r="J22" s="14">
        <f>SUMIFS(R_HD0,R_St,"Submitted",R_Fecha,$A22)+SUMIFS(R_HD1,R_St,"Submitted",R_D1,$A22)</f>
        <v>0</v>
      </c>
      <c r="K22" s="14">
        <f>SUMIFS(R_HD0,R_St,"Approved",R_Fecha,$A22)+SUMIFS(R_HD1,R_St,"Approved",R_D1,$A22)</f>
        <v>0</v>
      </c>
      <c r="L22" s="14">
        <f>IF(AND(INDEX(CFG_WDAYS,WEEKDAY(A22,2))="Sí",COUNTIFS(FER_F,A22,FER_OBJ,"Sí")=0),CFG_DH,0)</f>
        <v>0</v>
      </c>
      <c r="M22" s="14">
        <f>F22-L22</f>
        <v>0</v>
      </c>
      <c r="N22" t="inlineStr">
        <is>
          <t>D</t>
        </is>
      </c>
    </row>
    <row r="23">
      <c r="A23" s="134" t="n">
        <v>46308</v>
      </c>
      <c r="B23" s="130" t="str">
        <f>CHOOSE(WEEKDAY(A23,2),"Lun","Mar","Mié","Jue","Vie","Sáb","Dom")</f>
        <v>Mar</v>
      </c>
      <c r="C23" s="13" t="str">
        <f>IF(COUNTIFS(FER_F,A23)&gt;0,"Feriado: "&amp;INDEX(FER_N,MATCH(A23,FER_F,0)),IF(WEEKDAY(A23,2)&gt;5,"Fin de semana",IF(INDEX(CFG_WDAYS,WEEKDAY(A23,2))="Sí","Laborable","No laborable")))</f>
        <v>Laborable</v>
      </c>
      <c r="D23" s="14">
        <f>SUMIFS(R_HD0,R_Emp,"Malcolm",R_Fecha,$A23)+SUMIFS(R_HD1,R_Emp,"Malcolm",R_D1,$A23)</f>
        <v>0</v>
      </c>
      <c r="E23" s="14">
        <f>SUMIFS(R_HD0,R_Emp,"proMX",R_Fecha,$A23)+SUMIFS(R_HD1,R_Emp,"proMX",R_D1,$A23)</f>
        <v>0</v>
      </c>
      <c r="F23" s="14">
        <f>D23+E23</f>
        <v>0</v>
      </c>
      <c r="G23" s="14">
        <f>SUMIFS(R_ND0,R_Fecha,$A23)+SUMIFS(R_ND1,R_D1,$A23)</f>
        <v>0</v>
      </c>
      <c r="H23" s="14">
        <f>SUMIFS(R_XD0,R_Fecha,$A23)+SUMIFS(R_XD1,R_D1,$A23)</f>
        <v>0</v>
      </c>
      <c r="I23" s="14">
        <f>SUMIFS(R_HD0,R_St,"Draft",R_Fecha,$A23)+SUMIFS(R_HD1,R_St,"Draft",R_D1,$A23)</f>
        <v>0</v>
      </c>
      <c r="J23" s="14">
        <f>SUMIFS(R_HD0,R_St,"Submitted",R_Fecha,$A23)+SUMIFS(R_HD1,R_St,"Submitted",R_D1,$A23)</f>
        <v>0</v>
      </c>
      <c r="K23" s="14">
        <f>SUMIFS(R_HD0,R_St,"Approved",R_Fecha,$A23)+SUMIFS(R_HD1,R_St,"Approved",R_D1,$A23)</f>
        <v>0</v>
      </c>
      <c r="L23" s="14">
        <f>IF(AND(INDEX(CFG_WDAYS,WEEKDAY(A23,2))="Sí",COUNTIFS(FER_F,A23,FER_OBJ,"Sí")=0),CFG_DH,0)</f>
        <v>8</v>
      </c>
      <c r="M23" s="14">
        <f>F23-L23</f>
        <v>-8</v>
      </c>
      <c r="N23" t="inlineStr">
        <is>
          <t>D</t>
        </is>
      </c>
    </row>
    <row r="24">
      <c r="A24" s="134" t="n">
        <v>46309</v>
      </c>
      <c r="B24" s="130" t="str">
        <f>CHOOSE(WEEKDAY(A24,2),"Lun","Mar","Mié","Jue","Vie","Sáb","Dom")</f>
        <v>Mié</v>
      </c>
      <c r="C24" s="13" t="str">
        <f>IF(COUNTIFS(FER_F,A24)&gt;0,"Feriado: "&amp;INDEX(FER_N,MATCH(A24,FER_F,0)),IF(WEEKDAY(A24,2)&gt;5,"Fin de semana",IF(INDEX(CFG_WDAYS,WEEKDAY(A24,2))="Sí","Laborable","No laborable")))</f>
        <v>Laborable</v>
      </c>
      <c r="D24" s="14">
        <f>SUMIFS(R_HD0,R_Emp,"Malcolm",R_Fecha,$A24)+SUMIFS(R_HD1,R_Emp,"Malcolm",R_D1,$A24)</f>
        <v>0</v>
      </c>
      <c r="E24" s="14">
        <f>SUMIFS(R_HD0,R_Emp,"proMX",R_Fecha,$A24)+SUMIFS(R_HD1,R_Emp,"proMX",R_D1,$A24)</f>
        <v>0</v>
      </c>
      <c r="F24" s="14">
        <f>D24+E24</f>
        <v>0</v>
      </c>
      <c r="G24" s="14">
        <f>SUMIFS(R_ND0,R_Fecha,$A24)+SUMIFS(R_ND1,R_D1,$A24)</f>
        <v>0</v>
      </c>
      <c r="H24" s="14">
        <f>SUMIFS(R_XD0,R_Fecha,$A24)+SUMIFS(R_XD1,R_D1,$A24)</f>
        <v>0</v>
      </c>
      <c r="I24" s="14">
        <f>SUMIFS(R_HD0,R_St,"Draft",R_Fecha,$A24)+SUMIFS(R_HD1,R_St,"Draft",R_D1,$A24)</f>
        <v>0</v>
      </c>
      <c r="J24" s="14">
        <f>SUMIFS(R_HD0,R_St,"Submitted",R_Fecha,$A24)+SUMIFS(R_HD1,R_St,"Submitted",R_D1,$A24)</f>
        <v>0</v>
      </c>
      <c r="K24" s="14">
        <f>SUMIFS(R_HD0,R_St,"Approved",R_Fecha,$A24)+SUMIFS(R_HD1,R_St,"Approved",R_D1,$A24)</f>
        <v>0</v>
      </c>
      <c r="L24" s="14">
        <f>IF(AND(INDEX(CFG_WDAYS,WEEKDAY(A24,2))="Sí",COUNTIFS(FER_F,A24,FER_OBJ,"Sí")=0),CFG_DH,0)</f>
        <v>8</v>
      </c>
      <c r="M24" s="14">
        <f>F24-L24</f>
        <v>-8</v>
      </c>
      <c r="N24" t="inlineStr">
        <is>
          <t>D</t>
        </is>
      </c>
    </row>
    <row r="25">
      <c r="A25" s="134" t="n">
        <v>46310</v>
      </c>
      <c r="B25" s="130" t="str">
        <f>CHOOSE(WEEKDAY(A25,2),"Lun","Mar","Mié","Jue","Vie","Sáb","Dom")</f>
        <v>Jue</v>
      </c>
      <c r="C25" s="13" t="str">
        <f>IF(COUNTIFS(FER_F,A25)&gt;0,"Feriado: "&amp;INDEX(FER_N,MATCH(A25,FER_F,0)),IF(WEEKDAY(A25,2)&gt;5,"Fin de semana",IF(INDEX(CFG_WDAYS,WEEKDAY(A25,2))="Sí","Laborable","No laborable")))</f>
        <v>Laborable</v>
      </c>
      <c r="D25" s="14">
        <f>SUMIFS(R_HD0,R_Emp,"Malcolm",R_Fecha,$A25)+SUMIFS(R_HD1,R_Emp,"Malcolm",R_D1,$A25)</f>
        <v>0</v>
      </c>
      <c r="E25" s="14">
        <f>SUMIFS(R_HD0,R_Emp,"proMX",R_Fecha,$A25)+SUMIFS(R_HD1,R_Emp,"proMX",R_D1,$A25)</f>
        <v>0</v>
      </c>
      <c r="F25" s="14">
        <f>D25+E25</f>
        <v>0</v>
      </c>
      <c r="G25" s="14">
        <f>SUMIFS(R_ND0,R_Fecha,$A25)+SUMIFS(R_ND1,R_D1,$A25)</f>
        <v>0</v>
      </c>
      <c r="H25" s="14">
        <f>SUMIFS(R_XD0,R_Fecha,$A25)+SUMIFS(R_XD1,R_D1,$A25)</f>
        <v>0</v>
      </c>
      <c r="I25" s="14">
        <f>SUMIFS(R_HD0,R_St,"Draft",R_Fecha,$A25)+SUMIFS(R_HD1,R_St,"Draft",R_D1,$A25)</f>
        <v>0</v>
      </c>
      <c r="J25" s="14">
        <f>SUMIFS(R_HD0,R_St,"Submitted",R_Fecha,$A25)+SUMIFS(R_HD1,R_St,"Submitted",R_D1,$A25)</f>
        <v>0</v>
      </c>
      <c r="K25" s="14">
        <f>SUMIFS(R_HD0,R_St,"Approved",R_Fecha,$A25)+SUMIFS(R_HD1,R_St,"Approved",R_D1,$A25)</f>
        <v>0</v>
      </c>
      <c r="L25" s="14">
        <f>IF(AND(INDEX(CFG_WDAYS,WEEKDAY(A25,2))="Sí",COUNTIFS(FER_F,A25,FER_OBJ,"Sí")=0),CFG_DH,0)</f>
        <v>8</v>
      </c>
      <c r="M25" s="14">
        <f>F25-L25</f>
        <v>-8</v>
      </c>
      <c r="N25" t="inlineStr">
        <is>
          <t>D</t>
        </is>
      </c>
    </row>
    <row r="26">
      <c r="A26" s="134" t="n">
        <v>46311</v>
      </c>
      <c r="B26" s="130" t="str">
        <f>CHOOSE(WEEKDAY(A26,2),"Lun","Mar","Mié","Jue","Vie","Sáb","Dom")</f>
        <v>Vie</v>
      </c>
      <c r="C26" s="13" t="str">
        <f>IF(COUNTIFS(FER_F,A26)&gt;0,"Feriado: "&amp;INDEX(FER_N,MATCH(A26,FER_F,0)),IF(WEEKDAY(A26,2)&gt;5,"Fin de semana",IF(INDEX(CFG_WDAYS,WEEKDAY(A26,2))="Sí","Laborable","No laborable")))</f>
        <v>Laborable</v>
      </c>
      <c r="D26" s="14">
        <f>SUMIFS(R_HD0,R_Emp,"Malcolm",R_Fecha,$A26)+SUMIFS(R_HD1,R_Emp,"Malcolm",R_D1,$A26)</f>
        <v>0</v>
      </c>
      <c r="E26" s="14">
        <f>SUMIFS(R_HD0,R_Emp,"proMX",R_Fecha,$A26)+SUMIFS(R_HD1,R_Emp,"proMX",R_D1,$A26)</f>
        <v>0</v>
      </c>
      <c r="F26" s="14">
        <f>D26+E26</f>
        <v>0</v>
      </c>
      <c r="G26" s="14">
        <f>SUMIFS(R_ND0,R_Fecha,$A26)+SUMIFS(R_ND1,R_D1,$A26)</f>
        <v>0</v>
      </c>
      <c r="H26" s="14">
        <f>SUMIFS(R_XD0,R_Fecha,$A26)+SUMIFS(R_XD1,R_D1,$A26)</f>
        <v>0</v>
      </c>
      <c r="I26" s="14">
        <f>SUMIFS(R_HD0,R_St,"Draft",R_Fecha,$A26)+SUMIFS(R_HD1,R_St,"Draft",R_D1,$A26)</f>
        <v>0</v>
      </c>
      <c r="J26" s="14">
        <f>SUMIFS(R_HD0,R_St,"Submitted",R_Fecha,$A26)+SUMIFS(R_HD1,R_St,"Submitted",R_D1,$A26)</f>
        <v>0</v>
      </c>
      <c r="K26" s="14">
        <f>SUMIFS(R_HD0,R_St,"Approved",R_Fecha,$A26)+SUMIFS(R_HD1,R_St,"Approved",R_D1,$A26)</f>
        <v>0</v>
      </c>
      <c r="L26" s="14">
        <f>IF(AND(INDEX(CFG_WDAYS,WEEKDAY(A26,2))="Sí",COUNTIFS(FER_F,A26,FER_OBJ,"Sí")=0),CFG_DH,0)</f>
        <v>8</v>
      </c>
      <c r="M26" s="14">
        <f>F26-L26</f>
        <v>-8</v>
      </c>
      <c r="N26" t="inlineStr">
        <is>
          <t>D</t>
        </is>
      </c>
    </row>
    <row r="27">
      <c r="A27" s="134" t="n">
        <v>46312</v>
      </c>
      <c r="B27" s="130" t="str">
        <f>CHOOSE(WEEKDAY(A27,2),"Lun","Mar","Mié","Jue","Vie","Sáb","Dom")</f>
        <v>Sáb</v>
      </c>
      <c r="C27" s="13" t="str">
        <f>IF(COUNTIFS(FER_F,A27)&gt;0,"Feriado: "&amp;INDEX(FER_N,MATCH(A27,FER_F,0)),IF(WEEKDAY(A27,2)&gt;5,"Fin de semana",IF(INDEX(CFG_WDAYS,WEEKDAY(A27,2))="Sí","Laborable","No laborable")))</f>
        <v>Fin de semana</v>
      </c>
      <c r="D27" s="14">
        <f>SUMIFS(R_HD0,R_Emp,"Malcolm",R_Fecha,$A27)+SUMIFS(R_HD1,R_Emp,"Malcolm",R_D1,$A27)</f>
        <v>0</v>
      </c>
      <c r="E27" s="14">
        <f>SUMIFS(R_HD0,R_Emp,"proMX",R_Fecha,$A27)+SUMIFS(R_HD1,R_Emp,"proMX",R_D1,$A27)</f>
        <v>0</v>
      </c>
      <c r="F27" s="14">
        <f>D27+E27</f>
        <v>0</v>
      </c>
      <c r="G27" s="14">
        <f>SUMIFS(R_ND0,R_Fecha,$A27)+SUMIFS(R_ND1,R_D1,$A27)</f>
        <v>0</v>
      </c>
      <c r="H27" s="14">
        <f>SUMIFS(R_XD0,R_Fecha,$A27)+SUMIFS(R_XD1,R_D1,$A27)</f>
        <v>0</v>
      </c>
      <c r="I27" s="14">
        <f>SUMIFS(R_HD0,R_St,"Draft",R_Fecha,$A27)+SUMIFS(R_HD1,R_St,"Draft",R_D1,$A27)</f>
        <v>0</v>
      </c>
      <c r="J27" s="14">
        <f>SUMIFS(R_HD0,R_St,"Submitted",R_Fecha,$A27)+SUMIFS(R_HD1,R_St,"Submitted",R_D1,$A27)</f>
        <v>0</v>
      </c>
      <c r="K27" s="14">
        <f>SUMIFS(R_HD0,R_St,"Approved",R_Fecha,$A27)+SUMIFS(R_HD1,R_St,"Approved",R_D1,$A27)</f>
        <v>0</v>
      </c>
      <c r="L27" s="14">
        <f>IF(AND(INDEX(CFG_WDAYS,WEEKDAY(A27,2))="Sí",COUNTIFS(FER_F,A27,FER_OBJ,"Sí")=0),CFG_DH,0)</f>
        <v>0</v>
      </c>
      <c r="M27" s="14">
        <f>F27-L27</f>
        <v>0</v>
      </c>
      <c r="N27" t="inlineStr">
        <is>
          <t>D</t>
        </is>
      </c>
    </row>
    <row r="28">
      <c r="A28" s="134" t="n">
        <v>46313</v>
      </c>
      <c r="B28" s="130" t="str">
        <f>CHOOSE(WEEKDAY(A28,2),"Lun","Mar","Mié","Jue","Vie","Sáb","Dom")</f>
        <v>Dom</v>
      </c>
      <c r="C28" s="13" t="str">
        <f>IF(COUNTIFS(FER_F,A28)&gt;0,"Feriado: "&amp;INDEX(FER_N,MATCH(A28,FER_F,0)),IF(WEEKDAY(A28,2)&gt;5,"Fin de semana",IF(INDEX(CFG_WDAYS,WEEKDAY(A28,2))="Sí","Laborable","No laborable")))</f>
        <v>Fin de semana</v>
      </c>
      <c r="D28" s="14">
        <f>SUMIFS(R_HD0,R_Emp,"Malcolm",R_Fecha,$A28)+SUMIFS(R_HD1,R_Emp,"Malcolm",R_D1,$A28)</f>
        <v>0</v>
      </c>
      <c r="E28" s="14">
        <f>SUMIFS(R_HD0,R_Emp,"proMX",R_Fecha,$A28)+SUMIFS(R_HD1,R_Emp,"proMX",R_D1,$A28)</f>
        <v>0</v>
      </c>
      <c r="F28" s="14">
        <f>D28+E28</f>
        <v>0</v>
      </c>
      <c r="G28" s="14">
        <f>SUMIFS(R_ND0,R_Fecha,$A28)+SUMIFS(R_ND1,R_D1,$A28)</f>
        <v>0</v>
      </c>
      <c r="H28" s="14">
        <f>SUMIFS(R_XD0,R_Fecha,$A28)+SUMIFS(R_XD1,R_D1,$A28)</f>
        <v>0</v>
      </c>
      <c r="I28" s="14">
        <f>SUMIFS(R_HD0,R_St,"Draft",R_Fecha,$A28)+SUMIFS(R_HD1,R_St,"Draft",R_D1,$A28)</f>
        <v>0</v>
      </c>
      <c r="J28" s="14">
        <f>SUMIFS(R_HD0,R_St,"Submitted",R_Fecha,$A28)+SUMIFS(R_HD1,R_St,"Submitted",R_D1,$A28)</f>
        <v>0</v>
      </c>
      <c r="K28" s="14">
        <f>SUMIFS(R_HD0,R_St,"Approved",R_Fecha,$A28)+SUMIFS(R_HD1,R_St,"Approved",R_D1,$A28)</f>
        <v>0</v>
      </c>
      <c r="L28" s="14">
        <f>IF(AND(INDEX(CFG_WDAYS,WEEKDAY(A28,2))="Sí",COUNTIFS(FER_F,A28,FER_OBJ,"Sí")=0),CFG_DH,0)</f>
        <v>0</v>
      </c>
      <c r="M28" s="14">
        <f>F28-L28</f>
        <v>0</v>
      </c>
      <c r="N28" t="inlineStr">
        <is>
          <t>D</t>
        </is>
      </c>
    </row>
    <row r="29">
      <c r="A29" s="188" t="inlineStr">
        <is>
          <t>Total semana Lun 12/10 – 18/10</t>
        </is>
      </c>
      <c r="B29" s="189" t="n"/>
      <c r="C29" s="189" t="n"/>
      <c r="D29" s="190">
        <f>SUM(D22:D28)</f>
        <v>0</v>
      </c>
      <c r="E29" s="190">
        <f>SUM(E22:E28)</f>
        <v>0</v>
      </c>
      <c r="F29" s="190">
        <f>SUM(F22:F28)</f>
        <v>0</v>
      </c>
      <c r="G29" s="190">
        <f>SUM(G22:G28)</f>
        <v>0</v>
      </c>
      <c r="H29" s="190">
        <f>SUM(H22:H28)</f>
        <v>0</v>
      </c>
      <c r="I29" s="190">
        <f>SUM(I22:I28)</f>
        <v>0</v>
      </c>
      <c r="J29" s="190">
        <f>SUM(J22:J28)</f>
        <v>0</v>
      </c>
      <c r="K29" s="190">
        <f>SUM(K22:K28)</f>
        <v>0</v>
      </c>
      <c r="L29" s="190">
        <f>MIN(CFG_WH,SUM(L22:L28))</f>
        <v>32</v>
      </c>
      <c r="M29" s="190">
        <f>F29-L29</f>
        <v>-32</v>
      </c>
      <c r="N29" t="inlineStr">
        <is>
          <t>S</t>
        </is>
      </c>
    </row>
    <row r="30">
      <c r="A30" s="134" t="n">
        <v>46314</v>
      </c>
      <c r="B30" s="130" t="str">
        <f>CHOOSE(WEEKDAY(A30,2),"Lun","Mar","Mié","Jue","Vie","Sáb","Dom")</f>
        <v>Lun</v>
      </c>
      <c r="C30" s="13" t="str">
        <f>IF(COUNTIFS(FER_F,A30)&gt;0,"Feriado: "&amp;INDEX(FER_N,MATCH(A30,FER_F,0)),IF(WEEKDAY(A30,2)&gt;5,"Fin de semana",IF(INDEX(CFG_WDAYS,WEEKDAY(A30,2))="Sí","Laborable","No laborable")))</f>
        <v>Laborable</v>
      </c>
      <c r="D30" s="14">
        <f>SUMIFS(R_HD0,R_Emp,"Malcolm",R_Fecha,$A30)+SUMIFS(R_HD1,R_Emp,"Malcolm",R_D1,$A30)</f>
        <v>0</v>
      </c>
      <c r="E30" s="14">
        <f>SUMIFS(R_HD0,R_Emp,"proMX",R_Fecha,$A30)+SUMIFS(R_HD1,R_Emp,"proMX",R_D1,$A30)</f>
        <v>0</v>
      </c>
      <c r="F30" s="14">
        <f>D30+E30</f>
        <v>0</v>
      </c>
      <c r="G30" s="14">
        <f>SUMIFS(R_ND0,R_Fecha,$A30)+SUMIFS(R_ND1,R_D1,$A30)</f>
        <v>0</v>
      </c>
      <c r="H30" s="14">
        <f>SUMIFS(R_XD0,R_Fecha,$A30)+SUMIFS(R_XD1,R_D1,$A30)</f>
        <v>0</v>
      </c>
      <c r="I30" s="14">
        <f>SUMIFS(R_HD0,R_St,"Draft",R_Fecha,$A30)+SUMIFS(R_HD1,R_St,"Draft",R_D1,$A30)</f>
        <v>0</v>
      </c>
      <c r="J30" s="14">
        <f>SUMIFS(R_HD0,R_St,"Submitted",R_Fecha,$A30)+SUMIFS(R_HD1,R_St,"Submitted",R_D1,$A30)</f>
        <v>0</v>
      </c>
      <c r="K30" s="14">
        <f>SUMIFS(R_HD0,R_St,"Approved",R_Fecha,$A30)+SUMIFS(R_HD1,R_St,"Approved",R_D1,$A30)</f>
        <v>0</v>
      </c>
      <c r="L30" s="14">
        <f>IF(AND(INDEX(CFG_WDAYS,WEEKDAY(A30,2))="Sí",COUNTIFS(FER_F,A30,FER_OBJ,"Sí")=0),CFG_DH,0)</f>
        <v>8</v>
      </c>
      <c r="M30" s="14">
        <f>F30-L30</f>
        <v>-8</v>
      </c>
      <c r="N30" t="inlineStr">
        <is>
          <t>D</t>
        </is>
      </c>
    </row>
    <row r="31">
      <c r="A31" s="134" t="n">
        <v>46315</v>
      </c>
      <c r="B31" s="130" t="str">
        <f>CHOOSE(WEEKDAY(A31,2),"Lun","Mar","Mié","Jue","Vie","Sáb","Dom")</f>
        <v>Mar</v>
      </c>
      <c r="C31" s="13" t="str">
        <f>IF(COUNTIFS(FER_F,A31)&gt;0,"Feriado: "&amp;INDEX(FER_N,MATCH(A31,FER_F,0)),IF(WEEKDAY(A31,2)&gt;5,"Fin de semana",IF(INDEX(CFG_WDAYS,WEEKDAY(A31,2))="Sí","Laborable","No laborable")))</f>
        <v>Laborable</v>
      </c>
      <c r="D31" s="14">
        <f>SUMIFS(R_HD0,R_Emp,"Malcolm",R_Fecha,$A31)+SUMIFS(R_HD1,R_Emp,"Malcolm",R_D1,$A31)</f>
        <v>0</v>
      </c>
      <c r="E31" s="14">
        <f>SUMIFS(R_HD0,R_Emp,"proMX",R_Fecha,$A31)+SUMIFS(R_HD1,R_Emp,"proMX",R_D1,$A31)</f>
        <v>0</v>
      </c>
      <c r="F31" s="14">
        <f>D31+E31</f>
        <v>0</v>
      </c>
      <c r="G31" s="14">
        <f>SUMIFS(R_ND0,R_Fecha,$A31)+SUMIFS(R_ND1,R_D1,$A31)</f>
        <v>0</v>
      </c>
      <c r="H31" s="14">
        <f>SUMIFS(R_XD0,R_Fecha,$A31)+SUMIFS(R_XD1,R_D1,$A31)</f>
        <v>0</v>
      </c>
      <c r="I31" s="14">
        <f>SUMIFS(R_HD0,R_St,"Draft",R_Fecha,$A31)+SUMIFS(R_HD1,R_St,"Draft",R_D1,$A31)</f>
        <v>0</v>
      </c>
      <c r="J31" s="14">
        <f>SUMIFS(R_HD0,R_St,"Submitted",R_Fecha,$A31)+SUMIFS(R_HD1,R_St,"Submitted",R_D1,$A31)</f>
        <v>0</v>
      </c>
      <c r="K31" s="14">
        <f>SUMIFS(R_HD0,R_St,"Approved",R_Fecha,$A31)+SUMIFS(R_HD1,R_St,"Approved",R_D1,$A31)</f>
        <v>0</v>
      </c>
      <c r="L31" s="14">
        <f>IF(AND(INDEX(CFG_WDAYS,WEEKDAY(A31,2))="Sí",COUNTIFS(FER_F,A31,FER_OBJ,"Sí")=0),CFG_DH,0)</f>
        <v>8</v>
      </c>
      <c r="M31" s="14">
        <f>F31-L31</f>
        <v>-8</v>
      </c>
      <c r="N31" t="inlineStr">
        <is>
          <t>D</t>
        </is>
      </c>
    </row>
    <row r="32">
      <c r="A32" s="134" t="n">
        <v>46316</v>
      </c>
      <c r="B32" s="130" t="str">
        <f>CHOOSE(WEEKDAY(A32,2),"Lun","Mar","Mié","Jue","Vie","Sáb","Dom")</f>
        <v>Mié</v>
      </c>
      <c r="C32" s="13" t="str">
        <f>IF(COUNTIFS(FER_F,A32)&gt;0,"Feriado: "&amp;INDEX(FER_N,MATCH(A32,FER_F,0)),IF(WEEKDAY(A32,2)&gt;5,"Fin de semana",IF(INDEX(CFG_WDAYS,WEEKDAY(A32,2))="Sí","Laborable","No laborable")))</f>
        <v>Laborable</v>
      </c>
      <c r="D32" s="14">
        <f>SUMIFS(R_HD0,R_Emp,"Malcolm",R_Fecha,$A32)+SUMIFS(R_HD1,R_Emp,"Malcolm",R_D1,$A32)</f>
        <v>0</v>
      </c>
      <c r="E32" s="14">
        <f>SUMIFS(R_HD0,R_Emp,"proMX",R_Fecha,$A32)+SUMIFS(R_HD1,R_Emp,"proMX",R_D1,$A32)</f>
        <v>0</v>
      </c>
      <c r="F32" s="14">
        <f>D32+E32</f>
        <v>0</v>
      </c>
      <c r="G32" s="14">
        <f>SUMIFS(R_ND0,R_Fecha,$A32)+SUMIFS(R_ND1,R_D1,$A32)</f>
        <v>0</v>
      </c>
      <c r="H32" s="14">
        <f>SUMIFS(R_XD0,R_Fecha,$A32)+SUMIFS(R_XD1,R_D1,$A32)</f>
        <v>0</v>
      </c>
      <c r="I32" s="14">
        <f>SUMIFS(R_HD0,R_St,"Draft",R_Fecha,$A32)+SUMIFS(R_HD1,R_St,"Draft",R_D1,$A32)</f>
        <v>0</v>
      </c>
      <c r="J32" s="14">
        <f>SUMIFS(R_HD0,R_St,"Submitted",R_Fecha,$A32)+SUMIFS(R_HD1,R_St,"Submitted",R_D1,$A32)</f>
        <v>0</v>
      </c>
      <c r="K32" s="14">
        <f>SUMIFS(R_HD0,R_St,"Approved",R_Fecha,$A32)+SUMIFS(R_HD1,R_St,"Approved",R_D1,$A32)</f>
        <v>0</v>
      </c>
      <c r="L32" s="14">
        <f>IF(AND(INDEX(CFG_WDAYS,WEEKDAY(A32,2))="Sí",COUNTIFS(FER_F,A32,FER_OBJ,"Sí")=0),CFG_DH,0)</f>
        <v>8</v>
      </c>
      <c r="M32" s="14">
        <f>F32-L32</f>
        <v>-8</v>
      </c>
      <c r="N32" t="inlineStr">
        <is>
          <t>D</t>
        </is>
      </c>
    </row>
    <row r="33">
      <c r="A33" s="134" t="n">
        <v>46317</v>
      </c>
      <c r="B33" s="130" t="str">
        <f>CHOOSE(WEEKDAY(A33,2),"Lun","Mar","Mié","Jue","Vie","Sáb","Dom")</f>
        <v>Jue</v>
      </c>
      <c r="C33" s="13" t="str">
        <f>IF(COUNTIFS(FER_F,A33)&gt;0,"Feriado: "&amp;INDEX(FER_N,MATCH(A33,FER_F,0)),IF(WEEKDAY(A33,2)&gt;5,"Fin de semana",IF(INDEX(CFG_WDAYS,WEEKDAY(A33,2))="Sí","Laborable","No laborable")))</f>
        <v>Laborable</v>
      </c>
      <c r="D33" s="14">
        <f>SUMIFS(R_HD0,R_Emp,"Malcolm",R_Fecha,$A33)+SUMIFS(R_HD1,R_Emp,"Malcolm",R_D1,$A33)</f>
        <v>0</v>
      </c>
      <c r="E33" s="14">
        <f>SUMIFS(R_HD0,R_Emp,"proMX",R_Fecha,$A33)+SUMIFS(R_HD1,R_Emp,"proMX",R_D1,$A33)</f>
        <v>0</v>
      </c>
      <c r="F33" s="14">
        <f>D33+E33</f>
        <v>0</v>
      </c>
      <c r="G33" s="14">
        <f>SUMIFS(R_ND0,R_Fecha,$A33)+SUMIFS(R_ND1,R_D1,$A33)</f>
        <v>0</v>
      </c>
      <c r="H33" s="14">
        <f>SUMIFS(R_XD0,R_Fecha,$A33)+SUMIFS(R_XD1,R_D1,$A33)</f>
        <v>0</v>
      </c>
      <c r="I33" s="14">
        <f>SUMIFS(R_HD0,R_St,"Draft",R_Fecha,$A33)+SUMIFS(R_HD1,R_St,"Draft",R_D1,$A33)</f>
        <v>0</v>
      </c>
      <c r="J33" s="14">
        <f>SUMIFS(R_HD0,R_St,"Submitted",R_Fecha,$A33)+SUMIFS(R_HD1,R_St,"Submitted",R_D1,$A33)</f>
        <v>0</v>
      </c>
      <c r="K33" s="14">
        <f>SUMIFS(R_HD0,R_St,"Approved",R_Fecha,$A33)+SUMIFS(R_HD1,R_St,"Approved",R_D1,$A33)</f>
        <v>0</v>
      </c>
      <c r="L33" s="14">
        <f>IF(AND(INDEX(CFG_WDAYS,WEEKDAY(A33,2))="Sí",COUNTIFS(FER_F,A33,FER_OBJ,"Sí")=0),CFG_DH,0)</f>
        <v>8</v>
      </c>
      <c r="M33" s="14">
        <f>F33-L33</f>
        <v>-8</v>
      </c>
      <c r="N33" t="inlineStr">
        <is>
          <t>D</t>
        </is>
      </c>
    </row>
    <row r="34">
      <c r="A34" s="134" t="n">
        <v>46318</v>
      </c>
      <c r="B34" s="130" t="str">
        <f>CHOOSE(WEEKDAY(A34,2),"Lun","Mar","Mié","Jue","Vie","Sáb","Dom")</f>
        <v>Vie</v>
      </c>
      <c r="C34" s="13" t="str">
        <f>IF(COUNTIFS(FER_F,A34)&gt;0,"Feriado: "&amp;INDEX(FER_N,MATCH(A34,FER_F,0)),IF(WEEKDAY(A34,2)&gt;5,"Fin de semana",IF(INDEX(CFG_WDAYS,WEEKDAY(A34,2))="Sí","Laborable","No laborable")))</f>
        <v>Laborable</v>
      </c>
      <c r="D34" s="14">
        <f>SUMIFS(R_HD0,R_Emp,"Malcolm",R_Fecha,$A34)+SUMIFS(R_HD1,R_Emp,"Malcolm",R_D1,$A34)</f>
        <v>0</v>
      </c>
      <c r="E34" s="14">
        <f>SUMIFS(R_HD0,R_Emp,"proMX",R_Fecha,$A34)+SUMIFS(R_HD1,R_Emp,"proMX",R_D1,$A34)</f>
        <v>0</v>
      </c>
      <c r="F34" s="14">
        <f>D34+E34</f>
        <v>0</v>
      </c>
      <c r="G34" s="14">
        <f>SUMIFS(R_ND0,R_Fecha,$A34)+SUMIFS(R_ND1,R_D1,$A34)</f>
        <v>0</v>
      </c>
      <c r="H34" s="14">
        <f>SUMIFS(R_XD0,R_Fecha,$A34)+SUMIFS(R_XD1,R_D1,$A34)</f>
        <v>0</v>
      </c>
      <c r="I34" s="14">
        <f>SUMIFS(R_HD0,R_St,"Draft",R_Fecha,$A34)+SUMIFS(R_HD1,R_St,"Draft",R_D1,$A34)</f>
        <v>0</v>
      </c>
      <c r="J34" s="14">
        <f>SUMIFS(R_HD0,R_St,"Submitted",R_Fecha,$A34)+SUMIFS(R_HD1,R_St,"Submitted",R_D1,$A34)</f>
        <v>0</v>
      </c>
      <c r="K34" s="14">
        <f>SUMIFS(R_HD0,R_St,"Approved",R_Fecha,$A34)+SUMIFS(R_HD1,R_St,"Approved",R_D1,$A34)</f>
        <v>0</v>
      </c>
      <c r="L34" s="14">
        <f>IF(AND(INDEX(CFG_WDAYS,WEEKDAY(A34,2))="Sí",COUNTIFS(FER_F,A34,FER_OBJ,"Sí")=0),CFG_DH,0)</f>
        <v>8</v>
      </c>
      <c r="M34" s="14">
        <f>F34-L34</f>
        <v>-8</v>
      </c>
      <c r="N34" t="inlineStr">
        <is>
          <t>D</t>
        </is>
      </c>
    </row>
    <row r="35">
      <c r="A35" s="134" t="n">
        <v>46319</v>
      </c>
      <c r="B35" s="130" t="str">
        <f>CHOOSE(WEEKDAY(A35,2),"Lun","Mar","Mié","Jue","Vie","Sáb","Dom")</f>
        <v>Sáb</v>
      </c>
      <c r="C35" s="13" t="str">
        <f>IF(COUNTIFS(FER_F,A35)&gt;0,"Feriado: "&amp;INDEX(FER_N,MATCH(A35,FER_F,0)),IF(WEEKDAY(A35,2)&gt;5,"Fin de semana",IF(INDEX(CFG_WDAYS,WEEKDAY(A35,2))="Sí","Laborable","No laborable")))</f>
        <v>Fin de semana</v>
      </c>
      <c r="D35" s="14">
        <f>SUMIFS(R_HD0,R_Emp,"Malcolm",R_Fecha,$A35)+SUMIFS(R_HD1,R_Emp,"Malcolm",R_D1,$A35)</f>
        <v>0</v>
      </c>
      <c r="E35" s="14">
        <f>SUMIFS(R_HD0,R_Emp,"proMX",R_Fecha,$A35)+SUMIFS(R_HD1,R_Emp,"proMX",R_D1,$A35)</f>
        <v>0</v>
      </c>
      <c r="F35" s="14">
        <f>D35+E35</f>
        <v>0</v>
      </c>
      <c r="G35" s="14">
        <f>SUMIFS(R_ND0,R_Fecha,$A35)+SUMIFS(R_ND1,R_D1,$A35)</f>
        <v>0</v>
      </c>
      <c r="H35" s="14">
        <f>SUMIFS(R_XD0,R_Fecha,$A35)+SUMIFS(R_XD1,R_D1,$A35)</f>
        <v>0</v>
      </c>
      <c r="I35" s="14">
        <f>SUMIFS(R_HD0,R_St,"Draft",R_Fecha,$A35)+SUMIFS(R_HD1,R_St,"Draft",R_D1,$A35)</f>
        <v>0</v>
      </c>
      <c r="J35" s="14">
        <f>SUMIFS(R_HD0,R_St,"Submitted",R_Fecha,$A35)+SUMIFS(R_HD1,R_St,"Submitted",R_D1,$A35)</f>
        <v>0</v>
      </c>
      <c r="K35" s="14">
        <f>SUMIFS(R_HD0,R_St,"Approved",R_Fecha,$A35)+SUMIFS(R_HD1,R_St,"Approved",R_D1,$A35)</f>
        <v>0</v>
      </c>
      <c r="L35" s="14">
        <f>IF(AND(INDEX(CFG_WDAYS,WEEKDAY(A35,2))="Sí",COUNTIFS(FER_F,A35,FER_OBJ,"Sí")=0),CFG_DH,0)</f>
        <v>0</v>
      </c>
      <c r="M35" s="14">
        <f>F35-L35</f>
        <v>0</v>
      </c>
      <c r="N35" t="inlineStr">
        <is>
          <t>D</t>
        </is>
      </c>
    </row>
    <row r="36">
      <c r="A36" s="134" t="n">
        <v>46320</v>
      </c>
      <c r="B36" s="130" t="str">
        <f>CHOOSE(WEEKDAY(A36,2),"Lun","Mar","Mié","Jue","Vie","Sáb","Dom")</f>
        <v>Dom</v>
      </c>
      <c r="C36" s="13" t="str">
        <f>IF(COUNTIFS(FER_F,A36)&gt;0,"Feriado: "&amp;INDEX(FER_N,MATCH(A36,FER_F,0)),IF(WEEKDAY(A36,2)&gt;5,"Fin de semana",IF(INDEX(CFG_WDAYS,WEEKDAY(A36,2))="Sí","Laborable","No laborable")))</f>
        <v>Fin de semana</v>
      </c>
      <c r="D36" s="14">
        <f>SUMIFS(R_HD0,R_Emp,"Malcolm",R_Fecha,$A36)+SUMIFS(R_HD1,R_Emp,"Malcolm",R_D1,$A36)</f>
        <v>0</v>
      </c>
      <c r="E36" s="14">
        <f>SUMIFS(R_HD0,R_Emp,"proMX",R_Fecha,$A36)+SUMIFS(R_HD1,R_Emp,"proMX",R_D1,$A36)</f>
        <v>0</v>
      </c>
      <c r="F36" s="14">
        <f>D36+E36</f>
        <v>0</v>
      </c>
      <c r="G36" s="14">
        <f>SUMIFS(R_ND0,R_Fecha,$A36)+SUMIFS(R_ND1,R_D1,$A36)</f>
        <v>0</v>
      </c>
      <c r="H36" s="14">
        <f>SUMIFS(R_XD0,R_Fecha,$A36)+SUMIFS(R_XD1,R_D1,$A36)</f>
        <v>0</v>
      </c>
      <c r="I36" s="14">
        <f>SUMIFS(R_HD0,R_St,"Draft",R_Fecha,$A36)+SUMIFS(R_HD1,R_St,"Draft",R_D1,$A36)</f>
        <v>0</v>
      </c>
      <c r="J36" s="14">
        <f>SUMIFS(R_HD0,R_St,"Submitted",R_Fecha,$A36)+SUMIFS(R_HD1,R_St,"Submitted",R_D1,$A36)</f>
        <v>0</v>
      </c>
      <c r="K36" s="14">
        <f>SUMIFS(R_HD0,R_St,"Approved",R_Fecha,$A36)+SUMIFS(R_HD1,R_St,"Approved",R_D1,$A36)</f>
        <v>0</v>
      </c>
      <c r="L36" s="14">
        <f>IF(AND(INDEX(CFG_WDAYS,WEEKDAY(A36,2))="Sí",COUNTIFS(FER_F,A36,FER_OBJ,"Sí")=0),CFG_DH,0)</f>
        <v>0</v>
      </c>
      <c r="M36" s="14">
        <f>F36-L36</f>
        <v>0</v>
      </c>
      <c r="N36" t="inlineStr">
        <is>
          <t>D</t>
        </is>
      </c>
    </row>
    <row r="37">
      <c r="A37" s="188" t="inlineStr">
        <is>
          <t>Total semana Lun 19/10 – 25/10</t>
        </is>
      </c>
      <c r="B37" s="189" t="n"/>
      <c r="C37" s="189" t="n"/>
      <c r="D37" s="190">
        <f>SUM(D30:D36)</f>
        <v>0</v>
      </c>
      <c r="E37" s="190">
        <f>SUM(E30:E36)</f>
        <v>0</v>
      </c>
      <c r="F37" s="190">
        <f>SUM(F30:F36)</f>
        <v>0</v>
      </c>
      <c r="G37" s="190">
        <f>SUM(G30:G36)</f>
        <v>0</v>
      </c>
      <c r="H37" s="190">
        <f>SUM(H30:H36)</f>
        <v>0</v>
      </c>
      <c r="I37" s="190">
        <f>SUM(I30:I36)</f>
        <v>0</v>
      </c>
      <c r="J37" s="190">
        <f>SUM(J30:J36)</f>
        <v>0</v>
      </c>
      <c r="K37" s="190">
        <f>SUM(K30:K36)</f>
        <v>0</v>
      </c>
      <c r="L37" s="190">
        <f>MIN(CFG_WH,SUM(L30:L36))</f>
        <v>40</v>
      </c>
      <c r="M37" s="190">
        <f>F37-L37</f>
        <v>-40</v>
      </c>
      <c r="N37" t="inlineStr">
        <is>
          <t>S</t>
        </is>
      </c>
    </row>
    <row r="38">
      <c r="A38" s="134" t="n">
        <v>46321</v>
      </c>
      <c r="B38" s="130" t="str">
        <f>CHOOSE(WEEKDAY(A38,2),"Lun","Mar","Mié","Jue","Vie","Sáb","Dom")</f>
        <v>Lun</v>
      </c>
      <c r="C38" s="13" t="str">
        <f>IF(COUNTIFS(FER_F,A38)&gt;0,"Feriado: "&amp;INDEX(FER_N,MATCH(A38,FER_F,0)),IF(WEEKDAY(A38,2)&gt;5,"Fin de semana",IF(INDEX(CFG_WDAYS,WEEKDAY(A38,2))="Sí","Laborable","No laborable")))</f>
        <v>Laborable</v>
      </c>
      <c r="D38" s="14">
        <f>SUMIFS(R_HD0,R_Emp,"Malcolm",R_Fecha,$A38)+SUMIFS(R_HD1,R_Emp,"Malcolm",R_D1,$A38)</f>
        <v>0</v>
      </c>
      <c r="E38" s="14">
        <f>SUMIFS(R_HD0,R_Emp,"proMX",R_Fecha,$A38)+SUMIFS(R_HD1,R_Emp,"proMX",R_D1,$A38)</f>
        <v>0</v>
      </c>
      <c r="F38" s="14">
        <f>D38+E38</f>
        <v>0</v>
      </c>
      <c r="G38" s="14">
        <f>SUMIFS(R_ND0,R_Fecha,$A38)+SUMIFS(R_ND1,R_D1,$A38)</f>
        <v>0</v>
      </c>
      <c r="H38" s="14">
        <f>SUMIFS(R_XD0,R_Fecha,$A38)+SUMIFS(R_XD1,R_D1,$A38)</f>
        <v>0</v>
      </c>
      <c r="I38" s="14">
        <f>SUMIFS(R_HD0,R_St,"Draft",R_Fecha,$A38)+SUMIFS(R_HD1,R_St,"Draft",R_D1,$A38)</f>
        <v>0</v>
      </c>
      <c r="J38" s="14">
        <f>SUMIFS(R_HD0,R_St,"Submitted",R_Fecha,$A38)+SUMIFS(R_HD1,R_St,"Submitted",R_D1,$A38)</f>
        <v>0</v>
      </c>
      <c r="K38" s="14">
        <f>SUMIFS(R_HD0,R_St,"Approved",R_Fecha,$A38)+SUMIFS(R_HD1,R_St,"Approved",R_D1,$A38)</f>
        <v>0</v>
      </c>
      <c r="L38" s="14">
        <f>IF(AND(INDEX(CFG_WDAYS,WEEKDAY(A38,2))="Sí",COUNTIFS(FER_F,A38,FER_OBJ,"Sí")=0),CFG_DH,0)</f>
        <v>8</v>
      </c>
      <c r="M38" s="14">
        <f>F38-L38</f>
        <v>-8</v>
      </c>
      <c r="N38" t="inlineStr">
        <is>
          <t>D</t>
        </is>
      </c>
    </row>
    <row r="39">
      <c r="A39" s="134" t="n">
        <v>46322</v>
      </c>
      <c r="B39" s="130" t="str">
        <f>CHOOSE(WEEKDAY(A39,2),"Lun","Mar","Mié","Jue","Vie","Sáb","Dom")</f>
        <v>Mar</v>
      </c>
      <c r="C39" s="13" t="str">
        <f>IF(COUNTIFS(FER_F,A39)&gt;0,"Feriado: "&amp;INDEX(FER_N,MATCH(A39,FER_F,0)),IF(WEEKDAY(A39,2)&gt;5,"Fin de semana",IF(INDEX(CFG_WDAYS,WEEKDAY(A39,2))="Sí","Laborable","No laborable")))</f>
        <v>Laborable</v>
      </c>
      <c r="D39" s="14">
        <f>SUMIFS(R_HD0,R_Emp,"Malcolm",R_Fecha,$A39)+SUMIFS(R_HD1,R_Emp,"Malcolm",R_D1,$A39)</f>
        <v>0</v>
      </c>
      <c r="E39" s="14">
        <f>SUMIFS(R_HD0,R_Emp,"proMX",R_Fecha,$A39)+SUMIFS(R_HD1,R_Emp,"proMX",R_D1,$A39)</f>
        <v>0</v>
      </c>
      <c r="F39" s="14">
        <f>D39+E39</f>
        <v>0</v>
      </c>
      <c r="G39" s="14">
        <f>SUMIFS(R_ND0,R_Fecha,$A39)+SUMIFS(R_ND1,R_D1,$A39)</f>
        <v>0</v>
      </c>
      <c r="H39" s="14">
        <f>SUMIFS(R_XD0,R_Fecha,$A39)+SUMIFS(R_XD1,R_D1,$A39)</f>
        <v>0</v>
      </c>
      <c r="I39" s="14">
        <f>SUMIFS(R_HD0,R_St,"Draft",R_Fecha,$A39)+SUMIFS(R_HD1,R_St,"Draft",R_D1,$A39)</f>
        <v>0</v>
      </c>
      <c r="J39" s="14">
        <f>SUMIFS(R_HD0,R_St,"Submitted",R_Fecha,$A39)+SUMIFS(R_HD1,R_St,"Submitted",R_D1,$A39)</f>
        <v>0</v>
      </c>
      <c r="K39" s="14">
        <f>SUMIFS(R_HD0,R_St,"Approved",R_Fecha,$A39)+SUMIFS(R_HD1,R_St,"Approved",R_D1,$A39)</f>
        <v>0</v>
      </c>
      <c r="L39" s="14">
        <f>IF(AND(INDEX(CFG_WDAYS,WEEKDAY(A39,2))="Sí",COUNTIFS(FER_F,A39,FER_OBJ,"Sí")=0),CFG_DH,0)</f>
        <v>8</v>
      </c>
      <c r="M39" s="14">
        <f>F39-L39</f>
        <v>-8</v>
      </c>
      <c r="N39" t="inlineStr">
        <is>
          <t>D</t>
        </is>
      </c>
    </row>
    <row r="40">
      <c r="A40" s="134" t="n">
        <v>46323</v>
      </c>
      <c r="B40" s="130" t="str">
        <f>CHOOSE(WEEKDAY(A40,2),"Lun","Mar","Mié","Jue","Vie","Sáb","Dom")</f>
        <v>Mié</v>
      </c>
      <c r="C40" s="13" t="str">
        <f>IF(COUNTIFS(FER_F,A40)&gt;0,"Feriado: "&amp;INDEX(FER_N,MATCH(A40,FER_F,0)),IF(WEEKDAY(A40,2)&gt;5,"Fin de semana",IF(INDEX(CFG_WDAYS,WEEKDAY(A40,2))="Sí","Laborable","No laborable")))</f>
        <v>Laborable</v>
      </c>
      <c r="D40" s="14">
        <f>SUMIFS(R_HD0,R_Emp,"Malcolm",R_Fecha,$A40)+SUMIFS(R_HD1,R_Emp,"Malcolm",R_D1,$A40)</f>
        <v>0</v>
      </c>
      <c r="E40" s="14">
        <f>SUMIFS(R_HD0,R_Emp,"proMX",R_Fecha,$A40)+SUMIFS(R_HD1,R_Emp,"proMX",R_D1,$A40)</f>
        <v>0</v>
      </c>
      <c r="F40" s="14">
        <f>D40+E40</f>
        <v>0</v>
      </c>
      <c r="G40" s="14">
        <f>SUMIFS(R_ND0,R_Fecha,$A40)+SUMIFS(R_ND1,R_D1,$A40)</f>
        <v>0</v>
      </c>
      <c r="H40" s="14">
        <f>SUMIFS(R_XD0,R_Fecha,$A40)+SUMIFS(R_XD1,R_D1,$A40)</f>
        <v>0</v>
      </c>
      <c r="I40" s="14">
        <f>SUMIFS(R_HD0,R_St,"Draft",R_Fecha,$A40)+SUMIFS(R_HD1,R_St,"Draft",R_D1,$A40)</f>
        <v>0</v>
      </c>
      <c r="J40" s="14">
        <f>SUMIFS(R_HD0,R_St,"Submitted",R_Fecha,$A40)+SUMIFS(R_HD1,R_St,"Submitted",R_D1,$A40)</f>
        <v>0</v>
      </c>
      <c r="K40" s="14">
        <f>SUMIFS(R_HD0,R_St,"Approved",R_Fecha,$A40)+SUMIFS(R_HD1,R_St,"Approved",R_D1,$A40)</f>
        <v>0</v>
      </c>
      <c r="L40" s="14">
        <f>IF(AND(INDEX(CFG_WDAYS,WEEKDAY(A40,2))="Sí",COUNTIFS(FER_F,A40,FER_OBJ,"Sí")=0),CFG_DH,0)</f>
        <v>8</v>
      </c>
      <c r="M40" s="14">
        <f>F40-L40</f>
        <v>-8</v>
      </c>
      <c r="N40" t="inlineStr">
        <is>
          <t>D</t>
        </is>
      </c>
    </row>
    <row r="41">
      <c r="A41" s="134" t="n">
        <v>46324</v>
      </c>
      <c r="B41" s="130" t="str">
        <f>CHOOSE(WEEKDAY(A41,2),"Lun","Mar","Mié","Jue","Vie","Sáb","Dom")</f>
        <v>Jue</v>
      </c>
      <c r="C41" s="13" t="str">
        <f>IF(COUNTIFS(FER_F,A41)&gt;0,"Feriado: "&amp;INDEX(FER_N,MATCH(A41,FER_F,0)),IF(WEEKDAY(A41,2)&gt;5,"Fin de semana",IF(INDEX(CFG_WDAYS,WEEKDAY(A41,2))="Sí","Laborable","No laborable")))</f>
        <v>Laborable</v>
      </c>
      <c r="D41" s="14">
        <f>SUMIFS(R_HD0,R_Emp,"Malcolm",R_Fecha,$A41)+SUMIFS(R_HD1,R_Emp,"Malcolm",R_D1,$A41)</f>
        <v>0</v>
      </c>
      <c r="E41" s="14">
        <f>SUMIFS(R_HD0,R_Emp,"proMX",R_Fecha,$A41)+SUMIFS(R_HD1,R_Emp,"proMX",R_D1,$A41)</f>
        <v>0</v>
      </c>
      <c r="F41" s="14">
        <f>D41+E41</f>
        <v>0</v>
      </c>
      <c r="G41" s="14">
        <f>SUMIFS(R_ND0,R_Fecha,$A41)+SUMIFS(R_ND1,R_D1,$A41)</f>
        <v>0</v>
      </c>
      <c r="H41" s="14">
        <f>SUMIFS(R_XD0,R_Fecha,$A41)+SUMIFS(R_XD1,R_D1,$A41)</f>
        <v>0</v>
      </c>
      <c r="I41" s="14">
        <f>SUMIFS(R_HD0,R_St,"Draft",R_Fecha,$A41)+SUMIFS(R_HD1,R_St,"Draft",R_D1,$A41)</f>
        <v>0</v>
      </c>
      <c r="J41" s="14">
        <f>SUMIFS(R_HD0,R_St,"Submitted",R_Fecha,$A41)+SUMIFS(R_HD1,R_St,"Submitted",R_D1,$A41)</f>
        <v>0</v>
      </c>
      <c r="K41" s="14">
        <f>SUMIFS(R_HD0,R_St,"Approved",R_Fecha,$A41)+SUMIFS(R_HD1,R_St,"Approved",R_D1,$A41)</f>
        <v>0</v>
      </c>
      <c r="L41" s="14">
        <f>IF(AND(INDEX(CFG_WDAYS,WEEKDAY(A41,2))="Sí",COUNTIFS(FER_F,A41,FER_OBJ,"Sí")=0),CFG_DH,0)</f>
        <v>8</v>
      </c>
      <c r="M41" s="14">
        <f>F41-L41</f>
        <v>-8</v>
      </c>
      <c r="N41" t="inlineStr">
        <is>
          <t>D</t>
        </is>
      </c>
    </row>
    <row r="42">
      <c r="A42" s="134" t="n">
        <v>46325</v>
      </c>
      <c r="B42" s="130" t="str">
        <f>CHOOSE(WEEKDAY(A42,2),"Lun","Mar","Mié","Jue","Vie","Sáb","Dom")</f>
        <v>Vie</v>
      </c>
      <c r="C42" s="13" t="str">
        <f>IF(COUNTIFS(FER_F,A42)&gt;0,"Feriado: "&amp;INDEX(FER_N,MATCH(A42,FER_F,0)),IF(WEEKDAY(A42,2)&gt;5,"Fin de semana",IF(INDEX(CFG_WDAYS,WEEKDAY(A42,2))="Sí","Laborable","No laborable")))</f>
        <v>Laborable</v>
      </c>
      <c r="D42" s="14">
        <f>SUMIFS(R_HD0,R_Emp,"Malcolm",R_Fecha,$A42)+SUMIFS(R_HD1,R_Emp,"Malcolm",R_D1,$A42)</f>
        <v>0</v>
      </c>
      <c r="E42" s="14">
        <f>SUMIFS(R_HD0,R_Emp,"proMX",R_Fecha,$A42)+SUMIFS(R_HD1,R_Emp,"proMX",R_D1,$A42)</f>
        <v>0</v>
      </c>
      <c r="F42" s="14">
        <f>D42+E42</f>
        <v>0</v>
      </c>
      <c r="G42" s="14">
        <f>SUMIFS(R_ND0,R_Fecha,$A42)+SUMIFS(R_ND1,R_D1,$A42)</f>
        <v>0</v>
      </c>
      <c r="H42" s="14">
        <f>SUMIFS(R_XD0,R_Fecha,$A42)+SUMIFS(R_XD1,R_D1,$A42)</f>
        <v>0</v>
      </c>
      <c r="I42" s="14">
        <f>SUMIFS(R_HD0,R_St,"Draft",R_Fecha,$A42)+SUMIFS(R_HD1,R_St,"Draft",R_D1,$A42)</f>
        <v>0</v>
      </c>
      <c r="J42" s="14">
        <f>SUMIFS(R_HD0,R_St,"Submitted",R_Fecha,$A42)+SUMIFS(R_HD1,R_St,"Submitted",R_D1,$A42)</f>
        <v>0</v>
      </c>
      <c r="K42" s="14">
        <f>SUMIFS(R_HD0,R_St,"Approved",R_Fecha,$A42)+SUMIFS(R_HD1,R_St,"Approved",R_D1,$A42)</f>
        <v>0</v>
      </c>
      <c r="L42" s="14">
        <f>IF(AND(INDEX(CFG_WDAYS,WEEKDAY(A42,2))="Sí",COUNTIFS(FER_F,A42,FER_OBJ,"Sí")=0),CFG_DH,0)</f>
        <v>8</v>
      </c>
      <c r="M42" s="14">
        <f>F42-L42</f>
        <v>-8</v>
      </c>
      <c r="N42" t="inlineStr">
        <is>
          <t>D</t>
        </is>
      </c>
    </row>
    <row r="43">
      <c r="A43" s="134" t="n">
        <v>46326</v>
      </c>
      <c r="B43" s="130" t="str">
        <f>CHOOSE(WEEKDAY(A43,2),"Lun","Mar","Mié","Jue","Vie","Sáb","Dom")</f>
        <v>Sáb</v>
      </c>
      <c r="C43" s="13" t="str">
        <f>IF(COUNTIFS(FER_F,A43)&gt;0,"Feriado: "&amp;INDEX(FER_N,MATCH(A43,FER_F,0)),IF(WEEKDAY(A43,2)&gt;5,"Fin de semana",IF(INDEX(CFG_WDAYS,WEEKDAY(A43,2))="Sí","Laborable","No laborable")))</f>
        <v>Fin de semana</v>
      </c>
      <c r="D43" s="14">
        <f>SUMIFS(R_HD0,R_Emp,"Malcolm",R_Fecha,$A43)+SUMIFS(R_HD1,R_Emp,"Malcolm",R_D1,$A43)</f>
        <v>0</v>
      </c>
      <c r="E43" s="14">
        <f>SUMIFS(R_HD0,R_Emp,"proMX",R_Fecha,$A43)+SUMIFS(R_HD1,R_Emp,"proMX",R_D1,$A43)</f>
        <v>0</v>
      </c>
      <c r="F43" s="14">
        <f>D43+E43</f>
        <v>0</v>
      </c>
      <c r="G43" s="14">
        <f>SUMIFS(R_ND0,R_Fecha,$A43)+SUMIFS(R_ND1,R_D1,$A43)</f>
        <v>0</v>
      </c>
      <c r="H43" s="14">
        <f>SUMIFS(R_XD0,R_Fecha,$A43)+SUMIFS(R_XD1,R_D1,$A43)</f>
        <v>0</v>
      </c>
      <c r="I43" s="14">
        <f>SUMIFS(R_HD0,R_St,"Draft",R_Fecha,$A43)+SUMIFS(R_HD1,R_St,"Draft",R_D1,$A43)</f>
        <v>0</v>
      </c>
      <c r="J43" s="14">
        <f>SUMIFS(R_HD0,R_St,"Submitted",R_Fecha,$A43)+SUMIFS(R_HD1,R_St,"Submitted",R_D1,$A43)</f>
        <v>0</v>
      </c>
      <c r="K43" s="14">
        <f>SUMIFS(R_HD0,R_St,"Approved",R_Fecha,$A43)+SUMIFS(R_HD1,R_St,"Approved",R_D1,$A43)</f>
        <v>0</v>
      </c>
      <c r="L43" s="14">
        <f>IF(AND(INDEX(CFG_WDAYS,WEEKDAY(A43,2))="Sí",COUNTIFS(FER_F,A43,FER_OBJ,"Sí")=0),CFG_DH,0)</f>
        <v>0</v>
      </c>
      <c r="M43" s="14">
        <f>F43-L43</f>
        <v>0</v>
      </c>
      <c r="N43" t="inlineStr">
        <is>
          <t>D</t>
        </is>
      </c>
    </row>
    <row r="44">
      <c r="A44" s="188" t="inlineStr">
        <is>
          <t>Total semana Lun 26/10 – 31/10</t>
        </is>
      </c>
      <c r="B44" s="189" t="n"/>
      <c r="C44" s="189" t="n"/>
      <c r="D44" s="190">
        <f>SUM(D38:D43)</f>
        <v>0</v>
      </c>
      <c r="E44" s="190">
        <f>SUM(E38:E43)</f>
        <v>0</v>
      </c>
      <c r="F44" s="190">
        <f>SUM(F38:F43)</f>
        <v>0</v>
      </c>
      <c r="G44" s="190">
        <f>SUM(G38:G43)</f>
        <v>0</v>
      </c>
      <c r="H44" s="190">
        <f>SUM(H38:H43)</f>
        <v>0</v>
      </c>
      <c r="I44" s="190">
        <f>SUM(I38:I43)</f>
        <v>0</v>
      </c>
      <c r="J44" s="190">
        <f>SUM(J38:J43)</f>
        <v>0</v>
      </c>
      <c r="K44" s="190">
        <f>SUM(K38:K43)</f>
        <v>0</v>
      </c>
      <c r="L44" s="190">
        <f>MIN(CFG_WH,SUM(L38:L43))</f>
        <v>40</v>
      </c>
      <c r="M44" s="190">
        <f>F44-L44</f>
        <v>-40</v>
      </c>
      <c r="N44" t="inlineStr">
        <is>
          <t>S</t>
        </is>
      </c>
    </row>
    <row r="45" ht="24" customHeight="1">
      <c r="A45" s="191" t="inlineStr">
        <is>
          <t>TOTAL OCTUBRE 2026</t>
        </is>
      </c>
      <c r="B45" s="191" t="n"/>
      <c r="C45" s="191" t="n"/>
      <c r="D45" s="192">
        <f>SUMIFS(D9:D44,$N$9:$N$44,"S")</f>
        <v>6.333333</v>
      </c>
      <c r="E45" s="192">
        <f>SUMIFS(E9:E44,$N$9:$N$44,"S")</f>
        <v>10.5</v>
      </c>
      <c r="F45" s="192">
        <f>SUMIFS(F9:F44,$N$9:$N$44,"S")</f>
        <v>16.833333</v>
      </c>
      <c r="G45" s="192">
        <f>SUMIFS(G9:G44,$N$9:$N$44,"S")</f>
        <v>14.833333</v>
      </c>
      <c r="H45" s="192">
        <f>SUMIFS(H9:H44,$N$9:$N$44,"S")</f>
        <v>2</v>
      </c>
      <c r="I45" s="192">
        <f>SUMIFS(I9:I44,$N$9:$N$44,"S")</f>
        <v>1.5</v>
      </c>
      <c r="J45" s="192">
        <f>SUMIFS(J9:J44,$N$9:$N$44,"S")</f>
        <v>3</v>
      </c>
      <c r="K45" s="192">
        <f>SUMIFS(K9:K44,$N$9:$N$44,"S")</f>
        <v>6</v>
      </c>
      <c r="L45" s="192">
        <f>SUMIFS(L9:L44,$N$9:$N$44,"S")</f>
        <v>168</v>
      </c>
      <c r="M45" s="192">
        <f>F45-L45</f>
        <v>-151.166667</v>
      </c>
      <c r="N45" t="inlineStr">
        <is>
          <t>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13:C13"/>
    <mergeCell ref="A44:C44"/>
    <mergeCell ref="A45:C45"/>
    <mergeCell ref="A37:C37"/>
    <mergeCell ref="A21:C21"/>
    <mergeCell ref="A29:C29"/>
  </mergeCells>
  <conditionalFormatting sqref="A9:M44">
    <cfRule type="expression" priority="1" dxfId="13" stopIfTrue="0">
      <formula>=AND($N9="D",LEFT($C9,7)="Feriado")</formula>
    </cfRule>
    <cfRule type="expression" priority="2" dxfId="12" stopIfTrue="0">
      <formula>=AND($N9="D",OR($C9="Fin de semana",$C9="No laborable"))</formula>
    </cfRule>
  </conditionalFormatting>
  <conditionalFormatting sqref="M9:M45">
    <cfRule type="expression" priority="3" dxfId="26" stopIfTrue="0">
      <formula>=AND($N9&lt;&gt;"",M9&lt;0)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17A2B8"/>
    <outlinePr summaryBelow="1" summaryRight="1"/>
    <pageSetUpPr fitToPage="1"/>
  </sheetPr>
  <dimension ref="A1:N45"/>
  <sheetViews>
    <sheetView showGridLines="0" zoomScale="9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2" customWidth="1" min="13" max="13"/>
    <col hidden="1" width="4" customWidth="1" min="14" max="14"/>
  </cols>
  <sheetData>
    <row r="1" ht="34" customHeight="1">
      <c r="A1" s="1" t="n"/>
      <c r="B1" s="2" t="inlineStr">
        <is>
          <t>📅  Noviembre 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1" t="n"/>
      <c r="B2" s="3" t="inlineStr">
        <is>
          <t>Resumen diario automático (desde Registro de Horas). Horas repartidas por día real si una tarea cruza medianoche.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B4" s="175" t="inlineStr">
        <is>
          <t>Totales del mes</t>
        </is>
      </c>
      <c r="D4" s="176" t="inlineStr">
        <is>
          <t>Malcolm</t>
        </is>
      </c>
      <c r="E4" s="177" t="inlineStr">
        <is>
          <t>proMX</t>
        </is>
      </c>
      <c r="F4" s="178" t="inlineStr">
        <is>
          <t>Normales</t>
        </is>
      </c>
      <c r="G4" s="179" t="inlineStr">
        <is>
          <t>Extras</t>
        </is>
      </c>
      <c r="H4" s="180" t="inlineStr">
        <is>
          <t>Approved</t>
        </is>
      </c>
      <c r="I4" s="181" t="inlineStr">
        <is>
          <t>Objetivo</t>
        </is>
      </c>
    </row>
    <row r="5" ht="30" customHeight="1">
      <c r="D5" s="182">
        <f>D45</f>
        <v>0</v>
      </c>
      <c r="E5" s="183">
        <f>E45</f>
        <v>0</v>
      </c>
      <c r="F5" s="184">
        <f>G45</f>
        <v>0</v>
      </c>
      <c r="G5" s="185">
        <f>H45</f>
        <v>0</v>
      </c>
      <c r="H5" s="186">
        <f>K45</f>
        <v>0</v>
      </c>
      <c r="I5" s="187">
        <f>L45</f>
        <v>152</v>
      </c>
    </row>
    <row r="8" ht="32" customHeight="1">
      <c r="A8" s="69" t="inlineStr">
        <is>
          <t>Fecha</t>
        </is>
      </c>
      <c r="B8" s="69" t="inlineStr">
        <is>
          <t>Día</t>
        </is>
      </c>
      <c r="C8" s="69" t="inlineStr">
        <is>
          <t>Tipo de día</t>
        </is>
      </c>
      <c r="D8" s="69" t="inlineStr">
        <is>
          <t>Malcolm (h)</t>
        </is>
      </c>
      <c r="E8" s="69" t="inlineStr">
        <is>
          <t>proMX (h)</t>
        </is>
      </c>
      <c r="F8" s="69" t="inlineStr">
        <is>
          <t>Total imputado (h)</t>
        </is>
      </c>
      <c r="G8" s="69" t="inlineStr">
        <is>
          <t>Horas normales</t>
        </is>
      </c>
      <c r="H8" s="69" t="inlineStr">
        <is>
          <t>Horas extras</t>
        </is>
      </c>
      <c r="I8" s="69" t="inlineStr">
        <is>
          <t>Draft (h)</t>
        </is>
      </c>
      <c r="J8" s="69" t="inlineStr">
        <is>
          <t>Submitted (h)</t>
        </is>
      </c>
      <c r="K8" s="69" t="inlineStr">
        <is>
          <t>Approved (h)</t>
        </is>
      </c>
      <c r="L8" s="69" t="inlineStr">
        <is>
          <t>Horas objetivo</t>
        </is>
      </c>
      <c r="M8" s="69" t="inlineStr">
        <is>
          <t>Diferencia vs objetivo</t>
        </is>
      </c>
      <c r="N8" s="69" t="inlineStr">
        <is>
          <t>t</t>
        </is>
      </c>
    </row>
    <row r="9">
      <c r="A9" s="134" t="n">
        <v>46327</v>
      </c>
      <c r="B9" s="130" t="str">
        <f>CHOOSE(WEEKDAY(A9,2),"Lun","Mar","Mié","Jue","Vie","Sáb","Dom")</f>
        <v>Dom</v>
      </c>
      <c r="C9" s="13" t="str">
        <f>IF(COUNTIFS(FER_F,A9)&gt;0,"Feriado: "&amp;INDEX(FER_N,MATCH(A9,FER_F,0)),IF(WEEKDAY(A9,2)&gt;5,"Fin de semana",IF(INDEX(CFG_WDAYS,WEEKDAY(A9,2))="Sí","Laborable","No laborable")))</f>
        <v>Fin de semana</v>
      </c>
      <c r="D9" s="14">
        <f>SUMIFS(R_HD0,R_Emp,"Malcolm",R_Fecha,$A9)+SUMIFS(R_HD1,R_Emp,"Malcolm",R_D1,$A9)</f>
        <v>0</v>
      </c>
      <c r="E9" s="14">
        <f>SUMIFS(R_HD0,R_Emp,"proMX",R_Fecha,$A9)+SUMIFS(R_HD1,R_Emp,"proMX",R_D1,$A9)</f>
        <v>0</v>
      </c>
      <c r="F9" s="14">
        <f>D9+E9</f>
        <v>0</v>
      </c>
      <c r="G9" s="14">
        <f>SUMIFS(R_ND0,R_Fecha,$A9)+SUMIFS(R_ND1,R_D1,$A9)</f>
        <v>0</v>
      </c>
      <c r="H9" s="14">
        <f>SUMIFS(R_XD0,R_Fecha,$A9)+SUMIFS(R_XD1,R_D1,$A9)</f>
        <v>0</v>
      </c>
      <c r="I9" s="14">
        <f>SUMIFS(R_HD0,R_St,"Draft",R_Fecha,$A9)+SUMIFS(R_HD1,R_St,"Draft",R_D1,$A9)</f>
        <v>0</v>
      </c>
      <c r="J9" s="14">
        <f>SUMIFS(R_HD0,R_St,"Submitted",R_Fecha,$A9)+SUMIFS(R_HD1,R_St,"Submitted",R_D1,$A9)</f>
        <v>0</v>
      </c>
      <c r="K9" s="14">
        <f>SUMIFS(R_HD0,R_St,"Approved",R_Fecha,$A9)+SUMIFS(R_HD1,R_St,"Approved",R_D1,$A9)</f>
        <v>0</v>
      </c>
      <c r="L9" s="14">
        <f>IF(AND(INDEX(CFG_WDAYS,WEEKDAY(A9,2))="Sí",COUNTIFS(FER_F,A9,FER_OBJ,"Sí")=0),CFG_DH,0)</f>
        <v>0</v>
      </c>
      <c r="M9" s="14">
        <f>F9-L9</f>
        <v>0</v>
      </c>
      <c r="N9" t="inlineStr">
        <is>
          <t>D</t>
        </is>
      </c>
    </row>
    <row r="10">
      <c r="A10" s="188" t="inlineStr">
        <is>
          <t>Total semana Dom 01/11 – 01/11</t>
        </is>
      </c>
      <c r="B10" s="189" t="n"/>
      <c r="C10" s="189" t="n"/>
      <c r="D10" s="190">
        <f>SUM(D9:D9)</f>
        <v>0</v>
      </c>
      <c r="E10" s="190">
        <f>SUM(E9:E9)</f>
        <v>0</v>
      </c>
      <c r="F10" s="190">
        <f>SUM(F9:F9)</f>
        <v>0</v>
      </c>
      <c r="G10" s="190">
        <f>SUM(G9:G9)</f>
        <v>0</v>
      </c>
      <c r="H10" s="190">
        <f>SUM(H9:H9)</f>
        <v>0</v>
      </c>
      <c r="I10" s="190">
        <f>SUM(I9:I9)</f>
        <v>0</v>
      </c>
      <c r="J10" s="190">
        <f>SUM(J9:J9)</f>
        <v>0</v>
      </c>
      <c r="K10" s="190">
        <f>SUM(K9:K9)</f>
        <v>0</v>
      </c>
      <c r="L10" s="190">
        <f>MIN(CFG_WH,SUM(L9:L9))</f>
        <v>0</v>
      </c>
      <c r="M10" s="190">
        <f>F10-L10</f>
        <v>0</v>
      </c>
      <c r="N10" t="inlineStr">
        <is>
          <t>S</t>
        </is>
      </c>
    </row>
    <row r="11">
      <c r="A11" s="134" t="n">
        <v>46328</v>
      </c>
      <c r="B11" s="130" t="str">
        <f>CHOOSE(WEEKDAY(A11,2),"Lun","Mar","Mié","Jue","Vie","Sáb","Dom")</f>
        <v>Lun</v>
      </c>
      <c r="C11" s="13" t="str">
        <f>IF(COUNTIFS(FER_F,A11)&gt;0,"Feriado: "&amp;INDEX(FER_N,MATCH(A11,FER_F,0)),IF(WEEKDAY(A11,2)&gt;5,"Fin de semana",IF(INDEX(CFG_WDAYS,WEEKDAY(A11,2))="Sí","Laborable","No laborable")))</f>
        <v>Laborable</v>
      </c>
      <c r="D11" s="14">
        <f>SUMIFS(R_HD0,R_Emp,"Malcolm",R_Fecha,$A11)+SUMIFS(R_HD1,R_Emp,"Malcolm",R_D1,$A11)</f>
        <v>0</v>
      </c>
      <c r="E11" s="14">
        <f>SUMIFS(R_HD0,R_Emp,"proMX",R_Fecha,$A11)+SUMIFS(R_HD1,R_Emp,"proMX",R_D1,$A11)</f>
        <v>0</v>
      </c>
      <c r="F11" s="14">
        <f>D11+E11</f>
        <v>0</v>
      </c>
      <c r="G11" s="14">
        <f>SUMIFS(R_ND0,R_Fecha,$A11)+SUMIFS(R_ND1,R_D1,$A11)</f>
        <v>0</v>
      </c>
      <c r="H11" s="14">
        <f>SUMIFS(R_XD0,R_Fecha,$A11)+SUMIFS(R_XD1,R_D1,$A11)</f>
        <v>0</v>
      </c>
      <c r="I11" s="14">
        <f>SUMIFS(R_HD0,R_St,"Draft",R_Fecha,$A11)+SUMIFS(R_HD1,R_St,"Draft",R_D1,$A11)</f>
        <v>0</v>
      </c>
      <c r="J11" s="14">
        <f>SUMIFS(R_HD0,R_St,"Submitted",R_Fecha,$A11)+SUMIFS(R_HD1,R_St,"Submitted",R_D1,$A11)</f>
        <v>0</v>
      </c>
      <c r="K11" s="14">
        <f>SUMIFS(R_HD0,R_St,"Approved",R_Fecha,$A11)+SUMIFS(R_HD1,R_St,"Approved",R_D1,$A11)</f>
        <v>0</v>
      </c>
      <c r="L11" s="14">
        <f>IF(AND(INDEX(CFG_WDAYS,WEEKDAY(A11,2))="Sí",COUNTIFS(FER_F,A11,FER_OBJ,"Sí")=0),CFG_DH,0)</f>
        <v>8</v>
      </c>
      <c r="M11" s="14">
        <f>F11-L11</f>
        <v>-8</v>
      </c>
      <c r="N11" t="inlineStr">
        <is>
          <t>D</t>
        </is>
      </c>
    </row>
    <row r="12">
      <c r="A12" s="134" t="n">
        <v>46329</v>
      </c>
      <c r="B12" s="130" t="str">
        <f>CHOOSE(WEEKDAY(A12,2),"Lun","Mar","Mié","Jue","Vie","Sáb","Dom")</f>
        <v>Mar</v>
      </c>
      <c r="C12" s="13" t="str">
        <f>IF(COUNTIFS(FER_F,A12)&gt;0,"Feriado: "&amp;INDEX(FER_N,MATCH(A12,FER_F,0)),IF(WEEKDAY(A12,2)&gt;5,"Fin de semana",IF(INDEX(CFG_WDAYS,WEEKDAY(A12,2))="Sí","Laborable","No laborable")))</f>
        <v>Laborable</v>
      </c>
      <c r="D12" s="14">
        <f>SUMIFS(R_HD0,R_Emp,"Malcolm",R_Fecha,$A12)+SUMIFS(R_HD1,R_Emp,"Malcolm",R_D1,$A12)</f>
        <v>0</v>
      </c>
      <c r="E12" s="14">
        <f>SUMIFS(R_HD0,R_Emp,"proMX",R_Fecha,$A12)+SUMIFS(R_HD1,R_Emp,"proMX",R_D1,$A12)</f>
        <v>0</v>
      </c>
      <c r="F12" s="14">
        <f>D12+E12</f>
        <v>0</v>
      </c>
      <c r="G12" s="14">
        <f>SUMIFS(R_ND0,R_Fecha,$A12)+SUMIFS(R_ND1,R_D1,$A12)</f>
        <v>0</v>
      </c>
      <c r="H12" s="14">
        <f>SUMIFS(R_XD0,R_Fecha,$A12)+SUMIFS(R_XD1,R_D1,$A12)</f>
        <v>0</v>
      </c>
      <c r="I12" s="14">
        <f>SUMIFS(R_HD0,R_St,"Draft",R_Fecha,$A12)+SUMIFS(R_HD1,R_St,"Draft",R_D1,$A12)</f>
        <v>0</v>
      </c>
      <c r="J12" s="14">
        <f>SUMIFS(R_HD0,R_St,"Submitted",R_Fecha,$A12)+SUMIFS(R_HD1,R_St,"Submitted",R_D1,$A12)</f>
        <v>0</v>
      </c>
      <c r="K12" s="14">
        <f>SUMIFS(R_HD0,R_St,"Approved",R_Fecha,$A12)+SUMIFS(R_HD1,R_St,"Approved",R_D1,$A12)</f>
        <v>0</v>
      </c>
      <c r="L12" s="14">
        <f>IF(AND(INDEX(CFG_WDAYS,WEEKDAY(A12,2))="Sí",COUNTIFS(FER_F,A12,FER_OBJ,"Sí")=0),CFG_DH,0)</f>
        <v>8</v>
      </c>
      <c r="M12" s="14">
        <f>F12-L12</f>
        <v>-8</v>
      </c>
      <c r="N12" t="inlineStr">
        <is>
          <t>D</t>
        </is>
      </c>
    </row>
    <row r="13">
      <c r="A13" s="134" t="n">
        <v>46330</v>
      </c>
      <c r="B13" s="130" t="str">
        <f>CHOOSE(WEEKDAY(A13,2),"Lun","Mar","Mié","Jue","Vie","Sáb","Dom")</f>
        <v>Mié</v>
      </c>
      <c r="C13" s="13" t="str">
        <f>IF(COUNTIFS(FER_F,A13)&gt;0,"Feriado: "&amp;INDEX(FER_N,MATCH(A13,FER_F,0)),IF(WEEKDAY(A13,2)&gt;5,"Fin de semana",IF(INDEX(CFG_WDAYS,WEEKDAY(A13,2))="Sí","Laborable","No laborable")))</f>
        <v>Laborable</v>
      </c>
      <c r="D13" s="14">
        <f>SUMIFS(R_HD0,R_Emp,"Malcolm",R_Fecha,$A13)+SUMIFS(R_HD1,R_Emp,"Malcolm",R_D1,$A13)</f>
        <v>0</v>
      </c>
      <c r="E13" s="14">
        <f>SUMIFS(R_HD0,R_Emp,"proMX",R_Fecha,$A13)+SUMIFS(R_HD1,R_Emp,"proMX",R_D1,$A13)</f>
        <v>0</v>
      </c>
      <c r="F13" s="14">
        <f>D13+E13</f>
        <v>0</v>
      </c>
      <c r="G13" s="14">
        <f>SUMIFS(R_ND0,R_Fecha,$A13)+SUMIFS(R_ND1,R_D1,$A13)</f>
        <v>0</v>
      </c>
      <c r="H13" s="14">
        <f>SUMIFS(R_XD0,R_Fecha,$A13)+SUMIFS(R_XD1,R_D1,$A13)</f>
        <v>0</v>
      </c>
      <c r="I13" s="14">
        <f>SUMIFS(R_HD0,R_St,"Draft",R_Fecha,$A13)+SUMIFS(R_HD1,R_St,"Draft",R_D1,$A13)</f>
        <v>0</v>
      </c>
      <c r="J13" s="14">
        <f>SUMIFS(R_HD0,R_St,"Submitted",R_Fecha,$A13)+SUMIFS(R_HD1,R_St,"Submitted",R_D1,$A13)</f>
        <v>0</v>
      </c>
      <c r="K13" s="14">
        <f>SUMIFS(R_HD0,R_St,"Approved",R_Fecha,$A13)+SUMIFS(R_HD1,R_St,"Approved",R_D1,$A13)</f>
        <v>0</v>
      </c>
      <c r="L13" s="14">
        <f>IF(AND(INDEX(CFG_WDAYS,WEEKDAY(A13,2))="Sí",COUNTIFS(FER_F,A13,FER_OBJ,"Sí")=0),CFG_DH,0)</f>
        <v>8</v>
      </c>
      <c r="M13" s="14">
        <f>F13-L13</f>
        <v>-8</v>
      </c>
      <c r="N13" t="inlineStr">
        <is>
          <t>D</t>
        </is>
      </c>
    </row>
    <row r="14">
      <c r="A14" s="134" t="n">
        <v>46331</v>
      </c>
      <c r="B14" s="130" t="str">
        <f>CHOOSE(WEEKDAY(A14,2),"Lun","Mar","Mié","Jue","Vie","Sáb","Dom")</f>
        <v>Jue</v>
      </c>
      <c r="C14" s="13" t="str">
        <f>IF(COUNTIFS(FER_F,A14)&gt;0,"Feriado: "&amp;INDEX(FER_N,MATCH(A14,FER_F,0)),IF(WEEKDAY(A14,2)&gt;5,"Fin de semana",IF(INDEX(CFG_WDAYS,WEEKDAY(A14,2))="Sí","Laborable","No laborable")))</f>
        <v>Laborable</v>
      </c>
      <c r="D14" s="14">
        <f>SUMIFS(R_HD0,R_Emp,"Malcolm",R_Fecha,$A14)+SUMIFS(R_HD1,R_Emp,"Malcolm",R_D1,$A14)</f>
        <v>0</v>
      </c>
      <c r="E14" s="14">
        <f>SUMIFS(R_HD0,R_Emp,"proMX",R_Fecha,$A14)+SUMIFS(R_HD1,R_Emp,"proMX",R_D1,$A14)</f>
        <v>0</v>
      </c>
      <c r="F14" s="14">
        <f>D14+E14</f>
        <v>0</v>
      </c>
      <c r="G14" s="14">
        <f>SUMIFS(R_ND0,R_Fecha,$A14)+SUMIFS(R_ND1,R_D1,$A14)</f>
        <v>0</v>
      </c>
      <c r="H14" s="14">
        <f>SUMIFS(R_XD0,R_Fecha,$A14)+SUMIFS(R_XD1,R_D1,$A14)</f>
        <v>0</v>
      </c>
      <c r="I14" s="14">
        <f>SUMIFS(R_HD0,R_St,"Draft",R_Fecha,$A14)+SUMIFS(R_HD1,R_St,"Draft",R_D1,$A14)</f>
        <v>0</v>
      </c>
      <c r="J14" s="14">
        <f>SUMIFS(R_HD0,R_St,"Submitted",R_Fecha,$A14)+SUMIFS(R_HD1,R_St,"Submitted",R_D1,$A14)</f>
        <v>0</v>
      </c>
      <c r="K14" s="14">
        <f>SUMIFS(R_HD0,R_St,"Approved",R_Fecha,$A14)+SUMIFS(R_HD1,R_St,"Approved",R_D1,$A14)</f>
        <v>0</v>
      </c>
      <c r="L14" s="14">
        <f>IF(AND(INDEX(CFG_WDAYS,WEEKDAY(A14,2))="Sí",COUNTIFS(FER_F,A14,FER_OBJ,"Sí")=0),CFG_DH,0)</f>
        <v>8</v>
      </c>
      <c r="M14" s="14">
        <f>F14-L14</f>
        <v>-8</v>
      </c>
      <c r="N14" t="inlineStr">
        <is>
          <t>D</t>
        </is>
      </c>
    </row>
    <row r="15">
      <c r="A15" s="134" t="n">
        <v>46332</v>
      </c>
      <c r="B15" s="130" t="str">
        <f>CHOOSE(WEEKDAY(A15,2),"Lun","Mar","Mié","Jue","Vie","Sáb","Dom")</f>
        <v>Vie</v>
      </c>
      <c r="C15" s="13" t="str">
        <f>IF(COUNTIFS(FER_F,A15)&gt;0,"Feriado: "&amp;INDEX(FER_N,MATCH(A15,FER_F,0)),IF(WEEKDAY(A15,2)&gt;5,"Fin de semana",IF(INDEX(CFG_WDAYS,WEEKDAY(A15,2))="Sí","Laborable","No laborable")))</f>
        <v>Laborable</v>
      </c>
      <c r="D15" s="14">
        <f>SUMIFS(R_HD0,R_Emp,"Malcolm",R_Fecha,$A15)+SUMIFS(R_HD1,R_Emp,"Malcolm",R_D1,$A15)</f>
        <v>0</v>
      </c>
      <c r="E15" s="14">
        <f>SUMIFS(R_HD0,R_Emp,"proMX",R_Fecha,$A15)+SUMIFS(R_HD1,R_Emp,"proMX",R_D1,$A15)</f>
        <v>0</v>
      </c>
      <c r="F15" s="14">
        <f>D15+E15</f>
        <v>0</v>
      </c>
      <c r="G15" s="14">
        <f>SUMIFS(R_ND0,R_Fecha,$A15)+SUMIFS(R_ND1,R_D1,$A15)</f>
        <v>0</v>
      </c>
      <c r="H15" s="14">
        <f>SUMIFS(R_XD0,R_Fecha,$A15)+SUMIFS(R_XD1,R_D1,$A15)</f>
        <v>0</v>
      </c>
      <c r="I15" s="14">
        <f>SUMIFS(R_HD0,R_St,"Draft",R_Fecha,$A15)+SUMIFS(R_HD1,R_St,"Draft",R_D1,$A15)</f>
        <v>0</v>
      </c>
      <c r="J15" s="14">
        <f>SUMIFS(R_HD0,R_St,"Submitted",R_Fecha,$A15)+SUMIFS(R_HD1,R_St,"Submitted",R_D1,$A15)</f>
        <v>0</v>
      </c>
      <c r="K15" s="14">
        <f>SUMIFS(R_HD0,R_St,"Approved",R_Fecha,$A15)+SUMIFS(R_HD1,R_St,"Approved",R_D1,$A15)</f>
        <v>0</v>
      </c>
      <c r="L15" s="14">
        <f>IF(AND(INDEX(CFG_WDAYS,WEEKDAY(A15,2))="Sí",COUNTIFS(FER_F,A15,FER_OBJ,"Sí")=0),CFG_DH,0)</f>
        <v>8</v>
      </c>
      <c r="M15" s="14">
        <f>F15-L15</f>
        <v>-8</v>
      </c>
      <c r="N15" t="inlineStr">
        <is>
          <t>D</t>
        </is>
      </c>
    </row>
    <row r="16">
      <c r="A16" s="134" t="n">
        <v>46333</v>
      </c>
      <c r="B16" s="130" t="str">
        <f>CHOOSE(WEEKDAY(A16,2),"Lun","Mar","Mié","Jue","Vie","Sáb","Dom")</f>
        <v>Sáb</v>
      </c>
      <c r="C16" s="13" t="str">
        <f>IF(COUNTIFS(FER_F,A16)&gt;0,"Feriado: "&amp;INDEX(FER_N,MATCH(A16,FER_F,0)),IF(WEEKDAY(A16,2)&gt;5,"Fin de semana",IF(INDEX(CFG_WDAYS,WEEKDAY(A16,2))="Sí","Laborable","No laborable")))</f>
        <v>Fin de semana</v>
      </c>
      <c r="D16" s="14">
        <f>SUMIFS(R_HD0,R_Emp,"Malcolm",R_Fecha,$A16)+SUMIFS(R_HD1,R_Emp,"Malcolm",R_D1,$A16)</f>
        <v>0</v>
      </c>
      <c r="E16" s="14">
        <f>SUMIFS(R_HD0,R_Emp,"proMX",R_Fecha,$A16)+SUMIFS(R_HD1,R_Emp,"proMX",R_D1,$A16)</f>
        <v>0</v>
      </c>
      <c r="F16" s="14">
        <f>D16+E16</f>
        <v>0</v>
      </c>
      <c r="G16" s="14">
        <f>SUMIFS(R_ND0,R_Fecha,$A16)+SUMIFS(R_ND1,R_D1,$A16)</f>
        <v>0</v>
      </c>
      <c r="H16" s="14">
        <f>SUMIFS(R_XD0,R_Fecha,$A16)+SUMIFS(R_XD1,R_D1,$A16)</f>
        <v>0</v>
      </c>
      <c r="I16" s="14">
        <f>SUMIFS(R_HD0,R_St,"Draft",R_Fecha,$A16)+SUMIFS(R_HD1,R_St,"Draft",R_D1,$A16)</f>
        <v>0</v>
      </c>
      <c r="J16" s="14">
        <f>SUMIFS(R_HD0,R_St,"Submitted",R_Fecha,$A16)+SUMIFS(R_HD1,R_St,"Submitted",R_D1,$A16)</f>
        <v>0</v>
      </c>
      <c r="K16" s="14">
        <f>SUMIFS(R_HD0,R_St,"Approved",R_Fecha,$A16)+SUMIFS(R_HD1,R_St,"Approved",R_D1,$A16)</f>
        <v>0</v>
      </c>
      <c r="L16" s="14">
        <f>IF(AND(INDEX(CFG_WDAYS,WEEKDAY(A16,2))="Sí",COUNTIFS(FER_F,A16,FER_OBJ,"Sí")=0),CFG_DH,0)</f>
        <v>0</v>
      </c>
      <c r="M16" s="14">
        <f>F16-L16</f>
        <v>0</v>
      </c>
      <c r="N16" t="inlineStr">
        <is>
          <t>D</t>
        </is>
      </c>
    </row>
    <row r="17">
      <c r="A17" s="134" t="n">
        <v>46334</v>
      </c>
      <c r="B17" s="130" t="str">
        <f>CHOOSE(WEEKDAY(A17,2),"Lun","Mar","Mié","Jue","Vie","Sáb","Dom")</f>
        <v>Dom</v>
      </c>
      <c r="C17" s="13" t="str">
        <f>IF(COUNTIFS(FER_F,A17)&gt;0,"Feriado: "&amp;INDEX(FER_N,MATCH(A17,FER_F,0)),IF(WEEKDAY(A17,2)&gt;5,"Fin de semana",IF(INDEX(CFG_WDAYS,WEEKDAY(A17,2))="Sí","Laborable","No laborable")))</f>
        <v>Fin de semana</v>
      </c>
      <c r="D17" s="14">
        <f>SUMIFS(R_HD0,R_Emp,"Malcolm",R_Fecha,$A17)+SUMIFS(R_HD1,R_Emp,"Malcolm",R_D1,$A17)</f>
        <v>0</v>
      </c>
      <c r="E17" s="14">
        <f>SUMIFS(R_HD0,R_Emp,"proMX",R_Fecha,$A17)+SUMIFS(R_HD1,R_Emp,"proMX",R_D1,$A17)</f>
        <v>0</v>
      </c>
      <c r="F17" s="14">
        <f>D17+E17</f>
        <v>0</v>
      </c>
      <c r="G17" s="14">
        <f>SUMIFS(R_ND0,R_Fecha,$A17)+SUMIFS(R_ND1,R_D1,$A17)</f>
        <v>0</v>
      </c>
      <c r="H17" s="14">
        <f>SUMIFS(R_XD0,R_Fecha,$A17)+SUMIFS(R_XD1,R_D1,$A17)</f>
        <v>0</v>
      </c>
      <c r="I17" s="14">
        <f>SUMIFS(R_HD0,R_St,"Draft",R_Fecha,$A17)+SUMIFS(R_HD1,R_St,"Draft",R_D1,$A17)</f>
        <v>0</v>
      </c>
      <c r="J17" s="14">
        <f>SUMIFS(R_HD0,R_St,"Submitted",R_Fecha,$A17)+SUMIFS(R_HD1,R_St,"Submitted",R_D1,$A17)</f>
        <v>0</v>
      </c>
      <c r="K17" s="14">
        <f>SUMIFS(R_HD0,R_St,"Approved",R_Fecha,$A17)+SUMIFS(R_HD1,R_St,"Approved",R_D1,$A17)</f>
        <v>0</v>
      </c>
      <c r="L17" s="14">
        <f>IF(AND(INDEX(CFG_WDAYS,WEEKDAY(A17,2))="Sí",COUNTIFS(FER_F,A17,FER_OBJ,"Sí")=0),CFG_DH,0)</f>
        <v>0</v>
      </c>
      <c r="M17" s="14">
        <f>F17-L17</f>
        <v>0</v>
      </c>
      <c r="N17" t="inlineStr">
        <is>
          <t>D</t>
        </is>
      </c>
    </row>
    <row r="18">
      <c r="A18" s="188" t="inlineStr">
        <is>
          <t>Total semana Lun 02/11 – 08/11</t>
        </is>
      </c>
      <c r="B18" s="189" t="n"/>
      <c r="C18" s="189" t="n"/>
      <c r="D18" s="190">
        <f>SUM(D11:D17)</f>
        <v>0</v>
      </c>
      <c r="E18" s="190">
        <f>SUM(E11:E17)</f>
        <v>0</v>
      </c>
      <c r="F18" s="190">
        <f>SUM(F11:F17)</f>
        <v>0</v>
      </c>
      <c r="G18" s="190">
        <f>SUM(G11:G17)</f>
        <v>0</v>
      </c>
      <c r="H18" s="190">
        <f>SUM(H11:H17)</f>
        <v>0</v>
      </c>
      <c r="I18" s="190">
        <f>SUM(I11:I17)</f>
        <v>0</v>
      </c>
      <c r="J18" s="190">
        <f>SUM(J11:J17)</f>
        <v>0</v>
      </c>
      <c r="K18" s="190">
        <f>SUM(K11:K17)</f>
        <v>0</v>
      </c>
      <c r="L18" s="190">
        <f>MIN(CFG_WH,SUM(L11:L17))</f>
        <v>40</v>
      </c>
      <c r="M18" s="190">
        <f>F18-L18</f>
        <v>-40</v>
      </c>
      <c r="N18" t="inlineStr">
        <is>
          <t>S</t>
        </is>
      </c>
    </row>
    <row r="19">
      <c r="A19" s="134" t="n">
        <v>46335</v>
      </c>
      <c r="B19" s="130" t="str">
        <f>CHOOSE(WEEKDAY(A19,2),"Lun","Mar","Mié","Jue","Vie","Sáb","Dom")</f>
        <v>Lun</v>
      </c>
      <c r="C19" s="13" t="str">
        <f>IF(COUNTIFS(FER_F,A19)&gt;0,"Feriado: "&amp;INDEX(FER_N,MATCH(A19,FER_F,0)),IF(WEEKDAY(A19,2)&gt;5,"Fin de semana",IF(INDEX(CFG_WDAYS,WEEKDAY(A19,2))="Sí","Laborable","No laborable")))</f>
        <v>Laborable</v>
      </c>
      <c r="D19" s="14">
        <f>SUMIFS(R_HD0,R_Emp,"Malcolm",R_Fecha,$A19)+SUMIFS(R_HD1,R_Emp,"Malcolm",R_D1,$A19)</f>
        <v>0</v>
      </c>
      <c r="E19" s="14">
        <f>SUMIFS(R_HD0,R_Emp,"proMX",R_Fecha,$A19)+SUMIFS(R_HD1,R_Emp,"proMX",R_D1,$A19)</f>
        <v>0</v>
      </c>
      <c r="F19" s="14">
        <f>D19+E19</f>
        <v>0</v>
      </c>
      <c r="G19" s="14">
        <f>SUMIFS(R_ND0,R_Fecha,$A19)+SUMIFS(R_ND1,R_D1,$A19)</f>
        <v>0</v>
      </c>
      <c r="H19" s="14">
        <f>SUMIFS(R_XD0,R_Fecha,$A19)+SUMIFS(R_XD1,R_D1,$A19)</f>
        <v>0</v>
      </c>
      <c r="I19" s="14">
        <f>SUMIFS(R_HD0,R_St,"Draft",R_Fecha,$A19)+SUMIFS(R_HD1,R_St,"Draft",R_D1,$A19)</f>
        <v>0</v>
      </c>
      <c r="J19" s="14">
        <f>SUMIFS(R_HD0,R_St,"Submitted",R_Fecha,$A19)+SUMIFS(R_HD1,R_St,"Submitted",R_D1,$A19)</f>
        <v>0</v>
      </c>
      <c r="K19" s="14">
        <f>SUMIFS(R_HD0,R_St,"Approved",R_Fecha,$A19)+SUMIFS(R_HD1,R_St,"Approved",R_D1,$A19)</f>
        <v>0</v>
      </c>
      <c r="L19" s="14">
        <f>IF(AND(INDEX(CFG_WDAYS,WEEKDAY(A19,2))="Sí",COUNTIFS(FER_F,A19,FER_OBJ,"Sí")=0),CFG_DH,0)</f>
        <v>8</v>
      </c>
      <c r="M19" s="14">
        <f>F19-L19</f>
        <v>-8</v>
      </c>
      <c r="N19" t="inlineStr">
        <is>
          <t>D</t>
        </is>
      </c>
    </row>
    <row r="20">
      <c r="A20" s="134" t="n">
        <v>46336</v>
      </c>
      <c r="B20" s="130" t="str">
        <f>CHOOSE(WEEKDAY(A20,2),"Lun","Mar","Mié","Jue","Vie","Sáb","Dom")</f>
        <v>Mar</v>
      </c>
      <c r="C20" s="13" t="str">
        <f>IF(COUNTIFS(FER_F,A20)&gt;0,"Feriado: "&amp;INDEX(FER_N,MATCH(A20,FER_F,0)),IF(WEEKDAY(A20,2)&gt;5,"Fin de semana",IF(INDEX(CFG_WDAYS,WEEKDAY(A20,2))="Sí","Laborable","No laborable")))</f>
        <v>Laborable</v>
      </c>
      <c r="D20" s="14">
        <f>SUMIFS(R_HD0,R_Emp,"Malcolm",R_Fecha,$A20)+SUMIFS(R_HD1,R_Emp,"Malcolm",R_D1,$A20)</f>
        <v>0</v>
      </c>
      <c r="E20" s="14">
        <f>SUMIFS(R_HD0,R_Emp,"proMX",R_Fecha,$A20)+SUMIFS(R_HD1,R_Emp,"proMX",R_D1,$A20)</f>
        <v>0</v>
      </c>
      <c r="F20" s="14">
        <f>D20+E20</f>
        <v>0</v>
      </c>
      <c r="G20" s="14">
        <f>SUMIFS(R_ND0,R_Fecha,$A20)+SUMIFS(R_ND1,R_D1,$A20)</f>
        <v>0</v>
      </c>
      <c r="H20" s="14">
        <f>SUMIFS(R_XD0,R_Fecha,$A20)+SUMIFS(R_XD1,R_D1,$A20)</f>
        <v>0</v>
      </c>
      <c r="I20" s="14">
        <f>SUMIFS(R_HD0,R_St,"Draft",R_Fecha,$A20)+SUMIFS(R_HD1,R_St,"Draft",R_D1,$A20)</f>
        <v>0</v>
      </c>
      <c r="J20" s="14">
        <f>SUMIFS(R_HD0,R_St,"Submitted",R_Fecha,$A20)+SUMIFS(R_HD1,R_St,"Submitted",R_D1,$A20)</f>
        <v>0</v>
      </c>
      <c r="K20" s="14">
        <f>SUMIFS(R_HD0,R_St,"Approved",R_Fecha,$A20)+SUMIFS(R_HD1,R_St,"Approved",R_D1,$A20)</f>
        <v>0</v>
      </c>
      <c r="L20" s="14">
        <f>IF(AND(INDEX(CFG_WDAYS,WEEKDAY(A20,2))="Sí",COUNTIFS(FER_F,A20,FER_OBJ,"Sí")=0),CFG_DH,0)</f>
        <v>8</v>
      </c>
      <c r="M20" s="14">
        <f>F20-L20</f>
        <v>-8</v>
      </c>
      <c r="N20" t="inlineStr">
        <is>
          <t>D</t>
        </is>
      </c>
    </row>
    <row r="21">
      <c r="A21" s="134" t="n">
        <v>46337</v>
      </c>
      <c r="B21" s="130" t="str">
        <f>CHOOSE(WEEKDAY(A21,2),"Lun","Mar","Mié","Jue","Vie","Sáb","Dom")</f>
        <v>Mié</v>
      </c>
      <c r="C21" s="13" t="str">
        <f>IF(COUNTIFS(FER_F,A21)&gt;0,"Feriado: "&amp;INDEX(FER_N,MATCH(A21,FER_F,0)),IF(WEEKDAY(A21,2)&gt;5,"Fin de semana",IF(INDEX(CFG_WDAYS,WEEKDAY(A21,2))="Sí","Laborable","No laborable")))</f>
        <v>Feriado: Veterans Day</v>
      </c>
      <c r="D21" s="14">
        <f>SUMIFS(R_HD0,R_Emp,"Malcolm",R_Fecha,$A21)+SUMIFS(R_HD1,R_Emp,"Malcolm",R_D1,$A21)</f>
        <v>0</v>
      </c>
      <c r="E21" s="14">
        <f>SUMIFS(R_HD0,R_Emp,"proMX",R_Fecha,$A21)+SUMIFS(R_HD1,R_Emp,"proMX",R_D1,$A21)</f>
        <v>0</v>
      </c>
      <c r="F21" s="14">
        <f>D21+E21</f>
        <v>0</v>
      </c>
      <c r="G21" s="14">
        <f>SUMIFS(R_ND0,R_Fecha,$A21)+SUMIFS(R_ND1,R_D1,$A21)</f>
        <v>0</v>
      </c>
      <c r="H21" s="14">
        <f>SUMIFS(R_XD0,R_Fecha,$A21)+SUMIFS(R_XD1,R_D1,$A21)</f>
        <v>0</v>
      </c>
      <c r="I21" s="14">
        <f>SUMIFS(R_HD0,R_St,"Draft",R_Fecha,$A21)+SUMIFS(R_HD1,R_St,"Draft",R_D1,$A21)</f>
        <v>0</v>
      </c>
      <c r="J21" s="14">
        <f>SUMIFS(R_HD0,R_St,"Submitted",R_Fecha,$A21)+SUMIFS(R_HD1,R_St,"Submitted",R_D1,$A21)</f>
        <v>0</v>
      </c>
      <c r="K21" s="14">
        <f>SUMIFS(R_HD0,R_St,"Approved",R_Fecha,$A21)+SUMIFS(R_HD1,R_St,"Approved",R_D1,$A21)</f>
        <v>0</v>
      </c>
      <c r="L21" s="14">
        <f>IF(AND(INDEX(CFG_WDAYS,WEEKDAY(A21,2))="Sí",COUNTIFS(FER_F,A21,FER_OBJ,"Sí")=0),CFG_DH,0)</f>
        <v>0</v>
      </c>
      <c r="M21" s="14">
        <f>F21-L21</f>
        <v>0</v>
      </c>
      <c r="N21" t="inlineStr">
        <is>
          <t>D</t>
        </is>
      </c>
    </row>
    <row r="22">
      <c r="A22" s="134" t="n">
        <v>46338</v>
      </c>
      <c r="B22" s="130" t="str">
        <f>CHOOSE(WEEKDAY(A22,2),"Lun","Mar","Mié","Jue","Vie","Sáb","Dom")</f>
        <v>Jue</v>
      </c>
      <c r="C22" s="13" t="str">
        <f>IF(COUNTIFS(FER_F,A22)&gt;0,"Feriado: "&amp;INDEX(FER_N,MATCH(A22,FER_F,0)),IF(WEEKDAY(A22,2)&gt;5,"Fin de semana",IF(INDEX(CFG_WDAYS,WEEKDAY(A22,2))="Sí","Laborable","No laborable")))</f>
        <v>Laborable</v>
      </c>
      <c r="D22" s="14">
        <f>SUMIFS(R_HD0,R_Emp,"Malcolm",R_Fecha,$A22)+SUMIFS(R_HD1,R_Emp,"Malcolm",R_D1,$A22)</f>
        <v>0</v>
      </c>
      <c r="E22" s="14">
        <f>SUMIFS(R_HD0,R_Emp,"proMX",R_Fecha,$A22)+SUMIFS(R_HD1,R_Emp,"proMX",R_D1,$A22)</f>
        <v>0</v>
      </c>
      <c r="F22" s="14">
        <f>D22+E22</f>
        <v>0</v>
      </c>
      <c r="G22" s="14">
        <f>SUMIFS(R_ND0,R_Fecha,$A22)+SUMIFS(R_ND1,R_D1,$A22)</f>
        <v>0</v>
      </c>
      <c r="H22" s="14">
        <f>SUMIFS(R_XD0,R_Fecha,$A22)+SUMIFS(R_XD1,R_D1,$A22)</f>
        <v>0</v>
      </c>
      <c r="I22" s="14">
        <f>SUMIFS(R_HD0,R_St,"Draft",R_Fecha,$A22)+SUMIFS(R_HD1,R_St,"Draft",R_D1,$A22)</f>
        <v>0</v>
      </c>
      <c r="J22" s="14">
        <f>SUMIFS(R_HD0,R_St,"Submitted",R_Fecha,$A22)+SUMIFS(R_HD1,R_St,"Submitted",R_D1,$A22)</f>
        <v>0</v>
      </c>
      <c r="K22" s="14">
        <f>SUMIFS(R_HD0,R_St,"Approved",R_Fecha,$A22)+SUMIFS(R_HD1,R_St,"Approved",R_D1,$A22)</f>
        <v>0</v>
      </c>
      <c r="L22" s="14">
        <f>IF(AND(INDEX(CFG_WDAYS,WEEKDAY(A22,2))="Sí",COUNTIFS(FER_F,A22,FER_OBJ,"Sí")=0),CFG_DH,0)</f>
        <v>8</v>
      </c>
      <c r="M22" s="14">
        <f>F22-L22</f>
        <v>-8</v>
      </c>
      <c r="N22" t="inlineStr">
        <is>
          <t>D</t>
        </is>
      </c>
    </row>
    <row r="23">
      <c r="A23" s="134" t="n">
        <v>46339</v>
      </c>
      <c r="B23" s="130" t="str">
        <f>CHOOSE(WEEKDAY(A23,2),"Lun","Mar","Mié","Jue","Vie","Sáb","Dom")</f>
        <v>Vie</v>
      </c>
      <c r="C23" s="13" t="str">
        <f>IF(COUNTIFS(FER_F,A23)&gt;0,"Feriado: "&amp;INDEX(FER_N,MATCH(A23,FER_F,0)),IF(WEEKDAY(A23,2)&gt;5,"Fin de semana",IF(INDEX(CFG_WDAYS,WEEKDAY(A23,2))="Sí","Laborable","No laborable")))</f>
        <v>Laborable</v>
      </c>
      <c r="D23" s="14">
        <f>SUMIFS(R_HD0,R_Emp,"Malcolm",R_Fecha,$A23)+SUMIFS(R_HD1,R_Emp,"Malcolm",R_D1,$A23)</f>
        <v>0</v>
      </c>
      <c r="E23" s="14">
        <f>SUMIFS(R_HD0,R_Emp,"proMX",R_Fecha,$A23)+SUMIFS(R_HD1,R_Emp,"proMX",R_D1,$A23)</f>
        <v>0</v>
      </c>
      <c r="F23" s="14">
        <f>D23+E23</f>
        <v>0</v>
      </c>
      <c r="G23" s="14">
        <f>SUMIFS(R_ND0,R_Fecha,$A23)+SUMIFS(R_ND1,R_D1,$A23)</f>
        <v>0</v>
      </c>
      <c r="H23" s="14">
        <f>SUMIFS(R_XD0,R_Fecha,$A23)+SUMIFS(R_XD1,R_D1,$A23)</f>
        <v>0</v>
      </c>
      <c r="I23" s="14">
        <f>SUMIFS(R_HD0,R_St,"Draft",R_Fecha,$A23)+SUMIFS(R_HD1,R_St,"Draft",R_D1,$A23)</f>
        <v>0</v>
      </c>
      <c r="J23" s="14">
        <f>SUMIFS(R_HD0,R_St,"Submitted",R_Fecha,$A23)+SUMIFS(R_HD1,R_St,"Submitted",R_D1,$A23)</f>
        <v>0</v>
      </c>
      <c r="K23" s="14">
        <f>SUMIFS(R_HD0,R_St,"Approved",R_Fecha,$A23)+SUMIFS(R_HD1,R_St,"Approved",R_D1,$A23)</f>
        <v>0</v>
      </c>
      <c r="L23" s="14">
        <f>IF(AND(INDEX(CFG_WDAYS,WEEKDAY(A23,2))="Sí",COUNTIFS(FER_F,A23,FER_OBJ,"Sí")=0),CFG_DH,0)</f>
        <v>8</v>
      </c>
      <c r="M23" s="14">
        <f>F23-L23</f>
        <v>-8</v>
      </c>
      <c r="N23" t="inlineStr">
        <is>
          <t>D</t>
        </is>
      </c>
    </row>
    <row r="24">
      <c r="A24" s="134" t="n">
        <v>46340</v>
      </c>
      <c r="B24" s="130" t="str">
        <f>CHOOSE(WEEKDAY(A24,2),"Lun","Mar","Mié","Jue","Vie","Sáb","Dom")</f>
        <v>Sáb</v>
      </c>
      <c r="C24" s="13" t="str">
        <f>IF(COUNTIFS(FER_F,A24)&gt;0,"Feriado: "&amp;INDEX(FER_N,MATCH(A24,FER_F,0)),IF(WEEKDAY(A24,2)&gt;5,"Fin de semana",IF(INDEX(CFG_WDAYS,WEEKDAY(A24,2))="Sí","Laborable","No laborable")))</f>
        <v>Fin de semana</v>
      </c>
      <c r="D24" s="14">
        <f>SUMIFS(R_HD0,R_Emp,"Malcolm",R_Fecha,$A24)+SUMIFS(R_HD1,R_Emp,"Malcolm",R_D1,$A24)</f>
        <v>0</v>
      </c>
      <c r="E24" s="14">
        <f>SUMIFS(R_HD0,R_Emp,"proMX",R_Fecha,$A24)+SUMIFS(R_HD1,R_Emp,"proMX",R_D1,$A24)</f>
        <v>0</v>
      </c>
      <c r="F24" s="14">
        <f>D24+E24</f>
        <v>0</v>
      </c>
      <c r="G24" s="14">
        <f>SUMIFS(R_ND0,R_Fecha,$A24)+SUMIFS(R_ND1,R_D1,$A24)</f>
        <v>0</v>
      </c>
      <c r="H24" s="14">
        <f>SUMIFS(R_XD0,R_Fecha,$A24)+SUMIFS(R_XD1,R_D1,$A24)</f>
        <v>0</v>
      </c>
      <c r="I24" s="14">
        <f>SUMIFS(R_HD0,R_St,"Draft",R_Fecha,$A24)+SUMIFS(R_HD1,R_St,"Draft",R_D1,$A24)</f>
        <v>0</v>
      </c>
      <c r="J24" s="14">
        <f>SUMIFS(R_HD0,R_St,"Submitted",R_Fecha,$A24)+SUMIFS(R_HD1,R_St,"Submitted",R_D1,$A24)</f>
        <v>0</v>
      </c>
      <c r="K24" s="14">
        <f>SUMIFS(R_HD0,R_St,"Approved",R_Fecha,$A24)+SUMIFS(R_HD1,R_St,"Approved",R_D1,$A24)</f>
        <v>0</v>
      </c>
      <c r="L24" s="14">
        <f>IF(AND(INDEX(CFG_WDAYS,WEEKDAY(A24,2))="Sí",COUNTIFS(FER_F,A24,FER_OBJ,"Sí")=0),CFG_DH,0)</f>
        <v>0</v>
      </c>
      <c r="M24" s="14">
        <f>F24-L24</f>
        <v>0</v>
      </c>
      <c r="N24" t="inlineStr">
        <is>
          <t>D</t>
        </is>
      </c>
    </row>
    <row r="25">
      <c r="A25" s="134" t="n">
        <v>46341</v>
      </c>
      <c r="B25" s="130" t="str">
        <f>CHOOSE(WEEKDAY(A25,2),"Lun","Mar","Mié","Jue","Vie","Sáb","Dom")</f>
        <v>Dom</v>
      </c>
      <c r="C25" s="13" t="str">
        <f>IF(COUNTIFS(FER_F,A25)&gt;0,"Feriado: "&amp;INDEX(FER_N,MATCH(A25,FER_F,0)),IF(WEEKDAY(A25,2)&gt;5,"Fin de semana",IF(INDEX(CFG_WDAYS,WEEKDAY(A25,2))="Sí","Laborable","No laborable")))</f>
        <v>Fin de semana</v>
      </c>
      <c r="D25" s="14">
        <f>SUMIFS(R_HD0,R_Emp,"Malcolm",R_Fecha,$A25)+SUMIFS(R_HD1,R_Emp,"Malcolm",R_D1,$A25)</f>
        <v>0</v>
      </c>
      <c r="E25" s="14">
        <f>SUMIFS(R_HD0,R_Emp,"proMX",R_Fecha,$A25)+SUMIFS(R_HD1,R_Emp,"proMX",R_D1,$A25)</f>
        <v>0</v>
      </c>
      <c r="F25" s="14">
        <f>D25+E25</f>
        <v>0</v>
      </c>
      <c r="G25" s="14">
        <f>SUMIFS(R_ND0,R_Fecha,$A25)+SUMIFS(R_ND1,R_D1,$A25)</f>
        <v>0</v>
      </c>
      <c r="H25" s="14">
        <f>SUMIFS(R_XD0,R_Fecha,$A25)+SUMIFS(R_XD1,R_D1,$A25)</f>
        <v>0</v>
      </c>
      <c r="I25" s="14">
        <f>SUMIFS(R_HD0,R_St,"Draft",R_Fecha,$A25)+SUMIFS(R_HD1,R_St,"Draft",R_D1,$A25)</f>
        <v>0</v>
      </c>
      <c r="J25" s="14">
        <f>SUMIFS(R_HD0,R_St,"Submitted",R_Fecha,$A25)+SUMIFS(R_HD1,R_St,"Submitted",R_D1,$A25)</f>
        <v>0</v>
      </c>
      <c r="K25" s="14">
        <f>SUMIFS(R_HD0,R_St,"Approved",R_Fecha,$A25)+SUMIFS(R_HD1,R_St,"Approved",R_D1,$A25)</f>
        <v>0</v>
      </c>
      <c r="L25" s="14">
        <f>IF(AND(INDEX(CFG_WDAYS,WEEKDAY(A25,2))="Sí",COUNTIFS(FER_F,A25,FER_OBJ,"Sí")=0),CFG_DH,0)</f>
        <v>0</v>
      </c>
      <c r="M25" s="14">
        <f>F25-L25</f>
        <v>0</v>
      </c>
      <c r="N25" t="inlineStr">
        <is>
          <t>D</t>
        </is>
      </c>
    </row>
    <row r="26">
      <c r="A26" s="188" t="inlineStr">
        <is>
          <t>Total semana Lun 09/11 – 15/11</t>
        </is>
      </c>
      <c r="B26" s="189" t="n"/>
      <c r="C26" s="189" t="n"/>
      <c r="D26" s="190">
        <f>SUM(D19:D25)</f>
        <v>0</v>
      </c>
      <c r="E26" s="190">
        <f>SUM(E19:E25)</f>
        <v>0</v>
      </c>
      <c r="F26" s="190">
        <f>SUM(F19:F25)</f>
        <v>0</v>
      </c>
      <c r="G26" s="190">
        <f>SUM(G19:G25)</f>
        <v>0</v>
      </c>
      <c r="H26" s="190">
        <f>SUM(H19:H25)</f>
        <v>0</v>
      </c>
      <c r="I26" s="190">
        <f>SUM(I19:I25)</f>
        <v>0</v>
      </c>
      <c r="J26" s="190">
        <f>SUM(J19:J25)</f>
        <v>0</v>
      </c>
      <c r="K26" s="190">
        <f>SUM(K19:K25)</f>
        <v>0</v>
      </c>
      <c r="L26" s="190">
        <f>MIN(CFG_WH,SUM(L19:L25))</f>
        <v>32</v>
      </c>
      <c r="M26" s="190">
        <f>F26-L26</f>
        <v>-32</v>
      </c>
      <c r="N26" t="inlineStr">
        <is>
          <t>S</t>
        </is>
      </c>
    </row>
    <row r="27">
      <c r="A27" s="134" t="n">
        <v>46342</v>
      </c>
      <c r="B27" s="130" t="str">
        <f>CHOOSE(WEEKDAY(A27,2),"Lun","Mar","Mié","Jue","Vie","Sáb","Dom")</f>
        <v>Lun</v>
      </c>
      <c r="C27" s="13" t="str">
        <f>IF(COUNTIFS(FER_F,A27)&gt;0,"Feriado: "&amp;INDEX(FER_N,MATCH(A27,FER_F,0)),IF(WEEKDAY(A27,2)&gt;5,"Fin de semana",IF(INDEX(CFG_WDAYS,WEEKDAY(A27,2))="Sí","Laborable","No laborable")))</f>
        <v>Laborable</v>
      </c>
      <c r="D27" s="14">
        <f>SUMIFS(R_HD0,R_Emp,"Malcolm",R_Fecha,$A27)+SUMIFS(R_HD1,R_Emp,"Malcolm",R_D1,$A27)</f>
        <v>0</v>
      </c>
      <c r="E27" s="14">
        <f>SUMIFS(R_HD0,R_Emp,"proMX",R_Fecha,$A27)+SUMIFS(R_HD1,R_Emp,"proMX",R_D1,$A27)</f>
        <v>0</v>
      </c>
      <c r="F27" s="14">
        <f>D27+E27</f>
        <v>0</v>
      </c>
      <c r="G27" s="14">
        <f>SUMIFS(R_ND0,R_Fecha,$A27)+SUMIFS(R_ND1,R_D1,$A27)</f>
        <v>0</v>
      </c>
      <c r="H27" s="14">
        <f>SUMIFS(R_XD0,R_Fecha,$A27)+SUMIFS(R_XD1,R_D1,$A27)</f>
        <v>0</v>
      </c>
      <c r="I27" s="14">
        <f>SUMIFS(R_HD0,R_St,"Draft",R_Fecha,$A27)+SUMIFS(R_HD1,R_St,"Draft",R_D1,$A27)</f>
        <v>0</v>
      </c>
      <c r="J27" s="14">
        <f>SUMIFS(R_HD0,R_St,"Submitted",R_Fecha,$A27)+SUMIFS(R_HD1,R_St,"Submitted",R_D1,$A27)</f>
        <v>0</v>
      </c>
      <c r="K27" s="14">
        <f>SUMIFS(R_HD0,R_St,"Approved",R_Fecha,$A27)+SUMIFS(R_HD1,R_St,"Approved",R_D1,$A27)</f>
        <v>0</v>
      </c>
      <c r="L27" s="14">
        <f>IF(AND(INDEX(CFG_WDAYS,WEEKDAY(A27,2))="Sí",COUNTIFS(FER_F,A27,FER_OBJ,"Sí")=0),CFG_DH,0)</f>
        <v>8</v>
      </c>
      <c r="M27" s="14">
        <f>F27-L27</f>
        <v>-8</v>
      </c>
      <c r="N27" t="inlineStr">
        <is>
          <t>D</t>
        </is>
      </c>
    </row>
    <row r="28">
      <c r="A28" s="134" t="n">
        <v>46343</v>
      </c>
      <c r="B28" s="130" t="str">
        <f>CHOOSE(WEEKDAY(A28,2),"Lun","Mar","Mié","Jue","Vie","Sáb","Dom")</f>
        <v>Mar</v>
      </c>
      <c r="C28" s="13" t="str">
        <f>IF(COUNTIFS(FER_F,A28)&gt;0,"Feriado: "&amp;INDEX(FER_N,MATCH(A28,FER_F,0)),IF(WEEKDAY(A28,2)&gt;5,"Fin de semana",IF(INDEX(CFG_WDAYS,WEEKDAY(A28,2))="Sí","Laborable","No laborable")))</f>
        <v>Laborable</v>
      </c>
      <c r="D28" s="14">
        <f>SUMIFS(R_HD0,R_Emp,"Malcolm",R_Fecha,$A28)+SUMIFS(R_HD1,R_Emp,"Malcolm",R_D1,$A28)</f>
        <v>0</v>
      </c>
      <c r="E28" s="14">
        <f>SUMIFS(R_HD0,R_Emp,"proMX",R_Fecha,$A28)+SUMIFS(R_HD1,R_Emp,"proMX",R_D1,$A28)</f>
        <v>0</v>
      </c>
      <c r="F28" s="14">
        <f>D28+E28</f>
        <v>0</v>
      </c>
      <c r="G28" s="14">
        <f>SUMIFS(R_ND0,R_Fecha,$A28)+SUMIFS(R_ND1,R_D1,$A28)</f>
        <v>0</v>
      </c>
      <c r="H28" s="14">
        <f>SUMIFS(R_XD0,R_Fecha,$A28)+SUMIFS(R_XD1,R_D1,$A28)</f>
        <v>0</v>
      </c>
      <c r="I28" s="14">
        <f>SUMIFS(R_HD0,R_St,"Draft",R_Fecha,$A28)+SUMIFS(R_HD1,R_St,"Draft",R_D1,$A28)</f>
        <v>0</v>
      </c>
      <c r="J28" s="14">
        <f>SUMIFS(R_HD0,R_St,"Submitted",R_Fecha,$A28)+SUMIFS(R_HD1,R_St,"Submitted",R_D1,$A28)</f>
        <v>0</v>
      </c>
      <c r="K28" s="14">
        <f>SUMIFS(R_HD0,R_St,"Approved",R_Fecha,$A28)+SUMIFS(R_HD1,R_St,"Approved",R_D1,$A28)</f>
        <v>0</v>
      </c>
      <c r="L28" s="14">
        <f>IF(AND(INDEX(CFG_WDAYS,WEEKDAY(A28,2))="Sí",COUNTIFS(FER_F,A28,FER_OBJ,"Sí")=0),CFG_DH,0)</f>
        <v>8</v>
      </c>
      <c r="M28" s="14">
        <f>F28-L28</f>
        <v>-8</v>
      </c>
      <c r="N28" t="inlineStr">
        <is>
          <t>D</t>
        </is>
      </c>
    </row>
    <row r="29">
      <c r="A29" s="134" t="n">
        <v>46344</v>
      </c>
      <c r="B29" s="130" t="str">
        <f>CHOOSE(WEEKDAY(A29,2),"Lun","Mar","Mié","Jue","Vie","Sáb","Dom")</f>
        <v>Mié</v>
      </c>
      <c r="C29" s="13" t="str">
        <f>IF(COUNTIFS(FER_F,A29)&gt;0,"Feriado: "&amp;INDEX(FER_N,MATCH(A29,FER_F,0)),IF(WEEKDAY(A29,2)&gt;5,"Fin de semana",IF(INDEX(CFG_WDAYS,WEEKDAY(A29,2))="Sí","Laborable","No laborable")))</f>
        <v>Laborable</v>
      </c>
      <c r="D29" s="14">
        <f>SUMIFS(R_HD0,R_Emp,"Malcolm",R_Fecha,$A29)+SUMIFS(R_HD1,R_Emp,"Malcolm",R_D1,$A29)</f>
        <v>0</v>
      </c>
      <c r="E29" s="14">
        <f>SUMIFS(R_HD0,R_Emp,"proMX",R_Fecha,$A29)+SUMIFS(R_HD1,R_Emp,"proMX",R_D1,$A29)</f>
        <v>0</v>
      </c>
      <c r="F29" s="14">
        <f>D29+E29</f>
        <v>0</v>
      </c>
      <c r="G29" s="14">
        <f>SUMIFS(R_ND0,R_Fecha,$A29)+SUMIFS(R_ND1,R_D1,$A29)</f>
        <v>0</v>
      </c>
      <c r="H29" s="14">
        <f>SUMIFS(R_XD0,R_Fecha,$A29)+SUMIFS(R_XD1,R_D1,$A29)</f>
        <v>0</v>
      </c>
      <c r="I29" s="14">
        <f>SUMIFS(R_HD0,R_St,"Draft",R_Fecha,$A29)+SUMIFS(R_HD1,R_St,"Draft",R_D1,$A29)</f>
        <v>0</v>
      </c>
      <c r="J29" s="14">
        <f>SUMIFS(R_HD0,R_St,"Submitted",R_Fecha,$A29)+SUMIFS(R_HD1,R_St,"Submitted",R_D1,$A29)</f>
        <v>0</v>
      </c>
      <c r="K29" s="14">
        <f>SUMIFS(R_HD0,R_St,"Approved",R_Fecha,$A29)+SUMIFS(R_HD1,R_St,"Approved",R_D1,$A29)</f>
        <v>0</v>
      </c>
      <c r="L29" s="14">
        <f>IF(AND(INDEX(CFG_WDAYS,WEEKDAY(A29,2))="Sí",COUNTIFS(FER_F,A29,FER_OBJ,"Sí")=0),CFG_DH,0)</f>
        <v>8</v>
      </c>
      <c r="M29" s="14">
        <f>F29-L29</f>
        <v>-8</v>
      </c>
      <c r="N29" t="inlineStr">
        <is>
          <t>D</t>
        </is>
      </c>
    </row>
    <row r="30">
      <c r="A30" s="134" t="n">
        <v>46345</v>
      </c>
      <c r="B30" s="130" t="str">
        <f>CHOOSE(WEEKDAY(A30,2),"Lun","Mar","Mié","Jue","Vie","Sáb","Dom")</f>
        <v>Jue</v>
      </c>
      <c r="C30" s="13" t="str">
        <f>IF(COUNTIFS(FER_F,A30)&gt;0,"Feriado: "&amp;INDEX(FER_N,MATCH(A30,FER_F,0)),IF(WEEKDAY(A30,2)&gt;5,"Fin de semana",IF(INDEX(CFG_WDAYS,WEEKDAY(A30,2))="Sí","Laborable","No laborable")))</f>
        <v>Laborable</v>
      </c>
      <c r="D30" s="14">
        <f>SUMIFS(R_HD0,R_Emp,"Malcolm",R_Fecha,$A30)+SUMIFS(R_HD1,R_Emp,"Malcolm",R_D1,$A30)</f>
        <v>0</v>
      </c>
      <c r="E30" s="14">
        <f>SUMIFS(R_HD0,R_Emp,"proMX",R_Fecha,$A30)+SUMIFS(R_HD1,R_Emp,"proMX",R_D1,$A30)</f>
        <v>0</v>
      </c>
      <c r="F30" s="14">
        <f>D30+E30</f>
        <v>0</v>
      </c>
      <c r="G30" s="14">
        <f>SUMIFS(R_ND0,R_Fecha,$A30)+SUMIFS(R_ND1,R_D1,$A30)</f>
        <v>0</v>
      </c>
      <c r="H30" s="14">
        <f>SUMIFS(R_XD0,R_Fecha,$A30)+SUMIFS(R_XD1,R_D1,$A30)</f>
        <v>0</v>
      </c>
      <c r="I30" s="14">
        <f>SUMIFS(R_HD0,R_St,"Draft",R_Fecha,$A30)+SUMIFS(R_HD1,R_St,"Draft",R_D1,$A30)</f>
        <v>0</v>
      </c>
      <c r="J30" s="14">
        <f>SUMIFS(R_HD0,R_St,"Submitted",R_Fecha,$A30)+SUMIFS(R_HD1,R_St,"Submitted",R_D1,$A30)</f>
        <v>0</v>
      </c>
      <c r="K30" s="14">
        <f>SUMIFS(R_HD0,R_St,"Approved",R_Fecha,$A30)+SUMIFS(R_HD1,R_St,"Approved",R_D1,$A30)</f>
        <v>0</v>
      </c>
      <c r="L30" s="14">
        <f>IF(AND(INDEX(CFG_WDAYS,WEEKDAY(A30,2))="Sí",COUNTIFS(FER_F,A30,FER_OBJ,"Sí")=0),CFG_DH,0)</f>
        <v>8</v>
      </c>
      <c r="M30" s="14">
        <f>F30-L30</f>
        <v>-8</v>
      </c>
      <c r="N30" t="inlineStr">
        <is>
          <t>D</t>
        </is>
      </c>
    </row>
    <row r="31">
      <c r="A31" s="134" t="n">
        <v>46346</v>
      </c>
      <c r="B31" s="130" t="str">
        <f>CHOOSE(WEEKDAY(A31,2),"Lun","Mar","Mié","Jue","Vie","Sáb","Dom")</f>
        <v>Vie</v>
      </c>
      <c r="C31" s="13" t="str">
        <f>IF(COUNTIFS(FER_F,A31)&gt;0,"Feriado: "&amp;INDEX(FER_N,MATCH(A31,FER_F,0)),IF(WEEKDAY(A31,2)&gt;5,"Fin de semana",IF(INDEX(CFG_WDAYS,WEEKDAY(A31,2))="Sí","Laborable","No laborable")))</f>
        <v>Laborable</v>
      </c>
      <c r="D31" s="14">
        <f>SUMIFS(R_HD0,R_Emp,"Malcolm",R_Fecha,$A31)+SUMIFS(R_HD1,R_Emp,"Malcolm",R_D1,$A31)</f>
        <v>0</v>
      </c>
      <c r="E31" s="14">
        <f>SUMIFS(R_HD0,R_Emp,"proMX",R_Fecha,$A31)+SUMIFS(R_HD1,R_Emp,"proMX",R_D1,$A31)</f>
        <v>0</v>
      </c>
      <c r="F31" s="14">
        <f>D31+E31</f>
        <v>0</v>
      </c>
      <c r="G31" s="14">
        <f>SUMIFS(R_ND0,R_Fecha,$A31)+SUMIFS(R_ND1,R_D1,$A31)</f>
        <v>0</v>
      </c>
      <c r="H31" s="14">
        <f>SUMIFS(R_XD0,R_Fecha,$A31)+SUMIFS(R_XD1,R_D1,$A31)</f>
        <v>0</v>
      </c>
      <c r="I31" s="14">
        <f>SUMIFS(R_HD0,R_St,"Draft",R_Fecha,$A31)+SUMIFS(R_HD1,R_St,"Draft",R_D1,$A31)</f>
        <v>0</v>
      </c>
      <c r="J31" s="14">
        <f>SUMIFS(R_HD0,R_St,"Submitted",R_Fecha,$A31)+SUMIFS(R_HD1,R_St,"Submitted",R_D1,$A31)</f>
        <v>0</v>
      </c>
      <c r="K31" s="14">
        <f>SUMIFS(R_HD0,R_St,"Approved",R_Fecha,$A31)+SUMIFS(R_HD1,R_St,"Approved",R_D1,$A31)</f>
        <v>0</v>
      </c>
      <c r="L31" s="14">
        <f>IF(AND(INDEX(CFG_WDAYS,WEEKDAY(A31,2))="Sí",COUNTIFS(FER_F,A31,FER_OBJ,"Sí")=0),CFG_DH,0)</f>
        <v>8</v>
      </c>
      <c r="M31" s="14">
        <f>F31-L31</f>
        <v>-8</v>
      </c>
      <c r="N31" t="inlineStr">
        <is>
          <t>D</t>
        </is>
      </c>
    </row>
    <row r="32">
      <c r="A32" s="134" t="n">
        <v>46347</v>
      </c>
      <c r="B32" s="130" t="str">
        <f>CHOOSE(WEEKDAY(A32,2),"Lun","Mar","Mié","Jue","Vie","Sáb","Dom")</f>
        <v>Sáb</v>
      </c>
      <c r="C32" s="13" t="str">
        <f>IF(COUNTIFS(FER_F,A32)&gt;0,"Feriado: "&amp;INDEX(FER_N,MATCH(A32,FER_F,0)),IF(WEEKDAY(A32,2)&gt;5,"Fin de semana",IF(INDEX(CFG_WDAYS,WEEKDAY(A32,2))="Sí","Laborable","No laborable")))</f>
        <v>Fin de semana</v>
      </c>
      <c r="D32" s="14">
        <f>SUMIFS(R_HD0,R_Emp,"Malcolm",R_Fecha,$A32)+SUMIFS(R_HD1,R_Emp,"Malcolm",R_D1,$A32)</f>
        <v>0</v>
      </c>
      <c r="E32" s="14">
        <f>SUMIFS(R_HD0,R_Emp,"proMX",R_Fecha,$A32)+SUMIFS(R_HD1,R_Emp,"proMX",R_D1,$A32)</f>
        <v>0</v>
      </c>
      <c r="F32" s="14">
        <f>D32+E32</f>
        <v>0</v>
      </c>
      <c r="G32" s="14">
        <f>SUMIFS(R_ND0,R_Fecha,$A32)+SUMIFS(R_ND1,R_D1,$A32)</f>
        <v>0</v>
      </c>
      <c r="H32" s="14">
        <f>SUMIFS(R_XD0,R_Fecha,$A32)+SUMIFS(R_XD1,R_D1,$A32)</f>
        <v>0</v>
      </c>
      <c r="I32" s="14">
        <f>SUMIFS(R_HD0,R_St,"Draft",R_Fecha,$A32)+SUMIFS(R_HD1,R_St,"Draft",R_D1,$A32)</f>
        <v>0</v>
      </c>
      <c r="J32" s="14">
        <f>SUMIFS(R_HD0,R_St,"Submitted",R_Fecha,$A32)+SUMIFS(R_HD1,R_St,"Submitted",R_D1,$A32)</f>
        <v>0</v>
      </c>
      <c r="K32" s="14">
        <f>SUMIFS(R_HD0,R_St,"Approved",R_Fecha,$A32)+SUMIFS(R_HD1,R_St,"Approved",R_D1,$A32)</f>
        <v>0</v>
      </c>
      <c r="L32" s="14">
        <f>IF(AND(INDEX(CFG_WDAYS,WEEKDAY(A32,2))="Sí",COUNTIFS(FER_F,A32,FER_OBJ,"Sí")=0),CFG_DH,0)</f>
        <v>0</v>
      </c>
      <c r="M32" s="14">
        <f>F32-L32</f>
        <v>0</v>
      </c>
      <c r="N32" t="inlineStr">
        <is>
          <t>D</t>
        </is>
      </c>
    </row>
    <row r="33">
      <c r="A33" s="134" t="n">
        <v>46348</v>
      </c>
      <c r="B33" s="130" t="str">
        <f>CHOOSE(WEEKDAY(A33,2),"Lun","Mar","Mié","Jue","Vie","Sáb","Dom")</f>
        <v>Dom</v>
      </c>
      <c r="C33" s="13" t="str">
        <f>IF(COUNTIFS(FER_F,A33)&gt;0,"Feriado: "&amp;INDEX(FER_N,MATCH(A33,FER_F,0)),IF(WEEKDAY(A33,2)&gt;5,"Fin de semana",IF(INDEX(CFG_WDAYS,WEEKDAY(A33,2))="Sí","Laborable","No laborable")))</f>
        <v>Fin de semana</v>
      </c>
      <c r="D33" s="14">
        <f>SUMIFS(R_HD0,R_Emp,"Malcolm",R_Fecha,$A33)+SUMIFS(R_HD1,R_Emp,"Malcolm",R_D1,$A33)</f>
        <v>0</v>
      </c>
      <c r="E33" s="14">
        <f>SUMIFS(R_HD0,R_Emp,"proMX",R_Fecha,$A33)+SUMIFS(R_HD1,R_Emp,"proMX",R_D1,$A33)</f>
        <v>0</v>
      </c>
      <c r="F33" s="14">
        <f>D33+E33</f>
        <v>0</v>
      </c>
      <c r="G33" s="14">
        <f>SUMIFS(R_ND0,R_Fecha,$A33)+SUMIFS(R_ND1,R_D1,$A33)</f>
        <v>0</v>
      </c>
      <c r="H33" s="14">
        <f>SUMIFS(R_XD0,R_Fecha,$A33)+SUMIFS(R_XD1,R_D1,$A33)</f>
        <v>0</v>
      </c>
      <c r="I33" s="14">
        <f>SUMIFS(R_HD0,R_St,"Draft",R_Fecha,$A33)+SUMIFS(R_HD1,R_St,"Draft",R_D1,$A33)</f>
        <v>0</v>
      </c>
      <c r="J33" s="14">
        <f>SUMIFS(R_HD0,R_St,"Submitted",R_Fecha,$A33)+SUMIFS(R_HD1,R_St,"Submitted",R_D1,$A33)</f>
        <v>0</v>
      </c>
      <c r="K33" s="14">
        <f>SUMIFS(R_HD0,R_St,"Approved",R_Fecha,$A33)+SUMIFS(R_HD1,R_St,"Approved",R_D1,$A33)</f>
        <v>0</v>
      </c>
      <c r="L33" s="14">
        <f>IF(AND(INDEX(CFG_WDAYS,WEEKDAY(A33,2))="Sí",COUNTIFS(FER_F,A33,FER_OBJ,"Sí")=0),CFG_DH,0)</f>
        <v>0</v>
      </c>
      <c r="M33" s="14">
        <f>F33-L33</f>
        <v>0</v>
      </c>
      <c r="N33" t="inlineStr">
        <is>
          <t>D</t>
        </is>
      </c>
    </row>
    <row r="34">
      <c r="A34" s="188" t="inlineStr">
        <is>
          <t>Total semana Lun 16/11 – 22/11</t>
        </is>
      </c>
      <c r="B34" s="189" t="n"/>
      <c r="C34" s="189" t="n"/>
      <c r="D34" s="190">
        <f>SUM(D27:D33)</f>
        <v>0</v>
      </c>
      <c r="E34" s="190">
        <f>SUM(E27:E33)</f>
        <v>0</v>
      </c>
      <c r="F34" s="190">
        <f>SUM(F27:F33)</f>
        <v>0</v>
      </c>
      <c r="G34" s="190">
        <f>SUM(G27:G33)</f>
        <v>0</v>
      </c>
      <c r="H34" s="190">
        <f>SUM(H27:H33)</f>
        <v>0</v>
      </c>
      <c r="I34" s="190">
        <f>SUM(I27:I33)</f>
        <v>0</v>
      </c>
      <c r="J34" s="190">
        <f>SUM(J27:J33)</f>
        <v>0</v>
      </c>
      <c r="K34" s="190">
        <f>SUM(K27:K33)</f>
        <v>0</v>
      </c>
      <c r="L34" s="190">
        <f>MIN(CFG_WH,SUM(L27:L33))</f>
        <v>40</v>
      </c>
      <c r="M34" s="190">
        <f>F34-L34</f>
        <v>-40</v>
      </c>
      <c r="N34" t="inlineStr">
        <is>
          <t>S</t>
        </is>
      </c>
    </row>
    <row r="35">
      <c r="A35" s="134" t="n">
        <v>46349</v>
      </c>
      <c r="B35" s="130" t="str">
        <f>CHOOSE(WEEKDAY(A35,2),"Lun","Mar","Mié","Jue","Vie","Sáb","Dom")</f>
        <v>Lun</v>
      </c>
      <c r="C35" s="13" t="str">
        <f>IF(COUNTIFS(FER_F,A35)&gt;0,"Feriado: "&amp;INDEX(FER_N,MATCH(A35,FER_F,0)),IF(WEEKDAY(A35,2)&gt;5,"Fin de semana",IF(INDEX(CFG_WDAYS,WEEKDAY(A35,2))="Sí","Laborable","No laborable")))</f>
        <v>Laborable</v>
      </c>
      <c r="D35" s="14">
        <f>SUMIFS(R_HD0,R_Emp,"Malcolm",R_Fecha,$A35)+SUMIFS(R_HD1,R_Emp,"Malcolm",R_D1,$A35)</f>
        <v>0</v>
      </c>
      <c r="E35" s="14">
        <f>SUMIFS(R_HD0,R_Emp,"proMX",R_Fecha,$A35)+SUMIFS(R_HD1,R_Emp,"proMX",R_D1,$A35)</f>
        <v>0</v>
      </c>
      <c r="F35" s="14">
        <f>D35+E35</f>
        <v>0</v>
      </c>
      <c r="G35" s="14">
        <f>SUMIFS(R_ND0,R_Fecha,$A35)+SUMIFS(R_ND1,R_D1,$A35)</f>
        <v>0</v>
      </c>
      <c r="H35" s="14">
        <f>SUMIFS(R_XD0,R_Fecha,$A35)+SUMIFS(R_XD1,R_D1,$A35)</f>
        <v>0</v>
      </c>
      <c r="I35" s="14">
        <f>SUMIFS(R_HD0,R_St,"Draft",R_Fecha,$A35)+SUMIFS(R_HD1,R_St,"Draft",R_D1,$A35)</f>
        <v>0</v>
      </c>
      <c r="J35" s="14">
        <f>SUMIFS(R_HD0,R_St,"Submitted",R_Fecha,$A35)+SUMIFS(R_HD1,R_St,"Submitted",R_D1,$A35)</f>
        <v>0</v>
      </c>
      <c r="K35" s="14">
        <f>SUMIFS(R_HD0,R_St,"Approved",R_Fecha,$A35)+SUMIFS(R_HD1,R_St,"Approved",R_D1,$A35)</f>
        <v>0</v>
      </c>
      <c r="L35" s="14">
        <f>IF(AND(INDEX(CFG_WDAYS,WEEKDAY(A35,2))="Sí",COUNTIFS(FER_F,A35,FER_OBJ,"Sí")=0),CFG_DH,0)</f>
        <v>8</v>
      </c>
      <c r="M35" s="14">
        <f>F35-L35</f>
        <v>-8</v>
      </c>
      <c r="N35" t="inlineStr">
        <is>
          <t>D</t>
        </is>
      </c>
    </row>
    <row r="36">
      <c r="A36" s="134" t="n">
        <v>46350</v>
      </c>
      <c r="B36" s="130" t="str">
        <f>CHOOSE(WEEKDAY(A36,2),"Lun","Mar","Mié","Jue","Vie","Sáb","Dom")</f>
        <v>Mar</v>
      </c>
      <c r="C36" s="13" t="str">
        <f>IF(COUNTIFS(FER_F,A36)&gt;0,"Feriado: "&amp;INDEX(FER_N,MATCH(A36,FER_F,0)),IF(WEEKDAY(A36,2)&gt;5,"Fin de semana",IF(INDEX(CFG_WDAYS,WEEKDAY(A36,2))="Sí","Laborable","No laborable")))</f>
        <v>Laborable</v>
      </c>
      <c r="D36" s="14">
        <f>SUMIFS(R_HD0,R_Emp,"Malcolm",R_Fecha,$A36)+SUMIFS(R_HD1,R_Emp,"Malcolm",R_D1,$A36)</f>
        <v>0</v>
      </c>
      <c r="E36" s="14">
        <f>SUMIFS(R_HD0,R_Emp,"proMX",R_Fecha,$A36)+SUMIFS(R_HD1,R_Emp,"proMX",R_D1,$A36)</f>
        <v>0</v>
      </c>
      <c r="F36" s="14">
        <f>D36+E36</f>
        <v>0</v>
      </c>
      <c r="G36" s="14">
        <f>SUMIFS(R_ND0,R_Fecha,$A36)+SUMIFS(R_ND1,R_D1,$A36)</f>
        <v>0</v>
      </c>
      <c r="H36" s="14">
        <f>SUMIFS(R_XD0,R_Fecha,$A36)+SUMIFS(R_XD1,R_D1,$A36)</f>
        <v>0</v>
      </c>
      <c r="I36" s="14">
        <f>SUMIFS(R_HD0,R_St,"Draft",R_Fecha,$A36)+SUMIFS(R_HD1,R_St,"Draft",R_D1,$A36)</f>
        <v>0</v>
      </c>
      <c r="J36" s="14">
        <f>SUMIFS(R_HD0,R_St,"Submitted",R_Fecha,$A36)+SUMIFS(R_HD1,R_St,"Submitted",R_D1,$A36)</f>
        <v>0</v>
      </c>
      <c r="K36" s="14">
        <f>SUMIFS(R_HD0,R_St,"Approved",R_Fecha,$A36)+SUMIFS(R_HD1,R_St,"Approved",R_D1,$A36)</f>
        <v>0</v>
      </c>
      <c r="L36" s="14">
        <f>IF(AND(INDEX(CFG_WDAYS,WEEKDAY(A36,2))="Sí",COUNTIFS(FER_F,A36,FER_OBJ,"Sí")=0),CFG_DH,0)</f>
        <v>8</v>
      </c>
      <c r="M36" s="14">
        <f>F36-L36</f>
        <v>-8</v>
      </c>
      <c r="N36" t="inlineStr">
        <is>
          <t>D</t>
        </is>
      </c>
    </row>
    <row r="37">
      <c r="A37" s="134" t="n">
        <v>46351</v>
      </c>
      <c r="B37" s="130" t="str">
        <f>CHOOSE(WEEKDAY(A37,2),"Lun","Mar","Mié","Jue","Vie","Sáb","Dom")</f>
        <v>Mié</v>
      </c>
      <c r="C37" s="13" t="str">
        <f>IF(COUNTIFS(FER_F,A37)&gt;0,"Feriado: "&amp;INDEX(FER_N,MATCH(A37,FER_F,0)),IF(WEEKDAY(A37,2)&gt;5,"Fin de semana",IF(INDEX(CFG_WDAYS,WEEKDAY(A37,2))="Sí","Laborable","No laborable")))</f>
        <v>Laborable</v>
      </c>
      <c r="D37" s="14">
        <f>SUMIFS(R_HD0,R_Emp,"Malcolm",R_Fecha,$A37)+SUMIFS(R_HD1,R_Emp,"Malcolm",R_D1,$A37)</f>
        <v>0</v>
      </c>
      <c r="E37" s="14">
        <f>SUMIFS(R_HD0,R_Emp,"proMX",R_Fecha,$A37)+SUMIFS(R_HD1,R_Emp,"proMX",R_D1,$A37)</f>
        <v>0</v>
      </c>
      <c r="F37" s="14">
        <f>D37+E37</f>
        <v>0</v>
      </c>
      <c r="G37" s="14">
        <f>SUMIFS(R_ND0,R_Fecha,$A37)+SUMIFS(R_ND1,R_D1,$A37)</f>
        <v>0</v>
      </c>
      <c r="H37" s="14">
        <f>SUMIFS(R_XD0,R_Fecha,$A37)+SUMIFS(R_XD1,R_D1,$A37)</f>
        <v>0</v>
      </c>
      <c r="I37" s="14">
        <f>SUMIFS(R_HD0,R_St,"Draft",R_Fecha,$A37)+SUMIFS(R_HD1,R_St,"Draft",R_D1,$A37)</f>
        <v>0</v>
      </c>
      <c r="J37" s="14">
        <f>SUMIFS(R_HD0,R_St,"Submitted",R_Fecha,$A37)+SUMIFS(R_HD1,R_St,"Submitted",R_D1,$A37)</f>
        <v>0</v>
      </c>
      <c r="K37" s="14">
        <f>SUMIFS(R_HD0,R_St,"Approved",R_Fecha,$A37)+SUMIFS(R_HD1,R_St,"Approved",R_D1,$A37)</f>
        <v>0</v>
      </c>
      <c r="L37" s="14">
        <f>IF(AND(INDEX(CFG_WDAYS,WEEKDAY(A37,2))="Sí",COUNTIFS(FER_F,A37,FER_OBJ,"Sí")=0),CFG_DH,0)</f>
        <v>8</v>
      </c>
      <c r="M37" s="14">
        <f>F37-L37</f>
        <v>-8</v>
      </c>
      <c r="N37" t="inlineStr">
        <is>
          <t>D</t>
        </is>
      </c>
    </row>
    <row r="38">
      <c r="A38" s="134" t="n">
        <v>46352</v>
      </c>
      <c r="B38" s="130" t="str">
        <f>CHOOSE(WEEKDAY(A38,2),"Lun","Mar","Mié","Jue","Vie","Sáb","Dom")</f>
        <v>Jue</v>
      </c>
      <c r="C38" s="13" t="str">
        <f>IF(COUNTIFS(FER_F,A38)&gt;0,"Feriado: "&amp;INDEX(FER_N,MATCH(A38,FER_F,0)),IF(WEEKDAY(A38,2)&gt;5,"Fin de semana",IF(INDEX(CFG_WDAYS,WEEKDAY(A38,2))="Sí","Laborable","No laborable")))</f>
        <v>Feriado: Thanksgiving Day</v>
      </c>
      <c r="D38" s="14">
        <f>SUMIFS(R_HD0,R_Emp,"Malcolm",R_Fecha,$A38)+SUMIFS(R_HD1,R_Emp,"Malcolm",R_D1,$A38)</f>
        <v>0</v>
      </c>
      <c r="E38" s="14">
        <f>SUMIFS(R_HD0,R_Emp,"proMX",R_Fecha,$A38)+SUMIFS(R_HD1,R_Emp,"proMX",R_D1,$A38)</f>
        <v>0</v>
      </c>
      <c r="F38" s="14">
        <f>D38+E38</f>
        <v>0</v>
      </c>
      <c r="G38" s="14">
        <f>SUMIFS(R_ND0,R_Fecha,$A38)+SUMIFS(R_ND1,R_D1,$A38)</f>
        <v>0</v>
      </c>
      <c r="H38" s="14">
        <f>SUMIFS(R_XD0,R_Fecha,$A38)+SUMIFS(R_XD1,R_D1,$A38)</f>
        <v>0</v>
      </c>
      <c r="I38" s="14">
        <f>SUMIFS(R_HD0,R_St,"Draft",R_Fecha,$A38)+SUMIFS(R_HD1,R_St,"Draft",R_D1,$A38)</f>
        <v>0</v>
      </c>
      <c r="J38" s="14">
        <f>SUMIFS(R_HD0,R_St,"Submitted",R_Fecha,$A38)+SUMIFS(R_HD1,R_St,"Submitted",R_D1,$A38)</f>
        <v>0</v>
      </c>
      <c r="K38" s="14">
        <f>SUMIFS(R_HD0,R_St,"Approved",R_Fecha,$A38)+SUMIFS(R_HD1,R_St,"Approved",R_D1,$A38)</f>
        <v>0</v>
      </c>
      <c r="L38" s="14">
        <f>IF(AND(INDEX(CFG_WDAYS,WEEKDAY(A38,2))="Sí",COUNTIFS(FER_F,A38,FER_OBJ,"Sí")=0),CFG_DH,0)</f>
        <v>0</v>
      </c>
      <c r="M38" s="14">
        <f>F38-L38</f>
        <v>0</v>
      </c>
      <c r="N38" t="inlineStr">
        <is>
          <t>D</t>
        </is>
      </c>
    </row>
    <row r="39">
      <c r="A39" s="134" t="n">
        <v>46353</v>
      </c>
      <c r="B39" s="130" t="str">
        <f>CHOOSE(WEEKDAY(A39,2),"Lun","Mar","Mié","Jue","Vie","Sáb","Dom")</f>
        <v>Vie</v>
      </c>
      <c r="C39" s="13" t="str">
        <f>IF(COUNTIFS(FER_F,A39)&gt;0,"Feriado: "&amp;INDEX(FER_N,MATCH(A39,FER_F,0)),IF(WEEKDAY(A39,2)&gt;5,"Fin de semana",IF(INDEX(CFG_WDAYS,WEEKDAY(A39,2))="Sí","Laborable","No laborable")))</f>
        <v>Laborable</v>
      </c>
      <c r="D39" s="14">
        <f>SUMIFS(R_HD0,R_Emp,"Malcolm",R_Fecha,$A39)+SUMIFS(R_HD1,R_Emp,"Malcolm",R_D1,$A39)</f>
        <v>0</v>
      </c>
      <c r="E39" s="14">
        <f>SUMIFS(R_HD0,R_Emp,"proMX",R_Fecha,$A39)+SUMIFS(R_HD1,R_Emp,"proMX",R_D1,$A39)</f>
        <v>0</v>
      </c>
      <c r="F39" s="14">
        <f>D39+E39</f>
        <v>0</v>
      </c>
      <c r="G39" s="14">
        <f>SUMIFS(R_ND0,R_Fecha,$A39)+SUMIFS(R_ND1,R_D1,$A39)</f>
        <v>0</v>
      </c>
      <c r="H39" s="14">
        <f>SUMIFS(R_XD0,R_Fecha,$A39)+SUMIFS(R_XD1,R_D1,$A39)</f>
        <v>0</v>
      </c>
      <c r="I39" s="14">
        <f>SUMIFS(R_HD0,R_St,"Draft",R_Fecha,$A39)+SUMIFS(R_HD1,R_St,"Draft",R_D1,$A39)</f>
        <v>0</v>
      </c>
      <c r="J39" s="14">
        <f>SUMIFS(R_HD0,R_St,"Submitted",R_Fecha,$A39)+SUMIFS(R_HD1,R_St,"Submitted",R_D1,$A39)</f>
        <v>0</v>
      </c>
      <c r="K39" s="14">
        <f>SUMIFS(R_HD0,R_St,"Approved",R_Fecha,$A39)+SUMIFS(R_HD1,R_St,"Approved",R_D1,$A39)</f>
        <v>0</v>
      </c>
      <c r="L39" s="14">
        <f>IF(AND(INDEX(CFG_WDAYS,WEEKDAY(A39,2))="Sí",COUNTIFS(FER_F,A39,FER_OBJ,"Sí")=0),CFG_DH,0)</f>
        <v>8</v>
      </c>
      <c r="M39" s="14">
        <f>F39-L39</f>
        <v>-8</v>
      </c>
      <c r="N39" t="inlineStr">
        <is>
          <t>D</t>
        </is>
      </c>
    </row>
    <row r="40">
      <c r="A40" s="134" t="n">
        <v>46354</v>
      </c>
      <c r="B40" s="130" t="str">
        <f>CHOOSE(WEEKDAY(A40,2),"Lun","Mar","Mié","Jue","Vie","Sáb","Dom")</f>
        <v>Sáb</v>
      </c>
      <c r="C40" s="13" t="str">
        <f>IF(COUNTIFS(FER_F,A40)&gt;0,"Feriado: "&amp;INDEX(FER_N,MATCH(A40,FER_F,0)),IF(WEEKDAY(A40,2)&gt;5,"Fin de semana",IF(INDEX(CFG_WDAYS,WEEKDAY(A40,2))="Sí","Laborable","No laborable")))</f>
        <v>Fin de semana</v>
      </c>
      <c r="D40" s="14">
        <f>SUMIFS(R_HD0,R_Emp,"Malcolm",R_Fecha,$A40)+SUMIFS(R_HD1,R_Emp,"Malcolm",R_D1,$A40)</f>
        <v>0</v>
      </c>
      <c r="E40" s="14">
        <f>SUMIFS(R_HD0,R_Emp,"proMX",R_Fecha,$A40)+SUMIFS(R_HD1,R_Emp,"proMX",R_D1,$A40)</f>
        <v>0</v>
      </c>
      <c r="F40" s="14">
        <f>D40+E40</f>
        <v>0</v>
      </c>
      <c r="G40" s="14">
        <f>SUMIFS(R_ND0,R_Fecha,$A40)+SUMIFS(R_ND1,R_D1,$A40)</f>
        <v>0</v>
      </c>
      <c r="H40" s="14">
        <f>SUMIFS(R_XD0,R_Fecha,$A40)+SUMIFS(R_XD1,R_D1,$A40)</f>
        <v>0</v>
      </c>
      <c r="I40" s="14">
        <f>SUMIFS(R_HD0,R_St,"Draft",R_Fecha,$A40)+SUMIFS(R_HD1,R_St,"Draft",R_D1,$A40)</f>
        <v>0</v>
      </c>
      <c r="J40" s="14">
        <f>SUMIFS(R_HD0,R_St,"Submitted",R_Fecha,$A40)+SUMIFS(R_HD1,R_St,"Submitted",R_D1,$A40)</f>
        <v>0</v>
      </c>
      <c r="K40" s="14">
        <f>SUMIFS(R_HD0,R_St,"Approved",R_Fecha,$A40)+SUMIFS(R_HD1,R_St,"Approved",R_D1,$A40)</f>
        <v>0</v>
      </c>
      <c r="L40" s="14">
        <f>IF(AND(INDEX(CFG_WDAYS,WEEKDAY(A40,2))="Sí",COUNTIFS(FER_F,A40,FER_OBJ,"Sí")=0),CFG_DH,0)</f>
        <v>0</v>
      </c>
      <c r="M40" s="14">
        <f>F40-L40</f>
        <v>0</v>
      </c>
      <c r="N40" t="inlineStr">
        <is>
          <t>D</t>
        </is>
      </c>
    </row>
    <row r="41">
      <c r="A41" s="134" t="n">
        <v>46355</v>
      </c>
      <c r="B41" s="130" t="str">
        <f>CHOOSE(WEEKDAY(A41,2),"Lun","Mar","Mié","Jue","Vie","Sáb","Dom")</f>
        <v>Dom</v>
      </c>
      <c r="C41" s="13" t="str">
        <f>IF(COUNTIFS(FER_F,A41)&gt;0,"Feriado: "&amp;INDEX(FER_N,MATCH(A41,FER_F,0)),IF(WEEKDAY(A41,2)&gt;5,"Fin de semana",IF(INDEX(CFG_WDAYS,WEEKDAY(A41,2))="Sí","Laborable","No laborable")))</f>
        <v>Fin de semana</v>
      </c>
      <c r="D41" s="14">
        <f>SUMIFS(R_HD0,R_Emp,"Malcolm",R_Fecha,$A41)+SUMIFS(R_HD1,R_Emp,"Malcolm",R_D1,$A41)</f>
        <v>0</v>
      </c>
      <c r="E41" s="14">
        <f>SUMIFS(R_HD0,R_Emp,"proMX",R_Fecha,$A41)+SUMIFS(R_HD1,R_Emp,"proMX",R_D1,$A41)</f>
        <v>0</v>
      </c>
      <c r="F41" s="14">
        <f>D41+E41</f>
        <v>0</v>
      </c>
      <c r="G41" s="14">
        <f>SUMIFS(R_ND0,R_Fecha,$A41)+SUMIFS(R_ND1,R_D1,$A41)</f>
        <v>0</v>
      </c>
      <c r="H41" s="14">
        <f>SUMIFS(R_XD0,R_Fecha,$A41)+SUMIFS(R_XD1,R_D1,$A41)</f>
        <v>0</v>
      </c>
      <c r="I41" s="14">
        <f>SUMIFS(R_HD0,R_St,"Draft",R_Fecha,$A41)+SUMIFS(R_HD1,R_St,"Draft",R_D1,$A41)</f>
        <v>0</v>
      </c>
      <c r="J41" s="14">
        <f>SUMIFS(R_HD0,R_St,"Submitted",R_Fecha,$A41)+SUMIFS(R_HD1,R_St,"Submitted",R_D1,$A41)</f>
        <v>0</v>
      </c>
      <c r="K41" s="14">
        <f>SUMIFS(R_HD0,R_St,"Approved",R_Fecha,$A41)+SUMIFS(R_HD1,R_St,"Approved",R_D1,$A41)</f>
        <v>0</v>
      </c>
      <c r="L41" s="14">
        <f>IF(AND(INDEX(CFG_WDAYS,WEEKDAY(A41,2))="Sí",COUNTIFS(FER_F,A41,FER_OBJ,"Sí")=0),CFG_DH,0)</f>
        <v>0</v>
      </c>
      <c r="M41" s="14">
        <f>F41-L41</f>
        <v>0</v>
      </c>
      <c r="N41" t="inlineStr">
        <is>
          <t>D</t>
        </is>
      </c>
    </row>
    <row r="42">
      <c r="A42" s="188" t="inlineStr">
        <is>
          <t>Total semana Lun 23/11 – 29/11</t>
        </is>
      </c>
      <c r="B42" s="189" t="n"/>
      <c r="C42" s="189" t="n"/>
      <c r="D42" s="190">
        <f>SUM(D35:D41)</f>
        <v>0</v>
      </c>
      <c r="E42" s="190">
        <f>SUM(E35:E41)</f>
        <v>0</v>
      </c>
      <c r="F42" s="190">
        <f>SUM(F35:F41)</f>
        <v>0</v>
      </c>
      <c r="G42" s="190">
        <f>SUM(G35:G41)</f>
        <v>0</v>
      </c>
      <c r="H42" s="190">
        <f>SUM(H35:H41)</f>
        <v>0</v>
      </c>
      <c r="I42" s="190">
        <f>SUM(I35:I41)</f>
        <v>0</v>
      </c>
      <c r="J42" s="190">
        <f>SUM(J35:J41)</f>
        <v>0</v>
      </c>
      <c r="K42" s="190">
        <f>SUM(K35:K41)</f>
        <v>0</v>
      </c>
      <c r="L42" s="190">
        <f>MIN(CFG_WH,SUM(L35:L41))</f>
        <v>32</v>
      </c>
      <c r="M42" s="190">
        <f>F42-L42</f>
        <v>-32</v>
      </c>
      <c r="N42" t="inlineStr">
        <is>
          <t>S</t>
        </is>
      </c>
    </row>
    <row r="43">
      <c r="A43" s="134" t="n">
        <v>46356</v>
      </c>
      <c r="B43" s="130" t="str">
        <f>CHOOSE(WEEKDAY(A43,2),"Lun","Mar","Mié","Jue","Vie","Sáb","Dom")</f>
        <v>Lun</v>
      </c>
      <c r="C43" s="13" t="str">
        <f>IF(COUNTIFS(FER_F,A43)&gt;0,"Feriado: "&amp;INDEX(FER_N,MATCH(A43,FER_F,0)),IF(WEEKDAY(A43,2)&gt;5,"Fin de semana",IF(INDEX(CFG_WDAYS,WEEKDAY(A43,2))="Sí","Laborable","No laborable")))</f>
        <v>Laborable</v>
      </c>
      <c r="D43" s="14">
        <f>SUMIFS(R_HD0,R_Emp,"Malcolm",R_Fecha,$A43)+SUMIFS(R_HD1,R_Emp,"Malcolm",R_D1,$A43)</f>
        <v>0</v>
      </c>
      <c r="E43" s="14">
        <f>SUMIFS(R_HD0,R_Emp,"proMX",R_Fecha,$A43)+SUMIFS(R_HD1,R_Emp,"proMX",R_D1,$A43)</f>
        <v>0</v>
      </c>
      <c r="F43" s="14">
        <f>D43+E43</f>
        <v>0</v>
      </c>
      <c r="G43" s="14">
        <f>SUMIFS(R_ND0,R_Fecha,$A43)+SUMIFS(R_ND1,R_D1,$A43)</f>
        <v>0</v>
      </c>
      <c r="H43" s="14">
        <f>SUMIFS(R_XD0,R_Fecha,$A43)+SUMIFS(R_XD1,R_D1,$A43)</f>
        <v>0</v>
      </c>
      <c r="I43" s="14">
        <f>SUMIFS(R_HD0,R_St,"Draft",R_Fecha,$A43)+SUMIFS(R_HD1,R_St,"Draft",R_D1,$A43)</f>
        <v>0</v>
      </c>
      <c r="J43" s="14">
        <f>SUMIFS(R_HD0,R_St,"Submitted",R_Fecha,$A43)+SUMIFS(R_HD1,R_St,"Submitted",R_D1,$A43)</f>
        <v>0</v>
      </c>
      <c r="K43" s="14">
        <f>SUMIFS(R_HD0,R_St,"Approved",R_Fecha,$A43)+SUMIFS(R_HD1,R_St,"Approved",R_D1,$A43)</f>
        <v>0</v>
      </c>
      <c r="L43" s="14">
        <f>IF(AND(INDEX(CFG_WDAYS,WEEKDAY(A43,2))="Sí",COUNTIFS(FER_F,A43,FER_OBJ,"Sí")=0),CFG_DH,0)</f>
        <v>8</v>
      </c>
      <c r="M43" s="14">
        <f>F43-L43</f>
        <v>-8</v>
      </c>
      <c r="N43" t="inlineStr">
        <is>
          <t>D</t>
        </is>
      </c>
    </row>
    <row r="44">
      <c r="A44" s="188" t="inlineStr">
        <is>
          <t>Total semana Lun 30/11 – 30/11</t>
        </is>
      </c>
      <c r="B44" s="189" t="n"/>
      <c r="C44" s="189" t="n"/>
      <c r="D44" s="190">
        <f>SUM(D43:D43)</f>
        <v>0</v>
      </c>
      <c r="E44" s="190">
        <f>SUM(E43:E43)</f>
        <v>0</v>
      </c>
      <c r="F44" s="190">
        <f>SUM(F43:F43)</f>
        <v>0</v>
      </c>
      <c r="G44" s="190">
        <f>SUM(G43:G43)</f>
        <v>0</v>
      </c>
      <c r="H44" s="190">
        <f>SUM(H43:H43)</f>
        <v>0</v>
      </c>
      <c r="I44" s="190">
        <f>SUM(I43:I43)</f>
        <v>0</v>
      </c>
      <c r="J44" s="190">
        <f>SUM(J43:J43)</f>
        <v>0</v>
      </c>
      <c r="K44" s="190">
        <f>SUM(K43:K43)</f>
        <v>0</v>
      </c>
      <c r="L44" s="190">
        <f>MIN(CFG_WH,SUM(L43:L43))</f>
        <v>8</v>
      </c>
      <c r="M44" s="190">
        <f>F44-L44</f>
        <v>-8</v>
      </c>
      <c r="N44" t="inlineStr">
        <is>
          <t>S</t>
        </is>
      </c>
    </row>
    <row r="45" ht="24" customHeight="1">
      <c r="A45" s="191" t="inlineStr">
        <is>
          <t>TOTAL NOVIEMBRE 2026</t>
        </is>
      </c>
      <c r="B45" s="191" t="n"/>
      <c r="C45" s="191" t="n"/>
      <c r="D45" s="192">
        <f>SUMIFS(D9:D44,$N$9:$N$44,"S")</f>
        <v>0</v>
      </c>
      <c r="E45" s="192">
        <f>SUMIFS(E9:E44,$N$9:$N$44,"S")</f>
        <v>0</v>
      </c>
      <c r="F45" s="192">
        <f>SUMIFS(F9:F44,$N$9:$N$44,"S")</f>
        <v>0</v>
      </c>
      <c r="G45" s="192">
        <f>SUMIFS(G9:G44,$N$9:$N$44,"S")</f>
        <v>0</v>
      </c>
      <c r="H45" s="192">
        <f>SUMIFS(H9:H44,$N$9:$N$44,"S")</f>
        <v>0</v>
      </c>
      <c r="I45" s="192">
        <f>SUMIFS(I9:I44,$N$9:$N$44,"S")</f>
        <v>0</v>
      </c>
      <c r="J45" s="192">
        <f>SUMIFS(J9:J44,$N$9:$N$44,"S")</f>
        <v>0</v>
      </c>
      <c r="K45" s="192">
        <f>SUMIFS(K9:K44,$N$9:$N$44,"S")</f>
        <v>0</v>
      </c>
      <c r="L45" s="192">
        <f>SUMIFS(L9:L44,$N$9:$N$44,"S")</f>
        <v>152</v>
      </c>
      <c r="M45" s="192">
        <f>F45-L45</f>
        <v>-152</v>
      </c>
      <c r="N45" t="inlineStr">
        <is>
          <t>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A10:C10"/>
    <mergeCell ref="A42:C42"/>
    <mergeCell ref="A44:C44"/>
    <mergeCell ref="A45:C45"/>
    <mergeCell ref="A18:C18"/>
    <mergeCell ref="A34:C34"/>
    <mergeCell ref="A26:C26"/>
  </mergeCells>
  <conditionalFormatting sqref="A9:M44">
    <cfRule type="expression" priority="1" dxfId="13" stopIfTrue="0">
      <formula>=AND($N9="D",LEFT($C9,7)="Feriado")</formula>
    </cfRule>
    <cfRule type="expression" priority="2" dxfId="12" stopIfTrue="0">
      <formula>=AND($N9="D",OR($C9="Fin de semana",$C9="No laborable"))</formula>
    </cfRule>
  </conditionalFormatting>
  <conditionalFormatting sqref="M9:M45">
    <cfRule type="expression" priority="3" dxfId="26" stopIfTrue="0">
      <formula>=AND($N9&lt;&gt;"",M9&lt;0)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17A2B8"/>
    <outlinePr summaryBelow="1" summaryRight="1"/>
    <pageSetUpPr fitToPage="1"/>
  </sheetPr>
  <dimension ref="A1:N45"/>
  <sheetViews>
    <sheetView showGridLines="0" zoomScale="9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2" customWidth="1" min="13" max="13"/>
    <col hidden="1" width="4" customWidth="1" min="14" max="14"/>
  </cols>
  <sheetData>
    <row r="1" ht="34" customHeight="1">
      <c r="A1" s="1" t="n"/>
      <c r="B1" s="2" t="inlineStr">
        <is>
          <t>📅  Diciembre 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1" t="n"/>
      <c r="B2" s="3" t="inlineStr">
        <is>
          <t>Resumen diario automático (desde Registro de Horas). Horas repartidas por día real si una tarea cruza medianoche.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B4" s="175" t="inlineStr">
        <is>
          <t>Totales del mes</t>
        </is>
      </c>
      <c r="D4" s="176" t="inlineStr">
        <is>
          <t>Malcolm</t>
        </is>
      </c>
      <c r="E4" s="177" t="inlineStr">
        <is>
          <t>proMX</t>
        </is>
      </c>
      <c r="F4" s="178" t="inlineStr">
        <is>
          <t>Normales</t>
        </is>
      </c>
      <c r="G4" s="179" t="inlineStr">
        <is>
          <t>Extras</t>
        </is>
      </c>
      <c r="H4" s="180" t="inlineStr">
        <is>
          <t>Approved</t>
        </is>
      </c>
      <c r="I4" s="181" t="inlineStr">
        <is>
          <t>Objetivo</t>
        </is>
      </c>
    </row>
    <row r="5" ht="30" customHeight="1">
      <c r="D5" s="182">
        <f>D45</f>
        <v>0</v>
      </c>
      <c r="E5" s="183">
        <f>E45</f>
        <v>0</v>
      </c>
      <c r="F5" s="184">
        <f>G45</f>
        <v>0</v>
      </c>
      <c r="G5" s="185">
        <f>H45</f>
        <v>0</v>
      </c>
      <c r="H5" s="186">
        <f>K45</f>
        <v>0</v>
      </c>
      <c r="I5" s="187">
        <f>L45</f>
        <v>176</v>
      </c>
    </row>
    <row r="8" ht="32" customHeight="1">
      <c r="A8" s="69" t="inlineStr">
        <is>
          <t>Fecha</t>
        </is>
      </c>
      <c r="B8" s="69" t="inlineStr">
        <is>
          <t>Día</t>
        </is>
      </c>
      <c r="C8" s="69" t="inlineStr">
        <is>
          <t>Tipo de día</t>
        </is>
      </c>
      <c r="D8" s="69" t="inlineStr">
        <is>
          <t>Malcolm (h)</t>
        </is>
      </c>
      <c r="E8" s="69" t="inlineStr">
        <is>
          <t>proMX (h)</t>
        </is>
      </c>
      <c r="F8" s="69" t="inlineStr">
        <is>
          <t>Total imputado (h)</t>
        </is>
      </c>
      <c r="G8" s="69" t="inlineStr">
        <is>
          <t>Horas normales</t>
        </is>
      </c>
      <c r="H8" s="69" t="inlineStr">
        <is>
          <t>Horas extras</t>
        </is>
      </c>
      <c r="I8" s="69" t="inlineStr">
        <is>
          <t>Draft (h)</t>
        </is>
      </c>
      <c r="J8" s="69" t="inlineStr">
        <is>
          <t>Submitted (h)</t>
        </is>
      </c>
      <c r="K8" s="69" t="inlineStr">
        <is>
          <t>Approved (h)</t>
        </is>
      </c>
      <c r="L8" s="69" t="inlineStr">
        <is>
          <t>Horas objetivo</t>
        </is>
      </c>
      <c r="M8" s="69" t="inlineStr">
        <is>
          <t>Diferencia vs objetivo</t>
        </is>
      </c>
      <c r="N8" s="69" t="inlineStr">
        <is>
          <t>t</t>
        </is>
      </c>
    </row>
    <row r="9">
      <c r="A9" s="134" t="n">
        <v>46357</v>
      </c>
      <c r="B9" s="130" t="str">
        <f>CHOOSE(WEEKDAY(A9,2),"Lun","Mar","Mié","Jue","Vie","Sáb","Dom")</f>
        <v>Mar</v>
      </c>
      <c r="C9" s="13" t="str">
        <f>IF(COUNTIFS(FER_F,A9)&gt;0,"Feriado: "&amp;INDEX(FER_N,MATCH(A9,FER_F,0)),IF(WEEKDAY(A9,2)&gt;5,"Fin de semana",IF(INDEX(CFG_WDAYS,WEEKDAY(A9,2))="Sí","Laborable","No laborable")))</f>
        <v>Laborable</v>
      </c>
      <c r="D9" s="14">
        <f>SUMIFS(R_HD0,R_Emp,"Malcolm",R_Fecha,$A9)+SUMIFS(R_HD1,R_Emp,"Malcolm",R_D1,$A9)</f>
        <v>0</v>
      </c>
      <c r="E9" s="14">
        <f>SUMIFS(R_HD0,R_Emp,"proMX",R_Fecha,$A9)+SUMIFS(R_HD1,R_Emp,"proMX",R_D1,$A9)</f>
        <v>0</v>
      </c>
      <c r="F9" s="14">
        <f>D9+E9</f>
        <v>0</v>
      </c>
      <c r="G9" s="14">
        <f>SUMIFS(R_ND0,R_Fecha,$A9)+SUMIFS(R_ND1,R_D1,$A9)</f>
        <v>0</v>
      </c>
      <c r="H9" s="14">
        <f>SUMIFS(R_XD0,R_Fecha,$A9)+SUMIFS(R_XD1,R_D1,$A9)</f>
        <v>0</v>
      </c>
      <c r="I9" s="14">
        <f>SUMIFS(R_HD0,R_St,"Draft",R_Fecha,$A9)+SUMIFS(R_HD1,R_St,"Draft",R_D1,$A9)</f>
        <v>0</v>
      </c>
      <c r="J9" s="14">
        <f>SUMIFS(R_HD0,R_St,"Submitted",R_Fecha,$A9)+SUMIFS(R_HD1,R_St,"Submitted",R_D1,$A9)</f>
        <v>0</v>
      </c>
      <c r="K9" s="14">
        <f>SUMIFS(R_HD0,R_St,"Approved",R_Fecha,$A9)+SUMIFS(R_HD1,R_St,"Approved",R_D1,$A9)</f>
        <v>0</v>
      </c>
      <c r="L9" s="14">
        <f>IF(AND(INDEX(CFG_WDAYS,WEEKDAY(A9,2))="Sí",COUNTIFS(FER_F,A9,FER_OBJ,"Sí")=0),CFG_DH,0)</f>
        <v>8</v>
      </c>
      <c r="M9" s="14">
        <f>F9-L9</f>
        <v>-8</v>
      </c>
      <c r="N9" t="inlineStr">
        <is>
          <t>D</t>
        </is>
      </c>
    </row>
    <row r="10">
      <c r="A10" s="134" t="n">
        <v>46358</v>
      </c>
      <c r="B10" s="130" t="str">
        <f>CHOOSE(WEEKDAY(A10,2),"Lun","Mar","Mié","Jue","Vie","Sáb","Dom")</f>
        <v>Mié</v>
      </c>
      <c r="C10" s="13" t="str">
        <f>IF(COUNTIFS(FER_F,A10)&gt;0,"Feriado: "&amp;INDEX(FER_N,MATCH(A10,FER_F,0)),IF(WEEKDAY(A10,2)&gt;5,"Fin de semana",IF(INDEX(CFG_WDAYS,WEEKDAY(A10,2))="Sí","Laborable","No laborable")))</f>
        <v>Laborable</v>
      </c>
      <c r="D10" s="14">
        <f>SUMIFS(R_HD0,R_Emp,"Malcolm",R_Fecha,$A10)+SUMIFS(R_HD1,R_Emp,"Malcolm",R_D1,$A10)</f>
        <v>0</v>
      </c>
      <c r="E10" s="14">
        <f>SUMIFS(R_HD0,R_Emp,"proMX",R_Fecha,$A10)+SUMIFS(R_HD1,R_Emp,"proMX",R_D1,$A10)</f>
        <v>0</v>
      </c>
      <c r="F10" s="14">
        <f>D10+E10</f>
        <v>0</v>
      </c>
      <c r="G10" s="14">
        <f>SUMIFS(R_ND0,R_Fecha,$A10)+SUMIFS(R_ND1,R_D1,$A10)</f>
        <v>0</v>
      </c>
      <c r="H10" s="14">
        <f>SUMIFS(R_XD0,R_Fecha,$A10)+SUMIFS(R_XD1,R_D1,$A10)</f>
        <v>0</v>
      </c>
      <c r="I10" s="14">
        <f>SUMIFS(R_HD0,R_St,"Draft",R_Fecha,$A10)+SUMIFS(R_HD1,R_St,"Draft",R_D1,$A10)</f>
        <v>0</v>
      </c>
      <c r="J10" s="14">
        <f>SUMIFS(R_HD0,R_St,"Submitted",R_Fecha,$A10)+SUMIFS(R_HD1,R_St,"Submitted",R_D1,$A10)</f>
        <v>0</v>
      </c>
      <c r="K10" s="14">
        <f>SUMIFS(R_HD0,R_St,"Approved",R_Fecha,$A10)+SUMIFS(R_HD1,R_St,"Approved",R_D1,$A10)</f>
        <v>0</v>
      </c>
      <c r="L10" s="14">
        <f>IF(AND(INDEX(CFG_WDAYS,WEEKDAY(A10,2))="Sí",COUNTIFS(FER_F,A10,FER_OBJ,"Sí")=0),CFG_DH,0)</f>
        <v>8</v>
      </c>
      <c r="M10" s="14">
        <f>F10-L10</f>
        <v>-8</v>
      </c>
      <c r="N10" t="inlineStr">
        <is>
          <t>D</t>
        </is>
      </c>
    </row>
    <row r="11">
      <c r="A11" s="134" t="n">
        <v>46359</v>
      </c>
      <c r="B11" s="130" t="str">
        <f>CHOOSE(WEEKDAY(A11,2),"Lun","Mar","Mié","Jue","Vie","Sáb","Dom")</f>
        <v>Jue</v>
      </c>
      <c r="C11" s="13" t="str">
        <f>IF(COUNTIFS(FER_F,A11)&gt;0,"Feriado: "&amp;INDEX(FER_N,MATCH(A11,FER_F,0)),IF(WEEKDAY(A11,2)&gt;5,"Fin de semana",IF(INDEX(CFG_WDAYS,WEEKDAY(A11,2))="Sí","Laborable","No laborable")))</f>
        <v>Laborable</v>
      </c>
      <c r="D11" s="14">
        <f>SUMIFS(R_HD0,R_Emp,"Malcolm",R_Fecha,$A11)+SUMIFS(R_HD1,R_Emp,"Malcolm",R_D1,$A11)</f>
        <v>0</v>
      </c>
      <c r="E11" s="14">
        <f>SUMIFS(R_HD0,R_Emp,"proMX",R_Fecha,$A11)+SUMIFS(R_HD1,R_Emp,"proMX",R_D1,$A11)</f>
        <v>0</v>
      </c>
      <c r="F11" s="14">
        <f>D11+E11</f>
        <v>0</v>
      </c>
      <c r="G11" s="14">
        <f>SUMIFS(R_ND0,R_Fecha,$A11)+SUMIFS(R_ND1,R_D1,$A11)</f>
        <v>0</v>
      </c>
      <c r="H11" s="14">
        <f>SUMIFS(R_XD0,R_Fecha,$A11)+SUMIFS(R_XD1,R_D1,$A11)</f>
        <v>0</v>
      </c>
      <c r="I11" s="14">
        <f>SUMIFS(R_HD0,R_St,"Draft",R_Fecha,$A11)+SUMIFS(R_HD1,R_St,"Draft",R_D1,$A11)</f>
        <v>0</v>
      </c>
      <c r="J11" s="14">
        <f>SUMIFS(R_HD0,R_St,"Submitted",R_Fecha,$A11)+SUMIFS(R_HD1,R_St,"Submitted",R_D1,$A11)</f>
        <v>0</v>
      </c>
      <c r="K11" s="14">
        <f>SUMIFS(R_HD0,R_St,"Approved",R_Fecha,$A11)+SUMIFS(R_HD1,R_St,"Approved",R_D1,$A11)</f>
        <v>0</v>
      </c>
      <c r="L11" s="14">
        <f>IF(AND(INDEX(CFG_WDAYS,WEEKDAY(A11,2))="Sí",COUNTIFS(FER_F,A11,FER_OBJ,"Sí")=0),CFG_DH,0)</f>
        <v>8</v>
      </c>
      <c r="M11" s="14">
        <f>F11-L11</f>
        <v>-8</v>
      </c>
      <c r="N11" t="inlineStr">
        <is>
          <t>D</t>
        </is>
      </c>
    </row>
    <row r="12">
      <c r="A12" s="134" t="n">
        <v>46360</v>
      </c>
      <c r="B12" s="130" t="str">
        <f>CHOOSE(WEEKDAY(A12,2),"Lun","Mar","Mié","Jue","Vie","Sáb","Dom")</f>
        <v>Vie</v>
      </c>
      <c r="C12" s="13" t="str">
        <f>IF(COUNTIFS(FER_F,A12)&gt;0,"Feriado: "&amp;INDEX(FER_N,MATCH(A12,FER_F,0)),IF(WEEKDAY(A12,2)&gt;5,"Fin de semana",IF(INDEX(CFG_WDAYS,WEEKDAY(A12,2))="Sí","Laborable","No laborable")))</f>
        <v>Laborable</v>
      </c>
      <c r="D12" s="14">
        <f>SUMIFS(R_HD0,R_Emp,"Malcolm",R_Fecha,$A12)+SUMIFS(R_HD1,R_Emp,"Malcolm",R_D1,$A12)</f>
        <v>0</v>
      </c>
      <c r="E12" s="14">
        <f>SUMIFS(R_HD0,R_Emp,"proMX",R_Fecha,$A12)+SUMIFS(R_HD1,R_Emp,"proMX",R_D1,$A12)</f>
        <v>0</v>
      </c>
      <c r="F12" s="14">
        <f>D12+E12</f>
        <v>0</v>
      </c>
      <c r="G12" s="14">
        <f>SUMIFS(R_ND0,R_Fecha,$A12)+SUMIFS(R_ND1,R_D1,$A12)</f>
        <v>0</v>
      </c>
      <c r="H12" s="14">
        <f>SUMIFS(R_XD0,R_Fecha,$A12)+SUMIFS(R_XD1,R_D1,$A12)</f>
        <v>0</v>
      </c>
      <c r="I12" s="14">
        <f>SUMIFS(R_HD0,R_St,"Draft",R_Fecha,$A12)+SUMIFS(R_HD1,R_St,"Draft",R_D1,$A12)</f>
        <v>0</v>
      </c>
      <c r="J12" s="14">
        <f>SUMIFS(R_HD0,R_St,"Submitted",R_Fecha,$A12)+SUMIFS(R_HD1,R_St,"Submitted",R_D1,$A12)</f>
        <v>0</v>
      </c>
      <c r="K12" s="14">
        <f>SUMIFS(R_HD0,R_St,"Approved",R_Fecha,$A12)+SUMIFS(R_HD1,R_St,"Approved",R_D1,$A12)</f>
        <v>0</v>
      </c>
      <c r="L12" s="14">
        <f>IF(AND(INDEX(CFG_WDAYS,WEEKDAY(A12,2))="Sí",COUNTIFS(FER_F,A12,FER_OBJ,"Sí")=0),CFG_DH,0)</f>
        <v>8</v>
      </c>
      <c r="M12" s="14">
        <f>F12-L12</f>
        <v>-8</v>
      </c>
      <c r="N12" t="inlineStr">
        <is>
          <t>D</t>
        </is>
      </c>
    </row>
    <row r="13">
      <c r="A13" s="134" t="n">
        <v>46361</v>
      </c>
      <c r="B13" s="130" t="str">
        <f>CHOOSE(WEEKDAY(A13,2),"Lun","Mar","Mié","Jue","Vie","Sáb","Dom")</f>
        <v>Sáb</v>
      </c>
      <c r="C13" s="13" t="str">
        <f>IF(COUNTIFS(FER_F,A13)&gt;0,"Feriado: "&amp;INDEX(FER_N,MATCH(A13,FER_F,0)),IF(WEEKDAY(A13,2)&gt;5,"Fin de semana",IF(INDEX(CFG_WDAYS,WEEKDAY(A13,2))="Sí","Laborable","No laborable")))</f>
        <v>Fin de semana</v>
      </c>
      <c r="D13" s="14">
        <f>SUMIFS(R_HD0,R_Emp,"Malcolm",R_Fecha,$A13)+SUMIFS(R_HD1,R_Emp,"Malcolm",R_D1,$A13)</f>
        <v>0</v>
      </c>
      <c r="E13" s="14">
        <f>SUMIFS(R_HD0,R_Emp,"proMX",R_Fecha,$A13)+SUMIFS(R_HD1,R_Emp,"proMX",R_D1,$A13)</f>
        <v>0</v>
      </c>
      <c r="F13" s="14">
        <f>D13+E13</f>
        <v>0</v>
      </c>
      <c r="G13" s="14">
        <f>SUMIFS(R_ND0,R_Fecha,$A13)+SUMIFS(R_ND1,R_D1,$A13)</f>
        <v>0</v>
      </c>
      <c r="H13" s="14">
        <f>SUMIFS(R_XD0,R_Fecha,$A13)+SUMIFS(R_XD1,R_D1,$A13)</f>
        <v>0</v>
      </c>
      <c r="I13" s="14">
        <f>SUMIFS(R_HD0,R_St,"Draft",R_Fecha,$A13)+SUMIFS(R_HD1,R_St,"Draft",R_D1,$A13)</f>
        <v>0</v>
      </c>
      <c r="J13" s="14">
        <f>SUMIFS(R_HD0,R_St,"Submitted",R_Fecha,$A13)+SUMIFS(R_HD1,R_St,"Submitted",R_D1,$A13)</f>
        <v>0</v>
      </c>
      <c r="K13" s="14">
        <f>SUMIFS(R_HD0,R_St,"Approved",R_Fecha,$A13)+SUMIFS(R_HD1,R_St,"Approved",R_D1,$A13)</f>
        <v>0</v>
      </c>
      <c r="L13" s="14">
        <f>IF(AND(INDEX(CFG_WDAYS,WEEKDAY(A13,2))="Sí",COUNTIFS(FER_F,A13,FER_OBJ,"Sí")=0),CFG_DH,0)</f>
        <v>0</v>
      </c>
      <c r="M13" s="14">
        <f>F13-L13</f>
        <v>0</v>
      </c>
      <c r="N13" t="inlineStr">
        <is>
          <t>D</t>
        </is>
      </c>
    </row>
    <row r="14">
      <c r="A14" s="134" t="n">
        <v>46362</v>
      </c>
      <c r="B14" s="130" t="str">
        <f>CHOOSE(WEEKDAY(A14,2),"Lun","Mar","Mié","Jue","Vie","Sáb","Dom")</f>
        <v>Dom</v>
      </c>
      <c r="C14" s="13" t="str">
        <f>IF(COUNTIFS(FER_F,A14)&gt;0,"Feriado: "&amp;INDEX(FER_N,MATCH(A14,FER_F,0)),IF(WEEKDAY(A14,2)&gt;5,"Fin de semana",IF(INDEX(CFG_WDAYS,WEEKDAY(A14,2))="Sí","Laborable","No laborable")))</f>
        <v>Fin de semana</v>
      </c>
      <c r="D14" s="14">
        <f>SUMIFS(R_HD0,R_Emp,"Malcolm",R_Fecha,$A14)+SUMIFS(R_HD1,R_Emp,"Malcolm",R_D1,$A14)</f>
        <v>0</v>
      </c>
      <c r="E14" s="14">
        <f>SUMIFS(R_HD0,R_Emp,"proMX",R_Fecha,$A14)+SUMIFS(R_HD1,R_Emp,"proMX",R_D1,$A14)</f>
        <v>0</v>
      </c>
      <c r="F14" s="14">
        <f>D14+E14</f>
        <v>0</v>
      </c>
      <c r="G14" s="14">
        <f>SUMIFS(R_ND0,R_Fecha,$A14)+SUMIFS(R_ND1,R_D1,$A14)</f>
        <v>0</v>
      </c>
      <c r="H14" s="14">
        <f>SUMIFS(R_XD0,R_Fecha,$A14)+SUMIFS(R_XD1,R_D1,$A14)</f>
        <v>0</v>
      </c>
      <c r="I14" s="14">
        <f>SUMIFS(R_HD0,R_St,"Draft",R_Fecha,$A14)+SUMIFS(R_HD1,R_St,"Draft",R_D1,$A14)</f>
        <v>0</v>
      </c>
      <c r="J14" s="14">
        <f>SUMIFS(R_HD0,R_St,"Submitted",R_Fecha,$A14)+SUMIFS(R_HD1,R_St,"Submitted",R_D1,$A14)</f>
        <v>0</v>
      </c>
      <c r="K14" s="14">
        <f>SUMIFS(R_HD0,R_St,"Approved",R_Fecha,$A14)+SUMIFS(R_HD1,R_St,"Approved",R_D1,$A14)</f>
        <v>0</v>
      </c>
      <c r="L14" s="14">
        <f>IF(AND(INDEX(CFG_WDAYS,WEEKDAY(A14,2))="Sí",COUNTIFS(FER_F,A14,FER_OBJ,"Sí")=0),CFG_DH,0)</f>
        <v>0</v>
      </c>
      <c r="M14" s="14">
        <f>F14-L14</f>
        <v>0</v>
      </c>
      <c r="N14" t="inlineStr">
        <is>
          <t>D</t>
        </is>
      </c>
    </row>
    <row r="15">
      <c r="A15" s="188" t="inlineStr">
        <is>
          <t>Total semana Mar 01/12 – 06/12</t>
        </is>
      </c>
      <c r="B15" s="189" t="n"/>
      <c r="C15" s="189" t="n"/>
      <c r="D15" s="190">
        <f>SUM(D9:D14)</f>
        <v>0</v>
      </c>
      <c r="E15" s="190">
        <f>SUM(E9:E14)</f>
        <v>0</v>
      </c>
      <c r="F15" s="190">
        <f>SUM(F9:F14)</f>
        <v>0</v>
      </c>
      <c r="G15" s="190">
        <f>SUM(G9:G14)</f>
        <v>0</v>
      </c>
      <c r="H15" s="190">
        <f>SUM(H9:H14)</f>
        <v>0</v>
      </c>
      <c r="I15" s="190">
        <f>SUM(I9:I14)</f>
        <v>0</v>
      </c>
      <c r="J15" s="190">
        <f>SUM(J9:J14)</f>
        <v>0</v>
      </c>
      <c r="K15" s="190">
        <f>SUM(K9:K14)</f>
        <v>0</v>
      </c>
      <c r="L15" s="190">
        <f>MIN(CFG_WH,SUM(L9:L14))</f>
        <v>32</v>
      </c>
      <c r="M15" s="190">
        <f>F15-L15</f>
        <v>-32</v>
      </c>
      <c r="N15" t="inlineStr">
        <is>
          <t>S</t>
        </is>
      </c>
    </row>
    <row r="16">
      <c r="A16" s="134" t="n">
        <v>46363</v>
      </c>
      <c r="B16" s="130" t="str">
        <f>CHOOSE(WEEKDAY(A16,2),"Lun","Mar","Mié","Jue","Vie","Sáb","Dom")</f>
        <v>Lun</v>
      </c>
      <c r="C16" s="13" t="str">
        <f>IF(COUNTIFS(FER_F,A16)&gt;0,"Feriado: "&amp;INDEX(FER_N,MATCH(A16,FER_F,0)),IF(WEEKDAY(A16,2)&gt;5,"Fin de semana",IF(INDEX(CFG_WDAYS,WEEKDAY(A16,2))="Sí","Laborable","No laborable")))</f>
        <v>Laborable</v>
      </c>
      <c r="D16" s="14">
        <f>SUMIFS(R_HD0,R_Emp,"Malcolm",R_Fecha,$A16)+SUMIFS(R_HD1,R_Emp,"Malcolm",R_D1,$A16)</f>
        <v>0</v>
      </c>
      <c r="E16" s="14">
        <f>SUMIFS(R_HD0,R_Emp,"proMX",R_Fecha,$A16)+SUMIFS(R_HD1,R_Emp,"proMX",R_D1,$A16)</f>
        <v>0</v>
      </c>
      <c r="F16" s="14">
        <f>D16+E16</f>
        <v>0</v>
      </c>
      <c r="G16" s="14">
        <f>SUMIFS(R_ND0,R_Fecha,$A16)+SUMIFS(R_ND1,R_D1,$A16)</f>
        <v>0</v>
      </c>
      <c r="H16" s="14">
        <f>SUMIFS(R_XD0,R_Fecha,$A16)+SUMIFS(R_XD1,R_D1,$A16)</f>
        <v>0</v>
      </c>
      <c r="I16" s="14">
        <f>SUMIFS(R_HD0,R_St,"Draft",R_Fecha,$A16)+SUMIFS(R_HD1,R_St,"Draft",R_D1,$A16)</f>
        <v>0</v>
      </c>
      <c r="J16" s="14">
        <f>SUMIFS(R_HD0,R_St,"Submitted",R_Fecha,$A16)+SUMIFS(R_HD1,R_St,"Submitted",R_D1,$A16)</f>
        <v>0</v>
      </c>
      <c r="K16" s="14">
        <f>SUMIFS(R_HD0,R_St,"Approved",R_Fecha,$A16)+SUMIFS(R_HD1,R_St,"Approved",R_D1,$A16)</f>
        <v>0</v>
      </c>
      <c r="L16" s="14">
        <f>IF(AND(INDEX(CFG_WDAYS,WEEKDAY(A16,2))="Sí",COUNTIFS(FER_F,A16,FER_OBJ,"Sí")=0),CFG_DH,0)</f>
        <v>8</v>
      </c>
      <c r="M16" s="14">
        <f>F16-L16</f>
        <v>-8</v>
      </c>
      <c r="N16" t="inlineStr">
        <is>
          <t>D</t>
        </is>
      </c>
    </row>
    <row r="17">
      <c r="A17" s="134" t="n">
        <v>46364</v>
      </c>
      <c r="B17" s="130" t="str">
        <f>CHOOSE(WEEKDAY(A17,2),"Lun","Mar","Mié","Jue","Vie","Sáb","Dom")</f>
        <v>Mar</v>
      </c>
      <c r="C17" s="13" t="str">
        <f>IF(COUNTIFS(FER_F,A17)&gt;0,"Feriado: "&amp;INDEX(FER_N,MATCH(A17,FER_F,0)),IF(WEEKDAY(A17,2)&gt;5,"Fin de semana",IF(INDEX(CFG_WDAYS,WEEKDAY(A17,2))="Sí","Laborable","No laborable")))</f>
        <v>Laborable</v>
      </c>
      <c r="D17" s="14">
        <f>SUMIFS(R_HD0,R_Emp,"Malcolm",R_Fecha,$A17)+SUMIFS(R_HD1,R_Emp,"Malcolm",R_D1,$A17)</f>
        <v>0</v>
      </c>
      <c r="E17" s="14">
        <f>SUMIFS(R_HD0,R_Emp,"proMX",R_Fecha,$A17)+SUMIFS(R_HD1,R_Emp,"proMX",R_D1,$A17)</f>
        <v>0</v>
      </c>
      <c r="F17" s="14">
        <f>D17+E17</f>
        <v>0</v>
      </c>
      <c r="G17" s="14">
        <f>SUMIFS(R_ND0,R_Fecha,$A17)+SUMIFS(R_ND1,R_D1,$A17)</f>
        <v>0</v>
      </c>
      <c r="H17" s="14">
        <f>SUMIFS(R_XD0,R_Fecha,$A17)+SUMIFS(R_XD1,R_D1,$A17)</f>
        <v>0</v>
      </c>
      <c r="I17" s="14">
        <f>SUMIFS(R_HD0,R_St,"Draft",R_Fecha,$A17)+SUMIFS(R_HD1,R_St,"Draft",R_D1,$A17)</f>
        <v>0</v>
      </c>
      <c r="J17" s="14">
        <f>SUMIFS(R_HD0,R_St,"Submitted",R_Fecha,$A17)+SUMIFS(R_HD1,R_St,"Submitted",R_D1,$A17)</f>
        <v>0</v>
      </c>
      <c r="K17" s="14">
        <f>SUMIFS(R_HD0,R_St,"Approved",R_Fecha,$A17)+SUMIFS(R_HD1,R_St,"Approved",R_D1,$A17)</f>
        <v>0</v>
      </c>
      <c r="L17" s="14">
        <f>IF(AND(INDEX(CFG_WDAYS,WEEKDAY(A17,2))="Sí",COUNTIFS(FER_F,A17,FER_OBJ,"Sí")=0),CFG_DH,0)</f>
        <v>8</v>
      </c>
      <c r="M17" s="14">
        <f>F17-L17</f>
        <v>-8</v>
      </c>
      <c r="N17" t="inlineStr">
        <is>
          <t>D</t>
        </is>
      </c>
    </row>
    <row r="18">
      <c r="A18" s="134" t="n">
        <v>46365</v>
      </c>
      <c r="B18" s="130" t="str">
        <f>CHOOSE(WEEKDAY(A18,2),"Lun","Mar","Mié","Jue","Vie","Sáb","Dom")</f>
        <v>Mié</v>
      </c>
      <c r="C18" s="13" t="str">
        <f>IF(COUNTIFS(FER_F,A18)&gt;0,"Feriado: "&amp;INDEX(FER_N,MATCH(A18,FER_F,0)),IF(WEEKDAY(A18,2)&gt;5,"Fin de semana",IF(INDEX(CFG_WDAYS,WEEKDAY(A18,2))="Sí","Laborable","No laborable")))</f>
        <v>Laborable</v>
      </c>
      <c r="D18" s="14">
        <f>SUMIFS(R_HD0,R_Emp,"Malcolm",R_Fecha,$A18)+SUMIFS(R_HD1,R_Emp,"Malcolm",R_D1,$A18)</f>
        <v>0</v>
      </c>
      <c r="E18" s="14">
        <f>SUMIFS(R_HD0,R_Emp,"proMX",R_Fecha,$A18)+SUMIFS(R_HD1,R_Emp,"proMX",R_D1,$A18)</f>
        <v>0</v>
      </c>
      <c r="F18" s="14">
        <f>D18+E18</f>
        <v>0</v>
      </c>
      <c r="G18" s="14">
        <f>SUMIFS(R_ND0,R_Fecha,$A18)+SUMIFS(R_ND1,R_D1,$A18)</f>
        <v>0</v>
      </c>
      <c r="H18" s="14">
        <f>SUMIFS(R_XD0,R_Fecha,$A18)+SUMIFS(R_XD1,R_D1,$A18)</f>
        <v>0</v>
      </c>
      <c r="I18" s="14">
        <f>SUMIFS(R_HD0,R_St,"Draft",R_Fecha,$A18)+SUMIFS(R_HD1,R_St,"Draft",R_D1,$A18)</f>
        <v>0</v>
      </c>
      <c r="J18" s="14">
        <f>SUMIFS(R_HD0,R_St,"Submitted",R_Fecha,$A18)+SUMIFS(R_HD1,R_St,"Submitted",R_D1,$A18)</f>
        <v>0</v>
      </c>
      <c r="K18" s="14">
        <f>SUMIFS(R_HD0,R_St,"Approved",R_Fecha,$A18)+SUMIFS(R_HD1,R_St,"Approved",R_D1,$A18)</f>
        <v>0</v>
      </c>
      <c r="L18" s="14">
        <f>IF(AND(INDEX(CFG_WDAYS,WEEKDAY(A18,2))="Sí",COUNTIFS(FER_F,A18,FER_OBJ,"Sí")=0),CFG_DH,0)</f>
        <v>8</v>
      </c>
      <c r="M18" s="14">
        <f>F18-L18</f>
        <v>-8</v>
      </c>
      <c r="N18" t="inlineStr">
        <is>
          <t>D</t>
        </is>
      </c>
    </row>
    <row r="19">
      <c r="A19" s="134" t="n">
        <v>46366</v>
      </c>
      <c r="B19" s="130" t="str">
        <f>CHOOSE(WEEKDAY(A19,2),"Lun","Mar","Mié","Jue","Vie","Sáb","Dom")</f>
        <v>Jue</v>
      </c>
      <c r="C19" s="13" t="str">
        <f>IF(COUNTIFS(FER_F,A19)&gt;0,"Feriado: "&amp;INDEX(FER_N,MATCH(A19,FER_F,0)),IF(WEEKDAY(A19,2)&gt;5,"Fin de semana",IF(INDEX(CFG_WDAYS,WEEKDAY(A19,2))="Sí","Laborable","No laborable")))</f>
        <v>Laborable</v>
      </c>
      <c r="D19" s="14">
        <f>SUMIFS(R_HD0,R_Emp,"Malcolm",R_Fecha,$A19)+SUMIFS(R_HD1,R_Emp,"Malcolm",R_D1,$A19)</f>
        <v>0</v>
      </c>
      <c r="E19" s="14">
        <f>SUMIFS(R_HD0,R_Emp,"proMX",R_Fecha,$A19)+SUMIFS(R_HD1,R_Emp,"proMX",R_D1,$A19)</f>
        <v>0</v>
      </c>
      <c r="F19" s="14">
        <f>D19+E19</f>
        <v>0</v>
      </c>
      <c r="G19" s="14">
        <f>SUMIFS(R_ND0,R_Fecha,$A19)+SUMIFS(R_ND1,R_D1,$A19)</f>
        <v>0</v>
      </c>
      <c r="H19" s="14">
        <f>SUMIFS(R_XD0,R_Fecha,$A19)+SUMIFS(R_XD1,R_D1,$A19)</f>
        <v>0</v>
      </c>
      <c r="I19" s="14">
        <f>SUMIFS(R_HD0,R_St,"Draft",R_Fecha,$A19)+SUMIFS(R_HD1,R_St,"Draft",R_D1,$A19)</f>
        <v>0</v>
      </c>
      <c r="J19" s="14">
        <f>SUMIFS(R_HD0,R_St,"Submitted",R_Fecha,$A19)+SUMIFS(R_HD1,R_St,"Submitted",R_D1,$A19)</f>
        <v>0</v>
      </c>
      <c r="K19" s="14">
        <f>SUMIFS(R_HD0,R_St,"Approved",R_Fecha,$A19)+SUMIFS(R_HD1,R_St,"Approved",R_D1,$A19)</f>
        <v>0</v>
      </c>
      <c r="L19" s="14">
        <f>IF(AND(INDEX(CFG_WDAYS,WEEKDAY(A19,2))="Sí",COUNTIFS(FER_F,A19,FER_OBJ,"Sí")=0),CFG_DH,0)</f>
        <v>8</v>
      </c>
      <c r="M19" s="14">
        <f>F19-L19</f>
        <v>-8</v>
      </c>
      <c r="N19" t="inlineStr">
        <is>
          <t>D</t>
        </is>
      </c>
    </row>
    <row r="20">
      <c r="A20" s="134" t="n">
        <v>46367</v>
      </c>
      <c r="B20" s="130" t="str">
        <f>CHOOSE(WEEKDAY(A20,2),"Lun","Mar","Mié","Jue","Vie","Sáb","Dom")</f>
        <v>Vie</v>
      </c>
      <c r="C20" s="13" t="str">
        <f>IF(COUNTIFS(FER_F,A20)&gt;0,"Feriado: "&amp;INDEX(FER_N,MATCH(A20,FER_F,0)),IF(WEEKDAY(A20,2)&gt;5,"Fin de semana",IF(INDEX(CFG_WDAYS,WEEKDAY(A20,2))="Sí","Laborable","No laborable")))</f>
        <v>Laborable</v>
      </c>
      <c r="D20" s="14">
        <f>SUMIFS(R_HD0,R_Emp,"Malcolm",R_Fecha,$A20)+SUMIFS(R_HD1,R_Emp,"Malcolm",R_D1,$A20)</f>
        <v>0</v>
      </c>
      <c r="E20" s="14">
        <f>SUMIFS(R_HD0,R_Emp,"proMX",R_Fecha,$A20)+SUMIFS(R_HD1,R_Emp,"proMX",R_D1,$A20)</f>
        <v>0</v>
      </c>
      <c r="F20" s="14">
        <f>D20+E20</f>
        <v>0</v>
      </c>
      <c r="G20" s="14">
        <f>SUMIFS(R_ND0,R_Fecha,$A20)+SUMIFS(R_ND1,R_D1,$A20)</f>
        <v>0</v>
      </c>
      <c r="H20" s="14">
        <f>SUMIFS(R_XD0,R_Fecha,$A20)+SUMIFS(R_XD1,R_D1,$A20)</f>
        <v>0</v>
      </c>
      <c r="I20" s="14">
        <f>SUMIFS(R_HD0,R_St,"Draft",R_Fecha,$A20)+SUMIFS(R_HD1,R_St,"Draft",R_D1,$A20)</f>
        <v>0</v>
      </c>
      <c r="J20" s="14">
        <f>SUMIFS(R_HD0,R_St,"Submitted",R_Fecha,$A20)+SUMIFS(R_HD1,R_St,"Submitted",R_D1,$A20)</f>
        <v>0</v>
      </c>
      <c r="K20" s="14">
        <f>SUMIFS(R_HD0,R_St,"Approved",R_Fecha,$A20)+SUMIFS(R_HD1,R_St,"Approved",R_D1,$A20)</f>
        <v>0</v>
      </c>
      <c r="L20" s="14">
        <f>IF(AND(INDEX(CFG_WDAYS,WEEKDAY(A20,2))="Sí",COUNTIFS(FER_F,A20,FER_OBJ,"Sí")=0),CFG_DH,0)</f>
        <v>8</v>
      </c>
      <c r="M20" s="14">
        <f>F20-L20</f>
        <v>-8</v>
      </c>
      <c r="N20" t="inlineStr">
        <is>
          <t>D</t>
        </is>
      </c>
    </row>
    <row r="21">
      <c r="A21" s="134" t="n">
        <v>46368</v>
      </c>
      <c r="B21" s="130" t="str">
        <f>CHOOSE(WEEKDAY(A21,2),"Lun","Mar","Mié","Jue","Vie","Sáb","Dom")</f>
        <v>Sáb</v>
      </c>
      <c r="C21" s="13" t="str">
        <f>IF(COUNTIFS(FER_F,A21)&gt;0,"Feriado: "&amp;INDEX(FER_N,MATCH(A21,FER_F,0)),IF(WEEKDAY(A21,2)&gt;5,"Fin de semana",IF(INDEX(CFG_WDAYS,WEEKDAY(A21,2))="Sí","Laborable","No laborable")))</f>
        <v>Fin de semana</v>
      </c>
      <c r="D21" s="14">
        <f>SUMIFS(R_HD0,R_Emp,"Malcolm",R_Fecha,$A21)+SUMIFS(R_HD1,R_Emp,"Malcolm",R_D1,$A21)</f>
        <v>0</v>
      </c>
      <c r="E21" s="14">
        <f>SUMIFS(R_HD0,R_Emp,"proMX",R_Fecha,$A21)+SUMIFS(R_HD1,R_Emp,"proMX",R_D1,$A21)</f>
        <v>0</v>
      </c>
      <c r="F21" s="14">
        <f>D21+E21</f>
        <v>0</v>
      </c>
      <c r="G21" s="14">
        <f>SUMIFS(R_ND0,R_Fecha,$A21)+SUMIFS(R_ND1,R_D1,$A21)</f>
        <v>0</v>
      </c>
      <c r="H21" s="14">
        <f>SUMIFS(R_XD0,R_Fecha,$A21)+SUMIFS(R_XD1,R_D1,$A21)</f>
        <v>0</v>
      </c>
      <c r="I21" s="14">
        <f>SUMIFS(R_HD0,R_St,"Draft",R_Fecha,$A21)+SUMIFS(R_HD1,R_St,"Draft",R_D1,$A21)</f>
        <v>0</v>
      </c>
      <c r="J21" s="14">
        <f>SUMIFS(R_HD0,R_St,"Submitted",R_Fecha,$A21)+SUMIFS(R_HD1,R_St,"Submitted",R_D1,$A21)</f>
        <v>0</v>
      </c>
      <c r="K21" s="14">
        <f>SUMIFS(R_HD0,R_St,"Approved",R_Fecha,$A21)+SUMIFS(R_HD1,R_St,"Approved",R_D1,$A21)</f>
        <v>0</v>
      </c>
      <c r="L21" s="14">
        <f>IF(AND(INDEX(CFG_WDAYS,WEEKDAY(A21,2))="Sí",COUNTIFS(FER_F,A21,FER_OBJ,"Sí")=0),CFG_DH,0)</f>
        <v>0</v>
      </c>
      <c r="M21" s="14">
        <f>F21-L21</f>
        <v>0</v>
      </c>
      <c r="N21" t="inlineStr">
        <is>
          <t>D</t>
        </is>
      </c>
    </row>
    <row r="22">
      <c r="A22" s="134" t="n">
        <v>46369</v>
      </c>
      <c r="B22" s="130" t="str">
        <f>CHOOSE(WEEKDAY(A22,2),"Lun","Mar","Mié","Jue","Vie","Sáb","Dom")</f>
        <v>Dom</v>
      </c>
      <c r="C22" s="13" t="str">
        <f>IF(COUNTIFS(FER_F,A22)&gt;0,"Feriado: "&amp;INDEX(FER_N,MATCH(A22,FER_F,0)),IF(WEEKDAY(A22,2)&gt;5,"Fin de semana",IF(INDEX(CFG_WDAYS,WEEKDAY(A22,2))="Sí","Laborable","No laborable")))</f>
        <v>Fin de semana</v>
      </c>
      <c r="D22" s="14">
        <f>SUMIFS(R_HD0,R_Emp,"Malcolm",R_Fecha,$A22)+SUMIFS(R_HD1,R_Emp,"Malcolm",R_D1,$A22)</f>
        <v>0</v>
      </c>
      <c r="E22" s="14">
        <f>SUMIFS(R_HD0,R_Emp,"proMX",R_Fecha,$A22)+SUMIFS(R_HD1,R_Emp,"proMX",R_D1,$A22)</f>
        <v>0</v>
      </c>
      <c r="F22" s="14">
        <f>D22+E22</f>
        <v>0</v>
      </c>
      <c r="G22" s="14">
        <f>SUMIFS(R_ND0,R_Fecha,$A22)+SUMIFS(R_ND1,R_D1,$A22)</f>
        <v>0</v>
      </c>
      <c r="H22" s="14">
        <f>SUMIFS(R_XD0,R_Fecha,$A22)+SUMIFS(R_XD1,R_D1,$A22)</f>
        <v>0</v>
      </c>
      <c r="I22" s="14">
        <f>SUMIFS(R_HD0,R_St,"Draft",R_Fecha,$A22)+SUMIFS(R_HD1,R_St,"Draft",R_D1,$A22)</f>
        <v>0</v>
      </c>
      <c r="J22" s="14">
        <f>SUMIFS(R_HD0,R_St,"Submitted",R_Fecha,$A22)+SUMIFS(R_HD1,R_St,"Submitted",R_D1,$A22)</f>
        <v>0</v>
      </c>
      <c r="K22" s="14">
        <f>SUMIFS(R_HD0,R_St,"Approved",R_Fecha,$A22)+SUMIFS(R_HD1,R_St,"Approved",R_D1,$A22)</f>
        <v>0</v>
      </c>
      <c r="L22" s="14">
        <f>IF(AND(INDEX(CFG_WDAYS,WEEKDAY(A22,2))="Sí",COUNTIFS(FER_F,A22,FER_OBJ,"Sí")=0),CFG_DH,0)</f>
        <v>0</v>
      </c>
      <c r="M22" s="14">
        <f>F22-L22</f>
        <v>0</v>
      </c>
      <c r="N22" t="inlineStr">
        <is>
          <t>D</t>
        </is>
      </c>
    </row>
    <row r="23">
      <c r="A23" s="188" t="inlineStr">
        <is>
          <t>Total semana Lun 07/12 – 13/12</t>
        </is>
      </c>
      <c r="B23" s="189" t="n"/>
      <c r="C23" s="189" t="n"/>
      <c r="D23" s="190">
        <f>SUM(D16:D22)</f>
        <v>0</v>
      </c>
      <c r="E23" s="190">
        <f>SUM(E16:E22)</f>
        <v>0</v>
      </c>
      <c r="F23" s="190">
        <f>SUM(F16:F22)</f>
        <v>0</v>
      </c>
      <c r="G23" s="190">
        <f>SUM(G16:G22)</f>
        <v>0</v>
      </c>
      <c r="H23" s="190">
        <f>SUM(H16:H22)</f>
        <v>0</v>
      </c>
      <c r="I23" s="190">
        <f>SUM(I16:I22)</f>
        <v>0</v>
      </c>
      <c r="J23" s="190">
        <f>SUM(J16:J22)</f>
        <v>0</v>
      </c>
      <c r="K23" s="190">
        <f>SUM(K16:K22)</f>
        <v>0</v>
      </c>
      <c r="L23" s="190">
        <f>MIN(CFG_WH,SUM(L16:L22))</f>
        <v>40</v>
      </c>
      <c r="M23" s="190">
        <f>F23-L23</f>
        <v>-40</v>
      </c>
      <c r="N23" t="inlineStr">
        <is>
          <t>S</t>
        </is>
      </c>
    </row>
    <row r="24">
      <c r="A24" s="134" t="n">
        <v>46370</v>
      </c>
      <c r="B24" s="130" t="str">
        <f>CHOOSE(WEEKDAY(A24,2),"Lun","Mar","Mié","Jue","Vie","Sáb","Dom")</f>
        <v>Lun</v>
      </c>
      <c r="C24" s="13" t="str">
        <f>IF(COUNTIFS(FER_F,A24)&gt;0,"Feriado: "&amp;INDEX(FER_N,MATCH(A24,FER_F,0)),IF(WEEKDAY(A24,2)&gt;5,"Fin de semana",IF(INDEX(CFG_WDAYS,WEEKDAY(A24,2))="Sí","Laborable","No laborable")))</f>
        <v>Laborable</v>
      </c>
      <c r="D24" s="14">
        <f>SUMIFS(R_HD0,R_Emp,"Malcolm",R_Fecha,$A24)+SUMIFS(R_HD1,R_Emp,"Malcolm",R_D1,$A24)</f>
        <v>0</v>
      </c>
      <c r="E24" s="14">
        <f>SUMIFS(R_HD0,R_Emp,"proMX",R_Fecha,$A24)+SUMIFS(R_HD1,R_Emp,"proMX",R_D1,$A24)</f>
        <v>0</v>
      </c>
      <c r="F24" s="14">
        <f>D24+E24</f>
        <v>0</v>
      </c>
      <c r="G24" s="14">
        <f>SUMIFS(R_ND0,R_Fecha,$A24)+SUMIFS(R_ND1,R_D1,$A24)</f>
        <v>0</v>
      </c>
      <c r="H24" s="14">
        <f>SUMIFS(R_XD0,R_Fecha,$A24)+SUMIFS(R_XD1,R_D1,$A24)</f>
        <v>0</v>
      </c>
      <c r="I24" s="14">
        <f>SUMIFS(R_HD0,R_St,"Draft",R_Fecha,$A24)+SUMIFS(R_HD1,R_St,"Draft",R_D1,$A24)</f>
        <v>0</v>
      </c>
      <c r="J24" s="14">
        <f>SUMIFS(R_HD0,R_St,"Submitted",R_Fecha,$A24)+SUMIFS(R_HD1,R_St,"Submitted",R_D1,$A24)</f>
        <v>0</v>
      </c>
      <c r="K24" s="14">
        <f>SUMIFS(R_HD0,R_St,"Approved",R_Fecha,$A24)+SUMIFS(R_HD1,R_St,"Approved",R_D1,$A24)</f>
        <v>0</v>
      </c>
      <c r="L24" s="14">
        <f>IF(AND(INDEX(CFG_WDAYS,WEEKDAY(A24,2))="Sí",COUNTIFS(FER_F,A24,FER_OBJ,"Sí")=0),CFG_DH,0)</f>
        <v>8</v>
      </c>
      <c r="M24" s="14">
        <f>F24-L24</f>
        <v>-8</v>
      </c>
      <c r="N24" t="inlineStr">
        <is>
          <t>D</t>
        </is>
      </c>
    </row>
    <row r="25">
      <c r="A25" s="134" t="n">
        <v>46371</v>
      </c>
      <c r="B25" s="130" t="str">
        <f>CHOOSE(WEEKDAY(A25,2),"Lun","Mar","Mié","Jue","Vie","Sáb","Dom")</f>
        <v>Mar</v>
      </c>
      <c r="C25" s="13" t="str">
        <f>IF(COUNTIFS(FER_F,A25)&gt;0,"Feriado: "&amp;INDEX(FER_N,MATCH(A25,FER_F,0)),IF(WEEKDAY(A25,2)&gt;5,"Fin de semana",IF(INDEX(CFG_WDAYS,WEEKDAY(A25,2))="Sí","Laborable","No laborable")))</f>
        <v>Laborable</v>
      </c>
      <c r="D25" s="14">
        <f>SUMIFS(R_HD0,R_Emp,"Malcolm",R_Fecha,$A25)+SUMIFS(R_HD1,R_Emp,"Malcolm",R_D1,$A25)</f>
        <v>0</v>
      </c>
      <c r="E25" s="14">
        <f>SUMIFS(R_HD0,R_Emp,"proMX",R_Fecha,$A25)+SUMIFS(R_HD1,R_Emp,"proMX",R_D1,$A25)</f>
        <v>0</v>
      </c>
      <c r="F25" s="14">
        <f>D25+E25</f>
        <v>0</v>
      </c>
      <c r="G25" s="14">
        <f>SUMIFS(R_ND0,R_Fecha,$A25)+SUMIFS(R_ND1,R_D1,$A25)</f>
        <v>0</v>
      </c>
      <c r="H25" s="14">
        <f>SUMIFS(R_XD0,R_Fecha,$A25)+SUMIFS(R_XD1,R_D1,$A25)</f>
        <v>0</v>
      </c>
      <c r="I25" s="14">
        <f>SUMIFS(R_HD0,R_St,"Draft",R_Fecha,$A25)+SUMIFS(R_HD1,R_St,"Draft",R_D1,$A25)</f>
        <v>0</v>
      </c>
      <c r="J25" s="14">
        <f>SUMIFS(R_HD0,R_St,"Submitted",R_Fecha,$A25)+SUMIFS(R_HD1,R_St,"Submitted",R_D1,$A25)</f>
        <v>0</v>
      </c>
      <c r="K25" s="14">
        <f>SUMIFS(R_HD0,R_St,"Approved",R_Fecha,$A25)+SUMIFS(R_HD1,R_St,"Approved",R_D1,$A25)</f>
        <v>0</v>
      </c>
      <c r="L25" s="14">
        <f>IF(AND(INDEX(CFG_WDAYS,WEEKDAY(A25,2))="Sí",COUNTIFS(FER_F,A25,FER_OBJ,"Sí")=0),CFG_DH,0)</f>
        <v>8</v>
      </c>
      <c r="M25" s="14">
        <f>F25-L25</f>
        <v>-8</v>
      </c>
      <c r="N25" t="inlineStr">
        <is>
          <t>D</t>
        </is>
      </c>
    </row>
    <row r="26">
      <c r="A26" s="134" t="n">
        <v>46372</v>
      </c>
      <c r="B26" s="130" t="str">
        <f>CHOOSE(WEEKDAY(A26,2),"Lun","Mar","Mié","Jue","Vie","Sáb","Dom")</f>
        <v>Mié</v>
      </c>
      <c r="C26" s="13" t="str">
        <f>IF(COUNTIFS(FER_F,A26)&gt;0,"Feriado: "&amp;INDEX(FER_N,MATCH(A26,FER_F,0)),IF(WEEKDAY(A26,2)&gt;5,"Fin de semana",IF(INDEX(CFG_WDAYS,WEEKDAY(A26,2))="Sí","Laborable","No laborable")))</f>
        <v>Laborable</v>
      </c>
      <c r="D26" s="14">
        <f>SUMIFS(R_HD0,R_Emp,"Malcolm",R_Fecha,$A26)+SUMIFS(R_HD1,R_Emp,"Malcolm",R_D1,$A26)</f>
        <v>0</v>
      </c>
      <c r="E26" s="14">
        <f>SUMIFS(R_HD0,R_Emp,"proMX",R_Fecha,$A26)+SUMIFS(R_HD1,R_Emp,"proMX",R_D1,$A26)</f>
        <v>0</v>
      </c>
      <c r="F26" s="14">
        <f>D26+E26</f>
        <v>0</v>
      </c>
      <c r="G26" s="14">
        <f>SUMIFS(R_ND0,R_Fecha,$A26)+SUMIFS(R_ND1,R_D1,$A26)</f>
        <v>0</v>
      </c>
      <c r="H26" s="14">
        <f>SUMIFS(R_XD0,R_Fecha,$A26)+SUMIFS(R_XD1,R_D1,$A26)</f>
        <v>0</v>
      </c>
      <c r="I26" s="14">
        <f>SUMIFS(R_HD0,R_St,"Draft",R_Fecha,$A26)+SUMIFS(R_HD1,R_St,"Draft",R_D1,$A26)</f>
        <v>0</v>
      </c>
      <c r="J26" s="14">
        <f>SUMIFS(R_HD0,R_St,"Submitted",R_Fecha,$A26)+SUMIFS(R_HD1,R_St,"Submitted",R_D1,$A26)</f>
        <v>0</v>
      </c>
      <c r="K26" s="14">
        <f>SUMIFS(R_HD0,R_St,"Approved",R_Fecha,$A26)+SUMIFS(R_HD1,R_St,"Approved",R_D1,$A26)</f>
        <v>0</v>
      </c>
      <c r="L26" s="14">
        <f>IF(AND(INDEX(CFG_WDAYS,WEEKDAY(A26,2))="Sí",COUNTIFS(FER_F,A26,FER_OBJ,"Sí")=0),CFG_DH,0)</f>
        <v>8</v>
      </c>
      <c r="M26" s="14">
        <f>F26-L26</f>
        <v>-8</v>
      </c>
      <c r="N26" t="inlineStr">
        <is>
          <t>D</t>
        </is>
      </c>
    </row>
    <row r="27">
      <c r="A27" s="134" t="n">
        <v>46373</v>
      </c>
      <c r="B27" s="130" t="str">
        <f>CHOOSE(WEEKDAY(A27,2),"Lun","Mar","Mié","Jue","Vie","Sáb","Dom")</f>
        <v>Jue</v>
      </c>
      <c r="C27" s="13" t="str">
        <f>IF(COUNTIFS(FER_F,A27)&gt;0,"Feriado: "&amp;INDEX(FER_N,MATCH(A27,FER_F,0)),IF(WEEKDAY(A27,2)&gt;5,"Fin de semana",IF(INDEX(CFG_WDAYS,WEEKDAY(A27,2))="Sí","Laborable","No laborable")))</f>
        <v>Laborable</v>
      </c>
      <c r="D27" s="14">
        <f>SUMIFS(R_HD0,R_Emp,"Malcolm",R_Fecha,$A27)+SUMIFS(R_HD1,R_Emp,"Malcolm",R_D1,$A27)</f>
        <v>0</v>
      </c>
      <c r="E27" s="14">
        <f>SUMIFS(R_HD0,R_Emp,"proMX",R_Fecha,$A27)+SUMIFS(R_HD1,R_Emp,"proMX",R_D1,$A27)</f>
        <v>0</v>
      </c>
      <c r="F27" s="14">
        <f>D27+E27</f>
        <v>0</v>
      </c>
      <c r="G27" s="14">
        <f>SUMIFS(R_ND0,R_Fecha,$A27)+SUMIFS(R_ND1,R_D1,$A27)</f>
        <v>0</v>
      </c>
      <c r="H27" s="14">
        <f>SUMIFS(R_XD0,R_Fecha,$A27)+SUMIFS(R_XD1,R_D1,$A27)</f>
        <v>0</v>
      </c>
      <c r="I27" s="14">
        <f>SUMIFS(R_HD0,R_St,"Draft",R_Fecha,$A27)+SUMIFS(R_HD1,R_St,"Draft",R_D1,$A27)</f>
        <v>0</v>
      </c>
      <c r="J27" s="14">
        <f>SUMIFS(R_HD0,R_St,"Submitted",R_Fecha,$A27)+SUMIFS(R_HD1,R_St,"Submitted",R_D1,$A27)</f>
        <v>0</v>
      </c>
      <c r="K27" s="14">
        <f>SUMIFS(R_HD0,R_St,"Approved",R_Fecha,$A27)+SUMIFS(R_HD1,R_St,"Approved",R_D1,$A27)</f>
        <v>0</v>
      </c>
      <c r="L27" s="14">
        <f>IF(AND(INDEX(CFG_WDAYS,WEEKDAY(A27,2))="Sí",COUNTIFS(FER_F,A27,FER_OBJ,"Sí")=0),CFG_DH,0)</f>
        <v>8</v>
      </c>
      <c r="M27" s="14">
        <f>F27-L27</f>
        <v>-8</v>
      </c>
      <c r="N27" t="inlineStr">
        <is>
          <t>D</t>
        </is>
      </c>
    </row>
    <row r="28">
      <c r="A28" s="134" t="n">
        <v>46374</v>
      </c>
      <c r="B28" s="130" t="str">
        <f>CHOOSE(WEEKDAY(A28,2),"Lun","Mar","Mié","Jue","Vie","Sáb","Dom")</f>
        <v>Vie</v>
      </c>
      <c r="C28" s="13" t="str">
        <f>IF(COUNTIFS(FER_F,A28)&gt;0,"Feriado: "&amp;INDEX(FER_N,MATCH(A28,FER_F,0)),IF(WEEKDAY(A28,2)&gt;5,"Fin de semana",IF(INDEX(CFG_WDAYS,WEEKDAY(A28,2))="Sí","Laborable","No laborable")))</f>
        <v>Laborable</v>
      </c>
      <c r="D28" s="14">
        <f>SUMIFS(R_HD0,R_Emp,"Malcolm",R_Fecha,$A28)+SUMIFS(R_HD1,R_Emp,"Malcolm",R_D1,$A28)</f>
        <v>0</v>
      </c>
      <c r="E28" s="14">
        <f>SUMIFS(R_HD0,R_Emp,"proMX",R_Fecha,$A28)+SUMIFS(R_HD1,R_Emp,"proMX",R_D1,$A28)</f>
        <v>0</v>
      </c>
      <c r="F28" s="14">
        <f>D28+E28</f>
        <v>0</v>
      </c>
      <c r="G28" s="14">
        <f>SUMIFS(R_ND0,R_Fecha,$A28)+SUMIFS(R_ND1,R_D1,$A28)</f>
        <v>0</v>
      </c>
      <c r="H28" s="14">
        <f>SUMIFS(R_XD0,R_Fecha,$A28)+SUMIFS(R_XD1,R_D1,$A28)</f>
        <v>0</v>
      </c>
      <c r="I28" s="14">
        <f>SUMIFS(R_HD0,R_St,"Draft",R_Fecha,$A28)+SUMIFS(R_HD1,R_St,"Draft",R_D1,$A28)</f>
        <v>0</v>
      </c>
      <c r="J28" s="14">
        <f>SUMIFS(R_HD0,R_St,"Submitted",R_Fecha,$A28)+SUMIFS(R_HD1,R_St,"Submitted",R_D1,$A28)</f>
        <v>0</v>
      </c>
      <c r="K28" s="14">
        <f>SUMIFS(R_HD0,R_St,"Approved",R_Fecha,$A28)+SUMIFS(R_HD1,R_St,"Approved",R_D1,$A28)</f>
        <v>0</v>
      </c>
      <c r="L28" s="14">
        <f>IF(AND(INDEX(CFG_WDAYS,WEEKDAY(A28,2))="Sí",COUNTIFS(FER_F,A28,FER_OBJ,"Sí")=0),CFG_DH,0)</f>
        <v>8</v>
      </c>
      <c r="M28" s="14">
        <f>F28-L28</f>
        <v>-8</v>
      </c>
      <c r="N28" t="inlineStr">
        <is>
          <t>D</t>
        </is>
      </c>
    </row>
    <row r="29">
      <c r="A29" s="134" t="n">
        <v>46375</v>
      </c>
      <c r="B29" s="130" t="str">
        <f>CHOOSE(WEEKDAY(A29,2),"Lun","Mar","Mié","Jue","Vie","Sáb","Dom")</f>
        <v>Sáb</v>
      </c>
      <c r="C29" s="13" t="str">
        <f>IF(COUNTIFS(FER_F,A29)&gt;0,"Feriado: "&amp;INDEX(FER_N,MATCH(A29,FER_F,0)),IF(WEEKDAY(A29,2)&gt;5,"Fin de semana",IF(INDEX(CFG_WDAYS,WEEKDAY(A29,2))="Sí","Laborable","No laborable")))</f>
        <v>Fin de semana</v>
      </c>
      <c r="D29" s="14">
        <f>SUMIFS(R_HD0,R_Emp,"Malcolm",R_Fecha,$A29)+SUMIFS(R_HD1,R_Emp,"Malcolm",R_D1,$A29)</f>
        <v>0</v>
      </c>
      <c r="E29" s="14">
        <f>SUMIFS(R_HD0,R_Emp,"proMX",R_Fecha,$A29)+SUMIFS(R_HD1,R_Emp,"proMX",R_D1,$A29)</f>
        <v>0</v>
      </c>
      <c r="F29" s="14">
        <f>D29+E29</f>
        <v>0</v>
      </c>
      <c r="G29" s="14">
        <f>SUMIFS(R_ND0,R_Fecha,$A29)+SUMIFS(R_ND1,R_D1,$A29)</f>
        <v>0</v>
      </c>
      <c r="H29" s="14">
        <f>SUMIFS(R_XD0,R_Fecha,$A29)+SUMIFS(R_XD1,R_D1,$A29)</f>
        <v>0</v>
      </c>
      <c r="I29" s="14">
        <f>SUMIFS(R_HD0,R_St,"Draft",R_Fecha,$A29)+SUMIFS(R_HD1,R_St,"Draft",R_D1,$A29)</f>
        <v>0</v>
      </c>
      <c r="J29" s="14">
        <f>SUMIFS(R_HD0,R_St,"Submitted",R_Fecha,$A29)+SUMIFS(R_HD1,R_St,"Submitted",R_D1,$A29)</f>
        <v>0</v>
      </c>
      <c r="K29" s="14">
        <f>SUMIFS(R_HD0,R_St,"Approved",R_Fecha,$A29)+SUMIFS(R_HD1,R_St,"Approved",R_D1,$A29)</f>
        <v>0</v>
      </c>
      <c r="L29" s="14">
        <f>IF(AND(INDEX(CFG_WDAYS,WEEKDAY(A29,2))="Sí",COUNTIFS(FER_F,A29,FER_OBJ,"Sí")=0),CFG_DH,0)</f>
        <v>0</v>
      </c>
      <c r="M29" s="14">
        <f>F29-L29</f>
        <v>0</v>
      </c>
      <c r="N29" t="inlineStr">
        <is>
          <t>D</t>
        </is>
      </c>
    </row>
    <row r="30">
      <c r="A30" s="134" t="n">
        <v>46376</v>
      </c>
      <c r="B30" s="130" t="str">
        <f>CHOOSE(WEEKDAY(A30,2),"Lun","Mar","Mié","Jue","Vie","Sáb","Dom")</f>
        <v>Dom</v>
      </c>
      <c r="C30" s="13" t="str">
        <f>IF(COUNTIFS(FER_F,A30)&gt;0,"Feriado: "&amp;INDEX(FER_N,MATCH(A30,FER_F,0)),IF(WEEKDAY(A30,2)&gt;5,"Fin de semana",IF(INDEX(CFG_WDAYS,WEEKDAY(A30,2))="Sí","Laborable","No laborable")))</f>
        <v>Fin de semana</v>
      </c>
      <c r="D30" s="14">
        <f>SUMIFS(R_HD0,R_Emp,"Malcolm",R_Fecha,$A30)+SUMIFS(R_HD1,R_Emp,"Malcolm",R_D1,$A30)</f>
        <v>0</v>
      </c>
      <c r="E30" s="14">
        <f>SUMIFS(R_HD0,R_Emp,"proMX",R_Fecha,$A30)+SUMIFS(R_HD1,R_Emp,"proMX",R_D1,$A30)</f>
        <v>0</v>
      </c>
      <c r="F30" s="14">
        <f>D30+E30</f>
        <v>0</v>
      </c>
      <c r="G30" s="14">
        <f>SUMIFS(R_ND0,R_Fecha,$A30)+SUMIFS(R_ND1,R_D1,$A30)</f>
        <v>0</v>
      </c>
      <c r="H30" s="14">
        <f>SUMIFS(R_XD0,R_Fecha,$A30)+SUMIFS(R_XD1,R_D1,$A30)</f>
        <v>0</v>
      </c>
      <c r="I30" s="14">
        <f>SUMIFS(R_HD0,R_St,"Draft",R_Fecha,$A30)+SUMIFS(R_HD1,R_St,"Draft",R_D1,$A30)</f>
        <v>0</v>
      </c>
      <c r="J30" s="14">
        <f>SUMIFS(R_HD0,R_St,"Submitted",R_Fecha,$A30)+SUMIFS(R_HD1,R_St,"Submitted",R_D1,$A30)</f>
        <v>0</v>
      </c>
      <c r="K30" s="14">
        <f>SUMIFS(R_HD0,R_St,"Approved",R_Fecha,$A30)+SUMIFS(R_HD1,R_St,"Approved",R_D1,$A30)</f>
        <v>0</v>
      </c>
      <c r="L30" s="14">
        <f>IF(AND(INDEX(CFG_WDAYS,WEEKDAY(A30,2))="Sí",COUNTIFS(FER_F,A30,FER_OBJ,"Sí")=0),CFG_DH,0)</f>
        <v>0</v>
      </c>
      <c r="M30" s="14">
        <f>F30-L30</f>
        <v>0</v>
      </c>
      <c r="N30" t="inlineStr">
        <is>
          <t>D</t>
        </is>
      </c>
    </row>
    <row r="31">
      <c r="A31" s="188" t="inlineStr">
        <is>
          <t>Total semana Lun 14/12 – 20/12</t>
        </is>
      </c>
      <c r="B31" s="189" t="n"/>
      <c r="C31" s="189" t="n"/>
      <c r="D31" s="190">
        <f>SUM(D24:D30)</f>
        <v>0</v>
      </c>
      <c r="E31" s="190">
        <f>SUM(E24:E30)</f>
        <v>0</v>
      </c>
      <c r="F31" s="190">
        <f>SUM(F24:F30)</f>
        <v>0</v>
      </c>
      <c r="G31" s="190">
        <f>SUM(G24:G30)</f>
        <v>0</v>
      </c>
      <c r="H31" s="190">
        <f>SUM(H24:H30)</f>
        <v>0</v>
      </c>
      <c r="I31" s="190">
        <f>SUM(I24:I30)</f>
        <v>0</v>
      </c>
      <c r="J31" s="190">
        <f>SUM(J24:J30)</f>
        <v>0</v>
      </c>
      <c r="K31" s="190">
        <f>SUM(K24:K30)</f>
        <v>0</v>
      </c>
      <c r="L31" s="190">
        <f>MIN(CFG_WH,SUM(L24:L30))</f>
        <v>40</v>
      </c>
      <c r="M31" s="190">
        <f>F31-L31</f>
        <v>-40</v>
      </c>
      <c r="N31" t="inlineStr">
        <is>
          <t>S</t>
        </is>
      </c>
    </row>
    <row r="32">
      <c r="A32" s="134" t="n">
        <v>46377</v>
      </c>
      <c r="B32" s="130" t="str">
        <f>CHOOSE(WEEKDAY(A32,2),"Lun","Mar","Mié","Jue","Vie","Sáb","Dom")</f>
        <v>Lun</v>
      </c>
      <c r="C32" s="13" t="str">
        <f>IF(COUNTIFS(FER_F,A32)&gt;0,"Feriado: "&amp;INDEX(FER_N,MATCH(A32,FER_F,0)),IF(WEEKDAY(A32,2)&gt;5,"Fin de semana",IF(INDEX(CFG_WDAYS,WEEKDAY(A32,2))="Sí","Laborable","No laborable")))</f>
        <v>Laborable</v>
      </c>
      <c r="D32" s="14">
        <f>SUMIFS(R_HD0,R_Emp,"Malcolm",R_Fecha,$A32)+SUMIFS(R_HD1,R_Emp,"Malcolm",R_D1,$A32)</f>
        <v>0</v>
      </c>
      <c r="E32" s="14">
        <f>SUMIFS(R_HD0,R_Emp,"proMX",R_Fecha,$A32)+SUMIFS(R_HD1,R_Emp,"proMX",R_D1,$A32)</f>
        <v>0</v>
      </c>
      <c r="F32" s="14">
        <f>D32+E32</f>
        <v>0</v>
      </c>
      <c r="G32" s="14">
        <f>SUMIFS(R_ND0,R_Fecha,$A32)+SUMIFS(R_ND1,R_D1,$A32)</f>
        <v>0</v>
      </c>
      <c r="H32" s="14">
        <f>SUMIFS(R_XD0,R_Fecha,$A32)+SUMIFS(R_XD1,R_D1,$A32)</f>
        <v>0</v>
      </c>
      <c r="I32" s="14">
        <f>SUMIFS(R_HD0,R_St,"Draft",R_Fecha,$A32)+SUMIFS(R_HD1,R_St,"Draft",R_D1,$A32)</f>
        <v>0</v>
      </c>
      <c r="J32" s="14">
        <f>SUMIFS(R_HD0,R_St,"Submitted",R_Fecha,$A32)+SUMIFS(R_HD1,R_St,"Submitted",R_D1,$A32)</f>
        <v>0</v>
      </c>
      <c r="K32" s="14">
        <f>SUMIFS(R_HD0,R_St,"Approved",R_Fecha,$A32)+SUMIFS(R_HD1,R_St,"Approved",R_D1,$A32)</f>
        <v>0</v>
      </c>
      <c r="L32" s="14">
        <f>IF(AND(INDEX(CFG_WDAYS,WEEKDAY(A32,2))="Sí",COUNTIFS(FER_F,A32,FER_OBJ,"Sí")=0),CFG_DH,0)</f>
        <v>8</v>
      </c>
      <c r="M32" s="14">
        <f>F32-L32</f>
        <v>-8</v>
      </c>
      <c r="N32" t="inlineStr">
        <is>
          <t>D</t>
        </is>
      </c>
    </row>
    <row r="33">
      <c r="A33" s="134" t="n">
        <v>46378</v>
      </c>
      <c r="B33" s="130" t="str">
        <f>CHOOSE(WEEKDAY(A33,2),"Lun","Mar","Mié","Jue","Vie","Sáb","Dom")</f>
        <v>Mar</v>
      </c>
      <c r="C33" s="13" t="str">
        <f>IF(COUNTIFS(FER_F,A33)&gt;0,"Feriado: "&amp;INDEX(FER_N,MATCH(A33,FER_F,0)),IF(WEEKDAY(A33,2)&gt;5,"Fin de semana",IF(INDEX(CFG_WDAYS,WEEKDAY(A33,2))="Sí","Laborable","No laborable")))</f>
        <v>Laborable</v>
      </c>
      <c r="D33" s="14">
        <f>SUMIFS(R_HD0,R_Emp,"Malcolm",R_Fecha,$A33)+SUMIFS(R_HD1,R_Emp,"Malcolm",R_D1,$A33)</f>
        <v>0</v>
      </c>
      <c r="E33" s="14">
        <f>SUMIFS(R_HD0,R_Emp,"proMX",R_Fecha,$A33)+SUMIFS(R_HD1,R_Emp,"proMX",R_D1,$A33)</f>
        <v>0</v>
      </c>
      <c r="F33" s="14">
        <f>D33+E33</f>
        <v>0</v>
      </c>
      <c r="G33" s="14">
        <f>SUMIFS(R_ND0,R_Fecha,$A33)+SUMIFS(R_ND1,R_D1,$A33)</f>
        <v>0</v>
      </c>
      <c r="H33" s="14">
        <f>SUMIFS(R_XD0,R_Fecha,$A33)+SUMIFS(R_XD1,R_D1,$A33)</f>
        <v>0</v>
      </c>
      <c r="I33" s="14">
        <f>SUMIFS(R_HD0,R_St,"Draft",R_Fecha,$A33)+SUMIFS(R_HD1,R_St,"Draft",R_D1,$A33)</f>
        <v>0</v>
      </c>
      <c r="J33" s="14">
        <f>SUMIFS(R_HD0,R_St,"Submitted",R_Fecha,$A33)+SUMIFS(R_HD1,R_St,"Submitted",R_D1,$A33)</f>
        <v>0</v>
      </c>
      <c r="K33" s="14">
        <f>SUMIFS(R_HD0,R_St,"Approved",R_Fecha,$A33)+SUMIFS(R_HD1,R_St,"Approved",R_D1,$A33)</f>
        <v>0</v>
      </c>
      <c r="L33" s="14">
        <f>IF(AND(INDEX(CFG_WDAYS,WEEKDAY(A33,2))="Sí",COUNTIFS(FER_F,A33,FER_OBJ,"Sí")=0),CFG_DH,0)</f>
        <v>8</v>
      </c>
      <c r="M33" s="14">
        <f>F33-L33</f>
        <v>-8</v>
      </c>
      <c r="N33" t="inlineStr">
        <is>
          <t>D</t>
        </is>
      </c>
    </row>
    <row r="34">
      <c r="A34" s="134" t="n">
        <v>46379</v>
      </c>
      <c r="B34" s="130" t="str">
        <f>CHOOSE(WEEKDAY(A34,2),"Lun","Mar","Mié","Jue","Vie","Sáb","Dom")</f>
        <v>Mié</v>
      </c>
      <c r="C34" s="13" t="str">
        <f>IF(COUNTIFS(FER_F,A34)&gt;0,"Feriado: "&amp;INDEX(FER_N,MATCH(A34,FER_F,0)),IF(WEEKDAY(A34,2)&gt;5,"Fin de semana",IF(INDEX(CFG_WDAYS,WEEKDAY(A34,2))="Sí","Laborable","No laborable")))</f>
        <v>Laborable</v>
      </c>
      <c r="D34" s="14">
        <f>SUMIFS(R_HD0,R_Emp,"Malcolm",R_Fecha,$A34)+SUMIFS(R_HD1,R_Emp,"Malcolm",R_D1,$A34)</f>
        <v>0</v>
      </c>
      <c r="E34" s="14">
        <f>SUMIFS(R_HD0,R_Emp,"proMX",R_Fecha,$A34)+SUMIFS(R_HD1,R_Emp,"proMX",R_D1,$A34)</f>
        <v>0</v>
      </c>
      <c r="F34" s="14">
        <f>D34+E34</f>
        <v>0</v>
      </c>
      <c r="G34" s="14">
        <f>SUMIFS(R_ND0,R_Fecha,$A34)+SUMIFS(R_ND1,R_D1,$A34)</f>
        <v>0</v>
      </c>
      <c r="H34" s="14">
        <f>SUMIFS(R_XD0,R_Fecha,$A34)+SUMIFS(R_XD1,R_D1,$A34)</f>
        <v>0</v>
      </c>
      <c r="I34" s="14">
        <f>SUMIFS(R_HD0,R_St,"Draft",R_Fecha,$A34)+SUMIFS(R_HD1,R_St,"Draft",R_D1,$A34)</f>
        <v>0</v>
      </c>
      <c r="J34" s="14">
        <f>SUMIFS(R_HD0,R_St,"Submitted",R_Fecha,$A34)+SUMIFS(R_HD1,R_St,"Submitted",R_D1,$A34)</f>
        <v>0</v>
      </c>
      <c r="K34" s="14">
        <f>SUMIFS(R_HD0,R_St,"Approved",R_Fecha,$A34)+SUMIFS(R_HD1,R_St,"Approved",R_D1,$A34)</f>
        <v>0</v>
      </c>
      <c r="L34" s="14">
        <f>IF(AND(INDEX(CFG_WDAYS,WEEKDAY(A34,2))="Sí",COUNTIFS(FER_F,A34,FER_OBJ,"Sí")=0),CFG_DH,0)</f>
        <v>8</v>
      </c>
      <c r="M34" s="14">
        <f>F34-L34</f>
        <v>-8</v>
      </c>
      <c r="N34" t="inlineStr">
        <is>
          <t>D</t>
        </is>
      </c>
    </row>
    <row r="35">
      <c r="A35" s="134" t="n">
        <v>46380</v>
      </c>
      <c r="B35" s="130" t="str">
        <f>CHOOSE(WEEKDAY(A35,2),"Lun","Mar","Mié","Jue","Vie","Sáb","Dom")</f>
        <v>Jue</v>
      </c>
      <c r="C35" s="13" t="str">
        <f>IF(COUNTIFS(FER_F,A35)&gt;0,"Feriado: "&amp;INDEX(FER_N,MATCH(A35,FER_F,0)),IF(WEEKDAY(A35,2)&gt;5,"Fin de semana",IF(INDEX(CFG_WDAYS,WEEKDAY(A35,2))="Sí","Laborable","No laborable")))</f>
        <v>Laborable</v>
      </c>
      <c r="D35" s="14">
        <f>SUMIFS(R_HD0,R_Emp,"Malcolm",R_Fecha,$A35)+SUMIFS(R_HD1,R_Emp,"Malcolm",R_D1,$A35)</f>
        <v>0</v>
      </c>
      <c r="E35" s="14">
        <f>SUMIFS(R_HD0,R_Emp,"proMX",R_Fecha,$A35)+SUMIFS(R_HD1,R_Emp,"proMX",R_D1,$A35)</f>
        <v>0</v>
      </c>
      <c r="F35" s="14">
        <f>D35+E35</f>
        <v>0</v>
      </c>
      <c r="G35" s="14">
        <f>SUMIFS(R_ND0,R_Fecha,$A35)+SUMIFS(R_ND1,R_D1,$A35)</f>
        <v>0</v>
      </c>
      <c r="H35" s="14">
        <f>SUMIFS(R_XD0,R_Fecha,$A35)+SUMIFS(R_XD1,R_D1,$A35)</f>
        <v>0</v>
      </c>
      <c r="I35" s="14">
        <f>SUMIFS(R_HD0,R_St,"Draft",R_Fecha,$A35)+SUMIFS(R_HD1,R_St,"Draft",R_D1,$A35)</f>
        <v>0</v>
      </c>
      <c r="J35" s="14">
        <f>SUMIFS(R_HD0,R_St,"Submitted",R_Fecha,$A35)+SUMIFS(R_HD1,R_St,"Submitted",R_D1,$A35)</f>
        <v>0</v>
      </c>
      <c r="K35" s="14">
        <f>SUMIFS(R_HD0,R_St,"Approved",R_Fecha,$A35)+SUMIFS(R_HD1,R_St,"Approved",R_D1,$A35)</f>
        <v>0</v>
      </c>
      <c r="L35" s="14">
        <f>IF(AND(INDEX(CFG_WDAYS,WEEKDAY(A35,2))="Sí",COUNTIFS(FER_F,A35,FER_OBJ,"Sí")=0),CFG_DH,0)</f>
        <v>8</v>
      </c>
      <c r="M35" s="14">
        <f>F35-L35</f>
        <v>-8</v>
      </c>
      <c r="N35" t="inlineStr">
        <is>
          <t>D</t>
        </is>
      </c>
    </row>
    <row r="36">
      <c r="A36" s="134" t="n">
        <v>46381</v>
      </c>
      <c r="B36" s="130" t="str">
        <f>CHOOSE(WEEKDAY(A36,2),"Lun","Mar","Mié","Jue","Vie","Sáb","Dom")</f>
        <v>Vie</v>
      </c>
      <c r="C36" s="13" t="str">
        <f>IF(COUNTIFS(FER_F,A36)&gt;0,"Feriado: "&amp;INDEX(FER_N,MATCH(A36,FER_F,0)),IF(WEEKDAY(A36,2)&gt;5,"Fin de semana",IF(INDEX(CFG_WDAYS,WEEKDAY(A36,2))="Sí","Laborable","No laborable")))</f>
        <v>Feriado: Christmas Day</v>
      </c>
      <c r="D36" s="14">
        <f>SUMIFS(R_HD0,R_Emp,"Malcolm",R_Fecha,$A36)+SUMIFS(R_HD1,R_Emp,"Malcolm",R_D1,$A36)</f>
        <v>0</v>
      </c>
      <c r="E36" s="14">
        <f>SUMIFS(R_HD0,R_Emp,"proMX",R_Fecha,$A36)+SUMIFS(R_HD1,R_Emp,"proMX",R_D1,$A36)</f>
        <v>0</v>
      </c>
      <c r="F36" s="14">
        <f>D36+E36</f>
        <v>0</v>
      </c>
      <c r="G36" s="14">
        <f>SUMIFS(R_ND0,R_Fecha,$A36)+SUMIFS(R_ND1,R_D1,$A36)</f>
        <v>0</v>
      </c>
      <c r="H36" s="14">
        <f>SUMIFS(R_XD0,R_Fecha,$A36)+SUMIFS(R_XD1,R_D1,$A36)</f>
        <v>0</v>
      </c>
      <c r="I36" s="14">
        <f>SUMIFS(R_HD0,R_St,"Draft",R_Fecha,$A36)+SUMIFS(R_HD1,R_St,"Draft",R_D1,$A36)</f>
        <v>0</v>
      </c>
      <c r="J36" s="14">
        <f>SUMIFS(R_HD0,R_St,"Submitted",R_Fecha,$A36)+SUMIFS(R_HD1,R_St,"Submitted",R_D1,$A36)</f>
        <v>0</v>
      </c>
      <c r="K36" s="14">
        <f>SUMIFS(R_HD0,R_St,"Approved",R_Fecha,$A36)+SUMIFS(R_HD1,R_St,"Approved",R_D1,$A36)</f>
        <v>0</v>
      </c>
      <c r="L36" s="14">
        <f>IF(AND(INDEX(CFG_WDAYS,WEEKDAY(A36,2))="Sí",COUNTIFS(FER_F,A36,FER_OBJ,"Sí")=0),CFG_DH,0)</f>
        <v>0</v>
      </c>
      <c r="M36" s="14">
        <f>F36-L36</f>
        <v>0</v>
      </c>
      <c r="N36" t="inlineStr">
        <is>
          <t>D</t>
        </is>
      </c>
    </row>
    <row r="37">
      <c r="A37" s="134" t="n">
        <v>46382</v>
      </c>
      <c r="B37" s="130" t="str">
        <f>CHOOSE(WEEKDAY(A37,2),"Lun","Mar","Mié","Jue","Vie","Sáb","Dom")</f>
        <v>Sáb</v>
      </c>
      <c r="C37" s="13" t="str">
        <f>IF(COUNTIFS(FER_F,A37)&gt;0,"Feriado: "&amp;INDEX(FER_N,MATCH(A37,FER_F,0)),IF(WEEKDAY(A37,2)&gt;5,"Fin de semana",IF(INDEX(CFG_WDAYS,WEEKDAY(A37,2))="Sí","Laborable","No laborable")))</f>
        <v>Fin de semana</v>
      </c>
      <c r="D37" s="14">
        <f>SUMIFS(R_HD0,R_Emp,"Malcolm",R_Fecha,$A37)+SUMIFS(R_HD1,R_Emp,"Malcolm",R_D1,$A37)</f>
        <v>0</v>
      </c>
      <c r="E37" s="14">
        <f>SUMIFS(R_HD0,R_Emp,"proMX",R_Fecha,$A37)+SUMIFS(R_HD1,R_Emp,"proMX",R_D1,$A37)</f>
        <v>0</v>
      </c>
      <c r="F37" s="14">
        <f>D37+E37</f>
        <v>0</v>
      </c>
      <c r="G37" s="14">
        <f>SUMIFS(R_ND0,R_Fecha,$A37)+SUMIFS(R_ND1,R_D1,$A37)</f>
        <v>0</v>
      </c>
      <c r="H37" s="14">
        <f>SUMIFS(R_XD0,R_Fecha,$A37)+SUMIFS(R_XD1,R_D1,$A37)</f>
        <v>0</v>
      </c>
      <c r="I37" s="14">
        <f>SUMIFS(R_HD0,R_St,"Draft",R_Fecha,$A37)+SUMIFS(R_HD1,R_St,"Draft",R_D1,$A37)</f>
        <v>0</v>
      </c>
      <c r="J37" s="14">
        <f>SUMIFS(R_HD0,R_St,"Submitted",R_Fecha,$A37)+SUMIFS(R_HD1,R_St,"Submitted",R_D1,$A37)</f>
        <v>0</v>
      </c>
      <c r="K37" s="14">
        <f>SUMIFS(R_HD0,R_St,"Approved",R_Fecha,$A37)+SUMIFS(R_HD1,R_St,"Approved",R_D1,$A37)</f>
        <v>0</v>
      </c>
      <c r="L37" s="14">
        <f>IF(AND(INDEX(CFG_WDAYS,WEEKDAY(A37,2))="Sí",COUNTIFS(FER_F,A37,FER_OBJ,"Sí")=0),CFG_DH,0)</f>
        <v>0</v>
      </c>
      <c r="M37" s="14">
        <f>F37-L37</f>
        <v>0</v>
      </c>
      <c r="N37" t="inlineStr">
        <is>
          <t>D</t>
        </is>
      </c>
    </row>
    <row r="38">
      <c r="A38" s="134" t="n">
        <v>46383</v>
      </c>
      <c r="B38" s="130" t="str">
        <f>CHOOSE(WEEKDAY(A38,2),"Lun","Mar","Mié","Jue","Vie","Sáb","Dom")</f>
        <v>Dom</v>
      </c>
      <c r="C38" s="13" t="str">
        <f>IF(COUNTIFS(FER_F,A38)&gt;0,"Feriado: "&amp;INDEX(FER_N,MATCH(A38,FER_F,0)),IF(WEEKDAY(A38,2)&gt;5,"Fin de semana",IF(INDEX(CFG_WDAYS,WEEKDAY(A38,2))="Sí","Laborable","No laborable")))</f>
        <v>Fin de semana</v>
      </c>
      <c r="D38" s="14">
        <f>SUMIFS(R_HD0,R_Emp,"Malcolm",R_Fecha,$A38)+SUMIFS(R_HD1,R_Emp,"Malcolm",R_D1,$A38)</f>
        <v>0</v>
      </c>
      <c r="E38" s="14">
        <f>SUMIFS(R_HD0,R_Emp,"proMX",R_Fecha,$A38)+SUMIFS(R_HD1,R_Emp,"proMX",R_D1,$A38)</f>
        <v>0</v>
      </c>
      <c r="F38" s="14">
        <f>D38+E38</f>
        <v>0</v>
      </c>
      <c r="G38" s="14">
        <f>SUMIFS(R_ND0,R_Fecha,$A38)+SUMIFS(R_ND1,R_D1,$A38)</f>
        <v>0</v>
      </c>
      <c r="H38" s="14">
        <f>SUMIFS(R_XD0,R_Fecha,$A38)+SUMIFS(R_XD1,R_D1,$A38)</f>
        <v>0</v>
      </c>
      <c r="I38" s="14">
        <f>SUMIFS(R_HD0,R_St,"Draft",R_Fecha,$A38)+SUMIFS(R_HD1,R_St,"Draft",R_D1,$A38)</f>
        <v>0</v>
      </c>
      <c r="J38" s="14">
        <f>SUMIFS(R_HD0,R_St,"Submitted",R_Fecha,$A38)+SUMIFS(R_HD1,R_St,"Submitted",R_D1,$A38)</f>
        <v>0</v>
      </c>
      <c r="K38" s="14">
        <f>SUMIFS(R_HD0,R_St,"Approved",R_Fecha,$A38)+SUMIFS(R_HD1,R_St,"Approved",R_D1,$A38)</f>
        <v>0</v>
      </c>
      <c r="L38" s="14">
        <f>IF(AND(INDEX(CFG_WDAYS,WEEKDAY(A38,2))="Sí",COUNTIFS(FER_F,A38,FER_OBJ,"Sí")=0),CFG_DH,0)</f>
        <v>0</v>
      </c>
      <c r="M38" s="14">
        <f>F38-L38</f>
        <v>0</v>
      </c>
      <c r="N38" t="inlineStr">
        <is>
          <t>D</t>
        </is>
      </c>
    </row>
    <row r="39">
      <c r="A39" s="188" t="inlineStr">
        <is>
          <t>Total semana Lun 21/12 – 27/12</t>
        </is>
      </c>
      <c r="B39" s="189" t="n"/>
      <c r="C39" s="189" t="n"/>
      <c r="D39" s="190">
        <f>SUM(D32:D38)</f>
        <v>0</v>
      </c>
      <c r="E39" s="190">
        <f>SUM(E32:E38)</f>
        <v>0</v>
      </c>
      <c r="F39" s="190">
        <f>SUM(F32:F38)</f>
        <v>0</v>
      </c>
      <c r="G39" s="190">
        <f>SUM(G32:G38)</f>
        <v>0</v>
      </c>
      <c r="H39" s="190">
        <f>SUM(H32:H38)</f>
        <v>0</v>
      </c>
      <c r="I39" s="190">
        <f>SUM(I32:I38)</f>
        <v>0</v>
      </c>
      <c r="J39" s="190">
        <f>SUM(J32:J38)</f>
        <v>0</v>
      </c>
      <c r="K39" s="190">
        <f>SUM(K32:K38)</f>
        <v>0</v>
      </c>
      <c r="L39" s="190">
        <f>MIN(CFG_WH,SUM(L32:L38))</f>
        <v>32</v>
      </c>
      <c r="M39" s="190">
        <f>F39-L39</f>
        <v>-32</v>
      </c>
      <c r="N39" t="inlineStr">
        <is>
          <t>S</t>
        </is>
      </c>
    </row>
    <row r="40">
      <c r="A40" s="134" t="n">
        <v>46384</v>
      </c>
      <c r="B40" s="130" t="str">
        <f>CHOOSE(WEEKDAY(A40,2),"Lun","Mar","Mié","Jue","Vie","Sáb","Dom")</f>
        <v>Lun</v>
      </c>
      <c r="C40" s="13" t="str">
        <f>IF(COUNTIFS(FER_F,A40)&gt;0,"Feriado: "&amp;INDEX(FER_N,MATCH(A40,FER_F,0)),IF(WEEKDAY(A40,2)&gt;5,"Fin de semana",IF(INDEX(CFG_WDAYS,WEEKDAY(A40,2))="Sí","Laborable","No laborable")))</f>
        <v>Laborable</v>
      </c>
      <c r="D40" s="14">
        <f>SUMIFS(R_HD0,R_Emp,"Malcolm",R_Fecha,$A40)+SUMIFS(R_HD1,R_Emp,"Malcolm",R_D1,$A40)</f>
        <v>0</v>
      </c>
      <c r="E40" s="14">
        <f>SUMIFS(R_HD0,R_Emp,"proMX",R_Fecha,$A40)+SUMIFS(R_HD1,R_Emp,"proMX",R_D1,$A40)</f>
        <v>0</v>
      </c>
      <c r="F40" s="14">
        <f>D40+E40</f>
        <v>0</v>
      </c>
      <c r="G40" s="14">
        <f>SUMIFS(R_ND0,R_Fecha,$A40)+SUMIFS(R_ND1,R_D1,$A40)</f>
        <v>0</v>
      </c>
      <c r="H40" s="14">
        <f>SUMIFS(R_XD0,R_Fecha,$A40)+SUMIFS(R_XD1,R_D1,$A40)</f>
        <v>0</v>
      </c>
      <c r="I40" s="14">
        <f>SUMIFS(R_HD0,R_St,"Draft",R_Fecha,$A40)+SUMIFS(R_HD1,R_St,"Draft",R_D1,$A40)</f>
        <v>0</v>
      </c>
      <c r="J40" s="14">
        <f>SUMIFS(R_HD0,R_St,"Submitted",R_Fecha,$A40)+SUMIFS(R_HD1,R_St,"Submitted",R_D1,$A40)</f>
        <v>0</v>
      </c>
      <c r="K40" s="14">
        <f>SUMIFS(R_HD0,R_St,"Approved",R_Fecha,$A40)+SUMIFS(R_HD1,R_St,"Approved",R_D1,$A40)</f>
        <v>0</v>
      </c>
      <c r="L40" s="14">
        <f>IF(AND(INDEX(CFG_WDAYS,WEEKDAY(A40,2))="Sí",COUNTIFS(FER_F,A40,FER_OBJ,"Sí")=0),CFG_DH,0)</f>
        <v>8</v>
      </c>
      <c r="M40" s="14">
        <f>F40-L40</f>
        <v>-8</v>
      </c>
      <c r="N40" t="inlineStr">
        <is>
          <t>D</t>
        </is>
      </c>
    </row>
    <row r="41">
      <c r="A41" s="134" t="n">
        <v>46385</v>
      </c>
      <c r="B41" s="130" t="str">
        <f>CHOOSE(WEEKDAY(A41,2),"Lun","Mar","Mié","Jue","Vie","Sáb","Dom")</f>
        <v>Mar</v>
      </c>
      <c r="C41" s="13" t="str">
        <f>IF(COUNTIFS(FER_F,A41)&gt;0,"Feriado: "&amp;INDEX(FER_N,MATCH(A41,FER_F,0)),IF(WEEKDAY(A41,2)&gt;5,"Fin de semana",IF(INDEX(CFG_WDAYS,WEEKDAY(A41,2))="Sí","Laborable","No laborable")))</f>
        <v>Laborable</v>
      </c>
      <c r="D41" s="14">
        <f>SUMIFS(R_HD0,R_Emp,"Malcolm",R_Fecha,$A41)+SUMIFS(R_HD1,R_Emp,"Malcolm",R_D1,$A41)</f>
        <v>0</v>
      </c>
      <c r="E41" s="14">
        <f>SUMIFS(R_HD0,R_Emp,"proMX",R_Fecha,$A41)+SUMIFS(R_HD1,R_Emp,"proMX",R_D1,$A41)</f>
        <v>0</v>
      </c>
      <c r="F41" s="14">
        <f>D41+E41</f>
        <v>0</v>
      </c>
      <c r="G41" s="14">
        <f>SUMIFS(R_ND0,R_Fecha,$A41)+SUMIFS(R_ND1,R_D1,$A41)</f>
        <v>0</v>
      </c>
      <c r="H41" s="14">
        <f>SUMIFS(R_XD0,R_Fecha,$A41)+SUMIFS(R_XD1,R_D1,$A41)</f>
        <v>0</v>
      </c>
      <c r="I41" s="14">
        <f>SUMIFS(R_HD0,R_St,"Draft",R_Fecha,$A41)+SUMIFS(R_HD1,R_St,"Draft",R_D1,$A41)</f>
        <v>0</v>
      </c>
      <c r="J41" s="14">
        <f>SUMIFS(R_HD0,R_St,"Submitted",R_Fecha,$A41)+SUMIFS(R_HD1,R_St,"Submitted",R_D1,$A41)</f>
        <v>0</v>
      </c>
      <c r="K41" s="14">
        <f>SUMIFS(R_HD0,R_St,"Approved",R_Fecha,$A41)+SUMIFS(R_HD1,R_St,"Approved",R_D1,$A41)</f>
        <v>0</v>
      </c>
      <c r="L41" s="14">
        <f>IF(AND(INDEX(CFG_WDAYS,WEEKDAY(A41,2))="Sí",COUNTIFS(FER_F,A41,FER_OBJ,"Sí")=0),CFG_DH,0)</f>
        <v>8</v>
      </c>
      <c r="M41" s="14">
        <f>F41-L41</f>
        <v>-8</v>
      </c>
      <c r="N41" t="inlineStr">
        <is>
          <t>D</t>
        </is>
      </c>
    </row>
    <row r="42">
      <c r="A42" s="134" t="n">
        <v>46386</v>
      </c>
      <c r="B42" s="130" t="str">
        <f>CHOOSE(WEEKDAY(A42,2),"Lun","Mar","Mié","Jue","Vie","Sáb","Dom")</f>
        <v>Mié</v>
      </c>
      <c r="C42" s="13" t="str">
        <f>IF(COUNTIFS(FER_F,A42)&gt;0,"Feriado: "&amp;INDEX(FER_N,MATCH(A42,FER_F,0)),IF(WEEKDAY(A42,2)&gt;5,"Fin de semana",IF(INDEX(CFG_WDAYS,WEEKDAY(A42,2))="Sí","Laborable","No laborable")))</f>
        <v>Laborable</v>
      </c>
      <c r="D42" s="14">
        <f>SUMIFS(R_HD0,R_Emp,"Malcolm",R_Fecha,$A42)+SUMIFS(R_HD1,R_Emp,"Malcolm",R_D1,$A42)</f>
        <v>0</v>
      </c>
      <c r="E42" s="14">
        <f>SUMIFS(R_HD0,R_Emp,"proMX",R_Fecha,$A42)+SUMIFS(R_HD1,R_Emp,"proMX",R_D1,$A42)</f>
        <v>0</v>
      </c>
      <c r="F42" s="14">
        <f>D42+E42</f>
        <v>0</v>
      </c>
      <c r="G42" s="14">
        <f>SUMIFS(R_ND0,R_Fecha,$A42)+SUMIFS(R_ND1,R_D1,$A42)</f>
        <v>0</v>
      </c>
      <c r="H42" s="14">
        <f>SUMIFS(R_XD0,R_Fecha,$A42)+SUMIFS(R_XD1,R_D1,$A42)</f>
        <v>0</v>
      </c>
      <c r="I42" s="14">
        <f>SUMIFS(R_HD0,R_St,"Draft",R_Fecha,$A42)+SUMIFS(R_HD1,R_St,"Draft",R_D1,$A42)</f>
        <v>0</v>
      </c>
      <c r="J42" s="14">
        <f>SUMIFS(R_HD0,R_St,"Submitted",R_Fecha,$A42)+SUMIFS(R_HD1,R_St,"Submitted",R_D1,$A42)</f>
        <v>0</v>
      </c>
      <c r="K42" s="14">
        <f>SUMIFS(R_HD0,R_St,"Approved",R_Fecha,$A42)+SUMIFS(R_HD1,R_St,"Approved",R_D1,$A42)</f>
        <v>0</v>
      </c>
      <c r="L42" s="14">
        <f>IF(AND(INDEX(CFG_WDAYS,WEEKDAY(A42,2))="Sí",COUNTIFS(FER_F,A42,FER_OBJ,"Sí")=0),CFG_DH,0)</f>
        <v>8</v>
      </c>
      <c r="M42" s="14">
        <f>F42-L42</f>
        <v>-8</v>
      </c>
      <c r="N42" t="inlineStr">
        <is>
          <t>D</t>
        </is>
      </c>
    </row>
    <row r="43">
      <c r="A43" s="134" t="n">
        <v>46387</v>
      </c>
      <c r="B43" s="130" t="str">
        <f>CHOOSE(WEEKDAY(A43,2),"Lun","Mar","Mié","Jue","Vie","Sáb","Dom")</f>
        <v>Jue</v>
      </c>
      <c r="C43" s="13" t="str">
        <f>IF(COUNTIFS(FER_F,A43)&gt;0,"Feriado: "&amp;INDEX(FER_N,MATCH(A43,FER_F,0)),IF(WEEKDAY(A43,2)&gt;5,"Fin de semana",IF(INDEX(CFG_WDAYS,WEEKDAY(A43,2))="Sí","Laborable","No laborable")))</f>
        <v>Laborable</v>
      </c>
      <c r="D43" s="14">
        <f>SUMIFS(R_HD0,R_Emp,"Malcolm",R_Fecha,$A43)+SUMIFS(R_HD1,R_Emp,"Malcolm",R_D1,$A43)</f>
        <v>0</v>
      </c>
      <c r="E43" s="14">
        <f>SUMIFS(R_HD0,R_Emp,"proMX",R_Fecha,$A43)+SUMIFS(R_HD1,R_Emp,"proMX",R_D1,$A43)</f>
        <v>0</v>
      </c>
      <c r="F43" s="14">
        <f>D43+E43</f>
        <v>0</v>
      </c>
      <c r="G43" s="14">
        <f>SUMIFS(R_ND0,R_Fecha,$A43)+SUMIFS(R_ND1,R_D1,$A43)</f>
        <v>0</v>
      </c>
      <c r="H43" s="14">
        <f>SUMIFS(R_XD0,R_Fecha,$A43)+SUMIFS(R_XD1,R_D1,$A43)</f>
        <v>0</v>
      </c>
      <c r="I43" s="14">
        <f>SUMIFS(R_HD0,R_St,"Draft",R_Fecha,$A43)+SUMIFS(R_HD1,R_St,"Draft",R_D1,$A43)</f>
        <v>0</v>
      </c>
      <c r="J43" s="14">
        <f>SUMIFS(R_HD0,R_St,"Submitted",R_Fecha,$A43)+SUMIFS(R_HD1,R_St,"Submitted",R_D1,$A43)</f>
        <v>0</v>
      </c>
      <c r="K43" s="14">
        <f>SUMIFS(R_HD0,R_St,"Approved",R_Fecha,$A43)+SUMIFS(R_HD1,R_St,"Approved",R_D1,$A43)</f>
        <v>0</v>
      </c>
      <c r="L43" s="14">
        <f>IF(AND(INDEX(CFG_WDAYS,WEEKDAY(A43,2))="Sí",COUNTIFS(FER_F,A43,FER_OBJ,"Sí")=0),CFG_DH,0)</f>
        <v>8</v>
      </c>
      <c r="M43" s="14">
        <f>F43-L43</f>
        <v>-8</v>
      </c>
      <c r="N43" t="inlineStr">
        <is>
          <t>D</t>
        </is>
      </c>
    </row>
    <row r="44">
      <c r="A44" s="188" t="inlineStr">
        <is>
          <t>Total semana Lun 28/12 – 31/12</t>
        </is>
      </c>
      <c r="B44" s="189" t="n"/>
      <c r="C44" s="189" t="n"/>
      <c r="D44" s="190">
        <f>SUM(D40:D43)</f>
        <v>0</v>
      </c>
      <c r="E44" s="190">
        <f>SUM(E40:E43)</f>
        <v>0</v>
      </c>
      <c r="F44" s="190">
        <f>SUM(F40:F43)</f>
        <v>0</v>
      </c>
      <c r="G44" s="190">
        <f>SUM(G40:G43)</f>
        <v>0</v>
      </c>
      <c r="H44" s="190">
        <f>SUM(H40:H43)</f>
        <v>0</v>
      </c>
      <c r="I44" s="190">
        <f>SUM(I40:I43)</f>
        <v>0</v>
      </c>
      <c r="J44" s="190">
        <f>SUM(J40:J43)</f>
        <v>0</v>
      </c>
      <c r="K44" s="190">
        <f>SUM(K40:K43)</f>
        <v>0</v>
      </c>
      <c r="L44" s="190">
        <f>MIN(CFG_WH,SUM(L40:L43))</f>
        <v>32</v>
      </c>
      <c r="M44" s="190">
        <f>F44-L44</f>
        <v>-32</v>
      </c>
      <c r="N44" t="inlineStr">
        <is>
          <t>S</t>
        </is>
      </c>
    </row>
    <row r="45" ht="24" customHeight="1">
      <c r="A45" s="191" t="inlineStr">
        <is>
          <t>TOTAL DICIEMBRE 2026</t>
        </is>
      </c>
      <c r="B45" s="191" t="n"/>
      <c r="C45" s="191" t="n"/>
      <c r="D45" s="192">
        <f>SUMIFS(D9:D44,$N$9:$N$44,"S")</f>
        <v>0</v>
      </c>
      <c r="E45" s="192">
        <f>SUMIFS(E9:E44,$N$9:$N$44,"S")</f>
        <v>0</v>
      </c>
      <c r="F45" s="192">
        <f>SUMIFS(F9:F44,$N$9:$N$44,"S")</f>
        <v>0</v>
      </c>
      <c r="G45" s="192">
        <f>SUMIFS(G9:G44,$N$9:$N$44,"S")</f>
        <v>0</v>
      </c>
      <c r="H45" s="192">
        <f>SUMIFS(H9:H44,$N$9:$N$44,"S")</f>
        <v>0</v>
      </c>
      <c r="I45" s="192">
        <f>SUMIFS(I9:I44,$N$9:$N$44,"S")</f>
        <v>0</v>
      </c>
      <c r="J45" s="192">
        <f>SUMIFS(J9:J44,$N$9:$N$44,"S")</f>
        <v>0</v>
      </c>
      <c r="K45" s="192">
        <f>SUMIFS(K9:K44,$N$9:$N$44,"S")</f>
        <v>0</v>
      </c>
      <c r="L45" s="192">
        <f>SUMIFS(L9:L44,$N$9:$N$44,"S")</f>
        <v>176</v>
      </c>
      <c r="M45" s="192">
        <f>F45-L45</f>
        <v>-176</v>
      </c>
      <c r="N45" t="inlineStr">
        <is>
          <t>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44:C44"/>
    <mergeCell ref="A45:C45"/>
    <mergeCell ref="A23:C23"/>
    <mergeCell ref="A31:C31"/>
    <mergeCell ref="A39:C39"/>
    <mergeCell ref="A15:C15"/>
  </mergeCells>
  <conditionalFormatting sqref="A9:M44">
    <cfRule type="expression" priority="1" dxfId="13" stopIfTrue="0">
      <formula>=AND($N9="D",LEFT($C9,7)="Feriado")</formula>
    </cfRule>
    <cfRule type="expression" priority="2" dxfId="12" stopIfTrue="0">
      <formula>=AND($N9="D",OR($C9="Fin de semana",$C9="No laborable"))</formula>
    </cfRule>
  </conditionalFormatting>
  <conditionalFormatting sqref="M9:M45">
    <cfRule type="expression" priority="3" dxfId="26" stopIfTrue="0">
      <formula>=AND($N9&lt;&gt;"",M9&lt;0)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1F3A68"/>
    <outlinePr summaryBelow="1" summaryRight="1"/>
    <pageSetUpPr fitToPage="1"/>
  </sheetPr>
  <dimension ref="A1:I23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5" customWidth="1" min="3" max="3"/>
    <col width="15" customWidth="1" min="4" max="4"/>
    <col width="15" customWidth="1" min="5" max="5"/>
    <col width="17" customWidth="1" min="6" max="6"/>
    <col width="4" customWidth="1" min="7" max="7"/>
    <col width="50" customWidth="1" min="8" max="8"/>
  </cols>
  <sheetData>
    <row r="1" ht="34" customHeight="1">
      <c r="A1" s="1" t="n"/>
      <c r="B1" s="2" t="inlineStr">
        <is>
          <t>📊  Resumen Trimestral Oct – Dic 2026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1" t="n"/>
      <c r="B2" s="3" t="inlineStr">
        <is>
          <t>Consolidación automática de los tres meses. Malcolm y proMX se muestran por separado.</t>
        </is>
      </c>
      <c r="C2" s="1" t="n"/>
      <c r="D2" s="1" t="n"/>
      <c r="E2" s="1" t="n"/>
      <c r="F2" s="1" t="n"/>
      <c r="G2" s="1" t="n"/>
      <c r="H2" s="1" t="n"/>
      <c r="I2" s="1" t="n"/>
    </row>
    <row r="4" ht="32" customHeight="1">
      <c r="B4" s="69" t="inlineStr">
        <is>
          <t>Indicador</t>
        </is>
      </c>
      <c r="C4" s="69" t="inlineStr">
        <is>
          <t>Octubre</t>
        </is>
      </c>
      <c r="D4" s="69" t="inlineStr">
        <is>
          <t>Noviembre</t>
        </is>
      </c>
      <c r="E4" s="69" t="inlineStr">
        <is>
          <t>Diciembre</t>
        </is>
      </c>
      <c r="F4" s="69" t="inlineStr">
        <is>
          <t>Total trimestre</t>
        </is>
      </c>
    </row>
    <row r="5">
      <c r="B5" s="193" t="inlineStr">
        <is>
          <t>Horas Malcolm</t>
        </is>
      </c>
      <c r="C5" s="194">
        <f>'Octubre 2026'!D45</f>
        <v>6.333333</v>
      </c>
      <c r="D5" s="194">
        <f>'Noviembre 2026'!D45</f>
        <v>0</v>
      </c>
      <c r="E5" s="194">
        <f>'Diciembre 2026'!D45</f>
        <v>0</v>
      </c>
      <c r="F5" s="195">
        <f>SUM(C5:E5)</f>
        <v>6.333333</v>
      </c>
    </row>
    <row r="6">
      <c r="B6" s="196" t="inlineStr">
        <is>
          <t>Horas proMX</t>
        </is>
      </c>
      <c r="C6" s="197">
        <f>'Octubre 2026'!E45</f>
        <v>10.5</v>
      </c>
      <c r="D6" s="197">
        <f>'Noviembre 2026'!E45</f>
        <v>0</v>
      </c>
      <c r="E6" s="197">
        <f>'Diciembre 2026'!E45</f>
        <v>0</v>
      </c>
      <c r="F6" s="198">
        <f>SUM(C6:E6)</f>
        <v>10.5</v>
      </c>
    </row>
    <row r="7">
      <c r="B7" s="199" t="inlineStr">
        <is>
          <t>Total horas imputadas (Malcolm + proMX)</t>
        </is>
      </c>
      <c r="C7" s="152">
        <f>'Octubre 2026'!F45</f>
        <v>16.833333</v>
      </c>
      <c r="D7" s="152">
        <f>'Noviembre 2026'!F45</f>
        <v>0</v>
      </c>
      <c r="E7" s="152">
        <f>'Diciembre 2026'!F45</f>
        <v>0</v>
      </c>
      <c r="F7" s="200">
        <f>SUM(C7:E7)</f>
        <v>16.833333</v>
      </c>
    </row>
    <row r="8">
      <c r="B8" s="201" t="inlineStr">
        <is>
          <t>Superposición Malcolm/proMX (h)</t>
        </is>
      </c>
      <c r="C8" s="202">
        <f>SUMIFS(R_XOvH,R_Fecha,"&gt;="&amp;DATE(2026,10,1),R_Fecha,"&lt;="&amp;DATE(2026,10,31))</f>
        <v>0</v>
      </c>
      <c r="D8" s="202">
        <f>SUMIFS(R_XOvH,R_Fecha,"&gt;="&amp;DATE(2026,11,1),R_Fecha,"&lt;="&amp;DATE(2026,11,30))</f>
        <v>0</v>
      </c>
      <c r="E8" s="202">
        <f>SUMIFS(R_XOvH,R_Fecha,"&gt;="&amp;DATE(2026,12,1),R_Fecha,"&lt;="&amp;DATE(2026,12,31))</f>
        <v>0</v>
      </c>
      <c r="F8" s="203">
        <f>SUM(C8:E8)</f>
        <v>0</v>
      </c>
      <c r="H8" s="92" t="inlineStr">
        <is>
          <t>Tiempo en que hubo registros de ambas empresas a la vez (intervalo bruto, por fecha de inicio).</t>
        </is>
      </c>
    </row>
    <row r="9">
      <c r="B9" s="204" t="inlineStr">
        <is>
          <t>Tiempo cronológico único (h)</t>
        </is>
      </c>
      <c r="C9" s="14">
        <f>C7-C8</f>
        <v>16.833333</v>
      </c>
      <c r="D9" s="14">
        <f>D7-D8</f>
        <v>0</v>
      </c>
      <c r="E9" s="14">
        <f>E7-E8</f>
        <v>0</v>
      </c>
      <c r="F9" s="200">
        <f>SUM(C9:E9)</f>
        <v>16.833333</v>
      </c>
      <c r="H9" s="92" t="inlineStr">
        <is>
          <t>Total imputado menos superposición: horas reales de reloj.</t>
        </is>
      </c>
    </row>
    <row r="10">
      <c r="B10" s="204" t="inlineStr">
        <is>
          <t>Horas normales</t>
        </is>
      </c>
      <c r="C10" s="14">
        <f>'Octubre 2026'!G45</f>
        <v>14.833333</v>
      </c>
      <c r="D10" s="14">
        <f>'Noviembre 2026'!G45</f>
        <v>0</v>
      </c>
      <c r="E10" s="14">
        <f>'Diciembre 2026'!G45</f>
        <v>0</v>
      </c>
      <c r="F10" s="200">
        <f>SUM(C10:E10)</f>
        <v>14.833333</v>
      </c>
    </row>
    <row r="11">
      <c r="B11" s="201" t="inlineStr">
        <is>
          <t>Horas extras</t>
        </is>
      </c>
      <c r="C11" s="202">
        <f>'Octubre 2026'!H45</f>
        <v>2</v>
      </c>
      <c r="D11" s="202">
        <f>'Noviembre 2026'!H45</f>
        <v>0</v>
      </c>
      <c r="E11" s="202">
        <f>'Diciembre 2026'!H45</f>
        <v>0</v>
      </c>
      <c r="F11" s="203">
        <f>SUM(C11:E11)</f>
        <v>2</v>
      </c>
    </row>
    <row r="12">
      <c r="B12" s="204" t="inlineStr">
        <is>
          <t>Horas objetivo</t>
        </is>
      </c>
      <c r="C12" s="14">
        <f>'Octubre 2026'!L45</f>
        <v>168</v>
      </c>
      <c r="D12" s="14">
        <f>'Noviembre 2026'!L45</f>
        <v>152</v>
      </c>
      <c r="E12" s="14">
        <f>'Diciembre 2026'!L45</f>
        <v>176</v>
      </c>
      <c r="F12" s="200">
        <f>SUM(C12:E12)</f>
        <v>496</v>
      </c>
    </row>
    <row r="13">
      <c r="B13" s="204" t="inlineStr">
        <is>
          <t>Diferencia imputado vs objetivo</t>
        </is>
      </c>
      <c r="C13" s="14">
        <f>C7-C12</f>
        <v>-151.166667</v>
      </c>
      <c r="D13" s="14">
        <f>D7-D12</f>
        <v>-152</v>
      </c>
      <c r="E13" s="14">
        <f>E7-E12</f>
        <v>-176</v>
      </c>
      <c r="F13" s="200">
        <f>SUM(C13:E13)</f>
        <v>-479.166667</v>
      </c>
    </row>
    <row r="14">
      <c r="B14" s="205" t="inlineStr">
        <is>
          <t>proMX Draft (h)</t>
        </is>
      </c>
      <c r="C14" s="206">
        <f>'Octubre 2026'!I45</f>
        <v>1.5</v>
      </c>
      <c r="D14" s="206">
        <f>'Noviembre 2026'!I45</f>
        <v>0</v>
      </c>
      <c r="E14" s="206">
        <f>'Diciembre 2026'!I45</f>
        <v>0</v>
      </c>
      <c r="F14" s="207">
        <f>SUM(C14:E14)</f>
        <v>1.5</v>
      </c>
    </row>
    <row r="15">
      <c r="B15" s="208" t="inlineStr">
        <is>
          <t>proMX Submitted (h)</t>
        </is>
      </c>
      <c r="C15" s="209">
        <f>'Octubre 2026'!J45</f>
        <v>3</v>
      </c>
      <c r="D15" s="209">
        <f>'Noviembre 2026'!J45</f>
        <v>0</v>
      </c>
      <c r="E15" s="209">
        <f>'Diciembre 2026'!J45</f>
        <v>0</v>
      </c>
      <c r="F15" s="210">
        <f>SUM(C15:E15)</f>
        <v>3</v>
      </c>
    </row>
    <row r="16">
      <c r="B16" s="211" t="inlineStr">
        <is>
          <t>proMX Approved (h)</t>
        </is>
      </c>
      <c r="C16" s="212">
        <f>'Octubre 2026'!K45</f>
        <v>6</v>
      </c>
      <c r="D16" s="212">
        <f>'Noviembre 2026'!K45</f>
        <v>0</v>
      </c>
      <c r="E16" s="212">
        <f>'Diciembre 2026'!K45</f>
        <v>0</v>
      </c>
      <c r="F16" s="213">
        <f>SUM(C16:E16)</f>
        <v>6</v>
      </c>
    </row>
    <row r="17">
      <c r="B17" s="214" t="inlineStr">
        <is>
          <t>proMX Returned (h)</t>
        </is>
      </c>
      <c r="C17" s="215">
        <f>SUMIFS(R_HD0,R_St,"Returned",R_Fecha,"&gt;="&amp;DATE(2026,10,1),R_Fecha,"&lt;="&amp;DATE(2026,10,31))+SUMIFS(R_HD1,R_St,"Returned",R_D1,"&gt;="&amp;DATE(2026,10,1),R_D1,"&lt;="&amp;DATE(2026,10,31))</f>
        <v>0</v>
      </c>
      <c r="D17" s="215">
        <f>SUMIFS(R_HD0,R_St,"Returned",R_Fecha,"&gt;="&amp;DATE(2026,11,1),R_Fecha,"&lt;="&amp;DATE(2026,11,30))+SUMIFS(R_HD1,R_St,"Returned",R_D1,"&gt;="&amp;DATE(2026,11,1),R_D1,"&lt;="&amp;DATE(2026,11,30))</f>
        <v>0</v>
      </c>
      <c r="E17" s="215">
        <f>SUMIFS(R_HD0,R_St,"Returned",R_Fecha,"&gt;="&amp;DATE(2026,12,1),R_Fecha,"&lt;="&amp;DATE(2026,12,31))+SUMIFS(R_HD1,R_St,"Returned",R_D1,"&gt;="&amp;DATE(2026,12,1),R_D1,"&lt;="&amp;DATE(2026,12,31))</f>
        <v>0</v>
      </c>
      <c r="F17" s="216">
        <f>SUM(C17:E17)</f>
        <v>0</v>
      </c>
    </row>
    <row r="18">
      <c r="B18" s="217" t="inlineStr">
        <is>
          <t>proMX Recall Requested (h)</t>
        </is>
      </c>
      <c r="C18" s="218">
        <f>SUMIFS(R_HD0,R_St,"Recall Requested",R_Fecha,"&gt;="&amp;DATE(2026,10,1),R_Fecha,"&lt;="&amp;DATE(2026,10,31))+SUMIFS(R_HD1,R_St,"Recall Requested",R_D1,"&gt;="&amp;DATE(2026,10,1),R_D1,"&lt;="&amp;DATE(2026,10,31))</f>
        <v>0</v>
      </c>
      <c r="D18" s="218">
        <f>SUMIFS(R_HD0,R_St,"Recall Requested",R_Fecha,"&gt;="&amp;DATE(2026,11,1),R_Fecha,"&lt;="&amp;DATE(2026,11,30))+SUMIFS(R_HD1,R_St,"Recall Requested",R_D1,"&gt;="&amp;DATE(2026,11,1),R_D1,"&lt;="&amp;DATE(2026,11,30))</f>
        <v>0</v>
      </c>
      <c r="E18" s="218">
        <f>SUMIFS(R_HD0,R_St,"Recall Requested",R_Fecha,"&gt;="&amp;DATE(2026,12,1),R_Fecha,"&lt;="&amp;DATE(2026,12,31))+SUMIFS(R_HD1,R_St,"Recall Requested",R_D1,"&gt;="&amp;DATE(2026,12,1),R_D1,"&lt;="&amp;DATE(2026,12,31))</f>
        <v>0</v>
      </c>
      <c r="F18" s="219">
        <f>SUM(C18:E18)</f>
        <v>0</v>
      </c>
    </row>
    <row r="19">
      <c r="B19" s="220" t="inlineStr">
        <is>
          <t>proMX Cancelled (h) — excluidas de totales</t>
        </is>
      </c>
      <c r="C19" s="221">
        <f>SUMIFS(R_Hval,R_St,"Cancelled",R_Fecha,"&gt;="&amp;DATE(2026,10,1),R_Fecha,"&lt;="&amp;DATE(2026,10,31))</f>
        <v>0</v>
      </c>
      <c r="D19" s="221">
        <f>SUMIFS(R_Hval,R_St,"Cancelled",R_Fecha,"&gt;="&amp;DATE(2026,11,1),R_Fecha,"&lt;="&amp;DATE(2026,11,30))</f>
        <v>0</v>
      </c>
      <c r="E19" s="221">
        <f>SUMIFS(R_Hval,R_St,"Cancelled",R_Fecha,"&gt;="&amp;DATE(2026,12,1),R_Fecha,"&lt;="&amp;DATE(2026,12,31))</f>
        <v>0</v>
      </c>
      <c r="F19" s="222">
        <f>SUM(C19:E19)</f>
        <v>0</v>
      </c>
    </row>
    <row r="20">
      <c r="B20" s="204" t="inlineStr">
        <is>
          <t>% aprobación proMX</t>
        </is>
      </c>
      <c r="C20" s="135">
        <f>IFERROR(C16/(C16+C15+C17+C18),0)</f>
        <v>0.666666666666667</v>
      </c>
      <c r="D20" s="135">
        <f>IFERROR(D16/(D16+D15+D17+D18),0)</f>
        <v>0</v>
      </c>
      <c r="E20" s="135">
        <f>IFERROR(E16/(E16+E15+E17+E18),0)</f>
        <v>0</v>
      </c>
      <c r="F20" s="223">
        <f>IFERROR(F16/(F16+F15+F17+F18),0)</f>
        <v>0.666666666666667</v>
      </c>
      <c r="H20" s="92" t="inlineStr">
        <is>
          <t>Approved / (Approved + Submitted + Returned + Recall Requested).</t>
        </is>
      </c>
    </row>
    <row r="21">
      <c r="B21" s="211" t="inlineStr">
        <is>
          <t>USD aprobados (proMX)</t>
        </is>
      </c>
      <c r="C21" s="224">
        <f>SUMIFS(R_USD,R_St,"Approved",R_Fecha,"&gt;="&amp;DATE(2026,10,1),R_Fecha,"&lt;="&amp;DATE(2026,10,31))</f>
        <v>300</v>
      </c>
      <c r="D21" s="224">
        <f>SUMIFS(R_USD,R_St,"Approved",R_Fecha,"&gt;="&amp;DATE(2026,11,1),R_Fecha,"&lt;="&amp;DATE(2026,11,30))</f>
        <v>0</v>
      </c>
      <c r="E21" s="224">
        <f>SUMIFS(R_USD,R_St,"Approved",R_Fecha,"&gt;="&amp;DATE(2026,12,1),R_Fecha,"&lt;="&amp;DATE(2026,12,31))</f>
        <v>0</v>
      </c>
      <c r="F21" s="225">
        <f>SUM(C21:E21)</f>
        <v>300</v>
      </c>
    </row>
    <row r="22">
      <c r="B22" s="204" t="inlineStr">
        <is>
          <t>USD cobrados (pagos asignados al período)</t>
        </is>
      </c>
      <c r="C22" s="154">
        <f>SUMIFS(PAY_AMT,PAY_PER,"Octubre 2026")</f>
        <v>200</v>
      </c>
      <c r="D22" s="154">
        <f>SUMIFS(PAY_AMT,PAY_PER,"Noviembre 2026")</f>
        <v>0</v>
      </c>
      <c r="E22" s="154">
        <f>SUMIFS(PAY_AMT,PAY_PER,"Diciembre 2026")</f>
        <v>0</v>
      </c>
      <c r="F22" s="226">
        <f>SUM(PAY_AMT)</f>
        <v>200</v>
      </c>
      <c r="H22" s="92" t="inlineStr">
        <is>
          <t>El total incluye pagos con período 'Otro'.</t>
        </is>
      </c>
    </row>
    <row r="23">
      <c r="B23" s="204" t="inlineStr">
        <is>
          <t>USD aprobados pendientes de cobro</t>
        </is>
      </c>
      <c r="C23" s="154">
        <f>C21-C22</f>
        <v>100</v>
      </c>
      <c r="D23" s="154">
        <f>D21-D22</f>
        <v>0</v>
      </c>
      <c r="E23" s="154">
        <f>E21-E22</f>
        <v>0</v>
      </c>
      <c r="F23" s="226">
        <f>F21-F22</f>
        <v>100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C13:F13">
    <cfRule type="expression" priority="1" dxfId="26" stopIfTrue="0">
      <formula>=C13&lt;0</formula>
    </cfRule>
  </conditionalFormatting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E9E5B"/>
    <outlinePr summaryBelow="1" summaryRight="1"/>
    <pageSetUpPr fitToPage="1"/>
  </sheetPr>
  <dimension ref="A1:I2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30" customWidth="1" min="8" max="8"/>
    <col width="4" customWidth="1" min="9" max="9"/>
  </cols>
  <sheetData>
    <row r="1" ht="34" customHeight="1">
      <c r="A1" s="1" t="n"/>
      <c r="B1" s="2" t="inlineStr">
        <is>
          <t>💵  Pagos proMX (USD)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1" t="n"/>
      <c r="B2" s="3" t="inlineStr">
        <is>
          <t>Solo proMX. Una hora aprobada NO se considera cobrada hasta registrar el pago. Se admiten pagos parciales.</t>
        </is>
      </c>
      <c r="C2" s="1" t="n"/>
      <c r="D2" s="1" t="n"/>
      <c r="E2" s="1" t="n"/>
      <c r="F2" s="1" t="n"/>
      <c r="G2" s="1" t="n"/>
      <c r="H2" s="1" t="n"/>
      <c r="I2" s="1" t="n"/>
    </row>
    <row r="4" ht="22" customHeight="1">
      <c r="B4" s="5" t="inlineStr">
        <is>
          <t>Tarifas (editar en Configuración)</t>
        </is>
      </c>
      <c r="C4" s="6" t="n"/>
    </row>
    <row r="5">
      <c r="B5" s="13" t="inlineStr">
        <is>
          <t>Tarifa USD / hora</t>
        </is>
      </c>
      <c r="C5" s="154">
        <f>CFG_RATE</f>
        <v>50</v>
      </c>
    </row>
    <row r="6">
      <c r="B6" s="13" t="inlineStr">
        <is>
          <t>Tarifa horas extras USD / hora</t>
        </is>
      </c>
      <c r="C6" s="154">
        <f>CFG_OTRATE</f>
        <v>75</v>
      </c>
    </row>
    <row r="8" ht="22" customHeight="1">
      <c r="B8" s="5" t="inlineStr">
        <is>
          <t>Resumen por período (fecha de trabajo)</t>
        </is>
      </c>
      <c r="C8" s="6" t="n"/>
      <c r="D8" s="6" t="n"/>
      <c r="E8" s="6" t="n"/>
      <c r="F8" s="6" t="n"/>
      <c r="G8" s="6" t="n"/>
    </row>
    <row r="9" ht="32" customHeight="1">
      <c r="B9" s="69" t="inlineStr">
        <is>
          <t>Período</t>
        </is>
      </c>
      <c r="C9" s="69" t="inlineStr">
        <is>
          <t>USD estimados</t>
        </is>
      </c>
      <c r="D9" s="69" t="inlineStr">
        <is>
          <t>USD enviados</t>
        </is>
      </c>
      <c r="E9" s="69" t="inlineStr">
        <is>
          <t>USD aprobados</t>
        </is>
      </c>
      <c r="F9" s="69" t="inlineStr">
        <is>
          <t>USD cobrados</t>
        </is>
      </c>
      <c r="G9" s="69" t="inlineStr">
        <is>
          <t>USD aprobados
pendientes de cobro</t>
        </is>
      </c>
    </row>
    <row r="10">
      <c r="B10" s="13" t="inlineStr">
        <is>
          <t>Octubre 2026</t>
        </is>
      </c>
      <c r="C10" s="154">
        <f>SUMIFS(R_USD,R_Fecha,"&gt;="&amp;DATE(2026,10,1),R_Fecha,"&lt;="&amp;DATE(2026,10,31))</f>
        <v>525</v>
      </c>
      <c r="D10" s="154">
        <f>SUMIFS(R_USD,R_St,"Submitted",R_Fecha,"&gt;="&amp;DATE(2026,10,1),R_Fecha,"&lt;="&amp;DATE(2026,10,31))+SUMIFS(R_USD,R_St,"Recall Requested",R_Fecha,"&gt;="&amp;DATE(2026,10,1),R_Fecha,"&lt;="&amp;DATE(2026,10,31))+SUMIFS(R_USD,R_St,"Approved",R_Fecha,"&gt;="&amp;DATE(2026,10,1),R_Fecha,"&lt;="&amp;DATE(2026,10,31))</f>
        <v>450</v>
      </c>
      <c r="E10" s="154">
        <f>SUMIFS(R_USD,R_St,"Approved",R_Fecha,"&gt;="&amp;DATE(2026,10,1),R_Fecha,"&lt;="&amp;DATE(2026,10,31))</f>
        <v>300</v>
      </c>
      <c r="F10" s="154">
        <f>SUMIFS(PAY_AMT,PAY_PER,B10)</f>
        <v>200</v>
      </c>
      <c r="G10" s="154">
        <f>E10-F10</f>
        <v>100</v>
      </c>
    </row>
    <row r="11">
      <c r="B11" s="13" t="inlineStr">
        <is>
          <t>Noviembre 2026</t>
        </is>
      </c>
      <c r="C11" s="154">
        <f>SUMIFS(R_USD,R_Fecha,"&gt;="&amp;DATE(2026,11,1),R_Fecha,"&lt;="&amp;DATE(2026,11,30))</f>
        <v>0</v>
      </c>
      <c r="D11" s="154">
        <f>SUMIFS(R_USD,R_St,"Submitted",R_Fecha,"&gt;="&amp;DATE(2026,11,1),R_Fecha,"&lt;="&amp;DATE(2026,11,30))+SUMIFS(R_USD,R_St,"Recall Requested",R_Fecha,"&gt;="&amp;DATE(2026,11,1),R_Fecha,"&lt;="&amp;DATE(2026,11,30))+SUMIFS(R_USD,R_St,"Approved",R_Fecha,"&gt;="&amp;DATE(2026,11,1),R_Fecha,"&lt;="&amp;DATE(2026,11,30))</f>
        <v>0</v>
      </c>
      <c r="E11" s="154">
        <f>SUMIFS(R_USD,R_St,"Approved",R_Fecha,"&gt;="&amp;DATE(2026,11,1),R_Fecha,"&lt;="&amp;DATE(2026,11,30))</f>
        <v>0</v>
      </c>
      <c r="F11" s="154">
        <f>SUMIFS(PAY_AMT,PAY_PER,B11)</f>
        <v>0</v>
      </c>
      <c r="G11" s="154">
        <f>E11-F11</f>
        <v>0</v>
      </c>
    </row>
    <row r="12">
      <c r="B12" s="13" t="inlineStr">
        <is>
          <t>Diciembre 2026</t>
        </is>
      </c>
      <c r="C12" s="154">
        <f>SUMIFS(R_USD,R_Fecha,"&gt;="&amp;DATE(2026,12,1),R_Fecha,"&lt;="&amp;DATE(2026,12,31))</f>
        <v>0</v>
      </c>
      <c r="D12" s="154">
        <f>SUMIFS(R_USD,R_St,"Submitted",R_Fecha,"&gt;="&amp;DATE(2026,12,1),R_Fecha,"&lt;="&amp;DATE(2026,12,31))+SUMIFS(R_USD,R_St,"Recall Requested",R_Fecha,"&gt;="&amp;DATE(2026,12,1),R_Fecha,"&lt;="&amp;DATE(2026,12,31))+SUMIFS(R_USD,R_St,"Approved",R_Fecha,"&gt;="&amp;DATE(2026,12,1),R_Fecha,"&lt;="&amp;DATE(2026,12,31))</f>
        <v>0</v>
      </c>
      <c r="E12" s="154">
        <f>SUMIFS(R_USD,R_St,"Approved",R_Fecha,"&gt;="&amp;DATE(2026,12,1),R_Fecha,"&lt;="&amp;DATE(2026,12,31))</f>
        <v>0</v>
      </c>
      <c r="F12" s="154">
        <f>SUMIFS(PAY_AMT,PAY_PER,B12)</f>
        <v>0</v>
      </c>
      <c r="G12" s="154">
        <f>E12-F12</f>
        <v>0</v>
      </c>
    </row>
    <row r="13">
      <c r="B13" s="13" t="inlineStr">
        <is>
          <t>Otro / sin período</t>
        </is>
      </c>
      <c r="C13" s="154" t="n">
        <v>0</v>
      </c>
      <c r="D13" s="154" t="n">
        <v>0</v>
      </c>
      <c r="E13" s="154" t="n">
        <v>0</v>
      </c>
      <c r="F13" s="154">
        <f>SUMIFS(PAY_AMT,PAY_PER,"Otro")</f>
        <v>0</v>
      </c>
      <c r="G13" s="154">
        <f>E13-F13</f>
        <v>0</v>
      </c>
    </row>
    <row r="14">
      <c r="B14" s="227" t="inlineStr">
        <is>
          <t>TOTAL</t>
        </is>
      </c>
      <c r="C14" s="228">
        <f>SUM(C10:C13)</f>
        <v>525</v>
      </c>
      <c r="D14" s="228">
        <f>SUM(D10:D13)</f>
        <v>450</v>
      </c>
      <c r="E14" s="228">
        <f>SUM(E10:E13)</f>
        <v>300</v>
      </c>
      <c r="F14" s="228">
        <f>SUM(F10:F13)</f>
        <v>200</v>
      </c>
      <c r="G14" s="228">
        <f>SUM(G10:G13)</f>
        <v>100</v>
      </c>
    </row>
    <row r="15" ht="22" customHeight="1">
      <c r="B15" s="229" t="inlineStr">
        <is>
          <t>USD estimados = horas proMX válidas no canceladas (Draft, Submitted, Approved, Returned, Recall Requested) × tarifa (normales) + extras × tarifa extra.  USD enviados = Submitted + Recall Requested + Approved.  Pendiente negativo = saldo a favor.</t>
        </is>
      </c>
    </row>
    <row r="16"/>
    <row r="18" ht="22" customHeight="1">
      <c r="B18" s="5" t="inlineStr">
        <is>
          <t>Registro de cobros (editable)</t>
        </is>
      </c>
      <c r="C18" s="6" t="n"/>
      <c r="D18" s="6" t="n"/>
      <c r="E18" s="6" t="n"/>
      <c r="F18" s="6" t="n"/>
      <c r="G18" s="6" t="n"/>
    </row>
    <row r="19" ht="32" customHeight="1">
      <c r="B19" s="69" t="inlineStr">
        <is>
          <t>Fecha de pago</t>
        </is>
      </c>
      <c r="C19" s="69" t="inlineStr">
        <is>
          <t>Importe USD</t>
        </is>
      </c>
      <c r="D19" s="69" t="inlineStr">
        <is>
          <t>Período</t>
        </is>
      </c>
      <c r="E19" s="69" t="inlineStr">
        <is>
          <t>Referencia de pago</t>
        </is>
      </c>
      <c r="F19" s="69" t="inlineStr">
        <is>
          <t>Medio</t>
        </is>
      </c>
      <c r="G19" s="69" t="inlineStr">
        <is>
          <t>Notas</t>
        </is>
      </c>
    </row>
    <row r="20">
      <c r="B20" s="230" t="n">
        <v>46305</v>
      </c>
      <c r="C20" s="231" t="n">
        <v>200</v>
      </c>
      <c r="D20" s="232" t="inlineStr">
        <is>
          <t>Octubre 2026</t>
        </is>
      </c>
      <c r="E20" s="232" t="inlineStr">
        <is>
          <t>EJEMPLO-PAGO-001</t>
        </is>
      </c>
      <c r="F20" s="232" t="inlineStr">
        <is>
          <t>Transferencia</t>
        </is>
      </c>
      <c r="G20" s="232" t="inlineStr">
        <is>
          <t>EJEMPLO – pago parcial, se puede borrar</t>
        </is>
      </c>
    </row>
    <row r="21">
      <c r="B21" s="230" t="n"/>
      <c r="C21" s="231" t="n"/>
      <c r="D21" s="232" t="n"/>
      <c r="E21" s="232" t="n"/>
      <c r="F21" s="232" t="n"/>
      <c r="G21" s="232" t="n"/>
    </row>
    <row r="22">
      <c r="B22" s="230" t="n"/>
      <c r="C22" s="231" t="n"/>
      <c r="D22" s="232" t="n"/>
      <c r="E22" s="232" t="n"/>
      <c r="F22" s="232" t="n"/>
      <c r="G22" s="232" t="n"/>
    </row>
    <row r="23">
      <c r="B23" s="230" t="n"/>
      <c r="C23" s="231" t="n"/>
      <c r="D23" s="232" t="n"/>
      <c r="E23" s="232" t="n"/>
      <c r="F23" s="232" t="n"/>
      <c r="G23" s="232" t="n"/>
    </row>
    <row r="24">
      <c r="B24" s="230" t="n"/>
      <c r="C24" s="231" t="n"/>
      <c r="D24" s="232" t="n"/>
      <c r="E24" s="232" t="n"/>
      <c r="F24" s="232" t="n"/>
      <c r="G24" s="232" t="n"/>
    </row>
    <row r="25">
      <c r="B25" s="230" t="n"/>
      <c r="C25" s="231" t="n"/>
      <c r="D25" s="232" t="n"/>
      <c r="E25" s="232" t="n"/>
      <c r="F25" s="232" t="n"/>
      <c r="G25" s="232" t="n"/>
    </row>
    <row r="26">
      <c r="B26" s="230" t="n"/>
      <c r="C26" s="231" t="n"/>
      <c r="D26" s="232" t="n"/>
      <c r="E26" s="232" t="n"/>
      <c r="F26" s="232" t="n"/>
      <c r="G26" s="232" t="n"/>
    </row>
    <row r="27">
      <c r="B27" s="230" t="n"/>
      <c r="C27" s="231" t="n"/>
      <c r="D27" s="232" t="n"/>
      <c r="E27" s="232" t="n"/>
      <c r="F27" s="232" t="n"/>
      <c r="G27" s="232" t="n"/>
    </row>
    <row r="28">
      <c r="B28" s="230" t="n"/>
      <c r="C28" s="231" t="n"/>
      <c r="D28" s="232" t="n"/>
      <c r="E28" s="232" t="n"/>
      <c r="F28" s="232" t="n"/>
      <c r="G28" s="232" t="n"/>
    </row>
    <row r="29">
      <c r="B29" s="230" t="n"/>
      <c r="C29" s="231" t="n"/>
      <c r="D29" s="232" t="n"/>
      <c r="E29" s="232" t="n"/>
      <c r="F29" s="232" t="n"/>
      <c r="G29" s="232" t="n"/>
    </row>
    <row r="30">
      <c r="B30" s="230" t="n"/>
      <c r="C30" s="231" t="n"/>
      <c r="D30" s="232" t="n"/>
      <c r="E30" s="232" t="n"/>
      <c r="F30" s="232" t="n"/>
      <c r="G30" s="232" t="n"/>
    </row>
    <row r="31">
      <c r="B31" s="230" t="n"/>
      <c r="C31" s="231" t="n"/>
      <c r="D31" s="232" t="n"/>
      <c r="E31" s="232" t="n"/>
      <c r="F31" s="232" t="n"/>
      <c r="G31" s="232" t="n"/>
    </row>
    <row r="32">
      <c r="B32" s="230" t="n"/>
      <c r="C32" s="231" t="n"/>
      <c r="D32" s="232" t="n"/>
      <c r="E32" s="232" t="n"/>
      <c r="F32" s="232" t="n"/>
      <c r="G32" s="232" t="n"/>
    </row>
    <row r="33">
      <c r="B33" s="230" t="n"/>
      <c r="C33" s="231" t="n"/>
      <c r="D33" s="232" t="n"/>
      <c r="E33" s="232" t="n"/>
      <c r="F33" s="232" t="n"/>
      <c r="G33" s="232" t="n"/>
    </row>
    <row r="34">
      <c r="B34" s="230" t="n"/>
      <c r="C34" s="231" t="n"/>
      <c r="D34" s="232" t="n"/>
      <c r="E34" s="232" t="n"/>
      <c r="F34" s="232" t="n"/>
      <c r="G34" s="232" t="n"/>
    </row>
    <row r="35">
      <c r="B35" s="230" t="n"/>
      <c r="C35" s="231" t="n"/>
      <c r="D35" s="232" t="n"/>
      <c r="E35" s="232" t="n"/>
      <c r="F35" s="232" t="n"/>
      <c r="G35" s="232" t="n"/>
    </row>
    <row r="36">
      <c r="B36" s="230" t="n"/>
      <c r="C36" s="231" t="n"/>
      <c r="D36" s="232" t="n"/>
      <c r="E36" s="232" t="n"/>
      <c r="F36" s="232" t="n"/>
      <c r="G36" s="232" t="n"/>
    </row>
    <row r="37">
      <c r="B37" s="230" t="n"/>
      <c r="C37" s="231" t="n"/>
      <c r="D37" s="232" t="n"/>
      <c r="E37" s="232" t="n"/>
      <c r="F37" s="232" t="n"/>
      <c r="G37" s="232" t="n"/>
    </row>
    <row r="38">
      <c r="B38" s="230" t="n"/>
      <c r="C38" s="231" t="n"/>
      <c r="D38" s="232" t="n"/>
      <c r="E38" s="232" t="n"/>
      <c r="F38" s="232" t="n"/>
      <c r="G38" s="232" t="n"/>
    </row>
    <row r="39">
      <c r="B39" s="230" t="n"/>
      <c r="C39" s="231" t="n"/>
      <c r="D39" s="232" t="n"/>
      <c r="E39" s="232" t="n"/>
      <c r="F39" s="232" t="n"/>
      <c r="G39" s="232" t="n"/>
    </row>
    <row r="40">
      <c r="B40" s="230" t="n"/>
      <c r="C40" s="231" t="n"/>
      <c r="D40" s="232" t="n"/>
      <c r="E40" s="232" t="n"/>
      <c r="F40" s="232" t="n"/>
      <c r="G40" s="232" t="n"/>
    </row>
    <row r="41">
      <c r="B41" s="230" t="n"/>
      <c r="C41" s="231" t="n"/>
      <c r="D41" s="232" t="n"/>
      <c r="E41" s="232" t="n"/>
      <c r="F41" s="232" t="n"/>
      <c r="G41" s="232" t="n"/>
    </row>
    <row r="42">
      <c r="B42" s="230" t="n"/>
      <c r="C42" s="231" t="n"/>
      <c r="D42" s="232" t="n"/>
      <c r="E42" s="232" t="n"/>
      <c r="F42" s="232" t="n"/>
      <c r="G42" s="232" t="n"/>
    </row>
    <row r="43">
      <c r="B43" s="230" t="n"/>
      <c r="C43" s="231" t="n"/>
      <c r="D43" s="232" t="n"/>
      <c r="E43" s="232" t="n"/>
      <c r="F43" s="232" t="n"/>
      <c r="G43" s="232" t="n"/>
    </row>
    <row r="44">
      <c r="B44" s="230" t="n"/>
      <c r="C44" s="231" t="n"/>
      <c r="D44" s="232" t="n"/>
      <c r="E44" s="232" t="n"/>
      <c r="F44" s="232" t="n"/>
      <c r="G44" s="232" t="n"/>
    </row>
    <row r="45">
      <c r="B45" s="230" t="n"/>
      <c r="C45" s="231" t="n"/>
      <c r="D45" s="232" t="n"/>
      <c r="E45" s="232" t="n"/>
      <c r="F45" s="232" t="n"/>
      <c r="G45" s="232" t="n"/>
    </row>
    <row r="46">
      <c r="B46" s="230" t="n"/>
      <c r="C46" s="231" t="n"/>
      <c r="D46" s="232" t="n"/>
      <c r="E46" s="232" t="n"/>
      <c r="F46" s="232" t="n"/>
      <c r="G46" s="232" t="n"/>
    </row>
    <row r="47">
      <c r="B47" s="230" t="n"/>
      <c r="C47" s="231" t="n"/>
      <c r="D47" s="232" t="n"/>
      <c r="E47" s="232" t="n"/>
      <c r="F47" s="232" t="n"/>
      <c r="G47" s="232" t="n"/>
    </row>
    <row r="48">
      <c r="B48" s="230" t="n"/>
      <c r="C48" s="231" t="n"/>
      <c r="D48" s="232" t="n"/>
      <c r="E48" s="232" t="n"/>
      <c r="F48" s="232" t="n"/>
      <c r="G48" s="232" t="n"/>
    </row>
    <row r="49">
      <c r="B49" s="230" t="n"/>
      <c r="C49" s="231" t="n"/>
      <c r="D49" s="232" t="n"/>
      <c r="E49" s="232" t="n"/>
      <c r="F49" s="232" t="n"/>
      <c r="G49" s="232" t="n"/>
    </row>
    <row r="50">
      <c r="B50" s="230" t="n"/>
      <c r="C50" s="231" t="n"/>
      <c r="D50" s="232" t="n"/>
      <c r="E50" s="232" t="n"/>
      <c r="F50" s="232" t="n"/>
      <c r="G50" s="232" t="n"/>
    </row>
    <row r="51">
      <c r="B51" s="230" t="n"/>
      <c r="C51" s="231" t="n"/>
      <c r="D51" s="232" t="n"/>
      <c r="E51" s="232" t="n"/>
      <c r="F51" s="232" t="n"/>
      <c r="G51" s="232" t="n"/>
    </row>
    <row r="52">
      <c r="B52" s="230" t="n"/>
      <c r="C52" s="231" t="n"/>
      <c r="D52" s="232" t="n"/>
      <c r="E52" s="232" t="n"/>
      <c r="F52" s="232" t="n"/>
      <c r="G52" s="232" t="n"/>
    </row>
    <row r="53">
      <c r="B53" s="230" t="n"/>
      <c r="C53" s="231" t="n"/>
      <c r="D53" s="232" t="n"/>
      <c r="E53" s="232" t="n"/>
      <c r="F53" s="232" t="n"/>
      <c r="G53" s="232" t="n"/>
    </row>
    <row r="54">
      <c r="B54" s="230" t="n"/>
      <c r="C54" s="231" t="n"/>
      <c r="D54" s="232" t="n"/>
      <c r="E54" s="232" t="n"/>
      <c r="F54" s="232" t="n"/>
      <c r="G54" s="232" t="n"/>
    </row>
    <row r="55">
      <c r="B55" s="230" t="n"/>
      <c r="C55" s="231" t="n"/>
      <c r="D55" s="232" t="n"/>
      <c r="E55" s="232" t="n"/>
      <c r="F55" s="232" t="n"/>
      <c r="G55" s="232" t="n"/>
    </row>
    <row r="56">
      <c r="B56" s="230" t="n"/>
      <c r="C56" s="231" t="n"/>
      <c r="D56" s="232" t="n"/>
      <c r="E56" s="232" t="n"/>
      <c r="F56" s="232" t="n"/>
      <c r="G56" s="232" t="n"/>
    </row>
    <row r="57">
      <c r="B57" s="230" t="n"/>
      <c r="C57" s="231" t="n"/>
      <c r="D57" s="232" t="n"/>
      <c r="E57" s="232" t="n"/>
      <c r="F57" s="232" t="n"/>
      <c r="G57" s="232" t="n"/>
    </row>
    <row r="58">
      <c r="B58" s="230" t="n"/>
      <c r="C58" s="231" t="n"/>
      <c r="D58" s="232" t="n"/>
      <c r="E58" s="232" t="n"/>
      <c r="F58" s="232" t="n"/>
      <c r="G58" s="232" t="n"/>
    </row>
    <row r="59">
      <c r="B59" s="230" t="n"/>
      <c r="C59" s="231" t="n"/>
      <c r="D59" s="232" t="n"/>
      <c r="E59" s="232" t="n"/>
      <c r="F59" s="232" t="n"/>
      <c r="G59" s="232" t="n"/>
    </row>
    <row r="60">
      <c r="B60" s="230" t="n"/>
      <c r="C60" s="231" t="n"/>
      <c r="D60" s="232" t="n"/>
      <c r="E60" s="232" t="n"/>
      <c r="F60" s="232" t="n"/>
      <c r="G60" s="232" t="n"/>
    </row>
    <row r="61">
      <c r="B61" s="230" t="n"/>
      <c r="C61" s="231" t="n"/>
      <c r="D61" s="232" t="n"/>
      <c r="E61" s="232" t="n"/>
      <c r="F61" s="232" t="n"/>
      <c r="G61" s="232" t="n"/>
    </row>
    <row r="62">
      <c r="B62" s="230" t="n"/>
      <c r="C62" s="231" t="n"/>
      <c r="D62" s="232" t="n"/>
      <c r="E62" s="232" t="n"/>
      <c r="F62" s="232" t="n"/>
      <c r="G62" s="232" t="n"/>
    </row>
    <row r="63">
      <c r="B63" s="230" t="n"/>
      <c r="C63" s="231" t="n"/>
      <c r="D63" s="232" t="n"/>
      <c r="E63" s="232" t="n"/>
      <c r="F63" s="232" t="n"/>
      <c r="G63" s="232" t="n"/>
    </row>
    <row r="64">
      <c r="B64" s="230" t="n"/>
      <c r="C64" s="231" t="n"/>
      <c r="D64" s="232" t="n"/>
      <c r="E64" s="232" t="n"/>
      <c r="F64" s="232" t="n"/>
      <c r="G64" s="232" t="n"/>
    </row>
    <row r="65">
      <c r="B65" s="230" t="n"/>
      <c r="C65" s="231" t="n"/>
      <c r="D65" s="232" t="n"/>
      <c r="E65" s="232" t="n"/>
      <c r="F65" s="232" t="n"/>
      <c r="G65" s="232" t="n"/>
    </row>
    <row r="66">
      <c r="B66" s="230" t="n"/>
      <c r="C66" s="231" t="n"/>
      <c r="D66" s="232" t="n"/>
      <c r="E66" s="232" t="n"/>
      <c r="F66" s="232" t="n"/>
      <c r="G66" s="232" t="n"/>
    </row>
    <row r="67">
      <c r="B67" s="230" t="n"/>
      <c r="C67" s="231" t="n"/>
      <c r="D67" s="232" t="n"/>
      <c r="E67" s="232" t="n"/>
      <c r="F67" s="232" t="n"/>
      <c r="G67" s="232" t="n"/>
    </row>
    <row r="68">
      <c r="B68" s="230" t="n"/>
      <c r="C68" s="231" t="n"/>
      <c r="D68" s="232" t="n"/>
      <c r="E68" s="232" t="n"/>
      <c r="F68" s="232" t="n"/>
      <c r="G68" s="232" t="n"/>
    </row>
    <row r="69">
      <c r="B69" s="230" t="n"/>
      <c r="C69" s="231" t="n"/>
      <c r="D69" s="232" t="n"/>
      <c r="E69" s="232" t="n"/>
      <c r="F69" s="232" t="n"/>
      <c r="G69" s="232" t="n"/>
    </row>
    <row r="70">
      <c r="B70" s="230" t="n"/>
      <c r="C70" s="231" t="n"/>
      <c r="D70" s="232" t="n"/>
      <c r="E70" s="232" t="n"/>
      <c r="F70" s="232" t="n"/>
      <c r="G70" s="232" t="n"/>
    </row>
    <row r="71">
      <c r="B71" s="230" t="n"/>
      <c r="C71" s="231" t="n"/>
      <c r="D71" s="232" t="n"/>
      <c r="E71" s="232" t="n"/>
      <c r="F71" s="232" t="n"/>
      <c r="G71" s="232" t="n"/>
    </row>
    <row r="72">
      <c r="B72" s="230" t="n"/>
      <c r="C72" s="231" t="n"/>
      <c r="D72" s="232" t="n"/>
      <c r="E72" s="232" t="n"/>
      <c r="F72" s="232" t="n"/>
      <c r="G72" s="232" t="n"/>
    </row>
    <row r="73">
      <c r="B73" s="230" t="n"/>
      <c r="C73" s="231" t="n"/>
      <c r="D73" s="232" t="n"/>
      <c r="E73" s="232" t="n"/>
      <c r="F73" s="232" t="n"/>
      <c r="G73" s="232" t="n"/>
    </row>
    <row r="74">
      <c r="B74" s="230" t="n"/>
      <c r="C74" s="231" t="n"/>
      <c r="D74" s="232" t="n"/>
      <c r="E74" s="232" t="n"/>
      <c r="F74" s="232" t="n"/>
      <c r="G74" s="232" t="n"/>
    </row>
    <row r="75">
      <c r="B75" s="230" t="n"/>
      <c r="C75" s="231" t="n"/>
      <c r="D75" s="232" t="n"/>
      <c r="E75" s="232" t="n"/>
      <c r="F75" s="232" t="n"/>
      <c r="G75" s="232" t="n"/>
    </row>
    <row r="76">
      <c r="B76" s="230" t="n"/>
      <c r="C76" s="231" t="n"/>
      <c r="D76" s="232" t="n"/>
      <c r="E76" s="232" t="n"/>
      <c r="F76" s="232" t="n"/>
      <c r="G76" s="232" t="n"/>
    </row>
    <row r="77">
      <c r="B77" s="230" t="n"/>
      <c r="C77" s="231" t="n"/>
      <c r="D77" s="232" t="n"/>
      <c r="E77" s="232" t="n"/>
      <c r="F77" s="232" t="n"/>
      <c r="G77" s="232" t="n"/>
    </row>
    <row r="78">
      <c r="B78" s="230" t="n"/>
      <c r="C78" s="231" t="n"/>
      <c r="D78" s="232" t="n"/>
      <c r="E78" s="232" t="n"/>
      <c r="F78" s="232" t="n"/>
      <c r="G78" s="232" t="n"/>
    </row>
    <row r="79">
      <c r="B79" s="230" t="n"/>
      <c r="C79" s="231" t="n"/>
      <c r="D79" s="232" t="n"/>
      <c r="E79" s="232" t="n"/>
      <c r="F79" s="232" t="n"/>
      <c r="G79" s="232" t="n"/>
    </row>
    <row r="80">
      <c r="B80" s="230" t="n"/>
      <c r="C80" s="231" t="n"/>
      <c r="D80" s="232" t="n"/>
      <c r="E80" s="232" t="n"/>
      <c r="F80" s="232" t="n"/>
      <c r="G80" s="232" t="n"/>
    </row>
    <row r="81">
      <c r="B81" s="230" t="n"/>
      <c r="C81" s="231" t="n"/>
      <c r="D81" s="232" t="n"/>
      <c r="E81" s="232" t="n"/>
      <c r="F81" s="232" t="n"/>
      <c r="G81" s="232" t="n"/>
    </row>
    <row r="82">
      <c r="B82" s="230" t="n"/>
      <c r="C82" s="231" t="n"/>
      <c r="D82" s="232" t="n"/>
      <c r="E82" s="232" t="n"/>
      <c r="F82" s="232" t="n"/>
      <c r="G82" s="232" t="n"/>
    </row>
    <row r="83">
      <c r="B83" s="230" t="n"/>
      <c r="C83" s="231" t="n"/>
      <c r="D83" s="232" t="n"/>
      <c r="E83" s="232" t="n"/>
      <c r="F83" s="232" t="n"/>
      <c r="G83" s="232" t="n"/>
    </row>
    <row r="84">
      <c r="B84" s="230" t="n"/>
      <c r="C84" s="231" t="n"/>
      <c r="D84" s="232" t="n"/>
      <c r="E84" s="232" t="n"/>
      <c r="F84" s="232" t="n"/>
      <c r="G84" s="232" t="n"/>
    </row>
    <row r="85">
      <c r="B85" s="230" t="n"/>
      <c r="C85" s="231" t="n"/>
      <c r="D85" s="232" t="n"/>
      <c r="E85" s="232" t="n"/>
      <c r="F85" s="232" t="n"/>
      <c r="G85" s="232" t="n"/>
    </row>
    <row r="86">
      <c r="B86" s="230" t="n"/>
      <c r="C86" s="231" t="n"/>
      <c r="D86" s="232" t="n"/>
      <c r="E86" s="232" t="n"/>
      <c r="F86" s="232" t="n"/>
      <c r="G86" s="232" t="n"/>
    </row>
    <row r="87">
      <c r="B87" s="230" t="n"/>
      <c r="C87" s="231" t="n"/>
      <c r="D87" s="232" t="n"/>
      <c r="E87" s="232" t="n"/>
      <c r="F87" s="232" t="n"/>
      <c r="G87" s="232" t="n"/>
    </row>
    <row r="88">
      <c r="B88" s="230" t="n"/>
      <c r="C88" s="231" t="n"/>
      <c r="D88" s="232" t="n"/>
      <c r="E88" s="232" t="n"/>
      <c r="F88" s="232" t="n"/>
      <c r="G88" s="232" t="n"/>
    </row>
    <row r="89">
      <c r="B89" s="230" t="n"/>
      <c r="C89" s="231" t="n"/>
      <c r="D89" s="232" t="n"/>
      <c r="E89" s="232" t="n"/>
      <c r="F89" s="232" t="n"/>
      <c r="G89" s="232" t="n"/>
    </row>
    <row r="90">
      <c r="B90" s="230" t="n"/>
      <c r="C90" s="231" t="n"/>
      <c r="D90" s="232" t="n"/>
      <c r="E90" s="232" t="n"/>
      <c r="F90" s="232" t="n"/>
      <c r="G90" s="232" t="n"/>
    </row>
    <row r="91">
      <c r="B91" s="230" t="n"/>
      <c r="C91" s="231" t="n"/>
      <c r="D91" s="232" t="n"/>
      <c r="E91" s="232" t="n"/>
      <c r="F91" s="232" t="n"/>
      <c r="G91" s="232" t="n"/>
    </row>
    <row r="92">
      <c r="B92" s="230" t="n"/>
      <c r="C92" s="231" t="n"/>
      <c r="D92" s="232" t="n"/>
      <c r="E92" s="232" t="n"/>
      <c r="F92" s="232" t="n"/>
      <c r="G92" s="232" t="n"/>
    </row>
    <row r="93">
      <c r="B93" s="230" t="n"/>
      <c r="C93" s="231" t="n"/>
      <c r="D93" s="232" t="n"/>
      <c r="E93" s="232" t="n"/>
      <c r="F93" s="232" t="n"/>
      <c r="G93" s="232" t="n"/>
    </row>
    <row r="94">
      <c r="B94" s="230" t="n"/>
      <c r="C94" s="231" t="n"/>
      <c r="D94" s="232" t="n"/>
      <c r="E94" s="232" t="n"/>
      <c r="F94" s="232" t="n"/>
      <c r="G94" s="232" t="n"/>
    </row>
    <row r="95">
      <c r="B95" s="230" t="n"/>
      <c r="C95" s="231" t="n"/>
      <c r="D95" s="232" t="n"/>
      <c r="E95" s="232" t="n"/>
      <c r="F95" s="232" t="n"/>
      <c r="G95" s="232" t="n"/>
    </row>
    <row r="96">
      <c r="B96" s="230" t="n"/>
      <c r="C96" s="231" t="n"/>
      <c r="D96" s="232" t="n"/>
      <c r="E96" s="232" t="n"/>
      <c r="F96" s="232" t="n"/>
      <c r="G96" s="232" t="n"/>
    </row>
    <row r="97">
      <c r="B97" s="230" t="n"/>
      <c r="C97" s="231" t="n"/>
      <c r="D97" s="232" t="n"/>
      <c r="E97" s="232" t="n"/>
      <c r="F97" s="232" t="n"/>
      <c r="G97" s="232" t="n"/>
    </row>
    <row r="98">
      <c r="B98" s="230" t="n"/>
      <c r="C98" s="231" t="n"/>
      <c r="D98" s="232" t="n"/>
      <c r="E98" s="232" t="n"/>
      <c r="F98" s="232" t="n"/>
      <c r="G98" s="232" t="n"/>
    </row>
    <row r="99">
      <c r="B99" s="230" t="n"/>
      <c r="C99" s="231" t="n"/>
      <c r="D99" s="232" t="n"/>
      <c r="E99" s="232" t="n"/>
      <c r="F99" s="232" t="n"/>
      <c r="G99" s="232" t="n"/>
    </row>
    <row r="100">
      <c r="B100" s="230" t="n"/>
      <c r="C100" s="231" t="n"/>
      <c r="D100" s="232" t="n"/>
      <c r="E100" s="232" t="n"/>
      <c r="F100" s="232" t="n"/>
      <c r="G100" s="232" t="n"/>
    </row>
    <row r="101">
      <c r="B101" s="230" t="n"/>
      <c r="C101" s="231" t="n"/>
      <c r="D101" s="232" t="n"/>
      <c r="E101" s="232" t="n"/>
      <c r="F101" s="232" t="n"/>
      <c r="G101" s="232" t="n"/>
    </row>
    <row r="102">
      <c r="B102" s="230" t="n"/>
      <c r="C102" s="231" t="n"/>
      <c r="D102" s="232" t="n"/>
      <c r="E102" s="232" t="n"/>
      <c r="F102" s="232" t="n"/>
      <c r="G102" s="232" t="n"/>
    </row>
    <row r="103">
      <c r="B103" s="230" t="n"/>
      <c r="C103" s="231" t="n"/>
      <c r="D103" s="232" t="n"/>
      <c r="E103" s="232" t="n"/>
      <c r="F103" s="232" t="n"/>
      <c r="G103" s="232" t="n"/>
    </row>
    <row r="104">
      <c r="B104" s="230" t="n"/>
      <c r="C104" s="231" t="n"/>
      <c r="D104" s="232" t="n"/>
      <c r="E104" s="232" t="n"/>
      <c r="F104" s="232" t="n"/>
      <c r="G104" s="232" t="n"/>
    </row>
    <row r="105">
      <c r="B105" s="230" t="n"/>
      <c r="C105" s="231" t="n"/>
      <c r="D105" s="232" t="n"/>
      <c r="E105" s="232" t="n"/>
      <c r="F105" s="232" t="n"/>
      <c r="G105" s="232" t="n"/>
    </row>
    <row r="106">
      <c r="B106" s="230" t="n"/>
      <c r="C106" s="231" t="n"/>
      <c r="D106" s="232" t="n"/>
      <c r="E106" s="232" t="n"/>
      <c r="F106" s="232" t="n"/>
      <c r="G106" s="232" t="n"/>
    </row>
    <row r="107">
      <c r="B107" s="230" t="n"/>
      <c r="C107" s="231" t="n"/>
      <c r="D107" s="232" t="n"/>
      <c r="E107" s="232" t="n"/>
      <c r="F107" s="232" t="n"/>
      <c r="G107" s="232" t="n"/>
    </row>
    <row r="108">
      <c r="B108" s="230" t="n"/>
      <c r="C108" s="231" t="n"/>
      <c r="D108" s="232" t="n"/>
      <c r="E108" s="232" t="n"/>
      <c r="F108" s="232" t="n"/>
      <c r="G108" s="232" t="n"/>
    </row>
    <row r="109">
      <c r="B109" s="230" t="n"/>
      <c r="C109" s="231" t="n"/>
      <c r="D109" s="232" t="n"/>
      <c r="E109" s="232" t="n"/>
      <c r="F109" s="232" t="n"/>
      <c r="G109" s="232" t="n"/>
    </row>
    <row r="110">
      <c r="B110" s="230" t="n"/>
      <c r="C110" s="231" t="n"/>
      <c r="D110" s="232" t="n"/>
      <c r="E110" s="232" t="n"/>
      <c r="F110" s="232" t="n"/>
      <c r="G110" s="232" t="n"/>
    </row>
    <row r="111">
      <c r="B111" s="230" t="n"/>
      <c r="C111" s="231" t="n"/>
      <c r="D111" s="232" t="n"/>
      <c r="E111" s="232" t="n"/>
      <c r="F111" s="232" t="n"/>
      <c r="G111" s="232" t="n"/>
    </row>
    <row r="112">
      <c r="B112" s="230" t="n"/>
      <c r="C112" s="231" t="n"/>
      <c r="D112" s="232" t="n"/>
      <c r="E112" s="232" t="n"/>
      <c r="F112" s="232" t="n"/>
      <c r="G112" s="232" t="n"/>
    </row>
    <row r="113">
      <c r="B113" s="230" t="n"/>
      <c r="C113" s="231" t="n"/>
      <c r="D113" s="232" t="n"/>
      <c r="E113" s="232" t="n"/>
      <c r="F113" s="232" t="n"/>
      <c r="G113" s="232" t="n"/>
    </row>
    <row r="114">
      <c r="B114" s="230" t="n"/>
      <c r="C114" s="231" t="n"/>
      <c r="D114" s="232" t="n"/>
      <c r="E114" s="232" t="n"/>
      <c r="F114" s="232" t="n"/>
      <c r="G114" s="232" t="n"/>
    </row>
    <row r="115">
      <c r="B115" s="230" t="n"/>
      <c r="C115" s="231" t="n"/>
      <c r="D115" s="232" t="n"/>
      <c r="E115" s="232" t="n"/>
      <c r="F115" s="232" t="n"/>
      <c r="G115" s="232" t="n"/>
    </row>
    <row r="116">
      <c r="B116" s="230" t="n"/>
      <c r="C116" s="231" t="n"/>
      <c r="D116" s="232" t="n"/>
      <c r="E116" s="232" t="n"/>
      <c r="F116" s="232" t="n"/>
      <c r="G116" s="232" t="n"/>
    </row>
    <row r="117">
      <c r="B117" s="230" t="n"/>
      <c r="C117" s="231" t="n"/>
      <c r="D117" s="232" t="n"/>
      <c r="E117" s="232" t="n"/>
      <c r="F117" s="232" t="n"/>
      <c r="G117" s="232" t="n"/>
    </row>
    <row r="118">
      <c r="B118" s="230" t="n"/>
      <c r="C118" s="231" t="n"/>
      <c r="D118" s="232" t="n"/>
      <c r="E118" s="232" t="n"/>
      <c r="F118" s="232" t="n"/>
      <c r="G118" s="232" t="n"/>
    </row>
    <row r="119">
      <c r="B119" s="230" t="n"/>
      <c r="C119" s="231" t="n"/>
      <c r="D119" s="232" t="n"/>
      <c r="E119" s="232" t="n"/>
      <c r="F119" s="232" t="n"/>
      <c r="G119" s="232" t="n"/>
    </row>
    <row r="120">
      <c r="B120" s="230" t="n"/>
      <c r="C120" s="231" t="n"/>
      <c r="D120" s="232" t="n"/>
      <c r="E120" s="232" t="n"/>
      <c r="F120" s="232" t="n"/>
      <c r="G120" s="232" t="n"/>
    </row>
    <row r="121">
      <c r="B121" s="230" t="n"/>
      <c r="C121" s="231" t="n"/>
      <c r="D121" s="232" t="n"/>
      <c r="E121" s="232" t="n"/>
      <c r="F121" s="232" t="n"/>
      <c r="G121" s="232" t="n"/>
    </row>
    <row r="122">
      <c r="B122" s="230" t="n"/>
      <c r="C122" s="231" t="n"/>
      <c r="D122" s="232" t="n"/>
      <c r="E122" s="232" t="n"/>
      <c r="F122" s="232" t="n"/>
      <c r="G122" s="232" t="n"/>
    </row>
    <row r="123">
      <c r="B123" s="230" t="n"/>
      <c r="C123" s="231" t="n"/>
      <c r="D123" s="232" t="n"/>
      <c r="E123" s="232" t="n"/>
      <c r="F123" s="232" t="n"/>
      <c r="G123" s="232" t="n"/>
    </row>
    <row r="124">
      <c r="B124" s="230" t="n"/>
      <c r="C124" s="231" t="n"/>
      <c r="D124" s="232" t="n"/>
      <c r="E124" s="232" t="n"/>
      <c r="F124" s="232" t="n"/>
      <c r="G124" s="232" t="n"/>
    </row>
    <row r="125">
      <c r="B125" s="230" t="n"/>
      <c r="C125" s="231" t="n"/>
      <c r="D125" s="232" t="n"/>
      <c r="E125" s="232" t="n"/>
      <c r="F125" s="232" t="n"/>
      <c r="G125" s="232" t="n"/>
    </row>
    <row r="126">
      <c r="B126" s="230" t="n"/>
      <c r="C126" s="231" t="n"/>
      <c r="D126" s="232" t="n"/>
      <c r="E126" s="232" t="n"/>
      <c r="F126" s="232" t="n"/>
      <c r="G126" s="232" t="n"/>
    </row>
    <row r="127">
      <c r="B127" s="230" t="n"/>
      <c r="C127" s="231" t="n"/>
      <c r="D127" s="232" t="n"/>
      <c r="E127" s="232" t="n"/>
      <c r="F127" s="232" t="n"/>
      <c r="G127" s="232" t="n"/>
    </row>
    <row r="128">
      <c r="B128" s="230" t="n"/>
      <c r="C128" s="231" t="n"/>
      <c r="D128" s="232" t="n"/>
      <c r="E128" s="232" t="n"/>
      <c r="F128" s="232" t="n"/>
      <c r="G128" s="232" t="n"/>
    </row>
    <row r="129">
      <c r="B129" s="230" t="n"/>
      <c r="C129" s="231" t="n"/>
      <c r="D129" s="232" t="n"/>
      <c r="E129" s="232" t="n"/>
      <c r="F129" s="232" t="n"/>
      <c r="G129" s="232" t="n"/>
    </row>
    <row r="130">
      <c r="B130" s="230" t="n"/>
      <c r="C130" s="231" t="n"/>
      <c r="D130" s="232" t="n"/>
      <c r="E130" s="232" t="n"/>
      <c r="F130" s="232" t="n"/>
      <c r="G130" s="232" t="n"/>
    </row>
    <row r="131">
      <c r="B131" s="230" t="n"/>
      <c r="C131" s="231" t="n"/>
      <c r="D131" s="232" t="n"/>
      <c r="E131" s="232" t="n"/>
      <c r="F131" s="232" t="n"/>
      <c r="G131" s="232" t="n"/>
    </row>
    <row r="132">
      <c r="B132" s="230" t="n"/>
      <c r="C132" s="231" t="n"/>
      <c r="D132" s="232" t="n"/>
      <c r="E132" s="232" t="n"/>
      <c r="F132" s="232" t="n"/>
      <c r="G132" s="232" t="n"/>
    </row>
    <row r="133">
      <c r="B133" s="230" t="n"/>
      <c r="C133" s="231" t="n"/>
      <c r="D133" s="232" t="n"/>
      <c r="E133" s="232" t="n"/>
      <c r="F133" s="232" t="n"/>
      <c r="G133" s="232" t="n"/>
    </row>
    <row r="134">
      <c r="B134" s="230" t="n"/>
      <c r="C134" s="231" t="n"/>
      <c r="D134" s="232" t="n"/>
      <c r="E134" s="232" t="n"/>
      <c r="F134" s="232" t="n"/>
      <c r="G134" s="232" t="n"/>
    </row>
    <row r="135">
      <c r="B135" s="230" t="n"/>
      <c r="C135" s="231" t="n"/>
      <c r="D135" s="232" t="n"/>
      <c r="E135" s="232" t="n"/>
      <c r="F135" s="232" t="n"/>
      <c r="G135" s="232" t="n"/>
    </row>
    <row r="136">
      <c r="B136" s="230" t="n"/>
      <c r="C136" s="231" t="n"/>
      <c r="D136" s="232" t="n"/>
      <c r="E136" s="232" t="n"/>
      <c r="F136" s="232" t="n"/>
      <c r="G136" s="232" t="n"/>
    </row>
    <row r="137">
      <c r="B137" s="230" t="n"/>
      <c r="C137" s="231" t="n"/>
      <c r="D137" s="232" t="n"/>
      <c r="E137" s="232" t="n"/>
      <c r="F137" s="232" t="n"/>
      <c r="G137" s="232" t="n"/>
    </row>
    <row r="138">
      <c r="B138" s="230" t="n"/>
      <c r="C138" s="231" t="n"/>
      <c r="D138" s="232" t="n"/>
      <c r="E138" s="232" t="n"/>
      <c r="F138" s="232" t="n"/>
      <c r="G138" s="232" t="n"/>
    </row>
    <row r="139">
      <c r="B139" s="230" t="n"/>
      <c r="C139" s="231" t="n"/>
      <c r="D139" s="232" t="n"/>
      <c r="E139" s="232" t="n"/>
      <c r="F139" s="232" t="n"/>
      <c r="G139" s="232" t="n"/>
    </row>
    <row r="140">
      <c r="B140" s="230" t="n"/>
      <c r="C140" s="231" t="n"/>
      <c r="D140" s="232" t="n"/>
      <c r="E140" s="232" t="n"/>
      <c r="F140" s="232" t="n"/>
      <c r="G140" s="232" t="n"/>
    </row>
    <row r="141">
      <c r="B141" s="230" t="n"/>
      <c r="C141" s="231" t="n"/>
      <c r="D141" s="232" t="n"/>
      <c r="E141" s="232" t="n"/>
      <c r="F141" s="232" t="n"/>
      <c r="G141" s="232" t="n"/>
    </row>
    <row r="142">
      <c r="B142" s="230" t="n"/>
      <c r="C142" s="231" t="n"/>
      <c r="D142" s="232" t="n"/>
      <c r="E142" s="232" t="n"/>
      <c r="F142" s="232" t="n"/>
      <c r="G142" s="232" t="n"/>
    </row>
    <row r="143">
      <c r="B143" s="230" t="n"/>
      <c r="C143" s="231" t="n"/>
      <c r="D143" s="232" t="n"/>
      <c r="E143" s="232" t="n"/>
      <c r="F143" s="232" t="n"/>
      <c r="G143" s="232" t="n"/>
    </row>
    <row r="144">
      <c r="B144" s="230" t="n"/>
      <c r="C144" s="231" t="n"/>
      <c r="D144" s="232" t="n"/>
      <c r="E144" s="232" t="n"/>
      <c r="F144" s="232" t="n"/>
      <c r="G144" s="232" t="n"/>
    </row>
    <row r="145">
      <c r="B145" s="230" t="n"/>
      <c r="C145" s="231" t="n"/>
      <c r="D145" s="232" t="n"/>
      <c r="E145" s="232" t="n"/>
      <c r="F145" s="232" t="n"/>
      <c r="G145" s="232" t="n"/>
    </row>
    <row r="146">
      <c r="B146" s="230" t="n"/>
      <c r="C146" s="231" t="n"/>
      <c r="D146" s="232" t="n"/>
      <c r="E146" s="232" t="n"/>
      <c r="F146" s="232" t="n"/>
      <c r="G146" s="232" t="n"/>
    </row>
    <row r="147">
      <c r="B147" s="230" t="n"/>
      <c r="C147" s="231" t="n"/>
      <c r="D147" s="232" t="n"/>
      <c r="E147" s="232" t="n"/>
      <c r="F147" s="232" t="n"/>
      <c r="G147" s="232" t="n"/>
    </row>
    <row r="148">
      <c r="B148" s="230" t="n"/>
      <c r="C148" s="231" t="n"/>
      <c r="D148" s="232" t="n"/>
      <c r="E148" s="232" t="n"/>
      <c r="F148" s="232" t="n"/>
      <c r="G148" s="232" t="n"/>
    </row>
    <row r="149">
      <c r="B149" s="230" t="n"/>
      <c r="C149" s="231" t="n"/>
      <c r="D149" s="232" t="n"/>
      <c r="E149" s="232" t="n"/>
      <c r="F149" s="232" t="n"/>
      <c r="G149" s="232" t="n"/>
    </row>
    <row r="150">
      <c r="B150" s="230" t="n"/>
      <c r="C150" s="231" t="n"/>
      <c r="D150" s="232" t="n"/>
      <c r="E150" s="232" t="n"/>
      <c r="F150" s="232" t="n"/>
      <c r="G150" s="232" t="n"/>
    </row>
    <row r="151">
      <c r="B151" s="230" t="n"/>
      <c r="C151" s="231" t="n"/>
      <c r="D151" s="232" t="n"/>
      <c r="E151" s="232" t="n"/>
      <c r="F151" s="232" t="n"/>
      <c r="G151" s="232" t="n"/>
    </row>
    <row r="152">
      <c r="B152" s="230" t="n"/>
      <c r="C152" s="231" t="n"/>
      <c r="D152" s="232" t="n"/>
      <c r="E152" s="232" t="n"/>
      <c r="F152" s="232" t="n"/>
      <c r="G152" s="232" t="n"/>
    </row>
    <row r="153">
      <c r="B153" s="230" t="n"/>
      <c r="C153" s="231" t="n"/>
      <c r="D153" s="232" t="n"/>
      <c r="E153" s="232" t="n"/>
      <c r="F153" s="232" t="n"/>
      <c r="G153" s="232" t="n"/>
    </row>
    <row r="154">
      <c r="B154" s="230" t="n"/>
      <c r="C154" s="231" t="n"/>
      <c r="D154" s="232" t="n"/>
      <c r="E154" s="232" t="n"/>
      <c r="F154" s="232" t="n"/>
      <c r="G154" s="232" t="n"/>
    </row>
    <row r="155">
      <c r="B155" s="230" t="n"/>
      <c r="C155" s="231" t="n"/>
      <c r="D155" s="232" t="n"/>
      <c r="E155" s="232" t="n"/>
      <c r="F155" s="232" t="n"/>
      <c r="G155" s="232" t="n"/>
    </row>
    <row r="156">
      <c r="B156" s="230" t="n"/>
      <c r="C156" s="231" t="n"/>
      <c r="D156" s="232" t="n"/>
      <c r="E156" s="232" t="n"/>
      <c r="F156" s="232" t="n"/>
      <c r="G156" s="232" t="n"/>
    </row>
    <row r="157">
      <c r="B157" s="230" t="n"/>
      <c r="C157" s="231" t="n"/>
      <c r="D157" s="232" t="n"/>
      <c r="E157" s="232" t="n"/>
      <c r="F157" s="232" t="n"/>
      <c r="G157" s="232" t="n"/>
    </row>
    <row r="158">
      <c r="B158" s="230" t="n"/>
      <c r="C158" s="231" t="n"/>
      <c r="D158" s="232" t="n"/>
      <c r="E158" s="232" t="n"/>
      <c r="F158" s="232" t="n"/>
      <c r="G158" s="232" t="n"/>
    </row>
    <row r="159">
      <c r="B159" s="230" t="n"/>
      <c r="C159" s="231" t="n"/>
      <c r="D159" s="232" t="n"/>
      <c r="E159" s="232" t="n"/>
      <c r="F159" s="232" t="n"/>
      <c r="G159" s="232" t="n"/>
    </row>
    <row r="160">
      <c r="B160" s="230" t="n"/>
      <c r="C160" s="231" t="n"/>
      <c r="D160" s="232" t="n"/>
      <c r="E160" s="232" t="n"/>
      <c r="F160" s="232" t="n"/>
      <c r="G160" s="232" t="n"/>
    </row>
    <row r="161">
      <c r="B161" s="230" t="n"/>
      <c r="C161" s="231" t="n"/>
      <c r="D161" s="232" t="n"/>
      <c r="E161" s="232" t="n"/>
      <c r="F161" s="232" t="n"/>
      <c r="G161" s="232" t="n"/>
    </row>
    <row r="162">
      <c r="B162" s="230" t="n"/>
      <c r="C162" s="231" t="n"/>
      <c r="D162" s="232" t="n"/>
      <c r="E162" s="232" t="n"/>
      <c r="F162" s="232" t="n"/>
      <c r="G162" s="232" t="n"/>
    </row>
    <row r="163">
      <c r="B163" s="230" t="n"/>
      <c r="C163" s="231" t="n"/>
      <c r="D163" s="232" t="n"/>
      <c r="E163" s="232" t="n"/>
      <c r="F163" s="232" t="n"/>
      <c r="G163" s="232" t="n"/>
    </row>
    <row r="164">
      <c r="B164" s="230" t="n"/>
      <c r="C164" s="231" t="n"/>
      <c r="D164" s="232" t="n"/>
      <c r="E164" s="232" t="n"/>
      <c r="F164" s="232" t="n"/>
      <c r="G164" s="232" t="n"/>
    </row>
    <row r="165">
      <c r="B165" s="230" t="n"/>
      <c r="C165" s="231" t="n"/>
      <c r="D165" s="232" t="n"/>
      <c r="E165" s="232" t="n"/>
      <c r="F165" s="232" t="n"/>
      <c r="G165" s="232" t="n"/>
    </row>
    <row r="166">
      <c r="B166" s="230" t="n"/>
      <c r="C166" s="231" t="n"/>
      <c r="D166" s="232" t="n"/>
      <c r="E166" s="232" t="n"/>
      <c r="F166" s="232" t="n"/>
      <c r="G166" s="232" t="n"/>
    </row>
    <row r="167">
      <c r="B167" s="230" t="n"/>
      <c r="C167" s="231" t="n"/>
      <c r="D167" s="232" t="n"/>
      <c r="E167" s="232" t="n"/>
      <c r="F167" s="232" t="n"/>
      <c r="G167" s="232" t="n"/>
    </row>
    <row r="168">
      <c r="B168" s="230" t="n"/>
      <c r="C168" s="231" t="n"/>
      <c r="D168" s="232" t="n"/>
      <c r="E168" s="232" t="n"/>
      <c r="F168" s="232" t="n"/>
      <c r="G168" s="232" t="n"/>
    </row>
    <row r="169">
      <c r="B169" s="230" t="n"/>
      <c r="C169" s="231" t="n"/>
      <c r="D169" s="232" t="n"/>
      <c r="E169" s="232" t="n"/>
      <c r="F169" s="232" t="n"/>
      <c r="G169" s="232" t="n"/>
    </row>
    <row r="170">
      <c r="B170" s="230" t="n"/>
      <c r="C170" s="231" t="n"/>
      <c r="D170" s="232" t="n"/>
      <c r="E170" s="232" t="n"/>
      <c r="F170" s="232" t="n"/>
      <c r="G170" s="232" t="n"/>
    </row>
    <row r="171">
      <c r="B171" s="230" t="n"/>
      <c r="C171" s="231" t="n"/>
      <c r="D171" s="232" t="n"/>
      <c r="E171" s="232" t="n"/>
      <c r="F171" s="232" t="n"/>
      <c r="G171" s="232" t="n"/>
    </row>
    <row r="172">
      <c r="B172" s="230" t="n"/>
      <c r="C172" s="231" t="n"/>
      <c r="D172" s="232" t="n"/>
      <c r="E172" s="232" t="n"/>
      <c r="F172" s="232" t="n"/>
      <c r="G172" s="232" t="n"/>
    </row>
    <row r="173">
      <c r="B173" s="230" t="n"/>
      <c r="C173" s="231" t="n"/>
      <c r="D173" s="232" t="n"/>
      <c r="E173" s="232" t="n"/>
      <c r="F173" s="232" t="n"/>
      <c r="G173" s="232" t="n"/>
    </row>
    <row r="174">
      <c r="B174" s="230" t="n"/>
      <c r="C174" s="231" t="n"/>
      <c r="D174" s="232" t="n"/>
      <c r="E174" s="232" t="n"/>
      <c r="F174" s="232" t="n"/>
      <c r="G174" s="232" t="n"/>
    </row>
    <row r="175">
      <c r="B175" s="230" t="n"/>
      <c r="C175" s="231" t="n"/>
      <c r="D175" s="232" t="n"/>
      <c r="E175" s="232" t="n"/>
      <c r="F175" s="232" t="n"/>
      <c r="G175" s="232" t="n"/>
    </row>
    <row r="176">
      <c r="B176" s="230" t="n"/>
      <c r="C176" s="231" t="n"/>
      <c r="D176" s="232" t="n"/>
      <c r="E176" s="232" t="n"/>
      <c r="F176" s="232" t="n"/>
      <c r="G176" s="232" t="n"/>
    </row>
    <row r="177">
      <c r="B177" s="230" t="n"/>
      <c r="C177" s="231" t="n"/>
      <c r="D177" s="232" t="n"/>
      <c r="E177" s="232" t="n"/>
      <c r="F177" s="232" t="n"/>
      <c r="G177" s="232" t="n"/>
    </row>
    <row r="178">
      <c r="B178" s="230" t="n"/>
      <c r="C178" s="231" t="n"/>
      <c r="D178" s="232" t="n"/>
      <c r="E178" s="232" t="n"/>
      <c r="F178" s="232" t="n"/>
      <c r="G178" s="232" t="n"/>
    </row>
    <row r="179">
      <c r="B179" s="230" t="n"/>
      <c r="C179" s="231" t="n"/>
      <c r="D179" s="232" t="n"/>
      <c r="E179" s="232" t="n"/>
      <c r="F179" s="232" t="n"/>
      <c r="G179" s="232" t="n"/>
    </row>
    <row r="180">
      <c r="B180" s="230" t="n"/>
      <c r="C180" s="231" t="n"/>
      <c r="D180" s="232" t="n"/>
      <c r="E180" s="232" t="n"/>
      <c r="F180" s="232" t="n"/>
      <c r="G180" s="232" t="n"/>
    </row>
    <row r="181">
      <c r="B181" s="230" t="n"/>
      <c r="C181" s="231" t="n"/>
      <c r="D181" s="232" t="n"/>
      <c r="E181" s="232" t="n"/>
      <c r="F181" s="232" t="n"/>
      <c r="G181" s="232" t="n"/>
    </row>
    <row r="182">
      <c r="B182" s="230" t="n"/>
      <c r="C182" s="231" t="n"/>
      <c r="D182" s="232" t="n"/>
      <c r="E182" s="232" t="n"/>
      <c r="F182" s="232" t="n"/>
      <c r="G182" s="232" t="n"/>
    </row>
    <row r="183">
      <c r="B183" s="230" t="n"/>
      <c r="C183" s="231" t="n"/>
      <c r="D183" s="232" t="n"/>
      <c r="E183" s="232" t="n"/>
      <c r="F183" s="232" t="n"/>
      <c r="G183" s="232" t="n"/>
    </row>
    <row r="184">
      <c r="B184" s="230" t="n"/>
      <c r="C184" s="231" t="n"/>
      <c r="D184" s="232" t="n"/>
      <c r="E184" s="232" t="n"/>
      <c r="F184" s="232" t="n"/>
      <c r="G184" s="232" t="n"/>
    </row>
    <row r="185">
      <c r="B185" s="230" t="n"/>
      <c r="C185" s="231" t="n"/>
      <c r="D185" s="232" t="n"/>
      <c r="E185" s="232" t="n"/>
      <c r="F185" s="232" t="n"/>
      <c r="G185" s="232" t="n"/>
    </row>
    <row r="186">
      <c r="B186" s="230" t="n"/>
      <c r="C186" s="231" t="n"/>
      <c r="D186" s="232" t="n"/>
      <c r="E186" s="232" t="n"/>
      <c r="F186" s="232" t="n"/>
      <c r="G186" s="232" t="n"/>
    </row>
    <row r="187">
      <c r="B187" s="230" t="n"/>
      <c r="C187" s="231" t="n"/>
      <c r="D187" s="232" t="n"/>
      <c r="E187" s="232" t="n"/>
      <c r="F187" s="232" t="n"/>
      <c r="G187" s="232" t="n"/>
    </row>
    <row r="188">
      <c r="B188" s="230" t="n"/>
      <c r="C188" s="231" t="n"/>
      <c r="D188" s="232" t="n"/>
      <c r="E188" s="232" t="n"/>
      <c r="F188" s="232" t="n"/>
      <c r="G188" s="232" t="n"/>
    </row>
    <row r="189">
      <c r="B189" s="230" t="n"/>
      <c r="C189" s="231" t="n"/>
      <c r="D189" s="232" t="n"/>
      <c r="E189" s="232" t="n"/>
      <c r="F189" s="232" t="n"/>
      <c r="G189" s="232" t="n"/>
    </row>
    <row r="190">
      <c r="B190" s="230" t="n"/>
      <c r="C190" s="231" t="n"/>
      <c r="D190" s="232" t="n"/>
      <c r="E190" s="232" t="n"/>
      <c r="F190" s="232" t="n"/>
      <c r="G190" s="232" t="n"/>
    </row>
    <row r="191">
      <c r="B191" s="230" t="n"/>
      <c r="C191" s="231" t="n"/>
      <c r="D191" s="232" t="n"/>
      <c r="E191" s="232" t="n"/>
      <c r="F191" s="232" t="n"/>
      <c r="G191" s="232" t="n"/>
    </row>
    <row r="192">
      <c r="B192" s="230" t="n"/>
      <c r="C192" s="231" t="n"/>
      <c r="D192" s="232" t="n"/>
      <c r="E192" s="232" t="n"/>
      <c r="F192" s="232" t="n"/>
      <c r="G192" s="232" t="n"/>
    </row>
    <row r="193">
      <c r="B193" s="230" t="n"/>
      <c r="C193" s="231" t="n"/>
      <c r="D193" s="232" t="n"/>
      <c r="E193" s="232" t="n"/>
      <c r="F193" s="232" t="n"/>
      <c r="G193" s="232" t="n"/>
    </row>
    <row r="194">
      <c r="B194" s="230" t="n"/>
      <c r="C194" s="231" t="n"/>
      <c r="D194" s="232" t="n"/>
      <c r="E194" s="232" t="n"/>
      <c r="F194" s="232" t="n"/>
      <c r="G194" s="232" t="n"/>
    </row>
    <row r="195">
      <c r="B195" s="230" t="n"/>
      <c r="C195" s="231" t="n"/>
      <c r="D195" s="232" t="n"/>
      <c r="E195" s="232" t="n"/>
      <c r="F195" s="232" t="n"/>
      <c r="G195" s="232" t="n"/>
    </row>
    <row r="196">
      <c r="B196" s="230" t="n"/>
      <c r="C196" s="231" t="n"/>
      <c r="D196" s="232" t="n"/>
      <c r="E196" s="232" t="n"/>
      <c r="F196" s="232" t="n"/>
      <c r="G196" s="232" t="n"/>
    </row>
    <row r="197">
      <c r="B197" s="230" t="n"/>
      <c r="C197" s="231" t="n"/>
      <c r="D197" s="232" t="n"/>
      <c r="E197" s="232" t="n"/>
      <c r="F197" s="232" t="n"/>
      <c r="G197" s="232" t="n"/>
    </row>
    <row r="198">
      <c r="B198" s="230" t="n"/>
      <c r="C198" s="231" t="n"/>
      <c r="D198" s="232" t="n"/>
      <c r="E198" s="232" t="n"/>
      <c r="F198" s="232" t="n"/>
      <c r="G198" s="232" t="n"/>
    </row>
    <row r="199">
      <c r="B199" s="230" t="n"/>
      <c r="C199" s="231" t="n"/>
      <c r="D199" s="232" t="n"/>
      <c r="E199" s="232" t="n"/>
      <c r="F199" s="232" t="n"/>
      <c r="G199" s="232" t="n"/>
    </row>
    <row r="200">
      <c r="B200" s="230" t="n"/>
      <c r="C200" s="231" t="n"/>
      <c r="D200" s="232" t="n"/>
      <c r="E200" s="232" t="n"/>
      <c r="F200" s="232" t="n"/>
      <c r="G200" s="232" t="n"/>
    </row>
    <row r="201">
      <c r="B201" s="230" t="n"/>
      <c r="C201" s="231" t="n"/>
      <c r="D201" s="232" t="n"/>
      <c r="E201" s="232" t="n"/>
      <c r="F201" s="232" t="n"/>
      <c r="G201" s="232" t="n"/>
    </row>
    <row r="202">
      <c r="B202" s="230" t="n"/>
      <c r="C202" s="231" t="n"/>
      <c r="D202" s="232" t="n"/>
      <c r="E202" s="232" t="n"/>
      <c r="F202" s="232" t="n"/>
      <c r="G202" s="232" t="n"/>
    </row>
    <row r="203">
      <c r="B203" s="230" t="n"/>
      <c r="C203" s="231" t="n"/>
      <c r="D203" s="232" t="n"/>
      <c r="E203" s="232" t="n"/>
      <c r="F203" s="232" t="n"/>
      <c r="G203" s="232" t="n"/>
    </row>
    <row r="204">
      <c r="B204" s="230" t="n"/>
      <c r="C204" s="231" t="n"/>
      <c r="D204" s="232" t="n"/>
      <c r="E204" s="232" t="n"/>
      <c r="F204" s="232" t="n"/>
      <c r="G204" s="232" t="n"/>
    </row>
    <row r="205">
      <c r="B205" s="230" t="n"/>
      <c r="C205" s="231" t="n"/>
      <c r="D205" s="232" t="n"/>
      <c r="E205" s="232" t="n"/>
      <c r="F205" s="232" t="n"/>
      <c r="G205" s="232" t="n"/>
    </row>
    <row r="206">
      <c r="B206" s="230" t="n"/>
      <c r="C206" s="231" t="n"/>
      <c r="D206" s="232" t="n"/>
      <c r="E206" s="232" t="n"/>
      <c r="F206" s="232" t="n"/>
      <c r="G206" s="232" t="n"/>
    </row>
    <row r="207">
      <c r="B207" s="230" t="n"/>
      <c r="C207" s="231" t="n"/>
      <c r="D207" s="232" t="n"/>
      <c r="E207" s="232" t="n"/>
      <c r="F207" s="232" t="n"/>
      <c r="G207" s="232" t="n"/>
    </row>
    <row r="208">
      <c r="B208" s="230" t="n"/>
      <c r="C208" s="231" t="n"/>
      <c r="D208" s="232" t="n"/>
      <c r="E208" s="232" t="n"/>
      <c r="F208" s="232" t="n"/>
      <c r="G208" s="232" t="n"/>
    </row>
    <row r="209">
      <c r="B209" s="230" t="n"/>
      <c r="C209" s="231" t="n"/>
      <c r="D209" s="232" t="n"/>
      <c r="E209" s="232" t="n"/>
      <c r="F209" s="232" t="n"/>
      <c r="G209" s="232" t="n"/>
    </row>
    <row r="210">
      <c r="B210" s="230" t="n"/>
      <c r="C210" s="231" t="n"/>
      <c r="D210" s="232" t="n"/>
      <c r="E210" s="232" t="n"/>
      <c r="F210" s="232" t="n"/>
      <c r="G210" s="232" t="n"/>
    </row>
    <row r="211">
      <c r="B211" s="230" t="n"/>
      <c r="C211" s="231" t="n"/>
      <c r="D211" s="232" t="n"/>
      <c r="E211" s="232" t="n"/>
      <c r="F211" s="232" t="n"/>
      <c r="G211" s="232" t="n"/>
    </row>
    <row r="212">
      <c r="B212" s="230" t="n"/>
      <c r="C212" s="231" t="n"/>
      <c r="D212" s="232" t="n"/>
      <c r="E212" s="232" t="n"/>
      <c r="F212" s="232" t="n"/>
      <c r="G212" s="232" t="n"/>
    </row>
    <row r="213">
      <c r="B213" s="230" t="n"/>
      <c r="C213" s="231" t="n"/>
      <c r="D213" s="232" t="n"/>
      <c r="E213" s="232" t="n"/>
      <c r="F213" s="232" t="n"/>
      <c r="G213" s="232" t="n"/>
    </row>
    <row r="214">
      <c r="B214" s="230" t="n"/>
      <c r="C214" s="231" t="n"/>
      <c r="D214" s="232" t="n"/>
      <c r="E214" s="232" t="n"/>
      <c r="F214" s="232" t="n"/>
      <c r="G214" s="232" t="n"/>
    </row>
    <row r="215">
      <c r="B215" s="230" t="n"/>
      <c r="C215" s="231" t="n"/>
      <c r="D215" s="232" t="n"/>
      <c r="E215" s="232" t="n"/>
      <c r="F215" s="232" t="n"/>
      <c r="G215" s="232" t="n"/>
    </row>
    <row r="216">
      <c r="B216" s="230" t="n"/>
      <c r="C216" s="231" t="n"/>
      <c r="D216" s="232" t="n"/>
      <c r="E216" s="232" t="n"/>
      <c r="F216" s="232" t="n"/>
      <c r="G216" s="232" t="n"/>
    </row>
    <row r="217">
      <c r="B217" s="230" t="n"/>
      <c r="C217" s="231" t="n"/>
      <c r="D217" s="232" t="n"/>
      <c r="E217" s="232" t="n"/>
      <c r="F217" s="232" t="n"/>
      <c r="G217" s="232" t="n"/>
    </row>
    <row r="218">
      <c r="B218" s="230" t="n"/>
      <c r="C218" s="231" t="n"/>
      <c r="D218" s="232" t="n"/>
      <c r="E218" s="232" t="n"/>
      <c r="F218" s="232" t="n"/>
      <c r="G218" s="232" t="n"/>
    </row>
    <row r="219">
      <c r="B219" s="230" t="n"/>
      <c r="C219" s="231" t="n"/>
      <c r="D219" s="232" t="n"/>
      <c r="E219" s="232" t="n"/>
      <c r="F219" s="232" t="n"/>
      <c r="G219" s="2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B15:G16"/>
  </mergeCells>
  <conditionalFormatting sqref="G10:G14">
    <cfRule type="expression" priority="1" dxfId="27" stopIfTrue="0">
      <formula>=G10&lt;0</formula>
    </cfRule>
  </conditionalFormatting>
  <conditionalFormatting sqref="G10:G13">
    <cfRule type="expression" priority="2" dxfId="14" stopIfTrue="0">
      <formula>=G10&gt;0</formula>
    </cfRule>
  </conditionalFormatting>
  <dataValidations count="3">
    <dataValidation sqref="D20:D219" showDropDown="0" showInputMessage="0" showErrorMessage="1" allowBlank="1" error="Elegí un período." type="list">
      <formula1>=L_PER</formula1>
    </dataValidation>
    <dataValidation sqref="C20:C219" showDropDown="0" showInputMessage="0" showErrorMessage="1" allowBlank="1" error="Importe mayor a 0." type="decimal" operator="greaterThan">
      <formula1>0</formula1>
    </dataValidation>
    <dataValidation sqref="B20:B219" showDropDown="0" showInputMessage="0" showErrorMessage="1" allowBlank="1" error="Fecha inválida." type="date" operator="between">
      <formula1>DATE(2026,1,1)</formula1>
      <formula2>DATE(2027,12,31)</formula2>
    </dataValidation>
  </dataValidations>
  <printOptions horizontalCentered="1"/>
  <pageMargins left="0.4" right="0.4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8A8F98"/>
    <outlinePr summaryBelow="1" summaryRight="1"/>
    <pageSetUpPr fitToPage="1"/>
  </sheetPr>
  <dimension ref="A1:X9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4" customWidth="1" min="4" max="4"/>
    <col width="2" customWidth="1" min="5" max="5"/>
    <col width="14" customWidth="1" min="6" max="6"/>
    <col width="13" customWidth="1" min="7" max="7"/>
    <col width="30" customWidth="1" min="8" max="8"/>
    <col width="2" customWidth="1" min="9" max="9"/>
    <col width="28" customWidth="1" min="10" max="10"/>
    <col width="2" customWidth="1" min="11" max="11"/>
    <col width="12" customWidth="1" min="12" max="12"/>
    <col width="18" customWidth="1" min="13" max="13"/>
    <col width="6" customWidth="1" min="14" max="14"/>
    <col width="22" customWidth="1" min="15" max="15"/>
    <col width="6" customWidth="1" min="16" max="16"/>
    <col width="16" customWidth="1" min="17" max="17"/>
    <col width="12" customWidth="1" min="18" max="18"/>
    <col width="12" customWidth="1" min="19" max="19"/>
    <col width="2" customWidth="1" min="20" max="20"/>
    <col width="14" customWidth="1" min="21" max="21"/>
    <col width="24" customWidth="1" min="22" max="22"/>
    <col width="18" customWidth="1" min="23" max="23"/>
    <col width="14" customWidth="1" min="24" max="24"/>
  </cols>
  <sheetData>
    <row r="1" ht="34" customHeight="1">
      <c r="A1" s="1" t="n"/>
      <c r="B1" s="2" t="inlineStr">
        <is>
          <t>⚙  Configuración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0" customHeight="1">
      <c r="A2" s="1" t="n"/>
      <c r="B2" s="3" t="inlineStr">
        <is>
          <t>Celdas amarillas = editables. El resto son listas y cálculos del sistema.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22" customHeight="1">
      <c r="B4" s="5" t="inlineStr">
        <is>
          <t>Parámetros de jornada y facturación</t>
        </is>
      </c>
      <c r="C4" s="6" t="n"/>
      <c r="D4" s="233" t="inlineStr">
        <is>
          <t>Sistema</t>
        </is>
      </c>
      <c r="F4" s="5" t="inlineStr">
        <is>
          <t>Días laborables</t>
        </is>
      </c>
      <c r="G4" s="6" t="n"/>
      <c r="J4" s="5" t="inlineStr">
        <is>
          <t>Proyectos (desplegable)</t>
        </is>
      </c>
    </row>
    <row r="5">
      <c r="B5" s="234" t="inlineStr">
        <is>
          <t>Hora inicio jornada</t>
        </is>
      </c>
      <c r="C5" s="75" t="n">
        <v>0.375</v>
      </c>
      <c r="D5" s="235">
        <f>ROUND(CFG_WS*1440,0)</f>
        <v>540</v>
      </c>
      <c r="F5" s="13" t="inlineStr">
        <is>
          <t>Lunes</t>
        </is>
      </c>
      <c r="G5" s="73" t="inlineStr">
        <is>
          <t>Sí</t>
        </is>
      </c>
      <c r="J5" s="232" t="inlineStr">
        <is>
          <t>PCF</t>
        </is>
      </c>
    </row>
    <row r="6">
      <c r="B6" s="234" t="inlineStr">
        <is>
          <t>Hora fin jornada</t>
        </is>
      </c>
      <c r="C6" s="75" t="n">
        <v>0.7083333333333334</v>
      </c>
      <c r="D6" s="235">
        <f>ROUND(CFG_WE*1440,0)</f>
        <v>1020</v>
      </c>
      <c r="F6" s="13" t="inlineStr">
        <is>
          <t>Martes</t>
        </is>
      </c>
      <c r="G6" s="73" t="inlineStr">
        <is>
          <t>Sí</t>
        </is>
      </c>
      <c r="J6" s="232" t="inlineStr">
        <is>
          <t>Portal Cliente</t>
        </is>
      </c>
    </row>
    <row r="7">
      <c r="B7" s="234" t="inlineStr">
        <is>
          <t>Horas diarias objetivo</t>
        </is>
      </c>
      <c r="C7" s="236" t="n">
        <v>8</v>
      </c>
      <c r="D7" s="92" t="n"/>
      <c r="F7" s="13" t="inlineStr">
        <is>
          <t>Miércoles</t>
        </is>
      </c>
      <c r="G7" s="73" t="inlineStr">
        <is>
          <t>Sí</t>
        </is>
      </c>
      <c r="J7" s="232" t="inlineStr">
        <is>
          <t>Integraciones</t>
        </is>
      </c>
    </row>
    <row r="8">
      <c r="B8" s="234" t="inlineStr">
        <is>
          <t>Horas semanales objetivo (tope)</t>
        </is>
      </c>
      <c r="C8" s="236" t="n">
        <v>40</v>
      </c>
      <c r="D8" s="92" t="n"/>
      <c r="F8" s="13" t="inlineStr">
        <is>
          <t>Jueves</t>
        </is>
      </c>
      <c r="G8" s="73" t="inlineStr">
        <is>
          <t>Sí</t>
        </is>
      </c>
      <c r="J8" s="232" t="inlineStr">
        <is>
          <t>Mantenimiento</t>
        </is>
      </c>
    </row>
    <row r="9">
      <c r="B9" s="234" t="inlineStr">
        <is>
          <t>Bloque proMX (minutos)</t>
        </is>
      </c>
      <c r="C9" s="76" t="n">
        <v>30</v>
      </c>
      <c r="D9" s="92" t="n"/>
      <c r="F9" s="13" t="inlineStr">
        <is>
          <t>Viernes</t>
        </is>
      </c>
      <c r="G9" s="73" t="inlineStr">
        <is>
          <t>Sí</t>
        </is>
      </c>
      <c r="J9" s="232" t="inlineStr">
        <is>
          <t>Interno</t>
        </is>
      </c>
    </row>
    <row r="10">
      <c r="B10" s="234" t="inlineStr">
        <is>
          <t>Tarifa USD / hora (proMX)</t>
        </is>
      </c>
      <c r="C10" s="237" t="n">
        <v>50</v>
      </c>
      <c r="D10" s="92" t="n"/>
      <c r="F10" s="13" t="inlineStr">
        <is>
          <t>Sábado</t>
        </is>
      </c>
      <c r="G10" s="73" t="inlineStr">
        <is>
          <t>No</t>
        </is>
      </c>
      <c r="J10" s="232" t="n"/>
    </row>
    <row r="11">
      <c r="B11" s="234" t="inlineStr">
        <is>
          <t>Tarifa horas extras USD / hora (proMX)</t>
        </is>
      </c>
      <c r="C11" s="237" t="n">
        <v>75</v>
      </c>
      <c r="D11" s="92" t="n"/>
      <c r="F11" s="13" t="inlineStr">
        <is>
          <t>Domingo</t>
        </is>
      </c>
      <c r="G11" s="73" t="inlineStr">
        <is>
          <t>No</t>
        </is>
      </c>
      <c r="J11" s="232" t="n"/>
    </row>
    <row r="12">
      <c r="B12" s="234" t="inlineStr">
        <is>
          <t>Días máximos en Submitted</t>
        </is>
      </c>
      <c r="C12" s="76" t="n">
        <v>7</v>
      </c>
      <c r="D12" s="92" t="n"/>
      <c r="J12" s="232" t="n"/>
    </row>
    <row r="13">
      <c r="B13" s="234" t="inlineStr">
        <is>
          <t>Regla de descanso</t>
        </is>
      </c>
      <c r="C13" s="73" t="inlineStr">
        <is>
          <t>Normales primero</t>
        </is>
      </c>
      <c r="D13" s="92" t="n"/>
      <c r="J13" s="232" t="n"/>
    </row>
    <row r="14">
      <c r="B14" s="234" t="inlineStr">
        <is>
          <t>Inicio del período</t>
        </is>
      </c>
      <c r="C14" s="72" t="n">
        <v>46296</v>
      </c>
      <c r="D14" s="92" t="n"/>
      <c r="J14" s="232" t="n"/>
    </row>
    <row r="15">
      <c r="B15" s="234" t="inlineStr">
        <is>
          <t>Fin del período</t>
        </is>
      </c>
      <c r="C15" s="72" t="n">
        <v>46387</v>
      </c>
      <c r="D15" s="92" t="n"/>
      <c r="J15" s="232" t="n"/>
    </row>
    <row r="16">
      <c r="B16" s="234" t="inlineStr">
        <is>
          <t>Fecha de corte (vacío = HOY)</t>
        </is>
      </c>
      <c r="C16" s="72" t="n"/>
      <c r="D16" s="238">
        <f>IF(ISNUMBER(CFG_CUT),INT(CFG_CUT),TODAY())</f>
        <v>46308.0</v>
      </c>
      <c r="J16" s="232" t="n"/>
    </row>
    <row r="17">
      <c r="J17" s="232" t="n"/>
    </row>
    <row r="18">
      <c r="B18" s="239" t="inlineStr">
        <is>
          <t>Validación: hora fin &gt; hora inicio (o cruce de medianoche)</t>
        </is>
      </c>
      <c r="C18" s="240" t="str">
        <f>IF(AND(ISNUMBER(CFG_WS),ISNUMBER(CFG_WE),CFG_WE&gt;CFG_WS,CFG_BLK&gt;0),"OK","Revisar")</f>
        <v>OK</v>
      </c>
      <c r="J18" s="232" t="n"/>
    </row>
    <row r="19" ht="22" customHeight="1">
      <c r="B19" s="5" t="inlineStr">
        <is>
          <t>Feriados federales (EE. UU.) y corporativos — tabla editable</t>
        </is>
      </c>
      <c r="C19" s="6" t="n"/>
      <c r="D19" s="6" t="n"/>
      <c r="E19" s="6" t="n"/>
      <c r="F19" s="6" t="n"/>
      <c r="G19" s="6" t="n"/>
      <c r="H19" s="6" t="n"/>
      <c r="J19" s="232" t="n"/>
    </row>
    <row r="20" ht="32" customHeight="1">
      <c r="B20" s="69" t="inlineStr">
        <is>
          <t>Fecha</t>
        </is>
      </c>
      <c r="C20" s="69" t="inlineStr">
        <is>
          <t>Feriado</t>
        </is>
      </c>
      <c r="D20" s="69" t="inlineStr">
        <is>
          <t>Tipo</t>
        </is>
      </c>
      <c r="E20" s="69" t="inlineStr">
        <is>
          <t>No laborable
Malcolm</t>
        </is>
      </c>
      <c r="F20" s="69" t="inlineStr">
        <is>
          <t>No laborable
proMX</t>
        </is>
      </c>
      <c r="G20" s="69" t="inlineStr">
        <is>
          <t>Reduce horas
objetivo</t>
        </is>
      </c>
      <c r="H20" s="69" t="inlineStr">
        <is>
          <t>Notas</t>
        </is>
      </c>
      <c r="J20" s="232" t="n"/>
    </row>
    <row r="21">
      <c r="B21" s="230" t="n">
        <v>46307</v>
      </c>
      <c r="C21" s="232" t="inlineStr">
        <is>
          <t>Columbus Day</t>
        </is>
      </c>
      <c r="D21" s="232" t="inlineStr">
        <is>
          <t>Federal</t>
        </is>
      </c>
      <c r="E21" s="232" t="inlineStr">
        <is>
          <t>Sí</t>
        </is>
      </c>
      <c r="F21" s="232" t="inlineStr">
        <is>
          <t>No</t>
        </is>
      </c>
      <c r="G21" s="232" t="inlineStr">
        <is>
          <t>Sí</t>
        </is>
      </c>
      <c r="H21" s="232" t="inlineStr">
        <is>
          <t>proMX: confirmar si es no laborable</t>
        </is>
      </c>
      <c r="J21" s="232" t="n"/>
    </row>
    <row r="22">
      <c r="B22" s="230" t="n">
        <v>46337</v>
      </c>
      <c r="C22" s="232" t="inlineStr">
        <is>
          <t>Veterans Day</t>
        </is>
      </c>
      <c r="D22" s="232" t="inlineStr">
        <is>
          <t>Federal</t>
        </is>
      </c>
      <c r="E22" s="232" t="inlineStr">
        <is>
          <t>Sí</t>
        </is>
      </c>
      <c r="F22" s="232" t="inlineStr">
        <is>
          <t>No</t>
        </is>
      </c>
      <c r="G22" s="232" t="inlineStr">
        <is>
          <t>Sí</t>
        </is>
      </c>
      <c r="H22" s="232" t="inlineStr">
        <is>
          <t>proMX: confirmar si es no laborable</t>
        </is>
      </c>
      <c r="J22" s="232" t="n"/>
    </row>
    <row r="23">
      <c r="B23" s="230" t="n">
        <v>46352</v>
      </c>
      <c r="C23" s="232" t="inlineStr">
        <is>
          <t>Thanksgiving Day</t>
        </is>
      </c>
      <c r="D23" s="232" t="inlineStr">
        <is>
          <t>Federal</t>
        </is>
      </c>
      <c r="E23" s="232" t="inlineStr">
        <is>
          <t>Sí</t>
        </is>
      </c>
      <c r="F23" s="232" t="inlineStr">
        <is>
          <t>No</t>
        </is>
      </c>
      <c r="G23" s="232" t="inlineStr">
        <is>
          <t>Sí</t>
        </is>
      </c>
      <c r="H23" s="232" t="inlineStr">
        <is>
          <t>proMX: confirmar si es no laborable</t>
        </is>
      </c>
      <c r="J23" s="232" t="n"/>
    </row>
    <row r="24">
      <c r="B24" s="230" t="n">
        <v>46381</v>
      </c>
      <c r="C24" s="232" t="inlineStr">
        <is>
          <t>Christmas Day</t>
        </is>
      </c>
      <c r="D24" s="232" t="inlineStr">
        <is>
          <t>Federal</t>
        </is>
      </c>
      <c r="E24" s="232" t="inlineStr">
        <is>
          <t>Sí</t>
        </is>
      </c>
      <c r="F24" s="232" t="inlineStr">
        <is>
          <t>No</t>
        </is>
      </c>
      <c r="G24" s="232" t="inlineStr">
        <is>
          <t>Sí</t>
        </is>
      </c>
      <c r="H24" s="232" t="inlineStr">
        <is>
          <t>proMX: confirmar si es no laborable</t>
        </is>
      </c>
      <c r="J24" s="232" t="n"/>
    </row>
    <row r="25">
      <c r="B25" s="230" t="n"/>
      <c r="C25" s="232" t="n"/>
      <c r="D25" s="232" t="n"/>
      <c r="E25" s="232" t="n"/>
      <c r="F25" s="232" t="n"/>
      <c r="G25" s="232" t="n"/>
      <c r="H25" s="232" t="n"/>
      <c r="J25" s="232" t="n"/>
    </row>
    <row r="26">
      <c r="B26" s="230" t="n"/>
      <c r="C26" s="232" t="n"/>
      <c r="D26" s="232" t="n"/>
      <c r="E26" s="232" t="n"/>
      <c r="F26" s="232" t="n"/>
      <c r="G26" s="232" t="n"/>
      <c r="H26" s="232" t="n"/>
      <c r="J26" s="232" t="n"/>
    </row>
    <row r="27">
      <c r="B27" s="230" t="n"/>
      <c r="C27" s="232" t="n"/>
      <c r="D27" s="232" t="n"/>
      <c r="E27" s="232" t="n"/>
      <c r="F27" s="232" t="n"/>
      <c r="G27" s="232" t="n"/>
      <c r="H27" s="232" t="n"/>
      <c r="J27" s="232" t="n"/>
    </row>
    <row r="28">
      <c r="B28" s="230" t="n"/>
      <c r="C28" s="232" t="n"/>
      <c r="D28" s="232" t="n"/>
      <c r="E28" s="232" t="n"/>
      <c r="F28" s="232" t="n"/>
      <c r="G28" s="232" t="n"/>
      <c r="H28" s="232" t="n"/>
      <c r="J28" s="232" t="n"/>
    </row>
    <row r="29">
      <c r="B29" s="230" t="n"/>
      <c r="C29" s="232" t="n"/>
      <c r="D29" s="232" t="n"/>
      <c r="E29" s="232" t="n"/>
      <c r="F29" s="232" t="n"/>
      <c r="G29" s="232" t="n"/>
      <c r="H29" s="232" t="n"/>
      <c r="J29" s="232" t="n"/>
    </row>
    <row r="30">
      <c r="B30" s="230" t="n"/>
      <c r="C30" s="232" t="n"/>
      <c r="D30" s="232" t="n"/>
      <c r="E30" s="232" t="n"/>
      <c r="F30" s="232" t="n"/>
      <c r="G30" s="232" t="n"/>
      <c r="H30" s="232" t="n"/>
      <c r="J30" s="232" t="n"/>
    </row>
    <row r="31">
      <c r="B31" s="230" t="n"/>
      <c r="C31" s="232" t="n"/>
      <c r="D31" s="232" t="n"/>
      <c r="E31" s="232" t="n"/>
      <c r="F31" s="232" t="n"/>
      <c r="G31" s="232" t="n"/>
      <c r="H31" s="232" t="n"/>
      <c r="J31" s="232" t="n"/>
    </row>
    <row r="32">
      <c r="B32" s="230" t="n"/>
      <c r="C32" s="232" t="n"/>
      <c r="D32" s="232" t="n"/>
      <c r="E32" s="232" t="n"/>
      <c r="F32" s="232" t="n"/>
      <c r="G32" s="232" t="n"/>
      <c r="H32" s="232" t="n"/>
      <c r="J32" s="232" t="n"/>
    </row>
    <row r="33">
      <c r="B33" s="230" t="n"/>
      <c r="C33" s="232" t="n"/>
      <c r="D33" s="232" t="n"/>
      <c r="E33" s="232" t="n"/>
      <c r="F33" s="232" t="n"/>
      <c r="G33" s="232" t="n"/>
      <c r="H33" s="232" t="n"/>
      <c r="J33" s="232" t="n"/>
    </row>
    <row r="34">
      <c r="B34" s="230" t="n"/>
      <c r="C34" s="232" t="n"/>
      <c r="D34" s="232" t="n"/>
      <c r="E34" s="232" t="n"/>
      <c r="F34" s="232" t="n"/>
      <c r="G34" s="232" t="n"/>
      <c r="H34" s="232" t="n"/>
      <c r="J34" s="232" t="n"/>
    </row>
    <row r="35">
      <c r="B35" s="230" t="n"/>
      <c r="C35" s="232" t="n"/>
      <c r="D35" s="232" t="n"/>
      <c r="E35" s="232" t="n"/>
      <c r="F35" s="232" t="n"/>
      <c r="G35" s="232" t="n"/>
      <c r="H35" s="232" t="n"/>
    </row>
    <row r="36" ht="22" customHeight="1">
      <c r="B36" s="230" t="n"/>
      <c r="C36" s="232" t="n"/>
      <c r="D36" s="232" t="n"/>
      <c r="E36" s="232" t="n"/>
      <c r="F36" s="232" t="n"/>
      <c r="G36" s="232" t="n"/>
      <c r="H36" s="232" t="n"/>
      <c r="J36" s="241" t="inlineStr">
        <is>
          <t>Listas del sistema (no editar)</t>
        </is>
      </c>
      <c r="K36" s="242" t="n"/>
      <c r="L36" s="242" t="n"/>
      <c r="M36" s="242" t="n"/>
      <c r="N36" s="242" t="n"/>
      <c r="O36" s="242" t="n"/>
      <c r="P36" s="242" t="n"/>
      <c r="Q36" s="242" t="n"/>
      <c r="R36" s="242" t="n"/>
      <c r="S36" s="242" t="n"/>
      <c r="T36" s="242" t="n"/>
      <c r="U36" s="242" t="n"/>
      <c r="V36" s="242" t="n"/>
      <c r="W36" s="242" t="n"/>
    </row>
    <row r="37">
      <c r="B37" s="230" t="n"/>
      <c r="C37" s="232" t="n"/>
      <c r="D37" s="232" t="n"/>
      <c r="E37" s="232" t="n"/>
      <c r="F37" s="232" t="n"/>
      <c r="G37" s="232" t="n"/>
      <c r="H37" s="232" t="n"/>
      <c r="L37" s="61" t="inlineStr">
        <is>
          <t>Empresas</t>
        </is>
      </c>
      <c r="M37" s="61" t="inlineStr">
        <is>
          <t>Estados proMX</t>
        </is>
      </c>
      <c r="N37" s="61" t="inlineStr">
        <is>
          <t>N/A</t>
        </is>
      </c>
      <c r="O37" s="61" t="inlineStr">
        <is>
          <t>Regla descanso</t>
        </is>
      </c>
      <c r="P37" s="61" t="inlineStr">
        <is>
          <t>Sí/No</t>
        </is>
      </c>
      <c r="Q37" s="61" t="inlineStr">
        <is>
          <t>Mes (filtro)</t>
        </is>
      </c>
      <c r="R37" s="61" t="inlineStr">
        <is>
          <t>Desde</t>
        </is>
      </c>
      <c r="S37" s="61" t="inlineStr">
        <is>
          <t>Hasta</t>
        </is>
      </c>
      <c r="U37" s="61" t="inlineStr">
        <is>
          <t>Semanas (lunes)</t>
        </is>
      </c>
      <c r="V37" s="61" t="inlineStr">
        <is>
          <t>Proyectos usados (filtro)</t>
        </is>
      </c>
      <c r="W37" s="61" t="inlineStr">
        <is>
          <t>Tipo feriado</t>
        </is>
      </c>
      <c r="X37" s="61" t="inlineStr">
        <is>
          <t>Períodos de pago</t>
        </is>
      </c>
    </row>
    <row r="38">
      <c r="B38" s="230" t="n"/>
      <c r="C38" s="232" t="n"/>
      <c r="D38" s="232" t="n"/>
      <c r="E38" s="232" t="n"/>
      <c r="F38" s="232" t="n"/>
      <c r="G38" s="232" t="n"/>
      <c r="H38" s="232" t="n"/>
      <c r="L38" t="inlineStr">
        <is>
          <t>Malcolm</t>
        </is>
      </c>
      <c r="M38" t="inlineStr">
        <is>
          <t>Draft</t>
        </is>
      </c>
      <c r="N38" t="inlineStr">
        <is>
          <t>—</t>
        </is>
      </c>
      <c r="O38" t="inlineStr">
        <is>
          <t>Normales primero</t>
        </is>
      </c>
      <c r="P38" t="inlineStr">
        <is>
          <t>Sí</t>
        </is>
      </c>
      <c r="Q38" t="inlineStr">
        <is>
          <t>Todos</t>
        </is>
      </c>
      <c r="R38" s="243">
        <f>CFG_PSTART</f>
        <v>46296.0</v>
      </c>
      <c r="S38" s="243">
        <f>CFG_PEND</f>
        <v>46387.0</v>
      </c>
      <c r="U38" s="243" t="n">
        <v>46293</v>
      </c>
      <c r="V38" t="inlineStr">
        <is>
          <t>Todos</t>
        </is>
      </c>
      <c r="W38" t="inlineStr">
        <is>
          <t>Federal</t>
        </is>
      </c>
      <c r="X38" t="inlineStr">
        <is>
          <t>Octubre 2026</t>
        </is>
      </c>
    </row>
    <row r="39">
      <c r="B39" s="230" t="n"/>
      <c r="C39" s="232" t="n"/>
      <c r="D39" s="232" t="n"/>
      <c r="E39" s="232" t="n"/>
      <c r="F39" s="232" t="n"/>
      <c r="G39" s="232" t="n"/>
      <c r="H39" s="232" t="n"/>
      <c r="L39" t="inlineStr">
        <is>
          <t>proMX</t>
        </is>
      </c>
      <c r="M39" t="inlineStr">
        <is>
          <t>Submitted</t>
        </is>
      </c>
      <c r="O39" t="inlineStr">
        <is>
          <t>Extras primero</t>
        </is>
      </c>
      <c r="P39" t="inlineStr">
        <is>
          <t>No</t>
        </is>
      </c>
      <c r="Q39" t="inlineStr">
        <is>
          <t>Octubre 2026</t>
        </is>
      </c>
      <c r="R39" s="243" t="n">
        <v>46296</v>
      </c>
      <c r="S39" s="243" t="n">
        <v>46326</v>
      </c>
      <c r="U39" s="243" t="n">
        <v>46300</v>
      </c>
      <c r="V39" t="str">
        <f>IFERROR(INDEX(R_Proy,MATCH(1,R_PSeq,0))&amp;"","")</f>
        <v>Portal Cliente</v>
      </c>
      <c r="W39" t="inlineStr">
        <is>
          <t>Corporativo</t>
        </is>
      </c>
      <c r="X39" t="inlineStr">
        <is>
          <t>Noviembre 2026</t>
        </is>
      </c>
    </row>
    <row r="40">
      <c r="B40" s="230" t="n"/>
      <c r="C40" s="232" t="n"/>
      <c r="D40" s="232" t="n"/>
      <c r="E40" s="232" t="n"/>
      <c r="F40" s="232" t="n"/>
      <c r="G40" s="232" t="n"/>
      <c r="H40" s="232" t="n"/>
      <c r="M40" t="inlineStr">
        <is>
          <t>Approved</t>
        </is>
      </c>
      <c r="O40" t="inlineStr">
        <is>
          <t>Proporcional</t>
        </is>
      </c>
      <c r="Q40" t="inlineStr">
        <is>
          <t>Noviembre 2026</t>
        </is>
      </c>
      <c r="R40" s="243" t="n">
        <v>46327</v>
      </c>
      <c r="S40" s="243" t="n">
        <v>46356</v>
      </c>
      <c r="U40" s="243" t="n">
        <v>46307</v>
      </c>
      <c r="V40" t="str">
        <f>IFERROR(INDEX(R_Proy,MATCH(2,R_PSeq,0))&amp;"","")</f>
        <v>PCF</v>
      </c>
      <c r="X40" t="inlineStr">
        <is>
          <t>Diciembre 2026</t>
        </is>
      </c>
    </row>
    <row r="41">
      <c r="B41" s="230" t="n"/>
      <c r="C41" s="232" t="n"/>
      <c r="D41" s="232" t="n"/>
      <c r="E41" s="232" t="n"/>
      <c r="F41" s="232" t="n"/>
      <c r="G41" s="232" t="n"/>
      <c r="H41" s="232" t="n"/>
      <c r="M41" t="inlineStr">
        <is>
          <t>Returned</t>
        </is>
      </c>
      <c r="Q41" t="inlineStr">
        <is>
          <t>Diciembre 2026</t>
        </is>
      </c>
      <c r="R41" s="243" t="n">
        <v>46357</v>
      </c>
      <c r="S41" s="243" t="n">
        <v>46387</v>
      </c>
      <c r="U41" s="243" t="n">
        <v>46314</v>
      </c>
      <c r="V41" t="str">
        <f>IFERROR(INDEX(R_Proy,MATCH(3,R_PSeq,0))&amp;"","")</f>
        <v/>
      </c>
      <c r="X41" t="inlineStr">
        <is>
          <t>Otro</t>
        </is>
      </c>
    </row>
    <row r="42">
      <c r="B42" s="230" t="n"/>
      <c r="C42" s="232" t="n"/>
      <c r="D42" s="232" t="n"/>
      <c r="E42" s="232" t="n"/>
      <c r="F42" s="232" t="n"/>
      <c r="G42" s="232" t="n"/>
      <c r="H42" s="232" t="n"/>
      <c r="M42" t="inlineStr">
        <is>
          <t>Recall Requested</t>
        </is>
      </c>
      <c r="U42" s="243" t="n">
        <v>46321</v>
      </c>
      <c r="V42" t="str">
        <f>IFERROR(INDEX(R_Proy,MATCH(4,R_PSeq,0))&amp;"","")</f>
        <v/>
      </c>
    </row>
    <row r="43">
      <c r="B43" s="230" t="n"/>
      <c r="C43" s="232" t="n"/>
      <c r="D43" s="232" t="n"/>
      <c r="E43" s="232" t="n"/>
      <c r="F43" s="232" t="n"/>
      <c r="G43" s="232" t="n"/>
      <c r="H43" s="232" t="n"/>
      <c r="M43" t="inlineStr">
        <is>
          <t>Cancelled</t>
        </is>
      </c>
      <c r="U43" s="243" t="n">
        <v>46328</v>
      </c>
      <c r="V43" t="str">
        <f>IFERROR(INDEX(R_Proy,MATCH(5,R_PSeq,0))&amp;"","")</f>
        <v/>
      </c>
    </row>
    <row r="44">
      <c r="B44" s="230" t="n"/>
      <c r="C44" s="232" t="n"/>
      <c r="D44" s="232" t="n"/>
      <c r="E44" s="232" t="n"/>
      <c r="F44" s="232" t="n"/>
      <c r="G44" s="232" t="n"/>
      <c r="H44" s="232" t="n"/>
      <c r="U44" s="243" t="n">
        <v>46335</v>
      </c>
      <c r="V44" t="str">
        <f>IFERROR(INDEX(R_Proy,MATCH(6,R_PSeq,0))&amp;"","")</f>
        <v/>
      </c>
    </row>
    <row r="45">
      <c r="B45" s="230" t="n"/>
      <c r="C45" s="232" t="n"/>
      <c r="D45" s="232" t="n"/>
      <c r="E45" s="232" t="n"/>
      <c r="F45" s="232" t="n"/>
      <c r="G45" s="232" t="n"/>
      <c r="H45" s="232" t="n"/>
      <c r="U45" s="243" t="n">
        <v>46342</v>
      </c>
      <c r="V45" t="str">
        <f>IFERROR(INDEX(R_Proy,MATCH(7,R_PSeq,0))&amp;"","")</f>
        <v/>
      </c>
    </row>
    <row r="46">
      <c r="B46" s="230" t="n"/>
      <c r="C46" s="232" t="n"/>
      <c r="D46" s="232" t="n"/>
      <c r="E46" s="232" t="n"/>
      <c r="F46" s="232" t="n"/>
      <c r="G46" s="232" t="n"/>
      <c r="H46" s="232" t="n"/>
      <c r="U46" s="243" t="n">
        <v>46349</v>
      </c>
      <c r="V46" t="str">
        <f>IFERROR(INDEX(R_Proy,MATCH(8,R_PSeq,0))&amp;"","")</f>
        <v/>
      </c>
    </row>
    <row r="47">
      <c r="B47" s="230" t="n"/>
      <c r="C47" s="232" t="n"/>
      <c r="D47" s="232" t="n"/>
      <c r="E47" s="232" t="n"/>
      <c r="F47" s="232" t="n"/>
      <c r="G47" s="232" t="n"/>
      <c r="H47" s="232" t="n"/>
      <c r="U47" s="243" t="n">
        <v>46356</v>
      </c>
      <c r="V47" t="str">
        <f>IFERROR(INDEX(R_Proy,MATCH(9,R_PSeq,0))&amp;"","")</f>
        <v/>
      </c>
    </row>
    <row r="48">
      <c r="B48" s="230" t="n"/>
      <c r="C48" s="232" t="n"/>
      <c r="D48" s="232" t="n"/>
      <c r="E48" s="232" t="n"/>
      <c r="F48" s="232" t="n"/>
      <c r="G48" s="232" t="n"/>
      <c r="H48" s="232" t="n"/>
      <c r="U48" s="243" t="n">
        <v>46363</v>
      </c>
      <c r="V48" t="str">
        <f>IFERROR(INDEX(R_Proy,MATCH(10,R_PSeq,0))&amp;"","")</f>
        <v/>
      </c>
    </row>
    <row r="49">
      <c r="B49" s="230" t="n"/>
      <c r="C49" s="232" t="n"/>
      <c r="D49" s="232" t="n"/>
      <c r="E49" s="232" t="n"/>
      <c r="F49" s="232" t="n"/>
      <c r="G49" s="232" t="n"/>
      <c r="H49" s="232" t="n"/>
      <c r="U49" s="243" t="n">
        <v>46370</v>
      </c>
      <c r="V49" t="str">
        <f>IFERROR(INDEX(R_Proy,MATCH(11,R_PSeq,0))&amp;"","")</f>
        <v/>
      </c>
    </row>
    <row r="50">
      <c r="B50" s="230" t="n"/>
      <c r="C50" s="232" t="n"/>
      <c r="D50" s="232" t="n"/>
      <c r="E50" s="232" t="n"/>
      <c r="F50" s="232" t="n"/>
      <c r="G50" s="232" t="n"/>
      <c r="H50" s="232" t="n"/>
      <c r="U50" s="243" t="n">
        <v>46377</v>
      </c>
      <c r="V50" t="str">
        <f>IFERROR(INDEX(R_Proy,MATCH(12,R_PSeq,0))&amp;"","")</f>
        <v/>
      </c>
    </row>
    <row r="51">
      <c r="B51" s="230" t="n"/>
      <c r="C51" s="232" t="n"/>
      <c r="D51" s="232" t="n"/>
      <c r="E51" s="232" t="n"/>
      <c r="F51" s="232" t="n"/>
      <c r="G51" s="232" t="n"/>
      <c r="H51" s="232" t="n"/>
      <c r="U51" s="243" t="n">
        <v>46384</v>
      </c>
      <c r="V51" t="str">
        <f>IFERROR(INDEX(R_Proy,MATCH(13,R_PSeq,0))&amp;"","")</f>
        <v/>
      </c>
    </row>
    <row r="52">
      <c r="B52" s="230" t="n"/>
      <c r="C52" s="232" t="n"/>
      <c r="D52" s="232" t="n"/>
      <c r="E52" s="232" t="n"/>
      <c r="F52" s="232" t="n"/>
      <c r="G52" s="232" t="n"/>
      <c r="H52" s="232" t="n"/>
      <c r="V52" t="str">
        <f>IFERROR(INDEX(R_Proy,MATCH(14,R_PSeq,0))&amp;"","")</f>
        <v/>
      </c>
    </row>
    <row r="53">
      <c r="B53" s="230" t="n"/>
      <c r="C53" s="232" t="n"/>
      <c r="D53" s="232" t="n"/>
      <c r="E53" s="232" t="n"/>
      <c r="F53" s="232" t="n"/>
      <c r="G53" s="232" t="n"/>
      <c r="H53" s="232" t="n"/>
      <c r="V53" t="str">
        <f>IFERROR(INDEX(R_Proy,MATCH(15,R_PSeq,0))&amp;"","")</f>
        <v/>
      </c>
    </row>
    <row r="54">
      <c r="B54" s="230" t="n"/>
      <c r="C54" s="232" t="n"/>
      <c r="D54" s="232" t="n"/>
      <c r="E54" s="232" t="n"/>
      <c r="F54" s="232" t="n"/>
      <c r="G54" s="232" t="n"/>
      <c r="H54" s="232" t="n"/>
      <c r="V54" t="str">
        <f>IFERROR(INDEX(R_Proy,MATCH(16,R_PSeq,0))&amp;"","")</f>
        <v/>
      </c>
    </row>
    <row r="55">
      <c r="B55" s="230" t="n"/>
      <c r="C55" s="232" t="n"/>
      <c r="D55" s="232" t="n"/>
      <c r="E55" s="232" t="n"/>
      <c r="F55" s="232" t="n"/>
      <c r="G55" s="232" t="n"/>
      <c r="H55" s="232" t="n"/>
      <c r="V55" t="str">
        <f>IFERROR(INDEX(R_Proy,MATCH(17,R_PSeq,0))&amp;"","")</f>
        <v/>
      </c>
    </row>
    <row r="56">
      <c r="B56" s="230" t="n"/>
      <c r="C56" s="232" t="n"/>
      <c r="D56" s="232" t="n"/>
      <c r="E56" s="232" t="n"/>
      <c r="F56" s="232" t="n"/>
      <c r="G56" s="232" t="n"/>
      <c r="H56" s="232" t="n"/>
      <c r="V56" t="str">
        <f>IFERROR(INDEX(R_Proy,MATCH(18,R_PSeq,0))&amp;"","")</f>
        <v/>
      </c>
    </row>
    <row r="57">
      <c r="B57" s="230" t="n"/>
      <c r="C57" s="232" t="n"/>
      <c r="D57" s="232" t="n"/>
      <c r="E57" s="232" t="n"/>
      <c r="F57" s="232" t="n"/>
      <c r="G57" s="232" t="n"/>
      <c r="H57" s="232" t="n"/>
      <c r="V57" t="str">
        <f>IFERROR(INDEX(R_Proy,MATCH(19,R_PSeq,0))&amp;"","")</f>
        <v/>
      </c>
    </row>
    <row r="58">
      <c r="B58" s="230" t="n"/>
      <c r="C58" s="232" t="n"/>
      <c r="D58" s="232" t="n"/>
      <c r="E58" s="232" t="n"/>
      <c r="F58" s="232" t="n"/>
      <c r="G58" s="232" t="n"/>
      <c r="H58" s="232" t="n"/>
      <c r="V58" t="str">
        <f>IFERROR(INDEX(R_Proy,MATCH(20,R_PSeq,0))&amp;"","")</f>
        <v/>
      </c>
    </row>
    <row r="59">
      <c r="B59" s="230" t="n"/>
      <c r="C59" s="232" t="n"/>
      <c r="D59" s="232" t="n"/>
      <c r="E59" s="232" t="n"/>
      <c r="F59" s="232" t="n"/>
      <c r="G59" s="232" t="n"/>
      <c r="H59" s="232" t="n"/>
      <c r="V59" t="str">
        <f>IFERROR(INDEX(R_Proy,MATCH(21,R_PSeq,0))&amp;"","")</f>
        <v/>
      </c>
    </row>
    <row r="60">
      <c r="B60" s="230" t="n"/>
      <c r="C60" s="232" t="n"/>
      <c r="D60" s="232" t="n"/>
      <c r="E60" s="232" t="n"/>
      <c r="F60" s="232" t="n"/>
      <c r="G60" s="232" t="n"/>
      <c r="H60" s="232" t="n"/>
      <c r="V60" t="str">
        <f>IFERROR(INDEX(R_Proy,MATCH(22,R_PSeq,0))&amp;"","")</f>
        <v/>
      </c>
    </row>
    <row r="61">
      <c r="V61" t="str">
        <f>IFERROR(INDEX(R_Proy,MATCH(23,R_PSeq,0))&amp;"","")</f>
        <v/>
      </c>
    </row>
    <row r="62">
      <c r="B62" s="64" t="inlineStr">
        <is>
          <t>Nota: 'No laborable' = ese día no tiene horario normal para esa empresa (todo lo trabajado es hora extra). Los feriados federales NO se asumen no laborables para proMX: por defecto figuran como 'No' y deben confirmarse.</t>
        </is>
      </c>
      <c r="V62" t="str">
        <f>IFERROR(INDEX(R_Proy,MATCH(24,R_PSeq,0))&amp;"","")</f>
        <v/>
      </c>
    </row>
    <row r="63">
      <c r="V63" t="str">
        <f>IFERROR(INDEX(R_Proy,MATCH(25,R_PSeq,0))&amp;"","")</f>
        <v/>
      </c>
    </row>
    <row r="64">
      <c r="V64" t="str">
        <f>IFERROR(INDEX(R_Proy,MATCH(26,R_PSeq,0))&amp;"","")</f>
        <v/>
      </c>
    </row>
    <row r="65">
      <c r="V65" t="str">
        <f>IFERROR(INDEX(R_Proy,MATCH(27,R_PSeq,0))&amp;"","")</f>
        <v/>
      </c>
    </row>
    <row r="66">
      <c r="V66" t="str">
        <f>IFERROR(INDEX(R_Proy,MATCH(28,R_PSeq,0))&amp;"","")</f>
        <v/>
      </c>
    </row>
    <row r="67">
      <c r="V67" t="str">
        <f>IFERROR(INDEX(R_Proy,MATCH(29,R_PSeq,0))&amp;"","")</f>
        <v/>
      </c>
    </row>
    <row r="68">
      <c r="V68" t="str">
        <f>IFERROR(INDEX(R_Proy,MATCH(30,R_PSeq,0))&amp;"","")</f>
        <v/>
      </c>
    </row>
    <row r="69">
      <c r="V69" t="str">
        <f>IFERROR(INDEX(R_Proy,MATCH(31,R_PSeq,0))&amp;"","")</f>
        <v/>
      </c>
    </row>
    <row r="70">
      <c r="V70" t="str">
        <f>IFERROR(INDEX(R_Proy,MATCH(32,R_PSeq,0))&amp;"","")</f>
        <v/>
      </c>
    </row>
    <row r="71">
      <c r="V71" t="str">
        <f>IFERROR(INDEX(R_Proy,MATCH(33,R_PSeq,0))&amp;"","")</f>
        <v/>
      </c>
    </row>
    <row r="72">
      <c r="V72" t="str">
        <f>IFERROR(INDEX(R_Proy,MATCH(34,R_PSeq,0))&amp;"","")</f>
        <v/>
      </c>
    </row>
    <row r="73">
      <c r="V73" t="str">
        <f>IFERROR(INDEX(R_Proy,MATCH(35,R_PSeq,0))&amp;"","")</f>
        <v/>
      </c>
    </row>
    <row r="74">
      <c r="V74" t="str">
        <f>IFERROR(INDEX(R_Proy,MATCH(36,R_PSeq,0))&amp;"","")</f>
        <v/>
      </c>
    </row>
    <row r="75">
      <c r="V75" t="str">
        <f>IFERROR(INDEX(R_Proy,MATCH(37,R_PSeq,0))&amp;"","")</f>
        <v/>
      </c>
    </row>
    <row r="76">
      <c r="V76" t="str">
        <f>IFERROR(INDEX(R_Proy,MATCH(38,R_PSeq,0))&amp;"","")</f>
        <v/>
      </c>
    </row>
    <row r="77">
      <c r="V77" t="str">
        <f>IFERROR(INDEX(R_Proy,MATCH(39,R_PSeq,0))&amp;"","")</f>
        <v/>
      </c>
    </row>
    <row r="78">
      <c r="V78" t="str">
        <f>IFERROR(INDEX(R_Proy,MATCH(40,R_PSeq,0))&amp;"","")</f>
        <v/>
      </c>
    </row>
    <row r="79">
      <c r="V79" t="str">
        <f>IFERROR(INDEX(R_Proy,MATCH(41,R_PSeq,0))&amp;"","")</f>
        <v/>
      </c>
    </row>
    <row r="80">
      <c r="V80" t="str">
        <f>IFERROR(INDEX(R_Proy,MATCH(42,R_PSeq,0))&amp;"","")</f>
        <v/>
      </c>
    </row>
    <row r="81">
      <c r="V81" t="str">
        <f>IFERROR(INDEX(R_Proy,MATCH(43,R_PSeq,0))&amp;"","")</f>
        <v/>
      </c>
    </row>
    <row r="82">
      <c r="V82" t="str">
        <f>IFERROR(INDEX(R_Proy,MATCH(44,R_PSeq,0))&amp;"","")</f>
        <v/>
      </c>
    </row>
    <row r="83">
      <c r="V83" t="str">
        <f>IFERROR(INDEX(R_Proy,MATCH(45,R_PSeq,0))&amp;"","")</f>
        <v/>
      </c>
    </row>
    <row r="84">
      <c r="V84" t="str">
        <f>IFERROR(INDEX(R_Proy,MATCH(46,R_PSeq,0))&amp;"","")</f>
        <v/>
      </c>
    </row>
    <row r="85">
      <c r="V85" t="str">
        <f>IFERROR(INDEX(R_Proy,MATCH(47,R_PSeq,0))&amp;"","")</f>
        <v/>
      </c>
    </row>
    <row r="86">
      <c r="V86" t="str">
        <f>IFERROR(INDEX(R_Proy,MATCH(48,R_PSeq,0))&amp;"","")</f>
        <v/>
      </c>
    </row>
    <row r="87">
      <c r="V87" t="str">
        <f>IFERROR(INDEX(R_Proy,MATCH(49,R_PSeq,0))&amp;"","")</f>
        <v/>
      </c>
    </row>
    <row r="88">
      <c r="V88" t="str">
        <f>IFERROR(INDEX(R_Proy,MATCH(50,R_PSeq,0))&amp;"","")</f>
        <v/>
      </c>
    </row>
    <row r="89">
      <c r="V89" t="str">
        <f>IFERROR(INDEX(R_Proy,MATCH(51,R_PSeq,0))&amp;"","")</f>
        <v/>
      </c>
    </row>
    <row r="90">
      <c r="V90" t="str">
        <f>IFERROR(INDEX(R_Proy,MATCH(52,R_PSeq,0))&amp;"","")</f>
        <v/>
      </c>
    </row>
    <row r="91">
      <c r="V91" t="str">
        <f>IFERROR(INDEX(R_Proy,MATCH(53,R_PSeq,0))&amp;"","")</f>
        <v/>
      </c>
    </row>
    <row r="92">
      <c r="V92" t="str">
        <f>IFERROR(INDEX(R_Proy,MATCH(54,R_PSeq,0))&amp;"","")</f>
        <v/>
      </c>
    </row>
    <row r="93">
      <c r="V93" t="str">
        <f>IFERROR(INDEX(R_Proy,MATCH(55,R_PSeq,0))&amp;"","")</f>
        <v/>
      </c>
    </row>
    <row r="94">
      <c r="V94" t="str">
        <f>IFERROR(INDEX(R_Proy,MATCH(56,R_PSeq,0))&amp;"","")</f>
        <v/>
      </c>
    </row>
    <row r="95">
      <c r="V95" t="str">
        <f>IFERROR(INDEX(R_Proy,MATCH(57,R_PSeq,0))&amp;"","")</f>
        <v/>
      </c>
    </row>
    <row r="96">
      <c r="V96" t="str">
        <f>IFERROR(INDEX(R_Proy,MATCH(58,R_PSeq,0))&amp;"","")</f>
        <v/>
      </c>
    </row>
    <row r="97">
      <c r="V97" t="str">
        <f>IFERROR(INDEX(R_Proy,MATCH(59,R_PSeq,0))&amp;"","")</f>
        <v/>
      </c>
    </row>
    <row r="98">
      <c r="V98" t="str">
        <f>IFERROR(INDEX(R_Proy,MATCH(60,R_PSeq,0))&amp;"","")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B21:H60">
    <cfRule type="expression" priority="1" dxfId="12" stopIfTrue="0">
      <formula>=AND($B21&lt;&gt;"",WEEKDAY($B21,2)&gt;5)</formula>
    </cfRule>
  </conditionalFormatting>
  <dataValidations count="6">
    <dataValidation sqref="C13" showDropDown="0" showInputMessage="0" showErrorMessage="0" allowBlank="0" type="list">
      <formula1>=L_BRK</formula1>
    </dataValidation>
    <dataValidation sqref="E21:G60 G5:G11" showDropDown="0" showInputMessage="0" showErrorMessage="0" allowBlank="0" type="list">
      <formula1>=L_SN</formula1>
    </dataValidation>
    <dataValidation sqref="D21:D60" showDropDown="0" showInputMessage="0" showErrorMessage="0" allowBlank="1" type="list">
      <formula1>=L_TFER</formula1>
    </dataValidation>
    <dataValidation sqref="B21:B60" showDropDown="0" showInputMessage="0" showErrorMessage="1" allowBlank="1" error="Ingresá una fecha válida (dd/mm/aaaa)." type="date" operator="between">
      <formula1>DATE(2026,1,1)</formula1>
      <formula2>DATE(2027,12,31)</formula2>
    </dataValidation>
    <dataValidation sqref="C5:C6" showDropDown="0" showInputMessage="0" showErrorMessage="1" allowBlank="0" error="Ingresá una hora hh:mm." type="time" operator="between">
      <formula1>0</formula1>
      <formula2>0.999305556</formula2>
    </dataValidation>
    <dataValidation sqref="C9" showDropDown="0" showInputMessage="0" showErrorMessage="1" allowBlank="0" type="whole" operator="between">
      <formula1>1</formula1>
      <formula2>240</formula2>
    </dataValidation>
  </dataValidations>
  <printOptions horizontalCentered="1"/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8A8F98"/>
    <outlinePr summaryBelow="1" summaryRight="1"/>
    <pageSetUpPr fitToPage="1"/>
  </sheetPr>
  <dimension ref="A1:C18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10" customWidth="1" min="3" max="3"/>
  </cols>
  <sheetData>
    <row r="1" ht="34" customHeight="1">
      <c r="A1" s="1" t="n"/>
      <c r="B1" s="2" t="inlineStr">
        <is>
          <t>📘  Instrucciones</t>
        </is>
      </c>
      <c r="C1" s="1" t="n"/>
    </row>
    <row r="2" ht="20" customHeight="1">
      <c r="A2" s="1" t="n"/>
      <c r="B2" s="3" t="inlineStr">
        <is>
          <t>Guía rápida de uso diario.</t>
        </is>
      </c>
      <c r="C2" s="1" t="n"/>
    </row>
    <row r="4" ht="51" customHeight="1">
      <c r="B4" s="244" t="inlineStr">
        <is>
          <t>Cargar una tarea Malcolm</t>
        </is>
      </c>
      <c r="C4" s="245" t="inlineStr">
        <is>
          <t>Registro de Horas → primera fila vacía. Completá Fecha, Empresa = Malcolm, Proyecto, Task ID, Descripción, Hora inicio y Hora fin (precisión al minuto, ej. 13:00–14:20) y Descanso (min) si corresponde. No completes Estado ni fechas proMX: para Malcolm se ignoran y quedan en gris. Duración, normales y extras se calculan solas.</t>
        </is>
      </c>
    </row>
    <row r="5" ht="36" customHeight="1">
      <c r="B5" s="244" t="inlineStr">
        <is>
          <t>Cargar una tarea proMX</t>
        </is>
      </c>
      <c r="C5" s="245" t="inlineStr">
        <is>
          <t>Igual que Malcolm pero con Empresa = proMX. Elegí el Estado (Draft si todavía no lo cargaste en proMX). Si dejás el Estado vacío se trata como Draft y se muestra un aviso.</t>
        </is>
      </c>
    </row>
    <row r="6" ht="66" customHeight="1">
      <c r="B6" s="244" t="inlineStr">
        <is>
          <t>Bloques de media hora (proMX)</t>
        </is>
      </c>
      <c r="C6" s="245" t="inlineStr">
        <is>
          <t>Inicio y fin deben caer en :00 o :30 y la duración neta (fin − inicio − descanso) debe ser múltiplo de 30 min. Bloques = duración / 30 (1 h = 2 bloques). Si no cumple, Validación muestra 'Revisar bloques' y el registro NO suma en ningún total. Nunca se redondea automáticamente. Podés cargar varias tareas por día y dividir una tarea en varios registros (mismo Task ID).</t>
        </is>
      </c>
    </row>
    <row r="7" ht="66" customHeight="1">
      <c r="B7" s="244" t="inlineStr">
        <is>
          <t>Validaciones automáticas</t>
        </is>
      </c>
      <c r="C7" s="245" t="inlineStr">
        <is>
          <t>Se detectan: fecha fuera de período, hora faltante, inicio = fin, descanso ≥ duración, registros duplicados (misma empresa, fecha, horario y Task ID: se marca el segundo), superposición con otro registro de la MISMA empresa (ambos se marcan) y bloques inválidos. Un registro de Malcolm que se superpone con uno de proMX es válido pero se avisa en Alerta y se descuenta del 'Tiempo cronológico único'.</t>
        </is>
      </c>
    </row>
    <row r="8" ht="51" customHeight="1">
      <c r="B8" s="244" t="inlineStr">
        <is>
          <t>Cruce de medianoche</t>
        </is>
      </c>
      <c r="C8" s="245" t="inlineStr">
        <is>
          <t>Si la hora fin es menor que la de inicio (ej. 22:00–02:00) se interpreta que termina al día siguiente. Las horas se reparten en cada día en los resúmenes diarios y el calendario, y las normales/extras se evalúan según el calendario de cada día. (Los filtros de mes del Dashboard usan la fecha de inicio.)</t>
        </is>
      </c>
    </row>
    <row r="9" ht="51" customHeight="1">
      <c r="B9" s="244" t="inlineStr">
        <is>
          <t>Horas normales y extras</t>
        </is>
      </c>
      <c r="C9" s="245" t="inlineStr">
        <is>
          <t>Normales = tiempo dentro de [Hora inicio jornada, Hora fin jornada] en días laborables de esa empresa. Todo lo demás es extra (antes de 09:00, después de 17:00, fines de semana y feriados no laborables). El descanso se descuenta según 'Regla de descanso' (Configuración). Si sabés cuándo fue el descanso, dividí la tarea en dos registros.</t>
        </is>
      </c>
    </row>
    <row r="10" ht="51" customHeight="1">
      <c r="B10" s="244" t="inlineStr">
        <is>
          <t>Cambiar un estado proMX</t>
        </is>
      </c>
      <c r="C10" s="245" t="inlineStr">
        <is>
          <t>Cambiá la columna Estado proMX del mismo registro (no lo dupliques). Al pasar a Submitted completá Fecha envío; al pasar a Approved completá Fecha aprobación. Cada registro tiene un único estado: las horas se mueven de un indicador a otro, nunca se duplican. Cancelled sale de todos los totales.</t>
        </is>
      </c>
    </row>
    <row r="11" ht="51" customHeight="1">
      <c r="B11" s="244" t="inlineStr">
        <is>
          <t>Ver horas pendientes</t>
        </is>
      </c>
      <c r="C11" s="245" t="inlineStr">
        <is>
          <t>Control proMX → 'Pendientes': lista Draft, Submitted, Returned y Recall Requested con fecha de envío y antigüedad. Pendiente de envío = Draft + Returned. Pendiente de aprobación = Submitted + Recall Requested. Se alerta (naranja) si un registro supera los días máximos en Submitted.</t>
        </is>
      </c>
    </row>
    <row r="12" ht="36" customHeight="1">
      <c r="B12" s="244" t="inlineStr">
        <is>
          <t>Consultar el dashboard</t>
        </is>
      </c>
      <c r="C12" s="245" t="inlineStr">
        <is>
          <t>Dashboard → elegí Mes y Proyecto en las celdas amarillas. Los indicadores aplican ambos filtros; los gráficos usan el filtro de proyecto. 'Tiempo cronológico único' descuenta las superposiciones Malcolm/proMX.</t>
        </is>
      </c>
    </row>
    <row r="13" ht="51" customHeight="1">
      <c r="B13" s="244" t="inlineStr">
        <is>
          <t>Calendario</t>
        </is>
      </c>
      <c r="C13" s="245" t="inlineStr">
        <is>
          <t>Calendario Visual → escribí o elegí una fecha de la semana. Los bloques se colorean por empresa/estado (Malcolm azul, Draft turquesa, Submitted violeta, Approved verde, Returned rojo, naranja = superposición). Debajo está la vista mensual: elegí el mes.</t>
        </is>
      </c>
    </row>
    <row r="14" ht="51" customHeight="1">
      <c r="B14" s="244" t="inlineStr">
        <is>
          <t>Registrar un cobro</t>
        </is>
      </c>
      <c r="C14" s="245" t="inlineStr">
        <is>
          <t>Pagos → Registro de cobros: Fecha, Importe USD, Período (mes trabajado), Referencia. Podés cargar varios pagos parciales para el mismo período. Pendiente de cobro = USD aprobados − USD cobrados. Las horas Malcolm nunca entran en los cálculos económicos.</t>
        </is>
      </c>
    </row>
    <row r="15" ht="36" customHeight="1">
      <c r="B15" s="244" t="inlineStr">
        <is>
          <t>Modificar la configuración</t>
        </is>
      </c>
      <c r="C15" s="245" t="inlineStr">
        <is>
          <t>Configuración → celdas amarillas: horario, horas objetivo, bloque, tarifas, días máximos, regla de descanso, días laborables, feriados (federales y corporativos, con 'No laborable' por empresa) y proyectos.</t>
        </is>
      </c>
    </row>
    <row r="16" ht="51" customHeight="1">
      <c r="B16" s="244" t="inlineStr">
        <is>
          <t>Agregar filas / borrar ejemplos</t>
        </is>
      </c>
      <c r="C16" s="245" t="inlineStr">
        <is>
          <t>Hay 1500 filas listas para usar. Para más, desproteger la hoja y copiar la última fila hacia abajo (los totales ya leen hasta la fila 5000). Los ejemplos tienen '[EJEMPLO]' en la descripción: borrá el contenido de las celdas amarillas de esas filas (no elimines filas) y los totales se recalculan.</t>
        </is>
      </c>
    </row>
    <row r="17" ht="36" customHeight="1">
      <c r="B17" s="244" t="inlineStr">
        <is>
          <t>Protección</t>
        </is>
      </c>
      <c r="C17" s="245" t="inlineStr">
        <is>
          <t>Las hojas están protegidas SIN contraseña para cuidar las fórmulas (Revisar → Desproteger hoja). Los filtros funcionan con la hoja protegida.</t>
        </is>
      </c>
    </row>
    <row r="18" ht="66" customHeight="1">
      <c r="B18" s="244" t="inlineStr">
        <is>
          <t>Limitaciones conocidas</t>
        </is>
      </c>
      <c r="C18" s="245" t="inlineStr">
        <is>
          <t>• Sin macros: el ID es el número de fila (cambia si se insertan/eliminan filas; no ordenar la tabla, usar filtros). • Las listas por ticket/proyecto muestran hasta 150/30 elementos. • La superposición se mide sobre el intervalo bruto (con descanso incluido). • Las tarifas son únicas: si cambian, el cambio aplica a todo el período. • El gráfico de estados usa horas (no cantidad de registros).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2026-10-13T13:14:27Z</dcterms:created>
  <dcterms:modified xmlns:dcterms="http://purl.org/dc/terms/" xmlns:xsi="http://www.w3.org/2001/XMLSchema-instance" xsi:type="dcterms:W3CDTF">2026-10-13T13:14:37Z</dcterms:modified>
</cp:coreProperties>
</file>